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Recipients REF" sheetId="1" r:id="rId5"/>
    <sheet state="visible" name="MONITORING" sheetId="2" r:id="rId6"/>
    <sheet state="visible" name="R&amp;M Request from 23" sheetId="3" r:id="rId7"/>
    <sheet state="visible" name="Sheet11" sheetId="4" r:id="rId8"/>
    <sheet state="visible" name="Sim Card Monitoring" sheetId="5" r:id="rId9"/>
    <sheet state="visible" name="Extra GPS Monitoring" sheetId="6" r:id="rId10"/>
  </sheets>
  <definedNames>
    <definedName name="FILTER">MONITORING!$E:$AG</definedName>
    <definedName hidden="1" localSheetId="1" name="_xlnm._FilterDatabase">MONITORING!$A$2:$AJ$2002</definedName>
  </definedNames>
  <calcPr/>
</workbook>
</file>

<file path=xl/sharedStrings.xml><?xml version="1.0" encoding="utf-8"?>
<sst xmlns="http://schemas.openxmlformats.org/spreadsheetml/2006/main" count="10108" uniqueCount="1998">
  <si>
    <t>NO</t>
  </si>
  <si>
    <t>Recipient</t>
  </si>
  <si>
    <t>Address</t>
  </si>
  <si>
    <t>RECIPIENT</t>
  </si>
  <si>
    <t>ADDRESS</t>
  </si>
  <si>
    <t>BRGY</t>
  </si>
  <si>
    <t>CITY /TOWN</t>
  </si>
  <si>
    <t>PROVINCE</t>
  </si>
  <si>
    <t>CONTACT</t>
  </si>
  <si>
    <t>CP NUMBER</t>
  </si>
  <si>
    <t>LOT</t>
  </si>
  <si>
    <t>Tractor</t>
  </si>
  <si>
    <t>Front Loader</t>
  </si>
  <si>
    <t>Rotavator</t>
  </si>
  <si>
    <t>Disc Plow</t>
  </si>
  <si>
    <t>IN-CHARGE</t>
  </si>
  <si>
    <t>GPS IMEI (OLD)</t>
  </si>
  <si>
    <t>GPS IMEI</t>
  </si>
  <si>
    <t>GPS SIM CARD NUMBER</t>
  </si>
  <si>
    <t>DATE OF VISIT</t>
  </si>
  <si>
    <t>GROUPINGS</t>
  </si>
  <si>
    <t>Brand</t>
  </si>
  <si>
    <t>Model</t>
  </si>
  <si>
    <t>Aquino Cluster Farmers Association</t>
  </si>
  <si>
    <t>Aquino, Ibajay, AKLAN</t>
  </si>
  <si>
    <t>TYM</t>
  </si>
  <si>
    <t>5825R</t>
  </si>
  <si>
    <t>HANIL</t>
  </si>
  <si>
    <t>HL25</t>
  </si>
  <si>
    <t>WECAN</t>
  </si>
  <si>
    <t>LSGW1750</t>
  </si>
  <si>
    <t>WDP40</t>
  </si>
  <si>
    <t>Laguinbanua Integrated Farmers Association</t>
  </si>
  <si>
    <t>Laguinbanua, Ibajay, AKLAN</t>
  </si>
  <si>
    <t>AGCAWILAN-SILAKAT NONOK FARMERS CLUSTER ASSOCIATION</t>
  </si>
  <si>
    <t>Agcawilan, Lezo, AKLAN</t>
  </si>
  <si>
    <t>Lezo Multi-purpose Cooperative</t>
  </si>
  <si>
    <t>Poblacion, Lezo, AKLAN</t>
  </si>
  <si>
    <t>DTC-PRO Farmers Irrigators' Association, Inc.</t>
  </si>
  <si>
    <t>Dumga, Makato, AKLAN</t>
  </si>
  <si>
    <t>Navitas Farmer's Association (NFA)</t>
  </si>
  <si>
    <t>Navitas, Malinao, AKLAN</t>
  </si>
  <si>
    <t>Solido Cluster Farmers Association</t>
  </si>
  <si>
    <t>Solido, Nabas, AKLAN</t>
  </si>
  <si>
    <t>INTEGRATED BARANGAYS OF NUMANCIA MULTI-PURPOSE COOPERATIVE (IBON MPC)</t>
  </si>
  <si>
    <t>Pusiw, Numancia, AKLAN</t>
  </si>
  <si>
    <t>Laguinbanua West Farmers Association</t>
  </si>
  <si>
    <t>Laguinbanua West, Numancia, AKLAN</t>
  </si>
  <si>
    <t>Dalipdip Integrated Farmers Association</t>
  </si>
  <si>
    <t>Dalipdip, Altavas, AKLAN</t>
  </si>
  <si>
    <t>Mabais Tagaytay Bantayan Farmer’s Association</t>
  </si>
  <si>
    <t>Feliciano, Balete, AKLAN</t>
  </si>
  <si>
    <t>ESTANCIA FARMERS' ASSOCIATION</t>
  </si>
  <si>
    <t>Estancia, Kalibo, AKLAN</t>
  </si>
  <si>
    <t>Nalook Farmers' Association</t>
  </si>
  <si>
    <t>Nalook, Kalibo, AKLAN</t>
  </si>
  <si>
    <t>Puis Farmers Association</t>
  </si>
  <si>
    <t>Puis, New Washington, AKLAN</t>
  </si>
  <si>
    <t>LIPUMA OF AKLAN IRRIGATORS' ASSOCIATION, INC.</t>
  </si>
  <si>
    <t>Linabuan Norte, Kalibo, AKLAN</t>
  </si>
  <si>
    <t>A-O-A BIDA Inc.</t>
  </si>
  <si>
    <t>Ondoy, Ibajay, AKLAN</t>
  </si>
  <si>
    <t>STAG IRRIGATORS' ASSOCIATION, INCORPORATED</t>
  </si>
  <si>
    <t>Santa Cruz, Ibajay, AKLAN</t>
  </si>
  <si>
    <t>IBAO-MINA FARMERS ASSOCIATION</t>
  </si>
  <si>
    <t>Ibao, Lezo, AKLAN</t>
  </si>
  <si>
    <t>DONGON EAST RICE FARMERS ASSOCIATION, INC.</t>
  </si>
  <si>
    <t>Dongon East, Numancia, AKLAN</t>
  </si>
  <si>
    <t>Municipal Government Unit of Malinao</t>
  </si>
  <si>
    <t>Poblacion, Malinao, ALBAY</t>
  </si>
  <si>
    <t>BELEN FARMERS &amp; FARM WORKER'S ASSN., INC</t>
  </si>
  <si>
    <t>Belen (Malabog), Tiwi, ALBAY</t>
  </si>
  <si>
    <t>BALOPAPU FARMERS ASSOCIATION, INC.</t>
  </si>
  <si>
    <t>Barayong, Ligao City, ALBAY</t>
  </si>
  <si>
    <t>BAY FARMERS ASSOCIATION (BaFAss)</t>
  </si>
  <si>
    <t>Bay, Ligao City, ALBAY</t>
  </si>
  <si>
    <t>City Government Unit of Ligao City</t>
  </si>
  <si>
    <t>Santa Cruz (Pob.), Ligao City, ALBAY</t>
  </si>
  <si>
    <t>TINAGO DIVINO ROSTRO FARMERS ASSOCIATION (TIDIROFA)</t>
  </si>
  <si>
    <t>Tinago, Ligao City, ALBAY</t>
  </si>
  <si>
    <t>ILAOR SUR FARMERS ASSOCIATION</t>
  </si>
  <si>
    <t>Ilaor Sur, Oas, ALBAY</t>
  </si>
  <si>
    <t>MAGIPAN IRRIGATORS ASSOCIATION, INC.</t>
  </si>
  <si>
    <t>Ilaor Norte, Oas, ALBAY</t>
  </si>
  <si>
    <t>OAS SOUTH MAIN CANAL IRRIGTORS ASSOCIATION INCORPORATED</t>
  </si>
  <si>
    <t>Bagsa, Oas, ALBAY</t>
  </si>
  <si>
    <t>Municipal Government Unit of Pio Duran</t>
  </si>
  <si>
    <t>Caratagan, Pio Duran, ALBAY</t>
  </si>
  <si>
    <t>Provincial Local Government Unit of Albay</t>
  </si>
  <si>
    <t>Bgy. 33 - PNR-Peñaranda St.-Iraya (Pob.), Legazpi City, ALBAY</t>
  </si>
  <si>
    <t>Municipal Local Government Unit of Bacacay</t>
  </si>
  <si>
    <t>Barangay 2 (Pob.), Bacacay, ALBAY</t>
  </si>
  <si>
    <t>Bariw Farmers Association</t>
  </si>
  <si>
    <t>Bariw, Malinao, ALBAY</t>
  </si>
  <si>
    <t>SAN NICOLAS ESTANCIA FARMER'S ASSOCIATION (SNEFA)</t>
  </si>
  <si>
    <t>Estancia, Malinao, ALBAY</t>
  </si>
  <si>
    <t>TAGOYTOY MULTI-FARMER'S ASSOCIATION (TMFA)</t>
  </si>
  <si>
    <t>Tagoytoy, Malinao, ALBAY</t>
  </si>
  <si>
    <t>San Vicente Tabaco Irrigators Association Inc.</t>
  </si>
  <si>
    <t>San Vicente, Tabaco City, ALBAY</t>
  </si>
  <si>
    <t>Municipal Local Government Unit of Camalig</t>
  </si>
  <si>
    <t>Barangay 2 (Pob.), Camalig, ALBAY</t>
  </si>
  <si>
    <t>City Local Government Unit of Legazpi</t>
  </si>
  <si>
    <t>Bgy. 38 - Gogon (Bgy. 54), Legazpi City, ALBAY</t>
  </si>
  <si>
    <t>Newtown Farmers Association</t>
  </si>
  <si>
    <t>Bagumbayan, Ligao City, ALBAY</t>
  </si>
  <si>
    <t>BAGSA RICE-ING FARMERS ASSOCIATION</t>
  </si>
  <si>
    <t>Brgy. Maramba Integrated Farmers and Fisherfolks Association</t>
  </si>
  <si>
    <t>Maramba, Oas, ALBAY</t>
  </si>
  <si>
    <t>BURUNYOG NA PARAOMANG ORAGON ASSOCIATION</t>
  </si>
  <si>
    <t>San Isidro, Oas, ALBAY</t>
  </si>
  <si>
    <t>Mayao Farmers Association</t>
  </si>
  <si>
    <t>Mayao, Oas, ALBAY</t>
  </si>
  <si>
    <t>Municipal Local Government Unit of Polangui</t>
  </si>
  <si>
    <t>Centro Occidental (Pob.), Polangui, ALBAY</t>
  </si>
  <si>
    <t>(BBCM) BINANU-AN BINANGBANG CENTRO-CUBAY-MAGTULIS IRRIGATORS ASSOCIATION, INC.</t>
  </si>
  <si>
    <t>Binanu-an, Barbaza, ANTIQUE</t>
  </si>
  <si>
    <t>CAPOYUAN FARMERS ASSOCIATION</t>
  </si>
  <si>
    <t>Capoyuan, Barbaza, ANTIQUE</t>
  </si>
  <si>
    <t>CARIT-AN - ANTIQUE FARMERS IRRIGATORS' ASSOCIATION, INC.</t>
  </si>
  <si>
    <t>Carit-an, Culasi, ANTIQUE</t>
  </si>
  <si>
    <t>SAN LUIS CONDEZ TIG-ANIT FARMERS IRRIGATORS ASSOCIATION</t>
  </si>
  <si>
    <t>San Luis, Culasi, ANTIQUE</t>
  </si>
  <si>
    <t>BIA-AN FARMERS ASSOCIATION</t>
  </si>
  <si>
    <t>Bia-an, Hamtic, ANTIQUE</t>
  </si>
  <si>
    <t>La Rioja Farmers Association</t>
  </si>
  <si>
    <t>La Rioja, Patnongon, ANTIQUE</t>
  </si>
  <si>
    <t>Magsaysay Farmer's Association</t>
  </si>
  <si>
    <t>Magsaysay, Patnongon, ANTIQUE</t>
  </si>
  <si>
    <t>Inabasan Small Farmers Association</t>
  </si>
  <si>
    <t>Inabasan, San Jose, ANTIQUE</t>
  </si>
  <si>
    <t>UNITED IGBONGLO FARMERS ASSOCIATION (UNIFA), INC.</t>
  </si>
  <si>
    <t>Igbonglo, San Jose, ANTIQUE</t>
  </si>
  <si>
    <t>LACARON FARMERS ASSOCIATION</t>
  </si>
  <si>
    <t>Lacaron, Sibalom, ANTIQUE</t>
  </si>
  <si>
    <t>BANDOJA SAN FRANCISCO SUR SAN FRANCISCO NORTE SAN ISIDRO IRRIGATORS ASSOCIATION (BASFICIA) INC.</t>
  </si>
  <si>
    <t>San Francisco Sur, Tibiao, ANTIQUE</t>
  </si>
  <si>
    <t>TIBIAO-DALANAS RIVER IRRIGATORS' ASSOCIATION, INC.</t>
  </si>
  <si>
    <t>Malabor, Tibiao, ANTIQUE</t>
  </si>
  <si>
    <t>MAGDALENA-VILBAR-BALADJAY FARMERS ASSOCIATION (MAGVIBA FA)</t>
  </si>
  <si>
    <t>Baladjay, San Remigio, ANTIQUE</t>
  </si>
  <si>
    <t>Egaña Farmers Association</t>
  </si>
  <si>
    <t>Egaña, Sibalom, ANTIQUE</t>
  </si>
  <si>
    <t>DIAGYAN MULTI FARMERS ASSOCIATION</t>
  </si>
  <si>
    <t>DIAGYAN, DILASAG, AURORA</t>
  </si>
  <si>
    <t>KABALIKAT PANGSAKAHAN ASSOCIATION</t>
  </si>
  <si>
    <t>, Dilasag, Aurora</t>
  </si>
  <si>
    <t>BAGTU-OBLIGACION IRRIGATORS ASSOCIATION</t>
  </si>
  <si>
    <t>Obligacion, Baler, AURORA</t>
  </si>
  <si>
    <t>CULAT IRRIGATORS FARMERS ASSOCIATION.</t>
  </si>
  <si>
    <t>Culat, Casiguran, AURORA</t>
  </si>
  <si>
    <t>INDIGENOUS PEOPLES FARMERS ASSOCIATION</t>
  </si>
  <si>
    <t>Manggitahan, Dilasag, AURORA</t>
  </si>
  <si>
    <t>Barangay Dibet Farmers Association (BDFA)</t>
  </si>
  <si>
    <t>Dibet, Casiguran, AURORA</t>
  </si>
  <si>
    <t>Calangcuasan Farmers Association</t>
  </si>
  <si>
    <t>Calangcuasan, Casiguran, AURORA</t>
  </si>
  <si>
    <t>Calantas Palaycheck Farmers Association</t>
  </si>
  <si>
    <t>Calantas, Casiguran, AURORA</t>
  </si>
  <si>
    <t>Cozo Proper Farmers Association</t>
  </si>
  <si>
    <t>Cozo, Casiguran, AURORA</t>
  </si>
  <si>
    <t>Municipal Local Government Unit of Dipaculao</t>
  </si>
  <si>
    <t>North Poblacion, Dipaculao, AURORA</t>
  </si>
  <si>
    <t>Dimanpudso Farmers Association</t>
  </si>
  <si>
    <t>Dimanpudso, Maria Aurora, AURORA</t>
  </si>
  <si>
    <t>DIOME FARMERS ASSOCIATION</t>
  </si>
  <si>
    <t>Diome, Maria Aurora, AURORA</t>
  </si>
  <si>
    <t>Municipal Local Government Unit of Maria Aurora</t>
  </si>
  <si>
    <t>Barangay III (Pob.), Maria Aurora, AURORA</t>
  </si>
  <si>
    <t>Aurora Federation of Farmers and Irrigators Association, Inc.</t>
  </si>
  <si>
    <t>Barangay IV (Pob.), San Luis, AURORA</t>
  </si>
  <si>
    <t>MUNICIPAL LOCAL GOVERNMENT UNIT OF ABUCAY</t>
  </si>
  <si>
    <t>Calaylayan (Pob.), Abucay, BATAAN</t>
  </si>
  <si>
    <t>PARAPAL SMALL WATER IMPOUNDING SYSTEM ASSOCIATION</t>
  </si>
  <si>
    <t>Mabiga, Hermosa, BATAAN</t>
  </si>
  <si>
    <t>SAN PEDRO FARMERS ASSOCIATION</t>
  </si>
  <si>
    <t>San Pedro (Pob.), Hermosa, BATAAN</t>
  </si>
  <si>
    <t>GREATEST MANIMAS FARMERS AND FISHERFOLKS ASSOCIATION</t>
  </si>
  <si>
    <t>Cataning, Balanga City, BATAAN</t>
  </si>
  <si>
    <t>COMMUNITY SAVERS AGRICULTURE COOPERATIVE</t>
  </si>
  <si>
    <t>Banawang, Bagac, BATAAN</t>
  </si>
  <si>
    <t>GINTONG SAMAHAN NG MAGSASAKA NG PAGALANGGANG</t>
  </si>
  <si>
    <t>Pagalanggang, Dinalupihan, BATAAN</t>
  </si>
  <si>
    <t>SAMAHAN NG MAGSASAKA NG JC PAYUMO JR. DINALUPIHAN BATAAN</t>
  </si>
  <si>
    <t>"Jose C. Payumo Jr.", Dinalupihan, BATAAN</t>
  </si>
  <si>
    <t>Adamson - Bambang Farmers Association</t>
  </si>
  <si>
    <t>Gugo, Samal, BATAAN</t>
  </si>
  <si>
    <t>Cupang West Multipurpose Cooperative</t>
  </si>
  <si>
    <t>Cupang West, Balanga City, BATAAN</t>
  </si>
  <si>
    <t>NASUGBU BATANGAS CENTRAL IRRIGATORS ASSOCIATION INC.</t>
  </si>
  <si>
    <t>Putat, Nasugbu, BATANGAS</t>
  </si>
  <si>
    <t>4252300210177928</t>
  </si>
  <si>
    <t>MAVALOR FARMERS ASSOCIATION</t>
  </si>
  <si>
    <t>Mavalor, Rosario, BATANGAS</t>
  </si>
  <si>
    <t>4252300210177787</t>
  </si>
  <si>
    <t>Municipal Local Government Unit of Naval</t>
  </si>
  <si>
    <t>Padre Inocentes Garcia (Pob.), Naval, BILIRAN</t>
  </si>
  <si>
    <t>Camba-ol Progreso Irrigators Association Inc.</t>
  </si>
  <si>
    <t>Progreso, Alicia, BOHOL</t>
  </si>
  <si>
    <t>CATIGBIAN IRRIGATORS' ASSOCIATION, INC.</t>
  </si>
  <si>
    <t>Catigbian, Buenavista, BOHOL</t>
  </si>
  <si>
    <t>NAGKAHUGPONG MAG-UUMA SA CAWAG (NMC)</t>
  </si>
  <si>
    <t>Cawag, Buenavista, BOHOL</t>
  </si>
  <si>
    <t>FAITH FARMERS ASSOCIATION</t>
  </si>
  <si>
    <t>Montesuerte, Carmen, BOHOL</t>
  </si>
  <si>
    <t>CAUSWAGAN NORTE CATIGBIAN FARMERS AGRICULTURE COOPERATIVE (CANCAFAC)</t>
  </si>
  <si>
    <t>Causwagan Norte, Catigbian, BOHOL</t>
  </si>
  <si>
    <t>DANAHAW FARMERS ASSOCIATION (DAFA)</t>
  </si>
  <si>
    <t>Danahao, Clarin, BOHOL</t>
  </si>
  <si>
    <t>POB-CAN CLARIN IRRIGATORS ASSOCIATION INC</t>
  </si>
  <si>
    <t>Candajec, Clarin, BOHOL</t>
  </si>
  <si>
    <t>CANSIWANG-TABUNOK SMALL IRRIGATORS' ASSOCIATION (CTSIA)</t>
  </si>
  <si>
    <t>, Guindulman, BOHOL</t>
  </si>
  <si>
    <t>PANDAYON-CAMBARONG IRRIGATORS ASSOCIATION INC.</t>
  </si>
  <si>
    <t>LILOAN SUR FARMERS ASSOCIATION</t>
  </si>
  <si>
    <t>, Inabanga, BOHOL</t>
  </si>
  <si>
    <t>MABINI-CAYACAY IRRIGATORS' ASSOCIATION Inc.</t>
  </si>
  <si>
    <t>Abaca, Mabini, BOHOL</t>
  </si>
  <si>
    <t>MANDAWA-PITAO IRRIGATORS' ASSOCIATION INC.</t>
  </si>
  <si>
    <t>San Isidro, Pilar, BOHOL</t>
  </si>
  <si>
    <t>ORYZA SATIVA LINN PILAR IRRIGATORS' ASSOCIATION, INC.</t>
  </si>
  <si>
    <t>San Isidro Multi-Purpose Cooperative</t>
  </si>
  <si>
    <t>SAN-LES RALIP IRRIGATORS ASSOCIATION INC</t>
  </si>
  <si>
    <t>UNITED PROHANCE IRRIGATORS' ASSOCIATION, INC.</t>
  </si>
  <si>
    <t>Estaca, Pilar, BOHOL</t>
  </si>
  <si>
    <t>CAM-BA-SAN IRRIGATORS' ASSOCIATION, INC.</t>
  </si>
  <si>
    <t>Cambangay Norte, San Miguel, BOHOL</t>
  </si>
  <si>
    <t>Kahugpungan Sa Mga Igsoong Naglawig sa Kalamboan Multi-purpose Cooperative</t>
  </si>
  <si>
    <t>Poblacion, San Miguel, BOHOL</t>
  </si>
  <si>
    <t>MAMAMIA IRRIGATORS' ASSOCIATION, INC.</t>
  </si>
  <si>
    <t>Mahayag, San Miguel, BOHOL</t>
  </si>
  <si>
    <t>NINNEWC IRRIGATORS' ASSOCIATION, INC.</t>
  </si>
  <si>
    <t>Bayongan, San Miguel, BOHOL</t>
  </si>
  <si>
    <t>BARANGAY WATER AGRICULTURE AND FOOD ASSOCAITION (BWAFA)</t>
  </si>
  <si>
    <t>San Isidro, Sierra Bullones, BOHOL</t>
  </si>
  <si>
    <t>HAMBABAURAN FARMERS ASSOCIATION</t>
  </si>
  <si>
    <t>Hambabauran, Ubay, BOHOL</t>
  </si>
  <si>
    <t>SAN ANTONIO ORGANIC FARMERS ASSOCIATION (SAOFA)</t>
  </si>
  <si>
    <t>San Francisco, Ubay, BOHOL</t>
  </si>
  <si>
    <t>MAMBOG TAAL LOOK IRRIGATORS ASSOCIATION INC.</t>
  </si>
  <si>
    <t>Mambog, Malolos City, BULACAN</t>
  </si>
  <si>
    <t>CAMLONGAN IRRIGATORS ASSOCIATION INC.</t>
  </si>
  <si>
    <t>Kapitangan, Paombong, BULACAN</t>
  </si>
  <si>
    <t>Tenejero Pulilan Farmers Association</t>
  </si>
  <si>
    <t>Tinejero, Pulilan, BULACAN</t>
  </si>
  <si>
    <t>MULAWIN BATA IRRIGATORS ASSOCIATION, INC.</t>
  </si>
  <si>
    <t>Tarcan, Baliuag, BULACAN</t>
  </si>
  <si>
    <t>STA. CATALINA MATANDA-BUBULONG MALAKI IRRIGATORS ASSOCIATION INC.</t>
  </si>
  <si>
    <t>Sta. Catalina, San Ildefonso, BULACAN</t>
  </si>
  <si>
    <t>Masagana Producers Cooperative</t>
  </si>
  <si>
    <t>Alagao, San Ildefonso, BULACAN</t>
  </si>
  <si>
    <t>Masalipit Small Water Irrigation System Association Inc.</t>
  </si>
  <si>
    <t>Masalipit, San Miguel, BULACAN</t>
  </si>
  <si>
    <t>Agribusiness Farmworker's Livelihood and Agriculture Cooperative (AFLAC)</t>
  </si>
  <si>
    <t>Capihan, San Rafael, BULACAN</t>
  </si>
  <si>
    <t>GALAS MAASIM PALAY AND VEGETABLE PRODUCERS ASSOCIATION</t>
  </si>
  <si>
    <t>Maasim, San Rafael, BULACAN</t>
  </si>
  <si>
    <t>MUNICIPAL LOCAL GOVERNMENT UNIT OF ANGAT</t>
  </si>
  <si>
    <t>Poblacion, Angat, Bulacan</t>
  </si>
  <si>
    <t>Butil, Gulayan, at Paghahayupan ng Magsasaka ng Bagong Barrio</t>
  </si>
  <si>
    <t>Bagong Barrio, Pandi, BULACAN</t>
  </si>
  <si>
    <t>Bulusukan Farmers Palay and Vegetable Producers Cooperative</t>
  </si>
  <si>
    <t>Bulusukan, San Ildefonso, BULACAN</t>
  </si>
  <si>
    <t>Tukod Palay and Vegetables Farmers Association</t>
  </si>
  <si>
    <t>Tukod, San Rafael, BULACAN</t>
  </si>
  <si>
    <t>Plaridel-Malolos Irrigators Association Inc.</t>
  </si>
  <si>
    <t>Barilan, Malolos, Bulacan</t>
  </si>
  <si>
    <t>PARAAN IRRIGATORS ASSOCIATION INC.</t>
  </si>
  <si>
    <t>SAMAHANG MAGSASAKA NG DULONG MALABON</t>
  </si>
  <si>
    <t>Dulong Malabon, Pulilan, BULACAN</t>
  </si>
  <si>
    <t>BONGA MENOR FARMERS ASSOCIATION (BMFA), INC.</t>
  </si>
  <si>
    <t>Bonga Menor, Bustos, BULACAN</t>
  </si>
  <si>
    <t>MUNICIPAL LOCAL GOVERNMENT UNIT OF BUSTOS</t>
  </si>
  <si>
    <t>Poblacion, Bustos, BULACAN</t>
  </si>
  <si>
    <t>Samahang Magsasaka ng Bustos (SMB) Inc.</t>
  </si>
  <si>
    <t>BULUALTO FARMERS IRRIGATORS' ASSOCIATION INC</t>
  </si>
  <si>
    <t>Bulualto, San Miguel, BULACAN</t>
  </si>
  <si>
    <t>Fortune Empire Multipurpose Cooperative</t>
  </si>
  <si>
    <t>Biclat, San Miguel, BULACAN</t>
  </si>
  <si>
    <t>Malapajo Irrigated Farmer's Association</t>
  </si>
  <si>
    <t>Santa Rita Bata, San Miguel, BULACAN</t>
  </si>
  <si>
    <t>San Miguel Sinag Tala Multipurpose Cooperative</t>
  </si>
  <si>
    <t>San Vicente, San Miguel, BULACAN</t>
  </si>
  <si>
    <t>Igulot Farmers Association</t>
  </si>
  <si>
    <t>Igulot, Bocaue, BULACAN</t>
  </si>
  <si>
    <t>MMMB IRRIGATORS ASSOCIATION</t>
  </si>
  <si>
    <t>Malibong Bata, Pandi, BULACAN</t>
  </si>
  <si>
    <t>SAMAHANG MAGSASAKA NG MALIBONG MATANDA, INC.</t>
  </si>
  <si>
    <t>Malibong Matanda, Pandi, BULACAN</t>
  </si>
  <si>
    <t>Buenavista Farmer's Association</t>
  </si>
  <si>
    <t>Buenavista, Santa Maria, BULACAN</t>
  </si>
  <si>
    <t>MUNICIPAL LOCAL GOVERNMENT UNIT OF SANTA MARIA</t>
  </si>
  <si>
    <t>Poblacion, Santa Maria, BULACAN</t>
  </si>
  <si>
    <t>Kalayaan Grain Farmers Association</t>
  </si>
  <si>
    <t>Dakila, Malolos City, BULACAN</t>
  </si>
  <si>
    <t>San Roque (Pob.), Angat, BULACAN</t>
  </si>
  <si>
    <t>Bangag Nanappatan Agriculture Cooperative</t>
  </si>
  <si>
    <t>Bangag, Aparri, CAGAYAN</t>
  </si>
  <si>
    <t>SARANAY FARMERS ASSOCIATION</t>
  </si>
  <si>
    <t>Mabini, Baggao, CAGAYAN</t>
  </si>
  <si>
    <t>CAPATAG FARMERS IRRIGATION ASSOCIATION INC.</t>
  </si>
  <si>
    <t>Nabaccayan, Gattaran, CAGAYAN</t>
  </si>
  <si>
    <t>SARUSAR TI SAN PEDRO FARMERS IRRIGATORS ASSOCIATION</t>
  </si>
  <si>
    <t>PATENG, GONZAGA, CAGAYAN</t>
  </si>
  <si>
    <t>NAGUILIAN IRRIGATORS' ASSOCIATION, INC.</t>
  </si>
  <si>
    <t>Naguilian, Lal-lo, CAGAYAN</t>
  </si>
  <si>
    <t>DILIAN SANTA ANA FARMERS IRRIGATORS ASSOCIATION, INC.</t>
  </si>
  <si>
    <t>, SANTA ANA, CAGAYAN</t>
  </si>
  <si>
    <t>STO. TOMAS FARMERS' AND FISHERFOLKS ASSOCIATION</t>
  </si>
  <si>
    <t>Santo Tomas, Abulug, CAGAYAN</t>
  </si>
  <si>
    <t>TAYAK AGRI-FISHERY PRODUCERS ASSOCIATION</t>
  </si>
  <si>
    <t>Siguiran, Abulug, CAGAYAN</t>
  </si>
  <si>
    <t>TAMBOLI FARMERS ASSOCIATION</t>
  </si>
  <si>
    <t>Tamboli, Allacapan, CAGAYAN</t>
  </si>
  <si>
    <t>NARARAGAN CABAYU SAN JUAN VALLEY IRRIGATORS ASSOCIATION, INC.</t>
  </si>
  <si>
    <t>Cabayu, Ballesteros, CAGAYAN</t>
  </si>
  <si>
    <t>ZANJERA DAGOC-STO. TOMAS FARMERS ASSOCIATION, INC.</t>
  </si>
  <si>
    <t>Santo Tomas, Claveria, CAGAYAN</t>
  </si>
  <si>
    <t>Panagkaykaysa ti Mannalon ti Viga Agriculture Cooperative (PMVAC)</t>
  </si>
  <si>
    <t>Viga, Lasam, CAGAYAN</t>
  </si>
  <si>
    <t>TARICUSTO FARMERS IRRIGATORS' ASSOCIATION INC.</t>
  </si>
  <si>
    <t>Taribubu, Tuao, CAGAYAN</t>
  </si>
  <si>
    <t>Southern BugueyAgrarian Reform Beneficiary Cooperative</t>
  </si>
  <si>
    <t>Santa Isabel, Buguey, CAGAYAN</t>
  </si>
  <si>
    <t>BESSANG SMALL WATER IMPOUNDING SYSTEM ASSOCIATION (BESWISA)</t>
  </si>
  <si>
    <t>Bessang, Allacapan, CAGAYAN</t>
  </si>
  <si>
    <t>ZANJERA BILIBIGAO FARMERS IRRIGATORS ASSOCIATION INC.</t>
  </si>
  <si>
    <t>Bilibigao, Claveria, CAGAYAN</t>
  </si>
  <si>
    <t>PCSC FARMERS IRRIGATORS' ASSOCIATION, INC.</t>
  </si>
  <si>
    <t>Curva, Pamplona, CAGAYAN</t>
  </si>
  <si>
    <t>PINUPUK SMALL WATER IRRIGATION SYSTEM ASSOCIATION INC.</t>
  </si>
  <si>
    <t>Santiago, Iguig, CAGAYAN</t>
  </si>
  <si>
    <t>IRAGA Water Pump Irrigators Association Inc. (IWPIA)</t>
  </si>
  <si>
    <t>Iraga, Solana, CAGAYAN</t>
  </si>
  <si>
    <t>CFC-SOLANA FARMERS AGRICULTURE COOPERATIVE</t>
  </si>
  <si>
    <t>Centro Northeast (Pob.), Solana, CAGAYAN</t>
  </si>
  <si>
    <t>SAMPAGUITA FARMERS WATER PUMP IRRIGATORS ASSOCIATION</t>
  </si>
  <si>
    <t>Sampaguita, Solana, CAGAYAN</t>
  </si>
  <si>
    <t>Lemu Farmers Agriculture Cooperative</t>
  </si>
  <si>
    <t>Lemu Norte, Enrile, CAGAYAN</t>
  </si>
  <si>
    <t>Barakbak Agrarian Reform Beneficiaries Cooperative</t>
  </si>
  <si>
    <t>Cadaanan, Solana, CAGAYAN</t>
  </si>
  <si>
    <t>Barangay Ubang Farmers Field School Association</t>
  </si>
  <si>
    <t>Ubang, Capalonga, CAMARINES NORTE</t>
  </si>
  <si>
    <t>Municipal Local Government Unit of Labo</t>
  </si>
  <si>
    <t>Gumamela (Pob.), Labo, CAMARINES NORTE</t>
  </si>
  <si>
    <t>Camarines Norte Development Cooperative</t>
  </si>
  <si>
    <t>Barangay III (Pob.), Daet, CAMARINES NORTE</t>
  </si>
  <si>
    <t>Provincial Local Government Unit of Camarines Norte</t>
  </si>
  <si>
    <t>United Gainza Farmers Association (UGFA)</t>
  </si>
  <si>
    <t>Sampaloc, Gainza, CAMARINES SUR</t>
  </si>
  <si>
    <t>MANTALISAY TARUM CAMAMBUGAN BAGUMBAYAN IRRIGATORS ASSOCIATION, INC.</t>
  </si>
  <si>
    <t>Handong, Libmanan, CAMARINES SUR</t>
  </si>
  <si>
    <t>SANFARMA-STO. NIÑO FARMERS ASSOCIATION</t>
  </si>
  <si>
    <t>Antipolo, Minalabac, CAMARINES SUR</t>
  </si>
  <si>
    <t>Samahang Magsasaka ng Barangay San Gabriel Pamplona Camarines Sur Inc.</t>
  </si>
  <si>
    <t>San Gabriel, Pamplona, CAMARINES SUR</t>
  </si>
  <si>
    <t>Magarao Multi-Purpose Cooperative</t>
  </si>
  <si>
    <t>San Isidro (Pob.), Magarao, CAMARINES SUR</t>
  </si>
  <si>
    <t>PAG-ASA SAN AGUSTIN AGRARIAN BENEFICIARIES FARMERS ASSOCIATION</t>
  </si>
  <si>
    <t>San Agustin, Pili, CAMARINES SUR</t>
  </si>
  <si>
    <t>SAN RAMON LAGONOY FARMERS ASSOCIATION (SRLFA)</t>
  </si>
  <si>
    <t>San Ramon, Lagonoy, CAMARINES SUR</t>
  </si>
  <si>
    <t>City Local Government Unit of Iriga</t>
  </si>
  <si>
    <t>Santa Cruz Sur, Iriga City, CAMARINES SUR</t>
  </si>
  <si>
    <t>San Fernando SWISA Agriculture Cooperative (SAFSCO)</t>
  </si>
  <si>
    <t>Beberon, San Fernando, CAMARINES SUR</t>
  </si>
  <si>
    <t>BOMBON IRAYA FARMERS AGRICULTURE COOPERATIVE</t>
  </si>
  <si>
    <t>San Antonio, Bombon, CAMARINES SUR</t>
  </si>
  <si>
    <t>City Local Government Unit of Naga</t>
  </si>
  <si>
    <t>Concepcion Pequeña, Naga City, CAMARINES SUR</t>
  </si>
  <si>
    <t>Caanduyog Agriculture Cooperative (CAANDUYOG-ACO)</t>
  </si>
  <si>
    <t>Cagmanaba, Ocampo, CAMARINES SUR</t>
  </si>
  <si>
    <t>CAGMANABA AGRARIAN REFORM FARMER-BENEFICIARIES ASS. (CARFBA)</t>
  </si>
  <si>
    <t>HANAWAN FARMERS ASSOCIATION (HANFA)</t>
  </si>
  <si>
    <t>Hanawan, Ocampo, CAMARINES SUR</t>
  </si>
  <si>
    <t>CALANGATNAN SEED GROWERS ASSOCIATION, INC.</t>
  </si>
  <si>
    <t>CSAC 77 Agriculture Cooperative</t>
  </si>
  <si>
    <t>Tagbong, Pili, CAMARINES SUR</t>
  </si>
  <si>
    <t>Provincial Local Government Unit of Camarines Sur</t>
  </si>
  <si>
    <t>Cadlan, Pili, CAMARINES SUR</t>
  </si>
  <si>
    <t>SAN ISIDRO LABRADOR FARMERS ASSOCIATION (SILFA)</t>
  </si>
  <si>
    <t>Caraycayon, Tigaon, CAMARINES SUR</t>
  </si>
  <si>
    <t>San Antonio Farmers Irrigators Multi-Purpose Cooperative</t>
  </si>
  <si>
    <t>San Antonio, Buhi, CAMARINES SUR</t>
  </si>
  <si>
    <t>SAN RAFAEL PAGSUBANGAN IRRIGATORS ASSOCIATION INC.</t>
  </si>
  <si>
    <t>San Rafael, Buhi, CAMARINES SUR</t>
  </si>
  <si>
    <t>SAMAHAN NG MANGINGISDA AT MAGSASAKA NG CASUGAD INC.</t>
  </si>
  <si>
    <t>Casugad, Bula, CAMARINES SUR</t>
  </si>
  <si>
    <t>NABUA COCONUT FARMERS MULTI-PURPOSE DEVELOPMENT ASSOCIATION</t>
  </si>
  <si>
    <t>Angustia (Angustia Inapatan), Nabua, CAMARINES SUR</t>
  </si>
  <si>
    <t>Municipal Local Government Unit of Pasacao</t>
  </si>
  <si>
    <t>Santa Rosa Del Norte (Pob.), Pasacao, CAMARINES SUR</t>
  </si>
  <si>
    <t>CamSur Multi-Purpose Cooperative</t>
  </si>
  <si>
    <t>Barangay Indayagan Farmers Association</t>
  </si>
  <si>
    <t>Indayagan, Ma-ayon, CAPIZ</t>
  </si>
  <si>
    <t>BANGBANG FARMERS ASSOCIATION</t>
  </si>
  <si>
    <t>Daga, Panay, CAPIZ</t>
  </si>
  <si>
    <t>Calapawan Farmers Association</t>
  </si>
  <si>
    <t>Calapawan, Panay, CAPIZ</t>
  </si>
  <si>
    <t>Intampilan Farmers Association</t>
  </si>
  <si>
    <t>Intampilan, Panitan, CAPIZ</t>
  </si>
  <si>
    <t>PASUGUE COMMUNITY FARMERS ASSOCIATION (PACFA)</t>
  </si>
  <si>
    <t>Pasugue, Panitan, CAPIZ</t>
  </si>
  <si>
    <t>POBLACION ILAYA PANIT-AN FARMERS ASSOCIATION</t>
  </si>
  <si>
    <t>Poblacion Ilaya, Panitan, CAPIZ</t>
  </si>
  <si>
    <t>San Pedro United Farmers Association</t>
  </si>
  <si>
    <t>San Pedro, Pilar, CAPIZ</t>
  </si>
  <si>
    <t>TABUC FARMERS ASSOCIATION</t>
  </si>
  <si>
    <t>Tabuc, Pontevedra, CAPIZ</t>
  </si>
  <si>
    <t>Kasanag Pinaypayan Bolo Farmers Association</t>
  </si>
  <si>
    <t>Bolo, Roxas City, CAPIZ</t>
  </si>
  <si>
    <t>San Jose Farmers and Workers Association (SJFWA)</t>
  </si>
  <si>
    <t>San Jose, Roxas City, CAPIZ</t>
  </si>
  <si>
    <t>Barangay Angub Farmers Association</t>
  </si>
  <si>
    <t>Angub, Cuartero, CAPIZ</t>
  </si>
  <si>
    <t>Agtanguay Small Farmers Association</t>
  </si>
  <si>
    <t>Agtanguay, Dao, CAPIZ</t>
  </si>
  <si>
    <t>Nasunogan Farmers Association</t>
  </si>
  <si>
    <t>Nasunogan, Dao, CAPIZ</t>
  </si>
  <si>
    <t>STA. CARMEN FARMERS ASSOCIATION</t>
  </si>
  <si>
    <t>Santa Carmen, Dumalag, CAPIZ</t>
  </si>
  <si>
    <t>Aglanot Pinoy Agri Farmers Association (APAFA)</t>
  </si>
  <si>
    <t>Aglanot, Dumarao, CAPIZ</t>
  </si>
  <si>
    <t>Astorga Farmers Association</t>
  </si>
  <si>
    <t>Astorga, Dumarao, CAPIZ</t>
  </si>
  <si>
    <t>Nagsulang Farmers Association</t>
  </si>
  <si>
    <t>Nagsulang, Dumarao, CAPIZ</t>
  </si>
  <si>
    <t>Cabalbat Irrigators’ Association, Inc.</t>
  </si>
  <si>
    <t>Cala-agus, Mambusao, CAPIZ</t>
  </si>
  <si>
    <t>Balucuan Farmers Association</t>
  </si>
  <si>
    <t>Balucuan, Sigma, CAPIZ</t>
  </si>
  <si>
    <t>Provincial Local Government Unit of Catanduanes</t>
  </si>
  <si>
    <t>Marcelo Alberto (Pob.), Virac, CATANDUANES</t>
  </si>
  <si>
    <t>CANTARICIO IRRIGATORS ASSOCIATION, INC.</t>
  </si>
  <si>
    <t>Garita I A, Maragondon, CAVITE</t>
  </si>
  <si>
    <t>MUNICIPAL LOCAL GOVERNMENT UNIT OF INDANG</t>
  </si>
  <si>
    <t>Poblacion IV, Indang, Cavite</t>
  </si>
  <si>
    <t>SAN JUAN IA/FARMERS ASSOCIATION</t>
  </si>
  <si>
    <t>San Juan, Alfonso Lista (Potia), IFUGAO</t>
  </si>
  <si>
    <t>SAN QUINTIN INTEGRATED FARMERS ASSOCIATION</t>
  </si>
  <si>
    <t>San Quintin, Alfonso Lista (Potia), IFUGAO</t>
  </si>
  <si>
    <t>Alfonso Lista Rice Cluster Farmers Federation Incorporated</t>
  </si>
  <si>
    <t>Santa Maria, Alfonso Lista (Potia), IFUGAO</t>
  </si>
  <si>
    <t>Alpip-Caba-San Irrigators Association Inc.</t>
  </si>
  <si>
    <t>Santo Domingo (Cabicalan), Alfonso Lista (Potia), IFUGAO</t>
  </si>
  <si>
    <t>Salukag Farmers Association</t>
  </si>
  <si>
    <t>Namnama, Alfonso Lista (Potia), IFUGAO</t>
  </si>
  <si>
    <t>Lamut Grassroots Savings and Development Cooperative</t>
  </si>
  <si>
    <t>Poblacion East, Lamut, IFUGAO</t>
  </si>
  <si>
    <t>MALLING PROGRESSIVE FARMERS ASSOCIATION</t>
  </si>
  <si>
    <t>Pugol (Ifugao Reservation), Lamut, IFUGAO</t>
  </si>
  <si>
    <t>Ilucban Agrarian Reform Farmers and Community Organization</t>
  </si>
  <si>
    <t>Lucban, Lamut, IFUGAO</t>
  </si>
  <si>
    <t>NGABANGAB RESOURCES FARMERS ASSOCIATION</t>
  </si>
  <si>
    <t>NGABANGAB, PASUQUIN, ILOCOS NORTE</t>
  </si>
  <si>
    <t>PANINAAN-DAYA FARMERS ASSOCIATION INC.</t>
  </si>
  <si>
    <t>PANINAAN, BACARRA, ILOCOS NORTE</t>
  </si>
  <si>
    <t>62A NAVOTAS FARMERS ASSOCIATION INCORPORATED</t>
  </si>
  <si>
    <t>62A- NAVOTAS NORTH, LAOAG CITY, ILOCOS NORTE</t>
  </si>
  <si>
    <t>Lang-ayan Agrarian Reform Farmers Association Inc.</t>
  </si>
  <si>
    <t>Lang-ayan-Baramban, Currimao, ILOCOS NORTE</t>
  </si>
  <si>
    <t>BURAYOC LINGLINGAY FARMERS ASSOCIATION INC.</t>
  </si>
  <si>
    <t>Burayoc, Pagudpud, ILOCOS NORTE</t>
  </si>
  <si>
    <t>BRGY. MAAB-ABACA IRRIGATORS ASSOCIATION INC.</t>
  </si>
  <si>
    <t>Maab-abaca, Piddig, ILOCOS NORTE</t>
  </si>
  <si>
    <t>Baro A RIMAT FARMERS ASSOCIATION INC</t>
  </si>
  <si>
    <t>Pagsanahan Sur, Badoc, ILOCOS NORTE</t>
  </si>
  <si>
    <t>MANGAPIT MABUTI FARMERS ASSOCIATION INC.</t>
  </si>
  <si>
    <t>Mabuti, Marcos, ILOCOS NORTE</t>
  </si>
  <si>
    <t>SALANGSANG STO. NIÑO FARMERS ASSOCIATION INC.</t>
  </si>
  <si>
    <t>Santo Niño, Nueva Era, ILOCOS NORTE</t>
  </si>
  <si>
    <t>Linang Farmers Agriculture Cooperative</t>
  </si>
  <si>
    <t>Cabagoan, Paoay, ILOCOS NORTE</t>
  </si>
  <si>
    <t>PARDOK IRRIGATORS ASSOCIATION INC.</t>
  </si>
  <si>
    <t>POBLOOACION, BURGOS, ILOCOS NORTE</t>
  </si>
  <si>
    <t>BANGAR BUROBOR FARMERS ASSOCIATION, INC.</t>
  </si>
  <si>
    <t>SAN PEDRO, SARRAT, ILOCOS NORTE</t>
  </si>
  <si>
    <t>Bagnos Multi Purpose Cooperative</t>
  </si>
  <si>
    <t>,BINACAG BANNA (ESPIRITU), ILOCOS NORTE</t>
  </si>
  <si>
    <t>UNITED SAN JUAN SOUTH FARMERS ASSOCIATION INC.</t>
  </si>
  <si>
    <t>SAN JUAN, SOLSONA, ILOCOS NORTE</t>
  </si>
  <si>
    <t>NUEVA ERA PAPA NORTH IRRIGATORS ASSOCIATION INC.</t>
  </si>
  <si>
    <t>Poblacion, Nueva Era, ILOCOS NORTE</t>
  </si>
  <si>
    <t>METRO DALIGAN IRRIGATORS ASSOCIATION</t>
  </si>
  <si>
    <t>Daligan, Santa Cruz, ILOCOS SUR</t>
  </si>
  <si>
    <t>SUYO STA. CRUZ FARMERS ASSOCIATION INC.</t>
  </si>
  <si>
    <t>Suyo, Santa Cruz, ILOCOS SUR</t>
  </si>
  <si>
    <t>Cuantacla Farmers Association Inc.</t>
  </si>
  <si>
    <t>Cuantacla, Cabugao, Ilocos Sur</t>
  </si>
  <si>
    <t>Free Farmers Multi Purpose Cooperative</t>
  </si>
  <si>
    <t>SAYAGADEN, CABUGAO, ILOCOS SUR</t>
  </si>
  <si>
    <t>Brgy. Caraisan Farmers Association Incorporated</t>
  </si>
  <si>
    <t>CARAISAN, MAGSINGAL, ILOCOS SUR</t>
  </si>
  <si>
    <t>Municipal Local Government Unit of Sto. Domingo</t>
  </si>
  <si>
    <t>POBLACION , STO DOMINGO, ILOCOS SUR</t>
  </si>
  <si>
    <t>Municipal Local Government Unit of Gregorio Del Pilar</t>
  </si>
  <si>
    <t>POBLACION SUR, GREGORI0O DEL PILAR, ILOCOS SUR</t>
  </si>
  <si>
    <t>MALIGCONG FARMERS ASSOCIATION</t>
  </si>
  <si>
    <t>MALIGCONG, SALCEDO, ILOCOS SUR</t>
  </si>
  <si>
    <t>DALIGAN, STA. CRUZ, GREENFIELD FARMERS ASSOCIATION INC.</t>
  </si>
  <si>
    <t>Conconig East Farmers Multi Purpose Cooperative</t>
  </si>
  <si>
    <t>Conconig East, Santa Lucia, ILOCOS SUR</t>
  </si>
  <si>
    <t>Lugarba Multi Purpose Cooperative</t>
  </si>
  <si>
    <t>BARIO-AN, TAGUDIN, ILOCOS SUR</t>
  </si>
  <si>
    <t>Municipal Local Government Unit of Tagudin</t>
  </si>
  <si>
    <t>RIZAL (POB.), TAGUDIN, ILOCOS SUR</t>
  </si>
  <si>
    <t>Oyungan Tacas Irrigators Association</t>
  </si>
  <si>
    <t>Oyungan, Miagao, ILOILO</t>
  </si>
  <si>
    <t>STTAB IRRIGATORS' ASSOCIATION, INC.</t>
  </si>
  <si>
    <t>Santa Monica, Oton, ILOILO</t>
  </si>
  <si>
    <t>Cordova Sur Farmers Association</t>
  </si>
  <si>
    <t>Cordova Sur, Tigbauan, ILOILO</t>
  </si>
  <si>
    <t>Dalid Farmers Association</t>
  </si>
  <si>
    <t>Dalid, Alimodian, ILOILO</t>
  </si>
  <si>
    <t>Buntatala Farmers &amp; Farm Worker Farmers Association</t>
  </si>
  <si>
    <t>Buntatala, Leganes, ILOILO</t>
  </si>
  <si>
    <t>Cabilauan Farmers Association</t>
  </si>
  <si>
    <t>Cabilauan, New Lucena, ILOILO</t>
  </si>
  <si>
    <t>San Miguel Farmer's Agriculture Cooperative</t>
  </si>
  <si>
    <t>Bgy. 8 Pob. (Montano - San Roque), San Miguel, ILOILO</t>
  </si>
  <si>
    <t>Balibagan Farmers Association</t>
  </si>
  <si>
    <t>Balibagan Este, Santa Barbara, ILOILO</t>
  </si>
  <si>
    <t>Inagdangan Centro Farmers Association (ICFA)</t>
  </si>
  <si>
    <t>Inagdangan Centro, Zarraga, ILOILO</t>
  </si>
  <si>
    <t>Tina Integrated Farmers Association</t>
  </si>
  <si>
    <t>Tina, Badiangan, ILOILO</t>
  </si>
  <si>
    <t>Cubay Evangelical Farmers Association</t>
  </si>
  <si>
    <t>Poblacion, Bingawan, ILOILO</t>
  </si>
  <si>
    <t>Guintapagin Agrarian Reform Beneficiaries Multi-Purpose Cooperative</t>
  </si>
  <si>
    <t>Tapacon, Bingawan, ILOILO</t>
  </si>
  <si>
    <t>Gaub Farmers Association</t>
  </si>
  <si>
    <t>Gaub, Cabatuan, ILOILO</t>
  </si>
  <si>
    <t>Talanghauan Farmers Association</t>
  </si>
  <si>
    <t>Talanghauan, Cabatuan, ILOILO</t>
  </si>
  <si>
    <t>Maspasan Farmers Association</t>
  </si>
  <si>
    <t>Maspasan, Calinog, ILOILO</t>
  </si>
  <si>
    <t>Brgy. Mañacabac Farmers Association</t>
  </si>
  <si>
    <t>Manacabac, Janiuay, ILOILO</t>
  </si>
  <si>
    <t>San Gregorio Farmers Association</t>
  </si>
  <si>
    <t>San Gregorio, Lambunao, ILOILO</t>
  </si>
  <si>
    <t>Mina East Farmers Association</t>
  </si>
  <si>
    <t>Mina East (Pob.), Mina, ILOILO</t>
  </si>
  <si>
    <t>Danao Farmers Association</t>
  </si>
  <si>
    <t>Danao, Pototan, ILOILO</t>
  </si>
  <si>
    <t>Mostro Farmers Association</t>
  </si>
  <si>
    <t>Mostro, Anilao, ILOILO</t>
  </si>
  <si>
    <t>Cañapasan Banate Irrigators' Association Inc.</t>
  </si>
  <si>
    <t>Managopaya, Banate, ILOILO</t>
  </si>
  <si>
    <t>Dugwakan Farmers Association</t>
  </si>
  <si>
    <t>Dugwakan, Banate, ILOILO</t>
  </si>
  <si>
    <t>Baras Farmers Association</t>
  </si>
  <si>
    <t>Baras, Barotac Nuevo, ILOILO</t>
  </si>
  <si>
    <t>SOSABU IRRIGATORS' ASSOCIATION, INC.</t>
  </si>
  <si>
    <t>Bungca, Barotac Nuevo, ILOILO</t>
  </si>
  <si>
    <t>Bungloy Integrated Farmers Association</t>
  </si>
  <si>
    <t>Bongloy, Dingle, ILOILO</t>
  </si>
  <si>
    <t>Tanghawan Farmers Association</t>
  </si>
  <si>
    <t>Tanghawan, Dingle, ILOILO</t>
  </si>
  <si>
    <t>Bugtongan Farmers Association</t>
  </si>
  <si>
    <t>Bugtongan, Duenas, ILOILO</t>
  </si>
  <si>
    <t>ILAGBATA IRRIGATORS' ASSOCIATION</t>
  </si>
  <si>
    <t>Bacong, Dumangas, ILOILO</t>
  </si>
  <si>
    <t>Cabugao Viejo Farmers Association</t>
  </si>
  <si>
    <t>Cabugao Viejo, San Enrique, ILOILO</t>
  </si>
  <si>
    <t>Madarag Farmers Association</t>
  </si>
  <si>
    <t>Madarag, San Enrique, ILOILO</t>
  </si>
  <si>
    <t>Pili Farmers Association</t>
  </si>
  <si>
    <t>Pili, Ajuy, ILOILO</t>
  </si>
  <si>
    <t>Puente Bunglas Farmers Association</t>
  </si>
  <si>
    <t>Puente Bunglas, Ajuy, ILOILO</t>
  </si>
  <si>
    <t>TIMIPAL AGRARIAN REFORM BENEFICIARIES MULTI-PURPOSE COOPERATIVE</t>
  </si>
  <si>
    <t>Pani-an, Balasan, ILOILO</t>
  </si>
  <si>
    <t>Aglosong-Bachawan Norte Community Participatory Action Research</t>
  </si>
  <si>
    <t>Aglosong, Concepcion, ILOILO</t>
  </si>
  <si>
    <t>Brgy. Bankal Farmers Association</t>
  </si>
  <si>
    <t>Bankal, Lemery, ILOILO</t>
  </si>
  <si>
    <t>Capisanan Agrarian Reform Cooperative</t>
  </si>
  <si>
    <t>Capinang, San Dionisio, ILOILO</t>
  </si>
  <si>
    <t>SAN ANDRES FARMERS ASSOCIATION</t>
  </si>
  <si>
    <t>San Andres, San Rafael, ILOILO</t>
  </si>
  <si>
    <t>Bita Sur Farmers Association</t>
  </si>
  <si>
    <t>Bita Sur, Oton, ILOILO</t>
  </si>
  <si>
    <t>CALAM-ISAN FARMERS ASSOCIATION (CAMIFA)</t>
  </si>
  <si>
    <t>Calam-isan, Oton, ILOILO</t>
  </si>
  <si>
    <t>Santa Monica Farmers Association</t>
  </si>
  <si>
    <t>STA. CLARA FARMERS ASSOCIATION</t>
  </si>
  <si>
    <t>Santa Clara, Oton, ILOILO</t>
  </si>
  <si>
    <t>Banaba Tigbauan Irrigator's Association, Inc.</t>
  </si>
  <si>
    <t>Napnapan Norte, Tigbauan, ILOILO</t>
  </si>
  <si>
    <t>Lino Flores Farmers Association</t>
  </si>
  <si>
    <t>Baguingin, Tigbauan, ILOILO</t>
  </si>
  <si>
    <t>Badlan Pequeno Farmers Association (BAPFA)</t>
  </si>
  <si>
    <t>Badlan Pequeño, Calinog, ILOILO</t>
  </si>
  <si>
    <t>BADU INTEGRATED DEVELOPMENT FARMERS ASSOCIATION</t>
  </si>
  <si>
    <t>Badu, Calinog, ILOILO</t>
  </si>
  <si>
    <t>LONOY FARMERS ASSOCIATION</t>
  </si>
  <si>
    <t>Lonoy, Calinog, ILOILO</t>
  </si>
  <si>
    <t>TOLARUCAN GUADALUPE IRRIGATORS ASSOCIATION, INC.</t>
  </si>
  <si>
    <t>Guadalupe, Janiuay, ILOILO</t>
  </si>
  <si>
    <t>Caninguan Farmers Association</t>
  </si>
  <si>
    <t>Caninguan, Lambunao, ILOILO</t>
  </si>
  <si>
    <t>Bagacay Farmers Association</t>
  </si>
  <si>
    <t>Bagacay, Pototan, ILOILO</t>
  </si>
  <si>
    <t>Lay-ahan Farmers Association</t>
  </si>
  <si>
    <t>Lay-Ahan, Pototan, ILOILO</t>
  </si>
  <si>
    <t>Linao Farmers Association</t>
  </si>
  <si>
    <t>Linao, Barotac Nuevo, ILOILO</t>
  </si>
  <si>
    <t>Tiwi Farmers Association</t>
  </si>
  <si>
    <t>Tiwi, Barotac Nuevo, ILOILO</t>
  </si>
  <si>
    <t>PD Monfort North Irrigators' Association, Inc.</t>
  </si>
  <si>
    <t>Pd Monfort North (Lublub), Dumangas, ILOILO</t>
  </si>
  <si>
    <t>AGSARALO-IPROG FARMERS ASSOCIATION</t>
  </si>
  <si>
    <t>, San Enrique, ILOILO</t>
  </si>
  <si>
    <t>Compo Farmers Association</t>
  </si>
  <si>
    <t>Compo, San Enrique, ILOILO</t>
  </si>
  <si>
    <t>ASOSASYON SNG MANGUGUMA SA POBLACION</t>
  </si>
  <si>
    <t>Poblacion, Ajuy, ILOILO</t>
  </si>
  <si>
    <t>BARANGAY TIPACLA FARMERS ASSOCIATION</t>
  </si>
  <si>
    <t>Tipacla, Ajuy, ILOILO</t>
  </si>
  <si>
    <t>Alapasco Bulak Sur Irrigators' Service Association Inc.</t>
  </si>
  <si>
    <t>Bulak Sur, Batad, ILOILO</t>
  </si>
  <si>
    <t>Milan Farmers Association</t>
  </si>
  <si>
    <t>Milan, Lemery, ILOILO</t>
  </si>
  <si>
    <t>Municipal Local Government Unit of San Rafael</t>
  </si>
  <si>
    <t>Poblacion, San Rafael, ILOILO</t>
  </si>
  <si>
    <t>Pasig Integrated Farmers Association</t>
  </si>
  <si>
    <t>Pasig, Sara, ILOILO</t>
  </si>
  <si>
    <t>THE FARMERS OF LUNA AGRICULTURE COOPERATIVE</t>
  </si>
  <si>
    <t>Centro 2, Luna, Isabela</t>
  </si>
  <si>
    <t>BARANGAY CABANNUNGAN FARMERS ASSOCIATION</t>
  </si>
  <si>
    <t>Cabannungan 2nd, City of Ilagan, Isabela</t>
  </si>
  <si>
    <t>SAN MACARIO FARMER'S ASSOCIATION</t>
  </si>
  <si>
    <t>San Macario, Delfin Albano, ISABELA</t>
  </si>
  <si>
    <t>BARUMBONG IRRIGATORS ASSOCIATION INC.</t>
  </si>
  <si>
    <t>Barumbong, Santo Tomas, ISABELA</t>
  </si>
  <si>
    <t>MALLALATANG GRANDE AND VILLADOR FARMERS ASSOCIATION</t>
  </si>
  <si>
    <t>Villador, Reina Mercedes, ISABELA</t>
  </si>
  <si>
    <t>Sto Tomas MMC Irrigators Association , Inc</t>
  </si>
  <si>
    <t>Santo Tomas, Alicia, ISABELA</t>
  </si>
  <si>
    <t>STA. ISABEL FARMERS ASSOCIATION</t>
  </si>
  <si>
    <t>Santa Isabel, Jones, ISABELA</t>
  </si>
  <si>
    <t>Salay Farmers Association (SFA)</t>
  </si>
  <si>
    <t>Salay, San Agustin, ISABELA</t>
  </si>
  <si>
    <t>KALAUKAN IRRIGATORS ASSOCIATION, INC.</t>
  </si>
  <si>
    <t>Cullalabo San Antonio, Burgos, ISABELA</t>
  </si>
  <si>
    <t>ORTIZ BUMA-A IRRIGATORS ASSOCIATION, INC.</t>
  </si>
  <si>
    <t>Samonte (Pob.), Quezon, ISABELA</t>
  </si>
  <si>
    <t>CARIZ IRRIGATORS ASSOCIATION, INC.</t>
  </si>
  <si>
    <t>Camaal, Quirino, ISABELA</t>
  </si>
  <si>
    <t>D4-SAGUDAY IRRIGATORS ASSOCIATION, INC.</t>
  </si>
  <si>
    <t>Pinoma, Cauayan City, ISABELA</t>
  </si>
  <si>
    <t>SADIRI IRRIGATORS ASSOCIATION, INC.</t>
  </si>
  <si>
    <t>Santa Monica, Echague, ISABELA</t>
  </si>
  <si>
    <t>CALANIGAN SUR FARMERS ASSOCIATION</t>
  </si>
  <si>
    <t>Calanigan Sur, Santo Tomas, ISABELA</t>
  </si>
  <si>
    <t>RANG-AY FARMERS IRRIGATORS' ASSOCIATION, INC.</t>
  </si>
  <si>
    <t>Arcon, Tumauini, ISABELA</t>
  </si>
  <si>
    <t>UGAD-SAN MATEO FARMERS IRRIGATORS' ASSOCIATION, INC.</t>
  </si>
  <si>
    <t>Ugad, Tumauini, ISABELA</t>
  </si>
  <si>
    <t>UPI FARMERS IRRIGATORS ASSOCIATION, INC.</t>
  </si>
  <si>
    <t>Upi, Gamu, ISABELA</t>
  </si>
  <si>
    <t>PAYOGA/KAPATAGAN MULTI-PURPOSE COOPERATIVE</t>
  </si>
  <si>
    <t>Guibang, Gamu, ISABELA</t>
  </si>
  <si>
    <t>TANDUL PILOT IRRIGATORS ASSOCIATION, INC.</t>
  </si>
  <si>
    <t>Tandul, Cabatuan, ISABELA</t>
  </si>
  <si>
    <t>KABALIKAT IRRIGATORS ASSOCIATION, INC.</t>
  </si>
  <si>
    <t>Rizaluna (Rizaluna Oeste), Cordon, ISABELA</t>
  </si>
  <si>
    <t>BANDUS IRRIGATORS ASSOCIATION, INC.</t>
  </si>
  <si>
    <t>Divisoria, Santiago City, ISABELA</t>
  </si>
  <si>
    <t>SAN JOSE SUR FARMERS IRRIGATORS ASSOCIATION, INC.</t>
  </si>
  <si>
    <t>San Jose Sur, Mallig, ISABELA</t>
  </si>
  <si>
    <t>SOLID ALLIANCE OF NEIGHBORS FOR DEVELOPMENT THROUGH IRRIGATOS ASSOCIATION AND TECHNOLOGY (SANDIAT) COUNCIL OF IRRIGATORS ASSOCIATION, INC.</t>
  </si>
  <si>
    <t>District 1 (Pob.), San Manuel (Callang), ISABELA</t>
  </si>
  <si>
    <t>VILLA DY IRRIGATORS ASSOCIATION, INC.</t>
  </si>
  <si>
    <t>Alinam, Cauayan City, ISABELA</t>
  </si>
  <si>
    <t>Echague Development Cooperative</t>
  </si>
  <si>
    <t>Silauan Norte (Pob.), Echague, ISABELA</t>
  </si>
  <si>
    <t>BALUARTE-AURORA IRRIGATORS ASSOCIATION, INC.</t>
  </si>
  <si>
    <t>Ballesteros, Aurora, ISABELA</t>
  </si>
  <si>
    <t>Isabela Seeds Growers Multi-Purpose Cooperative</t>
  </si>
  <si>
    <t>GRUPO MANNALON AGRICULTURE COOPERATIVE</t>
  </si>
  <si>
    <t>Rosario, Santiago City, ISABELA</t>
  </si>
  <si>
    <t>Tumauini Ammianan Farmers Irrigators' Association Inc.</t>
  </si>
  <si>
    <t>, San Vicente, Isabela</t>
  </si>
  <si>
    <t>CASILAGAN-BALACONG IRRIGATORS' ASSOCIATION, INC.</t>
  </si>
  <si>
    <t>Cabeseria 14 and 16 (Casilagan), Ilagan City, ISABELA</t>
  </si>
  <si>
    <t>Marcos Ventures masaganang ani Isabela Agriculture Cooperative (MVMAIAC)</t>
  </si>
  <si>
    <t>Arellano (Pob.), Quezon, ISABELA</t>
  </si>
  <si>
    <t>GUMAWISAN MAPACO FARMERS ASSOCIATION</t>
  </si>
  <si>
    <t>Mapaco, Pinukpuk, KALINGA</t>
  </si>
  <si>
    <t>Mannalon ti Babalag West Farmers Association</t>
  </si>
  <si>
    <t>Babalag West (Pob.), Rizal (Liwan), KALINGA</t>
  </si>
  <si>
    <t>LIWAN EAST FARMERS ASSOCIATION</t>
  </si>
  <si>
    <t>Liwan East, Rizal (Liwan), KALINGA</t>
  </si>
  <si>
    <t>Holy Trinity Cathedral Multipurpose Cooperative</t>
  </si>
  <si>
    <t>Bulanao, Tabuk City, KALINGA</t>
  </si>
  <si>
    <t>Manggawa farmers Environmental Development Association</t>
  </si>
  <si>
    <t>New Tanglag, Tabuk City, KALINGA</t>
  </si>
  <si>
    <t>Marapi-Abaggoy Credit Cooperative</t>
  </si>
  <si>
    <t>Bulo, Tabuk City, KALINGA</t>
  </si>
  <si>
    <t>PUR Credit Cooperative</t>
  </si>
  <si>
    <t>Dilag, Tabuk City, KALINGA</t>
  </si>
  <si>
    <t>SAGPAT FARMERS ASSOCIATION</t>
  </si>
  <si>
    <t>Appas, Tabuk City, KALINGA</t>
  </si>
  <si>
    <t>ANDARAYAN CANTOR SMALL WATER IRRIGATION SYSTEM ASSOCIATION</t>
  </si>
  <si>
    <t>SANTOR, RIZAL., KALINGA</t>
  </si>
  <si>
    <t>TABESUMA CHA ASSOCIATION</t>
  </si>
  <si>
    <t>Lacnog West, Tabuk City, KALINGA</t>
  </si>
  <si>
    <t>Tabuk Farmers Multipurpose Cooperative</t>
  </si>
  <si>
    <t>Casigayan, Tabuk City, KALINGA</t>
  </si>
  <si>
    <t>Aluminit-Santor Farmers Irrigators Association Inc. (ASFIA)</t>
  </si>
  <si>
    <t>Santor, Rizal (Liwan), KALINGA</t>
  </si>
  <si>
    <t>RANG-AY SAN QUINTIN FARMERS ASSOCIATION</t>
  </si>
  <si>
    <t>San Quintin, Rizal (Liwan), KALINGA</t>
  </si>
  <si>
    <t>Agriing Kayu Farmers Irrigators Association</t>
  </si>
  <si>
    <t>Laya West, Tabuk City, KALINGA</t>
  </si>
  <si>
    <t>CATAO PAGBIAGAN ASSOCIATION FOR DEVELOPMENT</t>
  </si>
  <si>
    <t>Laya East, Tabuk City, KALINGA</t>
  </si>
  <si>
    <t>CATAO-NAMBARAN FARMERS IRRIGATORS
  ASSOCIATION INC.</t>
  </si>
  <si>
    <t>Nambaran, Tabuk City, KALINGA</t>
  </si>
  <si>
    <t>MEN GAWISAN NAN IGOROT ED CALALIGAN FARMERS ASSOCIATION</t>
  </si>
  <si>
    <t>Masablang, Tabuk City, KALINGA</t>
  </si>
  <si>
    <t>SUCOC SUR FARMERS AND FISHERFOLKS ASSOCIATION INC.</t>
  </si>
  <si>
    <t>Sucoc Sur, Luna, LA UNION</t>
  </si>
  <si>
    <t>PANAGDUR-AS TI MANNALON KEN MANGANGALAP TI BARAOAS NORTE ASSOCIATION INC.</t>
  </si>
  <si>
    <t>Lioac Sur, Naguilian, LA UNION</t>
  </si>
  <si>
    <t>Cabaroan Agricultural Multi Purpose Cooperative</t>
  </si>
  <si>
    <t>Cabaroan, Bacnotan, LA UNION</t>
  </si>
  <si>
    <t>Nangalisan Multi Purpose Cooperative Inc.</t>
  </si>
  <si>
    <t>Nangalisan, Bacnotan, LA UNION</t>
  </si>
  <si>
    <t>Pagbennecan Agriculture and Fisheries Association (PAFA)</t>
  </si>
  <si>
    <t>Pagbennecan, Balaoan, LA UNION</t>
  </si>
  <si>
    <t>SINAPANGAN FARMERS IRRIGATORS ASSOCIATION OF BALAOAN, LA UNION, INC.</t>
  </si>
  <si>
    <t>Sinapangan Norte, Balaoan, LA UNION</t>
  </si>
  <si>
    <t>LUZONG NORTE TOBACCO AND RICE FARMERS ASSOCIATION INC.</t>
  </si>
  <si>
    <t>Luzong Norte, Bangar, LA UNION</t>
  </si>
  <si>
    <t>BARANGAY BUSELBUSEL FARMERS ASSOCIATION INC.</t>
  </si>
  <si>
    <t>Buselbusel, Luna, LA UNION</t>
  </si>
  <si>
    <t>BANCAGAN NAGUILIAN IRRIGATORS ASOCIATION INC.</t>
  </si>
  <si>
    <t>Bancagan, Naguilian, LA UNION</t>
  </si>
  <si>
    <t>CARUNOAN WEST ROSARIO LA UNION IRRIGATORS ASSOCIATION INC.</t>
  </si>
  <si>
    <t>Carunuan West, Rosario, LA UNION</t>
  </si>
  <si>
    <t>SWISA VILA ROSARIO LA UNION INC.</t>
  </si>
  <si>
    <t>Vila, Rosario, LA UNION</t>
  </si>
  <si>
    <t>Anduyan Multipurpose Cooperative</t>
  </si>
  <si>
    <t>Anduyan, Tubao, LA UNION</t>
  </si>
  <si>
    <t>BUGBUGCAO IRRIGATORS ASSOCIATION INC.</t>
  </si>
  <si>
    <t>BUGBUGCAO, SAN JUAN, LA UNION</t>
  </si>
  <si>
    <t>TUBUAN-TANZA IRRIGATORS ASSOCIATION, INC.</t>
  </si>
  <si>
    <t>TUBUAN, PILA, LAGUNA</t>
  </si>
  <si>
    <t>PILA LAGUNA AGRICULTURE COOPERATIVE (PILAC)</t>
  </si>
  <si>
    <t>PANSOL, PILA, LAGUNA</t>
  </si>
  <si>
    <t>STO. DOMINGO-MAITIM IRRIGATORS ASSOCIATION, INC.</t>
  </si>
  <si>
    <t>MAITIM, BAY, LAGUNA</t>
  </si>
  <si>
    <t>BAGONG SAMAHAN NG MAGSASAKA NG PILA, LAGUNA, INC.</t>
  </si>
  <si>
    <t>STA CLARA SUR, PILA, LAGUNA</t>
  </si>
  <si>
    <t>BANCA-BANCA, SAN FRANCISCO, SAN FELIX, SAN ROQUE IRRIGATORS ASSOCIATION, INC.</t>
  </si>
  <si>
    <t>SAN FRANCISCO, VICTORIA, LAGUNA</t>
  </si>
  <si>
    <t>Municipal Local Government Unit of Cavinti</t>
  </si>
  <si>
    <t>Poblacion, Cavinti, Laguna</t>
  </si>
  <si>
    <t>Municipal Local Government Unit of Kalayaan</t>
  </si>
  <si>
    <t>San Juan, Kalayaan, Laguna</t>
  </si>
  <si>
    <t>SAMAHAN NG MAGSASAKA NG BARANGAY NANGUMA (SAMABANA)</t>
  </si>
  <si>
    <t>Nanguma, Mabitac, Laguna</t>
  </si>
  <si>
    <t>SAMAHANG MAGPAPATUBIG NG DAMBO-ASUFRE PANGIL, LAGUNA INC.</t>
  </si>
  <si>
    <t>Dambo, Pangil, Laguna</t>
  </si>
  <si>
    <t>STA. CRUZ RIVER IRRIGATION SYSTEM IRRIGATORS ASSOCIATION, INC.</t>
  </si>
  <si>
    <t>Gatid, Santa Cruz, Laguna</t>
  </si>
  <si>
    <t>BAGUMBAYAN ORGANIC FARMER’S ASSOCIATION</t>
  </si>
  <si>
    <t>Bagumbayan, Santa Maria, Laguna</t>
  </si>
  <si>
    <t>BANGYAS-SANTOL IRRIGATORS' ASSOCIATION, INC.</t>
  </si>
  <si>
    <t>Bangyas, Calauan, LAGUNA</t>
  </si>
  <si>
    <t>Municipal Local Government of Mabitac</t>
  </si>
  <si>
    <t>Nanguma, Mabitac, LAGUNA</t>
  </si>
  <si>
    <t>Paagahan Farmers Irrigators Association, Inc.</t>
  </si>
  <si>
    <t>Paagahan, Mabitac, LAGUNA</t>
  </si>
  <si>
    <t>Municipal Local Government of Pagsanjan</t>
  </si>
  <si>
    <t>Barangay I (Pob.), Pagsanjan, LAGUNA</t>
  </si>
  <si>
    <t>Duhat Farmers Association</t>
  </si>
  <si>
    <t>Duhat, Santa Cruz, LAGUNA</t>
  </si>
  <si>
    <t>Malinao Farmer Association</t>
  </si>
  <si>
    <t>Malinao, Santa Cruz, LAGUNA</t>
  </si>
  <si>
    <t>Coralan Agrarian Reform Cooperative (CARC)</t>
  </si>
  <si>
    <t>Coralan, Santa Maria, LAGUNA</t>
  </si>
  <si>
    <t>Municipal Local Government Unit of Siniloan</t>
  </si>
  <si>
    <t>Wawa, Siniloan, LAGUNA</t>
  </si>
  <si>
    <t>BRGY. LAMOT II IRRIGATORS' SERVICE ASSOCIATION, INC.</t>
  </si>
  <si>
    <t>Lamot 2, Calauan, LAGUNA</t>
  </si>
  <si>
    <t>BARANGAY BIÑAN MULTI-CROPS AND LIVESTOCK FARMERS ASSOCIATION (BBMCLFA)</t>
  </si>
  <si>
    <t>Biñan, Pagsanjan, LAGUNA</t>
  </si>
  <si>
    <t>Top Herbalist Agriculture Cooperative</t>
  </si>
  <si>
    <t>Cabanbanan, Pagsanjan, LAGUNA</t>
  </si>
  <si>
    <t>ASOSASYON NG MAGBUBUKID NG GATID, INC.</t>
  </si>
  <si>
    <t>Gatid, Santa Cruz, LAGUNA</t>
  </si>
  <si>
    <t>BALIKATAN</t>
  </si>
  <si>
    <t>San Pablo Sur, Santa Cruz, LAGUNA</t>
  </si>
  <si>
    <t>PATIMBAO-PALASAN FARMERS ASSOCIATION</t>
  </si>
  <si>
    <t>Patimbao, Santa Cruz, LAGUNA</t>
  </si>
  <si>
    <t>Inayapan Farmers Association</t>
  </si>
  <si>
    <t>Inayapan, Santa Maria, LAGUNA</t>
  </si>
  <si>
    <t>Masinao Farmers Association</t>
  </si>
  <si>
    <t>Masinao, Santa Maria, LAGUNA</t>
  </si>
  <si>
    <t>Samahan ng Magsasaka ng Calios(SAMACA)</t>
  </si>
  <si>
    <t>Calios, Santa Cruz, LAGUNA</t>
  </si>
  <si>
    <t>BUGHO FARMERS ASSOCIATION</t>
  </si>
  <si>
    <t>Bugho, Alangalang, LEYTE</t>
  </si>
  <si>
    <t>MUNICIPAL LOCAL GOVERNMENT UNIT OF ALANGALANG</t>
  </si>
  <si>
    <t>Santo Niño (Pob.), Alangalang, LEYTE</t>
  </si>
  <si>
    <t>SANMAGBA IRRIGATOR'S ASSOCIATION</t>
  </si>
  <si>
    <t>San Diego, Alangalang, LEYTE</t>
  </si>
  <si>
    <t>INTEGRATED BARANGAYS OF TOLOSA LEYTE IRRIGATORS ASSOCIATION INC.</t>
  </si>
  <si>
    <t>Telegrafo, Tolosa, LEYTE</t>
  </si>
  <si>
    <t>NEWCD45 IRRIGATORS' ASSOCIATION, INC.</t>
  </si>
  <si>
    <t>Poblacion Dist. VI (New Road), Barugo, LEYTE</t>
  </si>
  <si>
    <t>MUNICIPAL LOCAL GOVERNMENT UNIT OF DULAG</t>
  </si>
  <si>
    <t>Buntay (Pob.), Dulag, LEYTE</t>
  </si>
  <si>
    <t>SITIO BAGANG UNITED FARMERS ASSOCIATION</t>
  </si>
  <si>
    <t>Cabacungan, Dulag, LEYTE</t>
  </si>
  <si>
    <t>TIGBAO-BOLONGTOHAN IRRIGATORS' ASSOCIATION, INC.</t>
  </si>
  <si>
    <t>Tigbao, Dulag, LEYTE</t>
  </si>
  <si>
    <t>SAN ROQUE-GITABLA IRRIGATORS' ASSOCIATION, INC.</t>
  </si>
  <si>
    <t>Gitabla, Julita, LEYTE</t>
  </si>
  <si>
    <t>PASAKAY-ASTORGA-SAN PEDRO-AMAHIT-CAN-ISAK IRRIGATORS ASSOCIATION (PASACA IA), INC.</t>
  </si>
  <si>
    <t>San Pedro, Tunga, LEYTE</t>
  </si>
  <si>
    <t>Calaguise Agriculture Cooperative</t>
  </si>
  <si>
    <t>Calaguise, Leyte, LEYTE</t>
  </si>
  <si>
    <t>GUINTAGBUCAN FARMERS ASSOCIATION</t>
  </si>
  <si>
    <t>Guintagbucan (Pob.), Abuyog, LEYTE</t>
  </si>
  <si>
    <t>LIBERTAD PROGRESSIVE AGRICULTURAL FARMERS ASSOCIATION (LPAFA)</t>
  </si>
  <si>
    <t>Libertad, Abuyog, LEYTE</t>
  </si>
  <si>
    <t>MAGKANTA IRRIGATORS' ASSOCIATION, INC.</t>
  </si>
  <si>
    <t>Magnangoy, Hilongos, LEYTE</t>
  </si>
  <si>
    <t>Municipal Local Government Unit of Matalom</t>
  </si>
  <si>
    <t>Santo Niño (Pob.), Matalom, LEYTE</t>
  </si>
  <si>
    <t>Balud Farmers and Fisherfolks Association INC</t>
  </si>
  <si>
    <t>Ilaya, Balud, MASBATE</t>
  </si>
  <si>
    <t>San Andres Farmers Association INC</t>
  </si>
  <si>
    <t>San Andres (Quinayangan Dacu), Balud, MASBATE</t>
  </si>
  <si>
    <t>Municipal Local Government Unit of Mandaon</t>
  </si>
  <si>
    <t>Poblacion, Mandaon, MASBATE</t>
  </si>
  <si>
    <t>Pawa Rice Farmers Association</t>
  </si>
  <si>
    <t>Pawa, Masbate City, MASBATE</t>
  </si>
  <si>
    <t>Municipal Local Government Unit of Mobo</t>
  </si>
  <si>
    <t>Poblacion Dist. I, Mobo, MASBATE</t>
  </si>
  <si>
    <t>ASSOCIATED CAWAYAN FARMERS FOR RICE COMMERCIALIZATION ENHANCEMENT (ACAF-RICE)</t>
  </si>
  <si>
    <t>Malbug, Cawayan, MASBATE</t>
  </si>
  <si>
    <t>Cabayugan Farmers Association</t>
  </si>
  <si>
    <t>Cabayugan, Cawayan, MASBATE</t>
  </si>
  <si>
    <t>CALUMPANG FARMER'S ORGANIZATION (CAFO)</t>
  </si>
  <si>
    <t>Calumpang, Cawayan, MASBATE</t>
  </si>
  <si>
    <t>LIBERTAD CAWAYAN AGRARIAN REFORM COOPERATIVE</t>
  </si>
  <si>
    <t>Libertad, Cawayan, MASBATE</t>
  </si>
  <si>
    <t>Panan-awan Farmers Association</t>
  </si>
  <si>
    <t>Pananawan, Cawayan, MASBATE</t>
  </si>
  <si>
    <t>PIN-AS FARMERS ASSOCIATION</t>
  </si>
  <si>
    <t>Pin-As, Cawayan, MASBATE</t>
  </si>
  <si>
    <t>PULOT ACTIVE LIVELIHOOD ORGANIZATION (PAFLO)</t>
  </si>
  <si>
    <t>Pulot, Cawayan, MASBATE</t>
  </si>
  <si>
    <t>R.M MAGBALON FARMERS ASSOCIATION</t>
  </si>
  <si>
    <t>R.M. Magbalon (Bebinan), Cawayan, MASBATE</t>
  </si>
  <si>
    <t>TABERNA RICE FARMERS ASSOCIATION</t>
  </si>
  <si>
    <t>Taberna, Cawayan, MASBATE</t>
  </si>
  <si>
    <t>Municipal Local Government Unit of Dimasalang</t>
  </si>
  <si>
    <t>Gregorio Alino (Pia-ong), Dimasalang, MASBATE</t>
  </si>
  <si>
    <t>CANDELARIA USON FARMERS AGRARIAN REFORM COOPERATIVE</t>
  </si>
  <si>
    <t>Candelaria, Uson, MASBATE</t>
  </si>
  <si>
    <t>HACIENDEROS AGRARIAN REFORM COOPERATIVE</t>
  </si>
  <si>
    <t>Tabunan, Bago City, NEGROS OCCIDENTAL</t>
  </si>
  <si>
    <t>KATILINGBAN DULAO IRRIGATORS' ASSOCIATION, INC.</t>
  </si>
  <si>
    <t>Dulao, Bago City, NEGROS OCCIDENTAL</t>
  </si>
  <si>
    <t>MARCEL DEL PILAR FARMERS ASSOCIATION (MDPILFA)</t>
  </si>
  <si>
    <t>M. H. Del Pilar, Pontevedra, NEGROS OCCIDENTAL</t>
  </si>
  <si>
    <t>CALUBANG FARMERS CLUSTER ASSOCIATION</t>
  </si>
  <si>
    <t>Calubang, Ilog, NEGROS OCCIDENTAL</t>
  </si>
  <si>
    <t>KABANKALAN CITY, BRGY. LINAO FARMERS IRRIGATORS' ASSOCIATION, INC</t>
  </si>
  <si>
    <t>Linao, Kabankalan City, NEGROS OCCIDENTAL</t>
  </si>
  <si>
    <t>Alianza-Rufina Farmers Irrigators' Association, Inc.</t>
  </si>
  <si>
    <t>Alianza, Bago City, NEGROS OCCIDENTAL</t>
  </si>
  <si>
    <t>Brgy. Bagroy Farmers Irrigators' Association, Inc.</t>
  </si>
  <si>
    <t>Bagroy, Bago City, NEGROS OCCIDENTAL</t>
  </si>
  <si>
    <t>Calumangan Integrated Farmers and Farm workers Association (CALIFWA)</t>
  </si>
  <si>
    <t>Calumangan, Bago City, NEGROS OCCIDENTAL</t>
  </si>
  <si>
    <t>Lacbama Hills Irrigators' Association, Inc.</t>
  </si>
  <si>
    <t>Tabao Rizal Farmers Association</t>
  </si>
  <si>
    <t>Tabao Rizal, San Enrique, NEGROS OCCIDENTAL</t>
  </si>
  <si>
    <t>LACAPA Irrigators' Association, Inc.</t>
  </si>
  <si>
    <t>Lacaron, Valladolid, NEGROS OCCIDENTAL</t>
  </si>
  <si>
    <t>Mag-inugyon Farmers Irrigators' Association, Inc.</t>
  </si>
  <si>
    <t>Mabini, Valladolid, NEGROS OCCIDENTAL</t>
  </si>
  <si>
    <t>Pacol Himaya Irrigators' Association, Inc.</t>
  </si>
  <si>
    <t>Alijis, Valladolid, NEGROS OCCIDENTAL</t>
  </si>
  <si>
    <t>Pukawabi Irrigators' Association, Inc.</t>
  </si>
  <si>
    <t>Batuan, Valladolid, NEGROS OCCIDENTAL</t>
  </si>
  <si>
    <t>Municipal Local Government Unit of Binalbagan</t>
  </si>
  <si>
    <t>San Pedro (Pob.), Binalbagan, NEGROS OCCIDENTAL</t>
  </si>
  <si>
    <t>RAJAL-STO.TOMAS IRRIGATORS' ASSOCIATION, INC.</t>
  </si>
  <si>
    <t>Santo Tomas, Aliaga, NUEVA ECIJA</t>
  </si>
  <si>
    <t>BAGONG SILANG BAGONG PAG-ASA IRRIGATORS ASSOCIATION</t>
  </si>
  <si>
    <t>San Pablo Bata, Aliaga, NUEVA ECIJA</t>
  </si>
  <si>
    <t>APO SENYONG FARMERS ASSOCIATION</t>
  </si>
  <si>
    <t>Vega, Bongabon, NUEVA ECIJA</t>
  </si>
  <si>
    <t>MAGSASAKA NG BRGY. SANTOR IRRIGATORS ASSOCIATION INC</t>
  </si>
  <si>
    <t>Santor, Bongabon, NUEVA ECIJA</t>
  </si>
  <si>
    <t>Bagong Pag-asa Larcon Farmers Association</t>
  </si>
  <si>
    <t>Larcon, Bongabon, NUEVA ECIJA</t>
  </si>
  <si>
    <t>BARANGAY BAGONG SIKAT FARMERS ASSOCIATION</t>
  </si>
  <si>
    <t>Bagong Sikat, Cabanatuan City, NUEVA ECIJA</t>
  </si>
  <si>
    <t>BAGONG BUHAY, FARMERS ASSOCIATION, INC.</t>
  </si>
  <si>
    <t>BAGONG BUHAY, CABANATUAN CITY, NUEVA ECIJA</t>
  </si>
  <si>
    <t>Magandang Buhay ng Samon Agriculture Cooperative</t>
  </si>
  <si>
    <t>Samon, Cabanatuan City, NUEVA ECIJA</t>
  </si>
  <si>
    <t>City Local Government Unit of Cabanatuan</t>
  </si>
  <si>
    <t>Kapitan Pepe (Pob.), Cabanatuan City, NUEVA ECIJA</t>
  </si>
  <si>
    <t>Barangay Local Government Unit of Communal</t>
  </si>
  <si>
    <t>Communal, Cabanatuan City, NUEVA ECIJA</t>
  </si>
  <si>
    <t>KAPATIRAN FARMERS ASSOCIATION</t>
  </si>
  <si>
    <t>Pangatian, Cabanatuan City, NUEVA ECIJA</t>
  </si>
  <si>
    <t>Nueva Ecija Maunlad na Pinas Agriculture Cooperative</t>
  </si>
  <si>
    <t>Dicarma (Pob.), Cabanatuan City, NUEVA ECIJA</t>
  </si>
  <si>
    <t>KANDAMPOL FARMERS IRRIGATORS ASSOCIATION, INC.</t>
  </si>
  <si>
    <t>Santa Isabel, Cabiao, NUEVA ECIJA</t>
  </si>
  <si>
    <t>PINAGPALA IRRIGATORS' ASSOCIATION, INC.</t>
  </si>
  <si>
    <t>San Fernando Norte, Cabiao, NUEVA ECIJA</t>
  </si>
  <si>
    <t>Masikap Farmers and Farm Workers Association</t>
  </si>
  <si>
    <t>San Fernando Norte, Cabiao, Nueva Ecija</t>
  </si>
  <si>
    <t>SITIO TUBONG UPLAND FARMERS ASSOCIATION INC.</t>
  </si>
  <si>
    <t>Bunga, Carranglan, NUEVA ECIJA</t>
  </si>
  <si>
    <t>KADANGDANGLAAN FARMERS ASSOCIATION, INC.</t>
  </si>
  <si>
    <t>General Luna, Carranglan, NUEVA ECIJA</t>
  </si>
  <si>
    <t>Farmers League Agriculture Cooperative</t>
  </si>
  <si>
    <t>Nagmisahan, Cuyapo, NUEVA ECIJA</t>
  </si>
  <si>
    <t>NAGMISAHAN FARMERS ASSOCIATION</t>
  </si>
  <si>
    <t>Sabit Agricultural Cooperative (SACO)</t>
  </si>
  <si>
    <t>, Cuyapo, NUEVA ECIJA</t>
  </si>
  <si>
    <t>Baloy Agriculture Cooperative (BAC)</t>
  </si>
  <si>
    <t>Baloy, Cuyapo, NUEVA ECIJA</t>
  </si>
  <si>
    <t>Novaliches Development Cooperative (NOVADECI)</t>
  </si>
  <si>
    <t>Tagtagumbao, Cuyapo, NUEVA ECIJA</t>
  </si>
  <si>
    <t>PANTOC FARMER'S ASSOCIATION</t>
  </si>
  <si>
    <t>Pantoc, Gabaldon, NUEVA ECIJA</t>
  </si>
  <si>
    <t>SAMAHANG MAGSASAKA NA MAY IISANG LAYUNIN AT ADHIKAIN</t>
  </si>
  <si>
    <t>Bugnan, Gabaldon, NUEVA ECIJA</t>
  </si>
  <si>
    <t>Barangay Local Government Unit of Camachile</t>
  </si>
  <si>
    <t>Camachile, Gabaldon, NUEVA ECIJA</t>
  </si>
  <si>
    <t>Rice, Vegetable, Corn &amp; Onion Farmers Association</t>
  </si>
  <si>
    <t>Bitulok (North Pob.), Gabaldon, NUEVA ECIJA</t>
  </si>
  <si>
    <t>MARELO FARMERS IRRIGATORS ASSOCIATION INC.</t>
  </si>
  <si>
    <t>Marelo, Gapan City, NUEVA ECIJA</t>
  </si>
  <si>
    <t>Nag-iisang Masikap Primary Multipurpose Cooperative</t>
  </si>
  <si>
    <t>Balangkare Sur, General Mamerto Natividad, NUEVA ECIJA</t>
  </si>
  <si>
    <t>PITANOR FARMERS IRRIGATORS ASSOCIATION, INC.</t>
  </si>
  <si>
    <t>Poblacion, General Mamerto Natividad, NUEVA ECIJA</t>
  </si>
  <si>
    <t>MUNICIPAL LOCAL GOVERNMENT UNIT OF GENERAL MAMERTO NATIVIDAD</t>
  </si>
  <si>
    <t>POBLACION, GENERAL MAMERTO NATIVIDAD, NUEVA ECIJA</t>
  </si>
  <si>
    <t>TILIPATIO-GULOD IRRIGATORS ASSOCIATION INC.,</t>
  </si>
  <si>
    <t>Burol, General Mamerto Natividad, NUEVA ECIJA</t>
  </si>
  <si>
    <t>SANTUYO WATER PUMP IRRIGATORS ASSOCIATION INC.</t>
  </si>
  <si>
    <t>Rio Chico, General Tinio, NUEVA ECIJA</t>
  </si>
  <si>
    <t>PL West Irrigators Association Inc.</t>
  </si>
  <si>
    <t>BATOG IRRRIGATORS ASSOCIATION INC.</t>
  </si>
  <si>
    <t>PINAGBUKLOD NG SAMAHAN NG SAPANG BUO</t>
  </si>
  <si>
    <t>Concepcion, General Tinio, NUEVA ECIJA</t>
  </si>
  <si>
    <t>SAMAHANG MAGSASAKA NG BARANGAY LENNEC</t>
  </si>
  <si>
    <t>Lennec, Guimba, NUEVA ECIJA</t>
  </si>
  <si>
    <t>YESHUA RICE AND VEGETABLES GROWERS ASSOCIATION OF STA. CRUZ</t>
  </si>
  <si>
    <t>Santa Cruz, Guimba, NUEVA ECIJA</t>
  </si>
  <si>
    <t>BARAGAY SAN MIGUEL FARMERS ASSOCIATION</t>
  </si>
  <si>
    <t>San Miguel, Guimba, NUEVA ECIJA</t>
  </si>
  <si>
    <t>BUNOL UNITED FARMERS IN ADVANCE LIVELIHOOD ORGANIZATION (BUFALO)</t>
  </si>
  <si>
    <t>Bunol, Guimba, NUEVA ECIJA</t>
  </si>
  <si>
    <t>4252300210178397</t>
  </si>
  <si>
    <t>CASONGSONG FARMERS ASSOCIATION</t>
  </si>
  <si>
    <t>Casongsong, Guimba, NUEVA ECIJA</t>
  </si>
  <si>
    <t>Cooperative Enterprise for True Economic Reform</t>
  </si>
  <si>
    <t>Cabaruan, Guimba, NUEVA ECIJA</t>
  </si>
  <si>
    <t>Guimba Seed Growers Agriculture Cooperative</t>
  </si>
  <si>
    <t>Cavite, Guimba, NUEVA ECIJA</t>
  </si>
  <si>
    <t>4252300210179304</t>
  </si>
  <si>
    <t>NARVACAN 1 FARMERS ASSOCIATION</t>
  </si>
  <si>
    <t>Narvacan I, Guimba, NUEVA ECIJA</t>
  </si>
  <si>
    <t>IMPAMACOR IRRIGATORS' ASSOCIATION, INC.</t>
  </si>
  <si>
    <t>Imbunia, Jaen, NUEVA ECIJA</t>
  </si>
  <si>
    <t>KALAMBA IRRIGATORS ASSOCIATION, INC.</t>
  </si>
  <si>
    <t>Calabasa, Jaen, NUEVA ECIJA</t>
  </si>
  <si>
    <t>STA. RITA FARMERS IRRIGATORS ASSOCIATION, INC.</t>
  </si>
  <si>
    <t>Santa Rita, Jaen, NUEVA ECIJA</t>
  </si>
  <si>
    <t>Samahang Magsasaka ng Imbunia Agriculture Cooperative (SM IMBUNIA AGRI. COOP)</t>
  </si>
  <si>
    <t>Imbunia, Jaen, Nueva Ecija</t>
  </si>
  <si>
    <t>Casa Real Primary Multipurpose Cooperative</t>
  </si>
  <si>
    <t>San Isidro, Laur, NUEVA ECIJA</t>
  </si>
  <si>
    <t>SAN VICENTE-ALINTUTUAN IRRIGATORS ASSOCIATION INC.</t>
  </si>
  <si>
    <t>San Vicente, Laur, NUEVA ECIJA</t>
  </si>
  <si>
    <t>MUNICIPAL LOCAL GOVERNMENT OF LAUR</t>
  </si>
  <si>
    <t>Barangay III (Pob.), Laur, NUEVA ECIJA</t>
  </si>
  <si>
    <t>Golden Valley Agriculture Cooperative</t>
  </si>
  <si>
    <t>SAN CRISTOBAL FARMERS IRRIGATORS' ASSOCIATION, INC.</t>
  </si>
  <si>
    <t>San Cristobal, Licab, NUEVA ECIJA</t>
  </si>
  <si>
    <t>CASMINALUN IRRIGATORS' ASSOCIATION, INC.</t>
  </si>
  <si>
    <t>Casile, Llanera, NUEVA ECIJA</t>
  </si>
  <si>
    <t>LURIMADEL IRRIGATORS' ASSOCIATION, INC.</t>
  </si>
  <si>
    <t>General Ricarte, Llanera, NUEVA ECIJA</t>
  </si>
  <si>
    <t>4252300210178389</t>
  </si>
  <si>
    <t>Municipal Local Government Unit of Llanera</t>
  </si>
  <si>
    <t>Victoria, Llanera, NUEVA ECIJA</t>
  </si>
  <si>
    <t>SANFELBIAG IRRIGATORS ASSOCIATION, INC.</t>
  </si>
  <si>
    <t>Bagumbayan (Pob.), Llanera, NUEVA ECIJA</t>
  </si>
  <si>
    <t>8890660690242519</t>
  </si>
  <si>
    <t>4252300210178363</t>
  </si>
  <si>
    <t>Balangay of San Fracisco Farmers Association</t>
  </si>
  <si>
    <t>San Francisco, Llanera, NUEVA ECIJA</t>
  </si>
  <si>
    <t>ALALAY GRANDE FARMERS IRRIGATOR ASSOCIATION INC.</t>
  </si>
  <si>
    <t>Alalay Grande, Lupao, NUEVA ECIJA</t>
  </si>
  <si>
    <t>Lupao Pag-ahon Agriculture Cooperative (LPAC)</t>
  </si>
  <si>
    <t>San Antonio Este, Lupao, NUEVA ECIJA</t>
  </si>
  <si>
    <t>Asosasyon ng Magsasaka para sa Kalikasan at Kabuhayan</t>
  </si>
  <si>
    <t>J. U. Tienzo (Arimal), Lupao, NUEVA ECIJA</t>
  </si>
  <si>
    <t>4252300210177605</t>
  </si>
  <si>
    <t>SAN ISIDRO - BALBALUNGAO IRRIGATORS ASSOCIATION INC.</t>
  </si>
  <si>
    <t>Balbalungao, Lupao, NUEVA ECIJA</t>
  </si>
  <si>
    <t>8699066063802228</t>
  </si>
  <si>
    <t>4252300210177662</t>
  </si>
  <si>
    <t>THE BELIEVERS FARMERS ASSOCIATION</t>
  </si>
  <si>
    <t>Agupalo Este, Lupao, NUEVA ECIJA</t>
  </si>
  <si>
    <t>Municipal Local Government Unit of Nampicuan</t>
  </si>
  <si>
    <t>North Poblacion, Nampicuan, NUEVA ECIJA</t>
  </si>
  <si>
    <t>POPOLON FARMERS ASSOCIATION, PALAYAN CITY</t>
  </si>
  <si>
    <t>Popolon Pagas, Palayan City, NUEVA ECIJA</t>
  </si>
  <si>
    <t>Provincial Local Government Unit of Nueva Ecija</t>
  </si>
  <si>
    <t>Singalat, Palayan City, NUEVA ECIJA</t>
  </si>
  <si>
    <t>DILAKAY IRRIGATORS ASSOCIATION INC.</t>
  </si>
  <si>
    <t>Cadaclan, Pantabangan, NUEVA ECIJA</t>
  </si>
  <si>
    <t>SARANAY GANDUZ FARMERS ASSOCIATION</t>
  </si>
  <si>
    <t>Ganduz, Pantabangan, NUEVA ECIJA</t>
  </si>
  <si>
    <t>BINHING BUTIL AGRICULTURAL MAKER ASSOCIATION (BBAMA)</t>
  </si>
  <si>
    <t>, Penaranda, NUEVA ECIJA</t>
  </si>
  <si>
    <t>MUNTING NAYON AGRICULTURAL PRODUCERS ASSOCIATION (MNAPA))</t>
  </si>
  <si>
    <t>PEÑARANDA ORGANIC AGRICULTURE FARMERS ASSOCIATION</t>
  </si>
  <si>
    <t>San Josef, Penaranda, NUEVA ECIJA</t>
  </si>
  <si>
    <t>UNITED LIVESTOCK WORKERS AND AGRICULTURAL PRODUCERS' ASSOCIATION OF PEÑARANDA (ULWAPAP)</t>
  </si>
  <si>
    <t>Poblacion IV, Penaranda, NUEVA ECIJA</t>
  </si>
  <si>
    <t>GOOD FARMERS AGRICULTURE COOPERATIVE</t>
  </si>
  <si>
    <t>Santa Rita, Quezon, NUEVA ECIJA</t>
  </si>
  <si>
    <t>SIASON FARMERS IRRIGATOR'S ASSOCIATION, INC.</t>
  </si>
  <si>
    <t>Municipal Local Government Unit of QUEZON</t>
  </si>
  <si>
    <t>Dulong Bayan, Quezon, Nueva Ecija</t>
  </si>
  <si>
    <t>ILOG BALIWAG-SAN MIGUEL FARMERS ASSOCIATION (ISFA)</t>
  </si>
  <si>
    <t>Ilog Baliwag, Quezon, NUEVA ECIJA</t>
  </si>
  <si>
    <t>KAAGAPAY SA KAUNLARAN SA BAYAN NG QUEZON</t>
  </si>
  <si>
    <t>Doña Lucia, Quezon, NUEVA ECIJA</t>
  </si>
  <si>
    <t>MUNICIPAL LOCAL GOVERNMENT UNIT OF QUEZON</t>
  </si>
  <si>
    <t>, Quezon, NUEVA ECIJA</t>
  </si>
  <si>
    <t>Municipal Local Government Unit of Quezon</t>
  </si>
  <si>
    <t>AGBANNAWAG IRRIGATORS ASSOCIATION, INC</t>
  </si>
  <si>
    <t>Agbannawag, Rizal, NUEVA ECIJA</t>
  </si>
  <si>
    <t>Caloocan Paraiso Agriculture Cooperative</t>
  </si>
  <si>
    <t>Calaocan District, Rizal, NUEVA ECIJA</t>
  </si>
  <si>
    <t>4252300210179189</t>
  </si>
  <si>
    <t>CANAAN WEST FARMERS ASSOCIATION</t>
  </si>
  <si>
    <t>Canaan West, Rizal, NUEVA ECIJA</t>
  </si>
  <si>
    <t>SGRNE FARMERS ASSOCIATION INCORPORATED</t>
  </si>
  <si>
    <t>San Gregorio, Rizal, NUEVA ECIJA</t>
  </si>
  <si>
    <t>4252300210178413</t>
  </si>
  <si>
    <t>MATALADTAD FARMERS IRRIGATORS ASSOCIATION INC.</t>
  </si>
  <si>
    <t>Papaya, San Antonio, NUEVA ECIJA</t>
  </si>
  <si>
    <t>TALAHEBEN IRRIGATORS ASSN. INC.</t>
  </si>
  <si>
    <t>San Francisco, San Antonio, NUEVA ECIJA</t>
  </si>
  <si>
    <t>BIGAYAN SA PAGPAPATUBIG IRRIGATORS' ASSOCIATION, INC.</t>
  </si>
  <si>
    <t>Pulo, San Isidro, NUEVA ECIJA</t>
  </si>
  <si>
    <t>SAMPALUCAN IRRIGATORS ASSOCIATION INC.</t>
  </si>
  <si>
    <t>South Nueva Ecija Seed Growers Multipurpose Cooperative</t>
  </si>
  <si>
    <t>Poblacion, San Isidro, NUEVA ECIJA</t>
  </si>
  <si>
    <t>Masikap Farmers Association</t>
  </si>
  <si>
    <t>Tayabo, San Jose, Nueva Ecija</t>
  </si>
  <si>
    <t>CRISTAMAKITA FARMERS IRRIGATORS' ASSOCIATION, INC</t>
  </si>
  <si>
    <t>Malasin, San Jose City, NUEVA ECIJA</t>
  </si>
  <si>
    <t>SAMAHANG NG LEHITIMONG MAGSASAKA</t>
  </si>
  <si>
    <t>Santo Niño 3rd, San Jose City, NUEVA ECIJA</t>
  </si>
  <si>
    <t>KABUHAYAN UNLAD SA AGRIKULTURA(KUSA)</t>
  </si>
  <si>
    <t>San Agustin, San Jose City, NUEVA ECIJA</t>
  </si>
  <si>
    <t>KALASAG MULTIPURPOSE COOPERATIVE</t>
  </si>
  <si>
    <t>PANGBIYERNES IRRIGATORS ASSOCIATION, INC.</t>
  </si>
  <si>
    <t>Tabuating, San Leonardo, NUEVA ECIJA</t>
  </si>
  <si>
    <t>MUNICIPAL LOCAL GOVERNMENT UNIT OF SAN LEONARDO</t>
  </si>
  <si>
    <t>, San Leonardo, Nueva Ecija</t>
  </si>
  <si>
    <t>BUKLURAN NG MAKABAGONG MASASASAKA NG SAN ANTON</t>
  </si>
  <si>
    <t>San Anton, San Leonardo, NUEVA ECIJA</t>
  </si>
  <si>
    <t>RAJAL CENTRO IRRIGATORS ASSOCIATION, INC.</t>
  </si>
  <si>
    <t>Rajal Centro, Santa Rosa, NUEVA ECIJA</t>
  </si>
  <si>
    <t>Sapang Buhay Agriculture Cooperative</t>
  </si>
  <si>
    <t>Tagpos, Santa Rosa, NUEVA ECIJA</t>
  </si>
  <si>
    <t>KAISAHAN IRRIGATOR'S ASSOCIATION INC.</t>
  </si>
  <si>
    <t>San Fabian, Santo Domingo, NUEVA ECIJA</t>
  </si>
  <si>
    <t>MUNICIPAL LOCAL GOVERNMENT UNIT OF STO. DOMINGO</t>
  </si>
  <si>
    <t>Sagaba, Santo Domingo, NUEVA ECIJA</t>
  </si>
  <si>
    <t>MAKALIGAYA IRRIGATORS ASSOCIATION INC.</t>
  </si>
  <si>
    <t>Maligaya, Science City of Munoz, Nueva Ecija</t>
  </si>
  <si>
    <t>MARAGOL IRRIGATORS ASSOCIATION INC.</t>
  </si>
  <si>
    <t>Maragol, Science City of Munoz, Nueva Ecija</t>
  </si>
  <si>
    <t>TRY ME AGRICULTURE COOPERATIVE (TMAC)</t>
  </si>
  <si>
    <t>Poblacion West, Science City of Munoz, Nueva Ecija</t>
  </si>
  <si>
    <t>Farmers Joint Venture Agriculture Cooperative</t>
  </si>
  <si>
    <t>Linglingay, Science City of Munoz, NUEVA ECIJA</t>
  </si>
  <si>
    <t>LOCAL GOVERNMENT UNIT OF SCIENCE CITY OF MUÑOZ</t>
  </si>
  <si>
    <t>Poblacion West, Science City of Munoz, NUEVA ECIJA</t>
  </si>
  <si>
    <t>Barangay Local Government Unit of Sapang Cauayan</t>
  </si>
  <si>
    <t>Sapang Cawayan, Science City of Munoz, NUEVA ECIJA</t>
  </si>
  <si>
    <t>BRGY. VILLA ISLA-MUÑOZ WATER IMPOUNDING IRRIGATORS ASSOCIATION, INC</t>
  </si>
  <si>
    <t>Villa Isla, Science City of Munoz, NUEVA ECIJA</t>
  </si>
  <si>
    <t>M.T.G PLIVIRISCAF IRRIGATORS' ASSOCIATION INC.</t>
  </si>
  <si>
    <t>Pandalla, Science City of Munoz, NUEVA ECIJA</t>
  </si>
  <si>
    <t>Network of Responsible Citizens of Munoz Agriculture Cooperative (NRCMAC)</t>
  </si>
  <si>
    <t>Poblacion East, Science City of Munoz, NUEVA ECIJA</t>
  </si>
  <si>
    <t>RIZAL PRIMARY MULTIPURPOSE COOPERATIVE</t>
  </si>
  <si>
    <t>Rizal, Science City of Munoz, NUEVA ECIJA</t>
  </si>
  <si>
    <t>COLLADO IRRIGATORS' ASSOCIATION, INC.</t>
  </si>
  <si>
    <t>Collado, Talavera, NUEVA ECIJA</t>
  </si>
  <si>
    <t>4252300210179106</t>
  </si>
  <si>
    <t>TAGABASA IRRIGATORS' ASSOCIATION, INC.</t>
  </si>
  <si>
    <t>Tagaytay, Talavera, NUEVA ECIJA</t>
  </si>
  <si>
    <t>PINAGPANAAN ANG KILUSANG SAMAHANG MAGSASAKA (PAKISAMA)</t>
  </si>
  <si>
    <t>Pinagpanaan, Talavera, NUEVA ECIJA</t>
  </si>
  <si>
    <t>Municipal Local Government Unit of Talavera</t>
  </si>
  <si>
    <t>Poblacion West, Talavera, Nueva Ecija</t>
  </si>
  <si>
    <t>Bantug Agricultural Multipurpose Cooperative, Inc.</t>
  </si>
  <si>
    <t>Bantug, Talavera, NUEVA ECIJA</t>
  </si>
  <si>
    <t>Kaagapay Agrarian Reform Cooperative (KARC)</t>
  </si>
  <si>
    <t>Bantug Hacienda, Talavera, NUEVA ECIJA</t>
  </si>
  <si>
    <t>4252300210179155</t>
  </si>
  <si>
    <t>Municipal Local Government unit of Talugtug</t>
  </si>
  <si>
    <t>, Talugtug, NUEVA ECIJA</t>
  </si>
  <si>
    <t>SAVERS FARMERS ASSOCIATION, INC.</t>
  </si>
  <si>
    <t>Saverona, Talugtug, NUEVA ECIJA</t>
  </si>
  <si>
    <t>BRGY. STA. LUCIA OLD ZARAGOZA FARMERS IRRIGATORS' ASSN. INC.</t>
  </si>
  <si>
    <t>Santa Lucia Young, Zaragosa, NUEVA ECIJA</t>
  </si>
  <si>
    <t>SAGINGAN EAST AND WEST FARMERS ASSOCIATION</t>
  </si>
  <si>
    <t>Concepcion, Zaragosa, NUEVA ECIJA</t>
  </si>
  <si>
    <t>Zaragoza People's Agriculture Cooperative</t>
  </si>
  <si>
    <t>Santo Rosario Old, Zaragosa, NUEVA ECIJA</t>
  </si>
  <si>
    <t>Kasaka Manaol Agriculture Cooperative</t>
  </si>
  <si>
    <t>Manaul, Zaragosa, NUEVA ECIJA</t>
  </si>
  <si>
    <t>ZARALICA FARMERS ASSOCIATION Inc.</t>
  </si>
  <si>
    <t>Santa Lucia Old, Zaragosa, NUEVA ECIJA</t>
  </si>
  <si>
    <t>Saint Jerome's Parish Multi-purpose Cooperative</t>
  </si>
  <si>
    <t>San Geronimo (Pob.), Bagabag, NUEVA VIZCAYA</t>
  </si>
  <si>
    <t>Lower Bangaan Solano Irrigators Association, Inc.</t>
  </si>
  <si>
    <t>Bangaan, Solano, NUEVA VIZCAYA</t>
  </si>
  <si>
    <t>Magarang Bagahabag Lower Moton Irrigators Association Inc.</t>
  </si>
  <si>
    <t>Bagahabag, Solano, NUEVA VIZCAYA</t>
  </si>
  <si>
    <t>KIRANG IMPOUNDING ARITAO IRRIGATORS ASSOCIATION INC.,</t>
  </si>
  <si>
    <t>, Aritao, Nueva Vizcaya</t>
  </si>
  <si>
    <t>WEST DULLAO FARMERS ASSOCIATIN IN.,</t>
  </si>
  <si>
    <t>Dullao, Bambang, Nueva Vizcaya</t>
  </si>
  <si>
    <t>BUSILAC GREEN LAND AGRO INDUSTRIAL FARMERS AND IRRIGATORS ASSOCIATION</t>
  </si>
  <si>
    <t>, Bayombong, Nueva Vizcaya</t>
  </si>
  <si>
    <t>BANFLA, DUPAX SUR IRRIGATORS INC.,</t>
  </si>
  <si>
    <t>, Dupax del sur, Nueva Vizcaya</t>
  </si>
  <si>
    <t>KASIBU FARMERS DEVELOPMENT COOPERATIVE</t>
  </si>
  <si>
    <t>POBLACION, KASIBU, NUEVA VIZCAYA</t>
  </si>
  <si>
    <t>Lumannap Aurora Irrigators Association Inc.</t>
  </si>
  <si>
    <t>Aurora, Quezon, NUEVA VIZCAYA</t>
  </si>
  <si>
    <t>Nalubbunan Communal Irrigators Association Inc.</t>
  </si>
  <si>
    <t>Nalubbunan, Quezon, NUEVA VIZCAYA</t>
  </si>
  <si>
    <t>SOLANO CAMCAM WEST APAD II FARMERS ASSOCIATION INC.,</t>
  </si>
  <si>
    <t>, SOLANO, NUEVA VIZCAYA</t>
  </si>
  <si>
    <t>DUPAX DEL SUR FARMERS AGRICULTURE COOPERATIVE (DFARCO)</t>
  </si>
  <si>
    <t>DOMANG, DUPAX DEL SUR, NUEVA VIZCAYA</t>
  </si>
  <si>
    <t>Dumayop Tabban Irrigators Association Inc.</t>
  </si>
  <si>
    <t>Pogonsino, Bagabag, NUEVA VIZCAYA</t>
  </si>
  <si>
    <t>LA TORRE CASAT IRRIGATORS ASSOCIATION INC.</t>
  </si>
  <si>
    <t>La Torre North, Bayombong, NUEVA VIZCAYA</t>
  </si>
  <si>
    <t>Lingay Estern Farmers Association Inc.</t>
  </si>
  <si>
    <t>Bonfal East, Bayombong, NUEVA VIZCAYA</t>
  </si>
  <si>
    <t>BENAY WANGEON DUPAX DEL NORTE IRRIGATORS ASSOCIATION INC.</t>
  </si>
  <si>
    <t>Malasin (Pob.), Dupax del Norte, NUEVA VIZCAYA</t>
  </si>
  <si>
    <t>KINALO LOGPON IRRIGATORS ASSOCIATION INC.</t>
  </si>
  <si>
    <t>Kongkong, Kasibu, NUEVA VIZCAYA</t>
  </si>
  <si>
    <t>LOWER DEKEL IRRIGATORS ASSOCIATIN INC.</t>
  </si>
  <si>
    <t>Pacquet (Ilongot Res.), Kasibu, NUEVA VIZCAYA</t>
  </si>
  <si>
    <t>Bokod Sulfur Spring Multi-purpose Cooperative</t>
  </si>
  <si>
    <t>Tucal, Solano, NUEVA VIZCAYA</t>
  </si>
  <si>
    <t>POBLACION-NEW DAGUPAN FARMER-IRRIGATORS' ASSOCIATION (PONDAFIA) INC.</t>
  </si>
  <si>
    <t>POBLACION, CALinTAAN, OCCIDENTAL MINDORO</t>
  </si>
  <si>
    <t>BUGTONG BURI FARMERS ASSOCIATION, INC.</t>
  </si>
  <si>
    <t>POBLACION, MAGSAYSAY, OCCIDENTAL MINDORO</t>
  </si>
  <si>
    <t>SAMARICA OCCIDENTAL MINDORO FARMERS ASSOCIATION INC.</t>
  </si>
  <si>
    <t>ADELA, RIZAL, OCCIDENTAL MINDORO</t>
  </si>
  <si>
    <t>SALVACION UNITED FARMERS MULTI-PURPOSE COOPERATIVE</t>
  </si>
  <si>
    <t>SALVACION, RIZAL, OCCIDENTAL MINDORO</t>
  </si>
  <si>
    <t>MATABIAGA MALAWAAN IRRIGATORS ASSOCIATION, INC.</t>
  </si>
  <si>
    <t>MALAWAAN, RIZAL, OCCIDENTAL MINDORO</t>
  </si>
  <si>
    <t>BARANGAY BATONG BUHAY FARMER'S ASSOCIATION</t>
  </si>
  <si>
    <t>BATONG BUHAY, SABLAYAN, OCCIDENTAL MINDORO</t>
  </si>
  <si>
    <t>KAINGIN TAGUMPAY FARMERS AND IRRIGATORS ASSOCIATION (KATFAIA)</t>
  </si>
  <si>
    <t>TAGUMPAY, SABLAYAN, OCCIDENTAL MINDORO</t>
  </si>
  <si>
    <t>SITIO ESPERANZA SAN ISIDRO FARMERS ASSOCIATION</t>
  </si>
  <si>
    <t>SAN ISIDRO, SAN JOSE, OCCIDENTAL MINDORO</t>
  </si>
  <si>
    <t>CAMANDANG IRRIGATORS ASSOCIATION</t>
  </si>
  <si>
    <t>MONTECLARO, SAN JOSE, OCCIDENTAL MINDORO</t>
  </si>
  <si>
    <t>SAMAHAN NG MAGSASAKA SA PALANGHIRAN</t>
  </si>
  <si>
    <t>MAPAYA, SAN JOSE, OCCIDENTAL MINDORO</t>
  </si>
  <si>
    <t>NAGKAKAISANG LAKAS MULTI-PURPOSE COOPERATIVE</t>
  </si>
  <si>
    <t>LABANGAN POBLACION, SAN JOSE, OCCIDENTAL MINDORO</t>
  </si>
  <si>
    <t>GINTONG BUTIL FARMERS ASSOCIATION</t>
  </si>
  <si>
    <t>PINAGTURIHAN, SANTA CRUZ, OCCIDENTAL MINDORO</t>
  </si>
  <si>
    <t>MUNICIPAL LOCAL GOVERNMENT UNIT OF RIZAL</t>
  </si>
  <si>
    <t>RUMBANG, RIZAL, OCCIDENTAL MINDORO</t>
  </si>
  <si>
    <t>MUNICIPAL LOCAL GOVERNMENT UNIT OF LOOC</t>
  </si>
  <si>
    <t>POBLACION GUITNA, LOOC, OCCIDENTAL MINDORO</t>
  </si>
  <si>
    <t>BRGY. VIGO-DANGAY FARMERS IRRIGATORS ASSOCIATION INC.</t>
  </si>
  <si>
    <t>VIGO, LUBANG, OCCIDENTAL MINDORO</t>
  </si>
  <si>
    <t>TUAY ABRA DE ILOG IRRIGATORS ASSOCIATION, INC.</t>
  </si>
  <si>
    <t>San Vicente, Abra de Ilog, OCCIDENTAL MINDORO</t>
  </si>
  <si>
    <t>ANAHAWIN BOMBONGAN IRRIGATORS' ASSOCIATION, INC.</t>
  </si>
  <si>
    <t>Iriron, Calintaan, OCCIDENTAL MINDORO</t>
  </si>
  <si>
    <t>Calintaan Seed Growers Cooperative (CASEEDCO)</t>
  </si>
  <si>
    <t>New Dagupan, Calintaan, OCCIDENTAL MINDORO</t>
  </si>
  <si>
    <t>GUTAD FARMERS IRRIGATORS ASSOCIATION INCORPORATED</t>
  </si>
  <si>
    <t>Tanyag, Calintaan, OCCIDENTAL MINDORO</t>
  </si>
  <si>
    <t>Lourdes Multi-Purpose Cooperative</t>
  </si>
  <si>
    <t>Poblacion, Magsaysay, OCCIDENTAL MINDORO</t>
  </si>
  <si>
    <t>MALAWAAN 4TH INTAKE FARMERS IRRIGATORS ASSOCIATION, INC.</t>
  </si>
  <si>
    <t>Malawaan, Rizal, OCCIDENTAL MINDORO</t>
  </si>
  <si>
    <t>PINAGBUKLOD FARMERS' ASSOCIATION</t>
  </si>
  <si>
    <t>San Nicolas, Sablayan, OCCIDENTAL MINDORO</t>
  </si>
  <si>
    <t>SAMAHANG GUMAGAWA TUNGONG TAGUMPAY MULTI-PURPOSE COOPERATIVE (SAGUTT)</t>
  </si>
  <si>
    <t>Paetan, Sablayan, OCCIDENTAL MINDORO</t>
  </si>
  <si>
    <t>SAMAHANG MATAGUMPAY NA MAGSASAKA</t>
  </si>
  <si>
    <t>Ilvita, Sablayan, OCCIDENTAL MINDORO</t>
  </si>
  <si>
    <t>Kaagapay Kilusang Bayang Tagapagpaunlad Multi-Purpose Coopertive (KAAKIBAT MPC)</t>
  </si>
  <si>
    <t>Labangan Poblacion, San Jose, OCCIDENTAL MINDORO</t>
  </si>
  <si>
    <t>Mindoro Occidental Womens Rotary Corps Multipurpose Cooperative (MOWRCCO MPC)</t>
  </si>
  <si>
    <t>SAMAHANG MAGPAPATUBIG NG BATASAN, INC.</t>
  </si>
  <si>
    <t>, San Jose, OCCIDENTAL MINDORO</t>
  </si>
  <si>
    <t>Tagumpay ng Curanta Free Farmers Cooperative (TACUFFCO)</t>
  </si>
  <si>
    <t>San Agustin, San Jose, OCCIDENTAL MINDORO</t>
  </si>
  <si>
    <t>Amnay Cabagan Irrigators and Farmers Agriculture Cooperative</t>
  </si>
  <si>
    <t>Barahan, Santa Cruz, OCCIDENTAL MINDORO</t>
  </si>
  <si>
    <t>DAUHAN-ALATIN IRRIGATORS ASSOCIATION, INC.</t>
  </si>
  <si>
    <t>Lumangbayan, Abra de Ilog, OCCIDENTAL MINDORO</t>
  </si>
  <si>
    <t>Inipitan Calawag Irrigators Association, Inc.</t>
  </si>
  <si>
    <t>, Magsaysay, OCCIDENTAL MINDORO</t>
  </si>
  <si>
    <t>CALAMANSIAN POYPOY IRRIGATORS' ASSOCIATION, INC.</t>
  </si>
  <si>
    <t>, Calintaan, OCCIDENTAL MINDORO</t>
  </si>
  <si>
    <t>Calintaan Young Blood Farmers and Fishermen Multi-Purpose Cooperative</t>
  </si>
  <si>
    <t>Concepcion Farmers Multi-Purpose Cooperative</t>
  </si>
  <si>
    <t>Binakas Agri Association</t>
  </si>
  <si>
    <t>Binakas, Lubang, OCCIDENTAL MINDORO</t>
  </si>
  <si>
    <t>Mabuting Pastol ng Kanlurang Mindoro Multi-Purpose Cooperative</t>
  </si>
  <si>
    <t>Municipal Local Government Unit of Magsaysay</t>
  </si>
  <si>
    <t>PURNAGA FARMERS ASSOCIATION, INC.</t>
  </si>
  <si>
    <t>Purnaga, Magsaysay, OCCIDENTAL MINDORO</t>
  </si>
  <si>
    <t>RIVECO FARMERS ASSOCIATON</t>
  </si>
  <si>
    <t>Samahan ng Pagpapatubig ng Paclolo, Inc.</t>
  </si>
  <si>
    <t>Paclolo, Magsaysay, OCCIDENTAL MINDORO</t>
  </si>
  <si>
    <t>Mindoro Progressive Multi-Purpose Cooperative</t>
  </si>
  <si>
    <t>Tangkalan, Mamburao, OCCIDENTAL MINDORO</t>
  </si>
  <si>
    <t>Provincial Local Government Unit of Occidental Mindoro</t>
  </si>
  <si>
    <t>Poblacion 1 (Barangay 1), Mamburao, OCCIDENTAL MINDORO</t>
  </si>
  <si>
    <t>Lanaban Farmers Irrigators, Inc.</t>
  </si>
  <si>
    <t>Rizal, Rizal, OCCIDENTAL MINDORO</t>
  </si>
  <si>
    <t>Malawaan Farmers and Fisherfolk Agriculture Cooperative (MAFAFICO)</t>
  </si>
  <si>
    <t>Manoot Rizal Women's Farmers Association (MARWOFA) Inc.</t>
  </si>
  <si>
    <t>Manoot, Rizal, OCCIDENTAL MINDORO</t>
  </si>
  <si>
    <t>Buenavista Farmers Association</t>
  </si>
  <si>
    <t>Buenavista, Sablayan, OCCIDENTAL MINDORO</t>
  </si>
  <si>
    <t>Kalumpit Malapaga Ibud Irrigators Association, Inc.</t>
  </si>
  <si>
    <t>San Vicente, Sablayan, OCCIDENTAL MINDORO</t>
  </si>
  <si>
    <t>Pandan Dike Farmers Agriculture Cooperative</t>
  </si>
  <si>
    <t>Claudio Salgado, Sablayan, OCCIDENTAL MINDORO</t>
  </si>
  <si>
    <t>Samahan ng mga Magbibinhi ng Sablayan Agriculture Cooperative (SAMASACO)</t>
  </si>
  <si>
    <t>San Francisco, Sablayan, OCCIDENTAL MINDORO</t>
  </si>
  <si>
    <t>San Carlos Multi-Purpose Cooperative</t>
  </si>
  <si>
    <t>San Miguel Multi-purpose Cooperative (SAMMUCO)</t>
  </si>
  <si>
    <t>Tuban Blessed Farmers Multi-Purpose Cooperative (TUBFARMCO)</t>
  </si>
  <si>
    <t>Tuban, Sablayan, OCCIDENTAL MINDORO</t>
  </si>
  <si>
    <t>Upper Tiloy Farmers Association</t>
  </si>
  <si>
    <t>ANTIPOLO RICE AND VEGETABLE FARMERS ASSOCIATION (ARVEFA)</t>
  </si>
  <si>
    <t>Mangarin, San Jose, OCCIDENTAL MINDORO</t>
  </si>
  <si>
    <t>BAYOTBOT SAN ISIDRO FARMERS ASSOCIATION INC.</t>
  </si>
  <si>
    <t>Bayotbot, San Jose, OCCIDENTAL MINDORO</t>
  </si>
  <si>
    <t>BUBOG DEVELOPMENT COOPERATIVE</t>
  </si>
  <si>
    <t>Bubog, San Jose, OCCIDENTAL MINDORO</t>
  </si>
  <si>
    <t>Calamansian Irrigators Balud Farmers Association</t>
  </si>
  <si>
    <t>Batasan, San Jose, OCCIDENTAL MINDORO</t>
  </si>
  <si>
    <t>Central D Multi-Purpose Cooperative</t>
  </si>
  <si>
    <t>Central, San Jose, OCCIDENTAL MINDORO</t>
  </si>
  <si>
    <t>DELTA SQUAD GUARDIAN FARMERS ASSOCIATION</t>
  </si>
  <si>
    <t>Mapaya, San Jose, OCCIDENTAL MINDORO</t>
  </si>
  <si>
    <t>Mabini Main Farmer's Association</t>
  </si>
  <si>
    <t>Mabini, San Jose, OCCIDENTAL MINDORO</t>
  </si>
  <si>
    <t>Monteclaro Irrigators Association, Incorporated</t>
  </si>
  <si>
    <t>Murtha Agriculture Cooperative</t>
  </si>
  <si>
    <t>Murtha, San Jose, OCCIDENTAL MINDORO</t>
  </si>
  <si>
    <t>Murtha Development Multi-Purpose Cooperative</t>
  </si>
  <si>
    <t>Occ. Mdo. Mannalon Farmers Assn. Inc.</t>
  </si>
  <si>
    <t>La Curva, San Jose, OCCIDENTAL MINDORO</t>
  </si>
  <si>
    <t>Pilipino Demokratiko MPC San Agustin Chapter</t>
  </si>
  <si>
    <t>Samahan ng Manggagawang Bukid ng Central</t>
  </si>
  <si>
    <t>Samahang ng Manggagawang Mindoreño Agriculture Cooperative (SAMMAGRICO)</t>
  </si>
  <si>
    <t>Magbay, San Jose, OCCIDENTAL MINDORO</t>
  </si>
  <si>
    <t>Tamaraw Development Cooperative (TADECO)</t>
  </si>
  <si>
    <t>Watchers Multi-Purpose Cooperative</t>
  </si>
  <si>
    <t>Paunlarin ang Kabataan sa Pagsasaka Farmers Association</t>
  </si>
  <si>
    <t>Mulawin, Santa Cruz, OCCIDENTAL MINDORO</t>
  </si>
  <si>
    <t>Samahan sa Ikauunlad ng Pagsasaka</t>
  </si>
  <si>
    <t>San Vicente, Santa Cruz, OCCIDENTAL MINDORO</t>
  </si>
  <si>
    <t>Sablayan Farmers and Market Vendors Multi-Purpose Cooperative</t>
  </si>
  <si>
    <t>MALAPAD FARMERS ASSOCIATION</t>
  </si>
  <si>
    <t>Malapad, Baco, Oriental Mindoro</t>
  </si>
  <si>
    <t>SAMAHAN NG MGA MAGSASAKA NG BARANGAY BAYANAN II</t>
  </si>
  <si>
    <t>Bayanan II, Calapan City, Oriental Mindoro</t>
  </si>
  <si>
    <t>GULOD FARMERS ASSOCIATION</t>
  </si>
  <si>
    <t>Gulod, Calapan City, Oriental Mindoro</t>
  </si>
  <si>
    <t>BALINGAYAN FARMERS ASSOCIATION</t>
  </si>
  <si>
    <t>Balingayan, Calapan City, Oriental Mindoro</t>
  </si>
  <si>
    <t>BARANGAY MALINAO FARMERS' ASSOCIATION</t>
  </si>
  <si>
    <t>Malinao, Naujan, Oriental Mindoro</t>
  </si>
  <si>
    <t>BAGONG BUHAY FARMERS ASSOCIATION</t>
  </si>
  <si>
    <t>Bagong Buhay, naujan, Oriental Mindoro</t>
  </si>
  <si>
    <t>SANDIGAN NG MGA MANGGAGAWA SA AGRIKULTURA SA KANAYUNAN (SAMAKA)</t>
  </si>
  <si>
    <t>Calucmoy, Socorro, Oriental Mindoro</t>
  </si>
  <si>
    <t>MACATOC FARMERS ASSOCIATION</t>
  </si>
  <si>
    <t>Macatoc, Victoria, Oriental Mindoro</t>
  </si>
  <si>
    <t>SAN NICOLAS SMALL WATER IRRIGATION SYSTEM ASSOCIATION</t>
  </si>
  <si>
    <t>Rosacara, Bansud, Oriental Mindoro</t>
  </si>
  <si>
    <t>ALCADESMA GROUP OF FARMERS ASSOCIATION(AGFA)</t>
  </si>
  <si>
    <t>Alcadesma, Bansud, Oriental Mindoro</t>
  </si>
  <si>
    <t>A. BONIFACIO FARMERS ASSOCIATION</t>
  </si>
  <si>
    <t>A. Bonifacio, Gloria, Oriental Mindoro</t>
  </si>
  <si>
    <t>BARANGAY NABUSLOT PINAMALAYAN FARMERS ASSOCIATION INC.</t>
  </si>
  <si>
    <t>Nabuslot, Pinamalayan, Oriental Mindoro</t>
  </si>
  <si>
    <t>CANTIL FARMERS ASSOCIATION</t>
  </si>
  <si>
    <t>Cantil, Roxas, Oriental Mindoro</t>
  </si>
  <si>
    <t>BAGUMBAYAN ROXAS ORIENTAL MINDORO FARMERS ASSOCIATION</t>
  </si>
  <si>
    <t>Bagumbayan, Roxas, Oriental Mindoro</t>
  </si>
  <si>
    <t>ALLIANCE OF FARMERS ASSOCIATION OF ORCONUMA (AFAO)</t>
  </si>
  <si>
    <t>Orconuma, Bongabong, Oriental Mindoro</t>
  </si>
  <si>
    <t>NAGKAKAISANG SAMAHAN NG MAGPAPATUBIG NG CAMBUNANG, INC.</t>
  </si>
  <si>
    <t>Cambunang, Bulalacao, Oriental Mindoro</t>
  </si>
  <si>
    <t>SAMAHANG MAGPAPATUBIG NG BALUGO STA. MARIA AT VILLA CELESTIAL INC.</t>
  </si>
  <si>
    <t>Balugo, Mansalay, Oriental Mindoro</t>
  </si>
  <si>
    <t>CENTRO DULANGAN 2 FARMERS ASSOCIATION</t>
  </si>
  <si>
    <t>Dulangan II, Baco, ORIENTAL MINDORO</t>
  </si>
  <si>
    <t>KATWIRAN 2 FARMERS ASSOCIATION</t>
  </si>
  <si>
    <t>Catwiran II, Baco, ORIENTAL MINDORO</t>
  </si>
  <si>
    <t>BAYANAN I FARMERS ASSOCIATION</t>
  </si>
  <si>
    <t>Bayanan I, Calapan City, ORIENTAL MINDORO</t>
  </si>
  <si>
    <t>MANAGPI FARMERS ASSOCIATION</t>
  </si>
  <si>
    <t>Managpi, Calapan City, ORIENTAL MINDORO</t>
  </si>
  <si>
    <t>SAN AGUSTIN II FARMERS ASSOCIATION</t>
  </si>
  <si>
    <t>San Agustin, Naujan, ORIENTAL MINDORO</t>
  </si>
  <si>
    <t>PAGKAKAISA FARMERS ASSOCIATION</t>
  </si>
  <si>
    <t>Pagkakaisa, Naujan, ORIENTAL MINDORO</t>
  </si>
  <si>
    <t>BARANGAY MALIBAGO POLA IRRIGATORS' ASSOCIATION INC.</t>
  </si>
  <si>
    <t>Malibago, Pola, ORIENTAL MINDORO</t>
  </si>
  <si>
    <t>TAYWANAK FARMERS ASSOCIATION</t>
  </si>
  <si>
    <t>, Pola, ORIENTAL MINDORO</t>
  </si>
  <si>
    <t>MONTEVERDE FARMERS &amp; IRRIGATORS ASSOCIATION</t>
  </si>
  <si>
    <t>Monteverde, Socorro, ORIENTAL MINDORO</t>
  </si>
  <si>
    <t>MABINI FARMERS ASSOCIATION</t>
  </si>
  <si>
    <t>Mabini, Victoria, ORIENTAL MINDORO</t>
  </si>
  <si>
    <t>AKLEJO FARMERS IRRIGATORS' ASSOCIATION, INC.</t>
  </si>
  <si>
    <t>, Bansud, ORIENTAL MINDORO</t>
  </si>
  <si>
    <t>Municipal Local Governement Unit of Bulalacao</t>
  </si>
  <si>
    <t>Poblacion, Bulalacao, ORIENTAL MINDORO</t>
  </si>
  <si>
    <t>BANUTAN FARMERS ASSOCIATION</t>
  </si>
  <si>
    <t>Banutan, Gloria, ORIENTAL MINDORO</t>
  </si>
  <si>
    <t>GUIMBONAN FARMERS ASSOCIATION</t>
  </si>
  <si>
    <t>Guimbonan, Gloria, ORIENTAL MINDORO</t>
  </si>
  <si>
    <t>PALAYAN (PINAMALAYAN) FARMER'S ASSOCIATION, INC.</t>
  </si>
  <si>
    <t>Palayan, Pinamalayan, ORIENTAL MINDORO</t>
  </si>
  <si>
    <t>Provincial Local Government Unit of Oriental Mindoro</t>
  </si>
  <si>
    <t>Camilmil, Calapan City, ORIENTAL MINDORO</t>
  </si>
  <si>
    <t>Municipal Local Government Unit of San Teodoro</t>
  </si>
  <si>
    <t>Poblacion, San Teodoro, ORIENTAL MINDORO</t>
  </si>
  <si>
    <t>NEW LIFE LOWLAND FARMERS ASSOCIATION</t>
  </si>
  <si>
    <t>Bagong Buhay, Victoria, ORIENTAL MINDORO</t>
  </si>
  <si>
    <t>BAGACAY FARMERS ANG LIVESTOCK RAISERS ASSOCIATION</t>
  </si>
  <si>
    <t>Nasukob (Pob.), Bulalacao, ORIENTAL MINDORO</t>
  </si>
  <si>
    <t>Bulalacao Development Cooperative</t>
  </si>
  <si>
    <t>IMBUYUNGAN GREENFIELDS LIVESTOCK RAISERS AND FARMERS ASSOCIATION</t>
  </si>
  <si>
    <t>Municipal Local Government Unit of Mansalay</t>
  </si>
  <si>
    <t>Poblacion, Mansalay, ORIENTAL MINDORO</t>
  </si>
  <si>
    <t>TANATANAEN FARMERS IRRIGATOR'S ASSOCIATION, INC.</t>
  </si>
  <si>
    <t>Tanatanaon (Mainland), Dumaran, Palawan</t>
  </si>
  <si>
    <t>PUROK CALAPARAN MAGSAYSAY FARMERS ASSOCIATION</t>
  </si>
  <si>
    <t>Magsaysay, Dumaran, Palawan</t>
  </si>
  <si>
    <t>ABERAWAN FARMER'S ASSOCIATION (AFA)</t>
  </si>
  <si>
    <t>Aberawan, El Nido, Palawan</t>
  </si>
  <si>
    <t>SANDOVAL FARMERS ASSOCIATION</t>
  </si>
  <si>
    <t>Sandoval, Roxas, Palawan</t>
  </si>
  <si>
    <t>PAMUAYAN FARMERS ASSOCIATION</t>
  </si>
  <si>
    <t>Barton, San Vicente, Palawan</t>
  </si>
  <si>
    <t>SANDOVAL FARMERS ASSOCIATON</t>
  </si>
  <si>
    <t>Sandoval, Taytay, Palawan</t>
  </si>
  <si>
    <t>TAYSAY MINAHAW FARMER IRRIGATORS ASSOCIATION, INC.</t>
  </si>
  <si>
    <t>Bono-Bono, Bataraza, Palawan</t>
  </si>
  <si>
    <t>CALASAGUEN DIVISION 4 RICE PRODUCER'S FARMERS ASSOCIATION</t>
  </si>
  <si>
    <t>Calasaguen, Brooke's Point, Palawan</t>
  </si>
  <si>
    <t>MACAGUA FARMERS IRRIGATORS' ASSOCIATION INC.</t>
  </si>
  <si>
    <t>Macagua, Brooke's Point, Palawan</t>
  </si>
  <si>
    <t>MALIGAYA MAY PAG-ASA IRRIGATORS ASSOCIATION INC.</t>
  </si>
  <si>
    <t>Sandoval, Narra, Palawan</t>
  </si>
  <si>
    <t>MALATGAO QUEZON FARMERS IRRIGATORS' ASSOCIATION, INC.</t>
  </si>
  <si>
    <t>Malatgao, Quezon, Palawan</t>
  </si>
  <si>
    <t>SOWANGAN FARMERS IRRIGATORS ' ASSOCIATION INC.</t>
  </si>
  <si>
    <t>Sowangan, Quezon, Palawan</t>
  </si>
  <si>
    <t>SICUD FARMERS ASSOCIATION</t>
  </si>
  <si>
    <t>Candawaga, Rizal, Palawan</t>
  </si>
  <si>
    <t>TAGLOP BULIKAWA FARMERS ASSOCIATION</t>
  </si>
  <si>
    <t>Canipaan, Rizal, Palawan</t>
  </si>
  <si>
    <t>CABAYUGAN FARMERS ASSOCIATION</t>
  </si>
  <si>
    <t>Cabayugan, Puerto Princesa City, Palawan</t>
  </si>
  <si>
    <t>SAMAHANG MANUNUBIG NG CULANDANUM FARMERS, ABORLAN, PALAWAN, INC.</t>
  </si>
  <si>
    <t>Culandanum, Aborlan, Palawan</t>
  </si>
  <si>
    <t>AGKAKARUBA IRRIGATORS ASSOCIATION, INC.</t>
  </si>
  <si>
    <t>Plaridel, Aborlan, Palawan</t>
  </si>
  <si>
    <t>IBATO-IRAAN FARMER'S IRRIGATORS ASSOCIATION, INC.</t>
  </si>
  <si>
    <t>Sagpangan, Aborlan, Palawan</t>
  </si>
  <si>
    <t>PARADISE TELENG FARMERS IRRIGATORS ASSOCIATION INC</t>
  </si>
  <si>
    <t>Tigman, Aborlan, Palawan</t>
  </si>
  <si>
    <t>SAMAHANG MAGSASAKA NG APORAWAN AT PARADAHAN INC</t>
  </si>
  <si>
    <t>Apo Aporawan, Aborlan, Palawan</t>
  </si>
  <si>
    <t>CORON FARMER'S FEDERATION</t>
  </si>
  <si>
    <t>Borac, Coron, Palawan</t>
  </si>
  <si>
    <t>ARAMAYWAN FARMERS ASSOCIATION</t>
  </si>
  <si>
    <t>Aramaywan, Narra, PALAWAN</t>
  </si>
  <si>
    <t>BARANGAY ANTIPULUAN FARMERS IRRIGATORS' ASSOCIATION, INC.</t>
  </si>
  <si>
    <t>Antipuluan, Narra, PALAWAN</t>
  </si>
  <si>
    <t>BARANGAY TERESA RICE FARMERS ASSOCIATION</t>
  </si>
  <si>
    <t>Teresa, Narra, PALAWAN</t>
  </si>
  <si>
    <t>DELTA FALLS UPPER LAPU-LAPU IRRIGATORS ASSOCIATION,INC.</t>
  </si>
  <si>
    <t>Narra (Pob.), Narra, PALAWAN</t>
  </si>
  <si>
    <t>KABSAT TI PAGTATALON IRRIGATORS ASSOCIATION INC.</t>
  </si>
  <si>
    <t>Bagong Sikat, Narra, PALAWAN</t>
  </si>
  <si>
    <t>KAGANDAHAN IRRIGATORS ASSOCIATION INC.</t>
  </si>
  <si>
    <t>Taritien, Narra, PALAWAN</t>
  </si>
  <si>
    <t>MALATGAO FARMERS ASSOCIATION</t>
  </si>
  <si>
    <t>Malatgao, Narra, PALAWAN</t>
  </si>
  <si>
    <t>NAGKAKAISANG LAHI IRRIGATORS ASSOCIATION INC.</t>
  </si>
  <si>
    <t>Malinao, Narra, PALAWAN</t>
  </si>
  <si>
    <t>Palawan ARC Cooperative Federation (PARCOFED)</t>
  </si>
  <si>
    <t>POBLACION CENTRO FARMERS ASSOCIATION (PoCeFa)</t>
  </si>
  <si>
    <t>Sandoval, Narra, PALAWAN</t>
  </si>
  <si>
    <t>UPPER MALINAO RICE FARMERS IRRIGATORS ASSOCIATION INC.</t>
  </si>
  <si>
    <t>ARAMAYWAN QUEZON FARMERS IRRIGATORS' ASSOCIATION, INC</t>
  </si>
  <si>
    <t>Aramaywan, Quezon, PALAWAN</t>
  </si>
  <si>
    <t>ILULUWAY FARMER'S ASSOCIATION</t>
  </si>
  <si>
    <t>Alfonso XIII (Pob.), Quezon, PALAWAN</t>
  </si>
  <si>
    <t>SITIO NALI IRRIGATORS' ASSOCIATION, INC.</t>
  </si>
  <si>
    <t>Panitian, Quezon, PALAWAN</t>
  </si>
  <si>
    <t>UNITED FARMER'S IRRIGATORS ASSOCIATION OF MALATGAO AND PANITIAN INC.</t>
  </si>
  <si>
    <t>Malatgao, Quezon, PALAWAN</t>
  </si>
  <si>
    <t>LABOG FARMERS ASSOCIATION</t>
  </si>
  <si>
    <t>Labog, Sofronio Espanola, PALAWAN</t>
  </si>
  <si>
    <t>PINATARAY, AGIS AGIS AND PROPER FARMERS ASSOCIATION</t>
  </si>
  <si>
    <t>Panitian, Sofronio Espanola, PALAWAN</t>
  </si>
  <si>
    <t>TALAKAIGAN-APOCAPOC IRRIGATORS' ASSOCIATION, INC.</t>
  </si>
  <si>
    <t>Apoc-apoc, Aborlan, PALAWAN</t>
  </si>
  <si>
    <t>Provincial Local Government Unit of Palawan</t>
  </si>
  <si>
    <t>San Miguel, Puerto Princesa City, PALAWAN</t>
  </si>
  <si>
    <t>Santo Rosario Farmer's and Irrigators Association Inc.</t>
  </si>
  <si>
    <t>Tabuyuc (Santo Rosario), Apalit, PAMPANGA</t>
  </si>
  <si>
    <t>Mga Masigasig at Masisipag na Magsasaka sa Bayan ng Apalit, Pampanga Farmer's Association Inc.</t>
  </si>
  <si>
    <t>Sulipan, Apalit, PAMPANGA</t>
  </si>
  <si>
    <t>ARENAS GRAIN FARMERS ASSOCIATION</t>
  </si>
  <si>
    <t>Arenas, Arayat, PAMPANGA</t>
  </si>
  <si>
    <t>4252300210178181</t>
  </si>
  <si>
    <t>ASUSASYON NG MASISIPAG NA MAGSASAKA NG BARANGAY CAMBA INC.</t>
  </si>
  <si>
    <t>Kaledian (Camba), Arayat, PAMPANGA</t>
  </si>
  <si>
    <t>GILAS BITAS FARMERS ASSOCIATION</t>
  </si>
  <si>
    <t>San Roque Bitas, Arayat, PAMPANGA</t>
  </si>
  <si>
    <t>4252300210178009</t>
  </si>
  <si>
    <t>MAPALAD MAMATAD IRRIGATORS ASSOCIATION INC..</t>
  </si>
  <si>
    <t>Mapalad, Arayat, PAMPANGA</t>
  </si>
  <si>
    <t>Arayat Ecology and Agriculture Cooperative</t>
  </si>
  <si>
    <t>San Nicolas, Arayat, PAMPANGA</t>
  </si>
  <si>
    <t>4252300210178033</t>
  </si>
  <si>
    <t>BATASAN SINUKUAN FARMERS ASSOCIATION</t>
  </si>
  <si>
    <t>Batasan, Arayat, PAMPANGA</t>
  </si>
  <si>
    <t>4252300210178025</t>
  </si>
  <si>
    <t>Farmers Association of Sto. Niño Tabuan</t>
  </si>
  <si>
    <t>Santo Niño Tabuan, Arayat, PAMPANGA</t>
  </si>
  <si>
    <t>Lacmit Farmers Agriculture Cooperative</t>
  </si>
  <si>
    <t>Lacmit, Arayat, PAMPANGA</t>
  </si>
  <si>
    <t>4252300210177993</t>
  </si>
  <si>
    <t>SAMAHAN NG MAGSASAKA KAPAMPANGAN NG LAPAZ TURU (SaMaKa) INC.</t>
  </si>
  <si>
    <t>La Paz (Turu), Arayat, PAMPANGA</t>
  </si>
  <si>
    <t>ABE-ABE ORTELANU BARANGAY TINAJERO ASSOCIATION INC.</t>
  </si>
  <si>
    <t>Tinajero, Bacolor, PAMPANGA</t>
  </si>
  <si>
    <t>BUKLUD KAPAMPANGAN FARMERS ASSOCIATION INC.</t>
  </si>
  <si>
    <t>Cabetican, Bacolor, PAMPANGA</t>
  </si>
  <si>
    <t>4252300210179262</t>
  </si>
  <si>
    <t>MACABACLE FARMERS ASSOCIATION</t>
  </si>
  <si>
    <t>Macabacle, Bacolor, PAMPANGA</t>
  </si>
  <si>
    <t>4252300210179288</t>
  </si>
  <si>
    <t>SAMAHANG MAGBUBUKID NG BARANGAY MESALIPIT</t>
  </si>
  <si>
    <t>Mesalipit, Bacolor, PAMPANGA</t>
  </si>
  <si>
    <t>KADENA IRRIGATORS ASSOCIATION, INC.</t>
  </si>
  <si>
    <t>Paligui, Candaba, PAMPANGA</t>
  </si>
  <si>
    <t>4252300210179254</t>
  </si>
  <si>
    <t>VIZAL-SAN PABLO IRRIGATORS ASSOCIATION, INC.</t>
  </si>
  <si>
    <t>Vizal San Pablo, Candaba, PAMPANGA</t>
  </si>
  <si>
    <t>ROSARIANS ARBs AND FARMERS ASSOCIATION INC.</t>
  </si>
  <si>
    <t>Sto. Rosario, Candaba, Pampanga</t>
  </si>
  <si>
    <t>4252300210178249</t>
  </si>
  <si>
    <t>BARIT FARMERS IRRIGATORS ASSOCIATION OF CANDABA INC.</t>
  </si>
  <si>
    <t>Barit, Candaba, PAMPANGA</t>
  </si>
  <si>
    <t>Candaba Marketing Cooperative</t>
  </si>
  <si>
    <t>Pasig, Candaba, PAMPANGA</t>
  </si>
  <si>
    <t>VIRGEN FARMERS IRRIGATORS ASSOCIATION, INC.</t>
  </si>
  <si>
    <t>Paralaya (Pob.), Candaba, PAMPANGA</t>
  </si>
  <si>
    <t>4252300210178017</t>
  </si>
  <si>
    <t>VIZAL STO. NIÑO RICE AND LIVESTOCK FARMERS ASSOCIATION</t>
  </si>
  <si>
    <t>Vizal Santo Niño, Candaba, PAMPANGA</t>
  </si>
  <si>
    <t>4252300210178256</t>
  </si>
  <si>
    <t>PROVINCIAL LOCAL GOVERNMENT UNIT OF PAMPANGA</t>
  </si>
  <si>
    <t>, City of San Fernando, PAMPANGA</t>
  </si>
  <si>
    <t>FARMERS ASSOCIATION OF SAN JOSE MABANGKUANG INC.</t>
  </si>
  <si>
    <t>San Jose, Floridablanca, PAMPANGA</t>
  </si>
  <si>
    <t>RICE UP FORTUNA FARMERS ASSOCIATION</t>
  </si>
  <si>
    <t>Fortuna, Floridablanca, PAMPANGA</t>
  </si>
  <si>
    <t>MUNICIPAL LOCAL GOVERNMENT OF GUAGUA</t>
  </si>
  <si>
    <t>Plaza Burgos (Pob.), Guagua, PAMPANGA</t>
  </si>
  <si>
    <t>PRADO SIONGCO RICE &amp; CORN FARMERS ASSOCIATION</t>
  </si>
  <si>
    <t>Prado Siongco, Lubao, PAMPANGA</t>
  </si>
  <si>
    <t>STA. RITA RICE, CORN HVCC AND LIVESTOCK FARMERS ASSOCIATION</t>
  </si>
  <si>
    <t>Santa Rita, Lubao, pampanga</t>
  </si>
  <si>
    <t>SANTIAGO RICEUP FARMERS ASSOCIATION</t>
  </si>
  <si>
    <t>Santiago, Lubao, PAMPANGA</t>
  </si>
  <si>
    <t>Rice-Up Irrigators and Farmers Agriculture Cooperative</t>
  </si>
  <si>
    <t>Concepcion, Lubao, PAMPANGA</t>
  </si>
  <si>
    <t>SAN PABLO 2ND RICE, CORN, HVCC, LIVESTOCK AND FISHERY FARMER ASSOCIATION</t>
  </si>
  <si>
    <t>San Pablo 2nd, Lubao, PAMPANGA</t>
  </si>
  <si>
    <t>SANTIAGO LUBAO FARMERS RICE &amp; CORN ASSOCIATION INC.</t>
  </si>
  <si>
    <t>STA. TERESA 1ST., RICE, CORN, HVCC AND LIVESTOCK</t>
  </si>
  <si>
    <t>Santa Teresa 1st, Lubao, PAMPANGA</t>
  </si>
  <si>
    <t>STO. CRISTO RICE, CORN &amp; HVCC FARMERS ASSOCIATION</t>
  </si>
  <si>
    <t>Santo Cristo, Lubao, PAMPANGA</t>
  </si>
  <si>
    <t>LA PAZ FARMERS ASSOCIATION</t>
  </si>
  <si>
    <t>La Paz, Magalang, PAMPANGA</t>
  </si>
  <si>
    <t>Panayotti Irrigators Farmers Association Inc.</t>
  </si>
  <si>
    <t>Escaler, Magalang, PAMPANGA</t>
  </si>
  <si>
    <t>BUCANAN FARMER'S ASSOCIATION</t>
  </si>
  <si>
    <t>Bucanan, Magalang, PAMPANGA</t>
  </si>
  <si>
    <t>Cruzian Multipurpose Cooperative</t>
  </si>
  <si>
    <t>Santa Cruz (Pob.), Magalang, PAMPANGA</t>
  </si>
  <si>
    <t>MUNICIPAL LOCAL GOVERNMENT UNIT OF MAGALANG</t>
  </si>
  <si>
    <t>, Magalang, PAMPANGA</t>
  </si>
  <si>
    <t>SVMEX Farmers Association Inc.</t>
  </si>
  <si>
    <t>San Vicente, Mexico, PAMPANGA</t>
  </si>
  <si>
    <t>4252300210178553</t>
  </si>
  <si>
    <t>BAGONG PAG-ASA FARMERS ASSOCIATION</t>
  </si>
  <si>
    <t>Divisoria, Mexico, PAMPANGA</t>
  </si>
  <si>
    <t>EDEN MEXICO PEOPLE'S ORGANIZATION AND FARMER'S ASSOCIATION INC.</t>
  </si>
  <si>
    <t>Eden, Mexico, PAMPANGA</t>
  </si>
  <si>
    <t>SAN CARLOS MEXICO FARMERS ASSOCIATION INC.</t>
  </si>
  <si>
    <t>San Carlos, Mexico, PAMPANGA</t>
  </si>
  <si>
    <t>4252300210178165</t>
  </si>
  <si>
    <t>Municipal Local Government Unit of Mexico</t>
  </si>
  <si>
    <t>Parian (Pob.), Mexico, PAMPANGA</t>
  </si>
  <si>
    <t>San Roque Farmers Agriculture Cooperative</t>
  </si>
  <si>
    <t>Sepung Bulaun, Porac, PAMPANGA</t>
  </si>
  <si>
    <t>NEW PLANAS AGRICULTURE</t>
  </si>
  <si>
    <t>PLANAS, PORAC, PAMPANGA</t>
  </si>
  <si>
    <t>Pias Farmers Agriculture Cooperative</t>
  </si>
  <si>
    <t>Pias, Porac, PAMPANGA</t>
  </si>
  <si>
    <t>SAN ISIDRO BALUBAD FARMERS ASSOCIATION</t>
  </si>
  <si>
    <t>Balubad, Porac, PAMPANGA</t>
  </si>
  <si>
    <t>SALU FARMERS ASSOCIATION</t>
  </si>
  <si>
    <t>Salu, Porac, PAMPANGA</t>
  </si>
  <si>
    <t>Provincial Local Government Unit of Pampanga</t>
  </si>
  <si>
    <t>Santo Rosario (Pob.), San Fernando City, PAMPANGA</t>
  </si>
  <si>
    <t>GOLDEN HARVEST FARMERS ASSOCIATION</t>
  </si>
  <si>
    <t>San Jose, San Luis, PAMPANGA</t>
  </si>
  <si>
    <t>4252300210178538</t>
  </si>
  <si>
    <t>BUHAY PAG-ASA IRRIGATORS' ASSOCIATION, INC.</t>
  </si>
  <si>
    <t>San Roque, San Luis, PAMPANGA</t>
  </si>
  <si>
    <t>4252300210178488</t>
  </si>
  <si>
    <t>United ARBs Agriculture Cooperative</t>
  </si>
  <si>
    <t>Santo Rosario, San Luis, PAMPANGA</t>
  </si>
  <si>
    <t>4252300210178512</t>
  </si>
  <si>
    <t>BEPACAL IRRIGATORS ASSOCIATION, INC.</t>
  </si>
  <si>
    <t>San Isidro, San Luis, PAMPANGA</t>
  </si>
  <si>
    <t>4252300210178462</t>
  </si>
  <si>
    <t>Sta. Rita San Luis ARBs Farmers Association Incorporated</t>
  </si>
  <si>
    <t>Santa Rita, San Luis, PAMPANGA</t>
  </si>
  <si>
    <t>4252300210178496</t>
  </si>
  <si>
    <t>Concepcion, San Simon, PAMPANGA</t>
  </si>
  <si>
    <t>BARANGAY SEPUNG ILOG FARMERS IRRIGATORS ASSOCOATION INC.</t>
  </si>
  <si>
    <t>San Nicolas, Santa Ana, PAMPANGA</t>
  </si>
  <si>
    <t>ABE-ABENG MAG-PAPALE AT MAG-MAMANGGA FARMER'S ASSOCIATION INC.</t>
  </si>
  <si>
    <t>Santa Maria, Santa Ana, PAMPANGA</t>
  </si>
  <si>
    <t>4252300210178504</t>
  </si>
  <si>
    <t>AGUMAN ORTELANO AND WORKERS' ASSOCIATION</t>
  </si>
  <si>
    <t>San Isidro, Santa Ana, PAMPANGA</t>
  </si>
  <si>
    <t>Guran-Sapa Multipurpose Cooperative</t>
  </si>
  <si>
    <t>San Pablo, Santa Ana, PAMPANGA</t>
  </si>
  <si>
    <t>4252300210178173</t>
  </si>
  <si>
    <t>Sta. Ana Agricultural Multipurpose Cooperative</t>
  </si>
  <si>
    <t>Santa Lucia, Santa Ana, PAMPANGA</t>
  </si>
  <si>
    <t>4252300210178058</t>
  </si>
  <si>
    <t>ALAMINOS CITY AGRICULTURE COOPERATIVE</t>
  </si>
  <si>
    <t>San Antonio (R. Magsaysay), Alaminos City, PANGASINAN</t>
  </si>
  <si>
    <t>SITANGLAB IRRIGATORS ASSOCIATION, INC</t>
  </si>
  <si>
    <t>Tanggal Sawang, Umingan, PANGASINAN</t>
  </si>
  <si>
    <t>LAYUNIN NG MAPAYAPANG PAG-UNLAD ASSOCIATION, INCORPORATED</t>
  </si>
  <si>
    <t>Boboy, Agno, PANGASINAN</t>
  </si>
  <si>
    <t>Lambes Farmers Agriculture Cooperative</t>
  </si>
  <si>
    <t>LAMBES, BOLINAO, PANGASINAN</t>
  </si>
  <si>
    <t>MALIMPIN P4MP INC.</t>
  </si>
  <si>
    <t>MALIMPIN, DASOL, PANGASINAN</t>
  </si>
  <si>
    <t>MABILAY DANUM FARMERS IRRIGATORS ASSOCIATION</t>
  </si>
  <si>
    <t>Pangascasan, Sual, Pangasinan</t>
  </si>
  <si>
    <t>BUGALLON CABIGAAN IRRIGATORS ASSOCIATION, INC.</t>
  </si>
  <si>
    <t>Poblacion, Bugallon, PANGASINAN</t>
  </si>
  <si>
    <t>TANDOC SILAG KALUNGKONG FARMERS IRRIGATORS ASSOCIATION</t>
  </si>
  <si>
    <t>Uyong, Labrador, PANGASINAN</t>
  </si>
  <si>
    <t>Malabobo Farmers Association, Inc.</t>
  </si>
  <si>
    <t>Malabobo, Mangatarem, PANGASINAN</t>
  </si>
  <si>
    <t>BRGY. MALIMPEC, BAYAMBANG, PANGASINAN FARMERS ASSOCIATION</t>
  </si>
  <si>
    <t>Malimpec, Bayambang, PANGASINAN</t>
  </si>
  <si>
    <t>PASIMA MULTI-PURPOSE COOPERATIVE</t>
  </si>
  <si>
    <t>Pasima, Malasiqui, PANGASINAN</t>
  </si>
  <si>
    <t>PRIMICIAS MASIPAG FARMERS ASSOCIATION, INC.</t>
  </si>
  <si>
    <t>Primicias, Mapandan, PANGASINAN</t>
  </si>
  <si>
    <t>MANINGDING KADARALUSAN FARMERS ASSOCIATION INCORPORATED</t>
  </si>
  <si>
    <t>Maningding, Santa Barbara, PANGASINAN</t>
  </si>
  <si>
    <t>MAKABAGONG MAGSASAKA IRRIGATORS ASSOCIATION INC.</t>
  </si>
  <si>
    <t>Angio, San Fabian, PANGASINAN</t>
  </si>
  <si>
    <t>VILLANUEVA FARMERS ASSOCIATION</t>
  </si>
  <si>
    <t>Villanueva, Bautista, PANGASINAN</t>
  </si>
  <si>
    <t>ALISTO STO. NINO FARMERS ASSOCIATION INC.</t>
  </si>
  <si>
    <t>Santo Niño, Binalonan, PANGASINAN</t>
  </si>
  <si>
    <t>Pardas Lubas Binalonan Farmers Association Inc.</t>
  </si>
  <si>
    <t>Santa Catalina, Binalonan, PANGASINAN</t>
  </si>
  <si>
    <t>Rang-ay Dumayat Binalonan Farmers Association Inc.</t>
  </si>
  <si>
    <t>Dumayat, Binalonan, PANGASINAN</t>
  </si>
  <si>
    <t>SOLID PANAGANIAN FARMERS ASSOCIATION INC.</t>
  </si>
  <si>
    <t>Panaga, Laoac, PANGASINAN</t>
  </si>
  <si>
    <t>CAURINGAN ASAN FARMERS IRRIGATORS' ASSOCIATION, INC.</t>
  </si>
  <si>
    <t>Poblacion Central, Sison, PANGASINAN</t>
  </si>
  <si>
    <t>Nancamaliran West Biskeg Farmers Association</t>
  </si>
  <si>
    <t>Nancamaliran West, Urdaneta City, PANGASINAN</t>
  </si>
  <si>
    <t>SANMIGUELUNA RICE AND CORN FARMERS ASSN. INC.</t>
  </si>
  <si>
    <t>San Miguel, Natividad, PANGASINAN</t>
  </si>
  <si>
    <t>TIMPUYOG TI MANNALON ITI ROSALES INC.</t>
  </si>
  <si>
    <t>Zone V (Pob.), Rosales, Pangasinan</t>
  </si>
  <si>
    <t>ALOLA SAN JOSE ROQUE IRRIGATORS ASSOCIATION INC.</t>
  </si>
  <si>
    <t>San Jose, San Nicolas, PANGASINAN</t>
  </si>
  <si>
    <t>SALBEN FARMERS ASSOCIATION INC.</t>
  </si>
  <si>
    <t>Bensican, San Nicolas, PANGASINAN</t>
  </si>
  <si>
    <t>LCCC-Lagasit Irrigators Association</t>
  </si>
  <si>
    <t>Lagasit, San Quintin, PANGASINAN</t>
  </si>
  <si>
    <t>CPCL ALISTO IRRIGATORS ASSOCIATION INC.</t>
  </si>
  <si>
    <t>Pataquid, Santa Maria, PANGASINAN</t>
  </si>
  <si>
    <t>Golden Rising Sun Irrigators Association</t>
  </si>
  <si>
    <t>Panganiban, Tayug, PANGASINAN</t>
  </si>
  <si>
    <t>GRUPO TI NAGAGAGET NGA MANNALON INC.</t>
  </si>
  <si>
    <t>Abot Molina, Umingan, PANGASINAN</t>
  </si>
  <si>
    <t>BARACBAC ARB AND FARMERS ASSOCIATION INC.</t>
  </si>
  <si>
    <t>BARACBAC, UMINGAN, PANGASINAN</t>
  </si>
  <si>
    <t>Asingan Mitura Farmers Irrigators Association</t>
  </si>
  <si>
    <t>SOBOL, ASINGAN, PANGASINAN</t>
  </si>
  <si>
    <t>Seven Barangays of Mangatarem Irrigators Association, Inc.</t>
  </si>
  <si>
    <t>, Mangatarem, Pangasinan</t>
  </si>
  <si>
    <t>Kabagis Farmers Agriculture Cooperative</t>
  </si>
  <si>
    <t>, NATIVIDAD, PANGASINAN</t>
  </si>
  <si>
    <t>Pangasinan Farmers Agriculture Cooperative</t>
  </si>
  <si>
    <t>, UMINGAN, PANGASINAN</t>
  </si>
  <si>
    <t>ANOLID GUANTANG FARMERS ASSOCIATION INC</t>
  </si>
  <si>
    <t>Anolid, Mangaldan, PANGASINAN</t>
  </si>
  <si>
    <t>BUED-CABILOCAAN IRRIGATORS ASSOCIATION, INC.</t>
  </si>
  <si>
    <t>Cabilocaan, Calasiao, PANGASINAN</t>
  </si>
  <si>
    <t>BUYAN, CENTRO I-II LOBONG SAN JACINTO FARMERS ASSOCIATION INC</t>
  </si>
  <si>
    <t>Lobong, San Jacinto, PANGASINAN</t>
  </si>
  <si>
    <t>LOMBOY FARMERS AND FARMWORKERS ASSOCIATION</t>
  </si>
  <si>
    <t>Labit, Villasis, PANGASINAN</t>
  </si>
  <si>
    <t>MAAYOS FARMERS ASSOCIATION OF TAMAYO, SAN CARLOS CITY, PANGASINAN INC.</t>
  </si>
  <si>
    <t>Tamayo, San Carlos City, PANGASINAN</t>
  </si>
  <si>
    <t>Balococ Cacayasen Farmer's Group, Inc.</t>
  </si>
  <si>
    <t>CACAYASEN, BURGOS, PANGASINAN</t>
  </si>
  <si>
    <t>BARANGAY SAN VICENTE FARMERS AND IRRIGATORS ASSOCIATION</t>
  </si>
  <si>
    <t>San Vicente, Alaminos City, PANGASINAN</t>
  </si>
  <si>
    <t>SOBOL SIOASIO WEST FARMER IRRIGATORS ASSOCIATION INC.</t>
  </si>
  <si>
    <t>Sioasio West, Sual, PANGASINAN</t>
  </si>
  <si>
    <t>CAYANGA BSB IRRIGATORS ASSOCIATION INC</t>
  </si>
  <si>
    <t>, Bugallon, PANGASINAN</t>
  </si>
  <si>
    <t>PROVINCIAL LOCAL GOVERMENT UNIT OF PANGASINAN</t>
  </si>
  <si>
    <t>Rosario, Lingayen, PANGASINAN</t>
  </si>
  <si>
    <t>ABANTE BALITE UNITED FARMERS ASSOCIATION INC.</t>
  </si>
  <si>
    <t>Balite, Malasiqui, PANGASINAN</t>
  </si>
  <si>
    <t>ASOSASYON NA MASANTING YA DUMARALOS</t>
  </si>
  <si>
    <t>Macayug, Mangaldan, PANGASINAN</t>
  </si>
  <si>
    <t>Brgy. San Jose San Jacinto Pangasinan Farmers Association Inc.</t>
  </si>
  <si>
    <t>San Jose, San Jacinto, PANGASINAN</t>
  </si>
  <si>
    <t>CANLUBATOG FARMERS ASSOCIATION INC.</t>
  </si>
  <si>
    <t>Amagbagan, Pozorrubio, PANGASINAN</t>
  </si>
  <si>
    <t>NARAGSAK DMD FARMERS IRRIGATORS ASSOCIATION INC.</t>
  </si>
  <si>
    <t>Domanpot, Asingan, PANGASINAN</t>
  </si>
  <si>
    <t>Bless Multipurpose Cooperative</t>
  </si>
  <si>
    <t>San Pedro West, Rosales, PANGASINAN</t>
  </si>
  <si>
    <t>NAEVAM IRRIGATORS ASSOCIATION, INC.</t>
  </si>
  <si>
    <t>Nangapugan, San Quintin, PANGASINAN</t>
  </si>
  <si>
    <t>Santa Maria Pangasinan Integrated Farming Association, Inc.</t>
  </si>
  <si>
    <t>Poblacion West, Santa Maria, PANGASINAN</t>
  </si>
  <si>
    <t>Bliss Buenlag Group of Small Farmers Association Inc.</t>
  </si>
  <si>
    <t>ALACSAN SQ IRRIGATORS ASSOCIATION, INC</t>
  </si>
  <si>
    <t>Alac, San Quintin, PANGASINAN</t>
  </si>
  <si>
    <t>CABALIN DIPALO IRRIGATORS ASSOCIATION, INC.</t>
  </si>
  <si>
    <t>Cabangaran, San Quintin, PANGASINAN</t>
  </si>
  <si>
    <t>BARANGAY BANUGAO FARMERS ASSOCIATION</t>
  </si>
  <si>
    <t>Banugao, Infanta, Quezon</t>
  </si>
  <si>
    <t>MAUBAN FARMERS ASSOCIATION</t>
  </si>
  <si>
    <t>Rizaliana, Mauban, Quezon</t>
  </si>
  <si>
    <t>NAGKAKAISANG MAGSASAKA NG BANTIGUE IRRIGATORS ASSN., INC.</t>
  </si>
  <si>
    <t>Bantigue, Pagbilao, Quezon</t>
  </si>
  <si>
    <t>Alupaye Farmers Central Irrigators Association, Inc.</t>
  </si>
  <si>
    <t>Alupaye, Pagbilao, Quezon</t>
  </si>
  <si>
    <t>MAPAGONG FARMERS IRROGATORS ASSN. INC.</t>
  </si>
  <si>
    <t>Mapagong, Pagbilao, Quezon</t>
  </si>
  <si>
    <t>TUBIG BIYAYA IRRIGATORS' ASSOCIATION, INC.</t>
  </si>
  <si>
    <t>Binahaan, Pagbilao, Quezon</t>
  </si>
  <si>
    <t>Taluong -Quedanom Irrigators Association</t>
  </si>
  <si>
    <t>Taluong, Polillo, Quezon</t>
  </si>
  <si>
    <t>SAMAHAN NG MGA MAGSASAKA NG PAHINGA NORTE</t>
  </si>
  <si>
    <t>Pahinga Norte, Candelaria, Quezon</t>
  </si>
  <si>
    <t>SAN ISIDRO-CANDELARIA FARMERS ASSOCIATION</t>
  </si>
  <si>
    <t>San Isidro, Candelaria, Quezon</t>
  </si>
  <si>
    <t>Yakap at Halik Multi-Purpose Cooperative Quezon 1 (YHMPCQ1)</t>
  </si>
  <si>
    <t>Poblacion, Candelaria, Quezon</t>
  </si>
  <si>
    <t>DAKILANG SULOK FARMERS' ASSOCIATION, INC.</t>
  </si>
  <si>
    <t>Mayao Castillo, Lucena City, Quezon</t>
  </si>
  <si>
    <t>Lucena City Farmers Federation Multi-Purpose Cooperative</t>
  </si>
  <si>
    <t>Salinas, Lucena City, Quezon</t>
  </si>
  <si>
    <t>TUMBAGA I BUCAL IRRIGATORS ASSOCIATION, INC.</t>
  </si>
  <si>
    <t>Tumbaga I, Sariaya, Quezon</t>
  </si>
  <si>
    <t>SAN ISIDRO FARMER'S ASSOCIATION</t>
  </si>
  <si>
    <t>San Isidro, Tiaong, Quezon</t>
  </si>
  <si>
    <t>LALIG FARMERS ASSOCIATION</t>
  </si>
  <si>
    <t>Lalig, Tiaong, Quezon</t>
  </si>
  <si>
    <t>PEDERASYON NG MGA SAMAHAN NG MAGSASAKA NG TIAONG, QUEZON</t>
  </si>
  <si>
    <t>Poblacion 3, Tiaong, Quezon</t>
  </si>
  <si>
    <t>MULANAY RICE FARMERS FEDERATION</t>
  </si>
  <si>
    <t>Barangay 1, Malunay, Quezon</t>
  </si>
  <si>
    <t>BARANGAY SAN LUIS 1 HEALTHY FARMING ASSOCIATION</t>
  </si>
  <si>
    <t>San Luis 1, Guinayangan, Quezon</t>
  </si>
  <si>
    <t>BARANGAY BUENAVISTA FARMERS ASSOCIATION</t>
  </si>
  <si>
    <t>Buenavista, Lopez, Quezon</t>
  </si>
  <si>
    <t>SAN ROQUE FARMERS ASSOCIATION</t>
  </si>
  <si>
    <t>San Roque, Lopez, Quezon</t>
  </si>
  <si>
    <t>RIMAPI Farmers Association</t>
  </si>
  <si>
    <t>Mainit Sur, Perez, Quezon</t>
  </si>
  <si>
    <t>BUKAL FARMERS ASSOCIATION</t>
  </si>
  <si>
    <t>Bukal, Tagkawayan, Quezon</t>
  </si>
  <si>
    <t>AGOS NG PAG-ASA KATAKIAN IRRIGATORS' ASSOCIATION INCORPORATED</t>
  </si>
  <si>
    <t>Landing, Tagkawayan, Quezon</t>
  </si>
  <si>
    <t>BARANGAY PAYAPA FARMERS ASSOCIATION</t>
  </si>
  <si>
    <t>Payapa, Tagkawayan, Quezon</t>
  </si>
  <si>
    <t>KULTIHAN-KAMPUKLO-TUBUHAN-POOK (KTTP) FARMERS ASSOCIATION</t>
  </si>
  <si>
    <t>Buenavista West, Candelaria, Quezon</t>
  </si>
  <si>
    <t>QUEZON PALAY SEEDGROWERS ASSOCIATION INC.</t>
  </si>
  <si>
    <t>Santa Catalina Sur, Candelaria, QUEZON</t>
  </si>
  <si>
    <t>LUMINGON FARMERS ASSOCIATION</t>
  </si>
  <si>
    <t>Lumingon, Tiaong, QUEZON</t>
  </si>
  <si>
    <t>SINTORISAN-BEHIA SWISA INC.</t>
  </si>
  <si>
    <t>Behia, Tiaong, QUEZON</t>
  </si>
  <si>
    <t>UGNAYAN NG MAGSASAKA FARMERS ASSOCIATION</t>
  </si>
  <si>
    <t>Lusacan, Tiaong, QUEZON</t>
  </si>
  <si>
    <t>TAGA SAN MARCOS IRRIGATORS' ASSOCIATION, INC.</t>
  </si>
  <si>
    <t>San Marcos, Cabarroguis, QUIRINO</t>
  </si>
  <si>
    <t>VILLAGUNDA IRRIGATORS ASSOCIATION INC.</t>
  </si>
  <si>
    <t>Gundaway (Pob.), Cabarroguis, QUIRINO</t>
  </si>
  <si>
    <t>Balagbag Farmers Association</t>
  </si>
  <si>
    <t>Balagbag, Diffun, QUIRINO</t>
  </si>
  <si>
    <t>LUCBAN-GABRIELA IRRIGATORS ASSOCIATION INC.</t>
  </si>
  <si>
    <t>Gabriela Silang, Diffun, QUIRINO</t>
  </si>
  <si>
    <t>Villa Pascua Multi-Purpose Cooperative</t>
  </si>
  <si>
    <t>Villa Pascua, Diffun, QUIRINO</t>
  </si>
  <si>
    <t>Cabaruan Main Extension Irrigators Association, Inc.</t>
  </si>
  <si>
    <t>Cabaruan, Maddela, QUIRINO</t>
  </si>
  <si>
    <t>DINAIT CAPILLANGAN IRRIGATORS' ASSOCIATION, INC.</t>
  </si>
  <si>
    <t>Villamor, Cabarroguis, QUIRINO</t>
  </si>
  <si>
    <t>Diffun Saranay and Development Cooperative (DISADECO)</t>
  </si>
  <si>
    <t>Andres Bonifacio (Pob.), Diffun, QUIRINO</t>
  </si>
  <si>
    <t>Maria Clara Irrigators Agriculture Cooperative</t>
  </si>
  <si>
    <t>Maria Clara, Diffun, QUIRINO</t>
  </si>
  <si>
    <t>Pusuac Multi-Purpose Cooperative</t>
  </si>
  <si>
    <t>TAGAD - DIBUL IRRIGATORS' ASSOCIATION, INC.</t>
  </si>
  <si>
    <t>Dibul, Saguday, QUIRINO</t>
  </si>
  <si>
    <t>Abrasa Multi-Purpose Cooperative</t>
  </si>
  <si>
    <t>VILLA SANTIAGO FARMERS ASSOCIATION</t>
  </si>
  <si>
    <t>Villa Santiago, Aglipay, QUIRINO</t>
  </si>
  <si>
    <t>Maddela Auto Savings Multi-Purpose Cooperative</t>
  </si>
  <si>
    <t>Poblacion Norte, Maddela, QUIRINO</t>
  </si>
  <si>
    <t>Dumanisi arb Multipurpose Cooperative (DARBENCO MPC)</t>
  </si>
  <si>
    <t>Dumanisi, Diffun, Quirino</t>
  </si>
  <si>
    <t>POVILUS FARMERS AND ENTREPRENEURS ASSOCIATION INC.</t>
  </si>
  <si>
    <t>Poblacion Norte,Maddela, Quirino</t>
  </si>
  <si>
    <t>SALANG BATA FARMERS IRRIGATORS ASSOCIATION INC.</t>
  </si>
  <si>
    <t>Kaybuto (Pob.), Tanay, RIZAL</t>
  </si>
  <si>
    <t>SALANG MATANDA FARMERS ASSOCIATION OF TANAY INC.</t>
  </si>
  <si>
    <t>Plaza Aldea (Pob.), Tanay, RIZAL</t>
  </si>
  <si>
    <t>LICTIN USWAG IRRIGATORS ASSOCIATION INC.</t>
  </si>
  <si>
    <t>Trece Martirez, Casiguran, SORSOGON</t>
  </si>
  <si>
    <t>PUROK PALAYAN AMIA VILLAGE DINAPA FARMERS ASSOCIATION</t>
  </si>
  <si>
    <t>Dinapa, Castilla, SORSOGON</t>
  </si>
  <si>
    <t>Municipal Local Government Unit of Donsol</t>
  </si>
  <si>
    <t>Awai, Donsol, SORSOGON</t>
  </si>
  <si>
    <t>ALINAO IRRIGATORS' ASSOCIATION, INC.</t>
  </si>
  <si>
    <t>Bibincahan, Sorsogon City, SORSOGON</t>
  </si>
  <si>
    <t>City Local Government Unit of Sorsogon</t>
  </si>
  <si>
    <t>Cabid-An, Sorsogon City, SORSOGON</t>
  </si>
  <si>
    <t>Gatbo Farmers Irrigators Association (GAFIA)</t>
  </si>
  <si>
    <t>Gatbo, Sorsogon City, SORSOGON</t>
  </si>
  <si>
    <t>SAMAHANG MAGSASAKA NG SAN ISIDRO BACON INC.</t>
  </si>
  <si>
    <t>San Isidro (Bacon District), Sorsogon City, SORSOGON</t>
  </si>
  <si>
    <t>Sawanga Farmers Association</t>
  </si>
  <si>
    <t>Sawanga, Sorsogon City, SORSOGON</t>
  </si>
  <si>
    <t>BIGKIS SAN PARAOMA SA BULAN (BPB), INC.</t>
  </si>
  <si>
    <t>Somagongsong, Bulan, SORSOGON</t>
  </si>
  <si>
    <t>Samahan ng mga Magsasaka ng Brgy. Sta. Remedios</t>
  </si>
  <si>
    <t>Santa Remedios, Bulan, SORSOGON</t>
  </si>
  <si>
    <t>TIRIS INTEGRATED FARMERS ASSOCIATION (TIFA)</t>
  </si>
  <si>
    <t>Tiris, Gubat, SORSOGON</t>
  </si>
  <si>
    <t>ILAWOD SAGAP SARARO PARAOMA ASOSASYON (ISSAPA)</t>
  </si>
  <si>
    <t>Macawayan, Irosin, SORSOGON</t>
  </si>
  <si>
    <t>SAINT JOSEPH THE WORKER FARMERS ASSOCIATION INC.</t>
  </si>
  <si>
    <t>San Jose North, Anao, TARLAC</t>
  </si>
  <si>
    <t>4252300210179072</t>
  </si>
  <si>
    <t>Bantog Anao Bagong Sibol Farmers Association Inc.</t>
  </si>
  <si>
    <t>Bantog, Anao, TARLAC</t>
  </si>
  <si>
    <t>4252300210179635</t>
  </si>
  <si>
    <t>Brgy. Bantog Anao Rang-Ay Iti Farmers Association Inc.</t>
  </si>
  <si>
    <t>4252300210179064</t>
  </si>
  <si>
    <t>BAMBAN AGRICULTURAL FARMERS ASSOCIATION</t>
  </si>
  <si>
    <t>Anupul, Bamban, TARLAC</t>
  </si>
  <si>
    <t>TAMBUGAN FARMERS ASSOCIATION</t>
  </si>
  <si>
    <t>Tambugan, Camiling, TARLAC</t>
  </si>
  <si>
    <t>Cabanabaan Farmer's Livelihood Association Incorporation</t>
  </si>
  <si>
    <t>Cabanabaan, Camiling, TARLAC</t>
  </si>
  <si>
    <t>SINBACAMA Farmers Irrigators Association Inc.</t>
  </si>
  <si>
    <t>Matubog, Camiling, TARLAC</t>
  </si>
  <si>
    <t>Sta. Maria Kapatanian Agriculture Cooperative</t>
  </si>
  <si>
    <t>Santa Maria, Camiling, TARLAC</t>
  </si>
  <si>
    <t>Lucky 9 Farmers Agriculture Cooperative</t>
  </si>
  <si>
    <t>Dolores, Capas, TARLAC</t>
  </si>
  <si>
    <t>4252300210179734</t>
  </si>
  <si>
    <t>One Binyayan Farmers Agriculture Cooperative</t>
  </si>
  <si>
    <t>O'Donnell, Capas, TARLAC</t>
  </si>
  <si>
    <t>Aranguren Agriculture Cooperative (AA Coop)</t>
  </si>
  <si>
    <t>Aranguren, Capas, TARLAC</t>
  </si>
  <si>
    <t>KAYANTABE FARMERS IRRIGATOR AGRICULTURE COOPERATIVE</t>
  </si>
  <si>
    <t>Santo Rosario, Capas, TARLAC</t>
  </si>
  <si>
    <t>Sta. Rosa Concepcion Farmers Agriculture Cooperative</t>
  </si>
  <si>
    <t>Santa Rosa, Concepcion, TARLAC</t>
  </si>
  <si>
    <t>Bagong Sibul Farmers Agriculture Cooperative</t>
  </si>
  <si>
    <t>Castillo, Concepcion, TARLAC</t>
  </si>
  <si>
    <t>4252300210179668</t>
  </si>
  <si>
    <t>Santiago Nagkakaisa Agriculture Cooperative</t>
  </si>
  <si>
    <t>Santiago, Gerona, TARLAC</t>
  </si>
  <si>
    <t>Mapalad Farmers Field School Agriculture Cooperative</t>
  </si>
  <si>
    <t>Lomboy, La Paz, TARLAC</t>
  </si>
  <si>
    <t>Macalong Farmers Agriculture Cooperative</t>
  </si>
  <si>
    <t>Macalong, La Paz, TARLAC</t>
  </si>
  <si>
    <t>BAGONG JERUSALEM FARMERS FIELD SCHOOL</t>
  </si>
  <si>
    <t>Dumarais, La Paz, TARLAC</t>
  </si>
  <si>
    <t>MAYANG UNITED FARMERS AGRICULTURE COOPERATIVE</t>
  </si>
  <si>
    <t>Mayang, La Paz, TARLAC</t>
  </si>
  <si>
    <t>TAGA LA PAZ TARLAC AGRICULTURE COOPERATIVE</t>
  </si>
  <si>
    <t>BRGY. POBLACION SUR AGRICULTURAL FARMERS ASSOCIATION</t>
  </si>
  <si>
    <t>Poblacion Sur, Mayantoc, TARLAC</t>
  </si>
  <si>
    <t>CAMANGAAN WEST LANDOWNERS AND FARMERS IRRIGATORS ASSOCIATION INC.</t>
  </si>
  <si>
    <t>Camangaan West, Moncada, TARLAC</t>
  </si>
  <si>
    <t>4252300210178355</t>
  </si>
  <si>
    <t>TOLEGA NORTE FARMERS ASSOCIATION</t>
  </si>
  <si>
    <t>Tolega Norte, Moncada, TARLAC</t>
  </si>
  <si>
    <t>4252300210179783</t>
  </si>
  <si>
    <t>ACOCOLAO AGRI-FARMER'S ASSOCIATION</t>
  </si>
  <si>
    <t>Acocolao, Paniqui, TARLAC</t>
  </si>
  <si>
    <t>4252300210179676</t>
  </si>
  <si>
    <t>Samput Farmers Association Inc.</t>
  </si>
  <si>
    <t>Samput, Paniqui, TARLAC</t>
  </si>
  <si>
    <t>4252300210179114</t>
  </si>
  <si>
    <t>DAPDAP PANIQUI FARMER IRRIGATORS ASSOCIATION INC.</t>
  </si>
  <si>
    <t>Dapdap, Paniqui, TARLAC</t>
  </si>
  <si>
    <t>4252300210179056</t>
  </si>
  <si>
    <t>FARMERS IRRIGATORS ASSOCATION POB. 2 PURA TARLAC, INC.</t>
  </si>
  <si>
    <t>Poblacion 2, Pura, TARLAC</t>
  </si>
  <si>
    <t>4252300210179031</t>
  </si>
  <si>
    <t>MANNALON NGA NAURNOS TI PURA FARMERS ASSOCIATION Inc.</t>
  </si>
  <si>
    <t>Estipona, Pura, TARLAC</t>
  </si>
  <si>
    <t>4252300210179148</t>
  </si>
  <si>
    <t>Pura Farmers Agriculture Cooperative (PFAC)</t>
  </si>
  <si>
    <t>4252300210179627</t>
  </si>
  <si>
    <t>Bakara Farmers Agriculture Cooperative (BFAC)</t>
  </si>
  <si>
    <t>Toledo, Ramos, TARLAC</t>
  </si>
  <si>
    <t>4252300210177845</t>
  </si>
  <si>
    <t>GP 125 IRRIGATION SERVICE ASSOCIATION INC.</t>
  </si>
  <si>
    <t>Pance, Ramos, TARLAC</t>
  </si>
  <si>
    <t>GP-124 Irrigation Services Association Inc.</t>
  </si>
  <si>
    <t>Coral-Iloco, Ramos, TARLAC</t>
  </si>
  <si>
    <t>Mandala Farmers Agriculture Cooperative (MFC)</t>
  </si>
  <si>
    <t>4252300210179049</t>
  </si>
  <si>
    <t>BAMBAN FARMERS AND LIVESTOCK ASSOCIATION</t>
  </si>
  <si>
    <t>Bamban, San Clemente, TARLAC</t>
  </si>
  <si>
    <t>BALLOC FARMERS ASSOCIATION</t>
  </si>
  <si>
    <t>Balloc, San Clemente, TARLAC</t>
  </si>
  <si>
    <t>ASSOCIATION OF HARDWORKING FARMERS OF SAN JOSE</t>
  </si>
  <si>
    <t>Mababanaba, San Jose, TARLAC</t>
  </si>
  <si>
    <t>4252300210179684</t>
  </si>
  <si>
    <t>David Communal Irrigators Association Incorporated</t>
  </si>
  <si>
    <t>David, San Jose, TARLAC</t>
  </si>
  <si>
    <t>4252300210179726</t>
  </si>
  <si>
    <t>BSSN FARMERS IRRIGATORS ASSOCIATION INC.</t>
  </si>
  <si>
    <t>San Narciso, San Manuel, TARLAC</t>
  </si>
  <si>
    <t>4252300210179692</t>
  </si>
  <si>
    <t>PADA-PADA STA. IGNACIA OFW AND FARMERS ASSOCIATION</t>
  </si>
  <si>
    <t>Padapada, Santa Ignacia, TARLAC</t>
  </si>
  <si>
    <t>TRICUL FARMER IRRIGATORS ASSOCIATION, INC.</t>
  </si>
  <si>
    <t>Culipat, Tarlac City, TARLAC</t>
  </si>
  <si>
    <t>SITE GUAVA FARMERS INCORPORATED</t>
  </si>
  <si>
    <t>Armenia, Tarlac City, TARLAC</t>
  </si>
  <si>
    <t>Dela Paz South Farmers Irrigators Association, Inc.</t>
  </si>
  <si>
    <t>Dela Paz, Tarlac City, TARLAC</t>
  </si>
  <si>
    <t>4252300210179643</t>
  </si>
  <si>
    <t>TARLAC GROUNDWATER 66 MANGOLAGO FARMERS ASSOCIATIONS INC.</t>
  </si>
  <si>
    <t>Mangolago, Victoria, TARLAC</t>
  </si>
  <si>
    <t>Barangay Cruz Victoria Tarlac Farmers Irrigator Association Inc.</t>
  </si>
  <si>
    <t>Cruz, Victoria, TARLAC</t>
  </si>
  <si>
    <t>P-38 Farmers Irrigators Association Inc</t>
  </si>
  <si>
    <t>Canarem, Victoria, TARLAC</t>
  </si>
  <si>
    <t>UNITED PRODUCTIVE FARMERS OF CALIBUNGAN INC.</t>
  </si>
  <si>
    <t>Calibungan, Victoria, TARLAC</t>
  </si>
  <si>
    <t>BARING SAN NICOLAS FARMERS ASSOCIATION</t>
  </si>
  <si>
    <t>San Nicolas, Castillejos, ZAMBALES</t>
  </si>
  <si>
    <t>LIOZON FISHERFOLKS AND FARMERS' ASSOCIATION</t>
  </si>
  <si>
    <t>Liozon, Palauig, ZAMBALES</t>
  </si>
  <si>
    <t>BURGOS, LUNA, SAN JUAN(BLSJ) IRRIGATORS ASSOCIATION INC.</t>
  </si>
  <si>
    <t>Luna (Pob.), San Antonio, ZAMBALES</t>
  </si>
  <si>
    <t>Guinabon Multipurpose Cooperative,Inc.</t>
  </si>
  <si>
    <t>Guinabon, Santa Cruz, ZAMBALES</t>
  </si>
  <si>
    <t>MASAGANANG BUKIRIN FARMERS ASSOCIATION</t>
  </si>
  <si>
    <t>La Paz (Pob.), San Marcelino, ZAMBALES</t>
  </si>
  <si>
    <t>MAGSASAKA NG BAGONG HENERASYON NG BARANGAY SIMMINUBLAN (MBHBS)</t>
  </si>
  <si>
    <t>Siminublan, San Narciso, ZAMBALES</t>
  </si>
  <si>
    <t>MALIPA FARMERS ASSOCIATION</t>
  </si>
  <si>
    <t>Nagbayan, Castillejos, ZAMBALES</t>
  </si>
  <si>
    <t>Matiques Farmers Association</t>
  </si>
  <si>
    <t>Santa Fe, San Marcelino, ZAMBALES</t>
  </si>
  <si>
    <t>Zambales Agri-Farmers Entrepreneurship Association (ZAFEA) Inc.</t>
  </si>
  <si>
    <t>San Isidro (Pob.), San Marcelino, ZAMBALES</t>
  </si>
  <si>
    <t>Zambales Competitive Farmers Association Inc.</t>
  </si>
  <si>
    <t>Laoag, San Marcelino, ZAMBALES</t>
  </si>
  <si>
    <t>MUNICIPAL LOCAL GOVERNMENT UNIT OF BOTOLAN</t>
  </si>
  <si>
    <t>Batonlapoc, Botolan, ZAMBALES</t>
  </si>
  <si>
    <t>Babancal Alindayat Farmers/Irrigators Association Inc.</t>
  </si>
  <si>
    <t>Babancal, Candelaria, ZAMBALES</t>
  </si>
  <si>
    <t>MUNICIPAL LOCAL GOVERNMENT UNIT OF CANDELARIA</t>
  </si>
  <si>
    <t>Poblacion, Candelaria, ZAMBALES</t>
  </si>
  <si>
    <t>KAWAYAN KILING AMUNGAN FARMERS ASSOCIATION (KKAFA)</t>
  </si>
  <si>
    <t>Amungan, Iba, ZAMBALES</t>
  </si>
  <si>
    <t>MUNICIPAL LOCAL GOVERNMENT UNIT OF IBA</t>
  </si>
  <si>
    <t>Zone 1 Pob. (Libaba), Iba, ZAMBALES</t>
  </si>
  <si>
    <t>BULAWEN INTEGRATED FARMERS ASSOCIATION</t>
  </si>
  <si>
    <t>Bulawen, Palauig, ZAMBALES</t>
  </si>
  <si>
    <t>SAGPAT-BALINTAGAK-LIVESTOCK-IRRIGATORS AND ORGANIC FARMERS ASSOCIATION (SABALIOFA)</t>
  </si>
  <si>
    <t>Maloma, San Felipe, ZAMBALES</t>
  </si>
  <si>
    <t>Municipal Local Government Unit of San Narciso</t>
  </si>
  <si>
    <t>Libertad (Pob.), San Narciso, ZAMBALES</t>
  </si>
  <si>
    <t>Casantacruzan Mabangcal Farmers Association</t>
  </si>
  <si>
    <t>Beddeng, San Narciso, ZAMBALES</t>
  </si>
  <si>
    <t>NEGATIL RICE AND HIGH VALUE CROPS FARMERS ASSOCIATION</t>
  </si>
  <si>
    <t>Grullo, San Narciso, ZAMBALES</t>
  </si>
  <si>
    <t>H2O IRRIGATORS ASSOCIATION INC.</t>
  </si>
  <si>
    <t>Namatacan, San Narciso, ZAMBALES</t>
  </si>
  <si>
    <t>CAWAG FARMERS ASSOCIATION</t>
  </si>
  <si>
    <t>Cawag, Subic, ZAMBALES</t>
  </si>
  <si>
    <t>BAGUMBAYAN FARMERS ASSOCIATION</t>
  </si>
  <si>
    <t>Sta Cruz, Laguna</t>
  </si>
  <si>
    <t>N.E.</t>
  </si>
  <si>
    <t>4252300210178454</t>
  </si>
  <si>
    <t>4252300210178447</t>
  </si>
  <si>
    <t>4252300210178439</t>
  </si>
  <si>
    <t>4252300210178421</t>
  </si>
  <si>
    <t>4252300210178405</t>
  </si>
  <si>
    <t>4252300210178371</t>
  </si>
  <si>
    <t>4252300210179700</t>
  </si>
  <si>
    <t>4252300210179650</t>
  </si>
  <si>
    <t>TARLAC</t>
  </si>
  <si>
    <t>4252300210179130</t>
  </si>
  <si>
    <t>4252300210179163</t>
  </si>
  <si>
    <t>4252300210179171</t>
  </si>
  <si>
    <t>4252300210179197</t>
  </si>
  <si>
    <t>4252300210179080</t>
  </si>
  <si>
    <t>4252300210179098</t>
  </si>
  <si>
    <t>4252300210179122</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</si>
</sst>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 #,##0.00_);_(* \(#,##0.00\);_(* &quot;-&quot;??_);_(@_)"/>
    <numFmt numFmtId="165" formatCode="M/d/yyyy"/>
    <numFmt numFmtId="166" formatCode="m/d/yy"/>
    <numFmt numFmtId="167" formatCode="mmm&quot; &quot;d&quot;, &quot;yyyy"/>
    <numFmt numFmtId="168" formatCode="m/d/yyyy"/>
    <numFmt numFmtId="169" formatCode="mmm. dd, yyyy"/>
    <numFmt numFmtId="170" formatCode="mm/dd/yyyy"/>
  </numFmts>
  <fonts count="6">
    <font>
      <sz val="10.0"/>
      <color rgb="FF000000"/>
      <name val="Arial"/>
      <scheme val="minor"/>
    </font>
    <font>
      <color theme="1"/>
      <name val="Arial"/>
      <scheme val="minor"/>
    </font>
    <font>
      <color rgb="FFFFFFFF"/>
      <name val="Arial"/>
      <scheme val="minor"/>
    </font>
    <font/>
    <font>
      <sz val="11.0"/>
      <color rgb="FF000000"/>
      <name val="Calibri"/>
    </font>
    <font>
      <b/>
      <sz val="11.0"/>
      <color rgb="FF000000"/>
      <name val="Calibri"/>
    </font>
  </fonts>
  <fills count="18">
    <fill>
      <patternFill patternType="none"/>
    </fill>
    <fill>
      <patternFill patternType="lightGray"/>
    </fill>
    <fill>
      <patternFill patternType="solid">
        <fgColor theme="7"/>
        <bgColor theme="7"/>
      </patternFill>
    </fill>
    <fill>
      <patternFill patternType="solid">
        <fgColor rgb="FF741B47"/>
        <bgColor rgb="FF741B47"/>
      </patternFill>
    </fill>
    <fill>
      <patternFill patternType="solid">
        <fgColor rgb="FFFF00FF"/>
        <bgColor rgb="FFFF00FF"/>
      </patternFill>
    </fill>
    <fill>
      <patternFill patternType="solid">
        <fgColor theme="8"/>
        <bgColor theme="8"/>
      </patternFill>
    </fill>
    <fill>
      <patternFill patternType="solid">
        <fgColor rgb="FF3C78D8"/>
        <bgColor rgb="FF3C78D8"/>
      </patternFill>
    </fill>
    <fill>
      <patternFill patternType="solid">
        <fgColor rgb="FF134F5C"/>
        <bgColor rgb="FF134F5C"/>
      </patternFill>
    </fill>
    <fill>
      <patternFill patternType="solid">
        <fgColor rgb="FF1C4587"/>
        <bgColor rgb="FF1C4587"/>
      </patternFill>
    </fill>
    <fill>
      <patternFill patternType="solid">
        <fgColor rgb="FF073763"/>
        <bgColor rgb="FF073763"/>
      </patternFill>
    </fill>
    <fill>
      <patternFill patternType="solid">
        <fgColor theme="1"/>
        <bgColor theme="1"/>
      </patternFill>
    </fill>
    <fill>
      <patternFill patternType="solid">
        <fgColor rgb="FF00FFFF"/>
        <bgColor rgb="FF00FFFF"/>
      </patternFill>
    </fill>
    <fill>
      <patternFill patternType="solid">
        <fgColor rgb="FFFFFF00"/>
        <bgColor rgb="FFFFFF00"/>
      </patternFill>
    </fill>
    <fill>
      <patternFill patternType="solid">
        <fgColor rgb="FFC9DAF8"/>
        <bgColor rgb="FFC9DAF8"/>
      </patternFill>
    </fill>
    <fill>
      <patternFill patternType="solid">
        <fgColor rgb="FFD0E0E3"/>
        <bgColor rgb="FFD0E0E3"/>
      </patternFill>
    </fill>
    <fill>
      <patternFill patternType="solid">
        <fgColor rgb="FFCCCCCC"/>
        <bgColor rgb="FFCCCCCC"/>
      </patternFill>
    </fill>
    <fill>
      <patternFill patternType="solid">
        <fgColor rgb="FFFFFFFF"/>
        <bgColor rgb="FFFFFFFF"/>
      </patternFill>
    </fill>
    <fill>
      <patternFill patternType="solid">
        <fgColor rgb="FFFFF2CC"/>
        <bgColor rgb="FFFFF2CC"/>
      </patternFill>
    </fill>
  </fills>
  <borders count="11">
    <border/>
    <border>
      <bottom style="thin">
        <color rgb="FF000000"/>
      </bottom>
    </border>
    <border>
      <left style="thin">
        <color rgb="FF000000"/>
      </left>
      <bottom style="thin">
        <color rgb="FF000000"/>
      </bottom>
    </border>
    <border>
      <right style="thin">
        <color rgb="FF000000"/>
      </right>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left style="thin">
        <color rgb="FF000000"/>
      </left>
      <top style="thin">
        <color rgb="FF000000"/>
      </top>
    </border>
    <border>
      <right style="thin">
        <color rgb="FF000000"/>
      </right>
      <top style="thin">
        <color rgb="FF000000"/>
      </top>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3" xfId="0" applyFont="1" applyNumberFormat="1"/>
    <xf borderId="0" fillId="0" fontId="1" numFmtId="0" xfId="0" applyFont="1"/>
    <xf borderId="0" fillId="0" fontId="1" numFmtId="49" xfId="0" applyFont="1" applyNumberFormat="1"/>
    <xf borderId="1" fillId="0" fontId="1" numFmtId="0" xfId="0" applyAlignment="1" applyBorder="1" applyFont="1">
      <alignment horizontal="center" shrinkToFit="0" vertical="top" wrapText="1"/>
    </xf>
    <xf borderId="1" fillId="2" fontId="2" numFmtId="0" xfId="0" applyAlignment="1" applyBorder="1" applyFill="1" applyFont="1">
      <alignment horizontal="center" readingOrder="0" shrinkToFit="0" vertical="top" wrapText="1"/>
    </xf>
    <xf borderId="1" fillId="3" fontId="2" numFmtId="0" xfId="0" applyAlignment="1" applyBorder="1" applyFill="1" applyFont="1">
      <alignment horizontal="center" readingOrder="0" shrinkToFit="0" vertical="top" wrapText="1"/>
    </xf>
    <xf borderId="1" fillId="4" fontId="1" numFmtId="0" xfId="0" applyAlignment="1" applyBorder="1" applyFill="1" applyFont="1">
      <alignment horizontal="center" readingOrder="0" shrinkToFit="0" vertical="top" wrapText="1"/>
    </xf>
    <xf borderId="1" fillId="5" fontId="1" numFmtId="0" xfId="0" applyAlignment="1" applyBorder="1" applyFill="1" applyFont="1">
      <alignment horizontal="center" readingOrder="0" shrinkToFit="0" vertical="top" wrapText="1"/>
    </xf>
    <xf borderId="1" fillId="6" fontId="2" numFmtId="0" xfId="0" applyAlignment="1" applyBorder="1" applyFill="1" applyFont="1">
      <alignment horizontal="center" shrinkToFit="0" vertical="top" wrapText="1"/>
    </xf>
    <xf borderId="1" fillId="6" fontId="2" numFmtId="0" xfId="0" applyAlignment="1" applyBorder="1" applyFont="1">
      <alignment horizontal="center" readingOrder="0" shrinkToFit="0" vertical="top" wrapText="1"/>
    </xf>
    <xf borderId="2" fillId="7" fontId="2" numFmtId="0" xfId="0" applyAlignment="1" applyBorder="1" applyFill="1" applyFont="1">
      <alignment horizontal="center" readingOrder="0" shrinkToFit="0" vertical="top" wrapText="1"/>
    </xf>
    <xf borderId="1" fillId="0" fontId="3" numFmtId="0" xfId="0" applyBorder="1" applyFont="1"/>
    <xf borderId="1" fillId="7" fontId="2" numFmtId="0" xfId="0" applyAlignment="1" applyBorder="1" applyFont="1">
      <alignment horizontal="center" shrinkToFit="0" vertical="top" wrapText="1"/>
    </xf>
    <xf borderId="3" fillId="7" fontId="2" numFmtId="0" xfId="0" applyAlignment="1" applyBorder="1" applyFont="1">
      <alignment horizontal="center" shrinkToFit="0" vertical="top" wrapText="1"/>
    </xf>
    <xf borderId="1" fillId="8" fontId="2" numFmtId="0" xfId="0" applyAlignment="1" applyBorder="1" applyFill="1" applyFont="1">
      <alignment horizontal="center" readingOrder="0" shrinkToFit="0" vertical="top" wrapText="1"/>
    </xf>
    <xf borderId="1" fillId="8" fontId="2" numFmtId="0" xfId="0" applyAlignment="1" applyBorder="1" applyFont="1">
      <alignment horizontal="center" shrinkToFit="0" vertical="top" wrapText="1"/>
    </xf>
    <xf borderId="2" fillId="9" fontId="2" numFmtId="0" xfId="0" applyAlignment="1" applyBorder="1" applyFill="1" applyFont="1">
      <alignment horizontal="center" readingOrder="0" shrinkToFit="0" vertical="top" wrapText="1"/>
    </xf>
    <xf borderId="3" fillId="9" fontId="2" numFmtId="0" xfId="0" applyAlignment="1" applyBorder="1" applyFont="1">
      <alignment horizontal="center" shrinkToFit="0" vertical="top" wrapText="1"/>
    </xf>
    <xf borderId="1" fillId="7" fontId="2" numFmtId="0" xfId="0" applyAlignment="1" applyBorder="1" applyFont="1">
      <alignment horizontal="center" readingOrder="0" shrinkToFit="0" vertical="top" wrapText="1"/>
    </xf>
    <xf borderId="1" fillId="10" fontId="1" numFmtId="0" xfId="0" applyAlignment="1" applyBorder="1" applyFill="1" applyFont="1">
      <alignment horizontal="center" shrinkToFit="0" vertical="top" wrapText="1"/>
    </xf>
    <xf borderId="1" fillId="11" fontId="1" numFmtId="0" xfId="0" applyAlignment="1" applyBorder="1" applyFill="1" applyFont="1">
      <alignment horizontal="center" readingOrder="0" shrinkToFit="0" vertical="top" wrapText="1"/>
    </xf>
    <xf borderId="1" fillId="0" fontId="1" numFmtId="0" xfId="0" applyAlignment="1" applyBorder="1" applyFont="1">
      <alignment horizontal="center" readingOrder="0" shrinkToFit="0" vertical="top" wrapText="1"/>
    </xf>
    <xf borderId="4" fillId="0" fontId="1" numFmtId="0" xfId="0" applyAlignment="1" applyBorder="1" applyFont="1">
      <alignment horizontal="center" shrinkToFit="0" vertical="top" wrapText="1"/>
    </xf>
    <xf borderId="4" fillId="2" fontId="2" numFmtId="0" xfId="0" applyAlignment="1" applyBorder="1" applyFont="1">
      <alignment horizontal="center" readingOrder="0" shrinkToFit="0" vertical="top" wrapText="1"/>
    </xf>
    <xf borderId="4" fillId="3" fontId="2" numFmtId="0" xfId="0" applyAlignment="1" applyBorder="1" applyFont="1">
      <alignment horizontal="center" readingOrder="0" shrinkToFit="0" vertical="top" wrapText="1"/>
    </xf>
    <xf borderId="4" fillId="12" fontId="1" numFmtId="0" xfId="0" applyAlignment="1" applyBorder="1" applyFill="1" applyFont="1">
      <alignment horizontal="center" readingOrder="0" shrinkToFit="0" vertical="top" wrapText="1"/>
    </xf>
    <xf borderId="4" fillId="5" fontId="1" numFmtId="0" xfId="0" applyAlignment="1" applyBorder="1" applyFont="1">
      <alignment horizontal="center" readingOrder="0" shrinkToFit="0" vertical="top" wrapText="1"/>
    </xf>
    <xf borderId="4" fillId="6" fontId="2" numFmtId="0" xfId="0" applyAlignment="1" applyBorder="1" applyFont="1">
      <alignment horizontal="center" shrinkToFit="0" vertical="top" wrapText="1"/>
    </xf>
    <xf borderId="4" fillId="6" fontId="2" numFmtId="0" xfId="0" applyAlignment="1" applyBorder="1" applyFont="1">
      <alignment horizontal="center" readingOrder="0" shrinkToFit="0" vertical="top" wrapText="1"/>
    </xf>
    <xf borderId="5" fillId="7" fontId="2" numFmtId="0" xfId="0" applyAlignment="1" applyBorder="1" applyFont="1">
      <alignment horizontal="center" readingOrder="0" shrinkToFit="0" vertical="top" wrapText="1"/>
    </xf>
    <xf borderId="4" fillId="7" fontId="2" numFmtId="0" xfId="0" applyAlignment="1" applyBorder="1" applyFont="1">
      <alignment horizontal="center" readingOrder="0" shrinkToFit="0" vertical="top" wrapText="1"/>
    </xf>
    <xf borderId="4" fillId="7" fontId="2" numFmtId="0" xfId="0" applyAlignment="1" applyBorder="1" applyFont="1">
      <alignment horizontal="center" shrinkToFit="0" vertical="top" wrapText="1"/>
    </xf>
    <xf borderId="6" fillId="7" fontId="2" numFmtId="0" xfId="0" applyAlignment="1" applyBorder="1" applyFont="1">
      <alignment horizontal="center" shrinkToFit="0" vertical="top" wrapText="1"/>
    </xf>
    <xf borderId="4" fillId="8" fontId="2" numFmtId="0" xfId="0" applyAlignment="1" applyBorder="1" applyFont="1">
      <alignment horizontal="center" readingOrder="0" shrinkToFit="0" vertical="top" wrapText="1"/>
    </xf>
    <xf borderId="4" fillId="8" fontId="2" numFmtId="0" xfId="0" applyAlignment="1" applyBorder="1" applyFont="1">
      <alignment horizontal="center" shrinkToFit="0" vertical="top" wrapText="1"/>
    </xf>
    <xf borderId="5" fillId="9" fontId="2" numFmtId="0" xfId="0" applyAlignment="1" applyBorder="1" applyFont="1">
      <alignment horizontal="center" readingOrder="0" shrinkToFit="0" vertical="top" wrapText="1"/>
    </xf>
    <xf borderId="4" fillId="9" fontId="2" numFmtId="0" xfId="0" applyAlignment="1" applyBorder="1" applyFont="1">
      <alignment horizontal="center" readingOrder="0" shrinkToFit="0" vertical="top" wrapText="1"/>
    </xf>
    <xf borderId="6" fillId="9" fontId="2" numFmtId="0" xfId="0" applyAlignment="1" applyBorder="1" applyFont="1">
      <alignment horizontal="center" shrinkToFit="0" vertical="top" wrapText="1"/>
    </xf>
    <xf borderId="4" fillId="10" fontId="1" numFmtId="0" xfId="0" applyAlignment="1" applyBorder="1" applyFont="1">
      <alignment horizontal="center" shrinkToFit="0" vertical="top" wrapText="1"/>
    </xf>
    <xf borderId="4" fillId="11" fontId="1" numFmtId="0" xfId="0" applyAlignment="1" applyBorder="1" applyFont="1">
      <alignment horizontal="center" readingOrder="0" shrinkToFit="0" vertical="top" wrapText="1"/>
    </xf>
    <xf borderId="4" fillId="0" fontId="1" numFmtId="3" xfId="0" applyAlignment="1" applyBorder="1" applyFont="1" applyNumberFormat="1">
      <alignment horizontal="center" shrinkToFit="0" vertical="top" wrapText="1"/>
    </xf>
    <xf borderId="4" fillId="0" fontId="1" numFmtId="0" xfId="0" applyAlignment="1" applyBorder="1" applyFont="1">
      <alignment shrinkToFit="0" vertical="top" wrapText="1"/>
    </xf>
    <xf borderId="4" fillId="13" fontId="1" numFmtId="0" xfId="0" applyAlignment="1" applyBorder="1" applyFill="1" applyFont="1">
      <alignment shrinkToFit="0" vertical="top" wrapText="1"/>
    </xf>
    <xf borderId="5" fillId="14" fontId="1" numFmtId="0" xfId="0" applyAlignment="1" applyBorder="1" applyFill="1" applyFont="1">
      <alignment horizontal="center" readingOrder="0" shrinkToFit="0" vertical="top" wrapText="1"/>
    </xf>
    <xf borderId="4" fillId="14" fontId="1" numFmtId="0" xfId="0" applyAlignment="1" applyBorder="1" applyFont="1">
      <alignment horizontal="center" readingOrder="0" shrinkToFit="0" vertical="top" wrapText="1"/>
    </xf>
    <xf borderId="4" fillId="14" fontId="1" numFmtId="0" xfId="0" applyAlignment="1" applyBorder="1" applyFont="1">
      <alignment shrinkToFit="0" vertical="top" wrapText="1"/>
    </xf>
    <xf borderId="6" fillId="14" fontId="1" numFmtId="0" xfId="0" applyAlignment="1" applyBorder="1" applyFont="1">
      <alignment shrinkToFit="0" vertical="top" wrapText="1"/>
    </xf>
    <xf borderId="4" fillId="14" fontId="1" numFmtId="0" xfId="0" applyAlignment="1" applyBorder="1" applyFont="1">
      <alignment readingOrder="0" shrinkToFit="0" vertical="top" wrapText="1"/>
    </xf>
    <xf borderId="4" fillId="10" fontId="1" numFmtId="0" xfId="0" applyAlignment="1" applyBorder="1" applyFont="1">
      <alignment shrinkToFit="0" vertical="top" wrapText="1"/>
    </xf>
    <xf borderId="4" fillId="15" fontId="1" numFmtId="0" xfId="0" applyAlignment="1" applyBorder="1" applyFill="1" applyFont="1">
      <alignment shrinkToFit="0" vertical="top" wrapText="1"/>
    </xf>
    <xf borderId="7" fillId="15" fontId="1" numFmtId="0" xfId="0" applyAlignment="1" applyBorder="1" applyFont="1">
      <alignment shrinkToFit="0" vertical="top" wrapText="1"/>
    </xf>
    <xf borderId="7" fillId="0" fontId="1" numFmtId="0" xfId="0" applyAlignment="1" applyBorder="1" applyFont="1">
      <alignment shrinkToFit="0" vertical="top" wrapText="1"/>
    </xf>
    <xf borderId="6" fillId="14" fontId="1" numFmtId="49" xfId="0" applyAlignment="1" applyBorder="1" applyFont="1" applyNumberFormat="1">
      <alignment shrinkToFit="0" vertical="top" wrapText="1"/>
    </xf>
    <xf borderId="4" fillId="14" fontId="1" numFmtId="49" xfId="0" applyAlignment="1" applyBorder="1" applyFont="1" applyNumberFormat="1">
      <alignment shrinkToFit="0" vertical="top" wrapText="1"/>
    </xf>
    <xf borderId="4" fillId="15" fontId="4" numFmtId="0" xfId="0" applyAlignment="1" applyBorder="1" applyFont="1">
      <alignment horizontal="left" readingOrder="0"/>
    </xf>
    <xf borderId="4" fillId="0" fontId="4" numFmtId="0" xfId="0" applyAlignment="1" applyBorder="1" applyFont="1">
      <alignment horizontal="left" readingOrder="0"/>
    </xf>
    <xf borderId="4" fillId="16" fontId="4" numFmtId="0" xfId="0" applyAlignment="1" applyBorder="1" applyFill="1" applyFont="1">
      <alignment horizontal="left" readingOrder="0"/>
    </xf>
    <xf borderId="4" fillId="0" fontId="5" numFmtId="0" xfId="0" applyAlignment="1" applyBorder="1" applyFont="1">
      <alignment horizontal="left" readingOrder="0"/>
    </xf>
    <xf borderId="7" fillId="15" fontId="4" numFmtId="0" xfId="0" applyAlignment="1" applyBorder="1" applyFont="1">
      <alignment horizontal="left" readingOrder="0"/>
    </xf>
    <xf borderId="7" fillId="0" fontId="4" numFmtId="0" xfId="0" applyAlignment="1" applyBorder="1" applyFont="1">
      <alignment horizontal="left" readingOrder="0"/>
    </xf>
    <xf borderId="5" fillId="14" fontId="1" numFmtId="0" xfId="0" applyAlignment="1" applyBorder="1" applyFont="1">
      <alignment horizontal="center" shrinkToFit="0" vertical="top" wrapText="1"/>
    </xf>
    <xf borderId="4" fillId="14" fontId="1" numFmtId="0" xfId="0" applyAlignment="1" applyBorder="1" applyFont="1">
      <alignment horizontal="center" shrinkToFit="0" vertical="top" wrapText="1"/>
    </xf>
    <xf borderId="8" fillId="0" fontId="1" numFmtId="0" xfId="0" applyAlignment="1" applyBorder="1" applyFont="1">
      <alignment horizontal="center" shrinkToFit="0" vertical="top" wrapText="1"/>
    </xf>
    <xf borderId="8" fillId="0" fontId="1" numFmtId="0" xfId="0" applyAlignment="1" applyBorder="1" applyFont="1">
      <alignment shrinkToFit="0" vertical="top" wrapText="1"/>
    </xf>
    <xf borderId="8" fillId="14" fontId="1" numFmtId="0" xfId="0" applyAlignment="1" applyBorder="1" applyFont="1">
      <alignment shrinkToFit="0" vertical="top" wrapText="1"/>
    </xf>
    <xf borderId="9" fillId="14" fontId="1" numFmtId="0" xfId="0" applyAlignment="1" applyBorder="1" applyFont="1">
      <alignment horizontal="center" shrinkToFit="0" vertical="top" wrapText="1"/>
    </xf>
    <xf borderId="8" fillId="14" fontId="1" numFmtId="0" xfId="0" applyAlignment="1" applyBorder="1" applyFont="1">
      <alignment horizontal="center" shrinkToFit="0" vertical="top" wrapText="1"/>
    </xf>
    <xf borderId="10" fillId="14" fontId="1" numFmtId="0" xfId="0" applyAlignment="1" applyBorder="1" applyFont="1">
      <alignment shrinkToFit="0" vertical="top" wrapText="1"/>
    </xf>
    <xf borderId="8" fillId="10" fontId="1" numFmtId="0" xfId="0" applyAlignment="1" applyBorder="1" applyFont="1">
      <alignment shrinkToFit="0" vertical="top" wrapText="1"/>
    </xf>
    <xf borderId="8" fillId="15" fontId="1" numFmtId="0" xfId="0" applyAlignment="1" applyBorder="1" applyFont="1">
      <alignment shrinkToFit="0" vertical="top" wrapText="1"/>
    </xf>
    <xf borderId="0" fillId="17" fontId="1" numFmtId="0" xfId="0" applyFill="1" applyFont="1"/>
    <xf borderId="0" fillId="17" fontId="1" numFmtId="0" xfId="0" applyAlignment="1" applyFont="1">
      <alignment shrinkToFit="0" wrapText="1"/>
    </xf>
    <xf borderId="0" fillId="0" fontId="1" numFmtId="164" xfId="0" applyFont="1" applyNumberFormat="1"/>
    <xf borderId="0" fillId="0" fontId="1" numFmtId="165" xfId="0" applyFont="1" applyNumberFormat="1"/>
    <xf borderId="0" fillId="17" fontId="1" numFmtId="10" xfId="0" applyFont="1" applyNumberFormat="1"/>
    <xf borderId="0" fillId="0" fontId="1" numFmtId="4" xfId="0" applyFont="1" applyNumberFormat="1"/>
    <xf borderId="0" fillId="0" fontId="1" numFmtId="166" xfId="0" applyFont="1" applyNumberFormat="1"/>
    <xf borderId="0" fillId="0" fontId="1" numFmtId="14" xfId="0" applyFont="1" applyNumberFormat="1"/>
    <xf borderId="0" fillId="0" fontId="1" numFmtId="167" xfId="0" applyFont="1" applyNumberFormat="1"/>
    <xf borderId="0" fillId="0" fontId="1" numFmtId="168" xfId="0" applyFont="1" applyNumberFormat="1"/>
    <xf borderId="0" fillId="0" fontId="1" numFmtId="169" xfId="0" applyFont="1" applyNumberFormat="1"/>
    <xf borderId="0" fillId="0" fontId="1" numFmtId="170" xfId="0" applyFont="1" applyNumberFormat="1"/>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s>
  <sheetData>
    <row r="1">
      <c r="A1" s="1" t="str">
        <f>IFERROR(__xludf.DUMMYFUNCTION("IMPORTRANGE(""https://docs.google.com/spreadsheets/d/1SbJSGn0EFbAIXgek3pE0WQkKMu5cg3viyDcV21CNd-w/edit?gid=0#gid=0"",""Tractor!A:T"")"),"")</f>
        <v/>
      </c>
      <c r="B1" s="2" t="str">
        <f>IFERROR(__xludf.DUMMYFUNCTION("""COMPUTED_VALUE"""),"FOUR WHEEL TRACTOR WITH IMPLEMENTS")</f>
        <v>FOUR WHEEL TRACTOR WITH IMPLEMENTS</v>
      </c>
      <c r="C1" s="2"/>
      <c r="D1" s="2"/>
      <c r="E1" s="2">
        <f>IFERROR(__xludf.DUMMYFUNCTION("""COMPUTED_VALUE"""),4.0)</f>
        <v>4</v>
      </c>
      <c r="F1" s="2"/>
      <c r="G1" s="2"/>
      <c r="H1" s="2"/>
      <c r="I1" s="2"/>
      <c r="J1" s="2"/>
      <c r="K1" s="2"/>
      <c r="L1" s="2"/>
      <c r="M1" s="2"/>
      <c r="N1" s="2"/>
      <c r="O1" s="2"/>
      <c r="P1" s="2"/>
      <c r="Q1" s="2"/>
      <c r="R1" s="2"/>
      <c r="S1" s="2"/>
      <c r="T1" s="2"/>
    </row>
    <row r="2">
      <c r="A2" s="1" t="str">
        <f>IFERROR(__xludf.DUMMYFUNCTION("""COMPUTED_VALUE"""),"NO")</f>
        <v>NO</v>
      </c>
      <c r="B2" s="2"/>
      <c r="C2" s="2" t="str">
        <f>IFERROR(__xludf.DUMMYFUNCTION("""COMPUTED_VALUE"""),"Address")</f>
        <v>Address</v>
      </c>
      <c r="D2" s="2" t="str">
        <f>IFERROR(__xludf.DUMMYFUNCTION("""COMPUTED_VALUE"""),"CONTACT PERSON")</f>
        <v>CONTACT PERSON</v>
      </c>
      <c r="E2" s="2" t="str">
        <f>IFERROR(__xludf.DUMMYFUNCTION("""COMPUTED_VALUE"""),"CONTACT NUMBER")</f>
        <v>CONTACT NUMBER</v>
      </c>
      <c r="F2" s="2" t="str">
        <f>IFERROR(__xludf.DUMMYFUNCTION("""COMPUTED_VALUE"""),"Project REF")</f>
        <v>Project REF</v>
      </c>
      <c r="G2" s="2"/>
      <c r="H2" s="2" t="str">
        <f>IFERROR(__xludf.DUMMYFUNCTION("""COMPUTED_VALUE"""),"DR NO.")</f>
        <v>DR NO.</v>
      </c>
      <c r="I2" s="2" t="str">
        <f>IFERROR(__xludf.DUMMYFUNCTION("""COMPUTED_VALUE"""),"Tractor SN")</f>
        <v>Tractor SN</v>
      </c>
      <c r="J2" s="2" t="str">
        <f>IFERROR(__xludf.DUMMYFUNCTION("""COMPUTED_VALUE"""),"Tractor EN")</f>
        <v>Tractor EN</v>
      </c>
      <c r="K2" s="2" t="str">
        <f>IFERROR(__xludf.DUMMYFUNCTION("""COMPUTED_VALUE"""),"Front Loader SN")</f>
        <v>Front Loader SN</v>
      </c>
      <c r="L2" s="2" t="str">
        <f>IFERROR(__xludf.DUMMYFUNCTION("""COMPUTED_VALUE"""),"Rotavator SN")</f>
        <v>Rotavator SN</v>
      </c>
      <c r="M2" s="2" t="str">
        <f>IFERROR(__xludf.DUMMYFUNCTION("""COMPUTED_VALUE"""),"Disc Plow SN")</f>
        <v>Disc Plow SN</v>
      </c>
      <c r="N2" s="2"/>
      <c r="O2" s="2" t="str">
        <f>IFERROR(__xludf.DUMMYFUNCTION("""COMPUTED_VALUE"""),"Barangay")</f>
        <v>Barangay</v>
      </c>
      <c r="P2" s="2"/>
      <c r="Q2" s="2" t="str">
        <f>IFERROR(__xludf.DUMMYFUNCTION("""COMPUTED_VALUE"""),"Province")</f>
        <v>Province</v>
      </c>
      <c r="R2" s="2" t="str">
        <f>IFERROR(__xludf.DUMMYFUNCTION("""COMPUTED_VALUE"""),"REGION")</f>
        <v>REGION</v>
      </c>
      <c r="S2" s="2"/>
      <c r="T2" s="2"/>
    </row>
    <row r="3">
      <c r="A3" s="1">
        <f>IFERROR(__xludf.DUMMYFUNCTION("""COMPUTED_VALUE"""),1.0)</f>
        <v>1</v>
      </c>
      <c r="B3" s="2" t="str">
        <f>IFERROR(__xludf.DUMMYFUNCTION("""COMPUTED_VALUE"""),"TUBUAN-TANZA IRRIGATORS ASSOCIATION, INC.")</f>
        <v>TUBUAN-TANZA IRRIGATORS ASSOCIATION, INC.</v>
      </c>
      <c r="C3" s="2" t="str">
        <f>IFERROR(__xludf.DUMMYFUNCTION("""COMPUTED_VALUE"""),"TUBUAN, PILA, LAGUNA")</f>
        <v>TUBUAN, PILA, LAGUNA</v>
      </c>
      <c r="D3" s="2" t="str">
        <f>IFERROR(__xludf.DUMMYFUNCTION("""COMPUTED_VALUE"""),"Virgilio Cortes")</f>
        <v>Virgilio Cortes</v>
      </c>
      <c r="E3" s="2" t="str">
        <f>IFERROR(__xludf.DUMMYFUNCTION("""COMPUTED_VALUE"""),"0935 4386 214")</f>
        <v>0935 4386 214</v>
      </c>
      <c r="F3" s="2" t="str">
        <f>IFERROR(__xludf.DUMMYFUNCTION("""COMPUTED_VALUE"""),"RCEF 23-08-20 Rebidding")</f>
        <v>RCEF 23-08-20 Rebidding</v>
      </c>
      <c r="G3" s="2">
        <f>IFERROR(__xludf.DUMMYFUNCTION("""COMPUTED_VALUE"""),1.0)</f>
        <v>1</v>
      </c>
      <c r="H3" s="2">
        <f>IFERROR(__xludf.DUMMYFUNCTION("""COMPUTED_VALUE"""),16765.0)</f>
        <v>16765</v>
      </c>
      <c r="I3" s="2" t="str">
        <f>IFERROR(__xludf.DUMMYFUNCTION("""COMPUTED_VALUE"""),"KMC5825AAPFPV0036")</f>
        <v>KMC5825AAPFPV0036</v>
      </c>
      <c r="J3" s="2" t="str">
        <f>IFERROR(__xludf.DUMMYFUNCTION("""COMPUTED_VALUE"""),"PTS100033")</f>
        <v>PTS100033</v>
      </c>
      <c r="K3" s="2" t="str">
        <f>IFERROR(__xludf.DUMMYFUNCTION("""COMPUTED_VALUE"""),"R-SERIES 001 PH")</f>
        <v>R-SERIES 001 PH</v>
      </c>
      <c r="L3" s="2" t="str">
        <f>IFERROR(__xludf.DUMMYFUNCTION("""COMPUTED_VALUE"""),"WR LSGW 0001")</f>
        <v>WR LSGW 0001</v>
      </c>
      <c r="M3" s="2" t="str">
        <f>IFERROR(__xludf.DUMMYFUNCTION("""COMPUTED_VALUE"""),"WR WDP 0001")</f>
        <v>WR WDP 0001</v>
      </c>
      <c r="N3" s="2"/>
      <c r="O3" s="2" t="str">
        <f>IFERROR(__xludf.DUMMYFUNCTION("""COMPUTED_VALUE"""),"Tubuan")</f>
        <v>Tubuan</v>
      </c>
      <c r="P3" s="2" t="str">
        <f>IFERROR(__xludf.DUMMYFUNCTION("""COMPUTED_VALUE"""),"Pila")</f>
        <v>Pila</v>
      </c>
      <c r="Q3" s="2" t="str">
        <f>IFERROR(__xludf.DUMMYFUNCTION("""COMPUTED_VALUE"""),"Laguna")</f>
        <v>Laguna</v>
      </c>
      <c r="R3" s="2" t="str">
        <f>IFERROR(__xludf.DUMMYFUNCTION("""COMPUTED_VALUE"""),"4A")</f>
        <v>4A</v>
      </c>
      <c r="S3" s="2"/>
      <c r="T3" s="2"/>
    </row>
    <row r="4">
      <c r="A4" s="1">
        <f>IFERROR(__xludf.DUMMYFUNCTION("""COMPUTED_VALUE"""),2.0)</f>
        <v>2</v>
      </c>
      <c r="B4" s="2" t="str">
        <f>IFERROR(__xludf.DUMMYFUNCTION("""COMPUTED_VALUE"""),"PILA LAGUNA AGRICULTURE COOPERATIVE (PILAC)")</f>
        <v>PILA LAGUNA AGRICULTURE COOPERATIVE (PILAC)</v>
      </c>
      <c r="C4" s="2" t="str">
        <f>IFERROR(__xludf.DUMMYFUNCTION("""COMPUTED_VALUE"""),"PANSOL, PILA, LAGUNA")</f>
        <v>PANSOL, PILA, LAGUNA</v>
      </c>
      <c r="D4" s="2" t="str">
        <f>IFERROR(__xludf.DUMMYFUNCTION("""COMPUTED_VALUE"""),"BENJAMIN MANUAL")</f>
        <v>BENJAMIN MANUAL</v>
      </c>
      <c r="E4" s="2">
        <f>IFERROR(__xludf.DUMMYFUNCTION("""COMPUTED_VALUE"""),9.750884823E9)</f>
        <v>9750884823</v>
      </c>
      <c r="F4" s="2" t="str">
        <f>IFERROR(__xludf.DUMMYFUNCTION("""COMPUTED_VALUE"""),"RCEF 23-08-20 Rebidding")</f>
        <v>RCEF 23-08-20 Rebidding</v>
      </c>
      <c r="G4" s="2">
        <f>IFERROR(__xludf.DUMMYFUNCTION("""COMPUTED_VALUE"""),1.0)</f>
        <v>1</v>
      </c>
      <c r="H4" s="2">
        <f>IFERROR(__xludf.DUMMYFUNCTION("""COMPUTED_VALUE"""),16767.0)</f>
        <v>16767</v>
      </c>
      <c r="I4" s="2" t="str">
        <f>IFERROR(__xludf.DUMMYFUNCTION("""COMPUTED_VALUE"""),"KMC5825ALPFPV0037")</f>
        <v>KMC5825ALPFPV0037</v>
      </c>
      <c r="J4" s="2" t="str">
        <f>IFERROR(__xludf.DUMMYFUNCTION("""COMPUTED_VALUE"""),"PTS100030")</f>
        <v>PTS100030</v>
      </c>
      <c r="K4" s="2" t="str">
        <f>IFERROR(__xludf.DUMMYFUNCTION("""COMPUTED_VALUE"""),"R-SERIES 005 PH")</f>
        <v>R-SERIES 005 PH</v>
      </c>
      <c r="L4" s="2" t="str">
        <f>IFERROR(__xludf.DUMMYFUNCTION("""COMPUTED_VALUE"""),"WR LSGW 0003")</f>
        <v>WR LSGW 0003</v>
      </c>
      <c r="M4" s="2" t="str">
        <f>IFERROR(__xludf.DUMMYFUNCTION("""COMPUTED_VALUE"""),"WR WDP 0003")</f>
        <v>WR WDP 0003</v>
      </c>
      <c r="N4" s="2"/>
      <c r="O4" s="2" t="str">
        <f>IFERROR(__xludf.DUMMYFUNCTION("""COMPUTED_VALUE"""),"Pansol")</f>
        <v>Pansol</v>
      </c>
      <c r="P4" s="2" t="str">
        <f>IFERROR(__xludf.DUMMYFUNCTION("""COMPUTED_VALUE"""),"Pila")</f>
        <v>Pila</v>
      </c>
      <c r="Q4" s="2" t="str">
        <f>IFERROR(__xludf.DUMMYFUNCTION("""COMPUTED_VALUE"""),"Laguna")</f>
        <v>Laguna</v>
      </c>
      <c r="R4" s="2" t="str">
        <f>IFERROR(__xludf.DUMMYFUNCTION("""COMPUTED_VALUE"""),"4A")</f>
        <v>4A</v>
      </c>
      <c r="S4" s="2"/>
      <c r="T4" s="2"/>
    </row>
    <row r="5">
      <c r="A5" s="1">
        <f>IFERROR(__xludf.DUMMYFUNCTION("""COMPUTED_VALUE"""),3.0)</f>
        <v>3</v>
      </c>
      <c r="B5" s="2" t="str">
        <f>IFERROR(__xludf.DUMMYFUNCTION("""COMPUTED_VALUE"""),"STO. DOMINGO-MAITIM IRRIGATORS ASSOCIATION, INC.")</f>
        <v>STO. DOMINGO-MAITIM IRRIGATORS ASSOCIATION, INC.</v>
      </c>
      <c r="C5" s="2" t="str">
        <f>IFERROR(__xludf.DUMMYFUNCTION("""COMPUTED_VALUE"""),"MAITIM, BAY, LAGUNA")</f>
        <v>MAITIM, BAY, LAGUNA</v>
      </c>
      <c r="D5" s="2" t="str">
        <f>IFERROR(__xludf.DUMMYFUNCTION("""COMPUTED_VALUE"""),"#N/A")</f>
        <v>#N/A</v>
      </c>
      <c r="E5" s="2" t="str">
        <f>IFERROR(__xludf.DUMMYFUNCTION("""COMPUTED_VALUE"""),"#N/A")</f>
        <v>#N/A</v>
      </c>
      <c r="F5" s="2" t="str">
        <f>IFERROR(__xludf.DUMMYFUNCTION("""COMPUTED_VALUE"""),"RCEF 23-08-20 Rebidding")</f>
        <v>RCEF 23-08-20 Rebidding</v>
      </c>
      <c r="G5" s="2">
        <f>IFERROR(__xludf.DUMMYFUNCTION("""COMPUTED_VALUE"""),1.0)</f>
        <v>1</v>
      </c>
      <c r="H5" s="2">
        <f>IFERROR(__xludf.DUMMYFUNCTION("""COMPUTED_VALUE"""),16768.0)</f>
        <v>16768</v>
      </c>
      <c r="I5" s="2" t="str">
        <f>IFERROR(__xludf.DUMMYFUNCTION("""COMPUTED_VALUE"""),"KMC5825AEPFPV0039")</f>
        <v>KMC5825AEPFPV0039</v>
      </c>
      <c r="J5" s="2" t="str">
        <f>IFERROR(__xludf.DUMMYFUNCTION("""COMPUTED_VALUE"""),"PTS100001")</f>
        <v>PTS100001</v>
      </c>
      <c r="K5" s="2" t="str">
        <f>IFERROR(__xludf.DUMMYFUNCTION("""COMPUTED_VALUE"""),"R-SERIES 019 PH")</f>
        <v>R-SERIES 019 PH</v>
      </c>
      <c r="L5" s="2" t="str">
        <f>IFERROR(__xludf.DUMMYFUNCTION("""COMPUTED_VALUE"""),"WR LSGW 0002")</f>
        <v>WR LSGW 0002</v>
      </c>
      <c r="M5" s="2" t="str">
        <f>IFERROR(__xludf.DUMMYFUNCTION("""COMPUTED_VALUE"""),"WR WDP 0002")</f>
        <v>WR WDP 0002</v>
      </c>
      <c r="N5" s="2"/>
      <c r="O5" s="2" t="str">
        <f>IFERROR(__xludf.DUMMYFUNCTION("""COMPUTED_VALUE"""),"Maitim")</f>
        <v>Maitim</v>
      </c>
      <c r="P5" s="2" t="str">
        <f>IFERROR(__xludf.DUMMYFUNCTION("""COMPUTED_VALUE"""),"Bay")</f>
        <v>Bay</v>
      </c>
      <c r="Q5" s="2" t="str">
        <f>IFERROR(__xludf.DUMMYFUNCTION("""COMPUTED_VALUE"""),"Laguna")</f>
        <v>Laguna</v>
      </c>
      <c r="R5" s="2" t="str">
        <f>IFERROR(__xludf.DUMMYFUNCTION("""COMPUTED_VALUE"""),"4A")</f>
        <v>4A</v>
      </c>
      <c r="S5" s="2"/>
      <c r="T5" s="2"/>
    </row>
    <row r="6">
      <c r="A6" s="1">
        <f>IFERROR(__xludf.DUMMYFUNCTION("""COMPUTED_VALUE"""),4.0)</f>
        <v>4</v>
      </c>
      <c r="B6" s="2" t="str">
        <f>IFERROR(__xludf.DUMMYFUNCTION("""COMPUTED_VALUE"""),"BAGONG SAMAHAN NG MAGSASAKA NG PILA, LAGUNA, INC.")</f>
        <v>BAGONG SAMAHAN NG MAGSASAKA NG PILA, LAGUNA, INC.</v>
      </c>
      <c r="C6" s="2" t="str">
        <f>IFERROR(__xludf.DUMMYFUNCTION("""COMPUTED_VALUE"""),"STA CLARA SUR, PILA, LAGUNA")</f>
        <v>STA CLARA SUR, PILA, LAGUNA</v>
      </c>
      <c r="D6" s="2" t="str">
        <f>IFERROR(__xludf.DUMMYFUNCTION("""COMPUTED_VALUE"""),"Ernesto S. Napao")</f>
        <v>Ernesto S. Napao</v>
      </c>
      <c r="E6" s="2">
        <f>IFERROR(__xludf.DUMMYFUNCTION("""COMPUTED_VALUE"""),9.338124621E9)</f>
        <v>9338124621</v>
      </c>
      <c r="F6" s="2" t="str">
        <f>IFERROR(__xludf.DUMMYFUNCTION("""COMPUTED_VALUE"""),"RCEF 23-08-20 Rebidding")</f>
        <v>RCEF 23-08-20 Rebidding</v>
      </c>
      <c r="G6" s="2">
        <f>IFERROR(__xludf.DUMMYFUNCTION("""COMPUTED_VALUE"""),1.0)</f>
        <v>1</v>
      </c>
      <c r="H6" s="2">
        <f>IFERROR(__xludf.DUMMYFUNCTION("""COMPUTED_VALUE"""),16769.0)</f>
        <v>16769</v>
      </c>
      <c r="I6" s="2" t="str">
        <f>IFERROR(__xludf.DUMMYFUNCTION("""COMPUTED_VALUE"""),"KMC5825AJPFPV0016")</f>
        <v>KMC5825AJPFPV0016</v>
      </c>
      <c r="J6" s="2" t="str">
        <f>IFERROR(__xludf.DUMMYFUNCTION("""COMPUTED_VALUE"""),"PTS100028")</f>
        <v>PTS100028</v>
      </c>
      <c r="K6" s="2" t="str">
        <f>IFERROR(__xludf.DUMMYFUNCTION("""COMPUTED_VALUE"""),"R-SERIES 010 PH")</f>
        <v>R-SERIES 010 PH</v>
      </c>
      <c r="L6" s="2" t="str">
        <f>IFERROR(__xludf.DUMMYFUNCTION("""COMPUTED_VALUE"""),"WR LSGW 0004")</f>
        <v>WR LSGW 0004</v>
      </c>
      <c r="M6" s="2" t="str">
        <f>IFERROR(__xludf.DUMMYFUNCTION("""COMPUTED_VALUE"""),"WR WDP 0004")</f>
        <v>WR WDP 0004</v>
      </c>
      <c r="N6" s="2"/>
      <c r="O6" s="2" t="str">
        <f>IFERROR(__xludf.DUMMYFUNCTION("""COMPUTED_VALUE"""),"Sta Clara Sur")</f>
        <v>Sta Clara Sur</v>
      </c>
      <c r="P6" s="2" t="str">
        <f>IFERROR(__xludf.DUMMYFUNCTION("""COMPUTED_VALUE"""),"Pila")</f>
        <v>Pila</v>
      </c>
      <c r="Q6" s="2" t="str">
        <f>IFERROR(__xludf.DUMMYFUNCTION("""COMPUTED_VALUE"""),"Laguna")</f>
        <v>Laguna</v>
      </c>
      <c r="R6" s="2" t="str">
        <f>IFERROR(__xludf.DUMMYFUNCTION("""COMPUTED_VALUE"""),"4A")</f>
        <v>4A</v>
      </c>
      <c r="S6" s="2"/>
      <c r="T6" s="2"/>
    </row>
    <row r="7">
      <c r="A7" s="1">
        <f>IFERROR(__xludf.DUMMYFUNCTION("""COMPUTED_VALUE"""),5.0)</f>
        <v>5</v>
      </c>
      <c r="B7" s="2" t="str">
        <f>IFERROR(__xludf.DUMMYFUNCTION("""COMPUTED_VALUE"""),"BANCA-BANCA, SAN FRANCISCO, SAN FELIX, SAN ROQUE IRRIGATORS ASSOCIATION, INC.")</f>
        <v>BANCA-BANCA, SAN FRANCISCO, SAN FELIX, SAN ROQUE IRRIGATORS ASSOCIATION, INC.</v>
      </c>
      <c r="C7" s="2" t="str">
        <f>IFERROR(__xludf.DUMMYFUNCTION("""COMPUTED_VALUE"""),"SAN FRANCISCO, VICTORIA, LAGUNA")</f>
        <v>SAN FRANCISCO, VICTORIA, LAGUNA</v>
      </c>
      <c r="D7" s="2" t="str">
        <f>IFERROR(__xludf.DUMMYFUNCTION("""COMPUTED_VALUE"""),"Francisco Gonzales")</f>
        <v>Francisco Gonzales</v>
      </c>
      <c r="E7" s="2" t="str">
        <f>IFERROR(__xludf.DUMMYFUNCTION("""COMPUTED_VALUE"""),"0968 664 7688")</f>
        <v>0968 664 7688</v>
      </c>
      <c r="F7" s="2" t="str">
        <f>IFERROR(__xludf.DUMMYFUNCTION("""COMPUTED_VALUE"""),"RCEF 23-08-20 Rebidding")</f>
        <v>RCEF 23-08-20 Rebidding</v>
      </c>
      <c r="G7" s="2">
        <f>IFERROR(__xludf.DUMMYFUNCTION("""COMPUTED_VALUE"""),1.0)</f>
        <v>1</v>
      </c>
      <c r="H7" s="2">
        <f>IFERROR(__xludf.DUMMYFUNCTION("""COMPUTED_VALUE"""),16770.0)</f>
        <v>16770</v>
      </c>
      <c r="I7" s="2" t="str">
        <f>IFERROR(__xludf.DUMMYFUNCTION("""COMPUTED_VALUE"""),"KMC5825AHPFPV0010")</f>
        <v>KMC5825AHPFPV0010</v>
      </c>
      <c r="J7" s="2" t="str">
        <f>IFERROR(__xludf.DUMMYFUNCTION("""COMPUTED_VALUE"""),"PTS100002")</f>
        <v>PTS100002</v>
      </c>
      <c r="K7" s="2" t="str">
        <f>IFERROR(__xludf.DUMMYFUNCTION("""COMPUTED_VALUE"""),"R-SERIES 008 PH")</f>
        <v>R-SERIES 008 PH</v>
      </c>
      <c r="L7" s="2" t="str">
        <f>IFERROR(__xludf.DUMMYFUNCTION("""COMPUTED_VALUE"""),"WR LSGW 0005")</f>
        <v>WR LSGW 0005</v>
      </c>
      <c r="M7" s="2" t="str">
        <f>IFERROR(__xludf.DUMMYFUNCTION("""COMPUTED_VALUE"""),"WR WDP 0005")</f>
        <v>WR WDP 0005</v>
      </c>
      <c r="N7" s="2"/>
      <c r="O7" s="2" t="str">
        <f>IFERROR(__xludf.DUMMYFUNCTION("""COMPUTED_VALUE"""),"San Francisco")</f>
        <v>San Francisco</v>
      </c>
      <c r="P7" s="2" t="str">
        <f>IFERROR(__xludf.DUMMYFUNCTION("""COMPUTED_VALUE"""),"Victoria")</f>
        <v>Victoria</v>
      </c>
      <c r="Q7" s="2" t="str">
        <f>IFERROR(__xludf.DUMMYFUNCTION("""COMPUTED_VALUE"""),"Laguna")</f>
        <v>Laguna</v>
      </c>
      <c r="R7" s="2" t="str">
        <f>IFERROR(__xludf.DUMMYFUNCTION("""COMPUTED_VALUE"""),"4A")</f>
        <v>4A</v>
      </c>
      <c r="S7" s="2"/>
      <c r="T7" s="2"/>
    </row>
    <row r="8">
      <c r="A8" s="1">
        <f>IFERROR(__xludf.DUMMYFUNCTION("""COMPUTED_VALUE"""),6.0)</f>
        <v>6</v>
      </c>
      <c r="B8" s="2" t="str">
        <f>IFERROR(__xludf.DUMMYFUNCTION("""COMPUTED_VALUE"""),"POBLACION-NEW DAGUPAN FARMER-IRRIGATORS' ASSOCIATION (PONDAFIA) INC.")</f>
        <v>POBLACION-NEW DAGUPAN FARMER-IRRIGATORS' ASSOCIATION (PONDAFIA) INC.</v>
      </c>
      <c r="C8" s="2" t="str">
        <f>IFERROR(__xludf.DUMMYFUNCTION("""COMPUTED_VALUE"""),"POBLACION, CALinTAAN, OCCIDENTAL MINDORO")</f>
        <v>POBLACION, CALinTAAN, OCCIDENTAL MINDORO</v>
      </c>
      <c r="D8" s="2" t="str">
        <f>IFERROR(__xludf.DUMMYFUNCTION("""COMPUTED_VALUE"""),"Manuel A. Francisco")</f>
        <v>Manuel A. Francisco</v>
      </c>
      <c r="E8" s="2" t="str">
        <f>IFERROR(__xludf.DUMMYFUNCTION("""COMPUTED_VALUE"""),"0935 417 5163")</f>
        <v>0935 417 5163</v>
      </c>
      <c r="F8" s="2" t="str">
        <f>IFERROR(__xludf.DUMMYFUNCTION("""COMPUTED_VALUE"""),"RCEF 23-08-20 Rebidding")</f>
        <v>RCEF 23-08-20 Rebidding</v>
      </c>
      <c r="G8" s="2">
        <f>IFERROR(__xludf.DUMMYFUNCTION("""COMPUTED_VALUE"""),1.0)</f>
        <v>1</v>
      </c>
      <c r="H8" s="2">
        <f>IFERROR(__xludf.DUMMYFUNCTION("""COMPUTED_VALUE"""),16771.0)</f>
        <v>16771</v>
      </c>
      <c r="I8" s="2" t="str">
        <f>IFERROR(__xludf.DUMMYFUNCTION("""COMPUTED_VALUE"""),"KMC 5825 ACPFPV0003")</f>
        <v>KMC 5825 ACPFPV0003</v>
      </c>
      <c r="J8" s="2" t="str">
        <f>IFERROR(__xludf.DUMMYFUNCTION("""COMPUTED_VALUE"""),"PTS100013")</f>
        <v>PTS100013</v>
      </c>
      <c r="K8" s="2" t="str">
        <f>IFERROR(__xludf.DUMMYFUNCTION("""COMPUTED_VALUE"""),"R-SERIES 009 PH")</f>
        <v>R-SERIES 009 PH</v>
      </c>
      <c r="L8" s="2" t="str">
        <f>IFERROR(__xludf.DUMMYFUNCTION("""COMPUTED_VALUE"""),"WR LSGW 0006")</f>
        <v>WR LSGW 0006</v>
      </c>
      <c r="M8" s="2" t="str">
        <f>IFERROR(__xludf.DUMMYFUNCTION("""COMPUTED_VALUE"""),"WR WDP 0006")</f>
        <v>WR WDP 0006</v>
      </c>
      <c r="N8" s="2"/>
      <c r="O8" s="2" t="str">
        <f>IFERROR(__xludf.DUMMYFUNCTION("""COMPUTED_VALUE"""),"Poblacion")</f>
        <v>Poblacion</v>
      </c>
      <c r="P8" s="2" t="str">
        <f>IFERROR(__xludf.DUMMYFUNCTION("""COMPUTED_VALUE"""),"Calintaan")</f>
        <v>Calintaan</v>
      </c>
      <c r="Q8" s="2" t="str">
        <f>IFERROR(__xludf.DUMMYFUNCTION("""COMPUTED_VALUE"""),"Occidental Mindoro")</f>
        <v>Occidental Mindoro</v>
      </c>
      <c r="R8" s="2" t="str">
        <f>IFERROR(__xludf.DUMMYFUNCTION("""COMPUTED_VALUE"""),"4B")</f>
        <v>4B</v>
      </c>
      <c r="S8" s="2"/>
      <c r="T8" s="2"/>
    </row>
    <row r="9">
      <c r="A9" s="1">
        <f>IFERROR(__xludf.DUMMYFUNCTION("""COMPUTED_VALUE"""),7.0)</f>
        <v>7</v>
      </c>
      <c r="B9" s="2" t="str">
        <f>IFERROR(__xludf.DUMMYFUNCTION("""COMPUTED_VALUE"""),"BUGTONG BURI FARMERS ASSOCIATION, INC.")</f>
        <v>BUGTONG BURI FARMERS ASSOCIATION, INC.</v>
      </c>
      <c r="C9" s="2" t="str">
        <f>IFERROR(__xludf.DUMMYFUNCTION("""COMPUTED_VALUE"""),"POBLACION, MAGSAYSAY, OCCIDENTAL MINDORO")</f>
        <v>POBLACION, MAGSAYSAY, OCCIDENTAL MINDORO</v>
      </c>
      <c r="D9" s="2" t="str">
        <f>IFERROR(__xludf.DUMMYFUNCTION("""COMPUTED_VALUE"""),"Gloria G. Operio")</f>
        <v>Gloria G. Operio</v>
      </c>
      <c r="E9" s="2" t="str">
        <f>IFERROR(__xludf.DUMMYFUNCTION("""COMPUTED_VALUE"""),"0930 925 4686")</f>
        <v>0930 925 4686</v>
      </c>
      <c r="F9" s="2" t="str">
        <f>IFERROR(__xludf.DUMMYFUNCTION("""COMPUTED_VALUE"""),"RCEF 23-08-20 Rebidding")</f>
        <v>RCEF 23-08-20 Rebidding</v>
      </c>
      <c r="G9" s="2">
        <f>IFERROR(__xludf.DUMMYFUNCTION("""COMPUTED_VALUE"""),1.0)</f>
        <v>1</v>
      </c>
      <c r="H9" s="2">
        <f>IFERROR(__xludf.DUMMYFUNCTION("""COMPUTED_VALUE"""),16772.0)</f>
        <v>16772</v>
      </c>
      <c r="I9" s="2" t="str">
        <f>IFERROR(__xludf.DUMMYFUNCTION("""COMPUTED_VALUE"""),"KMC 5825 APPFPV0014")</f>
        <v>KMC 5825 APPFPV0014</v>
      </c>
      <c r="J9" s="2" t="str">
        <f>IFERROR(__xludf.DUMMYFUNCTION("""COMPUTED_VALUE"""),"PTS100016")</f>
        <v>PTS100016</v>
      </c>
      <c r="K9" s="2" t="str">
        <f>IFERROR(__xludf.DUMMYFUNCTION("""COMPUTED_VALUE"""),"R-SERIES 006 PH")</f>
        <v>R-SERIES 006 PH</v>
      </c>
      <c r="L9" s="2" t="str">
        <f>IFERROR(__xludf.DUMMYFUNCTION("""COMPUTED_VALUE"""),"WR LSGW 0007")</f>
        <v>WR LSGW 0007</v>
      </c>
      <c r="M9" s="2" t="str">
        <f>IFERROR(__xludf.DUMMYFUNCTION("""COMPUTED_VALUE"""),"WR WDP 0007")</f>
        <v>WR WDP 0007</v>
      </c>
      <c r="N9" s="2"/>
      <c r="O9" s="2" t="str">
        <f>IFERROR(__xludf.DUMMYFUNCTION("""COMPUTED_VALUE"""),"Poblacion")</f>
        <v>Poblacion</v>
      </c>
      <c r="P9" s="2" t="str">
        <f>IFERROR(__xludf.DUMMYFUNCTION("""COMPUTED_VALUE"""),"Magsaysay")</f>
        <v>Magsaysay</v>
      </c>
      <c r="Q9" s="2" t="str">
        <f>IFERROR(__xludf.DUMMYFUNCTION("""COMPUTED_VALUE"""),"Occidental Mindoro")</f>
        <v>Occidental Mindoro</v>
      </c>
      <c r="R9" s="2" t="str">
        <f>IFERROR(__xludf.DUMMYFUNCTION("""COMPUTED_VALUE"""),"4B")</f>
        <v>4B</v>
      </c>
      <c r="S9" s="2"/>
      <c r="T9" s="2"/>
    </row>
    <row r="10">
      <c r="A10" s="1">
        <f>IFERROR(__xludf.DUMMYFUNCTION("""COMPUTED_VALUE"""),8.0)</f>
        <v>8</v>
      </c>
      <c r="B10" s="2" t="str">
        <f>IFERROR(__xludf.DUMMYFUNCTION("""COMPUTED_VALUE"""),"SAMARICA OCCIDENTAL MINDORO FARMERS ASSOCIATION INC.")</f>
        <v>SAMARICA OCCIDENTAL MINDORO FARMERS ASSOCIATION INC.</v>
      </c>
      <c r="C10" s="2" t="str">
        <f>IFERROR(__xludf.DUMMYFUNCTION("""COMPUTED_VALUE"""),"ADELA, RIZAL, OCCIDENTAL MINDORO")</f>
        <v>ADELA, RIZAL, OCCIDENTAL MINDORO</v>
      </c>
      <c r="D10" s="2" t="str">
        <f>IFERROR(__xludf.DUMMYFUNCTION("""COMPUTED_VALUE"""),"Josie M. Maramot")</f>
        <v>Josie M. Maramot</v>
      </c>
      <c r="E10" s="2" t="str">
        <f>IFERROR(__xludf.DUMMYFUNCTION("""COMPUTED_VALUE"""),"0949 933 1443")</f>
        <v>0949 933 1443</v>
      </c>
      <c r="F10" s="2" t="str">
        <f>IFERROR(__xludf.DUMMYFUNCTION("""COMPUTED_VALUE"""),"RCEF 23-08-20 Rebidding")</f>
        <v>RCEF 23-08-20 Rebidding</v>
      </c>
      <c r="G10" s="2">
        <f>IFERROR(__xludf.DUMMYFUNCTION("""COMPUTED_VALUE"""),1.0)</f>
        <v>1</v>
      </c>
      <c r="H10" s="2">
        <f>IFERROR(__xludf.DUMMYFUNCTION("""COMPUTED_VALUE"""),16774.0)</f>
        <v>16774</v>
      </c>
      <c r="I10" s="2" t="str">
        <f>IFERROR(__xludf.DUMMYFUNCTION("""COMPUTED_VALUE"""),"KMC 5825 AVPFPV0004")</f>
        <v>KMC 5825 AVPFPV0004</v>
      </c>
      <c r="J10" s="2" t="str">
        <f>IFERROR(__xludf.DUMMYFUNCTION("""COMPUTED_VALUE"""),"PTS100020")</f>
        <v>PTS100020</v>
      </c>
      <c r="K10" s="2" t="str">
        <f>IFERROR(__xludf.DUMMYFUNCTION("""COMPUTED_VALUE"""),"R-SERIES 018 PH")</f>
        <v>R-SERIES 018 PH</v>
      </c>
      <c r="L10" s="2" t="str">
        <f>IFERROR(__xludf.DUMMYFUNCTION("""COMPUTED_VALUE"""),"WR LSGW 0009")</f>
        <v>WR LSGW 0009</v>
      </c>
      <c r="M10" s="2" t="str">
        <f>IFERROR(__xludf.DUMMYFUNCTION("""COMPUTED_VALUE"""),"WR WDP 0009")</f>
        <v>WR WDP 0009</v>
      </c>
      <c r="N10" s="2"/>
      <c r="O10" s="2" t="str">
        <f>IFERROR(__xludf.DUMMYFUNCTION("""COMPUTED_VALUE"""),"Adela")</f>
        <v>Adela</v>
      </c>
      <c r="P10" s="2" t="str">
        <f>IFERROR(__xludf.DUMMYFUNCTION("""COMPUTED_VALUE"""),"Rizal")</f>
        <v>Rizal</v>
      </c>
      <c r="Q10" s="2" t="str">
        <f>IFERROR(__xludf.DUMMYFUNCTION("""COMPUTED_VALUE"""),"Occidental Mindoro")</f>
        <v>Occidental Mindoro</v>
      </c>
      <c r="R10" s="2" t="str">
        <f>IFERROR(__xludf.DUMMYFUNCTION("""COMPUTED_VALUE"""),"4B")</f>
        <v>4B</v>
      </c>
      <c r="S10" s="2"/>
      <c r="T10" s="2"/>
    </row>
    <row r="11">
      <c r="A11" s="1">
        <f>IFERROR(__xludf.DUMMYFUNCTION("""COMPUTED_VALUE"""),9.0)</f>
        <v>9</v>
      </c>
      <c r="B11" s="2" t="str">
        <f>IFERROR(__xludf.DUMMYFUNCTION("""COMPUTED_VALUE"""),"SALVACION UNITED FARMERS MULTI-PURPOSE COOPERATIVE")</f>
        <v>SALVACION UNITED FARMERS MULTI-PURPOSE COOPERATIVE</v>
      </c>
      <c r="C11" s="2" t="str">
        <f>IFERROR(__xludf.DUMMYFUNCTION("""COMPUTED_VALUE"""),"SALVACION, RIZAL, OCCIDENTAL MINDORO")</f>
        <v>SALVACION, RIZAL, OCCIDENTAL MINDORO</v>
      </c>
      <c r="D11" s="2" t="str">
        <f>IFERROR(__xludf.DUMMYFUNCTION("""COMPUTED_VALUE"""),"Birtsan A. Montales")</f>
        <v>Birtsan A. Montales</v>
      </c>
      <c r="E11" s="2" t="str">
        <f>IFERROR(__xludf.DUMMYFUNCTION("""COMPUTED_VALUE"""),"0930 838 7003")</f>
        <v>0930 838 7003</v>
      </c>
      <c r="F11" s="2" t="str">
        <f>IFERROR(__xludf.DUMMYFUNCTION("""COMPUTED_VALUE"""),"RCEF 23-08-20 Rebidding")</f>
        <v>RCEF 23-08-20 Rebidding</v>
      </c>
      <c r="G11" s="2">
        <f>IFERROR(__xludf.DUMMYFUNCTION("""COMPUTED_VALUE"""),1.0)</f>
        <v>1</v>
      </c>
      <c r="H11" s="2">
        <f>IFERROR(__xludf.DUMMYFUNCTION("""COMPUTED_VALUE"""),16775.0)</f>
        <v>16775</v>
      </c>
      <c r="I11" s="2" t="str">
        <f>IFERROR(__xludf.DUMMYFUNCTION("""COMPUTED_VALUE"""),"KMC 5825 AJPFPV0033")</f>
        <v>KMC 5825 AJPFPV0033</v>
      </c>
      <c r="J11" s="2" t="str">
        <f>IFERROR(__xludf.DUMMYFUNCTION("""COMPUTED_VALUE"""),"PTS100031")</f>
        <v>PTS100031</v>
      </c>
      <c r="K11" s="2" t="str">
        <f>IFERROR(__xludf.DUMMYFUNCTION("""COMPUTED_VALUE"""),"R-SERIES 023 PH")</f>
        <v>R-SERIES 023 PH</v>
      </c>
      <c r="L11" s="2" t="str">
        <f>IFERROR(__xludf.DUMMYFUNCTION("""COMPUTED_VALUE"""),"WR LSGW 0010")</f>
        <v>WR LSGW 0010</v>
      </c>
      <c r="M11" s="2" t="str">
        <f>IFERROR(__xludf.DUMMYFUNCTION("""COMPUTED_VALUE"""),"WR WDP 0010")</f>
        <v>WR WDP 0010</v>
      </c>
      <c r="N11" s="2"/>
      <c r="O11" s="2" t="str">
        <f>IFERROR(__xludf.DUMMYFUNCTION("""COMPUTED_VALUE"""),"Salvacion")</f>
        <v>Salvacion</v>
      </c>
      <c r="P11" s="2" t="str">
        <f>IFERROR(__xludf.DUMMYFUNCTION("""COMPUTED_VALUE"""),"Rizal")</f>
        <v>Rizal</v>
      </c>
      <c r="Q11" s="2" t="str">
        <f>IFERROR(__xludf.DUMMYFUNCTION("""COMPUTED_VALUE"""),"Occidental Mindoro")</f>
        <v>Occidental Mindoro</v>
      </c>
      <c r="R11" s="2" t="str">
        <f>IFERROR(__xludf.DUMMYFUNCTION("""COMPUTED_VALUE"""),"4B")</f>
        <v>4B</v>
      </c>
      <c r="S11" s="2"/>
      <c r="T11" s="2"/>
    </row>
    <row r="12">
      <c r="A12" s="1">
        <f>IFERROR(__xludf.DUMMYFUNCTION("""COMPUTED_VALUE"""),10.0)</f>
        <v>10</v>
      </c>
      <c r="B12" s="2" t="str">
        <f>IFERROR(__xludf.DUMMYFUNCTION("""COMPUTED_VALUE"""),"MATABIAGA MALAWAAN IRRIGATORS ASSOCIATION, INC.")</f>
        <v>MATABIAGA MALAWAAN IRRIGATORS ASSOCIATION, INC.</v>
      </c>
      <c r="C12" s="2" t="str">
        <f>IFERROR(__xludf.DUMMYFUNCTION("""COMPUTED_VALUE"""),"MALAWAAN, RIZAL, OCCIDENTAL MINDORO")</f>
        <v>MALAWAAN, RIZAL, OCCIDENTAL MINDORO</v>
      </c>
      <c r="D12" s="2" t="str">
        <f>IFERROR(__xludf.DUMMYFUNCTION("""COMPUTED_VALUE"""),"Ernie Urbina")</f>
        <v>Ernie Urbina</v>
      </c>
      <c r="E12" s="2" t="str">
        <f>IFERROR(__xludf.DUMMYFUNCTION("""COMPUTED_VALUE"""),"0909 354 0587")</f>
        <v>0909 354 0587</v>
      </c>
      <c r="F12" s="2" t="str">
        <f>IFERROR(__xludf.DUMMYFUNCTION("""COMPUTED_VALUE"""),"RCEF 23-08-20 Rebidding")</f>
        <v>RCEF 23-08-20 Rebidding</v>
      </c>
      <c r="G12" s="2">
        <f>IFERROR(__xludf.DUMMYFUNCTION("""COMPUTED_VALUE"""),1.0)</f>
        <v>1</v>
      </c>
      <c r="H12" s="2">
        <f>IFERROR(__xludf.DUMMYFUNCTION("""COMPUTED_VALUE"""),16776.0)</f>
        <v>16776</v>
      </c>
      <c r="I12" s="2" t="str">
        <f>IFERROR(__xludf.DUMMYFUNCTION("""COMPUTED_VALUE"""),"KMC 5825 AEPFPV0008")</f>
        <v>KMC 5825 AEPFPV0008</v>
      </c>
      <c r="J12" s="2" t="str">
        <f>IFERROR(__xludf.DUMMYFUNCTION("""COMPUTED_VALUE"""),"PTS100005")</f>
        <v>PTS100005</v>
      </c>
      <c r="K12" s="2" t="str">
        <f>IFERROR(__xludf.DUMMYFUNCTION("""COMPUTED_VALUE"""),"R-SERIES 015 PH")</f>
        <v>R-SERIES 015 PH</v>
      </c>
      <c r="L12" s="2" t="str">
        <f>IFERROR(__xludf.DUMMYFUNCTION("""COMPUTED_VALUE"""),"WR LSGW 0011")</f>
        <v>WR LSGW 0011</v>
      </c>
      <c r="M12" s="2" t="str">
        <f>IFERROR(__xludf.DUMMYFUNCTION("""COMPUTED_VALUE"""),"WR WDP 0011")</f>
        <v>WR WDP 0011</v>
      </c>
      <c r="N12" s="2"/>
      <c r="O12" s="2" t="str">
        <f>IFERROR(__xludf.DUMMYFUNCTION("""COMPUTED_VALUE"""),"Malawaan")</f>
        <v>Malawaan</v>
      </c>
      <c r="P12" s="2" t="str">
        <f>IFERROR(__xludf.DUMMYFUNCTION("""COMPUTED_VALUE"""),"Rizal")</f>
        <v>Rizal</v>
      </c>
      <c r="Q12" s="2" t="str">
        <f>IFERROR(__xludf.DUMMYFUNCTION("""COMPUTED_VALUE"""),"Occidental Mindoro")</f>
        <v>Occidental Mindoro</v>
      </c>
      <c r="R12" s="2" t="str">
        <f>IFERROR(__xludf.DUMMYFUNCTION("""COMPUTED_VALUE"""),"4B")</f>
        <v>4B</v>
      </c>
      <c r="S12" s="2"/>
      <c r="T12" s="2"/>
    </row>
    <row r="13">
      <c r="A13" s="1">
        <f>IFERROR(__xludf.DUMMYFUNCTION("""COMPUTED_VALUE"""),11.0)</f>
        <v>11</v>
      </c>
      <c r="B13" s="2" t="str">
        <f>IFERROR(__xludf.DUMMYFUNCTION("""COMPUTED_VALUE"""),"BARANGAY BATONG BUHAY FARMER'S ASSOCIATION")</f>
        <v>BARANGAY BATONG BUHAY FARMER'S ASSOCIATION</v>
      </c>
      <c r="C13" s="2" t="str">
        <f>IFERROR(__xludf.DUMMYFUNCTION("""COMPUTED_VALUE"""),"BATONG BUHAY, SABLAYAN, OCCIDENTAL MINDORO")</f>
        <v>BATONG BUHAY, SABLAYAN, OCCIDENTAL MINDORO</v>
      </c>
      <c r="D13" s="2" t="str">
        <f>IFERROR(__xludf.DUMMYFUNCTION("""COMPUTED_VALUE"""),"Mark Anthony Silao")</f>
        <v>Mark Anthony Silao</v>
      </c>
      <c r="E13" s="2" t="str">
        <f>IFERROR(__xludf.DUMMYFUNCTION("""COMPUTED_VALUE"""),"0966 359 5285")</f>
        <v>0966 359 5285</v>
      </c>
      <c r="F13" s="2" t="str">
        <f>IFERROR(__xludf.DUMMYFUNCTION("""COMPUTED_VALUE"""),"RCEF 23-08-20 Rebidding")</f>
        <v>RCEF 23-08-20 Rebidding</v>
      </c>
      <c r="G13" s="2">
        <f>IFERROR(__xludf.DUMMYFUNCTION("""COMPUTED_VALUE"""),1.0)</f>
        <v>1</v>
      </c>
      <c r="H13" s="2">
        <f>IFERROR(__xludf.DUMMYFUNCTION("""COMPUTED_VALUE"""),16777.0)</f>
        <v>16777</v>
      </c>
      <c r="I13" s="2" t="str">
        <f>IFERROR(__xludf.DUMMYFUNCTION("""COMPUTED_VALUE"""),"KMC 5825 ATPFPV0013")</f>
        <v>KMC 5825 ATPFPV0013</v>
      </c>
      <c r="J13" s="2" t="str">
        <f>IFERROR(__xludf.DUMMYFUNCTION("""COMPUTED_VALUE"""),"PTS100027")</f>
        <v>PTS100027</v>
      </c>
      <c r="K13" s="2" t="str">
        <f>IFERROR(__xludf.DUMMYFUNCTION("""COMPUTED_VALUE"""),"R-SERIES 022 PH")</f>
        <v>R-SERIES 022 PH</v>
      </c>
      <c r="L13" s="2" t="str">
        <f>IFERROR(__xludf.DUMMYFUNCTION("""COMPUTED_VALUE"""),"WR LSGW 0012")</f>
        <v>WR LSGW 0012</v>
      </c>
      <c r="M13" s="2" t="str">
        <f>IFERROR(__xludf.DUMMYFUNCTION("""COMPUTED_VALUE"""),"WR WDP 0012")</f>
        <v>WR WDP 0012</v>
      </c>
      <c r="N13" s="2"/>
      <c r="O13" s="2" t="str">
        <f>IFERROR(__xludf.DUMMYFUNCTION("""COMPUTED_VALUE"""),"Batong Buhay")</f>
        <v>Batong Buhay</v>
      </c>
      <c r="P13" s="2" t="str">
        <f>IFERROR(__xludf.DUMMYFUNCTION("""COMPUTED_VALUE"""),"Sablayan")</f>
        <v>Sablayan</v>
      </c>
      <c r="Q13" s="2" t="str">
        <f>IFERROR(__xludf.DUMMYFUNCTION("""COMPUTED_VALUE"""),"Occidental Mindoro")</f>
        <v>Occidental Mindoro</v>
      </c>
      <c r="R13" s="2" t="str">
        <f>IFERROR(__xludf.DUMMYFUNCTION("""COMPUTED_VALUE"""),"4B")</f>
        <v>4B</v>
      </c>
      <c r="S13" s="2"/>
      <c r="T13" s="2"/>
    </row>
    <row r="14">
      <c r="A14" s="1">
        <f>IFERROR(__xludf.DUMMYFUNCTION("""COMPUTED_VALUE"""),12.0)</f>
        <v>12</v>
      </c>
      <c r="B14" s="2" t="str">
        <f>IFERROR(__xludf.DUMMYFUNCTION("""COMPUTED_VALUE"""),"KAINGIN TAGUMPAY FARMERS AND IRRIGATORS ASSOCIATION (KATFAIA)")</f>
        <v>KAINGIN TAGUMPAY FARMERS AND IRRIGATORS ASSOCIATION (KATFAIA)</v>
      </c>
      <c r="C14" s="2" t="str">
        <f>IFERROR(__xludf.DUMMYFUNCTION("""COMPUTED_VALUE"""),"TAGUMPAY, SABLAYAN, OCCIDENTAL MINDORO")</f>
        <v>TAGUMPAY, SABLAYAN, OCCIDENTAL MINDORO</v>
      </c>
      <c r="D14" s="2" t="str">
        <f>IFERROR(__xludf.DUMMYFUNCTION("""COMPUTED_VALUE"""),"Robert Navalta")</f>
        <v>Robert Navalta</v>
      </c>
      <c r="E14" s="2" t="str">
        <f>IFERROR(__xludf.DUMMYFUNCTION("""COMPUTED_VALUE"""),"0975 537 0138")</f>
        <v>0975 537 0138</v>
      </c>
      <c r="F14" s="2" t="str">
        <f>IFERROR(__xludf.DUMMYFUNCTION("""COMPUTED_VALUE"""),"RCEF 23-08-20 Rebidding")</f>
        <v>RCEF 23-08-20 Rebidding</v>
      </c>
      <c r="G14" s="2">
        <f>IFERROR(__xludf.DUMMYFUNCTION("""COMPUTED_VALUE"""),1.0)</f>
        <v>1</v>
      </c>
      <c r="H14" s="2">
        <f>IFERROR(__xludf.DUMMYFUNCTION("""COMPUTED_VALUE"""),16778.0)</f>
        <v>16778</v>
      </c>
      <c r="I14" s="2" t="str">
        <f>IFERROR(__xludf.DUMMYFUNCTION("""COMPUTED_VALUE"""),"KMC 5825 AVPFPV0021")</f>
        <v>KMC 5825 AVPFPV0021</v>
      </c>
      <c r="J14" s="2" t="str">
        <f>IFERROR(__xludf.DUMMYFUNCTION("""COMPUTED_VALUE"""),"PTS100025")</f>
        <v>PTS100025</v>
      </c>
      <c r="K14" s="2" t="str">
        <f>IFERROR(__xludf.DUMMYFUNCTION("""COMPUTED_VALUE"""),"R-SERIES016 PH")</f>
        <v>R-SERIES016 PH</v>
      </c>
      <c r="L14" s="2" t="str">
        <f>IFERROR(__xludf.DUMMYFUNCTION("""COMPUTED_VALUE"""),"WR LSGW 0013")</f>
        <v>WR LSGW 0013</v>
      </c>
      <c r="M14" s="2" t="str">
        <f>IFERROR(__xludf.DUMMYFUNCTION("""COMPUTED_VALUE"""),"WR WDP 0013")</f>
        <v>WR WDP 0013</v>
      </c>
      <c r="N14" s="2"/>
      <c r="O14" s="2" t="str">
        <f>IFERROR(__xludf.DUMMYFUNCTION("""COMPUTED_VALUE"""),"Tagumpay")</f>
        <v>Tagumpay</v>
      </c>
      <c r="P14" s="2" t="str">
        <f>IFERROR(__xludf.DUMMYFUNCTION("""COMPUTED_VALUE"""),"Sablayan")</f>
        <v>Sablayan</v>
      </c>
      <c r="Q14" s="2" t="str">
        <f>IFERROR(__xludf.DUMMYFUNCTION("""COMPUTED_VALUE"""),"Occidental Mindoro")</f>
        <v>Occidental Mindoro</v>
      </c>
      <c r="R14" s="2" t="str">
        <f>IFERROR(__xludf.DUMMYFUNCTION("""COMPUTED_VALUE"""),"4B")</f>
        <v>4B</v>
      </c>
      <c r="S14" s="2"/>
      <c r="T14" s="2"/>
    </row>
    <row r="15">
      <c r="A15" s="1">
        <f>IFERROR(__xludf.DUMMYFUNCTION("""COMPUTED_VALUE"""),13.0)</f>
        <v>13</v>
      </c>
      <c r="B15" s="2" t="str">
        <f>IFERROR(__xludf.DUMMYFUNCTION("""COMPUTED_VALUE"""),"SITIO ESPERANZA SAN ISIDRO FARMERS ASSOCIATION")</f>
        <v>SITIO ESPERANZA SAN ISIDRO FARMERS ASSOCIATION</v>
      </c>
      <c r="C15" s="2" t="str">
        <f>IFERROR(__xludf.DUMMYFUNCTION("""COMPUTED_VALUE"""),"SAN ISIDRO, SAN JOSE, OCCIDENTAL MINDORO")</f>
        <v>SAN ISIDRO, SAN JOSE, OCCIDENTAL MINDORO</v>
      </c>
      <c r="D15" s="2" t="str">
        <f>IFERROR(__xludf.DUMMYFUNCTION("""COMPUTED_VALUE"""),"Catalina Monterola")</f>
        <v>Catalina Monterola</v>
      </c>
      <c r="E15" s="2" t="str">
        <f>IFERROR(__xludf.DUMMYFUNCTION("""COMPUTED_VALUE"""),"0929 367 9563")</f>
        <v>0929 367 9563</v>
      </c>
      <c r="F15" s="2" t="str">
        <f>IFERROR(__xludf.DUMMYFUNCTION("""COMPUTED_VALUE"""),"RCEF 23-08-20 Rebidding")</f>
        <v>RCEF 23-08-20 Rebidding</v>
      </c>
      <c r="G15" s="2">
        <f>IFERROR(__xludf.DUMMYFUNCTION("""COMPUTED_VALUE"""),1.0)</f>
        <v>1</v>
      </c>
      <c r="H15" s="2">
        <f>IFERROR(__xludf.DUMMYFUNCTION("""COMPUTED_VALUE"""),16779.0)</f>
        <v>16779</v>
      </c>
      <c r="I15" s="2" t="str">
        <f>IFERROR(__xludf.DUMMYFUNCTION("""COMPUTED_VALUE"""),"KMC 5825 ALPFPV0023")</f>
        <v>KMC 5825 ALPFPV0023</v>
      </c>
      <c r="J15" s="2" t="str">
        <f>IFERROR(__xludf.DUMMYFUNCTION("""COMPUTED_VALUE"""),"PTS100010")</f>
        <v>PTS100010</v>
      </c>
      <c r="K15" s="2" t="str">
        <f>IFERROR(__xludf.DUMMYFUNCTION("""COMPUTED_VALUE"""),"R-SERIES 013 PH")</f>
        <v>R-SERIES 013 PH</v>
      </c>
      <c r="L15" s="2" t="str">
        <f>IFERROR(__xludf.DUMMYFUNCTION("""COMPUTED_VALUE"""),"WR LSGW 0014")</f>
        <v>WR LSGW 0014</v>
      </c>
      <c r="M15" s="2" t="str">
        <f>IFERROR(__xludf.DUMMYFUNCTION("""COMPUTED_VALUE"""),"WR WDP 0014")</f>
        <v>WR WDP 0014</v>
      </c>
      <c r="N15" s="2"/>
      <c r="O15" s="2" t="str">
        <f>IFERROR(__xludf.DUMMYFUNCTION("""COMPUTED_VALUE"""),"San Isidro")</f>
        <v>San Isidro</v>
      </c>
      <c r="P15" s="2" t="str">
        <f>IFERROR(__xludf.DUMMYFUNCTION("""COMPUTED_VALUE"""),"San Jose")</f>
        <v>San Jose</v>
      </c>
      <c r="Q15" s="2" t="str">
        <f>IFERROR(__xludf.DUMMYFUNCTION("""COMPUTED_VALUE"""),"Occidental Mindoro")</f>
        <v>Occidental Mindoro</v>
      </c>
      <c r="R15" s="2" t="str">
        <f>IFERROR(__xludf.DUMMYFUNCTION("""COMPUTED_VALUE"""),"4B")</f>
        <v>4B</v>
      </c>
      <c r="S15" s="2"/>
      <c r="T15" s="2"/>
    </row>
    <row r="16">
      <c r="A16" s="1">
        <f>IFERROR(__xludf.DUMMYFUNCTION("""COMPUTED_VALUE"""),14.0)</f>
        <v>14</v>
      </c>
      <c r="B16" s="2" t="str">
        <f>IFERROR(__xludf.DUMMYFUNCTION("""COMPUTED_VALUE"""),"CAMANDANG IRRIGATORS ASSOCIATION")</f>
        <v>CAMANDANG IRRIGATORS ASSOCIATION</v>
      </c>
      <c r="C16" s="2" t="str">
        <f>IFERROR(__xludf.DUMMYFUNCTION("""COMPUTED_VALUE"""),"MONTECLARO, SAN JOSE, OCCIDENTAL MINDORO")</f>
        <v>MONTECLARO, SAN JOSE, OCCIDENTAL MINDORO</v>
      </c>
      <c r="D16" s="2" t="str">
        <f>IFERROR(__xludf.DUMMYFUNCTION("""COMPUTED_VALUE"""),"Eduardo Toquero Jr.")</f>
        <v>Eduardo Toquero Jr.</v>
      </c>
      <c r="E16" s="2" t="str">
        <f>IFERROR(__xludf.DUMMYFUNCTION("""COMPUTED_VALUE"""),"0965 897 7577")</f>
        <v>0965 897 7577</v>
      </c>
      <c r="F16" s="2" t="str">
        <f>IFERROR(__xludf.DUMMYFUNCTION("""COMPUTED_VALUE"""),"RCEF 23-08-20 Rebidding")</f>
        <v>RCEF 23-08-20 Rebidding</v>
      </c>
      <c r="G16" s="2">
        <f>IFERROR(__xludf.DUMMYFUNCTION("""COMPUTED_VALUE"""),1.0)</f>
        <v>1</v>
      </c>
      <c r="H16" s="2">
        <f>IFERROR(__xludf.DUMMYFUNCTION("""COMPUTED_VALUE"""),16780.0)</f>
        <v>16780</v>
      </c>
      <c r="I16" s="2" t="str">
        <f>IFERROR(__xludf.DUMMYFUNCTION("""COMPUTED_VALUE"""),"KMC 5825 ATPFPV0030")</f>
        <v>KMC 5825 ATPFPV0030</v>
      </c>
      <c r="J16" s="2" t="str">
        <f>IFERROR(__xludf.DUMMYFUNCTION("""COMPUTED_VALUE"""),"PTS100014")</f>
        <v>PTS100014</v>
      </c>
      <c r="K16" s="2" t="str">
        <f>IFERROR(__xludf.DUMMYFUNCTION("""COMPUTED_VALUE"""),"R-SERIES 024 PH")</f>
        <v>R-SERIES 024 PH</v>
      </c>
      <c r="L16" s="2" t="str">
        <f>IFERROR(__xludf.DUMMYFUNCTION("""COMPUTED_VALUE"""),"WR LSGW 0015")</f>
        <v>WR LSGW 0015</v>
      </c>
      <c r="M16" s="2" t="str">
        <f>IFERROR(__xludf.DUMMYFUNCTION("""COMPUTED_VALUE"""),"WR WDP 0015")</f>
        <v>WR WDP 0015</v>
      </c>
      <c r="N16" s="2"/>
      <c r="O16" s="2" t="str">
        <f>IFERROR(__xludf.DUMMYFUNCTION("""COMPUTED_VALUE"""),"Monteclaro")</f>
        <v>Monteclaro</v>
      </c>
      <c r="P16" s="2" t="str">
        <f>IFERROR(__xludf.DUMMYFUNCTION("""COMPUTED_VALUE"""),"San Jose")</f>
        <v>San Jose</v>
      </c>
      <c r="Q16" s="2" t="str">
        <f>IFERROR(__xludf.DUMMYFUNCTION("""COMPUTED_VALUE"""),"Occidental Mindoro")</f>
        <v>Occidental Mindoro</v>
      </c>
      <c r="R16" s="2" t="str">
        <f>IFERROR(__xludf.DUMMYFUNCTION("""COMPUTED_VALUE"""),"4B")</f>
        <v>4B</v>
      </c>
      <c r="S16" s="2"/>
      <c r="T16" s="2"/>
    </row>
    <row r="17">
      <c r="A17" s="1">
        <f>IFERROR(__xludf.DUMMYFUNCTION("""COMPUTED_VALUE"""),15.0)</f>
        <v>15</v>
      </c>
      <c r="B17" s="2" t="str">
        <f>IFERROR(__xludf.DUMMYFUNCTION("""COMPUTED_VALUE"""),"SAMAHAN NG MAGSASAKA SA PALANGHIRAN")</f>
        <v>SAMAHAN NG MAGSASAKA SA PALANGHIRAN</v>
      </c>
      <c r="C17" s="2" t="str">
        <f>IFERROR(__xludf.DUMMYFUNCTION("""COMPUTED_VALUE"""),"MAPAYA, SAN JOSE, OCCIDENTAL MINDORO")</f>
        <v>MAPAYA, SAN JOSE, OCCIDENTAL MINDORO</v>
      </c>
      <c r="D17" s="2" t="str">
        <f>IFERROR(__xludf.DUMMYFUNCTION("""COMPUTED_VALUE"""),"Ricardo E. Dela Cruz")</f>
        <v>Ricardo E. Dela Cruz</v>
      </c>
      <c r="E17" s="2" t="str">
        <f>IFERROR(__xludf.DUMMYFUNCTION("""COMPUTED_VALUE"""),"0912 631 8700")</f>
        <v>0912 631 8700</v>
      </c>
      <c r="F17" s="2" t="str">
        <f>IFERROR(__xludf.DUMMYFUNCTION("""COMPUTED_VALUE"""),"RCEF 23-08-20 Rebidding")</f>
        <v>RCEF 23-08-20 Rebidding</v>
      </c>
      <c r="G17" s="2">
        <f>IFERROR(__xludf.DUMMYFUNCTION("""COMPUTED_VALUE"""),1.0)</f>
        <v>1</v>
      </c>
      <c r="H17" s="2">
        <f>IFERROR(__xludf.DUMMYFUNCTION("""COMPUTED_VALUE"""),16781.0)</f>
        <v>16781</v>
      </c>
      <c r="I17" s="2" t="str">
        <f>IFERROR(__xludf.DUMMYFUNCTION("""COMPUTED_VALUE"""),"KMC 5825 AKPFPV0032")</f>
        <v>KMC 5825 AKPFPV0032</v>
      </c>
      <c r="J17" s="2" t="str">
        <f>IFERROR(__xludf.DUMMYFUNCTION("""COMPUTED_VALUE"""),"PTS100039")</f>
        <v>PTS100039</v>
      </c>
      <c r="K17" s="2" t="str">
        <f>IFERROR(__xludf.DUMMYFUNCTION("""COMPUTED_VALUE"""),"R-SERIES 007 PH")</f>
        <v>R-SERIES 007 PH</v>
      </c>
      <c r="L17" s="2" t="str">
        <f>IFERROR(__xludf.DUMMYFUNCTION("""COMPUTED_VALUE"""),"WR LSGW 0016")</f>
        <v>WR LSGW 0016</v>
      </c>
      <c r="M17" s="2" t="str">
        <f>IFERROR(__xludf.DUMMYFUNCTION("""COMPUTED_VALUE"""),"WR WDP 0016")</f>
        <v>WR WDP 0016</v>
      </c>
      <c r="N17" s="2"/>
      <c r="O17" s="2" t="str">
        <f>IFERROR(__xludf.DUMMYFUNCTION("""COMPUTED_VALUE"""),"Mapaya")</f>
        <v>Mapaya</v>
      </c>
      <c r="P17" s="2" t="str">
        <f>IFERROR(__xludf.DUMMYFUNCTION("""COMPUTED_VALUE"""),"San Jose")</f>
        <v>San Jose</v>
      </c>
      <c r="Q17" s="2" t="str">
        <f>IFERROR(__xludf.DUMMYFUNCTION("""COMPUTED_VALUE"""),"Occidental Mindoro")</f>
        <v>Occidental Mindoro</v>
      </c>
      <c r="R17" s="2" t="str">
        <f>IFERROR(__xludf.DUMMYFUNCTION("""COMPUTED_VALUE"""),"4B")</f>
        <v>4B</v>
      </c>
      <c r="S17" s="2"/>
      <c r="T17" s="2"/>
    </row>
    <row r="18">
      <c r="A18" s="1">
        <f>IFERROR(__xludf.DUMMYFUNCTION("""COMPUTED_VALUE"""),16.0)</f>
        <v>16</v>
      </c>
      <c r="B18" s="2" t="str">
        <f>IFERROR(__xludf.DUMMYFUNCTION("""COMPUTED_VALUE"""),"NAGKAKAISANG LAKAS MULTI-PURPOSE COOPERATIVE")</f>
        <v>NAGKAKAISANG LAKAS MULTI-PURPOSE COOPERATIVE</v>
      </c>
      <c r="C18" s="2" t="str">
        <f>IFERROR(__xludf.DUMMYFUNCTION("""COMPUTED_VALUE"""),"LABANGAN POBLACION, SAN JOSE, OCCIDENTAL MINDORO")</f>
        <v>LABANGAN POBLACION, SAN JOSE, OCCIDENTAL MINDORO</v>
      </c>
      <c r="D18" s="2" t="str">
        <f>IFERROR(__xludf.DUMMYFUNCTION("""COMPUTED_VALUE"""),"Josephine Mallari")</f>
        <v>Josephine Mallari</v>
      </c>
      <c r="E18" s="2" t="str">
        <f>IFERROR(__xludf.DUMMYFUNCTION("""COMPUTED_VALUE"""),"(0917) 839 4280")</f>
        <v>(0917) 839 4280</v>
      </c>
      <c r="F18" s="2" t="str">
        <f>IFERROR(__xludf.DUMMYFUNCTION("""COMPUTED_VALUE"""),"RCEF 23-08-20 Rebidding")</f>
        <v>RCEF 23-08-20 Rebidding</v>
      </c>
      <c r="G18" s="2">
        <f>IFERROR(__xludf.DUMMYFUNCTION("""COMPUTED_VALUE"""),1.0)</f>
        <v>1</v>
      </c>
      <c r="H18" s="2">
        <f>IFERROR(__xludf.DUMMYFUNCTION("""COMPUTED_VALUE"""),16782.0)</f>
        <v>16782</v>
      </c>
      <c r="I18" s="2" t="str">
        <f>IFERROR(__xludf.DUMMYFUNCTION("""COMPUTED_VALUE"""),"KMC 5825 AKPFPV0029")</f>
        <v>KMC 5825 AKPFPV0029</v>
      </c>
      <c r="J18" s="2" t="str">
        <f>IFERROR(__xludf.DUMMYFUNCTION("""COMPUTED_VALUE"""),"PTS100022")</f>
        <v>PTS100022</v>
      </c>
      <c r="K18" s="2" t="str">
        <f>IFERROR(__xludf.DUMMYFUNCTION("""COMPUTED_VALUE"""),"R-SERIES 025 PH")</f>
        <v>R-SERIES 025 PH</v>
      </c>
      <c r="L18" s="2" t="str">
        <f>IFERROR(__xludf.DUMMYFUNCTION("""COMPUTED_VALUE"""),"WR LSGW 0017")</f>
        <v>WR LSGW 0017</v>
      </c>
      <c r="M18" s="2" t="str">
        <f>IFERROR(__xludf.DUMMYFUNCTION("""COMPUTED_VALUE"""),"WR WDP 0017")</f>
        <v>WR WDP 0017</v>
      </c>
      <c r="N18" s="2"/>
      <c r="O18" s="2" t="str">
        <f>IFERROR(__xludf.DUMMYFUNCTION("""COMPUTED_VALUE"""),"Labangan Poblacion")</f>
        <v>Labangan Poblacion</v>
      </c>
      <c r="P18" s="2" t="str">
        <f>IFERROR(__xludf.DUMMYFUNCTION("""COMPUTED_VALUE"""),"San Jose")</f>
        <v>San Jose</v>
      </c>
      <c r="Q18" s="2" t="str">
        <f>IFERROR(__xludf.DUMMYFUNCTION("""COMPUTED_VALUE"""),"Occidental Mindoro")</f>
        <v>Occidental Mindoro</v>
      </c>
      <c r="R18" s="2" t="str">
        <f>IFERROR(__xludf.DUMMYFUNCTION("""COMPUTED_VALUE"""),"4B")</f>
        <v>4B</v>
      </c>
      <c r="S18" s="2"/>
      <c r="T18" s="2"/>
    </row>
    <row r="19">
      <c r="A19" s="1">
        <f>IFERROR(__xludf.DUMMYFUNCTION("""COMPUTED_VALUE"""),17.0)</f>
        <v>17</v>
      </c>
      <c r="B19" s="2" t="str">
        <f>IFERROR(__xludf.DUMMYFUNCTION("""COMPUTED_VALUE"""),"GINTONG BUTIL FARMERS ASSOCIATION")</f>
        <v>GINTONG BUTIL FARMERS ASSOCIATION</v>
      </c>
      <c r="C19" s="2" t="str">
        <f>IFERROR(__xludf.DUMMYFUNCTION("""COMPUTED_VALUE"""),"PINAGTURIHAN, SANTA CRUZ, OCCIDENTAL MINDORO")</f>
        <v>PINAGTURIHAN, SANTA CRUZ, OCCIDENTAL MINDORO</v>
      </c>
      <c r="D19" s="2" t="str">
        <f>IFERROR(__xludf.DUMMYFUNCTION("""COMPUTED_VALUE"""),"Rodolfo Patal, Jr.")</f>
        <v>Rodolfo Patal, Jr.</v>
      </c>
      <c r="E19" s="2" t="str">
        <f>IFERROR(__xludf.DUMMYFUNCTION("""COMPUTED_VALUE"""),"0935-879-0354")</f>
        <v>0935-879-0354</v>
      </c>
      <c r="F19" s="2" t="str">
        <f>IFERROR(__xludf.DUMMYFUNCTION("""COMPUTED_VALUE"""),"RCEF 23-08-20 Rebidding")</f>
        <v>RCEF 23-08-20 Rebidding</v>
      </c>
      <c r="G19" s="2">
        <f>IFERROR(__xludf.DUMMYFUNCTION("""COMPUTED_VALUE"""),1.0)</f>
        <v>1</v>
      </c>
      <c r="H19" s="2">
        <f>IFERROR(__xludf.DUMMYFUNCTION("""COMPUTED_VALUE"""),16783.0)</f>
        <v>16783</v>
      </c>
      <c r="I19" s="2" t="str">
        <f>IFERROR(__xludf.DUMMYFUNCTION("""COMPUTED_VALUE"""),"KMC 5825 AEPFPV0019")</f>
        <v>KMC 5825 AEPFPV0019</v>
      </c>
      <c r="J19" s="2" t="str">
        <f>IFERROR(__xludf.DUMMYFUNCTION("""COMPUTED_VALUE"""),"PTS100040")</f>
        <v>PTS100040</v>
      </c>
      <c r="K19" s="2" t="str">
        <f>IFERROR(__xludf.DUMMYFUNCTION("""COMPUTED_VALUE"""),"R-SERIES 011 PH")</f>
        <v>R-SERIES 011 PH</v>
      </c>
      <c r="L19" s="2" t="str">
        <f>IFERROR(__xludf.DUMMYFUNCTION("""COMPUTED_VALUE"""),"WR LSGW 0018")</f>
        <v>WR LSGW 0018</v>
      </c>
      <c r="M19" s="2" t="str">
        <f>IFERROR(__xludf.DUMMYFUNCTION("""COMPUTED_VALUE"""),"WR WDP 0018")</f>
        <v>WR WDP 0018</v>
      </c>
      <c r="N19" s="2"/>
      <c r="O19" s="2" t="str">
        <f>IFERROR(__xludf.DUMMYFUNCTION("""COMPUTED_VALUE"""),"Pinagturihan")</f>
        <v>Pinagturihan</v>
      </c>
      <c r="P19" s="2" t="str">
        <f>IFERROR(__xludf.DUMMYFUNCTION("""COMPUTED_VALUE"""),"Santa Cruz")</f>
        <v>Santa Cruz</v>
      </c>
      <c r="Q19" s="2" t="str">
        <f>IFERROR(__xludf.DUMMYFUNCTION("""COMPUTED_VALUE"""),"Occidental Mindoro")</f>
        <v>Occidental Mindoro</v>
      </c>
      <c r="R19" s="2" t="str">
        <f>IFERROR(__xludf.DUMMYFUNCTION("""COMPUTED_VALUE"""),"4B")</f>
        <v>4B</v>
      </c>
      <c r="S19" s="2"/>
      <c r="T19" s="2"/>
    </row>
    <row r="20">
      <c r="A20" s="1">
        <f>IFERROR(__xludf.DUMMYFUNCTION("""COMPUTED_VALUE"""),18.0)</f>
        <v>18</v>
      </c>
      <c r="B20" s="2" t="str">
        <f>IFERROR(__xludf.DUMMYFUNCTION("""COMPUTED_VALUE"""),"MUNICIPAL LOCAL GOVERNMENT UNIT OF RIZAL")</f>
        <v>MUNICIPAL LOCAL GOVERNMENT UNIT OF RIZAL</v>
      </c>
      <c r="C20" s="2" t="str">
        <f>IFERROR(__xludf.DUMMYFUNCTION("""COMPUTED_VALUE"""),"RUMBANG, RIZAL, OCCIDENTAL MINDORO")</f>
        <v>RUMBANG, RIZAL, OCCIDENTAL MINDORO</v>
      </c>
      <c r="D20" s="2" t="str">
        <f>IFERROR(__xludf.DUMMYFUNCTION("""COMPUTED_VALUE"""),"#N/A")</f>
        <v>#N/A</v>
      </c>
      <c r="E20" s="2" t="str">
        <f>IFERROR(__xludf.DUMMYFUNCTION("""COMPUTED_VALUE"""),"#N/A")</f>
        <v>#N/A</v>
      </c>
      <c r="F20" s="2" t="str">
        <f>IFERROR(__xludf.DUMMYFUNCTION("""COMPUTED_VALUE"""),"RCEF 23-08-20 Rebidding")</f>
        <v>RCEF 23-08-20 Rebidding</v>
      </c>
      <c r="G20" s="2">
        <f>IFERROR(__xludf.DUMMYFUNCTION("""COMPUTED_VALUE"""),1.0)</f>
        <v>1</v>
      </c>
      <c r="H20" s="2">
        <f>IFERROR(__xludf.DUMMYFUNCTION("""COMPUTED_VALUE"""),16786.0)</f>
        <v>16786</v>
      </c>
      <c r="I20" s="2" t="str">
        <f>IFERROR(__xludf.DUMMYFUNCTION("""COMPUTED_VALUE"""),"KMC 5825 AJPFPV0002")</f>
        <v>KMC 5825 AJPFPV0002</v>
      </c>
      <c r="J20" s="2" t="str">
        <f>IFERROR(__xludf.DUMMYFUNCTION("""COMPUTED_VALUE"""),"PTS100018")</f>
        <v>PTS100018</v>
      </c>
      <c r="K20" s="2" t="str">
        <f>IFERROR(__xludf.DUMMYFUNCTION("""COMPUTED_VALUE"""),"R-SERIES 003 PH")</f>
        <v>R-SERIES 003 PH</v>
      </c>
      <c r="L20" s="2" t="str">
        <f>IFERROR(__xludf.DUMMYFUNCTION("""COMPUTED_VALUE"""),"WR LSGW 0008")</f>
        <v>WR LSGW 0008</v>
      </c>
      <c r="M20" s="2" t="str">
        <f>IFERROR(__xludf.DUMMYFUNCTION("""COMPUTED_VALUE"""),"WR WDP 0008")</f>
        <v>WR WDP 0008</v>
      </c>
      <c r="N20" s="2"/>
      <c r="O20" s="2" t="str">
        <f>IFERROR(__xludf.DUMMYFUNCTION("""COMPUTED_VALUE"""),"Rumbang")</f>
        <v>Rumbang</v>
      </c>
      <c r="P20" s="2" t="str">
        <f>IFERROR(__xludf.DUMMYFUNCTION("""COMPUTED_VALUE"""),"Rizal")</f>
        <v>Rizal</v>
      </c>
      <c r="Q20" s="2" t="str">
        <f>IFERROR(__xludf.DUMMYFUNCTION("""COMPUTED_VALUE"""),"Occidental Mindoro")</f>
        <v>Occidental Mindoro</v>
      </c>
      <c r="R20" s="2" t="str">
        <f>IFERROR(__xludf.DUMMYFUNCTION("""COMPUTED_VALUE"""),"4B")</f>
        <v>4B</v>
      </c>
      <c r="S20" s="2"/>
      <c r="T20" s="2"/>
    </row>
    <row r="21">
      <c r="A21" s="1">
        <f>IFERROR(__xludf.DUMMYFUNCTION("""COMPUTED_VALUE"""),19.0)</f>
        <v>19</v>
      </c>
      <c r="B21" s="2" t="str">
        <f>IFERROR(__xludf.DUMMYFUNCTION("""COMPUTED_VALUE"""),"MALAPAD FARMERS ASSOCIATION")</f>
        <v>MALAPAD FARMERS ASSOCIATION</v>
      </c>
      <c r="C21" s="2" t="str">
        <f>IFERROR(__xludf.DUMMYFUNCTION("""COMPUTED_VALUE"""),"Malapad, Baco, Oriental Mindoro")</f>
        <v>Malapad, Baco, Oriental Mindoro</v>
      </c>
      <c r="D21" s="2" t="str">
        <f>IFERROR(__xludf.DUMMYFUNCTION("""COMPUTED_VALUE"""),"ROLANDO MANDITA")</f>
        <v>ROLANDO MANDITA</v>
      </c>
      <c r="E21" s="2" t="str">
        <f>IFERROR(__xludf.DUMMYFUNCTION("""COMPUTED_VALUE"""),"0955 378 7221")</f>
        <v>0955 378 7221</v>
      </c>
      <c r="F21" s="2" t="str">
        <f>IFERROR(__xludf.DUMMYFUNCTION("""COMPUTED_VALUE"""),"RCEF 23-08-20 Rebidding")</f>
        <v>RCEF 23-08-20 Rebidding</v>
      </c>
      <c r="G21" s="2">
        <f>IFERROR(__xludf.DUMMYFUNCTION("""COMPUTED_VALUE"""),1.0)</f>
        <v>1</v>
      </c>
      <c r="H21" s="2">
        <f>IFERROR(__xludf.DUMMYFUNCTION("""COMPUTED_VALUE"""),17379.0)</f>
        <v>17379</v>
      </c>
      <c r="I21" s="2" t="str">
        <f>IFERROR(__xludf.DUMMYFUNCTION("""COMPUTED_VALUE"""),"KMC 5825 AAPFPV0005")</f>
        <v>KMC 5825 AAPFPV0005</v>
      </c>
      <c r="J21" s="2" t="str">
        <f>IFERROR(__xludf.DUMMYFUNCTION("""COMPUTED_VALUE"""),"PTS100012")</f>
        <v>PTS100012</v>
      </c>
      <c r="K21" s="2" t="str">
        <f>IFERROR(__xludf.DUMMYFUNCTION("""COMPUTED_VALUE"""),"R-SERIES 028 PH")</f>
        <v>R-SERIES 028 PH</v>
      </c>
      <c r="L21" s="2" t="str">
        <f>IFERROR(__xludf.DUMMYFUNCTION("""COMPUTED_VALUE"""),"LSGW1750-RMP-2312036")</f>
        <v>LSGW1750-RMP-2312036</v>
      </c>
      <c r="M21" s="2" t="str">
        <f>IFERROR(__xludf.DUMMYFUNCTION("""COMPUTED_VALUE"""),"WDP40-RMP-2312069")</f>
        <v>WDP40-RMP-2312069</v>
      </c>
      <c r="N21" s="2"/>
      <c r="O21" s="2" t="str">
        <f>IFERROR(__xludf.DUMMYFUNCTION("""COMPUTED_VALUE"""),"Malapad")</f>
        <v>Malapad</v>
      </c>
      <c r="P21" s="2" t="str">
        <f>IFERROR(__xludf.DUMMYFUNCTION("""COMPUTED_VALUE"""),"Baco")</f>
        <v>Baco</v>
      </c>
      <c r="Q21" s="2" t="str">
        <f>IFERROR(__xludf.DUMMYFUNCTION("""COMPUTED_VALUE"""),"Oriental Mindoro")</f>
        <v>Oriental Mindoro</v>
      </c>
      <c r="R21" s="2" t="str">
        <f>IFERROR(__xludf.DUMMYFUNCTION("""COMPUTED_VALUE"""),"4B")</f>
        <v>4B</v>
      </c>
      <c r="S21" s="2"/>
      <c r="T21" s="2"/>
    </row>
    <row r="22">
      <c r="A22" s="1">
        <f>IFERROR(__xludf.DUMMYFUNCTION("""COMPUTED_VALUE"""),20.0)</f>
        <v>20</v>
      </c>
      <c r="B22" s="2" t="str">
        <f>IFERROR(__xludf.DUMMYFUNCTION("""COMPUTED_VALUE"""),"SAMAHAN NG MGA MAGSASAKA NG BARANGAY BAYANAN II")</f>
        <v>SAMAHAN NG MGA MAGSASAKA NG BARANGAY BAYANAN II</v>
      </c>
      <c r="C22" s="2" t="str">
        <f>IFERROR(__xludf.DUMMYFUNCTION("""COMPUTED_VALUE"""),"Bayanan II, Calapan City, Oriental Mindoro")</f>
        <v>Bayanan II, Calapan City, Oriental Mindoro</v>
      </c>
      <c r="D22" s="2" t="str">
        <f>IFERROR(__xludf.DUMMYFUNCTION("""COMPUTED_VALUE"""),"EDGAR C. BALMES")</f>
        <v>EDGAR C. BALMES</v>
      </c>
      <c r="E22" s="2" t="str">
        <f>IFERROR(__xludf.DUMMYFUNCTION("""COMPUTED_VALUE"""),"0936 940 1320")</f>
        <v>0936 940 1320</v>
      </c>
      <c r="F22" s="2" t="str">
        <f>IFERROR(__xludf.DUMMYFUNCTION("""COMPUTED_VALUE"""),"RCEF 23-08-20 Rebidding")</f>
        <v>RCEF 23-08-20 Rebidding</v>
      </c>
      <c r="G22" s="2">
        <f>IFERROR(__xludf.DUMMYFUNCTION("""COMPUTED_VALUE"""),1.0)</f>
        <v>1</v>
      </c>
      <c r="H22" s="2">
        <f>IFERROR(__xludf.DUMMYFUNCTION("""COMPUTED_VALUE"""),17380.0)</f>
        <v>17380</v>
      </c>
      <c r="I22" s="2" t="str">
        <f>IFERROR(__xludf.DUMMYFUNCTION("""COMPUTED_VALUE"""),"KMC 5825 AVPFPV0035")</f>
        <v>KMC 5825 AVPFPV0035</v>
      </c>
      <c r="J22" s="2" t="str">
        <f>IFERROR(__xludf.DUMMYFUNCTION("""COMPUTED_VALUE"""),"PTS100034")</f>
        <v>PTS100034</v>
      </c>
      <c r="K22" s="2" t="str">
        <f>IFERROR(__xludf.DUMMYFUNCTION("""COMPUTED_VALUE"""),"R-SERIES 013 PH")</f>
        <v>R-SERIES 013 PH</v>
      </c>
      <c r="L22" s="2" t="str">
        <f>IFERROR(__xludf.DUMMYFUNCTION("""COMPUTED_VALUE"""),"LSGW1750-RMP-2312024")</f>
        <v>LSGW1750-RMP-2312024</v>
      </c>
      <c r="M22" s="2" t="str">
        <f>IFERROR(__xludf.DUMMYFUNCTION("""COMPUTED_VALUE"""),"WDP40-RMP-2312072")</f>
        <v>WDP40-RMP-2312072</v>
      </c>
      <c r="N22" s="2"/>
      <c r="O22" s="2" t="str">
        <f>IFERROR(__xludf.DUMMYFUNCTION("""COMPUTED_VALUE"""),"Bayanan Ii")</f>
        <v>Bayanan Ii</v>
      </c>
      <c r="P22" s="2" t="str">
        <f>IFERROR(__xludf.DUMMYFUNCTION("""COMPUTED_VALUE"""),"Calapan City")</f>
        <v>Calapan City</v>
      </c>
      <c r="Q22" s="2" t="str">
        <f>IFERROR(__xludf.DUMMYFUNCTION("""COMPUTED_VALUE"""),"Oriental Mindoro")</f>
        <v>Oriental Mindoro</v>
      </c>
      <c r="R22" s="2" t="str">
        <f>IFERROR(__xludf.DUMMYFUNCTION("""COMPUTED_VALUE"""),"4B")</f>
        <v>4B</v>
      </c>
      <c r="S22" s="2"/>
      <c r="T22" s="2"/>
    </row>
    <row r="23">
      <c r="A23" s="1">
        <f>IFERROR(__xludf.DUMMYFUNCTION("""COMPUTED_VALUE"""),21.0)</f>
        <v>21</v>
      </c>
      <c r="B23" s="2" t="str">
        <f>IFERROR(__xludf.DUMMYFUNCTION("""COMPUTED_VALUE"""),"GULOD FARMERS ASSOCIATION")</f>
        <v>GULOD FARMERS ASSOCIATION</v>
      </c>
      <c r="C23" s="2" t="str">
        <f>IFERROR(__xludf.DUMMYFUNCTION("""COMPUTED_VALUE"""),"Gulod, Calapan City, Oriental Mindoro")</f>
        <v>Gulod, Calapan City, Oriental Mindoro</v>
      </c>
      <c r="D23" s="2" t="str">
        <f>IFERROR(__xludf.DUMMYFUNCTION("""COMPUTED_VALUE"""),"CELEDONIO GONZALES")</f>
        <v>CELEDONIO GONZALES</v>
      </c>
      <c r="E23" s="2" t="str">
        <f>IFERROR(__xludf.DUMMYFUNCTION("""COMPUTED_VALUE"""),"0960 919 4546
 0915 389 7698")</f>
        <v>0960 919 4546
 0915 389 7698</v>
      </c>
      <c r="F23" s="2" t="str">
        <f>IFERROR(__xludf.DUMMYFUNCTION("""COMPUTED_VALUE"""),"RCEF 23-08-20 Rebidding")</f>
        <v>RCEF 23-08-20 Rebidding</v>
      </c>
      <c r="G23" s="2">
        <f>IFERROR(__xludf.DUMMYFUNCTION("""COMPUTED_VALUE"""),1.0)</f>
        <v>1</v>
      </c>
      <c r="H23" s="2">
        <f>IFERROR(__xludf.DUMMYFUNCTION("""COMPUTED_VALUE"""),17381.0)</f>
        <v>17381</v>
      </c>
      <c r="I23" s="2" t="str">
        <f>IFERROR(__xludf.DUMMYFUNCTION("""COMPUTED_VALUE"""),"KMC 5825 ACPFPV0009")</f>
        <v>KMC 5825 ACPFPV0009</v>
      </c>
      <c r="J23" s="2" t="str">
        <f>IFERROR(__xludf.DUMMYFUNCTION("""COMPUTED_VALUE"""),"PTS100006")</f>
        <v>PTS100006</v>
      </c>
      <c r="K23" s="2" t="str">
        <f>IFERROR(__xludf.DUMMYFUNCTION("""COMPUTED_VALUE"""),"R-SERIES 042 PH")</f>
        <v>R-SERIES 042 PH</v>
      </c>
      <c r="L23" s="2" t="str">
        <f>IFERROR(__xludf.DUMMYFUNCTION("""COMPUTED_VALUE"""),"LSGW1750-RMP-2312016")</f>
        <v>LSGW1750-RMP-2312016</v>
      </c>
      <c r="M23" s="2" t="str">
        <f>IFERROR(__xludf.DUMMYFUNCTION("""COMPUTED_VALUE"""),"WDP40-RMP-2312053")</f>
        <v>WDP40-RMP-2312053</v>
      </c>
      <c r="N23" s="2"/>
      <c r="O23" s="2" t="str">
        <f>IFERROR(__xludf.DUMMYFUNCTION("""COMPUTED_VALUE"""),"Gulod")</f>
        <v>Gulod</v>
      </c>
      <c r="P23" s="2" t="str">
        <f>IFERROR(__xludf.DUMMYFUNCTION("""COMPUTED_VALUE"""),"Calapan City")</f>
        <v>Calapan City</v>
      </c>
      <c r="Q23" s="2" t="str">
        <f>IFERROR(__xludf.DUMMYFUNCTION("""COMPUTED_VALUE"""),"Oriental Mindoro")</f>
        <v>Oriental Mindoro</v>
      </c>
      <c r="R23" s="2" t="str">
        <f>IFERROR(__xludf.DUMMYFUNCTION("""COMPUTED_VALUE"""),"4B")</f>
        <v>4B</v>
      </c>
      <c r="S23" s="2"/>
      <c r="T23" s="2"/>
    </row>
    <row r="24">
      <c r="A24" s="1">
        <f>IFERROR(__xludf.DUMMYFUNCTION("""COMPUTED_VALUE"""),22.0)</f>
        <v>22</v>
      </c>
      <c r="B24" s="2" t="str">
        <f>IFERROR(__xludf.DUMMYFUNCTION("""COMPUTED_VALUE"""),"BALINGAYAN FARMERS ASSOCIATION")</f>
        <v>BALINGAYAN FARMERS ASSOCIATION</v>
      </c>
      <c r="C24" s="2" t="str">
        <f>IFERROR(__xludf.DUMMYFUNCTION("""COMPUTED_VALUE"""),"Balingayan, Calapan City, Oriental Mindoro")</f>
        <v>Balingayan, Calapan City, Oriental Mindoro</v>
      </c>
      <c r="D24" s="2" t="str">
        <f>IFERROR(__xludf.DUMMYFUNCTION("""COMPUTED_VALUE"""),"C ROBERTO S. BRUCAL")</f>
        <v>C ROBERTO S. BRUCAL</v>
      </c>
      <c r="E24" s="2" t="str">
        <f>IFERROR(__xludf.DUMMYFUNCTION("""COMPUTED_VALUE"""),"0917 270 7772
 0968 622 4404")</f>
        <v>0917 270 7772
 0968 622 4404</v>
      </c>
      <c r="F24" s="2" t="str">
        <f>IFERROR(__xludf.DUMMYFUNCTION("""COMPUTED_VALUE"""),"RCEF 23-08-20 Rebidding")</f>
        <v>RCEF 23-08-20 Rebidding</v>
      </c>
      <c r="G24" s="2">
        <f>IFERROR(__xludf.DUMMYFUNCTION("""COMPUTED_VALUE"""),1.0)</f>
        <v>1</v>
      </c>
      <c r="H24" s="2">
        <f>IFERROR(__xludf.DUMMYFUNCTION("""COMPUTED_VALUE"""),17382.0)</f>
        <v>17382</v>
      </c>
      <c r="I24" s="2" t="str">
        <f>IFERROR(__xludf.DUMMYFUNCTION("""COMPUTED_VALUE"""),"KMC 5825 AHPFPV0007")</f>
        <v>KMC 5825 AHPFPV0007</v>
      </c>
      <c r="J24" s="2" t="str">
        <f>IFERROR(__xludf.DUMMYFUNCTION("""COMPUTED_VALUE"""),"PTS100008")</f>
        <v>PTS100008</v>
      </c>
      <c r="K24" s="2" t="str">
        <f>IFERROR(__xludf.DUMMYFUNCTION("""COMPUTED_VALUE"""),"R-SERIES 021 PH")</f>
        <v>R-SERIES 021 PH</v>
      </c>
      <c r="L24" s="2" t="str">
        <f>IFERROR(__xludf.DUMMYFUNCTION("""COMPUTED_VALUE"""),"LSGW1750-RMP-2312014")</f>
        <v>LSGW1750-RMP-2312014</v>
      </c>
      <c r="M24" s="2" t="str">
        <f>IFERROR(__xludf.DUMMYFUNCTION("""COMPUTED_VALUE"""),"WDP40-RMP-2312056")</f>
        <v>WDP40-RMP-2312056</v>
      </c>
      <c r="N24" s="2"/>
      <c r="O24" s="2" t="str">
        <f>IFERROR(__xludf.DUMMYFUNCTION("""COMPUTED_VALUE"""),"Balingayan")</f>
        <v>Balingayan</v>
      </c>
      <c r="P24" s="2" t="str">
        <f>IFERROR(__xludf.DUMMYFUNCTION("""COMPUTED_VALUE"""),"Calapan City")</f>
        <v>Calapan City</v>
      </c>
      <c r="Q24" s="2" t="str">
        <f>IFERROR(__xludf.DUMMYFUNCTION("""COMPUTED_VALUE"""),"Oriental Mindoro")</f>
        <v>Oriental Mindoro</v>
      </c>
      <c r="R24" s="2" t="str">
        <f>IFERROR(__xludf.DUMMYFUNCTION("""COMPUTED_VALUE"""),"4B")</f>
        <v>4B</v>
      </c>
      <c r="S24" s="2"/>
      <c r="T24" s="2"/>
    </row>
    <row r="25">
      <c r="A25" s="1">
        <f>IFERROR(__xludf.DUMMYFUNCTION("""COMPUTED_VALUE"""),23.0)</f>
        <v>23</v>
      </c>
      <c r="B25" s="2" t="str">
        <f>IFERROR(__xludf.DUMMYFUNCTION("""COMPUTED_VALUE"""),"BARANGAY MALINAO FARMERS' ASSOCIATION")</f>
        <v>BARANGAY MALINAO FARMERS' ASSOCIATION</v>
      </c>
      <c r="C25" s="2" t="str">
        <f>IFERROR(__xludf.DUMMYFUNCTION("""COMPUTED_VALUE"""),"Malinao, Naujan, Oriental Mindoro")</f>
        <v>Malinao, Naujan, Oriental Mindoro</v>
      </c>
      <c r="D25" s="2" t="str">
        <f>IFERROR(__xludf.DUMMYFUNCTION("""COMPUTED_VALUE"""),"ERVIN D. GARILLO")</f>
        <v>ERVIN D. GARILLO</v>
      </c>
      <c r="E25" s="2" t="str">
        <f>IFERROR(__xludf.DUMMYFUNCTION("""COMPUTED_VALUE"""),"0956 911 1213")</f>
        <v>0956 911 1213</v>
      </c>
      <c r="F25" s="2" t="str">
        <f>IFERROR(__xludf.DUMMYFUNCTION("""COMPUTED_VALUE"""),"RCEF 23-08-20 Rebidding")</f>
        <v>RCEF 23-08-20 Rebidding</v>
      </c>
      <c r="G25" s="2">
        <f>IFERROR(__xludf.DUMMYFUNCTION("""COMPUTED_VALUE"""),1.0)</f>
        <v>1</v>
      </c>
      <c r="H25" s="2">
        <f>IFERROR(__xludf.DUMMYFUNCTION("""COMPUTED_VALUE"""),17383.0)</f>
        <v>17383</v>
      </c>
      <c r="I25" s="2" t="str">
        <f>IFERROR(__xludf.DUMMYFUNCTION("""COMPUTED_VALUE"""),"KMC 5825 ACPFPV0012")</f>
        <v>KMC 5825 ACPFPV0012</v>
      </c>
      <c r="J25" s="2" t="str">
        <f>IFERROR(__xludf.DUMMYFUNCTION("""COMPUTED_VALUE"""),"PTS100019")</f>
        <v>PTS100019</v>
      </c>
      <c r="K25" s="2" t="str">
        <f>IFERROR(__xludf.DUMMYFUNCTION("""COMPUTED_VALUE"""),"R-SERIES 049 PH")</f>
        <v>R-SERIES 049 PH</v>
      </c>
      <c r="L25" s="2" t="str">
        <f>IFERROR(__xludf.DUMMYFUNCTION("""COMPUTED_VALUE"""),"LSGW1750-RMP-2312003")</f>
        <v>LSGW1750-RMP-2312003</v>
      </c>
      <c r="M25" s="2" t="str">
        <f>IFERROR(__xludf.DUMMYFUNCTION("""COMPUTED_VALUE"""),"WDP40-RMP-2312063")</f>
        <v>WDP40-RMP-2312063</v>
      </c>
      <c r="N25" s="2"/>
      <c r="O25" s="2" t="str">
        <f>IFERROR(__xludf.DUMMYFUNCTION("""COMPUTED_VALUE"""),"Malinao")</f>
        <v>Malinao</v>
      </c>
      <c r="P25" s="2" t="str">
        <f>IFERROR(__xludf.DUMMYFUNCTION("""COMPUTED_VALUE"""),"Naujan")</f>
        <v>Naujan</v>
      </c>
      <c r="Q25" s="2" t="str">
        <f>IFERROR(__xludf.DUMMYFUNCTION("""COMPUTED_VALUE"""),"Oriental Mindoro")</f>
        <v>Oriental Mindoro</v>
      </c>
      <c r="R25" s="2" t="str">
        <f>IFERROR(__xludf.DUMMYFUNCTION("""COMPUTED_VALUE"""),"4B")</f>
        <v>4B</v>
      </c>
      <c r="S25" s="2"/>
      <c r="T25" s="2"/>
    </row>
    <row r="26">
      <c r="A26" s="1">
        <f>IFERROR(__xludf.DUMMYFUNCTION("""COMPUTED_VALUE"""),24.0)</f>
        <v>24</v>
      </c>
      <c r="B26" s="2" t="str">
        <f>IFERROR(__xludf.DUMMYFUNCTION("""COMPUTED_VALUE"""),"BAGONG BUHAY FARMERS ASSOCIATION")</f>
        <v>BAGONG BUHAY FARMERS ASSOCIATION</v>
      </c>
      <c r="C26" s="2" t="str">
        <f>IFERROR(__xludf.DUMMYFUNCTION("""COMPUTED_VALUE"""),"Bagong Buhay, naujan, Oriental Mindoro")</f>
        <v>Bagong Buhay, naujan, Oriental Mindoro</v>
      </c>
      <c r="D26" s="2" t="str">
        <f>IFERROR(__xludf.DUMMYFUNCTION("""COMPUTED_VALUE"""),"ERLIN G. PARAY")</f>
        <v>ERLIN G. PARAY</v>
      </c>
      <c r="E26" s="2" t="str">
        <f>IFERROR(__xludf.DUMMYFUNCTION("""COMPUTED_VALUE"""),"0907 645 9942")</f>
        <v>0907 645 9942</v>
      </c>
      <c r="F26" s="2" t="str">
        <f>IFERROR(__xludf.DUMMYFUNCTION("""COMPUTED_VALUE"""),"RCEF 23-08-20 Rebidding")</f>
        <v>RCEF 23-08-20 Rebidding</v>
      </c>
      <c r="G26" s="2">
        <f>IFERROR(__xludf.DUMMYFUNCTION("""COMPUTED_VALUE"""),1.0)</f>
        <v>1</v>
      </c>
      <c r="H26" s="2">
        <f>IFERROR(__xludf.DUMMYFUNCTION("""COMPUTED_VALUE"""),17384.0)</f>
        <v>17384</v>
      </c>
      <c r="I26" s="2" t="str">
        <f>IFERROR(__xludf.DUMMYFUNCTION("""COMPUTED_VALUE"""),"KMC 5825 AHPFPV0038")</f>
        <v>KMC 5825 AHPFPV0038</v>
      </c>
      <c r="J26" s="2" t="str">
        <f>IFERROR(__xludf.DUMMYFUNCTION("""COMPUTED_VALUE"""),"PTS100003")</f>
        <v>PTS100003</v>
      </c>
      <c r="K26" s="2" t="str">
        <f>IFERROR(__xludf.DUMMYFUNCTION("""COMPUTED_VALUE"""),"R-SERIES 034 PH")</f>
        <v>R-SERIES 034 PH</v>
      </c>
      <c r="L26" s="2" t="str">
        <f>IFERROR(__xludf.DUMMYFUNCTION("""COMPUTED_VALUE"""),"LSGW1750-RMP-2312034")</f>
        <v>LSGW1750-RMP-2312034</v>
      </c>
      <c r="M26" s="2" t="str">
        <f>IFERROR(__xludf.DUMMYFUNCTION("""COMPUTED_VALUE"""),"WDP40-RMP-2312062")</f>
        <v>WDP40-RMP-2312062</v>
      </c>
      <c r="N26" s="2"/>
      <c r="O26" s="2" t="str">
        <f>IFERROR(__xludf.DUMMYFUNCTION("""COMPUTED_VALUE"""),"Bagong Buhay")</f>
        <v>Bagong Buhay</v>
      </c>
      <c r="P26" s="2" t="str">
        <f>IFERROR(__xludf.DUMMYFUNCTION("""COMPUTED_VALUE"""),"Naujan")</f>
        <v>Naujan</v>
      </c>
      <c r="Q26" s="2" t="str">
        <f>IFERROR(__xludf.DUMMYFUNCTION("""COMPUTED_VALUE"""),"Oriental Mindoro")</f>
        <v>Oriental Mindoro</v>
      </c>
      <c r="R26" s="2" t="str">
        <f>IFERROR(__xludf.DUMMYFUNCTION("""COMPUTED_VALUE"""),"4B")</f>
        <v>4B</v>
      </c>
      <c r="S26" s="2"/>
      <c r="T26" s="2"/>
    </row>
    <row r="27">
      <c r="A27" s="1">
        <f>IFERROR(__xludf.DUMMYFUNCTION("""COMPUTED_VALUE"""),25.0)</f>
        <v>25</v>
      </c>
      <c r="B27" s="2" t="str">
        <f>IFERROR(__xludf.DUMMYFUNCTION("""COMPUTED_VALUE"""),"SANDIGAN NG MGA MANGGAGAWA SA AGRIKULTURA SA KANAYUNAN (SAMAKA)")</f>
        <v>SANDIGAN NG MGA MANGGAGAWA SA AGRIKULTURA SA KANAYUNAN (SAMAKA)</v>
      </c>
      <c r="C27" s="2" t="str">
        <f>IFERROR(__xludf.DUMMYFUNCTION("""COMPUTED_VALUE"""),"Calucmoy, Socorro, Oriental Mindoro")</f>
        <v>Calucmoy, Socorro, Oriental Mindoro</v>
      </c>
      <c r="D27" s="2" t="str">
        <f>IFERROR(__xludf.DUMMYFUNCTION("""COMPUTED_VALUE"""),"Edilberto Saez")</f>
        <v>Edilberto Saez</v>
      </c>
      <c r="E27" s="2" t="str">
        <f>IFERROR(__xludf.DUMMYFUNCTION("""COMPUTED_VALUE"""),"0948 412 7045")</f>
        <v>0948 412 7045</v>
      </c>
      <c r="F27" s="2" t="str">
        <f>IFERROR(__xludf.DUMMYFUNCTION("""COMPUTED_VALUE"""),"RCEF 23-08-20 Rebidding")</f>
        <v>RCEF 23-08-20 Rebidding</v>
      </c>
      <c r="G27" s="2">
        <f>IFERROR(__xludf.DUMMYFUNCTION("""COMPUTED_VALUE"""),1.0)</f>
        <v>1</v>
      </c>
      <c r="H27" s="2">
        <f>IFERROR(__xludf.DUMMYFUNCTION("""COMPUTED_VALUE"""),17385.0)</f>
        <v>17385</v>
      </c>
      <c r="I27" s="2" t="str">
        <f>IFERROR(__xludf.DUMMYFUNCTION("""COMPUTED_VALUE"""),"KMC 5825 AVPFPV0018")</f>
        <v>KMC 5825 AVPFPV0018</v>
      </c>
      <c r="J27" s="2" t="str">
        <f>IFERROR(__xludf.DUMMYFUNCTION("""COMPUTED_VALUE"""),"PTS100037")</f>
        <v>PTS100037</v>
      </c>
      <c r="K27" s="2" t="str">
        <f>IFERROR(__xludf.DUMMYFUNCTION("""COMPUTED_VALUE"""),"R-SERIES 005 PH")</f>
        <v>R-SERIES 005 PH</v>
      </c>
      <c r="L27" s="2" t="str">
        <f>IFERROR(__xludf.DUMMYFUNCTION("""COMPUTED_VALUE"""),"LSGW1750-RMP-2312012")</f>
        <v>LSGW1750-RMP-2312012</v>
      </c>
      <c r="M27" s="2" t="str">
        <f>IFERROR(__xludf.DUMMYFUNCTION("""COMPUTED_VALUE"""),"WDP40-RMP-2312057")</f>
        <v>WDP40-RMP-2312057</v>
      </c>
      <c r="N27" s="2"/>
      <c r="O27" s="2" t="str">
        <f>IFERROR(__xludf.DUMMYFUNCTION("""COMPUTED_VALUE"""),"Calucmoy")</f>
        <v>Calucmoy</v>
      </c>
      <c r="P27" s="2" t="str">
        <f>IFERROR(__xludf.DUMMYFUNCTION("""COMPUTED_VALUE"""),"Socorro")</f>
        <v>Socorro</v>
      </c>
      <c r="Q27" s="2" t="str">
        <f>IFERROR(__xludf.DUMMYFUNCTION("""COMPUTED_VALUE"""),"Oriental Mindoro")</f>
        <v>Oriental Mindoro</v>
      </c>
      <c r="R27" s="2" t="str">
        <f>IFERROR(__xludf.DUMMYFUNCTION("""COMPUTED_VALUE"""),"4B")</f>
        <v>4B</v>
      </c>
      <c r="S27" s="2"/>
      <c r="T27" s="2"/>
    </row>
    <row r="28">
      <c r="A28" s="1">
        <f>IFERROR(__xludf.DUMMYFUNCTION("""COMPUTED_VALUE"""),26.0)</f>
        <v>26</v>
      </c>
      <c r="B28" s="2" t="str">
        <f>IFERROR(__xludf.DUMMYFUNCTION("""COMPUTED_VALUE"""),"MACATOC FARMERS ASSOCIATION")</f>
        <v>MACATOC FARMERS ASSOCIATION</v>
      </c>
      <c r="C28" s="2" t="str">
        <f>IFERROR(__xludf.DUMMYFUNCTION("""COMPUTED_VALUE"""),"Macatoc, Victoria, Oriental Mindoro")</f>
        <v>Macatoc, Victoria, Oriental Mindoro</v>
      </c>
      <c r="D28" s="2" t="str">
        <f>IFERROR(__xludf.DUMMYFUNCTION("""COMPUTED_VALUE"""),"DENVER J. PERICO")</f>
        <v>DENVER J. PERICO</v>
      </c>
      <c r="E28" s="2" t="str">
        <f>IFERROR(__xludf.DUMMYFUNCTION("""COMPUTED_VALUE"""),"0909 489 2967")</f>
        <v>0909 489 2967</v>
      </c>
      <c r="F28" s="2" t="str">
        <f>IFERROR(__xludf.DUMMYFUNCTION("""COMPUTED_VALUE"""),"RCEF 23-08-20 Rebidding")</f>
        <v>RCEF 23-08-20 Rebidding</v>
      </c>
      <c r="G28" s="2">
        <f>IFERROR(__xludf.DUMMYFUNCTION("""COMPUTED_VALUE"""),1.0)</f>
        <v>1</v>
      </c>
      <c r="H28" s="2">
        <f>IFERROR(__xludf.DUMMYFUNCTION("""COMPUTED_VALUE"""),17386.0)</f>
        <v>17386</v>
      </c>
      <c r="I28" s="2" t="str">
        <f>IFERROR(__xludf.DUMMYFUNCTION("""COMPUTED_VALUE"""),"KMC 5825 ALPFPV0040")</f>
        <v>KMC 5825 ALPFPV0040</v>
      </c>
      <c r="J28" s="2" t="str">
        <f>IFERROR(__xludf.DUMMYFUNCTION("""COMPUTED_VALUE"""),"PTS100011")</f>
        <v>PTS100011</v>
      </c>
      <c r="K28" s="2" t="str">
        <f>IFERROR(__xludf.DUMMYFUNCTION("""COMPUTED_VALUE"""),"R-SERIES 018 PH")</f>
        <v>R-SERIES 018 PH</v>
      </c>
      <c r="L28" s="2" t="str">
        <f>IFERROR(__xludf.DUMMYFUNCTION("""COMPUTED_VALUE"""),"LSGW1750-RMP-2312002")</f>
        <v>LSGW1750-RMP-2312002</v>
      </c>
      <c r="M28" s="2" t="str">
        <f>IFERROR(__xludf.DUMMYFUNCTION("""COMPUTED_VALUE"""),"WDP40-RMP-2312058")</f>
        <v>WDP40-RMP-2312058</v>
      </c>
      <c r="N28" s="2"/>
      <c r="O28" s="2" t="str">
        <f>IFERROR(__xludf.DUMMYFUNCTION("""COMPUTED_VALUE"""),"Macatoc")</f>
        <v>Macatoc</v>
      </c>
      <c r="P28" s="2" t="str">
        <f>IFERROR(__xludf.DUMMYFUNCTION("""COMPUTED_VALUE"""),"Victoria")</f>
        <v>Victoria</v>
      </c>
      <c r="Q28" s="2" t="str">
        <f>IFERROR(__xludf.DUMMYFUNCTION("""COMPUTED_VALUE"""),"Oriental Mindoro")</f>
        <v>Oriental Mindoro</v>
      </c>
      <c r="R28" s="2" t="str">
        <f>IFERROR(__xludf.DUMMYFUNCTION("""COMPUTED_VALUE"""),"4B")</f>
        <v>4B</v>
      </c>
      <c r="S28" s="2"/>
      <c r="T28" s="2"/>
    </row>
    <row r="29">
      <c r="A29" s="1">
        <f>IFERROR(__xludf.DUMMYFUNCTION("""COMPUTED_VALUE"""),27.0)</f>
        <v>27</v>
      </c>
      <c r="B29" s="2" t="str">
        <f>IFERROR(__xludf.DUMMYFUNCTION("""COMPUTED_VALUE"""),"SAN NICOLAS SMALL WATER IRRIGATION SYSTEM ASSOCIATION")</f>
        <v>SAN NICOLAS SMALL WATER IRRIGATION SYSTEM ASSOCIATION</v>
      </c>
      <c r="C29" s="2" t="str">
        <f>IFERROR(__xludf.DUMMYFUNCTION("""COMPUTED_VALUE"""),"Rosacara, Bansud, Oriental Mindoro")</f>
        <v>Rosacara, Bansud, Oriental Mindoro</v>
      </c>
      <c r="D29" s="2" t="str">
        <f>IFERROR(__xludf.DUMMYFUNCTION("""COMPUTED_VALUE"""),"EDGARDO M. CASAPAO")</f>
        <v>EDGARDO M. CASAPAO</v>
      </c>
      <c r="E29" s="2">
        <f>IFERROR(__xludf.DUMMYFUNCTION("""COMPUTED_VALUE"""),9.071476723E9)</f>
        <v>9071476723</v>
      </c>
      <c r="F29" s="2" t="str">
        <f>IFERROR(__xludf.DUMMYFUNCTION("""COMPUTED_VALUE"""),"RCEF 23-08-20 Rebidding")</f>
        <v>RCEF 23-08-20 Rebidding</v>
      </c>
      <c r="G29" s="2">
        <f>IFERROR(__xludf.DUMMYFUNCTION("""COMPUTED_VALUE"""),1.0)</f>
        <v>1</v>
      </c>
      <c r="H29" s="2">
        <f>IFERROR(__xludf.DUMMYFUNCTION("""COMPUTED_VALUE"""),17387.0)</f>
        <v>17387</v>
      </c>
      <c r="I29" s="2" t="str">
        <f>IFERROR(__xludf.DUMMYFUNCTION("""COMPUTED_VALUE"""),"KMC 5825 APPFPV0028")</f>
        <v>KMC 5825 APPFPV0028</v>
      </c>
      <c r="J29" s="2" t="str">
        <f>IFERROR(__xludf.DUMMYFUNCTION("""COMPUTED_VALUE"""),"PTS100021")</f>
        <v>PTS100021</v>
      </c>
      <c r="K29" s="2" t="str">
        <f>IFERROR(__xludf.DUMMYFUNCTION("""COMPUTED_VALUE"""),"R-SERIES 025 PH")</f>
        <v>R-SERIES 025 PH</v>
      </c>
      <c r="L29" s="2" t="str">
        <f>IFERROR(__xludf.DUMMYFUNCTION("""COMPUTED_VALUE"""),"LSGW1750-RMP-2312027")</f>
        <v>LSGW1750-RMP-2312027</v>
      </c>
      <c r="M29" s="2" t="str">
        <f>IFERROR(__xludf.DUMMYFUNCTION("""COMPUTED_VALUE"""),"WDP40-RMP-2312038")</f>
        <v>WDP40-RMP-2312038</v>
      </c>
      <c r="N29" s="2"/>
      <c r="O29" s="2" t="str">
        <f>IFERROR(__xludf.DUMMYFUNCTION("""COMPUTED_VALUE"""),"Rosacara")</f>
        <v>Rosacara</v>
      </c>
      <c r="P29" s="2" t="str">
        <f>IFERROR(__xludf.DUMMYFUNCTION("""COMPUTED_VALUE"""),"Bansud")</f>
        <v>Bansud</v>
      </c>
      <c r="Q29" s="2" t="str">
        <f>IFERROR(__xludf.DUMMYFUNCTION("""COMPUTED_VALUE"""),"Oriental Mindoro")</f>
        <v>Oriental Mindoro</v>
      </c>
      <c r="R29" s="2" t="str">
        <f>IFERROR(__xludf.DUMMYFUNCTION("""COMPUTED_VALUE"""),"4B")</f>
        <v>4B</v>
      </c>
      <c r="S29" s="2"/>
      <c r="T29" s="2"/>
    </row>
    <row r="30">
      <c r="A30" s="1">
        <f>IFERROR(__xludf.DUMMYFUNCTION("""COMPUTED_VALUE"""),28.0)</f>
        <v>28</v>
      </c>
      <c r="B30" s="2" t="str">
        <f>IFERROR(__xludf.DUMMYFUNCTION("""COMPUTED_VALUE"""),"ALCADESMA GROUP OF FARMERS ASSOCIATION(AGFA)")</f>
        <v>ALCADESMA GROUP OF FARMERS ASSOCIATION(AGFA)</v>
      </c>
      <c r="C30" s="2" t="str">
        <f>IFERROR(__xludf.DUMMYFUNCTION("""COMPUTED_VALUE"""),"Alcadesma, Bansud, Oriental Mindoro")</f>
        <v>Alcadesma, Bansud, Oriental Mindoro</v>
      </c>
      <c r="D30" s="2" t="str">
        <f>IFERROR(__xludf.DUMMYFUNCTION("""COMPUTED_VALUE"""),"ROMEO R. YAP")</f>
        <v>ROMEO R. YAP</v>
      </c>
      <c r="E30" s="2" t="str">
        <f>IFERROR(__xludf.DUMMYFUNCTION("""COMPUTED_VALUE"""),"0920 540 2742")</f>
        <v>0920 540 2742</v>
      </c>
      <c r="F30" s="2" t="str">
        <f>IFERROR(__xludf.DUMMYFUNCTION("""COMPUTED_VALUE"""),"RCEF 23-08-20 Rebidding")</f>
        <v>RCEF 23-08-20 Rebidding</v>
      </c>
      <c r="G30" s="2">
        <f>IFERROR(__xludf.DUMMYFUNCTION("""COMPUTED_VALUE"""),1.0)</f>
        <v>1</v>
      </c>
      <c r="H30" s="2">
        <f>IFERROR(__xludf.DUMMYFUNCTION("""COMPUTED_VALUE"""),17388.0)</f>
        <v>17388</v>
      </c>
      <c r="I30" s="2" t="str">
        <f>IFERROR(__xludf.DUMMYFUNCTION("""COMPUTED_VALUE"""),"KMC 5825 ACPFPV0020")</f>
        <v>KMC 5825 ACPFPV0020</v>
      </c>
      <c r="J30" s="2" t="str">
        <f>IFERROR(__xludf.DUMMYFUNCTION("""COMPUTED_VALUE"""),"PTS100036")</f>
        <v>PTS100036</v>
      </c>
      <c r="K30" s="2" t="str">
        <f>IFERROR(__xludf.DUMMYFUNCTION("""COMPUTED_VALUE"""),"R-SERIES 012 PH")</f>
        <v>R-SERIES 012 PH</v>
      </c>
      <c r="L30" s="2" t="str">
        <f>IFERROR(__xludf.DUMMYFUNCTION("""COMPUTED_VALUE"""),"LSGW1750-RMP-2312013")</f>
        <v>LSGW1750-RMP-2312013</v>
      </c>
      <c r="M30" s="2" t="str">
        <f>IFERROR(__xludf.DUMMYFUNCTION("""COMPUTED_VALUE"""),"WDP40-RMP-2312049")</f>
        <v>WDP40-RMP-2312049</v>
      </c>
      <c r="N30" s="2"/>
      <c r="O30" s="2" t="str">
        <f>IFERROR(__xludf.DUMMYFUNCTION("""COMPUTED_VALUE"""),"Alcadesma")</f>
        <v>Alcadesma</v>
      </c>
      <c r="P30" s="2" t="str">
        <f>IFERROR(__xludf.DUMMYFUNCTION("""COMPUTED_VALUE"""),"Bansud")</f>
        <v>Bansud</v>
      </c>
      <c r="Q30" s="2" t="str">
        <f>IFERROR(__xludf.DUMMYFUNCTION("""COMPUTED_VALUE"""),"Oriental Mindoro")</f>
        <v>Oriental Mindoro</v>
      </c>
      <c r="R30" s="2" t="str">
        <f>IFERROR(__xludf.DUMMYFUNCTION("""COMPUTED_VALUE"""),"4B")</f>
        <v>4B</v>
      </c>
      <c r="S30" s="2"/>
      <c r="T30" s="2"/>
    </row>
    <row r="31">
      <c r="A31" s="1">
        <f>IFERROR(__xludf.DUMMYFUNCTION("""COMPUTED_VALUE"""),29.0)</f>
        <v>29</v>
      </c>
      <c r="B31" s="2" t="str">
        <f>IFERROR(__xludf.DUMMYFUNCTION("""COMPUTED_VALUE"""),"A. BONIFACIO FARMERS ASSOCIATION")</f>
        <v>A. BONIFACIO FARMERS ASSOCIATION</v>
      </c>
      <c r="C31" s="2" t="str">
        <f>IFERROR(__xludf.DUMMYFUNCTION("""COMPUTED_VALUE"""),"A. Bonifacio, Gloria, Oriental Mindoro")</f>
        <v>A. Bonifacio, Gloria, Oriental Mindoro</v>
      </c>
      <c r="D31" s="2" t="str">
        <f>IFERROR(__xludf.DUMMYFUNCTION("""COMPUTED_VALUE"""),"GILBERT R. MALANOG")</f>
        <v>GILBERT R. MALANOG</v>
      </c>
      <c r="E31" s="2" t="str">
        <f>IFERROR(__xludf.DUMMYFUNCTION("""COMPUTED_VALUE"""),"0912 838 9639")</f>
        <v>0912 838 9639</v>
      </c>
      <c r="F31" s="2" t="str">
        <f>IFERROR(__xludf.DUMMYFUNCTION("""COMPUTED_VALUE"""),"RCEF 23-08-20 Rebidding")</f>
        <v>RCEF 23-08-20 Rebidding</v>
      </c>
      <c r="G31" s="2">
        <f>IFERROR(__xludf.DUMMYFUNCTION("""COMPUTED_VALUE"""),1.0)</f>
        <v>1</v>
      </c>
      <c r="H31" s="2">
        <f>IFERROR(__xludf.DUMMYFUNCTION("""COMPUTED_VALUE"""),17389.0)</f>
        <v>17389</v>
      </c>
      <c r="I31" s="2" t="str">
        <f>IFERROR(__xludf.DUMMYFUNCTION("""COMPUTED_VALUE"""),"KMC 5825 ACPFPV0079")</f>
        <v>KMC 5825 ACPFPV0079</v>
      </c>
      <c r="J31" s="2" t="str">
        <f>IFERROR(__xludf.DUMMYFUNCTION("""COMPUTED_VALUE"""),"PTS100081")</f>
        <v>PTS100081</v>
      </c>
      <c r="K31" s="2" t="str">
        <f>IFERROR(__xludf.DUMMYFUNCTION("""COMPUTED_VALUE"""),"R-SERIES 020 PH")</f>
        <v>R-SERIES 020 PH</v>
      </c>
      <c r="L31" s="2" t="str">
        <f>IFERROR(__xludf.DUMMYFUNCTION("""COMPUTED_VALUE"""),"LSGW1750-RMP-2312001")</f>
        <v>LSGW1750-RMP-2312001</v>
      </c>
      <c r="M31" s="2" t="str">
        <f>IFERROR(__xludf.DUMMYFUNCTION("""COMPUTED_VALUE"""),"WDP40-RMP-2312065")</f>
        <v>WDP40-RMP-2312065</v>
      </c>
      <c r="N31" s="2"/>
      <c r="O31" s="2" t="str">
        <f>IFERROR(__xludf.DUMMYFUNCTION("""COMPUTED_VALUE"""),"A. Bonifacio")</f>
        <v>A. Bonifacio</v>
      </c>
      <c r="P31" s="2" t="str">
        <f>IFERROR(__xludf.DUMMYFUNCTION("""COMPUTED_VALUE"""),"Gloria")</f>
        <v>Gloria</v>
      </c>
      <c r="Q31" s="2" t="str">
        <f>IFERROR(__xludf.DUMMYFUNCTION("""COMPUTED_VALUE"""),"Oriental Mindoro")</f>
        <v>Oriental Mindoro</v>
      </c>
      <c r="R31" s="2" t="str">
        <f>IFERROR(__xludf.DUMMYFUNCTION("""COMPUTED_VALUE"""),"4B")</f>
        <v>4B</v>
      </c>
      <c r="S31" s="2"/>
      <c r="T31" s="2"/>
    </row>
    <row r="32">
      <c r="A32" s="1">
        <f>IFERROR(__xludf.DUMMYFUNCTION("""COMPUTED_VALUE"""),30.0)</f>
        <v>30</v>
      </c>
      <c r="B32" s="2" t="str">
        <f>IFERROR(__xludf.DUMMYFUNCTION("""COMPUTED_VALUE"""),"BARANGAY NABUSLOT PINAMALAYAN FARMERS ASSOCIATION INC.")</f>
        <v>BARANGAY NABUSLOT PINAMALAYAN FARMERS ASSOCIATION INC.</v>
      </c>
      <c r="C32" s="2" t="str">
        <f>IFERROR(__xludf.DUMMYFUNCTION("""COMPUTED_VALUE"""),"Nabuslot, Pinamalayan, Oriental Mindoro")</f>
        <v>Nabuslot, Pinamalayan, Oriental Mindoro</v>
      </c>
      <c r="D32" s="2" t="str">
        <f>IFERROR(__xludf.DUMMYFUNCTION("""COMPUTED_VALUE"""),"NICANOR J. LUMALANG")</f>
        <v>NICANOR J. LUMALANG</v>
      </c>
      <c r="E32" s="2" t="str">
        <f>IFERROR(__xludf.DUMMYFUNCTION("""COMPUTED_VALUE"""),"0917 563 3431")</f>
        <v>0917 563 3431</v>
      </c>
      <c r="F32" s="2" t="str">
        <f>IFERROR(__xludf.DUMMYFUNCTION("""COMPUTED_VALUE"""),"RCEF 23-08-20 Rebidding")</f>
        <v>RCEF 23-08-20 Rebidding</v>
      </c>
      <c r="G32" s="2">
        <f>IFERROR(__xludf.DUMMYFUNCTION("""COMPUTED_VALUE"""),1.0)</f>
        <v>1</v>
      </c>
      <c r="H32" s="2">
        <f>IFERROR(__xludf.DUMMYFUNCTION("""COMPUTED_VALUE"""),17390.0)</f>
        <v>17390</v>
      </c>
      <c r="I32" s="2" t="str">
        <f>IFERROR(__xludf.DUMMYFUNCTION("""COMPUTED_VALUE"""),"KMC 5825 AHPFPV0024")</f>
        <v>KMC 5825 AHPFPV0024</v>
      </c>
      <c r="J32" s="2" t="str">
        <f>IFERROR(__xludf.DUMMYFUNCTION("""COMPUTED_VALUE"""),"PTS100035")</f>
        <v>PTS100035</v>
      </c>
      <c r="K32" s="2" t="str">
        <f>IFERROR(__xludf.DUMMYFUNCTION("""COMPUTED_VALUE"""),"R-SERIES 017 PH")</f>
        <v>R-SERIES 017 PH</v>
      </c>
      <c r="L32" s="2" t="str">
        <f>IFERROR(__xludf.DUMMYFUNCTION("""COMPUTED_VALUE"""),"LSGW1750-RMP-2312026")</f>
        <v>LSGW1750-RMP-2312026</v>
      </c>
      <c r="M32" s="2" t="str">
        <f>IFERROR(__xludf.DUMMYFUNCTION("""COMPUTED_VALUE"""),"WDP40-RMP-2312061")</f>
        <v>WDP40-RMP-2312061</v>
      </c>
      <c r="N32" s="2"/>
      <c r="O32" s="2" t="str">
        <f>IFERROR(__xludf.DUMMYFUNCTION("""COMPUTED_VALUE"""),"Nabuslot")</f>
        <v>Nabuslot</v>
      </c>
      <c r="P32" s="2" t="str">
        <f>IFERROR(__xludf.DUMMYFUNCTION("""COMPUTED_VALUE"""),"Pinamalayan")</f>
        <v>Pinamalayan</v>
      </c>
      <c r="Q32" s="2" t="str">
        <f>IFERROR(__xludf.DUMMYFUNCTION("""COMPUTED_VALUE"""),"Oriental Mindoro")</f>
        <v>Oriental Mindoro</v>
      </c>
      <c r="R32" s="2" t="str">
        <f>IFERROR(__xludf.DUMMYFUNCTION("""COMPUTED_VALUE"""),"4B")</f>
        <v>4B</v>
      </c>
      <c r="S32" s="2"/>
      <c r="T32" s="2"/>
    </row>
    <row r="33">
      <c r="A33" s="1">
        <f>IFERROR(__xludf.DUMMYFUNCTION("""COMPUTED_VALUE"""),31.0)</f>
        <v>31</v>
      </c>
      <c r="B33" s="2" t="str">
        <f>IFERROR(__xludf.DUMMYFUNCTION("""COMPUTED_VALUE"""),"CANTIL FARMERS ASSOCIATION")</f>
        <v>CANTIL FARMERS ASSOCIATION</v>
      </c>
      <c r="C33" s="2" t="str">
        <f>IFERROR(__xludf.DUMMYFUNCTION("""COMPUTED_VALUE"""),"Cantil, Roxas, Oriental Mindoro")</f>
        <v>Cantil, Roxas, Oriental Mindoro</v>
      </c>
      <c r="D33" s="2" t="str">
        <f>IFERROR(__xludf.DUMMYFUNCTION("""COMPUTED_VALUE"""),"ANGELO S. ANDRES")</f>
        <v>ANGELO S. ANDRES</v>
      </c>
      <c r="E33" s="2" t="str">
        <f>IFERROR(__xludf.DUMMYFUNCTION("""COMPUTED_VALUE"""),"0938 348 2989")</f>
        <v>0938 348 2989</v>
      </c>
      <c r="F33" s="2" t="str">
        <f>IFERROR(__xludf.DUMMYFUNCTION("""COMPUTED_VALUE"""),"RCEF 23-08-20 Rebidding")</f>
        <v>RCEF 23-08-20 Rebidding</v>
      </c>
      <c r="G33" s="2">
        <f>IFERROR(__xludf.DUMMYFUNCTION("""COMPUTED_VALUE"""),1.0)</f>
        <v>1</v>
      </c>
      <c r="H33" s="2">
        <f>IFERROR(__xludf.DUMMYFUNCTION("""COMPUTED_VALUE"""),17391.0)</f>
        <v>17391</v>
      </c>
      <c r="I33" s="2" t="str">
        <f>IFERROR(__xludf.DUMMYFUNCTION("""COMPUTED_VALUE"""),"KMC 5825 AAPFPV0022")</f>
        <v>KMC 5825 AAPFPV0022</v>
      </c>
      <c r="J33" s="2" t="str">
        <f>IFERROR(__xludf.DUMMYFUNCTION("""COMPUTED_VALUE"""),"PTS100026")</f>
        <v>PTS100026</v>
      </c>
      <c r="K33" s="2" t="str">
        <f>IFERROR(__xludf.DUMMYFUNCTION("""COMPUTED_VALUE"""),"R-SERIES 024 PH")</f>
        <v>R-SERIES 024 PH</v>
      </c>
      <c r="L33" s="2" t="str">
        <f>IFERROR(__xludf.DUMMYFUNCTION("""COMPUTED_VALUE"""),"LSGW1750-RMP-2312025")</f>
        <v>LSGW1750-RMP-2312025</v>
      </c>
      <c r="M33" s="2" t="str">
        <f>IFERROR(__xludf.DUMMYFUNCTION("""COMPUTED_VALUE"""),"WDP40-RMP-2312066")</f>
        <v>WDP40-RMP-2312066</v>
      </c>
      <c r="N33" s="2"/>
      <c r="O33" s="2" t="str">
        <f>IFERROR(__xludf.DUMMYFUNCTION("""COMPUTED_VALUE"""),"Cantil")</f>
        <v>Cantil</v>
      </c>
      <c r="P33" s="2" t="str">
        <f>IFERROR(__xludf.DUMMYFUNCTION("""COMPUTED_VALUE"""),"Roxas")</f>
        <v>Roxas</v>
      </c>
      <c r="Q33" s="2" t="str">
        <f>IFERROR(__xludf.DUMMYFUNCTION("""COMPUTED_VALUE"""),"Oriental Mindoro")</f>
        <v>Oriental Mindoro</v>
      </c>
      <c r="R33" s="2" t="str">
        <f>IFERROR(__xludf.DUMMYFUNCTION("""COMPUTED_VALUE"""),"4B")</f>
        <v>4B</v>
      </c>
      <c r="S33" s="2"/>
      <c r="T33" s="2"/>
    </row>
    <row r="34">
      <c r="A34" s="1">
        <f>IFERROR(__xludf.DUMMYFUNCTION("""COMPUTED_VALUE"""),32.0)</f>
        <v>32</v>
      </c>
      <c r="B34" s="2" t="str">
        <f>IFERROR(__xludf.DUMMYFUNCTION("""COMPUTED_VALUE"""),"BAGUMBAYAN ROXAS ORIENTAL MINDORO FARMERS ASSOCIATION")</f>
        <v>BAGUMBAYAN ROXAS ORIENTAL MINDORO FARMERS ASSOCIATION</v>
      </c>
      <c r="C34" s="2" t="str">
        <f>IFERROR(__xludf.DUMMYFUNCTION("""COMPUTED_VALUE"""),"Bagumbayan, Roxas, Oriental Mindoro")</f>
        <v>Bagumbayan, Roxas, Oriental Mindoro</v>
      </c>
      <c r="D34" s="2" t="str">
        <f>IFERROR(__xludf.DUMMYFUNCTION("""COMPUTED_VALUE"""),"GIOVANI A. GAA")</f>
        <v>GIOVANI A. GAA</v>
      </c>
      <c r="E34" s="2" t="str">
        <f>IFERROR(__xludf.DUMMYFUNCTION("""COMPUTED_VALUE"""),"0930 479 0163")</f>
        <v>0930 479 0163</v>
      </c>
      <c r="F34" s="2" t="str">
        <f>IFERROR(__xludf.DUMMYFUNCTION("""COMPUTED_VALUE"""),"RCEF 23-08-20 Rebidding")</f>
        <v>RCEF 23-08-20 Rebidding</v>
      </c>
      <c r="G34" s="2">
        <f>IFERROR(__xludf.DUMMYFUNCTION("""COMPUTED_VALUE"""),1.0)</f>
        <v>1</v>
      </c>
      <c r="H34" s="2">
        <f>IFERROR(__xludf.DUMMYFUNCTION("""COMPUTED_VALUE"""),17392.0)</f>
        <v>17392</v>
      </c>
      <c r="I34" s="2" t="str">
        <f>IFERROR(__xludf.DUMMYFUNCTION("""COMPUTED_VALUE"""),"KMC 5825 ACPFPV0017")</f>
        <v>KMC 5825 ACPFPV0017</v>
      </c>
      <c r="J34" s="2" t="str">
        <f>IFERROR(__xludf.DUMMYFUNCTION("""COMPUTED_VALUE"""),"PTS100032")</f>
        <v>PTS100032</v>
      </c>
      <c r="K34" s="2" t="str">
        <f>IFERROR(__xludf.DUMMYFUNCTION("""COMPUTED_VALUE"""),"R-SERIES 001 PH")</f>
        <v>R-SERIES 001 PH</v>
      </c>
      <c r="L34" s="2" t="str">
        <f>IFERROR(__xludf.DUMMYFUNCTION("""COMPUTED_VALUE"""),"LSGW1750-RMP-2312015")</f>
        <v>LSGW1750-RMP-2312015</v>
      </c>
      <c r="M34" s="2" t="str">
        <f>IFERROR(__xludf.DUMMYFUNCTION("""COMPUTED_VALUE"""),"WDP40-RMP-2312059")</f>
        <v>WDP40-RMP-2312059</v>
      </c>
      <c r="N34" s="2"/>
      <c r="O34" s="2" t="str">
        <f>IFERROR(__xludf.DUMMYFUNCTION("""COMPUTED_VALUE"""),"Bagumbayan")</f>
        <v>Bagumbayan</v>
      </c>
      <c r="P34" s="2" t="str">
        <f>IFERROR(__xludf.DUMMYFUNCTION("""COMPUTED_VALUE"""),"Roxas")</f>
        <v>Roxas</v>
      </c>
      <c r="Q34" s="2" t="str">
        <f>IFERROR(__xludf.DUMMYFUNCTION("""COMPUTED_VALUE"""),"Oriental Mindoro")</f>
        <v>Oriental Mindoro</v>
      </c>
      <c r="R34" s="2" t="str">
        <f>IFERROR(__xludf.DUMMYFUNCTION("""COMPUTED_VALUE"""),"4B")</f>
        <v>4B</v>
      </c>
      <c r="S34" s="2"/>
      <c r="T34" s="2"/>
    </row>
    <row r="35">
      <c r="A35" s="1">
        <f>IFERROR(__xludf.DUMMYFUNCTION("""COMPUTED_VALUE"""),33.0)</f>
        <v>33</v>
      </c>
      <c r="B35" s="2" t="str">
        <f>IFERROR(__xludf.DUMMYFUNCTION("""COMPUTED_VALUE"""),"Municipal Local Government Unit of Cavinti")</f>
        <v>Municipal Local Government Unit of Cavinti</v>
      </c>
      <c r="C35" s="2" t="str">
        <f>IFERROR(__xludf.DUMMYFUNCTION("""COMPUTED_VALUE"""),"Poblacion, Cavinti, Laguna")</f>
        <v>Poblacion, Cavinti, Laguna</v>
      </c>
      <c r="D35" s="2" t="str">
        <f>IFERROR(__xludf.DUMMYFUNCTION("""COMPUTED_VALUE"""),"Hon. Milbert L. Olivares")</f>
        <v>Hon. Milbert L. Olivares</v>
      </c>
      <c r="E35" s="2" t="str">
        <f>IFERROR(__xludf.DUMMYFUNCTION("""COMPUTED_VALUE"""),"0919 002 7529")</f>
        <v>0919 002 7529</v>
      </c>
      <c r="F35" s="2" t="str">
        <f>IFERROR(__xludf.DUMMYFUNCTION("""COMPUTED_VALUE"""),"RCEF 23-08-20 Rebidding")</f>
        <v>RCEF 23-08-20 Rebidding</v>
      </c>
      <c r="G35" s="2">
        <f>IFERROR(__xludf.DUMMYFUNCTION("""COMPUTED_VALUE"""),1.0)</f>
        <v>1</v>
      </c>
      <c r="H35" s="2">
        <f>IFERROR(__xludf.DUMMYFUNCTION("""COMPUTED_VALUE"""),17706.0)</f>
        <v>17706</v>
      </c>
      <c r="I35" s="2" t="str">
        <f>IFERROR(__xludf.DUMMYFUNCTION("""COMPUTED_VALUE"""),"KMC 5825 ACPFPV0141")</f>
        <v>KMC 5825 ACPFPV0141</v>
      </c>
      <c r="J35" s="2" t="str">
        <f>IFERROR(__xludf.DUMMYFUNCTION("""COMPUTED_VALUE"""),"PTS100076")</f>
        <v>PTS100076</v>
      </c>
      <c r="K35" s="2" t="str">
        <f>IFERROR(__xludf.DUMMYFUNCTION("""COMPUTED_VALUE"""),"R-SERIES 002 PH")</f>
        <v>R-SERIES 002 PH</v>
      </c>
      <c r="L35" s="2" t="str">
        <f>IFERROR(__xludf.DUMMYFUNCTION("""COMPUTED_VALUE"""),"LSGW1750-RMP-2312177")</f>
        <v>LSGW1750-RMP-2312177</v>
      </c>
      <c r="M35" s="2" t="str">
        <f>IFERROR(__xludf.DUMMYFUNCTION("""COMPUTED_VALUE"""),"WDP40-RMP-2312113")</f>
        <v>WDP40-RMP-2312113</v>
      </c>
      <c r="N35" s="2"/>
      <c r="O35" s="2" t="str">
        <f>IFERROR(__xludf.DUMMYFUNCTION("""COMPUTED_VALUE"""),"Poblacion")</f>
        <v>Poblacion</v>
      </c>
      <c r="P35" s="2" t="str">
        <f>IFERROR(__xludf.DUMMYFUNCTION("""COMPUTED_VALUE"""),"Cavinti")</f>
        <v>Cavinti</v>
      </c>
      <c r="Q35" s="2" t="str">
        <f>IFERROR(__xludf.DUMMYFUNCTION("""COMPUTED_VALUE"""),"Laguna")</f>
        <v>Laguna</v>
      </c>
      <c r="R35" s="2" t="str">
        <f>IFERROR(__xludf.DUMMYFUNCTION("""COMPUTED_VALUE"""),"4A")</f>
        <v>4A</v>
      </c>
      <c r="S35" s="2"/>
      <c r="T35" s="2"/>
    </row>
    <row r="36">
      <c r="A36" s="1">
        <f>IFERROR(__xludf.DUMMYFUNCTION("""COMPUTED_VALUE"""),34.0)</f>
        <v>34</v>
      </c>
      <c r="B36" s="2" t="str">
        <f>IFERROR(__xludf.DUMMYFUNCTION("""COMPUTED_VALUE"""),"Municipal Local Government Unit of Kalayaan")</f>
        <v>Municipal Local Government Unit of Kalayaan</v>
      </c>
      <c r="C36" s="2" t="str">
        <f>IFERROR(__xludf.DUMMYFUNCTION("""COMPUTED_VALUE"""),"San Juan, Kalayaan, Laguna")</f>
        <v>San Juan, Kalayaan, Laguna</v>
      </c>
      <c r="D36" s="2" t="str">
        <f>IFERROR(__xludf.DUMMYFUNCTION("""COMPUTED_VALUE"""),"Hon. Sandy P. Laganapan")</f>
        <v>Hon. Sandy P. Laganapan</v>
      </c>
      <c r="E36" s="2" t="str">
        <f>IFERROR(__xludf.DUMMYFUNCTION("""COMPUTED_VALUE"""),"0926 242 9624")</f>
        <v>0926 242 9624</v>
      </c>
      <c r="F36" s="2" t="str">
        <f>IFERROR(__xludf.DUMMYFUNCTION("""COMPUTED_VALUE"""),"RCEF 23-08-20 Rebidding")</f>
        <v>RCEF 23-08-20 Rebidding</v>
      </c>
      <c r="G36" s="2">
        <f>IFERROR(__xludf.DUMMYFUNCTION("""COMPUTED_VALUE"""),1.0)</f>
        <v>1</v>
      </c>
      <c r="H36" s="2">
        <f>IFERROR(__xludf.DUMMYFUNCTION("""COMPUTED_VALUE"""),17707.0)</f>
        <v>17707</v>
      </c>
      <c r="I36" s="2" t="str">
        <f>IFERROR(__xludf.DUMMYFUNCTION("""COMPUTED_VALUE"""),"KMC 5825 AAPFPV0067")</f>
        <v>KMC 5825 AAPFPV0067</v>
      </c>
      <c r="J36" s="2" t="str">
        <f>IFERROR(__xludf.DUMMYFUNCTION("""COMPUTED_VALUE"""),"PTS100150")</f>
        <v>PTS100150</v>
      </c>
      <c r="K36" s="2" t="str">
        <f>IFERROR(__xludf.DUMMYFUNCTION("""COMPUTED_VALUE"""),"R-SERIES 008 PH")</f>
        <v>R-SERIES 008 PH</v>
      </c>
      <c r="L36" s="2" t="str">
        <f>IFERROR(__xludf.DUMMYFUNCTION("""COMPUTED_VALUE"""),"LSGW1750-RMP-2312079")</f>
        <v>LSGW1750-RMP-2312079</v>
      </c>
      <c r="M36" s="2" t="str">
        <f>IFERROR(__xludf.DUMMYFUNCTION("""COMPUTED_VALUE"""),"WDP40-RMP-2312074")</f>
        <v>WDP40-RMP-2312074</v>
      </c>
      <c r="N36" s="2"/>
      <c r="O36" s="2" t="str">
        <f>IFERROR(__xludf.DUMMYFUNCTION("""COMPUTED_VALUE"""),"San Juan")</f>
        <v>San Juan</v>
      </c>
      <c r="P36" s="2" t="str">
        <f>IFERROR(__xludf.DUMMYFUNCTION("""COMPUTED_VALUE"""),"Kalayaan")</f>
        <v>Kalayaan</v>
      </c>
      <c r="Q36" s="2" t="str">
        <f>IFERROR(__xludf.DUMMYFUNCTION("""COMPUTED_VALUE"""),"Laguna")</f>
        <v>Laguna</v>
      </c>
      <c r="R36" s="2" t="str">
        <f>IFERROR(__xludf.DUMMYFUNCTION("""COMPUTED_VALUE"""),"4A")</f>
        <v>4A</v>
      </c>
      <c r="S36" s="2"/>
      <c r="T36" s="2"/>
    </row>
    <row r="37">
      <c r="A37" s="1">
        <f>IFERROR(__xludf.DUMMYFUNCTION("""COMPUTED_VALUE"""),35.0)</f>
        <v>35</v>
      </c>
      <c r="B37" s="2" t="str">
        <f>IFERROR(__xludf.DUMMYFUNCTION("""COMPUTED_VALUE"""),"SAMAHAN NG MAGSASAKA NG BARANGAY NANGUMA (SAMABANA)")</f>
        <v>SAMAHAN NG MAGSASAKA NG BARANGAY NANGUMA (SAMABANA)</v>
      </c>
      <c r="C37" s="2" t="str">
        <f>IFERROR(__xludf.DUMMYFUNCTION("""COMPUTED_VALUE"""),"Nanguma, Mabitac, Laguna")</f>
        <v>Nanguma, Mabitac, Laguna</v>
      </c>
      <c r="D37" s="2" t="str">
        <f>IFERROR(__xludf.DUMMYFUNCTION("""COMPUTED_VALUE"""),"LORETO D. PEREZ")</f>
        <v>LORETO D. PEREZ</v>
      </c>
      <c r="E37" s="2" t="str">
        <f>IFERROR(__xludf.DUMMYFUNCTION("""COMPUTED_VALUE"""),"0927-910-0483")</f>
        <v>0927-910-0483</v>
      </c>
      <c r="F37" s="2" t="str">
        <f>IFERROR(__xludf.DUMMYFUNCTION("""COMPUTED_VALUE"""),"RCEF 23-08-20 Rebidding")</f>
        <v>RCEF 23-08-20 Rebidding</v>
      </c>
      <c r="G37" s="2">
        <f>IFERROR(__xludf.DUMMYFUNCTION("""COMPUTED_VALUE"""),1.0)</f>
        <v>1</v>
      </c>
      <c r="H37" s="2">
        <f>IFERROR(__xludf.DUMMYFUNCTION("""COMPUTED_VALUE"""),17708.0)</f>
        <v>17708</v>
      </c>
      <c r="I37" s="2" t="str">
        <f>IFERROR(__xludf.DUMMYFUNCTION("""COMPUTED_VALUE"""),"KMC 5825 ATPFPV0111")</f>
        <v>KMC 5825 ATPFPV0111</v>
      </c>
      <c r="J37" s="2" t="str">
        <f>IFERROR(__xludf.DUMMYFUNCTION("""COMPUTED_VALUE"""),"PTS100093")</f>
        <v>PTS100093</v>
      </c>
      <c r="K37" s="2" t="str">
        <f>IFERROR(__xludf.DUMMYFUNCTION("""COMPUTED_VALUE"""),"R-SERIES 017 PH")</f>
        <v>R-SERIES 017 PH</v>
      </c>
      <c r="L37" s="2" t="str">
        <f>IFERROR(__xludf.DUMMYFUNCTION("""COMPUTED_VALUE"""),"LSGW1750-RMP-2312161")</f>
        <v>LSGW1750-RMP-2312161</v>
      </c>
      <c r="M37" s="2" t="str">
        <f>IFERROR(__xludf.DUMMYFUNCTION("""COMPUTED_VALUE"""),"WDP40-RMP-2401005")</f>
        <v>WDP40-RMP-2401005</v>
      </c>
      <c r="N37" s="2"/>
      <c r="O37" s="2" t="str">
        <f>IFERROR(__xludf.DUMMYFUNCTION("""COMPUTED_VALUE"""),"Nanguma")</f>
        <v>Nanguma</v>
      </c>
      <c r="P37" s="2" t="str">
        <f>IFERROR(__xludf.DUMMYFUNCTION("""COMPUTED_VALUE"""),"Mabitac")</f>
        <v>Mabitac</v>
      </c>
      <c r="Q37" s="2" t="str">
        <f>IFERROR(__xludf.DUMMYFUNCTION("""COMPUTED_VALUE"""),"Laguna")</f>
        <v>Laguna</v>
      </c>
      <c r="R37" s="2" t="str">
        <f>IFERROR(__xludf.DUMMYFUNCTION("""COMPUTED_VALUE"""),"4A")</f>
        <v>4A</v>
      </c>
      <c r="S37" s="2"/>
      <c r="T37" s="2"/>
    </row>
    <row r="38">
      <c r="A38" s="1">
        <f>IFERROR(__xludf.DUMMYFUNCTION("""COMPUTED_VALUE"""),36.0)</f>
        <v>36</v>
      </c>
      <c r="B38" s="2" t="str">
        <f>IFERROR(__xludf.DUMMYFUNCTION("""COMPUTED_VALUE"""),"SAMAHANG MAGPAPATUBIG NG DAMBO-ASUFRE PANGIL, LAGUNA INC.")</f>
        <v>SAMAHANG MAGPAPATUBIG NG DAMBO-ASUFRE PANGIL, LAGUNA INC.</v>
      </c>
      <c r="C38" s="2" t="str">
        <f>IFERROR(__xludf.DUMMYFUNCTION("""COMPUTED_VALUE"""),"Dambo, Pangil, Laguna")</f>
        <v>Dambo, Pangil, Laguna</v>
      </c>
      <c r="D38" s="2" t="str">
        <f>IFERROR(__xludf.DUMMYFUNCTION("""COMPUTED_VALUE"""),"Jonathan B. De Guia")</f>
        <v>Jonathan B. De Guia</v>
      </c>
      <c r="E38" s="2" t="str">
        <f>IFERROR(__xludf.DUMMYFUNCTION("""COMPUTED_VALUE"""),"0935-519-1312")</f>
        <v>0935-519-1312</v>
      </c>
      <c r="F38" s="2" t="str">
        <f>IFERROR(__xludf.DUMMYFUNCTION("""COMPUTED_VALUE"""),"RCEF 23-08-20 Rebidding")</f>
        <v>RCEF 23-08-20 Rebidding</v>
      </c>
      <c r="G38" s="2">
        <f>IFERROR(__xludf.DUMMYFUNCTION("""COMPUTED_VALUE"""),1.0)</f>
        <v>1</v>
      </c>
      <c r="H38" s="2">
        <f>IFERROR(__xludf.DUMMYFUNCTION("""COMPUTED_VALUE"""),17709.0)</f>
        <v>17709</v>
      </c>
      <c r="I38" s="2" t="str">
        <f>IFERROR(__xludf.DUMMYFUNCTION("""COMPUTED_VALUE"""),"KMC 5825 ALRFPV0011")</f>
        <v>KMC 5825 ALRFPV0011</v>
      </c>
      <c r="J38" s="2" t="str">
        <f>IFERROR(__xludf.DUMMYFUNCTION("""COMPUTED_VALUE"""),"PTS100182")</f>
        <v>PTS100182</v>
      </c>
      <c r="K38" s="2" t="str">
        <f>IFERROR(__xludf.DUMMYFUNCTION("""COMPUTED_VALUE"""),"R-SERIES 038 PH")</f>
        <v>R-SERIES 038 PH</v>
      </c>
      <c r="L38" s="2" t="str">
        <f>IFERROR(__xludf.DUMMYFUNCTION("""COMPUTED_VALUE"""),"LSGW1750-RMP-2312074")</f>
        <v>LSGW1750-RMP-2312074</v>
      </c>
      <c r="M38" s="2" t="str">
        <f>IFERROR(__xludf.DUMMYFUNCTION("""COMPUTED_VALUE"""),"WDP40-RMP-2312077")</f>
        <v>WDP40-RMP-2312077</v>
      </c>
      <c r="N38" s="2"/>
      <c r="O38" s="2" t="str">
        <f>IFERROR(__xludf.DUMMYFUNCTION("""COMPUTED_VALUE"""),"Dambo")</f>
        <v>Dambo</v>
      </c>
      <c r="P38" s="2" t="str">
        <f>IFERROR(__xludf.DUMMYFUNCTION("""COMPUTED_VALUE"""),"Pangil")</f>
        <v>Pangil</v>
      </c>
      <c r="Q38" s="2" t="str">
        <f>IFERROR(__xludf.DUMMYFUNCTION("""COMPUTED_VALUE"""),"Laguna")</f>
        <v>Laguna</v>
      </c>
      <c r="R38" s="2" t="str">
        <f>IFERROR(__xludf.DUMMYFUNCTION("""COMPUTED_VALUE"""),"4A")</f>
        <v>4A</v>
      </c>
      <c r="S38" s="2"/>
      <c r="T38" s="2"/>
    </row>
    <row r="39">
      <c r="A39" s="1">
        <f>IFERROR(__xludf.DUMMYFUNCTION("""COMPUTED_VALUE"""),37.0)</f>
        <v>37</v>
      </c>
      <c r="B39" s="2" t="str">
        <f>IFERROR(__xludf.DUMMYFUNCTION("""COMPUTED_VALUE"""),"STA. CRUZ RIVER IRRIGATION SYSTEM IRRIGATORS ASSOCIATION, INC.")</f>
        <v>STA. CRUZ RIVER IRRIGATION SYSTEM IRRIGATORS ASSOCIATION, INC.</v>
      </c>
      <c r="C39" s="2" t="str">
        <f>IFERROR(__xludf.DUMMYFUNCTION("""COMPUTED_VALUE"""),"Gatid, Santa Cruz, Laguna")</f>
        <v>Gatid, Santa Cruz, Laguna</v>
      </c>
      <c r="D39" s="2" t="str">
        <f>IFERROR(__xludf.DUMMYFUNCTION("""COMPUTED_VALUE"""),"Roberto Ramos")</f>
        <v>Roberto Ramos</v>
      </c>
      <c r="E39" s="2" t="str">
        <f>IFERROR(__xludf.DUMMYFUNCTION("""COMPUTED_VALUE"""),"0968 606 0896")</f>
        <v>0968 606 0896</v>
      </c>
      <c r="F39" s="2" t="str">
        <f>IFERROR(__xludf.DUMMYFUNCTION("""COMPUTED_VALUE"""),"RCEF 23-08-20 Rebidding")</f>
        <v>RCEF 23-08-20 Rebidding</v>
      </c>
      <c r="G39" s="2">
        <f>IFERROR(__xludf.DUMMYFUNCTION("""COMPUTED_VALUE"""),1.0)</f>
        <v>1</v>
      </c>
      <c r="H39" s="2">
        <f>IFERROR(__xludf.DUMMYFUNCTION("""COMPUTED_VALUE"""),17710.0)</f>
        <v>17710</v>
      </c>
      <c r="I39" s="2" t="str">
        <f>IFERROR(__xludf.DUMMYFUNCTION("""COMPUTED_VALUE"""),"KMC 5825 AHPFPV0012")</f>
        <v>KMC 5825 AHPFPV0012</v>
      </c>
      <c r="J39" s="2" t="str">
        <f>IFERROR(__xludf.DUMMYFUNCTION("""COMPUTED_VALUE"""),"PTS100169")</f>
        <v>PTS100169</v>
      </c>
      <c r="K39" s="2" t="str">
        <f>IFERROR(__xludf.DUMMYFUNCTION("""COMPUTED_VALUE"""),"R-SERIES 147 PH")</f>
        <v>R-SERIES 147 PH</v>
      </c>
      <c r="L39" s="2" t="str">
        <f>IFERROR(__xludf.DUMMYFUNCTION("""COMPUTED_VALUE"""),"LSGW1750-RMP-2312162")</f>
        <v>LSGW1750-RMP-2312162</v>
      </c>
      <c r="M39" s="2" t="str">
        <f>IFERROR(__xludf.DUMMYFUNCTION("""COMPUTED_VALUE"""),"WDP40-RMP-2312108")</f>
        <v>WDP40-RMP-2312108</v>
      </c>
      <c r="N39" s="2"/>
      <c r="O39" s="2" t="str">
        <f>IFERROR(__xludf.DUMMYFUNCTION("""COMPUTED_VALUE"""),"Gatid")</f>
        <v>Gatid</v>
      </c>
      <c r="P39" s="2" t="str">
        <f>IFERROR(__xludf.DUMMYFUNCTION("""COMPUTED_VALUE"""),"Santa Cruz")</f>
        <v>Santa Cruz</v>
      </c>
      <c r="Q39" s="2" t="str">
        <f>IFERROR(__xludf.DUMMYFUNCTION("""COMPUTED_VALUE"""),"Laguna")</f>
        <v>Laguna</v>
      </c>
      <c r="R39" s="2" t="str">
        <f>IFERROR(__xludf.DUMMYFUNCTION("""COMPUTED_VALUE"""),"4A")</f>
        <v>4A</v>
      </c>
      <c r="S39" s="2"/>
      <c r="T39" s="2"/>
    </row>
    <row r="40">
      <c r="A40" s="1">
        <f>IFERROR(__xludf.DUMMYFUNCTION("""COMPUTED_VALUE"""),38.0)</f>
        <v>38</v>
      </c>
      <c r="B40" s="2" t="str">
        <f>IFERROR(__xludf.DUMMYFUNCTION("""COMPUTED_VALUE"""),"BAGUMBAYAN ORGANIC FARMER’S ASSOCIATION")</f>
        <v>BAGUMBAYAN ORGANIC FARMER’S ASSOCIATION</v>
      </c>
      <c r="C40" s="2" t="str">
        <f>IFERROR(__xludf.DUMMYFUNCTION("""COMPUTED_VALUE"""),"Bagumbayan, Santa Maria, Laguna")</f>
        <v>Bagumbayan, Santa Maria, Laguna</v>
      </c>
      <c r="D40" s="2"/>
      <c r="E40" s="2">
        <f>IFERROR(__xludf.DUMMYFUNCTION("""COMPUTED_VALUE"""),9.672085261E9)</f>
        <v>9672085261</v>
      </c>
      <c r="F40" s="2" t="str">
        <f>IFERROR(__xludf.DUMMYFUNCTION("""COMPUTED_VALUE"""),"RCEF 23-08-20 Rebidding")</f>
        <v>RCEF 23-08-20 Rebidding</v>
      </c>
      <c r="G40" s="2">
        <f>IFERROR(__xludf.DUMMYFUNCTION("""COMPUTED_VALUE"""),1.0)</f>
        <v>1</v>
      </c>
      <c r="H40" s="2">
        <f>IFERROR(__xludf.DUMMYFUNCTION("""COMPUTED_VALUE"""),17711.0)</f>
        <v>17711</v>
      </c>
      <c r="I40" s="2" t="str">
        <f>IFERROR(__xludf.DUMMYFUNCTION("""COMPUTED_VALUE"""),"KMC 5825 AAKFPV0007")</f>
        <v>KMC 5825 AAKFPV0007</v>
      </c>
      <c r="J40" s="2" t="str">
        <f>IFERROR(__xludf.DUMMYFUNCTION("""COMPUTED_VALUE"""),"PTS100274")</f>
        <v>PTS100274</v>
      </c>
      <c r="K40" s="2" t="str">
        <f>IFERROR(__xludf.DUMMYFUNCTION("""COMPUTED_VALUE"""),"R-SERIES 013 PH")</f>
        <v>R-SERIES 013 PH</v>
      </c>
      <c r="L40" s="2" t="str">
        <f>IFERROR(__xludf.DUMMYFUNCTION("""COMPUTED_VALUE"""),"LSGW1750-RMP-2312175")</f>
        <v>LSGW1750-RMP-2312175</v>
      </c>
      <c r="M40" s="2" t="str">
        <f>IFERROR(__xludf.DUMMYFUNCTION("""COMPUTED_VALUE"""),"WDP40-RMP-2312136")</f>
        <v>WDP40-RMP-2312136</v>
      </c>
      <c r="N40" s="2"/>
      <c r="O40" s="2" t="str">
        <f>IFERROR(__xludf.DUMMYFUNCTION("""COMPUTED_VALUE"""),"Bagumbayan")</f>
        <v>Bagumbayan</v>
      </c>
      <c r="P40" s="2" t="str">
        <f>IFERROR(__xludf.DUMMYFUNCTION("""COMPUTED_VALUE"""),"Santa Maria")</f>
        <v>Santa Maria</v>
      </c>
      <c r="Q40" s="2" t="str">
        <f>IFERROR(__xludf.DUMMYFUNCTION("""COMPUTED_VALUE"""),"Laguna")</f>
        <v>Laguna</v>
      </c>
      <c r="R40" s="2" t="str">
        <f>IFERROR(__xludf.DUMMYFUNCTION("""COMPUTED_VALUE"""),"4A")</f>
        <v>4A</v>
      </c>
      <c r="S40" s="2"/>
      <c r="T40" s="2"/>
    </row>
    <row r="41">
      <c r="A41" s="1">
        <f>IFERROR(__xludf.DUMMYFUNCTION("""COMPUTED_VALUE"""),39.0)</f>
        <v>39</v>
      </c>
      <c r="B41" s="2" t="str">
        <f>IFERROR(__xludf.DUMMYFUNCTION("""COMPUTED_VALUE"""),"BARANGAY BANUGAO FARMERS ASSOCIATION")</f>
        <v>BARANGAY BANUGAO FARMERS ASSOCIATION</v>
      </c>
      <c r="C41" s="2" t="str">
        <f>IFERROR(__xludf.DUMMYFUNCTION("""COMPUTED_VALUE"""),"Banugao, Infanta, Quezon")</f>
        <v>Banugao, Infanta, Quezon</v>
      </c>
      <c r="D41" s="2" t="str">
        <f>IFERROR(__xludf.DUMMYFUNCTION("""COMPUTED_VALUE"""),"Catalino Mostoles")</f>
        <v>Catalino Mostoles</v>
      </c>
      <c r="E41" s="2" t="str">
        <f>IFERROR(__xludf.DUMMYFUNCTION("""COMPUTED_VALUE"""),"0920 733 8911")</f>
        <v>0920 733 8911</v>
      </c>
      <c r="F41" s="2" t="str">
        <f>IFERROR(__xludf.DUMMYFUNCTION("""COMPUTED_VALUE"""),"RCEF 23-08-20 Rebidding")</f>
        <v>RCEF 23-08-20 Rebidding</v>
      </c>
      <c r="G41" s="2">
        <f>IFERROR(__xludf.DUMMYFUNCTION("""COMPUTED_VALUE"""),1.0)</f>
        <v>1</v>
      </c>
      <c r="H41" s="2">
        <f>IFERROR(__xludf.DUMMYFUNCTION("""COMPUTED_VALUE"""),17712.0)</f>
        <v>17712</v>
      </c>
      <c r="I41" s="2" t="str">
        <f>IFERROR(__xludf.DUMMYFUNCTION("""COMPUTED_VALUE"""),"KMC5825 ACRFPV0392")</f>
        <v>KMC5825 ACRFPV0392</v>
      </c>
      <c r="J41" s="2" t="str">
        <f>IFERROR(__xludf.DUMMYFUNCTION("""COMPUTED_VALUE"""),"RTS100157")</f>
        <v>RTS100157</v>
      </c>
      <c r="K41" s="2" t="str">
        <f>IFERROR(__xludf.DUMMYFUNCTION("""COMPUTED_VALUE"""),"R-SERIES 132 PH")</f>
        <v>R-SERIES 132 PH</v>
      </c>
      <c r="L41" s="2" t="str">
        <f>IFERROR(__xludf.DUMMYFUNCTION("""COMPUTED_VALUE"""),"LSGW1750 RMP 2312149")</f>
        <v>LSGW1750 RMP 2312149</v>
      </c>
      <c r="M41" s="2" t="str">
        <f>IFERROR(__xludf.DUMMYFUNCTION("""COMPUTED_VALUE"""),"WDP40 RMP 24020188")</f>
        <v>WDP40 RMP 24020188</v>
      </c>
      <c r="N41" s="2"/>
      <c r="O41" s="2" t="str">
        <f>IFERROR(__xludf.DUMMYFUNCTION("""COMPUTED_VALUE"""),"Banugao")</f>
        <v>Banugao</v>
      </c>
      <c r="P41" s="2" t="str">
        <f>IFERROR(__xludf.DUMMYFUNCTION("""COMPUTED_VALUE"""),"Infanta")</f>
        <v>Infanta</v>
      </c>
      <c r="Q41" s="2" t="str">
        <f>IFERROR(__xludf.DUMMYFUNCTION("""COMPUTED_VALUE"""),"Quezon")</f>
        <v>Quezon</v>
      </c>
      <c r="R41" s="2" t="str">
        <f>IFERROR(__xludf.DUMMYFUNCTION("""COMPUTED_VALUE"""),"4A")</f>
        <v>4A</v>
      </c>
      <c r="S41" s="2"/>
      <c r="T41" s="2"/>
    </row>
    <row r="42">
      <c r="A42" s="1">
        <f>IFERROR(__xludf.DUMMYFUNCTION("""COMPUTED_VALUE"""),40.0)</f>
        <v>40</v>
      </c>
      <c r="B42" s="2" t="str">
        <f>IFERROR(__xludf.DUMMYFUNCTION("""COMPUTED_VALUE"""),"MAUBAN FARMERS ASSOCIATION")</f>
        <v>MAUBAN FARMERS ASSOCIATION</v>
      </c>
      <c r="C42" s="2" t="str">
        <f>IFERROR(__xludf.DUMMYFUNCTION("""COMPUTED_VALUE"""),"Rizaliana, Mauban, Quezon")</f>
        <v>Rizaliana, Mauban, Quezon</v>
      </c>
      <c r="D42" s="2" t="str">
        <f>IFERROR(__xludf.DUMMYFUNCTION("""COMPUTED_VALUE"""),"Sergio D. Conchada Jr.")</f>
        <v>Sergio D. Conchada Jr.</v>
      </c>
      <c r="E42" s="2" t="str">
        <f>IFERROR(__xludf.DUMMYFUNCTION("""COMPUTED_VALUE"""),"0908-872-9939")</f>
        <v>0908-872-9939</v>
      </c>
      <c r="F42" s="2" t="str">
        <f>IFERROR(__xludf.DUMMYFUNCTION("""COMPUTED_VALUE"""),"RCEF 23-08-20 Rebidding")</f>
        <v>RCEF 23-08-20 Rebidding</v>
      </c>
      <c r="G42" s="2">
        <f>IFERROR(__xludf.DUMMYFUNCTION("""COMPUTED_VALUE"""),1.0)</f>
        <v>1</v>
      </c>
      <c r="H42" s="2">
        <f>IFERROR(__xludf.DUMMYFUNCTION("""COMPUTED_VALUE"""),17713.0)</f>
        <v>17713</v>
      </c>
      <c r="I42" s="2" t="str">
        <f>IFERROR(__xludf.DUMMYFUNCTION("""COMPUTED_VALUE"""),"KMC 5825 ACPFPV0129")</f>
        <v>KMC 5825 ACPFPV0129</v>
      </c>
      <c r="J42" s="2" t="str">
        <f>IFERROR(__xludf.DUMMYFUNCTION("""COMPUTED_VALUE"""),"PTS100117")</f>
        <v>PTS100117</v>
      </c>
      <c r="K42" s="2" t="str">
        <f>IFERROR(__xludf.DUMMYFUNCTION("""COMPUTED_VALUE"""),"R-SERIES 110 PH")</f>
        <v>R-SERIES 110 PH</v>
      </c>
      <c r="L42" s="2" t="str">
        <f>IFERROR(__xludf.DUMMYFUNCTION("""COMPUTED_VALUE"""),"LSGW1750-RMP-2312135")</f>
        <v>LSGW1750-RMP-2312135</v>
      </c>
      <c r="M42" s="2" t="str">
        <f>IFERROR(__xludf.DUMMYFUNCTION("""COMPUTED_VALUE"""),"WDP40-RMP-2312012")</f>
        <v>WDP40-RMP-2312012</v>
      </c>
      <c r="N42" s="2"/>
      <c r="O42" s="2" t="str">
        <f>IFERROR(__xludf.DUMMYFUNCTION("""COMPUTED_VALUE"""),"Rizaliana")</f>
        <v>Rizaliana</v>
      </c>
      <c r="P42" s="2" t="str">
        <f>IFERROR(__xludf.DUMMYFUNCTION("""COMPUTED_VALUE"""),"Mauban")</f>
        <v>Mauban</v>
      </c>
      <c r="Q42" s="2" t="str">
        <f>IFERROR(__xludf.DUMMYFUNCTION("""COMPUTED_VALUE"""),"Quezon")</f>
        <v>Quezon</v>
      </c>
      <c r="R42" s="2" t="str">
        <f>IFERROR(__xludf.DUMMYFUNCTION("""COMPUTED_VALUE"""),"4A")</f>
        <v>4A</v>
      </c>
      <c r="S42" s="2"/>
      <c r="T42" s="2"/>
    </row>
    <row r="43">
      <c r="A43" s="1">
        <f>IFERROR(__xludf.DUMMYFUNCTION("""COMPUTED_VALUE"""),41.0)</f>
        <v>41</v>
      </c>
      <c r="B43" s="2" t="str">
        <f>IFERROR(__xludf.DUMMYFUNCTION("""COMPUTED_VALUE"""),"NAGKAKAISANG MAGSASAKA NG BANTIGUE IRRIGATORS ASSN., INC.")</f>
        <v>NAGKAKAISANG MAGSASAKA NG BANTIGUE IRRIGATORS ASSN., INC.</v>
      </c>
      <c r="C43" s="2" t="str">
        <f>IFERROR(__xludf.DUMMYFUNCTION("""COMPUTED_VALUE"""),"Bantigue, Pagbilao, Quezon")</f>
        <v>Bantigue, Pagbilao, Quezon</v>
      </c>
      <c r="D43" s="2" t="str">
        <f>IFERROR(__xludf.DUMMYFUNCTION("""COMPUTED_VALUE"""),"Juanito L. Gutierrez")</f>
        <v>Juanito L. Gutierrez</v>
      </c>
      <c r="E43" s="2" t="str">
        <f>IFERROR(__xludf.DUMMYFUNCTION("""COMPUTED_VALUE"""),"0951 235 8285")</f>
        <v>0951 235 8285</v>
      </c>
      <c r="F43" s="2" t="str">
        <f>IFERROR(__xludf.DUMMYFUNCTION("""COMPUTED_VALUE"""),"RCEF 23-08-20 Rebidding")</f>
        <v>RCEF 23-08-20 Rebidding</v>
      </c>
      <c r="G43" s="2">
        <f>IFERROR(__xludf.DUMMYFUNCTION("""COMPUTED_VALUE"""),1.0)</f>
        <v>1</v>
      </c>
      <c r="H43" s="2">
        <f>IFERROR(__xludf.DUMMYFUNCTION("""COMPUTED_VALUE"""),17714.0)</f>
        <v>17714</v>
      </c>
      <c r="I43" s="2" t="str">
        <f>IFERROR(__xludf.DUMMYFUNCTION("""COMPUTED_VALUE"""),"KMC 5825 ACPFPV0043")</f>
        <v>KMC 5825 ACPFPV0043</v>
      </c>
      <c r="J43" s="2" t="str">
        <f>IFERROR(__xludf.DUMMYFUNCTION("""COMPUTED_VALUE"""),"PTS100126")</f>
        <v>PTS100126</v>
      </c>
      <c r="K43" s="2" t="str">
        <f>IFERROR(__xludf.DUMMYFUNCTION("""COMPUTED_VALUE"""),"R-SERIES 109 PH")</f>
        <v>R-SERIES 109 PH</v>
      </c>
      <c r="L43" s="2" t="str">
        <f>IFERROR(__xludf.DUMMYFUNCTION("""COMPUTED_VALUE"""),"LSGW1750-RMP-2312127")</f>
        <v>LSGW1750-RMP-2312127</v>
      </c>
      <c r="M43" s="2" t="str">
        <f>IFERROR(__xludf.DUMMYFUNCTION("""COMPUTED_VALUE"""),"WDP40-RMP-2312021")</f>
        <v>WDP40-RMP-2312021</v>
      </c>
      <c r="N43" s="2"/>
      <c r="O43" s="2" t="str">
        <f>IFERROR(__xludf.DUMMYFUNCTION("""COMPUTED_VALUE"""),"Bantigue")</f>
        <v>Bantigue</v>
      </c>
      <c r="P43" s="2" t="str">
        <f>IFERROR(__xludf.DUMMYFUNCTION("""COMPUTED_VALUE"""),"Pagbilao")</f>
        <v>Pagbilao</v>
      </c>
      <c r="Q43" s="2" t="str">
        <f>IFERROR(__xludf.DUMMYFUNCTION("""COMPUTED_VALUE"""),"Quezon")</f>
        <v>Quezon</v>
      </c>
      <c r="R43" s="2" t="str">
        <f>IFERROR(__xludf.DUMMYFUNCTION("""COMPUTED_VALUE"""),"4A")</f>
        <v>4A</v>
      </c>
      <c r="S43" s="2"/>
      <c r="T43" s="2"/>
    </row>
    <row r="44">
      <c r="A44" s="1">
        <f>IFERROR(__xludf.DUMMYFUNCTION("""COMPUTED_VALUE"""),42.0)</f>
        <v>42</v>
      </c>
      <c r="B44" s="2" t="str">
        <f>IFERROR(__xludf.DUMMYFUNCTION("""COMPUTED_VALUE"""),"Alupaye Farmers Central Irrigators Association, Inc.")</f>
        <v>Alupaye Farmers Central Irrigators Association, Inc.</v>
      </c>
      <c r="C44" s="2" t="str">
        <f>IFERROR(__xludf.DUMMYFUNCTION("""COMPUTED_VALUE"""),"Alupaye, Pagbilao, Quezon")</f>
        <v>Alupaye, Pagbilao, Quezon</v>
      </c>
      <c r="D44" s="2" t="str">
        <f>IFERROR(__xludf.DUMMYFUNCTION("""COMPUTED_VALUE"""),"Clarence Gatus")</f>
        <v>Clarence Gatus</v>
      </c>
      <c r="E44" s="2" t="str">
        <f>IFERROR(__xludf.DUMMYFUNCTION("""COMPUTED_VALUE"""),"0939 763 5038")</f>
        <v>0939 763 5038</v>
      </c>
      <c r="F44" s="2" t="str">
        <f>IFERROR(__xludf.DUMMYFUNCTION("""COMPUTED_VALUE"""),"RCEF 23-08-20 Rebidding")</f>
        <v>RCEF 23-08-20 Rebidding</v>
      </c>
      <c r="G44" s="2">
        <f>IFERROR(__xludf.DUMMYFUNCTION("""COMPUTED_VALUE"""),1.0)</f>
        <v>1</v>
      </c>
      <c r="H44" s="2">
        <f>IFERROR(__xludf.DUMMYFUNCTION("""COMPUTED_VALUE"""),17715.0)</f>
        <v>17715</v>
      </c>
      <c r="I44" s="2" t="str">
        <f>IFERROR(__xludf.DUMMYFUNCTION("""COMPUTED_VALUE"""),"KMC 5825 ATPFPV0058")</f>
        <v>KMC 5825 ATPFPV0058</v>
      </c>
      <c r="J44" s="2" t="str">
        <f>IFERROR(__xludf.DUMMYFUNCTION("""COMPUTED_VALUE"""),"PTS100137")</f>
        <v>PTS100137</v>
      </c>
      <c r="K44" s="2" t="str">
        <f>IFERROR(__xludf.DUMMYFUNCTION("""COMPUTED_VALUE"""),"R-SERIES 023 PH")</f>
        <v>R-SERIES 023 PH</v>
      </c>
      <c r="L44" s="2" t="str">
        <f>IFERROR(__xludf.DUMMYFUNCTION("""COMPUTED_VALUE"""),"LSGW1750-RMP-2312131")</f>
        <v>LSGW1750-RMP-2312131</v>
      </c>
      <c r="M44" s="2" t="str">
        <f>IFERROR(__xludf.DUMMYFUNCTION("""COMPUTED_VALUE"""),"WDP40-RMP-2312033")</f>
        <v>WDP40-RMP-2312033</v>
      </c>
      <c r="N44" s="2"/>
      <c r="O44" s="2" t="str">
        <f>IFERROR(__xludf.DUMMYFUNCTION("""COMPUTED_VALUE"""),"Alupaye")</f>
        <v>Alupaye</v>
      </c>
      <c r="P44" s="2" t="str">
        <f>IFERROR(__xludf.DUMMYFUNCTION("""COMPUTED_VALUE"""),"Pagbilao")</f>
        <v>Pagbilao</v>
      </c>
      <c r="Q44" s="2" t="str">
        <f>IFERROR(__xludf.DUMMYFUNCTION("""COMPUTED_VALUE"""),"Quezon")</f>
        <v>Quezon</v>
      </c>
      <c r="R44" s="2" t="str">
        <f>IFERROR(__xludf.DUMMYFUNCTION("""COMPUTED_VALUE"""),"4A")</f>
        <v>4A</v>
      </c>
      <c r="S44" s="2"/>
      <c r="T44" s="2"/>
    </row>
    <row r="45">
      <c r="A45" s="1">
        <f>IFERROR(__xludf.DUMMYFUNCTION("""COMPUTED_VALUE"""),43.0)</f>
        <v>43</v>
      </c>
      <c r="B45" s="2" t="str">
        <f>IFERROR(__xludf.DUMMYFUNCTION("""COMPUTED_VALUE"""),"MAPAGONG FARMERS IRROGATORS ASSN. INC.")</f>
        <v>MAPAGONG FARMERS IRROGATORS ASSN. INC.</v>
      </c>
      <c r="C45" s="2" t="str">
        <f>IFERROR(__xludf.DUMMYFUNCTION("""COMPUTED_VALUE"""),"Mapagong, Pagbilao, Quezon")</f>
        <v>Mapagong, Pagbilao, Quezon</v>
      </c>
      <c r="D45" s="2" t="str">
        <f>IFERROR(__xludf.DUMMYFUNCTION("""COMPUTED_VALUE"""),"Renato D. De Rama")</f>
        <v>Renato D. De Rama</v>
      </c>
      <c r="E45" s="2" t="str">
        <f>IFERROR(__xludf.DUMMYFUNCTION("""COMPUTED_VALUE"""),"0912 525 4000")</f>
        <v>0912 525 4000</v>
      </c>
      <c r="F45" s="2" t="str">
        <f>IFERROR(__xludf.DUMMYFUNCTION("""COMPUTED_VALUE"""),"RCEF 23-08-20 Rebidding")</f>
        <v>RCEF 23-08-20 Rebidding</v>
      </c>
      <c r="G45" s="2">
        <f>IFERROR(__xludf.DUMMYFUNCTION("""COMPUTED_VALUE"""),1.0)</f>
        <v>1</v>
      </c>
      <c r="H45" s="2">
        <f>IFERROR(__xludf.DUMMYFUNCTION("""COMPUTED_VALUE"""),17716.0)</f>
        <v>17716</v>
      </c>
      <c r="I45" s="2" t="str">
        <f>IFERROR(__xludf.DUMMYFUNCTION("""COMPUTED_VALUE"""),"KMC 5825 AHPFPV0069")</f>
        <v>KMC 5825 AHPFPV0069</v>
      </c>
      <c r="J45" s="2" t="str">
        <f>IFERROR(__xludf.DUMMYFUNCTION("""COMPUTED_VALUE"""),"PTS100159")</f>
        <v>PTS100159</v>
      </c>
      <c r="K45" s="2" t="str">
        <f>IFERROR(__xludf.DUMMYFUNCTION("""COMPUTED_VALUE"""),"R-SERIES 113 PH")</f>
        <v>R-SERIES 113 PH</v>
      </c>
      <c r="L45" s="2" t="str">
        <f>IFERROR(__xludf.DUMMYFUNCTION("""COMPUTED_VALUE"""),"LSGW1750-RMP-2312118")</f>
        <v>LSGW1750-RMP-2312118</v>
      </c>
      <c r="M45" s="2" t="str">
        <f>IFERROR(__xludf.DUMMYFUNCTION("""COMPUTED_VALUE"""),"WDP40-RMP-2312019")</f>
        <v>WDP40-RMP-2312019</v>
      </c>
      <c r="N45" s="2"/>
      <c r="O45" s="2" t="str">
        <f>IFERROR(__xludf.DUMMYFUNCTION("""COMPUTED_VALUE"""),"Mapagong")</f>
        <v>Mapagong</v>
      </c>
      <c r="P45" s="2" t="str">
        <f>IFERROR(__xludf.DUMMYFUNCTION("""COMPUTED_VALUE"""),"Pagbilao")</f>
        <v>Pagbilao</v>
      </c>
      <c r="Q45" s="2" t="str">
        <f>IFERROR(__xludf.DUMMYFUNCTION("""COMPUTED_VALUE"""),"Quezon")</f>
        <v>Quezon</v>
      </c>
      <c r="R45" s="2" t="str">
        <f>IFERROR(__xludf.DUMMYFUNCTION("""COMPUTED_VALUE"""),"4A")</f>
        <v>4A</v>
      </c>
      <c r="S45" s="2"/>
      <c r="T45" s="2"/>
    </row>
    <row r="46">
      <c r="A46" s="1">
        <f>IFERROR(__xludf.DUMMYFUNCTION("""COMPUTED_VALUE"""),44.0)</f>
        <v>44</v>
      </c>
      <c r="B46" s="2" t="str">
        <f>IFERROR(__xludf.DUMMYFUNCTION("""COMPUTED_VALUE"""),"TUBIG BIYAYA IRRIGATORS' ASSOCIATION, INC.")</f>
        <v>TUBIG BIYAYA IRRIGATORS' ASSOCIATION, INC.</v>
      </c>
      <c r="C46" s="2" t="str">
        <f>IFERROR(__xludf.DUMMYFUNCTION("""COMPUTED_VALUE"""),"Binahaan, Pagbilao, Quezon")</f>
        <v>Binahaan, Pagbilao, Quezon</v>
      </c>
      <c r="D46" s="2" t="str">
        <f>IFERROR(__xludf.DUMMYFUNCTION("""COMPUTED_VALUE"""),"Primitiva C. Memorando")</f>
        <v>Primitiva C. Memorando</v>
      </c>
      <c r="E46" s="2" t="str">
        <f>IFERROR(__xludf.DUMMYFUNCTION("""COMPUTED_VALUE"""),"0998-881-3869")</f>
        <v>0998-881-3869</v>
      </c>
      <c r="F46" s="2" t="str">
        <f>IFERROR(__xludf.DUMMYFUNCTION("""COMPUTED_VALUE"""),"RCEF 23-08-20 Rebidding")</f>
        <v>RCEF 23-08-20 Rebidding</v>
      </c>
      <c r="G46" s="2">
        <f>IFERROR(__xludf.DUMMYFUNCTION("""COMPUTED_VALUE"""),1.0)</f>
        <v>1</v>
      </c>
      <c r="H46" s="2">
        <f>IFERROR(__xludf.DUMMYFUNCTION("""COMPUTED_VALUE"""),17717.0)</f>
        <v>17717</v>
      </c>
      <c r="I46" s="2" t="str">
        <f>IFERROR(__xludf.DUMMYFUNCTION("""COMPUTED_VALUE"""),"KMC 5825 ATPFPV0108")</f>
        <v>KMC 5825 ATPFPV0108</v>
      </c>
      <c r="J46" s="2" t="str">
        <f>IFERROR(__xludf.DUMMYFUNCTION("""COMPUTED_VALUE"""),"PTS100086")</f>
        <v>PTS100086</v>
      </c>
      <c r="K46" s="2" t="str">
        <f>IFERROR(__xludf.DUMMYFUNCTION("""COMPUTED_VALUE"""),"R-SERIES 085 PH")</f>
        <v>R-SERIES 085 PH</v>
      </c>
      <c r="L46" s="2" t="str">
        <f>IFERROR(__xludf.DUMMYFUNCTION("""COMPUTED_VALUE"""),"LSGW1750-RMP-2312134")</f>
        <v>LSGW1750-RMP-2312134</v>
      </c>
      <c r="M46" s="2" t="str">
        <f>IFERROR(__xludf.DUMMYFUNCTION("""COMPUTED_VALUE"""),"WDP40-RMP-2312029")</f>
        <v>WDP40-RMP-2312029</v>
      </c>
      <c r="N46" s="2"/>
      <c r="O46" s="2" t="str">
        <f>IFERROR(__xludf.DUMMYFUNCTION("""COMPUTED_VALUE"""),"Binahaan")</f>
        <v>Binahaan</v>
      </c>
      <c r="P46" s="2" t="str">
        <f>IFERROR(__xludf.DUMMYFUNCTION("""COMPUTED_VALUE"""),"Pagbilao")</f>
        <v>Pagbilao</v>
      </c>
      <c r="Q46" s="2" t="str">
        <f>IFERROR(__xludf.DUMMYFUNCTION("""COMPUTED_VALUE"""),"Quezon")</f>
        <v>Quezon</v>
      </c>
      <c r="R46" s="2" t="str">
        <f>IFERROR(__xludf.DUMMYFUNCTION("""COMPUTED_VALUE"""),"4A")</f>
        <v>4A</v>
      </c>
      <c r="S46" s="2"/>
      <c r="T46" s="2"/>
    </row>
    <row r="47">
      <c r="A47" s="1">
        <f>IFERROR(__xludf.DUMMYFUNCTION("""COMPUTED_VALUE"""),45.0)</f>
        <v>45</v>
      </c>
      <c r="B47" s="2" t="str">
        <f>IFERROR(__xludf.DUMMYFUNCTION("""COMPUTED_VALUE"""),"Taluong -Quedanom Irrigators Association")</f>
        <v>Taluong -Quedanom Irrigators Association</v>
      </c>
      <c r="C47" s="2" t="str">
        <f>IFERROR(__xludf.DUMMYFUNCTION("""COMPUTED_VALUE"""),"Taluong, Polillo, Quezon")</f>
        <v>Taluong, Polillo, Quezon</v>
      </c>
      <c r="D47" s="2" t="str">
        <f>IFERROR(__xludf.DUMMYFUNCTION("""COMPUTED_VALUE"""),"Joanamel G. Azarias")</f>
        <v>Joanamel G. Azarias</v>
      </c>
      <c r="E47" s="2" t="str">
        <f>IFERROR(__xludf.DUMMYFUNCTION("""COMPUTED_VALUE"""),"0908 538 6020")</f>
        <v>0908 538 6020</v>
      </c>
      <c r="F47" s="2" t="str">
        <f>IFERROR(__xludf.DUMMYFUNCTION("""COMPUTED_VALUE"""),"RCEF 23-08-20 Rebidding")</f>
        <v>RCEF 23-08-20 Rebidding</v>
      </c>
      <c r="G47" s="2">
        <f>IFERROR(__xludf.DUMMYFUNCTION("""COMPUTED_VALUE"""),1.0)</f>
        <v>1</v>
      </c>
      <c r="H47" s="2">
        <f>IFERROR(__xludf.DUMMYFUNCTION("""COMPUTED_VALUE"""),17718.0)</f>
        <v>17718</v>
      </c>
      <c r="I47" s="2" t="str">
        <f>IFERROR(__xludf.DUMMYFUNCTION("""COMPUTED_VALUE"""),"KMC5825 AVRFPV0412")</f>
        <v>KMC5825 AVRFPV0412</v>
      </c>
      <c r="J47" s="2" t="str">
        <f>IFERROR(__xludf.DUMMYFUNCTION("""COMPUTED_VALUE"""),"RTS100292")</f>
        <v>RTS100292</v>
      </c>
      <c r="K47" s="2" t="str">
        <f>IFERROR(__xludf.DUMMYFUNCTION("""COMPUTED_VALUE"""),"R-SERIES 047 PH")</f>
        <v>R-SERIES 047 PH</v>
      </c>
      <c r="L47" s="2" t="str">
        <f>IFERROR(__xludf.DUMMYFUNCTION("""COMPUTED_VALUE"""),"LSGW1750 RMP 2312168")</f>
        <v>LSGW1750 RMP 2312168</v>
      </c>
      <c r="M47" s="2" t="str">
        <f>IFERROR(__xludf.DUMMYFUNCTION("""COMPUTED_VALUE"""),"WDP40 RMP 24020202")</f>
        <v>WDP40 RMP 24020202</v>
      </c>
      <c r="N47" s="2"/>
      <c r="O47" s="2" t="str">
        <f>IFERROR(__xludf.DUMMYFUNCTION("""COMPUTED_VALUE"""),"Taluong")</f>
        <v>Taluong</v>
      </c>
      <c r="P47" s="2" t="str">
        <f>IFERROR(__xludf.DUMMYFUNCTION("""COMPUTED_VALUE"""),"Polillo")</f>
        <v>Polillo</v>
      </c>
      <c r="Q47" s="2" t="str">
        <f>IFERROR(__xludf.DUMMYFUNCTION("""COMPUTED_VALUE"""),"Quezon")</f>
        <v>Quezon</v>
      </c>
      <c r="R47" s="2" t="str">
        <f>IFERROR(__xludf.DUMMYFUNCTION("""COMPUTED_VALUE"""),"4A")</f>
        <v>4A</v>
      </c>
      <c r="S47" s="2"/>
      <c r="T47" s="2"/>
    </row>
    <row r="48">
      <c r="A48" s="1">
        <f>IFERROR(__xludf.DUMMYFUNCTION("""COMPUTED_VALUE"""),46.0)</f>
        <v>46</v>
      </c>
      <c r="B48" s="2" t="str">
        <f>IFERROR(__xludf.DUMMYFUNCTION("""COMPUTED_VALUE"""),"SAMAHAN NG MGA MAGSASAKA NG PAHINGA NORTE")</f>
        <v>SAMAHAN NG MGA MAGSASAKA NG PAHINGA NORTE</v>
      </c>
      <c r="C48" s="2" t="str">
        <f>IFERROR(__xludf.DUMMYFUNCTION("""COMPUTED_VALUE"""),"Pahinga Norte, Candelaria, Quezon")</f>
        <v>Pahinga Norte, Candelaria, Quezon</v>
      </c>
      <c r="D48" s="2" t="str">
        <f>IFERROR(__xludf.DUMMYFUNCTION("""COMPUTED_VALUE"""),"Roberto Ebora")</f>
        <v>Roberto Ebora</v>
      </c>
      <c r="E48" s="2" t="str">
        <f>IFERROR(__xludf.DUMMYFUNCTION("""COMPUTED_VALUE"""),"0936-915-6875")</f>
        <v>0936-915-6875</v>
      </c>
      <c r="F48" s="2" t="str">
        <f>IFERROR(__xludf.DUMMYFUNCTION("""COMPUTED_VALUE"""),"RCEF 23-08-20 Rebidding")</f>
        <v>RCEF 23-08-20 Rebidding</v>
      </c>
      <c r="G48" s="2">
        <f>IFERROR(__xludf.DUMMYFUNCTION("""COMPUTED_VALUE"""),1.0)</f>
        <v>1</v>
      </c>
      <c r="H48" s="2">
        <f>IFERROR(__xludf.DUMMYFUNCTION("""COMPUTED_VALUE"""),17719.0)</f>
        <v>17719</v>
      </c>
      <c r="I48" s="2" t="str">
        <f>IFERROR(__xludf.DUMMYFUNCTION("""COMPUTED_VALUE"""),"KMC5825 AKRFPV0390")</f>
        <v>KMC5825 AKRFPV0390</v>
      </c>
      <c r="J48" s="2" t="str">
        <f>IFERROR(__xludf.DUMMYFUNCTION("""COMPUTED_VALUE"""),"RTS100257")</f>
        <v>RTS100257</v>
      </c>
      <c r="K48" s="2" t="str">
        <f>IFERROR(__xludf.DUMMYFUNCTION("""COMPUTED_VALUE"""),"R-SERIES 439 PH")</f>
        <v>R-SERIES 439 PH</v>
      </c>
      <c r="L48" s="2" t="str">
        <f>IFERROR(__xludf.DUMMYFUNCTION("""COMPUTED_VALUE"""),"LSGW1750 RMP 24020456")</f>
        <v>LSGW1750 RMP 24020456</v>
      </c>
      <c r="M48" s="2" t="str">
        <f>IFERROR(__xludf.DUMMYFUNCTION("""COMPUTED_VALUE"""),"WDP40 RMP 24020239")</f>
        <v>WDP40 RMP 24020239</v>
      </c>
      <c r="N48" s="2"/>
      <c r="O48" s="2" t="str">
        <f>IFERROR(__xludf.DUMMYFUNCTION("""COMPUTED_VALUE"""),"Pahinga Norte")</f>
        <v>Pahinga Norte</v>
      </c>
      <c r="P48" s="2" t="str">
        <f>IFERROR(__xludf.DUMMYFUNCTION("""COMPUTED_VALUE"""),"Candelaria")</f>
        <v>Candelaria</v>
      </c>
      <c r="Q48" s="2" t="str">
        <f>IFERROR(__xludf.DUMMYFUNCTION("""COMPUTED_VALUE"""),"Quezon")</f>
        <v>Quezon</v>
      </c>
      <c r="R48" s="2" t="str">
        <f>IFERROR(__xludf.DUMMYFUNCTION("""COMPUTED_VALUE"""),"4A")</f>
        <v>4A</v>
      </c>
      <c r="S48" s="2"/>
      <c r="T48" s="2"/>
    </row>
    <row r="49">
      <c r="A49" s="1">
        <f>IFERROR(__xludf.DUMMYFUNCTION("""COMPUTED_VALUE"""),47.0)</f>
        <v>47</v>
      </c>
      <c r="B49" s="2" t="str">
        <f>IFERROR(__xludf.DUMMYFUNCTION("""COMPUTED_VALUE"""),"SAN ISIDRO-CANDELARIA FARMERS ASSOCIATION")</f>
        <v>SAN ISIDRO-CANDELARIA FARMERS ASSOCIATION</v>
      </c>
      <c r="C49" s="2" t="str">
        <f>IFERROR(__xludf.DUMMYFUNCTION("""COMPUTED_VALUE"""),"San Isidro, Candelaria, Quezon")</f>
        <v>San Isidro, Candelaria, Quezon</v>
      </c>
      <c r="D49" s="2" t="str">
        <f>IFERROR(__xludf.DUMMYFUNCTION("""COMPUTED_VALUE"""),"Dante D. Florante")</f>
        <v>Dante D. Florante</v>
      </c>
      <c r="E49" s="2" t="str">
        <f>IFERROR(__xludf.DUMMYFUNCTION("""COMPUTED_VALUE"""),"0912 127 6601")</f>
        <v>0912 127 6601</v>
      </c>
      <c r="F49" s="2" t="str">
        <f>IFERROR(__xludf.DUMMYFUNCTION("""COMPUTED_VALUE"""),"RCEF 23-08-20 Rebidding")</f>
        <v>RCEF 23-08-20 Rebidding</v>
      </c>
      <c r="G49" s="2">
        <f>IFERROR(__xludf.DUMMYFUNCTION("""COMPUTED_VALUE"""),1.0)</f>
        <v>1</v>
      </c>
      <c r="H49" s="2">
        <f>IFERROR(__xludf.DUMMYFUNCTION("""COMPUTED_VALUE"""),17720.0)</f>
        <v>17720</v>
      </c>
      <c r="I49" s="2" t="str">
        <f>IFERROR(__xludf.DUMMYFUNCTION("""COMPUTED_VALUE"""),"KMC5825 APRFPV0307")</f>
        <v>KMC5825 APRFPV0307</v>
      </c>
      <c r="J49" s="2" t="str">
        <f>IFERROR(__xludf.DUMMYFUNCTION("""COMPUTED_VALUE"""),"RTS100205")</f>
        <v>RTS100205</v>
      </c>
      <c r="K49" s="2" t="str">
        <f>IFERROR(__xludf.DUMMYFUNCTION("""COMPUTED_VALUE"""),"R-SERIES 405 PH")</f>
        <v>R-SERIES 405 PH</v>
      </c>
      <c r="L49" s="2" t="str">
        <f>IFERROR(__xludf.DUMMYFUNCTION("""COMPUTED_VALUE"""),"LSGW1750 RMP 24020450")</f>
        <v>LSGW1750 RMP 24020450</v>
      </c>
      <c r="M49" s="2" t="str">
        <f>IFERROR(__xludf.DUMMYFUNCTION("""COMPUTED_VALUE"""),"WDP40 RMP 24020218")</f>
        <v>WDP40 RMP 24020218</v>
      </c>
      <c r="N49" s="2"/>
      <c r="O49" s="2" t="str">
        <f>IFERROR(__xludf.DUMMYFUNCTION("""COMPUTED_VALUE"""),"San Isidro")</f>
        <v>San Isidro</v>
      </c>
      <c r="P49" s="2" t="str">
        <f>IFERROR(__xludf.DUMMYFUNCTION("""COMPUTED_VALUE"""),"Candelaria")</f>
        <v>Candelaria</v>
      </c>
      <c r="Q49" s="2" t="str">
        <f>IFERROR(__xludf.DUMMYFUNCTION("""COMPUTED_VALUE"""),"Quezon")</f>
        <v>Quezon</v>
      </c>
      <c r="R49" s="2" t="str">
        <f>IFERROR(__xludf.DUMMYFUNCTION("""COMPUTED_VALUE"""),"4A")</f>
        <v>4A</v>
      </c>
      <c r="S49" s="2"/>
      <c r="T49" s="2"/>
    </row>
    <row r="50">
      <c r="A50" s="1">
        <f>IFERROR(__xludf.DUMMYFUNCTION("""COMPUTED_VALUE"""),48.0)</f>
        <v>48</v>
      </c>
      <c r="B50" s="2" t="str">
        <f>IFERROR(__xludf.DUMMYFUNCTION("""COMPUTED_VALUE"""),"Yakap at Halik Multi-Purpose Cooperative Quezon 1 (YHMPCQ1)")</f>
        <v>Yakap at Halik Multi-Purpose Cooperative Quezon 1 (YHMPCQ1)</v>
      </c>
      <c r="C50" s="2" t="str">
        <f>IFERROR(__xludf.DUMMYFUNCTION("""COMPUTED_VALUE"""),"Poblacion, Candelaria, Quezon")</f>
        <v>Poblacion, Candelaria, Quezon</v>
      </c>
      <c r="D50" s="2" t="str">
        <f>IFERROR(__xludf.DUMMYFUNCTION("""COMPUTED_VALUE"""),"Robert Diala")</f>
        <v>Robert Diala</v>
      </c>
      <c r="E50" s="2" t="str">
        <f>IFERROR(__xludf.DUMMYFUNCTION("""COMPUTED_VALUE"""),"0923 027 0837")</f>
        <v>0923 027 0837</v>
      </c>
      <c r="F50" s="2" t="str">
        <f>IFERROR(__xludf.DUMMYFUNCTION("""COMPUTED_VALUE"""),"RCEF 23-08-20 Rebidding")</f>
        <v>RCEF 23-08-20 Rebidding</v>
      </c>
      <c r="G50" s="2">
        <f>IFERROR(__xludf.DUMMYFUNCTION("""COMPUTED_VALUE"""),1.0)</f>
        <v>1</v>
      </c>
      <c r="H50" s="2">
        <f>IFERROR(__xludf.DUMMYFUNCTION("""COMPUTED_VALUE"""),17722.0)</f>
        <v>17722</v>
      </c>
      <c r="I50" s="2" t="str">
        <f>IFERROR(__xludf.DUMMYFUNCTION("""COMPUTED_VALUE"""),"KMC5825 ACRFPV0389")</f>
        <v>KMC5825 ACRFPV0389</v>
      </c>
      <c r="J50" s="2" t="str">
        <f>IFERROR(__xludf.DUMMYFUNCTION("""COMPUTED_VALUE"""),"RTS100272")</f>
        <v>RTS100272</v>
      </c>
      <c r="K50" s="2" t="str">
        <f>IFERROR(__xludf.DUMMYFUNCTION("""COMPUTED_VALUE"""),"R-SERIES 411 PH")</f>
        <v>R-SERIES 411 PH</v>
      </c>
      <c r="L50" s="2" t="str">
        <f>IFERROR(__xludf.DUMMYFUNCTION("""COMPUTED_VALUE"""),"LSGW1750 RMP 24020454")</f>
        <v>LSGW1750 RMP 24020454</v>
      </c>
      <c r="M50" s="2" t="str">
        <f>IFERROR(__xludf.DUMMYFUNCTION("""COMPUTED_VALUE"""),"WDP40 RMP 24020244")</f>
        <v>WDP40 RMP 24020244</v>
      </c>
      <c r="N50" s="2"/>
      <c r="O50" s="2" t="str">
        <f>IFERROR(__xludf.DUMMYFUNCTION("""COMPUTED_VALUE"""),"Poblacion")</f>
        <v>Poblacion</v>
      </c>
      <c r="P50" s="2" t="str">
        <f>IFERROR(__xludf.DUMMYFUNCTION("""COMPUTED_VALUE"""),"Candelaria")</f>
        <v>Candelaria</v>
      </c>
      <c r="Q50" s="2" t="str">
        <f>IFERROR(__xludf.DUMMYFUNCTION("""COMPUTED_VALUE"""),"Quezon")</f>
        <v>Quezon</v>
      </c>
      <c r="R50" s="2" t="str">
        <f>IFERROR(__xludf.DUMMYFUNCTION("""COMPUTED_VALUE"""),"4A")</f>
        <v>4A</v>
      </c>
      <c r="S50" s="2"/>
      <c r="T50" s="2"/>
    </row>
    <row r="51">
      <c r="A51" s="1">
        <f>IFERROR(__xludf.DUMMYFUNCTION("""COMPUTED_VALUE"""),49.0)</f>
        <v>49</v>
      </c>
      <c r="B51" s="2" t="str">
        <f>IFERROR(__xludf.DUMMYFUNCTION("""COMPUTED_VALUE"""),"DAKILANG SULOK FARMERS' ASSOCIATION, INC.")</f>
        <v>DAKILANG SULOK FARMERS' ASSOCIATION, INC.</v>
      </c>
      <c r="C51" s="2" t="str">
        <f>IFERROR(__xludf.DUMMYFUNCTION("""COMPUTED_VALUE"""),"Mayao Castillo, Lucena City, Quezon")</f>
        <v>Mayao Castillo, Lucena City, Quezon</v>
      </c>
      <c r="D51" s="2" t="str">
        <f>IFERROR(__xludf.DUMMYFUNCTION("""COMPUTED_VALUE"""),"Dominador Pornasdoro")</f>
        <v>Dominador Pornasdoro</v>
      </c>
      <c r="E51" s="2" t="str">
        <f>IFERROR(__xludf.DUMMYFUNCTION("""COMPUTED_VALUE"""),"0933 869 5027")</f>
        <v>0933 869 5027</v>
      </c>
      <c r="F51" s="2" t="str">
        <f>IFERROR(__xludf.DUMMYFUNCTION("""COMPUTED_VALUE"""),"RCEF 23-08-20 Rebidding")</f>
        <v>RCEF 23-08-20 Rebidding</v>
      </c>
      <c r="G51" s="2">
        <f>IFERROR(__xludf.DUMMYFUNCTION("""COMPUTED_VALUE"""),1.0)</f>
        <v>1</v>
      </c>
      <c r="H51" s="2">
        <f>IFERROR(__xludf.DUMMYFUNCTION("""COMPUTED_VALUE"""),17723.0)</f>
        <v>17723</v>
      </c>
      <c r="I51" s="2" t="str">
        <f>IFERROR(__xludf.DUMMYFUNCTION("""COMPUTED_VALUE"""),"KMC5825 AERDV0321")</f>
        <v>KMC5825 AERDV0321</v>
      </c>
      <c r="J51" s="2" t="str">
        <f>IFERROR(__xludf.DUMMYFUNCTION("""COMPUTED_VALUE"""),"RTS100197")</f>
        <v>RTS100197</v>
      </c>
      <c r="K51" s="2" t="str">
        <f>IFERROR(__xludf.DUMMYFUNCTION("""COMPUTED_VALUE"""),"R-SERIES 412 PH")</f>
        <v>R-SERIES 412 PH</v>
      </c>
      <c r="L51" s="2" t="str">
        <f>IFERROR(__xludf.DUMMYFUNCTION("""COMPUTED_VALUE"""),"LSGW1750 RMP 24020427")</f>
        <v>LSGW1750 RMP 24020427</v>
      </c>
      <c r="M51" s="2" t="str">
        <f>IFERROR(__xludf.DUMMYFUNCTION("""COMPUTED_VALUE"""),"WDP40 RMP 24020227")</f>
        <v>WDP40 RMP 24020227</v>
      </c>
      <c r="N51" s="2"/>
      <c r="O51" s="2" t="str">
        <f>IFERROR(__xludf.DUMMYFUNCTION("""COMPUTED_VALUE"""),"Mayao Castillo")</f>
        <v>Mayao Castillo</v>
      </c>
      <c r="P51" s="2" t="str">
        <f>IFERROR(__xludf.DUMMYFUNCTION("""COMPUTED_VALUE"""),"Lucena City")</f>
        <v>Lucena City</v>
      </c>
      <c r="Q51" s="2" t="str">
        <f>IFERROR(__xludf.DUMMYFUNCTION("""COMPUTED_VALUE"""),"Quezon")</f>
        <v>Quezon</v>
      </c>
      <c r="R51" s="2" t="str">
        <f>IFERROR(__xludf.DUMMYFUNCTION("""COMPUTED_VALUE"""),"4A")</f>
        <v>4A</v>
      </c>
      <c r="S51" s="2"/>
      <c r="T51" s="2"/>
    </row>
    <row r="52">
      <c r="A52" s="1">
        <f>IFERROR(__xludf.DUMMYFUNCTION("""COMPUTED_VALUE"""),50.0)</f>
        <v>50</v>
      </c>
      <c r="B52" s="2" t="str">
        <f>IFERROR(__xludf.DUMMYFUNCTION("""COMPUTED_VALUE"""),"Lucena City Farmers Federation Multi-Purpose Cooperative")</f>
        <v>Lucena City Farmers Federation Multi-Purpose Cooperative</v>
      </c>
      <c r="C52" s="2" t="str">
        <f>IFERROR(__xludf.DUMMYFUNCTION("""COMPUTED_VALUE"""),"Salinas, Lucena City, Quezon")</f>
        <v>Salinas, Lucena City, Quezon</v>
      </c>
      <c r="D52" s="2" t="str">
        <f>IFERROR(__xludf.DUMMYFUNCTION("""COMPUTED_VALUE"""),"Gregorio S. Vecinal")</f>
        <v>Gregorio S. Vecinal</v>
      </c>
      <c r="E52" s="2" t="str">
        <f>IFERROR(__xludf.DUMMYFUNCTION("""COMPUTED_VALUE"""),"0998 322 8339")</f>
        <v>0998 322 8339</v>
      </c>
      <c r="F52" s="2" t="str">
        <f>IFERROR(__xludf.DUMMYFUNCTION("""COMPUTED_VALUE"""),"RCEF 23-08-20 Rebidding")</f>
        <v>RCEF 23-08-20 Rebidding</v>
      </c>
      <c r="G52" s="2">
        <f>IFERROR(__xludf.DUMMYFUNCTION("""COMPUTED_VALUE"""),1.0)</f>
        <v>1</v>
      </c>
      <c r="H52" s="2">
        <f>IFERROR(__xludf.DUMMYFUNCTION("""COMPUTED_VALUE"""),17724.0)</f>
        <v>17724</v>
      </c>
      <c r="I52" s="2" t="str">
        <f>IFERROR(__xludf.DUMMYFUNCTION("""COMPUTED_VALUE"""),"KMC5825 AARFPV0329")</f>
        <v>KMC5825 AARFPV0329</v>
      </c>
      <c r="J52" s="2" t="str">
        <f>IFERROR(__xludf.DUMMYFUNCTION("""COMPUTED_VALUE"""),"RTS100179")</f>
        <v>RTS100179</v>
      </c>
      <c r="K52" s="2" t="str">
        <f>IFERROR(__xludf.DUMMYFUNCTION("""COMPUTED_VALUE"""),"R-SERIES 154 PH")</f>
        <v>R-SERIES 154 PH</v>
      </c>
      <c r="L52" s="2" t="str">
        <f>IFERROR(__xludf.DUMMYFUNCTION("""COMPUTED_VALUE"""),"LSGW1750 RMP 24020415")</f>
        <v>LSGW1750 RMP 24020415</v>
      </c>
      <c r="M52" s="2" t="str">
        <f>IFERROR(__xludf.DUMMYFUNCTION("""COMPUTED_VALUE"""),"WDP40 RMP 24020217")</f>
        <v>WDP40 RMP 24020217</v>
      </c>
      <c r="N52" s="2"/>
      <c r="O52" s="2" t="str">
        <f>IFERROR(__xludf.DUMMYFUNCTION("""COMPUTED_VALUE"""),"Salinas")</f>
        <v>Salinas</v>
      </c>
      <c r="P52" s="2" t="str">
        <f>IFERROR(__xludf.DUMMYFUNCTION("""COMPUTED_VALUE"""),"Lucena City")</f>
        <v>Lucena City</v>
      </c>
      <c r="Q52" s="2" t="str">
        <f>IFERROR(__xludf.DUMMYFUNCTION("""COMPUTED_VALUE"""),"Quezon")</f>
        <v>Quezon</v>
      </c>
      <c r="R52" s="2" t="str">
        <f>IFERROR(__xludf.DUMMYFUNCTION("""COMPUTED_VALUE"""),"4A")</f>
        <v>4A</v>
      </c>
      <c r="S52" s="2"/>
      <c r="T52" s="2"/>
    </row>
    <row r="53">
      <c r="A53" s="1">
        <f>IFERROR(__xludf.DUMMYFUNCTION("""COMPUTED_VALUE"""),51.0)</f>
        <v>51</v>
      </c>
      <c r="B53" s="2" t="str">
        <f>IFERROR(__xludf.DUMMYFUNCTION("""COMPUTED_VALUE"""),"TUMBAGA I BUCAL IRRIGATORS ASSOCIATION, INC.")</f>
        <v>TUMBAGA I BUCAL IRRIGATORS ASSOCIATION, INC.</v>
      </c>
      <c r="C53" s="2" t="str">
        <f>IFERROR(__xludf.DUMMYFUNCTION("""COMPUTED_VALUE"""),"Tumbaga I, Sariaya, Quezon")</f>
        <v>Tumbaga I, Sariaya, Quezon</v>
      </c>
      <c r="D53" s="2" t="str">
        <f>IFERROR(__xludf.DUMMYFUNCTION("""COMPUTED_VALUE"""),"Rogelio D. Mendoza")</f>
        <v>Rogelio D. Mendoza</v>
      </c>
      <c r="E53" s="2" t="str">
        <f>IFERROR(__xludf.DUMMYFUNCTION("""COMPUTED_VALUE"""),"0917 597 5537")</f>
        <v>0917 597 5537</v>
      </c>
      <c r="F53" s="2" t="str">
        <f>IFERROR(__xludf.DUMMYFUNCTION("""COMPUTED_VALUE"""),"RCEF 23-08-20 Rebidding")</f>
        <v>RCEF 23-08-20 Rebidding</v>
      </c>
      <c r="G53" s="2">
        <f>IFERROR(__xludf.DUMMYFUNCTION("""COMPUTED_VALUE"""),1.0)</f>
        <v>1</v>
      </c>
      <c r="H53" s="2">
        <f>IFERROR(__xludf.DUMMYFUNCTION("""COMPUTED_VALUE"""),17725.0)</f>
        <v>17725</v>
      </c>
      <c r="I53" s="2" t="str">
        <f>IFERROR(__xludf.DUMMYFUNCTION("""COMPUTED_VALUE"""),"KMC5825 ACRFPV0448")</f>
        <v>KMC5825 ACRFPV0448</v>
      </c>
      <c r="J53" s="2" t="str">
        <f>IFERROR(__xludf.DUMMYFUNCTION("""COMPUTED_VALUE"""),"RTS100364")</f>
        <v>RTS100364</v>
      </c>
      <c r="K53" s="2" t="str">
        <f>IFERROR(__xludf.DUMMYFUNCTION("""COMPUTED_VALUE"""),"R-SERIES 415 PH")</f>
        <v>R-SERIES 415 PH</v>
      </c>
      <c r="L53" s="2" t="str">
        <f>IFERROR(__xludf.DUMMYFUNCTION("""COMPUTED_VALUE"""),"LSGW1750 RMP 24020457")</f>
        <v>LSGW1750 RMP 24020457</v>
      </c>
      <c r="M53" s="2" t="str">
        <f>IFERROR(__xludf.DUMMYFUNCTION("""COMPUTED_VALUE"""),"WDP40 RMP 24020142")</f>
        <v>WDP40 RMP 24020142</v>
      </c>
      <c r="N53" s="2"/>
      <c r="O53" s="2" t="str">
        <f>IFERROR(__xludf.DUMMYFUNCTION("""COMPUTED_VALUE"""),"Tumbaga I")</f>
        <v>Tumbaga I</v>
      </c>
      <c r="P53" s="2" t="str">
        <f>IFERROR(__xludf.DUMMYFUNCTION("""COMPUTED_VALUE"""),"Sariaya")</f>
        <v>Sariaya</v>
      </c>
      <c r="Q53" s="2" t="str">
        <f>IFERROR(__xludf.DUMMYFUNCTION("""COMPUTED_VALUE"""),"Quezon")</f>
        <v>Quezon</v>
      </c>
      <c r="R53" s="2" t="str">
        <f>IFERROR(__xludf.DUMMYFUNCTION("""COMPUTED_VALUE"""),"4A")</f>
        <v>4A</v>
      </c>
      <c r="S53" s="2"/>
      <c r="T53" s="2"/>
    </row>
    <row r="54">
      <c r="A54" s="1">
        <f>IFERROR(__xludf.DUMMYFUNCTION("""COMPUTED_VALUE"""),52.0)</f>
        <v>52</v>
      </c>
      <c r="B54" s="2" t="str">
        <f>IFERROR(__xludf.DUMMYFUNCTION("""COMPUTED_VALUE"""),"SAN ISIDRO FARMER'S ASSOCIATION")</f>
        <v>SAN ISIDRO FARMER'S ASSOCIATION</v>
      </c>
      <c r="C54" s="2" t="str">
        <f>IFERROR(__xludf.DUMMYFUNCTION("""COMPUTED_VALUE"""),"San Isidro, Tiaong, Quezon")</f>
        <v>San Isidro, Tiaong, Quezon</v>
      </c>
      <c r="D54" s="2" t="str">
        <f>IFERROR(__xludf.DUMMYFUNCTION("""COMPUTED_VALUE"""),"Eusebio I. Silang Sr.")</f>
        <v>Eusebio I. Silang Sr.</v>
      </c>
      <c r="E54" s="2" t="str">
        <f>IFERROR(__xludf.DUMMYFUNCTION("""COMPUTED_VALUE"""),"0946 230 0989 (AT)")</f>
        <v>0946 230 0989 (AT)</v>
      </c>
      <c r="F54" s="2" t="str">
        <f>IFERROR(__xludf.DUMMYFUNCTION("""COMPUTED_VALUE"""),"RCEF 23-08-20 Rebidding")</f>
        <v>RCEF 23-08-20 Rebidding</v>
      </c>
      <c r="G54" s="2">
        <f>IFERROR(__xludf.DUMMYFUNCTION("""COMPUTED_VALUE"""),1.0)</f>
        <v>1</v>
      </c>
      <c r="H54" s="2">
        <f>IFERROR(__xludf.DUMMYFUNCTION("""COMPUTED_VALUE"""),17726.0)</f>
        <v>17726</v>
      </c>
      <c r="I54" s="2" t="str">
        <f>IFERROR(__xludf.DUMMYFUNCTION("""COMPUTED_VALUE"""),"KMC5825 ATRFPV0323")</f>
        <v>KMC5825 ATRFPV0323</v>
      </c>
      <c r="J54" s="2" t="str">
        <f>IFERROR(__xludf.DUMMYFUNCTION("""COMPUTED_VALUE"""),"RTS100191")</f>
        <v>RTS100191</v>
      </c>
      <c r="K54" s="2" t="str">
        <f>IFERROR(__xludf.DUMMYFUNCTION("""COMPUTED_VALUE"""),"R-SERIES 414 PH")</f>
        <v>R-SERIES 414 PH</v>
      </c>
      <c r="L54" s="2" t="str">
        <f>IFERROR(__xludf.DUMMYFUNCTION("""COMPUTED_VALUE"""),"LSGW1750 RMP 24020413")</f>
        <v>LSGW1750 RMP 24020413</v>
      </c>
      <c r="M54" s="2" t="str">
        <f>IFERROR(__xludf.DUMMYFUNCTION("""COMPUTED_VALUE"""),"WDP40 RMP 24020237")</f>
        <v>WDP40 RMP 24020237</v>
      </c>
      <c r="N54" s="2"/>
      <c r="O54" s="2" t="str">
        <f>IFERROR(__xludf.DUMMYFUNCTION("""COMPUTED_VALUE"""),"San Isidro")</f>
        <v>San Isidro</v>
      </c>
      <c r="P54" s="2" t="str">
        <f>IFERROR(__xludf.DUMMYFUNCTION("""COMPUTED_VALUE"""),"Tiaong")</f>
        <v>Tiaong</v>
      </c>
      <c r="Q54" s="2" t="str">
        <f>IFERROR(__xludf.DUMMYFUNCTION("""COMPUTED_VALUE"""),"Quezon")</f>
        <v>Quezon</v>
      </c>
      <c r="R54" s="2" t="str">
        <f>IFERROR(__xludf.DUMMYFUNCTION("""COMPUTED_VALUE"""),"4A")</f>
        <v>4A</v>
      </c>
      <c r="S54" s="2"/>
      <c r="T54" s="2"/>
    </row>
    <row r="55">
      <c r="A55" s="1">
        <f>IFERROR(__xludf.DUMMYFUNCTION("""COMPUTED_VALUE"""),53.0)</f>
        <v>53</v>
      </c>
      <c r="B55" s="2" t="str">
        <f>IFERROR(__xludf.DUMMYFUNCTION("""COMPUTED_VALUE"""),"LALIG FARMERS ASSOCIATION")</f>
        <v>LALIG FARMERS ASSOCIATION</v>
      </c>
      <c r="C55" s="2" t="str">
        <f>IFERROR(__xludf.DUMMYFUNCTION("""COMPUTED_VALUE"""),"Lalig, Tiaong, Quezon")</f>
        <v>Lalig, Tiaong, Quezon</v>
      </c>
      <c r="D55" s="2" t="str">
        <f>IFERROR(__xludf.DUMMYFUNCTION("""COMPUTED_VALUE"""),"Danilo L. Guevara")</f>
        <v>Danilo L. Guevara</v>
      </c>
      <c r="E55" s="2" t="str">
        <f>IFERROR(__xludf.DUMMYFUNCTION("""COMPUTED_VALUE"""),"0928 255 9507")</f>
        <v>0928 255 9507</v>
      </c>
      <c r="F55" s="2" t="str">
        <f>IFERROR(__xludf.DUMMYFUNCTION("""COMPUTED_VALUE"""),"RCEF 23-08-20 Rebidding")</f>
        <v>RCEF 23-08-20 Rebidding</v>
      </c>
      <c r="G55" s="2">
        <f>IFERROR(__xludf.DUMMYFUNCTION("""COMPUTED_VALUE"""),1.0)</f>
        <v>1</v>
      </c>
      <c r="H55" s="2">
        <f>IFERROR(__xludf.DUMMYFUNCTION("""COMPUTED_VALUE"""),17727.0)</f>
        <v>17727</v>
      </c>
      <c r="I55" s="2" t="str">
        <f>IFERROR(__xludf.DUMMYFUNCTION("""COMPUTED_VALUE"""),"KMC5825 ACRFPV0353")</f>
        <v>KMC5825 ACRFPV0353</v>
      </c>
      <c r="J55" s="2" t="str">
        <f>IFERROR(__xludf.DUMMYFUNCTION("""COMPUTED_VALUE"""),"RTS100245")</f>
        <v>RTS100245</v>
      </c>
      <c r="K55" s="2" t="str">
        <f>IFERROR(__xludf.DUMMYFUNCTION("""COMPUTED_VALUE"""),"R-SERIES 417 PH")</f>
        <v>R-SERIES 417 PH</v>
      </c>
      <c r="L55" s="2" t="str">
        <f>IFERROR(__xludf.DUMMYFUNCTION("""COMPUTED_VALUE"""),"LSGW1750 RMP 24020510")</f>
        <v>LSGW1750 RMP 24020510</v>
      </c>
      <c r="M55" s="2" t="str">
        <f>IFERROR(__xludf.DUMMYFUNCTION("""COMPUTED_VALUE"""),"WDP40 RMP 24020190")</f>
        <v>WDP40 RMP 24020190</v>
      </c>
      <c r="N55" s="2"/>
      <c r="O55" s="2" t="str">
        <f>IFERROR(__xludf.DUMMYFUNCTION("""COMPUTED_VALUE"""),"Lalig")</f>
        <v>Lalig</v>
      </c>
      <c r="P55" s="2" t="str">
        <f>IFERROR(__xludf.DUMMYFUNCTION("""COMPUTED_VALUE"""),"Tiaong")</f>
        <v>Tiaong</v>
      </c>
      <c r="Q55" s="2" t="str">
        <f>IFERROR(__xludf.DUMMYFUNCTION("""COMPUTED_VALUE"""),"Quezon")</f>
        <v>Quezon</v>
      </c>
      <c r="R55" s="2" t="str">
        <f>IFERROR(__xludf.DUMMYFUNCTION("""COMPUTED_VALUE"""),"4A")</f>
        <v>4A</v>
      </c>
      <c r="S55" s="2"/>
      <c r="T55" s="2"/>
    </row>
    <row r="56">
      <c r="A56" s="1">
        <f>IFERROR(__xludf.DUMMYFUNCTION("""COMPUTED_VALUE"""),54.0)</f>
        <v>54</v>
      </c>
      <c r="B56" s="2" t="str">
        <f>IFERROR(__xludf.DUMMYFUNCTION("""COMPUTED_VALUE"""),"PEDERASYON NG MGA SAMAHAN NG MAGSASAKA NG TIAONG, QUEZON")</f>
        <v>PEDERASYON NG MGA SAMAHAN NG MAGSASAKA NG TIAONG, QUEZON</v>
      </c>
      <c r="C56" s="2" t="str">
        <f>IFERROR(__xludf.DUMMYFUNCTION("""COMPUTED_VALUE"""),"Poblacion 3, Tiaong, Quezon")</f>
        <v>Poblacion 3, Tiaong, Quezon</v>
      </c>
      <c r="D56" s="2" t="str">
        <f>IFERROR(__xludf.DUMMYFUNCTION("""COMPUTED_VALUE"""),"Danilo l. Guevarra")</f>
        <v>Danilo l. Guevarra</v>
      </c>
      <c r="E56" s="2" t="str">
        <f>IFERROR(__xludf.DUMMYFUNCTION("""COMPUTED_VALUE"""),"00908 889 1622 (MA)")</f>
        <v>00908 889 1622 (MA)</v>
      </c>
      <c r="F56" s="2" t="str">
        <f>IFERROR(__xludf.DUMMYFUNCTION("""COMPUTED_VALUE"""),"RCEF 23-08-20 Rebidding")</f>
        <v>RCEF 23-08-20 Rebidding</v>
      </c>
      <c r="G56" s="2">
        <f>IFERROR(__xludf.DUMMYFUNCTION("""COMPUTED_VALUE"""),1.0)</f>
        <v>1</v>
      </c>
      <c r="H56" s="2">
        <f>IFERROR(__xludf.DUMMYFUNCTION("""COMPUTED_VALUE"""),17728.0)</f>
        <v>17728</v>
      </c>
      <c r="I56" s="2" t="str">
        <f>IFERROR(__xludf.DUMMYFUNCTION("""COMPUTED_VALUE"""),"KMC5825 AHRFPV0432")</f>
        <v>KMC5825 AHRFPV0432</v>
      </c>
      <c r="J56" s="2" t="str">
        <f>IFERROR(__xludf.DUMMYFUNCTION("""COMPUTED_VALUE"""),"RTS100334")</f>
        <v>RTS100334</v>
      </c>
      <c r="K56" s="2" t="str">
        <f>IFERROR(__xludf.DUMMYFUNCTION("""COMPUTED_VALUE"""),"R-SERIES 419 PH")</f>
        <v>R-SERIES 419 PH</v>
      </c>
      <c r="L56" s="2" t="str">
        <f>IFERROR(__xludf.DUMMYFUNCTION("""COMPUTED_VALUE"""),"LSGW1750 RMP 24020420")</f>
        <v>LSGW1750 RMP 24020420</v>
      </c>
      <c r="M56" s="2" t="str">
        <f>IFERROR(__xludf.DUMMYFUNCTION("""COMPUTED_VALUE"""),"WDP40 RMP 24020220")</f>
        <v>WDP40 RMP 24020220</v>
      </c>
      <c r="N56" s="2"/>
      <c r="O56" s="2" t="str">
        <f>IFERROR(__xludf.DUMMYFUNCTION("""COMPUTED_VALUE"""),"Poblacion 3")</f>
        <v>Poblacion 3</v>
      </c>
      <c r="P56" s="2" t="str">
        <f>IFERROR(__xludf.DUMMYFUNCTION("""COMPUTED_VALUE"""),"Tiaong")</f>
        <v>Tiaong</v>
      </c>
      <c r="Q56" s="2" t="str">
        <f>IFERROR(__xludf.DUMMYFUNCTION("""COMPUTED_VALUE"""),"Quezon")</f>
        <v>Quezon</v>
      </c>
      <c r="R56" s="2" t="str">
        <f>IFERROR(__xludf.DUMMYFUNCTION("""COMPUTED_VALUE"""),"4A")</f>
        <v>4A</v>
      </c>
      <c r="S56" s="2"/>
      <c r="T56" s="2"/>
    </row>
    <row r="57">
      <c r="A57" s="1">
        <f>IFERROR(__xludf.DUMMYFUNCTION("""COMPUTED_VALUE"""),55.0)</f>
        <v>55</v>
      </c>
      <c r="B57" s="2" t="str">
        <f>IFERROR(__xludf.DUMMYFUNCTION("""COMPUTED_VALUE"""),"MULANAY RICE FARMERS FEDERATION")</f>
        <v>MULANAY RICE FARMERS FEDERATION</v>
      </c>
      <c r="C57" s="2" t="str">
        <f>IFERROR(__xludf.DUMMYFUNCTION("""COMPUTED_VALUE"""),"Barangay 1, Malunay, Quezon")</f>
        <v>Barangay 1, Malunay, Quezon</v>
      </c>
      <c r="D57" s="2" t="str">
        <f>IFERROR(__xludf.DUMMYFUNCTION("""COMPUTED_VALUE"""),"Anacleto G. Palmero")</f>
        <v>Anacleto G. Palmero</v>
      </c>
      <c r="E57" s="2" t="str">
        <f>IFERROR(__xludf.DUMMYFUNCTION("""COMPUTED_VALUE"""),"0930 990 4933")</f>
        <v>0930 990 4933</v>
      </c>
      <c r="F57" s="2" t="str">
        <f>IFERROR(__xludf.DUMMYFUNCTION("""COMPUTED_VALUE"""),"RCEF 23-08-20 Rebidding")</f>
        <v>RCEF 23-08-20 Rebidding</v>
      </c>
      <c r="G57" s="2">
        <f>IFERROR(__xludf.DUMMYFUNCTION("""COMPUTED_VALUE"""),1.0)</f>
        <v>1</v>
      </c>
      <c r="H57" s="2">
        <f>IFERROR(__xludf.DUMMYFUNCTION("""COMPUTED_VALUE"""),17729.0)</f>
        <v>17729</v>
      </c>
      <c r="I57" s="2" t="str">
        <f>IFERROR(__xludf.DUMMYFUNCTION("""COMPUTED_VALUE"""),"KMC5825 AVRFPV0023")</f>
        <v>KMC5825 AVRFPV0023</v>
      </c>
      <c r="J57" s="2" t="str">
        <f>IFERROR(__xludf.DUMMYFUNCTION("""COMPUTED_VALUE"""),"PTS100263")</f>
        <v>PTS100263</v>
      </c>
      <c r="K57" s="2" t="str">
        <f>IFERROR(__xludf.DUMMYFUNCTION("""COMPUTED_VALUE"""),"R-SERIES 242 PH")</f>
        <v>R-SERIES 242 PH</v>
      </c>
      <c r="L57" s="2" t="str">
        <f>IFERROR(__xludf.DUMMYFUNCTION("""COMPUTED_VALUE"""),"LSGW1750 RMP 24020429")</f>
        <v>LSGW1750 RMP 24020429</v>
      </c>
      <c r="M57" s="2" t="str">
        <f>IFERROR(__xludf.DUMMYFUNCTION("""COMPUTED_VALUE"""),"WDP40 RMP 24020250")</f>
        <v>WDP40 RMP 24020250</v>
      </c>
      <c r="N57" s="2"/>
      <c r="O57" s="2" t="str">
        <f>IFERROR(__xludf.DUMMYFUNCTION("""COMPUTED_VALUE"""),"Barangay 1")</f>
        <v>Barangay 1</v>
      </c>
      <c r="P57" s="2" t="str">
        <f>IFERROR(__xludf.DUMMYFUNCTION("""COMPUTED_VALUE"""),"Malunay")</f>
        <v>Malunay</v>
      </c>
      <c r="Q57" s="2" t="str">
        <f>IFERROR(__xludf.DUMMYFUNCTION("""COMPUTED_VALUE"""),"Quezon")</f>
        <v>Quezon</v>
      </c>
      <c r="R57" s="2" t="str">
        <f>IFERROR(__xludf.DUMMYFUNCTION("""COMPUTED_VALUE"""),"4A")</f>
        <v>4A</v>
      </c>
      <c r="S57" s="2"/>
      <c r="T57" s="2"/>
    </row>
    <row r="58">
      <c r="A58" s="1">
        <f>IFERROR(__xludf.DUMMYFUNCTION("""COMPUTED_VALUE"""),56.0)</f>
        <v>56</v>
      </c>
      <c r="B58" s="2" t="str">
        <f>IFERROR(__xludf.DUMMYFUNCTION("""COMPUTED_VALUE"""),"BARANGAY SAN LUIS 1 HEALTHY FARMING ASSOCIATION")</f>
        <v>BARANGAY SAN LUIS 1 HEALTHY FARMING ASSOCIATION</v>
      </c>
      <c r="C58" s="2" t="str">
        <f>IFERROR(__xludf.DUMMYFUNCTION("""COMPUTED_VALUE"""),"San Luis 1, Guinayangan, Quezon")</f>
        <v>San Luis 1, Guinayangan, Quezon</v>
      </c>
      <c r="D58" s="2" t="str">
        <f>IFERROR(__xludf.DUMMYFUNCTION("""COMPUTED_VALUE"""),"Avelino A. Tolentino")</f>
        <v>Avelino A. Tolentino</v>
      </c>
      <c r="E58" s="2" t="str">
        <f>IFERROR(__xludf.DUMMYFUNCTION("""COMPUTED_VALUE"""),"0930 704 3885")</f>
        <v>0930 704 3885</v>
      </c>
      <c r="F58" s="2" t="str">
        <f>IFERROR(__xludf.DUMMYFUNCTION("""COMPUTED_VALUE"""),"RCEF 23-08-20 Rebidding")</f>
        <v>RCEF 23-08-20 Rebidding</v>
      </c>
      <c r="G58" s="2">
        <f>IFERROR(__xludf.DUMMYFUNCTION("""COMPUTED_VALUE"""),1.0)</f>
        <v>1</v>
      </c>
      <c r="H58" s="2">
        <f>IFERROR(__xludf.DUMMYFUNCTION("""COMPUTED_VALUE"""),17730.0)</f>
        <v>17730</v>
      </c>
      <c r="I58" s="2" t="str">
        <f>IFERROR(__xludf.DUMMYFUNCTION("""COMPUTED_VALUE"""),"KMC5825 AKRFPV0308")</f>
        <v>KMC5825 AKRFPV0308</v>
      </c>
      <c r="J58" s="2" t="str">
        <f>IFERROR(__xludf.DUMMYFUNCTION("""COMPUTED_VALUE"""),"RTS100206")</f>
        <v>RTS100206</v>
      </c>
      <c r="K58" s="2" t="str">
        <f>IFERROR(__xludf.DUMMYFUNCTION("""COMPUTED_VALUE"""),"R-SERIES 153 PH")</f>
        <v>R-SERIES 153 PH</v>
      </c>
      <c r="L58" s="2" t="str">
        <f>IFERROR(__xludf.DUMMYFUNCTION("""COMPUTED_VALUE"""),"LSGW1750 RMP 24010188")</f>
        <v>LSGW1750 RMP 24010188</v>
      </c>
      <c r="M58" s="2" t="str">
        <f>IFERROR(__xludf.DUMMYFUNCTION("""COMPUTED_VALUE"""),"WDP40 RMP 24020247")</f>
        <v>WDP40 RMP 24020247</v>
      </c>
      <c r="N58" s="2"/>
      <c r="O58" s="2" t="str">
        <f>IFERROR(__xludf.DUMMYFUNCTION("""COMPUTED_VALUE"""),"San Luis 1")</f>
        <v>San Luis 1</v>
      </c>
      <c r="P58" s="2" t="str">
        <f>IFERROR(__xludf.DUMMYFUNCTION("""COMPUTED_VALUE"""),"Guinayangan")</f>
        <v>Guinayangan</v>
      </c>
      <c r="Q58" s="2" t="str">
        <f>IFERROR(__xludf.DUMMYFUNCTION("""COMPUTED_VALUE"""),"Quezon")</f>
        <v>Quezon</v>
      </c>
      <c r="R58" s="2" t="str">
        <f>IFERROR(__xludf.DUMMYFUNCTION("""COMPUTED_VALUE"""),"4A")</f>
        <v>4A</v>
      </c>
      <c r="S58" s="2"/>
      <c r="T58" s="2"/>
    </row>
    <row r="59">
      <c r="A59" s="1">
        <f>IFERROR(__xludf.DUMMYFUNCTION("""COMPUTED_VALUE"""),57.0)</f>
        <v>57</v>
      </c>
      <c r="B59" s="2" t="str">
        <f>IFERROR(__xludf.DUMMYFUNCTION("""COMPUTED_VALUE"""),"BARANGAY BUENAVISTA FARMERS ASSOCIATION")</f>
        <v>BARANGAY BUENAVISTA FARMERS ASSOCIATION</v>
      </c>
      <c r="C59" s="2" t="str">
        <f>IFERROR(__xludf.DUMMYFUNCTION("""COMPUTED_VALUE"""),"Buenavista, Lopez, Quezon")</f>
        <v>Buenavista, Lopez, Quezon</v>
      </c>
      <c r="D59" s="2" t="str">
        <f>IFERROR(__xludf.DUMMYFUNCTION("""COMPUTED_VALUE"""),"Victor S. Pilarca")</f>
        <v>Victor S. Pilarca</v>
      </c>
      <c r="E59" s="2" t="str">
        <f>IFERROR(__xludf.DUMMYFUNCTION("""COMPUTED_VALUE"""),"0906 616 3414")</f>
        <v>0906 616 3414</v>
      </c>
      <c r="F59" s="2" t="str">
        <f>IFERROR(__xludf.DUMMYFUNCTION("""COMPUTED_VALUE"""),"RCEF 23-08-20 Rebidding")</f>
        <v>RCEF 23-08-20 Rebidding</v>
      </c>
      <c r="G59" s="2">
        <f>IFERROR(__xludf.DUMMYFUNCTION("""COMPUTED_VALUE"""),1.0)</f>
        <v>1</v>
      </c>
      <c r="H59" s="2">
        <f>IFERROR(__xludf.DUMMYFUNCTION("""COMPUTED_VALUE"""),17731.0)</f>
        <v>17731</v>
      </c>
      <c r="I59" s="2" t="str">
        <f>IFERROR(__xludf.DUMMYFUNCTION("""COMPUTED_VALUE"""),"KMC5825 AERFPV0271")</f>
        <v>KMC5825 AERFPV0271</v>
      </c>
      <c r="J59" s="2" t="str">
        <f>IFERROR(__xludf.DUMMYFUNCTION("""COMPUTED_VALUE"""),"RTS100110")</f>
        <v>RTS100110</v>
      </c>
      <c r="K59" s="2" t="str">
        <f>IFERROR(__xludf.DUMMYFUNCTION("""COMPUTED_VALUE"""),"R-SERIES 063 PH")</f>
        <v>R-SERIES 063 PH</v>
      </c>
      <c r="L59" s="2" t="str">
        <f>IFERROR(__xludf.DUMMYFUNCTION("""COMPUTED_VALUE"""),"LSGW1750 RMP 24010181")</f>
        <v>LSGW1750 RMP 24010181</v>
      </c>
      <c r="M59" s="2" t="str">
        <f>IFERROR(__xludf.DUMMYFUNCTION("""COMPUTED_VALUE"""),"WDP40 RMP 24010112")</f>
        <v>WDP40 RMP 24010112</v>
      </c>
      <c r="N59" s="2"/>
      <c r="O59" s="2" t="str">
        <f>IFERROR(__xludf.DUMMYFUNCTION("""COMPUTED_VALUE"""),"Buenavista")</f>
        <v>Buenavista</v>
      </c>
      <c r="P59" s="2" t="str">
        <f>IFERROR(__xludf.DUMMYFUNCTION("""COMPUTED_VALUE"""),"Lopez")</f>
        <v>Lopez</v>
      </c>
      <c r="Q59" s="2" t="str">
        <f>IFERROR(__xludf.DUMMYFUNCTION("""COMPUTED_VALUE"""),"Quezon")</f>
        <v>Quezon</v>
      </c>
      <c r="R59" s="2" t="str">
        <f>IFERROR(__xludf.DUMMYFUNCTION("""COMPUTED_VALUE"""),"4A")</f>
        <v>4A</v>
      </c>
      <c r="S59" s="2"/>
      <c r="T59" s="2"/>
    </row>
    <row r="60">
      <c r="A60" s="1">
        <f>IFERROR(__xludf.DUMMYFUNCTION("""COMPUTED_VALUE"""),58.0)</f>
        <v>58</v>
      </c>
      <c r="B60" s="2" t="str">
        <f>IFERROR(__xludf.DUMMYFUNCTION("""COMPUTED_VALUE"""),"SAN ROQUE FARMERS ASSOCIATION")</f>
        <v>SAN ROQUE FARMERS ASSOCIATION</v>
      </c>
      <c r="C60" s="2" t="str">
        <f>IFERROR(__xludf.DUMMYFUNCTION("""COMPUTED_VALUE"""),"San Roque, Lopez, Quezon")</f>
        <v>San Roque, Lopez, Quezon</v>
      </c>
      <c r="D60" s="2" t="str">
        <f>IFERROR(__xludf.DUMMYFUNCTION("""COMPUTED_VALUE"""),"Rodelito I. Abella")</f>
        <v>Rodelito I. Abella</v>
      </c>
      <c r="E60" s="2" t="str">
        <f>IFERROR(__xludf.DUMMYFUNCTION("""COMPUTED_VALUE"""),"0948 038 7844")</f>
        <v>0948 038 7844</v>
      </c>
      <c r="F60" s="2" t="str">
        <f>IFERROR(__xludf.DUMMYFUNCTION("""COMPUTED_VALUE"""),"RCEF 23-08-20 Rebidding")</f>
        <v>RCEF 23-08-20 Rebidding</v>
      </c>
      <c r="G60" s="2">
        <f>IFERROR(__xludf.DUMMYFUNCTION("""COMPUTED_VALUE"""),1.0)</f>
        <v>1</v>
      </c>
      <c r="H60" s="2">
        <f>IFERROR(__xludf.DUMMYFUNCTION("""COMPUTED_VALUE"""),17732.0)</f>
        <v>17732</v>
      </c>
      <c r="I60" s="2" t="str">
        <f>IFERROR(__xludf.DUMMYFUNCTION("""COMPUTED_VALUE"""),"KMC5825 AARFPV0220")</f>
        <v>KMC5825 AARFPV0220</v>
      </c>
      <c r="J60" s="2" t="str">
        <f>IFERROR(__xludf.DUMMYFUNCTION("""COMPUTED_VALUE"""),"RTS100119")</f>
        <v>RTS100119</v>
      </c>
      <c r="K60" s="2" t="str">
        <f>IFERROR(__xludf.DUMMYFUNCTION("""COMPUTED_VALUE"""),"R-SERIES275 PH")</f>
        <v>R-SERIES275 PH</v>
      </c>
      <c r="L60" s="2" t="str">
        <f>IFERROR(__xludf.DUMMYFUNCTION("""COMPUTED_VALUE"""),"LSGW1750 RMP 24010183")</f>
        <v>LSGW1750 RMP 24010183</v>
      </c>
      <c r="M60" s="2" t="str">
        <f>IFERROR(__xludf.DUMMYFUNCTION("""COMPUTED_VALUE"""),"WDP40 RMP 24010109")</f>
        <v>WDP40 RMP 24010109</v>
      </c>
      <c r="N60" s="2"/>
      <c r="O60" s="2" t="str">
        <f>IFERROR(__xludf.DUMMYFUNCTION("""COMPUTED_VALUE"""),"San Roque")</f>
        <v>San Roque</v>
      </c>
      <c r="P60" s="2" t="str">
        <f>IFERROR(__xludf.DUMMYFUNCTION("""COMPUTED_VALUE"""),"Lopez")</f>
        <v>Lopez</v>
      </c>
      <c r="Q60" s="2" t="str">
        <f>IFERROR(__xludf.DUMMYFUNCTION("""COMPUTED_VALUE"""),"Quezon")</f>
        <v>Quezon</v>
      </c>
      <c r="R60" s="2" t="str">
        <f>IFERROR(__xludf.DUMMYFUNCTION("""COMPUTED_VALUE"""),"4A")</f>
        <v>4A</v>
      </c>
      <c r="S60" s="2"/>
      <c r="T60" s="2"/>
    </row>
    <row r="61">
      <c r="A61" s="1">
        <f>IFERROR(__xludf.DUMMYFUNCTION("""COMPUTED_VALUE"""),59.0)</f>
        <v>59</v>
      </c>
      <c r="B61" s="2" t="str">
        <f>IFERROR(__xludf.DUMMYFUNCTION("""COMPUTED_VALUE"""),"RIMAPI Farmers Association")</f>
        <v>RIMAPI Farmers Association</v>
      </c>
      <c r="C61" s="2" t="str">
        <f>IFERROR(__xludf.DUMMYFUNCTION("""COMPUTED_VALUE"""),"Mainit Sur, Perez, Quezon")</f>
        <v>Mainit Sur, Perez, Quezon</v>
      </c>
      <c r="D61" s="2" t="str">
        <f>IFERROR(__xludf.DUMMYFUNCTION("""COMPUTED_VALUE"""),"Antonio S. Regodon")</f>
        <v>Antonio S. Regodon</v>
      </c>
      <c r="E61" s="2" t="str">
        <f>IFERROR(__xludf.DUMMYFUNCTION("""COMPUTED_VALUE"""),"0917 325 8937 (MAO)")</f>
        <v>0917 325 8937 (MAO)</v>
      </c>
      <c r="F61" s="2" t="str">
        <f>IFERROR(__xludf.DUMMYFUNCTION("""COMPUTED_VALUE"""),"RCEF 23-08-20 Rebidding")</f>
        <v>RCEF 23-08-20 Rebidding</v>
      </c>
      <c r="G61" s="2">
        <f>IFERROR(__xludf.DUMMYFUNCTION("""COMPUTED_VALUE"""),1.0)</f>
        <v>1</v>
      </c>
      <c r="H61" s="2">
        <f>IFERROR(__xludf.DUMMYFUNCTION("""COMPUTED_VALUE"""),17733.0)</f>
        <v>17733</v>
      </c>
      <c r="I61" s="2" t="str">
        <f>IFERROR(__xludf.DUMMYFUNCTION("""COMPUTED_VALUE"""),"KMC5825 ACRFPV0330")</f>
        <v>KMC5825 ACRFPV0330</v>
      </c>
      <c r="J61" s="2" t="str">
        <f>IFERROR(__xludf.DUMMYFUNCTION("""COMPUTED_VALUE"""),"RTS100176")</f>
        <v>RTS100176</v>
      </c>
      <c r="K61" s="2" t="str">
        <f>IFERROR(__xludf.DUMMYFUNCTION("""COMPUTED_VALUE"""),"R-SERIES 155 PH")</f>
        <v>R-SERIES 155 PH</v>
      </c>
      <c r="L61" s="2" t="str">
        <f>IFERROR(__xludf.DUMMYFUNCTION("""COMPUTED_VALUE"""),"LSGW1750 RMP 24020430")</f>
        <v>LSGW1750 RMP 24020430</v>
      </c>
      <c r="M61" s="2" t="str">
        <f>IFERROR(__xludf.DUMMYFUNCTION("""COMPUTED_VALUE"""),"WDP40 RMP 24020252")</f>
        <v>WDP40 RMP 24020252</v>
      </c>
      <c r="N61" s="2"/>
      <c r="O61" s="2" t="str">
        <f>IFERROR(__xludf.DUMMYFUNCTION("""COMPUTED_VALUE"""),"Mainit Sur")</f>
        <v>Mainit Sur</v>
      </c>
      <c r="P61" s="2" t="str">
        <f>IFERROR(__xludf.DUMMYFUNCTION("""COMPUTED_VALUE"""),"Perez")</f>
        <v>Perez</v>
      </c>
      <c r="Q61" s="2" t="str">
        <f>IFERROR(__xludf.DUMMYFUNCTION("""COMPUTED_VALUE"""),"Quezon")</f>
        <v>Quezon</v>
      </c>
      <c r="R61" s="2" t="str">
        <f>IFERROR(__xludf.DUMMYFUNCTION("""COMPUTED_VALUE"""),"4A")</f>
        <v>4A</v>
      </c>
      <c r="S61" s="2"/>
      <c r="T61" s="2"/>
    </row>
    <row r="62">
      <c r="A62" s="1">
        <f>IFERROR(__xludf.DUMMYFUNCTION("""COMPUTED_VALUE"""),60.0)</f>
        <v>60</v>
      </c>
      <c r="B62" s="2" t="str">
        <f>IFERROR(__xludf.DUMMYFUNCTION("""COMPUTED_VALUE"""),"BUKAL FARMERS ASSOCIATION")</f>
        <v>BUKAL FARMERS ASSOCIATION</v>
      </c>
      <c r="C62" s="2" t="str">
        <f>IFERROR(__xludf.DUMMYFUNCTION("""COMPUTED_VALUE"""),"Bukal, Tagkawayan, Quezon")</f>
        <v>Bukal, Tagkawayan, Quezon</v>
      </c>
      <c r="D62" s="2" t="str">
        <f>IFERROR(__xludf.DUMMYFUNCTION("""COMPUTED_VALUE"""),"Sergio G. Macaraig Jr.")</f>
        <v>Sergio G. Macaraig Jr.</v>
      </c>
      <c r="E62" s="2" t="str">
        <f>IFERROR(__xludf.DUMMYFUNCTION("""COMPUTED_VALUE"""),"0909 050 0561")</f>
        <v>0909 050 0561</v>
      </c>
      <c r="F62" s="2" t="str">
        <f>IFERROR(__xludf.DUMMYFUNCTION("""COMPUTED_VALUE"""),"RCEF 23-08-20 Rebidding")</f>
        <v>RCEF 23-08-20 Rebidding</v>
      </c>
      <c r="G62" s="2">
        <f>IFERROR(__xludf.DUMMYFUNCTION("""COMPUTED_VALUE"""),1.0)</f>
        <v>1</v>
      </c>
      <c r="H62" s="2">
        <f>IFERROR(__xludf.DUMMYFUNCTION("""COMPUTED_VALUE"""),17734.0)</f>
        <v>17734</v>
      </c>
      <c r="I62" s="2" t="str">
        <f>IFERROR(__xludf.DUMMYFUNCTION("""COMPUTED_VALUE"""),"KMC5825 ATRFPV0337")</f>
        <v>KMC5825 ATRFPV0337</v>
      </c>
      <c r="J62" s="2" t="str">
        <f>IFERROR(__xludf.DUMMYFUNCTION("""COMPUTED_VALUE"""),"RTS100175")</f>
        <v>RTS100175</v>
      </c>
      <c r="K62" s="2" t="str">
        <f>IFERROR(__xludf.DUMMYFUNCTION("""COMPUTED_VALUE"""),"R-SERIES 273 PH")</f>
        <v>R-SERIES 273 PH</v>
      </c>
      <c r="L62" s="2" t="str">
        <f>IFERROR(__xludf.DUMMYFUNCTION("""COMPUTED_VALUE"""),"LSGW1750 RMP 24020417")</f>
        <v>LSGW1750 RMP 24020417</v>
      </c>
      <c r="M62" s="2" t="str">
        <f>IFERROR(__xludf.DUMMYFUNCTION("""COMPUTED_VALUE"""),"WDP40 RMP 24010135")</f>
        <v>WDP40 RMP 24010135</v>
      </c>
      <c r="N62" s="2"/>
      <c r="O62" s="2" t="str">
        <f>IFERROR(__xludf.DUMMYFUNCTION("""COMPUTED_VALUE"""),"Bukal")</f>
        <v>Bukal</v>
      </c>
      <c r="P62" s="2" t="str">
        <f>IFERROR(__xludf.DUMMYFUNCTION("""COMPUTED_VALUE"""),"Tagkawayan")</f>
        <v>Tagkawayan</v>
      </c>
      <c r="Q62" s="2" t="str">
        <f>IFERROR(__xludf.DUMMYFUNCTION("""COMPUTED_VALUE"""),"Quezon")</f>
        <v>Quezon</v>
      </c>
      <c r="R62" s="2" t="str">
        <f>IFERROR(__xludf.DUMMYFUNCTION("""COMPUTED_VALUE"""),"4A")</f>
        <v>4A</v>
      </c>
      <c r="S62" s="2"/>
      <c r="T62" s="2"/>
    </row>
    <row r="63">
      <c r="A63" s="1">
        <f>IFERROR(__xludf.DUMMYFUNCTION("""COMPUTED_VALUE"""),61.0)</f>
        <v>61</v>
      </c>
      <c r="B63" s="2" t="str">
        <f>IFERROR(__xludf.DUMMYFUNCTION("""COMPUTED_VALUE"""),"AGOS NG PAG-ASA KATAKIAN IRRIGATORS' ASSOCIATION INCORPORATED")</f>
        <v>AGOS NG PAG-ASA KATAKIAN IRRIGATORS' ASSOCIATION INCORPORATED</v>
      </c>
      <c r="C63" s="2" t="str">
        <f>IFERROR(__xludf.DUMMYFUNCTION("""COMPUTED_VALUE"""),"Landing, Tagkawayan, Quezon")</f>
        <v>Landing, Tagkawayan, Quezon</v>
      </c>
      <c r="D63" s="2" t="str">
        <f>IFERROR(__xludf.DUMMYFUNCTION("""COMPUTED_VALUE"""),"Leonora T. Mangubat")</f>
        <v>Leonora T. Mangubat</v>
      </c>
      <c r="E63" s="2" t="str">
        <f>IFERROR(__xludf.DUMMYFUNCTION("""COMPUTED_VALUE"""),"0998 333 6165")</f>
        <v>0998 333 6165</v>
      </c>
      <c r="F63" s="2" t="str">
        <f>IFERROR(__xludf.DUMMYFUNCTION("""COMPUTED_VALUE"""),"RCEF 23-08-20 Rebidding")</f>
        <v>RCEF 23-08-20 Rebidding</v>
      </c>
      <c r="G63" s="2">
        <f>IFERROR(__xludf.DUMMYFUNCTION("""COMPUTED_VALUE"""),1.0)</f>
        <v>1</v>
      </c>
      <c r="H63" s="2">
        <f>IFERROR(__xludf.DUMMYFUNCTION("""COMPUTED_VALUE"""),17735.0)</f>
        <v>17735</v>
      </c>
      <c r="I63" s="2" t="str">
        <f>IFERROR(__xludf.DUMMYFUNCTION("""COMPUTED_VALUE"""),"KMC5825 ALRFPV0283")</f>
        <v>KMC5825 ALRFPV0283</v>
      </c>
      <c r="J63" s="2" t="str">
        <f>IFERROR(__xludf.DUMMYFUNCTION("""COMPUTED_VALUE"""),"RTS100130")</f>
        <v>RTS100130</v>
      </c>
      <c r="K63" s="2" t="str">
        <f>IFERROR(__xludf.DUMMYFUNCTION("""COMPUTED_VALUE"""),"R-SERIES 061 PH")</f>
        <v>R-SERIES 061 PH</v>
      </c>
      <c r="L63" s="2" t="str">
        <f>IFERROR(__xludf.DUMMYFUNCTION("""COMPUTED_VALUE"""),"LSGW1750 RMP 24010182")</f>
        <v>LSGW1750 RMP 24010182</v>
      </c>
      <c r="M63" s="2" t="str">
        <f>IFERROR(__xludf.DUMMYFUNCTION("""COMPUTED_VALUE"""),"WDP40 RMP 24030294")</f>
        <v>WDP40 RMP 24030294</v>
      </c>
      <c r="N63" s="2"/>
      <c r="O63" s="2" t="str">
        <f>IFERROR(__xludf.DUMMYFUNCTION("""COMPUTED_VALUE"""),"Landing")</f>
        <v>Landing</v>
      </c>
      <c r="P63" s="2" t="str">
        <f>IFERROR(__xludf.DUMMYFUNCTION("""COMPUTED_VALUE"""),"Tagkawayan")</f>
        <v>Tagkawayan</v>
      </c>
      <c r="Q63" s="2" t="str">
        <f>IFERROR(__xludf.DUMMYFUNCTION("""COMPUTED_VALUE"""),"Quezon")</f>
        <v>Quezon</v>
      </c>
      <c r="R63" s="2" t="str">
        <f>IFERROR(__xludf.DUMMYFUNCTION("""COMPUTED_VALUE"""),"4A")</f>
        <v>4A</v>
      </c>
      <c r="S63" s="2"/>
      <c r="T63" s="2"/>
    </row>
    <row r="64">
      <c r="A64" s="1">
        <f>IFERROR(__xludf.DUMMYFUNCTION("""COMPUTED_VALUE"""),62.0)</f>
        <v>62</v>
      </c>
      <c r="B64" s="2" t="str">
        <f>IFERROR(__xludf.DUMMYFUNCTION("""COMPUTED_VALUE"""),"BARANGAY PAYAPA FARMERS ASSOCIATION")</f>
        <v>BARANGAY PAYAPA FARMERS ASSOCIATION</v>
      </c>
      <c r="C64" s="2" t="str">
        <f>IFERROR(__xludf.DUMMYFUNCTION("""COMPUTED_VALUE"""),"Payapa, Tagkawayan, Quezon")</f>
        <v>Payapa, Tagkawayan, Quezon</v>
      </c>
      <c r="D64" s="2" t="str">
        <f>IFERROR(__xludf.DUMMYFUNCTION("""COMPUTED_VALUE"""),"Ferdinand R. Aguda")</f>
        <v>Ferdinand R. Aguda</v>
      </c>
      <c r="E64" s="2" t="str">
        <f>IFERROR(__xludf.DUMMYFUNCTION("""COMPUTED_VALUE"""),"0939 140 1908
 0951 864 2466")</f>
        <v>0939 140 1908
 0951 864 2466</v>
      </c>
      <c r="F64" s="2" t="str">
        <f>IFERROR(__xludf.DUMMYFUNCTION("""COMPUTED_VALUE"""),"RCEF 23-08-20 Rebidding")</f>
        <v>RCEF 23-08-20 Rebidding</v>
      </c>
      <c r="G64" s="2">
        <f>IFERROR(__xludf.DUMMYFUNCTION("""COMPUTED_VALUE"""),1.0)</f>
        <v>1</v>
      </c>
      <c r="H64" s="2">
        <f>IFERROR(__xludf.DUMMYFUNCTION("""COMPUTED_VALUE"""),17736.0)</f>
        <v>17736</v>
      </c>
      <c r="I64" s="2" t="str">
        <f>IFERROR(__xludf.DUMMYFUNCTION("""COMPUTED_VALUE"""),"KMC5825 AHRFPV0205")</f>
        <v>KMC5825 AHRFPV0205</v>
      </c>
      <c r="J64" s="2" t="str">
        <f>IFERROR(__xludf.DUMMYFUNCTION("""COMPUTED_VALUE"""),"RTS100148")</f>
        <v>RTS100148</v>
      </c>
      <c r="K64" s="2" t="str">
        <f>IFERROR(__xludf.DUMMYFUNCTION("""COMPUTED_VALUE"""),"R-SERIES 171 PH")</f>
        <v>R-SERIES 171 PH</v>
      </c>
      <c r="L64" s="2" t="str">
        <f>IFERROR(__xludf.DUMMYFUNCTION("""COMPUTED_VALUE"""),"LSGW1750 RMP 24020414")</f>
        <v>LSGW1750 RMP 24020414</v>
      </c>
      <c r="M64" s="2" t="str">
        <f>IFERROR(__xludf.DUMMYFUNCTION("""COMPUTED_VALUE"""),"WDP40 RMP 24020243")</f>
        <v>WDP40 RMP 24020243</v>
      </c>
      <c r="N64" s="2"/>
      <c r="O64" s="2" t="str">
        <f>IFERROR(__xludf.DUMMYFUNCTION("""COMPUTED_VALUE"""),"Payapa")</f>
        <v>Payapa</v>
      </c>
      <c r="P64" s="2" t="str">
        <f>IFERROR(__xludf.DUMMYFUNCTION("""COMPUTED_VALUE"""),"Tagkawayan")</f>
        <v>Tagkawayan</v>
      </c>
      <c r="Q64" s="2" t="str">
        <f>IFERROR(__xludf.DUMMYFUNCTION("""COMPUTED_VALUE"""),"Quezon")</f>
        <v>Quezon</v>
      </c>
      <c r="R64" s="2" t="str">
        <f>IFERROR(__xludf.DUMMYFUNCTION("""COMPUTED_VALUE"""),"4A")</f>
        <v>4A</v>
      </c>
      <c r="S64" s="2"/>
      <c r="T64" s="2"/>
    </row>
    <row r="65">
      <c r="A65" s="1">
        <f>IFERROR(__xludf.DUMMYFUNCTION("""COMPUTED_VALUE"""),63.0)</f>
        <v>63</v>
      </c>
      <c r="B65" s="2" t="str">
        <f>IFERROR(__xludf.DUMMYFUNCTION("""COMPUTED_VALUE"""),"ALLIANCE OF FARMERS ASSOCIATION OF ORCONUMA (AFAO)")</f>
        <v>ALLIANCE OF FARMERS ASSOCIATION OF ORCONUMA (AFAO)</v>
      </c>
      <c r="C65" s="2" t="str">
        <f>IFERROR(__xludf.DUMMYFUNCTION("""COMPUTED_VALUE"""),"Orconuma, Bongabong, Oriental Mindoro")</f>
        <v>Orconuma, Bongabong, Oriental Mindoro</v>
      </c>
      <c r="D65" s="2" t="str">
        <f>IFERROR(__xludf.DUMMYFUNCTION("""COMPUTED_VALUE"""),"MAJELINE F. ARENILLO")</f>
        <v>MAJELINE F. ARENILLO</v>
      </c>
      <c r="E65" s="2" t="str">
        <f>IFERROR(__xludf.DUMMYFUNCTION("""COMPUTED_VALUE"""),"0905 141 0014")</f>
        <v>0905 141 0014</v>
      </c>
      <c r="F65" s="2" t="str">
        <f>IFERROR(__xludf.DUMMYFUNCTION("""COMPUTED_VALUE"""),"RCEF 23-08-20 Rebidding")</f>
        <v>RCEF 23-08-20 Rebidding</v>
      </c>
      <c r="G65" s="2">
        <f>IFERROR(__xludf.DUMMYFUNCTION("""COMPUTED_VALUE"""),1.0)</f>
        <v>1</v>
      </c>
      <c r="H65" s="2">
        <f>IFERROR(__xludf.DUMMYFUNCTION("""COMPUTED_VALUE"""),17779.0)</f>
        <v>17779</v>
      </c>
      <c r="I65" s="2" t="str">
        <f>IFERROR(__xludf.DUMMYFUNCTION("""COMPUTED_VALUE"""),"KMC 5825 APPFPV0093")</f>
        <v>KMC 5825 APPFPV0093</v>
      </c>
      <c r="J65" s="2" t="str">
        <f>IFERROR(__xludf.DUMMYFUNCTION("""COMPUTED_VALUE"""),"PTS100080")</f>
        <v>PTS100080</v>
      </c>
      <c r="K65" s="2" t="str">
        <f>IFERROR(__xludf.DUMMYFUNCTION("""COMPUTED_VALUE"""),"R-SERIES 087 PH")</f>
        <v>R-SERIES 087 PH</v>
      </c>
      <c r="L65" s="2" t="str">
        <f>IFERROR(__xludf.DUMMYFUNCTION("""COMPUTED_VALUE"""),"LSGW1750-RMP-2312126")</f>
        <v>LSGW1750-RMP-2312126</v>
      </c>
      <c r="M65" s="2" t="str">
        <f>IFERROR(__xludf.DUMMYFUNCTION("""COMPUTED_VALUE"""),"WDP40-RMP-2312032")</f>
        <v>WDP40-RMP-2312032</v>
      </c>
      <c r="N65" s="2"/>
      <c r="O65" s="2" t="str">
        <f>IFERROR(__xludf.DUMMYFUNCTION("""COMPUTED_VALUE"""),"Orconuma")</f>
        <v>Orconuma</v>
      </c>
      <c r="P65" s="2" t="str">
        <f>IFERROR(__xludf.DUMMYFUNCTION("""COMPUTED_VALUE"""),"Bongabong")</f>
        <v>Bongabong</v>
      </c>
      <c r="Q65" s="2" t="str">
        <f>IFERROR(__xludf.DUMMYFUNCTION("""COMPUTED_VALUE"""),"Oriental Mindoro")</f>
        <v>Oriental Mindoro</v>
      </c>
      <c r="R65" s="2" t="str">
        <f>IFERROR(__xludf.DUMMYFUNCTION("""COMPUTED_VALUE"""),"4B")</f>
        <v>4B</v>
      </c>
      <c r="S65" s="2"/>
      <c r="T65" s="2"/>
    </row>
    <row r="66">
      <c r="A66" s="1">
        <f>IFERROR(__xludf.DUMMYFUNCTION("""COMPUTED_VALUE"""),64.0)</f>
        <v>64</v>
      </c>
      <c r="B66" s="2" t="str">
        <f>IFERROR(__xludf.DUMMYFUNCTION("""COMPUTED_VALUE"""),"NAGKAKAISANG SAMAHAN NG MAGPAPATUBIG NG CAMBUNANG, INC.")</f>
        <v>NAGKAKAISANG SAMAHAN NG MAGPAPATUBIG NG CAMBUNANG, INC.</v>
      </c>
      <c r="C66" s="2" t="str">
        <f>IFERROR(__xludf.DUMMYFUNCTION("""COMPUTED_VALUE"""),"Cambunang, Bulalacao, Oriental Mindoro")</f>
        <v>Cambunang, Bulalacao, Oriental Mindoro</v>
      </c>
      <c r="D66" s="2" t="str">
        <f>IFERROR(__xludf.DUMMYFUNCTION("""COMPUTED_VALUE"""),"RICHARD D. FABILA")</f>
        <v>RICHARD D. FABILA</v>
      </c>
      <c r="E66" s="2" t="str">
        <f>IFERROR(__xludf.DUMMYFUNCTION("""COMPUTED_VALUE"""),"0948 028 7733")</f>
        <v>0948 028 7733</v>
      </c>
      <c r="F66" s="2" t="str">
        <f>IFERROR(__xludf.DUMMYFUNCTION("""COMPUTED_VALUE"""),"RCEF 23-08-20 Rebidding")</f>
        <v>RCEF 23-08-20 Rebidding</v>
      </c>
      <c r="G66" s="2">
        <f>IFERROR(__xludf.DUMMYFUNCTION("""COMPUTED_VALUE"""),1.0)</f>
        <v>1</v>
      </c>
      <c r="H66" s="2">
        <f>IFERROR(__xludf.DUMMYFUNCTION("""COMPUTED_VALUE"""),17780.0)</f>
        <v>17780</v>
      </c>
      <c r="I66" s="2" t="str">
        <f>IFERROR(__xludf.DUMMYFUNCTION("""COMPUTED_VALUE"""),"KMC5825APPFPV0092")</f>
        <v>KMC5825APPFPV0092</v>
      </c>
      <c r="J66" s="2" t="str">
        <f>IFERROR(__xludf.DUMMYFUNCTION("""COMPUTED_VALUE"""),"PTS100120")</f>
        <v>PTS100120</v>
      </c>
      <c r="K66" s="2" t="str">
        <f>IFERROR(__xludf.DUMMYFUNCTION("""COMPUTED_VALUE"""),"R-SERIES 106 PH")</f>
        <v>R-SERIES 106 PH</v>
      </c>
      <c r="L66" s="2" t="str">
        <f>IFERROR(__xludf.DUMMYFUNCTION("""COMPUTED_VALUE"""),"LSGW1750-RMP-2312121")</f>
        <v>LSGW1750-RMP-2312121</v>
      </c>
      <c r="M66" s="2" t="str">
        <f>IFERROR(__xludf.DUMMYFUNCTION("""COMPUTED_VALUE"""),"WDP40-RMP-2312001")</f>
        <v>WDP40-RMP-2312001</v>
      </c>
      <c r="N66" s="2"/>
      <c r="O66" s="2" t="str">
        <f>IFERROR(__xludf.DUMMYFUNCTION("""COMPUTED_VALUE"""),"Cambunang")</f>
        <v>Cambunang</v>
      </c>
      <c r="P66" s="2" t="str">
        <f>IFERROR(__xludf.DUMMYFUNCTION("""COMPUTED_VALUE"""),"Bulalacao")</f>
        <v>Bulalacao</v>
      </c>
      <c r="Q66" s="2" t="str">
        <f>IFERROR(__xludf.DUMMYFUNCTION("""COMPUTED_VALUE"""),"Oriental Mindoro")</f>
        <v>Oriental Mindoro</v>
      </c>
      <c r="R66" s="2" t="str">
        <f>IFERROR(__xludf.DUMMYFUNCTION("""COMPUTED_VALUE"""),"4B")</f>
        <v>4B</v>
      </c>
      <c r="S66" s="2"/>
      <c r="T66" s="2"/>
    </row>
    <row r="67">
      <c r="A67" s="1">
        <f>IFERROR(__xludf.DUMMYFUNCTION("""COMPUTED_VALUE"""),65.0)</f>
        <v>65</v>
      </c>
      <c r="B67" s="2" t="str">
        <f>IFERROR(__xludf.DUMMYFUNCTION("""COMPUTED_VALUE"""),"SAMAHANG MAGPAPATUBIG NG BALUGO STA. MARIA AT VILLA CELESTIAL INC.")</f>
        <v>SAMAHANG MAGPAPATUBIG NG BALUGO STA. MARIA AT VILLA CELESTIAL INC.</v>
      </c>
      <c r="C67" s="2" t="str">
        <f>IFERROR(__xludf.DUMMYFUNCTION("""COMPUTED_VALUE"""),"Balugo, Mansalay, Oriental Mindoro")</f>
        <v>Balugo, Mansalay, Oriental Mindoro</v>
      </c>
      <c r="D67" s="2" t="str">
        <f>IFERROR(__xludf.DUMMYFUNCTION("""COMPUTED_VALUE"""),"MARIVIC V. DIONISIO")</f>
        <v>MARIVIC V. DIONISIO</v>
      </c>
      <c r="E67" s="2" t="str">
        <f>IFERROR(__xludf.DUMMYFUNCTION("""COMPUTED_VALUE"""),"0975 658 0836")</f>
        <v>0975 658 0836</v>
      </c>
      <c r="F67" s="2" t="str">
        <f>IFERROR(__xludf.DUMMYFUNCTION("""COMPUTED_VALUE"""),"RCEF 23-08-20 Rebidding")</f>
        <v>RCEF 23-08-20 Rebidding</v>
      </c>
      <c r="G67" s="2">
        <f>IFERROR(__xludf.DUMMYFUNCTION("""COMPUTED_VALUE"""),1.0)</f>
        <v>1</v>
      </c>
      <c r="H67" s="2">
        <f>IFERROR(__xludf.DUMMYFUNCTION("""COMPUTED_VALUE"""),17781.0)</f>
        <v>17781</v>
      </c>
      <c r="I67" s="2" t="str">
        <f>IFERROR(__xludf.DUMMYFUNCTION("""COMPUTED_VALUE"""),"KMC 5825 AJPFPV0159")</f>
        <v>KMC 5825 AJPFPV0159</v>
      </c>
      <c r="J67" s="2" t="str">
        <f>IFERROR(__xludf.DUMMYFUNCTION("""COMPUTED_VALUE"""),"PTS100136")</f>
        <v>PTS100136</v>
      </c>
      <c r="K67" s="2" t="str">
        <f>IFERROR(__xludf.DUMMYFUNCTION("""COMPUTED_VALUE"""),"R-SERIES 095 PH")</f>
        <v>R-SERIES 095 PH</v>
      </c>
      <c r="L67" s="2" t="str">
        <f>IFERROR(__xludf.DUMMYFUNCTION("""COMPUTED_VALUE"""),"LSGW1750-RMP-2312095")</f>
        <v>LSGW1750-RMP-2312095</v>
      </c>
      <c r="M67" s="2" t="str">
        <f>IFERROR(__xludf.DUMMYFUNCTION("""COMPUTED_VALUE"""),"WDP40-RMP-2312002")</f>
        <v>WDP40-RMP-2312002</v>
      </c>
      <c r="N67" s="2"/>
      <c r="O67" s="2" t="str">
        <f>IFERROR(__xludf.DUMMYFUNCTION("""COMPUTED_VALUE"""),"Balugo")</f>
        <v>Balugo</v>
      </c>
      <c r="P67" s="2" t="str">
        <f>IFERROR(__xludf.DUMMYFUNCTION("""COMPUTED_VALUE"""),"Mansalay")</f>
        <v>Mansalay</v>
      </c>
      <c r="Q67" s="2" t="str">
        <f>IFERROR(__xludf.DUMMYFUNCTION("""COMPUTED_VALUE"""),"Oriental Mindoro")</f>
        <v>Oriental Mindoro</v>
      </c>
      <c r="R67" s="2" t="str">
        <f>IFERROR(__xludf.DUMMYFUNCTION("""COMPUTED_VALUE"""),"4B")</f>
        <v>4B</v>
      </c>
      <c r="S67" s="2"/>
      <c r="T67" s="2"/>
    </row>
    <row r="68">
      <c r="A68" s="1">
        <f>IFERROR(__xludf.DUMMYFUNCTION("""COMPUTED_VALUE"""),66.0)</f>
        <v>66</v>
      </c>
      <c r="B68" s="2" t="str">
        <f>IFERROR(__xludf.DUMMYFUNCTION("""COMPUTED_VALUE"""),"TANATANAEN FARMERS IRRIGATOR'S ASSOCIATION, INC.")</f>
        <v>TANATANAEN FARMERS IRRIGATOR'S ASSOCIATION, INC.</v>
      </c>
      <c r="C68" s="2" t="str">
        <f>IFERROR(__xludf.DUMMYFUNCTION("""COMPUTED_VALUE"""),"Tanatanaon (Mainland), Dumaran, Palawan")</f>
        <v>Tanatanaon (Mainland), Dumaran, Palawan</v>
      </c>
      <c r="D68" s="2" t="str">
        <f>IFERROR(__xludf.DUMMYFUNCTION("""COMPUTED_VALUE"""),"Reden Mark S. Pineda")</f>
        <v>Reden Mark S. Pineda</v>
      </c>
      <c r="E68" s="2" t="str">
        <f>IFERROR(__xludf.DUMMYFUNCTION("""COMPUTED_VALUE"""),"0950 608 7527")</f>
        <v>0950 608 7527</v>
      </c>
      <c r="F68" s="2" t="str">
        <f>IFERROR(__xludf.DUMMYFUNCTION("""COMPUTED_VALUE"""),"RCEF 23-08-20 Rebidding")</f>
        <v>RCEF 23-08-20 Rebidding</v>
      </c>
      <c r="G68" s="2">
        <f>IFERROR(__xludf.DUMMYFUNCTION("""COMPUTED_VALUE"""),1.0)</f>
        <v>1</v>
      </c>
      <c r="H68" s="2">
        <f>IFERROR(__xludf.DUMMYFUNCTION("""COMPUTED_VALUE"""),17941.0)</f>
        <v>17941</v>
      </c>
      <c r="I68" s="2" t="str">
        <f>IFERROR(__xludf.DUMMYFUNCTION("""COMPUTED_VALUE"""),"KMC 5825 ALPFPV0149")</f>
        <v>KMC 5825 ALPFPV0149</v>
      </c>
      <c r="J68" s="2" t="str">
        <f>IFERROR(__xludf.DUMMYFUNCTION("""COMPUTED_VALUE"""),"PTS 100146")</f>
        <v>PTS 100146</v>
      </c>
      <c r="K68" s="2" t="str">
        <f>IFERROR(__xludf.DUMMYFUNCTION("""COMPUTED_VALUE"""),"R-SERIES 136 PH")</f>
        <v>R-SERIES 136 PH</v>
      </c>
      <c r="L68" s="2" t="str">
        <f>IFERROR(__xludf.DUMMYFUNCTION("""COMPUTED_VALUE"""),"LSGW1750 RMP 2312054")</f>
        <v>LSGW1750 RMP 2312054</v>
      </c>
      <c r="M68" s="2" t="str">
        <f>IFERROR(__xludf.DUMMYFUNCTION("""COMPUTED_VALUE"""),"WDP40 RMP 2312084")</f>
        <v>WDP40 RMP 2312084</v>
      </c>
      <c r="N68" s="2"/>
      <c r="O68" s="2" t="str">
        <f>IFERROR(__xludf.DUMMYFUNCTION("""COMPUTED_VALUE"""),"Tanatanaon (Mainland)")</f>
        <v>Tanatanaon (Mainland)</v>
      </c>
      <c r="P68" s="2" t="str">
        <f>IFERROR(__xludf.DUMMYFUNCTION("""COMPUTED_VALUE"""),"Dumaran")</f>
        <v>Dumaran</v>
      </c>
      <c r="Q68" s="2" t="str">
        <f>IFERROR(__xludf.DUMMYFUNCTION("""COMPUTED_VALUE"""),"Palawan")</f>
        <v>Palawan</v>
      </c>
      <c r="R68" s="2" t="str">
        <f>IFERROR(__xludf.DUMMYFUNCTION("""COMPUTED_VALUE"""),"4B")</f>
        <v>4B</v>
      </c>
      <c r="S68" s="2"/>
      <c r="T68" s="2"/>
    </row>
    <row r="69">
      <c r="A69" s="1">
        <f>IFERROR(__xludf.DUMMYFUNCTION("""COMPUTED_VALUE"""),67.0)</f>
        <v>67</v>
      </c>
      <c r="B69" s="2" t="str">
        <f>IFERROR(__xludf.DUMMYFUNCTION("""COMPUTED_VALUE"""),"PUROK CALAPARAN MAGSAYSAY FARMERS ASSOCIATION")</f>
        <v>PUROK CALAPARAN MAGSAYSAY FARMERS ASSOCIATION</v>
      </c>
      <c r="C69" s="2" t="str">
        <f>IFERROR(__xludf.DUMMYFUNCTION("""COMPUTED_VALUE"""),"Magsaysay, Dumaran, Palawan")</f>
        <v>Magsaysay, Dumaran, Palawan</v>
      </c>
      <c r="D69" s="2" t="str">
        <f>IFERROR(__xludf.DUMMYFUNCTION("""COMPUTED_VALUE"""),"Mecheil Mangalao")</f>
        <v>Mecheil Mangalao</v>
      </c>
      <c r="E69" s="2">
        <f>IFERROR(__xludf.DUMMYFUNCTION("""COMPUTED_VALUE"""),9.128337112E9)</f>
        <v>9128337112</v>
      </c>
      <c r="F69" s="2" t="str">
        <f>IFERROR(__xludf.DUMMYFUNCTION("""COMPUTED_VALUE"""),"RCEF 23-08-20 Rebidding")</f>
        <v>RCEF 23-08-20 Rebidding</v>
      </c>
      <c r="G69" s="2">
        <f>IFERROR(__xludf.DUMMYFUNCTION("""COMPUTED_VALUE"""),1.0)</f>
        <v>1</v>
      </c>
      <c r="H69" s="2">
        <f>IFERROR(__xludf.DUMMYFUNCTION("""COMPUTED_VALUE"""),17942.0)</f>
        <v>17942</v>
      </c>
      <c r="I69" s="2" t="str">
        <f>IFERROR(__xludf.DUMMYFUNCTION("""COMPUTED_VALUE"""),"KMC 5825 AEPFPV0140")</f>
        <v>KMC 5825 AEPFPV0140</v>
      </c>
      <c r="J69" s="2" t="str">
        <f>IFERROR(__xludf.DUMMYFUNCTION("""COMPUTED_VALUE"""),"PTS 100118")</f>
        <v>PTS 100118</v>
      </c>
      <c r="K69" s="2" t="str">
        <f>IFERROR(__xludf.DUMMYFUNCTION("""COMPUTED_VALUE"""),"R-SERIES 141 PH")</f>
        <v>R-SERIES 141 PH</v>
      </c>
      <c r="L69" s="2" t="str">
        <f>IFERROR(__xludf.DUMMYFUNCTION("""COMPUTED_VALUE"""),"LSGW1750 RMP 2312057")</f>
        <v>LSGW1750 RMP 2312057</v>
      </c>
      <c r="M69" s="2" t="str">
        <f>IFERROR(__xludf.DUMMYFUNCTION("""COMPUTED_VALUE"""),"WDP40 RMP 2312093")</f>
        <v>WDP40 RMP 2312093</v>
      </c>
      <c r="N69" s="2"/>
      <c r="O69" s="2" t="str">
        <f>IFERROR(__xludf.DUMMYFUNCTION("""COMPUTED_VALUE"""),"Magsaysay")</f>
        <v>Magsaysay</v>
      </c>
      <c r="P69" s="2" t="str">
        <f>IFERROR(__xludf.DUMMYFUNCTION("""COMPUTED_VALUE"""),"Dumaran")</f>
        <v>Dumaran</v>
      </c>
      <c r="Q69" s="2" t="str">
        <f>IFERROR(__xludf.DUMMYFUNCTION("""COMPUTED_VALUE"""),"Palawan")</f>
        <v>Palawan</v>
      </c>
      <c r="R69" s="2" t="str">
        <f>IFERROR(__xludf.DUMMYFUNCTION("""COMPUTED_VALUE"""),"4B")</f>
        <v>4B</v>
      </c>
      <c r="S69" s="2"/>
      <c r="T69" s="2"/>
    </row>
    <row r="70">
      <c r="A70" s="1">
        <f>IFERROR(__xludf.DUMMYFUNCTION("""COMPUTED_VALUE"""),68.0)</f>
        <v>68</v>
      </c>
      <c r="B70" s="2" t="str">
        <f>IFERROR(__xludf.DUMMYFUNCTION("""COMPUTED_VALUE"""),"ABERAWAN FARMER'S ASSOCIATION (AFA)")</f>
        <v>ABERAWAN FARMER'S ASSOCIATION (AFA)</v>
      </c>
      <c r="C70" s="2" t="str">
        <f>IFERROR(__xludf.DUMMYFUNCTION("""COMPUTED_VALUE"""),"Aberawan, El Nido, Palawan")</f>
        <v>Aberawan, El Nido, Palawan</v>
      </c>
      <c r="D70" s="2" t="str">
        <f>IFERROR(__xludf.DUMMYFUNCTION("""COMPUTED_VALUE"""),"Marlon R. Panoncio")</f>
        <v>Marlon R. Panoncio</v>
      </c>
      <c r="E70" s="2" t="str">
        <f>IFERROR(__xludf.DUMMYFUNCTION("""COMPUTED_VALUE"""),"0975 55570164")</f>
        <v>0975 55570164</v>
      </c>
      <c r="F70" s="2" t="str">
        <f>IFERROR(__xludf.DUMMYFUNCTION("""COMPUTED_VALUE"""),"RCEF 23-08-20 Rebidding")</f>
        <v>RCEF 23-08-20 Rebidding</v>
      </c>
      <c r="G70" s="2">
        <f>IFERROR(__xludf.DUMMYFUNCTION("""COMPUTED_VALUE"""),1.0)</f>
        <v>1</v>
      </c>
      <c r="H70" s="2">
        <f>IFERROR(__xludf.DUMMYFUNCTION("""COMPUTED_VALUE"""),17943.0)</f>
        <v>17943</v>
      </c>
      <c r="I70" s="2" t="str">
        <f>IFERROR(__xludf.DUMMYFUNCTION("""COMPUTED_VALUE"""),"KMC 5825 AHPFPV00055")</f>
        <v>KMC 5825 AHPFPV00055</v>
      </c>
      <c r="J70" s="2" t="str">
        <f>IFERROR(__xludf.DUMMYFUNCTION("""COMPUTED_VALUE"""),"PTS 100133")</f>
        <v>PTS 100133</v>
      </c>
      <c r="K70" s="2" t="str">
        <f>IFERROR(__xludf.DUMMYFUNCTION("""COMPUTED_VALUE"""),"R-SERIES 150 PH")</f>
        <v>R-SERIES 150 PH</v>
      </c>
      <c r="L70" s="2" t="str">
        <f>IFERROR(__xludf.DUMMYFUNCTION("""COMPUTED_VALUE"""),"LSGW1750 RMP 2312087")</f>
        <v>LSGW1750 RMP 2312087</v>
      </c>
      <c r="M70" s="2" t="str">
        <f>IFERROR(__xludf.DUMMYFUNCTION("""COMPUTED_VALUE"""),"WDP40 RMP 2312094")</f>
        <v>WDP40 RMP 2312094</v>
      </c>
      <c r="N70" s="2"/>
      <c r="O70" s="2" t="str">
        <f>IFERROR(__xludf.DUMMYFUNCTION("""COMPUTED_VALUE"""),"Aberawan")</f>
        <v>Aberawan</v>
      </c>
      <c r="P70" s="2" t="str">
        <f>IFERROR(__xludf.DUMMYFUNCTION("""COMPUTED_VALUE"""),"El Nido")</f>
        <v>El Nido</v>
      </c>
      <c r="Q70" s="2" t="str">
        <f>IFERROR(__xludf.DUMMYFUNCTION("""COMPUTED_VALUE"""),"Palawan")</f>
        <v>Palawan</v>
      </c>
      <c r="R70" s="2" t="str">
        <f>IFERROR(__xludf.DUMMYFUNCTION("""COMPUTED_VALUE"""),"4B")</f>
        <v>4B</v>
      </c>
      <c r="S70" s="2"/>
      <c r="T70" s="2"/>
    </row>
    <row r="71">
      <c r="A71" s="1">
        <f>IFERROR(__xludf.DUMMYFUNCTION("""COMPUTED_VALUE"""),69.0)</f>
        <v>69</v>
      </c>
      <c r="B71" s="2" t="str">
        <f>IFERROR(__xludf.DUMMYFUNCTION("""COMPUTED_VALUE"""),"SANDOVAL FARMERS ASSOCIATION")</f>
        <v>SANDOVAL FARMERS ASSOCIATION</v>
      </c>
      <c r="C71" s="2" t="str">
        <f>IFERROR(__xludf.DUMMYFUNCTION("""COMPUTED_VALUE"""),"Sandoval, Roxas, Palawan")</f>
        <v>Sandoval, Roxas, Palawan</v>
      </c>
      <c r="D71" s="2" t="str">
        <f>IFERROR(__xludf.DUMMYFUNCTION("""COMPUTED_VALUE"""),"Philip G. Flores")</f>
        <v>Philip G. Flores</v>
      </c>
      <c r="E71" s="2">
        <f>IFERROR(__xludf.DUMMYFUNCTION("""COMPUTED_VALUE"""),9.261966722E9)</f>
        <v>9261966722</v>
      </c>
      <c r="F71" s="2" t="str">
        <f>IFERROR(__xludf.DUMMYFUNCTION("""COMPUTED_VALUE"""),"RCEF 23-08-20 Rebidding")</f>
        <v>RCEF 23-08-20 Rebidding</v>
      </c>
      <c r="G71" s="2">
        <f>IFERROR(__xludf.DUMMYFUNCTION("""COMPUTED_VALUE"""),1.0)</f>
        <v>1</v>
      </c>
      <c r="H71" s="2">
        <f>IFERROR(__xludf.DUMMYFUNCTION("""COMPUTED_VALUE"""),17944.0)</f>
        <v>17944</v>
      </c>
      <c r="I71" s="2" t="str">
        <f>IFERROR(__xludf.DUMMYFUNCTION("""COMPUTED_VALUE"""),"KMC 5825 AEPFPV0090")</f>
        <v>KMC 5825 AEPFPV0090</v>
      </c>
      <c r="J71" s="2" t="str">
        <f>IFERROR(__xludf.DUMMYFUNCTION("""COMPUTED_VALUE"""),"PTS 100122")</f>
        <v>PTS 100122</v>
      </c>
      <c r="K71" s="2" t="str">
        <f>IFERROR(__xludf.DUMMYFUNCTION("""COMPUTED_VALUE"""),"R-SERIES 135 PH")</f>
        <v>R-SERIES 135 PH</v>
      </c>
      <c r="L71" s="2" t="str">
        <f>IFERROR(__xludf.DUMMYFUNCTION("""COMPUTED_VALUE"""),"LSGW1750 RMP 2312065")</f>
        <v>LSGW1750 RMP 2312065</v>
      </c>
      <c r="M71" s="2" t="str">
        <f>IFERROR(__xludf.DUMMYFUNCTION("""COMPUTED_VALUE"""),"WDP40 RMP 2312098")</f>
        <v>WDP40 RMP 2312098</v>
      </c>
      <c r="N71" s="2"/>
      <c r="O71" s="2" t="str">
        <f>IFERROR(__xludf.DUMMYFUNCTION("""COMPUTED_VALUE"""),"Sandoval")</f>
        <v>Sandoval</v>
      </c>
      <c r="P71" s="2" t="str">
        <f>IFERROR(__xludf.DUMMYFUNCTION("""COMPUTED_VALUE"""),"Roxas")</f>
        <v>Roxas</v>
      </c>
      <c r="Q71" s="2" t="str">
        <f>IFERROR(__xludf.DUMMYFUNCTION("""COMPUTED_VALUE"""),"Palawan")</f>
        <v>Palawan</v>
      </c>
      <c r="R71" s="2" t="str">
        <f>IFERROR(__xludf.DUMMYFUNCTION("""COMPUTED_VALUE"""),"4B")</f>
        <v>4B</v>
      </c>
      <c r="S71" s="2"/>
      <c r="T71" s="2"/>
    </row>
    <row r="72">
      <c r="A72" s="1">
        <f>IFERROR(__xludf.DUMMYFUNCTION("""COMPUTED_VALUE"""),70.0)</f>
        <v>70</v>
      </c>
      <c r="B72" s="2" t="str">
        <f>IFERROR(__xludf.DUMMYFUNCTION("""COMPUTED_VALUE"""),"PAMUAYAN FARMERS ASSOCIATION")</f>
        <v>PAMUAYAN FARMERS ASSOCIATION</v>
      </c>
      <c r="C72" s="2" t="str">
        <f>IFERROR(__xludf.DUMMYFUNCTION("""COMPUTED_VALUE"""),"Barton, San Vicente, Palawan")</f>
        <v>Barton, San Vicente, Palawan</v>
      </c>
      <c r="D72" s="2" t="str">
        <f>IFERROR(__xludf.DUMMYFUNCTION("""COMPUTED_VALUE"""),"Joel C. Capindo")</f>
        <v>Joel C. Capindo</v>
      </c>
      <c r="E72" s="2">
        <f>IFERROR(__xludf.DUMMYFUNCTION("""COMPUTED_VALUE"""),9.309127724E9)</f>
        <v>9309127724</v>
      </c>
      <c r="F72" s="2" t="str">
        <f>IFERROR(__xludf.DUMMYFUNCTION("""COMPUTED_VALUE"""),"RCEF 23-08-20 Rebidding")</f>
        <v>RCEF 23-08-20 Rebidding</v>
      </c>
      <c r="G72" s="2">
        <f>IFERROR(__xludf.DUMMYFUNCTION("""COMPUTED_VALUE"""),1.0)</f>
        <v>1</v>
      </c>
      <c r="H72" s="2">
        <f>IFERROR(__xludf.DUMMYFUNCTION("""COMPUTED_VALUE"""),17945.0)</f>
        <v>17945</v>
      </c>
      <c r="I72" s="2" t="str">
        <f>IFERROR(__xludf.DUMMYFUNCTION("""COMPUTED_VALUE"""),"KMC 5825 ATPFPV0061")</f>
        <v>KMC 5825 ATPFPV0061</v>
      </c>
      <c r="J72" s="2" t="str">
        <f>IFERROR(__xludf.DUMMYFUNCTION("""COMPUTED_VALUE"""),"PTS 100149")</f>
        <v>PTS 100149</v>
      </c>
      <c r="K72" s="2" t="str">
        <f>IFERROR(__xludf.DUMMYFUNCTION("""COMPUTED_VALUE"""),"R-SERIES 129 PH")</f>
        <v>R-SERIES 129 PH</v>
      </c>
      <c r="L72" s="2" t="str">
        <f>IFERROR(__xludf.DUMMYFUNCTION("""COMPUTED_VALUE"""),"LSGW1750 RMP 2312069")</f>
        <v>LSGW1750 RMP 2312069</v>
      </c>
      <c r="M72" s="2" t="str">
        <f>IFERROR(__xludf.DUMMYFUNCTION("""COMPUTED_VALUE"""),"WDP40 RMP 2312104")</f>
        <v>WDP40 RMP 2312104</v>
      </c>
      <c r="N72" s="2"/>
      <c r="O72" s="2" t="str">
        <f>IFERROR(__xludf.DUMMYFUNCTION("""COMPUTED_VALUE"""),"Barton")</f>
        <v>Barton</v>
      </c>
      <c r="P72" s="2" t="str">
        <f>IFERROR(__xludf.DUMMYFUNCTION("""COMPUTED_VALUE"""),"San Vicente")</f>
        <v>San Vicente</v>
      </c>
      <c r="Q72" s="2" t="str">
        <f>IFERROR(__xludf.DUMMYFUNCTION("""COMPUTED_VALUE"""),"Palawan")</f>
        <v>Palawan</v>
      </c>
      <c r="R72" s="2" t="str">
        <f>IFERROR(__xludf.DUMMYFUNCTION("""COMPUTED_VALUE"""),"4B")</f>
        <v>4B</v>
      </c>
      <c r="S72" s="2"/>
      <c r="T72" s="2"/>
    </row>
    <row r="73">
      <c r="A73" s="1">
        <f>IFERROR(__xludf.DUMMYFUNCTION("""COMPUTED_VALUE"""),71.0)</f>
        <v>71</v>
      </c>
      <c r="B73" s="2" t="str">
        <f>IFERROR(__xludf.DUMMYFUNCTION("""COMPUTED_VALUE"""),"SANDOVAL FARMERS ASSOCIATON")</f>
        <v>SANDOVAL FARMERS ASSOCIATON</v>
      </c>
      <c r="C73" s="2" t="str">
        <f>IFERROR(__xludf.DUMMYFUNCTION("""COMPUTED_VALUE"""),"Sandoval, Taytay, Palawan")</f>
        <v>Sandoval, Taytay, Palawan</v>
      </c>
      <c r="D73" s="2" t="str">
        <f>IFERROR(__xludf.DUMMYFUNCTION("""COMPUTED_VALUE"""),"Isagani L. Repe")</f>
        <v>Isagani L. Repe</v>
      </c>
      <c r="E73" s="2">
        <f>IFERROR(__xludf.DUMMYFUNCTION("""COMPUTED_VALUE"""),9.466248004E9)</f>
        <v>9466248004</v>
      </c>
      <c r="F73" s="2" t="str">
        <f>IFERROR(__xludf.DUMMYFUNCTION("""COMPUTED_VALUE"""),"RCEF 23-08-20 Rebidding")</f>
        <v>RCEF 23-08-20 Rebidding</v>
      </c>
      <c r="G73" s="2">
        <f>IFERROR(__xludf.DUMMYFUNCTION("""COMPUTED_VALUE"""),1.0)</f>
        <v>1</v>
      </c>
      <c r="H73" s="2">
        <f>IFERROR(__xludf.DUMMYFUNCTION("""COMPUTED_VALUE"""),17946.0)</f>
        <v>17946</v>
      </c>
      <c r="I73" s="2" t="str">
        <f>IFERROR(__xludf.DUMMYFUNCTION("""COMPUTED_VALUE"""),"KMC 5825 APFPV0076")</f>
        <v>KMC 5825 APFPV0076</v>
      </c>
      <c r="J73" s="2" t="str">
        <f>IFERROR(__xludf.DUMMYFUNCTION("""COMPUTED_VALUE"""),"PTS 100060")</f>
        <v>PTS 100060</v>
      </c>
      <c r="K73" s="2" t="str">
        <f>IFERROR(__xludf.DUMMYFUNCTION("""COMPUTED_VALUE"""),"R-SERIES 130 PH")</f>
        <v>R-SERIES 130 PH</v>
      </c>
      <c r="L73" s="2" t="str">
        <f>IFERROR(__xludf.DUMMYFUNCTION("""COMPUTED_VALUE"""),"LSGW1750 RMP 2312052")</f>
        <v>LSGW1750 RMP 2312052</v>
      </c>
      <c r="M73" s="2" t="str">
        <f>IFERROR(__xludf.DUMMYFUNCTION("""COMPUTED_VALUE"""),"WDP40 RMP 2312081")</f>
        <v>WDP40 RMP 2312081</v>
      </c>
      <c r="N73" s="2"/>
      <c r="O73" s="2" t="str">
        <f>IFERROR(__xludf.DUMMYFUNCTION("""COMPUTED_VALUE"""),"Sandoval")</f>
        <v>Sandoval</v>
      </c>
      <c r="P73" s="2" t="str">
        <f>IFERROR(__xludf.DUMMYFUNCTION("""COMPUTED_VALUE"""),"Taytay")</f>
        <v>Taytay</v>
      </c>
      <c r="Q73" s="2" t="str">
        <f>IFERROR(__xludf.DUMMYFUNCTION("""COMPUTED_VALUE"""),"Palawan")</f>
        <v>Palawan</v>
      </c>
      <c r="R73" s="2" t="str">
        <f>IFERROR(__xludf.DUMMYFUNCTION("""COMPUTED_VALUE"""),"4B")</f>
        <v>4B</v>
      </c>
      <c r="S73" s="2"/>
      <c r="T73" s="2"/>
    </row>
    <row r="74">
      <c r="A74" s="1">
        <f>IFERROR(__xludf.DUMMYFUNCTION("""COMPUTED_VALUE"""),72.0)</f>
        <v>72</v>
      </c>
      <c r="B74" s="2" t="str">
        <f>IFERROR(__xludf.DUMMYFUNCTION("""COMPUTED_VALUE"""),"TAYSAY MINAHAW FARMER IRRIGATORS ASSOCIATION, INC.")</f>
        <v>TAYSAY MINAHAW FARMER IRRIGATORS ASSOCIATION, INC.</v>
      </c>
      <c r="C74" s="2" t="str">
        <f>IFERROR(__xludf.DUMMYFUNCTION("""COMPUTED_VALUE"""),"Bono-Bono, Bataraza, Palawan")</f>
        <v>Bono-Bono, Bataraza, Palawan</v>
      </c>
      <c r="D74" s="2" t="str">
        <f>IFERROR(__xludf.DUMMYFUNCTION("""COMPUTED_VALUE"""),"Eddie N. Sagun")</f>
        <v>Eddie N. Sagun</v>
      </c>
      <c r="E74" s="2">
        <f>IFERROR(__xludf.DUMMYFUNCTION("""COMPUTED_VALUE"""),9.985315419E9)</f>
        <v>9985315419</v>
      </c>
      <c r="F74" s="2" t="str">
        <f>IFERROR(__xludf.DUMMYFUNCTION("""COMPUTED_VALUE"""),"RCEF 23-08-20 Rebidding")</f>
        <v>RCEF 23-08-20 Rebidding</v>
      </c>
      <c r="G74" s="2">
        <f>IFERROR(__xludf.DUMMYFUNCTION("""COMPUTED_VALUE"""),1.0)</f>
        <v>1</v>
      </c>
      <c r="H74" s="2">
        <f>IFERROR(__xludf.DUMMYFUNCTION("""COMPUTED_VALUE"""),17947.0)</f>
        <v>17947</v>
      </c>
      <c r="I74" s="2" t="str">
        <f>IFERROR(__xludf.DUMMYFUNCTION("""COMPUTED_VALUE"""),"KKC 5825 ALPFPV0104")</f>
        <v>KKC 5825 ALPFPV0104</v>
      </c>
      <c r="J74" s="2" t="str">
        <f>IFERROR(__xludf.DUMMYFUNCTION("""COMPUTED_VALUE"""),"PTS 100072")</f>
        <v>PTS 100072</v>
      </c>
      <c r="K74" s="2" t="str">
        <f>IFERROR(__xludf.DUMMYFUNCTION("""COMPUTED_VALUE"""),"R-SERIES 146 PH")</f>
        <v>R-SERIES 146 PH</v>
      </c>
      <c r="L74" s="2" t="str">
        <f>IFERROR(__xludf.DUMMYFUNCTION("""COMPUTED_VALUE"""),"LSGW1750 RMP 2312063")</f>
        <v>LSGW1750 RMP 2312063</v>
      </c>
      <c r="M74" s="2" t="str">
        <f>IFERROR(__xludf.DUMMYFUNCTION("""COMPUTED_VALUE"""),"WDP40 RMP 2312086")</f>
        <v>WDP40 RMP 2312086</v>
      </c>
      <c r="N74" s="2"/>
      <c r="O74" s="2" t="str">
        <f>IFERROR(__xludf.DUMMYFUNCTION("""COMPUTED_VALUE"""),"Bono-Bono")</f>
        <v>Bono-Bono</v>
      </c>
      <c r="P74" s="2" t="str">
        <f>IFERROR(__xludf.DUMMYFUNCTION("""COMPUTED_VALUE"""),"Bataraza")</f>
        <v>Bataraza</v>
      </c>
      <c r="Q74" s="2" t="str">
        <f>IFERROR(__xludf.DUMMYFUNCTION("""COMPUTED_VALUE"""),"Palawan")</f>
        <v>Palawan</v>
      </c>
      <c r="R74" s="2" t="str">
        <f>IFERROR(__xludf.DUMMYFUNCTION("""COMPUTED_VALUE"""),"4B")</f>
        <v>4B</v>
      </c>
      <c r="S74" s="2"/>
      <c r="T74" s="2"/>
    </row>
    <row r="75">
      <c r="A75" s="1">
        <f>IFERROR(__xludf.DUMMYFUNCTION("""COMPUTED_VALUE"""),73.0)</f>
        <v>73</v>
      </c>
      <c r="B75" s="2" t="str">
        <f>IFERROR(__xludf.DUMMYFUNCTION("""COMPUTED_VALUE"""),"CALASAGUEN DIVISION 4 RICE PRODUCER'S FARMERS ASSOCIATION")</f>
        <v>CALASAGUEN DIVISION 4 RICE PRODUCER'S FARMERS ASSOCIATION</v>
      </c>
      <c r="C75" s="2" t="str">
        <f>IFERROR(__xludf.DUMMYFUNCTION("""COMPUTED_VALUE"""),"Calasaguen, Brooke's Point, Palawan")</f>
        <v>Calasaguen, Brooke's Point, Palawan</v>
      </c>
      <c r="D75" s="2" t="str">
        <f>IFERROR(__xludf.DUMMYFUNCTION("""COMPUTED_VALUE"""),"Michael B. Buñag")</f>
        <v>Michael B. Buñag</v>
      </c>
      <c r="E75" s="2" t="str">
        <f>IFERROR(__xludf.DUMMYFUNCTION("""COMPUTED_VALUE"""),"0963-397-1345")</f>
        <v>0963-397-1345</v>
      </c>
      <c r="F75" s="2" t="str">
        <f>IFERROR(__xludf.DUMMYFUNCTION("""COMPUTED_VALUE"""),"RCEF 23-08-20 Rebidding")</f>
        <v>RCEF 23-08-20 Rebidding</v>
      </c>
      <c r="G75" s="2">
        <f>IFERROR(__xludf.DUMMYFUNCTION("""COMPUTED_VALUE"""),1.0)</f>
        <v>1</v>
      </c>
      <c r="H75" s="2">
        <f>IFERROR(__xludf.DUMMYFUNCTION("""COMPUTED_VALUE"""),17948.0)</f>
        <v>17948</v>
      </c>
      <c r="I75" s="2" t="str">
        <f>IFERROR(__xludf.DUMMYFUNCTION("""COMPUTED_VALUE"""),"KMC 5825 ACPFPV0057")</f>
        <v>KMC 5825 ACPFPV0057</v>
      </c>
      <c r="J75" s="2" t="str">
        <f>IFERROR(__xludf.DUMMYFUNCTION("""COMPUTED_VALUE"""),"PTS 100139")</f>
        <v>PTS 100139</v>
      </c>
      <c r="K75" s="2" t="str">
        <f>IFERROR(__xludf.DUMMYFUNCTION("""COMPUTED_VALUE"""),"R-SERIES 117 PH")</f>
        <v>R-SERIES 117 PH</v>
      </c>
      <c r="L75" s="2" t="str">
        <f>IFERROR(__xludf.DUMMYFUNCTION("""COMPUTED_VALUE"""),"LSGW1750 RMP 2312068")</f>
        <v>LSGW1750 RMP 2312068</v>
      </c>
      <c r="M75" s="2" t="str">
        <f>IFERROR(__xludf.DUMMYFUNCTION("""COMPUTED_VALUE"""),"WDP40 RMP 2312073")</f>
        <v>WDP40 RMP 2312073</v>
      </c>
      <c r="N75" s="2"/>
      <c r="O75" s="2" t="str">
        <f>IFERROR(__xludf.DUMMYFUNCTION("""COMPUTED_VALUE"""),"Calasaguen")</f>
        <v>Calasaguen</v>
      </c>
      <c r="P75" s="2" t="str">
        <f>IFERROR(__xludf.DUMMYFUNCTION("""COMPUTED_VALUE"""),"Brooke'S Point")</f>
        <v>Brooke'S Point</v>
      </c>
      <c r="Q75" s="2" t="str">
        <f>IFERROR(__xludf.DUMMYFUNCTION("""COMPUTED_VALUE"""),"Palawan")</f>
        <v>Palawan</v>
      </c>
      <c r="R75" s="2" t="str">
        <f>IFERROR(__xludf.DUMMYFUNCTION("""COMPUTED_VALUE"""),"4B")</f>
        <v>4B</v>
      </c>
      <c r="S75" s="2"/>
      <c r="T75" s="2"/>
    </row>
    <row r="76">
      <c r="A76" s="1">
        <f>IFERROR(__xludf.DUMMYFUNCTION("""COMPUTED_VALUE"""),74.0)</f>
        <v>74</v>
      </c>
      <c r="B76" s="2" t="str">
        <f>IFERROR(__xludf.DUMMYFUNCTION("""COMPUTED_VALUE"""),"MACAGUA FARMERS IRRIGATORS' ASSOCIATION INC.")</f>
        <v>MACAGUA FARMERS IRRIGATORS' ASSOCIATION INC.</v>
      </c>
      <c r="C76" s="2" t="str">
        <f>IFERROR(__xludf.DUMMYFUNCTION("""COMPUTED_VALUE"""),"Macagua, Brooke's Point, Palawan")</f>
        <v>Macagua, Brooke's Point, Palawan</v>
      </c>
      <c r="D76" s="2"/>
      <c r="E76" s="2"/>
      <c r="F76" s="2" t="str">
        <f>IFERROR(__xludf.DUMMYFUNCTION("""COMPUTED_VALUE"""),"RCEF 23-08-20 Rebidding")</f>
        <v>RCEF 23-08-20 Rebidding</v>
      </c>
      <c r="G76" s="2">
        <f>IFERROR(__xludf.DUMMYFUNCTION("""COMPUTED_VALUE"""),1.0)</f>
        <v>1</v>
      </c>
      <c r="H76" s="2">
        <f>IFERROR(__xludf.DUMMYFUNCTION("""COMPUTED_VALUE"""),17949.0)</f>
        <v>17949</v>
      </c>
      <c r="I76" s="2" t="str">
        <f>IFERROR(__xludf.DUMMYFUNCTION("""COMPUTED_VALUE"""),"KMC 5825 AHPFPV0072")</f>
        <v>KMC 5825 AHPFPV0072</v>
      </c>
      <c r="J76" s="2" t="str">
        <f>IFERROR(__xludf.DUMMYFUNCTION("""COMPUTED_VALUE"""),"PTS 100084")</f>
        <v>PTS 100084</v>
      </c>
      <c r="K76" s="2" t="str">
        <f>IFERROR(__xludf.DUMMYFUNCTION("""COMPUTED_VALUE"""),"R-SERIES 120 PH")</f>
        <v>R-SERIES 120 PH</v>
      </c>
      <c r="L76" s="2" t="str">
        <f>IFERROR(__xludf.DUMMYFUNCTION("""COMPUTED_VALUE"""),"LSGW1750 RMP 2312048")</f>
        <v>LSGW1750 RMP 2312048</v>
      </c>
      <c r="M76" s="2" t="str">
        <f>IFERROR(__xludf.DUMMYFUNCTION("""COMPUTED_VALUE"""),"WDP40 RMP 2312088")</f>
        <v>WDP40 RMP 2312088</v>
      </c>
      <c r="N76" s="2"/>
      <c r="O76" s="2" t="str">
        <f>IFERROR(__xludf.DUMMYFUNCTION("""COMPUTED_VALUE"""),"Macagua")</f>
        <v>Macagua</v>
      </c>
      <c r="P76" s="2" t="str">
        <f>IFERROR(__xludf.DUMMYFUNCTION("""COMPUTED_VALUE"""),"Brooke'S Point")</f>
        <v>Brooke'S Point</v>
      </c>
      <c r="Q76" s="2" t="str">
        <f>IFERROR(__xludf.DUMMYFUNCTION("""COMPUTED_VALUE"""),"Palawan")</f>
        <v>Palawan</v>
      </c>
      <c r="R76" s="2" t="str">
        <f>IFERROR(__xludf.DUMMYFUNCTION("""COMPUTED_VALUE"""),"4B")</f>
        <v>4B</v>
      </c>
      <c r="S76" s="2"/>
      <c r="T76" s="2"/>
    </row>
    <row r="77">
      <c r="A77" s="1">
        <f>IFERROR(__xludf.DUMMYFUNCTION("""COMPUTED_VALUE"""),75.0)</f>
        <v>75</v>
      </c>
      <c r="B77" s="2" t="str">
        <f>IFERROR(__xludf.DUMMYFUNCTION("""COMPUTED_VALUE"""),"MALIGAYA MAY PAG-ASA IRRIGATORS ASSOCIATION INC.")</f>
        <v>MALIGAYA MAY PAG-ASA IRRIGATORS ASSOCIATION INC.</v>
      </c>
      <c r="C77" s="2" t="str">
        <f>IFERROR(__xludf.DUMMYFUNCTION("""COMPUTED_VALUE"""),"Sandoval, Narra, Palawan")</f>
        <v>Sandoval, Narra, Palawan</v>
      </c>
      <c r="D77" s="2" t="str">
        <f>IFERROR(__xludf.DUMMYFUNCTION("""COMPUTED_VALUE"""),"Ruel B. Padilla")</f>
        <v>Ruel B. Padilla</v>
      </c>
      <c r="E77" s="2" t="str">
        <f>IFERROR(__xludf.DUMMYFUNCTION("""COMPUTED_VALUE"""),"0938 555 4077")</f>
        <v>0938 555 4077</v>
      </c>
      <c r="F77" s="2" t="str">
        <f>IFERROR(__xludf.DUMMYFUNCTION("""COMPUTED_VALUE"""),"RCEF 23-08-20 Rebidding")</f>
        <v>RCEF 23-08-20 Rebidding</v>
      </c>
      <c r="G77" s="2">
        <f>IFERROR(__xludf.DUMMYFUNCTION("""COMPUTED_VALUE"""),1.0)</f>
        <v>1</v>
      </c>
      <c r="H77" s="2">
        <f>IFERROR(__xludf.DUMMYFUNCTION("""COMPUTED_VALUE"""),17950.0)</f>
        <v>17950</v>
      </c>
      <c r="I77" s="2" t="str">
        <f>IFERROR(__xludf.DUMMYFUNCTION("""COMPUTED_VALUE"""),"KMC 5825 APPFPV0109")</f>
        <v>KMC 5825 APPFPV0109</v>
      </c>
      <c r="J77" s="2" t="str">
        <f>IFERROR(__xludf.DUMMYFUNCTION("""COMPUTED_VALUE"""),"PTS 100048")</f>
        <v>PTS 100048</v>
      </c>
      <c r="K77" s="2" t="str">
        <f>IFERROR(__xludf.DUMMYFUNCTION("""COMPUTED_VALUE"""),"R-SERIES 143 PH")</f>
        <v>R-SERIES 143 PH</v>
      </c>
      <c r="L77" s="2" t="str">
        <f>IFERROR(__xludf.DUMMYFUNCTION("""COMPUTED_VALUE"""),"LSGW1750 RMP 2312062")</f>
        <v>LSGW1750 RMP 2312062</v>
      </c>
      <c r="M77" s="2" t="str">
        <f>IFERROR(__xludf.DUMMYFUNCTION("""COMPUTED_VALUE"""),"WDP40 RMP 2312096")</f>
        <v>WDP40 RMP 2312096</v>
      </c>
      <c r="N77" s="2"/>
      <c r="O77" s="2" t="str">
        <f>IFERROR(__xludf.DUMMYFUNCTION("""COMPUTED_VALUE"""),"Sandoval")</f>
        <v>Sandoval</v>
      </c>
      <c r="P77" s="2" t="str">
        <f>IFERROR(__xludf.DUMMYFUNCTION("""COMPUTED_VALUE"""),"Narra")</f>
        <v>Narra</v>
      </c>
      <c r="Q77" s="2" t="str">
        <f>IFERROR(__xludf.DUMMYFUNCTION("""COMPUTED_VALUE"""),"Palawan")</f>
        <v>Palawan</v>
      </c>
      <c r="R77" s="2" t="str">
        <f>IFERROR(__xludf.DUMMYFUNCTION("""COMPUTED_VALUE"""),"4B")</f>
        <v>4B</v>
      </c>
      <c r="S77" s="2"/>
      <c r="T77" s="2"/>
    </row>
    <row r="78">
      <c r="A78" s="1">
        <f>IFERROR(__xludf.DUMMYFUNCTION("""COMPUTED_VALUE"""),76.0)</f>
        <v>76</v>
      </c>
      <c r="B78" s="2" t="str">
        <f>IFERROR(__xludf.DUMMYFUNCTION("""COMPUTED_VALUE"""),"MALATGAO QUEZON FARMERS IRRIGATORS' ASSOCIATION, INC.")</f>
        <v>MALATGAO QUEZON FARMERS IRRIGATORS' ASSOCIATION, INC.</v>
      </c>
      <c r="C78" s="2" t="str">
        <f>IFERROR(__xludf.DUMMYFUNCTION("""COMPUTED_VALUE"""),"Malatgao, Quezon, Palawan")</f>
        <v>Malatgao, Quezon, Palawan</v>
      </c>
      <c r="D78" s="2" t="str">
        <f>IFERROR(__xludf.DUMMYFUNCTION("""COMPUTED_VALUE"""),"Adelan M. Peñalosa")</f>
        <v>Adelan M. Peñalosa</v>
      </c>
      <c r="E78" s="2">
        <f>IFERROR(__xludf.DUMMYFUNCTION("""COMPUTED_VALUE"""),9.978206354E9)</f>
        <v>9978206354</v>
      </c>
      <c r="F78" s="2" t="str">
        <f>IFERROR(__xludf.DUMMYFUNCTION("""COMPUTED_VALUE"""),"RCEF 23-08-20 Rebidding")</f>
        <v>RCEF 23-08-20 Rebidding</v>
      </c>
      <c r="G78" s="2">
        <f>IFERROR(__xludf.DUMMYFUNCTION("""COMPUTED_VALUE"""),1.0)</f>
        <v>1</v>
      </c>
      <c r="H78" s="2">
        <f>IFERROR(__xludf.DUMMYFUNCTION("""COMPUTED_VALUE"""),17951.0)</f>
        <v>17951</v>
      </c>
      <c r="I78" s="2" t="str">
        <f>IFERROR(__xludf.DUMMYFUNCTION("""COMPUTED_VALUE"""),"KMC 5825 ACPFPV0115")</f>
        <v>KMC 5825 ACPFPV0115</v>
      </c>
      <c r="J78" s="2" t="str">
        <f>IFERROR(__xludf.DUMMYFUNCTION("""COMPUTED_VALUE"""),"PTS 100095")</f>
        <v>PTS 100095</v>
      </c>
      <c r="K78" s="2" t="str">
        <f>IFERROR(__xludf.DUMMYFUNCTION("""COMPUTED_VALUE"""),"R-SERIES 108 PH")</f>
        <v>R-SERIES 108 PH</v>
      </c>
      <c r="L78" s="2" t="str">
        <f>IFERROR(__xludf.DUMMYFUNCTION("""COMPUTED_VALUE"""),"LSGW1750 RMP 2312055")</f>
        <v>LSGW1750 RMP 2312055</v>
      </c>
      <c r="M78" s="2" t="str">
        <f>IFERROR(__xludf.DUMMYFUNCTION("""COMPUTED_VALUE"""),"WDP40 RMP 2312090")</f>
        <v>WDP40 RMP 2312090</v>
      </c>
      <c r="N78" s="2"/>
      <c r="O78" s="2" t="str">
        <f>IFERROR(__xludf.DUMMYFUNCTION("""COMPUTED_VALUE"""),"Malatgao")</f>
        <v>Malatgao</v>
      </c>
      <c r="P78" s="2" t="str">
        <f>IFERROR(__xludf.DUMMYFUNCTION("""COMPUTED_VALUE"""),"Quezon")</f>
        <v>Quezon</v>
      </c>
      <c r="Q78" s="2" t="str">
        <f>IFERROR(__xludf.DUMMYFUNCTION("""COMPUTED_VALUE"""),"Palawan")</f>
        <v>Palawan</v>
      </c>
      <c r="R78" s="2" t="str">
        <f>IFERROR(__xludf.DUMMYFUNCTION("""COMPUTED_VALUE"""),"4B")</f>
        <v>4B</v>
      </c>
      <c r="S78" s="2"/>
      <c r="T78" s="2"/>
    </row>
    <row r="79">
      <c r="A79" s="1">
        <f>IFERROR(__xludf.DUMMYFUNCTION("""COMPUTED_VALUE"""),77.0)</f>
        <v>77</v>
      </c>
      <c r="B79" s="2" t="str">
        <f>IFERROR(__xludf.DUMMYFUNCTION("""COMPUTED_VALUE"""),"SOWANGAN FARMERS IRRIGATORS ' ASSOCIATION INC.")</f>
        <v>SOWANGAN FARMERS IRRIGATORS ' ASSOCIATION INC.</v>
      </c>
      <c r="C79" s="2" t="str">
        <f>IFERROR(__xludf.DUMMYFUNCTION("""COMPUTED_VALUE"""),"Sowangan, Quezon, Palawan")</f>
        <v>Sowangan, Quezon, Palawan</v>
      </c>
      <c r="D79" s="2" t="str">
        <f>IFERROR(__xludf.DUMMYFUNCTION("""COMPUTED_VALUE"""),"Danilo M. Cezar")</f>
        <v>Danilo M. Cezar</v>
      </c>
      <c r="E79" s="2" t="str">
        <f>IFERROR(__xludf.DUMMYFUNCTION("""COMPUTED_VALUE"""),"0910 242 6209/ 0912 225 2230")</f>
        <v>0910 242 6209/ 0912 225 2230</v>
      </c>
      <c r="F79" s="2" t="str">
        <f>IFERROR(__xludf.DUMMYFUNCTION("""COMPUTED_VALUE"""),"RCEF 23-08-20 Rebidding")</f>
        <v>RCEF 23-08-20 Rebidding</v>
      </c>
      <c r="G79" s="2">
        <f>IFERROR(__xludf.DUMMYFUNCTION("""COMPUTED_VALUE"""),1.0)</f>
        <v>1</v>
      </c>
      <c r="H79" s="2">
        <f>IFERROR(__xludf.DUMMYFUNCTION("""COMPUTED_VALUE"""),17952.0)</f>
        <v>17952</v>
      </c>
      <c r="I79" s="2" t="str">
        <f>IFERROR(__xludf.DUMMYFUNCTION("""COMPUTED_VALUE"""),"KMC 5825 AJPFPV0114")</f>
        <v>KMC 5825 AJPFPV0114</v>
      </c>
      <c r="J79" s="2" t="str">
        <f>IFERROR(__xludf.DUMMYFUNCTION("""COMPUTED_VALUE"""),"PTS 100094")</f>
        <v>PTS 100094</v>
      </c>
      <c r="K79" s="2" t="str">
        <f>IFERROR(__xludf.DUMMYFUNCTION("""COMPUTED_VALUE"""),"R-SERIES 119 PH")</f>
        <v>R-SERIES 119 PH</v>
      </c>
      <c r="L79" s="2" t="str">
        <f>IFERROR(__xludf.DUMMYFUNCTION("""COMPUTED_VALUE"""),"LSGW1750 RMP 2312077")</f>
        <v>LSGW1750 RMP 2312077</v>
      </c>
      <c r="M79" s="2" t="str">
        <f>IFERROR(__xludf.DUMMYFUNCTION("""COMPUTED_VALUE"""),"WDP40 RMP 2312095")</f>
        <v>WDP40 RMP 2312095</v>
      </c>
      <c r="N79" s="2"/>
      <c r="O79" s="2" t="str">
        <f>IFERROR(__xludf.DUMMYFUNCTION("""COMPUTED_VALUE"""),"Sowangan")</f>
        <v>Sowangan</v>
      </c>
      <c r="P79" s="2" t="str">
        <f>IFERROR(__xludf.DUMMYFUNCTION("""COMPUTED_VALUE"""),"Quezon")</f>
        <v>Quezon</v>
      </c>
      <c r="Q79" s="2" t="str">
        <f>IFERROR(__xludf.DUMMYFUNCTION("""COMPUTED_VALUE"""),"Palawan")</f>
        <v>Palawan</v>
      </c>
      <c r="R79" s="2" t="str">
        <f>IFERROR(__xludf.DUMMYFUNCTION("""COMPUTED_VALUE"""),"4B")</f>
        <v>4B</v>
      </c>
      <c r="S79" s="2"/>
      <c r="T79" s="2"/>
    </row>
    <row r="80">
      <c r="A80" s="1">
        <f>IFERROR(__xludf.DUMMYFUNCTION("""COMPUTED_VALUE"""),78.0)</f>
        <v>78</v>
      </c>
      <c r="B80" s="2" t="str">
        <f>IFERROR(__xludf.DUMMYFUNCTION("""COMPUTED_VALUE"""),"SICUD FARMERS ASSOCIATION")</f>
        <v>SICUD FARMERS ASSOCIATION</v>
      </c>
      <c r="C80" s="2" t="str">
        <f>IFERROR(__xludf.DUMMYFUNCTION("""COMPUTED_VALUE"""),"Candawaga, Rizal, Palawan")</f>
        <v>Candawaga, Rizal, Palawan</v>
      </c>
      <c r="D80" s="2" t="str">
        <f>IFERROR(__xludf.DUMMYFUNCTION("""COMPUTED_VALUE"""),"Rodrigo C. Quiocson")</f>
        <v>Rodrigo C. Quiocson</v>
      </c>
      <c r="E80" s="2" t="str">
        <f>IFERROR(__xludf.DUMMYFUNCTION("""COMPUTED_VALUE"""),"0975 202 7209")</f>
        <v>0975 202 7209</v>
      </c>
      <c r="F80" s="2" t="str">
        <f>IFERROR(__xludf.DUMMYFUNCTION("""COMPUTED_VALUE"""),"RCEF 23-08-20 Rebidding")</f>
        <v>RCEF 23-08-20 Rebidding</v>
      </c>
      <c r="G80" s="2">
        <f>IFERROR(__xludf.DUMMYFUNCTION("""COMPUTED_VALUE"""),1.0)</f>
        <v>1</v>
      </c>
      <c r="H80" s="2">
        <f>IFERROR(__xludf.DUMMYFUNCTION("""COMPUTED_VALUE"""),17953.0)</f>
        <v>17953</v>
      </c>
      <c r="I80" s="2" t="str">
        <f>IFERROR(__xludf.DUMMYFUNCTION("""COMPUTED_VALUE"""),"KMC 5825 AHPFPV0105")</f>
        <v>KMC 5825 AHPFPV0105</v>
      </c>
      <c r="J80" s="2" t="str">
        <f>IFERROR(__xludf.DUMMYFUNCTION("""COMPUTED_VALUE"""),"PTS 100073")</f>
        <v>PTS 100073</v>
      </c>
      <c r="K80" s="2" t="str">
        <f>IFERROR(__xludf.DUMMYFUNCTION("""COMPUTED_VALUE"""),"R-SERIES 107 PH")</f>
        <v>R-SERIES 107 PH</v>
      </c>
      <c r="L80" s="2" t="str">
        <f>IFERROR(__xludf.DUMMYFUNCTION("""COMPUTED_VALUE"""),"LSGW1750 RMP 2312090")</f>
        <v>LSGW1750 RMP 2312090</v>
      </c>
      <c r="M80" s="2" t="str">
        <f>IFERROR(__xludf.DUMMYFUNCTION("""COMPUTED_VALUE"""),"WDP40 RMP 2312100")</f>
        <v>WDP40 RMP 2312100</v>
      </c>
      <c r="N80" s="2"/>
      <c r="O80" s="2" t="str">
        <f>IFERROR(__xludf.DUMMYFUNCTION("""COMPUTED_VALUE"""),"Candawaga")</f>
        <v>Candawaga</v>
      </c>
      <c r="P80" s="2" t="str">
        <f>IFERROR(__xludf.DUMMYFUNCTION("""COMPUTED_VALUE"""),"Rizal")</f>
        <v>Rizal</v>
      </c>
      <c r="Q80" s="2" t="str">
        <f>IFERROR(__xludf.DUMMYFUNCTION("""COMPUTED_VALUE"""),"Palawan")</f>
        <v>Palawan</v>
      </c>
      <c r="R80" s="2" t="str">
        <f>IFERROR(__xludf.DUMMYFUNCTION("""COMPUTED_VALUE"""),"4B")</f>
        <v>4B</v>
      </c>
      <c r="S80" s="2"/>
      <c r="T80" s="2"/>
    </row>
    <row r="81">
      <c r="A81" s="1">
        <f>IFERROR(__xludf.DUMMYFUNCTION("""COMPUTED_VALUE"""),79.0)</f>
        <v>79</v>
      </c>
      <c r="B81" s="2" t="str">
        <f>IFERROR(__xludf.DUMMYFUNCTION("""COMPUTED_VALUE"""),"TAGLOP BULIKAWA FARMERS ASSOCIATION")</f>
        <v>TAGLOP BULIKAWA FARMERS ASSOCIATION</v>
      </c>
      <c r="C81" s="2" t="str">
        <f>IFERROR(__xludf.DUMMYFUNCTION("""COMPUTED_VALUE"""),"Canipaan, Rizal, Palawan")</f>
        <v>Canipaan, Rizal, Palawan</v>
      </c>
      <c r="D81" s="2" t="str">
        <f>IFERROR(__xludf.DUMMYFUNCTION("""COMPUTED_VALUE"""),"Elmer C. Abes")</f>
        <v>Elmer C. Abes</v>
      </c>
      <c r="E81" s="2" t="str">
        <f>IFERROR(__xludf.DUMMYFUNCTION("""COMPUTED_VALUE"""),"0965 355 1181 (Rey Blando)")</f>
        <v>0965 355 1181 (Rey Blando)</v>
      </c>
      <c r="F81" s="2" t="str">
        <f>IFERROR(__xludf.DUMMYFUNCTION("""COMPUTED_VALUE"""),"RCEF 23-08-20 Rebidding")</f>
        <v>RCEF 23-08-20 Rebidding</v>
      </c>
      <c r="G81" s="2">
        <f>IFERROR(__xludf.DUMMYFUNCTION("""COMPUTED_VALUE"""),1.0)</f>
        <v>1</v>
      </c>
      <c r="H81" s="2">
        <f>IFERROR(__xludf.DUMMYFUNCTION("""COMPUTED_VALUE"""),17954.0)</f>
        <v>17954</v>
      </c>
      <c r="I81" s="2" t="str">
        <f>IFERROR(__xludf.DUMMYFUNCTION("""COMPUTED_VALUE"""),"KMC 5825 AAPFPV0148")</f>
        <v>KMC 5825 AAPFPV0148</v>
      </c>
      <c r="J81" s="2" t="str">
        <f>IFERROR(__xludf.DUMMYFUNCTION("""COMPUTED_VALUE"""),"PTS 100113")</f>
        <v>PTS 100113</v>
      </c>
      <c r="K81" s="2" t="str">
        <f>IFERROR(__xludf.DUMMYFUNCTION("""COMPUTED_VALUE"""),"R-SERIES 139 PH")</f>
        <v>R-SERIES 139 PH</v>
      </c>
      <c r="L81" s="2" t="str">
        <f>IFERROR(__xludf.DUMMYFUNCTION("""COMPUTED_VALUE"""),"LSGW1750 RMP 2312066")</f>
        <v>LSGW1750 RMP 2312066</v>
      </c>
      <c r="M81" s="2" t="str">
        <f>IFERROR(__xludf.DUMMYFUNCTION("""COMPUTED_VALUE"""),"WDP40 RMP 2312092")</f>
        <v>WDP40 RMP 2312092</v>
      </c>
      <c r="N81" s="2"/>
      <c r="O81" s="2" t="str">
        <f>IFERROR(__xludf.DUMMYFUNCTION("""COMPUTED_VALUE"""),"Canipaan")</f>
        <v>Canipaan</v>
      </c>
      <c r="P81" s="2" t="str">
        <f>IFERROR(__xludf.DUMMYFUNCTION("""COMPUTED_VALUE"""),"Rizal")</f>
        <v>Rizal</v>
      </c>
      <c r="Q81" s="2" t="str">
        <f>IFERROR(__xludf.DUMMYFUNCTION("""COMPUTED_VALUE"""),"Palawan")</f>
        <v>Palawan</v>
      </c>
      <c r="R81" s="2" t="str">
        <f>IFERROR(__xludf.DUMMYFUNCTION("""COMPUTED_VALUE"""),"4B")</f>
        <v>4B</v>
      </c>
      <c r="S81" s="2"/>
      <c r="T81" s="2"/>
    </row>
    <row r="82">
      <c r="A82" s="1">
        <f>IFERROR(__xludf.DUMMYFUNCTION("""COMPUTED_VALUE"""),80.0)</f>
        <v>80</v>
      </c>
      <c r="B82" s="2" t="str">
        <f>IFERROR(__xludf.DUMMYFUNCTION("""COMPUTED_VALUE"""),"CABAYUGAN FARMERS ASSOCIATION")</f>
        <v>CABAYUGAN FARMERS ASSOCIATION</v>
      </c>
      <c r="C82" s="2" t="str">
        <f>IFERROR(__xludf.DUMMYFUNCTION("""COMPUTED_VALUE"""),"Cabayugan, Puerto Princesa City, Palawan")</f>
        <v>Cabayugan, Puerto Princesa City, Palawan</v>
      </c>
      <c r="D82" s="2" t="str">
        <f>IFERROR(__xludf.DUMMYFUNCTION("""COMPUTED_VALUE"""),"Louie Joy A. Aungon")</f>
        <v>Louie Joy A. Aungon</v>
      </c>
      <c r="E82" s="2" t="str">
        <f>IFERROR(__xludf.DUMMYFUNCTION("""COMPUTED_VALUE"""),"0905 096 0839")</f>
        <v>0905 096 0839</v>
      </c>
      <c r="F82" s="2" t="str">
        <f>IFERROR(__xludf.DUMMYFUNCTION("""COMPUTED_VALUE"""),"RCEF 23-08-20 Rebidding")</f>
        <v>RCEF 23-08-20 Rebidding</v>
      </c>
      <c r="G82" s="2">
        <f>IFERROR(__xludf.DUMMYFUNCTION("""COMPUTED_VALUE"""),1.0)</f>
        <v>1</v>
      </c>
      <c r="H82" s="2">
        <f>IFERROR(__xludf.DUMMYFUNCTION("""COMPUTED_VALUE"""),17955.0)</f>
        <v>17955</v>
      </c>
      <c r="I82" s="2" t="str">
        <f>IFERROR(__xludf.DUMMYFUNCTION("""COMPUTED_VALUE"""),"KMC 5825 ACPFPV0110")</f>
        <v>KMC 5825 ACPFPV0110</v>
      </c>
      <c r="J82" s="2" t="str">
        <f>IFERROR(__xludf.DUMMYFUNCTION("""COMPUTED_VALUE"""),"PTS 100090")</f>
        <v>PTS 100090</v>
      </c>
      <c r="K82" s="2" t="str">
        <f>IFERROR(__xludf.DUMMYFUNCTION("""COMPUTED_VALUE"""),"R-SERIES 142 PH")</f>
        <v>R-SERIES 142 PH</v>
      </c>
      <c r="L82" s="2" t="str">
        <f>IFERROR(__xludf.DUMMYFUNCTION("""COMPUTED_VALUE"""),"LSGW1750 RMP 2312036")</f>
        <v>LSGW1750 RMP 2312036</v>
      </c>
      <c r="M82" s="2" t="str">
        <f>IFERROR(__xludf.DUMMYFUNCTION("""COMPUTED_VALUE"""),"WDP40 RMP 2312091")</f>
        <v>WDP40 RMP 2312091</v>
      </c>
      <c r="N82" s="2"/>
      <c r="O82" s="2" t="str">
        <f>IFERROR(__xludf.DUMMYFUNCTION("""COMPUTED_VALUE"""),"Cabayugan")</f>
        <v>Cabayugan</v>
      </c>
      <c r="P82" s="2" t="str">
        <f>IFERROR(__xludf.DUMMYFUNCTION("""COMPUTED_VALUE"""),"Puerto Princesa City")</f>
        <v>Puerto Princesa City</v>
      </c>
      <c r="Q82" s="2" t="str">
        <f>IFERROR(__xludf.DUMMYFUNCTION("""COMPUTED_VALUE"""),"Palawan")</f>
        <v>Palawan</v>
      </c>
      <c r="R82" s="2" t="str">
        <f>IFERROR(__xludf.DUMMYFUNCTION("""COMPUTED_VALUE"""),"4B")</f>
        <v>4B</v>
      </c>
      <c r="S82" s="2"/>
      <c r="T82" s="2"/>
    </row>
    <row r="83">
      <c r="A83" s="1">
        <f>IFERROR(__xludf.DUMMYFUNCTION("""COMPUTED_VALUE"""),81.0)</f>
        <v>81</v>
      </c>
      <c r="B83" s="2" t="str">
        <f>IFERROR(__xludf.DUMMYFUNCTION("""COMPUTED_VALUE"""),"SAMAHANG MANUNUBIG NG CULANDANUM FARMERS, ABORLAN, PALAWAN, INC.")</f>
        <v>SAMAHANG MANUNUBIG NG CULANDANUM FARMERS, ABORLAN, PALAWAN, INC.</v>
      </c>
      <c r="C83" s="2" t="str">
        <f>IFERROR(__xludf.DUMMYFUNCTION("""COMPUTED_VALUE"""),"Culandanum, Aborlan, Palawan")</f>
        <v>Culandanum, Aborlan, Palawan</v>
      </c>
      <c r="D83" s="2" t="str">
        <f>IFERROR(__xludf.DUMMYFUNCTION("""COMPUTED_VALUE"""),"Nestor C. Valmoria")</f>
        <v>Nestor C. Valmoria</v>
      </c>
      <c r="E83" s="2" t="str">
        <f>IFERROR(__xludf.DUMMYFUNCTION("""COMPUTED_VALUE"""),"0912 145 7225")</f>
        <v>0912 145 7225</v>
      </c>
      <c r="F83" s="2" t="str">
        <f>IFERROR(__xludf.DUMMYFUNCTION("""COMPUTED_VALUE"""),"RCEF 23-08-20 Rebidding")</f>
        <v>RCEF 23-08-20 Rebidding</v>
      </c>
      <c r="G83" s="2">
        <f>IFERROR(__xludf.DUMMYFUNCTION("""COMPUTED_VALUE"""),1.0)</f>
        <v>1</v>
      </c>
      <c r="H83" s="2">
        <f>IFERROR(__xludf.DUMMYFUNCTION("""COMPUTED_VALUE"""),17956.0)</f>
        <v>17956</v>
      </c>
      <c r="I83" s="2" t="str">
        <f>IFERROR(__xludf.DUMMYFUNCTION("""COMPUTED_VALUE"""),"KMC 5825 APPFPV00112")</f>
        <v>KMC 5825 APPFPV00112</v>
      </c>
      <c r="J83" s="2" t="str">
        <f>IFERROR(__xludf.DUMMYFUNCTION("""COMPUTED_VALUE"""),"PTS 100055")</f>
        <v>PTS 100055</v>
      </c>
      <c r="K83" s="2" t="str">
        <f>IFERROR(__xludf.DUMMYFUNCTION("""COMPUTED_VALUE"""),"R-SERIES 118 PH")</f>
        <v>R-SERIES 118 PH</v>
      </c>
      <c r="L83" s="2" t="str">
        <f>IFERROR(__xludf.DUMMYFUNCTION("""COMPUTED_VALUE"""),"LSGW1750 RMP 2312070")</f>
        <v>LSGW1750 RMP 2312070</v>
      </c>
      <c r="M83" s="2" t="str">
        <f>IFERROR(__xludf.DUMMYFUNCTION("""COMPUTED_VALUE"""),"WDP40 RMP 2312073")</f>
        <v>WDP40 RMP 2312073</v>
      </c>
      <c r="N83" s="2"/>
      <c r="O83" s="2" t="str">
        <f>IFERROR(__xludf.DUMMYFUNCTION("""COMPUTED_VALUE"""),"Culandanum")</f>
        <v>Culandanum</v>
      </c>
      <c r="P83" s="2" t="str">
        <f>IFERROR(__xludf.DUMMYFUNCTION("""COMPUTED_VALUE"""),"Aborlan")</f>
        <v>Aborlan</v>
      </c>
      <c r="Q83" s="2" t="str">
        <f>IFERROR(__xludf.DUMMYFUNCTION("""COMPUTED_VALUE"""),"Palawan")</f>
        <v>Palawan</v>
      </c>
      <c r="R83" s="2" t="str">
        <f>IFERROR(__xludf.DUMMYFUNCTION("""COMPUTED_VALUE"""),"4B")</f>
        <v>4B</v>
      </c>
      <c r="S83" s="2"/>
      <c r="T83" s="2"/>
    </row>
    <row r="84">
      <c r="A84" s="1">
        <f>IFERROR(__xludf.DUMMYFUNCTION("""COMPUTED_VALUE"""),82.0)</f>
        <v>82</v>
      </c>
      <c r="B84" s="2" t="str">
        <f>IFERROR(__xludf.DUMMYFUNCTION("""COMPUTED_VALUE"""),"AGKAKARUBA IRRIGATORS ASSOCIATION, INC.")</f>
        <v>AGKAKARUBA IRRIGATORS ASSOCIATION, INC.</v>
      </c>
      <c r="C84" s="2" t="str">
        <f>IFERROR(__xludf.DUMMYFUNCTION("""COMPUTED_VALUE"""),"Plaridel, Aborlan, Palawan")</f>
        <v>Plaridel, Aborlan, Palawan</v>
      </c>
      <c r="D84" s="2" t="str">
        <f>IFERROR(__xludf.DUMMYFUNCTION("""COMPUTED_VALUE"""),"Buenaventura L. Rosario")</f>
        <v>Buenaventura L. Rosario</v>
      </c>
      <c r="E84" s="2" t="str">
        <f>IFERROR(__xludf.DUMMYFUNCTION("""COMPUTED_VALUE"""),"0910 764 9489")</f>
        <v>0910 764 9489</v>
      </c>
      <c r="F84" s="2" t="str">
        <f>IFERROR(__xludf.DUMMYFUNCTION("""COMPUTED_VALUE"""),"RCEF 23-08-20 Rebidding")</f>
        <v>RCEF 23-08-20 Rebidding</v>
      </c>
      <c r="G84" s="2">
        <f>IFERROR(__xludf.DUMMYFUNCTION("""COMPUTED_VALUE"""),1.0)</f>
        <v>1</v>
      </c>
      <c r="H84" s="2">
        <f>IFERROR(__xludf.DUMMYFUNCTION("""COMPUTED_VALUE"""),17957.0)</f>
        <v>17957</v>
      </c>
      <c r="I84" s="2" t="str">
        <f>IFERROR(__xludf.DUMMYFUNCTION("""COMPUTED_VALUE"""),"KMC 5825 ALPFPV0118")</f>
        <v>KMC 5825 ALPFPV0118</v>
      </c>
      <c r="J84" s="2" t="str">
        <f>IFERROR(__xludf.DUMMYFUNCTION("""COMPUTED_VALUE"""),"PTS 100103")</f>
        <v>PTS 100103</v>
      </c>
      <c r="K84" s="2" t="str">
        <f>IFERROR(__xludf.DUMMYFUNCTION("""COMPUTED_VALUE"""),"R-SERIES 149 PH")</f>
        <v>R-SERIES 149 PH</v>
      </c>
      <c r="L84" s="2" t="str">
        <f>IFERROR(__xludf.DUMMYFUNCTION("""COMPUTED_VALUE"""),"LSGW1750 RMP 2312089")</f>
        <v>LSGW1750 RMP 2312089</v>
      </c>
      <c r="M84" s="2" t="str">
        <f>IFERROR(__xludf.DUMMYFUNCTION("""COMPUTED_VALUE"""),"WDP40 RMP 2312082")</f>
        <v>WDP40 RMP 2312082</v>
      </c>
      <c r="N84" s="2"/>
      <c r="O84" s="2" t="str">
        <f>IFERROR(__xludf.DUMMYFUNCTION("""COMPUTED_VALUE"""),"Plaridel")</f>
        <v>Plaridel</v>
      </c>
      <c r="P84" s="2" t="str">
        <f>IFERROR(__xludf.DUMMYFUNCTION("""COMPUTED_VALUE"""),"Aborlan")</f>
        <v>Aborlan</v>
      </c>
      <c r="Q84" s="2" t="str">
        <f>IFERROR(__xludf.DUMMYFUNCTION("""COMPUTED_VALUE"""),"Palawan")</f>
        <v>Palawan</v>
      </c>
      <c r="R84" s="2" t="str">
        <f>IFERROR(__xludf.DUMMYFUNCTION("""COMPUTED_VALUE"""),"4B")</f>
        <v>4B</v>
      </c>
      <c r="S84" s="2"/>
      <c r="T84" s="2"/>
    </row>
    <row r="85">
      <c r="A85" s="1">
        <f>IFERROR(__xludf.DUMMYFUNCTION("""COMPUTED_VALUE"""),83.0)</f>
        <v>83</v>
      </c>
      <c r="B85" s="2" t="str">
        <f>IFERROR(__xludf.DUMMYFUNCTION("""COMPUTED_VALUE"""),"IBATO-IRAAN FARMER'S IRRIGATORS ASSOCIATION, INC.")</f>
        <v>IBATO-IRAAN FARMER'S IRRIGATORS ASSOCIATION, INC.</v>
      </c>
      <c r="C85" s="2" t="str">
        <f>IFERROR(__xludf.DUMMYFUNCTION("""COMPUTED_VALUE"""),"Sagpangan, Aborlan, Palawan")</f>
        <v>Sagpangan, Aborlan, Palawan</v>
      </c>
      <c r="D85" s="2" t="str">
        <f>IFERROR(__xludf.DUMMYFUNCTION("""COMPUTED_VALUE"""),"Ronie G Baron")</f>
        <v>Ronie G Baron</v>
      </c>
      <c r="E85" s="2" t="str">
        <f>IFERROR(__xludf.DUMMYFUNCTION("""COMPUTED_VALUE"""),"0930-902-8777")</f>
        <v>0930-902-8777</v>
      </c>
      <c r="F85" s="2" t="str">
        <f>IFERROR(__xludf.DUMMYFUNCTION("""COMPUTED_VALUE"""),"RCEF 23-08-20 Rebidding")</f>
        <v>RCEF 23-08-20 Rebidding</v>
      </c>
      <c r="G85" s="2">
        <f>IFERROR(__xludf.DUMMYFUNCTION("""COMPUTED_VALUE"""),1.0)</f>
        <v>1</v>
      </c>
      <c r="H85" s="2">
        <f>IFERROR(__xludf.DUMMYFUNCTION("""COMPUTED_VALUE"""),17958.0)</f>
        <v>17958</v>
      </c>
      <c r="I85" s="2" t="str">
        <f>IFERROR(__xludf.DUMMYFUNCTION("""COMPUTED_VALUE"""),"KMC 5825 AHPFPV0086")</f>
        <v>KMC 5825 AHPFPV0086</v>
      </c>
      <c r="J85" s="2" t="str">
        <f>IFERROR(__xludf.DUMMYFUNCTION("""COMPUTED_VALUE"""),"PTS 100075")</f>
        <v>PTS 100075</v>
      </c>
      <c r="K85" s="2" t="str">
        <f>IFERROR(__xludf.DUMMYFUNCTION("""COMPUTED_VALUE"""),"R-SERIES 144 PH")</f>
        <v>R-SERIES 144 PH</v>
      </c>
      <c r="L85" s="2" t="str">
        <f>IFERROR(__xludf.DUMMYFUNCTION("""COMPUTED_VALUE"""),"LSGW1750 RMP 2312067")</f>
        <v>LSGW1750 RMP 2312067</v>
      </c>
      <c r="M85" s="2" t="str">
        <f>IFERROR(__xludf.DUMMYFUNCTION("""COMPUTED_VALUE"""),"WDP40 RMP 2312085")</f>
        <v>WDP40 RMP 2312085</v>
      </c>
      <c r="N85" s="2"/>
      <c r="O85" s="2" t="str">
        <f>IFERROR(__xludf.DUMMYFUNCTION("""COMPUTED_VALUE"""),"Sagpangan")</f>
        <v>Sagpangan</v>
      </c>
      <c r="P85" s="2" t="str">
        <f>IFERROR(__xludf.DUMMYFUNCTION("""COMPUTED_VALUE"""),"Aborlan")</f>
        <v>Aborlan</v>
      </c>
      <c r="Q85" s="2" t="str">
        <f>IFERROR(__xludf.DUMMYFUNCTION("""COMPUTED_VALUE"""),"Palawan")</f>
        <v>Palawan</v>
      </c>
      <c r="R85" s="2" t="str">
        <f>IFERROR(__xludf.DUMMYFUNCTION("""COMPUTED_VALUE"""),"4B")</f>
        <v>4B</v>
      </c>
      <c r="S85" s="2"/>
      <c r="T85" s="2"/>
    </row>
    <row r="86">
      <c r="A86" s="1">
        <f>IFERROR(__xludf.DUMMYFUNCTION("""COMPUTED_VALUE"""),84.0)</f>
        <v>84</v>
      </c>
      <c r="B86" s="2" t="str">
        <f>IFERROR(__xludf.DUMMYFUNCTION("""COMPUTED_VALUE"""),"PARADISE TELENG FARMERS IRRIGATORS ASSOCIATION INC")</f>
        <v>PARADISE TELENG FARMERS IRRIGATORS ASSOCIATION INC</v>
      </c>
      <c r="C86" s="2" t="str">
        <f>IFERROR(__xludf.DUMMYFUNCTION("""COMPUTED_VALUE"""),"Tigman, Aborlan, Palawan")</f>
        <v>Tigman, Aborlan, Palawan</v>
      </c>
      <c r="D86" s="2" t="str">
        <f>IFERROR(__xludf.DUMMYFUNCTION("""COMPUTED_VALUE"""),"Lourdez C. Paduga")</f>
        <v>Lourdez C. Paduga</v>
      </c>
      <c r="E86" s="2">
        <f>IFERROR(__xludf.DUMMYFUNCTION("""COMPUTED_VALUE"""),9.750285877E9)</f>
        <v>9750285877</v>
      </c>
      <c r="F86" s="2" t="str">
        <f>IFERROR(__xludf.DUMMYFUNCTION("""COMPUTED_VALUE"""),"RCEF 23-08-20 Rebidding")</f>
        <v>RCEF 23-08-20 Rebidding</v>
      </c>
      <c r="G86" s="2">
        <f>IFERROR(__xludf.DUMMYFUNCTION("""COMPUTED_VALUE"""),1.0)</f>
        <v>1</v>
      </c>
      <c r="H86" s="2">
        <f>IFERROR(__xludf.DUMMYFUNCTION("""COMPUTED_VALUE"""),17959.0)</f>
        <v>17959</v>
      </c>
      <c r="I86" s="2" t="str">
        <f>IFERROR(__xludf.DUMMYFUNCTION("""COMPUTED_VALUE"""),"KMC 5825 ATPFPV0156")</f>
        <v>KMC 5825 ATPFPV0156</v>
      </c>
      <c r="J86" s="2" t="str">
        <f>IFERROR(__xludf.DUMMYFUNCTION("""COMPUTED_VALUE"""),"PTS 100142")</f>
        <v>PTS 100142</v>
      </c>
      <c r="K86" s="2" t="str">
        <f>IFERROR(__xludf.DUMMYFUNCTION("""COMPUTED_VALUE"""),"R-SERIES 140 PH")</f>
        <v>R-SERIES 140 PH</v>
      </c>
      <c r="L86" s="2" t="str">
        <f>IFERROR(__xludf.DUMMYFUNCTION("""COMPUTED_VALUE"""),"LSGW1750 RMP 2312083")</f>
        <v>LSGW1750 RMP 2312083</v>
      </c>
      <c r="M86" s="2" t="str">
        <f>IFERROR(__xludf.DUMMYFUNCTION("""COMPUTED_VALUE"""),"WDP40 RMP 2312083")</f>
        <v>WDP40 RMP 2312083</v>
      </c>
      <c r="N86" s="2"/>
      <c r="O86" s="2" t="str">
        <f>IFERROR(__xludf.DUMMYFUNCTION("""COMPUTED_VALUE"""),"Tigman")</f>
        <v>Tigman</v>
      </c>
      <c r="P86" s="2" t="str">
        <f>IFERROR(__xludf.DUMMYFUNCTION("""COMPUTED_VALUE"""),"Aborlan")</f>
        <v>Aborlan</v>
      </c>
      <c r="Q86" s="2" t="str">
        <f>IFERROR(__xludf.DUMMYFUNCTION("""COMPUTED_VALUE"""),"Palawan")</f>
        <v>Palawan</v>
      </c>
      <c r="R86" s="2" t="str">
        <f>IFERROR(__xludf.DUMMYFUNCTION("""COMPUTED_VALUE"""),"4B")</f>
        <v>4B</v>
      </c>
      <c r="S86" s="2"/>
      <c r="T86" s="2"/>
    </row>
    <row r="87">
      <c r="A87" s="1">
        <f>IFERROR(__xludf.DUMMYFUNCTION("""COMPUTED_VALUE"""),85.0)</f>
        <v>85</v>
      </c>
      <c r="B87" s="2" t="str">
        <f>IFERROR(__xludf.DUMMYFUNCTION("""COMPUTED_VALUE"""),"SAMAHANG MAGSASAKA NG APORAWAN AT PARADAHAN INC")</f>
        <v>SAMAHANG MAGSASAKA NG APORAWAN AT PARADAHAN INC</v>
      </c>
      <c r="C87" s="2" t="str">
        <f>IFERROR(__xludf.DUMMYFUNCTION("""COMPUTED_VALUE"""),"Apo Aporawan, Aborlan, Palawan")</f>
        <v>Apo Aporawan, Aborlan, Palawan</v>
      </c>
      <c r="D87" s="2" t="str">
        <f>IFERROR(__xludf.DUMMYFUNCTION("""COMPUTED_VALUE"""),"Renato T. Lopez")</f>
        <v>Renato T. Lopez</v>
      </c>
      <c r="E87" s="2">
        <f>IFERROR(__xludf.DUMMYFUNCTION("""COMPUTED_VALUE"""),9.051981527E9)</f>
        <v>9051981527</v>
      </c>
      <c r="F87" s="2" t="str">
        <f>IFERROR(__xludf.DUMMYFUNCTION("""COMPUTED_VALUE"""),"RCEF 23-08-20 Rebidding")</f>
        <v>RCEF 23-08-20 Rebidding</v>
      </c>
      <c r="G87" s="2">
        <f>IFERROR(__xludf.DUMMYFUNCTION("""COMPUTED_VALUE"""),1.0)</f>
        <v>1</v>
      </c>
      <c r="H87" s="2">
        <f>IFERROR(__xludf.DUMMYFUNCTION("""COMPUTED_VALUE"""),17960.0)</f>
        <v>17960</v>
      </c>
      <c r="I87" s="2" t="str">
        <f>IFERROR(__xludf.DUMMYFUNCTION("""COMPUTED_VALUE"""),"KMC 5825 ATPFPV0041")</f>
        <v>KMC 5825 ATPFPV0041</v>
      </c>
      <c r="J87" s="2" t="str">
        <f>IFERROR(__xludf.DUMMYFUNCTION("""COMPUTED_VALUE"""),"PTS 100064")</f>
        <v>PTS 100064</v>
      </c>
      <c r="K87" s="2" t="str">
        <f>IFERROR(__xludf.DUMMYFUNCTION("""COMPUTED_VALUE"""),"R-SERIES 145 PH")</f>
        <v>R-SERIES 145 PH</v>
      </c>
      <c r="L87" s="2" t="str">
        <f>IFERROR(__xludf.DUMMYFUNCTION("""COMPUTED_VALUE"""),"LSGW1750 RMP 2312049")</f>
        <v>LSGW1750 RMP 2312049</v>
      </c>
      <c r="M87" s="2" t="str">
        <f>IFERROR(__xludf.DUMMYFUNCTION("""COMPUTED_VALUE"""),"WDP40 RMP 2312080")</f>
        <v>WDP40 RMP 2312080</v>
      </c>
      <c r="N87" s="2"/>
      <c r="O87" s="2" t="str">
        <f>IFERROR(__xludf.DUMMYFUNCTION("""COMPUTED_VALUE"""),"Apo Aporawan")</f>
        <v>Apo Aporawan</v>
      </c>
      <c r="P87" s="2" t="str">
        <f>IFERROR(__xludf.DUMMYFUNCTION("""COMPUTED_VALUE"""),"Aborlan")</f>
        <v>Aborlan</v>
      </c>
      <c r="Q87" s="2" t="str">
        <f>IFERROR(__xludf.DUMMYFUNCTION("""COMPUTED_VALUE"""),"Palawan")</f>
        <v>Palawan</v>
      </c>
      <c r="R87" s="2" t="str">
        <f>IFERROR(__xludf.DUMMYFUNCTION("""COMPUTED_VALUE"""),"4B")</f>
        <v>4B</v>
      </c>
      <c r="S87" s="2"/>
      <c r="T87" s="2"/>
    </row>
    <row r="88">
      <c r="A88" s="1">
        <f>IFERROR(__xludf.DUMMYFUNCTION("""COMPUTED_VALUE"""),86.0)</f>
        <v>86</v>
      </c>
      <c r="B88" s="2" t="str">
        <f>IFERROR(__xludf.DUMMYFUNCTION("""COMPUTED_VALUE"""),"MUNICIPAL LOCAL GOVERNMENT UNIT OF LOOC")</f>
        <v>MUNICIPAL LOCAL GOVERNMENT UNIT OF LOOC</v>
      </c>
      <c r="C88" s="2" t="str">
        <f>IFERROR(__xludf.DUMMYFUNCTION("""COMPUTED_VALUE"""),"POBLACION GUITNA, LOOC, OCCIDENTAL MINDORO")</f>
        <v>POBLACION GUITNA, LOOC, OCCIDENTAL MINDORO</v>
      </c>
      <c r="D88" s="2" t="str">
        <f>IFERROR(__xludf.DUMMYFUNCTION("""COMPUTED_VALUE"""),"Hon. Marlon Dela Torre")</f>
        <v>Hon. Marlon Dela Torre</v>
      </c>
      <c r="E88" s="2" t="str">
        <f>IFERROR(__xludf.DUMMYFUNCTION("""COMPUTED_VALUE"""),"0999 758 7240")</f>
        <v>0999 758 7240</v>
      </c>
      <c r="F88" s="2" t="str">
        <f>IFERROR(__xludf.DUMMYFUNCTION("""COMPUTED_VALUE"""),"RCEF 23-08-20 Rebidding")</f>
        <v>RCEF 23-08-20 Rebidding</v>
      </c>
      <c r="G88" s="2">
        <f>IFERROR(__xludf.DUMMYFUNCTION("""COMPUTED_VALUE"""),1.0)</f>
        <v>1</v>
      </c>
      <c r="H88" s="2">
        <f>IFERROR(__xludf.DUMMYFUNCTION("""COMPUTED_VALUE"""),18891.0)</f>
        <v>18891</v>
      </c>
      <c r="I88" s="2" t="str">
        <f>IFERROR(__xludf.DUMMYFUNCTION("""COMPUTED_VALUE"""),"KMC5825AVRFPV0345")</f>
        <v>KMC5825AVRFPV0345</v>
      </c>
      <c r="J88" s="2" t="str">
        <f>IFERROR(__xludf.DUMMYFUNCTION("""COMPUTED_VALUE"""),"RTS100238")</f>
        <v>RTS100238</v>
      </c>
      <c r="K88" s="2" t="str">
        <f>IFERROR(__xludf.DUMMYFUNCTION("""COMPUTED_VALUE"""),"R-SERIES-022PH")</f>
        <v>R-SERIES-022PH</v>
      </c>
      <c r="L88" s="2" t="str">
        <f>IFERROR(__xludf.DUMMYFUNCTION("""COMPUTED_VALUE"""),"LSGW 1750 RMP 24020431")</f>
        <v>LSGW 1750 RMP 24020431</v>
      </c>
      <c r="M88" s="2" t="str">
        <f>IFERROR(__xludf.DUMMYFUNCTION("""COMPUTED_VALUE"""),"WDP40 RMP 24020222")</f>
        <v>WDP40 RMP 24020222</v>
      </c>
      <c r="N88" s="2"/>
      <c r="O88" s="2" t="str">
        <f>IFERROR(__xludf.DUMMYFUNCTION("""COMPUTED_VALUE"""),"Poblacion Guitna")</f>
        <v>Poblacion Guitna</v>
      </c>
      <c r="P88" s="2" t="str">
        <f>IFERROR(__xludf.DUMMYFUNCTION("""COMPUTED_VALUE"""),"Looc")</f>
        <v>Looc</v>
      </c>
      <c r="Q88" s="2" t="str">
        <f>IFERROR(__xludf.DUMMYFUNCTION("""COMPUTED_VALUE"""),"Occidental Mindoro")</f>
        <v>Occidental Mindoro</v>
      </c>
      <c r="R88" s="2" t="str">
        <f>IFERROR(__xludf.DUMMYFUNCTION("""COMPUTED_VALUE"""),"4B")</f>
        <v>4B</v>
      </c>
      <c r="S88" s="2"/>
      <c r="T88" s="2"/>
    </row>
    <row r="89">
      <c r="A89" s="1">
        <f>IFERROR(__xludf.DUMMYFUNCTION("""COMPUTED_VALUE"""),87.0)</f>
        <v>87</v>
      </c>
      <c r="B89" s="2" t="str">
        <f>IFERROR(__xludf.DUMMYFUNCTION("""COMPUTED_VALUE"""),"BRGY. VIGO-DANGAY FARMERS IRRIGATORS ASSOCIATION INC.")</f>
        <v>BRGY. VIGO-DANGAY FARMERS IRRIGATORS ASSOCIATION INC.</v>
      </c>
      <c r="C89" s="2" t="str">
        <f>IFERROR(__xludf.DUMMYFUNCTION("""COMPUTED_VALUE"""),"VIGO, LUBANG, OCCIDENTAL MINDORO")</f>
        <v>VIGO, LUBANG, OCCIDENTAL MINDORO</v>
      </c>
      <c r="D89" s="2" t="str">
        <f>IFERROR(__xludf.DUMMYFUNCTION("""COMPUTED_VALUE"""),"Abelardo P. De Lemos, Jr.")</f>
        <v>Abelardo P. De Lemos, Jr.</v>
      </c>
      <c r="E89" s="2" t="str">
        <f>IFERROR(__xludf.DUMMYFUNCTION("""COMPUTED_VALUE"""),"0999 423 2211")</f>
        <v>0999 423 2211</v>
      </c>
      <c r="F89" s="2" t="str">
        <f>IFERROR(__xludf.DUMMYFUNCTION("""COMPUTED_VALUE"""),"RCEF 23-08-20 Rebidding")</f>
        <v>RCEF 23-08-20 Rebidding</v>
      </c>
      <c r="G89" s="2">
        <f>IFERROR(__xludf.DUMMYFUNCTION("""COMPUTED_VALUE"""),1.0)</f>
        <v>1</v>
      </c>
      <c r="H89" s="2">
        <f>IFERROR(__xludf.DUMMYFUNCTION("""COMPUTED_VALUE"""),18892.0)</f>
        <v>18892</v>
      </c>
      <c r="I89" s="2" t="str">
        <f>IFERROR(__xludf.DUMMYFUNCTION("""COMPUTED_VALUE"""),"KMC5825AJRFPV0438")</f>
        <v>KMC5825AJRFPV0438</v>
      </c>
      <c r="J89" s="2" t="str">
        <f>IFERROR(__xludf.DUMMYFUNCTION("""COMPUTED_VALUE"""),"RTS100221")</f>
        <v>RTS100221</v>
      </c>
      <c r="K89" s="2" t="str">
        <f>IFERROR(__xludf.DUMMYFUNCTION("""COMPUTED_VALUE"""),"R SERIES 133PH")</f>
        <v>R SERIES 133PH</v>
      </c>
      <c r="L89" s="2" t="str">
        <f>IFERROR(__xludf.DUMMYFUNCTION("""COMPUTED_VALUE"""),"LSGW 1750 RMP 24020411")</f>
        <v>LSGW 1750 RMP 24020411</v>
      </c>
      <c r="M89" s="2" t="str">
        <f>IFERROR(__xludf.DUMMYFUNCTION("""COMPUTED_VALUE"""),"WDP40 RMP 24020223")</f>
        <v>WDP40 RMP 24020223</v>
      </c>
      <c r="N89" s="2"/>
      <c r="O89" s="2" t="str">
        <f>IFERROR(__xludf.DUMMYFUNCTION("""COMPUTED_VALUE"""),"Vigo")</f>
        <v>Vigo</v>
      </c>
      <c r="P89" s="2" t="str">
        <f>IFERROR(__xludf.DUMMYFUNCTION("""COMPUTED_VALUE"""),"Lubang")</f>
        <v>Lubang</v>
      </c>
      <c r="Q89" s="2" t="str">
        <f>IFERROR(__xludf.DUMMYFUNCTION("""COMPUTED_VALUE"""),"Occidental Mindoro")</f>
        <v>Occidental Mindoro</v>
      </c>
      <c r="R89" s="2" t="str">
        <f>IFERROR(__xludf.DUMMYFUNCTION("""COMPUTED_VALUE"""),"4B")</f>
        <v>4B</v>
      </c>
      <c r="S89" s="2"/>
      <c r="T89" s="2"/>
    </row>
    <row r="90">
      <c r="A90" s="1">
        <f>IFERROR(__xludf.DUMMYFUNCTION("""COMPUTED_VALUE"""),88.0)</f>
        <v>88</v>
      </c>
      <c r="B90" s="2" t="str">
        <f>IFERROR(__xludf.DUMMYFUNCTION("""COMPUTED_VALUE"""),"CORON FARMER'S FEDERATION")</f>
        <v>CORON FARMER'S FEDERATION</v>
      </c>
      <c r="C90" s="2" t="str">
        <f>IFERROR(__xludf.DUMMYFUNCTION("""COMPUTED_VALUE"""),"Borac, Coron, Palawan")</f>
        <v>Borac, Coron, Palawan</v>
      </c>
      <c r="D90" s="2" t="str">
        <f>IFERROR(__xludf.DUMMYFUNCTION("""COMPUTED_VALUE"""),"Numeriano Echague")</f>
        <v>Numeriano Echague</v>
      </c>
      <c r="E90" s="2" t="str">
        <f>IFERROR(__xludf.DUMMYFUNCTION("""COMPUTED_VALUE"""),"0975 848 5785")</f>
        <v>0975 848 5785</v>
      </c>
      <c r="F90" s="2" t="str">
        <f>IFERROR(__xludf.DUMMYFUNCTION("""COMPUTED_VALUE"""),"RCEF 23-08-20 Rebidding")</f>
        <v>RCEF 23-08-20 Rebidding</v>
      </c>
      <c r="G90" s="2">
        <f>IFERROR(__xludf.DUMMYFUNCTION("""COMPUTED_VALUE"""),1.0)</f>
        <v>1</v>
      </c>
      <c r="H90" s="2"/>
      <c r="I90" s="2" t="str">
        <f>IFERROR(__xludf.DUMMYFUNCTION("""COMPUTED_VALUE"""),"KMC5825 AARFPY0394")</f>
        <v>KMC5825 AARFPY0394</v>
      </c>
      <c r="J90" s="2" t="str">
        <f>IFERROR(__xludf.DUMMYFUNCTION("""COMPUTED_VALUE"""),"RTS100299")</f>
        <v>RTS100299</v>
      </c>
      <c r="K90" s="2" t="str">
        <f>IFERROR(__xludf.DUMMYFUNCTION("""COMPUTED_VALUE"""),"R-SERIES 403 PH")</f>
        <v>R-SERIES 403 PH</v>
      </c>
      <c r="L90" s="2" t="str">
        <f>IFERROR(__xludf.DUMMYFUNCTION("""COMPUTED_VALUE"""),"LSGW 1750 RMP 24020531")</f>
        <v>LSGW 1750 RMP 24020531</v>
      </c>
      <c r="M90" s="2" t="str">
        <f>IFERROR(__xludf.DUMMYFUNCTION("""COMPUTED_VALUE"""),"WDP40 RMP 24020248")</f>
        <v>WDP40 RMP 24020248</v>
      </c>
      <c r="N90" s="2"/>
      <c r="O90" s="2" t="str">
        <f>IFERROR(__xludf.DUMMYFUNCTION("""COMPUTED_VALUE"""),"Borac")</f>
        <v>Borac</v>
      </c>
      <c r="P90" s="2" t="str">
        <f>IFERROR(__xludf.DUMMYFUNCTION("""COMPUTED_VALUE"""),"Coron")</f>
        <v>Coron</v>
      </c>
      <c r="Q90" s="2" t="str">
        <f>IFERROR(__xludf.DUMMYFUNCTION("""COMPUTED_VALUE"""),"Palawan")</f>
        <v>Palawan</v>
      </c>
      <c r="R90" s="2" t="str">
        <f>IFERROR(__xludf.DUMMYFUNCTION("""COMPUTED_VALUE"""),"4B")</f>
        <v>4B</v>
      </c>
      <c r="S90" s="2"/>
      <c r="T90" s="2"/>
    </row>
    <row r="91">
      <c r="A91" s="1">
        <f>IFERROR(__xludf.DUMMYFUNCTION("""COMPUTED_VALUE"""),89.0)</f>
        <v>89</v>
      </c>
      <c r="B91" s="2" t="str">
        <f>IFERROR(__xludf.DUMMYFUNCTION("""COMPUTED_VALUE"""),"KULTIHAN-KAMPUKLO-TUBUHAN-POOK (KTTP) FARMERS ASSOCIATION")</f>
        <v>KULTIHAN-KAMPUKLO-TUBUHAN-POOK (KTTP) FARMERS ASSOCIATION</v>
      </c>
      <c r="C91" s="2" t="str">
        <f>IFERROR(__xludf.DUMMYFUNCTION("""COMPUTED_VALUE"""),"Buenavista West, Candelaria, Quezon")</f>
        <v>Buenavista West, Candelaria, Quezon</v>
      </c>
      <c r="D91" s="2" t="str">
        <f>IFERROR(__xludf.DUMMYFUNCTION("""COMPUTED_VALUE"""),"Eladio C. Mercado")</f>
        <v>Eladio C. Mercado</v>
      </c>
      <c r="E91" s="2" t="str">
        <f>IFERROR(__xludf.DUMMYFUNCTION("""COMPUTED_VALUE"""),"0951 731 5092")</f>
        <v>0951 731 5092</v>
      </c>
      <c r="F91" s="2" t="str">
        <f>IFERROR(__xludf.DUMMYFUNCTION("""COMPUTED_VALUE"""),"RCEF 23-08-20 Rebidding")</f>
        <v>RCEF 23-08-20 Rebidding</v>
      </c>
      <c r="G91" s="2">
        <f>IFERROR(__xludf.DUMMYFUNCTION("""COMPUTED_VALUE"""),1.0)</f>
        <v>1</v>
      </c>
      <c r="H91" s="2"/>
      <c r="I91" s="2" t="str">
        <f>IFERROR(__xludf.DUMMYFUNCTION("""COMPUTED_VALUE"""),"KMC5825AERFPV0352")</f>
        <v>KMC5825AERFPV0352</v>
      </c>
      <c r="J91" s="2" t="str">
        <f>IFERROR(__xludf.DUMMYFUNCTION("""COMPUTED_VALUE"""),"RTS100232")</f>
        <v>RTS100232</v>
      </c>
      <c r="K91" s="2" t="str">
        <f>IFERROR(__xludf.DUMMYFUNCTION("""COMPUTED_VALUE"""),"R SERIES 439 PH")</f>
        <v>R SERIES 439 PH</v>
      </c>
      <c r="L91" s="2" t="str">
        <f>IFERROR(__xludf.DUMMYFUNCTION("""COMPUTED_VALUE"""),"LSGW 1750 RMP 24020481")</f>
        <v>LSGW 1750 RMP 24020481</v>
      </c>
      <c r="M91" s="2" t="str">
        <f>IFERROR(__xludf.DUMMYFUNCTION("""COMPUTED_VALUE"""),"WDP 40 RMP 24020239")</f>
        <v>WDP 40 RMP 24020239</v>
      </c>
      <c r="N91" s="2"/>
      <c r="O91" s="2" t="str">
        <f>IFERROR(__xludf.DUMMYFUNCTION("""COMPUTED_VALUE"""),"Buenavista West")</f>
        <v>Buenavista West</v>
      </c>
      <c r="P91" s="2" t="str">
        <f>IFERROR(__xludf.DUMMYFUNCTION("""COMPUTED_VALUE"""),"Candelaria")</f>
        <v>Candelaria</v>
      </c>
      <c r="Q91" s="2" t="str">
        <f>IFERROR(__xludf.DUMMYFUNCTION("""COMPUTED_VALUE"""),"Quezon")</f>
        <v>Quezon</v>
      </c>
      <c r="R91" s="2" t="str">
        <f>IFERROR(__xludf.DUMMYFUNCTION("""COMPUTED_VALUE"""),"4A")</f>
        <v>4A</v>
      </c>
      <c r="S91" s="2"/>
      <c r="T91" s="2"/>
    </row>
    <row r="92">
      <c r="A92" s="1">
        <f>IFERROR(__xludf.DUMMYFUNCTION("""COMPUTED_VALUE"""),90.0)</f>
        <v>90</v>
      </c>
      <c r="B92" s="2" t="str">
        <f>IFERROR(__xludf.DUMMYFUNCTION("""COMPUTED_VALUE"""),"THE FARMERS OF LUNA AGRICULTURE COOPERATIVE")</f>
        <v>THE FARMERS OF LUNA AGRICULTURE COOPERATIVE</v>
      </c>
      <c r="C92" s="2" t="str">
        <f>IFERROR(__xludf.DUMMYFUNCTION("""COMPUTED_VALUE"""),"Centro 2, Luna, Isabela")</f>
        <v>Centro 2, Luna, Isabela</v>
      </c>
      <c r="D92" s="2" t="str">
        <f>IFERROR(__xludf.DUMMYFUNCTION("""COMPUTED_VALUE"""),"Edgar A. Diniega")</f>
        <v>Edgar A. Diniega</v>
      </c>
      <c r="E92" s="2">
        <f>IFERROR(__xludf.DUMMYFUNCTION("""COMPUTED_VALUE"""),9.656732717E9)</f>
        <v>9656732717</v>
      </c>
      <c r="F92" s="2" t="str">
        <f>IFERROR(__xludf.DUMMYFUNCTION("""COMPUTED_VALUE"""),"RCEF 23-09-21 Rebidding")</f>
        <v>RCEF 23-09-21 Rebidding</v>
      </c>
      <c r="G92" s="2">
        <f>IFERROR(__xludf.DUMMYFUNCTION("""COMPUTED_VALUE"""),9.0)</f>
        <v>9</v>
      </c>
      <c r="H92" s="2">
        <f>IFERROR(__xludf.DUMMYFUNCTION("""COMPUTED_VALUE"""),17369.0)</f>
        <v>17369</v>
      </c>
      <c r="I92" s="2" t="str">
        <f>IFERROR(__xludf.DUMMYFUNCTION("""COMPUTED_VALUE"""),"KMC 5825 ACPFPV0034")</f>
        <v>KMC 5825 ACPFPV0034</v>
      </c>
      <c r="J92" s="2" t="str">
        <f>IFERROR(__xludf.DUMMYFUNCTION("""COMPUTED_VALUE"""),"PTS100004")</f>
        <v>PTS100004</v>
      </c>
      <c r="K92" s="2" t="str">
        <f>IFERROR(__xludf.DUMMYFUNCTION("""COMPUTED_VALUE"""),"HL 22R005")</f>
        <v>HL 22R005</v>
      </c>
      <c r="L92" s="2" t="str">
        <f>IFERROR(__xludf.DUMMYFUNCTION("""COMPUTED_VALUE"""),"WR LSGW 0019")</f>
        <v>WR LSGW 0019</v>
      </c>
      <c r="M92" s="2" t="str">
        <f>IFERROR(__xludf.DUMMYFUNCTION("""COMPUTED_VALUE"""),"WDP40 RMP 24010055")</f>
        <v>WDP40 RMP 24010055</v>
      </c>
      <c r="N92" s="2"/>
      <c r="O92" s="2" t="str">
        <f>IFERROR(__xludf.DUMMYFUNCTION("""COMPUTED_VALUE"""),"Centro 2")</f>
        <v>Centro 2</v>
      </c>
      <c r="P92" s="2" t="str">
        <f>IFERROR(__xludf.DUMMYFUNCTION("""COMPUTED_VALUE"""),"Luna")</f>
        <v>Luna</v>
      </c>
      <c r="Q92" s="2" t="str">
        <f>IFERROR(__xludf.DUMMYFUNCTION("""COMPUTED_VALUE"""),"Isabela")</f>
        <v>Isabela</v>
      </c>
      <c r="R92" s="2">
        <f>IFERROR(__xludf.DUMMYFUNCTION("""COMPUTED_VALUE"""),2.0)</f>
        <v>2</v>
      </c>
      <c r="S92" s="2"/>
      <c r="T92" s="2"/>
    </row>
    <row r="93">
      <c r="A93" s="1">
        <f>IFERROR(__xludf.DUMMYFUNCTION("""COMPUTED_VALUE"""),91.0)</f>
        <v>91</v>
      </c>
      <c r="B93" s="2" t="str">
        <f>IFERROR(__xludf.DUMMYFUNCTION("""COMPUTED_VALUE"""),"BARANGAY CABANNUNGAN FARMERS ASSOCIATION")</f>
        <v>BARANGAY CABANNUNGAN FARMERS ASSOCIATION</v>
      </c>
      <c r="C93" s="2" t="str">
        <f>IFERROR(__xludf.DUMMYFUNCTION("""COMPUTED_VALUE"""),"Cabannungan 2nd, City of Ilagan, Isabela")</f>
        <v>Cabannungan 2nd, City of Ilagan, Isabela</v>
      </c>
      <c r="D93" s="2" t="str">
        <f>IFERROR(__xludf.DUMMYFUNCTION("""COMPUTED_VALUE"""),"Christopher M. Siriban")</f>
        <v>Christopher M. Siriban</v>
      </c>
      <c r="E93" s="2" t="str">
        <f>IFERROR(__xludf.DUMMYFUNCTION("""COMPUTED_VALUE"""),"0935-762-0492")</f>
        <v>0935-762-0492</v>
      </c>
      <c r="F93" s="2" t="str">
        <f>IFERROR(__xludf.DUMMYFUNCTION("""COMPUTED_VALUE"""),"RCEF 23-09-21 Rebidding")</f>
        <v>RCEF 23-09-21 Rebidding</v>
      </c>
      <c r="G93" s="2">
        <f>IFERROR(__xludf.DUMMYFUNCTION("""COMPUTED_VALUE"""),9.0)</f>
        <v>9</v>
      </c>
      <c r="H93" s="2">
        <f>IFERROR(__xludf.DUMMYFUNCTION("""COMPUTED_VALUE"""),17370.0)</f>
        <v>17370</v>
      </c>
      <c r="I93" s="2" t="str">
        <f>IFERROR(__xludf.DUMMYFUNCTION("""COMPUTED_VALUE"""),"KMC 5825 AEPFPV0025")</f>
        <v>KMC 5825 AEPFPV0025</v>
      </c>
      <c r="J93" s="2" t="str">
        <f>IFERROR(__xludf.DUMMYFUNCTION("""COMPUTED_VALUE"""),"PTS100038")</f>
        <v>PTS100038</v>
      </c>
      <c r="K93" s="2" t="str">
        <f>IFERROR(__xludf.DUMMYFUNCTION("""COMPUTED_VALUE"""),"HL 22R010")</f>
        <v>HL 22R010</v>
      </c>
      <c r="L93" s="2" t="str">
        <f>IFERROR(__xludf.DUMMYFUNCTION("""COMPUTED_VALUE"""),"WR LSGW 0020")</f>
        <v>WR LSGW 0020</v>
      </c>
      <c r="M93" s="2" t="str">
        <f>IFERROR(__xludf.DUMMYFUNCTION("""COMPUTED_VALUE"""),"WDP40 RMP 24010050")</f>
        <v>WDP40 RMP 24010050</v>
      </c>
      <c r="N93" s="2"/>
      <c r="O93" s="2" t="str">
        <f>IFERROR(__xludf.DUMMYFUNCTION("""COMPUTED_VALUE"""),"Cabannungan 2Nd")</f>
        <v>Cabannungan 2Nd</v>
      </c>
      <c r="P93" s="2" t="str">
        <f>IFERROR(__xludf.DUMMYFUNCTION("""COMPUTED_VALUE"""),"City Of Ilagan")</f>
        <v>City Of Ilagan</v>
      </c>
      <c r="Q93" s="2" t="str">
        <f>IFERROR(__xludf.DUMMYFUNCTION("""COMPUTED_VALUE"""),"Isabela")</f>
        <v>Isabela</v>
      </c>
      <c r="R93" s="2">
        <f>IFERROR(__xludf.DUMMYFUNCTION("""COMPUTED_VALUE"""),2.0)</f>
        <v>2</v>
      </c>
      <c r="S93" s="2"/>
      <c r="T93" s="2"/>
    </row>
    <row r="94">
      <c r="A94" s="1">
        <f>IFERROR(__xludf.DUMMYFUNCTION("""COMPUTED_VALUE"""),92.0)</f>
        <v>92</v>
      </c>
      <c r="B94" s="2" t="str">
        <f>IFERROR(__xludf.DUMMYFUNCTION("""COMPUTED_VALUE"""),"NGABANGAB RESOURCES FARMERS ASSOCIATION")</f>
        <v>NGABANGAB RESOURCES FARMERS ASSOCIATION</v>
      </c>
      <c r="C94" s="2" t="str">
        <f>IFERROR(__xludf.DUMMYFUNCTION("""COMPUTED_VALUE"""),"NGABANGAB, PASUQUIN, ILOCOS NORTE")</f>
        <v>NGABANGAB, PASUQUIN, ILOCOS NORTE</v>
      </c>
      <c r="D94" s="2" t="str">
        <f>IFERROR(__xludf.DUMMYFUNCTION("""COMPUTED_VALUE"""),"#N/A")</f>
        <v>#N/A</v>
      </c>
      <c r="E94" s="2" t="str">
        <f>IFERROR(__xludf.DUMMYFUNCTION("""COMPUTED_VALUE"""),"#N/A")</f>
        <v>#N/A</v>
      </c>
      <c r="F94" s="2" t="str">
        <f>IFERROR(__xludf.DUMMYFUNCTION("""COMPUTED_VALUE"""),"RCEF 23-09-21 Rebidding")</f>
        <v>RCEF 23-09-21 Rebidding</v>
      </c>
      <c r="G94" s="2">
        <f>IFERROR(__xludf.DUMMYFUNCTION("""COMPUTED_VALUE"""),2.0)</f>
        <v>2</v>
      </c>
      <c r="H94" s="2">
        <f>IFERROR(__xludf.DUMMYFUNCTION("""COMPUTED_VALUE"""),17404.0)</f>
        <v>17404</v>
      </c>
      <c r="I94" s="2" t="str">
        <f>IFERROR(__xludf.DUMMYFUNCTION("""COMPUTED_VALUE"""),"KMC5825 APPFPV0031")</f>
        <v>KMC5825 APPFPV0031</v>
      </c>
      <c r="J94" s="2" t="str">
        <f>IFERROR(__xludf.DUMMYFUNCTION("""COMPUTED_VALUE"""),"RTS 1000016")</f>
        <v>RTS 1000016</v>
      </c>
      <c r="K94" s="2" t="str">
        <f>IFERROR(__xludf.DUMMYFUNCTION("""COMPUTED_VALUE"""),"R-SERIES-012 PH")</f>
        <v>R-SERIES-012 PH</v>
      </c>
      <c r="L94" s="2" t="str">
        <f>IFERROR(__xludf.DUMMYFUNCTION("""COMPUTED_VALUE"""),"LSGW -1750 -RMP- 24010121")</f>
        <v>LSGW -1750 -RMP- 24010121</v>
      </c>
      <c r="M94" s="2" t="str">
        <f>IFERROR(__xludf.DUMMYFUNCTION("""COMPUTED_VALUE"""),"WDP 0019")</f>
        <v>WDP 0019</v>
      </c>
      <c r="N94" s="2"/>
      <c r="O94" s="2" t="str">
        <f>IFERROR(__xludf.DUMMYFUNCTION("""COMPUTED_VALUE"""),"Ngabangab")</f>
        <v>Ngabangab</v>
      </c>
      <c r="P94" s="2" t="str">
        <f>IFERROR(__xludf.DUMMYFUNCTION("""COMPUTED_VALUE"""),"Pasuquin")</f>
        <v>Pasuquin</v>
      </c>
      <c r="Q94" s="2" t="str">
        <f>IFERROR(__xludf.DUMMYFUNCTION("""COMPUTED_VALUE"""),"Ilocos Norte")</f>
        <v>Ilocos Norte</v>
      </c>
      <c r="R94" s="2">
        <f>IFERROR(__xludf.DUMMYFUNCTION("""COMPUTED_VALUE"""),1.0)</f>
        <v>1</v>
      </c>
      <c r="S94" s="2"/>
      <c r="T94" s="2"/>
    </row>
    <row r="95">
      <c r="A95" s="1">
        <f>IFERROR(__xludf.DUMMYFUNCTION("""COMPUTED_VALUE"""),93.0)</f>
        <v>93</v>
      </c>
      <c r="B95" s="2" t="str">
        <f>IFERROR(__xludf.DUMMYFUNCTION("""COMPUTED_VALUE"""),"PANINAAN-DAYA FARMERS ASSOCIATION INC.")</f>
        <v>PANINAAN-DAYA FARMERS ASSOCIATION INC.</v>
      </c>
      <c r="C95" s="2" t="str">
        <f>IFERROR(__xludf.DUMMYFUNCTION("""COMPUTED_VALUE"""),"PANINAAN, BACARRA, ILOCOS NORTE")</f>
        <v>PANINAAN, BACARRA, ILOCOS NORTE</v>
      </c>
      <c r="D95" s="2" t="str">
        <f>IFERROR(__xludf.DUMMYFUNCTION("""COMPUTED_VALUE"""),"Antonio T. Lomotan")</f>
        <v>Antonio T. Lomotan</v>
      </c>
      <c r="E95" s="2" t="str">
        <f>IFERROR(__xludf.DUMMYFUNCTION("""COMPUTED_VALUE"""),"0927-933-7043")</f>
        <v>0927-933-7043</v>
      </c>
      <c r="F95" s="2" t="str">
        <f>IFERROR(__xludf.DUMMYFUNCTION("""COMPUTED_VALUE"""),"RCEF 23-09-21 Rebidding")</f>
        <v>RCEF 23-09-21 Rebidding</v>
      </c>
      <c r="G95" s="2">
        <f>IFERROR(__xludf.DUMMYFUNCTION("""COMPUTED_VALUE"""),2.0)</f>
        <v>2</v>
      </c>
      <c r="H95" s="2">
        <f>IFERROR(__xludf.DUMMYFUNCTION("""COMPUTED_VALUE"""),17405.0)</f>
        <v>17405</v>
      </c>
      <c r="I95" s="2" t="str">
        <f>IFERROR(__xludf.DUMMYFUNCTION("""COMPUTED_VALUE"""),"KMC5825 AKPFPV0016")</f>
        <v>KMC5825 AKPFPV0016</v>
      </c>
      <c r="J95" s="2" t="str">
        <f>IFERROR(__xludf.DUMMYFUNCTION("""COMPUTED_VALUE"""),"RTS 1000017")</f>
        <v>RTS 1000017</v>
      </c>
      <c r="K95" s="2" t="str">
        <f>IFERROR(__xludf.DUMMYFUNCTION("""COMPUTED_VALUE"""),"RSERIES-014PH")</f>
        <v>RSERIES-014PH</v>
      </c>
      <c r="L95" s="2" t="str">
        <f>IFERROR(__xludf.DUMMYFUNCTION("""COMPUTED_VALUE"""),"LSGW -1750 -RMP- 24010126")</f>
        <v>LSGW -1750 -RMP- 24010126</v>
      </c>
      <c r="M95" s="2" t="str">
        <f>IFERROR(__xludf.DUMMYFUNCTION("""COMPUTED_VALUE"""),"WDP 0020")</f>
        <v>WDP 0020</v>
      </c>
      <c r="N95" s="2"/>
      <c r="O95" s="2" t="str">
        <f>IFERROR(__xludf.DUMMYFUNCTION("""COMPUTED_VALUE"""),"Paninaan")</f>
        <v>Paninaan</v>
      </c>
      <c r="P95" s="2" t="str">
        <f>IFERROR(__xludf.DUMMYFUNCTION("""COMPUTED_VALUE"""),"Bacarra")</f>
        <v>Bacarra</v>
      </c>
      <c r="Q95" s="2" t="str">
        <f>IFERROR(__xludf.DUMMYFUNCTION("""COMPUTED_VALUE"""),"Ilocos Norte")</f>
        <v>Ilocos Norte</v>
      </c>
      <c r="R95" s="2">
        <f>IFERROR(__xludf.DUMMYFUNCTION("""COMPUTED_VALUE"""),1.0)</f>
        <v>1</v>
      </c>
      <c r="S95" s="2"/>
      <c r="T95" s="2"/>
    </row>
    <row r="96">
      <c r="A96" s="1">
        <f>IFERROR(__xludf.DUMMYFUNCTION("""COMPUTED_VALUE"""),94.0)</f>
        <v>94</v>
      </c>
      <c r="B96" s="2" t="str">
        <f>IFERROR(__xludf.DUMMYFUNCTION("""COMPUTED_VALUE"""),"62A NAVOTAS FARMERS ASSOCIATION INCORPORATED")</f>
        <v>62A NAVOTAS FARMERS ASSOCIATION INCORPORATED</v>
      </c>
      <c r="C96" s="2" t="str">
        <f>IFERROR(__xludf.DUMMYFUNCTION("""COMPUTED_VALUE"""),"62A- NAVOTAS NORTH, LAOAG CITY, ILOCOS NORTE")</f>
        <v>62A- NAVOTAS NORTH, LAOAG CITY, ILOCOS NORTE</v>
      </c>
      <c r="D96" s="2" t="str">
        <f>IFERROR(__xludf.DUMMYFUNCTION("""COMPUTED_VALUE"""),"#N/A")</f>
        <v>#N/A</v>
      </c>
      <c r="E96" s="2" t="str">
        <f>IFERROR(__xludf.DUMMYFUNCTION("""COMPUTED_VALUE"""),"#N/A")</f>
        <v>#N/A</v>
      </c>
      <c r="F96" s="2" t="str">
        <f>IFERROR(__xludf.DUMMYFUNCTION("""COMPUTED_VALUE"""),"RCEF 23-09-21 Rebidding")</f>
        <v>RCEF 23-09-21 Rebidding</v>
      </c>
      <c r="G96" s="2">
        <f>IFERROR(__xludf.DUMMYFUNCTION("""COMPUTED_VALUE"""),2.0)</f>
        <v>2</v>
      </c>
      <c r="H96" s="2">
        <f>IFERROR(__xludf.DUMMYFUNCTION("""COMPUTED_VALUE"""),17406.0)</f>
        <v>17406</v>
      </c>
      <c r="I96" s="2" t="str">
        <f>IFERROR(__xludf.DUMMYFUNCTION("""COMPUTED_VALUE"""),"KMC5825 ALPFPV0006")</f>
        <v>KMC5825 ALPFPV0006</v>
      </c>
      <c r="J96" s="2" t="str">
        <f>IFERROR(__xludf.DUMMYFUNCTION("""COMPUTED_VALUE"""),"RTS 100007")</f>
        <v>RTS 100007</v>
      </c>
      <c r="K96" s="2" t="str">
        <f>IFERROR(__xludf.DUMMYFUNCTION("""COMPUTED_VALUE"""),"HL 22R009")</f>
        <v>HL 22R009</v>
      </c>
      <c r="L96" s="2" t="str">
        <f>IFERROR(__xludf.DUMMYFUNCTION("""COMPUTED_VALUE"""),"LSGW -1750 -RMP- 24010209")</f>
        <v>LSGW -1750 -RMP- 24010209</v>
      </c>
      <c r="M96" s="2" t="str">
        <f>IFERROR(__xludf.DUMMYFUNCTION("""COMPUTED_VALUE"""),"WDP 0021")</f>
        <v>WDP 0021</v>
      </c>
      <c r="N96" s="2"/>
      <c r="O96" s="2" t="str">
        <f>IFERROR(__xludf.DUMMYFUNCTION("""COMPUTED_VALUE"""),"62A- Navotas North")</f>
        <v>62A- Navotas North</v>
      </c>
      <c r="P96" s="2" t="str">
        <f>IFERROR(__xludf.DUMMYFUNCTION("""COMPUTED_VALUE"""),"Laoag City")</f>
        <v>Laoag City</v>
      </c>
      <c r="Q96" s="2" t="str">
        <f>IFERROR(__xludf.DUMMYFUNCTION("""COMPUTED_VALUE"""),"Ilocos Norte")</f>
        <v>Ilocos Norte</v>
      </c>
      <c r="R96" s="2">
        <f>IFERROR(__xludf.DUMMYFUNCTION("""COMPUTED_VALUE"""),1.0)</f>
        <v>1</v>
      </c>
      <c r="S96" s="2"/>
      <c r="T96" s="2"/>
    </row>
    <row r="97">
      <c r="A97" s="1">
        <f>IFERROR(__xludf.DUMMYFUNCTION("""COMPUTED_VALUE"""),95.0)</f>
        <v>95</v>
      </c>
      <c r="B97" s="2" t="str">
        <f>IFERROR(__xludf.DUMMYFUNCTION("""COMPUTED_VALUE"""),"MAKALIGAYA IRRIGATORS ASSOCIATION INC.")</f>
        <v>MAKALIGAYA IRRIGATORS ASSOCIATION INC.</v>
      </c>
      <c r="C97" s="2" t="str">
        <f>IFERROR(__xludf.DUMMYFUNCTION("""COMPUTED_VALUE"""),"Maligaya, Science City of Munoz, Nueva Ecija")</f>
        <v>Maligaya, Science City of Munoz, Nueva Ecija</v>
      </c>
      <c r="D97" s="2" t="str">
        <f>IFERROR(__xludf.DUMMYFUNCTION("""COMPUTED_VALUE"""),"Ben Gagelonia")</f>
        <v>Ben Gagelonia</v>
      </c>
      <c r="E97" s="2" t="str">
        <f>IFERROR(__xludf.DUMMYFUNCTION("""COMPUTED_VALUE"""),"0995-945-0742")</f>
        <v>0995-945-0742</v>
      </c>
      <c r="F97" s="2" t="str">
        <f>IFERROR(__xludf.DUMMYFUNCTION("""COMPUTED_VALUE"""),"RCEF 23-09-21 Rebidding")</f>
        <v>RCEF 23-09-21 Rebidding</v>
      </c>
      <c r="G97" s="2">
        <f>IFERROR(__xludf.DUMMYFUNCTION("""COMPUTED_VALUE"""),3.0)</f>
        <v>3</v>
      </c>
      <c r="H97" s="2">
        <f>IFERROR(__xludf.DUMMYFUNCTION("""COMPUTED_VALUE"""),17524.0)</f>
        <v>17524</v>
      </c>
      <c r="I97" s="2" t="str">
        <f>IFERROR(__xludf.DUMMYFUNCTION("""COMPUTED_VALUE"""),"KMC 5825 AKPFPV0001")</f>
        <v>KMC 5825 AKPFPV0001</v>
      </c>
      <c r="J97" s="2" t="str">
        <f>IFERROR(__xludf.DUMMYFUNCTION("""COMPUTED_VALUE"""),"PTS100001")</f>
        <v>PTS100001</v>
      </c>
      <c r="K97" s="2" t="str">
        <f>IFERROR(__xludf.DUMMYFUNCTION("""COMPUTED_VALUE"""),"R-SERIES 002PH")</f>
        <v>R-SERIES 002PH</v>
      </c>
      <c r="L97" s="2" t="str">
        <f>IFERROR(__xludf.DUMMYFUNCTION("""COMPUTED_VALUE"""),"LSGW-RMP-2312174")</f>
        <v>LSGW-RMP-2312174</v>
      </c>
      <c r="M97" s="2" t="str">
        <f>IFERROR(__xludf.DUMMYFUNCTION("""COMPUTED_VALUE"""),"WDP-40-RMP-24010031")</f>
        <v>WDP-40-RMP-24010031</v>
      </c>
      <c r="N97" s="2"/>
      <c r="O97" s="2" t="str">
        <f>IFERROR(__xludf.DUMMYFUNCTION("""COMPUTED_VALUE"""),"Maligaya")</f>
        <v>Maligaya</v>
      </c>
      <c r="P97" s="2" t="str">
        <f>IFERROR(__xludf.DUMMYFUNCTION("""COMPUTED_VALUE"""),"Science City Of Munoz")</f>
        <v>Science City Of Munoz</v>
      </c>
      <c r="Q97" s="2" t="str">
        <f>IFERROR(__xludf.DUMMYFUNCTION("""COMPUTED_VALUE"""),"Nueva Ecija")</f>
        <v>Nueva Ecija</v>
      </c>
      <c r="R97" s="2">
        <f>IFERROR(__xludf.DUMMYFUNCTION("""COMPUTED_VALUE"""),3.0)</f>
        <v>3</v>
      </c>
      <c r="S97" s="2"/>
      <c r="T97" s="2"/>
    </row>
    <row r="98">
      <c r="A98" s="1">
        <f>IFERROR(__xludf.DUMMYFUNCTION("""COMPUTED_VALUE"""),96.0)</f>
        <v>96</v>
      </c>
      <c r="B98" s="2" t="str">
        <f>IFERROR(__xludf.DUMMYFUNCTION("""COMPUTED_VALUE"""),"MARAGOL IRRIGATORS ASSOCIATION INC.")</f>
        <v>MARAGOL IRRIGATORS ASSOCIATION INC.</v>
      </c>
      <c r="C98" s="2" t="str">
        <f>IFERROR(__xludf.DUMMYFUNCTION("""COMPUTED_VALUE"""),"Maragol, Science City of Munoz, Nueva Ecija")</f>
        <v>Maragol, Science City of Munoz, Nueva Ecija</v>
      </c>
      <c r="D98" s="2" t="str">
        <f>IFERROR(__xludf.DUMMYFUNCTION("""COMPUTED_VALUE"""),"Romulo Baustista")</f>
        <v>Romulo Baustista</v>
      </c>
      <c r="E98" s="2" t="str">
        <f>IFERROR(__xludf.DUMMYFUNCTION("""COMPUTED_VALUE"""),"0929-468-5455")</f>
        <v>0929-468-5455</v>
      </c>
      <c r="F98" s="2" t="str">
        <f>IFERROR(__xludf.DUMMYFUNCTION("""COMPUTED_VALUE"""),"RCEF 23-09-21 Rebidding")</f>
        <v>RCEF 23-09-21 Rebidding</v>
      </c>
      <c r="G98" s="2">
        <f>IFERROR(__xludf.DUMMYFUNCTION("""COMPUTED_VALUE"""),3.0)</f>
        <v>3</v>
      </c>
      <c r="H98" s="2">
        <f>IFERROR(__xludf.DUMMYFUNCTION("""COMPUTED_VALUE"""),17525.0)</f>
        <v>17525</v>
      </c>
      <c r="I98" s="2" t="str">
        <f>IFERROR(__xludf.DUMMYFUNCTION("""COMPUTED_VALUE"""),"KMC 5825 AEPFPV0011")</f>
        <v>KMC 5825 AEPFPV0011</v>
      </c>
      <c r="J98" s="2" t="str">
        <f>IFERROR(__xludf.DUMMYFUNCTION("""COMPUTED_VALUE"""),"PTS100029")</f>
        <v>PTS100029</v>
      </c>
      <c r="K98" s="2" t="str">
        <f>IFERROR(__xludf.DUMMYFUNCTION("""COMPUTED_VALUE"""),"R-SERIES 021PH")</f>
        <v>R-SERIES 021PH</v>
      </c>
      <c r="L98" s="2" t="str">
        <f>IFERROR(__xludf.DUMMYFUNCTION("""COMPUTED_VALUE"""),"LSGW1750 RMP 24010225")</f>
        <v>LSGW1750 RMP 24010225</v>
      </c>
      <c r="M98" s="2" t="str">
        <f>IFERROR(__xludf.DUMMYFUNCTION("""COMPUTED_VALUE"""),"WDP40 RMP 24050626")</f>
        <v>WDP40 RMP 24050626</v>
      </c>
      <c r="N98" s="2"/>
      <c r="O98" s="2" t="str">
        <f>IFERROR(__xludf.DUMMYFUNCTION("""COMPUTED_VALUE"""),"Maragol")</f>
        <v>Maragol</v>
      </c>
      <c r="P98" s="2" t="str">
        <f>IFERROR(__xludf.DUMMYFUNCTION("""COMPUTED_VALUE"""),"Science City Of Munoz")</f>
        <v>Science City Of Munoz</v>
      </c>
      <c r="Q98" s="2" t="str">
        <f>IFERROR(__xludf.DUMMYFUNCTION("""COMPUTED_VALUE"""),"Nueva Ecija")</f>
        <v>Nueva Ecija</v>
      </c>
      <c r="R98" s="2">
        <f>IFERROR(__xludf.DUMMYFUNCTION("""COMPUTED_VALUE"""),3.0)</f>
        <v>3</v>
      </c>
      <c r="S98" s="2"/>
      <c r="T98" s="2"/>
    </row>
    <row r="99">
      <c r="A99" s="1">
        <f>IFERROR(__xludf.DUMMYFUNCTION("""COMPUTED_VALUE"""),97.0)</f>
        <v>97</v>
      </c>
      <c r="B99" s="2" t="str">
        <f>IFERROR(__xludf.DUMMYFUNCTION("""COMPUTED_VALUE"""),"TRY ME AGRICULTURE COOPERATIVE (TMAC)")</f>
        <v>TRY ME AGRICULTURE COOPERATIVE (TMAC)</v>
      </c>
      <c r="C99" s="2" t="str">
        <f>IFERROR(__xludf.DUMMYFUNCTION("""COMPUTED_VALUE"""),"Poblacion West, Science City of Munoz, Nueva Ecija")</f>
        <v>Poblacion West, Science City of Munoz, Nueva Ecija</v>
      </c>
      <c r="D99" s="2" t="str">
        <f>IFERROR(__xludf.DUMMYFUNCTION("""COMPUTED_VALUE"""),"Sofronio G. Padua")</f>
        <v>Sofronio G. Padua</v>
      </c>
      <c r="E99" s="2" t="str">
        <f>IFERROR(__xludf.DUMMYFUNCTION("""COMPUTED_VALUE"""),"0917-988-2079")</f>
        <v>0917-988-2079</v>
      </c>
      <c r="F99" s="2" t="str">
        <f>IFERROR(__xludf.DUMMYFUNCTION("""COMPUTED_VALUE"""),"RCEF 23-09-21 Rebidding")</f>
        <v>RCEF 23-09-21 Rebidding</v>
      </c>
      <c r="G99" s="2">
        <f>IFERROR(__xludf.DUMMYFUNCTION("""COMPUTED_VALUE"""),3.0)</f>
        <v>3</v>
      </c>
      <c r="H99" s="2">
        <f>IFERROR(__xludf.DUMMYFUNCTION("""COMPUTED_VALUE"""),17526.0)</f>
        <v>17526</v>
      </c>
      <c r="I99" s="2" t="str">
        <f>IFERROR(__xludf.DUMMYFUNCTION("""COMPUTED_VALUE"""),"KMC 5825 ATPFPV0027")</f>
        <v>KMC 5825 ATPFPV0027</v>
      </c>
      <c r="J99" s="2" t="str">
        <f>IFERROR(__xludf.DUMMYFUNCTION("""COMPUTED_VALUE"""),"PTS100024")</f>
        <v>PTS100024</v>
      </c>
      <c r="K99" s="2" t="str">
        <f>IFERROR(__xludf.DUMMYFUNCTION("""COMPUTED_VALUE"""),"R-SERIES 004PH")</f>
        <v>R-SERIES 004PH</v>
      </c>
      <c r="L99" s="2" t="str">
        <f>IFERROR(__xludf.DUMMYFUNCTION("""COMPUTED_VALUE"""),"LSGW1750 RMP 24020416")</f>
        <v>LSGW1750 RMP 24020416</v>
      </c>
      <c r="M99" s="2" t="str">
        <f>IFERROR(__xludf.DUMMYFUNCTION("""COMPUTED_VALUE"""),"WDP40 RMP 24050633")</f>
        <v>WDP40 RMP 24050633</v>
      </c>
      <c r="N99" s="2"/>
      <c r="O99" s="2" t="str">
        <f>IFERROR(__xludf.DUMMYFUNCTION("""COMPUTED_VALUE"""),"Poblacion West")</f>
        <v>Poblacion West</v>
      </c>
      <c r="P99" s="2" t="str">
        <f>IFERROR(__xludf.DUMMYFUNCTION("""COMPUTED_VALUE"""),"Science City Of Munoz")</f>
        <v>Science City Of Munoz</v>
      </c>
      <c r="Q99" s="2" t="str">
        <f>IFERROR(__xludf.DUMMYFUNCTION("""COMPUTED_VALUE"""),"Nueva Ecija")</f>
        <v>Nueva Ecija</v>
      </c>
      <c r="R99" s="2">
        <f>IFERROR(__xludf.DUMMYFUNCTION("""COMPUTED_VALUE"""),3.0)</f>
        <v>3</v>
      </c>
      <c r="S99" s="2"/>
      <c r="T99" s="2"/>
    </row>
    <row r="100">
      <c r="A100" s="1">
        <f>IFERROR(__xludf.DUMMYFUNCTION("""COMPUTED_VALUE"""),98.0)</f>
        <v>98</v>
      </c>
      <c r="B100" s="2" t="str">
        <f>IFERROR(__xludf.DUMMYFUNCTION("""COMPUTED_VALUE"""),"LA PAZ FARMERS ASSOCIATION")</f>
        <v>LA PAZ FARMERS ASSOCIATION</v>
      </c>
      <c r="C100" s="2" t="str">
        <f>IFERROR(__xludf.DUMMYFUNCTION("""COMPUTED_VALUE"""),"La Paz, Magalang, PAMPANGA")</f>
        <v>La Paz, Magalang, PAMPANGA</v>
      </c>
      <c r="D100" s="2" t="str">
        <f>IFERROR(__xludf.DUMMYFUNCTION("""COMPUTED_VALUE"""),"ROLANDO P. BARTOLO")</f>
        <v>ROLANDO P. BARTOLO</v>
      </c>
      <c r="E100" s="2" t="str">
        <f>IFERROR(__xludf.DUMMYFUNCTION("""COMPUTED_VALUE"""),"0926-188-3530")</f>
        <v>0926-188-3530</v>
      </c>
      <c r="F100" s="2" t="str">
        <f>IFERROR(__xludf.DUMMYFUNCTION("""COMPUTED_VALUE"""),"RCEF 23-09-21 Rebidding")</f>
        <v>RCEF 23-09-21 Rebidding</v>
      </c>
      <c r="G100" s="2">
        <f>IFERROR(__xludf.DUMMYFUNCTION("""COMPUTED_VALUE"""),3.0)</f>
        <v>3</v>
      </c>
      <c r="H100" s="2">
        <f>IFERROR(__xludf.DUMMYFUNCTION("""COMPUTED_VALUE"""),17782.0)</f>
        <v>17782</v>
      </c>
      <c r="I100" s="2" t="str">
        <f>IFERROR(__xludf.DUMMYFUNCTION("""COMPUTED_VALUE"""),"KMC5825 AAPFPV0151")</f>
        <v>KMC5825 AAPFPV0151</v>
      </c>
      <c r="J100" s="2" t="str">
        <f>IFERROR(__xludf.DUMMYFUNCTION("""COMPUTED_VALUE"""),"PTS100089")</f>
        <v>PTS100089</v>
      </c>
      <c r="K100" s="2" t="str">
        <f>IFERROR(__xludf.DUMMYFUNCTION("""COMPUTED_VALUE"""),"R-SERIES 090PH")</f>
        <v>R-SERIES 090PH</v>
      </c>
      <c r="L100" s="2" t="str">
        <f>IFERROR(__xludf.DUMMYFUNCTION("""COMPUTED_VALUE"""),"LSGW1750-RMP-2312030")</f>
        <v>LSGW1750-RMP-2312030</v>
      </c>
      <c r="M100" s="2" t="str">
        <f>IFERROR(__xludf.DUMMYFUNCTION("""COMPUTED_VALUE"""),"WDP40-RMP-2312013")</f>
        <v>WDP40-RMP-2312013</v>
      </c>
      <c r="N100" s="2"/>
      <c r="O100" s="2" t="str">
        <f>IFERROR(__xludf.DUMMYFUNCTION("""COMPUTED_VALUE"""),"La Paz")</f>
        <v>La Paz</v>
      </c>
      <c r="P100" s="2" t="str">
        <f>IFERROR(__xludf.DUMMYFUNCTION("""COMPUTED_VALUE"""),"Magalang")</f>
        <v>Magalang</v>
      </c>
      <c r="Q100" s="2" t="str">
        <f>IFERROR(__xludf.DUMMYFUNCTION("""COMPUTED_VALUE"""),"Pampanga")</f>
        <v>Pampanga</v>
      </c>
      <c r="R100" s="2">
        <f>IFERROR(__xludf.DUMMYFUNCTION("""COMPUTED_VALUE"""),3.0)</f>
        <v>3</v>
      </c>
      <c r="S100" s="2"/>
      <c r="T100" s="2"/>
    </row>
    <row r="101">
      <c r="A101" s="1">
        <f>IFERROR(__xludf.DUMMYFUNCTION("""COMPUTED_VALUE"""),99.0)</f>
        <v>99</v>
      </c>
      <c r="B101" s="2" t="str">
        <f>IFERROR(__xludf.DUMMYFUNCTION("""COMPUTED_VALUE"""),"FARMERS ASSOCIATION OF SAN JOSE MABANGKUANG INC.")</f>
        <v>FARMERS ASSOCIATION OF SAN JOSE MABANGKUANG INC.</v>
      </c>
      <c r="C101" s="2" t="str">
        <f>IFERROR(__xludf.DUMMYFUNCTION("""COMPUTED_VALUE"""),"San Jose, Floridablanca, PAMPANGA")</f>
        <v>San Jose, Floridablanca, PAMPANGA</v>
      </c>
      <c r="D101" s="2" t="str">
        <f>IFERROR(__xludf.DUMMYFUNCTION("""COMPUTED_VALUE"""),"REMIGIO S. ICBAN")</f>
        <v>REMIGIO S. ICBAN</v>
      </c>
      <c r="E101" s="2" t="str">
        <f>IFERROR(__xludf.DUMMYFUNCTION("""COMPUTED_VALUE"""),"0910-659-5825")</f>
        <v>0910-659-5825</v>
      </c>
      <c r="F101" s="2" t="str">
        <f>IFERROR(__xludf.DUMMYFUNCTION("""COMPUTED_VALUE"""),"RCEF 23-09-21 Rebidding")</f>
        <v>RCEF 23-09-21 Rebidding</v>
      </c>
      <c r="G101" s="2">
        <f>IFERROR(__xludf.DUMMYFUNCTION("""COMPUTED_VALUE"""),3.0)</f>
        <v>3</v>
      </c>
      <c r="H101" s="2">
        <f>IFERROR(__xludf.DUMMYFUNCTION("""COMPUTED_VALUE"""),17783.0)</f>
        <v>17783</v>
      </c>
      <c r="I101" s="2" t="str">
        <f>IFERROR(__xludf.DUMMYFUNCTION("""COMPUTED_VALUE"""),"KMC5825 ALPFPV0071")</f>
        <v>KMC5825 ALPFPV0071</v>
      </c>
      <c r="J101" s="2" t="str">
        <f>IFERROR(__xludf.DUMMYFUNCTION("""COMPUTED_VALUE"""),"PTS100082")</f>
        <v>PTS100082</v>
      </c>
      <c r="K101" s="2" t="str">
        <f>IFERROR(__xludf.DUMMYFUNCTION("""COMPUTED_VALUE"""),"R-SERIES 097PH")</f>
        <v>R-SERIES 097PH</v>
      </c>
      <c r="L101" s="2" t="str">
        <f>IFERROR(__xludf.DUMMYFUNCTION("""COMPUTED_VALUE"""),"LSGW1750-RMP-2312029")</f>
        <v>LSGW1750-RMP-2312029</v>
      </c>
      <c r="M101" s="2" t="str">
        <f>IFERROR(__xludf.DUMMYFUNCTION("""COMPUTED_VALUE"""),"WDP40-RMP-2312014")</f>
        <v>WDP40-RMP-2312014</v>
      </c>
      <c r="N101" s="2"/>
      <c r="O101" s="2" t="str">
        <f>IFERROR(__xludf.DUMMYFUNCTION("""COMPUTED_VALUE"""),"San Jose")</f>
        <v>San Jose</v>
      </c>
      <c r="P101" s="2" t="str">
        <f>IFERROR(__xludf.DUMMYFUNCTION("""COMPUTED_VALUE"""),"Floridablanca")</f>
        <v>Floridablanca</v>
      </c>
      <c r="Q101" s="2" t="str">
        <f>IFERROR(__xludf.DUMMYFUNCTION("""COMPUTED_VALUE"""),"Pampanga")</f>
        <v>Pampanga</v>
      </c>
      <c r="R101" s="2">
        <f>IFERROR(__xludf.DUMMYFUNCTION("""COMPUTED_VALUE"""),3.0)</f>
        <v>3</v>
      </c>
      <c r="S101" s="2"/>
      <c r="T101" s="2"/>
    </row>
    <row r="102">
      <c r="A102" s="1">
        <f>IFERROR(__xludf.DUMMYFUNCTION("""COMPUTED_VALUE"""),100.0)</f>
        <v>100</v>
      </c>
      <c r="B102" s="2" t="str">
        <f>IFERROR(__xludf.DUMMYFUNCTION("""COMPUTED_VALUE"""),"PRADO SIONGCO RICE &amp; CORN FARMERS ASSOCIATION")</f>
        <v>PRADO SIONGCO RICE &amp; CORN FARMERS ASSOCIATION</v>
      </c>
      <c r="C102" s="2" t="str">
        <f>IFERROR(__xludf.DUMMYFUNCTION("""COMPUTED_VALUE"""),"Prado Siongco, Lubao, PAMPANGA")</f>
        <v>Prado Siongco, Lubao, PAMPANGA</v>
      </c>
      <c r="D102" s="2" t="str">
        <f>IFERROR(__xludf.DUMMYFUNCTION("""COMPUTED_VALUE"""),"EDGAR M. ROQUE")</f>
        <v>EDGAR M. ROQUE</v>
      </c>
      <c r="E102" s="2" t="str">
        <f>IFERROR(__xludf.DUMMYFUNCTION("""COMPUTED_VALUE"""),"0950-939-3306/ 0946-838-3228")</f>
        <v>0950-939-3306/ 0946-838-3228</v>
      </c>
      <c r="F102" s="2" t="str">
        <f>IFERROR(__xludf.DUMMYFUNCTION("""COMPUTED_VALUE"""),"RCEF 23-09-21 Rebidding")</f>
        <v>RCEF 23-09-21 Rebidding</v>
      </c>
      <c r="G102" s="2">
        <f>IFERROR(__xludf.DUMMYFUNCTION("""COMPUTED_VALUE"""),3.0)</f>
        <v>3</v>
      </c>
      <c r="H102" s="2">
        <f>IFERROR(__xludf.DUMMYFUNCTION("""COMPUTED_VALUE"""),17784.0)</f>
        <v>17784</v>
      </c>
      <c r="I102" s="2" t="str">
        <f>IFERROR(__xludf.DUMMYFUNCTION("""COMPUTED_VALUE"""),"KMC5825 ATPFPV0075")</f>
        <v>KMC5825 ATPFPV0075</v>
      </c>
      <c r="J102" s="2" t="str">
        <f>IFERROR(__xludf.DUMMYFUNCTION("""COMPUTED_VALUE"""),"PTS100058")</f>
        <v>PTS100058</v>
      </c>
      <c r="K102" s="2" t="str">
        <f>IFERROR(__xludf.DUMMYFUNCTION("""COMPUTED_VALUE"""),"R-SERIES 101PH")</f>
        <v>R-SERIES 101PH</v>
      </c>
      <c r="L102" s="2" t="str">
        <f>IFERROR(__xludf.DUMMYFUNCTION("""COMPUTED_VALUE"""),"LSGW1750-RMP-2312031")</f>
        <v>LSGW1750-RMP-2312031</v>
      </c>
      <c r="M102" s="2" t="str">
        <f>IFERROR(__xludf.DUMMYFUNCTION("""COMPUTED_VALUE"""),"WDP40-RMP-2312010")</f>
        <v>WDP40-RMP-2312010</v>
      </c>
      <c r="N102" s="2"/>
      <c r="O102" s="2" t="str">
        <f>IFERROR(__xludf.DUMMYFUNCTION("""COMPUTED_VALUE"""),"Prado Siongco")</f>
        <v>Prado Siongco</v>
      </c>
      <c r="P102" s="2" t="str">
        <f>IFERROR(__xludf.DUMMYFUNCTION("""COMPUTED_VALUE"""),"Lubao")</f>
        <v>Lubao</v>
      </c>
      <c r="Q102" s="2" t="str">
        <f>IFERROR(__xludf.DUMMYFUNCTION("""COMPUTED_VALUE"""),"Pampanga")</f>
        <v>Pampanga</v>
      </c>
      <c r="R102" s="2">
        <f>IFERROR(__xludf.DUMMYFUNCTION("""COMPUTED_VALUE"""),3.0)</f>
        <v>3</v>
      </c>
      <c r="S102" s="2"/>
      <c r="T102" s="2"/>
    </row>
    <row r="103">
      <c r="A103" s="1">
        <f>IFERROR(__xludf.DUMMYFUNCTION("""COMPUTED_VALUE"""),101.0)</f>
        <v>101</v>
      </c>
      <c r="B103" s="2" t="str">
        <f>IFERROR(__xludf.DUMMYFUNCTION("""COMPUTED_VALUE"""),"San Roque Farmers Agriculture Cooperative")</f>
        <v>San Roque Farmers Agriculture Cooperative</v>
      </c>
      <c r="C103" s="2" t="str">
        <f>IFERROR(__xludf.DUMMYFUNCTION("""COMPUTED_VALUE"""),"Sepung Bulaun, Porac, PAMPANGA")</f>
        <v>Sepung Bulaun, Porac, PAMPANGA</v>
      </c>
      <c r="D103" s="2" t="str">
        <f>IFERROR(__xludf.DUMMYFUNCTION("""COMPUTED_VALUE"""),"GLEN OCAMPO")</f>
        <v>GLEN OCAMPO</v>
      </c>
      <c r="E103" s="2" t="str">
        <f>IFERROR(__xludf.DUMMYFUNCTION("""COMPUTED_VALUE"""),"0908-226-1441")</f>
        <v>0908-226-1441</v>
      </c>
      <c r="F103" s="2" t="str">
        <f>IFERROR(__xludf.DUMMYFUNCTION("""COMPUTED_VALUE"""),"RCEF 23-09-21 Rebidding")</f>
        <v>RCEF 23-09-21 Rebidding</v>
      </c>
      <c r="G103" s="2">
        <f>IFERROR(__xludf.DUMMYFUNCTION("""COMPUTED_VALUE"""),3.0)</f>
        <v>3</v>
      </c>
      <c r="H103" s="2">
        <f>IFERROR(__xludf.DUMMYFUNCTION("""COMPUTED_VALUE"""),17785.0)</f>
        <v>17785</v>
      </c>
      <c r="I103" s="2" t="str">
        <f>IFERROR(__xludf.DUMMYFUNCTION("""COMPUTED_VALUE"""),"KMC5825 APPFPV0059")</f>
        <v>KMC5825 APPFPV0059</v>
      </c>
      <c r="J103" s="2" t="str">
        <f>IFERROR(__xludf.DUMMYFUNCTION("""COMPUTED_VALUE"""),"PTS100109")</f>
        <v>PTS100109</v>
      </c>
      <c r="K103" s="2" t="str">
        <f>IFERROR(__xludf.DUMMYFUNCTION("""COMPUTED_VALUE"""),"R-SERIES 093PH")</f>
        <v>R-SERIES 093PH</v>
      </c>
      <c r="L103" s="2" t="str">
        <f>IFERROR(__xludf.DUMMYFUNCTION("""COMPUTED_VALUE"""),"LSGW1750-RMP-2312035")</f>
        <v>LSGW1750-RMP-2312035</v>
      </c>
      <c r="M103" s="2" t="str">
        <f>IFERROR(__xludf.DUMMYFUNCTION("""COMPUTED_VALUE"""),"WDP40-RMP-2312022")</f>
        <v>WDP40-RMP-2312022</v>
      </c>
      <c r="N103" s="2"/>
      <c r="O103" s="2" t="str">
        <f>IFERROR(__xludf.DUMMYFUNCTION("""COMPUTED_VALUE"""),"Sepung Bulaun")</f>
        <v>Sepung Bulaun</v>
      </c>
      <c r="P103" s="2" t="str">
        <f>IFERROR(__xludf.DUMMYFUNCTION("""COMPUTED_VALUE"""),"Porac")</f>
        <v>Porac</v>
      </c>
      <c r="Q103" s="2" t="str">
        <f>IFERROR(__xludf.DUMMYFUNCTION("""COMPUTED_VALUE"""),"Pampanga")</f>
        <v>Pampanga</v>
      </c>
      <c r="R103" s="2">
        <f>IFERROR(__xludf.DUMMYFUNCTION("""COMPUTED_VALUE"""),3.0)</f>
        <v>3</v>
      </c>
      <c r="S103" s="2"/>
      <c r="T103" s="2"/>
    </row>
    <row r="104">
      <c r="A104" s="1">
        <f>IFERROR(__xludf.DUMMYFUNCTION("""COMPUTED_VALUE"""),102.0)</f>
        <v>102</v>
      </c>
      <c r="B104" s="2" t="str">
        <f>IFERROR(__xludf.DUMMYFUNCTION("""COMPUTED_VALUE"""),"ARENAS GRAIN FARMERS ASSOCIATION")</f>
        <v>ARENAS GRAIN FARMERS ASSOCIATION</v>
      </c>
      <c r="C104" s="2" t="str">
        <f>IFERROR(__xludf.DUMMYFUNCTION("""COMPUTED_VALUE"""),"Arenas, Arayat, PAMPANGA")</f>
        <v>Arenas, Arayat, PAMPANGA</v>
      </c>
      <c r="D104" s="2" t="str">
        <f>IFERROR(__xludf.DUMMYFUNCTION("""COMPUTED_VALUE"""),"DIOSDADO G. QUIZON")</f>
        <v>DIOSDADO G. QUIZON</v>
      </c>
      <c r="E104" s="2" t="str">
        <f>IFERROR(__xludf.DUMMYFUNCTION("""COMPUTED_VALUE"""),"0921-713-7513/ 0936-072-0513")</f>
        <v>0921-713-7513/ 0936-072-0513</v>
      </c>
      <c r="F104" s="2" t="str">
        <f>IFERROR(__xludf.DUMMYFUNCTION("""COMPUTED_VALUE"""),"RCEF 23-09-21 Rebidding")</f>
        <v>RCEF 23-09-21 Rebidding</v>
      </c>
      <c r="G104" s="2">
        <f>IFERROR(__xludf.DUMMYFUNCTION("""COMPUTED_VALUE"""),3.0)</f>
        <v>3</v>
      </c>
      <c r="H104" s="2">
        <f>IFERROR(__xludf.DUMMYFUNCTION("""COMPUTED_VALUE"""),17786.0)</f>
        <v>17786</v>
      </c>
      <c r="I104" s="2" t="str">
        <f>IFERROR(__xludf.DUMMYFUNCTION("""COMPUTED_VALUE"""),"KMC5825 ALPFPV0085")</f>
        <v>KMC5825 ALPFPV0085</v>
      </c>
      <c r="J104" s="2" t="str">
        <f>IFERROR(__xludf.DUMMYFUNCTION("""COMPUTED_VALUE"""),"PTS100158")</f>
        <v>PTS100158</v>
      </c>
      <c r="K104" s="2" t="str">
        <f>IFERROR(__xludf.DUMMYFUNCTION("""COMPUTED_VALUE"""),"R-SERIES 094PH")</f>
        <v>R-SERIES 094PH</v>
      </c>
      <c r="L104" s="2" t="str">
        <f>IFERROR(__xludf.DUMMYFUNCTION("""COMPUTED_VALUE"""),"LSGW1750-RMP-2312007")</f>
        <v>LSGW1750-RMP-2312007</v>
      </c>
      <c r="M104" s="2" t="str">
        <f>IFERROR(__xludf.DUMMYFUNCTION("""COMPUTED_VALUE"""),"WDP40-RMP-2312034")</f>
        <v>WDP40-RMP-2312034</v>
      </c>
      <c r="N104" s="2"/>
      <c r="O104" s="2" t="str">
        <f>IFERROR(__xludf.DUMMYFUNCTION("""COMPUTED_VALUE"""),"Arenas")</f>
        <v>Arenas</v>
      </c>
      <c r="P104" s="2" t="str">
        <f>IFERROR(__xludf.DUMMYFUNCTION("""COMPUTED_VALUE"""),"Arayat")</f>
        <v>Arayat</v>
      </c>
      <c r="Q104" s="2" t="str">
        <f>IFERROR(__xludf.DUMMYFUNCTION("""COMPUTED_VALUE"""),"Pampanga")</f>
        <v>Pampanga</v>
      </c>
      <c r="R104" s="2">
        <f>IFERROR(__xludf.DUMMYFUNCTION("""COMPUTED_VALUE"""),3.0)</f>
        <v>3</v>
      </c>
      <c r="S104" s="2"/>
      <c r="T104" s="2"/>
    </row>
    <row r="105">
      <c r="A105" s="1">
        <f>IFERROR(__xludf.DUMMYFUNCTION("""COMPUTED_VALUE"""),103.0)</f>
        <v>103</v>
      </c>
      <c r="B105" s="2" t="str">
        <f>IFERROR(__xludf.DUMMYFUNCTION("""COMPUTED_VALUE"""),"ASUSASYON NG MASISIPAG NA MAGSASAKA NG BARANGAY CAMBA INC.")</f>
        <v>ASUSASYON NG MASISIPAG NA MAGSASAKA NG BARANGAY CAMBA INC.</v>
      </c>
      <c r="C105" s="2" t="str">
        <f>IFERROR(__xludf.DUMMYFUNCTION("""COMPUTED_VALUE"""),"Kaledian (Camba), Arayat, PAMPANGA")</f>
        <v>Kaledian (Camba), Arayat, PAMPANGA</v>
      </c>
      <c r="D105" s="2" t="str">
        <f>IFERROR(__xludf.DUMMYFUNCTION("""COMPUTED_VALUE"""),"MONICA E. BESCUER")</f>
        <v>MONICA E. BESCUER</v>
      </c>
      <c r="E105" s="2" t="str">
        <f>IFERROR(__xludf.DUMMYFUNCTION("""COMPUTED_VALUE"""),"0965 138 9204")</f>
        <v>0965 138 9204</v>
      </c>
      <c r="F105" s="2" t="str">
        <f>IFERROR(__xludf.DUMMYFUNCTION("""COMPUTED_VALUE"""),"RCEF 23-09-21 Rebidding")</f>
        <v>RCEF 23-09-21 Rebidding</v>
      </c>
      <c r="G105" s="2">
        <f>IFERROR(__xludf.DUMMYFUNCTION("""COMPUTED_VALUE"""),3.0)</f>
        <v>3</v>
      </c>
      <c r="H105" s="2">
        <f>IFERROR(__xludf.DUMMYFUNCTION("""COMPUTED_VALUE"""),17787.0)</f>
        <v>17787</v>
      </c>
      <c r="I105" s="2" t="str">
        <f>IFERROR(__xludf.DUMMYFUNCTION("""COMPUTED_VALUE"""),"KMC5825 ATPFPV0044")</f>
        <v>KMC5825 ATPFPV0044</v>
      </c>
      <c r="J105" s="2" t="str">
        <f>IFERROR(__xludf.DUMMYFUNCTION("""COMPUTED_VALUE"""),"PTS100130")</f>
        <v>PTS100130</v>
      </c>
      <c r="K105" s="2" t="str">
        <f>IFERROR(__xludf.DUMMYFUNCTION("""COMPUTED_VALUE"""),"R-SERIES 088PH")</f>
        <v>R-SERIES 088PH</v>
      </c>
      <c r="L105" s="2" t="str">
        <f>IFERROR(__xludf.DUMMYFUNCTION("""COMPUTED_VALUE"""),"LSGW1750-RMP-2312032")</f>
        <v>LSGW1750-RMP-2312032</v>
      </c>
      <c r="M105" s="2" t="str">
        <f>IFERROR(__xludf.DUMMYFUNCTION("""COMPUTED_VALUE"""),"WDP40-RMP-2312020")</f>
        <v>WDP40-RMP-2312020</v>
      </c>
      <c r="N105" s="2"/>
      <c r="O105" s="2" t="str">
        <f>IFERROR(__xludf.DUMMYFUNCTION("""COMPUTED_VALUE"""),"Kaledian (Camba)")</f>
        <v>Kaledian (Camba)</v>
      </c>
      <c r="P105" s="2" t="str">
        <f>IFERROR(__xludf.DUMMYFUNCTION("""COMPUTED_VALUE"""),"Arayat")</f>
        <v>Arayat</v>
      </c>
      <c r="Q105" s="2" t="str">
        <f>IFERROR(__xludf.DUMMYFUNCTION("""COMPUTED_VALUE"""),"Pampanga")</f>
        <v>Pampanga</v>
      </c>
      <c r="R105" s="2">
        <f>IFERROR(__xludf.DUMMYFUNCTION("""COMPUTED_VALUE"""),3.0)</f>
        <v>3</v>
      </c>
      <c r="S105" s="2"/>
      <c r="T105" s="2"/>
    </row>
    <row r="106">
      <c r="A106" s="1">
        <f>IFERROR(__xludf.DUMMYFUNCTION("""COMPUTED_VALUE"""),104.0)</f>
        <v>104</v>
      </c>
      <c r="B106" s="2" t="str">
        <f>IFERROR(__xludf.DUMMYFUNCTION("""COMPUTED_VALUE"""),"GILAS BITAS FARMERS ASSOCIATION")</f>
        <v>GILAS BITAS FARMERS ASSOCIATION</v>
      </c>
      <c r="C106" s="2" t="str">
        <f>IFERROR(__xludf.DUMMYFUNCTION("""COMPUTED_VALUE"""),"San Roque Bitas, Arayat, PAMPANGA")</f>
        <v>San Roque Bitas, Arayat, PAMPANGA</v>
      </c>
      <c r="D106" s="2" t="str">
        <f>IFERROR(__xludf.DUMMYFUNCTION("""COMPUTED_VALUE"""),"MANUEL M. PARAS")</f>
        <v>MANUEL M. PARAS</v>
      </c>
      <c r="E106" s="2" t="str">
        <f>IFERROR(__xludf.DUMMYFUNCTION("""COMPUTED_VALUE"""),"0905-302-2814")</f>
        <v>0905-302-2814</v>
      </c>
      <c r="F106" s="2" t="str">
        <f>IFERROR(__xludf.DUMMYFUNCTION("""COMPUTED_VALUE"""),"RCEF 23-09-21 Rebidding")</f>
        <v>RCEF 23-09-21 Rebidding</v>
      </c>
      <c r="G106" s="2">
        <f>IFERROR(__xludf.DUMMYFUNCTION("""COMPUTED_VALUE"""),3.0)</f>
        <v>3</v>
      </c>
      <c r="H106" s="2">
        <f>IFERROR(__xludf.DUMMYFUNCTION("""COMPUTED_VALUE"""),17788.0)</f>
        <v>17788</v>
      </c>
      <c r="I106" s="2" t="str">
        <f>IFERROR(__xludf.DUMMYFUNCTION("""COMPUTED_VALUE"""),"KMC5825 ATPFPV0089")</f>
        <v>KMC5825 ATPFPV0089</v>
      </c>
      <c r="J106" s="2" t="str">
        <f>IFERROR(__xludf.DUMMYFUNCTION("""COMPUTED_VALUE"""),"PTS100121")</f>
        <v>PTS100121</v>
      </c>
      <c r="K106" s="2" t="str">
        <f>IFERROR(__xludf.DUMMYFUNCTION("""COMPUTED_VALUE"""),"R-SERIES 029PH")</f>
        <v>R-SERIES 029PH</v>
      </c>
      <c r="L106" s="2" t="str">
        <f>IFERROR(__xludf.DUMMYFUNCTION("""COMPUTED_VALUE"""),"LSGW1750-RMP-2312028")</f>
        <v>LSGW1750-RMP-2312028</v>
      </c>
      <c r="M106" s="2" t="str">
        <f>IFERROR(__xludf.DUMMYFUNCTION("""COMPUTED_VALUE"""),"WDP40-RMP-2312015")</f>
        <v>WDP40-RMP-2312015</v>
      </c>
      <c r="N106" s="2"/>
      <c r="O106" s="2" t="str">
        <f>IFERROR(__xludf.DUMMYFUNCTION("""COMPUTED_VALUE"""),"San Roque Bitas")</f>
        <v>San Roque Bitas</v>
      </c>
      <c r="P106" s="2" t="str">
        <f>IFERROR(__xludf.DUMMYFUNCTION("""COMPUTED_VALUE"""),"Arayat")</f>
        <v>Arayat</v>
      </c>
      <c r="Q106" s="2" t="str">
        <f>IFERROR(__xludf.DUMMYFUNCTION("""COMPUTED_VALUE"""),"Pampanga")</f>
        <v>Pampanga</v>
      </c>
      <c r="R106" s="2">
        <f>IFERROR(__xludf.DUMMYFUNCTION("""COMPUTED_VALUE"""),3.0)</f>
        <v>3</v>
      </c>
      <c r="S106" s="2"/>
      <c r="T106" s="2"/>
    </row>
    <row r="107">
      <c r="A107" s="1">
        <f>IFERROR(__xludf.DUMMYFUNCTION("""COMPUTED_VALUE"""),105.0)</f>
        <v>105</v>
      </c>
      <c r="B107" s="2" t="str">
        <f>IFERROR(__xludf.DUMMYFUNCTION("""COMPUTED_VALUE"""),"ABE-ABE ORTELANU BARANGAY TINAJERO ASSOCIATION INC.")</f>
        <v>ABE-ABE ORTELANU BARANGAY TINAJERO ASSOCIATION INC.</v>
      </c>
      <c r="C107" s="2" t="str">
        <f>IFERROR(__xludf.DUMMYFUNCTION("""COMPUTED_VALUE"""),"Tinajero, Bacolor, PAMPANGA")</f>
        <v>Tinajero, Bacolor, PAMPANGA</v>
      </c>
      <c r="D107" s="2" t="str">
        <f>IFERROR(__xludf.DUMMYFUNCTION("""COMPUTED_VALUE"""),"RUBILYN ALFONSO")</f>
        <v>RUBILYN ALFONSO</v>
      </c>
      <c r="E107" s="2" t="str">
        <f>IFERROR(__xludf.DUMMYFUNCTION("""COMPUTED_VALUE"""),"0951-641-4583")</f>
        <v>0951-641-4583</v>
      </c>
      <c r="F107" s="2" t="str">
        <f>IFERROR(__xludf.DUMMYFUNCTION("""COMPUTED_VALUE"""),"RCEF 23-09-21 Rebidding")</f>
        <v>RCEF 23-09-21 Rebidding</v>
      </c>
      <c r="G107" s="2">
        <f>IFERROR(__xludf.DUMMYFUNCTION("""COMPUTED_VALUE"""),3.0)</f>
        <v>3</v>
      </c>
      <c r="H107" s="2">
        <f>IFERROR(__xludf.DUMMYFUNCTION("""COMPUTED_VALUE"""),17789.0)</f>
        <v>17789</v>
      </c>
      <c r="I107" s="2" t="str">
        <f>IFERROR(__xludf.DUMMYFUNCTION("""COMPUTED_VALUE"""),"KMC5825 AEPFPV0087")</f>
        <v>KMC5825 AEPFPV0087</v>
      </c>
      <c r="J107" s="2" t="str">
        <f>IFERROR(__xludf.DUMMYFUNCTION("""COMPUTED_VALUE"""),"PTS100123")</f>
        <v>PTS100123</v>
      </c>
      <c r="K107" s="2" t="str">
        <f>IFERROR(__xludf.DUMMYFUNCTION("""COMPUTED_VALUE"""),"R-SERIES 104PH")</f>
        <v>R-SERIES 104PH</v>
      </c>
      <c r="L107" s="2" t="str">
        <f>IFERROR(__xludf.DUMMYFUNCTION("""COMPUTED_VALUE"""),"LSGW1750-RMP-2312038")</f>
        <v>LSGW1750-RMP-2312038</v>
      </c>
      <c r="M107" s="2" t="str">
        <f>IFERROR(__xludf.DUMMYFUNCTION("""COMPUTED_VALUE"""),"WDP40-RMP-2312008")</f>
        <v>WDP40-RMP-2312008</v>
      </c>
      <c r="N107" s="2"/>
      <c r="O107" s="2" t="str">
        <f>IFERROR(__xludf.DUMMYFUNCTION("""COMPUTED_VALUE"""),"Tinajero")</f>
        <v>Tinajero</v>
      </c>
      <c r="P107" s="2" t="str">
        <f>IFERROR(__xludf.DUMMYFUNCTION("""COMPUTED_VALUE"""),"Bacolor")</f>
        <v>Bacolor</v>
      </c>
      <c r="Q107" s="2" t="str">
        <f>IFERROR(__xludf.DUMMYFUNCTION("""COMPUTED_VALUE"""),"Pampanga")</f>
        <v>Pampanga</v>
      </c>
      <c r="R107" s="2">
        <f>IFERROR(__xludf.DUMMYFUNCTION("""COMPUTED_VALUE"""),3.0)</f>
        <v>3</v>
      </c>
      <c r="S107" s="2"/>
      <c r="T107" s="2"/>
    </row>
    <row r="108">
      <c r="A108" s="1">
        <f>IFERROR(__xludf.DUMMYFUNCTION("""COMPUTED_VALUE"""),106.0)</f>
        <v>106</v>
      </c>
      <c r="B108" s="2" t="str">
        <f>IFERROR(__xludf.DUMMYFUNCTION("""COMPUTED_VALUE"""),"SVMEX Farmers Association Inc.")</f>
        <v>SVMEX Farmers Association Inc.</v>
      </c>
      <c r="C108" s="2" t="str">
        <f>IFERROR(__xludf.DUMMYFUNCTION("""COMPUTED_VALUE"""),"San Vicente, Mexico, PAMPANGA")</f>
        <v>San Vicente, Mexico, PAMPANGA</v>
      </c>
      <c r="D108" s="2" t="str">
        <f>IFERROR(__xludf.DUMMYFUNCTION("""COMPUTED_VALUE"""),"VALENTINO E. ALLAS")</f>
        <v>VALENTINO E. ALLAS</v>
      </c>
      <c r="E108" s="2" t="str">
        <f>IFERROR(__xludf.DUMMYFUNCTION("""COMPUTED_VALUE"""),"0927-872-9371")</f>
        <v>0927-872-9371</v>
      </c>
      <c r="F108" s="2" t="str">
        <f>IFERROR(__xludf.DUMMYFUNCTION("""COMPUTED_VALUE"""),"RCEF 23-09-21 Rebidding")</f>
        <v>RCEF 23-09-21 Rebidding</v>
      </c>
      <c r="G108" s="2">
        <f>IFERROR(__xludf.DUMMYFUNCTION("""COMPUTED_VALUE"""),3.0)</f>
        <v>3</v>
      </c>
      <c r="H108" s="2">
        <f>IFERROR(__xludf.DUMMYFUNCTION("""COMPUTED_VALUE"""),17790.0)</f>
        <v>17790</v>
      </c>
      <c r="I108" s="2" t="str">
        <f>IFERROR(__xludf.DUMMYFUNCTION("""COMPUTED_VALUE"""),"KMC5825 AEPFPV0056")</f>
        <v>KMC5825 AEPFPV0056</v>
      </c>
      <c r="J108" s="2" t="str">
        <f>IFERROR(__xludf.DUMMYFUNCTION("""COMPUTED_VALUE"""),"PTS100131")</f>
        <v>PTS100131</v>
      </c>
      <c r="K108" s="2" t="str">
        <f>IFERROR(__xludf.DUMMYFUNCTION("""COMPUTED_VALUE"""),"R-SERIES 098PH")</f>
        <v>R-SERIES 098PH</v>
      </c>
      <c r="L108" s="2" t="str">
        <f>IFERROR(__xludf.DUMMYFUNCTION("""COMPUTED_VALUE"""),"LSGW1750-RMP-2312009")</f>
        <v>LSGW1750-RMP-2312009</v>
      </c>
      <c r="M108" s="2" t="str">
        <f>IFERROR(__xludf.DUMMYFUNCTION("""COMPUTED_VALUE"""),"WDP40-RMP-2312030")</f>
        <v>WDP40-RMP-2312030</v>
      </c>
      <c r="N108" s="2"/>
      <c r="O108" s="2" t="str">
        <f>IFERROR(__xludf.DUMMYFUNCTION("""COMPUTED_VALUE"""),"San Vicente")</f>
        <v>San Vicente</v>
      </c>
      <c r="P108" s="2" t="str">
        <f>IFERROR(__xludf.DUMMYFUNCTION("""COMPUTED_VALUE"""),"Mexico")</f>
        <v>Mexico</v>
      </c>
      <c r="Q108" s="2" t="str">
        <f>IFERROR(__xludf.DUMMYFUNCTION("""COMPUTED_VALUE"""),"Pampanga")</f>
        <v>Pampanga</v>
      </c>
      <c r="R108" s="2">
        <f>IFERROR(__xludf.DUMMYFUNCTION("""COMPUTED_VALUE"""),3.0)</f>
        <v>3</v>
      </c>
      <c r="S108" s="2"/>
      <c r="T108" s="2"/>
    </row>
    <row r="109">
      <c r="A109" s="1">
        <f>IFERROR(__xludf.DUMMYFUNCTION("""COMPUTED_VALUE"""),107.0)</f>
        <v>107</v>
      </c>
      <c r="B109" s="2" t="str">
        <f>IFERROR(__xludf.DUMMYFUNCTION("""COMPUTED_VALUE"""),"Provincial Local Government Unit of Pampanga")</f>
        <v>Provincial Local Government Unit of Pampanga</v>
      </c>
      <c r="C109" s="2" t="str">
        <f>IFERROR(__xludf.DUMMYFUNCTION("""COMPUTED_VALUE"""),"Santo Rosario (Pob.), San Fernando City, PAMPANGA")</f>
        <v>Santo Rosario (Pob.), San Fernando City, PAMPANGA</v>
      </c>
      <c r="D109" s="2" t="str">
        <f>IFERROR(__xludf.DUMMYFUNCTION("""COMPUTED_VALUE"""),"DENNIS G. PINEDA")</f>
        <v>DENNIS G. PINEDA</v>
      </c>
      <c r="E109" s="2" t="str">
        <f>IFERROR(__xludf.DUMMYFUNCTION("""COMPUTED_VALUE"""),"0919-424-4737")</f>
        <v>0919-424-4737</v>
      </c>
      <c r="F109" s="2" t="str">
        <f>IFERROR(__xludf.DUMMYFUNCTION("""COMPUTED_VALUE"""),"RCEF 23-09-21 Rebidding")</f>
        <v>RCEF 23-09-21 Rebidding</v>
      </c>
      <c r="G109" s="2">
        <f>IFERROR(__xludf.DUMMYFUNCTION("""COMPUTED_VALUE"""),3.0)</f>
        <v>3</v>
      </c>
      <c r="H109" s="2">
        <f>IFERROR(__xludf.DUMMYFUNCTION("""COMPUTED_VALUE"""),17791.0)</f>
        <v>17791</v>
      </c>
      <c r="I109" s="2" t="str">
        <f>IFERROR(__xludf.DUMMYFUNCTION("""COMPUTED_VALUE"""),"KMC5825 AAPFPV0070")</f>
        <v>KMC5825 AAPFPV0070</v>
      </c>
      <c r="J109" s="2" t="str">
        <f>IFERROR(__xludf.DUMMYFUNCTION("""COMPUTED_VALUE"""),"PTS100151")</f>
        <v>PTS100151</v>
      </c>
      <c r="K109" s="2" t="str">
        <f>IFERROR(__xludf.DUMMYFUNCTION("""COMPUTED_VALUE"""),"R-SERIES 102PH")</f>
        <v>R-SERIES 102PH</v>
      </c>
      <c r="L109" s="2" t="str">
        <f>IFERROR(__xludf.DUMMYFUNCTION("""COMPUTED_VALUE"""),"LSGW1750-RMP-2312018")</f>
        <v>LSGW1750-RMP-2312018</v>
      </c>
      <c r="M109" s="2" t="str">
        <f>IFERROR(__xludf.DUMMYFUNCTION("""COMPUTED_VALUE"""),"WDP40-RMP-2312011")</f>
        <v>WDP40-RMP-2312011</v>
      </c>
      <c r="N109" s="2"/>
      <c r="O109" s="2" t="str">
        <f>IFERROR(__xludf.DUMMYFUNCTION("""COMPUTED_VALUE"""),"Santo Rosario (Pob.)")</f>
        <v>Santo Rosario (Pob.)</v>
      </c>
      <c r="P109" s="2" t="str">
        <f>IFERROR(__xludf.DUMMYFUNCTION("""COMPUTED_VALUE"""),"San Fernando City")</f>
        <v>San Fernando City</v>
      </c>
      <c r="Q109" s="2" t="str">
        <f>IFERROR(__xludf.DUMMYFUNCTION("""COMPUTED_VALUE"""),"Pampanga")</f>
        <v>Pampanga</v>
      </c>
      <c r="R109" s="2">
        <f>IFERROR(__xludf.DUMMYFUNCTION("""COMPUTED_VALUE"""),3.0)</f>
        <v>3</v>
      </c>
      <c r="S109" s="2"/>
      <c r="T109" s="2"/>
    </row>
    <row r="110">
      <c r="A110" s="1">
        <f>IFERROR(__xludf.DUMMYFUNCTION("""COMPUTED_VALUE"""),108.0)</f>
        <v>108</v>
      </c>
      <c r="B110" s="2" t="str">
        <f>IFERROR(__xludf.DUMMYFUNCTION("""COMPUTED_VALUE"""),"Provincial Local Government Unit of Pampanga")</f>
        <v>Provincial Local Government Unit of Pampanga</v>
      </c>
      <c r="C110" s="2" t="str">
        <f>IFERROR(__xludf.DUMMYFUNCTION("""COMPUTED_VALUE"""),"Santo Rosario (Pob.), San Fernando City, PAMPANGA")</f>
        <v>Santo Rosario (Pob.), San Fernando City, PAMPANGA</v>
      </c>
      <c r="D110" s="2" t="str">
        <f>IFERROR(__xludf.DUMMYFUNCTION("""COMPUTED_VALUE"""),"DENNIS G. PINEDA")</f>
        <v>DENNIS G. PINEDA</v>
      </c>
      <c r="E110" s="2" t="str">
        <f>IFERROR(__xludf.DUMMYFUNCTION("""COMPUTED_VALUE"""),"0919-424-4737")</f>
        <v>0919-424-4737</v>
      </c>
      <c r="F110" s="2" t="str">
        <f>IFERROR(__xludf.DUMMYFUNCTION("""COMPUTED_VALUE"""),"RCEF 23-09-21 Rebidding")</f>
        <v>RCEF 23-09-21 Rebidding</v>
      </c>
      <c r="G110" s="2">
        <f>IFERROR(__xludf.DUMMYFUNCTION("""COMPUTED_VALUE"""),3.0)</f>
        <v>3</v>
      </c>
      <c r="H110" s="2">
        <f>IFERROR(__xludf.DUMMYFUNCTION("""COMPUTED_VALUE"""),17792.0)</f>
        <v>17792</v>
      </c>
      <c r="I110" s="2" t="str">
        <f>IFERROR(__xludf.DUMMYFUNCTION("""COMPUTED_VALUE"""),"KMC5825 AVPFPV0147")</f>
        <v>KMC5825 AVPFPV0147</v>
      </c>
      <c r="J110" s="2" t="str">
        <f>IFERROR(__xludf.DUMMYFUNCTION("""COMPUTED_VALUE"""),"PTS100046")</f>
        <v>PTS100046</v>
      </c>
      <c r="K110" s="2" t="str">
        <f>IFERROR(__xludf.DUMMYFUNCTION("""COMPUTED_VALUE"""),"R-SERIES 055PH")</f>
        <v>R-SERIES 055PH</v>
      </c>
      <c r="L110" s="2" t="str">
        <f>IFERROR(__xludf.DUMMYFUNCTION("""COMPUTED_VALUE"""),"LSGW1750-RMP-2312033")</f>
        <v>LSGW1750-RMP-2312033</v>
      </c>
      <c r="M110" s="2" t="str">
        <f>IFERROR(__xludf.DUMMYFUNCTION("""COMPUTED_VALUE"""),"WDP40-RMP-2312037")</f>
        <v>WDP40-RMP-2312037</v>
      </c>
      <c r="N110" s="2"/>
      <c r="O110" s="2" t="str">
        <f>IFERROR(__xludf.DUMMYFUNCTION("""COMPUTED_VALUE"""),"Santo Rosario (Pob.)")</f>
        <v>Santo Rosario (Pob.)</v>
      </c>
      <c r="P110" s="2" t="str">
        <f>IFERROR(__xludf.DUMMYFUNCTION("""COMPUTED_VALUE"""),"San Fernando City")</f>
        <v>San Fernando City</v>
      </c>
      <c r="Q110" s="2" t="str">
        <f>IFERROR(__xludf.DUMMYFUNCTION("""COMPUTED_VALUE"""),"Pampanga")</f>
        <v>Pampanga</v>
      </c>
      <c r="R110" s="2">
        <f>IFERROR(__xludf.DUMMYFUNCTION("""COMPUTED_VALUE"""),3.0)</f>
        <v>3</v>
      </c>
      <c r="S110" s="2"/>
      <c r="T110" s="2"/>
    </row>
    <row r="111">
      <c r="A111" s="1">
        <f>IFERROR(__xludf.DUMMYFUNCTION("""COMPUTED_VALUE"""),109.0)</f>
        <v>109</v>
      </c>
      <c r="B111" s="2" t="str">
        <f>IFERROR(__xludf.DUMMYFUNCTION("""COMPUTED_VALUE"""),"Provincial Local Government Unit of Pampanga")</f>
        <v>Provincial Local Government Unit of Pampanga</v>
      </c>
      <c r="C111" s="2" t="str">
        <f>IFERROR(__xludf.DUMMYFUNCTION("""COMPUTED_VALUE"""),"Santo Rosario (Pob.), San Fernando City, PAMPANGA")</f>
        <v>Santo Rosario (Pob.), San Fernando City, PAMPANGA</v>
      </c>
      <c r="D111" s="2" t="str">
        <f>IFERROR(__xludf.DUMMYFUNCTION("""COMPUTED_VALUE"""),"DENNIS G. PINEDA")</f>
        <v>DENNIS G. PINEDA</v>
      </c>
      <c r="E111" s="2" t="str">
        <f>IFERROR(__xludf.DUMMYFUNCTION("""COMPUTED_VALUE"""),"0919-424-4737")</f>
        <v>0919-424-4737</v>
      </c>
      <c r="F111" s="2" t="str">
        <f>IFERROR(__xludf.DUMMYFUNCTION("""COMPUTED_VALUE"""),"RCEF 23-09-21 Rebidding")</f>
        <v>RCEF 23-09-21 Rebidding</v>
      </c>
      <c r="G111" s="2">
        <f>IFERROR(__xludf.DUMMYFUNCTION("""COMPUTED_VALUE"""),3.0)</f>
        <v>3</v>
      </c>
      <c r="H111" s="2">
        <f>IFERROR(__xludf.DUMMYFUNCTION("""COMPUTED_VALUE"""),17793.0)</f>
        <v>17793</v>
      </c>
      <c r="I111" s="2" t="str">
        <f>IFERROR(__xludf.DUMMYFUNCTION("""COMPUTED_VALUE"""),"KMC5825 AVPFPV0052")</f>
        <v>KMC5825 AVPFPV0052</v>
      </c>
      <c r="J111" s="2" t="str">
        <f>IFERROR(__xludf.DUMMYFUNCTION("""COMPUTED_VALUE"""),"PTS100134")</f>
        <v>PTS100134</v>
      </c>
      <c r="K111" s="2" t="str">
        <f>IFERROR(__xludf.DUMMYFUNCTION("""COMPUTED_VALUE"""),"R-SERIES 046PH")</f>
        <v>R-SERIES 046PH</v>
      </c>
      <c r="L111" s="2" t="str">
        <f>IFERROR(__xludf.DUMMYFUNCTION("""COMPUTED_VALUE"""),"LSGW1750-RMP-2312010")</f>
        <v>LSGW1750-RMP-2312010</v>
      </c>
      <c r="M111" s="2" t="str">
        <f>IFERROR(__xludf.DUMMYFUNCTION("""COMPUTED_VALUE"""),"WDP40-RMP-2312064")</f>
        <v>WDP40-RMP-2312064</v>
      </c>
      <c r="N111" s="2"/>
      <c r="O111" s="2" t="str">
        <f>IFERROR(__xludf.DUMMYFUNCTION("""COMPUTED_VALUE"""),"Santo Rosario (Pob.)")</f>
        <v>Santo Rosario (Pob.)</v>
      </c>
      <c r="P111" s="2" t="str">
        <f>IFERROR(__xludf.DUMMYFUNCTION("""COMPUTED_VALUE"""),"San Fernando City")</f>
        <v>San Fernando City</v>
      </c>
      <c r="Q111" s="2" t="str">
        <f>IFERROR(__xludf.DUMMYFUNCTION("""COMPUTED_VALUE"""),"Pampanga")</f>
        <v>Pampanga</v>
      </c>
      <c r="R111" s="2">
        <f>IFERROR(__xludf.DUMMYFUNCTION("""COMPUTED_VALUE"""),3.0)</f>
        <v>3</v>
      </c>
      <c r="S111" s="2"/>
      <c r="T111" s="2"/>
    </row>
    <row r="112">
      <c r="A112" s="1">
        <f>IFERROR(__xludf.DUMMYFUNCTION("""COMPUTED_VALUE"""),110.0)</f>
        <v>110</v>
      </c>
      <c r="B112" s="2" t="str">
        <f>IFERROR(__xludf.DUMMYFUNCTION("""COMPUTED_VALUE"""),"Provincial Local Government Unit of Pampanga")</f>
        <v>Provincial Local Government Unit of Pampanga</v>
      </c>
      <c r="C112" s="2" t="str">
        <f>IFERROR(__xludf.DUMMYFUNCTION("""COMPUTED_VALUE"""),"Santo Rosario (Pob.), San Fernando City, PAMPANGA")</f>
        <v>Santo Rosario (Pob.), San Fernando City, PAMPANGA</v>
      </c>
      <c r="D112" s="2" t="str">
        <f>IFERROR(__xludf.DUMMYFUNCTION("""COMPUTED_VALUE"""),"DENNIS G. PINEDA")</f>
        <v>DENNIS G. PINEDA</v>
      </c>
      <c r="E112" s="2" t="str">
        <f>IFERROR(__xludf.DUMMYFUNCTION("""COMPUTED_VALUE"""),"0919-424-4737")</f>
        <v>0919-424-4737</v>
      </c>
      <c r="F112" s="2" t="str">
        <f>IFERROR(__xludf.DUMMYFUNCTION("""COMPUTED_VALUE"""),"RCEF 23-09-21 Rebidding")</f>
        <v>RCEF 23-09-21 Rebidding</v>
      </c>
      <c r="G112" s="2">
        <f>IFERROR(__xludf.DUMMYFUNCTION("""COMPUTED_VALUE"""),3.0)</f>
        <v>3</v>
      </c>
      <c r="H112" s="2">
        <f>IFERROR(__xludf.DUMMYFUNCTION("""COMPUTED_VALUE"""),17794.0)</f>
        <v>17794</v>
      </c>
      <c r="I112" s="2" t="str">
        <f>IFERROR(__xludf.DUMMYFUNCTION("""COMPUTED_VALUE"""),"KMC5825 APPFPV0160")</f>
        <v>KMC5825 APPFPV0160</v>
      </c>
      <c r="J112" s="2" t="str">
        <f>IFERROR(__xludf.DUMMYFUNCTION("""COMPUTED_VALUE"""),"PTS100138")</f>
        <v>PTS100138</v>
      </c>
      <c r="K112" s="2" t="str">
        <f>IFERROR(__xludf.DUMMYFUNCTION("""COMPUTED_VALUE"""),"R-SERIES 084PH")</f>
        <v>R-SERIES 084PH</v>
      </c>
      <c r="L112" s="2" t="str">
        <f>IFERROR(__xludf.DUMMYFUNCTION("""COMPUTED_VALUE"""),"LSGW1750-RMP-2312008")</f>
        <v>LSGW1750-RMP-2312008</v>
      </c>
      <c r="M112" s="2" t="str">
        <f>IFERROR(__xludf.DUMMYFUNCTION("""COMPUTED_VALUE"""),"WDP40-RMP-2312046")</f>
        <v>WDP40-RMP-2312046</v>
      </c>
      <c r="N112" s="2"/>
      <c r="O112" s="2" t="str">
        <f>IFERROR(__xludf.DUMMYFUNCTION("""COMPUTED_VALUE"""),"Santo Rosario (Pob.)")</f>
        <v>Santo Rosario (Pob.)</v>
      </c>
      <c r="P112" s="2" t="str">
        <f>IFERROR(__xludf.DUMMYFUNCTION("""COMPUTED_VALUE"""),"San Fernando City")</f>
        <v>San Fernando City</v>
      </c>
      <c r="Q112" s="2" t="str">
        <f>IFERROR(__xludf.DUMMYFUNCTION("""COMPUTED_VALUE"""),"Pampanga")</f>
        <v>Pampanga</v>
      </c>
      <c r="R112" s="2">
        <f>IFERROR(__xludf.DUMMYFUNCTION("""COMPUTED_VALUE"""),3.0)</f>
        <v>3</v>
      </c>
      <c r="S112" s="2"/>
      <c r="T112" s="2"/>
    </row>
    <row r="113">
      <c r="A113" s="1">
        <f>IFERROR(__xludf.DUMMYFUNCTION("""COMPUTED_VALUE"""),111.0)</f>
        <v>111</v>
      </c>
      <c r="B113" s="2" t="str">
        <f>IFERROR(__xludf.DUMMYFUNCTION("""COMPUTED_VALUE"""),"BARANGAY SEPUNG ILOG FARMERS IRRIGATORS ASSOCOATION INC.")</f>
        <v>BARANGAY SEPUNG ILOG FARMERS IRRIGATORS ASSOCOATION INC.</v>
      </c>
      <c r="C113" s="2" t="str">
        <f>IFERROR(__xludf.DUMMYFUNCTION("""COMPUTED_VALUE"""),"San Nicolas, Santa Ana, PAMPANGA")</f>
        <v>San Nicolas, Santa Ana, PAMPANGA</v>
      </c>
      <c r="D113" s="2" t="str">
        <f>IFERROR(__xludf.DUMMYFUNCTION("""COMPUTED_VALUE"""),"LODAVICO T. MANIAGO")</f>
        <v>LODAVICO T. MANIAGO</v>
      </c>
      <c r="E113" s="2" t="str">
        <f>IFERROR(__xludf.DUMMYFUNCTION("""COMPUTED_VALUE"""),"0997-370-4756")</f>
        <v>0997-370-4756</v>
      </c>
      <c r="F113" s="2" t="str">
        <f>IFERROR(__xludf.DUMMYFUNCTION("""COMPUTED_VALUE"""),"RCEF 23-09-21 Rebidding")</f>
        <v>RCEF 23-09-21 Rebidding</v>
      </c>
      <c r="G113" s="2">
        <f>IFERROR(__xludf.DUMMYFUNCTION("""COMPUTED_VALUE"""),3.0)</f>
        <v>3</v>
      </c>
      <c r="H113" s="2">
        <f>IFERROR(__xludf.DUMMYFUNCTION("""COMPUTED_VALUE"""),17795.0)</f>
        <v>17795</v>
      </c>
      <c r="I113" s="2" t="str">
        <f>IFERROR(__xludf.DUMMYFUNCTION("""COMPUTED_VALUE"""),"KMC5825 ACPFPV0082")</f>
        <v>KMC5825 ACPFPV0082</v>
      </c>
      <c r="J113" s="2" t="str">
        <f>IFERROR(__xludf.DUMMYFUNCTION("""COMPUTED_VALUE"""),"PTS100083")</f>
        <v>PTS100083</v>
      </c>
      <c r="K113" s="2" t="str">
        <f>IFERROR(__xludf.DUMMYFUNCTION("""COMPUTED_VALUE"""),"R-SERIES 096PH")</f>
        <v>R-SERIES 096PH</v>
      </c>
      <c r="L113" s="2" t="str">
        <f>IFERROR(__xludf.DUMMYFUNCTION("""COMPUTED_VALUE"""),"LSGW1750-RMP-2312006")</f>
        <v>LSGW1750-RMP-2312006</v>
      </c>
      <c r="M113" s="2" t="str">
        <f>IFERROR(__xludf.DUMMYFUNCTION("""COMPUTED_VALUE"""),"WDP40-RMP-2312054")</f>
        <v>WDP40-RMP-2312054</v>
      </c>
      <c r="N113" s="2"/>
      <c r="O113" s="2" t="str">
        <f>IFERROR(__xludf.DUMMYFUNCTION("""COMPUTED_VALUE"""),"San Nicolas")</f>
        <v>San Nicolas</v>
      </c>
      <c r="P113" s="2" t="str">
        <f>IFERROR(__xludf.DUMMYFUNCTION("""COMPUTED_VALUE"""),"Santa Ana")</f>
        <v>Santa Ana</v>
      </c>
      <c r="Q113" s="2" t="str">
        <f>IFERROR(__xludf.DUMMYFUNCTION("""COMPUTED_VALUE"""),"Pampanga")</f>
        <v>Pampanga</v>
      </c>
      <c r="R113" s="2">
        <f>IFERROR(__xludf.DUMMYFUNCTION("""COMPUTED_VALUE"""),3.0)</f>
        <v>3</v>
      </c>
      <c r="S113" s="2"/>
      <c r="T113" s="2"/>
    </row>
    <row r="114">
      <c r="A114" s="1">
        <f>IFERROR(__xludf.DUMMYFUNCTION("""COMPUTED_VALUE"""),112.0)</f>
        <v>112</v>
      </c>
      <c r="B114" s="2" t="str">
        <f>IFERROR(__xludf.DUMMYFUNCTION("""COMPUTED_VALUE"""),"Santo Rosario Farmer's and Irrigators Association Inc.")</f>
        <v>Santo Rosario Farmer's and Irrigators Association Inc.</v>
      </c>
      <c r="C114" s="2" t="str">
        <f>IFERROR(__xludf.DUMMYFUNCTION("""COMPUTED_VALUE"""),"Tabuyuc (Santo Rosario), Apalit, PAMPANGA")</f>
        <v>Tabuyuc (Santo Rosario), Apalit, PAMPANGA</v>
      </c>
      <c r="D114" s="2" t="str">
        <f>IFERROR(__xludf.DUMMYFUNCTION("""COMPUTED_VALUE"""),"JAIME M. MANLAPAZ")</f>
        <v>JAIME M. MANLAPAZ</v>
      </c>
      <c r="E114" s="2" t="str">
        <f>IFERROR(__xludf.DUMMYFUNCTION("""COMPUTED_VALUE"""),"0917-179-9224")</f>
        <v>0917-179-9224</v>
      </c>
      <c r="F114" s="2" t="str">
        <f>IFERROR(__xludf.DUMMYFUNCTION("""COMPUTED_VALUE"""),"RCEF 23-09-21 Rebidding")</f>
        <v>RCEF 23-09-21 Rebidding</v>
      </c>
      <c r="G114" s="2">
        <f>IFERROR(__xludf.DUMMYFUNCTION("""COMPUTED_VALUE"""),3.0)</f>
        <v>3</v>
      </c>
      <c r="H114" s="2">
        <f>IFERROR(__xludf.DUMMYFUNCTION("""COMPUTED_VALUE"""),17796.0)</f>
        <v>17796</v>
      </c>
      <c r="I114" s="2" t="str">
        <f>IFERROR(__xludf.DUMMYFUNCTION("""COMPUTED_VALUE"""),"KMC5825 AAPFPV0053")</f>
        <v>KMC5825 AAPFPV0053</v>
      </c>
      <c r="J114" s="2" t="str">
        <f>IFERROR(__xludf.DUMMYFUNCTION("""COMPUTED_VALUE"""),"PTS100129")</f>
        <v>PTS100129</v>
      </c>
      <c r="K114" s="2" t="str">
        <f>IFERROR(__xludf.DUMMYFUNCTION("""COMPUTED_VALUE"""),"R-SERIES 065PH")</f>
        <v>R-SERIES 065PH</v>
      </c>
      <c r="L114" s="2" t="str">
        <f>IFERROR(__xludf.DUMMYFUNCTION("""COMPUTED_VALUE"""),"LSGW1750-RMP-2312011")</f>
        <v>LSGW1750-RMP-2312011</v>
      </c>
      <c r="M114" s="2" t="str">
        <f>IFERROR(__xludf.DUMMYFUNCTION("""COMPUTED_VALUE"""),"WDP40-RMP-2312055")</f>
        <v>WDP40-RMP-2312055</v>
      </c>
      <c r="N114" s="2"/>
      <c r="O114" s="2" t="str">
        <f>IFERROR(__xludf.DUMMYFUNCTION("""COMPUTED_VALUE"""),"Tabuyuc (Santo Rosario)")</f>
        <v>Tabuyuc (Santo Rosario)</v>
      </c>
      <c r="P114" s="2" t="str">
        <f>IFERROR(__xludf.DUMMYFUNCTION("""COMPUTED_VALUE"""),"Apalit")</f>
        <v>Apalit</v>
      </c>
      <c r="Q114" s="2" t="str">
        <f>IFERROR(__xludf.DUMMYFUNCTION("""COMPUTED_VALUE"""),"Pampanga")</f>
        <v>Pampanga</v>
      </c>
      <c r="R114" s="2">
        <f>IFERROR(__xludf.DUMMYFUNCTION("""COMPUTED_VALUE"""),3.0)</f>
        <v>3</v>
      </c>
      <c r="S114" s="2"/>
      <c r="T114" s="2"/>
    </row>
    <row r="115">
      <c r="A115" s="1">
        <f>IFERROR(__xludf.DUMMYFUNCTION("""COMPUTED_VALUE"""),113.0)</f>
        <v>113</v>
      </c>
      <c r="B115" s="2" t="str">
        <f>IFERROR(__xludf.DUMMYFUNCTION("""COMPUTED_VALUE"""),"KADENA IRRIGATORS ASSOCIATION, INC.")</f>
        <v>KADENA IRRIGATORS ASSOCIATION, INC.</v>
      </c>
      <c r="C115" s="2" t="str">
        <f>IFERROR(__xludf.DUMMYFUNCTION("""COMPUTED_VALUE"""),"Paligui, Candaba, PAMPANGA")</f>
        <v>Paligui, Candaba, PAMPANGA</v>
      </c>
      <c r="D115" s="2" t="str">
        <f>IFERROR(__xludf.DUMMYFUNCTION("""COMPUTED_VALUE"""),"GRACIANO R. MANIO")</f>
        <v>GRACIANO R. MANIO</v>
      </c>
      <c r="E115" s="2" t="str">
        <f>IFERROR(__xludf.DUMMYFUNCTION("""COMPUTED_VALUE"""),"0942-558-7043")</f>
        <v>0942-558-7043</v>
      </c>
      <c r="F115" s="2" t="str">
        <f>IFERROR(__xludf.DUMMYFUNCTION("""COMPUTED_VALUE"""),"RCEF 23-09-21 Rebidding")</f>
        <v>RCEF 23-09-21 Rebidding</v>
      </c>
      <c r="G115" s="2">
        <f>IFERROR(__xludf.DUMMYFUNCTION("""COMPUTED_VALUE"""),3.0)</f>
        <v>3</v>
      </c>
      <c r="H115" s="2">
        <f>IFERROR(__xludf.DUMMYFUNCTION("""COMPUTED_VALUE"""),17797.0)</f>
        <v>17797</v>
      </c>
      <c r="I115" s="2" t="str">
        <f>IFERROR(__xludf.DUMMYFUNCTION("""COMPUTED_VALUE"""),"KMC5825 ALPFPV0068")</f>
        <v>KMC5825 ALPFPV0068</v>
      </c>
      <c r="J115" s="2" t="str">
        <f>IFERROR(__xludf.DUMMYFUNCTION("""COMPUTED_VALUE"""),"PTS100160")</f>
        <v>PTS100160</v>
      </c>
      <c r="K115" s="2" t="str">
        <f>IFERROR(__xludf.DUMMYFUNCTION("""COMPUTED_VALUE"""),"R-SERIES 032PH")</f>
        <v>R-SERIES 032PH</v>
      </c>
      <c r="L115" s="2" t="str">
        <f>IFERROR(__xludf.DUMMYFUNCTION("""COMPUTED_VALUE"""),"LSGW1750-RMP-2312043")</f>
        <v>LSGW1750-RMP-2312043</v>
      </c>
      <c r="M115" s="2" t="str">
        <f>IFERROR(__xludf.DUMMYFUNCTION("""COMPUTED_VALUE"""),"WDP40-RMP-2312047")</f>
        <v>WDP40-RMP-2312047</v>
      </c>
      <c r="N115" s="2"/>
      <c r="O115" s="2" t="str">
        <f>IFERROR(__xludf.DUMMYFUNCTION("""COMPUTED_VALUE"""),"Paligui")</f>
        <v>Paligui</v>
      </c>
      <c r="P115" s="2" t="str">
        <f>IFERROR(__xludf.DUMMYFUNCTION("""COMPUTED_VALUE"""),"Candaba")</f>
        <v>Candaba</v>
      </c>
      <c r="Q115" s="2" t="str">
        <f>IFERROR(__xludf.DUMMYFUNCTION("""COMPUTED_VALUE"""),"Pampanga")</f>
        <v>Pampanga</v>
      </c>
      <c r="R115" s="2">
        <f>IFERROR(__xludf.DUMMYFUNCTION("""COMPUTED_VALUE"""),3.0)</f>
        <v>3</v>
      </c>
      <c r="S115" s="2"/>
      <c r="T115" s="2"/>
    </row>
    <row r="116">
      <c r="A116" s="1">
        <f>IFERROR(__xludf.DUMMYFUNCTION("""COMPUTED_VALUE"""),114.0)</f>
        <v>114</v>
      </c>
      <c r="B116" s="2" t="str">
        <f>IFERROR(__xludf.DUMMYFUNCTION("""COMPUTED_VALUE"""),"GOLDEN HARVEST FARMERS ASSOCIATION")</f>
        <v>GOLDEN HARVEST FARMERS ASSOCIATION</v>
      </c>
      <c r="C116" s="2" t="str">
        <f>IFERROR(__xludf.DUMMYFUNCTION("""COMPUTED_VALUE"""),"San Jose, San Luis, PAMPANGA")</f>
        <v>San Jose, San Luis, PAMPANGA</v>
      </c>
      <c r="D116" s="2" t="str">
        <f>IFERROR(__xludf.DUMMYFUNCTION("""COMPUTED_VALUE"""),"DIOSDADO R. CRUZ")</f>
        <v>DIOSDADO R. CRUZ</v>
      </c>
      <c r="E116" s="2" t="str">
        <f>IFERROR(__xludf.DUMMYFUNCTION("""COMPUTED_VALUE"""),"0917-924-7663")</f>
        <v>0917-924-7663</v>
      </c>
      <c r="F116" s="2" t="str">
        <f>IFERROR(__xludf.DUMMYFUNCTION("""COMPUTED_VALUE"""),"RCEF 23-09-21 Rebidding")</f>
        <v>RCEF 23-09-21 Rebidding</v>
      </c>
      <c r="G116" s="2">
        <f>IFERROR(__xludf.DUMMYFUNCTION("""COMPUTED_VALUE"""),3.0)</f>
        <v>3</v>
      </c>
      <c r="H116" s="2">
        <f>IFERROR(__xludf.DUMMYFUNCTION("""COMPUTED_VALUE"""),17798.0)</f>
        <v>17798</v>
      </c>
      <c r="I116" s="2" t="str">
        <f>IFERROR(__xludf.DUMMYFUNCTION("""COMPUTED_VALUE"""),"KMC5825 ACPFPV0060")</f>
        <v>KMC5825 ACPFPV0060</v>
      </c>
      <c r="J116" s="2" t="str">
        <f>IFERROR(__xludf.DUMMYFUNCTION("""COMPUTED_VALUE"""),"PTS100144")</f>
        <v>PTS100144</v>
      </c>
      <c r="K116" s="2" t="str">
        <f>IFERROR(__xludf.DUMMYFUNCTION("""COMPUTED_VALUE"""),"R-SERIES 056PH")</f>
        <v>R-SERIES 056PH</v>
      </c>
      <c r="L116" s="2" t="str">
        <f>IFERROR(__xludf.DUMMYFUNCTION("""COMPUTED_VALUE"""),"LSGW1750-RMP-2312042")</f>
        <v>LSGW1750-RMP-2312042</v>
      </c>
      <c r="M116" s="2" t="str">
        <f>IFERROR(__xludf.DUMMYFUNCTION("""COMPUTED_VALUE"""),"WDP40-RMP-2312068")</f>
        <v>WDP40-RMP-2312068</v>
      </c>
      <c r="N116" s="2"/>
      <c r="O116" s="2" t="str">
        <f>IFERROR(__xludf.DUMMYFUNCTION("""COMPUTED_VALUE"""),"San Jose")</f>
        <v>San Jose</v>
      </c>
      <c r="P116" s="2" t="str">
        <f>IFERROR(__xludf.DUMMYFUNCTION("""COMPUTED_VALUE"""),"San Luis")</f>
        <v>San Luis</v>
      </c>
      <c r="Q116" s="2" t="str">
        <f>IFERROR(__xludf.DUMMYFUNCTION("""COMPUTED_VALUE"""),"Pampanga")</f>
        <v>Pampanga</v>
      </c>
      <c r="R116" s="2">
        <f>IFERROR(__xludf.DUMMYFUNCTION("""COMPUTED_VALUE"""),3.0)</f>
        <v>3</v>
      </c>
      <c r="S116" s="2"/>
      <c r="T116" s="2"/>
    </row>
    <row r="117">
      <c r="A117" s="1">
        <f>IFERROR(__xludf.DUMMYFUNCTION("""COMPUTED_VALUE"""),115.0)</f>
        <v>115</v>
      </c>
      <c r="B117" s="2" t="str">
        <f>IFERROR(__xludf.DUMMYFUNCTION("""COMPUTED_VALUE"""),"BAGONG BUHAY, FARMERS ASSOCIATION, INC.")</f>
        <v>BAGONG BUHAY, FARMERS ASSOCIATION, INC.</v>
      </c>
      <c r="C117" s="2" t="str">
        <f>IFERROR(__xludf.DUMMYFUNCTION("""COMPUTED_VALUE"""),"Concepcion, San Simon, PAMPANGA")</f>
        <v>Concepcion, San Simon, PAMPANGA</v>
      </c>
      <c r="D117" s="2" t="str">
        <f>IFERROR(__xludf.DUMMYFUNCTION("""COMPUTED_VALUE"""),"LITO P. PADANON")</f>
        <v>LITO P. PADANON</v>
      </c>
      <c r="E117" s="2" t="str">
        <f>IFERROR(__xludf.DUMMYFUNCTION("""COMPUTED_VALUE"""),"09776048249")</f>
        <v>09776048249</v>
      </c>
      <c r="F117" s="2" t="str">
        <f>IFERROR(__xludf.DUMMYFUNCTION("""COMPUTED_VALUE"""),"RCEF 23-09-21 Rebidding")</f>
        <v>RCEF 23-09-21 Rebidding</v>
      </c>
      <c r="G117" s="2">
        <f>IFERROR(__xludf.DUMMYFUNCTION("""COMPUTED_VALUE"""),3.0)</f>
        <v>3</v>
      </c>
      <c r="H117" s="2">
        <f>IFERROR(__xludf.DUMMYFUNCTION("""COMPUTED_VALUE"""),17799.0)</f>
        <v>17799</v>
      </c>
      <c r="I117" s="2" t="str">
        <f>IFERROR(__xludf.DUMMYFUNCTION("""COMPUTED_VALUE"""),"KMC5825 ATPFPV0125")</f>
        <v>KMC5825 ATPFPV0125</v>
      </c>
      <c r="J117" s="2" t="str">
        <f>IFERROR(__xludf.DUMMYFUNCTION("""COMPUTED_VALUE"""),"PTS100050")</f>
        <v>PTS100050</v>
      </c>
      <c r="K117" s="2" t="str">
        <f>IFERROR(__xludf.DUMMYFUNCTION("""COMPUTED_VALUE"""),"R-SERIES 074PH")</f>
        <v>R-SERIES 074PH</v>
      </c>
      <c r="L117" s="2" t="str">
        <f>IFERROR(__xludf.DUMMYFUNCTION("""COMPUTED_VALUE"""),"LSGW1750-RMP-2312041")</f>
        <v>LSGW1750-RMP-2312041</v>
      </c>
      <c r="M117" s="2" t="str">
        <f>IFERROR(__xludf.DUMMYFUNCTION("""COMPUTED_VALUE"""),"WDP40-RMP-2312070")</f>
        <v>WDP40-RMP-2312070</v>
      </c>
      <c r="N117" s="2"/>
      <c r="O117" s="2" t="str">
        <f>IFERROR(__xludf.DUMMYFUNCTION("""COMPUTED_VALUE"""),"Concepcion")</f>
        <v>Concepcion</v>
      </c>
      <c r="P117" s="2" t="str">
        <f>IFERROR(__xludf.DUMMYFUNCTION("""COMPUTED_VALUE"""),"San Simon")</f>
        <v>San Simon</v>
      </c>
      <c r="Q117" s="2" t="str">
        <f>IFERROR(__xludf.DUMMYFUNCTION("""COMPUTED_VALUE"""),"Pampanga")</f>
        <v>Pampanga</v>
      </c>
      <c r="R117" s="2">
        <f>IFERROR(__xludf.DUMMYFUNCTION("""COMPUTED_VALUE"""),3.0)</f>
        <v>3</v>
      </c>
      <c r="S117" s="2"/>
      <c r="T117" s="2"/>
    </row>
    <row r="118">
      <c r="A118" s="1">
        <f>IFERROR(__xludf.DUMMYFUNCTION("""COMPUTED_VALUE"""),116.0)</f>
        <v>116</v>
      </c>
      <c r="B118" s="2" t="str">
        <f>IFERROR(__xludf.DUMMYFUNCTION("""COMPUTED_VALUE"""),"SAINT JOSEPH THE WORKER FARMERS ASSOCIATION INC.")</f>
        <v>SAINT JOSEPH THE WORKER FARMERS ASSOCIATION INC.</v>
      </c>
      <c r="C118" s="2" t="str">
        <f>IFERROR(__xludf.DUMMYFUNCTION("""COMPUTED_VALUE"""),"San Jose North, Anao, TARLAC")</f>
        <v>San Jose North, Anao, TARLAC</v>
      </c>
      <c r="D118" s="2" t="str">
        <f>IFERROR(__xludf.DUMMYFUNCTION("""COMPUTED_VALUE"""),"Jesus F. Bartolome Jr.")</f>
        <v>Jesus F. Bartolome Jr.</v>
      </c>
      <c r="E118" s="2" t="str">
        <f>IFERROR(__xludf.DUMMYFUNCTION("""COMPUTED_VALUE"""),"0917-136-2169")</f>
        <v>0917-136-2169</v>
      </c>
      <c r="F118" s="2" t="str">
        <f>IFERROR(__xludf.DUMMYFUNCTION("""COMPUTED_VALUE"""),"RCEF 23-09-21 Rebidding")</f>
        <v>RCEF 23-09-21 Rebidding</v>
      </c>
      <c r="G118" s="2">
        <f>IFERROR(__xludf.DUMMYFUNCTION("""COMPUTED_VALUE"""),3.0)</f>
        <v>3</v>
      </c>
      <c r="H118" s="2">
        <f>IFERROR(__xludf.DUMMYFUNCTION("""COMPUTED_VALUE"""),17800.0)</f>
        <v>17800</v>
      </c>
      <c r="I118" s="2" t="str">
        <f>IFERROR(__xludf.DUMMYFUNCTION("""COMPUTED_VALUE"""),"KMC5825 APPFPV0157")</f>
        <v>KMC5825 APPFPV0157</v>
      </c>
      <c r="J118" s="2" t="str">
        <f>IFERROR(__xludf.DUMMYFUNCTION("""COMPUTED_VALUE"""),"PTS100052")</f>
        <v>PTS100052</v>
      </c>
      <c r="K118" s="2" t="str">
        <f>IFERROR(__xludf.DUMMYFUNCTION("""COMPUTED_VALUE"""),"R-SERIES 052PH")</f>
        <v>R-SERIES 052PH</v>
      </c>
      <c r="L118" s="2" t="str">
        <f>IFERROR(__xludf.DUMMYFUNCTION("""COMPUTED_VALUE"""),"LSGW1750-RMP-2312022")</f>
        <v>LSGW1750-RMP-2312022</v>
      </c>
      <c r="M118" s="2" t="str">
        <f>IFERROR(__xludf.DUMMYFUNCTION("""COMPUTED_VALUE"""),"WDP40-RMP-2312048")</f>
        <v>WDP40-RMP-2312048</v>
      </c>
      <c r="N118" s="2"/>
      <c r="O118" s="2" t="str">
        <f>IFERROR(__xludf.DUMMYFUNCTION("""COMPUTED_VALUE"""),"San Jose North")</f>
        <v>San Jose North</v>
      </c>
      <c r="P118" s="2" t="str">
        <f>IFERROR(__xludf.DUMMYFUNCTION("""COMPUTED_VALUE"""),"Anao")</f>
        <v>Anao</v>
      </c>
      <c r="Q118" s="2" t="str">
        <f>IFERROR(__xludf.DUMMYFUNCTION("""COMPUTED_VALUE"""),"Tarlac")</f>
        <v>Tarlac</v>
      </c>
      <c r="R118" s="2">
        <f>IFERROR(__xludf.DUMMYFUNCTION("""COMPUTED_VALUE"""),3.0)</f>
        <v>3</v>
      </c>
      <c r="S118" s="2"/>
      <c r="T118" s="2"/>
    </row>
    <row r="119">
      <c r="A119" s="1">
        <f>IFERROR(__xludf.DUMMYFUNCTION("""COMPUTED_VALUE"""),117.0)</f>
        <v>117</v>
      </c>
      <c r="B119" s="2" t="str">
        <f>IFERROR(__xludf.DUMMYFUNCTION("""COMPUTED_VALUE"""),"TAMBUGAN FARMERS ASSOCIATION")</f>
        <v>TAMBUGAN FARMERS ASSOCIATION</v>
      </c>
      <c r="C119" s="2" t="str">
        <f>IFERROR(__xludf.DUMMYFUNCTION("""COMPUTED_VALUE"""),"Tambugan, Camiling, TARLAC")</f>
        <v>Tambugan, Camiling, TARLAC</v>
      </c>
      <c r="D119" s="2" t="str">
        <f>IFERROR(__xludf.DUMMYFUNCTION("""COMPUTED_VALUE"""),"Reynaldo L. Datuin")</f>
        <v>Reynaldo L. Datuin</v>
      </c>
      <c r="E119" s="2" t="str">
        <f>IFERROR(__xludf.DUMMYFUNCTION("""COMPUTED_VALUE"""),"0946-053-7727")</f>
        <v>0946-053-7727</v>
      </c>
      <c r="F119" s="2" t="str">
        <f>IFERROR(__xludf.DUMMYFUNCTION("""COMPUTED_VALUE"""),"RCEF 23-09-21 Rebidding")</f>
        <v>RCEF 23-09-21 Rebidding</v>
      </c>
      <c r="G119" s="2">
        <f>IFERROR(__xludf.DUMMYFUNCTION("""COMPUTED_VALUE"""),3.0)</f>
        <v>3</v>
      </c>
      <c r="H119" s="2">
        <f>IFERROR(__xludf.DUMMYFUNCTION("""COMPUTED_VALUE"""),17801.0)</f>
        <v>17801</v>
      </c>
      <c r="I119" s="2" t="str">
        <f>IFERROR(__xludf.DUMMYFUNCTION("""COMPUTED_VALUE"""),"KMC5825 ACPFPV0051")</f>
        <v>KMC5825 ACPFPV0051</v>
      </c>
      <c r="J119" s="2" t="str">
        <f>IFERROR(__xludf.DUMMYFUNCTION("""COMPUTED_VALUE"""),"PTS100062")</f>
        <v>PTS100062</v>
      </c>
      <c r="K119" s="2" t="str">
        <f>IFERROR(__xludf.DUMMYFUNCTION("""COMPUTED_VALUE"""),"R-SERIES 048PH")</f>
        <v>R-SERIES 048PH</v>
      </c>
      <c r="L119" s="2" t="str">
        <f>IFERROR(__xludf.DUMMYFUNCTION("""COMPUTED_VALUE"""),"LSGW1750-RMP-2312020")</f>
        <v>LSGW1750-RMP-2312020</v>
      </c>
      <c r="M119" s="2" t="str">
        <f>IFERROR(__xludf.DUMMYFUNCTION("""COMPUTED_VALUE"""),"WDP40-RMP-2312044")</f>
        <v>WDP40-RMP-2312044</v>
      </c>
      <c r="N119" s="2"/>
      <c r="O119" s="2" t="str">
        <f>IFERROR(__xludf.DUMMYFUNCTION("""COMPUTED_VALUE"""),"Tambugan")</f>
        <v>Tambugan</v>
      </c>
      <c r="P119" s="2" t="str">
        <f>IFERROR(__xludf.DUMMYFUNCTION("""COMPUTED_VALUE"""),"Camiling")</f>
        <v>Camiling</v>
      </c>
      <c r="Q119" s="2" t="str">
        <f>IFERROR(__xludf.DUMMYFUNCTION("""COMPUTED_VALUE"""),"Tarlac")</f>
        <v>Tarlac</v>
      </c>
      <c r="R119" s="2">
        <f>IFERROR(__xludf.DUMMYFUNCTION("""COMPUTED_VALUE"""),3.0)</f>
        <v>3</v>
      </c>
      <c r="S119" s="2"/>
      <c r="T119" s="2"/>
    </row>
    <row r="120">
      <c r="A120" s="1">
        <f>IFERROR(__xludf.DUMMYFUNCTION("""COMPUTED_VALUE"""),118.0)</f>
        <v>118</v>
      </c>
      <c r="B120" s="2" t="str">
        <f>IFERROR(__xludf.DUMMYFUNCTION("""COMPUTED_VALUE"""),"CAMANGAAN WEST LANDOWNERS AND FARMERS IRRIGATORS ASSOCIATION INC.")</f>
        <v>CAMANGAAN WEST LANDOWNERS AND FARMERS IRRIGATORS ASSOCIATION INC.</v>
      </c>
      <c r="C120" s="2" t="str">
        <f>IFERROR(__xludf.DUMMYFUNCTION("""COMPUTED_VALUE"""),"Camangaan West, Moncada, TARLAC")</f>
        <v>Camangaan West, Moncada, TARLAC</v>
      </c>
      <c r="D120" s="2" t="str">
        <f>IFERROR(__xludf.DUMMYFUNCTION("""COMPUTED_VALUE"""),"Nestor M. Portuguez")</f>
        <v>Nestor M. Portuguez</v>
      </c>
      <c r="E120" s="2" t="str">
        <f>IFERROR(__xludf.DUMMYFUNCTION("""COMPUTED_VALUE"""),"0928-562-8422")</f>
        <v>0928-562-8422</v>
      </c>
      <c r="F120" s="2" t="str">
        <f>IFERROR(__xludf.DUMMYFUNCTION("""COMPUTED_VALUE"""),"RCEF 23-09-21 Rebidding")</f>
        <v>RCEF 23-09-21 Rebidding</v>
      </c>
      <c r="G120" s="2">
        <f>IFERROR(__xludf.DUMMYFUNCTION("""COMPUTED_VALUE"""),3.0)</f>
        <v>3</v>
      </c>
      <c r="H120" s="2">
        <f>IFERROR(__xludf.DUMMYFUNCTION("""COMPUTED_VALUE"""),17802.0)</f>
        <v>17802</v>
      </c>
      <c r="I120" s="2" t="str">
        <f>IFERROR(__xludf.DUMMYFUNCTION("""COMPUTED_VALUE"""),"KMC5825 AEPFPV0042")</f>
        <v>KMC5825 AEPFPV0042</v>
      </c>
      <c r="J120" s="2" t="str">
        <f>IFERROR(__xludf.DUMMYFUNCTION("""COMPUTED_VALUE"""),"PTS100125")</f>
        <v>PTS100125</v>
      </c>
      <c r="K120" s="2" t="str">
        <f>IFERROR(__xludf.DUMMYFUNCTION("""COMPUTED_VALUE"""),"R-SERIES 063PH")</f>
        <v>R-SERIES 063PH</v>
      </c>
      <c r="L120" s="2" t="str">
        <f>IFERROR(__xludf.DUMMYFUNCTION("""COMPUTED_VALUE"""),"LSGW1750-RMP-2312019")</f>
        <v>LSGW1750-RMP-2312019</v>
      </c>
      <c r="M120" s="2" t="str">
        <f>IFERROR(__xludf.DUMMYFUNCTION("""COMPUTED_VALUE"""),"WDP40-RMP-2312009")</f>
        <v>WDP40-RMP-2312009</v>
      </c>
      <c r="N120" s="2"/>
      <c r="O120" s="2" t="str">
        <f>IFERROR(__xludf.DUMMYFUNCTION("""COMPUTED_VALUE"""),"Camangaan West")</f>
        <v>Camangaan West</v>
      </c>
      <c r="P120" s="2" t="str">
        <f>IFERROR(__xludf.DUMMYFUNCTION("""COMPUTED_VALUE"""),"Moncada")</f>
        <v>Moncada</v>
      </c>
      <c r="Q120" s="2" t="str">
        <f>IFERROR(__xludf.DUMMYFUNCTION("""COMPUTED_VALUE"""),"Tarlac")</f>
        <v>Tarlac</v>
      </c>
      <c r="R120" s="2">
        <f>IFERROR(__xludf.DUMMYFUNCTION("""COMPUTED_VALUE"""),3.0)</f>
        <v>3</v>
      </c>
      <c r="S120" s="2"/>
      <c r="T120" s="2"/>
    </row>
    <row r="121">
      <c r="A121" s="1">
        <f>IFERROR(__xludf.DUMMYFUNCTION("""COMPUTED_VALUE"""),119.0)</f>
        <v>119</v>
      </c>
      <c r="B121" s="2" t="str">
        <f>IFERROR(__xludf.DUMMYFUNCTION("""COMPUTED_VALUE"""),"ACOCOLAO AGRI-FARMER'S ASSOCIATION")</f>
        <v>ACOCOLAO AGRI-FARMER'S ASSOCIATION</v>
      </c>
      <c r="C121" s="2" t="str">
        <f>IFERROR(__xludf.DUMMYFUNCTION("""COMPUTED_VALUE"""),"Acocolao, Paniqui, TARLAC")</f>
        <v>Acocolao, Paniqui, TARLAC</v>
      </c>
      <c r="D121" s="2" t="str">
        <f>IFERROR(__xludf.DUMMYFUNCTION("""COMPUTED_VALUE"""),"Reynando N. Sunio")</f>
        <v>Reynando N. Sunio</v>
      </c>
      <c r="E121" s="2" t="str">
        <f>IFERROR(__xludf.DUMMYFUNCTION("""COMPUTED_VALUE"""),"0995-016-6527")</f>
        <v>0995-016-6527</v>
      </c>
      <c r="F121" s="2" t="str">
        <f>IFERROR(__xludf.DUMMYFUNCTION("""COMPUTED_VALUE"""),"RCEF 23-09-21 Rebidding")</f>
        <v>RCEF 23-09-21 Rebidding</v>
      </c>
      <c r="G121" s="2">
        <f>IFERROR(__xludf.DUMMYFUNCTION("""COMPUTED_VALUE"""),3.0)</f>
        <v>3</v>
      </c>
      <c r="H121" s="2">
        <f>IFERROR(__xludf.DUMMYFUNCTION("""COMPUTED_VALUE"""),17803.0)</f>
        <v>17803</v>
      </c>
      <c r="I121" s="2" t="str">
        <f>IFERROR(__xludf.DUMMYFUNCTION("""COMPUTED_VALUE"""),"KMC5825 APPFPV0126")</f>
        <v>KMC5825 APPFPV0126</v>
      </c>
      <c r="J121" s="2" t="str">
        <f>IFERROR(__xludf.DUMMYFUNCTION("""COMPUTED_VALUE"""),"PTS100053")</f>
        <v>PTS100053</v>
      </c>
      <c r="K121" s="2" t="str">
        <f>IFERROR(__xludf.DUMMYFUNCTION("""COMPUTED_VALUE"""),"R-SERIES 103PH")</f>
        <v>R-SERIES 103PH</v>
      </c>
      <c r="L121" s="2" t="str">
        <f>IFERROR(__xludf.DUMMYFUNCTION("""COMPUTED_VALUE"""),"LSGW1750-RMP-2312045")</f>
        <v>LSGW1750-RMP-2312045</v>
      </c>
      <c r="M121" s="2" t="str">
        <f>IFERROR(__xludf.DUMMYFUNCTION("""COMPUTED_VALUE"""),"WDP40-RMP-2312050")</f>
        <v>WDP40-RMP-2312050</v>
      </c>
      <c r="N121" s="2"/>
      <c r="O121" s="2" t="str">
        <f>IFERROR(__xludf.DUMMYFUNCTION("""COMPUTED_VALUE"""),"Acocolao")</f>
        <v>Acocolao</v>
      </c>
      <c r="P121" s="2" t="str">
        <f>IFERROR(__xludf.DUMMYFUNCTION("""COMPUTED_VALUE"""),"Paniqui")</f>
        <v>Paniqui</v>
      </c>
      <c r="Q121" s="2" t="str">
        <f>IFERROR(__xludf.DUMMYFUNCTION("""COMPUTED_VALUE"""),"Tarlac")</f>
        <v>Tarlac</v>
      </c>
      <c r="R121" s="2">
        <f>IFERROR(__xludf.DUMMYFUNCTION("""COMPUTED_VALUE"""),3.0)</f>
        <v>3</v>
      </c>
      <c r="S121" s="2"/>
      <c r="T121" s="2"/>
    </row>
    <row r="122">
      <c r="A122" s="1">
        <f>IFERROR(__xludf.DUMMYFUNCTION("""COMPUTED_VALUE"""),120.0)</f>
        <v>120</v>
      </c>
      <c r="B122" s="2" t="str">
        <f>IFERROR(__xludf.DUMMYFUNCTION("""COMPUTED_VALUE"""),"Samput Farmers Association Inc.")</f>
        <v>Samput Farmers Association Inc.</v>
      </c>
      <c r="C122" s="2" t="str">
        <f>IFERROR(__xludf.DUMMYFUNCTION("""COMPUTED_VALUE"""),"Samput, Paniqui, TARLAC")</f>
        <v>Samput, Paniqui, TARLAC</v>
      </c>
      <c r="D122" s="2" t="str">
        <f>IFERROR(__xludf.DUMMYFUNCTION("""COMPUTED_VALUE"""),"Herolimo S. Vergara")</f>
        <v>Herolimo S. Vergara</v>
      </c>
      <c r="E122" s="2" t="str">
        <f>IFERROR(__xludf.DUMMYFUNCTION("""COMPUTED_VALUE"""),"0909-509-8491")</f>
        <v>0909-509-8491</v>
      </c>
      <c r="F122" s="2" t="str">
        <f>IFERROR(__xludf.DUMMYFUNCTION("""COMPUTED_VALUE"""),"RCEF 23-09-21 Rebidding")</f>
        <v>RCEF 23-09-21 Rebidding</v>
      </c>
      <c r="G122" s="2">
        <f>IFERROR(__xludf.DUMMYFUNCTION("""COMPUTED_VALUE"""),3.0)</f>
        <v>3</v>
      </c>
      <c r="H122" s="2">
        <f>IFERROR(__xludf.DUMMYFUNCTION("""COMPUTED_VALUE"""),17804.0)</f>
        <v>17804</v>
      </c>
      <c r="I122" s="2" t="str">
        <f>IFERROR(__xludf.DUMMYFUNCTION("""COMPUTED_VALUE"""),"KMC5825 AEPFPV0106")</f>
        <v>KMC5825 AEPFPV0106</v>
      </c>
      <c r="J122" s="2" t="str">
        <f>IFERROR(__xludf.DUMMYFUNCTION("""COMPUTED_VALUE"""),"PTS100100")</f>
        <v>PTS100100</v>
      </c>
      <c r="K122" s="2" t="str">
        <f>IFERROR(__xludf.DUMMYFUNCTION("""COMPUTED_VALUE"""),"R-SERIES 067PH")</f>
        <v>R-SERIES 067PH</v>
      </c>
      <c r="L122" s="2" t="str">
        <f>IFERROR(__xludf.DUMMYFUNCTION("""COMPUTED_VALUE"""),"LSGW1750-RMP-2312039")</f>
        <v>LSGW1750-RMP-2312039</v>
      </c>
      <c r="M122" s="2" t="str">
        <f>IFERROR(__xludf.DUMMYFUNCTION("""COMPUTED_VALUE"""),"WDP40-RMP-2312042")</f>
        <v>WDP40-RMP-2312042</v>
      </c>
      <c r="N122" s="2"/>
      <c r="O122" s="2" t="str">
        <f>IFERROR(__xludf.DUMMYFUNCTION("""COMPUTED_VALUE"""),"Samput")</f>
        <v>Samput</v>
      </c>
      <c r="P122" s="2" t="str">
        <f>IFERROR(__xludf.DUMMYFUNCTION("""COMPUTED_VALUE"""),"Paniqui")</f>
        <v>Paniqui</v>
      </c>
      <c r="Q122" s="2" t="str">
        <f>IFERROR(__xludf.DUMMYFUNCTION("""COMPUTED_VALUE"""),"Tarlac")</f>
        <v>Tarlac</v>
      </c>
      <c r="R122" s="2">
        <f>IFERROR(__xludf.DUMMYFUNCTION("""COMPUTED_VALUE"""),3.0)</f>
        <v>3</v>
      </c>
      <c r="S122" s="2"/>
      <c r="T122" s="2"/>
    </row>
    <row r="123">
      <c r="A123" s="1">
        <f>IFERROR(__xludf.DUMMYFUNCTION("""COMPUTED_VALUE"""),121.0)</f>
        <v>121</v>
      </c>
      <c r="B123" s="2" t="str">
        <f>IFERROR(__xludf.DUMMYFUNCTION("""COMPUTED_VALUE"""),"FARMERS IRRIGATORS ASSOCATION POB. 2 PURA TARLAC, INC.")</f>
        <v>FARMERS IRRIGATORS ASSOCATION POB. 2 PURA TARLAC, INC.</v>
      </c>
      <c r="C123" s="2" t="str">
        <f>IFERROR(__xludf.DUMMYFUNCTION("""COMPUTED_VALUE"""),"Poblacion 2, Pura, TARLAC")</f>
        <v>Poblacion 2, Pura, TARLAC</v>
      </c>
      <c r="D123" s="2" t="str">
        <f>IFERROR(__xludf.DUMMYFUNCTION("""COMPUTED_VALUE"""),"Dionisio A. Javier")</f>
        <v>Dionisio A. Javier</v>
      </c>
      <c r="E123" s="2" t="str">
        <f>IFERROR(__xludf.DUMMYFUNCTION("""COMPUTED_VALUE"""),"0948-776-6537")</f>
        <v>0948-776-6537</v>
      </c>
      <c r="F123" s="2" t="str">
        <f>IFERROR(__xludf.DUMMYFUNCTION("""COMPUTED_VALUE"""),"RCEF 23-09-21 Rebidding")</f>
        <v>RCEF 23-09-21 Rebidding</v>
      </c>
      <c r="G123" s="2">
        <f>IFERROR(__xludf.DUMMYFUNCTION("""COMPUTED_VALUE"""),3.0)</f>
        <v>3</v>
      </c>
      <c r="H123" s="2">
        <f>IFERROR(__xludf.DUMMYFUNCTION("""COMPUTED_VALUE"""),17805.0)</f>
        <v>17805</v>
      </c>
      <c r="I123" s="2" t="str">
        <f>IFERROR(__xludf.DUMMYFUNCTION("""COMPUTED_VALUE"""),"KMC5825 ALPFPV0121")</f>
        <v>KMC5825 ALPFPV0121</v>
      </c>
      <c r="J123" s="2" t="str">
        <f>IFERROR(__xludf.DUMMYFUNCTION("""COMPUTED_VALUE"""),"PTS100102")</f>
        <v>PTS100102</v>
      </c>
      <c r="K123" s="2" t="str">
        <f>IFERROR(__xludf.DUMMYFUNCTION("""COMPUTED_VALUE"""),"R-SERIES 036PH")</f>
        <v>R-SERIES 036PH</v>
      </c>
      <c r="L123" s="2" t="str">
        <f>IFERROR(__xludf.DUMMYFUNCTION("""COMPUTED_VALUE"""),"LSGW1750-RMP-2312017")</f>
        <v>LSGW1750-RMP-2312017</v>
      </c>
      <c r="M123" s="2" t="str">
        <f>IFERROR(__xludf.DUMMYFUNCTION("""COMPUTED_VALUE"""),"WDP40-RMP-2312003")</f>
        <v>WDP40-RMP-2312003</v>
      </c>
      <c r="N123" s="2"/>
      <c r="O123" s="2" t="str">
        <f>IFERROR(__xludf.DUMMYFUNCTION("""COMPUTED_VALUE"""),"Poblacion 2")</f>
        <v>Poblacion 2</v>
      </c>
      <c r="P123" s="2" t="str">
        <f>IFERROR(__xludf.DUMMYFUNCTION("""COMPUTED_VALUE"""),"Pura")</f>
        <v>Pura</v>
      </c>
      <c r="Q123" s="2" t="str">
        <f>IFERROR(__xludf.DUMMYFUNCTION("""COMPUTED_VALUE"""),"Tarlac")</f>
        <v>Tarlac</v>
      </c>
      <c r="R123" s="2">
        <f>IFERROR(__xludf.DUMMYFUNCTION("""COMPUTED_VALUE"""),3.0)</f>
        <v>3</v>
      </c>
      <c r="S123" s="2"/>
      <c r="T123" s="2"/>
    </row>
    <row r="124">
      <c r="A124" s="1">
        <f>IFERROR(__xludf.DUMMYFUNCTION("""COMPUTED_VALUE"""),122.0)</f>
        <v>122</v>
      </c>
      <c r="B124" s="2" t="str">
        <f>IFERROR(__xludf.DUMMYFUNCTION("""COMPUTED_VALUE"""),"MANNALON NGA NAURNOS TI PURA FARMERS ASSOCIATION Inc.")</f>
        <v>MANNALON NGA NAURNOS TI PURA FARMERS ASSOCIATION Inc.</v>
      </c>
      <c r="C124" s="2" t="str">
        <f>IFERROR(__xludf.DUMMYFUNCTION("""COMPUTED_VALUE"""),"Estipona, Pura, TARLAC")</f>
        <v>Estipona, Pura, TARLAC</v>
      </c>
      <c r="D124" s="2" t="str">
        <f>IFERROR(__xludf.DUMMYFUNCTION("""COMPUTED_VALUE"""),"Ceferina G. Pascua")</f>
        <v>Ceferina G. Pascua</v>
      </c>
      <c r="E124" s="2" t="str">
        <f>IFERROR(__xludf.DUMMYFUNCTION("""COMPUTED_VALUE"""),"0927-529-3448")</f>
        <v>0927-529-3448</v>
      </c>
      <c r="F124" s="2" t="str">
        <f>IFERROR(__xludf.DUMMYFUNCTION("""COMPUTED_VALUE"""),"RCEF 23-09-21 Rebidding")</f>
        <v>RCEF 23-09-21 Rebidding</v>
      </c>
      <c r="G124" s="2">
        <f>IFERROR(__xludf.DUMMYFUNCTION("""COMPUTED_VALUE"""),3.0)</f>
        <v>3</v>
      </c>
      <c r="H124" s="2">
        <f>IFERROR(__xludf.DUMMYFUNCTION("""COMPUTED_VALUE"""),17806.0)</f>
        <v>17806</v>
      </c>
      <c r="I124" s="2" t="str">
        <f>IFERROR(__xludf.DUMMYFUNCTION("""COMPUTED_VALUE"""),"KMC5825 AHPFPV0119")</f>
        <v>KMC5825 AHPFPV0119</v>
      </c>
      <c r="J124" s="2" t="str">
        <f>IFERROR(__xludf.DUMMYFUNCTION("""COMPUTED_VALUE"""),"PTS100101")</f>
        <v>PTS100101</v>
      </c>
      <c r="K124" s="2" t="str">
        <f>IFERROR(__xludf.DUMMYFUNCTION("""COMPUTED_VALUE"""),"R-SERIES 091PH")</f>
        <v>R-SERIES 091PH</v>
      </c>
      <c r="L124" s="2" t="str">
        <f>IFERROR(__xludf.DUMMYFUNCTION("""COMPUTED_VALUE"""),"LSGW1750-RMP-2312021")</f>
        <v>LSGW1750-RMP-2312021</v>
      </c>
      <c r="M124" s="2" t="str">
        <f>IFERROR(__xludf.DUMMYFUNCTION("""COMPUTED_VALUE"""),"WDP40-RMP-2312024")</f>
        <v>WDP40-RMP-2312024</v>
      </c>
      <c r="N124" s="2"/>
      <c r="O124" s="2" t="str">
        <f>IFERROR(__xludf.DUMMYFUNCTION("""COMPUTED_VALUE"""),"Estipona")</f>
        <v>Estipona</v>
      </c>
      <c r="P124" s="2" t="str">
        <f>IFERROR(__xludf.DUMMYFUNCTION("""COMPUTED_VALUE"""),"Pura")</f>
        <v>Pura</v>
      </c>
      <c r="Q124" s="2" t="str">
        <f>IFERROR(__xludf.DUMMYFUNCTION("""COMPUTED_VALUE"""),"Tarlac")</f>
        <v>Tarlac</v>
      </c>
      <c r="R124" s="2">
        <f>IFERROR(__xludf.DUMMYFUNCTION("""COMPUTED_VALUE"""),3.0)</f>
        <v>3</v>
      </c>
      <c r="S124" s="2"/>
      <c r="T124" s="2"/>
    </row>
    <row r="125">
      <c r="A125" s="1">
        <f>IFERROR(__xludf.DUMMYFUNCTION("""COMPUTED_VALUE"""),123.0)</f>
        <v>123</v>
      </c>
      <c r="B125" s="2" t="str">
        <f>IFERROR(__xludf.DUMMYFUNCTION("""COMPUTED_VALUE"""),"Pura Farmers Agriculture Cooperative (PFAC)")</f>
        <v>Pura Farmers Agriculture Cooperative (PFAC)</v>
      </c>
      <c r="C125" s="2" t="str">
        <f>IFERROR(__xludf.DUMMYFUNCTION("""COMPUTED_VALUE"""),"Poblacion 2, Pura, TARLAC")</f>
        <v>Poblacion 2, Pura, TARLAC</v>
      </c>
      <c r="D125" s="2" t="str">
        <f>IFERROR(__xludf.DUMMYFUNCTION("""COMPUTED_VALUE"""),"Severino P. Mendoza Jr.")</f>
        <v>Severino P. Mendoza Jr.</v>
      </c>
      <c r="E125" s="2" t="str">
        <f>IFERROR(__xludf.DUMMYFUNCTION("""COMPUTED_VALUE"""),"0917-709-5703")</f>
        <v>0917-709-5703</v>
      </c>
      <c r="F125" s="2" t="str">
        <f>IFERROR(__xludf.DUMMYFUNCTION("""COMPUTED_VALUE"""),"RCEF 23-09-21 Rebidding")</f>
        <v>RCEF 23-09-21 Rebidding</v>
      </c>
      <c r="G125" s="2">
        <f>IFERROR(__xludf.DUMMYFUNCTION("""COMPUTED_VALUE"""),3.0)</f>
        <v>3</v>
      </c>
      <c r="H125" s="2">
        <f>IFERROR(__xludf.DUMMYFUNCTION("""COMPUTED_VALUE"""),17807.0)</f>
        <v>17807</v>
      </c>
      <c r="I125" s="2" t="str">
        <f>IFERROR(__xludf.DUMMYFUNCTION("""COMPUTED_VALUE"""),"KMC5825 AJPFPV0081")</f>
        <v>KMC5825 AJPFPV0081</v>
      </c>
      <c r="J125" s="2" t="str">
        <f>IFERROR(__xludf.DUMMYFUNCTION("""COMPUTED_VALUE"""),"PTS100110")</f>
        <v>PTS100110</v>
      </c>
      <c r="K125" s="2" t="str">
        <f>IFERROR(__xludf.DUMMYFUNCTION("""COMPUTED_VALUE"""),"R-SERIES 037PH")</f>
        <v>R-SERIES 037PH</v>
      </c>
      <c r="L125" s="2" t="str">
        <f>IFERROR(__xludf.DUMMYFUNCTION("""COMPUTED_VALUE"""),"LSGW1750-RMP-2312040")</f>
        <v>LSGW1750-RMP-2312040</v>
      </c>
      <c r="M125" s="2" t="str">
        <f>IFERROR(__xludf.DUMMYFUNCTION("""COMPUTED_VALUE"""),"WDP40-RMP-2312071")</f>
        <v>WDP40-RMP-2312071</v>
      </c>
      <c r="N125" s="2"/>
      <c r="O125" s="2" t="str">
        <f>IFERROR(__xludf.DUMMYFUNCTION("""COMPUTED_VALUE"""),"Poblacion 2")</f>
        <v>Poblacion 2</v>
      </c>
      <c r="P125" s="2" t="str">
        <f>IFERROR(__xludf.DUMMYFUNCTION("""COMPUTED_VALUE"""),"Pura")</f>
        <v>Pura</v>
      </c>
      <c r="Q125" s="2" t="str">
        <f>IFERROR(__xludf.DUMMYFUNCTION("""COMPUTED_VALUE"""),"Tarlac")</f>
        <v>Tarlac</v>
      </c>
      <c r="R125" s="2">
        <f>IFERROR(__xludf.DUMMYFUNCTION("""COMPUTED_VALUE"""),3.0)</f>
        <v>3</v>
      </c>
      <c r="S125" s="2"/>
      <c r="T125" s="2"/>
    </row>
    <row r="126">
      <c r="A126" s="1">
        <f>IFERROR(__xludf.DUMMYFUNCTION("""COMPUTED_VALUE"""),124.0)</f>
        <v>124</v>
      </c>
      <c r="B126" s="2" t="str">
        <f>IFERROR(__xludf.DUMMYFUNCTION("""COMPUTED_VALUE"""),"Bakara Farmers Agriculture Cooperative (BFAC)")</f>
        <v>Bakara Farmers Agriculture Cooperative (BFAC)</v>
      </c>
      <c r="C126" s="2" t="str">
        <f>IFERROR(__xludf.DUMMYFUNCTION("""COMPUTED_VALUE"""),"Toledo, Ramos, TARLAC")</f>
        <v>Toledo, Ramos, TARLAC</v>
      </c>
      <c r="D126" s="2" t="str">
        <f>IFERROR(__xludf.DUMMYFUNCTION("""COMPUTED_VALUE"""),"Oliver R. Mandapat")</f>
        <v>Oliver R. Mandapat</v>
      </c>
      <c r="E126" s="2" t="str">
        <f>IFERROR(__xludf.DUMMYFUNCTION("""COMPUTED_VALUE"""),"0939-512-2970")</f>
        <v>0939-512-2970</v>
      </c>
      <c r="F126" s="2" t="str">
        <f>IFERROR(__xludf.DUMMYFUNCTION("""COMPUTED_VALUE"""),"RCEF 23-09-21 Rebidding")</f>
        <v>RCEF 23-09-21 Rebidding</v>
      </c>
      <c r="G126" s="2">
        <f>IFERROR(__xludf.DUMMYFUNCTION("""COMPUTED_VALUE"""),3.0)</f>
        <v>3</v>
      </c>
      <c r="H126" s="2">
        <f>IFERROR(__xludf.DUMMYFUNCTION("""COMPUTED_VALUE"""),17808.0)</f>
        <v>17808</v>
      </c>
      <c r="I126" s="2" t="str">
        <f>IFERROR(__xludf.DUMMYFUNCTION("""COMPUTED_VALUE"""),"KMC5825 ACPFPV0074")</f>
        <v>KMC5825 ACPFPV0074</v>
      </c>
      <c r="J126" s="2" t="str">
        <f>IFERROR(__xludf.DUMMYFUNCTION("""COMPUTED_VALUE"""),"PTS100059")</f>
        <v>PTS100059</v>
      </c>
      <c r="K126" s="2" t="str">
        <f>IFERROR(__xludf.DUMMYFUNCTION("""COMPUTED_VALUE"""),"R-SERIES 078PH")</f>
        <v>R-SERIES 078PH</v>
      </c>
      <c r="L126" s="2" t="str">
        <f>IFERROR(__xludf.DUMMYFUNCTION("""COMPUTED_VALUE"""),"LSGW1750-RMP-2312044")</f>
        <v>LSGW1750-RMP-2312044</v>
      </c>
      <c r="M126" s="2" t="str">
        <f>IFERROR(__xludf.DUMMYFUNCTION("""COMPUTED_VALUE"""),"WDP40-RMP-2312067")</f>
        <v>WDP40-RMP-2312067</v>
      </c>
      <c r="N126" s="2"/>
      <c r="O126" s="2" t="str">
        <f>IFERROR(__xludf.DUMMYFUNCTION("""COMPUTED_VALUE"""),"Toledo")</f>
        <v>Toledo</v>
      </c>
      <c r="P126" s="2" t="str">
        <f>IFERROR(__xludf.DUMMYFUNCTION("""COMPUTED_VALUE"""),"Ramos")</f>
        <v>Ramos</v>
      </c>
      <c r="Q126" s="2" t="str">
        <f>IFERROR(__xludf.DUMMYFUNCTION("""COMPUTED_VALUE"""),"Tarlac")</f>
        <v>Tarlac</v>
      </c>
      <c r="R126" s="2">
        <f>IFERROR(__xludf.DUMMYFUNCTION("""COMPUTED_VALUE"""),3.0)</f>
        <v>3</v>
      </c>
      <c r="S126" s="2"/>
      <c r="T126" s="2"/>
    </row>
    <row r="127">
      <c r="A127" s="1">
        <f>IFERROR(__xludf.DUMMYFUNCTION("""COMPUTED_VALUE"""),125.0)</f>
        <v>125</v>
      </c>
      <c r="B127" s="2" t="str">
        <f>IFERROR(__xludf.DUMMYFUNCTION("""COMPUTED_VALUE"""),"BAMBAN FARMERS AND LIVESTOCK ASSOCIATION")</f>
        <v>BAMBAN FARMERS AND LIVESTOCK ASSOCIATION</v>
      </c>
      <c r="C127" s="2" t="str">
        <f>IFERROR(__xludf.DUMMYFUNCTION("""COMPUTED_VALUE"""),"Bamban, San Clemente, TARLAC")</f>
        <v>Bamban, San Clemente, TARLAC</v>
      </c>
      <c r="D127" s="2" t="str">
        <f>IFERROR(__xludf.DUMMYFUNCTION("""COMPUTED_VALUE"""),"Modesto Alcala Jr.")</f>
        <v>Modesto Alcala Jr.</v>
      </c>
      <c r="E127" s="2" t="str">
        <f>IFERROR(__xludf.DUMMYFUNCTION("""COMPUTED_VALUE"""),"0910-140-0813")</f>
        <v>0910-140-0813</v>
      </c>
      <c r="F127" s="2" t="str">
        <f>IFERROR(__xludf.DUMMYFUNCTION("""COMPUTED_VALUE"""),"RCEF 23-09-21 Rebidding")</f>
        <v>RCEF 23-09-21 Rebidding</v>
      </c>
      <c r="G127" s="2">
        <f>IFERROR(__xludf.DUMMYFUNCTION("""COMPUTED_VALUE"""),3.0)</f>
        <v>3</v>
      </c>
      <c r="H127" s="2">
        <f>IFERROR(__xludf.DUMMYFUNCTION("""COMPUTED_VALUE"""),17809.0)</f>
        <v>17809</v>
      </c>
      <c r="I127" s="2" t="str">
        <f>IFERROR(__xludf.DUMMYFUNCTION("""COMPUTED_VALUE"""),"KMC5825 ACPFPV0065")</f>
        <v>KMC5825 ACPFPV0065</v>
      </c>
      <c r="J127" s="2" t="str">
        <f>IFERROR(__xludf.DUMMYFUNCTION("""COMPUTED_VALUE"""),"PTS100135")</f>
        <v>PTS100135</v>
      </c>
      <c r="K127" s="2" t="str">
        <f>IFERROR(__xludf.DUMMYFUNCTION("""COMPUTED_VALUE"""),"R-SERIES 081PH")</f>
        <v>R-SERIES 081PH</v>
      </c>
      <c r="L127" s="2" t="str">
        <f>IFERROR(__xludf.DUMMYFUNCTION("""COMPUTED_VALUE"""),"LSGW1750-RMP-2312037")</f>
        <v>LSGW1750-RMP-2312037</v>
      </c>
      <c r="M127" s="2" t="str">
        <f>IFERROR(__xludf.DUMMYFUNCTION("""COMPUTED_VALUE"""),"WDP40-RMP-2312075")</f>
        <v>WDP40-RMP-2312075</v>
      </c>
      <c r="N127" s="2"/>
      <c r="O127" s="2" t="str">
        <f>IFERROR(__xludf.DUMMYFUNCTION("""COMPUTED_VALUE"""),"Bamban")</f>
        <v>Bamban</v>
      </c>
      <c r="P127" s="2" t="str">
        <f>IFERROR(__xludf.DUMMYFUNCTION("""COMPUTED_VALUE"""),"San Clemente")</f>
        <v>San Clemente</v>
      </c>
      <c r="Q127" s="2" t="str">
        <f>IFERROR(__xludf.DUMMYFUNCTION("""COMPUTED_VALUE"""),"Tarlac")</f>
        <v>Tarlac</v>
      </c>
      <c r="R127" s="2">
        <f>IFERROR(__xludf.DUMMYFUNCTION("""COMPUTED_VALUE"""),3.0)</f>
        <v>3</v>
      </c>
      <c r="S127" s="2"/>
      <c r="T127" s="2"/>
    </row>
    <row r="128">
      <c r="A128" s="1">
        <f>IFERROR(__xludf.DUMMYFUNCTION("""COMPUTED_VALUE"""),126.0)</f>
        <v>126</v>
      </c>
      <c r="B128" s="2" t="str">
        <f>IFERROR(__xludf.DUMMYFUNCTION("""COMPUTED_VALUE"""),"Santiago Nagkakaisa Agriculture Cooperative")</f>
        <v>Santiago Nagkakaisa Agriculture Cooperative</v>
      </c>
      <c r="C128" s="2" t="str">
        <f>IFERROR(__xludf.DUMMYFUNCTION("""COMPUTED_VALUE"""),"Santiago, Gerona, TARLAC")</f>
        <v>Santiago, Gerona, TARLAC</v>
      </c>
      <c r="D128" s="2" t="str">
        <f>IFERROR(__xludf.DUMMYFUNCTION("""COMPUTED_VALUE"""),"Edwin L. Benitez")</f>
        <v>Edwin L. Benitez</v>
      </c>
      <c r="E128" s="2" t="str">
        <f>IFERROR(__xludf.DUMMYFUNCTION("""COMPUTED_VALUE"""),"0910-527-1046")</f>
        <v>0910-527-1046</v>
      </c>
      <c r="F128" s="2" t="str">
        <f>IFERROR(__xludf.DUMMYFUNCTION("""COMPUTED_VALUE"""),"RCEF 23-09-21 Rebidding")</f>
        <v>RCEF 23-09-21 Rebidding</v>
      </c>
      <c r="G128" s="2">
        <f>IFERROR(__xludf.DUMMYFUNCTION("""COMPUTED_VALUE"""),3.0)</f>
        <v>3</v>
      </c>
      <c r="H128" s="2">
        <f>IFERROR(__xludf.DUMMYFUNCTION("""COMPUTED_VALUE"""),17810.0)</f>
        <v>17810</v>
      </c>
      <c r="I128" s="2" t="str">
        <f>IFERROR(__xludf.DUMMYFUNCTION("""COMPUTED_VALUE"""),"KMC5825 AVPFPV0116")</f>
        <v>KMC5825 AVPFPV0116</v>
      </c>
      <c r="J128" s="2" t="str">
        <f>IFERROR(__xludf.DUMMYFUNCTION("""COMPUTED_VALUE"""),"PTS100043")</f>
        <v>PTS100043</v>
      </c>
      <c r="K128" s="2" t="str">
        <f>IFERROR(__xludf.DUMMYFUNCTION("""COMPUTED_VALUE"""),"R-SERIES 043PH")</f>
        <v>R-SERIES 043PH</v>
      </c>
      <c r="L128" s="2" t="str">
        <f>IFERROR(__xludf.DUMMYFUNCTION("""COMPUTED_VALUE"""),"LSGW1750-RMP-2312095")</f>
        <v>LSGW1750-RMP-2312095</v>
      </c>
      <c r="M128" s="2" t="str">
        <f>IFERROR(__xludf.DUMMYFUNCTION("""COMPUTED_VALUE"""),"WDP40-RMP-2312041")</f>
        <v>WDP40-RMP-2312041</v>
      </c>
      <c r="N128" s="2"/>
      <c r="O128" s="2" t="str">
        <f>IFERROR(__xludf.DUMMYFUNCTION("""COMPUTED_VALUE"""),"Santiago")</f>
        <v>Santiago</v>
      </c>
      <c r="P128" s="2" t="str">
        <f>IFERROR(__xludf.DUMMYFUNCTION("""COMPUTED_VALUE"""),"Gerona")</f>
        <v>Gerona</v>
      </c>
      <c r="Q128" s="2" t="str">
        <f>IFERROR(__xludf.DUMMYFUNCTION("""COMPUTED_VALUE"""),"Tarlac")</f>
        <v>Tarlac</v>
      </c>
      <c r="R128" s="2">
        <f>IFERROR(__xludf.DUMMYFUNCTION("""COMPUTED_VALUE"""),3.0)</f>
        <v>3</v>
      </c>
      <c r="S128" s="2"/>
      <c r="T128" s="2"/>
    </row>
    <row r="129">
      <c r="A129" s="1">
        <f>IFERROR(__xludf.DUMMYFUNCTION("""COMPUTED_VALUE"""),127.0)</f>
        <v>127</v>
      </c>
      <c r="B129" s="2" t="str">
        <f>IFERROR(__xludf.DUMMYFUNCTION("""COMPUTED_VALUE"""),"ASSOCIATION OF HARDWORKING FARMERS OF SAN JOSE")</f>
        <v>ASSOCIATION OF HARDWORKING FARMERS OF SAN JOSE</v>
      </c>
      <c r="C129" s="2" t="str">
        <f>IFERROR(__xludf.DUMMYFUNCTION("""COMPUTED_VALUE"""),"Mababanaba, San Jose, TARLAC")</f>
        <v>Mababanaba, San Jose, TARLAC</v>
      </c>
      <c r="D129" s="2" t="str">
        <f>IFERROR(__xludf.DUMMYFUNCTION("""COMPUTED_VALUE"""),"Rey P. Rombaoa")</f>
        <v>Rey P. Rombaoa</v>
      </c>
      <c r="E129" s="2" t="str">
        <f>IFERROR(__xludf.DUMMYFUNCTION("""COMPUTED_VALUE"""),"0963-680-5444")</f>
        <v>0963-680-5444</v>
      </c>
      <c r="F129" s="2" t="str">
        <f>IFERROR(__xludf.DUMMYFUNCTION("""COMPUTED_VALUE"""),"RCEF 23-09-21 Rebidding")</f>
        <v>RCEF 23-09-21 Rebidding</v>
      </c>
      <c r="G129" s="2">
        <f>IFERROR(__xludf.DUMMYFUNCTION("""COMPUTED_VALUE"""),3.0)</f>
        <v>3</v>
      </c>
      <c r="H129" s="2">
        <f>IFERROR(__xludf.DUMMYFUNCTION("""COMPUTED_VALUE"""),17811.0)</f>
        <v>17811</v>
      </c>
      <c r="I129" s="2" t="str">
        <f>IFERROR(__xludf.DUMMYFUNCTION("""COMPUTED_VALUE"""),"KMC5825 AKPFPV0113")</f>
        <v>KMC5825 AKPFPV0113</v>
      </c>
      <c r="J129" s="2" t="str">
        <f>IFERROR(__xludf.DUMMYFUNCTION("""COMPUTED_VALUE"""),"PTS100099")</f>
        <v>PTS100099</v>
      </c>
      <c r="K129" s="2" t="str">
        <f>IFERROR(__xludf.DUMMYFUNCTION("""COMPUTED_VALUE"""),"R-SERIES 058PH")</f>
        <v>R-SERIES 058PH</v>
      </c>
      <c r="L129" s="2" t="str">
        <f>IFERROR(__xludf.DUMMYFUNCTION("""COMPUTED_VALUE"""),"LSGW1750-RMP-2312113")</f>
        <v>LSGW1750-RMP-2312113</v>
      </c>
      <c r="M129" s="2" t="str">
        <f>IFERROR(__xludf.DUMMYFUNCTION("""COMPUTED_VALUE"""),"WDP40-RMP-2312043")</f>
        <v>WDP40-RMP-2312043</v>
      </c>
      <c r="N129" s="2"/>
      <c r="O129" s="2" t="str">
        <f>IFERROR(__xludf.DUMMYFUNCTION("""COMPUTED_VALUE"""),"Mababanaba")</f>
        <v>Mababanaba</v>
      </c>
      <c r="P129" s="2" t="str">
        <f>IFERROR(__xludf.DUMMYFUNCTION("""COMPUTED_VALUE"""),"San Jose")</f>
        <v>San Jose</v>
      </c>
      <c r="Q129" s="2" t="str">
        <f>IFERROR(__xludf.DUMMYFUNCTION("""COMPUTED_VALUE"""),"Tarlac")</f>
        <v>Tarlac</v>
      </c>
      <c r="R129" s="2">
        <f>IFERROR(__xludf.DUMMYFUNCTION("""COMPUTED_VALUE"""),3.0)</f>
        <v>3</v>
      </c>
      <c r="S129" s="2"/>
      <c r="T129" s="2"/>
    </row>
    <row r="130">
      <c r="A130" s="1">
        <f>IFERROR(__xludf.DUMMYFUNCTION("""COMPUTED_VALUE"""),128.0)</f>
        <v>128</v>
      </c>
      <c r="B130" s="2" t="str">
        <f>IFERROR(__xludf.DUMMYFUNCTION("""COMPUTED_VALUE"""),"David Communal Irrigators Association Incorporated")</f>
        <v>David Communal Irrigators Association Incorporated</v>
      </c>
      <c r="C130" s="2" t="str">
        <f>IFERROR(__xludf.DUMMYFUNCTION("""COMPUTED_VALUE"""),"David, San Jose, TARLAC")</f>
        <v>David, San Jose, TARLAC</v>
      </c>
      <c r="D130" s="2" t="str">
        <f>IFERROR(__xludf.DUMMYFUNCTION("""COMPUTED_VALUE"""),"Bernabe F. Macadangdang Jr.")</f>
        <v>Bernabe F. Macadangdang Jr.</v>
      </c>
      <c r="E130" s="2" t="str">
        <f>IFERROR(__xludf.DUMMYFUNCTION("""COMPUTED_VALUE"""),"0938-415-6295")</f>
        <v>0938-415-6295</v>
      </c>
      <c r="F130" s="2" t="str">
        <f>IFERROR(__xludf.DUMMYFUNCTION("""COMPUTED_VALUE"""),"RCEF 23-09-21 Rebidding")</f>
        <v>RCEF 23-09-21 Rebidding</v>
      </c>
      <c r="G130" s="2">
        <f>IFERROR(__xludf.DUMMYFUNCTION("""COMPUTED_VALUE"""),3.0)</f>
        <v>3</v>
      </c>
      <c r="H130" s="2">
        <f>IFERROR(__xludf.DUMMYFUNCTION("""COMPUTED_VALUE"""),17812.0)</f>
        <v>17812</v>
      </c>
      <c r="I130" s="2" t="str">
        <f>IFERROR(__xludf.DUMMYFUNCTION("""COMPUTED_VALUE"""),"KMC5825 AHPFPV0122")</f>
        <v>KMC5825 AHPFPV0122</v>
      </c>
      <c r="J130" s="2" t="str">
        <f>IFERROR(__xludf.DUMMYFUNCTION("""COMPUTED_VALUE"""),"PTS100157")</f>
        <v>PTS100157</v>
      </c>
      <c r="K130" s="2" t="str">
        <f>IFERROR(__xludf.DUMMYFUNCTION("""COMPUTED_VALUE"""),"R-SERIES 019PH")</f>
        <v>R-SERIES 019PH</v>
      </c>
      <c r="L130" s="2" t="str">
        <f>IFERROR(__xludf.DUMMYFUNCTION("""COMPUTED_VALUE"""),"LSGW1750-RMP-2312023")</f>
        <v>LSGW1750-RMP-2312023</v>
      </c>
      <c r="M130" s="2" t="str">
        <f>IFERROR(__xludf.DUMMYFUNCTION("""COMPUTED_VALUE"""),"WDP40-RMP-2312035")</f>
        <v>WDP40-RMP-2312035</v>
      </c>
      <c r="N130" s="2"/>
      <c r="O130" s="2" t="str">
        <f>IFERROR(__xludf.DUMMYFUNCTION("""COMPUTED_VALUE"""),"David")</f>
        <v>David</v>
      </c>
      <c r="P130" s="2" t="str">
        <f>IFERROR(__xludf.DUMMYFUNCTION("""COMPUTED_VALUE"""),"San Jose")</f>
        <v>San Jose</v>
      </c>
      <c r="Q130" s="2" t="str">
        <f>IFERROR(__xludf.DUMMYFUNCTION("""COMPUTED_VALUE"""),"Tarlac")</f>
        <v>Tarlac</v>
      </c>
      <c r="R130" s="2">
        <f>IFERROR(__xludf.DUMMYFUNCTION("""COMPUTED_VALUE"""),3.0)</f>
        <v>3</v>
      </c>
      <c r="S130" s="2"/>
      <c r="T130" s="2"/>
    </row>
    <row r="131">
      <c r="A131" s="1">
        <f>IFERROR(__xludf.DUMMYFUNCTION("""COMPUTED_VALUE"""),129.0)</f>
        <v>129</v>
      </c>
      <c r="B131" s="2" t="str">
        <f>IFERROR(__xludf.DUMMYFUNCTION("""COMPUTED_VALUE"""),"TRICUL FARMER IRRIGATORS ASSOCIATION, INC.")</f>
        <v>TRICUL FARMER IRRIGATORS ASSOCIATION, INC.</v>
      </c>
      <c r="C131" s="2" t="str">
        <f>IFERROR(__xludf.DUMMYFUNCTION("""COMPUTED_VALUE"""),"Culipat, Tarlac City, TARLAC")</f>
        <v>Culipat, Tarlac City, TARLAC</v>
      </c>
      <c r="D131" s="2" t="str">
        <f>IFERROR(__xludf.DUMMYFUNCTION("""COMPUTED_VALUE"""),"Gregorio S. Gualdad")</f>
        <v>Gregorio S. Gualdad</v>
      </c>
      <c r="E131" s="2" t="str">
        <f>IFERROR(__xludf.DUMMYFUNCTION("""COMPUTED_VALUE"""),"0912-697-6900")</f>
        <v>0912-697-6900</v>
      </c>
      <c r="F131" s="2" t="str">
        <f>IFERROR(__xludf.DUMMYFUNCTION("""COMPUTED_VALUE"""),"RCEF 23-09-21 Rebidding")</f>
        <v>RCEF 23-09-21 Rebidding</v>
      </c>
      <c r="G131" s="2">
        <f>IFERROR(__xludf.DUMMYFUNCTION("""COMPUTED_VALUE"""),3.0)</f>
        <v>3</v>
      </c>
      <c r="H131" s="2">
        <f>IFERROR(__xludf.DUMMYFUNCTION("""COMPUTED_VALUE"""),17813.0)</f>
        <v>17813</v>
      </c>
      <c r="I131" s="2" t="str">
        <f>IFERROR(__xludf.DUMMYFUNCTION("""COMPUTED_VALUE"""),"KMC5825 AVPFPV0049")</f>
        <v>KMC5825 AVPFPV0049</v>
      </c>
      <c r="J131" s="2" t="str">
        <f>IFERROR(__xludf.DUMMYFUNCTION("""COMPUTED_VALUE"""),"PTS100127")</f>
        <v>PTS100127</v>
      </c>
      <c r="K131" s="2" t="str">
        <f>IFERROR(__xludf.DUMMYFUNCTION("""COMPUTED_VALUE"""),"R-SERIES 071PH")</f>
        <v>R-SERIES 071PH</v>
      </c>
      <c r="L131" s="2" t="str">
        <f>IFERROR(__xludf.DUMMYFUNCTION("""COMPUTED_VALUE"""),"LSGW1750-RMP-2312111")</f>
        <v>LSGW1750-RMP-2312111</v>
      </c>
      <c r="M131" s="2" t="str">
        <f>IFERROR(__xludf.DUMMYFUNCTION("""COMPUTED_VALUE"""),"WDP40-RMP-2312060")</f>
        <v>WDP40-RMP-2312060</v>
      </c>
      <c r="N131" s="2"/>
      <c r="O131" s="2" t="str">
        <f>IFERROR(__xludf.DUMMYFUNCTION("""COMPUTED_VALUE"""),"Culipat")</f>
        <v>Culipat</v>
      </c>
      <c r="P131" s="2" t="str">
        <f>IFERROR(__xludf.DUMMYFUNCTION("""COMPUTED_VALUE"""),"Tarlac City")</f>
        <v>Tarlac City</v>
      </c>
      <c r="Q131" s="2" t="str">
        <f>IFERROR(__xludf.DUMMYFUNCTION("""COMPUTED_VALUE"""),"Tarlac")</f>
        <v>Tarlac</v>
      </c>
      <c r="R131" s="2">
        <f>IFERROR(__xludf.DUMMYFUNCTION("""COMPUTED_VALUE"""),3.0)</f>
        <v>3</v>
      </c>
      <c r="S131" s="2"/>
      <c r="T131" s="2"/>
    </row>
    <row r="132">
      <c r="A132" s="1">
        <f>IFERROR(__xludf.DUMMYFUNCTION("""COMPUTED_VALUE"""),130.0)</f>
        <v>130</v>
      </c>
      <c r="B132" s="2" t="str">
        <f>IFERROR(__xludf.DUMMYFUNCTION("""COMPUTED_VALUE"""),"TARLAC GROUNDWATER 66 MANGOLAGO FARMERS ASSOCIATIONS INC.")</f>
        <v>TARLAC GROUNDWATER 66 MANGOLAGO FARMERS ASSOCIATIONS INC.</v>
      </c>
      <c r="C132" s="2" t="str">
        <f>IFERROR(__xludf.DUMMYFUNCTION("""COMPUTED_VALUE"""),"Mangolago, Victoria, TARLAC")</f>
        <v>Mangolago, Victoria, TARLAC</v>
      </c>
      <c r="D132" s="2" t="str">
        <f>IFERROR(__xludf.DUMMYFUNCTION("""COMPUTED_VALUE"""),"Emma V. Tolentino")</f>
        <v>Emma V. Tolentino</v>
      </c>
      <c r="E132" s="2" t="str">
        <f>IFERROR(__xludf.DUMMYFUNCTION("""COMPUTED_VALUE"""),"0942-041-9939")</f>
        <v>0942-041-9939</v>
      </c>
      <c r="F132" s="2" t="str">
        <f>IFERROR(__xludf.DUMMYFUNCTION("""COMPUTED_VALUE"""),"RCEF 23-09-21 Rebidding")</f>
        <v>RCEF 23-09-21 Rebidding</v>
      </c>
      <c r="G132" s="2">
        <f>IFERROR(__xludf.DUMMYFUNCTION("""COMPUTED_VALUE"""),3.0)</f>
        <v>3</v>
      </c>
      <c r="H132" s="2">
        <f>IFERROR(__xludf.DUMMYFUNCTION("""COMPUTED_VALUE"""),17814.0)</f>
        <v>17814</v>
      </c>
      <c r="I132" s="2" t="str">
        <f>IFERROR(__xludf.DUMMYFUNCTION("""COMPUTED_VALUE"""),"KMC5825 AJPFPV0064")</f>
        <v>KMC5825 AJPFPV0064</v>
      </c>
      <c r="J132" s="2" t="str">
        <f>IFERROR(__xludf.DUMMYFUNCTION("""COMPUTED_VALUE"""),"PTS100114")</f>
        <v>PTS100114</v>
      </c>
      <c r="K132" s="2" t="str">
        <f>IFERROR(__xludf.DUMMYFUNCTION("""COMPUTED_VALUE"""),"R-SERIES 051PH")</f>
        <v>R-SERIES 051PH</v>
      </c>
      <c r="L132" s="2" t="str">
        <f>IFERROR(__xludf.DUMMYFUNCTION("""COMPUTED_VALUE"""),"LSGW1750-RMP-2312004")</f>
        <v>LSGW1750-RMP-2312004</v>
      </c>
      <c r="M132" s="2" t="str">
        <f>IFERROR(__xludf.DUMMYFUNCTION("""COMPUTED_VALUE"""),"WDP40-RMP-2312052")</f>
        <v>WDP40-RMP-2312052</v>
      </c>
      <c r="N132" s="2"/>
      <c r="O132" s="2" t="str">
        <f>IFERROR(__xludf.DUMMYFUNCTION("""COMPUTED_VALUE"""),"Mangolago")</f>
        <v>Mangolago</v>
      </c>
      <c r="P132" s="2" t="str">
        <f>IFERROR(__xludf.DUMMYFUNCTION("""COMPUTED_VALUE"""),"Victoria")</f>
        <v>Victoria</v>
      </c>
      <c r="Q132" s="2" t="str">
        <f>IFERROR(__xludf.DUMMYFUNCTION("""COMPUTED_VALUE"""),"Tarlac")</f>
        <v>Tarlac</v>
      </c>
      <c r="R132" s="2">
        <f>IFERROR(__xludf.DUMMYFUNCTION("""COMPUTED_VALUE"""),3.0)</f>
        <v>3</v>
      </c>
      <c r="S132" s="2"/>
      <c r="T132" s="2"/>
    </row>
    <row r="133">
      <c r="A133" s="1">
        <f>IFERROR(__xludf.DUMMYFUNCTION("""COMPUTED_VALUE"""),131.0)</f>
        <v>131</v>
      </c>
      <c r="B133" s="2" t="str">
        <f>IFERROR(__xludf.DUMMYFUNCTION("""COMPUTED_VALUE"""),"BAMBAN AGRICULTURAL FARMERS ASSOCIATION")</f>
        <v>BAMBAN AGRICULTURAL FARMERS ASSOCIATION</v>
      </c>
      <c r="C133" s="2" t="str">
        <f>IFERROR(__xludf.DUMMYFUNCTION("""COMPUTED_VALUE"""),"Anupul, Bamban, TARLAC")</f>
        <v>Anupul, Bamban, TARLAC</v>
      </c>
      <c r="D133" s="2" t="str">
        <f>IFERROR(__xludf.DUMMYFUNCTION("""COMPUTED_VALUE"""),"Yolanda S. Eduarte")</f>
        <v>Yolanda S. Eduarte</v>
      </c>
      <c r="E133" s="2" t="str">
        <f>IFERROR(__xludf.DUMMYFUNCTION("""COMPUTED_VALUE"""),"0949-991-7900 / 0961-284-4792")</f>
        <v>0949-991-7900 / 0961-284-4792</v>
      </c>
      <c r="F133" s="2" t="str">
        <f>IFERROR(__xludf.DUMMYFUNCTION("""COMPUTED_VALUE"""),"RCEF 23-09-21 Rebidding")</f>
        <v>RCEF 23-09-21 Rebidding</v>
      </c>
      <c r="G133" s="2">
        <f>IFERROR(__xludf.DUMMYFUNCTION("""COMPUTED_VALUE"""),3.0)</f>
        <v>3</v>
      </c>
      <c r="H133" s="2">
        <f>IFERROR(__xludf.DUMMYFUNCTION("""COMPUTED_VALUE"""),17815.0)</f>
        <v>17815</v>
      </c>
      <c r="I133" s="2" t="str">
        <f>IFERROR(__xludf.DUMMYFUNCTION("""COMPUTED_VALUE"""),"KMC5825 AJPFPV0078")</f>
        <v>KMC5825 AJPFPV0078</v>
      </c>
      <c r="J133" s="2" t="str">
        <f>IFERROR(__xludf.DUMMYFUNCTION("""COMPUTED_VALUE"""),"PTS100153")</f>
        <v>PTS100153</v>
      </c>
      <c r="K133" s="2" t="str">
        <f>IFERROR(__xludf.DUMMYFUNCTION("""COMPUTED_VALUE"""),"R-SERIES 092PH")</f>
        <v>R-SERIES 092PH</v>
      </c>
      <c r="L133" s="2" t="str">
        <f>IFERROR(__xludf.DUMMYFUNCTION("""COMPUTED_VALUE"""),"LSGW1750-RMP-2312097")</f>
        <v>LSGW1750-RMP-2312097</v>
      </c>
      <c r="M133" s="2" t="str">
        <f>IFERROR(__xludf.DUMMYFUNCTION("""COMPUTED_VALUE"""),"WDP40-RMP-2312051")</f>
        <v>WDP40-RMP-2312051</v>
      </c>
      <c r="N133" s="2"/>
      <c r="O133" s="2" t="str">
        <f>IFERROR(__xludf.DUMMYFUNCTION("""COMPUTED_VALUE"""),"Anupul")</f>
        <v>Anupul</v>
      </c>
      <c r="P133" s="2" t="str">
        <f>IFERROR(__xludf.DUMMYFUNCTION("""COMPUTED_VALUE"""),"Bamban")</f>
        <v>Bamban</v>
      </c>
      <c r="Q133" s="2" t="str">
        <f>IFERROR(__xludf.DUMMYFUNCTION("""COMPUTED_VALUE"""),"Tarlac")</f>
        <v>Tarlac</v>
      </c>
      <c r="R133" s="2">
        <f>IFERROR(__xludf.DUMMYFUNCTION("""COMPUTED_VALUE"""),3.0)</f>
        <v>3</v>
      </c>
      <c r="S133" s="2"/>
      <c r="T133" s="2"/>
    </row>
    <row r="134">
      <c r="A134" s="1">
        <f>IFERROR(__xludf.DUMMYFUNCTION("""COMPUTED_VALUE"""),132.0)</f>
        <v>132</v>
      </c>
      <c r="B134" s="2" t="str">
        <f>IFERROR(__xludf.DUMMYFUNCTION("""COMPUTED_VALUE"""),"Lucky 9 Farmers Agriculture Cooperative")</f>
        <v>Lucky 9 Farmers Agriculture Cooperative</v>
      </c>
      <c r="C134" s="2" t="str">
        <f>IFERROR(__xludf.DUMMYFUNCTION("""COMPUTED_VALUE"""),"Dolores, Capas, TARLAC")</f>
        <v>Dolores, Capas, TARLAC</v>
      </c>
      <c r="D134" s="2" t="str">
        <f>IFERROR(__xludf.DUMMYFUNCTION("""COMPUTED_VALUE"""),"Gerardo S. Garcia")</f>
        <v>Gerardo S. Garcia</v>
      </c>
      <c r="E134" s="2" t="str">
        <f>IFERROR(__xludf.DUMMYFUNCTION("""COMPUTED_VALUE"""),"0907-964-6260")</f>
        <v>0907-964-6260</v>
      </c>
      <c r="F134" s="2" t="str">
        <f>IFERROR(__xludf.DUMMYFUNCTION("""COMPUTED_VALUE"""),"RCEF 23-09-21 Rebidding")</f>
        <v>RCEF 23-09-21 Rebidding</v>
      </c>
      <c r="G134" s="2">
        <f>IFERROR(__xludf.DUMMYFUNCTION("""COMPUTED_VALUE"""),3.0)</f>
        <v>3</v>
      </c>
      <c r="H134" s="2">
        <f>IFERROR(__xludf.DUMMYFUNCTION("""COMPUTED_VALUE"""),17816.0)</f>
        <v>17816</v>
      </c>
      <c r="I134" s="2" t="str">
        <f>IFERROR(__xludf.DUMMYFUNCTION("""COMPUTED_VALUE"""),"KMC5825 AAPFPV0084")</f>
        <v>KMC5825 AAPFPV0084</v>
      </c>
      <c r="J134" s="2" t="str">
        <f>IFERROR(__xludf.DUMMYFUNCTION("""COMPUTED_VALUE"""),"PTS100156")</f>
        <v>PTS100156</v>
      </c>
      <c r="K134" s="2" t="str">
        <f>IFERROR(__xludf.DUMMYFUNCTION("""COMPUTED_VALUE"""),"R-SERIES 040PH")</f>
        <v>R-SERIES 040PH</v>
      </c>
      <c r="L134" s="2" t="str">
        <f>IFERROR(__xludf.DUMMYFUNCTION("""COMPUTED_VALUE"""),"LSGW1750-RMP-2312096")</f>
        <v>LSGW1750-RMP-2312096</v>
      </c>
      <c r="M134" s="2" t="str">
        <f>IFERROR(__xludf.DUMMYFUNCTION("""COMPUTED_VALUE"""),"WDP40-RMP-2312016")</f>
        <v>WDP40-RMP-2312016</v>
      </c>
      <c r="N134" s="2"/>
      <c r="O134" s="2" t="str">
        <f>IFERROR(__xludf.DUMMYFUNCTION("""COMPUTED_VALUE"""),"Dolores")</f>
        <v>Dolores</v>
      </c>
      <c r="P134" s="2" t="str">
        <f>IFERROR(__xludf.DUMMYFUNCTION("""COMPUTED_VALUE"""),"Capas")</f>
        <v>Capas</v>
      </c>
      <c r="Q134" s="2" t="str">
        <f>IFERROR(__xludf.DUMMYFUNCTION("""COMPUTED_VALUE"""),"Tarlac")</f>
        <v>Tarlac</v>
      </c>
      <c r="R134" s="2">
        <f>IFERROR(__xludf.DUMMYFUNCTION("""COMPUTED_VALUE"""),3.0)</f>
        <v>3</v>
      </c>
      <c r="S134" s="2"/>
      <c r="T134" s="2"/>
    </row>
    <row r="135">
      <c r="A135" s="1">
        <f>IFERROR(__xludf.DUMMYFUNCTION("""COMPUTED_VALUE"""),133.0)</f>
        <v>133</v>
      </c>
      <c r="B135" s="2" t="str">
        <f>IFERROR(__xludf.DUMMYFUNCTION("""COMPUTED_VALUE"""),"One Binyayan Farmers Agriculture Cooperative")</f>
        <v>One Binyayan Farmers Agriculture Cooperative</v>
      </c>
      <c r="C135" s="2" t="str">
        <f>IFERROR(__xludf.DUMMYFUNCTION("""COMPUTED_VALUE"""),"O'Donnell, Capas, TARLAC")</f>
        <v>O'Donnell, Capas, TARLAC</v>
      </c>
      <c r="D135" s="2" t="str">
        <f>IFERROR(__xludf.DUMMYFUNCTION("""COMPUTED_VALUE"""),"Aurelia M. Vistan")</f>
        <v>Aurelia M. Vistan</v>
      </c>
      <c r="E135" s="2" t="str">
        <f>IFERROR(__xludf.DUMMYFUNCTION("""COMPUTED_VALUE"""),"0908-716-5492")</f>
        <v>0908-716-5492</v>
      </c>
      <c r="F135" s="2" t="str">
        <f>IFERROR(__xludf.DUMMYFUNCTION("""COMPUTED_VALUE"""),"RCEF 23-09-21 Rebidding")</f>
        <v>RCEF 23-09-21 Rebidding</v>
      </c>
      <c r="G135" s="2">
        <f>IFERROR(__xludf.DUMMYFUNCTION("""COMPUTED_VALUE"""),3.0)</f>
        <v>3</v>
      </c>
      <c r="H135" s="2">
        <f>IFERROR(__xludf.DUMMYFUNCTION("""COMPUTED_VALUE"""),17817.0)</f>
        <v>17817</v>
      </c>
      <c r="I135" s="2" t="str">
        <f>IFERROR(__xludf.DUMMYFUNCTION("""COMPUTED_VALUE"""),"KMC5825 AAPFPV0117")</f>
        <v>KMC5825 AAPFPV0117</v>
      </c>
      <c r="J135" s="2" t="str">
        <f>IFERROR(__xludf.DUMMYFUNCTION("""COMPUTED_VALUE"""),"PTS100044")</f>
        <v>PTS100044</v>
      </c>
      <c r="K135" s="2" t="str">
        <f>IFERROR(__xludf.DUMMYFUNCTION("""COMPUTED_VALUE"""),"R-SERIES 059PH")</f>
        <v>R-SERIES 059PH</v>
      </c>
      <c r="L135" s="2" t="str">
        <f>IFERROR(__xludf.DUMMYFUNCTION("""COMPUTED_VALUE"""),"LSGW1750-RMP-2312005")</f>
        <v>LSGW1750-RMP-2312005</v>
      </c>
      <c r="M135" s="2" t="str">
        <f>IFERROR(__xludf.DUMMYFUNCTION("""COMPUTED_VALUE"""),"WDP40-RMP-2312039")</f>
        <v>WDP40-RMP-2312039</v>
      </c>
      <c r="N135" s="2"/>
      <c r="O135" s="2" t="str">
        <f>IFERROR(__xludf.DUMMYFUNCTION("""COMPUTED_VALUE"""),"O'Donnell")</f>
        <v>O'Donnell</v>
      </c>
      <c r="P135" s="2" t="str">
        <f>IFERROR(__xludf.DUMMYFUNCTION("""COMPUTED_VALUE"""),"Capas")</f>
        <v>Capas</v>
      </c>
      <c r="Q135" s="2" t="str">
        <f>IFERROR(__xludf.DUMMYFUNCTION("""COMPUTED_VALUE"""),"Tarlac")</f>
        <v>Tarlac</v>
      </c>
      <c r="R135" s="2">
        <f>IFERROR(__xludf.DUMMYFUNCTION("""COMPUTED_VALUE"""),3.0)</f>
        <v>3</v>
      </c>
      <c r="S135" s="2"/>
      <c r="T135" s="2"/>
    </row>
    <row r="136">
      <c r="A136" s="1">
        <f>IFERROR(__xludf.DUMMYFUNCTION("""COMPUTED_VALUE"""),134.0)</f>
        <v>134</v>
      </c>
      <c r="B136" s="2" t="str">
        <f>IFERROR(__xludf.DUMMYFUNCTION("""COMPUTED_VALUE"""),"Sta. Rosa Concepcion Farmers Agriculture Cooperative")</f>
        <v>Sta. Rosa Concepcion Farmers Agriculture Cooperative</v>
      </c>
      <c r="C136" s="2" t="str">
        <f>IFERROR(__xludf.DUMMYFUNCTION("""COMPUTED_VALUE"""),"Santa Rosa, Concepcion, TARLAC")</f>
        <v>Santa Rosa, Concepcion, TARLAC</v>
      </c>
      <c r="D136" s="2" t="str">
        <f>IFERROR(__xludf.DUMMYFUNCTION("""COMPUTED_VALUE"""),"Jefferson B. Castro")</f>
        <v>Jefferson B. Castro</v>
      </c>
      <c r="E136" s="2" t="str">
        <f>IFERROR(__xludf.DUMMYFUNCTION("""COMPUTED_VALUE"""),"0906-488-8656 / 0919-517-2074")</f>
        <v>0906-488-8656 / 0919-517-2074</v>
      </c>
      <c r="F136" s="2" t="str">
        <f>IFERROR(__xludf.DUMMYFUNCTION("""COMPUTED_VALUE"""),"RCEF 23-09-21 Rebidding")</f>
        <v>RCEF 23-09-21 Rebidding</v>
      </c>
      <c r="G136" s="2">
        <f>IFERROR(__xludf.DUMMYFUNCTION("""COMPUTED_VALUE"""),3.0)</f>
        <v>3</v>
      </c>
      <c r="H136" s="2">
        <f>IFERROR(__xludf.DUMMYFUNCTION("""COMPUTED_VALUE"""),17818.0)</f>
        <v>17818</v>
      </c>
      <c r="I136" s="2" t="str">
        <f>IFERROR(__xludf.DUMMYFUNCTION("""COMPUTED_VALUE"""),"KMC5825 ALPFPV0152")</f>
        <v>KMC5825 ALPFPV0152</v>
      </c>
      <c r="J136" s="2" t="str">
        <f>IFERROR(__xludf.DUMMYFUNCTION("""COMPUTED_VALUE"""),"PTS100147")</f>
        <v>PTS100147</v>
      </c>
      <c r="K136" s="2" t="str">
        <f>IFERROR(__xludf.DUMMYFUNCTION("""COMPUTED_VALUE"""),"R-SERIES 053PH")</f>
        <v>R-SERIES 053PH</v>
      </c>
      <c r="L136" s="2" t="str">
        <f>IFERROR(__xludf.DUMMYFUNCTION("""COMPUTED_VALUE"""),"LSGW1750-RMP-2312109")</f>
        <v>LSGW1750-RMP-2312109</v>
      </c>
      <c r="M136" s="2" t="str">
        <f>IFERROR(__xludf.DUMMYFUNCTION("""COMPUTED_VALUE"""),"WDP40-RMP-2312040")</f>
        <v>WDP40-RMP-2312040</v>
      </c>
      <c r="N136" s="2"/>
      <c r="O136" s="2" t="str">
        <f>IFERROR(__xludf.DUMMYFUNCTION("""COMPUTED_VALUE"""),"Santa Rosa")</f>
        <v>Santa Rosa</v>
      </c>
      <c r="P136" s="2" t="str">
        <f>IFERROR(__xludf.DUMMYFUNCTION("""COMPUTED_VALUE"""),"Concepcion")</f>
        <v>Concepcion</v>
      </c>
      <c r="Q136" s="2" t="str">
        <f>IFERROR(__xludf.DUMMYFUNCTION("""COMPUTED_VALUE"""),"Tarlac")</f>
        <v>Tarlac</v>
      </c>
      <c r="R136" s="2">
        <f>IFERROR(__xludf.DUMMYFUNCTION("""COMPUTED_VALUE"""),3.0)</f>
        <v>3</v>
      </c>
      <c r="S136" s="2"/>
      <c r="T136" s="2"/>
    </row>
    <row r="137">
      <c r="A137" s="1">
        <f>IFERROR(__xludf.DUMMYFUNCTION("""COMPUTED_VALUE"""),135.0)</f>
        <v>135</v>
      </c>
      <c r="B137" s="2" t="str">
        <f>IFERROR(__xludf.DUMMYFUNCTION("""COMPUTED_VALUE"""),"Mapalad Farmers Field School Agriculture Cooperative")</f>
        <v>Mapalad Farmers Field School Agriculture Cooperative</v>
      </c>
      <c r="C137" s="2" t="str">
        <f>IFERROR(__xludf.DUMMYFUNCTION("""COMPUTED_VALUE"""),"Lomboy, La Paz, TARLAC")</f>
        <v>Lomboy, La Paz, TARLAC</v>
      </c>
      <c r="D137" s="2" t="str">
        <f>IFERROR(__xludf.DUMMYFUNCTION("""COMPUTED_VALUE"""),"Nelylane B. Manzano")</f>
        <v>Nelylane B. Manzano</v>
      </c>
      <c r="E137" s="2" t="str">
        <f>IFERROR(__xludf.DUMMYFUNCTION("""COMPUTED_VALUE"""),"0907-795-2582")</f>
        <v>0907-795-2582</v>
      </c>
      <c r="F137" s="2" t="str">
        <f>IFERROR(__xludf.DUMMYFUNCTION("""COMPUTED_VALUE"""),"RCEF 23-09-21 Rebidding")</f>
        <v>RCEF 23-09-21 Rebidding</v>
      </c>
      <c r="G137" s="2">
        <f>IFERROR(__xludf.DUMMYFUNCTION("""COMPUTED_VALUE"""),3.0)</f>
        <v>3</v>
      </c>
      <c r="H137" s="2">
        <f>IFERROR(__xludf.DUMMYFUNCTION("""COMPUTED_VALUE"""),17819.0)</f>
        <v>17819</v>
      </c>
      <c r="I137" s="2" t="str">
        <f>IFERROR(__xludf.DUMMYFUNCTION("""COMPUTED_VALUE"""),"KMC5825 AEPFPV0154")</f>
        <v>KMC5825 AEPFPV0154</v>
      </c>
      <c r="J137" s="2" t="str">
        <f>IFERROR(__xludf.DUMMYFUNCTION("""COMPUTED_VALUE"""),"PTS100145")</f>
        <v>PTS100145</v>
      </c>
      <c r="K137" s="2" t="str">
        <f>IFERROR(__xludf.DUMMYFUNCTION("""COMPUTED_VALUE"""),"R-SERIES 089PH")</f>
        <v>R-SERIES 089PH</v>
      </c>
      <c r="L137" s="2" t="str">
        <f>IFERROR(__xludf.DUMMYFUNCTION("""COMPUTED_VALUE"""),"LSGW1750-RMP-2312098")</f>
        <v>LSGW1750-RMP-2312098</v>
      </c>
      <c r="M137" s="2" t="str">
        <f>IFERROR(__xludf.DUMMYFUNCTION("""COMPUTED_VALUE"""),"WDP40-RMP-2312017")</f>
        <v>WDP40-RMP-2312017</v>
      </c>
      <c r="N137" s="2"/>
      <c r="O137" s="2" t="str">
        <f>IFERROR(__xludf.DUMMYFUNCTION("""COMPUTED_VALUE"""),"Lomboy")</f>
        <v>Lomboy</v>
      </c>
      <c r="P137" s="2" t="str">
        <f>IFERROR(__xludf.DUMMYFUNCTION("""COMPUTED_VALUE"""),"La Paz")</f>
        <v>La Paz</v>
      </c>
      <c r="Q137" s="2" t="str">
        <f>IFERROR(__xludf.DUMMYFUNCTION("""COMPUTED_VALUE"""),"Tarlac")</f>
        <v>Tarlac</v>
      </c>
      <c r="R137" s="2">
        <f>IFERROR(__xludf.DUMMYFUNCTION("""COMPUTED_VALUE"""),3.0)</f>
        <v>3</v>
      </c>
      <c r="S137" s="2"/>
      <c r="T137" s="2"/>
    </row>
    <row r="138">
      <c r="A138" s="1">
        <f>IFERROR(__xludf.DUMMYFUNCTION("""COMPUTED_VALUE"""),136.0)</f>
        <v>136</v>
      </c>
      <c r="B138" s="2" t="str">
        <f>IFERROR(__xludf.DUMMYFUNCTION("""COMPUTED_VALUE"""),"MUNICIPAL LOCAL GOVERNMENT UNIT OF ABUCAY")</f>
        <v>MUNICIPAL LOCAL GOVERNMENT UNIT OF ABUCAY</v>
      </c>
      <c r="C138" s="2" t="str">
        <f>IFERROR(__xludf.DUMMYFUNCTION("""COMPUTED_VALUE"""),"Calaylayan (Pob.), Abucay, BATAAN")</f>
        <v>Calaylayan (Pob.), Abucay, BATAAN</v>
      </c>
      <c r="D138" s="2" t="str">
        <f>IFERROR(__xludf.DUMMYFUNCTION("""COMPUTED_VALUE"""),"Mayor- Liberato P. Santiago Jr./ MA- Eraño Marabe")</f>
        <v>Mayor- Liberato P. Santiago Jr./ MA- Eraño Marabe</v>
      </c>
      <c r="E138" s="2" t="str">
        <f>IFERROR(__xludf.DUMMYFUNCTION("""COMPUTED_VALUE"""),"0918-587-3906")</f>
        <v>0918-587-3906</v>
      </c>
      <c r="F138" s="2" t="str">
        <f>IFERROR(__xludf.DUMMYFUNCTION("""COMPUTED_VALUE"""),"RCEF 23-09-21 Rebidding")</f>
        <v>RCEF 23-09-21 Rebidding</v>
      </c>
      <c r="G138" s="2">
        <f>IFERROR(__xludf.DUMMYFUNCTION("""COMPUTED_VALUE"""),3.0)</f>
        <v>3</v>
      </c>
      <c r="H138" s="2">
        <f>IFERROR(__xludf.DUMMYFUNCTION("""COMPUTED_VALUE"""),17872.0)</f>
        <v>17872</v>
      </c>
      <c r="I138" s="2" t="str">
        <f>IFERROR(__xludf.DUMMYFUNCTION("""COMPUTED_VALUE"""),"KMC5825 ACPFPV0132")</f>
        <v>KMC5825 ACPFPV0132</v>
      </c>
      <c r="J138" s="2" t="str">
        <f>IFERROR(__xludf.DUMMYFUNCTION("""COMPUTED_VALUE"""),"PTS100042")</f>
        <v>PTS100042</v>
      </c>
      <c r="K138" s="2" t="str">
        <f>IFERROR(__xludf.DUMMYFUNCTION("""COMPUTED_VALUE"""),"R-SERIES 076PH")</f>
        <v>R-SERIES 076PH</v>
      </c>
      <c r="L138" s="2" t="str">
        <f>IFERROR(__xludf.DUMMYFUNCTION("""COMPUTED_VALUE"""),"LSGW1750 RMP 2312100")</f>
        <v>LSGW1750 RMP 2312100</v>
      </c>
      <c r="M138" s="2" t="str">
        <f>IFERROR(__xludf.DUMMYFUNCTION("""COMPUTED_VALUE"""),"WDP40-RMP-2312006")</f>
        <v>WDP40-RMP-2312006</v>
      </c>
      <c r="N138" s="2"/>
      <c r="O138" s="2" t="str">
        <f>IFERROR(__xludf.DUMMYFUNCTION("""COMPUTED_VALUE"""),"Calaylayan (Pob.)")</f>
        <v>Calaylayan (Pob.)</v>
      </c>
      <c r="P138" s="2" t="str">
        <f>IFERROR(__xludf.DUMMYFUNCTION("""COMPUTED_VALUE"""),"Abucay")</f>
        <v>Abucay</v>
      </c>
      <c r="Q138" s="2" t="str">
        <f>IFERROR(__xludf.DUMMYFUNCTION("""COMPUTED_VALUE"""),"Bataan")</f>
        <v>Bataan</v>
      </c>
      <c r="R138" s="2">
        <f>IFERROR(__xludf.DUMMYFUNCTION("""COMPUTED_VALUE"""),3.0)</f>
        <v>3</v>
      </c>
      <c r="S138" s="2"/>
      <c r="T138" s="2"/>
    </row>
    <row r="139">
      <c r="A139" s="1">
        <f>IFERROR(__xludf.DUMMYFUNCTION("""COMPUTED_VALUE"""),137.0)</f>
        <v>137</v>
      </c>
      <c r="B139" s="2" t="str">
        <f>IFERROR(__xludf.DUMMYFUNCTION("""COMPUTED_VALUE"""),"PARAPAL SMALL WATER IMPOUNDING SYSTEM ASSOCIATION")</f>
        <v>PARAPAL SMALL WATER IMPOUNDING SYSTEM ASSOCIATION</v>
      </c>
      <c r="C139" s="2" t="str">
        <f>IFERROR(__xludf.DUMMYFUNCTION("""COMPUTED_VALUE"""),"Mabiga, Hermosa, BATAAN")</f>
        <v>Mabiga, Hermosa, BATAAN</v>
      </c>
      <c r="D139" s="2" t="str">
        <f>IFERROR(__xludf.DUMMYFUNCTION("""COMPUTED_VALUE"""),"Leonardo Cruz")</f>
        <v>Leonardo Cruz</v>
      </c>
      <c r="E139" s="2" t="str">
        <f>IFERROR(__xludf.DUMMYFUNCTION("""COMPUTED_VALUE"""),"0948-976-1312")</f>
        <v>0948-976-1312</v>
      </c>
      <c r="F139" s="2" t="str">
        <f>IFERROR(__xludf.DUMMYFUNCTION("""COMPUTED_VALUE"""),"RCEF 23-09-21 Rebidding")</f>
        <v>RCEF 23-09-21 Rebidding</v>
      </c>
      <c r="G139" s="2">
        <f>IFERROR(__xludf.DUMMYFUNCTION("""COMPUTED_VALUE"""),3.0)</f>
        <v>3</v>
      </c>
      <c r="H139" s="2">
        <f>IFERROR(__xludf.DUMMYFUNCTION("""COMPUTED_VALUE"""),17873.0)</f>
        <v>17873</v>
      </c>
      <c r="I139" s="2" t="str">
        <f>IFERROR(__xludf.DUMMYFUNCTION("""COMPUTED_VALUE"""),"KMC5825 APPFPV0045")</f>
        <v>KMC5825 APPFPV0045</v>
      </c>
      <c r="J139" s="2" t="str">
        <f>IFERROR(__xludf.DUMMYFUNCTION("""COMPUTED_VALUE"""),"PTS100062")</f>
        <v>PTS100062</v>
      </c>
      <c r="K139" s="2" t="str">
        <f>IFERROR(__xludf.DUMMYFUNCTION("""COMPUTED_VALUE"""),"R-SERIES 079PH")</f>
        <v>R-SERIES 079PH</v>
      </c>
      <c r="L139" s="2" t="str">
        <f>IFERROR(__xludf.DUMMYFUNCTION("""COMPUTED_VALUE"""),"LSGW1750 RMP 2312101")</f>
        <v>LSGW1750 RMP 2312101</v>
      </c>
      <c r="M139" s="2" t="str">
        <f>IFERROR(__xludf.DUMMYFUNCTION("""COMPUTED_VALUE"""),"WDP40 RMP 2312023")</f>
        <v>WDP40 RMP 2312023</v>
      </c>
      <c r="N139" s="2"/>
      <c r="O139" s="2" t="str">
        <f>IFERROR(__xludf.DUMMYFUNCTION("""COMPUTED_VALUE"""),"Mabiga")</f>
        <v>Mabiga</v>
      </c>
      <c r="P139" s="2" t="str">
        <f>IFERROR(__xludf.DUMMYFUNCTION("""COMPUTED_VALUE"""),"Hermosa")</f>
        <v>Hermosa</v>
      </c>
      <c r="Q139" s="2" t="str">
        <f>IFERROR(__xludf.DUMMYFUNCTION("""COMPUTED_VALUE"""),"Bataan")</f>
        <v>Bataan</v>
      </c>
      <c r="R139" s="2">
        <f>IFERROR(__xludf.DUMMYFUNCTION("""COMPUTED_VALUE"""),3.0)</f>
        <v>3</v>
      </c>
      <c r="S139" s="2"/>
      <c r="T139" s="2"/>
    </row>
    <row r="140">
      <c r="A140" s="1">
        <f>IFERROR(__xludf.DUMMYFUNCTION("""COMPUTED_VALUE"""),138.0)</f>
        <v>138</v>
      </c>
      <c r="B140" s="2" t="str">
        <f>IFERROR(__xludf.DUMMYFUNCTION("""COMPUTED_VALUE"""),"SAN PEDRO FARMERS ASSOCIATION")</f>
        <v>SAN PEDRO FARMERS ASSOCIATION</v>
      </c>
      <c r="C140" s="2" t="str">
        <f>IFERROR(__xludf.DUMMYFUNCTION("""COMPUTED_VALUE"""),"San Pedro (Pob.), Hermosa, BATAAN")</f>
        <v>San Pedro (Pob.), Hermosa, BATAAN</v>
      </c>
      <c r="D140" s="2" t="str">
        <f>IFERROR(__xludf.DUMMYFUNCTION("""COMPUTED_VALUE"""),"ALEJANDRO B. MOJICA, JR.")</f>
        <v>ALEJANDRO B. MOJICA, JR.</v>
      </c>
      <c r="E140" s="2" t="str">
        <f>IFERROR(__xludf.DUMMYFUNCTION("""COMPUTED_VALUE"""),"0920-8017-267")</f>
        <v>0920-8017-267</v>
      </c>
      <c r="F140" s="2" t="str">
        <f>IFERROR(__xludf.DUMMYFUNCTION("""COMPUTED_VALUE"""),"RCEF 23-09-21 Rebidding")</f>
        <v>RCEF 23-09-21 Rebidding</v>
      </c>
      <c r="G140" s="2">
        <f>IFERROR(__xludf.DUMMYFUNCTION("""COMPUTED_VALUE"""),3.0)</f>
        <v>3</v>
      </c>
      <c r="H140" s="2">
        <f>IFERROR(__xludf.DUMMYFUNCTION("""COMPUTED_VALUE"""),17874.0)</f>
        <v>17874</v>
      </c>
      <c r="I140" s="2" t="str">
        <f>IFERROR(__xludf.DUMMYFUNCTION("""COMPUTED_VALUE"""),"KMC5825 APPFPV0062")</f>
        <v>KMC5825 APPFPV0062</v>
      </c>
      <c r="J140" s="2" t="str">
        <f>IFERROR(__xludf.DUMMYFUNCTION("""COMPUTED_VALUE"""),"PTS 100107")</f>
        <v>PTS 100107</v>
      </c>
      <c r="K140" s="2" t="str">
        <f>IFERROR(__xludf.DUMMYFUNCTION("""COMPUTED_VALUE"""),"R-SERIES 082 PH")</f>
        <v>R-SERIES 082 PH</v>
      </c>
      <c r="L140" s="2" t="str">
        <f>IFERROR(__xludf.DUMMYFUNCTION("""COMPUTED_VALUE"""),"LSGW1750 RMP 2312103")</f>
        <v>LSGW1750 RMP 2312103</v>
      </c>
      <c r="M140" s="2" t="str">
        <f>IFERROR(__xludf.DUMMYFUNCTION("""COMPUTED_VALUE"""),"WDP40 RMP 2312007")</f>
        <v>WDP40 RMP 2312007</v>
      </c>
      <c r="N140" s="2"/>
      <c r="O140" s="2" t="str">
        <f>IFERROR(__xludf.DUMMYFUNCTION("""COMPUTED_VALUE"""),"San Pedro (Pob.)")</f>
        <v>San Pedro (Pob.)</v>
      </c>
      <c r="P140" s="2" t="str">
        <f>IFERROR(__xludf.DUMMYFUNCTION("""COMPUTED_VALUE"""),"Hermosa")</f>
        <v>Hermosa</v>
      </c>
      <c r="Q140" s="2" t="str">
        <f>IFERROR(__xludf.DUMMYFUNCTION("""COMPUTED_VALUE"""),"Bataan")</f>
        <v>Bataan</v>
      </c>
      <c r="R140" s="2">
        <f>IFERROR(__xludf.DUMMYFUNCTION("""COMPUTED_VALUE"""),3.0)</f>
        <v>3</v>
      </c>
      <c r="S140" s="2"/>
      <c r="T140" s="2"/>
    </row>
    <row r="141">
      <c r="A141" s="1">
        <f>IFERROR(__xludf.DUMMYFUNCTION("""COMPUTED_VALUE"""),139.0)</f>
        <v>139</v>
      </c>
      <c r="B141" s="2" t="str">
        <f>IFERROR(__xludf.DUMMYFUNCTION("""COMPUTED_VALUE"""),"GREATEST MANIMAS FARMERS AND FISHERFOLKS ASSOCIATION")</f>
        <v>GREATEST MANIMAS FARMERS AND FISHERFOLKS ASSOCIATION</v>
      </c>
      <c r="C141" s="2" t="str">
        <f>IFERROR(__xludf.DUMMYFUNCTION("""COMPUTED_VALUE"""),"Cataning, Balanga City, BATAAN")</f>
        <v>Cataning, Balanga City, BATAAN</v>
      </c>
      <c r="D141" s="2" t="str">
        <f>IFERROR(__xludf.DUMMYFUNCTION("""COMPUTED_VALUE"""),"Renato S. Carig")</f>
        <v>Renato S. Carig</v>
      </c>
      <c r="E141" s="2" t="str">
        <f>IFERROR(__xludf.DUMMYFUNCTION("""COMPUTED_VALUE"""),"0939-958-8174")</f>
        <v>0939-958-8174</v>
      </c>
      <c r="F141" s="2" t="str">
        <f>IFERROR(__xludf.DUMMYFUNCTION("""COMPUTED_VALUE"""),"RCEF 23-09-21 Rebidding")</f>
        <v>RCEF 23-09-21 Rebidding</v>
      </c>
      <c r="G141" s="2">
        <f>IFERROR(__xludf.DUMMYFUNCTION("""COMPUTED_VALUE"""),3.0)</f>
        <v>3</v>
      </c>
      <c r="H141" s="2">
        <f>IFERROR(__xludf.DUMMYFUNCTION("""COMPUTED_VALUE"""),17875.0)</f>
        <v>17875</v>
      </c>
      <c r="I141" s="2" t="str">
        <f>IFERROR(__xludf.DUMMYFUNCTION("""COMPUTED_VALUE"""),"KMC5825 AVPFPV0102")</f>
        <v>KMC5825 AVPFPV0102</v>
      </c>
      <c r="J141" s="2" t="str">
        <f>IFERROR(__xludf.DUMMYFUNCTION("""COMPUTED_VALUE"""),"PTS 100066")</f>
        <v>PTS 100066</v>
      </c>
      <c r="K141" s="2" t="str">
        <f>IFERROR(__xludf.DUMMYFUNCTION("""COMPUTED_VALUE"""),"R-SERIES 086 PH")</f>
        <v>R-SERIES 086 PH</v>
      </c>
      <c r="L141" s="2" t="str">
        <f>IFERROR(__xludf.DUMMYFUNCTION("""COMPUTED_VALUE"""),"LSGW1750 RMP 2312120")</f>
        <v>LSGW1750 RMP 2312120</v>
      </c>
      <c r="M141" s="2" t="str">
        <f>IFERROR(__xludf.DUMMYFUNCTION("""COMPUTED_VALUE"""),"WDP40 RMP 2312036")</f>
        <v>WDP40 RMP 2312036</v>
      </c>
      <c r="N141" s="2"/>
      <c r="O141" s="2" t="str">
        <f>IFERROR(__xludf.DUMMYFUNCTION("""COMPUTED_VALUE"""),"Cataning")</f>
        <v>Cataning</v>
      </c>
      <c r="P141" s="2" t="str">
        <f>IFERROR(__xludf.DUMMYFUNCTION("""COMPUTED_VALUE"""),"Balanga City")</f>
        <v>Balanga City</v>
      </c>
      <c r="Q141" s="2" t="str">
        <f>IFERROR(__xludf.DUMMYFUNCTION("""COMPUTED_VALUE"""),"Bataan")</f>
        <v>Bataan</v>
      </c>
      <c r="R141" s="2">
        <f>IFERROR(__xludf.DUMMYFUNCTION("""COMPUTED_VALUE"""),3.0)</f>
        <v>3</v>
      </c>
      <c r="S141" s="2"/>
      <c r="T141" s="2"/>
    </row>
    <row r="142">
      <c r="A142" s="1">
        <f>IFERROR(__xludf.DUMMYFUNCTION("""COMPUTED_VALUE"""),140.0)</f>
        <v>140</v>
      </c>
      <c r="B142" s="2" t="str">
        <f>IFERROR(__xludf.DUMMYFUNCTION("""COMPUTED_VALUE"""),"COMMUNITY SAVERS AGRICULTURE COOPERATIVE")</f>
        <v>COMMUNITY SAVERS AGRICULTURE COOPERATIVE</v>
      </c>
      <c r="C142" s="2" t="str">
        <f>IFERROR(__xludf.DUMMYFUNCTION("""COMPUTED_VALUE"""),"Banawang, Bagac, BATAAN")</f>
        <v>Banawang, Bagac, BATAAN</v>
      </c>
      <c r="D142" s="2" t="str">
        <f>IFERROR(__xludf.DUMMYFUNCTION("""COMPUTED_VALUE"""),"Emelita T. Quiroz")</f>
        <v>Emelita T. Quiroz</v>
      </c>
      <c r="E142" s="2" t="str">
        <f>IFERROR(__xludf.DUMMYFUNCTION("""COMPUTED_VALUE"""),"0912-765-3885")</f>
        <v>0912-765-3885</v>
      </c>
      <c r="F142" s="2" t="str">
        <f>IFERROR(__xludf.DUMMYFUNCTION("""COMPUTED_VALUE"""),"RCEF 23-09-21 Rebidding")</f>
        <v>RCEF 23-09-21 Rebidding</v>
      </c>
      <c r="G142" s="2">
        <f>IFERROR(__xludf.DUMMYFUNCTION("""COMPUTED_VALUE"""),3.0)</f>
        <v>3</v>
      </c>
      <c r="H142" s="2">
        <f>IFERROR(__xludf.DUMMYFUNCTION("""COMPUTED_VALUE"""),17876.0)</f>
        <v>17876</v>
      </c>
      <c r="I142" s="2" t="str">
        <f>IFERROR(__xludf.DUMMYFUNCTION("""COMPUTED_VALUE"""),"KMC5825 AHPFPV0136")</f>
        <v>KMC5825 AHPFPV0136</v>
      </c>
      <c r="J142" s="2" t="str">
        <f>IFERROR(__xludf.DUMMYFUNCTION("""COMPUTED_VALUE"""),"PTS 100069")</f>
        <v>PTS 100069</v>
      </c>
      <c r="K142" s="2" t="str">
        <f>IFERROR(__xludf.DUMMYFUNCTION("""COMPUTED_VALUE"""),"R-SERIES 100 PH")</f>
        <v>R-SERIES 100 PH</v>
      </c>
      <c r="L142" s="2" t="str">
        <f>IFERROR(__xludf.DUMMYFUNCTION("""COMPUTED_VALUE"""),"LSGW1750 RMP 2312133")</f>
        <v>LSGW1750 RMP 2312133</v>
      </c>
      <c r="M142" s="2" t="str">
        <f>IFERROR(__xludf.DUMMYFUNCTION("""COMPUTED_VALUE"""),"WDP40 RMP 2312018")</f>
        <v>WDP40 RMP 2312018</v>
      </c>
      <c r="N142" s="2"/>
      <c r="O142" s="2" t="str">
        <f>IFERROR(__xludf.DUMMYFUNCTION("""COMPUTED_VALUE"""),"Banawang")</f>
        <v>Banawang</v>
      </c>
      <c r="P142" s="2" t="str">
        <f>IFERROR(__xludf.DUMMYFUNCTION("""COMPUTED_VALUE"""),"Bagac")</f>
        <v>Bagac</v>
      </c>
      <c r="Q142" s="2" t="str">
        <f>IFERROR(__xludf.DUMMYFUNCTION("""COMPUTED_VALUE"""),"Bataan")</f>
        <v>Bataan</v>
      </c>
      <c r="R142" s="2">
        <f>IFERROR(__xludf.DUMMYFUNCTION("""COMPUTED_VALUE"""),3.0)</f>
        <v>3</v>
      </c>
      <c r="S142" s="2"/>
      <c r="T142" s="2"/>
    </row>
    <row r="143">
      <c r="A143" s="1">
        <f>IFERROR(__xludf.DUMMYFUNCTION("""COMPUTED_VALUE"""),141.0)</f>
        <v>141</v>
      </c>
      <c r="B143" s="2" t="str">
        <f>IFERROR(__xludf.DUMMYFUNCTION("""COMPUTED_VALUE"""),"GINTONG SAMAHAN NG MAGSASAKA NG PAGALANGGANG")</f>
        <v>GINTONG SAMAHAN NG MAGSASAKA NG PAGALANGGANG</v>
      </c>
      <c r="C143" s="2" t="str">
        <f>IFERROR(__xludf.DUMMYFUNCTION("""COMPUTED_VALUE"""),"Pagalanggang, Dinalupihan, BATAAN")</f>
        <v>Pagalanggang, Dinalupihan, BATAAN</v>
      </c>
      <c r="D143" s="2" t="str">
        <f>IFERROR(__xludf.DUMMYFUNCTION("""COMPUTED_VALUE"""),"Edgardo M. De Guzman")</f>
        <v>Edgardo M. De Guzman</v>
      </c>
      <c r="E143" s="2" t="str">
        <f>IFERROR(__xludf.DUMMYFUNCTION("""COMPUTED_VALUE"""),"0999-429-7657/ 0948-984-8571")</f>
        <v>0999-429-7657/ 0948-984-8571</v>
      </c>
      <c r="F143" s="2" t="str">
        <f>IFERROR(__xludf.DUMMYFUNCTION("""COMPUTED_VALUE"""),"RCEF 23-09-21 Rebidding")</f>
        <v>RCEF 23-09-21 Rebidding</v>
      </c>
      <c r="G143" s="2">
        <f>IFERROR(__xludf.DUMMYFUNCTION("""COMPUTED_VALUE"""),3.0)</f>
        <v>3</v>
      </c>
      <c r="H143" s="2">
        <f>IFERROR(__xludf.DUMMYFUNCTION("""COMPUTED_VALUE"""),17877.0)</f>
        <v>17877</v>
      </c>
      <c r="I143" s="2" t="str">
        <f>IFERROR(__xludf.DUMMYFUNCTION("""COMPUTED_VALUE"""),"KMC5825 ACPFPV0107")</f>
        <v>KMC5825 ACPFPV0107</v>
      </c>
      <c r="J143" s="2" t="str">
        <f>IFERROR(__xludf.DUMMYFUNCTION("""COMPUTED_VALUE"""),"PTS 100047")</f>
        <v>PTS 100047</v>
      </c>
      <c r="K143" s="2" t="str">
        <f>IFERROR(__xludf.DUMMYFUNCTION("""COMPUTED_VALUE"""),"R-SERIES 080 PH")</f>
        <v>R-SERIES 080 PH</v>
      </c>
      <c r="L143" s="2" t="str">
        <f>IFERROR(__xludf.DUMMYFUNCTION("""COMPUTED_VALUE"""),"LSGW1750 RMP 2312105")</f>
        <v>LSGW1750 RMP 2312105</v>
      </c>
      <c r="M143" s="2" t="str">
        <f>IFERROR(__xludf.DUMMYFUNCTION("""COMPUTED_VALUE"""),"WDP40 RMP 2312028")</f>
        <v>WDP40 RMP 2312028</v>
      </c>
      <c r="N143" s="2"/>
      <c r="O143" s="2" t="str">
        <f>IFERROR(__xludf.DUMMYFUNCTION("""COMPUTED_VALUE"""),"Pagalanggang")</f>
        <v>Pagalanggang</v>
      </c>
      <c r="P143" s="2" t="str">
        <f>IFERROR(__xludf.DUMMYFUNCTION("""COMPUTED_VALUE"""),"Dinalupihan")</f>
        <v>Dinalupihan</v>
      </c>
      <c r="Q143" s="2" t="str">
        <f>IFERROR(__xludf.DUMMYFUNCTION("""COMPUTED_VALUE"""),"Bataan")</f>
        <v>Bataan</v>
      </c>
      <c r="R143" s="2">
        <f>IFERROR(__xludf.DUMMYFUNCTION("""COMPUTED_VALUE"""),3.0)</f>
        <v>3</v>
      </c>
      <c r="S143" s="2"/>
      <c r="T143" s="2"/>
    </row>
    <row r="144">
      <c r="A144" s="1">
        <f>IFERROR(__xludf.DUMMYFUNCTION("""COMPUTED_VALUE"""),142.0)</f>
        <v>142</v>
      </c>
      <c r="B144" s="2" t="str">
        <f>IFERROR(__xludf.DUMMYFUNCTION("""COMPUTED_VALUE"""),"SAMAHAN NG MAGSASAKA NG JC PAYUMO JR. DINALUPIHAN BATAAN")</f>
        <v>SAMAHAN NG MAGSASAKA NG JC PAYUMO JR. DINALUPIHAN BATAAN</v>
      </c>
      <c r="C144" s="2" t="str">
        <f>IFERROR(__xludf.DUMMYFUNCTION("""COMPUTED_VALUE"""),"""Jose C. Payumo Jr."", Dinalupihan, BATAAN")</f>
        <v>"Jose C. Payumo Jr.", Dinalupihan, BATAAN</v>
      </c>
      <c r="D144" s="2" t="str">
        <f>IFERROR(__xludf.DUMMYFUNCTION("""COMPUTED_VALUE"""),"Oliver F. Tan")</f>
        <v>Oliver F. Tan</v>
      </c>
      <c r="E144" s="2" t="str">
        <f>IFERROR(__xludf.DUMMYFUNCTION("""COMPUTED_VALUE"""),"0910-799-0931")</f>
        <v>0910-799-0931</v>
      </c>
      <c r="F144" s="2" t="str">
        <f>IFERROR(__xludf.DUMMYFUNCTION("""COMPUTED_VALUE"""),"RCEF 23-09-21 Rebidding")</f>
        <v>RCEF 23-09-21 Rebidding</v>
      </c>
      <c r="G144" s="2">
        <f>IFERROR(__xludf.DUMMYFUNCTION("""COMPUTED_VALUE"""),9.0)</f>
        <v>9</v>
      </c>
      <c r="H144" s="2">
        <f>IFERROR(__xludf.DUMMYFUNCTION("""COMPUTED_VALUE"""),17878.0)</f>
        <v>17878</v>
      </c>
      <c r="I144" s="2" t="str">
        <f>IFERROR(__xludf.DUMMYFUNCTION("""COMPUTED_VALUE"""),"KMC5825 ACPFPV0096")</f>
        <v>KMC5825 ACPFPV0096</v>
      </c>
      <c r="J144" s="2" t="str">
        <f>IFERROR(__xludf.DUMMYFUNCTION("""COMPUTED_VALUE"""),"PTS 100091")</f>
        <v>PTS 100091</v>
      </c>
      <c r="K144" s="2" t="str">
        <f>IFERROR(__xludf.DUMMYFUNCTION("""COMPUTED_VALUE"""),"R-SERIES 077 PH")</f>
        <v>R-SERIES 077 PH</v>
      </c>
      <c r="L144" s="2" t="str">
        <f>IFERROR(__xludf.DUMMYFUNCTION("""COMPUTED_VALUE"""),"LSGW1750 RMP 2312102")</f>
        <v>LSGW1750 RMP 2312102</v>
      </c>
      <c r="M144" s="2" t="str">
        <f>IFERROR(__xludf.DUMMYFUNCTION("""COMPUTED_VALUE"""),"WDP40 RMP 2312005")</f>
        <v>WDP40 RMP 2312005</v>
      </c>
      <c r="N144" s="2"/>
      <c r="O144" s="2" t="str">
        <f>IFERROR(__xludf.DUMMYFUNCTION("""COMPUTED_VALUE"""),"""Jose C. Payumo Jr.""")</f>
        <v>"Jose C. Payumo Jr."</v>
      </c>
      <c r="P144" s="2" t="str">
        <f>IFERROR(__xludf.DUMMYFUNCTION("""COMPUTED_VALUE"""),"Dinalupihan")</f>
        <v>Dinalupihan</v>
      </c>
      <c r="Q144" s="2" t="str">
        <f>IFERROR(__xludf.DUMMYFUNCTION("""COMPUTED_VALUE"""),"Bataan")</f>
        <v>Bataan</v>
      </c>
      <c r="R144" s="2">
        <f>IFERROR(__xludf.DUMMYFUNCTION("""COMPUTED_VALUE"""),3.0)</f>
        <v>3</v>
      </c>
      <c r="S144" s="2"/>
      <c r="T144" s="2"/>
    </row>
    <row r="145">
      <c r="A145" s="1">
        <f>IFERROR(__xludf.DUMMYFUNCTION("""COMPUTED_VALUE"""),143.0)</f>
        <v>143</v>
      </c>
      <c r="B145" s="2" t="str">
        <f>IFERROR(__xludf.DUMMYFUNCTION("""COMPUTED_VALUE"""),"GOOD FARMERS AGRICULTURE COOPERATIVE")</f>
        <v>GOOD FARMERS AGRICULTURE COOPERATIVE</v>
      </c>
      <c r="C145" s="2" t="str">
        <f>IFERROR(__xludf.DUMMYFUNCTION("""COMPUTED_VALUE"""),"Santa Rita, Quezon, NUEVA ECIJA")</f>
        <v>Santa Rita, Quezon, NUEVA ECIJA</v>
      </c>
      <c r="D145" s="2" t="str">
        <f>IFERROR(__xludf.DUMMYFUNCTION("""COMPUTED_VALUE"""),"Narciso U. Julian")</f>
        <v>Narciso U. Julian</v>
      </c>
      <c r="E145" s="2" t="str">
        <f>IFERROR(__xludf.DUMMYFUNCTION("""COMPUTED_VALUE"""),"0907-114-2587")</f>
        <v>0907-114-2587</v>
      </c>
      <c r="F145" s="2" t="str">
        <f>IFERROR(__xludf.DUMMYFUNCTION("""COMPUTED_VALUE"""),"RCEF 23-09-21 Rebidding")</f>
        <v>RCEF 23-09-21 Rebidding</v>
      </c>
      <c r="G145" s="2">
        <f>IFERROR(__xludf.DUMMYFUNCTION("""COMPUTED_VALUE"""),3.0)</f>
        <v>3</v>
      </c>
      <c r="H145" s="2">
        <f>IFERROR(__xludf.DUMMYFUNCTION("""COMPUTED_VALUE"""),17879.0)</f>
        <v>17879</v>
      </c>
      <c r="I145" s="2" t="str">
        <f>IFERROR(__xludf.DUMMYFUNCTION("""COMPUTED_VALUE"""),"KMC5825 AKPFPV0100")</f>
        <v>KMC5825 AKPFPV0100</v>
      </c>
      <c r="J145" s="2" t="str">
        <f>IFERROR(__xludf.DUMMYFUNCTION("""COMPUTED_VALUE"""),"PTS 100115")</f>
        <v>PTS 100115</v>
      </c>
      <c r="K145" s="2" t="str">
        <f>IFERROR(__xludf.DUMMYFUNCTION("""COMPUTED_VALUE"""),"R-SERIES 114 PH")</f>
        <v>R-SERIES 114 PH</v>
      </c>
      <c r="L145" s="2" t="str">
        <f>IFERROR(__xludf.DUMMYFUNCTION("""COMPUTED_VALUE"""),"LSGW1750-RMP-2312130")</f>
        <v>LSGW1750-RMP-2312130</v>
      </c>
      <c r="M145" s="2" t="str">
        <f>IFERROR(__xludf.DUMMYFUNCTION("""COMPUTED_VALUE"""),"WDP40-RMP-2312031")</f>
        <v>WDP40-RMP-2312031</v>
      </c>
      <c r="N145" s="2"/>
      <c r="O145" s="2" t="str">
        <f>IFERROR(__xludf.DUMMYFUNCTION("""COMPUTED_VALUE"""),"Santa Rita")</f>
        <v>Santa Rita</v>
      </c>
      <c r="P145" s="2" t="str">
        <f>IFERROR(__xludf.DUMMYFUNCTION("""COMPUTED_VALUE"""),"Quezon")</f>
        <v>Quezon</v>
      </c>
      <c r="Q145" s="2" t="str">
        <f>IFERROR(__xludf.DUMMYFUNCTION("""COMPUTED_VALUE"""),"Nueva Ecija")</f>
        <v>Nueva Ecija</v>
      </c>
      <c r="R145" s="2">
        <f>IFERROR(__xludf.DUMMYFUNCTION("""COMPUTED_VALUE"""),3.0)</f>
        <v>3</v>
      </c>
      <c r="S145" s="2"/>
      <c r="T145" s="2"/>
    </row>
    <row r="146">
      <c r="A146" s="1">
        <f>IFERROR(__xludf.DUMMYFUNCTION("""COMPUTED_VALUE"""),144.0)</f>
        <v>144</v>
      </c>
      <c r="B146" s="2" t="str">
        <f>IFERROR(__xludf.DUMMYFUNCTION("""COMPUTED_VALUE"""),"GOOD FARMERS AGRICULTURE COOPERATIVE")</f>
        <v>GOOD FARMERS AGRICULTURE COOPERATIVE</v>
      </c>
      <c r="C146" s="2" t="str">
        <f>IFERROR(__xludf.DUMMYFUNCTION("""COMPUTED_VALUE"""),"Santa Rita, Quezon, NUEVA ECIJA")</f>
        <v>Santa Rita, Quezon, NUEVA ECIJA</v>
      </c>
      <c r="D146" s="2" t="str">
        <f>IFERROR(__xludf.DUMMYFUNCTION("""COMPUTED_VALUE"""),"Narciso U. Julian")</f>
        <v>Narciso U. Julian</v>
      </c>
      <c r="E146" s="2" t="str">
        <f>IFERROR(__xludf.DUMMYFUNCTION("""COMPUTED_VALUE"""),"0907-114-2587")</f>
        <v>0907-114-2587</v>
      </c>
      <c r="F146" s="2" t="str">
        <f>IFERROR(__xludf.DUMMYFUNCTION("""COMPUTED_VALUE"""),"RCEF 23-09-21 Rebidding")</f>
        <v>RCEF 23-09-21 Rebidding</v>
      </c>
      <c r="G146" s="2">
        <f>IFERROR(__xludf.DUMMYFUNCTION("""COMPUTED_VALUE"""),3.0)</f>
        <v>3</v>
      </c>
      <c r="H146" s="2">
        <f>IFERROR(__xludf.DUMMYFUNCTION("""COMPUTED_VALUE"""),17880.0)</f>
        <v>17880</v>
      </c>
      <c r="I146" s="2" t="str">
        <f>IFERROR(__xludf.DUMMYFUNCTION("""COMPUTED_VALUE"""),"KMC5825 AEPFPV0011")</f>
        <v>KMC5825 AEPFPV0011</v>
      </c>
      <c r="J146" s="2" t="str">
        <f>IFERROR(__xludf.DUMMYFUNCTION("""COMPUTED_VALUE"""),"PTS 100029")</f>
        <v>PTS 100029</v>
      </c>
      <c r="K146" s="2" t="str">
        <f>IFERROR(__xludf.DUMMYFUNCTION("""COMPUTED_VALUE"""),"R-SERIES 105 PH")</f>
        <v>R-SERIES 105 PH</v>
      </c>
      <c r="L146" s="2" t="str">
        <f>IFERROR(__xludf.DUMMYFUNCTION("""COMPUTED_VALUE"""),"LSGW1750-RMP-2312122")</f>
        <v>LSGW1750-RMP-2312122</v>
      </c>
      <c r="M146" s="2" t="str">
        <f>IFERROR(__xludf.DUMMYFUNCTION("""COMPUTED_VALUE"""),"WDP40-RMP-2312004")</f>
        <v>WDP40-RMP-2312004</v>
      </c>
      <c r="N146" s="2"/>
      <c r="O146" s="2" t="str">
        <f>IFERROR(__xludf.DUMMYFUNCTION("""COMPUTED_VALUE"""),"Santa Rita")</f>
        <v>Santa Rita</v>
      </c>
      <c r="P146" s="2" t="str">
        <f>IFERROR(__xludf.DUMMYFUNCTION("""COMPUTED_VALUE"""),"Quezon")</f>
        <v>Quezon</v>
      </c>
      <c r="Q146" s="2" t="str">
        <f>IFERROR(__xludf.DUMMYFUNCTION("""COMPUTED_VALUE"""),"Nueva Ecija")</f>
        <v>Nueva Ecija</v>
      </c>
      <c r="R146" s="2">
        <f>IFERROR(__xludf.DUMMYFUNCTION("""COMPUTED_VALUE"""),3.0)</f>
        <v>3</v>
      </c>
      <c r="S146" s="2"/>
      <c r="T146" s="2"/>
    </row>
    <row r="147">
      <c r="A147" s="1">
        <f>IFERROR(__xludf.DUMMYFUNCTION("""COMPUTED_VALUE"""),145.0)</f>
        <v>145</v>
      </c>
      <c r="B147" s="2" t="str">
        <f>IFERROR(__xludf.DUMMYFUNCTION("""COMPUTED_VALUE"""),"BARING SAN NICOLAS FARMERS ASSOCIATION")</f>
        <v>BARING SAN NICOLAS FARMERS ASSOCIATION</v>
      </c>
      <c r="C147" s="2" t="str">
        <f>IFERROR(__xludf.DUMMYFUNCTION("""COMPUTED_VALUE"""),"San Nicolas, Castillejos, ZAMBALES")</f>
        <v>San Nicolas, Castillejos, ZAMBALES</v>
      </c>
      <c r="D147" s="2" t="str">
        <f>IFERROR(__xludf.DUMMYFUNCTION("""COMPUTED_VALUE"""),"MILAGROS G. FREZADO")</f>
        <v>MILAGROS G. FREZADO</v>
      </c>
      <c r="E147" s="2" t="str">
        <f>IFERROR(__xludf.DUMMYFUNCTION("""COMPUTED_VALUE"""),"0909-968-7461")</f>
        <v>0909-968-7461</v>
      </c>
      <c r="F147" s="2" t="str">
        <f>IFERROR(__xludf.DUMMYFUNCTION("""COMPUTED_VALUE"""),"RCEF 23-09-21 Rebidding")</f>
        <v>RCEF 23-09-21 Rebidding</v>
      </c>
      <c r="G147" s="2">
        <f>IFERROR(__xludf.DUMMYFUNCTION("""COMPUTED_VALUE"""),3.0)</f>
        <v>3</v>
      </c>
      <c r="H147" s="2">
        <f>IFERROR(__xludf.DUMMYFUNCTION("""COMPUTED_VALUE"""),17962.0)</f>
        <v>17962</v>
      </c>
      <c r="I147" s="2" t="str">
        <f>IFERROR(__xludf.DUMMYFUNCTION("""COMPUTED_VALUE"""),"KMC5825 AAPFPV0098")</f>
        <v>KMC5825 AAPFPV0098</v>
      </c>
      <c r="J147" s="2" t="str">
        <f>IFERROR(__xludf.DUMMYFUNCTION("""COMPUTED_VALUE"""),"PTS100074")</f>
        <v>PTS100074</v>
      </c>
      <c r="K147" s="2" t="str">
        <f>IFERROR(__xludf.DUMMYFUNCTION("""COMPUTED_VALUE"""),"R-SERIES 052 PH")</f>
        <v>R-SERIES 052 PH</v>
      </c>
      <c r="L147" s="2" t="str">
        <f>IFERROR(__xludf.DUMMYFUNCTION("""COMPUTED_VALUE"""),"LSGW1750 2312116")</f>
        <v>LSGW1750 2312116</v>
      </c>
      <c r="M147" s="2" t="str">
        <f>IFERROR(__xludf.DUMMYFUNCTION("""COMPUTED_VALUE"""),"WDP40 RMP 2312126")</f>
        <v>WDP40 RMP 2312126</v>
      </c>
      <c r="N147" s="2"/>
      <c r="O147" s="2" t="str">
        <f>IFERROR(__xludf.DUMMYFUNCTION("""COMPUTED_VALUE"""),"San Nicolas")</f>
        <v>San Nicolas</v>
      </c>
      <c r="P147" s="2" t="str">
        <f>IFERROR(__xludf.DUMMYFUNCTION("""COMPUTED_VALUE"""),"Castillejos")</f>
        <v>Castillejos</v>
      </c>
      <c r="Q147" s="2" t="str">
        <f>IFERROR(__xludf.DUMMYFUNCTION("""COMPUTED_VALUE"""),"Zambales")</f>
        <v>Zambales</v>
      </c>
      <c r="R147" s="2">
        <f>IFERROR(__xludf.DUMMYFUNCTION("""COMPUTED_VALUE"""),3.0)</f>
        <v>3</v>
      </c>
      <c r="S147" s="2"/>
      <c r="T147" s="2"/>
    </row>
    <row r="148">
      <c r="A148" s="1">
        <f>IFERROR(__xludf.DUMMYFUNCTION("""COMPUTED_VALUE"""),146.0)</f>
        <v>146</v>
      </c>
      <c r="B148" s="2" t="str">
        <f>IFERROR(__xludf.DUMMYFUNCTION("""COMPUTED_VALUE"""),"LIOZON FISHERFOLKS AND FARMERS' ASSOCIATION")</f>
        <v>LIOZON FISHERFOLKS AND FARMERS' ASSOCIATION</v>
      </c>
      <c r="C148" s="2" t="str">
        <f>IFERROR(__xludf.DUMMYFUNCTION("""COMPUTED_VALUE"""),"Liozon, Palauig, ZAMBALES")</f>
        <v>Liozon, Palauig, ZAMBALES</v>
      </c>
      <c r="D148" s="2" t="str">
        <f>IFERROR(__xludf.DUMMYFUNCTION("""COMPUTED_VALUE"""),"Rene A. Alves")</f>
        <v>Rene A. Alves</v>
      </c>
      <c r="E148" s="2" t="str">
        <f>IFERROR(__xludf.DUMMYFUNCTION("""COMPUTED_VALUE"""),"0950-245-4865")</f>
        <v>0950-245-4865</v>
      </c>
      <c r="F148" s="2" t="str">
        <f>IFERROR(__xludf.DUMMYFUNCTION("""COMPUTED_VALUE"""),"RCEF 23-09-21 Rebidding")</f>
        <v>RCEF 23-09-21 Rebidding</v>
      </c>
      <c r="G148" s="2">
        <f>IFERROR(__xludf.DUMMYFUNCTION("""COMPUTED_VALUE"""),3.0)</f>
        <v>3</v>
      </c>
      <c r="H148" s="2">
        <f>IFERROR(__xludf.DUMMYFUNCTION("""COMPUTED_VALUE"""),17962.0)</f>
        <v>17962</v>
      </c>
      <c r="I148" s="2" t="str">
        <f>IFERROR(__xludf.DUMMYFUNCTION("""COMPUTED_VALUE"""),"KMC5825 AVPFPV0150")</f>
        <v>KMC5825 AVPFPV0150</v>
      </c>
      <c r="J148" s="2" t="str">
        <f>IFERROR(__xludf.DUMMYFUNCTION("""COMPUTED_VALUE"""),"PTS 100143")</f>
        <v>PTS 100143</v>
      </c>
      <c r="K148" s="2" t="str">
        <f>IFERROR(__xludf.DUMMYFUNCTION("""COMPUTED_VALUE"""),"R-SERIES 064 PH")</f>
        <v>R-SERIES 064 PH</v>
      </c>
      <c r="L148" s="2" t="str">
        <f>IFERROR(__xludf.DUMMYFUNCTION("""COMPUTED_VALUE"""),"LSGW1750 2312129")</f>
        <v>LSGW1750 2312129</v>
      </c>
      <c r="M148" s="2" t="str">
        <f>IFERROR(__xludf.DUMMYFUNCTION("""COMPUTED_VALUE"""),"WDP40 RMP 2312143")</f>
        <v>WDP40 RMP 2312143</v>
      </c>
      <c r="N148" s="2"/>
      <c r="O148" s="2" t="str">
        <f>IFERROR(__xludf.DUMMYFUNCTION("""COMPUTED_VALUE"""),"Liozon")</f>
        <v>Liozon</v>
      </c>
      <c r="P148" s="2" t="str">
        <f>IFERROR(__xludf.DUMMYFUNCTION("""COMPUTED_VALUE"""),"Palauig")</f>
        <v>Palauig</v>
      </c>
      <c r="Q148" s="2" t="str">
        <f>IFERROR(__xludf.DUMMYFUNCTION("""COMPUTED_VALUE"""),"Zambales")</f>
        <v>Zambales</v>
      </c>
      <c r="R148" s="2">
        <f>IFERROR(__xludf.DUMMYFUNCTION("""COMPUTED_VALUE"""),3.0)</f>
        <v>3</v>
      </c>
      <c r="S148" s="2"/>
      <c r="T148" s="2"/>
    </row>
    <row r="149">
      <c r="A149" s="1">
        <f>IFERROR(__xludf.DUMMYFUNCTION("""COMPUTED_VALUE"""),147.0)</f>
        <v>147</v>
      </c>
      <c r="B149" s="2" t="str">
        <f>IFERROR(__xludf.DUMMYFUNCTION("""COMPUTED_VALUE"""),"BURGOS, LUNA, SAN JUAN(BLSJ) IRRIGATORS ASSOCIATION INC.")</f>
        <v>BURGOS, LUNA, SAN JUAN(BLSJ) IRRIGATORS ASSOCIATION INC.</v>
      </c>
      <c r="C149" s="2" t="str">
        <f>IFERROR(__xludf.DUMMYFUNCTION("""COMPUTED_VALUE"""),"Luna (Pob.), San Antonio, ZAMBALES")</f>
        <v>Luna (Pob.), San Antonio, ZAMBALES</v>
      </c>
      <c r="D149" s="2" t="str">
        <f>IFERROR(__xludf.DUMMYFUNCTION("""COMPUTED_VALUE"""),"Juanito D. Reolizo")</f>
        <v>Juanito D. Reolizo</v>
      </c>
      <c r="E149" s="2" t="str">
        <f>IFERROR(__xludf.DUMMYFUNCTION("""COMPUTED_VALUE"""),"0919-312-3031")</f>
        <v>0919-312-3031</v>
      </c>
      <c r="F149" s="2" t="str">
        <f>IFERROR(__xludf.DUMMYFUNCTION("""COMPUTED_VALUE"""),"RCEF 23-09-21 Rebidding")</f>
        <v>RCEF 23-09-21 Rebidding</v>
      </c>
      <c r="G149" s="2">
        <f>IFERROR(__xludf.DUMMYFUNCTION("""COMPUTED_VALUE"""),3.0)</f>
        <v>3</v>
      </c>
      <c r="H149" s="2">
        <f>IFERROR(__xludf.DUMMYFUNCTION("""COMPUTED_VALUE"""),17963.0)</f>
        <v>17963</v>
      </c>
      <c r="I149" s="2" t="str">
        <f>IFERROR(__xludf.DUMMYFUNCTION("""COMPUTED_VALUE"""),"KMC5825 AVPFPV0083")</f>
        <v>KMC5825 AVPFPV0083</v>
      </c>
      <c r="J149" s="2" t="str">
        <f>IFERROR(__xludf.DUMMYFUNCTION("""COMPUTED_VALUE"""),"PTS 100085")</f>
        <v>PTS 100085</v>
      </c>
      <c r="K149" s="2" t="str">
        <f>IFERROR(__xludf.DUMMYFUNCTION("""COMPUTED_VALUE"""),"R-SERIES 050 PH")</f>
        <v>R-SERIES 050 PH</v>
      </c>
      <c r="L149" s="2" t="str">
        <f>IFERROR(__xludf.DUMMYFUNCTION("""COMPUTED_VALUE"""),"LSGW1750 2312132")</f>
        <v>LSGW1750 2312132</v>
      </c>
      <c r="M149" s="2" t="str">
        <f>IFERROR(__xludf.DUMMYFUNCTION("""COMPUTED_VALUE"""),"WDP40 RMP 2312140")</f>
        <v>WDP40 RMP 2312140</v>
      </c>
      <c r="N149" s="2"/>
      <c r="O149" s="2" t="str">
        <f>IFERROR(__xludf.DUMMYFUNCTION("""COMPUTED_VALUE"""),"Luna (Pob.)")</f>
        <v>Luna (Pob.)</v>
      </c>
      <c r="P149" s="2" t="str">
        <f>IFERROR(__xludf.DUMMYFUNCTION("""COMPUTED_VALUE"""),"San Antonio")</f>
        <v>San Antonio</v>
      </c>
      <c r="Q149" s="2" t="str">
        <f>IFERROR(__xludf.DUMMYFUNCTION("""COMPUTED_VALUE"""),"Zambales")</f>
        <v>Zambales</v>
      </c>
      <c r="R149" s="2">
        <f>IFERROR(__xludf.DUMMYFUNCTION("""COMPUTED_VALUE"""),3.0)</f>
        <v>3</v>
      </c>
      <c r="S149" s="2"/>
      <c r="T149" s="2"/>
    </row>
    <row r="150">
      <c r="A150" s="1">
        <f>IFERROR(__xludf.DUMMYFUNCTION("""COMPUTED_VALUE"""),148.0)</f>
        <v>148</v>
      </c>
      <c r="B150" s="2" t="str">
        <f>IFERROR(__xludf.DUMMYFUNCTION("""COMPUTED_VALUE"""),"Guinabon Multipurpose Cooperative,Inc.")</f>
        <v>Guinabon Multipurpose Cooperative,Inc.</v>
      </c>
      <c r="C150" s="2" t="str">
        <f>IFERROR(__xludf.DUMMYFUNCTION("""COMPUTED_VALUE"""),"Guinabon, Santa Cruz, ZAMBALES")</f>
        <v>Guinabon, Santa Cruz, ZAMBALES</v>
      </c>
      <c r="D150" s="2" t="str">
        <f>IFERROR(__xludf.DUMMYFUNCTION("""COMPUTED_VALUE"""),"Margie M. Alota")</f>
        <v>Margie M. Alota</v>
      </c>
      <c r="E150" s="2" t="str">
        <f>IFERROR(__xludf.DUMMYFUNCTION("""COMPUTED_VALUE"""),"0910-693-3876")</f>
        <v>0910-693-3876</v>
      </c>
      <c r="F150" s="2" t="str">
        <f>IFERROR(__xludf.DUMMYFUNCTION("""COMPUTED_VALUE"""),"RCEF 23-09-21 Rebidding")</f>
        <v>RCEF 23-09-21 Rebidding</v>
      </c>
      <c r="G150" s="2">
        <f>IFERROR(__xludf.DUMMYFUNCTION("""COMPUTED_VALUE"""),3.0)</f>
        <v>3</v>
      </c>
      <c r="H150" s="2">
        <f>IFERROR(__xludf.DUMMYFUNCTION("""COMPUTED_VALUE"""),17964.0)</f>
        <v>17964</v>
      </c>
      <c r="I150" s="2" t="str">
        <f>IFERROR(__xludf.DUMMYFUNCTION("""COMPUTED_VALUE"""),"KMC5825 AKPFPV0063")</f>
        <v>KMC5825 AKPFPV0063</v>
      </c>
      <c r="J150" s="2" t="str">
        <f>IFERROR(__xludf.DUMMYFUNCTION("""COMPUTED_VALUE"""),"PTS 100141")</f>
        <v>PTS 100141</v>
      </c>
      <c r="K150" s="2" t="str">
        <f>IFERROR(__xludf.DUMMYFUNCTION("""COMPUTED_VALUE"""),"R-SERIES 027 PH")</f>
        <v>R-SERIES 027 PH</v>
      </c>
      <c r="L150" s="2" t="str">
        <f>IFERROR(__xludf.DUMMYFUNCTION("""COMPUTED_VALUE"""),"LSGW1750 2312124")</f>
        <v>LSGW1750 2312124</v>
      </c>
      <c r="M150" s="2" t="str">
        <f>IFERROR(__xludf.DUMMYFUNCTION("""COMPUTED_VALUE"""),"WDP40 RMP 2312027")</f>
        <v>WDP40 RMP 2312027</v>
      </c>
      <c r="N150" s="2"/>
      <c r="O150" s="2" t="str">
        <f>IFERROR(__xludf.DUMMYFUNCTION("""COMPUTED_VALUE"""),"Guinabon")</f>
        <v>Guinabon</v>
      </c>
      <c r="P150" s="2" t="str">
        <f>IFERROR(__xludf.DUMMYFUNCTION("""COMPUTED_VALUE"""),"Santa Cruz")</f>
        <v>Santa Cruz</v>
      </c>
      <c r="Q150" s="2" t="str">
        <f>IFERROR(__xludf.DUMMYFUNCTION("""COMPUTED_VALUE"""),"Zambales")</f>
        <v>Zambales</v>
      </c>
      <c r="R150" s="2">
        <f>IFERROR(__xludf.DUMMYFUNCTION("""COMPUTED_VALUE"""),3.0)</f>
        <v>3</v>
      </c>
      <c r="S150" s="2"/>
      <c r="T150" s="2"/>
    </row>
    <row r="151">
      <c r="A151" s="1">
        <f>IFERROR(__xludf.DUMMYFUNCTION("""COMPUTED_VALUE"""),149.0)</f>
        <v>149</v>
      </c>
      <c r="B151" s="2" t="str">
        <f>IFERROR(__xludf.DUMMYFUNCTION("""COMPUTED_VALUE"""),"MASAGANANG BUKIRIN FARMERS ASSOCIATION")</f>
        <v>MASAGANANG BUKIRIN FARMERS ASSOCIATION</v>
      </c>
      <c r="C151" s="2" t="str">
        <f>IFERROR(__xludf.DUMMYFUNCTION("""COMPUTED_VALUE"""),"La Paz (Pob.), San Marcelino, ZAMBALES")</f>
        <v>La Paz (Pob.), San Marcelino, ZAMBALES</v>
      </c>
      <c r="D151" s="2" t="str">
        <f>IFERROR(__xludf.DUMMYFUNCTION("""COMPUTED_VALUE"""),"Albert B. Mendoza")</f>
        <v>Albert B. Mendoza</v>
      </c>
      <c r="E151" s="2" t="str">
        <f>IFERROR(__xludf.DUMMYFUNCTION("""COMPUTED_VALUE"""),"0938-723-3680")</f>
        <v>0938-723-3680</v>
      </c>
      <c r="F151" s="2" t="str">
        <f>IFERROR(__xludf.DUMMYFUNCTION("""COMPUTED_VALUE"""),"RCEF 23-09-21 Rebidding")</f>
        <v>RCEF 23-09-21 Rebidding</v>
      </c>
      <c r="G151" s="2">
        <f>IFERROR(__xludf.DUMMYFUNCTION("""COMPUTED_VALUE"""),9.0)</f>
        <v>9</v>
      </c>
      <c r="H151" s="2">
        <f>IFERROR(__xludf.DUMMYFUNCTION("""COMPUTED_VALUE"""),17965.0)</f>
        <v>17965</v>
      </c>
      <c r="I151" s="2" t="str">
        <f>IFERROR(__xludf.DUMMYFUNCTION("""COMPUTED_VALUE"""),"KMC5825 ACPFPV0048")</f>
        <v>KMC5825 ACPFPV0048</v>
      </c>
      <c r="J151" s="2" t="str">
        <f>IFERROR(__xludf.DUMMYFUNCTION("""COMPUTED_VALUE"""),"PTS 100128")</f>
        <v>PTS 100128</v>
      </c>
      <c r="K151" s="2" t="str">
        <f>IFERROR(__xludf.DUMMYFUNCTION("""COMPUTED_VALUE"""),"R-SERIES 073 PH")</f>
        <v>R-SERIES 073 PH</v>
      </c>
      <c r="L151" s="2" t="str">
        <f>IFERROR(__xludf.DUMMYFUNCTION("""COMPUTED_VALUE"""),"LSGW1750 2312115")</f>
        <v>LSGW1750 2312115</v>
      </c>
      <c r="M151" s="2" t="str">
        <f>IFERROR(__xludf.DUMMYFUNCTION("""COMPUTED_VALUE"""),"WDP40 RMP 2312025")</f>
        <v>WDP40 RMP 2312025</v>
      </c>
      <c r="N151" s="2"/>
      <c r="O151" s="2" t="str">
        <f>IFERROR(__xludf.DUMMYFUNCTION("""COMPUTED_VALUE"""),"La Paz (Pob.)")</f>
        <v>La Paz (Pob.)</v>
      </c>
      <c r="P151" s="2" t="str">
        <f>IFERROR(__xludf.DUMMYFUNCTION("""COMPUTED_VALUE"""),"San Marcelino")</f>
        <v>San Marcelino</v>
      </c>
      <c r="Q151" s="2" t="str">
        <f>IFERROR(__xludf.DUMMYFUNCTION("""COMPUTED_VALUE"""),"Zambales")</f>
        <v>Zambales</v>
      </c>
      <c r="R151" s="2">
        <f>IFERROR(__xludf.DUMMYFUNCTION("""COMPUTED_VALUE"""),3.0)</f>
        <v>3</v>
      </c>
      <c r="S151" s="2"/>
      <c r="T151" s="2"/>
    </row>
    <row r="152">
      <c r="A152" s="1">
        <f>IFERROR(__xludf.DUMMYFUNCTION("""COMPUTED_VALUE"""),150.0)</f>
        <v>150</v>
      </c>
      <c r="B152" s="2" t="str">
        <f>IFERROR(__xludf.DUMMYFUNCTION("""COMPUTED_VALUE"""),"MAGSASAKA NG BAGONG HENERASYON NG BARANGAY SIMMINUBLAN (MBHBS)")</f>
        <v>MAGSASAKA NG BAGONG HENERASYON NG BARANGAY SIMMINUBLAN (MBHBS)</v>
      </c>
      <c r="C152" s="2" t="str">
        <f>IFERROR(__xludf.DUMMYFUNCTION("""COMPUTED_VALUE"""),"Siminublan, San Narciso, ZAMBALES")</f>
        <v>Siminublan, San Narciso, ZAMBALES</v>
      </c>
      <c r="D152" s="2" t="str">
        <f>IFERROR(__xludf.DUMMYFUNCTION("""COMPUTED_VALUE"""),"Wilfredo G. Aleta")</f>
        <v>Wilfredo G. Aleta</v>
      </c>
      <c r="E152" s="2" t="str">
        <f>IFERROR(__xludf.DUMMYFUNCTION("""COMPUTED_VALUE"""),"0910-072-4561")</f>
        <v>0910-072-4561</v>
      </c>
      <c r="F152" s="2" t="str">
        <f>IFERROR(__xludf.DUMMYFUNCTION("""COMPUTED_VALUE"""),"RCEF 23-09-21 Rebidding")</f>
        <v>RCEF 23-09-21 Rebidding</v>
      </c>
      <c r="G152" s="2">
        <f>IFERROR(__xludf.DUMMYFUNCTION("""COMPUTED_VALUE"""),9.0)</f>
        <v>9</v>
      </c>
      <c r="H152" s="2">
        <f>IFERROR(__xludf.DUMMYFUNCTION("""COMPUTED_VALUE"""),17966.0)</f>
        <v>17966</v>
      </c>
      <c r="I152" s="2" t="str">
        <f>IFERROR(__xludf.DUMMYFUNCTION("""COMPUTED_VALUE"""),"KMC5825 ACPFPV0091")</f>
        <v>KMC5825 ACPFPV0091</v>
      </c>
      <c r="J152" s="2" t="str">
        <f>IFERROR(__xludf.DUMMYFUNCTION("""COMPUTED_VALUE"""),"PTS 100056")</f>
        <v>PTS 100056</v>
      </c>
      <c r="K152" s="2" t="str">
        <f>IFERROR(__xludf.DUMMYFUNCTION("""COMPUTED_VALUE"""),"R-SERIES 059 PH")</f>
        <v>R-SERIES 059 PH</v>
      </c>
      <c r="L152" s="2" t="str">
        <f>IFERROR(__xludf.DUMMYFUNCTION("""COMPUTED_VALUE"""),"LSGW1750 2312123")</f>
        <v>LSGW1750 2312123</v>
      </c>
      <c r="M152" s="2" t="str">
        <f>IFERROR(__xludf.DUMMYFUNCTION("""COMPUTED_VALUE"""),"WDP40 RMP 2312026")</f>
        <v>WDP40 RMP 2312026</v>
      </c>
      <c r="N152" s="2"/>
      <c r="O152" s="2" t="str">
        <f>IFERROR(__xludf.DUMMYFUNCTION("""COMPUTED_VALUE"""),"Siminublan")</f>
        <v>Siminublan</v>
      </c>
      <c r="P152" s="2" t="str">
        <f>IFERROR(__xludf.DUMMYFUNCTION("""COMPUTED_VALUE"""),"San Narciso")</f>
        <v>San Narciso</v>
      </c>
      <c r="Q152" s="2" t="str">
        <f>IFERROR(__xludf.DUMMYFUNCTION("""COMPUTED_VALUE"""),"Zambales")</f>
        <v>Zambales</v>
      </c>
      <c r="R152" s="2">
        <f>IFERROR(__xludf.DUMMYFUNCTION("""COMPUTED_VALUE"""),3.0)</f>
        <v>3</v>
      </c>
      <c r="S152" s="2"/>
      <c r="T152" s="2"/>
    </row>
    <row r="153">
      <c r="A153" s="1">
        <f>IFERROR(__xludf.DUMMYFUNCTION("""COMPUTED_VALUE"""),151.0)</f>
        <v>151</v>
      </c>
      <c r="B153" s="2" t="str">
        <f>IFERROR(__xludf.DUMMYFUNCTION("""COMPUTED_VALUE"""),"Bangag Nanappatan Agriculture Cooperative")</f>
        <v>Bangag Nanappatan Agriculture Cooperative</v>
      </c>
      <c r="C153" s="2" t="str">
        <f>IFERROR(__xludf.DUMMYFUNCTION("""COMPUTED_VALUE"""),"Bangag, Aparri, CAGAYAN")</f>
        <v>Bangag, Aparri, CAGAYAN</v>
      </c>
      <c r="D153" s="2" t="str">
        <f>IFERROR(__xludf.DUMMYFUNCTION("""COMPUTED_VALUE"""),"Ofelia R. Garbin")</f>
        <v>Ofelia R. Garbin</v>
      </c>
      <c r="E153" s="2" t="str">
        <f>IFERROR(__xludf.DUMMYFUNCTION("""COMPUTED_VALUE"""),"09173973459/09616168190")</f>
        <v>09173973459/09616168190</v>
      </c>
      <c r="F153" s="2" t="str">
        <f>IFERROR(__xludf.DUMMYFUNCTION("""COMPUTED_VALUE"""),"RCEF 23-09-21 Rebidding")</f>
        <v>RCEF 23-09-21 Rebidding</v>
      </c>
      <c r="G153" s="2">
        <f>IFERROR(__xludf.DUMMYFUNCTION("""COMPUTED_VALUE"""),9.0)</f>
        <v>9</v>
      </c>
      <c r="H153" s="2">
        <f>IFERROR(__xludf.DUMMYFUNCTION("""COMPUTED_VALUE"""),17967.0)</f>
        <v>17967</v>
      </c>
      <c r="I153" s="2" t="str">
        <f>IFERROR(__xludf.DUMMYFUNCTION("""COMPUTED_VALUE"""),"KMC5825 ATPFPV0142")</f>
        <v>KMC5825 ATPFPV0142</v>
      </c>
      <c r="J153" s="2" t="str">
        <f>IFERROR(__xludf.DUMMYFUNCTION("""COMPUTED_VALUE"""),"PTS 100068")</f>
        <v>PTS 100068</v>
      </c>
      <c r="K153" s="2" t="str">
        <f>IFERROR(__xludf.DUMMYFUNCTION("""COMPUTED_VALUE"""),"R-SERIES 061 PH")</f>
        <v>R-SERIES 061 PH</v>
      </c>
      <c r="L153" s="2" t="str">
        <f>IFERROR(__xludf.DUMMYFUNCTION("""COMPUTED_VALUE"""),"LSGW1750 2312058")</f>
        <v>LSGW1750 2312058</v>
      </c>
      <c r="M153" s="2" t="str">
        <f>IFERROR(__xludf.DUMMYFUNCTION("""COMPUTED_VALUE"""),"WDP40 RMP 2312101")</f>
        <v>WDP40 RMP 2312101</v>
      </c>
      <c r="N153" s="2"/>
      <c r="O153" s="2" t="str">
        <f>IFERROR(__xludf.DUMMYFUNCTION("""COMPUTED_VALUE"""),"Bangag")</f>
        <v>Bangag</v>
      </c>
      <c r="P153" s="2" t="str">
        <f>IFERROR(__xludf.DUMMYFUNCTION("""COMPUTED_VALUE"""),"Aparri")</f>
        <v>Aparri</v>
      </c>
      <c r="Q153" s="2" t="str">
        <f>IFERROR(__xludf.DUMMYFUNCTION("""COMPUTED_VALUE"""),"Cagayan")</f>
        <v>Cagayan</v>
      </c>
      <c r="R153" s="2">
        <f>IFERROR(__xludf.DUMMYFUNCTION("""COMPUTED_VALUE"""),2.0)</f>
        <v>2</v>
      </c>
      <c r="S153" s="2"/>
      <c r="T153" s="2"/>
    </row>
    <row r="154">
      <c r="A154" s="1">
        <f>IFERROR(__xludf.DUMMYFUNCTION("""COMPUTED_VALUE"""),152.0)</f>
        <v>152</v>
      </c>
      <c r="B154" s="2" t="str">
        <f>IFERROR(__xludf.DUMMYFUNCTION("""COMPUTED_VALUE"""),"SARANAY FARMERS ASSOCIATION")</f>
        <v>SARANAY FARMERS ASSOCIATION</v>
      </c>
      <c r="C154" s="2" t="str">
        <f>IFERROR(__xludf.DUMMYFUNCTION("""COMPUTED_VALUE"""),"Mabini, Baggao, CAGAYAN")</f>
        <v>Mabini, Baggao, CAGAYAN</v>
      </c>
      <c r="D154" s="2" t="str">
        <f>IFERROR(__xludf.DUMMYFUNCTION("""COMPUTED_VALUE"""),"Alexander B. Cesar")</f>
        <v>Alexander B. Cesar</v>
      </c>
      <c r="E154" s="2">
        <f>IFERROR(__xludf.DUMMYFUNCTION("""COMPUTED_VALUE"""),9.97211281E9)</f>
        <v>9972112810</v>
      </c>
      <c r="F154" s="2" t="str">
        <f>IFERROR(__xludf.DUMMYFUNCTION("""COMPUTED_VALUE"""),"RCEF 23-09-21 Rebidding")</f>
        <v>RCEF 23-09-21 Rebidding</v>
      </c>
      <c r="G154" s="2">
        <f>IFERROR(__xludf.DUMMYFUNCTION("""COMPUTED_VALUE"""),9.0)</f>
        <v>9</v>
      </c>
      <c r="H154" s="2">
        <f>IFERROR(__xludf.DUMMYFUNCTION("""COMPUTED_VALUE"""),17968.0)</f>
        <v>17968</v>
      </c>
      <c r="I154" s="2" t="str">
        <f>IFERROR(__xludf.DUMMYFUNCTION("""COMPUTED_VALUE"""),"KMC5825 AAPFPVO134")</f>
        <v>KMC5825 AAPFPVO134</v>
      </c>
      <c r="J154" s="2" t="str">
        <f>IFERROR(__xludf.DUMMYFUNCTION("""COMPUTED_VALUE"""),"PTS100041")</f>
        <v>PTS100041</v>
      </c>
      <c r="K154" s="2" t="str">
        <f>IFERROR(__xludf.DUMMYFUNCTION("""COMPUTED_VALUE"""),"R-SERIES 022 PH")</f>
        <v>R-SERIES 022 PH</v>
      </c>
      <c r="L154" s="2" t="str">
        <f>IFERROR(__xludf.DUMMYFUNCTION("""COMPUTED_VALUE"""),"LSGW1750 2312053")</f>
        <v>LSGW1750 2312053</v>
      </c>
      <c r="M154" s="2" t="str">
        <f>IFERROR(__xludf.DUMMYFUNCTION("""COMPUTED_VALUE"""),"WDP40 RMP 2312105")</f>
        <v>WDP40 RMP 2312105</v>
      </c>
      <c r="N154" s="2"/>
      <c r="O154" s="2" t="str">
        <f>IFERROR(__xludf.DUMMYFUNCTION("""COMPUTED_VALUE"""),"Mabini")</f>
        <v>Mabini</v>
      </c>
      <c r="P154" s="2" t="str">
        <f>IFERROR(__xludf.DUMMYFUNCTION("""COMPUTED_VALUE"""),"Baggao")</f>
        <v>Baggao</v>
      </c>
      <c r="Q154" s="2" t="str">
        <f>IFERROR(__xludf.DUMMYFUNCTION("""COMPUTED_VALUE"""),"Cagayan")</f>
        <v>Cagayan</v>
      </c>
      <c r="R154" s="2">
        <f>IFERROR(__xludf.DUMMYFUNCTION("""COMPUTED_VALUE"""),2.0)</f>
        <v>2</v>
      </c>
      <c r="S154" s="2"/>
      <c r="T154" s="2"/>
    </row>
    <row r="155">
      <c r="A155" s="1">
        <f>IFERROR(__xludf.DUMMYFUNCTION("""COMPUTED_VALUE"""),153.0)</f>
        <v>153</v>
      </c>
      <c r="B155" s="2" t="str">
        <f>IFERROR(__xludf.DUMMYFUNCTION("""COMPUTED_VALUE"""),"CAPATAG FARMERS IRRIGATION ASSOCIATION INC.")</f>
        <v>CAPATAG FARMERS IRRIGATION ASSOCIATION INC.</v>
      </c>
      <c r="C155" s="2" t="str">
        <f>IFERROR(__xludf.DUMMYFUNCTION("""COMPUTED_VALUE"""),"Nabaccayan, Gattaran, CAGAYAN")</f>
        <v>Nabaccayan, Gattaran, CAGAYAN</v>
      </c>
      <c r="D155" s="2" t="str">
        <f>IFERROR(__xludf.DUMMYFUNCTION("""COMPUTED_VALUE"""),"Silverio P. Miguel")</f>
        <v>Silverio P. Miguel</v>
      </c>
      <c r="E155" s="2">
        <f>IFERROR(__xludf.DUMMYFUNCTION("""COMPUTED_VALUE"""),9.354126762E9)</f>
        <v>9354126762</v>
      </c>
      <c r="F155" s="2" t="str">
        <f>IFERROR(__xludf.DUMMYFUNCTION("""COMPUTED_VALUE"""),"RCEF 23-09-21 Rebidding")</f>
        <v>RCEF 23-09-21 Rebidding</v>
      </c>
      <c r="G155" s="2">
        <f>IFERROR(__xludf.DUMMYFUNCTION("""COMPUTED_VALUE"""),9.0)</f>
        <v>9</v>
      </c>
      <c r="H155" s="2">
        <f>IFERROR(__xludf.DUMMYFUNCTION("""COMPUTED_VALUE"""),17969.0)</f>
        <v>17969</v>
      </c>
      <c r="I155" s="2" t="str">
        <f>IFERROR(__xludf.DUMMYFUNCTION("""COMPUTED_VALUE"""),"KMC5825 ALRFPVOO8")</f>
        <v>KMC5825 ALRFPVOO8</v>
      </c>
      <c r="J155" s="2" t="str">
        <f>IFERROR(__xludf.DUMMYFUNCTION("""COMPUTED_VALUE"""),"PTS 100287")</f>
        <v>PTS 100287</v>
      </c>
      <c r="K155" s="2" t="str">
        <f>IFERROR(__xludf.DUMMYFUNCTION("""COMPUTED_VALUE"""),"R-SERIES 002 PH")</f>
        <v>R-SERIES 002 PH</v>
      </c>
      <c r="L155" s="2" t="str">
        <f>IFERROR(__xludf.DUMMYFUNCTION("""COMPUTED_VALUE"""),"LSGW1750 2312088")</f>
        <v>LSGW1750 2312088</v>
      </c>
      <c r="M155" s="2" t="str">
        <f>IFERROR(__xludf.DUMMYFUNCTION("""COMPUTED_VALUE"""),"WDP40 RMP 2312131")</f>
        <v>WDP40 RMP 2312131</v>
      </c>
      <c r="N155" s="2"/>
      <c r="O155" s="2" t="str">
        <f>IFERROR(__xludf.DUMMYFUNCTION("""COMPUTED_VALUE"""),"Nabaccayan")</f>
        <v>Nabaccayan</v>
      </c>
      <c r="P155" s="2" t="str">
        <f>IFERROR(__xludf.DUMMYFUNCTION("""COMPUTED_VALUE"""),"Gattaran")</f>
        <v>Gattaran</v>
      </c>
      <c r="Q155" s="2" t="str">
        <f>IFERROR(__xludf.DUMMYFUNCTION("""COMPUTED_VALUE"""),"Cagayan")</f>
        <v>Cagayan</v>
      </c>
      <c r="R155" s="2">
        <f>IFERROR(__xludf.DUMMYFUNCTION("""COMPUTED_VALUE"""),2.0)</f>
        <v>2</v>
      </c>
      <c r="S155" s="2"/>
      <c r="T155" s="2"/>
    </row>
    <row r="156">
      <c r="A156" s="1">
        <f>IFERROR(__xludf.DUMMYFUNCTION("""COMPUTED_VALUE"""),154.0)</f>
        <v>154</v>
      </c>
      <c r="B156" s="2" t="str">
        <f>IFERROR(__xludf.DUMMYFUNCTION("""COMPUTED_VALUE"""),"SARUSAR TI SAN PEDRO FARMERS IRRIGATORS ASSOCIATION")</f>
        <v>SARUSAR TI SAN PEDRO FARMERS IRRIGATORS ASSOCIATION</v>
      </c>
      <c r="C156" s="2" t="str">
        <f>IFERROR(__xludf.DUMMYFUNCTION("""COMPUTED_VALUE"""),"PATENG, GONZAGA, CAGAYAN")</f>
        <v>PATENG, GONZAGA, CAGAYAN</v>
      </c>
      <c r="D156" s="2" t="str">
        <f>IFERROR(__xludf.DUMMYFUNCTION("""COMPUTED_VALUE"""),"#N/A")</f>
        <v>#N/A</v>
      </c>
      <c r="E156" s="2" t="str">
        <f>IFERROR(__xludf.DUMMYFUNCTION("""COMPUTED_VALUE"""),"#N/A")</f>
        <v>#N/A</v>
      </c>
      <c r="F156" s="2" t="str">
        <f>IFERROR(__xludf.DUMMYFUNCTION("""COMPUTED_VALUE"""),"RCEF 23-09-21 Rebidding")</f>
        <v>RCEF 23-09-21 Rebidding</v>
      </c>
      <c r="G156" s="2">
        <f>IFERROR(__xludf.DUMMYFUNCTION("""COMPUTED_VALUE"""),9.0)</f>
        <v>9</v>
      </c>
      <c r="H156" s="2">
        <f>IFERROR(__xludf.DUMMYFUNCTION("""COMPUTED_VALUE"""),17970.0)</f>
        <v>17970</v>
      </c>
      <c r="I156" s="2" t="str">
        <f>IFERROR(__xludf.DUMMYFUNCTION("""COMPUTED_VALUE"""),"KMC5825 AJRFPV0634")</f>
        <v>KMC5825 AJRFPV0634</v>
      </c>
      <c r="J156" s="2" t="str">
        <f>IFERROR(__xludf.DUMMYFUNCTION("""COMPUTED_VALUE"""),"RTS 100172")</f>
        <v>RTS 100172</v>
      </c>
      <c r="K156" s="2" t="str">
        <f>IFERROR(__xludf.DUMMYFUNCTION("""COMPUTED_VALUE"""),"RSERIES 861 PH")</f>
        <v>RSERIES 861 PH</v>
      </c>
      <c r="L156" s="2" t="str">
        <f>IFERROR(__xludf.DUMMYFUNCTION("""COMPUTED_VALUE"""),"LSGW1750 RMP 24020539")</f>
        <v>LSGW1750 RMP 24020539</v>
      </c>
      <c r="M156" s="2" t="str">
        <f>IFERROR(__xludf.DUMMYFUNCTION("""COMPUTED_VALUE"""),"WDP 40 RMP 240505555")</f>
        <v>WDP 40 RMP 240505555</v>
      </c>
      <c r="N156" s="2"/>
      <c r="O156" s="2" t="str">
        <f>IFERROR(__xludf.DUMMYFUNCTION("""COMPUTED_VALUE"""),"Pateng")</f>
        <v>Pateng</v>
      </c>
      <c r="P156" s="2" t="str">
        <f>IFERROR(__xludf.DUMMYFUNCTION("""COMPUTED_VALUE"""),"Gonzaga")</f>
        <v>Gonzaga</v>
      </c>
      <c r="Q156" s="2" t="str">
        <f>IFERROR(__xludf.DUMMYFUNCTION("""COMPUTED_VALUE"""),"Cagayan")</f>
        <v>Cagayan</v>
      </c>
      <c r="R156" s="2">
        <f>IFERROR(__xludf.DUMMYFUNCTION("""COMPUTED_VALUE"""),2.0)</f>
        <v>2</v>
      </c>
      <c r="S156" s="2"/>
      <c r="T156" s="2"/>
    </row>
    <row r="157">
      <c r="A157" s="1">
        <f>IFERROR(__xludf.DUMMYFUNCTION("""COMPUTED_VALUE"""),155.0)</f>
        <v>155</v>
      </c>
      <c r="B157" s="2" t="str">
        <f>IFERROR(__xludf.DUMMYFUNCTION("""COMPUTED_VALUE"""),"NAGUILIAN IRRIGATORS' ASSOCIATION, INC.")</f>
        <v>NAGUILIAN IRRIGATORS' ASSOCIATION, INC.</v>
      </c>
      <c r="C157" s="2" t="str">
        <f>IFERROR(__xludf.DUMMYFUNCTION("""COMPUTED_VALUE"""),"Naguilian, Lal-lo, CAGAYAN")</f>
        <v>Naguilian, Lal-lo, CAGAYAN</v>
      </c>
      <c r="D157" s="2" t="str">
        <f>IFERROR(__xludf.DUMMYFUNCTION("""COMPUTED_VALUE"""),"Dario I. Costales")</f>
        <v>Dario I. Costales</v>
      </c>
      <c r="E157" s="2">
        <f>IFERROR(__xludf.DUMMYFUNCTION("""COMPUTED_VALUE"""),9.655815697E9)</f>
        <v>9655815697</v>
      </c>
      <c r="F157" s="2" t="str">
        <f>IFERROR(__xludf.DUMMYFUNCTION("""COMPUTED_VALUE"""),"RCEF 23-09-21 Rebidding")</f>
        <v>RCEF 23-09-21 Rebidding</v>
      </c>
      <c r="G157" s="2">
        <f>IFERROR(__xludf.DUMMYFUNCTION("""COMPUTED_VALUE"""),9.0)</f>
        <v>9</v>
      </c>
      <c r="H157" s="2">
        <f>IFERROR(__xludf.DUMMYFUNCTION("""COMPUTED_VALUE"""),17971.0)</f>
        <v>17971</v>
      </c>
      <c r="I157" s="2" t="str">
        <f>IFERROR(__xludf.DUMMYFUNCTION("""COMPUTED_VALUE"""),"KMC5825 ACPFPV0101")</f>
        <v>KMC5825 ACPFPV0101</v>
      </c>
      <c r="J157" s="2" t="str">
        <f>IFERROR(__xludf.DUMMYFUNCTION("""COMPUTED_VALUE"""),"PTS 100154")</f>
        <v>PTS 100154</v>
      </c>
      <c r="K157" s="2" t="str">
        <f>IFERROR(__xludf.DUMMYFUNCTION("""COMPUTED_VALUE"""),"R-SERIES 006 PH")</f>
        <v>R-SERIES 006 PH</v>
      </c>
      <c r="L157" s="2" t="str">
        <f>IFERROR(__xludf.DUMMYFUNCTION("""COMPUTED_VALUE"""),"LSGW1750 2312085")</f>
        <v>LSGW1750 2312085</v>
      </c>
      <c r="M157" s="2" t="str">
        <f>IFERROR(__xludf.DUMMYFUNCTION("""COMPUTED_VALUE"""),"WDP40 RMP 2312109")</f>
        <v>WDP40 RMP 2312109</v>
      </c>
      <c r="N157" s="2"/>
      <c r="O157" s="2" t="str">
        <f>IFERROR(__xludf.DUMMYFUNCTION("""COMPUTED_VALUE"""),"Naguilian")</f>
        <v>Naguilian</v>
      </c>
      <c r="P157" s="2" t="str">
        <f>IFERROR(__xludf.DUMMYFUNCTION("""COMPUTED_VALUE"""),"Lal-Lo")</f>
        <v>Lal-Lo</v>
      </c>
      <c r="Q157" s="2" t="str">
        <f>IFERROR(__xludf.DUMMYFUNCTION("""COMPUTED_VALUE"""),"Cagayan")</f>
        <v>Cagayan</v>
      </c>
      <c r="R157" s="2">
        <f>IFERROR(__xludf.DUMMYFUNCTION("""COMPUTED_VALUE"""),2.0)</f>
        <v>2</v>
      </c>
      <c r="S157" s="2"/>
      <c r="T157" s="2"/>
    </row>
    <row r="158">
      <c r="A158" s="1">
        <f>IFERROR(__xludf.DUMMYFUNCTION("""COMPUTED_VALUE"""),156.0)</f>
        <v>156</v>
      </c>
      <c r="B158" s="2" t="str">
        <f>IFERROR(__xludf.DUMMYFUNCTION("""COMPUTED_VALUE"""),"DILIAN SANTA ANA FARMERS IRRIGATORS ASSOCIATION, INC.")</f>
        <v>DILIAN SANTA ANA FARMERS IRRIGATORS ASSOCIATION, INC.</v>
      </c>
      <c r="C158" s="2" t="str">
        <f>IFERROR(__xludf.DUMMYFUNCTION("""COMPUTED_VALUE"""),", SANTA ANA, CAGAYAN")</f>
        <v>, SANTA ANA, CAGAYAN</v>
      </c>
      <c r="D158" s="2" t="str">
        <f>IFERROR(__xludf.DUMMYFUNCTION("""COMPUTED_VALUE"""),"Faustino P. Tabilisima Jr.")</f>
        <v>Faustino P. Tabilisima Jr.</v>
      </c>
      <c r="E158" s="2">
        <f>IFERROR(__xludf.DUMMYFUNCTION("""COMPUTED_VALUE"""),9.359764336E9)</f>
        <v>9359764336</v>
      </c>
      <c r="F158" s="2" t="str">
        <f>IFERROR(__xludf.DUMMYFUNCTION("""COMPUTED_VALUE"""),"RCEF 23-09-21 Rebidding")</f>
        <v>RCEF 23-09-21 Rebidding</v>
      </c>
      <c r="G158" s="2">
        <f>IFERROR(__xludf.DUMMYFUNCTION("""COMPUTED_VALUE"""),9.0)</f>
        <v>9</v>
      </c>
      <c r="H158" s="2">
        <f>IFERROR(__xludf.DUMMYFUNCTION("""COMPUTED_VALUE"""),17972.0)</f>
        <v>17972</v>
      </c>
      <c r="I158" s="2" t="str">
        <f>IFERROR(__xludf.DUMMYFUNCTION("""COMPUTED_VALUE"""),"KMC5825 AERFPV0625")</f>
        <v>KMC5825 AERFPV0625</v>
      </c>
      <c r="J158" s="2" t="str">
        <f>IFERROR(__xludf.DUMMYFUNCTION("""COMPUTED_VALUE"""),"RTS 100288")</f>
        <v>RTS 100288</v>
      </c>
      <c r="K158" s="2" t="str">
        <f>IFERROR(__xludf.DUMMYFUNCTION("""COMPUTED_VALUE"""),"RSERIES 860 PH")</f>
        <v>RSERIES 860 PH</v>
      </c>
      <c r="L158" s="2" t="str">
        <f>IFERROR(__xludf.DUMMYFUNCTION("""COMPUTED_VALUE"""),"LSGW1750 RMP 24010124")</f>
        <v>LSGW1750 RMP 24010124</v>
      </c>
      <c r="M158" s="2" t="str">
        <f>IFERROR(__xludf.DUMMYFUNCTION("""COMPUTED_VALUE"""),"WDP 40 RMP24030345")</f>
        <v>WDP 40 RMP24030345</v>
      </c>
      <c r="N158" s="2"/>
      <c r="O158" s="2" t="str">
        <f>IFERROR(__xludf.DUMMYFUNCTION("""COMPUTED_VALUE"""),"")</f>
        <v/>
      </c>
      <c r="P158" s="2" t="str">
        <f>IFERROR(__xludf.DUMMYFUNCTION("""COMPUTED_VALUE"""),"Santa Ana")</f>
        <v>Santa Ana</v>
      </c>
      <c r="Q158" s="2" t="str">
        <f>IFERROR(__xludf.DUMMYFUNCTION("""COMPUTED_VALUE"""),"Cagayan")</f>
        <v>Cagayan</v>
      </c>
      <c r="R158" s="2">
        <f>IFERROR(__xludf.DUMMYFUNCTION("""COMPUTED_VALUE"""),2.0)</f>
        <v>2</v>
      </c>
      <c r="S158" s="2"/>
      <c r="T158" s="2"/>
    </row>
    <row r="159">
      <c r="A159" s="1">
        <f>IFERROR(__xludf.DUMMYFUNCTION("""COMPUTED_VALUE"""),157.0)</f>
        <v>157</v>
      </c>
      <c r="B159" s="2" t="str">
        <f>IFERROR(__xludf.DUMMYFUNCTION("""COMPUTED_VALUE"""),"STO. TOMAS FARMERS' AND FISHERFOLKS ASSOCIATION")</f>
        <v>STO. TOMAS FARMERS' AND FISHERFOLKS ASSOCIATION</v>
      </c>
      <c r="C159" s="2" t="str">
        <f>IFERROR(__xludf.DUMMYFUNCTION("""COMPUTED_VALUE"""),"Santo Tomas, Abulug, CAGAYAN")</f>
        <v>Santo Tomas, Abulug, CAGAYAN</v>
      </c>
      <c r="D159" s="2" t="str">
        <f>IFERROR(__xludf.DUMMYFUNCTION("""COMPUTED_VALUE"""),"Jose A. Aquisay Sr.")</f>
        <v>Jose A. Aquisay Sr.</v>
      </c>
      <c r="E159" s="2" t="str">
        <f>IFERROR(__xludf.DUMMYFUNCTION("""COMPUTED_VALUE"""),"09774491996/ 09350356511")</f>
        <v>09774491996/ 09350356511</v>
      </c>
      <c r="F159" s="2" t="str">
        <f>IFERROR(__xludf.DUMMYFUNCTION("""COMPUTED_VALUE"""),"RCEF 23-09-21 Rebidding")</f>
        <v>RCEF 23-09-21 Rebidding</v>
      </c>
      <c r="G159" s="2">
        <f>IFERROR(__xludf.DUMMYFUNCTION("""COMPUTED_VALUE"""),9.0)</f>
        <v>9</v>
      </c>
      <c r="H159" s="2">
        <f>IFERROR(__xludf.DUMMYFUNCTION("""COMPUTED_VALUE"""),17973.0)</f>
        <v>17973</v>
      </c>
      <c r="I159" s="2" t="str">
        <f>IFERROR(__xludf.DUMMYFUNCTION("""COMPUTED_VALUE"""),"KMC5825 APRFPV0016")</f>
        <v>KMC5825 APRFPV0016</v>
      </c>
      <c r="J159" s="2" t="str">
        <f>IFERROR(__xludf.DUMMYFUNCTION("""COMPUTED_VALUE"""),"PTS 100270")</f>
        <v>PTS 100270</v>
      </c>
      <c r="K159" s="2" t="str">
        <f>IFERROR(__xludf.DUMMYFUNCTION("""COMPUTED_VALUE"""),"R-SERIES 021 PH")</f>
        <v>R-SERIES 021 PH</v>
      </c>
      <c r="L159" s="2" t="str">
        <f>IFERROR(__xludf.DUMMYFUNCTION("""COMPUTED_VALUE"""),"LSGW1750 2312071")</f>
        <v>LSGW1750 2312071</v>
      </c>
      <c r="M159" s="2" t="str">
        <f>IFERROR(__xludf.DUMMYFUNCTION("""COMPUTED_VALUE"""),"WDP40 RMP 2312116")</f>
        <v>WDP40 RMP 2312116</v>
      </c>
      <c r="N159" s="2"/>
      <c r="O159" s="2" t="str">
        <f>IFERROR(__xludf.DUMMYFUNCTION("""COMPUTED_VALUE"""),"Santo Tomas")</f>
        <v>Santo Tomas</v>
      </c>
      <c r="P159" s="2" t="str">
        <f>IFERROR(__xludf.DUMMYFUNCTION("""COMPUTED_VALUE"""),"Abulug")</f>
        <v>Abulug</v>
      </c>
      <c r="Q159" s="2" t="str">
        <f>IFERROR(__xludf.DUMMYFUNCTION("""COMPUTED_VALUE"""),"Cagayan")</f>
        <v>Cagayan</v>
      </c>
      <c r="R159" s="2">
        <f>IFERROR(__xludf.DUMMYFUNCTION("""COMPUTED_VALUE"""),2.0)</f>
        <v>2</v>
      </c>
      <c r="S159" s="2"/>
      <c r="T159" s="2"/>
    </row>
    <row r="160">
      <c r="A160" s="1">
        <f>IFERROR(__xludf.DUMMYFUNCTION("""COMPUTED_VALUE"""),158.0)</f>
        <v>158</v>
      </c>
      <c r="B160" s="2" t="str">
        <f>IFERROR(__xludf.DUMMYFUNCTION("""COMPUTED_VALUE"""),"TAYAK AGRI-FISHERY PRODUCERS ASSOCIATION")</f>
        <v>TAYAK AGRI-FISHERY PRODUCERS ASSOCIATION</v>
      </c>
      <c r="C160" s="2" t="str">
        <f>IFERROR(__xludf.DUMMYFUNCTION("""COMPUTED_VALUE"""),"Siguiran, Abulug, CAGAYAN")</f>
        <v>Siguiran, Abulug, CAGAYAN</v>
      </c>
      <c r="D160" s="2" t="str">
        <f>IFERROR(__xludf.DUMMYFUNCTION("""COMPUTED_VALUE"""),"Christoffer B. Bayani")</f>
        <v>Christoffer B. Bayani</v>
      </c>
      <c r="E160" s="2">
        <f>IFERROR(__xludf.DUMMYFUNCTION("""COMPUTED_VALUE"""),9.273062333E9)</f>
        <v>9273062333</v>
      </c>
      <c r="F160" s="2" t="str">
        <f>IFERROR(__xludf.DUMMYFUNCTION("""COMPUTED_VALUE"""),"RCEF 23-09-21 Rebidding")</f>
        <v>RCEF 23-09-21 Rebidding</v>
      </c>
      <c r="G160" s="2">
        <f>IFERROR(__xludf.DUMMYFUNCTION("""COMPUTED_VALUE"""),9.0)</f>
        <v>9</v>
      </c>
      <c r="H160" s="2">
        <f>IFERROR(__xludf.DUMMYFUNCTION("""COMPUTED_VALUE"""),17974.0)</f>
        <v>17974</v>
      </c>
      <c r="I160" s="2" t="str">
        <f>IFERROR(__xludf.DUMMYFUNCTION("""COMPUTED_VALUE"""),"KMC5825 AJPFPV0047")</f>
        <v>KMC5825 AJPFPV0047</v>
      </c>
      <c r="J160" s="2" t="str">
        <f>IFERROR(__xludf.DUMMYFUNCTION("""COMPUTED_VALUE"""),"PTS 100132")</f>
        <v>PTS 100132</v>
      </c>
      <c r="K160" s="2" t="str">
        <f>IFERROR(__xludf.DUMMYFUNCTION("""COMPUTED_VALUE"""),"R-SERIES 057 PH")</f>
        <v>R-SERIES 057 PH</v>
      </c>
      <c r="L160" s="2" t="str">
        <f>IFERROR(__xludf.DUMMYFUNCTION("""COMPUTED_VALUE"""),"LSGW1750 2312160")</f>
        <v>LSGW1750 2312160</v>
      </c>
      <c r="M160" s="2" t="str">
        <f>IFERROR(__xludf.DUMMYFUNCTION("""COMPUTED_VALUE"""),"WDP40 RMP 2312112")</f>
        <v>WDP40 RMP 2312112</v>
      </c>
      <c r="N160" s="2"/>
      <c r="O160" s="2" t="str">
        <f>IFERROR(__xludf.DUMMYFUNCTION("""COMPUTED_VALUE"""),"Siguiran")</f>
        <v>Siguiran</v>
      </c>
      <c r="P160" s="2" t="str">
        <f>IFERROR(__xludf.DUMMYFUNCTION("""COMPUTED_VALUE"""),"Abulug")</f>
        <v>Abulug</v>
      </c>
      <c r="Q160" s="2" t="str">
        <f>IFERROR(__xludf.DUMMYFUNCTION("""COMPUTED_VALUE"""),"Cagayan")</f>
        <v>Cagayan</v>
      </c>
      <c r="R160" s="2">
        <f>IFERROR(__xludf.DUMMYFUNCTION("""COMPUTED_VALUE"""),2.0)</f>
        <v>2</v>
      </c>
      <c r="S160" s="2"/>
      <c r="T160" s="2"/>
    </row>
    <row r="161">
      <c r="A161" s="1">
        <f>IFERROR(__xludf.DUMMYFUNCTION("""COMPUTED_VALUE"""),159.0)</f>
        <v>159</v>
      </c>
      <c r="B161" s="2" t="str">
        <f>IFERROR(__xludf.DUMMYFUNCTION("""COMPUTED_VALUE"""),"TAMBOLI FARMERS ASSOCIATION")</f>
        <v>TAMBOLI FARMERS ASSOCIATION</v>
      </c>
      <c r="C161" s="2" t="str">
        <f>IFERROR(__xludf.DUMMYFUNCTION("""COMPUTED_VALUE"""),"Tamboli, Allacapan, CAGAYAN")</f>
        <v>Tamboli, Allacapan, CAGAYAN</v>
      </c>
      <c r="D161" s="2" t="str">
        <f>IFERROR(__xludf.DUMMYFUNCTION("""COMPUTED_VALUE"""),"Patrocinio R. Cortez")</f>
        <v>Patrocinio R. Cortez</v>
      </c>
      <c r="E161" s="2" t="str">
        <f>IFERROR(__xludf.DUMMYFUNCTION("""COMPUTED_VALUE"""),"0927-312-9829")</f>
        <v>0927-312-9829</v>
      </c>
      <c r="F161" s="2" t="str">
        <f>IFERROR(__xludf.DUMMYFUNCTION("""COMPUTED_VALUE"""),"RCEF 23-09-21 Rebidding")</f>
        <v>RCEF 23-09-21 Rebidding</v>
      </c>
      <c r="G161" s="2">
        <f>IFERROR(__xludf.DUMMYFUNCTION("""COMPUTED_VALUE"""),9.0)</f>
        <v>9</v>
      </c>
      <c r="H161" s="2">
        <f>IFERROR(__xludf.DUMMYFUNCTION("""COMPUTED_VALUE"""),17975.0)</f>
        <v>17975</v>
      </c>
      <c r="I161" s="2" t="str">
        <f>IFERROR(__xludf.DUMMYFUNCTION("""COMPUTED_VALUE"""),"KMC5825 ACRFPV0005")</f>
        <v>KMC5825 ACRFPV0005</v>
      </c>
      <c r="J161" s="2" t="str">
        <f>IFERROR(__xludf.DUMMYFUNCTION("""COMPUTED_VALUE"""),"PTS 100297")</f>
        <v>PTS 100297</v>
      </c>
      <c r="K161" s="2" t="str">
        <f>IFERROR(__xludf.DUMMYFUNCTION("""COMPUTED_VALUE"""),"R-SERIES 015 PH")</f>
        <v>R-SERIES 015 PH</v>
      </c>
      <c r="L161" s="2" t="str">
        <f>IFERROR(__xludf.DUMMYFUNCTION("""COMPUTED_VALUE"""),"LSGW1750 2312144")</f>
        <v>LSGW1750 2312144</v>
      </c>
      <c r="M161" s="2" t="str">
        <f>IFERROR(__xludf.DUMMYFUNCTION("""COMPUTED_VALUE"""),"WDP40 RMP 2312103")</f>
        <v>WDP40 RMP 2312103</v>
      </c>
      <c r="N161" s="2"/>
      <c r="O161" s="2" t="str">
        <f>IFERROR(__xludf.DUMMYFUNCTION("""COMPUTED_VALUE"""),"Tamboli")</f>
        <v>Tamboli</v>
      </c>
      <c r="P161" s="2" t="str">
        <f>IFERROR(__xludf.DUMMYFUNCTION("""COMPUTED_VALUE"""),"Allacapan")</f>
        <v>Allacapan</v>
      </c>
      <c r="Q161" s="2" t="str">
        <f>IFERROR(__xludf.DUMMYFUNCTION("""COMPUTED_VALUE"""),"Cagayan")</f>
        <v>Cagayan</v>
      </c>
      <c r="R161" s="2">
        <f>IFERROR(__xludf.DUMMYFUNCTION("""COMPUTED_VALUE"""),2.0)</f>
        <v>2</v>
      </c>
      <c r="S161" s="2"/>
      <c r="T161" s="2"/>
    </row>
    <row r="162">
      <c r="A162" s="1">
        <f>IFERROR(__xludf.DUMMYFUNCTION("""COMPUTED_VALUE"""),160.0)</f>
        <v>160</v>
      </c>
      <c r="B162" s="2" t="str">
        <f>IFERROR(__xludf.DUMMYFUNCTION("""COMPUTED_VALUE"""),"NARARAGAN CABAYU SAN JUAN VALLEY IRRIGATORS ASSOCIATION, INC.")</f>
        <v>NARARAGAN CABAYU SAN JUAN VALLEY IRRIGATORS ASSOCIATION, INC.</v>
      </c>
      <c r="C162" s="2" t="str">
        <f>IFERROR(__xludf.DUMMYFUNCTION("""COMPUTED_VALUE"""),"Cabayu, Ballesteros, CAGAYAN")</f>
        <v>Cabayu, Ballesteros, CAGAYAN</v>
      </c>
      <c r="D162" s="2" t="str">
        <f>IFERROR(__xludf.DUMMYFUNCTION("""COMPUTED_VALUE"""),"Manuel F. Ralleca")</f>
        <v>Manuel F. Ralleca</v>
      </c>
      <c r="E162" s="2">
        <f>IFERROR(__xludf.DUMMYFUNCTION("""COMPUTED_VALUE"""),9.264881045E9)</f>
        <v>9264881045</v>
      </c>
      <c r="F162" s="2" t="str">
        <f>IFERROR(__xludf.DUMMYFUNCTION("""COMPUTED_VALUE"""),"RCEF 23-09-21 Rebidding")</f>
        <v>RCEF 23-09-21 Rebidding</v>
      </c>
      <c r="G162" s="2">
        <f>IFERROR(__xludf.DUMMYFUNCTION("""COMPUTED_VALUE"""),9.0)</f>
        <v>9</v>
      </c>
      <c r="H162" s="2">
        <f>IFERROR(__xludf.DUMMYFUNCTION("""COMPUTED_VALUE"""),17976.0)</f>
        <v>17976</v>
      </c>
      <c r="I162" s="2" t="str">
        <f>IFERROR(__xludf.DUMMYFUNCTION("""COMPUTED_VALUE"""),"KMC5825 ACRFPV0014")</f>
        <v>KMC5825 ACRFPV0014</v>
      </c>
      <c r="J162" s="2" t="str">
        <f>IFERROR(__xludf.DUMMYFUNCTION("""COMPUTED_VALUE"""),"PTS 100283")</f>
        <v>PTS 100283</v>
      </c>
      <c r="K162" s="2" t="str">
        <f>IFERROR(__xludf.DUMMYFUNCTION("""COMPUTED_VALUE"""),"R-SERIES 148 PH")</f>
        <v>R-SERIES 148 PH</v>
      </c>
      <c r="L162" s="2" t="str">
        <f>IFERROR(__xludf.DUMMYFUNCTION("""COMPUTED_VALUE"""),"LSGW1750 2312050")</f>
        <v>LSGW1750 2312050</v>
      </c>
      <c r="M162" s="2" t="str">
        <f>IFERROR(__xludf.DUMMYFUNCTION("""COMPUTED_VALUE"""),"WDP40 RMP 2312075")</f>
        <v>WDP40 RMP 2312075</v>
      </c>
      <c r="N162" s="2"/>
      <c r="O162" s="2" t="str">
        <f>IFERROR(__xludf.DUMMYFUNCTION("""COMPUTED_VALUE"""),"Cabayu")</f>
        <v>Cabayu</v>
      </c>
      <c r="P162" s="2" t="str">
        <f>IFERROR(__xludf.DUMMYFUNCTION("""COMPUTED_VALUE"""),"Ballesteros")</f>
        <v>Ballesteros</v>
      </c>
      <c r="Q162" s="2" t="str">
        <f>IFERROR(__xludf.DUMMYFUNCTION("""COMPUTED_VALUE"""),"Cagayan")</f>
        <v>Cagayan</v>
      </c>
      <c r="R162" s="2">
        <f>IFERROR(__xludf.DUMMYFUNCTION("""COMPUTED_VALUE"""),2.0)</f>
        <v>2</v>
      </c>
      <c r="S162" s="2"/>
      <c r="T162" s="2"/>
    </row>
    <row r="163">
      <c r="A163" s="1">
        <f>IFERROR(__xludf.DUMMYFUNCTION("""COMPUTED_VALUE"""),161.0)</f>
        <v>161</v>
      </c>
      <c r="B163" s="2" t="str">
        <f>IFERROR(__xludf.DUMMYFUNCTION("""COMPUTED_VALUE"""),"ZANJERA DAGOC-STO. TOMAS FARMERS ASSOCIATION, INC.")</f>
        <v>ZANJERA DAGOC-STO. TOMAS FARMERS ASSOCIATION, INC.</v>
      </c>
      <c r="C163" s="2" t="str">
        <f>IFERROR(__xludf.DUMMYFUNCTION("""COMPUTED_VALUE"""),"Santo Tomas, Claveria, CAGAYAN")</f>
        <v>Santo Tomas, Claveria, CAGAYAN</v>
      </c>
      <c r="D163" s="2" t="str">
        <f>IFERROR(__xludf.DUMMYFUNCTION("""COMPUTED_VALUE"""),"Roderick A. Agustin")</f>
        <v>Roderick A. Agustin</v>
      </c>
      <c r="E163" s="2">
        <f>IFERROR(__xludf.DUMMYFUNCTION("""COMPUTED_VALUE"""),9.232710227E9)</f>
        <v>9232710227</v>
      </c>
      <c r="F163" s="2" t="str">
        <f>IFERROR(__xludf.DUMMYFUNCTION("""COMPUTED_VALUE"""),"RCEF 23-09-21 Rebidding")</f>
        <v>RCEF 23-09-21 Rebidding</v>
      </c>
      <c r="G163" s="2">
        <f>IFERROR(__xludf.DUMMYFUNCTION("""COMPUTED_VALUE"""),9.0)</f>
        <v>9</v>
      </c>
      <c r="H163" s="2">
        <f>IFERROR(__xludf.DUMMYFUNCTION("""COMPUTED_VALUE"""),17977.0)</f>
        <v>17977</v>
      </c>
      <c r="I163" s="2" t="str">
        <f>IFERROR(__xludf.DUMMYFUNCTION("""COMPUTED_VALUE"""),"KMC5825 ACPFPV0088")</f>
        <v>KMC5825 ACPFPV0088</v>
      </c>
      <c r="J163" s="2" t="str">
        <f>IFERROR(__xludf.DUMMYFUNCTION("""COMPUTED_VALUE"""),"PTS 003 PH")</f>
        <v>PTS 003 PH</v>
      </c>
      <c r="K163" s="2" t="str">
        <f>IFERROR(__xludf.DUMMYFUNCTION("""COMPUTED_VALUE"""),"R-SERIES 003 PH")</f>
        <v>R-SERIES 003 PH</v>
      </c>
      <c r="L163" s="2" t="str">
        <f>IFERROR(__xludf.DUMMYFUNCTION("""COMPUTED_VALUE"""),"LSGW1750 2312167")</f>
        <v>LSGW1750 2312167</v>
      </c>
      <c r="M163" s="2" t="str">
        <f>IFERROR(__xludf.DUMMYFUNCTION("""COMPUTED_VALUE"""),"WDP40 RMP 2312089")</f>
        <v>WDP40 RMP 2312089</v>
      </c>
      <c r="N163" s="2"/>
      <c r="O163" s="2" t="str">
        <f>IFERROR(__xludf.DUMMYFUNCTION("""COMPUTED_VALUE"""),"Santo Tomas")</f>
        <v>Santo Tomas</v>
      </c>
      <c r="P163" s="2" t="str">
        <f>IFERROR(__xludf.DUMMYFUNCTION("""COMPUTED_VALUE"""),"Claveria")</f>
        <v>Claveria</v>
      </c>
      <c r="Q163" s="2" t="str">
        <f>IFERROR(__xludf.DUMMYFUNCTION("""COMPUTED_VALUE"""),"Cagayan")</f>
        <v>Cagayan</v>
      </c>
      <c r="R163" s="2">
        <f>IFERROR(__xludf.DUMMYFUNCTION("""COMPUTED_VALUE"""),2.0)</f>
        <v>2</v>
      </c>
      <c r="S163" s="2"/>
      <c r="T163" s="2"/>
    </row>
    <row r="164">
      <c r="A164" s="1">
        <f>IFERROR(__xludf.DUMMYFUNCTION("""COMPUTED_VALUE"""),162.0)</f>
        <v>162</v>
      </c>
      <c r="B164" s="2" t="str">
        <f>IFERROR(__xludf.DUMMYFUNCTION("""COMPUTED_VALUE"""),"Panagkaykaysa ti Mannalon ti Viga Agriculture Cooperative (PMVAC)")</f>
        <v>Panagkaykaysa ti Mannalon ti Viga Agriculture Cooperative (PMVAC)</v>
      </c>
      <c r="C164" s="2" t="str">
        <f>IFERROR(__xludf.DUMMYFUNCTION("""COMPUTED_VALUE"""),"Viga, Lasam, CAGAYAN")</f>
        <v>Viga, Lasam, CAGAYAN</v>
      </c>
      <c r="D164" s="2" t="str">
        <f>IFERROR(__xludf.DUMMYFUNCTION("""COMPUTED_VALUE"""),"Rodolfo P. Mariñas")</f>
        <v>Rodolfo P. Mariñas</v>
      </c>
      <c r="E164" s="2">
        <f>IFERROR(__xludf.DUMMYFUNCTION("""COMPUTED_VALUE"""),9.355519837E9)</f>
        <v>9355519837</v>
      </c>
      <c r="F164" s="2" t="str">
        <f>IFERROR(__xludf.DUMMYFUNCTION("""COMPUTED_VALUE"""),"RCEF 23-09-21 Rebidding")</f>
        <v>RCEF 23-09-21 Rebidding</v>
      </c>
      <c r="G164" s="2">
        <f>IFERROR(__xludf.DUMMYFUNCTION("""COMPUTED_VALUE"""),9.0)</f>
        <v>9</v>
      </c>
      <c r="H164" s="2">
        <f>IFERROR(__xludf.DUMMYFUNCTION("""COMPUTED_VALUE"""),17978.0)</f>
        <v>17978</v>
      </c>
      <c r="I164" s="2" t="str">
        <f>IFERROR(__xludf.DUMMYFUNCTION("""COMPUTED_VALUE"""),"KMC5825 AJPFPV0050")</f>
        <v>KMC5825 AJPFPV0050</v>
      </c>
      <c r="J164" s="2" t="str">
        <f>IFERROR(__xludf.DUMMYFUNCTION("""COMPUTED_VALUE"""),"PTS100063")</f>
        <v>PTS100063</v>
      </c>
      <c r="K164" s="2" t="str">
        <f>IFERROR(__xludf.DUMMYFUNCTION("""COMPUTED_VALUE"""),"R-SERIES 044 PH")</f>
        <v>R-SERIES 044 PH</v>
      </c>
      <c r="L164" s="2" t="str">
        <f>IFERROR(__xludf.DUMMYFUNCTION("""COMPUTED_VALUE"""),"LSGW1750 2312141")</f>
        <v>LSGW1750 2312141</v>
      </c>
      <c r="M164" s="2" t="str">
        <f>IFERROR(__xludf.DUMMYFUNCTION("""COMPUTED_VALUE"""),"WDP40 RMP 2312097")</f>
        <v>WDP40 RMP 2312097</v>
      </c>
      <c r="N164" s="2"/>
      <c r="O164" s="2" t="str">
        <f>IFERROR(__xludf.DUMMYFUNCTION("""COMPUTED_VALUE"""),"Viga")</f>
        <v>Viga</v>
      </c>
      <c r="P164" s="2" t="str">
        <f>IFERROR(__xludf.DUMMYFUNCTION("""COMPUTED_VALUE"""),"Lasam")</f>
        <v>Lasam</v>
      </c>
      <c r="Q164" s="2" t="str">
        <f>IFERROR(__xludf.DUMMYFUNCTION("""COMPUTED_VALUE"""),"Cagayan")</f>
        <v>Cagayan</v>
      </c>
      <c r="R164" s="2">
        <f>IFERROR(__xludf.DUMMYFUNCTION("""COMPUTED_VALUE"""),2.0)</f>
        <v>2</v>
      </c>
      <c r="S164" s="2"/>
      <c r="T164" s="2"/>
    </row>
    <row r="165">
      <c r="A165" s="1">
        <f>IFERROR(__xludf.DUMMYFUNCTION("""COMPUTED_VALUE"""),163.0)</f>
        <v>163</v>
      </c>
      <c r="B165" s="2" t="str">
        <f>IFERROR(__xludf.DUMMYFUNCTION("""COMPUTED_VALUE"""),"TARICUSTO FARMERS IRRIGATORS' ASSOCIATION INC.")</f>
        <v>TARICUSTO FARMERS IRRIGATORS' ASSOCIATION INC.</v>
      </c>
      <c r="C165" s="2" t="str">
        <f>IFERROR(__xludf.DUMMYFUNCTION("""COMPUTED_VALUE"""),"Taribubu, Tuao, CAGAYAN")</f>
        <v>Taribubu, Tuao, CAGAYAN</v>
      </c>
      <c r="D165" s="2" t="str">
        <f>IFERROR(__xludf.DUMMYFUNCTION("""COMPUTED_VALUE"""),"Fernando L Del Monte")</f>
        <v>Fernando L Del Monte</v>
      </c>
      <c r="E165" s="2">
        <f>IFERROR(__xludf.DUMMYFUNCTION("""COMPUTED_VALUE"""),9.978832047E9)</f>
        <v>9978832047</v>
      </c>
      <c r="F165" s="2" t="str">
        <f>IFERROR(__xludf.DUMMYFUNCTION("""COMPUTED_VALUE"""),"RCEF 23-09-21 Rebidding")</f>
        <v>RCEF 23-09-21 Rebidding</v>
      </c>
      <c r="G165" s="2">
        <f>IFERROR(__xludf.DUMMYFUNCTION("""COMPUTED_VALUE"""),9.0)</f>
        <v>9</v>
      </c>
      <c r="H165" s="2">
        <f>IFERROR(__xludf.DUMMYFUNCTION("""COMPUTED_VALUE"""),17979.0)</f>
        <v>17979</v>
      </c>
      <c r="I165" s="2" t="str">
        <f>IFERROR(__xludf.DUMMYFUNCTION("""COMPUTED_VALUE"""),"KMC5825 ACPFPV0155")</f>
        <v>KMC5825 ACPFPV0155</v>
      </c>
      <c r="J165" s="2" t="str">
        <f>IFERROR(__xludf.DUMMYFUNCTION("""COMPUTED_VALUE"""),"PTS100112")</f>
        <v>PTS100112</v>
      </c>
      <c r="K165" s="2" t="str">
        <f>IFERROR(__xludf.DUMMYFUNCTION("""COMPUTED_VALUE"""),"R-SERIES 010 PH")</f>
        <v>R-SERIES 010 PH</v>
      </c>
      <c r="L165" s="2" t="str">
        <f>IFERROR(__xludf.DUMMYFUNCTION("""COMPUTED_VALUE"""),"LSGW1750 2312137")</f>
        <v>LSGW1750 2312137</v>
      </c>
      <c r="M165" s="2" t="str">
        <f>IFERROR(__xludf.DUMMYFUNCTION("""COMPUTED_VALUE"""),"WDP40 RMP 2312110")</f>
        <v>WDP40 RMP 2312110</v>
      </c>
      <c r="N165" s="2"/>
      <c r="O165" s="2" t="str">
        <f>IFERROR(__xludf.DUMMYFUNCTION("""COMPUTED_VALUE"""),"Taribubu")</f>
        <v>Taribubu</v>
      </c>
      <c r="P165" s="2" t="str">
        <f>IFERROR(__xludf.DUMMYFUNCTION("""COMPUTED_VALUE"""),"Tuao")</f>
        <v>Tuao</v>
      </c>
      <c r="Q165" s="2" t="str">
        <f>IFERROR(__xludf.DUMMYFUNCTION("""COMPUTED_VALUE"""),"Cagayan")</f>
        <v>Cagayan</v>
      </c>
      <c r="R165" s="2">
        <f>IFERROR(__xludf.DUMMYFUNCTION("""COMPUTED_VALUE"""),2.0)</f>
        <v>2</v>
      </c>
      <c r="S165" s="2"/>
      <c r="T165" s="2"/>
    </row>
    <row r="166">
      <c r="A166" s="1">
        <f>IFERROR(__xludf.DUMMYFUNCTION("""COMPUTED_VALUE"""),164.0)</f>
        <v>164</v>
      </c>
      <c r="B166" s="2" t="str">
        <f>IFERROR(__xludf.DUMMYFUNCTION("""COMPUTED_VALUE"""),"Southern BugueyAgrarian Reform Beneficiary Cooperative")</f>
        <v>Southern BugueyAgrarian Reform Beneficiary Cooperative</v>
      </c>
      <c r="C166" s="2" t="str">
        <f>IFERROR(__xludf.DUMMYFUNCTION("""COMPUTED_VALUE"""),"Santa Isabel, Buguey, CAGAYAN")</f>
        <v>Santa Isabel, Buguey, CAGAYAN</v>
      </c>
      <c r="D166" s="2" t="str">
        <f>IFERROR(__xludf.DUMMYFUNCTION("""COMPUTED_VALUE"""),"Geromino B.Fontiveros")</f>
        <v>Geromino B.Fontiveros</v>
      </c>
      <c r="E166" s="2">
        <f>IFERROR(__xludf.DUMMYFUNCTION("""COMPUTED_VALUE"""),9.363713303E9)</f>
        <v>9363713303</v>
      </c>
      <c r="F166" s="2" t="str">
        <f>IFERROR(__xludf.DUMMYFUNCTION("""COMPUTED_VALUE"""),"RCEF 23-09-21 Rebidding")</f>
        <v>RCEF 23-09-21 Rebidding</v>
      </c>
      <c r="G166" s="2">
        <f>IFERROR(__xludf.DUMMYFUNCTION("""COMPUTED_VALUE"""),1.0)</f>
        <v>1</v>
      </c>
      <c r="H166" s="2">
        <f>IFERROR(__xludf.DUMMYFUNCTION("""COMPUTED_VALUE"""),17980.0)</f>
        <v>17980</v>
      </c>
      <c r="I166" s="2" t="str">
        <f>IFERROR(__xludf.DUMMYFUNCTION("""COMPUTED_VALUE"""),"KMC5825 AHRFPV0625")</f>
        <v>KMC5825 AHRFPV0625</v>
      </c>
      <c r="J166" s="2" t="str">
        <f>IFERROR(__xludf.DUMMYFUNCTION("""COMPUTED_VALUE"""),"RTS100524")</f>
        <v>RTS100524</v>
      </c>
      <c r="K166" s="2" t="str">
        <f>IFERROR(__xludf.DUMMYFUNCTION("""COMPUTED_VALUE"""),"WR-SERIES 872 PH")</f>
        <v>WR-SERIES 872 PH</v>
      </c>
      <c r="L166" s="2" t="str">
        <f>IFERROR(__xludf.DUMMYFUNCTION("""COMPUTED_VALUE"""),"LSGW1750 RMP 24020526")</f>
        <v>LSGW1750 RMP 24020526</v>
      </c>
      <c r="M166" s="2" t="str">
        <f>IFERROR(__xludf.DUMMYFUNCTION("""COMPUTED_VALUE"""),"WDP40 RMP 24050571")</f>
        <v>WDP40 RMP 24050571</v>
      </c>
      <c r="N166" s="2"/>
      <c r="O166" s="2" t="str">
        <f>IFERROR(__xludf.DUMMYFUNCTION("""COMPUTED_VALUE"""),"Santa Isabel")</f>
        <v>Santa Isabel</v>
      </c>
      <c r="P166" s="2" t="str">
        <f>IFERROR(__xludf.DUMMYFUNCTION("""COMPUTED_VALUE"""),"Buguey")</f>
        <v>Buguey</v>
      </c>
      <c r="Q166" s="2" t="str">
        <f>IFERROR(__xludf.DUMMYFUNCTION("""COMPUTED_VALUE"""),"Cagayan")</f>
        <v>Cagayan</v>
      </c>
      <c r="R166" s="2">
        <f>IFERROR(__xludf.DUMMYFUNCTION("""COMPUTED_VALUE"""),2.0)</f>
        <v>2</v>
      </c>
      <c r="S166" s="2"/>
      <c r="T166" s="2"/>
    </row>
    <row r="167">
      <c r="A167" s="1">
        <f>IFERROR(__xludf.DUMMYFUNCTION("""COMPUTED_VALUE"""),165.0)</f>
        <v>165</v>
      </c>
      <c r="B167" s="2" t="str">
        <f>IFERROR(__xludf.DUMMYFUNCTION("""COMPUTED_VALUE"""),"BESSANG SMALL WATER IMPOUNDING SYSTEM ASSOCIATION (BESWISA)")</f>
        <v>BESSANG SMALL WATER IMPOUNDING SYSTEM ASSOCIATION (BESWISA)</v>
      </c>
      <c r="C167" s="2" t="str">
        <f>IFERROR(__xludf.DUMMYFUNCTION("""COMPUTED_VALUE"""),"Bessang, Allacapan, CAGAYAN")</f>
        <v>Bessang, Allacapan, CAGAYAN</v>
      </c>
      <c r="D167" s="2" t="str">
        <f>IFERROR(__xludf.DUMMYFUNCTION("""COMPUTED_VALUE"""),"Maximo T. Vicerra")</f>
        <v>Maximo T. Vicerra</v>
      </c>
      <c r="E167" s="2">
        <f>IFERROR(__xludf.DUMMYFUNCTION("""COMPUTED_VALUE"""),9.178227233E9)</f>
        <v>9178227233</v>
      </c>
      <c r="F167" s="2" t="str">
        <f>IFERROR(__xludf.DUMMYFUNCTION("""COMPUTED_VALUE"""),"RCEF 23-09-21 Rebidding")</f>
        <v>RCEF 23-09-21 Rebidding</v>
      </c>
      <c r="G167" s="2">
        <f>IFERROR(__xludf.DUMMYFUNCTION("""COMPUTED_VALUE"""),1.0)</f>
        <v>1</v>
      </c>
      <c r="H167" s="2">
        <f>IFERROR(__xludf.DUMMYFUNCTION("""COMPUTED_VALUE"""),17981.0)</f>
        <v>17981</v>
      </c>
      <c r="I167" s="2" t="str">
        <f>IFERROR(__xludf.DUMMYFUNCTION("""COMPUTED_VALUE"""),"KMC5825 AHRFPV0009")</f>
        <v>KMC5825 AHRFPV0009</v>
      </c>
      <c r="J167" s="2" t="str">
        <f>IFERROR(__xludf.DUMMYFUNCTION("""COMPUTED_VALUE"""),"PTS 100231")</f>
        <v>PTS 100231</v>
      </c>
      <c r="K167" s="2" t="str">
        <f>IFERROR(__xludf.DUMMYFUNCTION("""COMPUTED_VALUE"""),"R-SERIES 003 PH")</f>
        <v>R-SERIES 003 PH</v>
      </c>
      <c r="L167" s="2" t="str">
        <f>IFERROR(__xludf.DUMMYFUNCTION("""COMPUTED_VALUE"""),"LSGW1750 2312075")</f>
        <v>LSGW1750 2312075</v>
      </c>
      <c r="M167" s="2" t="str">
        <f>IFERROR(__xludf.DUMMYFUNCTION("""COMPUTED_VALUE"""),"WDP40 RMP 2312115")</f>
        <v>WDP40 RMP 2312115</v>
      </c>
      <c r="N167" s="2"/>
      <c r="O167" s="2" t="str">
        <f>IFERROR(__xludf.DUMMYFUNCTION("""COMPUTED_VALUE"""),"Bessang")</f>
        <v>Bessang</v>
      </c>
      <c r="P167" s="2" t="str">
        <f>IFERROR(__xludf.DUMMYFUNCTION("""COMPUTED_VALUE"""),"Allacapan")</f>
        <v>Allacapan</v>
      </c>
      <c r="Q167" s="2" t="str">
        <f>IFERROR(__xludf.DUMMYFUNCTION("""COMPUTED_VALUE"""),"Cagayan")</f>
        <v>Cagayan</v>
      </c>
      <c r="R167" s="2">
        <f>IFERROR(__xludf.DUMMYFUNCTION("""COMPUTED_VALUE"""),2.0)</f>
        <v>2</v>
      </c>
      <c r="S167" s="2"/>
      <c r="T167" s="2"/>
    </row>
    <row r="168">
      <c r="A168" s="1">
        <f>IFERROR(__xludf.DUMMYFUNCTION("""COMPUTED_VALUE"""),166.0)</f>
        <v>166</v>
      </c>
      <c r="B168" s="2" t="str">
        <f>IFERROR(__xludf.DUMMYFUNCTION("""COMPUTED_VALUE"""),"ZANJERA BILIBIGAO FARMERS IRRIGATORS ASSOCIATION INC.")</f>
        <v>ZANJERA BILIBIGAO FARMERS IRRIGATORS ASSOCIATION INC.</v>
      </c>
      <c r="C168" s="2" t="str">
        <f>IFERROR(__xludf.DUMMYFUNCTION("""COMPUTED_VALUE"""),"Bilibigao, Claveria, CAGAYAN")</f>
        <v>Bilibigao, Claveria, CAGAYAN</v>
      </c>
      <c r="D168" s="2" t="str">
        <f>IFERROR(__xludf.DUMMYFUNCTION("""COMPUTED_VALUE"""),"Nixon A. Alipio")</f>
        <v>Nixon A. Alipio</v>
      </c>
      <c r="E168" s="2">
        <f>IFERROR(__xludf.DUMMYFUNCTION("""COMPUTED_VALUE"""),9.777372618E9)</f>
        <v>9777372618</v>
      </c>
      <c r="F168" s="2" t="str">
        <f>IFERROR(__xludf.DUMMYFUNCTION("""COMPUTED_VALUE"""),"RCEF 23-09-21 Rebidding")</f>
        <v>RCEF 23-09-21 Rebidding</v>
      </c>
      <c r="G168" s="2">
        <f>IFERROR(__xludf.DUMMYFUNCTION("""COMPUTED_VALUE"""),1.0)</f>
        <v>1</v>
      </c>
      <c r="H168" s="2">
        <f>IFERROR(__xludf.DUMMYFUNCTION("""COMPUTED_VALUE"""),17982.0)</f>
        <v>17982</v>
      </c>
      <c r="I168" s="2" t="str">
        <f>IFERROR(__xludf.DUMMYFUNCTION("""COMPUTED_VALUE"""),"KMC5825 ACPFPV0019")</f>
        <v>KMC5825 ACPFPV0019</v>
      </c>
      <c r="J168" s="2" t="str">
        <f>IFERROR(__xludf.DUMMYFUNCTION("""COMPUTED_VALUE"""),"PTS100165")</f>
        <v>PTS100165</v>
      </c>
      <c r="K168" s="2" t="str">
        <f>IFERROR(__xludf.DUMMYFUNCTION("""COMPUTED_VALUE"""),"R-SERIES 012 PH")</f>
        <v>R-SERIES 012 PH</v>
      </c>
      <c r="L168" s="2" t="str">
        <f>IFERROR(__xludf.DUMMYFUNCTION("""COMPUTED_VALUE"""),"LSGW1750 2312176")</f>
        <v>LSGW1750 2312176</v>
      </c>
      <c r="M168" s="2" t="str">
        <f>IFERROR(__xludf.DUMMYFUNCTION("""COMPUTED_VALUE"""),"WDP40 RMP 2312106")</f>
        <v>WDP40 RMP 2312106</v>
      </c>
      <c r="N168" s="2"/>
      <c r="O168" s="2" t="str">
        <f>IFERROR(__xludf.DUMMYFUNCTION("""COMPUTED_VALUE"""),"Bilibigao")</f>
        <v>Bilibigao</v>
      </c>
      <c r="P168" s="2" t="str">
        <f>IFERROR(__xludf.DUMMYFUNCTION("""COMPUTED_VALUE"""),"Claveria")</f>
        <v>Claveria</v>
      </c>
      <c r="Q168" s="2" t="str">
        <f>IFERROR(__xludf.DUMMYFUNCTION("""COMPUTED_VALUE"""),"Cagayan")</f>
        <v>Cagayan</v>
      </c>
      <c r="R168" s="2">
        <f>IFERROR(__xludf.DUMMYFUNCTION("""COMPUTED_VALUE"""),2.0)</f>
        <v>2</v>
      </c>
      <c r="S168" s="2"/>
      <c r="T168" s="2"/>
    </row>
    <row r="169">
      <c r="A169" s="1">
        <f>IFERROR(__xludf.DUMMYFUNCTION("""COMPUTED_VALUE"""),167.0)</f>
        <v>167</v>
      </c>
      <c r="B169" s="2" t="str">
        <f>IFERROR(__xludf.DUMMYFUNCTION("""COMPUTED_VALUE"""),"PCSC FARMERS IRRIGATORS' ASSOCIATION, INC.")</f>
        <v>PCSC FARMERS IRRIGATORS' ASSOCIATION, INC.</v>
      </c>
      <c r="C169" s="2" t="str">
        <f>IFERROR(__xludf.DUMMYFUNCTION("""COMPUTED_VALUE"""),"Curva, Pamplona, CAGAYAN")</f>
        <v>Curva, Pamplona, CAGAYAN</v>
      </c>
      <c r="D169" s="2" t="str">
        <f>IFERROR(__xludf.DUMMYFUNCTION("""COMPUTED_VALUE"""),"Pio I. Tabao")</f>
        <v>Pio I. Tabao</v>
      </c>
      <c r="E169" s="2">
        <f>IFERROR(__xludf.DUMMYFUNCTION("""COMPUTED_VALUE"""),9.261358387E9)</f>
        <v>9261358387</v>
      </c>
      <c r="F169" s="2" t="str">
        <f>IFERROR(__xludf.DUMMYFUNCTION("""COMPUTED_VALUE"""),"RCEF 23-09-21 Rebidding")</f>
        <v>RCEF 23-09-21 Rebidding</v>
      </c>
      <c r="G169" s="2">
        <f>IFERROR(__xludf.DUMMYFUNCTION("""COMPUTED_VALUE"""),1.0)</f>
        <v>1</v>
      </c>
      <c r="H169" s="2">
        <f>IFERROR(__xludf.DUMMYFUNCTION("""COMPUTED_VALUE"""),17983.0)</f>
        <v>17983</v>
      </c>
      <c r="I169" s="2" t="str">
        <f>IFERROR(__xludf.DUMMYFUNCTION("""COMPUTED_VALUE"""),"kmc5825AJRFPV0519")</f>
        <v>kmc5825AJRFPV0519</v>
      </c>
      <c r="J169" s="2" t="str">
        <f>IFERROR(__xludf.DUMMYFUNCTION("""COMPUTED_VALUE"""),"RTS 100409")</f>
        <v>RTS 100409</v>
      </c>
      <c r="K169" s="2" t="str">
        <f>IFERROR(__xludf.DUMMYFUNCTION("""COMPUTED_VALUE"""),"WR SERIES 871 PH")</f>
        <v>WR SERIES 871 PH</v>
      </c>
      <c r="L169" s="2" t="str">
        <f>IFERROR(__xludf.DUMMYFUNCTION("""COMPUTED_VALUE"""),"LSGW1750 RMP 24020530")</f>
        <v>LSGW1750 RMP 24020530</v>
      </c>
      <c r="M169" s="2" t="str">
        <f>IFERROR(__xludf.DUMMYFUNCTION("""COMPUTED_VALUE"""),"WDP40 RMP 24050568")</f>
        <v>WDP40 RMP 24050568</v>
      </c>
      <c r="N169" s="2"/>
      <c r="O169" s="2" t="str">
        <f>IFERROR(__xludf.DUMMYFUNCTION("""COMPUTED_VALUE"""),"Curva")</f>
        <v>Curva</v>
      </c>
      <c r="P169" s="2" t="str">
        <f>IFERROR(__xludf.DUMMYFUNCTION("""COMPUTED_VALUE"""),"Pamplona")</f>
        <v>Pamplona</v>
      </c>
      <c r="Q169" s="2" t="str">
        <f>IFERROR(__xludf.DUMMYFUNCTION("""COMPUTED_VALUE"""),"Cagayan")</f>
        <v>Cagayan</v>
      </c>
      <c r="R169" s="2">
        <f>IFERROR(__xludf.DUMMYFUNCTION("""COMPUTED_VALUE"""),2.0)</f>
        <v>2</v>
      </c>
      <c r="S169" s="2"/>
      <c r="T169" s="2"/>
    </row>
    <row r="170">
      <c r="A170" s="1">
        <f>IFERROR(__xludf.DUMMYFUNCTION("""COMPUTED_VALUE"""),168.0)</f>
        <v>168</v>
      </c>
      <c r="B170" s="2" t="str">
        <f>IFERROR(__xludf.DUMMYFUNCTION("""COMPUTED_VALUE"""),"PINUPUK SMALL WATER IRRIGATION SYSTEM ASSOCIATION INC.")</f>
        <v>PINUPUK SMALL WATER IRRIGATION SYSTEM ASSOCIATION INC.</v>
      </c>
      <c r="C170" s="2" t="str">
        <f>IFERROR(__xludf.DUMMYFUNCTION("""COMPUTED_VALUE"""),"Santiago, Iguig, CAGAYAN")</f>
        <v>Santiago, Iguig, CAGAYAN</v>
      </c>
      <c r="D170" s="2" t="str">
        <f>IFERROR(__xludf.DUMMYFUNCTION("""COMPUTED_VALUE"""),"Maylene R.Najorra")</f>
        <v>Maylene R.Najorra</v>
      </c>
      <c r="E170" s="2">
        <f>IFERROR(__xludf.DUMMYFUNCTION("""COMPUTED_VALUE"""),9.169272276E9)</f>
        <v>9169272276</v>
      </c>
      <c r="F170" s="2" t="str">
        <f>IFERROR(__xludf.DUMMYFUNCTION("""COMPUTED_VALUE"""),"RCEF 23-09-21 Rebidding")</f>
        <v>RCEF 23-09-21 Rebidding</v>
      </c>
      <c r="G170" s="2">
        <f>IFERROR(__xludf.DUMMYFUNCTION("""COMPUTED_VALUE"""),1.0)</f>
        <v>1</v>
      </c>
      <c r="H170" s="2">
        <f>IFERROR(__xludf.DUMMYFUNCTION("""COMPUTED_VALUE"""),17984.0)</f>
        <v>17984</v>
      </c>
      <c r="I170" s="2" t="str">
        <f>IFERROR(__xludf.DUMMYFUNCTION("""COMPUTED_VALUE"""),"KMC5825 ATRFPV0015")</f>
        <v>KMC5825 ATRFPV0015</v>
      </c>
      <c r="J170" s="2" t="str">
        <f>IFERROR(__xludf.DUMMYFUNCTION("""COMPUTED_VALUE"""),"PTS 100288")</f>
        <v>PTS 100288</v>
      </c>
      <c r="K170" s="2" t="str">
        <f>IFERROR(__xludf.DUMMYFUNCTION("""COMPUTED_VALUE"""),"R-SERIES 039 PH")</f>
        <v>R-SERIES 039 PH</v>
      </c>
      <c r="L170" s="2" t="str">
        <f>IFERROR(__xludf.DUMMYFUNCTION("""COMPUTED_VALUE"""),"LSGW1750 2312078")</f>
        <v>LSGW1750 2312078</v>
      </c>
      <c r="M170" s="2" t="str">
        <f>IFERROR(__xludf.DUMMYFUNCTION("""COMPUTED_VALUE"""),"WDP40 RMP 2312087")</f>
        <v>WDP40 RMP 2312087</v>
      </c>
      <c r="N170" s="2"/>
      <c r="O170" s="2" t="str">
        <f>IFERROR(__xludf.DUMMYFUNCTION("""COMPUTED_VALUE"""),"Santiago")</f>
        <v>Santiago</v>
      </c>
      <c r="P170" s="2" t="str">
        <f>IFERROR(__xludf.DUMMYFUNCTION("""COMPUTED_VALUE"""),"Iguig")</f>
        <v>Iguig</v>
      </c>
      <c r="Q170" s="2" t="str">
        <f>IFERROR(__xludf.DUMMYFUNCTION("""COMPUTED_VALUE"""),"Cagayan")</f>
        <v>Cagayan</v>
      </c>
      <c r="R170" s="2">
        <f>IFERROR(__xludf.DUMMYFUNCTION("""COMPUTED_VALUE"""),2.0)</f>
        <v>2</v>
      </c>
      <c r="S170" s="2"/>
      <c r="T170" s="2"/>
    </row>
    <row r="171">
      <c r="A171" s="1">
        <f>IFERROR(__xludf.DUMMYFUNCTION("""COMPUTED_VALUE"""),169.0)</f>
        <v>169</v>
      </c>
      <c r="B171" s="2" t="str">
        <f>IFERROR(__xludf.DUMMYFUNCTION("""COMPUTED_VALUE"""),"IRAGA Water Pump Irrigators Association Inc. (IWPIA)")</f>
        <v>IRAGA Water Pump Irrigators Association Inc. (IWPIA)</v>
      </c>
      <c r="C171" s="2" t="str">
        <f>IFERROR(__xludf.DUMMYFUNCTION("""COMPUTED_VALUE"""),"Iraga, Solana, CAGAYAN")</f>
        <v>Iraga, Solana, CAGAYAN</v>
      </c>
      <c r="D171" s="2" t="str">
        <f>IFERROR(__xludf.DUMMYFUNCTION("""COMPUTED_VALUE"""),"Elias I. Vicente Jr.")</f>
        <v>Elias I. Vicente Jr.</v>
      </c>
      <c r="E171" s="2" t="str">
        <f>IFERROR(__xludf.DUMMYFUNCTION("""COMPUTED_VALUE"""),"09656613666/ 09451886483")</f>
        <v>09656613666/ 09451886483</v>
      </c>
      <c r="F171" s="2" t="str">
        <f>IFERROR(__xludf.DUMMYFUNCTION("""COMPUTED_VALUE"""),"RCEF 23-09-21 Rebidding")</f>
        <v>RCEF 23-09-21 Rebidding</v>
      </c>
      <c r="G171" s="2">
        <f>IFERROR(__xludf.DUMMYFUNCTION("""COMPUTED_VALUE"""),1.0)</f>
        <v>1</v>
      </c>
      <c r="H171" s="2">
        <f>IFERROR(__xludf.DUMMYFUNCTION("""COMPUTED_VALUE"""),17985.0)</f>
        <v>17985</v>
      </c>
      <c r="I171" s="2" t="str">
        <f>IFERROR(__xludf.DUMMYFUNCTION("""COMPUTED_VALUE"""),"KMC5825 AKPFPV0127")</f>
        <v>KMC5825 AKPFPV0127</v>
      </c>
      <c r="J171" s="2" t="str">
        <f>IFERROR(__xludf.DUMMYFUNCTION("""COMPUTED_VALUE"""),"PTS100054")</f>
        <v>PTS100054</v>
      </c>
      <c r="K171" s="2" t="str">
        <f>IFERROR(__xludf.DUMMYFUNCTION("""COMPUTED_VALUE"""),"R-SERIES 014 PH")</f>
        <v>R-SERIES 014 PH</v>
      </c>
      <c r="L171" s="2" t="str">
        <f>IFERROR(__xludf.DUMMYFUNCTION("""COMPUTED_VALUE"""),"LSGW1750 2312136")</f>
        <v>LSGW1750 2312136</v>
      </c>
      <c r="M171" s="2" t="str">
        <f>IFERROR(__xludf.DUMMYFUNCTION("""COMPUTED_VALUE"""),"WDP40 RMP 2312099")</f>
        <v>WDP40 RMP 2312099</v>
      </c>
      <c r="N171" s="2"/>
      <c r="O171" s="2" t="str">
        <f>IFERROR(__xludf.DUMMYFUNCTION("""COMPUTED_VALUE"""),"Iraga")</f>
        <v>Iraga</v>
      </c>
      <c r="P171" s="2" t="str">
        <f>IFERROR(__xludf.DUMMYFUNCTION("""COMPUTED_VALUE"""),"Solana")</f>
        <v>Solana</v>
      </c>
      <c r="Q171" s="2" t="str">
        <f>IFERROR(__xludf.DUMMYFUNCTION("""COMPUTED_VALUE"""),"Cagayan")</f>
        <v>Cagayan</v>
      </c>
      <c r="R171" s="2">
        <f>IFERROR(__xludf.DUMMYFUNCTION("""COMPUTED_VALUE"""),2.0)</f>
        <v>2</v>
      </c>
      <c r="S171" s="2"/>
      <c r="T171" s="2"/>
    </row>
    <row r="172">
      <c r="A172" s="1">
        <f>IFERROR(__xludf.DUMMYFUNCTION("""COMPUTED_VALUE"""),170.0)</f>
        <v>170</v>
      </c>
      <c r="B172" s="2" t="str">
        <f>IFERROR(__xludf.DUMMYFUNCTION("""COMPUTED_VALUE"""),"MAMBOG TAAL LOOK IRRIGATORS ASSOCIATION INC.")</f>
        <v>MAMBOG TAAL LOOK IRRIGATORS ASSOCIATION INC.</v>
      </c>
      <c r="C172" s="2" t="str">
        <f>IFERROR(__xludf.DUMMYFUNCTION("""COMPUTED_VALUE"""),"Mambog, Malolos City, BULACAN")</f>
        <v>Mambog, Malolos City, BULACAN</v>
      </c>
      <c r="D172" s="2" t="str">
        <f>IFERROR(__xludf.DUMMYFUNCTION("""COMPUTED_VALUE"""),"Ramiro R. Dela Cruz")</f>
        <v>Ramiro R. Dela Cruz</v>
      </c>
      <c r="E172" s="2" t="str">
        <f>IFERROR(__xludf.DUMMYFUNCTION("""COMPUTED_VALUE"""),"0935-076-9919")</f>
        <v>0935-076-9919</v>
      </c>
      <c r="F172" s="2" t="str">
        <f>IFERROR(__xludf.DUMMYFUNCTION("""COMPUTED_VALUE"""),"RCEF 23-09-21 Rebidding")</f>
        <v>RCEF 23-09-21 Rebidding</v>
      </c>
      <c r="G172" s="2">
        <f>IFERROR(__xludf.DUMMYFUNCTION("""COMPUTED_VALUE"""),3.0)</f>
        <v>3</v>
      </c>
      <c r="H172" s="2">
        <f>IFERROR(__xludf.DUMMYFUNCTION("""COMPUTED_VALUE"""),17986.0)</f>
        <v>17986</v>
      </c>
      <c r="I172" s="2" t="str">
        <f>IFERROR(__xludf.DUMMYFUNCTION("""COMPUTED_VALUE"""),"KMC5825 AVPFPV0066")</f>
        <v>KMC5825 AVPFPV0066</v>
      </c>
      <c r="J172" s="2" t="str">
        <f>IFERROR(__xludf.DUMMYFUNCTION("""COMPUTED_VALUE"""),"PTS 100148")</f>
        <v>PTS 100148</v>
      </c>
      <c r="K172" s="2" t="str">
        <f>IFERROR(__xludf.DUMMYFUNCTION("""COMPUTED_VALUE"""),"R-SERIES 045 PH")</f>
        <v>R-SERIES 045 PH</v>
      </c>
      <c r="L172" s="2" t="str">
        <f>IFERROR(__xludf.DUMMYFUNCTION("""COMPUTED_VALUE"""),"LSGW1750 RMP 2312086")</f>
        <v>LSGW1750 RMP 2312086</v>
      </c>
      <c r="M172" s="2" t="str">
        <f>IFERROR(__xludf.DUMMYFUNCTION("""COMPUTED_VALUE"""),"WDP40 RMP 2312118")</f>
        <v>WDP40 RMP 2312118</v>
      </c>
      <c r="N172" s="2"/>
      <c r="O172" s="2" t="str">
        <f>IFERROR(__xludf.DUMMYFUNCTION("""COMPUTED_VALUE"""),"Mambog")</f>
        <v>Mambog</v>
      </c>
      <c r="P172" s="2" t="str">
        <f>IFERROR(__xludf.DUMMYFUNCTION("""COMPUTED_VALUE"""),"Malolos City")</f>
        <v>Malolos City</v>
      </c>
      <c r="Q172" s="2" t="str">
        <f>IFERROR(__xludf.DUMMYFUNCTION("""COMPUTED_VALUE"""),"Bulacan")</f>
        <v>Bulacan</v>
      </c>
      <c r="R172" s="2">
        <f>IFERROR(__xludf.DUMMYFUNCTION("""COMPUTED_VALUE"""),3.0)</f>
        <v>3</v>
      </c>
      <c r="S172" s="2"/>
      <c r="T172" s="2"/>
    </row>
    <row r="173">
      <c r="A173" s="1">
        <f>IFERROR(__xludf.DUMMYFUNCTION("""COMPUTED_VALUE"""),171.0)</f>
        <v>171</v>
      </c>
      <c r="B173" s="2" t="str">
        <f>IFERROR(__xludf.DUMMYFUNCTION("""COMPUTED_VALUE"""),"CAMLONGAN IRRIGATORS ASSOCIATION INC.")</f>
        <v>CAMLONGAN IRRIGATORS ASSOCIATION INC.</v>
      </c>
      <c r="C173" s="2" t="str">
        <f>IFERROR(__xludf.DUMMYFUNCTION("""COMPUTED_VALUE"""),"Kapitangan, Paombong, BULACAN")</f>
        <v>Kapitangan, Paombong, BULACAN</v>
      </c>
      <c r="D173" s="2" t="str">
        <f>IFERROR(__xludf.DUMMYFUNCTION("""COMPUTED_VALUE"""),"Desiderio R. Pablico")</f>
        <v>Desiderio R. Pablico</v>
      </c>
      <c r="E173" s="2" t="str">
        <f>IFERROR(__xludf.DUMMYFUNCTION("""COMPUTED_VALUE"""),"0921-260-6572")</f>
        <v>0921-260-6572</v>
      </c>
      <c r="F173" s="2" t="str">
        <f>IFERROR(__xludf.DUMMYFUNCTION("""COMPUTED_VALUE"""),"RCEF 23-09-21 Rebidding")</f>
        <v>RCEF 23-09-21 Rebidding</v>
      </c>
      <c r="G173" s="2">
        <f>IFERROR(__xludf.DUMMYFUNCTION("""COMPUTED_VALUE"""),3.0)</f>
        <v>3</v>
      </c>
      <c r="H173" s="2">
        <f>IFERROR(__xludf.DUMMYFUNCTION("""COMPUTED_VALUE"""),17987.0)</f>
        <v>17987</v>
      </c>
      <c r="I173" s="2" t="str">
        <f>IFERROR(__xludf.DUMMYFUNCTION("""COMPUTED_VALUE"""),"KMC5825 AVPFPV0097")</f>
        <v>KMC5825 AVPFPV0097</v>
      </c>
      <c r="J173" s="2" t="str">
        <f>IFERROR(__xludf.DUMMYFUNCTION("""COMPUTED_VALUE"""),"PTS 100092")</f>
        <v>PTS 100092</v>
      </c>
      <c r="K173" s="2" t="str">
        <f>IFERROR(__xludf.DUMMYFUNCTION("""COMPUTED_VALUE"""),"R-SERIES 031 PH")</f>
        <v>R-SERIES 031 PH</v>
      </c>
      <c r="L173" s="2" t="str">
        <f>IFERROR(__xludf.DUMMYFUNCTION("""COMPUTED_VALUE"""),"LSGW1750 RMP 2312076")</f>
        <v>LSGW1750 RMP 2312076</v>
      </c>
      <c r="M173" s="2" t="str">
        <f>IFERROR(__xludf.DUMMYFUNCTION("""COMPUTED_VALUE"""),"WDP40 RMP 2312125")</f>
        <v>WDP40 RMP 2312125</v>
      </c>
      <c r="N173" s="2"/>
      <c r="O173" s="2" t="str">
        <f>IFERROR(__xludf.DUMMYFUNCTION("""COMPUTED_VALUE"""),"Kapitangan")</f>
        <v>Kapitangan</v>
      </c>
      <c r="P173" s="2" t="str">
        <f>IFERROR(__xludf.DUMMYFUNCTION("""COMPUTED_VALUE"""),"Paombong")</f>
        <v>Paombong</v>
      </c>
      <c r="Q173" s="2" t="str">
        <f>IFERROR(__xludf.DUMMYFUNCTION("""COMPUTED_VALUE"""),"Bulacan")</f>
        <v>Bulacan</v>
      </c>
      <c r="R173" s="2">
        <f>IFERROR(__xludf.DUMMYFUNCTION("""COMPUTED_VALUE"""),3.0)</f>
        <v>3</v>
      </c>
      <c r="S173" s="2"/>
      <c r="T173" s="2"/>
    </row>
    <row r="174">
      <c r="A174" s="1">
        <f>IFERROR(__xludf.DUMMYFUNCTION("""COMPUTED_VALUE"""),172.0)</f>
        <v>172</v>
      </c>
      <c r="B174" s="2" t="str">
        <f>IFERROR(__xludf.DUMMYFUNCTION("""COMPUTED_VALUE"""),"Tenejero Pulilan Farmers Association")</f>
        <v>Tenejero Pulilan Farmers Association</v>
      </c>
      <c r="C174" s="2" t="str">
        <f>IFERROR(__xludf.DUMMYFUNCTION("""COMPUTED_VALUE"""),"Tinejero, Pulilan, BULACAN")</f>
        <v>Tinejero, Pulilan, BULACAN</v>
      </c>
      <c r="D174" s="2" t="str">
        <f>IFERROR(__xludf.DUMMYFUNCTION("""COMPUTED_VALUE"""),"Brigido C. Gonzales")</f>
        <v>Brigido C. Gonzales</v>
      </c>
      <c r="E174" s="2" t="str">
        <f>IFERROR(__xludf.DUMMYFUNCTION("""COMPUTED_VALUE"""),"0932-714-4046")</f>
        <v>0932-714-4046</v>
      </c>
      <c r="F174" s="2" t="str">
        <f>IFERROR(__xludf.DUMMYFUNCTION("""COMPUTED_VALUE"""),"RCEF 23-09-21 Rebidding")</f>
        <v>RCEF 23-09-21 Rebidding</v>
      </c>
      <c r="G174" s="2">
        <f>IFERROR(__xludf.DUMMYFUNCTION("""COMPUTED_VALUE"""),3.0)</f>
        <v>3</v>
      </c>
      <c r="H174" s="2">
        <f>IFERROR(__xludf.DUMMYFUNCTION("""COMPUTED_VALUE"""),17988.0)</f>
        <v>17988</v>
      </c>
      <c r="I174" s="2" t="str">
        <f>IFERROR(__xludf.DUMMYFUNCTION("""COMPUTED_VALUE"""),"KMC5825 AEPFPV0073")</f>
        <v>KMC5825 AEPFPV0073</v>
      </c>
      <c r="J174" s="2" t="str">
        <f>IFERROR(__xludf.DUMMYFUNCTION("""COMPUTED_VALUE"""),"PTS 100152")</f>
        <v>PTS 100152</v>
      </c>
      <c r="K174" s="2" t="str">
        <f>IFERROR(__xludf.DUMMYFUNCTION("""COMPUTED_VALUE"""),"R-SERIES 016 PH")</f>
        <v>R-SERIES 016 PH</v>
      </c>
      <c r="L174" s="2" t="str">
        <f>IFERROR(__xludf.DUMMYFUNCTION("""COMPUTED_VALUE"""),"LSGW1750 RMP 2312081")</f>
        <v>LSGW1750 RMP 2312081</v>
      </c>
      <c r="M174" s="2" t="str">
        <f>IFERROR(__xludf.DUMMYFUNCTION("""COMPUTED_VALUE"""),"WDP40 RMP 2312079")</f>
        <v>WDP40 RMP 2312079</v>
      </c>
      <c r="N174" s="2"/>
      <c r="O174" s="2" t="str">
        <f>IFERROR(__xludf.DUMMYFUNCTION("""COMPUTED_VALUE"""),"Tinejero")</f>
        <v>Tinejero</v>
      </c>
      <c r="P174" s="2" t="str">
        <f>IFERROR(__xludf.DUMMYFUNCTION("""COMPUTED_VALUE"""),"Pulilan")</f>
        <v>Pulilan</v>
      </c>
      <c r="Q174" s="2" t="str">
        <f>IFERROR(__xludf.DUMMYFUNCTION("""COMPUTED_VALUE"""),"Bulacan")</f>
        <v>Bulacan</v>
      </c>
      <c r="R174" s="2">
        <f>IFERROR(__xludf.DUMMYFUNCTION("""COMPUTED_VALUE"""),3.0)</f>
        <v>3</v>
      </c>
      <c r="S174" s="2"/>
      <c r="T174" s="2"/>
    </row>
    <row r="175">
      <c r="A175" s="1">
        <f>IFERROR(__xludf.DUMMYFUNCTION("""COMPUTED_VALUE"""),173.0)</f>
        <v>173</v>
      </c>
      <c r="B175" s="2" t="str">
        <f>IFERROR(__xludf.DUMMYFUNCTION("""COMPUTED_VALUE"""),"MULAWIN BATA IRRIGATORS ASSOCIATION, INC.")</f>
        <v>MULAWIN BATA IRRIGATORS ASSOCIATION, INC.</v>
      </c>
      <c r="C175" s="2" t="str">
        <f>IFERROR(__xludf.DUMMYFUNCTION("""COMPUTED_VALUE"""),"Tarcan, Baliuag, BULACAN")</f>
        <v>Tarcan, Baliuag, BULACAN</v>
      </c>
      <c r="D175" s="2" t="str">
        <f>IFERROR(__xludf.DUMMYFUNCTION("""COMPUTED_VALUE"""),"Rogelio P. Rodriguez")</f>
        <v>Rogelio P. Rodriguez</v>
      </c>
      <c r="E175" s="2" t="str">
        <f>IFERROR(__xludf.DUMMYFUNCTION("""COMPUTED_VALUE"""),"0923-745-1436")</f>
        <v>0923-745-1436</v>
      </c>
      <c r="F175" s="2" t="str">
        <f>IFERROR(__xludf.DUMMYFUNCTION("""COMPUTED_VALUE"""),"RCEF 23-09-21 Rebidding")</f>
        <v>RCEF 23-09-21 Rebidding</v>
      </c>
      <c r="G175" s="2">
        <f>IFERROR(__xludf.DUMMYFUNCTION("""COMPUTED_VALUE"""),3.0)</f>
        <v>3</v>
      </c>
      <c r="H175" s="2">
        <f>IFERROR(__xludf.DUMMYFUNCTION("""COMPUTED_VALUE"""),17989.0)</f>
        <v>17989</v>
      </c>
      <c r="I175" s="2" t="str">
        <f>IFERROR(__xludf.DUMMYFUNCTION("""COMPUTED_VALUE"""),"KMC5825 AKPFPV0144")</f>
        <v>KMC5825 AKPFPV0144</v>
      </c>
      <c r="J175" s="2" t="str">
        <f>IFERROR(__xludf.DUMMYFUNCTION("""COMPUTED_VALUE"""),"PTS 100124")</f>
        <v>PTS 100124</v>
      </c>
      <c r="K175" s="2" t="str">
        <f>IFERROR(__xludf.DUMMYFUNCTION("""COMPUTED_VALUE"""),"R-SERIES 058 PH")</f>
        <v>R-SERIES 058 PH</v>
      </c>
      <c r="L175" s="2" t="str">
        <f>IFERROR(__xludf.DUMMYFUNCTION("""COMPUTED_VALUE"""),"LSGW1750 RMP 2312061")</f>
        <v>LSGW1750 RMP 2312061</v>
      </c>
      <c r="M175" s="2" t="str">
        <f>IFERROR(__xludf.DUMMYFUNCTION("""COMPUTED_VALUE"""),"WDP40 RMP 2312114")</f>
        <v>WDP40 RMP 2312114</v>
      </c>
      <c r="N175" s="2"/>
      <c r="O175" s="2" t="str">
        <f>IFERROR(__xludf.DUMMYFUNCTION("""COMPUTED_VALUE"""),"Tarcan")</f>
        <v>Tarcan</v>
      </c>
      <c r="P175" s="2" t="str">
        <f>IFERROR(__xludf.DUMMYFUNCTION("""COMPUTED_VALUE"""),"Baliuag")</f>
        <v>Baliuag</v>
      </c>
      <c r="Q175" s="2" t="str">
        <f>IFERROR(__xludf.DUMMYFUNCTION("""COMPUTED_VALUE"""),"Bulacan")</f>
        <v>Bulacan</v>
      </c>
      <c r="R175" s="2">
        <f>IFERROR(__xludf.DUMMYFUNCTION("""COMPUTED_VALUE"""),3.0)</f>
        <v>3</v>
      </c>
      <c r="S175" s="2"/>
      <c r="T175" s="2"/>
    </row>
    <row r="176">
      <c r="A176" s="1">
        <f>IFERROR(__xludf.DUMMYFUNCTION("""COMPUTED_VALUE"""),174.0)</f>
        <v>174</v>
      </c>
      <c r="B176" s="2" t="str">
        <f>IFERROR(__xludf.DUMMYFUNCTION("""COMPUTED_VALUE"""),"STA. CATALINA MATANDA-BUBULONG MALAKI IRRIGATORS ASSOCIATION INC.")</f>
        <v>STA. CATALINA MATANDA-BUBULONG MALAKI IRRIGATORS ASSOCIATION INC.</v>
      </c>
      <c r="C176" s="2" t="str">
        <f>IFERROR(__xludf.DUMMYFUNCTION("""COMPUTED_VALUE"""),"Sta. Catalina, San Ildefonso, BULACAN")</f>
        <v>Sta. Catalina, San Ildefonso, BULACAN</v>
      </c>
      <c r="D176" s="2" t="str">
        <f>IFERROR(__xludf.DUMMYFUNCTION("""COMPUTED_VALUE"""),"Rodrigo P. Villacorta")</f>
        <v>Rodrigo P. Villacorta</v>
      </c>
      <c r="E176" s="2" t="str">
        <f>IFERROR(__xludf.DUMMYFUNCTION("""COMPUTED_VALUE"""),"0935-728-1261")</f>
        <v>0935-728-1261</v>
      </c>
      <c r="F176" s="2" t="str">
        <f>IFERROR(__xludf.DUMMYFUNCTION("""COMPUTED_VALUE"""),"RCEF 23-09-21 Rebidding")</f>
        <v>RCEF 23-09-21 Rebidding</v>
      </c>
      <c r="G176" s="2">
        <f>IFERROR(__xludf.DUMMYFUNCTION("""COMPUTED_VALUE"""),3.0)</f>
        <v>3</v>
      </c>
      <c r="H176" s="2">
        <f>IFERROR(__xludf.DUMMYFUNCTION("""COMPUTED_VALUE"""),17990.0)</f>
        <v>17990</v>
      </c>
      <c r="I176" s="2" t="str">
        <f>IFERROR(__xludf.DUMMYFUNCTION("""COMPUTED_VALUE"""),"KMC5825 AAPFPV0103")</f>
        <v>KMC5825 AAPFPV0103</v>
      </c>
      <c r="J176" s="2" t="str">
        <f>IFERROR(__xludf.DUMMYFUNCTION("""COMPUTED_VALUE"""),"PTS 100111")</f>
        <v>PTS 100111</v>
      </c>
      <c r="K176" s="2" t="str">
        <f>IFERROR(__xludf.DUMMYFUNCTION("""COMPUTED_VALUE"""),"R-SERIES 054 PH")</f>
        <v>R-SERIES 054 PH</v>
      </c>
      <c r="L176" s="2" t="str">
        <f>IFERROR(__xludf.DUMMYFUNCTION("""COMPUTED_VALUE"""),"LSGW1750 RMP 2312047")</f>
        <v>LSGW1750 RMP 2312047</v>
      </c>
      <c r="M176" s="2" t="str">
        <f>IFERROR(__xludf.DUMMYFUNCTION("""COMPUTED_VALUE"""),"WDP40 RMP 2312122")</f>
        <v>WDP40 RMP 2312122</v>
      </c>
      <c r="N176" s="2"/>
      <c r="O176" s="2" t="str">
        <f>IFERROR(__xludf.DUMMYFUNCTION("""COMPUTED_VALUE"""),"Sta. Catalina")</f>
        <v>Sta. Catalina</v>
      </c>
      <c r="P176" s="2" t="str">
        <f>IFERROR(__xludf.DUMMYFUNCTION("""COMPUTED_VALUE"""),"San Ildefonso")</f>
        <v>San Ildefonso</v>
      </c>
      <c r="Q176" s="2" t="str">
        <f>IFERROR(__xludf.DUMMYFUNCTION("""COMPUTED_VALUE"""),"Bulacan")</f>
        <v>Bulacan</v>
      </c>
      <c r="R176" s="2">
        <f>IFERROR(__xludf.DUMMYFUNCTION("""COMPUTED_VALUE"""),3.0)</f>
        <v>3</v>
      </c>
      <c r="S176" s="2"/>
      <c r="T176" s="2"/>
    </row>
    <row r="177">
      <c r="A177" s="1">
        <f>IFERROR(__xludf.DUMMYFUNCTION("""COMPUTED_VALUE"""),175.0)</f>
        <v>175</v>
      </c>
      <c r="B177" s="2" t="str">
        <f>IFERROR(__xludf.DUMMYFUNCTION("""COMPUTED_VALUE"""),"Masagana Producers Cooperative")</f>
        <v>Masagana Producers Cooperative</v>
      </c>
      <c r="C177" s="2" t="str">
        <f>IFERROR(__xludf.DUMMYFUNCTION("""COMPUTED_VALUE"""),"Alagao, San Ildefonso, BULACAN")</f>
        <v>Alagao, San Ildefonso, BULACAN</v>
      </c>
      <c r="D177" s="2" t="str">
        <f>IFERROR(__xludf.DUMMYFUNCTION("""COMPUTED_VALUE"""),"Suelo F. Vergara")</f>
        <v>Suelo F. Vergara</v>
      </c>
      <c r="E177" s="2" t="str">
        <f>IFERROR(__xludf.DUMMYFUNCTION("""COMPUTED_VALUE"""),"0935-140-4696")</f>
        <v>0935-140-4696</v>
      </c>
      <c r="F177" s="2" t="str">
        <f>IFERROR(__xludf.DUMMYFUNCTION("""COMPUTED_VALUE"""),"RCEF 23-09-21 Rebidding")</f>
        <v>RCEF 23-09-21 Rebidding</v>
      </c>
      <c r="G177" s="2">
        <f>IFERROR(__xludf.DUMMYFUNCTION("""COMPUTED_VALUE"""),3.0)</f>
        <v>3</v>
      </c>
      <c r="H177" s="2">
        <f>IFERROR(__xludf.DUMMYFUNCTION("""COMPUTED_VALUE"""),17991.0)</f>
        <v>17991</v>
      </c>
      <c r="I177" s="2" t="str">
        <f>IFERROR(__xludf.DUMMYFUNCTION("""COMPUTED_VALUE"""),"KMC5825 AVPFPV0006")</f>
        <v>KMC5825 AVPFPV0006</v>
      </c>
      <c r="J177" s="2" t="str">
        <f>IFERROR(__xludf.DUMMYFUNCTION("""COMPUTED_VALUE"""),"PTS 100271")</f>
        <v>PTS 100271</v>
      </c>
      <c r="K177" s="2" t="str">
        <f>IFERROR(__xludf.DUMMYFUNCTION("""COMPUTED_VALUE"""),"R-SERIES 010 PH")</f>
        <v>R-SERIES 010 PH</v>
      </c>
      <c r="L177" s="2" t="str">
        <f>IFERROR(__xludf.DUMMYFUNCTION("""COMPUTED_VALUE"""),"LSGW1750 RMP 2312046")</f>
        <v>LSGW1750 RMP 2312046</v>
      </c>
      <c r="M177" s="2" t="str">
        <f>IFERROR(__xludf.DUMMYFUNCTION("""COMPUTED_VALUE"""),"WDP40 RMP 2312130")</f>
        <v>WDP40 RMP 2312130</v>
      </c>
      <c r="N177" s="2"/>
      <c r="O177" s="2" t="str">
        <f>IFERROR(__xludf.DUMMYFUNCTION("""COMPUTED_VALUE"""),"Alagao")</f>
        <v>Alagao</v>
      </c>
      <c r="P177" s="2" t="str">
        <f>IFERROR(__xludf.DUMMYFUNCTION("""COMPUTED_VALUE"""),"San Ildefonso")</f>
        <v>San Ildefonso</v>
      </c>
      <c r="Q177" s="2" t="str">
        <f>IFERROR(__xludf.DUMMYFUNCTION("""COMPUTED_VALUE"""),"Bulacan")</f>
        <v>Bulacan</v>
      </c>
      <c r="R177" s="2">
        <f>IFERROR(__xludf.DUMMYFUNCTION("""COMPUTED_VALUE"""),3.0)</f>
        <v>3</v>
      </c>
      <c r="S177" s="2"/>
      <c r="T177" s="2"/>
    </row>
    <row r="178">
      <c r="A178" s="1">
        <f>IFERROR(__xludf.DUMMYFUNCTION("""COMPUTED_VALUE"""),176.0)</f>
        <v>176</v>
      </c>
      <c r="B178" s="2" t="str">
        <f>IFERROR(__xludf.DUMMYFUNCTION("""COMPUTED_VALUE"""),"Masalipit Small Water Irrigation System Association Inc.")</f>
        <v>Masalipit Small Water Irrigation System Association Inc.</v>
      </c>
      <c r="C178" s="2" t="str">
        <f>IFERROR(__xludf.DUMMYFUNCTION("""COMPUTED_VALUE"""),"Masalipit, San Miguel, BULACAN")</f>
        <v>Masalipit, San Miguel, BULACAN</v>
      </c>
      <c r="D178" s="2" t="str">
        <f>IFERROR(__xludf.DUMMYFUNCTION("""COMPUTED_VALUE"""),"Bernardo S. Lusano")</f>
        <v>Bernardo S. Lusano</v>
      </c>
      <c r="E178" s="2" t="str">
        <f>IFERROR(__xludf.DUMMYFUNCTION("""COMPUTED_VALUE"""),"0935-952-6857")</f>
        <v>0935-952-6857</v>
      </c>
      <c r="F178" s="2" t="str">
        <f>IFERROR(__xludf.DUMMYFUNCTION("""COMPUTED_VALUE"""),"RCEF 23-09-21 Rebidding")</f>
        <v>RCEF 23-09-21 Rebidding</v>
      </c>
      <c r="G178" s="2">
        <f>IFERROR(__xludf.DUMMYFUNCTION("""COMPUTED_VALUE"""),3.0)</f>
        <v>3</v>
      </c>
      <c r="H178" s="2">
        <f>IFERROR(__xludf.DUMMYFUNCTION("""COMPUTED_VALUE"""),17992.0)</f>
        <v>17992</v>
      </c>
      <c r="I178" s="2" t="str">
        <f>IFERROR(__xludf.DUMMYFUNCTION("""COMPUTED_VALUE"""),"KMC5825 AEPFPV0123")</f>
        <v>KMC5825 AEPFPV0123</v>
      </c>
      <c r="J178" s="2" t="str">
        <f>IFERROR(__xludf.DUMMYFUNCTION("""COMPUTED_VALUE"""),"PTS 100105")</f>
        <v>PTS 100105</v>
      </c>
      <c r="K178" s="2" t="str">
        <f>IFERROR(__xludf.DUMMYFUNCTION("""COMPUTED_VALUE"""),"R-SERIES 072 PH")</f>
        <v>R-SERIES 072 PH</v>
      </c>
      <c r="L178" s="2" t="str">
        <f>IFERROR(__xludf.DUMMYFUNCTION("""COMPUTED_VALUE"""),"LSGW1750 RMP 2312072")</f>
        <v>LSGW1750 RMP 2312072</v>
      </c>
      <c r="M178" s="2" t="str">
        <f>IFERROR(__xludf.DUMMYFUNCTION("""COMPUTED_VALUE"""),"WDP40 RMP 2312120")</f>
        <v>WDP40 RMP 2312120</v>
      </c>
      <c r="N178" s="2"/>
      <c r="O178" s="2" t="str">
        <f>IFERROR(__xludf.DUMMYFUNCTION("""COMPUTED_VALUE"""),"Masalipit")</f>
        <v>Masalipit</v>
      </c>
      <c r="P178" s="2" t="str">
        <f>IFERROR(__xludf.DUMMYFUNCTION("""COMPUTED_VALUE"""),"San Miguel")</f>
        <v>San Miguel</v>
      </c>
      <c r="Q178" s="2" t="str">
        <f>IFERROR(__xludf.DUMMYFUNCTION("""COMPUTED_VALUE"""),"Bulacan")</f>
        <v>Bulacan</v>
      </c>
      <c r="R178" s="2">
        <f>IFERROR(__xludf.DUMMYFUNCTION("""COMPUTED_VALUE"""),3.0)</f>
        <v>3</v>
      </c>
      <c r="S178" s="2"/>
      <c r="T178" s="2"/>
    </row>
    <row r="179">
      <c r="A179" s="1">
        <f>IFERROR(__xludf.DUMMYFUNCTION("""COMPUTED_VALUE"""),177.0)</f>
        <v>177</v>
      </c>
      <c r="B179" s="2" t="str">
        <f>IFERROR(__xludf.DUMMYFUNCTION("""COMPUTED_VALUE"""),"Agribusiness Farmworker's Livelihood and Agriculture Cooperative (AFLAC)")</f>
        <v>Agribusiness Farmworker's Livelihood and Agriculture Cooperative (AFLAC)</v>
      </c>
      <c r="C179" s="2" t="str">
        <f>IFERROR(__xludf.DUMMYFUNCTION("""COMPUTED_VALUE"""),"Capihan, San Rafael, BULACAN")</f>
        <v>Capihan, San Rafael, BULACAN</v>
      </c>
      <c r="D179" s="2" t="str">
        <f>IFERROR(__xludf.DUMMYFUNCTION("""COMPUTED_VALUE"""),"Angelito Verdillo")</f>
        <v>Angelito Verdillo</v>
      </c>
      <c r="E179" s="2" t="str">
        <f>IFERROR(__xludf.DUMMYFUNCTION("""COMPUTED_VALUE"""),"0932-567-4073/0922-893-8364")</f>
        <v>0932-567-4073/0922-893-8364</v>
      </c>
      <c r="F179" s="2" t="str">
        <f>IFERROR(__xludf.DUMMYFUNCTION("""COMPUTED_VALUE"""),"RCEF 23-09-21 Rebidding")</f>
        <v>RCEF 23-09-21 Rebidding</v>
      </c>
      <c r="G179" s="2">
        <f>IFERROR(__xludf.DUMMYFUNCTION("""COMPUTED_VALUE"""),3.0)</f>
        <v>3</v>
      </c>
      <c r="H179" s="2">
        <f>IFERROR(__xludf.DUMMYFUNCTION("""COMPUTED_VALUE"""),17993.0)</f>
        <v>17993</v>
      </c>
      <c r="I179" s="2" t="str">
        <f>IFERROR(__xludf.DUMMYFUNCTION("""COMPUTED_VALUE"""),"KMC5825 AVPFPV0133")</f>
        <v>KMC5825 AVPFPV0133</v>
      </c>
      <c r="J179" s="2" t="str">
        <f>IFERROR(__xludf.DUMMYFUNCTION("""COMPUTED_VALUE"""),"PTS 100079")</f>
        <v>PTS 100079</v>
      </c>
      <c r="K179" s="2" t="str">
        <f>IFERROR(__xludf.DUMMYFUNCTION("""COMPUTED_VALUE"""),"R-SERIES 023 PH")</f>
        <v>R-SERIES 023 PH</v>
      </c>
      <c r="L179" s="2" t="str">
        <f>IFERROR(__xludf.DUMMYFUNCTION("""COMPUTED_VALUE"""),"LSGW1750 RMP 2312073")</f>
        <v>LSGW1750 RMP 2312073</v>
      </c>
      <c r="M179" s="2" t="str">
        <f>IFERROR(__xludf.DUMMYFUNCTION("""COMPUTED_VALUE"""),"WDP40 RMP 2312102")</f>
        <v>WDP40 RMP 2312102</v>
      </c>
      <c r="N179" s="2"/>
      <c r="O179" s="2" t="str">
        <f>IFERROR(__xludf.DUMMYFUNCTION("""COMPUTED_VALUE"""),"Capihan")</f>
        <v>Capihan</v>
      </c>
      <c r="P179" s="2" t="str">
        <f>IFERROR(__xludf.DUMMYFUNCTION("""COMPUTED_VALUE"""),"San Rafael")</f>
        <v>San Rafael</v>
      </c>
      <c r="Q179" s="2" t="str">
        <f>IFERROR(__xludf.DUMMYFUNCTION("""COMPUTED_VALUE"""),"Bulacan")</f>
        <v>Bulacan</v>
      </c>
      <c r="R179" s="2">
        <f>IFERROR(__xludf.DUMMYFUNCTION("""COMPUTED_VALUE"""),3.0)</f>
        <v>3</v>
      </c>
      <c r="S179" s="2"/>
      <c r="T179" s="2"/>
    </row>
    <row r="180">
      <c r="A180" s="1">
        <f>IFERROR(__xludf.DUMMYFUNCTION("""COMPUTED_VALUE"""),178.0)</f>
        <v>178</v>
      </c>
      <c r="B180" s="2" t="str">
        <f>IFERROR(__xludf.DUMMYFUNCTION("""COMPUTED_VALUE"""),"GALAS MAASIM PALAY AND VEGETABLE PRODUCERS ASSOCIATION")</f>
        <v>GALAS MAASIM PALAY AND VEGETABLE PRODUCERS ASSOCIATION</v>
      </c>
      <c r="C180" s="2" t="str">
        <f>IFERROR(__xludf.DUMMYFUNCTION("""COMPUTED_VALUE"""),"Maasim, San Rafael, BULACAN")</f>
        <v>Maasim, San Rafael, BULACAN</v>
      </c>
      <c r="D180" s="2" t="str">
        <f>IFERROR(__xludf.DUMMYFUNCTION("""COMPUTED_VALUE"""),"Tarcila S. Dela Cruz")</f>
        <v>Tarcila S. Dela Cruz</v>
      </c>
      <c r="E180" s="2" t="str">
        <f>IFERROR(__xludf.DUMMYFUNCTION("""COMPUTED_VALUE"""),"0923-801-3149")</f>
        <v>0923-801-3149</v>
      </c>
      <c r="F180" s="2" t="str">
        <f>IFERROR(__xludf.DUMMYFUNCTION("""COMPUTED_VALUE"""),"RCEF 23-09-21 Rebidding")</f>
        <v>RCEF 23-09-21 Rebidding</v>
      </c>
      <c r="G180" s="2">
        <f>IFERROR(__xludf.DUMMYFUNCTION("""COMPUTED_VALUE"""),3.0)</f>
        <v>3</v>
      </c>
      <c r="H180" s="2">
        <f>IFERROR(__xludf.DUMMYFUNCTION("""COMPUTED_VALUE"""),17994.0)</f>
        <v>17994</v>
      </c>
      <c r="I180" s="2" t="str">
        <f>IFERROR(__xludf.DUMMYFUNCTION("""COMPUTED_VALUE"""),"KMC5825 ALPFPV0099")</f>
        <v>KMC5825 ALPFPV0099</v>
      </c>
      <c r="J180" s="2" t="str">
        <f>IFERROR(__xludf.DUMMYFUNCTION("""COMPUTED_VALUE"""),"PTS 100071")</f>
        <v>PTS 100071</v>
      </c>
      <c r="K180" s="2" t="str">
        <f>IFERROR(__xludf.DUMMYFUNCTION("""COMPUTED_VALUE"""),"R-SERIES 034 PH")</f>
        <v>R-SERIES 034 PH</v>
      </c>
      <c r="L180" s="2" t="str">
        <f>IFERROR(__xludf.DUMMYFUNCTION("""COMPUTED_VALUE"""),"LSGW1750 RMP 2312069")</f>
        <v>LSGW1750 RMP 2312069</v>
      </c>
      <c r="M180" s="2" t="str">
        <f>IFERROR(__xludf.DUMMYFUNCTION("""COMPUTED_VALUE"""),"WDP40 RMP 2312123")</f>
        <v>WDP40 RMP 2312123</v>
      </c>
      <c r="N180" s="2"/>
      <c r="O180" s="2" t="str">
        <f>IFERROR(__xludf.DUMMYFUNCTION("""COMPUTED_VALUE"""),"Maasim")</f>
        <v>Maasim</v>
      </c>
      <c r="P180" s="2" t="str">
        <f>IFERROR(__xludf.DUMMYFUNCTION("""COMPUTED_VALUE"""),"San Rafael")</f>
        <v>San Rafael</v>
      </c>
      <c r="Q180" s="2" t="str">
        <f>IFERROR(__xludf.DUMMYFUNCTION("""COMPUTED_VALUE"""),"Bulacan")</f>
        <v>Bulacan</v>
      </c>
      <c r="R180" s="2">
        <f>IFERROR(__xludf.DUMMYFUNCTION("""COMPUTED_VALUE"""),3.0)</f>
        <v>3</v>
      </c>
      <c r="S180" s="2"/>
      <c r="T180" s="2"/>
    </row>
    <row r="181">
      <c r="A181" s="1">
        <f>IFERROR(__xludf.DUMMYFUNCTION("""COMPUTED_VALUE"""),179.0)</f>
        <v>179</v>
      </c>
      <c r="B181" s="2" t="str">
        <f>IFERROR(__xludf.DUMMYFUNCTION("""COMPUTED_VALUE"""),"MUNICIPAL LOCAL GOVERNMENT UNIT OF ANGAT")</f>
        <v>MUNICIPAL LOCAL GOVERNMENT UNIT OF ANGAT</v>
      </c>
      <c r="C181" s="2" t="str">
        <f>IFERROR(__xludf.DUMMYFUNCTION("""COMPUTED_VALUE"""),"Poblacion, Angat, Bulacan")</f>
        <v>Poblacion, Angat, Bulacan</v>
      </c>
      <c r="D181" s="2" t="str">
        <f>IFERROR(__xludf.DUMMYFUNCTION("""COMPUTED_VALUE"""),"Joseph Del Rosario")</f>
        <v>Joseph Del Rosario</v>
      </c>
      <c r="E181" s="2">
        <f>IFERROR(__xludf.DUMMYFUNCTION("""COMPUTED_VALUE"""),9.179941102E9)</f>
        <v>9179941102</v>
      </c>
      <c r="F181" s="2" t="str">
        <f>IFERROR(__xludf.DUMMYFUNCTION("""COMPUTED_VALUE"""),"RCEF 23-09-21 Rebidding")</f>
        <v>RCEF 23-09-21 Rebidding</v>
      </c>
      <c r="G181" s="2">
        <f>IFERROR(__xludf.DUMMYFUNCTION("""COMPUTED_VALUE"""),3.0)</f>
        <v>3</v>
      </c>
      <c r="H181" s="2">
        <f>IFERROR(__xludf.DUMMYFUNCTION("""COMPUTED_VALUE"""),17995.0)</f>
        <v>17995</v>
      </c>
      <c r="I181" s="2" t="str">
        <f>IFERROR(__xludf.DUMMYFUNCTION("""COMPUTED_VALUE"""),"KMC5825 APPFPV0143")</f>
        <v>KMC5825 APPFPV0143</v>
      </c>
      <c r="J181" s="2" t="str">
        <f>IFERROR(__xludf.DUMMYFUNCTION("""COMPUTED_VALUE"""),"PTS 100119")</f>
        <v>PTS 100119</v>
      </c>
      <c r="K181" s="2" t="str">
        <f>IFERROR(__xludf.DUMMYFUNCTION("""COMPUTED_VALUE"""),"R-SERIES 076 PH")</f>
        <v>R-SERIES 076 PH</v>
      </c>
      <c r="L181" s="2" t="str">
        <f>IFERROR(__xludf.DUMMYFUNCTION("""COMPUTED_VALUE"""),"LSGW1750 RMP 2312082")</f>
        <v>LSGW1750 RMP 2312082</v>
      </c>
      <c r="M181" s="2" t="str">
        <f>IFERROR(__xludf.DUMMYFUNCTION("""COMPUTED_VALUE"""),"WDP40 RMP 2312137")</f>
        <v>WDP40 RMP 2312137</v>
      </c>
      <c r="N181" s="2"/>
      <c r="O181" s="2" t="str">
        <f>IFERROR(__xludf.DUMMYFUNCTION("""COMPUTED_VALUE"""),"Poblacion")</f>
        <v>Poblacion</v>
      </c>
      <c r="P181" s="2" t="str">
        <f>IFERROR(__xludf.DUMMYFUNCTION("""COMPUTED_VALUE"""),"Angat")</f>
        <v>Angat</v>
      </c>
      <c r="Q181" s="2" t="str">
        <f>IFERROR(__xludf.DUMMYFUNCTION("""COMPUTED_VALUE"""),"Bulacan")</f>
        <v>Bulacan</v>
      </c>
      <c r="R181" s="2">
        <f>IFERROR(__xludf.DUMMYFUNCTION("""COMPUTED_VALUE"""),3.0)</f>
        <v>3</v>
      </c>
      <c r="S181" s="2"/>
      <c r="T181" s="2"/>
    </row>
    <row r="182">
      <c r="A182" s="1">
        <f>IFERROR(__xludf.DUMMYFUNCTION("""COMPUTED_VALUE"""),180.0)</f>
        <v>180</v>
      </c>
      <c r="B182" s="2" t="str">
        <f>IFERROR(__xludf.DUMMYFUNCTION("""COMPUTED_VALUE"""),"Butil, Gulayan, at Paghahayupan ng Magsasaka ng Bagong Barrio")</f>
        <v>Butil, Gulayan, at Paghahayupan ng Magsasaka ng Bagong Barrio</v>
      </c>
      <c r="C182" s="2" t="str">
        <f>IFERROR(__xludf.DUMMYFUNCTION("""COMPUTED_VALUE"""),"Bagong Barrio, Pandi, BULACAN")</f>
        <v>Bagong Barrio, Pandi, BULACAN</v>
      </c>
      <c r="D182" s="2" t="str">
        <f>IFERROR(__xludf.DUMMYFUNCTION("""COMPUTED_VALUE"""),"Adriano R. Landayan Jr.")</f>
        <v>Adriano R. Landayan Jr.</v>
      </c>
      <c r="E182" s="2" t="str">
        <f>IFERROR(__xludf.DUMMYFUNCTION("""COMPUTED_VALUE"""),"0975-916-2663/0932-199-1058")</f>
        <v>0975-916-2663/0932-199-1058</v>
      </c>
      <c r="F182" s="2" t="str">
        <f>IFERROR(__xludf.DUMMYFUNCTION("""COMPUTED_VALUE"""),"RCEF 23-09-21 Rebidding")</f>
        <v>RCEF 23-09-21 Rebidding</v>
      </c>
      <c r="G182" s="2">
        <f>IFERROR(__xludf.DUMMYFUNCTION("""COMPUTED_VALUE"""),3.0)</f>
        <v>3</v>
      </c>
      <c r="H182" s="2">
        <f>IFERROR(__xludf.DUMMYFUNCTION("""COMPUTED_VALUE"""),17996.0)</f>
        <v>17996</v>
      </c>
      <c r="I182" s="2" t="str">
        <f>IFERROR(__xludf.DUMMYFUNCTION("""COMPUTED_VALUE"""),"KMC5825 AJRFPV0004")</f>
        <v>KMC5825 AJRFPV0004</v>
      </c>
      <c r="J182" s="2" t="str">
        <f>IFERROR(__xludf.DUMMYFUNCTION("""COMPUTED_VALUE"""),"PTS 100295")</f>
        <v>PTS 100295</v>
      </c>
      <c r="K182" s="2" t="str">
        <f>IFERROR(__xludf.DUMMYFUNCTION("""COMPUTED_VALUE"""),"R-SERIES 020 PH")</f>
        <v>R-SERIES 020 PH</v>
      </c>
      <c r="L182" s="2" t="str">
        <f>IFERROR(__xludf.DUMMYFUNCTION("""COMPUTED_VALUE"""),"LSGW1750 RMP 2312084")</f>
        <v>LSGW1750 RMP 2312084</v>
      </c>
      <c r="M182" s="2" t="str">
        <f>IFERROR(__xludf.DUMMYFUNCTION("""COMPUTED_VALUE"""),"WDP40 RMP 2312076")</f>
        <v>WDP40 RMP 2312076</v>
      </c>
      <c r="N182" s="2"/>
      <c r="O182" s="2" t="str">
        <f>IFERROR(__xludf.DUMMYFUNCTION("""COMPUTED_VALUE"""),"Bagong Barrio")</f>
        <v>Bagong Barrio</v>
      </c>
      <c r="P182" s="2" t="str">
        <f>IFERROR(__xludf.DUMMYFUNCTION("""COMPUTED_VALUE"""),"Pandi")</f>
        <v>Pandi</v>
      </c>
      <c r="Q182" s="2" t="str">
        <f>IFERROR(__xludf.DUMMYFUNCTION("""COMPUTED_VALUE"""),"Bulacan")</f>
        <v>Bulacan</v>
      </c>
      <c r="R182" s="2">
        <f>IFERROR(__xludf.DUMMYFUNCTION("""COMPUTED_VALUE"""),3.0)</f>
        <v>3</v>
      </c>
      <c r="S182" s="2"/>
      <c r="T182" s="2"/>
    </row>
    <row r="183">
      <c r="A183" s="1">
        <f>IFERROR(__xludf.DUMMYFUNCTION("""COMPUTED_VALUE"""),181.0)</f>
        <v>181</v>
      </c>
      <c r="B183" s="2" t="str">
        <f>IFERROR(__xludf.DUMMYFUNCTION("""COMPUTED_VALUE"""),"Bulusukan Farmers Palay and Vegetable Producers Cooperative")</f>
        <v>Bulusukan Farmers Palay and Vegetable Producers Cooperative</v>
      </c>
      <c r="C183" s="2" t="str">
        <f>IFERROR(__xludf.DUMMYFUNCTION("""COMPUTED_VALUE"""),"Bulusukan, San Ildefonso, BULACAN")</f>
        <v>Bulusukan, San Ildefonso, BULACAN</v>
      </c>
      <c r="D183" s="2" t="str">
        <f>IFERROR(__xludf.DUMMYFUNCTION("""COMPUTED_VALUE"""),"Naldy T. Nunez")</f>
        <v>Naldy T. Nunez</v>
      </c>
      <c r="E183" s="2" t="str">
        <f>IFERROR(__xludf.DUMMYFUNCTION("""COMPUTED_VALUE"""),"0955-307-1974")</f>
        <v>0955-307-1974</v>
      </c>
      <c r="F183" s="2" t="str">
        <f>IFERROR(__xludf.DUMMYFUNCTION("""COMPUTED_VALUE"""),"RCEF 23-09-21 Rebidding")</f>
        <v>RCEF 23-09-21 Rebidding</v>
      </c>
      <c r="G183" s="2">
        <f>IFERROR(__xludf.DUMMYFUNCTION("""COMPUTED_VALUE"""),9.0)</f>
        <v>9</v>
      </c>
      <c r="H183" s="2">
        <f>IFERROR(__xludf.DUMMYFUNCTION("""COMPUTED_VALUE"""),17997.0)</f>
        <v>17997</v>
      </c>
      <c r="I183" s="2" t="str">
        <f>IFERROR(__xludf.DUMMYFUNCTION("""COMPUTED_VALUE"""),"KMC5825 AKPFPV0046")</f>
        <v>KMC5825 AKPFPV0046</v>
      </c>
      <c r="J183" s="2" t="str">
        <f>IFERROR(__xludf.DUMMYFUNCTION("""COMPUTED_VALUE"""),"PTS100065")</f>
        <v>PTS100065</v>
      </c>
      <c r="K183" s="2" t="str">
        <f>IFERROR(__xludf.DUMMYFUNCTION("""COMPUTED_VALUE"""),"R-SERIES 030 PH")</f>
        <v>R-SERIES 030 PH</v>
      </c>
      <c r="L183" s="2" t="str">
        <f>IFERROR(__xludf.DUMMYFUNCTION("""COMPUTED_VALUE"""),"LSGW1750 RMP 2312060")</f>
        <v>LSGW1750 RMP 2312060</v>
      </c>
      <c r="M183" s="2" t="str">
        <f>IFERROR(__xludf.DUMMYFUNCTION("""COMPUTED_VALUE"""),"WDP40 RMP 2312119")</f>
        <v>WDP40 RMP 2312119</v>
      </c>
      <c r="N183" s="2"/>
      <c r="O183" s="2" t="str">
        <f>IFERROR(__xludf.DUMMYFUNCTION("""COMPUTED_VALUE"""),"Bulusukan")</f>
        <v>Bulusukan</v>
      </c>
      <c r="P183" s="2" t="str">
        <f>IFERROR(__xludf.DUMMYFUNCTION("""COMPUTED_VALUE"""),"San Ildefonso")</f>
        <v>San Ildefonso</v>
      </c>
      <c r="Q183" s="2" t="str">
        <f>IFERROR(__xludf.DUMMYFUNCTION("""COMPUTED_VALUE"""),"Bulacan")</f>
        <v>Bulacan</v>
      </c>
      <c r="R183" s="2">
        <f>IFERROR(__xludf.DUMMYFUNCTION("""COMPUTED_VALUE"""),3.0)</f>
        <v>3</v>
      </c>
      <c r="S183" s="2"/>
      <c r="T183" s="2"/>
    </row>
    <row r="184">
      <c r="A184" s="1">
        <f>IFERROR(__xludf.DUMMYFUNCTION("""COMPUTED_VALUE"""),182.0)</f>
        <v>182</v>
      </c>
      <c r="B184" s="2" t="str">
        <f>IFERROR(__xludf.DUMMYFUNCTION("""COMPUTED_VALUE"""),"Tukod Palay and Vegetables Farmers Association")</f>
        <v>Tukod Palay and Vegetables Farmers Association</v>
      </c>
      <c r="C184" s="2" t="str">
        <f>IFERROR(__xludf.DUMMYFUNCTION("""COMPUTED_VALUE"""),"Tukod, San Rafael, BULACAN")</f>
        <v>Tukod, San Rafael, BULACAN</v>
      </c>
      <c r="D184" s="2" t="str">
        <f>IFERROR(__xludf.DUMMYFUNCTION("""COMPUTED_VALUE"""),"Teofista Z. Basa")</f>
        <v>Teofista Z. Basa</v>
      </c>
      <c r="E184" s="2" t="str">
        <f>IFERROR(__xludf.DUMMYFUNCTION("""COMPUTED_VALUE"""),"0928-746-1730")</f>
        <v>0928-746-1730</v>
      </c>
      <c r="F184" s="2" t="str">
        <f>IFERROR(__xludf.DUMMYFUNCTION("""COMPUTED_VALUE"""),"RCEF 23-09-21 Rebidding")</f>
        <v>RCEF 23-09-21 Rebidding</v>
      </c>
      <c r="G184" s="2">
        <f>IFERROR(__xludf.DUMMYFUNCTION("""COMPUTED_VALUE"""),9.0)</f>
        <v>9</v>
      </c>
      <c r="H184" s="2">
        <f>IFERROR(__xludf.DUMMYFUNCTION("""COMPUTED_VALUE"""),17998.0)</f>
        <v>17998</v>
      </c>
      <c r="I184" s="2" t="str">
        <f>IFERROR(__xludf.DUMMYFUNCTION("""COMPUTED_VALUE"""),"KMC5825 ACPFPV0124")</f>
        <v>KMC5825 ACPFPV0124</v>
      </c>
      <c r="J184" s="2" t="str">
        <f>IFERROR(__xludf.DUMMYFUNCTION("""COMPUTED_VALUE"""),"PTS 100049")</f>
        <v>PTS 100049</v>
      </c>
      <c r="K184" s="2" t="str">
        <f>IFERROR(__xludf.DUMMYFUNCTION("""COMPUTED_VALUE"""),"R-SERIES 100049 PH")</f>
        <v>R-SERIES 100049 PH</v>
      </c>
      <c r="L184" s="2" t="str">
        <f>IFERROR(__xludf.DUMMYFUNCTION("""COMPUTED_VALUE"""),"LSGW1750 RMP 2312059")</f>
        <v>LSGW1750 RMP 2312059</v>
      </c>
      <c r="M184" s="2" t="str">
        <f>IFERROR(__xludf.DUMMYFUNCTION("""COMPUTED_VALUE"""),"WDP40 RMP 2312107")</f>
        <v>WDP40 RMP 2312107</v>
      </c>
      <c r="N184" s="2"/>
      <c r="O184" s="2" t="str">
        <f>IFERROR(__xludf.DUMMYFUNCTION("""COMPUTED_VALUE"""),"Tukod")</f>
        <v>Tukod</v>
      </c>
      <c r="P184" s="2" t="str">
        <f>IFERROR(__xludf.DUMMYFUNCTION("""COMPUTED_VALUE"""),"San Rafael")</f>
        <v>San Rafael</v>
      </c>
      <c r="Q184" s="2" t="str">
        <f>IFERROR(__xludf.DUMMYFUNCTION("""COMPUTED_VALUE"""),"Bulacan")</f>
        <v>Bulacan</v>
      </c>
      <c r="R184" s="2">
        <f>IFERROR(__xludf.DUMMYFUNCTION("""COMPUTED_VALUE"""),3.0)</f>
        <v>3</v>
      </c>
      <c r="S184" s="2"/>
      <c r="T184" s="2"/>
    </row>
    <row r="185">
      <c r="A185" s="1">
        <f>IFERROR(__xludf.DUMMYFUNCTION("""COMPUTED_VALUE"""),183.0)</f>
        <v>183</v>
      </c>
      <c r="B185" s="2" t="str">
        <f>IFERROR(__xludf.DUMMYFUNCTION("""COMPUTED_VALUE"""),"Plaridel-Malolos Irrigators Association Inc.")</f>
        <v>Plaridel-Malolos Irrigators Association Inc.</v>
      </c>
      <c r="C185" s="2" t="str">
        <f>IFERROR(__xludf.DUMMYFUNCTION("""COMPUTED_VALUE"""),"Barilan, Malolos, Bulacan")</f>
        <v>Barilan, Malolos, Bulacan</v>
      </c>
      <c r="D185" s="2" t="str">
        <f>IFERROR(__xludf.DUMMYFUNCTION("""COMPUTED_VALUE"""),"Maxima E. valentino")</f>
        <v>Maxima E. valentino</v>
      </c>
      <c r="E185" s="2" t="str">
        <f>IFERROR(__xludf.DUMMYFUNCTION("""COMPUTED_VALUE"""),"0936-137-0538/    0917-393-3929")</f>
        <v>0936-137-0538/    0917-393-3929</v>
      </c>
      <c r="F185" s="2" t="str">
        <f>IFERROR(__xludf.DUMMYFUNCTION("""COMPUTED_VALUE"""),"RCEF 23-09-21 Rebidding")</f>
        <v>RCEF 23-09-21 Rebidding</v>
      </c>
      <c r="G185" s="2">
        <f>IFERROR(__xludf.DUMMYFUNCTION("""COMPUTED_VALUE"""),9.0)</f>
        <v>9</v>
      </c>
      <c r="H185" s="2">
        <f>IFERROR(__xludf.DUMMYFUNCTION("""COMPUTED_VALUE"""),17999.0)</f>
        <v>17999</v>
      </c>
      <c r="I185" s="2" t="str">
        <f>IFERROR(__xludf.DUMMYFUNCTION("""COMPUTED_VALUE"""),"KMC5825 AJPFPV0095")</f>
        <v>KMC5825 AJPFPV0095</v>
      </c>
      <c r="J185" s="2" t="str">
        <f>IFERROR(__xludf.DUMMYFUNCTION("""COMPUTED_VALUE"""),"PTS 100098")</f>
        <v>PTS 100098</v>
      </c>
      <c r="K185" s="2" t="str">
        <f>IFERROR(__xludf.DUMMYFUNCTION("""COMPUTED_VALUE"""),"R-SERIES 035 PH")</f>
        <v>R-SERIES 035 PH</v>
      </c>
      <c r="L185" s="2" t="str">
        <f>IFERROR(__xludf.DUMMYFUNCTION("""COMPUTED_VALUE"""),"LSGW1750 RMP 2312143")</f>
        <v>LSGW1750 RMP 2312143</v>
      </c>
      <c r="M185" s="2" t="str">
        <f>IFERROR(__xludf.DUMMYFUNCTION("""COMPUTED_VALUE"""),"WDP40 RMP 2312117")</f>
        <v>WDP40 RMP 2312117</v>
      </c>
      <c r="N185" s="2"/>
      <c r="O185" s="2" t="str">
        <f>IFERROR(__xludf.DUMMYFUNCTION("""COMPUTED_VALUE"""),"Barilan")</f>
        <v>Barilan</v>
      </c>
      <c r="P185" s="2" t="str">
        <f>IFERROR(__xludf.DUMMYFUNCTION("""COMPUTED_VALUE"""),"Malolos")</f>
        <v>Malolos</v>
      </c>
      <c r="Q185" s="2" t="str">
        <f>IFERROR(__xludf.DUMMYFUNCTION("""COMPUTED_VALUE"""),"Bulacan")</f>
        <v>Bulacan</v>
      </c>
      <c r="R185" s="2">
        <f>IFERROR(__xludf.DUMMYFUNCTION("""COMPUTED_VALUE"""),3.0)</f>
        <v>3</v>
      </c>
      <c r="S185" s="2"/>
      <c r="T185" s="2"/>
    </row>
    <row r="186">
      <c r="A186" s="1">
        <f>IFERROR(__xludf.DUMMYFUNCTION("""COMPUTED_VALUE"""),184.0)</f>
        <v>184</v>
      </c>
      <c r="B186" s="2" t="str">
        <f>IFERROR(__xludf.DUMMYFUNCTION("""COMPUTED_VALUE"""),"SAN JUAN IA/FARMERS ASSOCIATION")</f>
        <v>SAN JUAN IA/FARMERS ASSOCIATION</v>
      </c>
      <c r="C186" s="2" t="str">
        <f>IFERROR(__xludf.DUMMYFUNCTION("""COMPUTED_VALUE"""),"San Juan, Alfonso Lista (Potia), IFUGAO")</f>
        <v>San Juan, Alfonso Lista (Potia), IFUGAO</v>
      </c>
      <c r="D186" s="2" t="str">
        <f>IFERROR(__xludf.DUMMYFUNCTION("""COMPUTED_VALUE"""),"Esmenia S. Borja")</f>
        <v>Esmenia S. Borja</v>
      </c>
      <c r="E186" s="2">
        <f>IFERROR(__xludf.DUMMYFUNCTION("""COMPUTED_VALUE"""),9.554952463E9)</f>
        <v>9554952463</v>
      </c>
      <c r="F186" s="2" t="str">
        <f>IFERROR(__xludf.DUMMYFUNCTION("""COMPUTED_VALUE"""),"RCEF 23-09-21 Rebidding")</f>
        <v>RCEF 23-09-21 Rebidding</v>
      </c>
      <c r="G186" s="2">
        <f>IFERROR(__xludf.DUMMYFUNCTION("""COMPUTED_VALUE"""),1.0)</f>
        <v>1</v>
      </c>
      <c r="H186" s="2">
        <f>IFERROR(__xludf.DUMMYFUNCTION("""COMPUTED_VALUE"""),18348.0)</f>
        <v>18348</v>
      </c>
      <c r="I186" s="2" t="str">
        <f>IFERROR(__xludf.DUMMYFUNCTION("""COMPUTED_VALUE"""),"KMC5825 APRFPV0517")</f>
        <v>KMC5825 APRFPV0517</v>
      </c>
      <c r="J186" s="2" t="str">
        <f>IFERROR(__xludf.DUMMYFUNCTION("""COMPUTED_VALUE"""),"RTS 100423")</f>
        <v>RTS 100423</v>
      </c>
      <c r="K186" s="2" t="str">
        <f>IFERROR(__xludf.DUMMYFUNCTION("""COMPUTED_VALUE"""),"WR-SERIES 812 PH")</f>
        <v>WR-SERIES 812 PH</v>
      </c>
      <c r="L186" s="2" t="str">
        <f>IFERROR(__xludf.DUMMYFUNCTION("""COMPUTED_VALUE"""),"LSGW1750 RMP 24010210")</f>
        <v>LSGW1750 RMP 24010210</v>
      </c>
      <c r="M186" s="2" t="str">
        <f>IFERROR(__xludf.DUMMYFUNCTION("""COMPUTED_VALUE"""),"WDP40 RMP 24050576")</f>
        <v>WDP40 RMP 24050576</v>
      </c>
      <c r="N186" s="2"/>
      <c r="O186" s="2" t="str">
        <f>IFERROR(__xludf.DUMMYFUNCTION("""COMPUTED_VALUE"""),"San Juan")</f>
        <v>San Juan</v>
      </c>
      <c r="P186" s="2" t="str">
        <f>IFERROR(__xludf.DUMMYFUNCTION("""COMPUTED_VALUE"""),"Alfonso Lista (Potia)")</f>
        <v>Alfonso Lista (Potia)</v>
      </c>
      <c r="Q186" s="2" t="str">
        <f>IFERROR(__xludf.DUMMYFUNCTION("""COMPUTED_VALUE"""),"Ifugao")</f>
        <v>Ifugao</v>
      </c>
      <c r="R186" s="2" t="str">
        <f>IFERROR(__xludf.DUMMYFUNCTION("""COMPUTED_VALUE"""),"CAR")</f>
        <v>CAR</v>
      </c>
      <c r="S186" s="2"/>
      <c r="T186" s="2"/>
    </row>
    <row r="187">
      <c r="A187" s="1">
        <f>IFERROR(__xludf.DUMMYFUNCTION("""COMPUTED_VALUE"""),185.0)</f>
        <v>185</v>
      </c>
      <c r="B187" s="2" t="str">
        <f>IFERROR(__xludf.DUMMYFUNCTION("""COMPUTED_VALUE"""),"SAN QUINTIN INTEGRATED FARMERS ASSOCIATION")</f>
        <v>SAN QUINTIN INTEGRATED FARMERS ASSOCIATION</v>
      </c>
      <c r="C187" s="2" t="str">
        <f>IFERROR(__xludf.DUMMYFUNCTION("""COMPUTED_VALUE"""),"San Quintin, Alfonso Lista (Potia), IFUGAO")</f>
        <v>San Quintin, Alfonso Lista (Potia), IFUGAO</v>
      </c>
      <c r="D187" s="2" t="str">
        <f>IFERROR(__xludf.DUMMYFUNCTION("""COMPUTED_VALUE"""),"Michael Johnson P. Mabalo")</f>
        <v>Michael Johnson P. Mabalo</v>
      </c>
      <c r="E187" s="2">
        <f>IFERROR(__xludf.DUMMYFUNCTION("""COMPUTED_VALUE"""),9.175053586E9)</f>
        <v>9175053586</v>
      </c>
      <c r="F187" s="2" t="str">
        <f>IFERROR(__xludf.DUMMYFUNCTION("""COMPUTED_VALUE"""),"RCEF 23-09-21 Rebidding")</f>
        <v>RCEF 23-09-21 Rebidding</v>
      </c>
      <c r="G187" s="2">
        <f>IFERROR(__xludf.DUMMYFUNCTION("""COMPUTED_VALUE"""),1.0)</f>
        <v>1</v>
      </c>
      <c r="H187" s="2">
        <f>IFERROR(__xludf.DUMMYFUNCTION("""COMPUTED_VALUE"""),18349.0)</f>
        <v>18349</v>
      </c>
      <c r="I187" s="2" t="str">
        <f>IFERROR(__xludf.DUMMYFUNCTION("""COMPUTED_VALUE"""),"KMC5825 APRFPV0047")</f>
        <v>KMC5825 APRFPV0047</v>
      </c>
      <c r="J187" s="2" t="str">
        <f>IFERROR(__xludf.DUMMYFUNCTION("""COMPUTED_VALUE"""),"PTS 100221")</f>
        <v>PTS 100221</v>
      </c>
      <c r="K187" s="2" t="str">
        <f>IFERROR(__xludf.DUMMYFUNCTION("""COMPUTED_VALUE"""),"R-SERIES 030 PH")</f>
        <v>R-SERIES 030 PH</v>
      </c>
      <c r="L187" s="2" t="str">
        <f>IFERROR(__xludf.DUMMYFUNCTION("""COMPUTED_VALUE"""),"LSGW1750 RMP 24010036")</f>
        <v>LSGW1750 RMP 24010036</v>
      </c>
      <c r="M187" s="2" t="str">
        <f>IFERROR(__xludf.DUMMYFUNCTION("""COMPUTED_VALUE"""),"WDP40 RMP 24010001")</f>
        <v>WDP40 RMP 24010001</v>
      </c>
      <c r="N187" s="2"/>
      <c r="O187" s="2" t="str">
        <f>IFERROR(__xludf.DUMMYFUNCTION("""COMPUTED_VALUE"""),"San Quintin")</f>
        <v>San Quintin</v>
      </c>
      <c r="P187" s="2" t="str">
        <f>IFERROR(__xludf.DUMMYFUNCTION("""COMPUTED_VALUE"""),"Alfonso Lista (Potia)")</f>
        <v>Alfonso Lista (Potia)</v>
      </c>
      <c r="Q187" s="2" t="str">
        <f>IFERROR(__xludf.DUMMYFUNCTION("""COMPUTED_VALUE"""),"Ifugao")</f>
        <v>Ifugao</v>
      </c>
      <c r="R187" s="2" t="str">
        <f>IFERROR(__xludf.DUMMYFUNCTION("""COMPUTED_VALUE"""),"CAR")</f>
        <v>CAR</v>
      </c>
      <c r="S187" s="2"/>
      <c r="T187" s="2"/>
    </row>
    <row r="188">
      <c r="A188" s="1">
        <f>IFERROR(__xludf.DUMMYFUNCTION("""COMPUTED_VALUE"""),186.0)</f>
        <v>186</v>
      </c>
      <c r="B188" s="2" t="str">
        <f>IFERROR(__xludf.DUMMYFUNCTION("""COMPUTED_VALUE"""),"Alfonso Lista Rice Cluster Farmers Federation Incorporated")</f>
        <v>Alfonso Lista Rice Cluster Farmers Federation Incorporated</v>
      </c>
      <c r="C188" s="2" t="str">
        <f>IFERROR(__xludf.DUMMYFUNCTION("""COMPUTED_VALUE"""),"Santa Maria, Alfonso Lista (Potia), IFUGAO")</f>
        <v>Santa Maria, Alfonso Lista (Potia), IFUGAO</v>
      </c>
      <c r="D188" s="2" t="str">
        <f>IFERROR(__xludf.DUMMYFUNCTION("""COMPUTED_VALUE"""),"Jeffrey S. Gaspar")</f>
        <v>Jeffrey S. Gaspar</v>
      </c>
      <c r="E188" s="2" t="str">
        <f>IFERROR(__xludf.DUMMYFUNCTION("""COMPUTED_VALUE"""),"0975-895-0983")</f>
        <v>0975-895-0983</v>
      </c>
      <c r="F188" s="2" t="str">
        <f>IFERROR(__xludf.DUMMYFUNCTION("""COMPUTED_VALUE"""),"RCEF 23-09-21 Rebidding")</f>
        <v>RCEF 23-09-21 Rebidding</v>
      </c>
      <c r="G188" s="2">
        <f>IFERROR(__xludf.DUMMYFUNCTION("""COMPUTED_VALUE"""),1.0)</f>
        <v>1</v>
      </c>
      <c r="H188" s="2">
        <f>IFERROR(__xludf.DUMMYFUNCTION("""COMPUTED_VALUE"""),18350.0)</f>
        <v>18350</v>
      </c>
      <c r="I188" s="2" t="str">
        <f>IFERROR(__xludf.DUMMYFUNCTION("""COMPUTED_VALUE"""),"KMC5825 ACRFPV0045")</f>
        <v>KMC5825 ACRFPV0045</v>
      </c>
      <c r="J188" s="2" t="str">
        <f>IFERROR(__xludf.DUMMYFUNCTION("""COMPUTED_VALUE"""),"PTS 100220")</f>
        <v>PTS 100220</v>
      </c>
      <c r="K188" s="2" t="str">
        <f>IFERROR(__xludf.DUMMYFUNCTION("""COMPUTED_VALUE"""),"R-SERIES 046 PH")</f>
        <v>R-SERIES 046 PH</v>
      </c>
      <c r="L188" s="2" t="str">
        <f>IFERROR(__xludf.DUMMYFUNCTION("""COMPUTED_VALUE"""),"LSGW1750 RMP 24010035")</f>
        <v>LSGW1750 RMP 24010035</v>
      </c>
      <c r="M188" s="2" t="str">
        <f>IFERROR(__xludf.DUMMYFUNCTION("""COMPUTED_VALUE"""),"WDP40 RMP 24010012")</f>
        <v>WDP40 RMP 24010012</v>
      </c>
      <c r="N188" s="2"/>
      <c r="O188" s="2" t="str">
        <f>IFERROR(__xludf.DUMMYFUNCTION("""COMPUTED_VALUE"""),"Santa Maria")</f>
        <v>Santa Maria</v>
      </c>
      <c r="P188" s="2" t="str">
        <f>IFERROR(__xludf.DUMMYFUNCTION("""COMPUTED_VALUE"""),"Alfonso Lista (Potia)")</f>
        <v>Alfonso Lista (Potia)</v>
      </c>
      <c r="Q188" s="2" t="str">
        <f>IFERROR(__xludf.DUMMYFUNCTION("""COMPUTED_VALUE"""),"Ifugao")</f>
        <v>Ifugao</v>
      </c>
      <c r="R188" s="2" t="str">
        <f>IFERROR(__xludf.DUMMYFUNCTION("""COMPUTED_VALUE"""),"CAR")</f>
        <v>CAR</v>
      </c>
      <c r="S188" s="2"/>
      <c r="T188" s="2"/>
    </row>
    <row r="189">
      <c r="A189" s="1">
        <f>IFERROR(__xludf.DUMMYFUNCTION("""COMPUTED_VALUE"""),187.0)</f>
        <v>187</v>
      </c>
      <c r="B189" s="2" t="str">
        <f>IFERROR(__xludf.DUMMYFUNCTION("""COMPUTED_VALUE"""),"Alpip-Caba-San Irrigators Association Inc.")</f>
        <v>Alpip-Caba-San Irrigators Association Inc.</v>
      </c>
      <c r="C189" s="2" t="str">
        <f>IFERROR(__xludf.DUMMYFUNCTION("""COMPUTED_VALUE"""),"Santo Domingo (Cabicalan), Alfonso Lista (Potia), IFUGAO")</f>
        <v>Santo Domingo (Cabicalan), Alfonso Lista (Potia), IFUGAO</v>
      </c>
      <c r="D189" s="2" t="str">
        <f>IFERROR(__xludf.DUMMYFUNCTION("""COMPUTED_VALUE"""),"Bert P. Kimmayong")</f>
        <v>Bert P. Kimmayong</v>
      </c>
      <c r="E189" s="2" t="str">
        <f>IFERROR(__xludf.DUMMYFUNCTION("""COMPUTED_VALUE"""),"0945-6128-144/0955-4253-473")</f>
        <v>0945-6128-144/0955-4253-473</v>
      </c>
      <c r="F189" s="2" t="str">
        <f>IFERROR(__xludf.DUMMYFUNCTION("""COMPUTED_VALUE"""),"RCEF 23-09-21 Rebidding")</f>
        <v>RCEF 23-09-21 Rebidding</v>
      </c>
      <c r="G189" s="2">
        <f>IFERROR(__xludf.DUMMYFUNCTION("""COMPUTED_VALUE"""),1.0)</f>
        <v>1</v>
      </c>
      <c r="H189" s="2">
        <f>IFERROR(__xludf.DUMMYFUNCTION("""COMPUTED_VALUE"""),18351.0)</f>
        <v>18351</v>
      </c>
      <c r="I189" s="2" t="str">
        <f>IFERROR(__xludf.DUMMYFUNCTION("""COMPUTED_VALUE"""),"KMC5825 APRFPV0002")</f>
        <v>KMC5825 APRFPV0002</v>
      </c>
      <c r="J189" s="2" t="str">
        <f>IFERROR(__xludf.DUMMYFUNCTION("""COMPUTED_VALUE"""),"PTS 100273")</f>
        <v>PTS 100273</v>
      </c>
      <c r="K189" s="2" t="str">
        <f>IFERROR(__xludf.DUMMYFUNCTION("""COMPUTED_VALUE"""),"R-SERIES 045 PH")</f>
        <v>R-SERIES 045 PH</v>
      </c>
      <c r="L189" s="2" t="str">
        <f>IFERROR(__xludf.DUMMYFUNCTION("""COMPUTED_VALUE"""),"LSGW1750 RMP 24010034")</f>
        <v>LSGW1750 RMP 24010034</v>
      </c>
      <c r="M189" s="2" t="str">
        <f>IFERROR(__xludf.DUMMYFUNCTION("""COMPUTED_VALUE"""),"WDP40 RMP 24010024")</f>
        <v>WDP40 RMP 24010024</v>
      </c>
      <c r="N189" s="2"/>
      <c r="O189" s="2" t="str">
        <f>IFERROR(__xludf.DUMMYFUNCTION("""COMPUTED_VALUE"""),"Santo Domingo (Cabicalan)")</f>
        <v>Santo Domingo (Cabicalan)</v>
      </c>
      <c r="P189" s="2" t="str">
        <f>IFERROR(__xludf.DUMMYFUNCTION("""COMPUTED_VALUE"""),"Alfonso Lista (Potia)")</f>
        <v>Alfonso Lista (Potia)</v>
      </c>
      <c r="Q189" s="2" t="str">
        <f>IFERROR(__xludf.DUMMYFUNCTION("""COMPUTED_VALUE"""),"Ifugao")</f>
        <v>Ifugao</v>
      </c>
      <c r="R189" s="2" t="str">
        <f>IFERROR(__xludf.DUMMYFUNCTION("""COMPUTED_VALUE"""),"CAR")</f>
        <v>CAR</v>
      </c>
      <c r="S189" s="2"/>
      <c r="T189" s="2"/>
    </row>
    <row r="190">
      <c r="A190" s="1">
        <f>IFERROR(__xludf.DUMMYFUNCTION("""COMPUTED_VALUE"""),188.0)</f>
        <v>188</v>
      </c>
      <c r="B190" s="2" t="str">
        <f>IFERROR(__xludf.DUMMYFUNCTION("""COMPUTED_VALUE"""),"Salukag Farmers Association")</f>
        <v>Salukag Farmers Association</v>
      </c>
      <c r="C190" s="2" t="str">
        <f>IFERROR(__xludf.DUMMYFUNCTION("""COMPUTED_VALUE"""),"Namnama, Alfonso Lista (Potia), IFUGAO")</f>
        <v>Namnama, Alfonso Lista (Potia), IFUGAO</v>
      </c>
      <c r="D190" s="2" t="str">
        <f>IFERROR(__xludf.DUMMYFUNCTION("""COMPUTED_VALUE"""),"Marites R. Tam-ao")</f>
        <v>Marites R. Tam-ao</v>
      </c>
      <c r="E190" s="2" t="str">
        <f>IFERROR(__xludf.DUMMYFUNCTION("""COMPUTED_VALUE"""),"0919-8716-238")</f>
        <v>0919-8716-238</v>
      </c>
      <c r="F190" s="2" t="str">
        <f>IFERROR(__xludf.DUMMYFUNCTION("""COMPUTED_VALUE"""),"RCEF 23-09-21 Rebidding")</f>
        <v>RCEF 23-09-21 Rebidding</v>
      </c>
      <c r="G190" s="2">
        <f>IFERROR(__xludf.DUMMYFUNCTION("""COMPUTED_VALUE"""),1.0)</f>
        <v>1</v>
      </c>
      <c r="H190" s="2">
        <f>IFERROR(__xludf.DUMMYFUNCTION("""COMPUTED_VALUE"""),18352.0)</f>
        <v>18352</v>
      </c>
      <c r="I190" s="2" t="str">
        <f>IFERROR(__xludf.DUMMYFUNCTION("""COMPUTED_VALUE"""),"KMC5825 AFRFPB0013")</f>
        <v>KMC5825 AFRFPB0013</v>
      </c>
      <c r="J190" s="2" t="str">
        <f>IFERROR(__xludf.DUMMYFUNCTION("""COMPUTED_VALUE"""),"PTS 100280")</f>
        <v>PTS 100280</v>
      </c>
      <c r="K190" s="2" t="str">
        <f>IFERROR(__xludf.DUMMYFUNCTION("""COMPUTED_VALUE"""),"R-SERIES 038 PH")</f>
        <v>R-SERIES 038 PH</v>
      </c>
      <c r="L190" s="2" t="str">
        <f>IFERROR(__xludf.DUMMYFUNCTION("""COMPUTED_VALUE"""),"LSGW1750 RMP 24010042")</f>
        <v>LSGW1750 RMP 24010042</v>
      </c>
      <c r="M190" s="2" t="str">
        <f>IFERROR(__xludf.DUMMYFUNCTION("""COMPUTED_VALUE"""),"WDP40 RMP 24010010")</f>
        <v>WDP40 RMP 24010010</v>
      </c>
      <c r="N190" s="2"/>
      <c r="O190" s="2" t="str">
        <f>IFERROR(__xludf.DUMMYFUNCTION("""COMPUTED_VALUE"""),"Namnama")</f>
        <v>Namnama</v>
      </c>
      <c r="P190" s="2" t="str">
        <f>IFERROR(__xludf.DUMMYFUNCTION("""COMPUTED_VALUE"""),"Alfonso Lista (Potia)")</f>
        <v>Alfonso Lista (Potia)</v>
      </c>
      <c r="Q190" s="2" t="str">
        <f>IFERROR(__xludf.DUMMYFUNCTION("""COMPUTED_VALUE"""),"Ifugao")</f>
        <v>Ifugao</v>
      </c>
      <c r="R190" s="2" t="str">
        <f>IFERROR(__xludf.DUMMYFUNCTION("""COMPUTED_VALUE"""),"CAR")</f>
        <v>CAR</v>
      </c>
      <c r="S190" s="2"/>
      <c r="T190" s="2"/>
    </row>
    <row r="191">
      <c r="A191" s="1">
        <f>IFERROR(__xludf.DUMMYFUNCTION("""COMPUTED_VALUE"""),189.0)</f>
        <v>189</v>
      </c>
      <c r="B191" s="2" t="str">
        <f>IFERROR(__xludf.DUMMYFUNCTION("""COMPUTED_VALUE"""),"Lamut Grassroots Savings and Development Cooperative")</f>
        <v>Lamut Grassroots Savings and Development Cooperative</v>
      </c>
      <c r="C191" s="2" t="str">
        <f>IFERROR(__xludf.DUMMYFUNCTION("""COMPUTED_VALUE"""),"Poblacion East, Lamut, IFUGAO")</f>
        <v>Poblacion East, Lamut, IFUGAO</v>
      </c>
      <c r="D191" s="2" t="str">
        <f>IFERROR(__xludf.DUMMYFUNCTION("""COMPUTED_VALUE"""),"Ferdinand O. Bautista-Chairman/Danilo V. Sera-Manager")</f>
        <v>Ferdinand O. Bautista-Chairman/Danilo V. Sera-Manager</v>
      </c>
      <c r="E191" s="2" t="str">
        <f>IFERROR(__xludf.DUMMYFUNCTION("""COMPUTED_VALUE"""),"09171105531/09171887104")</f>
        <v>09171105531/09171887104</v>
      </c>
      <c r="F191" s="2" t="str">
        <f>IFERROR(__xludf.DUMMYFUNCTION("""COMPUTED_VALUE"""),"RCEF 23-09-21 Rebidding")</f>
        <v>RCEF 23-09-21 Rebidding</v>
      </c>
      <c r="G191" s="2">
        <f>IFERROR(__xludf.DUMMYFUNCTION("""COMPUTED_VALUE"""),1.0)</f>
        <v>1</v>
      </c>
      <c r="H191" s="2">
        <f>IFERROR(__xludf.DUMMYFUNCTION("""COMPUTED_VALUE"""),18353.0)</f>
        <v>18353</v>
      </c>
      <c r="I191" s="2" t="str">
        <f>IFERROR(__xludf.DUMMYFUNCTION("""COMPUTED_VALUE"""),"KMC5825 AVRFPV0555")</f>
        <v>KMC5825 AVRFPV0555</v>
      </c>
      <c r="J191" s="2" t="str">
        <f>IFERROR(__xludf.DUMMYFUNCTION("""COMPUTED_VALUE"""),"RTS 100443")</f>
        <v>RTS 100443</v>
      </c>
      <c r="K191" s="2" t="str">
        <f>IFERROR(__xludf.DUMMYFUNCTION("""COMPUTED_VALUE"""),"WR-SERIES 954 PH")</f>
        <v>WR-SERIES 954 PH</v>
      </c>
      <c r="L191" s="2" t="str">
        <f>IFERROR(__xludf.DUMMYFUNCTION("""COMPUTED_VALUE"""),"LSGW1750 RMP 24010221")</f>
        <v>LSGW1750 RMP 24010221</v>
      </c>
      <c r="M191" s="2" t="str">
        <f>IFERROR(__xludf.DUMMYFUNCTION("""COMPUTED_VALUE"""),"WDP40 RMP 24050566")</f>
        <v>WDP40 RMP 24050566</v>
      </c>
      <c r="N191" s="2"/>
      <c r="O191" s="2" t="str">
        <f>IFERROR(__xludf.DUMMYFUNCTION("""COMPUTED_VALUE"""),"Poblacion East")</f>
        <v>Poblacion East</v>
      </c>
      <c r="P191" s="2" t="str">
        <f>IFERROR(__xludf.DUMMYFUNCTION("""COMPUTED_VALUE"""),"Lamut")</f>
        <v>Lamut</v>
      </c>
      <c r="Q191" s="2" t="str">
        <f>IFERROR(__xludf.DUMMYFUNCTION("""COMPUTED_VALUE"""),"Ifugao")</f>
        <v>Ifugao</v>
      </c>
      <c r="R191" s="2" t="str">
        <f>IFERROR(__xludf.DUMMYFUNCTION("""COMPUTED_VALUE"""),"CAR")</f>
        <v>CAR</v>
      </c>
      <c r="S191" s="2"/>
      <c r="T191" s="2"/>
    </row>
    <row r="192">
      <c r="A192" s="1">
        <f>IFERROR(__xludf.DUMMYFUNCTION("""COMPUTED_VALUE"""),190.0)</f>
        <v>190</v>
      </c>
      <c r="B192" s="2" t="str">
        <f>IFERROR(__xludf.DUMMYFUNCTION("""COMPUTED_VALUE"""),"MALLING PROGRESSIVE FARMERS ASSOCIATION")</f>
        <v>MALLING PROGRESSIVE FARMERS ASSOCIATION</v>
      </c>
      <c r="C192" s="2" t="str">
        <f>IFERROR(__xludf.DUMMYFUNCTION("""COMPUTED_VALUE"""),"Pugol (Ifugao Reservation), Lamut, IFUGAO")</f>
        <v>Pugol (Ifugao Reservation), Lamut, IFUGAO</v>
      </c>
      <c r="D192" s="2" t="str">
        <f>IFERROR(__xludf.DUMMYFUNCTION("""COMPUTED_VALUE"""),"Ramon P. Cabanayan")</f>
        <v>Ramon P. Cabanayan</v>
      </c>
      <c r="E192" s="2" t="str">
        <f>IFERROR(__xludf.DUMMYFUNCTION("""COMPUTED_VALUE"""),"09777823963/09151310699")</f>
        <v>09777823963/09151310699</v>
      </c>
      <c r="F192" s="2" t="str">
        <f>IFERROR(__xludf.DUMMYFUNCTION("""COMPUTED_VALUE"""),"RCEF 23-09-21 Rebidding")</f>
        <v>RCEF 23-09-21 Rebidding</v>
      </c>
      <c r="G192" s="2">
        <f>IFERROR(__xludf.DUMMYFUNCTION("""COMPUTED_VALUE"""),1.0)</f>
        <v>1</v>
      </c>
      <c r="H192" s="2">
        <f>IFERROR(__xludf.DUMMYFUNCTION("""COMPUTED_VALUE"""),18355.0)</f>
        <v>18355</v>
      </c>
      <c r="I192" s="2" t="str">
        <f>IFERROR(__xludf.DUMMYFUNCTION("""COMPUTED_VALUE"""),"KMC5825 AVRFPV0538")</f>
        <v>KMC5825 AVRFPV0538</v>
      </c>
      <c r="J192" s="2" t="str">
        <f>IFERROR(__xludf.DUMMYFUNCTION("""COMPUTED_VALUE"""),"RTS 100445")</f>
        <v>RTS 100445</v>
      </c>
      <c r="K192" s="2" t="str">
        <f>IFERROR(__xludf.DUMMYFUNCTION("""COMPUTED_VALUE"""),"WR-SERIES 965 PH")</f>
        <v>WR-SERIES 965 PH</v>
      </c>
      <c r="L192" s="2" t="str">
        <f>IFERROR(__xludf.DUMMYFUNCTION("""COMPUTED_VALUE"""),"LSGW1750 RMP 24010220")</f>
        <v>LSGW1750 RMP 24010220</v>
      </c>
      <c r="M192" s="2" t="str">
        <f>IFERROR(__xludf.DUMMYFUNCTION("""COMPUTED_VALUE"""),"WDP40 RMP 24050575")</f>
        <v>WDP40 RMP 24050575</v>
      </c>
      <c r="N192" s="2"/>
      <c r="O192" s="2" t="str">
        <f>IFERROR(__xludf.DUMMYFUNCTION("""COMPUTED_VALUE"""),"Pugol (Ifugao Reservation)")</f>
        <v>Pugol (Ifugao Reservation)</v>
      </c>
      <c r="P192" s="2" t="str">
        <f>IFERROR(__xludf.DUMMYFUNCTION("""COMPUTED_VALUE"""),"Lamut")</f>
        <v>Lamut</v>
      </c>
      <c r="Q192" s="2" t="str">
        <f>IFERROR(__xludf.DUMMYFUNCTION("""COMPUTED_VALUE"""),"Ifugao")</f>
        <v>Ifugao</v>
      </c>
      <c r="R192" s="2" t="str">
        <f>IFERROR(__xludf.DUMMYFUNCTION("""COMPUTED_VALUE"""),"CAR")</f>
        <v>CAR</v>
      </c>
      <c r="S192" s="2"/>
      <c r="T192" s="2"/>
    </row>
    <row r="193">
      <c r="A193" s="1">
        <f>IFERROR(__xludf.DUMMYFUNCTION("""COMPUTED_VALUE"""),191.0)</f>
        <v>191</v>
      </c>
      <c r="B193" s="2" t="str">
        <f>IFERROR(__xludf.DUMMYFUNCTION("""COMPUTED_VALUE"""),"Ilucban Agrarian Reform Farmers and Community Organization")</f>
        <v>Ilucban Agrarian Reform Farmers and Community Organization</v>
      </c>
      <c r="C193" s="2" t="str">
        <f>IFERROR(__xludf.DUMMYFUNCTION("""COMPUTED_VALUE"""),"Lucban, Lamut, IFUGAO")</f>
        <v>Lucban, Lamut, IFUGAO</v>
      </c>
      <c r="D193" s="2" t="str">
        <f>IFERROR(__xludf.DUMMYFUNCTION("""COMPUTED_VALUE"""),"John P. Dulinayan")</f>
        <v>John P. Dulinayan</v>
      </c>
      <c r="E193" s="2" t="str">
        <f>IFERROR(__xludf.DUMMYFUNCTION("""COMPUTED_VALUE"""),"0927-9614-916")</f>
        <v>0927-9614-916</v>
      </c>
      <c r="F193" s="2" t="str">
        <f>IFERROR(__xludf.DUMMYFUNCTION("""COMPUTED_VALUE"""),"RCEF 23-09-21 Rebidding")</f>
        <v>RCEF 23-09-21 Rebidding</v>
      </c>
      <c r="G193" s="2">
        <f>IFERROR(__xludf.DUMMYFUNCTION("""COMPUTED_VALUE"""),1.0)</f>
        <v>1</v>
      </c>
      <c r="H193" s="2">
        <f>IFERROR(__xludf.DUMMYFUNCTION("""COMPUTED_VALUE"""),18356.0)</f>
        <v>18356</v>
      </c>
      <c r="I193" s="2" t="str">
        <f>IFERROR(__xludf.DUMMYFUNCTION("""COMPUTED_VALUE"""),"KMC5825 APRFPV0554")</f>
        <v>KMC5825 APRFPV0554</v>
      </c>
      <c r="J193" s="2" t="str">
        <f>IFERROR(__xludf.DUMMYFUNCTION("""COMPUTED_VALUE"""),"RTS 100450")</f>
        <v>RTS 100450</v>
      </c>
      <c r="K193" s="2" t="str">
        <f>IFERROR(__xludf.DUMMYFUNCTION("""COMPUTED_VALUE"""),"WR-SERIES 964 PH")</f>
        <v>WR-SERIES 964 PH</v>
      </c>
      <c r="L193" s="2" t="str">
        <f>IFERROR(__xludf.DUMMYFUNCTION("""COMPUTED_VALUE"""),"LSGW1750 RMP 24010215")</f>
        <v>LSGW1750 RMP 24010215</v>
      </c>
      <c r="M193" s="2" t="str">
        <f>IFERROR(__xludf.DUMMYFUNCTION("""COMPUTED_VALUE"""),"WDP40 RMP 24050559")</f>
        <v>WDP40 RMP 24050559</v>
      </c>
      <c r="N193" s="2"/>
      <c r="O193" s="2" t="str">
        <f>IFERROR(__xludf.DUMMYFUNCTION("""COMPUTED_VALUE"""),"Lucban")</f>
        <v>Lucban</v>
      </c>
      <c r="P193" s="2" t="str">
        <f>IFERROR(__xludf.DUMMYFUNCTION("""COMPUTED_VALUE"""),"Lamut")</f>
        <v>Lamut</v>
      </c>
      <c r="Q193" s="2" t="str">
        <f>IFERROR(__xludf.DUMMYFUNCTION("""COMPUTED_VALUE"""),"Ifugao")</f>
        <v>Ifugao</v>
      </c>
      <c r="R193" s="2" t="str">
        <f>IFERROR(__xludf.DUMMYFUNCTION("""COMPUTED_VALUE"""),"CAR")</f>
        <v>CAR</v>
      </c>
      <c r="S193" s="2"/>
      <c r="T193" s="2"/>
    </row>
    <row r="194">
      <c r="A194" s="1">
        <f>IFERROR(__xludf.DUMMYFUNCTION("""COMPUTED_VALUE"""),192.0)</f>
        <v>192</v>
      </c>
      <c r="B194" s="2" t="str">
        <f>IFERROR(__xludf.DUMMYFUNCTION("""COMPUTED_VALUE"""),"GUMAWISAN MAPACO FARMERS ASSOCIATION")</f>
        <v>GUMAWISAN MAPACO FARMERS ASSOCIATION</v>
      </c>
      <c r="C194" s="2" t="str">
        <f>IFERROR(__xludf.DUMMYFUNCTION("""COMPUTED_VALUE"""),"Mapaco, Pinukpuk, KALINGA")</f>
        <v>Mapaco, Pinukpuk, KALINGA</v>
      </c>
      <c r="D194" s="2" t="str">
        <f>IFERROR(__xludf.DUMMYFUNCTION("""COMPUTED_VALUE"""),"MELVIN-LEE R. MANGWAG")</f>
        <v>MELVIN-LEE R. MANGWAG</v>
      </c>
      <c r="E194" s="2">
        <f>IFERROR(__xludf.DUMMYFUNCTION("""COMPUTED_VALUE"""),9.069310401E9)</f>
        <v>9069310401</v>
      </c>
      <c r="F194" s="2" t="str">
        <f>IFERROR(__xludf.DUMMYFUNCTION("""COMPUTED_VALUE"""),"RCEF 23-09-21 Rebidding")</f>
        <v>RCEF 23-09-21 Rebidding</v>
      </c>
      <c r="G194" s="2">
        <f>IFERROR(__xludf.DUMMYFUNCTION("""COMPUTED_VALUE"""),1.0)</f>
        <v>1</v>
      </c>
      <c r="H194" s="2">
        <f>IFERROR(__xludf.DUMMYFUNCTION("""COMPUTED_VALUE"""),18357.0)</f>
        <v>18357</v>
      </c>
      <c r="I194" s="2" t="str">
        <f>IFERROR(__xludf.DUMMYFUNCTION("""COMPUTED_VALUE"""),"KMC5825 RMP ATRFPV0614")</f>
        <v>KMC5825 RMP ATRFPV0614</v>
      </c>
      <c r="J194" s="2" t="str">
        <f>IFERROR(__xludf.DUMMYFUNCTION("""COMPUTED_VALUE"""),"RTS 100580")</f>
        <v>RTS 100580</v>
      </c>
      <c r="K194" s="2" t="str">
        <f>IFERROR(__xludf.DUMMYFUNCTION("""COMPUTED_VALUE"""),"WR-SERIES 944 PH")</f>
        <v>WR-SERIES 944 PH</v>
      </c>
      <c r="L194" s="2" t="str">
        <f>IFERROR(__xludf.DUMMYFUNCTION("""COMPUTED_VALUE"""),"LSGW1750 RMP 24010207")</f>
        <v>LSGW1750 RMP 24010207</v>
      </c>
      <c r="M194" s="2" t="str">
        <f>IFERROR(__xludf.DUMMYFUNCTION("""COMPUTED_VALUE"""),"WDP40 RMP 24050551")</f>
        <v>WDP40 RMP 24050551</v>
      </c>
      <c r="N194" s="2"/>
      <c r="O194" s="2" t="str">
        <f>IFERROR(__xludf.DUMMYFUNCTION("""COMPUTED_VALUE"""),"Mapaco")</f>
        <v>Mapaco</v>
      </c>
      <c r="P194" s="2" t="str">
        <f>IFERROR(__xludf.DUMMYFUNCTION("""COMPUTED_VALUE"""),"Pinukpuk")</f>
        <v>Pinukpuk</v>
      </c>
      <c r="Q194" s="2" t="str">
        <f>IFERROR(__xludf.DUMMYFUNCTION("""COMPUTED_VALUE"""),"Kalinga")</f>
        <v>Kalinga</v>
      </c>
      <c r="R194" s="2" t="str">
        <f>IFERROR(__xludf.DUMMYFUNCTION("""COMPUTED_VALUE"""),"CAR")</f>
        <v>CAR</v>
      </c>
      <c r="S194" s="2"/>
      <c r="T194" s="2"/>
    </row>
    <row r="195">
      <c r="A195" s="1">
        <f>IFERROR(__xludf.DUMMYFUNCTION("""COMPUTED_VALUE"""),193.0)</f>
        <v>193</v>
      </c>
      <c r="B195" s="2" t="str">
        <f>IFERROR(__xludf.DUMMYFUNCTION("""COMPUTED_VALUE"""),"Mannalon ti Babalag West Farmers Association")</f>
        <v>Mannalon ti Babalag West Farmers Association</v>
      </c>
      <c r="C195" s="2" t="str">
        <f>IFERROR(__xludf.DUMMYFUNCTION("""COMPUTED_VALUE"""),"Babalag West (Pob.), Rizal (Liwan), KALINGA")</f>
        <v>Babalag West (Pob.), Rizal (Liwan), KALINGA</v>
      </c>
      <c r="D195" s="2" t="str">
        <f>IFERROR(__xludf.DUMMYFUNCTION("""COMPUTED_VALUE"""),"Frederick L. Licupa")</f>
        <v>Frederick L. Licupa</v>
      </c>
      <c r="E195" s="2">
        <f>IFERROR(__xludf.DUMMYFUNCTION("""COMPUTED_VALUE"""),9.059734095E9)</f>
        <v>9059734095</v>
      </c>
      <c r="F195" s="2" t="str">
        <f>IFERROR(__xludf.DUMMYFUNCTION("""COMPUTED_VALUE"""),"RCEF 23-09-21 Rebidding")</f>
        <v>RCEF 23-09-21 Rebidding</v>
      </c>
      <c r="G195" s="2">
        <f>IFERROR(__xludf.DUMMYFUNCTION("""COMPUTED_VALUE"""),1.0)</f>
        <v>1</v>
      </c>
      <c r="H195" s="2">
        <f>IFERROR(__xludf.DUMMYFUNCTION("""COMPUTED_VALUE"""),18358.0)</f>
        <v>18358</v>
      </c>
      <c r="I195" s="2" t="str">
        <f>IFERROR(__xludf.DUMMYFUNCTION("""COMPUTED_VALUE"""),"KMC5825 AHRFPV0592")</f>
        <v>KMC5825 AHRFPV0592</v>
      </c>
      <c r="J195" s="2" t="str">
        <f>IFERROR(__xludf.DUMMYFUNCTION("""COMPUTED_VALUE"""),"RTS 100548")</f>
        <v>RTS 100548</v>
      </c>
      <c r="K195" s="2" t="str">
        <f>IFERROR(__xludf.DUMMYFUNCTION("""COMPUTED_VALUE"""),"WR SERIES 800PH")</f>
        <v>WR SERIES 800PH</v>
      </c>
      <c r="L195" s="2" t="str">
        <f>IFERROR(__xludf.DUMMYFUNCTION("""COMPUTED_VALUE"""),"LSGW1750 RMP 24010218")</f>
        <v>LSGW1750 RMP 24010218</v>
      </c>
      <c r="M195" s="2" t="str">
        <f>IFERROR(__xludf.DUMMYFUNCTION("""COMPUTED_VALUE"""),"WDP40 RMP 24050547")</f>
        <v>WDP40 RMP 24050547</v>
      </c>
      <c r="N195" s="2"/>
      <c r="O195" s="2" t="str">
        <f>IFERROR(__xludf.DUMMYFUNCTION("""COMPUTED_VALUE"""),"Babalag West (Pob.)")</f>
        <v>Babalag West (Pob.)</v>
      </c>
      <c r="P195" s="2" t="str">
        <f>IFERROR(__xludf.DUMMYFUNCTION("""COMPUTED_VALUE"""),"Rizal (Liwan)")</f>
        <v>Rizal (Liwan)</v>
      </c>
      <c r="Q195" s="2" t="str">
        <f>IFERROR(__xludf.DUMMYFUNCTION("""COMPUTED_VALUE"""),"Kalinga")</f>
        <v>Kalinga</v>
      </c>
      <c r="R195" s="2" t="str">
        <f>IFERROR(__xludf.DUMMYFUNCTION("""COMPUTED_VALUE"""),"CAR")</f>
        <v>CAR</v>
      </c>
      <c r="S195" s="2"/>
      <c r="T195" s="2"/>
    </row>
    <row r="196">
      <c r="A196" s="1">
        <f>IFERROR(__xludf.DUMMYFUNCTION("""COMPUTED_VALUE"""),194.0)</f>
        <v>194</v>
      </c>
      <c r="B196" s="2" t="str">
        <f>IFERROR(__xludf.DUMMYFUNCTION("""COMPUTED_VALUE"""),"LIWAN EAST FARMERS ASSOCIATION")</f>
        <v>LIWAN EAST FARMERS ASSOCIATION</v>
      </c>
      <c r="C196" s="2" t="str">
        <f>IFERROR(__xludf.DUMMYFUNCTION("""COMPUTED_VALUE"""),"Liwan East, Rizal (Liwan), KALINGA")</f>
        <v>Liwan East, Rizal (Liwan), KALINGA</v>
      </c>
      <c r="D196" s="2" t="str">
        <f>IFERROR(__xludf.DUMMYFUNCTION("""COMPUTED_VALUE"""),"Carmen G. Coteng")</f>
        <v>Carmen G. Coteng</v>
      </c>
      <c r="E196" s="2">
        <f>IFERROR(__xludf.DUMMYFUNCTION("""COMPUTED_VALUE"""),9.566606933E9)</f>
        <v>9566606933</v>
      </c>
      <c r="F196" s="2" t="str">
        <f>IFERROR(__xludf.DUMMYFUNCTION("""COMPUTED_VALUE"""),"RCEF 23-09-21 Rebidding")</f>
        <v>RCEF 23-09-21 Rebidding</v>
      </c>
      <c r="G196" s="2">
        <f>IFERROR(__xludf.DUMMYFUNCTION("""COMPUTED_VALUE"""),1.0)</f>
        <v>1</v>
      </c>
      <c r="H196" s="2">
        <f>IFERROR(__xludf.DUMMYFUNCTION("""COMPUTED_VALUE"""),18359.0)</f>
        <v>18359</v>
      </c>
      <c r="I196" s="2" t="str">
        <f>IFERROR(__xludf.DUMMYFUNCTION("""COMPUTED_VALUE"""),"KMC5825 AHRFPV0558")</f>
        <v>KMC5825 AHRFPV0558</v>
      </c>
      <c r="J196" s="2" t="str">
        <f>IFERROR(__xludf.DUMMYFUNCTION("""COMPUTED_VALUE"""),"RTS 100438")</f>
        <v>RTS 100438</v>
      </c>
      <c r="K196" s="2" t="str">
        <f>IFERROR(__xludf.DUMMYFUNCTION("""COMPUTED_VALUE"""),"WR SERIES 969 PH")</f>
        <v>WR SERIES 969 PH</v>
      </c>
      <c r="L196" s="2" t="str">
        <f>IFERROR(__xludf.DUMMYFUNCTION("""COMPUTED_VALUE"""),"LSGW1750 RMP 24010197")</f>
        <v>LSGW1750 RMP 24010197</v>
      </c>
      <c r="M196" s="2" t="str">
        <f>IFERROR(__xludf.DUMMYFUNCTION("""COMPUTED_VALUE"""),"WDP40 RMP 24050543")</f>
        <v>WDP40 RMP 24050543</v>
      </c>
      <c r="N196" s="2"/>
      <c r="O196" s="2" t="str">
        <f>IFERROR(__xludf.DUMMYFUNCTION("""COMPUTED_VALUE"""),"Liwan East")</f>
        <v>Liwan East</v>
      </c>
      <c r="P196" s="2" t="str">
        <f>IFERROR(__xludf.DUMMYFUNCTION("""COMPUTED_VALUE"""),"Rizal (Liwan)")</f>
        <v>Rizal (Liwan)</v>
      </c>
      <c r="Q196" s="2" t="str">
        <f>IFERROR(__xludf.DUMMYFUNCTION("""COMPUTED_VALUE"""),"Kalinga")</f>
        <v>Kalinga</v>
      </c>
      <c r="R196" s="2" t="str">
        <f>IFERROR(__xludf.DUMMYFUNCTION("""COMPUTED_VALUE"""),"CAR")</f>
        <v>CAR</v>
      </c>
      <c r="S196" s="2"/>
      <c r="T196" s="2"/>
    </row>
    <row r="197">
      <c r="A197" s="1">
        <f>IFERROR(__xludf.DUMMYFUNCTION("""COMPUTED_VALUE"""),195.0)</f>
        <v>195</v>
      </c>
      <c r="B197" s="2" t="str">
        <f>IFERROR(__xludf.DUMMYFUNCTION("""COMPUTED_VALUE"""),"Holy Trinity Cathedral Multipurpose Cooperative")</f>
        <v>Holy Trinity Cathedral Multipurpose Cooperative</v>
      </c>
      <c r="C197" s="2" t="str">
        <f>IFERROR(__xludf.DUMMYFUNCTION("""COMPUTED_VALUE"""),"Bulanao, Tabuk City, KALINGA")</f>
        <v>Bulanao, Tabuk City, KALINGA</v>
      </c>
      <c r="D197" s="2" t="str">
        <f>IFERROR(__xludf.DUMMYFUNCTION("""COMPUTED_VALUE"""),"Graciana D. Tombaga")</f>
        <v>Graciana D. Tombaga</v>
      </c>
      <c r="E197" s="2">
        <f>IFERROR(__xludf.DUMMYFUNCTION("""COMPUTED_VALUE"""),9.204818554E9)</f>
        <v>9204818554</v>
      </c>
      <c r="F197" s="2" t="str">
        <f>IFERROR(__xludf.DUMMYFUNCTION("""COMPUTED_VALUE"""),"RCEF 23-09-21 Rebidding")</f>
        <v>RCEF 23-09-21 Rebidding</v>
      </c>
      <c r="G197" s="2">
        <f>IFERROR(__xludf.DUMMYFUNCTION("""COMPUTED_VALUE"""),1.0)</f>
        <v>1</v>
      </c>
      <c r="H197" s="2">
        <f>IFERROR(__xludf.DUMMYFUNCTION("""COMPUTED_VALUE"""),18360.0)</f>
        <v>18360</v>
      </c>
      <c r="I197" s="2" t="str">
        <f>IFERROR(__xludf.DUMMYFUNCTION("""COMPUTED_VALUE"""),"KMC5825 AJRFPV0570")</f>
        <v>KMC5825 AJRFPV0570</v>
      </c>
      <c r="J197" s="2" t="str">
        <f>IFERROR(__xludf.DUMMYFUNCTION("""COMPUTED_VALUE"""),"RTS 100487")</f>
        <v>RTS 100487</v>
      </c>
      <c r="K197" s="2" t="str">
        <f>IFERROR(__xludf.DUMMYFUNCTION("""COMPUTED_VALUE"""),"WR-SERIES 962 PH")</f>
        <v>WR-SERIES 962 PH</v>
      </c>
      <c r="L197" s="2" t="str">
        <f>IFERROR(__xludf.DUMMYFUNCTION("""COMPUTED_VALUE"""),"LSGW1750 RMP 24010194")</f>
        <v>LSGW1750 RMP 24010194</v>
      </c>
      <c r="M197" s="2" t="str">
        <f>IFERROR(__xludf.DUMMYFUNCTION("""COMPUTED_VALUE"""),"WDP40 RMP 24050541")</f>
        <v>WDP40 RMP 24050541</v>
      </c>
      <c r="N197" s="2"/>
      <c r="O197" s="2" t="str">
        <f>IFERROR(__xludf.DUMMYFUNCTION("""COMPUTED_VALUE"""),"Bulanao")</f>
        <v>Bulanao</v>
      </c>
      <c r="P197" s="2" t="str">
        <f>IFERROR(__xludf.DUMMYFUNCTION("""COMPUTED_VALUE"""),"Tabuk City")</f>
        <v>Tabuk City</v>
      </c>
      <c r="Q197" s="2" t="str">
        <f>IFERROR(__xludf.DUMMYFUNCTION("""COMPUTED_VALUE"""),"Kalinga")</f>
        <v>Kalinga</v>
      </c>
      <c r="R197" s="2" t="str">
        <f>IFERROR(__xludf.DUMMYFUNCTION("""COMPUTED_VALUE"""),"CAR")</f>
        <v>CAR</v>
      </c>
      <c r="S197" s="2"/>
      <c r="T197" s="2"/>
    </row>
    <row r="198">
      <c r="A198" s="1">
        <f>IFERROR(__xludf.DUMMYFUNCTION("""COMPUTED_VALUE"""),196.0)</f>
        <v>196</v>
      </c>
      <c r="B198" s="2" t="str">
        <f>IFERROR(__xludf.DUMMYFUNCTION("""COMPUTED_VALUE"""),"Manggawa farmers Environmental Development Association")</f>
        <v>Manggawa farmers Environmental Development Association</v>
      </c>
      <c r="C198" s="2" t="str">
        <f>IFERROR(__xludf.DUMMYFUNCTION("""COMPUTED_VALUE"""),"New Tanglag, Tabuk City, KALINGA")</f>
        <v>New Tanglag, Tabuk City, KALINGA</v>
      </c>
      <c r="D198" s="2" t="str">
        <f>IFERROR(__xludf.DUMMYFUNCTION("""COMPUTED_VALUE"""),"Wilma C. Alvester")</f>
        <v>Wilma C. Alvester</v>
      </c>
      <c r="E198" s="2">
        <f>IFERROR(__xludf.DUMMYFUNCTION("""COMPUTED_VALUE"""),9.557995356E9)</f>
        <v>9557995356</v>
      </c>
      <c r="F198" s="2" t="str">
        <f>IFERROR(__xludf.DUMMYFUNCTION("""COMPUTED_VALUE"""),"RCEF 23-09-21 Rebidding")</f>
        <v>RCEF 23-09-21 Rebidding</v>
      </c>
      <c r="G198" s="2">
        <f>IFERROR(__xludf.DUMMYFUNCTION("""COMPUTED_VALUE"""),1.0)</f>
        <v>1</v>
      </c>
      <c r="H198" s="2">
        <f>IFERROR(__xludf.DUMMYFUNCTION("""COMPUTED_VALUE"""),18361.0)</f>
        <v>18361</v>
      </c>
      <c r="I198" s="2" t="str">
        <f>IFERROR(__xludf.DUMMYFUNCTION("""COMPUTED_VALUE"""),"KMC5825 AKRFPV0051")</f>
        <v>KMC5825 AKRFPV0051</v>
      </c>
      <c r="J198" s="2" t="str">
        <f>IFERROR(__xludf.DUMMYFUNCTION("""COMPUTED_VALUE"""),"PTS 100196")</f>
        <v>PTS 100196</v>
      </c>
      <c r="K198" s="2" t="str">
        <f>IFERROR(__xludf.DUMMYFUNCTION("""COMPUTED_VALUE"""),"R-SERIES 043 PH")</f>
        <v>R-SERIES 043 PH</v>
      </c>
      <c r="L198" s="2" t="str">
        <f>IFERROR(__xludf.DUMMYFUNCTION("""COMPUTED_VALUE"""),"LSGW1750 RMP 24010043")</f>
        <v>LSGW1750 RMP 24010043</v>
      </c>
      <c r="M198" s="2" t="str">
        <f>IFERROR(__xludf.DUMMYFUNCTION("""COMPUTED_VALUE"""),"WDP40 RMP 24010016")</f>
        <v>WDP40 RMP 24010016</v>
      </c>
      <c r="N198" s="2"/>
      <c r="O198" s="2" t="str">
        <f>IFERROR(__xludf.DUMMYFUNCTION("""COMPUTED_VALUE"""),"New Tanglag")</f>
        <v>New Tanglag</v>
      </c>
      <c r="P198" s="2" t="str">
        <f>IFERROR(__xludf.DUMMYFUNCTION("""COMPUTED_VALUE"""),"Tabuk City")</f>
        <v>Tabuk City</v>
      </c>
      <c r="Q198" s="2" t="str">
        <f>IFERROR(__xludf.DUMMYFUNCTION("""COMPUTED_VALUE"""),"Kalinga")</f>
        <v>Kalinga</v>
      </c>
      <c r="R198" s="2" t="str">
        <f>IFERROR(__xludf.DUMMYFUNCTION("""COMPUTED_VALUE"""),"CAR")</f>
        <v>CAR</v>
      </c>
      <c r="S198" s="2"/>
      <c r="T198" s="2"/>
    </row>
    <row r="199">
      <c r="A199" s="1">
        <f>IFERROR(__xludf.DUMMYFUNCTION("""COMPUTED_VALUE"""),197.0)</f>
        <v>197</v>
      </c>
      <c r="B199" s="2" t="str">
        <f>IFERROR(__xludf.DUMMYFUNCTION("""COMPUTED_VALUE"""),"Marapi-Abaggoy Credit Cooperative")</f>
        <v>Marapi-Abaggoy Credit Cooperative</v>
      </c>
      <c r="C199" s="2" t="str">
        <f>IFERROR(__xludf.DUMMYFUNCTION("""COMPUTED_VALUE"""),"Bulo, Tabuk City, KALINGA")</f>
        <v>Bulo, Tabuk City, KALINGA</v>
      </c>
      <c r="D199" s="2" t="str">
        <f>IFERROR(__xludf.DUMMYFUNCTION("""COMPUTED_VALUE"""),"JOSEPH A. PAGA")</f>
        <v>JOSEPH A. PAGA</v>
      </c>
      <c r="E199" s="2">
        <f>IFERROR(__xludf.DUMMYFUNCTION("""COMPUTED_VALUE"""),9.46530713E9)</f>
        <v>9465307130</v>
      </c>
      <c r="F199" s="2" t="str">
        <f>IFERROR(__xludf.DUMMYFUNCTION("""COMPUTED_VALUE"""),"RCEF 23-09-21 Rebidding")</f>
        <v>RCEF 23-09-21 Rebidding</v>
      </c>
      <c r="G199" s="2">
        <f>IFERROR(__xludf.DUMMYFUNCTION("""COMPUTED_VALUE"""),1.0)</f>
        <v>1</v>
      </c>
      <c r="H199" s="2">
        <f>IFERROR(__xludf.DUMMYFUNCTION("""COMPUTED_VALUE"""),18362.0)</f>
        <v>18362</v>
      </c>
      <c r="I199" s="2" t="str">
        <f>IFERROR(__xludf.DUMMYFUNCTION("""COMPUTED_VALUE"""),"KMC5825 APRFPV0078")</f>
        <v>KMC5825 APRFPV0078</v>
      </c>
      <c r="J199" s="2" t="str">
        <f>IFERROR(__xludf.DUMMYFUNCTION("""COMPUTED_VALUE"""),"PTS 100164")</f>
        <v>PTS 100164</v>
      </c>
      <c r="K199" s="2" t="str">
        <f>IFERROR(__xludf.DUMMYFUNCTION("""COMPUTED_VALUE"""),"R-SERIES 039 PH")</f>
        <v>R-SERIES 039 PH</v>
      </c>
      <c r="L199" s="2" t="str">
        <f>IFERROR(__xludf.DUMMYFUNCTION("""COMPUTED_VALUE"""),"LSGW1750 RMP 24010045")</f>
        <v>LSGW1750 RMP 24010045</v>
      </c>
      <c r="M199" s="2" t="str">
        <f>IFERROR(__xludf.DUMMYFUNCTION("""COMPUTED_VALUE"""),"WDP40 RMP 24010035")</f>
        <v>WDP40 RMP 24010035</v>
      </c>
      <c r="N199" s="2"/>
      <c r="O199" s="2" t="str">
        <f>IFERROR(__xludf.DUMMYFUNCTION("""COMPUTED_VALUE"""),"Bulo")</f>
        <v>Bulo</v>
      </c>
      <c r="P199" s="2" t="str">
        <f>IFERROR(__xludf.DUMMYFUNCTION("""COMPUTED_VALUE"""),"Tabuk City")</f>
        <v>Tabuk City</v>
      </c>
      <c r="Q199" s="2" t="str">
        <f>IFERROR(__xludf.DUMMYFUNCTION("""COMPUTED_VALUE"""),"Kalinga")</f>
        <v>Kalinga</v>
      </c>
      <c r="R199" s="2" t="str">
        <f>IFERROR(__xludf.DUMMYFUNCTION("""COMPUTED_VALUE"""),"CAR")</f>
        <v>CAR</v>
      </c>
      <c r="S199" s="2"/>
      <c r="T199" s="2"/>
    </row>
    <row r="200">
      <c r="A200" s="1">
        <f>IFERROR(__xludf.DUMMYFUNCTION("""COMPUTED_VALUE"""),198.0)</f>
        <v>198</v>
      </c>
      <c r="B200" s="2" t="str">
        <f>IFERROR(__xludf.DUMMYFUNCTION("""COMPUTED_VALUE"""),"PUR Credit Cooperative")</f>
        <v>PUR Credit Cooperative</v>
      </c>
      <c r="C200" s="2" t="str">
        <f>IFERROR(__xludf.DUMMYFUNCTION("""COMPUTED_VALUE"""),"Dilag, Tabuk City, KALINGA")</f>
        <v>Dilag, Tabuk City, KALINGA</v>
      </c>
      <c r="D200" s="2" t="str">
        <f>IFERROR(__xludf.DUMMYFUNCTION("""COMPUTED_VALUE"""),"FELIPE P. WASSIG")</f>
        <v>FELIPE P. WASSIG</v>
      </c>
      <c r="E200" s="2">
        <f>IFERROR(__xludf.DUMMYFUNCTION("""COMPUTED_VALUE"""),9.550278254E9)</f>
        <v>9550278254</v>
      </c>
      <c r="F200" s="2" t="str">
        <f>IFERROR(__xludf.DUMMYFUNCTION("""COMPUTED_VALUE"""),"RCEF 23-09-21 Rebidding")</f>
        <v>RCEF 23-09-21 Rebidding</v>
      </c>
      <c r="G200" s="2">
        <f>IFERROR(__xludf.DUMMYFUNCTION("""COMPUTED_VALUE"""),1.0)</f>
        <v>1</v>
      </c>
      <c r="H200" s="2">
        <f>IFERROR(__xludf.DUMMYFUNCTION("""COMPUTED_VALUE"""),18363.0)</f>
        <v>18363</v>
      </c>
      <c r="I200" s="2" t="str">
        <f>IFERROR(__xludf.DUMMYFUNCTION("""COMPUTED_VALUE"""),"KMC5825 ALRFPV0087")</f>
        <v>KMC5825 ALRFPV0087</v>
      </c>
      <c r="J200" s="2" t="str">
        <f>IFERROR(__xludf.DUMMYFUNCTION("""COMPUTED_VALUE"""),"PTS 100277")</f>
        <v>PTS 100277</v>
      </c>
      <c r="K200" s="2" t="str">
        <f>IFERROR(__xludf.DUMMYFUNCTION("""COMPUTED_VALUE"""),"R-SERIES 037 PH")</f>
        <v>R-SERIES 037 PH</v>
      </c>
      <c r="L200" s="2" t="str">
        <f>IFERROR(__xludf.DUMMYFUNCTION("""COMPUTED_VALUE"""),"LSGW1750 RMP 24010010")</f>
        <v>LSGW1750 RMP 24010010</v>
      </c>
      <c r="M200" s="2" t="str">
        <f>IFERROR(__xludf.DUMMYFUNCTION("""COMPUTED_VALUE"""),"WDP40 RMP 24010009")</f>
        <v>WDP40 RMP 24010009</v>
      </c>
      <c r="N200" s="2"/>
      <c r="O200" s="2" t="str">
        <f>IFERROR(__xludf.DUMMYFUNCTION("""COMPUTED_VALUE"""),"Dilag")</f>
        <v>Dilag</v>
      </c>
      <c r="P200" s="2" t="str">
        <f>IFERROR(__xludf.DUMMYFUNCTION("""COMPUTED_VALUE"""),"Tabuk City")</f>
        <v>Tabuk City</v>
      </c>
      <c r="Q200" s="2" t="str">
        <f>IFERROR(__xludf.DUMMYFUNCTION("""COMPUTED_VALUE"""),"Kalinga")</f>
        <v>Kalinga</v>
      </c>
      <c r="R200" s="2" t="str">
        <f>IFERROR(__xludf.DUMMYFUNCTION("""COMPUTED_VALUE"""),"CAR")</f>
        <v>CAR</v>
      </c>
      <c r="S200" s="2"/>
      <c r="T200" s="2"/>
    </row>
    <row r="201">
      <c r="A201" s="1">
        <f>IFERROR(__xludf.DUMMYFUNCTION("""COMPUTED_VALUE"""),199.0)</f>
        <v>199</v>
      </c>
      <c r="B201" s="2" t="str">
        <f>IFERROR(__xludf.DUMMYFUNCTION("""COMPUTED_VALUE"""),"SAGPAT FARMERS ASSOCIATION")</f>
        <v>SAGPAT FARMERS ASSOCIATION</v>
      </c>
      <c r="C201" s="2" t="str">
        <f>IFERROR(__xludf.DUMMYFUNCTION("""COMPUTED_VALUE"""),"Appas, Tabuk City, KALINGA")</f>
        <v>Appas, Tabuk City, KALINGA</v>
      </c>
      <c r="D201" s="2" t="str">
        <f>IFERROR(__xludf.DUMMYFUNCTION("""COMPUTED_VALUE"""),"MARVIN B. APITA")</f>
        <v>MARVIN B. APITA</v>
      </c>
      <c r="E201" s="2">
        <f>IFERROR(__xludf.DUMMYFUNCTION("""COMPUTED_VALUE"""),9.293368533E9)</f>
        <v>9293368533</v>
      </c>
      <c r="F201" s="2" t="str">
        <f>IFERROR(__xludf.DUMMYFUNCTION("""COMPUTED_VALUE"""),"RCEF 23-09-21 Rebidding")</f>
        <v>RCEF 23-09-21 Rebidding</v>
      </c>
      <c r="G201" s="2">
        <f>IFERROR(__xludf.DUMMYFUNCTION("""COMPUTED_VALUE"""),1.0)</f>
        <v>1</v>
      </c>
      <c r="H201" s="2">
        <f>IFERROR(__xludf.DUMMYFUNCTION("""COMPUTED_VALUE"""),18364.0)</f>
        <v>18364</v>
      </c>
      <c r="I201" s="2" t="str">
        <f>IFERROR(__xludf.DUMMYFUNCTION("""COMPUTED_VALUE"""),"KMC5825 ACRFPV0084")</f>
        <v>KMC5825 ACRFPV0084</v>
      </c>
      <c r="J201" s="2" t="str">
        <f>IFERROR(__xludf.DUMMYFUNCTION("""COMPUTED_VALUE"""),"PTS 100185")</f>
        <v>PTS 100185</v>
      </c>
      <c r="K201" s="2" t="str">
        <f>IFERROR(__xludf.DUMMYFUNCTION("""COMPUTED_VALUE"""),"R-SERIES 050 PH")</f>
        <v>R-SERIES 050 PH</v>
      </c>
      <c r="L201" s="2" t="str">
        <f>IFERROR(__xludf.DUMMYFUNCTION("""COMPUTED_VALUE"""),"LSGW1750 RMP 24010044")</f>
        <v>LSGW1750 RMP 24010044</v>
      </c>
      <c r="M201" s="2" t="str">
        <f>IFERROR(__xludf.DUMMYFUNCTION("""COMPUTED_VALUE"""),"WDP40 RMP 24010008")</f>
        <v>WDP40 RMP 24010008</v>
      </c>
      <c r="N201" s="2"/>
      <c r="O201" s="2" t="str">
        <f>IFERROR(__xludf.DUMMYFUNCTION("""COMPUTED_VALUE"""),"Appas")</f>
        <v>Appas</v>
      </c>
      <c r="P201" s="2" t="str">
        <f>IFERROR(__xludf.DUMMYFUNCTION("""COMPUTED_VALUE"""),"Tabuk City")</f>
        <v>Tabuk City</v>
      </c>
      <c r="Q201" s="2" t="str">
        <f>IFERROR(__xludf.DUMMYFUNCTION("""COMPUTED_VALUE"""),"Kalinga")</f>
        <v>Kalinga</v>
      </c>
      <c r="R201" s="2" t="str">
        <f>IFERROR(__xludf.DUMMYFUNCTION("""COMPUTED_VALUE"""),"CAR")</f>
        <v>CAR</v>
      </c>
      <c r="S201" s="2"/>
      <c r="T201" s="2"/>
    </row>
    <row r="202">
      <c r="A202" s="1">
        <f>IFERROR(__xludf.DUMMYFUNCTION("""COMPUTED_VALUE"""),200.0)</f>
        <v>200</v>
      </c>
      <c r="B202" s="2" t="str">
        <f>IFERROR(__xludf.DUMMYFUNCTION("""COMPUTED_VALUE"""),"ANDARAYAN CANTOR SMALL WATER IRRIGATION SYSTEM ASSOCIATION")</f>
        <v>ANDARAYAN CANTOR SMALL WATER IRRIGATION SYSTEM ASSOCIATION</v>
      </c>
      <c r="C202" s="2" t="str">
        <f>IFERROR(__xludf.DUMMYFUNCTION("""COMPUTED_VALUE"""),"SANTOR, RIZAL., KALINGA")</f>
        <v>SANTOR, RIZAL., KALINGA</v>
      </c>
      <c r="D202" s="2" t="str">
        <f>IFERROR(__xludf.DUMMYFUNCTION("""COMPUTED_VALUE"""),"#N/A")</f>
        <v>#N/A</v>
      </c>
      <c r="E202" s="2" t="str">
        <f>IFERROR(__xludf.DUMMYFUNCTION("""COMPUTED_VALUE"""),"#N/A")</f>
        <v>#N/A</v>
      </c>
      <c r="F202" s="2" t="str">
        <f>IFERROR(__xludf.DUMMYFUNCTION("""COMPUTED_VALUE"""),"RCEF 23-09-21 Rebidding")</f>
        <v>RCEF 23-09-21 Rebidding</v>
      </c>
      <c r="G202" s="2">
        <f>IFERROR(__xludf.DUMMYFUNCTION("""COMPUTED_VALUE"""),1.0)</f>
        <v>1</v>
      </c>
      <c r="H202" s="2">
        <f>IFERROR(__xludf.DUMMYFUNCTION("""COMPUTED_VALUE"""),18365.0)</f>
        <v>18365</v>
      </c>
      <c r="I202" s="2" t="str">
        <f>IFERROR(__xludf.DUMMYFUNCTION("""COMPUTED_VALUE"""),"KMC5825ALRFPV0302")</f>
        <v>KMC5825ALRFPV0302</v>
      </c>
      <c r="J202" s="2" t="str">
        <f>IFERROR(__xludf.DUMMYFUNCTION("""COMPUTED_VALUE"""),"RTS100186")</f>
        <v>RTS100186</v>
      </c>
      <c r="K202" s="2" t="str">
        <f>IFERROR(__xludf.DUMMYFUNCTION("""COMPUTED_VALUE"""),"R-SERIES 813PH")</f>
        <v>R-SERIES 813PH</v>
      </c>
      <c r="L202" s="2" t="str">
        <f>IFERROR(__xludf.DUMMYFUNCTION("""COMPUTED_VALUE"""),"LSGW 1750 RMP 24010203")</f>
        <v>LSGW 1750 RMP 24010203</v>
      </c>
      <c r="M202" s="2" t="str">
        <f>IFERROR(__xludf.DUMMYFUNCTION("""COMPUTED_VALUE"""),"WDP40-24050572")</f>
        <v>WDP40-24050572</v>
      </c>
      <c r="N202" s="2"/>
      <c r="O202" s="2" t="str">
        <f>IFERROR(__xludf.DUMMYFUNCTION("""COMPUTED_VALUE"""),"Santor")</f>
        <v>Santor</v>
      </c>
      <c r="P202" s="2" t="str">
        <f>IFERROR(__xludf.DUMMYFUNCTION("""COMPUTED_VALUE"""),"Rizal.")</f>
        <v>Rizal.</v>
      </c>
      <c r="Q202" s="2" t="str">
        <f>IFERROR(__xludf.DUMMYFUNCTION("""COMPUTED_VALUE"""),"Kalinga")</f>
        <v>Kalinga</v>
      </c>
      <c r="R202" s="2" t="str">
        <f>IFERROR(__xludf.DUMMYFUNCTION("""COMPUTED_VALUE"""),"CAR")</f>
        <v>CAR</v>
      </c>
      <c r="S202" s="2"/>
      <c r="T202" s="2"/>
    </row>
    <row r="203">
      <c r="A203" s="1">
        <f>IFERROR(__xludf.DUMMYFUNCTION("""COMPUTED_VALUE"""),201.0)</f>
        <v>201</v>
      </c>
      <c r="B203" s="2" t="str">
        <f>IFERROR(__xludf.DUMMYFUNCTION("""COMPUTED_VALUE"""),"TABESUMA CHA ASSOCIATION")</f>
        <v>TABESUMA CHA ASSOCIATION</v>
      </c>
      <c r="C203" s="2" t="str">
        <f>IFERROR(__xludf.DUMMYFUNCTION("""COMPUTED_VALUE"""),"Lacnog West, Tabuk City, KALINGA")</f>
        <v>Lacnog West, Tabuk City, KALINGA</v>
      </c>
      <c r="D203" s="2" t="str">
        <f>IFERROR(__xludf.DUMMYFUNCTION("""COMPUTED_VALUE"""),"Antonio T. Angli")</f>
        <v>Antonio T. Angli</v>
      </c>
      <c r="E203" s="2">
        <f>IFERROR(__xludf.DUMMYFUNCTION("""COMPUTED_VALUE"""),9.06176799E9)</f>
        <v>9061767990</v>
      </c>
      <c r="F203" s="2" t="str">
        <f>IFERROR(__xludf.DUMMYFUNCTION("""COMPUTED_VALUE"""),"RCEF 23-09-21 Rebidding")</f>
        <v>RCEF 23-09-21 Rebidding</v>
      </c>
      <c r="G203" s="2">
        <f>IFERROR(__xludf.DUMMYFUNCTION("""COMPUTED_VALUE"""),1.0)</f>
        <v>1</v>
      </c>
      <c r="H203" s="2">
        <f>IFERROR(__xludf.DUMMYFUNCTION("""COMPUTED_VALUE"""),18366.0)</f>
        <v>18366</v>
      </c>
      <c r="I203" s="2" t="str">
        <f>IFERROR(__xludf.DUMMYFUNCTION("""COMPUTED_VALUE"""),"KMC5825 AKRFPV0129")</f>
        <v>KMC5825 AKRFPV0129</v>
      </c>
      <c r="J203" s="2" t="str">
        <f>IFERROR(__xludf.DUMMYFUNCTION("""COMPUTED_VALUE"""),"PTS 100261")</f>
        <v>PTS 100261</v>
      </c>
      <c r="K203" s="2" t="str">
        <f>IFERROR(__xludf.DUMMYFUNCTION("""COMPUTED_VALUE"""),"R-SERIES 041 PH")</f>
        <v>R-SERIES 041 PH</v>
      </c>
      <c r="L203" s="2" t="str">
        <f>IFERROR(__xludf.DUMMYFUNCTION("""COMPUTED_VALUE"""),"LSGW1750 RMP 24010041")</f>
        <v>LSGW1750 RMP 24010041</v>
      </c>
      <c r="M203" s="2" t="str">
        <f>IFERROR(__xludf.DUMMYFUNCTION("""COMPUTED_VALUE"""),"WDP40 RMP 24010017")</f>
        <v>WDP40 RMP 24010017</v>
      </c>
      <c r="N203" s="2"/>
      <c r="O203" s="2" t="str">
        <f>IFERROR(__xludf.DUMMYFUNCTION("""COMPUTED_VALUE"""),"Lacnog West")</f>
        <v>Lacnog West</v>
      </c>
      <c r="P203" s="2" t="str">
        <f>IFERROR(__xludf.DUMMYFUNCTION("""COMPUTED_VALUE"""),"Tabuk City")</f>
        <v>Tabuk City</v>
      </c>
      <c r="Q203" s="2" t="str">
        <f>IFERROR(__xludf.DUMMYFUNCTION("""COMPUTED_VALUE"""),"Kalinga")</f>
        <v>Kalinga</v>
      </c>
      <c r="R203" s="2" t="str">
        <f>IFERROR(__xludf.DUMMYFUNCTION("""COMPUTED_VALUE"""),"CAR")</f>
        <v>CAR</v>
      </c>
      <c r="S203" s="2"/>
      <c r="T203" s="2"/>
    </row>
    <row r="204">
      <c r="A204" s="1">
        <f>IFERROR(__xludf.DUMMYFUNCTION("""COMPUTED_VALUE"""),202.0)</f>
        <v>202</v>
      </c>
      <c r="B204" s="2" t="str">
        <f>IFERROR(__xludf.DUMMYFUNCTION("""COMPUTED_VALUE"""),"Tabuk Farmers Multipurpose Cooperative")</f>
        <v>Tabuk Farmers Multipurpose Cooperative</v>
      </c>
      <c r="C204" s="2" t="str">
        <f>IFERROR(__xludf.DUMMYFUNCTION("""COMPUTED_VALUE"""),"Casigayan, Tabuk City, KALINGA")</f>
        <v>Casigayan, Tabuk City, KALINGA</v>
      </c>
      <c r="D204" s="2" t="str">
        <f>IFERROR(__xludf.DUMMYFUNCTION("""COMPUTED_VALUE"""),"Mary Jean Ella")</f>
        <v>Mary Jean Ella</v>
      </c>
      <c r="E204" s="2">
        <f>IFERROR(__xludf.DUMMYFUNCTION("""COMPUTED_VALUE"""),9.168978026E9)</f>
        <v>9168978026</v>
      </c>
      <c r="F204" s="2" t="str">
        <f>IFERROR(__xludf.DUMMYFUNCTION("""COMPUTED_VALUE"""),"RCEF 23-09-21 Rebidding")</f>
        <v>RCEF 23-09-21 Rebidding</v>
      </c>
      <c r="G204" s="2">
        <f>IFERROR(__xludf.DUMMYFUNCTION("""COMPUTED_VALUE"""),1.0)</f>
        <v>1</v>
      </c>
      <c r="H204" s="2">
        <f>IFERROR(__xludf.DUMMYFUNCTION("""COMPUTED_VALUE"""),18367.0)</f>
        <v>18367</v>
      </c>
      <c r="I204" s="2" t="str">
        <f>IFERROR(__xludf.DUMMYFUNCTION("""COMPUTED_VALUE"""),"KMC5825 ARRFPV0044")</f>
        <v>KMC5825 ARRFPV0044</v>
      </c>
      <c r="J204" s="2" t="str">
        <f>IFERROR(__xludf.DUMMYFUNCTION("""COMPUTED_VALUE"""),"PTS 100199")</f>
        <v>PTS 100199</v>
      </c>
      <c r="K204" s="2" t="str">
        <f>IFERROR(__xludf.DUMMYFUNCTION("""COMPUTED_VALUE"""),"R-SERIES 049 PH")</f>
        <v>R-SERIES 049 PH</v>
      </c>
      <c r="L204" s="2" t="str">
        <f>IFERROR(__xludf.DUMMYFUNCTION("""COMPUTED_VALUE"""),"LSGW1750 RMP 24010009")</f>
        <v>LSGW1750 RMP 24010009</v>
      </c>
      <c r="M204" s="2" t="str">
        <f>IFERROR(__xludf.DUMMYFUNCTION("""COMPUTED_VALUE"""),"WDP40 RMP 24010015")</f>
        <v>WDP40 RMP 24010015</v>
      </c>
      <c r="N204" s="2"/>
      <c r="O204" s="2" t="str">
        <f>IFERROR(__xludf.DUMMYFUNCTION("""COMPUTED_VALUE"""),"Casigayan")</f>
        <v>Casigayan</v>
      </c>
      <c r="P204" s="2" t="str">
        <f>IFERROR(__xludf.DUMMYFUNCTION("""COMPUTED_VALUE"""),"Tabuk City")</f>
        <v>Tabuk City</v>
      </c>
      <c r="Q204" s="2" t="str">
        <f>IFERROR(__xludf.DUMMYFUNCTION("""COMPUTED_VALUE"""),"Kalinga")</f>
        <v>Kalinga</v>
      </c>
      <c r="R204" s="2" t="str">
        <f>IFERROR(__xludf.DUMMYFUNCTION("""COMPUTED_VALUE"""),"CAR")</f>
        <v>CAR</v>
      </c>
      <c r="S204" s="2"/>
      <c r="T204" s="2"/>
    </row>
    <row r="205">
      <c r="A205" s="1">
        <f>IFERROR(__xludf.DUMMYFUNCTION("""COMPUTED_VALUE"""),203.0)</f>
        <v>203</v>
      </c>
      <c r="B205" s="2" t="str">
        <f>IFERROR(__xludf.DUMMYFUNCTION("""COMPUTED_VALUE"""),"Saint Jerome's Parish Multi-purpose Cooperative")</f>
        <v>Saint Jerome's Parish Multi-purpose Cooperative</v>
      </c>
      <c r="C205" s="2" t="str">
        <f>IFERROR(__xludf.DUMMYFUNCTION("""COMPUTED_VALUE"""),"San Geronimo (Pob.), Bagabag, NUEVA VIZCAYA")</f>
        <v>San Geronimo (Pob.), Bagabag, NUEVA VIZCAYA</v>
      </c>
      <c r="D205" s="2" t="str">
        <f>IFERROR(__xludf.DUMMYFUNCTION("""COMPUTED_VALUE"""),"Benedicta D. Dela Peña")</f>
        <v>Benedicta D. Dela Peña</v>
      </c>
      <c r="E205" s="2">
        <f>IFERROR(__xludf.DUMMYFUNCTION("""COMPUTED_VALUE"""),9.171600264E9)</f>
        <v>9171600264</v>
      </c>
      <c r="F205" s="2" t="str">
        <f>IFERROR(__xludf.DUMMYFUNCTION("""COMPUTED_VALUE"""),"RCEF 23-09-21 Rebidding")</f>
        <v>RCEF 23-09-21 Rebidding</v>
      </c>
      <c r="G205" s="2">
        <f>IFERROR(__xludf.DUMMYFUNCTION("""COMPUTED_VALUE"""),9.0)</f>
        <v>9</v>
      </c>
      <c r="H205" s="2">
        <f>IFERROR(__xludf.DUMMYFUNCTION("""COMPUTED_VALUE"""),18504.0)</f>
        <v>18504</v>
      </c>
      <c r="I205" s="2" t="str">
        <f>IFERROR(__xludf.DUMMYFUNCTION("""COMPUTED_VALUE"""),"KMC5825 AHRFPV0026")</f>
        <v>KMC5825 AHRFPV0026</v>
      </c>
      <c r="J205" s="2" t="str">
        <f>IFERROR(__xludf.DUMMYFUNCTION("""COMPUTED_VALUE"""),"PTS 100264")</f>
        <v>PTS 100264</v>
      </c>
      <c r="K205" s="2" t="str">
        <f>IFERROR(__xludf.DUMMYFUNCTION("""COMPUTED_VALUE"""),"R-SERIES 178 PH")</f>
        <v>R-SERIES 178 PH</v>
      </c>
      <c r="L205" s="2" t="str">
        <f>IFERROR(__xludf.DUMMYFUNCTION("""COMPUTED_VALUE"""),"LSGW1750 RMP 24010039")</f>
        <v>LSGW1750 RMP 24010039</v>
      </c>
      <c r="M205" s="2" t="str">
        <f>IFERROR(__xludf.DUMMYFUNCTION("""COMPUTED_VALUE"""),"WDP40 RMP 24010045")</f>
        <v>WDP40 RMP 24010045</v>
      </c>
      <c r="N205" s="2"/>
      <c r="O205" s="2" t="str">
        <f>IFERROR(__xludf.DUMMYFUNCTION("""COMPUTED_VALUE"""),"San Geronimo (Pob.)")</f>
        <v>San Geronimo (Pob.)</v>
      </c>
      <c r="P205" s="2" t="str">
        <f>IFERROR(__xludf.DUMMYFUNCTION("""COMPUTED_VALUE"""),"Bagabag")</f>
        <v>Bagabag</v>
      </c>
      <c r="Q205" s="2" t="str">
        <f>IFERROR(__xludf.DUMMYFUNCTION("""COMPUTED_VALUE"""),"Nueva Vizcaya")</f>
        <v>Nueva Vizcaya</v>
      </c>
      <c r="R205" s="2">
        <f>IFERROR(__xludf.DUMMYFUNCTION("""COMPUTED_VALUE"""),2.0)</f>
        <v>2</v>
      </c>
      <c r="S205" s="2"/>
      <c r="T205" s="2"/>
    </row>
    <row r="206">
      <c r="A206" s="1">
        <f>IFERROR(__xludf.DUMMYFUNCTION("""COMPUTED_VALUE"""),204.0)</f>
        <v>204</v>
      </c>
      <c r="B206" s="2" t="str">
        <f>IFERROR(__xludf.DUMMYFUNCTION("""COMPUTED_VALUE"""),"Lower Bangaan Solano Irrigators Association, Inc.")</f>
        <v>Lower Bangaan Solano Irrigators Association, Inc.</v>
      </c>
      <c r="C206" s="2" t="str">
        <f>IFERROR(__xludf.DUMMYFUNCTION("""COMPUTED_VALUE"""),"Bangaan, Solano, NUEVA VIZCAYA")</f>
        <v>Bangaan, Solano, NUEVA VIZCAYA</v>
      </c>
      <c r="D206" s="2" t="str">
        <f>IFERROR(__xludf.DUMMYFUNCTION("""COMPUTED_VALUE"""),"Freddie G. Bacud")</f>
        <v>Freddie G. Bacud</v>
      </c>
      <c r="E206" s="2">
        <f>IFERROR(__xludf.DUMMYFUNCTION("""COMPUTED_VALUE"""),9.650826661E9)</f>
        <v>9650826661</v>
      </c>
      <c r="F206" s="2" t="str">
        <f>IFERROR(__xludf.DUMMYFUNCTION("""COMPUTED_VALUE"""),"RCEF 23-09-21 Rebidding")</f>
        <v>RCEF 23-09-21 Rebidding</v>
      </c>
      <c r="G206" s="2">
        <f>IFERROR(__xludf.DUMMYFUNCTION("""COMPUTED_VALUE"""),9.0)</f>
        <v>9</v>
      </c>
      <c r="H206" s="2">
        <f>IFERROR(__xludf.DUMMYFUNCTION("""COMPUTED_VALUE"""),18505.0)</f>
        <v>18505</v>
      </c>
      <c r="I206" s="2" t="str">
        <f>IFERROR(__xludf.DUMMYFUNCTION("""COMPUTED_VALUE"""),"KMC5825 ALRFPV0090")</f>
        <v>KMC5825 ALRFPV0090</v>
      </c>
      <c r="J206" s="2" t="str">
        <f>IFERROR(__xludf.DUMMYFUNCTION("""COMPUTED_VALUE"""),"PTS 100209")</f>
        <v>PTS 100209</v>
      </c>
      <c r="K206" s="2" t="str">
        <f>IFERROR(__xludf.DUMMYFUNCTION("""COMPUTED_VALUE"""),"R-SERIES 176 PH")</f>
        <v>R-SERIES 176 PH</v>
      </c>
      <c r="L206" s="2" t="str">
        <f>IFERROR(__xludf.DUMMYFUNCTION("""COMPUTED_VALUE"""),"LSGW1750 RMP 24010090")</f>
        <v>LSGW1750 RMP 24010090</v>
      </c>
      <c r="M206" s="2" t="str">
        <f>IFERROR(__xludf.DUMMYFUNCTION("""COMPUTED_VALUE"""),"WDP40 RMP 24010059")</f>
        <v>WDP40 RMP 24010059</v>
      </c>
      <c r="N206" s="2"/>
      <c r="O206" s="2" t="str">
        <f>IFERROR(__xludf.DUMMYFUNCTION("""COMPUTED_VALUE"""),"Bangaan")</f>
        <v>Bangaan</v>
      </c>
      <c r="P206" s="2" t="str">
        <f>IFERROR(__xludf.DUMMYFUNCTION("""COMPUTED_VALUE"""),"Solano")</f>
        <v>Solano</v>
      </c>
      <c r="Q206" s="2" t="str">
        <f>IFERROR(__xludf.DUMMYFUNCTION("""COMPUTED_VALUE"""),"Nueva Vizcaya")</f>
        <v>Nueva Vizcaya</v>
      </c>
      <c r="R206" s="2">
        <f>IFERROR(__xludf.DUMMYFUNCTION("""COMPUTED_VALUE"""),2.0)</f>
        <v>2</v>
      </c>
      <c r="S206" s="2"/>
      <c r="T206" s="2"/>
    </row>
    <row r="207">
      <c r="A207" s="1">
        <f>IFERROR(__xludf.DUMMYFUNCTION("""COMPUTED_VALUE"""),205.0)</f>
        <v>205</v>
      </c>
      <c r="B207" s="2" t="str">
        <f>IFERROR(__xludf.DUMMYFUNCTION("""COMPUTED_VALUE"""),"Magarang Bagahabag Lower Moton Irrigators Association Inc.")</f>
        <v>Magarang Bagahabag Lower Moton Irrigators Association Inc.</v>
      </c>
      <c r="C207" s="2" t="str">
        <f>IFERROR(__xludf.DUMMYFUNCTION("""COMPUTED_VALUE"""),"Bagahabag, Solano, NUEVA VIZCAYA")</f>
        <v>Bagahabag, Solano, NUEVA VIZCAYA</v>
      </c>
      <c r="D207" s="2" t="str">
        <f>IFERROR(__xludf.DUMMYFUNCTION("""COMPUTED_VALUE"""),"Nestor P. Nicolas")</f>
        <v>Nestor P. Nicolas</v>
      </c>
      <c r="E207" s="2">
        <f>IFERROR(__xludf.DUMMYFUNCTION("""COMPUTED_VALUE"""),9.062689966E9)</f>
        <v>9062689966</v>
      </c>
      <c r="F207" s="2" t="str">
        <f>IFERROR(__xludf.DUMMYFUNCTION("""COMPUTED_VALUE"""),"RCEF 23-09-21 Rebidding")</f>
        <v>RCEF 23-09-21 Rebidding</v>
      </c>
      <c r="G207" s="2">
        <f>IFERROR(__xludf.DUMMYFUNCTION("""COMPUTED_VALUE"""),9.0)</f>
        <v>9</v>
      </c>
      <c r="H207" s="2">
        <f>IFERROR(__xludf.DUMMYFUNCTION("""COMPUTED_VALUE"""),18506.0)</f>
        <v>18506</v>
      </c>
      <c r="I207" s="2" t="str">
        <f>IFERROR(__xludf.DUMMYFUNCTION("""COMPUTED_VALUE"""),"KMC5825 ALRFPV0025")</f>
        <v>KMC5825 ALRFPV0025</v>
      </c>
      <c r="J207" s="2" t="str">
        <f>IFERROR(__xludf.DUMMYFUNCTION("""COMPUTED_VALUE"""),"PTS 100292")</f>
        <v>PTS 100292</v>
      </c>
      <c r="K207" s="2" t="str">
        <f>IFERROR(__xludf.DUMMYFUNCTION("""COMPUTED_VALUE"""),"R-SERIES 175 PH")</f>
        <v>R-SERIES 175 PH</v>
      </c>
      <c r="L207" s="2" t="str">
        <f>IFERROR(__xludf.DUMMYFUNCTION("""COMPUTED_VALUE"""),"LSGW1750 RMP 24010058")</f>
        <v>LSGW1750 RMP 24010058</v>
      </c>
      <c r="M207" s="2" t="str">
        <f>IFERROR(__xludf.DUMMYFUNCTION("""COMPUTED_VALUE"""),"WDP40 RMP 24010048")</f>
        <v>WDP40 RMP 24010048</v>
      </c>
      <c r="N207" s="2"/>
      <c r="O207" s="2" t="str">
        <f>IFERROR(__xludf.DUMMYFUNCTION("""COMPUTED_VALUE"""),"Bagahabag")</f>
        <v>Bagahabag</v>
      </c>
      <c r="P207" s="2" t="str">
        <f>IFERROR(__xludf.DUMMYFUNCTION("""COMPUTED_VALUE"""),"Solano")</f>
        <v>Solano</v>
      </c>
      <c r="Q207" s="2" t="str">
        <f>IFERROR(__xludf.DUMMYFUNCTION("""COMPUTED_VALUE"""),"Nueva Vizcaya")</f>
        <v>Nueva Vizcaya</v>
      </c>
      <c r="R207" s="2">
        <f>IFERROR(__xludf.DUMMYFUNCTION("""COMPUTED_VALUE"""),2.0)</f>
        <v>2</v>
      </c>
      <c r="S207" s="2"/>
      <c r="T207" s="2"/>
    </row>
    <row r="208">
      <c r="A208" s="1">
        <f>IFERROR(__xludf.DUMMYFUNCTION("""COMPUTED_VALUE"""),206.0)</f>
        <v>206</v>
      </c>
      <c r="B208" s="2" t="str">
        <f>IFERROR(__xludf.DUMMYFUNCTION("""COMPUTED_VALUE"""),"KAISAHAN IRRIGATOR'S ASSOCIATION INC.")</f>
        <v>KAISAHAN IRRIGATOR'S ASSOCIATION INC.</v>
      </c>
      <c r="C208" s="2" t="str">
        <f>IFERROR(__xludf.DUMMYFUNCTION("""COMPUTED_VALUE"""),"San Fabian, Santo Domingo, NUEVA ECIJA")</f>
        <v>San Fabian, Santo Domingo, NUEVA ECIJA</v>
      </c>
      <c r="D208" s="2" t="str">
        <f>IFERROR(__xludf.DUMMYFUNCTION("""COMPUTED_VALUE"""),"Darwin D. Cacal")</f>
        <v>Darwin D. Cacal</v>
      </c>
      <c r="E208" s="2" t="str">
        <f>IFERROR(__xludf.DUMMYFUNCTION("""COMPUTED_VALUE"""),"0975-721-2437")</f>
        <v>0975-721-2437</v>
      </c>
      <c r="F208" s="2" t="str">
        <f>IFERROR(__xludf.DUMMYFUNCTION("""COMPUTED_VALUE"""),"RCEF 23-09-21 Rebidding")</f>
        <v>RCEF 23-09-21 Rebidding</v>
      </c>
      <c r="G208" s="2">
        <f>IFERROR(__xludf.DUMMYFUNCTION("""COMPUTED_VALUE"""),3.0)</f>
        <v>3</v>
      </c>
      <c r="H208" s="2">
        <f>IFERROR(__xludf.DUMMYFUNCTION("""COMPUTED_VALUE"""),18662.0)</f>
        <v>18662</v>
      </c>
      <c r="I208" s="2" t="str">
        <f>IFERROR(__xludf.DUMMYFUNCTION("""COMPUTED_VALUE"""),"KMC5825 AERFPV0092")</f>
        <v>KMC5825 AERFPV0092</v>
      </c>
      <c r="J208" s="2" t="str">
        <f>IFERROR(__xludf.DUMMYFUNCTION("""COMPUTED_VALUE"""),"PTS 100216")</f>
        <v>PTS 100216</v>
      </c>
      <c r="K208" s="2" t="str">
        <f>IFERROR(__xludf.DUMMYFUNCTION("""COMPUTED_VALUE"""),"R-SERIES 252 PH")</f>
        <v>R-SERIES 252 PH</v>
      </c>
      <c r="L208" s="2" t="str">
        <f>IFERROR(__xludf.DUMMYFUNCTION("""COMPUTED_VALUE"""),"LSGW1750 RMP 24010087")</f>
        <v>LSGW1750 RMP 24010087</v>
      </c>
      <c r="M208" s="2" t="str">
        <f>IFERROR(__xludf.DUMMYFUNCTION("""COMPUTED_VALUE"""),"WDP40 RMP 24010160")</f>
        <v>WDP40 RMP 24010160</v>
      </c>
      <c r="N208" s="2"/>
      <c r="O208" s="2" t="str">
        <f>IFERROR(__xludf.DUMMYFUNCTION("""COMPUTED_VALUE"""),"San Fabian")</f>
        <v>San Fabian</v>
      </c>
      <c r="P208" s="2" t="str">
        <f>IFERROR(__xludf.DUMMYFUNCTION("""COMPUTED_VALUE"""),"Santo Domingo")</f>
        <v>Santo Domingo</v>
      </c>
      <c r="Q208" s="2" t="str">
        <f>IFERROR(__xludf.DUMMYFUNCTION("""COMPUTED_VALUE"""),"Nueva Ecija")</f>
        <v>Nueva Ecija</v>
      </c>
      <c r="R208" s="2">
        <f>IFERROR(__xludf.DUMMYFUNCTION("""COMPUTED_VALUE"""),3.0)</f>
        <v>3</v>
      </c>
      <c r="S208" s="2"/>
      <c r="T208" s="2"/>
    </row>
    <row r="209">
      <c r="A209" s="1">
        <f>IFERROR(__xludf.DUMMYFUNCTION("""COMPUTED_VALUE"""),207.0)</f>
        <v>207</v>
      </c>
      <c r="B209" s="2" t="str">
        <f>IFERROR(__xludf.DUMMYFUNCTION("""COMPUTED_VALUE"""),"Farmers League Agriculture Cooperative")</f>
        <v>Farmers League Agriculture Cooperative</v>
      </c>
      <c r="C209" s="2" t="str">
        <f>IFERROR(__xludf.DUMMYFUNCTION("""COMPUTED_VALUE"""),"Nagmisahan, Cuyapo, NUEVA ECIJA")</f>
        <v>Nagmisahan, Cuyapo, NUEVA ECIJA</v>
      </c>
      <c r="D209" s="2" t="str">
        <f>IFERROR(__xludf.DUMMYFUNCTION("""COMPUTED_VALUE"""),"Crispin A. Carino")</f>
        <v>Crispin A. Carino</v>
      </c>
      <c r="E209" s="2" t="str">
        <f>IFERROR(__xludf.DUMMYFUNCTION("""COMPUTED_VALUE"""),"0917-717-1446/ 0955-675-6655")</f>
        <v>0917-717-1446/ 0955-675-6655</v>
      </c>
      <c r="F209" s="2" t="str">
        <f>IFERROR(__xludf.DUMMYFUNCTION("""COMPUTED_VALUE"""),"RCEF 23-09-21 Rebidding")</f>
        <v>RCEF 23-09-21 Rebidding</v>
      </c>
      <c r="G209" s="2">
        <f>IFERROR(__xludf.DUMMYFUNCTION("""COMPUTED_VALUE"""),9.0)</f>
        <v>9</v>
      </c>
      <c r="H209" s="2">
        <f>IFERROR(__xludf.DUMMYFUNCTION("""COMPUTED_VALUE"""),18759.0)</f>
        <v>18759</v>
      </c>
      <c r="I209" s="2" t="str">
        <f>IFERROR(__xludf.DUMMYFUNCTION("""COMPUTED_VALUE"""),"KMC5825 AARFPV0461")</f>
        <v>KMC5825 AARFPV0461</v>
      </c>
      <c r="J209" s="2" t="str">
        <f>IFERROR(__xludf.DUMMYFUNCTION("""COMPUTED_VALUE"""),"RTS100377")</f>
        <v>RTS100377</v>
      </c>
      <c r="K209" s="2" t="str">
        <f>IFERROR(__xludf.DUMMYFUNCTION("""COMPUTED_VALUE"""),"R-SERIES 392 PH")</f>
        <v>R-SERIES 392 PH</v>
      </c>
      <c r="L209" s="2" t="str">
        <f>IFERROR(__xludf.DUMMYFUNCTION("""COMPUTED_VALUE"""),"LSGW1750 RMP 2312150")</f>
        <v>LSGW1750 RMP 2312150</v>
      </c>
      <c r="M209" s="2" t="str">
        <f>IFERROR(__xludf.DUMMYFUNCTION("""COMPUTED_VALUE"""),"WDP40 WR 24020185")</f>
        <v>WDP40 WR 24020185</v>
      </c>
      <c r="N209" s="2"/>
      <c r="O209" s="2" t="str">
        <f>IFERROR(__xludf.DUMMYFUNCTION("""COMPUTED_VALUE"""),"Nagmisahan")</f>
        <v>Nagmisahan</v>
      </c>
      <c r="P209" s="2" t="str">
        <f>IFERROR(__xludf.DUMMYFUNCTION("""COMPUTED_VALUE"""),"Cuyapo")</f>
        <v>Cuyapo</v>
      </c>
      <c r="Q209" s="2" t="str">
        <f>IFERROR(__xludf.DUMMYFUNCTION("""COMPUTED_VALUE"""),"Nueva Ecija")</f>
        <v>Nueva Ecija</v>
      </c>
      <c r="R209" s="2">
        <f>IFERROR(__xludf.DUMMYFUNCTION("""COMPUTED_VALUE"""),3.0)</f>
        <v>3</v>
      </c>
      <c r="S209" s="2"/>
      <c r="T209" s="2"/>
    </row>
    <row r="210">
      <c r="A210" s="1">
        <f>IFERROR(__xludf.DUMMYFUNCTION("""COMPUTED_VALUE"""),208.0)</f>
        <v>208</v>
      </c>
      <c r="B210" s="2" t="str">
        <f>IFERROR(__xludf.DUMMYFUNCTION("""COMPUTED_VALUE"""),"SAMAHANG MAGSASAKA NG BARANGAY LENNEC")</f>
        <v>SAMAHANG MAGSASAKA NG BARANGAY LENNEC</v>
      </c>
      <c r="C210" s="2" t="str">
        <f>IFERROR(__xludf.DUMMYFUNCTION("""COMPUTED_VALUE"""),"Lennec, Guimba, NUEVA ECIJA")</f>
        <v>Lennec, Guimba, NUEVA ECIJA</v>
      </c>
      <c r="D210" s="2" t="str">
        <f>IFERROR(__xludf.DUMMYFUNCTION("""COMPUTED_VALUE"""),"Avelino T. Matamis")</f>
        <v>Avelino T. Matamis</v>
      </c>
      <c r="E210" s="2" t="str">
        <f>IFERROR(__xludf.DUMMYFUNCTION("""COMPUTED_VALUE"""),"0905-278-8533")</f>
        <v>0905-278-8533</v>
      </c>
      <c r="F210" s="2" t="str">
        <f>IFERROR(__xludf.DUMMYFUNCTION("""COMPUTED_VALUE"""),"RCEF 23-09-21 Rebidding")</f>
        <v>RCEF 23-09-21 Rebidding</v>
      </c>
      <c r="G210" s="2">
        <f>IFERROR(__xludf.DUMMYFUNCTION("""COMPUTED_VALUE"""),9.0)</f>
        <v>9</v>
      </c>
      <c r="H210" s="2">
        <f>IFERROR(__xludf.DUMMYFUNCTION("""COMPUTED_VALUE"""),18760.0)</f>
        <v>18760</v>
      </c>
      <c r="I210" s="2" t="str">
        <f>IFERROR(__xludf.DUMMYFUNCTION("""COMPUTED_VALUE"""),"KMC5825 AVRFPV0488")</f>
        <v>KMC5825 AVRFPV0488</v>
      </c>
      <c r="J210" s="2" t="str">
        <f>IFERROR(__xludf.DUMMYFUNCTION("""COMPUTED_VALUE"""),"RTS 100389")</f>
        <v>RTS 100389</v>
      </c>
      <c r="K210" s="2" t="str">
        <f>IFERROR(__xludf.DUMMYFUNCTION("""COMPUTED_VALUE"""),"R SERIES 025 PH")</f>
        <v>R SERIES 025 PH</v>
      </c>
      <c r="L210" s="2" t="str">
        <f>IFERROR(__xludf.DUMMYFUNCTION("""COMPUTED_VALUE"""),"LSGW1750 RMP 2312163")</f>
        <v>LSGW1750 RMP 2312163</v>
      </c>
      <c r="M210" s="2" t="str">
        <f>IFERROR(__xludf.DUMMYFUNCTION("""COMPUTED_VALUE"""),"WDP 40 RMP 24020219")</f>
        <v>WDP 40 RMP 24020219</v>
      </c>
      <c r="N210" s="2"/>
      <c r="O210" s="2" t="str">
        <f>IFERROR(__xludf.DUMMYFUNCTION("""COMPUTED_VALUE"""),"Lennec")</f>
        <v>Lennec</v>
      </c>
      <c r="P210" s="2" t="str">
        <f>IFERROR(__xludf.DUMMYFUNCTION("""COMPUTED_VALUE"""),"Guimba")</f>
        <v>Guimba</v>
      </c>
      <c r="Q210" s="2" t="str">
        <f>IFERROR(__xludf.DUMMYFUNCTION("""COMPUTED_VALUE"""),"Nueva Ecija")</f>
        <v>Nueva Ecija</v>
      </c>
      <c r="R210" s="2">
        <f>IFERROR(__xludf.DUMMYFUNCTION("""COMPUTED_VALUE"""),3.0)</f>
        <v>3</v>
      </c>
      <c r="S210" s="2"/>
      <c r="T210" s="2"/>
    </row>
    <row r="211">
      <c r="A211" s="1">
        <f>IFERROR(__xludf.DUMMYFUNCTION("""COMPUTED_VALUE"""),209.0)</f>
        <v>209</v>
      </c>
      <c r="B211" s="2" t="str">
        <f>IFERROR(__xludf.DUMMYFUNCTION("""COMPUTED_VALUE"""),"YESHUA RICE AND VEGETABLES GROWERS ASSOCIATION OF STA. CRUZ")</f>
        <v>YESHUA RICE AND VEGETABLES GROWERS ASSOCIATION OF STA. CRUZ</v>
      </c>
      <c r="C211" s="2" t="str">
        <f>IFERROR(__xludf.DUMMYFUNCTION("""COMPUTED_VALUE"""),"Santa Cruz, Guimba, NUEVA ECIJA")</f>
        <v>Santa Cruz, Guimba, NUEVA ECIJA</v>
      </c>
      <c r="D211" s="2" t="str">
        <f>IFERROR(__xludf.DUMMYFUNCTION("""COMPUTED_VALUE"""),"Maura Ocampo")</f>
        <v>Maura Ocampo</v>
      </c>
      <c r="E211" s="2" t="str">
        <f>IFERROR(__xludf.DUMMYFUNCTION("""COMPUTED_VALUE"""),"0991-497-1562")</f>
        <v>0991-497-1562</v>
      </c>
      <c r="F211" s="2" t="str">
        <f>IFERROR(__xludf.DUMMYFUNCTION("""COMPUTED_VALUE"""),"RCEF 23-09-21 Rebidding")</f>
        <v>RCEF 23-09-21 Rebidding</v>
      </c>
      <c r="G211" s="2">
        <f>IFERROR(__xludf.DUMMYFUNCTION("""COMPUTED_VALUE"""),9.0)</f>
        <v>9</v>
      </c>
      <c r="H211" s="2">
        <f>IFERROR(__xludf.DUMMYFUNCTION("""COMPUTED_VALUE"""),18761.0)</f>
        <v>18761</v>
      </c>
      <c r="I211" s="2" t="str">
        <f>IFERROR(__xludf.DUMMYFUNCTION("""COMPUTED_VALUE"""),"KMC5825 ACRFPV0501")</f>
        <v>KMC5825 ACRFPV0501</v>
      </c>
      <c r="J211" s="2" t="str">
        <f>IFERROR(__xludf.DUMMYFUNCTION("""COMPUTED_VALUE"""),"RTS 100422")</f>
        <v>RTS 100422</v>
      </c>
      <c r="K211" s="2" t="str">
        <f>IFERROR(__xludf.DUMMYFUNCTION("""COMPUTED_VALUE"""),"R SERIES 125 PH")</f>
        <v>R SERIES 125 PH</v>
      </c>
      <c r="L211" s="2" t="str">
        <f>IFERROR(__xludf.DUMMYFUNCTION("""COMPUTED_VALUE"""),"LSGW1750 RMP 2312179")</f>
        <v>LSGW1750 RMP 2312179</v>
      </c>
      <c r="M211" s="2" t="str">
        <f>IFERROR(__xludf.DUMMYFUNCTION("""COMPUTED_VALUE"""),"WDP 40 RMP 24020219")</f>
        <v>WDP 40 RMP 24020219</v>
      </c>
      <c r="N211" s="2"/>
      <c r="O211" s="2" t="str">
        <f>IFERROR(__xludf.DUMMYFUNCTION("""COMPUTED_VALUE"""),"Santa Cruz")</f>
        <v>Santa Cruz</v>
      </c>
      <c r="P211" s="2" t="str">
        <f>IFERROR(__xludf.DUMMYFUNCTION("""COMPUTED_VALUE"""),"Guimba")</f>
        <v>Guimba</v>
      </c>
      <c r="Q211" s="2" t="str">
        <f>IFERROR(__xludf.DUMMYFUNCTION("""COMPUTED_VALUE"""),"Nueva Ecija")</f>
        <v>Nueva Ecija</v>
      </c>
      <c r="R211" s="2">
        <f>IFERROR(__xludf.DUMMYFUNCTION("""COMPUTED_VALUE"""),3.0)</f>
        <v>3</v>
      </c>
      <c r="S211" s="2"/>
      <c r="T211" s="2"/>
    </row>
    <row r="212">
      <c r="A212" s="1">
        <f>IFERROR(__xludf.DUMMYFUNCTION("""COMPUTED_VALUE"""),210.0)</f>
        <v>210</v>
      </c>
      <c r="B212" s="2" t="str">
        <f>IFERROR(__xludf.DUMMYFUNCTION("""COMPUTED_VALUE"""),"CASMINALUN IRRIGATORS' ASSOCIATION, INC.")</f>
        <v>CASMINALUN IRRIGATORS' ASSOCIATION, INC.</v>
      </c>
      <c r="C212" s="2" t="str">
        <f>IFERROR(__xludf.DUMMYFUNCTION("""COMPUTED_VALUE"""),"Casile, Llanera, NUEVA ECIJA")</f>
        <v>Casile, Llanera, NUEVA ECIJA</v>
      </c>
      <c r="D212" s="2" t="str">
        <f>IFERROR(__xludf.DUMMYFUNCTION("""COMPUTED_VALUE"""),"Leoncio Victoria")</f>
        <v>Leoncio Victoria</v>
      </c>
      <c r="E212" s="2" t="str">
        <f>IFERROR(__xludf.DUMMYFUNCTION("""COMPUTED_VALUE"""),"0933-951-2647")</f>
        <v>0933-951-2647</v>
      </c>
      <c r="F212" s="2" t="str">
        <f>IFERROR(__xludf.DUMMYFUNCTION("""COMPUTED_VALUE"""),"RCEF 23-09-21 Rebidding")</f>
        <v>RCEF 23-09-21 Rebidding</v>
      </c>
      <c r="G212" s="2">
        <f>IFERROR(__xludf.DUMMYFUNCTION("""COMPUTED_VALUE"""),9.0)</f>
        <v>9</v>
      </c>
      <c r="H212" s="2">
        <f>IFERROR(__xludf.DUMMYFUNCTION("""COMPUTED_VALUE"""),18762.0)</f>
        <v>18762</v>
      </c>
      <c r="I212" s="2" t="str">
        <f>IFERROR(__xludf.DUMMYFUNCTION("""COMPUTED_VALUE"""),"KMC5825 AKRFPV0468")</f>
        <v>KMC5825 AKRFPV0468</v>
      </c>
      <c r="J212" s="2" t="str">
        <f>IFERROR(__xludf.DUMMYFUNCTION("""COMPUTED_VALUE"""),"RTS 100368")</f>
        <v>RTS 100368</v>
      </c>
      <c r="K212" s="2" t="str">
        <f>IFERROR(__xludf.DUMMYFUNCTION("""COMPUTED_VALUE"""),"R SERIES 396PH")</f>
        <v>R SERIES 396PH</v>
      </c>
      <c r="L212" s="2" t="str">
        <f>IFERROR(__xludf.DUMMYFUNCTION("""COMPUTED_VALUE"""),"LSGW1750 RMP 2312170")</f>
        <v>LSGW1750 RMP 2312170</v>
      </c>
      <c r="M212" s="2" t="str">
        <f>IFERROR(__xludf.DUMMYFUNCTION("""COMPUTED_VALUE"""),"WDP 40 RMP 24020201")</f>
        <v>WDP 40 RMP 24020201</v>
      </c>
      <c r="N212" s="2"/>
      <c r="O212" s="2" t="str">
        <f>IFERROR(__xludf.DUMMYFUNCTION("""COMPUTED_VALUE"""),"Casile")</f>
        <v>Casile</v>
      </c>
      <c r="P212" s="2" t="str">
        <f>IFERROR(__xludf.DUMMYFUNCTION("""COMPUTED_VALUE"""),"Llanera")</f>
        <v>Llanera</v>
      </c>
      <c r="Q212" s="2" t="str">
        <f>IFERROR(__xludf.DUMMYFUNCTION("""COMPUTED_VALUE"""),"Nueva Ecija")</f>
        <v>Nueva Ecija</v>
      </c>
      <c r="R212" s="2">
        <f>IFERROR(__xludf.DUMMYFUNCTION("""COMPUTED_VALUE"""),3.0)</f>
        <v>3</v>
      </c>
      <c r="S212" s="2"/>
      <c r="T212" s="2"/>
    </row>
    <row r="213">
      <c r="A213" s="1">
        <f>IFERROR(__xludf.DUMMYFUNCTION("""COMPUTED_VALUE"""),211.0)</f>
        <v>211</v>
      </c>
      <c r="B213" s="2" t="str">
        <f>IFERROR(__xludf.DUMMYFUNCTION("""COMPUTED_VALUE"""),"APO SENYONG FARMERS ASSOCIATION")</f>
        <v>APO SENYONG FARMERS ASSOCIATION</v>
      </c>
      <c r="C213" s="2" t="str">
        <f>IFERROR(__xludf.DUMMYFUNCTION("""COMPUTED_VALUE"""),"Vega, Bongabon, NUEVA ECIJA")</f>
        <v>Vega, Bongabon, NUEVA ECIJA</v>
      </c>
      <c r="D213" s="2" t="str">
        <f>IFERROR(__xludf.DUMMYFUNCTION("""COMPUTED_VALUE"""),"Rogelio G. Almera")</f>
        <v>Rogelio G. Almera</v>
      </c>
      <c r="E213" s="2" t="str">
        <f>IFERROR(__xludf.DUMMYFUNCTION("""COMPUTED_VALUE"""),"0997-531-0433")</f>
        <v>0997-531-0433</v>
      </c>
      <c r="F213" s="2" t="str">
        <f>IFERROR(__xludf.DUMMYFUNCTION("""COMPUTED_VALUE"""),"RCEF 23-09-21 Rebidding")</f>
        <v>RCEF 23-09-21 Rebidding</v>
      </c>
      <c r="G213" s="2">
        <f>IFERROR(__xludf.DUMMYFUNCTION("""COMPUTED_VALUE"""),9.0)</f>
        <v>9</v>
      </c>
      <c r="H213" s="2">
        <f>IFERROR(__xludf.DUMMYFUNCTION("""COMPUTED_VALUE"""),18763.0)</f>
        <v>18763</v>
      </c>
      <c r="I213" s="2" t="str">
        <f>IFERROR(__xludf.DUMMYFUNCTION("""COMPUTED_VALUE"""),"KMC5825 ACRFPV0417")</f>
        <v>KMC5825 ACRFPV0417</v>
      </c>
      <c r="J213" s="2" t="str">
        <f>IFERROR(__xludf.DUMMYFUNCTION("""COMPUTED_VALUE"""),"RTS 100330")</f>
        <v>RTS 100330</v>
      </c>
      <c r="K213" s="2" t="str">
        <f>IFERROR(__xludf.DUMMYFUNCTION("""COMPUTED_VALUE"""),"R SERIES 387 PH")</f>
        <v>R SERIES 387 PH</v>
      </c>
      <c r="L213" s="2" t="str">
        <f>IFERROR(__xludf.DUMMYFUNCTION("""COMPUTED_VALUE"""),"LSGW1750 RMP 2312148")</f>
        <v>LSGW1750 RMP 2312148</v>
      </c>
      <c r="M213" s="2" t="str">
        <f>IFERROR(__xludf.DUMMYFUNCTION("""COMPUTED_VALUE"""),"WDP 40 RMP 24020193")</f>
        <v>WDP 40 RMP 24020193</v>
      </c>
      <c r="N213" s="2"/>
      <c r="O213" s="2" t="str">
        <f>IFERROR(__xludf.DUMMYFUNCTION("""COMPUTED_VALUE"""),"Vega")</f>
        <v>Vega</v>
      </c>
      <c r="P213" s="2" t="str">
        <f>IFERROR(__xludf.DUMMYFUNCTION("""COMPUTED_VALUE"""),"Bongabon")</f>
        <v>Bongabon</v>
      </c>
      <c r="Q213" s="2" t="str">
        <f>IFERROR(__xludf.DUMMYFUNCTION("""COMPUTED_VALUE"""),"Nueva Ecija")</f>
        <v>Nueva Ecija</v>
      </c>
      <c r="R213" s="2">
        <f>IFERROR(__xludf.DUMMYFUNCTION("""COMPUTED_VALUE"""),3.0)</f>
        <v>3</v>
      </c>
      <c r="S213" s="2"/>
      <c r="T213" s="2"/>
    </row>
    <row r="214">
      <c r="A214" s="1">
        <f>IFERROR(__xludf.DUMMYFUNCTION("""COMPUTED_VALUE"""),212.0)</f>
        <v>212</v>
      </c>
      <c r="B214" s="2" t="str">
        <f>IFERROR(__xludf.DUMMYFUNCTION("""COMPUTED_VALUE"""),"RAJAL-STO.TOMAS IRRIGATORS' ASSOCIATION, INC.")</f>
        <v>RAJAL-STO.TOMAS IRRIGATORS' ASSOCIATION, INC.</v>
      </c>
      <c r="C214" s="2" t="str">
        <f>IFERROR(__xludf.DUMMYFUNCTION("""COMPUTED_VALUE"""),"Santo Tomas, Aliaga, NUEVA ECIJA")</f>
        <v>Santo Tomas, Aliaga, NUEVA ECIJA</v>
      </c>
      <c r="D214" s="2" t="str">
        <f>IFERROR(__xludf.DUMMYFUNCTION("""COMPUTED_VALUE"""),"Mascardo Diaz")</f>
        <v>Mascardo Diaz</v>
      </c>
      <c r="E214" s="2" t="str">
        <f>IFERROR(__xludf.DUMMYFUNCTION("""COMPUTED_VALUE"""),"0922-901-2873")</f>
        <v>0922-901-2873</v>
      </c>
      <c r="F214" s="2" t="str">
        <f>IFERROR(__xludf.DUMMYFUNCTION("""COMPUTED_VALUE"""),"RCEF 23-09-21 Rebidding")</f>
        <v>RCEF 23-09-21 Rebidding</v>
      </c>
      <c r="G214" s="2">
        <f>IFERROR(__xludf.DUMMYFUNCTION("""COMPUTED_VALUE"""),3.0)</f>
        <v>3</v>
      </c>
      <c r="H214" s="2">
        <f>IFERROR(__xludf.DUMMYFUNCTION("""COMPUTED_VALUE"""),18764.0)</f>
        <v>18764</v>
      </c>
      <c r="I214" s="2" t="str">
        <f>IFERROR(__xludf.DUMMYFUNCTION("""COMPUTED_VALUE"""),"KMC5825 AJRFPV0505")</f>
        <v>KMC5825 AJRFPV0505</v>
      </c>
      <c r="J214" s="2" t="str">
        <f>IFERROR(__xludf.DUMMYFUNCTION("""COMPUTED_VALUE"""),"RTS 100401")</f>
        <v>RTS 100401</v>
      </c>
      <c r="K214" s="2" t="str">
        <f>IFERROR(__xludf.DUMMYFUNCTION("""COMPUTED_VALUE"""),"R-SERIES 129 PH")</f>
        <v>R-SERIES 129 PH</v>
      </c>
      <c r="L214" s="2" t="str">
        <f>IFERROR(__xludf.DUMMYFUNCTION("""COMPUTED_VALUE"""),"LSGW1750 RMP 2312154")</f>
        <v>LSGW1750 RMP 2312154</v>
      </c>
      <c r="M214" s="2" t="str">
        <f>IFERROR(__xludf.DUMMYFUNCTION("""COMPUTED_VALUE"""),"WDP40 RMP 24020191")</f>
        <v>WDP40 RMP 24020191</v>
      </c>
      <c r="N214" s="2"/>
      <c r="O214" s="2" t="str">
        <f>IFERROR(__xludf.DUMMYFUNCTION("""COMPUTED_VALUE"""),"Santo Tomas")</f>
        <v>Santo Tomas</v>
      </c>
      <c r="P214" s="2" t="str">
        <f>IFERROR(__xludf.DUMMYFUNCTION("""COMPUTED_VALUE"""),"Aliaga")</f>
        <v>Aliaga</v>
      </c>
      <c r="Q214" s="2" t="str">
        <f>IFERROR(__xludf.DUMMYFUNCTION("""COMPUTED_VALUE"""),"Nueva Ecija")</f>
        <v>Nueva Ecija</v>
      </c>
      <c r="R214" s="2">
        <f>IFERROR(__xludf.DUMMYFUNCTION("""COMPUTED_VALUE"""),3.0)</f>
        <v>3</v>
      </c>
      <c r="S214" s="2"/>
      <c r="T214" s="2"/>
    </row>
    <row r="215">
      <c r="A215" s="1">
        <f>IFERROR(__xludf.DUMMYFUNCTION("""COMPUTED_VALUE"""),213.0)</f>
        <v>213</v>
      </c>
      <c r="B215" s="2" t="str">
        <f>IFERROR(__xludf.DUMMYFUNCTION("""COMPUTED_VALUE"""),"NAGMISAHAN FARMERS ASSOCIATION")</f>
        <v>NAGMISAHAN FARMERS ASSOCIATION</v>
      </c>
      <c r="C215" s="2" t="str">
        <f>IFERROR(__xludf.DUMMYFUNCTION("""COMPUTED_VALUE"""),"Nagmisahan, Cuyapo, NUEVA ECIJA")</f>
        <v>Nagmisahan, Cuyapo, NUEVA ECIJA</v>
      </c>
      <c r="D215" s="2" t="str">
        <f>IFERROR(__xludf.DUMMYFUNCTION("""COMPUTED_VALUE"""),"Dyna F. Castillo")</f>
        <v>Dyna F. Castillo</v>
      </c>
      <c r="E215" s="2" t="str">
        <f>IFERROR(__xludf.DUMMYFUNCTION("""COMPUTED_VALUE"""),"0915 976 2051")</f>
        <v>0915 976 2051</v>
      </c>
      <c r="F215" s="2" t="str">
        <f>IFERROR(__xludf.DUMMYFUNCTION("""COMPUTED_VALUE"""),"RCEF 23-09-21 Rebidding")</f>
        <v>RCEF 23-09-21 Rebidding</v>
      </c>
      <c r="G215" s="2">
        <f>IFERROR(__xludf.DUMMYFUNCTION("""COMPUTED_VALUE"""),3.0)</f>
        <v>3</v>
      </c>
      <c r="H215" s="2">
        <f>IFERROR(__xludf.DUMMYFUNCTION("""COMPUTED_VALUE"""),18765.0)</f>
        <v>18765</v>
      </c>
      <c r="I215" s="2" t="str">
        <f>IFERROR(__xludf.DUMMYFUNCTION("""COMPUTED_VALUE"""),"KMC5825 ACRFPV0411")</f>
        <v>KMC5825 ACRFPV0411</v>
      </c>
      <c r="J215" s="2" t="str">
        <f>IFERROR(__xludf.DUMMYFUNCTION("""COMPUTED_VALUE"""),"RTS 100312")</f>
        <v>RTS 100312</v>
      </c>
      <c r="K215" s="2" t="str">
        <f>IFERROR(__xludf.DUMMYFUNCTION("""COMPUTED_VALUE"""),"R-SERIES 044 PH")</f>
        <v>R-SERIES 044 PH</v>
      </c>
      <c r="L215" s="2" t="str">
        <f>IFERROR(__xludf.DUMMYFUNCTION("""COMPUTED_VALUE"""),"LSGW1750 RMP 2312147")</f>
        <v>LSGW1750 RMP 2312147</v>
      </c>
      <c r="M215" s="2" t="str">
        <f>IFERROR(__xludf.DUMMYFUNCTION("""COMPUTED_VALUE"""),"WDP40 WR 24020206")</f>
        <v>WDP40 WR 24020206</v>
      </c>
      <c r="N215" s="2"/>
      <c r="O215" s="2" t="str">
        <f>IFERROR(__xludf.DUMMYFUNCTION("""COMPUTED_VALUE"""),"Nagmisahan")</f>
        <v>Nagmisahan</v>
      </c>
      <c r="P215" s="2" t="str">
        <f>IFERROR(__xludf.DUMMYFUNCTION("""COMPUTED_VALUE"""),"Cuyapo")</f>
        <v>Cuyapo</v>
      </c>
      <c r="Q215" s="2" t="str">
        <f>IFERROR(__xludf.DUMMYFUNCTION("""COMPUTED_VALUE"""),"Nueva Ecija")</f>
        <v>Nueva Ecija</v>
      </c>
      <c r="R215" s="2">
        <f>IFERROR(__xludf.DUMMYFUNCTION("""COMPUTED_VALUE"""),3.0)</f>
        <v>3</v>
      </c>
      <c r="S215" s="2"/>
      <c r="T215" s="2"/>
    </row>
    <row r="216">
      <c r="A216" s="1">
        <f>IFERROR(__xludf.DUMMYFUNCTION("""COMPUTED_VALUE"""),214.0)</f>
        <v>214</v>
      </c>
      <c r="B216" s="2" t="str">
        <f>IFERROR(__xludf.DUMMYFUNCTION("""COMPUTED_VALUE"""),"Sabit Agricultural Cooperative (SACO)")</f>
        <v>Sabit Agricultural Cooperative (SACO)</v>
      </c>
      <c r="C216" s="2" t="str">
        <f>IFERROR(__xludf.DUMMYFUNCTION("""COMPUTED_VALUE"""),", Cuyapo, NUEVA ECIJA")</f>
        <v>, Cuyapo, NUEVA ECIJA</v>
      </c>
      <c r="D216" s="2" t="str">
        <f>IFERROR(__xludf.DUMMYFUNCTION("""COMPUTED_VALUE"""),"Antonio M. Esteban")</f>
        <v>Antonio M. Esteban</v>
      </c>
      <c r="E216" s="2" t="str">
        <f>IFERROR(__xludf.DUMMYFUNCTION("""COMPUTED_VALUE"""),"0925-552-8584")</f>
        <v>0925-552-8584</v>
      </c>
      <c r="F216" s="2" t="str">
        <f>IFERROR(__xludf.DUMMYFUNCTION("""COMPUTED_VALUE"""),"RCEF 23-09-21 Rebidding")</f>
        <v>RCEF 23-09-21 Rebidding</v>
      </c>
      <c r="G216" s="2">
        <f>IFERROR(__xludf.DUMMYFUNCTION("""COMPUTED_VALUE"""),3.0)</f>
        <v>3</v>
      </c>
      <c r="H216" s="2">
        <f>IFERROR(__xludf.DUMMYFUNCTION("""COMPUTED_VALUE"""),18766.0)</f>
        <v>18766</v>
      </c>
      <c r="I216" s="2" t="str">
        <f>IFERROR(__xludf.DUMMYFUNCTION("""COMPUTED_VALUE"""),"KMC5825 AKRFPV0504")</f>
        <v>KMC5825 AKRFPV0504</v>
      </c>
      <c r="J216" s="2" t="str">
        <f>IFERROR(__xludf.DUMMYFUNCTION("""COMPUTED_VALUE"""),"RTS 100421")</f>
        <v>RTS 100421</v>
      </c>
      <c r="K216" s="2" t="str">
        <f>IFERROR(__xludf.DUMMYFUNCTION("""COMPUTED_VALUE"""),"R-SERIES 014 PH")</f>
        <v>R-SERIES 014 PH</v>
      </c>
      <c r="L216" s="2" t="str">
        <f>IFERROR(__xludf.DUMMYFUNCTION("""COMPUTED_VALUE"""),"LSGW1750 RMP 2321 055")</f>
        <v>LSGW1750 RMP 2321 055</v>
      </c>
      <c r="M216" s="2" t="str">
        <f>IFERROR(__xludf.DUMMYFUNCTION("""COMPUTED_VALUE"""),"WDP40 RMP 24020224")</f>
        <v>WDP40 RMP 24020224</v>
      </c>
      <c r="N216" s="2"/>
      <c r="O216" s="2" t="str">
        <f>IFERROR(__xludf.DUMMYFUNCTION("""COMPUTED_VALUE"""),"")</f>
        <v/>
      </c>
      <c r="P216" s="2" t="str">
        <f>IFERROR(__xludf.DUMMYFUNCTION("""COMPUTED_VALUE"""),"Cuyapo")</f>
        <v>Cuyapo</v>
      </c>
      <c r="Q216" s="2" t="str">
        <f>IFERROR(__xludf.DUMMYFUNCTION("""COMPUTED_VALUE"""),"Nueva Ecija")</f>
        <v>Nueva Ecija</v>
      </c>
      <c r="R216" s="2">
        <f>IFERROR(__xludf.DUMMYFUNCTION("""COMPUTED_VALUE"""),3.0)</f>
        <v>3</v>
      </c>
      <c r="S216" s="2"/>
      <c r="T216" s="2"/>
    </row>
    <row r="217">
      <c r="A217" s="1">
        <f>IFERROR(__xludf.DUMMYFUNCTION("""COMPUTED_VALUE"""),215.0)</f>
        <v>215</v>
      </c>
      <c r="B217" s="2" t="str">
        <f>IFERROR(__xludf.DUMMYFUNCTION("""COMPUTED_VALUE"""),"BARAGAY SAN MIGUEL FARMERS ASSOCIATION")</f>
        <v>BARAGAY SAN MIGUEL FARMERS ASSOCIATION</v>
      </c>
      <c r="C217" s="2" t="str">
        <f>IFERROR(__xludf.DUMMYFUNCTION("""COMPUTED_VALUE"""),"San Miguel, Guimba, NUEVA ECIJA")</f>
        <v>San Miguel, Guimba, NUEVA ECIJA</v>
      </c>
      <c r="D217" s="2" t="str">
        <f>IFERROR(__xludf.DUMMYFUNCTION("""COMPUTED_VALUE"""),"Teresito G. Aguinaldo")</f>
        <v>Teresito G. Aguinaldo</v>
      </c>
      <c r="E217" s="2" t="str">
        <f>IFERROR(__xludf.DUMMYFUNCTION("""COMPUTED_VALUE"""),"0918-918-6750")</f>
        <v>0918-918-6750</v>
      </c>
      <c r="F217" s="2" t="str">
        <f>IFERROR(__xludf.DUMMYFUNCTION("""COMPUTED_VALUE"""),"RCEF 23-09-21 Rebidding")</f>
        <v>RCEF 23-09-21 Rebidding</v>
      </c>
      <c r="G217" s="2">
        <f>IFERROR(__xludf.DUMMYFUNCTION("""COMPUTED_VALUE"""),3.0)</f>
        <v>3</v>
      </c>
      <c r="H217" s="2">
        <f>IFERROR(__xludf.DUMMYFUNCTION("""COMPUTED_VALUE"""),18767.0)</f>
        <v>18767</v>
      </c>
      <c r="I217" s="2" t="str">
        <f>IFERROR(__xludf.DUMMYFUNCTION("""COMPUTED_VALUE"""),"KMC5825 APRFPV0498")</f>
        <v>KMC5825 APRFPV0498</v>
      </c>
      <c r="J217" s="2" t="str">
        <f>IFERROR(__xludf.DUMMYFUNCTION("""COMPUTED_VALUE"""),"RTS 100323")</f>
        <v>RTS 100323</v>
      </c>
      <c r="K217" s="2" t="str">
        <f>IFERROR(__xludf.DUMMYFUNCTION("""COMPUTED_VALUE"""),"R-SERIES 137 PH")</f>
        <v>R-SERIES 137 PH</v>
      </c>
      <c r="L217" s="2" t="str">
        <f>IFERROR(__xludf.DUMMYFUNCTION("""COMPUTED_VALUE"""),"LSGW1750 WR 2312156")</f>
        <v>LSGW1750 WR 2312156</v>
      </c>
      <c r="M217" s="2" t="str">
        <f>IFERROR(__xludf.DUMMYFUNCTION("""COMPUTED_VALUE"""),"WDP40 WR 24020196")</f>
        <v>WDP40 WR 24020196</v>
      </c>
      <c r="N217" s="2"/>
      <c r="O217" s="2" t="str">
        <f>IFERROR(__xludf.DUMMYFUNCTION("""COMPUTED_VALUE"""),"San Miguel")</f>
        <v>San Miguel</v>
      </c>
      <c r="P217" s="2" t="str">
        <f>IFERROR(__xludf.DUMMYFUNCTION("""COMPUTED_VALUE"""),"Guimba")</f>
        <v>Guimba</v>
      </c>
      <c r="Q217" s="2" t="str">
        <f>IFERROR(__xludf.DUMMYFUNCTION("""COMPUTED_VALUE"""),"Nueva Ecija")</f>
        <v>Nueva Ecija</v>
      </c>
      <c r="R217" s="2">
        <f>IFERROR(__xludf.DUMMYFUNCTION("""COMPUTED_VALUE"""),3.0)</f>
        <v>3</v>
      </c>
      <c r="S217" s="2"/>
      <c r="T217" s="2"/>
    </row>
    <row r="218">
      <c r="A218" s="1">
        <f>IFERROR(__xludf.DUMMYFUNCTION("""COMPUTED_VALUE"""),216.0)</f>
        <v>216</v>
      </c>
      <c r="B218" s="2" t="str">
        <f>IFERROR(__xludf.DUMMYFUNCTION("""COMPUTED_VALUE"""),"SAN CRISTOBAL FARMERS IRRIGATORS' ASSOCIATION, INC.")</f>
        <v>SAN CRISTOBAL FARMERS IRRIGATORS' ASSOCIATION, INC.</v>
      </c>
      <c r="C218" s="2" t="str">
        <f>IFERROR(__xludf.DUMMYFUNCTION("""COMPUTED_VALUE"""),"San Cristobal, Licab, NUEVA ECIJA")</f>
        <v>San Cristobal, Licab, NUEVA ECIJA</v>
      </c>
      <c r="D218" s="2" t="str">
        <f>IFERROR(__xludf.DUMMYFUNCTION("""COMPUTED_VALUE"""),"Alfredo M. Lozano")</f>
        <v>Alfredo M. Lozano</v>
      </c>
      <c r="E218" s="2" t="str">
        <f>IFERROR(__xludf.DUMMYFUNCTION("""COMPUTED_VALUE"""),"0906-733-2025")</f>
        <v>0906-733-2025</v>
      </c>
      <c r="F218" s="2" t="str">
        <f>IFERROR(__xludf.DUMMYFUNCTION("""COMPUTED_VALUE"""),"RCEF 23-09-21 Rebidding")</f>
        <v>RCEF 23-09-21 Rebidding</v>
      </c>
      <c r="G218" s="2">
        <f>IFERROR(__xludf.DUMMYFUNCTION("""COMPUTED_VALUE"""),3.0)</f>
        <v>3</v>
      </c>
      <c r="H218" s="2">
        <f>IFERROR(__xludf.DUMMYFUNCTION("""COMPUTED_VALUE"""),18768.0)</f>
        <v>18768</v>
      </c>
      <c r="I218" s="2" t="str">
        <f>IFERROR(__xludf.DUMMYFUNCTION("""COMPUTED_VALUE"""),"KMC5825 ATRPFV0404")</f>
        <v>KMC5825 ATRPFV0404</v>
      </c>
      <c r="J218" s="2" t="str">
        <f>IFERROR(__xludf.DUMMYFUNCTION("""COMPUTED_VALUE"""),"RTS 100318")</f>
        <v>RTS 100318</v>
      </c>
      <c r="K218" s="2" t="str">
        <f>IFERROR(__xludf.DUMMYFUNCTION("""COMPUTED_VALUE"""),"R-SERIES 048 PH")</f>
        <v>R-SERIES 048 PH</v>
      </c>
      <c r="L218" s="2" t="str">
        <f>IFERROR(__xludf.DUMMYFUNCTION("""COMPUTED_VALUE"""),"LSGW1750 WR 2312138")</f>
        <v>LSGW1750 WR 2312138</v>
      </c>
      <c r="M218" s="2" t="str">
        <f>IFERROR(__xludf.DUMMYFUNCTION("""COMPUTED_VALUE"""),"WDP40 WR 2402094")</f>
        <v>WDP40 WR 2402094</v>
      </c>
      <c r="N218" s="2"/>
      <c r="O218" s="2" t="str">
        <f>IFERROR(__xludf.DUMMYFUNCTION("""COMPUTED_VALUE"""),"San Cristobal")</f>
        <v>San Cristobal</v>
      </c>
      <c r="P218" s="2" t="str">
        <f>IFERROR(__xludf.DUMMYFUNCTION("""COMPUTED_VALUE"""),"Licab")</f>
        <v>Licab</v>
      </c>
      <c r="Q218" s="2" t="str">
        <f>IFERROR(__xludf.DUMMYFUNCTION("""COMPUTED_VALUE"""),"Nueva Ecija")</f>
        <v>Nueva Ecija</v>
      </c>
      <c r="R218" s="2">
        <f>IFERROR(__xludf.DUMMYFUNCTION("""COMPUTED_VALUE"""),3.0)</f>
        <v>3</v>
      </c>
      <c r="S218" s="2"/>
      <c r="T218" s="2"/>
    </row>
    <row r="219">
      <c r="A219" s="1">
        <f>IFERROR(__xludf.DUMMYFUNCTION("""COMPUTED_VALUE"""),217.0)</f>
        <v>217</v>
      </c>
      <c r="B219" s="2" t="str">
        <f>IFERROR(__xludf.DUMMYFUNCTION("""COMPUTED_VALUE"""),"Municipal Local Government Unit of Nampicuan")</f>
        <v>Municipal Local Government Unit of Nampicuan</v>
      </c>
      <c r="C219" s="2" t="str">
        <f>IFERROR(__xludf.DUMMYFUNCTION("""COMPUTED_VALUE"""),"North Poblacion, Nampicuan, NUEVA ECIJA")</f>
        <v>North Poblacion, Nampicuan, NUEVA ECIJA</v>
      </c>
      <c r="D219" s="2" t="str">
        <f>IFERROR(__xludf.DUMMYFUNCTION("""COMPUTED_VALUE"""),"Hon. Victor M. Badar")</f>
        <v>Hon. Victor M. Badar</v>
      </c>
      <c r="E219" s="2" t="str">
        <f>IFERROR(__xludf.DUMMYFUNCTION("""COMPUTED_VALUE"""),"0919-792-2884")</f>
        <v>0919-792-2884</v>
      </c>
      <c r="F219" s="2" t="str">
        <f>IFERROR(__xludf.DUMMYFUNCTION("""COMPUTED_VALUE"""),"RCEF 23-09-21 Rebidding")</f>
        <v>RCEF 23-09-21 Rebidding</v>
      </c>
      <c r="G219" s="2">
        <f>IFERROR(__xludf.DUMMYFUNCTION("""COMPUTED_VALUE"""),3.0)</f>
        <v>3</v>
      </c>
      <c r="H219" s="2">
        <f>IFERROR(__xludf.DUMMYFUNCTION("""COMPUTED_VALUE"""),18769.0)</f>
        <v>18769</v>
      </c>
      <c r="I219" s="2" t="str">
        <f>IFERROR(__xludf.DUMMYFUNCTION("""COMPUTED_VALUE"""),"KMC5825 AHRFPV0477")</f>
        <v>KMC5825 AHRFPV0477</v>
      </c>
      <c r="J219" s="2" t="str">
        <f>IFERROR(__xludf.DUMMYFUNCTION("""COMPUTED_VALUE"""),"RTS 100392")</f>
        <v>RTS 100392</v>
      </c>
      <c r="K219" s="2" t="str">
        <f>IFERROR(__xludf.DUMMYFUNCTION("""COMPUTED_VALUE"""),"R-SERIES 394 PH")</f>
        <v>R-SERIES 394 PH</v>
      </c>
      <c r="L219" s="2" t="str">
        <f>IFERROR(__xludf.DUMMYFUNCTION("""COMPUTED_VALUE"""),"LSGW1750 RMP 2312172")</f>
        <v>LSGW1750 RMP 2312172</v>
      </c>
      <c r="M219" s="2" t="str">
        <f>IFERROR(__xludf.DUMMYFUNCTION("""COMPUTED_VALUE"""),"WDP40 RMP 24020246")</f>
        <v>WDP40 RMP 24020246</v>
      </c>
      <c r="N219" s="2"/>
      <c r="O219" s="2" t="str">
        <f>IFERROR(__xludf.DUMMYFUNCTION("""COMPUTED_VALUE"""),"North Poblacion")</f>
        <v>North Poblacion</v>
      </c>
      <c r="P219" s="2" t="str">
        <f>IFERROR(__xludf.DUMMYFUNCTION("""COMPUTED_VALUE"""),"Nampicuan")</f>
        <v>Nampicuan</v>
      </c>
      <c r="Q219" s="2" t="str">
        <f>IFERROR(__xludf.DUMMYFUNCTION("""COMPUTED_VALUE"""),"Nueva Ecija")</f>
        <v>Nueva Ecija</v>
      </c>
      <c r="R219" s="2">
        <f>IFERROR(__xludf.DUMMYFUNCTION("""COMPUTED_VALUE"""),3.0)</f>
        <v>3</v>
      </c>
      <c r="S219" s="2"/>
      <c r="T219" s="2"/>
    </row>
    <row r="220">
      <c r="A220" s="1">
        <f>IFERROR(__xludf.DUMMYFUNCTION("""COMPUTED_VALUE"""),218.0)</f>
        <v>218</v>
      </c>
      <c r="B220" s="2" t="str">
        <f>IFERROR(__xludf.DUMMYFUNCTION("""COMPUTED_VALUE"""),"SIASON FARMERS IRRIGATOR'S ASSOCIATION, INC.")</f>
        <v>SIASON FARMERS IRRIGATOR'S ASSOCIATION, INC.</v>
      </c>
      <c r="C220" s="2" t="str">
        <f>IFERROR(__xludf.DUMMYFUNCTION("""COMPUTED_VALUE"""),"Santa Rita, Quezon, NUEVA ECIJA")</f>
        <v>Santa Rita, Quezon, NUEVA ECIJA</v>
      </c>
      <c r="D220" s="2" t="str">
        <f>IFERROR(__xludf.DUMMYFUNCTION("""COMPUTED_VALUE"""),"Feliciano C. Doronio")</f>
        <v>Feliciano C. Doronio</v>
      </c>
      <c r="E220" s="2" t="str">
        <f>IFERROR(__xludf.DUMMYFUNCTION("""COMPUTED_VALUE"""),"0938-564-2182")</f>
        <v>0938-564-2182</v>
      </c>
      <c r="F220" s="2" t="str">
        <f>IFERROR(__xludf.DUMMYFUNCTION("""COMPUTED_VALUE"""),"RCEF 23-09-21 Rebidding")</f>
        <v>RCEF 23-09-21 Rebidding</v>
      </c>
      <c r="G220" s="2">
        <f>IFERROR(__xludf.DUMMYFUNCTION("""COMPUTED_VALUE"""),3.0)</f>
        <v>3</v>
      </c>
      <c r="H220" s="2">
        <f>IFERROR(__xludf.DUMMYFUNCTION("""COMPUTED_VALUE"""),18771.0)</f>
        <v>18771</v>
      </c>
      <c r="I220" s="2" t="str">
        <f>IFERROR(__xludf.DUMMYFUNCTION("""COMPUTED_VALUE"""),"KMC5825 AJRFPV0391")</f>
        <v>KMC5825 AJRFPV0391</v>
      </c>
      <c r="J220" s="2" t="str">
        <f>IFERROR(__xludf.DUMMYFUNCTION("""COMPUTED_VALUE"""),"RTS 100258")</f>
        <v>RTS 100258</v>
      </c>
      <c r="K220" s="2" t="str">
        <f>IFERROR(__xludf.DUMMYFUNCTION("""COMPUTED_VALUE"""),"R-SERIES 138 PH")</f>
        <v>R-SERIES 138 PH</v>
      </c>
      <c r="L220" s="2" t="str">
        <f>IFERROR(__xludf.DUMMYFUNCTION("""COMPUTED_VALUE"""),"LSGW1750 WR 2312080")</f>
        <v>LSGW1750 WR 2312080</v>
      </c>
      <c r="M220" s="2" t="str">
        <f>IFERROR(__xludf.DUMMYFUNCTION("""COMPUTED_VALUE"""),"WDP40 WR 24020200")</f>
        <v>WDP40 WR 24020200</v>
      </c>
      <c r="N220" s="2"/>
      <c r="O220" s="2" t="str">
        <f>IFERROR(__xludf.DUMMYFUNCTION("""COMPUTED_VALUE"""),"Santa Rita")</f>
        <v>Santa Rita</v>
      </c>
      <c r="P220" s="2" t="str">
        <f>IFERROR(__xludf.DUMMYFUNCTION("""COMPUTED_VALUE"""),"Quezon")</f>
        <v>Quezon</v>
      </c>
      <c r="Q220" s="2" t="str">
        <f>IFERROR(__xludf.DUMMYFUNCTION("""COMPUTED_VALUE"""),"Nueva Ecija")</f>
        <v>Nueva Ecija</v>
      </c>
      <c r="R220" s="2">
        <f>IFERROR(__xludf.DUMMYFUNCTION("""COMPUTED_VALUE"""),3.0)</f>
        <v>3</v>
      </c>
      <c r="S220" s="2"/>
      <c r="T220" s="2"/>
    </row>
    <row r="221">
      <c r="A221" s="1">
        <f>IFERROR(__xludf.DUMMYFUNCTION("""COMPUTED_VALUE"""),219.0)</f>
        <v>219</v>
      </c>
      <c r="B221" s="2" t="str">
        <f>IFERROR(__xludf.DUMMYFUNCTION("""COMPUTED_VALUE"""),"COLLADO IRRIGATORS' ASSOCIATION, INC.")</f>
        <v>COLLADO IRRIGATORS' ASSOCIATION, INC.</v>
      </c>
      <c r="C221" s="2" t="str">
        <f>IFERROR(__xludf.DUMMYFUNCTION("""COMPUTED_VALUE"""),"Collado, Talavera, NUEVA ECIJA")</f>
        <v>Collado, Talavera, NUEVA ECIJA</v>
      </c>
      <c r="D221" s="2" t="str">
        <f>IFERROR(__xludf.DUMMYFUNCTION("""COMPUTED_VALUE"""),"Godofredo M. Sabate")</f>
        <v>Godofredo M. Sabate</v>
      </c>
      <c r="E221" s="2" t="str">
        <f>IFERROR(__xludf.DUMMYFUNCTION("""COMPUTED_VALUE"""),"0907-617-6814")</f>
        <v>0907-617-6814</v>
      </c>
      <c r="F221" s="2" t="str">
        <f>IFERROR(__xludf.DUMMYFUNCTION("""COMPUTED_VALUE"""),"RCEF 23-09-21 Rebidding")</f>
        <v>RCEF 23-09-21 Rebidding</v>
      </c>
      <c r="G221" s="2">
        <f>IFERROR(__xludf.DUMMYFUNCTION("""COMPUTED_VALUE"""),3.0)</f>
        <v>3</v>
      </c>
      <c r="H221" s="2">
        <f>IFERROR(__xludf.DUMMYFUNCTION("""COMPUTED_VALUE"""),18772.0)</f>
        <v>18772</v>
      </c>
      <c r="I221" s="2" t="str">
        <f>IFERROR(__xludf.DUMMYFUNCTION("""COMPUTED_VALUE"""),"KMC5825 APRFPV0405")</f>
        <v>KMC5825 APRFPV0405</v>
      </c>
      <c r="J221" s="2" t="str">
        <f>IFERROR(__xludf.DUMMYFUNCTION("""COMPUTED_VALUE"""),"RTS 100316")</f>
        <v>RTS 100316</v>
      </c>
      <c r="K221" s="2" t="str">
        <f>IFERROR(__xludf.DUMMYFUNCTION("""COMPUTED_VALUE"""),"R-SERIES 393 PH")</f>
        <v>R-SERIES 393 PH</v>
      </c>
      <c r="L221" s="2" t="str">
        <f>IFERROR(__xludf.DUMMYFUNCTION("""COMPUTED_VALUE"""),"LSGW1750 RMP 2312173")</f>
        <v>LSGW1750 RMP 2312173</v>
      </c>
      <c r="M221" s="2" t="str">
        <f>IFERROR(__xludf.DUMMYFUNCTION("""COMPUTED_VALUE"""),"WDP40 RMP 24020199")</f>
        <v>WDP40 RMP 24020199</v>
      </c>
      <c r="N221" s="2"/>
      <c r="O221" s="2" t="str">
        <f>IFERROR(__xludf.DUMMYFUNCTION("""COMPUTED_VALUE"""),"Collado")</f>
        <v>Collado</v>
      </c>
      <c r="P221" s="2" t="str">
        <f>IFERROR(__xludf.DUMMYFUNCTION("""COMPUTED_VALUE"""),"Talavera")</f>
        <v>Talavera</v>
      </c>
      <c r="Q221" s="2" t="str">
        <f>IFERROR(__xludf.DUMMYFUNCTION("""COMPUTED_VALUE"""),"Nueva Ecija")</f>
        <v>Nueva Ecija</v>
      </c>
      <c r="R221" s="2">
        <f>IFERROR(__xludf.DUMMYFUNCTION("""COMPUTED_VALUE"""),3.0)</f>
        <v>3</v>
      </c>
      <c r="S221" s="2"/>
      <c r="T221" s="2"/>
    </row>
    <row r="222">
      <c r="A222" s="1">
        <f>IFERROR(__xludf.DUMMYFUNCTION("""COMPUTED_VALUE"""),220.0)</f>
        <v>220</v>
      </c>
      <c r="B222" s="2" t="str">
        <f>IFERROR(__xludf.DUMMYFUNCTION("""COMPUTED_VALUE"""),"TAGABASA IRRIGATORS' ASSOCIATION, INC.")</f>
        <v>TAGABASA IRRIGATORS' ASSOCIATION, INC.</v>
      </c>
      <c r="C222" s="2" t="str">
        <f>IFERROR(__xludf.DUMMYFUNCTION("""COMPUTED_VALUE"""),"Tagaytay, Talavera, NUEVA ECIJA")</f>
        <v>Tagaytay, Talavera, NUEVA ECIJA</v>
      </c>
      <c r="D222" s="2" t="str">
        <f>IFERROR(__xludf.DUMMYFUNCTION("""COMPUTED_VALUE"""),"Rogelio C. Laugo")</f>
        <v>Rogelio C. Laugo</v>
      </c>
      <c r="E222" s="2" t="str">
        <f>IFERROR(__xludf.DUMMYFUNCTION("""COMPUTED_VALUE"""),"0951-099-0098")</f>
        <v>0951-099-0098</v>
      </c>
      <c r="F222" s="2" t="str">
        <f>IFERROR(__xludf.DUMMYFUNCTION("""COMPUTED_VALUE"""),"RCEF 23-09-21 Rebidding")</f>
        <v>RCEF 23-09-21 Rebidding</v>
      </c>
      <c r="G222" s="2">
        <f>IFERROR(__xludf.DUMMYFUNCTION("""COMPUTED_VALUE"""),3.0)</f>
        <v>3</v>
      </c>
      <c r="H222" s="2">
        <f>IFERROR(__xludf.DUMMYFUNCTION("""COMPUTED_VALUE"""),18773.0)</f>
        <v>18773</v>
      </c>
      <c r="I222" s="2" t="str">
        <f>IFERROR(__xludf.DUMMYFUNCTION("""COMPUTED_VALUE"""),"KMC5825 AHRFPV0222")</f>
        <v>KMC5825 AHRFPV0222</v>
      </c>
      <c r="J222" s="2" t="str">
        <f>IFERROR(__xludf.DUMMYFUNCTION("""COMPUTED_VALUE"""),"RTS100102")</f>
        <v>RTS100102</v>
      </c>
      <c r="K222" s="2" t="str">
        <f>IFERROR(__xludf.DUMMYFUNCTION("""COMPUTED_VALUE"""),"R-SERIES 032 PH")</f>
        <v>R-SERIES 032 PH</v>
      </c>
      <c r="L222" s="2" t="str">
        <f>IFERROR(__xludf.DUMMYFUNCTION("""COMPUTED_VALUE"""),"LSGW1750 RMP 2312173")</f>
        <v>LSGW1750 RMP 2312173</v>
      </c>
      <c r="M222" s="2" t="str">
        <f>IFERROR(__xludf.DUMMYFUNCTION("""COMPUTED_VALUE"""),"WDP40 RMP 24020203")</f>
        <v>WDP40 RMP 24020203</v>
      </c>
      <c r="N222" s="2"/>
      <c r="O222" s="2" t="str">
        <f>IFERROR(__xludf.DUMMYFUNCTION("""COMPUTED_VALUE"""),"Tagaytay")</f>
        <v>Tagaytay</v>
      </c>
      <c r="P222" s="2" t="str">
        <f>IFERROR(__xludf.DUMMYFUNCTION("""COMPUTED_VALUE"""),"Talavera")</f>
        <v>Talavera</v>
      </c>
      <c r="Q222" s="2" t="str">
        <f>IFERROR(__xludf.DUMMYFUNCTION("""COMPUTED_VALUE"""),"Nueva Ecija")</f>
        <v>Nueva Ecija</v>
      </c>
      <c r="R222" s="2">
        <f>IFERROR(__xludf.DUMMYFUNCTION("""COMPUTED_VALUE"""),3.0)</f>
        <v>3</v>
      </c>
      <c r="S222" s="2"/>
      <c r="T222" s="2"/>
    </row>
    <row r="223">
      <c r="A223" s="1">
        <f>IFERROR(__xludf.DUMMYFUNCTION("""COMPUTED_VALUE"""),221.0)</f>
        <v>221</v>
      </c>
      <c r="B223" s="2" t="str">
        <f>IFERROR(__xludf.DUMMYFUNCTION("""COMPUTED_VALUE"""),"BRGY. STA. LUCIA OLD ZARAGOZA FARMERS IRRIGATORS' ASSN. INC.")</f>
        <v>BRGY. STA. LUCIA OLD ZARAGOZA FARMERS IRRIGATORS' ASSN. INC.</v>
      </c>
      <c r="C223" s="2" t="str">
        <f>IFERROR(__xludf.DUMMYFUNCTION("""COMPUTED_VALUE"""),"Santa Lucia Young, Zaragosa, NUEVA ECIJA")</f>
        <v>Santa Lucia Young, Zaragosa, NUEVA ECIJA</v>
      </c>
      <c r="D223" s="2" t="str">
        <f>IFERROR(__xludf.DUMMYFUNCTION("""COMPUTED_VALUE"""),"Norberto F. Paladan")</f>
        <v>Norberto F. Paladan</v>
      </c>
      <c r="E223" s="2" t="str">
        <f>IFERROR(__xludf.DUMMYFUNCTION("""COMPUTED_VALUE"""),"0920-432-8685")</f>
        <v>0920-432-8685</v>
      </c>
      <c r="F223" s="2" t="str">
        <f>IFERROR(__xludf.DUMMYFUNCTION("""COMPUTED_VALUE"""),"RCEF 23-09-21 Rebidding")</f>
        <v>RCEF 23-09-21 Rebidding</v>
      </c>
      <c r="G223" s="2">
        <f>IFERROR(__xludf.DUMMYFUNCTION("""COMPUTED_VALUE"""),3.0)</f>
        <v>3</v>
      </c>
      <c r="H223" s="2">
        <f>IFERROR(__xludf.DUMMYFUNCTION("""COMPUTED_VALUE"""),18774.0)</f>
        <v>18774</v>
      </c>
      <c r="I223" s="2" t="str">
        <f>IFERROR(__xludf.DUMMYFUNCTION("""COMPUTED_VALUE"""),"KMC5825 AERFPV0500")</f>
        <v>KMC5825 AERFPV0500</v>
      </c>
      <c r="J223" s="2" t="str">
        <f>IFERROR(__xludf.DUMMYFUNCTION("""COMPUTED_VALUE"""),"RTS100419")</f>
        <v>RTS100419</v>
      </c>
      <c r="K223" s="2" t="str">
        <f>IFERROR(__xludf.DUMMYFUNCTION("""COMPUTED_VALUE"""),"R-SERIES 395 PH")</f>
        <v>R-SERIES 395 PH</v>
      </c>
      <c r="L223" s="2" t="str">
        <f>IFERROR(__xludf.DUMMYFUNCTION("""COMPUTED_VALUE"""),"LSGW1750 RMP 2312140")</f>
        <v>LSGW1750 RMP 2312140</v>
      </c>
      <c r="M223" s="2" t="str">
        <f>IFERROR(__xludf.DUMMYFUNCTION("""COMPUTED_VALUE"""),"WDP40 RMP 24020233")</f>
        <v>WDP40 RMP 24020233</v>
      </c>
      <c r="N223" s="2"/>
      <c r="O223" s="2" t="str">
        <f>IFERROR(__xludf.DUMMYFUNCTION("""COMPUTED_VALUE"""),"Santa Lucia Young")</f>
        <v>Santa Lucia Young</v>
      </c>
      <c r="P223" s="2" t="str">
        <f>IFERROR(__xludf.DUMMYFUNCTION("""COMPUTED_VALUE"""),"Zaragosa")</f>
        <v>Zaragosa</v>
      </c>
      <c r="Q223" s="2" t="str">
        <f>IFERROR(__xludf.DUMMYFUNCTION("""COMPUTED_VALUE"""),"Nueva Ecija")</f>
        <v>Nueva Ecija</v>
      </c>
      <c r="R223" s="2">
        <f>IFERROR(__xludf.DUMMYFUNCTION("""COMPUTED_VALUE"""),3.0)</f>
        <v>3</v>
      </c>
      <c r="S223" s="2"/>
      <c r="T223" s="2"/>
    </row>
    <row r="224">
      <c r="A224" s="1">
        <f>IFERROR(__xludf.DUMMYFUNCTION("""COMPUTED_VALUE"""),222.0)</f>
        <v>222</v>
      </c>
      <c r="B224" s="2" t="str">
        <f>IFERROR(__xludf.DUMMYFUNCTION("""COMPUTED_VALUE"""),"SAGINGAN EAST AND WEST FARMERS ASSOCIATION")</f>
        <v>SAGINGAN EAST AND WEST FARMERS ASSOCIATION</v>
      </c>
      <c r="C224" s="2" t="str">
        <f>IFERROR(__xludf.DUMMYFUNCTION("""COMPUTED_VALUE"""),"Concepcion, Zaragosa, NUEVA ECIJA")</f>
        <v>Concepcion, Zaragosa, NUEVA ECIJA</v>
      </c>
      <c r="D224" s="2" t="str">
        <f>IFERROR(__xludf.DUMMYFUNCTION("""COMPUTED_VALUE"""),"Eddie S. Ramos")</f>
        <v>Eddie S. Ramos</v>
      </c>
      <c r="E224" s="2" t="str">
        <f>IFERROR(__xludf.DUMMYFUNCTION("""COMPUTED_VALUE"""),"0977-824-1191")</f>
        <v>0977-824-1191</v>
      </c>
      <c r="F224" s="2" t="str">
        <f>IFERROR(__xludf.DUMMYFUNCTION("""COMPUTED_VALUE"""),"RCEF 23-09-21 Rebidding")</f>
        <v>RCEF 23-09-21 Rebidding</v>
      </c>
      <c r="G224" s="2">
        <f>IFERROR(__xludf.DUMMYFUNCTION("""COMPUTED_VALUE"""),3.0)</f>
        <v>3</v>
      </c>
      <c r="H224" s="2">
        <f>IFERROR(__xludf.DUMMYFUNCTION("""COMPUTED_VALUE"""),18775.0)</f>
        <v>18775</v>
      </c>
      <c r="I224" s="2" t="str">
        <f>IFERROR(__xludf.DUMMYFUNCTION("""COMPUTED_VALUE"""),"KMC5825 ALRFPV0476")</f>
        <v>KMC5825 ALRFPV0476</v>
      </c>
      <c r="J224" s="2" t="str">
        <f>IFERROR(__xludf.DUMMYFUNCTION("""COMPUTED_VALUE"""),"RTS 100385")</f>
        <v>RTS 100385</v>
      </c>
      <c r="K224" s="2" t="str">
        <f>IFERROR(__xludf.DUMMYFUNCTION("""COMPUTED_VALUE"""),"R-SERIES 096 PH")</f>
        <v>R-SERIES 096 PH</v>
      </c>
      <c r="L224" s="2" t="str">
        <f>IFERROR(__xludf.DUMMYFUNCTION("""COMPUTED_VALUE"""),"LSGW1750 RMP 2312180")</f>
        <v>LSGW1750 RMP 2312180</v>
      </c>
      <c r="M224" s="2" t="str">
        <f>IFERROR(__xludf.DUMMYFUNCTION("""COMPUTED_VALUE"""),"WDP40 RMP 24020181")</f>
        <v>WDP40 RMP 24020181</v>
      </c>
      <c r="N224" s="2"/>
      <c r="O224" s="2" t="str">
        <f>IFERROR(__xludf.DUMMYFUNCTION("""COMPUTED_VALUE"""),"Concepcion")</f>
        <v>Concepcion</v>
      </c>
      <c r="P224" s="2" t="str">
        <f>IFERROR(__xludf.DUMMYFUNCTION("""COMPUTED_VALUE"""),"Zaragosa")</f>
        <v>Zaragosa</v>
      </c>
      <c r="Q224" s="2" t="str">
        <f>IFERROR(__xludf.DUMMYFUNCTION("""COMPUTED_VALUE"""),"Nueva Ecija")</f>
        <v>Nueva Ecija</v>
      </c>
      <c r="R224" s="2">
        <f>IFERROR(__xludf.DUMMYFUNCTION("""COMPUTED_VALUE"""),3.0)</f>
        <v>3</v>
      </c>
      <c r="S224" s="2"/>
      <c r="T224" s="2"/>
    </row>
    <row r="225">
      <c r="A225" s="1">
        <f>IFERROR(__xludf.DUMMYFUNCTION("""COMPUTED_VALUE"""),223.0)</f>
        <v>223</v>
      </c>
      <c r="B225" s="2" t="str">
        <f>IFERROR(__xludf.DUMMYFUNCTION("""COMPUTED_VALUE"""),"SITIO TUBONG UPLAND FARMERS ASSOCIATION INC.")</f>
        <v>SITIO TUBONG UPLAND FARMERS ASSOCIATION INC.</v>
      </c>
      <c r="C225" s="2" t="str">
        <f>IFERROR(__xludf.DUMMYFUNCTION("""COMPUTED_VALUE"""),"Bunga, Carranglan, NUEVA ECIJA")</f>
        <v>Bunga, Carranglan, NUEVA ECIJA</v>
      </c>
      <c r="D225" s="2" t="str">
        <f>IFERROR(__xludf.DUMMYFUNCTION("""COMPUTED_VALUE"""),"Nenildo C. Nantes")</f>
        <v>Nenildo C. Nantes</v>
      </c>
      <c r="E225" s="2" t="str">
        <f>IFERROR(__xludf.DUMMYFUNCTION("""COMPUTED_VALUE"""),"0965-274-6082")</f>
        <v>0965-274-6082</v>
      </c>
      <c r="F225" s="2" t="str">
        <f>IFERROR(__xludf.DUMMYFUNCTION("""COMPUTED_VALUE"""),"RCEF 23-09-21 Rebidding")</f>
        <v>RCEF 23-09-21 Rebidding</v>
      </c>
      <c r="G225" s="2">
        <f>IFERROR(__xludf.DUMMYFUNCTION("""COMPUTED_VALUE"""),3.0)</f>
        <v>3</v>
      </c>
      <c r="H225" s="2">
        <f>IFERROR(__xludf.DUMMYFUNCTION("""COMPUTED_VALUE"""),18776.0)</f>
        <v>18776</v>
      </c>
      <c r="I225" s="2" t="str">
        <f>IFERROR(__xludf.DUMMYFUNCTION("""COMPUTED_VALUE"""),"KMC 5825 AARFPV0346")</f>
        <v>KMC 5825 AARFPV0346</v>
      </c>
      <c r="J225" s="2" t="str">
        <f>IFERROR(__xludf.DUMMYFUNCTION("""COMPUTED_VALUE"""),"RTS 100244")</f>
        <v>RTS 100244</v>
      </c>
      <c r="K225" s="2" t="str">
        <f>IFERROR(__xludf.DUMMYFUNCTION("""COMPUTED_VALUE"""),"R SERIES 028 PH")</f>
        <v>R SERIES 028 PH</v>
      </c>
      <c r="L225" s="2" t="str">
        <f>IFERROR(__xludf.DUMMYFUNCTION("""COMPUTED_VALUE"""),"LSGW1750 RMP 24020451")</f>
        <v>LSGW1750 RMP 24020451</v>
      </c>
      <c r="M225" s="2" t="str">
        <f>IFERROR(__xludf.DUMMYFUNCTION("""COMPUTED_VALUE"""),"WDP40 RMP 24020228")</f>
        <v>WDP40 RMP 24020228</v>
      </c>
      <c r="N225" s="2"/>
      <c r="O225" s="2" t="str">
        <f>IFERROR(__xludf.DUMMYFUNCTION("""COMPUTED_VALUE"""),"Bunga")</f>
        <v>Bunga</v>
      </c>
      <c r="P225" s="2" t="str">
        <f>IFERROR(__xludf.DUMMYFUNCTION("""COMPUTED_VALUE"""),"Carranglan")</f>
        <v>Carranglan</v>
      </c>
      <c r="Q225" s="2" t="str">
        <f>IFERROR(__xludf.DUMMYFUNCTION("""COMPUTED_VALUE"""),"Nueva Ecija")</f>
        <v>Nueva Ecija</v>
      </c>
      <c r="R225" s="2">
        <f>IFERROR(__xludf.DUMMYFUNCTION("""COMPUTED_VALUE"""),3.0)</f>
        <v>3</v>
      </c>
      <c r="S225" s="2"/>
      <c r="T225" s="2"/>
    </row>
    <row r="226">
      <c r="A226" s="1">
        <f>IFERROR(__xludf.DUMMYFUNCTION("""COMPUTED_VALUE"""),224.0)</f>
        <v>224</v>
      </c>
      <c r="B226" s="2" t="str">
        <f>IFERROR(__xludf.DUMMYFUNCTION("""COMPUTED_VALUE"""),"LURIMADEL IRRIGATORS' ASSOCIATION, INC.")</f>
        <v>LURIMADEL IRRIGATORS' ASSOCIATION, INC.</v>
      </c>
      <c r="C226" s="2" t="str">
        <f>IFERROR(__xludf.DUMMYFUNCTION("""COMPUTED_VALUE"""),"General Ricarte, Llanera, NUEVA ECIJA")</f>
        <v>General Ricarte, Llanera, NUEVA ECIJA</v>
      </c>
      <c r="D226" s="2" t="str">
        <f>IFERROR(__xludf.DUMMYFUNCTION("""COMPUTED_VALUE"""),"Nick M. Cara")</f>
        <v>Nick M. Cara</v>
      </c>
      <c r="E226" s="2" t="str">
        <f>IFERROR(__xludf.DUMMYFUNCTION("""COMPUTED_VALUE"""),"0926-811-5331")</f>
        <v>0926-811-5331</v>
      </c>
      <c r="F226" s="2" t="str">
        <f>IFERROR(__xludf.DUMMYFUNCTION("""COMPUTED_VALUE"""),"RCEF 23-09-21 Rebidding")</f>
        <v>RCEF 23-09-21 Rebidding</v>
      </c>
      <c r="G226" s="2">
        <f>IFERROR(__xludf.DUMMYFUNCTION("""COMPUTED_VALUE"""),3.0)</f>
        <v>3</v>
      </c>
      <c r="H226" s="2">
        <f>IFERROR(__xludf.DUMMYFUNCTION("""COMPUTED_VALUE"""),18777.0)</f>
        <v>18777</v>
      </c>
      <c r="I226" s="2" t="str">
        <f>IFERROR(__xludf.DUMMYFUNCTION("""COMPUTED_VALUE"""),"KMC 5825ACRFPV0336")</f>
        <v>KMC 5825ACRFPV0336</v>
      </c>
      <c r="J226" s="2" t="str">
        <f>IFERROR(__xludf.DUMMYFUNCTION("""COMPUTED_VALUE"""),"RTS 100234")</f>
        <v>RTS 100234</v>
      </c>
      <c r="K226" s="2" t="str">
        <f>IFERROR(__xludf.DUMMYFUNCTION("""COMPUTED_VALUE"""),"R SERIES 143 PH")</f>
        <v>R SERIES 143 PH</v>
      </c>
      <c r="L226" s="2" t="str">
        <f>IFERROR(__xludf.DUMMYFUNCTION("""COMPUTED_VALUE"""),"LSGW1750 RMP 24020494")</f>
        <v>LSGW1750 RMP 24020494</v>
      </c>
      <c r="M226" s="2" t="str">
        <f>IFERROR(__xludf.DUMMYFUNCTION("""COMPUTED_VALUE"""),"WDP40 RMP 24020240")</f>
        <v>WDP40 RMP 24020240</v>
      </c>
      <c r="N226" s="2"/>
      <c r="O226" s="2" t="str">
        <f>IFERROR(__xludf.DUMMYFUNCTION("""COMPUTED_VALUE"""),"General Ricarte")</f>
        <v>General Ricarte</v>
      </c>
      <c r="P226" s="2" t="str">
        <f>IFERROR(__xludf.DUMMYFUNCTION("""COMPUTED_VALUE"""),"Llanera")</f>
        <v>Llanera</v>
      </c>
      <c r="Q226" s="2" t="str">
        <f>IFERROR(__xludf.DUMMYFUNCTION("""COMPUTED_VALUE"""),"Nueva Ecija")</f>
        <v>Nueva Ecija</v>
      </c>
      <c r="R226" s="2">
        <f>IFERROR(__xludf.DUMMYFUNCTION("""COMPUTED_VALUE"""),3.0)</f>
        <v>3</v>
      </c>
      <c r="S226" s="2"/>
      <c r="T226" s="2"/>
    </row>
    <row r="227">
      <c r="A227" s="1">
        <f>IFERROR(__xludf.DUMMYFUNCTION("""COMPUTED_VALUE"""),225.0)</f>
        <v>225</v>
      </c>
      <c r="B227" s="2" t="str">
        <f>IFERROR(__xludf.DUMMYFUNCTION("""COMPUTED_VALUE"""),"Municipal Local Government Unit of Llanera")</f>
        <v>Municipal Local Government Unit of Llanera</v>
      </c>
      <c r="C227" s="2" t="str">
        <f>IFERROR(__xludf.DUMMYFUNCTION("""COMPUTED_VALUE"""),"Victoria, Llanera, NUEVA ECIJA")</f>
        <v>Victoria, Llanera, NUEVA ECIJA</v>
      </c>
      <c r="D227" s="2" t="str">
        <f>IFERROR(__xludf.DUMMYFUNCTION("""COMPUTED_VALUE"""),"Hon. Ronnie Roy G. Pascual")</f>
        <v>Hon. Ronnie Roy G. Pascual</v>
      </c>
      <c r="E227" s="2" t="str">
        <f>IFERROR(__xludf.DUMMYFUNCTION("""COMPUTED_VALUE"""),"0920-563-6206")</f>
        <v>0920-563-6206</v>
      </c>
      <c r="F227" s="2" t="str">
        <f>IFERROR(__xludf.DUMMYFUNCTION("""COMPUTED_VALUE"""),"RCEF 23-09-21 Rebidding")</f>
        <v>RCEF 23-09-21 Rebidding</v>
      </c>
      <c r="G227" s="2">
        <f>IFERROR(__xludf.DUMMYFUNCTION("""COMPUTED_VALUE"""),3.0)</f>
        <v>3</v>
      </c>
      <c r="H227" s="2">
        <f>IFERROR(__xludf.DUMMYFUNCTION("""COMPUTED_VALUE"""),18778.0)</f>
        <v>18778</v>
      </c>
      <c r="I227" s="2" t="str">
        <f>IFERROR(__xludf.DUMMYFUNCTION("""COMPUTED_VALUE"""),"KMC5825 AVRFPV0250")</f>
        <v>KMC5825 AVRFPV0250</v>
      </c>
      <c r="J227" s="2" t="str">
        <f>IFERROR(__xludf.DUMMYFUNCTION("""COMPUTED_VALUE"""),"RTS 100052")</f>
        <v>RTS 100052</v>
      </c>
      <c r="K227" s="2" t="str">
        <f>IFERROR(__xludf.DUMMYFUNCTION("""COMPUTED_VALUE"""),"R SERIES 067")</f>
        <v>R SERIES 067</v>
      </c>
      <c r="L227" s="2" t="str">
        <f>IFERROR(__xludf.DUMMYFUNCTION("""COMPUTED_VALUE"""),"LSGW1750 RMP 24020493")</f>
        <v>LSGW1750 RMP 24020493</v>
      </c>
      <c r="M227" s="2" t="str">
        <f>IFERROR(__xludf.DUMMYFUNCTION("""COMPUTED_VALUE"""),"WDP40 RMP 24020229")</f>
        <v>WDP40 RMP 24020229</v>
      </c>
      <c r="N227" s="2"/>
      <c r="O227" s="2" t="str">
        <f>IFERROR(__xludf.DUMMYFUNCTION("""COMPUTED_VALUE"""),"Victoria")</f>
        <v>Victoria</v>
      </c>
      <c r="P227" s="2" t="str">
        <f>IFERROR(__xludf.DUMMYFUNCTION("""COMPUTED_VALUE"""),"Llanera")</f>
        <v>Llanera</v>
      </c>
      <c r="Q227" s="2" t="str">
        <f>IFERROR(__xludf.DUMMYFUNCTION("""COMPUTED_VALUE"""),"Nueva Ecija")</f>
        <v>Nueva Ecija</v>
      </c>
      <c r="R227" s="2">
        <f>IFERROR(__xludf.DUMMYFUNCTION("""COMPUTED_VALUE"""),3.0)</f>
        <v>3</v>
      </c>
      <c r="S227" s="2"/>
      <c r="T227" s="2"/>
    </row>
    <row r="228">
      <c r="A228" s="1">
        <f>IFERROR(__xludf.DUMMYFUNCTION("""COMPUTED_VALUE"""),226.0)</f>
        <v>226</v>
      </c>
      <c r="B228" s="2" t="str">
        <f>IFERROR(__xludf.DUMMYFUNCTION("""COMPUTED_VALUE"""),"SANFELBIAG IRRIGATORS ASSOCIATION, INC.")</f>
        <v>SANFELBIAG IRRIGATORS ASSOCIATION, INC.</v>
      </c>
      <c r="C228" s="2" t="str">
        <f>IFERROR(__xludf.DUMMYFUNCTION("""COMPUTED_VALUE"""),"Bagumbayan (Pob.), Llanera, NUEVA ECIJA")</f>
        <v>Bagumbayan (Pob.), Llanera, NUEVA ECIJA</v>
      </c>
      <c r="D228" s="2" t="str">
        <f>IFERROR(__xludf.DUMMYFUNCTION("""COMPUTED_VALUE"""),"Reynaldo M. Bustamante")</f>
        <v>Reynaldo M. Bustamante</v>
      </c>
      <c r="E228" s="2" t="str">
        <f>IFERROR(__xludf.DUMMYFUNCTION("""COMPUTED_VALUE"""),"0909-998-8557")</f>
        <v>0909-998-8557</v>
      </c>
      <c r="F228" s="2" t="str">
        <f>IFERROR(__xludf.DUMMYFUNCTION("""COMPUTED_VALUE"""),"RCEF 23-09-21 Rebidding")</f>
        <v>RCEF 23-09-21 Rebidding</v>
      </c>
      <c r="G228" s="2">
        <f>IFERROR(__xludf.DUMMYFUNCTION("""COMPUTED_VALUE"""),3.0)</f>
        <v>3</v>
      </c>
      <c r="H228" s="2">
        <f>IFERROR(__xludf.DUMMYFUNCTION("""COMPUTED_VALUE"""),18779.0)</f>
        <v>18779</v>
      </c>
      <c r="I228" s="2" t="str">
        <f>IFERROR(__xludf.DUMMYFUNCTION("""COMPUTED_VALUE"""),"KMC 5825 ATRFPV0273")</f>
        <v>KMC 5825 ATRFPV0273</v>
      </c>
      <c r="J228" s="2" t="str">
        <f>IFERROR(__xludf.DUMMYFUNCTION("""COMPUTED_VALUE"""),"RTS 100115")</f>
        <v>RTS 100115</v>
      </c>
      <c r="K228" s="2" t="str">
        <f>IFERROR(__xludf.DUMMYFUNCTION("""COMPUTED_VALUE"""),"R SERIES 089 PH")</f>
        <v>R SERIES 089 PH</v>
      </c>
      <c r="L228" s="2" t="str">
        <f>IFERROR(__xludf.DUMMYFUNCTION("""COMPUTED_VALUE"""),"LSGW1750 RMP 24020488")</f>
        <v>LSGW1750 RMP 24020488</v>
      </c>
      <c r="M228" s="2" t="str">
        <f>IFERROR(__xludf.DUMMYFUNCTION("""COMPUTED_VALUE"""),"WDP40 RMP 24020221")</f>
        <v>WDP40 RMP 24020221</v>
      </c>
      <c r="N228" s="2"/>
      <c r="O228" s="2" t="str">
        <f>IFERROR(__xludf.DUMMYFUNCTION("""COMPUTED_VALUE"""),"Bagumbayan (Pob.)")</f>
        <v>Bagumbayan (Pob.)</v>
      </c>
      <c r="P228" s="2" t="str">
        <f>IFERROR(__xludf.DUMMYFUNCTION("""COMPUTED_VALUE"""),"Llanera")</f>
        <v>Llanera</v>
      </c>
      <c r="Q228" s="2" t="str">
        <f>IFERROR(__xludf.DUMMYFUNCTION("""COMPUTED_VALUE"""),"Nueva Ecija")</f>
        <v>Nueva Ecija</v>
      </c>
      <c r="R228" s="2">
        <f>IFERROR(__xludf.DUMMYFUNCTION("""COMPUTED_VALUE"""),3.0)</f>
        <v>3</v>
      </c>
      <c r="S228" s="2"/>
      <c r="T228" s="2"/>
    </row>
    <row r="229">
      <c r="A229" s="1">
        <f>IFERROR(__xludf.DUMMYFUNCTION("""COMPUTED_VALUE"""),227.0)</f>
        <v>227</v>
      </c>
      <c r="B229" s="2" t="str">
        <f>IFERROR(__xludf.DUMMYFUNCTION("""COMPUTED_VALUE"""),"ALALAY GRANDE FARMERS IRRIGATOR ASSOCIATION INC.")</f>
        <v>ALALAY GRANDE FARMERS IRRIGATOR ASSOCIATION INC.</v>
      </c>
      <c r="C229" s="2" t="str">
        <f>IFERROR(__xludf.DUMMYFUNCTION("""COMPUTED_VALUE"""),"Alalay Grande, Lupao, NUEVA ECIJA")</f>
        <v>Alalay Grande, Lupao, NUEVA ECIJA</v>
      </c>
      <c r="D229" s="2" t="str">
        <f>IFERROR(__xludf.DUMMYFUNCTION("""COMPUTED_VALUE"""),"Celso C. Aduca")</f>
        <v>Celso C. Aduca</v>
      </c>
      <c r="E229" s="2" t="str">
        <f>IFERROR(__xludf.DUMMYFUNCTION("""COMPUTED_VALUE"""),"0906-224-9292/ 0927-968-0232")</f>
        <v>0906-224-9292/ 0927-968-0232</v>
      </c>
      <c r="F229" s="2" t="str">
        <f>IFERROR(__xludf.DUMMYFUNCTION("""COMPUTED_VALUE"""),"RCEF 23-09-21 Rebidding")</f>
        <v>RCEF 23-09-21 Rebidding</v>
      </c>
      <c r="G229" s="2">
        <f>IFERROR(__xludf.DUMMYFUNCTION("""COMPUTED_VALUE"""),3.0)</f>
        <v>3</v>
      </c>
      <c r="H229" s="2">
        <f>IFERROR(__xludf.DUMMYFUNCTION("""COMPUTED_VALUE"""),18780.0)</f>
        <v>18780</v>
      </c>
      <c r="I229" s="2" t="str">
        <f>IFERROR(__xludf.DUMMYFUNCTION("""COMPUTED_VALUE"""),"KMC 5825 AKRFPV0454")</f>
        <v>KMC 5825 AKRFPV0454</v>
      </c>
      <c r="J229" s="2" t="str">
        <f>IFERROR(__xludf.DUMMYFUNCTION("""COMPUTED_VALUE"""),"RTS 100356")</f>
        <v>RTS 100356</v>
      </c>
      <c r="K229" s="2" t="str">
        <f>IFERROR(__xludf.DUMMYFUNCTION("""COMPUTED_VALUE"""),"R SERIES 141 PH")</f>
        <v>R SERIES 141 PH</v>
      </c>
      <c r="L229" s="2" t="str">
        <f>IFERROR(__xludf.DUMMYFUNCTION("""COMPUTED_VALUE"""),"LSGW1750 RMP 2312169")</f>
        <v>LSGW1750 RMP 2312169</v>
      </c>
      <c r="M229" s="2" t="str">
        <f>IFERROR(__xludf.DUMMYFUNCTION("""COMPUTED_VALUE"""),"WDP40 RMP 24020238")</f>
        <v>WDP40 RMP 24020238</v>
      </c>
      <c r="N229" s="2"/>
      <c r="O229" s="2" t="str">
        <f>IFERROR(__xludf.DUMMYFUNCTION("""COMPUTED_VALUE"""),"Alalay Grande")</f>
        <v>Alalay Grande</v>
      </c>
      <c r="P229" s="2" t="str">
        <f>IFERROR(__xludf.DUMMYFUNCTION("""COMPUTED_VALUE"""),"Lupao")</f>
        <v>Lupao</v>
      </c>
      <c r="Q229" s="2" t="str">
        <f>IFERROR(__xludf.DUMMYFUNCTION("""COMPUTED_VALUE"""),"Nueva Ecija")</f>
        <v>Nueva Ecija</v>
      </c>
      <c r="R229" s="2">
        <f>IFERROR(__xludf.DUMMYFUNCTION("""COMPUTED_VALUE"""),3.0)</f>
        <v>3</v>
      </c>
      <c r="S229" s="2"/>
      <c r="T229" s="2"/>
    </row>
    <row r="230">
      <c r="A230" s="1">
        <f>IFERROR(__xludf.DUMMYFUNCTION("""COMPUTED_VALUE"""),228.0)</f>
        <v>228</v>
      </c>
      <c r="B230" s="2" t="str">
        <f>IFERROR(__xludf.DUMMYFUNCTION("""COMPUTED_VALUE"""),"DILAKAY IRRIGATORS ASSOCIATION INC.")</f>
        <v>DILAKAY IRRIGATORS ASSOCIATION INC.</v>
      </c>
      <c r="C230" s="2" t="str">
        <f>IFERROR(__xludf.DUMMYFUNCTION("""COMPUTED_VALUE"""),"Cadaclan, Pantabangan, NUEVA ECIJA")</f>
        <v>Cadaclan, Pantabangan, NUEVA ECIJA</v>
      </c>
      <c r="D230" s="2" t="str">
        <f>IFERROR(__xludf.DUMMYFUNCTION("""COMPUTED_VALUE"""),"Dante DM. Ormilon")</f>
        <v>Dante DM. Ormilon</v>
      </c>
      <c r="E230" s="2" t="str">
        <f>IFERROR(__xludf.DUMMYFUNCTION("""COMPUTED_VALUE"""),"0997-733-1755")</f>
        <v>0997-733-1755</v>
      </c>
      <c r="F230" s="2" t="str">
        <f>IFERROR(__xludf.DUMMYFUNCTION("""COMPUTED_VALUE"""),"RCEF 23-09-21 Rebidding")</f>
        <v>RCEF 23-09-21 Rebidding</v>
      </c>
      <c r="G230" s="2">
        <f>IFERROR(__xludf.DUMMYFUNCTION("""COMPUTED_VALUE"""),3.0)</f>
        <v>3</v>
      </c>
      <c r="H230" s="2">
        <f>IFERROR(__xludf.DUMMYFUNCTION("""COMPUTED_VALUE"""),18781.0)</f>
        <v>18781</v>
      </c>
      <c r="I230" s="2" t="str">
        <f>IFERROR(__xludf.DUMMYFUNCTION("""COMPUTED_VALUE"""),"KMC 5825 ALRFPV0171")</f>
        <v>KMC 5825 ALRFPV0171</v>
      </c>
      <c r="J230" s="2" t="str">
        <f>IFERROR(__xludf.DUMMYFUNCTION("""COMPUTED_VALUE"""),"RTS 100016")</f>
        <v>RTS 100016</v>
      </c>
      <c r="K230" s="2" t="str">
        <f>IFERROR(__xludf.DUMMYFUNCTION("""COMPUTED_VALUE"""),"R SERIES 026")</f>
        <v>R SERIES 026</v>
      </c>
      <c r="L230" s="2" t="str">
        <f>IFERROR(__xludf.DUMMYFUNCTION("""COMPUTED_VALUE"""),"LSGW1750 RMP 24020490")</f>
        <v>LSGW1750 RMP 24020490</v>
      </c>
      <c r="M230" s="2" t="str">
        <f>IFERROR(__xludf.DUMMYFUNCTION("""COMPUTED_VALUE"""),"WDP40 RMP 24020251")</f>
        <v>WDP40 RMP 24020251</v>
      </c>
      <c r="N230" s="2"/>
      <c r="O230" s="2" t="str">
        <f>IFERROR(__xludf.DUMMYFUNCTION("""COMPUTED_VALUE"""),"Cadaclan")</f>
        <v>Cadaclan</v>
      </c>
      <c r="P230" s="2" t="str">
        <f>IFERROR(__xludf.DUMMYFUNCTION("""COMPUTED_VALUE"""),"Pantabangan")</f>
        <v>Pantabangan</v>
      </c>
      <c r="Q230" s="2" t="str">
        <f>IFERROR(__xludf.DUMMYFUNCTION("""COMPUTED_VALUE"""),"Nueva Ecija")</f>
        <v>Nueva Ecija</v>
      </c>
      <c r="R230" s="2">
        <f>IFERROR(__xludf.DUMMYFUNCTION("""COMPUTED_VALUE"""),3.0)</f>
        <v>3</v>
      </c>
      <c r="S230" s="2"/>
      <c r="T230" s="2"/>
    </row>
    <row r="231">
      <c r="A231" s="1">
        <f>IFERROR(__xludf.DUMMYFUNCTION("""COMPUTED_VALUE"""),229.0)</f>
        <v>229</v>
      </c>
      <c r="B231" s="2" t="str">
        <f>IFERROR(__xludf.DUMMYFUNCTION("""COMPUTED_VALUE"""),"SARANAY GANDUZ FARMERS ASSOCIATION")</f>
        <v>SARANAY GANDUZ FARMERS ASSOCIATION</v>
      </c>
      <c r="C231" s="2" t="str">
        <f>IFERROR(__xludf.DUMMYFUNCTION("""COMPUTED_VALUE"""),"Ganduz, Pantabangan, NUEVA ECIJA")</f>
        <v>Ganduz, Pantabangan, NUEVA ECIJA</v>
      </c>
      <c r="D231" s="2" t="str">
        <f>IFERROR(__xludf.DUMMYFUNCTION("""COMPUTED_VALUE"""),"Francisco N. Tangca, Sr.")</f>
        <v>Francisco N. Tangca, Sr.</v>
      </c>
      <c r="E231" s="2" t="str">
        <f>IFERROR(__xludf.DUMMYFUNCTION("""COMPUTED_VALUE"""),"0927-551-8449")</f>
        <v>0927-551-8449</v>
      </c>
      <c r="F231" s="2" t="str">
        <f>IFERROR(__xludf.DUMMYFUNCTION("""COMPUTED_VALUE"""),"RCEF 23-09-21 Rebidding")</f>
        <v>RCEF 23-09-21 Rebidding</v>
      </c>
      <c r="G231" s="2">
        <f>IFERROR(__xludf.DUMMYFUNCTION("""COMPUTED_VALUE"""),3.0)</f>
        <v>3</v>
      </c>
      <c r="H231" s="2">
        <f>IFERROR(__xludf.DUMMYFUNCTION("""COMPUTED_VALUE"""),18782.0)</f>
        <v>18782</v>
      </c>
      <c r="I231" s="2" t="str">
        <f>IFERROR(__xludf.DUMMYFUNCTION("""COMPUTED_VALUE"""),"KMC 5825 APRFPV0260")</f>
        <v>KMC 5825 APRFPV0260</v>
      </c>
      <c r="J231" s="2" t="str">
        <f>IFERROR(__xludf.DUMMYFUNCTION("""COMPUTED_VALUE"""),"RTS 10004")</f>
        <v>RTS 10004</v>
      </c>
      <c r="K231" s="2" t="str">
        <f>IFERROR(__xludf.DUMMYFUNCTION("""COMPUTED_VALUE"""),"R SERIES 292 PH")</f>
        <v>R SERIES 292 PH</v>
      </c>
      <c r="L231" s="2" t="str">
        <f>IFERROR(__xludf.DUMMYFUNCTION("""COMPUTED_VALUE"""),"LSGW1750 RMP 24020480")</f>
        <v>LSGW1750 RMP 24020480</v>
      </c>
      <c r="M231" s="2" t="str">
        <f>IFERROR(__xludf.DUMMYFUNCTION("""COMPUTED_VALUE"""),"WDP40 RMP24020231")</f>
        <v>WDP40 RMP24020231</v>
      </c>
      <c r="N231" s="2"/>
      <c r="O231" s="2" t="str">
        <f>IFERROR(__xludf.DUMMYFUNCTION("""COMPUTED_VALUE"""),"Ganduz")</f>
        <v>Ganduz</v>
      </c>
      <c r="P231" s="2" t="str">
        <f>IFERROR(__xludf.DUMMYFUNCTION("""COMPUTED_VALUE"""),"Pantabangan")</f>
        <v>Pantabangan</v>
      </c>
      <c r="Q231" s="2" t="str">
        <f>IFERROR(__xludf.DUMMYFUNCTION("""COMPUTED_VALUE"""),"Nueva Ecija")</f>
        <v>Nueva Ecija</v>
      </c>
      <c r="R231" s="2">
        <f>IFERROR(__xludf.DUMMYFUNCTION("""COMPUTED_VALUE"""),3.0)</f>
        <v>3</v>
      </c>
      <c r="S231" s="2"/>
      <c r="T231" s="2"/>
    </row>
    <row r="232">
      <c r="A232" s="1">
        <f>IFERROR(__xludf.DUMMYFUNCTION("""COMPUTED_VALUE"""),230.0)</f>
        <v>230</v>
      </c>
      <c r="B232" s="2" t="str">
        <f>IFERROR(__xludf.DUMMYFUNCTION("""COMPUTED_VALUE"""),"CRISTAMAKITA FARMERS IRRIGATORS' ASSOCIATION, INC")</f>
        <v>CRISTAMAKITA FARMERS IRRIGATORS' ASSOCIATION, INC</v>
      </c>
      <c r="C232" s="2" t="str">
        <f>IFERROR(__xludf.DUMMYFUNCTION("""COMPUTED_VALUE"""),"Malasin, San Jose City, NUEVA ECIJA")</f>
        <v>Malasin, San Jose City, NUEVA ECIJA</v>
      </c>
      <c r="D232" s="2" t="str">
        <f>IFERROR(__xludf.DUMMYFUNCTION("""COMPUTED_VALUE"""),"Danilo R. Salvador")</f>
        <v>Danilo R. Salvador</v>
      </c>
      <c r="E232" s="2" t="str">
        <f>IFERROR(__xludf.DUMMYFUNCTION("""COMPUTED_VALUE"""),"0926-485-1014")</f>
        <v>0926-485-1014</v>
      </c>
      <c r="F232" s="2" t="str">
        <f>IFERROR(__xludf.DUMMYFUNCTION("""COMPUTED_VALUE"""),"RCEF 23-09-21 Rebidding")</f>
        <v>RCEF 23-09-21 Rebidding</v>
      </c>
      <c r="G232" s="2">
        <f>IFERROR(__xludf.DUMMYFUNCTION("""COMPUTED_VALUE"""),3.0)</f>
        <v>3</v>
      </c>
      <c r="H232" s="2">
        <f>IFERROR(__xludf.DUMMYFUNCTION("""COMPUTED_VALUE"""),18783.0)</f>
        <v>18783</v>
      </c>
      <c r="I232" s="2" t="str">
        <f>IFERROR(__xludf.DUMMYFUNCTION("""COMPUTED_VALUE"""),"KMC 5825 AKRFPV0342")</f>
        <v>KMC 5825 AKRFPV0342</v>
      </c>
      <c r="J232" s="2" t="str">
        <f>IFERROR(__xludf.DUMMYFUNCTION("""COMPUTED_VALUE"""),"RTS 100228")</f>
        <v>RTS 100228</v>
      </c>
      <c r="K232" s="2" t="str">
        <f>IFERROR(__xludf.DUMMYFUNCTION("""COMPUTED_VALUE"""),"R SERIES 123 PH")</f>
        <v>R SERIES 123 PH</v>
      </c>
      <c r="L232" s="2" t="str">
        <f>IFERROR(__xludf.DUMMYFUNCTION("""COMPUTED_VALUE"""),"LSGW1750 RMP 2312152")</f>
        <v>LSGW1750 RMP 2312152</v>
      </c>
      <c r="M232" s="2" t="str">
        <f>IFERROR(__xludf.DUMMYFUNCTION("""COMPUTED_VALUE"""),"WDP40 RMP 24020230")</f>
        <v>WDP40 RMP 24020230</v>
      </c>
      <c r="N232" s="2"/>
      <c r="O232" s="2" t="str">
        <f>IFERROR(__xludf.DUMMYFUNCTION("""COMPUTED_VALUE"""),"Malasin")</f>
        <v>Malasin</v>
      </c>
      <c r="P232" s="2" t="str">
        <f>IFERROR(__xludf.DUMMYFUNCTION("""COMPUTED_VALUE"""),"San Jose City")</f>
        <v>San Jose City</v>
      </c>
      <c r="Q232" s="2" t="str">
        <f>IFERROR(__xludf.DUMMYFUNCTION("""COMPUTED_VALUE"""),"Nueva Ecija")</f>
        <v>Nueva Ecija</v>
      </c>
      <c r="R232" s="2">
        <f>IFERROR(__xludf.DUMMYFUNCTION("""COMPUTED_VALUE"""),3.0)</f>
        <v>3</v>
      </c>
      <c r="S232" s="2"/>
      <c r="T232" s="2"/>
    </row>
    <row r="233">
      <c r="A233" s="1">
        <f>IFERROR(__xludf.DUMMYFUNCTION("""COMPUTED_VALUE"""),231.0)</f>
        <v>231</v>
      </c>
      <c r="B233" s="2" t="str">
        <f>IFERROR(__xludf.DUMMYFUNCTION("""COMPUTED_VALUE"""),"SAMAHANG NG LEHITIMONG MAGSASAKA")</f>
        <v>SAMAHANG NG LEHITIMONG MAGSASAKA</v>
      </c>
      <c r="C233" s="2" t="str">
        <f>IFERROR(__xludf.DUMMYFUNCTION("""COMPUTED_VALUE"""),"Santo Niño 3rd, San Jose City, NUEVA ECIJA")</f>
        <v>Santo Niño 3rd, San Jose City, NUEVA ECIJA</v>
      </c>
      <c r="D233" s="2" t="str">
        <f>IFERROR(__xludf.DUMMYFUNCTION("""COMPUTED_VALUE"""),"Apolinario C. Aguilar")</f>
        <v>Apolinario C. Aguilar</v>
      </c>
      <c r="E233" s="2" t="str">
        <f>IFERROR(__xludf.DUMMYFUNCTION("""COMPUTED_VALUE"""),"0935-261-9291")</f>
        <v>0935-261-9291</v>
      </c>
      <c r="F233" s="2" t="str">
        <f>IFERROR(__xludf.DUMMYFUNCTION("""COMPUTED_VALUE"""),"RCEF 23-09-21 Rebidding")</f>
        <v>RCEF 23-09-21 Rebidding</v>
      </c>
      <c r="G233" s="2">
        <f>IFERROR(__xludf.DUMMYFUNCTION("""COMPUTED_VALUE"""),3.0)</f>
        <v>3</v>
      </c>
      <c r="H233" s="2">
        <f>IFERROR(__xludf.DUMMYFUNCTION("""COMPUTED_VALUE"""),18784.0)</f>
        <v>18784</v>
      </c>
      <c r="I233" s="2" t="str">
        <f>IFERROR(__xludf.DUMMYFUNCTION("""COMPUTED_VALUE"""),"KMC 5825 AJRFPV0455")</f>
        <v>KMC 5825 AJRFPV0455</v>
      </c>
      <c r="J233" s="2" t="str">
        <f>IFERROR(__xludf.DUMMYFUNCTION("""COMPUTED_VALUE"""),"RTS 100358")</f>
        <v>RTS 100358</v>
      </c>
      <c r="K233" s="2" t="str">
        <f>IFERROR(__xludf.DUMMYFUNCTION("""COMPUTED_VALUE"""),"R SERIES 163 PH")</f>
        <v>R SERIES 163 PH</v>
      </c>
      <c r="L233" s="2" t="str">
        <f>IFERROR(__xludf.DUMMYFUNCTION("""COMPUTED_VALUE"""),"LSGW1750 RMP 24020540")</f>
        <v>LSGW1750 RMP 24020540</v>
      </c>
      <c r="M233" s="2" t="str">
        <f>IFERROR(__xludf.DUMMYFUNCTION("""COMPUTED_VALUE"""),"WDP40 RMP 24020225")</f>
        <v>WDP40 RMP 24020225</v>
      </c>
      <c r="N233" s="2"/>
      <c r="O233" s="2" t="str">
        <f>IFERROR(__xludf.DUMMYFUNCTION("""COMPUTED_VALUE"""),"Santo Niño 3Rd")</f>
        <v>Santo Niño 3Rd</v>
      </c>
      <c r="P233" s="2" t="str">
        <f>IFERROR(__xludf.DUMMYFUNCTION("""COMPUTED_VALUE"""),"San Jose City")</f>
        <v>San Jose City</v>
      </c>
      <c r="Q233" s="2" t="str">
        <f>IFERROR(__xludf.DUMMYFUNCTION("""COMPUTED_VALUE"""),"Nueva Ecija")</f>
        <v>Nueva Ecija</v>
      </c>
      <c r="R233" s="2">
        <f>IFERROR(__xludf.DUMMYFUNCTION("""COMPUTED_VALUE"""),3.0)</f>
        <v>3</v>
      </c>
      <c r="S233" s="2"/>
      <c r="T233" s="2"/>
    </row>
    <row r="234">
      <c r="A234" s="1">
        <f>IFERROR(__xludf.DUMMYFUNCTION("""COMPUTED_VALUE"""),232.0)</f>
        <v>232</v>
      </c>
      <c r="B234" s="2" t="str">
        <f>IFERROR(__xludf.DUMMYFUNCTION("""COMPUTED_VALUE"""),"Farmers Joint Venture Agriculture Cooperative")</f>
        <v>Farmers Joint Venture Agriculture Cooperative</v>
      </c>
      <c r="C234" s="2" t="str">
        <f>IFERROR(__xludf.DUMMYFUNCTION("""COMPUTED_VALUE"""),"Linglingay, Science City of Munoz, NUEVA ECIJA")</f>
        <v>Linglingay, Science City of Munoz, NUEVA ECIJA</v>
      </c>
      <c r="D234" s="2" t="str">
        <f>IFERROR(__xludf.DUMMYFUNCTION("""COMPUTED_VALUE"""),"Avelino De Guzman")</f>
        <v>Avelino De Guzman</v>
      </c>
      <c r="E234" s="2" t="str">
        <f>IFERROR(__xludf.DUMMYFUNCTION("""COMPUTED_VALUE"""),"0965-522-0202")</f>
        <v>0965-522-0202</v>
      </c>
      <c r="F234" s="2" t="str">
        <f>IFERROR(__xludf.DUMMYFUNCTION("""COMPUTED_VALUE"""),"RCEF 23-09-21 Rebidding")</f>
        <v>RCEF 23-09-21 Rebidding</v>
      </c>
      <c r="G234" s="2">
        <f>IFERROR(__xludf.DUMMYFUNCTION("""COMPUTED_VALUE"""),3.0)</f>
        <v>3</v>
      </c>
      <c r="H234" s="2">
        <f>IFERROR(__xludf.DUMMYFUNCTION("""COMPUTED_VALUE"""),18785.0)</f>
        <v>18785</v>
      </c>
      <c r="I234" s="2" t="str">
        <f>IFERROR(__xludf.DUMMYFUNCTION("""COMPUTED_VALUE"""),"KMC 5825 AHRFDV0401")</f>
        <v>KMC 5825 AHRFDV0401</v>
      </c>
      <c r="J234" s="2" t="str">
        <f>IFERROR(__xludf.DUMMYFUNCTION("""COMPUTED_VALUE"""),"RTS 100296")</f>
        <v>RTS 100296</v>
      </c>
      <c r="K234" s="2" t="str">
        <f>IFERROR(__xludf.DUMMYFUNCTION("""COMPUTED_VALUE"""),"R SERIES 027 PH")</f>
        <v>R SERIES 027 PH</v>
      </c>
      <c r="L234" s="2" t="str">
        <f>IFERROR(__xludf.DUMMYFUNCTION("""COMPUTED_VALUE"""),"LSGW1750 RMP 2312165")</f>
        <v>LSGW1750 RMP 2312165</v>
      </c>
      <c r="M234" s="2" t="str">
        <f>IFERROR(__xludf.DUMMYFUNCTION("""COMPUTED_VALUE"""),"WDP40 RMP 24020187")</f>
        <v>WDP40 RMP 24020187</v>
      </c>
      <c r="N234" s="2"/>
      <c r="O234" s="2" t="str">
        <f>IFERROR(__xludf.DUMMYFUNCTION("""COMPUTED_VALUE"""),"Linglingay")</f>
        <v>Linglingay</v>
      </c>
      <c r="P234" s="2" t="str">
        <f>IFERROR(__xludf.DUMMYFUNCTION("""COMPUTED_VALUE"""),"Science City Of Munoz")</f>
        <v>Science City Of Munoz</v>
      </c>
      <c r="Q234" s="2" t="str">
        <f>IFERROR(__xludf.DUMMYFUNCTION("""COMPUTED_VALUE"""),"Nueva Ecija")</f>
        <v>Nueva Ecija</v>
      </c>
      <c r="R234" s="2">
        <f>IFERROR(__xludf.DUMMYFUNCTION("""COMPUTED_VALUE"""),3.0)</f>
        <v>3</v>
      </c>
      <c r="S234" s="2"/>
      <c r="T234" s="2"/>
    </row>
    <row r="235">
      <c r="A235" s="1">
        <f>IFERROR(__xludf.DUMMYFUNCTION("""COMPUTED_VALUE"""),233.0)</f>
        <v>233</v>
      </c>
      <c r="B235" s="2" t="str">
        <f>IFERROR(__xludf.DUMMYFUNCTION("""COMPUTED_VALUE"""),"Municipal Local Government unit of Talugtug")</f>
        <v>Municipal Local Government unit of Talugtug</v>
      </c>
      <c r="C235" s="2" t="str">
        <f>IFERROR(__xludf.DUMMYFUNCTION("""COMPUTED_VALUE"""),", Talugtug, NUEVA ECIJA")</f>
        <v>, Talugtug, NUEVA ECIJA</v>
      </c>
      <c r="D235" s="2" t="str">
        <f>IFERROR(__xludf.DUMMYFUNCTION("""COMPUTED_VALUE"""),"Pacifico B. Monta")</f>
        <v>Pacifico B. Monta</v>
      </c>
      <c r="E235" s="2" t="str">
        <f>IFERROR(__xludf.DUMMYFUNCTION("""COMPUTED_VALUE"""),"0917-565-3351")</f>
        <v>0917-565-3351</v>
      </c>
      <c r="F235" s="2" t="str">
        <f>IFERROR(__xludf.DUMMYFUNCTION("""COMPUTED_VALUE"""),"RCEF 23-09-21 Rebidding")</f>
        <v>RCEF 23-09-21 Rebidding</v>
      </c>
      <c r="G235" s="2">
        <f>IFERROR(__xludf.DUMMYFUNCTION("""COMPUTED_VALUE"""),3.0)</f>
        <v>3</v>
      </c>
      <c r="H235" s="2">
        <f>IFERROR(__xludf.DUMMYFUNCTION("""COMPUTED_VALUE"""),18786.0)</f>
        <v>18786</v>
      </c>
      <c r="I235" s="2" t="str">
        <f>IFERROR(__xludf.DUMMYFUNCTION("""COMPUTED_VALUE"""),"KMC 5825 APRFPV0274")</f>
        <v>KMC 5825 APRFPV0274</v>
      </c>
      <c r="J235" s="2" t="str">
        <f>IFERROR(__xludf.DUMMYFUNCTION("""COMPUTED_VALUE"""),"RTS 100065")</f>
        <v>RTS 100065</v>
      </c>
      <c r="K235" s="2" t="str">
        <f>IFERROR(__xludf.DUMMYFUNCTION("""COMPUTED_VALUE"""),"R SERIES 162")</f>
        <v>R SERIES 162</v>
      </c>
      <c r="L235" s="2" t="str">
        <f>IFERROR(__xludf.DUMMYFUNCTION("""COMPUTED_VALUE"""),"LSGW1750 RMP 2312153")</f>
        <v>LSGW1750 RMP 2312153</v>
      </c>
      <c r="M235" s="2" t="str">
        <f>IFERROR(__xludf.DUMMYFUNCTION("""COMPUTED_VALUE"""),"WDP40 RMP 24020249")</f>
        <v>WDP40 RMP 24020249</v>
      </c>
      <c r="N235" s="2"/>
      <c r="O235" s="2" t="str">
        <f>IFERROR(__xludf.DUMMYFUNCTION("""COMPUTED_VALUE"""),"")</f>
        <v/>
      </c>
      <c r="P235" s="2" t="str">
        <f>IFERROR(__xludf.DUMMYFUNCTION("""COMPUTED_VALUE"""),"Talugtug")</f>
        <v>Talugtug</v>
      </c>
      <c r="Q235" s="2" t="str">
        <f>IFERROR(__xludf.DUMMYFUNCTION("""COMPUTED_VALUE"""),"Nueva Ecija")</f>
        <v>Nueva Ecija</v>
      </c>
      <c r="R235" s="2">
        <f>IFERROR(__xludf.DUMMYFUNCTION("""COMPUTED_VALUE"""),3.0)</f>
        <v>3</v>
      </c>
      <c r="S235" s="2"/>
      <c r="T235" s="2"/>
    </row>
    <row r="236">
      <c r="A236" s="1">
        <f>IFERROR(__xludf.DUMMYFUNCTION("""COMPUTED_VALUE"""),234.0)</f>
        <v>234</v>
      </c>
      <c r="B236" s="2" t="str">
        <f>IFERROR(__xludf.DUMMYFUNCTION("""COMPUTED_VALUE"""),"SAVERS FARMERS ASSOCIATION, INC.")</f>
        <v>SAVERS FARMERS ASSOCIATION, INC.</v>
      </c>
      <c r="C236" s="2" t="str">
        <f>IFERROR(__xludf.DUMMYFUNCTION("""COMPUTED_VALUE"""),"Saverona, Talugtug, NUEVA ECIJA")</f>
        <v>Saverona, Talugtug, NUEVA ECIJA</v>
      </c>
      <c r="D236" s="2" t="str">
        <f>IFERROR(__xludf.DUMMYFUNCTION("""COMPUTED_VALUE"""),"Rudy M. Boado")</f>
        <v>Rudy M. Boado</v>
      </c>
      <c r="E236" s="2" t="str">
        <f>IFERROR(__xludf.DUMMYFUNCTION("""COMPUTED_VALUE"""),"0936-239-0565")</f>
        <v>0936-239-0565</v>
      </c>
      <c r="F236" s="2" t="str">
        <f>IFERROR(__xludf.DUMMYFUNCTION("""COMPUTED_VALUE"""),"RCEF 23-09-21 Rebidding")</f>
        <v>RCEF 23-09-21 Rebidding</v>
      </c>
      <c r="G236" s="2">
        <f>IFERROR(__xludf.DUMMYFUNCTION("""COMPUTED_VALUE"""),3.0)</f>
        <v>3</v>
      </c>
      <c r="H236" s="2">
        <f>IFERROR(__xludf.DUMMYFUNCTION("""COMPUTED_VALUE"""),18787.0)</f>
        <v>18787</v>
      </c>
      <c r="I236" s="2" t="str">
        <f>IFERROR(__xludf.DUMMYFUNCTION("""COMPUTED_VALUE"""),"KMC 5825 ACRFDV0434")</f>
        <v>KMC 5825 ACRFDV0434</v>
      </c>
      <c r="J236" s="2" t="str">
        <f>IFERROR(__xludf.DUMMYFUNCTION("""COMPUTED_VALUE"""),"RTS 100295")</f>
        <v>RTS 100295</v>
      </c>
      <c r="K236" s="2" t="str">
        <f>IFERROR(__xludf.DUMMYFUNCTION("""COMPUTED_VALUE"""),"R SERIES 122 PH")</f>
        <v>R SERIES 122 PH</v>
      </c>
      <c r="L236" s="2" t="str">
        <f>IFERROR(__xludf.DUMMYFUNCTION("""COMPUTED_VALUE"""),"LSGW1750 RMP 24020491")</f>
        <v>LSGW1750 RMP 24020491</v>
      </c>
      <c r="M236" s="2" t="str">
        <f>IFERROR(__xludf.DUMMYFUNCTION("""COMPUTED_VALUE"""),"WDP40 RMP 24020232")</f>
        <v>WDP40 RMP 24020232</v>
      </c>
      <c r="N236" s="2"/>
      <c r="O236" s="2" t="str">
        <f>IFERROR(__xludf.DUMMYFUNCTION("""COMPUTED_VALUE"""),"Saverona")</f>
        <v>Saverona</v>
      </c>
      <c r="P236" s="2" t="str">
        <f>IFERROR(__xludf.DUMMYFUNCTION("""COMPUTED_VALUE"""),"Talugtug")</f>
        <v>Talugtug</v>
      </c>
      <c r="Q236" s="2" t="str">
        <f>IFERROR(__xludf.DUMMYFUNCTION("""COMPUTED_VALUE"""),"Nueva Ecija")</f>
        <v>Nueva Ecija</v>
      </c>
      <c r="R236" s="2">
        <f>IFERROR(__xludf.DUMMYFUNCTION("""COMPUTED_VALUE"""),3.0)</f>
        <v>3</v>
      </c>
      <c r="S236" s="2"/>
      <c r="T236" s="2"/>
    </row>
    <row r="237">
      <c r="A237" s="1">
        <f>IFERROR(__xludf.DUMMYFUNCTION("""COMPUTED_VALUE"""),235.0)</f>
        <v>235</v>
      </c>
      <c r="B237" s="2" t="str">
        <f>IFERROR(__xludf.DUMMYFUNCTION("""COMPUTED_VALUE"""),"MAGSASAKA NG BRGY. SANTOR IRRIGATORS ASSOCIATION INC")</f>
        <v>MAGSASAKA NG BRGY. SANTOR IRRIGATORS ASSOCIATION INC</v>
      </c>
      <c r="C237" s="2" t="str">
        <f>IFERROR(__xludf.DUMMYFUNCTION("""COMPUTED_VALUE"""),"Santor, Bongabon, NUEVA ECIJA")</f>
        <v>Santor, Bongabon, NUEVA ECIJA</v>
      </c>
      <c r="D237" s="2" t="str">
        <f>IFERROR(__xludf.DUMMYFUNCTION("""COMPUTED_VALUE"""),"Francisco Morales")</f>
        <v>Francisco Morales</v>
      </c>
      <c r="E237" s="2" t="str">
        <f>IFERROR(__xludf.DUMMYFUNCTION("""COMPUTED_VALUE"""),"0997-543-7006 ")</f>
        <v>0997-543-7006 </v>
      </c>
      <c r="F237" s="2" t="str">
        <f>IFERROR(__xludf.DUMMYFUNCTION("""COMPUTED_VALUE"""),"RCEF 23-09-21 Rebidding")</f>
        <v>RCEF 23-09-21 Rebidding</v>
      </c>
      <c r="G237" s="2">
        <f>IFERROR(__xludf.DUMMYFUNCTION("""COMPUTED_VALUE"""),3.0)</f>
        <v>3</v>
      </c>
      <c r="H237" s="2">
        <f>IFERROR(__xludf.DUMMYFUNCTION("""COMPUTED_VALUE"""),18789.0)</f>
        <v>18789</v>
      </c>
      <c r="I237" s="2" t="str">
        <f>IFERROR(__xludf.DUMMYFUNCTION("""COMPUTED_VALUE"""),"KMC 5825 AFRFPV0402")</f>
        <v>KMC 5825 AFRFPV0402</v>
      </c>
      <c r="J237" s="2" t="str">
        <f>IFERROR(__xludf.DUMMYFUNCTION("""COMPUTED_VALUE"""),"RTS100309")</f>
        <v>RTS100309</v>
      </c>
      <c r="K237" s="2" t="str">
        <f>IFERROR(__xludf.DUMMYFUNCTION("""COMPUTED_VALUE"""),"R SERIES 388 PH")</f>
        <v>R SERIES 388 PH</v>
      </c>
      <c r="L237" s="2" t="str">
        <f>IFERROR(__xludf.DUMMYFUNCTION("""COMPUTED_VALUE"""),"LSGW1750 RMP 24020487")</f>
        <v>LSGW1750 RMP 24020487</v>
      </c>
      <c r="M237" s="2" t="str">
        <f>IFERROR(__xludf.DUMMYFUNCTION("""COMPUTED_VALUE"""),"WDP40 RMP 24020214")</f>
        <v>WDP40 RMP 24020214</v>
      </c>
      <c r="N237" s="2"/>
      <c r="O237" s="2" t="str">
        <f>IFERROR(__xludf.DUMMYFUNCTION("""COMPUTED_VALUE"""),"Santor")</f>
        <v>Santor</v>
      </c>
      <c r="P237" s="2" t="str">
        <f>IFERROR(__xludf.DUMMYFUNCTION("""COMPUTED_VALUE"""),"Bongabon")</f>
        <v>Bongabon</v>
      </c>
      <c r="Q237" s="2" t="str">
        <f>IFERROR(__xludf.DUMMYFUNCTION("""COMPUTED_VALUE"""),"Nueva Ecija")</f>
        <v>Nueva Ecija</v>
      </c>
      <c r="R237" s="2">
        <f>IFERROR(__xludf.DUMMYFUNCTION("""COMPUTED_VALUE"""),3.0)</f>
        <v>3</v>
      </c>
      <c r="S237" s="2"/>
      <c r="T237" s="2"/>
    </row>
    <row r="238">
      <c r="A238" s="1">
        <f>IFERROR(__xludf.DUMMYFUNCTION("""COMPUTED_VALUE"""),236.0)</f>
        <v>236</v>
      </c>
      <c r="B238" s="2" t="str">
        <f>IFERROR(__xludf.DUMMYFUNCTION("""COMPUTED_VALUE"""),"BARANGAY BAGONG SIKAT FARMERS ASSOCIATION")</f>
        <v>BARANGAY BAGONG SIKAT FARMERS ASSOCIATION</v>
      </c>
      <c r="C238" s="2" t="str">
        <f>IFERROR(__xludf.DUMMYFUNCTION("""COMPUTED_VALUE"""),"Bagong Sikat, Cabanatuan City, NUEVA ECIJA")</f>
        <v>Bagong Sikat, Cabanatuan City, NUEVA ECIJA</v>
      </c>
      <c r="D238" s="2" t="str">
        <f>IFERROR(__xludf.DUMMYFUNCTION("""COMPUTED_VALUE"""),"Manolito P. Delos Reyes")</f>
        <v>Manolito P. Delos Reyes</v>
      </c>
      <c r="E238" s="2" t="str">
        <f>IFERROR(__xludf.DUMMYFUNCTION("""COMPUTED_VALUE"""),"0970-711-0096")</f>
        <v>0970-711-0096</v>
      </c>
      <c r="F238" s="2" t="str">
        <f>IFERROR(__xludf.DUMMYFUNCTION("""COMPUTED_VALUE"""),"RCEF 23-09-21 Rebidding")</f>
        <v>RCEF 23-09-21 Rebidding</v>
      </c>
      <c r="G238" s="2">
        <f>IFERROR(__xludf.DUMMYFUNCTION("""COMPUTED_VALUE"""),3.0)</f>
        <v>3</v>
      </c>
      <c r="H238" s="2">
        <f>IFERROR(__xludf.DUMMYFUNCTION("""COMPUTED_VALUE"""),18790.0)</f>
        <v>18790</v>
      </c>
      <c r="I238" s="2" t="str">
        <f>IFERROR(__xludf.DUMMYFUNCTION("""COMPUTED_VALUE"""),"KMC 5825 AIR FPV 0502")</f>
        <v>KMC 5825 AIR FPV 0502</v>
      </c>
      <c r="J238" s="2" t="str">
        <f>IFERROR(__xludf.DUMMYFUNCTION("""COMPUTED_VALUE"""),"RTS 100420")</f>
        <v>RTS 100420</v>
      </c>
      <c r="K238" s="2" t="str">
        <f>IFERROR(__xludf.DUMMYFUNCTION("""COMPUTED_VALUE"""),"R SERIES 031 PH")</f>
        <v>R SERIES 031 PH</v>
      </c>
      <c r="L238" s="2" t="str">
        <f>IFERROR(__xludf.DUMMYFUNCTION("""COMPUTED_VALUE"""),"LSGW1750 RMP 2312159")</f>
        <v>LSGW1750 RMP 2312159</v>
      </c>
      <c r="M238" s="2" t="str">
        <f>IFERROR(__xludf.DUMMYFUNCTION("""COMPUTED_VALUE"""),"WDP40 RMP 24020204")</f>
        <v>WDP40 RMP 24020204</v>
      </c>
      <c r="N238" s="2"/>
      <c r="O238" s="2" t="str">
        <f>IFERROR(__xludf.DUMMYFUNCTION("""COMPUTED_VALUE"""),"Bagong Sikat")</f>
        <v>Bagong Sikat</v>
      </c>
      <c r="P238" s="2" t="str">
        <f>IFERROR(__xludf.DUMMYFUNCTION("""COMPUTED_VALUE"""),"Cabanatuan City")</f>
        <v>Cabanatuan City</v>
      </c>
      <c r="Q238" s="2" t="str">
        <f>IFERROR(__xludf.DUMMYFUNCTION("""COMPUTED_VALUE"""),"Nueva Ecija")</f>
        <v>Nueva Ecija</v>
      </c>
      <c r="R238" s="2">
        <f>IFERROR(__xludf.DUMMYFUNCTION("""COMPUTED_VALUE"""),3.0)</f>
        <v>3</v>
      </c>
      <c r="S238" s="2"/>
      <c r="T238" s="2"/>
    </row>
    <row r="239">
      <c r="A239" s="1">
        <f>IFERROR(__xludf.DUMMYFUNCTION("""COMPUTED_VALUE"""),237.0)</f>
        <v>237</v>
      </c>
      <c r="B239" s="2" t="str">
        <f>IFERROR(__xludf.DUMMYFUNCTION("""COMPUTED_VALUE"""),"BAGONG BUHAY, FARMERS ASSOCIATION, INC.")</f>
        <v>BAGONG BUHAY, FARMERS ASSOCIATION, INC.</v>
      </c>
      <c r="C239" s="2" t="str">
        <f>IFERROR(__xludf.DUMMYFUNCTION("""COMPUTED_VALUE"""),"BAGONG BUHAY, CABANATUAN CITY, NUEVA ECIJA")</f>
        <v>BAGONG BUHAY, CABANATUAN CITY, NUEVA ECIJA</v>
      </c>
      <c r="D239" s="2" t="str">
        <f>IFERROR(__xludf.DUMMYFUNCTION("""COMPUTED_VALUE"""),"LITO P. PADANON")</f>
        <v>LITO P. PADANON</v>
      </c>
      <c r="E239" s="2" t="str">
        <f>IFERROR(__xludf.DUMMYFUNCTION("""COMPUTED_VALUE"""),"09776048249")</f>
        <v>09776048249</v>
      </c>
      <c r="F239" s="2" t="str">
        <f>IFERROR(__xludf.DUMMYFUNCTION("""COMPUTED_VALUE"""),"RCEF 23-09-21 Rebidding")</f>
        <v>RCEF 23-09-21 Rebidding</v>
      </c>
      <c r="G239" s="2">
        <f>IFERROR(__xludf.DUMMYFUNCTION("""COMPUTED_VALUE"""),3.0)</f>
        <v>3</v>
      </c>
      <c r="H239" s="2">
        <f>IFERROR(__xludf.DUMMYFUNCTION("""COMPUTED_VALUE"""),18791.0)</f>
        <v>18791</v>
      </c>
      <c r="I239" s="2" t="str">
        <f>IFERROR(__xludf.DUMMYFUNCTION("""COMPUTED_VALUE"""),"KMC 5825 ALRFPV 0400")</f>
        <v>KMC 5825 ALRFPV 0400</v>
      </c>
      <c r="J239" s="2" t="str">
        <f>IFERROR(__xludf.DUMMYFUNCTION("""COMPUTED_VALUE"""),"RTS 100298")</f>
        <v>RTS 100298</v>
      </c>
      <c r="K239" s="2" t="str">
        <f>IFERROR(__xludf.DUMMYFUNCTION("""COMPUTED_VALUE"""),"R SERIES 018 PH")</f>
        <v>R SERIES 018 PH</v>
      </c>
      <c r="L239" s="2" t="str">
        <f>IFERROR(__xludf.DUMMYFUNCTION("""COMPUTED_VALUE"""),"LSGW1750 RMP 2312051")</f>
        <v>LSGW1750 RMP 2312051</v>
      </c>
      <c r="M239" s="2" t="str">
        <f>IFERROR(__xludf.DUMMYFUNCTION("""COMPUTED_VALUE"""),"WDP40 RMP 24020195")</f>
        <v>WDP40 RMP 24020195</v>
      </c>
      <c r="N239" s="2"/>
      <c r="O239" s="2" t="str">
        <f>IFERROR(__xludf.DUMMYFUNCTION("""COMPUTED_VALUE"""),"Bagong Buhay")</f>
        <v>Bagong Buhay</v>
      </c>
      <c r="P239" s="2" t="str">
        <f>IFERROR(__xludf.DUMMYFUNCTION("""COMPUTED_VALUE"""),"Cabanatuan City")</f>
        <v>Cabanatuan City</v>
      </c>
      <c r="Q239" s="2" t="str">
        <f>IFERROR(__xludf.DUMMYFUNCTION("""COMPUTED_VALUE"""),"Nueva Ecija")</f>
        <v>Nueva Ecija</v>
      </c>
      <c r="R239" s="2">
        <f>IFERROR(__xludf.DUMMYFUNCTION("""COMPUTED_VALUE"""),3.0)</f>
        <v>3</v>
      </c>
      <c r="S239" s="2"/>
      <c r="T239" s="2"/>
    </row>
    <row r="240">
      <c r="A240" s="1">
        <f>IFERROR(__xludf.DUMMYFUNCTION("""COMPUTED_VALUE"""),238.0)</f>
        <v>238</v>
      </c>
      <c r="B240" s="2" t="str">
        <f>IFERROR(__xludf.DUMMYFUNCTION("""COMPUTED_VALUE"""),"PANTOC FARMER'S ASSOCIATION")</f>
        <v>PANTOC FARMER'S ASSOCIATION</v>
      </c>
      <c r="C240" s="2" t="str">
        <f>IFERROR(__xludf.DUMMYFUNCTION("""COMPUTED_VALUE"""),"Pantoc, Gabaldon, NUEVA ECIJA")</f>
        <v>Pantoc, Gabaldon, NUEVA ECIJA</v>
      </c>
      <c r="D240" s="2" t="str">
        <f>IFERROR(__xludf.DUMMYFUNCTION("""COMPUTED_VALUE"""),"Victor D. Dacumos")</f>
        <v>Victor D. Dacumos</v>
      </c>
      <c r="E240" s="2" t="str">
        <f>IFERROR(__xludf.DUMMYFUNCTION("""COMPUTED_VALUE"""),"0956-968-8856")</f>
        <v>0956-968-8856</v>
      </c>
      <c r="F240" s="2" t="str">
        <f>IFERROR(__xludf.DUMMYFUNCTION("""COMPUTED_VALUE"""),"RCEF 23-09-21 Rebidding")</f>
        <v>RCEF 23-09-21 Rebidding</v>
      </c>
      <c r="G240" s="2">
        <f>IFERROR(__xludf.DUMMYFUNCTION("""COMPUTED_VALUE"""),3.0)</f>
        <v>3</v>
      </c>
      <c r="H240" s="2">
        <f>IFERROR(__xludf.DUMMYFUNCTION("""COMPUTED_VALUE"""),18792.0)</f>
        <v>18792</v>
      </c>
      <c r="I240" s="2" t="str">
        <f>IFERROR(__xludf.DUMMYFUNCTION("""COMPUTED_VALUE"""),"KMC 5825 AIRFPV0418")</f>
        <v>KMC 5825 AIRFPV0418</v>
      </c>
      <c r="J240" s="2" t="str">
        <f>IFERROR(__xludf.DUMMYFUNCTION("""COMPUTED_VALUE"""),"RTS 100326")</f>
        <v>RTS 100326</v>
      </c>
      <c r="K240" s="2" t="str">
        <f>IFERROR(__xludf.DUMMYFUNCTION("""COMPUTED_VALUE"""),"R SERIES 425 PH")</f>
        <v>R SERIES 425 PH</v>
      </c>
      <c r="L240" s="2" t="str">
        <f>IFERROR(__xludf.DUMMYFUNCTION("""COMPUTED_VALUE"""),"LSGW1750 RMP 24020484")</f>
        <v>LSGW1750 RMP 24020484</v>
      </c>
      <c r="M240" s="2" t="str">
        <f>IFERROR(__xludf.DUMMYFUNCTION("""COMPUTED_VALUE"""),"WDP40 RMP 22020189")</f>
        <v>WDP40 RMP 22020189</v>
      </c>
      <c r="N240" s="2"/>
      <c r="O240" s="2" t="str">
        <f>IFERROR(__xludf.DUMMYFUNCTION("""COMPUTED_VALUE"""),"Pantoc")</f>
        <v>Pantoc</v>
      </c>
      <c r="P240" s="2" t="str">
        <f>IFERROR(__xludf.DUMMYFUNCTION("""COMPUTED_VALUE"""),"Gabaldon")</f>
        <v>Gabaldon</v>
      </c>
      <c r="Q240" s="2" t="str">
        <f>IFERROR(__xludf.DUMMYFUNCTION("""COMPUTED_VALUE"""),"Nueva Ecija")</f>
        <v>Nueva Ecija</v>
      </c>
      <c r="R240" s="2">
        <f>IFERROR(__xludf.DUMMYFUNCTION("""COMPUTED_VALUE"""),3.0)</f>
        <v>3</v>
      </c>
      <c r="S240" s="2"/>
      <c r="T240" s="2"/>
    </row>
    <row r="241">
      <c r="A241" s="1">
        <f>IFERROR(__xludf.DUMMYFUNCTION("""COMPUTED_VALUE"""),239.0)</f>
        <v>239</v>
      </c>
      <c r="B241" s="2" t="str">
        <f>IFERROR(__xludf.DUMMYFUNCTION("""COMPUTED_VALUE"""),"SAMAHANG MAGSASAKA NA MAY IISANG LAYUNIN AT ADHIKAIN")</f>
        <v>SAMAHANG MAGSASAKA NA MAY IISANG LAYUNIN AT ADHIKAIN</v>
      </c>
      <c r="C241" s="2" t="str">
        <f>IFERROR(__xludf.DUMMYFUNCTION("""COMPUTED_VALUE"""),"Bugnan, Gabaldon, NUEVA ECIJA")</f>
        <v>Bugnan, Gabaldon, NUEVA ECIJA</v>
      </c>
      <c r="D241" s="2" t="str">
        <f>IFERROR(__xludf.DUMMYFUNCTION("""COMPUTED_VALUE"""),"Joselyn R. Anuran")</f>
        <v>Joselyn R. Anuran</v>
      </c>
      <c r="E241" s="2" t="str">
        <f>IFERROR(__xludf.DUMMYFUNCTION("""COMPUTED_VALUE"""),"Joselyn R. Anuran")</f>
        <v>Joselyn R. Anuran</v>
      </c>
      <c r="F241" s="2" t="str">
        <f>IFERROR(__xludf.DUMMYFUNCTION("""COMPUTED_VALUE"""),"RCEF 23-09-21 Rebidding")</f>
        <v>RCEF 23-09-21 Rebidding</v>
      </c>
      <c r="G241" s="2">
        <f>IFERROR(__xludf.DUMMYFUNCTION("""COMPUTED_VALUE"""),3.0)</f>
        <v>3</v>
      </c>
      <c r="H241" s="2">
        <f>IFERROR(__xludf.DUMMYFUNCTION("""COMPUTED_VALUE"""),18793.0)</f>
        <v>18793</v>
      </c>
      <c r="I241" s="2" t="str">
        <f>IFERROR(__xludf.DUMMYFUNCTION("""COMPUTED_VALUE"""),"KMC 5825 ALRFPV0459")</f>
        <v>KMC 5825 ALRFPV0459</v>
      </c>
      <c r="J241" s="2" t="str">
        <f>IFERROR(__xludf.DUMMYFUNCTION("""COMPUTED_VALUE"""),"RTS 100365")</f>
        <v>RTS 100365</v>
      </c>
      <c r="K241" s="2" t="str">
        <f>IFERROR(__xludf.DUMMYFUNCTION("""COMPUTED_VALUE"""),"R SERIES 389 PH")</f>
        <v>R SERIES 389 PH</v>
      </c>
      <c r="L241" s="2" t="str">
        <f>IFERROR(__xludf.DUMMYFUNCTION("""COMPUTED_VALUE"""),"LSGW1750 RMP 24020485")</f>
        <v>LSGW1750 RMP 24020485</v>
      </c>
      <c r="M241" s="2" t="str">
        <f>IFERROR(__xludf.DUMMYFUNCTION("""COMPUTED_VALUE"""),"WDP40 RMP 24020186")</f>
        <v>WDP40 RMP 24020186</v>
      </c>
      <c r="N241" s="2"/>
      <c r="O241" s="2" t="str">
        <f>IFERROR(__xludf.DUMMYFUNCTION("""COMPUTED_VALUE"""),"Bugnan")</f>
        <v>Bugnan</v>
      </c>
      <c r="P241" s="2" t="str">
        <f>IFERROR(__xludf.DUMMYFUNCTION("""COMPUTED_VALUE"""),"Gabaldon")</f>
        <v>Gabaldon</v>
      </c>
      <c r="Q241" s="2" t="str">
        <f>IFERROR(__xludf.DUMMYFUNCTION("""COMPUTED_VALUE"""),"Nueva Ecija")</f>
        <v>Nueva Ecija</v>
      </c>
      <c r="R241" s="2">
        <f>IFERROR(__xludf.DUMMYFUNCTION("""COMPUTED_VALUE"""),3.0)</f>
        <v>3</v>
      </c>
      <c r="S241" s="2"/>
      <c r="T241" s="2"/>
    </row>
    <row r="242">
      <c r="A242" s="1">
        <f>IFERROR(__xludf.DUMMYFUNCTION("""COMPUTED_VALUE"""),240.0)</f>
        <v>240</v>
      </c>
      <c r="B242" s="2" t="str">
        <f>IFERROR(__xludf.DUMMYFUNCTION("""COMPUTED_VALUE"""),"Nag-iisang Masikap Primary Multipurpose Cooperative")</f>
        <v>Nag-iisang Masikap Primary Multipurpose Cooperative</v>
      </c>
      <c r="C242" s="2" t="str">
        <f>IFERROR(__xludf.DUMMYFUNCTION("""COMPUTED_VALUE"""),"Balangkare Sur, General Mamerto Natividad, NUEVA ECIJA")</f>
        <v>Balangkare Sur, General Mamerto Natividad, NUEVA ECIJA</v>
      </c>
      <c r="D242" s="2" t="str">
        <f>IFERROR(__xludf.DUMMYFUNCTION("""COMPUTED_VALUE"""),"Crispin T. Barcancel")</f>
        <v>Crispin T. Barcancel</v>
      </c>
      <c r="E242" s="2" t="str">
        <f>IFERROR(__xludf.DUMMYFUNCTION("""COMPUTED_VALUE"""),"0932-4789-927")</f>
        <v>0932-4789-927</v>
      </c>
      <c r="F242" s="2" t="str">
        <f>IFERROR(__xludf.DUMMYFUNCTION("""COMPUTED_VALUE"""),"RCEF 23-09-21 Rebidding")</f>
        <v>RCEF 23-09-21 Rebidding</v>
      </c>
      <c r="G242" s="2">
        <f>IFERROR(__xludf.DUMMYFUNCTION("""COMPUTED_VALUE"""),3.0)</f>
        <v>3</v>
      </c>
      <c r="H242" s="2">
        <f>IFERROR(__xludf.DUMMYFUNCTION("""COMPUTED_VALUE"""),18794.0)</f>
        <v>18794</v>
      </c>
      <c r="I242" s="2" t="str">
        <f>IFERROR(__xludf.DUMMYFUNCTION("""COMPUTED_VALUE"""),"KMC 5825 ACRFPV0465")</f>
        <v>KMC 5825 ACRFPV0465</v>
      </c>
      <c r="J242" s="2" t="str">
        <f>IFERROR(__xludf.DUMMYFUNCTION("""COMPUTED_VALUE"""),"RTS100374")</f>
        <v>RTS100374</v>
      </c>
      <c r="K242" s="2" t="str">
        <f>IFERROR(__xludf.DUMMYFUNCTION("""COMPUTED_VALUE"""),"R SERIES 035")</f>
        <v>R SERIES 035</v>
      </c>
      <c r="L242" s="2" t="str">
        <f>IFERROR(__xludf.DUMMYFUNCTION("""COMPUTED_VALUE"""),"LSGW1750 RMP 2312139")</f>
        <v>LSGW1750 RMP 2312139</v>
      </c>
      <c r="M242" s="2" t="str">
        <f>IFERROR(__xludf.DUMMYFUNCTION("""COMPUTED_VALUE"""),"WDP40 RMP 24020245")</f>
        <v>WDP40 RMP 24020245</v>
      </c>
      <c r="N242" s="2"/>
      <c r="O242" s="2" t="str">
        <f>IFERROR(__xludf.DUMMYFUNCTION("""COMPUTED_VALUE"""),"Balangkare Sur")</f>
        <v>Balangkare Sur</v>
      </c>
      <c r="P242" s="2" t="str">
        <f>IFERROR(__xludf.DUMMYFUNCTION("""COMPUTED_VALUE"""),"General Mamerto Natividad")</f>
        <v>General Mamerto Natividad</v>
      </c>
      <c r="Q242" s="2" t="str">
        <f>IFERROR(__xludf.DUMMYFUNCTION("""COMPUTED_VALUE"""),"Nueva Ecija")</f>
        <v>Nueva Ecija</v>
      </c>
      <c r="R242" s="2">
        <f>IFERROR(__xludf.DUMMYFUNCTION("""COMPUTED_VALUE"""),3.0)</f>
        <v>3</v>
      </c>
      <c r="S242" s="2"/>
      <c r="T242" s="2"/>
    </row>
    <row r="243">
      <c r="A243" s="1">
        <f>IFERROR(__xludf.DUMMYFUNCTION("""COMPUTED_VALUE"""),241.0)</f>
        <v>241</v>
      </c>
      <c r="B243" s="2" t="str">
        <f>IFERROR(__xludf.DUMMYFUNCTION("""COMPUTED_VALUE"""),"PITANOR FARMERS IRRIGATORS ASSOCIATION, INC.")</f>
        <v>PITANOR FARMERS IRRIGATORS ASSOCIATION, INC.</v>
      </c>
      <c r="C243" s="2" t="str">
        <f>IFERROR(__xludf.DUMMYFUNCTION("""COMPUTED_VALUE"""),"Poblacion, General Mamerto Natividad, NUEVA ECIJA")</f>
        <v>Poblacion, General Mamerto Natividad, NUEVA ECIJA</v>
      </c>
      <c r="D243" s="2" t="str">
        <f>IFERROR(__xludf.DUMMYFUNCTION("""COMPUTED_VALUE"""),"Eliseo G. Carlos")</f>
        <v>Eliseo G. Carlos</v>
      </c>
      <c r="E243" s="2" t="str">
        <f>IFERROR(__xludf.DUMMYFUNCTION("""COMPUTED_VALUE"""),"0926-506-4144")</f>
        <v>0926-506-4144</v>
      </c>
      <c r="F243" s="2" t="str">
        <f>IFERROR(__xludf.DUMMYFUNCTION("""COMPUTED_VALUE"""),"RCEF 23-09-21 Rebidding")</f>
        <v>RCEF 23-09-21 Rebidding</v>
      </c>
      <c r="G243" s="2">
        <f>IFERROR(__xludf.DUMMYFUNCTION("""COMPUTED_VALUE"""),3.0)</f>
        <v>3</v>
      </c>
      <c r="H243" s="2">
        <f>IFERROR(__xludf.DUMMYFUNCTION("""COMPUTED_VALUE"""),18795.0)</f>
        <v>18795</v>
      </c>
      <c r="I243" s="2" t="str">
        <f>IFERROR(__xludf.DUMMYFUNCTION("""COMPUTED_VALUE"""),"KMC 5825 AARFPV0301")</f>
        <v>KMC 5825 AARFPV0301</v>
      </c>
      <c r="J243" s="2" t="str">
        <f>IFERROR(__xludf.DUMMYFUNCTION("""COMPUTED_VALUE"""),"RTS 100170")</f>
        <v>RTS 100170</v>
      </c>
      <c r="K243" s="2" t="str">
        <f>IFERROR(__xludf.DUMMYFUNCTION("""COMPUTED_VALUE"""),"R SERIES 128 PH")</f>
        <v>R SERIES 128 PH</v>
      </c>
      <c r="L243" s="2" t="str">
        <f>IFERROR(__xludf.DUMMYFUNCTION("""COMPUTED_VALUE"""),"LSGW1750 RMP 2312158")</f>
        <v>LSGW1750 RMP 2312158</v>
      </c>
      <c r="M243" s="2" t="str">
        <f>IFERROR(__xludf.DUMMYFUNCTION("""COMPUTED_VALUE"""),"WDP40 RMP 2402010")</f>
        <v>WDP40 RMP 2402010</v>
      </c>
      <c r="N243" s="2"/>
      <c r="O243" s="2" t="str">
        <f>IFERROR(__xludf.DUMMYFUNCTION("""COMPUTED_VALUE"""),"Poblacion")</f>
        <v>Poblacion</v>
      </c>
      <c r="P243" s="2" t="str">
        <f>IFERROR(__xludf.DUMMYFUNCTION("""COMPUTED_VALUE"""),"General Mamerto Natividad")</f>
        <v>General Mamerto Natividad</v>
      </c>
      <c r="Q243" s="2" t="str">
        <f>IFERROR(__xludf.DUMMYFUNCTION("""COMPUTED_VALUE"""),"Nueva Ecija")</f>
        <v>Nueva Ecija</v>
      </c>
      <c r="R243" s="2">
        <f>IFERROR(__xludf.DUMMYFUNCTION("""COMPUTED_VALUE"""),3.0)</f>
        <v>3</v>
      </c>
      <c r="S243" s="2"/>
      <c r="T243" s="2"/>
    </row>
    <row r="244">
      <c r="A244" s="1">
        <f>IFERROR(__xludf.DUMMYFUNCTION("""COMPUTED_VALUE"""),242.0)</f>
        <v>242</v>
      </c>
      <c r="B244" s="2" t="str">
        <f>IFERROR(__xludf.DUMMYFUNCTION("""COMPUTED_VALUE"""),"MUNICIPAL LOCAL GOVERNMENT UNIT OF GENERAL MAMERTO NATIVIDAD")</f>
        <v>MUNICIPAL LOCAL GOVERNMENT UNIT OF GENERAL MAMERTO NATIVIDAD</v>
      </c>
      <c r="C244" s="2" t="str">
        <f>IFERROR(__xludf.DUMMYFUNCTION("""COMPUTED_VALUE"""),"POBLACION, GENERAL MAMERTO NATIVIDAD, NUEVA ECIJA")</f>
        <v>POBLACION, GENERAL MAMERTO NATIVIDAD, NUEVA ECIJA</v>
      </c>
      <c r="D244" s="2" t="str">
        <f>IFERROR(__xludf.DUMMYFUNCTION("""COMPUTED_VALUE"""),"HON. ANITA M. AROCENA")</f>
        <v>HON. ANITA M. AROCENA</v>
      </c>
      <c r="E244" s="2" t="str">
        <f>IFERROR(__xludf.DUMMYFUNCTION("""COMPUTED_VALUE"""),"0917-1561074")</f>
        <v>0917-1561074</v>
      </c>
      <c r="F244" s="2" t="str">
        <f>IFERROR(__xludf.DUMMYFUNCTION("""COMPUTED_VALUE"""),"RCEF 23-09-21 Rebidding")</f>
        <v>RCEF 23-09-21 Rebidding</v>
      </c>
      <c r="G244" s="2">
        <f>IFERROR(__xludf.DUMMYFUNCTION("""COMPUTED_VALUE"""),3.0)</f>
        <v>3</v>
      </c>
      <c r="H244" s="2">
        <f>IFERROR(__xludf.DUMMYFUNCTION("""COMPUTED_VALUE"""),18796.0)</f>
        <v>18796</v>
      </c>
      <c r="I244" s="2" t="str">
        <f>IFERROR(__xludf.DUMMYFUNCTION("""COMPUTED_VALUE"""),"KMC 5825 ALRFPV0462")</f>
        <v>KMC 5825 ALRFPV0462</v>
      </c>
      <c r="J244" s="2" t="str">
        <f>IFERROR(__xludf.DUMMYFUNCTION("""COMPUTED_VALUE"""),"RTS 100366")</f>
        <v>RTS 100366</v>
      </c>
      <c r="K244" s="2" t="str">
        <f>IFERROR(__xludf.DUMMYFUNCTION("""COMPUTED_VALUE"""),"R SERIES 166 PH")</f>
        <v>R SERIES 166 PH</v>
      </c>
      <c r="L244" s="2" t="str">
        <f>IFERROR(__xludf.DUMMYFUNCTION("""COMPUTED_VALUE"""),"LSGW1750 RMP 2312159")</f>
        <v>LSGW1750 RMP 2312159</v>
      </c>
      <c r="M244" s="2" t="str">
        <f>IFERROR(__xludf.DUMMYFUNCTION("""COMPUTED_VALUE"""),"WDP40 RMP 24020209")</f>
        <v>WDP40 RMP 24020209</v>
      </c>
      <c r="N244" s="2"/>
      <c r="O244" s="2" t="str">
        <f>IFERROR(__xludf.DUMMYFUNCTION("""COMPUTED_VALUE"""),"Poblacion")</f>
        <v>Poblacion</v>
      </c>
      <c r="P244" s="2" t="str">
        <f>IFERROR(__xludf.DUMMYFUNCTION("""COMPUTED_VALUE"""),"General Mamerto Natividad")</f>
        <v>General Mamerto Natividad</v>
      </c>
      <c r="Q244" s="2" t="str">
        <f>IFERROR(__xludf.DUMMYFUNCTION("""COMPUTED_VALUE"""),"Nueva Ecija")</f>
        <v>Nueva Ecija</v>
      </c>
      <c r="R244" s="2">
        <f>IFERROR(__xludf.DUMMYFUNCTION("""COMPUTED_VALUE"""),3.0)</f>
        <v>3</v>
      </c>
      <c r="S244" s="2"/>
      <c r="T244" s="2"/>
    </row>
    <row r="245">
      <c r="A245" s="1">
        <f>IFERROR(__xludf.DUMMYFUNCTION("""COMPUTED_VALUE"""),243.0)</f>
        <v>243</v>
      </c>
      <c r="B245" s="2" t="str">
        <f>IFERROR(__xludf.DUMMYFUNCTION("""COMPUTED_VALUE"""),"Casa Real Primary Multipurpose Cooperative")</f>
        <v>Casa Real Primary Multipurpose Cooperative</v>
      </c>
      <c r="C245" s="2" t="str">
        <f>IFERROR(__xludf.DUMMYFUNCTION("""COMPUTED_VALUE"""),"San Isidro, Laur, NUEVA ECIJA")</f>
        <v>San Isidro, Laur, NUEVA ECIJA</v>
      </c>
      <c r="D245" s="2" t="str">
        <f>IFERROR(__xludf.DUMMYFUNCTION("""COMPUTED_VALUE"""),"Romeo Ambag")</f>
        <v>Romeo Ambag</v>
      </c>
      <c r="E245" s="2" t="str">
        <f>IFERROR(__xludf.DUMMYFUNCTION("""COMPUTED_VALUE"""),"0918-412-7469")</f>
        <v>0918-412-7469</v>
      </c>
      <c r="F245" s="2" t="str">
        <f>IFERROR(__xludf.DUMMYFUNCTION("""COMPUTED_VALUE"""),"RCEF 23-09-21 Rebidding")</f>
        <v>RCEF 23-09-21 Rebidding</v>
      </c>
      <c r="G245" s="2">
        <f>IFERROR(__xludf.DUMMYFUNCTION("""COMPUTED_VALUE"""),3.0)</f>
        <v>3</v>
      </c>
      <c r="H245" s="2">
        <f>IFERROR(__xludf.DUMMYFUNCTION("""COMPUTED_VALUE"""),18798.0)</f>
        <v>18798</v>
      </c>
      <c r="I245" s="2" t="str">
        <f>IFERROR(__xludf.DUMMYFUNCTION("""COMPUTED_VALUE"""),"KMC 5825 APR FPV0386")</f>
        <v>KMC 5825 APR FPV0386</v>
      </c>
      <c r="J245" s="2" t="str">
        <f>IFERROR(__xludf.DUMMYFUNCTION("""COMPUTED_VALUE"""),"RTS 100281")</f>
        <v>RTS 100281</v>
      </c>
      <c r="K245" s="2" t="str">
        <f>IFERROR(__xludf.DUMMYFUNCTION("""COMPUTED_VALUE"""),"R SERIES 001PH")</f>
        <v>R SERIES 001PH</v>
      </c>
      <c r="L245" s="2" t="str">
        <f>IFERROR(__xludf.DUMMYFUNCTION("""COMPUTED_VALUE"""),"LSGW1750 RMP 2312157")</f>
        <v>LSGW1750 RMP 2312157</v>
      </c>
      <c r="M245" s="2" t="str">
        <f>IFERROR(__xludf.DUMMYFUNCTION("""COMPUTED_VALUE"""),"WDP40 RMP 24020208")</f>
        <v>WDP40 RMP 24020208</v>
      </c>
      <c r="N245" s="2"/>
      <c r="O245" s="2" t="str">
        <f>IFERROR(__xludf.DUMMYFUNCTION("""COMPUTED_VALUE"""),"San Isidro")</f>
        <v>San Isidro</v>
      </c>
      <c r="P245" s="2" t="str">
        <f>IFERROR(__xludf.DUMMYFUNCTION("""COMPUTED_VALUE"""),"Laur")</f>
        <v>Laur</v>
      </c>
      <c r="Q245" s="2" t="str">
        <f>IFERROR(__xludf.DUMMYFUNCTION("""COMPUTED_VALUE"""),"Nueva Ecija")</f>
        <v>Nueva Ecija</v>
      </c>
      <c r="R245" s="2">
        <f>IFERROR(__xludf.DUMMYFUNCTION("""COMPUTED_VALUE"""),3.0)</f>
        <v>3</v>
      </c>
      <c r="S245" s="2"/>
      <c r="T245" s="2"/>
    </row>
    <row r="246">
      <c r="A246" s="1">
        <f>IFERROR(__xludf.DUMMYFUNCTION("""COMPUTED_VALUE"""),244.0)</f>
        <v>244</v>
      </c>
      <c r="B246" s="2" t="str">
        <f>IFERROR(__xludf.DUMMYFUNCTION("""COMPUTED_VALUE"""),"SAN VICENTE-ALINTUTUAN IRRIGATORS ASSOCIATION INC.")</f>
        <v>SAN VICENTE-ALINTUTUAN IRRIGATORS ASSOCIATION INC.</v>
      </c>
      <c r="C246" s="2" t="str">
        <f>IFERROR(__xludf.DUMMYFUNCTION("""COMPUTED_VALUE"""),"San Vicente, Laur, NUEVA ECIJA")</f>
        <v>San Vicente, Laur, NUEVA ECIJA</v>
      </c>
      <c r="D246" s="2" t="str">
        <f>IFERROR(__xludf.DUMMYFUNCTION("""COMPUTED_VALUE"""),"Erwin De Guzman")</f>
        <v>Erwin De Guzman</v>
      </c>
      <c r="E246" s="2" t="str">
        <f>IFERROR(__xludf.DUMMYFUNCTION("""COMPUTED_VALUE"""),"0929-318-5220 / 0920-837-6120")</f>
        <v>0929-318-5220 / 0920-837-6120</v>
      </c>
      <c r="F246" s="2" t="str">
        <f>IFERROR(__xludf.DUMMYFUNCTION("""COMPUTED_VALUE"""),"RCEF 23-09-21 Rebidding")</f>
        <v>RCEF 23-09-21 Rebidding</v>
      </c>
      <c r="G246" s="2">
        <f>IFERROR(__xludf.DUMMYFUNCTION("""COMPUTED_VALUE"""),3.0)</f>
        <v>3</v>
      </c>
      <c r="H246" s="2">
        <f>IFERROR(__xludf.DUMMYFUNCTION("""COMPUTED_VALUE"""),18799.0)</f>
        <v>18799</v>
      </c>
      <c r="I246" s="2" t="str">
        <f>IFERROR(__xludf.DUMMYFUNCTION("""COMPUTED_VALUE"""),"KMC 5825 AARFPV0539")</f>
        <v>KMC 5825 AARFPV0539</v>
      </c>
      <c r="J246" s="2" t="str">
        <f>IFERROR(__xludf.DUMMYFUNCTION("""COMPUTED_VALUE"""),"RTS 100448")</f>
        <v>RTS 100448</v>
      </c>
      <c r="K246" s="2" t="str">
        <f>IFERROR(__xludf.DUMMYFUNCTION("""COMPUTED_VALUE"""),"R SERIES 386")</f>
        <v>R SERIES 386</v>
      </c>
      <c r="L246" s="2" t="str">
        <f>IFERROR(__xludf.DUMMYFUNCTION("""COMPUTED_VALUE"""),"LSGW1750 RMP 2312166")</f>
        <v>LSGW1750 RMP 2312166</v>
      </c>
      <c r="M246" s="2" t="str">
        <f>IFERROR(__xludf.DUMMYFUNCTION("""COMPUTED_VALUE"""),"WDP40 RMP 24020205")</f>
        <v>WDP40 RMP 24020205</v>
      </c>
      <c r="N246" s="2"/>
      <c r="O246" s="2" t="str">
        <f>IFERROR(__xludf.DUMMYFUNCTION("""COMPUTED_VALUE"""),"San Vicente")</f>
        <v>San Vicente</v>
      </c>
      <c r="P246" s="2" t="str">
        <f>IFERROR(__xludf.DUMMYFUNCTION("""COMPUTED_VALUE"""),"Laur")</f>
        <v>Laur</v>
      </c>
      <c r="Q246" s="2" t="str">
        <f>IFERROR(__xludf.DUMMYFUNCTION("""COMPUTED_VALUE"""),"Nueva Ecija")</f>
        <v>Nueva Ecija</v>
      </c>
      <c r="R246" s="2">
        <f>IFERROR(__xludf.DUMMYFUNCTION("""COMPUTED_VALUE"""),3.0)</f>
        <v>3</v>
      </c>
      <c r="S246" s="2"/>
      <c r="T246" s="2"/>
    </row>
    <row r="247">
      <c r="A247" s="1">
        <f>IFERROR(__xludf.DUMMYFUNCTION("""COMPUTED_VALUE"""),245.0)</f>
        <v>245</v>
      </c>
      <c r="B247" s="2" t="str">
        <f>IFERROR(__xludf.DUMMYFUNCTION("""COMPUTED_VALUE"""),"POPOLON FARMERS ASSOCIATION, PALAYAN CITY")</f>
        <v>POPOLON FARMERS ASSOCIATION, PALAYAN CITY</v>
      </c>
      <c r="C247" s="2" t="str">
        <f>IFERROR(__xludf.DUMMYFUNCTION("""COMPUTED_VALUE"""),"Popolon Pagas, Palayan City, NUEVA ECIJA")</f>
        <v>Popolon Pagas, Palayan City, NUEVA ECIJA</v>
      </c>
      <c r="D247" s="2" t="str">
        <f>IFERROR(__xludf.DUMMYFUNCTION("""COMPUTED_VALUE"""),"Maria Theresa Bernabe")</f>
        <v>Maria Theresa Bernabe</v>
      </c>
      <c r="E247" s="2" t="str">
        <f>IFERROR(__xludf.DUMMYFUNCTION("""COMPUTED_VALUE"""),"0946-426-3647")</f>
        <v>0946-426-3647</v>
      </c>
      <c r="F247" s="2" t="str">
        <f>IFERROR(__xludf.DUMMYFUNCTION("""COMPUTED_VALUE"""),"RCEF 23-09-21 Rebidding")</f>
        <v>RCEF 23-09-21 Rebidding</v>
      </c>
      <c r="G247" s="2">
        <f>IFERROR(__xludf.DUMMYFUNCTION("""COMPUTED_VALUE"""),3.0)</f>
        <v>3</v>
      </c>
      <c r="H247" s="2">
        <f>IFERROR(__xludf.DUMMYFUNCTION("""COMPUTED_VALUE"""),18800.0)</f>
        <v>18800</v>
      </c>
      <c r="I247" s="2" t="str">
        <f>IFERROR(__xludf.DUMMYFUNCTION("""COMPUTED_VALUE"""),"KMC 5825 AIRFPVV0399")</f>
        <v>KMC 5825 AIRFPVV0399</v>
      </c>
      <c r="J247" s="2" t="str">
        <f>IFERROR(__xludf.DUMMYFUNCTION("""COMPUTED_VALUE"""),"RTS 100297")</f>
        <v>RTS 100297</v>
      </c>
      <c r="K247" s="2" t="str">
        <f>IFERROR(__xludf.DUMMYFUNCTION("""COMPUTED_VALUE"""),"R SERIES 020 PH")</f>
        <v>R SERIES 020 PH</v>
      </c>
      <c r="L247" s="2" t="str">
        <f>IFERROR(__xludf.DUMMYFUNCTION("""COMPUTED_VALUE"""),"LSGW1750 RMP 2312145")</f>
        <v>LSGW1750 RMP 2312145</v>
      </c>
      <c r="M247" s="2" t="str">
        <f>IFERROR(__xludf.DUMMYFUNCTION("""COMPUTED_VALUE"""),"WDP40 RMP 24020197")</f>
        <v>WDP40 RMP 24020197</v>
      </c>
      <c r="N247" s="2"/>
      <c r="O247" s="2" t="str">
        <f>IFERROR(__xludf.DUMMYFUNCTION("""COMPUTED_VALUE"""),"Popolon Pagas")</f>
        <v>Popolon Pagas</v>
      </c>
      <c r="P247" s="2" t="str">
        <f>IFERROR(__xludf.DUMMYFUNCTION("""COMPUTED_VALUE"""),"Palayan City")</f>
        <v>Palayan City</v>
      </c>
      <c r="Q247" s="2" t="str">
        <f>IFERROR(__xludf.DUMMYFUNCTION("""COMPUTED_VALUE"""),"Nueva Ecija")</f>
        <v>Nueva Ecija</v>
      </c>
      <c r="R247" s="2">
        <f>IFERROR(__xludf.DUMMYFUNCTION("""COMPUTED_VALUE"""),3.0)</f>
        <v>3</v>
      </c>
      <c r="S247" s="2"/>
      <c r="T247" s="2"/>
    </row>
    <row r="248">
      <c r="A248" s="1">
        <f>IFERROR(__xludf.DUMMYFUNCTION("""COMPUTED_VALUE"""),246.0)</f>
        <v>246</v>
      </c>
      <c r="B248" s="2" t="str">
        <f>IFERROR(__xludf.DUMMYFUNCTION("""COMPUTED_VALUE"""),"BINHING BUTIL AGRICULTURAL MAKER ASSOCIATION (BBAMA)")</f>
        <v>BINHING BUTIL AGRICULTURAL MAKER ASSOCIATION (BBAMA)</v>
      </c>
      <c r="C248" s="2" t="str">
        <f>IFERROR(__xludf.DUMMYFUNCTION("""COMPUTED_VALUE"""),", Penaranda, NUEVA ECIJA")</f>
        <v>, Penaranda, NUEVA ECIJA</v>
      </c>
      <c r="D248" s="2" t="str">
        <f>IFERROR(__xludf.DUMMYFUNCTION("""COMPUTED_VALUE"""),"ROGELIO RAMOS")</f>
        <v>ROGELIO RAMOS</v>
      </c>
      <c r="E248" s="2">
        <f>IFERROR(__xludf.DUMMYFUNCTION("""COMPUTED_VALUE"""),9.614554945E9)</f>
        <v>9614554945</v>
      </c>
      <c r="F248" s="2" t="str">
        <f>IFERROR(__xludf.DUMMYFUNCTION("""COMPUTED_VALUE"""),"RCEF 23-09-21 Rebidding")</f>
        <v>RCEF 23-09-21 Rebidding</v>
      </c>
      <c r="G248" s="2">
        <f>IFERROR(__xludf.DUMMYFUNCTION("""COMPUTED_VALUE"""),3.0)</f>
        <v>3</v>
      </c>
      <c r="H248" s="2">
        <f>IFERROR(__xludf.DUMMYFUNCTION("""COMPUTED_VALUE"""),18803.0)</f>
        <v>18803</v>
      </c>
      <c r="I248" s="2" t="str">
        <f>IFERROR(__xludf.DUMMYFUNCTION("""COMPUTED_VALUE"""),"KMC 5825")</f>
        <v>KMC 5825</v>
      </c>
      <c r="J248" s="2" t="str">
        <f>IFERROR(__xludf.DUMMYFUNCTION("""COMPUTED_VALUE"""),"RTS 100226")</f>
        <v>RTS 100226</v>
      </c>
      <c r="K248" s="2" t="str">
        <f>IFERROR(__xludf.DUMMYFUNCTION("""COMPUTED_VALUE"""),"R SERIES 040 PH")</f>
        <v>R SERIES 040 PH</v>
      </c>
      <c r="L248" s="2" t="str">
        <f>IFERROR(__xludf.DUMMYFUNCTION("""COMPUTED_VALUE"""),"LSGW1750 RMP 2312151")</f>
        <v>LSGW1750 RMP 2312151</v>
      </c>
      <c r="M248" s="2" t="str">
        <f>IFERROR(__xludf.DUMMYFUNCTION("""COMPUTED_VALUE"""),"WDP40 RMP 24020236")</f>
        <v>WDP40 RMP 24020236</v>
      </c>
      <c r="N248" s="2"/>
      <c r="O248" s="2" t="str">
        <f>IFERROR(__xludf.DUMMYFUNCTION("""COMPUTED_VALUE"""),"")</f>
        <v/>
      </c>
      <c r="P248" s="2" t="str">
        <f>IFERROR(__xludf.DUMMYFUNCTION("""COMPUTED_VALUE"""),"Penaranda")</f>
        <v>Penaranda</v>
      </c>
      <c r="Q248" s="2" t="str">
        <f>IFERROR(__xludf.DUMMYFUNCTION("""COMPUTED_VALUE"""),"Nueva Ecija")</f>
        <v>Nueva Ecija</v>
      </c>
      <c r="R248" s="2">
        <f>IFERROR(__xludf.DUMMYFUNCTION("""COMPUTED_VALUE"""),3.0)</f>
        <v>3</v>
      </c>
      <c r="S248" s="2"/>
      <c r="T248" s="2"/>
    </row>
    <row r="249">
      <c r="A249" s="1">
        <f>IFERROR(__xludf.DUMMYFUNCTION("""COMPUTED_VALUE"""),247.0)</f>
        <v>247</v>
      </c>
      <c r="B249" s="2" t="str">
        <f>IFERROR(__xludf.DUMMYFUNCTION("""COMPUTED_VALUE"""),"RAJAL CENTRO IRRIGATORS ASSOCIATION, INC.")</f>
        <v>RAJAL CENTRO IRRIGATORS ASSOCIATION, INC.</v>
      </c>
      <c r="C249" s="2" t="str">
        <f>IFERROR(__xludf.DUMMYFUNCTION("""COMPUTED_VALUE"""),"Rajal Centro, Santa Rosa, NUEVA ECIJA")</f>
        <v>Rajal Centro, Santa Rosa, NUEVA ECIJA</v>
      </c>
      <c r="D249" s="2" t="str">
        <f>IFERROR(__xludf.DUMMYFUNCTION("""COMPUTED_VALUE"""),"Victor Hernandez")</f>
        <v>Victor Hernandez</v>
      </c>
      <c r="E249" s="2" t="str">
        <f>IFERROR(__xludf.DUMMYFUNCTION("""COMPUTED_VALUE"""),"0927-470-8816")</f>
        <v>0927-470-8816</v>
      </c>
      <c r="F249" s="2" t="str">
        <f>IFERROR(__xludf.DUMMYFUNCTION("""COMPUTED_VALUE"""),"RCEF 23-09-21 Rebidding")</f>
        <v>RCEF 23-09-21 Rebidding</v>
      </c>
      <c r="G249" s="2">
        <f>IFERROR(__xludf.DUMMYFUNCTION("""COMPUTED_VALUE"""),3.0)</f>
        <v>3</v>
      </c>
      <c r="H249" s="2">
        <f>IFERROR(__xludf.DUMMYFUNCTION("""COMPUTED_VALUE"""),18805.0)</f>
        <v>18805</v>
      </c>
      <c r="I249" s="2" t="str">
        <f>IFERROR(__xludf.DUMMYFUNCTION("""COMPUTED_VALUE"""),"KMC 5825 AJRFPV0536")</f>
        <v>KMC 5825 AJRFPV0536</v>
      </c>
      <c r="J249" s="2" t="str">
        <f>IFERROR(__xludf.DUMMYFUNCTION("""COMPUTED_VALUE"""),"RTS 100202")</f>
        <v>RTS 100202</v>
      </c>
      <c r="K249" s="2" t="str">
        <f>IFERROR(__xludf.DUMMYFUNCTION("""COMPUTED_VALUE"""),"R SERIES 390 PH")</f>
        <v>R SERIES 390 PH</v>
      </c>
      <c r="L249" s="2" t="str">
        <f>IFERROR(__xludf.DUMMYFUNCTION("""COMPUTED_VALUE"""),"LSGW1750 RMP 24020461")</f>
        <v>LSGW1750 RMP 24020461</v>
      </c>
      <c r="M249" s="2" t="str">
        <f>IFERROR(__xludf.DUMMYFUNCTION("""COMPUTED_VALUE"""),"WDP40 RMP 24020182")</f>
        <v>WDP40 RMP 24020182</v>
      </c>
      <c r="N249" s="2"/>
      <c r="O249" s="2" t="str">
        <f>IFERROR(__xludf.DUMMYFUNCTION("""COMPUTED_VALUE"""),"Rajal Centro")</f>
        <v>Rajal Centro</v>
      </c>
      <c r="P249" s="2" t="str">
        <f>IFERROR(__xludf.DUMMYFUNCTION("""COMPUTED_VALUE"""),"Santa Rosa")</f>
        <v>Santa Rosa</v>
      </c>
      <c r="Q249" s="2" t="str">
        <f>IFERROR(__xludf.DUMMYFUNCTION("""COMPUTED_VALUE"""),"Nueva Ecija")</f>
        <v>Nueva Ecija</v>
      </c>
      <c r="R249" s="2">
        <f>IFERROR(__xludf.DUMMYFUNCTION("""COMPUTED_VALUE"""),3.0)</f>
        <v>3</v>
      </c>
      <c r="S249" s="2"/>
      <c r="T249" s="2"/>
    </row>
    <row r="250">
      <c r="A250" s="1">
        <f>IFERROR(__xludf.DUMMYFUNCTION("""COMPUTED_VALUE"""),248.0)</f>
        <v>248</v>
      </c>
      <c r="B250" s="2" t="str">
        <f>IFERROR(__xludf.DUMMYFUNCTION("""COMPUTED_VALUE"""),"KANDAMPOL FARMERS IRRIGATORS ASSOCIATION, INC.")</f>
        <v>KANDAMPOL FARMERS IRRIGATORS ASSOCIATION, INC.</v>
      </c>
      <c r="C250" s="2" t="str">
        <f>IFERROR(__xludf.DUMMYFUNCTION("""COMPUTED_VALUE"""),"Santa Isabel, Cabiao, NUEVA ECIJA")</f>
        <v>Santa Isabel, Cabiao, NUEVA ECIJA</v>
      </c>
      <c r="D250" s="2" t="str">
        <f>IFERROR(__xludf.DUMMYFUNCTION("""COMPUTED_VALUE"""),"Alejandro Q. Mangilit")</f>
        <v>Alejandro Q. Mangilit</v>
      </c>
      <c r="E250" s="2" t="str">
        <f>IFERROR(__xludf.DUMMYFUNCTION("""COMPUTED_VALUE"""),"0936-271-5143")</f>
        <v>0936-271-5143</v>
      </c>
      <c r="F250" s="2" t="str">
        <f>IFERROR(__xludf.DUMMYFUNCTION("""COMPUTED_VALUE"""),"RCEF 23-09-21 Rebidding")</f>
        <v>RCEF 23-09-21 Rebidding</v>
      </c>
      <c r="G250" s="2">
        <f>IFERROR(__xludf.DUMMYFUNCTION("""COMPUTED_VALUE"""),3.0)</f>
        <v>3</v>
      </c>
      <c r="H250" s="2">
        <f>IFERROR(__xludf.DUMMYFUNCTION("""COMPUTED_VALUE"""),18807.0)</f>
        <v>18807</v>
      </c>
      <c r="I250" s="2" t="str">
        <f>IFERROR(__xludf.DUMMYFUNCTION("""COMPUTED_VALUE"""),"KMC5825 ACRFPV0398")</f>
        <v>KMC5825 ACRFPV0398</v>
      </c>
      <c r="J250" s="2" t="str">
        <f>IFERROR(__xludf.DUMMYFUNCTION("""COMPUTED_VALUE"""),"RTS100288")</f>
        <v>RTS100288</v>
      </c>
      <c r="K250" s="2" t="str">
        <f>IFERROR(__xludf.DUMMYFUNCTION("""COMPUTED_VALUE"""),"R-SERIES 160 PH")</f>
        <v>R-SERIES 160 PH</v>
      </c>
      <c r="L250" s="2" t="str">
        <f>IFERROR(__xludf.DUMMYFUNCTION("""COMPUTED_VALUE"""),"LSGW1750 RMP 24020498")</f>
        <v>LSGW1750 RMP 24020498</v>
      </c>
      <c r="M250" s="2" t="str">
        <f>IFERROR(__xludf.DUMMYFUNCTION("""COMPUTED_VALUE"""),"WDP40 RMP 24050622")</f>
        <v>WDP40 RMP 24050622</v>
      </c>
      <c r="N250" s="2"/>
      <c r="O250" s="2" t="str">
        <f>IFERROR(__xludf.DUMMYFUNCTION("""COMPUTED_VALUE"""),"Santa Isabel")</f>
        <v>Santa Isabel</v>
      </c>
      <c r="P250" s="2" t="str">
        <f>IFERROR(__xludf.DUMMYFUNCTION("""COMPUTED_VALUE"""),"Cabiao")</f>
        <v>Cabiao</v>
      </c>
      <c r="Q250" s="2" t="str">
        <f>IFERROR(__xludf.DUMMYFUNCTION("""COMPUTED_VALUE"""),"Nueva Ecija")</f>
        <v>Nueva Ecija</v>
      </c>
      <c r="R250" s="2">
        <f>IFERROR(__xludf.DUMMYFUNCTION("""COMPUTED_VALUE"""),3.0)</f>
        <v>3</v>
      </c>
      <c r="S250" s="2"/>
      <c r="T250" s="2"/>
    </row>
    <row r="251">
      <c r="A251" s="1">
        <f>IFERROR(__xludf.DUMMYFUNCTION("""COMPUTED_VALUE"""),249.0)</f>
        <v>249</v>
      </c>
      <c r="B251" s="2" t="str">
        <f>IFERROR(__xludf.DUMMYFUNCTION("""COMPUTED_VALUE"""),"MARELO FARMERS IRRIGATORS ASSOCIATION INC.")</f>
        <v>MARELO FARMERS IRRIGATORS ASSOCIATION INC.</v>
      </c>
      <c r="C251" s="2" t="str">
        <f>IFERROR(__xludf.DUMMYFUNCTION("""COMPUTED_VALUE"""),"Marelo, Gapan City, NUEVA ECIJA")</f>
        <v>Marelo, Gapan City, NUEVA ECIJA</v>
      </c>
      <c r="D251" s="2" t="str">
        <f>IFERROR(__xludf.DUMMYFUNCTION("""COMPUTED_VALUE"""),"Leoncio DG. Dela Cruz")</f>
        <v>Leoncio DG. Dela Cruz</v>
      </c>
      <c r="E251" s="2" t="str">
        <f>IFERROR(__xludf.DUMMYFUNCTION("""COMPUTED_VALUE"""),"0997-833-9241")</f>
        <v>0997-833-9241</v>
      </c>
      <c r="F251" s="2" t="str">
        <f>IFERROR(__xludf.DUMMYFUNCTION("""COMPUTED_VALUE"""),"RCEF 23-09-21 Rebidding")</f>
        <v>RCEF 23-09-21 Rebidding</v>
      </c>
      <c r="G251" s="2">
        <f>IFERROR(__xludf.DUMMYFUNCTION("""COMPUTED_VALUE"""),3.0)</f>
        <v>3</v>
      </c>
      <c r="H251" s="2">
        <f>IFERROR(__xludf.DUMMYFUNCTION("""COMPUTED_VALUE"""),18808.0)</f>
        <v>18808</v>
      </c>
      <c r="I251" s="2" t="str">
        <f>IFERROR(__xludf.DUMMYFUNCTION("""COMPUTED_VALUE"""),"KMC5825 APRFPV0503")</f>
        <v>KMC5825 APRFPV0503</v>
      </c>
      <c r="J251" s="2" t="str">
        <f>IFERROR(__xludf.DUMMYFUNCTION("""COMPUTED_VALUE"""),"RTS100418")</f>
        <v>RTS100418</v>
      </c>
      <c r="K251" s="2" t="str">
        <f>IFERROR(__xludf.DUMMYFUNCTION("""COMPUTED_VALUE"""),"R-SERIES 418 PH")</f>
        <v>R-SERIES 418 PH</v>
      </c>
      <c r="L251" s="2" t="str">
        <f>IFERROR(__xludf.DUMMYFUNCTION("""COMPUTED_VALUE"""),"LSGW1750 RMP 24020482")</f>
        <v>LSGW1750 RMP 24020482</v>
      </c>
      <c r="M251" s="2" t="str">
        <f>IFERROR(__xludf.DUMMYFUNCTION("""COMPUTED_VALUE"""),"WDP40 RMP 24050617")</f>
        <v>WDP40 RMP 24050617</v>
      </c>
      <c r="N251" s="2"/>
      <c r="O251" s="2" t="str">
        <f>IFERROR(__xludf.DUMMYFUNCTION("""COMPUTED_VALUE"""),"Marelo")</f>
        <v>Marelo</v>
      </c>
      <c r="P251" s="2" t="str">
        <f>IFERROR(__xludf.DUMMYFUNCTION("""COMPUTED_VALUE"""),"Gapan City")</f>
        <v>Gapan City</v>
      </c>
      <c r="Q251" s="2" t="str">
        <f>IFERROR(__xludf.DUMMYFUNCTION("""COMPUTED_VALUE"""),"Nueva Ecija")</f>
        <v>Nueva Ecija</v>
      </c>
      <c r="R251" s="2">
        <f>IFERROR(__xludf.DUMMYFUNCTION("""COMPUTED_VALUE"""),3.0)</f>
        <v>3</v>
      </c>
      <c r="S251" s="2"/>
      <c r="T251" s="2"/>
    </row>
    <row r="252">
      <c r="A252" s="1">
        <f>IFERROR(__xludf.DUMMYFUNCTION("""COMPUTED_VALUE"""),250.0)</f>
        <v>250</v>
      </c>
      <c r="B252" s="2" t="str">
        <f>IFERROR(__xludf.DUMMYFUNCTION("""COMPUTED_VALUE"""),"PINAGPALA IRRIGATORS' ASSOCIATION, INC.")</f>
        <v>PINAGPALA IRRIGATORS' ASSOCIATION, INC.</v>
      </c>
      <c r="C252" s="2" t="str">
        <f>IFERROR(__xludf.DUMMYFUNCTION("""COMPUTED_VALUE"""),"San Fernando Norte, Cabiao, NUEVA ECIJA")</f>
        <v>San Fernando Norte, Cabiao, NUEVA ECIJA</v>
      </c>
      <c r="D252" s="2" t="str">
        <f>IFERROR(__xludf.DUMMYFUNCTION("""COMPUTED_VALUE"""),"Bonifacio Cunanan Sr.")</f>
        <v>Bonifacio Cunanan Sr.</v>
      </c>
      <c r="E252" s="2" t="str">
        <f>IFERROR(__xludf.DUMMYFUNCTION("""COMPUTED_VALUE"""),"0923-367-1053")</f>
        <v>0923-367-1053</v>
      </c>
      <c r="F252" s="2" t="str">
        <f>IFERROR(__xludf.DUMMYFUNCTION("""COMPUTED_VALUE"""),"RCEF 23-09-21 Rebidding")</f>
        <v>RCEF 23-09-21 Rebidding</v>
      </c>
      <c r="G252" s="2">
        <f>IFERROR(__xludf.DUMMYFUNCTION("""COMPUTED_VALUE"""),3.0)</f>
        <v>3</v>
      </c>
      <c r="H252" s="2">
        <f>IFERROR(__xludf.DUMMYFUNCTION("""COMPUTED_VALUE"""),18809.0)</f>
        <v>18809</v>
      </c>
      <c r="I252" s="2" t="str">
        <f>IFERROR(__xludf.DUMMYFUNCTION("""COMPUTED_VALUE"""),"KMC5825 ATRFPV0497")</f>
        <v>KMC5825 ATRFPV0497</v>
      </c>
      <c r="J252" s="2" t="str">
        <f>IFERROR(__xludf.DUMMYFUNCTION("""COMPUTED_VALUE"""),"RTS100411")</f>
        <v>RTS100411</v>
      </c>
      <c r="K252" s="2" t="str">
        <f>IFERROR(__xludf.DUMMYFUNCTION("""COMPUTED_VALUE"""),"R-SERIES 416 PH")</f>
        <v>R-SERIES 416 PH</v>
      </c>
      <c r="L252" s="2" t="str">
        <f>IFERROR(__xludf.DUMMYFUNCTION("""COMPUTED_VALUE"""),"LSGW1750 RMP 24020453")</f>
        <v>LSGW1750 RMP 24020453</v>
      </c>
      <c r="M252" s="2" t="str">
        <f>IFERROR(__xludf.DUMMYFUNCTION("""COMPUTED_VALUE"""),"WDP40 RMP 24050624")</f>
        <v>WDP40 RMP 24050624</v>
      </c>
      <c r="N252" s="2"/>
      <c r="O252" s="2" t="str">
        <f>IFERROR(__xludf.DUMMYFUNCTION("""COMPUTED_VALUE"""),"San Fernando Norte")</f>
        <v>San Fernando Norte</v>
      </c>
      <c r="P252" s="2" t="str">
        <f>IFERROR(__xludf.DUMMYFUNCTION("""COMPUTED_VALUE"""),"Cabiao")</f>
        <v>Cabiao</v>
      </c>
      <c r="Q252" s="2" t="str">
        <f>IFERROR(__xludf.DUMMYFUNCTION("""COMPUTED_VALUE"""),"Nueva Ecija")</f>
        <v>Nueva Ecija</v>
      </c>
      <c r="R252" s="2">
        <f>IFERROR(__xludf.DUMMYFUNCTION("""COMPUTED_VALUE"""),3.0)</f>
        <v>3</v>
      </c>
      <c r="S252" s="2"/>
      <c r="T252" s="2"/>
    </row>
    <row r="253">
      <c r="A253" s="1">
        <f>IFERROR(__xludf.DUMMYFUNCTION("""COMPUTED_VALUE"""),251.0)</f>
        <v>251</v>
      </c>
      <c r="B253" s="2" t="str">
        <f>IFERROR(__xludf.DUMMYFUNCTION("""COMPUTED_VALUE"""),"SANTUYO WATER PUMP IRRIGATORS ASSOCIATION INC.")</f>
        <v>SANTUYO WATER PUMP IRRIGATORS ASSOCIATION INC.</v>
      </c>
      <c r="C253" s="2" t="str">
        <f>IFERROR(__xludf.DUMMYFUNCTION("""COMPUTED_VALUE"""),"Rio Chico, General Tinio, NUEVA ECIJA")</f>
        <v>Rio Chico, General Tinio, NUEVA ECIJA</v>
      </c>
      <c r="D253" s="2" t="str">
        <f>IFERROR(__xludf.DUMMYFUNCTION("""COMPUTED_VALUE"""),"Eddie C. Corpuz")</f>
        <v>Eddie C. Corpuz</v>
      </c>
      <c r="E253" s="2" t="str">
        <f>IFERROR(__xludf.DUMMYFUNCTION("""COMPUTED_VALUE"""),"0967-849-4299")</f>
        <v>0967-849-4299</v>
      </c>
      <c r="F253" s="2" t="str">
        <f>IFERROR(__xludf.DUMMYFUNCTION("""COMPUTED_VALUE"""),"RCEF 23-09-21 Rebidding")</f>
        <v>RCEF 23-09-21 Rebidding</v>
      </c>
      <c r="G253" s="2">
        <f>IFERROR(__xludf.DUMMYFUNCTION("""COMPUTED_VALUE"""),3.0)</f>
        <v>3</v>
      </c>
      <c r="H253" s="2">
        <f>IFERROR(__xludf.DUMMYFUNCTION("""COMPUTED_VALUE"""),18810.0)</f>
        <v>18810</v>
      </c>
      <c r="I253" s="2" t="str">
        <f>IFERROR(__xludf.DUMMYFUNCTION("""COMPUTED_VALUE"""),"KMC5825 AHRFPV0320")</f>
        <v>KMC5825 AHRFPV0320</v>
      </c>
      <c r="J253" s="2" t="str">
        <f>IFERROR(__xludf.DUMMYFUNCTION("""COMPUTED_VALUE"""),"RTS100204")</f>
        <v>RTS100204</v>
      </c>
      <c r="K253" s="2" t="str">
        <f>IFERROR(__xludf.DUMMYFUNCTION("""COMPUTED_VALUE"""),"R-SERIES 420 PH")</f>
        <v>R-SERIES 420 PH</v>
      </c>
      <c r="L253" s="2" t="str">
        <f>IFERROR(__xludf.DUMMYFUNCTION("""COMPUTED_VALUE"""),"LSGW1750 RMP 24020452")</f>
        <v>LSGW1750 RMP 24020452</v>
      </c>
      <c r="M253" s="2" t="str">
        <f>IFERROR(__xludf.DUMMYFUNCTION("""COMPUTED_VALUE"""),"WDP40 RMP 24030348")</f>
        <v>WDP40 RMP 24030348</v>
      </c>
      <c r="N253" s="2"/>
      <c r="O253" s="2" t="str">
        <f>IFERROR(__xludf.DUMMYFUNCTION("""COMPUTED_VALUE"""),"Rio Chico")</f>
        <v>Rio Chico</v>
      </c>
      <c r="P253" s="2" t="str">
        <f>IFERROR(__xludf.DUMMYFUNCTION("""COMPUTED_VALUE"""),"General Tinio")</f>
        <v>General Tinio</v>
      </c>
      <c r="Q253" s="2" t="str">
        <f>IFERROR(__xludf.DUMMYFUNCTION("""COMPUTED_VALUE"""),"Nueva Ecija")</f>
        <v>Nueva Ecija</v>
      </c>
      <c r="R253" s="2">
        <f>IFERROR(__xludf.DUMMYFUNCTION("""COMPUTED_VALUE"""),3.0)</f>
        <v>3</v>
      </c>
      <c r="S253" s="2"/>
      <c r="T253" s="2"/>
    </row>
    <row r="254">
      <c r="A254" s="1">
        <f>IFERROR(__xludf.DUMMYFUNCTION("""COMPUTED_VALUE"""),252.0)</f>
        <v>252</v>
      </c>
      <c r="B254" s="2" t="str">
        <f>IFERROR(__xludf.DUMMYFUNCTION("""COMPUTED_VALUE"""),"IMPAMACOR IRRIGATORS' ASSOCIATION, INC.")</f>
        <v>IMPAMACOR IRRIGATORS' ASSOCIATION, INC.</v>
      </c>
      <c r="C254" s="2" t="str">
        <f>IFERROR(__xludf.DUMMYFUNCTION("""COMPUTED_VALUE"""),"Imbunia, Jaen, NUEVA ECIJA")</f>
        <v>Imbunia, Jaen, NUEVA ECIJA</v>
      </c>
      <c r="D254" s="2" t="str">
        <f>IFERROR(__xludf.DUMMYFUNCTION("""COMPUTED_VALUE"""),"Cornelio Pradez")</f>
        <v>Cornelio Pradez</v>
      </c>
      <c r="E254" s="2" t="str">
        <f>IFERROR(__xludf.DUMMYFUNCTION("""COMPUTED_VALUE"""),"0936-675-7196")</f>
        <v>0936-675-7196</v>
      </c>
      <c r="F254" s="2" t="str">
        <f>IFERROR(__xludf.DUMMYFUNCTION("""COMPUTED_VALUE"""),"RCEF 23-09-21 Rebidding")</f>
        <v>RCEF 23-09-21 Rebidding</v>
      </c>
      <c r="G254" s="2">
        <f>IFERROR(__xludf.DUMMYFUNCTION("""COMPUTED_VALUE"""),3.0)</f>
        <v>3</v>
      </c>
      <c r="H254" s="2">
        <f>IFERROR(__xludf.DUMMYFUNCTION("""COMPUTED_VALUE"""),18811.0)</f>
        <v>18811</v>
      </c>
      <c r="I254" s="2" t="str">
        <f>IFERROR(__xludf.DUMMYFUNCTION("""COMPUTED_VALUE"""),"KMC5825 AERFPV0433")</f>
        <v>KMC5825 AERFPV0433</v>
      </c>
      <c r="J254" s="2" t="str">
        <f>IFERROR(__xludf.DUMMYFUNCTION("""COMPUTED_VALUE"""),"RTS100335")</f>
        <v>RTS100335</v>
      </c>
      <c r="K254" s="2" t="str">
        <f>IFERROR(__xludf.DUMMYFUNCTION("""COMPUTED_VALUE"""),"R-SERIES 159 PH")</f>
        <v>R-SERIES 159 PH</v>
      </c>
      <c r="L254" s="2" t="str">
        <f>IFERROR(__xludf.DUMMYFUNCTION("""COMPUTED_VALUE"""),"LSGW1750 RMP 24020447")</f>
        <v>LSGW1750 RMP 24020447</v>
      </c>
      <c r="M254" s="2" t="str">
        <f>IFERROR(__xludf.DUMMYFUNCTION("""COMPUTED_VALUE"""),"WDP40 RMP 24050598")</f>
        <v>WDP40 RMP 24050598</v>
      </c>
      <c r="N254" s="2"/>
      <c r="O254" s="2" t="str">
        <f>IFERROR(__xludf.DUMMYFUNCTION("""COMPUTED_VALUE"""),"Imbunia")</f>
        <v>Imbunia</v>
      </c>
      <c r="P254" s="2" t="str">
        <f>IFERROR(__xludf.DUMMYFUNCTION("""COMPUTED_VALUE"""),"Jaen")</f>
        <v>Jaen</v>
      </c>
      <c r="Q254" s="2" t="str">
        <f>IFERROR(__xludf.DUMMYFUNCTION("""COMPUTED_VALUE"""),"Nueva Ecija")</f>
        <v>Nueva Ecija</v>
      </c>
      <c r="R254" s="2">
        <f>IFERROR(__xludf.DUMMYFUNCTION("""COMPUTED_VALUE"""),3.0)</f>
        <v>3</v>
      </c>
      <c r="S254" s="2"/>
      <c r="T254" s="2"/>
    </row>
    <row r="255">
      <c r="A255" s="1">
        <f>IFERROR(__xludf.DUMMYFUNCTION("""COMPUTED_VALUE"""),253.0)</f>
        <v>253</v>
      </c>
      <c r="B255" s="2" t="str">
        <f>IFERROR(__xludf.DUMMYFUNCTION("""COMPUTED_VALUE"""),"KALAMBA IRRIGATORS ASSOCIATION, INC.")</f>
        <v>KALAMBA IRRIGATORS ASSOCIATION, INC.</v>
      </c>
      <c r="C255" s="2" t="str">
        <f>IFERROR(__xludf.DUMMYFUNCTION("""COMPUTED_VALUE"""),"Calabasa, Jaen, NUEVA ECIJA")</f>
        <v>Calabasa, Jaen, NUEVA ECIJA</v>
      </c>
      <c r="D255" s="2" t="str">
        <f>IFERROR(__xludf.DUMMYFUNCTION("""COMPUTED_VALUE"""),"Leonides G. Esguerra")</f>
        <v>Leonides G. Esguerra</v>
      </c>
      <c r="E255" s="2" t="str">
        <f>IFERROR(__xludf.DUMMYFUNCTION("""COMPUTED_VALUE"""),"0936-675-7196")</f>
        <v>0936-675-7196</v>
      </c>
      <c r="F255" s="2" t="str">
        <f>IFERROR(__xludf.DUMMYFUNCTION("""COMPUTED_VALUE"""),"RCEF 23-09-21 Rebidding")</f>
        <v>RCEF 23-09-21 Rebidding</v>
      </c>
      <c r="G255" s="2">
        <f>IFERROR(__xludf.DUMMYFUNCTION("""COMPUTED_VALUE"""),3.0)</f>
        <v>3</v>
      </c>
      <c r="H255" s="2">
        <f>IFERROR(__xludf.DUMMYFUNCTION("""COMPUTED_VALUE"""),18812.0)</f>
        <v>18812</v>
      </c>
      <c r="I255" s="2" t="str">
        <f>IFERROR(__xludf.DUMMYFUNCTION("""COMPUTED_VALUE"""),"KMC5825 ATRFPV0435")</f>
        <v>KMC5825 ATRFPV0435</v>
      </c>
      <c r="J255" s="2" t="str">
        <f>IFERROR(__xludf.DUMMYFUNCTION("""COMPUTED_VALUE"""),"RTS100346")</f>
        <v>RTS100346</v>
      </c>
      <c r="K255" s="2" t="str">
        <f>IFERROR(__xludf.DUMMYFUNCTION("""COMPUTED_VALUE"""),"R-SERIES 409 PH")</f>
        <v>R-SERIES 409 PH</v>
      </c>
      <c r="L255" s="2" t="str">
        <f>IFERROR(__xludf.DUMMYFUNCTION("""COMPUTED_VALUE"""),"LSGW1750 RMP 24020458")</f>
        <v>LSGW1750 RMP 24020458</v>
      </c>
      <c r="M255" s="2" t="str">
        <f>IFERROR(__xludf.DUMMYFUNCTION("""COMPUTED_VALUE"""),"WDP40 RMP 24050623")</f>
        <v>WDP40 RMP 24050623</v>
      </c>
      <c r="N255" s="2"/>
      <c r="O255" s="2" t="str">
        <f>IFERROR(__xludf.DUMMYFUNCTION("""COMPUTED_VALUE"""),"Calabasa")</f>
        <v>Calabasa</v>
      </c>
      <c r="P255" s="2" t="str">
        <f>IFERROR(__xludf.DUMMYFUNCTION("""COMPUTED_VALUE"""),"Jaen")</f>
        <v>Jaen</v>
      </c>
      <c r="Q255" s="2" t="str">
        <f>IFERROR(__xludf.DUMMYFUNCTION("""COMPUTED_VALUE"""),"Nueva Ecija")</f>
        <v>Nueva Ecija</v>
      </c>
      <c r="R255" s="2">
        <f>IFERROR(__xludf.DUMMYFUNCTION("""COMPUTED_VALUE"""),3.0)</f>
        <v>3</v>
      </c>
      <c r="S255" s="2"/>
      <c r="T255" s="2"/>
    </row>
    <row r="256">
      <c r="A256" s="1">
        <f>IFERROR(__xludf.DUMMYFUNCTION("""COMPUTED_VALUE"""),254.0)</f>
        <v>254</v>
      </c>
      <c r="B256" s="2" t="str">
        <f>IFERROR(__xludf.DUMMYFUNCTION("""COMPUTED_VALUE"""),"MATALADTAD FARMERS IRRIGATORS ASSOCIATION INC.")</f>
        <v>MATALADTAD FARMERS IRRIGATORS ASSOCIATION INC.</v>
      </c>
      <c r="C256" s="2" t="str">
        <f>IFERROR(__xludf.DUMMYFUNCTION("""COMPUTED_VALUE"""),"Papaya, San Antonio, NUEVA ECIJA")</f>
        <v>Papaya, San Antonio, NUEVA ECIJA</v>
      </c>
      <c r="D256" s="2" t="str">
        <f>IFERROR(__xludf.DUMMYFUNCTION("""COMPUTED_VALUE"""),"Raymundo S. Sulit")</f>
        <v>Raymundo S. Sulit</v>
      </c>
      <c r="E256" s="2" t="str">
        <f>IFERROR(__xludf.DUMMYFUNCTION("""COMPUTED_VALUE"""),"0965-716-9673")</f>
        <v>0965-716-9673</v>
      </c>
      <c r="F256" s="2" t="str">
        <f>IFERROR(__xludf.DUMMYFUNCTION("""COMPUTED_VALUE"""),"RCEF 23-09-21 Rebidding")</f>
        <v>RCEF 23-09-21 Rebidding</v>
      </c>
      <c r="G256" s="2">
        <f>IFERROR(__xludf.DUMMYFUNCTION("""COMPUTED_VALUE"""),3.0)</f>
        <v>3</v>
      </c>
      <c r="H256" s="2">
        <f>IFERROR(__xludf.DUMMYFUNCTION("""COMPUTED_VALUE"""),18813.0)</f>
        <v>18813</v>
      </c>
      <c r="I256" s="2" t="str">
        <f>IFERROR(__xludf.DUMMYFUNCTION("""COMPUTED_VALUE"""),"KMC5825 AKRFPV0423")</f>
        <v>KMC5825 AKRFPV0423</v>
      </c>
      <c r="J256" s="2" t="str">
        <f>IFERROR(__xludf.DUMMYFUNCTION("""COMPUTED_VALUE"""),"RTS100324")</f>
        <v>RTS100324</v>
      </c>
      <c r="K256" s="2" t="str">
        <f>IFERROR(__xludf.DUMMYFUNCTION("""COMPUTED_VALUE"""),"R-SERIES 173 PH")</f>
        <v>R-SERIES 173 PH</v>
      </c>
      <c r="L256" s="2" t="str">
        <f>IFERROR(__xludf.DUMMYFUNCTION("""COMPUTED_VALUE"""),"LSGW1750 RMP 24020492")</f>
        <v>LSGW1750 RMP 24020492</v>
      </c>
      <c r="M256" s="2" t="str">
        <f>IFERROR(__xludf.DUMMYFUNCTION("""COMPUTED_VALUE"""),"WDP40 RMP 24050628")</f>
        <v>WDP40 RMP 24050628</v>
      </c>
      <c r="N256" s="2"/>
      <c r="O256" s="2" t="str">
        <f>IFERROR(__xludf.DUMMYFUNCTION("""COMPUTED_VALUE"""),"Papaya")</f>
        <v>Papaya</v>
      </c>
      <c r="P256" s="2" t="str">
        <f>IFERROR(__xludf.DUMMYFUNCTION("""COMPUTED_VALUE"""),"San Antonio")</f>
        <v>San Antonio</v>
      </c>
      <c r="Q256" s="2" t="str">
        <f>IFERROR(__xludf.DUMMYFUNCTION("""COMPUTED_VALUE"""),"Nueva Ecija")</f>
        <v>Nueva Ecija</v>
      </c>
      <c r="R256" s="2">
        <f>IFERROR(__xludf.DUMMYFUNCTION("""COMPUTED_VALUE"""),3.0)</f>
        <v>3</v>
      </c>
      <c r="S256" s="2"/>
      <c r="T256" s="2"/>
    </row>
    <row r="257">
      <c r="A257" s="1">
        <f>IFERROR(__xludf.DUMMYFUNCTION("""COMPUTED_VALUE"""),255.0)</f>
        <v>255</v>
      </c>
      <c r="B257" s="2" t="str">
        <f>IFERROR(__xludf.DUMMYFUNCTION("""COMPUTED_VALUE"""),"TALAHEBEN IRRIGATORS ASSN. INC.")</f>
        <v>TALAHEBEN IRRIGATORS ASSN. INC.</v>
      </c>
      <c r="C257" s="2" t="str">
        <f>IFERROR(__xludf.DUMMYFUNCTION("""COMPUTED_VALUE"""),"San Francisco, San Antonio, NUEVA ECIJA")</f>
        <v>San Francisco, San Antonio, NUEVA ECIJA</v>
      </c>
      <c r="D257" s="2" t="str">
        <f>IFERROR(__xludf.DUMMYFUNCTION("""COMPUTED_VALUE"""),"Normeniano E. Rivera")</f>
        <v>Normeniano E. Rivera</v>
      </c>
      <c r="E257" s="2" t="str">
        <f>IFERROR(__xludf.DUMMYFUNCTION("""COMPUTED_VALUE"""),"0916-196-7526")</f>
        <v>0916-196-7526</v>
      </c>
      <c r="F257" s="2" t="str">
        <f>IFERROR(__xludf.DUMMYFUNCTION("""COMPUTED_VALUE"""),"RCEF 23-09-21 Rebidding")</f>
        <v>RCEF 23-09-21 Rebidding</v>
      </c>
      <c r="G257" s="2">
        <f>IFERROR(__xludf.DUMMYFUNCTION("""COMPUTED_VALUE"""),3.0)</f>
        <v>3</v>
      </c>
      <c r="H257" s="2">
        <f>IFERROR(__xludf.DUMMYFUNCTION("""COMPUTED_VALUE"""),18815.0)</f>
        <v>18815</v>
      </c>
      <c r="I257" s="2" t="str">
        <f>IFERROR(__xludf.DUMMYFUNCTION("""COMPUTED_VALUE"""),"KMC5825 AKRFPV0339")</f>
        <v>KMC5825 AKRFPV0339</v>
      </c>
      <c r="J257" s="2" t="str">
        <f>IFERROR(__xludf.DUMMYFUNCTION("""COMPUTED_VALUE"""),"RTS100233")</f>
        <v>RTS100233</v>
      </c>
      <c r="K257" s="2" t="str">
        <f>IFERROR(__xludf.DUMMYFUNCTION("""COMPUTED_VALUE"""),"R-SERIES 243 PH")</f>
        <v>R-SERIES 243 PH</v>
      </c>
      <c r="L257" s="2" t="str">
        <f>IFERROR(__xludf.DUMMYFUNCTION("""COMPUTED_VALUE"""),"LSGW1750 RMP 24020412")</f>
        <v>LSGW1750 RMP 24020412</v>
      </c>
      <c r="M257" s="2" t="str">
        <f>IFERROR(__xludf.DUMMYFUNCTION("""COMPUTED_VALUE"""),"WDP40 RMP 24050632")</f>
        <v>WDP40 RMP 24050632</v>
      </c>
      <c r="N257" s="2"/>
      <c r="O257" s="2" t="str">
        <f>IFERROR(__xludf.DUMMYFUNCTION("""COMPUTED_VALUE"""),"San Francisco")</f>
        <v>San Francisco</v>
      </c>
      <c r="P257" s="2" t="str">
        <f>IFERROR(__xludf.DUMMYFUNCTION("""COMPUTED_VALUE"""),"San Antonio")</f>
        <v>San Antonio</v>
      </c>
      <c r="Q257" s="2" t="str">
        <f>IFERROR(__xludf.DUMMYFUNCTION("""COMPUTED_VALUE"""),"Nueva Ecija")</f>
        <v>Nueva Ecija</v>
      </c>
      <c r="R257" s="2">
        <f>IFERROR(__xludf.DUMMYFUNCTION("""COMPUTED_VALUE"""),3.0)</f>
        <v>3</v>
      </c>
      <c r="S257" s="2"/>
      <c r="T257" s="2"/>
    </row>
    <row r="258">
      <c r="A258" s="1">
        <f>IFERROR(__xludf.DUMMYFUNCTION("""COMPUTED_VALUE"""),256.0)</f>
        <v>256</v>
      </c>
      <c r="B258" s="2" t="str">
        <f>IFERROR(__xludf.DUMMYFUNCTION("""COMPUTED_VALUE"""),"BIGAYAN SA PAGPAPATUBIG IRRIGATORS' ASSOCIATION, INC.")</f>
        <v>BIGAYAN SA PAGPAPATUBIG IRRIGATORS' ASSOCIATION, INC.</v>
      </c>
      <c r="C258" s="2" t="str">
        <f>IFERROR(__xludf.DUMMYFUNCTION("""COMPUTED_VALUE"""),"Pulo, San Isidro, NUEVA ECIJA")</f>
        <v>Pulo, San Isidro, NUEVA ECIJA</v>
      </c>
      <c r="D258" s="2" t="str">
        <f>IFERROR(__xludf.DUMMYFUNCTION("""COMPUTED_VALUE"""),"Joselito Lopez")</f>
        <v>Joselito Lopez</v>
      </c>
      <c r="E258" s="2" t="str">
        <f>IFERROR(__xludf.DUMMYFUNCTION("""COMPUTED_VALUE"""),"0939-421-0958")</f>
        <v>0939-421-0958</v>
      </c>
      <c r="F258" s="2" t="str">
        <f>IFERROR(__xludf.DUMMYFUNCTION("""COMPUTED_VALUE"""),"RCEF 23-09-21 Rebidding")</f>
        <v>RCEF 23-09-21 Rebidding</v>
      </c>
      <c r="G258" s="2">
        <f>IFERROR(__xludf.DUMMYFUNCTION("""COMPUTED_VALUE"""),3.0)</f>
        <v>3</v>
      </c>
      <c r="H258" s="2">
        <f>IFERROR(__xludf.DUMMYFUNCTION("""COMPUTED_VALUE"""),18816.0)</f>
        <v>18816</v>
      </c>
      <c r="I258" s="2" t="str">
        <f>IFERROR(__xludf.DUMMYFUNCTION("""COMPUTED_VALUE"""),"KMC5825 ALRFPV0204")</f>
        <v>KMC5825 ALRFPV0204</v>
      </c>
      <c r="J258" s="2" t="str">
        <f>IFERROR(__xludf.DUMMYFUNCTION("""COMPUTED_VALUE"""),"RTS100051")</f>
        <v>RTS100051</v>
      </c>
      <c r="K258" s="2" t="str">
        <f>IFERROR(__xludf.DUMMYFUNCTION("""COMPUTED_VALUE"""),"R-SERIES 122 PH")</f>
        <v>R-SERIES 122 PH</v>
      </c>
      <c r="L258" s="2" t="str">
        <f>IFERROR(__xludf.DUMMYFUNCTION("""COMPUTED_VALUE"""),"LSGW1750 RMP 24020455")</f>
        <v>LSGW1750 RMP 24020455</v>
      </c>
      <c r="M258" s="2" t="str">
        <f>IFERROR(__xludf.DUMMYFUNCTION("""COMPUTED_VALUE"""),"WDP40 RMP 24050625")</f>
        <v>WDP40 RMP 24050625</v>
      </c>
      <c r="N258" s="2"/>
      <c r="O258" s="2" t="str">
        <f>IFERROR(__xludf.DUMMYFUNCTION("""COMPUTED_VALUE"""),"Pulo")</f>
        <v>Pulo</v>
      </c>
      <c r="P258" s="2" t="str">
        <f>IFERROR(__xludf.DUMMYFUNCTION("""COMPUTED_VALUE"""),"San Isidro")</f>
        <v>San Isidro</v>
      </c>
      <c r="Q258" s="2" t="str">
        <f>IFERROR(__xludf.DUMMYFUNCTION("""COMPUTED_VALUE"""),"Nueva Ecija")</f>
        <v>Nueva Ecija</v>
      </c>
      <c r="R258" s="2">
        <f>IFERROR(__xludf.DUMMYFUNCTION("""COMPUTED_VALUE"""),3.0)</f>
        <v>3</v>
      </c>
      <c r="S258" s="2"/>
      <c r="T258" s="2"/>
    </row>
    <row r="259">
      <c r="A259" s="1">
        <f>IFERROR(__xludf.DUMMYFUNCTION("""COMPUTED_VALUE"""),257.0)</f>
        <v>257</v>
      </c>
      <c r="B259" s="2" t="str">
        <f>IFERROR(__xludf.DUMMYFUNCTION("""COMPUTED_VALUE"""),"SAMPALUCAN IRRIGATORS ASSOCIATION INC.")</f>
        <v>SAMPALUCAN IRRIGATORS ASSOCIATION INC.</v>
      </c>
      <c r="C259" s="2" t="str">
        <f>IFERROR(__xludf.DUMMYFUNCTION("""COMPUTED_VALUE"""),"Pulo, San Isidro, NUEVA ECIJA")</f>
        <v>Pulo, San Isidro, NUEVA ECIJA</v>
      </c>
      <c r="D259" s="2" t="str">
        <f>IFERROR(__xludf.DUMMYFUNCTION("""COMPUTED_VALUE"""),"Fernando Magbitang")</f>
        <v>Fernando Magbitang</v>
      </c>
      <c r="E259" s="2" t="str">
        <f>IFERROR(__xludf.DUMMYFUNCTION("""COMPUTED_VALUE"""),"0997-502-5628")</f>
        <v>0997-502-5628</v>
      </c>
      <c r="F259" s="2" t="str">
        <f>IFERROR(__xludf.DUMMYFUNCTION("""COMPUTED_VALUE"""),"RCEF 23-09-21 Rebidding")</f>
        <v>RCEF 23-09-21 Rebidding</v>
      </c>
      <c r="G259" s="2">
        <f>IFERROR(__xludf.DUMMYFUNCTION("""COMPUTED_VALUE"""),3.0)</f>
        <v>3</v>
      </c>
      <c r="H259" s="2">
        <f>IFERROR(__xludf.DUMMYFUNCTION("""COMPUTED_VALUE"""),18817.0)</f>
        <v>18817</v>
      </c>
      <c r="I259" s="2" t="str">
        <f>IFERROR(__xludf.DUMMYFUNCTION("""COMPUTED_VALUE"""),"KMC5825 AARFPV0430")</f>
        <v>KMC5825 AARFPV0430</v>
      </c>
      <c r="J259" s="2" t="str">
        <f>IFERROR(__xludf.DUMMYFUNCTION("""COMPUTED_VALUE"""),"RTS100332")</f>
        <v>RTS100332</v>
      </c>
      <c r="K259" s="2" t="str">
        <f>IFERROR(__xludf.DUMMYFUNCTION("""COMPUTED_VALUE"""),"R-SERIES 147 PH")</f>
        <v>R-SERIES 147 PH</v>
      </c>
      <c r="L259" s="2" t="str">
        <f>IFERROR(__xludf.DUMMYFUNCTION("""COMPUTED_VALUE"""),"LSGW1750 RMP 24020449")</f>
        <v>LSGW1750 RMP 24020449</v>
      </c>
      <c r="M259" s="2" t="str">
        <f>IFERROR(__xludf.DUMMYFUNCTION("""COMPUTED_VALUE"""),"WDP40 RMP 24050620")</f>
        <v>WDP40 RMP 24050620</v>
      </c>
      <c r="N259" s="2"/>
      <c r="O259" s="2" t="str">
        <f>IFERROR(__xludf.DUMMYFUNCTION("""COMPUTED_VALUE"""),"Pulo")</f>
        <v>Pulo</v>
      </c>
      <c r="P259" s="2" t="str">
        <f>IFERROR(__xludf.DUMMYFUNCTION("""COMPUTED_VALUE"""),"San Isidro")</f>
        <v>San Isidro</v>
      </c>
      <c r="Q259" s="2" t="str">
        <f>IFERROR(__xludf.DUMMYFUNCTION("""COMPUTED_VALUE"""),"Nueva Ecija")</f>
        <v>Nueva Ecija</v>
      </c>
      <c r="R259" s="2">
        <f>IFERROR(__xludf.DUMMYFUNCTION("""COMPUTED_VALUE"""),3.0)</f>
        <v>3</v>
      </c>
      <c r="S259" s="2"/>
      <c r="T259" s="2"/>
    </row>
    <row r="260">
      <c r="A260" s="1">
        <f>IFERROR(__xludf.DUMMYFUNCTION("""COMPUTED_VALUE"""),258.0)</f>
        <v>258</v>
      </c>
      <c r="B260" s="2" t="str">
        <f>IFERROR(__xludf.DUMMYFUNCTION("""COMPUTED_VALUE"""),"South Nueva Ecija Seed Growers Multipurpose Cooperative")</f>
        <v>South Nueva Ecija Seed Growers Multipurpose Cooperative</v>
      </c>
      <c r="C260" s="2" t="str">
        <f>IFERROR(__xludf.DUMMYFUNCTION("""COMPUTED_VALUE"""),"Poblacion, San Isidro, NUEVA ECIJA")</f>
        <v>Poblacion, San Isidro, NUEVA ECIJA</v>
      </c>
      <c r="D260" s="2" t="str">
        <f>IFERROR(__xludf.DUMMYFUNCTION("""COMPUTED_VALUE"""),"Leonardo DJ. Guinto")</f>
        <v>Leonardo DJ. Guinto</v>
      </c>
      <c r="E260" s="2" t="str">
        <f>IFERROR(__xludf.DUMMYFUNCTION("""COMPUTED_VALUE"""),"0916-464-8758")</f>
        <v>0916-464-8758</v>
      </c>
      <c r="F260" s="2" t="str">
        <f>IFERROR(__xludf.DUMMYFUNCTION("""COMPUTED_VALUE"""),"RCEF 23-09-21 Rebidding")</f>
        <v>RCEF 23-09-21 Rebidding</v>
      </c>
      <c r="G260" s="2">
        <f>IFERROR(__xludf.DUMMYFUNCTION("""COMPUTED_VALUE"""),3.0)</f>
        <v>3</v>
      </c>
      <c r="H260" s="2">
        <f>IFERROR(__xludf.DUMMYFUNCTION("""COMPUTED_VALUE"""),18818.0)</f>
        <v>18818</v>
      </c>
      <c r="I260" s="2" t="str">
        <f>IFERROR(__xludf.DUMMYFUNCTION("""COMPUTED_VALUE"""),"KMC5825 AJRFPV0309")</f>
        <v>KMC5825 AJRFPV0309</v>
      </c>
      <c r="J260" s="2" t="str">
        <f>IFERROR(__xludf.DUMMYFUNCTION("""COMPUTED_VALUE"""),"RTS100199")</f>
        <v>RTS100199</v>
      </c>
      <c r="K260" s="2" t="str">
        <f>IFERROR(__xludf.DUMMYFUNCTION("""COMPUTED_VALUE"""),"R-SERIES 165 PH")</f>
        <v>R-SERIES 165 PH</v>
      </c>
      <c r="L260" s="2" t="str">
        <f>IFERROR(__xludf.DUMMYFUNCTION("""COMPUTED_VALUE"""),"LSGW1750 RMP 24020436")</f>
        <v>LSGW1750 RMP 24020436</v>
      </c>
      <c r="M260" s="2" t="str">
        <f>IFERROR(__xludf.DUMMYFUNCTION("""COMPUTED_VALUE"""),"WDP40 RMP 24050618")</f>
        <v>WDP40 RMP 24050618</v>
      </c>
      <c r="N260" s="2"/>
      <c r="O260" s="2" t="str">
        <f>IFERROR(__xludf.DUMMYFUNCTION("""COMPUTED_VALUE"""),"Poblacion")</f>
        <v>Poblacion</v>
      </c>
      <c r="P260" s="2" t="str">
        <f>IFERROR(__xludf.DUMMYFUNCTION("""COMPUTED_VALUE"""),"San Isidro")</f>
        <v>San Isidro</v>
      </c>
      <c r="Q260" s="2" t="str">
        <f>IFERROR(__xludf.DUMMYFUNCTION("""COMPUTED_VALUE"""),"Nueva Ecija")</f>
        <v>Nueva Ecija</v>
      </c>
      <c r="R260" s="2">
        <f>IFERROR(__xludf.DUMMYFUNCTION("""COMPUTED_VALUE"""),3.0)</f>
        <v>3</v>
      </c>
      <c r="S260" s="2"/>
      <c r="T260" s="2"/>
    </row>
    <row r="261">
      <c r="A261" s="1">
        <f>IFERROR(__xludf.DUMMYFUNCTION("""COMPUTED_VALUE"""),259.0)</f>
        <v>259</v>
      </c>
      <c r="B261" s="2" t="str">
        <f>IFERROR(__xludf.DUMMYFUNCTION("""COMPUTED_VALUE"""),"PANGBIYERNES IRRIGATORS ASSOCIATION, INC.")</f>
        <v>PANGBIYERNES IRRIGATORS ASSOCIATION, INC.</v>
      </c>
      <c r="C261" s="2" t="str">
        <f>IFERROR(__xludf.DUMMYFUNCTION("""COMPUTED_VALUE"""),"Tabuating, San Leonardo, NUEVA ECIJA")</f>
        <v>Tabuating, San Leonardo, NUEVA ECIJA</v>
      </c>
      <c r="D261" s="2" t="str">
        <f>IFERROR(__xludf.DUMMYFUNCTION("""COMPUTED_VALUE"""),"Roy Domingo")</f>
        <v>Roy Domingo</v>
      </c>
      <c r="E261" s="2" t="str">
        <f>IFERROR(__xludf.DUMMYFUNCTION("""COMPUTED_VALUE"""),"0906-865-0612")</f>
        <v>0906-865-0612</v>
      </c>
      <c r="F261" s="2" t="str">
        <f>IFERROR(__xludf.DUMMYFUNCTION("""COMPUTED_VALUE"""),"RCEF 23-09-21 Rebidding")</f>
        <v>RCEF 23-09-21 Rebidding</v>
      </c>
      <c r="G261" s="2">
        <f>IFERROR(__xludf.DUMMYFUNCTION("""COMPUTED_VALUE"""),3.0)</f>
        <v>3</v>
      </c>
      <c r="H261" s="2">
        <f>IFERROR(__xludf.DUMMYFUNCTION("""COMPUTED_VALUE"""),18819.0)</f>
        <v>18819</v>
      </c>
      <c r="I261" s="2" t="str">
        <f>IFERROR(__xludf.DUMMYFUNCTION("""COMPUTED_VALUE"""),"KMC5825 APRFPV0355")</f>
        <v>KMC5825 APRFPV0355</v>
      </c>
      <c r="J261" s="2" t="str">
        <f>IFERROR(__xludf.DUMMYFUNCTION("""COMPUTED_VALUE"""),"RTS100260")</f>
        <v>RTS100260</v>
      </c>
      <c r="K261" s="2" t="str">
        <f>IFERROR(__xludf.DUMMYFUNCTION("""COMPUTED_VALUE"""),"R-SERIES 156 PH")</f>
        <v>R-SERIES 156 PH</v>
      </c>
      <c r="L261" s="2" t="str">
        <f>IFERROR(__xludf.DUMMYFUNCTION("""COMPUTED_VALUE"""),"LSGW1750 RMP 24020444")</f>
        <v>LSGW1750 RMP 24020444</v>
      </c>
      <c r="M261" s="2" t="str">
        <f>IFERROR(__xludf.DUMMYFUNCTION("""COMPUTED_VALUE"""),"WDP40 RMP 24050601")</f>
        <v>WDP40 RMP 24050601</v>
      </c>
      <c r="N261" s="2"/>
      <c r="O261" s="2" t="str">
        <f>IFERROR(__xludf.DUMMYFUNCTION("""COMPUTED_VALUE"""),"Tabuating")</f>
        <v>Tabuating</v>
      </c>
      <c r="P261" s="2" t="str">
        <f>IFERROR(__xludf.DUMMYFUNCTION("""COMPUTED_VALUE"""),"San Leonardo")</f>
        <v>San Leonardo</v>
      </c>
      <c r="Q261" s="2" t="str">
        <f>IFERROR(__xludf.DUMMYFUNCTION("""COMPUTED_VALUE"""),"Nueva Ecija")</f>
        <v>Nueva Ecija</v>
      </c>
      <c r="R261" s="2">
        <f>IFERROR(__xludf.DUMMYFUNCTION("""COMPUTED_VALUE"""),3.0)</f>
        <v>3</v>
      </c>
      <c r="S261" s="2"/>
      <c r="T261" s="2"/>
    </row>
    <row r="262">
      <c r="A262" s="1">
        <f>IFERROR(__xludf.DUMMYFUNCTION("""COMPUTED_VALUE"""),260.0)</f>
        <v>260</v>
      </c>
      <c r="B262" s="2" t="str">
        <f>IFERROR(__xludf.DUMMYFUNCTION("""COMPUTED_VALUE"""),"Sapang Buhay Agriculture Cooperative")</f>
        <v>Sapang Buhay Agriculture Cooperative</v>
      </c>
      <c r="C262" s="2" t="str">
        <f>IFERROR(__xludf.DUMMYFUNCTION("""COMPUTED_VALUE"""),"Tagpos, Santa Rosa, NUEVA ECIJA")</f>
        <v>Tagpos, Santa Rosa, NUEVA ECIJA</v>
      </c>
      <c r="D262" s="2" t="str">
        <f>IFERROR(__xludf.DUMMYFUNCTION("""COMPUTED_VALUE"""),"Heraclio Roberto T. Diaz Jr. Turn on screen reader support")</f>
        <v>Heraclio Roberto T. Diaz Jr. Turn on screen reader support</v>
      </c>
      <c r="E262" s="2" t="str">
        <f>IFERROR(__xludf.DUMMYFUNCTION("""COMPUTED_VALUE"""),"0995-291-9405")</f>
        <v>0995-291-9405</v>
      </c>
      <c r="F262" s="2" t="str">
        <f>IFERROR(__xludf.DUMMYFUNCTION("""COMPUTED_VALUE"""),"RCEF 23-09-21 Rebidding")</f>
        <v>RCEF 23-09-21 Rebidding</v>
      </c>
      <c r="G262" s="2">
        <f>IFERROR(__xludf.DUMMYFUNCTION("""COMPUTED_VALUE"""),3.0)</f>
        <v>3</v>
      </c>
      <c r="H262" s="2">
        <f>IFERROR(__xludf.DUMMYFUNCTION("""COMPUTED_VALUE"""),18820.0)</f>
        <v>18820</v>
      </c>
      <c r="I262" s="2" t="str">
        <f>IFERROR(__xludf.DUMMYFUNCTION("""COMPUTED_VALUE"""),"KMC 5825 AARFPV0458")</f>
        <v>KMC 5825 AARFPV0458</v>
      </c>
      <c r="J262" s="2" t="str">
        <f>IFERROR(__xludf.DUMMYFUNCTION("""COMPUTED_VALUE"""),"RTS 100290")</f>
        <v>RTS 100290</v>
      </c>
      <c r="K262" s="2" t="str">
        <f>IFERROR(__xludf.DUMMYFUNCTION("""COMPUTED_VALUE"""),"R SERIES 385")</f>
        <v>R SERIES 385</v>
      </c>
      <c r="L262" s="2" t="str">
        <f>IFERROR(__xludf.DUMMYFUNCTION("""COMPUTED_VALUE"""),"LSGW1750 RMP 2312146")</f>
        <v>LSGW1750 RMP 2312146</v>
      </c>
      <c r="M262" s="2" t="str">
        <f>IFERROR(__xludf.DUMMYFUNCTION("""COMPUTED_VALUE"""),"WDP40 RMP 24020207")</f>
        <v>WDP40 RMP 24020207</v>
      </c>
      <c r="N262" s="2"/>
      <c r="O262" s="2" t="str">
        <f>IFERROR(__xludf.DUMMYFUNCTION("""COMPUTED_VALUE"""),"Tagpos")</f>
        <v>Tagpos</v>
      </c>
      <c r="P262" s="2" t="str">
        <f>IFERROR(__xludf.DUMMYFUNCTION("""COMPUTED_VALUE"""),"Santa Rosa")</f>
        <v>Santa Rosa</v>
      </c>
      <c r="Q262" s="2" t="str">
        <f>IFERROR(__xludf.DUMMYFUNCTION("""COMPUTED_VALUE"""),"Nueva Ecija")</f>
        <v>Nueva Ecija</v>
      </c>
      <c r="R262" s="2">
        <f>IFERROR(__xludf.DUMMYFUNCTION("""COMPUTED_VALUE"""),3.0)</f>
        <v>3</v>
      </c>
      <c r="S262" s="2"/>
      <c r="T262" s="2"/>
    </row>
    <row r="263">
      <c r="A263" s="1">
        <f>IFERROR(__xludf.DUMMYFUNCTION("""COMPUTED_VALUE"""),261.0)</f>
        <v>261</v>
      </c>
      <c r="B263" s="2" t="str">
        <f>IFERROR(__xludf.DUMMYFUNCTION("""COMPUTED_VALUE"""),"TAGA SAN MARCOS IRRIGATORS' ASSOCIATION, INC.")</f>
        <v>TAGA SAN MARCOS IRRIGATORS' ASSOCIATION, INC.</v>
      </c>
      <c r="C263" s="2" t="str">
        <f>IFERROR(__xludf.DUMMYFUNCTION("""COMPUTED_VALUE"""),"San Marcos, Cabarroguis, QUIRINO")</f>
        <v>San Marcos, Cabarroguis, QUIRINO</v>
      </c>
      <c r="D263" s="2" t="str">
        <f>IFERROR(__xludf.DUMMYFUNCTION("""COMPUTED_VALUE"""),"Rolando M. Pagarigan")</f>
        <v>Rolando M. Pagarigan</v>
      </c>
      <c r="E263" s="2">
        <f>IFERROR(__xludf.DUMMYFUNCTION("""COMPUTED_VALUE"""),9.16178501E9)</f>
        <v>9161785010</v>
      </c>
      <c r="F263" s="2" t="str">
        <f>IFERROR(__xludf.DUMMYFUNCTION("""COMPUTED_VALUE"""),"RCEF 23-09-21 Rebidding")</f>
        <v>RCEF 23-09-21 Rebidding</v>
      </c>
      <c r="G263" s="2">
        <f>IFERROR(__xludf.DUMMYFUNCTION("""COMPUTED_VALUE"""),9.0)</f>
        <v>9</v>
      </c>
      <c r="H263" s="2">
        <f>IFERROR(__xludf.DUMMYFUNCTION("""COMPUTED_VALUE"""),18822.0)</f>
        <v>18822</v>
      </c>
      <c r="I263" s="2" t="str">
        <f>IFERROR(__xludf.DUMMYFUNCTION("""COMPUTED_VALUE"""),"KMC5825 ACRFPV0255")</f>
        <v>KMC5825 ACRFPV0255</v>
      </c>
      <c r="J263" s="2" t="str">
        <f>IFERROR(__xludf.DUMMYFUNCTION("""COMPUTED_VALUE"""),"RTS100023")</f>
        <v>RTS100023</v>
      </c>
      <c r="K263" s="2" t="str">
        <f>IFERROR(__xludf.DUMMYFUNCTION("""COMPUTED_VALUE"""),"R-SERIES 125 PH")</f>
        <v>R-SERIES 125 PH</v>
      </c>
      <c r="L263" s="2" t="str">
        <f>IFERROR(__xludf.DUMMYFUNCTION("""COMPUTED_VALUE"""),"LSGW1750 RMP 24010193")</f>
        <v>LSGW1750 RMP 24010193</v>
      </c>
      <c r="M263" s="2" t="str">
        <f>IFERROR(__xludf.DUMMYFUNCTION("""COMPUTED_VALUE"""),"WDP40 RMP 24010131")</f>
        <v>WDP40 RMP 24010131</v>
      </c>
      <c r="N263" s="2"/>
      <c r="O263" s="2" t="str">
        <f>IFERROR(__xludf.DUMMYFUNCTION("""COMPUTED_VALUE"""),"San Marcos")</f>
        <v>San Marcos</v>
      </c>
      <c r="P263" s="2" t="str">
        <f>IFERROR(__xludf.DUMMYFUNCTION("""COMPUTED_VALUE"""),"Cabarroguis")</f>
        <v>Cabarroguis</v>
      </c>
      <c r="Q263" s="2" t="str">
        <f>IFERROR(__xludf.DUMMYFUNCTION("""COMPUTED_VALUE"""),"Quirino")</f>
        <v>Quirino</v>
      </c>
      <c r="R263" s="2">
        <f>IFERROR(__xludf.DUMMYFUNCTION("""COMPUTED_VALUE"""),2.0)</f>
        <v>2</v>
      </c>
      <c r="S263" s="2"/>
      <c r="T263" s="2"/>
    </row>
    <row r="264">
      <c r="A264" s="1">
        <f>IFERROR(__xludf.DUMMYFUNCTION("""COMPUTED_VALUE"""),262.0)</f>
        <v>262</v>
      </c>
      <c r="B264" s="2" t="str">
        <f>IFERROR(__xludf.DUMMYFUNCTION("""COMPUTED_VALUE"""),"VILLAGUNDA IRRIGATORS ASSOCIATION INC.")</f>
        <v>VILLAGUNDA IRRIGATORS ASSOCIATION INC.</v>
      </c>
      <c r="C264" s="2" t="str">
        <f>IFERROR(__xludf.DUMMYFUNCTION("""COMPUTED_VALUE"""),"Gundaway (Pob.), Cabarroguis, QUIRINO")</f>
        <v>Gundaway (Pob.), Cabarroguis, QUIRINO</v>
      </c>
      <c r="D264" s="2" t="str">
        <f>IFERROR(__xludf.DUMMYFUNCTION("""COMPUTED_VALUE"""),"Eduardo A. Abad Jr.")</f>
        <v>Eduardo A. Abad Jr.</v>
      </c>
      <c r="E264" s="2">
        <f>IFERROR(__xludf.DUMMYFUNCTION("""COMPUTED_VALUE"""),9.369684918E9)</f>
        <v>9369684918</v>
      </c>
      <c r="F264" s="2" t="str">
        <f>IFERROR(__xludf.DUMMYFUNCTION("""COMPUTED_VALUE"""),"RCEF 23-09-21 Rebidding")</f>
        <v>RCEF 23-09-21 Rebidding</v>
      </c>
      <c r="G264" s="2">
        <f>IFERROR(__xludf.DUMMYFUNCTION("""COMPUTED_VALUE"""),9.0)</f>
        <v>9</v>
      </c>
      <c r="H264" s="2">
        <f>IFERROR(__xludf.DUMMYFUNCTION("""COMPUTED_VALUE"""),18823.0)</f>
        <v>18823</v>
      </c>
      <c r="I264" s="2" t="str">
        <f>IFERROR(__xludf.DUMMYFUNCTION("""COMPUTED_VALUE"""),"KMC5825 APRFPV0159")</f>
        <v>KMC5825 APRFPV0159</v>
      </c>
      <c r="J264" s="2" t="str">
        <f>IFERROR(__xludf.DUMMYFUNCTION("""COMPUTED_VALUE"""),"RTS100015")</f>
        <v>RTS100015</v>
      </c>
      <c r="K264" s="2" t="str">
        <f>IFERROR(__xludf.DUMMYFUNCTION("""COMPUTED_VALUE"""),"R-SERIES 272 PH")</f>
        <v>R-SERIES 272 PH</v>
      </c>
      <c r="L264" s="2" t="str">
        <f>IFERROR(__xludf.DUMMYFUNCTION("""COMPUTED_VALUE"""),"LSGW1750 RMP 24010112")</f>
        <v>LSGW1750 RMP 24010112</v>
      </c>
      <c r="M264" s="2" t="str">
        <f>IFERROR(__xludf.DUMMYFUNCTION("""COMPUTED_VALUE"""),"WDP40 RMP 24010169")</f>
        <v>WDP40 RMP 24010169</v>
      </c>
      <c r="N264" s="2"/>
      <c r="O264" s="2" t="str">
        <f>IFERROR(__xludf.DUMMYFUNCTION("""COMPUTED_VALUE"""),"Gundaway (Pob.)")</f>
        <v>Gundaway (Pob.)</v>
      </c>
      <c r="P264" s="2" t="str">
        <f>IFERROR(__xludf.DUMMYFUNCTION("""COMPUTED_VALUE"""),"Cabarroguis")</f>
        <v>Cabarroguis</v>
      </c>
      <c r="Q264" s="2" t="str">
        <f>IFERROR(__xludf.DUMMYFUNCTION("""COMPUTED_VALUE"""),"Quirino")</f>
        <v>Quirino</v>
      </c>
      <c r="R264" s="2">
        <f>IFERROR(__xludf.DUMMYFUNCTION("""COMPUTED_VALUE"""),2.0)</f>
        <v>2</v>
      </c>
      <c r="S264" s="2"/>
      <c r="T264" s="2"/>
    </row>
    <row r="265">
      <c r="A265" s="1">
        <f>IFERROR(__xludf.DUMMYFUNCTION("""COMPUTED_VALUE"""),263.0)</f>
        <v>263</v>
      </c>
      <c r="B265" s="2" t="str">
        <f>IFERROR(__xludf.DUMMYFUNCTION("""COMPUTED_VALUE"""),"Balagbag Farmers Association")</f>
        <v>Balagbag Farmers Association</v>
      </c>
      <c r="C265" s="2" t="str">
        <f>IFERROR(__xludf.DUMMYFUNCTION("""COMPUTED_VALUE"""),"Balagbag, Diffun, QUIRINO")</f>
        <v>Balagbag, Diffun, QUIRINO</v>
      </c>
      <c r="D265" s="2" t="str">
        <f>IFERROR(__xludf.DUMMYFUNCTION("""COMPUTED_VALUE"""),"Richard G. Macapillar")</f>
        <v>Richard G. Macapillar</v>
      </c>
      <c r="E265" s="2">
        <f>IFERROR(__xludf.DUMMYFUNCTION("""COMPUTED_VALUE"""),9.75557218E9)</f>
        <v>9755572180</v>
      </c>
      <c r="F265" s="2" t="str">
        <f>IFERROR(__xludf.DUMMYFUNCTION("""COMPUTED_VALUE"""),"RCEF 23-09-21 Rebidding")</f>
        <v>RCEF 23-09-21 Rebidding</v>
      </c>
      <c r="G265" s="2">
        <f>IFERROR(__xludf.DUMMYFUNCTION("""COMPUTED_VALUE"""),9.0)</f>
        <v>9</v>
      </c>
      <c r="H265" s="2">
        <f>IFERROR(__xludf.DUMMYFUNCTION("""COMPUTED_VALUE"""),18824.0)</f>
        <v>18824</v>
      </c>
      <c r="I265" s="2" t="str">
        <f>IFERROR(__xludf.DUMMYFUNCTION("""COMPUTED_VALUE"""),"KMC5825 ATRFPV0225")</f>
        <v>KMC5825 ATRFPV0225</v>
      </c>
      <c r="J265" s="2" t="str">
        <f>IFERROR(__xludf.DUMMYFUNCTION("""COMPUTED_VALUE"""),"RTS100042")</f>
        <v>RTS100042</v>
      </c>
      <c r="K265" s="2" t="str">
        <f>IFERROR(__xludf.DUMMYFUNCTION("""COMPUTED_VALUE"""),"R-SERIES 161 PH")</f>
        <v>R-SERIES 161 PH</v>
      </c>
      <c r="L265" s="2" t="str">
        <f>IFERROR(__xludf.DUMMYFUNCTION("""COMPUTED_VALUE"""),"LSGW1750 RMP 24010127")</f>
        <v>LSGW1750 RMP 24010127</v>
      </c>
      <c r="M265" s="2" t="str">
        <f>IFERROR(__xludf.DUMMYFUNCTION("""COMPUTED_VALUE"""),"WDP40 RMP 24010068")</f>
        <v>WDP40 RMP 24010068</v>
      </c>
      <c r="N265" s="2"/>
      <c r="O265" s="2" t="str">
        <f>IFERROR(__xludf.DUMMYFUNCTION("""COMPUTED_VALUE"""),"Balagbag")</f>
        <v>Balagbag</v>
      </c>
      <c r="P265" s="2" t="str">
        <f>IFERROR(__xludf.DUMMYFUNCTION("""COMPUTED_VALUE"""),"Diffun")</f>
        <v>Diffun</v>
      </c>
      <c r="Q265" s="2" t="str">
        <f>IFERROR(__xludf.DUMMYFUNCTION("""COMPUTED_VALUE"""),"Quirino")</f>
        <v>Quirino</v>
      </c>
      <c r="R265" s="2">
        <f>IFERROR(__xludf.DUMMYFUNCTION("""COMPUTED_VALUE"""),2.0)</f>
        <v>2</v>
      </c>
      <c r="S265" s="2"/>
      <c r="T265" s="2"/>
    </row>
    <row r="266">
      <c r="A266" s="1">
        <f>IFERROR(__xludf.DUMMYFUNCTION("""COMPUTED_VALUE"""),264.0)</f>
        <v>264</v>
      </c>
      <c r="B266" s="2" t="str">
        <f>IFERROR(__xludf.DUMMYFUNCTION("""COMPUTED_VALUE"""),"LUCBAN-GABRIELA IRRIGATORS ASSOCIATION INC.")</f>
        <v>LUCBAN-GABRIELA IRRIGATORS ASSOCIATION INC.</v>
      </c>
      <c r="C266" s="2" t="str">
        <f>IFERROR(__xludf.DUMMYFUNCTION("""COMPUTED_VALUE"""),"Gabriela Silang, Diffun, QUIRINO")</f>
        <v>Gabriela Silang, Diffun, QUIRINO</v>
      </c>
      <c r="D266" s="2" t="str">
        <f>IFERROR(__xludf.DUMMYFUNCTION("""COMPUTED_VALUE"""),"Joseph F. Pascual")</f>
        <v>Joseph F. Pascual</v>
      </c>
      <c r="E266" s="2">
        <f>IFERROR(__xludf.DUMMYFUNCTION("""COMPUTED_VALUE"""),9.261079972E9)</f>
        <v>9261079972</v>
      </c>
      <c r="F266" s="2" t="str">
        <f>IFERROR(__xludf.DUMMYFUNCTION("""COMPUTED_VALUE"""),"RCEF 23-09-21 Rebidding")</f>
        <v>RCEF 23-09-21 Rebidding</v>
      </c>
      <c r="G266" s="2">
        <f>IFERROR(__xludf.DUMMYFUNCTION("""COMPUTED_VALUE"""),9.0)</f>
        <v>9</v>
      </c>
      <c r="H266" s="2">
        <f>IFERROR(__xludf.DUMMYFUNCTION("""COMPUTED_VALUE"""),18825.0)</f>
        <v>18825</v>
      </c>
      <c r="I266" s="2" t="str">
        <f>IFERROR(__xludf.DUMMYFUNCTION("""COMPUTED_VALUE"""),"KMC5825 ACRFPV0215")</f>
        <v>KMC5825 ACRFPV0215</v>
      </c>
      <c r="J266" s="2" t="str">
        <f>IFERROR(__xludf.DUMMYFUNCTION("""COMPUTED_VALUE"""),"PTS100153")</f>
        <v>PTS100153</v>
      </c>
      <c r="K266" s="2" t="str">
        <f>IFERROR(__xludf.DUMMYFUNCTION("""COMPUTED_VALUE"""),"R-SERIES 297 PH")</f>
        <v>R-SERIES 297 PH</v>
      </c>
      <c r="L266" s="2" t="str">
        <f>IFERROR(__xludf.DUMMYFUNCTION("""COMPUTED_VALUE"""),"LSGW1750 RMP 24010130")</f>
        <v>LSGW1750 RMP 24010130</v>
      </c>
      <c r="M266" s="2" t="str">
        <f>IFERROR(__xludf.DUMMYFUNCTION("""COMPUTED_VALUE"""),"WDP40 RMP 24010157")</f>
        <v>WDP40 RMP 24010157</v>
      </c>
      <c r="N266" s="2"/>
      <c r="O266" s="2" t="str">
        <f>IFERROR(__xludf.DUMMYFUNCTION("""COMPUTED_VALUE"""),"Gabriela Silang")</f>
        <v>Gabriela Silang</v>
      </c>
      <c r="P266" s="2" t="str">
        <f>IFERROR(__xludf.DUMMYFUNCTION("""COMPUTED_VALUE"""),"Diffun")</f>
        <v>Diffun</v>
      </c>
      <c r="Q266" s="2" t="str">
        <f>IFERROR(__xludf.DUMMYFUNCTION("""COMPUTED_VALUE"""),"Quirino")</f>
        <v>Quirino</v>
      </c>
      <c r="R266" s="2">
        <f>IFERROR(__xludf.DUMMYFUNCTION("""COMPUTED_VALUE"""),2.0)</f>
        <v>2</v>
      </c>
      <c r="S266" s="2"/>
      <c r="T266" s="2"/>
    </row>
    <row r="267">
      <c r="A267" s="1">
        <f>IFERROR(__xludf.DUMMYFUNCTION("""COMPUTED_VALUE"""),265.0)</f>
        <v>265</v>
      </c>
      <c r="B267" s="2" t="str">
        <f>IFERROR(__xludf.DUMMYFUNCTION("""COMPUTED_VALUE"""),"Villa Pascua Multi-Purpose Cooperative")</f>
        <v>Villa Pascua Multi-Purpose Cooperative</v>
      </c>
      <c r="C267" s="2" t="str">
        <f>IFERROR(__xludf.DUMMYFUNCTION("""COMPUTED_VALUE"""),"Villa Pascua, Diffun, QUIRINO")</f>
        <v>Villa Pascua, Diffun, QUIRINO</v>
      </c>
      <c r="D267" s="2" t="str">
        <f>IFERROR(__xludf.DUMMYFUNCTION("""COMPUTED_VALUE"""),"Winnie R. Baclig")</f>
        <v>Winnie R. Baclig</v>
      </c>
      <c r="E267" s="2">
        <f>IFERROR(__xludf.DUMMYFUNCTION("""COMPUTED_VALUE"""),9.263910536E9)</f>
        <v>9263910536</v>
      </c>
      <c r="F267" s="2" t="str">
        <f>IFERROR(__xludf.DUMMYFUNCTION("""COMPUTED_VALUE"""),"RCEF 23-09-21 Rebidding")</f>
        <v>RCEF 23-09-21 Rebidding</v>
      </c>
      <c r="G267" s="2">
        <f>IFERROR(__xludf.DUMMYFUNCTION("""COMPUTED_VALUE"""),9.0)</f>
        <v>9</v>
      </c>
      <c r="H267" s="2">
        <f>IFERROR(__xludf.DUMMYFUNCTION("""COMPUTED_VALUE"""),18826.0)</f>
        <v>18826</v>
      </c>
      <c r="I267" s="2" t="str">
        <f>IFERROR(__xludf.DUMMYFUNCTION("""COMPUTED_VALUE"""),"KMC5825 AHRFPV0298")</f>
        <v>KMC5825 AHRFPV0298</v>
      </c>
      <c r="J267" s="2" t="str">
        <f>IFERROR(__xludf.DUMMYFUNCTION("""COMPUTED_VALUE"""),"RTS100043")</f>
        <v>RTS100043</v>
      </c>
      <c r="K267" s="2" t="str">
        <f>IFERROR(__xludf.DUMMYFUNCTION("""COMPUTED_VALUE"""),"R-SERIES 246 PH")</f>
        <v>R-SERIES 246 PH</v>
      </c>
      <c r="L267" s="2" t="str">
        <f>IFERROR(__xludf.DUMMYFUNCTION("""COMPUTED_VALUE"""),"LSGW1750 RMP 24010096")</f>
        <v>LSGW1750 RMP 24010096</v>
      </c>
      <c r="M267" s="2" t="str">
        <f>IFERROR(__xludf.DUMMYFUNCTION("""COMPUTED_VALUE"""),"WDP40 RMP 24010114")</f>
        <v>WDP40 RMP 24010114</v>
      </c>
      <c r="N267" s="2"/>
      <c r="O267" s="2" t="str">
        <f>IFERROR(__xludf.DUMMYFUNCTION("""COMPUTED_VALUE"""),"Villa Pascua")</f>
        <v>Villa Pascua</v>
      </c>
      <c r="P267" s="2" t="str">
        <f>IFERROR(__xludf.DUMMYFUNCTION("""COMPUTED_VALUE"""),"Diffun")</f>
        <v>Diffun</v>
      </c>
      <c r="Q267" s="2" t="str">
        <f>IFERROR(__xludf.DUMMYFUNCTION("""COMPUTED_VALUE"""),"Quirino")</f>
        <v>Quirino</v>
      </c>
      <c r="R267" s="2">
        <f>IFERROR(__xludf.DUMMYFUNCTION("""COMPUTED_VALUE"""),2.0)</f>
        <v>2</v>
      </c>
      <c r="S267" s="2"/>
      <c r="T267" s="2"/>
    </row>
    <row r="268">
      <c r="A268" s="1">
        <f>IFERROR(__xludf.DUMMYFUNCTION("""COMPUTED_VALUE"""),266.0)</f>
        <v>266</v>
      </c>
      <c r="B268" s="2" t="str">
        <f>IFERROR(__xludf.DUMMYFUNCTION("""COMPUTED_VALUE"""),"Cabaruan Main Extension Irrigators Association, Inc.")</f>
        <v>Cabaruan Main Extension Irrigators Association, Inc.</v>
      </c>
      <c r="C268" s="2" t="str">
        <f>IFERROR(__xludf.DUMMYFUNCTION("""COMPUTED_VALUE"""),"Cabaruan, Maddela, QUIRINO")</f>
        <v>Cabaruan, Maddela, QUIRINO</v>
      </c>
      <c r="D268" s="2" t="str">
        <f>IFERROR(__xludf.DUMMYFUNCTION("""COMPUTED_VALUE"""),"Domingo O. Dangkeo")</f>
        <v>Domingo O. Dangkeo</v>
      </c>
      <c r="E268" s="2" t="str">
        <f>IFERROR(__xludf.DUMMYFUNCTION("""COMPUTED_VALUE"""),"0935-725-5563")</f>
        <v>0935-725-5563</v>
      </c>
      <c r="F268" s="2" t="str">
        <f>IFERROR(__xludf.DUMMYFUNCTION("""COMPUTED_VALUE"""),"RCEF 23-09-21 Rebidding")</f>
        <v>RCEF 23-09-21 Rebidding</v>
      </c>
      <c r="G268" s="2">
        <f>IFERROR(__xludf.DUMMYFUNCTION("""COMPUTED_VALUE"""),9.0)</f>
        <v>9</v>
      </c>
      <c r="H268" s="2">
        <f>IFERROR(__xludf.DUMMYFUNCTION("""COMPUTED_VALUE"""),18827.0)</f>
        <v>18827</v>
      </c>
      <c r="I268" s="2" t="str">
        <f>IFERROR(__xludf.DUMMYFUNCTION("""COMPUTED_VALUE"""),"KMC5825 AKRFPV0289")</f>
        <v>KMC5825 AKRFPV0289</v>
      </c>
      <c r="J268" s="2" t="str">
        <f>IFERROR(__xludf.DUMMYFUNCTION("""COMPUTED_VALUE"""),"RTS100022")</f>
        <v>RTS100022</v>
      </c>
      <c r="K268" s="2" t="str">
        <f>IFERROR(__xludf.DUMMYFUNCTION("""COMPUTED_VALUE"""),"R-SERIES 280 PH")</f>
        <v>R-SERIES 280 PH</v>
      </c>
      <c r="L268" s="2" t="str">
        <f>IFERROR(__xludf.DUMMYFUNCTION("""COMPUTED_VALUE"""),"LSGW1750 RMP 24010125")</f>
        <v>LSGW1750 RMP 24010125</v>
      </c>
      <c r="M268" s="2" t="str">
        <f>IFERROR(__xludf.DUMMYFUNCTION("""COMPUTED_VALUE"""),"WDP40 RMP 24010127")</f>
        <v>WDP40 RMP 24010127</v>
      </c>
      <c r="N268" s="2"/>
      <c r="O268" s="2" t="str">
        <f>IFERROR(__xludf.DUMMYFUNCTION("""COMPUTED_VALUE"""),"Cabaruan")</f>
        <v>Cabaruan</v>
      </c>
      <c r="P268" s="2" t="str">
        <f>IFERROR(__xludf.DUMMYFUNCTION("""COMPUTED_VALUE"""),"Maddela")</f>
        <v>Maddela</v>
      </c>
      <c r="Q268" s="2" t="str">
        <f>IFERROR(__xludf.DUMMYFUNCTION("""COMPUTED_VALUE"""),"Quirino")</f>
        <v>Quirino</v>
      </c>
      <c r="R268" s="2">
        <f>IFERROR(__xludf.DUMMYFUNCTION("""COMPUTED_VALUE"""),2.0)</f>
        <v>2</v>
      </c>
      <c r="S268" s="2"/>
      <c r="T268" s="2"/>
    </row>
    <row r="269">
      <c r="A269" s="1">
        <f>IFERROR(__xludf.DUMMYFUNCTION("""COMPUTED_VALUE"""),267.0)</f>
        <v>267</v>
      </c>
      <c r="B269" s="2" t="str">
        <f>IFERROR(__xludf.DUMMYFUNCTION("""COMPUTED_VALUE"""),"DINAIT CAPILLANGAN IRRIGATORS' ASSOCIATION, INC.")</f>
        <v>DINAIT CAPILLANGAN IRRIGATORS' ASSOCIATION, INC.</v>
      </c>
      <c r="C269" s="2" t="str">
        <f>IFERROR(__xludf.DUMMYFUNCTION("""COMPUTED_VALUE"""),"Villamor, Cabarroguis, QUIRINO")</f>
        <v>Villamor, Cabarroguis, QUIRINO</v>
      </c>
      <c r="D269" s="2" t="str">
        <f>IFERROR(__xludf.DUMMYFUNCTION("""COMPUTED_VALUE"""),"Rodrigo C. De Jesus")</f>
        <v>Rodrigo C. De Jesus</v>
      </c>
      <c r="E269" s="2">
        <f>IFERROR(__xludf.DUMMYFUNCTION("""COMPUTED_VALUE"""),9.161864604E9)</f>
        <v>9161864604</v>
      </c>
      <c r="F269" s="2" t="str">
        <f>IFERROR(__xludf.DUMMYFUNCTION("""COMPUTED_VALUE"""),"RCEF 23-09-21 Rebidding")</f>
        <v>RCEF 23-09-21 Rebidding</v>
      </c>
      <c r="G269" s="2">
        <f>IFERROR(__xludf.DUMMYFUNCTION("""COMPUTED_VALUE"""),1.0)</f>
        <v>1</v>
      </c>
      <c r="H269" s="2">
        <f>IFERROR(__xludf.DUMMYFUNCTION("""COMPUTED_VALUE"""),18828.0)</f>
        <v>18828</v>
      </c>
      <c r="I269" s="2" t="str">
        <f>IFERROR(__xludf.DUMMYFUNCTION("""COMPUTED_VALUE"""),"KMC5825 AKRFPV0096")</f>
        <v>KMC5825 AKRFPV0096</v>
      </c>
      <c r="J269" s="2" t="str">
        <f>IFERROR(__xludf.DUMMYFUNCTION("""COMPUTED_VALUE"""),"PTS100217")</f>
        <v>PTS100217</v>
      </c>
      <c r="K269" s="2" t="str">
        <f>IFERROR(__xludf.DUMMYFUNCTION("""COMPUTED_VALUE"""),"R-SERIES 245 PH")</f>
        <v>R-SERIES 245 PH</v>
      </c>
      <c r="L269" s="2" t="str">
        <f>IFERROR(__xludf.DUMMYFUNCTION("""COMPUTED_VALUE"""),"LSGW1750 RMP24010123")</f>
        <v>LSGW1750 RMP24010123</v>
      </c>
      <c r="M269" s="2" t="str">
        <f>IFERROR(__xludf.DUMMYFUNCTION("""COMPUTED_VALUE"""),"WDP40 RMP 24010039")</f>
        <v>WDP40 RMP 24010039</v>
      </c>
      <c r="N269" s="2"/>
      <c r="O269" s="2" t="str">
        <f>IFERROR(__xludf.DUMMYFUNCTION("""COMPUTED_VALUE"""),"Villamor")</f>
        <v>Villamor</v>
      </c>
      <c r="P269" s="2" t="str">
        <f>IFERROR(__xludf.DUMMYFUNCTION("""COMPUTED_VALUE"""),"Cabarroguis")</f>
        <v>Cabarroguis</v>
      </c>
      <c r="Q269" s="2" t="str">
        <f>IFERROR(__xludf.DUMMYFUNCTION("""COMPUTED_VALUE"""),"Quirino")</f>
        <v>Quirino</v>
      </c>
      <c r="R269" s="2">
        <f>IFERROR(__xludf.DUMMYFUNCTION("""COMPUTED_VALUE"""),2.0)</f>
        <v>2</v>
      </c>
      <c r="S269" s="2"/>
      <c r="T269" s="2"/>
    </row>
    <row r="270">
      <c r="A270" s="1">
        <f>IFERROR(__xludf.DUMMYFUNCTION("""COMPUTED_VALUE"""),268.0)</f>
        <v>268</v>
      </c>
      <c r="B270" s="2" t="str">
        <f>IFERROR(__xludf.DUMMYFUNCTION("""COMPUTED_VALUE"""),"Diffun Saranay and Development Cooperative (DISADECO)")</f>
        <v>Diffun Saranay and Development Cooperative (DISADECO)</v>
      </c>
      <c r="C270" s="2" t="str">
        <f>IFERROR(__xludf.DUMMYFUNCTION("""COMPUTED_VALUE"""),"Andres Bonifacio (Pob.), Diffun, QUIRINO")</f>
        <v>Andres Bonifacio (Pob.), Diffun, QUIRINO</v>
      </c>
      <c r="D270" s="2" t="str">
        <f>IFERROR(__xludf.DUMMYFUNCTION("""COMPUTED_VALUE"""),"MARCIANA D. FORYASEN")</f>
        <v>MARCIANA D. FORYASEN</v>
      </c>
      <c r="E270" s="2" t="str">
        <f>IFERROR(__xludf.DUMMYFUNCTION("""COMPUTED_VALUE"""),"0927 987 7213")</f>
        <v>0927 987 7213</v>
      </c>
      <c r="F270" s="2" t="str">
        <f>IFERROR(__xludf.DUMMYFUNCTION("""COMPUTED_VALUE"""),"RCEF 23-09-21 Rebidding")</f>
        <v>RCEF 23-09-21 Rebidding</v>
      </c>
      <c r="G270" s="2">
        <f>IFERROR(__xludf.DUMMYFUNCTION("""COMPUTED_VALUE"""),1.0)</f>
        <v>1</v>
      </c>
      <c r="H270" s="2">
        <f>IFERROR(__xludf.DUMMYFUNCTION("""COMPUTED_VALUE"""),18829.0)</f>
        <v>18829</v>
      </c>
      <c r="I270" s="2" t="str">
        <f>IFERROR(__xludf.DUMMYFUNCTION("""COMPUTED_VALUE"""),"KMC5825 AERFPV0156")</f>
        <v>KMC5825 AERFPV0156</v>
      </c>
      <c r="J270" s="2" t="str">
        <f>IFERROR(__xludf.DUMMYFUNCTION("""COMPUTED_VALUE"""),"RTS100133")</f>
        <v>RTS100133</v>
      </c>
      <c r="K270" s="2" t="str">
        <f>IFERROR(__xludf.DUMMYFUNCTION("""COMPUTED_VALUE"""),"R-SERIES 151 PH")</f>
        <v>R-SERIES 151 PH</v>
      </c>
      <c r="L270" s="2" t="str">
        <f>IFERROR(__xludf.DUMMYFUNCTION("""COMPUTED_VALUE"""),"LSGW1750 RMP 24010195")</f>
        <v>LSGW1750 RMP 24010195</v>
      </c>
      <c r="M270" s="2" t="str">
        <f>IFERROR(__xludf.DUMMYFUNCTION("""COMPUTED_VALUE"""),"WDP40 RMP 24010164")</f>
        <v>WDP40 RMP 24010164</v>
      </c>
      <c r="N270" s="2"/>
      <c r="O270" s="2" t="str">
        <f>IFERROR(__xludf.DUMMYFUNCTION("""COMPUTED_VALUE"""),"Andres Bonifacio (Pob.)")</f>
        <v>Andres Bonifacio (Pob.)</v>
      </c>
      <c r="P270" s="2" t="str">
        <f>IFERROR(__xludf.DUMMYFUNCTION("""COMPUTED_VALUE"""),"Diffun")</f>
        <v>Diffun</v>
      </c>
      <c r="Q270" s="2" t="str">
        <f>IFERROR(__xludf.DUMMYFUNCTION("""COMPUTED_VALUE"""),"Quirino")</f>
        <v>Quirino</v>
      </c>
      <c r="R270" s="2">
        <f>IFERROR(__xludf.DUMMYFUNCTION("""COMPUTED_VALUE"""),2.0)</f>
        <v>2</v>
      </c>
      <c r="S270" s="2"/>
      <c r="T270" s="2"/>
    </row>
    <row r="271">
      <c r="A271" s="1">
        <f>IFERROR(__xludf.DUMMYFUNCTION("""COMPUTED_VALUE"""),269.0)</f>
        <v>269</v>
      </c>
      <c r="B271" s="2" t="str">
        <f>IFERROR(__xludf.DUMMYFUNCTION("""COMPUTED_VALUE"""),"Maria Clara Irrigators Agriculture Cooperative")</f>
        <v>Maria Clara Irrigators Agriculture Cooperative</v>
      </c>
      <c r="C271" s="2" t="str">
        <f>IFERROR(__xludf.DUMMYFUNCTION("""COMPUTED_VALUE"""),"Maria Clara, Diffun, QUIRINO")</f>
        <v>Maria Clara, Diffun, QUIRINO</v>
      </c>
      <c r="D271" s="2" t="str">
        <f>IFERROR(__xludf.DUMMYFUNCTION("""COMPUTED_VALUE"""),"Lopito E. Draman")</f>
        <v>Lopito E. Draman</v>
      </c>
      <c r="E271" s="2">
        <f>IFERROR(__xludf.DUMMYFUNCTION("""COMPUTED_VALUE"""),9.177897744E9)</f>
        <v>9177897744</v>
      </c>
      <c r="F271" s="2" t="str">
        <f>IFERROR(__xludf.DUMMYFUNCTION("""COMPUTED_VALUE"""),"RCEF 23-09-21 Rebidding")</f>
        <v>RCEF 23-09-21 Rebidding</v>
      </c>
      <c r="G271" s="2">
        <f>IFERROR(__xludf.DUMMYFUNCTION("""COMPUTED_VALUE"""),1.0)</f>
        <v>1</v>
      </c>
      <c r="H271" s="2">
        <f>IFERROR(__xludf.DUMMYFUNCTION("""COMPUTED_VALUE"""),18830.0)</f>
        <v>18830</v>
      </c>
      <c r="I271" s="2" t="str">
        <f>IFERROR(__xludf.DUMMYFUNCTION("""COMPUTED_VALUE"""),"KMC5825 ACRFPV0191")</f>
        <v>KMC5825 ACRFPV0191</v>
      </c>
      <c r="J271" s="2" t="str">
        <f>IFERROR(__xludf.DUMMYFUNCTION("""COMPUTED_VALUE"""),"RTS100073")</f>
        <v>RTS100073</v>
      </c>
      <c r="K271" s="2" t="str">
        <f>IFERROR(__xludf.DUMMYFUNCTION("""COMPUTED_VALUE"""),"R-SERIES 277 PH")</f>
        <v>R-SERIES 277 PH</v>
      </c>
      <c r="L271" s="2" t="str">
        <f>IFERROR(__xludf.DUMMYFUNCTION("""COMPUTED_VALUE"""),"LSGW1750 RMP 24010196")</f>
        <v>LSGW1750 RMP 24010196</v>
      </c>
      <c r="M271" s="2" t="str">
        <f>IFERROR(__xludf.DUMMYFUNCTION("""COMPUTED_VALUE"""),"WDP40 RMP 24010124")</f>
        <v>WDP40 RMP 24010124</v>
      </c>
      <c r="N271" s="2"/>
      <c r="O271" s="2" t="str">
        <f>IFERROR(__xludf.DUMMYFUNCTION("""COMPUTED_VALUE"""),"Maria Clara")</f>
        <v>Maria Clara</v>
      </c>
      <c r="P271" s="2" t="str">
        <f>IFERROR(__xludf.DUMMYFUNCTION("""COMPUTED_VALUE"""),"Diffun")</f>
        <v>Diffun</v>
      </c>
      <c r="Q271" s="2" t="str">
        <f>IFERROR(__xludf.DUMMYFUNCTION("""COMPUTED_VALUE"""),"Quirino")</f>
        <v>Quirino</v>
      </c>
      <c r="R271" s="2">
        <f>IFERROR(__xludf.DUMMYFUNCTION("""COMPUTED_VALUE"""),2.0)</f>
        <v>2</v>
      </c>
      <c r="S271" s="2"/>
      <c r="T271" s="2"/>
    </row>
    <row r="272">
      <c r="A272" s="1">
        <f>IFERROR(__xludf.DUMMYFUNCTION("""COMPUTED_VALUE"""),270.0)</f>
        <v>270</v>
      </c>
      <c r="B272" s="2" t="str">
        <f>IFERROR(__xludf.DUMMYFUNCTION("""COMPUTED_VALUE"""),"Pusuac Multi-Purpose Cooperative")</f>
        <v>Pusuac Multi-Purpose Cooperative</v>
      </c>
      <c r="C272" s="2" t="str">
        <f>IFERROR(__xludf.DUMMYFUNCTION("""COMPUTED_VALUE"""),"Andres Bonifacio (Pob.), Diffun, QUIRINO")</f>
        <v>Andres Bonifacio (Pob.), Diffun, QUIRINO</v>
      </c>
      <c r="D272" s="2" t="str">
        <f>IFERROR(__xludf.DUMMYFUNCTION("""COMPUTED_VALUE"""),"Ronald M. Abenoja")</f>
        <v>Ronald M. Abenoja</v>
      </c>
      <c r="E272" s="2" t="str">
        <f>IFERROR(__xludf.DUMMYFUNCTION("""COMPUTED_VALUE"""),"0917 830 8667")</f>
        <v>0917 830 8667</v>
      </c>
      <c r="F272" s="2" t="str">
        <f>IFERROR(__xludf.DUMMYFUNCTION("""COMPUTED_VALUE"""),"RCEF 23-09-21 Rebidding")</f>
        <v>RCEF 23-09-21 Rebidding</v>
      </c>
      <c r="G272" s="2">
        <f>IFERROR(__xludf.DUMMYFUNCTION("""COMPUTED_VALUE"""),1.0)</f>
        <v>1</v>
      </c>
      <c r="H272" s="2">
        <f>IFERROR(__xludf.DUMMYFUNCTION("""COMPUTED_VALUE"""),18831.0)</f>
        <v>18831</v>
      </c>
      <c r="I272" s="2" t="str">
        <f>IFERROR(__xludf.DUMMYFUNCTION("""COMPUTED_VALUE"""),"KMC5825 ACRFPV0196")</f>
        <v>KMC5825 ACRFPV0196</v>
      </c>
      <c r="J272" s="2" t="str">
        <f>IFERROR(__xludf.DUMMYFUNCTION("""COMPUTED_VALUE"""),"RTS100139")</f>
        <v>RTS100139</v>
      </c>
      <c r="K272" s="2" t="str">
        <f>IFERROR(__xludf.DUMMYFUNCTION("""COMPUTED_VALUE"""),"R-SERIES 282 PH")</f>
        <v>R-SERIES 282 PH</v>
      </c>
      <c r="L272" s="2" t="str">
        <f>IFERROR(__xludf.DUMMYFUNCTION("""COMPUTED_VALUE"""),"LSGW1750 RMP 24010187")</f>
        <v>LSGW1750 RMP 24010187</v>
      </c>
      <c r="M272" s="2" t="str">
        <f>IFERROR(__xludf.DUMMYFUNCTION("""COMPUTED_VALUE"""),"WDP40 RMP 24010056")</f>
        <v>WDP40 RMP 24010056</v>
      </c>
      <c r="N272" s="2"/>
      <c r="O272" s="2" t="str">
        <f>IFERROR(__xludf.DUMMYFUNCTION("""COMPUTED_VALUE"""),"Andres Bonifacio (Pob.)")</f>
        <v>Andres Bonifacio (Pob.)</v>
      </c>
      <c r="P272" s="2" t="str">
        <f>IFERROR(__xludf.DUMMYFUNCTION("""COMPUTED_VALUE"""),"Diffun")</f>
        <v>Diffun</v>
      </c>
      <c r="Q272" s="2" t="str">
        <f>IFERROR(__xludf.DUMMYFUNCTION("""COMPUTED_VALUE"""),"Quirino")</f>
        <v>Quirino</v>
      </c>
      <c r="R272" s="2">
        <f>IFERROR(__xludf.DUMMYFUNCTION("""COMPUTED_VALUE"""),2.0)</f>
        <v>2</v>
      </c>
      <c r="S272" s="2"/>
      <c r="T272" s="2"/>
    </row>
    <row r="273">
      <c r="A273" s="1">
        <f>IFERROR(__xludf.DUMMYFUNCTION("""COMPUTED_VALUE"""),271.0)</f>
        <v>271</v>
      </c>
      <c r="B273" s="2" t="str">
        <f>IFERROR(__xludf.DUMMYFUNCTION("""COMPUTED_VALUE"""),"TAGAD - DIBUL IRRIGATORS' ASSOCIATION, INC.")</f>
        <v>TAGAD - DIBUL IRRIGATORS' ASSOCIATION, INC.</v>
      </c>
      <c r="C273" s="2" t="str">
        <f>IFERROR(__xludf.DUMMYFUNCTION("""COMPUTED_VALUE"""),"Dibul, Saguday, QUIRINO")</f>
        <v>Dibul, Saguday, QUIRINO</v>
      </c>
      <c r="D273" s="2" t="str">
        <f>IFERROR(__xludf.DUMMYFUNCTION("""COMPUTED_VALUE"""),"Ben Betriolo")</f>
        <v>Ben Betriolo</v>
      </c>
      <c r="E273" s="2">
        <f>IFERROR(__xludf.DUMMYFUNCTION("""COMPUTED_VALUE"""),9.557684078E9)</f>
        <v>9557684078</v>
      </c>
      <c r="F273" s="2" t="str">
        <f>IFERROR(__xludf.DUMMYFUNCTION("""COMPUTED_VALUE"""),"RCEF 23-09-21 Rebidding")</f>
        <v>RCEF 23-09-21 Rebidding</v>
      </c>
      <c r="G273" s="2">
        <f>IFERROR(__xludf.DUMMYFUNCTION("""COMPUTED_VALUE"""),1.0)</f>
        <v>1</v>
      </c>
      <c r="H273" s="2">
        <f>IFERROR(__xludf.DUMMYFUNCTION("""COMPUTED_VALUE"""),18832.0)</f>
        <v>18832</v>
      </c>
      <c r="I273" s="2" t="str">
        <f>IFERROR(__xludf.DUMMYFUNCTION("""COMPUTED_VALUE"""),"KMC5825 AVRFPV0149")</f>
        <v>KMC5825 AVRFPV0149</v>
      </c>
      <c r="J273" s="2" t="str">
        <f>IFERROR(__xludf.DUMMYFUNCTION("""COMPUTED_VALUE"""),"RTS100064")</f>
        <v>RTS100064</v>
      </c>
      <c r="K273" s="2" t="str">
        <f>IFERROR(__xludf.DUMMYFUNCTION("""COMPUTED_VALUE"""),"R-SERIES 285 PH")</f>
        <v>R-SERIES 285 PH</v>
      </c>
      <c r="L273" s="2" t="str">
        <f>IFERROR(__xludf.DUMMYFUNCTION("""COMPUTED_VALUE"""),"LSGW1750 RMP 24010191")</f>
        <v>LSGW1750 RMP 24010191</v>
      </c>
      <c r="M273" s="2" t="str">
        <f>IFERROR(__xludf.DUMMYFUNCTION("""COMPUTED_VALUE"""),"WDP40 RMP 24010140")</f>
        <v>WDP40 RMP 24010140</v>
      </c>
      <c r="N273" s="2"/>
      <c r="O273" s="2" t="str">
        <f>IFERROR(__xludf.DUMMYFUNCTION("""COMPUTED_VALUE"""),"Dibul")</f>
        <v>Dibul</v>
      </c>
      <c r="P273" s="2" t="str">
        <f>IFERROR(__xludf.DUMMYFUNCTION("""COMPUTED_VALUE"""),"Saguday")</f>
        <v>Saguday</v>
      </c>
      <c r="Q273" s="2" t="str">
        <f>IFERROR(__xludf.DUMMYFUNCTION("""COMPUTED_VALUE"""),"Quirino")</f>
        <v>Quirino</v>
      </c>
      <c r="R273" s="2">
        <f>IFERROR(__xludf.DUMMYFUNCTION("""COMPUTED_VALUE"""),2.0)</f>
        <v>2</v>
      </c>
      <c r="S273" s="2"/>
      <c r="T273" s="2"/>
    </row>
    <row r="274">
      <c r="A274" s="1">
        <f>IFERROR(__xludf.DUMMYFUNCTION("""COMPUTED_VALUE"""),272.0)</f>
        <v>272</v>
      </c>
      <c r="B274" s="2" t="str">
        <f>IFERROR(__xludf.DUMMYFUNCTION("""COMPUTED_VALUE"""),"SAN MACARIO FARMER'S ASSOCIATION")</f>
        <v>SAN MACARIO FARMER'S ASSOCIATION</v>
      </c>
      <c r="C274" s="2" t="str">
        <f>IFERROR(__xludf.DUMMYFUNCTION("""COMPUTED_VALUE"""),"San Macario, Delfin Albano, ISABELA")</f>
        <v>San Macario, Delfin Albano, ISABELA</v>
      </c>
      <c r="D274" s="2" t="str">
        <f>IFERROR(__xludf.DUMMYFUNCTION("""COMPUTED_VALUE"""),"ARIEL V. BIDES")</f>
        <v>ARIEL V. BIDES</v>
      </c>
      <c r="E274" s="2">
        <f>IFERROR(__xludf.DUMMYFUNCTION("""COMPUTED_VALUE"""),9.263610336E9)</f>
        <v>9263610336</v>
      </c>
      <c r="F274" s="2" t="str">
        <f>IFERROR(__xludf.DUMMYFUNCTION("""COMPUTED_VALUE"""),"RCEF 23-09-21 Rebidding")</f>
        <v>RCEF 23-09-21 Rebidding</v>
      </c>
      <c r="G274" s="2">
        <f>IFERROR(__xludf.DUMMYFUNCTION("""COMPUTED_VALUE"""),9.0)</f>
        <v>9</v>
      </c>
      <c r="H274" s="2">
        <f>IFERROR(__xludf.DUMMYFUNCTION("""COMPUTED_VALUE"""),18833.0)</f>
        <v>18833</v>
      </c>
      <c r="I274" s="2" t="str">
        <f>IFERROR(__xludf.DUMMYFUNCTION("""COMPUTED_VALUE"""),"KMC5825 AARFPV0167")</f>
        <v>KMC5825 AARFPV0167</v>
      </c>
      <c r="J274" s="2" t="str">
        <f>IFERROR(__xludf.DUMMYFUNCTION("""COMPUTED_VALUE"""),"RTS100108")</f>
        <v>RTS100108</v>
      </c>
      <c r="K274" s="2" t="str">
        <f>IFERROR(__xludf.DUMMYFUNCTION("""COMPUTED_VALUE"""),"R-SERIES 134 PH")</f>
        <v>R-SERIES 134 PH</v>
      </c>
      <c r="L274" s="2" t="str">
        <f>IFERROR(__xludf.DUMMYFUNCTION("""COMPUTED_VALUE"""),"LSGW1750 RMP 24010134")</f>
        <v>LSGW1750 RMP 24010134</v>
      </c>
      <c r="M274" s="2" t="str">
        <f>IFERROR(__xludf.DUMMYFUNCTION("""COMPUTED_VALUE"""),"WDP40 RMP 24010122")</f>
        <v>WDP40 RMP 24010122</v>
      </c>
      <c r="N274" s="2"/>
      <c r="O274" s="2" t="str">
        <f>IFERROR(__xludf.DUMMYFUNCTION("""COMPUTED_VALUE"""),"San Macario")</f>
        <v>San Macario</v>
      </c>
      <c r="P274" s="2" t="str">
        <f>IFERROR(__xludf.DUMMYFUNCTION("""COMPUTED_VALUE"""),"Delfin Albano")</f>
        <v>Delfin Albano</v>
      </c>
      <c r="Q274" s="2" t="str">
        <f>IFERROR(__xludf.DUMMYFUNCTION("""COMPUTED_VALUE"""),"Isabela")</f>
        <v>Isabela</v>
      </c>
      <c r="R274" s="2">
        <f>IFERROR(__xludf.DUMMYFUNCTION("""COMPUTED_VALUE"""),2.0)</f>
        <v>2</v>
      </c>
      <c r="S274" s="2"/>
      <c r="T274" s="2"/>
    </row>
    <row r="275">
      <c r="A275" s="1">
        <f>IFERROR(__xludf.DUMMYFUNCTION("""COMPUTED_VALUE"""),273.0)</f>
        <v>273</v>
      </c>
      <c r="B275" s="2" t="str">
        <f>IFERROR(__xludf.DUMMYFUNCTION("""COMPUTED_VALUE"""),"BARUMBONG IRRIGATORS ASSOCIATION INC.")</f>
        <v>BARUMBONG IRRIGATORS ASSOCIATION INC.</v>
      </c>
      <c r="C275" s="2" t="str">
        <f>IFERROR(__xludf.DUMMYFUNCTION("""COMPUTED_VALUE"""),"Barumbong, Santo Tomas, ISABELA")</f>
        <v>Barumbong, Santo Tomas, ISABELA</v>
      </c>
      <c r="D275" s="2" t="str">
        <f>IFERROR(__xludf.DUMMYFUNCTION("""COMPUTED_VALUE"""),"SONNY P. TALLION")</f>
        <v>SONNY P. TALLION</v>
      </c>
      <c r="E275" s="2">
        <f>IFERROR(__xludf.DUMMYFUNCTION("""COMPUTED_VALUE"""),9.758262334E9)</f>
        <v>9758262334</v>
      </c>
      <c r="F275" s="2" t="str">
        <f>IFERROR(__xludf.DUMMYFUNCTION("""COMPUTED_VALUE"""),"RCEF 23-09-21 Rebidding")</f>
        <v>RCEF 23-09-21 Rebidding</v>
      </c>
      <c r="G275" s="2">
        <f>IFERROR(__xludf.DUMMYFUNCTION("""COMPUTED_VALUE"""),9.0)</f>
        <v>9</v>
      </c>
      <c r="H275" s="2">
        <f>IFERROR(__xludf.DUMMYFUNCTION("""COMPUTED_VALUE"""),18834.0)</f>
        <v>18834</v>
      </c>
      <c r="I275" s="2" t="str">
        <f>IFERROR(__xludf.DUMMYFUNCTION("""COMPUTED_VALUE"""),"kmc5825 ACRFPV0207")</f>
        <v>kmc5825 ACRFPV0207</v>
      </c>
      <c r="J275" s="2" t="str">
        <f>IFERROR(__xludf.DUMMYFUNCTION("""COMPUTED_VALUE"""),"RTS100055")</f>
        <v>RTS100055</v>
      </c>
      <c r="K275" s="2" t="str">
        <f>IFERROR(__xludf.DUMMYFUNCTION("""COMPUTED_VALUE"""),"R-SERIES 159 PH")</f>
        <v>R-SERIES 159 PH</v>
      </c>
      <c r="L275" s="2" t="str">
        <f>IFERROR(__xludf.DUMMYFUNCTION("""COMPUTED_VALUE"""),"LSGW1750 RMP 24010116")</f>
        <v>LSGW1750 RMP 24010116</v>
      </c>
      <c r="M275" s="2" t="str">
        <f>IFERROR(__xludf.DUMMYFUNCTION("""COMPUTED_VALUE"""),"WDP40 RMP 24010143")</f>
        <v>WDP40 RMP 24010143</v>
      </c>
      <c r="N275" s="2"/>
      <c r="O275" s="2" t="str">
        <f>IFERROR(__xludf.DUMMYFUNCTION("""COMPUTED_VALUE"""),"Barumbong")</f>
        <v>Barumbong</v>
      </c>
      <c r="P275" s="2" t="str">
        <f>IFERROR(__xludf.DUMMYFUNCTION("""COMPUTED_VALUE"""),"Santo Tomas")</f>
        <v>Santo Tomas</v>
      </c>
      <c r="Q275" s="2" t="str">
        <f>IFERROR(__xludf.DUMMYFUNCTION("""COMPUTED_VALUE"""),"Isabela")</f>
        <v>Isabela</v>
      </c>
      <c r="R275" s="2">
        <f>IFERROR(__xludf.DUMMYFUNCTION("""COMPUTED_VALUE"""),2.0)</f>
        <v>2</v>
      </c>
      <c r="S275" s="2"/>
      <c r="T275" s="2"/>
    </row>
    <row r="276">
      <c r="A276" s="1">
        <f>IFERROR(__xludf.DUMMYFUNCTION("""COMPUTED_VALUE"""),274.0)</f>
        <v>274</v>
      </c>
      <c r="B276" s="2" t="str">
        <f>IFERROR(__xludf.DUMMYFUNCTION("""COMPUTED_VALUE"""),"MALLALATANG GRANDE AND VILLADOR FARMERS ASSOCIATION")</f>
        <v>MALLALATANG GRANDE AND VILLADOR FARMERS ASSOCIATION</v>
      </c>
      <c r="C276" s="2" t="str">
        <f>IFERROR(__xludf.DUMMYFUNCTION("""COMPUTED_VALUE"""),"Villador, Reina Mercedes, ISABELA")</f>
        <v>Villador, Reina Mercedes, ISABELA</v>
      </c>
      <c r="D276" s="2" t="str">
        <f>IFERROR(__xludf.DUMMYFUNCTION("""COMPUTED_VALUE"""),"JONEL F. ACOB")</f>
        <v>JONEL F. ACOB</v>
      </c>
      <c r="E276" s="2">
        <f>IFERROR(__xludf.DUMMYFUNCTION("""COMPUTED_VALUE"""),9.654799576E9)</f>
        <v>9654799576</v>
      </c>
      <c r="F276" s="2" t="str">
        <f>IFERROR(__xludf.DUMMYFUNCTION("""COMPUTED_VALUE"""),"RCEF 23-09-21 Rebidding")</f>
        <v>RCEF 23-09-21 Rebidding</v>
      </c>
      <c r="G276" s="2">
        <f>IFERROR(__xludf.DUMMYFUNCTION("""COMPUTED_VALUE"""),9.0)</f>
        <v>9</v>
      </c>
      <c r="H276" s="2">
        <f>IFERROR(__xludf.DUMMYFUNCTION("""COMPUTED_VALUE"""),18835.0)</f>
        <v>18835</v>
      </c>
      <c r="I276" s="2" t="str">
        <f>IFERROR(__xludf.DUMMYFUNCTION("""COMPUTED_VALUE"""),"KMC5825 ACRFPV0157")</f>
        <v>KMC5825 ACRFPV0157</v>
      </c>
      <c r="J276" s="2" t="str">
        <f>IFERROR(__xludf.DUMMYFUNCTION("""COMPUTED_VALUE"""),"RTS100077")</f>
        <v>RTS100077</v>
      </c>
      <c r="K276" s="2" t="str">
        <f>IFERROR(__xludf.DUMMYFUNCTION("""COMPUTED_VALUE"""),"R-SERIES 131PH")</f>
        <v>R-SERIES 131PH</v>
      </c>
      <c r="L276" s="2" t="str">
        <f>IFERROR(__xludf.DUMMYFUNCTION("""COMPUTED_VALUE"""),"LSGW1750 RMP 24010132")</f>
        <v>LSGW1750 RMP 24010132</v>
      </c>
      <c r="M276" s="2" t="str">
        <f>IFERROR(__xludf.DUMMYFUNCTION("""COMPUTED_VALUE"""),"WDP40 RMP 24010130")</f>
        <v>WDP40 RMP 24010130</v>
      </c>
      <c r="N276" s="2"/>
      <c r="O276" s="2" t="str">
        <f>IFERROR(__xludf.DUMMYFUNCTION("""COMPUTED_VALUE"""),"Villador")</f>
        <v>Villador</v>
      </c>
      <c r="P276" s="2" t="str">
        <f>IFERROR(__xludf.DUMMYFUNCTION("""COMPUTED_VALUE"""),"Reina Mercedes")</f>
        <v>Reina Mercedes</v>
      </c>
      <c r="Q276" s="2" t="str">
        <f>IFERROR(__xludf.DUMMYFUNCTION("""COMPUTED_VALUE"""),"Isabela")</f>
        <v>Isabela</v>
      </c>
      <c r="R276" s="2">
        <f>IFERROR(__xludf.DUMMYFUNCTION("""COMPUTED_VALUE"""),2.0)</f>
        <v>2</v>
      </c>
      <c r="S276" s="2"/>
      <c r="T276" s="2"/>
    </row>
    <row r="277">
      <c r="A277" s="1">
        <f>IFERROR(__xludf.DUMMYFUNCTION("""COMPUTED_VALUE"""),275.0)</f>
        <v>275</v>
      </c>
      <c r="B277" s="2" t="str">
        <f>IFERROR(__xludf.DUMMYFUNCTION("""COMPUTED_VALUE"""),"Sto Tomas MMC Irrigators Association , Inc")</f>
        <v>Sto Tomas MMC Irrigators Association , Inc</v>
      </c>
      <c r="C277" s="2" t="str">
        <f>IFERROR(__xludf.DUMMYFUNCTION("""COMPUTED_VALUE"""),"Santo Tomas, Alicia, ISABELA")</f>
        <v>Santo Tomas, Alicia, ISABELA</v>
      </c>
      <c r="D277" s="2" t="str">
        <f>IFERROR(__xludf.DUMMYFUNCTION("""COMPUTED_VALUE"""),"Arleen T. Fernandez")</f>
        <v>Arleen T. Fernandez</v>
      </c>
      <c r="E277" s="2">
        <f>IFERROR(__xludf.DUMMYFUNCTION("""COMPUTED_VALUE"""),9.272907875E9)</f>
        <v>9272907875</v>
      </c>
      <c r="F277" s="2" t="str">
        <f>IFERROR(__xludf.DUMMYFUNCTION("""COMPUTED_VALUE"""),"RCEF 23-09-21 Rebidding")</f>
        <v>RCEF 23-09-21 Rebidding</v>
      </c>
      <c r="G277" s="2">
        <f>IFERROR(__xludf.DUMMYFUNCTION("""COMPUTED_VALUE"""),9.0)</f>
        <v>9</v>
      </c>
      <c r="H277" s="2">
        <f>IFERROR(__xludf.DUMMYFUNCTION("""COMPUTED_VALUE"""),18836.0)</f>
        <v>18836</v>
      </c>
      <c r="I277" s="2" t="str">
        <f>IFERROR(__xludf.DUMMYFUNCTION("""COMPUTED_VALUE"""),"KMC5825 ACRFPV0224")</f>
        <v>KMC5825 ACRFPV0224</v>
      </c>
      <c r="J277" s="2" t="str">
        <f>IFERROR(__xludf.DUMMYFUNCTION("""COMPUTED_VALUE"""),"RTS100118")</f>
        <v>RTS100118</v>
      </c>
      <c r="K277" s="2" t="str">
        <f>IFERROR(__xludf.DUMMYFUNCTION("""COMPUTED_VALUE"""),"R-SERIES 244PH")</f>
        <v>R-SERIES 244PH</v>
      </c>
      <c r="L277" s="2" t="str">
        <f>IFERROR(__xludf.DUMMYFUNCTION("""COMPUTED_VALUE"""),"LSGW1750 RMP 24010135")</f>
        <v>LSGW1750 RMP 24010135</v>
      </c>
      <c r="M277" s="2" t="str">
        <f>IFERROR(__xludf.DUMMYFUNCTION("""COMPUTED_VALUE"""),"WDP40 RMP 24020211")</f>
        <v>WDP40 RMP 24020211</v>
      </c>
      <c r="N277" s="2"/>
      <c r="O277" s="2" t="str">
        <f>IFERROR(__xludf.DUMMYFUNCTION("""COMPUTED_VALUE"""),"Santo Tomas")</f>
        <v>Santo Tomas</v>
      </c>
      <c r="P277" s="2" t="str">
        <f>IFERROR(__xludf.DUMMYFUNCTION("""COMPUTED_VALUE"""),"Alicia")</f>
        <v>Alicia</v>
      </c>
      <c r="Q277" s="2" t="str">
        <f>IFERROR(__xludf.DUMMYFUNCTION("""COMPUTED_VALUE"""),"Isabela")</f>
        <v>Isabela</v>
      </c>
      <c r="R277" s="2">
        <f>IFERROR(__xludf.DUMMYFUNCTION("""COMPUTED_VALUE"""),2.0)</f>
        <v>2</v>
      </c>
      <c r="S277" s="2"/>
      <c r="T277" s="2"/>
    </row>
    <row r="278">
      <c r="A278" s="1">
        <f>IFERROR(__xludf.DUMMYFUNCTION("""COMPUTED_VALUE"""),276.0)</f>
        <v>276</v>
      </c>
      <c r="B278" s="2" t="str">
        <f>IFERROR(__xludf.DUMMYFUNCTION("""COMPUTED_VALUE"""),"STA. ISABEL FARMERS ASSOCIATION")</f>
        <v>STA. ISABEL FARMERS ASSOCIATION</v>
      </c>
      <c r="C278" s="2" t="str">
        <f>IFERROR(__xludf.DUMMYFUNCTION("""COMPUTED_VALUE"""),"Santa Isabel, Jones, ISABELA")</f>
        <v>Santa Isabel, Jones, ISABELA</v>
      </c>
      <c r="D278" s="2" t="str">
        <f>IFERROR(__xludf.DUMMYFUNCTION("""COMPUTED_VALUE"""),"Wilbert C. Villanueva")</f>
        <v>Wilbert C. Villanueva</v>
      </c>
      <c r="E278" s="2">
        <f>IFERROR(__xludf.DUMMYFUNCTION("""COMPUTED_VALUE"""),9.976617996E9)</f>
        <v>9976617996</v>
      </c>
      <c r="F278" s="2" t="str">
        <f>IFERROR(__xludf.DUMMYFUNCTION("""COMPUTED_VALUE"""),"RCEF 23-09-21 Rebidding")</f>
        <v>RCEF 23-09-21 Rebidding</v>
      </c>
      <c r="G278" s="2">
        <f>IFERROR(__xludf.DUMMYFUNCTION("""COMPUTED_VALUE"""),9.0)</f>
        <v>9</v>
      </c>
      <c r="H278" s="2">
        <f>IFERROR(__xludf.DUMMYFUNCTION("""COMPUTED_VALUE"""),18837.0)</f>
        <v>18837</v>
      </c>
      <c r="I278" s="2" t="str">
        <f>IFERROR(__xludf.DUMMYFUNCTION("""COMPUTED_VALUE"""),"KMC5825 AVRFPV0202")</f>
        <v>KMC5825 AVRFPV0202</v>
      </c>
      <c r="J278" s="2" t="str">
        <f>IFERROR(__xludf.DUMMYFUNCTION("""COMPUTED_VALUE"""),"RTS100070")</f>
        <v>RTS100070</v>
      </c>
      <c r="K278" s="2" t="str">
        <f>IFERROR(__xludf.DUMMYFUNCTION("""COMPUTED_VALUE"""),"R-SERIES 271 PH")</f>
        <v>R-SERIES 271 PH</v>
      </c>
      <c r="L278" s="2" t="str">
        <f>IFERROR(__xludf.DUMMYFUNCTION("""COMPUTED_VALUE"""),"LSGW1750 RMP 24010115")</f>
        <v>LSGW1750 RMP 24010115</v>
      </c>
      <c r="M278" s="2" t="str">
        <f>IFERROR(__xludf.DUMMYFUNCTION("""COMPUTED_VALUE"""),"WDP40 RMP 24010139")</f>
        <v>WDP40 RMP 24010139</v>
      </c>
      <c r="N278" s="2"/>
      <c r="O278" s="2" t="str">
        <f>IFERROR(__xludf.DUMMYFUNCTION("""COMPUTED_VALUE"""),"Santa Isabel")</f>
        <v>Santa Isabel</v>
      </c>
      <c r="P278" s="2" t="str">
        <f>IFERROR(__xludf.DUMMYFUNCTION("""COMPUTED_VALUE"""),"Jones")</f>
        <v>Jones</v>
      </c>
      <c r="Q278" s="2" t="str">
        <f>IFERROR(__xludf.DUMMYFUNCTION("""COMPUTED_VALUE"""),"Isabela")</f>
        <v>Isabela</v>
      </c>
      <c r="R278" s="2">
        <f>IFERROR(__xludf.DUMMYFUNCTION("""COMPUTED_VALUE"""),2.0)</f>
        <v>2</v>
      </c>
      <c r="S278" s="2"/>
      <c r="T278" s="2"/>
    </row>
    <row r="279">
      <c r="A279" s="1">
        <f>IFERROR(__xludf.DUMMYFUNCTION("""COMPUTED_VALUE"""),277.0)</f>
        <v>277</v>
      </c>
      <c r="B279" s="2" t="str">
        <f>IFERROR(__xludf.DUMMYFUNCTION("""COMPUTED_VALUE"""),"Salay Farmers Association (SFA)")</f>
        <v>Salay Farmers Association (SFA)</v>
      </c>
      <c r="C279" s="2" t="str">
        <f>IFERROR(__xludf.DUMMYFUNCTION("""COMPUTED_VALUE"""),"Salay, San Agustin, ISABELA")</f>
        <v>Salay, San Agustin, ISABELA</v>
      </c>
      <c r="D279" s="2" t="str">
        <f>IFERROR(__xludf.DUMMYFUNCTION("""COMPUTED_VALUE"""),"Saturnino P. Daquioag")</f>
        <v>Saturnino P. Daquioag</v>
      </c>
      <c r="E279" s="2" t="str">
        <f>IFERROR(__xludf.DUMMYFUNCTION("""COMPUTED_VALUE"""),"09654799576/ 0926-5183287 (MA)")</f>
        <v>09654799576/ 0926-5183287 (MA)</v>
      </c>
      <c r="F279" s="2" t="str">
        <f>IFERROR(__xludf.DUMMYFUNCTION("""COMPUTED_VALUE"""),"RCEF 23-09-21 Rebidding")</f>
        <v>RCEF 23-09-21 Rebidding</v>
      </c>
      <c r="G279" s="2">
        <f>IFERROR(__xludf.DUMMYFUNCTION("""COMPUTED_VALUE"""),9.0)</f>
        <v>9</v>
      </c>
      <c r="H279" s="2">
        <f>IFERROR(__xludf.DUMMYFUNCTION("""COMPUTED_VALUE"""),18838.0)</f>
        <v>18838</v>
      </c>
      <c r="I279" s="2" t="str">
        <f>IFERROR(__xludf.DUMMYFUNCTION("""COMPUTED_VALUE"""),"KMC5825 ACRFPV0286")</f>
        <v>KMC5825 ACRFPV0286</v>
      </c>
      <c r="J279" s="2" t="str">
        <f>IFERROR(__xludf.DUMMYFUNCTION("""COMPUTED_VALUE"""),"RTS100023")</f>
        <v>RTS100023</v>
      </c>
      <c r="K279" s="2" t="str">
        <f>IFERROR(__xludf.DUMMYFUNCTION("""COMPUTED_VALUE"""),"R-SERIES 278 PH")</f>
        <v>R-SERIES 278 PH</v>
      </c>
      <c r="L279" s="2" t="str">
        <f>IFERROR(__xludf.DUMMYFUNCTION("""COMPUTED_VALUE"""),"LSGW1750 RMP 24010100")</f>
        <v>LSGW1750 RMP 24010100</v>
      </c>
      <c r="M279" s="2" t="str">
        <f>IFERROR(__xludf.DUMMYFUNCTION("""COMPUTED_VALUE"""),"WDP40 RMP 24010138")</f>
        <v>WDP40 RMP 24010138</v>
      </c>
      <c r="N279" s="2"/>
      <c r="O279" s="2" t="str">
        <f>IFERROR(__xludf.DUMMYFUNCTION("""COMPUTED_VALUE"""),"Salay")</f>
        <v>Salay</v>
      </c>
      <c r="P279" s="2" t="str">
        <f>IFERROR(__xludf.DUMMYFUNCTION("""COMPUTED_VALUE"""),"San Agustin")</f>
        <v>San Agustin</v>
      </c>
      <c r="Q279" s="2" t="str">
        <f>IFERROR(__xludf.DUMMYFUNCTION("""COMPUTED_VALUE"""),"Isabela")</f>
        <v>Isabela</v>
      </c>
      <c r="R279" s="2">
        <f>IFERROR(__xludf.DUMMYFUNCTION("""COMPUTED_VALUE"""),2.0)</f>
        <v>2</v>
      </c>
      <c r="S279" s="2"/>
      <c r="T279" s="2"/>
    </row>
    <row r="280">
      <c r="A280" s="1">
        <f>IFERROR(__xludf.DUMMYFUNCTION("""COMPUTED_VALUE"""),278.0)</f>
        <v>278</v>
      </c>
      <c r="B280" s="2" t="str">
        <f>IFERROR(__xludf.DUMMYFUNCTION("""COMPUTED_VALUE"""),"KALAUKAN IRRIGATORS ASSOCIATION, INC.")</f>
        <v>KALAUKAN IRRIGATORS ASSOCIATION, INC.</v>
      </c>
      <c r="C280" s="2" t="str">
        <f>IFERROR(__xludf.DUMMYFUNCTION("""COMPUTED_VALUE"""),"Cullalabo San Antonio, Burgos, ISABELA")</f>
        <v>Cullalabo San Antonio, Burgos, ISABELA</v>
      </c>
      <c r="D280" s="2" t="str">
        <f>IFERROR(__xludf.DUMMYFUNCTION("""COMPUTED_VALUE"""),"EDUARDO R. MARTINEZ")</f>
        <v>EDUARDO R. MARTINEZ</v>
      </c>
      <c r="E280" s="2">
        <f>IFERROR(__xludf.DUMMYFUNCTION("""COMPUTED_VALUE"""),9.059376961E9)</f>
        <v>9059376961</v>
      </c>
      <c r="F280" s="2" t="str">
        <f>IFERROR(__xludf.DUMMYFUNCTION("""COMPUTED_VALUE"""),"RCEF 23-09-21 Rebidding")</f>
        <v>RCEF 23-09-21 Rebidding</v>
      </c>
      <c r="G280" s="2">
        <f>IFERROR(__xludf.DUMMYFUNCTION("""COMPUTED_VALUE"""),9.0)</f>
        <v>9</v>
      </c>
      <c r="H280" s="2">
        <f>IFERROR(__xludf.DUMMYFUNCTION("""COMPUTED_VALUE"""),18839.0)</f>
        <v>18839</v>
      </c>
      <c r="I280" s="2" t="str">
        <f>IFERROR(__xludf.DUMMYFUNCTION("""COMPUTED_VALUE"""),"KMC5825 AJRFPV0259")</f>
        <v>KMC5825 AJRFPV0259</v>
      </c>
      <c r="J280" s="2" t="str">
        <f>IFERROR(__xludf.DUMMYFUNCTION("""COMPUTED_VALUE"""),"RTS100151")</f>
        <v>RTS100151</v>
      </c>
      <c r="K280" s="2" t="str">
        <f>IFERROR(__xludf.DUMMYFUNCTION("""COMPUTED_VALUE"""),"R-SERIES 281 PH")</f>
        <v>R-SERIES 281 PH</v>
      </c>
      <c r="L280" s="2" t="str">
        <f>IFERROR(__xludf.DUMMYFUNCTION("""COMPUTED_VALUE"""),"LSGW1750 RMP 24010117")</f>
        <v>LSGW1750 RMP 24010117</v>
      </c>
      <c r="M280" s="2" t="str">
        <f>IFERROR(__xludf.DUMMYFUNCTION("""COMPUTED_VALUE"""),"WDP40 RMP 24010137")</f>
        <v>WDP40 RMP 24010137</v>
      </c>
      <c r="N280" s="2"/>
      <c r="O280" s="2" t="str">
        <f>IFERROR(__xludf.DUMMYFUNCTION("""COMPUTED_VALUE"""),"Cullalabo San Antonio")</f>
        <v>Cullalabo San Antonio</v>
      </c>
      <c r="P280" s="2" t="str">
        <f>IFERROR(__xludf.DUMMYFUNCTION("""COMPUTED_VALUE"""),"Burgos")</f>
        <v>Burgos</v>
      </c>
      <c r="Q280" s="2" t="str">
        <f>IFERROR(__xludf.DUMMYFUNCTION("""COMPUTED_VALUE"""),"Isabela")</f>
        <v>Isabela</v>
      </c>
      <c r="R280" s="2">
        <f>IFERROR(__xludf.DUMMYFUNCTION("""COMPUTED_VALUE"""),2.0)</f>
        <v>2</v>
      </c>
      <c r="S280" s="2"/>
      <c r="T280" s="2"/>
    </row>
    <row r="281">
      <c r="A281" s="1">
        <f>IFERROR(__xludf.DUMMYFUNCTION("""COMPUTED_VALUE"""),279.0)</f>
        <v>279</v>
      </c>
      <c r="B281" s="2" t="str">
        <f>IFERROR(__xludf.DUMMYFUNCTION("""COMPUTED_VALUE"""),"ORTIZ BUMA-A IRRIGATORS ASSOCIATION, INC.")</f>
        <v>ORTIZ BUMA-A IRRIGATORS ASSOCIATION, INC.</v>
      </c>
      <c r="C281" s="2" t="str">
        <f>IFERROR(__xludf.DUMMYFUNCTION("""COMPUTED_VALUE"""),"Samonte (Pob.), Quezon, ISABELA")</f>
        <v>Samonte (Pob.), Quezon, ISABELA</v>
      </c>
      <c r="D281" s="2" t="str">
        <f>IFERROR(__xludf.DUMMYFUNCTION("""COMPUTED_VALUE"""),"Andres A. Madarang")</f>
        <v>Andres A. Madarang</v>
      </c>
      <c r="E281" s="2">
        <f>IFERROR(__xludf.DUMMYFUNCTION("""COMPUTED_VALUE"""),9.756593894E9)</f>
        <v>9756593894</v>
      </c>
      <c r="F281" s="2" t="str">
        <f>IFERROR(__xludf.DUMMYFUNCTION("""COMPUTED_VALUE"""),"RCEF 23-09-21 Rebidding")</f>
        <v>RCEF 23-09-21 Rebidding</v>
      </c>
      <c r="G281" s="2">
        <f>IFERROR(__xludf.DUMMYFUNCTION("""COMPUTED_VALUE"""),9.0)</f>
        <v>9</v>
      </c>
      <c r="H281" s="2">
        <f>IFERROR(__xludf.DUMMYFUNCTION("""COMPUTED_VALUE"""),18840.0)</f>
        <v>18840</v>
      </c>
      <c r="I281" s="2" t="str">
        <f>IFERROR(__xludf.DUMMYFUNCTION("""COMPUTED_VALUE"""),"KMC5825 AJRFPV0293")</f>
        <v>KMC5825 AJRFPV0293</v>
      </c>
      <c r="J281" s="2" t="str">
        <f>IFERROR(__xludf.DUMMYFUNCTION("""COMPUTED_VALUE"""),"RTS100026")</f>
        <v>RTS100026</v>
      </c>
      <c r="K281" s="2" t="str">
        <f>IFERROR(__xludf.DUMMYFUNCTION("""COMPUTED_VALUE"""),"R-SERIES 172 PH")</f>
        <v>R-SERIES 172 PH</v>
      </c>
      <c r="L281" s="2" t="str">
        <f>IFERROR(__xludf.DUMMYFUNCTION("""COMPUTED_VALUE"""),"LSGW1750 RMP 24010093")</f>
        <v>LSGW1750 RMP 24010093</v>
      </c>
      <c r="M281" s="2" t="str">
        <f>IFERROR(__xludf.DUMMYFUNCTION("""COMPUTED_VALUE"""),"WDP40 RMP 24020183")</f>
        <v>WDP40 RMP 24020183</v>
      </c>
      <c r="N281" s="2"/>
      <c r="O281" s="2" t="str">
        <f>IFERROR(__xludf.DUMMYFUNCTION("""COMPUTED_VALUE"""),"Samonte (Pob.)")</f>
        <v>Samonte (Pob.)</v>
      </c>
      <c r="P281" s="2" t="str">
        <f>IFERROR(__xludf.DUMMYFUNCTION("""COMPUTED_VALUE"""),"Quezon")</f>
        <v>Quezon</v>
      </c>
      <c r="Q281" s="2" t="str">
        <f>IFERROR(__xludf.DUMMYFUNCTION("""COMPUTED_VALUE"""),"Isabela")</f>
        <v>Isabela</v>
      </c>
      <c r="R281" s="2">
        <f>IFERROR(__xludf.DUMMYFUNCTION("""COMPUTED_VALUE"""),2.0)</f>
        <v>2</v>
      </c>
      <c r="S281" s="2"/>
      <c r="T281" s="2"/>
    </row>
    <row r="282">
      <c r="A282" s="1">
        <f>IFERROR(__xludf.DUMMYFUNCTION("""COMPUTED_VALUE"""),280.0)</f>
        <v>280</v>
      </c>
      <c r="B282" s="2" t="str">
        <f>IFERROR(__xludf.DUMMYFUNCTION("""COMPUTED_VALUE"""),"CARIZ IRRIGATORS ASSOCIATION, INC.")</f>
        <v>CARIZ IRRIGATORS ASSOCIATION, INC.</v>
      </c>
      <c r="C282" s="2" t="str">
        <f>IFERROR(__xludf.DUMMYFUNCTION("""COMPUTED_VALUE"""),"Camaal, Quirino, ISABELA")</f>
        <v>Camaal, Quirino, ISABELA</v>
      </c>
      <c r="D282" s="2" t="str">
        <f>IFERROR(__xludf.DUMMYFUNCTION("""COMPUTED_VALUE"""),"Ray S. Diampoc")</f>
        <v>Ray S. Diampoc</v>
      </c>
      <c r="E282" s="2">
        <f>IFERROR(__xludf.DUMMYFUNCTION("""COMPUTED_VALUE"""),9.676227404E9)</f>
        <v>9676227404</v>
      </c>
      <c r="F282" s="2" t="str">
        <f>IFERROR(__xludf.DUMMYFUNCTION("""COMPUTED_VALUE"""),"RCEF 23-09-21 Rebidding")</f>
        <v>RCEF 23-09-21 Rebidding</v>
      </c>
      <c r="G282" s="2">
        <f>IFERROR(__xludf.DUMMYFUNCTION("""COMPUTED_VALUE"""),9.0)</f>
        <v>9</v>
      </c>
      <c r="H282" s="2">
        <f>IFERROR(__xludf.DUMMYFUNCTION("""COMPUTED_VALUE"""),18841.0)</f>
        <v>18841</v>
      </c>
      <c r="I282" s="2" t="str">
        <f>IFERROR(__xludf.DUMMYFUNCTION("""COMPUTED_VALUE"""),"KMC5825 ATRFPV0189")</f>
        <v>KMC5825 ATRFPV0189</v>
      </c>
      <c r="J282" s="2" t="str">
        <f>IFERROR(__xludf.DUMMYFUNCTION("""COMPUTED_VALUE"""),"RTS100082")</f>
        <v>RTS100082</v>
      </c>
      <c r="K282" s="2" t="str">
        <f>IFERROR(__xludf.DUMMYFUNCTION("""COMPUTED_VALUE"""),"R-SERIES 290 PH")</f>
        <v>R-SERIES 290 PH</v>
      </c>
      <c r="L282" s="2" t="str">
        <f>IFERROR(__xludf.DUMMYFUNCTION("""COMPUTED_VALUE"""),"LSGW1750 RMP 24010091")</f>
        <v>LSGW1750 RMP 24010091</v>
      </c>
      <c r="M282" s="2" t="str">
        <f>IFERROR(__xludf.DUMMYFUNCTION("""COMPUTED_VALUE"""),"WDP40 RMP 24020198")</f>
        <v>WDP40 RMP 24020198</v>
      </c>
      <c r="N282" s="2"/>
      <c r="O282" s="2" t="str">
        <f>IFERROR(__xludf.DUMMYFUNCTION("""COMPUTED_VALUE"""),"Camaal")</f>
        <v>Camaal</v>
      </c>
      <c r="P282" s="2" t="str">
        <f>IFERROR(__xludf.DUMMYFUNCTION("""COMPUTED_VALUE"""),"Quirino")</f>
        <v>Quirino</v>
      </c>
      <c r="Q282" s="2" t="str">
        <f>IFERROR(__xludf.DUMMYFUNCTION("""COMPUTED_VALUE"""),"Isabela")</f>
        <v>Isabela</v>
      </c>
      <c r="R282" s="2">
        <f>IFERROR(__xludf.DUMMYFUNCTION("""COMPUTED_VALUE"""),2.0)</f>
        <v>2</v>
      </c>
      <c r="S282" s="2"/>
      <c r="T282" s="2"/>
    </row>
    <row r="283">
      <c r="A283" s="1">
        <f>IFERROR(__xludf.DUMMYFUNCTION("""COMPUTED_VALUE"""),281.0)</f>
        <v>281</v>
      </c>
      <c r="B283" s="2" t="str">
        <f>IFERROR(__xludf.DUMMYFUNCTION("""COMPUTED_VALUE"""),"D4-SAGUDAY IRRIGATORS ASSOCIATION, INC.")</f>
        <v>D4-SAGUDAY IRRIGATORS ASSOCIATION, INC.</v>
      </c>
      <c r="C283" s="2" t="str">
        <f>IFERROR(__xludf.DUMMYFUNCTION("""COMPUTED_VALUE"""),"Pinoma, Cauayan City, ISABELA")</f>
        <v>Pinoma, Cauayan City, ISABELA</v>
      </c>
      <c r="D283" s="2" t="str">
        <f>IFERROR(__xludf.DUMMYFUNCTION("""COMPUTED_VALUE"""),"Isaias G. Cargo")</f>
        <v>Isaias G. Cargo</v>
      </c>
      <c r="E283" s="2">
        <f>IFERROR(__xludf.DUMMYFUNCTION("""COMPUTED_VALUE"""),9.278896046E9)</f>
        <v>9278896046</v>
      </c>
      <c r="F283" s="2" t="str">
        <f>IFERROR(__xludf.DUMMYFUNCTION("""COMPUTED_VALUE"""),"RCEF 23-09-21 Rebidding")</f>
        <v>RCEF 23-09-21 Rebidding</v>
      </c>
      <c r="G283" s="2">
        <f>IFERROR(__xludf.DUMMYFUNCTION("""COMPUTED_VALUE"""),9.0)</f>
        <v>9</v>
      </c>
      <c r="H283" s="2">
        <f>IFERROR(__xludf.DUMMYFUNCTION("""COMPUTED_VALUE"""),18842.0)</f>
        <v>18842</v>
      </c>
      <c r="I283" s="2" t="str">
        <f>IFERROR(__xludf.DUMMYFUNCTION("""COMPUTED_VALUE"""),"KMC5825 AERFPV0206")</f>
        <v>KMC5825 AERFPV0206</v>
      </c>
      <c r="J283" s="2" t="str">
        <f>IFERROR(__xludf.DUMMYFUNCTION("""COMPUTED_VALUE"""),"RTS100136")</f>
        <v>RTS100136</v>
      </c>
      <c r="K283" s="2" t="str">
        <f>IFERROR(__xludf.DUMMYFUNCTION("""COMPUTED_VALUE"""),"R-SERIES 168 PH")</f>
        <v>R-SERIES 168 PH</v>
      </c>
      <c r="L283" s="2" t="str">
        <f>IFERROR(__xludf.DUMMYFUNCTION("""COMPUTED_VALUE"""),"LSGW1750 RMP 24010118")</f>
        <v>LSGW1750 RMP 24010118</v>
      </c>
      <c r="M283" s="2" t="str">
        <f>IFERROR(__xludf.DUMMYFUNCTION("""COMPUTED_VALUE"""),"WDP40 RMP 24020213")</f>
        <v>WDP40 RMP 24020213</v>
      </c>
      <c r="N283" s="2"/>
      <c r="O283" s="2" t="str">
        <f>IFERROR(__xludf.DUMMYFUNCTION("""COMPUTED_VALUE"""),"Pinoma")</f>
        <v>Pinoma</v>
      </c>
      <c r="P283" s="2" t="str">
        <f>IFERROR(__xludf.DUMMYFUNCTION("""COMPUTED_VALUE"""),"Cauayan City")</f>
        <v>Cauayan City</v>
      </c>
      <c r="Q283" s="2" t="str">
        <f>IFERROR(__xludf.DUMMYFUNCTION("""COMPUTED_VALUE"""),"Isabela")</f>
        <v>Isabela</v>
      </c>
      <c r="R283" s="2">
        <f>IFERROR(__xludf.DUMMYFUNCTION("""COMPUTED_VALUE"""),2.0)</f>
        <v>2</v>
      </c>
      <c r="S283" s="2"/>
      <c r="T283" s="2"/>
    </row>
    <row r="284">
      <c r="A284" s="1">
        <f>IFERROR(__xludf.DUMMYFUNCTION("""COMPUTED_VALUE"""),282.0)</f>
        <v>282</v>
      </c>
      <c r="B284" s="2" t="str">
        <f>IFERROR(__xludf.DUMMYFUNCTION("""COMPUTED_VALUE"""),"SADIRI IRRIGATORS ASSOCIATION, INC.")</f>
        <v>SADIRI IRRIGATORS ASSOCIATION, INC.</v>
      </c>
      <c r="C284" s="2" t="str">
        <f>IFERROR(__xludf.DUMMYFUNCTION("""COMPUTED_VALUE"""),"Santa Monica, Echague, ISABELA")</f>
        <v>Santa Monica, Echague, ISABELA</v>
      </c>
      <c r="D284" s="2" t="str">
        <f>IFERROR(__xludf.DUMMYFUNCTION("""COMPUTED_VALUE"""),"Junar M. Lagmay")</f>
        <v>Junar M. Lagmay</v>
      </c>
      <c r="E284" s="2" t="str">
        <f>IFERROR(__xludf.DUMMYFUNCTION("""COMPUTED_VALUE"""),"0949-370-8604")</f>
        <v>0949-370-8604</v>
      </c>
      <c r="F284" s="2" t="str">
        <f>IFERROR(__xludf.DUMMYFUNCTION("""COMPUTED_VALUE"""),"RCEF 23-09-21 Rebidding")</f>
        <v>RCEF 23-09-21 Rebidding</v>
      </c>
      <c r="G284" s="2">
        <f>IFERROR(__xludf.DUMMYFUNCTION("""COMPUTED_VALUE"""),9.0)</f>
        <v>9</v>
      </c>
      <c r="H284" s="2">
        <f>IFERROR(__xludf.DUMMYFUNCTION("""COMPUTED_VALUE"""),18843.0)</f>
        <v>18843</v>
      </c>
      <c r="I284" s="2" t="str">
        <f>IFERROR(__xludf.DUMMYFUNCTION("""COMPUTED_VALUE"""),"KMC5825 AKRFPV0292")</f>
        <v>KMC5825 AKRFPV0292</v>
      </c>
      <c r="J284" s="2" t="str">
        <f>IFERROR(__xludf.DUMMYFUNCTION("""COMPUTED_VALUE"""),"RTS100011")</f>
        <v>RTS100011</v>
      </c>
      <c r="K284" s="2" t="str">
        <f>IFERROR(__xludf.DUMMYFUNCTION("""COMPUTED_VALUE"""),"R-SERIES 291 PH")</f>
        <v>R-SERIES 291 PH</v>
      </c>
      <c r="L284" s="2" t="str">
        <f>IFERROR(__xludf.DUMMYFUNCTION("""COMPUTED_VALUE"""),"LSGW1750 RMP 24010060")</f>
        <v>LSGW1750 RMP 24010060</v>
      </c>
      <c r="M284" s="2" t="str">
        <f>IFERROR(__xludf.DUMMYFUNCTION("""COMPUTED_VALUE"""),"WDP40 RMP 24020184")</f>
        <v>WDP40 RMP 24020184</v>
      </c>
      <c r="N284" s="2"/>
      <c r="O284" s="2" t="str">
        <f>IFERROR(__xludf.DUMMYFUNCTION("""COMPUTED_VALUE"""),"Santa Monica")</f>
        <v>Santa Monica</v>
      </c>
      <c r="P284" s="2" t="str">
        <f>IFERROR(__xludf.DUMMYFUNCTION("""COMPUTED_VALUE"""),"Echague")</f>
        <v>Echague</v>
      </c>
      <c r="Q284" s="2" t="str">
        <f>IFERROR(__xludf.DUMMYFUNCTION("""COMPUTED_VALUE"""),"Isabela")</f>
        <v>Isabela</v>
      </c>
      <c r="R284" s="2">
        <f>IFERROR(__xludf.DUMMYFUNCTION("""COMPUTED_VALUE"""),2.0)</f>
        <v>2</v>
      </c>
      <c r="S284" s="2"/>
      <c r="T284" s="2"/>
    </row>
    <row r="285">
      <c r="A285" s="1">
        <f>IFERROR(__xludf.DUMMYFUNCTION("""COMPUTED_VALUE"""),283.0)</f>
        <v>283</v>
      </c>
      <c r="B285" s="2" t="str">
        <f>IFERROR(__xludf.DUMMYFUNCTION("""COMPUTED_VALUE"""),"CALANIGAN SUR FARMERS ASSOCIATION")</f>
        <v>CALANIGAN SUR FARMERS ASSOCIATION</v>
      </c>
      <c r="C285" s="2" t="str">
        <f>IFERROR(__xludf.DUMMYFUNCTION("""COMPUTED_VALUE"""),"Calanigan Sur, Santo Tomas, ISABELA")</f>
        <v>Calanigan Sur, Santo Tomas, ISABELA</v>
      </c>
      <c r="D285" s="2" t="str">
        <f>IFERROR(__xludf.DUMMYFUNCTION("""COMPUTED_VALUE"""),"Rodolfo A. Galasinao")</f>
        <v>Rodolfo A. Galasinao</v>
      </c>
      <c r="E285" s="2">
        <f>IFERROR(__xludf.DUMMYFUNCTION("""COMPUTED_VALUE"""),9.557994663E9)</f>
        <v>9557994663</v>
      </c>
      <c r="F285" s="2" t="str">
        <f>IFERROR(__xludf.DUMMYFUNCTION("""COMPUTED_VALUE"""),"RCEF 23-09-21 Rebidding")</f>
        <v>RCEF 23-09-21 Rebidding</v>
      </c>
      <c r="G285" s="2">
        <f>IFERROR(__xludf.DUMMYFUNCTION("""COMPUTED_VALUE"""),1.0)</f>
        <v>1</v>
      </c>
      <c r="H285" s="2">
        <f>IFERROR(__xludf.DUMMYFUNCTION("""COMPUTED_VALUE"""),18844.0)</f>
        <v>18844</v>
      </c>
      <c r="I285" s="2" t="str">
        <f>IFERROR(__xludf.DUMMYFUNCTION("""COMPUTED_VALUE"""),"KMC5825 AJRFPV0200")</f>
        <v>KMC5825 AJRFPV0200</v>
      </c>
      <c r="J285" s="2" t="str">
        <f>IFERROR(__xludf.DUMMYFUNCTION("""COMPUTED_VALUE"""),"RTS100143")</f>
        <v>RTS100143</v>
      </c>
      <c r="K285" s="2" t="str">
        <f>IFERROR(__xludf.DUMMYFUNCTION("""COMPUTED_VALUE"""),"R-SERIES 179 PH")</f>
        <v>R-SERIES 179 PH</v>
      </c>
      <c r="L285" s="2" t="str">
        <f>IFERROR(__xludf.DUMMYFUNCTION("""COMPUTED_VALUE"""),"LSGW1750 RMP 2401-0094")</f>
        <v>LSGW1750 RMP 2401-0094</v>
      </c>
      <c r="M285" s="2" t="str">
        <f>IFERROR(__xludf.DUMMYFUNCTION("""COMPUTED_VALUE"""),"WDP40 RMP 24010069")</f>
        <v>WDP40 RMP 24010069</v>
      </c>
      <c r="N285" s="2"/>
      <c r="O285" s="2" t="str">
        <f>IFERROR(__xludf.DUMMYFUNCTION("""COMPUTED_VALUE"""),"Calanigan Sur")</f>
        <v>Calanigan Sur</v>
      </c>
      <c r="P285" s="2" t="str">
        <f>IFERROR(__xludf.DUMMYFUNCTION("""COMPUTED_VALUE"""),"Santo Tomas")</f>
        <v>Santo Tomas</v>
      </c>
      <c r="Q285" s="2" t="str">
        <f>IFERROR(__xludf.DUMMYFUNCTION("""COMPUTED_VALUE"""),"Isabela")</f>
        <v>Isabela</v>
      </c>
      <c r="R285" s="2">
        <f>IFERROR(__xludf.DUMMYFUNCTION("""COMPUTED_VALUE"""),2.0)</f>
        <v>2</v>
      </c>
      <c r="S285" s="2"/>
      <c r="T285" s="2"/>
    </row>
    <row r="286">
      <c r="A286" s="1">
        <f>IFERROR(__xludf.DUMMYFUNCTION("""COMPUTED_VALUE"""),284.0)</f>
        <v>284</v>
      </c>
      <c r="B286" s="2" t="str">
        <f>IFERROR(__xludf.DUMMYFUNCTION("""COMPUTED_VALUE"""),"RANG-AY FARMERS IRRIGATORS' ASSOCIATION, INC.")</f>
        <v>RANG-AY FARMERS IRRIGATORS' ASSOCIATION, INC.</v>
      </c>
      <c r="C286" s="2" t="str">
        <f>IFERROR(__xludf.DUMMYFUNCTION("""COMPUTED_VALUE"""),"Arcon, Tumauini, ISABELA")</f>
        <v>Arcon, Tumauini, ISABELA</v>
      </c>
      <c r="D286" s="2" t="str">
        <f>IFERROR(__xludf.DUMMYFUNCTION("""COMPUTED_VALUE"""),"ARNEL B. LOZANO")</f>
        <v>ARNEL B. LOZANO</v>
      </c>
      <c r="E286" s="2">
        <f>IFERROR(__xludf.DUMMYFUNCTION("""COMPUTED_VALUE"""),9.368701007E9)</f>
        <v>9368701007</v>
      </c>
      <c r="F286" s="2" t="str">
        <f>IFERROR(__xludf.DUMMYFUNCTION("""COMPUTED_VALUE"""),"RCEF 23-09-21 Rebidding")</f>
        <v>RCEF 23-09-21 Rebidding</v>
      </c>
      <c r="G286" s="2">
        <f>IFERROR(__xludf.DUMMYFUNCTION("""COMPUTED_VALUE"""),1.0)</f>
        <v>1</v>
      </c>
      <c r="H286" s="2">
        <f>IFERROR(__xludf.DUMMYFUNCTION("""COMPUTED_VALUE"""),18845.0)</f>
        <v>18845</v>
      </c>
      <c r="I286" s="2" t="str">
        <f>IFERROR(__xludf.DUMMYFUNCTION("""COMPUTED_VALUE"""),"KMC5825AARFPV0198")</f>
        <v>KMC5825AARFPV0198</v>
      </c>
      <c r="J286" s="2" t="str">
        <f>IFERROR(__xludf.DUMMYFUNCTION("""COMPUTED_VALUE"""),"RTS100144")</f>
        <v>RTS100144</v>
      </c>
      <c r="K286" s="2" t="str">
        <f>IFERROR(__xludf.DUMMYFUNCTION("""COMPUTED_VALUE"""),"R-SERIES 157 PH")</f>
        <v>R-SERIES 157 PH</v>
      </c>
      <c r="L286" s="2" t="str">
        <f>IFERROR(__xludf.DUMMYFUNCTION("""COMPUTED_VALUE"""),"LSGW1750 RMP 24010101")</f>
        <v>LSGW1750 RMP 24010101</v>
      </c>
      <c r="M286" s="2" t="str">
        <f>IFERROR(__xludf.DUMMYFUNCTION("""COMPUTED_VALUE"""),"WDP40 RMP 24020216")</f>
        <v>WDP40 RMP 24020216</v>
      </c>
      <c r="N286" s="2"/>
      <c r="O286" s="2" t="str">
        <f>IFERROR(__xludf.DUMMYFUNCTION("""COMPUTED_VALUE"""),"Arcon")</f>
        <v>Arcon</v>
      </c>
      <c r="P286" s="2" t="str">
        <f>IFERROR(__xludf.DUMMYFUNCTION("""COMPUTED_VALUE"""),"Tumauini")</f>
        <v>Tumauini</v>
      </c>
      <c r="Q286" s="2" t="str">
        <f>IFERROR(__xludf.DUMMYFUNCTION("""COMPUTED_VALUE"""),"Isabela")</f>
        <v>Isabela</v>
      </c>
      <c r="R286" s="2">
        <f>IFERROR(__xludf.DUMMYFUNCTION("""COMPUTED_VALUE"""),2.0)</f>
        <v>2</v>
      </c>
      <c r="S286" s="2"/>
      <c r="T286" s="2"/>
    </row>
    <row r="287">
      <c r="A287" s="1">
        <f>IFERROR(__xludf.DUMMYFUNCTION("""COMPUTED_VALUE"""),285.0)</f>
        <v>285</v>
      </c>
      <c r="B287" s="2" t="str">
        <f>IFERROR(__xludf.DUMMYFUNCTION("""COMPUTED_VALUE"""),"UGAD-SAN MATEO FARMERS IRRIGATORS' ASSOCIATION, INC.")</f>
        <v>UGAD-SAN MATEO FARMERS IRRIGATORS' ASSOCIATION, INC.</v>
      </c>
      <c r="C287" s="2" t="str">
        <f>IFERROR(__xludf.DUMMYFUNCTION("""COMPUTED_VALUE"""),"Ugad, Tumauini, ISABELA")</f>
        <v>Ugad, Tumauini, ISABELA</v>
      </c>
      <c r="D287" s="2" t="str">
        <f>IFERROR(__xludf.DUMMYFUNCTION("""COMPUTED_VALUE"""),"NESTOR P. AMBRE")</f>
        <v>NESTOR P. AMBRE</v>
      </c>
      <c r="E287" s="2">
        <f>IFERROR(__xludf.DUMMYFUNCTION("""COMPUTED_VALUE"""),9.55419461E9)</f>
        <v>9554194610</v>
      </c>
      <c r="F287" s="2" t="str">
        <f>IFERROR(__xludf.DUMMYFUNCTION("""COMPUTED_VALUE"""),"RCEF 23-09-21 Rebidding")</f>
        <v>RCEF 23-09-21 Rebidding</v>
      </c>
      <c r="G287" s="2">
        <f>IFERROR(__xludf.DUMMYFUNCTION("""COMPUTED_VALUE"""),1.0)</f>
        <v>1</v>
      </c>
      <c r="H287" s="2">
        <f>IFERROR(__xludf.DUMMYFUNCTION("""COMPUTED_VALUE"""),18846.0)</f>
        <v>18846</v>
      </c>
      <c r="I287" s="2" t="str">
        <f>IFERROR(__xludf.DUMMYFUNCTION("""COMPUTED_VALUE"""),"KMC5825 ACRFPV0151")</f>
        <v>KMC5825 ACRFPV0151</v>
      </c>
      <c r="J287" s="2" t="str">
        <f>IFERROR(__xludf.DUMMYFUNCTION("""COMPUTED_VALUE"""),"RTS100095")</f>
        <v>RTS100095</v>
      </c>
      <c r="K287" s="2" t="str">
        <f>IFERROR(__xludf.DUMMYFUNCTION("""COMPUTED_VALUE"""),"R-SERIES 124PH")</f>
        <v>R-SERIES 124PH</v>
      </c>
      <c r="L287" s="2" t="str">
        <f>IFERROR(__xludf.DUMMYFUNCTION("""COMPUTED_VALUE"""),"LSGW1750 RMP 24010105")</f>
        <v>LSGW1750 RMP 24010105</v>
      </c>
      <c r="M287" s="2" t="str">
        <f>IFERROR(__xludf.DUMMYFUNCTION("""COMPUTED_VALUE"""),"WDP40 RMP 24010125")</f>
        <v>WDP40 RMP 24010125</v>
      </c>
      <c r="N287" s="2"/>
      <c r="O287" s="2" t="str">
        <f>IFERROR(__xludf.DUMMYFUNCTION("""COMPUTED_VALUE"""),"Ugad")</f>
        <v>Ugad</v>
      </c>
      <c r="P287" s="2" t="str">
        <f>IFERROR(__xludf.DUMMYFUNCTION("""COMPUTED_VALUE"""),"Tumauini")</f>
        <v>Tumauini</v>
      </c>
      <c r="Q287" s="2" t="str">
        <f>IFERROR(__xludf.DUMMYFUNCTION("""COMPUTED_VALUE"""),"Isabela")</f>
        <v>Isabela</v>
      </c>
      <c r="R287" s="2">
        <f>IFERROR(__xludf.DUMMYFUNCTION("""COMPUTED_VALUE"""),2.0)</f>
        <v>2</v>
      </c>
      <c r="S287" s="2"/>
      <c r="T287" s="2"/>
    </row>
    <row r="288">
      <c r="A288" s="1">
        <f>IFERROR(__xludf.DUMMYFUNCTION("""COMPUTED_VALUE"""),286.0)</f>
        <v>286</v>
      </c>
      <c r="B288" s="2" t="str">
        <f>IFERROR(__xludf.DUMMYFUNCTION("""COMPUTED_VALUE"""),"UPI FARMERS IRRIGATORS ASSOCIATION, INC.")</f>
        <v>UPI FARMERS IRRIGATORS ASSOCIATION, INC.</v>
      </c>
      <c r="C288" s="2" t="str">
        <f>IFERROR(__xludf.DUMMYFUNCTION("""COMPUTED_VALUE"""),"Upi, Gamu, ISABELA")</f>
        <v>Upi, Gamu, ISABELA</v>
      </c>
      <c r="D288" s="2" t="str">
        <f>IFERROR(__xludf.DUMMYFUNCTION("""COMPUTED_VALUE"""),"Nowlin V. Rosiete")</f>
        <v>Nowlin V. Rosiete</v>
      </c>
      <c r="E288" s="2">
        <f>IFERROR(__xludf.DUMMYFUNCTION("""COMPUTED_VALUE"""),9.061565033E9)</f>
        <v>9061565033</v>
      </c>
      <c r="F288" s="2" t="str">
        <f>IFERROR(__xludf.DUMMYFUNCTION("""COMPUTED_VALUE"""),"RCEF 23-09-21 Rebidding")</f>
        <v>RCEF 23-09-21 Rebidding</v>
      </c>
      <c r="G288" s="2">
        <f>IFERROR(__xludf.DUMMYFUNCTION("""COMPUTED_VALUE"""),1.0)</f>
        <v>1</v>
      </c>
      <c r="H288" s="2">
        <f>IFERROR(__xludf.DUMMYFUNCTION("""COMPUTED_VALUE"""),18847.0)</f>
        <v>18847</v>
      </c>
      <c r="I288" s="2" t="str">
        <f>IFERROR(__xludf.DUMMYFUNCTION("""COMPUTED_VALUE"""),"KMC5825 AKRFPV0261")</f>
        <v>KMC5825 AKRFPV0261</v>
      </c>
      <c r="J288" s="2" t="str">
        <f>IFERROR(__xludf.DUMMYFUNCTION("""COMPUTED_VALUE"""),"RTS100013")</f>
        <v>RTS100013</v>
      </c>
      <c r="K288" s="2" t="str">
        <f>IFERROR(__xludf.DUMMYFUNCTION("""COMPUTED_VALUE"""),"R-SERIES 107 PH")</f>
        <v>R-SERIES 107 PH</v>
      </c>
      <c r="L288" s="2" t="str">
        <f>IFERROR(__xludf.DUMMYFUNCTION("""COMPUTED_VALUE"""),"LSGW1750 RMP 24020522")</f>
        <v>LSGW1750 RMP 24020522</v>
      </c>
      <c r="M288" s="2" t="str">
        <f>IFERROR(__xludf.DUMMYFUNCTION("""COMPUTED_VALUE"""),"WDP40 RMP 24010040")</f>
        <v>WDP40 RMP 24010040</v>
      </c>
      <c r="N288" s="2"/>
      <c r="O288" s="2" t="str">
        <f>IFERROR(__xludf.DUMMYFUNCTION("""COMPUTED_VALUE"""),"Upi")</f>
        <v>Upi</v>
      </c>
      <c r="P288" s="2" t="str">
        <f>IFERROR(__xludf.DUMMYFUNCTION("""COMPUTED_VALUE"""),"Gamu")</f>
        <v>Gamu</v>
      </c>
      <c r="Q288" s="2" t="str">
        <f>IFERROR(__xludf.DUMMYFUNCTION("""COMPUTED_VALUE"""),"Isabela")</f>
        <v>Isabela</v>
      </c>
      <c r="R288" s="2">
        <f>IFERROR(__xludf.DUMMYFUNCTION("""COMPUTED_VALUE"""),2.0)</f>
        <v>2</v>
      </c>
      <c r="S288" s="2"/>
      <c r="T288" s="2"/>
    </row>
    <row r="289">
      <c r="A289" s="1">
        <f>IFERROR(__xludf.DUMMYFUNCTION("""COMPUTED_VALUE"""),287.0)</f>
        <v>287</v>
      </c>
      <c r="B289" s="2" t="str">
        <f>IFERROR(__xludf.DUMMYFUNCTION("""COMPUTED_VALUE"""),"PAYOGA/KAPATAGAN MULTI-PURPOSE COOPERATIVE")</f>
        <v>PAYOGA/KAPATAGAN MULTI-PURPOSE COOPERATIVE</v>
      </c>
      <c r="C289" s="2" t="str">
        <f>IFERROR(__xludf.DUMMYFUNCTION("""COMPUTED_VALUE"""),"Guibang, Gamu, ISABELA")</f>
        <v>Guibang, Gamu, ISABELA</v>
      </c>
      <c r="D289" s="2" t="str">
        <f>IFERROR(__xludf.DUMMYFUNCTION("""COMPUTED_VALUE"""),"Julie F. Madrid")</f>
        <v>Julie F. Madrid</v>
      </c>
      <c r="E289" s="2" t="str">
        <f>IFERROR(__xludf.DUMMYFUNCTION("""COMPUTED_VALUE"""),"0956-096-5954")</f>
        <v>0956-096-5954</v>
      </c>
      <c r="F289" s="2" t="str">
        <f>IFERROR(__xludf.DUMMYFUNCTION("""COMPUTED_VALUE"""),"RCEF 23-09-21 Rebidding")</f>
        <v>RCEF 23-09-21 Rebidding</v>
      </c>
      <c r="G289" s="2">
        <f>IFERROR(__xludf.DUMMYFUNCTION("""COMPUTED_VALUE"""),1.0)</f>
        <v>1</v>
      </c>
      <c r="H289" s="2">
        <f>IFERROR(__xludf.DUMMYFUNCTION("""COMPUTED_VALUE"""),18848.0)</f>
        <v>18848</v>
      </c>
      <c r="I289" s="2" t="str">
        <f>IFERROR(__xludf.DUMMYFUNCTION("""COMPUTED_VALUE"""),"KMC5825 ACRFPV0241")</f>
        <v>KMC5825 ACRFPV0241</v>
      </c>
      <c r="J289" s="2" t="str">
        <f>IFERROR(__xludf.DUMMYFUNCTION("""COMPUTED_VALUE"""),"RTS100005")</f>
        <v>RTS100005</v>
      </c>
      <c r="K289" s="2" t="str">
        <f>IFERROR(__xludf.DUMMYFUNCTION("""COMPUTED_VALUE"""),"R-SERIES 177 PH")</f>
        <v>R-SERIES 177 PH</v>
      </c>
      <c r="L289" s="2" t="str">
        <f>IFERROR(__xludf.DUMMYFUNCTION("""COMPUTED_VALUE"""),"LSGW1750 RMP 24020425")</f>
        <v>LSGW1750 RMP 24020425</v>
      </c>
      <c r="M289" s="2" t="str">
        <f>IFERROR(__xludf.DUMMYFUNCTION("""COMPUTED_VALUE"""),"WDP40 RMP 24010121")</f>
        <v>WDP40 RMP 24010121</v>
      </c>
      <c r="N289" s="2"/>
      <c r="O289" s="2" t="str">
        <f>IFERROR(__xludf.DUMMYFUNCTION("""COMPUTED_VALUE"""),"Guibang")</f>
        <v>Guibang</v>
      </c>
      <c r="P289" s="2" t="str">
        <f>IFERROR(__xludf.DUMMYFUNCTION("""COMPUTED_VALUE"""),"Gamu")</f>
        <v>Gamu</v>
      </c>
      <c r="Q289" s="2" t="str">
        <f>IFERROR(__xludf.DUMMYFUNCTION("""COMPUTED_VALUE"""),"Isabela")</f>
        <v>Isabela</v>
      </c>
      <c r="R289" s="2">
        <f>IFERROR(__xludf.DUMMYFUNCTION("""COMPUTED_VALUE"""),2.0)</f>
        <v>2</v>
      </c>
      <c r="S289" s="2"/>
      <c r="T289" s="2"/>
    </row>
    <row r="290">
      <c r="A290" s="1">
        <f>IFERROR(__xludf.DUMMYFUNCTION("""COMPUTED_VALUE"""),288.0)</f>
        <v>288</v>
      </c>
      <c r="B290" s="2" t="str">
        <f>IFERROR(__xludf.DUMMYFUNCTION("""COMPUTED_VALUE"""),"TANDUL PILOT IRRIGATORS ASSOCIATION, INC.")</f>
        <v>TANDUL PILOT IRRIGATORS ASSOCIATION, INC.</v>
      </c>
      <c r="C290" s="2" t="str">
        <f>IFERROR(__xludf.DUMMYFUNCTION("""COMPUTED_VALUE"""),"Tandul, Cabatuan, ISABELA")</f>
        <v>Tandul, Cabatuan, ISABELA</v>
      </c>
      <c r="D290" s="2" t="str">
        <f>IFERROR(__xludf.DUMMYFUNCTION("""COMPUTED_VALUE"""),"RONALD DORIA")</f>
        <v>RONALD DORIA</v>
      </c>
      <c r="E290" s="2">
        <f>IFERROR(__xludf.DUMMYFUNCTION("""COMPUTED_VALUE"""),9.650481496E9)</f>
        <v>9650481496</v>
      </c>
      <c r="F290" s="2" t="str">
        <f>IFERROR(__xludf.DUMMYFUNCTION("""COMPUTED_VALUE"""),"RCEF 23-09-21 Rebidding")</f>
        <v>RCEF 23-09-21 Rebidding</v>
      </c>
      <c r="G290" s="2">
        <f>IFERROR(__xludf.DUMMYFUNCTION("""COMPUTED_VALUE"""),1.0)</f>
        <v>1</v>
      </c>
      <c r="H290" s="2">
        <f>IFERROR(__xludf.DUMMYFUNCTION("""COMPUTED_VALUE"""),18849.0)</f>
        <v>18849</v>
      </c>
      <c r="I290" s="2" t="str">
        <f>IFERROR(__xludf.DUMMYFUNCTION("""COMPUTED_VALUE"""),"KMC5825 AERFPV0240")</f>
        <v>KMC5825 AERFPV0240</v>
      </c>
      <c r="J290" s="2" t="str">
        <f>IFERROR(__xludf.DUMMYFUNCTION("""COMPUTED_VALUE"""),"RTS100049")</f>
        <v>RTS100049</v>
      </c>
      <c r="K290" s="2" t="str">
        <f>IFERROR(__xludf.DUMMYFUNCTION("""COMPUTED_VALUE"""),"R-SERIES 294PH")</f>
        <v>R-SERIES 294PH</v>
      </c>
      <c r="L290" s="2" t="str">
        <f>IFERROR(__xludf.DUMMYFUNCTION("""COMPUTED_VALUE"""),"LSGW1750 RMP 24020423")</f>
        <v>LSGW1750 RMP 24020423</v>
      </c>
      <c r="M290" s="2" t="str">
        <f>IFERROR(__xludf.DUMMYFUNCTION("""COMPUTED_VALUE"""),"WDP40 RMP 24010116")</f>
        <v>WDP40 RMP 24010116</v>
      </c>
      <c r="N290" s="2"/>
      <c r="O290" s="2" t="str">
        <f>IFERROR(__xludf.DUMMYFUNCTION("""COMPUTED_VALUE"""),"Tandul")</f>
        <v>Tandul</v>
      </c>
      <c r="P290" s="2" t="str">
        <f>IFERROR(__xludf.DUMMYFUNCTION("""COMPUTED_VALUE"""),"Cabatuan")</f>
        <v>Cabatuan</v>
      </c>
      <c r="Q290" s="2" t="str">
        <f>IFERROR(__xludf.DUMMYFUNCTION("""COMPUTED_VALUE"""),"Isabela")</f>
        <v>Isabela</v>
      </c>
      <c r="R290" s="2">
        <f>IFERROR(__xludf.DUMMYFUNCTION("""COMPUTED_VALUE"""),2.0)</f>
        <v>2</v>
      </c>
      <c r="S290" s="2"/>
      <c r="T290" s="2"/>
    </row>
    <row r="291">
      <c r="A291" s="1">
        <f>IFERROR(__xludf.DUMMYFUNCTION("""COMPUTED_VALUE"""),289.0)</f>
        <v>289</v>
      </c>
      <c r="B291" s="2" t="str">
        <f>IFERROR(__xludf.DUMMYFUNCTION("""COMPUTED_VALUE"""),"KABALIKAT IRRIGATORS ASSOCIATION, INC.")</f>
        <v>KABALIKAT IRRIGATORS ASSOCIATION, INC.</v>
      </c>
      <c r="C291" s="2" t="str">
        <f>IFERROR(__xludf.DUMMYFUNCTION("""COMPUTED_VALUE"""),"Rizaluna (Rizaluna Oeste), Cordon, ISABELA")</f>
        <v>Rizaluna (Rizaluna Oeste), Cordon, ISABELA</v>
      </c>
      <c r="D291" s="2" t="str">
        <f>IFERROR(__xludf.DUMMYFUNCTION("""COMPUTED_VALUE"""),"Virgilio N. Retotal, Jr.")</f>
        <v>Virgilio N. Retotal, Jr.</v>
      </c>
      <c r="E291" s="2">
        <f>IFERROR(__xludf.DUMMYFUNCTION("""COMPUTED_VALUE"""),9.168462142E9)</f>
        <v>9168462142</v>
      </c>
      <c r="F291" s="2" t="str">
        <f>IFERROR(__xludf.DUMMYFUNCTION("""COMPUTED_VALUE"""),"RCEF 23-09-21 Rebidding")</f>
        <v>RCEF 23-09-21 Rebidding</v>
      </c>
      <c r="G291" s="2">
        <f>IFERROR(__xludf.DUMMYFUNCTION("""COMPUTED_VALUE"""),1.0)</f>
        <v>1</v>
      </c>
      <c r="H291" s="2">
        <f>IFERROR(__xludf.DUMMYFUNCTION("""COMPUTED_VALUE"""),18850.0)</f>
        <v>18850</v>
      </c>
      <c r="I291" s="2" t="str">
        <f>IFERROR(__xludf.DUMMYFUNCTION("""COMPUTED_VALUE"""),"KMC5825 ACRFPV02246")</f>
        <v>KMC5825 ACRFPV02246</v>
      </c>
      <c r="J291" s="2" t="str">
        <f>IFERROR(__xludf.DUMMYFUNCTION("""COMPUTED_VALUE"""),"RTS100006")</f>
        <v>RTS100006</v>
      </c>
      <c r="K291" s="2" t="str">
        <f>IFERROR(__xludf.DUMMYFUNCTION("""COMPUTED_VALUE"""),"R-SERIES 121 PH")</f>
        <v>R-SERIES 121 PH</v>
      </c>
      <c r="L291" s="2" t="str">
        <f>IFERROR(__xludf.DUMMYFUNCTION("""COMPUTED_VALUE"""),"LSGW1750 RMP 24020424")</f>
        <v>LSGW1750 RMP 24020424</v>
      </c>
      <c r="M291" s="2" t="str">
        <f>IFERROR(__xludf.DUMMYFUNCTION("""COMPUTED_VALUE"""),"WDP40 RMP 24010144")</f>
        <v>WDP40 RMP 24010144</v>
      </c>
      <c r="N291" s="2"/>
      <c r="O291" s="2" t="str">
        <f>IFERROR(__xludf.DUMMYFUNCTION("""COMPUTED_VALUE"""),"Rizaluna (Rizaluna Oeste)")</f>
        <v>Rizaluna (Rizaluna Oeste)</v>
      </c>
      <c r="P291" s="2" t="str">
        <f>IFERROR(__xludf.DUMMYFUNCTION("""COMPUTED_VALUE"""),"Cordon")</f>
        <v>Cordon</v>
      </c>
      <c r="Q291" s="2" t="str">
        <f>IFERROR(__xludf.DUMMYFUNCTION("""COMPUTED_VALUE"""),"Isabela")</f>
        <v>Isabela</v>
      </c>
      <c r="R291" s="2">
        <f>IFERROR(__xludf.DUMMYFUNCTION("""COMPUTED_VALUE"""),2.0)</f>
        <v>2</v>
      </c>
      <c r="S291" s="2"/>
      <c r="T291" s="2"/>
    </row>
    <row r="292">
      <c r="A292" s="1">
        <f>IFERROR(__xludf.DUMMYFUNCTION("""COMPUTED_VALUE"""),290.0)</f>
        <v>290</v>
      </c>
      <c r="B292" s="2" t="str">
        <f>IFERROR(__xludf.DUMMYFUNCTION("""COMPUTED_VALUE"""),"BANDUS IRRIGATORS ASSOCIATION, INC.")</f>
        <v>BANDUS IRRIGATORS ASSOCIATION, INC.</v>
      </c>
      <c r="C292" s="2" t="str">
        <f>IFERROR(__xludf.DUMMYFUNCTION("""COMPUTED_VALUE"""),"Divisoria, Santiago City, ISABELA")</f>
        <v>Divisoria, Santiago City, ISABELA</v>
      </c>
      <c r="D292" s="2" t="str">
        <f>IFERROR(__xludf.DUMMYFUNCTION("""COMPUTED_VALUE"""),"Celestino S. Soliven")</f>
        <v>Celestino S. Soliven</v>
      </c>
      <c r="E292" s="2">
        <f>IFERROR(__xludf.DUMMYFUNCTION("""COMPUTED_VALUE"""),9.352477197E9)</f>
        <v>9352477197</v>
      </c>
      <c r="F292" s="2" t="str">
        <f>IFERROR(__xludf.DUMMYFUNCTION("""COMPUTED_VALUE"""),"RCEF 23-09-21 Rebidding")</f>
        <v>RCEF 23-09-21 Rebidding</v>
      </c>
      <c r="G292" s="2">
        <f>IFERROR(__xludf.DUMMYFUNCTION("""COMPUTED_VALUE"""),1.0)</f>
        <v>1</v>
      </c>
      <c r="H292" s="2">
        <f>IFERROR(__xludf.DUMMYFUNCTION("""COMPUTED_VALUE"""),18851.0)</f>
        <v>18851</v>
      </c>
      <c r="I292" s="2" t="str">
        <f>IFERROR(__xludf.DUMMYFUNCTION("""COMPUTED_VALUE"""),"KMC5825 ALRFPV0218")</f>
        <v>KMC5825 ALRFPV0218</v>
      </c>
      <c r="J292" s="2" t="str">
        <f>IFERROR(__xludf.DUMMYFUNCTION("""COMPUTED_VALUE"""),"RTS100080")</f>
        <v>RTS100080</v>
      </c>
      <c r="K292" s="2" t="str">
        <f>IFERROR(__xludf.DUMMYFUNCTION("""COMPUTED_VALUE"""),"R-SERIES 174 PH")</f>
        <v>R-SERIES 174 PH</v>
      </c>
      <c r="L292" s="2" t="str">
        <f>IFERROR(__xludf.DUMMYFUNCTION("""COMPUTED_VALUE"""),"LSGW1750 RMP 24020520")</f>
        <v>LSGW1750 RMP 24020520</v>
      </c>
      <c r="M292" s="2" t="str">
        <f>IFERROR(__xludf.DUMMYFUNCTION("""COMPUTED_VALUE"""),"WDP40 RMP 24010142")</f>
        <v>WDP40 RMP 24010142</v>
      </c>
      <c r="N292" s="2"/>
      <c r="O292" s="2" t="str">
        <f>IFERROR(__xludf.DUMMYFUNCTION("""COMPUTED_VALUE"""),"Divisoria")</f>
        <v>Divisoria</v>
      </c>
      <c r="P292" s="2" t="str">
        <f>IFERROR(__xludf.DUMMYFUNCTION("""COMPUTED_VALUE"""),"Santiago City")</f>
        <v>Santiago City</v>
      </c>
      <c r="Q292" s="2" t="str">
        <f>IFERROR(__xludf.DUMMYFUNCTION("""COMPUTED_VALUE"""),"Isabela")</f>
        <v>Isabela</v>
      </c>
      <c r="R292" s="2">
        <f>IFERROR(__xludf.DUMMYFUNCTION("""COMPUTED_VALUE"""),2.0)</f>
        <v>2</v>
      </c>
      <c r="S292" s="2"/>
      <c r="T292" s="2"/>
    </row>
    <row r="293">
      <c r="A293" s="1">
        <f>IFERROR(__xludf.DUMMYFUNCTION("""COMPUTED_VALUE"""),291.0)</f>
        <v>291</v>
      </c>
      <c r="B293" s="2" t="str">
        <f>IFERROR(__xludf.DUMMYFUNCTION("""COMPUTED_VALUE"""),"SAN JOSE SUR FARMERS IRRIGATORS ASSOCIATION, INC.")</f>
        <v>SAN JOSE SUR FARMERS IRRIGATORS ASSOCIATION, INC.</v>
      </c>
      <c r="C293" s="2" t="str">
        <f>IFERROR(__xludf.DUMMYFUNCTION("""COMPUTED_VALUE"""),"San Jose Sur, Mallig, ISABELA")</f>
        <v>San Jose Sur, Mallig, ISABELA</v>
      </c>
      <c r="D293" s="2" t="str">
        <f>IFERROR(__xludf.DUMMYFUNCTION("""COMPUTED_VALUE"""),"Ambrocio S. Villanueva")</f>
        <v>Ambrocio S. Villanueva</v>
      </c>
      <c r="E293" s="2" t="str">
        <f>IFERROR(__xludf.DUMMYFUNCTION("""COMPUTED_VALUE"""),"0975-053-5117")</f>
        <v>0975-053-5117</v>
      </c>
      <c r="F293" s="2" t="str">
        <f>IFERROR(__xludf.DUMMYFUNCTION("""COMPUTED_VALUE"""),"RCEF 23-09-21 Rebidding")</f>
        <v>RCEF 23-09-21 Rebidding</v>
      </c>
      <c r="G293" s="2">
        <f>IFERROR(__xludf.DUMMYFUNCTION("""COMPUTED_VALUE"""),1.0)</f>
        <v>1</v>
      </c>
      <c r="H293" s="2">
        <f>IFERROR(__xludf.DUMMYFUNCTION("""COMPUTED_VALUE"""),18852.0)</f>
        <v>18852</v>
      </c>
      <c r="I293" s="2" t="str">
        <f>IFERROR(__xludf.DUMMYFUNCTION("""COMPUTED_VALUE"""),"KMC 5825ACRFPV0182")</f>
        <v>KMC 5825ACRFPV0182</v>
      </c>
      <c r="J293" s="2" t="str">
        <f>IFERROR(__xludf.DUMMYFUNCTION("""COMPUTED_VALUE"""),"RTS100017")</f>
        <v>RTS100017</v>
      </c>
      <c r="K293" s="2" t="str">
        <f>IFERROR(__xludf.DUMMYFUNCTION("""COMPUTED_VALUE"""),"RSERIES276PH")</f>
        <v>RSERIES276PH</v>
      </c>
      <c r="L293" s="2" t="str">
        <f>IFERROR(__xludf.DUMMYFUNCTION("""COMPUTED_VALUE"""),"LSGW1750-RMP-24010061")</f>
        <v>LSGW1750-RMP-24010061</v>
      </c>
      <c r="M293" s="2" t="str">
        <f>IFERROR(__xludf.DUMMYFUNCTION("""COMPUTED_VALUE"""),"WDP-40-RMP-24010061")</f>
        <v>WDP-40-RMP-24010061</v>
      </c>
      <c r="N293" s="2"/>
      <c r="O293" s="2" t="str">
        <f>IFERROR(__xludf.DUMMYFUNCTION("""COMPUTED_VALUE"""),"San Jose Sur")</f>
        <v>San Jose Sur</v>
      </c>
      <c r="P293" s="2" t="str">
        <f>IFERROR(__xludf.DUMMYFUNCTION("""COMPUTED_VALUE"""),"Mallig")</f>
        <v>Mallig</v>
      </c>
      <c r="Q293" s="2" t="str">
        <f>IFERROR(__xludf.DUMMYFUNCTION("""COMPUTED_VALUE"""),"Isabela")</f>
        <v>Isabela</v>
      </c>
      <c r="R293" s="2">
        <f>IFERROR(__xludf.DUMMYFUNCTION("""COMPUTED_VALUE"""),2.0)</f>
        <v>2</v>
      </c>
      <c r="S293" s="2"/>
      <c r="T293" s="2"/>
    </row>
    <row r="294">
      <c r="A294" s="1">
        <f>IFERROR(__xludf.DUMMYFUNCTION("""COMPUTED_VALUE"""),292.0)</f>
        <v>292</v>
      </c>
      <c r="B294" s="2" t="str">
        <f>IFERROR(__xludf.DUMMYFUNCTION("""COMPUTED_VALUE"""),"SOLID ALLIANCE OF NEIGHBORS FOR DEVELOPMENT THROUGH IRRIGATOS ASSOCIATION AND TECHNOLOGY (SANDIAT) COUNCIL OF IRRIGATORS ASSOCIATION, INC.")</f>
        <v>SOLID ALLIANCE OF NEIGHBORS FOR DEVELOPMENT THROUGH IRRIGATOS ASSOCIATION AND TECHNOLOGY (SANDIAT) COUNCIL OF IRRIGATORS ASSOCIATION, INC.</v>
      </c>
      <c r="C294" s="2" t="str">
        <f>IFERROR(__xludf.DUMMYFUNCTION("""COMPUTED_VALUE"""),"District 1 (Pob.), San Manuel (Callang), ISABELA")</f>
        <v>District 1 (Pob.), San Manuel (Callang), ISABELA</v>
      </c>
      <c r="D294" s="2" t="str">
        <f>IFERROR(__xludf.DUMMYFUNCTION("""COMPUTED_VALUE"""),"Guillermo P. Ignacio")</f>
        <v>Guillermo P. Ignacio</v>
      </c>
      <c r="E294" s="2">
        <f>IFERROR(__xludf.DUMMYFUNCTION("""COMPUTED_VALUE"""),9.156339108E9)</f>
        <v>9156339108</v>
      </c>
      <c r="F294" s="2" t="str">
        <f>IFERROR(__xludf.DUMMYFUNCTION("""COMPUTED_VALUE"""),"RCEF 23-09-21 Rebidding")</f>
        <v>RCEF 23-09-21 Rebidding</v>
      </c>
      <c r="G294" s="2">
        <f>IFERROR(__xludf.DUMMYFUNCTION("""COMPUTED_VALUE"""),1.0)</f>
        <v>1</v>
      </c>
      <c r="H294" s="2">
        <f>IFERROR(__xludf.DUMMYFUNCTION("""COMPUTED_VALUE"""),18853.0)</f>
        <v>18853</v>
      </c>
      <c r="I294" s="2" t="str">
        <f>IFERROR(__xludf.DUMMYFUNCTION("""COMPUTED_VALUE"""),"KMC5825 ALRFPV0168")</f>
        <v>KMC5825 ALRFPV0168</v>
      </c>
      <c r="J294" s="2" t="str">
        <f>IFERROR(__xludf.DUMMYFUNCTION("""COMPUTED_VALUE"""),"RTS100109")</f>
        <v>RTS100109</v>
      </c>
      <c r="K294" s="2" t="str">
        <f>IFERROR(__xludf.DUMMYFUNCTION("""COMPUTED_VALUE"""),"R-SERIES 279 PH")</f>
        <v>R-SERIES 279 PH</v>
      </c>
      <c r="L294" s="2" t="str">
        <f>IFERROR(__xludf.DUMMYFUNCTION("""COMPUTED_VALUE"""),"LSGW1750 RMP 24010129")</f>
        <v>LSGW1750 RMP 24010129</v>
      </c>
      <c r="M294" s="2" t="str">
        <f>IFERROR(__xludf.DUMMYFUNCTION("""COMPUTED_VALUE"""),"WDP40 RMP 24010149")</f>
        <v>WDP40 RMP 24010149</v>
      </c>
      <c r="N294" s="2"/>
      <c r="O294" s="2" t="str">
        <f>IFERROR(__xludf.DUMMYFUNCTION("""COMPUTED_VALUE"""),"District 1 (Pob.)")</f>
        <v>District 1 (Pob.)</v>
      </c>
      <c r="P294" s="2" t="str">
        <f>IFERROR(__xludf.DUMMYFUNCTION("""COMPUTED_VALUE"""),"San Manuel (Callang)")</f>
        <v>San Manuel (Callang)</v>
      </c>
      <c r="Q294" s="2" t="str">
        <f>IFERROR(__xludf.DUMMYFUNCTION("""COMPUTED_VALUE"""),"Isabela")</f>
        <v>Isabela</v>
      </c>
      <c r="R294" s="2">
        <f>IFERROR(__xludf.DUMMYFUNCTION("""COMPUTED_VALUE"""),2.0)</f>
        <v>2</v>
      </c>
      <c r="S294" s="2"/>
      <c r="T294" s="2"/>
    </row>
    <row r="295">
      <c r="A295" s="1">
        <f>IFERROR(__xludf.DUMMYFUNCTION("""COMPUTED_VALUE"""),293.0)</f>
        <v>293</v>
      </c>
      <c r="B295" s="2" t="str">
        <f>IFERROR(__xludf.DUMMYFUNCTION("""COMPUTED_VALUE"""),"VILLA DY IRRIGATORS ASSOCIATION, INC.")</f>
        <v>VILLA DY IRRIGATORS ASSOCIATION, INC.</v>
      </c>
      <c r="C295" s="2" t="str">
        <f>IFERROR(__xludf.DUMMYFUNCTION("""COMPUTED_VALUE"""),"Alinam, Cauayan City, ISABELA")</f>
        <v>Alinam, Cauayan City, ISABELA</v>
      </c>
      <c r="D295" s="2" t="str">
        <f>IFERROR(__xludf.DUMMYFUNCTION("""COMPUTED_VALUE"""),"Antonio G. Ramos")</f>
        <v>Antonio G. Ramos</v>
      </c>
      <c r="E295" s="2">
        <f>IFERROR(__xludf.DUMMYFUNCTION("""COMPUTED_VALUE"""),9.752000043E9)</f>
        <v>9752000043</v>
      </c>
      <c r="F295" s="2" t="str">
        <f>IFERROR(__xludf.DUMMYFUNCTION("""COMPUTED_VALUE"""),"RCEF 23-09-21 Rebidding")</f>
        <v>RCEF 23-09-21 Rebidding</v>
      </c>
      <c r="G295" s="2">
        <f>IFERROR(__xludf.DUMMYFUNCTION("""COMPUTED_VALUE"""),1.0)</f>
        <v>1</v>
      </c>
      <c r="H295" s="2">
        <f>IFERROR(__xludf.DUMMYFUNCTION("""COMPUTED_VALUE"""),18854.0)</f>
        <v>18854</v>
      </c>
      <c r="I295" s="2" t="str">
        <f>IFERROR(__xludf.DUMMYFUNCTION("""COMPUTED_VALUE"""),"KMC5825 AARFPV0203")</f>
        <v>KMC5825 AARFPV0203</v>
      </c>
      <c r="J295" s="2" t="str">
        <f>IFERROR(__xludf.DUMMYFUNCTION("""COMPUTED_VALUE"""),"RTS100137")</f>
        <v>RTS100137</v>
      </c>
      <c r="K295" s="2" t="str">
        <f>IFERROR(__xludf.DUMMYFUNCTION("""COMPUTED_VALUE"""),"R-SERIES 290 PH")</f>
        <v>R-SERIES 290 PH</v>
      </c>
      <c r="L295" s="2" t="str">
        <f>IFERROR(__xludf.DUMMYFUNCTION("""COMPUTED_VALUE"""),"LSGW1750 RMP 240010102")</f>
        <v>LSGW1750 RMP 240010102</v>
      </c>
      <c r="M295" s="2" t="str">
        <f>IFERROR(__xludf.DUMMYFUNCTION("""COMPUTED_VALUE"""),"WDP40 RMP 24010111")</f>
        <v>WDP40 RMP 24010111</v>
      </c>
      <c r="N295" s="2"/>
      <c r="O295" s="2" t="str">
        <f>IFERROR(__xludf.DUMMYFUNCTION("""COMPUTED_VALUE"""),"Alinam")</f>
        <v>Alinam</v>
      </c>
      <c r="P295" s="2" t="str">
        <f>IFERROR(__xludf.DUMMYFUNCTION("""COMPUTED_VALUE"""),"Cauayan City")</f>
        <v>Cauayan City</v>
      </c>
      <c r="Q295" s="2" t="str">
        <f>IFERROR(__xludf.DUMMYFUNCTION("""COMPUTED_VALUE"""),"Isabela")</f>
        <v>Isabela</v>
      </c>
      <c r="R295" s="2">
        <f>IFERROR(__xludf.DUMMYFUNCTION("""COMPUTED_VALUE"""),2.0)</f>
        <v>2</v>
      </c>
      <c r="S295" s="2"/>
      <c r="T295" s="2"/>
    </row>
    <row r="296">
      <c r="A296" s="1">
        <f>IFERROR(__xludf.DUMMYFUNCTION("""COMPUTED_VALUE"""),294.0)</f>
        <v>294</v>
      </c>
      <c r="B296" s="2" t="str">
        <f>IFERROR(__xludf.DUMMYFUNCTION("""COMPUTED_VALUE"""),"Echague Development Cooperative")</f>
        <v>Echague Development Cooperative</v>
      </c>
      <c r="C296" s="2" t="str">
        <f>IFERROR(__xludf.DUMMYFUNCTION("""COMPUTED_VALUE"""),"Silauan Norte (Pob.), Echague, ISABELA")</f>
        <v>Silauan Norte (Pob.), Echague, ISABELA</v>
      </c>
      <c r="D296" s="2" t="str">
        <f>IFERROR(__xludf.DUMMYFUNCTION("""COMPUTED_VALUE"""),"Lily B. Dumaliang")</f>
        <v>Lily B. Dumaliang</v>
      </c>
      <c r="E296" s="2">
        <f>IFERROR(__xludf.DUMMYFUNCTION("""COMPUTED_VALUE"""),9.178828339E9)</f>
        <v>9178828339</v>
      </c>
      <c r="F296" s="2" t="str">
        <f>IFERROR(__xludf.DUMMYFUNCTION("""COMPUTED_VALUE"""),"RCEF 23-09-21 Rebidding")</f>
        <v>RCEF 23-09-21 Rebidding</v>
      </c>
      <c r="G296" s="2">
        <f>IFERROR(__xludf.DUMMYFUNCTION("""COMPUTED_VALUE"""),1.0)</f>
        <v>1</v>
      </c>
      <c r="H296" s="2">
        <f>IFERROR(__xludf.DUMMYFUNCTION("""COMPUTED_VALUE"""),18855.0)</f>
        <v>18855</v>
      </c>
      <c r="I296" s="2" t="str">
        <f>IFERROR(__xludf.DUMMYFUNCTION("""COMPUTED_VALUE"""),"KMC825AKRFPV0194")</f>
        <v>KMC825AKRFPV0194</v>
      </c>
      <c r="J296" s="2" t="str">
        <f>IFERROR(__xludf.DUMMYFUNCTION("""COMPUTED_VALUE"""),"RTS100075")</f>
        <v>RTS100075</v>
      </c>
      <c r="K296" s="2" t="str">
        <f>IFERROR(__xludf.DUMMYFUNCTION("""COMPUTED_VALUE"""),"R SERIES 100075")</f>
        <v>R SERIES 100075</v>
      </c>
      <c r="L296" s="2" t="str">
        <f>IFERROR(__xludf.DUMMYFUNCTION("""COMPUTED_VALUE"""),"LSGW WDP40 24010092")</f>
        <v>LSGW WDP40 24010092</v>
      </c>
      <c r="M296" s="2" t="str">
        <f>IFERROR(__xludf.DUMMYFUNCTION("""COMPUTED_VALUE"""),"WDP40 RMP 24010092")</f>
        <v>WDP40 RMP 24010092</v>
      </c>
      <c r="N296" s="2"/>
      <c r="O296" s="2" t="str">
        <f>IFERROR(__xludf.DUMMYFUNCTION("""COMPUTED_VALUE"""),"Silauan Norte (Pob.)")</f>
        <v>Silauan Norte (Pob.)</v>
      </c>
      <c r="P296" s="2" t="str">
        <f>IFERROR(__xludf.DUMMYFUNCTION("""COMPUTED_VALUE"""),"Echague")</f>
        <v>Echague</v>
      </c>
      <c r="Q296" s="2" t="str">
        <f>IFERROR(__xludf.DUMMYFUNCTION("""COMPUTED_VALUE"""),"Isabela")</f>
        <v>Isabela</v>
      </c>
      <c r="R296" s="2">
        <f>IFERROR(__xludf.DUMMYFUNCTION("""COMPUTED_VALUE"""),2.0)</f>
        <v>2</v>
      </c>
      <c r="S296" s="2"/>
      <c r="T296" s="2"/>
    </row>
    <row r="297">
      <c r="A297" s="1">
        <f>IFERROR(__xludf.DUMMYFUNCTION("""COMPUTED_VALUE"""),295.0)</f>
        <v>295</v>
      </c>
      <c r="B297" s="2" t="str">
        <f>IFERROR(__xludf.DUMMYFUNCTION("""COMPUTED_VALUE"""),"DIAGYAN MULTI FARMERS ASSOCIATION")</f>
        <v>DIAGYAN MULTI FARMERS ASSOCIATION</v>
      </c>
      <c r="C297" s="2" t="str">
        <f>IFERROR(__xludf.DUMMYFUNCTION("""COMPUTED_VALUE"""),"DIAGYAN, DILASAG, AURORA")</f>
        <v>DIAGYAN, DILASAG, AURORA</v>
      </c>
      <c r="D297" s="2" t="str">
        <f>IFERROR(__xludf.DUMMYFUNCTION("""COMPUTED_VALUE"""),"Eduardo C. Prado")</f>
        <v>Eduardo C. Prado</v>
      </c>
      <c r="E297" s="2" t="str">
        <f>IFERROR(__xludf.DUMMYFUNCTION("""COMPUTED_VALUE"""),"0997-2311-013 / 0935-862-2888")</f>
        <v>0997-2311-013 / 0935-862-2888</v>
      </c>
      <c r="F297" s="2" t="str">
        <f>IFERROR(__xludf.DUMMYFUNCTION("""COMPUTED_VALUE"""),"RCEF 23-09-21 Rebidding")</f>
        <v>RCEF 23-09-21 Rebidding</v>
      </c>
      <c r="G297" s="2">
        <f>IFERROR(__xludf.DUMMYFUNCTION("""COMPUTED_VALUE"""),9.0)</f>
        <v>9</v>
      </c>
      <c r="H297" s="2">
        <f>IFERROR(__xludf.DUMMYFUNCTION("""COMPUTED_VALUE"""),18893.0)</f>
        <v>18893</v>
      </c>
      <c r="I297" s="2" t="str">
        <f>IFERROR(__xludf.DUMMYFUNCTION("""COMPUTED_VALUE"""),"KMC5825 ACRFPV0711")</f>
        <v>KMC5825 ACRFPV0711</v>
      </c>
      <c r="J297" s="2" t="str">
        <f>IFERROR(__xludf.DUMMYFUNCTION("""COMPUTED_VALUE"""),"RTS 100628")</f>
        <v>RTS 100628</v>
      </c>
      <c r="K297" s="2" t="str">
        <f>IFERROR(__xludf.DUMMYFUNCTION("""COMPUTED_VALUE"""),"RSERIES 923 PH")</f>
        <v>RSERIES 923 PH</v>
      </c>
      <c r="L297" s="2" t="str">
        <f>IFERROR(__xludf.DUMMYFUNCTION("""COMPUTED_VALUE"""),"LSGW1750 RMP 24010104")</f>
        <v>LSGW1750 RMP 24010104</v>
      </c>
      <c r="M297" s="2" t="str">
        <f>IFERROR(__xludf.DUMMYFUNCTION("""COMPUTED_VALUE"""),"WDP 40 RMP 24050638")</f>
        <v>WDP 40 RMP 24050638</v>
      </c>
      <c r="N297" s="2"/>
      <c r="O297" s="2" t="str">
        <f>IFERROR(__xludf.DUMMYFUNCTION("""COMPUTED_VALUE"""),"Diagyan")</f>
        <v>Diagyan</v>
      </c>
      <c r="P297" s="2" t="str">
        <f>IFERROR(__xludf.DUMMYFUNCTION("""COMPUTED_VALUE"""),"Dilasag")</f>
        <v>Dilasag</v>
      </c>
      <c r="Q297" s="2" t="str">
        <f>IFERROR(__xludf.DUMMYFUNCTION("""COMPUTED_VALUE"""),"Aurora")</f>
        <v>Aurora</v>
      </c>
      <c r="R297" s="2">
        <f>IFERROR(__xludf.DUMMYFUNCTION("""COMPUTED_VALUE"""),3.0)</f>
        <v>3</v>
      </c>
      <c r="S297" s="2"/>
      <c r="T297" s="2"/>
    </row>
    <row r="298">
      <c r="A298" s="1">
        <f>IFERROR(__xludf.DUMMYFUNCTION("""COMPUTED_VALUE"""),296.0)</f>
        <v>296</v>
      </c>
      <c r="B298" s="2" t="str">
        <f>IFERROR(__xludf.DUMMYFUNCTION("""COMPUTED_VALUE"""),"KABALIKAT PANGSAKAHAN ASSOCIATION")</f>
        <v>KABALIKAT PANGSAKAHAN ASSOCIATION</v>
      </c>
      <c r="C298" s="2" t="str">
        <f>IFERROR(__xludf.DUMMYFUNCTION("""COMPUTED_VALUE"""),", Dilasag, Aurora")</f>
        <v>, Dilasag, Aurora</v>
      </c>
      <c r="D298" s="2" t="str">
        <f>IFERROR(__xludf.DUMMYFUNCTION("""COMPUTED_VALUE"""),"Abuel S. Ancheta")</f>
        <v>Abuel S. Ancheta</v>
      </c>
      <c r="E298" s="2" t="str">
        <f>IFERROR(__xludf.DUMMYFUNCTION("""COMPUTED_VALUE"""),"0975-097-1775")</f>
        <v>0975-097-1775</v>
      </c>
      <c r="F298" s="2" t="str">
        <f>IFERROR(__xludf.DUMMYFUNCTION("""COMPUTED_VALUE"""),"RCEF 23-09-21 Rebidding")</f>
        <v>RCEF 23-09-21 Rebidding</v>
      </c>
      <c r="G298" s="2">
        <f>IFERROR(__xludf.DUMMYFUNCTION("""COMPUTED_VALUE"""),9.0)</f>
        <v>9</v>
      </c>
      <c r="H298" s="2">
        <f>IFERROR(__xludf.DUMMYFUNCTION("""COMPUTED_VALUE"""),18894.0)</f>
        <v>18894</v>
      </c>
      <c r="I298" s="2" t="str">
        <f>IFERROR(__xludf.DUMMYFUNCTION("""COMPUTED_VALUE"""),"KMC5825 ATRFPV0712")</f>
        <v>KMC5825 ATRFPV0712</v>
      </c>
      <c r="J298" s="2" t="str">
        <f>IFERROR(__xludf.DUMMYFUNCTION("""COMPUTED_VALUE"""),"RTS100622")</f>
        <v>RTS100622</v>
      </c>
      <c r="K298" s="2" t="str">
        <f>IFERROR(__xludf.DUMMYFUNCTION("""COMPUTED_VALUE"""),"RSERIES 932 PH")</f>
        <v>RSERIES 932 PH</v>
      </c>
      <c r="L298" s="2" t="str">
        <f>IFERROR(__xludf.DUMMYFUNCTION("""COMPUTED_VALUE"""),"LSGW1750 RMP 24010095")</f>
        <v>LSGW1750 RMP 24010095</v>
      </c>
      <c r="M298" s="2" t="str">
        <f>IFERROR(__xludf.DUMMYFUNCTION("""COMPUTED_VALUE"""),"WDP 40 RMP 24010095")</f>
        <v>WDP 40 RMP 24010095</v>
      </c>
      <c r="N298" s="2"/>
      <c r="O298" s="2" t="str">
        <f>IFERROR(__xludf.DUMMYFUNCTION("""COMPUTED_VALUE"""),"")</f>
        <v/>
      </c>
      <c r="P298" s="2" t="str">
        <f>IFERROR(__xludf.DUMMYFUNCTION("""COMPUTED_VALUE"""),"Dilasag")</f>
        <v>Dilasag</v>
      </c>
      <c r="Q298" s="2" t="str">
        <f>IFERROR(__xludf.DUMMYFUNCTION("""COMPUTED_VALUE"""),"Aurora")</f>
        <v>Aurora</v>
      </c>
      <c r="R298" s="2">
        <f>IFERROR(__xludf.DUMMYFUNCTION("""COMPUTED_VALUE"""),3.0)</f>
        <v>3</v>
      </c>
      <c r="S298" s="2"/>
      <c r="T298" s="2"/>
    </row>
    <row r="299">
      <c r="A299" s="1">
        <f>IFERROR(__xludf.DUMMYFUNCTION("""COMPUTED_VALUE"""),297.0)</f>
        <v>297</v>
      </c>
      <c r="B299" s="2" t="str">
        <f>IFERROR(__xludf.DUMMYFUNCTION("""COMPUTED_VALUE"""),"BAGTU-OBLIGACION IRRIGATORS ASSOCIATION")</f>
        <v>BAGTU-OBLIGACION IRRIGATORS ASSOCIATION</v>
      </c>
      <c r="C299" s="2" t="str">
        <f>IFERROR(__xludf.DUMMYFUNCTION("""COMPUTED_VALUE"""),"Obligacion, Baler, AURORA")</f>
        <v>Obligacion, Baler, AURORA</v>
      </c>
      <c r="D299" s="2" t="str">
        <f>IFERROR(__xludf.DUMMYFUNCTION("""COMPUTED_VALUE"""),"Anthony E. Bernalte")</f>
        <v>Anthony E. Bernalte</v>
      </c>
      <c r="E299" s="2" t="str">
        <f>IFERROR(__xludf.DUMMYFUNCTION("""COMPUTED_VALUE"""),"0947-966-1717")</f>
        <v>0947-966-1717</v>
      </c>
      <c r="F299" s="2" t="str">
        <f>IFERROR(__xludf.DUMMYFUNCTION("""COMPUTED_VALUE"""),"RCEF 23-09-21 Rebidding")</f>
        <v>RCEF 23-09-21 Rebidding</v>
      </c>
      <c r="G299" s="2">
        <f>IFERROR(__xludf.DUMMYFUNCTION("""COMPUTED_VALUE"""),3.0)</f>
        <v>3</v>
      </c>
      <c r="H299" s="2">
        <f>IFERROR(__xludf.DUMMYFUNCTION("""COMPUTED_VALUE"""),18895.0)</f>
        <v>18895</v>
      </c>
      <c r="I299" s="2" t="str">
        <f>IFERROR(__xludf.DUMMYFUNCTION("""COMPUTED_VALUE"""),"KMC 5825 AVRFPV0779")</f>
        <v>KMC 5825 AVRFPV0779</v>
      </c>
      <c r="J299" s="2" t="str">
        <f>IFERROR(__xludf.DUMMYFUNCTION("""COMPUTED_VALUE"""),"RTS 100611")</f>
        <v>RTS 100611</v>
      </c>
      <c r="K299" s="2" t="str">
        <f>IFERROR(__xludf.DUMMYFUNCTION("""COMPUTED_VALUE"""),"R SERIES 937 PH")</f>
        <v>R SERIES 937 PH</v>
      </c>
      <c r="L299" s="2" t="str">
        <f>IFERROR(__xludf.DUMMYFUNCTION("""COMPUTED_VALUE"""),"LSGW1750 RMP 24010128")</f>
        <v>LSGW1750 RMP 24010128</v>
      </c>
      <c r="M299" s="2" t="str">
        <f>IFERROR(__xludf.DUMMYFUNCTION("""COMPUTED_VALUE"""),"WDP40 RMP 24050639")</f>
        <v>WDP40 RMP 24050639</v>
      </c>
      <c r="N299" s="2"/>
      <c r="O299" s="2" t="str">
        <f>IFERROR(__xludf.DUMMYFUNCTION("""COMPUTED_VALUE"""),"Obligacion")</f>
        <v>Obligacion</v>
      </c>
      <c r="P299" s="2" t="str">
        <f>IFERROR(__xludf.DUMMYFUNCTION("""COMPUTED_VALUE"""),"Baler")</f>
        <v>Baler</v>
      </c>
      <c r="Q299" s="2" t="str">
        <f>IFERROR(__xludf.DUMMYFUNCTION("""COMPUTED_VALUE"""),"Aurora")</f>
        <v>Aurora</v>
      </c>
      <c r="R299" s="2">
        <f>IFERROR(__xludf.DUMMYFUNCTION("""COMPUTED_VALUE"""),3.0)</f>
        <v>3</v>
      </c>
      <c r="S299" s="2"/>
      <c r="T299" s="2"/>
    </row>
    <row r="300">
      <c r="A300" s="1">
        <f>IFERROR(__xludf.DUMMYFUNCTION("""COMPUTED_VALUE"""),298.0)</f>
        <v>298</v>
      </c>
      <c r="B300" s="2" t="str">
        <f>IFERROR(__xludf.DUMMYFUNCTION("""COMPUTED_VALUE"""),"CULAT IRRIGATORS FARMERS ASSOCIATION.")</f>
        <v>CULAT IRRIGATORS FARMERS ASSOCIATION.</v>
      </c>
      <c r="C300" s="2" t="str">
        <f>IFERROR(__xludf.DUMMYFUNCTION("""COMPUTED_VALUE"""),"Culat, Casiguran, AURORA")</f>
        <v>Culat, Casiguran, AURORA</v>
      </c>
      <c r="D300" s="2" t="str">
        <f>IFERROR(__xludf.DUMMYFUNCTION("""COMPUTED_VALUE"""),"Reynaldo T. Torre")</f>
        <v>Reynaldo T. Torre</v>
      </c>
      <c r="E300" s="2" t="str">
        <f>IFERROR(__xludf.DUMMYFUNCTION("""COMPUTED_VALUE"""),"0920-706-5957")</f>
        <v>0920-706-5957</v>
      </c>
      <c r="F300" s="2" t="str">
        <f>IFERROR(__xludf.DUMMYFUNCTION("""COMPUTED_VALUE"""),"RCEF 23-09-21 Rebidding")</f>
        <v>RCEF 23-09-21 Rebidding</v>
      </c>
      <c r="G300" s="2">
        <f>IFERROR(__xludf.DUMMYFUNCTION("""COMPUTED_VALUE"""),3.0)</f>
        <v>3</v>
      </c>
      <c r="H300" s="2">
        <f>IFERROR(__xludf.DUMMYFUNCTION("""COMPUTED_VALUE"""),18896.0)</f>
        <v>18896</v>
      </c>
      <c r="I300" s="2" t="str">
        <f>IFERROR(__xludf.DUMMYFUNCTION("""COMPUTED_VALUE"""),"KMC 5825 AVRFPV0765")</f>
        <v>KMC 5825 AVRFPV0765</v>
      </c>
      <c r="J300" s="2" t="str">
        <f>IFERROR(__xludf.DUMMYFUNCTION("""COMPUTED_VALUE"""),"RTS 100527")</f>
        <v>RTS 100527</v>
      </c>
      <c r="K300" s="2" t="str">
        <f>IFERROR(__xludf.DUMMYFUNCTION("""COMPUTED_VALUE"""),"R SERIES 966 PH")</f>
        <v>R SERIES 966 PH</v>
      </c>
      <c r="L300" s="2" t="str">
        <f>IFERROR(__xludf.DUMMYFUNCTION("""COMPUTED_VALUE"""),"LSGW1750 RMP 24010099")</f>
        <v>LSGW1750 RMP 24010099</v>
      </c>
      <c r="M300" s="2" t="str">
        <f>IFERROR(__xludf.DUMMYFUNCTION("""COMPUTED_VALUE"""),"WDP40 RMP 24050630")</f>
        <v>WDP40 RMP 24050630</v>
      </c>
      <c r="N300" s="2"/>
      <c r="O300" s="2" t="str">
        <f>IFERROR(__xludf.DUMMYFUNCTION("""COMPUTED_VALUE"""),"Culat")</f>
        <v>Culat</v>
      </c>
      <c r="P300" s="2" t="str">
        <f>IFERROR(__xludf.DUMMYFUNCTION("""COMPUTED_VALUE"""),"Casiguran")</f>
        <v>Casiguran</v>
      </c>
      <c r="Q300" s="2" t="str">
        <f>IFERROR(__xludf.DUMMYFUNCTION("""COMPUTED_VALUE"""),"Aurora")</f>
        <v>Aurora</v>
      </c>
      <c r="R300" s="2">
        <f>IFERROR(__xludf.DUMMYFUNCTION("""COMPUTED_VALUE"""),3.0)</f>
        <v>3</v>
      </c>
      <c r="S300" s="2"/>
      <c r="T300" s="2"/>
    </row>
    <row r="301">
      <c r="A301" s="1">
        <f>IFERROR(__xludf.DUMMYFUNCTION("""COMPUTED_VALUE"""),299.0)</f>
        <v>299</v>
      </c>
      <c r="B301" s="2" t="str">
        <f>IFERROR(__xludf.DUMMYFUNCTION("""COMPUTED_VALUE"""),"INDIGENOUS PEOPLES FARMERS ASSOCIATION")</f>
        <v>INDIGENOUS PEOPLES FARMERS ASSOCIATION</v>
      </c>
      <c r="C301" s="2" t="str">
        <f>IFERROR(__xludf.DUMMYFUNCTION("""COMPUTED_VALUE"""),"Manggitahan, Dilasag, AURORA")</f>
        <v>Manggitahan, Dilasag, AURORA</v>
      </c>
      <c r="D301" s="2" t="str">
        <f>IFERROR(__xludf.DUMMYFUNCTION("""COMPUTED_VALUE"""),"Deborah Valerozo")</f>
        <v>Deborah Valerozo</v>
      </c>
      <c r="E301" s="2" t="str">
        <f>IFERROR(__xludf.DUMMYFUNCTION("""COMPUTED_VALUE"""),"0975-299-769")</f>
        <v>0975-299-769</v>
      </c>
      <c r="F301" s="2" t="str">
        <f>IFERROR(__xludf.DUMMYFUNCTION("""COMPUTED_VALUE"""),"RCEF 23-09-21 Rebidding")</f>
        <v>RCEF 23-09-21 Rebidding</v>
      </c>
      <c r="G301" s="2">
        <f>IFERROR(__xludf.DUMMYFUNCTION("""COMPUTED_VALUE"""),3.0)</f>
        <v>3</v>
      </c>
      <c r="H301" s="2">
        <f>IFERROR(__xludf.DUMMYFUNCTION("""COMPUTED_VALUE"""),18897.0)</f>
        <v>18897</v>
      </c>
      <c r="I301" s="2" t="str">
        <f>IFERROR(__xludf.DUMMYFUNCTION("""COMPUTED_VALUE"""),"KMC 5825 AARFPV0654")</f>
        <v>KMC 5825 AARFPV0654</v>
      </c>
      <c r="J301" s="2" t="str">
        <f>IFERROR(__xludf.DUMMYFUNCTION("""COMPUTED_VALUE"""),"RTS 100541")</f>
        <v>RTS 100541</v>
      </c>
      <c r="K301" s="2" t="str">
        <f>IFERROR(__xludf.DUMMYFUNCTION("""COMPUTED_VALUE"""),"R SERIES 951 PH")</f>
        <v>R SERIES 951 PH</v>
      </c>
      <c r="L301" s="2" t="str">
        <f>IFERROR(__xludf.DUMMYFUNCTION("""COMPUTED_VALUE"""),"LSGW1750 RMP 24010103")</f>
        <v>LSGW1750 RMP 24010103</v>
      </c>
      <c r="M301" s="2" t="str">
        <f>IFERROR(__xludf.DUMMYFUNCTION("""COMPUTED_VALUE"""),"WDP40 RMP 24050643")</f>
        <v>WDP40 RMP 24050643</v>
      </c>
      <c r="N301" s="2"/>
      <c r="O301" s="2" t="str">
        <f>IFERROR(__xludf.DUMMYFUNCTION("""COMPUTED_VALUE"""),"Manggitahan")</f>
        <v>Manggitahan</v>
      </c>
      <c r="P301" s="2" t="str">
        <f>IFERROR(__xludf.DUMMYFUNCTION("""COMPUTED_VALUE"""),"Dilasag")</f>
        <v>Dilasag</v>
      </c>
      <c r="Q301" s="2" t="str">
        <f>IFERROR(__xludf.DUMMYFUNCTION("""COMPUTED_VALUE"""),"Aurora")</f>
        <v>Aurora</v>
      </c>
      <c r="R301" s="2">
        <f>IFERROR(__xludf.DUMMYFUNCTION("""COMPUTED_VALUE"""),3.0)</f>
        <v>3</v>
      </c>
      <c r="S301" s="2"/>
      <c r="T301" s="2"/>
    </row>
    <row r="302">
      <c r="A302" s="1">
        <f>IFERROR(__xludf.DUMMYFUNCTION("""COMPUTED_VALUE"""),300.0)</f>
        <v>300</v>
      </c>
      <c r="B302" s="2" t="str">
        <f>IFERROR(__xludf.DUMMYFUNCTION("""COMPUTED_VALUE"""),"Aquino Cluster Farmers Association")</f>
        <v>Aquino Cluster Farmers Association</v>
      </c>
      <c r="C302" s="2" t="str">
        <f>IFERROR(__xludf.DUMMYFUNCTION("""COMPUTED_VALUE"""),"Aquino, Ibajay, AKLAN")</f>
        <v>Aquino, Ibajay, AKLAN</v>
      </c>
      <c r="D302" s="2" t="str">
        <f>IFERROR(__xludf.DUMMYFUNCTION("""COMPUTED_VALUE"""),"Sermundo Conan")</f>
        <v>Sermundo Conan</v>
      </c>
      <c r="E302" s="2" t="str">
        <f>IFERROR(__xludf.DUMMYFUNCTION("""COMPUTED_VALUE"""),"0910-874-4791")</f>
        <v>0910-874-4791</v>
      </c>
      <c r="F302" s="2" t="str">
        <f>IFERROR(__xludf.DUMMYFUNCTION("""COMPUTED_VALUE"""),"RCEF 23-09-21 Rebidding")</f>
        <v>RCEF 23-09-21 Rebidding</v>
      </c>
      <c r="G302" s="2">
        <f>IFERROR(__xludf.DUMMYFUNCTION("""COMPUTED_VALUE"""),4.0)</f>
        <v>4</v>
      </c>
      <c r="H302" s="2">
        <f>IFERROR(__xludf.DUMMYFUNCTION("""COMPUTED_VALUE"""),18898.0)</f>
        <v>18898</v>
      </c>
      <c r="I302" s="2" t="str">
        <f>IFERROR(__xludf.DUMMYFUNCTION("""COMPUTED_VALUE"""),"KMC5825 AHRFPV0303")</f>
        <v>KMC5825 AHRFPV0303</v>
      </c>
      <c r="J302" s="2" t="str">
        <f>IFERROR(__xludf.DUMMYFUNCTION("""COMPUTED_VALUE"""),"RTS100189")</f>
        <v>RTS100189</v>
      </c>
      <c r="K302" s="2" t="str">
        <f>IFERROR(__xludf.DUMMYFUNCTION("""COMPUTED_VALUE"""),"R-SERIES 042 PH")</f>
        <v>R-SERIES 042 PH</v>
      </c>
      <c r="L302" s="2" t="str">
        <f>IFERROR(__xludf.DUMMYFUNCTION("""COMPUTED_VALUE"""),"LSGW1750 RMP 24020425")</f>
        <v>LSGW1750 RMP 24020425</v>
      </c>
      <c r="M302" s="2" t="str">
        <f>IFERROR(__xludf.DUMMYFUNCTION("""COMPUTED_VALUE"""),"WDP40 RMP 24030385")</f>
        <v>WDP40 RMP 24030385</v>
      </c>
      <c r="N302" s="2"/>
      <c r="O302" s="2" t="str">
        <f>IFERROR(__xludf.DUMMYFUNCTION("""COMPUTED_VALUE"""),"Aquino")</f>
        <v>Aquino</v>
      </c>
      <c r="P302" s="2" t="str">
        <f>IFERROR(__xludf.DUMMYFUNCTION("""COMPUTED_VALUE"""),"Ibajay")</f>
        <v>Ibajay</v>
      </c>
      <c r="Q302" s="2" t="str">
        <f>IFERROR(__xludf.DUMMYFUNCTION("""COMPUTED_VALUE"""),"Aklan")</f>
        <v>Aklan</v>
      </c>
      <c r="R302" s="2">
        <f>IFERROR(__xludf.DUMMYFUNCTION("""COMPUTED_VALUE"""),6.0)</f>
        <v>6</v>
      </c>
      <c r="S302" s="2"/>
      <c r="T302" s="2"/>
    </row>
    <row r="303">
      <c r="A303" s="1">
        <f>IFERROR(__xludf.DUMMYFUNCTION("""COMPUTED_VALUE"""),301.0)</f>
        <v>301</v>
      </c>
      <c r="B303" s="2" t="str">
        <f>IFERROR(__xludf.DUMMYFUNCTION("""COMPUTED_VALUE"""),"Laguinbanua Integrated Farmers Association")</f>
        <v>Laguinbanua Integrated Farmers Association</v>
      </c>
      <c r="C303" s="2" t="str">
        <f>IFERROR(__xludf.DUMMYFUNCTION("""COMPUTED_VALUE"""),"Laguinbanua, Ibajay, AKLAN")</f>
        <v>Laguinbanua, Ibajay, AKLAN</v>
      </c>
      <c r="D303" s="2" t="str">
        <f>IFERROR(__xludf.DUMMYFUNCTION("""COMPUTED_VALUE"""),"Chevy Fernandez")</f>
        <v>Chevy Fernandez</v>
      </c>
      <c r="E303" s="2" t="str">
        <f>IFERROR(__xludf.DUMMYFUNCTION("""COMPUTED_VALUE"""),"0919-241-3021")</f>
        <v>0919-241-3021</v>
      </c>
      <c r="F303" s="2" t="str">
        <f>IFERROR(__xludf.DUMMYFUNCTION("""COMPUTED_VALUE"""),"RCEF 23-09-21 Rebidding")</f>
        <v>RCEF 23-09-21 Rebidding</v>
      </c>
      <c r="G303" s="2">
        <f>IFERROR(__xludf.DUMMYFUNCTION("""COMPUTED_VALUE"""),4.0)</f>
        <v>4</v>
      </c>
      <c r="H303" s="2">
        <f>IFERROR(__xludf.DUMMYFUNCTION("""COMPUTED_VALUE"""),18899.0)</f>
        <v>18899</v>
      </c>
      <c r="I303" s="2" t="str">
        <f>IFERROR(__xludf.DUMMYFUNCTION("""COMPUTED_VALUE"""),"KMC5825 ALRFPV0393")</f>
        <v>KMC5825 ALRFPV0393</v>
      </c>
      <c r="J303" s="2" t="str">
        <f>IFERROR(__xludf.DUMMYFUNCTION("""COMPUTED_VALUE"""),"RTS100304")</f>
        <v>RTS100304</v>
      </c>
      <c r="K303" s="2" t="str">
        <f>IFERROR(__xludf.DUMMYFUNCTION("""COMPUTED_VALUE"""),"R-SERIES 035 PH")</f>
        <v>R-SERIES 035 PH</v>
      </c>
      <c r="L303" s="2" t="str">
        <f>IFERROR(__xludf.DUMMYFUNCTION("""COMPUTED_VALUE"""),"LSGW1750 RMP 24020477")</f>
        <v>LSGW1750 RMP 24020477</v>
      </c>
      <c r="M303" s="2" t="str">
        <f>IFERROR(__xludf.DUMMYFUNCTION("""COMPUTED_VALUE"""),"WDP40 RMP 24030340")</f>
        <v>WDP40 RMP 24030340</v>
      </c>
      <c r="N303" s="2"/>
      <c r="O303" s="2" t="str">
        <f>IFERROR(__xludf.DUMMYFUNCTION("""COMPUTED_VALUE"""),"Laguinbanua")</f>
        <v>Laguinbanua</v>
      </c>
      <c r="P303" s="2" t="str">
        <f>IFERROR(__xludf.DUMMYFUNCTION("""COMPUTED_VALUE"""),"Ibajay")</f>
        <v>Ibajay</v>
      </c>
      <c r="Q303" s="2" t="str">
        <f>IFERROR(__xludf.DUMMYFUNCTION("""COMPUTED_VALUE"""),"Aklan")</f>
        <v>Aklan</v>
      </c>
      <c r="R303" s="2">
        <f>IFERROR(__xludf.DUMMYFUNCTION("""COMPUTED_VALUE"""),6.0)</f>
        <v>6</v>
      </c>
      <c r="S303" s="2"/>
      <c r="T303" s="2"/>
    </row>
    <row r="304">
      <c r="A304" s="1">
        <f>IFERROR(__xludf.DUMMYFUNCTION("""COMPUTED_VALUE"""),302.0)</f>
        <v>302</v>
      </c>
      <c r="B304" s="2" t="str">
        <f>IFERROR(__xludf.DUMMYFUNCTION("""COMPUTED_VALUE"""),"AGCAWILAN-SILAKAT NONOK FARMERS CLUSTER ASSOCIATION")</f>
        <v>AGCAWILAN-SILAKAT NONOK FARMERS CLUSTER ASSOCIATION</v>
      </c>
      <c r="C304" s="2" t="str">
        <f>IFERROR(__xludf.DUMMYFUNCTION("""COMPUTED_VALUE"""),"Agcawilan, Lezo, AKLAN")</f>
        <v>Agcawilan, Lezo, AKLAN</v>
      </c>
      <c r="D304" s="2" t="str">
        <f>IFERROR(__xludf.DUMMYFUNCTION("""COMPUTED_VALUE"""),"MARIO Z. ZAULDA")</f>
        <v>MARIO Z. ZAULDA</v>
      </c>
      <c r="E304" s="2" t="str">
        <f>IFERROR(__xludf.DUMMYFUNCTION("""COMPUTED_VALUE"""),"0951-208-9996")</f>
        <v>0951-208-9996</v>
      </c>
      <c r="F304" s="2" t="str">
        <f>IFERROR(__xludf.DUMMYFUNCTION("""COMPUTED_VALUE"""),"RCEF 23-09-21 Rebidding")</f>
        <v>RCEF 23-09-21 Rebidding</v>
      </c>
      <c r="G304" s="2">
        <f>IFERROR(__xludf.DUMMYFUNCTION("""COMPUTED_VALUE"""),4.0)</f>
        <v>4</v>
      </c>
      <c r="H304" s="2">
        <f>IFERROR(__xludf.DUMMYFUNCTION("""COMPUTED_VALUE"""),18900.0)</f>
        <v>18900</v>
      </c>
      <c r="I304" s="2" t="str">
        <f>IFERROR(__xludf.DUMMYFUNCTION("""COMPUTED_VALUE"""),"KMC5825 ACRFPV0327")</f>
        <v>KMC5825 ACRFPV0327</v>
      </c>
      <c r="J304" s="2" t="str">
        <f>IFERROR(__xludf.DUMMYFUNCTION("""COMPUTED_VALUE"""),"RTS100167")</f>
        <v>RTS100167</v>
      </c>
      <c r="K304" s="2" t="str">
        <f>IFERROR(__xludf.DUMMYFUNCTION("""COMPUTED_VALUE"""),"R-SERIES 019 PH")</f>
        <v>R-SERIES 019 PH</v>
      </c>
      <c r="L304" s="2" t="str">
        <f>IFERROR(__xludf.DUMMYFUNCTION("""COMPUTED_VALUE"""),"LSGW1750 RMP 24020460")</f>
        <v>LSGW1750 RMP 24020460</v>
      </c>
      <c r="M304" s="2" t="str">
        <f>IFERROR(__xludf.DUMMYFUNCTION("""COMPUTED_VALUE"""),"WDP40 RMP 24030363")</f>
        <v>WDP40 RMP 24030363</v>
      </c>
      <c r="N304" s="2"/>
      <c r="O304" s="2" t="str">
        <f>IFERROR(__xludf.DUMMYFUNCTION("""COMPUTED_VALUE"""),"Agcawilan")</f>
        <v>Agcawilan</v>
      </c>
      <c r="P304" s="2" t="str">
        <f>IFERROR(__xludf.DUMMYFUNCTION("""COMPUTED_VALUE"""),"Lezo")</f>
        <v>Lezo</v>
      </c>
      <c r="Q304" s="2" t="str">
        <f>IFERROR(__xludf.DUMMYFUNCTION("""COMPUTED_VALUE"""),"Aklan")</f>
        <v>Aklan</v>
      </c>
      <c r="R304" s="2">
        <f>IFERROR(__xludf.DUMMYFUNCTION("""COMPUTED_VALUE"""),6.0)</f>
        <v>6</v>
      </c>
      <c r="S304" s="2"/>
      <c r="T304" s="2"/>
    </row>
    <row r="305">
      <c r="A305" s="1">
        <f>IFERROR(__xludf.DUMMYFUNCTION("""COMPUTED_VALUE"""),303.0)</f>
        <v>303</v>
      </c>
      <c r="B305" s="2" t="str">
        <f>IFERROR(__xludf.DUMMYFUNCTION("""COMPUTED_VALUE"""),"Lezo Multi-purpose Cooperative")</f>
        <v>Lezo Multi-purpose Cooperative</v>
      </c>
      <c r="C305" s="2" t="str">
        <f>IFERROR(__xludf.DUMMYFUNCTION("""COMPUTED_VALUE"""),"Poblacion, Lezo, AKLAN")</f>
        <v>Poblacion, Lezo, AKLAN</v>
      </c>
      <c r="D305" s="2" t="str">
        <f>IFERROR(__xludf.DUMMYFUNCTION("""COMPUTED_VALUE"""),"Emelinda R. Dela Cruz")</f>
        <v>Emelinda R. Dela Cruz</v>
      </c>
      <c r="E305" s="2" t="str">
        <f>IFERROR(__xludf.DUMMYFUNCTION("""COMPUTED_VALUE"""),"0918-957-2998")</f>
        <v>0918-957-2998</v>
      </c>
      <c r="F305" s="2" t="str">
        <f>IFERROR(__xludf.DUMMYFUNCTION("""COMPUTED_VALUE"""),"RCEF 23-09-21 Rebidding")</f>
        <v>RCEF 23-09-21 Rebidding</v>
      </c>
      <c r="G305" s="2">
        <f>IFERROR(__xludf.DUMMYFUNCTION("""COMPUTED_VALUE"""),4.0)</f>
        <v>4</v>
      </c>
      <c r="H305" s="2">
        <f>IFERROR(__xludf.DUMMYFUNCTION("""COMPUTED_VALUE"""),18901.0)</f>
        <v>18901</v>
      </c>
      <c r="I305" s="2" t="str">
        <f>IFERROR(__xludf.DUMMYFUNCTION("""COMPUTED_VALUE"""),"KMC5825 ATRFPV0421")</f>
        <v>KMC5825 ATRFPV0421</v>
      </c>
      <c r="J305" s="2" t="str">
        <f>IFERROR(__xludf.DUMMYFUNCTION("""COMPUTED_VALUE"""),"RTS100327")</f>
        <v>RTS100327</v>
      </c>
      <c r="K305" s="2" t="str">
        <f>IFERROR(__xludf.DUMMYFUNCTION("""COMPUTED_VALUE"""),"R-SERIES 125 PH")</f>
        <v>R-SERIES 125 PH</v>
      </c>
      <c r="L305" s="2" t="str">
        <f>IFERROR(__xludf.DUMMYFUNCTION("""COMPUTED_VALUE"""),"LSGW1750 RMP 24020486")</f>
        <v>LSGW1750 RMP 24020486</v>
      </c>
      <c r="M305" s="2" t="str">
        <f>IFERROR(__xludf.DUMMYFUNCTION("""COMPUTED_VALUE"""),"WDP40 RMP 24030342")</f>
        <v>WDP40 RMP 24030342</v>
      </c>
      <c r="N305" s="2"/>
      <c r="O305" s="2" t="str">
        <f>IFERROR(__xludf.DUMMYFUNCTION("""COMPUTED_VALUE"""),"Poblacion")</f>
        <v>Poblacion</v>
      </c>
      <c r="P305" s="2" t="str">
        <f>IFERROR(__xludf.DUMMYFUNCTION("""COMPUTED_VALUE"""),"Lezo")</f>
        <v>Lezo</v>
      </c>
      <c r="Q305" s="2" t="str">
        <f>IFERROR(__xludf.DUMMYFUNCTION("""COMPUTED_VALUE"""),"Aklan")</f>
        <v>Aklan</v>
      </c>
      <c r="R305" s="2">
        <f>IFERROR(__xludf.DUMMYFUNCTION("""COMPUTED_VALUE"""),6.0)</f>
        <v>6</v>
      </c>
      <c r="S305" s="2"/>
      <c r="T305" s="2"/>
    </row>
    <row r="306">
      <c r="A306" s="1">
        <f>IFERROR(__xludf.DUMMYFUNCTION("""COMPUTED_VALUE"""),304.0)</f>
        <v>304</v>
      </c>
      <c r="B306" s="2" t="str">
        <f>IFERROR(__xludf.DUMMYFUNCTION("""COMPUTED_VALUE"""),"DTC-PRO Farmers Irrigators' Association, Inc.")</f>
        <v>DTC-PRO Farmers Irrigators' Association, Inc.</v>
      </c>
      <c r="C306" s="2" t="str">
        <f>IFERROR(__xludf.DUMMYFUNCTION("""COMPUTED_VALUE"""),"Dumga, Makato, AKLAN")</f>
        <v>Dumga, Makato, AKLAN</v>
      </c>
      <c r="D306" s="2" t="str">
        <f>IFERROR(__xludf.DUMMYFUNCTION("""COMPUTED_VALUE"""),"Ramon Togoto")</f>
        <v>Ramon Togoto</v>
      </c>
      <c r="E306" s="2" t="str">
        <f>IFERROR(__xludf.DUMMYFUNCTION("""COMPUTED_VALUE"""),"0909-929-3299")</f>
        <v>0909-929-3299</v>
      </c>
      <c r="F306" s="2" t="str">
        <f>IFERROR(__xludf.DUMMYFUNCTION("""COMPUTED_VALUE"""),"RCEF 23-09-21 Rebidding")</f>
        <v>RCEF 23-09-21 Rebidding</v>
      </c>
      <c r="G306" s="2">
        <f>IFERROR(__xludf.DUMMYFUNCTION("""COMPUTED_VALUE"""),4.0)</f>
        <v>4</v>
      </c>
      <c r="H306" s="2">
        <f>IFERROR(__xludf.DUMMYFUNCTION("""COMPUTED_VALUE"""),18902.0)</f>
        <v>18902</v>
      </c>
      <c r="I306" s="2" t="str">
        <f>IFERROR(__xludf.DUMMYFUNCTION("""COMPUTED_VALUE"""),"KMC5825 AHRFPV0463")</f>
        <v>KMC5825 AHRFPV0463</v>
      </c>
      <c r="J306" s="2" t="str">
        <f>IFERROR(__xludf.DUMMYFUNCTION("""COMPUTED_VALUE"""),"RTS100376")</f>
        <v>RTS100376</v>
      </c>
      <c r="K306" s="2" t="str">
        <f>IFERROR(__xludf.DUMMYFUNCTION("""COMPUTED_VALUE"""),"R-SERIES 274 PH")</f>
        <v>R-SERIES 274 PH</v>
      </c>
      <c r="L306" s="2" t="str">
        <f>IFERROR(__xludf.DUMMYFUNCTION("""COMPUTED_VALUE"""),"LSGW1750 RMP 24020489")</f>
        <v>LSGW1750 RMP 24020489</v>
      </c>
      <c r="M306" s="2" t="str">
        <f>IFERROR(__xludf.DUMMYFUNCTION("""COMPUTED_VALUE"""),"WDP40 RMP 24040397")</f>
        <v>WDP40 RMP 24040397</v>
      </c>
      <c r="N306" s="2"/>
      <c r="O306" s="2" t="str">
        <f>IFERROR(__xludf.DUMMYFUNCTION("""COMPUTED_VALUE"""),"Dumga")</f>
        <v>Dumga</v>
      </c>
      <c r="P306" s="2" t="str">
        <f>IFERROR(__xludf.DUMMYFUNCTION("""COMPUTED_VALUE"""),"Makato")</f>
        <v>Makato</v>
      </c>
      <c r="Q306" s="2" t="str">
        <f>IFERROR(__xludf.DUMMYFUNCTION("""COMPUTED_VALUE"""),"Aklan")</f>
        <v>Aklan</v>
      </c>
      <c r="R306" s="2">
        <f>IFERROR(__xludf.DUMMYFUNCTION("""COMPUTED_VALUE"""),6.0)</f>
        <v>6</v>
      </c>
      <c r="S306" s="2"/>
      <c r="T306" s="2"/>
    </row>
    <row r="307">
      <c r="A307" s="1">
        <f>IFERROR(__xludf.DUMMYFUNCTION("""COMPUTED_VALUE"""),305.0)</f>
        <v>305</v>
      </c>
      <c r="B307" s="2" t="str">
        <f>IFERROR(__xludf.DUMMYFUNCTION("""COMPUTED_VALUE"""),"Navitas Farmer's Association (NFA)")</f>
        <v>Navitas Farmer's Association (NFA)</v>
      </c>
      <c r="C307" s="2" t="str">
        <f>IFERROR(__xludf.DUMMYFUNCTION("""COMPUTED_VALUE"""),"Navitas, Malinao, AKLAN")</f>
        <v>Navitas, Malinao, AKLAN</v>
      </c>
      <c r="D307" s="2" t="str">
        <f>IFERROR(__xludf.DUMMYFUNCTION("""COMPUTED_VALUE"""),"Rose Melinda Odorita")</f>
        <v>Rose Melinda Odorita</v>
      </c>
      <c r="E307" s="2" t="str">
        <f>IFERROR(__xludf.DUMMYFUNCTION("""COMPUTED_VALUE"""),"0946-380-6871")</f>
        <v>0946-380-6871</v>
      </c>
      <c r="F307" s="2" t="str">
        <f>IFERROR(__xludf.DUMMYFUNCTION("""COMPUTED_VALUE"""),"RCEF 23-09-21 Rebidding")</f>
        <v>RCEF 23-09-21 Rebidding</v>
      </c>
      <c r="G307" s="2">
        <f>IFERROR(__xludf.DUMMYFUNCTION("""COMPUTED_VALUE"""),4.0)</f>
        <v>4</v>
      </c>
      <c r="H307" s="2">
        <f>IFERROR(__xludf.DUMMYFUNCTION("""COMPUTED_VALUE"""),18903.0)</f>
        <v>18903</v>
      </c>
      <c r="I307" s="2" t="str">
        <f>IFERROR(__xludf.DUMMYFUNCTION("""COMPUTED_VALUE"""),"KMC5825AHRFPV0379")</f>
        <v>KMC5825AHRFPV0379</v>
      </c>
      <c r="J307" s="2" t="str">
        <f>IFERROR(__xludf.DUMMYFUNCTION("""COMPUTED_VALUE"""),"RTS100263")</f>
        <v>RTS100263</v>
      </c>
      <c r="K307" s="2" t="str">
        <f>IFERROR(__xludf.DUMMYFUNCTION("""COMPUTED_VALUE"""),"R-SERIES 120 PH")</f>
        <v>R-SERIES 120 PH</v>
      </c>
      <c r="L307" s="2" t="str">
        <f>IFERROR(__xludf.DUMMYFUNCTION("""COMPUTED_VALUE"""),"LSGW1750 RMP 24020459")</f>
        <v>LSGW1750 RMP 24020459</v>
      </c>
      <c r="M307" s="2" t="str">
        <f>IFERROR(__xludf.DUMMYFUNCTION("""COMPUTED_VALUE"""),"WDP40 RMP 24010120")</f>
        <v>WDP40 RMP 24010120</v>
      </c>
      <c r="N307" s="2"/>
      <c r="O307" s="2" t="str">
        <f>IFERROR(__xludf.DUMMYFUNCTION("""COMPUTED_VALUE"""),"Navitas")</f>
        <v>Navitas</v>
      </c>
      <c r="P307" s="2" t="str">
        <f>IFERROR(__xludf.DUMMYFUNCTION("""COMPUTED_VALUE"""),"Malinao")</f>
        <v>Malinao</v>
      </c>
      <c r="Q307" s="2" t="str">
        <f>IFERROR(__xludf.DUMMYFUNCTION("""COMPUTED_VALUE"""),"Aklan")</f>
        <v>Aklan</v>
      </c>
      <c r="R307" s="2">
        <f>IFERROR(__xludf.DUMMYFUNCTION("""COMPUTED_VALUE"""),6.0)</f>
        <v>6</v>
      </c>
      <c r="S307" s="2"/>
      <c r="T307" s="2"/>
    </row>
    <row r="308">
      <c r="A308" s="1">
        <f>IFERROR(__xludf.DUMMYFUNCTION("""COMPUTED_VALUE"""),306.0)</f>
        <v>306</v>
      </c>
      <c r="B308" s="2" t="str">
        <f>IFERROR(__xludf.DUMMYFUNCTION("""COMPUTED_VALUE"""),"Solido Cluster Farmers Association")</f>
        <v>Solido Cluster Farmers Association</v>
      </c>
      <c r="C308" s="2" t="str">
        <f>IFERROR(__xludf.DUMMYFUNCTION("""COMPUTED_VALUE"""),"Solido, Nabas, AKLAN")</f>
        <v>Solido, Nabas, AKLAN</v>
      </c>
      <c r="D308" s="2" t="str">
        <f>IFERROR(__xludf.DUMMYFUNCTION("""COMPUTED_VALUE"""),"Felix Dubrico")</f>
        <v>Felix Dubrico</v>
      </c>
      <c r="E308" s="2" t="str">
        <f>IFERROR(__xludf.DUMMYFUNCTION("""COMPUTED_VALUE"""),"0907-602-9968")</f>
        <v>0907-602-9968</v>
      </c>
      <c r="F308" s="2" t="str">
        <f>IFERROR(__xludf.DUMMYFUNCTION("""COMPUTED_VALUE"""),"RCEF 23-09-21 Rebidding")</f>
        <v>RCEF 23-09-21 Rebidding</v>
      </c>
      <c r="G308" s="2">
        <f>IFERROR(__xludf.DUMMYFUNCTION("""COMPUTED_VALUE"""),4.0)</f>
        <v>4</v>
      </c>
      <c r="H308" s="2">
        <f>IFERROR(__xludf.DUMMYFUNCTION("""COMPUTED_VALUE"""),18904.0)</f>
        <v>18904</v>
      </c>
      <c r="I308" s="2" t="str">
        <f>IFERROR(__xludf.DUMMYFUNCTION("""COMPUTED_VALUE"""),"KMC5825 AKRFPV0325")</f>
        <v>KMC5825 AKRFPV0325</v>
      </c>
      <c r="J308" s="2" t="str">
        <f>IFERROR(__xludf.DUMMYFUNCTION("""COMPUTED_VALUE"""),"RTS100168")</f>
        <v>RTS100168</v>
      </c>
      <c r="K308" s="2" t="str">
        <f>IFERROR(__xludf.DUMMYFUNCTION("""COMPUTED_VALUE"""),"R-SERIES 060 PH")</f>
        <v>R-SERIES 060 PH</v>
      </c>
      <c r="L308" s="2" t="str">
        <f>IFERROR(__xludf.DUMMYFUNCTION("""COMPUTED_VALUE"""),"LSGW1750 RMP 24020483")</f>
        <v>LSGW1750 RMP 24020483</v>
      </c>
      <c r="M308" s="2" t="str">
        <f>IFERROR(__xludf.DUMMYFUNCTION("""COMPUTED_VALUE"""),"WDP40 RMP 24040464")</f>
        <v>WDP40 RMP 24040464</v>
      </c>
      <c r="N308" s="2"/>
      <c r="O308" s="2" t="str">
        <f>IFERROR(__xludf.DUMMYFUNCTION("""COMPUTED_VALUE"""),"Solido")</f>
        <v>Solido</v>
      </c>
      <c r="P308" s="2" t="str">
        <f>IFERROR(__xludf.DUMMYFUNCTION("""COMPUTED_VALUE"""),"Nabas")</f>
        <v>Nabas</v>
      </c>
      <c r="Q308" s="2" t="str">
        <f>IFERROR(__xludf.DUMMYFUNCTION("""COMPUTED_VALUE"""),"Aklan")</f>
        <v>Aklan</v>
      </c>
      <c r="R308" s="2">
        <f>IFERROR(__xludf.DUMMYFUNCTION("""COMPUTED_VALUE"""),6.0)</f>
        <v>6</v>
      </c>
      <c r="S308" s="2"/>
      <c r="T308" s="2"/>
    </row>
    <row r="309">
      <c r="A309" s="1">
        <f>IFERROR(__xludf.DUMMYFUNCTION("""COMPUTED_VALUE"""),307.0)</f>
        <v>307</v>
      </c>
      <c r="B309" s="2" t="str">
        <f>IFERROR(__xludf.DUMMYFUNCTION("""COMPUTED_VALUE"""),"INTEGRATED BARANGAYS OF NUMANCIA MULTI-PURPOSE COOPERATIVE (IBON MPC)")</f>
        <v>INTEGRATED BARANGAYS OF NUMANCIA MULTI-PURPOSE COOPERATIVE (IBON MPC)</v>
      </c>
      <c r="C309" s="2" t="str">
        <f>IFERROR(__xludf.DUMMYFUNCTION("""COMPUTED_VALUE"""),"Pusiw, Numancia, AKLAN")</f>
        <v>Pusiw, Numancia, AKLAN</v>
      </c>
      <c r="D309" s="2" t="str">
        <f>IFERROR(__xludf.DUMMYFUNCTION("""COMPUTED_VALUE"""),"Stineli F. Barrios")</f>
        <v>Stineli F. Barrios</v>
      </c>
      <c r="E309" s="2" t="str">
        <f>IFERROR(__xludf.DUMMYFUNCTION("""COMPUTED_VALUE"""),"0948-151-6655")</f>
        <v>0948-151-6655</v>
      </c>
      <c r="F309" s="2" t="str">
        <f>IFERROR(__xludf.DUMMYFUNCTION("""COMPUTED_VALUE"""),"RCEF 23-09-21 Rebidding")</f>
        <v>RCEF 23-09-21 Rebidding</v>
      </c>
      <c r="G309" s="2">
        <f>IFERROR(__xludf.DUMMYFUNCTION("""COMPUTED_VALUE"""),4.0)</f>
        <v>4</v>
      </c>
      <c r="H309" s="2">
        <f>IFERROR(__xludf.DUMMYFUNCTION("""COMPUTED_VALUE"""),18905.0)</f>
        <v>18905</v>
      </c>
      <c r="I309" s="2" t="str">
        <f>IFERROR(__xludf.DUMMYFUNCTION("""COMPUTED_VALUE"""),"KMC5825 AHRFPV0396")</f>
        <v>KMC5825 AHRFPV0396</v>
      </c>
      <c r="J309" s="2" t="str">
        <f>IFERROR(__xludf.DUMMYFUNCTION("""COMPUTED_VALUE"""),"RTS100291")</f>
        <v>RTS100291</v>
      </c>
      <c r="K309" s="2" t="str">
        <f>IFERROR(__xludf.DUMMYFUNCTION("""COMPUTED_VALUE"""),"R-SERIES 016 PH")</f>
        <v>R-SERIES 016 PH</v>
      </c>
      <c r="L309" s="2" t="str">
        <f>IFERROR(__xludf.DUMMYFUNCTION("""COMPUTED_VALUE"""),"LSGW1750 RMP 24020478")</f>
        <v>LSGW1750 RMP 24020478</v>
      </c>
      <c r="M309" s="2" t="str">
        <f>IFERROR(__xludf.DUMMYFUNCTION("""COMPUTED_VALUE"""),"WDP40 RMP 24010123")</f>
        <v>WDP40 RMP 24010123</v>
      </c>
      <c r="N309" s="2"/>
      <c r="O309" s="2" t="str">
        <f>IFERROR(__xludf.DUMMYFUNCTION("""COMPUTED_VALUE"""),"Pusiw")</f>
        <v>Pusiw</v>
      </c>
      <c r="P309" s="2" t="str">
        <f>IFERROR(__xludf.DUMMYFUNCTION("""COMPUTED_VALUE"""),"Numancia")</f>
        <v>Numancia</v>
      </c>
      <c r="Q309" s="2" t="str">
        <f>IFERROR(__xludf.DUMMYFUNCTION("""COMPUTED_VALUE"""),"Aklan")</f>
        <v>Aklan</v>
      </c>
      <c r="R309" s="2">
        <f>IFERROR(__xludf.DUMMYFUNCTION("""COMPUTED_VALUE"""),6.0)</f>
        <v>6</v>
      </c>
      <c r="S309" s="2"/>
      <c r="T309" s="2"/>
    </row>
    <row r="310">
      <c r="A310" s="1">
        <f>IFERROR(__xludf.DUMMYFUNCTION("""COMPUTED_VALUE"""),308.0)</f>
        <v>308</v>
      </c>
      <c r="B310" s="2" t="str">
        <f>IFERROR(__xludf.DUMMYFUNCTION("""COMPUTED_VALUE"""),"Laguinbanua West Farmers Association")</f>
        <v>Laguinbanua West Farmers Association</v>
      </c>
      <c r="C310" s="2" t="str">
        <f>IFERROR(__xludf.DUMMYFUNCTION("""COMPUTED_VALUE"""),"Laguinbanua West, Numancia, AKLAN")</f>
        <v>Laguinbanua West, Numancia, AKLAN</v>
      </c>
      <c r="D310" s="2" t="str">
        <f>IFERROR(__xludf.DUMMYFUNCTION("""COMPUTED_VALUE"""),"Leonarda B. De Miguel")</f>
        <v>Leonarda B. De Miguel</v>
      </c>
      <c r="E310" s="2" t="str">
        <f>IFERROR(__xludf.DUMMYFUNCTION("""COMPUTED_VALUE"""),"0918-448-2414")</f>
        <v>0918-448-2414</v>
      </c>
      <c r="F310" s="2" t="str">
        <f>IFERROR(__xludf.DUMMYFUNCTION("""COMPUTED_VALUE"""),"RCEF 23-09-21 Rebidding")</f>
        <v>RCEF 23-09-21 Rebidding</v>
      </c>
      <c r="G310" s="2">
        <f>IFERROR(__xludf.DUMMYFUNCTION("""COMPUTED_VALUE"""),4.0)</f>
        <v>4</v>
      </c>
      <c r="H310" s="2">
        <f>IFERROR(__xludf.DUMMYFUNCTION("""COMPUTED_VALUE"""),18906.0)</f>
        <v>18906</v>
      </c>
      <c r="I310" s="2" t="str">
        <f>IFERROR(__xludf.DUMMYFUNCTION("""COMPUTED_VALUE"""),"KMC5825 ALRFPV0381")</f>
        <v>KMC5825 ALRFPV0381</v>
      </c>
      <c r="J310" s="2" t="str">
        <f>IFERROR(__xludf.DUMMYFUNCTION("""COMPUTED_VALUE"""),"RTS100249")</f>
        <v>RTS100249</v>
      </c>
      <c r="K310" s="2" t="str">
        <f>IFERROR(__xludf.DUMMYFUNCTION("""COMPUTED_VALUE"""),"R-SERIES 007 PH")</f>
        <v>R-SERIES 007 PH</v>
      </c>
      <c r="L310" s="2" t="str">
        <f>IFERROR(__xludf.DUMMYFUNCTION("""COMPUTED_VALUE"""),"LSGW1750 RMP 24020476")</f>
        <v>LSGW1750 RMP 24020476</v>
      </c>
      <c r="M310" s="2" t="str">
        <f>IFERROR(__xludf.DUMMYFUNCTION("""COMPUTED_VALUE"""),"WDP40 RMP 24010113")</f>
        <v>WDP40 RMP 24010113</v>
      </c>
      <c r="N310" s="2"/>
      <c r="O310" s="2" t="str">
        <f>IFERROR(__xludf.DUMMYFUNCTION("""COMPUTED_VALUE"""),"Laguinbanua West")</f>
        <v>Laguinbanua West</v>
      </c>
      <c r="P310" s="2" t="str">
        <f>IFERROR(__xludf.DUMMYFUNCTION("""COMPUTED_VALUE"""),"Numancia")</f>
        <v>Numancia</v>
      </c>
      <c r="Q310" s="2" t="str">
        <f>IFERROR(__xludf.DUMMYFUNCTION("""COMPUTED_VALUE"""),"Aklan")</f>
        <v>Aklan</v>
      </c>
      <c r="R310" s="2">
        <f>IFERROR(__xludf.DUMMYFUNCTION("""COMPUTED_VALUE"""),6.0)</f>
        <v>6</v>
      </c>
      <c r="S310" s="2"/>
      <c r="T310" s="2"/>
    </row>
    <row r="311">
      <c r="A311" s="1">
        <f>IFERROR(__xludf.DUMMYFUNCTION("""COMPUTED_VALUE"""),309.0)</f>
        <v>309</v>
      </c>
      <c r="B311" s="2" t="str">
        <f>IFERROR(__xludf.DUMMYFUNCTION("""COMPUTED_VALUE"""),"Lang-ayan Agrarian Reform Farmers Association Inc.")</f>
        <v>Lang-ayan Agrarian Reform Farmers Association Inc.</v>
      </c>
      <c r="C311" s="2" t="str">
        <f>IFERROR(__xludf.DUMMYFUNCTION("""COMPUTED_VALUE"""),"Lang-ayan-Baramban, Currimao, ILOCOS NORTE")</f>
        <v>Lang-ayan-Baramban, Currimao, ILOCOS NORTE</v>
      </c>
      <c r="D311" s="2" t="str">
        <f>IFERROR(__xludf.DUMMYFUNCTION("""COMPUTED_VALUE"""),"Edison S. Yamongan")</f>
        <v>Edison S. Yamongan</v>
      </c>
      <c r="E311" s="2" t="str">
        <f>IFERROR(__xludf.DUMMYFUNCTION("""COMPUTED_VALUE"""),"0930-894-4463")</f>
        <v>0930-894-4463</v>
      </c>
      <c r="F311" s="2" t="str">
        <f>IFERROR(__xludf.DUMMYFUNCTION("""COMPUTED_VALUE"""),"RCEF 23-09-21 Rebidding")</f>
        <v>RCEF 23-09-21 Rebidding</v>
      </c>
      <c r="G311" s="2">
        <f>IFERROR(__xludf.DUMMYFUNCTION("""COMPUTED_VALUE"""),9.0)</f>
        <v>9</v>
      </c>
      <c r="H311" s="2">
        <f>IFERROR(__xludf.DUMMYFUNCTION("""COMPUTED_VALUE"""),18944.0)</f>
        <v>18944</v>
      </c>
      <c r="I311" s="2" t="str">
        <f>IFERROR(__xludf.DUMMYFUNCTION("""COMPUTED_VALUE"""),"KMC5825 AVRFPV0152")</f>
        <v>KMC5825 AVRFPV0152</v>
      </c>
      <c r="J311" s="2" t="str">
        <f>IFERROR(__xludf.DUMMYFUNCTION("""COMPUTED_VALUE"""),"RTS 100079")</f>
        <v>RTS 100079</v>
      </c>
      <c r="K311" s="2" t="str">
        <f>IFERROR(__xludf.DUMMYFUNCTION("""COMPUTED_VALUE"""),"R SERIES 712 PH")</f>
        <v>R SERIES 712 PH</v>
      </c>
      <c r="L311" s="2" t="str">
        <f>IFERROR(__xludf.DUMMYFUNCTION("""COMPUTED_VALUE"""),"LSGW1750 RMP 24010199")</f>
        <v>LSGW1750 RMP 24010199</v>
      </c>
      <c r="M311" s="2" t="str">
        <f>IFERROR(__xludf.DUMMYFUNCTION("""COMPUTED_VALUE"""),"WDP 40 RMP 24010049")</f>
        <v>WDP 40 RMP 24010049</v>
      </c>
      <c r="N311" s="2"/>
      <c r="O311" s="2" t="str">
        <f>IFERROR(__xludf.DUMMYFUNCTION("""COMPUTED_VALUE"""),"Lang-Ayan-Baramban")</f>
        <v>Lang-Ayan-Baramban</v>
      </c>
      <c r="P311" s="2" t="str">
        <f>IFERROR(__xludf.DUMMYFUNCTION("""COMPUTED_VALUE"""),"Currimao")</f>
        <v>Currimao</v>
      </c>
      <c r="Q311" s="2" t="str">
        <f>IFERROR(__xludf.DUMMYFUNCTION("""COMPUTED_VALUE"""),"Ilocos Norte")</f>
        <v>Ilocos Norte</v>
      </c>
      <c r="R311" s="2">
        <f>IFERROR(__xludf.DUMMYFUNCTION("""COMPUTED_VALUE"""),1.0)</f>
        <v>1</v>
      </c>
      <c r="S311" s="2"/>
      <c r="T311" s="2"/>
    </row>
    <row r="312">
      <c r="A312" s="1">
        <f>IFERROR(__xludf.DUMMYFUNCTION("""COMPUTED_VALUE"""),310.0)</f>
        <v>310</v>
      </c>
      <c r="B312" s="2" t="str">
        <f>IFERROR(__xludf.DUMMYFUNCTION("""COMPUTED_VALUE"""),"BURAYOC LINGLINGAY FARMERS ASSOCIATION INC.")</f>
        <v>BURAYOC LINGLINGAY FARMERS ASSOCIATION INC.</v>
      </c>
      <c r="C312" s="2" t="str">
        <f>IFERROR(__xludf.DUMMYFUNCTION("""COMPUTED_VALUE"""),"Burayoc, Pagudpud, ILOCOS NORTE")</f>
        <v>Burayoc, Pagudpud, ILOCOS NORTE</v>
      </c>
      <c r="D312" s="2" t="str">
        <f>IFERROR(__xludf.DUMMYFUNCTION("""COMPUTED_VALUE"""),"Alejandro Aviles")</f>
        <v>Alejandro Aviles</v>
      </c>
      <c r="E312" s="2" t="str">
        <f>IFERROR(__xludf.DUMMYFUNCTION("""COMPUTED_VALUE"""),"0929-824-3865")</f>
        <v>0929-824-3865</v>
      </c>
      <c r="F312" s="2" t="str">
        <f>IFERROR(__xludf.DUMMYFUNCTION("""COMPUTED_VALUE"""),"RCEF 23-09-21 Rebidding")</f>
        <v>RCEF 23-09-21 Rebidding</v>
      </c>
      <c r="G312" s="2">
        <f>IFERROR(__xludf.DUMMYFUNCTION("""COMPUTED_VALUE"""),2.0)</f>
        <v>2</v>
      </c>
      <c r="H312" s="2">
        <f>IFERROR(__xludf.DUMMYFUNCTION("""COMPUTED_VALUE"""),18948.0)</f>
        <v>18948</v>
      </c>
      <c r="I312" s="2" t="str">
        <f>IFERROR(__xludf.DUMMYFUNCTION("""COMPUTED_VALUE"""),"KMC5825 AHRFPV0219")</f>
        <v>KMC5825 AHRFPV0219</v>
      </c>
      <c r="J312" s="2" t="str">
        <f>IFERROR(__xludf.DUMMYFUNCTION("""COMPUTED_VALUE"""),"RTS 100038")</f>
        <v>RTS 100038</v>
      </c>
      <c r="K312" s="2" t="str">
        <f>IFERROR(__xludf.DUMMYFUNCTION("""COMPUTED_VALUE"""),"WR SERIES 727 PH")</f>
        <v>WR SERIES 727 PH</v>
      </c>
      <c r="L312" s="2" t="str">
        <f>IFERROR(__xludf.DUMMYFUNCTION("""COMPUTED_VALUE"""),"LSGW1750 RMP 24010212")</f>
        <v>LSGW1750 RMP 24010212</v>
      </c>
      <c r="M312" s="2" t="str">
        <f>IFERROR(__xludf.DUMMYFUNCTION("""COMPUTED_VALUE"""),"WDP40 RMP 24010067")</f>
        <v>WDP40 RMP 24010067</v>
      </c>
      <c r="N312" s="2"/>
      <c r="O312" s="2" t="str">
        <f>IFERROR(__xludf.DUMMYFUNCTION("""COMPUTED_VALUE"""),"Burayoc")</f>
        <v>Burayoc</v>
      </c>
      <c r="P312" s="2" t="str">
        <f>IFERROR(__xludf.DUMMYFUNCTION("""COMPUTED_VALUE"""),"Pagudpud")</f>
        <v>Pagudpud</v>
      </c>
      <c r="Q312" s="2" t="str">
        <f>IFERROR(__xludf.DUMMYFUNCTION("""COMPUTED_VALUE"""),"Ilocos Norte")</f>
        <v>Ilocos Norte</v>
      </c>
      <c r="R312" s="2">
        <f>IFERROR(__xludf.DUMMYFUNCTION("""COMPUTED_VALUE"""),1.0)</f>
        <v>1</v>
      </c>
      <c r="S312" s="2"/>
      <c r="T312" s="2"/>
    </row>
    <row r="313">
      <c r="A313" s="1">
        <f>IFERROR(__xludf.DUMMYFUNCTION("""COMPUTED_VALUE"""),311.0)</f>
        <v>311</v>
      </c>
      <c r="B313" s="2" t="str">
        <f>IFERROR(__xludf.DUMMYFUNCTION("""COMPUTED_VALUE"""),"BRGY. MAAB-ABACA IRRIGATORS ASSOCIATION INC.")</f>
        <v>BRGY. MAAB-ABACA IRRIGATORS ASSOCIATION INC.</v>
      </c>
      <c r="C313" s="2" t="str">
        <f>IFERROR(__xludf.DUMMYFUNCTION("""COMPUTED_VALUE"""),"Maab-abaca, Piddig, ILOCOS NORTE")</f>
        <v>Maab-abaca, Piddig, ILOCOS NORTE</v>
      </c>
      <c r="D313" s="2" t="str">
        <f>IFERROR(__xludf.DUMMYFUNCTION("""COMPUTED_VALUE"""),"Florentino Soriano Jr.")</f>
        <v>Florentino Soriano Jr.</v>
      </c>
      <c r="E313" s="2" t="str">
        <f>IFERROR(__xludf.DUMMYFUNCTION("""COMPUTED_VALUE"""),"0945-459-1334/0963-993-4898")</f>
        <v>0945-459-1334/0963-993-4898</v>
      </c>
      <c r="F313" s="2" t="str">
        <f>IFERROR(__xludf.DUMMYFUNCTION("""COMPUTED_VALUE"""),"RCEF 23-09-21 Rebidding")</f>
        <v>RCEF 23-09-21 Rebidding</v>
      </c>
      <c r="G313" s="2">
        <f>IFERROR(__xludf.DUMMYFUNCTION("""COMPUTED_VALUE"""),2.0)</f>
        <v>2</v>
      </c>
      <c r="H313" s="2">
        <f>IFERROR(__xludf.DUMMYFUNCTION("""COMPUTED_VALUE"""),18950.0)</f>
        <v>18950</v>
      </c>
      <c r="I313" s="2" t="str">
        <f>IFERROR(__xludf.DUMMYFUNCTION("""COMPUTED_VALUE"""),"KMC5825 APRFPV0243")</f>
        <v>KMC5825 APRFPV0243</v>
      </c>
      <c r="J313" s="2" t="str">
        <f>IFERROR(__xludf.DUMMYFUNCTION("""COMPUTED_VALUE"""),"PTS 100152")</f>
        <v>PTS 100152</v>
      </c>
      <c r="K313" s="2" t="str">
        <f>IFERROR(__xludf.DUMMYFUNCTION("""COMPUTED_VALUE"""),"WR SERIES 729 PH")</f>
        <v>WR SERIES 729 PH</v>
      </c>
      <c r="L313" s="2" t="str">
        <f>IFERROR(__xludf.DUMMYFUNCTION("""COMPUTED_VALUE"""),"LSGW1750 RMP 24010200")</f>
        <v>LSGW1750 RMP 24010200</v>
      </c>
      <c r="M313" s="2" t="str">
        <f>IFERROR(__xludf.DUMMYFUNCTION("""COMPUTED_VALUE"""),"WDP40 RMP 24010065")</f>
        <v>WDP40 RMP 24010065</v>
      </c>
      <c r="N313" s="2"/>
      <c r="O313" s="2" t="str">
        <f>IFERROR(__xludf.DUMMYFUNCTION("""COMPUTED_VALUE"""),"Maab-Abaca")</f>
        <v>Maab-Abaca</v>
      </c>
      <c r="P313" s="2" t="str">
        <f>IFERROR(__xludf.DUMMYFUNCTION("""COMPUTED_VALUE"""),"Piddig")</f>
        <v>Piddig</v>
      </c>
      <c r="Q313" s="2" t="str">
        <f>IFERROR(__xludf.DUMMYFUNCTION("""COMPUTED_VALUE"""),"Ilocos Norte")</f>
        <v>Ilocos Norte</v>
      </c>
      <c r="R313" s="2">
        <f>IFERROR(__xludf.DUMMYFUNCTION("""COMPUTED_VALUE"""),1.0)</f>
        <v>1</v>
      </c>
      <c r="S313" s="2"/>
      <c r="T313" s="2"/>
    </row>
    <row r="314">
      <c r="A314" s="1">
        <f>IFERROR(__xludf.DUMMYFUNCTION("""COMPUTED_VALUE"""),312.0)</f>
        <v>312</v>
      </c>
      <c r="B314" s="2" t="str">
        <f>IFERROR(__xludf.DUMMYFUNCTION("""COMPUTED_VALUE"""),"Baro A RIMAT FARMERS ASSOCIATION INC")</f>
        <v>Baro A RIMAT FARMERS ASSOCIATION INC</v>
      </c>
      <c r="C314" s="2" t="str">
        <f>IFERROR(__xludf.DUMMYFUNCTION("""COMPUTED_VALUE"""),"Pagsanahan Sur, Badoc, ILOCOS NORTE")</f>
        <v>Pagsanahan Sur, Badoc, ILOCOS NORTE</v>
      </c>
      <c r="D314" s="2" t="str">
        <f>IFERROR(__xludf.DUMMYFUNCTION("""COMPUTED_VALUE"""),"#N/A")</f>
        <v>#N/A</v>
      </c>
      <c r="E314" s="2" t="str">
        <f>IFERROR(__xludf.DUMMYFUNCTION("""COMPUTED_VALUE"""),"#N/A")</f>
        <v>#N/A</v>
      </c>
      <c r="F314" s="2" t="str">
        <f>IFERROR(__xludf.DUMMYFUNCTION("""COMPUTED_VALUE"""),"RCEF 23-09-21 Rebidding")</f>
        <v>RCEF 23-09-21 Rebidding</v>
      </c>
      <c r="G314" s="2">
        <f>IFERROR(__xludf.DUMMYFUNCTION("""COMPUTED_VALUE"""),2.0)</f>
        <v>2</v>
      </c>
      <c r="H314" s="2">
        <f>IFERROR(__xludf.DUMMYFUNCTION("""COMPUTED_VALUE"""),18951.0)</f>
        <v>18951</v>
      </c>
      <c r="I314" s="2" t="str">
        <f>IFERROR(__xludf.DUMMYFUNCTION("""COMPUTED_VALUE"""),"KMC5825 ALRFPV0333")</f>
        <v>KMC5825 ALRFPV0333</v>
      </c>
      <c r="J314" s="2" t="str">
        <f>IFERROR(__xludf.DUMMYFUNCTION("""COMPUTED_VALUE"""),"RTS 100162")</f>
        <v>RTS 100162</v>
      </c>
      <c r="K314" s="2" t="str">
        <f>IFERROR(__xludf.DUMMYFUNCTION("""COMPUTED_VALUE"""),"WR SERIES 710 PH")</f>
        <v>WR SERIES 710 PH</v>
      </c>
      <c r="L314" s="2" t="str">
        <f>IFERROR(__xludf.DUMMYFUNCTION("""COMPUTED_VALUE"""),"LSGW1750 RMP 24010206")</f>
        <v>LSGW1750 RMP 24010206</v>
      </c>
      <c r="M314" s="2" t="str">
        <f>IFERROR(__xludf.DUMMYFUNCTION("""COMPUTED_VALUE"""),"WDP40 RMP 24010119")</f>
        <v>WDP40 RMP 24010119</v>
      </c>
      <c r="N314" s="2"/>
      <c r="O314" s="2" t="str">
        <f>IFERROR(__xludf.DUMMYFUNCTION("""COMPUTED_VALUE"""),"Pagsanahan Sur")</f>
        <v>Pagsanahan Sur</v>
      </c>
      <c r="P314" s="2" t="str">
        <f>IFERROR(__xludf.DUMMYFUNCTION("""COMPUTED_VALUE"""),"Badoc")</f>
        <v>Badoc</v>
      </c>
      <c r="Q314" s="2" t="str">
        <f>IFERROR(__xludf.DUMMYFUNCTION("""COMPUTED_VALUE"""),"Ilocos Norte")</f>
        <v>Ilocos Norte</v>
      </c>
      <c r="R314" s="2">
        <f>IFERROR(__xludf.DUMMYFUNCTION("""COMPUTED_VALUE"""),1.0)</f>
        <v>1</v>
      </c>
      <c r="S314" s="2"/>
      <c r="T314" s="2"/>
    </row>
    <row r="315">
      <c r="A315" s="1">
        <f>IFERROR(__xludf.DUMMYFUNCTION("""COMPUTED_VALUE"""),313.0)</f>
        <v>313</v>
      </c>
      <c r="B315" s="2" t="str">
        <f>IFERROR(__xludf.DUMMYFUNCTION("""COMPUTED_VALUE"""),"MANGAPIT MABUTI FARMERS ASSOCIATION INC.")</f>
        <v>MANGAPIT MABUTI FARMERS ASSOCIATION INC.</v>
      </c>
      <c r="C315" s="2" t="str">
        <f>IFERROR(__xludf.DUMMYFUNCTION("""COMPUTED_VALUE"""),"Mabuti, Marcos, ILOCOS NORTE")</f>
        <v>Mabuti, Marcos, ILOCOS NORTE</v>
      </c>
      <c r="D315" s="2" t="str">
        <f>IFERROR(__xludf.DUMMYFUNCTION("""COMPUTED_VALUE"""),"Desiderio M. Valencia")</f>
        <v>Desiderio M. Valencia</v>
      </c>
      <c r="E315" s="2" t="str">
        <f>IFERROR(__xludf.DUMMYFUNCTION("""COMPUTED_VALUE"""),"0966-820-3277")</f>
        <v>0966-820-3277</v>
      </c>
      <c r="F315" s="2" t="str">
        <f>IFERROR(__xludf.DUMMYFUNCTION("""COMPUTED_VALUE"""),"RCEF 23-09-21 Rebidding")</f>
        <v>RCEF 23-09-21 Rebidding</v>
      </c>
      <c r="G315" s="2">
        <f>IFERROR(__xludf.DUMMYFUNCTION("""COMPUTED_VALUE"""),2.0)</f>
        <v>2</v>
      </c>
      <c r="H315" s="2">
        <f>IFERROR(__xludf.DUMMYFUNCTION("""COMPUTED_VALUE"""),18952.0)</f>
        <v>18952</v>
      </c>
      <c r="I315" s="2" t="str">
        <f>IFERROR(__xludf.DUMMYFUNCTION("""COMPUTED_VALUE"""),"KMC5825 ALRFPV0316")</f>
        <v>KMC5825 ALRFPV0316</v>
      </c>
      <c r="J315" s="2" t="str">
        <f>IFERROR(__xludf.DUMMYFUNCTION("""COMPUTED_VALUE"""),"PTS 100208")</f>
        <v>PTS 100208</v>
      </c>
      <c r="K315" s="2" t="str">
        <f>IFERROR(__xludf.DUMMYFUNCTION("""COMPUTED_VALUE"""),"R-SERIES 728 PH")</f>
        <v>R-SERIES 728 PH</v>
      </c>
      <c r="L315" s="2" t="str">
        <f>IFERROR(__xludf.DUMMYFUNCTION("""COMPUTED_VALUE"""),"LSGW1750 RMP 24010204")</f>
        <v>LSGW1750 RMP 24010204</v>
      </c>
      <c r="M315" s="2" t="str">
        <f>IFERROR(__xludf.DUMMYFUNCTION("""COMPUTED_VALUE"""),"WDP40 RMP 24010047")</f>
        <v>WDP40 RMP 24010047</v>
      </c>
      <c r="N315" s="2"/>
      <c r="O315" s="2" t="str">
        <f>IFERROR(__xludf.DUMMYFUNCTION("""COMPUTED_VALUE"""),"Mabuti")</f>
        <v>Mabuti</v>
      </c>
      <c r="P315" s="2" t="str">
        <f>IFERROR(__xludf.DUMMYFUNCTION("""COMPUTED_VALUE"""),"Marcos")</f>
        <v>Marcos</v>
      </c>
      <c r="Q315" s="2" t="str">
        <f>IFERROR(__xludf.DUMMYFUNCTION("""COMPUTED_VALUE"""),"Ilocos Norte")</f>
        <v>Ilocos Norte</v>
      </c>
      <c r="R315" s="2">
        <f>IFERROR(__xludf.DUMMYFUNCTION("""COMPUTED_VALUE"""),1.0)</f>
        <v>1</v>
      </c>
      <c r="S315" s="2"/>
      <c r="T315" s="2"/>
    </row>
    <row r="316">
      <c r="A316" s="1">
        <f>IFERROR(__xludf.DUMMYFUNCTION("""COMPUTED_VALUE"""),314.0)</f>
        <v>314</v>
      </c>
      <c r="B316" s="2" t="str">
        <f>IFERROR(__xludf.DUMMYFUNCTION("""COMPUTED_VALUE"""),"SALANGSANG STO. NIÑO FARMERS ASSOCIATION INC.")</f>
        <v>SALANGSANG STO. NIÑO FARMERS ASSOCIATION INC.</v>
      </c>
      <c r="C316" s="2" t="str">
        <f>IFERROR(__xludf.DUMMYFUNCTION("""COMPUTED_VALUE"""),"Santo Niño, Nueva Era, ILOCOS NORTE")</f>
        <v>Santo Niño, Nueva Era, ILOCOS NORTE</v>
      </c>
      <c r="D316" s="2" t="str">
        <f>IFERROR(__xludf.DUMMYFUNCTION("""COMPUTED_VALUE"""),"Marcos Aguilar")</f>
        <v>Marcos Aguilar</v>
      </c>
      <c r="E316" s="2" t="str">
        <f>IFERROR(__xludf.DUMMYFUNCTION("""COMPUTED_VALUE"""),"0966-640-0469")</f>
        <v>0966-640-0469</v>
      </c>
      <c r="F316" s="2" t="str">
        <f>IFERROR(__xludf.DUMMYFUNCTION("""COMPUTED_VALUE"""),"RCEF 23-09-21 Rebidding")</f>
        <v>RCEF 23-09-21 Rebidding</v>
      </c>
      <c r="G316" s="2">
        <f>IFERROR(__xludf.DUMMYFUNCTION("""COMPUTED_VALUE"""),2.0)</f>
        <v>2</v>
      </c>
      <c r="H316" s="2">
        <f>IFERROR(__xludf.DUMMYFUNCTION("""COMPUTED_VALUE"""),18953.0)</f>
        <v>18953</v>
      </c>
      <c r="I316" s="2" t="str">
        <f>IFERROR(__xludf.DUMMYFUNCTION("""COMPUTED_VALUE"""),"KMC5825 ATRFPV0290")</f>
        <v>KMC5825 ATRFPV0290</v>
      </c>
      <c r="J316" s="2" t="str">
        <f>IFERROR(__xludf.DUMMYFUNCTION("""COMPUTED_VALUE"""),"RTS 100113")</f>
        <v>RTS 100113</v>
      </c>
      <c r="K316" s="2" t="str">
        <f>IFERROR(__xludf.DUMMYFUNCTION("""COMPUTED_VALUE"""),"WR SERIES 722 PH")</f>
        <v>WR SERIES 722 PH</v>
      </c>
      <c r="L316" s="2" t="str">
        <f>IFERROR(__xludf.DUMMYFUNCTION("""COMPUTED_VALUE"""),"LSGW1750 RMP 2401017")</f>
        <v>LSGW1750 RMP 2401017</v>
      </c>
      <c r="M316" s="2" t="str">
        <f>IFERROR(__xludf.DUMMYFUNCTION("""COMPUTED_VALUE"""),"WDP40 RMP 24010152")</f>
        <v>WDP40 RMP 24010152</v>
      </c>
      <c r="N316" s="2"/>
      <c r="O316" s="2" t="str">
        <f>IFERROR(__xludf.DUMMYFUNCTION("""COMPUTED_VALUE"""),"Santo Niño")</f>
        <v>Santo Niño</v>
      </c>
      <c r="P316" s="2" t="str">
        <f>IFERROR(__xludf.DUMMYFUNCTION("""COMPUTED_VALUE"""),"Nueva Era")</f>
        <v>Nueva Era</v>
      </c>
      <c r="Q316" s="2" t="str">
        <f>IFERROR(__xludf.DUMMYFUNCTION("""COMPUTED_VALUE"""),"Ilocos Norte")</f>
        <v>Ilocos Norte</v>
      </c>
      <c r="R316" s="2">
        <f>IFERROR(__xludf.DUMMYFUNCTION("""COMPUTED_VALUE"""),1.0)</f>
        <v>1</v>
      </c>
      <c r="S316" s="2"/>
      <c r="T316" s="2"/>
    </row>
    <row r="317">
      <c r="A317" s="1">
        <f>IFERROR(__xludf.DUMMYFUNCTION("""COMPUTED_VALUE"""),315.0)</f>
        <v>315</v>
      </c>
      <c r="B317" s="2" t="str">
        <f>IFERROR(__xludf.DUMMYFUNCTION("""COMPUTED_VALUE"""),"Linang Farmers Agriculture Cooperative")</f>
        <v>Linang Farmers Agriculture Cooperative</v>
      </c>
      <c r="C317" s="2" t="str">
        <f>IFERROR(__xludf.DUMMYFUNCTION("""COMPUTED_VALUE"""),"Cabagoan, Paoay, ILOCOS NORTE")</f>
        <v>Cabagoan, Paoay, ILOCOS NORTE</v>
      </c>
      <c r="D317" s="2" t="str">
        <f>IFERROR(__xludf.DUMMYFUNCTION("""COMPUTED_VALUE"""),"Ronald Lutap")</f>
        <v>Ronald Lutap</v>
      </c>
      <c r="E317" s="2" t="str">
        <f>IFERROR(__xludf.DUMMYFUNCTION("""COMPUTED_VALUE"""),"0906-286-9495")</f>
        <v>0906-286-9495</v>
      </c>
      <c r="F317" s="2" t="str">
        <f>IFERROR(__xludf.DUMMYFUNCTION("""COMPUTED_VALUE"""),"RCEF 23-09-21 Rebidding")</f>
        <v>RCEF 23-09-21 Rebidding</v>
      </c>
      <c r="G317" s="2">
        <f>IFERROR(__xludf.DUMMYFUNCTION("""COMPUTED_VALUE"""),2.0)</f>
        <v>2</v>
      </c>
      <c r="H317" s="2">
        <f>IFERROR(__xludf.DUMMYFUNCTION("""COMPUTED_VALUE"""),18954.0)</f>
        <v>18954</v>
      </c>
      <c r="I317" s="2" t="str">
        <f>IFERROR(__xludf.DUMMYFUNCTION("""COMPUTED_VALUE"""),"KMC5825 APRFPV0128")</f>
        <v>KMC5825 APRFPV0128</v>
      </c>
      <c r="J317" s="2" t="str">
        <f>IFERROR(__xludf.DUMMYFUNCTION("""COMPUTED_VALUE"""),"PTS 100260")</f>
        <v>PTS 100260</v>
      </c>
      <c r="K317" s="2" t="str">
        <f>IFERROR(__xludf.DUMMYFUNCTION("""COMPUTED_VALUE"""),"WR SERIES 721 PH")</f>
        <v>WR SERIES 721 PH</v>
      </c>
      <c r="L317" s="2" t="str">
        <f>IFERROR(__xludf.DUMMYFUNCTION("""COMPUTED_VALUE"""),"LSGW1750 RMP 24010201")</f>
        <v>LSGW1750 RMP 24010201</v>
      </c>
      <c r="M317" s="2" t="str">
        <f>IFERROR(__xludf.DUMMYFUNCTION("""COMPUTED_VALUE"""),"WDP40 RMP 24010064")</f>
        <v>WDP40 RMP 24010064</v>
      </c>
      <c r="N317" s="2"/>
      <c r="O317" s="2" t="str">
        <f>IFERROR(__xludf.DUMMYFUNCTION("""COMPUTED_VALUE"""),"Cabagoan")</f>
        <v>Cabagoan</v>
      </c>
      <c r="P317" s="2" t="str">
        <f>IFERROR(__xludf.DUMMYFUNCTION("""COMPUTED_VALUE"""),"Paoay")</f>
        <v>Paoay</v>
      </c>
      <c r="Q317" s="2" t="str">
        <f>IFERROR(__xludf.DUMMYFUNCTION("""COMPUTED_VALUE"""),"Ilocos Norte")</f>
        <v>Ilocos Norte</v>
      </c>
      <c r="R317" s="2">
        <f>IFERROR(__xludf.DUMMYFUNCTION("""COMPUTED_VALUE"""),1.0)</f>
        <v>1</v>
      </c>
      <c r="S317" s="2"/>
      <c r="T317" s="2"/>
    </row>
    <row r="318">
      <c r="A318" s="1">
        <f>IFERROR(__xludf.DUMMYFUNCTION("""COMPUTED_VALUE"""),316.0)</f>
        <v>316</v>
      </c>
      <c r="B318" s="2" t="str">
        <f>IFERROR(__xludf.DUMMYFUNCTION("""COMPUTED_VALUE"""),"METRO DALIGAN IRRIGATORS ASSOCIATION")</f>
        <v>METRO DALIGAN IRRIGATORS ASSOCIATION</v>
      </c>
      <c r="C318" s="2" t="str">
        <f>IFERROR(__xludf.DUMMYFUNCTION("""COMPUTED_VALUE"""),"Daligan, Santa Cruz, ILOCOS SUR")</f>
        <v>Daligan, Santa Cruz, ILOCOS SUR</v>
      </c>
      <c r="D318" s="2" t="str">
        <f>IFERROR(__xludf.DUMMYFUNCTION("""COMPUTED_VALUE"""),"EDWIN JANDOC")</f>
        <v>EDWIN JANDOC</v>
      </c>
      <c r="E318" s="2" t="str">
        <f>IFERROR(__xludf.DUMMYFUNCTION("""COMPUTED_VALUE"""),"0956-052-4008")</f>
        <v>0956-052-4008</v>
      </c>
      <c r="F318" s="2" t="str">
        <f>IFERROR(__xludf.DUMMYFUNCTION("""COMPUTED_VALUE"""),"RCEF 23-09-21 Rebidding")</f>
        <v>RCEF 23-09-21 Rebidding</v>
      </c>
      <c r="G318" s="2">
        <f>IFERROR(__xludf.DUMMYFUNCTION("""COMPUTED_VALUE"""),9.0)</f>
        <v>9</v>
      </c>
      <c r="H318" s="2">
        <f>IFERROR(__xludf.DUMMYFUNCTION("""COMPUTED_VALUE"""),18955.0)</f>
        <v>18955</v>
      </c>
      <c r="I318" s="2" t="str">
        <f>IFERROR(__xludf.DUMMYFUNCTION("""COMPUTED_VALUE"""),"KMC5825 ACRFPV0403")</f>
        <v>KMC5825 ACRFPV0403</v>
      </c>
      <c r="J318" s="2" t="str">
        <f>IFERROR(__xludf.DUMMYFUNCTION("""COMPUTED_VALUE"""),"RTS100317")</f>
        <v>RTS100317</v>
      </c>
      <c r="K318" s="2" t="str">
        <f>IFERROR(__xludf.DUMMYFUNCTION("""COMPUTED_VALUE"""),"R-SERIES 366 PH")</f>
        <v>R-SERIES 366 PH</v>
      </c>
      <c r="L318" s="2" t="str">
        <f>IFERROR(__xludf.DUMMYFUNCTION("""COMPUTED_VALUE"""),"LSGW1750 RMP 24020440")</f>
        <v>LSGW1750 RMP 24020440</v>
      </c>
      <c r="M318" s="2" t="str">
        <f>IFERROR(__xludf.DUMMYFUNCTION("""COMPUTED_VALUE"""),"WDP40 RMP 24030368")</f>
        <v>WDP40 RMP 24030368</v>
      </c>
      <c r="N318" s="2"/>
      <c r="O318" s="2" t="str">
        <f>IFERROR(__xludf.DUMMYFUNCTION("""COMPUTED_VALUE"""),"Daligan")</f>
        <v>Daligan</v>
      </c>
      <c r="P318" s="2" t="str">
        <f>IFERROR(__xludf.DUMMYFUNCTION("""COMPUTED_VALUE"""),"Santa Cruz")</f>
        <v>Santa Cruz</v>
      </c>
      <c r="Q318" s="2" t="str">
        <f>IFERROR(__xludf.DUMMYFUNCTION("""COMPUTED_VALUE"""),"Ilocos Sur")</f>
        <v>Ilocos Sur</v>
      </c>
      <c r="R318" s="2">
        <f>IFERROR(__xludf.DUMMYFUNCTION("""COMPUTED_VALUE"""),1.0)</f>
        <v>1</v>
      </c>
      <c r="S318" s="2"/>
      <c r="T318" s="2"/>
    </row>
    <row r="319">
      <c r="A319" s="1">
        <f>IFERROR(__xludf.DUMMYFUNCTION("""COMPUTED_VALUE"""),317.0)</f>
        <v>317</v>
      </c>
      <c r="B319" s="2" t="str">
        <f>IFERROR(__xludf.DUMMYFUNCTION("""COMPUTED_VALUE"""),"SUYO STA. CRUZ FARMERS ASSOCIATION INC.")</f>
        <v>SUYO STA. CRUZ FARMERS ASSOCIATION INC.</v>
      </c>
      <c r="C319" s="2" t="str">
        <f>IFERROR(__xludf.DUMMYFUNCTION("""COMPUTED_VALUE"""),"Suyo, Santa Cruz, ILOCOS SUR")</f>
        <v>Suyo, Santa Cruz, ILOCOS SUR</v>
      </c>
      <c r="D319" s="2" t="str">
        <f>IFERROR(__xludf.DUMMYFUNCTION("""COMPUTED_VALUE"""),"JAMES TEJADA")</f>
        <v>JAMES TEJADA</v>
      </c>
      <c r="E319" s="2" t="str">
        <f>IFERROR(__xludf.DUMMYFUNCTION("""COMPUTED_VALUE"""),"0950-952-3742")</f>
        <v>0950-952-3742</v>
      </c>
      <c r="F319" s="2" t="str">
        <f>IFERROR(__xludf.DUMMYFUNCTION("""COMPUTED_VALUE"""),"RCEF 23-09-21 Rebidding")</f>
        <v>RCEF 23-09-21 Rebidding</v>
      </c>
      <c r="G319" s="2">
        <f>IFERROR(__xludf.DUMMYFUNCTION("""COMPUTED_VALUE"""),9.0)</f>
        <v>9</v>
      </c>
      <c r="H319" s="2">
        <f>IFERROR(__xludf.DUMMYFUNCTION("""COMPUTED_VALUE"""),18956.0)</f>
        <v>18956</v>
      </c>
      <c r="I319" s="2" t="str">
        <f>IFERROR(__xludf.DUMMYFUNCTION("""COMPUTED_VALUE"""),"KMC5825 AHRFPV0513")</f>
        <v>KMC5825 AHRFPV0513</v>
      </c>
      <c r="J319" s="2" t="str">
        <f>IFERROR(__xludf.DUMMYFUNCTION("""COMPUTED_VALUE"""),"RTS100426")</f>
        <v>RTS100426</v>
      </c>
      <c r="K319" s="2" t="str">
        <f>IFERROR(__xludf.DUMMYFUNCTION("""COMPUTED_VALUE"""),"R-SERIES 364 PH")</f>
        <v>R-SERIES 364 PH</v>
      </c>
      <c r="L319" s="2" t="str">
        <f>IFERROR(__xludf.DUMMYFUNCTION("""COMPUTED_VALUE"""),"LSGW1750 RMP 24020408")</f>
        <v>LSGW1750 RMP 24020408</v>
      </c>
      <c r="M319" s="2" t="str">
        <f>IFERROR(__xludf.DUMMYFUNCTION("""COMPUTED_VALUE"""),"WDP40 RMP 24010066")</f>
        <v>WDP40 RMP 24010066</v>
      </c>
      <c r="N319" s="2"/>
      <c r="O319" s="2" t="str">
        <f>IFERROR(__xludf.DUMMYFUNCTION("""COMPUTED_VALUE"""),"Suyo")</f>
        <v>Suyo</v>
      </c>
      <c r="P319" s="2" t="str">
        <f>IFERROR(__xludf.DUMMYFUNCTION("""COMPUTED_VALUE"""),"Santa Cruz")</f>
        <v>Santa Cruz</v>
      </c>
      <c r="Q319" s="2" t="str">
        <f>IFERROR(__xludf.DUMMYFUNCTION("""COMPUTED_VALUE"""),"Ilocos Sur")</f>
        <v>Ilocos Sur</v>
      </c>
      <c r="R319" s="2">
        <f>IFERROR(__xludf.DUMMYFUNCTION("""COMPUTED_VALUE"""),1.0)</f>
        <v>1</v>
      </c>
      <c r="S319" s="2"/>
      <c r="T319" s="2"/>
    </row>
    <row r="320">
      <c r="A320" s="1">
        <f>IFERROR(__xludf.DUMMYFUNCTION("""COMPUTED_VALUE"""),318.0)</f>
        <v>318</v>
      </c>
      <c r="B320" s="2" t="str">
        <f>IFERROR(__xludf.DUMMYFUNCTION("""COMPUTED_VALUE"""),"Cuantacla Farmers Association Inc.")</f>
        <v>Cuantacla Farmers Association Inc.</v>
      </c>
      <c r="C320" s="2" t="str">
        <f>IFERROR(__xludf.DUMMYFUNCTION("""COMPUTED_VALUE"""),"Cuantacla, Cabugao, Ilocos Sur")</f>
        <v>Cuantacla, Cabugao, Ilocos Sur</v>
      </c>
      <c r="D320" s="2" t="str">
        <f>IFERROR(__xludf.DUMMYFUNCTION("""COMPUTED_VALUE"""),"Rusvel J. Palpal-latoc")</f>
        <v>Rusvel J. Palpal-latoc</v>
      </c>
      <c r="E320" s="2" t="str">
        <f>IFERROR(__xludf.DUMMYFUNCTION("""COMPUTED_VALUE"""),"0995-464-6517")</f>
        <v>0995-464-6517</v>
      </c>
      <c r="F320" s="2" t="str">
        <f>IFERROR(__xludf.DUMMYFUNCTION("""COMPUTED_VALUE"""),"RCEF 23-09-21 Rebidding")</f>
        <v>RCEF 23-09-21 Rebidding</v>
      </c>
      <c r="G320" s="2">
        <f>IFERROR(__xludf.DUMMYFUNCTION("""COMPUTED_VALUE"""),2.0)</f>
        <v>2</v>
      </c>
      <c r="H320" s="2">
        <f>IFERROR(__xludf.DUMMYFUNCTION("""COMPUTED_VALUE"""),18957.0)</f>
        <v>18957</v>
      </c>
      <c r="I320" s="2" t="str">
        <f>IFERROR(__xludf.DUMMYFUNCTION("""COMPUTED_VALUE"""),"KMC5825 ATRFPV0760")</f>
        <v>KMC5825 ATRFPV0760</v>
      </c>
      <c r="J320" s="2" t="str">
        <f>IFERROR(__xludf.DUMMYFUNCTION("""COMPUTED_VALUE"""),"RTS 100479")</f>
        <v>RTS 100479</v>
      </c>
      <c r="K320" s="2" t="str">
        <f>IFERROR(__xludf.DUMMYFUNCTION("""COMPUTED_VALUE"""),"R-SERIES 794 PH")</f>
        <v>R-SERIES 794 PH</v>
      </c>
      <c r="L320" s="2" t="str">
        <f>IFERROR(__xludf.DUMMYFUNCTION("""COMPUTED_VALUE"""),"LSGW -1750 -RMP- 24010122")</f>
        <v>LSGW -1750 -RMP- 24010122</v>
      </c>
      <c r="M320" s="2" t="str">
        <f>IFERROR(__xludf.DUMMYFUNCTION("""COMPUTED_VALUE"""),"WDP40 - RMP - 24050558")</f>
        <v>WDP40 - RMP - 24050558</v>
      </c>
      <c r="N320" s="2"/>
      <c r="O320" s="2" t="str">
        <f>IFERROR(__xludf.DUMMYFUNCTION("""COMPUTED_VALUE"""),"Cuantacla")</f>
        <v>Cuantacla</v>
      </c>
      <c r="P320" s="2" t="str">
        <f>IFERROR(__xludf.DUMMYFUNCTION("""COMPUTED_VALUE"""),"Cabugao")</f>
        <v>Cabugao</v>
      </c>
      <c r="Q320" s="2" t="str">
        <f>IFERROR(__xludf.DUMMYFUNCTION("""COMPUTED_VALUE"""),"Ilocos Sur")</f>
        <v>Ilocos Sur</v>
      </c>
      <c r="R320" s="2">
        <f>IFERROR(__xludf.DUMMYFUNCTION("""COMPUTED_VALUE"""),1.0)</f>
        <v>1</v>
      </c>
      <c r="S320" s="2"/>
      <c r="T320" s="2"/>
    </row>
    <row r="321">
      <c r="A321" s="1">
        <f>IFERROR(__xludf.DUMMYFUNCTION("""COMPUTED_VALUE"""),319.0)</f>
        <v>319</v>
      </c>
      <c r="B321" s="2" t="str">
        <f>IFERROR(__xludf.DUMMYFUNCTION("""COMPUTED_VALUE"""),"Free Farmers Multi Purpose Cooperative")</f>
        <v>Free Farmers Multi Purpose Cooperative</v>
      </c>
      <c r="C321" s="2" t="str">
        <f>IFERROR(__xludf.DUMMYFUNCTION("""COMPUTED_VALUE"""),"SAYAGADEN, CABUGAO, ILOCOS SUR")</f>
        <v>SAYAGADEN, CABUGAO, ILOCOS SUR</v>
      </c>
      <c r="D321" s="2" t="str">
        <f>IFERROR(__xludf.DUMMYFUNCTION("""COMPUTED_VALUE"""),"Benedicto Satumba")</f>
        <v>Benedicto Satumba</v>
      </c>
      <c r="E321" s="2" t="str">
        <f>IFERROR(__xludf.DUMMYFUNCTION("""COMPUTED_VALUE"""),"0997 780 8595")</f>
        <v>0997 780 8595</v>
      </c>
      <c r="F321" s="2" t="str">
        <f>IFERROR(__xludf.DUMMYFUNCTION("""COMPUTED_VALUE"""),"RCEF 23-09-21 Rebidding")</f>
        <v>RCEF 23-09-21 Rebidding</v>
      </c>
      <c r="G321" s="2">
        <f>IFERROR(__xludf.DUMMYFUNCTION("""COMPUTED_VALUE"""),2.0)</f>
        <v>2</v>
      </c>
      <c r="H321" s="2">
        <f>IFERROR(__xludf.DUMMYFUNCTION("""COMPUTED_VALUE"""),18958.0)</f>
        <v>18958</v>
      </c>
      <c r="I321" s="2" t="str">
        <f>IFERROR(__xludf.DUMMYFUNCTION("""COMPUTED_VALUE"""),"KMC5825AVRFPV0653")</f>
        <v>KMC5825AVRFPV0653</v>
      </c>
      <c r="J321" s="2" t="str">
        <f>IFERROR(__xludf.DUMMYFUNCTION("""COMPUTED_VALUE"""),"RTS100540")</f>
        <v>RTS100540</v>
      </c>
      <c r="K321" s="2" t="str">
        <f>IFERROR(__xludf.DUMMYFUNCTION("""COMPUTED_VALUE"""),"R-SERIES 803 PH")</f>
        <v>R-SERIES 803 PH</v>
      </c>
      <c r="L321" s="2" t="str">
        <f>IFERROR(__xludf.DUMMYFUNCTION("""COMPUTED_VALUE"""),"LSGW-1750-RMP-24010120")</f>
        <v>LSGW-1750-RMP-24010120</v>
      </c>
      <c r="M321" s="2" t="str">
        <f>IFERROR(__xludf.DUMMYFUNCTION("""COMPUTED_VALUE"""),"WDP40 RMP 24050616")</f>
        <v>WDP40 RMP 24050616</v>
      </c>
      <c r="N321" s="2"/>
      <c r="O321" s="2" t="str">
        <f>IFERROR(__xludf.DUMMYFUNCTION("""COMPUTED_VALUE"""),"Sayagaden")</f>
        <v>Sayagaden</v>
      </c>
      <c r="P321" s="2" t="str">
        <f>IFERROR(__xludf.DUMMYFUNCTION("""COMPUTED_VALUE"""),"Cabugao")</f>
        <v>Cabugao</v>
      </c>
      <c r="Q321" s="2" t="str">
        <f>IFERROR(__xludf.DUMMYFUNCTION("""COMPUTED_VALUE"""),"Ilocos Sur")</f>
        <v>Ilocos Sur</v>
      </c>
      <c r="R321" s="2">
        <f>IFERROR(__xludf.DUMMYFUNCTION("""COMPUTED_VALUE"""),1.0)</f>
        <v>1</v>
      </c>
      <c r="S321" s="2"/>
      <c r="T321" s="2"/>
    </row>
    <row r="322">
      <c r="A322" s="1">
        <f>IFERROR(__xludf.DUMMYFUNCTION("""COMPUTED_VALUE"""),320.0)</f>
        <v>320</v>
      </c>
      <c r="B322" s="2" t="str">
        <f>IFERROR(__xludf.DUMMYFUNCTION("""COMPUTED_VALUE"""),"Brgy. Caraisan Farmers Association Incorporated")</f>
        <v>Brgy. Caraisan Farmers Association Incorporated</v>
      </c>
      <c r="C322" s="2" t="str">
        <f>IFERROR(__xludf.DUMMYFUNCTION("""COMPUTED_VALUE"""),"CARAISAN, MAGSINGAL, ILOCOS SUR")</f>
        <v>CARAISAN, MAGSINGAL, ILOCOS SUR</v>
      </c>
      <c r="D322" s="2" t="str">
        <f>IFERROR(__xludf.DUMMYFUNCTION("""COMPUTED_VALUE"""),"Felipe Urata")</f>
        <v>Felipe Urata</v>
      </c>
      <c r="E322" s="2" t="str">
        <f>IFERROR(__xludf.DUMMYFUNCTION("""COMPUTED_VALUE"""),"0945-457-5019")</f>
        <v>0945-457-5019</v>
      </c>
      <c r="F322" s="2" t="str">
        <f>IFERROR(__xludf.DUMMYFUNCTION("""COMPUTED_VALUE"""),"RCEF 23-09-21 Rebidding")</f>
        <v>RCEF 23-09-21 Rebidding</v>
      </c>
      <c r="G322" s="2">
        <f>IFERROR(__xludf.DUMMYFUNCTION("""COMPUTED_VALUE"""),2.0)</f>
        <v>2</v>
      </c>
      <c r="H322" s="2">
        <f>IFERROR(__xludf.DUMMYFUNCTION("""COMPUTED_VALUE"""),18959.0)</f>
        <v>18959</v>
      </c>
      <c r="I322" s="2" t="str">
        <f>IFERROR(__xludf.DUMMYFUNCTION("""COMPUTED_VALUE"""),"KMC5825ACRFPV0697")</f>
        <v>KMC5825ACRFPV0697</v>
      </c>
      <c r="J322" s="2" t="str">
        <f>IFERROR(__xludf.DUMMYFUNCTION("""COMPUTED_VALUE"""),"RTS 100576")</f>
        <v>RTS 100576</v>
      </c>
      <c r="K322" s="2" t="str">
        <f>IFERROR(__xludf.DUMMYFUNCTION("""COMPUTED_VALUE"""),"R- SERIES 795 PPH")</f>
        <v>R- SERIES 795 PPH</v>
      </c>
      <c r="L322" s="2" t="str">
        <f>IFERROR(__xludf.DUMMYFUNCTION("""COMPUTED_VALUE"""),"LSGW1750-RMP-24010119")</f>
        <v>LSGW1750-RMP-24010119</v>
      </c>
      <c r="M322" s="2" t="str">
        <f>IFERROR(__xludf.DUMMYFUNCTION("""COMPUTED_VALUE"""),"WDP40 RMP 24050560")</f>
        <v>WDP40 RMP 24050560</v>
      </c>
      <c r="N322" s="2"/>
      <c r="O322" s="2" t="str">
        <f>IFERROR(__xludf.DUMMYFUNCTION("""COMPUTED_VALUE"""),"Caraisan")</f>
        <v>Caraisan</v>
      </c>
      <c r="P322" s="2" t="str">
        <f>IFERROR(__xludf.DUMMYFUNCTION("""COMPUTED_VALUE"""),"Magsingal")</f>
        <v>Magsingal</v>
      </c>
      <c r="Q322" s="2" t="str">
        <f>IFERROR(__xludf.DUMMYFUNCTION("""COMPUTED_VALUE"""),"Ilocos Sur")</f>
        <v>Ilocos Sur</v>
      </c>
      <c r="R322" s="2">
        <f>IFERROR(__xludf.DUMMYFUNCTION("""COMPUTED_VALUE"""),1.0)</f>
        <v>1</v>
      </c>
      <c r="S322" s="2"/>
      <c r="T322" s="2"/>
    </row>
    <row r="323">
      <c r="A323" s="1">
        <f>IFERROR(__xludf.DUMMYFUNCTION("""COMPUTED_VALUE"""),321.0)</f>
        <v>321</v>
      </c>
      <c r="B323" s="2" t="str">
        <f>IFERROR(__xludf.DUMMYFUNCTION("""COMPUTED_VALUE"""),"Municipal Local Government Unit of Sto. Domingo")</f>
        <v>Municipal Local Government Unit of Sto. Domingo</v>
      </c>
      <c r="C323" s="2" t="str">
        <f>IFERROR(__xludf.DUMMYFUNCTION("""COMPUTED_VALUE"""),"POBLACION , STO DOMINGO, ILOCOS SUR")</f>
        <v>POBLACION , STO DOMINGO, ILOCOS SUR</v>
      </c>
      <c r="D323" s="2" t="str">
        <f>IFERROR(__xludf.DUMMYFUNCTION("""COMPUTED_VALUE"""),"Bryan Dexter V. Tadena")</f>
        <v>Bryan Dexter V. Tadena</v>
      </c>
      <c r="E323" s="2" t="str">
        <f>IFERROR(__xludf.DUMMYFUNCTION("""COMPUTED_VALUE"""),"0927-431-5144 (MA - Randy Reburon)")</f>
        <v>0927-431-5144 (MA - Randy Reburon)</v>
      </c>
      <c r="F323" s="2" t="str">
        <f>IFERROR(__xludf.DUMMYFUNCTION("""COMPUTED_VALUE"""),"RCEF 23-09-21 Rebidding")</f>
        <v>RCEF 23-09-21 Rebidding</v>
      </c>
      <c r="G323" s="2">
        <f>IFERROR(__xludf.DUMMYFUNCTION("""COMPUTED_VALUE"""),2.0)</f>
        <v>2</v>
      </c>
      <c r="H323" s="2">
        <f>IFERROR(__xludf.DUMMYFUNCTION("""COMPUTED_VALUE"""),18960.0)</f>
        <v>18960</v>
      </c>
      <c r="I323" s="2" t="str">
        <f>IFERROR(__xludf.DUMMYFUNCTION("""COMPUTED_VALUE"""),"KMC5825AKRFPV0700")</f>
        <v>KMC5825AKRFPV0700</v>
      </c>
      <c r="J323" s="2" t="str">
        <f>IFERROR(__xludf.DUMMYFUNCTION("""COMPUTED_VALUE"""),"RTS100201")</f>
        <v>RTS100201</v>
      </c>
      <c r="K323" s="2" t="str">
        <f>IFERROR(__xludf.DUMMYFUNCTION("""COMPUTED_VALUE"""),"R-SERIES 801")</f>
        <v>R-SERIES 801</v>
      </c>
      <c r="L323" s="2" t="str">
        <f>IFERROR(__xludf.DUMMYFUNCTION("""COMPUTED_VALUE"""),"LSGW1750-RMP-24010131")</f>
        <v>LSGW1750-RMP-24010131</v>
      </c>
      <c r="M323" s="2" t="str">
        <f>IFERROR(__xludf.DUMMYFUNCTION("""COMPUTED_VALUE"""),"WDSP40-RMP-24050556")</f>
        <v>WDSP40-RMP-24050556</v>
      </c>
      <c r="N323" s="2"/>
      <c r="O323" s="2" t="str">
        <f>IFERROR(__xludf.DUMMYFUNCTION("""COMPUTED_VALUE"""),"Poblacion")</f>
        <v>Poblacion</v>
      </c>
      <c r="P323" s="2" t="str">
        <f>IFERROR(__xludf.DUMMYFUNCTION("""COMPUTED_VALUE"""),"Sto Domingo")</f>
        <v>Sto Domingo</v>
      </c>
      <c r="Q323" s="2" t="str">
        <f>IFERROR(__xludf.DUMMYFUNCTION("""COMPUTED_VALUE"""),"Ilocos Sur")</f>
        <v>Ilocos Sur</v>
      </c>
      <c r="R323" s="2">
        <f>IFERROR(__xludf.DUMMYFUNCTION("""COMPUTED_VALUE"""),1.0)</f>
        <v>1</v>
      </c>
      <c r="S323" s="2"/>
      <c r="T323" s="2"/>
    </row>
    <row r="324">
      <c r="A324" s="1">
        <f>IFERROR(__xludf.DUMMYFUNCTION("""COMPUTED_VALUE"""),322.0)</f>
        <v>322</v>
      </c>
      <c r="B324" s="2" t="str">
        <f>IFERROR(__xludf.DUMMYFUNCTION("""COMPUTED_VALUE"""),"Municipal Local Government Unit of Gregorio Del Pilar")</f>
        <v>Municipal Local Government Unit of Gregorio Del Pilar</v>
      </c>
      <c r="C324" s="2" t="str">
        <f>IFERROR(__xludf.DUMMYFUNCTION("""COMPUTED_VALUE"""),"POBLACION SUR, GREGORI0O DEL PILAR, ILOCOS SUR")</f>
        <v>POBLACION SUR, GREGORI0O DEL PILAR, ILOCOS SUR</v>
      </c>
      <c r="D324" s="2" t="str">
        <f>IFERROR(__xludf.DUMMYFUNCTION("""COMPUTED_VALUE"""),"Henry S. Gallardo")</f>
        <v>Henry S. Gallardo</v>
      </c>
      <c r="E324" s="2" t="str">
        <f>IFERROR(__xludf.DUMMYFUNCTION("""COMPUTED_VALUE"""),"0926-163-9175")</f>
        <v>0926-163-9175</v>
      </c>
      <c r="F324" s="2" t="str">
        <f>IFERROR(__xludf.DUMMYFUNCTION("""COMPUTED_VALUE"""),"RCEF 23-09-21 Rebidding")</f>
        <v>RCEF 23-09-21 Rebidding</v>
      </c>
      <c r="G324" s="2">
        <f>IFERROR(__xludf.DUMMYFUNCTION("""COMPUTED_VALUE"""),2.0)</f>
        <v>2</v>
      </c>
      <c r="H324" s="2">
        <f>IFERROR(__xludf.DUMMYFUNCTION("""COMPUTED_VALUE"""),18961.0)</f>
        <v>18961</v>
      </c>
      <c r="I324" s="2" t="str">
        <f>IFERROR(__xludf.DUMMYFUNCTION("""COMPUTED_VALUE"""),"KMC5825AKPFPV0759")</f>
        <v>KMC5825AKPFPV0759</v>
      </c>
      <c r="J324" s="2" t="str">
        <f>IFERROR(__xludf.DUMMYFUNCTION("""COMPUTED_VALUE"""),"RTS100478")</f>
        <v>RTS100478</v>
      </c>
      <c r="K324" s="2" t="str">
        <f>IFERROR(__xludf.DUMMYFUNCTION("""COMPUTED_VALUE"""),"R-SERIES 781")</f>
        <v>R-SERIES 781</v>
      </c>
      <c r="L324" s="2" t="str">
        <f>IFERROR(__xludf.DUMMYFUNCTION("""COMPUTED_VALUE"""),"LSGW1750-RMP-24010106")</f>
        <v>LSGW1750-RMP-24010106</v>
      </c>
      <c r="M324" s="2" t="str">
        <f>IFERROR(__xludf.DUMMYFUNCTION("""COMPUTED_VALUE"""),"WDSP40-RMP-24050549")</f>
        <v>WDSP40-RMP-24050549</v>
      </c>
      <c r="N324" s="2"/>
      <c r="O324" s="2" t="str">
        <f>IFERROR(__xludf.DUMMYFUNCTION("""COMPUTED_VALUE"""),"Poblacion Sur")</f>
        <v>Poblacion Sur</v>
      </c>
      <c r="P324" s="2" t="str">
        <f>IFERROR(__xludf.DUMMYFUNCTION("""COMPUTED_VALUE"""),"Gregori0O Del Pilar")</f>
        <v>Gregori0O Del Pilar</v>
      </c>
      <c r="Q324" s="2" t="str">
        <f>IFERROR(__xludf.DUMMYFUNCTION("""COMPUTED_VALUE"""),"Ilocos Sur")</f>
        <v>Ilocos Sur</v>
      </c>
      <c r="R324" s="2">
        <f>IFERROR(__xludf.DUMMYFUNCTION("""COMPUTED_VALUE"""),1.0)</f>
        <v>1</v>
      </c>
      <c r="S324" s="2"/>
      <c r="T324" s="2"/>
    </row>
    <row r="325">
      <c r="A325" s="1">
        <f>IFERROR(__xludf.DUMMYFUNCTION("""COMPUTED_VALUE"""),323.0)</f>
        <v>323</v>
      </c>
      <c r="B325" s="2" t="str">
        <f>IFERROR(__xludf.DUMMYFUNCTION("""COMPUTED_VALUE"""),"MALIGCONG FARMERS ASSOCIATION")</f>
        <v>MALIGCONG FARMERS ASSOCIATION</v>
      </c>
      <c r="C325" s="2" t="str">
        <f>IFERROR(__xludf.DUMMYFUNCTION("""COMPUTED_VALUE"""),"MALIGCONG, SALCEDO, ILOCOS SUR")</f>
        <v>MALIGCONG, SALCEDO, ILOCOS SUR</v>
      </c>
      <c r="D325" s="2" t="str">
        <f>IFERROR(__xludf.DUMMYFUNCTION("""COMPUTED_VALUE"""),"Jerry Ruiz")</f>
        <v>Jerry Ruiz</v>
      </c>
      <c r="E325" s="2" t="str">
        <f>IFERROR(__xludf.DUMMYFUNCTION("""COMPUTED_VALUE"""),"0920-648-2518")</f>
        <v>0920-648-2518</v>
      </c>
      <c r="F325" s="2" t="str">
        <f>IFERROR(__xludf.DUMMYFUNCTION("""COMPUTED_VALUE"""),"RCEF 23-09-21 Rebidding")</f>
        <v>RCEF 23-09-21 Rebidding</v>
      </c>
      <c r="G325" s="2">
        <f>IFERROR(__xludf.DUMMYFUNCTION("""COMPUTED_VALUE"""),2.0)</f>
        <v>2</v>
      </c>
      <c r="H325" s="2">
        <f>IFERROR(__xludf.DUMMYFUNCTION("""COMPUTED_VALUE"""),18962.0)</f>
        <v>18962</v>
      </c>
      <c r="I325" s="2" t="str">
        <f>IFERROR(__xludf.DUMMYFUNCTION("""COMPUTED_VALUE"""),"KMC5825AARFPV0668")</f>
        <v>KMC5825AARFPV0668</v>
      </c>
      <c r="J325" s="2" t="str">
        <f>IFERROR(__xludf.DUMMYFUNCTION("""COMPUTED_VALUE"""),"RTS100158")</f>
        <v>RTS100158</v>
      </c>
      <c r="K325" s="2" t="str">
        <f>IFERROR(__xludf.DUMMYFUNCTION("""COMPUTED_VALUE"""),"R-SERIES 816")</f>
        <v>R-SERIES 816</v>
      </c>
      <c r="L325" s="2" t="str">
        <f>IFERROR(__xludf.DUMMYFUNCTION("""COMPUTED_VALUE"""),"LSGW1750-RMP-24010133")</f>
        <v>LSGW1750-RMP-24010133</v>
      </c>
      <c r="M325" s="2" t="str">
        <f>IFERROR(__xludf.DUMMYFUNCTION("""COMPUTED_VALUE"""),"WDSP40-RMP-24050619")</f>
        <v>WDSP40-RMP-24050619</v>
      </c>
      <c r="N325" s="2"/>
      <c r="O325" s="2" t="str">
        <f>IFERROR(__xludf.DUMMYFUNCTION("""COMPUTED_VALUE"""),"Maligcong")</f>
        <v>Maligcong</v>
      </c>
      <c r="P325" s="2" t="str">
        <f>IFERROR(__xludf.DUMMYFUNCTION("""COMPUTED_VALUE"""),"Salcedo")</f>
        <v>Salcedo</v>
      </c>
      <c r="Q325" s="2" t="str">
        <f>IFERROR(__xludf.DUMMYFUNCTION("""COMPUTED_VALUE"""),"Ilocos Sur")</f>
        <v>Ilocos Sur</v>
      </c>
      <c r="R325" s="2">
        <f>IFERROR(__xludf.DUMMYFUNCTION("""COMPUTED_VALUE"""),1.0)</f>
        <v>1</v>
      </c>
      <c r="S325" s="2"/>
      <c r="T325" s="2"/>
    </row>
    <row r="326">
      <c r="A326" s="1">
        <f>IFERROR(__xludf.DUMMYFUNCTION("""COMPUTED_VALUE"""),324.0)</f>
        <v>324</v>
      </c>
      <c r="B326" s="2" t="str">
        <f>IFERROR(__xludf.DUMMYFUNCTION("""COMPUTED_VALUE"""),"DALIGAN, STA. CRUZ, GREENFIELD FARMERS ASSOCIATION INC.")</f>
        <v>DALIGAN, STA. CRUZ, GREENFIELD FARMERS ASSOCIATION INC.</v>
      </c>
      <c r="C326" s="2" t="str">
        <f>IFERROR(__xludf.DUMMYFUNCTION("""COMPUTED_VALUE"""),"Daligan, Santa Cruz, ILOCOS SUR")</f>
        <v>Daligan, Santa Cruz, ILOCOS SUR</v>
      </c>
      <c r="D326" s="2" t="str">
        <f>IFERROR(__xludf.DUMMYFUNCTION("""COMPUTED_VALUE"""),"Alexander T. Solimen")</f>
        <v>Alexander T. Solimen</v>
      </c>
      <c r="E326" s="2" t="str">
        <f>IFERROR(__xludf.DUMMYFUNCTION("""COMPUTED_VALUE"""),"0995-926-3530")</f>
        <v>0995-926-3530</v>
      </c>
      <c r="F326" s="2" t="str">
        <f>IFERROR(__xludf.DUMMYFUNCTION("""COMPUTED_VALUE"""),"RCEF 23-09-21 Rebidding")</f>
        <v>RCEF 23-09-21 Rebidding</v>
      </c>
      <c r="G326" s="2">
        <f>IFERROR(__xludf.DUMMYFUNCTION("""COMPUTED_VALUE"""),2.0)</f>
        <v>2</v>
      </c>
      <c r="H326" s="2">
        <f>IFERROR(__xludf.DUMMYFUNCTION("""COMPUTED_VALUE"""),18963.0)</f>
        <v>18963</v>
      </c>
      <c r="I326" s="2" t="str">
        <f>IFERROR(__xludf.DUMMYFUNCTION("""COMPUTED_VALUE"""),"KMC5825 ACRFPV0442")</f>
        <v>KMC5825 ACRFPV0442</v>
      </c>
      <c r="J326" s="2" t="str">
        <f>IFERROR(__xludf.DUMMYFUNCTION("""COMPUTED_VALUE"""),"RTS 100349")</f>
        <v>RTS 100349</v>
      </c>
      <c r="K326" s="2" t="str">
        <f>IFERROR(__xludf.DUMMYFUNCTION("""COMPUTED_VALUE"""),"R-SERIES 432 PH")</f>
        <v>R-SERIES 432 PH</v>
      </c>
      <c r="L326" s="2" t="str">
        <f>IFERROR(__xludf.DUMMYFUNCTION("""COMPUTED_VALUE"""),"LSGW1750 RMP 24020407")</f>
        <v>LSGW1750 RMP 24020407</v>
      </c>
      <c r="M326" s="2" t="str">
        <f>IFERROR(__xludf.DUMMYFUNCTION("""COMPUTED_VALUE"""),"WDP40 RMP 24010118")</f>
        <v>WDP40 RMP 24010118</v>
      </c>
      <c r="N326" s="2"/>
      <c r="O326" s="2" t="str">
        <f>IFERROR(__xludf.DUMMYFUNCTION("""COMPUTED_VALUE"""),"Daligan")</f>
        <v>Daligan</v>
      </c>
      <c r="P326" s="2" t="str">
        <f>IFERROR(__xludf.DUMMYFUNCTION("""COMPUTED_VALUE"""),"Santa Cruz")</f>
        <v>Santa Cruz</v>
      </c>
      <c r="Q326" s="2" t="str">
        <f>IFERROR(__xludf.DUMMYFUNCTION("""COMPUTED_VALUE"""),"Ilocos Sur")</f>
        <v>Ilocos Sur</v>
      </c>
      <c r="R326" s="2">
        <f>IFERROR(__xludf.DUMMYFUNCTION("""COMPUTED_VALUE"""),1.0)</f>
        <v>1</v>
      </c>
      <c r="S326" s="2"/>
      <c r="T326" s="2"/>
    </row>
    <row r="327">
      <c r="A327" s="1">
        <f>IFERROR(__xludf.DUMMYFUNCTION("""COMPUTED_VALUE"""),325.0)</f>
        <v>325</v>
      </c>
      <c r="B327" s="2" t="str">
        <f>IFERROR(__xludf.DUMMYFUNCTION("""COMPUTED_VALUE"""),"Conconig East Farmers Multi Purpose Cooperative")</f>
        <v>Conconig East Farmers Multi Purpose Cooperative</v>
      </c>
      <c r="C327" s="2" t="str">
        <f>IFERROR(__xludf.DUMMYFUNCTION("""COMPUTED_VALUE"""),"Conconig East, Santa Lucia, ILOCOS SUR")</f>
        <v>Conconig East, Santa Lucia, ILOCOS SUR</v>
      </c>
      <c r="D327" s="2" t="str">
        <f>IFERROR(__xludf.DUMMYFUNCTION("""COMPUTED_VALUE"""),"Emerlina Chan")</f>
        <v>Emerlina Chan</v>
      </c>
      <c r="E327" s="2" t="str">
        <f>IFERROR(__xludf.DUMMYFUNCTION("""COMPUTED_VALUE"""),"0919-938-0740")</f>
        <v>0919-938-0740</v>
      </c>
      <c r="F327" s="2" t="str">
        <f>IFERROR(__xludf.DUMMYFUNCTION("""COMPUTED_VALUE"""),"RCEF 23-09-21 Rebidding")</f>
        <v>RCEF 23-09-21 Rebidding</v>
      </c>
      <c r="G327" s="2">
        <f>IFERROR(__xludf.DUMMYFUNCTION("""COMPUTED_VALUE"""),2.0)</f>
        <v>2</v>
      </c>
      <c r="H327" s="2">
        <f>IFERROR(__xludf.DUMMYFUNCTION("""COMPUTED_VALUE"""),18964.0)</f>
        <v>18964</v>
      </c>
      <c r="I327" s="2" t="str">
        <f>IFERROR(__xludf.DUMMYFUNCTION("""COMPUTED_VALUE"""),"KMC5825 AERFPV0514")</f>
        <v>KMC5825 AERFPV0514</v>
      </c>
      <c r="J327" s="2" t="str">
        <f>IFERROR(__xludf.DUMMYFUNCTION("""COMPUTED_VALUE"""),"RTS 100427")</f>
        <v>RTS 100427</v>
      </c>
      <c r="K327" s="2" t="str">
        <f>IFERROR(__xludf.DUMMYFUNCTION("""COMPUTED_VALUE"""),"R-SERIES 381 PH")</f>
        <v>R-SERIES 381 PH</v>
      </c>
      <c r="L327" s="2" t="str">
        <f>IFERROR(__xludf.DUMMYFUNCTION("""COMPUTED_VALUE"""),"LSGW1750 RMP 24020406")</f>
        <v>LSGW1750 RMP 24020406</v>
      </c>
      <c r="M327" s="2" t="str">
        <f>IFERROR(__xludf.DUMMYFUNCTION("""COMPUTED_VALUE"""),"WDP40 RMP 24030379")</f>
        <v>WDP40 RMP 24030379</v>
      </c>
      <c r="N327" s="2"/>
      <c r="O327" s="2" t="str">
        <f>IFERROR(__xludf.DUMMYFUNCTION("""COMPUTED_VALUE"""),"Conconig East")</f>
        <v>Conconig East</v>
      </c>
      <c r="P327" s="2" t="str">
        <f>IFERROR(__xludf.DUMMYFUNCTION("""COMPUTED_VALUE"""),"Santa Lucia")</f>
        <v>Santa Lucia</v>
      </c>
      <c r="Q327" s="2" t="str">
        <f>IFERROR(__xludf.DUMMYFUNCTION("""COMPUTED_VALUE"""),"Ilocos Sur")</f>
        <v>Ilocos Sur</v>
      </c>
      <c r="R327" s="2">
        <f>IFERROR(__xludf.DUMMYFUNCTION("""COMPUTED_VALUE"""),1.0)</f>
        <v>1</v>
      </c>
      <c r="S327" s="2"/>
      <c r="T327" s="2"/>
    </row>
    <row r="328">
      <c r="A328" s="1">
        <f>IFERROR(__xludf.DUMMYFUNCTION("""COMPUTED_VALUE"""),326.0)</f>
        <v>326</v>
      </c>
      <c r="B328" s="2" t="str">
        <f>IFERROR(__xludf.DUMMYFUNCTION("""COMPUTED_VALUE"""),"Lugarba Multi Purpose Cooperative")</f>
        <v>Lugarba Multi Purpose Cooperative</v>
      </c>
      <c r="C328" s="2" t="str">
        <f>IFERROR(__xludf.DUMMYFUNCTION("""COMPUTED_VALUE"""),"BARIO-AN, TAGUDIN, ILOCOS SUR")</f>
        <v>BARIO-AN, TAGUDIN, ILOCOS SUR</v>
      </c>
      <c r="D328" s="2" t="str">
        <f>IFERROR(__xludf.DUMMYFUNCTION("""COMPUTED_VALUE"""),"Marie Joy Cabatu")</f>
        <v>Marie Joy Cabatu</v>
      </c>
      <c r="E328" s="2" t="str">
        <f>IFERROR(__xludf.DUMMYFUNCTION("""COMPUTED_VALUE"""),"0930 907 561 / 0949 705 6448")</f>
        <v>0930 907 561 / 0949 705 6448</v>
      </c>
      <c r="F328" s="2" t="str">
        <f>IFERROR(__xludf.DUMMYFUNCTION("""COMPUTED_VALUE"""),"RCEF 23-09-21 Rebidding")</f>
        <v>RCEF 23-09-21 Rebidding</v>
      </c>
      <c r="G328" s="2">
        <f>IFERROR(__xludf.DUMMYFUNCTION("""COMPUTED_VALUE"""),2.0)</f>
        <v>2</v>
      </c>
      <c r="H328" s="2">
        <f>IFERROR(__xludf.DUMMYFUNCTION("""COMPUTED_VALUE"""),18965.0)</f>
        <v>18965</v>
      </c>
      <c r="I328" s="2" t="str">
        <f>IFERROR(__xludf.DUMMYFUNCTION("""COMPUTED_VALUE"""),"KMC5825ACRFPV0666")</f>
        <v>KMC5825ACRFPV0666</v>
      </c>
      <c r="J328" s="2" t="str">
        <f>IFERROR(__xludf.DUMMYFUNCTION("""COMPUTED_VALUE"""),"RTS100209")</f>
        <v>RTS100209</v>
      </c>
      <c r="K328" s="2" t="str">
        <f>IFERROR(__xludf.DUMMYFUNCTION("""COMPUTED_VALUE"""),"R-SERIES 798")</f>
        <v>R-SERIES 798</v>
      </c>
      <c r="L328" s="2" t="str">
        <f>IFERROR(__xludf.DUMMYFUNCTION("""COMPUTED_VALUE"""),"LSGW1750-RMP-24010113")</f>
        <v>LSGW1750-RMP-24010113</v>
      </c>
      <c r="M328" s="2" t="str">
        <f>IFERROR(__xludf.DUMMYFUNCTION("""COMPUTED_VALUE"""),"WDSP40-RMP-24050635")</f>
        <v>WDSP40-RMP-24050635</v>
      </c>
      <c r="N328" s="2"/>
      <c r="O328" s="2" t="str">
        <f>IFERROR(__xludf.DUMMYFUNCTION("""COMPUTED_VALUE"""),"Bario-An")</f>
        <v>Bario-An</v>
      </c>
      <c r="P328" s="2" t="str">
        <f>IFERROR(__xludf.DUMMYFUNCTION("""COMPUTED_VALUE"""),"Tagudin")</f>
        <v>Tagudin</v>
      </c>
      <c r="Q328" s="2" t="str">
        <f>IFERROR(__xludf.DUMMYFUNCTION("""COMPUTED_VALUE"""),"Ilocos Sur")</f>
        <v>Ilocos Sur</v>
      </c>
      <c r="R328" s="2">
        <f>IFERROR(__xludf.DUMMYFUNCTION("""COMPUTED_VALUE"""),1.0)</f>
        <v>1</v>
      </c>
      <c r="S328" s="2"/>
      <c r="T328" s="2"/>
    </row>
    <row r="329">
      <c r="A329" s="1">
        <f>IFERROR(__xludf.DUMMYFUNCTION("""COMPUTED_VALUE"""),327.0)</f>
        <v>327</v>
      </c>
      <c r="B329" s="2" t="str">
        <f>IFERROR(__xludf.DUMMYFUNCTION("""COMPUTED_VALUE"""),"Municipal Local Government Unit of Tagudin")</f>
        <v>Municipal Local Government Unit of Tagudin</v>
      </c>
      <c r="C329" s="2" t="str">
        <f>IFERROR(__xludf.DUMMYFUNCTION("""COMPUTED_VALUE"""),"RIZAL (POB.), TAGUDIN, ILOCOS SUR")</f>
        <v>RIZAL (POB.), TAGUDIN, ILOCOS SUR</v>
      </c>
      <c r="D329" s="2" t="str">
        <f>IFERROR(__xludf.DUMMYFUNCTION("""COMPUTED_VALUE"""),"Roque S. Verzosa Jr.")</f>
        <v>Roque S. Verzosa Jr.</v>
      </c>
      <c r="E329" s="2" t="str">
        <f>IFERROR(__xludf.DUMMYFUNCTION("""COMPUTED_VALUE"""),"0917 520 5579")</f>
        <v>0917 520 5579</v>
      </c>
      <c r="F329" s="2" t="str">
        <f>IFERROR(__xludf.DUMMYFUNCTION("""COMPUTED_VALUE"""),"RCEF 23-09-21 Rebidding")</f>
        <v>RCEF 23-09-21 Rebidding</v>
      </c>
      <c r="G329" s="2">
        <f>IFERROR(__xludf.DUMMYFUNCTION("""COMPUTED_VALUE"""),2.0)</f>
        <v>2</v>
      </c>
      <c r="H329" s="2">
        <f>IFERROR(__xludf.DUMMYFUNCTION("""COMPUTED_VALUE"""),18966.0)</f>
        <v>18966</v>
      </c>
      <c r="I329" s="2" t="str">
        <f>IFERROR(__xludf.DUMMYFUNCTION("""COMPUTED_VALUE"""),"KMC5825ALRFEV0669")</f>
        <v>KMC5825ALRFEV0669</v>
      </c>
      <c r="J329" s="2" t="str">
        <f>IFERROR(__xludf.DUMMYFUNCTION("""COMPUTED_VALUE"""),"RTS100301")</f>
        <v>RTS100301</v>
      </c>
      <c r="K329" s="2" t="str">
        <f>IFERROR(__xludf.DUMMYFUNCTION("""COMPUTED_VALUE"""),"R-SERIES 783")</f>
        <v>R-SERIES 783</v>
      </c>
      <c r="L329" s="2" t="str">
        <f>IFERROR(__xludf.DUMMYFUNCTION("""COMPUTED_VALUE"""),"LSGW1750-RMP-24010097")</f>
        <v>LSGW1750-RMP-24010097</v>
      </c>
      <c r="M329" s="2" t="str">
        <f>IFERROR(__xludf.DUMMYFUNCTION("""COMPUTED_VALUE"""),"WDSP40-RMP-24050627")</f>
        <v>WDSP40-RMP-24050627</v>
      </c>
      <c r="N329" s="2"/>
      <c r="O329" s="2" t="str">
        <f>IFERROR(__xludf.DUMMYFUNCTION("""COMPUTED_VALUE"""),"Rizal (Pob.)")</f>
        <v>Rizal (Pob.)</v>
      </c>
      <c r="P329" s="2" t="str">
        <f>IFERROR(__xludf.DUMMYFUNCTION("""COMPUTED_VALUE"""),"Tagudin")</f>
        <v>Tagudin</v>
      </c>
      <c r="Q329" s="2" t="str">
        <f>IFERROR(__xludf.DUMMYFUNCTION("""COMPUTED_VALUE"""),"Ilocos Sur")</f>
        <v>Ilocos Sur</v>
      </c>
      <c r="R329" s="2">
        <f>IFERROR(__xludf.DUMMYFUNCTION("""COMPUTED_VALUE"""),1.0)</f>
        <v>1</v>
      </c>
      <c r="S329" s="2"/>
      <c r="T329" s="2"/>
    </row>
    <row r="330">
      <c r="A330" s="1">
        <f>IFERROR(__xludf.DUMMYFUNCTION("""COMPUTED_VALUE"""),328.0)</f>
        <v>328</v>
      </c>
      <c r="B330" s="2" t="str">
        <f>IFERROR(__xludf.DUMMYFUNCTION("""COMPUTED_VALUE"""),"SUCOC SUR FARMERS AND FISHERFOLKS ASSOCIATION INC.")</f>
        <v>SUCOC SUR FARMERS AND FISHERFOLKS ASSOCIATION INC.</v>
      </c>
      <c r="C330" s="2" t="str">
        <f>IFERROR(__xludf.DUMMYFUNCTION("""COMPUTED_VALUE"""),"Sucoc Sur, Luna, LA UNION")</f>
        <v>Sucoc Sur, Luna, LA UNION</v>
      </c>
      <c r="D330" s="2" t="str">
        <f>IFERROR(__xludf.DUMMYFUNCTION("""COMPUTED_VALUE"""),"Amante S. Reyes")</f>
        <v>Amante S. Reyes</v>
      </c>
      <c r="E330" s="2" t="str">
        <f>IFERROR(__xludf.DUMMYFUNCTION("""COMPUTED_VALUE"""),"0948-591-0076")</f>
        <v>0948-591-0076</v>
      </c>
      <c r="F330" s="2" t="str">
        <f>IFERROR(__xludf.DUMMYFUNCTION("""COMPUTED_VALUE"""),"RCEF 23-09-21 Rebidding")</f>
        <v>RCEF 23-09-21 Rebidding</v>
      </c>
      <c r="G330" s="2">
        <f>IFERROR(__xludf.DUMMYFUNCTION("""COMPUTED_VALUE"""),9.0)</f>
        <v>9</v>
      </c>
      <c r="H330" s="2">
        <f>IFERROR(__xludf.DUMMYFUNCTION("""COMPUTED_VALUE"""),18967.0)</f>
        <v>18967</v>
      </c>
      <c r="I330" s="2" t="str">
        <f>IFERROR(__xludf.DUMMYFUNCTION("""COMPUTED_VALUE"""),"KMC5825 AJ RFPV0052")</f>
        <v>KMC5825 AJ RFPV0052</v>
      </c>
      <c r="J330" s="2" t="str">
        <f>IFERROR(__xludf.DUMMYFUNCTION("""COMPUTED_VALUE"""),"RTS100173")</f>
        <v>RTS100173</v>
      </c>
      <c r="K330" s="2" t="str">
        <f>IFERROR(__xludf.DUMMYFUNCTION("""COMPUTED_VALUE"""),"WR R-SERIES 723 PH")</f>
        <v>WR R-SERIES 723 PH</v>
      </c>
      <c r="L330" s="2" t="str">
        <f>IFERROR(__xludf.DUMMYFUNCTION("""COMPUTED_VALUE"""),"LSGW1750 RMP 24020466")</f>
        <v>LSGW1750 RMP 24020466</v>
      </c>
      <c r="M330" s="2" t="str">
        <f>IFERROR(__xludf.DUMMYFUNCTION("""COMPUTED_VALUE"""),"WDP40 RMP 24030344")</f>
        <v>WDP40 RMP 24030344</v>
      </c>
      <c r="N330" s="2"/>
      <c r="O330" s="2" t="str">
        <f>IFERROR(__xludf.DUMMYFUNCTION("""COMPUTED_VALUE"""),"Sucoc Sur")</f>
        <v>Sucoc Sur</v>
      </c>
      <c r="P330" s="2" t="str">
        <f>IFERROR(__xludf.DUMMYFUNCTION("""COMPUTED_VALUE"""),"Luna")</f>
        <v>Luna</v>
      </c>
      <c r="Q330" s="2" t="str">
        <f>IFERROR(__xludf.DUMMYFUNCTION("""COMPUTED_VALUE"""),"La Union")</f>
        <v>La Union</v>
      </c>
      <c r="R330" s="2">
        <f>IFERROR(__xludf.DUMMYFUNCTION("""COMPUTED_VALUE"""),1.0)</f>
        <v>1</v>
      </c>
      <c r="S330" s="2"/>
      <c r="T330" s="2"/>
    </row>
    <row r="331">
      <c r="A331" s="1">
        <f>IFERROR(__xludf.DUMMYFUNCTION("""COMPUTED_VALUE"""),329.0)</f>
        <v>329</v>
      </c>
      <c r="B331" s="2" t="str">
        <f>IFERROR(__xludf.DUMMYFUNCTION("""COMPUTED_VALUE"""),"PANAGDUR-AS TI MANNALON KEN MANGANGALAP TI BARAOAS NORTE ASSOCIATION INC.")</f>
        <v>PANAGDUR-AS TI MANNALON KEN MANGANGALAP TI BARAOAS NORTE ASSOCIATION INC.</v>
      </c>
      <c r="C331" s="2" t="str">
        <f>IFERROR(__xludf.DUMMYFUNCTION("""COMPUTED_VALUE"""),"Lioac Sur, Naguilian, LA UNION")</f>
        <v>Lioac Sur, Naguilian, LA UNION</v>
      </c>
      <c r="D331" s="2" t="str">
        <f>IFERROR(__xludf.DUMMYFUNCTION("""COMPUTED_VALUE"""),"Marcial S. Florendo")</f>
        <v>Marcial S. Florendo</v>
      </c>
      <c r="E331" s="2" t="str">
        <f>IFERROR(__xludf.DUMMYFUNCTION("""COMPUTED_VALUE"""),"0929-965-7623")</f>
        <v>0929-965-7623</v>
      </c>
      <c r="F331" s="2" t="str">
        <f>IFERROR(__xludf.DUMMYFUNCTION("""COMPUTED_VALUE"""),"RCEF 23-09-21 Rebidding")</f>
        <v>RCEF 23-09-21 Rebidding</v>
      </c>
      <c r="G331" s="2">
        <f>IFERROR(__xludf.DUMMYFUNCTION("""COMPUTED_VALUE"""),9.0)</f>
        <v>9</v>
      </c>
      <c r="H331" s="2">
        <f>IFERROR(__xludf.DUMMYFUNCTION("""COMPUTED_VALUE"""),18968.0)</f>
        <v>18968</v>
      </c>
      <c r="I331" s="2" t="str">
        <f>IFERROR(__xludf.DUMMYFUNCTION("""COMPUTED_VALUE"""),"KMC5825 AHRFPV0236")</f>
        <v>KMC5825 AHRFPV0236</v>
      </c>
      <c r="J331" s="2" t="str">
        <f>IFERROR(__xludf.DUMMYFUNCTION("""COMPUTED_VALUE"""),"RTS100141")</f>
        <v>RTS100141</v>
      </c>
      <c r="K331" s="2" t="str">
        <f>IFERROR(__xludf.DUMMYFUNCTION("""COMPUTED_VALUE"""),"WR R-SERIES 709 PH")</f>
        <v>WR R-SERIES 709 PH</v>
      </c>
      <c r="L331" s="2" t="str">
        <f>IFERROR(__xludf.DUMMYFUNCTION("""COMPUTED_VALUE"""),"LSGW1750 RMP 24010214")</f>
        <v>LSGW1750 RMP 24010214</v>
      </c>
      <c r="M331" s="2" t="str">
        <f>IFERROR(__xludf.DUMMYFUNCTION("""COMPUTED_VALUE"""),"WDP40 RMP 24030382")</f>
        <v>WDP40 RMP 24030382</v>
      </c>
      <c r="N331" s="2"/>
      <c r="O331" s="2" t="str">
        <f>IFERROR(__xludf.DUMMYFUNCTION("""COMPUTED_VALUE"""),"Lioac Sur")</f>
        <v>Lioac Sur</v>
      </c>
      <c r="P331" s="2" t="str">
        <f>IFERROR(__xludf.DUMMYFUNCTION("""COMPUTED_VALUE"""),"Naguilian")</f>
        <v>Naguilian</v>
      </c>
      <c r="Q331" s="2" t="str">
        <f>IFERROR(__xludf.DUMMYFUNCTION("""COMPUTED_VALUE"""),"La Union")</f>
        <v>La Union</v>
      </c>
      <c r="R331" s="2">
        <f>IFERROR(__xludf.DUMMYFUNCTION("""COMPUTED_VALUE"""),1.0)</f>
        <v>1</v>
      </c>
      <c r="S331" s="2"/>
      <c r="T331" s="2"/>
    </row>
    <row r="332">
      <c r="A332" s="1">
        <f>IFERROR(__xludf.DUMMYFUNCTION("""COMPUTED_VALUE"""),330.0)</f>
        <v>330</v>
      </c>
      <c r="B332" s="2" t="str">
        <f>IFERROR(__xludf.DUMMYFUNCTION("""COMPUTED_VALUE"""),"Cabaroan Agricultural Multi Purpose Cooperative")</f>
        <v>Cabaroan Agricultural Multi Purpose Cooperative</v>
      </c>
      <c r="C332" s="2" t="str">
        <f>IFERROR(__xludf.DUMMYFUNCTION("""COMPUTED_VALUE"""),"Cabaroan, Bacnotan, LA UNION")</f>
        <v>Cabaroan, Bacnotan, LA UNION</v>
      </c>
      <c r="D332" s="2" t="str">
        <f>IFERROR(__xludf.DUMMYFUNCTION("""COMPUTED_VALUE"""),"Cresencio B. Suriben")</f>
        <v>Cresencio B. Suriben</v>
      </c>
      <c r="E332" s="2" t="str">
        <f>IFERROR(__xludf.DUMMYFUNCTION("""COMPUTED_VALUE"""),"0939-415-9990")</f>
        <v>0939-415-9990</v>
      </c>
      <c r="F332" s="2" t="str">
        <f>IFERROR(__xludf.DUMMYFUNCTION("""COMPUTED_VALUE"""),"RCEF 23-09-21 Rebidding")</f>
        <v>RCEF 23-09-21 Rebidding</v>
      </c>
      <c r="G332" s="2">
        <f>IFERROR(__xludf.DUMMYFUNCTION("""COMPUTED_VALUE"""),2.0)</f>
        <v>2</v>
      </c>
      <c r="H332" s="2">
        <f>IFERROR(__xludf.DUMMYFUNCTION("""COMPUTED_VALUE"""),18969.0)</f>
        <v>18969</v>
      </c>
      <c r="I332" s="2" t="str">
        <f>IFERROR(__xludf.DUMMYFUNCTION("""COMPUTED_VALUE"""),"KMC5825 ATRFPV0211")</f>
        <v>KMC5825 ATRFPV0211</v>
      </c>
      <c r="J332" s="2" t="str">
        <f>IFERROR(__xludf.DUMMYFUNCTION("""COMPUTED_VALUE"""),"RTS 100146")</f>
        <v>RTS 100146</v>
      </c>
      <c r="K332" s="2" t="str">
        <f>IFERROR(__xludf.DUMMYFUNCTION("""COMPUTED_VALUE"""),"WR SERIES 718 PH")</f>
        <v>WR SERIES 718 PH</v>
      </c>
      <c r="L332" s="2" t="str">
        <f>IFERROR(__xludf.DUMMYFUNCTION("""COMPUTED_VALUE"""),"LSGW1750 RMP 24020434")</f>
        <v>LSGW1750 RMP 24020434</v>
      </c>
      <c r="M332" s="2" t="str">
        <f>IFERROR(__xludf.DUMMYFUNCTION("""COMPUTED_VALUE"""),"WDP40 RMP 24030383")</f>
        <v>WDP40 RMP 24030383</v>
      </c>
      <c r="N332" s="2"/>
      <c r="O332" s="2" t="str">
        <f>IFERROR(__xludf.DUMMYFUNCTION("""COMPUTED_VALUE"""),"Cabaroan")</f>
        <v>Cabaroan</v>
      </c>
      <c r="P332" s="2" t="str">
        <f>IFERROR(__xludf.DUMMYFUNCTION("""COMPUTED_VALUE"""),"Bacnotan")</f>
        <v>Bacnotan</v>
      </c>
      <c r="Q332" s="2" t="str">
        <f>IFERROR(__xludf.DUMMYFUNCTION("""COMPUTED_VALUE"""),"La Union")</f>
        <v>La Union</v>
      </c>
      <c r="R332" s="2">
        <f>IFERROR(__xludf.DUMMYFUNCTION("""COMPUTED_VALUE"""),1.0)</f>
        <v>1</v>
      </c>
      <c r="S332" s="2"/>
      <c r="T332" s="2"/>
    </row>
    <row r="333">
      <c r="A333" s="1">
        <f>IFERROR(__xludf.DUMMYFUNCTION("""COMPUTED_VALUE"""),331.0)</f>
        <v>331</v>
      </c>
      <c r="B333" s="2" t="str">
        <f>IFERROR(__xludf.DUMMYFUNCTION("""COMPUTED_VALUE"""),"Nangalisan Multi Purpose Cooperative Inc.")</f>
        <v>Nangalisan Multi Purpose Cooperative Inc.</v>
      </c>
      <c r="C333" s="2" t="str">
        <f>IFERROR(__xludf.DUMMYFUNCTION("""COMPUTED_VALUE"""),"Nangalisan, Bacnotan, LA UNION")</f>
        <v>Nangalisan, Bacnotan, LA UNION</v>
      </c>
      <c r="D333" s="2" t="str">
        <f>IFERROR(__xludf.DUMMYFUNCTION("""COMPUTED_VALUE"""),"Rogelio R. Rinon")</f>
        <v>Rogelio R. Rinon</v>
      </c>
      <c r="E333" s="2" t="str">
        <f>IFERROR(__xludf.DUMMYFUNCTION("""COMPUTED_VALUE"""),"0910-977-9348")</f>
        <v>0910-977-9348</v>
      </c>
      <c r="F333" s="2" t="str">
        <f>IFERROR(__xludf.DUMMYFUNCTION("""COMPUTED_VALUE"""),"RCEF 23-09-21 Rebidding")</f>
        <v>RCEF 23-09-21 Rebidding</v>
      </c>
      <c r="G333" s="2">
        <f>IFERROR(__xludf.DUMMYFUNCTION("""COMPUTED_VALUE"""),2.0)</f>
        <v>2</v>
      </c>
      <c r="H333" s="2">
        <f>IFERROR(__xludf.DUMMYFUNCTION("""COMPUTED_VALUE"""),18970.0)</f>
        <v>18970</v>
      </c>
      <c r="I333" s="2" t="str">
        <f>IFERROR(__xludf.DUMMYFUNCTION("""COMPUTED_VALUE"""),"KMC5825 AJRFPV0066")</f>
        <v>KMC5825 AJRFPV0066</v>
      </c>
      <c r="J333" s="2" t="str">
        <f>IFERROR(__xludf.DUMMYFUNCTION("""COMPUTED_VALUE"""),"PTS 100276")</f>
        <v>PTS 100276</v>
      </c>
      <c r="K333" s="2" t="str">
        <f>IFERROR(__xludf.DUMMYFUNCTION("""COMPUTED_VALUE"""),"WR SERIES 706 PH")</f>
        <v>WR SERIES 706 PH</v>
      </c>
      <c r="L333" s="2" t="str">
        <f>IFERROR(__xludf.DUMMYFUNCTION("""COMPUTED_VALUE"""),"LSGW1750 RMP 24020438")</f>
        <v>LSGW1750 RMP 24020438</v>
      </c>
      <c r="M333" s="2" t="str">
        <f>IFERROR(__xludf.DUMMYFUNCTION("""COMPUTED_VALUE"""),"WDP40 RMP 24030378")</f>
        <v>WDP40 RMP 24030378</v>
      </c>
      <c r="N333" s="2"/>
      <c r="O333" s="2" t="str">
        <f>IFERROR(__xludf.DUMMYFUNCTION("""COMPUTED_VALUE"""),"Nangalisan")</f>
        <v>Nangalisan</v>
      </c>
      <c r="P333" s="2" t="str">
        <f>IFERROR(__xludf.DUMMYFUNCTION("""COMPUTED_VALUE"""),"Bacnotan")</f>
        <v>Bacnotan</v>
      </c>
      <c r="Q333" s="2" t="str">
        <f>IFERROR(__xludf.DUMMYFUNCTION("""COMPUTED_VALUE"""),"La Union")</f>
        <v>La Union</v>
      </c>
      <c r="R333" s="2">
        <f>IFERROR(__xludf.DUMMYFUNCTION("""COMPUTED_VALUE"""),1.0)</f>
        <v>1</v>
      </c>
      <c r="S333" s="2"/>
      <c r="T333" s="2"/>
    </row>
    <row r="334">
      <c r="A334" s="1">
        <f>IFERROR(__xludf.DUMMYFUNCTION("""COMPUTED_VALUE"""),332.0)</f>
        <v>332</v>
      </c>
      <c r="B334" s="2" t="str">
        <f>IFERROR(__xludf.DUMMYFUNCTION("""COMPUTED_VALUE"""),"Pagbennecan Agriculture and Fisheries Association (PAFA)")</f>
        <v>Pagbennecan Agriculture and Fisheries Association (PAFA)</v>
      </c>
      <c r="C334" s="2" t="str">
        <f>IFERROR(__xludf.DUMMYFUNCTION("""COMPUTED_VALUE"""),"Pagbennecan, Balaoan, LA UNION")</f>
        <v>Pagbennecan, Balaoan, LA UNION</v>
      </c>
      <c r="D334" s="2" t="str">
        <f>IFERROR(__xludf.DUMMYFUNCTION("""COMPUTED_VALUE"""),"#N/A")</f>
        <v>#N/A</v>
      </c>
      <c r="E334" s="2" t="str">
        <f>IFERROR(__xludf.DUMMYFUNCTION("""COMPUTED_VALUE"""),"#N/A")</f>
        <v>#N/A</v>
      </c>
      <c r="F334" s="2" t="str">
        <f>IFERROR(__xludf.DUMMYFUNCTION("""COMPUTED_VALUE"""),"RCEF 23-09-21 Rebidding")</f>
        <v>RCEF 23-09-21 Rebidding</v>
      </c>
      <c r="G334" s="2">
        <f>IFERROR(__xludf.DUMMYFUNCTION("""COMPUTED_VALUE"""),2.0)</f>
        <v>2</v>
      </c>
      <c r="H334" s="2">
        <f>IFERROR(__xludf.DUMMYFUNCTION("""COMPUTED_VALUE"""),18971.0)</f>
        <v>18971</v>
      </c>
      <c r="I334" s="2" t="str">
        <f>IFERROR(__xludf.DUMMYFUNCTION("""COMPUTED_VALUE"""),"KMC5825 APRFPV0310")</f>
        <v>KMC5825 APRFPV0310</v>
      </c>
      <c r="J334" s="2" t="str">
        <f>IFERROR(__xludf.DUMMYFUNCTION("""COMPUTED_VALUE"""),"RTS 100196")</f>
        <v>RTS 100196</v>
      </c>
      <c r="K334" s="2" t="str">
        <f>IFERROR(__xludf.DUMMYFUNCTION("""COMPUTED_VALUE"""),"WR SERIES 702 PH")</f>
        <v>WR SERIES 702 PH</v>
      </c>
      <c r="L334" s="2" t="str">
        <f>IFERROR(__xludf.DUMMYFUNCTION("""COMPUTED_VALUE"""),"LSGW1750 RMP 24020470")</f>
        <v>LSGW1750 RMP 24020470</v>
      </c>
      <c r="M334" s="2" t="str">
        <f>IFERROR(__xludf.DUMMYFUNCTION("""COMPUTED_VALUE"""),"WDP40 RMP 24030386")</f>
        <v>WDP40 RMP 24030386</v>
      </c>
      <c r="N334" s="2"/>
      <c r="O334" s="2" t="str">
        <f>IFERROR(__xludf.DUMMYFUNCTION("""COMPUTED_VALUE"""),"Pagbennecan")</f>
        <v>Pagbennecan</v>
      </c>
      <c r="P334" s="2" t="str">
        <f>IFERROR(__xludf.DUMMYFUNCTION("""COMPUTED_VALUE"""),"Balaoan")</f>
        <v>Balaoan</v>
      </c>
      <c r="Q334" s="2" t="str">
        <f>IFERROR(__xludf.DUMMYFUNCTION("""COMPUTED_VALUE"""),"La Union")</f>
        <v>La Union</v>
      </c>
      <c r="R334" s="2">
        <f>IFERROR(__xludf.DUMMYFUNCTION("""COMPUTED_VALUE"""),1.0)</f>
        <v>1</v>
      </c>
      <c r="S334" s="2"/>
      <c r="T334" s="2"/>
    </row>
    <row r="335">
      <c r="A335" s="1">
        <f>IFERROR(__xludf.DUMMYFUNCTION("""COMPUTED_VALUE"""),333.0)</f>
        <v>333</v>
      </c>
      <c r="B335" s="2" t="str">
        <f>IFERROR(__xludf.DUMMYFUNCTION("""COMPUTED_VALUE"""),"SINAPANGAN FARMERS IRRIGATORS ASSOCIATION OF BALAOAN, LA UNION, INC.")</f>
        <v>SINAPANGAN FARMERS IRRIGATORS ASSOCIATION OF BALAOAN, LA UNION, INC.</v>
      </c>
      <c r="C335" s="2" t="str">
        <f>IFERROR(__xludf.DUMMYFUNCTION("""COMPUTED_VALUE"""),"Sinapangan Norte, Balaoan, LA UNION")</f>
        <v>Sinapangan Norte, Balaoan, LA UNION</v>
      </c>
      <c r="D335" s="2" t="str">
        <f>IFERROR(__xludf.DUMMYFUNCTION("""COMPUTED_VALUE"""),"Menardo O. Ordinario")</f>
        <v>Menardo O. Ordinario</v>
      </c>
      <c r="E335" s="2">
        <f>IFERROR(__xludf.DUMMYFUNCTION("""COMPUTED_VALUE"""),9.359992556E9)</f>
        <v>9359992556</v>
      </c>
      <c r="F335" s="2" t="str">
        <f>IFERROR(__xludf.DUMMYFUNCTION("""COMPUTED_VALUE"""),"RCEF 23-09-21 Rebidding")</f>
        <v>RCEF 23-09-21 Rebidding</v>
      </c>
      <c r="G335" s="2">
        <f>IFERROR(__xludf.DUMMYFUNCTION("""COMPUTED_VALUE"""),2.0)</f>
        <v>2</v>
      </c>
      <c r="H335" s="2">
        <f>IFERROR(__xludf.DUMMYFUNCTION("""COMPUTED_VALUE"""),18972.0)</f>
        <v>18972</v>
      </c>
      <c r="I335" s="2" t="str">
        <f>IFERROR(__xludf.DUMMYFUNCTION("""COMPUTED_VALUE"""),"KMC5825 AKRFPV0311")</f>
        <v>KMC5825 AKRFPV0311</v>
      </c>
      <c r="J335" s="2" t="str">
        <f>IFERROR(__xludf.DUMMYFUNCTION("""COMPUTED_VALUE"""),"PTS 100192")</f>
        <v>PTS 100192</v>
      </c>
      <c r="K335" s="2" t="str">
        <f>IFERROR(__xludf.DUMMYFUNCTION("""COMPUTED_VALUE"""),"WR SERIES 705 PH")</f>
        <v>WR SERIES 705 PH</v>
      </c>
      <c r="L335" s="2" t="str">
        <f>IFERROR(__xludf.DUMMYFUNCTION("""COMPUTED_VALUE"""),"LSGW1750 RMP 24020439")</f>
        <v>LSGW1750 RMP 24020439</v>
      </c>
      <c r="M335" s="2" t="str">
        <f>IFERROR(__xludf.DUMMYFUNCTION("""COMPUTED_VALUE"""),"WDP40 RMP 24030384")</f>
        <v>WDP40 RMP 24030384</v>
      </c>
      <c r="N335" s="2"/>
      <c r="O335" s="2" t="str">
        <f>IFERROR(__xludf.DUMMYFUNCTION("""COMPUTED_VALUE"""),"Sinapangan Norte")</f>
        <v>Sinapangan Norte</v>
      </c>
      <c r="P335" s="2" t="str">
        <f>IFERROR(__xludf.DUMMYFUNCTION("""COMPUTED_VALUE"""),"Balaoan")</f>
        <v>Balaoan</v>
      </c>
      <c r="Q335" s="2" t="str">
        <f>IFERROR(__xludf.DUMMYFUNCTION("""COMPUTED_VALUE"""),"La Union")</f>
        <v>La Union</v>
      </c>
      <c r="R335" s="2">
        <f>IFERROR(__xludf.DUMMYFUNCTION("""COMPUTED_VALUE"""),1.0)</f>
        <v>1</v>
      </c>
      <c r="S335" s="2"/>
      <c r="T335" s="2"/>
    </row>
    <row r="336">
      <c r="A336" s="1">
        <f>IFERROR(__xludf.DUMMYFUNCTION("""COMPUTED_VALUE"""),334.0)</f>
        <v>334</v>
      </c>
      <c r="B336" s="2" t="str">
        <f>IFERROR(__xludf.DUMMYFUNCTION("""COMPUTED_VALUE"""),"LUZONG NORTE TOBACCO AND RICE FARMERS ASSOCIATION INC.")</f>
        <v>LUZONG NORTE TOBACCO AND RICE FARMERS ASSOCIATION INC.</v>
      </c>
      <c r="C336" s="2" t="str">
        <f>IFERROR(__xludf.DUMMYFUNCTION("""COMPUTED_VALUE"""),"Luzong Norte, Bangar, LA UNION")</f>
        <v>Luzong Norte, Bangar, LA UNION</v>
      </c>
      <c r="D336" s="2" t="str">
        <f>IFERROR(__xludf.DUMMYFUNCTION("""COMPUTED_VALUE"""),"Silvestre M. Merin Jr.")</f>
        <v>Silvestre M. Merin Jr.</v>
      </c>
      <c r="E336" s="2" t="str">
        <f>IFERROR(__xludf.DUMMYFUNCTION("""COMPUTED_VALUE"""),"0930-815-8489")</f>
        <v>0930-815-8489</v>
      </c>
      <c r="F336" s="2" t="str">
        <f>IFERROR(__xludf.DUMMYFUNCTION("""COMPUTED_VALUE"""),"RCEF 23-09-21 Rebidding")</f>
        <v>RCEF 23-09-21 Rebidding</v>
      </c>
      <c r="G336" s="2">
        <f>IFERROR(__xludf.DUMMYFUNCTION("""COMPUTED_VALUE"""),2.0)</f>
        <v>2</v>
      </c>
      <c r="H336" s="2">
        <f>IFERROR(__xludf.DUMMYFUNCTION("""COMPUTED_VALUE"""),18973.0)</f>
        <v>18973</v>
      </c>
      <c r="I336" s="2" t="str">
        <f>IFERROR(__xludf.DUMMYFUNCTION("""COMPUTED_VALUE"""),"KMC5825 ACRFPV0280")</f>
        <v>KMC5825 ACRFPV0280</v>
      </c>
      <c r="J336" s="2" t="str">
        <f>IFERROR(__xludf.DUMMYFUNCTION("""COMPUTED_VALUE"""),"RTS 100032")</f>
        <v>RTS 100032</v>
      </c>
      <c r="K336" s="2" t="str">
        <f>IFERROR(__xludf.DUMMYFUNCTION("""COMPUTED_VALUE"""),"WR SERIES 717 PH")</f>
        <v>WR SERIES 717 PH</v>
      </c>
      <c r="L336" s="2" t="str">
        <f>IFERROR(__xludf.DUMMYFUNCTION("""COMPUTED_VALUE"""),"LSGW1750 RMP 24020463")</f>
        <v>LSGW1750 RMP 24020463</v>
      </c>
      <c r="M336" s="2" t="str">
        <f>IFERROR(__xludf.DUMMYFUNCTION("""COMPUTED_VALUE"""),"WDP40 RMP 24030347")</f>
        <v>WDP40 RMP 24030347</v>
      </c>
      <c r="N336" s="2"/>
      <c r="O336" s="2" t="str">
        <f>IFERROR(__xludf.DUMMYFUNCTION("""COMPUTED_VALUE"""),"Luzong Norte")</f>
        <v>Luzong Norte</v>
      </c>
      <c r="P336" s="2" t="str">
        <f>IFERROR(__xludf.DUMMYFUNCTION("""COMPUTED_VALUE"""),"Bangar")</f>
        <v>Bangar</v>
      </c>
      <c r="Q336" s="2" t="str">
        <f>IFERROR(__xludf.DUMMYFUNCTION("""COMPUTED_VALUE"""),"La Union")</f>
        <v>La Union</v>
      </c>
      <c r="R336" s="2">
        <f>IFERROR(__xludf.DUMMYFUNCTION("""COMPUTED_VALUE"""),1.0)</f>
        <v>1</v>
      </c>
      <c r="S336" s="2"/>
      <c r="T336" s="2"/>
    </row>
    <row r="337">
      <c r="A337" s="1">
        <f>IFERROR(__xludf.DUMMYFUNCTION("""COMPUTED_VALUE"""),335.0)</f>
        <v>335</v>
      </c>
      <c r="B337" s="2" t="str">
        <f>IFERROR(__xludf.DUMMYFUNCTION("""COMPUTED_VALUE"""),"BARANGAY BUSELBUSEL FARMERS ASSOCIATION INC.")</f>
        <v>BARANGAY BUSELBUSEL FARMERS ASSOCIATION INC.</v>
      </c>
      <c r="C337" s="2" t="str">
        <f>IFERROR(__xludf.DUMMYFUNCTION("""COMPUTED_VALUE"""),"Buselbusel, Luna, LA UNION")</f>
        <v>Buselbusel, Luna, LA UNION</v>
      </c>
      <c r="D337" s="2" t="str">
        <f>IFERROR(__xludf.DUMMYFUNCTION("""COMPUTED_VALUE"""),"Jaime N. Napeñas")</f>
        <v>Jaime N. Napeñas</v>
      </c>
      <c r="E337" s="2" t="str">
        <f>IFERROR(__xludf.DUMMYFUNCTION("""COMPUTED_VALUE"""),"0912-936-8814")</f>
        <v>0912-936-8814</v>
      </c>
      <c r="F337" s="2" t="str">
        <f>IFERROR(__xludf.DUMMYFUNCTION("""COMPUTED_VALUE"""),"RCEF 23-09-21 Rebidding")</f>
        <v>RCEF 23-09-21 Rebidding</v>
      </c>
      <c r="G337" s="2">
        <f>IFERROR(__xludf.DUMMYFUNCTION("""COMPUTED_VALUE"""),2.0)</f>
        <v>2</v>
      </c>
      <c r="H337" s="2">
        <f>IFERROR(__xludf.DUMMYFUNCTION("""COMPUTED_VALUE"""),18974.0)</f>
        <v>18974</v>
      </c>
      <c r="I337" s="2" t="str">
        <f>IFERROR(__xludf.DUMMYFUNCTION("""COMPUTED_VALUE"""),"KMC5825 ALRFPV0235")</f>
        <v>KMC5825 ALRFPV0235</v>
      </c>
      <c r="J337" s="2" t="str">
        <f>IFERROR(__xludf.DUMMYFUNCTION("""COMPUTED_VALUE"""),"RTS 100087")</f>
        <v>RTS 100087</v>
      </c>
      <c r="K337" s="2" t="str">
        <f>IFERROR(__xludf.DUMMYFUNCTION("""COMPUTED_VALUE"""),"WR SERIES 704 PH")</f>
        <v>WR SERIES 704 PH</v>
      </c>
      <c r="L337" s="2" t="str">
        <f>IFERROR(__xludf.DUMMYFUNCTION("""COMPUTED_VALUE"""),"LSGW1750 RMP 24020468")</f>
        <v>LSGW1750 RMP 24020468</v>
      </c>
      <c r="M337" s="2" t="str">
        <f>IFERROR(__xludf.DUMMYFUNCTION("""COMPUTED_VALUE"""),"WDP40 RMP 24030389")</f>
        <v>WDP40 RMP 24030389</v>
      </c>
      <c r="N337" s="2"/>
      <c r="O337" s="2" t="str">
        <f>IFERROR(__xludf.DUMMYFUNCTION("""COMPUTED_VALUE"""),"Buselbusel")</f>
        <v>Buselbusel</v>
      </c>
      <c r="P337" s="2" t="str">
        <f>IFERROR(__xludf.DUMMYFUNCTION("""COMPUTED_VALUE"""),"Luna")</f>
        <v>Luna</v>
      </c>
      <c r="Q337" s="2" t="str">
        <f>IFERROR(__xludf.DUMMYFUNCTION("""COMPUTED_VALUE"""),"La Union")</f>
        <v>La Union</v>
      </c>
      <c r="R337" s="2">
        <f>IFERROR(__xludf.DUMMYFUNCTION("""COMPUTED_VALUE"""),1.0)</f>
        <v>1</v>
      </c>
      <c r="S337" s="2"/>
      <c r="T337" s="2"/>
    </row>
    <row r="338">
      <c r="A338" s="1">
        <f>IFERROR(__xludf.DUMMYFUNCTION("""COMPUTED_VALUE"""),336.0)</f>
        <v>336</v>
      </c>
      <c r="B338" s="2" t="str">
        <f>IFERROR(__xludf.DUMMYFUNCTION("""COMPUTED_VALUE"""),"BANCAGAN NAGUILIAN IRRIGATORS ASOCIATION INC.")</f>
        <v>BANCAGAN NAGUILIAN IRRIGATORS ASOCIATION INC.</v>
      </c>
      <c r="C338" s="2" t="str">
        <f>IFERROR(__xludf.DUMMYFUNCTION("""COMPUTED_VALUE"""),"Bancagan, Naguilian, LA UNION")</f>
        <v>Bancagan, Naguilian, LA UNION</v>
      </c>
      <c r="D338" s="2" t="str">
        <f>IFERROR(__xludf.DUMMYFUNCTION("""COMPUTED_VALUE"""),"Edgar G. Espinueva")</f>
        <v>Edgar G. Espinueva</v>
      </c>
      <c r="E338" s="2" t="str">
        <f>IFERROR(__xludf.DUMMYFUNCTION("""COMPUTED_VALUE"""),"0905-590-2082")</f>
        <v>0905-590-2082</v>
      </c>
      <c r="F338" s="2" t="str">
        <f>IFERROR(__xludf.DUMMYFUNCTION("""COMPUTED_VALUE"""),"RCEF 23-09-21 Rebidding")</f>
        <v>RCEF 23-09-21 Rebidding</v>
      </c>
      <c r="G338" s="2">
        <f>IFERROR(__xludf.DUMMYFUNCTION("""COMPUTED_VALUE"""),2.0)</f>
        <v>2</v>
      </c>
      <c r="H338" s="2">
        <f>IFERROR(__xludf.DUMMYFUNCTION("""COMPUTED_VALUE"""),18975.0)</f>
        <v>18975</v>
      </c>
      <c r="I338" s="2" t="str">
        <f>IFERROR(__xludf.DUMMYFUNCTION("""COMPUTED_VALUE"""),"KMC5825 AVRFPV0135")</f>
        <v>KMC5825 AVRFPV0135</v>
      </c>
      <c r="J338" s="2" t="str">
        <f>IFERROR(__xludf.DUMMYFUNCTION("""COMPUTED_VALUE"""),"RTS 100218")</f>
        <v>RTS 100218</v>
      </c>
      <c r="K338" s="2" t="str">
        <f>IFERROR(__xludf.DUMMYFUNCTION("""COMPUTED_VALUE"""),"WR SERIES 701 PH")</f>
        <v>WR SERIES 701 PH</v>
      </c>
      <c r="L338" s="2" t="str">
        <f>IFERROR(__xludf.DUMMYFUNCTION("""COMPUTED_VALUE"""),"LSGW1750 RMP 24010211")</f>
        <v>LSGW1750 RMP 24010211</v>
      </c>
      <c r="M338" s="2" t="str">
        <f>IFERROR(__xludf.DUMMYFUNCTION("""COMPUTED_VALUE"""),"WDP40 RMP 24030381")</f>
        <v>WDP40 RMP 24030381</v>
      </c>
      <c r="N338" s="2"/>
      <c r="O338" s="2" t="str">
        <f>IFERROR(__xludf.DUMMYFUNCTION("""COMPUTED_VALUE"""),"Bancagan")</f>
        <v>Bancagan</v>
      </c>
      <c r="P338" s="2" t="str">
        <f>IFERROR(__xludf.DUMMYFUNCTION("""COMPUTED_VALUE"""),"Naguilian")</f>
        <v>Naguilian</v>
      </c>
      <c r="Q338" s="2" t="str">
        <f>IFERROR(__xludf.DUMMYFUNCTION("""COMPUTED_VALUE"""),"La Union")</f>
        <v>La Union</v>
      </c>
      <c r="R338" s="2">
        <f>IFERROR(__xludf.DUMMYFUNCTION("""COMPUTED_VALUE"""),1.0)</f>
        <v>1</v>
      </c>
      <c r="S338" s="2"/>
      <c r="T338" s="2"/>
    </row>
    <row r="339">
      <c r="A339" s="1">
        <f>IFERROR(__xludf.DUMMYFUNCTION("""COMPUTED_VALUE"""),337.0)</f>
        <v>337</v>
      </c>
      <c r="B339" s="2" t="str">
        <f>IFERROR(__xludf.DUMMYFUNCTION("""COMPUTED_VALUE"""),"CARUNOAN WEST ROSARIO LA UNION IRRIGATORS ASSOCIATION INC.")</f>
        <v>CARUNOAN WEST ROSARIO LA UNION IRRIGATORS ASSOCIATION INC.</v>
      </c>
      <c r="C339" s="2" t="str">
        <f>IFERROR(__xludf.DUMMYFUNCTION("""COMPUTED_VALUE"""),"Carunuan West, Rosario, LA UNION")</f>
        <v>Carunuan West, Rosario, LA UNION</v>
      </c>
      <c r="D339" s="2" t="str">
        <f>IFERROR(__xludf.DUMMYFUNCTION("""COMPUTED_VALUE"""),"Gregorio M. Laron")</f>
        <v>Gregorio M. Laron</v>
      </c>
      <c r="E339" s="2" t="str">
        <f>IFERROR(__xludf.DUMMYFUNCTION("""COMPUTED_VALUE"""),"0938-146-4570")</f>
        <v>0938-146-4570</v>
      </c>
      <c r="F339" s="2" t="str">
        <f>IFERROR(__xludf.DUMMYFUNCTION("""COMPUTED_VALUE"""),"RCEF 23-09-21 Rebidding")</f>
        <v>RCEF 23-09-21 Rebidding</v>
      </c>
      <c r="G339" s="2">
        <f>IFERROR(__xludf.DUMMYFUNCTION("""COMPUTED_VALUE"""),2.0)</f>
        <v>2</v>
      </c>
      <c r="H339" s="2">
        <f>IFERROR(__xludf.DUMMYFUNCTION("""COMPUTED_VALUE"""),18976.0)</f>
        <v>18976</v>
      </c>
      <c r="I339" s="2" t="str">
        <f>IFERROR(__xludf.DUMMYFUNCTION("""COMPUTED_VALUE"""),"KMC5825 AKRFPV0244")</f>
        <v>KMC5825 AKRFPV0244</v>
      </c>
      <c r="J339" s="2" t="str">
        <f>IFERROR(__xludf.DUMMYFUNCTION("""COMPUTED_VALUE"""),"RTS 100128")</f>
        <v>RTS 100128</v>
      </c>
      <c r="K339" s="2" t="str">
        <f>IFERROR(__xludf.DUMMYFUNCTION("""COMPUTED_VALUE"""),"WR SERIES 726 PH")</f>
        <v>WR SERIES 726 PH</v>
      </c>
      <c r="L339" s="2" t="str">
        <f>IFERROR(__xludf.DUMMYFUNCTION("""COMPUTED_VALUE"""),"LSGW1750 RMP 24010213")</f>
        <v>LSGW1750 RMP 24010213</v>
      </c>
      <c r="M339" s="2" t="str">
        <f>IFERROR(__xludf.DUMMYFUNCTION("""COMPUTED_VALUE"""),"WDP40 RMP 24030888")</f>
        <v>WDP40 RMP 24030888</v>
      </c>
      <c r="N339" s="2"/>
      <c r="O339" s="2" t="str">
        <f>IFERROR(__xludf.DUMMYFUNCTION("""COMPUTED_VALUE"""),"Carunuan West")</f>
        <v>Carunuan West</v>
      </c>
      <c r="P339" s="2" t="str">
        <f>IFERROR(__xludf.DUMMYFUNCTION("""COMPUTED_VALUE"""),"Rosario")</f>
        <v>Rosario</v>
      </c>
      <c r="Q339" s="2" t="str">
        <f>IFERROR(__xludf.DUMMYFUNCTION("""COMPUTED_VALUE"""),"La Union")</f>
        <v>La Union</v>
      </c>
      <c r="R339" s="2">
        <f>IFERROR(__xludf.DUMMYFUNCTION("""COMPUTED_VALUE"""),1.0)</f>
        <v>1</v>
      </c>
      <c r="S339" s="2"/>
      <c r="T339" s="2"/>
    </row>
    <row r="340">
      <c r="A340" s="1">
        <f>IFERROR(__xludf.DUMMYFUNCTION("""COMPUTED_VALUE"""),338.0)</f>
        <v>338</v>
      </c>
      <c r="B340" s="2" t="str">
        <f>IFERROR(__xludf.DUMMYFUNCTION("""COMPUTED_VALUE"""),"SWISA VILA ROSARIO LA UNION INC.")</f>
        <v>SWISA VILA ROSARIO LA UNION INC.</v>
      </c>
      <c r="C340" s="2" t="str">
        <f>IFERROR(__xludf.DUMMYFUNCTION("""COMPUTED_VALUE"""),"Vila, Rosario, LA UNION")</f>
        <v>Vila, Rosario, LA UNION</v>
      </c>
      <c r="D340" s="2" t="str">
        <f>IFERROR(__xludf.DUMMYFUNCTION("""COMPUTED_VALUE"""),"Mario A. Paneda")</f>
        <v>Mario A. Paneda</v>
      </c>
      <c r="E340" s="2" t="str">
        <f>IFERROR(__xludf.DUMMYFUNCTION("""COMPUTED_VALUE"""),"0909-114-8840")</f>
        <v>0909-114-8840</v>
      </c>
      <c r="F340" s="2" t="str">
        <f>IFERROR(__xludf.DUMMYFUNCTION("""COMPUTED_VALUE"""),"RCEF 23-09-21 Rebidding")</f>
        <v>RCEF 23-09-21 Rebidding</v>
      </c>
      <c r="G340" s="2">
        <f>IFERROR(__xludf.DUMMYFUNCTION("""COMPUTED_VALUE"""),2.0)</f>
        <v>2</v>
      </c>
      <c r="H340" s="2">
        <f>IFERROR(__xludf.DUMMYFUNCTION("""COMPUTED_VALUE"""),18977.0)</f>
        <v>18977</v>
      </c>
      <c r="I340" s="2" t="str">
        <f>IFERROR(__xludf.DUMMYFUNCTION("""COMPUTED_VALUE"""),"KMC5825 ACRFPV0238")</f>
        <v>KMC5825 ACRFPV0238</v>
      </c>
      <c r="J340" s="2" t="str">
        <f>IFERROR(__xludf.DUMMYFUNCTION("""COMPUTED_VALUE"""),"RTS 100086")</f>
        <v>RTS 100086</v>
      </c>
      <c r="K340" s="2" t="str">
        <f>IFERROR(__xludf.DUMMYFUNCTION("""COMPUTED_VALUE"""),"WR SERIES 707 PH")</f>
        <v>WR SERIES 707 PH</v>
      </c>
      <c r="L340" s="2" t="str">
        <f>IFERROR(__xludf.DUMMYFUNCTION("""COMPUTED_VALUE"""),"LSGW1750 RMP 24020465")</f>
        <v>LSGW1750 RMP 24020465</v>
      </c>
      <c r="M340" s="2" t="str">
        <f>IFERROR(__xludf.DUMMYFUNCTION("""COMPUTED_VALUE"""),"WDP40 RMP 24030392")</f>
        <v>WDP40 RMP 24030392</v>
      </c>
      <c r="N340" s="2"/>
      <c r="O340" s="2" t="str">
        <f>IFERROR(__xludf.DUMMYFUNCTION("""COMPUTED_VALUE"""),"Vila")</f>
        <v>Vila</v>
      </c>
      <c r="P340" s="2" t="str">
        <f>IFERROR(__xludf.DUMMYFUNCTION("""COMPUTED_VALUE"""),"Rosario")</f>
        <v>Rosario</v>
      </c>
      <c r="Q340" s="2" t="str">
        <f>IFERROR(__xludf.DUMMYFUNCTION("""COMPUTED_VALUE"""),"La Union")</f>
        <v>La Union</v>
      </c>
      <c r="R340" s="2">
        <f>IFERROR(__xludf.DUMMYFUNCTION("""COMPUTED_VALUE"""),1.0)</f>
        <v>1</v>
      </c>
      <c r="S340" s="2"/>
      <c r="T340" s="2"/>
    </row>
    <row r="341">
      <c r="A341" s="1">
        <f>IFERROR(__xludf.DUMMYFUNCTION("""COMPUTED_VALUE"""),339.0)</f>
        <v>339</v>
      </c>
      <c r="B341" s="2" t="str">
        <f>IFERROR(__xludf.DUMMYFUNCTION("""COMPUTED_VALUE"""),"Anduyan Multipurpose Cooperative")</f>
        <v>Anduyan Multipurpose Cooperative</v>
      </c>
      <c r="C341" s="2" t="str">
        <f>IFERROR(__xludf.DUMMYFUNCTION("""COMPUTED_VALUE"""),"Anduyan, Tubao, LA UNION")</f>
        <v>Anduyan, Tubao, LA UNION</v>
      </c>
      <c r="D341" s="2" t="str">
        <f>IFERROR(__xludf.DUMMYFUNCTION("""COMPUTED_VALUE"""),"Gina L. Boac")</f>
        <v>Gina L. Boac</v>
      </c>
      <c r="E341" s="2" t="str">
        <f>IFERROR(__xludf.DUMMYFUNCTION("""COMPUTED_VALUE"""),"0912-712-5735 / 0918-269-2147")</f>
        <v>0912-712-5735 / 0918-269-2147</v>
      </c>
      <c r="F341" s="2" t="str">
        <f>IFERROR(__xludf.DUMMYFUNCTION("""COMPUTED_VALUE"""),"RCEF 23-09-21 Rebidding")</f>
        <v>RCEF 23-09-21 Rebidding</v>
      </c>
      <c r="G341" s="2">
        <f>IFERROR(__xludf.DUMMYFUNCTION("""COMPUTED_VALUE"""),2.0)</f>
        <v>2</v>
      </c>
      <c r="H341" s="2">
        <f>IFERROR(__xludf.DUMMYFUNCTION("""COMPUTED_VALUE"""),18978.0)</f>
        <v>18978</v>
      </c>
      <c r="I341" s="2" t="str">
        <f>IFERROR(__xludf.DUMMYFUNCTION("""COMPUTED_VALUE"""),"KMC5825 ACRFPV0294")</f>
        <v>KMC5825 ACRFPV0294</v>
      </c>
      <c r="J341" s="2" t="str">
        <f>IFERROR(__xludf.DUMMYFUNCTION("""COMPUTED_VALUE"""),"RTS100025")</f>
        <v>RTS100025</v>
      </c>
      <c r="K341" s="2" t="str">
        <f>IFERROR(__xludf.DUMMYFUNCTION("""COMPUTED_VALUE"""),"WR SERIES 716 PH")</f>
        <v>WR SERIES 716 PH</v>
      </c>
      <c r="L341" s="2" t="str">
        <f>IFERROR(__xludf.DUMMYFUNCTION("""COMPUTED_VALUE"""),"LSGW1750 RMP 24010186")</f>
        <v>LSGW1750 RMP 24010186</v>
      </c>
      <c r="M341" s="2" t="str">
        <f>IFERROR(__xludf.DUMMYFUNCTION("""COMPUTED_VALUE"""),"WDP40 RMP 24030395")</f>
        <v>WDP40 RMP 24030395</v>
      </c>
      <c r="N341" s="2"/>
      <c r="O341" s="2" t="str">
        <f>IFERROR(__xludf.DUMMYFUNCTION("""COMPUTED_VALUE"""),"Anduyan")</f>
        <v>Anduyan</v>
      </c>
      <c r="P341" s="2" t="str">
        <f>IFERROR(__xludf.DUMMYFUNCTION("""COMPUTED_VALUE"""),"Tubao")</f>
        <v>Tubao</v>
      </c>
      <c r="Q341" s="2" t="str">
        <f>IFERROR(__xludf.DUMMYFUNCTION("""COMPUTED_VALUE"""),"La Union")</f>
        <v>La Union</v>
      </c>
      <c r="R341" s="2">
        <f>IFERROR(__xludf.DUMMYFUNCTION("""COMPUTED_VALUE"""),1.0)</f>
        <v>1</v>
      </c>
      <c r="S341" s="2"/>
      <c r="T341" s="2"/>
    </row>
    <row r="342">
      <c r="A342" s="1">
        <f>IFERROR(__xludf.DUMMYFUNCTION("""COMPUTED_VALUE"""),340.0)</f>
        <v>340</v>
      </c>
      <c r="B342" s="2" t="str">
        <f>IFERROR(__xludf.DUMMYFUNCTION("""COMPUTED_VALUE"""),"ALAMINOS CITY AGRICULTURE COOPERATIVE")</f>
        <v>ALAMINOS CITY AGRICULTURE COOPERATIVE</v>
      </c>
      <c r="C342" s="2" t="str">
        <f>IFERROR(__xludf.DUMMYFUNCTION("""COMPUTED_VALUE"""),"San Antonio (R. Magsaysay), Alaminos City, PANGASINAN")</f>
        <v>San Antonio (R. Magsaysay), Alaminos City, PANGASINAN</v>
      </c>
      <c r="D342" s="2" t="str">
        <f>IFERROR(__xludf.DUMMYFUNCTION("""COMPUTED_VALUE"""),"Letecia T. Dela Cruz")</f>
        <v>Letecia T. Dela Cruz</v>
      </c>
      <c r="E342" s="2" t="str">
        <f>IFERROR(__xludf.DUMMYFUNCTION("""COMPUTED_VALUE"""),"0915-748-9034")</f>
        <v>0915-748-9034</v>
      </c>
      <c r="F342" s="2" t="str">
        <f>IFERROR(__xludf.DUMMYFUNCTION("""COMPUTED_VALUE"""),"RCEF 23-09-21 Rebidding")</f>
        <v>RCEF 23-09-21 Rebidding</v>
      </c>
      <c r="G342" s="2">
        <f>IFERROR(__xludf.DUMMYFUNCTION("""COMPUTED_VALUE"""),9.0)</f>
        <v>9</v>
      </c>
      <c r="H342" s="2">
        <f>IFERROR(__xludf.DUMMYFUNCTION("""COMPUTED_VALUE"""),18979.0)</f>
        <v>18979</v>
      </c>
      <c r="I342" s="2" t="str">
        <f>IFERROR(__xludf.DUMMYFUNCTION("""COMPUTED_VALUE"""),"KMC5825 AARFPV0332")</f>
        <v>KMC5825 AARFPV0332</v>
      </c>
      <c r="J342" s="2" t="str">
        <f>IFERROR(__xludf.DUMMYFUNCTION("""COMPUTED_VALUE"""),"RTS100177")</f>
        <v>RTS100177</v>
      </c>
      <c r="K342" s="2" t="str">
        <f>IFERROR(__xludf.DUMMYFUNCTION("""COMPUTED_VALUE"""),"R-SERIES 375 PH")</f>
        <v>R-SERIES 375 PH</v>
      </c>
      <c r="L342" s="2" t="str">
        <f>IFERROR(__xludf.DUMMYFUNCTION("""COMPUTED_VALUE"""),"LSGW1750 RMP 24020422")</f>
        <v>LSGW1750 RMP 24020422</v>
      </c>
      <c r="M342" s="2" t="str">
        <f>IFERROR(__xludf.DUMMYFUNCTION("""COMPUTED_VALUE"""),"WDP40-RMP-24040509")</f>
        <v>WDP40-RMP-24040509</v>
      </c>
      <c r="N342" s="2"/>
      <c r="O342" s="2" t="str">
        <f>IFERROR(__xludf.DUMMYFUNCTION("""COMPUTED_VALUE"""),"San Antonio (R. Magsaysay)")</f>
        <v>San Antonio (R. Magsaysay)</v>
      </c>
      <c r="P342" s="2" t="str">
        <f>IFERROR(__xludf.DUMMYFUNCTION("""COMPUTED_VALUE"""),"Alaminos City")</f>
        <v>Alaminos City</v>
      </c>
      <c r="Q342" s="2" t="str">
        <f>IFERROR(__xludf.DUMMYFUNCTION("""COMPUTED_VALUE"""),"Pangasinan")</f>
        <v>Pangasinan</v>
      </c>
      <c r="R342" s="2">
        <f>IFERROR(__xludf.DUMMYFUNCTION("""COMPUTED_VALUE"""),1.0)</f>
        <v>1</v>
      </c>
      <c r="S342" s="2"/>
      <c r="T342" s="2"/>
    </row>
    <row r="343">
      <c r="A343" s="1">
        <f>IFERROR(__xludf.DUMMYFUNCTION("""COMPUTED_VALUE"""),341.0)</f>
        <v>341</v>
      </c>
      <c r="B343" s="2" t="str">
        <f>IFERROR(__xludf.DUMMYFUNCTION("""COMPUTED_VALUE"""),"SITANGLAB IRRIGATORS ASSOCIATION, INC")</f>
        <v>SITANGLAB IRRIGATORS ASSOCIATION, INC</v>
      </c>
      <c r="C343" s="2" t="str">
        <f>IFERROR(__xludf.DUMMYFUNCTION("""COMPUTED_VALUE"""),"Tanggal Sawang, Umingan, PANGASINAN")</f>
        <v>Tanggal Sawang, Umingan, PANGASINAN</v>
      </c>
      <c r="D343" s="2" t="str">
        <f>IFERROR(__xludf.DUMMYFUNCTION("""COMPUTED_VALUE"""),"Reynaldo M. Escobar")</f>
        <v>Reynaldo M. Escobar</v>
      </c>
      <c r="E343" s="2" t="str">
        <f>IFERROR(__xludf.DUMMYFUNCTION("""COMPUTED_VALUE"""),"0931-840-2147")</f>
        <v>0931-840-2147</v>
      </c>
      <c r="F343" s="2" t="str">
        <f>IFERROR(__xludf.DUMMYFUNCTION("""COMPUTED_VALUE"""),"RCEF 23-09-21 Rebidding")</f>
        <v>RCEF 23-09-21 Rebidding</v>
      </c>
      <c r="G343" s="2">
        <f>IFERROR(__xludf.DUMMYFUNCTION("""COMPUTED_VALUE"""),9.0)</f>
        <v>9</v>
      </c>
      <c r="H343" s="2">
        <f>IFERROR(__xludf.DUMMYFUNCTION("""COMPUTED_VALUE"""),18980.0)</f>
        <v>18980</v>
      </c>
      <c r="I343" s="2" t="str">
        <f>IFERROR(__xludf.DUMMYFUNCTION("""COMPUTED_VALUE"""),"KMC5825 APRFPV0372")</f>
        <v>KMC5825 APRFPV0372</v>
      </c>
      <c r="J343" s="2" t="str">
        <f>IFERROR(__xludf.DUMMYFUNCTION("""COMPUTED_VALUE"""),"RTS100282")</f>
        <v>RTS100282</v>
      </c>
      <c r="K343" s="2" t="str">
        <f>IFERROR(__xludf.DUMMYFUNCTION("""COMPUTED_VALUE"""),"R-SERIES 383 PH")</f>
        <v>R-SERIES 383 PH</v>
      </c>
      <c r="L343" s="2" t="str">
        <f>IFERROR(__xludf.DUMMYFUNCTION("""COMPUTED_VALUE"""),"LSGW1750 RMP 24020532")</f>
        <v>LSGW1750 RMP 24020532</v>
      </c>
      <c r="M343" s="2" t="str">
        <f>IFERROR(__xludf.DUMMYFUNCTION("""COMPUTED_VALUE"""),"WDP40-RMP-24040540")</f>
        <v>WDP40-RMP-24040540</v>
      </c>
      <c r="N343" s="2"/>
      <c r="O343" s="2" t="str">
        <f>IFERROR(__xludf.DUMMYFUNCTION("""COMPUTED_VALUE"""),"Tanggal Sawang")</f>
        <v>Tanggal Sawang</v>
      </c>
      <c r="P343" s="2" t="str">
        <f>IFERROR(__xludf.DUMMYFUNCTION("""COMPUTED_VALUE"""),"Umingan")</f>
        <v>Umingan</v>
      </c>
      <c r="Q343" s="2" t="str">
        <f>IFERROR(__xludf.DUMMYFUNCTION("""COMPUTED_VALUE"""),"Pangasinan")</f>
        <v>Pangasinan</v>
      </c>
      <c r="R343" s="2">
        <f>IFERROR(__xludf.DUMMYFUNCTION("""COMPUTED_VALUE"""),1.0)</f>
        <v>1</v>
      </c>
      <c r="S343" s="2"/>
      <c r="T343" s="2"/>
    </row>
    <row r="344">
      <c r="A344" s="1">
        <f>IFERROR(__xludf.DUMMYFUNCTION("""COMPUTED_VALUE"""),342.0)</f>
        <v>342</v>
      </c>
      <c r="B344" s="2" t="str">
        <f>IFERROR(__xludf.DUMMYFUNCTION("""COMPUTED_VALUE"""),"LAYUNIN NG MAPAYAPANG PAG-UNLAD ASSOCIATION, INCORPORATED")</f>
        <v>LAYUNIN NG MAPAYAPANG PAG-UNLAD ASSOCIATION, INCORPORATED</v>
      </c>
      <c r="C344" s="2" t="str">
        <f>IFERROR(__xludf.DUMMYFUNCTION("""COMPUTED_VALUE"""),"Boboy, Agno, PANGASINAN")</f>
        <v>Boboy, Agno, PANGASINAN</v>
      </c>
      <c r="D344" s="2" t="str">
        <f>IFERROR(__xludf.DUMMYFUNCTION("""COMPUTED_VALUE"""),"Noly V. Oiga")</f>
        <v>Noly V. Oiga</v>
      </c>
      <c r="E344" s="2" t="str">
        <f>IFERROR(__xludf.DUMMYFUNCTION("""COMPUTED_VALUE"""),"09978409821 / 09556935118")</f>
        <v>09978409821 / 09556935118</v>
      </c>
      <c r="F344" s="2" t="str">
        <f>IFERROR(__xludf.DUMMYFUNCTION("""COMPUTED_VALUE"""),"RCEF 23-09-21 Rebidding")</f>
        <v>RCEF 23-09-21 Rebidding</v>
      </c>
      <c r="G344" s="2">
        <f>IFERROR(__xludf.DUMMYFUNCTION("""COMPUTED_VALUE"""),2.0)</f>
        <v>2</v>
      </c>
      <c r="H344" s="2">
        <f>IFERROR(__xludf.DUMMYFUNCTION("""COMPUTED_VALUE"""),18981.0)</f>
        <v>18981</v>
      </c>
      <c r="I344" s="2" t="str">
        <f>IFERROR(__xludf.DUMMYFUNCTION("""COMPUTED_VALUE"""),"KMC5825AVRFPVO376")</f>
        <v>KMC5825AVRFPVO376</v>
      </c>
      <c r="J344" s="2" t="str">
        <f>IFERROR(__xludf.DUMMYFUNCTION("""COMPUTED_VALUE"""),"RTS100267")</f>
        <v>RTS100267</v>
      </c>
      <c r="K344" s="2" t="str">
        <f>IFERROR(__xludf.DUMMYFUNCTION("""COMPUTED_VALUE"""),"R-SERIES 366 PH")</f>
        <v>R-SERIES 366 PH</v>
      </c>
      <c r="L344" s="2" t="str">
        <f>IFERROR(__xludf.DUMMYFUNCTION("""COMPUTED_VALUE"""),"LSGW1750 RMP 24020515")</f>
        <v>LSGW1750 RMP 24020515</v>
      </c>
      <c r="M344" s="2" t="str">
        <f>IFERROR(__xludf.DUMMYFUNCTION("""COMPUTED_VALUE"""),"WDP40-RMP-24030395")</f>
        <v>WDP40-RMP-24030395</v>
      </c>
      <c r="N344" s="2"/>
      <c r="O344" s="2" t="str">
        <f>IFERROR(__xludf.DUMMYFUNCTION("""COMPUTED_VALUE"""),"Boboy")</f>
        <v>Boboy</v>
      </c>
      <c r="P344" s="2" t="str">
        <f>IFERROR(__xludf.DUMMYFUNCTION("""COMPUTED_VALUE"""),"Agno")</f>
        <v>Agno</v>
      </c>
      <c r="Q344" s="2" t="str">
        <f>IFERROR(__xludf.DUMMYFUNCTION("""COMPUTED_VALUE"""),"Pangasinan")</f>
        <v>Pangasinan</v>
      </c>
      <c r="R344" s="2">
        <f>IFERROR(__xludf.DUMMYFUNCTION("""COMPUTED_VALUE"""),1.0)</f>
        <v>1</v>
      </c>
      <c r="S344" s="2"/>
      <c r="T344" s="2"/>
    </row>
    <row r="345">
      <c r="A345" s="1">
        <f>IFERROR(__xludf.DUMMYFUNCTION("""COMPUTED_VALUE"""),343.0)</f>
        <v>343</v>
      </c>
      <c r="B345" s="2" t="str">
        <f>IFERROR(__xludf.DUMMYFUNCTION("""COMPUTED_VALUE"""),"Lambes Farmers Agriculture Cooperative")</f>
        <v>Lambes Farmers Agriculture Cooperative</v>
      </c>
      <c r="C345" s="2" t="str">
        <f>IFERROR(__xludf.DUMMYFUNCTION("""COMPUTED_VALUE"""),"LAMBES, BOLINAO, PANGASINAN")</f>
        <v>LAMBES, BOLINAO, PANGASINAN</v>
      </c>
      <c r="D345" s="2" t="str">
        <f>IFERROR(__xludf.DUMMYFUNCTION("""COMPUTED_VALUE"""),"Romeo G. Gabor")</f>
        <v>Romeo G. Gabor</v>
      </c>
      <c r="E345" s="2" t="str">
        <f>IFERROR(__xludf.DUMMYFUNCTION("""COMPUTED_VALUE"""),"0949 987 0897")</f>
        <v>0949 987 0897</v>
      </c>
      <c r="F345" s="2" t="str">
        <f>IFERROR(__xludf.DUMMYFUNCTION("""COMPUTED_VALUE"""),"RCEF 23-09-21 Rebidding")</f>
        <v>RCEF 23-09-21 Rebidding</v>
      </c>
      <c r="G345" s="2">
        <f>IFERROR(__xludf.DUMMYFUNCTION("""COMPUTED_VALUE"""),2.0)</f>
        <v>2</v>
      </c>
      <c r="H345" s="2">
        <f>IFERROR(__xludf.DUMMYFUNCTION("""COMPUTED_VALUE"""),18982.0)</f>
        <v>18982</v>
      </c>
      <c r="I345" s="2" t="str">
        <f>IFERROR(__xludf.DUMMYFUNCTION("""COMPUTED_VALUE"""),"KMC5825ACRFPV0627")</f>
        <v>KMC5825ACRFPV0627</v>
      </c>
      <c r="J345" s="2" t="str">
        <f>IFERROR(__xludf.DUMMYFUNCTION("""COMPUTED_VALUE"""),"RTS100522")</f>
        <v>RTS100522</v>
      </c>
      <c r="K345" s="2" t="str">
        <f>IFERROR(__xludf.DUMMYFUNCTION("""COMPUTED_VALUE"""),"R-SERIES-945")</f>
        <v>R-SERIES-945</v>
      </c>
      <c r="L345" s="2" t="str">
        <f>IFERROR(__xludf.DUMMYFUNCTION("""COMPUTED_VALUE"""),"LSGW1750-RMP-24010219")</f>
        <v>LSGW1750-RMP-24010219</v>
      </c>
      <c r="M345" s="2" t="str">
        <f>IFERROR(__xludf.DUMMYFUNCTION("""COMPUTED_VALUE"""),"WDP40-RMP-24050563")</f>
        <v>WDP40-RMP-24050563</v>
      </c>
      <c r="N345" s="2"/>
      <c r="O345" s="2" t="str">
        <f>IFERROR(__xludf.DUMMYFUNCTION("""COMPUTED_VALUE"""),"Lambes")</f>
        <v>Lambes</v>
      </c>
      <c r="P345" s="2" t="str">
        <f>IFERROR(__xludf.DUMMYFUNCTION("""COMPUTED_VALUE"""),"Bolinao")</f>
        <v>Bolinao</v>
      </c>
      <c r="Q345" s="2" t="str">
        <f>IFERROR(__xludf.DUMMYFUNCTION("""COMPUTED_VALUE"""),"Pangasinan")</f>
        <v>Pangasinan</v>
      </c>
      <c r="R345" s="2">
        <f>IFERROR(__xludf.DUMMYFUNCTION("""COMPUTED_VALUE"""),1.0)</f>
        <v>1</v>
      </c>
      <c r="S345" s="2"/>
      <c r="T345" s="2"/>
    </row>
    <row r="346">
      <c r="A346" s="1">
        <f>IFERROR(__xludf.DUMMYFUNCTION("""COMPUTED_VALUE"""),344.0)</f>
        <v>344</v>
      </c>
      <c r="B346" s="2" t="str">
        <f>IFERROR(__xludf.DUMMYFUNCTION("""COMPUTED_VALUE"""),"MALIMPIN P4MP INC.")</f>
        <v>MALIMPIN P4MP INC.</v>
      </c>
      <c r="C346" s="2" t="str">
        <f>IFERROR(__xludf.DUMMYFUNCTION("""COMPUTED_VALUE"""),"MALIMPIN, DASOL, PANGASINAN")</f>
        <v>MALIMPIN, DASOL, PANGASINAN</v>
      </c>
      <c r="D346" s="2" t="str">
        <f>IFERROR(__xludf.DUMMYFUNCTION("""COMPUTED_VALUE"""),"Joseph E. Dela Cruz")</f>
        <v>Joseph E. Dela Cruz</v>
      </c>
      <c r="E346" s="2" t="str">
        <f>IFERROR(__xludf.DUMMYFUNCTION("""COMPUTED_VALUE"""),"0935-071-2242")</f>
        <v>0935-071-2242</v>
      </c>
      <c r="F346" s="2" t="str">
        <f>IFERROR(__xludf.DUMMYFUNCTION("""COMPUTED_VALUE"""),"RCEF 23-09-21 Rebidding")</f>
        <v>RCEF 23-09-21 Rebidding</v>
      </c>
      <c r="G346" s="2">
        <f>IFERROR(__xludf.DUMMYFUNCTION("""COMPUTED_VALUE"""),2.0)</f>
        <v>2</v>
      </c>
      <c r="H346" s="2">
        <f>IFERROR(__xludf.DUMMYFUNCTION("""COMPUTED_VALUE"""),18983.0)</f>
        <v>18983</v>
      </c>
      <c r="I346" s="2" t="str">
        <f>IFERROR(__xludf.DUMMYFUNCTION("""COMPUTED_VALUE"""),"KMC5825APRFPV0629")</f>
        <v>KMC5825APRFPV0629</v>
      </c>
      <c r="J346" s="2" t="str">
        <f>IFERROR(__xludf.DUMMYFUNCTION("""COMPUTED_VALUE"""),"RTS100514")</f>
        <v>RTS100514</v>
      </c>
      <c r="K346" s="2" t="str">
        <f>IFERROR(__xludf.DUMMYFUNCTION("""COMPUTED_VALUE"""),"R-SERIES-841PH")</f>
        <v>R-SERIES-841PH</v>
      </c>
      <c r="L346" s="2" t="str">
        <f>IFERROR(__xludf.DUMMYFUNCTION("""COMPUTED_VALUE"""),"LSGW1750-RMP-24020469")</f>
        <v>LSGW1750-RMP-24020469</v>
      </c>
      <c r="M346" s="2" t="str">
        <f>IFERROR(__xludf.DUMMYFUNCTION("""COMPUTED_VALUE"""),"WDP40-RMP-24050542")</f>
        <v>WDP40-RMP-24050542</v>
      </c>
      <c r="N346" s="2"/>
      <c r="O346" s="2" t="str">
        <f>IFERROR(__xludf.DUMMYFUNCTION("""COMPUTED_VALUE"""),"Malimpin")</f>
        <v>Malimpin</v>
      </c>
      <c r="P346" s="2" t="str">
        <f>IFERROR(__xludf.DUMMYFUNCTION("""COMPUTED_VALUE"""),"Dasol")</f>
        <v>Dasol</v>
      </c>
      <c r="Q346" s="2" t="str">
        <f>IFERROR(__xludf.DUMMYFUNCTION("""COMPUTED_VALUE"""),"Pangasinan")</f>
        <v>Pangasinan</v>
      </c>
      <c r="R346" s="2">
        <f>IFERROR(__xludf.DUMMYFUNCTION("""COMPUTED_VALUE"""),1.0)</f>
        <v>1</v>
      </c>
      <c r="S346" s="2"/>
      <c r="T346" s="2"/>
    </row>
    <row r="347">
      <c r="A347" s="1">
        <f>IFERROR(__xludf.DUMMYFUNCTION("""COMPUTED_VALUE"""),345.0)</f>
        <v>345</v>
      </c>
      <c r="B347" s="2" t="str">
        <f>IFERROR(__xludf.DUMMYFUNCTION("""COMPUTED_VALUE"""),"MABILAY DANUM FARMERS IRRIGATORS ASSOCIATION")</f>
        <v>MABILAY DANUM FARMERS IRRIGATORS ASSOCIATION</v>
      </c>
      <c r="C347" s="2" t="str">
        <f>IFERROR(__xludf.DUMMYFUNCTION("""COMPUTED_VALUE"""),"Pangascasan, Sual, Pangasinan")</f>
        <v>Pangascasan, Sual, Pangasinan</v>
      </c>
      <c r="D347" s="2" t="str">
        <f>IFERROR(__xludf.DUMMYFUNCTION("""COMPUTED_VALUE"""),"Benjamin Reynaldo ")</f>
        <v>Benjamin Reynaldo </v>
      </c>
      <c r="E347" s="2">
        <f>IFERROR(__xludf.DUMMYFUNCTION("""COMPUTED_VALUE"""),9.503925103E9)</f>
        <v>9503925103</v>
      </c>
      <c r="F347" s="2" t="str">
        <f>IFERROR(__xludf.DUMMYFUNCTION("""COMPUTED_VALUE"""),"RCEF 23-09-21 Rebidding")</f>
        <v>RCEF 23-09-21 Rebidding</v>
      </c>
      <c r="G347" s="2">
        <f>IFERROR(__xludf.DUMMYFUNCTION("""COMPUTED_VALUE"""),2.0)</f>
        <v>2</v>
      </c>
      <c r="H347" s="2">
        <f>IFERROR(__xludf.DUMMYFUNCTION("""COMPUTED_VALUE"""),18984.0)</f>
        <v>18984</v>
      </c>
      <c r="I347" s="2" t="str">
        <f>IFERROR(__xludf.DUMMYFUNCTION("""COMPUTED_VALUE"""),"KMC5825ACRFPVO322")</f>
        <v>KMC5825ACRFPVO322</v>
      </c>
      <c r="J347" s="2" t="str">
        <f>IFERROR(__xludf.DUMMYFUNCTION("""COMPUTED_VALUE"""),"RTS100198")</f>
        <v>RTS100198</v>
      </c>
      <c r="K347" s="2" t="str">
        <f>IFERROR(__xludf.DUMMYFUNCTION("""COMPUTED_VALUE"""),"R-SERIES 434 PH")</f>
        <v>R-SERIES 434 PH</v>
      </c>
      <c r="L347" s="2" t="str">
        <f>IFERROR(__xludf.DUMMYFUNCTION("""COMPUTED_VALUE"""),"LSGW1750 RMP 24020503")</f>
        <v>LSGW1750 RMP 24020503</v>
      </c>
      <c r="M347" s="2" t="str">
        <f>IFERROR(__xludf.DUMMYFUNCTION("""COMPUTED_VALUE"""),"WDP-40-RMP-24040829")</f>
        <v>WDP-40-RMP-24040829</v>
      </c>
      <c r="N347" s="2"/>
      <c r="O347" s="2" t="str">
        <f>IFERROR(__xludf.DUMMYFUNCTION("""COMPUTED_VALUE"""),"Pangascasan")</f>
        <v>Pangascasan</v>
      </c>
      <c r="P347" s="2" t="str">
        <f>IFERROR(__xludf.DUMMYFUNCTION("""COMPUTED_VALUE"""),"Sual")</f>
        <v>Sual</v>
      </c>
      <c r="Q347" s="2" t="str">
        <f>IFERROR(__xludf.DUMMYFUNCTION("""COMPUTED_VALUE"""),"Pangasinan")</f>
        <v>Pangasinan</v>
      </c>
      <c r="R347" s="2">
        <f>IFERROR(__xludf.DUMMYFUNCTION("""COMPUTED_VALUE"""),1.0)</f>
        <v>1</v>
      </c>
      <c r="S347" s="2"/>
      <c r="T347" s="2"/>
    </row>
    <row r="348">
      <c r="A348" s="1">
        <f>IFERROR(__xludf.DUMMYFUNCTION("""COMPUTED_VALUE"""),346.0)</f>
        <v>346</v>
      </c>
      <c r="B348" s="2" t="str">
        <f>IFERROR(__xludf.DUMMYFUNCTION("""COMPUTED_VALUE"""),"BUGALLON CABIGAAN IRRIGATORS ASSOCIATION, INC.")</f>
        <v>BUGALLON CABIGAAN IRRIGATORS ASSOCIATION, INC.</v>
      </c>
      <c r="C348" s="2" t="str">
        <f>IFERROR(__xludf.DUMMYFUNCTION("""COMPUTED_VALUE"""),"Poblacion, Bugallon, PANGASINAN")</f>
        <v>Poblacion, Bugallon, PANGASINAN</v>
      </c>
      <c r="D348" s="2" t="str">
        <f>IFERROR(__xludf.DUMMYFUNCTION("""COMPUTED_VALUE"""),"Cesar B. Boquiren")</f>
        <v>Cesar B. Boquiren</v>
      </c>
      <c r="E348" s="2" t="str">
        <f>IFERROR(__xludf.DUMMYFUNCTION("""COMPUTED_VALUE"""),"0929-556-1116")</f>
        <v>0929-556-1116</v>
      </c>
      <c r="F348" s="2" t="str">
        <f>IFERROR(__xludf.DUMMYFUNCTION("""COMPUTED_VALUE"""),"RCEF 23-09-21 Rebidding")</f>
        <v>RCEF 23-09-21 Rebidding</v>
      </c>
      <c r="G348" s="2">
        <f>IFERROR(__xludf.DUMMYFUNCTION("""COMPUTED_VALUE"""),2.0)</f>
        <v>2</v>
      </c>
      <c r="H348" s="2">
        <f>IFERROR(__xludf.DUMMYFUNCTION("""COMPUTED_VALUE"""),18985.0)</f>
        <v>18985</v>
      </c>
      <c r="I348" s="2" t="str">
        <f>IFERROR(__xludf.DUMMYFUNCTION("""COMPUTED_VALUE"""),"KMC5825AERFPVO383")</f>
        <v>KMC5825AERFPVO383</v>
      </c>
      <c r="J348" s="2" t="str">
        <f>IFERROR(__xludf.DUMMYFUNCTION("""COMPUTED_VALUE"""),"RTS100242")</f>
        <v>RTS100242</v>
      </c>
      <c r="K348" s="2" t="str">
        <f>IFERROR(__xludf.DUMMYFUNCTION("""COMPUTED_VALUE"""),"R-SERIES 398 PH")</f>
        <v>R-SERIES 398 PH</v>
      </c>
      <c r="L348" s="2" t="str">
        <f>IFERROR(__xludf.DUMMYFUNCTION("""COMPUTED_VALUE"""),"LSGW1750 RMP 24020442")</f>
        <v>LSGW1750 RMP 24020442</v>
      </c>
      <c r="M348" s="2" t="str">
        <f>IFERROR(__xludf.DUMMYFUNCTION("""COMPUTED_VALUE"""),"WDP40-RMP-24040533")</f>
        <v>WDP40-RMP-24040533</v>
      </c>
      <c r="N348" s="2"/>
      <c r="O348" s="2" t="str">
        <f>IFERROR(__xludf.DUMMYFUNCTION("""COMPUTED_VALUE"""),"Poblacion")</f>
        <v>Poblacion</v>
      </c>
      <c r="P348" s="2" t="str">
        <f>IFERROR(__xludf.DUMMYFUNCTION("""COMPUTED_VALUE"""),"Bugallon")</f>
        <v>Bugallon</v>
      </c>
      <c r="Q348" s="2" t="str">
        <f>IFERROR(__xludf.DUMMYFUNCTION("""COMPUTED_VALUE"""),"Pangasinan")</f>
        <v>Pangasinan</v>
      </c>
      <c r="R348" s="2">
        <f>IFERROR(__xludf.DUMMYFUNCTION("""COMPUTED_VALUE"""),1.0)</f>
        <v>1</v>
      </c>
      <c r="S348" s="2"/>
      <c r="T348" s="2"/>
    </row>
    <row r="349">
      <c r="A349" s="1">
        <f>IFERROR(__xludf.DUMMYFUNCTION("""COMPUTED_VALUE"""),347.0)</f>
        <v>347</v>
      </c>
      <c r="B349" s="2" t="str">
        <f>IFERROR(__xludf.DUMMYFUNCTION("""COMPUTED_VALUE"""),"TANDOC SILAG KALUNGKONG FARMERS IRRIGATORS ASSOCIATION")</f>
        <v>TANDOC SILAG KALUNGKONG FARMERS IRRIGATORS ASSOCIATION</v>
      </c>
      <c r="C349" s="2" t="str">
        <f>IFERROR(__xludf.DUMMYFUNCTION("""COMPUTED_VALUE"""),"Uyong, Labrador, PANGASINAN")</f>
        <v>Uyong, Labrador, PANGASINAN</v>
      </c>
      <c r="D349" s="2" t="str">
        <f>IFERROR(__xludf.DUMMYFUNCTION("""COMPUTED_VALUE"""),"Rogelio R. Doton")</f>
        <v>Rogelio R. Doton</v>
      </c>
      <c r="E349" s="2" t="str">
        <f>IFERROR(__xludf.DUMMYFUNCTION("""COMPUTED_VALUE"""),"0921-947-8838")</f>
        <v>0921-947-8838</v>
      </c>
      <c r="F349" s="2" t="str">
        <f>IFERROR(__xludf.DUMMYFUNCTION("""COMPUTED_VALUE"""),"RCEF 23-09-21 Rebidding")</f>
        <v>RCEF 23-09-21 Rebidding</v>
      </c>
      <c r="G349" s="2">
        <f>IFERROR(__xludf.DUMMYFUNCTION("""COMPUTED_VALUE"""),2.0)</f>
        <v>2</v>
      </c>
      <c r="H349" s="2">
        <f>IFERROR(__xludf.DUMMYFUNCTION("""COMPUTED_VALUE"""),18986.0)</f>
        <v>18986</v>
      </c>
      <c r="I349" s="2" t="str">
        <f>IFERROR(__xludf.DUMMYFUNCTION("""COMPUTED_VALUE"""),"KMC5825AERFPVO424")</f>
        <v>KMC5825AERFPVO424</v>
      </c>
      <c r="J349" s="2" t="str">
        <f>IFERROR(__xludf.DUMMYFUNCTION("""COMPUTED_VALUE"""),"RTS100373")</f>
        <v>RTS100373</v>
      </c>
      <c r="K349" s="2" t="str">
        <f>IFERROR(__xludf.DUMMYFUNCTION("""COMPUTED_VALUE"""),"R-SERIES 363 PH")</f>
        <v>R-SERIES 363 PH</v>
      </c>
      <c r="L349" s="2" t="str">
        <f>IFERROR(__xludf.DUMMYFUNCTION("""COMPUTED_VALUE"""),"LSGW1750 RMP 24020437")</f>
        <v>LSGW1750 RMP 24020437</v>
      </c>
      <c r="M349" s="2" t="str">
        <f>IFERROR(__xludf.DUMMYFUNCTION("""COMPUTED_VALUE"""),"WDP40-RMP-24040517")</f>
        <v>WDP40-RMP-24040517</v>
      </c>
      <c r="N349" s="2"/>
      <c r="O349" s="2" t="str">
        <f>IFERROR(__xludf.DUMMYFUNCTION("""COMPUTED_VALUE"""),"Uyong")</f>
        <v>Uyong</v>
      </c>
      <c r="P349" s="2" t="str">
        <f>IFERROR(__xludf.DUMMYFUNCTION("""COMPUTED_VALUE"""),"Labrador")</f>
        <v>Labrador</v>
      </c>
      <c r="Q349" s="2" t="str">
        <f>IFERROR(__xludf.DUMMYFUNCTION("""COMPUTED_VALUE"""),"Pangasinan")</f>
        <v>Pangasinan</v>
      </c>
      <c r="R349" s="2">
        <f>IFERROR(__xludf.DUMMYFUNCTION("""COMPUTED_VALUE"""),1.0)</f>
        <v>1</v>
      </c>
      <c r="S349" s="2"/>
      <c r="T349" s="2"/>
    </row>
    <row r="350">
      <c r="A350" s="1">
        <f>IFERROR(__xludf.DUMMYFUNCTION("""COMPUTED_VALUE"""),348.0)</f>
        <v>348</v>
      </c>
      <c r="B350" s="2" t="str">
        <f>IFERROR(__xludf.DUMMYFUNCTION("""COMPUTED_VALUE"""),"Malabobo Farmers Association, Inc.")</f>
        <v>Malabobo Farmers Association, Inc.</v>
      </c>
      <c r="C350" s="2" t="str">
        <f>IFERROR(__xludf.DUMMYFUNCTION("""COMPUTED_VALUE"""),"Malabobo, Mangatarem, PANGASINAN")</f>
        <v>Malabobo, Mangatarem, PANGASINAN</v>
      </c>
      <c r="D350" s="2" t="str">
        <f>IFERROR(__xludf.DUMMYFUNCTION("""COMPUTED_VALUE"""),"Adriano B. Laruta")</f>
        <v>Adriano B. Laruta</v>
      </c>
      <c r="E350" s="2" t="str">
        <f>IFERROR(__xludf.DUMMYFUNCTION("""COMPUTED_VALUE"""),"0999-752-2510")</f>
        <v>0999-752-2510</v>
      </c>
      <c r="F350" s="2" t="str">
        <f>IFERROR(__xludf.DUMMYFUNCTION("""COMPUTED_VALUE"""),"RCEF 23-09-21 Rebidding")</f>
        <v>RCEF 23-09-21 Rebidding</v>
      </c>
      <c r="G350" s="2">
        <f>IFERROR(__xludf.DUMMYFUNCTION("""COMPUTED_VALUE"""),2.0)</f>
        <v>2</v>
      </c>
      <c r="H350" s="2">
        <f>IFERROR(__xludf.DUMMYFUNCTION("""COMPUTED_VALUE"""),18987.0)</f>
        <v>18987</v>
      </c>
      <c r="I350" s="2" t="str">
        <f>IFERROR(__xludf.DUMMYFUNCTION("""COMPUTED_VALUE"""),"KMC5825AJREPV0388")</f>
        <v>KMC5825AJREPV0388</v>
      </c>
      <c r="J350" s="2" t="str">
        <f>IFERROR(__xludf.DUMMYFUNCTION("""COMPUTED_VALUE"""),"RTS100270")</f>
        <v>RTS100270</v>
      </c>
      <c r="K350" s="2" t="str">
        <f>IFERROR(__xludf.DUMMYFUNCTION("""COMPUTED_VALUE"""),"R-SERIES 4247 PH")</f>
        <v>R-SERIES 4247 PH</v>
      </c>
      <c r="L350" s="2" t="str">
        <f>IFERROR(__xludf.DUMMYFUNCTION("""COMPUTED_VALUE"""),"LSGW RMP 24020441")</f>
        <v>LSGW RMP 24020441</v>
      </c>
      <c r="M350" s="2" t="str">
        <f>IFERROR(__xludf.DUMMYFUNCTION("""COMPUTED_VALUE"""),"WDP40-RMP-24040510")</f>
        <v>WDP40-RMP-24040510</v>
      </c>
      <c r="N350" s="2"/>
      <c r="O350" s="2" t="str">
        <f>IFERROR(__xludf.DUMMYFUNCTION("""COMPUTED_VALUE"""),"Malabobo")</f>
        <v>Malabobo</v>
      </c>
      <c r="P350" s="2" t="str">
        <f>IFERROR(__xludf.DUMMYFUNCTION("""COMPUTED_VALUE"""),"Mangatarem")</f>
        <v>Mangatarem</v>
      </c>
      <c r="Q350" s="2" t="str">
        <f>IFERROR(__xludf.DUMMYFUNCTION("""COMPUTED_VALUE"""),"Pangasinan")</f>
        <v>Pangasinan</v>
      </c>
      <c r="R350" s="2">
        <f>IFERROR(__xludf.DUMMYFUNCTION("""COMPUTED_VALUE"""),1.0)</f>
        <v>1</v>
      </c>
      <c r="S350" s="2"/>
      <c r="T350" s="2"/>
    </row>
    <row r="351">
      <c r="A351" s="1">
        <f>IFERROR(__xludf.DUMMYFUNCTION("""COMPUTED_VALUE"""),349.0)</f>
        <v>349</v>
      </c>
      <c r="B351" s="2" t="str">
        <f>IFERROR(__xludf.DUMMYFUNCTION("""COMPUTED_VALUE"""),"BRGY. MALIMPEC, BAYAMBANG, PANGASINAN FARMERS ASSOCIATION")</f>
        <v>BRGY. MALIMPEC, BAYAMBANG, PANGASINAN FARMERS ASSOCIATION</v>
      </c>
      <c r="C351" s="2" t="str">
        <f>IFERROR(__xludf.DUMMYFUNCTION("""COMPUTED_VALUE"""),"Malimpec, Bayambang, PANGASINAN")</f>
        <v>Malimpec, Bayambang, PANGASINAN</v>
      </c>
      <c r="D351" s="2" t="str">
        <f>IFERROR(__xludf.DUMMYFUNCTION("""COMPUTED_VALUE"""),"Wally C. Saygo")</f>
        <v>Wally C. Saygo</v>
      </c>
      <c r="E351" s="2">
        <f>IFERROR(__xludf.DUMMYFUNCTION("""COMPUTED_VALUE"""),9.097159536E9)</f>
        <v>9097159536</v>
      </c>
      <c r="F351" s="2" t="str">
        <f>IFERROR(__xludf.DUMMYFUNCTION("""COMPUTED_VALUE"""),"RCEF 23-09-21 Rebidding")</f>
        <v>RCEF 23-09-21 Rebidding</v>
      </c>
      <c r="G351" s="2">
        <f>IFERROR(__xludf.DUMMYFUNCTION("""COMPUTED_VALUE"""),2.0)</f>
        <v>2</v>
      </c>
      <c r="H351" s="2">
        <f>IFERROR(__xludf.DUMMYFUNCTION("""COMPUTED_VALUE"""),18988.0)</f>
        <v>18988</v>
      </c>
      <c r="I351" s="2" t="str">
        <f>IFERROR(__xludf.DUMMYFUNCTION("""COMPUTED_VALUE"""),"KMC5825AERPFU0349")</f>
        <v>KMC5825AERPFU0349</v>
      </c>
      <c r="J351" s="2" t="str">
        <f>IFERROR(__xludf.DUMMYFUNCTION("""COMPUTED_VALUE"""),"RTS100240")</f>
        <v>RTS100240</v>
      </c>
      <c r="K351" s="2" t="str">
        <f>IFERROR(__xludf.DUMMYFUNCTION("""COMPUTED_VALUE"""),"R-SERIES 364 PH")</f>
        <v>R-SERIES 364 PH</v>
      </c>
      <c r="L351" s="2" t="str">
        <f>IFERROR(__xludf.DUMMYFUNCTION("""COMPUTED_VALUE"""),"LSGW 1750 RMP 24020433")</f>
        <v>LSGW 1750 RMP 24020433</v>
      </c>
      <c r="M351" s="2" t="str">
        <f>IFERROR(__xludf.DUMMYFUNCTION("""COMPUTED_VALUE"""),"WDP40-RMP-24030341")</f>
        <v>WDP40-RMP-24030341</v>
      </c>
      <c r="N351" s="2"/>
      <c r="O351" s="2" t="str">
        <f>IFERROR(__xludf.DUMMYFUNCTION("""COMPUTED_VALUE"""),"Malimpec")</f>
        <v>Malimpec</v>
      </c>
      <c r="P351" s="2" t="str">
        <f>IFERROR(__xludf.DUMMYFUNCTION("""COMPUTED_VALUE"""),"Bayambang")</f>
        <v>Bayambang</v>
      </c>
      <c r="Q351" s="2" t="str">
        <f>IFERROR(__xludf.DUMMYFUNCTION("""COMPUTED_VALUE"""),"Pangasinan")</f>
        <v>Pangasinan</v>
      </c>
      <c r="R351" s="2">
        <f>IFERROR(__xludf.DUMMYFUNCTION("""COMPUTED_VALUE"""),1.0)</f>
        <v>1</v>
      </c>
      <c r="S351" s="2"/>
      <c r="T351" s="2"/>
    </row>
    <row r="352">
      <c r="A352" s="1">
        <f>IFERROR(__xludf.DUMMYFUNCTION("""COMPUTED_VALUE"""),350.0)</f>
        <v>350</v>
      </c>
      <c r="B352" s="2" t="str">
        <f>IFERROR(__xludf.DUMMYFUNCTION("""COMPUTED_VALUE"""),"PASIMA MULTI-PURPOSE COOPERATIVE")</f>
        <v>PASIMA MULTI-PURPOSE COOPERATIVE</v>
      </c>
      <c r="C352" s="2" t="str">
        <f>IFERROR(__xludf.DUMMYFUNCTION("""COMPUTED_VALUE"""),"Pasima, Malasiqui, PANGASINAN")</f>
        <v>Pasima, Malasiqui, PANGASINAN</v>
      </c>
      <c r="D352" s="2" t="str">
        <f>IFERROR(__xludf.DUMMYFUNCTION("""COMPUTED_VALUE"""),"Jonathan A. Rangel")</f>
        <v>Jonathan A. Rangel</v>
      </c>
      <c r="E352" s="2">
        <f>IFERROR(__xludf.DUMMYFUNCTION("""COMPUTED_VALUE"""),9.228842049E9)</f>
        <v>9228842049</v>
      </c>
      <c r="F352" s="2" t="str">
        <f>IFERROR(__xludf.DUMMYFUNCTION("""COMPUTED_VALUE"""),"RCEF 23-09-21 Rebidding")</f>
        <v>RCEF 23-09-21 Rebidding</v>
      </c>
      <c r="G352" s="2">
        <f>IFERROR(__xludf.DUMMYFUNCTION("""COMPUTED_VALUE"""),2.0)</f>
        <v>2</v>
      </c>
      <c r="H352" s="2">
        <f>IFERROR(__xludf.DUMMYFUNCTION("""COMPUTED_VALUE"""),18989.0)</f>
        <v>18989</v>
      </c>
      <c r="I352" s="2" t="str">
        <f>IFERROR(__xludf.DUMMYFUNCTION("""COMPUTED_VALUE"""),"KMC825AKRFPVO387")</f>
        <v>KMC825AKRFPVO387</v>
      </c>
      <c r="J352" s="2" t="str">
        <f>IFERROR(__xludf.DUMMYFUNCTION("""COMPUTED_VALUE"""),"RTS100276")</f>
        <v>RTS100276</v>
      </c>
      <c r="K352" s="2" t="str">
        <f>IFERROR(__xludf.DUMMYFUNCTION("""COMPUTED_VALUE"""),"R-SERIES 406 PH")</f>
        <v>R-SERIES 406 PH</v>
      </c>
      <c r="L352" s="2" t="str">
        <f>IFERROR(__xludf.DUMMYFUNCTION("""COMPUTED_VALUE"""),"LSGW 1750 RMP 24020419")</f>
        <v>LSGW 1750 RMP 24020419</v>
      </c>
      <c r="M352" s="2" t="str">
        <f>IFERROR(__xludf.DUMMYFUNCTION("""COMPUTED_VALUE"""),"WDP40-RMP-24040512")</f>
        <v>WDP40-RMP-24040512</v>
      </c>
      <c r="N352" s="2"/>
      <c r="O352" s="2" t="str">
        <f>IFERROR(__xludf.DUMMYFUNCTION("""COMPUTED_VALUE"""),"Pasima")</f>
        <v>Pasima</v>
      </c>
      <c r="P352" s="2" t="str">
        <f>IFERROR(__xludf.DUMMYFUNCTION("""COMPUTED_VALUE"""),"Malasiqui")</f>
        <v>Malasiqui</v>
      </c>
      <c r="Q352" s="2" t="str">
        <f>IFERROR(__xludf.DUMMYFUNCTION("""COMPUTED_VALUE"""),"Pangasinan")</f>
        <v>Pangasinan</v>
      </c>
      <c r="R352" s="2">
        <f>IFERROR(__xludf.DUMMYFUNCTION("""COMPUTED_VALUE"""),1.0)</f>
        <v>1</v>
      </c>
      <c r="S352" s="2"/>
      <c r="T352" s="2"/>
    </row>
    <row r="353">
      <c r="A353" s="1">
        <f>IFERROR(__xludf.DUMMYFUNCTION("""COMPUTED_VALUE"""),351.0)</f>
        <v>351</v>
      </c>
      <c r="B353" s="2" t="str">
        <f>IFERROR(__xludf.DUMMYFUNCTION("""COMPUTED_VALUE"""),"PRIMICIAS MASIPAG FARMERS ASSOCIATION, INC.")</f>
        <v>PRIMICIAS MASIPAG FARMERS ASSOCIATION, INC.</v>
      </c>
      <c r="C353" s="2" t="str">
        <f>IFERROR(__xludf.DUMMYFUNCTION("""COMPUTED_VALUE"""),"Primicias, Mapandan, PANGASINAN")</f>
        <v>Primicias, Mapandan, PANGASINAN</v>
      </c>
      <c r="D353" s="2" t="str">
        <f>IFERROR(__xludf.DUMMYFUNCTION("""COMPUTED_VALUE"""),"German S. Valenzuela")</f>
        <v>German S. Valenzuela</v>
      </c>
      <c r="E353" s="2" t="str">
        <f>IFERROR(__xludf.DUMMYFUNCTION("""COMPUTED_VALUE"""),"0922-866-9364")</f>
        <v>0922-866-9364</v>
      </c>
      <c r="F353" s="2" t="str">
        <f>IFERROR(__xludf.DUMMYFUNCTION("""COMPUTED_VALUE"""),"RCEF 23-09-21 Rebidding")</f>
        <v>RCEF 23-09-21 Rebidding</v>
      </c>
      <c r="G353" s="2">
        <f>IFERROR(__xludf.DUMMYFUNCTION("""COMPUTED_VALUE"""),2.0)</f>
        <v>2</v>
      </c>
      <c r="H353" s="2">
        <f>IFERROR(__xludf.DUMMYFUNCTION("""COMPUTED_VALUE"""),18990.0)</f>
        <v>18990</v>
      </c>
      <c r="I353" s="2" t="str">
        <f>IFERROR(__xludf.DUMMYFUNCTION("""COMPUTED_VALUE"""),"KMC5825ACRFVO420")</f>
        <v>KMC5825ACRFVO420</v>
      </c>
      <c r="J353" s="2" t="str">
        <f>IFERROR(__xludf.DUMMYFUNCTION("""COMPUTED_VALUE"""),"RTS100325")</f>
        <v>RTS100325</v>
      </c>
      <c r="K353" s="2" t="str">
        <f>IFERROR(__xludf.DUMMYFUNCTION("""COMPUTED_VALUE"""),"R-SERIES 369 PH")</f>
        <v>R-SERIES 369 PH</v>
      </c>
      <c r="L353" s="2" t="str">
        <f>IFERROR(__xludf.DUMMYFUNCTION("""COMPUTED_VALUE"""),"LSGW 1750 RMP 24020436")</f>
        <v>LSGW 1750 RMP 24020436</v>
      </c>
      <c r="M353" s="2" t="str">
        <f>IFERROR(__xludf.DUMMYFUNCTION("""COMPUTED_VALUE"""),"WDP-40-RMP-24040515")</f>
        <v>WDP-40-RMP-24040515</v>
      </c>
      <c r="N353" s="2"/>
      <c r="O353" s="2" t="str">
        <f>IFERROR(__xludf.DUMMYFUNCTION("""COMPUTED_VALUE"""),"Primicias")</f>
        <v>Primicias</v>
      </c>
      <c r="P353" s="2" t="str">
        <f>IFERROR(__xludf.DUMMYFUNCTION("""COMPUTED_VALUE"""),"Mapandan")</f>
        <v>Mapandan</v>
      </c>
      <c r="Q353" s="2" t="str">
        <f>IFERROR(__xludf.DUMMYFUNCTION("""COMPUTED_VALUE"""),"Pangasinan")</f>
        <v>Pangasinan</v>
      </c>
      <c r="R353" s="2">
        <f>IFERROR(__xludf.DUMMYFUNCTION("""COMPUTED_VALUE"""),1.0)</f>
        <v>1</v>
      </c>
      <c r="S353" s="2"/>
      <c r="T353" s="2"/>
    </row>
    <row r="354">
      <c r="A354" s="1">
        <f>IFERROR(__xludf.DUMMYFUNCTION("""COMPUTED_VALUE"""),352.0)</f>
        <v>352</v>
      </c>
      <c r="B354" s="2" t="str">
        <f>IFERROR(__xludf.DUMMYFUNCTION("""COMPUTED_VALUE"""),"MANINGDING KADARALUSAN FARMERS ASSOCIATION INCORPORATED")</f>
        <v>MANINGDING KADARALUSAN FARMERS ASSOCIATION INCORPORATED</v>
      </c>
      <c r="C354" s="2" t="str">
        <f>IFERROR(__xludf.DUMMYFUNCTION("""COMPUTED_VALUE"""),"Maningding, Santa Barbara, PANGASINAN")</f>
        <v>Maningding, Santa Barbara, PANGASINAN</v>
      </c>
      <c r="D354" s="2" t="str">
        <f>IFERROR(__xludf.DUMMYFUNCTION("""COMPUTED_VALUE"""),"Cirila R. Capua")</f>
        <v>Cirila R. Capua</v>
      </c>
      <c r="E354" s="2" t="str">
        <f>IFERROR(__xludf.DUMMYFUNCTION("""COMPUTED_VALUE"""),"0917-960-2998/0928-107-7504")</f>
        <v>0917-960-2998/0928-107-7504</v>
      </c>
      <c r="F354" s="2" t="str">
        <f>IFERROR(__xludf.DUMMYFUNCTION("""COMPUTED_VALUE"""),"RCEF 23-09-21 Rebidding")</f>
        <v>RCEF 23-09-21 Rebidding</v>
      </c>
      <c r="G354" s="2">
        <f>IFERROR(__xludf.DUMMYFUNCTION("""COMPUTED_VALUE"""),2.0)</f>
        <v>2</v>
      </c>
      <c r="H354" s="2">
        <f>IFERROR(__xludf.DUMMYFUNCTION("""COMPUTED_VALUE"""),18991.0)</f>
        <v>18991</v>
      </c>
      <c r="I354" s="2" t="str">
        <f>IFERROR(__xludf.DUMMYFUNCTION("""COMPUTED_VALUE"""),"KMC5825AARFPV0377")</f>
        <v>KMC5825AARFPV0377</v>
      </c>
      <c r="J354" s="2" t="str">
        <f>IFERROR(__xludf.DUMMYFUNCTION("""COMPUTED_VALUE"""),"RTS100268")</f>
        <v>RTS100268</v>
      </c>
      <c r="K354" s="2" t="str">
        <f>IFERROR(__xludf.DUMMYFUNCTION("""COMPUTED_VALUE"""),"R-SERIES 379 PH")</f>
        <v>R-SERIES 379 PH</v>
      </c>
      <c r="L354" s="2" t="str">
        <f>IFERROR(__xludf.DUMMYFUNCTION("""COMPUTED_VALUE"""),"LSGW 1750 RMP 24020426")</f>
        <v>LSGW 1750 RMP 24020426</v>
      </c>
      <c r="M354" s="2" t="str">
        <f>IFERROR(__xludf.DUMMYFUNCTION("""COMPUTED_VALUE"""),"WDP40-RMP-24040515")</f>
        <v>WDP40-RMP-24040515</v>
      </c>
      <c r="N354" s="2"/>
      <c r="O354" s="2" t="str">
        <f>IFERROR(__xludf.DUMMYFUNCTION("""COMPUTED_VALUE"""),"Maningding")</f>
        <v>Maningding</v>
      </c>
      <c r="P354" s="2" t="str">
        <f>IFERROR(__xludf.DUMMYFUNCTION("""COMPUTED_VALUE"""),"Santa Barbara")</f>
        <v>Santa Barbara</v>
      </c>
      <c r="Q354" s="2" t="str">
        <f>IFERROR(__xludf.DUMMYFUNCTION("""COMPUTED_VALUE"""),"Pangasinan")</f>
        <v>Pangasinan</v>
      </c>
      <c r="R354" s="2">
        <f>IFERROR(__xludf.DUMMYFUNCTION("""COMPUTED_VALUE"""),1.0)</f>
        <v>1</v>
      </c>
      <c r="S354" s="2"/>
      <c r="T354" s="2"/>
    </row>
    <row r="355">
      <c r="A355" s="1">
        <f>IFERROR(__xludf.DUMMYFUNCTION("""COMPUTED_VALUE"""),353.0)</f>
        <v>353</v>
      </c>
      <c r="B355" s="2" t="str">
        <f>IFERROR(__xludf.DUMMYFUNCTION("""COMPUTED_VALUE"""),"MAKABAGONG MAGSASAKA IRRIGATORS ASSOCIATION INC.")</f>
        <v>MAKABAGONG MAGSASAKA IRRIGATORS ASSOCIATION INC.</v>
      </c>
      <c r="C355" s="2" t="str">
        <f>IFERROR(__xludf.DUMMYFUNCTION("""COMPUTED_VALUE"""),"Angio, San Fabian, PANGASINAN")</f>
        <v>Angio, San Fabian, PANGASINAN</v>
      </c>
      <c r="D355" s="2" t="str">
        <f>IFERROR(__xludf.DUMMYFUNCTION("""COMPUTED_VALUE"""),"Bernie Dispo")</f>
        <v>Bernie Dispo</v>
      </c>
      <c r="E355" s="2" t="str">
        <f>IFERROR(__xludf.DUMMYFUNCTION("""COMPUTED_VALUE"""),"0932-769-0717")</f>
        <v>0932-769-0717</v>
      </c>
      <c r="F355" s="2" t="str">
        <f>IFERROR(__xludf.DUMMYFUNCTION("""COMPUTED_VALUE"""),"RCEF 23-09-21 Rebidding")</f>
        <v>RCEF 23-09-21 Rebidding</v>
      </c>
      <c r="G355" s="2">
        <f>IFERROR(__xludf.DUMMYFUNCTION("""COMPUTED_VALUE"""),2.0)</f>
        <v>2</v>
      </c>
      <c r="H355" s="2">
        <f>IFERROR(__xludf.DUMMYFUNCTION("""COMPUTED_VALUE"""),18992.0)</f>
        <v>18992</v>
      </c>
      <c r="I355" s="2" t="str">
        <f>IFERROR(__xludf.DUMMYFUNCTION("""COMPUTED_VALUE"""),"KMC5825AKRFPV0373")</f>
        <v>KMC5825AKRFPV0373</v>
      </c>
      <c r="J355" s="2" t="str">
        <f>IFERROR(__xludf.DUMMYFUNCTION("""COMPUTED_VALUE"""),"RTS100274")</f>
        <v>RTS100274</v>
      </c>
      <c r="K355" s="2" t="str">
        <f>IFERROR(__xludf.DUMMYFUNCTION("""COMPUTED_VALUE"""),"R-SERIES 407 PH")</f>
        <v>R-SERIES 407 PH</v>
      </c>
      <c r="L355" s="2" t="str">
        <f>IFERROR(__xludf.DUMMYFUNCTION("""COMPUTED_VALUE"""),"LSGW 1750 RMP 24020410")</f>
        <v>LSGW 1750 RMP 24020410</v>
      </c>
      <c r="M355" s="2" t="str">
        <f>IFERROR(__xludf.DUMMYFUNCTION("""COMPUTED_VALUE"""),"WDP40-RMP-24040508")</f>
        <v>WDP40-RMP-24040508</v>
      </c>
      <c r="N355" s="2"/>
      <c r="O355" s="2" t="str">
        <f>IFERROR(__xludf.DUMMYFUNCTION("""COMPUTED_VALUE"""),"Angio")</f>
        <v>Angio</v>
      </c>
      <c r="P355" s="2" t="str">
        <f>IFERROR(__xludf.DUMMYFUNCTION("""COMPUTED_VALUE"""),"San Fabian")</f>
        <v>San Fabian</v>
      </c>
      <c r="Q355" s="2" t="str">
        <f>IFERROR(__xludf.DUMMYFUNCTION("""COMPUTED_VALUE"""),"Pangasinan")</f>
        <v>Pangasinan</v>
      </c>
      <c r="R355" s="2">
        <f>IFERROR(__xludf.DUMMYFUNCTION("""COMPUTED_VALUE"""),1.0)</f>
        <v>1</v>
      </c>
      <c r="S355" s="2"/>
      <c r="T355" s="2"/>
    </row>
    <row r="356">
      <c r="A356" s="1">
        <f>IFERROR(__xludf.DUMMYFUNCTION("""COMPUTED_VALUE"""),354.0)</f>
        <v>354</v>
      </c>
      <c r="B356" s="2" t="str">
        <f>IFERROR(__xludf.DUMMYFUNCTION("""COMPUTED_VALUE"""),"VILLANUEVA FARMERS ASSOCIATION")</f>
        <v>VILLANUEVA FARMERS ASSOCIATION</v>
      </c>
      <c r="C356" s="2" t="str">
        <f>IFERROR(__xludf.DUMMYFUNCTION("""COMPUTED_VALUE"""),"Villanueva, Bautista, PANGASINAN")</f>
        <v>Villanueva, Bautista, PANGASINAN</v>
      </c>
      <c r="D356" s="2" t="str">
        <f>IFERROR(__xludf.DUMMYFUNCTION("""COMPUTED_VALUE"""),"Marietes P. Maregmen")</f>
        <v>Marietes P. Maregmen</v>
      </c>
      <c r="E356" s="2" t="str">
        <f>IFERROR(__xludf.DUMMYFUNCTION("""COMPUTED_VALUE"""),"0926-261-8681")</f>
        <v>0926-261-8681</v>
      </c>
      <c r="F356" s="2" t="str">
        <f>IFERROR(__xludf.DUMMYFUNCTION("""COMPUTED_VALUE"""),"RCEF 23-09-21 Rebidding")</f>
        <v>RCEF 23-09-21 Rebidding</v>
      </c>
      <c r="G356" s="2">
        <f>IFERROR(__xludf.DUMMYFUNCTION("""COMPUTED_VALUE"""),2.0)</f>
        <v>2</v>
      </c>
      <c r="H356" s="2">
        <f>IFERROR(__xludf.DUMMYFUNCTION("""COMPUTED_VALUE"""),18993.0)</f>
        <v>18993</v>
      </c>
      <c r="I356" s="2" t="str">
        <f>IFERROR(__xludf.DUMMYFUNCTION("""COMPUTED_VALUE"""),"KMC5825ACRFPV0375")</f>
        <v>KMC5825ACRFPV0375</v>
      </c>
      <c r="J356" s="2" t="str">
        <f>IFERROR(__xludf.DUMMYFUNCTION("""COMPUTED_VALUE"""),"RTS100269")</f>
        <v>RTS100269</v>
      </c>
      <c r="K356" s="2" t="str">
        <f>IFERROR(__xludf.DUMMYFUNCTION("""COMPUTED_VALUE"""),"R-SERIES 403 PH")</f>
        <v>R-SERIES 403 PH</v>
      </c>
      <c r="L356" s="2" t="str">
        <f>IFERROR(__xludf.DUMMYFUNCTION("""COMPUTED_VALUE"""),"LSGW1750 RMP 24020443")</f>
        <v>LSGW1750 RMP 24020443</v>
      </c>
      <c r="M356" s="2" t="str">
        <f>IFERROR(__xludf.DUMMYFUNCTION("""COMPUTED_VALUE"""),"WDP-40-RMP-24040535")</f>
        <v>WDP-40-RMP-24040535</v>
      </c>
      <c r="N356" s="2"/>
      <c r="O356" s="2" t="str">
        <f>IFERROR(__xludf.DUMMYFUNCTION("""COMPUTED_VALUE"""),"Villanueva")</f>
        <v>Villanueva</v>
      </c>
      <c r="P356" s="2" t="str">
        <f>IFERROR(__xludf.DUMMYFUNCTION("""COMPUTED_VALUE"""),"Bautista")</f>
        <v>Bautista</v>
      </c>
      <c r="Q356" s="2" t="str">
        <f>IFERROR(__xludf.DUMMYFUNCTION("""COMPUTED_VALUE"""),"Pangasinan")</f>
        <v>Pangasinan</v>
      </c>
      <c r="R356" s="2">
        <f>IFERROR(__xludf.DUMMYFUNCTION("""COMPUTED_VALUE"""),1.0)</f>
        <v>1</v>
      </c>
      <c r="S356" s="2"/>
      <c r="T356" s="2"/>
    </row>
    <row r="357">
      <c r="A357" s="1">
        <f>IFERROR(__xludf.DUMMYFUNCTION("""COMPUTED_VALUE"""),355.0)</f>
        <v>355</v>
      </c>
      <c r="B357" s="2" t="str">
        <f>IFERROR(__xludf.DUMMYFUNCTION("""COMPUTED_VALUE"""),"ALISTO STO. NINO FARMERS ASSOCIATION INC.")</f>
        <v>ALISTO STO. NINO FARMERS ASSOCIATION INC.</v>
      </c>
      <c r="C357" s="2" t="str">
        <f>IFERROR(__xludf.DUMMYFUNCTION("""COMPUTED_VALUE"""),"Santo Niño, Binalonan, PANGASINAN")</f>
        <v>Santo Niño, Binalonan, PANGASINAN</v>
      </c>
      <c r="D357" s="2" t="str">
        <f>IFERROR(__xludf.DUMMYFUNCTION("""COMPUTED_VALUE"""),"Jericho U. Gabot")</f>
        <v>Jericho U. Gabot</v>
      </c>
      <c r="E357" s="2" t="str">
        <f>IFERROR(__xludf.DUMMYFUNCTION("""COMPUTED_VALUE"""),"0919-447-8358")</f>
        <v>0919-447-8358</v>
      </c>
      <c r="F357" s="2" t="str">
        <f>IFERROR(__xludf.DUMMYFUNCTION("""COMPUTED_VALUE"""),"RCEF 23-09-21 Rebidding")</f>
        <v>RCEF 23-09-21 Rebidding</v>
      </c>
      <c r="G357" s="2">
        <f>IFERROR(__xludf.DUMMYFUNCTION("""COMPUTED_VALUE"""),2.0)</f>
        <v>2</v>
      </c>
      <c r="H357" s="2">
        <f>IFERROR(__xludf.DUMMYFUNCTION("""COMPUTED_VALUE"""),18994.0)</f>
        <v>18994</v>
      </c>
      <c r="I357" s="2" t="str">
        <f>IFERROR(__xludf.DUMMYFUNCTION("""COMPUTED_VALUE"""),"KMC5825ALRFPVO428")</f>
        <v>KMC5825ALRFPVO428</v>
      </c>
      <c r="J357" s="2" t="str">
        <f>IFERROR(__xludf.DUMMYFUNCTION("""COMPUTED_VALUE"""),"RTS100339")</f>
        <v>RTS100339</v>
      </c>
      <c r="K357" s="2" t="str">
        <f>IFERROR(__xludf.DUMMYFUNCTION("""COMPUTED_VALUE"""),"R-SERIES 371 PH")</f>
        <v>R-SERIES 371 PH</v>
      </c>
      <c r="L357" s="2" t="str">
        <f>IFERROR(__xludf.DUMMYFUNCTION("""COMPUTED_VALUE"""),"LSGW1750 RMP 24020479")</f>
        <v>LSGW1750 RMP 24020479</v>
      </c>
      <c r="M357" s="2" t="str">
        <f>IFERROR(__xludf.DUMMYFUNCTION("""COMPUTED_VALUE"""),"WDP40-RMP-24040530")</f>
        <v>WDP40-RMP-24040530</v>
      </c>
      <c r="N357" s="2"/>
      <c r="O357" s="2" t="str">
        <f>IFERROR(__xludf.DUMMYFUNCTION("""COMPUTED_VALUE"""),"Santo Niño")</f>
        <v>Santo Niño</v>
      </c>
      <c r="P357" s="2" t="str">
        <f>IFERROR(__xludf.DUMMYFUNCTION("""COMPUTED_VALUE"""),"Binalonan")</f>
        <v>Binalonan</v>
      </c>
      <c r="Q357" s="2" t="str">
        <f>IFERROR(__xludf.DUMMYFUNCTION("""COMPUTED_VALUE"""),"Pangasinan")</f>
        <v>Pangasinan</v>
      </c>
      <c r="R357" s="2">
        <f>IFERROR(__xludf.DUMMYFUNCTION("""COMPUTED_VALUE"""),1.0)</f>
        <v>1</v>
      </c>
      <c r="S357" s="2"/>
      <c r="T357" s="2"/>
    </row>
    <row r="358">
      <c r="A358" s="1">
        <f>IFERROR(__xludf.DUMMYFUNCTION("""COMPUTED_VALUE"""),356.0)</f>
        <v>356</v>
      </c>
      <c r="B358" s="2" t="str">
        <f>IFERROR(__xludf.DUMMYFUNCTION("""COMPUTED_VALUE"""),"Pardas Lubas Binalonan Farmers Association Inc.")</f>
        <v>Pardas Lubas Binalonan Farmers Association Inc.</v>
      </c>
      <c r="C358" s="2" t="str">
        <f>IFERROR(__xludf.DUMMYFUNCTION("""COMPUTED_VALUE"""),"Santa Catalina, Binalonan, PANGASINAN")</f>
        <v>Santa Catalina, Binalonan, PANGASINAN</v>
      </c>
      <c r="D358" s="2" t="str">
        <f>IFERROR(__xludf.DUMMYFUNCTION("""COMPUTED_VALUE"""),"REYLY M. NAVARRO")</f>
        <v>REYLY M. NAVARRO</v>
      </c>
      <c r="E358" s="2" t="str">
        <f>IFERROR(__xludf.DUMMYFUNCTION("""COMPUTED_VALUE"""),"0915 431 3160")</f>
        <v>0915 431 3160</v>
      </c>
      <c r="F358" s="2" t="str">
        <f>IFERROR(__xludf.DUMMYFUNCTION("""COMPUTED_VALUE"""),"RCEF 23-09-21 Rebidding")</f>
        <v>RCEF 23-09-21 Rebidding</v>
      </c>
      <c r="G358" s="2">
        <f>IFERROR(__xludf.DUMMYFUNCTION("""COMPUTED_VALUE"""),2.0)</f>
        <v>2</v>
      </c>
      <c r="H358" s="2">
        <f>IFERROR(__xludf.DUMMYFUNCTION("""COMPUTED_VALUE"""),18995.0)</f>
        <v>18995</v>
      </c>
      <c r="I358" s="2" t="str">
        <f>IFERROR(__xludf.DUMMYFUNCTION("""COMPUTED_VALUE"""),"KMC5825AJRFPV0424")</f>
        <v>KMC5825AJRFPV0424</v>
      </c>
      <c r="J358" s="2" t="str">
        <f>IFERROR(__xludf.DUMMYFUNCTION("""COMPUTED_VALUE"""),"RTS100322")</f>
        <v>RTS100322</v>
      </c>
      <c r="K358" s="2" t="str">
        <f>IFERROR(__xludf.DUMMYFUNCTION("""COMPUTED_VALUE"""),"R-SERIES 362 PH")</f>
        <v>R-SERIES 362 PH</v>
      </c>
      <c r="L358" s="2" t="str">
        <f>IFERROR(__xludf.DUMMYFUNCTION("""COMPUTED_VALUE"""),"LSGW1750 RMP 24020409")</f>
        <v>LSGW1750 RMP 24020409</v>
      </c>
      <c r="M358" s="2" t="str">
        <f>IFERROR(__xludf.DUMMYFUNCTION("""COMPUTED_VALUE"""),"WDP-40-RMP-24050554")</f>
        <v>WDP-40-RMP-24050554</v>
      </c>
      <c r="N358" s="2"/>
      <c r="O358" s="2" t="str">
        <f>IFERROR(__xludf.DUMMYFUNCTION("""COMPUTED_VALUE"""),"Santa Catalina")</f>
        <v>Santa Catalina</v>
      </c>
      <c r="P358" s="2" t="str">
        <f>IFERROR(__xludf.DUMMYFUNCTION("""COMPUTED_VALUE"""),"Binalonan")</f>
        <v>Binalonan</v>
      </c>
      <c r="Q358" s="2" t="str">
        <f>IFERROR(__xludf.DUMMYFUNCTION("""COMPUTED_VALUE"""),"Pangasinan")</f>
        <v>Pangasinan</v>
      </c>
      <c r="R358" s="2">
        <f>IFERROR(__xludf.DUMMYFUNCTION("""COMPUTED_VALUE"""),1.0)</f>
        <v>1</v>
      </c>
      <c r="S358" s="2"/>
      <c r="T358" s="2"/>
    </row>
    <row r="359">
      <c r="A359" s="1">
        <f>IFERROR(__xludf.DUMMYFUNCTION("""COMPUTED_VALUE"""),357.0)</f>
        <v>357</v>
      </c>
      <c r="B359" s="2" t="str">
        <f>IFERROR(__xludf.DUMMYFUNCTION("""COMPUTED_VALUE"""),"Rang-ay Dumayat Binalonan Farmers Association Inc.")</f>
        <v>Rang-ay Dumayat Binalonan Farmers Association Inc.</v>
      </c>
      <c r="C359" s="2" t="str">
        <f>IFERROR(__xludf.DUMMYFUNCTION("""COMPUTED_VALUE"""),"Dumayat, Binalonan, PANGASINAN")</f>
        <v>Dumayat, Binalonan, PANGASINAN</v>
      </c>
      <c r="D359" s="2" t="str">
        <f>IFERROR(__xludf.DUMMYFUNCTION("""COMPUTED_VALUE"""),"Arnel Alibuyog")</f>
        <v>Arnel Alibuyog</v>
      </c>
      <c r="E359" s="2" t="str">
        <f>IFERROR(__xludf.DUMMYFUNCTION("""COMPUTED_VALUE"""),"0935 864 6123")</f>
        <v>0935 864 6123</v>
      </c>
      <c r="F359" s="2" t="str">
        <f>IFERROR(__xludf.DUMMYFUNCTION("""COMPUTED_VALUE"""),"RCEF 23-09-21 Rebidding")</f>
        <v>RCEF 23-09-21 Rebidding</v>
      </c>
      <c r="G359" s="2">
        <f>IFERROR(__xludf.DUMMYFUNCTION("""COMPUTED_VALUE"""),2.0)</f>
        <v>2</v>
      </c>
      <c r="H359" s="2">
        <f>IFERROR(__xludf.DUMMYFUNCTION("""COMPUTED_VALUE"""),18996.0)</f>
        <v>18996</v>
      </c>
      <c r="I359" s="2" t="str">
        <f>IFERROR(__xludf.DUMMYFUNCTION("""COMPUTED_VALUE"""),"KMC5825ACRFBVO305")</f>
        <v>KMC5825ACRFBVO305</v>
      </c>
      <c r="J359" s="2" t="str">
        <f>IFERROR(__xludf.DUMMYFUNCTION("""COMPUTED_VALUE"""),"RTS100187")</f>
        <v>RTS100187</v>
      </c>
      <c r="K359" s="2" t="str">
        <f>IFERROR(__xludf.DUMMYFUNCTION("""COMPUTED_VALUE"""),"R-SERIES 410 PH")</f>
        <v>R-SERIES 410 PH</v>
      </c>
      <c r="L359" s="2" t="str">
        <f>IFERROR(__xludf.DUMMYFUNCTION("""COMPUTED_VALUE"""),"LSGW1750 RMP 24020511")</f>
        <v>LSGW1750 RMP 24020511</v>
      </c>
      <c r="M359" s="2" t="str">
        <f>IFERROR(__xludf.DUMMYFUNCTION("""COMPUTED_VALUE"""),"WDP-40-RMP-24040518")</f>
        <v>WDP-40-RMP-24040518</v>
      </c>
      <c r="N359" s="2"/>
      <c r="O359" s="2" t="str">
        <f>IFERROR(__xludf.DUMMYFUNCTION("""COMPUTED_VALUE"""),"Dumayat")</f>
        <v>Dumayat</v>
      </c>
      <c r="P359" s="2" t="str">
        <f>IFERROR(__xludf.DUMMYFUNCTION("""COMPUTED_VALUE"""),"Binalonan")</f>
        <v>Binalonan</v>
      </c>
      <c r="Q359" s="2" t="str">
        <f>IFERROR(__xludf.DUMMYFUNCTION("""COMPUTED_VALUE"""),"Pangasinan")</f>
        <v>Pangasinan</v>
      </c>
      <c r="R359" s="2">
        <f>IFERROR(__xludf.DUMMYFUNCTION("""COMPUTED_VALUE"""),1.0)</f>
        <v>1</v>
      </c>
      <c r="S359" s="2"/>
      <c r="T359" s="2"/>
    </row>
    <row r="360">
      <c r="A360" s="1">
        <f>IFERROR(__xludf.DUMMYFUNCTION("""COMPUTED_VALUE"""),358.0)</f>
        <v>358</v>
      </c>
      <c r="B360" s="2" t="str">
        <f>IFERROR(__xludf.DUMMYFUNCTION("""COMPUTED_VALUE"""),"SOLID PANAGANIAN FARMERS ASSOCIATION INC.")</f>
        <v>SOLID PANAGANIAN FARMERS ASSOCIATION INC.</v>
      </c>
      <c r="C360" s="2" t="str">
        <f>IFERROR(__xludf.DUMMYFUNCTION("""COMPUTED_VALUE"""),"Panaga, Laoac, PANGASINAN")</f>
        <v>Panaga, Laoac, PANGASINAN</v>
      </c>
      <c r="D360" s="2" t="str">
        <f>IFERROR(__xludf.DUMMYFUNCTION("""COMPUTED_VALUE"""),"Mario B. Barlolong")</f>
        <v>Mario B. Barlolong</v>
      </c>
      <c r="E360" s="2" t="str">
        <f>IFERROR(__xludf.DUMMYFUNCTION("""COMPUTED_VALUE"""),"0945 328 4125")</f>
        <v>0945 328 4125</v>
      </c>
      <c r="F360" s="2" t="str">
        <f>IFERROR(__xludf.DUMMYFUNCTION("""COMPUTED_VALUE"""),"RCEF 23-09-21 Rebidding")</f>
        <v>RCEF 23-09-21 Rebidding</v>
      </c>
      <c r="G360" s="2">
        <f>IFERROR(__xludf.DUMMYFUNCTION("""COMPUTED_VALUE"""),2.0)</f>
        <v>2</v>
      </c>
      <c r="H360" s="2">
        <f>IFERROR(__xludf.DUMMYFUNCTION("""COMPUTED_VALUE"""),18997.0)</f>
        <v>18997</v>
      </c>
      <c r="I360" s="2" t="str">
        <f>IFERROR(__xludf.DUMMYFUNCTION("""COMPUTED_VALUE"""),"KMC5825ACRFPV0319")</f>
        <v>KMC5825ACRFPV0319</v>
      </c>
      <c r="J360" s="2" t="str">
        <f>IFERROR(__xludf.DUMMYFUNCTION("""COMPUTED_VALUE"""),"RTS100203")</f>
        <v>RTS100203</v>
      </c>
      <c r="K360" s="2" t="str">
        <f>IFERROR(__xludf.DUMMYFUNCTION("""COMPUTED_VALUE"""),"R-SERIES 404")</f>
        <v>R-SERIES 404</v>
      </c>
      <c r="L360" s="2" t="str">
        <f>IFERROR(__xludf.DUMMYFUNCTION("""COMPUTED_VALUE"""),"LSGW1750-RMP-24020448")</f>
        <v>LSGW1750-RMP-24020448</v>
      </c>
      <c r="M360" s="2" t="str">
        <f>IFERROR(__xludf.DUMMYFUNCTION("""COMPUTED_VALUE"""),"WDP40-RMP-24040528")</f>
        <v>WDP40-RMP-24040528</v>
      </c>
      <c r="N360" s="2"/>
      <c r="O360" s="2" t="str">
        <f>IFERROR(__xludf.DUMMYFUNCTION("""COMPUTED_VALUE"""),"Panaga")</f>
        <v>Panaga</v>
      </c>
      <c r="P360" s="2" t="str">
        <f>IFERROR(__xludf.DUMMYFUNCTION("""COMPUTED_VALUE"""),"Laoac")</f>
        <v>Laoac</v>
      </c>
      <c r="Q360" s="2" t="str">
        <f>IFERROR(__xludf.DUMMYFUNCTION("""COMPUTED_VALUE"""),"Pangasinan")</f>
        <v>Pangasinan</v>
      </c>
      <c r="R360" s="2">
        <f>IFERROR(__xludf.DUMMYFUNCTION("""COMPUTED_VALUE"""),1.0)</f>
        <v>1</v>
      </c>
      <c r="S360" s="2"/>
      <c r="T360" s="2"/>
    </row>
    <row r="361">
      <c r="A361" s="1">
        <f>IFERROR(__xludf.DUMMYFUNCTION("""COMPUTED_VALUE"""),359.0)</f>
        <v>359</v>
      </c>
      <c r="B361" s="2" t="str">
        <f>IFERROR(__xludf.DUMMYFUNCTION("""COMPUTED_VALUE"""),"CAURINGAN ASAN FARMERS IRRIGATORS' ASSOCIATION, INC.")</f>
        <v>CAURINGAN ASAN FARMERS IRRIGATORS' ASSOCIATION, INC.</v>
      </c>
      <c r="C361" s="2" t="str">
        <f>IFERROR(__xludf.DUMMYFUNCTION("""COMPUTED_VALUE"""),"Poblacion Central, Sison, PANGASINAN")</f>
        <v>Poblacion Central, Sison, PANGASINAN</v>
      </c>
      <c r="D361" s="2" t="str">
        <f>IFERROR(__xludf.DUMMYFUNCTION("""COMPUTED_VALUE"""),"Johnny N. Ellana")</f>
        <v>Johnny N. Ellana</v>
      </c>
      <c r="E361" s="2" t="str">
        <f>IFERROR(__xludf.DUMMYFUNCTION("""COMPUTED_VALUE"""),"0912-621-2047")</f>
        <v>0912-621-2047</v>
      </c>
      <c r="F361" s="2" t="str">
        <f>IFERROR(__xludf.DUMMYFUNCTION("""COMPUTED_VALUE"""),"RCEF 23-09-21 Rebidding")</f>
        <v>RCEF 23-09-21 Rebidding</v>
      </c>
      <c r="G361" s="2">
        <f>IFERROR(__xludf.DUMMYFUNCTION("""COMPUTED_VALUE"""),2.0)</f>
        <v>2</v>
      </c>
      <c r="H361" s="2">
        <f>IFERROR(__xludf.DUMMYFUNCTION("""COMPUTED_VALUE"""),18998.0)</f>
        <v>18998</v>
      </c>
      <c r="I361" s="2" t="str">
        <f>IFERROR(__xludf.DUMMYFUNCTION("""COMPUTED_VALUE"""),"KMC5825ACRFPV0319")</f>
        <v>KMC5825ACRFPV0319</v>
      </c>
      <c r="J361" s="2" t="str">
        <f>IFERROR(__xludf.DUMMYFUNCTION("""COMPUTED_VALUE"""),"RTS100203")</f>
        <v>RTS100203</v>
      </c>
      <c r="K361" s="2" t="str">
        <f>IFERROR(__xludf.DUMMYFUNCTION("""COMPUTED_VALUE"""),"R-SERIES 404")</f>
        <v>R-SERIES 404</v>
      </c>
      <c r="L361" s="2" t="str">
        <f>IFERROR(__xludf.DUMMYFUNCTION("""COMPUTED_VALUE"""),"LSGW1750-RMP-24020448")</f>
        <v>LSGW1750-RMP-24020448</v>
      </c>
      <c r="M361" s="2" t="str">
        <f>IFERROR(__xludf.DUMMYFUNCTION("""COMPUTED_VALUE"""),"WDP40-RMP-24040528")</f>
        <v>WDP40-RMP-24040528</v>
      </c>
      <c r="N361" s="2"/>
      <c r="O361" s="2" t="str">
        <f>IFERROR(__xludf.DUMMYFUNCTION("""COMPUTED_VALUE"""),"Poblacion Central")</f>
        <v>Poblacion Central</v>
      </c>
      <c r="P361" s="2" t="str">
        <f>IFERROR(__xludf.DUMMYFUNCTION("""COMPUTED_VALUE"""),"Sison")</f>
        <v>Sison</v>
      </c>
      <c r="Q361" s="2" t="str">
        <f>IFERROR(__xludf.DUMMYFUNCTION("""COMPUTED_VALUE"""),"Pangasinan")</f>
        <v>Pangasinan</v>
      </c>
      <c r="R361" s="2">
        <f>IFERROR(__xludf.DUMMYFUNCTION("""COMPUTED_VALUE"""),1.0)</f>
        <v>1</v>
      </c>
      <c r="S361" s="2"/>
      <c r="T361" s="2"/>
    </row>
    <row r="362">
      <c r="A362" s="1">
        <f>IFERROR(__xludf.DUMMYFUNCTION("""COMPUTED_VALUE"""),360.0)</f>
        <v>360</v>
      </c>
      <c r="B362" s="2" t="str">
        <f>IFERROR(__xludf.DUMMYFUNCTION("""COMPUTED_VALUE"""),"Nancamaliran West Biskeg Farmers Association")</f>
        <v>Nancamaliran West Biskeg Farmers Association</v>
      </c>
      <c r="C362" s="2" t="str">
        <f>IFERROR(__xludf.DUMMYFUNCTION("""COMPUTED_VALUE"""),"Nancamaliran West, Urdaneta City, PANGASINAN")</f>
        <v>Nancamaliran West, Urdaneta City, PANGASINAN</v>
      </c>
      <c r="D362" s="2" t="str">
        <f>IFERROR(__xludf.DUMMYFUNCTION("""COMPUTED_VALUE"""),"Felix M. Cudiamat")</f>
        <v>Felix M. Cudiamat</v>
      </c>
      <c r="E362" s="2" t="str">
        <f>IFERROR(__xludf.DUMMYFUNCTION("""COMPUTED_VALUE"""),"0909 034 0851")</f>
        <v>0909 034 0851</v>
      </c>
      <c r="F362" s="2" t="str">
        <f>IFERROR(__xludf.DUMMYFUNCTION("""COMPUTED_VALUE"""),"RCEF 23-09-21 Rebidding")</f>
        <v>RCEF 23-09-21 Rebidding</v>
      </c>
      <c r="G362" s="2">
        <f>IFERROR(__xludf.DUMMYFUNCTION("""COMPUTED_VALUE"""),2.0)</f>
        <v>2</v>
      </c>
      <c r="H362" s="2">
        <f>IFERROR(__xludf.DUMMYFUNCTION("""COMPUTED_VALUE"""),18999.0)</f>
        <v>18999</v>
      </c>
      <c r="I362" s="2" t="str">
        <f>IFERROR(__xludf.DUMMYFUNCTION("""COMPUTED_VALUE"""),"KMC5825ATRFPV0368")</f>
        <v>KMC5825ATRFPV0368</v>
      </c>
      <c r="J362" s="2" t="str">
        <f>IFERROR(__xludf.DUMMYFUNCTION("""COMPUTED_VALUE"""),"RTS100273")</f>
        <v>RTS100273</v>
      </c>
      <c r="K362" s="2" t="str">
        <f>IFERROR(__xludf.DUMMYFUNCTION("""COMPUTED_VALUE"""),"R-SERIES 378")</f>
        <v>R-SERIES 378</v>
      </c>
      <c r="L362" s="2" t="str">
        <f>IFERROR(__xludf.DUMMYFUNCTION("""COMPUTED_VALUE"""),"LSGW1750-RMP-24020445")</f>
        <v>LSGW1750-RMP-24020445</v>
      </c>
      <c r="M362" s="2" t="str">
        <f>IFERROR(__xludf.DUMMYFUNCTION("""COMPUTED_VALUE"""),"WDP40-RMP-24040538")</f>
        <v>WDP40-RMP-24040538</v>
      </c>
      <c r="N362" s="2"/>
      <c r="O362" s="2" t="str">
        <f>IFERROR(__xludf.DUMMYFUNCTION("""COMPUTED_VALUE"""),"Nancamaliran West")</f>
        <v>Nancamaliran West</v>
      </c>
      <c r="P362" s="2" t="str">
        <f>IFERROR(__xludf.DUMMYFUNCTION("""COMPUTED_VALUE"""),"Urdaneta City")</f>
        <v>Urdaneta City</v>
      </c>
      <c r="Q362" s="2" t="str">
        <f>IFERROR(__xludf.DUMMYFUNCTION("""COMPUTED_VALUE"""),"Pangasinan")</f>
        <v>Pangasinan</v>
      </c>
      <c r="R362" s="2">
        <f>IFERROR(__xludf.DUMMYFUNCTION("""COMPUTED_VALUE"""),1.0)</f>
        <v>1</v>
      </c>
      <c r="S362" s="2"/>
      <c r="T362" s="2"/>
    </row>
    <row r="363">
      <c r="A363" s="1">
        <f>IFERROR(__xludf.DUMMYFUNCTION("""COMPUTED_VALUE"""),361.0)</f>
        <v>361</v>
      </c>
      <c r="B363" s="2" t="str">
        <f>IFERROR(__xludf.DUMMYFUNCTION("""COMPUTED_VALUE"""),"SANMIGUELUNA RICE AND CORN FARMERS ASSN. INC.")</f>
        <v>SANMIGUELUNA RICE AND CORN FARMERS ASSN. INC.</v>
      </c>
      <c r="C363" s="2" t="str">
        <f>IFERROR(__xludf.DUMMYFUNCTION("""COMPUTED_VALUE"""),"San Miguel, Natividad, PANGASINAN")</f>
        <v>San Miguel, Natividad, PANGASINAN</v>
      </c>
      <c r="D363" s="2" t="str">
        <f>IFERROR(__xludf.DUMMYFUNCTION("""COMPUTED_VALUE"""),"Pablo R. Estillore")</f>
        <v>Pablo R. Estillore</v>
      </c>
      <c r="E363" s="2">
        <f>IFERROR(__xludf.DUMMYFUNCTION("""COMPUTED_VALUE"""),1.0)</f>
        <v>1</v>
      </c>
      <c r="F363" s="2" t="str">
        <f>IFERROR(__xludf.DUMMYFUNCTION("""COMPUTED_VALUE"""),"RCEF 23-09-21 Rebidding")</f>
        <v>RCEF 23-09-21 Rebidding</v>
      </c>
      <c r="G363" s="2">
        <f>IFERROR(__xludf.DUMMYFUNCTION("""COMPUTED_VALUE"""),2.0)</f>
        <v>2</v>
      </c>
      <c r="H363" s="2">
        <f>IFERROR(__xludf.DUMMYFUNCTION("""COMPUTED_VALUE"""),19000.0)</f>
        <v>19000</v>
      </c>
      <c r="I363" s="2" t="str">
        <f>IFERROR(__xludf.DUMMYFUNCTION("""COMPUTED_VALUE"""),"KMC5825ALRFPV0378")</f>
        <v>KMC5825ALRFPV0378</v>
      </c>
      <c r="J363" s="2" t="str">
        <f>IFERROR(__xludf.DUMMYFUNCTION("""COMPUTED_VALUE"""),"RTS100266")</f>
        <v>RTS100266</v>
      </c>
      <c r="K363" s="2" t="str">
        <f>IFERROR(__xludf.DUMMYFUNCTION("""COMPUTED_VALUE"""),"R-SERIES 402")</f>
        <v>R-SERIES 402</v>
      </c>
      <c r="L363" s="2" t="str">
        <f>IFERROR(__xludf.DUMMYFUNCTION("""COMPUTED_VALUE"""),"LSGW1750-RMP-24020527")</f>
        <v>LSGW1750-RMP-24020527</v>
      </c>
      <c r="M363" s="2" t="str">
        <f>IFERROR(__xludf.DUMMYFUNCTION("""COMPUTED_VALUE"""),"WDP40-RMP-24040520")</f>
        <v>WDP40-RMP-24040520</v>
      </c>
      <c r="N363" s="2"/>
      <c r="O363" s="2" t="str">
        <f>IFERROR(__xludf.DUMMYFUNCTION("""COMPUTED_VALUE"""),"San Miguel")</f>
        <v>San Miguel</v>
      </c>
      <c r="P363" s="2" t="str">
        <f>IFERROR(__xludf.DUMMYFUNCTION("""COMPUTED_VALUE"""),"Natividad")</f>
        <v>Natividad</v>
      </c>
      <c r="Q363" s="2" t="str">
        <f>IFERROR(__xludf.DUMMYFUNCTION("""COMPUTED_VALUE"""),"Pangasinan")</f>
        <v>Pangasinan</v>
      </c>
      <c r="R363" s="2">
        <f>IFERROR(__xludf.DUMMYFUNCTION("""COMPUTED_VALUE"""),1.0)</f>
        <v>1</v>
      </c>
      <c r="S363" s="2"/>
      <c r="T363" s="2"/>
    </row>
    <row r="364">
      <c r="A364" s="1">
        <f>IFERROR(__xludf.DUMMYFUNCTION("""COMPUTED_VALUE"""),362.0)</f>
        <v>362</v>
      </c>
      <c r="B364" s="2" t="str">
        <f>IFERROR(__xludf.DUMMYFUNCTION("""COMPUTED_VALUE"""),"TIMPUYOG TI MANNALON ITI ROSALES INC.")</f>
        <v>TIMPUYOG TI MANNALON ITI ROSALES INC.</v>
      </c>
      <c r="C364" s="2" t="str">
        <f>IFERROR(__xludf.DUMMYFUNCTION("""COMPUTED_VALUE"""),"Zone V (Pob.), Rosales, Pangasinan")</f>
        <v>Zone V (Pob.), Rosales, Pangasinan</v>
      </c>
      <c r="D364" s="2" t="str">
        <f>IFERROR(__xludf.DUMMYFUNCTION("""COMPUTED_VALUE"""),"Romeo L. Lilagan Sr.")</f>
        <v>Romeo L. Lilagan Sr.</v>
      </c>
      <c r="E364" s="2" t="str">
        <f>IFERROR(__xludf.DUMMYFUNCTION("""COMPUTED_VALUE"""),"0945-509-5214")</f>
        <v>0945-509-5214</v>
      </c>
      <c r="F364" s="2" t="str">
        <f>IFERROR(__xludf.DUMMYFUNCTION("""COMPUTED_VALUE"""),"RCEF 23-09-21 Rebidding")</f>
        <v>RCEF 23-09-21 Rebidding</v>
      </c>
      <c r="G364" s="2">
        <f>IFERROR(__xludf.DUMMYFUNCTION("""COMPUTED_VALUE"""),2.0)</f>
        <v>2</v>
      </c>
      <c r="H364" s="2">
        <f>IFERROR(__xludf.DUMMYFUNCTION("""COMPUTED_VALUE"""),19001.0)</f>
        <v>19001</v>
      </c>
      <c r="I364" s="2" t="str">
        <f>IFERROR(__xludf.DUMMYFUNCTION("""COMPUTED_VALUE"""),"KMC5825AHRFPV0382")</f>
        <v>KMC5825AHRFPV0382</v>
      </c>
      <c r="J364" s="2" t="str">
        <f>IFERROR(__xludf.DUMMYFUNCTION("""COMPUTED_VALUE"""),"RTS100259")</f>
        <v>RTS100259</v>
      </c>
      <c r="K364" s="2" t="str">
        <f>IFERROR(__xludf.DUMMYFUNCTION("""COMPUTED_VALUE"""),"R-SERIES 400")</f>
        <v>R-SERIES 400</v>
      </c>
      <c r="L364" s="2" t="str">
        <f>IFERROR(__xludf.DUMMYFUNCTION("""COMPUTED_VALUE"""),"LSGW1750 -RMP-24020521")</f>
        <v>LSGW1750 -RMP-24020521</v>
      </c>
      <c r="M364" s="2" t="str">
        <f>IFERROR(__xludf.DUMMYFUNCTION("""COMPUTED_VALUE"""),"WDP-40-RMP-24040524")</f>
        <v>WDP-40-RMP-24040524</v>
      </c>
      <c r="N364" s="2"/>
      <c r="O364" s="2" t="str">
        <f>IFERROR(__xludf.DUMMYFUNCTION("""COMPUTED_VALUE"""),"Zone V (Pob.)")</f>
        <v>Zone V (Pob.)</v>
      </c>
      <c r="P364" s="2" t="str">
        <f>IFERROR(__xludf.DUMMYFUNCTION("""COMPUTED_VALUE"""),"Rosales")</f>
        <v>Rosales</v>
      </c>
      <c r="Q364" s="2" t="str">
        <f>IFERROR(__xludf.DUMMYFUNCTION("""COMPUTED_VALUE"""),"Pangasinan")</f>
        <v>Pangasinan</v>
      </c>
      <c r="R364" s="2">
        <f>IFERROR(__xludf.DUMMYFUNCTION("""COMPUTED_VALUE"""),1.0)</f>
        <v>1</v>
      </c>
      <c r="S364" s="2"/>
      <c r="T364" s="2"/>
    </row>
    <row r="365">
      <c r="A365" s="1">
        <f>IFERROR(__xludf.DUMMYFUNCTION("""COMPUTED_VALUE"""),363.0)</f>
        <v>363</v>
      </c>
      <c r="B365" s="2" t="str">
        <f>IFERROR(__xludf.DUMMYFUNCTION("""COMPUTED_VALUE"""),"ALOLA SAN JOSE ROQUE IRRIGATORS ASSOCIATION INC.")</f>
        <v>ALOLA SAN JOSE ROQUE IRRIGATORS ASSOCIATION INC.</v>
      </c>
      <c r="C365" s="2" t="str">
        <f>IFERROR(__xludf.DUMMYFUNCTION("""COMPUTED_VALUE"""),"San Jose, San Nicolas, PANGASINAN")</f>
        <v>San Jose, San Nicolas, PANGASINAN</v>
      </c>
      <c r="D365" s="2" t="str">
        <f>IFERROR(__xludf.DUMMYFUNCTION("""COMPUTED_VALUE"""),"Gregorio L. Belmoro")</f>
        <v>Gregorio L. Belmoro</v>
      </c>
      <c r="E365" s="2" t="str">
        <f>IFERROR(__xludf.DUMMYFUNCTION("""COMPUTED_VALUE"""),"0999-332-5063")</f>
        <v>0999-332-5063</v>
      </c>
      <c r="F365" s="2" t="str">
        <f>IFERROR(__xludf.DUMMYFUNCTION("""COMPUTED_VALUE"""),"RCEF 23-09-21 Rebidding")</f>
        <v>RCEF 23-09-21 Rebidding</v>
      </c>
      <c r="G365" s="2">
        <f>IFERROR(__xludf.DUMMYFUNCTION("""COMPUTED_VALUE"""),2.0)</f>
        <v>2</v>
      </c>
      <c r="H365" s="2">
        <f>IFERROR(__xludf.DUMMYFUNCTION("""COMPUTED_VALUE"""),19002.0)</f>
        <v>19002</v>
      </c>
      <c r="I365" s="2" t="str">
        <f>IFERROR(__xludf.DUMMYFUNCTION("""COMPUTED_VALUE"""),"KMC5825AJRFPV0374")</f>
        <v>KMC5825AJRFPV0374</v>
      </c>
      <c r="J365" s="2" t="str">
        <f>IFERROR(__xludf.DUMMYFUNCTION("""COMPUTED_VALUE"""),"RTS100271")</f>
        <v>RTS100271</v>
      </c>
      <c r="K365" s="2" t="str">
        <f>IFERROR(__xludf.DUMMYFUNCTION("""COMPUTED_VALUE"""),"R-SERIES 436")</f>
        <v>R-SERIES 436</v>
      </c>
      <c r="L365" s="2" t="str">
        <f>IFERROR(__xludf.DUMMYFUNCTION("""COMPUTED_VALUE"""),"LSGW1750-RMP-24020528")</f>
        <v>LSGW1750-RMP-24020528</v>
      </c>
      <c r="M365" s="2" t="str">
        <f>IFERROR(__xludf.DUMMYFUNCTION("""COMPUTED_VALUE"""),"WDP40-RMP-24040532")</f>
        <v>WDP40-RMP-24040532</v>
      </c>
      <c r="N365" s="2"/>
      <c r="O365" s="2" t="str">
        <f>IFERROR(__xludf.DUMMYFUNCTION("""COMPUTED_VALUE"""),"San Jose")</f>
        <v>San Jose</v>
      </c>
      <c r="P365" s="2" t="str">
        <f>IFERROR(__xludf.DUMMYFUNCTION("""COMPUTED_VALUE"""),"San Nicolas")</f>
        <v>San Nicolas</v>
      </c>
      <c r="Q365" s="2" t="str">
        <f>IFERROR(__xludf.DUMMYFUNCTION("""COMPUTED_VALUE"""),"Pangasinan")</f>
        <v>Pangasinan</v>
      </c>
      <c r="R365" s="2">
        <f>IFERROR(__xludf.DUMMYFUNCTION("""COMPUTED_VALUE"""),1.0)</f>
        <v>1</v>
      </c>
      <c r="S365" s="2"/>
      <c r="T365" s="2"/>
    </row>
    <row r="366">
      <c r="A366" s="1">
        <f>IFERROR(__xludf.DUMMYFUNCTION("""COMPUTED_VALUE"""),364.0)</f>
        <v>364</v>
      </c>
      <c r="B366" s="2" t="str">
        <f>IFERROR(__xludf.DUMMYFUNCTION("""COMPUTED_VALUE"""),"SALBEN FARMERS ASSOCIATION INC.")</f>
        <v>SALBEN FARMERS ASSOCIATION INC.</v>
      </c>
      <c r="C366" s="2" t="str">
        <f>IFERROR(__xludf.DUMMYFUNCTION("""COMPUTED_VALUE"""),"Bensican, San Nicolas, PANGASINAN")</f>
        <v>Bensican, San Nicolas, PANGASINAN</v>
      </c>
      <c r="D366" s="2" t="str">
        <f>IFERROR(__xludf.DUMMYFUNCTION("""COMPUTED_VALUE"""),"#N/A")</f>
        <v>#N/A</v>
      </c>
      <c r="E366" s="2" t="str">
        <f>IFERROR(__xludf.DUMMYFUNCTION("""COMPUTED_VALUE"""),"#N/A")</f>
        <v>#N/A</v>
      </c>
      <c r="F366" s="2" t="str">
        <f>IFERROR(__xludf.DUMMYFUNCTION("""COMPUTED_VALUE"""),"RCEF 23-09-21 Rebidding")</f>
        <v>RCEF 23-09-21 Rebidding</v>
      </c>
      <c r="G366" s="2">
        <f>IFERROR(__xludf.DUMMYFUNCTION("""COMPUTED_VALUE"""),2.0)</f>
        <v>2</v>
      </c>
      <c r="H366" s="2">
        <f>IFERROR(__xludf.DUMMYFUNCTION("""COMPUTED_VALUE"""),19003.0)</f>
        <v>19003</v>
      </c>
      <c r="I366" s="2" t="str">
        <f>IFERROR(__xludf.DUMMYFUNCTION("""COMPUTED_VALUE"""),"KMC5825 ACRFPV0456")</f>
        <v>KMC5825 ACRFPV0456</v>
      </c>
      <c r="J366" s="2" t="str">
        <f>IFERROR(__xludf.DUMMYFUNCTION("""COMPUTED_VALUE"""),"RTS100354")</f>
        <v>RTS100354</v>
      </c>
      <c r="K366" s="2" t="str">
        <f>IFERROR(__xludf.DUMMYFUNCTION("""COMPUTED_VALUE"""),"R-SERIES 373")</f>
        <v>R-SERIES 373</v>
      </c>
      <c r="L366" s="2" t="str">
        <f>IFERROR(__xludf.DUMMYFUNCTION("""COMPUTED_VALUE"""),"LSGW1750-RMP-24020474")</f>
        <v>LSGW1750-RMP-24020474</v>
      </c>
      <c r="M366" s="2" t="str">
        <f>IFERROR(__xludf.DUMMYFUNCTION("""COMPUTED_VALUE"""),"WDP40-RMP-24050544")</f>
        <v>WDP40-RMP-24050544</v>
      </c>
      <c r="N366" s="2"/>
      <c r="O366" s="2" t="str">
        <f>IFERROR(__xludf.DUMMYFUNCTION("""COMPUTED_VALUE"""),"Bensican")</f>
        <v>Bensican</v>
      </c>
      <c r="P366" s="2" t="str">
        <f>IFERROR(__xludf.DUMMYFUNCTION("""COMPUTED_VALUE"""),"San Nicolas")</f>
        <v>San Nicolas</v>
      </c>
      <c r="Q366" s="2" t="str">
        <f>IFERROR(__xludf.DUMMYFUNCTION("""COMPUTED_VALUE"""),"Pangasinan")</f>
        <v>Pangasinan</v>
      </c>
      <c r="R366" s="2">
        <f>IFERROR(__xludf.DUMMYFUNCTION("""COMPUTED_VALUE"""),1.0)</f>
        <v>1</v>
      </c>
      <c r="S366" s="2"/>
      <c r="T366" s="2"/>
    </row>
    <row r="367">
      <c r="A367" s="1">
        <f>IFERROR(__xludf.DUMMYFUNCTION("""COMPUTED_VALUE"""),365.0)</f>
        <v>365</v>
      </c>
      <c r="B367" s="2" t="str">
        <f>IFERROR(__xludf.DUMMYFUNCTION("""COMPUTED_VALUE"""),"LCCC-Lagasit Irrigators Association")</f>
        <v>LCCC-Lagasit Irrigators Association</v>
      </c>
      <c r="C367" s="2" t="str">
        <f>IFERROR(__xludf.DUMMYFUNCTION("""COMPUTED_VALUE"""),"Lagasit, San Quintin, PANGASINAN")</f>
        <v>Lagasit, San Quintin, PANGASINAN</v>
      </c>
      <c r="D367" s="2" t="str">
        <f>IFERROR(__xludf.DUMMYFUNCTION("""COMPUTED_VALUE"""),"Benito H. Obra")</f>
        <v>Benito H. Obra</v>
      </c>
      <c r="E367" s="2" t="str">
        <f>IFERROR(__xludf.DUMMYFUNCTION("""COMPUTED_VALUE"""),"0930-779-4454")</f>
        <v>0930-779-4454</v>
      </c>
      <c r="F367" s="2" t="str">
        <f>IFERROR(__xludf.DUMMYFUNCTION("""COMPUTED_VALUE"""),"RCEF 23-09-21 Rebidding")</f>
        <v>RCEF 23-09-21 Rebidding</v>
      </c>
      <c r="G367" s="2">
        <f>IFERROR(__xludf.DUMMYFUNCTION("""COMPUTED_VALUE"""),2.0)</f>
        <v>2</v>
      </c>
      <c r="H367" s="2">
        <f>IFERROR(__xludf.DUMMYFUNCTION("""COMPUTED_VALUE"""),19004.0)</f>
        <v>19004</v>
      </c>
      <c r="I367" s="2" t="str">
        <f>IFERROR(__xludf.DUMMYFUNCTION("""COMPUTED_VALUE"""),"KMC5825AVRFPV0328")</f>
        <v>KMC5825AVRFPV0328</v>
      </c>
      <c r="J367" s="2" t="str">
        <f>IFERROR(__xludf.DUMMYFUNCTION("""COMPUTED_VALUE"""),"RTS100178")</f>
        <v>RTS100178</v>
      </c>
      <c r="K367" s="2" t="str">
        <f>IFERROR(__xludf.DUMMYFUNCTION("""COMPUTED_VALUE"""),"R-SERIES 367")</f>
        <v>R-SERIES 367</v>
      </c>
      <c r="L367" s="2" t="str">
        <f>IFERROR(__xludf.DUMMYFUNCTION("""COMPUTED_VALUE"""),"LSGW1750-RMP-24020533")</f>
        <v>LSGW1750-RMP-24020533</v>
      </c>
      <c r="M367" s="2" t="str">
        <f>IFERROR(__xludf.DUMMYFUNCTION("""COMPUTED_VALUE"""),"WDP40-RMP-24040531")</f>
        <v>WDP40-RMP-24040531</v>
      </c>
      <c r="N367" s="2"/>
      <c r="O367" s="2" t="str">
        <f>IFERROR(__xludf.DUMMYFUNCTION("""COMPUTED_VALUE"""),"Lagasit")</f>
        <v>Lagasit</v>
      </c>
      <c r="P367" s="2" t="str">
        <f>IFERROR(__xludf.DUMMYFUNCTION("""COMPUTED_VALUE"""),"San Quintin")</f>
        <v>San Quintin</v>
      </c>
      <c r="Q367" s="2" t="str">
        <f>IFERROR(__xludf.DUMMYFUNCTION("""COMPUTED_VALUE"""),"Pangasinan")</f>
        <v>Pangasinan</v>
      </c>
      <c r="R367" s="2">
        <f>IFERROR(__xludf.DUMMYFUNCTION("""COMPUTED_VALUE"""),1.0)</f>
        <v>1</v>
      </c>
      <c r="S367" s="2"/>
      <c r="T367" s="2"/>
    </row>
    <row r="368">
      <c r="A368" s="1">
        <f>IFERROR(__xludf.DUMMYFUNCTION("""COMPUTED_VALUE"""),366.0)</f>
        <v>366</v>
      </c>
      <c r="B368" s="2" t="str">
        <f>IFERROR(__xludf.DUMMYFUNCTION("""COMPUTED_VALUE"""),"CPCL ALISTO IRRIGATORS ASSOCIATION INC.")</f>
        <v>CPCL ALISTO IRRIGATORS ASSOCIATION INC.</v>
      </c>
      <c r="C368" s="2" t="str">
        <f>IFERROR(__xludf.DUMMYFUNCTION("""COMPUTED_VALUE"""),"Pataquid, Santa Maria, PANGASINAN")</f>
        <v>Pataquid, Santa Maria, PANGASINAN</v>
      </c>
      <c r="D368" s="2" t="str">
        <f>IFERROR(__xludf.DUMMYFUNCTION("""COMPUTED_VALUE"""),"Jonathan E. Murla")</f>
        <v>Jonathan E. Murla</v>
      </c>
      <c r="E368" s="2" t="str">
        <f>IFERROR(__xludf.DUMMYFUNCTION("""COMPUTED_VALUE"""),"0929-785-4909")</f>
        <v>0929-785-4909</v>
      </c>
      <c r="F368" s="2" t="str">
        <f>IFERROR(__xludf.DUMMYFUNCTION("""COMPUTED_VALUE"""),"RCEF 23-09-21 Rebidding")</f>
        <v>RCEF 23-09-21 Rebidding</v>
      </c>
      <c r="G368" s="2">
        <f>IFERROR(__xludf.DUMMYFUNCTION("""COMPUTED_VALUE"""),2.0)</f>
        <v>2</v>
      </c>
      <c r="H368" s="2">
        <f>IFERROR(__xludf.DUMMYFUNCTION("""COMPUTED_VALUE"""),19005.0)</f>
        <v>19005</v>
      </c>
      <c r="I368" s="2" t="str">
        <f>IFERROR(__xludf.DUMMYFUNCTION("""COMPUTED_VALUE"""),"KMC5825AERFPV0397")</f>
        <v>KMC5825AERFPV0397</v>
      </c>
      <c r="J368" s="2" t="str">
        <f>IFERROR(__xludf.DUMMYFUNCTION("""COMPUTED_VALUE"""),"RTS100300")</f>
        <v>RTS100300</v>
      </c>
      <c r="K368" s="2" t="str">
        <f>IFERROR(__xludf.DUMMYFUNCTION("""COMPUTED_VALUE"""),"R-SERIES 382")</f>
        <v>R-SERIES 382</v>
      </c>
      <c r="L368" s="2" t="str">
        <f>IFERROR(__xludf.DUMMYFUNCTION("""COMPUTED_VALUE"""),"LSGW1750-RMP-24020471")</f>
        <v>LSGW1750-RMP-24020471</v>
      </c>
      <c r="M368" s="2" t="str">
        <f>IFERROR(__xludf.DUMMYFUNCTION("""COMPUTED_VALUE"""),"WDP40-RMP-24040525")</f>
        <v>WDP40-RMP-24040525</v>
      </c>
      <c r="N368" s="2"/>
      <c r="O368" s="2" t="str">
        <f>IFERROR(__xludf.DUMMYFUNCTION("""COMPUTED_VALUE"""),"Pataquid")</f>
        <v>Pataquid</v>
      </c>
      <c r="P368" s="2" t="str">
        <f>IFERROR(__xludf.DUMMYFUNCTION("""COMPUTED_VALUE"""),"Santa Maria")</f>
        <v>Santa Maria</v>
      </c>
      <c r="Q368" s="2" t="str">
        <f>IFERROR(__xludf.DUMMYFUNCTION("""COMPUTED_VALUE"""),"Pangasinan")</f>
        <v>Pangasinan</v>
      </c>
      <c r="R368" s="2">
        <f>IFERROR(__xludf.DUMMYFUNCTION("""COMPUTED_VALUE"""),1.0)</f>
        <v>1</v>
      </c>
      <c r="S368" s="2"/>
      <c r="T368" s="2"/>
    </row>
    <row r="369">
      <c r="A369" s="1">
        <f>IFERROR(__xludf.DUMMYFUNCTION("""COMPUTED_VALUE"""),367.0)</f>
        <v>367</v>
      </c>
      <c r="B369" s="2" t="str">
        <f>IFERROR(__xludf.DUMMYFUNCTION("""COMPUTED_VALUE"""),"Golden Rising Sun Irrigators Association")</f>
        <v>Golden Rising Sun Irrigators Association</v>
      </c>
      <c r="C369" s="2" t="str">
        <f>IFERROR(__xludf.DUMMYFUNCTION("""COMPUTED_VALUE"""),"Panganiban, Tayug, PANGASINAN")</f>
        <v>Panganiban, Tayug, PANGASINAN</v>
      </c>
      <c r="D369" s="2" t="str">
        <f>IFERROR(__xludf.DUMMYFUNCTION("""COMPUTED_VALUE"""),"Celedenio E. Lopez")</f>
        <v>Celedenio E. Lopez</v>
      </c>
      <c r="E369" s="2" t="str">
        <f>IFERROR(__xludf.DUMMYFUNCTION("""COMPUTED_VALUE"""),"0963-998-8853")</f>
        <v>0963-998-8853</v>
      </c>
      <c r="F369" s="2" t="str">
        <f>IFERROR(__xludf.DUMMYFUNCTION("""COMPUTED_VALUE"""),"RCEF 23-09-21 Rebidding")</f>
        <v>RCEF 23-09-21 Rebidding</v>
      </c>
      <c r="G369" s="2">
        <f>IFERROR(__xludf.DUMMYFUNCTION("""COMPUTED_VALUE"""),2.0)</f>
        <v>2</v>
      </c>
      <c r="H369" s="2">
        <f>IFERROR(__xludf.DUMMYFUNCTION("""COMPUTED_VALUE"""),19006.0)</f>
        <v>19006</v>
      </c>
      <c r="I369" s="2" t="str">
        <f>IFERROR(__xludf.DUMMYFUNCTION("""COMPUTED_VALUE"""),"KMC5825ALRFPV0378")</f>
        <v>KMC5825ALRFPV0378</v>
      </c>
      <c r="J369" s="2" t="str">
        <f>IFERROR(__xludf.DUMMYFUNCTION("""COMPUTED_VALUE"""),"RTS100266")</f>
        <v>RTS100266</v>
      </c>
      <c r="K369" s="2" t="str">
        <f>IFERROR(__xludf.DUMMYFUNCTION("""COMPUTED_VALUE"""),"R-SERIES 402")</f>
        <v>R-SERIES 402</v>
      </c>
      <c r="L369" s="2" t="str">
        <f>IFERROR(__xludf.DUMMYFUNCTION("""COMPUTED_VALUE"""),"LSGW1750-RMP-24020527")</f>
        <v>LSGW1750-RMP-24020527</v>
      </c>
      <c r="M369" s="2" t="str">
        <f>IFERROR(__xludf.DUMMYFUNCTION("""COMPUTED_VALUE"""),"WDP40-RMP-24040511")</f>
        <v>WDP40-RMP-24040511</v>
      </c>
      <c r="N369" s="2"/>
      <c r="O369" s="2" t="str">
        <f>IFERROR(__xludf.DUMMYFUNCTION("""COMPUTED_VALUE"""),"Panganiban")</f>
        <v>Panganiban</v>
      </c>
      <c r="P369" s="2" t="str">
        <f>IFERROR(__xludf.DUMMYFUNCTION("""COMPUTED_VALUE"""),"Tayug")</f>
        <v>Tayug</v>
      </c>
      <c r="Q369" s="2" t="str">
        <f>IFERROR(__xludf.DUMMYFUNCTION("""COMPUTED_VALUE"""),"Pangasinan")</f>
        <v>Pangasinan</v>
      </c>
      <c r="R369" s="2">
        <f>IFERROR(__xludf.DUMMYFUNCTION("""COMPUTED_VALUE"""),1.0)</f>
        <v>1</v>
      </c>
      <c r="S369" s="2"/>
      <c r="T369" s="2"/>
    </row>
    <row r="370">
      <c r="A370" s="1">
        <f>IFERROR(__xludf.DUMMYFUNCTION("""COMPUTED_VALUE"""),368.0)</f>
        <v>368</v>
      </c>
      <c r="B370" s="2" t="str">
        <f>IFERROR(__xludf.DUMMYFUNCTION("""COMPUTED_VALUE"""),"GRUPO TI NAGAGAGET NGA MANNALON INC.")</f>
        <v>GRUPO TI NAGAGAGET NGA MANNALON INC.</v>
      </c>
      <c r="C370" s="2" t="str">
        <f>IFERROR(__xludf.DUMMYFUNCTION("""COMPUTED_VALUE"""),"Abot Molina, Umingan, PANGASINAN")</f>
        <v>Abot Molina, Umingan, PANGASINAN</v>
      </c>
      <c r="D370" s="2" t="str">
        <f>IFERROR(__xludf.DUMMYFUNCTION("""COMPUTED_VALUE"""),"#N/A")</f>
        <v>#N/A</v>
      </c>
      <c r="E370" s="2" t="str">
        <f>IFERROR(__xludf.DUMMYFUNCTION("""COMPUTED_VALUE"""),"#N/A")</f>
        <v>#N/A</v>
      </c>
      <c r="F370" s="2" t="str">
        <f>IFERROR(__xludf.DUMMYFUNCTION("""COMPUTED_VALUE"""),"RCEF 23-09-21 Rebidding")</f>
        <v>RCEF 23-09-21 Rebidding</v>
      </c>
      <c r="G370" s="2">
        <f>IFERROR(__xludf.DUMMYFUNCTION("""COMPUTED_VALUE"""),2.0)</f>
        <v>2</v>
      </c>
      <c r="H370" s="2">
        <f>IFERROR(__xludf.DUMMYFUNCTION("""COMPUTED_VALUE"""),19007.0)</f>
        <v>19007</v>
      </c>
      <c r="I370" s="2" t="str">
        <f>IFERROR(__xludf.DUMMYFUNCTION("""COMPUTED_VALUE"""),"KMC5825AVRFPV0457")</f>
        <v>KMC5825AVRFPV0457</v>
      </c>
      <c r="J370" s="2" t="str">
        <f>IFERROR(__xludf.DUMMYFUNCTION("""COMPUTED_VALUE"""),"RTS100355")</f>
        <v>RTS100355</v>
      </c>
      <c r="K370" s="2" t="str">
        <f>IFERROR(__xludf.DUMMYFUNCTION("""COMPUTED_VALUE"""),"R-SERIES 401")</f>
        <v>R-SERIES 401</v>
      </c>
      <c r="L370" s="2" t="str">
        <f>IFERROR(__xludf.DUMMYFUNCTION("""COMPUTED_VALUE"""),"LSGW1750-RMP-24020537")</f>
        <v>LSGW1750-RMP-24020537</v>
      </c>
      <c r="M370" s="2" t="str">
        <f>IFERROR(__xludf.DUMMYFUNCTION("""COMPUTED_VALUE"""),"WDP40-RMP-24040523")</f>
        <v>WDP40-RMP-24040523</v>
      </c>
      <c r="N370" s="2"/>
      <c r="O370" s="2" t="str">
        <f>IFERROR(__xludf.DUMMYFUNCTION("""COMPUTED_VALUE"""),"Abot Molina")</f>
        <v>Abot Molina</v>
      </c>
      <c r="P370" s="2" t="str">
        <f>IFERROR(__xludf.DUMMYFUNCTION("""COMPUTED_VALUE"""),"Umingan")</f>
        <v>Umingan</v>
      </c>
      <c r="Q370" s="2" t="str">
        <f>IFERROR(__xludf.DUMMYFUNCTION("""COMPUTED_VALUE"""),"Pangasinan")</f>
        <v>Pangasinan</v>
      </c>
      <c r="R370" s="2">
        <f>IFERROR(__xludf.DUMMYFUNCTION("""COMPUTED_VALUE"""),1.0)</f>
        <v>1</v>
      </c>
      <c r="S370" s="2"/>
      <c r="T370" s="2"/>
    </row>
    <row r="371">
      <c r="A371" s="1">
        <f>IFERROR(__xludf.DUMMYFUNCTION("""COMPUTED_VALUE"""),369.0)</f>
        <v>369</v>
      </c>
      <c r="B371" s="2" t="str">
        <f>IFERROR(__xludf.DUMMYFUNCTION("""COMPUTED_VALUE"""),"BARACBAC ARB AND FARMERS ASSOCIATION INC.")</f>
        <v>BARACBAC ARB AND FARMERS ASSOCIATION INC.</v>
      </c>
      <c r="C371" s="2" t="str">
        <f>IFERROR(__xludf.DUMMYFUNCTION("""COMPUTED_VALUE"""),"BARACBAC, UMINGAN, PANGASINAN")</f>
        <v>BARACBAC, UMINGAN, PANGASINAN</v>
      </c>
      <c r="D371" s="2" t="str">
        <f>IFERROR(__xludf.DUMMYFUNCTION("""COMPUTED_VALUE"""),"#N/A")</f>
        <v>#N/A</v>
      </c>
      <c r="E371" s="2" t="str">
        <f>IFERROR(__xludf.DUMMYFUNCTION("""COMPUTED_VALUE"""),"#N/A")</f>
        <v>#N/A</v>
      </c>
      <c r="F371" s="2" t="str">
        <f>IFERROR(__xludf.DUMMYFUNCTION("""COMPUTED_VALUE"""),"RCEF 23-09-21 Rebidding")</f>
        <v>RCEF 23-09-21 Rebidding</v>
      </c>
      <c r="G371" s="2">
        <f>IFERROR(__xludf.DUMMYFUNCTION("""COMPUTED_VALUE"""),2.0)</f>
        <v>2</v>
      </c>
      <c r="H371" s="2">
        <f>IFERROR(__xludf.DUMMYFUNCTION("""COMPUTED_VALUE"""),19008.0)</f>
        <v>19008</v>
      </c>
      <c r="I371" s="2" t="str">
        <f>IFERROR(__xludf.DUMMYFUNCTION("""COMPUTED_VALUE"""),"KMC5825ATRFPV0371")</f>
        <v>KMC5825ATRFPV0371</v>
      </c>
      <c r="J371" s="2" t="str">
        <f>IFERROR(__xludf.DUMMYFUNCTION("""COMPUTED_VALUE"""),"RTS100283")</f>
        <v>RTS100283</v>
      </c>
      <c r="K371" s="2" t="str">
        <f>IFERROR(__xludf.DUMMYFUNCTION("""COMPUTED_VALUE"""),"R-SERIES 370 PH")</f>
        <v>R-SERIES 370 PH</v>
      </c>
      <c r="L371" s="2" t="str">
        <f>IFERROR(__xludf.DUMMYFUNCTION("""COMPUTED_VALUE"""),"LSGW1750-RMP-24020505")</f>
        <v>LSGW1750-RMP-24020505</v>
      </c>
      <c r="M371" s="2" t="str">
        <f>IFERROR(__xludf.DUMMYFUNCTION("""COMPUTED_VALUE"""),"WDP-40-RMP-24040537")</f>
        <v>WDP-40-RMP-24040537</v>
      </c>
      <c r="N371" s="2"/>
      <c r="O371" s="2" t="str">
        <f>IFERROR(__xludf.DUMMYFUNCTION("""COMPUTED_VALUE"""),"Baracbac")</f>
        <v>Baracbac</v>
      </c>
      <c r="P371" s="2" t="str">
        <f>IFERROR(__xludf.DUMMYFUNCTION("""COMPUTED_VALUE"""),"Umingan")</f>
        <v>Umingan</v>
      </c>
      <c r="Q371" s="2" t="str">
        <f>IFERROR(__xludf.DUMMYFUNCTION("""COMPUTED_VALUE"""),"Pangasinan")</f>
        <v>Pangasinan</v>
      </c>
      <c r="R371" s="2">
        <f>IFERROR(__xludf.DUMMYFUNCTION("""COMPUTED_VALUE"""),1.0)</f>
        <v>1</v>
      </c>
      <c r="S371" s="2"/>
      <c r="T371" s="2"/>
    </row>
    <row r="372">
      <c r="A372" s="1">
        <f>IFERROR(__xludf.DUMMYFUNCTION("""COMPUTED_VALUE"""),370.0)</f>
        <v>370</v>
      </c>
      <c r="B372" s="2" t="str">
        <f>IFERROR(__xludf.DUMMYFUNCTION("""COMPUTED_VALUE"""),"KIRANG IMPOUNDING ARITAO IRRIGATORS ASSOCIATION INC.,")</f>
        <v>KIRANG IMPOUNDING ARITAO IRRIGATORS ASSOCIATION INC.,</v>
      </c>
      <c r="C372" s="2" t="str">
        <f>IFERROR(__xludf.DUMMYFUNCTION("""COMPUTED_VALUE"""),", Aritao, Nueva Vizcaya")</f>
        <v>, Aritao, Nueva Vizcaya</v>
      </c>
      <c r="D372" s="2" t="str">
        <f>IFERROR(__xludf.DUMMYFUNCTION("""COMPUTED_VALUE"""),"#N/A")</f>
        <v>#N/A</v>
      </c>
      <c r="E372" s="2" t="str">
        <f>IFERROR(__xludf.DUMMYFUNCTION("""COMPUTED_VALUE"""),"#N/A")</f>
        <v>#N/A</v>
      </c>
      <c r="F372" s="2" t="str">
        <f>IFERROR(__xludf.DUMMYFUNCTION("""COMPUTED_VALUE"""),"RCEF 23-09-21 Rebidding")</f>
        <v>RCEF 23-09-21 Rebidding</v>
      </c>
      <c r="G372" s="2">
        <f>IFERROR(__xludf.DUMMYFUNCTION("""COMPUTED_VALUE"""),9.0)</f>
        <v>9</v>
      </c>
      <c r="H372" s="2">
        <f>IFERROR(__xludf.DUMMYFUNCTION("""COMPUTED_VALUE"""),19025.0)</f>
        <v>19025</v>
      </c>
      <c r="I372" s="2" t="str">
        <f>IFERROR(__xludf.DUMMYFUNCTION("""COMPUTED_VALUE"""),"KMC5825 ATRFPV0550")</f>
        <v>KMC5825 ATRFPV0550</v>
      </c>
      <c r="J372" s="2" t="str">
        <f>IFERROR(__xludf.DUMMYFUNCTION("""COMPUTED_VALUE"""),"RTS 100454")</f>
        <v>RTS 100454</v>
      </c>
      <c r="K372" s="2" t="str">
        <f>IFERROR(__xludf.DUMMYFUNCTION("""COMPUTED_VALUE"""),"RSERIES 817 PH")</f>
        <v>RSERIES 817 PH</v>
      </c>
      <c r="L372" s="2" t="str">
        <f>IFERROR(__xludf.DUMMYFUNCTION("""COMPUTED_VALUE"""),"LSGW1750 RMP 24010208")</f>
        <v>LSGW1750 RMP 24010208</v>
      </c>
      <c r="M372" s="2" t="str">
        <f>IFERROR(__xludf.DUMMYFUNCTION("""COMPUTED_VALUE"""),"WDP 40 RMP 24010208")</f>
        <v>WDP 40 RMP 24010208</v>
      </c>
      <c r="N372" s="2"/>
      <c r="O372" s="2" t="str">
        <f>IFERROR(__xludf.DUMMYFUNCTION("""COMPUTED_VALUE"""),"")</f>
        <v/>
      </c>
      <c r="P372" s="2" t="str">
        <f>IFERROR(__xludf.DUMMYFUNCTION("""COMPUTED_VALUE"""),"Aritao")</f>
        <v>Aritao</v>
      </c>
      <c r="Q372" s="2" t="str">
        <f>IFERROR(__xludf.DUMMYFUNCTION("""COMPUTED_VALUE"""),"Nueva Vizcaya")</f>
        <v>Nueva Vizcaya</v>
      </c>
      <c r="R372" s="2">
        <f>IFERROR(__xludf.DUMMYFUNCTION("""COMPUTED_VALUE"""),2.0)</f>
        <v>2</v>
      </c>
      <c r="S372" s="2"/>
      <c r="T372" s="2"/>
    </row>
    <row r="373">
      <c r="A373" s="1">
        <f>IFERROR(__xludf.DUMMYFUNCTION("""COMPUTED_VALUE"""),371.0)</f>
        <v>371</v>
      </c>
      <c r="B373" s="2" t="str">
        <f>IFERROR(__xludf.DUMMYFUNCTION("""COMPUTED_VALUE"""),"WEST DULLAO FARMERS ASSOCIATIN IN.,")</f>
        <v>WEST DULLAO FARMERS ASSOCIATIN IN.,</v>
      </c>
      <c r="C373" s="2" t="str">
        <f>IFERROR(__xludf.DUMMYFUNCTION("""COMPUTED_VALUE"""),"Dullao, Bambang, Nueva Vizcaya")</f>
        <v>Dullao, Bambang, Nueva Vizcaya</v>
      </c>
      <c r="D373" s="2" t="str">
        <f>IFERROR(__xludf.DUMMYFUNCTION("""COMPUTED_VALUE"""),"#N/A")</f>
        <v>#N/A</v>
      </c>
      <c r="E373" s="2" t="str">
        <f>IFERROR(__xludf.DUMMYFUNCTION("""COMPUTED_VALUE"""),"#N/A")</f>
        <v>#N/A</v>
      </c>
      <c r="F373" s="2" t="str">
        <f>IFERROR(__xludf.DUMMYFUNCTION("""COMPUTED_VALUE"""),"RCEF 23-09-21 Rebidding")</f>
        <v>RCEF 23-09-21 Rebidding</v>
      </c>
      <c r="G373" s="2">
        <f>IFERROR(__xludf.DUMMYFUNCTION("""COMPUTED_VALUE"""),9.0)</f>
        <v>9</v>
      </c>
      <c r="H373" s="2">
        <f>IFERROR(__xludf.DUMMYFUNCTION("""COMPUTED_VALUE"""),19027.0)</f>
        <v>19027</v>
      </c>
      <c r="I373" s="2" t="str">
        <f>IFERROR(__xludf.DUMMYFUNCTION("""COMPUTED_VALUE"""),"KMC5825 ACRFPV0563")</f>
        <v>KMC5825 ACRFPV0563</v>
      </c>
      <c r="J373" s="2" t="str">
        <f>IFERROR(__xludf.DUMMYFUNCTION("""COMPUTED_VALUE"""),"RTS 100462")</f>
        <v>RTS 100462</v>
      </c>
      <c r="K373" s="2" t="str">
        <f>IFERROR(__xludf.DUMMYFUNCTION("""COMPUTED_VALUE"""),"RSERIES 818 PH")</f>
        <v>RSERIES 818 PH</v>
      </c>
      <c r="L373" s="2" t="str">
        <f>IFERROR(__xludf.DUMMYFUNCTION("""COMPUTED_VALUE"""),"LSGW1750 RMP 24020504")</f>
        <v>LSGW1750 RMP 24020504</v>
      </c>
      <c r="M373" s="2" t="str">
        <f>IFERROR(__xludf.DUMMYFUNCTION("""COMPUTED_VALUE"""),"WDP 40 RMP 24050561")</f>
        <v>WDP 40 RMP 24050561</v>
      </c>
      <c r="N373" s="2"/>
      <c r="O373" s="2" t="str">
        <f>IFERROR(__xludf.DUMMYFUNCTION("""COMPUTED_VALUE"""),"Dullao")</f>
        <v>Dullao</v>
      </c>
      <c r="P373" s="2" t="str">
        <f>IFERROR(__xludf.DUMMYFUNCTION("""COMPUTED_VALUE"""),"Bambang")</f>
        <v>Bambang</v>
      </c>
      <c r="Q373" s="2" t="str">
        <f>IFERROR(__xludf.DUMMYFUNCTION("""COMPUTED_VALUE"""),"Nueva Vizcaya")</f>
        <v>Nueva Vizcaya</v>
      </c>
      <c r="R373" s="2">
        <f>IFERROR(__xludf.DUMMYFUNCTION("""COMPUTED_VALUE"""),2.0)</f>
        <v>2</v>
      </c>
      <c r="S373" s="2"/>
      <c r="T373" s="2"/>
    </row>
    <row r="374">
      <c r="A374" s="1">
        <f>IFERROR(__xludf.DUMMYFUNCTION("""COMPUTED_VALUE"""),372.0)</f>
        <v>372</v>
      </c>
      <c r="B374" s="2" t="str">
        <f>IFERROR(__xludf.DUMMYFUNCTION("""COMPUTED_VALUE"""),"BUSILAC GREEN LAND AGRO INDUSTRIAL FARMERS AND IRRIGATORS ASSOCIATION")</f>
        <v>BUSILAC GREEN LAND AGRO INDUSTRIAL FARMERS AND IRRIGATORS ASSOCIATION</v>
      </c>
      <c r="C374" s="2" t="str">
        <f>IFERROR(__xludf.DUMMYFUNCTION("""COMPUTED_VALUE"""),", Bayombong, Nueva Vizcaya")</f>
        <v>, Bayombong, Nueva Vizcaya</v>
      </c>
      <c r="D374" s="2" t="str">
        <f>IFERROR(__xludf.DUMMYFUNCTION("""COMPUTED_VALUE"""),"#N/A")</f>
        <v>#N/A</v>
      </c>
      <c r="E374" s="2" t="str">
        <f>IFERROR(__xludf.DUMMYFUNCTION("""COMPUTED_VALUE"""),"#N/A")</f>
        <v>#N/A</v>
      </c>
      <c r="F374" s="2" t="str">
        <f>IFERROR(__xludf.DUMMYFUNCTION("""COMPUTED_VALUE"""),"RCEF 23-09-21 Rebidding")</f>
        <v>RCEF 23-09-21 Rebidding</v>
      </c>
      <c r="G374" s="2">
        <f>IFERROR(__xludf.DUMMYFUNCTION("""COMPUTED_VALUE"""),9.0)</f>
        <v>9</v>
      </c>
      <c r="H374" s="2">
        <f>IFERROR(__xludf.DUMMYFUNCTION("""COMPUTED_VALUE"""),19028.0)</f>
        <v>19028</v>
      </c>
      <c r="I374" s="2" t="str">
        <f>IFERROR(__xludf.DUMMYFUNCTION("""COMPUTED_VALUE"""),"KMC5825 AARFPV0573")</f>
        <v>KMC5825 AARFPV0573</v>
      </c>
      <c r="J374" s="2" t="str">
        <f>IFERROR(__xludf.DUMMYFUNCTION("""COMPUTED_VALUE"""),"RTS 100474")</f>
        <v>RTS 100474</v>
      </c>
      <c r="K374" s="2" t="str">
        <f>IFERROR(__xludf.DUMMYFUNCTION("""COMPUTED_VALUE"""),"RSERIES 808 PH")</f>
        <v>RSERIES 808 PH</v>
      </c>
      <c r="L374" s="2" t="str">
        <f>IFERROR(__xludf.DUMMYFUNCTION("""COMPUTED_VALUE"""),"LSGW1750 RMP 24020502")</f>
        <v>LSGW1750 RMP 24020502</v>
      </c>
      <c r="M374" s="2" t="str">
        <f>IFERROR(__xludf.DUMMYFUNCTION("""COMPUTED_VALUE"""),"WDP 40 RMP 24050546")</f>
        <v>WDP 40 RMP 24050546</v>
      </c>
      <c r="N374" s="2"/>
      <c r="O374" s="2" t="str">
        <f>IFERROR(__xludf.DUMMYFUNCTION("""COMPUTED_VALUE"""),"")</f>
        <v/>
      </c>
      <c r="P374" s="2" t="str">
        <f>IFERROR(__xludf.DUMMYFUNCTION("""COMPUTED_VALUE"""),"Bayombong")</f>
        <v>Bayombong</v>
      </c>
      <c r="Q374" s="2" t="str">
        <f>IFERROR(__xludf.DUMMYFUNCTION("""COMPUTED_VALUE"""),"Nueva Vizcaya")</f>
        <v>Nueva Vizcaya</v>
      </c>
      <c r="R374" s="2">
        <f>IFERROR(__xludf.DUMMYFUNCTION("""COMPUTED_VALUE"""),2.0)</f>
        <v>2</v>
      </c>
      <c r="S374" s="2"/>
      <c r="T374" s="2"/>
    </row>
    <row r="375">
      <c r="A375" s="1">
        <f>IFERROR(__xludf.DUMMYFUNCTION("""COMPUTED_VALUE"""),373.0)</f>
        <v>373</v>
      </c>
      <c r="B375" s="2" t="str">
        <f>IFERROR(__xludf.DUMMYFUNCTION("""COMPUTED_VALUE"""),"BANFLA, DUPAX SUR IRRIGATORS INC.,")</f>
        <v>BANFLA, DUPAX SUR IRRIGATORS INC.,</v>
      </c>
      <c r="C375" s="2" t="str">
        <f>IFERROR(__xludf.DUMMYFUNCTION("""COMPUTED_VALUE"""),", Dupax del sur, Nueva Vizcaya")</f>
        <v>, Dupax del sur, Nueva Vizcaya</v>
      </c>
      <c r="D375" s="2" t="str">
        <f>IFERROR(__xludf.DUMMYFUNCTION("""COMPUTED_VALUE"""),"#N/A")</f>
        <v>#N/A</v>
      </c>
      <c r="E375" s="2" t="str">
        <f>IFERROR(__xludf.DUMMYFUNCTION("""COMPUTED_VALUE"""),"#N/A")</f>
        <v>#N/A</v>
      </c>
      <c r="F375" s="2" t="str">
        <f>IFERROR(__xludf.DUMMYFUNCTION("""COMPUTED_VALUE"""),"RCEF 23-09-21 Rebidding")</f>
        <v>RCEF 23-09-21 Rebidding</v>
      </c>
      <c r="G375" s="2">
        <f>IFERROR(__xludf.DUMMYFUNCTION("""COMPUTED_VALUE"""),9.0)</f>
        <v>9</v>
      </c>
      <c r="H375" s="2">
        <f>IFERROR(__xludf.DUMMYFUNCTION("""COMPUTED_VALUE"""),19029.0)</f>
        <v>19029</v>
      </c>
      <c r="I375" s="2" t="str">
        <f>IFERROR(__xludf.DUMMYFUNCTION("""COMPUTED_VALUE"""),"KMC5825 ACRFPV0613")</f>
        <v>KMC5825 ACRFPV0613</v>
      </c>
      <c r="J375" s="2" t="str">
        <f>IFERROR(__xludf.DUMMYFUNCTION("""COMPUTED_VALUE"""),"RTS 100588")</f>
        <v>RTS 100588</v>
      </c>
      <c r="K375" s="2" t="str">
        <f>IFERROR(__xludf.DUMMYFUNCTION("""COMPUTED_VALUE"""),"RSERIES 819 PH")</f>
        <v>RSERIES 819 PH</v>
      </c>
      <c r="L375" s="2" t="str">
        <f>IFERROR(__xludf.DUMMYFUNCTION("""COMPUTED_VALUE"""),"LSGW1750 RMP 24010216")</f>
        <v>LSGW1750 RMP 24010216</v>
      </c>
      <c r="M375" s="2" t="str">
        <f>IFERROR(__xludf.DUMMYFUNCTION("""COMPUTED_VALUE"""),"WDP 40 RMP 24040526")</f>
        <v>WDP 40 RMP 24040526</v>
      </c>
      <c r="N375" s="2"/>
      <c r="O375" s="2" t="str">
        <f>IFERROR(__xludf.DUMMYFUNCTION("""COMPUTED_VALUE"""),"")</f>
        <v/>
      </c>
      <c r="P375" s="2" t="str">
        <f>IFERROR(__xludf.DUMMYFUNCTION("""COMPUTED_VALUE"""),"Dupax Del Sur")</f>
        <v>Dupax Del Sur</v>
      </c>
      <c r="Q375" s="2" t="str">
        <f>IFERROR(__xludf.DUMMYFUNCTION("""COMPUTED_VALUE"""),"Nueva Vizcaya")</f>
        <v>Nueva Vizcaya</v>
      </c>
      <c r="R375" s="2">
        <f>IFERROR(__xludf.DUMMYFUNCTION("""COMPUTED_VALUE"""),2.0)</f>
        <v>2</v>
      </c>
      <c r="S375" s="2"/>
      <c r="T375" s="2"/>
    </row>
    <row r="376">
      <c r="A376" s="1">
        <f>IFERROR(__xludf.DUMMYFUNCTION("""COMPUTED_VALUE"""),374.0)</f>
        <v>374</v>
      </c>
      <c r="B376" s="2" t="str">
        <f>IFERROR(__xludf.DUMMYFUNCTION("""COMPUTED_VALUE"""),"KASIBU FARMERS DEVELOPMENT COOPERATIVE")</f>
        <v>KASIBU FARMERS DEVELOPMENT COOPERATIVE</v>
      </c>
      <c r="C376" s="2" t="str">
        <f>IFERROR(__xludf.DUMMYFUNCTION("""COMPUTED_VALUE"""),"POBLACION, KASIBU, NUEVA VIZCAYA")</f>
        <v>POBLACION, KASIBU, NUEVA VIZCAYA</v>
      </c>
      <c r="D376" s="2" t="str">
        <f>IFERROR(__xludf.DUMMYFUNCTION("""COMPUTED_VALUE"""),"Jomar E. Calibuso")</f>
        <v>Jomar E. Calibuso</v>
      </c>
      <c r="E376" s="2">
        <f>IFERROR(__xludf.DUMMYFUNCTION("""COMPUTED_VALUE"""),9.356838934E9)</f>
        <v>9356838934</v>
      </c>
      <c r="F376" s="2" t="str">
        <f>IFERROR(__xludf.DUMMYFUNCTION("""COMPUTED_VALUE"""),"RCEF 23-09-21 Rebidding")</f>
        <v>RCEF 23-09-21 Rebidding</v>
      </c>
      <c r="G376" s="2">
        <f>IFERROR(__xludf.DUMMYFUNCTION("""COMPUTED_VALUE"""),9.0)</f>
        <v>9</v>
      </c>
      <c r="H376" s="2">
        <f>IFERROR(__xludf.DUMMYFUNCTION("""COMPUTED_VALUE"""),19030.0)</f>
        <v>19030</v>
      </c>
      <c r="I376" s="2" t="str">
        <f>IFERROR(__xludf.DUMMYFUNCTION("""COMPUTED_VALUE"""),"KMC5825 AKRFPV0616")</f>
        <v>KMC5825 AKRFPV0616</v>
      </c>
      <c r="J376" s="2" t="str">
        <f>IFERROR(__xludf.DUMMYFUNCTION("""COMPUTED_VALUE"""),"RTS 100585")</f>
        <v>RTS 100585</v>
      </c>
      <c r="K376" s="2" t="str">
        <f>IFERROR(__xludf.DUMMYFUNCTION("""COMPUTED_VALUE"""),"RSERIES 797")</f>
        <v>RSERIES 797</v>
      </c>
      <c r="L376" s="2" t="str">
        <f>IFERROR(__xludf.DUMMYFUNCTION("""COMPUTED_VALUE"""),"LSGW1750 RMP 24020518")</f>
        <v>LSGW1750 RMP 24020518</v>
      </c>
      <c r="M376" s="2" t="str">
        <f>IFERROR(__xludf.DUMMYFUNCTION("""COMPUTED_VALUE"""),"WDP 40 RMP 24050553")</f>
        <v>WDP 40 RMP 24050553</v>
      </c>
      <c r="N376" s="2"/>
      <c r="O376" s="2" t="str">
        <f>IFERROR(__xludf.DUMMYFUNCTION("""COMPUTED_VALUE"""),"Poblacion")</f>
        <v>Poblacion</v>
      </c>
      <c r="P376" s="2" t="str">
        <f>IFERROR(__xludf.DUMMYFUNCTION("""COMPUTED_VALUE"""),"Kasibu")</f>
        <v>Kasibu</v>
      </c>
      <c r="Q376" s="2" t="str">
        <f>IFERROR(__xludf.DUMMYFUNCTION("""COMPUTED_VALUE"""),"Nueva Vizcaya")</f>
        <v>Nueva Vizcaya</v>
      </c>
      <c r="R376" s="2">
        <f>IFERROR(__xludf.DUMMYFUNCTION("""COMPUTED_VALUE"""),2.0)</f>
        <v>2</v>
      </c>
      <c r="S376" s="2"/>
      <c r="T376" s="2"/>
    </row>
    <row r="377">
      <c r="A377" s="1">
        <f>IFERROR(__xludf.DUMMYFUNCTION("""COMPUTED_VALUE"""),375.0)</f>
        <v>375</v>
      </c>
      <c r="B377" s="2" t="str">
        <f>IFERROR(__xludf.DUMMYFUNCTION("""COMPUTED_VALUE"""),"Lumannap Aurora Irrigators Association Inc.")</f>
        <v>Lumannap Aurora Irrigators Association Inc.</v>
      </c>
      <c r="C377" s="2" t="str">
        <f>IFERROR(__xludf.DUMMYFUNCTION("""COMPUTED_VALUE"""),"Aurora, Quezon, NUEVA VIZCAYA")</f>
        <v>Aurora, Quezon, NUEVA VIZCAYA</v>
      </c>
      <c r="D377" s="2" t="str">
        <f>IFERROR(__xludf.DUMMYFUNCTION("""COMPUTED_VALUE"""),"Ernesto E. Lizada")</f>
        <v>Ernesto E. Lizada</v>
      </c>
      <c r="E377" s="2">
        <f>IFERROR(__xludf.DUMMYFUNCTION("""COMPUTED_VALUE"""),9.976870982E9)</f>
        <v>9976870982</v>
      </c>
      <c r="F377" s="2" t="str">
        <f>IFERROR(__xludf.DUMMYFUNCTION("""COMPUTED_VALUE"""),"RCEF 23-09-21 Rebidding")</f>
        <v>RCEF 23-09-21 Rebidding</v>
      </c>
      <c r="G377" s="2">
        <f>IFERROR(__xludf.DUMMYFUNCTION("""COMPUTED_VALUE"""),9.0)</f>
        <v>9</v>
      </c>
      <c r="H377" s="2">
        <f>IFERROR(__xludf.DUMMYFUNCTION("""COMPUTED_VALUE"""),19031.0)</f>
        <v>19031</v>
      </c>
      <c r="I377" s="2" t="str">
        <f>IFERROR(__xludf.DUMMYFUNCTION("""COMPUTED_VALUE"""),"KMC5825 ACRFPV0568")</f>
        <v>KMC5825 ACRFPV0568</v>
      </c>
      <c r="J377" s="2" t="str">
        <f>IFERROR(__xludf.DUMMYFUNCTION("""COMPUTED_VALUE"""),"RTS 100472")</f>
        <v>RTS 100472</v>
      </c>
      <c r="K377" s="2" t="str">
        <f>IFERROR(__xludf.DUMMYFUNCTION("""COMPUTED_VALUE"""),"RSERIES 967 PH")</f>
        <v>RSERIES 967 PH</v>
      </c>
      <c r="L377" s="2" t="str">
        <f>IFERROR(__xludf.DUMMYFUNCTION("""COMPUTED_VALUE"""),"LSGW1750 RMP 24010223")</f>
        <v>LSGW1750 RMP 24010223</v>
      </c>
      <c r="M377" s="2" t="str">
        <f>IFERROR(__xludf.DUMMYFUNCTION("""COMPUTED_VALUE"""),"WDP 40 RMP 24050562")</f>
        <v>WDP 40 RMP 24050562</v>
      </c>
      <c r="N377" s="2"/>
      <c r="O377" s="2" t="str">
        <f>IFERROR(__xludf.DUMMYFUNCTION("""COMPUTED_VALUE"""),"Aurora")</f>
        <v>Aurora</v>
      </c>
      <c r="P377" s="2" t="str">
        <f>IFERROR(__xludf.DUMMYFUNCTION("""COMPUTED_VALUE"""),"Quezon")</f>
        <v>Quezon</v>
      </c>
      <c r="Q377" s="2" t="str">
        <f>IFERROR(__xludf.DUMMYFUNCTION("""COMPUTED_VALUE"""),"Nueva Vizcaya")</f>
        <v>Nueva Vizcaya</v>
      </c>
      <c r="R377" s="2">
        <f>IFERROR(__xludf.DUMMYFUNCTION("""COMPUTED_VALUE"""),2.0)</f>
        <v>2</v>
      </c>
      <c r="S377" s="2"/>
      <c r="T377" s="2"/>
    </row>
    <row r="378">
      <c r="A378" s="1">
        <f>IFERROR(__xludf.DUMMYFUNCTION("""COMPUTED_VALUE"""),376.0)</f>
        <v>376</v>
      </c>
      <c r="B378" s="2" t="str">
        <f>IFERROR(__xludf.DUMMYFUNCTION("""COMPUTED_VALUE"""),"Nalubbunan Communal Irrigators Association Inc.")</f>
        <v>Nalubbunan Communal Irrigators Association Inc.</v>
      </c>
      <c r="C378" s="2" t="str">
        <f>IFERROR(__xludf.DUMMYFUNCTION("""COMPUTED_VALUE"""),"Nalubbunan, Quezon, NUEVA VIZCAYA")</f>
        <v>Nalubbunan, Quezon, NUEVA VIZCAYA</v>
      </c>
      <c r="D378" s="2" t="str">
        <f>IFERROR(__xludf.DUMMYFUNCTION("""COMPUTED_VALUE"""),"Edyzer Viernes")</f>
        <v>Edyzer Viernes</v>
      </c>
      <c r="E378" s="2">
        <f>IFERROR(__xludf.DUMMYFUNCTION("""COMPUTED_VALUE"""),9.065719924E9)</f>
        <v>9065719924</v>
      </c>
      <c r="F378" s="2" t="str">
        <f>IFERROR(__xludf.DUMMYFUNCTION("""COMPUTED_VALUE"""),"RCEF 23-09-21 Rebidding")</f>
        <v>RCEF 23-09-21 Rebidding</v>
      </c>
      <c r="G378" s="2">
        <f>IFERROR(__xludf.DUMMYFUNCTION("""COMPUTED_VALUE"""),9.0)</f>
        <v>9</v>
      </c>
      <c r="H378" s="2">
        <f>IFERROR(__xludf.DUMMYFUNCTION("""COMPUTED_VALUE"""),19032.0)</f>
        <v>19032</v>
      </c>
      <c r="I378" s="2" t="str">
        <f>IFERROR(__xludf.DUMMYFUNCTION("""COMPUTED_VALUE"""),"KMC5825 ACRFPV0635")</f>
        <v>KMC5825 ACRFPV0635</v>
      </c>
      <c r="J378" s="2" t="str">
        <f>IFERROR(__xludf.DUMMYFUNCTION("""COMPUTED_VALUE"""),"RTS 100507")</f>
        <v>RTS 100507</v>
      </c>
      <c r="K378" s="2" t="str">
        <f>IFERROR(__xludf.DUMMYFUNCTION("""COMPUTED_VALUE"""),"RSERIES 791 PH")</f>
        <v>RSERIES 791 PH</v>
      </c>
      <c r="L378" s="2" t="str">
        <f>IFERROR(__xludf.DUMMYFUNCTION("""COMPUTED_VALUE"""),"LSGW1750 RMP 24010222")</f>
        <v>LSGW1750 RMP 24010222</v>
      </c>
      <c r="M378" s="2" t="str">
        <f>IFERROR(__xludf.DUMMYFUNCTION("""COMPUTED_VALUE"""),"WDP 40 RMP 24050570")</f>
        <v>WDP 40 RMP 24050570</v>
      </c>
      <c r="N378" s="2"/>
      <c r="O378" s="2" t="str">
        <f>IFERROR(__xludf.DUMMYFUNCTION("""COMPUTED_VALUE"""),"Nalubbunan")</f>
        <v>Nalubbunan</v>
      </c>
      <c r="P378" s="2" t="str">
        <f>IFERROR(__xludf.DUMMYFUNCTION("""COMPUTED_VALUE"""),"Quezon")</f>
        <v>Quezon</v>
      </c>
      <c r="Q378" s="2" t="str">
        <f>IFERROR(__xludf.DUMMYFUNCTION("""COMPUTED_VALUE"""),"Nueva Vizcaya")</f>
        <v>Nueva Vizcaya</v>
      </c>
      <c r="R378" s="2">
        <f>IFERROR(__xludf.DUMMYFUNCTION("""COMPUTED_VALUE"""),2.0)</f>
        <v>2</v>
      </c>
      <c r="S378" s="2"/>
      <c r="T378" s="2"/>
    </row>
    <row r="379">
      <c r="A379" s="1">
        <f>IFERROR(__xludf.DUMMYFUNCTION("""COMPUTED_VALUE"""),377.0)</f>
        <v>377</v>
      </c>
      <c r="B379" s="2" t="str">
        <f>IFERROR(__xludf.DUMMYFUNCTION("""COMPUTED_VALUE"""),"SOLANO CAMCAM WEST APAD II FARMERS ASSOCIATION INC.,")</f>
        <v>SOLANO CAMCAM WEST APAD II FARMERS ASSOCIATION INC.,</v>
      </c>
      <c r="C379" s="2" t="str">
        <f>IFERROR(__xludf.DUMMYFUNCTION("""COMPUTED_VALUE"""),", SOLANO, NUEVA VIZCAYA")</f>
        <v>, SOLANO, NUEVA VIZCAYA</v>
      </c>
      <c r="D379" s="2" t="str">
        <f>IFERROR(__xludf.DUMMYFUNCTION("""COMPUTED_VALUE"""),"#N/A")</f>
        <v>#N/A</v>
      </c>
      <c r="E379" s="2" t="str">
        <f>IFERROR(__xludf.DUMMYFUNCTION("""COMPUTED_VALUE"""),"#N/A")</f>
        <v>#N/A</v>
      </c>
      <c r="F379" s="2" t="str">
        <f>IFERROR(__xludf.DUMMYFUNCTION("""COMPUTED_VALUE"""),"RCEF 23-09-21 Rebidding")</f>
        <v>RCEF 23-09-21 Rebidding</v>
      </c>
      <c r="G379" s="2">
        <f>IFERROR(__xludf.DUMMYFUNCTION("""COMPUTED_VALUE"""),9.0)</f>
        <v>9</v>
      </c>
      <c r="H379" s="2">
        <f>IFERROR(__xludf.DUMMYFUNCTION("""COMPUTED_VALUE"""),19033.0)</f>
        <v>19033</v>
      </c>
      <c r="I379" s="2" t="str">
        <f>IFERROR(__xludf.DUMMYFUNCTION("""COMPUTED_VALUE"""),"KMC5825 ATRFPV0726")</f>
        <v>KMC5825 ATRFPV0726</v>
      </c>
      <c r="J379" s="2" t="str">
        <f>IFERROR(__xludf.DUMMYFUNCTION("""COMPUTED_VALUE"""),"RTS 100599")</f>
        <v>RTS 100599</v>
      </c>
      <c r="K379" s="2" t="str">
        <f>IFERROR(__xludf.DUMMYFUNCTION("""COMPUTED_VALUE"""),"RSERIES 976 PH")</f>
        <v>RSERIES 976 PH</v>
      </c>
      <c r="L379" s="2" t="str">
        <f>IFERROR(__xludf.DUMMYFUNCTION("""COMPUTED_VALUE"""),"LSGW1750 RMP 24040673")</f>
        <v>LSGW1750 RMP 24040673</v>
      </c>
      <c r="M379" s="2" t="str">
        <f>IFERROR(__xludf.DUMMYFUNCTION("""COMPUTED_VALUE"""),"WDP 40 RMP 24050581")</f>
        <v>WDP 40 RMP 24050581</v>
      </c>
      <c r="N379" s="2"/>
      <c r="O379" s="2" t="str">
        <f>IFERROR(__xludf.DUMMYFUNCTION("""COMPUTED_VALUE"""),"")</f>
        <v/>
      </c>
      <c r="P379" s="2" t="str">
        <f>IFERROR(__xludf.DUMMYFUNCTION("""COMPUTED_VALUE"""),"Solano")</f>
        <v>Solano</v>
      </c>
      <c r="Q379" s="2" t="str">
        <f>IFERROR(__xludf.DUMMYFUNCTION("""COMPUTED_VALUE"""),"Nueva Vizcaya")</f>
        <v>Nueva Vizcaya</v>
      </c>
      <c r="R379" s="2">
        <f>IFERROR(__xludf.DUMMYFUNCTION("""COMPUTED_VALUE"""),2.0)</f>
        <v>2</v>
      </c>
      <c r="S379" s="2"/>
      <c r="T379" s="2"/>
    </row>
    <row r="380">
      <c r="A380" s="1">
        <f>IFERROR(__xludf.DUMMYFUNCTION("""COMPUTED_VALUE"""),378.0)</f>
        <v>378</v>
      </c>
      <c r="B380" s="2" t="str">
        <f>IFERROR(__xludf.DUMMYFUNCTION("""COMPUTED_VALUE"""),"STA. RITA RICE, CORN HVCC AND LIVESTOCK FARMERS ASSOCIATION")</f>
        <v>STA. RITA RICE, CORN HVCC AND LIVESTOCK FARMERS ASSOCIATION</v>
      </c>
      <c r="C380" s="2" t="str">
        <f>IFERROR(__xludf.DUMMYFUNCTION("""COMPUTED_VALUE"""),"Santa Rita, Lubao, pampanga")</f>
        <v>Santa Rita, Lubao, pampanga</v>
      </c>
      <c r="D380" s="2" t="str">
        <f>IFERROR(__xludf.DUMMYFUNCTION("""COMPUTED_VALUE"""),"#N/A")</f>
        <v>#N/A</v>
      </c>
      <c r="E380" s="2" t="str">
        <f>IFERROR(__xludf.DUMMYFUNCTION("""COMPUTED_VALUE"""),"#N/A")</f>
        <v>#N/A</v>
      </c>
      <c r="F380" s="2" t="str">
        <f>IFERROR(__xludf.DUMMYFUNCTION("""COMPUTED_VALUE"""),"RCEF 23-09-21 Rebidding")</f>
        <v>RCEF 23-09-21 Rebidding</v>
      </c>
      <c r="G380" s="2">
        <f>IFERROR(__xludf.DUMMYFUNCTION("""COMPUTED_VALUE"""),9.0)</f>
        <v>9</v>
      </c>
      <c r="H380" s="2">
        <f>IFERROR(__xludf.DUMMYFUNCTION("""COMPUTED_VALUE"""),19035.0)</f>
        <v>19035</v>
      </c>
      <c r="I380" s="2" t="str">
        <f>IFERROR(__xludf.DUMMYFUNCTION("""COMPUTED_VALUE"""),"KMC5825AP RFPV0615")</f>
        <v>KMC5825AP RFPV0615</v>
      </c>
      <c r="J380" s="2"/>
      <c r="K380" s="2" t="str">
        <f>IFERROR(__xludf.DUMMYFUNCTION("""COMPUTED_VALUE"""),"R-SERIES 793 PH")</f>
        <v>R-SERIES 793 PH</v>
      </c>
      <c r="L380" s="2" t="str">
        <f>IFERROR(__xludf.DUMMYFUNCTION("""COMPUTED_VALUE"""),"LSGW1750 RMP 24020536")</f>
        <v>LSGW1750 RMP 24020536</v>
      </c>
      <c r="M380" s="2" t="str">
        <f>IFERROR(__xludf.DUMMYFUNCTION("""COMPUTED_VALUE"""),"WDP 40 RMP 24050569")</f>
        <v>WDP 40 RMP 24050569</v>
      </c>
      <c r="N380" s="2"/>
      <c r="O380" s="2" t="str">
        <f>IFERROR(__xludf.DUMMYFUNCTION("""COMPUTED_VALUE"""),"Santa Rita")</f>
        <v>Santa Rita</v>
      </c>
      <c r="P380" s="2" t="str">
        <f>IFERROR(__xludf.DUMMYFUNCTION("""COMPUTED_VALUE"""),"Lubao")</f>
        <v>Lubao</v>
      </c>
      <c r="Q380" s="2" t="str">
        <f>IFERROR(__xludf.DUMMYFUNCTION("""COMPUTED_VALUE"""),"Pampanga")</f>
        <v>Pampanga</v>
      </c>
      <c r="R380" s="2">
        <f>IFERROR(__xludf.DUMMYFUNCTION("""COMPUTED_VALUE"""),3.0)</f>
        <v>3</v>
      </c>
      <c r="S380" s="2"/>
      <c r="T380" s="2"/>
    </row>
    <row r="381">
      <c r="A381" s="1">
        <f>IFERROR(__xludf.DUMMYFUNCTION("""COMPUTED_VALUE"""),379.0)</f>
        <v>379</v>
      </c>
      <c r="B381" s="2" t="str">
        <f>IFERROR(__xludf.DUMMYFUNCTION("""COMPUTED_VALUE"""),"NEW PLANAS AGRICULTURE")</f>
        <v>NEW PLANAS AGRICULTURE</v>
      </c>
      <c r="C381" s="2" t="str">
        <f>IFERROR(__xludf.DUMMYFUNCTION("""COMPUTED_VALUE"""),"PLANAS, PORAC, PAMPANGA")</f>
        <v>PLANAS, PORAC, PAMPANGA</v>
      </c>
      <c r="D381" s="2" t="str">
        <f>IFERROR(__xludf.DUMMYFUNCTION("""COMPUTED_VALUE"""),"#N/A")</f>
        <v>#N/A</v>
      </c>
      <c r="E381" s="2" t="str">
        <f>IFERROR(__xludf.DUMMYFUNCTION("""COMPUTED_VALUE"""),"#N/A")</f>
        <v>#N/A</v>
      </c>
      <c r="F381" s="2" t="str">
        <f>IFERROR(__xludf.DUMMYFUNCTION("""COMPUTED_VALUE"""),"RCEF 23-09-21 Rebidding")</f>
        <v>RCEF 23-09-21 Rebidding</v>
      </c>
      <c r="G381" s="2">
        <f>IFERROR(__xludf.DUMMYFUNCTION("""COMPUTED_VALUE"""),9.0)</f>
        <v>9</v>
      </c>
      <c r="H381" s="2">
        <f>IFERROR(__xludf.DUMMYFUNCTION("""COMPUTED_VALUE"""),19036.0)</f>
        <v>19036</v>
      </c>
      <c r="I381" s="2" t="str">
        <f>IFERROR(__xludf.DUMMYFUNCTION("""COMPUTED_VALUE"""),"KMC5825 AJRFPV0620")</f>
        <v>KMC5825 AJRFPV0620</v>
      </c>
      <c r="J381" s="2" t="str">
        <f>IFERROR(__xludf.DUMMYFUNCTION("""COMPUTED_VALUE"""),"RTS")</f>
        <v>RTS</v>
      </c>
      <c r="K381" s="2" t="str">
        <f>IFERROR(__xludf.DUMMYFUNCTION("""COMPUTED_VALUE"""),"RSERIES 802 PH")</f>
        <v>RSERIES 802 PH</v>
      </c>
      <c r="L381" s="2" t="str">
        <f>IFERROR(__xludf.DUMMYFUNCTION("""COMPUTED_VALUE"""),"LSGW1750 RMP 24020535")</f>
        <v>LSGW1750 RMP 24020535</v>
      </c>
      <c r="M381" s="2" t="str">
        <f>IFERROR(__xludf.DUMMYFUNCTION("""COMPUTED_VALUE"""),"WDP 40 RMP 24040539")</f>
        <v>WDP 40 RMP 24040539</v>
      </c>
      <c r="N381" s="2"/>
      <c r="O381" s="2" t="str">
        <f>IFERROR(__xludf.DUMMYFUNCTION("""COMPUTED_VALUE"""),"Planas")</f>
        <v>Planas</v>
      </c>
      <c r="P381" s="2" t="str">
        <f>IFERROR(__xludf.DUMMYFUNCTION("""COMPUTED_VALUE"""),"Porac")</f>
        <v>Porac</v>
      </c>
      <c r="Q381" s="2" t="str">
        <f>IFERROR(__xludf.DUMMYFUNCTION("""COMPUTED_VALUE"""),"Pampanga")</f>
        <v>Pampanga</v>
      </c>
      <c r="R381" s="2">
        <f>IFERROR(__xludf.DUMMYFUNCTION("""COMPUTED_VALUE"""),3.0)</f>
        <v>3</v>
      </c>
      <c r="S381" s="2"/>
      <c r="T381" s="2"/>
    </row>
    <row r="382">
      <c r="A382" s="1">
        <f>IFERROR(__xludf.DUMMYFUNCTION("""COMPUTED_VALUE"""),380.0)</f>
        <v>380</v>
      </c>
      <c r="B382" s="2" t="str">
        <f>IFERROR(__xludf.DUMMYFUNCTION("""COMPUTED_VALUE"""),"DAPDAP PANIQUI FARMER IRRIGATORS ASSOCIATION INC.")</f>
        <v>DAPDAP PANIQUI FARMER IRRIGATORS ASSOCIATION INC.</v>
      </c>
      <c r="C382" s="2" t="str">
        <f>IFERROR(__xludf.DUMMYFUNCTION("""COMPUTED_VALUE"""),"Dapdap, Paniqui, TARLAC")</f>
        <v>Dapdap, Paniqui, TARLAC</v>
      </c>
      <c r="D382" s="2" t="str">
        <f>IFERROR(__xludf.DUMMYFUNCTION("""COMPUTED_VALUE"""),"Willie F. Asuncion")</f>
        <v>Willie F. Asuncion</v>
      </c>
      <c r="E382" s="2">
        <f>IFERROR(__xludf.DUMMYFUNCTION("""COMPUTED_VALUE"""),9.19696776E9)</f>
        <v>9196967760</v>
      </c>
      <c r="F382" s="2" t="str">
        <f>IFERROR(__xludf.DUMMYFUNCTION("""COMPUTED_VALUE"""),"RCEF 23-09-21 Rebidding")</f>
        <v>RCEF 23-09-21 Rebidding</v>
      </c>
      <c r="G382" s="2">
        <f>IFERROR(__xludf.DUMMYFUNCTION("""COMPUTED_VALUE"""),9.0)</f>
        <v>9</v>
      </c>
      <c r="H382" s="2">
        <f>IFERROR(__xludf.DUMMYFUNCTION("""COMPUTED_VALUE"""),19038.0)</f>
        <v>19038</v>
      </c>
      <c r="I382" s="2" t="str">
        <f>IFERROR(__xludf.DUMMYFUNCTION("""COMPUTED_VALUE"""),"KMC5825 APRFPV0601")</f>
        <v>KMC5825 APRFPV0601</v>
      </c>
      <c r="J382" s="2" t="str">
        <f>IFERROR(__xludf.DUMMYFUNCTION("""COMPUTED_VALUE"""),"RTS 100581")</f>
        <v>RTS 100581</v>
      </c>
      <c r="K382" s="2" t="str">
        <f>IFERROR(__xludf.DUMMYFUNCTION("""COMPUTED_VALUE"""),"RSERIES 961 PH")</f>
        <v>RSERIES 961 PH</v>
      </c>
      <c r="L382" s="2" t="str">
        <f>IFERROR(__xludf.DUMMYFUNCTION("""COMPUTED_VALUE"""),"LSGW1750 RMP 24020525")</f>
        <v>LSGW1750 RMP 24020525</v>
      </c>
      <c r="M382" s="2" t="str">
        <f>IFERROR(__xludf.DUMMYFUNCTION("""COMPUTED_VALUE"""),"WDP 40 RMP 2404034")</f>
        <v>WDP 40 RMP 2404034</v>
      </c>
      <c r="N382" s="2"/>
      <c r="O382" s="2" t="str">
        <f>IFERROR(__xludf.DUMMYFUNCTION("""COMPUTED_VALUE"""),"Dapdap")</f>
        <v>Dapdap</v>
      </c>
      <c r="P382" s="2" t="str">
        <f>IFERROR(__xludf.DUMMYFUNCTION("""COMPUTED_VALUE"""),"Paniqui")</f>
        <v>Paniqui</v>
      </c>
      <c r="Q382" s="2" t="str">
        <f>IFERROR(__xludf.DUMMYFUNCTION("""COMPUTED_VALUE"""),"Tarlac")</f>
        <v>Tarlac</v>
      </c>
      <c r="R382" s="2">
        <f>IFERROR(__xludf.DUMMYFUNCTION("""COMPUTED_VALUE"""),3.0)</f>
        <v>3</v>
      </c>
      <c r="S382" s="2"/>
      <c r="T382" s="2"/>
    </row>
    <row r="383">
      <c r="A383" s="1">
        <f>IFERROR(__xludf.DUMMYFUNCTION("""COMPUTED_VALUE"""),381.0)</f>
        <v>381</v>
      </c>
      <c r="B383" s="2" t="str">
        <f>IFERROR(__xludf.DUMMYFUNCTION("""COMPUTED_VALUE"""),"Macalong Farmers Agriculture Cooperative")</f>
        <v>Macalong Farmers Agriculture Cooperative</v>
      </c>
      <c r="C383" s="2" t="str">
        <f>IFERROR(__xludf.DUMMYFUNCTION("""COMPUTED_VALUE"""),"Macalong, La Paz, TARLAC")</f>
        <v>Macalong, La Paz, TARLAC</v>
      </c>
      <c r="D383" s="2" t="str">
        <f>IFERROR(__xludf.DUMMYFUNCTION("""COMPUTED_VALUE"""),"Edna M. Buyao")</f>
        <v>Edna M. Buyao</v>
      </c>
      <c r="E383" s="2">
        <f>IFERROR(__xludf.DUMMYFUNCTION("""COMPUTED_VALUE"""),9.212327254E9)</f>
        <v>9212327254</v>
      </c>
      <c r="F383" s="2" t="str">
        <f>IFERROR(__xludf.DUMMYFUNCTION("""COMPUTED_VALUE"""),"RCEF 23-09-21 Rebidding")</f>
        <v>RCEF 23-09-21 Rebidding</v>
      </c>
      <c r="G383" s="2">
        <f>IFERROR(__xludf.DUMMYFUNCTION("""COMPUTED_VALUE"""),9.0)</f>
        <v>9</v>
      </c>
      <c r="H383" s="2">
        <f>IFERROR(__xludf.DUMMYFUNCTION("""COMPUTED_VALUE"""),19039.0)</f>
        <v>19039</v>
      </c>
      <c r="I383" s="2" t="str">
        <f>IFERROR(__xludf.DUMMYFUNCTION("""COMPUTED_VALUE"""),"KMC5825 ACRFPV0594")</f>
        <v>KMC5825 ACRFPV0594</v>
      </c>
      <c r="J383" s="2" t="str">
        <f>IFERROR(__xludf.DUMMYFUNCTION("""COMPUTED_VALUE"""),"RTS 100567")</f>
        <v>RTS 100567</v>
      </c>
      <c r="K383" s="2" t="str">
        <f>IFERROR(__xludf.DUMMYFUNCTION("""COMPUTED_VALUE"""),"RSERIES 815 PH")</f>
        <v>RSERIES 815 PH</v>
      </c>
      <c r="L383" s="2" t="str">
        <f>IFERROR(__xludf.DUMMYFUNCTION("""COMPUTED_VALUE"""),"LSGW1750 RMP 24020534")</f>
        <v>LSGW1750 RMP 24020534</v>
      </c>
      <c r="M383" s="2" t="str">
        <f>IFERROR(__xludf.DUMMYFUNCTION("""COMPUTED_VALUE"""),"WDP 40 RMP 24040527")</f>
        <v>WDP 40 RMP 24040527</v>
      </c>
      <c r="N383" s="2"/>
      <c r="O383" s="2" t="str">
        <f>IFERROR(__xludf.DUMMYFUNCTION("""COMPUTED_VALUE"""),"Macalong")</f>
        <v>Macalong</v>
      </c>
      <c r="P383" s="2" t="str">
        <f>IFERROR(__xludf.DUMMYFUNCTION("""COMPUTED_VALUE"""),"La Paz")</f>
        <v>La Paz</v>
      </c>
      <c r="Q383" s="2" t="str">
        <f>IFERROR(__xludf.DUMMYFUNCTION("""COMPUTED_VALUE"""),"Tarlac")</f>
        <v>Tarlac</v>
      </c>
      <c r="R383" s="2">
        <f>IFERROR(__xludf.DUMMYFUNCTION("""COMPUTED_VALUE"""),3.0)</f>
        <v>3</v>
      </c>
      <c r="S383" s="2"/>
      <c r="T383" s="2"/>
    </row>
    <row r="384">
      <c r="A384" s="1">
        <f>IFERROR(__xludf.DUMMYFUNCTION("""COMPUTED_VALUE"""),382.0)</f>
        <v>382</v>
      </c>
      <c r="B384" s="2" t="str">
        <f>IFERROR(__xludf.DUMMYFUNCTION("""COMPUTED_VALUE"""),"Dalipdip Integrated Farmers Association")</f>
        <v>Dalipdip Integrated Farmers Association</v>
      </c>
      <c r="C384" s="2" t="str">
        <f>IFERROR(__xludf.DUMMYFUNCTION("""COMPUTED_VALUE"""),"Dalipdip, Altavas, AKLAN")</f>
        <v>Dalipdip, Altavas, AKLAN</v>
      </c>
      <c r="D384" s="2" t="str">
        <f>IFERROR(__xludf.DUMMYFUNCTION("""COMPUTED_VALUE"""),"Reynaldo G. Gallo")</f>
        <v>Reynaldo G. Gallo</v>
      </c>
      <c r="E384" s="2" t="str">
        <f>IFERROR(__xludf.DUMMYFUNCTION("""COMPUTED_VALUE"""),"0921-882-9361")</f>
        <v>0921-882-9361</v>
      </c>
      <c r="F384" s="2" t="str">
        <f>IFERROR(__xludf.DUMMYFUNCTION("""COMPUTED_VALUE"""),"RCEF 23-09-21 Rebidding")</f>
        <v>RCEF 23-09-21 Rebidding</v>
      </c>
      <c r="G384" s="2">
        <f>IFERROR(__xludf.DUMMYFUNCTION("""COMPUTED_VALUE"""),4.0)</f>
        <v>4</v>
      </c>
      <c r="H384" s="2">
        <f>IFERROR(__xludf.DUMMYFUNCTION("""COMPUTED_VALUE"""),19040.0)</f>
        <v>19040</v>
      </c>
      <c r="I384" s="2" t="str">
        <f>IFERROR(__xludf.DUMMYFUNCTION("""COMPUTED_VALUE"""),"KMC5825ALRFPV0543")</f>
        <v>KMC5825ALRFPV0543</v>
      </c>
      <c r="J384" s="2" t="str">
        <f>IFERROR(__xludf.DUMMYFUNCTION("""COMPUTED_VALUE"""),"RTS100446")</f>
        <v>RTS100446</v>
      </c>
      <c r="K384" s="2" t="str">
        <f>IFERROR(__xludf.DUMMYFUNCTION("""COMPUTED_VALUE"""),"WR-SERIES 766 PH")</f>
        <v>WR-SERIES 766 PH</v>
      </c>
      <c r="L384" s="2" t="str">
        <f>IFERROR(__xludf.DUMMYFUNCTION("""COMPUTED_VALUE"""),"LSGW1750 RMP 24040657")</f>
        <v>LSGW1750 RMP 24040657</v>
      </c>
      <c r="M384" s="2" t="str">
        <f>IFERROR(__xludf.DUMMYFUNCTION("""COMPUTED_VALUE"""),"WDP40 RMP 24040414")</f>
        <v>WDP40 RMP 24040414</v>
      </c>
      <c r="N384" s="2"/>
      <c r="O384" s="2" t="str">
        <f>IFERROR(__xludf.DUMMYFUNCTION("""COMPUTED_VALUE"""),"Dalipdip")</f>
        <v>Dalipdip</v>
      </c>
      <c r="P384" s="2" t="str">
        <f>IFERROR(__xludf.DUMMYFUNCTION("""COMPUTED_VALUE"""),"Altavas")</f>
        <v>Altavas</v>
      </c>
      <c r="Q384" s="2" t="str">
        <f>IFERROR(__xludf.DUMMYFUNCTION("""COMPUTED_VALUE"""),"Aklan")</f>
        <v>Aklan</v>
      </c>
      <c r="R384" s="2">
        <f>IFERROR(__xludf.DUMMYFUNCTION("""COMPUTED_VALUE"""),6.0)</f>
        <v>6</v>
      </c>
      <c r="S384" s="2"/>
      <c r="T384" s="2"/>
    </row>
    <row r="385">
      <c r="A385" s="1">
        <f>IFERROR(__xludf.DUMMYFUNCTION("""COMPUTED_VALUE"""),383.0)</f>
        <v>383</v>
      </c>
      <c r="B385" s="2" t="str">
        <f>IFERROR(__xludf.DUMMYFUNCTION("""COMPUTED_VALUE"""),"Mabais Tagaytay Bantayan Farmer’s Association")</f>
        <v>Mabais Tagaytay Bantayan Farmer’s Association</v>
      </c>
      <c r="C385" s="2" t="str">
        <f>IFERROR(__xludf.DUMMYFUNCTION("""COMPUTED_VALUE"""),"Feliciano, Balete, AKLAN")</f>
        <v>Feliciano, Balete, AKLAN</v>
      </c>
      <c r="D385" s="2" t="str">
        <f>IFERROR(__xludf.DUMMYFUNCTION("""COMPUTED_VALUE"""),"Raul Birol")</f>
        <v>Raul Birol</v>
      </c>
      <c r="E385" s="2" t="str">
        <f>IFERROR(__xludf.DUMMYFUNCTION("""COMPUTED_VALUE"""),"0909-855-9889")</f>
        <v>0909-855-9889</v>
      </c>
      <c r="F385" s="2" t="str">
        <f>IFERROR(__xludf.DUMMYFUNCTION("""COMPUTED_VALUE"""),"RCEF 23-09-21 Rebidding")</f>
        <v>RCEF 23-09-21 Rebidding</v>
      </c>
      <c r="G385" s="2">
        <f>IFERROR(__xludf.DUMMYFUNCTION("""COMPUTED_VALUE"""),4.0)</f>
        <v>4</v>
      </c>
      <c r="H385" s="2">
        <f>IFERROR(__xludf.DUMMYFUNCTION("""COMPUTED_VALUE"""),19041.0)</f>
        <v>19041</v>
      </c>
      <c r="I385" s="2" t="str">
        <f>IFERROR(__xludf.DUMMYFUNCTION("""COMPUTED_VALUE"""),"KMC5825ALRFPV0644")</f>
        <v>KMC5825ALRFPV0644</v>
      </c>
      <c r="J385" s="2" t="str">
        <f>IFERROR(__xludf.DUMMYFUNCTION("""COMPUTED_VALUE"""),"RTS100210")</f>
        <v>RTS100210</v>
      </c>
      <c r="K385" s="2" t="str">
        <f>IFERROR(__xludf.DUMMYFUNCTION("""COMPUTED_VALUE"""),"WR-SERIES 796 PH")</f>
        <v>WR-SERIES 796 PH</v>
      </c>
      <c r="L385" s="2" t="str">
        <f>IFERROR(__xludf.DUMMYFUNCTION("""COMPUTED_VALUE"""),"LSGW1750 RMP 24040652")</f>
        <v>LSGW1750 RMP 24040652</v>
      </c>
      <c r="M385" s="2" t="str">
        <f>IFERROR(__xludf.DUMMYFUNCTION("""COMPUTED_VALUE"""),"WDP40 RMP 24040398")</f>
        <v>WDP40 RMP 24040398</v>
      </c>
      <c r="N385" s="2"/>
      <c r="O385" s="2" t="str">
        <f>IFERROR(__xludf.DUMMYFUNCTION("""COMPUTED_VALUE"""),"Feliciano")</f>
        <v>Feliciano</v>
      </c>
      <c r="P385" s="2" t="str">
        <f>IFERROR(__xludf.DUMMYFUNCTION("""COMPUTED_VALUE"""),"Balete")</f>
        <v>Balete</v>
      </c>
      <c r="Q385" s="2" t="str">
        <f>IFERROR(__xludf.DUMMYFUNCTION("""COMPUTED_VALUE"""),"Aklan")</f>
        <v>Aklan</v>
      </c>
      <c r="R385" s="2">
        <f>IFERROR(__xludf.DUMMYFUNCTION("""COMPUTED_VALUE"""),6.0)</f>
        <v>6</v>
      </c>
      <c r="S385" s="2"/>
      <c r="T385" s="2"/>
    </row>
    <row r="386">
      <c r="A386" s="1">
        <f>IFERROR(__xludf.DUMMYFUNCTION("""COMPUTED_VALUE"""),384.0)</f>
        <v>384</v>
      </c>
      <c r="B386" s="2" t="str">
        <f>IFERROR(__xludf.DUMMYFUNCTION("""COMPUTED_VALUE"""),"ESTANCIA FARMERS' ASSOCIATION")</f>
        <v>ESTANCIA FARMERS' ASSOCIATION</v>
      </c>
      <c r="C386" s="2" t="str">
        <f>IFERROR(__xludf.DUMMYFUNCTION("""COMPUTED_VALUE"""),"Estancia, Kalibo, AKLAN")</f>
        <v>Estancia, Kalibo, AKLAN</v>
      </c>
      <c r="D386" s="2" t="str">
        <f>IFERROR(__xludf.DUMMYFUNCTION("""COMPUTED_VALUE"""),"CEZAR F. ICABANDI")</f>
        <v>CEZAR F. ICABANDI</v>
      </c>
      <c r="E386" s="2" t="str">
        <f>IFERROR(__xludf.DUMMYFUNCTION("""COMPUTED_VALUE"""),"0950-272-6806")</f>
        <v>0950-272-6806</v>
      </c>
      <c r="F386" s="2" t="str">
        <f>IFERROR(__xludf.DUMMYFUNCTION("""COMPUTED_VALUE"""),"RCEF 23-09-21 Rebidding")</f>
        <v>RCEF 23-09-21 Rebidding</v>
      </c>
      <c r="G386" s="2">
        <f>IFERROR(__xludf.DUMMYFUNCTION("""COMPUTED_VALUE"""),4.0)</f>
        <v>4</v>
      </c>
      <c r="H386" s="2">
        <f>IFERROR(__xludf.DUMMYFUNCTION("""COMPUTED_VALUE"""),19042.0)</f>
        <v>19042</v>
      </c>
      <c r="I386" s="2" t="str">
        <f>IFERROR(__xludf.DUMMYFUNCTION("""COMPUTED_VALUE"""),"KMC5825AKRFPV0566")</f>
        <v>KMC5825AKRFPV0566</v>
      </c>
      <c r="J386" s="2" t="str">
        <f>IFERROR(__xludf.DUMMYFUNCTION("""COMPUTED_VALUE"""),"RTS100229")</f>
        <v>RTS100229</v>
      </c>
      <c r="K386" s="2" t="str">
        <f>IFERROR(__xludf.DUMMYFUNCTION("""COMPUTED_VALUE"""),"WR-SERIES 767 PH")</f>
        <v>WR-SERIES 767 PH</v>
      </c>
      <c r="L386" s="2" t="str">
        <f>IFERROR(__xludf.DUMMYFUNCTION("""COMPUTED_VALUE"""),"LSGW1750 RMP 24040660")</f>
        <v>LSGW1750 RMP 24040660</v>
      </c>
      <c r="M386" s="2" t="str">
        <f>IFERROR(__xludf.DUMMYFUNCTION("""COMPUTED_VALUE"""),"WDP40 RMP 24040402")</f>
        <v>WDP40 RMP 24040402</v>
      </c>
      <c r="N386" s="2"/>
      <c r="O386" s="2" t="str">
        <f>IFERROR(__xludf.DUMMYFUNCTION("""COMPUTED_VALUE"""),"Estancia")</f>
        <v>Estancia</v>
      </c>
      <c r="P386" s="2" t="str">
        <f>IFERROR(__xludf.DUMMYFUNCTION("""COMPUTED_VALUE"""),"Kalibo")</f>
        <v>Kalibo</v>
      </c>
      <c r="Q386" s="2" t="str">
        <f>IFERROR(__xludf.DUMMYFUNCTION("""COMPUTED_VALUE"""),"Aklan")</f>
        <v>Aklan</v>
      </c>
      <c r="R386" s="2">
        <f>IFERROR(__xludf.DUMMYFUNCTION("""COMPUTED_VALUE"""),6.0)</f>
        <v>6</v>
      </c>
      <c r="S386" s="2"/>
      <c r="T386" s="2"/>
    </row>
    <row r="387">
      <c r="A387" s="1">
        <f>IFERROR(__xludf.DUMMYFUNCTION("""COMPUTED_VALUE"""),385.0)</f>
        <v>385</v>
      </c>
      <c r="B387" s="2" t="str">
        <f>IFERROR(__xludf.DUMMYFUNCTION("""COMPUTED_VALUE"""),"Nalook Farmers' Association")</f>
        <v>Nalook Farmers' Association</v>
      </c>
      <c r="C387" s="2" t="str">
        <f>IFERROR(__xludf.DUMMYFUNCTION("""COMPUTED_VALUE"""),"Nalook, Kalibo, AKLAN")</f>
        <v>Nalook, Kalibo, AKLAN</v>
      </c>
      <c r="D387" s="2" t="str">
        <f>IFERROR(__xludf.DUMMYFUNCTION("""COMPUTED_VALUE"""),"Evelyn Sioco")</f>
        <v>Evelyn Sioco</v>
      </c>
      <c r="E387" s="2" t="str">
        <f>IFERROR(__xludf.DUMMYFUNCTION("""COMPUTED_VALUE"""),"0999-945-1766")</f>
        <v>0999-945-1766</v>
      </c>
      <c r="F387" s="2" t="str">
        <f>IFERROR(__xludf.DUMMYFUNCTION("""COMPUTED_VALUE"""),"RCEF 23-09-21 Rebidding")</f>
        <v>RCEF 23-09-21 Rebidding</v>
      </c>
      <c r="G387" s="2">
        <f>IFERROR(__xludf.DUMMYFUNCTION("""COMPUTED_VALUE"""),4.0)</f>
        <v>4</v>
      </c>
      <c r="H387" s="2">
        <f>IFERROR(__xludf.DUMMYFUNCTION("""COMPUTED_VALUE"""),19043.0)</f>
        <v>19043</v>
      </c>
      <c r="I387" s="2" t="str">
        <f>IFERROR(__xludf.DUMMYFUNCTION("""COMPUTED_VALUE"""),"KMC5825ATRFPV0631")</f>
        <v>KMC5825ATRFPV0631</v>
      </c>
      <c r="J387" s="2" t="str">
        <f>IFERROR(__xludf.DUMMYFUNCTION("""COMPUTED_VALUE"""),"RTS100512")</f>
        <v>RTS100512</v>
      </c>
      <c r="K387" s="2" t="str">
        <f>IFERROR(__xludf.DUMMYFUNCTION("""COMPUTED_VALUE"""),"WR-SERIES 810 PH")</f>
        <v>WR-SERIES 810 PH</v>
      </c>
      <c r="L387" s="2" t="str">
        <f>IFERROR(__xludf.DUMMYFUNCTION("""COMPUTED_VALUE"""),"LSGW1750 RMP 24040674")</f>
        <v>LSGW1750 RMP 24040674</v>
      </c>
      <c r="M387" s="2" t="str">
        <f>IFERROR(__xludf.DUMMYFUNCTION("""COMPUTED_VALUE"""),"WDP40 RMP 24040426")</f>
        <v>WDP40 RMP 24040426</v>
      </c>
      <c r="N387" s="2"/>
      <c r="O387" s="2" t="str">
        <f>IFERROR(__xludf.DUMMYFUNCTION("""COMPUTED_VALUE"""),"Nalook")</f>
        <v>Nalook</v>
      </c>
      <c r="P387" s="2" t="str">
        <f>IFERROR(__xludf.DUMMYFUNCTION("""COMPUTED_VALUE"""),"Kalibo")</f>
        <v>Kalibo</v>
      </c>
      <c r="Q387" s="2" t="str">
        <f>IFERROR(__xludf.DUMMYFUNCTION("""COMPUTED_VALUE"""),"Aklan")</f>
        <v>Aklan</v>
      </c>
      <c r="R387" s="2">
        <f>IFERROR(__xludf.DUMMYFUNCTION("""COMPUTED_VALUE"""),6.0)</f>
        <v>6</v>
      </c>
      <c r="S387" s="2"/>
      <c r="T387" s="2"/>
    </row>
    <row r="388">
      <c r="A388" s="1">
        <f>IFERROR(__xludf.DUMMYFUNCTION("""COMPUTED_VALUE"""),386.0)</f>
        <v>386</v>
      </c>
      <c r="B388" s="2" t="str">
        <f>IFERROR(__xludf.DUMMYFUNCTION("""COMPUTED_VALUE"""),"Puis Farmers Association")</f>
        <v>Puis Farmers Association</v>
      </c>
      <c r="C388" s="2" t="str">
        <f>IFERROR(__xludf.DUMMYFUNCTION("""COMPUTED_VALUE"""),"Puis, New Washington, AKLAN")</f>
        <v>Puis, New Washington, AKLAN</v>
      </c>
      <c r="D388" s="2" t="str">
        <f>IFERROR(__xludf.DUMMYFUNCTION("""COMPUTED_VALUE"""),"Emmanual Tolentino")</f>
        <v>Emmanual Tolentino</v>
      </c>
      <c r="E388" s="2" t="str">
        <f>IFERROR(__xludf.DUMMYFUNCTION("""COMPUTED_VALUE"""),"0919-284-9193")</f>
        <v>0919-284-9193</v>
      </c>
      <c r="F388" s="2" t="str">
        <f>IFERROR(__xludf.DUMMYFUNCTION("""COMPUTED_VALUE"""),"RCEF 23-09-21 Rebidding")</f>
        <v>RCEF 23-09-21 Rebidding</v>
      </c>
      <c r="G388" s="2">
        <f>IFERROR(__xludf.DUMMYFUNCTION("""COMPUTED_VALUE"""),4.0)</f>
        <v>4</v>
      </c>
      <c r="H388" s="2">
        <f>IFERROR(__xludf.DUMMYFUNCTION("""COMPUTED_VALUE"""),19044.0)</f>
        <v>19044</v>
      </c>
      <c r="I388" s="2" t="str">
        <f>IFERROR(__xludf.DUMMYFUNCTION("""COMPUTED_VALUE"""),"KMC5825APRFPV0436")</f>
        <v>KMC5825APRFPV0436</v>
      </c>
      <c r="J388" s="2" t="str">
        <f>IFERROR(__xludf.DUMMYFUNCTION("""COMPUTED_VALUE"""),"RTS100350")</f>
        <v>RTS100350</v>
      </c>
      <c r="K388" s="2" t="str">
        <f>IFERROR(__xludf.DUMMYFUNCTION("""COMPUTED_VALUE"""),"WR-SERIES 873 PH")</f>
        <v>WR-SERIES 873 PH</v>
      </c>
      <c r="L388" s="2" t="str">
        <f>IFERROR(__xludf.DUMMYFUNCTION("""COMPUTED_VALUE"""),"LSGW1750 RMP 24040654")</f>
        <v>LSGW1750 RMP 24040654</v>
      </c>
      <c r="M388" s="2" t="str">
        <f>IFERROR(__xludf.DUMMYFUNCTION("""COMPUTED_VALUE"""),"WDP40 RMP 24040410")</f>
        <v>WDP40 RMP 24040410</v>
      </c>
      <c r="N388" s="2"/>
      <c r="O388" s="2" t="str">
        <f>IFERROR(__xludf.DUMMYFUNCTION("""COMPUTED_VALUE"""),"Puis")</f>
        <v>Puis</v>
      </c>
      <c r="P388" s="2" t="str">
        <f>IFERROR(__xludf.DUMMYFUNCTION("""COMPUTED_VALUE"""),"New Washington")</f>
        <v>New Washington</v>
      </c>
      <c r="Q388" s="2" t="str">
        <f>IFERROR(__xludf.DUMMYFUNCTION("""COMPUTED_VALUE"""),"Aklan")</f>
        <v>Aklan</v>
      </c>
      <c r="R388" s="2">
        <f>IFERROR(__xludf.DUMMYFUNCTION("""COMPUTED_VALUE"""),6.0)</f>
        <v>6</v>
      </c>
      <c r="S388" s="2"/>
      <c r="T388" s="2"/>
    </row>
    <row r="389">
      <c r="A389" s="1">
        <f>IFERROR(__xludf.DUMMYFUNCTION("""COMPUTED_VALUE"""),387.0)</f>
        <v>387</v>
      </c>
      <c r="B389" s="2" t="str">
        <f>IFERROR(__xludf.DUMMYFUNCTION("""COMPUTED_VALUE"""),"(BBCM) BINANU-AN BINANGBANG CENTRO-CUBAY-MAGTULIS IRRIGATORS ASSOCIATION, INC.")</f>
        <v>(BBCM) BINANU-AN BINANGBANG CENTRO-CUBAY-MAGTULIS IRRIGATORS ASSOCIATION, INC.</v>
      </c>
      <c r="C389" s="2" t="str">
        <f>IFERROR(__xludf.DUMMYFUNCTION("""COMPUTED_VALUE"""),"Binanu-an, Barbaza, ANTIQUE")</f>
        <v>Binanu-an, Barbaza, ANTIQUE</v>
      </c>
      <c r="D389" s="2" t="str">
        <f>IFERROR(__xludf.DUMMYFUNCTION("""COMPUTED_VALUE"""),"Votaire B. Chavoso")</f>
        <v>Votaire B. Chavoso</v>
      </c>
      <c r="E389" s="2" t="str">
        <f>IFERROR(__xludf.DUMMYFUNCTION("""COMPUTED_VALUE"""),"0905-107-1789")</f>
        <v>0905-107-1789</v>
      </c>
      <c r="F389" s="2" t="str">
        <f>IFERROR(__xludf.DUMMYFUNCTION("""COMPUTED_VALUE"""),"RCEF 23-09-21 Rebidding")</f>
        <v>RCEF 23-09-21 Rebidding</v>
      </c>
      <c r="G389" s="2">
        <f>IFERROR(__xludf.DUMMYFUNCTION("""COMPUTED_VALUE"""),4.0)</f>
        <v>4</v>
      </c>
      <c r="H389" s="2">
        <f>IFERROR(__xludf.DUMMYFUNCTION("""COMPUTED_VALUE"""),19045.0)</f>
        <v>19045</v>
      </c>
      <c r="I389" s="2" t="str">
        <f>IFERROR(__xludf.DUMMYFUNCTION("""COMPUTED_VALUE"""),"KMC5825 APRFPV0596")</f>
        <v>KMC5825 APRFPV0596</v>
      </c>
      <c r="J389" s="2" t="str">
        <f>IFERROR(__xludf.DUMMYFUNCTION("""COMPUTED_VALUE"""),"RTS 100471")</f>
        <v>RTS 100471</v>
      </c>
      <c r="K389" s="2" t="str">
        <f>IFERROR(__xludf.DUMMYFUNCTION("""COMPUTED_VALUE"""),"WR-SERIES 943 PH")</f>
        <v>WR-SERIES 943 PH</v>
      </c>
      <c r="L389" s="2" t="str">
        <f>IFERROR(__xludf.DUMMYFUNCTION("""COMPUTED_VALUE"""),"LSGW1750 RMP 24040691")</f>
        <v>LSGW1750 RMP 24040691</v>
      </c>
      <c r="M389" s="2" t="str">
        <f>IFERROR(__xludf.DUMMYFUNCTION("""COMPUTED_VALUE"""),"WDP40 RMP 24040462")</f>
        <v>WDP40 RMP 24040462</v>
      </c>
      <c r="N389" s="2"/>
      <c r="O389" s="2" t="str">
        <f>IFERROR(__xludf.DUMMYFUNCTION("""COMPUTED_VALUE"""),"Binanu-An")</f>
        <v>Binanu-An</v>
      </c>
      <c r="P389" s="2" t="str">
        <f>IFERROR(__xludf.DUMMYFUNCTION("""COMPUTED_VALUE"""),"Barbaza")</f>
        <v>Barbaza</v>
      </c>
      <c r="Q389" s="2" t="str">
        <f>IFERROR(__xludf.DUMMYFUNCTION("""COMPUTED_VALUE"""),"Antique")</f>
        <v>Antique</v>
      </c>
      <c r="R389" s="2">
        <f>IFERROR(__xludf.DUMMYFUNCTION("""COMPUTED_VALUE"""),6.0)</f>
        <v>6</v>
      </c>
      <c r="S389" s="2"/>
      <c r="T389" s="2"/>
    </row>
    <row r="390">
      <c r="A390" s="1">
        <f>IFERROR(__xludf.DUMMYFUNCTION("""COMPUTED_VALUE"""),388.0)</f>
        <v>388</v>
      </c>
      <c r="B390" s="2" t="str">
        <f>IFERROR(__xludf.DUMMYFUNCTION("""COMPUTED_VALUE"""),"CAPOYUAN FARMERS ASSOCIATION")</f>
        <v>CAPOYUAN FARMERS ASSOCIATION</v>
      </c>
      <c r="C390" s="2" t="str">
        <f>IFERROR(__xludf.DUMMYFUNCTION("""COMPUTED_VALUE"""),"Capoyuan, Barbaza, ANTIQUE")</f>
        <v>Capoyuan, Barbaza, ANTIQUE</v>
      </c>
      <c r="D390" s="2" t="str">
        <f>IFERROR(__xludf.DUMMYFUNCTION("""COMPUTED_VALUE"""),"Rodulfo M. Remo")</f>
        <v>Rodulfo M. Remo</v>
      </c>
      <c r="E390" s="2">
        <f>IFERROR(__xludf.DUMMYFUNCTION("""COMPUTED_VALUE"""),9.477650687E9)</f>
        <v>9477650687</v>
      </c>
      <c r="F390" s="2" t="str">
        <f>IFERROR(__xludf.DUMMYFUNCTION("""COMPUTED_VALUE"""),"RCEF 23-09-21 Rebidding")</f>
        <v>RCEF 23-09-21 Rebidding</v>
      </c>
      <c r="G390" s="2">
        <f>IFERROR(__xludf.DUMMYFUNCTION("""COMPUTED_VALUE"""),4.0)</f>
        <v>4</v>
      </c>
      <c r="H390" s="2">
        <f>IFERROR(__xludf.DUMMYFUNCTION("""COMPUTED_VALUE"""),19046.0)</f>
        <v>19046</v>
      </c>
      <c r="I390" s="2" t="str">
        <f>IFERROR(__xludf.DUMMYFUNCTION("""COMPUTED_VALUE"""),"KMC5825 ATRFPV0600")</f>
        <v>KMC5825 ATRFPV0600</v>
      </c>
      <c r="J390" s="2" t="str">
        <f>IFERROR(__xludf.DUMMYFUNCTION("""COMPUTED_VALUE"""),"RTS 100565")</f>
        <v>RTS 100565</v>
      </c>
      <c r="K390" s="2" t="str">
        <f>IFERROR(__xludf.DUMMYFUNCTION("""COMPUTED_VALUE"""),"WR-SERIES 853 PH")</f>
        <v>WR-SERIES 853 PH</v>
      </c>
      <c r="L390" s="2" t="str">
        <f>IFERROR(__xludf.DUMMYFUNCTION("""COMPUTED_VALUE"""),"LSGW1750 RMP 24040687")</f>
        <v>LSGW1750 RMP 24040687</v>
      </c>
      <c r="M390" s="2" t="str">
        <f>IFERROR(__xludf.DUMMYFUNCTION("""COMPUTED_VALUE"""),"WDP40 RMP 24040468")</f>
        <v>WDP40 RMP 24040468</v>
      </c>
      <c r="N390" s="2"/>
      <c r="O390" s="2" t="str">
        <f>IFERROR(__xludf.DUMMYFUNCTION("""COMPUTED_VALUE"""),"Capoyuan")</f>
        <v>Capoyuan</v>
      </c>
      <c r="P390" s="2" t="str">
        <f>IFERROR(__xludf.DUMMYFUNCTION("""COMPUTED_VALUE"""),"Barbaza")</f>
        <v>Barbaza</v>
      </c>
      <c r="Q390" s="2" t="str">
        <f>IFERROR(__xludf.DUMMYFUNCTION("""COMPUTED_VALUE"""),"Antique")</f>
        <v>Antique</v>
      </c>
      <c r="R390" s="2">
        <f>IFERROR(__xludf.DUMMYFUNCTION("""COMPUTED_VALUE"""),6.0)</f>
        <v>6</v>
      </c>
      <c r="S390" s="2"/>
      <c r="T390" s="2"/>
    </row>
    <row r="391">
      <c r="A391" s="1">
        <f>IFERROR(__xludf.DUMMYFUNCTION("""COMPUTED_VALUE"""),389.0)</f>
        <v>389</v>
      </c>
      <c r="B391" s="2" t="str">
        <f>IFERROR(__xludf.DUMMYFUNCTION("""COMPUTED_VALUE"""),"CARIT-AN - ANTIQUE FARMERS IRRIGATORS' ASSOCIATION, INC.")</f>
        <v>CARIT-AN - ANTIQUE FARMERS IRRIGATORS' ASSOCIATION, INC.</v>
      </c>
      <c r="C391" s="2" t="str">
        <f>IFERROR(__xludf.DUMMYFUNCTION("""COMPUTED_VALUE"""),"Carit-an, Culasi, ANTIQUE")</f>
        <v>Carit-an, Culasi, ANTIQUE</v>
      </c>
      <c r="D391" s="2" t="str">
        <f>IFERROR(__xludf.DUMMYFUNCTION("""COMPUTED_VALUE"""),"Amie I. Tibang")</f>
        <v>Amie I. Tibang</v>
      </c>
      <c r="E391" s="2" t="str">
        <f>IFERROR(__xludf.DUMMYFUNCTION("""COMPUTED_VALUE"""),"0909-3581044")</f>
        <v>0909-3581044</v>
      </c>
      <c r="F391" s="2" t="str">
        <f>IFERROR(__xludf.DUMMYFUNCTION("""COMPUTED_VALUE"""),"RCEF 23-09-21 Rebidding")</f>
        <v>RCEF 23-09-21 Rebidding</v>
      </c>
      <c r="G391" s="2">
        <f>IFERROR(__xludf.DUMMYFUNCTION("""COMPUTED_VALUE"""),4.0)</f>
        <v>4</v>
      </c>
      <c r="H391" s="2">
        <f>IFERROR(__xludf.DUMMYFUNCTION("""COMPUTED_VALUE"""),19047.0)</f>
        <v>19047</v>
      </c>
      <c r="I391" s="2" t="str">
        <f>IFERROR(__xludf.DUMMYFUNCTION("""COMPUTED_VALUE"""),"KMC5825 AARFPV0363")</f>
        <v>KMC5825 AARFPV0363</v>
      </c>
      <c r="J391" s="2" t="str">
        <f>IFERROR(__xludf.DUMMYFUNCTION("""COMPUTED_VALUE"""),"RTS 100218")</f>
        <v>RTS 100218</v>
      </c>
      <c r="K391" s="2" t="str">
        <f>IFERROR(__xludf.DUMMYFUNCTION("""COMPUTED_VALUE"""),"WR-SERIES 949 PH")</f>
        <v>WR-SERIES 949 PH</v>
      </c>
      <c r="L391" s="2" t="str">
        <f>IFERROR(__xludf.DUMMYFUNCTION("""COMPUTED_VALUE"""),"LSGW1750 RMP 24040684")</f>
        <v>LSGW1750 RMP 24040684</v>
      </c>
      <c r="M391" s="2" t="str">
        <f>IFERROR(__xludf.DUMMYFUNCTION("""COMPUTED_VALUE"""),"WDP40 RMP 24040430")</f>
        <v>WDP40 RMP 24040430</v>
      </c>
      <c r="N391" s="2"/>
      <c r="O391" s="2" t="str">
        <f>IFERROR(__xludf.DUMMYFUNCTION("""COMPUTED_VALUE"""),"Carit-An")</f>
        <v>Carit-An</v>
      </c>
      <c r="P391" s="2" t="str">
        <f>IFERROR(__xludf.DUMMYFUNCTION("""COMPUTED_VALUE"""),"Culasi")</f>
        <v>Culasi</v>
      </c>
      <c r="Q391" s="2" t="str">
        <f>IFERROR(__xludf.DUMMYFUNCTION("""COMPUTED_VALUE"""),"Antique")</f>
        <v>Antique</v>
      </c>
      <c r="R391" s="2">
        <f>IFERROR(__xludf.DUMMYFUNCTION("""COMPUTED_VALUE"""),6.0)</f>
        <v>6</v>
      </c>
      <c r="S391" s="2"/>
      <c r="T391" s="2"/>
    </row>
    <row r="392">
      <c r="A392" s="1">
        <f>IFERROR(__xludf.DUMMYFUNCTION("""COMPUTED_VALUE"""),390.0)</f>
        <v>390</v>
      </c>
      <c r="B392" s="2" t="str">
        <f>IFERROR(__xludf.DUMMYFUNCTION("""COMPUTED_VALUE"""),"SAN LUIS CONDEZ TIG-ANIT FARMERS IRRIGATORS ASSOCIATION")</f>
        <v>SAN LUIS CONDEZ TIG-ANIT FARMERS IRRIGATORS ASSOCIATION</v>
      </c>
      <c r="C392" s="2" t="str">
        <f>IFERROR(__xludf.DUMMYFUNCTION("""COMPUTED_VALUE"""),"San Luis, Culasi, ANTIQUE")</f>
        <v>San Luis, Culasi, ANTIQUE</v>
      </c>
      <c r="D392" s="2" t="str">
        <f>IFERROR(__xludf.DUMMYFUNCTION("""COMPUTED_VALUE"""),"RODOLFO ALORO")</f>
        <v>RODOLFO ALORO</v>
      </c>
      <c r="E392" s="2" t="str">
        <f>IFERROR(__xludf.DUMMYFUNCTION("""COMPUTED_VALUE"""),"0909-837-5026")</f>
        <v>0909-837-5026</v>
      </c>
      <c r="F392" s="2" t="str">
        <f>IFERROR(__xludf.DUMMYFUNCTION("""COMPUTED_VALUE"""),"RCEF 23-09-21 Rebidding")</f>
        <v>RCEF 23-09-21 Rebidding</v>
      </c>
      <c r="G392" s="2">
        <f>IFERROR(__xludf.DUMMYFUNCTION("""COMPUTED_VALUE"""),4.0)</f>
        <v>4</v>
      </c>
      <c r="H392" s="2">
        <f>IFERROR(__xludf.DUMMYFUNCTION("""COMPUTED_VALUE"""),19048.0)</f>
        <v>19048</v>
      </c>
      <c r="I392" s="2" t="str">
        <f>IFERROR(__xludf.DUMMYFUNCTION("""COMPUTED_VALUE"""),"KMC5825 AVRFPV0586")</f>
        <v>KMC5825 AVRFPV0586</v>
      </c>
      <c r="J392" s="2" t="str">
        <f>IFERROR(__xludf.DUMMYFUNCTION("""COMPUTED_VALUE"""),"RTS 100563")</f>
        <v>RTS 100563</v>
      </c>
      <c r="K392" s="2" t="str">
        <f>IFERROR(__xludf.DUMMYFUNCTION("""COMPUTED_VALUE"""),"WR-SERIES 958 PH")</f>
        <v>WR-SERIES 958 PH</v>
      </c>
      <c r="L392" s="2" t="str">
        <f>IFERROR(__xludf.DUMMYFUNCTION("""COMPUTED_VALUE"""),"LSGW1750 RMP 24040637")</f>
        <v>LSGW1750 RMP 24040637</v>
      </c>
      <c r="M392" s="2" t="str">
        <f>IFERROR(__xludf.DUMMYFUNCTION("""COMPUTED_VALUE"""),"WDP40 RMP 24040465")</f>
        <v>WDP40 RMP 24040465</v>
      </c>
      <c r="N392" s="2"/>
      <c r="O392" s="2" t="str">
        <f>IFERROR(__xludf.DUMMYFUNCTION("""COMPUTED_VALUE"""),"San Luis")</f>
        <v>San Luis</v>
      </c>
      <c r="P392" s="2" t="str">
        <f>IFERROR(__xludf.DUMMYFUNCTION("""COMPUTED_VALUE"""),"Culasi")</f>
        <v>Culasi</v>
      </c>
      <c r="Q392" s="2" t="str">
        <f>IFERROR(__xludf.DUMMYFUNCTION("""COMPUTED_VALUE"""),"Antique")</f>
        <v>Antique</v>
      </c>
      <c r="R392" s="2">
        <f>IFERROR(__xludf.DUMMYFUNCTION("""COMPUTED_VALUE"""),6.0)</f>
        <v>6</v>
      </c>
      <c r="S392" s="2"/>
      <c r="T392" s="2"/>
    </row>
    <row r="393">
      <c r="A393" s="1">
        <f>IFERROR(__xludf.DUMMYFUNCTION("""COMPUTED_VALUE"""),391.0)</f>
        <v>391</v>
      </c>
      <c r="B393" s="2" t="str">
        <f>IFERROR(__xludf.DUMMYFUNCTION("""COMPUTED_VALUE"""),"BIA-AN FARMERS ASSOCIATION")</f>
        <v>BIA-AN FARMERS ASSOCIATION</v>
      </c>
      <c r="C393" s="2" t="str">
        <f>IFERROR(__xludf.DUMMYFUNCTION("""COMPUTED_VALUE"""),"Bia-an, Hamtic, ANTIQUE")</f>
        <v>Bia-an, Hamtic, ANTIQUE</v>
      </c>
      <c r="D393" s="2" t="str">
        <f>IFERROR(__xludf.DUMMYFUNCTION("""COMPUTED_VALUE"""),"RYAN SUMACULOB")</f>
        <v>RYAN SUMACULOB</v>
      </c>
      <c r="E393" s="2" t="str">
        <f>IFERROR(__xludf.DUMMYFUNCTION("""COMPUTED_VALUE"""),"0915-586-3799")</f>
        <v>0915-586-3799</v>
      </c>
      <c r="F393" s="2" t="str">
        <f>IFERROR(__xludf.DUMMYFUNCTION("""COMPUTED_VALUE"""),"RCEF 23-09-21 Rebidding")</f>
        <v>RCEF 23-09-21 Rebidding</v>
      </c>
      <c r="G393" s="2">
        <f>IFERROR(__xludf.DUMMYFUNCTION("""COMPUTED_VALUE"""),4.0)</f>
        <v>4</v>
      </c>
      <c r="H393" s="2">
        <f>IFERROR(__xludf.DUMMYFUNCTION("""COMPUTED_VALUE"""),19049.0)</f>
        <v>19049</v>
      </c>
      <c r="I393" s="2" t="str">
        <f>IFERROR(__xludf.DUMMYFUNCTION("""COMPUTED_VALUE"""),"KMC5825 APRFPV0484")</f>
        <v>KMC5825 APRFPV0484</v>
      </c>
      <c r="J393" s="2" t="str">
        <f>IFERROR(__xludf.DUMMYFUNCTION("""COMPUTED_VALUE"""),"RTS 100398")</f>
        <v>RTS 100398</v>
      </c>
      <c r="K393" s="2" t="str">
        <f>IFERROR(__xludf.DUMMYFUNCTION("""COMPUTED_VALUE"""),"WR SERIES 948 PH")</f>
        <v>WR SERIES 948 PH</v>
      </c>
      <c r="L393" s="2" t="str">
        <f>IFERROR(__xludf.DUMMYFUNCTION("""COMPUTED_VALUE"""),"LSGW1750 RMP 24040692")</f>
        <v>LSGW1750 RMP 24040692</v>
      </c>
      <c r="M393" s="2" t="str">
        <f>IFERROR(__xludf.DUMMYFUNCTION("""COMPUTED_VALUE"""),"WDP40 RMP 24040444")</f>
        <v>WDP40 RMP 24040444</v>
      </c>
      <c r="N393" s="2"/>
      <c r="O393" s="2" t="str">
        <f>IFERROR(__xludf.DUMMYFUNCTION("""COMPUTED_VALUE"""),"Bia-An")</f>
        <v>Bia-An</v>
      </c>
      <c r="P393" s="2" t="str">
        <f>IFERROR(__xludf.DUMMYFUNCTION("""COMPUTED_VALUE"""),"Hamtic")</f>
        <v>Hamtic</v>
      </c>
      <c r="Q393" s="2" t="str">
        <f>IFERROR(__xludf.DUMMYFUNCTION("""COMPUTED_VALUE"""),"Antique")</f>
        <v>Antique</v>
      </c>
      <c r="R393" s="2">
        <f>IFERROR(__xludf.DUMMYFUNCTION("""COMPUTED_VALUE"""),6.0)</f>
        <v>6</v>
      </c>
      <c r="S393" s="2"/>
      <c r="T393" s="2"/>
    </row>
    <row r="394">
      <c r="A394" s="1">
        <f>IFERROR(__xludf.DUMMYFUNCTION("""COMPUTED_VALUE"""),392.0)</f>
        <v>392</v>
      </c>
      <c r="B394" s="2" t="str">
        <f>IFERROR(__xludf.DUMMYFUNCTION("""COMPUTED_VALUE"""),"La Rioja Farmers Association")</f>
        <v>La Rioja Farmers Association</v>
      </c>
      <c r="C394" s="2" t="str">
        <f>IFERROR(__xludf.DUMMYFUNCTION("""COMPUTED_VALUE"""),"La Rioja, Patnongon, ANTIQUE")</f>
        <v>La Rioja, Patnongon, ANTIQUE</v>
      </c>
      <c r="D394" s="2" t="str">
        <f>IFERROR(__xludf.DUMMYFUNCTION("""COMPUTED_VALUE"""),"Alipio E. Guzman")</f>
        <v>Alipio E. Guzman</v>
      </c>
      <c r="E394" s="2" t="str">
        <f>IFERROR(__xludf.DUMMYFUNCTION("""COMPUTED_VALUE"""),"0997-962-1463")</f>
        <v>0997-962-1463</v>
      </c>
      <c r="F394" s="2" t="str">
        <f>IFERROR(__xludf.DUMMYFUNCTION("""COMPUTED_VALUE"""),"RCEF 23-09-21 Rebidding")</f>
        <v>RCEF 23-09-21 Rebidding</v>
      </c>
      <c r="G394" s="2">
        <f>IFERROR(__xludf.DUMMYFUNCTION("""COMPUTED_VALUE"""),4.0)</f>
        <v>4</v>
      </c>
      <c r="H394" s="2">
        <f>IFERROR(__xludf.DUMMYFUNCTION("""COMPUTED_VALUE"""),19050.0)</f>
        <v>19050</v>
      </c>
      <c r="I394" s="2" t="str">
        <f>IFERROR(__xludf.DUMMYFUNCTION("""COMPUTED_VALUE"""),"KMC5825 AKRFPV0549")</f>
        <v>KMC5825 AKRFPV0549</v>
      </c>
      <c r="J394" s="2" t="str">
        <f>IFERROR(__xludf.DUMMYFUNCTION("""COMPUTED_VALUE"""),"RTS 100457")</f>
        <v>RTS 100457</v>
      </c>
      <c r="K394" s="2" t="str">
        <f>IFERROR(__xludf.DUMMYFUNCTION("""COMPUTED_VALUE"""),"WR-SERIES 959 PH")</f>
        <v>WR-SERIES 959 PH</v>
      </c>
      <c r="L394" s="2" t="str">
        <f>IFERROR(__xludf.DUMMYFUNCTION("""COMPUTED_VALUE"""),"LSGW1750 RMP 24040638")</f>
        <v>LSGW1750 RMP 24040638</v>
      </c>
      <c r="M394" s="2" t="str">
        <f>IFERROR(__xludf.DUMMYFUNCTION("""COMPUTED_VALUE"""),"WDP40 RMP 24040460")</f>
        <v>WDP40 RMP 24040460</v>
      </c>
      <c r="N394" s="2"/>
      <c r="O394" s="2" t="str">
        <f>IFERROR(__xludf.DUMMYFUNCTION("""COMPUTED_VALUE"""),"La Rioja")</f>
        <v>La Rioja</v>
      </c>
      <c r="P394" s="2" t="str">
        <f>IFERROR(__xludf.DUMMYFUNCTION("""COMPUTED_VALUE"""),"Patnongon")</f>
        <v>Patnongon</v>
      </c>
      <c r="Q394" s="2" t="str">
        <f>IFERROR(__xludf.DUMMYFUNCTION("""COMPUTED_VALUE"""),"Antique")</f>
        <v>Antique</v>
      </c>
      <c r="R394" s="2">
        <f>IFERROR(__xludf.DUMMYFUNCTION("""COMPUTED_VALUE"""),6.0)</f>
        <v>6</v>
      </c>
      <c r="S394" s="2"/>
      <c r="T394" s="2"/>
    </row>
    <row r="395">
      <c r="A395" s="1">
        <f>IFERROR(__xludf.DUMMYFUNCTION("""COMPUTED_VALUE"""),393.0)</f>
        <v>393</v>
      </c>
      <c r="B395" s="2" t="str">
        <f>IFERROR(__xludf.DUMMYFUNCTION("""COMPUTED_VALUE"""),"Magsaysay Farmer's Association")</f>
        <v>Magsaysay Farmer's Association</v>
      </c>
      <c r="C395" s="2" t="str">
        <f>IFERROR(__xludf.DUMMYFUNCTION("""COMPUTED_VALUE"""),"Magsaysay, Patnongon, ANTIQUE")</f>
        <v>Magsaysay, Patnongon, ANTIQUE</v>
      </c>
      <c r="D395" s="2" t="str">
        <f>IFERROR(__xludf.DUMMYFUNCTION("""COMPUTED_VALUE"""),"Felix C. Molining")</f>
        <v>Felix C. Molining</v>
      </c>
      <c r="E395" s="2" t="str">
        <f>IFERROR(__xludf.DUMMYFUNCTION("""COMPUTED_VALUE"""),"0906-919-3017")</f>
        <v>0906-919-3017</v>
      </c>
      <c r="F395" s="2" t="str">
        <f>IFERROR(__xludf.DUMMYFUNCTION("""COMPUTED_VALUE"""),"RCEF 23-09-21 Rebidding")</f>
        <v>RCEF 23-09-21 Rebidding</v>
      </c>
      <c r="G395" s="2">
        <f>IFERROR(__xludf.DUMMYFUNCTION("""COMPUTED_VALUE"""),4.0)</f>
        <v>4</v>
      </c>
      <c r="H395" s="2">
        <f>IFERROR(__xludf.DUMMYFUNCTION("""COMPUTED_VALUE"""),19051.0)</f>
        <v>19051</v>
      </c>
      <c r="I395" s="2" t="str">
        <f>IFERROR(__xludf.DUMMYFUNCTION("""COMPUTED_VALUE"""),"KMC5825 ATRFPV0452")</f>
        <v>KMC5825 ATRFPV0452</v>
      </c>
      <c r="J395" s="2" t="str">
        <f>IFERROR(__xludf.DUMMYFUNCTION("""COMPUTED_VALUE"""),"RTS 100360")</f>
        <v>RTS 100360</v>
      </c>
      <c r="K395" s="2" t="str">
        <f>IFERROR(__xludf.DUMMYFUNCTION("""COMPUTED_VALUE"""),"WR-SERIES 753 PH")</f>
        <v>WR-SERIES 753 PH</v>
      </c>
      <c r="L395" s="2" t="str">
        <f>IFERROR(__xludf.DUMMYFUNCTION("""COMPUTED_VALUE"""),"LSGW1750 RMP 24040659")</f>
        <v>LSGW1750 RMP 24040659</v>
      </c>
      <c r="M395" s="2" t="str">
        <f>IFERROR(__xludf.DUMMYFUNCTION("""COMPUTED_VALUE"""),"WDP40 RMP 24040450")</f>
        <v>WDP40 RMP 24040450</v>
      </c>
      <c r="N395" s="2"/>
      <c r="O395" s="2" t="str">
        <f>IFERROR(__xludf.DUMMYFUNCTION("""COMPUTED_VALUE"""),"Magsaysay")</f>
        <v>Magsaysay</v>
      </c>
      <c r="P395" s="2" t="str">
        <f>IFERROR(__xludf.DUMMYFUNCTION("""COMPUTED_VALUE"""),"Patnongon")</f>
        <v>Patnongon</v>
      </c>
      <c r="Q395" s="2" t="str">
        <f>IFERROR(__xludf.DUMMYFUNCTION("""COMPUTED_VALUE"""),"Antique")</f>
        <v>Antique</v>
      </c>
      <c r="R395" s="2">
        <f>IFERROR(__xludf.DUMMYFUNCTION("""COMPUTED_VALUE"""),6.0)</f>
        <v>6</v>
      </c>
      <c r="S395" s="2"/>
      <c r="T395" s="2"/>
    </row>
    <row r="396">
      <c r="A396" s="1">
        <f>IFERROR(__xludf.DUMMYFUNCTION("""COMPUTED_VALUE"""),394.0)</f>
        <v>394</v>
      </c>
      <c r="B396" s="2" t="str">
        <f>IFERROR(__xludf.DUMMYFUNCTION("""COMPUTED_VALUE"""),"Inabasan Small Farmers Association")</f>
        <v>Inabasan Small Farmers Association</v>
      </c>
      <c r="C396" s="2" t="str">
        <f>IFERROR(__xludf.DUMMYFUNCTION("""COMPUTED_VALUE"""),"Inabasan, San Jose, ANTIQUE")</f>
        <v>Inabasan, San Jose, ANTIQUE</v>
      </c>
      <c r="D396" s="2" t="str">
        <f>IFERROR(__xludf.DUMMYFUNCTION("""COMPUTED_VALUE"""),"Joebert E. Daniel")</f>
        <v>Joebert E. Daniel</v>
      </c>
      <c r="E396" s="2" t="str">
        <f>IFERROR(__xludf.DUMMYFUNCTION("""COMPUTED_VALUE"""),"0955-987-8800")</f>
        <v>0955-987-8800</v>
      </c>
      <c r="F396" s="2" t="str">
        <f>IFERROR(__xludf.DUMMYFUNCTION("""COMPUTED_VALUE"""),"RCEF 23-09-21 Rebidding")</f>
        <v>RCEF 23-09-21 Rebidding</v>
      </c>
      <c r="G396" s="2">
        <f>IFERROR(__xludf.DUMMYFUNCTION("""COMPUTED_VALUE"""),4.0)</f>
        <v>4</v>
      </c>
      <c r="H396" s="2">
        <f>IFERROR(__xludf.DUMMYFUNCTION("""COMPUTED_VALUE"""),19052.0)</f>
        <v>19052</v>
      </c>
      <c r="I396" s="2" t="str">
        <f>IFERROR(__xludf.DUMMYFUNCTION("""COMPUTED_VALUE"""),"KMC5825 ACRFPV0313")</f>
        <v>KMC5825 ACRFPV0313</v>
      </c>
      <c r="J396" s="2" t="str">
        <f>IFERROR(__xludf.DUMMYFUNCTION("""COMPUTED_VALUE"""),"RTS 100190")</f>
        <v>RTS 100190</v>
      </c>
      <c r="K396" s="2" t="str">
        <f>IFERROR(__xludf.DUMMYFUNCTION("""COMPUTED_VALUE"""),"WR SERIES 754 PH")</f>
        <v>WR SERIES 754 PH</v>
      </c>
      <c r="L396" s="2" t="str">
        <f>IFERROR(__xludf.DUMMYFUNCTION("""COMPUTED_VALUE"""),"LSGW1750 RMP 24040688")</f>
        <v>LSGW1750 RMP 24040688</v>
      </c>
      <c r="M396" s="2" t="str">
        <f>IFERROR(__xludf.DUMMYFUNCTION("""COMPUTED_VALUE"""),"WDP40 RMP 24040431")</f>
        <v>WDP40 RMP 24040431</v>
      </c>
      <c r="N396" s="2"/>
      <c r="O396" s="2" t="str">
        <f>IFERROR(__xludf.DUMMYFUNCTION("""COMPUTED_VALUE"""),"Inabasan")</f>
        <v>Inabasan</v>
      </c>
      <c r="P396" s="2" t="str">
        <f>IFERROR(__xludf.DUMMYFUNCTION("""COMPUTED_VALUE"""),"San Jose")</f>
        <v>San Jose</v>
      </c>
      <c r="Q396" s="2" t="str">
        <f>IFERROR(__xludf.DUMMYFUNCTION("""COMPUTED_VALUE"""),"Antique")</f>
        <v>Antique</v>
      </c>
      <c r="R396" s="2">
        <f>IFERROR(__xludf.DUMMYFUNCTION("""COMPUTED_VALUE"""),6.0)</f>
        <v>6</v>
      </c>
      <c r="S396" s="2"/>
      <c r="T396" s="2"/>
    </row>
    <row r="397">
      <c r="A397" s="1">
        <f>IFERROR(__xludf.DUMMYFUNCTION("""COMPUTED_VALUE"""),395.0)</f>
        <v>395</v>
      </c>
      <c r="B397" s="2" t="str">
        <f>IFERROR(__xludf.DUMMYFUNCTION("""COMPUTED_VALUE"""),"UNITED IGBONGLO FARMERS ASSOCIATION (UNIFA), INC.")</f>
        <v>UNITED IGBONGLO FARMERS ASSOCIATION (UNIFA), INC.</v>
      </c>
      <c r="C397" s="2" t="str">
        <f>IFERROR(__xludf.DUMMYFUNCTION("""COMPUTED_VALUE"""),"Igbonglo, San Jose, ANTIQUE")</f>
        <v>Igbonglo, San Jose, ANTIQUE</v>
      </c>
      <c r="D397" s="2" t="str">
        <f>IFERROR(__xludf.DUMMYFUNCTION("""COMPUTED_VALUE"""),"RENE A. SIBA")</f>
        <v>RENE A. SIBA</v>
      </c>
      <c r="E397" s="2">
        <f>IFERROR(__xludf.DUMMYFUNCTION("""COMPUTED_VALUE"""),9.653946886E9)</f>
        <v>9653946886</v>
      </c>
      <c r="F397" s="2" t="str">
        <f>IFERROR(__xludf.DUMMYFUNCTION("""COMPUTED_VALUE"""),"RCEF 23-09-21 Rebidding")</f>
        <v>RCEF 23-09-21 Rebidding</v>
      </c>
      <c r="G397" s="2">
        <f>IFERROR(__xludf.DUMMYFUNCTION("""COMPUTED_VALUE"""),4.0)</f>
        <v>4</v>
      </c>
      <c r="H397" s="2">
        <f>IFERROR(__xludf.DUMMYFUNCTION("""COMPUTED_VALUE"""),19053.0)</f>
        <v>19053</v>
      </c>
      <c r="I397" s="2" t="str">
        <f>IFERROR(__xludf.DUMMYFUNCTION("""COMPUTED_VALUE"""),"KMC5825 ACRFPV0408")</f>
        <v>KMC5825 ACRFPV0408</v>
      </c>
      <c r="J397" s="2" t="str">
        <f>IFERROR(__xludf.DUMMYFUNCTION("""COMPUTED_VALUE"""),"RTS 100310")</f>
        <v>RTS 100310</v>
      </c>
      <c r="K397" s="2" t="str">
        <f>IFERROR(__xludf.DUMMYFUNCTION("""COMPUTED_VALUE"""),"WR-SERIES 780 PH")</f>
        <v>WR-SERIES 780 PH</v>
      </c>
      <c r="L397" s="2" t="str">
        <f>IFERROR(__xludf.DUMMYFUNCTION("""COMPUTED_VALUE"""),"LSGW1750 RMP 24040641")</f>
        <v>LSGW1750 RMP 24040641</v>
      </c>
      <c r="M397" s="2" t="str">
        <f>IFERROR(__xludf.DUMMYFUNCTION("""COMPUTED_VALUE"""),"WDP40 RMP 24040461")</f>
        <v>WDP40 RMP 24040461</v>
      </c>
      <c r="N397" s="2"/>
      <c r="O397" s="2" t="str">
        <f>IFERROR(__xludf.DUMMYFUNCTION("""COMPUTED_VALUE"""),"Igbonglo")</f>
        <v>Igbonglo</v>
      </c>
      <c r="P397" s="2" t="str">
        <f>IFERROR(__xludf.DUMMYFUNCTION("""COMPUTED_VALUE"""),"San Jose")</f>
        <v>San Jose</v>
      </c>
      <c r="Q397" s="2" t="str">
        <f>IFERROR(__xludf.DUMMYFUNCTION("""COMPUTED_VALUE"""),"Antique")</f>
        <v>Antique</v>
      </c>
      <c r="R397" s="2">
        <f>IFERROR(__xludf.DUMMYFUNCTION("""COMPUTED_VALUE"""),6.0)</f>
        <v>6</v>
      </c>
      <c r="S397" s="2"/>
      <c r="T397" s="2"/>
    </row>
    <row r="398">
      <c r="A398" s="1">
        <f>IFERROR(__xludf.DUMMYFUNCTION("""COMPUTED_VALUE"""),396.0)</f>
        <v>396</v>
      </c>
      <c r="B398" s="2" t="str">
        <f>IFERROR(__xludf.DUMMYFUNCTION("""COMPUTED_VALUE"""),"LACARON FARMERS ASSOCIATION")</f>
        <v>LACARON FARMERS ASSOCIATION</v>
      </c>
      <c r="C398" s="2" t="str">
        <f>IFERROR(__xludf.DUMMYFUNCTION("""COMPUTED_VALUE"""),"Lacaron, Sibalom, ANTIQUE")</f>
        <v>Lacaron, Sibalom, ANTIQUE</v>
      </c>
      <c r="D398" s="2" t="str">
        <f>IFERROR(__xludf.DUMMYFUNCTION("""COMPUTED_VALUE"""),"LORGIE ABAO")</f>
        <v>LORGIE ABAO</v>
      </c>
      <c r="E398" s="2" t="str">
        <f>IFERROR(__xludf.DUMMYFUNCTION("""COMPUTED_VALUE"""),"0955-433-3926")</f>
        <v>0955-433-3926</v>
      </c>
      <c r="F398" s="2" t="str">
        <f>IFERROR(__xludf.DUMMYFUNCTION("""COMPUTED_VALUE"""),"RCEF 23-09-21 Rebidding")</f>
        <v>RCEF 23-09-21 Rebidding</v>
      </c>
      <c r="G398" s="2">
        <f>IFERROR(__xludf.DUMMYFUNCTION("""COMPUTED_VALUE"""),4.0)</f>
        <v>4</v>
      </c>
      <c r="H398" s="2">
        <f>IFERROR(__xludf.DUMMYFUNCTION("""COMPUTED_VALUE"""),19054.0)</f>
        <v>19054</v>
      </c>
      <c r="I398" s="2" t="str">
        <f>IFERROR(__xludf.DUMMYFUNCTION("""COMPUTED_VALUE"""),"KMC5825 AJRFPV0472")</f>
        <v>KMC5825 AJRFPV0472</v>
      </c>
      <c r="J398" s="2" t="str">
        <f>IFERROR(__xludf.DUMMYFUNCTION("""COMPUTED_VALUE"""),"RTS 100215")</f>
        <v>RTS 100215</v>
      </c>
      <c r="K398" s="2" t="str">
        <f>IFERROR(__xludf.DUMMYFUNCTION("""COMPUTED_VALUE"""),"WR-SERIES 050 PH")</f>
        <v>WR-SERIES 050 PH</v>
      </c>
      <c r="L398" s="2" t="str">
        <f>IFERROR(__xludf.DUMMYFUNCTION("""COMPUTED_VALUE"""),"LSGW1750 RMP 24040658")</f>
        <v>LSGW1750 RMP 24040658</v>
      </c>
      <c r="M398" s="2" t="str">
        <f>IFERROR(__xludf.DUMMYFUNCTION("""COMPUTED_VALUE"""),"WDP40 RMP 24040443")</f>
        <v>WDP40 RMP 24040443</v>
      </c>
      <c r="N398" s="2"/>
      <c r="O398" s="2" t="str">
        <f>IFERROR(__xludf.DUMMYFUNCTION("""COMPUTED_VALUE"""),"Lacaron")</f>
        <v>Lacaron</v>
      </c>
      <c r="P398" s="2" t="str">
        <f>IFERROR(__xludf.DUMMYFUNCTION("""COMPUTED_VALUE"""),"Sibalom")</f>
        <v>Sibalom</v>
      </c>
      <c r="Q398" s="2" t="str">
        <f>IFERROR(__xludf.DUMMYFUNCTION("""COMPUTED_VALUE"""),"Antique")</f>
        <v>Antique</v>
      </c>
      <c r="R398" s="2">
        <f>IFERROR(__xludf.DUMMYFUNCTION("""COMPUTED_VALUE"""),6.0)</f>
        <v>6</v>
      </c>
      <c r="S398" s="2"/>
      <c r="T398" s="2"/>
    </row>
    <row r="399">
      <c r="A399" s="1">
        <f>IFERROR(__xludf.DUMMYFUNCTION("""COMPUTED_VALUE"""),397.0)</f>
        <v>397</v>
      </c>
      <c r="B399" s="2" t="str">
        <f>IFERROR(__xludf.DUMMYFUNCTION("""COMPUTED_VALUE"""),"BANDOJA SAN FRANCISCO SUR SAN FRANCISCO NORTE SAN ISIDRO IRRIGATORS ASSOCIATION (BASFICIA) INC.")</f>
        <v>BANDOJA SAN FRANCISCO SUR SAN FRANCISCO NORTE SAN ISIDRO IRRIGATORS ASSOCIATION (BASFICIA) INC.</v>
      </c>
      <c r="C399" s="2" t="str">
        <f>IFERROR(__xludf.DUMMYFUNCTION("""COMPUTED_VALUE"""),"San Francisco Sur, Tibiao, ANTIQUE")</f>
        <v>San Francisco Sur, Tibiao, ANTIQUE</v>
      </c>
      <c r="D399" s="2" t="str">
        <f>IFERROR(__xludf.DUMMYFUNCTION("""COMPUTED_VALUE"""),"JOEL ANDRES")</f>
        <v>JOEL ANDRES</v>
      </c>
      <c r="E399" s="2">
        <f>IFERROR(__xludf.DUMMYFUNCTION("""COMPUTED_VALUE"""),9.651166825E9)</f>
        <v>9651166825</v>
      </c>
      <c r="F399" s="2" t="str">
        <f>IFERROR(__xludf.DUMMYFUNCTION("""COMPUTED_VALUE"""),"RCEF 23-09-21 Rebidding")</f>
        <v>RCEF 23-09-21 Rebidding</v>
      </c>
      <c r="G399" s="2">
        <f>IFERROR(__xludf.DUMMYFUNCTION("""COMPUTED_VALUE"""),4.0)</f>
        <v>4</v>
      </c>
      <c r="H399" s="2">
        <f>IFERROR(__xludf.DUMMYFUNCTION("""COMPUTED_VALUE"""),19055.0)</f>
        <v>19055</v>
      </c>
      <c r="I399" s="2" t="str">
        <f>IFERROR(__xludf.DUMMYFUNCTION("""COMPUTED_VALUE"""),"KMC5825 AERFPV0478")</f>
        <v>KMC5825 AERFPV0478</v>
      </c>
      <c r="J399" s="2" t="str">
        <f>IFERROR(__xludf.DUMMYFUNCTION("""COMPUTED_VALUE"""),"RTS 100383")</f>
        <v>RTS 100383</v>
      </c>
      <c r="K399" s="2" t="str">
        <f>IFERROR(__xludf.DUMMYFUNCTION("""COMPUTED_VALUE"""),"WR-SERIES 940 PH")</f>
        <v>WR-SERIES 940 PH</v>
      </c>
      <c r="L399" s="2" t="str">
        <f>IFERROR(__xludf.DUMMYFUNCTION("""COMPUTED_VALUE"""),"LSGW1750 RMP 24040642")</f>
        <v>LSGW1750 RMP 24040642</v>
      </c>
      <c r="M399" s="2" t="str">
        <f>IFERROR(__xludf.DUMMYFUNCTION("""COMPUTED_VALUE"""),"WDP40 RMP 24040447")</f>
        <v>WDP40 RMP 24040447</v>
      </c>
      <c r="N399" s="2"/>
      <c r="O399" s="2" t="str">
        <f>IFERROR(__xludf.DUMMYFUNCTION("""COMPUTED_VALUE"""),"San Francisco Sur")</f>
        <v>San Francisco Sur</v>
      </c>
      <c r="P399" s="2" t="str">
        <f>IFERROR(__xludf.DUMMYFUNCTION("""COMPUTED_VALUE"""),"Tibiao")</f>
        <v>Tibiao</v>
      </c>
      <c r="Q399" s="2" t="str">
        <f>IFERROR(__xludf.DUMMYFUNCTION("""COMPUTED_VALUE"""),"Antique")</f>
        <v>Antique</v>
      </c>
      <c r="R399" s="2">
        <f>IFERROR(__xludf.DUMMYFUNCTION("""COMPUTED_VALUE"""),6.0)</f>
        <v>6</v>
      </c>
      <c r="S399" s="2"/>
      <c r="T399" s="2"/>
    </row>
    <row r="400">
      <c r="A400" s="1">
        <f>IFERROR(__xludf.DUMMYFUNCTION("""COMPUTED_VALUE"""),398.0)</f>
        <v>398</v>
      </c>
      <c r="B400" s="2" t="str">
        <f>IFERROR(__xludf.DUMMYFUNCTION("""COMPUTED_VALUE"""),"TIBIAO-DALANAS RIVER IRRIGATORS' ASSOCIATION, INC.")</f>
        <v>TIBIAO-DALANAS RIVER IRRIGATORS' ASSOCIATION, INC.</v>
      </c>
      <c r="C400" s="2" t="str">
        <f>IFERROR(__xludf.DUMMYFUNCTION("""COMPUTED_VALUE"""),"Malabor, Tibiao, ANTIQUE")</f>
        <v>Malabor, Tibiao, ANTIQUE</v>
      </c>
      <c r="D400" s="2" t="str">
        <f>IFERROR(__xludf.DUMMYFUNCTION("""COMPUTED_VALUE"""),"Noel C. Songcayawon")</f>
        <v>Noel C. Songcayawon</v>
      </c>
      <c r="E400" s="2" t="str">
        <f>IFERROR(__xludf.DUMMYFUNCTION("""COMPUTED_VALUE"""),"0935-170-8943")</f>
        <v>0935-170-8943</v>
      </c>
      <c r="F400" s="2" t="str">
        <f>IFERROR(__xludf.DUMMYFUNCTION("""COMPUTED_VALUE"""),"RCEF 23-09-21 Rebidding")</f>
        <v>RCEF 23-09-21 Rebidding</v>
      </c>
      <c r="G400" s="2">
        <f>IFERROR(__xludf.DUMMYFUNCTION("""COMPUTED_VALUE"""),4.0)</f>
        <v>4</v>
      </c>
      <c r="H400" s="2">
        <f>IFERROR(__xludf.DUMMYFUNCTION("""COMPUTED_VALUE"""),19056.0)</f>
        <v>19056</v>
      </c>
      <c r="I400" s="2" t="str">
        <f>IFERROR(__xludf.DUMMYFUNCTION("""COMPUTED_VALUE"""),"KMC5825 ACRFPV0487")</f>
        <v>KMC5825 ACRFPV0487</v>
      </c>
      <c r="J400" s="2" t="str">
        <f>IFERROR(__xludf.DUMMYFUNCTION("""COMPUTED_VALUE"""),"RTS 100395")</f>
        <v>RTS 100395</v>
      </c>
      <c r="K400" s="2" t="str">
        <f>IFERROR(__xludf.DUMMYFUNCTION("""COMPUTED_VALUE"""),"WR-SERIES 955 PH")</f>
        <v>WR-SERIES 955 PH</v>
      </c>
      <c r="L400" s="2" t="str">
        <f>IFERROR(__xludf.DUMMYFUNCTION("""COMPUTED_VALUE"""),"LSGW1750 RMP 24040698")</f>
        <v>LSGW1750 RMP 24040698</v>
      </c>
      <c r="M400" s="2" t="str">
        <f>IFERROR(__xludf.DUMMYFUNCTION("""COMPUTED_VALUE"""),"WDP40 RMP 24040399")</f>
        <v>WDP40 RMP 24040399</v>
      </c>
      <c r="N400" s="2"/>
      <c r="O400" s="2" t="str">
        <f>IFERROR(__xludf.DUMMYFUNCTION("""COMPUTED_VALUE"""),"Malabor")</f>
        <v>Malabor</v>
      </c>
      <c r="P400" s="2" t="str">
        <f>IFERROR(__xludf.DUMMYFUNCTION("""COMPUTED_VALUE"""),"Tibiao")</f>
        <v>Tibiao</v>
      </c>
      <c r="Q400" s="2" t="str">
        <f>IFERROR(__xludf.DUMMYFUNCTION("""COMPUTED_VALUE"""),"Antique")</f>
        <v>Antique</v>
      </c>
      <c r="R400" s="2">
        <f>IFERROR(__xludf.DUMMYFUNCTION("""COMPUTED_VALUE"""),6.0)</f>
        <v>6</v>
      </c>
      <c r="S400" s="2"/>
      <c r="T400" s="2"/>
    </row>
    <row r="401">
      <c r="A401" s="1">
        <f>IFERROR(__xludf.DUMMYFUNCTION("""COMPUTED_VALUE"""),399.0)</f>
        <v>399</v>
      </c>
      <c r="B401" s="2" t="str">
        <f>IFERROR(__xludf.DUMMYFUNCTION("""COMPUTED_VALUE"""),"Barangay Indayagan Farmers Association")</f>
        <v>Barangay Indayagan Farmers Association</v>
      </c>
      <c r="C401" s="2" t="str">
        <f>IFERROR(__xludf.DUMMYFUNCTION("""COMPUTED_VALUE"""),"Indayagan, Ma-ayon, CAPIZ")</f>
        <v>Indayagan, Ma-ayon, CAPIZ</v>
      </c>
      <c r="D401" s="2" t="str">
        <f>IFERROR(__xludf.DUMMYFUNCTION("""COMPUTED_VALUE"""),"Merlinda D. Dumolong")</f>
        <v>Merlinda D. Dumolong</v>
      </c>
      <c r="E401" s="2" t="str">
        <f>IFERROR(__xludf.DUMMYFUNCTION("""COMPUTED_VALUE"""),"0929-968-6413")</f>
        <v>0929-968-6413</v>
      </c>
      <c r="F401" s="2" t="str">
        <f>IFERROR(__xludf.DUMMYFUNCTION("""COMPUTED_VALUE"""),"RCEF 23-09-21 Rebidding")</f>
        <v>RCEF 23-09-21 Rebidding</v>
      </c>
      <c r="G401" s="2">
        <f>IFERROR(__xludf.DUMMYFUNCTION("""COMPUTED_VALUE"""),4.0)</f>
        <v>4</v>
      </c>
      <c r="H401" s="2">
        <f>IFERROR(__xludf.DUMMYFUNCTION("""COMPUTED_VALUE"""),19057.0)</f>
        <v>19057</v>
      </c>
      <c r="I401" s="2" t="str">
        <f>IFERROR(__xludf.DUMMYFUNCTION("""COMPUTED_VALUE"""),"KMC5825 AJRFPV0567")</f>
        <v>KMC5825 AJRFPV0567</v>
      </c>
      <c r="J401" s="2" t="str">
        <f>IFERROR(__xludf.DUMMYFUNCTION("""COMPUTED_VALUE"""),"RTS100459")</f>
        <v>RTS100459</v>
      </c>
      <c r="K401" s="2" t="str">
        <f>IFERROR(__xludf.DUMMYFUNCTION("""COMPUTED_VALUE"""),"WR-SERIES 851 PH")</f>
        <v>WR-SERIES 851 PH</v>
      </c>
      <c r="L401" s="2" t="str">
        <f>IFERROR(__xludf.DUMMYFUNCTION("""COMPUTED_VALUE"""),"LSGW1750 RMP 24040693")</f>
        <v>LSGW1750 RMP 24040693</v>
      </c>
      <c r="M401" s="2" t="str">
        <f>IFERROR(__xludf.DUMMYFUNCTION("""COMPUTED_VALUE"""),"WDP40 RMP 24010115")</f>
        <v>WDP40 RMP 24010115</v>
      </c>
      <c r="N401" s="2"/>
      <c r="O401" s="2" t="str">
        <f>IFERROR(__xludf.DUMMYFUNCTION("""COMPUTED_VALUE"""),"Indayagan")</f>
        <v>Indayagan</v>
      </c>
      <c r="P401" s="2" t="str">
        <f>IFERROR(__xludf.DUMMYFUNCTION("""COMPUTED_VALUE"""),"Ma-Ayon")</f>
        <v>Ma-Ayon</v>
      </c>
      <c r="Q401" s="2" t="str">
        <f>IFERROR(__xludf.DUMMYFUNCTION("""COMPUTED_VALUE"""),"Capiz")</f>
        <v>Capiz</v>
      </c>
      <c r="R401" s="2">
        <f>IFERROR(__xludf.DUMMYFUNCTION("""COMPUTED_VALUE"""),6.0)</f>
        <v>6</v>
      </c>
      <c r="S401" s="2"/>
      <c r="T401" s="2"/>
    </row>
    <row r="402">
      <c r="A402" s="1">
        <f>IFERROR(__xludf.DUMMYFUNCTION("""COMPUTED_VALUE"""),400.0)</f>
        <v>400</v>
      </c>
      <c r="B402" s="2" t="str">
        <f>IFERROR(__xludf.DUMMYFUNCTION("""COMPUTED_VALUE"""),"BANGBANG FARMERS ASSOCIATION")</f>
        <v>BANGBANG FARMERS ASSOCIATION</v>
      </c>
      <c r="C402" s="2" t="str">
        <f>IFERROR(__xludf.DUMMYFUNCTION("""COMPUTED_VALUE"""),"Daga, Panay, CAPIZ")</f>
        <v>Daga, Panay, CAPIZ</v>
      </c>
      <c r="D402" s="2" t="str">
        <f>IFERROR(__xludf.DUMMYFUNCTION("""COMPUTED_VALUE"""),"Ludovico B. Dipon")</f>
        <v>Ludovico B. Dipon</v>
      </c>
      <c r="E402" s="2">
        <f>IFERROR(__xludf.DUMMYFUNCTION("""COMPUTED_VALUE"""),9.462811455E9)</f>
        <v>9462811455</v>
      </c>
      <c r="F402" s="2" t="str">
        <f>IFERROR(__xludf.DUMMYFUNCTION("""COMPUTED_VALUE"""),"RCEF 23-09-21 Rebidding")</f>
        <v>RCEF 23-09-21 Rebidding</v>
      </c>
      <c r="G402" s="2">
        <f>IFERROR(__xludf.DUMMYFUNCTION("""COMPUTED_VALUE"""),4.0)</f>
        <v>4</v>
      </c>
      <c r="H402" s="2">
        <f>IFERROR(__xludf.DUMMYFUNCTION("""COMPUTED_VALUE"""),19058.0)</f>
        <v>19058</v>
      </c>
      <c r="I402" s="2" t="str">
        <f>IFERROR(__xludf.DUMMYFUNCTION("""COMPUTED_VALUE"""),"KMC5825ACRFPV0358")</f>
        <v>KMC5825ACRFPV0358</v>
      </c>
      <c r="J402" s="2" t="str">
        <f>IFERROR(__xludf.DUMMYFUNCTION("""COMPUTED_VALUE"""),"RTS100248")</f>
        <v>RTS100248</v>
      </c>
      <c r="K402" s="2" t="str">
        <f>IFERROR(__xludf.DUMMYFUNCTION("""COMPUTED_VALUE"""),"WR-SERIES 790 PH")</f>
        <v>WR-SERIES 790 PH</v>
      </c>
      <c r="L402" s="2" t="str">
        <f>IFERROR(__xludf.DUMMYFUNCTION("""COMPUTED_VALUE"""),"LSGW1759 RMP 24040653")</f>
        <v>LSGW1759 RMP 24040653</v>
      </c>
      <c r="M402" s="2" t="str">
        <f>IFERROR(__xludf.DUMMYFUNCTION("""COMPUTED_VALUE"""),"WDP40 RMP 24040412")</f>
        <v>WDP40 RMP 24040412</v>
      </c>
      <c r="N402" s="2"/>
      <c r="O402" s="2" t="str">
        <f>IFERROR(__xludf.DUMMYFUNCTION("""COMPUTED_VALUE"""),"Daga")</f>
        <v>Daga</v>
      </c>
      <c r="P402" s="2" t="str">
        <f>IFERROR(__xludf.DUMMYFUNCTION("""COMPUTED_VALUE"""),"Panay")</f>
        <v>Panay</v>
      </c>
      <c r="Q402" s="2" t="str">
        <f>IFERROR(__xludf.DUMMYFUNCTION("""COMPUTED_VALUE"""),"Capiz")</f>
        <v>Capiz</v>
      </c>
      <c r="R402" s="2">
        <f>IFERROR(__xludf.DUMMYFUNCTION("""COMPUTED_VALUE"""),6.0)</f>
        <v>6</v>
      </c>
      <c r="S402" s="2"/>
      <c r="T402" s="2"/>
    </row>
    <row r="403">
      <c r="A403" s="1">
        <f>IFERROR(__xludf.DUMMYFUNCTION("""COMPUTED_VALUE"""),401.0)</f>
        <v>401</v>
      </c>
      <c r="B403" s="2" t="str">
        <f>IFERROR(__xludf.DUMMYFUNCTION("""COMPUTED_VALUE"""),"Calapawan Farmers Association")</f>
        <v>Calapawan Farmers Association</v>
      </c>
      <c r="C403" s="2" t="str">
        <f>IFERROR(__xludf.DUMMYFUNCTION("""COMPUTED_VALUE"""),"Calapawan, Panay, CAPIZ")</f>
        <v>Calapawan, Panay, CAPIZ</v>
      </c>
      <c r="D403" s="2" t="str">
        <f>IFERROR(__xludf.DUMMYFUNCTION("""COMPUTED_VALUE"""),"Rodolfo Balgos")</f>
        <v>Rodolfo Balgos</v>
      </c>
      <c r="E403" s="2" t="str">
        <f>IFERROR(__xludf.DUMMYFUNCTION("""COMPUTED_VALUE"""),"0910-2135562")</f>
        <v>0910-2135562</v>
      </c>
      <c r="F403" s="2" t="str">
        <f>IFERROR(__xludf.DUMMYFUNCTION("""COMPUTED_VALUE"""),"RCEF 23-09-21 Rebidding")</f>
        <v>RCEF 23-09-21 Rebidding</v>
      </c>
      <c r="G403" s="2">
        <f>IFERROR(__xludf.DUMMYFUNCTION("""COMPUTED_VALUE"""),4.0)</f>
        <v>4</v>
      </c>
      <c r="H403" s="2">
        <f>IFERROR(__xludf.DUMMYFUNCTION("""COMPUTED_VALUE"""),19059.0)</f>
        <v>19059</v>
      </c>
      <c r="I403" s="2" t="str">
        <f>IFERROR(__xludf.DUMMYFUNCTION("""COMPUTED_VALUE"""),"KMC5825ATRFPV0628")</f>
        <v>KMC5825ATRFPV0628</v>
      </c>
      <c r="J403" s="2" t="str">
        <f>IFERROR(__xludf.DUMMYFUNCTION("""COMPUTED_VALUE"""),"RTS100519")</f>
        <v>RTS100519</v>
      </c>
      <c r="K403" s="2" t="str">
        <f>IFERROR(__xludf.DUMMYFUNCTION("""COMPUTED_VALUE"""),"WR-SERIES 736 PH")</f>
        <v>WR-SERIES 736 PH</v>
      </c>
      <c r="L403" s="2" t="str">
        <f>IFERROR(__xludf.DUMMYFUNCTION("""COMPUTED_VALUE"""),"LSGW1750 RMP 24040650")</f>
        <v>LSGW1750 RMP 24040650</v>
      </c>
      <c r="M403" s="2" t="str">
        <f>IFERROR(__xludf.DUMMYFUNCTION("""COMPUTED_VALUE"""),"WDP40 RMP 24010117")</f>
        <v>WDP40 RMP 24010117</v>
      </c>
      <c r="N403" s="2"/>
      <c r="O403" s="2" t="str">
        <f>IFERROR(__xludf.DUMMYFUNCTION("""COMPUTED_VALUE"""),"Calapawan")</f>
        <v>Calapawan</v>
      </c>
      <c r="P403" s="2" t="str">
        <f>IFERROR(__xludf.DUMMYFUNCTION("""COMPUTED_VALUE"""),"Panay")</f>
        <v>Panay</v>
      </c>
      <c r="Q403" s="2" t="str">
        <f>IFERROR(__xludf.DUMMYFUNCTION("""COMPUTED_VALUE"""),"Capiz")</f>
        <v>Capiz</v>
      </c>
      <c r="R403" s="2">
        <f>IFERROR(__xludf.DUMMYFUNCTION("""COMPUTED_VALUE"""),6.0)</f>
        <v>6</v>
      </c>
      <c r="S403" s="2"/>
      <c r="T403" s="2"/>
    </row>
    <row r="404">
      <c r="A404" s="1">
        <f>IFERROR(__xludf.DUMMYFUNCTION("""COMPUTED_VALUE"""),402.0)</f>
        <v>402</v>
      </c>
      <c r="B404" s="2" t="str">
        <f>IFERROR(__xludf.DUMMYFUNCTION("""COMPUTED_VALUE"""),"Intampilan Farmers Association")</f>
        <v>Intampilan Farmers Association</v>
      </c>
      <c r="C404" s="2" t="str">
        <f>IFERROR(__xludf.DUMMYFUNCTION("""COMPUTED_VALUE"""),"Intampilan, Panitan, CAPIZ")</f>
        <v>Intampilan, Panitan, CAPIZ</v>
      </c>
      <c r="D404" s="2" t="str">
        <f>IFERROR(__xludf.DUMMYFUNCTION("""COMPUTED_VALUE"""),"MANUEL B. AGAPITO JR.")</f>
        <v>MANUEL B. AGAPITO JR.</v>
      </c>
      <c r="E404" s="2">
        <f>IFERROR(__xludf.DUMMYFUNCTION("""COMPUTED_VALUE"""),9.10923636E9)</f>
        <v>9109236360</v>
      </c>
      <c r="F404" s="2" t="str">
        <f>IFERROR(__xludf.DUMMYFUNCTION("""COMPUTED_VALUE"""),"RCEF 23-09-21 Rebidding")</f>
        <v>RCEF 23-09-21 Rebidding</v>
      </c>
      <c r="G404" s="2">
        <f>IFERROR(__xludf.DUMMYFUNCTION("""COMPUTED_VALUE"""),4.0)</f>
        <v>4</v>
      </c>
      <c r="H404" s="2">
        <f>IFERROR(__xludf.DUMMYFUNCTION("""COMPUTED_VALUE"""),19060.0)</f>
        <v>19060</v>
      </c>
      <c r="I404" s="2" t="str">
        <f>IFERROR(__xludf.DUMMYFUNCTION("""COMPUTED_VALUE"""),"KMC5825ALRFPV0347")</f>
        <v>KMC5825ALRFPV0347</v>
      </c>
      <c r="J404" s="2" t="str">
        <f>IFERROR(__xludf.DUMMYFUNCTION("""COMPUTED_VALUE"""),"RTS100243")</f>
        <v>RTS100243</v>
      </c>
      <c r="K404" s="2" t="str">
        <f>IFERROR(__xludf.DUMMYFUNCTION("""COMPUTED_VALUE"""),"WR-SERIES 854 PH")</f>
        <v>WR-SERIES 854 PH</v>
      </c>
      <c r="L404" s="2" t="str">
        <f>IFERROR(__xludf.DUMMYFUNCTION("""COMPUTED_VALUE"""),"LSGW1750 RMP 24040705")</f>
        <v>LSGW1750 RMP 24040705</v>
      </c>
      <c r="M404" s="2" t="str">
        <f>IFERROR(__xludf.DUMMYFUNCTION("""COMPUTED_VALUE"""),"WDP40 RMP 24030362")</f>
        <v>WDP40 RMP 24030362</v>
      </c>
      <c r="N404" s="2"/>
      <c r="O404" s="2" t="str">
        <f>IFERROR(__xludf.DUMMYFUNCTION("""COMPUTED_VALUE"""),"Intampilan")</f>
        <v>Intampilan</v>
      </c>
      <c r="P404" s="2" t="str">
        <f>IFERROR(__xludf.DUMMYFUNCTION("""COMPUTED_VALUE"""),"Panitan")</f>
        <v>Panitan</v>
      </c>
      <c r="Q404" s="2" t="str">
        <f>IFERROR(__xludf.DUMMYFUNCTION("""COMPUTED_VALUE"""),"Capiz")</f>
        <v>Capiz</v>
      </c>
      <c r="R404" s="2">
        <f>IFERROR(__xludf.DUMMYFUNCTION("""COMPUTED_VALUE"""),6.0)</f>
        <v>6</v>
      </c>
      <c r="S404" s="2"/>
      <c r="T404" s="2"/>
    </row>
    <row r="405">
      <c r="A405" s="1">
        <f>IFERROR(__xludf.DUMMYFUNCTION("""COMPUTED_VALUE"""),403.0)</f>
        <v>403</v>
      </c>
      <c r="B405" s="2" t="str">
        <f>IFERROR(__xludf.DUMMYFUNCTION("""COMPUTED_VALUE"""),"PASUGUE COMMUNITY FARMERS ASSOCIATION (PACFA)")</f>
        <v>PASUGUE COMMUNITY FARMERS ASSOCIATION (PACFA)</v>
      </c>
      <c r="C405" s="2" t="str">
        <f>IFERROR(__xludf.DUMMYFUNCTION("""COMPUTED_VALUE"""),"Pasugue, Panitan, CAPIZ")</f>
        <v>Pasugue, Panitan, CAPIZ</v>
      </c>
      <c r="D405" s="2" t="str">
        <f>IFERROR(__xludf.DUMMYFUNCTION("""COMPUTED_VALUE"""),"Eugene B. Degollado")</f>
        <v>Eugene B. Degollado</v>
      </c>
      <c r="E405" s="2">
        <f>IFERROR(__xludf.DUMMYFUNCTION("""COMPUTED_VALUE"""),9.751847134E9)</f>
        <v>9751847134</v>
      </c>
      <c r="F405" s="2" t="str">
        <f>IFERROR(__xludf.DUMMYFUNCTION("""COMPUTED_VALUE"""),"RCEF 23-09-21 Rebidding")</f>
        <v>RCEF 23-09-21 Rebidding</v>
      </c>
      <c r="G405" s="2">
        <f>IFERROR(__xludf.DUMMYFUNCTION("""COMPUTED_VALUE"""),4.0)</f>
        <v>4</v>
      </c>
      <c r="H405" s="2">
        <f>IFERROR(__xludf.DUMMYFUNCTION("""COMPUTED_VALUE"""),19061.0)</f>
        <v>19061</v>
      </c>
      <c r="I405" s="2" t="str">
        <f>IFERROR(__xludf.DUMMYFUNCTION("""COMPUTED_VALUE"""),"KMC5825ACRFPV0708")</f>
        <v>KMC5825ACRFPV0708</v>
      </c>
      <c r="J405" s="2" t="str">
        <f>IFERROR(__xludf.DUMMYFUNCTION("""COMPUTED_VALUE"""),"RTS100508")</f>
        <v>RTS100508</v>
      </c>
      <c r="K405" s="2" t="str">
        <f>IFERROR(__xludf.DUMMYFUNCTION("""COMPUTED_VALUE"""),"WR-SERIES 805 PH")</f>
        <v>WR-SERIES 805 PH</v>
      </c>
      <c r="L405" s="2" t="str">
        <f>IFERROR(__xludf.DUMMYFUNCTION("""COMPUTED_VALUE"""),"LSGW1750 RMP 24040649")</f>
        <v>LSGW1750 RMP 24040649</v>
      </c>
      <c r="M405" s="2" t="str">
        <f>IFERROR(__xludf.DUMMYFUNCTION("""COMPUTED_VALUE"""),"WDP40 RMP 24040420")</f>
        <v>WDP40 RMP 24040420</v>
      </c>
      <c r="N405" s="2"/>
      <c r="O405" s="2" t="str">
        <f>IFERROR(__xludf.DUMMYFUNCTION("""COMPUTED_VALUE"""),"Pasugue")</f>
        <v>Pasugue</v>
      </c>
      <c r="P405" s="2" t="str">
        <f>IFERROR(__xludf.DUMMYFUNCTION("""COMPUTED_VALUE"""),"Panitan")</f>
        <v>Panitan</v>
      </c>
      <c r="Q405" s="2" t="str">
        <f>IFERROR(__xludf.DUMMYFUNCTION("""COMPUTED_VALUE"""),"Capiz")</f>
        <v>Capiz</v>
      </c>
      <c r="R405" s="2">
        <f>IFERROR(__xludf.DUMMYFUNCTION("""COMPUTED_VALUE"""),6.0)</f>
        <v>6</v>
      </c>
      <c r="S405" s="2"/>
      <c r="T405" s="2"/>
    </row>
    <row r="406">
      <c r="A406" s="1">
        <f>IFERROR(__xludf.DUMMYFUNCTION("""COMPUTED_VALUE"""),404.0)</f>
        <v>404</v>
      </c>
      <c r="B406" s="2" t="str">
        <f>IFERROR(__xludf.DUMMYFUNCTION("""COMPUTED_VALUE"""),"POBLACION ILAYA PANIT-AN FARMERS ASSOCIATION")</f>
        <v>POBLACION ILAYA PANIT-AN FARMERS ASSOCIATION</v>
      </c>
      <c r="C406" s="2" t="str">
        <f>IFERROR(__xludf.DUMMYFUNCTION("""COMPUTED_VALUE"""),"Poblacion Ilaya, Panitan, CAPIZ")</f>
        <v>Poblacion Ilaya, Panitan, CAPIZ</v>
      </c>
      <c r="D406" s="2" t="str">
        <f>IFERROR(__xludf.DUMMYFUNCTION("""COMPUTED_VALUE"""),"Bertito D. Dequina")</f>
        <v>Bertito D. Dequina</v>
      </c>
      <c r="E406" s="2" t="str">
        <f>IFERROR(__xludf.DUMMYFUNCTION("""COMPUTED_VALUE"""),"0998-289-9515")</f>
        <v>0998-289-9515</v>
      </c>
      <c r="F406" s="2" t="str">
        <f>IFERROR(__xludf.DUMMYFUNCTION("""COMPUTED_VALUE"""),"RCEF 23-09-21 Rebidding")</f>
        <v>RCEF 23-09-21 Rebidding</v>
      </c>
      <c r="G406" s="2">
        <f>IFERROR(__xludf.DUMMYFUNCTION("""COMPUTED_VALUE"""),4.0)</f>
        <v>4</v>
      </c>
      <c r="H406" s="2">
        <f>IFERROR(__xludf.DUMMYFUNCTION("""COMPUTED_VALUE"""),19062.0)</f>
        <v>19062</v>
      </c>
      <c r="I406" s="2" t="str">
        <f>IFERROR(__xludf.DUMMYFUNCTION("""COMPUTED_VALUE"""),"KMC5825AKRFPV0633")</f>
        <v>KMC5825AKRFPV0633</v>
      </c>
      <c r="J406" s="2" t="str">
        <f>IFERROR(__xludf.DUMMYFUNCTION("""COMPUTED_VALUE"""),"RTS100510")</f>
        <v>RTS100510</v>
      </c>
      <c r="K406" s="2" t="str">
        <f>IFERROR(__xludf.DUMMYFUNCTION("""COMPUTED_VALUE"""),"WR-SERIES 857 PH")</f>
        <v>WR-SERIES 857 PH</v>
      </c>
      <c r="L406" s="2" t="str">
        <f>IFERROR(__xludf.DUMMYFUNCTION("""COMPUTED_VALUE"""),"LSGW1750 RMP 24040712")</f>
        <v>LSGW1750 RMP 24040712</v>
      </c>
      <c r="M406" s="2" t="str">
        <f>IFERROR(__xludf.DUMMYFUNCTION("""COMPUTED_VALUE"""),"WDP40 RMP 24040459")</f>
        <v>WDP40 RMP 24040459</v>
      </c>
      <c r="N406" s="2"/>
      <c r="O406" s="2" t="str">
        <f>IFERROR(__xludf.DUMMYFUNCTION("""COMPUTED_VALUE"""),"Poblacion Ilaya")</f>
        <v>Poblacion Ilaya</v>
      </c>
      <c r="P406" s="2" t="str">
        <f>IFERROR(__xludf.DUMMYFUNCTION("""COMPUTED_VALUE"""),"Panitan")</f>
        <v>Panitan</v>
      </c>
      <c r="Q406" s="2" t="str">
        <f>IFERROR(__xludf.DUMMYFUNCTION("""COMPUTED_VALUE"""),"Capiz")</f>
        <v>Capiz</v>
      </c>
      <c r="R406" s="2">
        <f>IFERROR(__xludf.DUMMYFUNCTION("""COMPUTED_VALUE"""),6.0)</f>
        <v>6</v>
      </c>
      <c r="S406" s="2"/>
      <c r="T406" s="2"/>
    </row>
    <row r="407">
      <c r="A407" s="1">
        <f>IFERROR(__xludf.DUMMYFUNCTION("""COMPUTED_VALUE"""),405.0)</f>
        <v>405</v>
      </c>
      <c r="B407" s="2" t="str">
        <f>IFERROR(__xludf.DUMMYFUNCTION("""COMPUTED_VALUE"""),"San Pedro United Farmers Association")</f>
        <v>San Pedro United Farmers Association</v>
      </c>
      <c r="C407" s="2" t="str">
        <f>IFERROR(__xludf.DUMMYFUNCTION("""COMPUTED_VALUE"""),"San Pedro, Pilar, CAPIZ")</f>
        <v>San Pedro, Pilar, CAPIZ</v>
      </c>
      <c r="D407" s="2" t="str">
        <f>IFERROR(__xludf.DUMMYFUNCTION("""COMPUTED_VALUE"""),"Nelia B. Bonzo")</f>
        <v>Nelia B. Bonzo</v>
      </c>
      <c r="E407" s="2" t="str">
        <f>IFERROR(__xludf.DUMMYFUNCTION("""COMPUTED_VALUE"""),"0936-714-6094")</f>
        <v>0936-714-6094</v>
      </c>
      <c r="F407" s="2" t="str">
        <f>IFERROR(__xludf.DUMMYFUNCTION("""COMPUTED_VALUE"""),"RCEF 23-09-21 Rebidding")</f>
        <v>RCEF 23-09-21 Rebidding</v>
      </c>
      <c r="G407" s="2">
        <f>IFERROR(__xludf.DUMMYFUNCTION("""COMPUTED_VALUE"""),4.0)</f>
        <v>4</v>
      </c>
      <c r="H407" s="2">
        <f>IFERROR(__xludf.DUMMYFUNCTION("""COMPUTED_VALUE"""),19063.0)</f>
        <v>19063</v>
      </c>
      <c r="I407" s="2" t="str">
        <f>IFERROR(__xludf.DUMMYFUNCTION("""COMPUTED_VALUE"""),"KMC5825AKRFPV0647")</f>
        <v>KMC5825AKRFPV0647</v>
      </c>
      <c r="J407" s="2" t="str">
        <f>IFERROR(__xludf.DUMMYFUNCTION("""COMPUTED_VALUE"""),"RTS100539")</f>
        <v>RTS100539</v>
      </c>
      <c r="K407" s="2" t="str">
        <f>IFERROR(__xludf.DUMMYFUNCTION("""COMPUTED_VALUE"""),"WR-SERIES 858 PH")</f>
        <v>WR-SERIES 858 PH</v>
      </c>
      <c r="L407" s="2" t="str">
        <f>IFERROR(__xludf.DUMMYFUNCTION("""COMPUTED_VALUE"""),"LSGW1750 RMP 24040712")</f>
        <v>LSGW1750 RMP 24040712</v>
      </c>
      <c r="M407" s="2" t="str">
        <f>IFERROR(__xludf.DUMMYFUNCTION("""COMPUTED_VALUE"""),"WDP40 RMP 24040488")</f>
        <v>WDP40 RMP 24040488</v>
      </c>
      <c r="N407" s="2"/>
      <c r="O407" s="2" t="str">
        <f>IFERROR(__xludf.DUMMYFUNCTION("""COMPUTED_VALUE"""),"San Pedro")</f>
        <v>San Pedro</v>
      </c>
      <c r="P407" s="2" t="str">
        <f>IFERROR(__xludf.DUMMYFUNCTION("""COMPUTED_VALUE"""),"Pilar")</f>
        <v>Pilar</v>
      </c>
      <c r="Q407" s="2" t="str">
        <f>IFERROR(__xludf.DUMMYFUNCTION("""COMPUTED_VALUE"""),"Capiz")</f>
        <v>Capiz</v>
      </c>
      <c r="R407" s="2">
        <f>IFERROR(__xludf.DUMMYFUNCTION("""COMPUTED_VALUE"""),6.0)</f>
        <v>6</v>
      </c>
      <c r="S407" s="2"/>
      <c r="T407" s="2"/>
    </row>
    <row r="408">
      <c r="A408" s="1">
        <f>IFERROR(__xludf.DUMMYFUNCTION("""COMPUTED_VALUE"""),406.0)</f>
        <v>406</v>
      </c>
      <c r="B408" s="2" t="str">
        <f>IFERROR(__xludf.DUMMYFUNCTION("""COMPUTED_VALUE"""),"TABUC FARMERS ASSOCIATION")</f>
        <v>TABUC FARMERS ASSOCIATION</v>
      </c>
      <c r="C408" s="2" t="str">
        <f>IFERROR(__xludf.DUMMYFUNCTION("""COMPUTED_VALUE"""),"Tabuc, Pontevedra, CAPIZ")</f>
        <v>Tabuc, Pontevedra, CAPIZ</v>
      </c>
      <c r="D408" s="2" t="str">
        <f>IFERROR(__xludf.DUMMYFUNCTION("""COMPUTED_VALUE"""),"Virgilio Begas")</f>
        <v>Virgilio Begas</v>
      </c>
      <c r="E408" s="2" t="str">
        <f>IFERROR(__xludf.DUMMYFUNCTION("""COMPUTED_VALUE"""),"0921-371-8573")</f>
        <v>0921-371-8573</v>
      </c>
      <c r="F408" s="2" t="str">
        <f>IFERROR(__xludf.DUMMYFUNCTION("""COMPUTED_VALUE"""),"RCEF 23-09-21 Rebidding")</f>
        <v>RCEF 23-09-21 Rebidding</v>
      </c>
      <c r="G408" s="2">
        <f>IFERROR(__xludf.DUMMYFUNCTION("""COMPUTED_VALUE"""),4.0)</f>
        <v>4</v>
      </c>
      <c r="H408" s="2">
        <f>IFERROR(__xludf.DUMMYFUNCTION("""COMPUTED_VALUE"""),19064.0)</f>
        <v>19064</v>
      </c>
      <c r="I408" s="2" t="str">
        <f>IFERROR(__xludf.DUMMYFUNCTION("""COMPUTED_VALUE"""),"KMC5825ATRFPV0581")</f>
        <v>KMC5825ATRFPV0581</v>
      </c>
      <c r="J408" s="2" t="str">
        <f>IFERROR(__xludf.DUMMYFUNCTION("""COMPUTED_VALUE"""),"RTS100490")</f>
        <v>RTS100490</v>
      </c>
      <c r="K408" s="2" t="str">
        <f>IFERROR(__xludf.DUMMYFUNCTION("""COMPUTED_VALUE"""),"WR-SERIES 875 PH")</f>
        <v>WR-SERIES 875 PH</v>
      </c>
      <c r="L408" s="2" t="str">
        <f>IFERROR(__xludf.DUMMYFUNCTION("""COMPUTED_VALUE"""),"LSGW1750 RMP 24040699")</f>
        <v>LSGW1750 RMP 24040699</v>
      </c>
      <c r="M408" s="2" t="str">
        <f>IFERROR(__xludf.DUMMYFUNCTION("""COMPUTED_VALUE"""),"WDP40 RMP 24040466")</f>
        <v>WDP40 RMP 24040466</v>
      </c>
      <c r="N408" s="2"/>
      <c r="O408" s="2" t="str">
        <f>IFERROR(__xludf.DUMMYFUNCTION("""COMPUTED_VALUE"""),"Tabuc")</f>
        <v>Tabuc</v>
      </c>
      <c r="P408" s="2" t="str">
        <f>IFERROR(__xludf.DUMMYFUNCTION("""COMPUTED_VALUE"""),"Pontevedra")</f>
        <v>Pontevedra</v>
      </c>
      <c r="Q408" s="2" t="str">
        <f>IFERROR(__xludf.DUMMYFUNCTION("""COMPUTED_VALUE"""),"Capiz")</f>
        <v>Capiz</v>
      </c>
      <c r="R408" s="2">
        <f>IFERROR(__xludf.DUMMYFUNCTION("""COMPUTED_VALUE"""),6.0)</f>
        <v>6</v>
      </c>
      <c r="S408" s="2"/>
      <c r="T408" s="2"/>
    </row>
    <row r="409">
      <c r="A409" s="1">
        <f>IFERROR(__xludf.DUMMYFUNCTION("""COMPUTED_VALUE"""),407.0)</f>
        <v>407</v>
      </c>
      <c r="B409" s="2" t="str">
        <f>IFERROR(__xludf.DUMMYFUNCTION("""COMPUTED_VALUE"""),"Kasanag Pinaypayan Bolo Farmers Association")</f>
        <v>Kasanag Pinaypayan Bolo Farmers Association</v>
      </c>
      <c r="C409" s="2" t="str">
        <f>IFERROR(__xludf.DUMMYFUNCTION("""COMPUTED_VALUE"""),"Bolo, Roxas City, CAPIZ")</f>
        <v>Bolo, Roxas City, CAPIZ</v>
      </c>
      <c r="D409" s="2" t="str">
        <f>IFERROR(__xludf.DUMMYFUNCTION("""COMPUTED_VALUE"""),"SALVADOR V. MEDINA JR.")</f>
        <v>SALVADOR V. MEDINA JR.</v>
      </c>
      <c r="E409" s="2">
        <f>IFERROR(__xludf.DUMMYFUNCTION("""COMPUTED_VALUE"""),9.455117041E9)</f>
        <v>9455117041</v>
      </c>
      <c r="F409" s="2" t="str">
        <f>IFERROR(__xludf.DUMMYFUNCTION("""COMPUTED_VALUE"""),"RCEF 23-09-21 Rebidding")</f>
        <v>RCEF 23-09-21 Rebidding</v>
      </c>
      <c r="G409" s="2">
        <f>IFERROR(__xludf.DUMMYFUNCTION("""COMPUTED_VALUE"""),4.0)</f>
        <v>4</v>
      </c>
      <c r="H409" s="2">
        <f>IFERROR(__xludf.DUMMYFUNCTION("""COMPUTED_VALUE"""),19065.0)</f>
        <v>19065</v>
      </c>
      <c r="I409" s="2" t="str">
        <f>IFERROR(__xludf.DUMMYFUNCTION("""COMPUTED_VALUE"""),"KMC5825AARFPV0489")</f>
        <v>KMC5825AARFPV0489</v>
      </c>
      <c r="J409" s="2" t="str">
        <f>IFERROR(__xludf.DUMMYFUNCTION("""COMPUTED_VALUE"""),"RTS100399")</f>
        <v>RTS100399</v>
      </c>
      <c r="K409" s="2" t="str">
        <f>IFERROR(__xludf.DUMMYFUNCTION("""COMPUTED_VALUE"""),"WR-SERIES 742 PH")</f>
        <v>WR-SERIES 742 PH</v>
      </c>
      <c r="L409" s="2" t="str">
        <f>IFERROR(__xludf.DUMMYFUNCTION("""COMPUTED_VALUE"""),"LSGW1750 RMP 24040651")</f>
        <v>LSGW1750 RMP 24040651</v>
      </c>
      <c r="M409" s="2" t="str">
        <f>IFERROR(__xludf.DUMMYFUNCTION("""COMPUTED_VALUE"""),"WDP40 RMP 24030338")</f>
        <v>WDP40 RMP 24030338</v>
      </c>
      <c r="N409" s="2"/>
      <c r="O409" s="2" t="str">
        <f>IFERROR(__xludf.DUMMYFUNCTION("""COMPUTED_VALUE"""),"Bolo")</f>
        <v>Bolo</v>
      </c>
      <c r="P409" s="2" t="str">
        <f>IFERROR(__xludf.DUMMYFUNCTION("""COMPUTED_VALUE"""),"Roxas City")</f>
        <v>Roxas City</v>
      </c>
      <c r="Q409" s="2" t="str">
        <f>IFERROR(__xludf.DUMMYFUNCTION("""COMPUTED_VALUE"""),"Capiz")</f>
        <v>Capiz</v>
      </c>
      <c r="R409" s="2">
        <f>IFERROR(__xludf.DUMMYFUNCTION("""COMPUTED_VALUE"""),6.0)</f>
        <v>6</v>
      </c>
      <c r="S409" s="2"/>
      <c r="T409" s="2"/>
    </row>
    <row r="410">
      <c r="A410" s="1">
        <f>IFERROR(__xludf.DUMMYFUNCTION("""COMPUTED_VALUE"""),408.0)</f>
        <v>408</v>
      </c>
      <c r="B410" s="2" t="str">
        <f>IFERROR(__xludf.DUMMYFUNCTION("""COMPUTED_VALUE"""),"San Jose Farmers and Workers Association (SJFWA)")</f>
        <v>San Jose Farmers and Workers Association (SJFWA)</v>
      </c>
      <c r="C410" s="2" t="str">
        <f>IFERROR(__xludf.DUMMYFUNCTION("""COMPUTED_VALUE"""),"San Jose, Roxas City, CAPIZ")</f>
        <v>San Jose, Roxas City, CAPIZ</v>
      </c>
      <c r="D410" s="2" t="str">
        <f>IFERROR(__xludf.DUMMYFUNCTION("""COMPUTED_VALUE"""),"Rodulfo C. Capapas")</f>
        <v>Rodulfo C. Capapas</v>
      </c>
      <c r="E410" s="2">
        <f>IFERROR(__xludf.DUMMYFUNCTION("""COMPUTED_VALUE"""),9.072102733E9)</f>
        <v>9072102733</v>
      </c>
      <c r="F410" s="2" t="str">
        <f>IFERROR(__xludf.DUMMYFUNCTION("""COMPUTED_VALUE"""),"RCEF 23-09-21 Rebidding")</f>
        <v>RCEF 23-09-21 Rebidding</v>
      </c>
      <c r="G410" s="2">
        <f>IFERROR(__xludf.DUMMYFUNCTION("""COMPUTED_VALUE"""),4.0)</f>
        <v>4</v>
      </c>
      <c r="H410" s="2">
        <f>IFERROR(__xludf.DUMMYFUNCTION("""COMPUTED_VALUE"""),19066.0)</f>
        <v>19066</v>
      </c>
      <c r="I410" s="2" t="str">
        <f>IFERROR(__xludf.DUMMYFUNCTION("""COMPUTED_VALUE"""),"KMC5825ACRFPV0451")</f>
        <v>KMC5825ACRFPV0451</v>
      </c>
      <c r="J410" s="2" t="str">
        <f>IFERROR(__xludf.DUMMYFUNCTION("""COMPUTED_VALUE"""),"RTS100362")</f>
        <v>RTS100362</v>
      </c>
      <c r="K410" s="2" t="str">
        <f>IFERROR(__xludf.DUMMYFUNCTION("""COMPUTED_VALUE"""),"WR-SERIES 856 PH")</f>
        <v>WR-SERIES 856 PH</v>
      </c>
      <c r="L410" s="2" t="str">
        <f>IFERROR(__xludf.DUMMYFUNCTION("""COMPUTED_VALUE"""),"LSGW1750 RMP 24040650")</f>
        <v>LSGW1750 RMP 24040650</v>
      </c>
      <c r="M410" s="2" t="str">
        <f>IFERROR(__xludf.DUMMYFUNCTION("""COMPUTED_VALUE"""),"WDP40 RMP 24040409")</f>
        <v>WDP40 RMP 24040409</v>
      </c>
      <c r="N410" s="2"/>
      <c r="O410" s="2" t="str">
        <f>IFERROR(__xludf.DUMMYFUNCTION("""COMPUTED_VALUE"""),"San Jose")</f>
        <v>San Jose</v>
      </c>
      <c r="P410" s="2" t="str">
        <f>IFERROR(__xludf.DUMMYFUNCTION("""COMPUTED_VALUE"""),"Roxas City")</f>
        <v>Roxas City</v>
      </c>
      <c r="Q410" s="2" t="str">
        <f>IFERROR(__xludf.DUMMYFUNCTION("""COMPUTED_VALUE"""),"Capiz")</f>
        <v>Capiz</v>
      </c>
      <c r="R410" s="2">
        <f>IFERROR(__xludf.DUMMYFUNCTION("""COMPUTED_VALUE"""),6.0)</f>
        <v>6</v>
      </c>
      <c r="S410" s="2"/>
      <c r="T410" s="2"/>
    </row>
    <row r="411">
      <c r="A411" s="1">
        <f>IFERROR(__xludf.DUMMYFUNCTION("""COMPUTED_VALUE"""),409.0)</f>
        <v>409</v>
      </c>
      <c r="B411" s="2" t="str">
        <f>IFERROR(__xludf.DUMMYFUNCTION("""COMPUTED_VALUE"""),"Barangay Angub Farmers Association")</f>
        <v>Barangay Angub Farmers Association</v>
      </c>
      <c r="C411" s="2" t="str">
        <f>IFERROR(__xludf.DUMMYFUNCTION("""COMPUTED_VALUE"""),"Angub, Cuartero, CAPIZ")</f>
        <v>Angub, Cuartero, CAPIZ</v>
      </c>
      <c r="D411" s="2" t="str">
        <f>IFERROR(__xludf.DUMMYFUNCTION("""COMPUTED_VALUE"""),"Raphaela F. Navarro")</f>
        <v>Raphaela F. Navarro</v>
      </c>
      <c r="E411" s="2" t="str">
        <f>IFERROR(__xludf.DUMMYFUNCTION("""COMPUTED_VALUE"""),"0938-160-8639")</f>
        <v>0938-160-8639</v>
      </c>
      <c r="F411" s="2" t="str">
        <f>IFERROR(__xludf.DUMMYFUNCTION("""COMPUTED_VALUE"""),"RCEF 23-09-21 Rebidding")</f>
        <v>RCEF 23-09-21 Rebidding</v>
      </c>
      <c r="G411" s="2">
        <f>IFERROR(__xludf.DUMMYFUNCTION("""COMPUTED_VALUE"""),4.0)</f>
        <v>4</v>
      </c>
      <c r="H411" s="2">
        <f>IFERROR(__xludf.DUMMYFUNCTION("""COMPUTED_VALUE"""),19067.0)</f>
        <v>19067</v>
      </c>
      <c r="I411" s="2" t="str">
        <f>IFERROR(__xludf.DUMMYFUNCTION("""COMPUTED_VALUE"""),"KMC5825ACRFPV0618")</f>
        <v>KMC5825ACRFPV0618</v>
      </c>
      <c r="J411" s="2" t="str">
        <f>IFERROR(__xludf.DUMMYFUNCTION("""COMPUTED_VALUE"""),"RTS100442")</f>
        <v>RTS100442</v>
      </c>
      <c r="K411" s="2" t="str">
        <f>IFERROR(__xludf.DUMMYFUNCTION("""COMPUTED_VALUE"""),"WR-SERIES 877 PH")</f>
        <v>WR-SERIES 877 PH</v>
      </c>
      <c r="L411" s="2" t="str">
        <f>IFERROR(__xludf.DUMMYFUNCTION("""COMPUTED_VALUE"""),"LSGW1750 RMP 24040710")</f>
        <v>LSGW1750 RMP 24040710</v>
      </c>
      <c r="M411" s="2" t="str">
        <f>IFERROR(__xludf.DUMMYFUNCTION("""COMPUTED_VALUE"""),"WDP40 RMP 24040400")</f>
        <v>WDP40 RMP 24040400</v>
      </c>
      <c r="N411" s="2"/>
      <c r="O411" s="2" t="str">
        <f>IFERROR(__xludf.DUMMYFUNCTION("""COMPUTED_VALUE"""),"Angub")</f>
        <v>Angub</v>
      </c>
      <c r="P411" s="2" t="str">
        <f>IFERROR(__xludf.DUMMYFUNCTION("""COMPUTED_VALUE"""),"Cuartero")</f>
        <v>Cuartero</v>
      </c>
      <c r="Q411" s="2" t="str">
        <f>IFERROR(__xludf.DUMMYFUNCTION("""COMPUTED_VALUE"""),"Capiz")</f>
        <v>Capiz</v>
      </c>
      <c r="R411" s="2">
        <f>IFERROR(__xludf.DUMMYFUNCTION("""COMPUTED_VALUE"""),6.0)</f>
        <v>6</v>
      </c>
      <c r="S411" s="2"/>
      <c r="T411" s="2"/>
    </row>
    <row r="412">
      <c r="A412" s="1">
        <f>IFERROR(__xludf.DUMMYFUNCTION("""COMPUTED_VALUE"""),410.0)</f>
        <v>410</v>
      </c>
      <c r="B412" s="2" t="str">
        <f>IFERROR(__xludf.DUMMYFUNCTION("""COMPUTED_VALUE"""),"Agtanguay Small Farmers Association")</f>
        <v>Agtanguay Small Farmers Association</v>
      </c>
      <c r="C412" s="2" t="str">
        <f>IFERROR(__xludf.DUMMYFUNCTION("""COMPUTED_VALUE"""),"Agtanguay, Dao, CAPIZ")</f>
        <v>Agtanguay, Dao, CAPIZ</v>
      </c>
      <c r="D412" s="2" t="str">
        <f>IFERROR(__xludf.DUMMYFUNCTION("""COMPUTED_VALUE"""),"Janet A. Beter")</f>
        <v>Janet A. Beter</v>
      </c>
      <c r="E412" s="2" t="str">
        <f>IFERROR(__xludf.DUMMYFUNCTION("""COMPUTED_VALUE"""),"0950-912-9065")</f>
        <v>0950-912-9065</v>
      </c>
      <c r="F412" s="2" t="str">
        <f>IFERROR(__xludf.DUMMYFUNCTION("""COMPUTED_VALUE"""),"RCEF 23-09-21 Rebidding")</f>
        <v>RCEF 23-09-21 Rebidding</v>
      </c>
      <c r="G412" s="2">
        <f>IFERROR(__xludf.DUMMYFUNCTION("""COMPUTED_VALUE"""),4.0)</f>
        <v>4</v>
      </c>
      <c r="H412" s="2">
        <f>IFERROR(__xludf.DUMMYFUNCTION("""COMPUTED_VALUE"""),19068.0)</f>
        <v>19068</v>
      </c>
      <c r="I412" s="2" t="str">
        <f>IFERROR(__xludf.DUMMYFUNCTION("""COMPUTED_VALUE"""),"KMC5825AJRFPV0360")</f>
        <v>KMC5825AJRFPV0360</v>
      </c>
      <c r="J412" s="2" t="str">
        <f>IFERROR(__xludf.DUMMYFUNCTION("""COMPUTED_VALUE"""),"RTS100246")</f>
        <v>RTS100246</v>
      </c>
      <c r="K412" s="2" t="str">
        <f>IFERROR(__xludf.DUMMYFUNCTION("""COMPUTED_VALUE"""),"WR-SERIES 811 PH")</f>
        <v>WR-SERIES 811 PH</v>
      </c>
      <c r="L412" s="2" t="str">
        <f>IFERROR(__xludf.DUMMYFUNCTION("""COMPUTED_VALUE"""),"LSGW1750 RMP 24040689")</f>
        <v>LSGW1750 RMP 24040689</v>
      </c>
      <c r="M412" s="2" t="str">
        <f>IFERROR(__xludf.DUMMYFUNCTION("""COMPUTED_VALUE"""),"WDP40 RMP 24040416")</f>
        <v>WDP40 RMP 24040416</v>
      </c>
      <c r="N412" s="2"/>
      <c r="O412" s="2" t="str">
        <f>IFERROR(__xludf.DUMMYFUNCTION("""COMPUTED_VALUE"""),"Agtanguay")</f>
        <v>Agtanguay</v>
      </c>
      <c r="P412" s="2" t="str">
        <f>IFERROR(__xludf.DUMMYFUNCTION("""COMPUTED_VALUE"""),"Dao")</f>
        <v>Dao</v>
      </c>
      <c r="Q412" s="2" t="str">
        <f>IFERROR(__xludf.DUMMYFUNCTION("""COMPUTED_VALUE"""),"Capiz")</f>
        <v>Capiz</v>
      </c>
      <c r="R412" s="2">
        <f>IFERROR(__xludf.DUMMYFUNCTION("""COMPUTED_VALUE"""),6.0)</f>
        <v>6</v>
      </c>
      <c r="S412" s="2"/>
      <c r="T412" s="2"/>
    </row>
    <row r="413">
      <c r="A413" s="1">
        <f>IFERROR(__xludf.DUMMYFUNCTION("""COMPUTED_VALUE"""),411.0)</f>
        <v>411</v>
      </c>
      <c r="B413" s="2" t="str">
        <f>IFERROR(__xludf.DUMMYFUNCTION("""COMPUTED_VALUE"""),"Nasunogan Farmers Association")</f>
        <v>Nasunogan Farmers Association</v>
      </c>
      <c r="C413" s="2" t="str">
        <f>IFERROR(__xludf.DUMMYFUNCTION("""COMPUTED_VALUE"""),"Nasunogan, Dao, CAPIZ")</f>
        <v>Nasunogan, Dao, CAPIZ</v>
      </c>
      <c r="D413" s="2" t="str">
        <f>IFERROR(__xludf.DUMMYFUNCTION("""COMPUTED_VALUE"""),"Leonardo G. Venus")</f>
        <v>Leonardo G. Venus</v>
      </c>
      <c r="E413" s="2" t="str">
        <f>IFERROR(__xludf.DUMMYFUNCTION("""COMPUTED_VALUE"""),"0963-433-3468")</f>
        <v>0963-433-3468</v>
      </c>
      <c r="F413" s="2" t="str">
        <f>IFERROR(__xludf.DUMMYFUNCTION("""COMPUTED_VALUE"""),"RCEF 23-09-21 Rebidding")</f>
        <v>RCEF 23-09-21 Rebidding</v>
      </c>
      <c r="G413" s="2">
        <f>IFERROR(__xludf.DUMMYFUNCTION("""COMPUTED_VALUE"""),4.0)</f>
        <v>4</v>
      </c>
      <c r="H413" s="2">
        <f>IFERROR(__xludf.DUMMYFUNCTION("""COMPUTED_VALUE"""),19069.0)</f>
        <v>19069</v>
      </c>
      <c r="I413" s="2" t="str">
        <f>IFERROR(__xludf.DUMMYFUNCTION("""COMPUTED_VALUE"""),"KMC5825AVRFPV0636")</f>
        <v>KMC5825AVRFPV0636</v>
      </c>
      <c r="J413" s="2" t="str">
        <f>IFERROR(__xludf.DUMMYFUNCTION("""COMPUTED_VALUE"""),"RTS100230")</f>
        <v>RTS100230</v>
      </c>
      <c r="K413" s="2" t="str">
        <f>IFERROR(__xludf.DUMMYFUNCTION("""COMPUTED_VALUE"""),"WR-SERIES 855 PH")</f>
        <v>WR-SERIES 855 PH</v>
      </c>
      <c r="L413" s="2" t="str">
        <f>IFERROR(__xludf.DUMMYFUNCTION("""COMPUTED_VALUE"""),"LSGW1750 RMP 24040719")</f>
        <v>LSGW1750 RMP 24040719</v>
      </c>
      <c r="M413" s="2" t="str">
        <f>IFERROR(__xludf.DUMMYFUNCTION("""COMPUTED_VALUE"""),"WDP40 RMP 24040467")</f>
        <v>WDP40 RMP 24040467</v>
      </c>
      <c r="N413" s="2"/>
      <c r="O413" s="2" t="str">
        <f>IFERROR(__xludf.DUMMYFUNCTION("""COMPUTED_VALUE"""),"Nasunogan")</f>
        <v>Nasunogan</v>
      </c>
      <c r="P413" s="2" t="str">
        <f>IFERROR(__xludf.DUMMYFUNCTION("""COMPUTED_VALUE"""),"Dao")</f>
        <v>Dao</v>
      </c>
      <c r="Q413" s="2" t="str">
        <f>IFERROR(__xludf.DUMMYFUNCTION("""COMPUTED_VALUE"""),"Capiz")</f>
        <v>Capiz</v>
      </c>
      <c r="R413" s="2">
        <f>IFERROR(__xludf.DUMMYFUNCTION("""COMPUTED_VALUE"""),6.0)</f>
        <v>6</v>
      </c>
      <c r="S413" s="2"/>
      <c r="T413" s="2"/>
    </row>
    <row r="414">
      <c r="A414" s="1">
        <f>IFERROR(__xludf.DUMMYFUNCTION("""COMPUTED_VALUE"""),412.0)</f>
        <v>412</v>
      </c>
      <c r="B414" s="2" t="str">
        <f>IFERROR(__xludf.DUMMYFUNCTION("""COMPUTED_VALUE"""),"STA. CARMEN FARMERS ASSOCIATION")</f>
        <v>STA. CARMEN FARMERS ASSOCIATION</v>
      </c>
      <c r="C414" s="2" t="str">
        <f>IFERROR(__xludf.DUMMYFUNCTION("""COMPUTED_VALUE"""),"Santa Carmen, Dumalag, CAPIZ")</f>
        <v>Santa Carmen, Dumalag, CAPIZ</v>
      </c>
      <c r="D414" s="2" t="str">
        <f>IFERROR(__xludf.DUMMYFUNCTION("""COMPUTED_VALUE"""),"RODRIGO F. FEDALGO")</f>
        <v>RODRIGO F. FEDALGO</v>
      </c>
      <c r="E414" s="2">
        <f>IFERROR(__xludf.DUMMYFUNCTION("""COMPUTED_VALUE"""),9.388468466E9)</f>
        <v>9388468466</v>
      </c>
      <c r="F414" s="2" t="str">
        <f>IFERROR(__xludf.DUMMYFUNCTION("""COMPUTED_VALUE"""),"RCEF 23-09-21 Rebidding")</f>
        <v>RCEF 23-09-21 Rebidding</v>
      </c>
      <c r="G414" s="2">
        <f>IFERROR(__xludf.DUMMYFUNCTION("""COMPUTED_VALUE"""),4.0)</f>
        <v>4</v>
      </c>
      <c r="H414" s="2">
        <f>IFERROR(__xludf.DUMMYFUNCTION("""COMPUTED_VALUE"""),19070.0)</f>
        <v>19070</v>
      </c>
      <c r="I414" s="2" t="str">
        <f>IFERROR(__xludf.DUMMYFUNCTION("""COMPUTED_VALUE"""),"KMC5825APRFPV0646")</f>
        <v>KMC5825APRFPV0646</v>
      </c>
      <c r="J414" s="2" t="str">
        <f>IFERROR(__xludf.DUMMYFUNCTION("""COMPUTED_VALUE"""),"RTS100408")</f>
        <v>RTS100408</v>
      </c>
      <c r="K414" s="2" t="str">
        <f>IFERROR(__xludf.DUMMYFUNCTION("""COMPUTED_VALUE"""),"WR-SERIES 789 PH")</f>
        <v>WR-SERIES 789 PH</v>
      </c>
      <c r="L414" s="2" t="str">
        <f>IFERROR(__xludf.DUMMYFUNCTION("""COMPUTED_VALUE"""),"LSGW1750 RMP 24040701")</f>
        <v>LSGW1750 RMP 24040701</v>
      </c>
      <c r="M414" s="2" t="str">
        <f>IFERROR(__xludf.DUMMYFUNCTION("""COMPUTED_VALUE"""),"WDP40 RMP 24040432")</f>
        <v>WDP40 RMP 24040432</v>
      </c>
      <c r="N414" s="2"/>
      <c r="O414" s="2" t="str">
        <f>IFERROR(__xludf.DUMMYFUNCTION("""COMPUTED_VALUE"""),"Santa Carmen")</f>
        <v>Santa Carmen</v>
      </c>
      <c r="P414" s="2" t="str">
        <f>IFERROR(__xludf.DUMMYFUNCTION("""COMPUTED_VALUE"""),"Dumalag")</f>
        <v>Dumalag</v>
      </c>
      <c r="Q414" s="2" t="str">
        <f>IFERROR(__xludf.DUMMYFUNCTION("""COMPUTED_VALUE"""),"Capiz")</f>
        <v>Capiz</v>
      </c>
      <c r="R414" s="2">
        <f>IFERROR(__xludf.DUMMYFUNCTION("""COMPUTED_VALUE"""),6.0)</f>
        <v>6</v>
      </c>
      <c r="S414" s="2"/>
      <c r="T414" s="2"/>
    </row>
    <row r="415">
      <c r="A415" s="1">
        <f>IFERROR(__xludf.DUMMYFUNCTION("""COMPUTED_VALUE"""),413.0)</f>
        <v>413</v>
      </c>
      <c r="B415" s="2" t="str">
        <f>IFERROR(__xludf.DUMMYFUNCTION("""COMPUTED_VALUE"""),"Aglanot Pinoy Agri Farmers Association (APAFA)")</f>
        <v>Aglanot Pinoy Agri Farmers Association (APAFA)</v>
      </c>
      <c r="C415" s="2" t="str">
        <f>IFERROR(__xludf.DUMMYFUNCTION("""COMPUTED_VALUE"""),"Aglanot, Dumarao, CAPIZ")</f>
        <v>Aglanot, Dumarao, CAPIZ</v>
      </c>
      <c r="D415" s="2" t="str">
        <f>IFERROR(__xludf.DUMMYFUNCTION("""COMPUTED_VALUE"""),"MA. LINA A. ALVAREZ")</f>
        <v>MA. LINA A. ALVAREZ</v>
      </c>
      <c r="E415" s="2">
        <f>IFERROR(__xludf.DUMMYFUNCTION("""COMPUTED_VALUE"""),9.319369156E9)</f>
        <v>9319369156</v>
      </c>
      <c r="F415" s="2" t="str">
        <f>IFERROR(__xludf.DUMMYFUNCTION("""COMPUTED_VALUE"""),"RCEF 23-09-21 Rebidding")</f>
        <v>RCEF 23-09-21 Rebidding</v>
      </c>
      <c r="G415" s="2">
        <f>IFERROR(__xludf.DUMMYFUNCTION("""COMPUTED_VALUE"""),4.0)</f>
        <v>4</v>
      </c>
      <c r="H415" s="2">
        <f>IFERROR(__xludf.DUMMYFUNCTION("""COMPUTED_VALUE"""),19071.0)</f>
        <v>19071</v>
      </c>
      <c r="I415" s="2" t="str">
        <f>IFERROR(__xludf.DUMMYFUNCTION("""COMPUTED_VALUE"""),"KMC5825ARRFPV0582")</f>
        <v>KMC5825ARRFPV0582</v>
      </c>
      <c r="J415" s="2" t="str">
        <f>IFERROR(__xludf.DUMMYFUNCTION("""COMPUTED_VALUE"""),"RTS100484")</f>
        <v>RTS100484</v>
      </c>
      <c r="K415" s="2" t="str">
        <f>IFERROR(__xludf.DUMMYFUNCTION("""COMPUTED_VALUE"""),"WR-SERIES 748 PH")</f>
        <v>WR-SERIES 748 PH</v>
      </c>
      <c r="L415" s="2" t="str">
        <f>IFERROR(__xludf.DUMMYFUNCTION("""COMPUTED_VALUE"""),"LSGW1750 RMP 24040695")</f>
        <v>LSGW1750 RMP 24040695</v>
      </c>
      <c r="M415" s="2" t="str">
        <f>IFERROR(__xludf.DUMMYFUNCTION("""COMPUTED_VALUE"""),"WDP40 RMP 24040421")</f>
        <v>WDP40 RMP 24040421</v>
      </c>
      <c r="N415" s="2"/>
      <c r="O415" s="2" t="str">
        <f>IFERROR(__xludf.DUMMYFUNCTION("""COMPUTED_VALUE"""),"Aglanot")</f>
        <v>Aglanot</v>
      </c>
      <c r="P415" s="2" t="str">
        <f>IFERROR(__xludf.DUMMYFUNCTION("""COMPUTED_VALUE"""),"Dumarao")</f>
        <v>Dumarao</v>
      </c>
      <c r="Q415" s="2" t="str">
        <f>IFERROR(__xludf.DUMMYFUNCTION("""COMPUTED_VALUE"""),"Capiz")</f>
        <v>Capiz</v>
      </c>
      <c r="R415" s="2">
        <f>IFERROR(__xludf.DUMMYFUNCTION("""COMPUTED_VALUE"""),6.0)</f>
        <v>6</v>
      </c>
      <c r="S415" s="2"/>
      <c r="T415" s="2"/>
    </row>
    <row r="416">
      <c r="A416" s="1">
        <f>IFERROR(__xludf.DUMMYFUNCTION("""COMPUTED_VALUE"""),414.0)</f>
        <v>414</v>
      </c>
      <c r="B416" s="2" t="str">
        <f>IFERROR(__xludf.DUMMYFUNCTION("""COMPUTED_VALUE"""),"Astorga Farmers Association")</f>
        <v>Astorga Farmers Association</v>
      </c>
      <c r="C416" s="2" t="str">
        <f>IFERROR(__xludf.DUMMYFUNCTION("""COMPUTED_VALUE"""),"Astorga, Dumarao, CAPIZ")</f>
        <v>Astorga, Dumarao, CAPIZ</v>
      </c>
      <c r="D416" s="2" t="str">
        <f>IFERROR(__xludf.DUMMYFUNCTION("""COMPUTED_VALUE"""),"Roberto E. Marcelino Sr.")</f>
        <v>Roberto E. Marcelino Sr.</v>
      </c>
      <c r="E416" s="2">
        <f>IFERROR(__xludf.DUMMYFUNCTION("""COMPUTED_VALUE"""),9.176888094E9)</f>
        <v>9176888094</v>
      </c>
      <c r="F416" s="2" t="str">
        <f>IFERROR(__xludf.DUMMYFUNCTION("""COMPUTED_VALUE"""),"RCEF 23-09-21 Rebidding")</f>
        <v>RCEF 23-09-21 Rebidding</v>
      </c>
      <c r="G416" s="2">
        <f>IFERROR(__xludf.DUMMYFUNCTION("""COMPUTED_VALUE"""),4.0)</f>
        <v>4</v>
      </c>
      <c r="H416" s="2">
        <f>IFERROR(__xludf.DUMMYFUNCTION("""COMPUTED_VALUE"""),19072.0)</f>
        <v>19072</v>
      </c>
      <c r="I416" s="2" t="str">
        <f>IFERROR(__xludf.DUMMYFUNCTION("""COMPUTED_VALUE"""),"KMC5825AKRFPV0437")</f>
        <v>KMC5825AKRFPV0437</v>
      </c>
      <c r="J416" s="2" t="str">
        <f>IFERROR(__xludf.DUMMYFUNCTION("""COMPUTED_VALUE"""),"RTS100338")</f>
        <v>RTS100338</v>
      </c>
      <c r="K416" s="2" t="str">
        <f>IFERROR(__xludf.DUMMYFUNCTION("""COMPUTED_VALUE"""),"WR-SERIES 804 PH")</f>
        <v>WR-SERIES 804 PH</v>
      </c>
      <c r="L416" s="2" t="str">
        <f>IFERROR(__xludf.DUMMYFUNCTION("""COMPUTED_VALUE"""),"LSGW1750 RMP 24040685")</f>
        <v>LSGW1750 RMP 24040685</v>
      </c>
      <c r="M416" s="2" t="str">
        <f>IFERROR(__xludf.DUMMYFUNCTION("""COMPUTED_VALUE"""),"WDP40 RMP 24040429")</f>
        <v>WDP40 RMP 24040429</v>
      </c>
      <c r="N416" s="2"/>
      <c r="O416" s="2" t="str">
        <f>IFERROR(__xludf.DUMMYFUNCTION("""COMPUTED_VALUE"""),"Astorga")</f>
        <v>Astorga</v>
      </c>
      <c r="P416" s="2" t="str">
        <f>IFERROR(__xludf.DUMMYFUNCTION("""COMPUTED_VALUE"""),"Dumarao")</f>
        <v>Dumarao</v>
      </c>
      <c r="Q416" s="2" t="str">
        <f>IFERROR(__xludf.DUMMYFUNCTION("""COMPUTED_VALUE"""),"Capiz")</f>
        <v>Capiz</v>
      </c>
      <c r="R416" s="2">
        <f>IFERROR(__xludf.DUMMYFUNCTION("""COMPUTED_VALUE"""),6.0)</f>
        <v>6</v>
      </c>
      <c r="S416" s="2"/>
      <c r="T416" s="2"/>
    </row>
    <row r="417">
      <c r="A417" s="1">
        <f>IFERROR(__xludf.DUMMYFUNCTION("""COMPUTED_VALUE"""),415.0)</f>
        <v>415</v>
      </c>
      <c r="B417" s="2" t="str">
        <f>IFERROR(__xludf.DUMMYFUNCTION("""COMPUTED_VALUE"""),"Nagsulang Farmers Association")</f>
        <v>Nagsulang Farmers Association</v>
      </c>
      <c r="C417" s="2" t="str">
        <f>IFERROR(__xludf.DUMMYFUNCTION("""COMPUTED_VALUE"""),"Nagsulang, Dumarao, CAPIZ")</f>
        <v>Nagsulang, Dumarao, CAPIZ</v>
      </c>
      <c r="D417" s="2" t="str">
        <f>IFERROR(__xludf.DUMMYFUNCTION("""COMPUTED_VALUE"""),"Thelso V. Barrera")</f>
        <v>Thelso V. Barrera</v>
      </c>
      <c r="E417" s="2" t="str">
        <f>IFERROR(__xludf.DUMMYFUNCTION("""COMPUTED_VALUE"""),"0955-430-0391 / 0997-637-7468")</f>
        <v>0955-430-0391 / 0997-637-7468</v>
      </c>
      <c r="F417" s="2" t="str">
        <f>IFERROR(__xludf.DUMMYFUNCTION("""COMPUTED_VALUE"""),"RCEF 23-09-21 Rebidding")</f>
        <v>RCEF 23-09-21 Rebidding</v>
      </c>
      <c r="G417" s="2">
        <f>IFERROR(__xludf.DUMMYFUNCTION("""COMPUTED_VALUE"""),4.0)</f>
        <v>4</v>
      </c>
      <c r="H417" s="2">
        <f>IFERROR(__xludf.DUMMYFUNCTION("""COMPUTED_VALUE"""),19073.0)</f>
        <v>19073</v>
      </c>
      <c r="I417" s="2" t="str">
        <f>IFERROR(__xludf.DUMMYFUNCTION("""COMPUTED_VALUE"""),"KMC5825AARFPV0475")</f>
        <v>KMC5825AARFPV0475</v>
      </c>
      <c r="J417" s="2" t="str">
        <f>IFERROR(__xludf.DUMMYFUNCTION("""COMPUTED_VALUE"""),"RTS100388")</f>
        <v>RTS100388</v>
      </c>
      <c r="K417" s="2" t="str">
        <f>IFERROR(__xludf.DUMMYFUNCTION("""COMPUTED_VALUE"""),"WR-SERIES 744 PH")</f>
        <v>WR-SERIES 744 PH</v>
      </c>
      <c r="L417" s="2" t="str">
        <f>IFERROR(__xludf.DUMMYFUNCTION("""COMPUTED_VALUE"""),"LSGW1750 RMP 24040716")</f>
        <v>LSGW1750 RMP 24040716</v>
      </c>
      <c r="M417" s="2" t="str">
        <f>IFERROR(__xludf.DUMMYFUNCTION("""COMPUTED_VALUE"""),"WDP40 RMP 24040427")</f>
        <v>WDP40 RMP 24040427</v>
      </c>
      <c r="N417" s="2"/>
      <c r="O417" s="2" t="str">
        <f>IFERROR(__xludf.DUMMYFUNCTION("""COMPUTED_VALUE"""),"Nagsulang")</f>
        <v>Nagsulang</v>
      </c>
      <c r="P417" s="2" t="str">
        <f>IFERROR(__xludf.DUMMYFUNCTION("""COMPUTED_VALUE"""),"Dumarao")</f>
        <v>Dumarao</v>
      </c>
      <c r="Q417" s="2" t="str">
        <f>IFERROR(__xludf.DUMMYFUNCTION("""COMPUTED_VALUE"""),"Capiz")</f>
        <v>Capiz</v>
      </c>
      <c r="R417" s="2">
        <f>IFERROR(__xludf.DUMMYFUNCTION("""COMPUTED_VALUE"""),6.0)</f>
        <v>6</v>
      </c>
      <c r="S417" s="2"/>
      <c r="T417" s="2"/>
    </row>
    <row r="418">
      <c r="A418" s="1">
        <f>IFERROR(__xludf.DUMMYFUNCTION("""COMPUTED_VALUE"""),416.0)</f>
        <v>416</v>
      </c>
      <c r="B418" s="2" t="str">
        <f>IFERROR(__xludf.DUMMYFUNCTION("""COMPUTED_VALUE"""),"Cabalbat Irrigators’ Association, Inc.")</f>
        <v>Cabalbat Irrigators’ Association, Inc.</v>
      </c>
      <c r="C418" s="2" t="str">
        <f>IFERROR(__xludf.DUMMYFUNCTION("""COMPUTED_VALUE"""),"Cala-agus, Mambusao, CAPIZ")</f>
        <v>Cala-agus, Mambusao, CAPIZ</v>
      </c>
      <c r="D418" s="2" t="str">
        <f>IFERROR(__xludf.DUMMYFUNCTION("""COMPUTED_VALUE"""),"ANGELO G. PESTAÑO")</f>
        <v>ANGELO G. PESTAÑO</v>
      </c>
      <c r="E418" s="2">
        <f>IFERROR(__xludf.DUMMYFUNCTION("""COMPUTED_VALUE"""),9.483457091E9)</f>
        <v>9483457091</v>
      </c>
      <c r="F418" s="2" t="str">
        <f>IFERROR(__xludf.DUMMYFUNCTION("""COMPUTED_VALUE"""),"RCEF 23-09-21 Rebidding")</f>
        <v>RCEF 23-09-21 Rebidding</v>
      </c>
      <c r="G418" s="2">
        <f>IFERROR(__xludf.DUMMYFUNCTION("""COMPUTED_VALUE"""),4.0)</f>
        <v>4</v>
      </c>
      <c r="H418" s="2">
        <f>IFERROR(__xludf.DUMMYFUNCTION("""COMPUTED_VALUE"""),19074.0)</f>
        <v>19074</v>
      </c>
      <c r="I418" s="2" t="str">
        <f>IFERROR(__xludf.DUMMYFUNCTION("""COMPUTED_VALUE"""),"KMC5825AVRFPV0619")</f>
        <v>KMC5825AVRFPV0619</v>
      </c>
      <c r="J418" s="2" t="str">
        <f>IFERROR(__xludf.DUMMYFUNCTION("""COMPUTED_VALUE"""),"RTS100584")</f>
        <v>RTS100584</v>
      </c>
      <c r="K418" s="2" t="str">
        <f>IFERROR(__xludf.DUMMYFUNCTION("""COMPUTED_VALUE"""),"WR-SERIES 874 PH")</f>
        <v>WR-SERIES 874 PH</v>
      </c>
      <c r="L418" s="2" t="str">
        <f>IFERROR(__xludf.DUMMYFUNCTION("""COMPUTED_VALUE"""),"LSGW1750 RMP 24040714")</f>
        <v>LSGW1750 RMP 24040714</v>
      </c>
      <c r="M418" s="2" t="str">
        <f>IFERROR(__xludf.DUMMYFUNCTION("""COMPUTED_VALUE"""),"WDP40 RMP 24040428")</f>
        <v>WDP40 RMP 24040428</v>
      </c>
      <c r="N418" s="2"/>
      <c r="O418" s="2" t="str">
        <f>IFERROR(__xludf.DUMMYFUNCTION("""COMPUTED_VALUE"""),"Cala-Agus")</f>
        <v>Cala-Agus</v>
      </c>
      <c r="P418" s="2" t="str">
        <f>IFERROR(__xludf.DUMMYFUNCTION("""COMPUTED_VALUE"""),"Mambusao")</f>
        <v>Mambusao</v>
      </c>
      <c r="Q418" s="2" t="str">
        <f>IFERROR(__xludf.DUMMYFUNCTION("""COMPUTED_VALUE"""),"Capiz")</f>
        <v>Capiz</v>
      </c>
      <c r="R418" s="2">
        <f>IFERROR(__xludf.DUMMYFUNCTION("""COMPUTED_VALUE"""),6.0)</f>
        <v>6</v>
      </c>
      <c r="S418" s="2"/>
      <c r="T418" s="2"/>
    </row>
    <row r="419">
      <c r="A419" s="1">
        <f>IFERROR(__xludf.DUMMYFUNCTION("""COMPUTED_VALUE"""),417.0)</f>
        <v>417</v>
      </c>
      <c r="B419" s="2" t="str">
        <f>IFERROR(__xludf.DUMMYFUNCTION("""COMPUTED_VALUE"""),"Balucuan Farmers Association")</f>
        <v>Balucuan Farmers Association</v>
      </c>
      <c r="C419" s="2" t="str">
        <f>IFERROR(__xludf.DUMMYFUNCTION("""COMPUTED_VALUE"""),"Balucuan, Sigma, CAPIZ")</f>
        <v>Balucuan, Sigma, CAPIZ</v>
      </c>
      <c r="D419" s="2" t="str">
        <f>IFERROR(__xludf.DUMMYFUNCTION("""COMPUTED_VALUE"""),"Josephine M. Jago")</f>
        <v>Josephine M. Jago</v>
      </c>
      <c r="E419" s="2">
        <f>IFERROR(__xludf.DUMMYFUNCTION("""COMPUTED_VALUE"""),9.083946493E9)</f>
        <v>9083946493</v>
      </c>
      <c r="F419" s="2" t="str">
        <f>IFERROR(__xludf.DUMMYFUNCTION("""COMPUTED_VALUE"""),"RCEF 23-09-21 Rebidding")</f>
        <v>RCEF 23-09-21 Rebidding</v>
      </c>
      <c r="G419" s="2">
        <f>IFERROR(__xludf.DUMMYFUNCTION("""COMPUTED_VALUE"""),4.0)</f>
        <v>4</v>
      </c>
      <c r="H419" s="2">
        <f>IFERROR(__xludf.DUMMYFUNCTION("""COMPUTED_VALUE"""),19075.0)</f>
        <v>19075</v>
      </c>
      <c r="I419" s="2" t="str">
        <f>IFERROR(__xludf.DUMMYFUNCTION("""COMPUTED_VALUE"""),"KMC5825APRFPV0632")</f>
        <v>KMC5825APRFPV0632</v>
      </c>
      <c r="J419" s="2" t="str">
        <f>IFERROR(__xludf.DUMMYFUNCTION("""COMPUTED_VALUE"""),"RTS100513")</f>
        <v>RTS100513</v>
      </c>
      <c r="K419" s="2" t="str">
        <f>IFERROR(__xludf.DUMMYFUNCTION("""COMPUTED_VALUE"""),"WR-SERIES 859 PH")</f>
        <v>WR-SERIES 859 PH</v>
      </c>
      <c r="L419" s="2" t="str">
        <f>IFERROR(__xludf.DUMMYFUNCTION("""COMPUTED_VALUE"""),"LSGW1750 RMP 24040677")</f>
        <v>LSGW1750 RMP 24040677</v>
      </c>
      <c r="M419" s="2" t="str">
        <f>IFERROR(__xludf.DUMMYFUNCTION("""COMPUTED_VALUE"""),"WDP40 RMP 24040454")</f>
        <v>WDP40 RMP 24040454</v>
      </c>
      <c r="N419" s="2"/>
      <c r="O419" s="2" t="str">
        <f>IFERROR(__xludf.DUMMYFUNCTION("""COMPUTED_VALUE"""),"Balucuan")</f>
        <v>Balucuan</v>
      </c>
      <c r="P419" s="2" t="str">
        <f>IFERROR(__xludf.DUMMYFUNCTION("""COMPUTED_VALUE"""),"Sigma")</f>
        <v>Sigma</v>
      </c>
      <c r="Q419" s="2" t="str">
        <f>IFERROR(__xludf.DUMMYFUNCTION("""COMPUTED_VALUE"""),"Capiz")</f>
        <v>Capiz</v>
      </c>
      <c r="R419" s="2">
        <f>IFERROR(__xludf.DUMMYFUNCTION("""COMPUTED_VALUE"""),6.0)</f>
        <v>6</v>
      </c>
      <c r="S419" s="2"/>
      <c r="T419" s="2"/>
    </row>
    <row r="420">
      <c r="A420" s="1">
        <f>IFERROR(__xludf.DUMMYFUNCTION("""COMPUTED_VALUE"""),418.0)</f>
        <v>418</v>
      </c>
      <c r="B420" s="2" t="str">
        <f>IFERROR(__xludf.DUMMYFUNCTION("""COMPUTED_VALUE"""),"Oyungan Tacas Irrigators Association")</f>
        <v>Oyungan Tacas Irrigators Association</v>
      </c>
      <c r="C420" s="2" t="str">
        <f>IFERROR(__xludf.DUMMYFUNCTION("""COMPUTED_VALUE"""),"Oyungan, Miagao, ILOILO")</f>
        <v>Oyungan, Miagao, ILOILO</v>
      </c>
      <c r="D420" s="2" t="str">
        <f>IFERROR(__xludf.DUMMYFUNCTION("""COMPUTED_VALUE"""),"Jose N. Mollenido")</f>
        <v>Jose N. Mollenido</v>
      </c>
      <c r="E420" s="2">
        <f>IFERROR(__xludf.DUMMYFUNCTION("""COMPUTED_VALUE"""),9.093537879E9)</f>
        <v>9093537879</v>
      </c>
      <c r="F420" s="2" t="str">
        <f>IFERROR(__xludf.DUMMYFUNCTION("""COMPUTED_VALUE"""),"RCEF 23-09-21 Rebidding")</f>
        <v>RCEF 23-09-21 Rebidding</v>
      </c>
      <c r="G420" s="2">
        <f>IFERROR(__xludf.DUMMYFUNCTION("""COMPUTED_VALUE"""),4.0)</f>
        <v>4</v>
      </c>
      <c r="H420" s="2">
        <f>IFERROR(__xludf.DUMMYFUNCTION("""COMPUTED_VALUE"""),19076.0)</f>
        <v>19076</v>
      </c>
      <c r="I420" s="2" t="str">
        <f>IFERROR(__xludf.DUMMYFUNCTION("""COMPUTED_VALUE"""),"KMC5825 ALRFPV0624")</f>
        <v>KMC5825 ALRFPV0624</v>
      </c>
      <c r="J420" s="2" t="str">
        <f>IFERROR(__xludf.DUMMYFUNCTION("""COMPUTED_VALUE"""),"RTS 100523")</f>
        <v>RTS 100523</v>
      </c>
      <c r="K420" s="2" t="str">
        <f>IFERROR(__xludf.DUMMYFUNCTION("""COMPUTED_VALUE"""),"R-SERIES 413 PH")</f>
        <v>R-SERIES 413 PH</v>
      </c>
      <c r="L420" s="2" t="str">
        <f>IFERROR(__xludf.DUMMYFUNCTION("""COMPUTED_VALUE"""),"LSGW1750 RMP 24020508")</f>
        <v>LSGW1750 RMP 24020508</v>
      </c>
      <c r="M420" s="2" t="str">
        <f>IFERROR(__xludf.DUMMYFUNCTION("""COMPUTED_VALUE"""),"WDP40 RMP 24030393")</f>
        <v>WDP40 RMP 24030393</v>
      </c>
      <c r="N420" s="2"/>
      <c r="O420" s="2" t="str">
        <f>IFERROR(__xludf.DUMMYFUNCTION("""COMPUTED_VALUE"""),"Oyungan")</f>
        <v>Oyungan</v>
      </c>
      <c r="P420" s="2" t="str">
        <f>IFERROR(__xludf.DUMMYFUNCTION("""COMPUTED_VALUE"""),"Miagao")</f>
        <v>Miagao</v>
      </c>
      <c r="Q420" s="2" t="str">
        <f>IFERROR(__xludf.DUMMYFUNCTION("""COMPUTED_VALUE"""),"Iloilo")</f>
        <v>Iloilo</v>
      </c>
      <c r="R420" s="2">
        <f>IFERROR(__xludf.DUMMYFUNCTION("""COMPUTED_VALUE"""),6.0)</f>
        <v>6</v>
      </c>
      <c r="S420" s="2"/>
      <c r="T420" s="2"/>
    </row>
    <row r="421">
      <c r="A421" s="1">
        <f>IFERROR(__xludf.DUMMYFUNCTION("""COMPUTED_VALUE"""),419.0)</f>
        <v>419</v>
      </c>
      <c r="B421" s="2" t="str">
        <f>IFERROR(__xludf.DUMMYFUNCTION("""COMPUTED_VALUE"""),"STTAB IRRIGATORS' ASSOCIATION, INC.")</f>
        <v>STTAB IRRIGATORS' ASSOCIATION, INC.</v>
      </c>
      <c r="C421" s="2" t="str">
        <f>IFERROR(__xludf.DUMMYFUNCTION("""COMPUTED_VALUE"""),"Santa Monica, Oton, ILOILO")</f>
        <v>Santa Monica, Oton, ILOILO</v>
      </c>
      <c r="D421" s="2" t="str">
        <f>IFERROR(__xludf.DUMMYFUNCTION("""COMPUTED_VALUE"""),"Arcenio Salupon")</f>
        <v>Arcenio Salupon</v>
      </c>
      <c r="E421" s="2" t="str">
        <f>IFERROR(__xludf.DUMMYFUNCTION("""COMPUTED_VALUE"""),"0912 813 7331/ 0928 763 8023")</f>
        <v>0912 813 7331/ 0928 763 8023</v>
      </c>
      <c r="F421" s="2" t="str">
        <f>IFERROR(__xludf.DUMMYFUNCTION("""COMPUTED_VALUE"""),"RCEF 23-09-21 Rebidding")</f>
        <v>RCEF 23-09-21 Rebidding</v>
      </c>
      <c r="G421" s="2">
        <f>IFERROR(__xludf.DUMMYFUNCTION("""COMPUTED_VALUE"""),4.0)</f>
        <v>4</v>
      </c>
      <c r="H421" s="2">
        <f>IFERROR(__xludf.DUMMYFUNCTION("""COMPUTED_VALUE"""),19077.0)</f>
        <v>19077</v>
      </c>
      <c r="I421" s="2" t="str">
        <f>IFERROR(__xludf.DUMMYFUNCTION("""COMPUTED_VALUE"""),"KMC5825 AHRFPV0317")</f>
        <v>KMC5825 AHRFPV0317</v>
      </c>
      <c r="J421" s="2" t="str">
        <f>IFERROR(__xludf.DUMMYFUNCTION("""COMPUTED_VALUE"""),"RTS 100213")</f>
        <v>RTS 100213</v>
      </c>
      <c r="K421" s="2" t="str">
        <f>IFERROR(__xludf.DUMMYFUNCTION("""COMPUTED_VALUE"""),"R-SERIES 433 PH")</f>
        <v>R-SERIES 433 PH</v>
      </c>
      <c r="L421" s="2" t="str">
        <f>IFERROR(__xludf.DUMMYFUNCTION("""COMPUTED_VALUE"""),"LSGW1750 RMP 24020506")</f>
        <v>LSGW1750 RMP 24020506</v>
      </c>
      <c r="M421" s="2" t="str">
        <f>IFERROR(__xludf.DUMMYFUNCTION("""COMPUTED_VALUE"""),"WDP40 RMP 24030337")</f>
        <v>WDP40 RMP 24030337</v>
      </c>
      <c r="N421" s="2"/>
      <c r="O421" s="2" t="str">
        <f>IFERROR(__xludf.DUMMYFUNCTION("""COMPUTED_VALUE"""),"Santa Monica")</f>
        <v>Santa Monica</v>
      </c>
      <c r="P421" s="2" t="str">
        <f>IFERROR(__xludf.DUMMYFUNCTION("""COMPUTED_VALUE"""),"Oton")</f>
        <v>Oton</v>
      </c>
      <c r="Q421" s="2" t="str">
        <f>IFERROR(__xludf.DUMMYFUNCTION("""COMPUTED_VALUE"""),"Iloilo")</f>
        <v>Iloilo</v>
      </c>
      <c r="R421" s="2">
        <f>IFERROR(__xludf.DUMMYFUNCTION("""COMPUTED_VALUE"""),6.0)</f>
        <v>6</v>
      </c>
      <c r="S421" s="2"/>
      <c r="T421" s="2"/>
    </row>
    <row r="422">
      <c r="A422" s="1">
        <f>IFERROR(__xludf.DUMMYFUNCTION("""COMPUTED_VALUE"""),420.0)</f>
        <v>420</v>
      </c>
      <c r="B422" s="2" t="str">
        <f>IFERROR(__xludf.DUMMYFUNCTION("""COMPUTED_VALUE"""),"Cordova Sur Farmers Association")</f>
        <v>Cordova Sur Farmers Association</v>
      </c>
      <c r="C422" s="2" t="str">
        <f>IFERROR(__xludf.DUMMYFUNCTION("""COMPUTED_VALUE"""),"Cordova Sur, Tigbauan, ILOILO")</f>
        <v>Cordova Sur, Tigbauan, ILOILO</v>
      </c>
      <c r="D422" s="2" t="str">
        <f>IFERROR(__xludf.DUMMYFUNCTION("""COMPUTED_VALUE"""),"Reynaldo T. Cansancio")</f>
        <v>Reynaldo T. Cansancio</v>
      </c>
      <c r="E422" s="2" t="str">
        <f>IFERROR(__xludf.DUMMYFUNCTION("""COMPUTED_VALUE"""),"0956 661 3869")</f>
        <v>0956 661 3869</v>
      </c>
      <c r="F422" s="2" t="str">
        <f>IFERROR(__xludf.DUMMYFUNCTION("""COMPUTED_VALUE"""),"RCEF 23-09-21 Rebidding")</f>
        <v>RCEF 23-09-21 Rebidding</v>
      </c>
      <c r="G422" s="2">
        <f>IFERROR(__xludf.DUMMYFUNCTION("""COMPUTED_VALUE"""),4.0)</f>
        <v>4</v>
      </c>
      <c r="H422" s="2">
        <f>IFERROR(__xludf.DUMMYFUNCTION("""COMPUTED_VALUE"""),19078.0)</f>
        <v>19078</v>
      </c>
      <c r="I422" s="2" t="str">
        <f>IFERROR(__xludf.DUMMYFUNCTION("""COMPUTED_VALUE"""),"KMC5825 AJRFPV0617")</f>
        <v>KMC5825 AJRFPV0617</v>
      </c>
      <c r="J422" s="2" t="str">
        <f>IFERROR(__xludf.DUMMYFUNCTION("""COMPUTED_VALUE"""),"RTS 100407")</f>
        <v>RTS 100407</v>
      </c>
      <c r="K422" s="2" t="str">
        <f>IFERROR(__xludf.DUMMYFUNCTION("""COMPUTED_VALUE"""),"R-SERIES 444 PH")</f>
        <v>R-SERIES 444 PH</v>
      </c>
      <c r="L422" s="2" t="str">
        <f>IFERROR(__xludf.DUMMYFUNCTION("""COMPUTED_VALUE"""),"LSGW1750 RMP 24020472")</f>
        <v>LSGW1750 RMP 24020472</v>
      </c>
      <c r="M422" s="2" t="str">
        <f>IFERROR(__xludf.DUMMYFUNCTION("""COMPUTED_VALUE"""),"WDP40 RMP 24030966")</f>
        <v>WDP40 RMP 24030966</v>
      </c>
      <c r="N422" s="2"/>
      <c r="O422" s="2" t="str">
        <f>IFERROR(__xludf.DUMMYFUNCTION("""COMPUTED_VALUE"""),"Cordova Sur")</f>
        <v>Cordova Sur</v>
      </c>
      <c r="P422" s="2" t="str">
        <f>IFERROR(__xludf.DUMMYFUNCTION("""COMPUTED_VALUE"""),"Tigbauan")</f>
        <v>Tigbauan</v>
      </c>
      <c r="Q422" s="2" t="str">
        <f>IFERROR(__xludf.DUMMYFUNCTION("""COMPUTED_VALUE"""),"Iloilo")</f>
        <v>Iloilo</v>
      </c>
      <c r="R422" s="2">
        <f>IFERROR(__xludf.DUMMYFUNCTION("""COMPUTED_VALUE"""),6.0)</f>
        <v>6</v>
      </c>
      <c r="S422" s="2"/>
      <c r="T422" s="2"/>
    </row>
    <row r="423">
      <c r="A423" s="1">
        <f>IFERROR(__xludf.DUMMYFUNCTION("""COMPUTED_VALUE"""),421.0)</f>
        <v>421</v>
      </c>
      <c r="B423" s="2" t="str">
        <f>IFERROR(__xludf.DUMMYFUNCTION("""COMPUTED_VALUE"""),"Dalid Farmers Association")</f>
        <v>Dalid Farmers Association</v>
      </c>
      <c r="C423" s="2" t="str">
        <f>IFERROR(__xludf.DUMMYFUNCTION("""COMPUTED_VALUE"""),"Dalid, Alimodian, ILOILO")</f>
        <v>Dalid, Alimodian, ILOILO</v>
      </c>
      <c r="D423" s="2" t="str">
        <f>IFERROR(__xludf.DUMMYFUNCTION("""COMPUTED_VALUE"""),"Nida Andicoy")</f>
        <v>Nida Andicoy</v>
      </c>
      <c r="E423" s="2">
        <f>IFERROR(__xludf.DUMMYFUNCTION("""COMPUTED_VALUE"""),9.056654724E9)</f>
        <v>9056654724</v>
      </c>
      <c r="F423" s="2" t="str">
        <f>IFERROR(__xludf.DUMMYFUNCTION("""COMPUTED_VALUE"""),"RCEF 23-09-21 Rebidding")</f>
        <v>RCEF 23-09-21 Rebidding</v>
      </c>
      <c r="G423" s="2">
        <f>IFERROR(__xludf.DUMMYFUNCTION("""COMPUTED_VALUE"""),4.0)</f>
        <v>4</v>
      </c>
      <c r="H423" s="2">
        <f>IFERROR(__xludf.DUMMYFUNCTION("""COMPUTED_VALUE"""),19079.0)</f>
        <v>19079</v>
      </c>
      <c r="I423" s="2" t="str">
        <f>IFERROR(__xludf.DUMMYFUNCTION("""COMPUTED_VALUE"""),"KMC5825 AERFPV0593")</f>
        <v>KMC5825 AERFPV0593</v>
      </c>
      <c r="J423" s="2" t="str">
        <f>IFERROR(__xludf.DUMMYFUNCTION("""COMPUTED_VALUE"""),"RTS 100503")</f>
        <v>RTS 100503</v>
      </c>
      <c r="K423" s="2" t="str">
        <f>IFERROR(__xludf.DUMMYFUNCTION("""COMPUTED_VALUE"""),"R-SERIES 447 PH")</f>
        <v>R-SERIES 447 PH</v>
      </c>
      <c r="L423" s="2" t="str">
        <f>IFERROR(__xludf.DUMMYFUNCTION("""COMPUTED_VALUE"""),"LSGW1750 RMP 24020464")</f>
        <v>LSGW1750 RMP 24020464</v>
      </c>
      <c r="M423" s="2" t="str">
        <f>IFERROR(__xludf.DUMMYFUNCTION("""COMPUTED_VALUE"""),"WDP40 RMP 24030343")</f>
        <v>WDP40 RMP 24030343</v>
      </c>
      <c r="N423" s="2"/>
      <c r="O423" s="2" t="str">
        <f>IFERROR(__xludf.DUMMYFUNCTION("""COMPUTED_VALUE"""),"Dalid")</f>
        <v>Dalid</v>
      </c>
      <c r="P423" s="2" t="str">
        <f>IFERROR(__xludf.DUMMYFUNCTION("""COMPUTED_VALUE"""),"Alimodian")</f>
        <v>Alimodian</v>
      </c>
      <c r="Q423" s="2" t="str">
        <f>IFERROR(__xludf.DUMMYFUNCTION("""COMPUTED_VALUE"""),"Iloilo")</f>
        <v>Iloilo</v>
      </c>
      <c r="R423" s="2">
        <f>IFERROR(__xludf.DUMMYFUNCTION("""COMPUTED_VALUE"""),6.0)</f>
        <v>6</v>
      </c>
      <c r="S423" s="2"/>
      <c r="T423" s="2"/>
    </row>
    <row r="424">
      <c r="A424" s="1">
        <f>IFERROR(__xludf.DUMMYFUNCTION("""COMPUTED_VALUE"""),422.0)</f>
        <v>422</v>
      </c>
      <c r="B424" s="2" t="str">
        <f>IFERROR(__xludf.DUMMYFUNCTION("""COMPUTED_VALUE"""),"Buntatala Farmers &amp; Farm Worker Farmers Association")</f>
        <v>Buntatala Farmers &amp; Farm Worker Farmers Association</v>
      </c>
      <c r="C424" s="2" t="str">
        <f>IFERROR(__xludf.DUMMYFUNCTION("""COMPUTED_VALUE"""),"Buntatala, Leganes, ILOILO")</f>
        <v>Buntatala, Leganes, ILOILO</v>
      </c>
      <c r="D424" s="2" t="str">
        <f>IFERROR(__xludf.DUMMYFUNCTION("""COMPUTED_VALUE"""),"Nilo G. Jontarciego")</f>
        <v>Nilo G. Jontarciego</v>
      </c>
      <c r="E424" s="2" t="str">
        <f>IFERROR(__xludf.DUMMYFUNCTION("""COMPUTED_VALUE"""),"0929 102 9216")</f>
        <v>0929 102 9216</v>
      </c>
      <c r="F424" s="2" t="str">
        <f>IFERROR(__xludf.DUMMYFUNCTION("""COMPUTED_VALUE"""),"RCEF 23-09-21 Rebidding")</f>
        <v>RCEF 23-09-21 Rebidding</v>
      </c>
      <c r="G424" s="2">
        <f>IFERROR(__xludf.DUMMYFUNCTION("""COMPUTED_VALUE"""),4.0)</f>
        <v>4</v>
      </c>
      <c r="H424" s="2">
        <f>IFERROR(__xludf.DUMMYFUNCTION("""COMPUTED_VALUE"""),19080.0)</f>
        <v>19080</v>
      </c>
      <c r="I424" s="2" t="str">
        <f>IFERROR(__xludf.DUMMYFUNCTION("""COMPUTED_VALUE"""),"KMC5825 AKRFPV0535")</f>
        <v>KMC5825 AKRFPV0535</v>
      </c>
      <c r="J424" s="2" t="str">
        <f>IFERROR(__xludf.DUMMYFUNCTION("""COMPUTED_VALUE"""),"RTS 100379")</f>
        <v>RTS 100379</v>
      </c>
      <c r="K424" s="2" t="str">
        <f>IFERROR(__xludf.DUMMYFUNCTION("""COMPUTED_VALUE"""),"R-SERIES 448 PH")</f>
        <v>R-SERIES 448 PH</v>
      </c>
      <c r="L424" s="2" t="str">
        <f>IFERROR(__xludf.DUMMYFUNCTION("""COMPUTED_VALUE"""),"LSGW1750 RMP 24020512")</f>
        <v>LSGW1750 RMP 24020512</v>
      </c>
      <c r="M424" s="2" t="str">
        <f>IFERROR(__xludf.DUMMYFUNCTION("""COMPUTED_VALUE"""),"WDP40 RMP 24030346")</f>
        <v>WDP40 RMP 24030346</v>
      </c>
      <c r="N424" s="2"/>
      <c r="O424" s="2" t="str">
        <f>IFERROR(__xludf.DUMMYFUNCTION("""COMPUTED_VALUE"""),"Buntatala")</f>
        <v>Buntatala</v>
      </c>
      <c r="P424" s="2" t="str">
        <f>IFERROR(__xludf.DUMMYFUNCTION("""COMPUTED_VALUE"""),"Leganes")</f>
        <v>Leganes</v>
      </c>
      <c r="Q424" s="2" t="str">
        <f>IFERROR(__xludf.DUMMYFUNCTION("""COMPUTED_VALUE"""),"Iloilo")</f>
        <v>Iloilo</v>
      </c>
      <c r="R424" s="2">
        <f>IFERROR(__xludf.DUMMYFUNCTION("""COMPUTED_VALUE"""),6.0)</f>
        <v>6</v>
      </c>
      <c r="S424" s="2"/>
      <c r="T424" s="2"/>
    </row>
    <row r="425">
      <c r="A425" s="1">
        <f>IFERROR(__xludf.DUMMYFUNCTION("""COMPUTED_VALUE"""),423.0)</f>
        <v>423</v>
      </c>
      <c r="B425" s="2" t="str">
        <f>IFERROR(__xludf.DUMMYFUNCTION("""COMPUTED_VALUE"""),"Cabilauan Farmers Association")</f>
        <v>Cabilauan Farmers Association</v>
      </c>
      <c r="C425" s="2" t="str">
        <f>IFERROR(__xludf.DUMMYFUNCTION("""COMPUTED_VALUE"""),"Cabilauan, New Lucena, ILOILO")</f>
        <v>Cabilauan, New Lucena, ILOILO</v>
      </c>
      <c r="D425" s="2" t="str">
        <f>IFERROR(__xludf.DUMMYFUNCTION("""COMPUTED_VALUE"""),"Cecilio E. Niego")</f>
        <v>Cecilio E. Niego</v>
      </c>
      <c r="E425" s="2" t="str">
        <f>IFERROR(__xludf.DUMMYFUNCTION("""COMPUTED_VALUE"""),"0948 350 5906/ 0966 163 9562")</f>
        <v>0948 350 5906/ 0966 163 9562</v>
      </c>
      <c r="F425" s="2" t="str">
        <f>IFERROR(__xludf.DUMMYFUNCTION("""COMPUTED_VALUE"""),"RCEF 23-09-21 Rebidding")</f>
        <v>RCEF 23-09-21 Rebidding</v>
      </c>
      <c r="G425" s="2">
        <f>IFERROR(__xludf.DUMMYFUNCTION("""COMPUTED_VALUE"""),4.0)</f>
        <v>4</v>
      </c>
      <c r="H425" s="2">
        <f>IFERROR(__xludf.DUMMYFUNCTION("""COMPUTED_VALUE"""),19081.0)</f>
        <v>19081</v>
      </c>
      <c r="I425" s="2" t="str">
        <f>IFERROR(__xludf.DUMMYFUNCTION("""COMPUTED_VALUE"""),"KMC5825 ALRFPV0610")</f>
        <v>KMC5825 ALRFPV0610</v>
      </c>
      <c r="J425" s="2" t="str">
        <f>IFERROR(__xludf.DUMMYFUNCTION("""COMPUTED_VALUE"""),"RTS 100587")</f>
        <v>RTS 100587</v>
      </c>
      <c r="K425" s="2" t="str">
        <f>IFERROR(__xludf.DUMMYFUNCTION("""COMPUTED_VALUE"""),"R-SERIES 421 PH")</f>
        <v>R-SERIES 421 PH</v>
      </c>
      <c r="L425" s="2" t="str">
        <f>IFERROR(__xludf.DUMMYFUNCTION("""COMPUTED_VALUE"""),"LSGW1750 RMP 24020467")</f>
        <v>LSGW1750 RMP 24020467</v>
      </c>
      <c r="M425" s="2" t="str">
        <f>IFERROR(__xludf.DUMMYFUNCTION("""COMPUTED_VALUE"""),"WDP40 RMP 24030377")</f>
        <v>WDP40 RMP 24030377</v>
      </c>
      <c r="N425" s="2"/>
      <c r="O425" s="2" t="str">
        <f>IFERROR(__xludf.DUMMYFUNCTION("""COMPUTED_VALUE"""),"Cabilauan")</f>
        <v>Cabilauan</v>
      </c>
      <c r="P425" s="2" t="str">
        <f>IFERROR(__xludf.DUMMYFUNCTION("""COMPUTED_VALUE"""),"New Lucena")</f>
        <v>New Lucena</v>
      </c>
      <c r="Q425" s="2" t="str">
        <f>IFERROR(__xludf.DUMMYFUNCTION("""COMPUTED_VALUE"""),"Iloilo")</f>
        <v>Iloilo</v>
      </c>
      <c r="R425" s="2">
        <f>IFERROR(__xludf.DUMMYFUNCTION("""COMPUTED_VALUE"""),6.0)</f>
        <v>6</v>
      </c>
      <c r="S425" s="2"/>
      <c r="T425" s="2"/>
    </row>
    <row r="426">
      <c r="A426" s="1">
        <f>IFERROR(__xludf.DUMMYFUNCTION("""COMPUTED_VALUE"""),424.0)</f>
        <v>424</v>
      </c>
      <c r="B426" s="2" t="str">
        <f>IFERROR(__xludf.DUMMYFUNCTION("""COMPUTED_VALUE"""),"San Miguel Farmer's Agriculture Cooperative")</f>
        <v>San Miguel Farmer's Agriculture Cooperative</v>
      </c>
      <c r="C426" s="2" t="str">
        <f>IFERROR(__xludf.DUMMYFUNCTION("""COMPUTED_VALUE"""),"Bgy. 8 Pob. (Montano - San Roque), San Miguel, ILOILO")</f>
        <v>Bgy. 8 Pob. (Montano - San Roque), San Miguel, ILOILO</v>
      </c>
      <c r="D426" s="2" t="str">
        <f>IFERROR(__xludf.DUMMYFUNCTION("""COMPUTED_VALUE"""),"Jose Pepe Caoyonan")</f>
        <v>Jose Pepe Caoyonan</v>
      </c>
      <c r="E426" s="2" t="str">
        <f>IFERROR(__xludf.DUMMYFUNCTION("""COMPUTED_VALUE"""),"9212472033/ 09077139009")</f>
        <v>9212472033/ 09077139009</v>
      </c>
      <c r="F426" s="2" t="str">
        <f>IFERROR(__xludf.DUMMYFUNCTION("""COMPUTED_VALUE"""),"RCEF 23-09-21 Rebidding")</f>
        <v>RCEF 23-09-21 Rebidding</v>
      </c>
      <c r="G426" s="2">
        <f>IFERROR(__xludf.DUMMYFUNCTION("""COMPUTED_VALUE"""),4.0)</f>
        <v>4</v>
      </c>
      <c r="H426" s="2">
        <f>IFERROR(__xludf.DUMMYFUNCTION("""COMPUTED_VALUE"""),19082.0)</f>
        <v>19082</v>
      </c>
      <c r="I426" s="2" t="str">
        <f>IFERROR(__xludf.DUMMYFUNCTION("""COMPUTED_VALUE"""),"KMC5825 APRFPV0548")</f>
        <v>KMC5825 APRFPV0548</v>
      </c>
      <c r="J426" s="2" t="str">
        <f>IFERROR(__xludf.DUMMYFUNCTION("""COMPUTED_VALUE"""),"RTS 100455")</f>
        <v>RTS 100455</v>
      </c>
      <c r="K426" s="2" t="str">
        <f>IFERROR(__xludf.DUMMYFUNCTION("""COMPUTED_VALUE"""),"R-SERIES 428 PH")</f>
        <v>R-SERIES 428 PH</v>
      </c>
      <c r="L426" s="2" t="str">
        <f>IFERROR(__xludf.DUMMYFUNCTION("""COMPUTED_VALUE"""),"LSGW1750 RMP 24020473")</f>
        <v>LSGW1750 RMP 24020473</v>
      </c>
      <c r="M426" s="2" t="str">
        <f>IFERROR(__xludf.DUMMYFUNCTION("""COMPUTED_VALUE"""),"WDP40 RMP 24030391")</f>
        <v>WDP40 RMP 24030391</v>
      </c>
      <c r="N426" s="2"/>
      <c r="O426" s="2" t="str">
        <f>IFERROR(__xludf.DUMMYFUNCTION("""COMPUTED_VALUE"""),"Bgy. 8 Pob. (Montano - San Roque)")</f>
        <v>Bgy. 8 Pob. (Montano - San Roque)</v>
      </c>
      <c r="P426" s="2" t="str">
        <f>IFERROR(__xludf.DUMMYFUNCTION("""COMPUTED_VALUE"""),"San Miguel")</f>
        <v>San Miguel</v>
      </c>
      <c r="Q426" s="2" t="str">
        <f>IFERROR(__xludf.DUMMYFUNCTION("""COMPUTED_VALUE"""),"Iloilo")</f>
        <v>Iloilo</v>
      </c>
      <c r="R426" s="2">
        <f>IFERROR(__xludf.DUMMYFUNCTION("""COMPUTED_VALUE"""),6.0)</f>
        <v>6</v>
      </c>
      <c r="S426" s="2"/>
      <c r="T426" s="2"/>
    </row>
    <row r="427">
      <c r="A427" s="1">
        <f>IFERROR(__xludf.DUMMYFUNCTION("""COMPUTED_VALUE"""),425.0)</f>
        <v>425</v>
      </c>
      <c r="B427" s="2" t="str">
        <f>IFERROR(__xludf.DUMMYFUNCTION("""COMPUTED_VALUE"""),"Balibagan Farmers Association")</f>
        <v>Balibagan Farmers Association</v>
      </c>
      <c r="C427" s="2" t="str">
        <f>IFERROR(__xludf.DUMMYFUNCTION("""COMPUTED_VALUE"""),"Balibagan Este, Santa Barbara, ILOILO")</f>
        <v>Balibagan Este, Santa Barbara, ILOILO</v>
      </c>
      <c r="D427" s="2" t="str">
        <f>IFERROR(__xludf.DUMMYFUNCTION("""COMPUTED_VALUE"""),"Flavio S. Somejo")</f>
        <v>Flavio S. Somejo</v>
      </c>
      <c r="E427" s="2">
        <f>IFERROR(__xludf.DUMMYFUNCTION("""COMPUTED_VALUE"""),9.073947899E9)</f>
        <v>9073947899</v>
      </c>
      <c r="F427" s="2" t="str">
        <f>IFERROR(__xludf.DUMMYFUNCTION("""COMPUTED_VALUE"""),"RCEF 23-09-21 Rebidding")</f>
        <v>RCEF 23-09-21 Rebidding</v>
      </c>
      <c r="G427" s="2">
        <f>IFERROR(__xludf.DUMMYFUNCTION("""COMPUTED_VALUE"""),4.0)</f>
        <v>4</v>
      </c>
      <c r="H427" s="2">
        <f>IFERROR(__xludf.DUMMYFUNCTION("""COMPUTED_VALUE"""),19083.0)</f>
        <v>19083</v>
      </c>
      <c r="I427" s="2" t="str">
        <f>IFERROR(__xludf.DUMMYFUNCTION("""COMPUTED_VALUE"""),"KMC5825 ALRFPV0297")</f>
        <v>KMC5825 ALRFPV0297</v>
      </c>
      <c r="J427" s="2" t="str">
        <f>IFERROR(__xludf.DUMMYFUNCTION("""COMPUTED_VALUE"""),"RTS 100105")</f>
        <v>RTS 100105</v>
      </c>
      <c r="K427" s="2" t="str">
        <f>IFERROR(__xludf.DUMMYFUNCTION("""COMPUTED_VALUE"""),"WR-SERIES 725 PH")</f>
        <v>WR-SERIES 725 PH</v>
      </c>
      <c r="L427" s="2" t="str">
        <f>IFERROR(__xludf.DUMMYFUNCTION("""COMPUTED_VALUE"""),"LSGW1750 RMP 24020501")</f>
        <v>LSGW1750 RMP 24020501</v>
      </c>
      <c r="M427" s="2" t="str">
        <f>IFERROR(__xludf.DUMMYFUNCTION("""COMPUTED_VALUE"""),"WDP40 RMP 24030394")</f>
        <v>WDP40 RMP 24030394</v>
      </c>
      <c r="N427" s="2"/>
      <c r="O427" s="2" t="str">
        <f>IFERROR(__xludf.DUMMYFUNCTION("""COMPUTED_VALUE"""),"Balibagan Este")</f>
        <v>Balibagan Este</v>
      </c>
      <c r="P427" s="2" t="str">
        <f>IFERROR(__xludf.DUMMYFUNCTION("""COMPUTED_VALUE"""),"Santa Barbara")</f>
        <v>Santa Barbara</v>
      </c>
      <c r="Q427" s="2" t="str">
        <f>IFERROR(__xludf.DUMMYFUNCTION("""COMPUTED_VALUE"""),"Iloilo")</f>
        <v>Iloilo</v>
      </c>
      <c r="R427" s="2">
        <f>IFERROR(__xludf.DUMMYFUNCTION("""COMPUTED_VALUE"""),6.0)</f>
        <v>6</v>
      </c>
      <c r="S427" s="2"/>
      <c r="T427" s="2"/>
    </row>
    <row r="428">
      <c r="A428" s="1">
        <f>IFERROR(__xludf.DUMMYFUNCTION("""COMPUTED_VALUE"""),426.0)</f>
        <v>426</v>
      </c>
      <c r="B428" s="2" t="str">
        <f>IFERROR(__xludf.DUMMYFUNCTION("""COMPUTED_VALUE"""),"Inagdangan Centro Farmers Association (ICFA)")</f>
        <v>Inagdangan Centro Farmers Association (ICFA)</v>
      </c>
      <c r="C428" s="2" t="str">
        <f>IFERROR(__xludf.DUMMYFUNCTION("""COMPUTED_VALUE"""),"Inagdangan Centro, Zarraga, ILOILO")</f>
        <v>Inagdangan Centro, Zarraga, ILOILO</v>
      </c>
      <c r="D428" s="2" t="str">
        <f>IFERROR(__xludf.DUMMYFUNCTION("""COMPUTED_VALUE"""),"Edwin S. Guino-o")</f>
        <v>Edwin S. Guino-o</v>
      </c>
      <c r="E428" s="2">
        <f>IFERROR(__xludf.DUMMYFUNCTION("""COMPUTED_VALUE"""),9.273584635E9)</f>
        <v>9273584635</v>
      </c>
      <c r="F428" s="2" t="str">
        <f>IFERROR(__xludf.DUMMYFUNCTION("""COMPUTED_VALUE"""),"RCEF 23-09-21 Rebidding")</f>
        <v>RCEF 23-09-21 Rebidding</v>
      </c>
      <c r="G428" s="2">
        <f>IFERROR(__xludf.DUMMYFUNCTION("""COMPUTED_VALUE"""),4.0)</f>
        <v>4</v>
      </c>
      <c r="H428" s="2">
        <f>IFERROR(__xludf.DUMMYFUNCTION("""COMPUTED_VALUE"""),19084.0)</f>
        <v>19084</v>
      </c>
      <c r="I428" s="2" t="str">
        <f>IFERROR(__xludf.DUMMYFUNCTION("""COMPUTED_VALUE"""),"KMC5825 AHRFPV0351")</f>
        <v>KMC5825 AHRFPV0351</v>
      </c>
      <c r="J428" s="2" t="str">
        <f>IFERROR(__xludf.DUMMYFUNCTION("""COMPUTED_VALUE"""),"RTS 100235")</f>
        <v>RTS 100235</v>
      </c>
      <c r="K428" s="2" t="str">
        <f>IFERROR(__xludf.DUMMYFUNCTION("""COMPUTED_VALUE"""),"R-SERIES 427 PH")</f>
        <v>R-SERIES 427 PH</v>
      </c>
      <c r="L428" s="2" t="str">
        <f>IFERROR(__xludf.DUMMYFUNCTION("""COMPUTED_VALUE"""),"LSGW1750 RMP 24020514")</f>
        <v>LSGW1750 RMP 24020514</v>
      </c>
      <c r="M428" s="2" t="str">
        <f>IFERROR(__xludf.DUMMYFUNCTION("""COMPUTED_VALUE"""),"WDP40 RMP 24030390")</f>
        <v>WDP40 RMP 24030390</v>
      </c>
      <c r="N428" s="2"/>
      <c r="O428" s="2" t="str">
        <f>IFERROR(__xludf.DUMMYFUNCTION("""COMPUTED_VALUE"""),"Inagdangan Centro")</f>
        <v>Inagdangan Centro</v>
      </c>
      <c r="P428" s="2" t="str">
        <f>IFERROR(__xludf.DUMMYFUNCTION("""COMPUTED_VALUE"""),"Zarraga")</f>
        <v>Zarraga</v>
      </c>
      <c r="Q428" s="2" t="str">
        <f>IFERROR(__xludf.DUMMYFUNCTION("""COMPUTED_VALUE"""),"Iloilo")</f>
        <v>Iloilo</v>
      </c>
      <c r="R428" s="2">
        <f>IFERROR(__xludf.DUMMYFUNCTION("""COMPUTED_VALUE"""),6.0)</f>
        <v>6</v>
      </c>
      <c r="S428" s="2"/>
      <c r="T428" s="2"/>
    </row>
    <row r="429">
      <c r="A429" s="1">
        <f>IFERROR(__xludf.DUMMYFUNCTION("""COMPUTED_VALUE"""),427.0)</f>
        <v>427</v>
      </c>
      <c r="B429" s="2" t="str">
        <f>IFERROR(__xludf.DUMMYFUNCTION("""COMPUTED_VALUE"""),"Tina Integrated Farmers Association")</f>
        <v>Tina Integrated Farmers Association</v>
      </c>
      <c r="C429" s="2" t="str">
        <f>IFERROR(__xludf.DUMMYFUNCTION("""COMPUTED_VALUE"""),"Tina, Badiangan, ILOILO")</f>
        <v>Tina, Badiangan, ILOILO</v>
      </c>
      <c r="D429" s="2" t="str">
        <f>IFERROR(__xludf.DUMMYFUNCTION("""COMPUTED_VALUE"""),"Gilbert P. Afinadad")</f>
        <v>Gilbert P. Afinadad</v>
      </c>
      <c r="E429" s="2" t="str">
        <f>IFERROR(__xludf.DUMMYFUNCTION("""COMPUTED_VALUE"""),"0909 528 5702")</f>
        <v>0909 528 5702</v>
      </c>
      <c r="F429" s="2" t="str">
        <f>IFERROR(__xludf.DUMMYFUNCTION("""COMPUTED_VALUE"""),"RCEF 23-09-21 Rebidding")</f>
        <v>RCEF 23-09-21 Rebidding</v>
      </c>
      <c r="G429" s="2">
        <f>IFERROR(__xludf.DUMMYFUNCTION("""COMPUTED_VALUE"""),4.0)</f>
        <v>4</v>
      </c>
      <c r="H429" s="2">
        <f>IFERROR(__xludf.DUMMYFUNCTION("""COMPUTED_VALUE"""),19085.0)</f>
        <v>19085</v>
      </c>
      <c r="I429" s="2" t="str">
        <f>IFERROR(__xludf.DUMMYFUNCTION("""COMPUTED_VALUE"""),"KMC5825 ATRFPV0547")</f>
        <v>KMC5825 ATRFPV0547</v>
      </c>
      <c r="J429" s="2" t="str">
        <f>IFERROR(__xludf.DUMMYFUNCTION("""COMPUTED_VALUE"""),"RTS 100458")</f>
        <v>RTS 100458</v>
      </c>
      <c r="K429" s="2" t="str">
        <f>IFERROR(__xludf.DUMMYFUNCTION("""COMPUTED_VALUE"""),"R-SERIES 380 PH")</f>
        <v>R-SERIES 380 PH</v>
      </c>
      <c r="L429" s="2" t="str">
        <f>IFERROR(__xludf.DUMMYFUNCTION("""COMPUTED_VALUE"""),"LSGW1750 RMP 24020500")</f>
        <v>LSGW1750 RMP 24020500</v>
      </c>
      <c r="M429" s="2" t="str">
        <f>IFERROR(__xludf.DUMMYFUNCTION("""COMPUTED_VALUE"""),"WDP40 RMP 24030380")</f>
        <v>WDP40 RMP 24030380</v>
      </c>
      <c r="N429" s="2"/>
      <c r="O429" s="2" t="str">
        <f>IFERROR(__xludf.DUMMYFUNCTION("""COMPUTED_VALUE"""),"Tina")</f>
        <v>Tina</v>
      </c>
      <c r="P429" s="2" t="str">
        <f>IFERROR(__xludf.DUMMYFUNCTION("""COMPUTED_VALUE"""),"Badiangan")</f>
        <v>Badiangan</v>
      </c>
      <c r="Q429" s="2" t="str">
        <f>IFERROR(__xludf.DUMMYFUNCTION("""COMPUTED_VALUE"""),"Iloilo")</f>
        <v>Iloilo</v>
      </c>
      <c r="R429" s="2">
        <f>IFERROR(__xludf.DUMMYFUNCTION("""COMPUTED_VALUE"""),6.0)</f>
        <v>6</v>
      </c>
      <c r="S429" s="2"/>
      <c r="T429" s="2"/>
    </row>
    <row r="430">
      <c r="A430" s="1">
        <f>IFERROR(__xludf.DUMMYFUNCTION("""COMPUTED_VALUE"""),428.0)</f>
        <v>428</v>
      </c>
      <c r="B430" s="2" t="str">
        <f>IFERROR(__xludf.DUMMYFUNCTION("""COMPUTED_VALUE"""),"Cubay Evangelical Farmers Association")</f>
        <v>Cubay Evangelical Farmers Association</v>
      </c>
      <c r="C430" s="2" t="str">
        <f>IFERROR(__xludf.DUMMYFUNCTION("""COMPUTED_VALUE"""),"Poblacion, Bingawan, ILOILO")</f>
        <v>Poblacion, Bingawan, ILOILO</v>
      </c>
      <c r="D430" s="2" t="str">
        <f>IFERROR(__xludf.DUMMYFUNCTION("""COMPUTED_VALUE"""),"Lemuel G. Magnifico")</f>
        <v>Lemuel G. Magnifico</v>
      </c>
      <c r="E430" s="2" t="str">
        <f>IFERROR(__xludf.DUMMYFUNCTION("""COMPUTED_VALUE"""),"0918 760 2724/0905 418 9162")</f>
        <v>0918 760 2724/0905 418 9162</v>
      </c>
      <c r="F430" s="2" t="str">
        <f>IFERROR(__xludf.DUMMYFUNCTION("""COMPUTED_VALUE"""),"RCEF 23-09-21 Rebidding")</f>
        <v>RCEF 23-09-21 Rebidding</v>
      </c>
      <c r="G430" s="2">
        <f>IFERROR(__xludf.DUMMYFUNCTION("""COMPUTED_VALUE"""),4.0)</f>
        <v>4</v>
      </c>
      <c r="H430" s="2">
        <f>IFERROR(__xludf.DUMMYFUNCTION("""COMPUTED_VALUE"""),19086.0)</f>
        <v>19086</v>
      </c>
      <c r="I430" s="2" t="str">
        <f>IFERROR(__xludf.DUMMYFUNCTION("""COMPUTED_VALUE"""),"KMC5825 ACRFPV0580")</f>
        <v>KMC5825 ACRFPV0580</v>
      </c>
      <c r="J430" s="2" t="str">
        <f>IFERROR(__xludf.DUMMYFUNCTION("""COMPUTED_VALUE"""),"RTS 100496")</f>
        <v>RTS 100496</v>
      </c>
      <c r="K430" s="2" t="str">
        <f>IFERROR(__xludf.DUMMYFUNCTION("""COMPUTED_VALUE"""),"R-SERIES 443 PH")</f>
        <v>R-SERIES 443 PH</v>
      </c>
      <c r="L430" s="2" t="str">
        <f>IFERROR(__xludf.DUMMYFUNCTION("""COMPUTED_VALUE"""),"LSGW1750 RMP 24020509")</f>
        <v>LSGW1750 RMP 24020509</v>
      </c>
      <c r="M430" s="2" t="str">
        <f>IFERROR(__xludf.DUMMYFUNCTION("""COMPUTED_VALUE"""),"WDP40 RMP 24030361")</f>
        <v>WDP40 RMP 24030361</v>
      </c>
      <c r="N430" s="2"/>
      <c r="O430" s="2" t="str">
        <f>IFERROR(__xludf.DUMMYFUNCTION("""COMPUTED_VALUE"""),"Poblacion")</f>
        <v>Poblacion</v>
      </c>
      <c r="P430" s="2" t="str">
        <f>IFERROR(__xludf.DUMMYFUNCTION("""COMPUTED_VALUE"""),"Bingawan")</f>
        <v>Bingawan</v>
      </c>
      <c r="Q430" s="2" t="str">
        <f>IFERROR(__xludf.DUMMYFUNCTION("""COMPUTED_VALUE"""),"Iloilo")</f>
        <v>Iloilo</v>
      </c>
      <c r="R430" s="2">
        <f>IFERROR(__xludf.DUMMYFUNCTION("""COMPUTED_VALUE"""),6.0)</f>
        <v>6</v>
      </c>
      <c r="S430" s="2"/>
      <c r="T430" s="2"/>
    </row>
    <row r="431">
      <c r="A431" s="1">
        <f>IFERROR(__xludf.DUMMYFUNCTION("""COMPUTED_VALUE"""),429.0)</f>
        <v>429</v>
      </c>
      <c r="B431" s="2" t="str">
        <f>IFERROR(__xludf.DUMMYFUNCTION("""COMPUTED_VALUE"""),"Guintapagin Agrarian Reform Beneficiaries Multi-Purpose Cooperative")</f>
        <v>Guintapagin Agrarian Reform Beneficiaries Multi-Purpose Cooperative</v>
      </c>
      <c r="C431" s="2" t="str">
        <f>IFERROR(__xludf.DUMMYFUNCTION("""COMPUTED_VALUE"""),"Tapacon, Bingawan, ILOILO")</f>
        <v>Tapacon, Bingawan, ILOILO</v>
      </c>
      <c r="D431" s="2" t="str">
        <f>IFERROR(__xludf.DUMMYFUNCTION("""COMPUTED_VALUE"""),"Mamerta P. Pelagio")</f>
        <v>Mamerta P. Pelagio</v>
      </c>
      <c r="E431" s="2">
        <f>IFERROR(__xludf.DUMMYFUNCTION("""COMPUTED_VALUE"""),9.636249645E9)</f>
        <v>9636249645</v>
      </c>
      <c r="F431" s="2" t="str">
        <f>IFERROR(__xludf.DUMMYFUNCTION("""COMPUTED_VALUE"""),"RCEF 23-09-21 Rebidding")</f>
        <v>RCEF 23-09-21 Rebidding</v>
      </c>
      <c r="G431" s="2">
        <f>IFERROR(__xludf.DUMMYFUNCTION("""COMPUTED_VALUE"""),4.0)</f>
        <v>4</v>
      </c>
      <c r="H431" s="2">
        <f>IFERROR(__xludf.DUMMYFUNCTION("""COMPUTED_VALUE"""),19087.0)</f>
        <v>19087</v>
      </c>
      <c r="I431" s="2" t="str">
        <f>IFERROR(__xludf.DUMMYFUNCTION("""COMPUTED_VALUE"""),"KMC5825 AERFPV0691")</f>
        <v>KMC5825 AERFPV0691</v>
      </c>
      <c r="J431" s="2" t="str">
        <f>IFERROR(__xludf.DUMMYFUNCTION("""COMPUTED_VALUE"""),"RTS 100 600")</f>
        <v>RTS 100 600</v>
      </c>
      <c r="K431" s="2" t="str">
        <f>IFERROR(__xludf.DUMMYFUNCTION("""COMPUTED_VALUE"""),"R-SERIES 440 PH")</f>
        <v>R-SERIES 440 PH</v>
      </c>
      <c r="L431" s="2" t="str">
        <f>IFERROR(__xludf.DUMMYFUNCTION("""COMPUTED_VALUE"""),"LSGW1750 RMP 24020513")</f>
        <v>LSGW1750 RMP 24020513</v>
      </c>
      <c r="M431" s="2" t="str">
        <f>IFERROR(__xludf.DUMMYFUNCTION("""COMPUTED_VALUE"""),"WDP40 RMP 24030339")</f>
        <v>WDP40 RMP 24030339</v>
      </c>
      <c r="N431" s="2"/>
      <c r="O431" s="2" t="str">
        <f>IFERROR(__xludf.DUMMYFUNCTION("""COMPUTED_VALUE"""),"Tapacon")</f>
        <v>Tapacon</v>
      </c>
      <c r="P431" s="2" t="str">
        <f>IFERROR(__xludf.DUMMYFUNCTION("""COMPUTED_VALUE"""),"Bingawan")</f>
        <v>Bingawan</v>
      </c>
      <c r="Q431" s="2" t="str">
        <f>IFERROR(__xludf.DUMMYFUNCTION("""COMPUTED_VALUE"""),"Iloilo")</f>
        <v>Iloilo</v>
      </c>
      <c r="R431" s="2">
        <f>IFERROR(__xludf.DUMMYFUNCTION("""COMPUTED_VALUE"""),6.0)</f>
        <v>6</v>
      </c>
      <c r="S431" s="2"/>
      <c r="T431" s="2"/>
    </row>
    <row r="432">
      <c r="A432" s="1">
        <f>IFERROR(__xludf.DUMMYFUNCTION("""COMPUTED_VALUE"""),430.0)</f>
        <v>430</v>
      </c>
      <c r="B432" s="2" t="str">
        <f>IFERROR(__xludf.DUMMYFUNCTION("""COMPUTED_VALUE"""),"Gaub Farmers Association")</f>
        <v>Gaub Farmers Association</v>
      </c>
      <c r="C432" s="2" t="str">
        <f>IFERROR(__xludf.DUMMYFUNCTION("""COMPUTED_VALUE"""),"Gaub, Cabatuan, ILOILO")</f>
        <v>Gaub, Cabatuan, ILOILO</v>
      </c>
      <c r="D432" s="2" t="str">
        <f>IFERROR(__xludf.DUMMYFUNCTION("""COMPUTED_VALUE"""),"Rosanne A. Paniagua")</f>
        <v>Rosanne A. Paniagua</v>
      </c>
      <c r="E432" s="2">
        <f>IFERROR(__xludf.DUMMYFUNCTION("""COMPUTED_VALUE"""),9.177914376E9)</f>
        <v>9177914376</v>
      </c>
      <c r="F432" s="2" t="str">
        <f>IFERROR(__xludf.DUMMYFUNCTION("""COMPUTED_VALUE"""),"RCEF 23-09-21 Rebidding")</f>
        <v>RCEF 23-09-21 Rebidding</v>
      </c>
      <c r="G432" s="2">
        <f>IFERROR(__xludf.DUMMYFUNCTION("""COMPUTED_VALUE"""),4.0)</f>
        <v>4</v>
      </c>
      <c r="H432" s="2">
        <f>IFERROR(__xludf.DUMMYFUNCTION("""COMPUTED_VALUE"""),19088.0)</f>
        <v>19088</v>
      </c>
      <c r="I432" s="2" t="str">
        <f>IFERROR(__xludf.DUMMYFUNCTION("""COMPUTED_VALUE"""),"KMC5825 AERFPV0304")</f>
        <v>KMC5825 AERFPV0304</v>
      </c>
      <c r="J432" s="2" t="str">
        <f>IFERROR(__xludf.DUMMYFUNCTION("""COMPUTED_VALUE"""),"RTS 100188")</f>
        <v>RTS 100188</v>
      </c>
      <c r="K432" s="2" t="str">
        <f>IFERROR(__xludf.DUMMYFUNCTION("""COMPUTED_VALUE"""),"R-SERIES 426 PH")</f>
        <v>R-SERIES 426 PH</v>
      </c>
      <c r="L432" s="2" t="str">
        <f>IFERROR(__xludf.DUMMYFUNCTION("""COMPUTED_VALUE"""),"LSGW1750 RMP 24040706")</f>
        <v>LSGW1750 RMP 24040706</v>
      </c>
      <c r="M432" s="2" t="str">
        <f>IFERROR(__xludf.DUMMYFUNCTION("""COMPUTED_VALUE"""),"WDP40 RMP 24040411")</f>
        <v>WDP40 RMP 24040411</v>
      </c>
      <c r="N432" s="2"/>
      <c r="O432" s="2" t="str">
        <f>IFERROR(__xludf.DUMMYFUNCTION("""COMPUTED_VALUE"""),"Gaub")</f>
        <v>Gaub</v>
      </c>
      <c r="P432" s="2" t="str">
        <f>IFERROR(__xludf.DUMMYFUNCTION("""COMPUTED_VALUE"""),"Cabatuan")</f>
        <v>Cabatuan</v>
      </c>
      <c r="Q432" s="2" t="str">
        <f>IFERROR(__xludf.DUMMYFUNCTION("""COMPUTED_VALUE"""),"Iloilo")</f>
        <v>Iloilo</v>
      </c>
      <c r="R432" s="2">
        <f>IFERROR(__xludf.DUMMYFUNCTION("""COMPUTED_VALUE"""),6.0)</f>
        <v>6</v>
      </c>
      <c r="S432" s="2"/>
      <c r="T432" s="2"/>
    </row>
    <row r="433">
      <c r="A433" s="1">
        <f>IFERROR(__xludf.DUMMYFUNCTION("""COMPUTED_VALUE"""),431.0)</f>
        <v>431</v>
      </c>
      <c r="B433" s="2" t="str">
        <f>IFERROR(__xludf.DUMMYFUNCTION("""COMPUTED_VALUE"""),"Talanghauan Farmers Association")</f>
        <v>Talanghauan Farmers Association</v>
      </c>
      <c r="C433" s="2" t="str">
        <f>IFERROR(__xludf.DUMMYFUNCTION("""COMPUTED_VALUE"""),"Talanghauan, Cabatuan, ILOILO")</f>
        <v>Talanghauan, Cabatuan, ILOILO</v>
      </c>
      <c r="D433" s="2" t="str">
        <f>IFERROR(__xludf.DUMMYFUNCTION("""COMPUTED_VALUE"""),"Mesalina B. Zaragoza")</f>
        <v>Mesalina B. Zaragoza</v>
      </c>
      <c r="E433" s="2" t="str">
        <f>IFERROR(__xludf.DUMMYFUNCTION("""COMPUTED_VALUE"""),"0905 544 8702/ 0995 602 6677")</f>
        <v>0905 544 8702/ 0995 602 6677</v>
      </c>
      <c r="F433" s="2" t="str">
        <f>IFERROR(__xludf.DUMMYFUNCTION("""COMPUTED_VALUE"""),"RCEF 23-09-21 Rebidding")</f>
        <v>RCEF 23-09-21 Rebidding</v>
      </c>
      <c r="G433" s="2">
        <f>IFERROR(__xludf.DUMMYFUNCTION("""COMPUTED_VALUE"""),4.0)</f>
        <v>4</v>
      </c>
      <c r="H433" s="2">
        <f>IFERROR(__xludf.DUMMYFUNCTION("""COMPUTED_VALUE"""),19089.0)</f>
        <v>19089</v>
      </c>
      <c r="I433" s="2" t="str">
        <f>IFERROR(__xludf.DUMMYFUNCTION("""COMPUTED_VALUE"""),"KMC5825 AERFPV0559")</f>
        <v>KMC5825 AERFPV0559</v>
      </c>
      <c r="J433" s="2" t="str">
        <f>IFERROR(__xludf.DUMMYFUNCTION("""COMPUTED_VALUE"""),"RTS 100466")</f>
        <v>RTS 100466</v>
      </c>
      <c r="K433" s="2" t="str">
        <f>IFERROR(__xludf.DUMMYFUNCTION("""COMPUTED_VALUE"""),"R-SERIES 423 PH")</f>
        <v>R-SERIES 423 PH</v>
      </c>
      <c r="L433" s="2" t="str">
        <f>IFERROR(__xludf.DUMMYFUNCTION("""COMPUTED_VALUE"""),"LSGW1750 RMP 24040703")</f>
        <v>LSGW1750 RMP 24040703</v>
      </c>
      <c r="M433" s="2" t="str">
        <f>IFERROR(__xludf.DUMMYFUNCTION("""COMPUTED_VALUE"""),"WDP40 RMP 24040437")</f>
        <v>WDP40 RMP 24040437</v>
      </c>
      <c r="N433" s="2"/>
      <c r="O433" s="2" t="str">
        <f>IFERROR(__xludf.DUMMYFUNCTION("""COMPUTED_VALUE"""),"Talanghauan")</f>
        <v>Talanghauan</v>
      </c>
      <c r="P433" s="2" t="str">
        <f>IFERROR(__xludf.DUMMYFUNCTION("""COMPUTED_VALUE"""),"Cabatuan")</f>
        <v>Cabatuan</v>
      </c>
      <c r="Q433" s="2" t="str">
        <f>IFERROR(__xludf.DUMMYFUNCTION("""COMPUTED_VALUE"""),"Iloilo")</f>
        <v>Iloilo</v>
      </c>
      <c r="R433" s="2">
        <f>IFERROR(__xludf.DUMMYFUNCTION("""COMPUTED_VALUE"""),6.0)</f>
        <v>6</v>
      </c>
      <c r="S433" s="2"/>
      <c r="T433" s="2"/>
    </row>
    <row r="434">
      <c r="A434" s="1">
        <f>IFERROR(__xludf.DUMMYFUNCTION("""COMPUTED_VALUE"""),432.0)</f>
        <v>432</v>
      </c>
      <c r="B434" s="2" t="str">
        <f>IFERROR(__xludf.DUMMYFUNCTION("""COMPUTED_VALUE"""),"Maspasan Farmers Association")</f>
        <v>Maspasan Farmers Association</v>
      </c>
      <c r="C434" s="2" t="str">
        <f>IFERROR(__xludf.DUMMYFUNCTION("""COMPUTED_VALUE"""),"Maspasan, Calinog, ILOILO")</f>
        <v>Maspasan, Calinog, ILOILO</v>
      </c>
      <c r="D434" s="2" t="str">
        <f>IFERROR(__xludf.DUMMYFUNCTION("""COMPUTED_VALUE"""),"Gerome P. Latoza")</f>
        <v>Gerome P. Latoza</v>
      </c>
      <c r="E434" s="2" t="str">
        <f>IFERROR(__xludf.DUMMYFUNCTION("""COMPUTED_VALUE"""),"0907 156 1868")</f>
        <v>0907 156 1868</v>
      </c>
      <c r="F434" s="2" t="str">
        <f>IFERROR(__xludf.DUMMYFUNCTION("""COMPUTED_VALUE"""),"RCEF 23-09-21 Rebidding")</f>
        <v>RCEF 23-09-21 Rebidding</v>
      </c>
      <c r="G434" s="2">
        <f>IFERROR(__xludf.DUMMYFUNCTION("""COMPUTED_VALUE"""),4.0)</f>
        <v>4</v>
      </c>
      <c r="H434" s="2">
        <f>IFERROR(__xludf.DUMMYFUNCTION("""COMPUTED_VALUE"""),19090.0)</f>
        <v>19090</v>
      </c>
      <c r="I434" s="2" t="str">
        <f>IFERROR(__xludf.DUMMYFUNCTION("""COMPUTED_VALUE"""),"KMC5825 APRFPV0520")</f>
        <v>KMC5825 APRFPV0520</v>
      </c>
      <c r="J434" s="2" t="str">
        <f>IFERROR(__xludf.DUMMYFUNCTION("""COMPUTED_VALUE"""),"RTS 100429")</f>
        <v>RTS 100429</v>
      </c>
      <c r="K434" s="2" t="str">
        <f>IFERROR(__xludf.DUMMYFUNCTION("""COMPUTED_VALUE"""),"R-SERIES 435 PH")</f>
        <v>R-SERIES 435 PH</v>
      </c>
      <c r="L434" s="2" t="str">
        <f>IFERROR(__xludf.DUMMYFUNCTION("""COMPUTED_VALUE"""),"LSGW17590 RMP 24040707")</f>
        <v>LSGW17590 RMP 24040707</v>
      </c>
      <c r="M434" s="2" t="str">
        <f>IFERROR(__xludf.DUMMYFUNCTION("""COMPUTED_VALUE"""),"WDP40 RMP 24040434")</f>
        <v>WDP40 RMP 24040434</v>
      </c>
      <c r="N434" s="2"/>
      <c r="O434" s="2" t="str">
        <f>IFERROR(__xludf.DUMMYFUNCTION("""COMPUTED_VALUE"""),"Maspasan")</f>
        <v>Maspasan</v>
      </c>
      <c r="P434" s="2" t="str">
        <f>IFERROR(__xludf.DUMMYFUNCTION("""COMPUTED_VALUE"""),"Calinog")</f>
        <v>Calinog</v>
      </c>
      <c r="Q434" s="2" t="str">
        <f>IFERROR(__xludf.DUMMYFUNCTION("""COMPUTED_VALUE"""),"Iloilo")</f>
        <v>Iloilo</v>
      </c>
      <c r="R434" s="2">
        <f>IFERROR(__xludf.DUMMYFUNCTION("""COMPUTED_VALUE"""),6.0)</f>
        <v>6</v>
      </c>
      <c r="S434" s="2"/>
      <c r="T434" s="2"/>
    </row>
    <row r="435">
      <c r="A435" s="1">
        <f>IFERROR(__xludf.DUMMYFUNCTION("""COMPUTED_VALUE"""),433.0)</f>
        <v>433</v>
      </c>
      <c r="B435" s="2" t="str">
        <f>IFERROR(__xludf.DUMMYFUNCTION("""COMPUTED_VALUE"""),"Brgy. Mañacabac Farmers Association")</f>
        <v>Brgy. Mañacabac Farmers Association</v>
      </c>
      <c r="C435" s="2" t="str">
        <f>IFERROR(__xludf.DUMMYFUNCTION("""COMPUTED_VALUE"""),"Manacabac, Janiuay, ILOILO")</f>
        <v>Manacabac, Janiuay, ILOILO</v>
      </c>
      <c r="D435" s="2" t="str">
        <f>IFERROR(__xludf.DUMMYFUNCTION("""COMPUTED_VALUE"""),"Rodolfo A. Palizada Jr.")</f>
        <v>Rodolfo A. Palizada Jr.</v>
      </c>
      <c r="E435" s="2">
        <f>IFERROR(__xludf.DUMMYFUNCTION("""COMPUTED_VALUE"""),9.073101243E9)</f>
        <v>9073101243</v>
      </c>
      <c r="F435" s="2" t="str">
        <f>IFERROR(__xludf.DUMMYFUNCTION("""COMPUTED_VALUE"""),"RCEF 23-09-21 Rebidding")</f>
        <v>RCEF 23-09-21 Rebidding</v>
      </c>
      <c r="G435" s="2">
        <f>IFERROR(__xludf.DUMMYFUNCTION("""COMPUTED_VALUE"""),4.0)</f>
        <v>4</v>
      </c>
      <c r="H435" s="2">
        <f>IFERROR(__xludf.DUMMYFUNCTION("""COMPUTED_VALUE"""),19091.0)</f>
        <v>19091</v>
      </c>
      <c r="I435" s="2" t="str">
        <f>IFERROR(__xludf.DUMMYFUNCTION("""COMPUTED_VALUE"""),"KMC5825 AJRFPV0228")</f>
        <v>KMC5825 AJRFPV0228</v>
      </c>
      <c r="J435" s="2" t="str">
        <f>IFERROR(__xludf.DUMMYFUNCTION("""COMPUTED_VALUE"""),"RTS 100050")</f>
        <v>RTS 100050</v>
      </c>
      <c r="K435" s="2" t="str">
        <f>IFERROR(__xludf.DUMMYFUNCTION("""COMPUTED_VALUE"""),"WR-SERIES 211 PH")</f>
        <v>WR-SERIES 211 PH</v>
      </c>
      <c r="L435" s="2" t="str">
        <f>IFERROR(__xludf.DUMMYFUNCTION("""COMPUTED_VALUE"""),"LSGW1750 RMP 24040711")</f>
        <v>LSGW1750 RMP 24040711</v>
      </c>
      <c r="M435" s="2" t="str">
        <f>IFERROR(__xludf.DUMMYFUNCTION("""COMPUTED_VALUE"""),"WDP40 RMP 24040405")</f>
        <v>WDP40 RMP 24040405</v>
      </c>
      <c r="N435" s="2"/>
      <c r="O435" s="2" t="str">
        <f>IFERROR(__xludf.DUMMYFUNCTION("""COMPUTED_VALUE"""),"Manacabac")</f>
        <v>Manacabac</v>
      </c>
      <c r="P435" s="2" t="str">
        <f>IFERROR(__xludf.DUMMYFUNCTION("""COMPUTED_VALUE"""),"Janiuay")</f>
        <v>Janiuay</v>
      </c>
      <c r="Q435" s="2" t="str">
        <f>IFERROR(__xludf.DUMMYFUNCTION("""COMPUTED_VALUE"""),"Iloilo")</f>
        <v>Iloilo</v>
      </c>
      <c r="R435" s="2">
        <f>IFERROR(__xludf.DUMMYFUNCTION("""COMPUTED_VALUE"""),6.0)</f>
        <v>6</v>
      </c>
      <c r="S435" s="2"/>
      <c r="T435" s="2"/>
    </row>
    <row r="436">
      <c r="A436" s="1">
        <f>IFERROR(__xludf.DUMMYFUNCTION("""COMPUTED_VALUE"""),434.0)</f>
        <v>434</v>
      </c>
      <c r="B436" s="2" t="str">
        <f>IFERROR(__xludf.DUMMYFUNCTION("""COMPUTED_VALUE"""),"San Gregorio Farmers Association")</f>
        <v>San Gregorio Farmers Association</v>
      </c>
      <c r="C436" s="2" t="str">
        <f>IFERROR(__xludf.DUMMYFUNCTION("""COMPUTED_VALUE"""),"San Gregorio, Lambunao, ILOILO")</f>
        <v>San Gregorio, Lambunao, ILOILO</v>
      </c>
      <c r="D436" s="2" t="str">
        <f>IFERROR(__xludf.DUMMYFUNCTION("""COMPUTED_VALUE"""),"Jose Glenn Lasado")</f>
        <v>Jose Glenn Lasado</v>
      </c>
      <c r="E436" s="2" t="str">
        <f>IFERROR(__xludf.DUMMYFUNCTION("""COMPUTED_VALUE"""),"0909-537-9343")</f>
        <v>0909-537-9343</v>
      </c>
      <c r="F436" s="2" t="str">
        <f>IFERROR(__xludf.DUMMYFUNCTION("""COMPUTED_VALUE"""),"RCEF 23-09-21 Rebidding")</f>
        <v>RCEF 23-09-21 Rebidding</v>
      </c>
      <c r="G436" s="2">
        <f>IFERROR(__xludf.DUMMYFUNCTION("""COMPUTED_VALUE"""),4.0)</f>
        <v>4</v>
      </c>
      <c r="H436" s="2">
        <f>IFERROR(__xludf.DUMMYFUNCTION("""COMPUTED_VALUE"""),19092.0)</f>
        <v>19092</v>
      </c>
      <c r="I436" s="2" t="str">
        <f>IFERROR(__xludf.DUMMYFUNCTION("""COMPUTED_VALUE"""),"KMC5825 APRFPV0551")</f>
        <v>KMC5825 APRFPV0551</v>
      </c>
      <c r="J436" s="2" t="str">
        <f>IFERROR(__xludf.DUMMYFUNCTION("""COMPUTED_VALUE"""),"RTS100451")</f>
        <v>RTS100451</v>
      </c>
      <c r="K436" s="2" t="str">
        <f>IFERROR(__xludf.DUMMYFUNCTION("""COMPUTED_VALUE"""),"HL22 R007 BRANSON 4625")</f>
        <v>HL22 R007 BRANSON 4625</v>
      </c>
      <c r="L436" s="2" t="str">
        <f>IFERROR(__xludf.DUMMYFUNCTION("""COMPUTED_VALUE"""),"LSGW1750 RMP 24040713")</f>
        <v>LSGW1750 RMP 24040713</v>
      </c>
      <c r="M436" s="2" t="str">
        <f>IFERROR(__xludf.DUMMYFUNCTION("""COMPUTED_VALUE"""),"WDP40 RMP 24040422")</f>
        <v>WDP40 RMP 24040422</v>
      </c>
      <c r="N436" s="2"/>
      <c r="O436" s="2" t="str">
        <f>IFERROR(__xludf.DUMMYFUNCTION("""COMPUTED_VALUE"""),"San Gregorio")</f>
        <v>San Gregorio</v>
      </c>
      <c r="P436" s="2" t="str">
        <f>IFERROR(__xludf.DUMMYFUNCTION("""COMPUTED_VALUE"""),"Lambunao")</f>
        <v>Lambunao</v>
      </c>
      <c r="Q436" s="2" t="str">
        <f>IFERROR(__xludf.DUMMYFUNCTION("""COMPUTED_VALUE"""),"Iloilo")</f>
        <v>Iloilo</v>
      </c>
      <c r="R436" s="2">
        <f>IFERROR(__xludf.DUMMYFUNCTION("""COMPUTED_VALUE"""),6.0)</f>
        <v>6</v>
      </c>
      <c r="S436" s="2"/>
      <c r="T436" s="2"/>
    </row>
    <row r="437">
      <c r="A437" s="1">
        <f>IFERROR(__xludf.DUMMYFUNCTION("""COMPUTED_VALUE"""),435.0)</f>
        <v>435</v>
      </c>
      <c r="B437" s="2" t="str">
        <f>IFERROR(__xludf.DUMMYFUNCTION("""COMPUTED_VALUE"""),"Mina East Farmers Association")</f>
        <v>Mina East Farmers Association</v>
      </c>
      <c r="C437" s="2" t="str">
        <f>IFERROR(__xludf.DUMMYFUNCTION("""COMPUTED_VALUE"""),"Mina East (Pob.), Mina, ILOILO")</f>
        <v>Mina East (Pob.), Mina, ILOILO</v>
      </c>
      <c r="D437" s="2" t="str">
        <f>IFERROR(__xludf.DUMMYFUNCTION("""COMPUTED_VALUE"""),"Nenita S. Defensor")</f>
        <v>Nenita S. Defensor</v>
      </c>
      <c r="E437" s="2" t="str">
        <f>IFERROR(__xludf.DUMMYFUNCTION("""COMPUTED_VALUE"""),"0918 445 6077")</f>
        <v>0918 445 6077</v>
      </c>
      <c r="F437" s="2" t="str">
        <f>IFERROR(__xludf.DUMMYFUNCTION("""COMPUTED_VALUE"""),"RCEF 23-09-21 Rebidding")</f>
        <v>RCEF 23-09-21 Rebidding</v>
      </c>
      <c r="G437" s="2">
        <f>IFERROR(__xludf.DUMMYFUNCTION("""COMPUTED_VALUE"""),4.0)</f>
        <v>4</v>
      </c>
      <c r="H437" s="2">
        <f>IFERROR(__xludf.DUMMYFUNCTION("""COMPUTED_VALUE"""),19092.0)</f>
        <v>19092</v>
      </c>
      <c r="I437" s="2" t="str">
        <f>IFERROR(__xludf.DUMMYFUNCTION("""COMPUTED_VALUE"""),"KMC5825 AHRFPV0527")</f>
        <v>KMC5825 AHRFPV0527</v>
      </c>
      <c r="J437" s="2" t="str">
        <f>IFERROR(__xludf.DUMMYFUNCTION("""COMPUTED_VALUE"""),"RTS 100430")</f>
        <v>RTS 100430</v>
      </c>
      <c r="K437" s="2" t="str">
        <f>IFERROR(__xludf.DUMMYFUNCTION("""COMPUTED_VALUE"""),"R-SERIES 449 PH")</f>
        <v>R-SERIES 449 PH</v>
      </c>
      <c r="L437" s="2" t="str">
        <f>IFERROR(__xludf.DUMMYFUNCTION("""COMPUTED_VALUE"""),"LSGW1759 RMP 24040678")</f>
        <v>LSGW1759 RMP 24040678</v>
      </c>
      <c r="M437" s="2" t="str">
        <f>IFERROR(__xludf.DUMMYFUNCTION("""COMPUTED_VALUE"""),"WDP40 RMP 24040406")</f>
        <v>WDP40 RMP 24040406</v>
      </c>
      <c r="N437" s="2"/>
      <c r="O437" s="2" t="str">
        <f>IFERROR(__xludf.DUMMYFUNCTION("""COMPUTED_VALUE"""),"Mina East (Pob.)")</f>
        <v>Mina East (Pob.)</v>
      </c>
      <c r="P437" s="2" t="str">
        <f>IFERROR(__xludf.DUMMYFUNCTION("""COMPUTED_VALUE"""),"Mina")</f>
        <v>Mina</v>
      </c>
      <c r="Q437" s="2" t="str">
        <f>IFERROR(__xludf.DUMMYFUNCTION("""COMPUTED_VALUE"""),"Iloilo")</f>
        <v>Iloilo</v>
      </c>
      <c r="R437" s="2">
        <f>IFERROR(__xludf.DUMMYFUNCTION("""COMPUTED_VALUE"""),6.0)</f>
        <v>6</v>
      </c>
      <c r="S437" s="2"/>
      <c r="T437" s="2"/>
    </row>
    <row r="438">
      <c r="A438" s="1">
        <f>IFERROR(__xludf.DUMMYFUNCTION("""COMPUTED_VALUE"""),436.0)</f>
        <v>436</v>
      </c>
      <c r="B438" s="2" t="str">
        <f>IFERROR(__xludf.DUMMYFUNCTION("""COMPUTED_VALUE"""),"Danao Farmers Association")</f>
        <v>Danao Farmers Association</v>
      </c>
      <c r="C438" s="2" t="str">
        <f>IFERROR(__xludf.DUMMYFUNCTION("""COMPUTED_VALUE"""),"Danao, Pototan, ILOILO")</f>
        <v>Danao, Pototan, ILOILO</v>
      </c>
      <c r="D438" s="2" t="str">
        <f>IFERROR(__xludf.DUMMYFUNCTION("""COMPUTED_VALUE"""),"Jesus B. Potente")</f>
        <v>Jesus B. Potente</v>
      </c>
      <c r="E438" s="2" t="str">
        <f>IFERROR(__xludf.DUMMYFUNCTION("""COMPUTED_VALUE"""),"0921 268 5213")</f>
        <v>0921 268 5213</v>
      </c>
      <c r="F438" s="2" t="str">
        <f>IFERROR(__xludf.DUMMYFUNCTION("""COMPUTED_VALUE"""),"RCEF 23-09-21 Rebidding")</f>
        <v>RCEF 23-09-21 Rebidding</v>
      </c>
      <c r="G438" s="2">
        <f>IFERROR(__xludf.DUMMYFUNCTION("""COMPUTED_VALUE"""),4.0)</f>
        <v>4</v>
      </c>
      <c r="H438" s="2">
        <f>IFERROR(__xludf.DUMMYFUNCTION("""COMPUTED_VALUE"""),19094.0)</f>
        <v>19094</v>
      </c>
      <c r="I438" s="2" t="str">
        <f>IFERROR(__xludf.DUMMYFUNCTION("""COMPUTED_VALUE"""),"KMC5825 AKRFPV0230")</f>
        <v>KMC5825 AKRFPV0230</v>
      </c>
      <c r="J438" s="2" t="str">
        <f>IFERROR(__xludf.DUMMYFUNCTION("""COMPUTED_VALUE"""),"RTS 10083")</f>
        <v>RTS 10083</v>
      </c>
      <c r="K438" s="2" t="str">
        <f>IFERROR(__xludf.DUMMYFUNCTION("""COMPUTED_VALUE"""),"WR-SERIES 703 PH")</f>
        <v>WR-SERIES 703 PH</v>
      </c>
      <c r="L438" s="2" t="str">
        <f>IFERROR(__xludf.DUMMYFUNCTION("""COMPUTED_VALUE"""),"LSGW1750 RMP 24040696")</f>
        <v>LSGW1750 RMP 24040696</v>
      </c>
      <c r="M438" s="2" t="str">
        <f>IFERROR(__xludf.DUMMYFUNCTION("""COMPUTED_VALUE"""),"WDP40 RMP 24040408")</f>
        <v>WDP40 RMP 24040408</v>
      </c>
      <c r="N438" s="2"/>
      <c r="O438" s="2" t="str">
        <f>IFERROR(__xludf.DUMMYFUNCTION("""COMPUTED_VALUE"""),"Danao")</f>
        <v>Danao</v>
      </c>
      <c r="P438" s="2" t="str">
        <f>IFERROR(__xludf.DUMMYFUNCTION("""COMPUTED_VALUE"""),"Pototan")</f>
        <v>Pototan</v>
      </c>
      <c r="Q438" s="2" t="str">
        <f>IFERROR(__xludf.DUMMYFUNCTION("""COMPUTED_VALUE"""),"Iloilo")</f>
        <v>Iloilo</v>
      </c>
      <c r="R438" s="2">
        <f>IFERROR(__xludf.DUMMYFUNCTION("""COMPUTED_VALUE"""),6.0)</f>
        <v>6</v>
      </c>
      <c r="S438" s="2"/>
      <c r="T438" s="2"/>
    </row>
    <row r="439">
      <c r="A439" s="1">
        <f>IFERROR(__xludf.DUMMYFUNCTION("""COMPUTED_VALUE"""),437.0)</f>
        <v>437</v>
      </c>
      <c r="B439" s="2" t="str">
        <f>IFERROR(__xludf.DUMMYFUNCTION("""COMPUTED_VALUE"""),"Mostro Farmers Association")</f>
        <v>Mostro Farmers Association</v>
      </c>
      <c r="C439" s="2" t="str">
        <f>IFERROR(__xludf.DUMMYFUNCTION("""COMPUTED_VALUE"""),"Mostro, Anilao, ILOILO")</f>
        <v>Mostro, Anilao, ILOILO</v>
      </c>
      <c r="D439" s="2" t="str">
        <f>IFERROR(__xludf.DUMMYFUNCTION("""COMPUTED_VALUE"""),"Wilhem G. Pauchano")</f>
        <v>Wilhem G. Pauchano</v>
      </c>
      <c r="E439" s="2" t="str">
        <f>IFERROR(__xludf.DUMMYFUNCTION("""COMPUTED_VALUE"""),"0930 977 0845")</f>
        <v>0930 977 0845</v>
      </c>
      <c r="F439" s="2" t="str">
        <f>IFERROR(__xludf.DUMMYFUNCTION("""COMPUTED_VALUE"""),"RCEF 23-09-21 Rebidding")</f>
        <v>RCEF 23-09-21 Rebidding</v>
      </c>
      <c r="G439" s="2">
        <f>IFERROR(__xludf.DUMMYFUNCTION("""COMPUTED_VALUE"""),4.0)</f>
        <v>4</v>
      </c>
      <c r="H439" s="2">
        <f>IFERROR(__xludf.DUMMYFUNCTION("""COMPUTED_VALUE"""),19095.0)</f>
        <v>19095</v>
      </c>
      <c r="I439" s="2" t="str">
        <f>IFERROR(__xludf.DUMMYFUNCTION("""COMPUTED_VALUE"""),"KMC5825 AERFPV0531")</f>
        <v>KMC5825 AERFPV0531</v>
      </c>
      <c r="J439" s="2" t="str">
        <f>IFERROR(__xludf.DUMMYFUNCTION("""COMPUTED_VALUE"""),"RTS 100155")</f>
        <v>RTS 100155</v>
      </c>
      <c r="K439" s="2" t="str">
        <f>IFERROR(__xludf.DUMMYFUNCTION("""COMPUTED_VALUE"""),"R-SERIES 422 PH")</f>
        <v>R-SERIES 422 PH</v>
      </c>
      <c r="L439" s="2" t="str">
        <f>IFERROR(__xludf.DUMMYFUNCTION("""COMPUTED_VALUE"""),"LSGW1750 RMP 24040704")</f>
        <v>LSGW1750 RMP 24040704</v>
      </c>
      <c r="M439" s="2" t="str">
        <f>IFERROR(__xludf.DUMMYFUNCTION("""COMPUTED_VALUE"""),"WDP40 RMP 24040435")</f>
        <v>WDP40 RMP 24040435</v>
      </c>
      <c r="N439" s="2"/>
      <c r="O439" s="2" t="str">
        <f>IFERROR(__xludf.DUMMYFUNCTION("""COMPUTED_VALUE"""),"Mostro")</f>
        <v>Mostro</v>
      </c>
      <c r="P439" s="2" t="str">
        <f>IFERROR(__xludf.DUMMYFUNCTION("""COMPUTED_VALUE"""),"Anilao")</f>
        <v>Anilao</v>
      </c>
      <c r="Q439" s="2" t="str">
        <f>IFERROR(__xludf.DUMMYFUNCTION("""COMPUTED_VALUE"""),"Iloilo")</f>
        <v>Iloilo</v>
      </c>
      <c r="R439" s="2">
        <f>IFERROR(__xludf.DUMMYFUNCTION("""COMPUTED_VALUE"""),6.0)</f>
        <v>6</v>
      </c>
      <c r="S439" s="2"/>
      <c r="T439" s="2"/>
    </row>
    <row r="440">
      <c r="A440" s="1">
        <f>IFERROR(__xludf.DUMMYFUNCTION("""COMPUTED_VALUE"""),438.0)</f>
        <v>438</v>
      </c>
      <c r="B440" s="2" t="str">
        <f>IFERROR(__xludf.DUMMYFUNCTION("""COMPUTED_VALUE"""),"Cañapasan Banate Irrigators' Association Inc.")</f>
        <v>Cañapasan Banate Irrigators' Association Inc.</v>
      </c>
      <c r="C440" s="2" t="str">
        <f>IFERROR(__xludf.DUMMYFUNCTION("""COMPUTED_VALUE"""),"Managopaya, Banate, ILOILO")</f>
        <v>Managopaya, Banate, ILOILO</v>
      </c>
      <c r="D440" s="2" t="str">
        <f>IFERROR(__xludf.DUMMYFUNCTION("""COMPUTED_VALUE"""),"Gina B. Bayinela")</f>
        <v>Gina B. Bayinela</v>
      </c>
      <c r="E440" s="2" t="str">
        <f>IFERROR(__xludf.DUMMYFUNCTION("""COMPUTED_VALUE"""),"0915 460 3212")</f>
        <v>0915 460 3212</v>
      </c>
      <c r="F440" s="2" t="str">
        <f>IFERROR(__xludf.DUMMYFUNCTION("""COMPUTED_VALUE"""),"RCEF 23-09-21 Rebidding")</f>
        <v>RCEF 23-09-21 Rebidding</v>
      </c>
      <c r="G440" s="2">
        <f>IFERROR(__xludf.DUMMYFUNCTION("""COMPUTED_VALUE"""),4.0)</f>
        <v>4</v>
      </c>
      <c r="H440" s="2">
        <f>IFERROR(__xludf.DUMMYFUNCTION("""COMPUTED_VALUE"""),19096.0)</f>
        <v>19096</v>
      </c>
      <c r="I440" s="2" t="str">
        <f>IFERROR(__xludf.DUMMYFUNCTION("""COMPUTED_VALUE"""),"KMC5825 ACRFPV0621")</f>
        <v>KMC5825 ACRFPV0621</v>
      </c>
      <c r="J440" s="2" t="str">
        <f>IFERROR(__xludf.DUMMYFUNCTION("""COMPUTED_VALUE"""),"RTS 100521")</f>
        <v>RTS 100521</v>
      </c>
      <c r="K440" s="2" t="str">
        <f>IFERROR(__xludf.DUMMYFUNCTION("""COMPUTED_VALUE"""),"R-SERIES 445 PH")</f>
        <v>R-SERIES 445 PH</v>
      </c>
      <c r="L440" s="2" t="str">
        <f>IFERROR(__xludf.DUMMYFUNCTION("""COMPUTED_VALUE"""),"LSGW1750 RMP 24040681")</f>
        <v>LSGW1750 RMP 24040681</v>
      </c>
      <c r="M440" s="2" t="str">
        <f>IFERROR(__xludf.DUMMYFUNCTION("""COMPUTED_VALUE"""),"WDP40 RMP 24040401")</f>
        <v>WDP40 RMP 24040401</v>
      </c>
      <c r="N440" s="2"/>
      <c r="O440" s="2" t="str">
        <f>IFERROR(__xludf.DUMMYFUNCTION("""COMPUTED_VALUE"""),"Managopaya")</f>
        <v>Managopaya</v>
      </c>
      <c r="P440" s="2" t="str">
        <f>IFERROR(__xludf.DUMMYFUNCTION("""COMPUTED_VALUE"""),"Banate")</f>
        <v>Banate</v>
      </c>
      <c r="Q440" s="2" t="str">
        <f>IFERROR(__xludf.DUMMYFUNCTION("""COMPUTED_VALUE"""),"Iloilo")</f>
        <v>Iloilo</v>
      </c>
      <c r="R440" s="2">
        <f>IFERROR(__xludf.DUMMYFUNCTION("""COMPUTED_VALUE"""),6.0)</f>
        <v>6</v>
      </c>
      <c r="S440" s="2"/>
      <c r="T440" s="2"/>
    </row>
    <row r="441">
      <c r="A441" s="1">
        <f>IFERROR(__xludf.DUMMYFUNCTION("""COMPUTED_VALUE"""),439.0)</f>
        <v>439</v>
      </c>
      <c r="B441" s="2" t="str">
        <f>IFERROR(__xludf.DUMMYFUNCTION("""COMPUTED_VALUE"""),"Dugwakan Farmers Association")</f>
        <v>Dugwakan Farmers Association</v>
      </c>
      <c r="C441" s="2" t="str">
        <f>IFERROR(__xludf.DUMMYFUNCTION("""COMPUTED_VALUE"""),"Dugwakan, Banate, ILOILO")</f>
        <v>Dugwakan, Banate, ILOILO</v>
      </c>
      <c r="D441" s="2" t="str">
        <f>IFERROR(__xludf.DUMMYFUNCTION("""COMPUTED_VALUE"""),"Moniza A. Marquez")</f>
        <v>Moniza A. Marquez</v>
      </c>
      <c r="E441" s="2">
        <f>IFERROR(__xludf.DUMMYFUNCTION("""COMPUTED_VALUE"""),9.63525839E9)</f>
        <v>9635258390</v>
      </c>
      <c r="F441" s="2" t="str">
        <f>IFERROR(__xludf.DUMMYFUNCTION("""COMPUTED_VALUE"""),"RCEF 23-09-21 Rebidding")</f>
        <v>RCEF 23-09-21 Rebidding</v>
      </c>
      <c r="G441" s="2">
        <f>IFERROR(__xludf.DUMMYFUNCTION("""COMPUTED_VALUE"""),4.0)</f>
        <v>4</v>
      </c>
      <c r="H441" s="2">
        <f>IFERROR(__xludf.DUMMYFUNCTION("""COMPUTED_VALUE"""),19097.0)</f>
        <v>19097</v>
      </c>
      <c r="I441" s="2" t="str">
        <f>IFERROR(__xludf.DUMMYFUNCTION("""COMPUTED_VALUE"""),"KMC5825 AVRFPV0569")</f>
        <v>KMC5825 AVRFPV0569</v>
      </c>
      <c r="J441" s="2" t="str">
        <f>IFERROR(__xludf.DUMMYFUNCTION("""COMPUTED_VALUE"""),"RTS 100461")</f>
        <v>RTS 100461</v>
      </c>
      <c r="K441" s="2" t="str">
        <f>IFERROR(__xludf.DUMMYFUNCTION("""COMPUTED_VALUE"""),"R-SERIES 446 PH")</f>
        <v>R-SERIES 446 PH</v>
      </c>
      <c r="L441" s="2" t="str">
        <f>IFERROR(__xludf.DUMMYFUNCTION("""COMPUTED_VALUE"""),"LSGW1750 RMP 24040702")</f>
        <v>LSGW1750 RMP 24040702</v>
      </c>
      <c r="M441" s="2" t="str">
        <f>IFERROR(__xludf.DUMMYFUNCTION("""COMPUTED_VALUE"""),"WDP40 RMP 24040401")</f>
        <v>WDP40 RMP 24040401</v>
      </c>
      <c r="N441" s="2"/>
      <c r="O441" s="2" t="str">
        <f>IFERROR(__xludf.DUMMYFUNCTION("""COMPUTED_VALUE"""),"Dugwakan")</f>
        <v>Dugwakan</v>
      </c>
      <c r="P441" s="2" t="str">
        <f>IFERROR(__xludf.DUMMYFUNCTION("""COMPUTED_VALUE"""),"Banate")</f>
        <v>Banate</v>
      </c>
      <c r="Q441" s="2" t="str">
        <f>IFERROR(__xludf.DUMMYFUNCTION("""COMPUTED_VALUE"""),"Iloilo")</f>
        <v>Iloilo</v>
      </c>
      <c r="R441" s="2">
        <f>IFERROR(__xludf.DUMMYFUNCTION("""COMPUTED_VALUE"""),6.0)</f>
        <v>6</v>
      </c>
      <c r="S441" s="2"/>
      <c r="T441" s="2"/>
    </row>
    <row r="442">
      <c r="A442" s="1">
        <f>IFERROR(__xludf.DUMMYFUNCTION("""COMPUTED_VALUE"""),440.0)</f>
        <v>440</v>
      </c>
      <c r="B442" s="2" t="str">
        <f>IFERROR(__xludf.DUMMYFUNCTION("""COMPUTED_VALUE"""),"Baras Farmers Association")</f>
        <v>Baras Farmers Association</v>
      </c>
      <c r="C442" s="2" t="str">
        <f>IFERROR(__xludf.DUMMYFUNCTION("""COMPUTED_VALUE"""),"Baras, Barotac Nuevo, ILOILO")</f>
        <v>Baras, Barotac Nuevo, ILOILO</v>
      </c>
      <c r="D442" s="2" t="str">
        <f>IFERROR(__xludf.DUMMYFUNCTION("""COMPUTED_VALUE"""),"Mario B. Boglosa")</f>
        <v>Mario B. Boglosa</v>
      </c>
      <c r="E442" s="2">
        <f>IFERROR(__xludf.DUMMYFUNCTION("""COMPUTED_VALUE"""),9.951876513E9)</f>
        <v>9951876513</v>
      </c>
      <c r="F442" s="2" t="str">
        <f>IFERROR(__xludf.DUMMYFUNCTION("""COMPUTED_VALUE"""),"RCEF 23-09-21 Rebidding")</f>
        <v>RCEF 23-09-21 Rebidding</v>
      </c>
      <c r="G442" s="2">
        <f>IFERROR(__xludf.DUMMYFUNCTION("""COMPUTED_VALUE"""),4.0)</f>
        <v>4</v>
      </c>
      <c r="H442" s="2">
        <f>IFERROR(__xludf.DUMMYFUNCTION("""COMPUTED_VALUE"""),19098.0)</f>
        <v>19098</v>
      </c>
      <c r="I442" s="2" t="str">
        <f>IFERROR(__xludf.DUMMYFUNCTION("""COMPUTED_VALUE"""),"KMC5825 AERFPV0612")</f>
        <v>KMC5825 AERFPV0612</v>
      </c>
      <c r="J442" s="2" t="str">
        <f>IFERROR(__xludf.DUMMYFUNCTION("""COMPUTED_VALUE"""),"RTS 100579")</f>
        <v>RTS 100579</v>
      </c>
      <c r="K442" s="2" t="str">
        <f>IFERROR(__xludf.DUMMYFUNCTION("""COMPUTED_VALUE"""),"R-SERIES 442 PH")</f>
        <v>R-SERIES 442 PH</v>
      </c>
      <c r="L442" s="2" t="str">
        <f>IFERROR(__xludf.DUMMYFUNCTION("""COMPUTED_VALUE"""),"LSGW1750 RMP 24040676")</f>
        <v>LSGW1750 RMP 24040676</v>
      </c>
      <c r="M442" s="2" t="str">
        <f>IFERROR(__xludf.DUMMYFUNCTION("""COMPUTED_VALUE"""),"WDP40 RMP 24040417")</f>
        <v>WDP40 RMP 24040417</v>
      </c>
      <c r="N442" s="2"/>
      <c r="O442" s="2" t="str">
        <f>IFERROR(__xludf.DUMMYFUNCTION("""COMPUTED_VALUE"""),"Baras")</f>
        <v>Baras</v>
      </c>
      <c r="P442" s="2" t="str">
        <f>IFERROR(__xludf.DUMMYFUNCTION("""COMPUTED_VALUE"""),"Barotac Nuevo")</f>
        <v>Barotac Nuevo</v>
      </c>
      <c r="Q442" s="2" t="str">
        <f>IFERROR(__xludf.DUMMYFUNCTION("""COMPUTED_VALUE"""),"Iloilo")</f>
        <v>Iloilo</v>
      </c>
      <c r="R442" s="2">
        <f>IFERROR(__xludf.DUMMYFUNCTION("""COMPUTED_VALUE"""),6.0)</f>
        <v>6</v>
      </c>
      <c r="S442" s="2"/>
      <c r="T442" s="2"/>
    </row>
    <row r="443">
      <c r="A443" s="1">
        <f>IFERROR(__xludf.DUMMYFUNCTION("""COMPUTED_VALUE"""),441.0)</f>
        <v>441</v>
      </c>
      <c r="B443" s="2" t="str">
        <f>IFERROR(__xludf.DUMMYFUNCTION("""COMPUTED_VALUE"""),"SOSABU IRRIGATORS' ASSOCIATION, INC.")</f>
        <v>SOSABU IRRIGATORS' ASSOCIATION, INC.</v>
      </c>
      <c r="C443" s="2" t="str">
        <f>IFERROR(__xludf.DUMMYFUNCTION("""COMPUTED_VALUE"""),"Bungca, Barotac Nuevo, ILOILO")</f>
        <v>Bungca, Barotac Nuevo, ILOILO</v>
      </c>
      <c r="D443" s="2" t="str">
        <f>IFERROR(__xludf.DUMMYFUNCTION("""COMPUTED_VALUE"""),"Nicasio Hernalion")</f>
        <v>Nicasio Hernalion</v>
      </c>
      <c r="E443" s="2">
        <f>IFERROR(__xludf.DUMMYFUNCTION("""COMPUTED_VALUE"""),9.127754295E9)</f>
        <v>9127754295</v>
      </c>
      <c r="F443" s="2" t="str">
        <f>IFERROR(__xludf.DUMMYFUNCTION("""COMPUTED_VALUE"""),"RCEF 23-09-21 Rebidding")</f>
        <v>RCEF 23-09-21 Rebidding</v>
      </c>
      <c r="G443" s="2">
        <f>IFERROR(__xludf.DUMMYFUNCTION("""COMPUTED_VALUE"""),4.0)</f>
        <v>4</v>
      </c>
      <c r="H443" s="2">
        <f>IFERROR(__xludf.DUMMYFUNCTION("""COMPUTED_VALUE"""),19099.0)</f>
        <v>19099</v>
      </c>
      <c r="I443" s="2" t="str">
        <f>IFERROR(__xludf.DUMMYFUNCTION("""COMPUTED_VALUE"""),"KMC5825 AHRFPV0611")</f>
        <v>KMC5825 AHRFPV0611</v>
      </c>
      <c r="J443" s="2" t="str">
        <f>IFERROR(__xludf.DUMMYFUNCTION("""COMPUTED_VALUE"""),"RTS 100583")</f>
        <v>RTS 100583</v>
      </c>
      <c r="K443" s="2" t="str">
        <f>IFERROR(__xludf.DUMMYFUNCTION("""COMPUTED_VALUE"""),"R-SERIES 429 PH")</f>
        <v>R-SERIES 429 PH</v>
      </c>
      <c r="L443" s="2" t="str">
        <f>IFERROR(__xludf.DUMMYFUNCTION("""COMPUTED_VALUE"""),"LSGW1750 RMP 24040709")</f>
        <v>LSGW1750 RMP 24040709</v>
      </c>
      <c r="M443" s="2" t="str">
        <f>IFERROR(__xludf.DUMMYFUNCTION("""COMPUTED_VALUE"""),"WDP40 RMP 24040433")</f>
        <v>WDP40 RMP 24040433</v>
      </c>
      <c r="N443" s="2"/>
      <c r="O443" s="2" t="str">
        <f>IFERROR(__xludf.DUMMYFUNCTION("""COMPUTED_VALUE"""),"Bungca")</f>
        <v>Bungca</v>
      </c>
      <c r="P443" s="2" t="str">
        <f>IFERROR(__xludf.DUMMYFUNCTION("""COMPUTED_VALUE"""),"Barotac Nuevo")</f>
        <v>Barotac Nuevo</v>
      </c>
      <c r="Q443" s="2" t="str">
        <f>IFERROR(__xludf.DUMMYFUNCTION("""COMPUTED_VALUE"""),"Iloilo")</f>
        <v>Iloilo</v>
      </c>
      <c r="R443" s="2">
        <f>IFERROR(__xludf.DUMMYFUNCTION("""COMPUTED_VALUE"""),6.0)</f>
        <v>6</v>
      </c>
      <c r="S443" s="2"/>
      <c r="T443" s="2"/>
    </row>
    <row r="444">
      <c r="A444" s="1">
        <f>IFERROR(__xludf.DUMMYFUNCTION("""COMPUTED_VALUE"""),442.0)</f>
        <v>442</v>
      </c>
      <c r="B444" s="2" t="str">
        <f>IFERROR(__xludf.DUMMYFUNCTION("""COMPUTED_VALUE"""),"Bungloy Integrated Farmers Association")</f>
        <v>Bungloy Integrated Farmers Association</v>
      </c>
      <c r="C444" s="2" t="str">
        <f>IFERROR(__xludf.DUMMYFUNCTION("""COMPUTED_VALUE"""),"Bongloy, Dingle, ILOILO")</f>
        <v>Bongloy, Dingle, ILOILO</v>
      </c>
      <c r="D444" s="2" t="str">
        <f>IFERROR(__xludf.DUMMYFUNCTION("""COMPUTED_VALUE"""),"Martin P. Franciliso Jr.")</f>
        <v>Martin P. Franciliso Jr.</v>
      </c>
      <c r="E444" s="2" t="str">
        <f>IFERROR(__xludf.DUMMYFUNCTION("""COMPUTED_VALUE"""),"0961 652 9867")</f>
        <v>0961 652 9867</v>
      </c>
      <c r="F444" s="2" t="str">
        <f>IFERROR(__xludf.DUMMYFUNCTION("""COMPUTED_VALUE"""),"RCEF 23-09-21 Rebidding")</f>
        <v>RCEF 23-09-21 Rebidding</v>
      </c>
      <c r="G444" s="2">
        <f>IFERROR(__xludf.DUMMYFUNCTION("""COMPUTED_VALUE"""),4.0)</f>
        <v>4</v>
      </c>
      <c r="H444" s="2">
        <f>IFERROR(__xludf.DUMMYFUNCTION("""COMPUTED_VALUE"""),19100.0)</f>
        <v>19100</v>
      </c>
      <c r="I444" s="2" t="str">
        <f>IFERROR(__xludf.DUMMYFUNCTION("""COMPUTED_VALUE"""),"KMC5825 AJRFPV0682")</f>
        <v>KMC5825 AJRFPV0682</v>
      </c>
      <c r="J444" s="2" t="str">
        <f>IFERROR(__xludf.DUMMYFUNCTION("""COMPUTED_VALUE"""),"RTS 100554")</f>
        <v>RTS 100554</v>
      </c>
      <c r="K444" s="2" t="str">
        <f>IFERROR(__xludf.DUMMYFUNCTION("""COMPUTED_VALUE"""),"R-SERIES 437 PH")</f>
        <v>R-SERIES 437 PH</v>
      </c>
      <c r="L444" s="2" t="str">
        <f>IFERROR(__xludf.DUMMYFUNCTION("""COMPUTED_VALUE"""),"LSGW1750 RMP 24040715")</f>
        <v>LSGW1750 RMP 24040715</v>
      </c>
      <c r="M444" s="2" t="str">
        <f>IFERROR(__xludf.DUMMYFUNCTION("""COMPUTED_VALUE"""),"WDP40 RMP 24040436")</f>
        <v>WDP40 RMP 24040436</v>
      </c>
      <c r="N444" s="2"/>
      <c r="O444" s="2" t="str">
        <f>IFERROR(__xludf.DUMMYFUNCTION("""COMPUTED_VALUE"""),"Bongloy")</f>
        <v>Bongloy</v>
      </c>
      <c r="P444" s="2" t="str">
        <f>IFERROR(__xludf.DUMMYFUNCTION("""COMPUTED_VALUE"""),"Dingle")</f>
        <v>Dingle</v>
      </c>
      <c r="Q444" s="2" t="str">
        <f>IFERROR(__xludf.DUMMYFUNCTION("""COMPUTED_VALUE"""),"Iloilo")</f>
        <v>Iloilo</v>
      </c>
      <c r="R444" s="2">
        <f>IFERROR(__xludf.DUMMYFUNCTION("""COMPUTED_VALUE"""),6.0)</f>
        <v>6</v>
      </c>
      <c r="S444" s="2"/>
      <c r="T444" s="2"/>
    </row>
    <row r="445">
      <c r="A445" s="1">
        <f>IFERROR(__xludf.DUMMYFUNCTION("""COMPUTED_VALUE"""),443.0)</f>
        <v>443</v>
      </c>
      <c r="B445" s="2" t="str">
        <f>IFERROR(__xludf.DUMMYFUNCTION("""COMPUTED_VALUE"""),"Tanghawan Farmers Association")</f>
        <v>Tanghawan Farmers Association</v>
      </c>
      <c r="C445" s="2" t="str">
        <f>IFERROR(__xludf.DUMMYFUNCTION("""COMPUTED_VALUE"""),"Tanghawan, Dingle, ILOILO")</f>
        <v>Tanghawan, Dingle, ILOILO</v>
      </c>
      <c r="D445" s="2" t="str">
        <f>IFERROR(__xludf.DUMMYFUNCTION("""COMPUTED_VALUE"""),"Michael D. Damasing")</f>
        <v>Michael D. Damasing</v>
      </c>
      <c r="E445" s="2">
        <f>IFERROR(__xludf.DUMMYFUNCTION("""COMPUTED_VALUE"""),9.150157766E9)</f>
        <v>9150157766</v>
      </c>
      <c r="F445" s="2" t="str">
        <f>IFERROR(__xludf.DUMMYFUNCTION("""COMPUTED_VALUE"""),"RCEF 23-09-21 Rebidding")</f>
        <v>RCEF 23-09-21 Rebidding</v>
      </c>
      <c r="G445" s="2">
        <f>IFERROR(__xludf.DUMMYFUNCTION("""COMPUTED_VALUE"""),4.0)</f>
        <v>4</v>
      </c>
      <c r="H445" s="2">
        <f>IFERROR(__xludf.DUMMYFUNCTION("""COMPUTED_VALUE"""),19101.0)</f>
        <v>19101</v>
      </c>
      <c r="I445" s="2" t="str">
        <f>IFERROR(__xludf.DUMMYFUNCTION("""COMPUTED_VALUE"""),"KMC5825 AARFPV0511")</f>
        <v>KMC5825 AARFPV0511</v>
      </c>
      <c r="J445" s="2" t="str">
        <f>IFERROR(__xludf.DUMMYFUNCTION("""COMPUTED_VALUE"""),"RTS 100405")</f>
        <v>RTS 100405</v>
      </c>
      <c r="K445" s="2" t="str">
        <f>IFERROR(__xludf.DUMMYFUNCTION("""COMPUTED_VALUE"""),"R-SERIES 438 PH")</f>
        <v>R-SERIES 438 PH</v>
      </c>
      <c r="L445" s="2" t="str">
        <f>IFERROR(__xludf.DUMMYFUNCTION("""COMPUTED_VALUE"""),"LSGW1750 RMP 24040700")</f>
        <v>LSGW1750 RMP 24040700</v>
      </c>
      <c r="M445" s="2" t="str">
        <f>IFERROR(__xludf.DUMMYFUNCTION("""COMPUTED_VALUE"""),"WDP40 RMP 24040452")</f>
        <v>WDP40 RMP 24040452</v>
      </c>
      <c r="N445" s="2"/>
      <c r="O445" s="2" t="str">
        <f>IFERROR(__xludf.DUMMYFUNCTION("""COMPUTED_VALUE"""),"Tanghawan")</f>
        <v>Tanghawan</v>
      </c>
      <c r="P445" s="2" t="str">
        <f>IFERROR(__xludf.DUMMYFUNCTION("""COMPUTED_VALUE"""),"Dingle")</f>
        <v>Dingle</v>
      </c>
      <c r="Q445" s="2" t="str">
        <f>IFERROR(__xludf.DUMMYFUNCTION("""COMPUTED_VALUE"""),"Iloilo")</f>
        <v>Iloilo</v>
      </c>
      <c r="R445" s="2">
        <f>IFERROR(__xludf.DUMMYFUNCTION("""COMPUTED_VALUE"""),6.0)</f>
        <v>6</v>
      </c>
      <c r="S445" s="2"/>
      <c r="T445" s="2"/>
    </row>
    <row r="446">
      <c r="A446" s="1">
        <f>IFERROR(__xludf.DUMMYFUNCTION("""COMPUTED_VALUE"""),444.0)</f>
        <v>444</v>
      </c>
      <c r="B446" s="2" t="str">
        <f>IFERROR(__xludf.DUMMYFUNCTION("""COMPUTED_VALUE"""),"Bugtongan Farmers Association")</f>
        <v>Bugtongan Farmers Association</v>
      </c>
      <c r="C446" s="2" t="str">
        <f>IFERROR(__xludf.DUMMYFUNCTION("""COMPUTED_VALUE"""),"Bugtongan, Duenas, ILOILO")</f>
        <v>Bugtongan, Duenas, ILOILO</v>
      </c>
      <c r="D446" s="2" t="str">
        <f>IFERROR(__xludf.DUMMYFUNCTION("""COMPUTED_VALUE"""),"Narciso T. Sorongon")</f>
        <v>Narciso T. Sorongon</v>
      </c>
      <c r="E446" s="2" t="str">
        <f>IFERROR(__xludf.DUMMYFUNCTION("""COMPUTED_VALUE"""),"0921 318 8684")</f>
        <v>0921 318 8684</v>
      </c>
      <c r="F446" s="2" t="str">
        <f>IFERROR(__xludf.DUMMYFUNCTION("""COMPUTED_VALUE"""),"RCEF 23-09-21 Rebidding")</f>
        <v>RCEF 23-09-21 Rebidding</v>
      </c>
      <c r="G446" s="2">
        <f>IFERROR(__xludf.DUMMYFUNCTION("""COMPUTED_VALUE"""),4.0)</f>
        <v>4</v>
      </c>
      <c r="H446" s="2">
        <f>IFERROR(__xludf.DUMMYFUNCTION("""COMPUTED_VALUE"""),19102.0)</f>
        <v>19102</v>
      </c>
      <c r="I446" s="2" t="str">
        <f>IFERROR(__xludf.DUMMYFUNCTION("""COMPUTED_VALUE"""),"KMC5825 APRFPV0209")</f>
        <v>KMC5825 APRFPV0209</v>
      </c>
      <c r="J446" s="2" t="str">
        <f>IFERROR(__xludf.DUMMYFUNCTION("""COMPUTED_VALUE"""),"RTS 100135")</f>
        <v>RTS 100135</v>
      </c>
      <c r="K446" s="2" t="str">
        <f>IFERROR(__xludf.DUMMYFUNCTION("""COMPUTED_VALUE"""),"WR-SERIES 724 PH")</f>
        <v>WR-SERIES 724 PH</v>
      </c>
      <c r="L446" s="2" t="str">
        <f>IFERROR(__xludf.DUMMYFUNCTION("""COMPUTED_VALUE"""),"LSGW1750 RMP 24040697")</f>
        <v>LSGW1750 RMP 24040697</v>
      </c>
      <c r="M446" s="2" t="str">
        <f>IFERROR(__xludf.DUMMYFUNCTION("""COMPUTED_VALUE"""),"WDP40 RMP 24040415")</f>
        <v>WDP40 RMP 24040415</v>
      </c>
      <c r="N446" s="2"/>
      <c r="O446" s="2" t="str">
        <f>IFERROR(__xludf.DUMMYFUNCTION("""COMPUTED_VALUE"""),"Bugtongan")</f>
        <v>Bugtongan</v>
      </c>
      <c r="P446" s="2" t="str">
        <f>IFERROR(__xludf.DUMMYFUNCTION("""COMPUTED_VALUE"""),"Duenas")</f>
        <v>Duenas</v>
      </c>
      <c r="Q446" s="2" t="str">
        <f>IFERROR(__xludf.DUMMYFUNCTION("""COMPUTED_VALUE"""),"Iloilo")</f>
        <v>Iloilo</v>
      </c>
      <c r="R446" s="2">
        <f>IFERROR(__xludf.DUMMYFUNCTION("""COMPUTED_VALUE"""),6.0)</f>
        <v>6</v>
      </c>
      <c r="S446" s="2"/>
      <c r="T446" s="2"/>
    </row>
    <row r="447">
      <c r="A447" s="1">
        <f>IFERROR(__xludf.DUMMYFUNCTION("""COMPUTED_VALUE"""),445.0)</f>
        <v>445</v>
      </c>
      <c r="B447" s="2" t="str">
        <f>IFERROR(__xludf.DUMMYFUNCTION("""COMPUTED_VALUE"""),"ILAGBATA IRRIGATORS' ASSOCIATION")</f>
        <v>ILAGBATA IRRIGATORS' ASSOCIATION</v>
      </c>
      <c r="C447" s="2" t="str">
        <f>IFERROR(__xludf.DUMMYFUNCTION("""COMPUTED_VALUE"""),"Bacong, Dumangas, ILOILO")</f>
        <v>Bacong, Dumangas, ILOILO</v>
      </c>
      <c r="D447" s="2" t="str">
        <f>IFERROR(__xludf.DUMMYFUNCTION("""COMPUTED_VALUE"""),"Rogelio D. Diamante")</f>
        <v>Rogelio D. Diamante</v>
      </c>
      <c r="E447" s="2">
        <f>IFERROR(__xludf.DUMMYFUNCTION("""COMPUTED_VALUE"""),9.617884936E9)</f>
        <v>9617884936</v>
      </c>
      <c r="F447" s="2" t="str">
        <f>IFERROR(__xludf.DUMMYFUNCTION("""COMPUTED_VALUE"""),"RCEF 23-09-21 Rebidding")</f>
        <v>RCEF 23-09-21 Rebidding</v>
      </c>
      <c r="G447" s="2">
        <f>IFERROR(__xludf.DUMMYFUNCTION("""COMPUTED_VALUE"""),4.0)</f>
        <v>4</v>
      </c>
      <c r="H447" s="2">
        <f>IFERROR(__xludf.DUMMYFUNCTION("""COMPUTED_VALUE"""),19103.0)</f>
        <v>19103</v>
      </c>
      <c r="I447" s="2" t="str">
        <f>IFERROR(__xludf.DUMMYFUNCTION("""COMPUTED_VALUE"""),"KMC5825 ALRFPV0574")</f>
        <v>KMC5825 ALRFPV0574</v>
      </c>
      <c r="J447" s="2" t="str">
        <f>IFERROR(__xludf.DUMMYFUNCTION("""COMPUTED_VALUE"""),"RTS 100477")</f>
        <v>RTS 100477</v>
      </c>
      <c r="K447" s="2" t="str">
        <f>IFERROR(__xludf.DUMMYFUNCTION("""COMPUTED_VALUE"""),"WR-SERIES 441 PH")</f>
        <v>WR-SERIES 441 PH</v>
      </c>
      <c r="L447" s="2" t="str">
        <f>IFERROR(__xludf.DUMMYFUNCTION("""COMPUTED_VALUE"""),"LSGW1750 RMP 24040718")</f>
        <v>LSGW1750 RMP 24040718</v>
      </c>
      <c r="M447" s="2" t="str">
        <f>IFERROR(__xludf.DUMMYFUNCTION("""COMPUTED_VALUE"""),"WDP40 RMP 24040425")</f>
        <v>WDP40 RMP 24040425</v>
      </c>
      <c r="N447" s="2"/>
      <c r="O447" s="2" t="str">
        <f>IFERROR(__xludf.DUMMYFUNCTION("""COMPUTED_VALUE"""),"Bacong")</f>
        <v>Bacong</v>
      </c>
      <c r="P447" s="2" t="str">
        <f>IFERROR(__xludf.DUMMYFUNCTION("""COMPUTED_VALUE"""),"Dumangas")</f>
        <v>Dumangas</v>
      </c>
      <c r="Q447" s="2" t="str">
        <f>IFERROR(__xludf.DUMMYFUNCTION("""COMPUTED_VALUE"""),"Iloilo")</f>
        <v>Iloilo</v>
      </c>
      <c r="R447" s="2">
        <f>IFERROR(__xludf.DUMMYFUNCTION("""COMPUTED_VALUE"""),6.0)</f>
        <v>6</v>
      </c>
      <c r="S447" s="2"/>
      <c r="T447" s="2"/>
    </row>
    <row r="448">
      <c r="A448" s="1">
        <f>IFERROR(__xludf.DUMMYFUNCTION("""COMPUTED_VALUE"""),446.0)</f>
        <v>446</v>
      </c>
      <c r="B448" s="2" t="str">
        <f>IFERROR(__xludf.DUMMYFUNCTION("""COMPUTED_VALUE"""),"Cabugao Viejo Farmers Association")</f>
        <v>Cabugao Viejo Farmers Association</v>
      </c>
      <c r="C448" s="2" t="str">
        <f>IFERROR(__xludf.DUMMYFUNCTION("""COMPUTED_VALUE"""),"Cabugao Viejo, San Enrique, ILOILO")</f>
        <v>Cabugao Viejo, San Enrique, ILOILO</v>
      </c>
      <c r="D448" s="2" t="str">
        <f>IFERROR(__xludf.DUMMYFUNCTION("""COMPUTED_VALUE"""),"Rogelio P. Palermo")</f>
        <v>Rogelio P. Palermo</v>
      </c>
      <c r="E448" s="2" t="str">
        <f>IFERROR(__xludf.DUMMYFUNCTION("""COMPUTED_VALUE"""),"0907 177 4773")</f>
        <v>0907 177 4773</v>
      </c>
      <c r="F448" s="2" t="str">
        <f>IFERROR(__xludf.DUMMYFUNCTION("""COMPUTED_VALUE"""),"RCEF 23-09-21 Rebidding")</f>
        <v>RCEF 23-09-21 Rebidding</v>
      </c>
      <c r="G448" s="2">
        <f>IFERROR(__xludf.DUMMYFUNCTION("""COMPUTED_VALUE"""),4.0)</f>
        <v>4</v>
      </c>
      <c r="H448" s="2">
        <f>IFERROR(__xludf.DUMMYFUNCTION("""COMPUTED_VALUE"""),19104.0)</f>
        <v>19104</v>
      </c>
      <c r="I448" s="2" t="str">
        <f>IFERROR(__xludf.DUMMYFUNCTION("""COMPUTED_VALUE"""),"KMC5825 ALRFPV0350")</f>
        <v>KMC5825 ALRFPV0350</v>
      </c>
      <c r="J448" s="2" t="str">
        <f>IFERROR(__xludf.DUMMYFUNCTION("""COMPUTED_VALUE"""),"RTS 100236")</f>
        <v>RTS 100236</v>
      </c>
      <c r="K448" s="2" t="str">
        <f>IFERROR(__xludf.DUMMYFUNCTION("""COMPUTED_VALUE"""),"R-SERIES 430 PH")</f>
        <v>R-SERIES 430 PH</v>
      </c>
      <c r="L448" s="2" t="str">
        <f>IFERROR(__xludf.DUMMYFUNCTION("""COMPUTED_VALUE"""),"LSGW1750 RMP 24040682")</f>
        <v>LSGW1750 RMP 24040682</v>
      </c>
      <c r="M448" s="2" t="str">
        <f>IFERROR(__xludf.DUMMYFUNCTION("""COMPUTED_VALUE"""),"WDP40 RMP 24040419")</f>
        <v>WDP40 RMP 24040419</v>
      </c>
      <c r="N448" s="2"/>
      <c r="O448" s="2" t="str">
        <f>IFERROR(__xludf.DUMMYFUNCTION("""COMPUTED_VALUE"""),"Cabugao Viejo")</f>
        <v>Cabugao Viejo</v>
      </c>
      <c r="P448" s="2" t="str">
        <f>IFERROR(__xludf.DUMMYFUNCTION("""COMPUTED_VALUE"""),"San Enrique")</f>
        <v>San Enrique</v>
      </c>
      <c r="Q448" s="2" t="str">
        <f>IFERROR(__xludf.DUMMYFUNCTION("""COMPUTED_VALUE"""),"Iloilo")</f>
        <v>Iloilo</v>
      </c>
      <c r="R448" s="2">
        <f>IFERROR(__xludf.DUMMYFUNCTION("""COMPUTED_VALUE"""),6.0)</f>
        <v>6</v>
      </c>
      <c r="S448" s="2"/>
      <c r="T448" s="2"/>
    </row>
    <row r="449">
      <c r="A449" s="1">
        <f>IFERROR(__xludf.DUMMYFUNCTION("""COMPUTED_VALUE"""),447.0)</f>
        <v>447</v>
      </c>
      <c r="B449" s="2" t="str">
        <f>IFERROR(__xludf.DUMMYFUNCTION("""COMPUTED_VALUE"""),"Madarag Farmers Association")</f>
        <v>Madarag Farmers Association</v>
      </c>
      <c r="C449" s="2" t="str">
        <f>IFERROR(__xludf.DUMMYFUNCTION("""COMPUTED_VALUE"""),"Madarag, San Enrique, ILOILO")</f>
        <v>Madarag, San Enrique, ILOILO</v>
      </c>
      <c r="D449" s="2" t="str">
        <f>IFERROR(__xludf.DUMMYFUNCTION("""COMPUTED_VALUE"""),"Fernando N. Agnes Jr.")</f>
        <v>Fernando N. Agnes Jr.</v>
      </c>
      <c r="E449" s="2" t="str">
        <f>IFERROR(__xludf.DUMMYFUNCTION("""COMPUTED_VALUE"""),"0912 443 2584")</f>
        <v>0912 443 2584</v>
      </c>
      <c r="F449" s="2" t="str">
        <f>IFERROR(__xludf.DUMMYFUNCTION("""COMPUTED_VALUE"""),"RCEF 23-09-21 Rebidding")</f>
        <v>RCEF 23-09-21 Rebidding</v>
      </c>
      <c r="G449" s="2">
        <f>IFERROR(__xludf.DUMMYFUNCTION("""COMPUTED_VALUE"""),4.0)</f>
        <v>4</v>
      </c>
      <c r="H449" s="2">
        <f>IFERROR(__xludf.DUMMYFUNCTION("""COMPUTED_VALUE"""),19105.0)</f>
        <v>19105</v>
      </c>
      <c r="I449" s="2" t="str">
        <f>IFERROR(__xludf.DUMMYFUNCTION("""COMPUTED_VALUE"""),"KMC5825 ALRFPV0591")</f>
        <v>KMC5825 ALRFPV0591</v>
      </c>
      <c r="J449" s="2" t="str">
        <f>IFERROR(__xludf.DUMMYFUNCTION("""COMPUTED_VALUE"""),"RTS 100538")</f>
        <v>RTS 100538</v>
      </c>
      <c r="K449" s="2" t="str">
        <f>IFERROR(__xludf.DUMMYFUNCTION("""COMPUTED_VALUE"""),"R-SERIES 434 PH")</f>
        <v>R-SERIES 434 PH</v>
      </c>
      <c r="L449" s="2" t="str">
        <f>IFERROR(__xludf.DUMMYFUNCTION("""COMPUTED_VALUE"""),"LSGW1750 RMP 24040686")</f>
        <v>LSGW1750 RMP 24040686</v>
      </c>
      <c r="M449" s="2" t="str">
        <f>IFERROR(__xludf.DUMMYFUNCTION("""COMPUTED_VALUE"""),"WDP40 RMP 24040424")</f>
        <v>WDP40 RMP 24040424</v>
      </c>
      <c r="N449" s="2"/>
      <c r="O449" s="2" t="str">
        <f>IFERROR(__xludf.DUMMYFUNCTION("""COMPUTED_VALUE"""),"Madarag")</f>
        <v>Madarag</v>
      </c>
      <c r="P449" s="2" t="str">
        <f>IFERROR(__xludf.DUMMYFUNCTION("""COMPUTED_VALUE"""),"San Enrique")</f>
        <v>San Enrique</v>
      </c>
      <c r="Q449" s="2" t="str">
        <f>IFERROR(__xludf.DUMMYFUNCTION("""COMPUTED_VALUE"""),"Iloilo")</f>
        <v>Iloilo</v>
      </c>
      <c r="R449" s="2">
        <f>IFERROR(__xludf.DUMMYFUNCTION("""COMPUTED_VALUE"""),6.0)</f>
        <v>6</v>
      </c>
      <c r="S449" s="2"/>
      <c r="T449" s="2"/>
    </row>
    <row r="450">
      <c r="A450" s="1">
        <f>IFERROR(__xludf.DUMMYFUNCTION("""COMPUTED_VALUE"""),448.0)</f>
        <v>448</v>
      </c>
      <c r="B450" s="2" t="str">
        <f>IFERROR(__xludf.DUMMYFUNCTION("""COMPUTED_VALUE"""),"Pili Farmers Association")</f>
        <v>Pili Farmers Association</v>
      </c>
      <c r="C450" s="2" t="str">
        <f>IFERROR(__xludf.DUMMYFUNCTION("""COMPUTED_VALUE"""),"Pili, Ajuy, ILOILO")</f>
        <v>Pili, Ajuy, ILOILO</v>
      </c>
      <c r="D450" s="2" t="str">
        <f>IFERROR(__xludf.DUMMYFUNCTION("""COMPUTED_VALUE"""),"Ariel J. Asong")</f>
        <v>Ariel J. Asong</v>
      </c>
      <c r="E450" s="2" t="str">
        <f>IFERROR(__xludf.DUMMYFUNCTION("""COMPUTED_VALUE"""),"0930 292 3044")</f>
        <v>0930 292 3044</v>
      </c>
      <c r="F450" s="2" t="str">
        <f>IFERROR(__xludf.DUMMYFUNCTION("""COMPUTED_VALUE"""),"RCEF 23-09-21 Rebidding")</f>
        <v>RCEF 23-09-21 Rebidding</v>
      </c>
      <c r="G450" s="2">
        <f>IFERROR(__xludf.DUMMYFUNCTION("""COMPUTED_VALUE"""),4.0)</f>
        <v>4</v>
      </c>
      <c r="H450" s="2">
        <f>IFERROR(__xludf.DUMMYFUNCTION("""COMPUTED_VALUE"""),19106.0)</f>
        <v>19106</v>
      </c>
      <c r="I450" s="2" t="str">
        <f>IFERROR(__xludf.DUMMYFUNCTION("""COMPUTED_VALUE"""),"KMC5825 AARFPV0153")</f>
        <v>KMC5825 AARFPV0153</v>
      </c>
      <c r="J450" s="2" t="str">
        <f>IFERROR(__xludf.DUMMYFUNCTION("""COMPUTED_VALUE"""),"RTS 100101")</f>
        <v>RTS 100101</v>
      </c>
      <c r="K450" s="2" t="str">
        <f>IFERROR(__xludf.DUMMYFUNCTION("""COMPUTED_VALUE"""),"WR-SERIES 719 PH")</f>
        <v>WR-SERIES 719 PH</v>
      </c>
      <c r="L450" s="2" t="str">
        <f>IFERROR(__xludf.DUMMYFUNCTION("""COMPUTED_VALUE"""),"LSGW1750 RMP 24040704")</f>
        <v>LSGW1750 RMP 24040704</v>
      </c>
      <c r="M450" s="2" t="str">
        <f>IFERROR(__xludf.DUMMYFUNCTION("""COMPUTED_VALUE"""),"WDP40 RMP 24040453")</f>
        <v>WDP40 RMP 24040453</v>
      </c>
      <c r="N450" s="2"/>
      <c r="O450" s="2" t="str">
        <f>IFERROR(__xludf.DUMMYFUNCTION("""COMPUTED_VALUE"""),"Pili")</f>
        <v>Pili</v>
      </c>
      <c r="P450" s="2" t="str">
        <f>IFERROR(__xludf.DUMMYFUNCTION("""COMPUTED_VALUE"""),"Ajuy")</f>
        <v>Ajuy</v>
      </c>
      <c r="Q450" s="2" t="str">
        <f>IFERROR(__xludf.DUMMYFUNCTION("""COMPUTED_VALUE"""),"Iloilo")</f>
        <v>Iloilo</v>
      </c>
      <c r="R450" s="2">
        <f>IFERROR(__xludf.DUMMYFUNCTION("""COMPUTED_VALUE"""),6.0)</f>
        <v>6</v>
      </c>
      <c r="S450" s="2"/>
      <c r="T450" s="2"/>
    </row>
    <row r="451">
      <c r="A451" s="1">
        <f>IFERROR(__xludf.DUMMYFUNCTION("""COMPUTED_VALUE"""),449.0)</f>
        <v>449</v>
      </c>
      <c r="B451" s="2" t="str">
        <f>IFERROR(__xludf.DUMMYFUNCTION("""COMPUTED_VALUE"""),"Puente Bunglas Farmers Association")</f>
        <v>Puente Bunglas Farmers Association</v>
      </c>
      <c r="C451" s="2" t="str">
        <f>IFERROR(__xludf.DUMMYFUNCTION("""COMPUTED_VALUE"""),"Puente Bunglas, Ajuy, ILOILO")</f>
        <v>Puente Bunglas, Ajuy, ILOILO</v>
      </c>
      <c r="D451" s="2" t="str">
        <f>IFERROR(__xludf.DUMMYFUNCTION("""COMPUTED_VALUE"""),"Riza R. Eler")</f>
        <v>Riza R. Eler</v>
      </c>
      <c r="E451" s="2">
        <f>IFERROR(__xludf.DUMMYFUNCTION("""COMPUTED_VALUE"""),9.382247049E9)</f>
        <v>9382247049</v>
      </c>
      <c r="F451" s="2" t="str">
        <f>IFERROR(__xludf.DUMMYFUNCTION("""COMPUTED_VALUE"""),"RCEF 23-09-21 Rebidding")</f>
        <v>RCEF 23-09-21 Rebidding</v>
      </c>
      <c r="G451" s="2">
        <f>IFERROR(__xludf.DUMMYFUNCTION("""COMPUTED_VALUE"""),4.0)</f>
        <v>4</v>
      </c>
      <c r="H451" s="2">
        <f>IFERROR(__xludf.DUMMYFUNCTION("""COMPUTED_VALUE"""),19107.0)</f>
        <v>19107</v>
      </c>
      <c r="I451" s="2" t="str">
        <f>IFERROR(__xludf.DUMMYFUNCTION("""COMPUTED_VALUE"""),"KMC5825 ATRFPV0306")</f>
        <v>KMC5825 ATRFPV0306</v>
      </c>
      <c r="J451" s="2" t="str">
        <f>IFERROR(__xludf.DUMMYFUNCTION("""COMPUTED_VALUE"""),"RTS 100181")</f>
        <v>RTS 100181</v>
      </c>
      <c r="K451" s="2" t="str">
        <f>IFERROR(__xludf.DUMMYFUNCTION("""COMPUTED_VALUE"""),"WR-SERIES 713 PH")</f>
        <v>WR-SERIES 713 PH</v>
      </c>
      <c r="L451" s="2" t="str">
        <f>IFERROR(__xludf.DUMMYFUNCTION("""COMPUTED_VALUE"""),"LSGW1750 RMP 24040708")</f>
        <v>LSGW1750 RMP 24040708</v>
      </c>
      <c r="M451" s="2" t="str">
        <f>IFERROR(__xludf.DUMMYFUNCTION("""COMPUTED_VALUE"""),"WDP40 RMP 24040407")</f>
        <v>WDP40 RMP 24040407</v>
      </c>
      <c r="N451" s="2"/>
      <c r="O451" s="2" t="str">
        <f>IFERROR(__xludf.DUMMYFUNCTION("""COMPUTED_VALUE"""),"Puente Bunglas")</f>
        <v>Puente Bunglas</v>
      </c>
      <c r="P451" s="2" t="str">
        <f>IFERROR(__xludf.DUMMYFUNCTION("""COMPUTED_VALUE"""),"Ajuy")</f>
        <v>Ajuy</v>
      </c>
      <c r="Q451" s="2" t="str">
        <f>IFERROR(__xludf.DUMMYFUNCTION("""COMPUTED_VALUE"""),"Iloilo")</f>
        <v>Iloilo</v>
      </c>
      <c r="R451" s="2">
        <f>IFERROR(__xludf.DUMMYFUNCTION("""COMPUTED_VALUE"""),6.0)</f>
        <v>6</v>
      </c>
      <c r="S451" s="2"/>
      <c r="T451" s="2"/>
    </row>
    <row r="452">
      <c r="A452" s="1">
        <f>IFERROR(__xludf.DUMMYFUNCTION("""COMPUTED_VALUE"""),450.0)</f>
        <v>450</v>
      </c>
      <c r="B452" s="2" t="str">
        <f>IFERROR(__xludf.DUMMYFUNCTION("""COMPUTED_VALUE"""),"TIMIPAL AGRARIAN REFORM BENEFICIARIES MULTI-PURPOSE COOPERATIVE")</f>
        <v>TIMIPAL AGRARIAN REFORM BENEFICIARIES MULTI-PURPOSE COOPERATIVE</v>
      </c>
      <c r="C452" s="2" t="str">
        <f>IFERROR(__xludf.DUMMYFUNCTION("""COMPUTED_VALUE"""),"Pani-an, Balasan, ILOILO")</f>
        <v>Pani-an, Balasan, ILOILO</v>
      </c>
      <c r="D452" s="2" t="str">
        <f>IFERROR(__xludf.DUMMYFUNCTION("""COMPUTED_VALUE"""),"Alberto C. Lamigo")</f>
        <v>Alberto C. Lamigo</v>
      </c>
      <c r="E452" s="2">
        <f>IFERROR(__xludf.DUMMYFUNCTION("""COMPUTED_VALUE"""),9.128453091E9)</f>
        <v>9128453091</v>
      </c>
      <c r="F452" s="2" t="str">
        <f>IFERROR(__xludf.DUMMYFUNCTION("""COMPUTED_VALUE"""),"RCEF 23-09-21 Rebidding")</f>
        <v>RCEF 23-09-21 Rebidding</v>
      </c>
      <c r="G452" s="2">
        <f>IFERROR(__xludf.DUMMYFUNCTION("""COMPUTED_VALUE"""),4.0)</f>
        <v>4</v>
      </c>
      <c r="H452" s="2">
        <f>IFERROR(__xludf.DUMMYFUNCTION("""COMPUTED_VALUE"""),19108.0)</f>
        <v>19108</v>
      </c>
      <c r="I452" s="2" t="str">
        <f>IFERROR(__xludf.DUMMYFUNCTION("""COMPUTED_VALUE"""),"KMC5825 AKRFPV0583")</f>
        <v>KMC5825 AKRFPV0583</v>
      </c>
      <c r="J452" s="2" t="str">
        <f>IFERROR(__xludf.DUMMYFUNCTION("""COMPUTED_VALUE"""),"RTS 100401")</f>
        <v>RTS 100401</v>
      </c>
      <c r="K452" s="2" t="str">
        <f>IFERROR(__xludf.DUMMYFUNCTION("""COMPUTED_VALUE"""),"WH-SERIES 450 PH")</f>
        <v>WH-SERIES 450 PH</v>
      </c>
      <c r="L452" s="2" t="str">
        <f>IFERROR(__xludf.DUMMYFUNCTION("""COMPUTED_VALUE"""),"LSGW1750 RMP 24040680")</f>
        <v>LSGW1750 RMP 24040680</v>
      </c>
      <c r="M452" s="2" t="str">
        <f>IFERROR(__xludf.DUMMYFUNCTION("""COMPUTED_VALUE"""),"WDP40 RMP 24040451")</f>
        <v>WDP40 RMP 24040451</v>
      </c>
      <c r="N452" s="2"/>
      <c r="O452" s="2" t="str">
        <f>IFERROR(__xludf.DUMMYFUNCTION("""COMPUTED_VALUE"""),"Pani-An")</f>
        <v>Pani-An</v>
      </c>
      <c r="P452" s="2" t="str">
        <f>IFERROR(__xludf.DUMMYFUNCTION("""COMPUTED_VALUE"""),"Balasan")</f>
        <v>Balasan</v>
      </c>
      <c r="Q452" s="2" t="str">
        <f>IFERROR(__xludf.DUMMYFUNCTION("""COMPUTED_VALUE"""),"Iloilo")</f>
        <v>Iloilo</v>
      </c>
      <c r="R452" s="2">
        <f>IFERROR(__xludf.DUMMYFUNCTION("""COMPUTED_VALUE"""),6.0)</f>
        <v>6</v>
      </c>
      <c r="S452" s="2"/>
      <c r="T452" s="2"/>
    </row>
    <row r="453">
      <c r="A453" s="1">
        <f>IFERROR(__xludf.DUMMYFUNCTION("""COMPUTED_VALUE"""),451.0)</f>
        <v>451</v>
      </c>
      <c r="B453" s="2" t="str">
        <f>IFERROR(__xludf.DUMMYFUNCTION("""COMPUTED_VALUE"""),"Aglosong-Bachawan Norte Community Participatory Action Research")</f>
        <v>Aglosong-Bachawan Norte Community Participatory Action Research</v>
      </c>
      <c r="C453" s="2" t="str">
        <f>IFERROR(__xludf.DUMMYFUNCTION("""COMPUTED_VALUE"""),"Aglosong, Concepcion, ILOILO")</f>
        <v>Aglosong, Concepcion, ILOILO</v>
      </c>
      <c r="D453" s="2" t="str">
        <f>IFERROR(__xludf.DUMMYFUNCTION("""COMPUTED_VALUE"""),"Gilbert J. Balida")</f>
        <v>Gilbert J. Balida</v>
      </c>
      <c r="E453" s="2" t="str">
        <f>IFERROR(__xludf.DUMMYFUNCTION("""COMPUTED_VALUE"""),"0916 278 6205")</f>
        <v>0916 278 6205</v>
      </c>
      <c r="F453" s="2" t="str">
        <f>IFERROR(__xludf.DUMMYFUNCTION("""COMPUTED_VALUE"""),"RCEF 23-09-21 Rebidding")</f>
        <v>RCEF 23-09-21 Rebidding</v>
      </c>
      <c r="G453" s="2">
        <f>IFERROR(__xludf.DUMMYFUNCTION("""COMPUTED_VALUE"""),4.0)</f>
        <v>4</v>
      </c>
      <c r="H453" s="2">
        <f>IFERROR(__xludf.DUMMYFUNCTION("""COMPUTED_VALUE"""),19109.0)</f>
        <v>19109</v>
      </c>
      <c r="I453" s="2" t="str">
        <f>IFERROR(__xludf.DUMMYFUNCTION("""COMPUTED_VALUE"""),"KMC5825 AKRFPV0406")</f>
        <v>KMC5825 AKRFPV0406</v>
      </c>
      <c r="J453" s="2" t="str">
        <f>IFERROR(__xludf.DUMMYFUNCTION("""COMPUTED_VALUE"""),"RTS 100313")</f>
        <v>RTS 100313</v>
      </c>
      <c r="K453" s="2" t="str">
        <f>IFERROR(__xludf.DUMMYFUNCTION("""COMPUTED_VALUE"""),"WH-SERIES 879 PH")</f>
        <v>WH-SERIES 879 PH</v>
      </c>
      <c r="L453" s="2" t="str">
        <f>IFERROR(__xludf.DUMMYFUNCTION("""COMPUTED_VALUE"""),"LSGW1750 RMP 24040690")</f>
        <v>LSGW1750 RMP 24040690</v>
      </c>
      <c r="M453" s="2" t="str">
        <f>IFERROR(__xludf.DUMMYFUNCTION("""COMPUTED_VALUE"""),"WDP40 RMP 24040404")</f>
        <v>WDP40 RMP 24040404</v>
      </c>
      <c r="N453" s="2"/>
      <c r="O453" s="2" t="str">
        <f>IFERROR(__xludf.DUMMYFUNCTION("""COMPUTED_VALUE"""),"Aglosong")</f>
        <v>Aglosong</v>
      </c>
      <c r="P453" s="2" t="str">
        <f>IFERROR(__xludf.DUMMYFUNCTION("""COMPUTED_VALUE"""),"Concepcion")</f>
        <v>Concepcion</v>
      </c>
      <c r="Q453" s="2" t="str">
        <f>IFERROR(__xludf.DUMMYFUNCTION("""COMPUTED_VALUE"""),"Iloilo")</f>
        <v>Iloilo</v>
      </c>
      <c r="R453" s="2">
        <f>IFERROR(__xludf.DUMMYFUNCTION("""COMPUTED_VALUE"""),6.0)</f>
        <v>6</v>
      </c>
      <c r="S453" s="2"/>
      <c r="T453" s="2"/>
    </row>
    <row r="454">
      <c r="A454" s="1">
        <f>IFERROR(__xludf.DUMMYFUNCTION("""COMPUTED_VALUE"""),452.0)</f>
        <v>452</v>
      </c>
      <c r="B454" s="2" t="str">
        <f>IFERROR(__xludf.DUMMYFUNCTION("""COMPUTED_VALUE"""),"Brgy. Bankal Farmers Association")</f>
        <v>Brgy. Bankal Farmers Association</v>
      </c>
      <c r="C454" s="2" t="str">
        <f>IFERROR(__xludf.DUMMYFUNCTION("""COMPUTED_VALUE"""),"Bankal, Lemery, ILOILO")</f>
        <v>Bankal, Lemery, ILOILO</v>
      </c>
      <c r="D454" s="2" t="str">
        <f>IFERROR(__xludf.DUMMYFUNCTION("""COMPUTED_VALUE"""),"Eugenio Dable")</f>
        <v>Eugenio Dable</v>
      </c>
      <c r="E454" s="2">
        <f>IFERROR(__xludf.DUMMYFUNCTION("""COMPUTED_VALUE"""),9.070819944E9)</f>
        <v>9070819944</v>
      </c>
      <c r="F454" s="2" t="str">
        <f>IFERROR(__xludf.DUMMYFUNCTION("""COMPUTED_VALUE"""),"RCEF 23-09-21 Rebidding")</f>
        <v>RCEF 23-09-21 Rebidding</v>
      </c>
      <c r="G454" s="2">
        <f>IFERROR(__xludf.DUMMYFUNCTION("""COMPUTED_VALUE"""),4.0)</f>
        <v>4</v>
      </c>
      <c r="H454" s="2">
        <f>IFERROR(__xludf.DUMMYFUNCTION("""COMPUTED_VALUE"""),19110.0)</f>
        <v>19110</v>
      </c>
      <c r="I454" s="2" t="str">
        <f>IFERROR(__xludf.DUMMYFUNCTION("""COMPUTED_VALUE"""),"KMC5825 ACRFPV0675")</f>
        <v>KMC5825 ACRFPV0675</v>
      </c>
      <c r="J454" s="2" t="str">
        <f>IFERROR(__xludf.DUMMYFUNCTION("""COMPUTED_VALUE"""),"RTS 100568")</f>
        <v>RTS 100568</v>
      </c>
      <c r="K454" s="2" t="str">
        <f>IFERROR(__xludf.DUMMYFUNCTION("""COMPUTED_VALUE"""),"WR-SERIES 852 PH")</f>
        <v>WR-SERIES 852 PH</v>
      </c>
      <c r="L454" s="2" t="str">
        <f>IFERROR(__xludf.DUMMYFUNCTION("""COMPUTED_VALUE"""),"LSGW1750 RMP 24040683")</f>
        <v>LSGW1750 RMP 24040683</v>
      </c>
      <c r="M454" s="2" t="str">
        <f>IFERROR(__xludf.DUMMYFUNCTION("""COMPUTED_VALUE"""),"WDP40 RMP 24040403")</f>
        <v>WDP40 RMP 24040403</v>
      </c>
      <c r="N454" s="2"/>
      <c r="O454" s="2" t="str">
        <f>IFERROR(__xludf.DUMMYFUNCTION("""COMPUTED_VALUE"""),"Bankal")</f>
        <v>Bankal</v>
      </c>
      <c r="P454" s="2" t="str">
        <f>IFERROR(__xludf.DUMMYFUNCTION("""COMPUTED_VALUE"""),"Lemery")</f>
        <v>Lemery</v>
      </c>
      <c r="Q454" s="2" t="str">
        <f>IFERROR(__xludf.DUMMYFUNCTION("""COMPUTED_VALUE"""),"Iloilo")</f>
        <v>Iloilo</v>
      </c>
      <c r="R454" s="2">
        <f>IFERROR(__xludf.DUMMYFUNCTION("""COMPUTED_VALUE"""),6.0)</f>
        <v>6</v>
      </c>
      <c r="S454" s="2"/>
      <c r="T454" s="2"/>
    </row>
    <row r="455">
      <c r="A455" s="1">
        <f>IFERROR(__xludf.DUMMYFUNCTION("""COMPUTED_VALUE"""),453.0)</f>
        <v>453</v>
      </c>
      <c r="B455" s="2" t="str">
        <f>IFERROR(__xludf.DUMMYFUNCTION("""COMPUTED_VALUE"""),"Capisanan Agrarian Reform Cooperative")</f>
        <v>Capisanan Agrarian Reform Cooperative</v>
      </c>
      <c r="C455" s="2" t="str">
        <f>IFERROR(__xludf.DUMMYFUNCTION("""COMPUTED_VALUE"""),"Capinang, San Dionisio, ILOILO")</f>
        <v>Capinang, San Dionisio, ILOILO</v>
      </c>
      <c r="D455" s="2" t="str">
        <f>IFERROR(__xludf.DUMMYFUNCTION("""COMPUTED_VALUE"""),"Julius G. Bolivar")</f>
        <v>Julius G. Bolivar</v>
      </c>
      <c r="E455" s="2">
        <f>IFERROR(__xludf.DUMMYFUNCTION("""COMPUTED_VALUE"""),9.977287574E9)</f>
        <v>9977287574</v>
      </c>
      <c r="F455" s="2" t="str">
        <f>IFERROR(__xludf.DUMMYFUNCTION("""COMPUTED_VALUE"""),"RCEF 23-09-21 Rebidding")</f>
        <v>RCEF 23-09-21 Rebidding</v>
      </c>
      <c r="G455" s="2">
        <f>IFERROR(__xludf.DUMMYFUNCTION("""COMPUTED_VALUE"""),4.0)</f>
        <v>4</v>
      </c>
      <c r="H455" s="2">
        <f>IFERROR(__xludf.DUMMYFUNCTION("""COMPUTED_VALUE"""),19111.0)</f>
        <v>19111</v>
      </c>
      <c r="I455" s="2" t="str">
        <f>IFERROR(__xludf.DUMMYFUNCTION("""COMPUTED_VALUE"""),"KMC5825 ACRFPV0630")</f>
        <v>KMC5825 ACRFPV0630</v>
      </c>
      <c r="J455" s="2" t="str">
        <f>IFERROR(__xludf.DUMMYFUNCTION("""COMPUTED_VALUE"""),"RTS 100517")</f>
        <v>RTS 100517</v>
      </c>
      <c r="K455" s="2" t="str">
        <f>IFERROR(__xludf.DUMMYFUNCTION("""COMPUTED_VALUE"""),"WR-SERIES 876 PH")</f>
        <v>WR-SERIES 876 PH</v>
      </c>
      <c r="L455" s="2" t="str">
        <f>IFERROR(__xludf.DUMMYFUNCTION("""COMPUTED_VALUE"""),"LSGW1750 RMP 24040717")</f>
        <v>LSGW1750 RMP 24040717</v>
      </c>
      <c r="M455" s="2" t="str">
        <f>IFERROR(__xludf.DUMMYFUNCTION("""COMPUTED_VALUE"""),"WDP40 RMP 24040413")</f>
        <v>WDP40 RMP 24040413</v>
      </c>
      <c r="N455" s="2"/>
      <c r="O455" s="2" t="str">
        <f>IFERROR(__xludf.DUMMYFUNCTION("""COMPUTED_VALUE"""),"Capinang")</f>
        <v>Capinang</v>
      </c>
      <c r="P455" s="2" t="str">
        <f>IFERROR(__xludf.DUMMYFUNCTION("""COMPUTED_VALUE"""),"San Dionisio")</f>
        <v>San Dionisio</v>
      </c>
      <c r="Q455" s="2" t="str">
        <f>IFERROR(__xludf.DUMMYFUNCTION("""COMPUTED_VALUE"""),"Iloilo")</f>
        <v>Iloilo</v>
      </c>
      <c r="R455" s="2">
        <f>IFERROR(__xludf.DUMMYFUNCTION("""COMPUTED_VALUE"""),6.0)</f>
        <v>6</v>
      </c>
      <c r="S455" s="2"/>
      <c r="T455" s="2"/>
    </row>
    <row r="456">
      <c r="A456" s="1">
        <f>IFERROR(__xludf.DUMMYFUNCTION("""COMPUTED_VALUE"""),454.0)</f>
        <v>454</v>
      </c>
      <c r="B456" s="2" t="str">
        <f>IFERROR(__xludf.DUMMYFUNCTION("""COMPUTED_VALUE"""),"SAN ANDRES FARMERS ASSOCIATION")</f>
        <v>SAN ANDRES FARMERS ASSOCIATION</v>
      </c>
      <c r="C456" s="2" t="str">
        <f>IFERROR(__xludf.DUMMYFUNCTION("""COMPUTED_VALUE"""),"San Andres, San Rafael, ILOILO")</f>
        <v>San Andres, San Rafael, ILOILO</v>
      </c>
      <c r="D456" s="2" t="str">
        <f>IFERROR(__xludf.DUMMYFUNCTION("""COMPUTED_VALUE"""),"Rodolfo A. Madrigal")</f>
        <v>Rodolfo A. Madrigal</v>
      </c>
      <c r="E456" s="2">
        <f>IFERROR(__xludf.DUMMYFUNCTION("""COMPUTED_VALUE"""),9.460210643E9)</f>
        <v>9460210643</v>
      </c>
      <c r="F456" s="2" t="str">
        <f>IFERROR(__xludf.DUMMYFUNCTION("""COMPUTED_VALUE"""),"RCEF 23-09-21 Rebidding")</f>
        <v>RCEF 23-09-21 Rebidding</v>
      </c>
      <c r="G456" s="2">
        <f>IFERROR(__xludf.DUMMYFUNCTION("""COMPUTED_VALUE"""),4.0)</f>
        <v>4</v>
      </c>
      <c r="H456" s="2">
        <f>IFERROR(__xludf.DUMMYFUNCTION("""COMPUTED_VALUE"""),19112.0)</f>
        <v>19112</v>
      </c>
      <c r="I456" s="2" t="str">
        <f>IFERROR(__xludf.DUMMYFUNCTION("""COMPUTED_VALUE"""),"KMC5825 ACRFPV0473")</f>
        <v>KMC5825 ACRFPV0473</v>
      </c>
      <c r="J456" s="2" t="str">
        <f>IFERROR(__xludf.DUMMYFUNCTION("""COMPUTED_VALUE"""),"RTS 100391")</f>
        <v>RTS 100391</v>
      </c>
      <c r="K456" s="2" t="str">
        <f>IFERROR(__xludf.DUMMYFUNCTION("""COMPUTED_VALUE"""),"WR-SERIES 878 PH")</f>
        <v>WR-SERIES 878 PH</v>
      </c>
      <c r="L456" s="2" t="str">
        <f>IFERROR(__xludf.DUMMYFUNCTION("""COMPUTED_VALUE"""),"LSGW1750 RMP 24040697")</f>
        <v>LSGW1750 RMP 24040697</v>
      </c>
      <c r="M456" s="2" t="str">
        <f>IFERROR(__xludf.DUMMYFUNCTION("""COMPUTED_VALUE"""),"WDP40 RMP 24040418")</f>
        <v>WDP40 RMP 24040418</v>
      </c>
      <c r="N456" s="2"/>
      <c r="O456" s="2" t="str">
        <f>IFERROR(__xludf.DUMMYFUNCTION("""COMPUTED_VALUE"""),"San Andres")</f>
        <v>San Andres</v>
      </c>
      <c r="P456" s="2" t="str">
        <f>IFERROR(__xludf.DUMMYFUNCTION("""COMPUTED_VALUE"""),"San Rafael")</f>
        <v>San Rafael</v>
      </c>
      <c r="Q456" s="2" t="str">
        <f>IFERROR(__xludf.DUMMYFUNCTION("""COMPUTED_VALUE"""),"Iloilo")</f>
        <v>Iloilo</v>
      </c>
      <c r="R456" s="2">
        <f>IFERROR(__xludf.DUMMYFUNCTION("""COMPUTED_VALUE"""),6.0)</f>
        <v>6</v>
      </c>
      <c r="S456" s="2"/>
      <c r="T456" s="2"/>
    </row>
    <row r="457">
      <c r="A457" s="1">
        <f>IFERROR(__xludf.DUMMYFUNCTION("""COMPUTED_VALUE"""),455.0)</f>
        <v>455</v>
      </c>
      <c r="B457" s="2" t="str">
        <f>IFERROR(__xludf.DUMMYFUNCTION("""COMPUTED_VALUE"""),"HACIENDEROS AGRARIAN REFORM COOPERATIVE")</f>
        <v>HACIENDEROS AGRARIAN REFORM COOPERATIVE</v>
      </c>
      <c r="C457" s="2" t="str">
        <f>IFERROR(__xludf.DUMMYFUNCTION("""COMPUTED_VALUE"""),"Tabunan, Bago City, NEGROS OCCIDENTAL")</f>
        <v>Tabunan, Bago City, NEGROS OCCIDENTAL</v>
      </c>
      <c r="D457" s="2" t="str">
        <f>IFERROR(__xludf.DUMMYFUNCTION("""COMPUTED_VALUE"""),"NOEL L. BENJAMIN")</f>
        <v>NOEL L. BENJAMIN</v>
      </c>
      <c r="E457" s="2">
        <f>IFERROR(__xludf.DUMMYFUNCTION("""COMPUTED_VALUE"""),9.275748995E9)</f>
        <v>9275748995</v>
      </c>
      <c r="F457" s="2" t="str">
        <f>IFERROR(__xludf.DUMMYFUNCTION("""COMPUTED_VALUE"""),"RCEF 23-09-21 Rebidding")</f>
        <v>RCEF 23-09-21 Rebidding</v>
      </c>
      <c r="G457" s="2">
        <f>IFERROR(__xludf.DUMMYFUNCTION("""COMPUTED_VALUE"""),4.0)</f>
        <v>4</v>
      </c>
      <c r="H457" s="2">
        <f>IFERROR(__xludf.DUMMYFUNCTION("""COMPUTED_VALUE"""),19113.0)</f>
        <v>19113</v>
      </c>
      <c r="I457" s="2" t="str">
        <f>IFERROR(__xludf.DUMMYFUNCTION("""COMPUTED_VALUE"""),"KMC5825 AARFPV0718")</f>
        <v>KMC5825 AARFPV0718</v>
      </c>
      <c r="J457" s="2" t="str">
        <f>IFERROR(__xludf.DUMMYFUNCTION("""COMPUTED_VALUE"""),"RTS 100302")</f>
        <v>RTS 100302</v>
      </c>
      <c r="K457" s="2" t="str">
        <f>IFERROR(__xludf.DUMMYFUNCTION("""COMPUTED_VALUE"""),"WR-SERIES 814 PH")</f>
        <v>WR-SERIES 814 PH</v>
      </c>
      <c r="L457" s="2" t="str">
        <f>IFERROR(__xludf.DUMMYFUNCTION("""COMPUTED_VALUE"""),"LSGW1750 RMP 24010107")</f>
        <v>LSGW1750 RMP 24010107</v>
      </c>
      <c r="M457" s="2" t="str">
        <f>IFERROR(__xludf.DUMMYFUNCTION("""COMPUTED_VALUE"""),"WDP40 RMP 24050583")</f>
        <v>WDP40 RMP 24050583</v>
      </c>
      <c r="N457" s="2"/>
      <c r="O457" s="2" t="str">
        <f>IFERROR(__xludf.DUMMYFUNCTION("""COMPUTED_VALUE"""),"Tabunan")</f>
        <v>Tabunan</v>
      </c>
      <c r="P457" s="2" t="str">
        <f>IFERROR(__xludf.DUMMYFUNCTION("""COMPUTED_VALUE"""),"Bago City")</f>
        <v>Bago City</v>
      </c>
      <c r="Q457" s="2" t="str">
        <f>IFERROR(__xludf.DUMMYFUNCTION("""COMPUTED_VALUE"""),"Negros Occidental")</f>
        <v>Negros Occidental</v>
      </c>
      <c r="R457" s="2" t="str">
        <f>IFERROR(__xludf.DUMMYFUNCTION("""COMPUTED_VALUE"""),"NIR")</f>
        <v>NIR</v>
      </c>
      <c r="S457" s="2"/>
      <c r="T457" s="2"/>
    </row>
    <row r="458">
      <c r="A458" s="1">
        <f>IFERROR(__xludf.DUMMYFUNCTION("""COMPUTED_VALUE"""),456.0)</f>
        <v>456</v>
      </c>
      <c r="B458" s="2" t="str">
        <f>IFERROR(__xludf.DUMMYFUNCTION("""COMPUTED_VALUE"""),"KATILINGBAN DULAO IRRIGATORS' ASSOCIATION, INC.")</f>
        <v>KATILINGBAN DULAO IRRIGATORS' ASSOCIATION, INC.</v>
      </c>
      <c r="C458" s="2" t="str">
        <f>IFERROR(__xludf.DUMMYFUNCTION("""COMPUTED_VALUE"""),"Dulao, Bago City, NEGROS OCCIDENTAL")</f>
        <v>Dulao, Bago City, NEGROS OCCIDENTAL</v>
      </c>
      <c r="D458" s="2" t="str">
        <f>IFERROR(__xludf.DUMMYFUNCTION("""COMPUTED_VALUE"""),"JIMMY S. GUZON")</f>
        <v>JIMMY S. GUZON</v>
      </c>
      <c r="E458" s="2">
        <f>IFERROR(__xludf.DUMMYFUNCTION("""COMPUTED_VALUE"""),9.096144575E9)</f>
        <v>9096144575</v>
      </c>
      <c r="F458" s="2" t="str">
        <f>IFERROR(__xludf.DUMMYFUNCTION("""COMPUTED_VALUE"""),"RCEF 23-09-21 Rebidding")</f>
        <v>RCEF 23-09-21 Rebidding</v>
      </c>
      <c r="G458" s="2">
        <f>IFERROR(__xludf.DUMMYFUNCTION("""COMPUTED_VALUE"""),4.0)</f>
        <v>4</v>
      </c>
      <c r="H458" s="2">
        <f>IFERROR(__xludf.DUMMYFUNCTION("""COMPUTED_VALUE"""),19114.0)</f>
        <v>19114</v>
      </c>
      <c r="I458" s="2" t="str">
        <f>IFERROR(__xludf.DUMMYFUNCTION("""COMPUTED_VALUE"""),"KMC5825 AVRFPV0717")</f>
        <v>KMC5825 AVRFPV0717</v>
      </c>
      <c r="J458" s="2" t="str">
        <f>IFERROR(__xludf.DUMMYFUNCTION("""COMPUTED_VALUE"""),"RTS 100598")</f>
        <v>RTS 100598</v>
      </c>
      <c r="K458" s="2" t="str">
        <f>IFERROR(__xludf.DUMMYFUNCTION("""COMPUTED_VALUE"""),"WR-SERIES 994 PH")</f>
        <v>WR-SERIES 994 PH</v>
      </c>
      <c r="L458" s="2" t="str">
        <f>IFERROR(__xludf.DUMMYFUNCTION("""COMPUTED_VALUE"""),"LSGW1750 RMP 24010108")</f>
        <v>LSGW1750 RMP 24010108</v>
      </c>
      <c r="M458" s="2" t="str">
        <f>IFERROR(__xludf.DUMMYFUNCTION("""COMPUTED_VALUE"""),"WDP40 RMP 24050608")</f>
        <v>WDP40 RMP 24050608</v>
      </c>
      <c r="N458" s="2"/>
      <c r="O458" s="2" t="str">
        <f>IFERROR(__xludf.DUMMYFUNCTION("""COMPUTED_VALUE"""),"Dulao")</f>
        <v>Dulao</v>
      </c>
      <c r="P458" s="2" t="str">
        <f>IFERROR(__xludf.DUMMYFUNCTION("""COMPUTED_VALUE"""),"Bago City")</f>
        <v>Bago City</v>
      </c>
      <c r="Q458" s="2" t="str">
        <f>IFERROR(__xludf.DUMMYFUNCTION("""COMPUTED_VALUE"""),"Negros Occidental")</f>
        <v>Negros Occidental</v>
      </c>
      <c r="R458" s="2" t="str">
        <f>IFERROR(__xludf.DUMMYFUNCTION("""COMPUTED_VALUE"""),"NIR")</f>
        <v>NIR</v>
      </c>
      <c r="S458" s="2"/>
      <c r="T458" s="2"/>
    </row>
    <row r="459">
      <c r="A459" s="1">
        <f>IFERROR(__xludf.DUMMYFUNCTION("""COMPUTED_VALUE"""),457.0)</f>
        <v>457</v>
      </c>
      <c r="B459" s="2" t="str">
        <f>IFERROR(__xludf.DUMMYFUNCTION("""COMPUTED_VALUE"""),"MARCEL DEL PILAR FARMERS ASSOCIATION (MDPILFA)")</f>
        <v>MARCEL DEL PILAR FARMERS ASSOCIATION (MDPILFA)</v>
      </c>
      <c r="C459" s="2" t="str">
        <f>IFERROR(__xludf.DUMMYFUNCTION("""COMPUTED_VALUE"""),"M. H. Del Pilar, Pontevedra, NEGROS OCCIDENTAL")</f>
        <v>M. H. Del Pilar, Pontevedra, NEGROS OCCIDENTAL</v>
      </c>
      <c r="D459" s="2" t="str">
        <f>IFERROR(__xludf.DUMMYFUNCTION("""COMPUTED_VALUE"""),"JENNY E. SALIDARES")</f>
        <v>JENNY E. SALIDARES</v>
      </c>
      <c r="E459" s="2">
        <f>IFERROR(__xludf.DUMMYFUNCTION("""COMPUTED_VALUE"""),9.338192826E9)</f>
        <v>9338192826</v>
      </c>
      <c r="F459" s="2" t="str">
        <f>IFERROR(__xludf.DUMMYFUNCTION("""COMPUTED_VALUE"""),"RCEF 23-09-21 Rebidding")</f>
        <v>RCEF 23-09-21 Rebidding</v>
      </c>
      <c r="G459" s="2">
        <f>IFERROR(__xludf.DUMMYFUNCTION("""COMPUTED_VALUE"""),4.0)</f>
        <v>4</v>
      </c>
      <c r="H459" s="2">
        <f>IFERROR(__xludf.DUMMYFUNCTION("""COMPUTED_VALUE"""),19115.0)</f>
        <v>19115</v>
      </c>
      <c r="I459" s="2" t="str">
        <f>IFERROR(__xludf.DUMMYFUNCTION("""COMPUTED_VALUE"""),"KMC5825 AHRFPV0771")</f>
        <v>KMC5825 AHRFPV0771</v>
      </c>
      <c r="J459" s="2" t="str">
        <f>IFERROR(__xludf.DUMMYFUNCTION("""COMPUTED_VALUE"""),"RTS 100627")</f>
        <v>RTS 100627</v>
      </c>
      <c r="K459" s="2" t="str">
        <f>IFERROR(__xludf.DUMMYFUNCTION("""COMPUTED_VALUE"""),"WR-SERIES 995 PH")</f>
        <v>WR-SERIES 995 PH</v>
      </c>
      <c r="L459" s="2" t="str">
        <f>IFERROR(__xludf.DUMMYFUNCTION("""COMPUTED_VALUE"""),"LSGW1750 RMP 24040667")</f>
        <v>LSGW1750 RMP 24040667</v>
      </c>
      <c r="M459" s="2" t="str">
        <f>IFERROR(__xludf.DUMMYFUNCTION("""COMPUTED_VALUE"""),"WP40 RMP 24050646")</f>
        <v>WP40 RMP 24050646</v>
      </c>
      <c r="N459" s="2"/>
      <c r="O459" s="2" t="str">
        <f>IFERROR(__xludf.DUMMYFUNCTION("""COMPUTED_VALUE"""),"M. H. Del Pilar")</f>
        <v>M. H. Del Pilar</v>
      </c>
      <c r="P459" s="2" t="str">
        <f>IFERROR(__xludf.DUMMYFUNCTION("""COMPUTED_VALUE"""),"Pontevedra")</f>
        <v>Pontevedra</v>
      </c>
      <c r="Q459" s="2" t="str">
        <f>IFERROR(__xludf.DUMMYFUNCTION("""COMPUTED_VALUE"""),"Negros Occidental")</f>
        <v>Negros Occidental</v>
      </c>
      <c r="R459" s="2" t="str">
        <f>IFERROR(__xludf.DUMMYFUNCTION("""COMPUTED_VALUE"""),"NIR")</f>
        <v>NIR</v>
      </c>
      <c r="S459" s="2"/>
      <c r="T459" s="2"/>
    </row>
    <row r="460">
      <c r="A460" s="1">
        <f>IFERROR(__xludf.DUMMYFUNCTION("""COMPUTED_VALUE"""),458.0)</f>
        <v>458</v>
      </c>
      <c r="B460" s="2" t="str">
        <f>IFERROR(__xludf.DUMMYFUNCTION("""COMPUTED_VALUE"""),"CALUBANG FARMERS CLUSTER ASSOCIATION")</f>
        <v>CALUBANG FARMERS CLUSTER ASSOCIATION</v>
      </c>
      <c r="C460" s="2" t="str">
        <f>IFERROR(__xludf.DUMMYFUNCTION("""COMPUTED_VALUE"""),"Calubang, Ilog, NEGROS OCCIDENTAL")</f>
        <v>Calubang, Ilog, NEGROS OCCIDENTAL</v>
      </c>
      <c r="D460" s="2" t="str">
        <f>IFERROR(__xludf.DUMMYFUNCTION("""COMPUTED_VALUE"""),"DANDY V. BALINAS, SR.")</f>
        <v>DANDY V. BALINAS, SR.</v>
      </c>
      <c r="E460" s="2" t="str">
        <f>IFERROR(__xludf.DUMMYFUNCTION("""COMPUTED_VALUE"""),"9484431137  /   0993-117-0613")</f>
        <v>9484431137  /   0993-117-0613</v>
      </c>
      <c r="F460" s="2" t="str">
        <f>IFERROR(__xludf.DUMMYFUNCTION("""COMPUTED_VALUE"""),"RCEF 23-09-21 Rebidding")</f>
        <v>RCEF 23-09-21 Rebidding</v>
      </c>
      <c r="G460" s="2">
        <f>IFERROR(__xludf.DUMMYFUNCTION("""COMPUTED_VALUE"""),4.0)</f>
        <v>4</v>
      </c>
      <c r="H460" s="2">
        <f>IFERROR(__xludf.DUMMYFUNCTION("""COMPUTED_VALUE"""),19116.0)</f>
        <v>19116</v>
      </c>
      <c r="I460" s="2" t="str">
        <f>IFERROR(__xludf.DUMMYFUNCTION("""COMPUTED_VALUE"""),"KMC5825 ALRFPV0770")</f>
        <v>KMC5825 ALRFPV0770</v>
      </c>
      <c r="J460" s="2" t="str">
        <f>IFERROR(__xludf.DUMMYFUNCTION("""COMPUTED_VALUE"""),"RTS 100630")</f>
        <v>RTS 100630</v>
      </c>
      <c r="K460" s="2" t="str">
        <f>IFERROR(__xludf.DUMMYFUNCTION("""COMPUTED_VALUE"""),"WR-SERIES 778 PH")</f>
        <v>WR-SERIES 778 PH</v>
      </c>
      <c r="L460" s="2" t="str">
        <f>IFERROR(__xludf.DUMMYFUNCTION("""COMPUTED_VALUE"""),"LSGW1750 RMP 24010110")</f>
        <v>LSGW1750 RMP 24010110</v>
      </c>
      <c r="M460" s="2" t="str">
        <f>IFERROR(__xludf.DUMMYFUNCTION("""COMPUTED_VALUE"""),"WDP40 RMP 24050645")</f>
        <v>WDP40 RMP 24050645</v>
      </c>
      <c r="N460" s="2"/>
      <c r="O460" s="2" t="str">
        <f>IFERROR(__xludf.DUMMYFUNCTION("""COMPUTED_VALUE"""),"Calubang")</f>
        <v>Calubang</v>
      </c>
      <c r="P460" s="2" t="str">
        <f>IFERROR(__xludf.DUMMYFUNCTION("""COMPUTED_VALUE"""),"Ilog")</f>
        <v>Ilog</v>
      </c>
      <c r="Q460" s="2" t="str">
        <f>IFERROR(__xludf.DUMMYFUNCTION("""COMPUTED_VALUE"""),"Negros Occidental")</f>
        <v>Negros Occidental</v>
      </c>
      <c r="R460" s="2" t="str">
        <f>IFERROR(__xludf.DUMMYFUNCTION("""COMPUTED_VALUE"""),"NIR")</f>
        <v>NIR</v>
      </c>
      <c r="S460" s="2"/>
      <c r="T460" s="2"/>
    </row>
    <row r="461">
      <c r="A461" s="1">
        <f>IFERROR(__xludf.DUMMYFUNCTION("""COMPUTED_VALUE"""),459.0)</f>
        <v>459</v>
      </c>
      <c r="B461" s="2" t="str">
        <f>IFERROR(__xludf.DUMMYFUNCTION("""COMPUTED_VALUE"""),"KABANKALAN CITY, BRGY. LINAO FARMERS IRRIGATORS' ASSOCIATION, INC")</f>
        <v>KABANKALAN CITY, BRGY. LINAO FARMERS IRRIGATORS' ASSOCIATION, INC</v>
      </c>
      <c r="C461" s="2" t="str">
        <f>IFERROR(__xludf.DUMMYFUNCTION("""COMPUTED_VALUE"""),"Linao, Kabankalan City, NEGROS OCCIDENTAL")</f>
        <v>Linao, Kabankalan City, NEGROS OCCIDENTAL</v>
      </c>
      <c r="D461" s="2" t="str">
        <f>IFERROR(__xludf.DUMMYFUNCTION("""COMPUTED_VALUE"""),"JOSE S. SU-AY")</f>
        <v>JOSE S. SU-AY</v>
      </c>
      <c r="E461" s="2">
        <f>IFERROR(__xludf.DUMMYFUNCTION("""COMPUTED_VALUE"""),9.096800897E9)</f>
        <v>9096800897</v>
      </c>
      <c r="F461" s="2" t="str">
        <f>IFERROR(__xludf.DUMMYFUNCTION("""COMPUTED_VALUE"""),"RCEF 23-09-21 Rebidding")</f>
        <v>RCEF 23-09-21 Rebidding</v>
      </c>
      <c r="G461" s="2">
        <f>IFERROR(__xludf.DUMMYFUNCTION("""COMPUTED_VALUE"""),4.0)</f>
        <v>4</v>
      </c>
      <c r="H461" s="2">
        <f>IFERROR(__xludf.DUMMYFUNCTION("""COMPUTED_VALUE"""),19117.0)</f>
        <v>19117</v>
      </c>
      <c r="I461" s="2" t="str">
        <f>IFERROR(__xludf.DUMMYFUNCTION("""COMPUTED_VALUE"""),"KMC5825 ACRFPV0725")</f>
        <v>KMC5825 ACRFPV0725</v>
      </c>
      <c r="J461" s="2" t="str">
        <f>IFERROR(__xludf.DUMMYFUNCTION("""COMPUTED_VALUE"""),"RTS 100607")</f>
        <v>RTS 100607</v>
      </c>
      <c r="K461" s="2" t="str">
        <f>IFERROR(__xludf.DUMMYFUNCTION("""COMPUTED_VALUE"""),"WR-SERIES 769 PH")</f>
        <v>WR-SERIES 769 PH</v>
      </c>
      <c r="L461" s="2" t="str">
        <f>IFERROR(__xludf.DUMMYFUNCTION("""COMPUTED_VALUE"""),"LSGW1750 RMP 24040669")</f>
        <v>LSGW1750 RMP 24040669</v>
      </c>
      <c r="M461" s="2" t="str">
        <f>IFERROR(__xludf.DUMMYFUNCTION("""COMPUTED_VALUE"""),"WDP40 RMP 24050594")</f>
        <v>WDP40 RMP 24050594</v>
      </c>
      <c r="N461" s="2"/>
      <c r="O461" s="2" t="str">
        <f>IFERROR(__xludf.DUMMYFUNCTION("""COMPUTED_VALUE"""),"Linao")</f>
        <v>Linao</v>
      </c>
      <c r="P461" s="2" t="str">
        <f>IFERROR(__xludf.DUMMYFUNCTION("""COMPUTED_VALUE"""),"Kabankalan City")</f>
        <v>Kabankalan City</v>
      </c>
      <c r="Q461" s="2" t="str">
        <f>IFERROR(__xludf.DUMMYFUNCTION("""COMPUTED_VALUE"""),"Negros Occidental")</f>
        <v>Negros Occidental</v>
      </c>
      <c r="R461" s="2" t="str">
        <f>IFERROR(__xludf.DUMMYFUNCTION("""COMPUTED_VALUE"""),"NIR")</f>
        <v>NIR</v>
      </c>
      <c r="S461" s="2"/>
      <c r="T461" s="2"/>
    </row>
    <row r="462">
      <c r="A462" s="1">
        <f>IFERROR(__xludf.DUMMYFUNCTION("""COMPUTED_VALUE"""),460.0)</f>
        <v>460</v>
      </c>
      <c r="B462" s="2" t="str">
        <f>IFERROR(__xludf.DUMMYFUNCTION("""COMPUTED_VALUE"""),"Asingan Mitura Farmers Irrigators Association")</f>
        <v>Asingan Mitura Farmers Irrigators Association</v>
      </c>
      <c r="C462" s="2" t="str">
        <f>IFERROR(__xludf.DUMMYFUNCTION("""COMPUTED_VALUE"""),"SOBOL, ASINGAN, PANGASINAN")</f>
        <v>SOBOL, ASINGAN, PANGASINAN</v>
      </c>
      <c r="D462" s="2" t="str">
        <f>IFERROR(__xludf.DUMMYFUNCTION("""COMPUTED_VALUE"""),"#N/A")</f>
        <v>#N/A</v>
      </c>
      <c r="E462" s="2" t="str">
        <f>IFERROR(__xludf.DUMMYFUNCTION("""COMPUTED_VALUE"""),"#N/A")</f>
        <v>#N/A</v>
      </c>
      <c r="F462" s="2" t="str">
        <f>IFERROR(__xludf.DUMMYFUNCTION("""COMPUTED_VALUE"""),"RCEF 23-09-21 Rebidding")</f>
        <v>RCEF 23-09-21 Rebidding</v>
      </c>
      <c r="G462" s="2">
        <f>IFERROR(__xludf.DUMMYFUNCTION("""COMPUTED_VALUE"""),2.0)</f>
        <v>2</v>
      </c>
      <c r="H462" s="2">
        <f>IFERROR(__xludf.DUMMYFUNCTION("""COMPUTED_VALUE"""),19467.0)</f>
        <v>19467</v>
      </c>
      <c r="I462" s="2" t="str">
        <f>IFERROR(__xludf.DUMMYFUNCTION("""COMPUTED_VALUE"""),"KMC5825AHRFPV0561")</f>
        <v>KMC5825AHRFPV0561</v>
      </c>
      <c r="J462" s="2" t="str">
        <f>IFERROR(__xludf.DUMMYFUNCTION("""COMPUTED_VALUE"""),"RTS100464")</f>
        <v>RTS100464</v>
      </c>
      <c r="K462" s="2" t="str">
        <f>IFERROR(__xludf.DUMMYFUNCTION("""COMPUTED_VALUE"""),"R-SERIES 765PH")</f>
        <v>R-SERIES 765PH</v>
      </c>
      <c r="L462" s="2" t="str">
        <f>IFERROR(__xludf.DUMMYFUNCTION("""COMPUTED_VALUE"""),"LSGW1750-RMP-24020538")</f>
        <v>LSGW1750-RMP-24020538</v>
      </c>
      <c r="M462" s="2" t="str">
        <f>IFERROR(__xludf.DUMMYFUNCTION("""COMPUTED_VALUE"""),"WDP40-RMP-24050550")</f>
        <v>WDP40-RMP-24050550</v>
      </c>
      <c r="N462" s="2"/>
      <c r="O462" s="2" t="str">
        <f>IFERROR(__xludf.DUMMYFUNCTION("""COMPUTED_VALUE"""),"Sobol")</f>
        <v>Sobol</v>
      </c>
      <c r="P462" s="2" t="str">
        <f>IFERROR(__xludf.DUMMYFUNCTION("""COMPUTED_VALUE"""),"Asingan")</f>
        <v>Asingan</v>
      </c>
      <c r="Q462" s="2" t="str">
        <f>IFERROR(__xludf.DUMMYFUNCTION("""COMPUTED_VALUE"""),"Pangasinan")</f>
        <v>Pangasinan</v>
      </c>
      <c r="R462" s="2">
        <f>IFERROR(__xludf.DUMMYFUNCTION("""COMPUTED_VALUE"""),1.0)</f>
        <v>1</v>
      </c>
      <c r="S462" s="2"/>
      <c r="T462" s="2"/>
    </row>
    <row r="463">
      <c r="A463" s="1">
        <f>IFERROR(__xludf.DUMMYFUNCTION("""COMPUTED_VALUE"""),461.0)</f>
        <v>461</v>
      </c>
      <c r="B463" s="2" t="str">
        <f>IFERROR(__xludf.DUMMYFUNCTION("""COMPUTED_VALUE"""),"Seven Barangays of Mangatarem Irrigators Association, Inc.")</f>
        <v>Seven Barangays of Mangatarem Irrigators Association, Inc.</v>
      </c>
      <c r="C463" s="2" t="str">
        <f>IFERROR(__xludf.DUMMYFUNCTION("""COMPUTED_VALUE"""),", Mangatarem, Pangasinan")</f>
        <v>, Mangatarem, Pangasinan</v>
      </c>
      <c r="D463" s="2" t="str">
        <f>IFERROR(__xludf.DUMMYFUNCTION("""COMPUTED_VALUE"""),"#N/A")</f>
        <v>#N/A</v>
      </c>
      <c r="E463" s="2" t="str">
        <f>IFERROR(__xludf.DUMMYFUNCTION("""COMPUTED_VALUE"""),"#N/A")</f>
        <v>#N/A</v>
      </c>
      <c r="F463" s="2" t="str">
        <f>IFERROR(__xludf.DUMMYFUNCTION("""COMPUTED_VALUE"""),"RCEF 23-09-21 Rebidding")</f>
        <v>RCEF 23-09-21 Rebidding</v>
      </c>
      <c r="G463" s="2">
        <f>IFERROR(__xludf.DUMMYFUNCTION("""COMPUTED_VALUE"""),2.0)</f>
        <v>2</v>
      </c>
      <c r="H463" s="2">
        <f>IFERROR(__xludf.DUMMYFUNCTION("""COMPUTED_VALUE"""),19468.0)</f>
        <v>19468</v>
      </c>
      <c r="I463" s="2" t="str">
        <f>IFERROR(__xludf.DUMMYFUNCTION("""COMPUTED_VALUE"""),"KMC5825APRFPV0565")</f>
        <v>KMC5825APRFPV0565</v>
      </c>
      <c r="J463" s="2" t="str">
        <f>IFERROR(__xludf.DUMMYFUNCTION("""COMPUTED_VALUE"""),"RTS100460")</f>
        <v>RTS100460</v>
      </c>
      <c r="K463" s="2" t="str">
        <f>IFERROR(__xludf.DUMMYFUNCTION("""COMPUTED_VALUE"""),"R-SERIES 863PH")</f>
        <v>R-SERIES 863PH</v>
      </c>
      <c r="L463" s="2" t="str">
        <f>IFERROR(__xludf.DUMMYFUNCTION("""COMPUTED_VALUE"""),"LSGW1750-RMP-24020524")</f>
        <v>LSGW1750-RMP-24020524</v>
      </c>
      <c r="M463" s="2" t="str">
        <f>IFERROR(__xludf.DUMMYFUNCTION("""COMPUTED_VALUE"""),"WDP40-RMP-24050552")</f>
        <v>WDP40-RMP-24050552</v>
      </c>
      <c r="N463" s="2"/>
      <c r="O463" s="2" t="str">
        <f>IFERROR(__xludf.DUMMYFUNCTION("""COMPUTED_VALUE"""),"")</f>
        <v/>
      </c>
      <c r="P463" s="2" t="str">
        <f>IFERROR(__xludf.DUMMYFUNCTION("""COMPUTED_VALUE"""),"Mangatarem")</f>
        <v>Mangatarem</v>
      </c>
      <c r="Q463" s="2" t="str">
        <f>IFERROR(__xludf.DUMMYFUNCTION("""COMPUTED_VALUE"""),"Pangasinan")</f>
        <v>Pangasinan</v>
      </c>
      <c r="R463" s="2">
        <f>IFERROR(__xludf.DUMMYFUNCTION("""COMPUTED_VALUE"""),1.0)</f>
        <v>1</v>
      </c>
      <c r="S463" s="2"/>
      <c r="T463" s="2"/>
    </row>
    <row r="464">
      <c r="A464" s="1">
        <f>IFERROR(__xludf.DUMMYFUNCTION("""COMPUTED_VALUE"""),462.0)</f>
        <v>462</v>
      </c>
      <c r="B464" s="2" t="str">
        <f>IFERROR(__xludf.DUMMYFUNCTION("""COMPUTED_VALUE"""),"Kabagis Farmers Agriculture Cooperative")</f>
        <v>Kabagis Farmers Agriculture Cooperative</v>
      </c>
      <c r="C464" s="2" t="str">
        <f>IFERROR(__xludf.DUMMYFUNCTION("""COMPUTED_VALUE"""),", NATIVIDAD, PANGASINAN")</f>
        <v>, NATIVIDAD, PANGASINAN</v>
      </c>
      <c r="D464" s="2" t="str">
        <f>IFERROR(__xludf.DUMMYFUNCTION("""COMPUTED_VALUE"""),"Lemuel P. Lampa")</f>
        <v>Lemuel P. Lampa</v>
      </c>
      <c r="E464" s="2" t="str">
        <f>IFERROR(__xludf.DUMMYFUNCTION("""COMPUTED_VALUE"""),"0927-587-4044")</f>
        <v>0927-587-4044</v>
      </c>
      <c r="F464" s="2" t="str">
        <f>IFERROR(__xludf.DUMMYFUNCTION("""COMPUTED_VALUE"""),"RCEF 23-09-21 Rebidding")</f>
        <v>RCEF 23-09-21 Rebidding</v>
      </c>
      <c r="G464" s="2">
        <f>IFERROR(__xludf.DUMMYFUNCTION("""COMPUTED_VALUE"""),2.0)</f>
        <v>2</v>
      </c>
      <c r="H464" s="2">
        <f>IFERROR(__xludf.DUMMYFUNCTION("""COMPUTED_VALUE"""),19469.0)</f>
        <v>19469</v>
      </c>
      <c r="I464" s="2" t="str">
        <f>IFERROR(__xludf.DUMMYFUNCTION("""COMPUTED_VALUE"""),"KMC5825AERFPV0545")</f>
        <v>KMC5825AERFPV0545</v>
      </c>
      <c r="J464" s="2" t="str">
        <f>IFERROR(__xludf.DUMMYFUNCTION("""COMPUTED_VALUE"""),"RTS100444")</f>
        <v>RTS100444</v>
      </c>
      <c r="K464" s="2" t="str">
        <f>IFERROR(__xludf.DUMMYFUNCTION("""COMPUTED_VALUE"""),"R-SERIES 869PH")</f>
        <v>R-SERIES 869PH</v>
      </c>
      <c r="L464" s="2" t="str">
        <f>IFERROR(__xludf.DUMMYFUNCTION("""COMPUTED_VALUE"""),"LSGW1750-RMP-24020507")</f>
        <v>LSGW1750-RMP-24020507</v>
      </c>
      <c r="M464" s="2" t="str">
        <f>IFERROR(__xludf.DUMMYFUNCTION("""COMPUTED_VALUE"""),"WDP40-RMP-24050545")</f>
        <v>WDP40-RMP-24050545</v>
      </c>
      <c r="N464" s="2"/>
      <c r="O464" s="2" t="str">
        <f>IFERROR(__xludf.DUMMYFUNCTION("""COMPUTED_VALUE"""),"")</f>
        <v/>
      </c>
      <c r="P464" s="2" t="str">
        <f>IFERROR(__xludf.DUMMYFUNCTION("""COMPUTED_VALUE"""),"Natividad")</f>
        <v>Natividad</v>
      </c>
      <c r="Q464" s="2" t="str">
        <f>IFERROR(__xludf.DUMMYFUNCTION("""COMPUTED_VALUE"""),"Pangasinan")</f>
        <v>Pangasinan</v>
      </c>
      <c r="R464" s="2">
        <f>IFERROR(__xludf.DUMMYFUNCTION("""COMPUTED_VALUE"""),1.0)</f>
        <v>1</v>
      </c>
      <c r="S464" s="2"/>
      <c r="T464" s="2"/>
    </row>
    <row r="465">
      <c r="A465" s="1">
        <f>IFERROR(__xludf.DUMMYFUNCTION("""COMPUTED_VALUE"""),463.0)</f>
        <v>463</v>
      </c>
      <c r="B465" s="2" t="str">
        <f>IFERROR(__xludf.DUMMYFUNCTION("""COMPUTED_VALUE"""),"Pangasinan Farmers Agriculture Cooperative")</f>
        <v>Pangasinan Farmers Agriculture Cooperative</v>
      </c>
      <c r="C465" s="2" t="str">
        <f>IFERROR(__xludf.DUMMYFUNCTION("""COMPUTED_VALUE"""),", UMINGAN, PANGASINAN")</f>
        <v>, UMINGAN, PANGASINAN</v>
      </c>
      <c r="D465" s="2" t="str">
        <f>IFERROR(__xludf.DUMMYFUNCTION("""COMPUTED_VALUE"""),"Gregorio L. Belmoro")</f>
        <v>Gregorio L. Belmoro</v>
      </c>
      <c r="E465" s="2" t="str">
        <f>IFERROR(__xludf.DUMMYFUNCTION("""COMPUTED_VALUE"""),"0999-332-5063")</f>
        <v>0999-332-5063</v>
      </c>
      <c r="F465" s="2" t="str">
        <f>IFERROR(__xludf.DUMMYFUNCTION("""COMPUTED_VALUE"""),"RCEF 23-09-21 Rebidding")</f>
        <v>RCEF 23-09-21 Rebidding</v>
      </c>
      <c r="G465" s="2">
        <f>IFERROR(__xludf.DUMMYFUNCTION("""COMPUTED_VALUE"""),2.0)</f>
        <v>2</v>
      </c>
      <c r="H465" s="2">
        <f>IFERROR(__xludf.DUMMYFUNCTION("""COMPUTED_VALUE"""),19470.0)</f>
        <v>19470</v>
      </c>
      <c r="I465" s="2" t="str">
        <f>IFERROR(__xludf.DUMMYFUNCTION("""COMPUTED_VALUE"""),"KMC5825APRFPV0579")</f>
        <v>KMC5825APRFPV0579</v>
      </c>
      <c r="J465" s="2" t="str">
        <f>IFERROR(__xludf.DUMMYFUNCTION("""COMPUTED_VALUE"""),"RTS100495")</f>
        <v>RTS100495</v>
      </c>
      <c r="K465" s="2" t="str">
        <f>IFERROR(__xludf.DUMMYFUNCTION("""COMPUTED_VALUE"""),"R-SERIES 963PH")</f>
        <v>R-SERIES 963PH</v>
      </c>
      <c r="L465" s="2" t="str">
        <f>IFERROR(__xludf.DUMMYFUNCTION("""COMPUTED_VALUE"""),"LSGW1750-RMP-24020516")</f>
        <v>LSGW1750-RMP-24020516</v>
      </c>
      <c r="M465" s="2" t="str">
        <f>IFERROR(__xludf.DUMMYFUNCTION("""COMPUTED_VALUE"""),"WDP40-RMP-24040507")</f>
        <v>WDP40-RMP-24040507</v>
      </c>
      <c r="N465" s="2"/>
      <c r="O465" s="2" t="str">
        <f>IFERROR(__xludf.DUMMYFUNCTION("""COMPUTED_VALUE"""),"")</f>
        <v/>
      </c>
      <c r="P465" s="2" t="str">
        <f>IFERROR(__xludf.DUMMYFUNCTION("""COMPUTED_VALUE"""),"Umingan")</f>
        <v>Umingan</v>
      </c>
      <c r="Q465" s="2" t="str">
        <f>IFERROR(__xludf.DUMMYFUNCTION("""COMPUTED_VALUE"""),"Pangasinan")</f>
        <v>Pangasinan</v>
      </c>
      <c r="R465" s="2">
        <f>IFERROR(__xludf.DUMMYFUNCTION("""COMPUTED_VALUE"""),1.0)</f>
        <v>1</v>
      </c>
      <c r="S465" s="2"/>
      <c r="T465" s="2"/>
    </row>
    <row r="466">
      <c r="A466" s="1">
        <f>IFERROR(__xludf.DUMMYFUNCTION("""COMPUTED_VALUE"""),464.0)</f>
        <v>464</v>
      </c>
      <c r="B466" s="2" t="str">
        <f>IFERROR(__xludf.DUMMYFUNCTION("""COMPUTED_VALUE"""),"ANOLID GUANTANG FARMERS ASSOCIATION INC")</f>
        <v>ANOLID GUANTANG FARMERS ASSOCIATION INC</v>
      </c>
      <c r="C466" s="2" t="str">
        <f>IFERROR(__xludf.DUMMYFUNCTION("""COMPUTED_VALUE"""),"Anolid, Mangaldan, PANGASINAN")</f>
        <v>Anolid, Mangaldan, PANGASINAN</v>
      </c>
      <c r="D466" s="2" t="str">
        <f>IFERROR(__xludf.DUMMYFUNCTION("""COMPUTED_VALUE"""),"Mario A. Flores")</f>
        <v>Mario A. Flores</v>
      </c>
      <c r="E466" s="2" t="str">
        <f>IFERROR(__xludf.DUMMYFUNCTION("""COMPUTED_VALUE"""),"0928 163 9958")</f>
        <v>0928 163 9958</v>
      </c>
      <c r="F466" s="2" t="str">
        <f>IFERROR(__xludf.DUMMYFUNCTION("""COMPUTED_VALUE"""),"RCEF 23-09-21 Rebidding")</f>
        <v>RCEF 23-09-21 Rebidding</v>
      </c>
      <c r="G466" s="2">
        <f>IFERROR(__xludf.DUMMYFUNCTION("""COMPUTED_VALUE"""),2.0)</f>
        <v>2</v>
      </c>
      <c r="H466" s="2">
        <f>IFERROR(__xludf.DUMMYFUNCTION("""COMPUTED_VALUE"""),19471.0)</f>
        <v>19471</v>
      </c>
      <c r="I466" s="2" t="str">
        <f>IFERROR(__xludf.DUMMYFUNCTION("""COMPUTED_VALUE"""),"KMC5825ACRFPV0384")</f>
        <v>KMC5825ACRFPV0384</v>
      </c>
      <c r="J466" s="2" t="str">
        <f>IFERROR(__xludf.DUMMYFUNCTION("""COMPUTED_VALUE"""),"RTS100227")</f>
        <v>RTS100227</v>
      </c>
      <c r="K466" s="2" t="str">
        <f>IFERROR(__xludf.DUMMYFUNCTION("""COMPUTED_VALUE"""),"R-SERIES 397")</f>
        <v>R-SERIES 397</v>
      </c>
      <c r="L466" s="2" t="str">
        <f>IFERROR(__xludf.DUMMYFUNCTION("""COMPUTED_VALUE"""),"LSGW1750-RMP-24020499")</f>
        <v>LSGW1750-RMP-24020499</v>
      </c>
      <c r="M466" s="2" t="str">
        <f>IFERROR(__xludf.DUMMYFUNCTION("""COMPUTED_VALUE"""),"WDP40-RMP-24040521")</f>
        <v>WDP40-RMP-24040521</v>
      </c>
      <c r="N466" s="2"/>
      <c r="O466" s="2" t="str">
        <f>IFERROR(__xludf.DUMMYFUNCTION("""COMPUTED_VALUE"""),"Anolid")</f>
        <v>Anolid</v>
      </c>
      <c r="P466" s="2" t="str">
        <f>IFERROR(__xludf.DUMMYFUNCTION("""COMPUTED_VALUE"""),"Mangaldan")</f>
        <v>Mangaldan</v>
      </c>
      <c r="Q466" s="2" t="str">
        <f>IFERROR(__xludf.DUMMYFUNCTION("""COMPUTED_VALUE"""),"Pangasinan")</f>
        <v>Pangasinan</v>
      </c>
      <c r="R466" s="2">
        <f>IFERROR(__xludf.DUMMYFUNCTION("""COMPUTED_VALUE"""),1.0)</f>
        <v>1</v>
      </c>
      <c r="S466" s="2"/>
      <c r="T466" s="2"/>
    </row>
    <row r="467">
      <c r="A467" s="1">
        <f>IFERROR(__xludf.DUMMYFUNCTION("""COMPUTED_VALUE"""),465.0)</f>
        <v>465</v>
      </c>
      <c r="B467" s="2" t="str">
        <f>IFERROR(__xludf.DUMMYFUNCTION("""COMPUTED_VALUE"""),"BUED-CABILOCAAN IRRIGATORS ASSOCIATION, INC.")</f>
        <v>BUED-CABILOCAAN IRRIGATORS ASSOCIATION, INC.</v>
      </c>
      <c r="C467" s="2" t="str">
        <f>IFERROR(__xludf.DUMMYFUNCTION("""COMPUTED_VALUE"""),"Cabilocaan, Calasiao, PANGASINAN")</f>
        <v>Cabilocaan, Calasiao, PANGASINAN</v>
      </c>
      <c r="D467" s="2" t="str">
        <f>IFERROR(__xludf.DUMMYFUNCTION("""COMPUTED_VALUE"""),"Ronnie G. Gabrillo")</f>
        <v>Ronnie G. Gabrillo</v>
      </c>
      <c r="E467" s="2">
        <f>IFERROR(__xludf.DUMMYFUNCTION("""COMPUTED_VALUE"""),9.232175006E9)</f>
        <v>9232175006</v>
      </c>
      <c r="F467" s="2" t="str">
        <f>IFERROR(__xludf.DUMMYFUNCTION("""COMPUTED_VALUE"""),"RCEF 23-09-21 Rebidding")</f>
        <v>RCEF 23-09-21 Rebidding</v>
      </c>
      <c r="G467" s="2">
        <f>IFERROR(__xludf.DUMMYFUNCTION("""COMPUTED_VALUE"""),2.0)</f>
        <v>2</v>
      </c>
      <c r="H467" s="2">
        <f>IFERROR(__xludf.DUMMYFUNCTION("""COMPUTED_VALUE"""),19472.0)</f>
        <v>19472</v>
      </c>
      <c r="I467" s="2" t="str">
        <f>IFERROR(__xludf.DUMMYFUNCTION("""COMPUTED_VALUE"""),"KMC5825AVRFPV0393")</f>
        <v>KMC5825AVRFPV0393</v>
      </c>
      <c r="J467" s="2" t="str">
        <f>IFERROR(__xludf.DUMMYFUNCTION("""COMPUTED_VALUE"""),"RTS100294")</f>
        <v>RTS100294</v>
      </c>
      <c r="K467" s="2" t="str">
        <f>IFERROR(__xludf.DUMMYFUNCTION("""COMPUTED_VALUE"""),"R-SERIES 376")</f>
        <v>R-SERIES 376</v>
      </c>
      <c r="L467" s="2" t="str">
        <f>IFERROR(__xludf.DUMMYFUNCTION("""COMPUTED_VALUE"""),"LSGW1750-RMP-24020435")</f>
        <v>LSGW1750-RMP-24020435</v>
      </c>
      <c r="M467" s="2" t="str">
        <f>IFERROR(__xludf.DUMMYFUNCTION("""COMPUTED_VALUE"""),"WDP40-RMP-24040505")</f>
        <v>WDP40-RMP-24040505</v>
      </c>
      <c r="N467" s="2"/>
      <c r="O467" s="2" t="str">
        <f>IFERROR(__xludf.DUMMYFUNCTION("""COMPUTED_VALUE"""),"Cabilocaan")</f>
        <v>Cabilocaan</v>
      </c>
      <c r="P467" s="2" t="str">
        <f>IFERROR(__xludf.DUMMYFUNCTION("""COMPUTED_VALUE"""),"Calasiao")</f>
        <v>Calasiao</v>
      </c>
      <c r="Q467" s="2" t="str">
        <f>IFERROR(__xludf.DUMMYFUNCTION("""COMPUTED_VALUE"""),"Pangasinan")</f>
        <v>Pangasinan</v>
      </c>
      <c r="R467" s="2">
        <f>IFERROR(__xludf.DUMMYFUNCTION("""COMPUTED_VALUE"""),1.0)</f>
        <v>1</v>
      </c>
      <c r="S467" s="2"/>
      <c r="T467" s="2"/>
    </row>
    <row r="468">
      <c r="A468" s="1">
        <f>IFERROR(__xludf.DUMMYFUNCTION("""COMPUTED_VALUE"""),466.0)</f>
        <v>466</v>
      </c>
      <c r="B468" s="2" t="str">
        <f>IFERROR(__xludf.DUMMYFUNCTION("""COMPUTED_VALUE"""),"BUYAN, CENTRO I-II LOBONG SAN JACINTO FARMERS ASSOCIATION INC")</f>
        <v>BUYAN, CENTRO I-II LOBONG SAN JACINTO FARMERS ASSOCIATION INC</v>
      </c>
      <c r="C468" s="2" t="str">
        <f>IFERROR(__xludf.DUMMYFUNCTION("""COMPUTED_VALUE"""),"Lobong, San Jacinto, PANGASINAN")</f>
        <v>Lobong, San Jacinto, PANGASINAN</v>
      </c>
      <c r="D468" s="2" t="str">
        <f>IFERROR(__xludf.DUMMYFUNCTION("""COMPUTED_VALUE"""),"Felicitas L. Quezon")</f>
        <v>Felicitas L. Quezon</v>
      </c>
      <c r="E468" s="2" t="str">
        <f>IFERROR(__xludf.DUMMYFUNCTION("""COMPUTED_VALUE"""),"0907-365-3620")</f>
        <v>0907-365-3620</v>
      </c>
      <c r="F468" s="2" t="str">
        <f>IFERROR(__xludf.DUMMYFUNCTION("""COMPUTED_VALUE"""),"RCEF 23-09-21 Rebidding")</f>
        <v>RCEF 23-09-21 Rebidding</v>
      </c>
      <c r="G468" s="2">
        <f>IFERROR(__xludf.DUMMYFUNCTION("""COMPUTED_VALUE"""),2.0)</f>
        <v>2</v>
      </c>
      <c r="H468" s="2">
        <f>IFERROR(__xludf.DUMMYFUNCTION("""COMPUTED_VALUE"""),19473.0)</f>
        <v>19473</v>
      </c>
      <c r="I468" s="2" t="str">
        <f>IFERROR(__xludf.DUMMYFUNCTION("""COMPUTED_VALUE"""),"KMC5825AHRFPV0365")</f>
        <v>KMC5825AHRFPV0365</v>
      </c>
      <c r="J468" s="2" t="str">
        <f>IFERROR(__xludf.DUMMYFUNCTION("""COMPUTED_VALUE"""),"RTS100217")</f>
        <v>RTS100217</v>
      </c>
      <c r="K468" s="2" t="str">
        <f>IFERROR(__xludf.DUMMYFUNCTION("""COMPUTED_VALUE"""),"R-SERIES 399")</f>
        <v>R-SERIES 399</v>
      </c>
      <c r="L468" s="2" t="str">
        <f>IFERROR(__xludf.DUMMYFUNCTION("""COMPUTED_VALUE"""),"LSGW1750-RMP-24020418")</f>
        <v>LSGW1750-RMP-24020418</v>
      </c>
      <c r="M468" s="2" t="str">
        <f>IFERROR(__xludf.DUMMYFUNCTION("""COMPUTED_VALUE"""),"WDP40-RMP-24040537")</f>
        <v>WDP40-RMP-24040537</v>
      </c>
      <c r="N468" s="2"/>
      <c r="O468" s="2" t="str">
        <f>IFERROR(__xludf.DUMMYFUNCTION("""COMPUTED_VALUE"""),"Lobong")</f>
        <v>Lobong</v>
      </c>
      <c r="P468" s="2" t="str">
        <f>IFERROR(__xludf.DUMMYFUNCTION("""COMPUTED_VALUE"""),"San Jacinto")</f>
        <v>San Jacinto</v>
      </c>
      <c r="Q468" s="2" t="str">
        <f>IFERROR(__xludf.DUMMYFUNCTION("""COMPUTED_VALUE"""),"Pangasinan")</f>
        <v>Pangasinan</v>
      </c>
      <c r="R468" s="2">
        <f>IFERROR(__xludf.DUMMYFUNCTION("""COMPUTED_VALUE"""),1.0)</f>
        <v>1</v>
      </c>
      <c r="S468" s="2"/>
      <c r="T468" s="2"/>
    </row>
    <row r="469">
      <c r="A469" s="1">
        <f>IFERROR(__xludf.DUMMYFUNCTION("""COMPUTED_VALUE"""),467.0)</f>
        <v>467</v>
      </c>
      <c r="B469" s="2" t="str">
        <f>IFERROR(__xludf.DUMMYFUNCTION("""COMPUTED_VALUE"""),"LOMBOY FARMERS AND FARMWORKERS ASSOCIATION")</f>
        <v>LOMBOY FARMERS AND FARMWORKERS ASSOCIATION</v>
      </c>
      <c r="C469" s="2" t="str">
        <f>IFERROR(__xludf.DUMMYFUNCTION("""COMPUTED_VALUE"""),"Labit, Villasis, PANGASINAN")</f>
        <v>Labit, Villasis, PANGASINAN</v>
      </c>
      <c r="D469" s="2" t="str">
        <f>IFERROR(__xludf.DUMMYFUNCTION("""COMPUTED_VALUE"""),"Gregorio B. Nebres")</f>
        <v>Gregorio B. Nebres</v>
      </c>
      <c r="E469" s="2">
        <f>IFERROR(__xludf.DUMMYFUNCTION("""COMPUTED_VALUE"""),9.179187543E9)</f>
        <v>9179187543</v>
      </c>
      <c r="F469" s="2" t="str">
        <f>IFERROR(__xludf.DUMMYFUNCTION("""COMPUTED_VALUE"""),"RCEF 23-09-21 Rebidding")</f>
        <v>RCEF 23-09-21 Rebidding</v>
      </c>
      <c r="G469" s="2">
        <f>IFERROR(__xludf.DUMMYFUNCTION("""COMPUTED_VALUE"""),2.0)</f>
        <v>2</v>
      </c>
      <c r="H469" s="2">
        <f>IFERROR(__xludf.DUMMYFUNCTION("""COMPUTED_VALUE"""),19474.0)</f>
        <v>19474</v>
      </c>
      <c r="I469" s="2" t="str">
        <f>IFERROR(__xludf.DUMMYFUNCTION("""COMPUTED_VALUE"""),"KMC5825APRFPV0369")</f>
        <v>KMC5825APRFPV0369</v>
      </c>
      <c r="J469" s="2" t="str">
        <f>IFERROR(__xludf.DUMMYFUNCTION("""COMPUTED_VALUE"""),"RTS100268")</f>
        <v>RTS100268</v>
      </c>
      <c r="K469" s="2" t="str">
        <f>IFERROR(__xludf.DUMMYFUNCTION("""COMPUTED_VALUE"""),"R-SERIES 365")</f>
        <v>R-SERIES 365</v>
      </c>
      <c r="L469" s="2" t="str">
        <f>IFERROR(__xludf.DUMMYFUNCTION("""COMPUTED_VALUE"""),"LSGW1750-RMP-24020428")</f>
        <v>LSGW1750-RMP-24020428</v>
      </c>
      <c r="M469" s="2" t="str">
        <f>IFERROR(__xludf.DUMMYFUNCTION("""COMPUTED_VALUE"""),"WDP40-RMP-24040513")</f>
        <v>WDP40-RMP-24040513</v>
      </c>
      <c r="N469" s="2"/>
      <c r="O469" s="2" t="str">
        <f>IFERROR(__xludf.DUMMYFUNCTION("""COMPUTED_VALUE"""),"Labit")</f>
        <v>Labit</v>
      </c>
      <c r="P469" s="2" t="str">
        <f>IFERROR(__xludf.DUMMYFUNCTION("""COMPUTED_VALUE"""),"Villasis")</f>
        <v>Villasis</v>
      </c>
      <c r="Q469" s="2" t="str">
        <f>IFERROR(__xludf.DUMMYFUNCTION("""COMPUTED_VALUE"""),"Pangasinan")</f>
        <v>Pangasinan</v>
      </c>
      <c r="R469" s="2">
        <f>IFERROR(__xludf.DUMMYFUNCTION("""COMPUTED_VALUE"""),1.0)</f>
        <v>1</v>
      </c>
      <c r="S469" s="2"/>
      <c r="T469" s="2"/>
    </row>
    <row r="470">
      <c r="A470" s="1">
        <f>IFERROR(__xludf.DUMMYFUNCTION("""COMPUTED_VALUE"""),468.0)</f>
        <v>468</v>
      </c>
      <c r="B470" s="2" t="str">
        <f>IFERROR(__xludf.DUMMYFUNCTION("""COMPUTED_VALUE"""),"MAAYOS FARMERS ASSOCIATION OF TAMAYO, SAN CARLOS CITY, PANGASINAN INC.")</f>
        <v>MAAYOS FARMERS ASSOCIATION OF TAMAYO, SAN CARLOS CITY, PANGASINAN INC.</v>
      </c>
      <c r="C470" s="2" t="str">
        <f>IFERROR(__xludf.DUMMYFUNCTION("""COMPUTED_VALUE"""),"Tamayo, San Carlos City, PANGASINAN")</f>
        <v>Tamayo, San Carlos City, PANGASINAN</v>
      </c>
      <c r="D470" s="2" t="str">
        <f>IFERROR(__xludf.DUMMYFUNCTION("""COMPUTED_VALUE"""),"Rodrigo Bulatao")</f>
        <v>Rodrigo Bulatao</v>
      </c>
      <c r="E470" s="2" t="str">
        <f>IFERROR(__xludf.DUMMYFUNCTION("""COMPUTED_VALUE"""),"0922-547-0429")</f>
        <v>0922-547-0429</v>
      </c>
      <c r="F470" s="2" t="str">
        <f>IFERROR(__xludf.DUMMYFUNCTION("""COMPUTED_VALUE"""),"RCEF 23-09-21 Rebidding")</f>
        <v>RCEF 23-09-21 Rebidding</v>
      </c>
      <c r="G470" s="2">
        <f>IFERROR(__xludf.DUMMYFUNCTION("""COMPUTED_VALUE"""),2.0)</f>
        <v>2</v>
      </c>
      <c r="H470" s="2">
        <f>IFERROR(__xludf.DUMMYFUNCTION("""COMPUTED_VALUE"""),19475.0)</f>
        <v>19475</v>
      </c>
      <c r="I470" s="2" t="str">
        <f>IFERROR(__xludf.DUMMYFUNCTION("""COMPUTED_VALUE"""),"KMC5825ATRFPV0385")</f>
        <v>KMC5825ATRFPV0385</v>
      </c>
      <c r="J470" s="2" t="str">
        <f>IFERROR(__xludf.DUMMYFUNCTION("""COMPUTED_VALUE"""),"RTS100275")</f>
        <v>RTS100275</v>
      </c>
      <c r="K470" s="2" t="str">
        <f>IFERROR(__xludf.DUMMYFUNCTION("""COMPUTED_VALUE"""),"R-SERIES 377")</f>
        <v>R-SERIES 377</v>
      </c>
      <c r="L470" s="2" t="str">
        <f>IFERROR(__xludf.DUMMYFUNCTION("""COMPUTED_VALUE"""),"LSGW1750-RMP-24020497")</f>
        <v>LSGW1750-RMP-24020497</v>
      </c>
      <c r="M470" s="2" t="str">
        <f>IFERROR(__xludf.DUMMYFUNCTION("""COMPUTED_VALUE"""),"WDP40-RMP-24040506")</f>
        <v>WDP40-RMP-24040506</v>
      </c>
      <c r="N470" s="2"/>
      <c r="O470" s="2" t="str">
        <f>IFERROR(__xludf.DUMMYFUNCTION("""COMPUTED_VALUE"""),"Tamayo")</f>
        <v>Tamayo</v>
      </c>
      <c r="P470" s="2" t="str">
        <f>IFERROR(__xludf.DUMMYFUNCTION("""COMPUTED_VALUE"""),"San Carlos City")</f>
        <v>San Carlos City</v>
      </c>
      <c r="Q470" s="2" t="str">
        <f>IFERROR(__xludf.DUMMYFUNCTION("""COMPUTED_VALUE"""),"Pangasinan")</f>
        <v>Pangasinan</v>
      </c>
      <c r="R470" s="2">
        <f>IFERROR(__xludf.DUMMYFUNCTION("""COMPUTED_VALUE"""),1.0)</f>
        <v>1</v>
      </c>
      <c r="S470" s="2"/>
      <c r="T470" s="2"/>
    </row>
    <row r="471">
      <c r="A471" s="1">
        <f>IFERROR(__xludf.DUMMYFUNCTION("""COMPUTED_VALUE"""),469.0)</f>
        <v>469</v>
      </c>
      <c r="B471" s="2" t="str">
        <f>IFERROR(__xludf.DUMMYFUNCTION("""COMPUTED_VALUE"""),"PARDOK IRRIGATORS ASSOCIATION INC.")</f>
        <v>PARDOK IRRIGATORS ASSOCIATION INC.</v>
      </c>
      <c r="C471" s="2" t="str">
        <f>IFERROR(__xludf.DUMMYFUNCTION("""COMPUTED_VALUE"""),"POBLOOACION, BURGOS, ILOCOS NORTE")</f>
        <v>POBLOOACION, BURGOS, ILOCOS NORTE</v>
      </c>
      <c r="D471" s="2" t="str">
        <f>IFERROR(__xludf.DUMMYFUNCTION("""COMPUTED_VALUE"""),"Carmelo P. Cagaoan Jr.")</f>
        <v>Carmelo P. Cagaoan Jr.</v>
      </c>
      <c r="E471" s="2" t="str">
        <f>IFERROR(__xludf.DUMMYFUNCTION("""COMPUTED_VALUE"""),"0963-517-3603")</f>
        <v>0963-517-3603</v>
      </c>
      <c r="F471" s="2" t="str">
        <f>IFERROR(__xludf.DUMMYFUNCTION("""COMPUTED_VALUE"""),"RCEF 23-09-21 Rebidding")</f>
        <v>RCEF 23-09-21 Rebidding</v>
      </c>
      <c r="G471" s="2">
        <f>IFERROR(__xludf.DUMMYFUNCTION("""COMPUTED_VALUE"""),2.0)</f>
        <v>2</v>
      </c>
      <c r="H471" s="2">
        <f>IFERROR(__xludf.DUMMYFUNCTION("""COMPUTED_VALUE"""),19479.0)</f>
        <v>19479</v>
      </c>
      <c r="I471" s="2" t="str">
        <f>IFERROR(__xludf.DUMMYFUNCTION("""COMPUTED_VALUE"""),"KMC5825AKRFPV0731")</f>
        <v>KMC5825AKRFPV0731</v>
      </c>
      <c r="J471" s="2" t="str">
        <f>IFERROR(__xludf.DUMMYFUNCTION("""COMPUTED_VALUE"""),"RTS100591")</f>
        <v>RTS100591</v>
      </c>
      <c r="K471" s="2" t="str">
        <f>IFERROR(__xludf.DUMMYFUNCTION("""COMPUTED_VALUE"""),"R-SERIES 922")</f>
        <v>R-SERIES 922</v>
      </c>
      <c r="L471" s="2" t="str">
        <f>IFERROR(__xludf.DUMMYFUNCTION("""COMPUTED_VALUE"""),"LSGW1750-RMP-240140109")</f>
        <v>LSGW1750-RMP-240140109</v>
      </c>
      <c r="M471" s="2" t="str">
        <f>IFERROR(__xludf.DUMMYFUNCTION("""COMPUTED_VALUE"""),"WDSP40-RMP-24050614")</f>
        <v>WDSP40-RMP-24050614</v>
      </c>
      <c r="N471" s="2"/>
      <c r="O471" s="2" t="str">
        <f>IFERROR(__xludf.DUMMYFUNCTION("""COMPUTED_VALUE"""),"Poblooacion")</f>
        <v>Poblooacion</v>
      </c>
      <c r="P471" s="2" t="str">
        <f>IFERROR(__xludf.DUMMYFUNCTION("""COMPUTED_VALUE"""),"Burgos")</f>
        <v>Burgos</v>
      </c>
      <c r="Q471" s="2" t="str">
        <f>IFERROR(__xludf.DUMMYFUNCTION("""COMPUTED_VALUE"""),"Ilocos Norte")</f>
        <v>Ilocos Norte</v>
      </c>
      <c r="R471" s="2">
        <f>IFERROR(__xludf.DUMMYFUNCTION("""COMPUTED_VALUE"""),1.0)</f>
        <v>1</v>
      </c>
      <c r="S471" s="2"/>
      <c r="T471" s="2"/>
    </row>
    <row r="472">
      <c r="A472" s="1">
        <f>IFERROR(__xludf.DUMMYFUNCTION("""COMPUTED_VALUE"""),470.0)</f>
        <v>470</v>
      </c>
      <c r="B472" s="2" t="str">
        <f>IFERROR(__xludf.DUMMYFUNCTION("""COMPUTED_VALUE"""),"BANGAR BUROBOR FARMERS ASSOCIATION, INC.")</f>
        <v>BANGAR BUROBOR FARMERS ASSOCIATION, INC.</v>
      </c>
      <c r="C472" s="2" t="str">
        <f>IFERROR(__xludf.DUMMYFUNCTION("""COMPUTED_VALUE"""),"SAN PEDRO, SARRAT, ILOCOS NORTE")</f>
        <v>SAN PEDRO, SARRAT, ILOCOS NORTE</v>
      </c>
      <c r="D472" s="2" t="str">
        <f>IFERROR(__xludf.DUMMYFUNCTION("""COMPUTED_VALUE"""),"Wilson R. Viado")</f>
        <v>Wilson R. Viado</v>
      </c>
      <c r="E472" s="2" t="str">
        <f>IFERROR(__xludf.DUMMYFUNCTION("""COMPUTED_VALUE"""),"0966-358-1591")</f>
        <v>0966-358-1591</v>
      </c>
      <c r="F472" s="2" t="str">
        <f>IFERROR(__xludf.DUMMYFUNCTION("""COMPUTED_VALUE"""),"RCEF 23-09-21 Rebidding")</f>
        <v>RCEF 23-09-21 Rebidding</v>
      </c>
      <c r="G472" s="2">
        <f>IFERROR(__xludf.DUMMYFUNCTION("""COMPUTED_VALUE"""),2.0)</f>
        <v>2</v>
      </c>
      <c r="H472" s="2">
        <f>IFERROR(__xludf.DUMMYFUNCTION("""COMPUTED_VALUE"""),19480.0)</f>
        <v>19480</v>
      </c>
      <c r="I472" s="2" t="str">
        <f>IFERROR(__xludf.DUMMYFUNCTION("""COMPUTED_VALUE"""),"KMC5825AVRFPV0684")</f>
        <v>KMC5825AVRFPV0684</v>
      </c>
      <c r="J472" s="2" t="str">
        <f>IFERROR(__xludf.DUMMYFUNCTION("""COMPUTED_VALUE"""),"RTS100552")</f>
        <v>RTS100552</v>
      </c>
      <c r="K472" s="2" t="str">
        <f>IFERROR(__xludf.DUMMYFUNCTION("""COMPUTED_VALUE"""),"R-SERIES 904")</f>
        <v>R-SERIES 904</v>
      </c>
      <c r="L472" s="2" t="str">
        <f>IFERROR(__xludf.DUMMYFUNCTION("""COMPUTED_VALUE"""),"LSGW1750-RMP-24010198")</f>
        <v>LSGW1750-RMP-24010198</v>
      </c>
      <c r="M472" s="2" t="str">
        <f>IFERROR(__xludf.DUMMYFUNCTION("""COMPUTED_VALUE"""),"WDP40-RMP-24050615")</f>
        <v>WDP40-RMP-24050615</v>
      </c>
      <c r="N472" s="2"/>
      <c r="O472" s="2" t="str">
        <f>IFERROR(__xludf.DUMMYFUNCTION("""COMPUTED_VALUE"""),"San Pedro")</f>
        <v>San Pedro</v>
      </c>
      <c r="P472" s="2" t="str">
        <f>IFERROR(__xludf.DUMMYFUNCTION("""COMPUTED_VALUE"""),"Sarrat")</f>
        <v>Sarrat</v>
      </c>
      <c r="Q472" s="2" t="str">
        <f>IFERROR(__xludf.DUMMYFUNCTION("""COMPUTED_VALUE"""),"Ilocos Norte")</f>
        <v>Ilocos Norte</v>
      </c>
      <c r="R472" s="2">
        <f>IFERROR(__xludf.DUMMYFUNCTION("""COMPUTED_VALUE"""),1.0)</f>
        <v>1</v>
      </c>
      <c r="S472" s="2"/>
      <c r="T472" s="2"/>
    </row>
    <row r="473">
      <c r="A473" s="1">
        <f>IFERROR(__xludf.DUMMYFUNCTION("""COMPUTED_VALUE"""),471.0)</f>
        <v>471</v>
      </c>
      <c r="B473" s="2" t="str">
        <f>IFERROR(__xludf.DUMMYFUNCTION("""COMPUTED_VALUE"""),"Bagnos Multi Purpose Cooperative")</f>
        <v>Bagnos Multi Purpose Cooperative</v>
      </c>
      <c r="C473" s="2" t="str">
        <f>IFERROR(__xludf.DUMMYFUNCTION("""COMPUTED_VALUE"""),",BINACAG BANNA (ESPIRITU), ILOCOS NORTE")</f>
        <v>,BINACAG BANNA (ESPIRITU), ILOCOS NORTE</v>
      </c>
      <c r="D473" s="2" t="str">
        <f>IFERROR(__xludf.DUMMYFUNCTION("""COMPUTED_VALUE"""),"Maribel G. Rosquita")</f>
        <v>Maribel G. Rosquita</v>
      </c>
      <c r="E473" s="2" t="str">
        <f>IFERROR(__xludf.DUMMYFUNCTION("""COMPUTED_VALUE"""),"0928-620-5270")</f>
        <v>0928-620-5270</v>
      </c>
      <c r="F473" s="2" t="str">
        <f>IFERROR(__xludf.DUMMYFUNCTION("""COMPUTED_VALUE"""),"RCEF 23-09-21 Rebidding")</f>
        <v>RCEF 23-09-21 Rebidding</v>
      </c>
      <c r="G473" s="2">
        <f>IFERROR(__xludf.DUMMYFUNCTION("""COMPUTED_VALUE"""),2.0)</f>
        <v>2</v>
      </c>
      <c r="H473" s="2">
        <f>IFERROR(__xludf.DUMMYFUNCTION("""COMPUTED_VALUE"""),19481.0)</f>
        <v>19481</v>
      </c>
      <c r="I473" s="2" t="str">
        <f>IFERROR(__xludf.DUMMYFUNCTION("""COMPUTED_VALUE"""),"KMC5825AHRFPV0656")</f>
        <v>KMC5825AHRFPV0656</v>
      </c>
      <c r="J473" s="2" t="str">
        <f>IFERROR(__xludf.DUMMYFUNCTION("""COMPUTED_VALUE"""),"RTS100535")</f>
        <v>RTS100535</v>
      </c>
      <c r="K473" s="2" t="str">
        <f>IFERROR(__xludf.DUMMYFUNCTION("""COMPUTED_VALUE"""),"R-SERIES 952")</f>
        <v>R-SERIES 952</v>
      </c>
      <c r="L473" s="2" t="str">
        <f>IFERROR(__xludf.DUMMYFUNCTION("""COMPUTED_VALUE"""),"LSGW1750-RMP-24010098")</f>
        <v>LSGW1750-RMP-24010098</v>
      </c>
      <c r="M473" s="2" t="str">
        <f>IFERROR(__xludf.DUMMYFUNCTION("""COMPUTED_VALUE"""),"WDP40-RMP-240580634")</f>
        <v>WDP40-RMP-240580634</v>
      </c>
      <c r="N473" s="2"/>
      <c r="O473" s="2" t="str">
        <f>IFERROR(__xludf.DUMMYFUNCTION("""COMPUTED_VALUE"""),"")</f>
        <v/>
      </c>
      <c r="P473" s="2" t="str">
        <f>IFERROR(__xludf.DUMMYFUNCTION("""COMPUTED_VALUE"""),"Binacag Banna (Espiritu)")</f>
        <v>Binacag Banna (Espiritu)</v>
      </c>
      <c r="Q473" s="2" t="str">
        <f>IFERROR(__xludf.DUMMYFUNCTION("""COMPUTED_VALUE"""),"Ilocos Norte")</f>
        <v>Ilocos Norte</v>
      </c>
      <c r="R473" s="2">
        <f>IFERROR(__xludf.DUMMYFUNCTION("""COMPUTED_VALUE"""),1.0)</f>
        <v>1</v>
      </c>
      <c r="S473" s="2"/>
      <c r="T473" s="2"/>
    </row>
    <row r="474">
      <c r="A474" s="1">
        <f>IFERROR(__xludf.DUMMYFUNCTION("""COMPUTED_VALUE"""),472.0)</f>
        <v>472</v>
      </c>
      <c r="B474" s="2" t="str">
        <f>IFERROR(__xludf.DUMMYFUNCTION("""COMPUTED_VALUE"""),"UNITED SAN JUAN SOUTH FARMERS ASSOCIATION INC.")</f>
        <v>UNITED SAN JUAN SOUTH FARMERS ASSOCIATION INC.</v>
      </c>
      <c r="C474" s="2" t="str">
        <f>IFERROR(__xludf.DUMMYFUNCTION("""COMPUTED_VALUE"""),"SAN JUAN, SOLSONA, ILOCOS NORTE")</f>
        <v>SAN JUAN, SOLSONA, ILOCOS NORTE</v>
      </c>
      <c r="D474" s="2" t="str">
        <f>IFERROR(__xludf.DUMMYFUNCTION("""COMPUTED_VALUE"""),"Loreto A. Coloma")</f>
        <v>Loreto A. Coloma</v>
      </c>
      <c r="E474" s="2" t="str">
        <f>IFERROR(__xludf.DUMMYFUNCTION("""COMPUTED_VALUE"""),"0927-245-7511")</f>
        <v>0927-245-7511</v>
      </c>
      <c r="F474" s="2" t="str">
        <f>IFERROR(__xludf.DUMMYFUNCTION("""COMPUTED_VALUE"""),"RCEF 23-09-21 Rebidding")</f>
        <v>RCEF 23-09-21 Rebidding</v>
      </c>
      <c r="G474" s="2">
        <f>IFERROR(__xludf.DUMMYFUNCTION("""COMPUTED_VALUE"""),2.0)</f>
        <v>2</v>
      </c>
      <c r="H474" s="2">
        <f>IFERROR(__xludf.DUMMYFUNCTION("""COMPUTED_VALUE"""),19482.0)</f>
        <v>19482</v>
      </c>
      <c r="I474" s="2" t="str">
        <f>IFERROR(__xludf.DUMMYFUNCTION("""COMPUTED_VALUE"""),"KMC5825APRFPV0713")</f>
        <v>KMC5825APRFPV0713</v>
      </c>
      <c r="J474" s="2" t="str">
        <f>IFERROR(__xludf.DUMMYFUNCTION("""COMPUTED_VALUE"""),"RTS100613")</f>
        <v>RTS100613</v>
      </c>
      <c r="K474" s="2" t="str">
        <f>IFERROR(__xludf.DUMMYFUNCTION("""COMPUTED_VALUE"""),"R-SERIES 899")</f>
        <v>R-SERIES 899</v>
      </c>
      <c r="L474" s="2" t="str">
        <f>IFERROR(__xludf.DUMMYFUNCTION("""COMPUTED_VALUE"""),"LSGW1750-RMP-24040205")</f>
        <v>LSGW1750-RMP-24040205</v>
      </c>
      <c r="M474" s="2" t="str">
        <f>IFERROR(__xludf.DUMMYFUNCTION("""COMPUTED_VALUE"""),"WDP40-RMP-24050613")</f>
        <v>WDP40-RMP-24050613</v>
      </c>
      <c r="N474" s="2"/>
      <c r="O474" s="2" t="str">
        <f>IFERROR(__xludf.DUMMYFUNCTION("""COMPUTED_VALUE"""),"San Juan")</f>
        <v>San Juan</v>
      </c>
      <c r="P474" s="2" t="str">
        <f>IFERROR(__xludf.DUMMYFUNCTION("""COMPUTED_VALUE"""),"Solsona")</f>
        <v>Solsona</v>
      </c>
      <c r="Q474" s="2" t="str">
        <f>IFERROR(__xludf.DUMMYFUNCTION("""COMPUTED_VALUE"""),"Ilocos Norte")</f>
        <v>Ilocos Norte</v>
      </c>
      <c r="R474" s="2">
        <f>IFERROR(__xludf.DUMMYFUNCTION("""COMPUTED_VALUE"""),1.0)</f>
        <v>1</v>
      </c>
      <c r="S474" s="2"/>
      <c r="T474" s="2"/>
    </row>
    <row r="475">
      <c r="A475" s="1">
        <f>IFERROR(__xludf.DUMMYFUNCTION("""COMPUTED_VALUE"""),473.0)</f>
        <v>473</v>
      </c>
      <c r="B475" s="2" t="str">
        <f>IFERROR(__xludf.DUMMYFUNCTION("""COMPUTED_VALUE"""),"Municipal Local Government Unit of QUEZON")</f>
        <v>Municipal Local Government Unit of QUEZON</v>
      </c>
      <c r="C475" s="2" t="str">
        <f>IFERROR(__xludf.DUMMYFUNCTION("""COMPUTED_VALUE"""),"Dulong Bayan, Quezon, Nueva Ecija")</f>
        <v>Dulong Bayan, Quezon, Nueva Ecija</v>
      </c>
      <c r="D475" s="2"/>
      <c r="E475" s="2"/>
      <c r="F475" s="2" t="str">
        <f>IFERROR(__xludf.DUMMYFUNCTION("""COMPUTED_VALUE"""),"RCEF 23-09-21 Rebidding")</f>
        <v>RCEF 23-09-21 Rebidding</v>
      </c>
      <c r="G475" s="2">
        <f>IFERROR(__xludf.DUMMYFUNCTION("""COMPUTED_VALUE"""),3.0)</f>
        <v>3</v>
      </c>
      <c r="H475" s="2">
        <f>IFERROR(__xludf.DUMMYFUNCTION("""COMPUTED_VALUE"""),19555.0)</f>
        <v>19555</v>
      </c>
      <c r="I475" s="2" t="str">
        <f>IFERROR(__xludf.DUMMYFUNCTION("""COMPUTED_VALUE"""),"KMC 5825 AVRFPU0541")</f>
        <v>KMC 5825 AVRFPU0541</v>
      </c>
      <c r="J475" s="2" t="str">
        <f>IFERROR(__xludf.DUMMYFUNCTION("""COMPUTED_VALUE"""),"RTS 100440")</f>
        <v>RTS 100440</v>
      </c>
      <c r="K475" s="2" t="str">
        <f>IFERROR(__xludf.DUMMYFUNCTION("""COMPUTED_VALUE"""),"R SERIES 946 PH")</f>
        <v>R SERIES 946 PH</v>
      </c>
      <c r="L475" s="2" t="str">
        <f>IFERROR(__xludf.DUMMYFUNCTION("""COMPUTED_VALUE"""),"LSGW1750 RMP 24010189")</f>
        <v>LSGW1750 RMP 24010189</v>
      </c>
      <c r="M475" s="2" t="str">
        <f>IFERROR(__xludf.DUMMYFUNCTION("""COMPUTED_VALUE"""),"WDP40 RMP 24050548")</f>
        <v>WDP40 RMP 24050548</v>
      </c>
      <c r="N475" s="2"/>
      <c r="O475" s="2" t="str">
        <f>IFERROR(__xludf.DUMMYFUNCTION("""COMPUTED_VALUE"""),"Dulong Bayan")</f>
        <v>Dulong Bayan</v>
      </c>
      <c r="P475" s="2" t="str">
        <f>IFERROR(__xludf.DUMMYFUNCTION("""COMPUTED_VALUE"""),"Quezon")</f>
        <v>Quezon</v>
      </c>
      <c r="Q475" s="2" t="str">
        <f>IFERROR(__xludf.DUMMYFUNCTION("""COMPUTED_VALUE"""),"Nueva Ecija")</f>
        <v>Nueva Ecija</v>
      </c>
      <c r="R475" s="2">
        <f>IFERROR(__xludf.DUMMYFUNCTION("""COMPUTED_VALUE"""),3.0)</f>
        <v>3</v>
      </c>
      <c r="S475" s="2"/>
      <c r="T475" s="2"/>
    </row>
    <row r="476">
      <c r="A476" s="1">
        <f>IFERROR(__xludf.DUMMYFUNCTION("""COMPUTED_VALUE"""),474.0)</f>
        <v>474</v>
      </c>
      <c r="B476" s="2" t="str">
        <f>IFERROR(__xludf.DUMMYFUNCTION("""COMPUTED_VALUE"""),"DUPAX DEL SUR FARMERS AGRICULTURE COOPERATIVE (DFARCO)")</f>
        <v>DUPAX DEL SUR FARMERS AGRICULTURE COOPERATIVE (DFARCO)</v>
      </c>
      <c r="C476" s="2" t="str">
        <f>IFERROR(__xludf.DUMMYFUNCTION("""COMPUTED_VALUE"""),"DOMANG, DUPAX DEL SUR, NUEVA VIZCAYA")</f>
        <v>DOMANG, DUPAX DEL SUR, NUEVA VIZCAYA</v>
      </c>
      <c r="D476" s="2" t="str">
        <f>IFERROR(__xludf.DUMMYFUNCTION("""COMPUTED_VALUE"""),"Jesuelito Guzma")</f>
        <v>Jesuelito Guzma</v>
      </c>
      <c r="E476" s="2">
        <f>IFERROR(__xludf.DUMMYFUNCTION("""COMPUTED_VALUE"""),9.753468102E9)</f>
        <v>9753468102</v>
      </c>
      <c r="F476" s="2" t="str">
        <f>IFERROR(__xludf.DUMMYFUNCTION("""COMPUTED_VALUE"""),"RCEF 23-09-21 Rebidding")</f>
        <v>RCEF 23-09-21 Rebidding</v>
      </c>
      <c r="G476" s="2">
        <f>IFERROR(__xludf.DUMMYFUNCTION("""COMPUTED_VALUE"""),1.0)</f>
        <v>1</v>
      </c>
      <c r="H476" s="2">
        <f>IFERROR(__xludf.DUMMYFUNCTION("""COMPUTED_VALUE"""),19556.0)</f>
        <v>19556</v>
      </c>
      <c r="I476" s="2" t="str">
        <f>IFERROR(__xludf.DUMMYFUNCTION("""COMPUTED_VALUE"""),"KMC5825AKRFPV0597")</f>
        <v>KMC5825AKRFPV0597</v>
      </c>
      <c r="J476" s="2" t="str">
        <f>IFERROR(__xludf.DUMMYFUNCTION("""COMPUTED_VALUE"""),"RTS100574")</f>
        <v>RTS100574</v>
      </c>
      <c r="K476" s="2" t="str">
        <f>IFERROR(__xludf.DUMMYFUNCTION("""COMPUTED_VALUE"""),"R SERIES 770 PH")</f>
        <v>R SERIES 770 PH</v>
      </c>
      <c r="L476" s="2" t="str">
        <f>IFERROR(__xludf.DUMMYFUNCTION("""COMPUTED_VALUE"""),"LSGW 1750 RMP 24020519")</f>
        <v>LSGW 1750 RMP 24020519</v>
      </c>
      <c r="M476" s="2" t="str">
        <f>IFERROR(__xludf.DUMMYFUNCTION("""COMPUTED_VALUE"""),"WDP40 RMP 24050557")</f>
        <v>WDP40 RMP 24050557</v>
      </c>
      <c r="N476" s="2"/>
      <c r="O476" s="2" t="str">
        <f>IFERROR(__xludf.DUMMYFUNCTION("""COMPUTED_VALUE"""),"Domang")</f>
        <v>Domang</v>
      </c>
      <c r="P476" s="2" t="str">
        <f>IFERROR(__xludf.DUMMYFUNCTION("""COMPUTED_VALUE"""),"Dupax Del Sur")</f>
        <v>Dupax Del Sur</v>
      </c>
      <c r="Q476" s="2" t="str">
        <f>IFERROR(__xludf.DUMMYFUNCTION("""COMPUTED_VALUE"""),"Nueva Vizcaya")</f>
        <v>Nueva Vizcaya</v>
      </c>
      <c r="R476" s="2">
        <f>IFERROR(__xludf.DUMMYFUNCTION("""COMPUTED_VALUE"""),2.0)</f>
        <v>2</v>
      </c>
      <c r="S476" s="2"/>
      <c r="T476" s="2"/>
    </row>
    <row r="477">
      <c r="A477" s="1">
        <f>IFERROR(__xludf.DUMMYFUNCTION("""COMPUTED_VALUE"""),475.0)</f>
        <v>475</v>
      </c>
      <c r="B477" s="2" t="str">
        <f>IFERROR(__xludf.DUMMYFUNCTION("""COMPUTED_VALUE"""),"Balococ Cacayasen Farmer's Group, Inc.")</f>
        <v>Balococ Cacayasen Farmer's Group, Inc.</v>
      </c>
      <c r="C477" s="2" t="str">
        <f>IFERROR(__xludf.DUMMYFUNCTION("""COMPUTED_VALUE"""),"CACAYASEN, BURGOS, PANGASINAN")</f>
        <v>CACAYASEN, BURGOS, PANGASINAN</v>
      </c>
      <c r="D477" s="2" t="str">
        <f>IFERROR(__xludf.DUMMYFUNCTION("""COMPUTED_VALUE"""),"Arlyn A. Cuaresma")</f>
        <v>Arlyn A. Cuaresma</v>
      </c>
      <c r="E477" s="2" t="str">
        <f>IFERROR(__xludf.DUMMYFUNCTION("""COMPUTED_VALUE"""),"0905-522-7452")</f>
        <v>0905-522-7452</v>
      </c>
      <c r="F477" s="2" t="str">
        <f>IFERROR(__xludf.DUMMYFUNCTION("""COMPUTED_VALUE"""),"RCEF 23-09-21 Rebidding")</f>
        <v>RCEF 23-09-21 Rebidding</v>
      </c>
      <c r="G477" s="2">
        <f>IFERROR(__xludf.DUMMYFUNCTION("""COMPUTED_VALUE"""),2.0)</f>
        <v>2</v>
      </c>
      <c r="H477" s="2">
        <f>IFERROR(__xludf.DUMMYFUNCTION("""COMPUTED_VALUE"""),19557.0)</f>
        <v>19557</v>
      </c>
      <c r="I477" s="2" t="str">
        <f>IFERROR(__xludf.DUMMYFUNCTION("""COMPUTED_VALUE"""),"KMC5825ACRFPV0599")</f>
        <v>KMC5825ACRFPV0599</v>
      </c>
      <c r="J477" s="2" t="str">
        <f>IFERROR(__xludf.DUMMYFUNCTION("""COMPUTED_VALUE"""),"RTS100506")</f>
        <v>RTS100506</v>
      </c>
      <c r="K477" s="2" t="str">
        <f>IFERROR(__xludf.DUMMYFUNCTION("""COMPUTED_VALUE"""),"R-SERIES-862PH")</f>
        <v>R-SERIES-862PH</v>
      </c>
      <c r="L477" s="2" t="str">
        <f>IFERROR(__xludf.DUMMYFUNCTION("""COMPUTED_VALUE"""),"LSGW1750-RMP-24020517")</f>
        <v>LSGW1750-RMP-24020517</v>
      </c>
      <c r="M477" s="2" t="str">
        <f>IFERROR(__xludf.DUMMYFUNCTION("""COMPUTED_VALUE"""),"WDP40-RMP-24050565")</f>
        <v>WDP40-RMP-24050565</v>
      </c>
      <c r="N477" s="2"/>
      <c r="O477" s="2" t="str">
        <f>IFERROR(__xludf.DUMMYFUNCTION("""COMPUTED_VALUE"""),"Cacayasen")</f>
        <v>Cacayasen</v>
      </c>
      <c r="P477" s="2" t="str">
        <f>IFERROR(__xludf.DUMMYFUNCTION("""COMPUTED_VALUE"""),"Burgos")</f>
        <v>Burgos</v>
      </c>
      <c r="Q477" s="2" t="str">
        <f>IFERROR(__xludf.DUMMYFUNCTION("""COMPUTED_VALUE"""),"Pangasinan")</f>
        <v>Pangasinan</v>
      </c>
      <c r="R477" s="2">
        <f>IFERROR(__xludf.DUMMYFUNCTION("""COMPUTED_VALUE"""),1.0)</f>
        <v>1</v>
      </c>
      <c r="S477" s="2"/>
      <c r="T477" s="2"/>
    </row>
    <row r="478">
      <c r="A478" s="1">
        <f>IFERROR(__xludf.DUMMYFUNCTION("""COMPUTED_VALUE"""),476.0)</f>
        <v>476</v>
      </c>
      <c r="B478" s="2" t="str">
        <f>IFERROR(__xludf.DUMMYFUNCTION("""COMPUTED_VALUE"""),"MUNTING NAYON AGRICULTURAL PRODUCERS ASSOCIATION (MNAPA))")</f>
        <v>MUNTING NAYON AGRICULTURAL PRODUCERS ASSOCIATION (MNAPA))</v>
      </c>
      <c r="C478" s="2" t="str">
        <f>IFERROR(__xludf.DUMMYFUNCTION("""COMPUTED_VALUE"""),", Penaranda, NUEVA ECIJA")</f>
        <v>, Penaranda, NUEVA ECIJA</v>
      </c>
      <c r="D478" s="2" t="str">
        <f>IFERROR(__xludf.DUMMYFUNCTION("""COMPUTED_VALUE"""),"Reymond Leabres")</f>
        <v>Reymond Leabres</v>
      </c>
      <c r="E478" s="2">
        <f>IFERROR(__xludf.DUMMYFUNCTION("""COMPUTED_VALUE"""),6.39229299627E11)</f>
        <v>639229299627</v>
      </c>
      <c r="F478" s="2" t="str">
        <f>IFERROR(__xludf.DUMMYFUNCTION("""COMPUTED_VALUE"""),"RCEF 23-09-21 Rebidding")</f>
        <v>RCEF 23-09-21 Rebidding</v>
      </c>
      <c r="G478" s="2">
        <f>IFERROR(__xludf.DUMMYFUNCTION("""COMPUTED_VALUE"""),3.0)</f>
        <v>3</v>
      </c>
      <c r="H478" s="2">
        <f>IFERROR(__xludf.DUMMYFUNCTION("""COMPUTED_VALUE"""),19558.0)</f>
        <v>19558</v>
      </c>
      <c r="I478" s="2" t="str">
        <f>IFERROR(__xludf.DUMMYFUNCTION("""COMPUTED_VALUE"""),"KMC 5825 AJRFPV0357")</f>
        <v>KMC 5825 AJRFPV0357</v>
      </c>
      <c r="J478" s="2" t="str">
        <f>IFERROR(__xludf.DUMMYFUNCTION("""COMPUTED_VALUE"""),"RTS 100254")</f>
        <v>RTS 100254</v>
      </c>
      <c r="K478" s="2" t="str">
        <f>IFERROR(__xludf.DUMMYFUNCTION("""COMPUTED_VALUE"""),"R SERIES 133 PH")</f>
        <v>R SERIES 133 PH</v>
      </c>
      <c r="L478" s="2" t="str">
        <f>IFERROR(__xludf.DUMMYFUNCTION("""COMPUTED_VALUE"""),"LSGW1750 RMP 24020495")</f>
        <v>LSGW1750 RMP 24020495</v>
      </c>
      <c r="M478" s="2" t="str">
        <f>IFERROR(__xludf.DUMMYFUNCTION("""COMPUTED_VALUE"""),"WDP40 RMP 24020226")</f>
        <v>WDP40 RMP 24020226</v>
      </c>
      <c r="N478" s="2"/>
      <c r="O478" s="2" t="str">
        <f>IFERROR(__xludf.DUMMYFUNCTION("""COMPUTED_VALUE"""),"")</f>
        <v/>
      </c>
      <c r="P478" s="2" t="str">
        <f>IFERROR(__xludf.DUMMYFUNCTION("""COMPUTED_VALUE"""),"Penaranda")</f>
        <v>Penaranda</v>
      </c>
      <c r="Q478" s="2" t="str">
        <f>IFERROR(__xludf.DUMMYFUNCTION("""COMPUTED_VALUE"""),"Nueva Ecija")</f>
        <v>Nueva Ecija</v>
      </c>
      <c r="R478" s="2">
        <f>IFERROR(__xludf.DUMMYFUNCTION("""COMPUTED_VALUE"""),3.0)</f>
        <v>3</v>
      </c>
      <c r="S478" s="2"/>
      <c r="T478" s="2"/>
    </row>
    <row r="479">
      <c r="A479" s="1">
        <f>IFERROR(__xludf.DUMMYFUNCTION("""COMPUTED_VALUE"""),477.0)</f>
        <v>477</v>
      </c>
      <c r="B479" s="2" t="str">
        <f>IFERROR(__xludf.DUMMYFUNCTION("""COMPUTED_VALUE"""),"Municipal Local Government Unit of Llanera")</f>
        <v>Municipal Local Government Unit of Llanera</v>
      </c>
      <c r="C479" s="2" t="str">
        <f>IFERROR(__xludf.DUMMYFUNCTION("""COMPUTED_VALUE"""),"Victoria, Llanera, NUEVA ECIJA")</f>
        <v>Victoria, Llanera, NUEVA ECIJA</v>
      </c>
      <c r="D479" s="2" t="str">
        <f>IFERROR(__xludf.DUMMYFUNCTION("""COMPUTED_VALUE"""),"Hon. Ronnie Roy G. Pascual")</f>
        <v>Hon. Ronnie Roy G. Pascual</v>
      </c>
      <c r="E479" s="2" t="str">
        <f>IFERROR(__xludf.DUMMYFUNCTION("""COMPUTED_VALUE"""),"0920-563-6206")</f>
        <v>0920-563-6206</v>
      </c>
      <c r="F479" s="2" t="str">
        <f>IFERROR(__xludf.DUMMYFUNCTION("""COMPUTED_VALUE"""),"RCEF 23-09-21 Rebidding")</f>
        <v>RCEF 23-09-21 Rebidding</v>
      </c>
      <c r="G479" s="2">
        <f>IFERROR(__xludf.DUMMYFUNCTION("""COMPUTED_VALUE"""),3.0)</f>
        <v>3</v>
      </c>
      <c r="H479" s="2">
        <f>IFERROR(__xludf.DUMMYFUNCTION("""COMPUTED_VALUE"""),19560.0)</f>
        <v>19560</v>
      </c>
      <c r="I479" s="2" t="str">
        <f>IFERROR(__xludf.DUMMYFUNCTION("""COMPUTED_VALUE"""),"KMC 5825 AHRFPV0155")</f>
        <v>KMC 5825 AHRFPV0155</v>
      </c>
      <c r="J479" s="2" t="str">
        <f>IFERROR(__xludf.DUMMYFUNCTION("""COMPUTED_VALUE"""),"RTS 100120")</f>
        <v>RTS 100120</v>
      </c>
      <c r="K479" s="2" t="str">
        <f>IFERROR(__xludf.DUMMYFUNCTION("""COMPUTED_VALUE"""),"R SERIES 068 PH")</f>
        <v>R SERIES 068 PH</v>
      </c>
      <c r="L479" s="2" t="str">
        <f>IFERROR(__xludf.DUMMYFUNCTION("""COMPUTED_VALUE"""),"LSGW1750 RMP 231264")</f>
        <v>LSGW1750 RMP 231264</v>
      </c>
      <c r="M479" s="2" t="str">
        <f>IFERROR(__xludf.DUMMYFUNCTION("""COMPUTED_VALUE"""),"WDP40 RMP 24020241")</f>
        <v>WDP40 RMP 24020241</v>
      </c>
      <c r="N479" s="2"/>
      <c r="O479" s="2" t="str">
        <f>IFERROR(__xludf.DUMMYFUNCTION("""COMPUTED_VALUE"""),"Victoria")</f>
        <v>Victoria</v>
      </c>
      <c r="P479" s="2" t="str">
        <f>IFERROR(__xludf.DUMMYFUNCTION("""COMPUTED_VALUE"""),"Llanera")</f>
        <v>Llanera</v>
      </c>
      <c r="Q479" s="2" t="str">
        <f>IFERROR(__xludf.DUMMYFUNCTION("""COMPUTED_VALUE"""),"Nueva Ecija")</f>
        <v>Nueva Ecija</v>
      </c>
      <c r="R479" s="2">
        <f>IFERROR(__xludf.DUMMYFUNCTION("""COMPUTED_VALUE"""),3.0)</f>
        <v>3</v>
      </c>
      <c r="S479" s="2"/>
      <c r="T479" s="2"/>
    </row>
    <row r="480">
      <c r="A480" s="1">
        <f>IFERROR(__xludf.DUMMYFUNCTION("""COMPUTED_VALUE"""),478.0)</f>
        <v>478</v>
      </c>
      <c r="B480" s="2" t="str">
        <f>IFERROR(__xludf.DUMMYFUNCTION("""COMPUTED_VALUE"""),"BUGBUGCAO IRRIGATORS ASSOCIATION INC.")</f>
        <v>BUGBUGCAO IRRIGATORS ASSOCIATION INC.</v>
      </c>
      <c r="C480" s="2" t="str">
        <f>IFERROR(__xludf.DUMMYFUNCTION("""COMPUTED_VALUE"""),"BUGBUGCAO, SAN JUAN, LA UNION")</f>
        <v>BUGBUGCAO, SAN JUAN, LA UNION</v>
      </c>
      <c r="D480" s="2" t="str">
        <f>IFERROR(__xludf.DUMMYFUNCTION("""COMPUTED_VALUE"""),"Nestor R. Ducusin")</f>
        <v>Nestor R. Ducusin</v>
      </c>
      <c r="E480" s="2" t="str">
        <f>IFERROR(__xludf.DUMMYFUNCTION("""COMPUTED_VALUE"""),"0947 790 7258")</f>
        <v>0947 790 7258</v>
      </c>
      <c r="F480" s="2" t="str">
        <f>IFERROR(__xludf.DUMMYFUNCTION("""COMPUTED_VALUE"""),"RCEF 23-09-21 Rebidding")</f>
        <v>RCEF 23-09-21 Rebidding</v>
      </c>
      <c r="G480" s="2">
        <f>IFERROR(__xludf.DUMMYFUNCTION("""COMPUTED_VALUE"""),2.0)</f>
        <v>2</v>
      </c>
      <c r="H480" s="2">
        <f>IFERROR(__xludf.DUMMYFUNCTION("""COMPUTED_VALUE"""),19629.0)</f>
        <v>19629</v>
      </c>
      <c r="I480" s="2" t="str">
        <f>IFERROR(__xludf.DUMMYFUNCTION("""COMPUTED_VALUE"""),"KMC5825AERFPV0237")</f>
        <v>KMC5825AERFPV0237</v>
      </c>
      <c r="J480" s="2" t="str">
        <f>IFERROR(__xludf.DUMMYFUNCTION("""COMPUTED_VALUE"""),"RTS100140")</f>
        <v>RTS100140</v>
      </c>
      <c r="K480" s="2" t="str">
        <f>IFERROR(__xludf.DUMMYFUNCTION("""COMPUTED_VALUE"""),"R-SERIES 809")</f>
        <v>R-SERIES 809</v>
      </c>
      <c r="L480" s="2" t="str">
        <f>IFERROR(__xludf.DUMMYFUNCTION("""COMPUTED_VALUE"""),"LSGW1750-RMP-24010114")</f>
        <v>LSGW1750-RMP-24010114</v>
      </c>
      <c r="M480" s="2" t="str">
        <f>IFERROR(__xludf.DUMMYFUNCTION("""COMPUTED_VALUE"""),"WDP40-RMP-24050574")</f>
        <v>WDP40-RMP-24050574</v>
      </c>
      <c r="N480" s="2"/>
      <c r="O480" s="2" t="str">
        <f>IFERROR(__xludf.DUMMYFUNCTION("""COMPUTED_VALUE"""),"Bugbugcao")</f>
        <v>Bugbugcao</v>
      </c>
      <c r="P480" s="2" t="str">
        <f>IFERROR(__xludf.DUMMYFUNCTION("""COMPUTED_VALUE"""),"San Juan")</f>
        <v>San Juan</v>
      </c>
      <c r="Q480" s="2" t="str">
        <f>IFERROR(__xludf.DUMMYFUNCTION("""COMPUTED_VALUE"""),"La Union")</f>
        <v>La Union</v>
      </c>
      <c r="R480" s="2">
        <f>IFERROR(__xludf.DUMMYFUNCTION("""COMPUTED_VALUE"""),1.0)</f>
        <v>1</v>
      </c>
      <c r="S480" s="2"/>
      <c r="T480" s="2"/>
    </row>
    <row r="481">
      <c r="A481" s="1">
        <f>IFERROR(__xludf.DUMMYFUNCTION("""COMPUTED_VALUE"""),479.0)</f>
        <v>479</v>
      </c>
      <c r="B481" s="2" t="str">
        <f>IFERROR(__xludf.DUMMYFUNCTION("""COMPUTED_VALUE"""),"NUEVA ERA PAPA NORTH IRRIGATORS ASSOCIATION INC.")</f>
        <v>NUEVA ERA PAPA NORTH IRRIGATORS ASSOCIATION INC.</v>
      </c>
      <c r="C481" s="2" t="str">
        <f>IFERROR(__xludf.DUMMYFUNCTION("""COMPUTED_VALUE"""),"Poblacion, Nueva Era, ILOCOS NORTE")</f>
        <v>Poblacion, Nueva Era, ILOCOS NORTE</v>
      </c>
      <c r="D481" s="2" t="str">
        <f>IFERROR(__xludf.DUMMYFUNCTION("""COMPUTED_VALUE"""),"Rufino D. Corpuz")</f>
        <v>Rufino D. Corpuz</v>
      </c>
      <c r="E481" s="2" t="str">
        <f>IFERROR(__xludf.DUMMYFUNCTION("""COMPUTED_VALUE"""),"0930-137-0534")</f>
        <v>0930-137-0534</v>
      </c>
      <c r="F481" s="2" t="str">
        <f>IFERROR(__xludf.DUMMYFUNCTION("""COMPUTED_VALUE"""),"RCEF 23-09-21 Rebidding")</f>
        <v>RCEF 23-09-21 Rebidding</v>
      </c>
      <c r="G481" s="2">
        <f>IFERROR(__xludf.DUMMYFUNCTION("""COMPUTED_VALUE"""),9.0)</f>
        <v>9</v>
      </c>
      <c r="H481" s="2">
        <f>IFERROR(__xludf.DUMMYFUNCTION("""COMPUTED_VALUE"""),188945.0)</f>
        <v>188945</v>
      </c>
      <c r="I481" s="2" t="str">
        <f>IFERROR(__xludf.DUMMYFUNCTION("""COMPUTED_VALUE"""),"KMC5825 AHRFPV038")</f>
        <v>KMC5825 AHRFPV038</v>
      </c>
      <c r="J481" s="2" t="str">
        <f>IFERROR(__xludf.DUMMYFUNCTION("""COMPUTED_VALUE"""),"RTS 100239")</f>
        <v>RTS 100239</v>
      </c>
      <c r="K481" s="2" t="str">
        <f>IFERROR(__xludf.DUMMYFUNCTION("""COMPUTED_VALUE"""),"R SERIES 708 PH")</f>
        <v>R SERIES 708 PH</v>
      </c>
      <c r="L481" s="2" t="str">
        <f>IFERROR(__xludf.DUMMYFUNCTION("""COMPUTED_VALUE"""),"LSGW1750 RMP 24010202")</f>
        <v>LSGW1750 RMP 24010202</v>
      </c>
      <c r="M481" s="2" t="str">
        <f>IFERROR(__xludf.DUMMYFUNCTION("""COMPUTED_VALUE"""),"WDP 40 RMP 24010053")</f>
        <v>WDP 40 RMP 24010053</v>
      </c>
      <c r="N481" s="2"/>
      <c r="O481" s="2" t="str">
        <f>IFERROR(__xludf.DUMMYFUNCTION("""COMPUTED_VALUE"""),"Poblacion")</f>
        <v>Poblacion</v>
      </c>
      <c r="P481" s="2" t="str">
        <f>IFERROR(__xludf.DUMMYFUNCTION("""COMPUTED_VALUE"""),"Nueva Era")</f>
        <v>Nueva Era</v>
      </c>
      <c r="Q481" s="2" t="str">
        <f>IFERROR(__xludf.DUMMYFUNCTION("""COMPUTED_VALUE"""),"Ilocos Norte")</f>
        <v>Ilocos Norte</v>
      </c>
      <c r="R481" s="2">
        <f>IFERROR(__xludf.DUMMYFUNCTION("""COMPUTED_VALUE"""),1.0)</f>
        <v>1</v>
      </c>
      <c r="S481" s="2"/>
      <c r="T481" s="2"/>
    </row>
    <row r="482">
      <c r="A482" s="1">
        <f>IFERROR(__xludf.DUMMYFUNCTION("""COMPUTED_VALUE"""),480.0)</f>
        <v>480</v>
      </c>
      <c r="B482" s="2" t="str">
        <f>IFERROR(__xludf.DUMMYFUNCTION("""COMPUTED_VALUE"""),"Bagong Pag-asa Larcon Farmers Association")</f>
        <v>Bagong Pag-asa Larcon Farmers Association</v>
      </c>
      <c r="C482" s="2" t="str">
        <f>IFERROR(__xludf.DUMMYFUNCTION("""COMPUTED_VALUE"""),"Larcon, Bongabon, NUEVA ECIJA")</f>
        <v>Larcon, Bongabon, NUEVA ECIJA</v>
      </c>
      <c r="D482" s="2" t="str">
        <f>IFERROR(__xludf.DUMMYFUNCTION("""COMPUTED_VALUE"""),"Marlon T. Lorenzo")</f>
        <v>Marlon T. Lorenzo</v>
      </c>
      <c r="E482" s="2" t="str">
        <f>IFERROR(__xludf.DUMMYFUNCTION("""COMPUTED_VALUE"""),"0936-180-2825")</f>
        <v>0936-180-2825</v>
      </c>
      <c r="F482" s="2" t="str">
        <f>IFERROR(__xludf.DUMMYFUNCTION("""COMPUTED_VALUE"""),"RCEF 23-09-21 Rebidding")</f>
        <v>RCEF 23-09-21 Rebidding</v>
      </c>
      <c r="G482" s="2">
        <f>IFERROR(__xludf.DUMMYFUNCTION("""COMPUTED_VALUE"""),3.0)</f>
        <v>3</v>
      </c>
      <c r="H482" s="2"/>
      <c r="I482" s="2" t="str">
        <f>IFERROR(__xludf.DUMMYFUNCTION("""COMPUTED_VALUE"""),"KMC 5825 AAR FPV0380")</f>
        <v>KMC 5825 AAR FPV0380</v>
      </c>
      <c r="J482" s="2" t="str">
        <f>IFERROR(__xludf.DUMMYFUNCTION("""COMPUTED_VALUE"""),"RTS 100264")</f>
        <v>RTS 100264</v>
      </c>
      <c r="K482" s="2" t="str">
        <f>IFERROR(__xludf.DUMMYFUNCTION("""COMPUTED_VALUE"""),"R SERIES 024 PH")</f>
        <v>R SERIES 024 PH</v>
      </c>
      <c r="L482" s="2" t="str">
        <f>IFERROR(__xludf.DUMMYFUNCTION("""COMPUTED_VALUE"""),"LSGW1750 RMP 24020462")</f>
        <v>LSGW1750 RMP 24020462</v>
      </c>
      <c r="M482" s="2" t="str">
        <f>IFERROR(__xludf.DUMMYFUNCTION("""COMPUTED_VALUE"""),"WDP40 RMP 24020212")</f>
        <v>WDP40 RMP 24020212</v>
      </c>
      <c r="N482" s="2"/>
      <c r="O482" s="2" t="str">
        <f>IFERROR(__xludf.DUMMYFUNCTION("""COMPUTED_VALUE"""),"Larcon")</f>
        <v>Larcon</v>
      </c>
      <c r="P482" s="2" t="str">
        <f>IFERROR(__xludf.DUMMYFUNCTION("""COMPUTED_VALUE"""),"Bongabon")</f>
        <v>Bongabon</v>
      </c>
      <c r="Q482" s="2" t="str">
        <f>IFERROR(__xludf.DUMMYFUNCTION("""COMPUTED_VALUE"""),"Nueva Ecija")</f>
        <v>Nueva Ecija</v>
      </c>
      <c r="R482" s="2">
        <f>IFERROR(__xludf.DUMMYFUNCTION("""COMPUTED_VALUE"""),3.0)</f>
        <v>3</v>
      </c>
      <c r="S482" s="2"/>
      <c r="T482" s="2"/>
    </row>
    <row r="483">
      <c r="A483" s="1">
        <f>IFERROR(__xludf.DUMMYFUNCTION("""COMPUTED_VALUE"""),481.0)</f>
        <v>481</v>
      </c>
      <c r="B483" s="2" t="str">
        <f>IFERROR(__xludf.DUMMYFUNCTION("""COMPUTED_VALUE"""),"Provincial Local Government Unit of Nueva Ecija")</f>
        <v>Provincial Local Government Unit of Nueva Ecija</v>
      </c>
      <c r="C483" s="2" t="str">
        <f>IFERROR(__xludf.DUMMYFUNCTION("""COMPUTED_VALUE"""),"Singalat, Palayan City, NUEVA ECIJA")</f>
        <v>Singalat, Palayan City, NUEVA ECIJA</v>
      </c>
      <c r="D483" s="2" t="str">
        <f>IFERROR(__xludf.DUMMYFUNCTION("""COMPUTED_VALUE"""),"Hon. Aurelio M. Umali")</f>
        <v>Hon. Aurelio M. Umali</v>
      </c>
      <c r="E483" s="2" t="str">
        <f>IFERROR(__xludf.DUMMYFUNCTION("""COMPUTED_VALUE"""),"63 917 826 4814")</f>
        <v>63 917 826 4814</v>
      </c>
      <c r="F483" s="2" t="str">
        <f>IFERROR(__xludf.DUMMYFUNCTION("""COMPUTED_VALUE"""),"RCEF 23-09-21 Rebidding")</f>
        <v>RCEF 23-09-21 Rebidding</v>
      </c>
      <c r="G483" s="2">
        <f>IFERROR(__xludf.DUMMYFUNCTION("""COMPUTED_VALUE"""),3.0)</f>
        <v>3</v>
      </c>
      <c r="H483" s="2"/>
      <c r="I483" s="2" t="str">
        <f>IFERROR(__xludf.DUMMYFUNCTION("""COMPUTED_VALUE"""),"KMC 5825 ACRFPV0201")</f>
        <v>KMC 5825 ACRFPV0201</v>
      </c>
      <c r="J483" s="2" t="str">
        <f>IFERROR(__xludf.DUMMYFUNCTION("""COMPUTED_VALUE"""),"RTS 100068")</f>
        <v>RTS 100068</v>
      </c>
      <c r="K483" s="2" t="str">
        <f>IFERROR(__xludf.DUMMYFUNCTION("""COMPUTED_VALUE"""),"R SERIES 391 PH")</f>
        <v>R SERIES 391 PH</v>
      </c>
      <c r="L483" s="2" t="str">
        <f>IFERROR(__xludf.DUMMYFUNCTION("""COMPUTED_VALUE"""),"LSGW1750 RMP 2312142")</f>
        <v>LSGW1750 RMP 2312142</v>
      </c>
      <c r="M483" s="2" t="str">
        <f>IFERROR(__xludf.DUMMYFUNCTION("""COMPUTED_VALUE"""),"WDP40 RMP 24020215")</f>
        <v>WDP40 RMP 24020215</v>
      </c>
      <c r="N483" s="2"/>
      <c r="O483" s="2" t="str">
        <f>IFERROR(__xludf.DUMMYFUNCTION("""COMPUTED_VALUE"""),"Singalat")</f>
        <v>Singalat</v>
      </c>
      <c r="P483" s="2" t="str">
        <f>IFERROR(__xludf.DUMMYFUNCTION("""COMPUTED_VALUE"""),"Palayan City")</f>
        <v>Palayan City</v>
      </c>
      <c r="Q483" s="2" t="str">
        <f>IFERROR(__xludf.DUMMYFUNCTION("""COMPUTED_VALUE"""),"Nueva Ecija")</f>
        <v>Nueva Ecija</v>
      </c>
      <c r="R483" s="2">
        <f>IFERROR(__xludf.DUMMYFUNCTION("""COMPUTED_VALUE"""),3.0)</f>
        <v>3</v>
      </c>
      <c r="S483" s="2"/>
      <c r="T483" s="2"/>
    </row>
    <row r="484">
      <c r="A484" s="1">
        <f>IFERROR(__xludf.DUMMYFUNCTION("""COMPUTED_VALUE"""),482.0)</f>
        <v>482</v>
      </c>
      <c r="B484" s="2" t="str">
        <f>IFERROR(__xludf.DUMMYFUNCTION("""COMPUTED_VALUE"""),"Provincial Local Government Unit of Nueva Ecija")</f>
        <v>Provincial Local Government Unit of Nueva Ecija</v>
      </c>
      <c r="C484" s="2" t="str">
        <f>IFERROR(__xludf.DUMMYFUNCTION("""COMPUTED_VALUE"""),"Singalat, Palayan City, NUEVA ECIJA")</f>
        <v>Singalat, Palayan City, NUEVA ECIJA</v>
      </c>
      <c r="D484" s="2" t="str">
        <f>IFERROR(__xludf.DUMMYFUNCTION("""COMPUTED_VALUE"""),"Hon. Aurelio M. Umali")</f>
        <v>Hon. Aurelio M. Umali</v>
      </c>
      <c r="E484" s="2" t="str">
        <f>IFERROR(__xludf.DUMMYFUNCTION("""COMPUTED_VALUE"""),"63 917 826 4814")</f>
        <v>63 917 826 4814</v>
      </c>
      <c r="F484" s="2" t="str">
        <f>IFERROR(__xludf.DUMMYFUNCTION("""COMPUTED_VALUE"""),"RCEF 23-09-21 Rebidding")</f>
        <v>RCEF 23-09-21 Rebidding</v>
      </c>
      <c r="G484" s="2">
        <f>IFERROR(__xludf.DUMMYFUNCTION("""COMPUTED_VALUE"""),3.0)</f>
        <v>3</v>
      </c>
      <c r="H484" s="2"/>
      <c r="I484" s="2" t="str">
        <f>IFERROR(__xludf.DUMMYFUNCTION("""COMPUTED_VALUE"""),"KMC 5825")</f>
        <v>KMC 5825</v>
      </c>
      <c r="J484" s="2" t="str">
        <f>IFERROR(__xludf.DUMMYFUNCTION("""COMPUTED_VALUE"""),"RTS")</f>
        <v>RTS</v>
      </c>
      <c r="K484" s="2" t="str">
        <f>IFERROR(__xludf.DUMMYFUNCTION("""COMPUTED_VALUE"""),"R SERIES")</f>
        <v>R SERIES</v>
      </c>
      <c r="L484" s="2" t="str">
        <f>IFERROR(__xludf.DUMMYFUNCTION("""COMPUTED_VALUE"""),"LSGW1750 RMP")</f>
        <v>LSGW1750 RMP</v>
      </c>
      <c r="M484" s="2" t="str">
        <f>IFERROR(__xludf.DUMMYFUNCTION("""COMPUTED_VALUE"""),"WDP40 RMP")</f>
        <v>WDP40 RMP</v>
      </c>
      <c r="N484" s="2"/>
      <c r="O484" s="2" t="str">
        <f>IFERROR(__xludf.DUMMYFUNCTION("""COMPUTED_VALUE"""),"Singalat")</f>
        <v>Singalat</v>
      </c>
      <c r="P484" s="2" t="str">
        <f>IFERROR(__xludf.DUMMYFUNCTION("""COMPUTED_VALUE"""),"Palayan City")</f>
        <v>Palayan City</v>
      </c>
      <c r="Q484" s="2" t="str">
        <f>IFERROR(__xludf.DUMMYFUNCTION("""COMPUTED_VALUE"""),"Nueva Ecija")</f>
        <v>Nueva Ecija</v>
      </c>
      <c r="R484" s="2">
        <f>IFERROR(__xludf.DUMMYFUNCTION("""COMPUTED_VALUE"""),3.0)</f>
        <v>3</v>
      </c>
      <c r="S484" s="2"/>
      <c r="T484" s="2"/>
    </row>
    <row r="485">
      <c r="A485" s="1">
        <f>IFERROR(__xludf.DUMMYFUNCTION("""COMPUTED_VALUE"""),483.0)</f>
        <v>483</v>
      </c>
      <c r="B485" s="2" t="str">
        <f>IFERROR(__xludf.DUMMYFUNCTION("""COMPUTED_VALUE"""),"Aluminit-Santor Farmers Irrigators Association Inc. (ASFIA)")</f>
        <v>Aluminit-Santor Farmers Irrigators Association Inc. (ASFIA)</v>
      </c>
      <c r="C485" s="2" t="str">
        <f>IFERROR(__xludf.DUMMYFUNCTION("""COMPUTED_VALUE"""),"Santor, Rizal (Liwan), KALINGA")</f>
        <v>Santor, Rizal (Liwan), KALINGA</v>
      </c>
      <c r="D485" s="2" t="str">
        <f>IFERROR(__xludf.DUMMYFUNCTION("""COMPUTED_VALUE"""),"Ben G. Gazzingan")</f>
        <v>Ben G. Gazzingan</v>
      </c>
      <c r="E485" s="2">
        <f>IFERROR(__xludf.DUMMYFUNCTION("""COMPUTED_VALUE"""),9.357791495E9)</f>
        <v>9357791495</v>
      </c>
      <c r="F485" s="2" t="str">
        <f>IFERROR(__xludf.DUMMYFUNCTION("""COMPUTED_VALUE"""),"RCEF 24-04-15")</f>
        <v>RCEF 24-04-15</v>
      </c>
      <c r="G485" s="2">
        <f>IFERROR(__xludf.DUMMYFUNCTION("""COMPUTED_VALUE"""),6.0)</f>
        <v>6</v>
      </c>
      <c r="H485" s="2">
        <f>IFERROR(__xludf.DUMMYFUNCTION("""COMPUTED_VALUE"""),19957.0)</f>
        <v>19957</v>
      </c>
      <c r="I485" s="2" t="str">
        <f>IFERROR(__xludf.DUMMYFUNCTION("""COMPUTED_VALUE"""),"KMC5825AARFPV0900")</f>
        <v>KMC5825AARFPV0900</v>
      </c>
      <c r="J485" s="2" t="str">
        <f>IFERROR(__xludf.DUMMYFUNCTION("""COMPUTED_VALUE"""),"RTS100816")</f>
        <v>RTS100816</v>
      </c>
      <c r="K485" s="2" t="str">
        <f>IFERROR(__xludf.DUMMYFUNCTION("""COMPUTED_VALUE"""),"LSGW170-RMP-24101062")</f>
        <v>LSGW170-RMP-24101062</v>
      </c>
      <c r="L485" s="2" t="str">
        <f>IFERROR(__xludf.DUMMYFUNCTION("""COMPUTED_VALUE"""),"WDP40-RMP-24121446")</f>
        <v>WDP40-RMP-24121446</v>
      </c>
      <c r="M485" s="2" t="str">
        <f>IFERROR(__xludf.DUMMYFUNCTION("""COMPUTED_VALUE"""),"WR-SERIES-1009PH")</f>
        <v>WR-SERIES-1009PH</v>
      </c>
      <c r="N485" s="2"/>
      <c r="O485" s="2" t="str">
        <f>IFERROR(__xludf.DUMMYFUNCTION("""COMPUTED_VALUE"""),"Santor")</f>
        <v>Santor</v>
      </c>
      <c r="P485" s="2" t="str">
        <f>IFERROR(__xludf.DUMMYFUNCTION("""COMPUTED_VALUE"""),"Rizal (Liwan)")</f>
        <v>Rizal (Liwan)</v>
      </c>
      <c r="Q485" s="2" t="str">
        <f>IFERROR(__xludf.DUMMYFUNCTION("""COMPUTED_VALUE"""),"Kalinga")</f>
        <v>Kalinga</v>
      </c>
      <c r="R485" s="2" t="str">
        <f>IFERROR(__xludf.DUMMYFUNCTION("""COMPUTED_VALUE"""),"CAR")</f>
        <v>CAR</v>
      </c>
      <c r="S485" s="2"/>
      <c r="T485" s="2"/>
    </row>
    <row r="486">
      <c r="A486" s="1">
        <f>IFERROR(__xludf.DUMMYFUNCTION("""COMPUTED_VALUE"""),484.0)</f>
        <v>484</v>
      </c>
      <c r="B486" s="2" t="str">
        <f>IFERROR(__xludf.DUMMYFUNCTION("""COMPUTED_VALUE"""),"RANG-AY SAN QUINTIN FARMERS ASSOCIATION")</f>
        <v>RANG-AY SAN QUINTIN FARMERS ASSOCIATION</v>
      </c>
      <c r="C486" s="2" t="str">
        <f>IFERROR(__xludf.DUMMYFUNCTION("""COMPUTED_VALUE"""),"San Quintin, Rizal (Liwan), KALINGA")</f>
        <v>San Quintin, Rizal (Liwan), KALINGA</v>
      </c>
      <c r="D486" s="2" t="str">
        <f>IFERROR(__xludf.DUMMYFUNCTION("""COMPUTED_VALUE"""),"Augusto D. Bayed")</f>
        <v>Augusto D. Bayed</v>
      </c>
      <c r="E486" s="2">
        <f>IFERROR(__xludf.DUMMYFUNCTION("""COMPUTED_VALUE"""),9.058083099E9)</f>
        <v>9058083099</v>
      </c>
      <c r="F486" s="2" t="str">
        <f>IFERROR(__xludf.DUMMYFUNCTION("""COMPUTED_VALUE"""),"RCEF 24-04-15")</f>
        <v>RCEF 24-04-15</v>
      </c>
      <c r="G486" s="2">
        <f>IFERROR(__xludf.DUMMYFUNCTION("""COMPUTED_VALUE"""),6.0)</f>
        <v>6</v>
      </c>
      <c r="H486" s="2">
        <f>IFERROR(__xludf.DUMMYFUNCTION("""COMPUTED_VALUE"""),19958.0)</f>
        <v>19958</v>
      </c>
      <c r="I486" s="2" t="str">
        <f>IFERROR(__xludf.DUMMYFUNCTION("""COMPUTED_VALUE"""),"KMC5825ALRFPV0915")</f>
        <v>KMC5825ALRFPV0915</v>
      </c>
      <c r="J486" s="2" t="str">
        <f>IFERROR(__xludf.DUMMYFUNCTION("""COMPUTED_VALUE"""),"RTS100653")</f>
        <v>RTS100653</v>
      </c>
      <c r="K486" s="2" t="str">
        <f>IFERROR(__xludf.DUMMYFUNCTION("""COMPUTED_VALUE"""),"LSGW170-RMP-24100081")</f>
        <v>LSGW170-RMP-24100081</v>
      </c>
      <c r="L486" s="2" t="str">
        <f>IFERROR(__xludf.DUMMYFUNCTION("""COMPUTED_VALUE"""),"WDP40-RMP-2411473")</f>
        <v>WDP40-RMP-2411473</v>
      </c>
      <c r="M486" s="2" t="str">
        <f>IFERROR(__xludf.DUMMYFUNCTION("""COMPUTED_VALUE"""),"WR-SERIES-1011PH")</f>
        <v>WR-SERIES-1011PH</v>
      </c>
      <c r="N486" s="2"/>
      <c r="O486" s="2" t="str">
        <f>IFERROR(__xludf.DUMMYFUNCTION("""COMPUTED_VALUE"""),"San Quintin")</f>
        <v>San Quintin</v>
      </c>
      <c r="P486" s="2" t="str">
        <f>IFERROR(__xludf.DUMMYFUNCTION("""COMPUTED_VALUE"""),"Rizal (Liwan)")</f>
        <v>Rizal (Liwan)</v>
      </c>
      <c r="Q486" s="2" t="str">
        <f>IFERROR(__xludf.DUMMYFUNCTION("""COMPUTED_VALUE"""),"Kalinga")</f>
        <v>Kalinga</v>
      </c>
      <c r="R486" s="2" t="str">
        <f>IFERROR(__xludf.DUMMYFUNCTION("""COMPUTED_VALUE"""),"CAR")</f>
        <v>CAR</v>
      </c>
      <c r="S486" s="2"/>
      <c r="T486" s="2"/>
    </row>
    <row r="487">
      <c r="A487" s="1">
        <f>IFERROR(__xludf.DUMMYFUNCTION("""COMPUTED_VALUE"""),485.0)</f>
        <v>485</v>
      </c>
      <c r="B487" s="2" t="str">
        <f>IFERROR(__xludf.DUMMYFUNCTION("""COMPUTED_VALUE"""),"Agriing Kayu Farmers Irrigators Association")</f>
        <v>Agriing Kayu Farmers Irrigators Association</v>
      </c>
      <c r="C487" s="2" t="str">
        <f>IFERROR(__xludf.DUMMYFUNCTION("""COMPUTED_VALUE"""),"Laya West, Tabuk City, KALINGA")</f>
        <v>Laya West, Tabuk City, KALINGA</v>
      </c>
      <c r="D487" s="2" t="str">
        <f>IFERROR(__xludf.DUMMYFUNCTION("""COMPUTED_VALUE"""),"Druso Linmipao")</f>
        <v>Druso Linmipao</v>
      </c>
      <c r="E487" s="2">
        <f>IFERROR(__xludf.DUMMYFUNCTION("""COMPUTED_VALUE"""),9.631727497E9)</f>
        <v>9631727497</v>
      </c>
      <c r="F487" s="2" t="str">
        <f>IFERROR(__xludf.DUMMYFUNCTION("""COMPUTED_VALUE"""),"RCEF 24-04-15")</f>
        <v>RCEF 24-04-15</v>
      </c>
      <c r="G487" s="2">
        <f>IFERROR(__xludf.DUMMYFUNCTION("""COMPUTED_VALUE"""),6.0)</f>
        <v>6</v>
      </c>
      <c r="H487" s="2">
        <f>IFERROR(__xludf.DUMMYFUNCTION("""COMPUTED_VALUE"""),19959.0)</f>
        <v>19959</v>
      </c>
      <c r="I487" s="2" t="str">
        <f>IFERROR(__xludf.DUMMYFUNCTION("""COMPUTED_VALUE"""),"KMC5825ALRFPV0929")</f>
        <v>KMC5825ALRFPV0929</v>
      </c>
      <c r="J487" s="2" t="str">
        <f>IFERROR(__xludf.DUMMYFUNCTION("""COMPUTED_VALUE"""),"RTS100759")</f>
        <v>RTS100759</v>
      </c>
      <c r="K487" s="2" t="str">
        <f>IFERROR(__xludf.DUMMYFUNCTION("""COMPUTED_VALUE"""),"LSGW170-RMP-24100963")</f>
        <v>LSGW170-RMP-24100963</v>
      </c>
      <c r="L487" s="2" t="str">
        <f>IFERROR(__xludf.DUMMYFUNCTION("""COMPUTED_VALUE"""),"WDP40-RMP-24121450")</f>
        <v>WDP40-RMP-24121450</v>
      </c>
      <c r="M487" s="2" t="str">
        <f>IFERROR(__xludf.DUMMYFUNCTION("""COMPUTED_VALUE"""),"WR-SERIES-1018PH")</f>
        <v>WR-SERIES-1018PH</v>
      </c>
      <c r="N487" s="2"/>
      <c r="O487" s="2" t="str">
        <f>IFERROR(__xludf.DUMMYFUNCTION("""COMPUTED_VALUE"""),"Laya West")</f>
        <v>Laya West</v>
      </c>
      <c r="P487" s="2" t="str">
        <f>IFERROR(__xludf.DUMMYFUNCTION("""COMPUTED_VALUE"""),"Tabuk City")</f>
        <v>Tabuk City</v>
      </c>
      <c r="Q487" s="2" t="str">
        <f>IFERROR(__xludf.DUMMYFUNCTION("""COMPUTED_VALUE"""),"Kalinga")</f>
        <v>Kalinga</v>
      </c>
      <c r="R487" s="2" t="str">
        <f>IFERROR(__xludf.DUMMYFUNCTION("""COMPUTED_VALUE"""),"CAR")</f>
        <v>CAR</v>
      </c>
      <c r="S487" s="2"/>
      <c r="T487" s="2"/>
    </row>
    <row r="488">
      <c r="A488" s="1">
        <f>IFERROR(__xludf.DUMMYFUNCTION("""COMPUTED_VALUE"""),486.0)</f>
        <v>486</v>
      </c>
      <c r="B488" s="2" t="str">
        <f>IFERROR(__xludf.DUMMYFUNCTION("""COMPUTED_VALUE"""),"CATAO PAGBIAGAN ASSOCIATION FOR DEVELOPMENT")</f>
        <v>CATAO PAGBIAGAN ASSOCIATION FOR DEVELOPMENT</v>
      </c>
      <c r="C488" s="2" t="str">
        <f>IFERROR(__xludf.DUMMYFUNCTION("""COMPUTED_VALUE"""),"Laya East, Tabuk City, KALINGA")</f>
        <v>Laya East, Tabuk City, KALINGA</v>
      </c>
      <c r="D488" s="2" t="str">
        <f>IFERROR(__xludf.DUMMYFUNCTION("""COMPUTED_VALUE"""),"Robert L. Liab")</f>
        <v>Robert L. Liab</v>
      </c>
      <c r="E488" s="2">
        <f>IFERROR(__xludf.DUMMYFUNCTION("""COMPUTED_VALUE"""),9.556683409E9)</f>
        <v>9556683409</v>
      </c>
      <c r="F488" s="2" t="str">
        <f>IFERROR(__xludf.DUMMYFUNCTION("""COMPUTED_VALUE"""),"RCEF 24-04-15")</f>
        <v>RCEF 24-04-15</v>
      </c>
      <c r="G488" s="2">
        <f>IFERROR(__xludf.DUMMYFUNCTION("""COMPUTED_VALUE"""),6.0)</f>
        <v>6</v>
      </c>
      <c r="H488" s="2">
        <f>IFERROR(__xludf.DUMMYFUNCTION("""COMPUTED_VALUE"""),19960.0)</f>
        <v>19960</v>
      </c>
      <c r="I488" s="2" t="str">
        <f>IFERROR(__xludf.DUMMYFUNCTION("""COMPUTED_VALUE"""),"KMC5825APRFPV0906")</f>
        <v>KMC5825APRFPV0906</v>
      </c>
      <c r="J488" s="2" t="str">
        <f>IFERROR(__xludf.DUMMYFUNCTION("""COMPUTED_VALUE"""),"RTS100805")</f>
        <v>RTS100805</v>
      </c>
      <c r="K488" s="2" t="str">
        <f>IFERROR(__xludf.DUMMYFUNCTION("""COMPUTED_VALUE"""),"LSGW170-RMP-24101061")</f>
        <v>LSGW170-RMP-24101061</v>
      </c>
      <c r="L488" s="2" t="str">
        <f>IFERROR(__xludf.DUMMYFUNCTION("""COMPUTED_VALUE"""),"WDP40-RMP-24121481")</f>
        <v>WDP40-RMP-24121481</v>
      </c>
      <c r="M488" s="2" t="str">
        <f>IFERROR(__xludf.DUMMYFUNCTION("""COMPUTED_VALUE"""),"WR-SERIES-1027PH")</f>
        <v>WR-SERIES-1027PH</v>
      </c>
      <c r="N488" s="2"/>
      <c r="O488" s="2" t="str">
        <f>IFERROR(__xludf.DUMMYFUNCTION("""COMPUTED_VALUE"""),"Laya East")</f>
        <v>Laya East</v>
      </c>
      <c r="P488" s="2" t="str">
        <f>IFERROR(__xludf.DUMMYFUNCTION("""COMPUTED_VALUE"""),"Tabuk City")</f>
        <v>Tabuk City</v>
      </c>
      <c r="Q488" s="2" t="str">
        <f>IFERROR(__xludf.DUMMYFUNCTION("""COMPUTED_VALUE"""),"Kalinga")</f>
        <v>Kalinga</v>
      </c>
      <c r="R488" s="2" t="str">
        <f>IFERROR(__xludf.DUMMYFUNCTION("""COMPUTED_VALUE"""),"CAR")</f>
        <v>CAR</v>
      </c>
      <c r="S488" s="2"/>
      <c r="T488" s="2"/>
    </row>
    <row r="489">
      <c r="A489" s="1">
        <f>IFERROR(__xludf.DUMMYFUNCTION("""COMPUTED_VALUE"""),487.0)</f>
        <v>487</v>
      </c>
      <c r="B489" s="2" t="str">
        <f>IFERROR(__xludf.DUMMYFUNCTION("""COMPUTED_VALUE"""),"CATAO-NAMBARAN FARMERS IRRIGATORS
  ASSOCIATION INC.")</f>
        <v>CATAO-NAMBARAN FARMERS IRRIGATORS
  ASSOCIATION INC.</v>
      </c>
      <c r="C489" s="2" t="str">
        <f>IFERROR(__xludf.DUMMYFUNCTION("""COMPUTED_VALUE"""),"Nambaran, Tabuk City, KALINGA")</f>
        <v>Nambaran, Tabuk City, KALINGA</v>
      </c>
      <c r="D489" s="2" t="str">
        <f>IFERROR(__xludf.DUMMYFUNCTION("""COMPUTED_VALUE"""),"#N/A")</f>
        <v>#N/A</v>
      </c>
      <c r="E489" s="2" t="str">
        <f>IFERROR(__xludf.DUMMYFUNCTION("""COMPUTED_VALUE"""),"#N/A")</f>
        <v>#N/A</v>
      </c>
      <c r="F489" s="2" t="str">
        <f>IFERROR(__xludf.DUMMYFUNCTION("""COMPUTED_VALUE"""),"RCEF 24-04-15")</f>
        <v>RCEF 24-04-15</v>
      </c>
      <c r="G489" s="2">
        <f>IFERROR(__xludf.DUMMYFUNCTION("""COMPUTED_VALUE"""),6.0)</f>
        <v>6</v>
      </c>
      <c r="H489" s="2">
        <f>IFERROR(__xludf.DUMMYFUNCTION("""COMPUTED_VALUE"""),19961.0)</f>
        <v>19961</v>
      </c>
      <c r="I489" s="2" t="str">
        <f>IFERROR(__xludf.DUMMYFUNCTION("""COMPUTED_VALUE"""),"KMC5825AVRFPV0829")</f>
        <v>KMC5825AVRFPV0829</v>
      </c>
      <c r="J489" s="2" t="str">
        <f>IFERROR(__xludf.DUMMYFUNCTION("""COMPUTED_VALUE"""),"RTS100731")</f>
        <v>RTS100731</v>
      </c>
      <c r="K489" s="2" t="str">
        <f>IFERROR(__xludf.DUMMYFUNCTION("""COMPUTED_VALUE"""),"LSGW170-RMP-24100987")</f>
        <v>LSGW170-RMP-24100987</v>
      </c>
      <c r="L489" s="2" t="str">
        <f>IFERROR(__xludf.DUMMYFUNCTION("""COMPUTED_VALUE"""),"WDP40-RMP-24111414")</f>
        <v>WDP40-RMP-24111414</v>
      </c>
      <c r="M489" s="2" t="str">
        <f>IFERROR(__xludf.DUMMYFUNCTION("""COMPUTED_VALUE"""),"WR-SERIES-1061PH")</f>
        <v>WR-SERIES-1061PH</v>
      </c>
      <c r="N489" s="2"/>
      <c r="O489" s="2" t="str">
        <f>IFERROR(__xludf.DUMMYFUNCTION("""COMPUTED_VALUE"""),"Nambaran")</f>
        <v>Nambaran</v>
      </c>
      <c r="P489" s="2" t="str">
        <f>IFERROR(__xludf.DUMMYFUNCTION("""COMPUTED_VALUE"""),"Tabuk City")</f>
        <v>Tabuk City</v>
      </c>
      <c r="Q489" s="2" t="str">
        <f>IFERROR(__xludf.DUMMYFUNCTION("""COMPUTED_VALUE"""),"Kalinga")</f>
        <v>Kalinga</v>
      </c>
      <c r="R489" s="2" t="str">
        <f>IFERROR(__xludf.DUMMYFUNCTION("""COMPUTED_VALUE"""),"CAR")</f>
        <v>CAR</v>
      </c>
      <c r="S489" s="2"/>
      <c r="T489" s="2"/>
    </row>
    <row r="490">
      <c r="A490" s="1">
        <f>IFERROR(__xludf.DUMMYFUNCTION("""COMPUTED_VALUE"""),488.0)</f>
        <v>488</v>
      </c>
      <c r="B490" s="2" t="str">
        <f>IFERROR(__xludf.DUMMYFUNCTION("""COMPUTED_VALUE"""),"MEN GAWISAN NAN IGOROT ED CALALIGAN FARMERS ASSOCIATION")</f>
        <v>MEN GAWISAN NAN IGOROT ED CALALIGAN FARMERS ASSOCIATION</v>
      </c>
      <c r="C490" s="2" t="str">
        <f>IFERROR(__xludf.DUMMYFUNCTION("""COMPUTED_VALUE"""),"Masablang, Tabuk City, KALINGA")</f>
        <v>Masablang, Tabuk City, KALINGA</v>
      </c>
      <c r="D490" s="2" t="str">
        <f>IFERROR(__xludf.DUMMYFUNCTION("""COMPUTED_VALUE"""),"Angelita D. Lumas-e")</f>
        <v>Angelita D. Lumas-e</v>
      </c>
      <c r="E490" s="2">
        <f>IFERROR(__xludf.DUMMYFUNCTION("""COMPUTED_VALUE"""),9.353940653E9)</f>
        <v>9353940653</v>
      </c>
      <c r="F490" s="2" t="str">
        <f>IFERROR(__xludf.DUMMYFUNCTION("""COMPUTED_VALUE"""),"RCEF 24-04-15")</f>
        <v>RCEF 24-04-15</v>
      </c>
      <c r="G490" s="2">
        <f>IFERROR(__xludf.DUMMYFUNCTION("""COMPUTED_VALUE"""),6.0)</f>
        <v>6</v>
      </c>
      <c r="H490" s="2">
        <f>IFERROR(__xludf.DUMMYFUNCTION("""COMPUTED_VALUE"""),19962.0)</f>
        <v>19962</v>
      </c>
      <c r="I490" s="2" t="str">
        <f>IFERROR(__xludf.DUMMYFUNCTION("""COMPUTED_VALUE"""),"KMC5825AJRFPV0892")</f>
        <v>KMC5825AJRFPV0892</v>
      </c>
      <c r="J490" s="2" t="str">
        <f>IFERROR(__xludf.DUMMYFUNCTION("""COMPUTED_VALUE"""),"RTS100793")</f>
        <v>RTS100793</v>
      </c>
      <c r="K490" s="2" t="str">
        <f>IFERROR(__xludf.DUMMYFUNCTION("""COMPUTED_VALUE"""),"LSGW170-RMP-24100960")</f>
        <v>LSGW170-RMP-24100960</v>
      </c>
      <c r="L490" s="2" t="str">
        <f>IFERROR(__xludf.DUMMYFUNCTION("""COMPUTED_VALUE"""),"WDP40-RMP-24111409")</f>
        <v>WDP40-RMP-24111409</v>
      </c>
      <c r="M490" s="2" t="str">
        <f>IFERROR(__xludf.DUMMYFUNCTION("""COMPUTED_VALUE"""),"WR-SERIES-1065PH")</f>
        <v>WR-SERIES-1065PH</v>
      </c>
      <c r="N490" s="2"/>
      <c r="O490" s="2" t="str">
        <f>IFERROR(__xludf.DUMMYFUNCTION("""COMPUTED_VALUE"""),"Masablang")</f>
        <v>Masablang</v>
      </c>
      <c r="P490" s="2" t="str">
        <f>IFERROR(__xludf.DUMMYFUNCTION("""COMPUTED_VALUE"""),"Tabuk City")</f>
        <v>Tabuk City</v>
      </c>
      <c r="Q490" s="2" t="str">
        <f>IFERROR(__xludf.DUMMYFUNCTION("""COMPUTED_VALUE"""),"Kalinga")</f>
        <v>Kalinga</v>
      </c>
      <c r="R490" s="2" t="str">
        <f>IFERROR(__xludf.DUMMYFUNCTION("""COMPUTED_VALUE"""),"CAR")</f>
        <v>CAR</v>
      </c>
      <c r="S490" s="2"/>
      <c r="T490" s="2"/>
    </row>
    <row r="491">
      <c r="A491" s="1">
        <f>IFERROR(__xludf.DUMMYFUNCTION("""COMPUTED_VALUE"""),489.0)</f>
        <v>489</v>
      </c>
      <c r="B491" s="2" t="str">
        <f>IFERROR(__xludf.DUMMYFUNCTION("""COMPUTED_VALUE"""),"BARANGAY SAN VICENTE FARMERS AND IRRIGATORS ASSOCIATION")</f>
        <v>BARANGAY SAN VICENTE FARMERS AND IRRIGATORS ASSOCIATION</v>
      </c>
      <c r="C491" s="2" t="str">
        <f>IFERROR(__xludf.DUMMYFUNCTION("""COMPUTED_VALUE"""),"San Vicente, Alaminos City, PANGASINAN")</f>
        <v>San Vicente, Alaminos City, PANGASINAN</v>
      </c>
      <c r="D491" s="2" t="str">
        <f>IFERROR(__xludf.DUMMYFUNCTION("""COMPUTED_VALUE"""),"Lilia P. Gregorio")</f>
        <v>Lilia P. Gregorio</v>
      </c>
      <c r="E491" s="2">
        <f>IFERROR(__xludf.DUMMYFUNCTION("""COMPUTED_VALUE"""),9.614855434E10)</f>
        <v>96148554340</v>
      </c>
      <c r="F491" s="2" t="str">
        <f>IFERROR(__xludf.DUMMYFUNCTION("""COMPUTED_VALUE"""),"RCEF 24-04-15")</f>
        <v>RCEF 24-04-15</v>
      </c>
      <c r="G491" s="2">
        <f>IFERROR(__xludf.DUMMYFUNCTION("""COMPUTED_VALUE"""),6.0)</f>
        <v>6</v>
      </c>
      <c r="H491" s="2">
        <f>IFERROR(__xludf.DUMMYFUNCTION("""COMPUTED_VALUE"""),19963.0)</f>
        <v>19963</v>
      </c>
      <c r="I491" s="2" t="str">
        <f>IFERROR(__xludf.DUMMYFUNCTION("""COMPUTED_VALUE"""),"KMC5825AHRFPV0852")</f>
        <v>KMC5825AHRFPV0852</v>
      </c>
      <c r="J491" s="2" t="str">
        <f>IFERROR(__xludf.DUMMYFUNCTION("""COMPUTED_VALUE"""),"RTS100762")</f>
        <v>RTS100762</v>
      </c>
      <c r="K491" s="2" t="str">
        <f>IFERROR(__xludf.DUMMYFUNCTION("""COMPUTED_VALUE"""),"LSGW170-RMP-24101047")</f>
        <v>LSGW170-RMP-24101047</v>
      </c>
      <c r="L491" s="2" t="str">
        <f>IFERROR(__xludf.DUMMYFUNCTION("""COMPUTED_VALUE"""),"WDP40-RMP-24121453")</f>
        <v>WDP40-RMP-24121453</v>
      </c>
      <c r="M491" s="2" t="str">
        <f>IFERROR(__xludf.DUMMYFUNCTION("""COMPUTED_VALUE"""),"WR-SERIES-1106PH")</f>
        <v>WR-SERIES-1106PH</v>
      </c>
      <c r="N491" s="2"/>
      <c r="O491" s="2" t="str">
        <f>IFERROR(__xludf.DUMMYFUNCTION("""COMPUTED_VALUE"""),"San Vicente")</f>
        <v>San Vicente</v>
      </c>
      <c r="P491" s="2" t="str">
        <f>IFERROR(__xludf.DUMMYFUNCTION("""COMPUTED_VALUE"""),"Alaminos City")</f>
        <v>Alaminos City</v>
      </c>
      <c r="Q491" s="2" t="str">
        <f>IFERROR(__xludf.DUMMYFUNCTION("""COMPUTED_VALUE"""),"Pangasinan")</f>
        <v>Pangasinan</v>
      </c>
      <c r="R491" s="2">
        <f>IFERROR(__xludf.DUMMYFUNCTION("""COMPUTED_VALUE"""),1.0)</f>
        <v>1</v>
      </c>
      <c r="S491" s="2"/>
      <c r="T491" s="2"/>
    </row>
    <row r="492">
      <c r="A492" s="1">
        <f>IFERROR(__xludf.DUMMYFUNCTION("""COMPUTED_VALUE"""),490.0)</f>
        <v>490</v>
      </c>
      <c r="B492" s="2" t="str">
        <f>IFERROR(__xludf.DUMMYFUNCTION("""COMPUTED_VALUE"""),"SOBOL SIOASIO WEST FARMER IRRIGATORS ASSOCIATION INC.")</f>
        <v>SOBOL SIOASIO WEST FARMER IRRIGATORS ASSOCIATION INC.</v>
      </c>
      <c r="C492" s="2" t="str">
        <f>IFERROR(__xludf.DUMMYFUNCTION("""COMPUTED_VALUE"""),"Sioasio West, Sual, PANGASINAN")</f>
        <v>Sioasio West, Sual, PANGASINAN</v>
      </c>
      <c r="D492" s="2" t="str">
        <f>IFERROR(__xludf.DUMMYFUNCTION("""COMPUTED_VALUE"""),"Mark Darren R. Villar")</f>
        <v>Mark Darren R. Villar</v>
      </c>
      <c r="E492" s="2">
        <f>IFERROR(__xludf.DUMMYFUNCTION("""COMPUTED_VALUE"""),9.703378227E9)</f>
        <v>9703378227</v>
      </c>
      <c r="F492" s="2" t="str">
        <f>IFERROR(__xludf.DUMMYFUNCTION("""COMPUTED_VALUE"""),"RCEF 24-04-15")</f>
        <v>RCEF 24-04-15</v>
      </c>
      <c r="G492" s="2">
        <f>IFERROR(__xludf.DUMMYFUNCTION("""COMPUTED_VALUE"""),6.0)</f>
        <v>6</v>
      </c>
      <c r="H492" s="2">
        <f>IFERROR(__xludf.DUMMYFUNCTION("""COMPUTED_VALUE"""),19964.0)</f>
        <v>19964</v>
      </c>
      <c r="I492" s="2" t="str">
        <f>IFERROR(__xludf.DUMMYFUNCTION("""COMPUTED_VALUE"""),"KMC5825AHRFPV0799")</f>
        <v>KMC5825AHRFPV0799</v>
      </c>
      <c r="J492" s="2" t="str">
        <f>IFERROR(__xludf.DUMMYFUNCTION("""COMPUTED_VALUE"""),"RTS100673")</f>
        <v>RTS100673</v>
      </c>
      <c r="K492" s="2" t="str">
        <f>IFERROR(__xludf.DUMMYFUNCTION("""COMPUTED_VALUE"""),"LSGW170-RMP-24101080")</f>
        <v>LSGW170-RMP-24101080</v>
      </c>
      <c r="L492" s="2" t="str">
        <f>IFERROR(__xludf.DUMMYFUNCTION("""COMPUTED_VALUE"""),"WDP40-RMP-24121451")</f>
        <v>WDP40-RMP-24121451</v>
      </c>
      <c r="M492" s="2" t="str">
        <f>IFERROR(__xludf.DUMMYFUNCTION("""COMPUTED_VALUE"""),"WR-SERIES-1232PH")</f>
        <v>WR-SERIES-1232PH</v>
      </c>
      <c r="N492" s="2"/>
      <c r="O492" s="2" t="str">
        <f>IFERROR(__xludf.DUMMYFUNCTION("""COMPUTED_VALUE"""),"Sioasio West")</f>
        <v>Sioasio West</v>
      </c>
      <c r="P492" s="2" t="str">
        <f>IFERROR(__xludf.DUMMYFUNCTION("""COMPUTED_VALUE"""),"Sual")</f>
        <v>Sual</v>
      </c>
      <c r="Q492" s="2" t="str">
        <f>IFERROR(__xludf.DUMMYFUNCTION("""COMPUTED_VALUE"""),"Pangasinan")</f>
        <v>Pangasinan</v>
      </c>
      <c r="R492" s="2">
        <f>IFERROR(__xludf.DUMMYFUNCTION("""COMPUTED_VALUE"""),1.0)</f>
        <v>1</v>
      </c>
      <c r="S492" s="2"/>
      <c r="T492" s="2"/>
    </row>
    <row r="493">
      <c r="A493" s="1">
        <f>IFERROR(__xludf.DUMMYFUNCTION("""COMPUTED_VALUE"""),491.0)</f>
        <v>491</v>
      </c>
      <c r="B493" s="2" t="str">
        <f>IFERROR(__xludf.DUMMYFUNCTION("""COMPUTED_VALUE"""),"CAYANGA BSB IRRIGATORS ASSOCIATION INC")</f>
        <v>CAYANGA BSB IRRIGATORS ASSOCIATION INC</v>
      </c>
      <c r="C493" s="2" t="str">
        <f>IFERROR(__xludf.DUMMYFUNCTION("""COMPUTED_VALUE"""),", Bugallon, PANGASINAN")</f>
        <v>, Bugallon, PANGASINAN</v>
      </c>
      <c r="D493" s="2" t="str">
        <f>IFERROR(__xludf.DUMMYFUNCTION("""COMPUTED_VALUE"""),"Rufino Aquino")</f>
        <v>Rufino Aquino</v>
      </c>
      <c r="E493" s="2" t="str">
        <f>IFERROR(__xludf.DUMMYFUNCTION("""COMPUTED_VALUE"""),"0977-059-1611")</f>
        <v>0977-059-1611</v>
      </c>
      <c r="F493" s="2" t="str">
        <f>IFERROR(__xludf.DUMMYFUNCTION("""COMPUTED_VALUE"""),"RCEF 24-04-15")</f>
        <v>RCEF 24-04-15</v>
      </c>
      <c r="G493" s="2">
        <f>IFERROR(__xludf.DUMMYFUNCTION("""COMPUTED_VALUE"""),6.0)</f>
        <v>6</v>
      </c>
      <c r="H493" s="2">
        <f>IFERROR(__xludf.DUMMYFUNCTION("""COMPUTED_VALUE"""),19965.0)</f>
        <v>19965</v>
      </c>
      <c r="I493" s="2" t="str">
        <f>IFERROR(__xludf.DUMMYFUNCTION("""COMPUTED_VALUE"""),"KMC5825ACRFPV0966")</f>
        <v>KMC5825ACRFPV0966</v>
      </c>
      <c r="J493" s="2" t="str">
        <f>IFERROR(__xludf.DUMMYFUNCTION("""COMPUTED_VALUE"""),"RTS100666")</f>
        <v>RTS100666</v>
      </c>
      <c r="K493" s="2" t="str">
        <f>IFERROR(__xludf.DUMMYFUNCTION("""COMPUTED_VALUE"""),"LSGW170-RMP-24101058")</f>
        <v>LSGW170-RMP-24101058</v>
      </c>
      <c r="L493" s="2" t="str">
        <f>IFERROR(__xludf.DUMMYFUNCTION("""COMPUTED_VALUE"""),"WDP40-RMP-24121461")</f>
        <v>WDP40-RMP-24121461</v>
      </c>
      <c r="M493" s="2" t="str">
        <f>IFERROR(__xludf.DUMMYFUNCTION("""COMPUTED_VALUE"""),"WR-SERIES-1040PH")</f>
        <v>WR-SERIES-1040PH</v>
      </c>
      <c r="N493" s="2"/>
      <c r="O493" s="2" t="str">
        <f>IFERROR(__xludf.DUMMYFUNCTION("""COMPUTED_VALUE"""),"")</f>
        <v/>
      </c>
      <c r="P493" s="2" t="str">
        <f>IFERROR(__xludf.DUMMYFUNCTION("""COMPUTED_VALUE"""),"Bugallon")</f>
        <v>Bugallon</v>
      </c>
      <c r="Q493" s="2" t="str">
        <f>IFERROR(__xludf.DUMMYFUNCTION("""COMPUTED_VALUE"""),"Pangasinan")</f>
        <v>Pangasinan</v>
      </c>
      <c r="R493" s="2">
        <f>IFERROR(__xludf.DUMMYFUNCTION("""COMPUTED_VALUE"""),1.0)</f>
        <v>1</v>
      </c>
      <c r="S493" s="2"/>
      <c r="T493" s="2"/>
    </row>
    <row r="494">
      <c r="A494" s="1">
        <f>IFERROR(__xludf.DUMMYFUNCTION("""COMPUTED_VALUE"""),492.0)</f>
        <v>492</v>
      </c>
      <c r="B494" s="2" t="str">
        <f>IFERROR(__xludf.DUMMYFUNCTION("""COMPUTED_VALUE"""),"PROVINCIAL LOCAL GOVERMENT UNIT OF PANGASINAN")</f>
        <v>PROVINCIAL LOCAL GOVERMENT UNIT OF PANGASINAN</v>
      </c>
      <c r="C494" s="2" t="str">
        <f>IFERROR(__xludf.DUMMYFUNCTION("""COMPUTED_VALUE"""),"Rosario, Lingayen, PANGASINAN")</f>
        <v>Rosario, Lingayen, PANGASINAN</v>
      </c>
      <c r="D494" s="2" t="str">
        <f>IFERROR(__xludf.DUMMYFUNCTION("""COMPUTED_VALUE"""),"RAMON GUICO III")</f>
        <v>RAMON GUICO III</v>
      </c>
      <c r="E494" s="2" t="str">
        <f>IFERROR(__xludf.DUMMYFUNCTION("""COMPUTED_VALUE"""),"09399358565 (P.A)")</f>
        <v>09399358565 (P.A)</v>
      </c>
      <c r="F494" s="2" t="str">
        <f>IFERROR(__xludf.DUMMYFUNCTION("""COMPUTED_VALUE"""),"RCEF 24-04-15")</f>
        <v>RCEF 24-04-15</v>
      </c>
      <c r="G494" s="2">
        <f>IFERROR(__xludf.DUMMYFUNCTION("""COMPUTED_VALUE"""),6.0)</f>
        <v>6</v>
      </c>
      <c r="H494" s="2">
        <f>IFERROR(__xludf.DUMMYFUNCTION("""COMPUTED_VALUE"""),19966.0)</f>
        <v>19966</v>
      </c>
      <c r="I494" s="2" t="str">
        <f>IFERROR(__xludf.DUMMYFUNCTION("""COMPUTED_VALUE"""),"KMC5825ACRFPV0859")</f>
        <v>KMC5825ACRFPV0859</v>
      </c>
      <c r="J494" s="2" t="str">
        <f>IFERROR(__xludf.DUMMYFUNCTION("""COMPUTED_VALUE"""),"RTS100746")</f>
        <v>RTS100746</v>
      </c>
      <c r="K494" s="2" t="str">
        <f>IFERROR(__xludf.DUMMYFUNCTION("""COMPUTED_VALUE"""),"LSGW170-RMP-24080736")</f>
        <v>LSGW170-RMP-24080736</v>
      </c>
      <c r="L494" s="2" t="str">
        <f>IFERROR(__xludf.DUMMYFUNCTION("""COMPUTED_VALUE"""),"WDP40-RMP-24121465")</f>
        <v>WDP40-RMP-24121465</v>
      </c>
      <c r="M494" s="2" t="str">
        <f>IFERROR(__xludf.DUMMYFUNCTION("""COMPUTED_VALUE"""),"WR-SERIES-1107PH")</f>
        <v>WR-SERIES-1107PH</v>
      </c>
      <c r="N494" s="2"/>
      <c r="O494" s="2" t="str">
        <f>IFERROR(__xludf.DUMMYFUNCTION("""COMPUTED_VALUE"""),"Rosario")</f>
        <v>Rosario</v>
      </c>
      <c r="P494" s="2" t="str">
        <f>IFERROR(__xludf.DUMMYFUNCTION("""COMPUTED_VALUE"""),"Lingayen")</f>
        <v>Lingayen</v>
      </c>
      <c r="Q494" s="2" t="str">
        <f>IFERROR(__xludf.DUMMYFUNCTION("""COMPUTED_VALUE"""),"Pangasinan")</f>
        <v>Pangasinan</v>
      </c>
      <c r="R494" s="2">
        <f>IFERROR(__xludf.DUMMYFUNCTION("""COMPUTED_VALUE"""),1.0)</f>
        <v>1</v>
      </c>
      <c r="S494" s="2"/>
      <c r="T494" s="2"/>
    </row>
    <row r="495">
      <c r="A495" s="1">
        <f>IFERROR(__xludf.DUMMYFUNCTION("""COMPUTED_VALUE"""),493.0)</f>
        <v>493</v>
      </c>
      <c r="B495" s="2" t="str">
        <f>IFERROR(__xludf.DUMMYFUNCTION("""COMPUTED_VALUE"""),"ABANTE BALITE UNITED FARMERS ASSOCIATION INC.")</f>
        <v>ABANTE BALITE UNITED FARMERS ASSOCIATION INC.</v>
      </c>
      <c r="C495" s="2" t="str">
        <f>IFERROR(__xludf.DUMMYFUNCTION("""COMPUTED_VALUE"""),"Balite, Malasiqui, PANGASINAN")</f>
        <v>Balite, Malasiqui, PANGASINAN</v>
      </c>
      <c r="D495" s="2" t="str">
        <f>IFERROR(__xludf.DUMMYFUNCTION("""COMPUTED_VALUE"""),"Alfonso L. Parayno")</f>
        <v>Alfonso L. Parayno</v>
      </c>
      <c r="E495" s="2">
        <f>IFERROR(__xludf.DUMMYFUNCTION("""COMPUTED_VALUE"""),9.486127964E9)</f>
        <v>9486127964</v>
      </c>
      <c r="F495" s="2" t="str">
        <f>IFERROR(__xludf.DUMMYFUNCTION("""COMPUTED_VALUE"""),"RCEF 24-04-15")</f>
        <v>RCEF 24-04-15</v>
      </c>
      <c r="G495" s="2">
        <f>IFERROR(__xludf.DUMMYFUNCTION("""COMPUTED_VALUE"""),6.0)</f>
        <v>6</v>
      </c>
      <c r="H495" s="2">
        <f>IFERROR(__xludf.DUMMYFUNCTION("""COMPUTED_VALUE"""),19967.0)</f>
        <v>19967</v>
      </c>
      <c r="I495" s="2" t="str">
        <f>IFERROR(__xludf.DUMMYFUNCTION("""COMPUTED_VALUE"""),"KMC5825AARFPV0797")</f>
        <v>KMC5825AARFPV0797</v>
      </c>
      <c r="J495" s="2" t="str">
        <f>IFERROR(__xludf.DUMMYFUNCTION("""COMPUTED_VALUE"""),"RTS100680")</f>
        <v>RTS100680</v>
      </c>
      <c r="K495" s="2" t="str">
        <f>IFERROR(__xludf.DUMMYFUNCTION("""COMPUTED_VALUE"""),"LSGW170-RMP-24100976")</f>
        <v>LSGW170-RMP-24100976</v>
      </c>
      <c r="L495" s="2" t="str">
        <f>IFERROR(__xludf.DUMMYFUNCTION("""COMPUTED_VALUE"""),"WDP40-RMP-24121448")</f>
        <v>WDP40-RMP-24121448</v>
      </c>
      <c r="M495" s="2" t="str">
        <f>IFERROR(__xludf.DUMMYFUNCTION("""COMPUTED_VALUE"""),"WR-SERIES-1096PH")</f>
        <v>WR-SERIES-1096PH</v>
      </c>
      <c r="N495" s="2"/>
      <c r="O495" s="2" t="str">
        <f>IFERROR(__xludf.DUMMYFUNCTION("""COMPUTED_VALUE"""),"Balite")</f>
        <v>Balite</v>
      </c>
      <c r="P495" s="2" t="str">
        <f>IFERROR(__xludf.DUMMYFUNCTION("""COMPUTED_VALUE"""),"Malasiqui")</f>
        <v>Malasiqui</v>
      </c>
      <c r="Q495" s="2" t="str">
        <f>IFERROR(__xludf.DUMMYFUNCTION("""COMPUTED_VALUE"""),"Pangasinan")</f>
        <v>Pangasinan</v>
      </c>
      <c r="R495" s="2">
        <f>IFERROR(__xludf.DUMMYFUNCTION("""COMPUTED_VALUE"""),1.0)</f>
        <v>1</v>
      </c>
      <c r="S495" s="2"/>
      <c r="T495" s="2"/>
    </row>
    <row r="496">
      <c r="A496" s="1">
        <f>IFERROR(__xludf.DUMMYFUNCTION("""COMPUTED_VALUE"""),494.0)</f>
        <v>494</v>
      </c>
      <c r="B496" s="2" t="str">
        <f>IFERROR(__xludf.DUMMYFUNCTION("""COMPUTED_VALUE"""),"ASOSASYON NA MASANTING YA DUMARALOS")</f>
        <v>ASOSASYON NA MASANTING YA DUMARALOS</v>
      </c>
      <c r="C496" s="2" t="str">
        <f>IFERROR(__xludf.DUMMYFUNCTION("""COMPUTED_VALUE"""),"Macayug, Mangaldan, PANGASINAN")</f>
        <v>Macayug, Mangaldan, PANGASINAN</v>
      </c>
      <c r="D496" s="2" t="str">
        <f>IFERROR(__xludf.DUMMYFUNCTION("""COMPUTED_VALUE"""),"Tito Revilla")</f>
        <v>Tito Revilla</v>
      </c>
      <c r="E496" s="2" t="str">
        <f>IFERROR(__xludf.DUMMYFUNCTION("""COMPUTED_VALUE"""),"0919-523-4743")</f>
        <v>0919-523-4743</v>
      </c>
      <c r="F496" s="2" t="str">
        <f>IFERROR(__xludf.DUMMYFUNCTION("""COMPUTED_VALUE"""),"RCEF 24-04-15")</f>
        <v>RCEF 24-04-15</v>
      </c>
      <c r="G496" s="2">
        <f>IFERROR(__xludf.DUMMYFUNCTION("""COMPUTED_VALUE"""),6.0)</f>
        <v>6</v>
      </c>
      <c r="H496" s="2">
        <f>IFERROR(__xludf.DUMMYFUNCTION("""COMPUTED_VALUE"""),19968.0)</f>
        <v>19968</v>
      </c>
      <c r="I496" s="2" t="str">
        <f>IFERROR(__xludf.DUMMYFUNCTION("""COMPUTED_VALUE"""),"KMC5825ATRFPV0922")</f>
        <v>KMC5825ATRFPV0922</v>
      </c>
      <c r="J496" s="2" t="str">
        <f>IFERROR(__xludf.DUMMYFUNCTION("""COMPUTED_VALUE"""),"RTS100740")</f>
        <v>RTS100740</v>
      </c>
      <c r="K496" s="2" t="str">
        <f>IFERROR(__xludf.DUMMYFUNCTION("""COMPUTED_VALUE"""),"LSGW170-RMP-24100947")</f>
        <v>LSGW170-RMP-24100947</v>
      </c>
      <c r="L496" s="2" t="str">
        <f>IFERROR(__xludf.DUMMYFUNCTION("""COMPUTED_VALUE"""),"WDP40-RMP-24121447")</f>
        <v>WDP40-RMP-24121447</v>
      </c>
      <c r="M496" s="2" t="str">
        <f>IFERROR(__xludf.DUMMYFUNCTION("""COMPUTED_VALUE"""),"WR-SERIES-1116PH")</f>
        <v>WR-SERIES-1116PH</v>
      </c>
      <c r="N496" s="2"/>
      <c r="O496" s="2" t="str">
        <f>IFERROR(__xludf.DUMMYFUNCTION("""COMPUTED_VALUE"""),"Macayug")</f>
        <v>Macayug</v>
      </c>
      <c r="P496" s="2" t="str">
        <f>IFERROR(__xludf.DUMMYFUNCTION("""COMPUTED_VALUE"""),"Mangaldan")</f>
        <v>Mangaldan</v>
      </c>
      <c r="Q496" s="2" t="str">
        <f>IFERROR(__xludf.DUMMYFUNCTION("""COMPUTED_VALUE"""),"Pangasinan")</f>
        <v>Pangasinan</v>
      </c>
      <c r="R496" s="2">
        <f>IFERROR(__xludf.DUMMYFUNCTION("""COMPUTED_VALUE"""),1.0)</f>
        <v>1</v>
      </c>
      <c r="S496" s="2"/>
      <c r="T496" s="2"/>
    </row>
    <row r="497">
      <c r="A497" s="1">
        <f>IFERROR(__xludf.DUMMYFUNCTION("""COMPUTED_VALUE"""),495.0)</f>
        <v>495</v>
      </c>
      <c r="B497" s="2" t="str">
        <f>IFERROR(__xludf.DUMMYFUNCTION("""COMPUTED_VALUE"""),"Brgy. San Jose San Jacinto Pangasinan Farmers Association Inc.")</f>
        <v>Brgy. San Jose San Jacinto Pangasinan Farmers Association Inc.</v>
      </c>
      <c r="C497" s="2" t="str">
        <f>IFERROR(__xludf.DUMMYFUNCTION("""COMPUTED_VALUE"""),"San Jose, San Jacinto, PANGASINAN")</f>
        <v>San Jose, San Jacinto, PANGASINAN</v>
      </c>
      <c r="D497" s="2" t="str">
        <f>IFERROR(__xludf.DUMMYFUNCTION("""COMPUTED_VALUE"""),"Jerwin F. Nicomedez")</f>
        <v>Jerwin F. Nicomedez</v>
      </c>
      <c r="E497" s="2" t="str">
        <f>IFERROR(__xludf.DUMMYFUNCTION("""COMPUTED_VALUE"""),"0948-484-4039")</f>
        <v>0948-484-4039</v>
      </c>
      <c r="F497" s="2" t="str">
        <f>IFERROR(__xludf.DUMMYFUNCTION("""COMPUTED_VALUE"""),"RCEF 24-04-15")</f>
        <v>RCEF 24-04-15</v>
      </c>
      <c r="G497" s="2">
        <f>IFERROR(__xludf.DUMMYFUNCTION("""COMPUTED_VALUE"""),6.0)</f>
        <v>6</v>
      </c>
      <c r="H497" s="2">
        <f>IFERROR(__xludf.DUMMYFUNCTION("""COMPUTED_VALUE"""),19969.0)</f>
        <v>19969</v>
      </c>
      <c r="I497" s="2" t="str">
        <f>IFERROR(__xludf.DUMMYFUNCTION("""COMPUTED_VALUE"""),"KMC5825ACRFPV0781")</f>
        <v>KMC5825ACRFPV0781</v>
      </c>
      <c r="J497" s="2" t="str">
        <f>IFERROR(__xludf.DUMMYFUNCTION("""COMPUTED_VALUE"""),"RTS100662")</f>
        <v>RTS100662</v>
      </c>
      <c r="K497" s="2" t="str">
        <f>IFERROR(__xludf.DUMMYFUNCTION("""COMPUTED_VALUE"""),"LSGW170-RMP-24100961")</f>
        <v>LSGW170-RMP-24100961</v>
      </c>
      <c r="L497" s="2" t="str">
        <f>IFERROR(__xludf.DUMMYFUNCTION("""COMPUTED_VALUE"""),"WDP40-RMP-24121471")</f>
        <v>WDP40-RMP-24121471</v>
      </c>
      <c r="M497" s="2" t="str">
        <f>IFERROR(__xludf.DUMMYFUNCTION("""COMPUTED_VALUE"""),"WR-SERIES-1106PH")</f>
        <v>WR-SERIES-1106PH</v>
      </c>
      <c r="N497" s="2"/>
      <c r="O497" s="2" t="str">
        <f>IFERROR(__xludf.DUMMYFUNCTION("""COMPUTED_VALUE"""),"San Jose")</f>
        <v>San Jose</v>
      </c>
      <c r="P497" s="2" t="str">
        <f>IFERROR(__xludf.DUMMYFUNCTION("""COMPUTED_VALUE"""),"San Jacinto")</f>
        <v>San Jacinto</v>
      </c>
      <c r="Q497" s="2" t="str">
        <f>IFERROR(__xludf.DUMMYFUNCTION("""COMPUTED_VALUE"""),"Pangasinan")</f>
        <v>Pangasinan</v>
      </c>
      <c r="R497" s="2">
        <f>IFERROR(__xludf.DUMMYFUNCTION("""COMPUTED_VALUE"""),1.0)</f>
        <v>1</v>
      </c>
      <c r="S497" s="2"/>
      <c r="T497" s="2"/>
    </row>
    <row r="498">
      <c r="A498" s="1">
        <f>IFERROR(__xludf.DUMMYFUNCTION("""COMPUTED_VALUE"""),496.0)</f>
        <v>496</v>
      </c>
      <c r="B498" s="2" t="str">
        <f>IFERROR(__xludf.DUMMYFUNCTION("""COMPUTED_VALUE"""),"CANLUBATOG FARMERS ASSOCIATION INC.")</f>
        <v>CANLUBATOG FARMERS ASSOCIATION INC.</v>
      </c>
      <c r="C498" s="2" t="str">
        <f>IFERROR(__xludf.DUMMYFUNCTION("""COMPUTED_VALUE"""),"Amagbagan, Pozorrubio, PANGASINAN")</f>
        <v>Amagbagan, Pozorrubio, PANGASINAN</v>
      </c>
      <c r="D498" s="2" t="str">
        <f>IFERROR(__xludf.DUMMYFUNCTION("""COMPUTED_VALUE"""),"Juan B. Calpotura Jr.")</f>
        <v>Juan B. Calpotura Jr.</v>
      </c>
      <c r="E498" s="2">
        <f>IFERROR(__xludf.DUMMYFUNCTION("""COMPUTED_VALUE"""),9.955164969E9)</f>
        <v>9955164969</v>
      </c>
      <c r="F498" s="2" t="str">
        <f>IFERROR(__xludf.DUMMYFUNCTION("""COMPUTED_VALUE"""),"RCEF 24-04-15")</f>
        <v>RCEF 24-04-15</v>
      </c>
      <c r="G498" s="2">
        <f>IFERROR(__xludf.DUMMYFUNCTION("""COMPUTED_VALUE"""),6.0)</f>
        <v>6</v>
      </c>
      <c r="H498" s="2">
        <f>IFERROR(__xludf.DUMMYFUNCTION("""COMPUTED_VALUE"""),19970.0)</f>
        <v>19970</v>
      </c>
      <c r="I498" s="2" t="str">
        <f>IFERROR(__xludf.DUMMYFUNCTION("""COMPUTED_VALUE"""),"KMC5825AKRFPV0941")</f>
        <v>KMC5825AKRFPV0941</v>
      </c>
      <c r="J498" s="2" t="str">
        <f>IFERROR(__xludf.DUMMYFUNCTION("""COMPUTED_VALUE"""),"RTS100838")</f>
        <v>RTS100838</v>
      </c>
      <c r="K498" s="2" t="str">
        <f>IFERROR(__xludf.DUMMYFUNCTION("""COMPUTED_VALUE"""),"LSGW170-RMP-24100950")</f>
        <v>LSGW170-RMP-24100950</v>
      </c>
      <c r="L498" s="2" t="str">
        <f>IFERROR(__xludf.DUMMYFUNCTION("""COMPUTED_VALUE"""),"WDP40-RMP-24121457")</f>
        <v>WDP40-RMP-24121457</v>
      </c>
      <c r="M498" s="2" t="str">
        <f>IFERROR(__xludf.DUMMYFUNCTION("""COMPUTED_VALUE"""),"WR-SERIES-1098PH")</f>
        <v>WR-SERIES-1098PH</v>
      </c>
      <c r="N498" s="2"/>
      <c r="O498" s="2" t="str">
        <f>IFERROR(__xludf.DUMMYFUNCTION("""COMPUTED_VALUE"""),"Amagbagan")</f>
        <v>Amagbagan</v>
      </c>
      <c r="P498" s="2" t="str">
        <f>IFERROR(__xludf.DUMMYFUNCTION("""COMPUTED_VALUE"""),"Pozorrubio")</f>
        <v>Pozorrubio</v>
      </c>
      <c r="Q498" s="2" t="str">
        <f>IFERROR(__xludf.DUMMYFUNCTION("""COMPUTED_VALUE"""),"Pangasinan")</f>
        <v>Pangasinan</v>
      </c>
      <c r="R498" s="2">
        <f>IFERROR(__xludf.DUMMYFUNCTION("""COMPUTED_VALUE"""),1.0)</f>
        <v>1</v>
      </c>
      <c r="S498" s="2"/>
      <c r="T498" s="2"/>
    </row>
    <row r="499">
      <c r="A499" s="1">
        <f>IFERROR(__xludf.DUMMYFUNCTION("""COMPUTED_VALUE"""),497.0)</f>
        <v>497</v>
      </c>
      <c r="B499" s="2" t="str">
        <f>IFERROR(__xludf.DUMMYFUNCTION("""COMPUTED_VALUE"""),"NARAGSAK DMD FARMERS IRRIGATORS ASSOCIATION INC.")</f>
        <v>NARAGSAK DMD FARMERS IRRIGATORS ASSOCIATION INC.</v>
      </c>
      <c r="C499" s="2" t="str">
        <f>IFERROR(__xludf.DUMMYFUNCTION("""COMPUTED_VALUE"""),"Domanpot, Asingan, PANGASINAN")</f>
        <v>Domanpot, Asingan, PANGASINAN</v>
      </c>
      <c r="D499" s="2" t="str">
        <f>IFERROR(__xludf.DUMMYFUNCTION("""COMPUTED_VALUE"""),"Alfredo P. Ranot")</f>
        <v>Alfredo P. Ranot</v>
      </c>
      <c r="E499" s="2" t="str">
        <f>IFERROR(__xludf.DUMMYFUNCTION("""COMPUTED_VALUE"""),"0943 133 9838")</f>
        <v>0943 133 9838</v>
      </c>
      <c r="F499" s="2" t="str">
        <f>IFERROR(__xludf.DUMMYFUNCTION("""COMPUTED_VALUE"""),"RCEF 24-04-15")</f>
        <v>RCEF 24-04-15</v>
      </c>
      <c r="G499" s="2">
        <f>IFERROR(__xludf.DUMMYFUNCTION("""COMPUTED_VALUE"""),6.0)</f>
        <v>6</v>
      </c>
      <c r="H499" s="2">
        <f>IFERROR(__xludf.DUMMYFUNCTION("""COMPUTED_VALUE"""),19971.0)</f>
        <v>19971</v>
      </c>
      <c r="I499" s="2" t="str">
        <f>IFERROR(__xludf.DUMMYFUNCTION("""COMPUTED_VALUE"""),"KMC5825AERFPV0903")</f>
        <v>KMC5825AERFPV0903</v>
      </c>
      <c r="J499" s="2" t="str">
        <f>IFERROR(__xludf.DUMMYFUNCTION("""COMPUTED_VALUE"""),"RTS100810")</f>
        <v>RTS100810</v>
      </c>
      <c r="K499" s="2" t="str">
        <f>IFERROR(__xludf.DUMMYFUNCTION("""COMPUTED_VALUE"""),"LSGW170-RMP-24101043")</f>
        <v>LSGW170-RMP-24101043</v>
      </c>
      <c r="L499" s="2" t="str">
        <f>IFERROR(__xludf.DUMMYFUNCTION("""COMPUTED_VALUE"""),"WDP40-RMP-24121469")</f>
        <v>WDP40-RMP-24121469</v>
      </c>
      <c r="M499" s="2" t="str">
        <f>IFERROR(__xludf.DUMMYFUNCTION("""COMPUTED_VALUE"""),"WR-SERIES-1226PH")</f>
        <v>WR-SERIES-1226PH</v>
      </c>
      <c r="N499" s="2"/>
      <c r="O499" s="2" t="str">
        <f>IFERROR(__xludf.DUMMYFUNCTION("""COMPUTED_VALUE"""),"Domanpot")</f>
        <v>Domanpot</v>
      </c>
      <c r="P499" s="2" t="str">
        <f>IFERROR(__xludf.DUMMYFUNCTION("""COMPUTED_VALUE"""),"Asingan")</f>
        <v>Asingan</v>
      </c>
      <c r="Q499" s="2" t="str">
        <f>IFERROR(__xludf.DUMMYFUNCTION("""COMPUTED_VALUE"""),"Pangasinan")</f>
        <v>Pangasinan</v>
      </c>
      <c r="R499" s="2">
        <f>IFERROR(__xludf.DUMMYFUNCTION("""COMPUTED_VALUE"""),1.0)</f>
        <v>1</v>
      </c>
      <c r="S499" s="2"/>
      <c r="T499" s="2"/>
    </row>
    <row r="500">
      <c r="A500" s="1">
        <f>IFERROR(__xludf.DUMMYFUNCTION("""COMPUTED_VALUE"""),498.0)</f>
        <v>498</v>
      </c>
      <c r="B500" s="2" t="str">
        <f>IFERROR(__xludf.DUMMYFUNCTION("""COMPUTED_VALUE"""),"Bless Multipurpose Cooperative")</f>
        <v>Bless Multipurpose Cooperative</v>
      </c>
      <c r="C500" s="2" t="str">
        <f>IFERROR(__xludf.DUMMYFUNCTION("""COMPUTED_VALUE"""),"San Pedro West, Rosales, PANGASINAN")</f>
        <v>San Pedro West, Rosales, PANGASINAN</v>
      </c>
      <c r="D500" s="2" t="str">
        <f>IFERROR(__xludf.DUMMYFUNCTION("""COMPUTED_VALUE"""),"MANUEL S. BALAGSO")</f>
        <v>MANUEL S. BALAGSO</v>
      </c>
      <c r="E500" s="2" t="str">
        <f>IFERROR(__xludf.DUMMYFUNCTION("""COMPUTED_VALUE"""),"0995-980-7880")</f>
        <v>0995-980-7880</v>
      </c>
      <c r="F500" s="2" t="str">
        <f>IFERROR(__xludf.DUMMYFUNCTION("""COMPUTED_VALUE"""),"RCEF 24-04-15")</f>
        <v>RCEF 24-04-15</v>
      </c>
      <c r="G500" s="2">
        <f>IFERROR(__xludf.DUMMYFUNCTION("""COMPUTED_VALUE"""),6.0)</f>
        <v>6</v>
      </c>
      <c r="H500" s="2">
        <f>IFERROR(__xludf.DUMMYFUNCTION("""COMPUTED_VALUE"""),19972.0)</f>
        <v>19972</v>
      </c>
      <c r="I500" s="2" t="str">
        <f>IFERROR(__xludf.DUMMYFUNCTION("""COMPUTED_VALUE"""),"KMC5825ACRFPV0885")</f>
        <v>KMC5825ACRFPV0885</v>
      </c>
      <c r="J500" s="2" t="str">
        <f>IFERROR(__xludf.DUMMYFUNCTION("""COMPUTED_VALUE"""),"RTS100803")</f>
        <v>RTS100803</v>
      </c>
      <c r="K500" s="2" t="str">
        <f>IFERROR(__xludf.DUMMYFUNCTION("""COMPUTED_VALUE"""),"LSGW170-RMP-24100985")</f>
        <v>LSGW170-RMP-24100985</v>
      </c>
      <c r="L500" s="2" t="str">
        <f>IFERROR(__xludf.DUMMYFUNCTION("""COMPUTED_VALUE"""),"WDP40-RMP-24121470")</f>
        <v>WDP40-RMP-24121470</v>
      </c>
      <c r="M500" s="2" t="str">
        <f>IFERROR(__xludf.DUMMYFUNCTION("""COMPUTED_VALUE"""),"WR-SERIES-1235PH")</f>
        <v>WR-SERIES-1235PH</v>
      </c>
      <c r="N500" s="2"/>
      <c r="O500" s="2" t="str">
        <f>IFERROR(__xludf.DUMMYFUNCTION("""COMPUTED_VALUE"""),"San Pedro West")</f>
        <v>San Pedro West</v>
      </c>
      <c r="P500" s="2" t="str">
        <f>IFERROR(__xludf.DUMMYFUNCTION("""COMPUTED_VALUE"""),"Rosales")</f>
        <v>Rosales</v>
      </c>
      <c r="Q500" s="2" t="str">
        <f>IFERROR(__xludf.DUMMYFUNCTION("""COMPUTED_VALUE"""),"Pangasinan")</f>
        <v>Pangasinan</v>
      </c>
      <c r="R500" s="2">
        <f>IFERROR(__xludf.DUMMYFUNCTION("""COMPUTED_VALUE"""),1.0)</f>
        <v>1</v>
      </c>
      <c r="S500" s="2"/>
      <c r="T500" s="2"/>
    </row>
    <row r="501">
      <c r="A501" s="1">
        <f>IFERROR(__xludf.DUMMYFUNCTION("""COMPUTED_VALUE"""),499.0)</f>
        <v>499</v>
      </c>
      <c r="B501" s="2" t="str">
        <f>IFERROR(__xludf.DUMMYFUNCTION("""COMPUTED_VALUE"""),"NAEVAM IRRIGATORS ASSOCIATION, INC.")</f>
        <v>NAEVAM IRRIGATORS ASSOCIATION, INC.</v>
      </c>
      <c r="C501" s="2" t="str">
        <f>IFERROR(__xludf.DUMMYFUNCTION("""COMPUTED_VALUE"""),"Nangapugan, San Quintin, PANGASINAN")</f>
        <v>Nangapugan, San Quintin, PANGASINAN</v>
      </c>
      <c r="D501" s="2" t="str">
        <f>IFERROR(__xludf.DUMMYFUNCTION("""COMPUTED_VALUE"""),"Armando O. Paluyo")</f>
        <v>Armando O. Paluyo</v>
      </c>
      <c r="E501" s="2" t="str">
        <f>IFERROR(__xludf.DUMMYFUNCTION("""COMPUTED_VALUE"""),"0956-941-5510")</f>
        <v>0956-941-5510</v>
      </c>
      <c r="F501" s="2" t="str">
        <f>IFERROR(__xludf.DUMMYFUNCTION("""COMPUTED_VALUE"""),"RCEF 24-04-15")</f>
        <v>RCEF 24-04-15</v>
      </c>
      <c r="G501" s="2">
        <f>IFERROR(__xludf.DUMMYFUNCTION("""COMPUTED_VALUE"""),6.0)</f>
        <v>6</v>
      </c>
      <c r="H501" s="2">
        <f>IFERROR(__xludf.DUMMYFUNCTION("""COMPUTED_VALUE"""),19973.0)</f>
        <v>19973</v>
      </c>
      <c r="I501" s="2" t="str">
        <f>IFERROR(__xludf.DUMMYFUNCTION("""COMPUTED_VALUE"""),"KMC5825AVRFPV0830")</f>
        <v>KMC5825AVRFPV0830</v>
      </c>
      <c r="J501" s="2" t="str">
        <f>IFERROR(__xludf.DUMMYFUNCTION("""COMPUTED_VALUE"""),"RTS100732")</f>
        <v>RTS100732</v>
      </c>
      <c r="K501" s="2" t="str">
        <f>IFERROR(__xludf.DUMMYFUNCTION("""COMPUTED_VALUE"""),"LSGW170-RMP-24100951")</f>
        <v>LSGW170-RMP-24100951</v>
      </c>
      <c r="L501" s="2" t="str">
        <f>IFERROR(__xludf.DUMMYFUNCTION("""COMPUTED_VALUE"""),"WDP40-RMP-24121445")</f>
        <v>WDP40-RMP-24121445</v>
      </c>
      <c r="M501" s="2" t="str">
        <f>IFERROR(__xludf.DUMMYFUNCTION("""COMPUTED_VALUE"""),"WR-SERIES-1092PH")</f>
        <v>WR-SERIES-1092PH</v>
      </c>
      <c r="N501" s="2"/>
      <c r="O501" s="2" t="str">
        <f>IFERROR(__xludf.DUMMYFUNCTION("""COMPUTED_VALUE"""),"Nangapugan")</f>
        <v>Nangapugan</v>
      </c>
      <c r="P501" s="2" t="str">
        <f>IFERROR(__xludf.DUMMYFUNCTION("""COMPUTED_VALUE"""),"San Quintin")</f>
        <v>San Quintin</v>
      </c>
      <c r="Q501" s="2" t="str">
        <f>IFERROR(__xludf.DUMMYFUNCTION("""COMPUTED_VALUE"""),"Pangasinan")</f>
        <v>Pangasinan</v>
      </c>
      <c r="R501" s="2">
        <f>IFERROR(__xludf.DUMMYFUNCTION("""COMPUTED_VALUE"""),1.0)</f>
        <v>1</v>
      </c>
      <c r="S501" s="2"/>
      <c r="T501" s="2"/>
    </row>
    <row r="502">
      <c r="A502" s="1">
        <f>IFERROR(__xludf.DUMMYFUNCTION("""COMPUTED_VALUE"""),500.0)</f>
        <v>500</v>
      </c>
      <c r="B502" s="2" t="str">
        <f>IFERROR(__xludf.DUMMYFUNCTION("""COMPUTED_VALUE"""),"Santa Maria Pangasinan Integrated Farming Association, Inc.")</f>
        <v>Santa Maria Pangasinan Integrated Farming Association, Inc.</v>
      </c>
      <c r="C502" s="2" t="str">
        <f>IFERROR(__xludf.DUMMYFUNCTION("""COMPUTED_VALUE"""),"Poblacion West, Santa Maria, PANGASINAN")</f>
        <v>Poblacion West, Santa Maria, PANGASINAN</v>
      </c>
      <c r="D502" s="2" t="str">
        <f>IFERROR(__xludf.DUMMYFUNCTION("""COMPUTED_VALUE"""),"Noli V. Ganaden")</f>
        <v>Noli V. Ganaden</v>
      </c>
      <c r="E502" s="2">
        <f>IFERROR(__xludf.DUMMYFUNCTION("""COMPUTED_VALUE"""),9.165797602E9)</f>
        <v>9165797602</v>
      </c>
      <c r="F502" s="2" t="str">
        <f>IFERROR(__xludf.DUMMYFUNCTION("""COMPUTED_VALUE"""),"RCEF 24-04-15")</f>
        <v>RCEF 24-04-15</v>
      </c>
      <c r="G502" s="2">
        <f>IFERROR(__xludf.DUMMYFUNCTION("""COMPUTED_VALUE"""),6.0)</f>
        <v>6</v>
      </c>
      <c r="H502" s="2">
        <f>IFERROR(__xludf.DUMMYFUNCTION("""COMPUTED_VALUE"""),19974.0)</f>
        <v>19974</v>
      </c>
      <c r="I502" s="2" t="str">
        <f>IFERROR(__xludf.DUMMYFUNCTION("""COMPUTED_VALUE"""),"KMC5825AHRFPV0933")</f>
        <v>KMC5825AHRFPV0933</v>
      </c>
      <c r="J502" s="2" t="str">
        <f>IFERROR(__xludf.DUMMYFUNCTION("""COMPUTED_VALUE"""),"RTS100749")</f>
        <v>RTS100749</v>
      </c>
      <c r="K502" s="2" t="str">
        <f>IFERROR(__xludf.DUMMYFUNCTION("""COMPUTED_VALUE"""),"LSGW170-RMP-24080762")</f>
        <v>LSGW170-RMP-24080762</v>
      </c>
      <c r="L502" s="2" t="str">
        <f>IFERROR(__xludf.DUMMYFUNCTION("""COMPUTED_VALUE"""),"WDP40-RMP-24121476")</f>
        <v>WDP40-RMP-24121476</v>
      </c>
      <c r="M502" s="2" t="str">
        <f>IFERROR(__xludf.DUMMYFUNCTION("""COMPUTED_VALUE"""),"WR-SERIES-1090PH")</f>
        <v>WR-SERIES-1090PH</v>
      </c>
      <c r="N502" s="2"/>
      <c r="O502" s="2" t="str">
        <f>IFERROR(__xludf.DUMMYFUNCTION("""COMPUTED_VALUE"""),"Poblacion West")</f>
        <v>Poblacion West</v>
      </c>
      <c r="P502" s="2" t="str">
        <f>IFERROR(__xludf.DUMMYFUNCTION("""COMPUTED_VALUE"""),"Santa Maria")</f>
        <v>Santa Maria</v>
      </c>
      <c r="Q502" s="2" t="str">
        <f>IFERROR(__xludf.DUMMYFUNCTION("""COMPUTED_VALUE"""),"Pangasinan")</f>
        <v>Pangasinan</v>
      </c>
      <c r="R502" s="2">
        <f>IFERROR(__xludf.DUMMYFUNCTION("""COMPUTED_VALUE"""),1.0)</f>
        <v>1</v>
      </c>
      <c r="S502" s="2"/>
      <c r="T502" s="2"/>
    </row>
    <row r="503">
      <c r="A503" s="1">
        <f>IFERROR(__xludf.DUMMYFUNCTION("""COMPUTED_VALUE"""),501.0)</f>
        <v>501</v>
      </c>
      <c r="B503" s="2" t="str">
        <f>IFERROR(__xludf.DUMMYFUNCTION("""COMPUTED_VALUE"""),"CFC-SOLANA FARMERS AGRICULTURE COOPERATIVE")</f>
        <v>CFC-SOLANA FARMERS AGRICULTURE COOPERATIVE</v>
      </c>
      <c r="C503" s="2" t="str">
        <f>IFERROR(__xludf.DUMMYFUNCTION("""COMPUTED_VALUE"""),"Centro Northeast (Pob.), Solana, CAGAYAN")</f>
        <v>Centro Northeast (Pob.), Solana, CAGAYAN</v>
      </c>
      <c r="D503" s="2" t="str">
        <f>IFERROR(__xludf.DUMMYFUNCTION("""COMPUTED_VALUE"""),"Agapito L. Malaki")</f>
        <v>Agapito L. Malaki</v>
      </c>
      <c r="E503" s="2" t="str">
        <f>IFERROR(__xludf.DUMMYFUNCTION("""COMPUTED_VALUE"""),"0917-566-8656")</f>
        <v>0917-566-8656</v>
      </c>
      <c r="F503" s="2" t="str">
        <f>IFERROR(__xludf.DUMMYFUNCTION("""COMPUTED_VALUE"""),"RCEF 24-04-15")</f>
        <v>RCEF 24-04-15</v>
      </c>
      <c r="G503" s="2">
        <f>IFERROR(__xludf.DUMMYFUNCTION("""COMPUTED_VALUE"""),6.0)</f>
        <v>6</v>
      </c>
      <c r="H503" s="2">
        <f>IFERROR(__xludf.DUMMYFUNCTION("""COMPUTED_VALUE"""),19975.0)</f>
        <v>19975</v>
      </c>
      <c r="I503" s="2" t="str">
        <f>IFERROR(__xludf.DUMMYFUNCTION("""COMPUTED_VALUE"""),"KMC5825AVRFPV0958")</f>
        <v>KMC5825AVRFPV0958</v>
      </c>
      <c r="J503" s="2" t="str">
        <f>IFERROR(__xludf.DUMMYFUNCTION("""COMPUTED_VALUE"""),"RTS100691")</f>
        <v>RTS100691</v>
      </c>
      <c r="K503" s="2" t="str">
        <f>IFERROR(__xludf.DUMMYFUNCTION("""COMPUTED_VALUE"""),"LSGW170-RMP-24100953")</f>
        <v>LSGW170-RMP-24100953</v>
      </c>
      <c r="L503" s="2" t="str">
        <f>IFERROR(__xludf.DUMMYFUNCTION("""COMPUTED_VALUE"""),"WDP40-RMP-24121479")</f>
        <v>WDP40-RMP-24121479</v>
      </c>
      <c r="M503" s="2" t="str">
        <f>IFERROR(__xludf.DUMMYFUNCTION("""COMPUTED_VALUE"""),"WR-SERIES-1020PH")</f>
        <v>WR-SERIES-1020PH</v>
      </c>
      <c r="N503" s="2"/>
      <c r="O503" s="2" t="str">
        <f>IFERROR(__xludf.DUMMYFUNCTION("""COMPUTED_VALUE"""),"Centro Northeast (Pob.)")</f>
        <v>Centro Northeast (Pob.)</v>
      </c>
      <c r="P503" s="2" t="str">
        <f>IFERROR(__xludf.DUMMYFUNCTION("""COMPUTED_VALUE"""),"Solana")</f>
        <v>Solana</v>
      </c>
      <c r="Q503" s="2" t="str">
        <f>IFERROR(__xludf.DUMMYFUNCTION("""COMPUTED_VALUE"""),"Cagayan")</f>
        <v>Cagayan</v>
      </c>
      <c r="R503" s="2">
        <f>IFERROR(__xludf.DUMMYFUNCTION("""COMPUTED_VALUE"""),2.0)</f>
        <v>2</v>
      </c>
      <c r="S503" s="2"/>
      <c r="T503" s="2"/>
    </row>
    <row r="504">
      <c r="A504" s="1">
        <f>IFERROR(__xludf.DUMMYFUNCTION("""COMPUTED_VALUE"""),502.0)</f>
        <v>502</v>
      </c>
      <c r="B504" s="2" t="str">
        <f>IFERROR(__xludf.DUMMYFUNCTION("""COMPUTED_VALUE"""),"SAMPAGUITA FARMERS WATER PUMP IRRIGATORS ASSOCIATION")</f>
        <v>SAMPAGUITA FARMERS WATER PUMP IRRIGATORS ASSOCIATION</v>
      </c>
      <c r="C504" s="2" t="str">
        <f>IFERROR(__xludf.DUMMYFUNCTION("""COMPUTED_VALUE"""),"Sampaguita, Solana, CAGAYAN")</f>
        <v>Sampaguita, Solana, CAGAYAN</v>
      </c>
      <c r="D504" s="2" t="str">
        <f>IFERROR(__xludf.DUMMYFUNCTION("""COMPUTED_VALUE"""),"Emerson Gerardo")</f>
        <v>Emerson Gerardo</v>
      </c>
      <c r="E504" s="2">
        <f>IFERROR(__xludf.DUMMYFUNCTION("""COMPUTED_VALUE"""),9.36199054E9)</f>
        <v>9361990540</v>
      </c>
      <c r="F504" s="2" t="str">
        <f>IFERROR(__xludf.DUMMYFUNCTION("""COMPUTED_VALUE"""),"RCEF 24-04-15")</f>
        <v>RCEF 24-04-15</v>
      </c>
      <c r="G504" s="2">
        <f>IFERROR(__xludf.DUMMYFUNCTION("""COMPUTED_VALUE"""),6.0)</f>
        <v>6</v>
      </c>
      <c r="H504" s="2">
        <f>IFERROR(__xludf.DUMMYFUNCTION("""COMPUTED_VALUE"""),19976.0)</f>
        <v>19976</v>
      </c>
      <c r="I504" s="2" t="str">
        <f>IFERROR(__xludf.DUMMYFUNCTION("""COMPUTED_VALUE"""),"KMC5825ACRFPV0957")</f>
        <v>KMC5825ACRFPV0957</v>
      </c>
      <c r="J504" s="2" t="str">
        <f>IFERROR(__xludf.DUMMYFUNCTION("""COMPUTED_VALUE"""),"RTS100675")</f>
        <v>RTS100675</v>
      </c>
      <c r="K504" s="2" t="str">
        <f>IFERROR(__xludf.DUMMYFUNCTION("""COMPUTED_VALUE"""),"LSGW170-RMP-24101071")</f>
        <v>LSGW170-RMP-24101071</v>
      </c>
      <c r="L504" s="2" t="str">
        <f>IFERROR(__xludf.DUMMYFUNCTION("""COMPUTED_VALUE"""),"WDP40-RMP-24121460")</f>
        <v>WDP40-RMP-24121460</v>
      </c>
      <c r="M504" s="2" t="str">
        <f>IFERROR(__xludf.DUMMYFUNCTION("""COMPUTED_VALUE"""),"WR-SERIES-1108PH")</f>
        <v>WR-SERIES-1108PH</v>
      </c>
      <c r="N504" s="2"/>
      <c r="O504" s="2" t="str">
        <f>IFERROR(__xludf.DUMMYFUNCTION("""COMPUTED_VALUE"""),"Sampaguita")</f>
        <v>Sampaguita</v>
      </c>
      <c r="P504" s="2" t="str">
        <f>IFERROR(__xludf.DUMMYFUNCTION("""COMPUTED_VALUE"""),"Solana")</f>
        <v>Solana</v>
      </c>
      <c r="Q504" s="2" t="str">
        <f>IFERROR(__xludf.DUMMYFUNCTION("""COMPUTED_VALUE"""),"Cagayan")</f>
        <v>Cagayan</v>
      </c>
      <c r="R504" s="2">
        <f>IFERROR(__xludf.DUMMYFUNCTION("""COMPUTED_VALUE"""),2.0)</f>
        <v>2</v>
      </c>
      <c r="S504" s="2"/>
      <c r="T504" s="2"/>
    </row>
    <row r="505">
      <c r="A505" s="1">
        <f>IFERROR(__xludf.DUMMYFUNCTION("""COMPUTED_VALUE"""),503.0)</f>
        <v>503</v>
      </c>
      <c r="B505" s="2" t="str">
        <f>IFERROR(__xludf.DUMMYFUNCTION("""COMPUTED_VALUE"""),"BALUARTE-AURORA IRRIGATORS ASSOCIATION, INC.")</f>
        <v>BALUARTE-AURORA IRRIGATORS ASSOCIATION, INC.</v>
      </c>
      <c r="C505" s="2" t="str">
        <f>IFERROR(__xludf.DUMMYFUNCTION("""COMPUTED_VALUE"""),"Ballesteros, Aurora, ISABELA")</f>
        <v>Ballesteros, Aurora, ISABELA</v>
      </c>
      <c r="D505" s="2" t="str">
        <f>IFERROR(__xludf.DUMMYFUNCTION("""COMPUTED_VALUE"""),"Francisco D. Nitura")</f>
        <v>Francisco D. Nitura</v>
      </c>
      <c r="E505" s="2">
        <f>IFERROR(__xludf.DUMMYFUNCTION("""COMPUTED_VALUE"""),9.179961616E9)</f>
        <v>9179961616</v>
      </c>
      <c r="F505" s="2" t="str">
        <f>IFERROR(__xludf.DUMMYFUNCTION("""COMPUTED_VALUE"""),"RCEF 24-04-15")</f>
        <v>RCEF 24-04-15</v>
      </c>
      <c r="G505" s="2">
        <f>IFERROR(__xludf.DUMMYFUNCTION("""COMPUTED_VALUE"""),6.0)</f>
        <v>6</v>
      </c>
      <c r="H505" s="2">
        <f>IFERROR(__xludf.DUMMYFUNCTION("""COMPUTED_VALUE"""),19977.0)</f>
        <v>19977</v>
      </c>
      <c r="I505" s="2" t="str">
        <f>IFERROR(__xludf.DUMMYFUNCTION("""COMPUTED_VALUE"""),"KMC5825APRFPV0940")</f>
        <v>KMC5825APRFPV0940</v>
      </c>
      <c r="J505" s="2" t="str">
        <f>IFERROR(__xludf.DUMMYFUNCTION("""COMPUTED_VALUE"""),"RTS100808")</f>
        <v>RTS100808</v>
      </c>
      <c r="K505" s="2" t="str">
        <f>IFERROR(__xludf.DUMMYFUNCTION("""COMPUTED_VALUE"""),"LSGW170-RMP-24101008")</f>
        <v>LSGW170-RMP-24101008</v>
      </c>
      <c r="L505" s="2" t="str">
        <f>IFERROR(__xludf.DUMMYFUNCTION("""COMPUTED_VALUE"""),"WDP40-RMP-24121475")</f>
        <v>WDP40-RMP-24121475</v>
      </c>
      <c r="M505" s="2" t="str">
        <f>IFERROR(__xludf.DUMMYFUNCTION("""COMPUTED_VALUE"""),"WR-SERIES-1015PH")</f>
        <v>WR-SERIES-1015PH</v>
      </c>
      <c r="N505" s="2"/>
      <c r="O505" s="2" t="str">
        <f>IFERROR(__xludf.DUMMYFUNCTION("""COMPUTED_VALUE"""),"Ballesteros")</f>
        <v>Ballesteros</v>
      </c>
      <c r="P505" s="2" t="str">
        <f>IFERROR(__xludf.DUMMYFUNCTION("""COMPUTED_VALUE"""),"Aurora")</f>
        <v>Aurora</v>
      </c>
      <c r="Q505" s="2" t="str">
        <f>IFERROR(__xludf.DUMMYFUNCTION("""COMPUTED_VALUE"""),"Isabela")</f>
        <v>Isabela</v>
      </c>
      <c r="R505" s="2">
        <f>IFERROR(__xludf.DUMMYFUNCTION("""COMPUTED_VALUE"""),2.0)</f>
        <v>2</v>
      </c>
      <c r="S505" s="2"/>
      <c r="T505" s="2"/>
    </row>
    <row r="506">
      <c r="A506" s="1">
        <f>IFERROR(__xludf.DUMMYFUNCTION("""COMPUTED_VALUE"""),504.0)</f>
        <v>504</v>
      </c>
      <c r="B506" s="2" t="str">
        <f>IFERROR(__xludf.DUMMYFUNCTION("""COMPUTED_VALUE"""),"Isabela Seeds Growers Multi-Purpose Cooperative")</f>
        <v>Isabela Seeds Growers Multi-Purpose Cooperative</v>
      </c>
      <c r="C506" s="2" t="str">
        <f>IFERROR(__xludf.DUMMYFUNCTION("""COMPUTED_VALUE"""),"Alinam, Cauayan City, ISABELA")</f>
        <v>Alinam, Cauayan City, ISABELA</v>
      </c>
      <c r="D506" s="2" t="str">
        <f>IFERROR(__xludf.DUMMYFUNCTION("""COMPUTED_VALUE"""),"Alfredo R. Paguila")</f>
        <v>Alfredo R. Paguila</v>
      </c>
      <c r="E506" s="2">
        <f>IFERROR(__xludf.DUMMYFUNCTION("""COMPUTED_VALUE"""),9.273856756E9)</f>
        <v>9273856756</v>
      </c>
      <c r="F506" s="2" t="str">
        <f>IFERROR(__xludf.DUMMYFUNCTION("""COMPUTED_VALUE"""),"RCEF 24-04-15")</f>
        <v>RCEF 24-04-15</v>
      </c>
      <c r="G506" s="2">
        <f>IFERROR(__xludf.DUMMYFUNCTION("""COMPUTED_VALUE"""),6.0)</f>
        <v>6</v>
      </c>
      <c r="H506" s="2">
        <f>IFERROR(__xludf.DUMMYFUNCTION("""COMPUTED_VALUE"""),19978.0)</f>
        <v>19978</v>
      </c>
      <c r="I506" s="2" t="str">
        <f>IFERROR(__xludf.DUMMYFUNCTION("""COMPUTED_VALUE"""),"KMC5825AKRFPV0910")</f>
        <v>KMC5825AKRFPV0910</v>
      </c>
      <c r="J506" s="2" t="str">
        <f>IFERROR(__xludf.DUMMYFUNCTION("""COMPUTED_VALUE"""),"RTS100789")</f>
        <v>RTS100789</v>
      </c>
      <c r="K506" s="2" t="str">
        <f>IFERROR(__xludf.DUMMYFUNCTION("""COMPUTED_VALUE"""),"LSGW170-RMP-24101077")</f>
        <v>LSGW170-RMP-24101077</v>
      </c>
      <c r="L506" s="2" t="str">
        <f>IFERROR(__xludf.DUMMYFUNCTION("""COMPUTED_VALUE"""),"WDP40-RMP-24121492")</f>
        <v>WDP40-RMP-24121492</v>
      </c>
      <c r="M506" s="2" t="str">
        <f>IFERROR(__xludf.DUMMYFUNCTION("""COMPUTED_VALUE"""),"WR-SERIES-1102PH")</f>
        <v>WR-SERIES-1102PH</v>
      </c>
      <c r="N506" s="2"/>
      <c r="O506" s="2" t="str">
        <f>IFERROR(__xludf.DUMMYFUNCTION("""COMPUTED_VALUE"""),"Alinam")</f>
        <v>Alinam</v>
      </c>
      <c r="P506" s="2" t="str">
        <f>IFERROR(__xludf.DUMMYFUNCTION("""COMPUTED_VALUE"""),"Cauayan City")</f>
        <v>Cauayan City</v>
      </c>
      <c r="Q506" s="2" t="str">
        <f>IFERROR(__xludf.DUMMYFUNCTION("""COMPUTED_VALUE"""),"Isabela")</f>
        <v>Isabela</v>
      </c>
      <c r="R506" s="2">
        <f>IFERROR(__xludf.DUMMYFUNCTION("""COMPUTED_VALUE"""),2.0)</f>
        <v>2</v>
      </c>
      <c r="S506" s="2"/>
      <c r="T506" s="2"/>
    </row>
    <row r="507">
      <c r="A507" s="1">
        <f>IFERROR(__xludf.DUMMYFUNCTION("""COMPUTED_VALUE"""),505.0)</f>
        <v>505</v>
      </c>
      <c r="B507" s="2" t="str">
        <f>IFERROR(__xludf.DUMMYFUNCTION("""COMPUTED_VALUE"""),"GRUPO MANNALON AGRICULTURE COOPERATIVE")</f>
        <v>GRUPO MANNALON AGRICULTURE COOPERATIVE</v>
      </c>
      <c r="C507" s="2" t="str">
        <f>IFERROR(__xludf.DUMMYFUNCTION("""COMPUTED_VALUE"""),"Rosario, Santiago City, ISABELA")</f>
        <v>Rosario, Santiago City, ISABELA</v>
      </c>
      <c r="D507" s="2" t="str">
        <f>IFERROR(__xludf.DUMMYFUNCTION("""COMPUTED_VALUE"""),"#N/A")</f>
        <v>#N/A</v>
      </c>
      <c r="E507" s="2" t="str">
        <f>IFERROR(__xludf.DUMMYFUNCTION("""COMPUTED_VALUE"""),"#N/A")</f>
        <v>#N/A</v>
      </c>
      <c r="F507" s="2" t="str">
        <f>IFERROR(__xludf.DUMMYFUNCTION("""COMPUTED_VALUE"""),"RCEF 24-04-15")</f>
        <v>RCEF 24-04-15</v>
      </c>
      <c r="G507" s="2">
        <f>IFERROR(__xludf.DUMMYFUNCTION("""COMPUTED_VALUE"""),6.0)</f>
        <v>6</v>
      </c>
      <c r="H507" s="2">
        <f>IFERROR(__xludf.DUMMYFUNCTION("""COMPUTED_VALUE"""),19979.0)</f>
        <v>19979</v>
      </c>
      <c r="I507" s="2" t="str">
        <f>IFERROR(__xludf.DUMMYFUNCTION("""COMPUTED_VALUE"""),"KMC5825AVRFPV0927")</f>
        <v>KMC5825AVRFPV0927</v>
      </c>
      <c r="J507" s="2" t="str">
        <f>IFERROR(__xludf.DUMMYFUNCTION("""COMPUTED_VALUE"""),"RTS100763")</f>
        <v>RTS100763</v>
      </c>
      <c r="K507" s="2" t="str">
        <f>IFERROR(__xludf.DUMMYFUNCTION("""COMPUTED_VALUE"""),"LSGW170-RMP-24101078")</f>
        <v>LSGW170-RMP-24101078</v>
      </c>
      <c r="L507" s="2" t="str">
        <f>IFERROR(__xludf.DUMMYFUNCTION("""COMPUTED_VALUE"""),"WDP40-RMP-24121477")</f>
        <v>WDP40-RMP-24121477</v>
      </c>
      <c r="M507" s="2" t="str">
        <f>IFERROR(__xludf.DUMMYFUNCTION("""COMPUTED_VALUE"""),"WR-SERIES-1005PH")</f>
        <v>WR-SERIES-1005PH</v>
      </c>
      <c r="N507" s="2"/>
      <c r="O507" s="2" t="str">
        <f>IFERROR(__xludf.DUMMYFUNCTION("""COMPUTED_VALUE"""),"Rosario")</f>
        <v>Rosario</v>
      </c>
      <c r="P507" s="2" t="str">
        <f>IFERROR(__xludf.DUMMYFUNCTION("""COMPUTED_VALUE"""),"Santiago City")</f>
        <v>Santiago City</v>
      </c>
      <c r="Q507" s="2" t="str">
        <f>IFERROR(__xludf.DUMMYFUNCTION("""COMPUTED_VALUE"""),"Isabela")</f>
        <v>Isabela</v>
      </c>
      <c r="R507" s="2">
        <f>IFERROR(__xludf.DUMMYFUNCTION("""COMPUTED_VALUE"""),2.0)</f>
        <v>2</v>
      </c>
      <c r="S507" s="2"/>
      <c r="T507" s="2"/>
    </row>
    <row r="508">
      <c r="A508" s="1">
        <f>IFERROR(__xludf.DUMMYFUNCTION("""COMPUTED_VALUE"""),506.0)</f>
        <v>506</v>
      </c>
      <c r="B508" s="2" t="str">
        <f>IFERROR(__xludf.DUMMYFUNCTION("""COMPUTED_VALUE"""),"Dumayop Tabban Irrigators Association Inc.")</f>
        <v>Dumayop Tabban Irrigators Association Inc.</v>
      </c>
      <c r="C508" s="2" t="str">
        <f>IFERROR(__xludf.DUMMYFUNCTION("""COMPUTED_VALUE"""),"Pogonsino, Bagabag, NUEVA VIZCAYA")</f>
        <v>Pogonsino, Bagabag, NUEVA VIZCAYA</v>
      </c>
      <c r="D508" s="2" t="str">
        <f>IFERROR(__xludf.DUMMYFUNCTION("""COMPUTED_VALUE"""),"Merlito Cleto")</f>
        <v>Merlito Cleto</v>
      </c>
      <c r="E508" s="2">
        <f>IFERROR(__xludf.DUMMYFUNCTION("""COMPUTED_VALUE"""),9.059787219E9)</f>
        <v>9059787219</v>
      </c>
      <c r="F508" s="2" t="str">
        <f>IFERROR(__xludf.DUMMYFUNCTION("""COMPUTED_VALUE"""),"RCEF 24-04-15")</f>
        <v>RCEF 24-04-15</v>
      </c>
      <c r="G508" s="2">
        <f>IFERROR(__xludf.DUMMYFUNCTION("""COMPUTED_VALUE"""),6.0)</f>
        <v>6</v>
      </c>
      <c r="H508" s="2">
        <f>IFERROR(__xludf.DUMMYFUNCTION("""COMPUTED_VALUE"""),19980.0)</f>
        <v>19980</v>
      </c>
      <c r="I508" s="2" t="str">
        <f>IFERROR(__xludf.DUMMYFUNCTION("""COMPUTED_VALUE"""),"KMC5825AJRFPV0911")</f>
        <v>KMC5825AJRFPV0911</v>
      </c>
      <c r="J508" s="2" t="str">
        <f>IFERROR(__xludf.DUMMYFUNCTION("""COMPUTED_VALUE"""),"RTS100813")</f>
        <v>RTS100813</v>
      </c>
      <c r="K508" s="2" t="str">
        <f>IFERROR(__xludf.DUMMYFUNCTION("""COMPUTED_VALUE"""),"LSGW170-RMP-24101065")</f>
        <v>LSGW170-RMP-24101065</v>
      </c>
      <c r="L508" s="2" t="str">
        <f>IFERROR(__xludf.DUMMYFUNCTION("""COMPUTED_VALUE"""),"WDP40-RMP-24111319")</f>
        <v>WDP40-RMP-24111319</v>
      </c>
      <c r="M508" s="2" t="str">
        <f>IFERROR(__xludf.DUMMYFUNCTION("""COMPUTED_VALUE"""),"WR-SERIES-1067PH")</f>
        <v>WR-SERIES-1067PH</v>
      </c>
      <c r="N508" s="2"/>
      <c r="O508" s="2" t="str">
        <f>IFERROR(__xludf.DUMMYFUNCTION("""COMPUTED_VALUE"""),"Pogonsino")</f>
        <v>Pogonsino</v>
      </c>
      <c r="P508" s="2" t="str">
        <f>IFERROR(__xludf.DUMMYFUNCTION("""COMPUTED_VALUE"""),"Bagabag")</f>
        <v>Bagabag</v>
      </c>
      <c r="Q508" s="2" t="str">
        <f>IFERROR(__xludf.DUMMYFUNCTION("""COMPUTED_VALUE"""),"Nueva Vizcaya")</f>
        <v>Nueva Vizcaya</v>
      </c>
      <c r="R508" s="2">
        <f>IFERROR(__xludf.DUMMYFUNCTION("""COMPUTED_VALUE"""),2.0)</f>
        <v>2</v>
      </c>
      <c r="S508" s="2"/>
      <c r="T508" s="2"/>
    </row>
    <row r="509">
      <c r="A509" s="1">
        <f>IFERROR(__xludf.DUMMYFUNCTION("""COMPUTED_VALUE"""),507.0)</f>
        <v>507</v>
      </c>
      <c r="B509" s="2" t="str">
        <f>IFERROR(__xludf.DUMMYFUNCTION("""COMPUTED_VALUE"""),"LA TORRE CASAT IRRIGATORS ASSOCIATION INC.")</f>
        <v>LA TORRE CASAT IRRIGATORS ASSOCIATION INC.</v>
      </c>
      <c r="C509" s="2" t="str">
        <f>IFERROR(__xludf.DUMMYFUNCTION("""COMPUTED_VALUE"""),"La Torre North, Bayombong, NUEVA VIZCAYA")</f>
        <v>La Torre North, Bayombong, NUEVA VIZCAYA</v>
      </c>
      <c r="D509" s="2" t="str">
        <f>IFERROR(__xludf.DUMMYFUNCTION("""COMPUTED_VALUE"""),"Albemar Mateo")</f>
        <v>Albemar Mateo</v>
      </c>
      <c r="E509" s="2">
        <f>IFERROR(__xludf.DUMMYFUNCTION("""COMPUTED_VALUE"""),9.175997233E9)</f>
        <v>9175997233</v>
      </c>
      <c r="F509" s="2" t="str">
        <f>IFERROR(__xludf.DUMMYFUNCTION("""COMPUTED_VALUE"""),"RCEF 24-04-15")</f>
        <v>RCEF 24-04-15</v>
      </c>
      <c r="G509" s="2">
        <f>IFERROR(__xludf.DUMMYFUNCTION("""COMPUTED_VALUE"""),6.0)</f>
        <v>6</v>
      </c>
      <c r="H509" s="2">
        <f>IFERROR(__xludf.DUMMYFUNCTION("""COMPUTED_VALUE"""),19981.0)</f>
        <v>19981</v>
      </c>
      <c r="I509" s="2" t="str">
        <f>IFERROR(__xludf.DUMMYFUNCTION("""COMPUTED_VALUE"""),"KMC5825AERFPV0948")</f>
        <v>KMC5825AERFPV0948</v>
      </c>
      <c r="J509" s="2" t="str">
        <f>IFERROR(__xludf.DUMMYFUNCTION("""COMPUTED_VALUE"""),"RTS100830")</f>
        <v>RTS100830</v>
      </c>
      <c r="K509" s="2" t="str">
        <f>IFERROR(__xludf.DUMMYFUNCTION("""COMPUTED_VALUE"""),"LSGW170-RMP-24101050")</f>
        <v>LSGW170-RMP-24101050</v>
      </c>
      <c r="L509" s="2" t="str">
        <f>IFERROR(__xludf.DUMMYFUNCTION("""COMPUTED_VALUE"""),"WDP40-RMP-24121478")</f>
        <v>WDP40-RMP-24121478</v>
      </c>
      <c r="M509" s="2" t="str">
        <f>IFERROR(__xludf.DUMMYFUNCTION("""COMPUTED_VALUE"""),"WR-SERIES-1099PH")</f>
        <v>WR-SERIES-1099PH</v>
      </c>
      <c r="N509" s="2"/>
      <c r="O509" s="2" t="str">
        <f>IFERROR(__xludf.DUMMYFUNCTION("""COMPUTED_VALUE"""),"La Torre North")</f>
        <v>La Torre North</v>
      </c>
      <c r="P509" s="2" t="str">
        <f>IFERROR(__xludf.DUMMYFUNCTION("""COMPUTED_VALUE"""),"Bayombong")</f>
        <v>Bayombong</v>
      </c>
      <c r="Q509" s="2" t="str">
        <f>IFERROR(__xludf.DUMMYFUNCTION("""COMPUTED_VALUE"""),"Nueva Vizcaya")</f>
        <v>Nueva Vizcaya</v>
      </c>
      <c r="R509" s="2">
        <f>IFERROR(__xludf.DUMMYFUNCTION("""COMPUTED_VALUE"""),2.0)</f>
        <v>2</v>
      </c>
      <c r="S509" s="2"/>
      <c r="T509" s="2"/>
    </row>
    <row r="510">
      <c r="A510" s="1">
        <f>IFERROR(__xludf.DUMMYFUNCTION("""COMPUTED_VALUE"""),508.0)</f>
        <v>508</v>
      </c>
      <c r="B510" s="2" t="str">
        <f>IFERROR(__xludf.DUMMYFUNCTION("""COMPUTED_VALUE"""),"Lingay Estern Farmers Association Inc.")</f>
        <v>Lingay Estern Farmers Association Inc.</v>
      </c>
      <c r="C510" s="2" t="str">
        <f>IFERROR(__xludf.DUMMYFUNCTION("""COMPUTED_VALUE"""),"Bonfal East, Bayombong, NUEVA VIZCAYA")</f>
        <v>Bonfal East, Bayombong, NUEVA VIZCAYA</v>
      </c>
      <c r="D510" s="2" t="str">
        <f>IFERROR(__xludf.DUMMYFUNCTION("""COMPUTED_VALUE"""),"Alfredo M. Baliton")</f>
        <v>Alfredo M. Baliton</v>
      </c>
      <c r="E510" s="2">
        <f>IFERROR(__xludf.DUMMYFUNCTION("""COMPUTED_VALUE"""),9.951795403E9)</f>
        <v>9951795403</v>
      </c>
      <c r="F510" s="2" t="str">
        <f>IFERROR(__xludf.DUMMYFUNCTION("""COMPUTED_VALUE"""),"RCEF 24-04-15")</f>
        <v>RCEF 24-04-15</v>
      </c>
      <c r="G510" s="2">
        <f>IFERROR(__xludf.DUMMYFUNCTION("""COMPUTED_VALUE"""),6.0)</f>
        <v>6</v>
      </c>
      <c r="H510" s="2">
        <f>IFERROR(__xludf.DUMMYFUNCTION("""COMPUTED_VALUE"""),19982.0)</f>
        <v>19982</v>
      </c>
      <c r="I510" s="2" t="str">
        <f>IFERROR(__xludf.DUMMYFUNCTION("""COMPUTED_VALUE"""),"KMC5825AERFPV0951")</f>
        <v>KMC5825AERFPV0951</v>
      </c>
      <c r="J510" s="2" t="str">
        <f>IFERROR(__xludf.DUMMYFUNCTION("""COMPUTED_VALUE"""),"RTS100827")</f>
        <v>RTS100827</v>
      </c>
      <c r="K510" s="2" t="str">
        <f>IFERROR(__xludf.DUMMYFUNCTION("""COMPUTED_VALUE"""),"LSGW170-RMP-24101064")</f>
        <v>LSGW170-RMP-24101064</v>
      </c>
      <c r="L510" s="2" t="str">
        <f>IFERROR(__xludf.DUMMYFUNCTION("""COMPUTED_VALUE"""),"WDP40-RMP-24121491")</f>
        <v>WDP40-RMP-24121491</v>
      </c>
      <c r="M510" s="2" t="str">
        <f>IFERROR(__xludf.DUMMYFUNCTION("""COMPUTED_VALUE"""),"WR-SERIES-1100PH")</f>
        <v>WR-SERIES-1100PH</v>
      </c>
      <c r="N510" s="2"/>
      <c r="O510" s="2" t="str">
        <f>IFERROR(__xludf.DUMMYFUNCTION("""COMPUTED_VALUE"""),"Bonfal East")</f>
        <v>Bonfal East</v>
      </c>
      <c r="P510" s="2" t="str">
        <f>IFERROR(__xludf.DUMMYFUNCTION("""COMPUTED_VALUE"""),"Bayombong")</f>
        <v>Bayombong</v>
      </c>
      <c r="Q510" s="2" t="str">
        <f>IFERROR(__xludf.DUMMYFUNCTION("""COMPUTED_VALUE"""),"Nueva Vizcaya")</f>
        <v>Nueva Vizcaya</v>
      </c>
      <c r="R510" s="2">
        <f>IFERROR(__xludf.DUMMYFUNCTION("""COMPUTED_VALUE"""),2.0)</f>
        <v>2</v>
      </c>
      <c r="S510" s="2"/>
      <c r="T510" s="2"/>
    </row>
    <row r="511">
      <c r="A511" s="1">
        <f>IFERROR(__xludf.DUMMYFUNCTION("""COMPUTED_VALUE"""),509.0)</f>
        <v>509</v>
      </c>
      <c r="B511" s="2" t="str">
        <f>IFERROR(__xludf.DUMMYFUNCTION("""COMPUTED_VALUE"""),"BENAY WANGEON DUPAX DEL NORTE IRRIGATORS ASSOCIATION INC.")</f>
        <v>BENAY WANGEON DUPAX DEL NORTE IRRIGATORS ASSOCIATION INC.</v>
      </c>
      <c r="C511" s="2" t="str">
        <f>IFERROR(__xludf.DUMMYFUNCTION("""COMPUTED_VALUE"""),"Malasin (Pob.), Dupax del Norte, NUEVA VIZCAYA")</f>
        <v>Malasin (Pob.), Dupax del Norte, NUEVA VIZCAYA</v>
      </c>
      <c r="D511" s="2" t="str">
        <f>IFERROR(__xludf.DUMMYFUNCTION("""COMPUTED_VALUE"""),"Celso Aguada")</f>
        <v>Celso Aguada</v>
      </c>
      <c r="E511" s="2">
        <f>IFERROR(__xludf.DUMMYFUNCTION("""COMPUTED_VALUE"""),9.662583752E9)</f>
        <v>9662583752</v>
      </c>
      <c r="F511" s="2" t="str">
        <f>IFERROR(__xludf.DUMMYFUNCTION("""COMPUTED_VALUE"""),"RCEF 24-04-15")</f>
        <v>RCEF 24-04-15</v>
      </c>
      <c r="G511" s="2">
        <f>IFERROR(__xludf.DUMMYFUNCTION("""COMPUTED_VALUE"""),6.0)</f>
        <v>6</v>
      </c>
      <c r="H511" s="2">
        <f>IFERROR(__xludf.DUMMYFUNCTION("""COMPUTED_VALUE"""),19983.0)</f>
        <v>19983</v>
      </c>
      <c r="I511" s="2" t="str">
        <f>IFERROR(__xludf.DUMMYFUNCTION("""COMPUTED_VALUE"""),"KMC5825ACRFPV0904")</f>
        <v>KMC5825ACRFPV0904</v>
      </c>
      <c r="J511" s="2" t="str">
        <f>IFERROR(__xludf.DUMMYFUNCTION("""COMPUTED_VALUE"""),"RTS100807")</f>
        <v>RTS100807</v>
      </c>
      <c r="K511" s="2" t="str">
        <f>IFERROR(__xludf.DUMMYFUNCTION("""COMPUTED_VALUE"""),"LSGW170-RMP-24100876")</f>
        <v>LSGW170-RMP-24100876</v>
      </c>
      <c r="L511" s="2" t="str">
        <f>IFERROR(__xludf.DUMMYFUNCTION("""COMPUTED_VALUE"""),"WDP40-RMP-24121474")</f>
        <v>WDP40-RMP-24121474</v>
      </c>
      <c r="M511" s="2" t="str">
        <f>IFERROR(__xludf.DUMMYFUNCTION("""COMPUTED_VALUE"""),"WR-SERIES-1101PH")</f>
        <v>WR-SERIES-1101PH</v>
      </c>
      <c r="N511" s="2"/>
      <c r="O511" s="2" t="str">
        <f>IFERROR(__xludf.DUMMYFUNCTION("""COMPUTED_VALUE"""),"Malasin (Pob.)")</f>
        <v>Malasin (Pob.)</v>
      </c>
      <c r="P511" s="2" t="str">
        <f>IFERROR(__xludf.DUMMYFUNCTION("""COMPUTED_VALUE"""),"Dupax Del Norte")</f>
        <v>Dupax Del Norte</v>
      </c>
      <c r="Q511" s="2" t="str">
        <f>IFERROR(__xludf.DUMMYFUNCTION("""COMPUTED_VALUE"""),"Nueva Vizcaya")</f>
        <v>Nueva Vizcaya</v>
      </c>
      <c r="R511" s="2">
        <f>IFERROR(__xludf.DUMMYFUNCTION("""COMPUTED_VALUE"""),2.0)</f>
        <v>2</v>
      </c>
      <c r="S511" s="2"/>
      <c r="T511" s="2"/>
    </row>
    <row r="512">
      <c r="A512" s="1">
        <f>IFERROR(__xludf.DUMMYFUNCTION("""COMPUTED_VALUE"""),510.0)</f>
        <v>510</v>
      </c>
      <c r="B512" s="2" t="str">
        <f>IFERROR(__xludf.DUMMYFUNCTION("""COMPUTED_VALUE"""),"KINALO LOGPON IRRIGATORS ASSOCIATION INC.")</f>
        <v>KINALO LOGPON IRRIGATORS ASSOCIATION INC.</v>
      </c>
      <c r="C512" s="2" t="str">
        <f>IFERROR(__xludf.DUMMYFUNCTION("""COMPUTED_VALUE"""),"Kongkong, Kasibu, NUEVA VIZCAYA")</f>
        <v>Kongkong, Kasibu, NUEVA VIZCAYA</v>
      </c>
      <c r="D512" s="2" t="str">
        <f>IFERROR(__xludf.DUMMYFUNCTION("""COMPUTED_VALUE"""),"Vic M. Peneranda")</f>
        <v>Vic M. Peneranda</v>
      </c>
      <c r="E512" s="2">
        <f>IFERROR(__xludf.DUMMYFUNCTION("""COMPUTED_VALUE"""),9.062568615E9)</f>
        <v>9062568615</v>
      </c>
      <c r="F512" s="2" t="str">
        <f>IFERROR(__xludf.DUMMYFUNCTION("""COMPUTED_VALUE"""),"RCEF 24-04-15")</f>
        <v>RCEF 24-04-15</v>
      </c>
      <c r="G512" s="2">
        <f>IFERROR(__xludf.DUMMYFUNCTION("""COMPUTED_VALUE"""),6.0)</f>
        <v>6</v>
      </c>
      <c r="H512" s="2">
        <f>IFERROR(__xludf.DUMMYFUNCTION("""COMPUTED_VALUE"""),19984.0)</f>
        <v>19984</v>
      </c>
      <c r="I512" s="2" t="str">
        <f>IFERROR(__xludf.DUMMYFUNCTION("""COMPUTED_VALUE"""),"KMC5825AARFPV0914")</f>
        <v>KMC5825AARFPV0914</v>
      </c>
      <c r="J512" s="2" t="str">
        <f>IFERROR(__xludf.DUMMYFUNCTION("""COMPUTED_VALUE"""),"RTS100770")</f>
        <v>RTS100770</v>
      </c>
      <c r="K512" s="2" t="str">
        <f>IFERROR(__xludf.DUMMYFUNCTION("""COMPUTED_VALUE"""),"LSGW170-RMP-24101003")</f>
        <v>LSGW170-RMP-24101003</v>
      </c>
      <c r="L512" s="2" t="str">
        <f>IFERROR(__xludf.DUMMYFUNCTION("""COMPUTED_VALUE"""),"WDP40-RMP-24111377")</f>
        <v>WDP40-RMP-24111377</v>
      </c>
      <c r="M512" s="2" t="str">
        <f>IFERROR(__xludf.DUMMYFUNCTION("""COMPUTED_VALUE"""),"WR-SERIES-1013PH")</f>
        <v>WR-SERIES-1013PH</v>
      </c>
      <c r="N512" s="2"/>
      <c r="O512" s="2" t="str">
        <f>IFERROR(__xludf.DUMMYFUNCTION("""COMPUTED_VALUE"""),"Kongkong")</f>
        <v>Kongkong</v>
      </c>
      <c r="P512" s="2" t="str">
        <f>IFERROR(__xludf.DUMMYFUNCTION("""COMPUTED_VALUE"""),"Kasibu")</f>
        <v>Kasibu</v>
      </c>
      <c r="Q512" s="2" t="str">
        <f>IFERROR(__xludf.DUMMYFUNCTION("""COMPUTED_VALUE"""),"Nueva Vizcaya")</f>
        <v>Nueva Vizcaya</v>
      </c>
      <c r="R512" s="2">
        <f>IFERROR(__xludf.DUMMYFUNCTION("""COMPUTED_VALUE"""),2.0)</f>
        <v>2</v>
      </c>
      <c r="S512" s="2"/>
      <c r="T512" s="2"/>
    </row>
    <row r="513">
      <c r="A513" s="1">
        <f>IFERROR(__xludf.DUMMYFUNCTION("""COMPUTED_VALUE"""),511.0)</f>
        <v>511</v>
      </c>
      <c r="B513" s="2" t="str">
        <f>IFERROR(__xludf.DUMMYFUNCTION("""COMPUTED_VALUE"""),"LOWER DEKEL IRRIGATORS ASSOCIATIN INC.")</f>
        <v>LOWER DEKEL IRRIGATORS ASSOCIATIN INC.</v>
      </c>
      <c r="C513" s="2" t="str">
        <f>IFERROR(__xludf.DUMMYFUNCTION("""COMPUTED_VALUE"""),"Pacquet (Ilongot Res.), Kasibu, NUEVA VIZCAYA")</f>
        <v>Pacquet (Ilongot Res.), Kasibu, NUEVA VIZCAYA</v>
      </c>
      <c r="D513" s="2" t="str">
        <f>IFERROR(__xludf.DUMMYFUNCTION("""COMPUTED_VALUE"""),"Dindo I. Gatding")</f>
        <v>Dindo I. Gatding</v>
      </c>
      <c r="E513" s="2">
        <f>IFERROR(__xludf.DUMMYFUNCTION("""COMPUTED_VALUE"""),9.361579236E9)</f>
        <v>9361579236</v>
      </c>
      <c r="F513" s="2" t="str">
        <f>IFERROR(__xludf.DUMMYFUNCTION("""COMPUTED_VALUE"""),"RCEF 24-04-15")</f>
        <v>RCEF 24-04-15</v>
      </c>
      <c r="G513" s="2">
        <f>IFERROR(__xludf.DUMMYFUNCTION("""COMPUTED_VALUE"""),6.0)</f>
        <v>6</v>
      </c>
      <c r="H513" s="2">
        <f>IFERROR(__xludf.DUMMYFUNCTION("""COMPUTED_VALUE"""),19985.0)</f>
        <v>19985</v>
      </c>
      <c r="I513" s="2" t="str">
        <f>IFERROR(__xludf.DUMMYFUNCTION("""COMPUTED_VALUE"""),"KMC5825AERFPV0920")</f>
        <v>KMC5825AERFPV0920</v>
      </c>
      <c r="J513" s="2" t="str">
        <f>IFERROR(__xludf.DUMMYFUNCTION("""COMPUTED_VALUE"""),"RTS100766")</f>
        <v>RTS100766</v>
      </c>
      <c r="K513" s="2" t="str">
        <f>IFERROR(__xludf.DUMMYFUNCTION("""COMPUTED_VALUE"""),"LSGW170-RMP-24100959")</f>
        <v>LSGW170-RMP-24100959</v>
      </c>
      <c r="L513" s="2" t="str">
        <f>IFERROR(__xludf.DUMMYFUNCTION("""COMPUTED_VALUE"""),"WDP40-RMP-24111405")</f>
        <v>WDP40-RMP-24111405</v>
      </c>
      <c r="M513" s="2" t="str">
        <f>IFERROR(__xludf.DUMMYFUNCTION("""COMPUTED_VALUE"""),"WR-SERIES-1024PH")</f>
        <v>WR-SERIES-1024PH</v>
      </c>
      <c r="N513" s="2"/>
      <c r="O513" s="2" t="str">
        <f>IFERROR(__xludf.DUMMYFUNCTION("""COMPUTED_VALUE"""),"Pacquet (Ilongot Res.)")</f>
        <v>Pacquet (Ilongot Res.)</v>
      </c>
      <c r="P513" s="2" t="str">
        <f>IFERROR(__xludf.DUMMYFUNCTION("""COMPUTED_VALUE"""),"Kasibu")</f>
        <v>Kasibu</v>
      </c>
      <c r="Q513" s="2" t="str">
        <f>IFERROR(__xludf.DUMMYFUNCTION("""COMPUTED_VALUE"""),"Nueva Vizcaya")</f>
        <v>Nueva Vizcaya</v>
      </c>
      <c r="R513" s="2">
        <f>IFERROR(__xludf.DUMMYFUNCTION("""COMPUTED_VALUE"""),2.0)</f>
        <v>2</v>
      </c>
      <c r="S513" s="2"/>
      <c r="T513" s="2"/>
    </row>
    <row r="514">
      <c r="A514" s="1">
        <f>IFERROR(__xludf.DUMMYFUNCTION("""COMPUTED_VALUE"""),512.0)</f>
        <v>512</v>
      </c>
      <c r="B514" s="2" t="str">
        <f>IFERROR(__xludf.DUMMYFUNCTION("""COMPUTED_VALUE"""),"Bokod Sulfur Spring Multi-purpose Cooperative")</f>
        <v>Bokod Sulfur Spring Multi-purpose Cooperative</v>
      </c>
      <c r="C514" s="2" t="str">
        <f>IFERROR(__xludf.DUMMYFUNCTION("""COMPUTED_VALUE"""),"Tucal, Solano, NUEVA VIZCAYA")</f>
        <v>Tucal, Solano, NUEVA VIZCAYA</v>
      </c>
      <c r="D514" s="2" t="str">
        <f>IFERROR(__xludf.DUMMYFUNCTION("""COMPUTED_VALUE"""),"Isabelo O. Anselmo")</f>
        <v>Isabelo O. Anselmo</v>
      </c>
      <c r="E514" s="2">
        <f>IFERROR(__xludf.DUMMYFUNCTION("""COMPUTED_VALUE"""),9.070885712E9)</f>
        <v>9070885712</v>
      </c>
      <c r="F514" s="2" t="str">
        <f>IFERROR(__xludf.DUMMYFUNCTION("""COMPUTED_VALUE"""),"RCEF 24-04-15")</f>
        <v>RCEF 24-04-15</v>
      </c>
      <c r="G514" s="2">
        <f>IFERROR(__xludf.DUMMYFUNCTION("""COMPUTED_VALUE"""),6.0)</f>
        <v>6</v>
      </c>
      <c r="H514" s="2">
        <f>IFERROR(__xludf.DUMMYFUNCTION("""COMPUTED_VALUE"""),19986.0)</f>
        <v>19986</v>
      </c>
      <c r="I514" s="2" t="str">
        <f>IFERROR(__xludf.DUMMYFUNCTION("""COMPUTED_VALUE"""),"KMC5825AJRFPV0908")</f>
        <v>KMC5825AJRFPV0908</v>
      </c>
      <c r="J514" s="2" t="str">
        <f>IFERROR(__xludf.DUMMYFUNCTION("""COMPUTED_VALUE"""),"RTS100824")</f>
        <v>RTS100824</v>
      </c>
      <c r="K514" s="2" t="str">
        <f>IFERROR(__xludf.DUMMYFUNCTION("""COMPUTED_VALUE"""),"LSGW170-RMP-24101072")</f>
        <v>LSGW170-RMP-24101072</v>
      </c>
      <c r="L514" s="2" t="str">
        <f>IFERROR(__xludf.DUMMYFUNCTION("""COMPUTED_VALUE"""),"WDP40-RMP-24121466")</f>
        <v>WDP40-RMP-24121466</v>
      </c>
      <c r="M514" s="2" t="str">
        <f>IFERROR(__xludf.DUMMYFUNCTION("""COMPUTED_VALUE"""),"WR-SERIES-1032PH")</f>
        <v>WR-SERIES-1032PH</v>
      </c>
      <c r="N514" s="2"/>
      <c r="O514" s="2" t="str">
        <f>IFERROR(__xludf.DUMMYFUNCTION("""COMPUTED_VALUE"""),"Tucal")</f>
        <v>Tucal</v>
      </c>
      <c r="P514" s="2" t="str">
        <f>IFERROR(__xludf.DUMMYFUNCTION("""COMPUTED_VALUE"""),"Solano")</f>
        <v>Solano</v>
      </c>
      <c r="Q514" s="2" t="str">
        <f>IFERROR(__xludf.DUMMYFUNCTION("""COMPUTED_VALUE"""),"Nueva Vizcaya")</f>
        <v>Nueva Vizcaya</v>
      </c>
      <c r="R514" s="2">
        <f>IFERROR(__xludf.DUMMYFUNCTION("""COMPUTED_VALUE"""),2.0)</f>
        <v>2</v>
      </c>
      <c r="S514" s="2"/>
      <c r="T514" s="2"/>
    </row>
    <row r="515">
      <c r="A515" s="1">
        <f>IFERROR(__xludf.DUMMYFUNCTION("""COMPUTED_VALUE"""),513.0)</f>
        <v>513</v>
      </c>
      <c r="B515" s="2" t="str">
        <f>IFERROR(__xludf.DUMMYFUNCTION("""COMPUTED_VALUE"""),"Abrasa Multi-Purpose Cooperative")</f>
        <v>Abrasa Multi-Purpose Cooperative</v>
      </c>
      <c r="C515" s="2" t="str">
        <f>IFERROR(__xludf.DUMMYFUNCTION("""COMPUTED_VALUE"""),"Andres Bonifacio (Pob.), Diffun, QUIRINO")</f>
        <v>Andres Bonifacio (Pob.), Diffun, QUIRINO</v>
      </c>
      <c r="D515" s="2" t="str">
        <f>IFERROR(__xludf.DUMMYFUNCTION("""COMPUTED_VALUE"""),"Gliceria R. Basco")</f>
        <v>Gliceria R. Basco</v>
      </c>
      <c r="E515" s="2" t="str">
        <f>IFERROR(__xludf.DUMMYFUNCTION("""COMPUTED_VALUE"""),"0917-843-9612")</f>
        <v>0917-843-9612</v>
      </c>
      <c r="F515" s="2" t="str">
        <f>IFERROR(__xludf.DUMMYFUNCTION("""COMPUTED_VALUE"""),"RCEF 24-04-15")</f>
        <v>RCEF 24-04-15</v>
      </c>
      <c r="G515" s="2">
        <f>IFERROR(__xludf.DUMMYFUNCTION("""COMPUTED_VALUE"""),6.0)</f>
        <v>6</v>
      </c>
      <c r="H515" s="2">
        <f>IFERROR(__xludf.DUMMYFUNCTION("""COMPUTED_VALUE"""),19987.0)</f>
        <v>19987</v>
      </c>
      <c r="I515" s="2" t="str">
        <f>IFERROR(__xludf.DUMMYFUNCTION("""COMPUTED_VALUE"""),"KMC5825AARFPV0945")</f>
        <v>KMC5825AARFPV0945</v>
      </c>
      <c r="J515" s="2" t="str">
        <f>IFERROR(__xludf.DUMMYFUNCTION("""COMPUTED_VALUE"""),"RTS100835")</f>
        <v>RTS100835</v>
      </c>
      <c r="K515" s="2" t="str">
        <f>IFERROR(__xludf.DUMMYFUNCTION("""COMPUTED_VALUE"""),"LSGW170-RMP-24101045")</f>
        <v>LSGW170-RMP-24101045</v>
      </c>
      <c r="L515" s="2" t="str">
        <f>IFERROR(__xludf.DUMMYFUNCTION("""COMPUTED_VALUE"""),"WDP40-RMP-24111321")</f>
        <v>WDP40-RMP-24111321</v>
      </c>
      <c r="M515" s="2" t="str">
        <f>IFERROR(__xludf.DUMMYFUNCTION("""COMPUTED_VALUE"""),"WR-SERIES-1019PH")</f>
        <v>WR-SERIES-1019PH</v>
      </c>
      <c r="N515" s="2"/>
      <c r="O515" s="2" t="str">
        <f>IFERROR(__xludf.DUMMYFUNCTION("""COMPUTED_VALUE"""),"Andres Bonifacio (Pob.)")</f>
        <v>Andres Bonifacio (Pob.)</v>
      </c>
      <c r="P515" s="2" t="str">
        <f>IFERROR(__xludf.DUMMYFUNCTION("""COMPUTED_VALUE"""),"Diffun")</f>
        <v>Diffun</v>
      </c>
      <c r="Q515" s="2" t="str">
        <f>IFERROR(__xludf.DUMMYFUNCTION("""COMPUTED_VALUE"""),"Quirino")</f>
        <v>Quirino</v>
      </c>
      <c r="R515" s="2">
        <f>IFERROR(__xludf.DUMMYFUNCTION("""COMPUTED_VALUE"""),2.0)</f>
        <v>2</v>
      </c>
      <c r="S515" s="2"/>
      <c r="T515" s="2"/>
    </row>
    <row r="516">
      <c r="A516" s="1">
        <f>IFERROR(__xludf.DUMMYFUNCTION("""COMPUTED_VALUE"""),514.0)</f>
        <v>514</v>
      </c>
      <c r="B516" s="2" t="str">
        <f>IFERROR(__xludf.DUMMYFUNCTION("""COMPUTED_VALUE"""),"BANGYAS-SANTOL IRRIGATORS' ASSOCIATION, INC.")</f>
        <v>BANGYAS-SANTOL IRRIGATORS' ASSOCIATION, INC.</v>
      </c>
      <c r="C516" s="2" t="str">
        <f>IFERROR(__xludf.DUMMYFUNCTION("""COMPUTED_VALUE"""),"Bangyas, Calauan, LAGUNA")</f>
        <v>Bangyas, Calauan, LAGUNA</v>
      </c>
      <c r="D516" s="2" t="str">
        <f>IFERROR(__xludf.DUMMYFUNCTION("""COMPUTED_VALUE"""),"EDUARDO S. VALENDIA")</f>
        <v>EDUARDO S. VALENDIA</v>
      </c>
      <c r="E516" s="2" t="str">
        <f>IFERROR(__xludf.DUMMYFUNCTION("""COMPUTED_VALUE"""),"0928 385 5150")</f>
        <v>0928 385 5150</v>
      </c>
      <c r="F516" s="2" t="str">
        <f>IFERROR(__xludf.DUMMYFUNCTION("""COMPUTED_VALUE"""),"RCEF 24-04-15")</f>
        <v>RCEF 24-04-15</v>
      </c>
      <c r="G516" s="2">
        <f>IFERROR(__xludf.DUMMYFUNCTION("""COMPUTED_VALUE"""),7.0)</f>
        <v>7</v>
      </c>
      <c r="H516" s="2">
        <f>IFERROR(__xludf.DUMMYFUNCTION("""COMPUTED_VALUE"""),19988.0)</f>
        <v>19988</v>
      </c>
      <c r="I516" s="2" t="str">
        <f>IFERROR(__xludf.DUMMYFUNCTION("""COMPUTED_VALUE"""),"KMC5825ALRFPV0963")</f>
        <v>KMC5825ALRFPV0963</v>
      </c>
      <c r="J516" s="2" t="str">
        <f>IFERROR(__xludf.DUMMYFUNCTION("""COMPUTED_VALUE"""),"RTS100674")</f>
        <v>RTS100674</v>
      </c>
      <c r="K516" s="2" t="str">
        <f>IFERROR(__xludf.DUMMYFUNCTION("""COMPUTED_VALUE"""),"LSGW1750-RMP-24101057")</f>
        <v>LSGW1750-RMP-24101057</v>
      </c>
      <c r="L516" s="2" t="str">
        <f>IFERROR(__xludf.DUMMYFUNCTION("""COMPUTED_VALUE"""),"WDP40-RMP-24121493")</f>
        <v>WDP40-RMP-24121493</v>
      </c>
      <c r="M516" s="2" t="str">
        <f>IFERROR(__xludf.DUMMYFUNCTION("""COMPUTED_VALUE"""),"WR-SERIES-1080PH")</f>
        <v>WR-SERIES-1080PH</v>
      </c>
      <c r="N516" s="2"/>
      <c r="O516" s="2" t="str">
        <f>IFERROR(__xludf.DUMMYFUNCTION("""COMPUTED_VALUE"""),"Bangyas")</f>
        <v>Bangyas</v>
      </c>
      <c r="P516" s="2" t="str">
        <f>IFERROR(__xludf.DUMMYFUNCTION("""COMPUTED_VALUE"""),"Calauan")</f>
        <v>Calauan</v>
      </c>
      <c r="Q516" s="2" t="str">
        <f>IFERROR(__xludf.DUMMYFUNCTION("""COMPUTED_VALUE"""),"Laguna")</f>
        <v>Laguna</v>
      </c>
      <c r="R516" s="2" t="str">
        <f>IFERROR(__xludf.DUMMYFUNCTION("""COMPUTED_VALUE"""),"4A")</f>
        <v>4A</v>
      </c>
      <c r="S516" s="2"/>
      <c r="T516" s="2"/>
    </row>
    <row r="517">
      <c r="A517" s="1">
        <f>IFERROR(__xludf.DUMMYFUNCTION("""COMPUTED_VALUE"""),515.0)</f>
        <v>515</v>
      </c>
      <c r="B517" s="2" t="str">
        <f>IFERROR(__xludf.DUMMYFUNCTION("""COMPUTED_VALUE"""),"Municipal Local Government of Mabitac")</f>
        <v>Municipal Local Government of Mabitac</v>
      </c>
      <c r="C517" s="2" t="str">
        <f>IFERROR(__xludf.DUMMYFUNCTION("""COMPUTED_VALUE"""),"Nanguma, Mabitac, LAGUNA")</f>
        <v>Nanguma, Mabitac, LAGUNA</v>
      </c>
      <c r="D517" s="2" t="str">
        <f>IFERROR(__xludf.DUMMYFUNCTION("""COMPUTED_VALUE"""),"Hon. Alberto S. Reyes")</f>
        <v>Hon. Alberto S. Reyes</v>
      </c>
      <c r="E517" s="2" t="str">
        <f>IFERROR(__xludf.DUMMYFUNCTION("""COMPUTED_VALUE"""),"0977 774 6751")</f>
        <v>0977 774 6751</v>
      </c>
      <c r="F517" s="2" t="str">
        <f>IFERROR(__xludf.DUMMYFUNCTION("""COMPUTED_VALUE"""),"RCEF 24-04-15")</f>
        <v>RCEF 24-04-15</v>
      </c>
      <c r="G517" s="2">
        <f>IFERROR(__xludf.DUMMYFUNCTION("""COMPUTED_VALUE"""),7.0)</f>
        <v>7</v>
      </c>
      <c r="H517" s="2">
        <f>IFERROR(__xludf.DUMMYFUNCTION("""COMPUTED_VALUE"""),19989.0)</f>
        <v>19989</v>
      </c>
      <c r="I517" s="2" t="str">
        <f>IFERROR(__xludf.DUMMYFUNCTION("""COMPUTED_VALUE"""),"KMC5825AJRFPV089")</f>
        <v>KMC5825AJRFPV089</v>
      </c>
      <c r="J517" s="2" t="str">
        <f>IFERROR(__xludf.DUMMYFUNCTION("""COMPUTED_VALUE"""),"RTS100796")</f>
        <v>RTS100796</v>
      </c>
      <c r="K517" s="2" t="str">
        <f>IFERROR(__xludf.DUMMYFUNCTION("""COMPUTED_VALUE"""),"LSGW1750-RMP-24101063")</f>
        <v>LSGW1750-RMP-24101063</v>
      </c>
      <c r="L517" s="2" t="str">
        <f>IFERROR(__xludf.DUMMYFUNCTION("""COMPUTED_VALUE"""),"WDP40-RMP-24121467")</f>
        <v>WDP40-RMP-24121467</v>
      </c>
      <c r="M517" s="2" t="str">
        <f>IFERROR(__xludf.DUMMYFUNCTION("""COMPUTED_VALUE"""),"WR-SERIES-1110PH")</f>
        <v>WR-SERIES-1110PH</v>
      </c>
      <c r="N517" s="2"/>
      <c r="O517" s="2" t="str">
        <f>IFERROR(__xludf.DUMMYFUNCTION("""COMPUTED_VALUE"""),"Nanguma")</f>
        <v>Nanguma</v>
      </c>
      <c r="P517" s="2" t="str">
        <f>IFERROR(__xludf.DUMMYFUNCTION("""COMPUTED_VALUE"""),"Mabitac")</f>
        <v>Mabitac</v>
      </c>
      <c r="Q517" s="2" t="str">
        <f>IFERROR(__xludf.DUMMYFUNCTION("""COMPUTED_VALUE"""),"Laguna")</f>
        <v>Laguna</v>
      </c>
      <c r="R517" s="2" t="str">
        <f>IFERROR(__xludf.DUMMYFUNCTION("""COMPUTED_VALUE"""),"4A")</f>
        <v>4A</v>
      </c>
      <c r="S517" s="2"/>
      <c r="T517" s="2"/>
    </row>
    <row r="518">
      <c r="A518" s="1">
        <f>IFERROR(__xludf.DUMMYFUNCTION("""COMPUTED_VALUE"""),516.0)</f>
        <v>516</v>
      </c>
      <c r="B518" s="2" t="str">
        <f>IFERROR(__xludf.DUMMYFUNCTION("""COMPUTED_VALUE"""),"Paagahan Farmers Irrigators Association, Inc.")</f>
        <v>Paagahan Farmers Irrigators Association, Inc.</v>
      </c>
      <c r="C518" s="2" t="str">
        <f>IFERROR(__xludf.DUMMYFUNCTION("""COMPUTED_VALUE"""),"Paagahan, Mabitac, LAGUNA")</f>
        <v>Paagahan, Mabitac, LAGUNA</v>
      </c>
      <c r="D518" s="2" t="str">
        <f>IFERROR(__xludf.DUMMYFUNCTION("""COMPUTED_VALUE"""),"Jaime Pagola")</f>
        <v>Jaime Pagola</v>
      </c>
      <c r="E518" s="2">
        <f>IFERROR(__xludf.DUMMYFUNCTION("""COMPUTED_VALUE"""),9.264126389E9)</f>
        <v>9264126389</v>
      </c>
      <c r="F518" s="2" t="str">
        <f>IFERROR(__xludf.DUMMYFUNCTION("""COMPUTED_VALUE"""),"RCEF 24-04-15")</f>
        <v>RCEF 24-04-15</v>
      </c>
      <c r="G518" s="2">
        <f>IFERROR(__xludf.DUMMYFUNCTION("""COMPUTED_VALUE"""),7.0)</f>
        <v>7</v>
      </c>
      <c r="H518" s="2">
        <f>IFERROR(__xludf.DUMMYFUNCTION("""COMPUTED_VALUE"""),19990.0)</f>
        <v>19990</v>
      </c>
      <c r="I518" s="2" t="str">
        <f>IFERROR(__xludf.DUMMYFUNCTION("""COMPUTED_VALUE"""),"KMC5825AKRFPV0888")</f>
        <v>KMC5825AKRFPV0888</v>
      </c>
      <c r="J518" s="2" t="str">
        <f>IFERROR(__xludf.DUMMYFUNCTION("""COMPUTED_VALUE"""),"RTS100799")</f>
        <v>RTS100799</v>
      </c>
      <c r="K518" s="2" t="str">
        <f>IFERROR(__xludf.DUMMYFUNCTION("""COMPUTED_VALUE"""),"LSGW1750-RMP-24101001")</f>
        <v>LSGW1750-RMP-24101001</v>
      </c>
      <c r="L518" s="2" t="str">
        <f>IFERROR(__xludf.DUMMYFUNCTION("""COMPUTED_VALUE"""),"WDP40-RMP-24121480")</f>
        <v>WDP40-RMP-24121480</v>
      </c>
      <c r="M518" s="2" t="str">
        <f>IFERROR(__xludf.DUMMYFUNCTION("""COMPUTED_VALUE"""),"WR-SERIES-1119PH")</f>
        <v>WR-SERIES-1119PH</v>
      </c>
      <c r="N518" s="2"/>
      <c r="O518" s="2" t="str">
        <f>IFERROR(__xludf.DUMMYFUNCTION("""COMPUTED_VALUE"""),"Paagahan")</f>
        <v>Paagahan</v>
      </c>
      <c r="P518" s="2" t="str">
        <f>IFERROR(__xludf.DUMMYFUNCTION("""COMPUTED_VALUE"""),"Mabitac")</f>
        <v>Mabitac</v>
      </c>
      <c r="Q518" s="2" t="str">
        <f>IFERROR(__xludf.DUMMYFUNCTION("""COMPUTED_VALUE"""),"Laguna")</f>
        <v>Laguna</v>
      </c>
      <c r="R518" s="2" t="str">
        <f>IFERROR(__xludf.DUMMYFUNCTION("""COMPUTED_VALUE"""),"4A")</f>
        <v>4A</v>
      </c>
      <c r="S518" s="2"/>
      <c r="T518" s="2"/>
    </row>
    <row r="519">
      <c r="A519" s="1">
        <f>IFERROR(__xludf.DUMMYFUNCTION("""COMPUTED_VALUE"""),517.0)</f>
        <v>517</v>
      </c>
      <c r="B519" s="2" t="str">
        <f>IFERROR(__xludf.DUMMYFUNCTION("""COMPUTED_VALUE"""),"Municipal Local Government of Pagsanjan")</f>
        <v>Municipal Local Government of Pagsanjan</v>
      </c>
      <c r="C519" s="2" t="str">
        <f>IFERROR(__xludf.DUMMYFUNCTION("""COMPUTED_VALUE"""),"Barangay I (Pob.), Pagsanjan, LAGUNA")</f>
        <v>Barangay I (Pob.), Pagsanjan, LAGUNA</v>
      </c>
      <c r="D519" s="2" t="str">
        <f>IFERROR(__xludf.DUMMYFUNCTION("""COMPUTED_VALUE"""),"Hon. Cesar V. Areza")</f>
        <v>Hon. Cesar V. Areza</v>
      </c>
      <c r="E519" s="2">
        <f>IFERROR(__xludf.DUMMYFUNCTION("""COMPUTED_VALUE"""),9.77331355E9)</f>
        <v>9773313550</v>
      </c>
      <c r="F519" s="2" t="str">
        <f>IFERROR(__xludf.DUMMYFUNCTION("""COMPUTED_VALUE"""),"RCEF 24-04-15")</f>
        <v>RCEF 24-04-15</v>
      </c>
      <c r="G519" s="2">
        <f>IFERROR(__xludf.DUMMYFUNCTION("""COMPUTED_VALUE"""),7.0)</f>
        <v>7</v>
      </c>
      <c r="H519" s="2">
        <f>IFERROR(__xludf.DUMMYFUNCTION("""COMPUTED_VALUE"""),19991.0)</f>
        <v>19991</v>
      </c>
      <c r="I519" s="2" t="str">
        <f>IFERROR(__xludf.DUMMYFUNCTION("""COMPUTED_VALUE"""),"KMC5825ALRFPV0946")</f>
        <v>KMC5825ALRFPV0946</v>
      </c>
      <c r="J519" s="2" t="str">
        <f>IFERROR(__xludf.DUMMYFUNCTION("""COMPUTED_VALUE"""),"RTS100833")</f>
        <v>RTS100833</v>
      </c>
      <c r="K519" s="2" t="str">
        <f>IFERROR(__xludf.DUMMYFUNCTION("""COMPUTED_VALUE"""),"LSGW1750-RMP-24100868")</f>
        <v>LSGW1750-RMP-24100868</v>
      </c>
      <c r="L519" s="2" t="str">
        <f>IFERROR(__xludf.DUMMYFUNCTION("""COMPUTED_VALUE"""),"WDP40-RMP-24121462")</f>
        <v>WDP40-RMP-24121462</v>
      </c>
      <c r="M519" s="2" t="str">
        <f>IFERROR(__xludf.DUMMYFUNCTION("""COMPUTED_VALUE"""),"WR-SERIES-1025PH")</f>
        <v>WR-SERIES-1025PH</v>
      </c>
      <c r="N519" s="2"/>
      <c r="O519" s="2" t="str">
        <f>IFERROR(__xludf.DUMMYFUNCTION("""COMPUTED_VALUE"""),"Barangay I (Pob.)")</f>
        <v>Barangay I (Pob.)</v>
      </c>
      <c r="P519" s="2" t="str">
        <f>IFERROR(__xludf.DUMMYFUNCTION("""COMPUTED_VALUE"""),"Pagsanjan")</f>
        <v>Pagsanjan</v>
      </c>
      <c r="Q519" s="2" t="str">
        <f>IFERROR(__xludf.DUMMYFUNCTION("""COMPUTED_VALUE"""),"Laguna")</f>
        <v>Laguna</v>
      </c>
      <c r="R519" s="2" t="str">
        <f>IFERROR(__xludf.DUMMYFUNCTION("""COMPUTED_VALUE"""),"4A")</f>
        <v>4A</v>
      </c>
      <c r="S519" s="2"/>
      <c r="T519" s="2"/>
    </row>
    <row r="520">
      <c r="A520" s="1">
        <f>IFERROR(__xludf.DUMMYFUNCTION("""COMPUTED_VALUE"""),518.0)</f>
        <v>518</v>
      </c>
      <c r="B520" s="2" t="str">
        <f>IFERROR(__xludf.DUMMYFUNCTION("""COMPUTED_VALUE"""),"BAGUMBAYAN FARMERS ASSOCIATION")</f>
        <v>BAGUMBAYAN FARMERS ASSOCIATION</v>
      </c>
      <c r="C520" s="2" t="str">
        <f>IFERROR(__xludf.DUMMYFUNCTION("""COMPUTED_VALUE"""),"Sta Cruz, Laguna")</f>
        <v>Sta Cruz, Laguna</v>
      </c>
      <c r="D520" s="2" t="str">
        <f>IFERROR(__xludf.DUMMYFUNCTION("""COMPUTED_VALUE"""),"#N/A")</f>
        <v>#N/A</v>
      </c>
      <c r="E520" s="2" t="str">
        <f>IFERROR(__xludf.DUMMYFUNCTION("""COMPUTED_VALUE"""),"#N/A")</f>
        <v>#N/A</v>
      </c>
      <c r="F520" s="2" t="str">
        <f>IFERROR(__xludf.DUMMYFUNCTION("""COMPUTED_VALUE"""),"RCEF 24-04-15")</f>
        <v>RCEF 24-04-15</v>
      </c>
      <c r="G520" s="2">
        <f>IFERROR(__xludf.DUMMYFUNCTION("""COMPUTED_VALUE"""),7.0)</f>
        <v>7</v>
      </c>
      <c r="H520" s="2">
        <f>IFERROR(__xludf.DUMMYFUNCTION("""COMPUTED_VALUE"""),19992.0)</f>
        <v>19992</v>
      </c>
      <c r="I520" s="2" t="str">
        <f>IFERROR(__xludf.DUMMYFUNCTION("""COMPUTED_VALUE"""),"KMC5825ATRFPV0919")</f>
        <v>KMC5825ATRFPV0919</v>
      </c>
      <c r="J520" s="2" t="str">
        <f>IFERROR(__xludf.DUMMYFUNCTION("""COMPUTED_VALUE"""),"RTS100804")</f>
        <v>RTS100804</v>
      </c>
      <c r="K520" s="2" t="str">
        <f>IFERROR(__xludf.DUMMYFUNCTION("""COMPUTED_VALUE"""),"LSGW1750-RMP-24100956")</f>
        <v>LSGW1750-RMP-24100956</v>
      </c>
      <c r="L520" s="2" t="str">
        <f>IFERROR(__xludf.DUMMYFUNCTION("""COMPUTED_VALUE"""),"WDP40-RMP-24121459")</f>
        <v>WDP40-RMP-24121459</v>
      </c>
      <c r="M520" s="2" t="str">
        <f>IFERROR(__xludf.DUMMYFUNCTION("""COMPUTED_VALUE"""),"WR-SERIES-1097PH")</f>
        <v>WR-SERIES-1097PH</v>
      </c>
      <c r="N520" s="2"/>
      <c r="O520" s="2" t="str">
        <f>IFERROR(__xludf.DUMMYFUNCTION("""COMPUTED_VALUE"""),"Sta Cruz")</f>
        <v>Sta Cruz</v>
      </c>
      <c r="P520" s="2" t="str">
        <f>IFERROR(__xludf.DUMMYFUNCTION("""COMPUTED_VALUE"""),"Santa Cruz")</f>
        <v>Santa Cruz</v>
      </c>
      <c r="Q520" s="2" t="str">
        <f>IFERROR(__xludf.DUMMYFUNCTION("""COMPUTED_VALUE"""),"Laguna")</f>
        <v>Laguna</v>
      </c>
      <c r="R520" s="2" t="str">
        <f>IFERROR(__xludf.DUMMYFUNCTION("""COMPUTED_VALUE"""),"4A")</f>
        <v>4A</v>
      </c>
      <c r="S520" s="2"/>
      <c r="T520" s="2"/>
    </row>
    <row r="521">
      <c r="A521" s="1">
        <f>IFERROR(__xludf.DUMMYFUNCTION("""COMPUTED_VALUE"""),519.0)</f>
        <v>519</v>
      </c>
      <c r="B521" s="2" t="str">
        <f>IFERROR(__xludf.DUMMYFUNCTION("""COMPUTED_VALUE"""),"Duhat Farmers Association")</f>
        <v>Duhat Farmers Association</v>
      </c>
      <c r="C521" s="2" t="str">
        <f>IFERROR(__xludf.DUMMYFUNCTION("""COMPUTED_VALUE"""),"Duhat, Santa Cruz, LAGUNA")</f>
        <v>Duhat, Santa Cruz, LAGUNA</v>
      </c>
      <c r="D521" s="2" t="str">
        <f>IFERROR(__xludf.DUMMYFUNCTION("""COMPUTED_VALUE"""),"Guillermo Sta Maria")</f>
        <v>Guillermo Sta Maria</v>
      </c>
      <c r="E521" s="2">
        <f>IFERROR(__xludf.DUMMYFUNCTION("""COMPUTED_VALUE"""),9.305805418E9)</f>
        <v>9305805418</v>
      </c>
      <c r="F521" s="2" t="str">
        <f>IFERROR(__xludf.DUMMYFUNCTION("""COMPUTED_VALUE"""),"RCEF 24-04-15")</f>
        <v>RCEF 24-04-15</v>
      </c>
      <c r="G521" s="2">
        <f>IFERROR(__xludf.DUMMYFUNCTION("""COMPUTED_VALUE"""),7.0)</f>
        <v>7</v>
      </c>
      <c r="H521" s="2">
        <f>IFERROR(__xludf.DUMMYFUNCTION("""COMPUTED_VALUE"""),19993.0)</f>
        <v>19993</v>
      </c>
      <c r="I521" s="2" t="str">
        <f>IFERROR(__xludf.DUMMYFUNCTION("""COMPUTED_VALUE"""),"KMC5825AVRFPV0944")</f>
        <v>KMC5825AVRFPV0944</v>
      </c>
      <c r="J521" s="2" t="str">
        <f>IFERROR(__xludf.DUMMYFUNCTION("""COMPUTED_VALUE"""),"RTS100836")</f>
        <v>RTS100836</v>
      </c>
      <c r="K521" s="2" t="str">
        <f>IFERROR(__xludf.DUMMYFUNCTION("""COMPUTED_VALUE"""),"LSGW1750-RMP-24100980")</f>
        <v>LSGW1750-RMP-24100980</v>
      </c>
      <c r="L521" s="2" t="str">
        <f>IFERROR(__xludf.DUMMYFUNCTION("""COMPUTED_VALUE"""),"WDP40-RMP-24121468")</f>
        <v>WDP40-RMP-24121468</v>
      </c>
      <c r="M521" s="2" t="str">
        <f>IFERROR(__xludf.DUMMYFUNCTION("""COMPUTED_VALUE"""),"WR-SERIES-1117PH")</f>
        <v>WR-SERIES-1117PH</v>
      </c>
      <c r="N521" s="2"/>
      <c r="O521" s="2" t="str">
        <f>IFERROR(__xludf.DUMMYFUNCTION("""COMPUTED_VALUE"""),"Duhat")</f>
        <v>Duhat</v>
      </c>
      <c r="P521" s="2" t="str">
        <f>IFERROR(__xludf.DUMMYFUNCTION("""COMPUTED_VALUE"""),"Santa Cruz")</f>
        <v>Santa Cruz</v>
      </c>
      <c r="Q521" s="2" t="str">
        <f>IFERROR(__xludf.DUMMYFUNCTION("""COMPUTED_VALUE"""),"Laguna")</f>
        <v>Laguna</v>
      </c>
      <c r="R521" s="2" t="str">
        <f>IFERROR(__xludf.DUMMYFUNCTION("""COMPUTED_VALUE"""),"4A")</f>
        <v>4A</v>
      </c>
      <c r="S521" s="2"/>
      <c r="T521" s="2"/>
    </row>
    <row r="522">
      <c r="A522" s="1">
        <f>IFERROR(__xludf.DUMMYFUNCTION("""COMPUTED_VALUE"""),520.0)</f>
        <v>520</v>
      </c>
      <c r="B522" s="2" t="str">
        <f>IFERROR(__xludf.DUMMYFUNCTION("""COMPUTED_VALUE"""),"Malinao Farmer Association")</f>
        <v>Malinao Farmer Association</v>
      </c>
      <c r="C522" s="2" t="str">
        <f>IFERROR(__xludf.DUMMYFUNCTION("""COMPUTED_VALUE"""),"Malinao, Santa Cruz, LAGUNA")</f>
        <v>Malinao, Santa Cruz, LAGUNA</v>
      </c>
      <c r="D522" s="2" t="str">
        <f>IFERROR(__xludf.DUMMYFUNCTION("""COMPUTED_VALUE"""),"Henry Cabrera")</f>
        <v>Henry Cabrera</v>
      </c>
      <c r="E522" s="2">
        <f>IFERROR(__xludf.DUMMYFUNCTION("""COMPUTED_VALUE"""),9.465255452E9)</f>
        <v>9465255452</v>
      </c>
      <c r="F522" s="2" t="str">
        <f>IFERROR(__xludf.DUMMYFUNCTION("""COMPUTED_VALUE"""),"RCEF 24-04-15")</f>
        <v>RCEF 24-04-15</v>
      </c>
      <c r="G522" s="2">
        <f>IFERROR(__xludf.DUMMYFUNCTION("""COMPUTED_VALUE"""),7.0)</f>
        <v>7</v>
      </c>
      <c r="H522" s="2">
        <f>IFERROR(__xludf.DUMMYFUNCTION("""COMPUTED_VALUE"""),19994.0)</f>
        <v>19994</v>
      </c>
      <c r="I522" s="2" t="str">
        <f>IFERROR(__xludf.DUMMYFUNCTION("""COMPUTED_VALUE"""),"KMC5825AHRFPV0897")</f>
        <v>KMC5825AHRFPV0897</v>
      </c>
      <c r="J522" s="2" t="str">
        <f>IFERROR(__xludf.DUMMYFUNCTION("""COMPUTED_VALUE"""),"RTS100817")</f>
        <v>RTS100817</v>
      </c>
      <c r="K522" s="2" t="str">
        <f>IFERROR(__xludf.DUMMYFUNCTION("""COMPUTED_VALUE"""),"LSGW1750-RMP-24100954")</f>
        <v>LSGW1750-RMP-24100954</v>
      </c>
      <c r="L522" s="2" t="str">
        <f>IFERROR(__xludf.DUMMYFUNCTION("""COMPUTED_VALUE"""),"WDP40-RMP-24121483")</f>
        <v>WDP40-RMP-24121483</v>
      </c>
      <c r="M522" s="2" t="str">
        <f>IFERROR(__xludf.DUMMYFUNCTION("""COMPUTED_VALUE"""),"WR-SERIES-1091PH")</f>
        <v>WR-SERIES-1091PH</v>
      </c>
      <c r="N522" s="2"/>
      <c r="O522" s="2" t="str">
        <f>IFERROR(__xludf.DUMMYFUNCTION("""COMPUTED_VALUE"""),"Malinao")</f>
        <v>Malinao</v>
      </c>
      <c r="P522" s="2" t="str">
        <f>IFERROR(__xludf.DUMMYFUNCTION("""COMPUTED_VALUE"""),"Santa Cruz")</f>
        <v>Santa Cruz</v>
      </c>
      <c r="Q522" s="2" t="str">
        <f>IFERROR(__xludf.DUMMYFUNCTION("""COMPUTED_VALUE"""),"Laguna")</f>
        <v>Laguna</v>
      </c>
      <c r="R522" s="2" t="str">
        <f>IFERROR(__xludf.DUMMYFUNCTION("""COMPUTED_VALUE"""),"4A")</f>
        <v>4A</v>
      </c>
      <c r="S522" s="2"/>
      <c r="T522" s="2"/>
    </row>
    <row r="523">
      <c r="A523" s="1">
        <f>IFERROR(__xludf.DUMMYFUNCTION("""COMPUTED_VALUE"""),521.0)</f>
        <v>521</v>
      </c>
      <c r="B523" s="2" t="str">
        <f>IFERROR(__xludf.DUMMYFUNCTION("""COMPUTED_VALUE"""),"Coralan Agrarian Reform Cooperative (CARC)")</f>
        <v>Coralan Agrarian Reform Cooperative (CARC)</v>
      </c>
      <c r="C523" s="2" t="str">
        <f>IFERROR(__xludf.DUMMYFUNCTION("""COMPUTED_VALUE"""),"Coralan, Santa Maria, LAGUNA")</f>
        <v>Coralan, Santa Maria, LAGUNA</v>
      </c>
      <c r="D523" s="2" t="str">
        <f>IFERROR(__xludf.DUMMYFUNCTION("""COMPUTED_VALUE"""),"Mila Layos")</f>
        <v>Mila Layos</v>
      </c>
      <c r="E523" s="2" t="str">
        <f>IFERROR(__xludf.DUMMYFUNCTION("""COMPUTED_VALUE"""),"0951-714-5161")</f>
        <v>0951-714-5161</v>
      </c>
      <c r="F523" s="2" t="str">
        <f>IFERROR(__xludf.DUMMYFUNCTION("""COMPUTED_VALUE"""),"RCEF 24-04-15")</f>
        <v>RCEF 24-04-15</v>
      </c>
      <c r="G523" s="2">
        <f>IFERROR(__xludf.DUMMYFUNCTION("""COMPUTED_VALUE"""),7.0)</f>
        <v>7</v>
      </c>
      <c r="H523" s="2">
        <f>IFERROR(__xludf.DUMMYFUNCTION("""COMPUTED_VALUE"""),19995.0)</f>
        <v>19995</v>
      </c>
      <c r="I523" s="2" t="str">
        <f>IFERROR(__xludf.DUMMYFUNCTION("""COMPUTED_VALUE"""),"KMC5825ACRFPV0909")</f>
        <v>KMC5825ACRFPV0909</v>
      </c>
      <c r="J523" s="2" t="str">
        <f>IFERROR(__xludf.DUMMYFUNCTION("""COMPUTED_VALUE"""),"RTS100822")</f>
        <v>RTS100822</v>
      </c>
      <c r="K523" s="2" t="str">
        <f>IFERROR(__xludf.DUMMYFUNCTION("""COMPUTED_VALUE"""),"LSGW1750-RMP-24101070")</f>
        <v>LSGW1750-RMP-24101070</v>
      </c>
      <c r="L523" s="2" t="str">
        <f>IFERROR(__xludf.DUMMYFUNCTION("""COMPUTED_VALUE"""),"WDP40-RMP-24121472")</f>
        <v>WDP40-RMP-24121472</v>
      </c>
      <c r="M523" s="2" t="str">
        <f>IFERROR(__xludf.DUMMYFUNCTION("""COMPUTED_VALUE"""),"WR-SERIES-1114PH")</f>
        <v>WR-SERIES-1114PH</v>
      </c>
      <c r="N523" s="2"/>
      <c r="O523" s="2" t="str">
        <f>IFERROR(__xludf.DUMMYFUNCTION("""COMPUTED_VALUE"""),"Coralan")</f>
        <v>Coralan</v>
      </c>
      <c r="P523" s="2" t="str">
        <f>IFERROR(__xludf.DUMMYFUNCTION("""COMPUTED_VALUE"""),"Santa Maria")</f>
        <v>Santa Maria</v>
      </c>
      <c r="Q523" s="2" t="str">
        <f>IFERROR(__xludf.DUMMYFUNCTION("""COMPUTED_VALUE"""),"Laguna")</f>
        <v>Laguna</v>
      </c>
      <c r="R523" s="2" t="str">
        <f>IFERROR(__xludf.DUMMYFUNCTION("""COMPUTED_VALUE"""),"4A")</f>
        <v>4A</v>
      </c>
      <c r="S523" s="2"/>
      <c r="T523" s="2"/>
    </row>
    <row r="524">
      <c r="A524" s="1">
        <f>IFERROR(__xludf.DUMMYFUNCTION("""COMPUTED_VALUE"""),522.0)</f>
        <v>522</v>
      </c>
      <c r="B524" s="2" t="str">
        <f>IFERROR(__xludf.DUMMYFUNCTION("""COMPUTED_VALUE"""),"Municipal Local Government Unit of Siniloan")</f>
        <v>Municipal Local Government Unit of Siniloan</v>
      </c>
      <c r="C524" s="2" t="str">
        <f>IFERROR(__xludf.DUMMYFUNCTION("""COMPUTED_VALUE"""),"Wawa, Siniloan, LAGUNA")</f>
        <v>Wawa, Siniloan, LAGUNA</v>
      </c>
      <c r="D524" s="2" t="str">
        <f>IFERROR(__xludf.DUMMYFUNCTION("""COMPUTED_VALUE"""),"Hon. Patrick Ellis Z. Go")</f>
        <v>Hon. Patrick Ellis Z. Go</v>
      </c>
      <c r="E524" s="2" t="str">
        <f>IFERROR(__xludf.DUMMYFUNCTION("""COMPUTED_VALUE"""),"0917-831-4573")</f>
        <v>0917-831-4573</v>
      </c>
      <c r="F524" s="2" t="str">
        <f>IFERROR(__xludf.DUMMYFUNCTION("""COMPUTED_VALUE"""),"RCEF 24-04-15")</f>
        <v>RCEF 24-04-15</v>
      </c>
      <c r="G524" s="2">
        <f>IFERROR(__xludf.DUMMYFUNCTION("""COMPUTED_VALUE"""),7.0)</f>
        <v>7</v>
      </c>
      <c r="H524" s="2">
        <f>IFERROR(__xludf.DUMMYFUNCTION("""COMPUTED_VALUE"""),19996.0)</f>
        <v>19996</v>
      </c>
      <c r="I524" s="2" t="str">
        <f>IFERROR(__xludf.DUMMYFUNCTION("""COMPUTED_VALUE"""),"KMC5825ACRFPV0943")</f>
        <v>KMC5825ACRFPV0943</v>
      </c>
      <c r="J524" s="2" t="str">
        <f>IFERROR(__xludf.DUMMYFUNCTION("""COMPUTED_VALUE"""),"RTS100834")</f>
        <v>RTS100834</v>
      </c>
      <c r="K524" s="2" t="str">
        <f>IFERROR(__xludf.DUMMYFUNCTION("""COMPUTED_VALUE"""),"LSGW1750-RMP-24101060")</f>
        <v>LSGW1750-RMP-24101060</v>
      </c>
      <c r="L524" s="2" t="str">
        <f>IFERROR(__xludf.DUMMYFUNCTION("""COMPUTED_VALUE"""),"WDP40-RMP-24121482")</f>
        <v>WDP40-RMP-24121482</v>
      </c>
      <c r="M524" s="2" t="str">
        <f>IFERROR(__xludf.DUMMYFUNCTION("""COMPUTED_VALUE"""),"WR-SERIES-1112PH")</f>
        <v>WR-SERIES-1112PH</v>
      </c>
      <c r="N524" s="2"/>
      <c r="O524" s="2" t="str">
        <f>IFERROR(__xludf.DUMMYFUNCTION("""COMPUTED_VALUE"""),"Wawa")</f>
        <v>Wawa</v>
      </c>
      <c r="P524" s="2" t="str">
        <f>IFERROR(__xludf.DUMMYFUNCTION("""COMPUTED_VALUE"""),"Siniloan")</f>
        <v>Siniloan</v>
      </c>
      <c r="Q524" s="2" t="str">
        <f>IFERROR(__xludf.DUMMYFUNCTION("""COMPUTED_VALUE"""),"Laguna")</f>
        <v>Laguna</v>
      </c>
      <c r="R524" s="2" t="str">
        <f>IFERROR(__xludf.DUMMYFUNCTION("""COMPUTED_VALUE"""),"4A")</f>
        <v>4A</v>
      </c>
      <c r="S524" s="2"/>
      <c r="T524" s="2"/>
    </row>
    <row r="525">
      <c r="A525" s="1">
        <f>IFERROR(__xludf.DUMMYFUNCTION("""COMPUTED_VALUE"""),523.0)</f>
        <v>523</v>
      </c>
      <c r="B525" s="2" t="str">
        <f>IFERROR(__xludf.DUMMYFUNCTION("""COMPUTED_VALUE"""),"TUAY ABRA DE ILOG IRRIGATORS ASSOCIATION, INC.")</f>
        <v>TUAY ABRA DE ILOG IRRIGATORS ASSOCIATION, INC.</v>
      </c>
      <c r="C525" s="2" t="str">
        <f>IFERROR(__xludf.DUMMYFUNCTION("""COMPUTED_VALUE"""),"San Vicente, Abra de Ilog, OCCIDENTAL MINDORO")</f>
        <v>San Vicente, Abra de Ilog, OCCIDENTAL MINDORO</v>
      </c>
      <c r="D525" s="2" t="str">
        <f>IFERROR(__xludf.DUMMYFUNCTION("""COMPUTED_VALUE"""),"FELIX HERNANDEZ")</f>
        <v>FELIX HERNANDEZ</v>
      </c>
      <c r="E525" s="2" t="str">
        <f>IFERROR(__xludf.DUMMYFUNCTION("""COMPUTED_VALUE"""),"0918 937 3725")</f>
        <v>0918 937 3725</v>
      </c>
      <c r="F525" s="2" t="str">
        <f>IFERROR(__xludf.DUMMYFUNCTION("""COMPUTED_VALUE"""),"RCEF 24-04-15")</f>
        <v>RCEF 24-04-15</v>
      </c>
      <c r="G525" s="2">
        <f>IFERROR(__xludf.DUMMYFUNCTION("""COMPUTED_VALUE"""),7.0)</f>
        <v>7</v>
      </c>
      <c r="H525" s="2">
        <f>IFERROR(__xludf.DUMMYFUNCTION("""COMPUTED_VALUE"""),19997.0)</f>
        <v>19997</v>
      </c>
      <c r="I525" s="2" t="str">
        <f>IFERROR(__xludf.DUMMYFUNCTION("""COMPUTED_VALUE"""),"KMC5825AERFPV0853")</f>
        <v>KMC5825AERFPV0853</v>
      </c>
      <c r="J525" s="2" t="str">
        <f>IFERROR(__xludf.DUMMYFUNCTION("""COMPUTED_VALUE"""),"RTS100757")</f>
        <v>RTS100757</v>
      </c>
      <c r="K525" s="2" t="str">
        <f>IFERROR(__xludf.DUMMYFUNCTION("""COMPUTED_VALUE"""),"LSGW170-RMP-24101053")</f>
        <v>LSGW170-RMP-24101053</v>
      </c>
      <c r="L525" s="2" t="str">
        <f>IFERROR(__xludf.DUMMYFUNCTION("""COMPUTED_VALUE"""),"WDP40-RMP-25010132")</f>
        <v>WDP40-RMP-25010132</v>
      </c>
      <c r="M525" s="2" t="str">
        <f>IFERROR(__xludf.DUMMYFUNCTION("""COMPUTED_VALUE"""),"WR-SERIES-1104PH")</f>
        <v>WR-SERIES-1104PH</v>
      </c>
      <c r="N525" s="2"/>
      <c r="O525" s="2" t="str">
        <f>IFERROR(__xludf.DUMMYFUNCTION("""COMPUTED_VALUE"""),"San Vicente")</f>
        <v>San Vicente</v>
      </c>
      <c r="P525" s="2" t="str">
        <f>IFERROR(__xludf.DUMMYFUNCTION("""COMPUTED_VALUE"""),"Abra De Ilog")</f>
        <v>Abra De Ilog</v>
      </c>
      <c r="Q525" s="2" t="str">
        <f>IFERROR(__xludf.DUMMYFUNCTION("""COMPUTED_VALUE"""),"Occidental Mindoro")</f>
        <v>Occidental Mindoro</v>
      </c>
      <c r="R525" s="2" t="str">
        <f>IFERROR(__xludf.DUMMYFUNCTION("""COMPUTED_VALUE"""),"4B")</f>
        <v>4B</v>
      </c>
      <c r="S525" s="2"/>
      <c r="T525" s="2"/>
    </row>
    <row r="526">
      <c r="A526" s="1">
        <f>IFERROR(__xludf.DUMMYFUNCTION("""COMPUTED_VALUE"""),524.0)</f>
        <v>524</v>
      </c>
      <c r="B526" s="2" t="str">
        <f>IFERROR(__xludf.DUMMYFUNCTION("""COMPUTED_VALUE"""),"ANAHAWIN BOMBONGAN IRRIGATORS' ASSOCIATION, INC.")</f>
        <v>ANAHAWIN BOMBONGAN IRRIGATORS' ASSOCIATION, INC.</v>
      </c>
      <c r="C526" s="2" t="str">
        <f>IFERROR(__xludf.DUMMYFUNCTION("""COMPUTED_VALUE"""),"Iriron, Calintaan, OCCIDENTAL MINDORO")</f>
        <v>Iriron, Calintaan, OCCIDENTAL MINDORO</v>
      </c>
      <c r="D526" s="2" t="str">
        <f>IFERROR(__xludf.DUMMYFUNCTION("""COMPUTED_VALUE"""),"LIMUEL ANDRADE")</f>
        <v>LIMUEL ANDRADE</v>
      </c>
      <c r="E526" s="2" t="str">
        <f>IFERROR(__xludf.DUMMYFUNCTION("""COMPUTED_VALUE"""),"0938 472 9227")</f>
        <v>0938 472 9227</v>
      </c>
      <c r="F526" s="2" t="str">
        <f>IFERROR(__xludf.DUMMYFUNCTION("""COMPUTED_VALUE"""),"RCEF 24-04-15")</f>
        <v>RCEF 24-04-15</v>
      </c>
      <c r="G526" s="2">
        <f>IFERROR(__xludf.DUMMYFUNCTION("""COMPUTED_VALUE"""),7.0)</f>
        <v>7</v>
      </c>
      <c r="H526" s="2">
        <f>IFERROR(__xludf.DUMMYFUNCTION("""COMPUTED_VALUE"""),19998.0)</f>
        <v>19998</v>
      </c>
      <c r="I526" s="2" t="str">
        <f>IFERROR(__xludf.DUMMYFUNCTION("""COMPUTED_VALUE"""),"KMC5825AARFPV0850")</f>
        <v>KMC5825AARFPV0850</v>
      </c>
      <c r="J526" s="2" t="str">
        <f>IFERROR(__xludf.DUMMYFUNCTION("""COMPUTED_VALUE"""),"RTS100765")</f>
        <v>RTS100765</v>
      </c>
      <c r="K526" s="2" t="str">
        <f>IFERROR(__xludf.DUMMYFUNCTION("""COMPUTED_VALUE"""),"LSGW170-RMP-24100983")</f>
        <v>LSGW170-RMP-24100983</v>
      </c>
      <c r="L526" s="2" t="str">
        <f>IFERROR(__xludf.DUMMYFUNCTION("""COMPUTED_VALUE"""),"WDP40-RMP-25010123")</f>
        <v>WDP40-RMP-25010123</v>
      </c>
      <c r="M526" s="2" t="str">
        <f>IFERROR(__xludf.DUMMYFUNCTION("""COMPUTED_VALUE"""),"WR-SERIES-1207PH")</f>
        <v>WR-SERIES-1207PH</v>
      </c>
      <c r="N526" s="2"/>
      <c r="O526" s="2" t="str">
        <f>IFERROR(__xludf.DUMMYFUNCTION("""COMPUTED_VALUE"""),"Iriron")</f>
        <v>Iriron</v>
      </c>
      <c r="P526" s="2" t="str">
        <f>IFERROR(__xludf.DUMMYFUNCTION("""COMPUTED_VALUE"""),"Calintaan")</f>
        <v>Calintaan</v>
      </c>
      <c r="Q526" s="2" t="str">
        <f>IFERROR(__xludf.DUMMYFUNCTION("""COMPUTED_VALUE"""),"Occidental Mindoro")</f>
        <v>Occidental Mindoro</v>
      </c>
      <c r="R526" s="2" t="str">
        <f>IFERROR(__xludf.DUMMYFUNCTION("""COMPUTED_VALUE"""),"4B")</f>
        <v>4B</v>
      </c>
      <c r="S526" s="2"/>
      <c r="T526" s="2"/>
    </row>
    <row r="527">
      <c r="A527" s="1">
        <f>IFERROR(__xludf.DUMMYFUNCTION("""COMPUTED_VALUE"""),525.0)</f>
        <v>525</v>
      </c>
      <c r="B527" s="2" t="str">
        <f>IFERROR(__xludf.DUMMYFUNCTION("""COMPUTED_VALUE"""),"Calintaan Seed Growers Cooperative (CASEEDCO)")</f>
        <v>Calintaan Seed Growers Cooperative (CASEEDCO)</v>
      </c>
      <c r="C527" s="2" t="str">
        <f>IFERROR(__xludf.DUMMYFUNCTION("""COMPUTED_VALUE"""),"New Dagupan, Calintaan, OCCIDENTAL MINDORO")</f>
        <v>New Dagupan, Calintaan, OCCIDENTAL MINDORO</v>
      </c>
      <c r="D527" s="2" t="str">
        <f>IFERROR(__xludf.DUMMYFUNCTION("""COMPUTED_VALUE"""),"ESTELITA JARAVATA")</f>
        <v>ESTELITA JARAVATA</v>
      </c>
      <c r="E527" s="2" t="str">
        <f>IFERROR(__xludf.DUMMYFUNCTION("""COMPUTED_VALUE"""),"0906 937 9929")</f>
        <v>0906 937 9929</v>
      </c>
      <c r="F527" s="2" t="str">
        <f>IFERROR(__xludf.DUMMYFUNCTION("""COMPUTED_VALUE"""),"RCEF 24-04-15")</f>
        <v>RCEF 24-04-15</v>
      </c>
      <c r="G527" s="2">
        <f>IFERROR(__xludf.DUMMYFUNCTION("""COMPUTED_VALUE"""),7.0)</f>
        <v>7</v>
      </c>
      <c r="H527" s="2">
        <f>IFERROR(__xludf.DUMMYFUNCTION("""COMPUTED_VALUE"""),19999.0)</f>
        <v>19999</v>
      </c>
      <c r="I527" s="2" t="str">
        <f>IFERROR(__xludf.DUMMYFUNCTION("""COMPUTED_VALUE"""),"KMC5825AJRFPV0875")</f>
        <v>KMC5825AJRFPV0875</v>
      </c>
      <c r="J527" s="2" t="str">
        <f>IFERROR(__xludf.DUMMYFUNCTION("""COMPUTED_VALUE"""),"RTS100774")</f>
        <v>RTS100774</v>
      </c>
      <c r="K527" s="2" t="str">
        <f>IFERROR(__xludf.DUMMYFUNCTION("""COMPUTED_VALUE"""),"LSGW170-RMP-24101069")</f>
        <v>LSGW170-RMP-24101069</v>
      </c>
      <c r="L527" s="2" t="str">
        <f>IFERROR(__xludf.DUMMYFUNCTION("""COMPUTED_VALUE"""),"WDP40-RMP-25010121")</f>
        <v>WDP40-RMP-25010121</v>
      </c>
      <c r="M527" s="2" t="str">
        <f>IFERROR(__xludf.DUMMYFUNCTION("""COMPUTED_VALUE"""),"WR-SERIES-1195PH")</f>
        <v>WR-SERIES-1195PH</v>
      </c>
      <c r="N527" s="2"/>
      <c r="O527" s="2" t="str">
        <f>IFERROR(__xludf.DUMMYFUNCTION("""COMPUTED_VALUE"""),"New Dagupan")</f>
        <v>New Dagupan</v>
      </c>
      <c r="P527" s="2" t="str">
        <f>IFERROR(__xludf.DUMMYFUNCTION("""COMPUTED_VALUE"""),"Calintaan")</f>
        <v>Calintaan</v>
      </c>
      <c r="Q527" s="2" t="str">
        <f>IFERROR(__xludf.DUMMYFUNCTION("""COMPUTED_VALUE"""),"Occidental Mindoro")</f>
        <v>Occidental Mindoro</v>
      </c>
      <c r="R527" s="2" t="str">
        <f>IFERROR(__xludf.DUMMYFUNCTION("""COMPUTED_VALUE"""),"4B")</f>
        <v>4B</v>
      </c>
      <c r="S527" s="2"/>
      <c r="T527" s="2"/>
    </row>
    <row r="528">
      <c r="A528" s="1">
        <f>IFERROR(__xludf.DUMMYFUNCTION("""COMPUTED_VALUE"""),526.0)</f>
        <v>526</v>
      </c>
      <c r="B528" s="2" t="str">
        <f>IFERROR(__xludf.DUMMYFUNCTION("""COMPUTED_VALUE"""),"GUTAD FARMERS IRRIGATORS ASSOCIATION INCORPORATED")</f>
        <v>GUTAD FARMERS IRRIGATORS ASSOCIATION INCORPORATED</v>
      </c>
      <c r="C528" s="2" t="str">
        <f>IFERROR(__xludf.DUMMYFUNCTION("""COMPUTED_VALUE"""),"Tanyag, Calintaan, OCCIDENTAL MINDORO")</f>
        <v>Tanyag, Calintaan, OCCIDENTAL MINDORO</v>
      </c>
      <c r="D528" s="2" t="str">
        <f>IFERROR(__xludf.DUMMYFUNCTION("""COMPUTED_VALUE"""),"JUAN ESTEBAN, JR.")</f>
        <v>JUAN ESTEBAN, JR.</v>
      </c>
      <c r="E528" s="2" t="str">
        <f>IFERROR(__xludf.DUMMYFUNCTION("""COMPUTED_VALUE"""),"0905 195 2181")</f>
        <v>0905 195 2181</v>
      </c>
      <c r="F528" s="2" t="str">
        <f>IFERROR(__xludf.DUMMYFUNCTION("""COMPUTED_VALUE"""),"RCEF 24-04-15")</f>
        <v>RCEF 24-04-15</v>
      </c>
      <c r="G528" s="2">
        <f>IFERROR(__xludf.DUMMYFUNCTION("""COMPUTED_VALUE"""),7.0)</f>
        <v>7</v>
      </c>
      <c r="H528" s="2">
        <f>IFERROR(__xludf.DUMMYFUNCTION("""COMPUTED_VALUE"""),20000.0)</f>
        <v>20000</v>
      </c>
      <c r="I528" s="2" t="str">
        <f>IFERROR(__xludf.DUMMYFUNCTION("""COMPUTED_VALUE"""),"KMC5825ACRFPV0884")</f>
        <v>KMC5825ACRFPV0884</v>
      </c>
      <c r="J528" s="2" t="str">
        <f>IFERROR(__xludf.DUMMYFUNCTION("""COMPUTED_VALUE"""),"RTS100802")</f>
        <v>RTS100802</v>
      </c>
      <c r="K528" s="2" t="str">
        <f>IFERROR(__xludf.DUMMYFUNCTION("""COMPUTED_VALUE"""),"LSGW170-RMP-24100958")</f>
        <v>LSGW170-RMP-24100958</v>
      </c>
      <c r="L528" s="2" t="str">
        <f>IFERROR(__xludf.DUMMYFUNCTION("""COMPUTED_VALUE"""),"WDP40-RMP-25010079")</f>
        <v>WDP40-RMP-25010079</v>
      </c>
      <c r="M528" s="2" t="str">
        <f>IFERROR(__xludf.DUMMYFUNCTION("""COMPUTED_VALUE"""),"WR-SERIES-1069PH")</f>
        <v>WR-SERIES-1069PH</v>
      </c>
      <c r="N528" s="2"/>
      <c r="O528" s="2" t="str">
        <f>IFERROR(__xludf.DUMMYFUNCTION("""COMPUTED_VALUE"""),"Tanyag")</f>
        <v>Tanyag</v>
      </c>
      <c r="P528" s="2" t="str">
        <f>IFERROR(__xludf.DUMMYFUNCTION("""COMPUTED_VALUE"""),"Calintaan")</f>
        <v>Calintaan</v>
      </c>
      <c r="Q528" s="2" t="str">
        <f>IFERROR(__xludf.DUMMYFUNCTION("""COMPUTED_VALUE"""),"Occidental Mindoro")</f>
        <v>Occidental Mindoro</v>
      </c>
      <c r="R528" s="2" t="str">
        <f>IFERROR(__xludf.DUMMYFUNCTION("""COMPUTED_VALUE"""),"4B")</f>
        <v>4B</v>
      </c>
      <c r="S528" s="2"/>
      <c r="T528" s="2"/>
    </row>
    <row r="529">
      <c r="A529" s="1">
        <f>IFERROR(__xludf.DUMMYFUNCTION("""COMPUTED_VALUE"""),527.0)</f>
        <v>527</v>
      </c>
      <c r="B529" s="2" t="str">
        <f>IFERROR(__xludf.DUMMYFUNCTION("""COMPUTED_VALUE"""),"Lourdes Multi-Purpose Cooperative")</f>
        <v>Lourdes Multi-Purpose Cooperative</v>
      </c>
      <c r="C529" s="2" t="str">
        <f>IFERROR(__xludf.DUMMYFUNCTION("""COMPUTED_VALUE"""),"Poblacion, Magsaysay, OCCIDENTAL MINDORO")</f>
        <v>Poblacion, Magsaysay, OCCIDENTAL MINDORO</v>
      </c>
      <c r="D529" s="2" t="str">
        <f>IFERROR(__xludf.DUMMYFUNCTION("""COMPUTED_VALUE"""),"ROSALIE ANTONIO")</f>
        <v>ROSALIE ANTONIO</v>
      </c>
      <c r="E529" s="2" t="str">
        <f>IFERROR(__xludf.DUMMYFUNCTION("""COMPUTED_VALUE"""),"0908 885 4332")</f>
        <v>0908 885 4332</v>
      </c>
      <c r="F529" s="2" t="str">
        <f>IFERROR(__xludf.DUMMYFUNCTION("""COMPUTED_VALUE"""),"RCEF 24-04-15")</f>
        <v>RCEF 24-04-15</v>
      </c>
      <c r="G529" s="2">
        <f>IFERROR(__xludf.DUMMYFUNCTION("""COMPUTED_VALUE"""),7.0)</f>
        <v>7</v>
      </c>
      <c r="H529" s="2">
        <f>IFERROR(__xludf.DUMMYFUNCTION("""COMPUTED_VALUE"""),20001.0)</f>
        <v>20001</v>
      </c>
      <c r="I529" s="2" t="str">
        <f>IFERROR(__xludf.DUMMYFUNCTION("""COMPUTED_VALUE"""),"KMC5825AVRFPV0877")</f>
        <v>KMC5825AVRFPV0877</v>
      </c>
      <c r="J529" s="2" t="str">
        <f>IFERROR(__xludf.DUMMYFUNCTION("""COMPUTED_VALUE"""),"RTS100772")</f>
        <v>RTS100772</v>
      </c>
      <c r="K529" s="2" t="str">
        <f>IFERROR(__xludf.DUMMYFUNCTION("""COMPUTED_VALUE"""),"LSGW170-RMP-24101075")</f>
        <v>LSGW170-RMP-24101075</v>
      </c>
      <c r="L529" s="2" t="str">
        <f>IFERROR(__xludf.DUMMYFUNCTION("""COMPUTED_VALUE"""),"WDP40-RMP-25010116")</f>
        <v>WDP40-RMP-25010116</v>
      </c>
      <c r="M529" s="2" t="str">
        <f>IFERROR(__xludf.DUMMYFUNCTION("""COMPUTED_VALUE"""),"WR-SERIES-1190PH")</f>
        <v>WR-SERIES-1190PH</v>
      </c>
      <c r="N529" s="2"/>
      <c r="O529" s="2" t="str">
        <f>IFERROR(__xludf.DUMMYFUNCTION("""COMPUTED_VALUE"""),"Poblacion")</f>
        <v>Poblacion</v>
      </c>
      <c r="P529" s="2" t="str">
        <f>IFERROR(__xludf.DUMMYFUNCTION("""COMPUTED_VALUE"""),"Magsaysay")</f>
        <v>Magsaysay</v>
      </c>
      <c r="Q529" s="2" t="str">
        <f>IFERROR(__xludf.DUMMYFUNCTION("""COMPUTED_VALUE"""),"Occidental Mindoro")</f>
        <v>Occidental Mindoro</v>
      </c>
      <c r="R529" s="2" t="str">
        <f>IFERROR(__xludf.DUMMYFUNCTION("""COMPUTED_VALUE"""),"4B")</f>
        <v>4B</v>
      </c>
      <c r="S529" s="2"/>
      <c r="T529" s="2"/>
    </row>
    <row r="530">
      <c r="A530" s="1">
        <f>IFERROR(__xludf.DUMMYFUNCTION("""COMPUTED_VALUE"""),528.0)</f>
        <v>528</v>
      </c>
      <c r="B530" s="2" t="str">
        <f>IFERROR(__xludf.DUMMYFUNCTION("""COMPUTED_VALUE"""),"MALAWAAN 4TH INTAKE FARMERS IRRIGATORS ASSOCIATION, INC.")</f>
        <v>MALAWAAN 4TH INTAKE FARMERS IRRIGATORS ASSOCIATION, INC.</v>
      </c>
      <c r="C530" s="2" t="str">
        <f>IFERROR(__xludf.DUMMYFUNCTION("""COMPUTED_VALUE"""),"Malawaan, Rizal, OCCIDENTAL MINDORO")</f>
        <v>Malawaan, Rizal, OCCIDENTAL MINDORO</v>
      </c>
      <c r="D530" s="2" t="str">
        <f>IFERROR(__xludf.DUMMYFUNCTION("""COMPUTED_VALUE"""),"MAXIMO LAREDO")</f>
        <v>MAXIMO LAREDO</v>
      </c>
      <c r="E530" s="2" t="str">
        <f>IFERROR(__xludf.DUMMYFUNCTION("""COMPUTED_VALUE"""),"0948 657 7789")</f>
        <v>0948 657 7789</v>
      </c>
      <c r="F530" s="2" t="str">
        <f>IFERROR(__xludf.DUMMYFUNCTION("""COMPUTED_VALUE"""),"RCEF 24-04-15")</f>
        <v>RCEF 24-04-15</v>
      </c>
      <c r="G530" s="2">
        <f>IFERROR(__xludf.DUMMYFUNCTION("""COMPUTED_VALUE"""),7.0)</f>
        <v>7</v>
      </c>
      <c r="H530" s="2">
        <f>IFERROR(__xludf.DUMMYFUNCTION("""COMPUTED_VALUE"""),20002.0)</f>
        <v>20002</v>
      </c>
      <c r="I530" s="2" t="str">
        <f>IFERROR(__xludf.DUMMYFUNCTION("""COMPUTED_VALUE"""),"KMC5825AHRFPV0950")</f>
        <v>KMC5825AHRFPV0950</v>
      </c>
      <c r="J530" s="2" t="str">
        <f>IFERROR(__xludf.DUMMYFUNCTION("""COMPUTED_VALUE"""),"RTS100829")</f>
        <v>RTS100829</v>
      </c>
      <c r="K530" s="2" t="str">
        <f>IFERROR(__xludf.DUMMYFUNCTION("""COMPUTED_VALUE"""),"LSGW170-RMP-24100990")</f>
        <v>LSGW170-RMP-24100990</v>
      </c>
      <c r="L530" s="2" t="str">
        <f>IFERROR(__xludf.DUMMYFUNCTION("""COMPUTED_VALUE"""),"WDP40-RMP-25010076")</f>
        <v>WDP40-RMP-25010076</v>
      </c>
      <c r="M530" s="2" t="str">
        <f>IFERROR(__xludf.DUMMYFUNCTION("""COMPUTED_VALUE"""),"WR-SERIES-1194PH")</f>
        <v>WR-SERIES-1194PH</v>
      </c>
      <c r="N530" s="2"/>
      <c r="O530" s="2" t="str">
        <f>IFERROR(__xludf.DUMMYFUNCTION("""COMPUTED_VALUE"""),"Malawaan")</f>
        <v>Malawaan</v>
      </c>
      <c r="P530" s="2" t="str">
        <f>IFERROR(__xludf.DUMMYFUNCTION("""COMPUTED_VALUE"""),"Rizal")</f>
        <v>Rizal</v>
      </c>
      <c r="Q530" s="2" t="str">
        <f>IFERROR(__xludf.DUMMYFUNCTION("""COMPUTED_VALUE"""),"Occidental Mindoro")</f>
        <v>Occidental Mindoro</v>
      </c>
      <c r="R530" s="2" t="str">
        <f>IFERROR(__xludf.DUMMYFUNCTION("""COMPUTED_VALUE"""),"4B")</f>
        <v>4B</v>
      </c>
      <c r="S530" s="2"/>
      <c r="T530" s="2"/>
    </row>
    <row r="531">
      <c r="A531" s="1">
        <f>IFERROR(__xludf.DUMMYFUNCTION("""COMPUTED_VALUE"""),529.0)</f>
        <v>529</v>
      </c>
      <c r="B531" s="2" t="str">
        <f>IFERROR(__xludf.DUMMYFUNCTION("""COMPUTED_VALUE"""),"PINAGBUKLOD FARMERS' ASSOCIATION")</f>
        <v>PINAGBUKLOD FARMERS' ASSOCIATION</v>
      </c>
      <c r="C531" s="2" t="str">
        <f>IFERROR(__xludf.DUMMYFUNCTION("""COMPUTED_VALUE"""),"San Nicolas, Sablayan, OCCIDENTAL MINDORO")</f>
        <v>San Nicolas, Sablayan, OCCIDENTAL MINDORO</v>
      </c>
      <c r="D531" s="2" t="str">
        <f>IFERROR(__xludf.DUMMYFUNCTION("""COMPUTED_VALUE"""),"SIXTO DELA FUENTE")</f>
        <v>SIXTO DELA FUENTE</v>
      </c>
      <c r="E531" s="2" t="str">
        <f>IFERROR(__xludf.DUMMYFUNCTION("""COMPUTED_VALUE"""),"0935 029 7782")</f>
        <v>0935 029 7782</v>
      </c>
      <c r="F531" s="2" t="str">
        <f>IFERROR(__xludf.DUMMYFUNCTION("""COMPUTED_VALUE"""),"RCEF 24-04-15")</f>
        <v>RCEF 24-04-15</v>
      </c>
      <c r="G531" s="2">
        <f>IFERROR(__xludf.DUMMYFUNCTION("""COMPUTED_VALUE"""),7.0)</f>
        <v>7</v>
      </c>
      <c r="H531" s="2">
        <f>IFERROR(__xludf.DUMMYFUNCTION("""COMPUTED_VALUE"""),20003.0)</f>
        <v>20003</v>
      </c>
      <c r="I531" s="2" t="str">
        <f>IFERROR(__xludf.DUMMYFUNCTION("""COMPUTED_VALUE"""),"KMC5825APRFPV0809")</f>
        <v>KMC5825APRFPV0809</v>
      </c>
      <c r="J531" s="2" t="str">
        <f>IFERROR(__xludf.DUMMYFUNCTION("""COMPUTED_VALUE"""),"RTS100720")</f>
        <v>RTS100720</v>
      </c>
      <c r="K531" s="2" t="str">
        <f>IFERROR(__xludf.DUMMYFUNCTION("""COMPUTED_VALUE"""),"LSGW170-RMP-24101010")</f>
        <v>LSGW170-RMP-24101010</v>
      </c>
      <c r="L531" s="2" t="str">
        <f>IFERROR(__xludf.DUMMYFUNCTION("""COMPUTED_VALUE"""),"WDP40-RMP-25010128")</f>
        <v>WDP40-RMP-25010128</v>
      </c>
      <c r="M531" s="2" t="str">
        <f>IFERROR(__xludf.DUMMYFUNCTION("""COMPUTED_VALUE"""),"WR-SERIES-1197PH")</f>
        <v>WR-SERIES-1197PH</v>
      </c>
      <c r="N531" s="2"/>
      <c r="O531" s="2" t="str">
        <f>IFERROR(__xludf.DUMMYFUNCTION("""COMPUTED_VALUE"""),"San Nicolas")</f>
        <v>San Nicolas</v>
      </c>
      <c r="P531" s="2" t="str">
        <f>IFERROR(__xludf.DUMMYFUNCTION("""COMPUTED_VALUE"""),"Sablayan")</f>
        <v>Sablayan</v>
      </c>
      <c r="Q531" s="2" t="str">
        <f>IFERROR(__xludf.DUMMYFUNCTION("""COMPUTED_VALUE"""),"Occidental Mindoro")</f>
        <v>Occidental Mindoro</v>
      </c>
      <c r="R531" s="2" t="str">
        <f>IFERROR(__xludf.DUMMYFUNCTION("""COMPUTED_VALUE"""),"4B")</f>
        <v>4B</v>
      </c>
      <c r="S531" s="2"/>
      <c r="T531" s="2"/>
    </row>
    <row r="532">
      <c r="A532" s="1">
        <f>IFERROR(__xludf.DUMMYFUNCTION("""COMPUTED_VALUE"""),530.0)</f>
        <v>530</v>
      </c>
      <c r="B532" s="2" t="str">
        <f>IFERROR(__xludf.DUMMYFUNCTION("""COMPUTED_VALUE"""),"SAMAHANG GUMAGAWA TUNGONG TAGUMPAY MULTI-PURPOSE COOPERATIVE (SAGUTT)")</f>
        <v>SAMAHANG GUMAGAWA TUNGONG TAGUMPAY MULTI-PURPOSE COOPERATIVE (SAGUTT)</v>
      </c>
      <c r="C532" s="2" t="str">
        <f>IFERROR(__xludf.DUMMYFUNCTION("""COMPUTED_VALUE"""),"Paetan, Sablayan, OCCIDENTAL MINDORO")</f>
        <v>Paetan, Sablayan, OCCIDENTAL MINDORO</v>
      </c>
      <c r="D532" s="2" t="str">
        <f>IFERROR(__xludf.DUMMYFUNCTION("""COMPUTED_VALUE"""),"LIVELYN CASTILLO")</f>
        <v>LIVELYN CASTILLO</v>
      </c>
      <c r="E532" s="2" t="str">
        <f>IFERROR(__xludf.DUMMYFUNCTION("""COMPUTED_VALUE"""),"0930 414 4915")</f>
        <v>0930 414 4915</v>
      </c>
      <c r="F532" s="2" t="str">
        <f>IFERROR(__xludf.DUMMYFUNCTION("""COMPUTED_VALUE"""),"RCEF 24-04-15")</f>
        <v>RCEF 24-04-15</v>
      </c>
      <c r="G532" s="2">
        <f>IFERROR(__xludf.DUMMYFUNCTION("""COMPUTED_VALUE"""),7.0)</f>
        <v>7</v>
      </c>
      <c r="H532" s="2">
        <f>IFERROR(__xludf.DUMMYFUNCTION("""COMPUTED_VALUE"""),20004.0)</f>
        <v>20004</v>
      </c>
      <c r="I532" s="2" t="str">
        <f>IFERROR(__xludf.DUMMYFUNCTION("""COMPUTED_VALUE"""),"KMC5825AERFPV0965")</f>
        <v>KMC5825AERFPV0965</v>
      </c>
      <c r="J532" s="2" t="str">
        <f>IFERROR(__xludf.DUMMYFUNCTION("""COMPUTED_VALUE"""),"RTS100665")</f>
        <v>RTS100665</v>
      </c>
      <c r="K532" s="2" t="str">
        <f>IFERROR(__xludf.DUMMYFUNCTION("""COMPUTED_VALUE"""),"LSGW170-RMP-24100957")</f>
        <v>LSGW170-RMP-24100957</v>
      </c>
      <c r="L532" s="2" t="str">
        <f>IFERROR(__xludf.DUMMYFUNCTION("""COMPUTED_VALUE"""),"WDP40-RMP-25010125")</f>
        <v>WDP40-RMP-25010125</v>
      </c>
      <c r="M532" s="2" t="str">
        <f>IFERROR(__xludf.DUMMYFUNCTION("""COMPUTED_VALUE"""),"WR-SERIES-1062PH")</f>
        <v>WR-SERIES-1062PH</v>
      </c>
      <c r="N532" s="2"/>
      <c r="O532" s="2" t="str">
        <f>IFERROR(__xludf.DUMMYFUNCTION("""COMPUTED_VALUE"""),"Paetan")</f>
        <v>Paetan</v>
      </c>
      <c r="P532" s="2" t="str">
        <f>IFERROR(__xludf.DUMMYFUNCTION("""COMPUTED_VALUE"""),"Sablayan")</f>
        <v>Sablayan</v>
      </c>
      <c r="Q532" s="2" t="str">
        <f>IFERROR(__xludf.DUMMYFUNCTION("""COMPUTED_VALUE"""),"Occidental Mindoro")</f>
        <v>Occidental Mindoro</v>
      </c>
      <c r="R532" s="2" t="str">
        <f>IFERROR(__xludf.DUMMYFUNCTION("""COMPUTED_VALUE"""),"4B")</f>
        <v>4B</v>
      </c>
      <c r="S532" s="2"/>
      <c r="T532" s="2"/>
    </row>
    <row r="533">
      <c r="A533" s="1">
        <f>IFERROR(__xludf.DUMMYFUNCTION("""COMPUTED_VALUE"""),531.0)</f>
        <v>531</v>
      </c>
      <c r="B533" s="2" t="str">
        <f>IFERROR(__xludf.DUMMYFUNCTION("""COMPUTED_VALUE"""),"SAMAHANG MATAGUMPAY NA MAGSASAKA")</f>
        <v>SAMAHANG MATAGUMPAY NA MAGSASAKA</v>
      </c>
      <c r="C533" s="2" t="str">
        <f>IFERROR(__xludf.DUMMYFUNCTION("""COMPUTED_VALUE"""),"Ilvita, Sablayan, OCCIDENTAL MINDORO")</f>
        <v>Ilvita, Sablayan, OCCIDENTAL MINDORO</v>
      </c>
      <c r="D533" s="2" t="str">
        <f>IFERROR(__xludf.DUMMYFUNCTION("""COMPUTED_VALUE"""),"AQUILINO BICERA")</f>
        <v>AQUILINO BICERA</v>
      </c>
      <c r="E533" s="2" t="str">
        <f>IFERROR(__xludf.DUMMYFUNCTION("""COMPUTED_VALUE"""),"0975 603 4418")</f>
        <v>0975 603 4418</v>
      </c>
      <c r="F533" s="2" t="str">
        <f>IFERROR(__xludf.DUMMYFUNCTION("""COMPUTED_VALUE"""),"RCEF 24-04-15")</f>
        <v>RCEF 24-04-15</v>
      </c>
      <c r="G533" s="2">
        <f>IFERROR(__xludf.DUMMYFUNCTION("""COMPUTED_VALUE"""),7.0)</f>
        <v>7</v>
      </c>
      <c r="H533" s="2">
        <f>IFERROR(__xludf.DUMMYFUNCTION("""COMPUTED_VALUE"""),20005.0)</f>
        <v>20005</v>
      </c>
      <c r="I533" s="2" t="str">
        <f>IFERROR(__xludf.DUMMYFUNCTION("""COMPUTED_VALUE"""),"KMC5825ACRFPV0848")</f>
        <v>KMC5825ACRFPV0848</v>
      </c>
      <c r="J533" s="2" t="str">
        <f>IFERROR(__xludf.DUMMYFUNCTION("""COMPUTED_VALUE"""),"RTS100756")</f>
        <v>RTS100756</v>
      </c>
      <c r="K533" s="2" t="str">
        <f>IFERROR(__xludf.DUMMYFUNCTION("""COMPUTED_VALUE"""),"LSGW170-RMP-2408749")</f>
        <v>LSGW170-RMP-2408749</v>
      </c>
      <c r="L533" s="2" t="str">
        <f>IFERROR(__xludf.DUMMYFUNCTION("""COMPUTED_VALUE"""),"WDP40-RMP-25010114")</f>
        <v>WDP40-RMP-25010114</v>
      </c>
      <c r="M533" s="2" t="str">
        <f>IFERROR(__xludf.DUMMYFUNCTION("""COMPUTED_VALUE"""),"WR-SERIES-1225PH")</f>
        <v>WR-SERIES-1225PH</v>
      </c>
      <c r="N533" s="2"/>
      <c r="O533" s="2" t="str">
        <f>IFERROR(__xludf.DUMMYFUNCTION("""COMPUTED_VALUE"""),"Ilvita")</f>
        <v>Ilvita</v>
      </c>
      <c r="P533" s="2" t="str">
        <f>IFERROR(__xludf.DUMMYFUNCTION("""COMPUTED_VALUE"""),"Sablayan")</f>
        <v>Sablayan</v>
      </c>
      <c r="Q533" s="2" t="str">
        <f>IFERROR(__xludf.DUMMYFUNCTION("""COMPUTED_VALUE"""),"Occidental Mindoro")</f>
        <v>Occidental Mindoro</v>
      </c>
      <c r="R533" s="2" t="str">
        <f>IFERROR(__xludf.DUMMYFUNCTION("""COMPUTED_VALUE"""),"4B")</f>
        <v>4B</v>
      </c>
      <c r="S533" s="2"/>
      <c r="T533" s="2"/>
    </row>
    <row r="534">
      <c r="A534" s="1">
        <f>IFERROR(__xludf.DUMMYFUNCTION("""COMPUTED_VALUE"""),532.0)</f>
        <v>532</v>
      </c>
      <c r="B534" s="2" t="str">
        <f>IFERROR(__xludf.DUMMYFUNCTION("""COMPUTED_VALUE"""),"Kaagapay Kilusang Bayang Tagapagpaunlad Multi-Purpose Coopertive (KAAKIBAT MPC)")</f>
        <v>Kaagapay Kilusang Bayang Tagapagpaunlad Multi-Purpose Coopertive (KAAKIBAT MPC)</v>
      </c>
      <c r="C534" s="2" t="str">
        <f>IFERROR(__xludf.DUMMYFUNCTION("""COMPUTED_VALUE"""),"Labangan Poblacion, San Jose, OCCIDENTAL MINDORO")</f>
        <v>Labangan Poblacion, San Jose, OCCIDENTAL MINDORO</v>
      </c>
      <c r="D534" s="2" t="str">
        <f>IFERROR(__xludf.DUMMYFUNCTION("""COMPUTED_VALUE"""),"RAMON SILVERIO")</f>
        <v>RAMON SILVERIO</v>
      </c>
      <c r="E534" s="2" t="str">
        <f>IFERROR(__xludf.DUMMYFUNCTION("""COMPUTED_VALUE"""),"0950 642 0584")</f>
        <v>0950 642 0584</v>
      </c>
      <c r="F534" s="2" t="str">
        <f>IFERROR(__xludf.DUMMYFUNCTION("""COMPUTED_VALUE"""),"RCEF 24-04-15")</f>
        <v>RCEF 24-04-15</v>
      </c>
      <c r="G534" s="2">
        <f>IFERROR(__xludf.DUMMYFUNCTION("""COMPUTED_VALUE"""),7.0)</f>
        <v>7</v>
      </c>
      <c r="H534" s="2">
        <f>IFERROR(__xludf.DUMMYFUNCTION("""COMPUTED_VALUE"""),20006.0)</f>
        <v>20006</v>
      </c>
      <c r="I534" s="2" t="str">
        <f>IFERROR(__xludf.DUMMYFUNCTION("""COMPUTED_VALUE"""),"KMC5825AHRFPV0849")</f>
        <v>KMC5825AHRFPV0849</v>
      </c>
      <c r="J534" s="2" t="str">
        <f>IFERROR(__xludf.DUMMYFUNCTION("""COMPUTED_VALUE"""),"RTS100764")</f>
        <v>RTS100764</v>
      </c>
      <c r="K534" s="2" t="str">
        <f>IFERROR(__xludf.DUMMYFUNCTION("""COMPUTED_VALUE"""),"LSGW170-RMP-24101054")</f>
        <v>LSGW170-RMP-24101054</v>
      </c>
      <c r="L534" s="2" t="str">
        <f>IFERROR(__xludf.DUMMYFUNCTION("""COMPUTED_VALUE"""),"WDP40-RMP-25010119")</f>
        <v>WDP40-RMP-25010119</v>
      </c>
      <c r="M534" s="2" t="str">
        <f>IFERROR(__xludf.DUMMYFUNCTION("""COMPUTED_VALUE"""),"WR-SERIES-1217PH")</f>
        <v>WR-SERIES-1217PH</v>
      </c>
      <c r="N534" s="2"/>
      <c r="O534" s="2" t="str">
        <f>IFERROR(__xludf.DUMMYFUNCTION("""COMPUTED_VALUE"""),"Labangan Poblacion")</f>
        <v>Labangan Poblacion</v>
      </c>
      <c r="P534" s="2" t="str">
        <f>IFERROR(__xludf.DUMMYFUNCTION("""COMPUTED_VALUE"""),"San Jose")</f>
        <v>San Jose</v>
      </c>
      <c r="Q534" s="2" t="str">
        <f>IFERROR(__xludf.DUMMYFUNCTION("""COMPUTED_VALUE"""),"Occidental Mindoro")</f>
        <v>Occidental Mindoro</v>
      </c>
      <c r="R534" s="2" t="str">
        <f>IFERROR(__xludf.DUMMYFUNCTION("""COMPUTED_VALUE"""),"4B")</f>
        <v>4B</v>
      </c>
      <c r="S534" s="2"/>
      <c r="T534" s="2"/>
    </row>
    <row r="535">
      <c r="A535" s="1">
        <f>IFERROR(__xludf.DUMMYFUNCTION("""COMPUTED_VALUE"""),533.0)</f>
        <v>533</v>
      </c>
      <c r="B535" s="2" t="str">
        <f>IFERROR(__xludf.DUMMYFUNCTION("""COMPUTED_VALUE"""),"Mindoro Occidental Womens Rotary Corps Multipurpose Cooperative (MOWRCCO MPC)")</f>
        <v>Mindoro Occidental Womens Rotary Corps Multipurpose Cooperative (MOWRCCO MPC)</v>
      </c>
      <c r="C535" s="2" t="str">
        <f>IFERROR(__xludf.DUMMYFUNCTION("""COMPUTED_VALUE"""),"Labangan Poblacion, San Jose, OCCIDENTAL MINDORO")</f>
        <v>Labangan Poblacion, San Jose, OCCIDENTAL MINDORO</v>
      </c>
      <c r="D535" s="2" t="str">
        <f>IFERROR(__xludf.DUMMYFUNCTION("""COMPUTED_VALUE"""),"PACIENCIA ADVINCULA")</f>
        <v>PACIENCIA ADVINCULA</v>
      </c>
      <c r="E535" s="2" t="str">
        <f>IFERROR(__xludf.DUMMYFUNCTION("""COMPUTED_VALUE"""),"0965 749 5049")</f>
        <v>0965 749 5049</v>
      </c>
      <c r="F535" s="2" t="str">
        <f>IFERROR(__xludf.DUMMYFUNCTION("""COMPUTED_VALUE"""),"RCEF 24-04-15")</f>
        <v>RCEF 24-04-15</v>
      </c>
      <c r="G535" s="2">
        <f>IFERROR(__xludf.DUMMYFUNCTION("""COMPUTED_VALUE"""),7.0)</f>
        <v>7</v>
      </c>
      <c r="H535" s="2">
        <f>IFERROR(__xludf.DUMMYFUNCTION("""COMPUTED_VALUE"""),20007.0)</f>
        <v>20007</v>
      </c>
      <c r="I535" s="2" t="str">
        <f>IFERROR(__xludf.DUMMYFUNCTION("""COMPUTED_VALUE"""),"KMC5825ACRFPV0862")</f>
        <v>KMC5825ACRFPV0862</v>
      </c>
      <c r="J535" s="2" t="str">
        <f>IFERROR(__xludf.DUMMYFUNCTION("""COMPUTED_VALUE"""),"RTS100786")</f>
        <v>RTS100786</v>
      </c>
      <c r="K535" s="2" t="str">
        <f>IFERROR(__xludf.DUMMYFUNCTION("""COMPUTED_VALUE"""),"LSGW170-RMP-24080726")</f>
        <v>LSGW170-RMP-24080726</v>
      </c>
      <c r="L535" s="2" t="str">
        <f>IFERROR(__xludf.DUMMYFUNCTION("""COMPUTED_VALUE"""),"WDP40-RMP-25010129")</f>
        <v>WDP40-RMP-25010129</v>
      </c>
      <c r="M535" s="2" t="str">
        <f>IFERROR(__xludf.DUMMYFUNCTION("""COMPUTED_VALUE"""),"WR-SERIES-1066PH")</f>
        <v>WR-SERIES-1066PH</v>
      </c>
      <c r="N535" s="2"/>
      <c r="O535" s="2" t="str">
        <f>IFERROR(__xludf.DUMMYFUNCTION("""COMPUTED_VALUE"""),"Labangan Poblacion")</f>
        <v>Labangan Poblacion</v>
      </c>
      <c r="P535" s="2" t="str">
        <f>IFERROR(__xludf.DUMMYFUNCTION("""COMPUTED_VALUE"""),"San Jose")</f>
        <v>San Jose</v>
      </c>
      <c r="Q535" s="2" t="str">
        <f>IFERROR(__xludf.DUMMYFUNCTION("""COMPUTED_VALUE"""),"Occidental Mindoro")</f>
        <v>Occidental Mindoro</v>
      </c>
      <c r="R535" s="2" t="str">
        <f>IFERROR(__xludf.DUMMYFUNCTION("""COMPUTED_VALUE"""),"4B")</f>
        <v>4B</v>
      </c>
      <c r="S535" s="2"/>
      <c r="T535" s="2"/>
    </row>
    <row r="536">
      <c r="A536" s="1">
        <f>IFERROR(__xludf.DUMMYFUNCTION("""COMPUTED_VALUE"""),534.0)</f>
        <v>534</v>
      </c>
      <c r="B536" s="2" t="str">
        <f>IFERROR(__xludf.DUMMYFUNCTION("""COMPUTED_VALUE"""),"SAMAHANG MAGPAPATUBIG NG BATASAN, INC.")</f>
        <v>SAMAHANG MAGPAPATUBIG NG BATASAN, INC.</v>
      </c>
      <c r="C536" s="2" t="str">
        <f>IFERROR(__xludf.DUMMYFUNCTION("""COMPUTED_VALUE"""),", San Jose, OCCIDENTAL MINDORO")</f>
        <v>, San Jose, OCCIDENTAL MINDORO</v>
      </c>
      <c r="D536" s="2" t="str">
        <f>IFERROR(__xludf.DUMMYFUNCTION("""COMPUTED_VALUE"""),"DOMINADOR BERNABE")</f>
        <v>DOMINADOR BERNABE</v>
      </c>
      <c r="E536" s="2" t="str">
        <f>IFERROR(__xludf.DUMMYFUNCTION("""COMPUTED_VALUE"""),"0945 731 5509")</f>
        <v>0945 731 5509</v>
      </c>
      <c r="F536" s="2" t="str">
        <f>IFERROR(__xludf.DUMMYFUNCTION("""COMPUTED_VALUE"""),"RCEF 24-04-15")</f>
        <v>RCEF 24-04-15</v>
      </c>
      <c r="G536" s="2">
        <f>IFERROR(__xludf.DUMMYFUNCTION("""COMPUTED_VALUE"""),7.0)</f>
        <v>7</v>
      </c>
      <c r="H536" s="2">
        <f>IFERROR(__xludf.DUMMYFUNCTION("""COMPUTED_VALUE"""),20008.0)</f>
        <v>20008</v>
      </c>
      <c r="I536" s="2" t="str">
        <f>IFERROR(__xludf.DUMMYFUNCTION("""COMPUTED_VALUE"""),"KMC5825AKRFPV0857")</f>
        <v>KMC5825AKRFPV0857</v>
      </c>
      <c r="J536" s="2" t="str">
        <f>IFERROR(__xludf.DUMMYFUNCTION("""COMPUTED_VALUE"""),"RTS100745")</f>
        <v>RTS100745</v>
      </c>
      <c r="K536" s="2" t="str">
        <f>IFERROR(__xludf.DUMMYFUNCTION("""COMPUTED_VALUE"""),"LSGW170-RMP-24100946")</f>
        <v>LSGW170-RMP-24100946</v>
      </c>
      <c r="L536" s="2" t="str">
        <f>IFERROR(__xludf.DUMMYFUNCTION("""COMPUTED_VALUE"""),"WDP40-RMP-25010124")</f>
        <v>WDP40-RMP-25010124</v>
      </c>
      <c r="M536" s="2" t="str">
        <f>IFERROR(__xludf.DUMMYFUNCTION("""COMPUTED_VALUE"""),"WR-SERIES-1230PH")</f>
        <v>WR-SERIES-1230PH</v>
      </c>
      <c r="N536" s="2"/>
      <c r="O536" s="2" t="str">
        <f>IFERROR(__xludf.DUMMYFUNCTION("""COMPUTED_VALUE"""),"")</f>
        <v/>
      </c>
      <c r="P536" s="2" t="str">
        <f>IFERROR(__xludf.DUMMYFUNCTION("""COMPUTED_VALUE"""),"San Jose")</f>
        <v>San Jose</v>
      </c>
      <c r="Q536" s="2" t="str">
        <f>IFERROR(__xludf.DUMMYFUNCTION("""COMPUTED_VALUE"""),"Occidental Mindoro")</f>
        <v>Occidental Mindoro</v>
      </c>
      <c r="R536" s="2" t="str">
        <f>IFERROR(__xludf.DUMMYFUNCTION("""COMPUTED_VALUE"""),"4B")</f>
        <v>4B</v>
      </c>
      <c r="S536" s="2"/>
      <c r="T536" s="2"/>
    </row>
    <row r="537">
      <c r="A537" s="1">
        <f>IFERROR(__xludf.DUMMYFUNCTION("""COMPUTED_VALUE"""),535.0)</f>
        <v>535</v>
      </c>
      <c r="B537" s="2" t="str">
        <f>IFERROR(__xludf.DUMMYFUNCTION("""COMPUTED_VALUE"""),"Tagumpay ng Curanta Free Farmers Cooperative (TACUFFCO)")</f>
        <v>Tagumpay ng Curanta Free Farmers Cooperative (TACUFFCO)</v>
      </c>
      <c r="C537" s="2" t="str">
        <f>IFERROR(__xludf.DUMMYFUNCTION("""COMPUTED_VALUE"""),"San Agustin, San Jose, OCCIDENTAL MINDORO")</f>
        <v>San Agustin, San Jose, OCCIDENTAL MINDORO</v>
      </c>
      <c r="D537" s="2" t="str">
        <f>IFERROR(__xludf.DUMMYFUNCTION("""COMPUTED_VALUE"""),"CRISALDO FALLARIA")</f>
        <v>CRISALDO FALLARIA</v>
      </c>
      <c r="E537" s="2" t="str">
        <f>IFERROR(__xludf.DUMMYFUNCTION("""COMPUTED_VALUE"""),"0906 676 7922")</f>
        <v>0906 676 7922</v>
      </c>
      <c r="F537" s="2" t="str">
        <f>IFERROR(__xludf.DUMMYFUNCTION("""COMPUTED_VALUE"""),"RCEF 24-04-15")</f>
        <v>RCEF 24-04-15</v>
      </c>
      <c r="G537" s="2">
        <f>IFERROR(__xludf.DUMMYFUNCTION("""COMPUTED_VALUE"""),7.0)</f>
        <v>7</v>
      </c>
      <c r="H537" s="2">
        <f>IFERROR(__xludf.DUMMYFUNCTION("""COMPUTED_VALUE"""),20009.0)</f>
        <v>20009</v>
      </c>
      <c r="I537" s="2" t="str">
        <f>IFERROR(__xludf.DUMMYFUNCTION("""COMPUTED_VALUE"""),"KMC5825ALRFPV0865")</f>
        <v>KMC5825ALRFPV0865</v>
      </c>
      <c r="J537" s="2" t="str">
        <f>IFERROR(__xludf.DUMMYFUNCTION("""COMPUTED_VALUE"""),"RTS100790")</f>
        <v>RTS100790</v>
      </c>
      <c r="K537" s="2" t="str">
        <f>IFERROR(__xludf.DUMMYFUNCTION("""COMPUTED_VALUE"""),"LSGW170-RMP-24100948")</f>
        <v>LSGW170-RMP-24100948</v>
      </c>
      <c r="L537" s="2" t="str">
        <f>IFERROR(__xludf.DUMMYFUNCTION("""COMPUTED_VALUE"""),"WDP40-RMP-24121494")</f>
        <v>WDP40-RMP-24121494</v>
      </c>
      <c r="M537" s="2" t="str">
        <f>IFERROR(__xludf.DUMMYFUNCTION("""COMPUTED_VALUE"""),"WR-SERIES-1083PH")</f>
        <v>WR-SERIES-1083PH</v>
      </c>
      <c r="N537" s="2"/>
      <c r="O537" s="2" t="str">
        <f>IFERROR(__xludf.DUMMYFUNCTION("""COMPUTED_VALUE"""),"San Agustin")</f>
        <v>San Agustin</v>
      </c>
      <c r="P537" s="2" t="str">
        <f>IFERROR(__xludf.DUMMYFUNCTION("""COMPUTED_VALUE"""),"San Jose")</f>
        <v>San Jose</v>
      </c>
      <c r="Q537" s="2" t="str">
        <f>IFERROR(__xludf.DUMMYFUNCTION("""COMPUTED_VALUE"""),"Occidental Mindoro")</f>
        <v>Occidental Mindoro</v>
      </c>
      <c r="R537" s="2" t="str">
        <f>IFERROR(__xludf.DUMMYFUNCTION("""COMPUTED_VALUE"""),"4B")</f>
        <v>4B</v>
      </c>
      <c r="S537" s="2"/>
      <c r="T537" s="2"/>
    </row>
    <row r="538">
      <c r="A538" s="1">
        <f>IFERROR(__xludf.DUMMYFUNCTION("""COMPUTED_VALUE"""),536.0)</f>
        <v>536</v>
      </c>
      <c r="B538" s="2" t="str">
        <f>IFERROR(__xludf.DUMMYFUNCTION("""COMPUTED_VALUE"""),"Amnay Cabagan Irrigators and Farmers Agriculture Cooperative")</f>
        <v>Amnay Cabagan Irrigators and Farmers Agriculture Cooperative</v>
      </c>
      <c r="C538" s="2" t="str">
        <f>IFERROR(__xludf.DUMMYFUNCTION("""COMPUTED_VALUE"""),"Barahan, Santa Cruz, OCCIDENTAL MINDORO")</f>
        <v>Barahan, Santa Cruz, OCCIDENTAL MINDORO</v>
      </c>
      <c r="D538" s="2" t="str">
        <f>IFERROR(__xludf.DUMMYFUNCTION("""COMPUTED_VALUE"""),"JHONIFFER APAN")</f>
        <v>JHONIFFER APAN</v>
      </c>
      <c r="E538" s="2" t="str">
        <f>IFERROR(__xludf.DUMMYFUNCTION("""COMPUTED_VALUE"""),"0955 773 3522")</f>
        <v>0955 773 3522</v>
      </c>
      <c r="F538" s="2" t="str">
        <f>IFERROR(__xludf.DUMMYFUNCTION("""COMPUTED_VALUE"""),"RCEF 24-04-15")</f>
        <v>RCEF 24-04-15</v>
      </c>
      <c r="G538" s="2">
        <f>IFERROR(__xludf.DUMMYFUNCTION("""COMPUTED_VALUE"""),7.0)</f>
        <v>7</v>
      </c>
      <c r="H538" s="2">
        <f>IFERROR(__xludf.DUMMYFUNCTION("""COMPUTED_VALUE"""),20010.0)</f>
        <v>20010</v>
      </c>
      <c r="I538" s="2" t="str">
        <f>IFERROR(__xludf.DUMMYFUNCTION("""COMPUTED_VALUE"""),"KMC5825AARFPV0962")</f>
        <v>KMC5825AARFPV0962</v>
      </c>
      <c r="J538" s="2" t="str">
        <f>IFERROR(__xludf.DUMMYFUNCTION("""COMPUTED_VALUE"""),"RTS100676")</f>
        <v>RTS100676</v>
      </c>
      <c r="K538" s="2" t="str">
        <f>IFERROR(__xludf.DUMMYFUNCTION("""COMPUTED_VALUE"""),"LSGW170-RMP-24100949")</f>
        <v>LSGW170-RMP-24100949</v>
      </c>
      <c r="L538" s="2" t="str">
        <f>IFERROR(__xludf.DUMMYFUNCTION("""COMPUTED_VALUE"""),"WDP40-RMP-25010127")</f>
        <v>WDP40-RMP-25010127</v>
      </c>
      <c r="M538" s="2" t="str">
        <f>IFERROR(__xludf.DUMMYFUNCTION("""COMPUTED_VALUE"""),"WR-SERIES-1200PH")</f>
        <v>WR-SERIES-1200PH</v>
      </c>
      <c r="N538" s="2"/>
      <c r="O538" s="2" t="str">
        <f>IFERROR(__xludf.DUMMYFUNCTION("""COMPUTED_VALUE"""),"Barahan")</f>
        <v>Barahan</v>
      </c>
      <c r="P538" s="2" t="str">
        <f>IFERROR(__xludf.DUMMYFUNCTION("""COMPUTED_VALUE"""),"Santa Cruz")</f>
        <v>Santa Cruz</v>
      </c>
      <c r="Q538" s="2" t="str">
        <f>IFERROR(__xludf.DUMMYFUNCTION("""COMPUTED_VALUE"""),"Occidental Mindoro")</f>
        <v>Occidental Mindoro</v>
      </c>
      <c r="R538" s="2" t="str">
        <f>IFERROR(__xludf.DUMMYFUNCTION("""COMPUTED_VALUE"""),"4B")</f>
        <v>4B</v>
      </c>
      <c r="S538" s="2"/>
      <c r="T538" s="2"/>
    </row>
    <row r="539">
      <c r="A539" s="1">
        <f>IFERROR(__xludf.DUMMYFUNCTION("""COMPUTED_VALUE"""),537.0)</f>
        <v>537</v>
      </c>
      <c r="B539" s="2" t="str">
        <f>IFERROR(__xludf.DUMMYFUNCTION("""COMPUTED_VALUE"""),"CENTRO DULANGAN 2 FARMERS ASSOCIATION")</f>
        <v>CENTRO DULANGAN 2 FARMERS ASSOCIATION</v>
      </c>
      <c r="C539" s="2" t="str">
        <f>IFERROR(__xludf.DUMMYFUNCTION("""COMPUTED_VALUE"""),"Dulangan II, Baco, ORIENTAL MINDORO")</f>
        <v>Dulangan II, Baco, ORIENTAL MINDORO</v>
      </c>
      <c r="D539" s="2" t="str">
        <f>IFERROR(__xludf.DUMMYFUNCTION("""COMPUTED_VALUE"""),"Generoso H. Ebora")</f>
        <v>Generoso H. Ebora</v>
      </c>
      <c r="E539" s="2" t="str">
        <f>IFERROR(__xludf.DUMMYFUNCTION("""COMPUTED_VALUE"""),"0906 927 0571")</f>
        <v>0906 927 0571</v>
      </c>
      <c r="F539" s="2" t="str">
        <f>IFERROR(__xludf.DUMMYFUNCTION("""COMPUTED_VALUE"""),"RCEF 24-04-15")</f>
        <v>RCEF 24-04-15</v>
      </c>
      <c r="G539" s="2">
        <f>IFERROR(__xludf.DUMMYFUNCTION("""COMPUTED_VALUE"""),7.0)</f>
        <v>7</v>
      </c>
      <c r="H539" s="2">
        <f>IFERROR(__xludf.DUMMYFUNCTION("""COMPUTED_VALUE"""),20011.0)</f>
        <v>20011</v>
      </c>
      <c r="I539" s="2" t="str">
        <f>IFERROR(__xludf.DUMMYFUNCTION("""COMPUTED_VALUE"""),"KMC5825AARFPV0864")</f>
        <v>KMC5825AARFPV0864</v>
      </c>
      <c r="J539" s="2" t="str">
        <f>IFERROR(__xludf.DUMMYFUNCTION("""COMPUTED_VALUE"""),"RTS100788")</f>
        <v>RTS100788</v>
      </c>
      <c r="K539" s="2" t="str">
        <f>IFERROR(__xludf.DUMMYFUNCTION("""COMPUTED_VALUE"""),"LSGW170-RMP-24101074")</f>
        <v>LSGW170-RMP-24101074</v>
      </c>
      <c r="L539" s="2" t="str">
        <f>IFERROR(__xludf.DUMMYFUNCTION("""COMPUTED_VALUE"""),"WDP40-RMP-25010125")</f>
        <v>WDP40-RMP-25010125</v>
      </c>
      <c r="M539" s="2" t="str">
        <f>IFERROR(__xludf.DUMMYFUNCTION("""COMPUTED_VALUE"""),"WR-SERIES-1076PH")</f>
        <v>WR-SERIES-1076PH</v>
      </c>
      <c r="N539" s="2"/>
      <c r="O539" s="2" t="str">
        <f>IFERROR(__xludf.DUMMYFUNCTION("""COMPUTED_VALUE"""),"Dulangan Ii")</f>
        <v>Dulangan Ii</v>
      </c>
      <c r="P539" s="2" t="str">
        <f>IFERROR(__xludf.DUMMYFUNCTION("""COMPUTED_VALUE"""),"Baco")</f>
        <v>Baco</v>
      </c>
      <c r="Q539" s="2" t="str">
        <f>IFERROR(__xludf.DUMMYFUNCTION("""COMPUTED_VALUE"""),"Oriental Mindoro")</f>
        <v>Oriental Mindoro</v>
      </c>
      <c r="R539" s="2" t="str">
        <f>IFERROR(__xludf.DUMMYFUNCTION("""COMPUTED_VALUE"""),"4B")</f>
        <v>4B</v>
      </c>
      <c r="S539" s="2"/>
      <c r="T539" s="2"/>
    </row>
    <row r="540">
      <c r="A540" s="1">
        <f>IFERROR(__xludf.DUMMYFUNCTION("""COMPUTED_VALUE"""),538.0)</f>
        <v>538</v>
      </c>
      <c r="B540" s="2" t="str">
        <f>IFERROR(__xludf.DUMMYFUNCTION("""COMPUTED_VALUE"""),"KATWIRAN 2 FARMERS ASSOCIATION")</f>
        <v>KATWIRAN 2 FARMERS ASSOCIATION</v>
      </c>
      <c r="C540" s="2" t="str">
        <f>IFERROR(__xludf.DUMMYFUNCTION("""COMPUTED_VALUE"""),"Catwiran II, Baco, ORIENTAL MINDORO")</f>
        <v>Catwiran II, Baco, ORIENTAL MINDORO</v>
      </c>
      <c r="D540" s="2" t="str">
        <f>IFERROR(__xludf.DUMMYFUNCTION("""COMPUTED_VALUE"""),"Crispulo H. Mutiangpili")</f>
        <v>Crispulo H. Mutiangpili</v>
      </c>
      <c r="E540" s="2" t="str">
        <f>IFERROR(__xludf.DUMMYFUNCTION("""COMPUTED_VALUE"""),"0920 202 2191")</f>
        <v>0920 202 2191</v>
      </c>
      <c r="F540" s="2" t="str">
        <f>IFERROR(__xludf.DUMMYFUNCTION("""COMPUTED_VALUE"""),"RCEF 24-04-15")</f>
        <v>RCEF 24-04-15</v>
      </c>
      <c r="G540" s="2">
        <f>IFERROR(__xludf.DUMMYFUNCTION("""COMPUTED_VALUE"""),7.0)</f>
        <v>7</v>
      </c>
      <c r="H540" s="2">
        <f>IFERROR(__xludf.DUMMYFUNCTION("""COMPUTED_VALUE"""),20012.0)</f>
        <v>20012</v>
      </c>
      <c r="I540" s="2" t="str">
        <f>IFERROR(__xludf.DUMMYFUNCTION("""COMPUTED_VALUE"""),"KMC5825AKRFPV0860")</f>
        <v>KMC5825AKRFPV0860</v>
      </c>
      <c r="J540" s="2" t="str">
        <f>IFERROR(__xludf.DUMMYFUNCTION("""COMPUTED_VALUE"""),"RTS100743")</f>
        <v>RTS100743</v>
      </c>
      <c r="K540" s="2" t="str">
        <f>IFERROR(__xludf.DUMMYFUNCTION("""COMPUTED_VALUE"""),"LSGW170-RMP-24101073")</f>
        <v>LSGW170-RMP-24101073</v>
      </c>
      <c r="L540" s="2" t="str">
        <f>IFERROR(__xludf.DUMMYFUNCTION("""COMPUTED_VALUE"""),"WDP40-RMP-25010109")</f>
        <v>WDP40-RMP-25010109</v>
      </c>
      <c r="M540" s="2" t="str">
        <f>IFERROR(__xludf.DUMMYFUNCTION("""COMPUTED_VALUE"""),"WR-SERIES-1071PH")</f>
        <v>WR-SERIES-1071PH</v>
      </c>
      <c r="N540" s="2"/>
      <c r="O540" s="2" t="str">
        <f>IFERROR(__xludf.DUMMYFUNCTION("""COMPUTED_VALUE"""),"Catwiran Ii")</f>
        <v>Catwiran Ii</v>
      </c>
      <c r="P540" s="2" t="str">
        <f>IFERROR(__xludf.DUMMYFUNCTION("""COMPUTED_VALUE"""),"Baco")</f>
        <v>Baco</v>
      </c>
      <c r="Q540" s="2" t="str">
        <f>IFERROR(__xludf.DUMMYFUNCTION("""COMPUTED_VALUE"""),"Oriental Mindoro")</f>
        <v>Oriental Mindoro</v>
      </c>
      <c r="R540" s="2" t="str">
        <f>IFERROR(__xludf.DUMMYFUNCTION("""COMPUTED_VALUE"""),"4B")</f>
        <v>4B</v>
      </c>
      <c r="S540" s="2"/>
      <c r="T540" s="2"/>
    </row>
    <row r="541">
      <c r="A541" s="1">
        <f>IFERROR(__xludf.DUMMYFUNCTION("""COMPUTED_VALUE"""),539.0)</f>
        <v>539</v>
      </c>
      <c r="B541" s="2" t="str">
        <f>IFERROR(__xludf.DUMMYFUNCTION("""COMPUTED_VALUE"""),"BAYANAN I FARMERS ASSOCIATION")</f>
        <v>BAYANAN I FARMERS ASSOCIATION</v>
      </c>
      <c r="C541" s="2" t="str">
        <f>IFERROR(__xludf.DUMMYFUNCTION("""COMPUTED_VALUE"""),"Bayanan I, Calapan City, ORIENTAL MINDORO")</f>
        <v>Bayanan I, Calapan City, ORIENTAL MINDORO</v>
      </c>
      <c r="D541" s="2" t="str">
        <f>IFERROR(__xludf.DUMMYFUNCTION("""COMPUTED_VALUE"""),"Danilo S. Granil")</f>
        <v>Danilo S. Granil</v>
      </c>
      <c r="E541" s="2" t="str">
        <f>IFERROR(__xludf.DUMMYFUNCTION("""COMPUTED_VALUE"""),"0946 087 6310")</f>
        <v>0946 087 6310</v>
      </c>
      <c r="F541" s="2" t="str">
        <f>IFERROR(__xludf.DUMMYFUNCTION("""COMPUTED_VALUE"""),"RCEF 24-04-15")</f>
        <v>RCEF 24-04-15</v>
      </c>
      <c r="G541" s="2">
        <f>IFERROR(__xludf.DUMMYFUNCTION("""COMPUTED_VALUE"""),7.0)</f>
        <v>7</v>
      </c>
      <c r="H541" s="2">
        <f>IFERROR(__xludf.DUMMYFUNCTION("""COMPUTED_VALUE"""),20013.0)</f>
        <v>20013</v>
      </c>
      <c r="I541" s="2" t="str">
        <f>IFERROR(__xludf.DUMMYFUNCTION("""COMPUTED_VALUE"""),"KMC5825AHRFPV0902")</f>
        <v>KMC5825AHRFPV0902</v>
      </c>
      <c r="J541" s="2" t="str">
        <f>IFERROR(__xludf.DUMMYFUNCTION("""COMPUTED_VALUE"""),"RTS100814")</f>
        <v>RTS100814</v>
      </c>
      <c r="K541" s="2" t="str">
        <f>IFERROR(__xludf.DUMMYFUNCTION("""COMPUTED_VALUE"""),"LSGW170-RMP-24101079")</f>
        <v>LSGW170-RMP-24101079</v>
      </c>
      <c r="L541" s="2" t="str">
        <f>IFERROR(__xludf.DUMMYFUNCTION("""COMPUTED_VALUE"""),"WDP40-RMP-24121487")</f>
        <v>WDP40-RMP-24121487</v>
      </c>
      <c r="M541" s="2" t="str">
        <f>IFERROR(__xludf.DUMMYFUNCTION("""COMPUTED_VALUE"""),"WR-SERIES-1012PH")</f>
        <v>WR-SERIES-1012PH</v>
      </c>
      <c r="N541" s="2"/>
      <c r="O541" s="2" t="str">
        <f>IFERROR(__xludf.DUMMYFUNCTION("""COMPUTED_VALUE"""),"Bayanan I")</f>
        <v>Bayanan I</v>
      </c>
      <c r="P541" s="2" t="str">
        <f>IFERROR(__xludf.DUMMYFUNCTION("""COMPUTED_VALUE"""),"Calapan City")</f>
        <v>Calapan City</v>
      </c>
      <c r="Q541" s="2" t="str">
        <f>IFERROR(__xludf.DUMMYFUNCTION("""COMPUTED_VALUE"""),"Oriental Mindoro")</f>
        <v>Oriental Mindoro</v>
      </c>
      <c r="R541" s="2" t="str">
        <f>IFERROR(__xludf.DUMMYFUNCTION("""COMPUTED_VALUE"""),"4B")</f>
        <v>4B</v>
      </c>
      <c r="S541" s="2"/>
      <c r="T541" s="2"/>
    </row>
    <row r="542">
      <c r="A542" s="1">
        <f>IFERROR(__xludf.DUMMYFUNCTION("""COMPUTED_VALUE"""),540.0)</f>
        <v>540</v>
      </c>
      <c r="B542" s="2" t="str">
        <f>IFERROR(__xludf.DUMMYFUNCTION("""COMPUTED_VALUE"""),"MANAGPI FARMERS ASSOCIATION")</f>
        <v>MANAGPI FARMERS ASSOCIATION</v>
      </c>
      <c r="C542" s="2" t="str">
        <f>IFERROR(__xludf.DUMMYFUNCTION("""COMPUTED_VALUE"""),"Managpi, Calapan City, ORIENTAL MINDORO")</f>
        <v>Managpi, Calapan City, ORIENTAL MINDORO</v>
      </c>
      <c r="D542" s="2" t="str">
        <f>IFERROR(__xludf.DUMMYFUNCTION("""COMPUTED_VALUE"""),"Teodulo A. Macaraig")</f>
        <v>Teodulo A. Macaraig</v>
      </c>
      <c r="E542" s="2" t="str">
        <f>IFERROR(__xludf.DUMMYFUNCTION("""COMPUTED_VALUE"""),"0955 067 7374")</f>
        <v>0955 067 7374</v>
      </c>
      <c r="F542" s="2" t="str">
        <f>IFERROR(__xludf.DUMMYFUNCTION("""COMPUTED_VALUE"""),"RCEF 24-04-15")</f>
        <v>RCEF 24-04-15</v>
      </c>
      <c r="G542" s="2">
        <f>IFERROR(__xludf.DUMMYFUNCTION("""COMPUTED_VALUE"""),7.0)</f>
        <v>7</v>
      </c>
      <c r="H542" s="2">
        <f>IFERROR(__xludf.DUMMYFUNCTION("""COMPUTED_VALUE"""),20014.0)</f>
        <v>20014</v>
      </c>
      <c r="I542" s="2" t="str">
        <f>IFERROR(__xludf.DUMMYFUNCTION("""COMPUTED_VALUE"""),"KMC5825AKRFPV0826")</f>
        <v>KMC5825AKRFPV0826</v>
      </c>
      <c r="J542" s="2" t="str">
        <f>IFERROR(__xludf.DUMMYFUNCTION("""COMPUTED_VALUE"""),"RTS100734")</f>
        <v>RTS100734</v>
      </c>
      <c r="K542" s="2" t="str">
        <f>IFERROR(__xludf.DUMMYFUNCTION("""COMPUTED_VALUE"""),"LSGW170-RMP-24080737")</f>
        <v>LSGW170-RMP-24080737</v>
      </c>
      <c r="L542" s="2" t="str">
        <f>IFERROR(__xludf.DUMMYFUNCTION("""COMPUTED_VALUE"""),"WDP40-RMP-25010130")</f>
        <v>WDP40-RMP-25010130</v>
      </c>
      <c r="M542" s="2" t="str">
        <f>IFERROR(__xludf.DUMMYFUNCTION("""COMPUTED_VALUE"""),"WR-SERIES-1072PH")</f>
        <v>WR-SERIES-1072PH</v>
      </c>
      <c r="N542" s="2"/>
      <c r="O542" s="2" t="str">
        <f>IFERROR(__xludf.DUMMYFUNCTION("""COMPUTED_VALUE"""),"Managpi")</f>
        <v>Managpi</v>
      </c>
      <c r="P542" s="2" t="str">
        <f>IFERROR(__xludf.DUMMYFUNCTION("""COMPUTED_VALUE"""),"Calapan City")</f>
        <v>Calapan City</v>
      </c>
      <c r="Q542" s="2" t="str">
        <f>IFERROR(__xludf.DUMMYFUNCTION("""COMPUTED_VALUE"""),"Oriental Mindoro")</f>
        <v>Oriental Mindoro</v>
      </c>
      <c r="R542" s="2" t="str">
        <f>IFERROR(__xludf.DUMMYFUNCTION("""COMPUTED_VALUE"""),"4B")</f>
        <v>4B</v>
      </c>
      <c r="S542" s="2"/>
      <c r="T542" s="2"/>
    </row>
    <row r="543">
      <c r="A543" s="1">
        <f>IFERROR(__xludf.DUMMYFUNCTION("""COMPUTED_VALUE"""),541.0)</f>
        <v>541</v>
      </c>
      <c r="B543" s="2" t="str">
        <f>IFERROR(__xludf.DUMMYFUNCTION("""COMPUTED_VALUE"""),"SAN AGUSTIN II FARMERS ASSOCIATION")</f>
        <v>SAN AGUSTIN II FARMERS ASSOCIATION</v>
      </c>
      <c r="C543" s="2" t="str">
        <f>IFERROR(__xludf.DUMMYFUNCTION("""COMPUTED_VALUE"""),"San Agustin, Naujan, ORIENTAL MINDORO")</f>
        <v>San Agustin, Naujan, ORIENTAL MINDORO</v>
      </c>
      <c r="D543" s="2" t="str">
        <f>IFERROR(__xludf.DUMMYFUNCTION("""COMPUTED_VALUE"""),"#N/A")</f>
        <v>#N/A</v>
      </c>
      <c r="E543" s="2" t="str">
        <f>IFERROR(__xludf.DUMMYFUNCTION("""COMPUTED_VALUE"""),"#N/A")</f>
        <v>#N/A</v>
      </c>
      <c r="F543" s="2" t="str">
        <f>IFERROR(__xludf.DUMMYFUNCTION("""COMPUTED_VALUE"""),"RCEF 24-04-15")</f>
        <v>RCEF 24-04-15</v>
      </c>
      <c r="G543" s="2">
        <f>IFERROR(__xludf.DUMMYFUNCTION("""COMPUTED_VALUE"""),7.0)</f>
        <v>7</v>
      </c>
      <c r="H543" s="2">
        <f>IFERROR(__xludf.DUMMYFUNCTION("""COMPUTED_VALUE"""),20015.0)</f>
        <v>20015</v>
      </c>
      <c r="I543" s="2" t="str">
        <f>IFERROR(__xludf.DUMMYFUNCTION("""COMPUTED_VALUE"""),"KMC5825AJRFPV0827")</f>
        <v>KMC5825AJRFPV0827</v>
      </c>
      <c r="J543" s="2" t="str">
        <f>IFERROR(__xludf.DUMMYFUNCTION("""COMPUTED_VALUE"""),"RTS100737")</f>
        <v>RTS100737</v>
      </c>
      <c r="K543" s="2" t="str">
        <f>IFERROR(__xludf.DUMMYFUNCTION("""COMPUTED_VALUE"""),"LSGW170-RMP-24080724")</f>
        <v>LSGW170-RMP-24080724</v>
      </c>
      <c r="L543" s="2" t="str">
        <f>IFERROR(__xludf.DUMMYFUNCTION("""COMPUTED_VALUE"""),"WDP40-RMP-25010113")</f>
        <v>WDP40-RMP-25010113</v>
      </c>
      <c r="M543" s="2" t="str">
        <f>IFERROR(__xludf.DUMMYFUNCTION("""COMPUTED_VALUE"""),"WR-SERIES-1077PH")</f>
        <v>WR-SERIES-1077PH</v>
      </c>
      <c r="N543" s="2"/>
      <c r="O543" s="2" t="str">
        <f>IFERROR(__xludf.DUMMYFUNCTION("""COMPUTED_VALUE"""),"San Agustin")</f>
        <v>San Agustin</v>
      </c>
      <c r="P543" s="2" t="str">
        <f>IFERROR(__xludf.DUMMYFUNCTION("""COMPUTED_VALUE"""),"Naujan")</f>
        <v>Naujan</v>
      </c>
      <c r="Q543" s="2" t="str">
        <f>IFERROR(__xludf.DUMMYFUNCTION("""COMPUTED_VALUE"""),"Oriental Mindoro")</f>
        <v>Oriental Mindoro</v>
      </c>
      <c r="R543" s="2" t="str">
        <f>IFERROR(__xludf.DUMMYFUNCTION("""COMPUTED_VALUE"""),"4B")</f>
        <v>4B</v>
      </c>
      <c r="S543" s="2"/>
      <c r="T543" s="2"/>
    </row>
    <row r="544">
      <c r="A544" s="1">
        <f>IFERROR(__xludf.DUMMYFUNCTION("""COMPUTED_VALUE"""),542.0)</f>
        <v>542</v>
      </c>
      <c r="B544" s="2" t="str">
        <f>IFERROR(__xludf.DUMMYFUNCTION("""COMPUTED_VALUE"""),"PAGKAKAISA FARMERS ASSOCIATION")</f>
        <v>PAGKAKAISA FARMERS ASSOCIATION</v>
      </c>
      <c r="C544" s="2" t="str">
        <f>IFERROR(__xludf.DUMMYFUNCTION("""COMPUTED_VALUE"""),"Pagkakaisa, Naujan, ORIENTAL MINDORO")</f>
        <v>Pagkakaisa, Naujan, ORIENTAL MINDORO</v>
      </c>
      <c r="D544" s="2" t="str">
        <f>IFERROR(__xludf.DUMMYFUNCTION("""COMPUTED_VALUE"""),"Emelinda L. Valdepeña")</f>
        <v>Emelinda L. Valdepeña</v>
      </c>
      <c r="E544" s="2" t="str">
        <f>IFERROR(__xludf.DUMMYFUNCTION("""COMPUTED_VALUE"""),"0966 751 5287")</f>
        <v>0966 751 5287</v>
      </c>
      <c r="F544" s="2" t="str">
        <f>IFERROR(__xludf.DUMMYFUNCTION("""COMPUTED_VALUE"""),"RCEF 24-04-15")</f>
        <v>RCEF 24-04-15</v>
      </c>
      <c r="G544" s="2">
        <f>IFERROR(__xludf.DUMMYFUNCTION("""COMPUTED_VALUE"""),7.0)</f>
        <v>7</v>
      </c>
      <c r="H544" s="2">
        <f>IFERROR(__xludf.DUMMYFUNCTION("""COMPUTED_VALUE"""),20016.0)</f>
        <v>20016</v>
      </c>
      <c r="I544" s="2" t="str">
        <f>IFERROR(__xludf.DUMMYFUNCTION("""COMPUTED_VALUE"""),"KMC5825APRFPV0856")</f>
        <v>KMC5825APRFPV0856</v>
      </c>
      <c r="J544" s="2" t="str">
        <f>IFERROR(__xludf.DUMMYFUNCTION("""COMPUTED_VALUE"""),"RTS100747")</f>
        <v>RTS100747</v>
      </c>
      <c r="K544" s="2" t="str">
        <f>IFERROR(__xludf.DUMMYFUNCTION("""COMPUTED_VALUE"""),"LSGW170-RMP-24100984")</f>
        <v>LSGW170-RMP-24100984</v>
      </c>
      <c r="L544" s="2" t="str">
        <f>IFERROR(__xludf.DUMMYFUNCTION("""COMPUTED_VALUE"""),"WDP40-RMP-25010122")</f>
        <v>WDP40-RMP-25010122</v>
      </c>
      <c r="M544" s="2" t="str">
        <f>IFERROR(__xludf.DUMMYFUNCTION("""COMPUTED_VALUE"""),"WR-SERIES-1063PH")</f>
        <v>WR-SERIES-1063PH</v>
      </c>
      <c r="N544" s="2"/>
      <c r="O544" s="2" t="str">
        <f>IFERROR(__xludf.DUMMYFUNCTION("""COMPUTED_VALUE"""),"Pagkakaisa")</f>
        <v>Pagkakaisa</v>
      </c>
      <c r="P544" s="2" t="str">
        <f>IFERROR(__xludf.DUMMYFUNCTION("""COMPUTED_VALUE"""),"Naujan")</f>
        <v>Naujan</v>
      </c>
      <c r="Q544" s="2" t="str">
        <f>IFERROR(__xludf.DUMMYFUNCTION("""COMPUTED_VALUE"""),"Oriental Mindoro")</f>
        <v>Oriental Mindoro</v>
      </c>
      <c r="R544" s="2" t="str">
        <f>IFERROR(__xludf.DUMMYFUNCTION("""COMPUTED_VALUE"""),"4B")</f>
        <v>4B</v>
      </c>
      <c r="S544" s="2"/>
      <c r="T544" s="2"/>
    </row>
    <row r="545">
      <c r="A545" s="1">
        <f>IFERROR(__xludf.DUMMYFUNCTION("""COMPUTED_VALUE"""),543.0)</f>
        <v>543</v>
      </c>
      <c r="B545" s="2" t="str">
        <f>IFERROR(__xludf.DUMMYFUNCTION("""COMPUTED_VALUE"""),"BARANGAY MALIBAGO POLA IRRIGATORS' ASSOCIATION INC.")</f>
        <v>BARANGAY MALIBAGO POLA IRRIGATORS' ASSOCIATION INC.</v>
      </c>
      <c r="C545" s="2" t="str">
        <f>IFERROR(__xludf.DUMMYFUNCTION("""COMPUTED_VALUE"""),"Malibago, Pola, ORIENTAL MINDORO")</f>
        <v>Malibago, Pola, ORIENTAL MINDORO</v>
      </c>
      <c r="D545" s="2" t="str">
        <f>IFERROR(__xludf.DUMMYFUNCTION("""COMPUTED_VALUE"""),"Romeo P. Loberiano")</f>
        <v>Romeo P. Loberiano</v>
      </c>
      <c r="E545" s="2" t="str">
        <f>IFERROR(__xludf.DUMMYFUNCTION("""COMPUTED_VALUE"""),"0977 418 6773")</f>
        <v>0977 418 6773</v>
      </c>
      <c r="F545" s="2" t="str">
        <f>IFERROR(__xludf.DUMMYFUNCTION("""COMPUTED_VALUE"""),"RCEF 24-04-15")</f>
        <v>RCEF 24-04-15</v>
      </c>
      <c r="G545" s="2">
        <f>IFERROR(__xludf.DUMMYFUNCTION("""COMPUTED_VALUE"""),7.0)</f>
        <v>7</v>
      </c>
      <c r="H545" s="2">
        <f>IFERROR(__xludf.DUMMYFUNCTION("""COMPUTED_VALUE"""),20017.0)</f>
        <v>20017</v>
      </c>
      <c r="I545" s="2" t="str">
        <f>IFERROR(__xludf.DUMMYFUNCTION("""COMPUTED_VALUE"""),"KMC5825ATRFPV0953")</f>
        <v>KMC5825ATRFPV0953</v>
      </c>
      <c r="J545" s="2" t="str">
        <f>IFERROR(__xludf.DUMMYFUNCTION("""COMPUTED_VALUE"""),"RTS100781")</f>
        <v>RTS100781</v>
      </c>
      <c r="K545" s="2" t="str">
        <f>IFERROR(__xludf.DUMMYFUNCTION("""COMPUTED_VALUE"""),"LSGW170-RMP-24101048")</f>
        <v>LSGW170-RMP-24101048</v>
      </c>
      <c r="L545" s="2" t="str">
        <f>IFERROR(__xludf.DUMMYFUNCTION("""COMPUTED_VALUE"""),"WDP40-RMP-25010027")</f>
        <v>WDP40-RMP-25010027</v>
      </c>
      <c r="M545" s="2" t="str">
        <f>IFERROR(__xludf.DUMMYFUNCTION("""COMPUTED_VALUE"""),"WR-SERIES-1231PH")</f>
        <v>WR-SERIES-1231PH</v>
      </c>
      <c r="N545" s="2"/>
      <c r="O545" s="2" t="str">
        <f>IFERROR(__xludf.DUMMYFUNCTION("""COMPUTED_VALUE"""),"Malibago")</f>
        <v>Malibago</v>
      </c>
      <c r="P545" s="2" t="str">
        <f>IFERROR(__xludf.DUMMYFUNCTION("""COMPUTED_VALUE"""),"Pola")</f>
        <v>Pola</v>
      </c>
      <c r="Q545" s="2" t="str">
        <f>IFERROR(__xludf.DUMMYFUNCTION("""COMPUTED_VALUE"""),"Oriental Mindoro")</f>
        <v>Oriental Mindoro</v>
      </c>
      <c r="R545" s="2" t="str">
        <f>IFERROR(__xludf.DUMMYFUNCTION("""COMPUTED_VALUE"""),"4B")</f>
        <v>4B</v>
      </c>
      <c r="S545" s="2"/>
      <c r="T545" s="2"/>
    </row>
    <row r="546">
      <c r="A546" s="1">
        <f>IFERROR(__xludf.DUMMYFUNCTION("""COMPUTED_VALUE"""),544.0)</f>
        <v>544</v>
      </c>
      <c r="B546" s="2" t="str">
        <f>IFERROR(__xludf.DUMMYFUNCTION("""COMPUTED_VALUE"""),"TAYWANAK FARMERS ASSOCIATION")</f>
        <v>TAYWANAK FARMERS ASSOCIATION</v>
      </c>
      <c r="C546" s="2" t="str">
        <f>IFERROR(__xludf.DUMMYFUNCTION("""COMPUTED_VALUE"""),", Pola, ORIENTAL MINDORO")</f>
        <v>, Pola, ORIENTAL MINDORO</v>
      </c>
      <c r="D546" s="2" t="str">
        <f>IFERROR(__xludf.DUMMYFUNCTION("""COMPUTED_VALUE"""),"Aldrin V. Escobio")</f>
        <v>Aldrin V. Escobio</v>
      </c>
      <c r="E546" s="2" t="str">
        <f>IFERROR(__xludf.DUMMYFUNCTION("""COMPUTED_VALUE"""),"0909 268 4012")</f>
        <v>0909 268 4012</v>
      </c>
      <c r="F546" s="2" t="str">
        <f>IFERROR(__xludf.DUMMYFUNCTION("""COMPUTED_VALUE"""),"RCEF 24-04-15")</f>
        <v>RCEF 24-04-15</v>
      </c>
      <c r="G546" s="2">
        <f>IFERROR(__xludf.DUMMYFUNCTION("""COMPUTED_VALUE"""),7.0)</f>
        <v>7</v>
      </c>
      <c r="H546" s="2">
        <f>IFERROR(__xludf.DUMMYFUNCTION("""COMPUTED_VALUE"""),20018.0)</f>
        <v>20018</v>
      </c>
      <c r="I546" s="2" t="str">
        <f>IFERROR(__xludf.DUMMYFUNCTION("""COMPUTED_VALUE"""),"KMC5825AERFPV0870")</f>
        <v>KMC5825AERFPV0870</v>
      </c>
      <c r="J546" s="2" t="str">
        <f>IFERROR(__xludf.DUMMYFUNCTION("""COMPUTED_VALUE"""),"RTS100780")</f>
        <v>RTS100780</v>
      </c>
      <c r="K546" s="2" t="str">
        <f>IFERROR(__xludf.DUMMYFUNCTION("""COMPUTED_VALUE"""),"LSGW170-RMP-24100952")</f>
        <v>LSGW170-RMP-24100952</v>
      </c>
      <c r="L546" s="2" t="str">
        <f>IFERROR(__xludf.DUMMYFUNCTION("""COMPUTED_VALUE"""),"WDP40-RMP-25010082")</f>
        <v>WDP40-RMP-25010082</v>
      </c>
      <c r="M546" s="2" t="str">
        <f>IFERROR(__xludf.DUMMYFUNCTION("""COMPUTED_VALUE"""),"WR-SERIES-1206PH")</f>
        <v>WR-SERIES-1206PH</v>
      </c>
      <c r="N546" s="2"/>
      <c r="O546" s="2" t="str">
        <f>IFERROR(__xludf.DUMMYFUNCTION("""COMPUTED_VALUE"""),"")</f>
        <v/>
      </c>
      <c r="P546" s="2" t="str">
        <f>IFERROR(__xludf.DUMMYFUNCTION("""COMPUTED_VALUE"""),"Pola")</f>
        <v>Pola</v>
      </c>
      <c r="Q546" s="2" t="str">
        <f>IFERROR(__xludf.DUMMYFUNCTION("""COMPUTED_VALUE"""),"Oriental Mindoro")</f>
        <v>Oriental Mindoro</v>
      </c>
      <c r="R546" s="2" t="str">
        <f>IFERROR(__xludf.DUMMYFUNCTION("""COMPUTED_VALUE"""),"4B")</f>
        <v>4B</v>
      </c>
      <c r="S546" s="2"/>
      <c r="T546" s="2"/>
    </row>
    <row r="547">
      <c r="A547" s="1">
        <f>IFERROR(__xludf.DUMMYFUNCTION("""COMPUTED_VALUE"""),545.0)</f>
        <v>545</v>
      </c>
      <c r="B547" s="2" t="str">
        <f>IFERROR(__xludf.DUMMYFUNCTION("""COMPUTED_VALUE"""),"MONTEVERDE FARMERS &amp; IRRIGATORS ASSOCIATION")</f>
        <v>MONTEVERDE FARMERS &amp; IRRIGATORS ASSOCIATION</v>
      </c>
      <c r="C547" s="2" t="str">
        <f>IFERROR(__xludf.DUMMYFUNCTION("""COMPUTED_VALUE"""),"Monteverde, Socorro, ORIENTAL MINDORO")</f>
        <v>Monteverde, Socorro, ORIENTAL MINDORO</v>
      </c>
      <c r="D547" s="2" t="str">
        <f>IFERROR(__xludf.DUMMYFUNCTION("""COMPUTED_VALUE"""),"Diasmer M. Fabregar")</f>
        <v>Diasmer M. Fabregar</v>
      </c>
      <c r="E547" s="2" t="str">
        <f>IFERROR(__xludf.DUMMYFUNCTION("""COMPUTED_VALUE"""),"0951 739 2096")</f>
        <v>0951 739 2096</v>
      </c>
      <c r="F547" s="2" t="str">
        <f>IFERROR(__xludf.DUMMYFUNCTION("""COMPUTED_VALUE"""),"RCEF 24-04-15")</f>
        <v>RCEF 24-04-15</v>
      </c>
      <c r="G547" s="2">
        <f>IFERROR(__xludf.DUMMYFUNCTION("""COMPUTED_VALUE"""),7.0)</f>
        <v>7</v>
      </c>
      <c r="H547" s="2">
        <f>IFERROR(__xludf.DUMMYFUNCTION("""COMPUTED_VALUE"""),20019.0)</f>
        <v>20019</v>
      </c>
      <c r="I547" s="2" t="str">
        <f>IFERROR(__xludf.DUMMYFUNCTION("""COMPUTED_VALUE"""),"KMC5825AJRFPV0858")</f>
        <v>KMC5825AJRFPV0858</v>
      </c>
      <c r="J547" s="2" t="str">
        <f>IFERROR(__xludf.DUMMYFUNCTION("""COMPUTED_VALUE"""),"RTS100758")</f>
        <v>RTS100758</v>
      </c>
      <c r="K547" s="2" t="str">
        <f>IFERROR(__xludf.DUMMYFUNCTION("""COMPUTED_VALUE"""),"LSGW170-RMP-24090844")</f>
        <v>LSGW170-RMP-24090844</v>
      </c>
      <c r="L547" s="2" t="str">
        <f>IFERROR(__xludf.DUMMYFUNCTION("""COMPUTED_VALUE"""),"WDP40-RMP-25010026")</f>
        <v>WDP40-RMP-25010026</v>
      </c>
      <c r="M547" s="2" t="str">
        <f>IFERROR(__xludf.DUMMYFUNCTION("""COMPUTED_VALUE"""),"WR-SERIES-1073PH")</f>
        <v>WR-SERIES-1073PH</v>
      </c>
      <c r="N547" s="2"/>
      <c r="O547" s="2" t="str">
        <f>IFERROR(__xludf.DUMMYFUNCTION("""COMPUTED_VALUE"""),"Monteverde")</f>
        <v>Monteverde</v>
      </c>
      <c r="P547" s="2" t="str">
        <f>IFERROR(__xludf.DUMMYFUNCTION("""COMPUTED_VALUE"""),"Socorro")</f>
        <v>Socorro</v>
      </c>
      <c r="Q547" s="2" t="str">
        <f>IFERROR(__xludf.DUMMYFUNCTION("""COMPUTED_VALUE"""),"Oriental Mindoro")</f>
        <v>Oriental Mindoro</v>
      </c>
      <c r="R547" s="2" t="str">
        <f>IFERROR(__xludf.DUMMYFUNCTION("""COMPUTED_VALUE"""),"4B")</f>
        <v>4B</v>
      </c>
      <c r="S547" s="2"/>
      <c r="T547" s="2"/>
    </row>
    <row r="548">
      <c r="A548" s="1">
        <f>IFERROR(__xludf.DUMMYFUNCTION("""COMPUTED_VALUE"""),546.0)</f>
        <v>546</v>
      </c>
      <c r="B548" s="2" t="str">
        <f>IFERROR(__xludf.DUMMYFUNCTION("""COMPUTED_VALUE"""),"MABINI FARMERS ASSOCIATION")</f>
        <v>MABINI FARMERS ASSOCIATION</v>
      </c>
      <c r="C548" s="2" t="str">
        <f>IFERROR(__xludf.DUMMYFUNCTION("""COMPUTED_VALUE"""),"Mabini, Victoria, ORIENTAL MINDORO")</f>
        <v>Mabini, Victoria, ORIENTAL MINDORO</v>
      </c>
      <c r="D548" s="2" t="str">
        <f>IFERROR(__xludf.DUMMYFUNCTION("""COMPUTED_VALUE"""),"Dionisia D. Bas")</f>
        <v>Dionisia D. Bas</v>
      </c>
      <c r="E548" s="2" t="str">
        <f>IFERROR(__xludf.DUMMYFUNCTION("""COMPUTED_VALUE"""),"0965 346 6645")</f>
        <v>0965 346 6645</v>
      </c>
      <c r="F548" s="2" t="str">
        <f>IFERROR(__xludf.DUMMYFUNCTION("""COMPUTED_VALUE"""),"RCEF 24-04-15")</f>
        <v>RCEF 24-04-15</v>
      </c>
      <c r="G548" s="2">
        <f>IFERROR(__xludf.DUMMYFUNCTION("""COMPUTED_VALUE"""),7.0)</f>
        <v>7</v>
      </c>
      <c r="H548" s="2">
        <f>IFERROR(__xludf.DUMMYFUNCTION("""COMPUTED_VALUE"""),20020.0)</f>
        <v>20020</v>
      </c>
      <c r="I548" s="2" t="str">
        <f>IFERROR(__xludf.DUMMYFUNCTION("""COMPUTED_VALUE"""),"KMC5825APRFPV0811")</f>
        <v>KMC5825APRFPV0811</v>
      </c>
      <c r="J548" s="2" t="str">
        <f>IFERROR(__xludf.DUMMYFUNCTION("""COMPUTED_VALUE"""),"RTS100718")</f>
        <v>RTS100718</v>
      </c>
      <c r="K548" s="2" t="str">
        <f>IFERROR(__xludf.DUMMYFUNCTION("""COMPUTED_VALUE"""),"LSGW170-RMP-24101046")</f>
        <v>LSGW170-RMP-24101046</v>
      </c>
      <c r="L548" s="2" t="str">
        <f>IFERROR(__xludf.DUMMYFUNCTION("""COMPUTED_VALUE"""),"WDP40-RMP-25010111")</f>
        <v>WDP40-RMP-25010111</v>
      </c>
      <c r="M548" s="2" t="str">
        <f>IFERROR(__xludf.DUMMYFUNCTION("""COMPUTED_VALUE"""),"WR-SERIES-1082PH")</f>
        <v>WR-SERIES-1082PH</v>
      </c>
      <c r="N548" s="2"/>
      <c r="O548" s="2" t="str">
        <f>IFERROR(__xludf.DUMMYFUNCTION("""COMPUTED_VALUE"""),"Mabini")</f>
        <v>Mabini</v>
      </c>
      <c r="P548" s="2" t="str">
        <f>IFERROR(__xludf.DUMMYFUNCTION("""COMPUTED_VALUE"""),"Victoria")</f>
        <v>Victoria</v>
      </c>
      <c r="Q548" s="2" t="str">
        <f>IFERROR(__xludf.DUMMYFUNCTION("""COMPUTED_VALUE"""),"Oriental Mindoro")</f>
        <v>Oriental Mindoro</v>
      </c>
      <c r="R548" s="2" t="str">
        <f>IFERROR(__xludf.DUMMYFUNCTION("""COMPUTED_VALUE"""),"4B")</f>
        <v>4B</v>
      </c>
      <c r="S548" s="2"/>
      <c r="T548" s="2"/>
    </row>
    <row r="549">
      <c r="A549" s="1">
        <f>IFERROR(__xludf.DUMMYFUNCTION("""COMPUTED_VALUE"""),547.0)</f>
        <v>547</v>
      </c>
      <c r="B549" s="2" t="str">
        <f>IFERROR(__xludf.DUMMYFUNCTION("""COMPUTED_VALUE"""),"AKLEJO FARMERS IRRIGATORS' ASSOCIATION, INC.")</f>
        <v>AKLEJO FARMERS IRRIGATORS' ASSOCIATION, INC.</v>
      </c>
      <c r="C549" s="2" t="str">
        <f>IFERROR(__xludf.DUMMYFUNCTION("""COMPUTED_VALUE"""),", Bansud, ORIENTAL MINDORO")</f>
        <v>, Bansud, ORIENTAL MINDORO</v>
      </c>
      <c r="D549" s="2" t="str">
        <f>IFERROR(__xludf.DUMMYFUNCTION("""COMPUTED_VALUE"""),"Victor F. Reano")</f>
        <v>Victor F. Reano</v>
      </c>
      <c r="E549" s="2" t="str">
        <f>IFERROR(__xludf.DUMMYFUNCTION("""COMPUTED_VALUE"""),"0918 723 7470")</f>
        <v>0918 723 7470</v>
      </c>
      <c r="F549" s="2" t="str">
        <f>IFERROR(__xludf.DUMMYFUNCTION("""COMPUTED_VALUE"""),"RCEF 24-04-15")</f>
        <v>RCEF 24-04-15</v>
      </c>
      <c r="G549" s="2">
        <f>IFERROR(__xludf.DUMMYFUNCTION("""COMPUTED_VALUE"""),7.0)</f>
        <v>7</v>
      </c>
      <c r="H549" s="2">
        <f>IFERROR(__xludf.DUMMYFUNCTION("""COMPUTED_VALUE"""),20021.0)</f>
        <v>20021</v>
      </c>
      <c r="I549" s="2" t="str">
        <f>IFERROR(__xludf.DUMMYFUNCTION("""COMPUTED_VALUE"""),"KMC5825AVRFPV0894")</f>
        <v>KMC5825AVRFPV0894</v>
      </c>
      <c r="J549" s="2" t="str">
        <f>IFERROR(__xludf.DUMMYFUNCTION("""COMPUTED_VALUE"""),"RTS100811")</f>
        <v>RTS100811</v>
      </c>
      <c r="K549" s="2" t="str">
        <f>IFERROR(__xludf.DUMMYFUNCTION("""COMPUTED_VALUE"""),"LSGW170-RMP-24101042")</f>
        <v>LSGW170-RMP-24101042</v>
      </c>
      <c r="L549" s="2" t="str">
        <f>IFERROR(__xludf.DUMMYFUNCTION("""COMPUTED_VALUE"""),"WDP40-RMP-25010077")</f>
        <v>WDP40-RMP-25010077</v>
      </c>
      <c r="M549" s="2" t="str">
        <f>IFERROR(__xludf.DUMMYFUNCTION("""COMPUTED_VALUE"""),"WR-SERIES-1210PH")</f>
        <v>WR-SERIES-1210PH</v>
      </c>
      <c r="N549" s="2"/>
      <c r="O549" s="2" t="str">
        <f>IFERROR(__xludf.DUMMYFUNCTION("""COMPUTED_VALUE"""),"")</f>
        <v/>
      </c>
      <c r="P549" s="2" t="str">
        <f>IFERROR(__xludf.DUMMYFUNCTION("""COMPUTED_VALUE"""),"Bansud")</f>
        <v>Bansud</v>
      </c>
      <c r="Q549" s="2" t="str">
        <f>IFERROR(__xludf.DUMMYFUNCTION("""COMPUTED_VALUE"""),"Oriental Mindoro")</f>
        <v>Oriental Mindoro</v>
      </c>
      <c r="R549" s="2" t="str">
        <f>IFERROR(__xludf.DUMMYFUNCTION("""COMPUTED_VALUE"""),"4B")</f>
        <v>4B</v>
      </c>
      <c r="S549" s="2"/>
      <c r="T549" s="2"/>
    </row>
    <row r="550">
      <c r="A550" s="1">
        <f>IFERROR(__xludf.DUMMYFUNCTION("""COMPUTED_VALUE"""),548.0)</f>
        <v>548</v>
      </c>
      <c r="B550" s="2" t="str">
        <f>IFERROR(__xludf.DUMMYFUNCTION("""COMPUTED_VALUE"""),"Municipal Local Governement Unit of Bulalacao")</f>
        <v>Municipal Local Governement Unit of Bulalacao</v>
      </c>
      <c r="C550" s="2" t="str">
        <f>IFERROR(__xludf.DUMMYFUNCTION("""COMPUTED_VALUE"""),"Poblacion, Bulalacao, ORIENTAL MINDORO")</f>
        <v>Poblacion, Bulalacao, ORIENTAL MINDORO</v>
      </c>
      <c r="D550" s="2" t="str">
        <f>IFERROR(__xludf.DUMMYFUNCTION("""COMPUTED_VALUE"""),"Hon. Ernilo C. Villas")</f>
        <v>Hon. Ernilo C. Villas</v>
      </c>
      <c r="E550" s="2" t="str">
        <f>IFERROR(__xludf.DUMMYFUNCTION("""COMPUTED_VALUE"""),"0947 997 5147")</f>
        <v>0947 997 5147</v>
      </c>
      <c r="F550" s="2" t="str">
        <f>IFERROR(__xludf.DUMMYFUNCTION("""COMPUTED_VALUE"""),"RCEF 24-04-15")</f>
        <v>RCEF 24-04-15</v>
      </c>
      <c r="G550" s="2">
        <f>IFERROR(__xludf.DUMMYFUNCTION("""COMPUTED_VALUE"""),7.0)</f>
        <v>7</v>
      </c>
      <c r="H550" s="2">
        <f>IFERROR(__xludf.DUMMYFUNCTION("""COMPUTED_VALUE"""),20022.0)</f>
        <v>20022</v>
      </c>
      <c r="I550" s="2" t="str">
        <f>IFERROR(__xludf.DUMMYFUNCTION("""COMPUTED_VALUE"""),"KMC5825ATRFPV0791")</f>
        <v>KMC5825ATRFPV0791</v>
      </c>
      <c r="J550" s="2" t="str">
        <f>IFERROR(__xludf.DUMMYFUNCTION("""COMPUTED_VALUE"""),"RTS100679")</f>
        <v>RTS100679</v>
      </c>
      <c r="K550" s="2" t="str">
        <f>IFERROR(__xludf.DUMMYFUNCTION("""COMPUTED_VALUE"""),"LSGW170-RMP-24100968")</f>
        <v>LSGW170-RMP-24100968</v>
      </c>
      <c r="L550" s="2" t="str">
        <f>IFERROR(__xludf.DUMMYFUNCTION("""COMPUTED_VALUE"""),"WDP40-RMP-25010115")</f>
        <v>WDP40-RMP-25010115</v>
      </c>
      <c r="M550" s="2" t="str">
        <f>IFERROR(__xludf.DUMMYFUNCTION("""COMPUTED_VALUE"""),"WR-SERIES-1085PH")</f>
        <v>WR-SERIES-1085PH</v>
      </c>
      <c r="N550" s="2"/>
      <c r="O550" s="2" t="str">
        <f>IFERROR(__xludf.DUMMYFUNCTION("""COMPUTED_VALUE"""),"Poblacion")</f>
        <v>Poblacion</v>
      </c>
      <c r="P550" s="2" t="str">
        <f>IFERROR(__xludf.DUMMYFUNCTION("""COMPUTED_VALUE"""),"Bulalacao")</f>
        <v>Bulalacao</v>
      </c>
      <c r="Q550" s="2" t="str">
        <f>IFERROR(__xludf.DUMMYFUNCTION("""COMPUTED_VALUE"""),"Oriental Mindoro")</f>
        <v>Oriental Mindoro</v>
      </c>
      <c r="R550" s="2" t="str">
        <f>IFERROR(__xludf.DUMMYFUNCTION("""COMPUTED_VALUE"""),"4B")</f>
        <v>4B</v>
      </c>
      <c r="S550" s="2"/>
      <c r="T550" s="2"/>
    </row>
    <row r="551">
      <c r="A551" s="1">
        <f>IFERROR(__xludf.DUMMYFUNCTION("""COMPUTED_VALUE"""),549.0)</f>
        <v>549</v>
      </c>
      <c r="B551" s="2" t="str">
        <f>IFERROR(__xludf.DUMMYFUNCTION("""COMPUTED_VALUE"""),"BANUTAN FARMERS ASSOCIATION")</f>
        <v>BANUTAN FARMERS ASSOCIATION</v>
      </c>
      <c r="C551" s="2" t="str">
        <f>IFERROR(__xludf.DUMMYFUNCTION("""COMPUTED_VALUE"""),"Banutan, Gloria, ORIENTAL MINDORO")</f>
        <v>Banutan, Gloria, ORIENTAL MINDORO</v>
      </c>
      <c r="D551" s="2" t="str">
        <f>IFERROR(__xludf.DUMMYFUNCTION("""COMPUTED_VALUE"""),"Manuel V. Yap")</f>
        <v>Manuel V. Yap</v>
      </c>
      <c r="E551" s="2" t="str">
        <f>IFERROR(__xludf.DUMMYFUNCTION("""COMPUTED_VALUE"""),"0976 381 6414(officer)")</f>
        <v>0976 381 6414(officer)</v>
      </c>
      <c r="F551" s="2" t="str">
        <f>IFERROR(__xludf.DUMMYFUNCTION("""COMPUTED_VALUE"""),"RCEF 24-04-15")</f>
        <v>RCEF 24-04-15</v>
      </c>
      <c r="G551" s="2">
        <f>IFERROR(__xludf.DUMMYFUNCTION("""COMPUTED_VALUE"""),7.0)</f>
        <v>7</v>
      </c>
      <c r="H551" s="2">
        <f>IFERROR(__xludf.DUMMYFUNCTION("""COMPUTED_VALUE"""),20023.0)</f>
        <v>20023</v>
      </c>
      <c r="I551" s="2" t="str">
        <f>IFERROR(__xludf.DUMMYFUNCTION("""COMPUTED_VALUE"""),"KMC5825AVRFPV0961")</f>
        <v>KMC5825AVRFPV0961</v>
      </c>
      <c r="J551" s="2" t="str">
        <f>IFERROR(__xludf.DUMMYFUNCTION("""COMPUTED_VALUE"""),"RTS100667")</f>
        <v>RTS100667</v>
      </c>
      <c r="K551" s="2" t="str">
        <f>IFERROR(__xludf.DUMMYFUNCTION("""COMPUTED_VALUE"""),"LSGW170-RMP-24080760")</f>
        <v>LSGW170-RMP-24080760</v>
      </c>
      <c r="L551" s="2" t="str">
        <f>IFERROR(__xludf.DUMMYFUNCTION("""COMPUTED_VALUE"""),"WDP40-RMP-25010126")</f>
        <v>WDP40-RMP-25010126</v>
      </c>
      <c r="M551" s="2" t="str">
        <f>IFERROR(__xludf.DUMMYFUNCTION("""COMPUTED_VALUE"""),"WR-SERIES-1224PH")</f>
        <v>WR-SERIES-1224PH</v>
      </c>
      <c r="N551" s="2"/>
      <c r="O551" s="2" t="str">
        <f>IFERROR(__xludf.DUMMYFUNCTION("""COMPUTED_VALUE"""),"Banutan")</f>
        <v>Banutan</v>
      </c>
      <c r="P551" s="2" t="str">
        <f>IFERROR(__xludf.DUMMYFUNCTION("""COMPUTED_VALUE"""),"Gloria")</f>
        <v>Gloria</v>
      </c>
      <c r="Q551" s="2" t="str">
        <f>IFERROR(__xludf.DUMMYFUNCTION("""COMPUTED_VALUE"""),"Oriental Mindoro")</f>
        <v>Oriental Mindoro</v>
      </c>
      <c r="R551" s="2" t="str">
        <f>IFERROR(__xludf.DUMMYFUNCTION("""COMPUTED_VALUE"""),"4B")</f>
        <v>4B</v>
      </c>
      <c r="S551" s="2"/>
      <c r="T551" s="2"/>
    </row>
    <row r="552">
      <c r="A552" s="1">
        <f>IFERROR(__xludf.DUMMYFUNCTION("""COMPUTED_VALUE"""),550.0)</f>
        <v>550</v>
      </c>
      <c r="B552" s="2" t="str">
        <f>IFERROR(__xludf.DUMMYFUNCTION("""COMPUTED_VALUE"""),"GUIMBONAN FARMERS ASSOCIATION")</f>
        <v>GUIMBONAN FARMERS ASSOCIATION</v>
      </c>
      <c r="C552" s="2" t="str">
        <f>IFERROR(__xludf.DUMMYFUNCTION("""COMPUTED_VALUE"""),"Guimbonan, Gloria, ORIENTAL MINDORO")</f>
        <v>Guimbonan, Gloria, ORIENTAL MINDORO</v>
      </c>
      <c r="D552" s="2" t="str">
        <f>IFERROR(__xludf.DUMMYFUNCTION("""COMPUTED_VALUE"""),"Randy S. Mampusti")</f>
        <v>Randy S. Mampusti</v>
      </c>
      <c r="E552" s="2" t="str">
        <f>IFERROR(__xludf.DUMMYFUNCTION("""COMPUTED_VALUE"""),"0949 670 4178")</f>
        <v>0949 670 4178</v>
      </c>
      <c r="F552" s="2" t="str">
        <f>IFERROR(__xludf.DUMMYFUNCTION("""COMPUTED_VALUE"""),"RCEF 24-04-15")</f>
        <v>RCEF 24-04-15</v>
      </c>
      <c r="G552" s="2">
        <f>IFERROR(__xludf.DUMMYFUNCTION("""COMPUTED_VALUE"""),7.0)</f>
        <v>7</v>
      </c>
      <c r="H552" s="2">
        <f>IFERROR(__xludf.DUMMYFUNCTION("""COMPUTED_VALUE"""),20024.0)</f>
        <v>20024</v>
      </c>
      <c r="I552" s="2" t="str">
        <f>IFERROR(__xludf.DUMMYFUNCTION("""COMPUTED_VALUE"""),"KMC5825AKRFPV0874")</f>
        <v>KMC5825AKRFPV0874</v>
      </c>
      <c r="J552" s="2" t="str">
        <f>IFERROR(__xludf.DUMMYFUNCTION("""COMPUTED_VALUE"""),"RTS100778")</f>
        <v>RTS100778</v>
      </c>
      <c r="K552" s="2" t="str">
        <f>IFERROR(__xludf.DUMMYFUNCTION("""COMPUTED_VALUE"""),"LSGW170-RMP-24101040")</f>
        <v>LSGW170-RMP-24101040</v>
      </c>
      <c r="L552" s="2" t="str">
        <f>IFERROR(__xludf.DUMMYFUNCTION("""COMPUTED_VALUE"""),"WDP40-RMP-25010080")</f>
        <v>WDP40-RMP-25010080</v>
      </c>
      <c r="M552" s="2" t="str">
        <f>IFERROR(__xludf.DUMMYFUNCTION("""COMPUTED_VALUE"""),"WR-SERIES-1113PH")</f>
        <v>WR-SERIES-1113PH</v>
      </c>
      <c r="N552" s="2"/>
      <c r="O552" s="2" t="str">
        <f>IFERROR(__xludf.DUMMYFUNCTION("""COMPUTED_VALUE"""),"Guimbonan")</f>
        <v>Guimbonan</v>
      </c>
      <c r="P552" s="2" t="str">
        <f>IFERROR(__xludf.DUMMYFUNCTION("""COMPUTED_VALUE"""),"Gloria")</f>
        <v>Gloria</v>
      </c>
      <c r="Q552" s="2" t="str">
        <f>IFERROR(__xludf.DUMMYFUNCTION("""COMPUTED_VALUE"""),"Oriental Mindoro")</f>
        <v>Oriental Mindoro</v>
      </c>
      <c r="R552" s="2" t="str">
        <f>IFERROR(__xludf.DUMMYFUNCTION("""COMPUTED_VALUE"""),"4B")</f>
        <v>4B</v>
      </c>
      <c r="S552" s="2"/>
      <c r="T552" s="2"/>
    </row>
    <row r="553">
      <c r="A553" s="1">
        <f>IFERROR(__xludf.DUMMYFUNCTION("""COMPUTED_VALUE"""),551.0)</f>
        <v>551</v>
      </c>
      <c r="B553" s="2" t="str">
        <f>IFERROR(__xludf.DUMMYFUNCTION("""COMPUTED_VALUE"""),"PALAYAN (PINAMALAYAN) FARMER'S ASSOCIATION, INC.")</f>
        <v>PALAYAN (PINAMALAYAN) FARMER'S ASSOCIATION, INC.</v>
      </c>
      <c r="C553" s="2" t="str">
        <f>IFERROR(__xludf.DUMMYFUNCTION("""COMPUTED_VALUE"""),"Palayan, Pinamalayan, ORIENTAL MINDORO")</f>
        <v>Palayan, Pinamalayan, ORIENTAL MINDORO</v>
      </c>
      <c r="D553" s="2" t="str">
        <f>IFERROR(__xludf.DUMMYFUNCTION("""COMPUTED_VALUE"""),"Pedrito M. Mercene")</f>
        <v>Pedrito M. Mercene</v>
      </c>
      <c r="E553" s="2" t="str">
        <f>IFERROR(__xludf.DUMMYFUNCTION("""COMPUTED_VALUE"""),"0920 610 3514")</f>
        <v>0920 610 3514</v>
      </c>
      <c r="F553" s="2" t="str">
        <f>IFERROR(__xludf.DUMMYFUNCTION("""COMPUTED_VALUE"""),"RCEF 24-04-15")</f>
        <v>RCEF 24-04-15</v>
      </c>
      <c r="G553" s="2">
        <f>IFERROR(__xludf.DUMMYFUNCTION("""COMPUTED_VALUE"""),7.0)</f>
        <v>7</v>
      </c>
      <c r="H553" s="2">
        <f>IFERROR(__xludf.DUMMYFUNCTION("""COMPUTED_VALUE"""),20025.0)</f>
        <v>20025</v>
      </c>
      <c r="I553" s="2" t="str">
        <f>IFERROR(__xludf.DUMMYFUNCTION("""COMPUTED_VALUE"""),"KMC5825AARFPV0895")</f>
        <v>KMC5825AARFPV0895</v>
      </c>
      <c r="J553" s="2" t="str">
        <f>IFERROR(__xludf.DUMMYFUNCTION("""COMPUTED_VALUE"""),"RTS100820")</f>
        <v>RTS100820</v>
      </c>
      <c r="K553" s="2" t="str">
        <f>IFERROR(__xludf.DUMMYFUNCTION("""COMPUTED_VALUE"""),"LSGW170-RMP-2408759")</f>
        <v>LSGW170-RMP-2408759</v>
      </c>
      <c r="L553" s="2" t="str">
        <f>IFERROR(__xludf.DUMMYFUNCTION("""COMPUTED_VALUE"""),"WDP40-RMP-25010117")</f>
        <v>WDP40-RMP-25010117</v>
      </c>
      <c r="M553" s="2" t="str">
        <f>IFERROR(__xludf.DUMMYFUNCTION("""COMPUTED_VALUE"""),"WR-SERIES-1074PH")</f>
        <v>WR-SERIES-1074PH</v>
      </c>
      <c r="N553" s="2"/>
      <c r="O553" s="2" t="str">
        <f>IFERROR(__xludf.DUMMYFUNCTION("""COMPUTED_VALUE"""),"Palayan")</f>
        <v>Palayan</v>
      </c>
      <c r="P553" s="2" t="str">
        <f>IFERROR(__xludf.DUMMYFUNCTION("""COMPUTED_VALUE"""),"Pinamalayan")</f>
        <v>Pinamalayan</v>
      </c>
      <c r="Q553" s="2" t="str">
        <f>IFERROR(__xludf.DUMMYFUNCTION("""COMPUTED_VALUE"""),"Oriental Mindoro")</f>
        <v>Oriental Mindoro</v>
      </c>
      <c r="R553" s="2" t="str">
        <f>IFERROR(__xludf.DUMMYFUNCTION("""COMPUTED_VALUE"""),"4B")</f>
        <v>4B</v>
      </c>
      <c r="S553" s="2"/>
      <c r="T553" s="2"/>
    </row>
    <row r="554">
      <c r="A554" s="1">
        <f>IFERROR(__xludf.DUMMYFUNCTION("""COMPUTED_VALUE"""),552.0)</f>
        <v>552</v>
      </c>
      <c r="B554" s="2" t="str">
        <f>IFERROR(__xludf.DUMMYFUNCTION("""COMPUTED_VALUE"""),"Municipal Government Unit of Malinao")</f>
        <v>Municipal Government Unit of Malinao</v>
      </c>
      <c r="C554" s="2" t="str">
        <f>IFERROR(__xludf.DUMMYFUNCTION("""COMPUTED_VALUE"""),"Poblacion, Malinao, ALBAY")</f>
        <v>Poblacion, Malinao, ALBAY</v>
      </c>
      <c r="D554" s="2" t="str">
        <f>IFERROR(__xludf.DUMMYFUNCTION("""COMPUTED_VALUE"""),"Hon. Sheryl C. Bilo")</f>
        <v>Hon. Sheryl C. Bilo</v>
      </c>
      <c r="E554" s="2" t="str">
        <f>IFERROR(__xludf.DUMMYFUNCTION("""COMPUTED_VALUE"""),"0998 558 6980")</f>
        <v>0998 558 6980</v>
      </c>
      <c r="F554" s="2" t="str">
        <f>IFERROR(__xludf.DUMMYFUNCTION("""COMPUTED_VALUE"""),"RCEF 24-04-15")</f>
        <v>RCEF 24-04-15</v>
      </c>
      <c r="G554" s="2">
        <f>IFERROR(__xludf.DUMMYFUNCTION("""COMPUTED_VALUE"""),7.0)</f>
        <v>7</v>
      </c>
      <c r="H554" s="2">
        <f>IFERROR(__xludf.DUMMYFUNCTION("""COMPUTED_VALUE"""),20026.0)</f>
        <v>20026</v>
      </c>
      <c r="I554" s="2" t="str">
        <f>IFERROR(__xludf.DUMMYFUNCTION("""COMPUTED_VALUE"""),"KMC5825ACRFPV0949")</f>
        <v>KMC5825ACRFPV0949</v>
      </c>
      <c r="J554" s="2" t="str">
        <f>IFERROR(__xludf.DUMMYFUNCTION("""COMPUTED_VALUE"""),"RTS100828")</f>
        <v>RTS100828</v>
      </c>
      <c r="K554" s="2" t="str">
        <f>IFERROR(__xludf.DUMMYFUNCTION("""COMPUTED_VALUE"""),"LSGW170-RMP-24111151")</f>
        <v>LSGW170-RMP-24111151</v>
      </c>
      <c r="L554" s="2" t="str">
        <f>IFERROR(__xludf.DUMMYFUNCTION("""COMPUTED_VALUE"""),"WDP40-RMP-25010096")</f>
        <v>WDP40-RMP-25010096</v>
      </c>
      <c r="M554" s="2" t="str">
        <f>IFERROR(__xludf.DUMMYFUNCTION("""COMPUTED_VALUE"""),"WR-SERIES-1198PH")</f>
        <v>WR-SERIES-1198PH</v>
      </c>
      <c r="N554" s="2"/>
      <c r="O554" s="2" t="str">
        <f>IFERROR(__xludf.DUMMYFUNCTION("""COMPUTED_VALUE"""),"Poblacion")</f>
        <v>Poblacion</v>
      </c>
      <c r="P554" s="2" t="str">
        <f>IFERROR(__xludf.DUMMYFUNCTION("""COMPUTED_VALUE"""),"Malinao")</f>
        <v>Malinao</v>
      </c>
      <c r="Q554" s="2" t="str">
        <f>IFERROR(__xludf.DUMMYFUNCTION("""COMPUTED_VALUE"""),"Albay")</f>
        <v>Albay</v>
      </c>
      <c r="R554" s="2">
        <f>IFERROR(__xludf.DUMMYFUNCTION("""COMPUTED_VALUE"""),5.0)</f>
        <v>5</v>
      </c>
      <c r="S554" s="2"/>
      <c r="T554" s="2"/>
    </row>
    <row r="555">
      <c r="A555" s="1">
        <f>IFERROR(__xludf.DUMMYFUNCTION("""COMPUTED_VALUE"""),553.0)</f>
        <v>553</v>
      </c>
      <c r="B555" s="2" t="str">
        <f>IFERROR(__xludf.DUMMYFUNCTION("""COMPUTED_VALUE"""),"BELEN FARMERS &amp; FARM WORKER'S ASSN., INC")</f>
        <v>BELEN FARMERS &amp; FARM WORKER'S ASSN., INC</v>
      </c>
      <c r="C555" s="2" t="str">
        <f>IFERROR(__xludf.DUMMYFUNCTION("""COMPUTED_VALUE"""),"Belen (Malabog), Tiwi, ALBAY")</f>
        <v>Belen (Malabog), Tiwi, ALBAY</v>
      </c>
      <c r="D555" s="2" t="str">
        <f>IFERROR(__xludf.DUMMYFUNCTION("""COMPUTED_VALUE"""),"Edmundo C. Cortuna")</f>
        <v>Edmundo C. Cortuna</v>
      </c>
      <c r="E555" s="2" t="str">
        <f>IFERROR(__xludf.DUMMYFUNCTION("""COMPUTED_VALUE"""),"0906 2396 605")</f>
        <v>0906 2396 605</v>
      </c>
      <c r="F555" s="2" t="str">
        <f>IFERROR(__xludf.DUMMYFUNCTION("""COMPUTED_VALUE"""),"RCEF 24-04-15")</f>
        <v>RCEF 24-04-15</v>
      </c>
      <c r="G555" s="2">
        <f>IFERROR(__xludf.DUMMYFUNCTION("""COMPUTED_VALUE"""),7.0)</f>
        <v>7</v>
      </c>
      <c r="H555" s="2">
        <f>IFERROR(__xludf.DUMMYFUNCTION("""COMPUTED_VALUE"""),20027.0)</f>
        <v>20027</v>
      </c>
      <c r="I555" s="2" t="str">
        <f>IFERROR(__xludf.DUMMYFUNCTION("""COMPUTED_VALUE"""),"KMC5825ATRFPV0970")</f>
        <v>KMC5825ATRFPV0970</v>
      </c>
      <c r="J555" s="2" t="str">
        <f>IFERROR(__xludf.DUMMYFUNCTION("""COMPUTED_VALUE"""),"RTS100661")</f>
        <v>RTS100661</v>
      </c>
      <c r="K555" s="2" t="str">
        <f>IFERROR(__xludf.DUMMYFUNCTION("""COMPUTED_VALUE"""),"LSGW170-RMP-24111133")</f>
        <v>LSGW170-RMP-24111133</v>
      </c>
      <c r="L555" s="2" t="str">
        <f>IFERROR(__xludf.DUMMYFUNCTION("""COMPUTED_VALUE"""),"WDP40-RMP-25010097")</f>
        <v>WDP40-RMP-25010097</v>
      </c>
      <c r="M555" s="2" t="str">
        <f>IFERROR(__xludf.DUMMYFUNCTION("""COMPUTED_VALUE"""),"WR-SERIES-1237PH")</f>
        <v>WR-SERIES-1237PH</v>
      </c>
      <c r="N555" s="2"/>
      <c r="O555" s="2" t="str">
        <f>IFERROR(__xludf.DUMMYFUNCTION("""COMPUTED_VALUE"""),"Belen (Malabog)")</f>
        <v>Belen (Malabog)</v>
      </c>
      <c r="P555" s="2" t="str">
        <f>IFERROR(__xludf.DUMMYFUNCTION("""COMPUTED_VALUE"""),"Tiwi")</f>
        <v>Tiwi</v>
      </c>
      <c r="Q555" s="2" t="str">
        <f>IFERROR(__xludf.DUMMYFUNCTION("""COMPUTED_VALUE"""),"Albay")</f>
        <v>Albay</v>
      </c>
      <c r="R555" s="2">
        <f>IFERROR(__xludf.DUMMYFUNCTION("""COMPUTED_VALUE"""),5.0)</f>
        <v>5</v>
      </c>
      <c r="S555" s="2"/>
      <c r="T555" s="2"/>
    </row>
    <row r="556">
      <c r="A556" s="1">
        <f>IFERROR(__xludf.DUMMYFUNCTION("""COMPUTED_VALUE"""),554.0)</f>
        <v>554</v>
      </c>
      <c r="B556" s="2" t="str">
        <f>IFERROR(__xludf.DUMMYFUNCTION("""COMPUTED_VALUE"""),"BALOPAPU FARMERS ASSOCIATION, INC.")</f>
        <v>BALOPAPU FARMERS ASSOCIATION, INC.</v>
      </c>
      <c r="C556" s="2" t="str">
        <f>IFERROR(__xludf.DUMMYFUNCTION("""COMPUTED_VALUE"""),"Barayong, Ligao City, ALBAY")</f>
        <v>Barayong, Ligao City, ALBAY</v>
      </c>
      <c r="D556" s="2" t="str">
        <f>IFERROR(__xludf.DUMMYFUNCTION("""COMPUTED_VALUE"""),"Eduardo P. Retalo")</f>
        <v>Eduardo P. Retalo</v>
      </c>
      <c r="E556" s="2" t="str">
        <f>IFERROR(__xludf.DUMMYFUNCTION("""COMPUTED_VALUE"""),"0912 3957 713")</f>
        <v>0912 3957 713</v>
      </c>
      <c r="F556" s="2" t="str">
        <f>IFERROR(__xludf.DUMMYFUNCTION("""COMPUTED_VALUE"""),"RCEF 24-04-15")</f>
        <v>RCEF 24-04-15</v>
      </c>
      <c r="G556" s="2">
        <f>IFERROR(__xludf.DUMMYFUNCTION("""COMPUTED_VALUE"""),7.0)</f>
        <v>7</v>
      </c>
      <c r="H556" s="2">
        <f>IFERROR(__xludf.DUMMYFUNCTION("""COMPUTED_VALUE"""),20030.0)</f>
        <v>20030</v>
      </c>
      <c r="I556" s="2" t="str">
        <f>IFERROR(__xludf.DUMMYFUNCTION("""COMPUTED_VALUE"""),"KMC5825ATRFPV0869")</f>
        <v>KMC5825ATRFPV0869</v>
      </c>
      <c r="J556" s="2" t="str">
        <f>IFERROR(__xludf.DUMMYFUNCTION("""COMPUTED_VALUE"""),"RTS100779")</f>
        <v>RTS100779</v>
      </c>
      <c r="K556" s="2" t="str">
        <f>IFERROR(__xludf.DUMMYFUNCTION("""COMPUTED_VALUE"""),"LSGW170-RMP-24100989")</f>
        <v>LSGW170-RMP-24100989</v>
      </c>
      <c r="L556" s="2" t="str">
        <f>IFERROR(__xludf.DUMMYFUNCTION("""COMPUTED_VALUE"""),"WDP40-RMP-25010078")</f>
        <v>WDP40-RMP-25010078</v>
      </c>
      <c r="M556" s="2" t="str">
        <f>IFERROR(__xludf.DUMMYFUNCTION("""COMPUTED_VALUE"""),"WR-SERIES-1081PH")</f>
        <v>WR-SERIES-1081PH</v>
      </c>
      <c r="N556" s="2"/>
      <c r="O556" s="2" t="str">
        <f>IFERROR(__xludf.DUMMYFUNCTION("""COMPUTED_VALUE"""),"Barayong")</f>
        <v>Barayong</v>
      </c>
      <c r="P556" s="2" t="str">
        <f>IFERROR(__xludf.DUMMYFUNCTION("""COMPUTED_VALUE"""),"Ligao City")</f>
        <v>Ligao City</v>
      </c>
      <c r="Q556" s="2" t="str">
        <f>IFERROR(__xludf.DUMMYFUNCTION("""COMPUTED_VALUE"""),"Albay")</f>
        <v>Albay</v>
      </c>
      <c r="R556" s="2">
        <f>IFERROR(__xludf.DUMMYFUNCTION("""COMPUTED_VALUE"""),5.0)</f>
        <v>5</v>
      </c>
      <c r="S556" s="2"/>
      <c r="T556" s="2"/>
    </row>
    <row r="557">
      <c r="A557" s="1">
        <f>IFERROR(__xludf.DUMMYFUNCTION("""COMPUTED_VALUE"""),555.0)</f>
        <v>555</v>
      </c>
      <c r="B557" s="2" t="str">
        <f>IFERROR(__xludf.DUMMYFUNCTION("""COMPUTED_VALUE"""),"BAY FARMERS ASSOCIATION (BaFAss)")</f>
        <v>BAY FARMERS ASSOCIATION (BaFAss)</v>
      </c>
      <c r="C557" s="2" t="str">
        <f>IFERROR(__xludf.DUMMYFUNCTION("""COMPUTED_VALUE"""),"Bay, Ligao City, ALBAY")</f>
        <v>Bay, Ligao City, ALBAY</v>
      </c>
      <c r="D557" s="2" t="str">
        <f>IFERROR(__xludf.DUMMYFUNCTION("""COMPUTED_VALUE"""),"Evangeline M. Seming")</f>
        <v>Evangeline M. Seming</v>
      </c>
      <c r="E557" s="2" t="str">
        <f>IFERROR(__xludf.DUMMYFUNCTION("""COMPUTED_VALUE"""),"0975 5080 710")</f>
        <v>0975 5080 710</v>
      </c>
      <c r="F557" s="2" t="str">
        <f>IFERROR(__xludf.DUMMYFUNCTION("""COMPUTED_VALUE"""),"RCEF 24-04-15")</f>
        <v>RCEF 24-04-15</v>
      </c>
      <c r="G557" s="2">
        <f>IFERROR(__xludf.DUMMYFUNCTION("""COMPUTED_VALUE"""),7.0)</f>
        <v>7</v>
      </c>
      <c r="H557" s="2">
        <f>IFERROR(__xludf.DUMMYFUNCTION("""COMPUTED_VALUE"""),20031.0)</f>
        <v>20031</v>
      </c>
      <c r="I557" s="2" t="str">
        <f>IFERROR(__xludf.DUMMYFUNCTION("""COMPUTED_VALUE"""),"KMC5825AVRFPV0863")</f>
        <v>KMC5825AVRFPV0863</v>
      </c>
      <c r="J557" s="2" t="str">
        <f>IFERROR(__xludf.DUMMYFUNCTION("""COMPUTED_VALUE"""),"RTS100791")</f>
        <v>RTS100791</v>
      </c>
      <c r="K557" s="2" t="str">
        <f>IFERROR(__xludf.DUMMYFUNCTION("""COMPUTED_VALUE"""),"LSGW170-RMP-24080763")</f>
        <v>LSGW170-RMP-24080763</v>
      </c>
      <c r="L557" s="2" t="str">
        <f>IFERROR(__xludf.DUMMYFUNCTION("""COMPUTED_VALUE"""),"WDP40-RMP-25010106")</f>
        <v>WDP40-RMP-25010106</v>
      </c>
      <c r="M557" s="2" t="str">
        <f>IFERROR(__xludf.DUMMYFUNCTION("""COMPUTED_VALUE"""),"WR-SERIES-1204PH")</f>
        <v>WR-SERIES-1204PH</v>
      </c>
      <c r="N557" s="2"/>
      <c r="O557" s="2" t="str">
        <f>IFERROR(__xludf.DUMMYFUNCTION("""COMPUTED_VALUE"""),"Bay")</f>
        <v>Bay</v>
      </c>
      <c r="P557" s="2" t="str">
        <f>IFERROR(__xludf.DUMMYFUNCTION("""COMPUTED_VALUE"""),"Ligao City")</f>
        <v>Ligao City</v>
      </c>
      <c r="Q557" s="2" t="str">
        <f>IFERROR(__xludf.DUMMYFUNCTION("""COMPUTED_VALUE"""),"Albay")</f>
        <v>Albay</v>
      </c>
      <c r="R557" s="2">
        <f>IFERROR(__xludf.DUMMYFUNCTION("""COMPUTED_VALUE"""),5.0)</f>
        <v>5</v>
      </c>
      <c r="S557" s="2"/>
      <c r="T557" s="2"/>
    </row>
    <row r="558">
      <c r="A558" s="1">
        <f>IFERROR(__xludf.DUMMYFUNCTION("""COMPUTED_VALUE"""),556.0)</f>
        <v>556</v>
      </c>
      <c r="B558" s="2" t="str">
        <f>IFERROR(__xludf.DUMMYFUNCTION("""COMPUTED_VALUE"""),"City Government Unit of Ligao City")</f>
        <v>City Government Unit of Ligao City</v>
      </c>
      <c r="C558" s="2" t="str">
        <f>IFERROR(__xludf.DUMMYFUNCTION("""COMPUTED_VALUE"""),"Santa Cruz (Pob.), Ligao City, ALBAY")</f>
        <v>Santa Cruz (Pob.), Ligao City, ALBAY</v>
      </c>
      <c r="D558" s="2" t="str">
        <f>IFERROR(__xludf.DUMMYFUNCTION("""COMPUTED_VALUE"""),"Hon. Fernando V. Gonzalez")</f>
        <v>Hon. Fernando V. Gonzalez</v>
      </c>
      <c r="E558" s="2" t="str">
        <f>IFERROR(__xludf.DUMMYFUNCTION("""COMPUTED_VALUE"""),"0999 411 4002")</f>
        <v>0999 411 4002</v>
      </c>
      <c r="F558" s="2" t="str">
        <f>IFERROR(__xludf.DUMMYFUNCTION("""COMPUTED_VALUE"""),"RCEF 24-04-15")</f>
        <v>RCEF 24-04-15</v>
      </c>
      <c r="G558" s="2">
        <f>IFERROR(__xludf.DUMMYFUNCTION("""COMPUTED_VALUE"""),7.0)</f>
        <v>7</v>
      </c>
      <c r="H558" s="2">
        <f>IFERROR(__xludf.DUMMYFUNCTION("""COMPUTED_VALUE"""),20032.0)</f>
        <v>20032</v>
      </c>
      <c r="I558" s="2" t="str">
        <f>IFERROR(__xludf.DUMMYFUNCTION("""COMPUTED_VALUE"""),"KMC5825AARFPV0931")</f>
        <v>KMC5825AARFPV0931</v>
      </c>
      <c r="J558" s="2" t="str">
        <f>IFERROR(__xludf.DUMMYFUNCTION("""COMPUTED_VALUE"""),"RTS100751")</f>
        <v>RTS100751</v>
      </c>
      <c r="K558" s="2" t="str">
        <f>IFERROR(__xludf.DUMMYFUNCTION("""COMPUTED_VALUE"""),"LSGW170-RMP-24100969")</f>
        <v>LSGW170-RMP-24100969</v>
      </c>
      <c r="L558" s="2" t="str">
        <f>IFERROR(__xludf.DUMMYFUNCTION("""COMPUTED_VALUE"""),"WDP40-RMP-24121463")</f>
        <v>WDP40-RMP-24121463</v>
      </c>
      <c r="M558" s="2" t="str">
        <f>IFERROR(__xludf.DUMMYFUNCTION("""COMPUTED_VALUE"""),"WR-SERIES-1111PH")</f>
        <v>WR-SERIES-1111PH</v>
      </c>
      <c r="N558" s="2"/>
      <c r="O558" s="2" t="str">
        <f>IFERROR(__xludf.DUMMYFUNCTION("""COMPUTED_VALUE"""),"Santa Cruz (Pob.)")</f>
        <v>Santa Cruz (Pob.)</v>
      </c>
      <c r="P558" s="2" t="str">
        <f>IFERROR(__xludf.DUMMYFUNCTION("""COMPUTED_VALUE"""),"Ligao City")</f>
        <v>Ligao City</v>
      </c>
      <c r="Q558" s="2" t="str">
        <f>IFERROR(__xludf.DUMMYFUNCTION("""COMPUTED_VALUE"""),"Albay")</f>
        <v>Albay</v>
      </c>
      <c r="R558" s="2">
        <f>IFERROR(__xludf.DUMMYFUNCTION("""COMPUTED_VALUE"""),5.0)</f>
        <v>5</v>
      </c>
      <c r="S558" s="2"/>
      <c r="T558" s="2"/>
    </row>
    <row r="559">
      <c r="A559" s="1">
        <f>IFERROR(__xludf.DUMMYFUNCTION("""COMPUTED_VALUE"""),557.0)</f>
        <v>557</v>
      </c>
      <c r="B559" s="2" t="str">
        <f>IFERROR(__xludf.DUMMYFUNCTION("""COMPUTED_VALUE"""),"TINAGO DIVINO ROSTRO FARMERS ASSOCIATION (TIDIROFA)")</f>
        <v>TINAGO DIVINO ROSTRO FARMERS ASSOCIATION (TIDIROFA)</v>
      </c>
      <c r="C559" s="2" t="str">
        <f>IFERROR(__xludf.DUMMYFUNCTION("""COMPUTED_VALUE"""),"Tinago, Ligao City, ALBAY")</f>
        <v>Tinago, Ligao City, ALBAY</v>
      </c>
      <c r="D559" s="2" t="str">
        <f>IFERROR(__xludf.DUMMYFUNCTION("""COMPUTED_VALUE"""),"Rafael N. Buenavente")</f>
        <v>Rafael N. Buenavente</v>
      </c>
      <c r="E559" s="2" t="str">
        <f>IFERROR(__xludf.DUMMYFUNCTION("""COMPUTED_VALUE"""),"0961-0512-904")</f>
        <v>0961-0512-904</v>
      </c>
      <c r="F559" s="2" t="str">
        <f>IFERROR(__xludf.DUMMYFUNCTION("""COMPUTED_VALUE"""),"RCEF 24-04-15")</f>
        <v>RCEF 24-04-15</v>
      </c>
      <c r="G559" s="2">
        <f>IFERROR(__xludf.DUMMYFUNCTION("""COMPUTED_VALUE"""),7.0)</f>
        <v>7</v>
      </c>
      <c r="H559" s="2">
        <f>IFERROR(__xludf.DUMMYFUNCTION("""COMPUTED_VALUE"""),20033.0)</f>
        <v>20033</v>
      </c>
      <c r="I559" s="2" t="str">
        <f>IFERROR(__xludf.DUMMYFUNCTION("""COMPUTED_VALUE"""),"KMC5825ACRFPV0921")</f>
        <v>KMC5825ACRFPV0921</v>
      </c>
      <c r="J559" s="2" t="str">
        <f>IFERROR(__xludf.DUMMYFUNCTION("""COMPUTED_VALUE"""),"RTS100744")</f>
        <v>RTS100744</v>
      </c>
      <c r="K559" s="2" t="str">
        <f>IFERROR(__xludf.DUMMYFUNCTION("""COMPUTED_VALUE"""),"LSGW170-RMP-24080738")</f>
        <v>LSGW170-RMP-24080738</v>
      </c>
      <c r="L559" s="2" t="str">
        <f>IFERROR(__xludf.DUMMYFUNCTION("""COMPUTED_VALUE"""),"WDP40-RMP-24121489")</f>
        <v>WDP40-RMP-24121489</v>
      </c>
      <c r="M559" s="2" t="str">
        <f>IFERROR(__xludf.DUMMYFUNCTION("""COMPUTED_VALUE"""),"WR-SERIES-1004PH")</f>
        <v>WR-SERIES-1004PH</v>
      </c>
      <c r="N559" s="2"/>
      <c r="O559" s="2" t="str">
        <f>IFERROR(__xludf.DUMMYFUNCTION("""COMPUTED_VALUE"""),"Tinago")</f>
        <v>Tinago</v>
      </c>
      <c r="P559" s="2" t="str">
        <f>IFERROR(__xludf.DUMMYFUNCTION("""COMPUTED_VALUE"""),"Ligao City")</f>
        <v>Ligao City</v>
      </c>
      <c r="Q559" s="2" t="str">
        <f>IFERROR(__xludf.DUMMYFUNCTION("""COMPUTED_VALUE"""),"Albay")</f>
        <v>Albay</v>
      </c>
      <c r="R559" s="2">
        <f>IFERROR(__xludf.DUMMYFUNCTION("""COMPUTED_VALUE"""),5.0)</f>
        <v>5</v>
      </c>
      <c r="S559" s="2"/>
      <c r="T559" s="2"/>
    </row>
    <row r="560">
      <c r="A560" s="1">
        <f>IFERROR(__xludf.DUMMYFUNCTION("""COMPUTED_VALUE"""),558.0)</f>
        <v>558</v>
      </c>
      <c r="B560" s="2" t="str">
        <f>IFERROR(__xludf.DUMMYFUNCTION("""COMPUTED_VALUE"""),"ILAOR SUR FARMERS ASSOCIATION")</f>
        <v>ILAOR SUR FARMERS ASSOCIATION</v>
      </c>
      <c r="C560" s="2" t="str">
        <f>IFERROR(__xludf.DUMMYFUNCTION("""COMPUTED_VALUE"""),"Ilaor Sur, Oas, ALBAY")</f>
        <v>Ilaor Sur, Oas, ALBAY</v>
      </c>
      <c r="D560" s="2" t="str">
        <f>IFERROR(__xludf.DUMMYFUNCTION("""COMPUTED_VALUE"""),"Jesus P. Clete")</f>
        <v>Jesus P. Clete</v>
      </c>
      <c r="E560" s="2">
        <f>IFERROR(__xludf.DUMMYFUNCTION("""COMPUTED_VALUE"""),9.676604341E9)</f>
        <v>9676604341</v>
      </c>
      <c r="F560" s="2" t="str">
        <f>IFERROR(__xludf.DUMMYFUNCTION("""COMPUTED_VALUE"""),"RCEF 24-04-15")</f>
        <v>RCEF 24-04-15</v>
      </c>
      <c r="G560" s="2">
        <f>IFERROR(__xludf.DUMMYFUNCTION("""COMPUTED_VALUE"""),7.0)</f>
        <v>7</v>
      </c>
      <c r="H560" s="2">
        <f>IFERROR(__xludf.DUMMYFUNCTION("""COMPUTED_VALUE"""),20034.0)</f>
        <v>20034</v>
      </c>
      <c r="I560" s="2" t="str">
        <f>IFERROR(__xludf.DUMMYFUNCTION("""COMPUTED_VALUE"""),"KMC5825ACRFPV0814")</f>
        <v>KMC5825ACRFPV0814</v>
      </c>
      <c r="J560" s="2" t="str">
        <f>IFERROR(__xludf.DUMMYFUNCTION("""COMPUTED_VALUE"""),"RTS100715")</f>
        <v>RTS100715</v>
      </c>
      <c r="K560" s="2" t="str">
        <f>IFERROR(__xludf.DUMMYFUNCTION("""COMPUTED_VALUE"""),"LSGW170-RMP-24111152")</f>
        <v>LSGW170-RMP-24111152</v>
      </c>
      <c r="L560" s="2" t="str">
        <f>IFERROR(__xludf.DUMMYFUNCTION("""COMPUTED_VALUE"""),"WDP40-RMP-25010112")</f>
        <v>WDP40-RMP-25010112</v>
      </c>
      <c r="M560" s="2" t="str">
        <f>IFERROR(__xludf.DUMMYFUNCTION("""COMPUTED_VALUE"""),"WR-SERIES-1088PH")</f>
        <v>WR-SERIES-1088PH</v>
      </c>
      <c r="N560" s="2"/>
      <c r="O560" s="2" t="str">
        <f>IFERROR(__xludf.DUMMYFUNCTION("""COMPUTED_VALUE"""),"Ilaor Sur")</f>
        <v>Ilaor Sur</v>
      </c>
      <c r="P560" s="2" t="str">
        <f>IFERROR(__xludf.DUMMYFUNCTION("""COMPUTED_VALUE"""),"Oas")</f>
        <v>Oas</v>
      </c>
      <c r="Q560" s="2" t="str">
        <f>IFERROR(__xludf.DUMMYFUNCTION("""COMPUTED_VALUE"""),"Albay")</f>
        <v>Albay</v>
      </c>
      <c r="R560" s="2">
        <f>IFERROR(__xludf.DUMMYFUNCTION("""COMPUTED_VALUE"""),5.0)</f>
        <v>5</v>
      </c>
      <c r="S560" s="2"/>
      <c r="T560" s="2"/>
    </row>
    <row r="561">
      <c r="A561" s="1">
        <f>IFERROR(__xludf.DUMMYFUNCTION("""COMPUTED_VALUE"""),559.0)</f>
        <v>559</v>
      </c>
      <c r="B561" s="2" t="str">
        <f>IFERROR(__xludf.DUMMYFUNCTION("""COMPUTED_VALUE"""),"MAGIPAN IRRIGATORS ASSOCIATION, INC.")</f>
        <v>MAGIPAN IRRIGATORS ASSOCIATION, INC.</v>
      </c>
      <c r="C561" s="2" t="str">
        <f>IFERROR(__xludf.DUMMYFUNCTION("""COMPUTED_VALUE"""),"Ilaor Norte, Oas, ALBAY")</f>
        <v>Ilaor Norte, Oas, ALBAY</v>
      </c>
      <c r="D561" s="2" t="str">
        <f>IFERROR(__xludf.DUMMYFUNCTION("""COMPUTED_VALUE"""),"Marlon R. Serranilla")</f>
        <v>Marlon R. Serranilla</v>
      </c>
      <c r="E561" s="2" t="str">
        <f>IFERROR(__xludf.DUMMYFUNCTION("""COMPUTED_VALUE"""),"0935 9451 764")</f>
        <v>0935 9451 764</v>
      </c>
      <c r="F561" s="2" t="str">
        <f>IFERROR(__xludf.DUMMYFUNCTION("""COMPUTED_VALUE"""),"RCEF 24-04-15")</f>
        <v>RCEF 24-04-15</v>
      </c>
      <c r="G561" s="2">
        <f>IFERROR(__xludf.DUMMYFUNCTION("""COMPUTED_VALUE"""),7.0)</f>
        <v>7</v>
      </c>
      <c r="H561" s="2">
        <f>IFERROR(__xludf.DUMMYFUNCTION("""COMPUTED_VALUE"""),20035.0)</f>
        <v>20035</v>
      </c>
      <c r="I561" s="2" t="str">
        <f>IFERROR(__xludf.DUMMYFUNCTION("""COMPUTED_VALUE"""),"KMC5825APRFPV0789")</f>
        <v>KMC5825APRFPV0789</v>
      </c>
      <c r="J561" s="2" t="str">
        <f>IFERROR(__xludf.DUMMYFUNCTION("""COMPUTED_VALUE"""),"RTS100681")</f>
        <v>RTS100681</v>
      </c>
      <c r="K561" s="2" t="str">
        <f>IFERROR(__xludf.DUMMYFUNCTION("""COMPUTED_VALUE"""),"LSGW170-RMP-24100967")</f>
        <v>LSGW170-RMP-24100967</v>
      </c>
      <c r="L561" s="2" t="str">
        <f>IFERROR(__xludf.DUMMYFUNCTION("""COMPUTED_VALUE"""),"WDP40-RMP-25010110")</f>
        <v>WDP40-RMP-25010110</v>
      </c>
      <c r="M561" s="2" t="str">
        <f>IFERROR(__xludf.DUMMYFUNCTION("""COMPUTED_VALUE"""),"WR-SERIES-1196PH")</f>
        <v>WR-SERIES-1196PH</v>
      </c>
      <c r="N561" s="2"/>
      <c r="O561" s="2" t="str">
        <f>IFERROR(__xludf.DUMMYFUNCTION("""COMPUTED_VALUE"""),"Ilaor Norte")</f>
        <v>Ilaor Norte</v>
      </c>
      <c r="P561" s="2" t="str">
        <f>IFERROR(__xludf.DUMMYFUNCTION("""COMPUTED_VALUE"""),"Oas")</f>
        <v>Oas</v>
      </c>
      <c r="Q561" s="2" t="str">
        <f>IFERROR(__xludf.DUMMYFUNCTION("""COMPUTED_VALUE"""),"Albay")</f>
        <v>Albay</v>
      </c>
      <c r="R561" s="2">
        <f>IFERROR(__xludf.DUMMYFUNCTION("""COMPUTED_VALUE"""),5.0)</f>
        <v>5</v>
      </c>
      <c r="S561" s="2"/>
      <c r="T561" s="2"/>
    </row>
    <row r="562">
      <c r="A562" s="1">
        <f>IFERROR(__xludf.DUMMYFUNCTION("""COMPUTED_VALUE"""),560.0)</f>
        <v>560</v>
      </c>
      <c r="B562" s="2" t="str">
        <f>IFERROR(__xludf.DUMMYFUNCTION("""COMPUTED_VALUE"""),"OAS SOUTH MAIN CANAL IRRIGTORS ASSOCIATION INCORPORATED")</f>
        <v>OAS SOUTH MAIN CANAL IRRIGTORS ASSOCIATION INCORPORATED</v>
      </c>
      <c r="C562" s="2" t="str">
        <f>IFERROR(__xludf.DUMMYFUNCTION("""COMPUTED_VALUE"""),"Bagsa, Oas, ALBAY")</f>
        <v>Bagsa, Oas, ALBAY</v>
      </c>
      <c r="D562" s="2" t="str">
        <f>IFERROR(__xludf.DUMMYFUNCTION("""COMPUTED_VALUE"""),"RONNIE P. PEñARANDA")</f>
        <v>RONNIE P. PEñARANDA</v>
      </c>
      <c r="E562" s="2" t="str">
        <f>IFERROR(__xludf.DUMMYFUNCTION("""COMPUTED_VALUE"""),"0918 6336 68")</f>
        <v>0918 6336 68</v>
      </c>
      <c r="F562" s="2" t="str">
        <f>IFERROR(__xludf.DUMMYFUNCTION("""COMPUTED_VALUE"""),"RCEF 24-04-15")</f>
        <v>RCEF 24-04-15</v>
      </c>
      <c r="G562" s="2">
        <f>IFERROR(__xludf.DUMMYFUNCTION("""COMPUTED_VALUE"""),7.0)</f>
        <v>7</v>
      </c>
      <c r="H562" s="2">
        <f>IFERROR(__xludf.DUMMYFUNCTION("""COMPUTED_VALUE"""),20036.0)</f>
        <v>20036</v>
      </c>
      <c r="I562" s="2" t="str">
        <f>IFERROR(__xludf.DUMMYFUNCTION("""COMPUTED_VALUE"""),"KMC5825ATRFPV0807")</f>
        <v>KMC5825ATRFPV0807</v>
      </c>
      <c r="J562" s="2" t="str">
        <f>IFERROR(__xludf.DUMMYFUNCTION("""COMPUTED_VALUE"""),"RTS100713")</f>
        <v>RTS100713</v>
      </c>
      <c r="K562" s="2" t="str">
        <f>IFERROR(__xludf.DUMMYFUNCTION("""COMPUTED_VALUE"""),"LSGW170-RMP-24101037")</f>
        <v>LSGW170-RMP-24101037</v>
      </c>
      <c r="L562" s="2" t="str">
        <f>IFERROR(__xludf.DUMMYFUNCTION("""COMPUTED_VALUE"""),"WDP40-RMP-25010131")</f>
        <v>WDP40-RMP-25010131</v>
      </c>
      <c r="M562" s="2" t="str">
        <f>IFERROR(__xludf.DUMMYFUNCTION("""COMPUTED_VALUE"""),"WR-SERIES-1084PH")</f>
        <v>WR-SERIES-1084PH</v>
      </c>
      <c r="N562" s="2"/>
      <c r="O562" s="2" t="str">
        <f>IFERROR(__xludf.DUMMYFUNCTION("""COMPUTED_VALUE"""),"Bagsa")</f>
        <v>Bagsa</v>
      </c>
      <c r="P562" s="2" t="str">
        <f>IFERROR(__xludf.DUMMYFUNCTION("""COMPUTED_VALUE"""),"Oas")</f>
        <v>Oas</v>
      </c>
      <c r="Q562" s="2" t="str">
        <f>IFERROR(__xludf.DUMMYFUNCTION("""COMPUTED_VALUE"""),"Albay")</f>
        <v>Albay</v>
      </c>
      <c r="R562" s="2">
        <f>IFERROR(__xludf.DUMMYFUNCTION("""COMPUTED_VALUE"""),5.0)</f>
        <v>5</v>
      </c>
      <c r="S562" s="2"/>
      <c r="T562" s="2"/>
    </row>
    <row r="563">
      <c r="A563" s="1">
        <f>IFERROR(__xludf.DUMMYFUNCTION("""COMPUTED_VALUE"""),561.0)</f>
        <v>561</v>
      </c>
      <c r="B563" s="2" t="str">
        <f>IFERROR(__xludf.DUMMYFUNCTION("""COMPUTED_VALUE"""),"Municipal Government Unit of Pio Duran")</f>
        <v>Municipal Government Unit of Pio Duran</v>
      </c>
      <c r="C563" s="2" t="str">
        <f>IFERROR(__xludf.DUMMYFUNCTION("""COMPUTED_VALUE"""),"Caratagan, Pio Duran, ALBAY")</f>
        <v>Caratagan, Pio Duran, ALBAY</v>
      </c>
      <c r="D563" s="2" t="str">
        <f>IFERROR(__xludf.DUMMYFUNCTION("""COMPUTED_VALUE"""),"Hon. Alan R. Arandia")</f>
        <v>Hon. Alan R. Arandia</v>
      </c>
      <c r="E563" s="2" t="str">
        <f>IFERROR(__xludf.DUMMYFUNCTION("""COMPUTED_VALUE"""),"0908 816 0377")</f>
        <v>0908 816 0377</v>
      </c>
      <c r="F563" s="2" t="str">
        <f>IFERROR(__xludf.DUMMYFUNCTION("""COMPUTED_VALUE"""),"RCEF 24-04-15")</f>
        <v>RCEF 24-04-15</v>
      </c>
      <c r="G563" s="2">
        <f>IFERROR(__xludf.DUMMYFUNCTION("""COMPUTED_VALUE"""),7.0)</f>
        <v>7</v>
      </c>
      <c r="H563" s="2">
        <f>IFERROR(__xludf.DUMMYFUNCTION("""COMPUTED_VALUE"""),20037.0)</f>
        <v>20037</v>
      </c>
      <c r="I563" s="2" t="str">
        <f>IFERROR(__xludf.DUMMYFUNCTION("""COMPUTED_VALUE"""),"KMC5825APRFPV0842")</f>
        <v>KMC5825APRFPV0842</v>
      </c>
      <c r="J563" s="2" t="str">
        <f>IFERROR(__xludf.DUMMYFUNCTION("""COMPUTED_VALUE"""),"RTS100692")</f>
        <v>RTS100692</v>
      </c>
      <c r="K563" s="2" t="str">
        <f>IFERROR(__xludf.DUMMYFUNCTION("""COMPUTED_VALUE"""),"LSGW170-RMP-24101169")</f>
        <v>LSGW170-RMP-24101169</v>
      </c>
      <c r="L563" s="2" t="str">
        <f>IFERROR(__xludf.DUMMYFUNCTION("""COMPUTED_VALUE"""),"WDP40-RMP-24110108")</f>
        <v>WDP40-RMP-24110108</v>
      </c>
      <c r="M563" s="2" t="str">
        <f>IFERROR(__xludf.DUMMYFUNCTION("""COMPUTED_VALUE"""),"WR-SERIES-1193PH")</f>
        <v>WR-SERIES-1193PH</v>
      </c>
      <c r="N563" s="2"/>
      <c r="O563" s="2" t="str">
        <f>IFERROR(__xludf.DUMMYFUNCTION("""COMPUTED_VALUE"""),"Caratagan")</f>
        <v>Caratagan</v>
      </c>
      <c r="P563" s="2" t="str">
        <f>IFERROR(__xludf.DUMMYFUNCTION("""COMPUTED_VALUE"""),"Pio Duran")</f>
        <v>Pio Duran</v>
      </c>
      <c r="Q563" s="2" t="str">
        <f>IFERROR(__xludf.DUMMYFUNCTION("""COMPUTED_VALUE"""),"Albay")</f>
        <v>Albay</v>
      </c>
      <c r="R563" s="2">
        <f>IFERROR(__xludf.DUMMYFUNCTION("""COMPUTED_VALUE"""),5.0)</f>
        <v>5</v>
      </c>
      <c r="S563" s="2"/>
      <c r="T563" s="2"/>
    </row>
    <row r="564">
      <c r="A564" s="1">
        <f>IFERROR(__xludf.DUMMYFUNCTION("""COMPUTED_VALUE"""),562.0)</f>
        <v>562</v>
      </c>
      <c r="B564" s="2" t="str">
        <f>IFERROR(__xludf.DUMMYFUNCTION("""COMPUTED_VALUE"""),"United Gainza Farmers Association (UGFA)")</f>
        <v>United Gainza Farmers Association (UGFA)</v>
      </c>
      <c r="C564" s="2" t="str">
        <f>IFERROR(__xludf.DUMMYFUNCTION("""COMPUTED_VALUE"""),"Sampaloc, Gainza, CAMARINES SUR")</f>
        <v>Sampaloc, Gainza, CAMARINES SUR</v>
      </c>
      <c r="D564" s="2" t="str">
        <f>IFERROR(__xludf.DUMMYFUNCTION("""COMPUTED_VALUE"""),"Freddie San Buenaventura")</f>
        <v>Freddie San Buenaventura</v>
      </c>
      <c r="E564" s="2" t="str">
        <f>IFERROR(__xludf.DUMMYFUNCTION("""COMPUTED_VALUE"""),"0999 700 7460")</f>
        <v>0999 700 7460</v>
      </c>
      <c r="F564" s="2" t="str">
        <f>IFERROR(__xludf.DUMMYFUNCTION("""COMPUTED_VALUE"""),"RCEF 24-04-15")</f>
        <v>RCEF 24-04-15</v>
      </c>
      <c r="G564" s="2">
        <f>IFERROR(__xludf.DUMMYFUNCTION("""COMPUTED_VALUE"""),7.0)</f>
        <v>7</v>
      </c>
      <c r="H564" s="2">
        <f>IFERROR(__xludf.DUMMYFUNCTION("""COMPUTED_VALUE"""),20038.0)</f>
        <v>20038</v>
      </c>
      <c r="I564" s="2" t="str">
        <f>IFERROR(__xludf.DUMMYFUNCTION("""COMPUTED_VALUE"""),"KMC5825AHRFPV0964")</f>
        <v>KMC5825AHRFPV0964</v>
      </c>
      <c r="J564" s="2" t="str">
        <f>IFERROR(__xludf.DUMMYFUNCTION("""COMPUTED_VALUE"""),"RTS100668")</f>
        <v>RTS100668</v>
      </c>
      <c r="K564" s="2" t="str">
        <f>IFERROR(__xludf.DUMMYFUNCTION("""COMPUTED_VALUE"""),"LSGW170-RMP-24111165")</f>
        <v>LSGW170-RMP-24111165</v>
      </c>
      <c r="L564" s="2" t="str">
        <f>IFERROR(__xludf.DUMMYFUNCTION("""COMPUTED_VALUE"""),"WDP40-RMP-24080956")</f>
        <v>WDP40-RMP-24080956</v>
      </c>
      <c r="M564" s="2" t="str">
        <f>IFERROR(__xludf.DUMMYFUNCTION("""COMPUTED_VALUE"""),"WR-SERIES-1227PH")</f>
        <v>WR-SERIES-1227PH</v>
      </c>
      <c r="N564" s="2"/>
      <c r="O564" s="2" t="str">
        <f>IFERROR(__xludf.DUMMYFUNCTION("""COMPUTED_VALUE"""),"Sampaloc")</f>
        <v>Sampaloc</v>
      </c>
      <c r="P564" s="2" t="str">
        <f>IFERROR(__xludf.DUMMYFUNCTION("""COMPUTED_VALUE"""),"Gainza")</f>
        <v>Gainza</v>
      </c>
      <c r="Q564" s="2" t="str">
        <f>IFERROR(__xludf.DUMMYFUNCTION("""COMPUTED_VALUE"""),"Camarines Sur")</f>
        <v>Camarines Sur</v>
      </c>
      <c r="R564" s="2">
        <f>IFERROR(__xludf.DUMMYFUNCTION("""COMPUTED_VALUE"""),5.0)</f>
        <v>5</v>
      </c>
      <c r="S564" s="2"/>
      <c r="T564" s="2"/>
    </row>
    <row r="565">
      <c r="A565" s="1">
        <f>IFERROR(__xludf.DUMMYFUNCTION("""COMPUTED_VALUE"""),563.0)</f>
        <v>563</v>
      </c>
      <c r="B565" s="2" t="str">
        <f>IFERROR(__xludf.DUMMYFUNCTION("""COMPUTED_VALUE"""),"MANTALISAY TARUM CAMAMBUGAN BAGUMBAYAN IRRIGATORS ASSOCIATION, INC.")</f>
        <v>MANTALISAY TARUM CAMAMBUGAN BAGUMBAYAN IRRIGATORS ASSOCIATION, INC.</v>
      </c>
      <c r="C565" s="2" t="str">
        <f>IFERROR(__xludf.DUMMYFUNCTION("""COMPUTED_VALUE"""),"Handong, Libmanan, CAMARINES SUR")</f>
        <v>Handong, Libmanan, CAMARINES SUR</v>
      </c>
      <c r="D565" s="2" t="str">
        <f>IFERROR(__xludf.DUMMYFUNCTION("""COMPUTED_VALUE"""),"Chelan R. Guerrero")</f>
        <v>Chelan R. Guerrero</v>
      </c>
      <c r="E565" s="2" t="str">
        <f>IFERROR(__xludf.DUMMYFUNCTION("""COMPUTED_VALUE"""),"0930 5230 856/0930 9030 820")</f>
        <v>0930 5230 856/0930 9030 820</v>
      </c>
      <c r="F565" s="2" t="str">
        <f>IFERROR(__xludf.DUMMYFUNCTION("""COMPUTED_VALUE"""),"RCEF 24-04-15")</f>
        <v>RCEF 24-04-15</v>
      </c>
      <c r="G565" s="2">
        <f>IFERROR(__xludf.DUMMYFUNCTION("""COMPUTED_VALUE"""),7.0)</f>
        <v>7</v>
      </c>
      <c r="H565" s="2">
        <f>IFERROR(__xludf.DUMMYFUNCTION("""COMPUTED_VALUE"""),20039.0)</f>
        <v>20039</v>
      </c>
      <c r="I565" s="2" t="str">
        <f>IFERROR(__xludf.DUMMYFUNCTION("""COMPUTED_VALUE"""),"KMC5825APRFPV0968")</f>
        <v>KMC5825APRFPV0968</v>
      </c>
      <c r="J565" s="2" t="str">
        <f>IFERROR(__xludf.DUMMYFUNCTION("""COMPUTED_VALUE"""),"RTS100657")</f>
        <v>RTS100657</v>
      </c>
      <c r="K565" s="2" t="str">
        <f>IFERROR(__xludf.DUMMYFUNCTION("""COMPUTED_VALUE"""),"LSGW170-RMP-24111170")</f>
        <v>LSGW170-RMP-24111170</v>
      </c>
      <c r="L565" s="2" t="str">
        <f>IFERROR(__xludf.DUMMYFUNCTION("""COMPUTED_VALUE"""),"WDP40-RMP-25010081")</f>
        <v>WDP40-RMP-25010081</v>
      </c>
      <c r="M565" s="2" t="str">
        <f>IFERROR(__xludf.DUMMYFUNCTION("""COMPUTED_VALUE"""),"WR-SERIES-1219PH")</f>
        <v>WR-SERIES-1219PH</v>
      </c>
      <c r="N565" s="2"/>
      <c r="O565" s="2" t="str">
        <f>IFERROR(__xludf.DUMMYFUNCTION("""COMPUTED_VALUE"""),"Handong")</f>
        <v>Handong</v>
      </c>
      <c r="P565" s="2" t="str">
        <f>IFERROR(__xludf.DUMMYFUNCTION("""COMPUTED_VALUE"""),"Libmanan")</f>
        <v>Libmanan</v>
      </c>
      <c r="Q565" s="2" t="str">
        <f>IFERROR(__xludf.DUMMYFUNCTION("""COMPUTED_VALUE"""),"Camarines Sur")</f>
        <v>Camarines Sur</v>
      </c>
      <c r="R565" s="2">
        <f>IFERROR(__xludf.DUMMYFUNCTION("""COMPUTED_VALUE"""),5.0)</f>
        <v>5</v>
      </c>
      <c r="S565" s="2"/>
      <c r="T565" s="2"/>
    </row>
    <row r="566">
      <c r="A566" s="1">
        <f>IFERROR(__xludf.DUMMYFUNCTION("""COMPUTED_VALUE"""),564.0)</f>
        <v>564</v>
      </c>
      <c r="B566" s="2" t="str">
        <f>IFERROR(__xludf.DUMMYFUNCTION("""COMPUTED_VALUE"""),"SANFARMA-STO. NIÑO FARMERS ASSOCIATION")</f>
        <v>SANFARMA-STO. NIÑO FARMERS ASSOCIATION</v>
      </c>
      <c r="C566" s="2" t="str">
        <f>IFERROR(__xludf.DUMMYFUNCTION("""COMPUTED_VALUE"""),"Antipolo, Minalabac, CAMARINES SUR")</f>
        <v>Antipolo, Minalabac, CAMARINES SUR</v>
      </c>
      <c r="D566" s="2" t="str">
        <f>IFERROR(__xludf.DUMMYFUNCTION("""COMPUTED_VALUE"""),"Lorenzo SF. Santillan")</f>
        <v>Lorenzo SF. Santillan</v>
      </c>
      <c r="E566" s="2" t="str">
        <f>IFERROR(__xludf.DUMMYFUNCTION("""COMPUTED_VALUE"""),"0977 785 3123")</f>
        <v>0977 785 3123</v>
      </c>
      <c r="F566" s="2" t="str">
        <f>IFERROR(__xludf.DUMMYFUNCTION("""COMPUTED_VALUE"""),"RCEF 24-04-15")</f>
        <v>RCEF 24-04-15</v>
      </c>
      <c r="G566" s="2">
        <f>IFERROR(__xludf.DUMMYFUNCTION("""COMPUTED_VALUE"""),7.0)</f>
        <v>7</v>
      </c>
      <c r="H566" s="2">
        <f>IFERROR(__xludf.DUMMYFUNCTION("""COMPUTED_VALUE"""),20040.0)</f>
        <v>20040</v>
      </c>
      <c r="I566" s="2" t="str">
        <f>IFERROR(__xludf.DUMMYFUNCTION("""COMPUTED_VALUE"""),"KMC5825AKRFPV0891")</f>
        <v>KMC5825AKRFPV0891</v>
      </c>
      <c r="J566" s="2" t="str">
        <f>IFERROR(__xludf.DUMMYFUNCTION("""COMPUTED_VALUE"""),"RTS100795")</f>
        <v>RTS100795</v>
      </c>
      <c r="K566" s="2" t="str">
        <f>IFERROR(__xludf.DUMMYFUNCTION("""COMPUTED_VALUE"""),"LSGW170-RMP-24111162")</f>
        <v>LSGW170-RMP-24111162</v>
      </c>
      <c r="L566" s="2" t="str">
        <f>IFERROR(__xludf.DUMMYFUNCTION("""COMPUTED_VALUE"""),"WDP40-RMP-24080947")</f>
        <v>WDP40-RMP-24080947</v>
      </c>
      <c r="M566" s="2" t="str">
        <f>IFERROR(__xludf.DUMMYFUNCTION("""COMPUTED_VALUE"""),"WR-SERIES-1218PH")</f>
        <v>WR-SERIES-1218PH</v>
      </c>
      <c r="N566" s="2"/>
      <c r="O566" s="2" t="str">
        <f>IFERROR(__xludf.DUMMYFUNCTION("""COMPUTED_VALUE"""),"Antipolo")</f>
        <v>Antipolo</v>
      </c>
      <c r="P566" s="2" t="str">
        <f>IFERROR(__xludf.DUMMYFUNCTION("""COMPUTED_VALUE"""),"Minalabac")</f>
        <v>Minalabac</v>
      </c>
      <c r="Q566" s="2" t="str">
        <f>IFERROR(__xludf.DUMMYFUNCTION("""COMPUTED_VALUE"""),"Camarines Sur")</f>
        <v>Camarines Sur</v>
      </c>
      <c r="R566" s="2">
        <f>IFERROR(__xludf.DUMMYFUNCTION("""COMPUTED_VALUE"""),5.0)</f>
        <v>5</v>
      </c>
      <c r="S566" s="2"/>
      <c r="T566" s="2"/>
    </row>
    <row r="567">
      <c r="A567" s="1">
        <f>IFERROR(__xludf.DUMMYFUNCTION("""COMPUTED_VALUE"""),565.0)</f>
        <v>565</v>
      </c>
      <c r="B567" s="2" t="str">
        <f>IFERROR(__xludf.DUMMYFUNCTION("""COMPUTED_VALUE"""),"Samahang Magsasaka ng Barangay San Gabriel Pamplona Camarines Sur Inc.")</f>
        <v>Samahang Magsasaka ng Barangay San Gabriel Pamplona Camarines Sur Inc.</v>
      </c>
      <c r="C567" s="2" t="str">
        <f>IFERROR(__xludf.DUMMYFUNCTION("""COMPUTED_VALUE"""),"San Gabriel, Pamplona, CAMARINES SUR")</f>
        <v>San Gabriel, Pamplona, CAMARINES SUR</v>
      </c>
      <c r="D567" s="2" t="str">
        <f>IFERROR(__xludf.DUMMYFUNCTION("""COMPUTED_VALUE"""),"Salvador M. Mojico")</f>
        <v>Salvador M. Mojico</v>
      </c>
      <c r="E567" s="2" t="str">
        <f>IFERROR(__xludf.DUMMYFUNCTION("""COMPUTED_VALUE"""),"0920 430 2570")</f>
        <v>0920 430 2570</v>
      </c>
      <c r="F567" s="2" t="str">
        <f>IFERROR(__xludf.DUMMYFUNCTION("""COMPUTED_VALUE"""),"RCEF 24-04-15")</f>
        <v>RCEF 24-04-15</v>
      </c>
      <c r="G567" s="2">
        <f>IFERROR(__xludf.DUMMYFUNCTION("""COMPUTED_VALUE"""),7.0)</f>
        <v>7</v>
      </c>
      <c r="H567" s="2">
        <f>IFERROR(__xludf.DUMMYFUNCTION("""COMPUTED_VALUE"""),20041.0)</f>
        <v>20041</v>
      </c>
      <c r="I567" s="2" t="str">
        <f>IFERROR(__xludf.DUMMYFUNCTION("""COMPUTED_VALUE"""),"KMC5825ALRFPV0851")</f>
        <v>KMC5825ALRFPV0851</v>
      </c>
      <c r="J567" s="2" t="str">
        <f>IFERROR(__xludf.DUMMYFUNCTION("""COMPUTED_VALUE"""),"RTS100761")</f>
        <v>RTS100761</v>
      </c>
      <c r="K567" s="2" t="str">
        <f>IFERROR(__xludf.DUMMYFUNCTION("""COMPUTED_VALUE"""),"LSGW170-RMP-24111134")</f>
        <v>LSGW170-RMP-24111134</v>
      </c>
      <c r="L567" s="2" t="str">
        <f>IFERROR(__xludf.DUMMYFUNCTION("""COMPUTED_VALUE"""),"WDP40-RMP-25010083")</f>
        <v>WDP40-RMP-25010083</v>
      </c>
      <c r="M567" s="2" t="str">
        <f>IFERROR(__xludf.DUMMYFUNCTION("""COMPUTED_VALUE"""),"WR-SERIES-1239PH")</f>
        <v>WR-SERIES-1239PH</v>
      </c>
      <c r="N567" s="2"/>
      <c r="O567" s="2" t="str">
        <f>IFERROR(__xludf.DUMMYFUNCTION("""COMPUTED_VALUE"""),"San Gabriel")</f>
        <v>San Gabriel</v>
      </c>
      <c r="P567" s="2" t="str">
        <f>IFERROR(__xludf.DUMMYFUNCTION("""COMPUTED_VALUE"""),"Pamplona")</f>
        <v>Pamplona</v>
      </c>
      <c r="Q567" s="2" t="str">
        <f>IFERROR(__xludf.DUMMYFUNCTION("""COMPUTED_VALUE"""),"Camarines Sur")</f>
        <v>Camarines Sur</v>
      </c>
      <c r="R567" s="2">
        <f>IFERROR(__xludf.DUMMYFUNCTION("""COMPUTED_VALUE"""),5.0)</f>
        <v>5</v>
      </c>
      <c r="S567" s="2"/>
      <c r="T567" s="2"/>
    </row>
    <row r="568">
      <c r="A568" s="1">
        <f>IFERROR(__xludf.DUMMYFUNCTION("""COMPUTED_VALUE"""),566.0)</f>
        <v>566</v>
      </c>
      <c r="B568" s="2" t="str">
        <f>IFERROR(__xludf.DUMMYFUNCTION("""COMPUTED_VALUE"""),"Magarao Multi-Purpose Cooperative")</f>
        <v>Magarao Multi-Purpose Cooperative</v>
      </c>
      <c r="C568" s="2" t="str">
        <f>IFERROR(__xludf.DUMMYFUNCTION("""COMPUTED_VALUE"""),"San Isidro (Pob.), Magarao, CAMARINES SUR")</f>
        <v>San Isidro (Pob.), Magarao, CAMARINES SUR</v>
      </c>
      <c r="D568" s="2" t="str">
        <f>IFERROR(__xludf.DUMMYFUNCTION("""COMPUTED_VALUE"""),"Gemma Diaz")</f>
        <v>Gemma Diaz</v>
      </c>
      <c r="E568" s="2">
        <f>IFERROR(__xludf.DUMMYFUNCTION("""COMPUTED_VALUE"""),9.074694335E9)</f>
        <v>9074694335</v>
      </c>
      <c r="F568" s="2" t="str">
        <f>IFERROR(__xludf.DUMMYFUNCTION("""COMPUTED_VALUE"""),"RCEF 24-04-15")</f>
        <v>RCEF 24-04-15</v>
      </c>
      <c r="G568" s="2">
        <f>IFERROR(__xludf.DUMMYFUNCTION("""COMPUTED_VALUE"""),7.0)</f>
        <v>7</v>
      </c>
      <c r="H568" s="2">
        <f>IFERROR(__xludf.DUMMYFUNCTION("""COMPUTED_VALUE"""),20042.0)</f>
        <v>20042</v>
      </c>
      <c r="I568" s="2" t="str">
        <f>IFERROR(__xludf.DUMMYFUNCTION("""COMPUTED_VALUE"""),"KMC5825ATRFPV0824")</f>
        <v>KMC5825ATRFPV0824</v>
      </c>
      <c r="J568" s="2" t="str">
        <f>IFERROR(__xludf.DUMMYFUNCTION("""COMPUTED_VALUE"""),"RTS100738")</f>
        <v>RTS100738</v>
      </c>
      <c r="K568" s="2" t="str">
        <f>IFERROR(__xludf.DUMMYFUNCTION("""COMPUTED_VALUE"""),"LSGW170-RMP-24111142")</f>
        <v>LSGW170-RMP-24111142</v>
      </c>
      <c r="L568" s="2" t="str">
        <f>IFERROR(__xludf.DUMMYFUNCTION("""COMPUTED_VALUE"""),"WDP40-RMP-25010095")</f>
        <v>WDP40-RMP-25010095</v>
      </c>
      <c r="M568" s="2" t="str">
        <f>IFERROR(__xludf.DUMMYFUNCTION("""COMPUTED_VALUE"""),"WR-SERIES-1064PH")</f>
        <v>WR-SERIES-1064PH</v>
      </c>
      <c r="N568" s="2"/>
      <c r="O568" s="2" t="str">
        <f>IFERROR(__xludf.DUMMYFUNCTION("""COMPUTED_VALUE"""),"San Isidro (Pob.)")</f>
        <v>San Isidro (Pob.)</v>
      </c>
      <c r="P568" s="2" t="str">
        <f>IFERROR(__xludf.DUMMYFUNCTION("""COMPUTED_VALUE"""),"Magarao")</f>
        <v>Magarao</v>
      </c>
      <c r="Q568" s="2" t="str">
        <f>IFERROR(__xludf.DUMMYFUNCTION("""COMPUTED_VALUE"""),"Camarines Sur")</f>
        <v>Camarines Sur</v>
      </c>
      <c r="R568" s="2">
        <f>IFERROR(__xludf.DUMMYFUNCTION("""COMPUTED_VALUE"""),5.0)</f>
        <v>5</v>
      </c>
      <c r="S568" s="2"/>
      <c r="T568" s="2"/>
    </row>
    <row r="569">
      <c r="A569" s="1">
        <f>IFERROR(__xludf.DUMMYFUNCTION("""COMPUTED_VALUE"""),567.0)</f>
        <v>567</v>
      </c>
      <c r="B569" s="2" t="str">
        <f>IFERROR(__xludf.DUMMYFUNCTION("""COMPUTED_VALUE"""),"PAG-ASA SAN AGUSTIN AGRARIAN BENEFICIARIES FARMERS ASSOCIATION")</f>
        <v>PAG-ASA SAN AGUSTIN AGRARIAN BENEFICIARIES FARMERS ASSOCIATION</v>
      </c>
      <c r="C569" s="2" t="str">
        <f>IFERROR(__xludf.DUMMYFUNCTION("""COMPUTED_VALUE"""),"San Agustin, Pili, CAMARINES SUR")</f>
        <v>San Agustin, Pili, CAMARINES SUR</v>
      </c>
      <c r="D569" s="2" t="str">
        <f>IFERROR(__xludf.DUMMYFUNCTION("""COMPUTED_VALUE"""),"Joselito Nacario")</f>
        <v>Joselito Nacario</v>
      </c>
      <c r="E569" s="2" t="str">
        <f>IFERROR(__xludf.DUMMYFUNCTION("""COMPUTED_VALUE"""),"0946 364 8796")</f>
        <v>0946 364 8796</v>
      </c>
      <c r="F569" s="2" t="str">
        <f>IFERROR(__xludf.DUMMYFUNCTION("""COMPUTED_VALUE"""),"RCEF 24-04-15")</f>
        <v>RCEF 24-04-15</v>
      </c>
      <c r="G569" s="2">
        <f>IFERROR(__xludf.DUMMYFUNCTION("""COMPUTED_VALUE"""),7.0)</f>
        <v>7</v>
      </c>
      <c r="H569" s="2">
        <f>IFERROR(__xludf.DUMMYFUNCTION("""COMPUTED_VALUE"""),20043.0)</f>
        <v>20043</v>
      </c>
      <c r="I569" s="2" t="str">
        <f>IFERROR(__xludf.DUMMYFUNCTION("""COMPUTED_VALUE"""),"KMC5825ATRFPV0855")</f>
        <v>KMC5825ATRFPV0855</v>
      </c>
      <c r="J569" s="2" t="str">
        <f>IFERROR(__xludf.DUMMYFUNCTION("""COMPUTED_VALUE"""),"RTS100748")</f>
        <v>RTS100748</v>
      </c>
      <c r="K569" s="2" t="str">
        <f>IFERROR(__xludf.DUMMYFUNCTION("""COMPUTED_VALUE"""),"LSGW170-RMP-24111141")</f>
        <v>LSGW170-RMP-24111141</v>
      </c>
      <c r="L569" s="2" t="str">
        <f>IFERROR(__xludf.DUMMYFUNCTION("""COMPUTED_VALUE"""),"WDP40-RMP-25010084")</f>
        <v>WDP40-RMP-25010084</v>
      </c>
      <c r="M569" s="2" t="str">
        <f>IFERROR(__xludf.DUMMYFUNCTION("""COMPUTED_VALUE"""),"WR-SERIES-1191PH")</f>
        <v>WR-SERIES-1191PH</v>
      </c>
      <c r="N569" s="2"/>
      <c r="O569" s="2" t="str">
        <f>IFERROR(__xludf.DUMMYFUNCTION("""COMPUTED_VALUE"""),"San Agustin")</f>
        <v>San Agustin</v>
      </c>
      <c r="P569" s="2" t="str">
        <f>IFERROR(__xludf.DUMMYFUNCTION("""COMPUTED_VALUE"""),"Pili")</f>
        <v>Pili</v>
      </c>
      <c r="Q569" s="2" t="str">
        <f>IFERROR(__xludf.DUMMYFUNCTION("""COMPUTED_VALUE"""),"Camarines Sur")</f>
        <v>Camarines Sur</v>
      </c>
      <c r="R569" s="2">
        <f>IFERROR(__xludf.DUMMYFUNCTION("""COMPUTED_VALUE"""),5.0)</f>
        <v>5</v>
      </c>
      <c r="S569" s="2"/>
      <c r="T569" s="2"/>
    </row>
    <row r="570">
      <c r="A570" s="1">
        <f>IFERROR(__xludf.DUMMYFUNCTION("""COMPUTED_VALUE"""),568.0)</f>
        <v>568</v>
      </c>
      <c r="B570" s="2" t="str">
        <f>IFERROR(__xludf.DUMMYFUNCTION("""COMPUTED_VALUE"""),"SAN RAMON LAGONOY FARMERS ASSOCIATION (SRLFA)")</f>
        <v>SAN RAMON LAGONOY FARMERS ASSOCIATION (SRLFA)</v>
      </c>
      <c r="C570" s="2" t="str">
        <f>IFERROR(__xludf.DUMMYFUNCTION("""COMPUTED_VALUE"""),"San Ramon, Lagonoy, CAMARINES SUR")</f>
        <v>San Ramon, Lagonoy, CAMARINES SUR</v>
      </c>
      <c r="D570" s="2" t="str">
        <f>IFERROR(__xludf.DUMMYFUNCTION("""COMPUTED_VALUE"""),"Buck Roger R. Madrid")</f>
        <v>Buck Roger R. Madrid</v>
      </c>
      <c r="E570" s="2">
        <f>IFERROR(__xludf.DUMMYFUNCTION("""COMPUTED_VALUE"""),9.491186638E9)</f>
        <v>9491186638</v>
      </c>
      <c r="F570" s="2" t="str">
        <f>IFERROR(__xludf.DUMMYFUNCTION("""COMPUTED_VALUE"""),"RCEF 24-04-15")</f>
        <v>RCEF 24-04-15</v>
      </c>
      <c r="G570" s="2">
        <f>IFERROR(__xludf.DUMMYFUNCTION("""COMPUTED_VALUE"""),7.0)</f>
        <v>7</v>
      </c>
      <c r="H570" s="2">
        <f>IFERROR(__xludf.DUMMYFUNCTION("""COMPUTED_VALUE"""),20044.0)</f>
        <v>20044</v>
      </c>
      <c r="I570" s="2" t="str">
        <f>IFERROR(__xludf.DUMMYFUNCTION("""COMPUTED_VALUE"""),"KMC5825AARFPV0847")</f>
        <v>KMC5825AARFPV0847</v>
      </c>
      <c r="J570" s="2" t="str">
        <f>IFERROR(__xludf.DUMMYFUNCTION("""COMPUTED_VALUE"""),"RTS100739")</f>
        <v>RTS100739</v>
      </c>
      <c r="K570" s="2" t="str">
        <f>IFERROR(__xludf.DUMMYFUNCTION("""COMPUTED_VALUE"""),"LSGW170-RMP-24111147")</f>
        <v>LSGW170-RMP-24111147</v>
      </c>
      <c r="L570" s="2" t="str">
        <f>IFERROR(__xludf.DUMMYFUNCTION("""COMPUTED_VALUE"""),"WDP40-RMP-25010093")</f>
        <v>WDP40-RMP-25010093</v>
      </c>
      <c r="M570" s="2" t="str">
        <f>IFERROR(__xludf.DUMMYFUNCTION("""COMPUTED_VALUE"""),"WR-SERIES-1205PH")</f>
        <v>WR-SERIES-1205PH</v>
      </c>
      <c r="N570" s="2"/>
      <c r="O570" s="2" t="str">
        <f>IFERROR(__xludf.DUMMYFUNCTION("""COMPUTED_VALUE"""),"San Ramon")</f>
        <v>San Ramon</v>
      </c>
      <c r="P570" s="2" t="str">
        <f>IFERROR(__xludf.DUMMYFUNCTION("""COMPUTED_VALUE"""),"Lagonoy")</f>
        <v>Lagonoy</v>
      </c>
      <c r="Q570" s="2" t="str">
        <f>IFERROR(__xludf.DUMMYFUNCTION("""COMPUTED_VALUE"""),"Camarines Sur")</f>
        <v>Camarines Sur</v>
      </c>
      <c r="R570" s="2">
        <f>IFERROR(__xludf.DUMMYFUNCTION("""COMPUTED_VALUE"""),5.0)</f>
        <v>5</v>
      </c>
      <c r="S570" s="2"/>
      <c r="T570" s="2"/>
    </row>
    <row r="571">
      <c r="A571" s="1">
        <f>IFERROR(__xludf.DUMMYFUNCTION("""COMPUTED_VALUE"""),569.0)</f>
        <v>569</v>
      </c>
      <c r="B571" s="2" t="str">
        <f>IFERROR(__xludf.DUMMYFUNCTION("""COMPUTED_VALUE"""),"City Local Government Unit of Iriga")</f>
        <v>City Local Government Unit of Iriga</v>
      </c>
      <c r="C571" s="2" t="str">
        <f>IFERROR(__xludf.DUMMYFUNCTION("""COMPUTED_VALUE"""),"Santa Cruz Sur, Iriga City, CAMARINES SUR")</f>
        <v>Santa Cruz Sur, Iriga City, CAMARINES SUR</v>
      </c>
      <c r="D571" s="2" t="str">
        <f>IFERROR(__xludf.DUMMYFUNCTION("""COMPUTED_VALUE"""),"Hon. Wilfredo Rex. C Oliva")</f>
        <v>Hon. Wilfredo Rex. C Oliva</v>
      </c>
      <c r="E571" s="2" t="str">
        <f>IFERROR(__xludf.DUMMYFUNCTION("""COMPUTED_VALUE"""),"0920 948 1149")</f>
        <v>0920 948 1149</v>
      </c>
      <c r="F571" s="2" t="str">
        <f>IFERROR(__xludf.DUMMYFUNCTION("""COMPUTED_VALUE"""),"RCEF 24-04-15")</f>
        <v>RCEF 24-04-15</v>
      </c>
      <c r="G571" s="2">
        <f>IFERROR(__xludf.DUMMYFUNCTION("""COMPUTED_VALUE"""),7.0)</f>
        <v>7</v>
      </c>
      <c r="H571" s="2">
        <f>IFERROR(__xludf.DUMMYFUNCTION("""COMPUTED_VALUE"""),20045.0)</f>
        <v>20045</v>
      </c>
      <c r="I571" s="2" t="str">
        <f>IFERROR(__xludf.DUMMYFUNCTION("""COMPUTED_VALUE"""),"KMC5825AKRFPV0907")</f>
        <v>KMC5825AKRFPV0907</v>
      </c>
      <c r="J571" s="2" t="str">
        <f>IFERROR(__xludf.DUMMYFUNCTION("""COMPUTED_VALUE"""),"RTS100821")</f>
        <v>RTS100821</v>
      </c>
      <c r="K571" s="2" t="str">
        <f>IFERROR(__xludf.DUMMYFUNCTION("""COMPUTED_VALUE"""),"LSGW170-RMP-24111135")</f>
        <v>LSGW170-RMP-24111135</v>
      </c>
      <c r="L571" s="2" t="str">
        <f>IFERROR(__xludf.DUMMYFUNCTION("""COMPUTED_VALUE"""),"WDP40-RMP-25010047")</f>
        <v>WDP40-RMP-25010047</v>
      </c>
      <c r="M571" s="2" t="str">
        <f>IFERROR(__xludf.DUMMYFUNCTION("""COMPUTED_VALUE"""),"WR-SERIES-1234PH")</f>
        <v>WR-SERIES-1234PH</v>
      </c>
      <c r="N571" s="2"/>
      <c r="O571" s="2" t="str">
        <f>IFERROR(__xludf.DUMMYFUNCTION("""COMPUTED_VALUE"""),"Santa Cruz Sur")</f>
        <v>Santa Cruz Sur</v>
      </c>
      <c r="P571" s="2" t="str">
        <f>IFERROR(__xludf.DUMMYFUNCTION("""COMPUTED_VALUE"""),"Iriga City")</f>
        <v>Iriga City</v>
      </c>
      <c r="Q571" s="2" t="str">
        <f>IFERROR(__xludf.DUMMYFUNCTION("""COMPUTED_VALUE"""),"Camarines Sur")</f>
        <v>Camarines Sur</v>
      </c>
      <c r="R571" s="2">
        <f>IFERROR(__xludf.DUMMYFUNCTION("""COMPUTED_VALUE"""),5.0)</f>
        <v>5</v>
      </c>
      <c r="S571" s="2"/>
      <c r="T571" s="2"/>
    </row>
    <row r="572">
      <c r="A572" s="1">
        <f>IFERROR(__xludf.DUMMYFUNCTION("""COMPUTED_VALUE"""),570.0)</f>
        <v>570</v>
      </c>
      <c r="B572" s="2" t="str">
        <f>IFERROR(__xludf.DUMMYFUNCTION("""COMPUTED_VALUE"""),"Tumauini Ammianan Farmers Irrigators' Association Inc.")</f>
        <v>Tumauini Ammianan Farmers Irrigators' Association Inc.</v>
      </c>
      <c r="C572" s="2" t="str">
        <f>IFERROR(__xludf.DUMMYFUNCTION("""COMPUTED_VALUE"""),", San Vicente, Isabela")</f>
        <v>, San Vicente, Isabela</v>
      </c>
      <c r="D572" s="2" t="str">
        <f>IFERROR(__xludf.DUMMYFUNCTION("""COMPUTED_VALUE"""),"Roldan B. Acierto")</f>
        <v>Roldan B. Acierto</v>
      </c>
      <c r="E572" s="2">
        <f>IFERROR(__xludf.DUMMYFUNCTION("""COMPUTED_VALUE"""),9.813230453E9)</f>
        <v>9813230453</v>
      </c>
      <c r="F572" s="2" t="str">
        <f>IFERROR(__xludf.DUMMYFUNCTION("""COMPUTED_VALUE"""),"RCEF 24-04-15")</f>
        <v>RCEF 24-04-15</v>
      </c>
      <c r="G572" s="2">
        <f>IFERROR(__xludf.DUMMYFUNCTION("""COMPUTED_VALUE"""),6.0)</f>
        <v>6</v>
      </c>
      <c r="H572" s="2">
        <f>IFERROR(__xludf.DUMMYFUNCTION("""COMPUTED_VALUE"""),20046.0)</f>
        <v>20046</v>
      </c>
      <c r="I572" s="2" t="str">
        <f>IFERROR(__xludf.DUMMYFUNCTION("""COMPUTED_VALUE"""),"KMC5825ALRFPV0879")</f>
        <v>KMC5825ALRFPV0879</v>
      </c>
      <c r="J572" s="2" t="str">
        <f>IFERROR(__xludf.DUMMYFUNCTION("""COMPUTED_VALUE"""),"RTS100768")</f>
        <v>RTS100768</v>
      </c>
      <c r="K572" s="2" t="str">
        <f>IFERROR(__xludf.DUMMYFUNCTION("""COMPUTED_VALUE"""),"LSGW170-RMP-24101032")</f>
        <v>LSGW170-RMP-24101032</v>
      </c>
      <c r="L572" s="2" t="str">
        <f>IFERROR(__xludf.DUMMYFUNCTION("""COMPUTED_VALUE"""),"WDP40-RMP-24121464")</f>
        <v>WDP40-RMP-24121464</v>
      </c>
      <c r="M572" s="2" t="str">
        <f>IFERROR(__xludf.DUMMYFUNCTION("""COMPUTED_VALUE"""),"WR-SERIES-1021PH")</f>
        <v>WR-SERIES-1021PH</v>
      </c>
      <c r="N572" s="2"/>
      <c r="O572" s="2" t="str">
        <f>IFERROR(__xludf.DUMMYFUNCTION("""COMPUTED_VALUE"""),"")</f>
        <v/>
      </c>
      <c r="P572" s="2" t="str">
        <f>IFERROR(__xludf.DUMMYFUNCTION("""COMPUTED_VALUE"""),"San Vicente")</f>
        <v>San Vicente</v>
      </c>
      <c r="Q572" s="2" t="str">
        <f>IFERROR(__xludf.DUMMYFUNCTION("""COMPUTED_VALUE"""),"Isabela")</f>
        <v>Isabela</v>
      </c>
      <c r="R572" s="2">
        <f>IFERROR(__xludf.DUMMYFUNCTION("""COMPUTED_VALUE"""),2.0)</f>
        <v>2</v>
      </c>
      <c r="S572" s="2"/>
      <c r="T572" s="2"/>
    </row>
    <row r="573">
      <c r="A573" s="1">
        <f>IFERROR(__xludf.DUMMYFUNCTION("""COMPUTED_VALUE"""),571.0)</f>
        <v>571</v>
      </c>
      <c r="B573" s="2" t="str">
        <f>IFERROR(__xludf.DUMMYFUNCTION("""COMPUTED_VALUE"""),"Magandang Buhay ng Samon Agriculture Cooperative")</f>
        <v>Magandang Buhay ng Samon Agriculture Cooperative</v>
      </c>
      <c r="C573" s="2" t="str">
        <f>IFERROR(__xludf.DUMMYFUNCTION("""COMPUTED_VALUE"""),"Samon, Cabanatuan City, NUEVA ECIJA")</f>
        <v>Samon, Cabanatuan City, NUEVA ECIJA</v>
      </c>
      <c r="D573" s="2" t="str">
        <f>IFERROR(__xludf.DUMMYFUNCTION("""COMPUTED_VALUE"""),"Eulalia M. Laureano")</f>
        <v>Eulalia M. Laureano</v>
      </c>
      <c r="E573" s="2" t="str">
        <f>IFERROR(__xludf.DUMMYFUNCTION("""COMPUTED_VALUE"""),"0956-683-6683")</f>
        <v>0956-683-6683</v>
      </c>
      <c r="F573" s="2" t="str">
        <f>IFERROR(__xludf.DUMMYFUNCTION("""COMPUTED_VALUE"""),"RCEF 24-04-15")</f>
        <v>RCEF 24-04-15</v>
      </c>
      <c r="G573" s="2">
        <f>IFERROR(__xludf.DUMMYFUNCTION("""COMPUTED_VALUE"""),6.0)</f>
        <v>6</v>
      </c>
      <c r="H573" s="2">
        <f>IFERROR(__xludf.DUMMYFUNCTION("""COMPUTED_VALUE"""),20661.0)</f>
        <v>20661</v>
      </c>
      <c r="I573" s="2" t="str">
        <f>IFERROR(__xludf.DUMMYFUNCTION("""COMPUTED_VALUE"""),"KMC5825AHRFPV0589")</f>
        <v>KMC5825AHRFPV0589</v>
      </c>
      <c r="J573" s="2" t="str">
        <f>IFERROR(__xludf.DUMMYFUNCTION("""COMPUTED_VALUE"""),"RTS100159")</f>
        <v>RTS100159</v>
      </c>
      <c r="K573" s="2" t="str">
        <f>IFERROR(__xludf.DUMMYFUNCTION("""COMPUTED_VALUE"""),"LSGW170-RMP-24080735")</f>
        <v>LSGW170-RMP-24080735</v>
      </c>
      <c r="L573" s="2" t="str">
        <f>IFERROR(__xludf.DUMMYFUNCTION("""COMPUTED_VALUE"""),"WDP40-RMP-24040440")</f>
        <v>WDP40-RMP-24040440</v>
      </c>
      <c r="M573" s="2" t="str">
        <f>IFERROR(__xludf.DUMMYFUNCTION("""COMPUTED_VALUE"""),"WR-SERIES-960PH")</f>
        <v>WR-SERIES-960PH</v>
      </c>
      <c r="N573" s="2"/>
      <c r="O573" s="2" t="str">
        <f>IFERROR(__xludf.DUMMYFUNCTION("""COMPUTED_VALUE"""),"Samon")</f>
        <v>Samon</v>
      </c>
      <c r="P573" s="2" t="str">
        <f>IFERROR(__xludf.DUMMYFUNCTION("""COMPUTED_VALUE"""),"Cabanatuan City")</f>
        <v>Cabanatuan City</v>
      </c>
      <c r="Q573" s="2" t="str">
        <f>IFERROR(__xludf.DUMMYFUNCTION("""COMPUTED_VALUE"""),"Nueva Ecija")</f>
        <v>Nueva Ecija</v>
      </c>
      <c r="R573" s="2">
        <f>IFERROR(__xludf.DUMMYFUNCTION("""COMPUTED_VALUE"""),3.0)</f>
        <v>3</v>
      </c>
      <c r="S573" s="2"/>
      <c r="T573" s="2"/>
    </row>
    <row r="574">
      <c r="A574" s="1">
        <f>IFERROR(__xludf.DUMMYFUNCTION("""COMPUTED_VALUE"""),572.0)</f>
        <v>572</v>
      </c>
      <c r="B574" s="2" t="str">
        <f>IFERROR(__xludf.DUMMYFUNCTION("""COMPUTED_VALUE"""),"PL West Irrigators Association Inc.")</f>
        <v>PL West Irrigators Association Inc.</v>
      </c>
      <c r="C574" s="2" t="str">
        <f>IFERROR(__xludf.DUMMYFUNCTION("""COMPUTED_VALUE"""),"Rio Chico, General Tinio, NUEVA ECIJA")</f>
        <v>Rio Chico, General Tinio, NUEVA ECIJA</v>
      </c>
      <c r="D574" s="2" t="str">
        <f>IFERROR(__xludf.DUMMYFUNCTION("""COMPUTED_VALUE"""),"Primo B. Concepcion")</f>
        <v>Primo B. Concepcion</v>
      </c>
      <c r="E574" s="2">
        <f>IFERROR(__xludf.DUMMYFUNCTION("""COMPUTED_VALUE"""),9.26856347E9)</f>
        <v>9268563470</v>
      </c>
      <c r="F574" s="2" t="str">
        <f>IFERROR(__xludf.DUMMYFUNCTION("""COMPUTED_VALUE"""),"RCEF 24-04-15")</f>
        <v>RCEF 24-04-15</v>
      </c>
      <c r="G574" s="2">
        <f>IFERROR(__xludf.DUMMYFUNCTION("""COMPUTED_VALUE"""),6.0)</f>
        <v>6</v>
      </c>
      <c r="H574" s="2">
        <f>IFERROR(__xludf.DUMMYFUNCTION("""COMPUTED_VALUE"""),20663.0)</f>
        <v>20663</v>
      </c>
      <c r="I574" s="2" t="str">
        <f>IFERROR(__xludf.DUMMYFUNCTION("""COMPUTED_VALUE"""),"KMC5825AARFPV0590")</f>
        <v>KMC5825AARFPV0590</v>
      </c>
      <c r="J574" s="2" t="str">
        <f>IFERROR(__xludf.DUMMYFUNCTION("""COMPUTED_VALUE"""),"RTS100545")</f>
        <v>RTS100545</v>
      </c>
      <c r="K574" s="2" t="str">
        <f>IFERROR(__xludf.DUMMYFUNCTION("""COMPUTED_VALUE"""),"LSGW170-RMP-24080751")</f>
        <v>LSGW170-RMP-24080751</v>
      </c>
      <c r="L574" s="2" t="str">
        <f>IFERROR(__xludf.DUMMYFUNCTION("""COMPUTED_VALUE"""),"WDP40-RMP-24040463")</f>
        <v>WDP40-RMP-24040463</v>
      </c>
      <c r="M574" s="2" t="str">
        <f>IFERROR(__xludf.DUMMYFUNCTION("""COMPUTED_VALUE"""),"WR-SERIES-953PH")</f>
        <v>WR-SERIES-953PH</v>
      </c>
      <c r="N574" s="2"/>
      <c r="O574" s="2" t="str">
        <f>IFERROR(__xludf.DUMMYFUNCTION("""COMPUTED_VALUE"""),"Rio Chico")</f>
        <v>Rio Chico</v>
      </c>
      <c r="P574" s="2" t="str">
        <f>IFERROR(__xludf.DUMMYFUNCTION("""COMPUTED_VALUE"""),"General Tinio")</f>
        <v>General Tinio</v>
      </c>
      <c r="Q574" s="2" t="str">
        <f>IFERROR(__xludf.DUMMYFUNCTION("""COMPUTED_VALUE"""),"Nueva Ecija")</f>
        <v>Nueva Ecija</v>
      </c>
      <c r="R574" s="2">
        <f>IFERROR(__xludf.DUMMYFUNCTION("""COMPUTED_VALUE"""),3.0)</f>
        <v>3</v>
      </c>
      <c r="S574" s="2"/>
      <c r="T574" s="2"/>
    </row>
    <row r="575">
      <c r="A575" s="1">
        <f>IFERROR(__xludf.DUMMYFUNCTION("""COMPUTED_VALUE"""),573.0)</f>
        <v>573</v>
      </c>
      <c r="B575" s="2" t="str">
        <f>IFERROR(__xludf.DUMMYFUNCTION("""COMPUTED_VALUE"""),"City Local Government Unit of Cabanatuan")</f>
        <v>City Local Government Unit of Cabanatuan</v>
      </c>
      <c r="C575" s="2" t="str">
        <f>IFERROR(__xludf.DUMMYFUNCTION("""COMPUTED_VALUE"""),"Kapitan Pepe (Pob.), Cabanatuan City, NUEVA ECIJA")</f>
        <v>Kapitan Pepe (Pob.), Cabanatuan City, NUEVA ECIJA</v>
      </c>
      <c r="D575" s="2" t="str">
        <f>IFERROR(__xludf.DUMMYFUNCTION("""COMPUTED_VALUE"""),"Myca Elizabeth Vergara")</f>
        <v>Myca Elizabeth Vergara</v>
      </c>
      <c r="E575" s="2" t="str">
        <f>IFERROR(__xludf.DUMMYFUNCTION("""COMPUTED_VALUE"""),"0926-179-9866")</f>
        <v>0926-179-9866</v>
      </c>
      <c r="F575" s="2" t="str">
        <f>IFERROR(__xludf.DUMMYFUNCTION("""COMPUTED_VALUE"""),"RCEF 24-04-15")</f>
        <v>RCEF 24-04-15</v>
      </c>
      <c r="G575" s="2">
        <f>IFERROR(__xludf.DUMMYFUNCTION("""COMPUTED_VALUE"""),6.0)</f>
        <v>6</v>
      </c>
      <c r="H575" s="2">
        <f>IFERROR(__xludf.DUMMYFUNCTION("""COMPUTED_VALUE"""),21756.0)</f>
        <v>21756</v>
      </c>
      <c r="I575" s="2" t="str">
        <f>IFERROR(__xludf.DUMMYFUNCTION("""COMPUTED_VALUE"""),"KMC5825AERFPV0528")</f>
        <v>KMC5825AERFPV0528</v>
      </c>
      <c r="J575" s="2" t="str">
        <f>IFERROR(__xludf.DUMMYFUNCTION("""COMPUTED_VALUE"""),"RTS100200")</f>
        <v>RTS100200</v>
      </c>
      <c r="K575" s="2" t="str">
        <f>IFERROR(__xludf.DUMMYFUNCTION("""COMPUTED_VALUE"""),"LSGW170-RMP-24100875")</f>
        <v>LSGW170-RMP-24100875</v>
      </c>
      <c r="L575" s="2" t="str">
        <f>IFERROR(__xludf.DUMMYFUNCTION("""COMPUTED_VALUE"""),"WDP40-RMP-24101269")</f>
        <v>WDP40-RMP-24101269</v>
      </c>
      <c r="M575" s="2" t="str">
        <f>IFERROR(__xludf.DUMMYFUNCTION("""COMPUTED_VALUE"""),"WR-SERIES-973PH")</f>
        <v>WR-SERIES-973PH</v>
      </c>
      <c r="N575" s="2"/>
      <c r="O575" s="2" t="str">
        <f>IFERROR(__xludf.DUMMYFUNCTION("""COMPUTED_VALUE"""),"Kapitan Pepe (Pob.)")</f>
        <v>Kapitan Pepe (Pob.)</v>
      </c>
      <c r="P575" s="2" t="str">
        <f>IFERROR(__xludf.DUMMYFUNCTION("""COMPUTED_VALUE"""),"Cabanatuan City")</f>
        <v>Cabanatuan City</v>
      </c>
      <c r="Q575" s="2" t="str">
        <f>IFERROR(__xludf.DUMMYFUNCTION("""COMPUTED_VALUE"""),"Nueva Ecija")</f>
        <v>Nueva Ecija</v>
      </c>
      <c r="R575" s="2">
        <f>IFERROR(__xludf.DUMMYFUNCTION("""COMPUTED_VALUE"""),3.0)</f>
        <v>3</v>
      </c>
      <c r="S575" s="2"/>
      <c r="T575" s="2"/>
    </row>
    <row r="576">
      <c r="A576" s="1">
        <f>IFERROR(__xludf.DUMMYFUNCTION("""COMPUTED_VALUE"""),574.0)</f>
        <v>574</v>
      </c>
      <c r="B576" s="2" t="str">
        <f>IFERROR(__xludf.DUMMYFUNCTION("""COMPUTED_VALUE"""),"MUNICIPAL LOCAL GOVERNMENT OF LAUR")</f>
        <v>MUNICIPAL LOCAL GOVERNMENT OF LAUR</v>
      </c>
      <c r="C576" s="2" t="str">
        <f>IFERROR(__xludf.DUMMYFUNCTION("""COMPUTED_VALUE"""),"Barangay III (Pob.), Laur, NUEVA ECIJA")</f>
        <v>Barangay III (Pob.), Laur, NUEVA ECIJA</v>
      </c>
      <c r="D576" s="2" t="str">
        <f>IFERROR(__xludf.DUMMYFUNCTION("""COMPUTED_VALUE"""),"Cristopher B. Daus")</f>
        <v>Cristopher B. Daus</v>
      </c>
      <c r="E576" s="2" t="str">
        <f>IFERROR(__xludf.DUMMYFUNCTION("""COMPUTED_VALUE"""),"0917-117-1541")</f>
        <v>0917-117-1541</v>
      </c>
      <c r="F576" s="2" t="str">
        <f>IFERROR(__xludf.DUMMYFUNCTION("""COMPUTED_VALUE"""),"RCEF 24-04-15")</f>
        <v>RCEF 24-04-15</v>
      </c>
      <c r="G576" s="2">
        <f>IFERROR(__xludf.DUMMYFUNCTION("""COMPUTED_VALUE"""),6.0)</f>
        <v>6</v>
      </c>
      <c r="H576" s="2">
        <f>IFERROR(__xludf.DUMMYFUNCTION("""COMPUTED_VALUE"""),21757.0)</f>
        <v>21757</v>
      </c>
      <c r="I576" s="2" t="str">
        <f>IFERROR(__xludf.DUMMYFUNCTION("""COMPUTED_VALUE"""),"KMC5825AERFPV0562")</f>
        <v>KMC5825AERFPV0562</v>
      </c>
      <c r="J576" s="2" t="str">
        <f>IFERROR(__xludf.DUMMYFUNCTION("""COMPUTED_VALUE"""),"RTS100465")</f>
        <v>RTS100465</v>
      </c>
      <c r="K576" s="2" t="str">
        <f>IFERROR(__xludf.DUMMYFUNCTION("""COMPUTED_VALUE"""),"LSGW170-RMP-24100873")</f>
        <v>LSGW170-RMP-24100873</v>
      </c>
      <c r="L576" s="2" t="str">
        <f>IFERROR(__xludf.DUMMYFUNCTION("""COMPUTED_VALUE"""),"WDP40-RMP-24101254")</f>
        <v>WDP40-RMP-24101254</v>
      </c>
      <c r="M576" s="2" t="str">
        <f>IFERROR(__xludf.DUMMYFUNCTION("""COMPUTED_VALUE"""),"WR-SERIES-868PH")</f>
        <v>WR-SERIES-868PH</v>
      </c>
      <c r="N576" s="2"/>
      <c r="O576" s="2" t="str">
        <f>IFERROR(__xludf.DUMMYFUNCTION("""COMPUTED_VALUE"""),"Barangay Iii (Pob.)")</f>
        <v>Barangay Iii (Pob.)</v>
      </c>
      <c r="P576" s="2" t="str">
        <f>IFERROR(__xludf.DUMMYFUNCTION("""COMPUTED_VALUE"""),"Laur")</f>
        <v>Laur</v>
      </c>
      <c r="Q576" s="2" t="str">
        <f>IFERROR(__xludf.DUMMYFUNCTION("""COMPUTED_VALUE"""),"Nueva Ecija")</f>
        <v>Nueva Ecija</v>
      </c>
      <c r="R576" s="2">
        <f>IFERROR(__xludf.DUMMYFUNCTION("""COMPUTED_VALUE"""),3.0)</f>
        <v>3</v>
      </c>
      <c r="S576" s="2"/>
      <c r="T576" s="2"/>
    </row>
    <row r="577">
      <c r="A577" s="1">
        <f>IFERROR(__xludf.DUMMYFUNCTION("""COMPUTED_VALUE"""),575.0)</f>
        <v>575</v>
      </c>
      <c r="B577" s="2" t="str">
        <f>IFERROR(__xludf.DUMMYFUNCTION("""COMPUTED_VALUE"""),"CANTARICIO IRRIGATORS ASSOCIATION, INC.")</f>
        <v>CANTARICIO IRRIGATORS ASSOCIATION, INC.</v>
      </c>
      <c r="C577" s="2" t="str">
        <f>IFERROR(__xludf.DUMMYFUNCTION("""COMPUTED_VALUE"""),"Garita I A, Maragondon, CAVITE")</f>
        <v>Garita I A, Maragondon, CAVITE</v>
      </c>
      <c r="D577" s="2" t="str">
        <f>IFERROR(__xludf.DUMMYFUNCTION("""COMPUTED_VALUE"""),"Ladislao C. Completo")</f>
        <v>Ladislao C. Completo</v>
      </c>
      <c r="E577" s="2">
        <f>IFERROR(__xludf.DUMMYFUNCTION("""COMPUTED_VALUE"""),9.655462216E9)</f>
        <v>9655462216</v>
      </c>
      <c r="F577" s="2" t="str">
        <f>IFERROR(__xludf.DUMMYFUNCTION("""COMPUTED_VALUE"""),"RCEF 24-04-15")</f>
        <v>RCEF 24-04-15</v>
      </c>
      <c r="G577" s="2">
        <f>IFERROR(__xludf.DUMMYFUNCTION("""COMPUTED_VALUE"""),7.0)</f>
        <v>7</v>
      </c>
      <c r="H577" s="2">
        <f>IFERROR(__xludf.DUMMYFUNCTION("""COMPUTED_VALUE"""),21758.0)</f>
        <v>21758</v>
      </c>
      <c r="I577" s="2" t="str">
        <f>IFERROR(__xludf.DUMMYFUNCTION("""COMPUTED_VALUE"""),"KMC5825AARFPV0623")</f>
        <v>KMC5825AARFPV0623</v>
      </c>
      <c r="J577" s="2" t="str">
        <f>IFERROR(__xludf.DUMMYFUNCTION("""COMPUTED_VALUE"""),"RTS100526")</f>
        <v>RTS100526</v>
      </c>
      <c r="K577" s="2" t="str">
        <f>IFERROR(__xludf.DUMMYFUNCTION("""COMPUTED_VALUE"""),"LSGW1750-RMP-24080756")</f>
        <v>LSGW1750-RMP-24080756</v>
      </c>
      <c r="L577" s="2" t="str">
        <f>IFERROR(__xludf.DUMMYFUNCTION("""COMPUTED_VALUE"""),"WDP40-RMP-24080958")</f>
        <v>WDP40-RMP-24080958</v>
      </c>
      <c r="M577" s="2" t="str">
        <f>IFERROR(__xludf.DUMMYFUNCTION("""COMPUTED_VALUE"""),"WR-SERIES-989PH")</f>
        <v>WR-SERIES-989PH</v>
      </c>
      <c r="N577" s="2"/>
      <c r="O577" s="2" t="str">
        <f>IFERROR(__xludf.DUMMYFUNCTION("""COMPUTED_VALUE"""),"Garita I A")</f>
        <v>Garita I A</v>
      </c>
      <c r="P577" s="2" t="str">
        <f>IFERROR(__xludf.DUMMYFUNCTION("""COMPUTED_VALUE"""),"Maragondon")</f>
        <v>Maragondon</v>
      </c>
      <c r="Q577" s="2" t="str">
        <f>IFERROR(__xludf.DUMMYFUNCTION("""COMPUTED_VALUE"""),"Cavite")</f>
        <v>Cavite</v>
      </c>
      <c r="R577" s="2" t="str">
        <f>IFERROR(__xludf.DUMMYFUNCTION("""COMPUTED_VALUE"""),"4A")</f>
        <v>4A</v>
      </c>
      <c r="S577" s="2"/>
      <c r="T577" s="2"/>
    </row>
    <row r="578">
      <c r="A578" s="1">
        <f>IFERROR(__xludf.DUMMYFUNCTION("""COMPUTED_VALUE"""),576.0)</f>
        <v>576</v>
      </c>
      <c r="B578" s="2" t="str">
        <f>IFERROR(__xludf.DUMMYFUNCTION("""COMPUTED_VALUE"""),"Municipal Local Government Unit of Nampicuan")</f>
        <v>Municipal Local Government Unit of Nampicuan</v>
      </c>
      <c r="C578" s="2" t="str">
        <f>IFERROR(__xludf.DUMMYFUNCTION("""COMPUTED_VALUE"""),"North Poblacion, Nampicuan, NUEVA ECIJA")</f>
        <v>North Poblacion, Nampicuan, NUEVA ECIJA</v>
      </c>
      <c r="D578" s="2" t="str">
        <f>IFERROR(__xludf.DUMMYFUNCTION("""COMPUTED_VALUE"""),"Hon. Victor M. Badar")</f>
        <v>Hon. Victor M. Badar</v>
      </c>
      <c r="E578" s="2" t="str">
        <f>IFERROR(__xludf.DUMMYFUNCTION("""COMPUTED_VALUE"""),"0919-792-2884")</f>
        <v>0919-792-2884</v>
      </c>
      <c r="F578" s="2" t="str">
        <f>IFERROR(__xludf.DUMMYFUNCTION("""COMPUTED_VALUE"""),"RCEF 24-04-15")</f>
        <v>RCEF 24-04-15</v>
      </c>
      <c r="G578" s="2">
        <f>IFERROR(__xludf.DUMMYFUNCTION("""COMPUTED_VALUE"""),6.0)</f>
        <v>6</v>
      </c>
      <c r="H578" s="2">
        <f>IFERROR(__xludf.DUMMYFUNCTION("""COMPUTED_VALUE"""),22329.0)</f>
        <v>22329</v>
      </c>
      <c r="I578" s="2" t="str">
        <f>IFERROR(__xludf.DUMMYFUNCTION("""COMPUTED_VALUE"""),"KMC5825ATRFPV0886")</f>
        <v>KMC5825ATRFPV0886</v>
      </c>
      <c r="J578" s="2" t="str">
        <f>IFERROR(__xludf.DUMMYFUNCTION("""COMPUTED_VALUE"""),"RTS100800")</f>
        <v>RTS100800</v>
      </c>
      <c r="K578" s="2" t="str">
        <f>IFERROR(__xludf.DUMMYFUNCTION("""COMPUTED_VALUE"""),"LSGW170-RMP-24101051")</f>
        <v>LSGW170-RMP-24101051</v>
      </c>
      <c r="L578" s="2" t="str">
        <f>IFERROR(__xludf.DUMMYFUNCTION("""COMPUTED_VALUE"""),"WDP40-RMP-24111407")</f>
        <v>WDP40-RMP-24111407</v>
      </c>
      <c r="M578" s="2" t="str">
        <f>IFERROR(__xludf.DUMMYFUNCTION("""COMPUTED_VALUE"""),"WR-SERIES-1016PH")</f>
        <v>WR-SERIES-1016PH</v>
      </c>
      <c r="N578" s="2"/>
      <c r="O578" s="2" t="str">
        <f>IFERROR(__xludf.DUMMYFUNCTION("""COMPUTED_VALUE"""),"North Poblacion")</f>
        <v>North Poblacion</v>
      </c>
      <c r="P578" s="2" t="str">
        <f>IFERROR(__xludf.DUMMYFUNCTION("""COMPUTED_VALUE"""),"Nampicuan")</f>
        <v>Nampicuan</v>
      </c>
      <c r="Q578" s="2" t="str">
        <f>IFERROR(__xludf.DUMMYFUNCTION("""COMPUTED_VALUE"""),"Nueva Ecija")</f>
        <v>Nueva Ecija</v>
      </c>
      <c r="R578" s="2">
        <f>IFERROR(__xludf.DUMMYFUNCTION("""COMPUTED_VALUE"""),3.0)</f>
        <v>3</v>
      </c>
      <c r="S578" s="2"/>
      <c r="T578" s="2"/>
    </row>
    <row r="579">
      <c r="A579" s="1">
        <f>IFERROR(__xludf.DUMMYFUNCTION("""COMPUTED_VALUE"""),577.0)</f>
        <v>577</v>
      </c>
      <c r="B579" s="2" t="str">
        <f>IFERROR(__xludf.DUMMYFUNCTION("""COMPUTED_VALUE"""),"PINAGPANAAN ANG KILUSANG SAMAHANG MAGSASAKA (PAKISAMA)")</f>
        <v>PINAGPANAAN ANG KILUSANG SAMAHANG MAGSASAKA (PAKISAMA)</v>
      </c>
      <c r="C579" s="2" t="str">
        <f>IFERROR(__xludf.DUMMYFUNCTION("""COMPUTED_VALUE"""),"Pinagpanaan, Talavera, NUEVA ECIJA")</f>
        <v>Pinagpanaan, Talavera, NUEVA ECIJA</v>
      </c>
      <c r="D579" s="2" t="str">
        <f>IFERROR(__xludf.DUMMYFUNCTION("""COMPUTED_VALUE"""),"Cipriano M. Buco")</f>
        <v>Cipriano M. Buco</v>
      </c>
      <c r="E579" s="2" t="str">
        <f>IFERROR(__xludf.DUMMYFUNCTION("""COMPUTED_VALUE"""),"0920-591-5484")</f>
        <v>0920-591-5484</v>
      </c>
      <c r="F579" s="2" t="str">
        <f>IFERROR(__xludf.DUMMYFUNCTION("""COMPUTED_VALUE"""),"RCEF 24-04-15")</f>
        <v>RCEF 24-04-15</v>
      </c>
      <c r="G579" s="2">
        <f>IFERROR(__xludf.DUMMYFUNCTION("""COMPUTED_VALUE"""),6.0)</f>
        <v>6</v>
      </c>
      <c r="H579" s="2">
        <f>IFERROR(__xludf.DUMMYFUNCTION("""COMPUTED_VALUE"""),22330.0)</f>
        <v>22330</v>
      </c>
      <c r="I579" s="2" t="str">
        <f>IFERROR(__xludf.DUMMYFUNCTION("""COMPUTED_VALUE"""),"KMC5825ACRFPV0918")</f>
        <v>KMC5825ACRFPV0918</v>
      </c>
      <c r="J579" s="2" t="str">
        <f>IFERROR(__xludf.DUMMYFUNCTION("""COMPUTED_VALUE"""),"RTS100652")</f>
        <v>RTS100652</v>
      </c>
      <c r="K579" s="2" t="str">
        <f>IFERROR(__xludf.DUMMYFUNCTION("""COMPUTED_VALUE"""),"LSGW170-RMP-24100974")</f>
        <v>LSGW170-RMP-24100974</v>
      </c>
      <c r="L579" s="2" t="str">
        <f>IFERROR(__xludf.DUMMYFUNCTION("""COMPUTED_VALUE"""),"WDP40-RMP-24111403")</f>
        <v>WDP40-RMP-24111403</v>
      </c>
      <c r="M579" s="2" t="str">
        <f>IFERROR(__xludf.DUMMYFUNCTION("""COMPUTED_VALUE"""),"WR-SERIES-1079PH")</f>
        <v>WR-SERIES-1079PH</v>
      </c>
      <c r="N579" s="2"/>
      <c r="O579" s="2" t="str">
        <f>IFERROR(__xludf.DUMMYFUNCTION("""COMPUTED_VALUE"""),"Pinagpanaan")</f>
        <v>Pinagpanaan</v>
      </c>
      <c r="P579" s="2" t="str">
        <f>IFERROR(__xludf.DUMMYFUNCTION("""COMPUTED_VALUE"""),"Talavera")</f>
        <v>Talavera</v>
      </c>
      <c r="Q579" s="2" t="str">
        <f>IFERROR(__xludf.DUMMYFUNCTION("""COMPUTED_VALUE"""),"Nueva Ecija")</f>
        <v>Nueva Ecija</v>
      </c>
      <c r="R579" s="2">
        <f>IFERROR(__xludf.DUMMYFUNCTION("""COMPUTED_VALUE"""),3.0)</f>
        <v>3</v>
      </c>
      <c r="S579" s="2"/>
      <c r="T579" s="2"/>
    </row>
    <row r="580">
      <c r="A580" s="1">
        <f>IFERROR(__xludf.DUMMYFUNCTION("""COMPUTED_VALUE"""),578.0)</f>
        <v>578</v>
      </c>
      <c r="B580" s="2" t="str">
        <f>IFERROR(__xludf.DUMMYFUNCTION("""COMPUTED_VALUE"""),"Lupao Pag-ahon Agriculture Cooperative (LPAC)")</f>
        <v>Lupao Pag-ahon Agriculture Cooperative (LPAC)</v>
      </c>
      <c r="C580" s="2" t="str">
        <f>IFERROR(__xludf.DUMMYFUNCTION("""COMPUTED_VALUE"""),"San Antonio Este, Lupao, NUEVA ECIJA")</f>
        <v>San Antonio Este, Lupao, NUEVA ECIJA</v>
      </c>
      <c r="D580" s="2" t="str">
        <f>IFERROR(__xludf.DUMMYFUNCTION("""COMPUTED_VALUE"""),"Henry V. Ramos")</f>
        <v>Henry V. Ramos</v>
      </c>
      <c r="E580" s="2" t="str">
        <f>IFERROR(__xludf.DUMMYFUNCTION("""COMPUTED_VALUE"""),"0995-264-9470")</f>
        <v>0995-264-9470</v>
      </c>
      <c r="F580" s="2" t="str">
        <f>IFERROR(__xludf.DUMMYFUNCTION("""COMPUTED_VALUE"""),"RCEF 24-04-15")</f>
        <v>RCEF 24-04-15</v>
      </c>
      <c r="G580" s="2">
        <f>IFERROR(__xludf.DUMMYFUNCTION("""COMPUTED_VALUE"""),6.0)</f>
        <v>6</v>
      </c>
      <c r="H580" s="2">
        <f>IFERROR(__xludf.DUMMYFUNCTION("""COMPUTED_VALUE"""),22331.0)</f>
        <v>22331</v>
      </c>
      <c r="I580" s="2" t="str">
        <f>IFERROR(__xludf.DUMMYFUNCTION("""COMPUTED_VALUE"""),"KMC5825ACRFPV0828")</f>
        <v>KMC5825ACRFPV0828</v>
      </c>
      <c r="J580" s="2" t="str">
        <f>IFERROR(__xludf.DUMMYFUNCTION("""COMPUTED_VALUE"""),"RTS100733")</f>
        <v>RTS100733</v>
      </c>
      <c r="K580" s="2" t="str">
        <f>IFERROR(__xludf.DUMMYFUNCTION("""COMPUTED_VALUE"""),"LSGW170-RMP-24101038")</f>
        <v>LSGW170-RMP-24101038</v>
      </c>
      <c r="L580" s="2" t="str">
        <f>IFERROR(__xludf.DUMMYFUNCTION("""COMPUTED_VALUE"""),"WDP40-RMP-24111401")</f>
        <v>WDP40-RMP-24111401</v>
      </c>
      <c r="M580" s="2" t="str">
        <f>IFERROR(__xludf.DUMMYFUNCTION("""COMPUTED_VALUE"""),"WR-SERIES-1002PH")</f>
        <v>WR-SERIES-1002PH</v>
      </c>
      <c r="N580" s="2"/>
      <c r="O580" s="2" t="str">
        <f>IFERROR(__xludf.DUMMYFUNCTION("""COMPUTED_VALUE"""),"San Antonio Este")</f>
        <v>San Antonio Este</v>
      </c>
      <c r="P580" s="2" t="str">
        <f>IFERROR(__xludf.DUMMYFUNCTION("""COMPUTED_VALUE"""),"Lupao")</f>
        <v>Lupao</v>
      </c>
      <c r="Q580" s="2" t="str">
        <f>IFERROR(__xludf.DUMMYFUNCTION("""COMPUTED_VALUE"""),"Nueva Ecija")</f>
        <v>Nueva Ecija</v>
      </c>
      <c r="R580" s="2">
        <f>IFERROR(__xludf.DUMMYFUNCTION("""COMPUTED_VALUE"""),3.0)</f>
        <v>3</v>
      </c>
      <c r="S580" s="2"/>
      <c r="T580" s="2"/>
    </row>
    <row r="581">
      <c r="A581" s="1">
        <f>IFERROR(__xludf.DUMMYFUNCTION("""COMPUTED_VALUE"""),579.0)</f>
        <v>579</v>
      </c>
      <c r="B581" s="2" t="str">
        <f>IFERROR(__xludf.DUMMYFUNCTION("""COMPUTED_VALUE"""),"LOCAL GOVERNMENT UNIT OF SCIENCE CITY OF MUÑOZ")</f>
        <v>LOCAL GOVERNMENT UNIT OF SCIENCE CITY OF MUÑOZ</v>
      </c>
      <c r="C581" s="2" t="str">
        <f>IFERROR(__xludf.DUMMYFUNCTION("""COMPUTED_VALUE"""),"Poblacion West, Science City of Munoz, NUEVA ECIJA")</f>
        <v>Poblacion West, Science City of Munoz, NUEVA ECIJA</v>
      </c>
      <c r="D581" s="2" t="str">
        <f>IFERROR(__xludf.DUMMYFUNCTION("""COMPUTED_VALUE"""),"Baby Armi M. Alvarez")</f>
        <v>Baby Armi M. Alvarez</v>
      </c>
      <c r="E581" s="2" t="str">
        <f>IFERROR(__xludf.DUMMYFUNCTION("""COMPUTED_VALUE"""),"0917-559-7584")</f>
        <v>0917-559-7584</v>
      </c>
      <c r="F581" s="2" t="str">
        <f>IFERROR(__xludf.DUMMYFUNCTION("""COMPUTED_VALUE"""),"RCEF 24-04-15")</f>
        <v>RCEF 24-04-15</v>
      </c>
      <c r="G581" s="2">
        <f>IFERROR(__xludf.DUMMYFUNCTION("""COMPUTED_VALUE"""),6.0)</f>
        <v>6</v>
      </c>
      <c r="H581" s="2">
        <f>IFERROR(__xludf.DUMMYFUNCTION("""COMPUTED_VALUE"""),22332.0)</f>
        <v>22332</v>
      </c>
      <c r="I581" s="2" t="str">
        <f>IFERROR(__xludf.DUMMYFUNCTION("""COMPUTED_VALUE"""),"KMC5825AARFPV0959")</f>
        <v>KMC5825AARFPV0959</v>
      </c>
      <c r="J581" s="2" t="str">
        <f>IFERROR(__xludf.DUMMYFUNCTION("""COMPUTED_VALUE"""),"RTS100671")</f>
        <v>RTS100671</v>
      </c>
      <c r="K581" s="2" t="str">
        <f>IFERROR(__xludf.DUMMYFUNCTION("""COMPUTED_VALUE"""),"LSGW170-RMP-24101044")</f>
        <v>LSGW170-RMP-24101044</v>
      </c>
      <c r="L581" s="2" t="str">
        <f>IFERROR(__xludf.DUMMYFUNCTION("""COMPUTED_VALUE"""),"WDP40-RMP-24111412")</f>
        <v>WDP40-RMP-24111412</v>
      </c>
      <c r="M581" s="2" t="str">
        <f>IFERROR(__xludf.DUMMYFUNCTION("""COMPUTED_VALUE"""),"WR-SERIES-1023PH")</f>
        <v>WR-SERIES-1023PH</v>
      </c>
      <c r="N581" s="2"/>
      <c r="O581" s="2" t="str">
        <f>IFERROR(__xludf.DUMMYFUNCTION("""COMPUTED_VALUE"""),"Poblacion West")</f>
        <v>Poblacion West</v>
      </c>
      <c r="P581" s="2" t="str">
        <f>IFERROR(__xludf.DUMMYFUNCTION("""COMPUTED_VALUE"""),"Science City Of Munoz")</f>
        <v>Science City Of Munoz</v>
      </c>
      <c r="Q581" s="2" t="str">
        <f>IFERROR(__xludf.DUMMYFUNCTION("""COMPUTED_VALUE"""),"Nueva Ecija")</f>
        <v>Nueva Ecija</v>
      </c>
      <c r="R581" s="2">
        <f>IFERROR(__xludf.DUMMYFUNCTION("""COMPUTED_VALUE"""),3.0)</f>
        <v>3</v>
      </c>
      <c r="S581" s="2"/>
      <c r="T581" s="2"/>
    </row>
    <row r="582">
      <c r="A582" s="1">
        <f>IFERROR(__xludf.DUMMYFUNCTION("""COMPUTED_VALUE"""),580.0)</f>
        <v>580</v>
      </c>
      <c r="B582" s="2" t="str">
        <f>IFERROR(__xludf.DUMMYFUNCTION("""COMPUTED_VALUE"""),"STA. RITA FARMERS IRRIGATORS ASSOCIATION, INC.")</f>
        <v>STA. RITA FARMERS IRRIGATORS ASSOCIATION, INC.</v>
      </c>
      <c r="C582" s="2" t="str">
        <f>IFERROR(__xludf.DUMMYFUNCTION("""COMPUTED_VALUE"""),"Santa Rita, Jaen, NUEVA ECIJA")</f>
        <v>Santa Rita, Jaen, NUEVA ECIJA</v>
      </c>
      <c r="D582" s="2" t="str">
        <f>IFERROR(__xludf.DUMMYFUNCTION("""COMPUTED_VALUE"""),"MACARIO P. BAUTISTA")</f>
        <v>MACARIO P. BAUTISTA</v>
      </c>
      <c r="E582" s="2" t="str">
        <f>IFERROR(__xludf.DUMMYFUNCTION("""COMPUTED_VALUE"""),"0935-731-2690")</f>
        <v>0935-731-2690</v>
      </c>
      <c r="F582" s="2" t="str">
        <f>IFERROR(__xludf.DUMMYFUNCTION("""COMPUTED_VALUE"""),"RCEF 24-04-15")</f>
        <v>RCEF 24-04-15</v>
      </c>
      <c r="G582" s="2">
        <f>IFERROR(__xludf.DUMMYFUNCTION("""COMPUTED_VALUE"""),6.0)</f>
        <v>6</v>
      </c>
      <c r="H582" s="2">
        <f>IFERROR(__xludf.DUMMYFUNCTION("""COMPUTED_VALUE"""),22333.0)</f>
        <v>22333</v>
      </c>
      <c r="I582" s="2" t="str">
        <f>IFERROR(__xludf.DUMMYFUNCTION("""COMPUTED_VALUE"""),"KMC5825ACRFPV0893")</f>
        <v>KMC5825ACRFPV0893</v>
      </c>
      <c r="J582" s="2" t="str">
        <f>IFERROR(__xludf.DUMMYFUNCTION("""COMPUTED_VALUE"""),"RTS100792")</f>
        <v>RTS100792</v>
      </c>
      <c r="K582" s="2" t="str">
        <f>IFERROR(__xludf.DUMMYFUNCTION("""COMPUTED_VALUE"""),"LSGW170-RMP-24100978")</f>
        <v>LSGW170-RMP-24100978</v>
      </c>
      <c r="L582" s="2" t="str">
        <f>IFERROR(__xludf.DUMMYFUNCTION("""COMPUTED_VALUE"""),"WDP40-RMP-24101289")</f>
        <v>WDP40-RMP-24101289</v>
      </c>
      <c r="M582" s="2" t="str">
        <f>IFERROR(__xludf.DUMMYFUNCTION("""COMPUTED_VALUE"""),"WR-SERIES-1070PH")</f>
        <v>WR-SERIES-1070PH</v>
      </c>
      <c r="N582" s="2"/>
      <c r="O582" s="2" t="str">
        <f>IFERROR(__xludf.DUMMYFUNCTION("""COMPUTED_VALUE"""),"Santa Rita")</f>
        <v>Santa Rita</v>
      </c>
      <c r="P582" s="2" t="str">
        <f>IFERROR(__xludf.DUMMYFUNCTION("""COMPUTED_VALUE"""),"Jaen")</f>
        <v>Jaen</v>
      </c>
      <c r="Q582" s="2" t="str">
        <f>IFERROR(__xludf.DUMMYFUNCTION("""COMPUTED_VALUE"""),"Nueva Ecija")</f>
        <v>Nueva Ecija</v>
      </c>
      <c r="R582" s="2">
        <f>IFERROR(__xludf.DUMMYFUNCTION("""COMPUTED_VALUE"""),3.0)</f>
        <v>3</v>
      </c>
      <c r="S582" s="2"/>
      <c r="T582" s="2"/>
    </row>
    <row r="583">
      <c r="A583" s="1">
        <f>IFERROR(__xludf.DUMMYFUNCTION("""COMPUTED_VALUE"""),581.0)</f>
        <v>581</v>
      </c>
      <c r="B583" s="2" t="str">
        <f>IFERROR(__xludf.DUMMYFUNCTION("""COMPUTED_VALUE"""),"Panayotti Irrigators Farmers Association Inc.")</f>
        <v>Panayotti Irrigators Farmers Association Inc.</v>
      </c>
      <c r="C583" s="2" t="str">
        <f>IFERROR(__xludf.DUMMYFUNCTION("""COMPUTED_VALUE"""),"Escaler, Magalang, PAMPANGA")</f>
        <v>Escaler, Magalang, PAMPANGA</v>
      </c>
      <c r="D583" s="2" t="str">
        <f>IFERROR(__xludf.DUMMYFUNCTION("""COMPUTED_VALUE"""),"CRISOSTOMO M. SORIANO")</f>
        <v>CRISOSTOMO M. SORIANO</v>
      </c>
      <c r="E583" s="2" t="str">
        <f>IFERROR(__xludf.DUMMYFUNCTION("""COMPUTED_VALUE"""),"0906-352-4803")</f>
        <v>0906-352-4803</v>
      </c>
      <c r="F583" s="2" t="str">
        <f>IFERROR(__xludf.DUMMYFUNCTION("""COMPUTED_VALUE"""),"RCEF 24-04-15")</f>
        <v>RCEF 24-04-15</v>
      </c>
      <c r="G583" s="2">
        <f>IFERROR(__xludf.DUMMYFUNCTION("""COMPUTED_VALUE"""),6.0)</f>
        <v>6</v>
      </c>
      <c r="H583" s="2">
        <f>IFERROR(__xludf.DUMMYFUNCTION("""COMPUTED_VALUE"""),22334.0)</f>
        <v>22334</v>
      </c>
      <c r="I583" s="2" t="str">
        <f>IFERROR(__xludf.DUMMYFUNCTION("""COMPUTED_VALUE"""),"KMC5825APRFPV0923")</f>
        <v>KMC5825APRFPV0923</v>
      </c>
      <c r="J583" s="2" t="str">
        <f>IFERROR(__xludf.DUMMYFUNCTION("""COMPUTED_VALUE"""),"RTS100655")</f>
        <v>RTS100655</v>
      </c>
      <c r="K583" s="2" t="str">
        <f>IFERROR(__xludf.DUMMYFUNCTION("""COMPUTED_VALUE"""),"LSGW170-RMP-24101036")</f>
        <v>LSGW170-RMP-24101036</v>
      </c>
      <c r="L583" s="2" t="str">
        <f>IFERROR(__xludf.DUMMYFUNCTION("""COMPUTED_VALUE"""),"WDP40-RMP-24111360")</f>
        <v>WDP40-RMP-24111360</v>
      </c>
      <c r="M583" s="2" t="str">
        <f>IFERROR(__xludf.DUMMYFUNCTION("""COMPUTED_VALUE"""),"WR-SERIES-1010PH")</f>
        <v>WR-SERIES-1010PH</v>
      </c>
      <c r="N583" s="2"/>
      <c r="O583" s="2" t="str">
        <f>IFERROR(__xludf.DUMMYFUNCTION("""COMPUTED_VALUE"""),"Escaler")</f>
        <v>Escaler</v>
      </c>
      <c r="P583" s="2" t="str">
        <f>IFERROR(__xludf.DUMMYFUNCTION("""COMPUTED_VALUE"""),"Magalang")</f>
        <v>Magalang</v>
      </c>
      <c r="Q583" s="2" t="str">
        <f>IFERROR(__xludf.DUMMYFUNCTION("""COMPUTED_VALUE"""),"Pampanga")</f>
        <v>Pampanga</v>
      </c>
      <c r="R583" s="2">
        <f>IFERROR(__xludf.DUMMYFUNCTION("""COMPUTED_VALUE"""),3.0)</f>
        <v>3</v>
      </c>
      <c r="S583" s="2"/>
      <c r="T583" s="2"/>
    </row>
    <row r="584">
      <c r="A584" s="1">
        <f>IFERROR(__xludf.DUMMYFUNCTION("""COMPUTED_VALUE"""),582.0)</f>
        <v>582</v>
      </c>
      <c r="B584" s="2" t="str">
        <f>IFERROR(__xludf.DUMMYFUNCTION("""COMPUTED_VALUE"""),"MUNICIPAL LOCAL GOVERNMENT OF GUAGUA")</f>
        <v>MUNICIPAL LOCAL GOVERNMENT OF GUAGUA</v>
      </c>
      <c r="C584" s="2" t="str">
        <f>IFERROR(__xludf.DUMMYFUNCTION("""COMPUTED_VALUE"""),"Plaza Burgos (Pob.), Guagua, PAMPANGA")</f>
        <v>Plaza Burgos (Pob.), Guagua, PAMPANGA</v>
      </c>
      <c r="D584" s="2" t="str">
        <f>IFERROR(__xludf.DUMMYFUNCTION("""COMPUTED_VALUE"""),"HON. ANTHONY JOSEPH S. TORRES / JE ANNETTE MESUG")</f>
        <v>HON. ANTHONY JOSEPH S. TORRES / JE ANNETTE MESUG</v>
      </c>
      <c r="E584" s="2" t="str">
        <f>IFERROR(__xludf.DUMMYFUNCTION("""COMPUTED_VALUE"""),"0933-857-1767")</f>
        <v>0933-857-1767</v>
      </c>
      <c r="F584" s="2" t="str">
        <f>IFERROR(__xludf.DUMMYFUNCTION("""COMPUTED_VALUE"""),"RCEF 24-04-15")</f>
        <v>RCEF 24-04-15</v>
      </c>
      <c r="G584" s="2">
        <f>IFERROR(__xludf.DUMMYFUNCTION("""COMPUTED_VALUE"""),6.0)</f>
        <v>6</v>
      </c>
      <c r="H584" s="2">
        <f>IFERROR(__xludf.DUMMYFUNCTION("""COMPUTED_VALUE"""),22335.0)</f>
        <v>22335</v>
      </c>
      <c r="I584" s="2" t="str">
        <f>IFERROR(__xludf.DUMMYFUNCTION("""COMPUTED_VALUE"""),"KMC5825ACRFPV0899")</f>
        <v>KMC5825ACRFPV0899</v>
      </c>
      <c r="J584" s="2" t="str">
        <f>IFERROR(__xludf.DUMMYFUNCTION("""COMPUTED_VALUE"""),"RTS100815")</f>
        <v>RTS100815</v>
      </c>
      <c r="K584" s="2" t="str">
        <f>IFERROR(__xludf.DUMMYFUNCTION("""COMPUTED_VALUE"""),"LSGW170-RMP-24100965")</f>
        <v>LSGW170-RMP-24100965</v>
      </c>
      <c r="L584" s="2" t="str">
        <f>IFERROR(__xludf.DUMMYFUNCTION("""COMPUTED_VALUE"""),"WDP40-RMP-24111417")</f>
        <v>WDP40-RMP-24111417</v>
      </c>
      <c r="M584" s="2" t="str">
        <f>IFERROR(__xludf.DUMMYFUNCTION("""COMPUTED_VALUE"""),"WR-SERIES-1006PH")</f>
        <v>WR-SERIES-1006PH</v>
      </c>
      <c r="N584" s="2"/>
      <c r="O584" s="2" t="str">
        <f>IFERROR(__xludf.DUMMYFUNCTION("""COMPUTED_VALUE"""),"Plaza Burgos (Pob.)")</f>
        <v>Plaza Burgos (Pob.)</v>
      </c>
      <c r="P584" s="2" t="str">
        <f>IFERROR(__xludf.DUMMYFUNCTION("""COMPUTED_VALUE"""),"Guagua")</f>
        <v>Guagua</v>
      </c>
      <c r="Q584" s="2" t="str">
        <f>IFERROR(__xludf.DUMMYFUNCTION("""COMPUTED_VALUE"""),"Pampanga")</f>
        <v>Pampanga</v>
      </c>
      <c r="R584" s="2">
        <f>IFERROR(__xludf.DUMMYFUNCTION("""COMPUTED_VALUE"""),3.0)</f>
        <v>3</v>
      </c>
      <c r="S584" s="2"/>
      <c r="T584" s="2"/>
    </row>
    <row r="585">
      <c r="A585" s="1">
        <f>IFERROR(__xludf.DUMMYFUNCTION("""COMPUTED_VALUE"""),583.0)</f>
        <v>583</v>
      </c>
      <c r="B585" s="2" t="str">
        <f>IFERROR(__xludf.DUMMYFUNCTION("""COMPUTED_VALUE"""),"SANTIAGO RICEUP FARMERS ASSOCIATION")</f>
        <v>SANTIAGO RICEUP FARMERS ASSOCIATION</v>
      </c>
      <c r="C585" s="2" t="str">
        <f>IFERROR(__xludf.DUMMYFUNCTION("""COMPUTED_VALUE"""),"Santiago, Lubao, PAMPANGA")</f>
        <v>Santiago, Lubao, PAMPANGA</v>
      </c>
      <c r="D585" s="2" t="str">
        <f>IFERROR(__xludf.DUMMYFUNCTION("""COMPUTED_VALUE"""),"GEMMA GUITTIEREZ")</f>
        <v>GEMMA GUITTIEREZ</v>
      </c>
      <c r="E585" s="2" t="str">
        <f>IFERROR(__xludf.DUMMYFUNCTION("""COMPUTED_VALUE"""),"0919-851-2719")</f>
        <v>0919-851-2719</v>
      </c>
      <c r="F585" s="2" t="str">
        <f>IFERROR(__xludf.DUMMYFUNCTION("""COMPUTED_VALUE"""),"RCEF 24-04-15")</f>
        <v>RCEF 24-04-15</v>
      </c>
      <c r="G585" s="2">
        <f>IFERROR(__xludf.DUMMYFUNCTION("""COMPUTED_VALUE"""),6.0)</f>
        <v>6</v>
      </c>
      <c r="H585" s="2">
        <f>IFERROR(__xludf.DUMMYFUNCTION("""COMPUTED_VALUE"""),22336.0)</f>
        <v>22336</v>
      </c>
      <c r="I585" s="2" t="str">
        <f>IFERROR(__xludf.DUMMYFUNCTION("""COMPUTED_VALUE"""),"KMC5825AHRFPV0883")</f>
        <v>KMC5825AHRFPV0883</v>
      </c>
      <c r="J585" s="2" t="str">
        <f>IFERROR(__xludf.DUMMYFUNCTION("""COMPUTED_VALUE"""),"RTS100798")</f>
        <v>RTS100798</v>
      </c>
      <c r="K585" s="2" t="str">
        <f>IFERROR(__xludf.DUMMYFUNCTION("""COMPUTED_VALUE"""),"LSGW170-RMP-24101041")</f>
        <v>LSGW170-RMP-24101041</v>
      </c>
      <c r="L585" s="2" t="str">
        <f>IFERROR(__xludf.DUMMYFUNCTION("""COMPUTED_VALUE"""),"WDP40-RMP-2411326")</f>
        <v>WDP40-RMP-2411326</v>
      </c>
      <c r="M585" s="2" t="str">
        <f>IFERROR(__xludf.DUMMYFUNCTION("""COMPUTED_VALUE"""),"WR-SERIES-1103PH")</f>
        <v>WR-SERIES-1103PH</v>
      </c>
      <c r="N585" s="2"/>
      <c r="O585" s="2" t="str">
        <f>IFERROR(__xludf.DUMMYFUNCTION("""COMPUTED_VALUE"""),"Santiago")</f>
        <v>Santiago</v>
      </c>
      <c r="P585" s="2" t="str">
        <f>IFERROR(__xludf.DUMMYFUNCTION("""COMPUTED_VALUE"""),"Lubao")</f>
        <v>Lubao</v>
      </c>
      <c r="Q585" s="2" t="str">
        <f>IFERROR(__xludf.DUMMYFUNCTION("""COMPUTED_VALUE"""),"Pampanga")</f>
        <v>Pampanga</v>
      </c>
      <c r="R585" s="2">
        <f>IFERROR(__xludf.DUMMYFUNCTION("""COMPUTED_VALUE"""),3.0)</f>
        <v>3</v>
      </c>
      <c r="S585" s="2"/>
      <c r="T585" s="2"/>
    </row>
    <row r="586">
      <c r="A586" s="1">
        <f>IFERROR(__xludf.DUMMYFUNCTION("""COMPUTED_VALUE"""),584.0)</f>
        <v>584</v>
      </c>
      <c r="B586" s="2" t="str">
        <f>IFERROR(__xludf.DUMMYFUNCTION("""COMPUTED_VALUE"""),"Pias Farmers Agriculture Cooperative")</f>
        <v>Pias Farmers Agriculture Cooperative</v>
      </c>
      <c r="C586" s="2" t="str">
        <f>IFERROR(__xludf.DUMMYFUNCTION("""COMPUTED_VALUE"""),"Pias, Porac, PAMPANGA")</f>
        <v>Pias, Porac, PAMPANGA</v>
      </c>
      <c r="D586" s="2" t="str">
        <f>IFERROR(__xludf.DUMMYFUNCTION("""COMPUTED_VALUE"""),"HERMANDO S. SANTOS")</f>
        <v>HERMANDO S. SANTOS</v>
      </c>
      <c r="E586" s="2" t="str">
        <f>IFERROR(__xludf.DUMMYFUNCTION("""COMPUTED_VALUE"""),"0938-693-9124")</f>
        <v>0938-693-9124</v>
      </c>
      <c r="F586" s="2" t="str">
        <f>IFERROR(__xludf.DUMMYFUNCTION("""COMPUTED_VALUE"""),"RCEF 24-04-15")</f>
        <v>RCEF 24-04-15</v>
      </c>
      <c r="G586" s="2">
        <f>IFERROR(__xludf.DUMMYFUNCTION("""COMPUTED_VALUE"""),6.0)</f>
        <v>6</v>
      </c>
      <c r="H586" s="2">
        <f>IFERROR(__xludf.DUMMYFUNCTION("""COMPUTED_VALUE"""),22337.0)</f>
        <v>22337</v>
      </c>
      <c r="I586" s="2" t="str">
        <f>IFERROR(__xludf.DUMMYFUNCTION("""COMPUTED_VALUE"""),"KMC5825ACRFPV0960")</f>
        <v>KMC5825ACRFPV0960</v>
      </c>
      <c r="J586" s="2" t="str">
        <f>IFERROR(__xludf.DUMMYFUNCTION("""COMPUTED_VALUE"""),"RTS100672")</f>
        <v>RTS100672</v>
      </c>
      <c r="K586" s="2" t="str">
        <f>IFERROR(__xludf.DUMMYFUNCTION("""COMPUTED_VALUE"""),"LSGW170-RMP-24100977")</f>
        <v>LSGW170-RMP-24100977</v>
      </c>
      <c r="L586" s="2" t="str">
        <f>IFERROR(__xludf.DUMMYFUNCTION("""COMPUTED_VALUE"""),"WDP40-RMP-24111420")</f>
        <v>WDP40-RMP-24111420</v>
      </c>
      <c r="M586" s="2" t="str">
        <f>IFERROR(__xludf.DUMMYFUNCTION("""COMPUTED_VALUE"""),"WR-SERIES-1057PH")</f>
        <v>WR-SERIES-1057PH</v>
      </c>
      <c r="N586" s="2"/>
      <c r="O586" s="2" t="str">
        <f>IFERROR(__xludf.DUMMYFUNCTION("""COMPUTED_VALUE"""),"Pias")</f>
        <v>Pias</v>
      </c>
      <c r="P586" s="2" t="str">
        <f>IFERROR(__xludf.DUMMYFUNCTION("""COMPUTED_VALUE"""),"Porac")</f>
        <v>Porac</v>
      </c>
      <c r="Q586" s="2" t="str">
        <f>IFERROR(__xludf.DUMMYFUNCTION("""COMPUTED_VALUE"""),"Pampanga")</f>
        <v>Pampanga</v>
      </c>
      <c r="R586" s="2">
        <f>IFERROR(__xludf.DUMMYFUNCTION("""COMPUTED_VALUE"""),3.0)</f>
        <v>3</v>
      </c>
      <c r="S586" s="2"/>
      <c r="T586" s="2"/>
    </row>
    <row r="587">
      <c r="A587" s="1">
        <f>IFERROR(__xludf.DUMMYFUNCTION("""COMPUTED_VALUE"""),585.0)</f>
        <v>585</v>
      </c>
      <c r="B587" s="2" t="str">
        <f>IFERROR(__xludf.DUMMYFUNCTION("""COMPUTED_VALUE"""),"SAN ISIDRO BALUBAD FARMERS ASSOCIATION")</f>
        <v>SAN ISIDRO BALUBAD FARMERS ASSOCIATION</v>
      </c>
      <c r="C587" s="2" t="str">
        <f>IFERROR(__xludf.DUMMYFUNCTION("""COMPUTED_VALUE"""),"Balubad, Porac, PAMPANGA")</f>
        <v>Balubad, Porac, PAMPANGA</v>
      </c>
      <c r="D587" s="2" t="str">
        <f>IFERROR(__xludf.DUMMYFUNCTION("""COMPUTED_VALUE"""),"ROY A. BAUL")</f>
        <v>ROY A. BAUL</v>
      </c>
      <c r="E587" s="2" t="str">
        <f>IFERROR(__xludf.DUMMYFUNCTION("""COMPUTED_VALUE"""),"0943-805-1101")</f>
        <v>0943-805-1101</v>
      </c>
      <c r="F587" s="2" t="str">
        <f>IFERROR(__xludf.DUMMYFUNCTION("""COMPUTED_VALUE"""),"RCEF 24-04-15")</f>
        <v>RCEF 24-04-15</v>
      </c>
      <c r="G587" s="2">
        <f>IFERROR(__xludf.DUMMYFUNCTION("""COMPUTED_VALUE"""),6.0)</f>
        <v>6</v>
      </c>
      <c r="H587" s="2">
        <f>IFERROR(__xludf.DUMMYFUNCTION("""COMPUTED_VALUE"""),22338.0)</f>
        <v>22338</v>
      </c>
      <c r="I587" s="2" t="str">
        <f>IFERROR(__xludf.DUMMYFUNCTION("""COMPUTED_VALUE"""),"KMC5825AHRFPV0916")</f>
        <v>KMC5825AHRFPV0916</v>
      </c>
      <c r="J587" s="2" t="str">
        <f>IFERROR(__xludf.DUMMYFUNCTION("""COMPUTED_VALUE"""),"RTS100654")</f>
        <v>RTS100654</v>
      </c>
      <c r="K587" s="2" t="str">
        <f>IFERROR(__xludf.DUMMYFUNCTION("""COMPUTED_VALUE"""),"LSGW170-RMP-24101068")</f>
        <v>LSGW170-RMP-24101068</v>
      </c>
      <c r="L587" s="2" t="str">
        <f>IFERROR(__xludf.DUMMYFUNCTION("""COMPUTED_VALUE"""),"WDP40-RMP-24111421")</f>
        <v>WDP40-RMP-24111421</v>
      </c>
      <c r="M587" s="2" t="str">
        <f>IFERROR(__xludf.DUMMYFUNCTION("""COMPUTED_VALUE"""),"WR-SERIES-1007PH")</f>
        <v>WR-SERIES-1007PH</v>
      </c>
      <c r="N587" s="2"/>
      <c r="O587" s="2" t="str">
        <f>IFERROR(__xludf.DUMMYFUNCTION("""COMPUTED_VALUE"""),"Balubad")</f>
        <v>Balubad</v>
      </c>
      <c r="P587" s="2" t="str">
        <f>IFERROR(__xludf.DUMMYFUNCTION("""COMPUTED_VALUE"""),"Porac")</f>
        <v>Porac</v>
      </c>
      <c r="Q587" s="2" t="str">
        <f>IFERROR(__xludf.DUMMYFUNCTION("""COMPUTED_VALUE"""),"Pampanga")</f>
        <v>Pampanga</v>
      </c>
      <c r="R587" s="2">
        <f>IFERROR(__xludf.DUMMYFUNCTION("""COMPUTED_VALUE"""),3.0)</f>
        <v>3</v>
      </c>
      <c r="S587" s="2"/>
      <c r="T587" s="2"/>
    </row>
    <row r="588">
      <c r="A588" s="1">
        <f>IFERROR(__xludf.DUMMYFUNCTION("""COMPUTED_VALUE"""),586.0)</f>
        <v>586</v>
      </c>
      <c r="B588" s="2" t="str">
        <f>IFERROR(__xludf.DUMMYFUNCTION("""COMPUTED_VALUE"""),"MAPALAD MAMATAD IRRIGATORS ASSOCIATION INC..")</f>
        <v>MAPALAD MAMATAD IRRIGATORS ASSOCIATION INC..</v>
      </c>
      <c r="C588" s="2" t="str">
        <f>IFERROR(__xludf.DUMMYFUNCTION("""COMPUTED_VALUE"""),"Mapalad, Arayat, PAMPANGA")</f>
        <v>Mapalad, Arayat, PAMPANGA</v>
      </c>
      <c r="D588" s="2" t="str">
        <f>IFERROR(__xludf.DUMMYFUNCTION("""COMPUTED_VALUE"""),"NAZARIO G. VINUYA")</f>
        <v>NAZARIO G. VINUYA</v>
      </c>
      <c r="E588" s="2" t="str">
        <f>IFERROR(__xludf.DUMMYFUNCTION("""COMPUTED_VALUE"""),"0917-523-8102")</f>
        <v>0917-523-8102</v>
      </c>
      <c r="F588" s="2" t="str">
        <f>IFERROR(__xludf.DUMMYFUNCTION("""COMPUTED_VALUE"""),"RCEF 24-04-15")</f>
        <v>RCEF 24-04-15</v>
      </c>
      <c r="G588" s="2">
        <f>IFERROR(__xludf.DUMMYFUNCTION("""COMPUTED_VALUE"""),6.0)</f>
        <v>6</v>
      </c>
      <c r="H588" s="2">
        <f>IFERROR(__xludf.DUMMYFUNCTION("""COMPUTED_VALUE"""),22339.0)</f>
        <v>22339</v>
      </c>
      <c r="I588" s="2" t="str">
        <f>IFERROR(__xludf.DUMMYFUNCTION("""COMPUTED_VALUE"""),"KMC5825ALRFPV0901")</f>
        <v>KMC5825ALRFPV0901</v>
      </c>
      <c r="J588" s="2" t="str">
        <f>IFERROR(__xludf.DUMMYFUNCTION("""COMPUTED_VALUE"""),"RTS100812")</f>
        <v>RTS100812</v>
      </c>
      <c r="K588" s="2" t="str">
        <f>IFERROR(__xludf.DUMMYFUNCTION("""COMPUTED_VALUE"""),"LSGW170-RMP-24101039")</f>
        <v>LSGW170-RMP-24101039</v>
      </c>
      <c r="L588" s="2" t="str">
        <f>IFERROR(__xludf.DUMMYFUNCTION("""COMPUTED_VALUE"""),"WDP40-RMP-24111337")</f>
        <v>WDP40-RMP-24111337</v>
      </c>
      <c r="M588" s="2" t="str">
        <f>IFERROR(__xludf.DUMMYFUNCTION("""COMPUTED_VALUE"""),"WR-SERIES-1120PH")</f>
        <v>WR-SERIES-1120PH</v>
      </c>
      <c r="N588" s="2"/>
      <c r="O588" s="2" t="str">
        <f>IFERROR(__xludf.DUMMYFUNCTION("""COMPUTED_VALUE"""),"Mapalad")</f>
        <v>Mapalad</v>
      </c>
      <c r="P588" s="2" t="str">
        <f>IFERROR(__xludf.DUMMYFUNCTION("""COMPUTED_VALUE"""),"Arayat")</f>
        <v>Arayat</v>
      </c>
      <c r="Q588" s="2" t="str">
        <f>IFERROR(__xludf.DUMMYFUNCTION("""COMPUTED_VALUE"""),"Pampanga")</f>
        <v>Pampanga</v>
      </c>
      <c r="R588" s="2">
        <f>IFERROR(__xludf.DUMMYFUNCTION("""COMPUTED_VALUE"""),3.0)</f>
        <v>3</v>
      </c>
      <c r="S588" s="2"/>
      <c r="T588" s="2"/>
    </row>
    <row r="589">
      <c r="A589" s="1">
        <f>IFERROR(__xludf.DUMMYFUNCTION("""COMPUTED_VALUE"""),587.0)</f>
        <v>587</v>
      </c>
      <c r="B589" s="2" t="str">
        <f>IFERROR(__xludf.DUMMYFUNCTION("""COMPUTED_VALUE"""),"BUKLUD KAPAMPANGAN FARMERS ASSOCIATION INC.")</f>
        <v>BUKLUD KAPAMPANGAN FARMERS ASSOCIATION INC.</v>
      </c>
      <c r="C589" s="2" t="str">
        <f>IFERROR(__xludf.DUMMYFUNCTION("""COMPUTED_VALUE"""),"Cabetican, Bacolor, PAMPANGA")</f>
        <v>Cabetican, Bacolor, PAMPANGA</v>
      </c>
      <c r="D589" s="2" t="str">
        <f>IFERROR(__xludf.DUMMYFUNCTION("""COMPUTED_VALUE"""),"BIENVENIDO R. TALA")</f>
        <v>BIENVENIDO R. TALA</v>
      </c>
      <c r="E589" s="2" t="str">
        <f>IFERROR(__xludf.DUMMYFUNCTION("""COMPUTED_VALUE"""),"0968-696-4152")</f>
        <v>0968-696-4152</v>
      </c>
      <c r="F589" s="2" t="str">
        <f>IFERROR(__xludf.DUMMYFUNCTION("""COMPUTED_VALUE"""),"RCEF 24-04-15")</f>
        <v>RCEF 24-04-15</v>
      </c>
      <c r="G589" s="2">
        <f>IFERROR(__xludf.DUMMYFUNCTION("""COMPUTED_VALUE"""),6.0)</f>
        <v>6</v>
      </c>
      <c r="H589" s="2">
        <f>IFERROR(__xludf.DUMMYFUNCTION("""COMPUTED_VALUE"""),22340.0)</f>
        <v>22340</v>
      </c>
      <c r="I589" s="2" t="str">
        <f>IFERROR(__xludf.DUMMYFUNCTION("""COMPUTED_VALUE"""),"KMC5825ACRFPV0952")</f>
        <v>KMC5825ACRFPV0952</v>
      </c>
      <c r="J589" s="2" t="str">
        <f>IFERROR(__xludf.DUMMYFUNCTION("""COMPUTED_VALUE"""),"RTS100826")</f>
        <v>RTS100826</v>
      </c>
      <c r="K589" s="2" t="str">
        <f>IFERROR(__xludf.DUMMYFUNCTION("""COMPUTED_VALUE"""),"LSGW170-RMP-24100981")</f>
        <v>LSGW170-RMP-24100981</v>
      </c>
      <c r="L589" s="2" t="str">
        <f>IFERROR(__xludf.DUMMYFUNCTION("""COMPUTED_VALUE"""),"WDP40-RMP-24121439")</f>
        <v>WDP40-RMP-24121439</v>
      </c>
      <c r="M589" s="2" t="str">
        <f>IFERROR(__xludf.DUMMYFUNCTION("""COMPUTED_VALUE"""),"WR-SERIES-1089PH")</f>
        <v>WR-SERIES-1089PH</v>
      </c>
      <c r="N589" s="2"/>
      <c r="O589" s="2" t="str">
        <f>IFERROR(__xludf.DUMMYFUNCTION("""COMPUTED_VALUE"""),"Cabetican")</f>
        <v>Cabetican</v>
      </c>
      <c r="P589" s="2" t="str">
        <f>IFERROR(__xludf.DUMMYFUNCTION("""COMPUTED_VALUE"""),"Bacolor")</f>
        <v>Bacolor</v>
      </c>
      <c r="Q589" s="2" t="str">
        <f>IFERROR(__xludf.DUMMYFUNCTION("""COMPUTED_VALUE"""),"Pampanga")</f>
        <v>Pampanga</v>
      </c>
      <c r="R589" s="2">
        <f>IFERROR(__xludf.DUMMYFUNCTION("""COMPUTED_VALUE"""),3.0)</f>
        <v>3</v>
      </c>
      <c r="S589" s="2"/>
      <c r="T589" s="2"/>
    </row>
    <row r="590">
      <c r="A590" s="1">
        <f>IFERROR(__xludf.DUMMYFUNCTION("""COMPUTED_VALUE"""),588.0)</f>
        <v>588</v>
      </c>
      <c r="B590" s="2" t="str">
        <f>IFERROR(__xludf.DUMMYFUNCTION("""COMPUTED_VALUE"""),"BAGONG PAG-ASA FARMERS ASSOCIATION")</f>
        <v>BAGONG PAG-ASA FARMERS ASSOCIATION</v>
      </c>
      <c r="C590" s="2" t="str">
        <f>IFERROR(__xludf.DUMMYFUNCTION("""COMPUTED_VALUE"""),"Divisoria, Mexico, PAMPANGA")</f>
        <v>Divisoria, Mexico, PAMPANGA</v>
      </c>
      <c r="D590" s="2" t="str">
        <f>IFERROR(__xludf.DUMMYFUNCTION("""COMPUTED_VALUE"""),"NESTOR B. BAUTISTA")</f>
        <v>NESTOR B. BAUTISTA</v>
      </c>
      <c r="E590" s="2" t="str">
        <f>IFERROR(__xludf.DUMMYFUNCTION("""COMPUTED_VALUE"""),"0917-963-3626")</f>
        <v>0917-963-3626</v>
      </c>
      <c r="F590" s="2" t="str">
        <f>IFERROR(__xludf.DUMMYFUNCTION("""COMPUTED_VALUE"""),"RCEF 24-04-15")</f>
        <v>RCEF 24-04-15</v>
      </c>
      <c r="G590" s="2">
        <f>IFERROR(__xludf.DUMMYFUNCTION("""COMPUTED_VALUE"""),6.0)</f>
        <v>6</v>
      </c>
      <c r="H590" s="2">
        <f>IFERROR(__xludf.DUMMYFUNCTION("""COMPUTED_VALUE"""),22341.0)</f>
        <v>22341</v>
      </c>
      <c r="I590" s="2" t="str">
        <f>IFERROR(__xludf.DUMMYFUNCTION("""COMPUTED_VALUE"""),"KMC5825AVRFPV0880")</f>
        <v>KMC5825AVRFPV0880</v>
      </c>
      <c r="J590" s="2" t="str">
        <f>IFERROR(__xludf.DUMMYFUNCTION("""COMPUTED_VALUE"""),"RTS100769")</f>
        <v>RTS100769</v>
      </c>
      <c r="K590" s="2" t="str">
        <f>IFERROR(__xludf.DUMMYFUNCTION("""COMPUTED_VALUE"""),"LSGW170-RMP-24100982")</f>
        <v>LSGW170-RMP-24100982</v>
      </c>
      <c r="L590" s="2" t="str">
        <f>IFERROR(__xludf.DUMMYFUNCTION("""COMPUTED_VALUE"""),"WDP40-RMP-24121486")</f>
        <v>WDP40-RMP-24121486</v>
      </c>
      <c r="M590" s="2" t="str">
        <f>IFERROR(__xludf.DUMMYFUNCTION("""COMPUTED_VALUE"""),"WR-SERIES-1095PH")</f>
        <v>WR-SERIES-1095PH</v>
      </c>
      <c r="N590" s="2"/>
      <c r="O590" s="2" t="str">
        <f>IFERROR(__xludf.DUMMYFUNCTION("""COMPUTED_VALUE"""),"Divisoria")</f>
        <v>Divisoria</v>
      </c>
      <c r="P590" s="2" t="str">
        <f>IFERROR(__xludf.DUMMYFUNCTION("""COMPUTED_VALUE"""),"Mexico")</f>
        <v>Mexico</v>
      </c>
      <c r="Q590" s="2" t="str">
        <f>IFERROR(__xludf.DUMMYFUNCTION("""COMPUTED_VALUE"""),"Pampanga")</f>
        <v>Pampanga</v>
      </c>
      <c r="R590" s="2">
        <f>IFERROR(__xludf.DUMMYFUNCTION("""COMPUTED_VALUE"""),3.0)</f>
        <v>3</v>
      </c>
      <c r="S590" s="2"/>
      <c r="T590" s="2"/>
    </row>
    <row r="591">
      <c r="A591" s="1">
        <f>IFERROR(__xludf.DUMMYFUNCTION("""COMPUTED_VALUE"""),589.0)</f>
        <v>589</v>
      </c>
      <c r="B591" s="2" t="str">
        <f>IFERROR(__xludf.DUMMYFUNCTION("""COMPUTED_VALUE"""),"ABE-ABENG MAG-PAPALE AT MAG-MAMANGGA FARMER'S ASSOCIATION INC.")</f>
        <v>ABE-ABENG MAG-PAPALE AT MAG-MAMANGGA FARMER'S ASSOCIATION INC.</v>
      </c>
      <c r="C591" s="2" t="str">
        <f>IFERROR(__xludf.DUMMYFUNCTION("""COMPUTED_VALUE"""),"Santa Maria, Santa Ana, PAMPANGA")</f>
        <v>Santa Maria, Santa Ana, PAMPANGA</v>
      </c>
      <c r="D591" s="2" t="str">
        <f>IFERROR(__xludf.DUMMYFUNCTION("""COMPUTED_VALUE"""),"RODELO L. PALMA")</f>
        <v>RODELO L. PALMA</v>
      </c>
      <c r="E591" s="2" t="str">
        <f>IFERROR(__xludf.DUMMYFUNCTION("""COMPUTED_VALUE"""),"0936-554-2780")</f>
        <v>0936-554-2780</v>
      </c>
      <c r="F591" s="2" t="str">
        <f>IFERROR(__xludf.DUMMYFUNCTION("""COMPUTED_VALUE"""),"RCEF 24-04-15")</f>
        <v>RCEF 24-04-15</v>
      </c>
      <c r="G591" s="2">
        <f>IFERROR(__xludf.DUMMYFUNCTION("""COMPUTED_VALUE"""),6.0)</f>
        <v>6</v>
      </c>
      <c r="H591" s="2">
        <f>IFERROR(__xludf.DUMMYFUNCTION("""COMPUTED_VALUE"""),22342.0)</f>
        <v>22342</v>
      </c>
      <c r="I591" s="2" t="str">
        <f>IFERROR(__xludf.DUMMYFUNCTION("""COMPUTED_VALUE"""),"KMC5825APRFPV0890")</f>
        <v>KMC5825APRFPV0890</v>
      </c>
      <c r="J591" s="2" t="str">
        <f>IFERROR(__xludf.DUMMYFUNCTION("""COMPUTED_VALUE"""),"RTS100794")</f>
        <v>RTS100794</v>
      </c>
      <c r="K591" s="2" t="str">
        <f>IFERROR(__xludf.DUMMYFUNCTION("""COMPUTED_VALUE"""),"LSGW170-RMP-24100964")</f>
        <v>LSGW170-RMP-24100964</v>
      </c>
      <c r="L591" s="2" t="str">
        <f>IFERROR(__xludf.DUMMYFUNCTION("""COMPUTED_VALUE"""),"WDP40-RMP-24121443")</f>
        <v>WDP40-RMP-24121443</v>
      </c>
      <c r="M591" s="2" t="str">
        <f>IFERROR(__xludf.DUMMYFUNCTION("""COMPUTED_VALUE"""),"WR-SERIES-1029PH")</f>
        <v>WR-SERIES-1029PH</v>
      </c>
      <c r="N591" s="2"/>
      <c r="O591" s="2" t="str">
        <f>IFERROR(__xludf.DUMMYFUNCTION("""COMPUTED_VALUE"""),"Santa Maria")</f>
        <v>Santa Maria</v>
      </c>
      <c r="P591" s="2" t="str">
        <f>IFERROR(__xludf.DUMMYFUNCTION("""COMPUTED_VALUE"""),"Santa Ana")</f>
        <v>Santa Ana</v>
      </c>
      <c r="Q591" s="2" t="str">
        <f>IFERROR(__xludf.DUMMYFUNCTION("""COMPUTED_VALUE"""),"Pampanga")</f>
        <v>Pampanga</v>
      </c>
      <c r="R591" s="2">
        <f>IFERROR(__xludf.DUMMYFUNCTION("""COMPUTED_VALUE"""),3.0)</f>
        <v>3</v>
      </c>
      <c r="S591" s="2"/>
      <c r="T591" s="2"/>
    </row>
    <row r="592">
      <c r="A592" s="1">
        <f>IFERROR(__xludf.DUMMYFUNCTION("""COMPUTED_VALUE"""),590.0)</f>
        <v>590</v>
      </c>
      <c r="B592" s="2" t="str">
        <f>IFERROR(__xludf.DUMMYFUNCTION("""COMPUTED_VALUE"""),"AGUMAN ORTELANO AND WORKERS' ASSOCIATION")</f>
        <v>AGUMAN ORTELANO AND WORKERS' ASSOCIATION</v>
      </c>
      <c r="C592" s="2" t="str">
        <f>IFERROR(__xludf.DUMMYFUNCTION("""COMPUTED_VALUE"""),"San Isidro, Santa Ana, PAMPANGA")</f>
        <v>San Isidro, Santa Ana, PAMPANGA</v>
      </c>
      <c r="D592" s="2" t="str">
        <f>IFERROR(__xludf.DUMMYFUNCTION("""COMPUTED_VALUE"""),"EDUARDO M. MALATBAT")</f>
        <v>EDUARDO M. MALATBAT</v>
      </c>
      <c r="E592" s="2" t="str">
        <f>IFERROR(__xludf.DUMMYFUNCTION("""COMPUTED_VALUE"""),"0916-606-4335/ 0926-681-2622")</f>
        <v>0916-606-4335/ 0926-681-2622</v>
      </c>
      <c r="F592" s="2" t="str">
        <f>IFERROR(__xludf.DUMMYFUNCTION("""COMPUTED_VALUE"""),"RCEF 24-04-15")</f>
        <v>RCEF 24-04-15</v>
      </c>
      <c r="G592" s="2">
        <f>IFERROR(__xludf.DUMMYFUNCTION("""COMPUTED_VALUE"""),6.0)</f>
        <v>6</v>
      </c>
      <c r="H592" s="2">
        <f>IFERROR(__xludf.DUMMYFUNCTION("""COMPUTED_VALUE"""),22343.0)</f>
        <v>22343</v>
      </c>
      <c r="I592" s="2" t="str">
        <f>IFERROR(__xludf.DUMMYFUNCTION("""COMPUTED_VALUE"""),"KMC5825AARFPV0878")</f>
        <v>KMC5825AARFPV0878</v>
      </c>
      <c r="J592" s="2" t="str">
        <f>IFERROR(__xludf.DUMMYFUNCTION("""COMPUTED_VALUE"""),"RTS100773")</f>
        <v>RTS100773</v>
      </c>
      <c r="K592" s="2" t="str">
        <f>IFERROR(__xludf.DUMMYFUNCTION("""COMPUTED_VALUE"""),"LSGW170-RMP-24101076")</f>
        <v>LSGW170-RMP-24101076</v>
      </c>
      <c r="L592" s="2" t="str">
        <f>IFERROR(__xludf.DUMMYFUNCTION("""COMPUTED_VALUE"""),"WDP40-RMP-24111415")</f>
        <v>WDP40-RMP-24111415</v>
      </c>
      <c r="M592" s="2" t="str">
        <f>IFERROR(__xludf.DUMMYFUNCTION("""COMPUTED_VALUE"""),"WR-SERIES-1008PH")</f>
        <v>WR-SERIES-1008PH</v>
      </c>
      <c r="N592" s="2"/>
      <c r="O592" s="2" t="str">
        <f>IFERROR(__xludf.DUMMYFUNCTION("""COMPUTED_VALUE"""),"San Isidro")</f>
        <v>San Isidro</v>
      </c>
      <c r="P592" s="2" t="str">
        <f>IFERROR(__xludf.DUMMYFUNCTION("""COMPUTED_VALUE"""),"Santa Ana")</f>
        <v>Santa Ana</v>
      </c>
      <c r="Q592" s="2" t="str">
        <f>IFERROR(__xludf.DUMMYFUNCTION("""COMPUTED_VALUE"""),"Pampanga")</f>
        <v>Pampanga</v>
      </c>
      <c r="R592" s="2">
        <f>IFERROR(__xludf.DUMMYFUNCTION("""COMPUTED_VALUE"""),3.0)</f>
        <v>3</v>
      </c>
      <c r="S592" s="2"/>
      <c r="T592" s="2"/>
    </row>
    <row r="593">
      <c r="A593" s="1">
        <f>IFERROR(__xludf.DUMMYFUNCTION("""COMPUTED_VALUE"""),591.0)</f>
        <v>591</v>
      </c>
      <c r="B593" s="2" t="str">
        <f>IFERROR(__xludf.DUMMYFUNCTION("""COMPUTED_VALUE"""),"Mga Masigasig at Masisipag na Magsasaka sa Bayan ng Apalit, Pampanga Farmer's Association Inc.")</f>
        <v>Mga Masigasig at Masisipag na Magsasaka sa Bayan ng Apalit, Pampanga Farmer's Association Inc.</v>
      </c>
      <c r="C593" s="2" t="str">
        <f>IFERROR(__xludf.DUMMYFUNCTION("""COMPUTED_VALUE"""),"Sulipan, Apalit, PAMPANGA")</f>
        <v>Sulipan, Apalit, PAMPANGA</v>
      </c>
      <c r="D593" s="2" t="str">
        <f>IFERROR(__xludf.DUMMYFUNCTION("""COMPUTED_VALUE"""),"FERNANDO M. GONZALES")</f>
        <v>FERNANDO M. GONZALES</v>
      </c>
      <c r="E593" s="2" t="str">
        <f>IFERROR(__xludf.DUMMYFUNCTION("""COMPUTED_VALUE"""),"0929-143-6206/ 0933-814-7647")</f>
        <v>0929-143-6206/ 0933-814-7647</v>
      </c>
      <c r="F593" s="2" t="str">
        <f>IFERROR(__xludf.DUMMYFUNCTION("""COMPUTED_VALUE"""),"RCEF 24-04-15")</f>
        <v>RCEF 24-04-15</v>
      </c>
      <c r="G593" s="2">
        <f>IFERROR(__xludf.DUMMYFUNCTION("""COMPUTED_VALUE"""),6.0)</f>
        <v>6</v>
      </c>
      <c r="H593" s="2">
        <f>IFERROR(__xludf.DUMMYFUNCTION("""COMPUTED_VALUE"""),22344.0)</f>
        <v>22344</v>
      </c>
      <c r="I593" s="2" t="str">
        <f>IFERROR(__xludf.DUMMYFUNCTION("""COMPUTED_VALUE"""),"KMC5825AVRFPV0930")</f>
        <v>KMC5825AVRFPV0930</v>
      </c>
      <c r="J593" s="2" t="str">
        <f>IFERROR(__xludf.DUMMYFUNCTION("""COMPUTED_VALUE"""),"RTS100754")</f>
        <v>RTS100754</v>
      </c>
      <c r="K593" s="2" t="str">
        <f>IFERROR(__xludf.DUMMYFUNCTION("""COMPUTED_VALUE"""),"LSGW170-RMP-24100979")</f>
        <v>LSGW170-RMP-24100979</v>
      </c>
      <c r="L593" s="2" t="str">
        <f>IFERROR(__xludf.DUMMYFUNCTION("""COMPUTED_VALUE"""),"WDP40-RMP-24111325")</f>
        <v>WDP40-RMP-24111325</v>
      </c>
      <c r="M593" s="2" t="str">
        <f>IFERROR(__xludf.DUMMYFUNCTION("""COMPUTED_VALUE"""),"WR-SERIES-1066PH")</f>
        <v>WR-SERIES-1066PH</v>
      </c>
      <c r="N593" s="2"/>
      <c r="O593" s="2" t="str">
        <f>IFERROR(__xludf.DUMMYFUNCTION("""COMPUTED_VALUE"""),"Sulipan")</f>
        <v>Sulipan</v>
      </c>
      <c r="P593" s="2" t="str">
        <f>IFERROR(__xludf.DUMMYFUNCTION("""COMPUTED_VALUE"""),"Apalit")</f>
        <v>Apalit</v>
      </c>
      <c r="Q593" s="2" t="str">
        <f>IFERROR(__xludf.DUMMYFUNCTION("""COMPUTED_VALUE"""),"Pampanga")</f>
        <v>Pampanga</v>
      </c>
      <c r="R593" s="2">
        <f>IFERROR(__xludf.DUMMYFUNCTION("""COMPUTED_VALUE"""),3.0)</f>
        <v>3</v>
      </c>
      <c r="S593" s="2"/>
      <c r="T593" s="2"/>
    </row>
    <row r="594">
      <c r="A594" s="1">
        <f>IFERROR(__xludf.DUMMYFUNCTION("""COMPUTED_VALUE"""),592.0)</f>
        <v>592</v>
      </c>
      <c r="B594" s="2" t="str">
        <f>IFERROR(__xludf.DUMMYFUNCTION("""COMPUTED_VALUE"""),"VIZAL-SAN PABLO IRRIGATORS ASSOCIATION, INC.")</f>
        <v>VIZAL-SAN PABLO IRRIGATORS ASSOCIATION, INC.</v>
      </c>
      <c r="C594" s="2" t="str">
        <f>IFERROR(__xludf.DUMMYFUNCTION("""COMPUTED_VALUE"""),"Vizal San Pablo, Candaba, PAMPANGA")</f>
        <v>Vizal San Pablo, Candaba, PAMPANGA</v>
      </c>
      <c r="D594" s="2" t="str">
        <f>IFERROR(__xludf.DUMMYFUNCTION("""COMPUTED_VALUE"""),"EDGARDO DG. CAO")</f>
        <v>EDGARDO DG. CAO</v>
      </c>
      <c r="E594" s="2" t="str">
        <f>IFERROR(__xludf.DUMMYFUNCTION("""COMPUTED_VALUE"""),"0916-658-9877")</f>
        <v>0916-658-9877</v>
      </c>
      <c r="F594" s="2" t="str">
        <f>IFERROR(__xludf.DUMMYFUNCTION("""COMPUTED_VALUE"""),"RCEF 24-04-15")</f>
        <v>RCEF 24-04-15</v>
      </c>
      <c r="G594" s="2">
        <f>IFERROR(__xludf.DUMMYFUNCTION("""COMPUTED_VALUE"""),6.0)</f>
        <v>6</v>
      </c>
      <c r="H594" s="2">
        <f>IFERROR(__xludf.DUMMYFUNCTION("""COMPUTED_VALUE"""),22345.0)</f>
        <v>22345</v>
      </c>
      <c r="I594" s="2" t="str">
        <f>IFERROR(__xludf.DUMMYFUNCTION("""COMPUTED_VALUE"""),"KMC5825AERFPV0917")</f>
        <v>KMC5825AERFPV0917</v>
      </c>
      <c r="J594" s="2" t="str">
        <f>IFERROR(__xludf.DUMMYFUNCTION("""COMPUTED_VALUE"""),"RTS100806")</f>
        <v>RTS100806</v>
      </c>
      <c r="K594" s="2" t="str">
        <f>IFERROR(__xludf.DUMMYFUNCTION("""COMPUTED_VALUE"""),"LSGW170-RMP-24101059")</f>
        <v>LSGW170-RMP-24101059</v>
      </c>
      <c r="L594" s="2" t="str">
        <f>IFERROR(__xludf.DUMMYFUNCTION("""COMPUTED_VALUE"""),"WDP40-RMP-24111413")</f>
        <v>WDP40-RMP-24111413</v>
      </c>
      <c r="M594" s="2" t="str">
        <f>IFERROR(__xludf.DUMMYFUNCTION("""COMPUTED_VALUE"""),"WR-SERIES-1093PH")</f>
        <v>WR-SERIES-1093PH</v>
      </c>
      <c r="N594" s="2"/>
      <c r="O594" s="2" t="str">
        <f>IFERROR(__xludf.DUMMYFUNCTION("""COMPUTED_VALUE"""),"Vizal San Pablo")</f>
        <v>Vizal San Pablo</v>
      </c>
      <c r="P594" s="2" t="str">
        <f>IFERROR(__xludf.DUMMYFUNCTION("""COMPUTED_VALUE"""),"Candaba")</f>
        <v>Candaba</v>
      </c>
      <c r="Q594" s="2" t="str">
        <f>IFERROR(__xludf.DUMMYFUNCTION("""COMPUTED_VALUE"""),"Pampanga")</f>
        <v>Pampanga</v>
      </c>
      <c r="R594" s="2">
        <f>IFERROR(__xludf.DUMMYFUNCTION("""COMPUTED_VALUE"""),3.0)</f>
        <v>3</v>
      </c>
      <c r="S594" s="2"/>
      <c r="T594" s="2"/>
    </row>
    <row r="595">
      <c r="A595" s="1">
        <f>IFERROR(__xludf.DUMMYFUNCTION("""COMPUTED_VALUE"""),593.0)</f>
        <v>593</v>
      </c>
      <c r="B595" s="2" t="str">
        <f>IFERROR(__xludf.DUMMYFUNCTION("""COMPUTED_VALUE"""),"BUHAY PAG-ASA IRRIGATORS' ASSOCIATION, INC.")</f>
        <v>BUHAY PAG-ASA IRRIGATORS' ASSOCIATION, INC.</v>
      </c>
      <c r="C595" s="2" t="str">
        <f>IFERROR(__xludf.DUMMYFUNCTION("""COMPUTED_VALUE"""),"San Roque, San Luis, PAMPANGA")</f>
        <v>San Roque, San Luis, PAMPANGA</v>
      </c>
      <c r="D595" s="2" t="str">
        <f>IFERROR(__xludf.DUMMYFUNCTION("""COMPUTED_VALUE"""),"MAXIMIANO BINGCANG")</f>
        <v>MAXIMIANO BINGCANG</v>
      </c>
      <c r="E595" s="2" t="str">
        <f>IFERROR(__xludf.DUMMYFUNCTION("""COMPUTED_VALUE"""),"0905-282-0848")</f>
        <v>0905-282-0848</v>
      </c>
      <c r="F595" s="2" t="str">
        <f>IFERROR(__xludf.DUMMYFUNCTION("""COMPUTED_VALUE"""),"RCEF 24-04-15")</f>
        <v>RCEF 24-04-15</v>
      </c>
      <c r="G595" s="2">
        <f>IFERROR(__xludf.DUMMYFUNCTION("""COMPUTED_VALUE"""),6.0)</f>
        <v>6</v>
      </c>
      <c r="H595" s="2">
        <f>IFERROR(__xludf.DUMMYFUNCTION("""COMPUTED_VALUE"""),22346.0)</f>
        <v>22346</v>
      </c>
      <c r="I595" s="2" t="str">
        <f>IFERROR(__xludf.DUMMYFUNCTION("""COMPUTED_VALUE"""),"KMC5825ATRFPV0967")</f>
        <v>KMC5825ATRFPV0967</v>
      </c>
      <c r="J595" s="2" t="str">
        <f>IFERROR(__xludf.DUMMYFUNCTION("""COMPUTED_VALUE"""),"RTS100655")</f>
        <v>RTS100655</v>
      </c>
      <c r="K595" s="2" t="str">
        <f>IFERROR(__xludf.DUMMYFUNCTION("""COMPUTED_VALUE"""),"LSGW170-RMP-24101056")</f>
        <v>LSGW170-RMP-24101056</v>
      </c>
      <c r="L595" s="2" t="str">
        <f>IFERROR(__xludf.DUMMYFUNCTION("""COMPUTED_VALUE"""),"WDP40-RMP-24121438")</f>
        <v>WDP40-RMP-24121438</v>
      </c>
      <c r="M595" s="2" t="str">
        <f>IFERROR(__xludf.DUMMYFUNCTION("""COMPUTED_VALUE"""),"WR-SERIES-1094PH")</f>
        <v>WR-SERIES-1094PH</v>
      </c>
      <c r="N595" s="2"/>
      <c r="O595" s="2" t="str">
        <f>IFERROR(__xludf.DUMMYFUNCTION("""COMPUTED_VALUE"""),"San Roque")</f>
        <v>San Roque</v>
      </c>
      <c r="P595" s="2" t="str">
        <f>IFERROR(__xludf.DUMMYFUNCTION("""COMPUTED_VALUE"""),"San Luis")</f>
        <v>San Luis</v>
      </c>
      <c r="Q595" s="2" t="str">
        <f>IFERROR(__xludf.DUMMYFUNCTION("""COMPUTED_VALUE"""),"Pampanga")</f>
        <v>Pampanga</v>
      </c>
      <c r="R595" s="2">
        <f>IFERROR(__xludf.DUMMYFUNCTION("""COMPUTED_VALUE"""),3.0)</f>
        <v>3</v>
      </c>
      <c r="S595" s="2"/>
      <c r="T595" s="2"/>
    </row>
    <row r="596">
      <c r="A596" s="1">
        <f>IFERROR(__xludf.DUMMYFUNCTION("""COMPUTED_VALUE"""),594.0)</f>
        <v>594</v>
      </c>
      <c r="B596" s="2" t="str">
        <f>IFERROR(__xludf.DUMMYFUNCTION("""COMPUTED_VALUE"""),"United ARBs Agriculture Cooperative")</f>
        <v>United ARBs Agriculture Cooperative</v>
      </c>
      <c r="C596" s="2" t="str">
        <f>IFERROR(__xludf.DUMMYFUNCTION("""COMPUTED_VALUE"""),"Santo Rosario, San Luis, PAMPANGA")</f>
        <v>Santo Rosario, San Luis, PAMPANGA</v>
      </c>
      <c r="D596" s="2" t="str">
        <f>IFERROR(__xludf.DUMMYFUNCTION("""COMPUTED_VALUE"""),"RODELIO M. PEREZ")</f>
        <v>RODELIO M. PEREZ</v>
      </c>
      <c r="E596" s="2" t="str">
        <f>IFERROR(__xludf.DUMMYFUNCTION("""COMPUTED_VALUE"""),"0926-2747-612")</f>
        <v>0926-2747-612</v>
      </c>
      <c r="F596" s="2" t="str">
        <f>IFERROR(__xludf.DUMMYFUNCTION("""COMPUTED_VALUE"""),"RCEF 24-04-15")</f>
        <v>RCEF 24-04-15</v>
      </c>
      <c r="G596" s="2">
        <f>IFERROR(__xludf.DUMMYFUNCTION("""COMPUTED_VALUE"""),6.0)</f>
        <v>6</v>
      </c>
      <c r="H596" s="2">
        <f>IFERROR(__xludf.DUMMYFUNCTION("""COMPUTED_VALUE"""),22347.0)</f>
        <v>22347</v>
      </c>
      <c r="I596" s="2" t="str">
        <f>IFERROR(__xludf.DUMMYFUNCTION("""COMPUTED_VALUE"""),"KMC5825ALRFPV0882")</f>
        <v>KMC5825ALRFPV0882</v>
      </c>
      <c r="J596" s="2" t="str">
        <f>IFERROR(__xludf.DUMMYFUNCTION("""COMPUTED_VALUE"""),"RTS100797")</f>
        <v>RTS100797</v>
      </c>
      <c r="K596" s="2" t="str">
        <f>IFERROR(__xludf.DUMMYFUNCTION("""COMPUTED_VALUE"""),"LSGW170-RMP-24100986")</f>
        <v>LSGW170-RMP-24100986</v>
      </c>
      <c r="L596" s="2" t="str">
        <f>IFERROR(__xludf.DUMMYFUNCTION("""COMPUTED_VALUE"""),"WDP40-RMP-24111402")</f>
        <v>WDP40-RMP-24111402</v>
      </c>
      <c r="M596" s="2" t="str">
        <f>IFERROR(__xludf.DUMMYFUNCTION("""COMPUTED_VALUE"""),"WR-SERIES-1026PH")</f>
        <v>WR-SERIES-1026PH</v>
      </c>
      <c r="N596" s="2"/>
      <c r="O596" s="2" t="str">
        <f>IFERROR(__xludf.DUMMYFUNCTION("""COMPUTED_VALUE"""),"Santo Rosario")</f>
        <v>Santo Rosario</v>
      </c>
      <c r="P596" s="2" t="str">
        <f>IFERROR(__xludf.DUMMYFUNCTION("""COMPUTED_VALUE"""),"San Luis")</f>
        <v>San Luis</v>
      </c>
      <c r="Q596" s="2" t="str">
        <f>IFERROR(__xludf.DUMMYFUNCTION("""COMPUTED_VALUE"""),"Pampanga")</f>
        <v>Pampanga</v>
      </c>
      <c r="R596" s="2">
        <f>IFERROR(__xludf.DUMMYFUNCTION("""COMPUTED_VALUE"""),3.0)</f>
        <v>3</v>
      </c>
      <c r="S596" s="2"/>
      <c r="T596" s="2"/>
    </row>
    <row r="597">
      <c r="A597" s="1">
        <f>IFERROR(__xludf.DUMMYFUNCTION("""COMPUTED_VALUE"""),595.0)</f>
        <v>595</v>
      </c>
      <c r="B597" s="2" t="str">
        <f>IFERROR(__xludf.DUMMYFUNCTION("""COMPUTED_VALUE"""),"GP 125 IRRIGATION SERVICE ASSOCIATION INC.")</f>
        <v>GP 125 IRRIGATION SERVICE ASSOCIATION INC.</v>
      </c>
      <c r="C597" s="2" t="str">
        <f>IFERROR(__xludf.DUMMYFUNCTION("""COMPUTED_VALUE"""),"Pance, Ramos, TARLAC")</f>
        <v>Pance, Ramos, TARLAC</v>
      </c>
      <c r="D597" s="2" t="str">
        <f>IFERROR(__xludf.DUMMYFUNCTION("""COMPUTED_VALUE"""),"Evelyn M. Fontillas")</f>
        <v>Evelyn M. Fontillas</v>
      </c>
      <c r="E597" s="2">
        <f>IFERROR(__xludf.DUMMYFUNCTION("""COMPUTED_VALUE"""),9.702028212E9)</f>
        <v>9702028212</v>
      </c>
      <c r="F597" s="2" t="str">
        <f>IFERROR(__xludf.DUMMYFUNCTION("""COMPUTED_VALUE"""),"RCEF 24-04-15")</f>
        <v>RCEF 24-04-15</v>
      </c>
      <c r="G597" s="2">
        <f>IFERROR(__xludf.DUMMYFUNCTION("""COMPUTED_VALUE"""),6.0)</f>
        <v>6</v>
      </c>
      <c r="H597" s="2">
        <f>IFERROR(__xludf.DUMMYFUNCTION("""COMPUTED_VALUE"""),22348.0)</f>
        <v>22348</v>
      </c>
      <c r="I597" s="2" t="str">
        <f>IFERROR(__xludf.DUMMYFUNCTION("""COMPUTED_VALUE"""),"KMC5825AKRFPV0955")</f>
        <v>KMC5825AKRFPV0955</v>
      </c>
      <c r="J597" s="2" t="str">
        <f>IFERROR(__xludf.DUMMYFUNCTION("""COMPUTED_VALUE"""),"RTS100670")</f>
        <v>RTS100670</v>
      </c>
      <c r="K597" s="2" t="str">
        <f>IFERROR(__xludf.DUMMYFUNCTION("""COMPUTED_VALUE"""),"LSGW170-RMP-24101002")</f>
        <v>LSGW170-RMP-24101002</v>
      </c>
      <c r="L597" s="2" t="str">
        <f>IFERROR(__xludf.DUMMYFUNCTION("""COMPUTED_VALUE"""),"WDP40-RMP-24111386")</f>
        <v>WDP40-RMP-24111386</v>
      </c>
      <c r="M597" s="2" t="str">
        <f>IFERROR(__xludf.DUMMYFUNCTION("""COMPUTED_VALUE"""),"WR-SERIES-1022PH")</f>
        <v>WR-SERIES-1022PH</v>
      </c>
      <c r="N597" s="2"/>
      <c r="O597" s="2" t="str">
        <f>IFERROR(__xludf.DUMMYFUNCTION("""COMPUTED_VALUE"""),"Pance")</f>
        <v>Pance</v>
      </c>
      <c r="P597" s="2" t="str">
        <f>IFERROR(__xludf.DUMMYFUNCTION("""COMPUTED_VALUE"""),"Ramos")</f>
        <v>Ramos</v>
      </c>
      <c r="Q597" s="2" t="str">
        <f>IFERROR(__xludf.DUMMYFUNCTION("""COMPUTED_VALUE"""),"Tarlac")</f>
        <v>Tarlac</v>
      </c>
      <c r="R597" s="2">
        <f>IFERROR(__xludf.DUMMYFUNCTION("""COMPUTED_VALUE"""),3.0)</f>
        <v>3</v>
      </c>
      <c r="S597" s="2"/>
      <c r="T597" s="2"/>
    </row>
    <row r="598">
      <c r="A598" s="1">
        <f>IFERROR(__xludf.DUMMYFUNCTION("""COMPUTED_VALUE"""),596.0)</f>
        <v>596</v>
      </c>
      <c r="B598" s="2" t="str">
        <f>IFERROR(__xludf.DUMMYFUNCTION("""COMPUTED_VALUE"""),"SITE GUAVA FARMERS INCORPORATED")</f>
        <v>SITE GUAVA FARMERS INCORPORATED</v>
      </c>
      <c r="C598" s="2" t="str">
        <f>IFERROR(__xludf.DUMMYFUNCTION("""COMPUTED_VALUE"""),"Armenia, Tarlac City, TARLAC")</f>
        <v>Armenia, Tarlac City, TARLAC</v>
      </c>
      <c r="D598" s="2" t="str">
        <f>IFERROR(__xludf.DUMMYFUNCTION("""COMPUTED_VALUE"""),"Ronnie C. Yumul")</f>
        <v>Ronnie C. Yumul</v>
      </c>
      <c r="E598" s="2" t="str">
        <f>IFERROR(__xludf.DUMMYFUNCTION("""COMPUTED_VALUE"""),"0928-490-5265")</f>
        <v>0928-490-5265</v>
      </c>
      <c r="F598" s="2" t="str">
        <f>IFERROR(__xludf.DUMMYFUNCTION("""COMPUTED_VALUE"""),"RCEF 24-04-15")</f>
        <v>RCEF 24-04-15</v>
      </c>
      <c r="G598" s="2">
        <f>IFERROR(__xludf.DUMMYFUNCTION("""COMPUTED_VALUE"""),6.0)</f>
        <v>6</v>
      </c>
      <c r="H598" s="2">
        <f>IFERROR(__xludf.DUMMYFUNCTION("""COMPUTED_VALUE"""),22349.0)</f>
        <v>22349</v>
      </c>
      <c r="I598" s="2" t="str">
        <f>IFERROR(__xludf.DUMMYFUNCTION("""COMPUTED_VALUE"""),"KMC5825ALRFPV0896")</f>
        <v>KMC5825ALRFPV0896</v>
      </c>
      <c r="J598" s="2" t="str">
        <f>IFERROR(__xludf.DUMMYFUNCTION("""COMPUTED_VALUE"""),"RTS100818")</f>
        <v>RTS100818</v>
      </c>
      <c r="K598" s="2" t="str">
        <f>IFERROR(__xludf.DUMMYFUNCTION("""COMPUTED_VALUE"""),"LSGW170-RMP-24101049")</f>
        <v>LSGW170-RMP-24101049</v>
      </c>
      <c r="L598" s="2" t="str">
        <f>IFERROR(__xludf.DUMMYFUNCTION("""COMPUTED_VALUE"""),"WDP40-RMP-24111406")</f>
        <v>WDP40-RMP-24111406</v>
      </c>
      <c r="M598" s="2" t="str">
        <f>IFERROR(__xludf.DUMMYFUNCTION("""COMPUTED_VALUE"""),"WR-SERIES-1017PH")</f>
        <v>WR-SERIES-1017PH</v>
      </c>
      <c r="N598" s="2"/>
      <c r="O598" s="2" t="str">
        <f>IFERROR(__xludf.DUMMYFUNCTION("""COMPUTED_VALUE"""),"Armenia")</f>
        <v>Armenia</v>
      </c>
      <c r="P598" s="2" t="str">
        <f>IFERROR(__xludf.DUMMYFUNCTION("""COMPUTED_VALUE"""),"Tarlac City")</f>
        <v>Tarlac City</v>
      </c>
      <c r="Q598" s="2" t="str">
        <f>IFERROR(__xludf.DUMMYFUNCTION("""COMPUTED_VALUE"""),"Tarlac")</f>
        <v>Tarlac</v>
      </c>
      <c r="R598" s="2">
        <f>IFERROR(__xludf.DUMMYFUNCTION("""COMPUTED_VALUE"""),3.0)</f>
        <v>3</v>
      </c>
      <c r="S598" s="2"/>
      <c r="T598" s="2"/>
    </row>
    <row r="599">
      <c r="A599" s="1">
        <f>IFERROR(__xludf.DUMMYFUNCTION("""COMPUTED_VALUE"""),597.0)</f>
        <v>597</v>
      </c>
      <c r="B599" s="2" t="str">
        <f>IFERROR(__xludf.DUMMYFUNCTION("""COMPUTED_VALUE"""),"Bagong Sibul Farmers Agriculture Cooperative")</f>
        <v>Bagong Sibul Farmers Agriculture Cooperative</v>
      </c>
      <c r="C599" s="2" t="str">
        <f>IFERROR(__xludf.DUMMYFUNCTION("""COMPUTED_VALUE"""),"Castillo, Concepcion, TARLAC")</f>
        <v>Castillo, Concepcion, TARLAC</v>
      </c>
      <c r="D599" s="2" t="str">
        <f>IFERROR(__xludf.DUMMYFUNCTION("""COMPUTED_VALUE"""),"Nolito Buan/Fausto T. Ocampo, Jr.")</f>
        <v>Nolito Buan/Fausto T. Ocampo, Jr.</v>
      </c>
      <c r="E599" s="2" t="str">
        <f>IFERROR(__xludf.DUMMYFUNCTION("""COMPUTED_VALUE"""),"0936-445-0315/ 0956-057-2592")</f>
        <v>0936-445-0315/ 0956-057-2592</v>
      </c>
      <c r="F599" s="2" t="str">
        <f>IFERROR(__xludf.DUMMYFUNCTION("""COMPUTED_VALUE"""),"RCEF 24-04-15")</f>
        <v>RCEF 24-04-15</v>
      </c>
      <c r="G599" s="2">
        <f>IFERROR(__xludf.DUMMYFUNCTION("""COMPUTED_VALUE"""),6.0)</f>
        <v>6</v>
      </c>
      <c r="H599" s="2">
        <f>IFERROR(__xludf.DUMMYFUNCTION("""COMPUTED_VALUE"""),22350.0)</f>
        <v>22350</v>
      </c>
      <c r="I599" s="2" t="str">
        <f>IFERROR(__xludf.DUMMYFUNCTION("""COMPUTED_VALUE"""),"KMC5825AJRFPV0956")</f>
        <v>KMC5825AJRFPV0956</v>
      </c>
      <c r="J599" s="2" t="str">
        <f>IFERROR(__xludf.DUMMYFUNCTION("""COMPUTED_VALUE"""),"RTS100651")</f>
        <v>RTS100651</v>
      </c>
      <c r="K599" s="2" t="str">
        <f>IFERROR(__xludf.DUMMYFUNCTION("""COMPUTED_VALUE"""),"LSGW170-RMP-24101055")</f>
        <v>LSGW170-RMP-24101055</v>
      </c>
      <c r="L599" s="2" t="str">
        <f>IFERROR(__xludf.DUMMYFUNCTION("""COMPUTED_VALUE"""),"WDP40-RMP-24111411")</f>
        <v>WDP40-RMP-24111411</v>
      </c>
      <c r="M599" s="2" t="str">
        <f>IFERROR(__xludf.DUMMYFUNCTION("""COMPUTED_VALUE"""),"WR-SERIES-1109PH")</f>
        <v>WR-SERIES-1109PH</v>
      </c>
      <c r="N599" s="2"/>
      <c r="O599" s="2" t="str">
        <f>IFERROR(__xludf.DUMMYFUNCTION("""COMPUTED_VALUE"""),"Castillo")</f>
        <v>Castillo</v>
      </c>
      <c r="P599" s="2" t="str">
        <f>IFERROR(__xludf.DUMMYFUNCTION("""COMPUTED_VALUE"""),"Concepcion")</f>
        <v>Concepcion</v>
      </c>
      <c r="Q599" s="2" t="str">
        <f>IFERROR(__xludf.DUMMYFUNCTION("""COMPUTED_VALUE"""),"Tarlac")</f>
        <v>Tarlac</v>
      </c>
      <c r="R599" s="2">
        <f>IFERROR(__xludf.DUMMYFUNCTION("""COMPUTED_VALUE"""),3.0)</f>
        <v>3</v>
      </c>
      <c r="S599" s="2"/>
      <c r="T599" s="2"/>
    </row>
    <row r="600">
      <c r="A600" s="1">
        <f>IFERROR(__xludf.DUMMYFUNCTION("""COMPUTED_VALUE"""),598.0)</f>
        <v>598</v>
      </c>
      <c r="B600" s="2" t="str">
        <f>IFERROR(__xludf.DUMMYFUNCTION("""COMPUTED_VALUE"""),"Masikap Farmers Association")</f>
        <v>Masikap Farmers Association</v>
      </c>
      <c r="C600" s="2" t="str">
        <f>IFERROR(__xludf.DUMMYFUNCTION("""COMPUTED_VALUE"""),"Tayabo, San Jose, Nueva Ecija")</f>
        <v>Tayabo, San Jose, Nueva Ecija</v>
      </c>
      <c r="D600" s="2" t="str">
        <f>IFERROR(__xludf.DUMMYFUNCTION("""COMPUTED_VALUE"""),"Rolando Gonzales")</f>
        <v>Rolando Gonzales</v>
      </c>
      <c r="E600" s="2">
        <f>IFERROR(__xludf.DUMMYFUNCTION("""COMPUTED_VALUE"""),9.150078166E9)</f>
        <v>9150078166</v>
      </c>
      <c r="F600" s="2" t="str">
        <f>IFERROR(__xludf.DUMMYFUNCTION("""COMPUTED_VALUE"""),"RCEF 24-04-15")</f>
        <v>RCEF 24-04-15</v>
      </c>
      <c r="G600" s="2">
        <f>IFERROR(__xludf.DUMMYFUNCTION("""COMPUTED_VALUE"""),6.0)</f>
        <v>6</v>
      </c>
      <c r="H600" s="2">
        <f>IFERROR(__xludf.DUMMYFUNCTION("""COMPUTED_VALUE"""),22351.0)</f>
        <v>22351</v>
      </c>
      <c r="I600" s="2" t="str">
        <f>IFERROR(__xludf.DUMMYFUNCTION("""COMPUTED_VALUE"""),"KMC5825AERFPV0898")</f>
        <v>KMC5825AERFPV0898</v>
      </c>
      <c r="J600" s="2" t="str">
        <f>IFERROR(__xludf.DUMMYFUNCTION("""COMPUTED_VALUE"""),"RTS100819")</f>
        <v>RTS100819</v>
      </c>
      <c r="K600" s="2" t="str">
        <f>IFERROR(__xludf.DUMMYFUNCTION("""COMPUTED_VALUE"""),"LSGW170-RMP-24100988")</f>
        <v>LSGW170-RMP-24100988</v>
      </c>
      <c r="L600" s="2" t="str">
        <f>IFERROR(__xludf.DUMMYFUNCTION("""COMPUTED_VALUE"""),"WDP40-RMP-24111418")</f>
        <v>WDP40-RMP-24111418</v>
      </c>
      <c r="M600" s="2" t="str">
        <f>IFERROR(__xludf.DUMMYFUNCTION("""COMPUTED_VALUE"""),"WR-SERIES-1003PH")</f>
        <v>WR-SERIES-1003PH</v>
      </c>
      <c r="N600" s="2"/>
      <c r="O600" s="2" t="str">
        <f>IFERROR(__xludf.DUMMYFUNCTION("""COMPUTED_VALUE"""),"Tayabo")</f>
        <v>Tayabo</v>
      </c>
      <c r="P600" s="2" t="str">
        <f>IFERROR(__xludf.DUMMYFUNCTION("""COMPUTED_VALUE"""),"San Jose")</f>
        <v>San Jose</v>
      </c>
      <c r="Q600" s="2" t="str">
        <f>IFERROR(__xludf.DUMMYFUNCTION("""COMPUTED_VALUE"""),"Nueva Ecija")</f>
        <v>Nueva Ecija</v>
      </c>
      <c r="R600" s="2">
        <f>IFERROR(__xludf.DUMMYFUNCTION("""COMPUTED_VALUE"""),3.0)</f>
        <v>3</v>
      </c>
      <c r="S600" s="2"/>
      <c r="T600" s="2"/>
    </row>
    <row r="601">
      <c r="A601" s="1">
        <f>IFERROR(__xludf.DUMMYFUNCTION("""COMPUTED_VALUE"""),599.0)</f>
        <v>599</v>
      </c>
      <c r="B601" s="2" t="str">
        <f>IFERROR(__xludf.DUMMYFUNCTION("""COMPUTED_VALUE"""),"Municipal Local Government Unit of Talavera")</f>
        <v>Municipal Local Government Unit of Talavera</v>
      </c>
      <c r="C601" s="2" t="str">
        <f>IFERROR(__xludf.DUMMYFUNCTION("""COMPUTED_VALUE"""),"Poblacion West, Talavera, Nueva Ecija")</f>
        <v>Poblacion West, Talavera, Nueva Ecija</v>
      </c>
      <c r="D601" s="2" t="str">
        <f>IFERROR(__xludf.DUMMYFUNCTION("""COMPUTED_VALUE"""),"#N/A")</f>
        <v>#N/A</v>
      </c>
      <c r="E601" s="2" t="str">
        <f>IFERROR(__xludf.DUMMYFUNCTION("""COMPUTED_VALUE"""),"#N/A")</f>
        <v>#N/A</v>
      </c>
      <c r="F601" s="2" t="str">
        <f>IFERROR(__xludf.DUMMYFUNCTION("""COMPUTED_VALUE"""),"RCEF 24-04-15")</f>
        <v>RCEF 24-04-15</v>
      </c>
      <c r="G601" s="2">
        <f>IFERROR(__xludf.DUMMYFUNCTION("""COMPUTED_VALUE"""),6.0)</f>
        <v>6</v>
      </c>
      <c r="H601" s="2">
        <f>IFERROR(__xludf.DUMMYFUNCTION("""COMPUTED_VALUE"""),22352.0)</f>
        <v>22352</v>
      </c>
      <c r="I601" s="2" t="str">
        <f>IFERROR(__xludf.DUMMYFUNCTION("""COMPUTED_VALUE"""),"KMC5825APRFPV0954")</f>
        <v>KMC5825APRFPV0954</v>
      </c>
      <c r="J601" s="2" t="str">
        <f>IFERROR(__xludf.DUMMYFUNCTION("""COMPUTED_VALUE"""),"RTS100825")</f>
        <v>RTS100825</v>
      </c>
      <c r="K601" s="2" t="str">
        <f>IFERROR(__xludf.DUMMYFUNCTION("""COMPUTED_VALUE"""),"LSGW170-RMP-24101066")</f>
        <v>LSGW170-RMP-24101066</v>
      </c>
      <c r="L601" s="2" t="str">
        <f>IFERROR(__xludf.DUMMYFUNCTION("""COMPUTED_VALUE"""),"WDP40-RMP-24111404")</f>
        <v>WDP40-RMP-24111404</v>
      </c>
      <c r="M601" s="2" t="str">
        <f>IFERROR(__xludf.DUMMYFUNCTION("""COMPUTED_VALUE"""),"WR-SERIES-1014PH")</f>
        <v>WR-SERIES-1014PH</v>
      </c>
      <c r="N601" s="2"/>
      <c r="O601" s="2" t="str">
        <f>IFERROR(__xludf.DUMMYFUNCTION("""COMPUTED_VALUE"""),"Poblacion West")</f>
        <v>Poblacion West</v>
      </c>
      <c r="P601" s="2" t="str">
        <f>IFERROR(__xludf.DUMMYFUNCTION("""COMPUTED_VALUE"""),"Talavera")</f>
        <v>Talavera</v>
      </c>
      <c r="Q601" s="2" t="str">
        <f>IFERROR(__xludf.DUMMYFUNCTION("""COMPUTED_VALUE"""),"Nueva Ecija")</f>
        <v>Nueva Ecija</v>
      </c>
      <c r="R601" s="2">
        <f>IFERROR(__xludf.DUMMYFUNCTION("""COMPUTED_VALUE"""),3.0)</f>
        <v>3</v>
      </c>
      <c r="S601" s="2"/>
      <c r="T601" s="2"/>
    </row>
    <row r="602">
      <c r="A602" s="1">
        <f>IFERROR(__xludf.DUMMYFUNCTION("""COMPUTED_VALUE"""),600.0)</f>
        <v>600</v>
      </c>
      <c r="B602" s="2" t="str">
        <f>IFERROR(__xludf.DUMMYFUNCTION("""COMPUTED_VALUE"""),"Masikap Farmers and Farm Workers Association")</f>
        <v>Masikap Farmers and Farm Workers Association</v>
      </c>
      <c r="C602" s="2" t="str">
        <f>IFERROR(__xludf.DUMMYFUNCTION("""COMPUTED_VALUE"""),"San Fernando Norte, Cabiao, Nueva Ecija")</f>
        <v>San Fernando Norte, Cabiao, Nueva Ecija</v>
      </c>
      <c r="D602" s="2" t="str">
        <f>IFERROR(__xludf.DUMMYFUNCTION("""COMPUTED_VALUE"""),"#N/A")</f>
        <v>#N/A</v>
      </c>
      <c r="E602" s="2" t="str">
        <f>IFERROR(__xludf.DUMMYFUNCTION("""COMPUTED_VALUE"""),"#N/A")</f>
        <v>#N/A</v>
      </c>
      <c r="F602" s="2" t="str">
        <f>IFERROR(__xludf.DUMMYFUNCTION("""COMPUTED_VALUE"""),"RCEF 24-04-15")</f>
        <v>RCEF 24-04-15</v>
      </c>
      <c r="G602" s="2">
        <f>IFERROR(__xludf.DUMMYFUNCTION("""COMPUTED_VALUE"""),6.0)</f>
        <v>6</v>
      </c>
      <c r="H602" s="2">
        <f>IFERROR(__xludf.DUMMYFUNCTION("""COMPUTED_VALUE"""),22353.0)</f>
        <v>22353</v>
      </c>
      <c r="I602" s="2" t="str">
        <f>IFERROR(__xludf.DUMMYFUNCTION("""COMPUTED_VALUE"""),"KMC5825APRFPV0887")</f>
        <v>KMC5825APRFPV0887</v>
      </c>
      <c r="J602" s="2" t="str">
        <f>IFERROR(__xludf.DUMMYFUNCTION("""COMPUTED_VALUE"""),"RTS100801")</f>
        <v>RTS100801</v>
      </c>
      <c r="K602" s="2" t="str">
        <f>IFERROR(__xludf.DUMMYFUNCTION("""COMPUTED_VALUE"""),"LSGW170-RMP-24100975")</f>
        <v>LSGW170-RMP-24100975</v>
      </c>
      <c r="L602" s="2" t="str">
        <f>IFERROR(__xludf.DUMMYFUNCTION("""COMPUTED_VALUE"""),"WDP40-RMP-24111366")</f>
        <v>WDP40-RMP-24111366</v>
      </c>
      <c r="M602" s="2" t="str">
        <f>IFERROR(__xludf.DUMMYFUNCTION("""COMPUTED_VALUE"""),"WR-SERIES-1068PH")</f>
        <v>WR-SERIES-1068PH</v>
      </c>
      <c r="N602" s="2"/>
      <c r="O602" s="2" t="str">
        <f>IFERROR(__xludf.DUMMYFUNCTION("""COMPUTED_VALUE"""),"San Fernando Norte")</f>
        <v>San Fernando Norte</v>
      </c>
      <c r="P602" s="2" t="str">
        <f>IFERROR(__xludf.DUMMYFUNCTION("""COMPUTED_VALUE"""),"Cabiao")</f>
        <v>Cabiao</v>
      </c>
      <c r="Q602" s="2" t="str">
        <f>IFERROR(__xludf.DUMMYFUNCTION("""COMPUTED_VALUE"""),"Nueva Ecija")</f>
        <v>Nueva Ecija</v>
      </c>
      <c r="R602" s="2">
        <f>IFERROR(__xludf.DUMMYFUNCTION("""COMPUTED_VALUE"""),3.0)</f>
        <v>3</v>
      </c>
      <c r="S602" s="2"/>
      <c r="T602" s="2"/>
    </row>
    <row r="603">
      <c r="A603" s="1">
        <f>IFERROR(__xludf.DUMMYFUNCTION("""COMPUTED_VALUE"""),601.0)</f>
        <v>601</v>
      </c>
      <c r="B603" s="2" t="str">
        <f>IFERROR(__xludf.DUMMYFUNCTION("""COMPUTED_VALUE"""),"Samahang Magsasaka ng Imbunia Agriculture Cooperative (SM IMBUNIA AGRI. COOP)")</f>
        <v>Samahang Magsasaka ng Imbunia Agriculture Cooperative (SM IMBUNIA AGRI. COOP)</v>
      </c>
      <c r="C603" s="2" t="str">
        <f>IFERROR(__xludf.DUMMYFUNCTION("""COMPUTED_VALUE"""),"Imbunia, Jaen, Nueva Ecija")</f>
        <v>Imbunia, Jaen, Nueva Ecija</v>
      </c>
      <c r="D603" s="2" t="str">
        <f>IFERROR(__xludf.DUMMYFUNCTION("""COMPUTED_VALUE"""),"#N/A")</f>
        <v>#N/A</v>
      </c>
      <c r="E603" s="2" t="str">
        <f>IFERROR(__xludf.DUMMYFUNCTION("""COMPUTED_VALUE"""),"#N/A")</f>
        <v>#N/A</v>
      </c>
      <c r="F603" s="2" t="str">
        <f>IFERROR(__xludf.DUMMYFUNCTION("""COMPUTED_VALUE"""),"RCEF 24-04-15")</f>
        <v>RCEF 24-04-15</v>
      </c>
      <c r="G603" s="2">
        <f>IFERROR(__xludf.DUMMYFUNCTION("""COMPUTED_VALUE"""),6.0)</f>
        <v>6</v>
      </c>
      <c r="H603" s="2">
        <f>IFERROR(__xludf.DUMMYFUNCTION("""COMPUTED_VALUE"""),22354.0)</f>
        <v>22354</v>
      </c>
      <c r="I603" s="2" t="str">
        <f>IFERROR(__xludf.DUMMYFUNCTION("""COMPUTED_VALUE"""),"KMC5825ATRFPV0905")</f>
        <v>KMC5825ATRFPV0905</v>
      </c>
      <c r="J603" s="2" t="str">
        <f>IFERROR(__xludf.DUMMYFUNCTION("""COMPUTED_VALUE"""),"RTS100809")</f>
        <v>RTS100809</v>
      </c>
      <c r="K603" s="2" t="str">
        <f>IFERROR(__xludf.DUMMYFUNCTION("""COMPUTED_VALUE"""),"LSGW170-RMP-24101067")</f>
        <v>LSGW170-RMP-24101067</v>
      </c>
      <c r="L603" s="2" t="str">
        <f>IFERROR(__xludf.DUMMYFUNCTION("""COMPUTED_VALUE"""),"WDP40-RMP-24111361")</f>
        <v>WDP40-RMP-24111361</v>
      </c>
      <c r="M603" s="2" t="str">
        <f>IFERROR(__xludf.DUMMYFUNCTION("""COMPUTED_VALUE"""),"WR-SERIES-1001PH")</f>
        <v>WR-SERIES-1001PH</v>
      </c>
      <c r="N603" s="2"/>
      <c r="O603" s="2" t="str">
        <f>IFERROR(__xludf.DUMMYFUNCTION("""COMPUTED_VALUE"""),"Imbunia")</f>
        <v>Imbunia</v>
      </c>
      <c r="P603" s="2" t="str">
        <f>IFERROR(__xludf.DUMMYFUNCTION("""COMPUTED_VALUE"""),"Jaen")</f>
        <v>Jaen</v>
      </c>
      <c r="Q603" s="2" t="str">
        <f>IFERROR(__xludf.DUMMYFUNCTION("""COMPUTED_VALUE"""),"Nueva Ecija")</f>
        <v>Nueva Ecija</v>
      </c>
      <c r="R603" s="2">
        <f>IFERROR(__xludf.DUMMYFUNCTION("""COMPUTED_VALUE"""),3.0)</f>
        <v>3</v>
      </c>
      <c r="S603" s="2"/>
      <c r="T603" s="2"/>
    </row>
    <row r="604">
      <c r="A604" s="1">
        <f>IFERROR(__xludf.DUMMYFUNCTION("""COMPUTED_VALUE"""),602.0)</f>
        <v>602</v>
      </c>
      <c r="B604" s="2" t="str">
        <f>IFERROR(__xludf.DUMMYFUNCTION("""COMPUTED_VALUE"""),"VILLA SANTIAGO FARMERS ASSOCIATION")</f>
        <v>VILLA SANTIAGO FARMERS ASSOCIATION</v>
      </c>
      <c r="C604" s="2" t="str">
        <f>IFERROR(__xludf.DUMMYFUNCTION("""COMPUTED_VALUE"""),"Villa Santiago, Aglipay, QUIRINO")</f>
        <v>Villa Santiago, Aglipay, QUIRINO</v>
      </c>
      <c r="D604" s="2" t="str">
        <f>IFERROR(__xludf.DUMMYFUNCTION("""COMPUTED_VALUE"""),"GEMMA R. TAPAOAN")</f>
        <v>GEMMA R. TAPAOAN</v>
      </c>
      <c r="E604" s="2" t="str">
        <f>IFERROR(__xludf.DUMMYFUNCTION("""COMPUTED_VALUE"""),"0905-694-4272")</f>
        <v>0905-694-4272</v>
      </c>
      <c r="F604" s="2" t="str">
        <f>IFERROR(__xludf.DUMMYFUNCTION("""COMPUTED_VALUE"""),"RCEF 24-04-15")</f>
        <v>RCEF 24-04-15</v>
      </c>
      <c r="G604" s="2">
        <f>IFERROR(__xludf.DUMMYFUNCTION("""COMPUTED_VALUE"""),6.0)</f>
        <v>6</v>
      </c>
      <c r="H604" s="2" t="str">
        <f>IFERROR(__xludf.DUMMYFUNCTION("""COMPUTED_VALUE"""),"19951/21085")</f>
        <v>19951/21085</v>
      </c>
      <c r="I604" s="2" t="str">
        <f>IFERROR(__xludf.DUMMYFUNCTION("""COMPUTED_VALUE"""),"KMC5825AJRFPV0651")</f>
        <v>KMC5825AJRFPV0651</v>
      </c>
      <c r="J604" s="2" t="str">
        <f>IFERROR(__xludf.DUMMYFUNCTION("""COMPUTED_VALUE"""),"RTS100542")</f>
        <v>RTS100542</v>
      </c>
      <c r="K604" s="2" t="str">
        <f>IFERROR(__xludf.DUMMYFUNCTION("""COMPUTED_VALUE"""),"LSGW170-RMP-24040635")</f>
        <v>LSGW170-RMP-24040635</v>
      </c>
      <c r="L604" s="2" t="str">
        <f>IFERROR(__xludf.DUMMYFUNCTION("""COMPUTED_VALUE"""),"WDP40-RMP-24121441")</f>
        <v>WDP40-RMP-24121441</v>
      </c>
      <c r="M604" s="2" t="str">
        <f>IFERROR(__xludf.DUMMYFUNCTION("""COMPUTED_VALUE"""),"WR-SERIES-986PH")</f>
        <v>WR-SERIES-986PH</v>
      </c>
      <c r="N604" s="2"/>
      <c r="O604" s="2" t="str">
        <f>IFERROR(__xludf.DUMMYFUNCTION("""COMPUTED_VALUE"""),"Villa Santiago")</f>
        <v>Villa Santiago</v>
      </c>
      <c r="P604" s="2" t="str">
        <f>IFERROR(__xludf.DUMMYFUNCTION("""COMPUTED_VALUE"""),"Aglipay")</f>
        <v>Aglipay</v>
      </c>
      <c r="Q604" s="2" t="str">
        <f>IFERROR(__xludf.DUMMYFUNCTION("""COMPUTED_VALUE"""),"Quirino")</f>
        <v>Quirino</v>
      </c>
      <c r="R604" s="2">
        <f>IFERROR(__xludf.DUMMYFUNCTION("""COMPUTED_VALUE"""),2.0)</f>
        <v>2</v>
      </c>
      <c r="S604" s="2"/>
      <c r="T604" s="2"/>
    </row>
    <row r="605">
      <c r="A605" s="1">
        <f>IFERROR(__xludf.DUMMYFUNCTION("""COMPUTED_VALUE"""),603.0)</f>
        <v>603</v>
      </c>
      <c r="B605" s="2" t="str">
        <f>IFERROR(__xludf.DUMMYFUNCTION("""COMPUTED_VALUE"""),"Maddela Auto Savings Multi-Purpose Cooperative")</f>
        <v>Maddela Auto Savings Multi-Purpose Cooperative</v>
      </c>
      <c r="C605" s="2" t="str">
        <f>IFERROR(__xludf.DUMMYFUNCTION("""COMPUTED_VALUE"""),"Poblacion Norte, Maddela, QUIRINO")</f>
        <v>Poblacion Norte, Maddela, QUIRINO</v>
      </c>
      <c r="D605" s="2" t="str">
        <f>IFERROR(__xludf.DUMMYFUNCTION("""COMPUTED_VALUE"""),"BONIFACIO B. KINDIPAN")</f>
        <v>BONIFACIO B. KINDIPAN</v>
      </c>
      <c r="E605" s="2" t="str">
        <f>IFERROR(__xludf.DUMMYFUNCTION("""COMPUTED_VALUE"""),"0966-362-8133")</f>
        <v>0966-362-8133</v>
      </c>
      <c r="F605" s="2" t="str">
        <f>IFERROR(__xludf.DUMMYFUNCTION("""COMPUTED_VALUE"""),"RCEF 24-04-15")</f>
        <v>RCEF 24-04-15</v>
      </c>
      <c r="G605" s="2">
        <f>IFERROR(__xludf.DUMMYFUNCTION("""COMPUTED_VALUE"""),6.0)</f>
        <v>6</v>
      </c>
      <c r="H605" s="2" t="str">
        <f>IFERROR(__xludf.DUMMYFUNCTION("""COMPUTED_VALUE"""),"19952/21086")</f>
        <v>19952/21086</v>
      </c>
      <c r="I605" s="2" t="str">
        <f>IFERROR(__xludf.DUMMYFUNCTION("""COMPUTED_VALUE"""),"KMC5825ACRFPV0649")</f>
        <v>KMC5825ACRFPV0649</v>
      </c>
      <c r="J605" s="2" t="str">
        <f>IFERROR(__xludf.DUMMYFUNCTION("""COMPUTED_VALUE"""),"RTS100547")</f>
        <v>RTS100547</v>
      </c>
      <c r="K605" s="2" t="str">
        <f>IFERROR(__xludf.DUMMYFUNCTION("""COMPUTED_VALUE"""),"LSGW170-RMP-24040648")</f>
        <v>LSGW170-RMP-24040648</v>
      </c>
      <c r="L605" s="2" t="str">
        <f>IFERROR(__xludf.DUMMYFUNCTION("""COMPUTED_VALUE"""),"WDP40-RMP-24121488")</f>
        <v>WDP40-RMP-24121488</v>
      </c>
      <c r="M605" s="2" t="str">
        <f>IFERROR(__xludf.DUMMYFUNCTION("""COMPUTED_VALUE"""),"WR-SERIES-997PH")</f>
        <v>WR-SERIES-997PH</v>
      </c>
      <c r="N605" s="2"/>
      <c r="O605" s="2" t="str">
        <f>IFERROR(__xludf.DUMMYFUNCTION("""COMPUTED_VALUE"""),"Poblacion Norte")</f>
        <v>Poblacion Norte</v>
      </c>
      <c r="P605" s="2" t="str">
        <f>IFERROR(__xludf.DUMMYFUNCTION("""COMPUTED_VALUE"""),"Maddela")</f>
        <v>Maddela</v>
      </c>
      <c r="Q605" s="2" t="str">
        <f>IFERROR(__xludf.DUMMYFUNCTION("""COMPUTED_VALUE"""),"Quirino")</f>
        <v>Quirino</v>
      </c>
      <c r="R605" s="2">
        <f>IFERROR(__xludf.DUMMYFUNCTION("""COMPUTED_VALUE"""),2.0)</f>
        <v>2</v>
      </c>
      <c r="S605" s="2"/>
      <c r="T605" s="2"/>
    </row>
    <row r="606">
      <c r="A606" s="1">
        <f>IFERROR(__xludf.DUMMYFUNCTION("""COMPUTED_VALUE"""),604.0)</f>
        <v>604</v>
      </c>
      <c r="B606" s="2" t="str">
        <f>IFERROR(__xludf.DUMMYFUNCTION("""COMPUTED_VALUE"""),"Dumanisi arb Multipurpose Cooperative (DARBENCO MPC)")</f>
        <v>Dumanisi arb Multipurpose Cooperative (DARBENCO MPC)</v>
      </c>
      <c r="C606" s="2" t="str">
        <f>IFERROR(__xludf.DUMMYFUNCTION("""COMPUTED_VALUE"""),"Dumanisi, Diffun, Quirino")</f>
        <v>Dumanisi, Diffun, Quirino</v>
      </c>
      <c r="D606" s="2" t="str">
        <f>IFERROR(__xludf.DUMMYFUNCTION("""COMPUTED_VALUE"""),"Mario M.. Dichoso")</f>
        <v>Mario M.. Dichoso</v>
      </c>
      <c r="E606" s="2">
        <f>IFERROR(__xludf.DUMMYFUNCTION("""COMPUTED_VALUE"""),9.75903317E9)</f>
        <v>9759033170</v>
      </c>
      <c r="F606" s="2" t="str">
        <f>IFERROR(__xludf.DUMMYFUNCTION("""COMPUTED_VALUE"""),"RCEF 24-04-15")</f>
        <v>RCEF 24-04-15</v>
      </c>
      <c r="G606" s="2">
        <f>IFERROR(__xludf.DUMMYFUNCTION("""COMPUTED_VALUE"""),6.0)</f>
        <v>6</v>
      </c>
      <c r="H606" s="2" t="str">
        <f>IFERROR(__xludf.DUMMYFUNCTION("""COMPUTED_VALUE"""),"19955/21089")</f>
        <v>19955/21089</v>
      </c>
      <c r="I606" s="2" t="str">
        <f>IFERROR(__xludf.DUMMYFUNCTION("""COMPUTED_VALUE"""),"KMC5825AARFPV0556")</f>
        <v>KMC5825AARFPV0556</v>
      </c>
      <c r="J606" s="2" t="str">
        <f>IFERROR(__xludf.DUMMYFUNCTION("""COMPUTED_VALUE"""),"RTS100453")</f>
        <v>RTS100453</v>
      </c>
      <c r="K606" s="2" t="str">
        <f>IFERROR(__xludf.DUMMYFUNCTION("""COMPUTED_VALUE"""),"LSGW170-RMP-24040654")</f>
        <v>LSGW170-RMP-24040654</v>
      </c>
      <c r="L606" s="2" t="str">
        <f>IFERROR(__xludf.DUMMYFUNCTION("""COMPUTED_VALUE"""),"WDP40-RMP-24121490")</f>
        <v>WDP40-RMP-24121490</v>
      </c>
      <c r="M606" s="2" t="str">
        <f>IFERROR(__xludf.DUMMYFUNCTION("""COMPUTED_VALUE"""),"WR-SERIES-972PH")</f>
        <v>WR-SERIES-972PH</v>
      </c>
      <c r="N606" s="2"/>
      <c r="O606" s="2" t="str">
        <f>IFERROR(__xludf.DUMMYFUNCTION("""COMPUTED_VALUE"""),"Dumanisi")</f>
        <v>Dumanisi</v>
      </c>
      <c r="P606" s="2" t="str">
        <f>IFERROR(__xludf.DUMMYFUNCTION("""COMPUTED_VALUE"""),"Diffun")</f>
        <v>Diffun</v>
      </c>
      <c r="Q606" s="2" t="str">
        <f>IFERROR(__xludf.DUMMYFUNCTION("""COMPUTED_VALUE"""),"Quirino")</f>
        <v>Quirino</v>
      </c>
      <c r="R606" s="2">
        <f>IFERROR(__xludf.DUMMYFUNCTION("""COMPUTED_VALUE"""),2.0)</f>
        <v>2</v>
      </c>
      <c r="S606" s="2"/>
      <c r="T606" s="2"/>
    </row>
    <row r="607">
      <c r="A607" s="1">
        <f>IFERROR(__xludf.DUMMYFUNCTION("""COMPUTED_VALUE"""),605.0)</f>
        <v>605</v>
      </c>
      <c r="B607" s="2" t="str">
        <f>IFERROR(__xludf.DUMMYFUNCTION("""COMPUTED_VALUE"""),"POVILUS FARMERS AND ENTREPRENEURS ASSOCIATION INC.")</f>
        <v>POVILUS FARMERS AND ENTREPRENEURS ASSOCIATION INC.</v>
      </c>
      <c r="C607" s="2" t="str">
        <f>IFERROR(__xludf.DUMMYFUNCTION("""COMPUTED_VALUE"""),"Poblacion Norte,Maddela, Quirino")</f>
        <v>Poblacion Norte,Maddela, Quirino</v>
      </c>
      <c r="D607" s="2" t="str">
        <f>IFERROR(__xludf.DUMMYFUNCTION("""COMPUTED_VALUE"""),"Edgar B. Gonzaga")</f>
        <v>Edgar B. Gonzaga</v>
      </c>
      <c r="E607" s="2">
        <f>IFERROR(__xludf.DUMMYFUNCTION("""COMPUTED_VALUE"""),9.079393E9)</f>
        <v>9079393000</v>
      </c>
      <c r="F607" s="2" t="str">
        <f>IFERROR(__xludf.DUMMYFUNCTION("""COMPUTED_VALUE"""),"RCEF 24-04-15")</f>
        <v>RCEF 24-04-15</v>
      </c>
      <c r="G607" s="2">
        <f>IFERROR(__xludf.DUMMYFUNCTION("""COMPUTED_VALUE"""),6.0)</f>
        <v>6</v>
      </c>
      <c r="H607" s="2" t="str">
        <f>IFERROR(__xludf.DUMMYFUNCTION("""COMPUTED_VALUE"""),"19956/21090")</f>
        <v>19956/21090</v>
      </c>
      <c r="I607" s="2" t="str">
        <f>IFERROR(__xludf.DUMMYFUNCTION("""COMPUTED_VALUE"""),"KMC5825ALRFPV0557")</f>
        <v>KMC5825ALRFPV0557</v>
      </c>
      <c r="J607" s="2" t="str">
        <f>IFERROR(__xludf.DUMMYFUNCTION("""COMPUTED_VALUE"""),"RTS100441")</f>
        <v>RTS100441</v>
      </c>
      <c r="K607" s="2" t="str">
        <f>IFERROR(__xludf.DUMMYFUNCTION("""COMPUTED_VALUE"""),"LSGW170-RMP-24040666")</f>
        <v>LSGW170-RMP-24040666</v>
      </c>
      <c r="L607" s="2" t="str">
        <f>IFERROR(__xludf.DUMMYFUNCTION("""COMPUTED_VALUE"""),"WDP40-RMP-24121442")</f>
        <v>WDP40-RMP-24121442</v>
      </c>
      <c r="M607" s="2" t="str">
        <f>IFERROR(__xludf.DUMMYFUNCTION("""COMPUTED_VALUE"""),"WR-SERIES-970PH")</f>
        <v>WR-SERIES-970PH</v>
      </c>
      <c r="N607" s="2"/>
      <c r="O607" s="2" t="str">
        <f>IFERROR(__xludf.DUMMYFUNCTION("""COMPUTED_VALUE"""),"Poblacion Norte")</f>
        <v>Poblacion Norte</v>
      </c>
      <c r="P607" s="2" t="str">
        <f>IFERROR(__xludf.DUMMYFUNCTION("""COMPUTED_VALUE"""),"Maddela")</f>
        <v>Maddela</v>
      </c>
      <c r="Q607" s="2" t="str">
        <f>IFERROR(__xludf.DUMMYFUNCTION("""COMPUTED_VALUE"""),"Quirino")</f>
        <v>Quirino</v>
      </c>
      <c r="R607" s="2">
        <f>IFERROR(__xludf.DUMMYFUNCTION("""COMPUTED_VALUE"""),2.0)</f>
        <v>2</v>
      </c>
      <c r="S607" s="2"/>
      <c r="T607" s="2"/>
    </row>
    <row r="608">
      <c r="A608" s="1">
        <f>IFERROR(__xludf.DUMMYFUNCTION("""COMPUTED_VALUE"""),606.0)</f>
        <v>606</v>
      </c>
      <c r="B608" s="2" t="str">
        <f>IFERROR(__xludf.DUMMYFUNCTION("""COMPUTED_VALUE"""),"Zaragoza People's Agriculture Cooperative")</f>
        <v>Zaragoza People's Agriculture Cooperative</v>
      </c>
      <c r="C608" s="2" t="str">
        <f>IFERROR(__xludf.DUMMYFUNCTION("""COMPUTED_VALUE"""),"Santo Rosario Old, Zaragosa, NUEVA ECIJA")</f>
        <v>Santo Rosario Old, Zaragosa, NUEVA ECIJA</v>
      </c>
      <c r="D608" s="2" t="str">
        <f>IFERROR(__xludf.DUMMYFUNCTION("""COMPUTED_VALUE"""),"Vic T. Octaviano")</f>
        <v>Vic T. Octaviano</v>
      </c>
      <c r="E608" s="2" t="str">
        <f>IFERROR(__xludf.DUMMYFUNCTION("""COMPUTED_VALUE"""),"0961-094-4094")</f>
        <v>0961-094-4094</v>
      </c>
      <c r="F608" s="2" t="str">
        <f>IFERROR(__xludf.DUMMYFUNCTION("""COMPUTED_VALUE"""),"RCEF 24-04-15")</f>
        <v>RCEF 24-04-15</v>
      </c>
      <c r="G608" s="2">
        <f>IFERROR(__xludf.DUMMYFUNCTION("""COMPUTED_VALUE"""),6.0)</f>
        <v>6</v>
      </c>
      <c r="H608" s="2" t="str">
        <f>IFERROR(__xludf.DUMMYFUNCTION("""COMPUTED_VALUE"""),"20660/21091")</f>
        <v>20660/21091</v>
      </c>
      <c r="I608" s="2" t="str">
        <f>IFERROR(__xludf.DUMMYFUNCTION("""COMPUTED_VALUE"""),"KMC5825ACRFPV0496")</f>
        <v>KMC5825ACRFPV0496</v>
      </c>
      <c r="J608" s="2" t="str">
        <f>IFERROR(__xludf.DUMMYFUNCTION("""COMPUTED_VALUE"""),"RTS100410")</f>
        <v>RTS100410</v>
      </c>
      <c r="K608" s="2" t="str">
        <f>IFERROR(__xludf.DUMMYFUNCTION("""COMPUTED_VALUE"""),"LSGW170-RMP-24080733")</f>
        <v>LSGW170-RMP-24080733</v>
      </c>
      <c r="L608" s="2" t="str">
        <f>IFERROR(__xludf.DUMMYFUNCTION("""COMPUTED_VALUE"""),"WDP40-RMP-24040445")</f>
        <v>WDP40-RMP-24040445</v>
      </c>
      <c r="M608" s="2" t="str">
        <f>IFERROR(__xludf.DUMMYFUNCTION("""COMPUTED_VALUE"""),"WR-SERIES-968PH")</f>
        <v>WR-SERIES-968PH</v>
      </c>
      <c r="N608" s="2"/>
      <c r="O608" s="2" t="str">
        <f>IFERROR(__xludf.DUMMYFUNCTION("""COMPUTED_VALUE"""),"Santo Rosario Old")</f>
        <v>Santo Rosario Old</v>
      </c>
      <c r="P608" s="2" t="str">
        <f>IFERROR(__xludf.DUMMYFUNCTION("""COMPUTED_VALUE"""),"Zaragosa")</f>
        <v>Zaragosa</v>
      </c>
      <c r="Q608" s="2" t="str">
        <f>IFERROR(__xludf.DUMMYFUNCTION("""COMPUTED_VALUE"""),"Nueva Ecija")</f>
        <v>Nueva Ecija</v>
      </c>
      <c r="R608" s="2">
        <f>IFERROR(__xludf.DUMMYFUNCTION("""COMPUTED_VALUE"""),3.0)</f>
        <v>3</v>
      </c>
      <c r="S608" s="2"/>
      <c r="T608" s="2"/>
    </row>
    <row r="609">
      <c r="A609" s="1">
        <f>IFERROR(__xludf.DUMMYFUNCTION("""COMPUTED_VALUE"""),607.0)</f>
        <v>607</v>
      </c>
      <c r="B609" s="2" t="str">
        <f>IFERROR(__xludf.DUMMYFUNCTION("""COMPUTED_VALUE"""),"BATOG IRRRIGATORS ASSOCIATION INC.")</f>
        <v>BATOG IRRRIGATORS ASSOCIATION INC.</v>
      </c>
      <c r="C609" s="2" t="str">
        <f>IFERROR(__xludf.DUMMYFUNCTION("""COMPUTED_VALUE"""),"Rio Chico, General Tinio, NUEVA ECIJA")</f>
        <v>Rio Chico, General Tinio, NUEVA ECIJA</v>
      </c>
      <c r="D609" s="2" t="str">
        <f>IFERROR(__xludf.DUMMYFUNCTION("""COMPUTED_VALUE"""),"Edwin G. Mangahas")</f>
        <v>Edwin G. Mangahas</v>
      </c>
      <c r="E609" s="2" t="str">
        <f>IFERROR(__xludf.DUMMYFUNCTION("""COMPUTED_VALUE"""),"0929-545-5655")</f>
        <v>0929-545-5655</v>
      </c>
      <c r="F609" s="2" t="str">
        <f>IFERROR(__xludf.DUMMYFUNCTION("""COMPUTED_VALUE"""),"RCEF 24-04-15")</f>
        <v>RCEF 24-04-15</v>
      </c>
      <c r="G609" s="2">
        <f>IFERROR(__xludf.DUMMYFUNCTION("""COMPUTED_VALUE"""),6.0)</f>
        <v>6</v>
      </c>
      <c r="H609" s="2" t="str">
        <f>IFERROR(__xludf.DUMMYFUNCTION("""COMPUTED_VALUE"""),"20662/21093")</f>
        <v>20662/21093</v>
      </c>
      <c r="I609" s="2" t="str">
        <f>IFERROR(__xludf.DUMMYFUNCTION("""COMPUTED_VALUE"""),"KMC5825AHRFPV0494")</f>
        <v>KMC5825AHRFPV0494</v>
      </c>
      <c r="J609" s="2" t="str">
        <f>IFERROR(__xludf.DUMMYFUNCTION("""COMPUTED_VALUE"""),"RTS100412")</f>
        <v>RTS100412</v>
      </c>
      <c r="K609" s="2" t="str">
        <f>IFERROR(__xludf.DUMMYFUNCTION("""COMPUTED_VALUE"""),"LSGW170-RMP-24080742")</f>
        <v>LSGW170-RMP-24080742</v>
      </c>
      <c r="L609" s="2" t="str">
        <f>IFERROR(__xludf.DUMMYFUNCTION("""COMPUTED_VALUE"""),"WDP40-RMP-24040458")</f>
        <v>WDP40-RMP-24040458</v>
      </c>
      <c r="M609" s="2" t="str">
        <f>IFERROR(__xludf.DUMMYFUNCTION("""COMPUTED_VALUE"""),"WR-SERIES-981PH")</f>
        <v>WR-SERIES-981PH</v>
      </c>
      <c r="N609" s="2"/>
      <c r="O609" s="2" t="str">
        <f>IFERROR(__xludf.DUMMYFUNCTION("""COMPUTED_VALUE"""),"Rio Chico")</f>
        <v>Rio Chico</v>
      </c>
      <c r="P609" s="2" t="str">
        <f>IFERROR(__xludf.DUMMYFUNCTION("""COMPUTED_VALUE"""),"General Tinio")</f>
        <v>General Tinio</v>
      </c>
      <c r="Q609" s="2" t="str">
        <f>IFERROR(__xludf.DUMMYFUNCTION("""COMPUTED_VALUE"""),"Nueva Ecija")</f>
        <v>Nueva Ecija</v>
      </c>
      <c r="R609" s="2">
        <f>IFERROR(__xludf.DUMMYFUNCTION("""COMPUTED_VALUE"""),3.0)</f>
        <v>3</v>
      </c>
      <c r="S609" s="2"/>
      <c r="T609" s="2"/>
    </row>
    <row r="610">
      <c r="A610" s="1">
        <f>IFERROR(__xludf.DUMMYFUNCTION("""COMPUTED_VALUE"""),608.0)</f>
        <v>608</v>
      </c>
      <c r="B610" s="2" t="str">
        <f>IFERROR(__xludf.DUMMYFUNCTION("""COMPUTED_VALUE"""),"ILOG BALIWAG-SAN MIGUEL FARMERS ASSOCIATION (ISFA)")</f>
        <v>ILOG BALIWAG-SAN MIGUEL FARMERS ASSOCIATION (ISFA)</v>
      </c>
      <c r="C610" s="2" t="str">
        <f>IFERROR(__xludf.DUMMYFUNCTION("""COMPUTED_VALUE"""),"Ilog Baliwag, Quezon, NUEVA ECIJA")</f>
        <v>Ilog Baliwag, Quezon, NUEVA ECIJA</v>
      </c>
      <c r="D610" s="2" t="str">
        <f>IFERROR(__xludf.DUMMYFUNCTION("""COMPUTED_VALUE"""),"Bernie A. Melendez")</f>
        <v>Bernie A. Melendez</v>
      </c>
      <c r="E610" s="2" t="str">
        <f>IFERROR(__xludf.DUMMYFUNCTION("""COMPUTED_VALUE"""),"0927-518-0179")</f>
        <v>0927-518-0179</v>
      </c>
      <c r="F610" s="2" t="str">
        <f>IFERROR(__xludf.DUMMYFUNCTION("""COMPUTED_VALUE"""),"RCEF 24-04-15")</f>
        <v>RCEF 24-04-15</v>
      </c>
      <c r="G610" s="2">
        <f>IFERROR(__xludf.DUMMYFUNCTION("""COMPUTED_VALUE"""),6.0)</f>
        <v>6</v>
      </c>
      <c r="H610" s="2" t="str">
        <f>IFERROR(__xludf.DUMMYFUNCTION("""COMPUTED_VALUE"""),"21087/19953")</f>
        <v>21087/19953</v>
      </c>
      <c r="I610" s="2" t="str">
        <f>IFERROR(__xludf.DUMMYFUNCTION("""COMPUTED_VALUE"""),"KMC5825AERFPV0576")</f>
        <v>KMC5825AERFPV0576</v>
      </c>
      <c r="J610" s="2" t="str">
        <f>IFERROR(__xludf.DUMMYFUNCTION("""COMPUTED_VALUE"""),"RTS100468")</f>
        <v>RTS100468</v>
      </c>
      <c r="K610" s="2" t="str">
        <f>IFERROR(__xludf.DUMMYFUNCTION("""COMPUTED_VALUE"""),"LSGW170-RMP-24040644")</f>
        <v>LSGW170-RMP-24040644</v>
      </c>
      <c r="L610" s="2" t="str">
        <f>IFERROR(__xludf.DUMMYFUNCTION("""COMPUTED_VALUE"""),"WDP40-RMP-24111422")</f>
        <v>WDP40-RMP-24111422</v>
      </c>
      <c r="M610" s="2" t="str">
        <f>IFERROR(__xludf.DUMMYFUNCTION("""COMPUTED_VALUE"""),"WR-SERIES-866PH")</f>
        <v>WR-SERIES-866PH</v>
      </c>
      <c r="N610" s="2"/>
      <c r="O610" s="2" t="str">
        <f>IFERROR(__xludf.DUMMYFUNCTION("""COMPUTED_VALUE"""),"Ilog Baliwag")</f>
        <v>Ilog Baliwag</v>
      </c>
      <c r="P610" s="2" t="str">
        <f>IFERROR(__xludf.DUMMYFUNCTION("""COMPUTED_VALUE"""),"Quezon")</f>
        <v>Quezon</v>
      </c>
      <c r="Q610" s="2" t="str">
        <f>IFERROR(__xludf.DUMMYFUNCTION("""COMPUTED_VALUE"""),"Nueva Ecija")</f>
        <v>Nueva Ecija</v>
      </c>
      <c r="R610" s="2">
        <f>IFERROR(__xludf.DUMMYFUNCTION("""COMPUTED_VALUE"""),3.0)</f>
        <v>3</v>
      </c>
      <c r="S610" s="2"/>
      <c r="T610" s="2"/>
    </row>
    <row r="611">
      <c r="A611" s="1">
        <f>IFERROR(__xludf.DUMMYFUNCTION("""COMPUTED_VALUE"""),609.0)</f>
        <v>609</v>
      </c>
      <c r="B611" s="2" t="str">
        <f>IFERROR(__xludf.DUMMYFUNCTION("""COMPUTED_VALUE"""),"KAAGAPAY SA KAUNLARAN SA BAYAN NG QUEZON")</f>
        <v>KAAGAPAY SA KAUNLARAN SA BAYAN NG QUEZON</v>
      </c>
      <c r="C611" s="2" t="str">
        <f>IFERROR(__xludf.DUMMYFUNCTION("""COMPUTED_VALUE"""),"Doña Lucia, Quezon, NUEVA ECIJA")</f>
        <v>Doña Lucia, Quezon, NUEVA ECIJA</v>
      </c>
      <c r="D611" s="2" t="str">
        <f>IFERROR(__xludf.DUMMYFUNCTION("""COMPUTED_VALUE"""),"Marcelo S. Esguerra")</f>
        <v>Marcelo S. Esguerra</v>
      </c>
      <c r="E611" s="2" t="str">
        <f>IFERROR(__xludf.DUMMYFUNCTION("""COMPUTED_VALUE"""),"0949-827-2504")</f>
        <v>0949-827-2504</v>
      </c>
      <c r="F611" s="2" t="str">
        <f>IFERROR(__xludf.DUMMYFUNCTION("""COMPUTED_VALUE"""),"RCEF 24-04-15")</f>
        <v>RCEF 24-04-15</v>
      </c>
      <c r="G611" s="2">
        <f>IFERROR(__xludf.DUMMYFUNCTION("""COMPUTED_VALUE"""),6.0)</f>
        <v>6</v>
      </c>
      <c r="H611" s="2" t="str">
        <f>IFERROR(__xludf.DUMMYFUNCTION("""COMPUTED_VALUE"""),"21088/19954")</f>
        <v>21088/19954</v>
      </c>
      <c r="I611" s="2" t="str">
        <f>IFERROR(__xludf.DUMMYFUNCTION("""COMPUTED_VALUE"""),"KMC5825AHRFPV0575")</f>
        <v>KMC5825AHRFPV0575</v>
      </c>
      <c r="J611" s="2" t="str">
        <f>IFERROR(__xludf.DUMMYFUNCTION("""COMPUTED_VALUE"""),"RTS100473")</f>
        <v>RTS100473</v>
      </c>
      <c r="K611" s="2" t="str">
        <f>IFERROR(__xludf.DUMMYFUNCTION("""COMPUTED_VALUE"""),"LSGW170-RMP-24040662")</f>
        <v>LSGW170-RMP-24040662</v>
      </c>
      <c r="L611" s="2" t="str">
        <f>IFERROR(__xludf.DUMMYFUNCTION("""COMPUTED_VALUE"""),"WDP40-RMP-24111386")</f>
        <v>WDP40-RMP-24111386</v>
      </c>
      <c r="M611" s="2" t="str">
        <f>IFERROR(__xludf.DUMMYFUNCTION("""COMPUTED_VALUE"""),"WR-SERIES-867PH")</f>
        <v>WR-SERIES-867PH</v>
      </c>
      <c r="N611" s="2"/>
      <c r="O611" s="2" t="str">
        <f>IFERROR(__xludf.DUMMYFUNCTION("""COMPUTED_VALUE"""),"Doña Lucia")</f>
        <v>Doña Lucia</v>
      </c>
      <c r="P611" s="2" t="str">
        <f>IFERROR(__xludf.DUMMYFUNCTION("""COMPUTED_VALUE"""),"Quezon")</f>
        <v>Quezon</v>
      </c>
      <c r="Q611" s="2" t="str">
        <f>IFERROR(__xludf.DUMMYFUNCTION("""COMPUTED_VALUE"""),"Nueva Ecija")</f>
        <v>Nueva Ecija</v>
      </c>
      <c r="R611" s="2">
        <f>IFERROR(__xludf.DUMMYFUNCTION("""COMPUTED_VALUE"""),3.0)</f>
        <v>3</v>
      </c>
      <c r="S611" s="2"/>
      <c r="T611" s="2"/>
    </row>
    <row r="612">
      <c r="A612" s="1">
        <f>IFERROR(__xludf.DUMMYFUNCTION("""COMPUTED_VALUE"""),610.0)</f>
        <v>610</v>
      </c>
      <c r="B612" s="2" t="str">
        <f>IFERROR(__xludf.DUMMYFUNCTION("""COMPUTED_VALUE"""),"Provincial Local Government Unit of Albay")</f>
        <v>Provincial Local Government Unit of Albay</v>
      </c>
      <c r="C612" s="2" t="str">
        <f>IFERROR(__xludf.DUMMYFUNCTION("""COMPUTED_VALUE"""),"Bgy. 33 - PNR-Peñaranda St.-Iraya (Pob.), Legazpi City, ALBAY")</f>
        <v>Bgy. 33 - PNR-Peñaranda St.-Iraya (Pob.), Legazpi City, ALBAY</v>
      </c>
      <c r="D612" s="2" t="str">
        <f>IFERROR(__xludf.DUMMYFUNCTION("""COMPUTED_VALUE"""),"HON. Edcel Greco Lagman")</f>
        <v>HON. Edcel Greco Lagman</v>
      </c>
      <c r="E612" s="2" t="str">
        <f>IFERROR(__xludf.DUMMYFUNCTION("""COMPUTED_VALUE"""),"0995 136 4640")</f>
        <v>0995 136 4640</v>
      </c>
      <c r="F612" s="2" t="str">
        <f>IFERROR(__xludf.DUMMYFUNCTION("""COMPUTED_VALUE"""),"RCEF 24-04-15")</f>
        <v>RCEF 24-04-15</v>
      </c>
      <c r="G612" s="2">
        <f>IFERROR(__xludf.DUMMYFUNCTION("""COMPUTED_VALUE"""),7.0)</f>
        <v>7</v>
      </c>
      <c r="H612" s="2"/>
      <c r="I612" s="2" t="str">
        <f>IFERROR(__xludf.DUMMYFUNCTION("""COMPUTED_VALUE"""),"KMC5825")</f>
        <v>KMC5825</v>
      </c>
      <c r="J612" s="2" t="str">
        <f>IFERROR(__xludf.DUMMYFUNCTION("""COMPUTED_VALUE"""),"RTS100")</f>
        <v>RTS100</v>
      </c>
      <c r="K612" s="2" t="str">
        <f>IFERROR(__xludf.DUMMYFUNCTION("""COMPUTED_VALUE"""),"LSGW170-RMP-2411")</f>
        <v>LSGW170-RMP-2411</v>
      </c>
      <c r="L612" s="2" t="str">
        <f>IFERROR(__xludf.DUMMYFUNCTION("""COMPUTED_VALUE"""),"WDP40-RMP-250")</f>
        <v>WDP40-RMP-250</v>
      </c>
      <c r="M612" s="2" t="str">
        <f>IFERROR(__xludf.DUMMYFUNCTION("""COMPUTED_VALUE"""),"WR-SERIES-1193PH")</f>
        <v>WR-SERIES-1193PH</v>
      </c>
      <c r="N612" s="2"/>
      <c r="O612" s="2" t="str">
        <f>IFERROR(__xludf.DUMMYFUNCTION("""COMPUTED_VALUE"""),"Bgy. 33 - Pnr-Peñaranda St.-Iraya (Pob.)")</f>
        <v>Bgy. 33 - Pnr-Peñaranda St.-Iraya (Pob.)</v>
      </c>
      <c r="P612" s="2" t="str">
        <f>IFERROR(__xludf.DUMMYFUNCTION("""COMPUTED_VALUE"""),"Legazpi City")</f>
        <v>Legazpi City</v>
      </c>
      <c r="Q612" s="2" t="str">
        <f>IFERROR(__xludf.DUMMYFUNCTION("""COMPUTED_VALUE"""),"Albay")</f>
        <v>Albay</v>
      </c>
      <c r="R612" s="2">
        <f>IFERROR(__xludf.DUMMYFUNCTION("""COMPUTED_VALUE"""),5.0)</f>
        <v>5</v>
      </c>
      <c r="S612" s="2"/>
      <c r="T612" s="2"/>
    </row>
    <row r="613">
      <c r="A613" s="1">
        <f>IFERROR(__xludf.DUMMYFUNCTION("""COMPUTED_VALUE"""),611.0)</f>
        <v>611</v>
      </c>
      <c r="B613" s="2" t="str">
        <f>IFERROR(__xludf.DUMMYFUNCTION("""COMPUTED_VALUE"""),"Provincial Local Government Unit of Albay")</f>
        <v>Provincial Local Government Unit of Albay</v>
      </c>
      <c r="C613" s="2" t="str">
        <f>IFERROR(__xludf.DUMMYFUNCTION("""COMPUTED_VALUE"""),"Bgy. 33 - PNR-Peñaranda St.-Iraya (Pob.), Legazpi City, ALBAY")</f>
        <v>Bgy. 33 - PNR-Peñaranda St.-Iraya (Pob.), Legazpi City, ALBAY</v>
      </c>
      <c r="D613" s="2" t="str">
        <f>IFERROR(__xludf.DUMMYFUNCTION("""COMPUTED_VALUE"""),"HON. Edcel Greco Lagman")</f>
        <v>HON. Edcel Greco Lagman</v>
      </c>
      <c r="E613" s="2" t="str">
        <f>IFERROR(__xludf.DUMMYFUNCTION("""COMPUTED_VALUE"""),"0995 136 4640")</f>
        <v>0995 136 4640</v>
      </c>
      <c r="F613" s="2" t="str">
        <f>IFERROR(__xludf.DUMMYFUNCTION("""COMPUTED_VALUE"""),"RCEF 24-04-15")</f>
        <v>RCEF 24-04-15</v>
      </c>
      <c r="G613" s="2">
        <f>IFERROR(__xludf.DUMMYFUNCTION("""COMPUTED_VALUE"""),7.0)</f>
        <v>7</v>
      </c>
      <c r="H613" s="2"/>
      <c r="I613" s="2" t="str">
        <f>IFERROR(__xludf.DUMMYFUNCTION("""COMPUTED_VALUE"""),"KMC5825")</f>
        <v>KMC5825</v>
      </c>
      <c r="J613" s="2" t="str">
        <f>IFERROR(__xludf.DUMMYFUNCTION("""COMPUTED_VALUE"""),"RTS100")</f>
        <v>RTS100</v>
      </c>
      <c r="K613" s="2" t="str">
        <f>IFERROR(__xludf.DUMMYFUNCTION("""COMPUTED_VALUE"""),"LSGW170-RMP-2410")</f>
        <v>LSGW170-RMP-2410</v>
      </c>
      <c r="L613" s="2" t="str">
        <f>IFERROR(__xludf.DUMMYFUNCTION("""COMPUTED_VALUE"""),"WDP40-RMP-241")</f>
        <v>WDP40-RMP-241</v>
      </c>
      <c r="M613" s="2" t="str">
        <f>IFERROR(__xludf.DUMMYFUNCTION("""COMPUTED_VALUE"""),"WR-SERIES-")</f>
        <v>WR-SERIES-</v>
      </c>
      <c r="N613" s="2"/>
      <c r="O613" s="2" t="str">
        <f>IFERROR(__xludf.DUMMYFUNCTION("""COMPUTED_VALUE"""),"Bgy. 33 - Pnr-Peñaranda St.-Iraya (Pob.)")</f>
        <v>Bgy. 33 - Pnr-Peñaranda St.-Iraya (Pob.)</v>
      </c>
      <c r="P613" s="2" t="str">
        <f>IFERROR(__xludf.DUMMYFUNCTION("""COMPUTED_VALUE"""),"Legazpi City")</f>
        <v>Legazpi City</v>
      </c>
      <c r="Q613" s="2" t="str">
        <f>IFERROR(__xludf.DUMMYFUNCTION("""COMPUTED_VALUE"""),"Albay")</f>
        <v>Albay</v>
      </c>
      <c r="R613" s="2">
        <f>IFERROR(__xludf.DUMMYFUNCTION("""COMPUTED_VALUE"""),5.0)</f>
        <v>5</v>
      </c>
      <c r="S613" s="2"/>
      <c r="T613" s="2"/>
    </row>
    <row r="614">
      <c r="A614" s="1">
        <f>IFERROR(__xludf.DUMMYFUNCTION("""COMPUTED_VALUE"""),612.0)</f>
        <v>612</v>
      </c>
      <c r="B614" s="2" t="str">
        <f>IFERROR(__xludf.DUMMYFUNCTION("""COMPUTED_VALUE"""),"Barangay Dibet Farmers Association (BDFA)")</f>
        <v>Barangay Dibet Farmers Association (BDFA)</v>
      </c>
      <c r="C614" s="2" t="str">
        <f>IFERROR(__xludf.DUMMYFUNCTION("""COMPUTED_VALUE"""),"Dibet, Casiguran, AURORA")</f>
        <v>Dibet, Casiguran, AURORA</v>
      </c>
      <c r="D614" s="2" t="str">
        <f>IFERROR(__xludf.DUMMYFUNCTION("""COMPUTED_VALUE"""),"Albert G. Torre")</f>
        <v>Albert G. Torre</v>
      </c>
      <c r="E614" s="2" t="str">
        <f>IFERROR(__xludf.DUMMYFUNCTION("""COMPUTED_VALUE"""),"0951-998-1961")</f>
        <v>0951-998-1961</v>
      </c>
      <c r="F614" s="2" t="str">
        <f>IFERROR(__xludf.DUMMYFUNCTION("""COMPUTED_VALUE"""),"RCEF 25-03-05")</f>
        <v>RCEF 25-03-05</v>
      </c>
      <c r="G614" s="2">
        <f>IFERROR(__xludf.DUMMYFUNCTION("""COMPUTED_VALUE"""),5.0)</f>
        <v>5</v>
      </c>
      <c r="H614" s="2" t="str">
        <f>IFERROR(__xludf.DUMMYFUNCTION("""COMPUTED_VALUE"""),"26201 &amp; 27814")</f>
        <v>26201 &amp; 27814</v>
      </c>
      <c r="I614" s="2" t="str">
        <f>IFERROR(__xludf.DUMMYFUNCTION("""COMPUTED_VALUE"""),"KMC5825 ACSFPV0348")</f>
        <v>KMC5825 ACSFPV0348</v>
      </c>
      <c r="J614" s="3" t="str">
        <f>IFERROR(__xludf.DUMMYFUNCTION("""COMPUTED_VALUE"""),"STS100357")</f>
        <v>STS100357</v>
      </c>
      <c r="K614" s="2" t="str">
        <f>IFERROR(__xludf.DUMMYFUNCTION("""COMPUTED_VALUE"""),"WR-SERIES 1379PH")</f>
        <v>WR-SERIES 1379PH</v>
      </c>
      <c r="L614" s="3" t="str">
        <f>IFERROR(__xludf.DUMMYFUNCTION("""COMPUTED_VALUE"""),"25090444")</f>
        <v>25090444</v>
      </c>
      <c r="M614" s="3">
        <f>IFERROR(__xludf.DUMMYFUNCTION("""COMPUTED_VALUE"""),2.5121377E7)</f>
        <v>25121377</v>
      </c>
      <c r="N614" s="2"/>
      <c r="O614" s="2" t="str">
        <f>IFERROR(__xludf.DUMMYFUNCTION("""COMPUTED_VALUE"""),"Dibet")</f>
        <v>Dibet</v>
      </c>
      <c r="P614" s="2" t="str">
        <f>IFERROR(__xludf.DUMMYFUNCTION("""COMPUTED_VALUE"""),"Casiguran")</f>
        <v>Casiguran</v>
      </c>
      <c r="Q614" s="2" t="str">
        <f>IFERROR(__xludf.DUMMYFUNCTION("""COMPUTED_VALUE"""),"Aurora")</f>
        <v>Aurora</v>
      </c>
      <c r="R614" s="2">
        <f>IFERROR(__xludf.DUMMYFUNCTION("""COMPUTED_VALUE"""),3.0)</f>
        <v>3</v>
      </c>
      <c r="S614" s="2"/>
      <c r="T614" s="2"/>
    </row>
    <row r="615">
      <c r="A615" s="1">
        <f>IFERROR(__xludf.DUMMYFUNCTION("""COMPUTED_VALUE"""),613.0)</f>
        <v>613</v>
      </c>
      <c r="B615" s="2" t="str">
        <f>IFERROR(__xludf.DUMMYFUNCTION("""COMPUTED_VALUE"""),"Calangcuasan Farmers Association")</f>
        <v>Calangcuasan Farmers Association</v>
      </c>
      <c r="C615" s="2" t="str">
        <f>IFERROR(__xludf.DUMMYFUNCTION("""COMPUTED_VALUE"""),"Calangcuasan, Casiguran, AURORA")</f>
        <v>Calangcuasan, Casiguran, AURORA</v>
      </c>
      <c r="D615" s="2" t="str">
        <f>IFERROR(__xludf.DUMMYFUNCTION("""COMPUTED_VALUE"""),"Fernando A. Buena")</f>
        <v>Fernando A. Buena</v>
      </c>
      <c r="E615" s="2" t="str">
        <f>IFERROR(__xludf.DUMMYFUNCTION("""COMPUTED_VALUE"""),"0945-477-9114/0912-859-3554")</f>
        <v>0945-477-9114/0912-859-3554</v>
      </c>
      <c r="F615" s="2" t="str">
        <f>IFERROR(__xludf.DUMMYFUNCTION("""COMPUTED_VALUE"""),"RCEF 25-03-05")</f>
        <v>RCEF 25-03-05</v>
      </c>
      <c r="G615" s="2">
        <f>IFERROR(__xludf.DUMMYFUNCTION("""COMPUTED_VALUE"""),5.0)</f>
        <v>5</v>
      </c>
      <c r="H615" s="2" t="str">
        <f>IFERROR(__xludf.DUMMYFUNCTION("""COMPUTED_VALUE"""),"26203 &amp; 27815")</f>
        <v>26203 &amp; 27815</v>
      </c>
      <c r="I615" s="2" t="str">
        <f>IFERROR(__xludf.DUMMYFUNCTION("""COMPUTED_VALUE"""),"KMC5825 AASFPV0370")</f>
        <v>KMC5825 AASFPV0370</v>
      </c>
      <c r="J615" s="3" t="str">
        <f>IFERROR(__xludf.DUMMYFUNCTION("""COMPUTED_VALUE"""),"STS100425")</f>
        <v>STS100425</v>
      </c>
      <c r="K615" s="2" t="str">
        <f>IFERROR(__xludf.DUMMYFUNCTION("""COMPUTED_VALUE"""),"WR-SERIES 1380PH")</f>
        <v>WR-SERIES 1380PH</v>
      </c>
      <c r="L615" s="3" t="str">
        <f>IFERROR(__xludf.DUMMYFUNCTION("""COMPUTED_VALUE"""),"25090471")</f>
        <v>25090471</v>
      </c>
      <c r="M615" s="3">
        <f>IFERROR(__xludf.DUMMYFUNCTION("""COMPUTED_VALUE"""),2.5121378E7)</f>
        <v>25121378</v>
      </c>
      <c r="N615" s="2"/>
      <c r="O615" s="2" t="str">
        <f>IFERROR(__xludf.DUMMYFUNCTION("""COMPUTED_VALUE"""),"Calangcuasan")</f>
        <v>Calangcuasan</v>
      </c>
      <c r="P615" s="2" t="str">
        <f>IFERROR(__xludf.DUMMYFUNCTION("""COMPUTED_VALUE"""),"Casiguran")</f>
        <v>Casiguran</v>
      </c>
      <c r="Q615" s="2" t="str">
        <f>IFERROR(__xludf.DUMMYFUNCTION("""COMPUTED_VALUE"""),"Aurora")</f>
        <v>Aurora</v>
      </c>
      <c r="R615" s="2">
        <f>IFERROR(__xludf.DUMMYFUNCTION("""COMPUTED_VALUE"""),3.0)</f>
        <v>3</v>
      </c>
      <c r="S615" s="2"/>
      <c r="T615" s="2"/>
    </row>
    <row r="616">
      <c r="A616" s="1">
        <f>IFERROR(__xludf.DUMMYFUNCTION("""COMPUTED_VALUE"""),614.0)</f>
        <v>614</v>
      </c>
      <c r="B616" s="2" t="str">
        <f>IFERROR(__xludf.DUMMYFUNCTION("""COMPUTED_VALUE"""),"Calantas Palaycheck Farmers Association")</f>
        <v>Calantas Palaycheck Farmers Association</v>
      </c>
      <c r="C616" s="2" t="str">
        <f>IFERROR(__xludf.DUMMYFUNCTION("""COMPUTED_VALUE"""),"Calantas, Casiguran, AURORA")</f>
        <v>Calantas, Casiguran, AURORA</v>
      </c>
      <c r="D616" s="2" t="str">
        <f>IFERROR(__xludf.DUMMYFUNCTION("""COMPUTED_VALUE"""),"Christopher Roxas")</f>
        <v>Christopher Roxas</v>
      </c>
      <c r="E616" s="2" t="str">
        <f>IFERROR(__xludf.DUMMYFUNCTION("""COMPUTED_VALUE"""),"0920-317-6363")</f>
        <v>0920-317-6363</v>
      </c>
      <c r="F616" s="2" t="str">
        <f>IFERROR(__xludf.DUMMYFUNCTION("""COMPUTED_VALUE"""),"RCEF 25-03-05")</f>
        <v>RCEF 25-03-05</v>
      </c>
      <c r="G616" s="2">
        <f>IFERROR(__xludf.DUMMYFUNCTION("""COMPUTED_VALUE"""),5.0)</f>
        <v>5</v>
      </c>
      <c r="H616" s="2" t="str">
        <f>IFERROR(__xludf.DUMMYFUNCTION("""COMPUTED_VALUE"""),"26204 &amp; 27816")</f>
        <v>26204 &amp; 27816</v>
      </c>
      <c r="I616" s="2" t="str">
        <f>IFERROR(__xludf.DUMMYFUNCTION("""COMPUTED_VALUE"""),"KMC5825 ALSFPV0371")</f>
        <v>KMC5825 ALSFPV0371</v>
      </c>
      <c r="J616" s="3" t="str">
        <f>IFERROR(__xludf.DUMMYFUNCTION("""COMPUTED_VALUE"""),"STS100420")</f>
        <v>STS100420</v>
      </c>
      <c r="K616" s="2" t="str">
        <f>IFERROR(__xludf.DUMMYFUNCTION("""COMPUTED_VALUE"""),"WR-SERIES 1381PH")</f>
        <v>WR-SERIES 1381PH</v>
      </c>
      <c r="L616" s="3" t="str">
        <f>IFERROR(__xludf.DUMMYFUNCTION("""COMPUTED_VALUE"""),"25090453")</f>
        <v>25090453</v>
      </c>
      <c r="M616" s="3">
        <f>IFERROR(__xludf.DUMMYFUNCTION("""COMPUTED_VALUE"""),2.5121379E7)</f>
        <v>25121379</v>
      </c>
      <c r="N616" s="2"/>
      <c r="O616" s="2" t="str">
        <f>IFERROR(__xludf.DUMMYFUNCTION("""COMPUTED_VALUE"""),"Calantas")</f>
        <v>Calantas</v>
      </c>
      <c r="P616" s="2" t="str">
        <f>IFERROR(__xludf.DUMMYFUNCTION("""COMPUTED_VALUE"""),"Casiguran")</f>
        <v>Casiguran</v>
      </c>
      <c r="Q616" s="2" t="str">
        <f>IFERROR(__xludf.DUMMYFUNCTION("""COMPUTED_VALUE"""),"Aurora")</f>
        <v>Aurora</v>
      </c>
      <c r="R616" s="2">
        <f>IFERROR(__xludf.DUMMYFUNCTION("""COMPUTED_VALUE"""),3.0)</f>
        <v>3</v>
      </c>
      <c r="S616" s="2"/>
      <c r="T616" s="2"/>
    </row>
    <row r="617">
      <c r="A617" s="1">
        <f>IFERROR(__xludf.DUMMYFUNCTION("""COMPUTED_VALUE"""),615.0)</f>
        <v>615</v>
      </c>
      <c r="B617" s="2" t="str">
        <f>IFERROR(__xludf.DUMMYFUNCTION("""COMPUTED_VALUE"""),"Cozo Proper Farmers Association")</f>
        <v>Cozo Proper Farmers Association</v>
      </c>
      <c r="C617" s="2" t="str">
        <f>IFERROR(__xludf.DUMMYFUNCTION("""COMPUTED_VALUE"""),"Cozo, Casiguran, AURORA")</f>
        <v>Cozo, Casiguran, AURORA</v>
      </c>
      <c r="D617" s="2" t="str">
        <f>IFERROR(__xludf.DUMMYFUNCTION("""COMPUTED_VALUE"""),"Ferdinand C. Torre")</f>
        <v>Ferdinand C. Torre</v>
      </c>
      <c r="E617" s="2" t="str">
        <f>IFERROR(__xludf.DUMMYFUNCTION("""COMPUTED_VALUE"""),"0921-251-2975 / 0999-740-5320")</f>
        <v>0921-251-2975 / 0999-740-5320</v>
      </c>
      <c r="F617" s="2" t="str">
        <f>IFERROR(__xludf.DUMMYFUNCTION("""COMPUTED_VALUE"""),"RCEF 25-03-05")</f>
        <v>RCEF 25-03-05</v>
      </c>
      <c r="G617" s="2">
        <f>IFERROR(__xludf.DUMMYFUNCTION("""COMPUTED_VALUE"""),5.0)</f>
        <v>5</v>
      </c>
      <c r="H617" s="2" t="str">
        <f>IFERROR(__xludf.DUMMYFUNCTION("""COMPUTED_VALUE"""),"26205 &amp; 27817")</f>
        <v>26205 &amp; 27817</v>
      </c>
      <c r="I617" s="2" t="str">
        <f>IFERROR(__xludf.DUMMYFUNCTION("""COMPUTED_VALUE"""),"KMC5825 AHSFPV0307")</f>
        <v>KMC5825 AHSFPV0307</v>
      </c>
      <c r="J617" s="3" t="str">
        <f>IFERROR(__xludf.DUMMYFUNCTION("""COMPUTED_VALUE"""),"STS100313")</f>
        <v>STS100313</v>
      </c>
      <c r="K617" s="2" t="str">
        <f>IFERROR(__xludf.DUMMYFUNCTION("""COMPUTED_VALUE"""),"WR-SERIES 1382PH")</f>
        <v>WR-SERIES 1382PH</v>
      </c>
      <c r="L617" s="3" t="str">
        <f>IFERROR(__xludf.DUMMYFUNCTION("""COMPUTED_VALUE"""),"25090455")</f>
        <v>25090455</v>
      </c>
      <c r="M617" s="3">
        <f>IFERROR(__xludf.DUMMYFUNCTION("""COMPUTED_VALUE"""),2.512138E7)</f>
        <v>25121380</v>
      </c>
      <c r="N617" s="2"/>
      <c r="O617" s="2" t="str">
        <f>IFERROR(__xludf.DUMMYFUNCTION("""COMPUTED_VALUE"""),"Cozo")</f>
        <v>Cozo</v>
      </c>
      <c r="P617" s="2" t="str">
        <f>IFERROR(__xludf.DUMMYFUNCTION("""COMPUTED_VALUE"""),"Casiguran")</f>
        <v>Casiguran</v>
      </c>
      <c r="Q617" s="2" t="str">
        <f>IFERROR(__xludf.DUMMYFUNCTION("""COMPUTED_VALUE"""),"Aurora")</f>
        <v>Aurora</v>
      </c>
      <c r="R617" s="2">
        <f>IFERROR(__xludf.DUMMYFUNCTION("""COMPUTED_VALUE"""),3.0)</f>
        <v>3</v>
      </c>
      <c r="S617" s="2"/>
      <c r="T617" s="2"/>
    </row>
    <row r="618">
      <c r="A618" s="1">
        <f>IFERROR(__xludf.DUMMYFUNCTION("""COMPUTED_VALUE"""),616.0)</f>
        <v>616</v>
      </c>
      <c r="B618" s="2" t="str">
        <f>IFERROR(__xludf.DUMMYFUNCTION("""COMPUTED_VALUE"""),"Municipal Local Government Unit of Dipaculao")</f>
        <v>Municipal Local Government Unit of Dipaculao</v>
      </c>
      <c r="C618" s="2" t="str">
        <f>IFERROR(__xludf.DUMMYFUNCTION("""COMPUTED_VALUE"""),"North Poblacion, Dipaculao, AURORA")</f>
        <v>North Poblacion, Dipaculao, AURORA</v>
      </c>
      <c r="D618" s="2" t="str">
        <f>IFERROR(__xludf.DUMMYFUNCTION("""COMPUTED_VALUE"""),"Hon. Danilo A. Tolentino")</f>
        <v>Hon. Danilo A. Tolentino</v>
      </c>
      <c r="E618" s="2" t="str">
        <f>IFERROR(__xludf.DUMMYFUNCTION("""COMPUTED_VALUE"""),"0930-500-4539")</f>
        <v>0930-500-4539</v>
      </c>
      <c r="F618" s="2" t="str">
        <f>IFERROR(__xludf.DUMMYFUNCTION("""COMPUTED_VALUE"""),"RCEF 25-03-05")</f>
        <v>RCEF 25-03-05</v>
      </c>
      <c r="G618" s="2">
        <f>IFERROR(__xludf.DUMMYFUNCTION("""COMPUTED_VALUE"""),5.0)</f>
        <v>5</v>
      </c>
      <c r="H618" s="2" t="str">
        <f>IFERROR(__xludf.DUMMYFUNCTION("""COMPUTED_VALUE"""),"26206 &amp; 27818")</f>
        <v>26206 &amp; 27818</v>
      </c>
      <c r="I618" s="2" t="str">
        <f>IFERROR(__xludf.DUMMYFUNCTION("""COMPUTED_VALUE"""),"KMC5825 ALSFPV0337")</f>
        <v>KMC5825 ALSFPV0337</v>
      </c>
      <c r="J618" s="3" t="str">
        <f>IFERROR(__xludf.DUMMYFUNCTION("""COMPUTED_VALUE"""),"STS100358")</f>
        <v>STS100358</v>
      </c>
      <c r="K618" s="2" t="str">
        <f>IFERROR(__xludf.DUMMYFUNCTION("""COMPUTED_VALUE"""),"WR-SERIES 1383PH")</f>
        <v>WR-SERIES 1383PH</v>
      </c>
      <c r="L618" s="3" t="str">
        <f>IFERROR(__xludf.DUMMYFUNCTION("""COMPUTED_VALUE"""),"25080410")</f>
        <v>25080410</v>
      </c>
      <c r="M618" s="3">
        <f>IFERROR(__xludf.DUMMYFUNCTION("""COMPUTED_VALUE"""),2.5121381E7)</f>
        <v>25121381</v>
      </c>
      <c r="N618" s="2"/>
      <c r="O618" s="2" t="str">
        <f>IFERROR(__xludf.DUMMYFUNCTION("""COMPUTED_VALUE"""),"North Poblacion")</f>
        <v>North Poblacion</v>
      </c>
      <c r="P618" s="2" t="str">
        <f>IFERROR(__xludf.DUMMYFUNCTION("""COMPUTED_VALUE"""),"Dipaculao")</f>
        <v>Dipaculao</v>
      </c>
      <c r="Q618" s="2" t="str">
        <f>IFERROR(__xludf.DUMMYFUNCTION("""COMPUTED_VALUE"""),"Aurora")</f>
        <v>Aurora</v>
      </c>
      <c r="R618" s="2">
        <f>IFERROR(__xludf.DUMMYFUNCTION("""COMPUTED_VALUE"""),3.0)</f>
        <v>3</v>
      </c>
      <c r="S618" s="2"/>
      <c r="T618" s="2"/>
    </row>
    <row r="619">
      <c r="A619" s="1">
        <f>IFERROR(__xludf.DUMMYFUNCTION("""COMPUTED_VALUE"""),617.0)</f>
        <v>617</v>
      </c>
      <c r="B619" s="2" t="str">
        <f>IFERROR(__xludf.DUMMYFUNCTION("""COMPUTED_VALUE"""),"Dimanpudso Farmers Association")</f>
        <v>Dimanpudso Farmers Association</v>
      </c>
      <c r="C619" s="2" t="str">
        <f>IFERROR(__xludf.DUMMYFUNCTION("""COMPUTED_VALUE"""),"Dimanpudso, Maria Aurora, AURORA")</f>
        <v>Dimanpudso, Maria Aurora, AURORA</v>
      </c>
      <c r="D619" s="2" t="str">
        <f>IFERROR(__xludf.DUMMYFUNCTION("""COMPUTED_VALUE"""),"Reynaldo C. Abrero")</f>
        <v>Reynaldo C. Abrero</v>
      </c>
      <c r="E619" s="2" t="str">
        <f>IFERROR(__xludf.DUMMYFUNCTION("""COMPUTED_VALUE"""),"0919-001-1023")</f>
        <v>0919-001-1023</v>
      </c>
      <c r="F619" s="2" t="str">
        <f>IFERROR(__xludf.DUMMYFUNCTION("""COMPUTED_VALUE"""),"RCEF 25-03-05")</f>
        <v>RCEF 25-03-05</v>
      </c>
      <c r="G619" s="2">
        <f>IFERROR(__xludf.DUMMYFUNCTION("""COMPUTED_VALUE"""),5.0)</f>
        <v>5</v>
      </c>
      <c r="H619" s="2" t="str">
        <f>IFERROR(__xludf.DUMMYFUNCTION("""COMPUTED_VALUE"""),"26207 &amp; 27819")</f>
        <v>26207 &amp; 27819</v>
      </c>
      <c r="I619" s="2" t="str">
        <f>IFERROR(__xludf.DUMMYFUNCTION("""COMPUTED_VALUE"""),"KMC5825 APSFPV0250")</f>
        <v>KMC5825 APSFPV0250</v>
      </c>
      <c r="J619" s="3" t="str">
        <f>IFERROR(__xludf.DUMMYFUNCTION("""COMPUTED_VALUE"""),"STS100272")</f>
        <v>STS100272</v>
      </c>
      <c r="K619" s="2" t="str">
        <f>IFERROR(__xludf.DUMMYFUNCTION("""COMPUTED_VALUE"""),"WR-SERIES 1384PH")</f>
        <v>WR-SERIES 1384PH</v>
      </c>
      <c r="L619" s="3" t="str">
        <f>IFERROR(__xludf.DUMMYFUNCTION("""COMPUTED_VALUE"""),"25080428")</f>
        <v>25080428</v>
      </c>
      <c r="M619" s="3">
        <f>IFERROR(__xludf.DUMMYFUNCTION("""COMPUTED_VALUE"""),2.5121382E7)</f>
        <v>25121382</v>
      </c>
      <c r="N619" s="2"/>
      <c r="O619" s="2" t="str">
        <f>IFERROR(__xludf.DUMMYFUNCTION("""COMPUTED_VALUE"""),"Dimanpudso")</f>
        <v>Dimanpudso</v>
      </c>
      <c r="P619" s="2" t="str">
        <f>IFERROR(__xludf.DUMMYFUNCTION("""COMPUTED_VALUE"""),"Maria Aurora")</f>
        <v>Maria Aurora</v>
      </c>
      <c r="Q619" s="2" t="str">
        <f>IFERROR(__xludf.DUMMYFUNCTION("""COMPUTED_VALUE"""),"Aurora")</f>
        <v>Aurora</v>
      </c>
      <c r="R619" s="2">
        <f>IFERROR(__xludf.DUMMYFUNCTION("""COMPUTED_VALUE"""),3.0)</f>
        <v>3</v>
      </c>
      <c r="S619" s="2"/>
      <c r="T619" s="2"/>
    </row>
    <row r="620">
      <c r="A620" s="1">
        <f>IFERROR(__xludf.DUMMYFUNCTION("""COMPUTED_VALUE"""),618.0)</f>
        <v>618</v>
      </c>
      <c r="B620" s="2" t="str">
        <f>IFERROR(__xludf.DUMMYFUNCTION("""COMPUTED_VALUE"""),"DIOME FARMERS ASSOCIATION")</f>
        <v>DIOME FARMERS ASSOCIATION</v>
      </c>
      <c r="C620" s="2" t="str">
        <f>IFERROR(__xludf.DUMMYFUNCTION("""COMPUTED_VALUE"""),"Diome, Maria Aurora, AURORA")</f>
        <v>Diome, Maria Aurora, AURORA</v>
      </c>
      <c r="D620" s="2" t="str">
        <f>IFERROR(__xludf.DUMMYFUNCTION("""COMPUTED_VALUE"""),"Perlita A. Abaco")</f>
        <v>Perlita A. Abaco</v>
      </c>
      <c r="E620" s="2" t="str">
        <f>IFERROR(__xludf.DUMMYFUNCTION("""COMPUTED_VALUE"""),"0907-753-1995")</f>
        <v>0907-753-1995</v>
      </c>
      <c r="F620" s="2" t="str">
        <f>IFERROR(__xludf.DUMMYFUNCTION("""COMPUTED_VALUE"""),"RCEF 25-03-05")</f>
        <v>RCEF 25-03-05</v>
      </c>
      <c r="G620" s="2">
        <f>IFERROR(__xludf.DUMMYFUNCTION("""COMPUTED_VALUE"""),5.0)</f>
        <v>5</v>
      </c>
      <c r="H620" s="2" t="str">
        <f>IFERROR(__xludf.DUMMYFUNCTION("""COMPUTED_VALUE"""),"26208 &amp; 27820")</f>
        <v>26208 &amp; 27820</v>
      </c>
      <c r="I620" s="2" t="str">
        <f>IFERROR(__xludf.DUMMYFUNCTION("""COMPUTED_VALUE"""),"KMC5825 AKSFPV0184")</f>
        <v>KMC5825 AKSFPV0184</v>
      </c>
      <c r="J620" s="3" t="str">
        <f>IFERROR(__xludf.DUMMYFUNCTION("""COMPUTED_VALUE"""),"STS100215")</f>
        <v>STS100215</v>
      </c>
      <c r="K620" s="2" t="str">
        <f>IFERROR(__xludf.DUMMYFUNCTION("""COMPUTED_VALUE"""),"WR-SERIES 1385PH")</f>
        <v>WR-SERIES 1385PH</v>
      </c>
      <c r="L620" s="3" t="str">
        <f>IFERROR(__xludf.DUMMYFUNCTION("""COMPUTED_VALUE"""),"25080328")</f>
        <v>25080328</v>
      </c>
      <c r="M620" s="3">
        <f>IFERROR(__xludf.DUMMYFUNCTION("""COMPUTED_VALUE"""),2.5121383E7)</f>
        <v>25121383</v>
      </c>
      <c r="N620" s="2"/>
      <c r="O620" s="2" t="str">
        <f>IFERROR(__xludf.DUMMYFUNCTION("""COMPUTED_VALUE"""),"Diome")</f>
        <v>Diome</v>
      </c>
      <c r="P620" s="2" t="str">
        <f>IFERROR(__xludf.DUMMYFUNCTION("""COMPUTED_VALUE"""),"Maria Aurora")</f>
        <v>Maria Aurora</v>
      </c>
      <c r="Q620" s="2" t="str">
        <f>IFERROR(__xludf.DUMMYFUNCTION("""COMPUTED_VALUE"""),"Aurora")</f>
        <v>Aurora</v>
      </c>
      <c r="R620" s="2">
        <f>IFERROR(__xludf.DUMMYFUNCTION("""COMPUTED_VALUE"""),3.0)</f>
        <v>3</v>
      </c>
      <c r="S620" s="2"/>
      <c r="T620" s="2"/>
    </row>
    <row r="621">
      <c r="A621" s="1">
        <f>IFERROR(__xludf.DUMMYFUNCTION("""COMPUTED_VALUE"""),619.0)</f>
        <v>619</v>
      </c>
      <c r="B621" s="2" t="str">
        <f>IFERROR(__xludf.DUMMYFUNCTION("""COMPUTED_VALUE"""),"Municipal Local Government Unit of Maria Aurora")</f>
        <v>Municipal Local Government Unit of Maria Aurora</v>
      </c>
      <c r="C621" s="2" t="str">
        <f>IFERROR(__xludf.DUMMYFUNCTION("""COMPUTED_VALUE"""),"Barangay III (Pob.), Maria Aurora, AURORA")</f>
        <v>Barangay III (Pob.), Maria Aurora, AURORA</v>
      </c>
      <c r="D621" s="2" t="str">
        <f>IFERROR(__xludf.DUMMYFUNCTION("""COMPUTED_VALUE"""),"Hon. Ariel S. Bitong/ Engr. John Gerald L. Prado")</f>
        <v>Hon. Ariel S. Bitong/ Engr. John Gerald L. Prado</v>
      </c>
      <c r="E621" s="2" t="str">
        <f>IFERROR(__xludf.DUMMYFUNCTION("""COMPUTED_VALUE"""),"0917-150-8929")</f>
        <v>0917-150-8929</v>
      </c>
      <c r="F621" s="2" t="str">
        <f>IFERROR(__xludf.DUMMYFUNCTION("""COMPUTED_VALUE"""),"RCEF 25-03-05")</f>
        <v>RCEF 25-03-05</v>
      </c>
      <c r="G621" s="2">
        <f>IFERROR(__xludf.DUMMYFUNCTION("""COMPUTED_VALUE"""),5.0)</f>
        <v>5</v>
      </c>
      <c r="H621" s="2" t="str">
        <f>IFERROR(__xludf.DUMMYFUNCTION("""COMPUTED_VALUE"""),"26209 &amp; 27821")</f>
        <v>26209 &amp; 27821</v>
      </c>
      <c r="I621" s="2" t="str">
        <f>IFERROR(__xludf.DUMMYFUNCTION("""COMPUTED_VALUE"""),"KMC5825 AJSFPV0185")</f>
        <v>KMC5825 AJSFPV0185</v>
      </c>
      <c r="J621" s="3" t="str">
        <f>IFERROR(__xludf.DUMMYFUNCTION("""COMPUTED_VALUE"""),"STS100216")</f>
        <v>STS100216</v>
      </c>
      <c r="K621" s="2" t="str">
        <f>IFERROR(__xludf.DUMMYFUNCTION("""COMPUTED_VALUE"""),"WR-SERIES 1386PH")</f>
        <v>WR-SERIES 1386PH</v>
      </c>
      <c r="L621" s="3" t="str">
        <f>IFERROR(__xludf.DUMMYFUNCTION("""COMPUTED_VALUE"""),"25080347")</f>
        <v>25080347</v>
      </c>
      <c r="M621" s="3">
        <f>IFERROR(__xludf.DUMMYFUNCTION("""COMPUTED_VALUE"""),2.5121384E7)</f>
        <v>25121384</v>
      </c>
      <c r="N621" s="2"/>
      <c r="O621" s="2" t="str">
        <f>IFERROR(__xludf.DUMMYFUNCTION("""COMPUTED_VALUE"""),"Barangay Iii (Pob.)")</f>
        <v>Barangay Iii (Pob.)</v>
      </c>
      <c r="P621" s="2" t="str">
        <f>IFERROR(__xludf.DUMMYFUNCTION("""COMPUTED_VALUE"""),"Maria Aurora")</f>
        <v>Maria Aurora</v>
      </c>
      <c r="Q621" s="2" t="str">
        <f>IFERROR(__xludf.DUMMYFUNCTION("""COMPUTED_VALUE"""),"Aurora")</f>
        <v>Aurora</v>
      </c>
      <c r="R621" s="2">
        <f>IFERROR(__xludf.DUMMYFUNCTION("""COMPUTED_VALUE"""),3.0)</f>
        <v>3</v>
      </c>
      <c r="S621" s="2"/>
      <c r="T621" s="2"/>
    </row>
    <row r="622">
      <c r="A622" s="1">
        <f>IFERROR(__xludf.DUMMYFUNCTION("""COMPUTED_VALUE"""),620.0)</f>
        <v>620</v>
      </c>
      <c r="B622" s="2" t="str">
        <f>IFERROR(__xludf.DUMMYFUNCTION("""COMPUTED_VALUE"""),"Aurora Federation of Farmers and Irrigators Association, Inc.")</f>
        <v>Aurora Federation of Farmers and Irrigators Association, Inc.</v>
      </c>
      <c r="C622" s="2" t="str">
        <f>IFERROR(__xludf.DUMMYFUNCTION("""COMPUTED_VALUE"""),"Barangay IV (Pob.), San Luis, AURORA")</f>
        <v>Barangay IV (Pob.), San Luis, AURORA</v>
      </c>
      <c r="D622" s="2" t="str">
        <f>IFERROR(__xludf.DUMMYFUNCTION("""COMPUTED_VALUE"""),"Antonio E. Cada, Sr.")</f>
        <v>Antonio E. Cada, Sr.</v>
      </c>
      <c r="E622" s="2" t="str">
        <f>IFERROR(__xludf.DUMMYFUNCTION("""COMPUTED_VALUE"""),"0948-883-3971")</f>
        <v>0948-883-3971</v>
      </c>
      <c r="F622" s="2" t="str">
        <f>IFERROR(__xludf.DUMMYFUNCTION("""COMPUTED_VALUE"""),"RCEF 25-03-05")</f>
        <v>RCEF 25-03-05</v>
      </c>
      <c r="G622" s="2">
        <f>IFERROR(__xludf.DUMMYFUNCTION("""COMPUTED_VALUE"""),5.0)</f>
        <v>5</v>
      </c>
      <c r="H622" s="2" t="str">
        <f>IFERROR(__xludf.DUMMYFUNCTION("""COMPUTED_VALUE"""),"26210 &amp; 27822")</f>
        <v>26210 &amp; 27822</v>
      </c>
      <c r="I622" s="2" t="str">
        <f>IFERROR(__xludf.DUMMYFUNCTION("""COMPUTED_VALUE"""),"KMC5825 AESFPV0244")</f>
        <v>KMC5825 AESFPV0244</v>
      </c>
      <c r="J622" s="3" t="str">
        <f>IFERROR(__xludf.DUMMYFUNCTION("""COMPUTED_VALUE"""),"STS100250")</f>
        <v>STS100250</v>
      </c>
      <c r="K622" s="2" t="str">
        <f>IFERROR(__xludf.DUMMYFUNCTION("""COMPUTED_VALUE"""),"WR-SERIES 1387PH")</f>
        <v>WR-SERIES 1387PH</v>
      </c>
      <c r="L622" s="3" t="str">
        <f>IFERROR(__xludf.DUMMYFUNCTION("""COMPUTED_VALUE"""),"25080437")</f>
        <v>25080437</v>
      </c>
      <c r="M622" s="3">
        <f>IFERROR(__xludf.DUMMYFUNCTION("""COMPUTED_VALUE"""),2.5121385E7)</f>
        <v>25121385</v>
      </c>
      <c r="N622" s="2"/>
      <c r="O622" s="2" t="str">
        <f>IFERROR(__xludf.DUMMYFUNCTION("""COMPUTED_VALUE"""),"Barangay Iv (Pob.)")</f>
        <v>Barangay Iv (Pob.)</v>
      </c>
      <c r="P622" s="2" t="str">
        <f>IFERROR(__xludf.DUMMYFUNCTION("""COMPUTED_VALUE"""),"San Luis")</f>
        <v>San Luis</v>
      </c>
      <c r="Q622" s="2" t="str">
        <f>IFERROR(__xludf.DUMMYFUNCTION("""COMPUTED_VALUE"""),"Aurora")</f>
        <v>Aurora</v>
      </c>
      <c r="R622" s="2">
        <f>IFERROR(__xludf.DUMMYFUNCTION("""COMPUTED_VALUE"""),3.0)</f>
        <v>3</v>
      </c>
      <c r="S622" s="2"/>
      <c r="T622" s="2"/>
    </row>
    <row r="623">
      <c r="A623" s="1">
        <f>IFERROR(__xludf.DUMMYFUNCTION("""COMPUTED_VALUE"""),621.0)</f>
        <v>621</v>
      </c>
      <c r="B623" s="2" t="str">
        <f>IFERROR(__xludf.DUMMYFUNCTION("""COMPUTED_VALUE"""),"Adamson - Bambang Farmers Association")</f>
        <v>Adamson - Bambang Farmers Association</v>
      </c>
      <c r="C623" s="2" t="str">
        <f>IFERROR(__xludf.DUMMYFUNCTION("""COMPUTED_VALUE"""),"Gugo, Samal, BATAAN")</f>
        <v>Gugo, Samal, BATAAN</v>
      </c>
      <c r="D623" s="2" t="str">
        <f>IFERROR(__xludf.DUMMYFUNCTION("""COMPUTED_VALUE"""),"Raul Dela Rosa")</f>
        <v>Raul Dela Rosa</v>
      </c>
      <c r="E623" s="2">
        <f>IFERROR(__xludf.DUMMYFUNCTION("""COMPUTED_VALUE"""),9.266164086E9)</f>
        <v>9266164086</v>
      </c>
      <c r="F623" s="2" t="str">
        <f>IFERROR(__xludf.DUMMYFUNCTION("""COMPUTED_VALUE"""),"RCEF 25-03-05")</f>
        <v>RCEF 25-03-05</v>
      </c>
      <c r="G623" s="2">
        <f>IFERROR(__xludf.DUMMYFUNCTION("""COMPUTED_VALUE"""),5.0)</f>
        <v>5</v>
      </c>
      <c r="H623" s="2" t="str">
        <f>IFERROR(__xludf.DUMMYFUNCTION("""COMPUTED_VALUE"""),"26211 &amp; 27651")</f>
        <v>26211 &amp; 27651</v>
      </c>
      <c r="I623" s="2" t="str">
        <f>IFERROR(__xludf.DUMMYFUNCTION("""COMPUTED_VALUE"""),"KMC5825 ATSFPV0117")</f>
        <v>KMC5825 ATSFPV0117</v>
      </c>
      <c r="J623" s="3" t="str">
        <f>IFERROR(__xludf.DUMMYFUNCTION("""COMPUTED_VALUE"""),"STS100095")</f>
        <v>STS100095</v>
      </c>
      <c r="K623" s="2" t="str">
        <f>IFERROR(__xludf.DUMMYFUNCTION("""COMPUTED_VALUE"""),"R-SERIES 322PH")</f>
        <v>R-SERIES 322PH</v>
      </c>
      <c r="L623" s="3">
        <f>IFERROR(__xludf.DUMMYFUNCTION("""COMPUTED_VALUE"""),2.508036E7)</f>
        <v>25080360</v>
      </c>
      <c r="M623" s="3">
        <f>IFERROR(__xludf.DUMMYFUNCTION("""COMPUTED_VALUE"""),2.5080815E7)</f>
        <v>25080815</v>
      </c>
      <c r="N623" s="2"/>
      <c r="O623" s="2" t="str">
        <f>IFERROR(__xludf.DUMMYFUNCTION("""COMPUTED_VALUE"""),"Gugo")</f>
        <v>Gugo</v>
      </c>
      <c r="P623" s="2" t="str">
        <f>IFERROR(__xludf.DUMMYFUNCTION("""COMPUTED_VALUE"""),"Samal")</f>
        <v>Samal</v>
      </c>
      <c r="Q623" s="2" t="str">
        <f>IFERROR(__xludf.DUMMYFUNCTION("""COMPUTED_VALUE"""),"Bataan")</f>
        <v>Bataan</v>
      </c>
      <c r="R623" s="2">
        <f>IFERROR(__xludf.DUMMYFUNCTION("""COMPUTED_VALUE"""),3.0)</f>
        <v>3</v>
      </c>
      <c r="S623" s="2"/>
      <c r="T623" s="2"/>
    </row>
    <row r="624">
      <c r="A624" s="1">
        <f>IFERROR(__xludf.DUMMYFUNCTION("""COMPUTED_VALUE"""),622.0)</f>
        <v>622</v>
      </c>
      <c r="B624" s="2" t="str">
        <f>IFERROR(__xludf.DUMMYFUNCTION("""COMPUTED_VALUE"""),"Cupang West Multipurpose Cooperative")</f>
        <v>Cupang West Multipurpose Cooperative</v>
      </c>
      <c r="C624" s="2" t="str">
        <f>IFERROR(__xludf.DUMMYFUNCTION("""COMPUTED_VALUE"""),"Cupang West, Balanga City, BATAAN")</f>
        <v>Cupang West, Balanga City, BATAAN</v>
      </c>
      <c r="D624" s="2" t="str">
        <f>IFERROR(__xludf.DUMMYFUNCTION("""COMPUTED_VALUE"""),"Estrella De Guzman")</f>
        <v>Estrella De Guzman</v>
      </c>
      <c r="E624" s="2" t="str">
        <f>IFERROR(__xludf.DUMMYFUNCTION("""COMPUTED_VALUE"""),"0998-390-8488")</f>
        <v>0998-390-8488</v>
      </c>
      <c r="F624" s="2" t="str">
        <f>IFERROR(__xludf.DUMMYFUNCTION("""COMPUTED_VALUE"""),"RCEF 25-03-05")</f>
        <v>RCEF 25-03-05</v>
      </c>
      <c r="G624" s="2">
        <f>IFERROR(__xludf.DUMMYFUNCTION("""COMPUTED_VALUE"""),5.0)</f>
        <v>5</v>
      </c>
      <c r="H624" s="2" t="str">
        <f>IFERROR(__xludf.DUMMYFUNCTION("""COMPUTED_VALUE"""),"26212 &amp; 27652")</f>
        <v>26212 &amp; 27652</v>
      </c>
      <c r="I624" s="2" t="str">
        <f>IFERROR(__xludf.DUMMYFUNCTION("""COMPUTED_VALUE"""),"KMC5825 AASFPV0160")</f>
        <v>KMC5825 AASFPV0160</v>
      </c>
      <c r="J624" s="3" t="str">
        <f>IFERROR(__xludf.DUMMYFUNCTION("""COMPUTED_VALUE"""),"STS100158")</f>
        <v>STS100158</v>
      </c>
      <c r="K624" s="2" t="str">
        <f>IFERROR(__xludf.DUMMYFUNCTION("""COMPUTED_VALUE"""),"R-SERIES 324PH")</f>
        <v>R-SERIES 324PH</v>
      </c>
      <c r="L624" s="3">
        <f>IFERROR(__xludf.DUMMYFUNCTION("""COMPUTED_VALUE"""),2.5080378E7)</f>
        <v>25080378</v>
      </c>
      <c r="M624" s="3">
        <f>IFERROR(__xludf.DUMMYFUNCTION("""COMPUTED_VALUE"""),2.5080806E7)</f>
        <v>25080806</v>
      </c>
      <c r="N624" s="2"/>
      <c r="O624" s="2" t="str">
        <f>IFERROR(__xludf.DUMMYFUNCTION("""COMPUTED_VALUE"""),"Cupang West")</f>
        <v>Cupang West</v>
      </c>
      <c r="P624" s="2" t="str">
        <f>IFERROR(__xludf.DUMMYFUNCTION("""COMPUTED_VALUE"""),"Balanga City")</f>
        <v>Balanga City</v>
      </c>
      <c r="Q624" s="2" t="str">
        <f>IFERROR(__xludf.DUMMYFUNCTION("""COMPUTED_VALUE"""),"Bataan")</f>
        <v>Bataan</v>
      </c>
      <c r="R624" s="2">
        <f>IFERROR(__xludf.DUMMYFUNCTION("""COMPUTED_VALUE"""),3.0)</f>
        <v>3</v>
      </c>
      <c r="S624" s="2"/>
      <c r="T624" s="2"/>
    </row>
    <row r="625">
      <c r="A625" s="1">
        <f>IFERROR(__xludf.DUMMYFUNCTION("""COMPUTED_VALUE"""),623.0)</f>
        <v>623</v>
      </c>
      <c r="B625" s="2" t="str">
        <f>IFERROR(__xludf.DUMMYFUNCTION("""COMPUTED_VALUE"""),"PARAAN IRRIGATORS ASSOCIATION INC.")</f>
        <v>PARAAN IRRIGATORS ASSOCIATION INC.</v>
      </c>
      <c r="C625" s="2" t="str">
        <f>IFERROR(__xludf.DUMMYFUNCTION("""COMPUTED_VALUE"""),"Tinejero, Pulilan, BULACAN")</f>
        <v>Tinejero, Pulilan, BULACAN</v>
      </c>
      <c r="D625" s="2" t="str">
        <f>IFERROR(__xludf.DUMMYFUNCTION("""COMPUTED_VALUE"""),"Joselito C. Calderon")</f>
        <v>Joselito C. Calderon</v>
      </c>
      <c r="E625" s="2" t="str">
        <f>IFERROR(__xludf.DUMMYFUNCTION("""COMPUTED_VALUE"""),"0918-584-4336")</f>
        <v>0918-584-4336</v>
      </c>
      <c r="F625" s="2" t="str">
        <f>IFERROR(__xludf.DUMMYFUNCTION("""COMPUTED_VALUE"""),"RCEF 25-03-05")</f>
        <v>RCEF 25-03-05</v>
      </c>
      <c r="G625" s="2">
        <f>IFERROR(__xludf.DUMMYFUNCTION("""COMPUTED_VALUE"""),5.0)</f>
        <v>5</v>
      </c>
      <c r="H625" s="2" t="str">
        <f>IFERROR(__xludf.DUMMYFUNCTION("""COMPUTED_VALUE"""),"26213 &amp; 27653")</f>
        <v>26213 &amp; 27653</v>
      </c>
      <c r="I625" s="2" t="str">
        <f>IFERROR(__xludf.DUMMYFUNCTION("""COMPUTED_VALUE"""),"KMC5825 AASFPV0319")</f>
        <v>KMC5825 AASFPV0319</v>
      </c>
      <c r="J625" s="3" t="str">
        <f>IFERROR(__xludf.DUMMYFUNCTION("""COMPUTED_VALUE"""),"STS100323")</f>
        <v>STS100323</v>
      </c>
      <c r="K625" s="2" t="str">
        <f>IFERROR(__xludf.DUMMYFUNCTION("""COMPUTED_VALUE"""),"R-SERIES 146PH")</f>
        <v>R-SERIES 146PH</v>
      </c>
      <c r="L625" s="3">
        <f>IFERROR(__xludf.DUMMYFUNCTION("""COMPUTED_VALUE"""),2.5080434E7)</f>
        <v>25080434</v>
      </c>
      <c r="M625" s="3">
        <f>IFERROR(__xludf.DUMMYFUNCTION("""COMPUTED_VALUE"""),2.5090995E7)</f>
        <v>25090995</v>
      </c>
      <c r="N625" s="2"/>
      <c r="O625" s="2" t="str">
        <f>IFERROR(__xludf.DUMMYFUNCTION("""COMPUTED_VALUE"""),"Tinejero")</f>
        <v>Tinejero</v>
      </c>
      <c r="P625" s="2" t="str">
        <f>IFERROR(__xludf.DUMMYFUNCTION("""COMPUTED_VALUE"""),"Pulilan")</f>
        <v>Pulilan</v>
      </c>
      <c r="Q625" s="2" t="str">
        <f>IFERROR(__xludf.DUMMYFUNCTION("""COMPUTED_VALUE"""),"Bulacan")</f>
        <v>Bulacan</v>
      </c>
      <c r="R625" s="2">
        <f>IFERROR(__xludf.DUMMYFUNCTION("""COMPUTED_VALUE"""),3.0)</f>
        <v>3</v>
      </c>
      <c r="S625" s="2"/>
      <c r="T625" s="2"/>
    </row>
    <row r="626">
      <c r="A626" s="1">
        <f>IFERROR(__xludf.DUMMYFUNCTION("""COMPUTED_VALUE"""),624.0)</f>
        <v>624</v>
      </c>
      <c r="B626" s="2" t="str">
        <f>IFERROR(__xludf.DUMMYFUNCTION("""COMPUTED_VALUE"""),"SAMAHANG MAGSASAKA NG DULONG MALABON")</f>
        <v>SAMAHANG MAGSASAKA NG DULONG MALABON</v>
      </c>
      <c r="C626" s="2" t="str">
        <f>IFERROR(__xludf.DUMMYFUNCTION("""COMPUTED_VALUE"""),"Dulong Malabon, Pulilan, BULACAN")</f>
        <v>Dulong Malabon, Pulilan, BULACAN</v>
      </c>
      <c r="D626" s="2" t="str">
        <f>IFERROR(__xludf.DUMMYFUNCTION("""COMPUTED_VALUE"""),"Enrico Reyes")</f>
        <v>Enrico Reyes</v>
      </c>
      <c r="E626" s="2" t="str">
        <f>IFERROR(__xludf.DUMMYFUNCTION("""COMPUTED_VALUE"""),"0935-795-9841/ 0969-370-9144")</f>
        <v>0935-795-9841/ 0969-370-9144</v>
      </c>
      <c r="F626" s="2" t="str">
        <f>IFERROR(__xludf.DUMMYFUNCTION("""COMPUTED_VALUE"""),"RCEF 25-03-05")</f>
        <v>RCEF 25-03-05</v>
      </c>
      <c r="G626" s="2">
        <f>IFERROR(__xludf.DUMMYFUNCTION("""COMPUTED_VALUE"""),5.0)</f>
        <v>5</v>
      </c>
      <c r="H626" s="2" t="str">
        <f>IFERROR(__xludf.DUMMYFUNCTION("""COMPUTED_VALUE"""),"26214 &amp; 27654")</f>
        <v>26214 &amp; 27654</v>
      </c>
      <c r="I626" s="2" t="str">
        <f>IFERROR(__xludf.DUMMYFUNCTION("""COMPUTED_VALUE"""),"KMC5825 AJSFPV0378")</f>
        <v>KMC5825 AJSFPV0378</v>
      </c>
      <c r="J626" s="3" t="str">
        <f>IFERROR(__xludf.DUMMYFUNCTION("""COMPUTED_VALUE"""),"STS100454")</f>
        <v>STS100454</v>
      </c>
      <c r="K626" s="2" t="str">
        <f>IFERROR(__xludf.DUMMYFUNCTION("""COMPUTED_VALUE"""),"WR-SERIES 122")</f>
        <v>WR-SERIES 122</v>
      </c>
      <c r="L626" s="3">
        <f>IFERROR(__xludf.DUMMYFUNCTION("""COMPUTED_VALUE"""),2.508043E7)</f>
        <v>25080430</v>
      </c>
      <c r="M626" s="3">
        <f>IFERROR(__xludf.DUMMYFUNCTION("""COMPUTED_VALUE"""),2.5091006E7)</f>
        <v>25091006</v>
      </c>
      <c r="N626" s="2"/>
      <c r="O626" s="2" t="str">
        <f>IFERROR(__xludf.DUMMYFUNCTION("""COMPUTED_VALUE"""),"Dulong Malabon")</f>
        <v>Dulong Malabon</v>
      </c>
      <c r="P626" s="2" t="str">
        <f>IFERROR(__xludf.DUMMYFUNCTION("""COMPUTED_VALUE"""),"Pulilan")</f>
        <v>Pulilan</v>
      </c>
      <c r="Q626" s="2" t="str">
        <f>IFERROR(__xludf.DUMMYFUNCTION("""COMPUTED_VALUE"""),"Bulacan")</f>
        <v>Bulacan</v>
      </c>
      <c r="R626" s="2">
        <f>IFERROR(__xludf.DUMMYFUNCTION("""COMPUTED_VALUE"""),3.0)</f>
        <v>3</v>
      </c>
      <c r="S626" s="2"/>
      <c r="T626" s="2"/>
    </row>
    <row r="627">
      <c r="A627" s="1">
        <f>IFERROR(__xludf.DUMMYFUNCTION("""COMPUTED_VALUE"""),625.0)</f>
        <v>625</v>
      </c>
      <c r="B627" s="2" t="str">
        <f>IFERROR(__xludf.DUMMYFUNCTION("""COMPUTED_VALUE"""),"BONGA MENOR FARMERS ASSOCIATION (BMFA), INC.")</f>
        <v>BONGA MENOR FARMERS ASSOCIATION (BMFA), INC.</v>
      </c>
      <c r="C627" s="2" t="str">
        <f>IFERROR(__xludf.DUMMYFUNCTION("""COMPUTED_VALUE"""),"Bonga Menor, Bustos, BULACAN")</f>
        <v>Bonga Menor, Bustos, BULACAN</v>
      </c>
      <c r="D627" s="2" t="str">
        <f>IFERROR(__xludf.DUMMYFUNCTION("""COMPUTED_VALUE"""),"Teddy S. Castro")</f>
        <v>Teddy S. Castro</v>
      </c>
      <c r="E627" s="2" t="str">
        <f>IFERROR(__xludf.DUMMYFUNCTION("""COMPUTED_VALUE"""),"0945-581-6173")</f>
        <v>0945-581-6173</v>
      </c>
      <c r="F627" s="2" t="str">
        <f>IFERROR(__xludf.DUMMYFUNCTION("""COMPUTED_VALUE"""),"RCEF 25-03-05")</f>
        <v>RCEF 25-03-05</v>
      </c>
      <c r="G627" s="2">
        <f>IFERROR(__xludf.DUMMYFUNCTION("""COMPUTED_VALUE"""),5.0)</f>
        <v>5</v>
      </c>
      <c r="H627" s="2" t="str">
        <f>IFERROR(__xludf.DUMMYFUNCTION("""COMPUTED_VALUE"""),"26215 &amp; 27655")</f>
        <v>26215 &amp; 27655</v>
      </c>
      <c r="I627" s="2" t="str">
        <f>IFERROR(__xludf.DUMMYFUNCTION("""COMPUTED_VALUE"""),"KMC5825 AJSFPV0350")</f>
        <v>KMC5825 AJSFPV0350</v>
      </c>
      <c r="J627" s="3" t="str">
        <f>IFERROR(__xludf.DUMMYFUNCTION("""COMPUTED_VALUE"""),"STS100330")</f>
        <v>STS100330</v>
      </c>
      <c r="K627" s="2" t="str">
        <f>IFERROR(__xludf.DUMMYFUNCTION("""COMPUTED_VALUE"""),"WR-SERIES 275")</f>
        <v>WR-SERIES 275</v>
      </c>
      <c r="L627" s="3">
        <f>IFERROR(__xludf.DUMMYFUNCTION("""COMPUTED_VALUE"""),2.5090559E7)</f>
        <v>25090559</v>
      </c>
      <c r="M627" s="3">
        <f>IFERROR(__xludf.DUMMYFUNCTION("""COMPUTED_VALUE"""),2.5080826E7)</f>
        <v>25080826</v>
      </c>
      <c r="N627" s="2"/>
      <c r="O627" s="2" t="str">
        <f>IFERROR(__xludf.DUMMYFUNCTION("""COMPUTED_VALUE"""),"Bonga Menor")</f>
        <v>Bonga Menor</v>
      </c>
      <c r="P627" s="2" t="str">
        <f>IFERROR(__xludf.DUMMYFUNCTION("""COMPUTED_VALUE"""),"Bustos")</f>
        <v>Bustos</v>
      </c>
      <c r="Q627" s="2" t="str">
        <f>IFERROR(__xludf.DUMMYFUNCTION("""COMPUTED_VALUE"""),"Bulacan")</f>
        <v>Bulacan</v>
      </c>
      <c r="R627" s="2">
        <f>IFERROR(__xludf.DUMMYFUNCTION("""COMPUTED_VALUE"""),3.0)</f>
        <v>3</v>
      </c>
      <c r="S627" s="2"/>
      <c r="T627" s="2"/>
    </row>
    <row r="628">
      <c r="A628" s="1">
        <f>IFERROR(__xludf.DUMMYFUNCTION("""COMPUTED_VALUE"""),626.0)</f>
        <v>626</v>
      </c>
      <c r="B628" s="2" t="str">
        <f>IFERROR(__xludf.DUMMYFUNCTION("""COMPUTED_VALUE"""),"MUNICIPAL LOCAL GOVERNMENT UNIT OF BUSTOS")</f>
        <v>MUNICIPAL LOCAL GOVERNMENT UNIT OF BUSTOS</v>
      </c>
      <c r="C628" s="2" t="str">
        <f>IFERROR(__xludf.DUMMYFUNCTION("""COMPUTED_VALUE"""),"Poblacion, Bustos, BULACAN")</f>
        <v>Poblacion, Bustos, BULACAN</v>
      </c>
      <c r="D628" s="2" t="str">
        <f>IFERROR(__xludf.DUMMYFUNCTION("""COMPUTED_VALUE"""),"HON. FRANCIS ALBERT G. JUAN / Maria Lourdes Roberto (MA)")</f>
        <v>HON. FRANCIS ALBERT G. JUAN / Maria Lourdes Roberto (MA)</v>
      </c>
      <c r="E628" s="2" t="str">
        <f>IFERROR(__xludf.DUMMYFUNCTION("""COMPUTED_VALUE"""),"0923-457-7048")</f>
        <v>0923-457-7048</v>
      </c>
      <c r="F628" s="2" t="str">
        <f>IFERROR(__xludf.DUMMYFUNCTION("""COMPUTED_VALUE"""),"RCEF 25-03-05")</f>
        <v>RCEF 25-03-05</v>
      </c>
      <c r="G628" s="2">
        <f>IFERROR(__xludf.DUMMYFUNCTION("""COMPUTED_VALUE"""),5.0)</f>
        <v>5</v>
      </c>
      <c r="H628" s="2" t="str">
        <f>IFERROR(__xludf.DUMMYFUNCTION("""COMPUTED_VALUE"""),"26216 &amp; 27657")</f>
        <v>26216 &amp; 27657</v>
      </c>
      <c r="I628" s="2" t="str">
        <f>IFERROR(__xludf.DUMMYFUNCTION("""COMPUTED_VALUE"""),"KMC5825 ACSFPV0303")</f>
        <v>KMC5825 ACSFPV0303</v>
      </c>
      <c r="J628" s="3" t="str">
        <f>IFERROR(__xludf.DUMMYFUNCTION("""COMPUTED_VALUE"""),"STS100274")</f>
        <v>STS100274</v>
      </c>
      <c r="K628" s="2" t="str">
        <f>IFERROR(__xludf.DUMMYFUNCTION("""COMPUTED_VALUE"""),"R-SERIES 149PH")</f>
        <v>R-SERIES 149PH</v>
      </c>
      <c r="L628" s="3">
        <f>IFERROR(__xludf.DUMMYFUNCTION("""COMPUTED_VALUE"""),2.5080397E7)</f>
        <v>25080397</v>
      </c>
      <c r="M628" s="3">
        <f>IFERROR(__xludf.DUMMYFUNCTION("""COMPUTED_VALUE"""),2.5091004E7)</f>
        <v>25091004</v>
      </c>
      <c r="N628" s="2"/>
      <c r="O628" s="2" t="str">
        <f>IFERROR(__xludf.DUMMYFUNCTION("""COMPUTED_VALUE"""),"Poblacion")</f>
        <v>Poblacion</v>
      </c>
      <c r="P628" s="2" t="str">
        <f>IFERROR(__xludf.DUMMYFUNCTION("""COMPUTED_VALUE"""),"Bustos")</f>
        <v>Bustos</v>
      </c>
      <c r="Q628" s="2" t="str">
        <f>IFERROR(__xludf.DUMMYFUNCTION("""COMPUTED_VALUE"""),"Bulacan")</f>
        <v>Bulacan</v>
      </c>
      <c r="R628" s="2">
        <f>IFERROR(__xludf.DUMMYFUNCTION("""COMPUTED_VALUE"""),3.0)</f>
        <v>3</v>
      </c>
      <c r="S628" s="2"/>
      <c r="T628" s="2"/>
    </row>
    <row r="629">
      <c r="A629" s="1">
        <f>IFERROR(__xludf.DUMMYFUNCTION("""COMPUTED_VALUE"""),627.0)</f>
        <v>627</v>
      </c>
      <c r="B629" s="2" t="str">
        <f>IFERROR(__xludf.DUMMYFUNCTION("""COMPUTED_VALUE"""),"Samahang Magsasaka ng Bustos (SMB) Inc.")</f>
        <v>Samahang Magsasaka ng Bustos (SMB) Inc.</v>
      </c>
      <c r="C629" s="2" t="str">
        <f>IFERROR(__xludf.DUMMYFUNCTION("""COMPUTED_VALUE"""),"Poblacion, Bustos, BULACAN")</f>
        <v>Poblacion, Bustos, BULACAN</v>
      </c>
      <c r="D629" s="2" t="str">
        <f>IFERROR(__xludf.DUMMYFUNCTION("""COMPUTED_VALUE"""),"JOEL A. GATUZ")</f>
        <v>JOEL A. GATUZ</v>
      </c>
      <c r="E629" s="2" t="str">
        <f>IFERROR(__xludf.DUMMYFUNCTION("""COMPUTED_VALUE"""),"0943-501-9407")</f>
        <v>0943-501-9407</v>
      </c>
      <c r="F629" s="2" t="str">
        <f>IFERROR(__xludf.DUMMYFUNCTION("""COMPUTED_VALUE"""),"RCEF 25-03-05")</f>
        <v>RCEF 25-03-05</v>
      </c>
      <c r="G629" s="2">
        <f>IFERROR(__xludf.DUMMYFUNCTION("""COMPUTED_VALUE"""),5.0)</f>
        <v>5</v>
      </c>
      <c r="H629" s="2" t="str">
        <f>IFERROR(__xludf.DUMMYFUNCTION("""COMPUTED_VALUE"""),"26217 &amp; 27658")</f>
        <v>26217 &amp; 27658</v>
      </c>
      <c r="I629" s="2" t="str">
        <f>IFERROR(__xludf.DUMMYFUNCTION("""COMPUTED_VALUE"""),"KMC5825 AVSFPV0383")</f>
        <v>KMC5825 AVSFPV0383</v>
      </c>
      <c r="J629" s="3" t="str">
        <f>IFERROR(__xludf.DUMMYFUNCTION("""COMPUTED_VALUE"""),"STS100456")</f>
        <v>STS100456</v>
      </c>
      <c r="K629" s="2" t="str">
        <f>IFERROR(__xludf.DUMMYFUNCTION("""COMPUTED_VALUE"""),"WR-SERIES 121")</f>
        <v>WR-SERIES 121</v>
      </c>
      <c r="L629" s="3">
        <f>IFERROR(__xludf.DUMMYFUNCTION("""COMPUTED_VALUE"""),2.5080365E7)</f>
        <v>25080365</v>
      </c>
      <c r="M629" s="3">
        <f>IFERROR(__xludf.DUMMYFUNCTION("""COMPUTED_VALUE"""),2.5080825E7)</f>
        <v>25080825</v>
      </c>
      <c r="N629" s="2"/>
      <c r="O629" s="2" t="str">
        <f>IFERROR(__xludf.DUMMYFUNCTION("""COMPUTED_VALUE"""),"Poblacion")</f>
        <v>Poblacion</v>
      </c>
      <c r="P629" s="2" t="str">
        <f>IFERROR(__xludf.DUMMYFUNCTION("""COMPUTED_VALUE"""),"Bustos")</f>
        <v>Bustos</v>
      </c>
      <c r="Q629" s="2" t="str">
        <f>IFERROR(__xludf.DUMMYFUNCTION("""COMPUTED_VALUE"""),"Bulacan")</f>
        <v>Bulacan</v>
      </c>
      <c r="R629" s="2">
        <f>IFERROR(__xludf.DUMMYFUNCTION("""COMPUTED_VALUE"""),3.0)</f>
        <v>3</v>
      </c>
      <c r="S629" s="2"/>
      <c r="T629" s="2"/>
    </row>
    <row r="630">
      <c r="A630" s="1">
        <f>IFERROR(__xludf.DUMMYFUNCTION("""COMPUTED_VALUE"""),628.0)</f>
        <v>628</v>
      </c>
      <c r="B630" s="2" t="str">
        <f>IFERROR(__xludf.DUMMYFUNCTION("""COMPUTED_VALUE"""),"BULUALTO FARMERS IRRIGATORS' ASSOCIATION INC")</f>
        <v>BULUALTO FARMERS IRRIGATORS' ASSOCIATION INC</v>
      </c>
      <c r="C630" s="2" t="str">
        <f>IFERROR(__xludf.DUMMYFUNCTION("""COMPUTED_VALUE"""),"Bulualto, San Miguel, BULACAN")</f>
        <v>Bulualto, San Miguel, BULACAN</v>
      </c>
      <c r="D630" s="2" t="str">
        <f>IFERROR(__xludf.DUMMYFUNCTION("""COMPUTED_VALUE"""),"ALLAN B. DE JESUS")</f>
        <v>ALLAN B. DE JESUS</v>
      </c>
      <c r="E630" s="2" t="str">
        <f>IFERROR(__xludf.DUMMYFUNCTION("""COMPUTED_VALUE"""),"0905-326-0991")</f>
        <v>0905-326-0991</v>
      </c>
      <c r="F630" s="2" t="str">
        <f>IFERROR(__xludf.DUMMYFUNCTION("""COMPUTED_VALUE"""),"RCEF 25-03-05")</f>
        <v>RCEF 25-03-05</v>
      </c>
      <c r="G630" s="2">
        <f>IFERROR(__xludf.DUMMYFUNCTION("""COMPUTED_VALUE"""),5.0)</f>
        <v>5</v>
      </c>
      <c r="H630" s="2" t="str">
        <f>IFERROR(__xludf.DUMMYFUNCTION("""COMPUTED_VALUE"""),"26218 &amp; 27659")</f>
        <v>26218 &amp; 27659</v>
      </c>
      <c r="I630" s="2" t="str">
        <f>IFERROR(__xludf.DUMMYFUNCTION("""COMPUTED_VALUE"""),"KMC5825 ACSFPV0320")</f>
        <v>KMC5825 ACSFPV0320</v>
      </c>
      <c r="J630" s="3" t="str">
        <f>IFERROR(__xludf.DUMMYFUNCTION("""COMPUTED_VALUE"""),"STS100328")</f>
        <v>STS100328</v>
      </c>
      <c r="K630" s="2" t="str">
        <f>IFERROR(__xludf.DUMMYFUNCTION("""COMPUTED_VALUE"""),"R-SERIES 045PH")</f>
        <v>R-SERIES 045PH</v>
      </c>
      <c r="L630" s="3">
        <f>IFERROR(__xludf.DUMMYFUNCTION("""COMPUTED_VALUE"""),2.5080432E7)</f>
        <v>25080432</v>
      </c>
      <c r="M630" s="3">
        <f>IFERROR(__xludf.DUMMYFUNCTION("""COMPUTED_VALUE"""),2.5080842E7)</f>
        <v>25080842</v>
      </c>
      <c r="N630" s="2"/>
      <c r="O630" s="2" t="str">
        <f>IFERROR(__xludf.DUMMYFUNCTION("""COMPUTED_VALUE"""),"Bulualto")</f>
        <v>Bulualto</v>
      </c>
      <c r="P630" s="2" t="str">
        <f>IFERROR(__xludf.DUMMYFUNCTION("""COMPUTED_VALUE"""),"San Miguel")</f>
        <v>San Miguel</v>
      </c>
      <c r="Q630" s="2" t="str">
        <f>IFERROR(__xludf.DUMMYFUNCTION("""COMPUTED_VALUE"""),"Bulacan")</f>
        <v>Bulacan</v>
      </c>
      <c r="R630" s="2">
        <f>IFERROR(__xludf.DUMMYFUNCTION("""COMPUTED_VALUE"""),3.0)</f>
        <v>3</v>
      </c>
      <c r="S630" s="2"/>
      <c r="T630" s="2"/>
    </row>
    <row r="631">
      <c r="A631" s="1">
        <f>IFERROR(__xludf.DUMMYFUNCTION("""COMPUTED_VALUE"""),629.0)</f>
        <v>629</v>
      </c>
      <c r="B631" s="2" t="str">
        <f>IFERROR(__xludf.DUMMYFUNCTION("""COMPUTED_VALUE"""),"Fortunate Empire Multipurpose Cooperative")</f>
        <v>Fortunate Empire Multipurpose Cooperative</v>
      </c>
      <c r="C631" s="2" t="str">
        <f>IFERROR(__xludf.DUMMYFUNCTION("""COMPUTED_VALUE"""),"Biclat, San Miguel, BULACAN")</f>
        <v>Biclat, San Miguel, BULACAN</v>
      </c>
      <c r="D631" s="2" t="str">
        <f>IFERROR(__xludf.DUMMYFUNCTION("""COMPUTED_VALUE"""),"ELIZABETH FAUSTINO")</f>
        <v>ELIZABETH FAUSTINO</v>
      </c>
      <c r="E631" s="2" t="str">
        <f>IFERROR(__xludf.DUMMYFUNCTION("""COMPUTED_VALUE"""),"0917-534-0884")</f>
        <v>0917-534-0884</v>
      </c>
      <c r="F631" s="2" t="str">
        <f>IFERROR(__xludf.DUMMYFUNCTION("""COMPUTED_VALUE"""),"RCEF 25-03-05")</f>
        <v>RCEF 25-03-05</v>
      </c>
      <c r="G631" s="2">
        <f>IFERROR(__xludf.DUMMYFUNCTION("""COMPUTED_VALUE"""),5.0)</f>
        <v>5</v>
      </c>
      <c r="H631" s="2" t="str">
        <f>IFERROR(__xludf.DUMMYFUNCTION("""COMPUTED_VALUE"""),"26219 &amp; 27660")</f>
        <v>26219 &amp; 27660</v>
      </c>
      <c r="I631" s="2" t="str">
        <f>IFERROR(__xludf.DUMMYFUNCTION("""COMPUTED_VALUE"""),"KMC5825 ACSFPV0424")</f>
        <v>KMC5825 ACSFPV0424</v>
      </c>
      <c r="J631" s="3" t="str">
        <f>IFERROR(__xludf.DUMMYFUNCTION("""COMPUTED_VALUE"""),"STS100446")</f>
        <v>STS100446</v>
      </c>
      <c r="K631" s="2" t="str">
        <f>IFERROR(__xludf.DUMMYFUNCTION("""COMPUTED_VALUE"""),"WR-SERIES 264")</f>
        <v>WR-SERIES 264</v>
      </c>
      <c r="L631" s="3">
        <f>IFERROR(__xludf.DUMMYFUNCTION("""COMPUTED_VALUE"""),2.5080423E7)</f>
        <v>25080423</v>
      </c>
      <c r="M631" s="3">
        <f>IFERROR(__xludf.DUMMYFUNCTION("""COMPUTED_VALUE"""),2.5080841E7)</f>
        <v>25080841</v>
      </c>
      <c r="N631" s="2"/>
      <c r="O631" s="2" t="str">
        <f>IFERROR(__xludf.DUMMYFUNCTION("""COMPUTED_VALUE"""),"Biclat")</f>
        <v>Biclat</v>
      </c>
      <c r="P631" s="2" t="str">
        <f>IFERROR(__xludf.DUMMYFUNCTION("""COMPUTED_VALUE"""),"San Miguel")</f>
        <v>San Miguel</v>
      </c>
      <c r="Q631" s="2" t="str">
        <f>IFERROR(__xludf.DUMMYFUNCTION("""COMPUTED_VALUE"""),"Bulacan")</f>
        <v>Bulacan</v>
      </c>
      <c r="R631" s="2">
        <f>IFERROR(__xludf.DUMMYFUNCTION("""COMPUTED_VALUE"""),3.0)</f>
        <v>3</v>
      </c>
      <c r="S631" s="2"/>
      <c r="T631" s="2"/>
    </row>
    <row r="632">
      <c r="A632" s="1">
        <f>IFERROR(__xludf.DUMMYFUNCTION("""COMPUTED_VALUE"""),630.0)</f>
        <v>630</v>
      </c>
      <c r="B632" s="2" t="str">
        <f>IFERROR(__xludf.DUMMYFUNCTION("""COMPUTED_VALUE"""),"Malapajo Irrigated Farmer's Association")</f>
        <v>Malapajo Irrigated Farmer's Association</v>
      </c>
      <c r="C632" s="2" t="str">
        <f>IFERROR(__xludf.DUMMYFUNCTION("""COMPUTED_VALUE"""),"Santa Rita Bata, San Miguel, BULACAN")</f>
        <v>Santa Rita Bata, San Miguel, BULACAN</v>
      </c>
      <c r="D632" s="2" t="str">
        <f>IFERROR(__xludf.DUMMYFUNCTION("""COMPUTED_VALUE"""),"TIRSO M. YASIS")</f>
        <v>TIRSO M. YASIS</v>
      </c>
      <c r="E632" s="2" t="str">
        <f>IFERROR(__xludf.DUMMYFUNCTION("""COMPUTED_VALUE"""),"0917-126-5680")</f>
        <v>0917-126-5680</v>
      </c>
      <c r="F632" s="2" t="str">
        <f>IFERROR(__xludf.DUMMYFUNCTION("""COMPUTED_VALUE"""),"RCEF 25-03-05")</f>
        <v>RCEF 25-03-05</v>
      </c>
      <c r="G632" s="2">
        <f>IFERROR(__xludf.DUMMYFUNCTION("""COMPUTED_VALUE"""),5.0)</f>
        <v>5</v>
      </c>
      <c r="H632" s="2" t="str">
        <f>IFERROR(__xludf.DUMMYFUNCTION("""COMPUTED_VALUE"""),"26220 &amp; 27661")</f>
        <v>26220 &amp; 27661</v>
      </c>
      <c r="I632" s="2" t="str">
        <f>IFERROR(__xludf.DUMMYFUNCTION("""COMPUTED_VALUE"""),"KMC5825 AASFPV0207")</f>
        <v>KMC5825 AASFPV0207</v>
      </c>
      <c r="J632" s="3" t="str">
        <f>IFERROR(__xludf.DUMMYFUNCTION("""COMPUTED_VALUE"""),"STS100227")</f>
        <v>STS100227</v>
      </c>
      <c r="K632" s="2" t="str">
        <f>IFERROR(__xludf.DUMMYFUNCTION("""COMPUTED_VALUE"""),"WR-SERIES 140")</f>
        <v>WR-SERIES 140</v>
      </c>
      <c r="L632" s="3">
        <f>IFERROR(__xludf.DUMMYFUNCTION("""COMPUTED_VALUE"""),2509555.0)</f>
        <v>2509555</v>
      </c>
      <c r="M632" s="3">
        <f>IFERROR(__xludf.DUMMYFUNCTION("""COMPUTED_VALUE"""),2.5080822E7)</f>
        <v>25080822</v>
      </c>
      <c r="N632" s="2"/>
      <c r="O632" s="2" t="str">
        <f>IFERROR(__xludf.DUMMYFUNCTION("""COMPUTED_VALUE"""),"Santa Rita Bata")</f>
        <v>Santa Rita Bata</v>
      </c>
      <c r="P632" s="2" t="str">
        <f>IFERROR(__xludf.DUMMYFUNCTION("""COMPUTED_VALUE"""),"San Miguel")</f>
        <v>San Miguel</v>
      </c>
      <c r="Q632" s="2" t="str">
        <f>IFERROR(__xludf.DUMMYFUNCTION("""COMPUTED_VALUE"""),"Bulacan")</f>
        <v>Bulacan</v>
      </c>
      <c r="R632" s="2">
        <f>IFERROR(__xludf.DUMMYFUNCTION("""COMPUTED_VALUE"""),3.0)</f>
        <v>3</v>
      </c>
      <c r="S632" s="2"/>
      <c r="T632" s="2"/>
    </row>
    <row r="633">
      <c r="A633" s="1">
        <f>IFERROR(__xludf.DUMMYFUNCTION("""COMPUTED_VALUE"""),631.0)</f>
        <v>631</v>
      </c>
      <c r="B633" s="2" t="str">
        <f>IFERROR(__xludf.DUMMYFUNCTION("""COMPUTED_VALUE"""),"San Miguel Sinag Tala Multipurpose Cooperative")</f>
        <v>San Miguel Sinag Tala Multipurpose Cooperative</v>
      </c>
      <c r="C633" s="2" t="str">
        <f>IFERROR(__xludf.DUMMYFUNCTION("""COMPUTED_VALUE"""),"San Vicente, San Miguel, BULACAN")</f>
        <v>San Vicente, San Miguel, BULACAN</v>
      </c>
      <c r="D633" s="2" t="str">
        <f>IFERROR(__xludf.DUMMYFUNCTION("""COMPUTED_VALUE"""),"MA. DIGNA S. CALIWAG")</f>
        <v>MA. DIGNA S. CALIWAG</v>
      </c>
      <c r="E633" s="2" t="str">
        <f>IFERROR(__xludf.DUMMYFUNCTION("""COMPUTED_VALUE"""),"0915-918-3604")</f>
        <v>0915-918-3604</v>
      </c>
      <c r="F633" s="2" t="str">
        <f>IFERROR(__xludf.DUMMYFUNCTION("""COMPUTED_VALUE"""),"RCEF 25-03-05")</f>
        <v>RCEF 25-03-05</v>
      </c>
      <c r="G633" s="2">
        <f>IFERROR(__xludf.DUMMYFUNCTION("""COMPUTED_VALUE"""),5.0)</f>
        <v>5</v>
      </c>
      <c r="H633" s="2" t="str">
        <f>IFERROR(__xludf.DUMMYFUNCTION("""COMPUTED_VALUE"""),"26221 &amp; 27662")</f>
        <v>26221 &amp; 27662</v>
      </c>
      <c r="I633" s="2" t="str">
        <f>IFERROR(__xludf.DUMMYFUNCTION("""COMPUTED_VALUE"""),"KMC5825 ATSFPV0179")</f>
        <v>KMC5825 ATSFPV0179</v>
      </c>
      <c r="J633" s="3" t="str">
        <f>IFERROR(__xludf.DUMMYFUNCTION("""COMPUTED_VALUE"""),"STS100209")</f>
        <v>STS100209</v>
      </c>
      <c r="K633" s="2" t="str">
        <f>IFERROR(__xludf.DUMMYFUNCTION("""COMPUTED_VALUE"""),"R-SERIES 147PH")</f>
        <v>R-SERIES 147PH</v>
      </c>
      <c r="L633" s="3">
        <f>IFERROR(__xludf.DUMMYFUNCTION("""COMPUTED_VALUE"""),2.5090637E7)</f>
        <v>25090637</v>
      </c>
      <c r="M633" s="3">
        <f>IFERROR(__xludf.DUMMYFUNCTION("""COMPUTED_VALUE"""),2.5090992E7)</f>
        <v>25090992</v>
      </c>
      <c r="N633" s="2"/>
      <c r="O633" s="2" t="str">
        <f>IFERROR(__xludf.DUMMYFUNCTION("""COMPUTED_VALUE"""),"San Vicente")</f>
        <v>San Vicente</v>
      </c>
      <c r="P633" s="2" t="str">
        <f>IFERROR(__xludf.DUMMYFUNCTION("""COMPUTED_VALUE"""),"San Miguel")</f>
        <v>San Miguel</v>
      </c>
      <c r="Q633" s="2" t="str">
        <f>IFERROR(__xludf.DUMMYFUNCTION("""COMPUTED_VALUE"""),"Bulacan")</f>
        <v>Bulacan</v>
      </c>
      <c r="R633" s="2">
        <f>IFERROR(__xludf.DUMMYFUNCTION("""COMPUTED_VALUE"""),3.0)</f>
        <v>3</v>
      </c>
      <c r="S633" s="2"/>
      <c r="T633" s="2"/>
    </row>
    <row r="634">
      <c r="A634" s="1">
        <f>IFERROR(__xludf.DUMMYFUNCTION("""COMPUTED_VALUE"""),632.0)</f>
        <v>632</v>
      </c>
      <c r="B634" s="2" t="str">
        <f>IFERROR(__xludf.DUMMYFUNCTION("""COMPUTED_VALUE"""),"Igulot Farmers Association")</f>
        <v>Igulot Farmers Association</v>
      </c>
      <c r="C634" s="2" t="str">
        <f>IFERROR(__xludf.DUMMYFUNCTION("""COMPUTED_VALUE"""),"Igulot, Bocaue, BULACAN")</f>
        <v>Igulot, Bocaue, BULACAN</v>
      </c>
      <c r="D634" s="2" t="str">
        <f>IFERROR(__xludf.DUMMYFUNCTION("""COMPUTED_VALUE"""),"Nora M. Agapito")</f>
        <v>Nora M. Agapito</v>
      </c>
      <c r="E634" s="2" t="str">
        <f>IFERROR(__xludf.DUMMYFUNCTION("""COMPUTED_VALUE"""),"0926-365-2640")</f>
        <v>0926-365-2640</v>
      </c>
      <c r="F634" s="2" t="str">
        <f>IFERROR(__xludf.DUMMYFUNCTION("""COMPUTED_VALUE"""),"RCEF 25-03-05")</f>
        <v>RCEF 25-03-05</v>
      </c>
      <c r="G634" s="2">
        <f>IFERROR(__xludf.DUMMYFUNCTION("""COMPUTED_VALUE"""),5.0)</f>
        <v>5</v>
      </c>
      <c r="H634" s="2" t="str">
        <f>IFERROR(__xludf.DUMMYFUNCTION("""COMPUTED_VALUE"""),"26222 &amp; 27663")</f>
        <v>26222 &amp; 27663</v>
      </c>
      <c r="I634" s="2" t="str">
        <f>IFERROR(__xludf.DUMMYFUNCTION("""COMPUTED_VALUE"""),"KMC5825 AHSFPV0243")</f>
        <v>KMC5825 AHSFPV0243</v>
      </c>
      <c r="J634" s="3" t="str">
        <f>IFERROR(__xludf.DUMMYFUNCTION("""COMPUTED_VALUE"""),"STS100261")</f>
        <v>STS100261</v>
      </c>
      <c r="K634" s="2" t="str">
        <f>IFERROR(__xludf.DUMMYFUNCTION("""COMPUTED_VALUE"""),"R-SERIES 062PH")</f>
        <v>R-SERIES 062PH</v>
      </c>
      <c r="L634" s="3">
        <f>IFERROR(__xludf.DUMMYFUNCTION("""COMPUTED_VALUE"""),2.5090538E7)</f>
        <v>25090538</v>
      </c>
      <c r="M634" s="3">
        <f>IFERROR(__xludf.DUMMYFUNCTION("""COMPUTED_VALUE"""),2.5091001E7)</f>
        <v>25091001</v>
      </c>
      <c r="N634" s="2"/>
      <c r="O634" s="2" t="str">
        <f>IFERROR(__xludf.DUMMYFUNCTION("""COMPUTED_VALUE"""),"Igulot")</f>
        <v>Igulot</v>
      </c>
      <c r="P634" s="2" t="str">
        <f>IFERROR(__xludf.DUMMYFUNCTION("""COMPUTED_VALUE"""),"Bocaue")</f>
        <v>Bocaue</v>
      </c>
      <c r="Q634" s="2" t="str">
        <f>IFERROR(__xludf.DUMMYFUNCTION("""COMPUTED_VALUE"""),"Bulacan")</f>
        <v>Bulacan</v>
      </c>
      <c r="R634" s="2">
        <f>IFERROR(__xludf.DUMMYFUNCTION("""COMPUTED_VALUE"""),3.0)</f>
        <v>3</v>
      </c>
      <c r="S634" s="2"/>
      <c r="T634" s="2"/>
    </row>
    <row r="635">
      <c r="A635" s="1">
        <f>IFERROR(__xludf.DUMMYFUNCTION("""COMPUTED_VALUE"""),633.0)</f>
        <v>633</v>
      </c>
      <c r="B635" s="2" t="str">
        <f>IFERROR(__xludf.DUMMYFUNCTION("""COMPUTED_VALUE"""),"MMMB IRRIGATORS ASSOCIATION")</f>
        <v>MMMB IRRIGATORS ASSOCIATION</v>
      </c>
      <c r="C635" s="2" t="str">
        <f>IFERROR(__xludf.DUMMYFUNCTION("""COMPUTED_VALUE"""),"Malibong Bata, Pandi, BULACAN")</f>
        <v>Malibong Bata, Pandi, BULACAN</v>
      </c>
      <c r="D635" s="2" t="str">
        <f>IFERROR(__xludf.DUMMYFUNCTION("""COMPUTED_VALUE"""),"CRISENCIANO A. GALVEZ")</f>
        <v>CRISENCIANO A. GALVEZ</v>
      </c>
      <c r="E635" s="2" t="str">
        <f>IFERROR(__xludf.DUMMYFUNCTION("""COMPUTED_VALUE"""),"0945-503-4093")</f>
        <v>0945-503-4093</v>
      </c>
      <c r="F635" s="2" t="str">
        <f>IFERROR(__xludf.DUMMYFUNCTION("""COMPUTED_VALUE"""),"RCEF 25-03-05")</f>
        <v>RCEF 25-03-05</v>
      </c>
      <c r="G635" s="2">
        <f>IFERROR(__xludf.DUMMYFUNCTION("""COMPUTED_VALUE"""),5.0)</f>
        <v>5</v>
      </c>
      <c r="H635" s="2" t="str">
        <f>IFERROR(__xludf.DUMMYFUNCTION("""COMPUTED_VALUE"""),"26223 &amp; 27664")</f>
        <v>26223 &amp; 27664</v>
      </c>
      <c r="I635" s="2" t="str">
        <f>IFERROR(__xludf.DUMMYFUNCTION("""COMPUTED_VALUE"""),"KMC5825 AKSFPV0377")</f>
        <v>KMC5825 AKSFPV0377</v>
      </c>
      <c r="J635" s="3" t="str">
        <f>IFERROR(__xludf.DUMMYFUNCTION("""COMPUTED_VALUE"""),"STS100453")</f>
        <v>STS100453</v>
      </c>
      <c r="K635" s="2" t="str">
        <f>IFERROR(__xludf.DUMMYFUNCTION("""COMPUTED_VALUE"""),"R-SERIES 139PH")</f>
        <v>R-SERIES 139PH</v>
      </c>
      <c r="L635" s="3">
        <f>IFERROR(__xludf.DUMMYFUNCTION("""COMPUTED_VALUE"""),2.5090591E7)</f>
        <v>25090591</v>
      </c>
      <c r="M635" s="3">
        <f>IFERROR(__xludf.DUMMYFUNCTION("""COMPUTED_VALUE"""),2.5090989E7)</f>
        <v>25090989</v>
      </c>
      <c r="N635" s="2"/>
      <c r="O635" s="2" t="str">
        <f>IFERROR(__xludf.DUMMYFUNCTION("""COMPUTED_VALUE"""),"Malibong Bata")</f>
        <v>Malibong Bata</v>
      </c>
      <c r="P635" s="2" t="str">
        <f>IFERROR(__xludf.DUMMYFUNCTION("""COMPUTED_VALUE"""),"Pandi")</f>
        <v>Pandi</v>
      </c>
      <c r="Q635" s="2" t="str">
        <f>IFERROR(__xludf.DUMMYFUNCTION("""COMPUTED_VALUE"""),"Bulacan")</f>
        <v>Bulacan</v>
      </c>
      <c r="R635" s="2">
        <f>IFERROR(__xludf.DUMMYFUNCTION("""COMPUTED_VALUE"""),3.0)</f>
        <v>3</v>
      </c>
      <c r="S635" s="2"/>
      <c r="T635" s="2"/>
    </row>
    <row r="636">
      <c r="A636" s="1">
        <f>IFERROR(__xludf.DUMMYFUNCTION("""COMPUTED_VALUE"""),634.0)</f>
        <v>634</v>
      </c>
      <c r="B636" s="2" t="str">
        <f>IFERROR(__xludf.DUMMYFUNCTION("""COMPUTED_VALUE"""),"SAMAHANG MAGSASAKA NG MALIBONG MATANDA, INC.")</f>
        <v>SAMAHANG MAGSASAKA NG MALIBONG MATANDA, INC.</v>
      </c>
      <c r="C636" s="2" t="str">
        <f>IFERROR(__xludf.DUMMYFUNCTION("""COMPUTED_VALUE"""),"Malibong Matanda, Pandi, BULACAN")</f>
        <v>Malibong Matanda, Pandi, BULACAN</v>
      </c>
      <c r="D636" s="2" t="str">
        <f>IFERROR(__xludf.DUMMYFUNCTION("""COMPUTED_VALUE"""),"MARIO A. DEL ROSARIO")</f>
        <v>MARIO A. DEL ROSARIO</v>
      </c>
      <c r="E636" s="2" t="str">
        <f>IFERROR(__xludf.DUMMYFUNCTION("""COMPUTED_VALUE"""),"0942-454-7703")</f>
        <v>0942-454-7703</v>
      </c>
      <c r="F636" s="2" t="str">
        <f>IFERROR(__xludf.DUMMYFUNCTION("""COMPUTED_VALUE"""),"RCEF 25-03-05")</f>
        <v>RCEF 25-03-05</v>
      </c>
      <c r="G636" s="2">
        <f>IFERROR(__xludf.DUMMYFUNCTION("""COMPUTED_VALUE"""),5.0)</f>
        <v>5</v>
      </c>
      <c r="H636" s="2" t="str">
        <f>IFERROR(__xludf.DUMMYFUNCTION("""COMPUTED_VALUE"""),"26224 &amp; 27665")</f>
        <v>26224 &amp; 27665</v>
      </c>
      <c r="I636" s="2" t="str">
        <f>IFERROR(__xludf.DUMMYFUNCTION("""COMPUTED_VALUE"""),"KMC5825 ALSFPV0273")</f>
        <v>KMC5825 ALSFPV0273</v>
      </c>
      <c r="J636" s="3" t="str">
        <f>IFERROR(__xludf.DUMMYFUNCTION("""COMPUTED_VALUE"""),"STS100279")</f>
        <v>STS100279</v>
      </c>
      <c r="K636" s="2" t="str">
        <f>IFERROR(__xludf.DUMMYFUNCTION("""COMPUTED_VALUE"""),"R-SERIES 060PH")</f>
        <v>R-SERIES 060PH</v>
      </c>
      <c r="L636" s="3">
        <f>IFERROR(__xludf.DUMMYFUNCTION("""COMPUTED_VALUE"""),2.5080317E7)</f>
        <v>25080317</v>
      </c>
      <c r="M636" s="3">
        <f>IFERROR(__xludf.DUMMYFUNCTION("""COMPUTED_VALUE"""),2.508083E7)</f>
        <v>25080830</v>
      </c>
      <c r="N636" s="2"/>
      <c r="O636" s="2" t="str">
        <f>IFERROR(__xludf.DUMMYFUNCTION("""COMPUTED_VALUE"""),"Malibong Matanda")</f>
        <v>Malibong Matanda</v>
      </c>
      <c r="P636" s="2" t="str">
        <f>IFERROR(__xludf.DUMMYFUNCTION("""COMPUTED_VALUE"""),"Pandi")</f>
        <v>Pandi</v>
      </c>
      <c r="Q636" s="2" t="str">
        <f>IFERROR(__xludf.DUMMYFUNCTION("""COMPUTED_VALUE"""),"Bulacan")</f>
        <v>Bulacan</v>
      </c>
      <c r="R636" s="2">
        <f>IFERROR(__xludf.DUMMYFUNCTION("""COMPUTED_VALUE"""),3.0)</f>
        <v>3</v>
      </c>
      <c r="S636" s="2"/>
      <c r="T636" s="2"/>
    </row>
    <row r="637">
      <c r="A637" s="1">
        <f>IFERROR(__xludf.DUMMYFUNCTION("""COMPUTED_VALUE"""),635.0)</f>
        <v>635</v>
      </c>
      <c r="B637" s="2" t="str">
        <f>IFERROR(__xludf.DUMMYFUNCTION("""COMPUTED_VALUE"""),"PROVINCIAL LOCAL GOVERNMENT UNIT OF PAMPANGA")</f>
        <v>PROVINCIAL LOCAL GOVERNMENT UNIT OF PAMPANGA</v>
      </c>
      <c r="C637" s="2" t="str">
        <f>IFERROR(__xludf.DUMMYFUNCTION("""COMPUTED_VALUE"""),", City of San Fernando, PAMPANGA")</f>
        <v>, City of San Fernando, PAMPANGA</v>
      </c>
      <c r="D637" s="2"/>
      <c r="E637" s="2"/>
      <c r="F637" s="2" t="str">
        <f>IFERROR(__xludf.DUMMYFUNCTION("""COMPUTED_VALUE"""),"RCEF 25-03-05")</f>
        <v>RCEF 25-03-05</v>
      </c>
      <c r="G637" s="2">
        <f>IFERROR(__xludf.DUMMYFUNCTION("""COMPUTED_VALUE"""),5.0)</f>
        <v>5</v>
      </c>
      <c r="H637" s="2" t="str">
        <f>IFERROR(__xludf.DUMMYFUNCTION("""COMPUTED_VALUE"""),"26225 &amp; 27666")</f>
        <v>26225 &amp; 27666</v>
      </c>
      <c r="I637" s="2" t="str">
        <f>IFERROR(__xludf.DUMMYFUNCTION("""COMPUTED_VALUE"""),"KMC5825 ACSFPV0603")</f>
        <v>KMC5825 ACSFPV0603</v>
      </c>
      <c r="J637" s="3" t="str">
        <f>IFERROR(__xludf.DUMMYFUNCTION("""COMPUTED_VALUE"""),"STS100648")</f>
        <v>STS100648</v>
      </c>
      <c r="K637" s="2" t="str">
        <f>IFERROR(__xludf.DUMMYFUNCTION("""COMPUTED_VALUE"""),"R-SERIES 1034PH")</f>
        <v>R-SERIES 1034PH</v>
      </c>
      <c r="L637" s="3" t="str">
        <f>IFERROR(__xludf.DUMMYFUNCTION("""COMPUTED_VALUE"""),"25080342")</f>
        <v>25080342</v>
      </c>
      <c r="M637" s="3" t="str">
        <f>IFERROR(__xludf.DUMMYFUNCTION("""COMPUTED_VALUE"""),"25101224")</f>
        <v>25101224</v>
      </c>
      <c r="N637" s="2"/>
      <c r="O637" s="2" t="str">
        <f>IFERROR(__xludf.DUMMYFUNCTION("""COMPUTED_VALUE"""),"")</f>
        <v/>
      </c>
      <c r="P637" s="2" t="str">
        <f>IFERROR(__xludf.DUMMYFUNCTION("""COMPUTED_VALUE"""),"City Of San Fernando")</f>
        <v>City Of San Fernando</v>
      </c>
      <c r="Q637" s="2" t="str">
        <f>IFERROR(__xludf.DUMMYFUNCTION("""COMPUTED_VALUE"""),"Pampanga")</f>
        <v>Pampanga</v>
      </c>
      <c r="R637" s="2">
        <f>IFERROR(__xludf.DUMMYFUNCTION("""COMPUTED_VALUE"""),3.0)</f>
        <v>3</v>
      </c>
      <c r="S637" s="2" t="str">
        <f>IFERROR(__xludf.DUMMYFUNCTION("""COMPUTED_VALUE"""),"STA. CRUZ FARMERS ASSOCIATION
Santa Cruz (Pob.), Angat, BULACAN")</f>
        <v>STA. CRUZ FARMERS ASSOCIATION
Santa Cruz (Pob.), Angat, BULACAN</v>
      </c>
      <c r="T637" s="2"/>
    </row>
    <row r="638">
      <c r="A638" s="1">
        <f>IFERROR(__xludf.DUMMYFUNCTION("""COMPUTED_VALUE"""),636.0)</f>
        <v>636</v>
      </c>
      <c r="B638" s="2" t="str">
        <f>IFERROR(__xludf.DUMMYFUNCTION("""COMPUTED_VALUE"""),"Buenavista Farmer's Association")</f>
        <v>Buenavista Farmer's Association</v>
      </c>
      <c r="C638" s="2" t="str">
        <f>IFERROR(__xludf.DUMMYFUNCTION("""COMPUTED_VALUE"""),"Buenavista, Santa Maria, BULACAN")</f>
        <v>Buenavista, Santa Maria, BULACAN</v>
      </c>
      <c r="D638" s="2" t="str">
        <f>IFERROR(__xludf.DUMMYFUNCTION("""COMPUTED_VALUE"""),"JOAQUIN DELA CRUZ")</f>
        <v>JOAQUIN DELA CRUZ</v>
      </c>
      <c r="E638" s="2" t="str">
        <f>IFERROR(__xludf.DUMMYFUNCTION("""COMPUTED_VALUE"""),"0916-540-0638/ 0933-599-6070")</f>
        <v>0916-540-0638/ 0933-599-6070</v>
      </c>
      <c r="F638" s="2" t="str">
        <f>IFERROR(__xludf.DUMMYFUNCTION("""COMPUTED_VALUE"""),"RCEF 25-03-05")</f>
        <v>RCEF 25-03-05</v>
      </c>
      <c r="G638" s="2">
        <f>IFERROR(__xludf.DUMMYFUNCTION("""COMPUTED_VALUE"""),5.0)</f>
        <v>5</v>
      </c>
      <c r="H638" s="2" t="str">
        <f>IFERROR(__xludf.DUMMYFUNCTION("""COMPUTED_VALUE"""),"26226 &amp; 27667")</f>
        <v>26226 &amp; 27667</v>
      </c>
      <c r="I638" s="2" t="str">
        <f>IFERROR(__xludf.DUMMYFUNCTION("""COMPUTED_VALUE"""),"KMC5825 AHSFPV0226")</f>
        <v>KMC5825 AHSFPV0226</v>
      </c>
      <c r="J638" s="3" t="str">
        <f>IFERROR(__xludf.DUMMYFUNCTION("""COMPUTED_VALUE"""),"STS100183")</f>
        <v>STS100183</v>
      </c>
      <c r="K638" s="2" t="str">
        <f>IFERROR(__xludf.DUMMYFUNCTION("""COMPUTED_VALUE"""),"WR-SERIES 050")</f>
        <v>WR-SERIES 050</v>
      </c>
      <c r="L638" s="3">
        <f>IFERROR(__xludf.DUMMYFUNCTION("""COMPUTED_VALUE"""),2.50906E7)</f>
        <v>25090600</v>
      </c>
      <c r="M638" s="3">
        <f>IFERROR(__xludf.DUMMYFUNCTION("""COMPUTED_VALUE"""),2.5091003E7)</f>
        <v>25091003</v>
      </c>
      <c r="N638" s="2"/>
      <c r="O638" s="2" t="str">
        <f>IFERROR(__xludf.DUMMYFUNCTION("""COMPUTED_VALUE"""),"Buenavista")</f>
        <v>Buenavista</v>
      </c>
      <c r="P638" s="2" t="str">
        <f>IFERROR(__xludf.DUMMYFUNCTION("""COMPUTED_VALUE"""),"Santa Maria")</f>
        <v>Santa Maria</v>
      </c>
      <c r="Q638" s="2" t="str">
        <f>IFERROR(__xludf.DUMMYFUNCTION("""COMPUTED_VALUE"""),"Bulacan")</f>
        <v>Bulacan</v>
      </c>
      <c r="R638" s="2">
        <f>IFERROR(__xludf.DUMMYFUNCTION("""COMPUTED_VALUE"""),3.0)</f>
        <v>3</v>
      </c>
      <c r="S638" s="2"/>
      <c r="T638" s="2"/>
    </row>
    <row r="639">
      <c r="A639" s="1">
        <f>IFERROR(__xludf.DUMMYFUNCTION("""COMPUTED_VALUE"""),637.0)</f>
        <v>637</v>
      </c>
      <c r="B639" s="2" t="str">
        <f>IFERROR(__xludf.DUMMYFUNCTION("""COMPUTED_VALUE"""),"MUNICIPAL LOCAL GOVERNMENT UNIT OF SANTA MARIA")</f>
        <v>MUNICIPAL LOCAL GOVERNMENT UNIT OF SANTA MARIA</v>
      </c>
      <c r="C639" s="2" t="str">
        <f>IFERROR(__xludf.DUMMYFUNCTION("""COMPUTED_VALUE"""),"Poblacion, Santa Maria, BULACAN")</f>
        <v>Poblacion, Santa Maria, BULACAN</v>
      </c>
      <c r="D639" s="2" t="str">
        <f>IFERROR(__xludf.DUMMYFUNCTION("""COMPUTED_VALUE"""),"HON. BARTOLOME R. SANTOS")</f>
        <v>HON. BARTOLOME R. SANTOS</v>
      </c>
      <c r="E639" s="2" t="str">
        <f>IFERROR(__xludf.DUMMYFUNCTION("""COMPUTED_VALUE"""),"0922-878-7448")</f>
        <v>0922-878-7448</v>
      </c>
      <c r="F639" s="2" t="str">
        <f>IFERROR(__xludf.DUMMYFUNCTION("""COMPUTED_VALUE"""),"RCEF 25-03-05")</f>
        <v>RCEF 25-03-05</v>
      </c>
      <c r="G639" s="2">
        <f>IFERROR(__xludf.DUMMYFUNCTION("""COMPUTED_VALUE"""),5.0)</f>
        <v>5</v>
      </c>
      <c r="H639" s="2" t="str">
        <f>IFERROR(__xludf.DUMMYFUNCTION("""COMPUTED_VALUE"""),"26227 &amp; 27668")</f>
        <v>26227 &amp; 27668</v>
      </c>
      <c r="I639" s="2" t="str">
        <f>IFERROR(__xludf.DUMMYFUNCTION("""COMPUTED_VALUE"""),"KMC5825 ACSFPV0334")</f>
        <v>KMC5825 ACSFPV0334</v>
      </c>
      <c r="J639" s="3" t="str">
        <f>IFERROR(__xludf.DUMMYFUNCTION("""COMPUTED_VALUE"""),"STS100353")</f>
        <v>STS100353</v>
      </c>
      <c r="K639" s="2" t="str">
        <f>IFERROR(__xludf.DUMMYFUNCTION("""COMPUTED_VALUE"""),"WR-SERIES 241")</f>
        <v>WR-SERIES 241</v>
      </c>
      <c r="L639" s="3">
        <f>IFERROR(__xludf.DUMMYFUNCTION("""COMPUTED_VALUE"""),2.5090584E7)</f>
        <v>25090584</v>
      </c>
      <c r="M639" s="3">
        <f>IFERROR(__xludf.DUMMYFUNCTION("""COMPUTED_VALUE"""),2.5080844E7)</f>
        <v>25080844</v>
      </c>
      <c r="N639" s="2"/>
      <c r="O639" s="2" t="str">
        <f>IFERROR(__xludf.DUMMYFUNCTION("""COMPUTED_VALUE"""),"Poblacion")</f>
        <v>Poblacion</v>
      </c>
      <c r="P639" s="2" t="str">
        <f>IFERROR(__xludf.DUMMYFUNCTION("""COMPUTED_VALUE"""),"Santa Maria")</f>
        <v>Santa Maria</v>
      </c>
      <c r="Q639" s="2" t="str">
        <f>IFERROR(__xludf.DUMMYFUNCTION("""COMPUTED_VALUE"""),"Bulacan")</f>
        <v>Bulacan</v>
      </c>
      <c r="R639" s="2">
        <f>IFERROR(__xludf.DUMMYFUNCTION("""COMPUTED_VALUE"""),3.0)</f>
        <v>3</v>
      </c>
      <c r="S639" s="2"/>
      <c r="T639" s="2"/>
    </row>
    <row r="640">
      <c r="A640" s="1">
        <f>IFERROR(__xludf.DUMMYFUNCTION("""COMPUTED_VALUE"""),638.0)</f>
        <v>638</v>
      </c>
      <c r="B640" s="2" t="str">
        <f>IFERROR(__xludf.DUMMYFUNCTION("""COMPUTED_VALUE"""),"MUNICIPAL LOCAL GOVERNMENT UNIT OF SANTA MARIA")</f>
        <v>MUNICIPAL LOCAL GOVERNMENT UNIT OF SANTA MARIA</v>
      </c>
      <c r="C640" s="2" t="str">
        <f>IFERROR(__xludf.DUMMYFUNCTION("""COMPUTED_VALUE"""),"Poblacion, Santa Maria, BULACAN")</f>
        <v>Poblacion, Santa Maria, BULACAN</v>
      </c>
      <c r="D640" s="2" t="str">
        <f>IFERROR(__xludf.DUMMYFUNCTION("""COMPUTED_VALUE"""),"HON. BARTOLOME R. SANTOS")</f>
        <v>HON. BARTOLOME R. SANTOS</v>
      </c>
      <c r="E640" s="2" t="str">
        <f>IFERROR(__xludf.DUMMYFUNCTION("""COMPUTED_VALUE"""),"0922-878-7448")</f>
        <v>0922-878-7448</v>
      </c>
      <c r="F640" s="2" t="str">
        <f>IFERROR(__xludf.DUMMYFUNCTION("""COMPUTED_VALUE"""),"RCEF 25-03-05")</f>
        <v>RCEF 25-03-05</v>
      </c>
      <c r="G640" s="2">
        <f>IFERROR(__xludf.DUMMYFUNCTION("""COMPUTED_VALUE"""),5.0)</f>
        <v>5</v>
      </c>
      <c r="H640" s="2" t="str">
        <f>IFERROR(__xludf.DUMMYFUNCTION("""COMPUTED_VALUE"""),"26227 &amp; 27668")</f>
        <v>26227 &amp; 27668</v>
      </c>
      <c r="I640" s="2" t="str">
        <f>IFERROR(__xludf.DUMMYFUNCTION("""COMPUTED_VALUE"""),"KMC5825 AASFPV0322")</f>
        <v>KMC5825 AASFPV0322</v>
      </c>
      <c r="J640" s="3" t="str">
        <f>IFERROR(__xludf.DUMMYFUNCTION("""COMPUTED_VALUE"""),"STS100334")</f>
        <v>STS100334</v>
      </c>
      <c r="K640" s="2" t="str">
        <f>IFERROR(__xludf.DUMMYFUNCTION("""COMPUTED_VALUE"""),"WR-SERIES 124")</f>
        <v>WR-SERIES 124</v>
      </c>
      <c r="L640" s="3">
        <f>IFERROR(__xludf.DUMMYFUNCTION("""COMPUTED_VALUE"""),2.5090597E7)</f>
        <v>25090597</v>
      </c>
      <c r="M640" s="3">
        <f>IFERROR(__xludf.DUMMYFUNCTION("""COMPUTED_VALUE"""),2.5090996E7)</f>
        <v>25090996</v>
      </c>
      <c r="N640" s="2"/>
      <c r="O640" s="2" t="str">
        <f>IFERROR(__xludf.DUMMYFUNCTION("""COMPUTED_VALUE"""),"Poblacion")</f>
        <v>Poblacion</v>
      </c>
      <c r="P640" s="2" t="str">
        <f>IFERROR(__xludf.DUMMYFUNCTION("""COMPUTED_VALUE"""),"Santa Maria")</f>
        <v>Santa Maria</v>
      </c>
      <c r="Q640" s="2" t="str">
        <f>IFERROR(__xludf.DUMMYFUNCTION("""COMPUTED_VALUE"""),"Bulacan")</f>
        <v>Bulacan</v>
      </c>
      <c r="R640" s="2">
        <f>IFERROR(__xludf.DUMMYFUNCTION("""COMPUTED_VALUE"""),3.0)</f>
        <v>3</v>
      </c>
      <c r="S640" s="2"/>
      <c r="T640" s="2"/>
    </row>
    <row r="641">
      <c r="A641" s="1">
        <f>IFERROR(__xludf.DUMMYFUNCTION("""COMPUTED_VALUE"""),639.0)</f>
        <v>639</v>
      </c>
      <c r="B641" s="2" t="str">
        <f>IFERROR(__xludf.DUMMYFUNCTION("""COMPUTED_VALUE"""),"BAGONG SILANG BAGONG PAG-ASA IRRIGATORS ASSOCIATION")</f>
        <v>BAGONG SILANG BAGONG PAG-ASA IRRIGATORS ASSOCIATION</v>
      </c>
      <c r="C641" s="2" t="str">
        <f>IFERROR(__xludf.DUMMYFUNCTION("""COMPUTED_VALUE"""),"San Pablo Bata, Aliaga, NUEVA ECIJA")</f>
        <v>San Pablo Bata, Aliaga, NUEVA ECIJA</v>
      </c>
      <c r="D641" s="2" t="str">
        <f>IFERROR(__xludf.DUMMYFUNCTION("""COMPUTED_VALUE"""),"Miguelito B. Cabacungan")</f>
        <v>Miguelito B. Cabacungan</v>
      </c>
      <c r="E641" s="2" t="str">
        <f>IFERROR(__xludf.DUMMYFUNCTION("""COMPUTED_VALUE"""),"0966-651-3922")</f>
        <v>0966-651-3922</v>
      </c>
      <c r="F641" s="2" t="str">
        <f>IFERROR(__xludf.DUMMYFUNCTION("""COMPUTED_VALUE"""),"RCEF 25-03-05")</f>
        <v>RCEF 25-03-05</v>
      </c>
      <c r="G641" s="2">
        <f>IFERROR(__xludf.DUMMYFUNCTION("""COMPUTED_VALUE"""),5.0)</f>
        <v>5</v>
      </c>
      <c r="H641" s="2" t="str">
        <f>IFERROR(__xludf.DUMMYFUNCTION("""COMPUTED_VALUE"""),"26229 &amp; 27730")</f>
        <v>26229 &amp; 27730</v>
      </c>
      <c r="I641" s="2" t="str">
        <f>IFERROR(__xludf.DUMMYFUNCTION("""COMPUTED_VALUE"""),"KMC5825 AASFPV0336")</f>
        <v>KMC5825 AASFPV0336</v>
      </c>
      <c r="J641" s="3" t="str">
        <f>IFERROR(__xludf.DUMMYFUNCTION("""COMPUTED_VALUE"""),"STS100355")</f>
        <v>STS100355</v>
      </c>
      <c r="K641" s="2" t="str">
        <f>IFERROR(__xludf.DUMMYFUNCTION("""COMPUTED_VALUE"""),"WR-SERIES 01330PH")</f>
        <v>WR-SERIES 01330PH</v>
      </c>
      <c r="L641" s="3" t="str">
        <f>IFERROR(__xludf.DUMMYFUNCTION("""COMPUTED_VALUE"""),"25100829")</f>
        <v>25100829</v>
      </c>
      <c r="M641" s="3" t="str">
        <f>IFERROR(__xludf.DUMMYFUNCTION("""COMPUTED_VALUE"""),"25101183")</f>
        <v>25101183</v>
      </c>
      <c r="N641" s="2"/>
      <c r="O641" s="2" t="str">
        <f>IFERROR(__xludf.DUMMYFUNCTION("""COMPUTED_VALUE"""),"San Pablo Bata")</f>
        <v>San Pablo Bata</v>
      </c>
      <c r="P641" s="2" t="str">
        <f>IFERROR(__xludf.DUMMYFUNCTION("""COMPUTED_VALUE"""),"Aliaga")</f>
        <v>Aliaga</v>
      </c>
      <c r="Q641" s="2" t="str">
        <f>IFERROR(__xludf.DUMMYFUNCTION("""COMPUTED_VALUE"""),"Nueva Ecija")</f>
        <v>Nueva Ecija</v>
      </c>
      <c r="R641" s="2">
        <f>IFERROR(__xludf.DUMMYFUNCTION("""COMPUTED_VALUE"""),3.0)</f>
        <v>3</v>
      </c>
      <c r="S641" s="2"/>
      <c r="T641" s="2"/>
    </row>
    <row r="642">
      <c r="A642" s="1">
        <f>IFERROR(__xludf.DUMMYFUNCTION("""COMPUTED_VALUE"""),640.0)</f>
        <v>640</v>
      </c>
      <c r="B642" s="2" t="str">
        <f>IFERROR(__xludf.DUMMYFUNCTION("""COMPUTED_VALUE"""),"Baloy Agriculture Cooperative (BAC)")</f>
        <v>Baloy Agriculture Cooperative (BAC)</v>
      </c>
      <c r="C642" s="2" t="str">
        <f>IFERROR(__xludf.DUMMYFUNCTION("""COMPUTED_VALUE"""),"Baloy, Cuyapo, NUEVA ECIJA")</f>
        <v>Baloy, Cuyapo, NUEVA ECIJA</v>
      </c>
      <c r="D642" s="2" t="str">
        <f>IFERROR(__xludf.DUMMYFUNCTION("""COMPUTED_VALUE"""),"Emmanuel R. Gragarin, Jr.")</f>
        <v>Emmanuel R. Gragarin, Jr.</v>
      </c>
      <c r="E642" s="2" t="str">
        <f>IFERROR(__xludf.DUMMYFUNCTION("""COMPUTED_VALUE"""),"0949-394-5718")</f>
        <v>0949-394-5718</v>
      </c>
      <c r="F642" s="2" t="str">
        <f>IFERROR(__xludf.DUMMYFUNCTION("""COMPUTED_VALUE"""),"RCEF 25-03-05")</f>
        <v>RCEF 25-03-05</v>
      </c>
      <c r="G642" s="2">
        <f>IFERROR(__xludf.DUMMYFUNCTION("""COMPUTED_VALUE"""),5.0)</f>
        <v>5</v>
      </c>
      <c r="H642" s="2" t="str">
        <f>IFERROR(__xludf.DUMMYFUNCTION("""COMPUTED_VALUE"""),"26230 &amp; 27670")</f>
        <v>26230 &amp; 27670</v>
      </c>
      <c r="I642" s="2" t="str">
        <f>IFERROR(__xludf.DUMMYFUNCTION("""COMPUTED_VALUE"""),"KMC5825 AASFPV0353")</f>
        <v>KMC5825 AASFPV0353</v>
      </c>
      <c r="J642" s="3" t="str">
        <f>IFERROR(__xludf.DUMMYFUNCTION("""COMPUTED_VALUE"""),"STS100341")</f>
        <v>STS100341</v>
      </c>
      <c r="K642" s="2" t="str">
        <f>IFERROR(__xludf.DUMMYFUNCTION("""COMPUTED_VALUE"""),"R-SERIES 309PH")</f>
        <v>R-SERIES 309PH</v>
      </c>
      <c r="L642" s="3" t="str">
        <f>IFERROR(__xludf.DUMMYFUNCTION("""COMPUTED_VALUE"""),"25090595")</f>
        <v>25090595</v>
      </c>
      <c r="M642" s="3" t="str">
        <f>IFERROR(__xludf.DUMMYFUNCTION("""COMPUTED_VALUE"""),"25080886")</f>
        <v>25080886</v>
      </c>
      <c r="N642" s="2"/>
      <c r="O642" s="2" t="str">
        <f>IFERROR(__xludf.DUMMYFUNCTION("""COMPUTED_VALUE"""),"Baloy")</f>
        <v>Baloy</v>
      </c>
      <c r="P642" s="2" t="str">
        <f>IFERROR(__xludf.DUMMYFUNCTION("""COMPUTED_VALUE"""),"Cuyapo")</f>
        <v>Cuyapo</v>
      </c>
      <c r="Q642" s="2" t="str">
        <f>IFERROR(__xludf.DUMMYFUNCTION("""COMPUTED_VALUE"""),"Nueva Ecija")</f>
        <v>Nueva Ecija</v>
      </c>
      <c r="R642" s="2">
        <f>IFERROR(__xludf.DUMMYFUNCTION("""COMPUTED_VALUE"""),3.0)</f>
        <v>3</v>
      </c>
      <c r="S642" s="2"/>
      <c r="T642" s="2"/>
    </row>
    <row r="643">
      <c r="A643" s="1">
        <f>IFERROR(__xludf.DUMMYFUNCTION("""COMPUTED_VALUE"""),641.0)</f>
        <v>641</v>
      </c>
      <c r="B643" s="2" t="str">
        <f>IFERROR(__xludf.DUMMYFUNCTION("""COMPUTED_VALUE"""),"Novaliches Development Cooperative (NOVADECI)")</f>
        <v>Novaliches Development Cooperative (NOVADECI)</v>
      </c>
      <c r="C643" s="2" t="str">
        <f>IFERROR(__xludf.DUMMYFUNCTION("""COMPUTED_VALUE"""),"Tagtagumbao, Cuyapo, NUEVA ECIJA")</f>
        <v>Tagtagumbao, Cuyapo, NUEVA ECIJA</v>
      </c>
      <c r="D643" s="2" t="str">
        <f>IFERROR(__xludf.DUMMYFUNCTION("""COMPUTED_VALUE"""),"Ma. Theresa G. Drueco")</f>
        <v>Ma. Theresa G. Drueco</v>
      </c>
      <c r="E643" s="2" t="str">
        <f>IFERROR(__xludf.DUMMYFUNCTION("""COMPUTED_VALUE"""),"0917-625-8299")</f>
        <v>0917-625-8299</v>
      </c>
      <c r="F643" s="2" t="str">
        <f>IFERROR(__xludf.DUMMYFUNCTION("""COMPUTED_VALUE"""),"RCEF 25-03-05")</f>
        <v>RCEF 25-03-05</v>
      </c>
      <c r="G643" s="2">
        <f>IFERROR(__xludf.DUMMYFUNCTION("""COMPUTED_VALUE"""),5.0)</f>
        <v>5</v>
      </c>
      <c r="H643" s="2" t="str">
        <f>IFERROR(__xludf.DUMMYFUNCTION("""COMPUTED_VALUE"""),"26231 &amp; 27671")</f>
        <v>26231 &amp; 27671</v>
      </c>
      <c r="I643" s="2" t="str">
        <f>IFERROR(__xludf.DUMMYFUNCTION("""COMPUTED_VALUE"""),"KMC5825 AJSFPV0364")</f>
        <v>KMC5825 AJSFPV0364</v>
      </c>
      <c r="J643" s="3" t="str">
        <f>IFERROR(__xludf.DUMMYFUNCTION("""COMPUTED_VALUE"""),"STS100426")</f>
        <v>STS100426</v>
      </c>
      <c r="K643" s="2" t="str">
        <f>IFERROR(__xludf.DUMMYFUNCTION("""COMPUTED_VALUE"""),"R-SERIES 052PH")</f>
        <v>R-SERIES 052PH</v>
      </c>
      <c r="L643" s="3" t="str">
        <f>IFERROR(__xludf.DUMMYFUNCTION("""COMPUTED_VALUE"""),"25090599")</f>
        <v>25090599</v>
      </c>
      <c r="M643" s="3" t="str">
        <f>IFERROR(__xludf.DUMMYFUNCTION("""COMPUTED_VALUE"""),"25080823")</f>
        <v>25080823</v>
      </c>
      <c r="N643" s="2"/>
      <c r="O643" s="2" t="str">
        <f>IFERROR(__xludf.DUMMYFUNCTION("""COMPUTED_VALUE"""),"Tagtagumbao")</f>
        <v>Tagtagumbao</v>
      </c>
      <c r="P643" s="2" t="str">
        <f>IFERROR(__xludf.DUMMYFUNCTION("""COMPUTED_VALUE"""),"Cuyapo")</f>
        <v>Cuyapo</v>
      </c>
      <c r="Q643" s="2" t="str">
        <f>IFERROR(__xludf.DUMMYFUNCTION("""COMPUTED_VALUE"""),"Nueva Ecija")</f>
        <v>Nueva Ecija</v>
      </c>
      <c r="R643" s="2">
        <f>IFERROR(__xludf.DUMMYFUNCTION("""COMPUTED_VALUE"""),3.0)</f>
        <v>3</v>
      </c>
      <c r="S643" s="2"/>
      <c r="T643" s="2"/>
    </row>
    <row r="644">
      <c r="A644" s="1">
        <f>IFERROR(__xludf.DUMMYFUNCTION("""COMPUTED_VALUE"""),642.0)</f>
        <v>642</v>
      </c>
      <c r="B644" s="2" t="str">
        <f>IFERROR(__xludf.DUMMYFUNCTION("""COMPUTED_VALUE"""),"BUNOL UNITED FARMERS IN ADVANCE LIVELIHOOD ORGANIZATION (BUFALO)")</f>
        <v>BUNOL UNITED FARMERS IN ADVANCE LIVELIHOOD ORGANIZATION (BUFALO)</v>
      </c>
      <c r="C644" s="2" t="str">
        <f>IFERROR(__xludf.DUMMYFUNCTION("""COMPUTED_VALUE"""),"Bunol, Guimba, NUEVA ECIJA")</f>
        <v>Bunol, Guimba, NUEVA ECIJA</v>
      </c>
      <c r="D644" s="2" t="str">
        <f>IFERROR(__xludf.DUMMYFUNCTION("""COMPUTED_VALUE"""),"Norberto A. Carlos")</f>
        <v>Norberto A. Carlos</v>
      </c>
      <c r="E644" s="2" t="str">
        <f>IFERROR(__xludf.DUMMYFUNCTION("""COMPUTED_VALUE"""),"0954-143-6329")</f>
        <v>0954-143-6329</v>
      </c>
      <c r="F644" s="2" t="str">
        <f>IFERROR(__xludf.DUMMYFUNCTION("""COMPUTED_VALUE"""),"RCEF 25-03-05")</f>
        <v>RCEF 25-03-05</v>
      </c>
      <c r="G644" s="2">
        <f>IFERROR(__xludf.DUMMYFUNCTION("""COMPUTED_VALUE"""),5.0)</f>
        <v>5</v>
      </c>
      <c r="H644" s="2" t="str">
        <f>IFERROR(__xludf.DUMMYFUNCTION("""COMPUTED_VALUE"""),"26232 &amp; 27823")</f>
        <v>26232 &amp; 27823</v>
      </c>
      <c r="I644" s="2" t="str">
        <f>IFERROR(__xludf.DUMMYFUNCTION("""COMPUTED_VALUE"""),"KMC5825 APSFPV0233")</f>
        <v>KMC5825 APSFPV0233</v>
      </c>
      <c r="J644" s="3" t="str">
        <f>IFERROR(__xludf.DUMMYFUNCTION("""COMPUTED_VALUE"""),"STS100172")</f>
        <v>STS100172</v>
      </c>
      <c r="K644" s="2" t="str">
        <f>IFERROR(__xludf.DUMMYFUNCTION("""COMPUTED_VALUE"""),"WR-SERIES 1388PH")</f>
        <v>WR-SERIES 1388PH</v>
      </c>
      <c r="L644" s="3" t="str">
        <f>IFERROR(__xludf.DUMMYFUNCTION("""COMPUTED_VALUE"""),"25100833")</f>
        <v>25100833</v>
      </c>
      <c r="M644" s="3" t="str">
        <f>IFERROR(__xludf.DUMMYFUNCTION("""COMPUTED_VALUE"""),"25101173")</f>
        <v>25101173</v>
      </c>
      <c r="N644" s="2"/>
      <c r="O644" s="2" t="str">
        <f>IFERROR(__xludf.DUMMYFUNCTION("""COMPUTED_VALUE"""),"Bunol")</f>
        <v>Bunol</v>
      </c>
      <c r="P644" s="2" t="str">
        <f>IFERROR(__xludf.DUMMYFUNCTION("""COMPUTED_VALUE"""),"Guimba")</f>
        <v>Guimba</v>
      </c>
      <c r="Q644" s="2" t="str">
        <f>IFERROR(__xludf.DUMMYFUNCTION("""COMPUTED_VALUE"""),"Nueva Ecija")</f>
        <v>Nueva Ecija</v>
      </c>
      <c r="R644" s="2">
        <f>IFERROR(__xludf.DUMMYFUNCTION("""COMPUTED_VALUE"""),3.0)</f>
        <v>3</v>
      </c>
      <c r="S644" s="2"/>
      <c r="T644" s="2"/>
    </row>
    <row r="645">
      <c r="A645" s="1">
        <f>IFERROR(__xludf.DUMMYFUNCTION("""COMPUTED_VALUE"""),643.0)</f>
        <v>643</v>
      </c>
      <c r="B645" s="2" t="str">
        <f>IFERROR(__xludf.DUMMYFUNCTION("""COMPUTED_VALUE"""),"CASONGSONG FARMERS ASSOCIATION")</f>
        <v>CASONGSONG FARMERS ASSOCIATION</v>
      </c>
      <c r="C645" s="2" t="str">
        <f>IFERROR(__xludf.DUMMYFUNCTION("""COMPUTED_VALUE"""),"Casongsong, Guimba, NUEVA ECIJA")</f>
        <v>Casongsong, Guimba, NUEVA ECIJA</v>
      </c>
      <c r="D645" s="2" t="str">
        <f>IFERROR(__xludf.DUMMYFUNCTION("""COMPUTED_VALUE"""),"Virginia DC. Rihad")</f>
        <v>Virginia DC. Rihad</v>
      </c>
      <c r="E645" s="2" t="str">
        <f>IFERROR(__xludf.DUMMYFUNCTION("""COMPUTED_VALUE"""),"0949-796-8628")</f>
        <v>0949-796-8628</v>
      </c>
      <c r="F645" s="2" t="str">
        <f>IFERROR(__xludf.DUMMYFUNCTION("""COMPUTED_VALUE"""),"RCEF 25-03-05")</f>
        <v>RCEF 25-03-05</v>
      </c>
      <c r="G645" s="2">
        <f>IFERROR(__xludf.DUMMYFUNCTION("""COMPUTED_VALUE"""),5.0)</f>
        <v>5</v>
      </c>
      <c r="H645" s="2" t="str">
        <f>IFERROR(__xludf.DUMMYFUNCTION("""COMPUTED_VALUE"""),"26233 &amp; 27731")</f>
        <v>26233 &amp; 27731</v>
      </c>
      <c r="I645" s="2" t="str">
        <f>IFERROR(__xludf.DUMMYFUNCTION("""COMPUTED_VALUE"""),"KMC5825 APSFPV0183")</f>
        <v>KMC5825 APSFPV0183</v>
      </c>
      <c r="J645" s="3" t="str">
        <f>IFERROR(__xludf.DUMMYFUNCTION("""COMPUTED_VALUE"""),"STS100191")</f>
        <v>STS100191</v>
      </c>
      <c r="K645" s="2" t="str">
        <f>IFERROR(__xludf.DUMMYFUNCTION("""COMPUTED_VALUE"""),"WR-SERIES 01323PH")</f>
        <v>WR-SERIES 01323PH</v>
      </c>
      <c r="L645" s="3" t="str">
        <f>IFERROR(__xludf.DUMMYFUNCTION("""COMPUTED_VALUE"""),"25100806")</f>
        <v>25100806</v>
      </c>
      <c r="M645" s="3" t="str">
        <f>IFERROR(__xludf.DUMMYFUNCTION("""COMPUTED_VALUE"""),"25101171")</f>
        <v>25101171</v>
      </c>
      <c r="N645" s="2"/>
      <c r="O645" s="2" t="str">
        <f>IFERROR(__xludf.DUMMYFUNCTION("""COMPUTED_VALUE"""),"Casongsong")</f>
        <v>Casongsong</v>
      </c>
      <c r="P645" s="2" t="str">
        <f>IFERROR(__xludf.DUMMYFUNCTION("""COMPUTED_VALUE"""),"Guimba")</f>
        <v>Guimba</v>
      </c>
      <c r="Q645" s="2" t="str">
        <f>IFERROR(__xludf.DUMMYFUNCTION("""COMPUTED_VALUE"""),"Nueva Ecija")</f>
        <v>Nueva Ecija</v>
      </c>
      <c r="R645" s="2">
        <f>IFERROR(__xludf.DUMMYFUNCTION("""COMPUTED_VALUE"""),3.0)</f>
        <v>3</v>
      </c>
      <c r="S645" s="2"/>
      <c r="T645" s="2"/>
    </row>
    <row r="646">
      <c r="A646" s="1">
        <f>IFERROR(__xludf.DUMMYFUNCTION("""COMPUTED_VALUE"""),644.0)</f>
        <v>644</v>
      </c>
      <c r="B646" s="2" t="str">
        <f>IFERROR(__xludf.DUMMYFUNCTION("""COMPUTED_VALUE"""),"Cooperative Enterprise for True Economic Reform")</f>
        <v>Cooperative Enterprise for True Economic Reform</v>
      </c>
      <c r="C646" s="2" t="str">
        <f>IFERROR(__xludf.DUMMYFUNCTION("""COMPUTED_VALUE"""),"Cabaruan, Guimba, NUEVA ECIJA")</f>
        <v>Cabaruan, Guimba, NUEVA ECIJA</v>
      </c>
      <c r="D646" s="2" t="str">
        <f>IFERROR(__xludf.DUMMYFUNCTION("""COMPUTED_VALUE"""),"Catalino R. Obinario, Jr.")</f>
        <v>Catalino R. Obinario, Jr.</v>
      </c>
      <c r="E646" s="2" t="str">
        <f>IFERROR(__xludf.DUMMYFUNCTION("""COMPUTED_VALUE"""),"0943-522-1936")</f>
        <v>0943-522-1936</v>
      </c>
      <c r="F646" s="2" t="str">
        <f>IFERROR(__xludf.DUMMYFUNCTION("""COMPUTED_VALUE"""),"RCEF 25-03-05")</f>
        <v>RCEF 25-03-05</v>
      </c>
      <c r="G646" s="2">
        <f>IFERROR(__xludf.DUMMYFUNCTION("""COMPUTED_VALUE"""),5.0)</f>
        <v>5</v>
      </c>
      <c r="H646" s="2" t="str">
        <f>IFERROR(__xludf.DUMMYFUNCTION("""COMPUTED_VALUE"""),"26234 &amp; 27824")</f>
        <v>26234 &amp; 27824</v>
      </c>
      <c r="I646" s="2" t="str">
        <f>IFERROR(__xludf.DUMMYFUNCTION("""COMPUTED_VALUE"""),"KMC5825 AASFPV0627")</f>
        <v>KMC5825 AASFPV0627</v>
      </c>
      <c r="J646" s="3" t="str">
        <f>IFERROR(__xludf.DUMMYFUNCTION("""COMPUTED_VALUE"""),"STS100346")</f>
        <v>STS100346</v>
      </c>
      <c r="K646" s="2" t="str">
        <f>IFERROR(__xludf.DUMMYFUNCTION("""COMPUTED_VALUE"""),"WR-SERIES 1389PH")</f>
        <v>WR-SERIES 1389PH</v>
      </c>
      <c r="L646" s="3" t="str">
        <f>IFERROR(__xludf.DUMMYFUNCTION("""COMPUTED_VALUE"""),"25100830")</f>
        <v>25100830</v>
      </c>
      <c r="M646" s="3" t="str">
        <f>IFERROR(__xludf.DUMMYFUNCTION("""COMPUTED_VALUE"""),"25101175")</f>
        <v>25101175</v>
      </c>
      <c r="N646" s="2"/>
      <c r="O646" s="2" t="str">
        <f>IFERROR(__xludf.DUMMYFUNCTION("""COMPUTED_VALUE"""),"Cabaruan")</f>
        <v>Cabaruan</v>
      </c>
      <c r="P646" s="2" t="str">
        <f>IFERROR(__xludf.DUMMYFUNCTION("""COMPUTED_VALUE"""),"Guimba")</f>
        <v>Guimba</v>
      </c>
      <c r="Q646" s="2" t="str">
        <f>IFERROR(__xludf.DUMMYFUNCTION("""COMPUTED_VALUE"""),"Nueva Ecija")</f>
        <v>Nueva Ecija</v>
      </c>
      <c r="R646" s="2">
        <f>IFERROR(__xludf.DUMMYFUNCTION("""COMPUTED_VALUE"""),3.0)</f>
        <v>3</v>
      </c>
      <c r="S646" s="2"/>
      <c r="T646" s="2"/>
    </row>
    <row r="647">
      <c r="A647" s="1">
        <f>IFERROR(__xludf.DUMMYFUNCTION("""COMPUTED_VALUE"""),645.0)</f>
        <v>645</v>
      </c>
      <c r="B647" s="2" t="str">
        <f>IFERROR(__xludf.DUMMYFUNCTION("""COMPUTED_VALUE"""),"Guimba Seed Growers Agriculture Cooperative")</f>
        <v>Guimba Seed Growers Agriculture Cooperative</v>
      </c>
      <c r="C647" s="2" t="str">
        <f>IFERROR(__xludf.DUMMYFUNCTION("""COMPUTED_VALUE"""),"Cavite, Guimba, NUEVA ECIJA")</f>
        <v>Cavite, Guimba, NUEVA ECIJA</v>
      </c>
      <c r="D647" s="2" t="str">
        <f>IFERROR(__xludf.DUMMYFUNCTION("""COMPUTED_VALUE"""),"Rodolfo B. Payog")</f>
        <v>Rodolfo B. Payog</v>
      </c>
      <c r="E647" s="2" t="str">
        <f>IFERROR(__xludf.DUMMYFUNCTION("""COMPUTED_VALUE"""),"0998-953-7060")</f>
        <v>0998-953-7060</v>
      </c>
      <c r="F647" s="2" t="str">
        <f>IFERROR(__xludf.DUMMYFUNCTION("""COMPUTED_VALUE"""),"RCEF 25-03-05")</f>
        <v>RCEF 25-03-05</v>
      </c>
      <c r="G647" s="2">
        <f>IFERROR(__xludf.DUMMYFUNCTION("""COMPUTED_VALUE"""),5.0)</f>
        <v>5</v>
      </c>
      <c r="H647" s="2" t="str">
        <f>IFERROR(__xludf.DUMMYFUNCTION("""COMPUTED_VALUE"""),"26235 &amp; 27825")</f>
        <v>26235 &amp; 27825</v>
      </c>
      <c r="I647" s="2" t="str">
        <f>IFERROR(__xludf.DUMMYFUNCTION("""COMPUTED_VALUE"""),"KMC5825 ACSFPV0608")</f>
        <v>KMC5825 ACSFPV0608</v>
      </c>
      <c r="J647" s="3" t="str">
        <f>IFERROR(__xludf.DUMMYFUNCTION("""COMPUTED_VALUE"""),"STS100502")</f>
        <v>STS100502</v>
      </c>
      <c r="K647" s="2" t="str">
        <f>IFERROR(__xludf.DUMMYFUNCTION("""COMPUTED_VALUE"""),"WR-SERIES 1439PH")</f>
        <v>WR-SERIES 1439PH</v>
      </c>
      <c r="L647" s="3" t="str">
        <f>IFERROR(__xludf.DUMMYFUNCTION("""COMPUTED_VALUE"""),"25100790")</f>
        <v>25100790</v>
      </c>
      <c r="M647" s="3" t="str">
        <f>IFERROR(__xludf.DUMMYFUNCTION("""COMPUTED_VALUE"""),"25101169")</f>
        <v>25101169</v>
      </c>
      <c r="N647" s="2"/>
      <c r="O647" s="2" t="str">
        <f>IFERROR(__xludf.DUMMYFUNCTION("""COMPUTED_VALUE"""),"Cavite")</f>
        <v>Cavite</v>
      </c>
      <c r="P647" s="2" t="str">
        <f>IFERROR(__xludf.DUMMYFUNCTION("""COMPUTED_VALUE"""),"Guimba")</f>
        <v>Guimba</v>
      </c>
      <c r="Q647" s="2" t="str">
        <f>IFERROR(__xludf.DUMMYFUNCTION("""COMPUTED_VALUE"""),"Nueva Ecija")</f>
        <v>Nueva Ecija</v>
      </c>
      <c r="R647" s="2">
        <f>IFERROR(__xludf.DUMMYFUNCTION("""COMPUTED_VALUE"""),3.0)</f>
        <v>3</v>
      </c>
      <c r="S647" s="2"/>
      <c r="T647" s="2"/>
    </row>
    <row r="648">
      <c r="A648" s="1">
        <f>IFERROR(__xludf.DUMMYFUNCTION("""COMPUTED_VALUE"""),646.0)</f>
        <v>646</v>
      </c>
      <c r="B648" s="2" t="str">
        <f>IFERROR(__xludf.DUMMYFUNCTION("""COMPUTED_VALUE"""),"NARVACAN 1 FARMERS ASSOCIATION")</f>
        <v>NARVACAN 1 FARMERS ASSOCIATION</v>
      </c>
      <c r="C648" s="2" t="str">
        <f>IFERROR(__xludf.DUMMYFUNCTION("""COMPUTED_VALUE"""),"Narvacan I, Guimba, NUEVA ECIJA")</f>
        <v>Narvacan I, Guimba, NUEVA ECIJA</v>
      </c>
      <c r="D648" s="2" t="str">
        <f>IFERROR(__xludf.DUMMYFUNCTION("""COMPUTED_VALUE"""),"Harold C. Soriano")</f>
        <v>Harold C. Soriano</v>
      </c>
      <c r="E648" s="2" t="str">
        <f>IFERROR(__xludf.DUMMYFUNCTION("""COMPUTED_VALUE"""),"0916-688-6917")</f>
        <v>0916-688-6917</v>
      </c>
      <c r="F648" s="2" t="str">
        <f>IFERROR(__xludf.DUMMYFUNCTION("""COMPUTED_VALUE"""),"RCEF 25-03-05")</f>
        <v>RCEF 25-03-05</v>
      </c>
      <c r="G648" s="2">
        <f>IFERROR(__xludf.DUMMYFUNCTION("""COMPUTED_VALUE"""),5.0)</f>
        <v>5</v>
      </c>
      <c r="H648" s="2" t="str">
        <f>IFERROR(__xludf.DUMMYFUNCTION("""COMPUTED_VALUE"""),"26236 &amp; 27826")</f>
        <v>26236 &amp; 27826</v>
      </c>
      <c r="I648" s="2" t="str">
        <f>IFERROR(__xludf.DUMMYFUNCTION("""COMPUTED_VALUE"""),"KMC5825 ALSFPV0225")</f>
        <v>KMC5825 ALSFPV0225</v>
      </c>
      <c r="J648" s="3" t="str">
        <f>IFERROR(__xludf.DUMMYFUNCTION("""COMPUTED_VALUE"""),"STS100185")</f>
        <v>STS100185</v>
      </c>
      <c r="K648" s="2" t="str">
        <f>IFERROR(__xludf.DUMMYFUNCTION("""COMPUTED_VALUE"""),"WR-SERIES 1440PH")</f>
        <v>WR-SERIES 1440PH</v>
      </c>
      <c r="L648" s="3" t="str">
        <f>IFERROR(__xludf.DUMMYFUNCTION("""COMPUTED_VALUE"""),"25100813")</f>
        <v>25100813</v>
      </c>
      <c r="M648" s="3" t="str">
        <f>IFERROR(__xludf.DUMMYFUNCTION("""COMPUTED_VALUE"""),"25101187")</f>
        <v>25101187</v>
      </c>
      <c r="N648" s="2"/>
      <c r="O648" s="2" t="str">
        <f>IFERROR(__xludf.DUMMYFUNCTION("""COMPUTED_VALUE"""),"Narvacan I")</f>
        <v>Narvacan I</v>
      </c>
      <c r="P648" s="2" t="str">
        <f>IFERROR(__xludf.DUMMYFUNCTION("""COMPUTED_VALUE"""),"Guimba")</f>
        <v>Guimba</v>
      </c>
      <c r="Q648" s="2" t="str">
        <f>IFERROR(__xludf.DUMMYFUNCTION("""COMPUTED_VALUE"""),"Nueva Ecija")</f>
        <v>Nueva Ecija</v>
      </c>
      <c r="R648" s="2">
        <f>IFERROR(__xludf.DUMMYFUNCTION("""COMPUTED_VALUE"""),3.0)</f>
        <v>3</v>
      </c>
      <c r="S648" s="2"/>
      <c r="T648" s="2"/>
    </row>
    <row r="649">
      <c r="A649" s="1">
        <f>IFERROR(__xludf.DUMMYFUNCTION("""COMPUTED_VALUE"""),647.0)</f>
        <v>647</v>
      </c>
      <c r="B649" s="2" t="str">
        <f>IFERROR(__xludf.DUMMYFUNCTION("""COMPUTED_VALUE"""),"MUNICIPAL LOCAL GOVERNMENT UNIT OF STO. DOMINGO")</f>
        <v>MUNICIPAL LOCAL GOVERNMENT UNIT OF STO. DOMINGO</v>
      </c>
      <c r="C649" s="2" t="str">
        <f>IFERROR(__xludf.DUMMYFUNCTION("""COMPUTED_VALUE"""),"Sagaba, Santo Domingo, NUEVA ECIJA")</f>
        <v>Sagaba, Santo Domingo, NUEVA ECIJA</v>
      </c>
      <c r="D649" s="2" t="str">
        <f>IFERROR(__xludf.DUMMYFUNCTION("""COMPUTED_VALUE"""),"Hon. Imee C. Llado-De Guzman")</f>
        <v>Hon. Imee C. Llado-De Guzman</v>
      </c>
      <c r="E649" s="2" t="str">
        <f>IFERROR(__xludf.DUMMYFUNCTION("""COMPUTED_VALUE"""),"0915-107-8103")</f>
        <v>0915-107-8103</v>
      </c>
      <c r="F649" s="2" t="str">
        <f>IFERROR(__xludf.DUMMYFUNCTION("""COMPUTED_VALUE"""),"RCEF 25-03-05")</f>
        <v>RCEF 25-03-05</v>
      </c>
      <c r="G649" s="2">
        <f>IFERROR(__xludf.DUMMYFUNCTION("""COMPUTED_VALUE"""),5.0)</f>
        <v>5</v>
      </c>
      <c r="H649" s="2" t="str">
        <f>IFERROR(__xludf.DUMMYFUNCTION("""COMPUTED_VALUE"""),"26237 &amp; 27827")</f>
        <v>26237 &amp; 27827</v>
      </c>
      <c r="I649" s="2" t="str">
        <f>IFERROR(__xludf.DUMMYFUNCTION("""COMPUTED_VALUE"""),"KMC5825 AHSFPV0922")</f>
        <v>KMC5825 AHSFPV0922</v>
      </c>
      <c r="J649" s="3" t="str">
        <f>IFERROR(__xludf.DUMMYFUNCTION("""COMPUTED_VALUE"""),"STS100405")</f>
        <v>STS100405</v>
      </c>
      <c r="K649" s="2" t="str">
        <f>IFERROR(__xludf.DUMMYFUNCTION("""COMPUTED_VALUE"""),"WR-SERIES 1441PH")</f>
        <v>WR-SERIES 1441PH</v>
      </c>
      <c r="L649" s="3" t="str">
        <f>IFERROR(__xludf.DUMMYFUNCTION("""COMPUTED_VALUE"""),"25100823")</f>
        <v>25100823</v>
      </c>
      <c r="M649" s="3" t="str">
        <f>IFERROR(__xludf.DUMMYFUNCTION("""COMPUTED_VALUE"""),"25101185")</f>
        <v>25101185</v>
      </c>
      <c r="N649" s="2"/>
      <c r="O649" s="2" t="str">
        <f>IFERROR(__xludf.DUMMYFUNCTION("""COMPUTED_VALUE"""),"Sagaba")</f>
        <v>Sagaba</v>
      </c>
      <c r="P649" s="2" t="str">
        <f>IFERROR(__xludf.DUMMYFUNCTION("""COMPUTED_VALUE"""),"Santo Domingo")</f>
        <v>Santo Domingo</v>
      </c>
      <c r="Q649" s="2" t="str">
        <f>IFERROR(__xludf.DUMMYFUNCTION("""COMPUTED_VALUE"""),"Nueva Ecija")</f>
        <v>Nueva Ecija</v>
      </c>
      <c r="R649" s="2">
        <f>IFERROR(__xludf.DUMMYFUNCTION("""COMPUTED_VALUE"""),3.0)</f>
        <v>3</v>
      </c>
      <c r="S649" s="2"/>
      <c r="T649" s="2"/>
    </row>
    <row r="650">
      <c r="A650" s="1">
        <f>IFERROR(__xludf.DUMMYFUNCTION("""COMPUTED_VALUE"""),648.0)</f>
        <v>648</v>
      </c>
      <c r="B650" s="2" t="str">
        <f>IFERROR(__xludf.DUMMYFUNCTION("""COMPUTED_VALUE"""),"Bantug Agricultural Multipurpose Cooperative, Inc.")</f>
        <v>Bantug Agricultural Multipurpose Cooperative, Inc.</v>
      </c>
      <c r="C650" s="2" t="str">
        <f>IFERROR(__xludf.DUMMYFUNCTION("""COMPUTED_VALUE"""),"Bantug, Talavera, NUEVA ECIJA")</f>
        <v>Bantug, Talavera, NUEVA ECIJA</v>
      </c>
      <c r="D650" s="2" t="str">
        <f>IFERROR(__xludf.DUMMYFUNCTION("""COMPUTED_VALUE"""),"Nora Angeles")</f>
        <v>Nora Angeles</v>
      </c>
      <c r="E650" s="2" t="str">
        <f>IFERROR(__xludf.DUMMYFUNCTION("""COMPUTED_VALUE"""),"0917-500-0740")</f>
        <v>0917-500-0740</v>
      </c>
      <c r="F650" s="2" t="str">
        <f>IFERROR(__xludf.DUMMYFUNCTION("""COMPUTED_VALUE"""),"RCEF 25-03-05")</f>
        <v>RCEF 25-03-05</v>
      </c>
      <c r="G650" s="2">
        <f>IFERROR(__xludf.DUMMYFUNCTION("""COMPUTED_VALUE"""),5.0)</f>
        <v>5</v>
      </c>
      <c r="H650" s="2" t="str">
        <f>IFERROR(__xludf.DUMMYFUNCTION("""COMPUTED_VALUE"""),"26238 &amp; 27828")</f>
        <v>26238 &amp; 27828</v>
      </c>
      <c r="I650" s="2" t="str">
        <f>IFERROR(__xludf.DUMMYFUNCTION("""COMPUTED_VALUE"""),"KMC5825 ATSFPV0132")</f>
        <v>KMC5825 ATSFPV0132</v>
      </c>
      <c r="J650" s="3" t="str">
        <f>IFERROR(__xludf.DUMMYFUNCTION("""COMPUTED_VALUE"""),"STS100175")</f>
        <v>STS100175</v>
      </c>
      <c r="K650" s="2" t="str">
        <f>IFERROR(__xludf.DUMMYFUNCTION("""COMPUTED_VALUE"""),"WR-SERIES 1442PH")</f>
        <v>WR-SERIES 1442PH</v>
      </c>
      <c r="L650" s="3" t="str">
        <f>IFERROR(__xludf.DUMMYFUNCTION("""COMPUTED_VALUE"""),"25100842")</f>
        <v>25100842</v>
      </c>
      <c r="M650" s="3" t="str">
        <f>IFERROR(__xludf.DUMMYFUNCTION("""COMPUTED_VALUE"""),"25101179")</f>
        <v>25101179</v>
      </c>
      <c r="N650" s="2"/>
      <c r="O650" s="2" t="str">
        <f>IFERROR(__xludf.DUMMYFUNCTION("""COMPUTED_VALUE"""),"Bantug")</f>
        <v>Bantug</v>
      </c>
      <c r="P650" s="2" t="str">
        <f>IFERROR(__xludf.DUMMYFUNCTION("""COMPUTED_VALUE"""),"Talavera")</f>
        <v>Talavera</v>
      </c>
      <c r="Q650" s="2" t="str">
        <f>IFERROR(__xludf.DUMMYFUNCTION("""COMPUTED_VALUE"""),"Nueva Ecija")</f>
        <v>Nueva Ecija</v>
      </c>
      <c r="R650" s="2">
        <f>IFERROR(__xludf.DUMMYFUNCTION("""COMPUTED_VALUE"""),3.0)</f>
        <v>3</v>
      </c>
      <c r="S650" s="2"/>
      <c r="T650" s="2"/>
    </row>
    <row r="651">
      <c r="A651" s="1">
        <f>IFERROR(__xludf.DUMMYFUNCTION("""COMPUTED_VALUE"""),649.0)</f>
        <v>649</v>
      </c>
      <c r="B651" s="2" t="str">
        <f>IFERROR(__xludf.DUMMYFUNCTION("""COMPUTED_VALUE"""),"Kaagapay Agrarian Reform Cooperative (KARC)")</f>
        <v>Kaagapay Agrarian Reform Cooperative (KARC)</v>
      </c>
      <c r="C651" s="2" t="str">
        <f>IFERROR(__xludf.DUMMYFUNCTION("""COMPUTED_VALUE"""),"adam")</f>
        <v>adam</v>
      </c>
      <c r="D651" s="2" t="str">
        <f>IFERROR(__xludf.DUMMYFUNCTION("""COMPUTED_VALUE"""),"Arnel Jayson D. Baldedara")</f>
        <v>Arnel Jayson D. Baldedara</v>
      </c>
      <c r="E651" s="2" t="str">
        <f>IFERROR(__xludf.DUMMYFUNCTION("""COMPUTED_VALUE"""),"0905-187-2955")</f>
        <v>0905-187-2955</v>
      </c>
      <c r="F651" s="2" t="str">
        <f>IFERROR(__xludf.DUMMYFUNCTION("""COMPUTED_VALUE"""),"RCEF 25-03-05")</f>
        <v>RCEF 25-03-05</v>
      </c>
      <c r="G651" s="2">
        <f>IFERROR(__xludf.DUMMYFUNCTION("""COMPUTED_VALUE"""),5.0)</f>
        <v>5</v>
      </c>
      <c r="H651" s="2" t="str">
        <f>IFERROR(__xludf.DUMMYFUNCTION("""COMPUTED_VALUE"""),"26239 &amp; 27829")</f>
        <v>26239 &amp; 27829</v>
      </c>
      <c r="I651" s="2" t="str">
        <f>IFERROR(__xludf.DUMMYFUNCTION("""COMPUTED_VALUE"""),"KMC5825 AESFPV0423")</f>
        <v>KMC5825 AESFPV0423</v>
      </c>
      <c r="J651" s="3" t="str">
        <f>IFERROR(__xludf.DUMMYFUNCTION("""COMPUTED_VALUE"""),"STS100413")</f>
        <v>STS100413</v>
      </c>
      <c r="K651" s="2" t="str">
        <f>IFERROR(__xludf.DUMMYFUNCTION("""COMPUTED_VALUE"""),"WR-SERIES 1443PH")</f>
        <v>WR-SERIES 1443PH</v>
      </c>
      <c r="L651" s="3" t="str">
        <f>IFERROR(__xludf.DUMMYFUNCTION("""COMPUTED_VALUE"""),"25100822")</f>
        <v>25100822</v>
      </c>
      <c r="M651" s="3" t="str">
        <f>IFERROR(__xludf.DUMMYFUNCTION("""COMPUTED_VALUE"""),"25101215")</f>
        <v>25101215</v>
      </c>
      <c r="N651" s="2"/>
      <c r="O651" s="2" t="str">
        <f>IFERROR(__xludf.DUMMYFUNCTION("""COMPUTED_VALUE"""),"#VALUE!")</f>
        <v>#VALUE!</v>
      </c>
      <c r="P651" s="2" t="str">
        <f>IFERROR(__xludf.DUMMYFUNCTION("""COMPUTED_VALUE"""),"#VALUE!")</f>
        <v>#VALUE!</v>
      </c>
      <c r="Q651" s="2" t="str">
        <f>IFERROR(__xludf.DUMMYFUNCTION("""COMPUTED_VALUE"""),"#VALUE!")</f>
        <v>#VALUE!</v>
      </c>
      <c r="R651" s="2">
        <f>IFERROR(__xludf.DUMMYFUNCTION("""COMPUTED_VALUE"""),3.0)</f>
        <v>3</v>
      </c>
      <c r="S651" s="2"/>
      <c r="T651" s="2"/>
    </row>
    <row r="652">
      <c r="A652" s="1">
        <f>IFERROR(__xludf.DUMMYFUNCTION("""COMPUTED_VALUE"""),650.0)</f>
        <v>650</v>
      </c>
      <c r="B652" s="2" t="str">
        <f>IFERROR(__xludf.DUMMYFUNCTION("""COMPUTED_VALUE"""),"Kasaka Manaol Agriculture Cooperative")</f>
        <v>Kasaka Manaol Agriculture Cooperative</v>
      </c>
      <c r="C652" s="2" t="str">
        <f>IFERROR(__xludf.DUMMYFUNCTION("""COMPUTED_VALUE"""),"Manaul, Zaragosa, NUEVA ECIJA")</f>
        <v>Manaul, Zaragosa, NUEVA ECIJA</v>
      </c>
      <c r="D652" s="2" t="str">
        <f>IFERROR(__xludf.DUMMYFUNCTION("""COMPUTED_VALUE"""),"Sarnie R. Esteban")</f>
        <v>Sarnie R. Esteban</v>
      </c>
      <c r="E652" s="2" t="str">
        <f>IFERROR(__xludf.DUMMYFUNCTION("""COMPUTED_VALUE"""),"0935-997-2118/ 0965-637-5439")</f>
        <v>0935-997-2118/ 0965-637-5439</v>
      </c>
      <c r="F652" s="2" t="str">
        <f>IFERROR(__xludf.DUMMYFUNCTION("""COMPUTED_VALUE"""),"RCEF 25-03-05")</f>
        <v>RCEF 25-03-05</v>
      </c>
      <c r="G652" s="2">
        <f>IFERROR(__xludf.DUMMYFUNCTION("""COMPUTED_VALUE"""),5.0)</f>
        <v>5</v>
      </c>
      <c r="H652" s="2" t="str">
        <f>IFERROR(__xludf.DUMMYFUNCTION("""COMPUTED_VALUE"""),"26240 &amp; 27830")</f>
        <v>26240 &amp; 27830</v>
      </c>
      <c r="I652" s="2" t="str">
        <f>IFERROR(__xludf.DUMMYFUNCTION("""COMPUTED_VALUE"""),"KMC5825 AJSFPV0610")</f>
        <v>KMC5825 AJSFPV0610</v>
      </c>
      <c r="J652" s="3" t="str">
        <f>IFERROR(__xludf.DUMMYFUNCTION("""COMPUTED_VALUE"""),"STS100615")</f>
        <v>STS100615</v>
      </c>
      <c r="K652" s="2" t="str">
        <f>IFERROR(__xludf.DUMMYFUNCTION("""COMPUTED_VALUE"""),"WR-SERIES 1444PH")</f>
        <v>WR-SERIES 1444PH</v>
      </c>
      <c r="L652" s="3" t="str">
        <f>IFERROR(__xludf.DUMMYFUNCTION("""COMPUTED_VALUE"""),"25100812")</f>
        <v>25100812</v>
      </c>
      <c r="M652" s="3" t="str">
        <f>IFERROR(__xludf.DUMMYFUNCTION("""COMPUTED_VALUE"""),"25101172")</f>
        <v>25101172</v>
      </c>
      <c r="N652" s="2"/>
      <c r="O652" s="2" t="str">
        <f>IFERROR(__xludf.DUMMYFUNCTION("""COMPUTED_VALUE"""),"Manaul")</f>
        <v>Manaul</v>
      </c>
      <c r="P652" s="2" t="str">
        <f>IFERROR(__xludf.DUMMYFUNCTION("""COMPUTED_VALUE"""),"Zaragosa")</f>
        <v>Zaragosa</v>
      </c>
      <c r="Q652" s="2" t="str">
        <f>IFERROR(__xludf.DUMMYFUNCTION("""COMPUTED_VALUE"""),"Nueva Ecija")</f>
        <v>Nueva Ecija</v>
      </c>
      <c r="R652" s="2">
        <f>IFERROR(__xludf.DUMMYFUNCTION("""COMPUTED_VALUE"""),3.0)</f>
        <v>3</v>
      </c>
      <c r="S652" s="2"/>
      <c r="T652" s="2"/>
    </row>
    <row r="653">
      <c r="A653" s="1">
        <f>IFERROR(__xludf.DUMMYFUNCTION("""COMPUTED_VALUE"""),651.0)</f>
        <v>651</v>
      </c>
      <c r="B653" s="2" t="str">
        <f>IFERROR(__xludf.DUMMYFUNCTION("""COMPUTED_VALUE"""),"ZARALICA FARMERS ASSOCIATION Inc.")</f>
        <v>ZARALICA FARMERS ASSOCIATION Inc.</v>
      </c>
      <c r="C653" s="2" t="str">
        <f>IFERROR(__xludf.DUMMYFUNCTION("""COMPUTED_VALUE"""),"Santa Lucia Old, Zaragosa, NUEVA ECIJA")</f>
        <v>Santa Lucia Old, Zaragosa, NUEVA ECIJA</v>
      </c>
      <c r="D653" s="2" t="str">
        <f>IFERROR(__xludf.DUMMYFUNCTION("""COMPUTED_VALUE"""),"Ricky G. Gaitan")</f>
        <v>Ricky G. Gaitan</v>
      </c>
      <c r="E653" s="2" t="str">
        <f>IFERROR(__xludf.DUMMYFUNCTION("""COMPUTED_VALUE"""),"0907-018-7913")</f>
        <v>0907-018-7913</v>
      </c>
      <c r="F653" s="2" t="str">
        <f>IFERROR(__xludf.DUMMYFUNCTION("""COMPUTED_VALUE"""),"RCEF 25-03-05")</f>
        <v>RCEF 25-03-05</v>
      </c>
      <c r="G653" s="2">
        <f>IFERROR(__xludf.DUMMYFUNCTION("""COMPUTED_VALUE"""),5.0)</f>
        <v>5</v>
      </c>
      <c r="H653" s="2" t="str">
        <f>IFERROR(__xludf.DUMMYFUNCTION("""COMPUTED_VALUE"""),"26241 &amp; 27732")</f>
        <v>26241 &amp; 27732</v>
      </c>
      <c r="I653" s="2" t="str">
        <f>IFERROR(__xludf.DUMMYFUNCTION("""COMPUTED_VALUE"""),"KMC5825 AHSFPV0646")</f>
        <v>KMC5825 AHSFPV0646</v>
      </c>
      <c r="J653" s="3" t="str">
        <f>IFERROR(__xludf.DUMMYFUNCTION("""COMPUTED_VALUE"""),"STS100336")</f>
        <v>STS100336</v>
      </c>
      <c r="K653" s="2" t="str">
        <f>IFERROR(__xludf.DUMMYFUNCTION("""COMPUTED_VALUE"""),"WR-SERIES 01329PH")</f>
        <v>WR-SERIES 01329PH</v>
      </c>
      <c r="L653" s="3" t="str">
        <f>IFERROR(__xludf.DUMMYFUNCTION("""COMPUTED_VALUE"""),"25100824")</f>
        <v>25100824</v>
      </c>
      <c r="M653" s="3" t="str">
        <f>IFERROR(__xludf.DUMMYFUNCTION("""COMPUTED_VALUE"""),"25101177")</f>
        <v>25101177</v>
      </c>
      <c r="N653" s="2"/>
      <c r="O653" s="2" t="str">
        <f>IFERROR(__xludf.DUMMYFUNCTION("""COMPUTED_VALUE"""),"Santa Lucia Old")</f>
        <v>Santa Lucia Old</v>
      </c>
      <c r="P653" s="2" t="str">
        <f>IFERROR(__xludf.DUMMYFUNCTION("""COMPUTED_VALUE"""),"Zaragosa")</f>
        <v>Zaragosa</v>
      </c>
      <c r="Q653" s="2" t="str">
        <f>IFERROR(__xludf.DUMMYFUNCTION("""COMPUTED_VALUE"""),"Nueva Ecija")</f>
        <v>Nueva Ecija</v>
      </c>
      <c r="R653" s="2">
        <f>IFERROR(__xludf.DUMMYFUNCTION("""COMPUTED_VALUE"""),3.0)</f>
        <v>3</v>
      </c>
      <c r="S653" s="2"/>
      <c r="T653" s="2"/>
    </row>
    <row r="654">
      <c r="A654" s="1">
        <f>IFERROR(__xludf.DUMMYFUNCTION("""COMPUTED_VALUE"""),652.0)</f>
        <v>652</v>
      </c>
      <c r="B654" s="2" t="str">
        <f>IFERROR(__xludf.DUMMYFUNCTION("""COMPUTED_VALUE"""),"KADANGDANGLAAN FARMERS ASSOCIATION, INC.")</f>
        <v>KADANGDANGLAAN FARMERS ASSOCIATION, INC.</v>
      </c>
      <c r="C654" s="2" t="str">
        <f>IFERROR(__xludf.DUMMYFUNCTION("""COMPUTED_VALUE"""),"General Luna, Carranglan, NUEVA ECIJA")</f>
        <v>General Luna, Carranglan, NUEVA ECIJA</v>
      </c>
      <c r="D654" s="2" t="str">
        <f>IFERROR(__xludf.DUMMYFUNCTION("""COMPUTED_VALUE"""),"Rodrigo F. Manzano")</f>
        <v>Rodrigo F. Manzano</v>
      </c>
      <c r="E654" s="2" t="str">
        <f>IFERROR(__xludf.DUMMYFUNCTION("""COMPUTED_VALUE"""),"0955-548-3107")</f>
        <v>0955-548-3107</v>
      </c>
      <c r="F654" s="2" t="str">
        <f>IFERROR(__xludf.DUMMYFUNCTION("""COMPUTED_VALUE"""),"RCEF 25-03-05")</f>
        <v>RCEF 25-03-05</v>
      </c>
      <c r="G654" s="2">
        <f>IFERROR(__xludf.DUMMYFUNCTION("""COMPUTED_VALUE"""),5.0)</f>
        <v>5</v>
      </c>
      <c r="H654" s="2" t="str">
        <f>IFERROR(__xludf.DUMMYFUNCTION("""COMPUTED_VALUE"""),"26242 &amp; 27831")</f>
        <v>26242 &amp; 27831</v>
      </c>
      <c r="I654" s="2" t="str">
        <f>IFERROR(__xludf.DUMMYFUNCTION("""COMPUTED_VALUE"""),"KMC5825 ACSFPV0648")</f>
        <v>KMC5825 ACSFPV0648</v>
      </c>
      <c r="J654" s="3" t="str">
        <f>IFERROR(__xludf.DUMMYFUNCTION("""COMPUTED_VALUE"""),"STS100411")</f>
        <v>STS100411</v>
      </c>
      <c r="K654" s="2" t="str">
        <f>IFERROR(__xludf.DUMMYFUNCTION("""COMPUTED_VALUE"""),"WR-SERIES 1445PH")</f>
        <v>WR-SERIES 1445PH</v>
      </c>
      <c r="L654" s="3" t="str">
        <f>IFERROR(__xludf.DUMMYFUNCTION("""COMPUTED_VALUE"""),"25100803")</f>
        <v>25100803</v>
      </c>
      <c r="M654" s="3" t="str">
        <f>IFERROR(__xludf.DUMMYFUNCTION("""COMPUTED_VALUE"""),"25101170")</f>
        <v>25101170</v>
      </c>
      <c r="N654" s="2"/>
      <c r="O654" s="2" t="str">
        <f>IFERROR(__xludf.DUMMYFUNCTION("""COMPUTED_VALUE"""),"General Luna")</f>
        <v>General Luna</v>
      </c>
      <c r="P654" s="2" t="str">
        <f>IFERROR(__xludf.DUMMYFUNCTION("""COMPUTED_VALUE"""),"Carranglan")</f>
        <v>Carranglan</v>
      </c>
      <c r="Q654" s="2" t="str">
        <f>IFERROR(__xludf.DUMMYFUNCTION("""COMPUTED_VALUE"""),"Nueva Ecija")</f>
        <v>Nueva Ecija</v>
      </c>
      <c r="R654" s="2">
        <f>IFERROR(__xludf.DUMMYFUNCTION("""COMPUTED_VALUE"""),3.0)</f>
        <v>3</v>
      </c>
      <c r="S654" s="2"/>
      <c r="T654" s="2"/>
    </row>
    <row r="655">
      <c r="A655" s="1">
        <f>IFERROR(__xludf.DUMMYFUNCTION("""COMPUTED_VALUE"""),653.0)</f>
        <v>653</v>
      </c>
      <c r="B655" s="2" t="str">
        <f>IFERROR(__xludf.DUMMYFUNCTION("""COMPUTED_VALUE"""),"Balangay of San Fracisco Farmers Association")</f>
        <v>Balangay of San Fracisco Farmers Association</v>
      </c>
      <c r="C655" s="2" t="str">
        <f>IFERROR(__xludf.DUMMYFUNCTION("""COMPUTED_VALUE"""),"San Francisco, Llanera, NUEVA ECIJA")</f>
        <v>San Francisco, Llanera, NUEVA ECIJA</v>
      </c>
      <c r="D655" s="2" t="str">
        <f>IFERROR(__xludf.DUMMYFUNCTION("""COMPUTED_VALUE"""),"Cecilia G. Quibrantos")</f>
        <v>Cecilia G. Quibrantos</v>
      </c>
      <c r="E655" s="2" t="str">
        <f>IFERROR(__xludf.DUMMYFUNCTION("""COMPUTED_VALUE"""),"0908-475-7218")</f>
        <v>0908-475-7218</v>
      </c>
      <c r="F655" s="2" t="str">
        <f>IFERROR(__xludf.DUMMYFUNCTION("""COMPUTED_VALUE"""),"RCEF 25-03-05")</f>
        <v>RCEF 25-03-05</v>
      </c>
      <c r="G655" s="2">
        <f>IFERROR(__xludf.DUMMYFUNCTION("""COMPUTED_VALUE"""),5.0)</f>
        <v>5</v>
      </c>
      <c r="H655" s="2" t="str">
        <f>IFERROR(__xludf.DUMMYFUNCTION("""COMPUTED_VALUE"""),"26243 &amp; 27832")</f>
        <v>26243 &amp; 27832</v>
      </c>
      <c r="I655" s="2" t="str">
        <f>IFERROR(__xludf.DUMMYFUNCTION("""COMPUTED_VALUE"""),"KMC5825 AJSFPV0283")</f>
        <v>KMC5825 AJSFPV0283</v>
      </c>
      <c r="J655" s="3" t="str">
        <f>IFERROR(__xludf.DUMMYFUNCTION("""COMPUTED_VALUE"""),"STS100242")</f>
        <v>STS100242</v>
      </c>
      <c r="K655" s="2" t="str">
        <f>IFERROR(__xludf.DUMMYFUNCTION("""COMPUTED_VALUE"""),"WR-SERIES 1446PH")</f>
        <v>WR-SERIES 1446PH</v>
      </c>
      <c r="L655" s="3" t="str">
        <f>IFERROR(__xludf.DUMMYFUNCTION("""COMPUTED_VALUE"""),"25100802")</f>
        <v>25100802</v>
      </c>
      <c r="M655" s="3" t="str">
        <f>IFERROR(__xludf.DUMMYFUNCTION("""COMPUTED_VALUE"""),"25101165")</f>
        <v>25101165</v>
      </c>
      <c r="N655" s="2"/>
      <c r="O655" s="2" t="str">
        <f>IFERROR(__xludf.DUMMYFUNCTION("""COMPUTED_VALUE"""),"San Francisco")</f>
        <v>San Francisco</v>
      </c>
      <c r="P655" s="2" t="str">
        <f>IFERROR(__xludf.DUMMYFUNCTION("""COMPUTED_VALUE"""),"Llanera")</f>
        <v>Llanera</v>
      </c>
      <c r="Q655" s="2" t="str">
        <f>IFERROR(__xludf.DUMMYFUNCTION("""COMPUTED_VALUE"""),"Nueva Ecija")</f>
        <v>Nueva Ecija</v>
      </c>
      <c r="R655" s="2">
        <f>IFERROR(__xludf.DUMMYFUNCTION("""COMPUTED_VALUE"""),3.0)</f>
        <v>3</v>
      </c>
      <c r="S655" s="2"/>
      <c r="T655" s="2"/>
    </row>
    <row r="656">
      <c r="A656" s="1">
        <f>IFERROR(__xludf.DUMMYFUNCTION("""COMPUTED_VALUE"""),654.0)</f>
        <v>654</v>
      </c>
      <c r="B656" s="2" t="str">
        <f>IFERROR(__xludf.DUMMYFUNCTION("""COMPUTED_VALUE"""),"Asosasyon ng Magsasaka para sa Kalikasan at Kabuhayan")</f>
        <v>Asosasyon ng Magsasaka para sa Kalikasan at Kabuhayan</v>
      </c>
      <c r="C656" s="2" t="str">
        <f>IFERROR(__xludf.DUMMYFUNCTION("""COMPUTED_VALUE"""),"J. U. Tienzo (Arimal), Lupao, NUEVA ECIJA")</f>
        <v>J. U. Tienzo (Arimal), Lupao, NUEVA ECIJA</v>
      </c>
      <c r="D656" s="2" t="str">
        <f>IFERROR(__xludf.DUMMYFUNCTION("""COMPUTED_VALUE"""),"Perfeto Pagaduan")</f>
        <v>Perfeto Pagaduan</v>
      </c>
      <c r="E656" s="2" t="str">
        <f>IFERROR(__xludf.DUMMYFUNCTION("""COMPUTED_VALUE"""),"0936-796-0003")</f>
        <v>0936-796-0003</v>
      </c>
      <c r="F656" s="2" t="str">
        <f>IFERROR(__xludf.DUMMYFUNCTION("""COMPUTED_VALUE"""),"RCEF 25-03-05")</f>
        <v>RCEF 25-03-05</v>
      </c>
      <c r="G656" s="2">
        <f>IFERROR(__xludf.DUMMYFUNCTION("""COMPUTED_VALUE"""),5.0)</f>
        <v>5</v>
      </c>
      <c r="H656" s="2" t="str">
        <f>IFERROR(__xludf.DUMMYFUNCTION("""COMPUTED_VALUE"""),"26244 &amp; 27833")</f>
        <v>26244 &amp; 27833</v>
      </c>
      <c r="I656" s="2" t="str">
        <f>IFERROR(__xludf.DUMMYFUNCTION("""COMPUTED_VALUE"""),"KMC5825 AJSFPV0445")</f>
        <v>KMC5825 AJSFPV0445</v>
      </c>
      <c r="J656" s="3" t="str">
        <f>IFERROR(__xludf.DUMMYFUNCTION("""COMPUTED_VALUE"""),"STS100390")</f>
        <v>STS100390</v>
      </c>
      <c r="K656" s="2" t="str">
        <f>IFERROR(__xludf.DUMMYFUNCTION("""COMPUTED_VALUE"""),"WR-SERIES 1447PH")</f>
        <v>WR-SERIES 1447PH</v>
      </c>
      <c r="L656" s="3" t="str">
        <f>IFERROR(__xludf.DUMMYFUNCTION("""COMPUTED_VALUE"""),"25100816")</f>
        <v>25100816</v>
      </c>
      <c r="M656" s="3" t="str">
        <f>IFERROR(__xludf.DUMMYFUNCTION("""COMPUTED_VALUE"""),"25101161")</f>
        <v>25101161</v>
      </c>
      <c r="N656" s="2"/>
      <c r="O656" s="2" t="str">
        <f>IFERROR(__xludf.DUMMYFUNCTION("""COMPUTED_VALUE"""),"J. U. Tienzo (Arimal)")</f>
        <v>J. U. Tienzo (Arimal)</v>
      </c>
      <c r="P656" s="2" t="str">
        <f>IFERROR(__xludf.DUMMYFUNCTION("""COMPUTED_VALUE"""),"Lupao")</f>
        <v>Lupao</v>
      </c>
      <c r="Q656" s="2" t="str">
        <f>IFERROR(__xludf.DUMMYFUNCTION("""COMPUTED_VALUE"""),"Nueva Ecija")</f>
        <v>Nueva Ecija</v>
      </c>
      <c r="R656" s="2">
        <f>IFERROR(__xludf.DUMMYFUNCTION("""COMPUTED_VALUE"""),3.0)</f>
        <v>3</v>
      </c>
      <c r="S656" s="2"/>
      <c r="T656" s="2"/>
    </row>
    <row r="657">
      <c r="A657" s="1">
        <f>IFERROR(__xludf.DUMMYFUNCTION("""COMPUTED_VALUE"""),655.0)</f>
        <v>655</v>
      </c>
      <c r="B657" s="2" t="str">
        <f>IFERROR(__xludf.DUMMYFUNCTION("""COMPUTED_VALUE"""),"SAN ISIDRO - BALBALUNGAO IRRIGATORS ASSOCIATION INC.")</f>
        <v>SAN ISIDRO - BALBALUNGAO IRRIGATORS ASSOCIATION INC.</v>
      </c>
      <c r="C657" s="2" t="str">
        <f>IFERROR(__xludf.DUMMYFUNCTION("""COMPUTED_VALUE"""),"Balbalungao, Lupao, NUEVA ECIJA")</f>
        <v>Balbalungao, Lupao, NUEVA ECIJA</v>
      </c>
      <c r="D657" s="2" t="str">
        <f>IFERROR(__xludf.DUMMYFUNCTION("""COMPUTED_VALUE"""),"John R. Gonzales")</f>
        <v>John R. Gonzales</v>
      </c>
      <c r="E657" s="2" t="str">
        <f>IFERROR(__xludf.DUMMYFUNCTION("""COMPUTED_VALUE"""),"0950-605-6189")</f>
        <v>0950-605-6189</v>
      </c>
      <c r="F657" s="2" t="str">
        <f>IFERROR(__xludf.DUMMYFUNCTION("""COMPUTED_VALUE"""),"RCEF 25-03-05")</f>
        <v>RCEF 25-03-05</v>
      </c>
      <c r="G657" s="2">
        <f>IFERROR(__xludf.DUMMYFUNCTION("""COMPUTED_VALUE"""),5.0)</f>
        <v>5</v>
      </c>
      <c r="H657" s="2" t="str">
        <f>IFERROR(__xludf.DUMMYFUNCTION("""COMPUTED_VALUE"""),"26245 &amp; 27834")</f>
        <v>26245 &amp; 27834</v>
      </c>
      <c r="I657" s="2" t="str">
        <f>IFERROR(__xludf.DUMMYFUNCTION("""COMPUTED_VALUE"""),"KMC5825 AKSFPV0444")</f>
        <v>KMC5825 AKSFPV0444</v>
      </c>
      <c r="J657" s="3" t="str">
        <f>IFERROR(__xludf.DUMMYFUNCTION("""COMPUTED_VALUE"""),"STS100401")</f>
        <v>STS100401</v>
      </c>
      <c r="K657" s="2" t="str">
        <f>IFERROR(__xludf.DUMMYFUNCTION("""COMPUTED_VALUE"""),"WR-SERIES 1448PH")</f>
        <v>WR-SERIES 1448PH</v>
      </c>
      <c r="L657" s="3" t="str">
        <f>IFERROR(__xludf.DUMMYFUNCTION("""COMPUTED_VALUE"""),"25100846")</f>
        <v>25100846</v>
      </c>
      <c r="M657" s="3" t="str">
        <f>IFERROR(__xludf.DUMMYFUNCTION("""COMPUTED_VALUE"""),"25101203")</f>
        <v>25101203</v>
      </c>
      <c r="N657" s="2"/>
      <c r="O657" s="2" t="str">
        <f>IFERROR(__xludf.DUMMYFUNCTION("""COMPUTED_VALUE"""),"Balbalungao")</f>
        <v>Balbalungao</v>
      </c>
      <c r="P657" s="2" t="str">
        <f>IFERROR(__xludf.DUMMYFUNCTION("""COMPUTED_VALUE"""),"Lupao")</f>
        <v>Lupao</v>
      </c>
      <c r="Q657" s="2" t="str">
        <f>IFERROR(__xludf.DUMMYFUNCTION("""COMPUTED_VALUE"""),"Nueva Ecija")</f>
        <v>Nueva Ecija</v>
      </c>
      <c r="R657" s="2">
        <f>IFERROR(__xludf.DUMMYFUNCTION("""COMPUTED_VALUE"""),3.0)</f>
        <v>3</v>
      </c>
      <c r="S657" s="2"/>
      <c r="T657" s="2"/>
    </row>
    <row r="658">
      <c r="A658" s="1">
        <f>IFERROR(__xludf.DUMMYFUNCTION("""COMPUTED_VALUE"""),656.0)</f>
        <v>656</v>
      </c>
      <c r="B658" s="2" t="str">
        <f>IFERROR(__xludf.DUMMYFUNCTION("""COMPUTED_VALUE"""),"THE BELIEVERS FARMERS ASSOCIATION")</f>
        <v>THE BELIEVERS FARMERS ASSOCIATION</v>
      </c>
      <c r="C658" s="2" t="str">
        <f>IFERROR(__xludf.DUMMYFUNCTION("""COMPUTED_VALUE"""),"Agupalo Este, Lupao, NUEVA ECIJA")</f>
        <v>Agupalo Este, Lupao, NUEVA ECIJA</v>
      </c>
      <c r="D658" s="2" t="str">
        <f>IFERROR(__xludf.DUMMYFUNCTION("""COMPUTED_VALUE"""),"Eugenio Raganta")</f>
        <v>Eugenio Raganta</v>
      </c>
      <c r="E658" s="2" t="str">
        <f>IFERROR(__xludf.DUMMYFUNCTION("""COMPUTED_VALUE"""),"0965-092-9340")</f>
        <v>0965-092-9340</v>
      </c>
      <c r="F658" s="2" t="str">
        <f>IFERROR(__xludf.DUMMYFUNCTION("""COMPUTED_VALUE"""),"RCEF 25-03-05")</f>
        <v>RCEF 25-03-05</v>
      </c>
      <c r="G658" s="2">
        <f>IFERROR(__xludf.DUMMYFUNCTION("""COMPUTED_VALUE"""),5.0)</f>
        <v>5</v>
      </c>
      <c r="H658" s="2" t="str">
        <f>IFERROR(__xludf.DUMMYFUNCTION("""COMPUTED_VALUE"""),"26246 &amp; 27835")</f>
        <v>26246 &amp; 27835</v>
      </c>
      <c r="I658" s="2" t="str">
        <f>IFERROR(__xludf.DUMMYFUNCTION("""COMPUTED_VALUE"""),"KMC5825 ALSFPV0394")</f>
        <v>KMC5825 ALSFPV0394</v>
      </c>
      <c r="J658" s="3" t="str">
        <f>IFERROR(__xludf.DUMMYFUNCTION("""COMPUTED_VALUE"""),"STS100434")</f>
        <v>STS100434</v>
      </c>
      <c r="K658" s="2" t="str">
        <f>IFERROR(__xludf.DUMMYFUNCTION("""COMPUTED_VALUE"""),"WR-SERIES 1449PH")</f>
        <v>WR-SERIES 1449PH</v>
      </c>
      <c r="L658" s="3" t="str">
        <f>IFERROR(__xludf.DUMMYFUNCTION("""COMPUTED_VALUE"""),"25100801")</f>
        <v>25100801</v>
      </c>
      <c r="M658" s="3" t="str">
        <f>IFERROR(__xludf.DUMMYFUNCTION("""COMPUTED_VALUE"""),"25101162")</f>
        <v>25101162</v>
      </c>
      <c r="N658" s="2"/>
      <c r="O658" s="2" t="str">
        <f>IFERROR(__xludf.DUMMYFUNCTION("""COMPUTED_VALUE"""),"Agupalo Este")</f>
        <v>Agupalo Este</v>
      </c>
      <c r="P658" s="2" t="str">
        <f>IFERROR(__xludf.DUMMYFUNCTION("""COMPUTED_VALUE"""),"Lupao")</f>
        <v>Lupao</v>
      </c>
      <c r="Q658" s="2" t="str">
        <f>IFERROR(__xludf.DUMMYFUNCTION("""COMPUTED_VALUE"""),"Nueva Ecija")</f>
        <v>Nueva Ecija</v>
      </c>
      <c r="R658" s="2">
        <f>IFERROR(__xludf.DUMMYFUNCTION("""COMPUTED_VALUE"""),3.0)</f>
        <v>3</v>
      </c>
      <c r="S658" s="2"/>
      <c r="T658" s="2"/>
    </row>
    <row r="659">
      <c r="A659" s="1">
        <f>IFERROR(__xludf.DUMMYFUNCTION("""COMPUTED_VALUE"""),657.0)</f>
        <v>657</v>
      </c>
      <c r="B659" s="2" t="str">
        <f>IFERROR(__xludf.DUMMYFUNCTION("""COMPUTED_VALUE"""),"AGBANNAWAG IRRIGATORS ASSOCIATION, INC")</f>
        <v>AGBANNAWAG IRRIGATORS ASSOCIATION, INC</v>
      </c>
      <c r="C659" s="2" t="str">
        <f>IFERROR(__xludf.DUMMYFUNCTION("""COMPUTED_VALUE"""),"Agbannawag, Rizal, NUEVA ECIJA")</f>
        <v>Agbannawag, Rizal, NUEVA ECIJA</v>
      </c>
      <c r="D659" s="2" t="str">
        <f>IFERROR(__xludf.DUMMYFUNCTION("""COMPUTED_VALUE"""),"Quirino E. Tabangay Jr.")</f>
        <v>Quirino E. Tabangay Jr.</v>
      </c>
      <c r="E659" s="2" t="str">
        <f>IFERROR(__xludf.DUMMYFUNCTION("""COMPUTED_VALUE"""),"0935-997-2118/ 0965-637-5439")</f>
        <v>0935-997-2118/ 0965-637-5439</v>
      </c>
      <c r="F659" s="2" t="str">
        <f>IFERROR(__xludf.DUMMYFUNCTION("""COMPUTED_VALUE"""),"RCEF 25-03-05")</f>
        <v>RCEF 25-03-05</v>
      </c>
      <c r="G659" s="2">
        <f>IFERROR(__xludf.DUMMYFUNCTION("""COMPUTED_VALUE"""),5.0)</f>
        <v>5</v>
      </c>
      <c r="H659" s="2" t="str">
        <f>IFERROR(__xludf.DUMMYFUNCTION("""COMPUTED_VALUE"""),"26247 &amp; 27836")</f>
        <v>26247 &amp; 27836</v>
      </c>
      <c r="I659" s="2" t="str">
        <f>IFERROR(__xludf.DUMMYFUNCTION("""COMPUTED_VALUE"""),"KMC5825 ACSFPV0124")</f>
        <v>KMC5825 ACSFPV0124</v>
      </c>
      <c r="J659" s="3" t="str">
        <f>IFERROR(__xludf.DUMMYFUNCTION("""COMPUTED_VALUE"""),"STS100105")</f>
        <v>STS100105</v>
      </c>
      <c r="K659" s="2" t="str">
        <f>IFERROR(__xludf.DUMMYFUNCTION("""COMPUTED_VALUE"""),"WR-SERIES 1450PH")</f>
        <v>WR-SERIES 1450PH</v>
      </c>
      <c r="L659" s="3" t="str">
        <f>IFERROR(__xludf.DUMMYFUNCTION("""COMPUTED_VALUE"""),"25100831")</f>
        <v>25100831</v>
      </c>
      <c r="M659" s="3" t="str">
        <f>IFERROR(__xludf.DUMMYFUNCTION("""COMPUTED_VALUE"""),"25101163")</f>
        <v>25101163</v>
      </c>
      <c r="N659" s="2"/>
      <c r="O659" s="2" t="str">
        <f>IFERROR(__xludf.DUMMYFUNCTION("""COMPUTED_VALUE"""),"Agbannawag")</f>
        <v>Agbannawag</v>
      </c>
      <c r="P659" s="2" t="str">
        <f>IFERROR(__xludf.DUMMYFUNCTION("""COMPUTED_VALUE"""),"Rizal")</f>
        <v>Rizal</v>
      </c>
      <c r="Q659" s="2" t="str">
        <f>IFERROR(__xludf.DUMMYFUNCTION("""COMPUTED_VALUE"""),"Nueva Ecija")</f>
        <v>Nueva Ecija</v>
      </c>
      <c r="R659" s="2">
        <f>IFERROR(__xludf.DUMMYFUNCTION("""COMPUTED_VALUE"""),3.0)</f>
        <v>3</v>
      </c>
      <c r="S659" s="2"/>
      <c r="T659" s="2"/>
    </row>
    <row r="660">
      <c r="A660" s="1">
        <f>IFERROR(__xludf.DUMMYFUNCTION("""COMPUTED_VALUE"""),658.0)</f>
        <v>658</v>
      </c>
      <c r="B660" s="2" t="str">
        <f>IFERROR(__xludf.DUMMYFUNCTION("""COMPUTED_VALUE"""),"Caloocan Paraiso Agriculture Cooperative")</f>
        <v>Caloocan Paraiso Agriculture Cooperative</v>
      </c>
      <c r="C660" s="2" t="str">
        <f>IFERROR(__xludf.DUMMYFUNCTION("""COMPUTED_VALUE"""),"Calaocan District, Rizal, NUEVA ECIJA")</f>
        <v>Calaocan District, Rizal, NUEVA ECIJA</v>
      </c>
      <c r="D660" s="2" t="str">
        <f>IFERROR(__xludf.DUMMYFUNCTION("""COMPUTED_VALUE"""),"Rodrigo Camangeg")</f>
        <v>Rodrigo Camangeg</v>
      </c>
      <c r="E660" s="2" t="str">
        <f>IFERROR(__xludf.DUMMYFUNCTION("""COMPUTED_VALUE"""),"0929-812-4087")</f>
        <v>0929-812-4087</v>
      </c>
      <c r="F660" s="2" t="str">
        <f>IFERROR(__xludf.DUMMYFUNCTION("""COMPUTED_VALUE"""),"RCEF 25-03-05")</f>
        <v>RCEF 25-03-05</v>
      </c>
      <c r="G660" s="2">
        <f>IFERROR(__xludf.DUMMYFUNCTION("""COMPUTED_VALUE"""),5.0)</f>
        <v>5</v>
      </c>
      <c r="H660" s="2" t="str">
        <f>IFERROR(__xludf.DUMMYFUNCTION("""COMPUTED_VALUE"""),"26248 &amp; 27837")</f>
        <v>26248 &amp; 27837</v>
      </c>
      <c r="I660" s="2" t="str">
        <f>IFERROR(__xludf.DUMMYFUNCTION("""COMPUTED_VALUE"""),"KMC5825 AHSFPV0498")</f>
        <v>KMC5825 AHSFPV0498</v>
      </c>
      <c r="J660" s="3" t="str">
        <f>IFERROR(__xludf.DUMMYFUNCTION("""COMPUTED_VALUE"""),"STS100521")</f>
        <v>STS100521</v>
      </c>
      <c r="K660" s="2" t="str">
        <f>IFERROR(__xludf.DUMMYFUNCTION("""COMPUTED_VALUE"""),"WR-SERIES 1451PH")</f>
        <v>WR-SERIES 1451PH</v>
      </c>
      <c r="L660" s="3" t="str">
        <f>IFERROR(__xludf.DUMMYFUNCTION("""COMPUTED_VALUE"""),"25100814")</f>
        <v>25100814</v>
      </c>
      <c r="M660" s="3" t="str">
        <f>IFERROR(__xludf.DUMMYFUNCTION("""COMPUTED_VALUE"""),"25101188")</f>
        <v>25101188</v>
      </c>
      <c r="N660" s="2"/>
      <c r="O660" s="2" t="str">
        <f>IFERROR(__xludf.DUMMYFUNCTION("""COMPUTED_VALUE"""),"Calaocan District")</f>
        <v>Calaocan District</v>
      </c>
      <c r="P660" s="2" t="str">
        <f>IFERROR(__xludf.DUMMYFUNCTION("""COMPUTED_VALUE"""),"Rizal")</f>
        <v>Rizal</v>
      </c>
      <c r="Q660" s="2" t="str">
        <f>IFERROR(__xludf.DUMMYFUNCTION("""COMPUTED_VALUE"""),"Nueva Ecija")</f>
        <v>Nueva Ecija</v>
      </c>
      <c r="R660" s="2">
        <f>IFERROR(__xludf.DUMMYFUNCTION("""COMPUTED_VALUE"""),3.0)</f>
        <v>3</v>
      </c>
      <c r="S660" s="2"/>
      <c r="T660" s="2"/>
    </row>
    <row r="661">
      <c r="A661" s="1">
        <f>IFERROR(__xludf.DUMMYFUNCTION("""COMPUTED_VALUE"""),659.0)</f>
        <v>659</v>
      </c>
      <c r="B661" s="2" t="str">
        <f>IFERROR(__xludf.DUMMYFUNCTION("""COMPUTED_VALUE"""),"CANAAN WEST FARMERS ASSOCIATION")</f>
        <v>CANAAN WEST FARMERS ASSOCIATION</v>
      </c>
      <c r="C661" s="2" t="str">
        <f>IFERROR(__xludf.DUMMYFUNCTION("""COMPUTED_VALUE"""),"Canaan West, Rizal, NUEVA ECIJA")</f>
        <v>Canaan West, Rizal, NUEVA ECIJA</v>
      </c>
      <c r="D661" s="2" t="str">
        <f>IFERROR(__xludf.DUMMYFUNCTION("""COMPUTED_VALUE"""),"Israel W. Sindong Jr")</f>
        <v>Israel W. Sindong Jr</v>
      </c>
      <c r="E661" s="2" t="str">
        <f>IFERROR(__xludf.DUMMYFUNCTION("""COMPUTED_VALUE"""),"0907-089-3887")</f>
        <v>0907-089-3887</v>
      </c>
      <c r="F661" s="2" t="str">
        <f>IFERROR(__xludf.DUMMYFUNCTION("""COMPUTED_VALUE"""),"RCEF 25-03-05")</f>
        <v>RCEF 25-03-05</v>
      </c>
      <c r="G661" s="2">
        <f>IFERROR(__xludf.DUMMYFUNCTION("""COMPUTED_VALUE"""),5.0)</f>
        <v>5</v>
      </c>
      <c r="H661" s="2" t="str">
        <f>IFERROR(__xludf.DUMMYFUNCTION("""COMPUTED_VALUE"""),"26249 &amp; 27838")</f>
        <v>26249 &amp; 27838</v>
      </c>
      <c r="I661" s="2" t="str">
        <f>IFERROR(__xludf.DUMMYFUNCTION("""COMPUTED_VALUE"""),"KMC5825 ALSFPV0189")</f>
        <v>KMC5825 ALSFPV0189</v>
      </c>
      <c r="J661" s="3" t="str">
        <f>IFERROR(__xludf.DUMMYFUNCTION("""COMPUTED_VALUE"""),"STS100220")</f>
        <v>STS100220</v>
      </c>
      <c r="K661" s="2" t="str">
        <f>IFERROR(__xludf.DUMMYFUNCTION("""COMPUTED_VALUE"""),"WR-SERIES 1452PH")</f>
        <v>WR-SERIES 1452PH</v>
      </c>
      <c r="L661" s="3" t="str">
        <f>IFERROR(__xludf.DUMMYFUNCTION("""COMPUTED_VALUE"""),"25100808")</f>
        <v>25100808</v>
      </c>
      <c r="M661" s="3" t="str">
        <f>IFERROR(__xludf.DUMMYFUNCTION("""COMPUTED_VALUE"""),"25101169")</f>
        <v>25101169</v>
      </c>
      <c r="N661" s="2"/>
      <c r="O661" s="2" t="str">
        <f>IFERROR(__xludf.DUMMYFUNCTION("""COMPUTED_VALUE"""),"Canaan West")</f>
        <v>Canaan West</v>
      </c>
      <c r="P661" s="2" t="str">
        <f>IFERROR(__xludf.DUMMYFUNCTION("""COMPUTED_VALUE"""),"Rizal")</f>
        <v>Rizal</v>
      </c>
      <c r="Q661" s="2" t="str">
        <f>IFERROR(__xludf.DUMMYFUNCTION("""COMPUTED_VALUE"""),"Nueva Ecija")</f>
        <v>Nueva Ecija</v>
      </c>
      <c r="R661" s="2">
        <f>IFERROR(__xludf.DUMMYFUNCTION("""COMPUTED_VALUE"""),3.0)</f>
        <v>3</v>
      </c>
      <c r="S661" s="2"/>
      <c r="T661" s="2"/>
    </row>
    <row r="662">
      <c r="A662" s="1">
        <f>IFERROR(__xludf.DUMMYFUNCTION("""COMPUTED_VALUE"""),660.0)</f>
        <v>660</v>
      </c>
      <c r="B662" s="2" t="str">
        <f>IFERROR(__xludf.DUMMYFUNCTION("""COMPUTED_VALUE"""),"SGRNE FARMERS ASSOCIATION INCORPORATED")</f>
        <v>SGRNE FARMERS ASSOCIATION INCORPORATED</v>
      </c>
      <c r="C662" s="2" t="str">
        <f>IFERROR(__xludf.DUMMYFUNCTION("""COMPUTED_VALUE"""),"San Gregorio, Rizal, NUEVA ECIJA")</f>
        <v>San Gregorio, Rizal, NUEVA ECIJA</v>
      </c>
      <c r="D662" s="2" t="str">
        <f>IFERROR(__xludf.DUMMYFUNCTION("""COMPUTED_VALUE"""),"Haydee P. Cabuslay")</f>
        <v>Haydee P. Cabuslay</v>
      </c>
      <c r="E662" s="2" t="str">
        <f>IFERROR(__xludf.DUMMYFUNCTION("""COMPUTED_VALUE"""),"0975-373-5467")</f>
        <v>0975-373-5467</v>
      </c>
      <c r="F662" s="2" t="str">
        <f>IFERROR(__xludf.DUMMYFUNCTION("""COMPUTED_VALUE"""),"RCEF 25-03-05")</f>
        <v>RCEF 25-03-05</v>
      </c>
      <c r="G662" s="2">
        <f>IFERROR(__xludf.DUMMYFUNCTION("""COMPUTED_VALUE"""),5.0)</f>
        <v>5</v>
      </c>
      <c r="H662" s="2" t="str">
        <f>IFERROR(__xludf.DUMMYFUNCTION("""COMPUTED_VALUE"""),"26250 &amp; 27839")</f>
        <v>26250 &amp; 27839</v>
      </c>
      <c r="I662" s="2" t="str">
        <f>IFERROR(__xludf.DUMMYFUNCTION("""COMPUTED_VALUE"""),"KMC5825 ALSFPV0385")</f>
        <v>KMC5825 ALSFPV0385</v>
      </c>
      <c r="J662" s="3" t="str">
        <f>IFERROR(__xludf.DUMMYFUNCTION("""COMPUTED_VALUE"""),"STS100465")</f>
        <v>STS100465</v>
      </c>
      <c r="K662" s="2" t="str">
        <f>IFERROR(__xludf.DUMMYFUNCTION("""COMPUTED_VALUE"""),"WR-SERIES 1453PH")</f>
        <v>WR-SERIES 1453PH</v>
      </c>
      <c r="L662" s="3" t="str">
        <f>IFERROR(__xludf.DUMMYFUNCTION("""COMPUTED_VALUE"""),"25100843")</f>
        <v>25100843</v>
      </c>
      <c r="M662" s="3" t="str">
        <f>IFERROR(__xludf.DUMMYFUNCTION("""COMPUTED_VALUE"""),"25101178")</f>
        <v>25101178</v>
      </c>
      <c r="N662" s="2"/>
      <c r="O662" s="2" t="str">
        <f>IFERROR(__xludf.DUMMYFUNCTION("""COMPUTED_VALUE"""),"San Gregorio")</f>
        <v>San Gregorio</v>
      </c>
      <c r="P662" s="2" t="str">
        <f>IFERROR(__xludf.DUMMYFUNCTION("""COMPUTED_VALUE"""),"Rizal")</f>
        <v>Rizal</v>
      </c>
      <c r="Q662" s="2" t="str">
        <f>IFERROR(__xludf.DUMMYFUNCTION("""COMPUTED_VALUE"""),"Nueva Ecija")</f>
        <v>Nueva Ecija</v>
      </c>
      <c r="R662" s="2">
        <f>IFERROR(__xludf.DUMMYFUNCTION("""COMPUTED_VALUE"""),3.0)</f>
        <v>3</v>
      </c>
      <c r="S662" s="2"/>
      <c r="T662" s="2"/>
    </row>
    <row r="663">
      <c r="A663" s="1">
        <f>IFERROR(__xludf.DUMMYFUNCTION("""COMPUTED_VALUE"""),661.0)</f>
        <v>661</v>
      </c>
      <c r="B663" s="2" t="str">
        <f>IFERROR(__xludf.DUMMYFUNCTION("""COMPUTED_VALUE"""),"MUNICIPAL LOCAL GOVERNMENT UNIT OF QUEZON")</f>
        <v>MUNICIPAL LOCAL GOVERNMENT UNIT OF QUEZON</v>
      </c>
      <c r="C663" s="2" t="str">
        <f>IFERROR(__xludf.DUMMYFUNCTION("""COMPUTED_VALUE"""),", Quezon, NUEVA ECIJA")</f>
        <v>, Quezon, NUEVA ECIJA</v>
      </c>
      <c r="D663" s="2"/>
      <c r="E663" s="2"/>
      <c r="F663" s="2" t="str">
        <f>IFERROR(__xludf.DUMMYFUNCTION("""COMPUTED_VALUE"""),"RCEF 25-03-05")</f>
        <v>RCEF 25-03-05</v>
      </c>
      <c r="G663" s="2">
        <f>IFERROR(__xludf.DUMMYFUNCTION("""COMPUTED_VALUE"""),5.0)</f>
        <v>5</v>
      </c>
      <c r="H663" s="2" t="str">
        <f>IFERROR(__xludf.DUMMYFUNCTION("""COMPUTED_VALUE"""),"26478 &amp; 27672")</f>
        <v>26478 &amp; 27672</v>
      </c>
      <c r="I663" s="2" t="str">
        <f>IFERROR(__xludf.DUMMYFUNCTION("""COMPUTED_VALUE"""),"KMC5825 AKSFPV0122")</f>
        <v>KMC5825 AKSFPV0122</v>
      </c>
      <c r="J663" s="3" t="str">
        <f>IFERROR(__xludf.DUMMYFUNCTION("""COMPUTED_VALUE"""),"STS100102")</f>
        <v>STS100102</v>
      </c>
      <c r="K663" s="2" t="str">
        <f>IFERROR(__xludf.DUMMYFUNCTION("""COMPUTED_VALUE"""),"R-SERIES 319PH")</f>
        <v>R-SERIES 319PH</v>
      </c>
      <c r="L663" s="3" t="str">
        <f>IFERROR(__xludf.DUMMYFUNCTION("""COMPUTED_VALUE"""),"25080795")</f>
        <v>25080795</v>
      </c>
      <c r="M663" s="3" t="str">
        <f>IFERROR(__xludf.DUMMYFUNCTION("""COMPUTED_VALUE"""),"25080802")</f>
        <v>25080802</v>
      </c>
      <c r="N663" s="2"/>
      <c r="O663" s="2" t="str">
        <f>IFERROR(__xludf.DUMMYFUNCTION("""COMPUTED_VALUE"""),"")</f>
        <v/>
      </c>
      <c r="P663" s="2" t="str">
        <f>IFERROR(__xludf.DUMMYFUNCTION("""COMPUTED_VALUE"""),"Quezon")</f>
        <v>Quezon</v>
      </c>
      <c r="Q663" s="2" t="str">
        <f>IFERROR(__xludf.DUMMYFUNCTION("""COMPUTED_VALUE"""),"Nueva Ecija")</f>
        <v>Nueva Ecija</v>
      </c>
      <c r="R663" s="2">
        <f>IFERROR(__xludf.DUMMYFUNCTION("""COMPUTED_VALUE"""),3.0)</f>
        <v>3</v>
      </c>
      <c r="S663" s="2" t="str">
        <f>IFERROR(__xludf.DUMMYFUNCTION("""COMPUTED_VALUE"""),"Grano de Oro Farmers Agriculture Cooperative of Nueva Ecija (GRANO)
Ferdinand E. Marcos Pob. (District II), San Jose City, NUEVA ECIJA")</f>
        <v>Grano de Oro Farmers Agriculture Cooperative of Nueva Ecija (GRANO)
Ferdinand E. Marcos Pob. (District II), San Jose City, NUEVA ECIJA</v>
      </c>
      <c r="T663" s="2"/>
    </row>
    <row r="664">
      <c r="A664" s="1">
        <f>IFERROR(__xludf.DUMMYFUNCTION("""COMPUTED_VALUE"""),662.0)</f>
        <v>662</v>
      </c>
      <c r="B664" s="2" t="str">
        <f>IFERROR(__xludf.DUMMYFUNCTION("""COMPUTED_VALUE"""),"KABUHAYAN UNLAD SA AGRIKULTURA(KUSA)")</f>
        <v>KABUHAYAN UNLAD SA AGRIKULTURA(KUSA)</v>
      </c>
      <c r="C664" s="2" t="str">
        <f>IFERROR(__xludf.DUMMYFUNCTION("""COMPUTED_VALUE"""),"San Agustin, San Jose City, NUEVA ECIJA")</f>
        <v>San Agustin, San Jose City, NUEVA ECIJA</v>
      </c>
      <c r="D664" s="2" t="str">
        <f>IFERROR(__xludf.DUMMYFUNCTION("""COMPUTED_VALUE"""),"Benigno C. Mico")</f>
        <v>Benigno C. Mico</v>
      </c>
      <c r="E664" s="2" t="str">
        <f>IFERROR(__xludf.DUMMYFUNCTION("""COMPUTED_VALUE"""),"0955-725-8501")</f>
        <v>0955-725-8501</v>
      </c>
      <c r="F664" s="2" t="str">
        <f>IFERROR(__xludf.DUMMYFUNCTION("""COMPUTED_VALUE"""),"RCEF 25-03-05")</f>
        <v>RCEF 25-03-05</v>
      </c>
      <c r="G664" s="2">
        <f>IFERROR(__xludf.DUMMYFUNCTION("""COMPUTED_VALUE"""),5.0)</f>
        <v>5</v>
      </c>
      <c r="H664" s="2" t="str">
        <f>IFERROR(__xludf.DUMMYFUNCTION("""COMPUTED_VALUE"""),"26479 &amp; 27840")</f>
        <v>26479 &amp; 27840</v>
      </c>
      <c r="I664" s="2" t="str">
        <f>IFERROR(__xludf.DUMMYFUNCTION("""COMPUTED_VALUE"""),"KMC5825 AASFPV0191")</f>
        <v>KMC5825 AASFPV0191</v>
      </c>
      <c r="J664" s="3" t="str">
        <f>IFERROR(__xludf.DUMMYFUNCTION("""COMPUTED_VALUE"""),"STS100218")</f>
        <v>STS100218</v>
      </c>
      <c r="K664" s="2" t="str">
        <f>IFERROR(__xludf.DUMMYFUNCTION("""COMPUTED_VALUE"""),"WR-SERIES 1454PH")</f>
        <v>WR-SERIES 1454PH</v>
      </c>
      <c r="L664" s="3" t="str">
        <f>IFERROR(__xludf.DUMMYFUNCTION("""COMPUTED_VALUE"""),"2510826")</f>
        <v>2510826</v>
      </c>
      <c r="M664" s="3" t="str">
        <f>IFERROR(__xludf.DUMMYFUNCTION("""COMPUTED_VALUE"""),"25101181")</f>
        <v>25101181</v>
      </c>
      <c r="N664" s="2"/>
      <c r="O664" s="2" t="str">
        <f>IFERROR(__xludf.DUMMYFUNCTION("""COMPUTED_VALUE"""),"San Agustin")</f>
        <v>San Agustin</v>
      </c>
      <c r="P664" s="2" t="str">
        <f>IFERROR(__xludf.DUMMYFUNCTION("""COMPUTED_VALUE"""),"San Jose City")</f>
        <v>San Jose City</v>
      </c>
      <c r="Q664" s="2" t="str">
        <f>IFERROR(__xludf.DUMMYFUNCTION("""COMPUTED_VALUE"""),"Nueva Ecija")</f>
        <v>Nueva Ecija</v>
      </c>
      <c r="R664" s="2">
        <f>IFERROR(__xludf.DUMMYFUNCTION("""COMPUTED_VALUE"""),3.0)</f>
        <v>3</v>
      </c>
      <c r="S664" s="2"/>
      <c r="T664" s="2"/>
    </row>
    <row r="665">
      <c r="A665" s="1">
        <f>IFERROR(__xludf.DUMMYFUNCTION("""COMPUTED_VALUE"""),663.0)</f>
        <v>663</v>
      </c>
      <c r="B665" s="2" t="str">
        <f>IFERROR(__xludf.DUMMYFUNCTION("""COMPUTED_VALUE"""),"KALASAG MULTIPURPOSE COOPERATIVE")</f>
        <v>KALASAG MULTIPURPOSE COOPERATIVE</v>
      </c>
      <c r="C665" s="2" t="str">
        <f>IFERROR(__xludf.DUMMYFUNCTION("""COMPUTED_VALUE"""),"San Agustin, San Jose City, NUEVA ECIJA")</f>
        <v>San Agustin, San Jose City, NUEVA ECIJA</v>
      </c>
      <c r="D665" s="2" t="str">
        <f>IFERROR(__xludf.DUMMYFUNCTION("""COMPUTED_VALUE"""),"Arnold V. Dizon")</f>
        <v>Arnold V. Dizon</v>
      </c>
      <c r="E665" s="2" t="str">
        <f>IFERROR(__xludf.DUMMYFUNCTION("""COMPUTED_VALUE"""),"0928-254-9849")</f>
        <v>0928-254-9849</v>
      </c>
      <c r="F665" s="2" t="str">
        <f>IFERROR(__xludf.DUMMYFUNCTION("""COMPUTED_VALUE"""),"RCEF 25-03-05")</f>
        <v>RCEF 25-03-05</v>
      </c>
      <c r="G665" s="2">
        <f>IFERROR(__xludf.DUMMYFUNCTION("""COMPUTED_VALUE"""),5.0)</f>
        <v>5</v>
      </c>
      <c r="H665" s="2" t="str">
        <f>IFERROR(__xludf.DUMMYFUNCTION("""COMPUTED_VALUE"""),"26480 &amp; 27841")</f>
        <v>26480 &amp; 27841</v>
      </c>
      <c r="I665" s="2" t="str">
        <f>IFERROR(__xludf.DUMMYFUNCTION("""COMPUTED_VALUE"""),"KMC5825 AESFPV0635")</f>
        <v>KMC5825 AESFPV0635</v>
      </c>
      <c r="J665" s="3" t="str">
        <f>IFERROR(__xludf.DUMMYFUNCTION("""COMPUTED_VALUE"""),"STS100366")</f>
        <v>STS100366</v>
      </c>
      <c r="K665" s="2" t="str">
        <f>IFERROR(__xludf.DUMMYFUNCTION("""COMPUTED_VALUE"""),"WR-SERIES 1455PH")</f>
        <v>WR-SERIES 1455PH</v>
      </c>
      <c r="L665" s="3" t="str">
        <f>IFERROR(__xludf.DUMMYFUNCTION("""COMPUTED_VALUE"""),"25100847")</f>
        <v>25100847</v>
      </c>
      <c r="M665" s="3" t="str">
        <f>IFERROR(__xludf.DUMMYFUNCTION("""COMPUTED_VALUE"""),"25101164")</f>
        <v>25101164</v>
      </c>
      <c r="N665" s="2"/>
      <c r="O665" s="2" t="str">
        <f>IFERROR(__xludf.DUMMYFUNCTION("""COMPUTED_VALUE"""),"San Agustin")</f>
        <v>San Agustin</v>
      </c>
      <c r="P665" s="2" t="str">
        <f>IFERROR(__xludf.DUMMYFUNCTION("""COMPUTED_VALUE"""),"San Jose City")</f>
        <v>San Jose City</v>
      </c>
      <c r="Q665" s="2" t="str">
        <f>IFERROR(__xludf.DUMMYFUNCTION("""COMPUTED_VALUE"""),"Nueva Ecija")</f>
        <v>Nueva Ecija</v>
      </c>
      <c r="R665" s="2">
        <f>IFERROR(__xludf.DUMMYFUNCTION("""COMPUTED_VALUE"""),3.0)</f>
        <v>3</v>
      </c>
      <c r="S665" s="2"/>
      <c r="T665" s="2"/>
    </row>
    <row r="666">
      <c r="A666" s="1">
        <f>IFERROR(__xludf.DUMMYFUNCTION("""COMPUTED_VALUE"""),664.0)</f>
        <v>664</v>
      </c>
      <c r="B666" s="2" t="str">
        <f>IFERROR(__xludf.DUMMYFUNCTION("""COMPUTED_VALUE"""),"Barangay Local Government Unit of Sapang Cauayan")</f>
        <v>Barangay Local Government Unit of Sapang Cauayan</v>
      </c>
      <c r="C666" s="2" t="str">
        <f>IFERROR(__xludf.DUMMYFUNCTION("""COMPUTED_VALUE"""),"Sapang Cawayan, Science City of Munoz, NUEVA ECIJA")</f>
        <v>Sapang Cawayan, Science City of Munoz, NUEVA ECIJA</v>
      </c>
      <c r="D666" s="2" t="str">
        <f>IFERROR(__xludf.DUMMYFUNCTION("""COMPUTED_VALUE"""),"Arnel Sibulburo")</f>
        <v>Arnel Sibulburo</v>
      </c>
      <c r="E666" s="2">
        <f>IFERROR(__xludf.DUMMYFUNCTION("""COMPUTED_VALUE"""),9.265308679E9)</f>
        <v>9265308679</v>
      </c>
      <c r="F666" s="2" t="str">
        <f>IFERROR(__xludf.DUMMYFUNCTION("""COMPUTED_VALUE"""),"RCEF 25-03-05")</f>
        <v>RCEF 25-03-05</v>
      </c>
      <c r="G666" s="2">
        <f>IFERROR(__xludf.DUMMYFUNCTION("""COMPUTED_VALUE"""),5.0)</f>
        <v>5</v>
      </c>
      <c r="H666" s="2" t="str">
        <f>IFERROR(__xludf.DUMMYFUNCTION("""COMPUTED_VALUE"""),"26481 &amp; 27673")</f>
        <v>26481 &amp; 27673</v>
      </c>
      <c r="I666" s="2" t="str">
        <f>IFERROR(__xludf.DUMMYFUNCTION("""COMPUTED_VALUE"""),"KMC5825 AVSFPV0318")</f>
        <v>KMC5825 AVSFPV0318</v>
      </c>
      <c r="J666" s="3" t="str">
        <f>IFERROR(__xludf.DUMMYFUNCTION("""COMPUTED_VALUE"""),"STS100327")</f>
        <v>STS100327</v>
      </c>
      <c r="K666" s="2" t="str">
        <f>IFERROR(__xludf.DUMMYFUNCTION("""COMPUTED_VALUE"""),"WR-SERIES")</f>
        <v>WR-SERIES</v>
      </c>
      <c r="L666" s="3">
        <f>IFERROR(__xludf.DUMMYFUNCTION("""COMPUTED_VALUE"""),2.5101174E7)</f>
        <v>25101174</v>
      </c>
      <c r="M666" s="3">
        <f>IFERROR(__xludf.DUMMYFUNCTION("""COMPUTED_VALUE"""),2.5101174E7)</f>
        <v>25101174</v>
      </c>
      <c r="N666" s="2"/>
      <c r="O666" s="2" t="str">
        <f>IFERROR(__xludf.DUMMYFUNCTION("""COMPUTED_VALUE"""),"Sapang Cawayan")</f>
        <v>Sapang Cawayan</v>
      </c>
      <c r="P666" s="2" t="str">
        <f>IFERROR(__xludf.DUMMYFUNCTION("""COMPUTED_VALUE"""),"Science City Of Munoz")</f>
        <v>Science City Of Munoz</v>
      </c>
      <c r="Q666" s="2" t="str">
        <f>IFERROR(__xludf.DUMMYFUNCTION("""COMPUTED_VALUE"""),"Nueva Ecija")</f>
        <v>Nueva Ecija</v>
      </c>
      <c r="R666" s="2">
        <f>IFERROR(__xludf.DUMMYFUNCTION("""COMPUTED_VALUE"""),3.0)</f>
        <v>3</v>
      </c>
      <c r="S666" s="2"/>
      <c r="T666" s="2"/>
    </row>
    <row r="667">
      <c r="A667" s="1">
        <f>IFERROR(__xludf.DUMMYFUNCTION("""COMPUTED_VALUE"""),665.0)</f>
        <v>665</v>
      </c>
      <c r="B667" s="2" t="str">
        <f>IFERROR(__xludf.DUMMYFUNCTION("""COMPUTED_VALUE"""),"BRGY. VILLA ISLA-MUÑOZ WATER IMPOUNDING IRRIGATORS ASSOCIATION, INC")</f>
        <v>BRGY. VILLA ISLA-MUÑOZ WATER IMPOUNDING IRRIGATORS ASSOCIATION, INC</v>
      </c>
      <c r="C667" s="2" t="str">
        <f>IFERROR(__xludf.DUMMYFUNCTION("""COMPUTED_VALUE"""),"Villa Isla, Science City of Munoz, NUEVA ECIJA")</f>
        <v>Villa Isla, Science City of Munoz, NUEVA ECIJA</v>
      </c>
      <c r="D667" s="2" t="str">
        <f>IFERROR(__xludf.DUMMYFUNCTION("""COMPUTED_VALUE"""),"DARWIN F. PACLIBARE")</f>
        <v>DARWIN F. PACLIBARE</v>
      </c>
      <c r="E667" s="2" t="str">
        <f>IFERROR(__xludf.DUMMYFUNCTION("""COMPUTED_VALUE"""),"0965-571-7350")</f>
        <v>0965-571-7350</v>
      </c>
      <c r="F667" s="2" t="str">
        <f>IFERROR(__xludf.DUMMYFUNCTION("""COMPUTED_VALUE"""),"RCEF 25-03-05")</f>
        <v>RCEF 25-03-05</v>
      </c>
      <c r="G667" s="2">
        <f>IFERROR(__xludf.DUMMYFUNCTION("""COMPUTED_VALUE"""),5.0)</f>
        <v>5</v>
      </c>
      <c r="H667" s="2" t="str">
        <f>IFERROR(__xludf.DUMMYFUNCTION("""COMPUTED_VALUE"""),"26482 &amp; 27674")</f>
        <v>26482 &amp; 27674</v>
      </c>
      <c r="I667" s="2" t="str">
        <f>IFERROR(__xludf.DUMMYFUNCTION("""COMPUTED_VALUE"""),"KMC5825 ACRFPV1065")</f>
        <v>KMC5825 ACRFPV1065</v>
      </c>
      <c r="J667" s="3" t="str">
        <f>IFERROR(__xludf.DUMMYFUNCTION("""COMPUTED_VALUE"""),"RTS100956")</f>
        <v>RTS100956</v>
      </c>
      <c r="K667" s="2" t="str">
        <f>IFERROR(__xludf.DUMMYFUNCTION("""COMPUTED_VALUE"""),"WR-SERIES 1060")</f>
        <v>WR-SERIES 1060</v>
      </c>
      <c r="L667" s="3">
        <f>IFERROR(__xludf.DUMMYFUNCTION("""COMPUTED_VALUE"""),2.4090783E7)</f>
        <v>24090783</v>
      </c>
      <c r="M667" s="3">
        <f>IFERROR(__xludf.DUMMYFUNCTION("""COMPUTED_VALUE"""),2.5030555E7)</f>
        <v>25030555</v>
      </c>
      <c r="N667" s="2"/>
      <c r="O667" s="2" t="str">
        <f>IFERROR(__xludf.DUMMYFUNCTION("""COMPUTED_VALUE"""),"Villa Isla")</f>
        <v>Villa Isla</v>
      </c>
      <c r="P667" s="2" t="str">
        <f>IFERROR(__xludf.DUMMYFUNCTION("""COMPUTED_VALUE"""),"Science City Of Munoz")</f>
        <v>Science City Of Munoz</v>
      </c>
      <c r="Q667" s="2" t="str">
        <f>IFERROR(__xludf.DUMMYFUNCTION("""COMPUTED_VALUE"""),"Nueva Ecija")</f>
        <v>Nueva Ecija</v>
      </c>
      <c r="R667" s="2">
        <f>IFERROR(__xludf.DUMMYFUNCTION("""COMPUTED_VALUE"""),3.0)</f>
        <v>3</v>
      </c>
      <c r="S667" s="2"/>
      <c r="T667" s="2"/>
    </row>
    <row r="668">
      <c r="A668" s="1">
        <f>IFERROR(__xludf.DUMMYFUNCTION("""COMPUTED_VALUE"""),666.0)</f>
        <v>666</v>
      </c>
      <c r="B668" s="2" t="str">
        <f>IFERROR(__xludf.DUMMYFUNCTION("""COMPUTED_VALUE"""),"M.T.G PLIVIRISCAF IRRIGATORS' ASSOCIATION INC.")</f>
        <v>M.T.G PLIVIRISCAF IRRIGATORS' ASSOCIATION INC.</v>
      </c>
      <c r="C668" s="2" t="str">
        <f>IFERROR(__xludf.DUMMYFUNCTION("""COMPUTED_VALUE"""),"Pandalla, Science City of Munoz, NUEVA ECIJA")</f>
        <v>Pandalla, Science City of Munoz, NUEVA ECIJA</v>
      </c>
      <c r="D668" s="2" t="str">
        <f>IFERROR(__xludf.DUMMYFUNCTION("""COMPUTED_VALUE"""),"Nilo Gaston")</f>
        <v>Nilo Gaston</v>
      </c>
      <c r="E668" s="2" t="str">
        <f>IFERROR(__xludf.DUMMYFUNCTION("""COMPUTED_VALUE"""),"0991-392-5596")</f>
        <v>0991-392-5596</v>
      </c>
      <c r="F668" s="2" t="str">
        <f>IFERROR(__xludf.DUMMYFUNCTION("""COMPUTED_VALUE"""),"RCEF 25-03-05")</f>
        <v>RCEF 25-03-05</v>
      </c>
      <c r="G668" s="2">
        <f>IFERROR(__xludf.DUMMYFUNCTION("""COMPUTED_VALUE"""),5.0)</f>
        <v>5</v>
      </c>
      <c r="H668" s="2" t="str">
        <f>IFERROR(__xludf.DUMMYFUNCTION("""COMPUTED_VALUE"""),"26483 &amp; 27842")</f>
        <v>26483 &amp; 27842</v>
      </c>
      <c r="I668" s="2" t="str">
        <f>IFERROR(__xludf.DUMMYFUNCTION("""COMPUTED_VALUE"""),"KMC5825 AESFPV0647")</f>
        <v>KMC5825 AESFPV0647</v>
      </c>
      <c r="J668" s="3" t="str">
        <f>IFERROR(__xludf.DUMMYFUNCTION("""COMPUTED_VALUE"""),"STS100370")</f>
        <v>STS100370</v>
      </c>
      <c r="K668" s="2" t="str">
        <f>IFERROR(__xludf.DUMMYFUNCTION("""COMPUTED_VALUE"""),"WR-SERIES 1456PH")</f>
        <v>WR-SERIES 1456PH</v>
      </c>
      <c r="L668" s="3" t="str">
        <f>IFERROR(__xludf.DUMMYFUNCTION("""COMPUTED_VALUE"""),"25100821")</f>
        <v>25100821</v>
      </c>
      <c r="M668" s="3" t="str">
        <f>IFERROR(__xludf.DUMMYFUNCTION("""COMPUTED_VALUE"""),"25101199")</f>
        <v>25101199</v>
      </c>
      <c r="N668" s="2"/>
      <c r="O668" s="2" t="str">
        <f>IFERROR(__xludf.DUMMYFUNCTION("""COMPUTED_VALUE"""),"Pandalla")</f>
        <v>Pandalla</v>
      </c>
      <c r="P668" s="2" t="str">
        <f>IFERROR(__xludf.DUMMYFUNCTION("""COMPUTED_VALUE"""),"Science City Of Munoz")</f>
        <v>Science City Of Munoz</v>
      </c>
      <c r="Q668" s="2" t="str">
        <f>IFERROR(__xludf.DUMMYFUNCTION("""COMPUTED_VALUE"""),"Nueva Ecija")</f>
        <v>Nueva Ecija</v>
      </c>
      <c r="R668" s="2">
        <f>IFERROR(__xludf.DUMMYFUNCTION("""COMPUTED_VALUE"""),3.0)</f>
        <v>3</v>
      </c>
      <c r="S668" s="2"/>
      <c r="T668" s="2"/>
    </row>
    <row r="669">
      <c r="A669" s="1">
        <f>IFERROR(__xludf.DUMMYFUNCTION("""COMPUTED_VALUE"""),667.0)</f>
        <v>667</v>
      </c>
      <c r="B669" s="2" t="str">
        <f>IFERROR(__xludf.DUMMYFUNCTION("""COMPUTED_VALUE"""),"Network of Responsible Citizens of Munoz Agriculture Cooperative (NRCMAC)")</f>
        <v>Network of Responsible Citizens of Munoz Agriculture Cooperative (NRCMAC)</v>
      </c>
      <c r="C669" s="2" t="str">
        <f>IFERROR(__xludf.DUMMYFUNCTION("""COMPUTED_VALUE"""),"Poblacion East, Science City of Munoz, NUEVA ECIJA")</f>
        <v>Poblacion East, Science City of Munoz, NUEVA ECIJA</v>
      </c>
      <c r="D669" s="2" t="str">
        <f>IFERROR(__xludf.DUMMYFUNCTION("""COMPUTED_VALUE"""),"Zenaida B. Pasardan")</f>
        <v>Zenaida B. Pasardan</v>
      </c>
      <c r="E669" s="2">
        <f>IFERROR(__xludf.DUMMYFUNCTION("""COMPUTED_VALUE"""),9.35091948E9)</f>
        <v>9350919480</v>
      </c>
      <c r="F669" s="2" t="str">
        <f>IFERROR(__xludf.DUMMYFUNCTION("""COMPUTED_VALUE"""),"RCEF 25-03-05")</f>
        <v>RCEF 25-03-05</v>
      </c>
      <c r="G669" s="2">
        <f>IFERROR(__xludf.DUMMYFUNCTION("""COMPUTED_VALUE"""),5.0)</f>
        <v>5</v>
      </c>
      <c r="H669" s="2" t="str">
        <f>IFERROR(__xludf.DUMMYFUNCTION("""COMPUTED_VALUE"""),"26484 &amp; 27675")</f>
        <v>26484 &amp; 27675</v>
      </c>
      <c r="I669" s="2" t="str">
        <f>IFERROR(__xludf.DUMMYFUNCTION("""COMPUTED_VALUE"""),"KMC5825 ATRFPV0831")</f>
        <v>KMC5825 ATRFPV0831</v>
      </c>
      <c r="J669" s="3" t="str">
        <f>IFERROR(__xludf.DUMMYFUNCTION("""COMPUTED_VALUE"""),"RTS100729")</f>
        <v>RTS100729</v>
      </c>
      <c r="K669" s="2" t="str">
        <f>IFERROR(__xludf.DUMMYFUNCTION("""COMPUTED_VALUE"""),"WR-SERIES 1054")</f>
        <v>WR-SERIES 1054</v>
      </c>
      <c r="L669" s="3" t="str">
        <f>IFERROR(__xludf.DUMMYFUNCTION("""COMPUTED_VALUE"""),"24090784")</f>
        <v>24090784</v>
      </c>
      <c r="M669" s="3" t="str">
        <f>IFERROR(__xludf.DUMMYFUNCTION("""COMPUTED_VALUE"""),"25030496")</f>
        <v>25030496</v>
      </c>
      <c r="N669" s="2"/>
      <c r="O669" s="2" t="str">
        <f>IFERROR(__xludf.DUMMYFUNCTION("""COMPUTED_VALUE"""),"Poblacion East")</f>
        <v>Poblacion East</v>
      </c>
      <c r="P669" s="2" t="str">
        <f>IFERROR(__xludf.DUMMYFUNCTION("""COMPUTED_VALUE"""),"Science City Of Munoz")</f>
        <v>Science City Of Munoz</v>
      </c>
      <c r="Q669" s="2" t="str">
        <f>IFERROR(__xludf.DUMMYFUNCTION("""COMPUTED_VALUE"""),"Nueva Ecija")</f>
        <v>Nueva Ecija</v>
      </c>
      <c r="R669" s="2">
        <f>IFERROR(__xludf.DUMMYFUNCTION("""COMPUTED_VALUE"""),3.0)</f>
        <v>3</v>
      </c>
      <c r="S669" s="2"/>
      <c r="T669" s="2"/>
    </row>
    <row r="670">
      <c r="A670" s="1">
        <f>IFERROR(__xludf.DUMMYFUNCTION("""COMPUTED_VALUE"""),668.0)</f>
        <v>668</v>
      </c>
      <c r="B670" s="2" t="str">
        <f>IFERROR(__xludf.DUMMYFUNCTION("""COMPUTED_VALUE"""),"RIZAL PRIMARY MULTIPURPOSE COOPERATIVE")</f>
        <v>RIZAL PRIMARY MULTIPURPOSE COOPERATIVE</v>
      </c>
      <c r="C670" s="2" t="str">
        <f>IFERROR(__xludf.DUMMYFUNCTION("""COMPUTED_VALUE"""),"Rizal, Science City of Munoz, NUEVA ECIJA")</f>
        <v>Rizal, Science City of Munoz, NUEVA ECIJA</v>
      </c>
      <c r="D670" s="2" t="str">
        <f>IFERROR(__xludf.DUMMYFUNCTION("""COMPUTED_VALUE"""),"Villamor Baddi")</f>
        <v>Villamor Baddi</v>
      </c>
      <c r="E670" s="2" t="str">
        <f>IFERROR(__xludf.DUMMYFUNCTION("""COMPUTED_VALUE"""),"0927-505-8277")</f>
        <v>0927-505-8277</v>
      </c>
      <c r="F670" s="2" t="str">
        <f>IFERROR(__xludf.DUMMYFUNCTION("""COMPUTED_VALUE"""),"RCEF 25-03-05")</f>
        <v>RCEF 25-03-05</v>
      </c>
      <c r="G670" s="2">
        <f>IFERROR(__xludf.DUMMYFUNCTION("""COMPUTED_VALUE"""),5.0)</f>
        <v>5</v>
      </c>
      <c r="H670" s="2" t="str">
        <f>IFERROR(__xludf.DUMMYFUNCTION("""COMPUTED_VALUE"""),"26485 &amp; 27843")</f>
        <v>26485 &amp; 27843</v>
      </c>
      <c r="I670" s="2" t="str">
        <f>IFERROR(__xludf.DUMMYFUNCTION("""COMPUTED_VALUE"""),"KMC5825 APSFPV0636")</f>
        <v>KMC5825 APSFPV0636</v>
      </c>
      <c r="J670" s="3" t="str">
        <f>IFERROR(__xludf.DUMMYFUNCTION("""COMPUTED_VALUE"""),"STS100428")</f>
        <v>STS100428</v>
      </c>
      <c r="K670" s="2" t="str">
        <f>IFERROR(__xludf.DUMMYFUNCTION("""COMPUTED_VALUE"""),"WR-SERIES 1457PH")</f>
        <v>WR-SERIES 1457PH</v>
      </c>
      <c r="L670" s="3" t="str">
        <f>IFERROR(__xludf.DUMMYFUNCTION("""COMPUTED_VALUE"""),"25100818")</f>
        <v>25100818</v>
      </c>
      <c r="M670" s="3" t="str">
        <f>IFERROR(__xludf.DUMMYFUNCTION("""COMPUTED_VALUE"""),"25101196")</f>
        <v>25101196</v>
      </c>
      <c r="N670" s="2"/>
      <c r="O670" s="2" t="str">
        <f>IFERROR(__xludf.DUMMYFUNCTION("""COMPUTED_VALUE"""),"Rizal")</f>
        <v>Rizal</v>
      </c>
      <c r="P670" s="2" t="str">
        <f>IFERROR(__xludf.DUMMYFUNCTION("""COMPUTED_VALUE"""),"Science City Of Munoz")</f>
        <v>Science City Of Munoz</v>
      </c>
      <c r="Q670" s="2" t="str">
        <f>IFERROR(__xludf.DUMMYFUNCTION("""COMPUTED_VALUE"""),"Nueva Ecija")</f>
        <v>Nueva Ecija</v>
      </c>
      <c r="R670" s="2">
        <f>IFERROR(__xludf.DUMMYFUNCTION("""COMPUTED_VALUE"""),3.0)</f>
        <v>3</v>
      </c>
      <c r="S670" s="2"/>
      <c r="T670" s="2"/>
    </row>
    <row r="671">
      <c r="A671" s="1">
        <f>IFERROR(__xludf.DUMMYFUNCTION("""COMPUTED_VALUE"""),669.0)</f>
        <v>669</v>
      </c>
      <c r="B671" s="2" t="str">
        <f>IFERROR(__xludf.DUMMYFUNCTION("""COMPUTED_VALUE"""),"Barangay Local Government Unit of Communal")</f>
        <v>Barangay Local Government Unit of Communal</v>
      </c>
      <c r="C671" s="2" t="str">
        <f>IFERROR(__xludf.DUMMYFUNCTION("""COMPUTED_VALUE"""),"Communal, Cabanatuan City, NUEVA ECIJA")</f>
        <v>Communal, Cabanatuan City, NUEVA ECIJA</v>
      </c>
      <c r="D671" s="2" t="str">
        <f>IFERROR(__xludf.DUMMYFUNCTION("""COMPUTED_VALUE"""),"Raymond B. Flores")</f>
        <v>Raymond B. Flores</v>
      </c>
      <c r="E671" s="2" t="str">
        <f>IFERROR(__xludf.DUMMYFUNCTION("""COMPUTED_VALUE"""),"0928-716-1294")</f>
        <v>0928-716-1294</v>
      </c>
      <c r="F671" s="2" t="str">
        <f>IFERROR(__xludf.DUMMYFUNCTION("""COMPUTED_VALUE"""),"RCEF 25-03-05")</f>
        <v>RCEF 25-03-05</v>
      </c>
      <c r="G671" s="2">
        <f>IFERROR(__xludf.DUMMYFUNCTION("""COMPUTED_VALUE"""),5.0)</f>
        <v>5</v>
      </c>
      <c r="H671" s="2" t="str">
        <f>IFERROR(__xludf.DUMMYFUNCTION("""COMPUTED_VALUE"""),"26486 &amp; 27733")</f>
        <v>26486 &amp; 27733</v>
      </c>
      <c r="I671" s="2" t="str">
        <f>IFERROR(__xludf.DUMMYFUNCTION("""COMPUTED_VALUE"""),"KMC5825 ATSFPV0649")</f>
        <v>KMC5825 ATSFPV0649</v>
      </c>
      <c r="J671" s="3" t="str">
        <f>IFERROR(__xludf.DUMMYFUNCTION("""COMPUTED_VALUE"""),"STS100409")</f>
        <v>STS100409</v>
      </c>
      <c r="K671" s="2" t="str">
        <f>IFERROR(__xludf.DUMMYFUNCTION("""COMPUTED_VALUE"""),"WR-SERIES 01326PH")</f>
        <v>WR-SERIES 01326PH</v>
      </c>
      <c r="L671" s="3" t="str">
        <f>IFERROR(__xludf.DUMMYFUNCTION("""COMPUTED_VALUE"""),"25100807")</f>
        <v>25100807</v>
      </c>
      <c r="M671" s="3" t="str">
        <f>IFERROR(__xludf.DUMMYFUNCTION("""COMPUTED_VALUE"""),"25101184")</f>
        <v>25101184</v>
      </c>
      <c r="N671" s="2"/>
      <c r="O671" s="2" t="str">
        <f>IFERROR(__xludf.DUMMYFUNCTION("""COMPUTED_VALUE"""),"Communal")</f>
        <v>Communal</v>
      </c>
      <c r="P671" s="2" t="str">
        <f>IFERROR(__xludf.DUMMYFUNCTION("""COMPUTED_VALUE"""),"Cabanatuan City")</f>
        <v>Cabanatuan City</v>
      </c>
      <c r="Q671" s="2" t="str">
        <f>IFERROR(__xludf.DUMMYFUNCTION("""COMPUTED_VALUE"""),"Nueva Ecija")</f>
        <v>Nueva Ecija</v>
      </c>
      <c r="R671" s="2">
        <f>IFERROR(__xludf.DUMMYFUNCTION("""COMPUTED_VALUE"""),3.0)</f>
        <v>3</v>
      </c>
      <c r="S671" s="2"/>
      <c r="T671" s="2"/>
    </row>
    <row r="672">
      <c r="A672" s="1">
        <f>IFERROR(__xludf.DUMMYFUNCTION("""COMPUTED_VALUE"""),670.0)</f>
        <v>670</v>
      </c>
      <c r="B672" s="2" t="str">
        <f>IFERROR(__xludf.DUMMYFUNCTION("""COMPUTED_VALUE"""),"KAPATIRAN FARMERS ASSOCIATION")</f>
        <v>KAPATIRAN FARMERS ASSOCIATION</v>
      </c>
      <c r="C672" s="2" t="str">
        <f>IFERROR(__xludf.DUMMYFUNCTION("""COMPUTED_VALUE"""),"Pangatian, Cabanatuan City, NUEVA ECIJA")</f>
        <v>Pangatian, Cabanatuan City, NUEVA ECIJA</v>
      </c>
      <c r="D672" s="2" t="str">
        <f>IFERROR(__xludf.DUMMYFUNCTION("""COMPUTED_VALUE"""),"Renato Alcantara")</f>
        <v>Renato Alcantara</v>
      </c>
      <c r="E672" s="2" t="str">
        <f>IFERROR(__xludf.DUMMYFUNCTION("""COMPUTED_VALUE"""),"0950-299-0291")</f>
        <v>0950-299-0291</v>
      </c>
      <c r="F672" s="2" t="str">
        <f>IFERROR(__xludf.DUMMYFUNCTION("""COMPUTED_VALUE"""),"RCEF 25-03-05")</f>
        <v>RCEF 25-03-05</v>
      </c>
      <c r="G672" s="2">
        <f>IFERROR(__xludf.DUMMYFUNCTION("""COMPUTED_VALUE"""),5.0)</f>
        <v>5</v>
      </c>
      <c r="H672" s="2" t="str">
        <f>IFERROR(__xludf.DUMMYFUNCTION("""COMPUTED_VALUE"""),"26487 &amp; 27734")</f>
        <v>26487 &amp; 27734</v>
      </c>
      <c r="I672" s="2" t="str">
        <f>IFERROR(__xludf.DUMMYFUNCTION("""COMPUTED_VALUE"""),"KMC5825 ALSFPV0256")</f>
        <v>KMC5825 ALSFPV0256</v>
      </c>
      <c r="J672" s="3" t="str">
        <f>IFERROR(__xludf.DUMMYFUNCTION("""COMPUTED_VALUE"""),"STS100254")</f>
        <v>STS100254</v>
      </c>
      <c r="K672" s="2" t="str">
        <f>IFERROR(__xludf.DUMMYFUNCTION("""COMPUTED_VALUE"""),"WR-SERIES 01327PH")</f>
        <v>WR-SERIES 01327PH</v>
      </c>
      <c r="L672" s="3" t="str">
        <f>IFERROR(__xludf.DUMMYFUNCTION("""COMPUTED_VALUE"""),"25100832")</f>
        <v>25100832</v>
      </c>
      <c r="M672" s="3" t="str">
        <f>IFERROR(__xludf.DUMMYFUNCTION("""COMPUTED_VALUE"""),"25101176")</f>
        <v>25101176</v>
      </c>
      <c r="N672" s="2"/>
      <c r="O672" s="2" t="str">
        <f>IFERROR(__xludf.DUMMYFUNCTION("""COMPUTED_VALUE"""),"Pangatian")</f>
        <v>Pangatian</v>
      </c>
      <c r="P672" s="2" t="str">
        <f>IFERROR(__xludf.DUMMYFUNCTION("""COMPUTED_VALUE"""),"Cabanatuan City")</f>
        <v>Cabanatuan City</v>
      </c>
      <c r="Q672" s="2" t="str">
        <f>IFERROR(__xludf.DUMMYFUNCTION("""COMPUTED_VALUE"""),"Nueva Ecija")</f>
        <v>Nueva Ecija</v>
      </c>
      <c r="R672" s="2">
        <f>IFERROR(__xludf.DUMMYFUNCTION("""COMPUTED_VALUE"""),3.0)</f>
        <v>3</v>
      </c>
      <c r="S672" s="2"/>
      <c r="T672" s="2"/>
    </row>
    <row r="673">
      <c r="A673" s="1">
        <f>IFERROR(__xludf.DUMMYFUNCTION("""COMPUTED_VALUE"""),671.0)</f>
        <v>671</v>
      </c>
      <c r="B673" s="2" t="str">
        <f>IFERROR(__xludf.DUMMYFUNCTION("""COMPUTED_VALUE"""),"Barangay Local Government Unit of Camachile")</f>
        <v>Barangay Local Government Unit of Camachile</v>
      </c>
      <c r="C673" s="2" t="str">
        <f>IFERROR(__xludf.DUMMYFUNCTION("""COMPUTED_VALUE"""),"Camachile, Gabaldon, NUEVA ECIJA")</f>
        <v>Camachile, Gabaldon, NUEVA ECIJA</v>
      </c>
      <c r="D673" s="2" t="str">
        <f>IFERROR(__xludf.DUMMYFUNCTION("""COMPUTED_VALUE"""),"ARMANDY G. COLORADO")</f>
        <v>ARMANDY G. COLORADO</v>
      </c>
      <c r="E673" s="2" t="str">
        <f>IFERROR(__xludf.DUMMYFUNCTION("""COMPUTED_VALUE"""),"0936-441-5176")</f>
        <v>0936-441-5176</v>
      </c>
      <c r="F673" s="2" t="str">
        <f>IFERROR(__xludf.DUMMYFUNCTION("""COMPUTED_VALUE"""),"RCEF 25-03-05")</f>
        <v>RCEF 25-03-05</v>
      </c>
      <c r="G673" s="2">
        <f>IFERROR(__xludf.DUMMYFUNCTION("""COMPUTED_VALUE"""),5.0)</f>
        <v>5</v>
      </c>
      <c r="H673" s="2" t="str">
        <f>IFERROR(__xludf.DUMMYFUNCTION("""COMPUTED_VALUE"""),"26488 &amp; 27844")</f>
        <v>26488 &amp; 27844</v>
      </c>
      <c r="I673" s="2" t="str">
        <f>IFERROR(__xludf.DUMMYFUNCTION("""COMPUTED_VALUE"""),"KMC5825 ACSFPV0102")</f>
        <v>KMC5825 ACSFPV0102</v>
      </c>
      <c r="J673" s="3" t="str">
        <f>IFERROR(__xludf.DUMMYFUNCTION("""COMPUTED_VALUE"""),"STS100130")</f>
        <v>STS100130</v>
      </c>
      <c r="K673" s="2" t="str">
        <f>IFERROR(__xludf.DUMMYFUNCTION("""COMPUTED_VALUE"""),"WR-SERIES 1458PH")</f>
        <v>WR-SERIES 1458PH</v>
      </c>
      <c r="L673" s="3" t="str">
        <f>IFERROR(__xludf.DUMMYFUNCTION("""COMPUTED_VALUE"""),"25100815")</f>
        <v>25100815</v>
      </c>
      <c r="M673" s="3" t="str">
        <f>IFERROR(__xludf.DUMMYFUNCTION("""COMPUTED_VALUE"""),"25101186")</f>
        <v>25101186</v>
      </c>
      <c r="N673" s="2"/>
      <c r="O673" s="2" t="str">
        <f>IFERROR(__xludf.DUMMYFUNCTION("""COMPUTED_VALUE"""),"Camachile")</f>
        <v>Camachile</v>
      </c>
      <c r="P673" s="2" t="str">
        <f>IFERROR(__xludf.DUMMYFUNCTION("""COMPUTED_VALUE"""),"Gabaldon")</f>
        <v>Gabaldon</v>
      </c>
      <c r="Q673" s="2" t="str">
        <f>IFERROR(__xludf.DUMMYFUNCTION("""COMPUTED_VALUE"""),"Nueva Ecija")</f>
        <v>Nueva Ecija</v>
      </c>
      <c r="R673" s="2">
        <f>IFERROR(__xludf.DUMMYFUNCTION("""COMPUTED_VALUE"""),3.0)</f>
        <v>3</v>
      </c>
      <c r="S673" s="2"/>
      <c r="T673" s="2"/>
    </row>
    <row r="674">
      <c r="A674" s="1">
        <f>IFERROR(__xludf.DUMMYFUNCTION("""COMPUTED_VALUE"""),672.0)</f>
        <v>672</v>
      </c>
      <c r="B674" s="2" t="str">
        <f>IFERROR(__xludf.DUMMYFUNCTION("""COMPUTED_VALUE"""),"Rice, Vegetable, Corn &amp; Onion Farmers Association")</f>
        <v>Rice, Vegetable, Corn &amp; Onion Farmers Association</v>
      </c>
      <c r="C674" s="2" t="str">
        <f>IFERROR(__xludf.DUMMYFUNCTION("""COMPUTED_VALUE"""),"Bitulok (North Pob.), Gabaldon, NUEVA ECIJA")</f>
        <v>Bitulok (North Pob.), Gabaldon, NUEVA ECIJA</v>
      </c>
      <c r="D674" s="2" t="str">
        <f>IFERROR(__xludf.DUMMYFUNCTION("""COMPUTED_VALUE"""),"Rogelio V. Figuracion")</f>
        <v>Rogelio V. Figuracion</v>
      </c>
      <c r="E674" s="2" t="str">
        <f>IFERROR(__xludf.DUMMYFUNCTION("""COMPUTED_VALUE"""),"0955-037-5844")</f>
        <v>0955-037-5844</v>
      </c>
      <c r="F674" s="2" t="str">
        <f>IFERROR(__xludf.DUMMYFUNCTION("""COMPUTED_VALUE"""),"RCEF 25-03-05")</f>
        <v>RCEF 25-03-05</v>
      </c>
      <c r="G674" s="2">
        <f>IFERROR(__xludf.DUMMYFUNCTION("""COMPUTED_VALUE"""),5.0)</f>
        <v>5</v>
      </c>
      <c r="H674" s="2" t="str">
        <f>IFERROR(__xludf.DUMMYFUNCTION("""COMPUTED_VALUE"""),"26489 &amp; 27735")</f>
        <v>26489 &amp; 27735</v>
      </c>
      <c r="I674" s="2" t="str">
        <f>IFERROR(__xludf.DUMMYFUNCTION("""COMPUTED_VALUE"""),"KMC5825 AASFPV0594")</f>
        <v>KMC5825 AASFPV0594</v>
      </c>
      <c r="J674" s="3" t="str">
        <f>IFERROR(__xludf.DUMMYFUNCTION("""COMPUTED_VALUE"""),"STS100642")</f>
        <v>STS100642</v>
      </c>
      <c r="K674" s="2" t="str">
        <f>IFERROR(__xludf.DUMMYFUNCTION("""COMPUTED_VALUE"""),"WR-SERIES 01325PH")</f>
        <v>WR-SERIES 01325PH</v>
      </c>
      <c r="L674" s="3" t="str">
        <f>IFERROR(__xludf.DUMMYFUNCTION("""COMPUTED_VALUE"""),"25100825")</f>
        <v>25100825</v>
      </c>
      <c r="M674" s="3" t="str">
        <f>IFERROR(__xludf.DUMMYFUNCTION("""COMPUTED_VALUE"""),"25101229")</f>
        <v>25101229</v>
      </c>
      <c r="N674" s="2"/>
      <c r="O674" s="2" t="str">
        <f>IFERROR(__xludf.DUMMYFUNCTION("""COMPUTED_VALUE"""),"Bitulok (North Pob.)")</f>
        <v>Bitulok (North Pob.)</v>
      </c>
      <c r="P674" s="2" t="str">
        <f>IFERROR(__xludf.DUMMYFUNCTION("""COMPUTED_VALUE"""),"Gabaldon")</f>
        <v>Gabaldon</v>
      </c>
      <c r="Q674" s="2" t="str">
        <f>IFERROR(__xludf.DUMMYFUNCTION("""COMPUTED_VALUE"""),"Nueva Ecija")</f>
        <v>Nueva Ecija</v>
      </c>
      <c r="R674" s="2">
        <f>IFERROR(__xludf.DUMMYFUNCTION("""COMPUTED_VALUE"""),3.0)</f>
        <v>3</v>
      </c>
      <c r="S674" s="2"/>
      <c r="T674" s="2"/>
    </row>
    <row r="675">
      <c r="A675" s="1">
        <f>IFERROR(__xludf.DUMMYFUNCTION("""COMPUTED_VALUE"""),673.0)</f>
        <v>673</v>
      </c>
      <c r="B675" s="2" t="str">
        <f>IFERROR(__xludf.DUMMYFUNCTION("""COMPUTED_VALUE"""),"TILIPATIO-GULOD IRRIGATORS ASSOCIATION INC.,")</f>
        <v>TILIPATIO-GULOD IRRIGATORS ASSOCIATION INC.,</v>
      </c>
      <c r="C675" s="2" t="str">
        <f>IFERROR(__xludf.DUMMYFUNCTION("""COMPUTED_VALUE"""),"Burol, General Mamerto Natividad, NUEVA ECIJA")</f>
        <v>Burol, General Mamerto Natividad, NUEVA ECIJA</v>
      </c>
      <c r="D675" s="2" t="str">
        <f>IFERROR(__xludf.DUMMYFUNCTION("""COMPUTED_VALUE"""),"Nicanor P. Santos")</f>
        <v>Nicanor P. Santos</v>
      </c>
      <c r="E675" s="2" t="str">
        <f>IFERROR(__xludf.DUMMYFUNCTION("""COMPUTED_VALUE"""),"0905-594-8597")</f>
        <v>0905-594-8597</v>
      </c>
      <c r="F675" s="2" t="str">
        <f>IFERROR(__xludf.DUMMYFUNCTION("""COMPUTED_VALUE"""),"RCEF 25-03-05")</f>
        <v>RCEF 25-03-05</v>
      </c>
      <c r="G675" s="2">
        <f>IFERROR(__xludf.DUMMYFUNCTION("""COMPUTED_VALUE"""),5.0)</f>
        <v>5</v>
      </c>
      <c r="H675" s="2" t="str">
        <f>IFERROR(__xludf.DUMMYFUNCTION("""COMPUTED_VALUE"""),"26490 &amp; 27845")</f>
        <v>26490 &amp; 27845</v>
      </c>
      <c r="I675" s="2" t="str">
        <f>IFERROR(__xludf.DUMMYFUNCTION("""COMPUTED_VALUE"""),"KMC5825 AASFPV0644")</f>
        <v>KMC5825 AASFPV0644</v>
      </c>
      <c r="J675" s="3" t="str">
        <f>IFERROR(__xludf.DUMMYFUNCTION("""COMPUTED_VALUE"""),"STS100325")</f>
        <v>STS100325</v>
      </c>
      <c r="K675" s="2" t="str">
        <f>IFERROR(__xludf.DUMMYFUNCTION("""COMPUTED_VALUE"""),"WR-SERIES 1459PH")</f>
        <v>WR-SERIES 1459PH</v>
      </c>
      <c r="L675" s="3" t="str">
        <f>IFERROR(__xludf.DUMMYFUNCTION("""COMPUTED_VALUE"""),"25100819")</f>
        <v>25100819</v>
      </c>
      <c r="M675" s="3" t="str">
        <f>IFERROR(__xludf.DUMMYFUNCTION("""COMPUTED_VALUE"""),"25101198")</f>
        <v>25101198</v>
      </c>
      <c r="N675" s="2"/>
      <c r="O675" s="2" t="str">
        <f>IFERROR(__xludf.DUMMYFUNCTION("""COMPUTED_VALUE"""),"Burol")</f>
        <v>Burol</v>
      </c>
      <c r="P675" s="2" t="str">
        <f>IFERROR(__xludf.DUMMYFUNCTION("""COMPUTED_VALUE"""),"General Mamerto Natividad")</f>
        <v>General Mamerto Natividad</v>
      </c>
      <c r="Q675" s="2" t="str">
        <f>IFERROR(__xludf.DUMMYFUNCTION("""COMPUTED_VALUE"""),"Nueva Ecija")</f>
        <v>Nueva Ecija</v>
      </c>
      <c r="R675" s="2">
        <f>IFERROR(__xludf.DUMMYFUNCTION("""COMPUTED_VALUE"""),3.0)</f>
        <v>3</v>
      </c>
      <c r="S675" s="2"/>
      <c r="T675" s="2"/>
    </row>
    <row r="676">
      <c r="A676" s="1">
        <f>IFERROR(__xludf.DUMMYFUNCTION("""COMPUTED_VALUE"""),674.0)</f>
        <v>674</v>
      </c>
      <c r="B676" s="2" t="str">
        <f>IFERROR(__xludf.DUMMYFUNCTION("""COMPUTED_VALUE"""),"Golden Valley Agriculture Cooperative")</f>
        <v>Golden Valley Agriculture Cooperative</v>
      </c>
      <c r="C676" s="2" t="str">
        <f>IFERROR(__xludf.DUMMYFUNCTION("""COMPUTED_VALUE"""),"Barangay III (Pob.), Laur, NUEVA ECIJA")</f>
        <v>Barangay III (Pob.), Laur, NUEVA ECIJA</v>
      </c>
      <c r="D676" s="2" t="str">
        <f>IFERROR(__xludf.DUMMYFUNCTION("""COMPUTED_VALUE"""),"Frederick R. Narne")</f>
        <v>Frederick R. Narne</v>
      </c>
      <c r="E676" s="2" t="str">
        <f>IFERROR(__xludf.DUMMYFUNCTION("""COMPUTED_VALUE"""),"0928-072-4858")</f>
        <v>0928-072-4858</v>
      </c>
      <c r="F676" s="2" t="str">
        <f>IFERROR(__xludf.DUMMYFUNCTION("""COMPUTED_VALUE"""),"RCEF 25-03-05")</f>
        <v>RCEF 25-03-05</v>
      </c>
      <c r="G676" s="2">
        <f>IFERROR(__xludf.DUMMYFUNCTION("""COMPUTED_VALUE"""),5.0)</f>
        <v>5</v>
      </c>
      <c r="H676" s="2" t="str">
        <f>IFERROR(__xludf.DUMMYFUNCTION("""COMPUTED_VALUE"""),"26491 &amp; 27846")</f>
        <v>26491 &amp; 27846</v>
      </c>
      <c r="I676" s="2" t="str">
        <f>IFERROR(__xludf.DUMMYFUNCTION("""COMPUTED_VALUE"""),"KMC5825 AESFPV0227")</f>
        <v>KMC5825 AESFPV0227</v>
      </c>
      <c r="J676" s="3" t="str">
        <f>IFERROR(__xludf.DUMMYFUNCTION("""COMPUTED_VALUE"""),"STS100212")</f>
        <v>STS100212</v>
      </c>
      <c r="K676" s="2" t="str">
        <f>IFERROR(__xludf.DUMMYFUNCTION("""COMPUTED_VALUE"""),"WR-SERIES 1460PH")</f>
        <v>WR-SERIES 1460PH</v>
      </c>
      <c r="L676" s="3" t="str">
        <f>IFERROR(__xludf.DUMMYFUNCTION("""COMPUTED_VALUE"""),"25100828")</f>
        <v>25100828</v>
      </c>
      <c r="M676" s="3" t="str">
        <f>IFERROR(__xludf.DUMMYFUNCTION("""COMPUTED_VALUE"""),"25101197")</f>
        <v>25101197</v>
      </c>
      <c r="N676" s="2"/>
      <c r="O676" s="2" t="str">
        <f>IFERROR(__xludf.DUMMYFUNCTION("""COMPUTED_VALUE"""),"Barangay Iii (Pob.)")</f>
        <v>Barangay Iii (Pob.)</v>
      </c>
      <c r="P676" s="2" t="str">
        <f>IFERROR(__xludf.DUMMYFUNCTION("""COMPUTED_VALUE"""),"Laur")</f>
        <v>Laur</v>
      </c>
      <c r="Q676" s="2" t="str">
        <f>IFERROR(__xludf.DUMMYFUNCTION("""COMPUTED_VALUE"""),"Nueva Ecija")</f>
        <v>Nueva Ecija</v>
      </c>
      <c r="R676" s="2">
        <f>IFERROR(__xludf.DUMMYFUNCTION("""COMPUTED_VALUE"""),3.0)</f>
        <v>3</v>
      </c>
      <c r="S676" s="2"/>
      <c r="T676" s="2"/>
    </row>
    <row r="677">
      <c r="A677" s="1">
        <f>IFERROR(__xludf.DUMMYFUNCTION("""COMPUTED_VALUE"""),675.0)</f>
        <v>675</v>
      </c>
      <c r="B677" s="2" t="str">
        <f>IFERROR(__xludf.DUMMYFUNCTION("""COMPUTED_VALUE"""),"PINAGBUKLOD NG SAMAHAN NG SAPANG BUO")</f>
        <v>PINAGBUKLOD NG SAMAHAN NG SAPANG BUO</v>
      </c>
      <c r="C677" s="2" t="str">
        <f>IFERROR(__xludf.DUMMYFUNCTION("""COMPUTED_VALUE"""),"Concepcion, General Tinio, NUEVA ECIJA")</f>
        <v>Concepcion, General Tinio, NUEVA ECIJA</v>
      </c>
      <c r="D677" s="2" t="str">
        <f>IFERROR(__xludf.DUMMYFUNCTION("""COMPUTED_VALUE"""),"Pantaleon Factor")</f>
        <v>Pantaleon Factor</v>
      </c>
      <c r="E677" s="2" t="str">
        <f>IFERROR(__xludf.DUMMYFUNCTION("""COMPUTED_VALUE"""),"0908-411-4672")</f>
        <v>0908-411-4672</v>
      </c>
      <c r="F677" s="2" t="str">
        <f>IFERROR(__xludf.DUMMYFUNCTION("""COMPUTED_VALUE"""),"RCEF 25-03-05")</f>
        <v>RCEF 25-03-05</v>
      </c>
      <c r="G677" s="2">
        <f>IFERROR(__xludf.DUMMYFUNCTION("""COMPUTED_VALUE"""),5.0)</f>
        <v>5</v>
      </c>
      <c r="H677" s="2" t="str">
        <f>IFERROR(__xludf.DUMMYFUNCTION("""COMPUTED_VALUE"""),"26492 &amp; 27847")</f>
        <v>26492 &amp; 27847</v>
      </c>
      <c r="I677" s="2" t="str">
        <f>IFERROR(__xludf.DUMMYFUNCTION("""COMPUTED_VALUE"""),"KMC5825 ALSFPV0502")</f>
        <v>KMC5825 ALSFPV0502</v>
      </c>
      <c r="J677" s="3" t="str">
        <f>IFERROR(__xludf.DUMMYFUNCTION("""COMPUTED_VALUE"""),"STS100565")</f>
        <v>STS100565</v>
      </c>
      <c r="K677" s="2" t="str">
        <f>IFERROR(__xludf.DUMMYFUNCTION("""COMPUTED_VALUE"""),"WR-SERIES 1461PH")</f>
        <v>WR-SERIES 1461PH</v>
      </c>
      <c r="L677" s="3" t="str">
        <f>IFERROR(__xludf.DUMMYFUNCTION("""COMPUTED_VALUE"""),"2510795")</f>
        <v>2510795</v>
      </c>
      <c r="M677" s="3" t="str">
        <f>IFERROR(__xludf.DUMMYFUNCTION("""COMPUTED_VALUE"""),"25101180")</f>
        <v>25101180</v>
      </c>
      <c r="N677" s="2"/>
      <c r="O677" s="2" t="str">
        <f>IFERROR(__xludf.DUMMYFUNCTION("""COMPUTED_VALUE"""),"Concepcion")</f>
        <v>Concepcion</v>
      </c>
      <c r="P677" s="2" t="str">
        <f>IFERROR(__xludf.DUMMYFUNCTION("""COMPUTED_VALUE"""),"General Tinio")</f>
        <v>General Tinio</v>
      </c>
      <c r="Q677" s="2" t="str">
        <f>IFERROR(__xludf.DUMMYFUNCTION("""COMPUTED_VALUE"""),"Nueva Ecija")</f>
        <v>Nueva Ecija</v>
      </c>
      <c r="R677" s="2">
        <f>IFERROR(__xludf.DUMMYFUNCTION("""COMPUTED_VALUE"""),3.0)</f>
        <v>3</v>
      </c>
      <c r="S677" s="2"/>
      <c r="T677" s="2"/>
    </row>
    <row r="678">
      <c r="A678" s="1">
        <f>IFERROR(__xludf.DUMMYFUNCTION("""COMPUTED_VALUE"""),676.0)</f>
        <v>676</v>
      </c>
      <c r="B678" s="2" t="str">
        <f>IFERROR(__xludf.DUMMYFUNCTION("""COMPUTED_VALUE"""),"PEÑARANDA ORGANIC AGRICULTURE FARMERS ASSOCIATION")</f>
        <v>PEÑARANDA ORGANIC AGRICULTURE FARMERS ASSOCIATION</v>
      </c>
      <c r="C678" s="2" t="str">
        <f>IFERROR(__xludf.DUMMYFUNCTION("""COMPUTED_VALUE"""),"San Josef, Penaranda, NUEVA ECIJA")</f>
        <v>San Josef, Penaranda, NUEVA ECIJA</v>
      </c>
      <c r="D678" s="2" t="str">
        <f>IFERROR(__xludf.DUMMYFUNCTION("""COMPUTED_VALUE"""),"Isidro L. Ison")</f>
        <v>Isidro L. Ison</v>
      </c>
      <c r="E678" s="2" t="str">
        <f>IFERROR(__xludf.DUMMYFUNCTION("""COMPUTED_VALUE"""),"0969-261-7926")</f>
        <v>0969-261-7926</v>
      </c>
      <c r="F678" s="2" t="str">
        <f>IFERROR(__xludf.DUMMYFUNCTION("""COMPUTED_VALUE"""),"RCEF 25-03-05")</f>
        <v>RCEF 25-03-05</v>
      </c>
      <c r="G678" s="2">
        <f>IFERROR(__xludf.DUMMYFUNCTION("""COMPUTED_VALUE"""),5.0)</f>
        <v>5</v>
      </c>
      <c r="H678" s="2" t="str">
        <f>IFERROR(__xludf.DUMMYFUNCTION("""COMPUTED_VALUE"""),"26493 &amp; 27848")</f>
        <v>26493 &amp; 27848</v>
      </c>
      <c r="I678" s="2" t="str">
        <f>IFERROR(__xludf.DUMMYFUNCTION("""COMPUTED_VALUE"""),"KMC5825 AKSFPV0640")</f>
        <v>KMC5825 AKSFPV0640</v>
      </c>
      <c r="J678" s="3" t="str">
        <f>IFERROR(__xludf.DUMMYFUNCTION("""COMPUTED_VALUE"""),"STS100324")</f>
        <v>STS100324</v>
      </c>
      <c r="K678" s="2" t="str">
        <f>IFERROR(__xludf.DUMMYFUNCTION("""COMPUTED_VALUE"""),"WR-SERIES 1462PH")</f>
        <v>WR-SERIES 1462PH</v>
      </c>
      <c r="L678" s="3" t="str">
        <f>IFERROR(__xludf.DUMMYFUNCTION("""COMPUTED_VALUE"""),"25100805")</f>
        <v>25100805</v>
      </c>
      <c r="M678" s="3" t="str">
        <f>IFERROR(__xludf.DUMMYFUNCTION("""COMPUTED_VALUE"""),"25101168")</f>
        <v>25101168</v>
      </c>
      <c r="N678" s="2"/>
      <c r="O678" s="2" t="str">
        <f>IFERROR(__xludf.DUMMYFUNCTION("""COMPUTED_VALUE"""),"San Josef")</f>
        <v>San Josef</v>
      </c>
      <c r="P678" s="2" t="str">
        <f>IFERROR(__xludf.DUMMYFUNCTION("""COMPUTED_VALUE"""),"Penaranda")</f>
        <v>Penaranda</v>
      </c>
      <c r="Q678" s="2" t="str">
        <f>IFERROR(__xludf.DUMMYFUNCTION("""COMPUTED_VALUE"""),"Nueva Ecija")</f>
        <v>Nueva Ecija</v>
      </c>
      <c r="R678" s="2">
        <f>IFERROR(__xludf.DUMMYFUNCTION("""COMPUTED_VALUE"""),3.0)</f>
        <v>3</v>
      </c>
      <c r="S678" s="2"/>
      <c r="T678" s="2"/>
    </row>
    <row r="679">
      <c r="A679" s="1">
        <f>IFERROR(__xludf.DUMMYFUNCTION("""COMPUTED_VALUE"""),677.0)</f>
        <v>677</v>
      </c>
      <c r="B679" s="2" t="str">
        <f>IFERROR(__xludf.DUMMYFUNCTION("""COMPUTED_VALUE"""),"UNITED LIVESTOCK WORKERS AND AGRICULTURAL PRODUCERS' ASSOCIATION OF PEÑARANDA (ULWAPAP)")</f>
        <v>UNITED LIVESTOCK WORKERS AND AGRICULTURAL PRODUCERS' ASSOCIATION OF PEÑARANDA (ULWAPAP)</v>
      </c>
      <c r="C679" s="2" t="str">
        <f>IFERROR(__xludf.DUMMYFUNCTION("""COMPUTED_VALUE"""),"Poblacion IV, Penaranda, NUEVA ECIJA")</f>
        <v>Poblacion IV, Penaranda, NUEVA ECIJA</v>
      </c>
      <c r="D679" s="2" t="str">
        <f>IFERROR(__xludf.DUMMYFUNCTION("""COMPUTED_VALUE"""),"German L. Del Rosario")</f>
        <v>German L. Del Rosario</v>
      </c>
      <c r="E679" s="2" t="str">
        <f>IFERROR(__xludf.DUMMYFUNCTION("""COMPUTED_VALUE"""),"0928-966-4530/0969-269-9364")</f>
        <v>0928-966-4530/0969-269-9364</v>
      </c>
      <c r="F679" s="2" t="str">
        <f>IFERROR(__xludf.DUMMYFUNCTION("""COMPUTED_VALUE"""),"RCEF 25-03-05")</f>
        <v>RCEF 25-03-05</v>
      </c>
      <c r="G679" s="2">
        <f>IFERROR(__xludf.DUMMYFUNCTION("""COMPUTED_VALUE"""),5.0)</f>
        <v>5</v>
      </c>
      <c r="H679" s="2" t="str">
        <f>IFERROR(__xludf.DUMMYFUNCTION("""COMPUTED_VALUE"""),"26494 &amp; 27849")</f>
        <v>26494 &amp; 27849</v>
      </c>
      <c r="I679" s="2" t="str">
        <f>IFERROR(__xludf.DUMMYFUNCTION("""COMPUTED_VALUE"""),"KMC5825 ATSFPV0232")</f>
        <v>KMC5825 ATSFPV0232</v>
      </c>
      <c r="J679" s="3" t="str">
        <f>IFERROR(__xludf.DUMMYFUNCTION("""COMPUTED_VALUE"""),"STS100174")</f>
        <v>STS100174</v>
      </c>
      <c r="K679" s="2" t="str">
        <f>IFERROR(__xludf.DUMMYFUNCTION("""COMPUTED_VALUE"""),"WR-SERIES 1463PH")</f>
        <v>WR-SERIES 1463PH</v>
      </c>
      <c r="L679" s="3" t="str">
        <f>IFERROR(__xludf.DUMMYFUNCTION("""COMPUTED_VALUE"""),"2510836")</f>
        <v>2510836</v>
      </c>
      <c r="M679" s="3" t="str">
        <f>IFERROR(__xludf.DUMMYFUNCTION("""COMPUTED_VALUE"""),"25101202")</f>
        <v>25101202</v>
      </c>
      <c r="N679" s="2"/>
      <c r="O679" s="2" t="str">
        <f>IFERROR(__xludf.DUMMYFUNCTION("""COMPUTED_VALUE"""),"Poblacion Iv")</f>
        <v>Poblacion Iv</v>
      </c>
      <c r="P679" s="2" t="str">
        <f>IFERROR(__xludf.DUMMYFUNCTION("""COMPUTED_VALUE"""),"Penaranda")</f>
        <v>Penaranda</v>
      </c>
      <c r="Q679" s="2" t="str">
        <f>IFERROR(__xludf.DUMMYFUNCTION("""COMPUTED_VALUE"""),"Nueva Ecija")</f>
        <v>Nueva Ecija</v>
      </c>
      <c r="R679" s="2">
        <f>IFERROR(__xludf.DUMMYFUNCTION("""COMPUTED_VALUE"""),3.0)</f>
        <v>3</v>
      </c>
      <c r="S679" s="2"/>
      <c r="T679" s="2"/>
    </row>
    <row r="680">
      <c r="A680" s="1">
        <f>IFERROR(__xludf.DUMMYFUNCTION("""COMPUTED_VALUE"""),678.0)</f>
        <v>678</v>
      </c>
      <c r="B680" s="2" t="str">
        <f>IFERROR(__xludf.DUMMYFUNCTION("""COMPUTED_VALUE"""),"BUCANAN FARMER'S ASSOCIATION")</f>
        <v>BUCANAN FARMER'S ASSOCIATION</v>
      </c>
      <c r="C680" s="2" t="str">
        <f>IFERROR(__xludf.DUMMYFUNCTION("""COMPUTED_VALUE"""),"Bucanan, Magalang, PAMPANGA")</f>
        <v>Bucanan, Magalang, PAMPANGA</v>
      </c>
      <c r="D680" s="2" t="str">
        <f>IFERROR(__xludf.DUMMYFUNCTION("""COMPUTED_VALUE"""),"ARNEL G. VELASCO")</f>
        <v>ARNEL G. VELASCO</v>
      </c>
      <c r="E680" s="2" t="str">
        <f>IFERROR(__xludf.DUMMYFUNCTION("""COMPUTED_VALUE"""),"0906-607-2767")</f>
        <v>0906-607-2767</v>
      </c>
      <c r="F680" s="2" t="str">
        <f>IFERROR(__xludf.DUMMYFUNCTION("""COMPUTED_VALUE"""),"RCEF 25-03-05")</f>
        <v>RCEF 25-03-05</v>
      </c>
      <c r="G680" s="2">
        <f>IFERROR(__xludf.DUMMYFUNCTION("""COMPUTED_VALUE"""),5.0)</f>
        <v>5</v>
      </c>
      <c r="H680" s="2" t="str">
        <f>IFERROR(__xludf.DUMMYFUNCTION("""COMPUTED_VALUE"""),"26495 &amp; 27676")</f>
        <v>26495 &amp; 27676</v>
      </c>
      <c r="I680" s="2" t="str">
        <f>IFERROR(__xludf.DUMMYFUNCTION("""COMPUTED_VALUE"""),"KMC5825 AESFPV0177")</f>
        <v>KMC5825 AESFPV0177</v>
      </c>
      <c r="J680" s="3" t="str">
        <f>IFERROR(__xludf.DUMMYFUNCTION("""COMPUTED_VALUE"""),"STS100188")</f>
        <v>STS100188</v>
      </c>
      <c r="K680" s="2" t="str">
        <f>IFERROR(__xludf.DUMMYFUNCTION("""COMPUTED_VALUE"""),"R-SERIES 143PH")</f>
        <v>R-SERIES 143PH</v>
      </c>
      <c r="L680" s="3" t="str">
        <f>IFERROR(__xludf.DUMMYFUNCTION("""COMPUTED_VALUE"""),"25080344")</f>
        <v>25080344</v>
      </c>
      <c r="M680" s="3" t="str">
        <f>IFERROR(__xludf.DUMMYFUNCTION("""COMPUTED_VALUE"""),"25090994")</f>
        <v>25090994</v>
      </c>
      <c r="N680" s="2"/>
      <c r="O680" s="2" t="str">
        <f>IFERROR(__xludf.DUMMYFUNCTION("""COMPUTED_VALUE"""),"Bucanan")</f>
        <v>Bucanan</v>
      </c>
      <c r="P680" s="2" t="str">
        <f>IFERROR(__xludf.DUMMYFUNCTION("""COMPUTED_VALUE"""),"Magalang")</f>
        <v>Magalang</v>
      </c>
      <c r="Q680" s="2" t="str">
        <f>IFERROR(__xludf.DUMMYFUNCTION("""COMPUTED_VALUE"""),"Pampanga")</f>
        <v>Pampanga</v>
      </c>
      <c r="R680" s="2">
        <f>IFERROR(__xludf.DUMMYFUNCTION("""COMPUTED_VALUE"""),3.0)</f>
        <v>3</v>
      </c>
      <c r="S680" s="2"/>
      <c r="T680" s="2"/>
    </row>
    <row r="681">
      <c r="A681" s="1">
        <f>IFERROR(__xludf.DUMMYFUNCTION("""COMPUTED_VALUE"""),679.0)</f>
        <v>679</v>
      </c>
      <c r="B681" s="2" t="str">
        <f>IFERROR(__xludf.DUMMYFUNCTION("""COMPUTED_VALUE"""),"Cruzian Multipurpose Cooperative")</f>
        <v>Cruzian Multipurpose Cooperative</v>
      </c>
      <c r="C681" s="2" t="str">
        <f>IFERROR(__xludf.DUMMYFUNCTION("""COMPUTED_VALUE"""),"Santa Cruz (Pob.), Magalang, PAMPANGA")</f>
        <v>Santa Cruz (Pob.), Magalang, PAMPANGA</v>
      </c>
      <c r="D681" s="2" t="str">
        <f>IFERROR(__xludf.DUMMYFUNCTION("""COMPUTED_VALUE"""),"VICTORIO C. LACSON")</f>
        <v>VICTORIO C. LACSON</v>
      </c>
      <c r="E681" s="2" t="str">
        <f>IFERROR(__xludf.DUMMYFUNCTION("""COMPUTED_VALUE"""),"0917-895-1106")</f>
        <v>0917-895-1106</v>
      </c>
      <c r="F681" s="2" t="str">
        <f>IFERROR(__xludf.DUMMYFUNCTION("""COMPUTED_VALUE"""),"RCEF 25-03-05")</f>
        <v>RCEF 25-03-05</v>
      </c>
      <c r="G681" s="2">
        <f>IFERROR(__xludf.DUMMYFUNCTION("""COMPUTED_VALUE"""),5.0)</f>
        <v>5</v>
      </c>
      <c r="H681" s="2" t="str">
        <f>IFERROR(__xludf.DUMMYFUNCTION("""COMPUTED_VALUE"""),"26496 &amp; 27677")</f>
        <v>26496 &amp; 27677</v>
      </c>
      <c r="I681" s="2" t="str">
        <f>IFERROR(__xludf.DUMMYFUNCTION("""COMPUTED_VALUE"""),"KMC5825 ACSFPV0309")</f>
        <v>KMC5825 ACSFPV0309</v>
      </c>
      <c r="J681" s="3" t="str">
        <f>IFERROR(__xludf.DUMMYFUNCTION("""COMPUTED_VALUE"""),"STS100312")</f>
        <v>STS100312</v>
      </c>
      <c r="K681" s="2" t="str">
        <f>IFERROR(__xludf.DUMMYFUNCTION("""COMPUTED_VALUE"""),"WR-SERIES 133")</f>
        <v>WR-SERIES 133</v>
      </c>
      <c r="L681" s="3" t="str">
        <f>IFERROR(__xludf.DUMMYFUNCTION("""COMPUTED_VALUE"""),"25080436")</f>
        <v>25080436</v>
      </c>
      <c r="M681" s="3" t="str">
        <f>IFERROR(__xludf.DUMMYFUNCTION("""COMPUTED_VALUE"""),"25090988")</f>
        <v>25090988</v>
      </c>
      <c r="N681" s="2"/>
      <c r="O681" s="2" t="str">
        <f>IFERROR(__xludf.DUMMYFUNCTION("""COMPUTED_VALUE"""),"Santa Cruz (Pob.)")</f>
        <v>Santa Cruz (Pob.)</v>
      </c>
      <c r="P681" s="2" t="str">
        <f>IFERROR(__xludf.DUMMYFUNCTION("""COMPUTED_VALUE"""),"Magalang")</f>
        <v>Magalang</v>
      </c>
      <c r="Q681" s="2" t="str">
        <f>IFERROR(__xludf.DUMMYFUNCTION("""COMPUTED_VALUE"""),"Pampanga")</f>
        <v>Pampanga</v>
      </c>
      <c r="R681" s="2">
        <f>IFERROR(__xludf.DUMMYFUNCTION("""COMPUTED_VALUE"""),3.0)</f>
        <v>3</v>
      </c>
      <c r="S681" s="2"/>
      <c r="T681" s="2"/>
    </row>
    <row r="682">
      <c r="A682" s="1">
        <f>IFERROR(__xludf.DUMMYFUNCTION("""COMPUTED_VALUE"""),680.0)</f>
        <v>680</v>
      </c>
      <c r="B682" s="2" t="str">
        <f>IFERROR(__xludf.DUMMYFUNCTION("""COMPUTED_VALUE"""),"MUNICIPAL LOCAL GOVERNMENT UNIT OF MAGALANG")</f>
        <v>MUNICIPAL LOCAL GOVERNMENT UNIT OF MAGALANG</v>
      </c>
      <c r="C682" s="2" t="str">
        <f>IFERROR(__xludf.DUMMYFUNCTION("""COMPUTED_VALUE"""),", Magalang, PAMPANGA")</f>
        <v>, Magalang, PAMPANGA</v>
      </c>
      <c r="D682" s="2" t="str">
        <f>IFERROR(__xludf.DUMMYFUNCTION("""COMPUTED_VALUE"""),"HON. MARIA LOURDES P. LACSON/ ROYCE LISING")</f>
        <v>HON. MARIA LOURDES P. LACSON/ ROYCE LISING</v>
      </c>
      <c r="E682" s="2" t="str">
        <f>IFERROR(__xludf.DUMMYFUNCTION("""COMPUTED_VALUE"""),"0935-901-2102")</f>
        <v>0935-901-2102</v>
      </c>
      <c r="F682" s="2" t="str">
        <f>IFERROR(__xludf.DUMMYFUNCTION("""COMPUTED_VALUE"""),"RCEF 25-03-05")</f>
        <v>RCEF 25-03-05</v>
      </c>
      <c r="G682" s="2">
        <f>IFERROR(__xludf.DUMMYFUNCTION("""COMPUTED_VALUE"""),5.0)</f>
        <v>5</v>
      </c>
      <c r="H682" s="2" t="str">
        <f>IFERROR(__xludf.DUMMYFUNCTION("""COMPUTED_VALUE"""),"26497 &amp; 27678")</f>
        <v>26497 &amp; 27678</v>
      </c>
      <c r="I682" s="2" t="str">
        <f>IFERROR(__xludf.DUMMYFUNCTION("""COMPUTED_VALUE"""),"KMC5825 AVSFPV0266")</f>
        <v>KMC5825 AVSFPV0266</v>
      </c>
      <c r="J682" s="3" t="str">
        <f>IFERROR(__xludf.DUMMYFUNCTION("""COMPUTED_VALUE"""),"STS100277")</f>
        <v>STS100277</v>
      </c>
      <c r="K682" s="2" t="str">
        <f>IFERROR(__xludf.DUMMYFUNCTION("""COMPUTED_VALUE"""),"R-SERIES 037")</f>
        <v>R-SERIES 037</v>
      </c>
      <c r="L682" s="3" t="str">
        <f>IFERROR(__xludf.DUMMYFUNCTION("""COMPUTED_VALUE"""),"25080438")</f>
        <v>25080438</v>
      </c>
      <c r="M682" s="3" t="str">
        <f>IFERROR(__xludf.DUMMYFUNCTION("""COMPUTED_VALUE"""),"25090984")</f>
        <v>25090984</v>
      </c>
      <c r="N682" s="2"/>
      <c r="O682" s="2" t="str">
        <f>IFERROR(__xludf.DUMMYFUNCTION("""COMPUTED_VALUE"""),"")</f>
        <v/>
      </c>
      <c r="P682" s="2" t="str">
        <f>IFERROR(__xludf.DUMMYFUNCTION("""COMPUTED_VALUE"""),"Magalang")</f>
        <v>Magalang</v>
      </c>
      <c r="Q682" s="2" t="str">
        <f>IFERROR(__xludf.DUMMYFUNCTION("""COMPUTED_VALUE"""),"Pampanga")</f>
        <v>Pampanga</v>
      </c>
      <c r="R682" s="2">
        <f>IFERROR(__xludf.DUMMYFUNCTION("""COMPUTED_VALUE"""),3.0)</f>
        <v>3</v>
      </c>
      <c r="S682" s="2"/>
      <c r="T682" s="2"/>
    </row>
    <row r="683">
      <c r="A683" s="1">
        <f>IFERROR(__xludf.DUMMYFUNCTION("""COMPUTED_VALUE"""),681.0)</f>
        <v>681</v>
      </c>
      <c r="B683" s="2" t="str">
        <f>IFERROR(__xludf.DUMMYFUNCTION("""COMPUTED_VALUE"""),"RICE UP FORTUNA FARMERS ASSOCIATION")</f>
        <v>RICE UP FORTUNA FARMERS ASSOCIATION</v>
      </c>
      <c r="C683" s="2" t="str">
        <f>IFERROR(__xludf.DUMMYFUNCTION("""COMPUTED_VALUE"""),"Fortuna, Floridablanca, PAMPANGA")</f>
        <v>Fortuna, Floridablanca, PAMPANGA</v>
      </c>
      <c r="D683" s="2" t="str">
        <f>IFERROR(__xludf.DUMMYFUNCTION("""COMPUTED_VALUE"""),"FLORANTE BUERGO")</f>
        <v>FLORANTE BUERGO</v>
      </c>
      <c r="E683" s="2" t="str">
        <f>IFERROR(__xludf.DUMMYFUNCTION("""COMPUTED_VALUE"""),"0956-692-8114")</f>
        <v>0956-692-8114</v>
      </c>
      <c r="F683" s="2" t="str">
        <f>IFERROR(__xludf.DUMMYFUNCTION("""COMPUTED_VALUE"""),"RCEF 25-03-05")</f>
        <v>RCEF 25-03-05</v>
      </c>
      <c r="G683" s="2">
        <f>IFERROR(__xludf.DUMMYFUNCTION("""COMPUTED_VALUE"""),5.0)</f>
        <v>5</v>
      </c>
      <c r="H683" s="2" t="str">
        <f>IFERROR(__xludf.DUMMYFUNCTION("""COMPUTED_VALUE"""),"26498 &amp; 27679")</f>
        <v>26498 &amp; 27679</v>
      </c>
      <c r="I683" s="2" t="str">
        <f>IFERROR(__xludf.DUMMYFUNCTION("""COMPUTED_VALUE"""),"KMC5825 ALSFPV0323")</f>
        <v>KMC5825 ALSFPV0323</v>
      </c>
      <c r="J683" s="3" t="str">
        <f>IFERROR(__xludf.DUMMYFUNCTION("""COMPUTED_VALUE"""),"STS100335")</f>
        <v>STS100335</v>
      </c>
      <c r="K683" s="2" t="str">
        <f>IFERROR(__xludf.DUMMYFUNCTION("""COMPUTED_VALUE"""),"WR-SERIES 125")</f>
        <v>WR-SERIES 125</v>
      </c>
      <c r="L683" s="3" t="str">
        <f>IFERROR(__xludf.DUMMYFUNCTION("""COMPUTED_VALUE"""),"25080416")</f>
        <v>25080416</v>
      </c>
      <c r="M683" s="3" t="str">
        <f>IFERROR(__xludf.DUMMYFUNCTION("""COMPUTED_VALUE"""),"25080849")</f>
        <v>25080849</v>
      </c>
      <c r="N683" s="2"/>
      <c r="O683" s="2" t="str">
        <f>IFERROR(__xludf.DUMMYFUNCTION("""COMPUTED_VALUE"""),"Fortuna")</f>
        <v>Fortuna</v>
      </c>
      <c r="P683" s="2" t="str">
        <f>IFERROR(__xludf.DUMMYFUNCTION("""COMPUTED_VALUE"""),"Floridablanca")</f>
        <v>Floridablanca</v>
      </c>
      <c r="Q683" s="2" t="str">
        <f>IFERROR(__xludf.DUMMYFUNCTION("""COMPUTED_VALUE"""),"Pampanga")</f>
        <v>Pampanga</v>
      </c>
      <c r="R683" s="2">
        <f>IFERROR(__xludf.DUMMYFUNCTION("""COMPUTED_VALUE"""),3.0)</f>
        <v>3</v>
      </c>
      <c r="S683" s="2"/>
      <c r="T683" s="2"/>
    </row>
    <row r="684">
      <c r="A684" s="1">
        <f>IFERROR(__xludf.DUMMYFUNCTION("""COMPUTED_VALUE"""),682.0)</f>
        <v>682</v>
      </c>
      <c r="B684" s="2" t="str">
        <f>IFERROR(__xludf.DUMMYFUNCTION("""COMPUTED_VALUE"""),"Rice-Up Irrigators and Farmers Agriculture Cooperative")</f>
        <v>Rice-Up Irrigators and Farmers Agriculture Cooperative</v>
      </c>
      <c r="C684" s="2" t="str">
        <f>IFERROR(__xludf.DUMMYFUNCTION("""COMPUTED_VALUE"""),"Concepcion, Lubao, PAMPANGA")</f>
        <v>Concepcion, Lubao, PAMPANGA</v>
      </c>
      <c r="D684" s="2" t="str">
        <f>IFERROR(__xludf.DUMMYFUNCTION("""COMPUTED_VALUE"""),"Edwardo Cancio")</f>
        <v>Edwardo Cancio</v>
      </c>
      <c r="E684" s="2" t="str">
        <f>IFERROR(__xludf.DUMMYFUNCTION("""COMPUTED_VALUE"""),"0919-628-0922 / 0919-825-3801")</f>
        <v>0919-628-0922 / 0919-825-3801</v>
      </c>
      <c r="F684" s="2" t="str">
        <f>IFERROR(__xludf.DUMMYFUNCTION("""COMPUTED_VALUE"""),"RCEF 25-03-05")</f>
        <v>RCEF 25-03-05</v>
      </c>
      <c r="G684" s="2">
        <f>IFERROR(__xludf.DUMMYFUNCTION("""COMPUTED_VALUE"""),5.0)</f>
        <v>5</v>
      </c>
      <c r="H684" s="2" t="str">
        <f>IFERROR(__xludf.DUMMYFUNCTION("""COMPUTED_VALUE"""),"26499 &amp; 27680")</f>
        <v>26499 &amp; 27680</v>
      </c>
      <c r="I684" s="2" t="str">
        <f>IFERROR(__xludf.DUMMYFUNCTION("""COMPUTED_VALUE"""),"KMC5825 ACSFPV0270")</f>
        <v>KMC5825 ACSFPV0270</v>
      </c>
      <c r="J684" s="3" t="str">
        <f>IFERROR(__xludf.DUMMYFUNCTION("""COMPUTED_VALUE"""),"STS100286")</f>
        <v>STS100286</v>
      </c>
      <c r="K684" s="2" t="str">
        <f>IFERROR(__xludf.DUMMYFUNCTION("""COMPUTED_VALUE"""),"WR-SERIES 059")</f>
        <v>WR-SERIES 059</v>
      </c>
      <c r="L684" s="3" t="str">
        <f>IFERROR(__xludf.DUMMYFUNCTION("""COMPUTED_VALUE"""),"25080307")</f>
        <v>25080307</v>
      </c>
      <c r="M684" s="3" t="str">
        <f>IFERROR(__xludf.DUMMYFUNCTION("""COMPUTED_VALUE"""),"25090978")</f>
        <v>25090978</v>
      </c>
      <c r="N684" s="2"/>
      <c r="O684" s="2" t="str">
        <f>IFERROR(__xludf.DUMMYFUNCTION("""COMPUTED_VALUE"""),"Concepcion")</f>
        <v>Concepcion</v>
      </c>
      <c r="P684" s="2" t="str">
        <f>IFERROR(__xludf.DUMMYFUNCTION("""COMPUTED_VALUE"""),"Lubao")</f>
        <v>Lubao</v>
      </c>
      <c r="Q684" s="2" t="str">
        <f>IFERROR(__xludf.DUMMYFUNCTION("""COMPUTED_VALUE"""),"Pampanga")</f>
        <v>Pampanga</v>
      </c>
      <c r="R684" s="2">
        <f>IFERROR(__xludf.DUMMYFUNCTION("""COMPUTED_VALUE"""),3.0)</f>
        <v>3</v>
      </c>
      <c r="S684" s="2"/>
      <c r="T684" s="2"/>
    </row>
    <row r="685">
      <c r="A685" s="1">
        <f>IFERROR(__xludf.DUMMYFUNCTION("""COMPUTED_VALUE"""),683.0)</f>
        <v>683</v>
      </c>
      <c r="B685" s="2" t="str">
        <f>IFERROR(__xludf.DUMMYFUNCTION("""COMPUTED_VALUE"""),"SAN PABLO 2ND RICE, CORN, HVCC, LIVESTOCK AND FISHERY FARMER ASSOCIATION")</f>
        <v>SAN PABLO 2ND RICE, CORN, HVCC, LIVESTOCK AND FISHERY FARMER ASSOCIATION</v>
      </c>
      <c r="C685" s="2" t="str">
        <f>IFERROR(__xludf.DUMMYFUNCTION("""COMPUTED_VALUE"""),"San Pablo 2nd, Lubao, PAMPANGA")</f>
        <v>San Pablo 2nd, Lubao, PAMPANGA</v>
      </c>
      <c r="D685" s="2" t="str">
        <f>IFERROR(__xludf.DUMMYFUNCTION("""COMPUTED_VALUE"""),"ALEX D. SABINO")</f>
        <v>ALEX D. SABINO</v>
      </c>
      <c r="E685" s="2" t="str">
        <f>IFERROR(__xludf.DUMMYFUNCTION("""COMPUTED_VALUE"""),"0918-446-7213")</f>
        <v>0918-446-7213</v>
      </c>
      <c r="F685" s="2" t="str">
        <f>IFERROR(__xludf.DUMMYFUNCTION("""COMPUTED_VALUE"""),"RCEF 25-03-05")</f>
        <v>RCEF 25-03-05</v>
      </c>
      <c r="G685" s="2">
        <f>IFERROR(__xludf.DUMMYFUNCTION("""COMPUTED_VALUE"""),5.0)</f>
        <v>5</v>
      </c>
      <c r="H685" s="2" t="str">
        <f>IFERROR(__xludf.DUMMYFUNCTION("""COMPUTED_VALUE"""),"26500 &amp; 27681")</f>
        <v>26500 &amp; 27681</v>
      </c>
      <c r="I685" s="2" t="str">
        <f>IFERROR(__xludf.DUMMYFUNCTION("""COMPUTED_VALUE"""),"KMC5825 APSFPV0197")</f>
        <v>KMC5825 APSFPV0197</v>
      </c>
      <c r="J685" s="3" t="str">
        <f>IFERROR(__xludf.DUMMYFUNCTION("""COMPUTED_VALUE"""),"STS100234")</f>
        <v>STS100234</v>
      </c>
      <c r="K685" s="2" t="str">
        <f>IFERROR(__xludf.DUMMYFUNCTION("""COMPUTED_VALUE"""),"WR-SERIES 063")</f>
        <v>WR-SERIES 063</v>
      </c>
      <c r="L685" s="3" t="str">
        <f>IFERROR(__xludf.DUMMYFUNCTION("""COMPUTED_VALUE"""),"25080411")</f>
        <v>25080411</v>
      </c>
      <c r="M685" s="3" t="str">
        <f>IFERROR(__xludf.DUMMYFUNCTION("""COMPUTED_VALUE"""),"25090986")</f>
        <v>25090986</v>
      </c>
      <c r="N685" s="2"/>
      <c r="O685" s="2" t="str">
        <f>IFERROR(__xludf.DUMMYFUNCTION("""COMPUTED_VALUE"""),"San Pablo 2Nd")</f>
        <v>San Pablo 2Nd</v>
      </c>
      <c r="P685" s="2" t="str">
        <f>IFERROR(__xludf.DUMMYFUNCTION("""COMPUTED_VALUE"""),"Lubao")</f>
        <v>Lubao</v>
      </c>
      <c r="Q685" s="2" t="str">
        <f>IFERROR(__xludf.DUMMYFUNCTION("""COMPUTED_VALUE"""),"Pampanga")</f>
        <v>Pampanga</v>
      </c>
      <c r="R685" s="2">
        <f>IFERROR(__xludf.DUMMYFUNCTION("""COMPUTED_VALUE"""),3.0)</f>
        <v>3</v>
      </c>
      <c r="S685" s="2"/>
      <c r="T685" s="2"/>
    </row>
    <row r="686">
      <c r="A686" s="1">
        <f>IFERROR(__xludf.DUMMYFUNCTION("""COMPUTED_VALUE"""),684.0)</f>
        <v>684</v>
      </c>
      <c r="B686" s="2" t="str">
        <f>IFERROR(__xludf.DUMMYFUNCTION("""COMPUTED_VALUE"""),"SANTIAGO LUBAO FARMERS RICE &amp; CORN ASSOCIATION INC.")</f>
        <v>SANTIAGO LUBAO FARMERS RICE &amp; CORN ASSOCIATION INC.</v>
      </c>
      <c r="C686" s="2" t="str">
        <f>IFERROR(__xludf.DUMMYFUNCTION("""COMPUTED_VALUE"""),"Santiago, Lubao, PAMPANGA")</f>
        <v>Santiago, Lubao, PAMPANGA</v>
      </c>
      <c r="D686" s="2" t="str">
        <f>IFERROR(__xludf.DUMMYFUNCTION("""COMPUTED_VALUE"""),"ALEJANDRO S. PANGAN")</f>
        <v>ALEJANDRO S. PANGAN</v>
      </c>
      <c r="E686" s="2" t="str">
        <f>IFERROR(__xludf.DUMMYFUNCTION("""COMPUTED_VALUE"""),"0939-710-5630")</f>
        <v>0939-710-5630</v>
      </c>
      <c r="F686" s="2" t="str">
        <f>IFERROR(__xludf.DUMMYFUNCTION("""COMPUTED_VALUE"""),"RCEF 25-03-05")</f>
        <v>RCEF 25-03-05</v>
      </c>
      <c r="G686" s="2">
        <f>IFERROR(__xludf.DUMMYFUNCTION("""COMPUTED_VALUE"""),5.0)</f>
        <v>5</v>
      </c>
      <c r="H686" s="2" t="str">
        <f>IFERROR(__xludf.DUMMYFUNCTION("""COMPUTED_VALUE"""),"26501 &amp; 27682")</f>
        <v>26501 &amp; 27682</v>
      </c>
      <c r="I686" s="2" t="str">
        <f>IFERROR(__xludf.DUMMYFUNCTION("""COMPUTED_VALUE"""),"KMC5825 AESFPV0311")</f>
        <v>KMC5825 AESFPV0311</v>
      </c>
      <c r="J686" s="3" t="str">
        <f>IFERROR(__xludf.DUMMYFUNCTION("""COMPUTED_VALUE"""),"STS100314")</f>
        <v>STS100314</v>
      </c>
      <c r="K686" s="2" t="str">
        <f>IFERROR(__xludf.DUMMYFUNCTION("""COMPUTED_VALUE"""),"R-SERIES 136PH")</f>
        <v>R-SERIES 136PH</v>
      </c>
      <c r="L686" s="3" t="str">
        <f>IFERROR(__xludf.DUMMYFUNCTION("""COMPUTED_VALUE"""),"2508315")</f>
        <v>2508315</v>
      </c>
      <c r="M686" s="3" t="str">
        <f>IFERROR(__xludf.DUMMYFUNCTION("""COMPUTED_VALUE"""),"25090997")</f>
        <v>25090997</v>
      </c>
      <c r="N686" s="2"/>
      <c r="O686" s="2" t="str">
        <f>IFERROR(__xludf.DUMMYFUNCTION("""COMPUTED_VALUE"""),"Santiago")</f>
        <v>Santiago</v>
      </c>
      <c r="P686" s="2" t="str">
        <f>IFERROR(__xludf.DUMMYFUNCTION("""COMPUTED_VALUE"""),"Lubao")</f>
        <v>Lubao</v>
      </c>
      <c r="Q686" s="2" t="str">
        <f>IFERROR(__xludf.DUMMYFUNCTION("""COMPUTED_VALUE"""),"Pampanga")</f>
        <v>Pampanga</v>
      </c>
      <c r="R686" s="2">
        <f>IFERROR(__xludf.DUMMYFUNCTION("""COMPUTED_VALUE"""),3.0)</f>
        <v>3</v>
      </c>
      <c r="S686" s="2"/>
      <c r="T686" s="2"/>
    </row>
    <row r="687">
      <c r="A687" s="1">
        <f>IFERROR(__xludf.DUMMYFUNCTION("""COMPUTED_VALUE"""),685.0)</f>
        <v>685</v>
      </c>
      <c r="B687" s="2" t="str">
        <f>IFERROR(__xludf.DUMMYFUNCTION("""COMPUTED_VALUE"""),"STA. TERESA 1ST., RICE, CORN, HVCC AND LIVESTOCK")</f>
        <v>STA. TERESA 1ST., RICE, CORN, HVCC AND LIVESTOCK</v>
      </c>
      <c r="C687" s="2" t="str">
        <f>IFERROR(__xludf.DUMMYFUNCTION("""COMPUTED_VALUE"""),"Santa Teresa 1st, Lubao, PAMPANGA")</f>
        <v>Santa Teresa 1st, Lubao, PAMPANGA</v>
      </c>
      <c r="D687" s="2" t="str">
        <f>IFERROR(__xludf.DUMMYFUNCTION("""COMPUTED_VALUE"""),"CRISANTO P. PANGILINAN")</f>
        <v>CRISANTO P. PANGILINAN</v>
      </c>
      <c r="E687" s="2" t="str">
        <f>IFERROR(__xludf.DUMMYFUNCTION("""COMPUTED_VALUE"""),"0949-726-4024/ 0915-837-7649")</f>
        <v>0949-726-4024/ 0915-837-7649</v>
      </c>
      <c r="F687" s="2" t="str">
        <f>IFERROR(__xludf.DUMMYFUNCTION("""COMPUTED_VALUE"""),"RCEF 25-03-05")</f>
        <v>RCEF 25-03-05</v>
      </c>
      <c r="G687" s="2">
        <f>IFERROR(__xludf.DUMMYFUNCTION("""COMPUTED_VALUE"""),5.0)</f>
        <v>5</v>
      </c>
      <c r="H687" s="2" t="str">
        <f>IFERROR(__xludf.DUMMYFUNCTION("""COMPUTED_VALUE"""),"26502 &amp; 27683")</f>
        <v>26502 &amp; 27683</v>
      </c>
      <c r="I687" s="2" t="str">
        <f>IFERROR(__xludf.DUMMYFUNCTION("""COMPUTED_VALUE"""),"KMC5825 AASFPV0269")</f>
        <v>KMC5825 AASFPV0269</v>
      </c>
      <c r="J687" s="3" t="str">
        <f>IFERROR(__xludf.DUMMYFUNCTION("""COMPUTED_VALUE"""),"STS100304")</f>
        <v>STS100304</v>
      </c>
      <c r="K687" s="2" t="str">
        <f>IFERROR(__xludf.DUMMYFUNCTION("""COMPUTED_VALUE"""),"WR-SERIES 085")</f>
        <v>WR-SERIES 085</v>
      </c>
      <c r="L687" s="3" t="str">
        <f>IFERROR(__xludf.DUMMYFUNCTION("""COMPUTED_VALUE"""),"25080308")</f>
        <v>25080308</v>
      </c>
      <c r="M687" s="3" t="str">
        <f>IFERROR(__xludf.DUMMYFUNCTION("""COMPUTED_VALUE"""),"25090999")</f>
        <v>25090999</v>
      </c>
      <c r="N687" s="2"/>
      <c r="O687" s="2" t="str">
        <f>IFERROR(__xludf.DUMMYFUNCTION("""COMPUTED_VALUE"""),"Santa Teresa 1St")</f>
        <v>Santa Teresa 1St</v>
      </c>
      <c r="P687" s="2" t="str">
        <f>IFERROR(__xludf.DUMMYFUNCTION("""COMPUTED_VALUE"""),"Lubao")</f>
        <v>Lubao</v>
      </c>
      <c r="Q687" s="2" t="str">
        <f>IFERROR(__xludf.DUMMYFUNCTION("""COMPUTED_VALUE"""),"Pampanga")</f>
        <v>Pampanga</v>
      </c>
      <c r="R687" s="2">
        <f>IFERROR(__xludf.DUMMYFUNCTION("""COMPUTED_VALUE"""),3.0)</f>
        <v>3</v>
      </c>
      <c r="S687" s="2"/>
      <c r="T687" s="2"/>
    </row>
    <row r="688">
      <c r="A688" s="1">
        <f>IFERROR(__xludf.DUMMYFUNCTION("""COMPUTED_VALUE"""),686.0)</f>
        <v>686</v>
      </c>
      <c r="B688" s="2" t="str">
        <f>IFERROR(__xludf.DUMMYFUNCTION("""COMPUTED_VALUE"""),"STO. CRISTO RICE, CORN &amp; HVCC FARMERS ASSOCIATION")</f>
        <v>STO. CRISTO RICE, CORN &amp; HVCC FARMERS ASSOCIATION</v>
      </c>
      <c r="C688" s="2" t="str">
        <f>IFERROR(__xludf.DUMMYFUNCTION("""COMPUTED_VALUE"""),"Santo Cristo, Lubao, PAMPANGA")</f>
        <v>Santo Cristo, Lubao, PAMPANGA</v>
      </c>
      <c r="D688" s="2" t="str">
        <f>IFERROR(__xludf.DUMMYFUNCTION("""COMPUTED_VALUE"""),"ESTANISLAO M. MONTEMAYOR")</f>
        <v>ESTANISLAO M. MONTEMAYOR</v>
      </c>
      <c r="E688" s="2" t="str">
        <f>IFERROR(__xludf.DUMMYFUNCTION("""COMPUTED_VALUE"""),"0906-575-1252")</f>
        <v>0906-575-1252</v>
      </c>
      <c r="F688" s="2" t="str">
        <f>IFERROR(__xludf.DUMMYFUNCTION("""COMPUTED_VALUE"""),"RCEF 25-03-05")</f>
        <v>RCEF 25-03-05</v>
      </c>
      <c r="G688" s="2">
        <f>IFERROR(__xludf.DUMMYFUNCTION("""COMPUTED_VALUE"""),5.0)</f>
        <v>5</v>
      </c>
      <c r="H688" s="2" t="str">
        <f>IFERROR(__xludf.DUMMYFUNCTION("""COMPUTED_VALUE"""),"26503 &amp; 27684")</f>
        <v>26503 &amp; 27684</v>
      </c>
      <c r="I688" s="2" t="str">
        <f>IFERROR(__xludf.DUMMYFUNCTION("""COMPUTED_VALUE"""),"KMC5825 AHSFPV0405")</f>
        <v>KMC5825 AHSFPV0405</v>
      </c>
      <c r="J688" s="3" t="str">
        <f>IFERROR(__xludf.DUMMYFUNCTION("""COMPUTED_VALUE"""),"STS100469")</f>
        <v>STS100469</v>
      </c>
      <c r="K688" s="2" t="str">
        <f>IFERROR(__xludf.DUMMYFUNCTION("""COMPUTED_VALUE"""),"WR-SERIES 134")</f>
        <v>WR-SERIES 134</v>
      </c>
      <c r="L688" s="3" t="str">
        <f>IFERROR(__xludf.DUMMYFUNCTION("""COMPUTED_VALUE"""),"2508426")</f>
        <v>2508426</v>
      </c>
      <c r="M688" s="3" t="str">
        <f>IFERROR(__xludf.DUMMYFUNCTION("""COMPUTED_VALUE"""),"25090982")</f>
        <v>25090982</v>
      </c>
      <c r="N688" s="2"/>
      <c r="O688" s="2" t="str">
        <f>IFERROR(__xludf.DUMMYFUNCTION("""COMPUTED_VALUE"""),"Santo Cristo")</f>
        <v>Santo Cristo</v>
      </c>
      <c r="P688" s="2" t="str">
        <f>IFERROR(__xludf.DUMMYFUNCTION("""COMPUTED_VALUE"""),"Lubao")</f>
        <v>Lubao</v>
      </c>
      <c r="Q688" s="2" t="str">
        <f>IFERROR(__xludf.DUMMYFUNCTION("""COMPUTED_VALUE"""),"Pampanga")</f>
        <v>Pampanga</v>
      </c>
      <c r="R688" s="2">
        <f>IFERROR(__xludf.DUMMYFUNCTION("""COMPUTED_VALUE"""),3.0)</f>
        <v>3</v>
      </c>
      <c r="S688" s="2"/>
      <c r="T688" s="2"/>
    </row>
    <row r="689">
      <c r="A689" s="1">
        <f>IFERROR(__xludf.DUMMYFUNCTION("""COMPUTED_VALUE"""),687.0)</f>
        <v>687</v>
      </c>
      <c r="B689" s="2" t="str">
        <f>IFERROR(__xludf.DUMMYFUNCTION("""COMPUTED_VALUE"""),"SALU FARMERS ASSOCIATION")</f>
        <v>SALU FARMERS ASSOCIATION</v>
      </c>
      <c r="C689" s="2" t="str">
        <f>IFERROR(__xludf.DUMMYFUNCTION("""COMPUTED_VALUE"""),"Salu, Porac, PAMPANGA")</f>
        <v>Salu, Porac, PAMPANGA</v>
      </c>
      <c r="D689" s="2" t="str">
        <f>IFERROR(__xludf.DUMMYFUNCTION("""COMPUTED_VALUE"""),"ARNEL S. PONIO")</f>
        <v>ARNEL S. PONIO</v>
      </c>
      <c r="E689" s="2" t="str">
        <f>IFERROR(__xludf.DUMMYFUNCTION("""COMPUTED_VALUE"""),"0997-455-4854")</f>
        <v>0997-455-4854</v>
      </c>
      <c r="F689" s="2" t="str">
        <f>IFERROR(__xludf.DUMMYFUNCTION("""COMPUTED_VALUE"""),"RCEF 25-03-05")</f>
        <v>RCEF 25-03-05</v>
      </c>
      <c r="G689" s="2">
        <f>IFERROR(__xludf.DUMMYFUNCTION("""COMPUTED_VALUE"""),5.0)</f>
        <v>5</v>
      </c>
      <c r="H689" s="2" t="str">
        <f>IFERROR(__xludf.DUMMYFUNCTION("""COMPUTED_VALUE"""),"26504 &amp; 27685")</f>
        <v>26504 &amp; 27685</v>
      </c>
      <c r="I689" s="2" t="str">
        <f>IFERROR(__xludf.DUMMYFUNCTION("""COMPUTED_VALUE"""),"KMC5825 ALSFPV0208")</f>
        <v>KMC5825 ALSFPV0208</v>
      </c>
      <c r="J689" s="3" t="str">
        <f>IFERROR(__xludf.DUMMYFUNCTION("""COMPUTED_VALUE"""),"STS100226")</f>
        <v>STS100226</v>
      </c>
      <c r="K689" s="2" t="str">
        <f>IFERROR(__xludf.DUMMYFUNCTION("""COMPUTED_VALUE"""),"WR-SERIES 252")</f>
        <v>WR-SERIES 252</v>
      </c>
      <c r="L689" s="3" t="str">
        <f>IFERROR(__xludf.DUMMYFUNCTION("""COMPUTED_VALUE"""),"25080413")</f>
        <v>25080413</v>
      </c>
      <c r="M689" s="3" t="str">
        <f>IFERROR(__xludf.DUMMYFUNCTION("""COMPUTED_VALUE"""),"25090987")</f>
        <v>25090987</v>
      </c>
      <c r="N689" s="2"/>
      <c r="O689" s="2" t="str">
        <f>IFERROR(__xludf.DUMMYFUNCTION("""COMPUTED_VALUE"""),"Salu")</f>
        <v>Salu</v>
      </c>
      <c r="P689" s="2" t="str">
        <f>IFERROR(__xludf.DUMMYFUNCTION("""COMPUTED_VALUE"""),"Porac")</f>
        <v>Porac</v>
      </c>
      <c r="Q689" s="2" t="str">
        <f>IFERROR(__xludf.DUMMYFUNCTION("""COMPUTED_VALUE"""),"Pampanga")</f>
        <v>Pampanga</v>
      </c>
      <c r="R689" s="2">
        <f>IFERROR(__xludf.DUMMYFUNCTION("""COMPUTED_VALUE"""),3.0)</f>
        <v>3</v>
      </c>
      <c r="S689" s="2"/>
      <c r="T689" s="2"/>
    </row>
    <row r="690">
      <c r="A690" s="1">
        <f>IFERROR(__xludf.DUMMYFUNCTION("""COMPUTED_VALUE"""),688.0)</f>
        <v>688</v>
      </c>
      <c r="B690" s="2" t="str">
        <f>IFERROR(__xludf.DUMMYFUNCTION("""COMPUTED_VALUE"""),"Arayat Ecology and Agriculture Cooperative")</f>
        <v>Arayat Ecology and Agriculture Cooperative</v>
      </c>
      <c r="C690" s="2" t="str">
        <f>IFERROR(__xludf.DUMMYFUNCTION("""COMPUTED_VALUE"""),"San Nicolas, Arayat, PAMPANGA")</f>
        <v>San Nicolas, Arayat, PAMPANGA</v>
      </c>
      <c r="D690" s="2" t="str">
        <f>IFERROR(__xludf.DUMMYFUNCTION("""COMPUTED_VALUE"""),"CRISPIN E. TUNGOL")</f>
        <v>CRISPIN E. TUNGOL</v>
      </c>
      <c r="E690" s="2" t="str">
        <f>IFERROR(__xludf.DUMMYFUNCTION("""COMPUTED_VALUE"""),"0927-586-0731")</f>
        <v>0927-586-0731</v>
      </c>
      <c r="F690" s="2" t="str">
        <f>IFERROR(__xludf.DUMMYFUNCTION("""COMPUTED_VALUE"""),"RCEF 25-03-05")</f>
        <v>RCEF 25-03-05</v>
      </c>
      <c r="G690" s="2">
        <f>IFERROR(__xludf.DUMMYFUNCTION("""COMPUTED_VALUE"""),5.0)</f>
        <v>5</v>
      </c>
      <c r="H690" s="2" t="str">
        <f>IFERROR(__xludf.DUMMYFUNCTION("""COMPUTED_VALUE"""),"26505 &amp; 27686")</f>
        <v>26505 &amp; 27686</v>
      </c>
      <c r="I690" s="2" t="str">
        <f>IFERROR(__xludf.DUMMYFUNCTION("""COMPUTED_VALUE"""),"KMC5825 ACSFPV0382")</f>
        <v>KMC5825 ACSFPV0382</v>
      </c>
      <c r="J690" s="3" t="str">
        <f>IFERROR(__xludf.DUMMYFUNCTION("""COMPUTED_VALUE"""),"STS100449")</f>
        <v>STS100449</v>
      </c>
      <c r="K690" s="2" t="str">
        <f>IFERROR(__xludf.DUMMYFUNCTION("""COMPUTED_VALUE"""),"WR-SERIES 142")</f>
        <v>WR-SERIES 142</v>
      </c>
      <c r="L690" s="3" t="str">
        <f>IFERROR(__xludf.DUMMYFUNCTION("""COMPUTED_VALUE"""),"25080332")</f>
        <v>25080332</v>
      </c>
      <c r="M690" s="3" t="str">
        <f>IFERROR(__xludf.DUMMYFUNCTION("""COMPUTED_VALUE"""),"25090973")</f>
        <v>25090973</v>
      </c>
      <c r="N690" s="2"/>
      <c r="O690" s="2" t="str">
        <f>IFERROR(__xludf.DUMMYFUNCTION("""COMPUTED_VALUE"""),"San Nicolas")</f>
        <v>San Nicolas</v>
      </c>
      <c r="P690" s="2" t="str">
        <f>IFERROR(__xludf.DUMMYFUNCTION("""COMPUTED_VALUE"""),"Arayat")</f>
        <v>Arayat</v>
      </c>
      <c r="Q690" s="2" t="str">
        <f>IFERROR(__xludf.DUMMYFUNCTION("""COMPUTED_VALUE"""),"Pampanga")</f>
        <v>Pampanga</v>
      </c>
      <c r="R690" s="2">
        <f>IFERROR(__xludf.DUMMYFUNCTION("""COMPUTED_VALUE"""),3.0)</f>
        <v>3</v>
      </c>
      <c r="S690" s="2"/>
      <c r="T690" s="2"/>
    </row>
    <row r="691">
      <c r="A691" s="1">
        <f>IFERROR(__xludf.DUMMYFUNCTION("""COMPUTED_VALUE"""),689.0)</f>
        <v>689</v>
      </c>
      <c r="B691" s="2" t="str">
        <f>IFERROR(__xludf.DUMMYFUNCTION("""COMPUTED_VALUE"""),"BATASAN SINUKUAN FARMERS ASSOCIATION")</f>
        <v>BATASAN SINUKUAN FARMERS ASSOCIATION</v>
      </c>
      <c r="C691" s="2" t="str">
        <f>IFERROR(__xludf.DUMMYFUNCTION("""COMPUTED_VALUE"""),"Batasan, Arayat, PAMPANGA")</f>
        <v>Batasan, Arayat, PAMPANGA</v>
      </c>
      <c r="D691" s="2" t="str">
        <f>IFERROR(__xludf.DUMMYFUNCTION("""COMPUTED_VALUE"""),"PRECY G. DOMINGO")</f>
        <v>PRECY G. DOMINGO</v>
      </c>
      <c r="E691" s="2" t="str">
        <f>IFERROR(__xludf.DUMMYFUNCTION("""COMPUTED_VALUE"""),"0905-204-4978")</f>
        <v>0905-204-4978</v>
      </c>
      <c r="F691" s="2" t="str">
        <f>IFERROR(__xludf.DUMMYFUNCTION("""COMPUTED_VALUE"""),"RCEF 25-03-05")</f>
        <v>RCEF 25-03-05</v>
      </c>
      <c r="G691" s="2">
        <f>IFERROR(__xludf.DUMMYFUNCTION("""COMPUTED_VALUE"""),5.0)</f>
        <v>5</v>
      </c>
      <c r="H691" s="2" t="str">
        <f>IFERROR(__xludf.DUMMYFUNCTION("""COMPUTED_VALUE"""),"26506 &amp; 27687")</f>
        <v>26506 &amp; 27687</v>
      </c>
      <c r="I691" s="2" t="str">
        <f>IFERROR(__xludf.DUMMYFUNCTION("""COMPUTED_VALUE"""),"KMC5825 ALSFPV0287")</f>
        <v>KMC5825 ALSFPV0287</v>
      </c>
      <c r="J691" s="3" t="str">
        <f>IFERROR(__xludf.DUMMYFUNCTION("""COMPUTED_VALUE"""),"STS100303")</f>
        <v>STS100303</v>
      </c>
      <c r="K691" s="2" t="str">
        <f>IFERROR(__xludf.DUMMYFUNCTION("""COMPUTED_VALUE"""),"R-SERIES 126PH")</f>
        <v>R-SERIES 126PH</v>
      </c>
      <c r="L691" s="3" t="str">
        <f>IFERROR(__xludf.DUMMYFUNCTION("""COMPUTED_VALUE"""),"25080310")</f>
        <v>25080310</v>
      </c>
      <c r="M691" s="3" t="str">
        <f>IFERROR(__xludf.DUMMYFUNCTION("""COMPUTED_VALUE"""),"25080884")</f>
        <v>25080884</v>
      </c>
      <c r="N691" s="2"/>
      <c r="O691" s="2" t="str">
        <f>IFERROR(__xludf.DUMMYFUNCTION("""COMPUTED_VALUE"""),"Batasan")</f>
        <v>Batasan</v>
      </c>
      <c r="P691" s="2" t="str">
        <f>IFERROR(__xludf.DUMMYFUNCTION("""COMPUTED_VALUE"""),"Arayat")</f>
        <v>Arayat</v>
      </c>
      <c r="Q691" s="2" t="str">
        <f>IFERROR(__xludf.DUMMYFUNCTION("""COMPUTED_VALUE"""),"Pampanga")</f>
        <v>Pampanga</v>
      </c>
      <c r="R691" s="2">
        <f>IFERROR(__xludf.DUMMYFUNCTION("""COMPUTED_VALUE"""),3.0)</f>
        <v>3</v>
      </c>
      <c r="S691" s="2"/>
      <c r="T691" s="2"/>
    </row>
    <row r="692">
      <c r="A692" s="1">
        <f>IFERROR(__xludf.DUMMYFUNCTION("""COMPUTED_VALUE"""),690.0)</f>
        <v>690</v>
      </c>
      <c r="B692" s="2" t="str">
        <f>IFERROR(__xludf.DUMMYFUNCTION("""COMPUTED_VALUE"""),"Farmers Association of Sto. Niño Tabuan")</f>
        <v>Farmers Association of Sto. Niño Tabuan</v>
      </c>
      <c r="C692" s="2" t="str">
        <f>IFERROR(__xludf.DUMMYFUNCTION("""COMPUTED_VALUE"""),"Santo Niño Tabuan, Arayat, PAMPANGA")</f>
        <v>Santo Niño Tabuan, Arayat, PAMPANGA</v>
      </c>
      <c r="D692" s="2" t="str">
        <f>IFERROR(__xludf.DUMMYFUNCTION("""COMPUTED_VALUE"""),"Nestor Mejia")</f>
        <v>Nestor Mejia</v>
      </c>
      <c r="E692" s="2" t="str">
        <f>IFERROR(__xludf.DUMMYFUNCTION("""COMPUTED_VALUE"""),"0965-058-9364")</f>
        <v>0965-058-9364</v>
      </c>
      <c r="F692" s="2" t="str">
        <f>IFERROR(__xludf.DUMMYFUNCTION("""COMPUTED_VALUE"""),"RCEF 25-03-05")</f>
        <v>RCEF 25-03-05</v>
      </c>
      <c r="G692" s="2">
        <f>IFERROR(__xludf.DUMMYFUNCTION("""COMPUTED_VALUE"""),5.0)</f>
        <v>5</v>
      </c>
      <c r="H692" s="2" t="str">
        <f>IFERROR(__xludf.DUMMYFUNCTION("""COMPUTED_VALUE"""),"26507 &amp; 27688")</f>
        <v>26507 &amp; 27688</v>
      </c>
      <c r="I692" s="2" t="str">
        <f>IFERROR(__xludf.DUMMYFUNCTION("""COMPUTED_VALUE"""),"KMC5825 AKSFPV0203")</f>
        <v>KMC5825 AKSFPV0203</v>
      </c>
      <c r="J692" s="3" t="str">
        <f>IFERROR(__xludf.DUMMYFUNCTION("""COMPUTED_VALUE"""),"STS100203")</f>
        <v>STS100203</v>
      </c>
      <c r="K692" s="2" t="str">
        <f>IFERROR(__xludf.DUMMYFUNCTION("""COMPUTED_VALUE"""),"WR-SERIES 141")</f>
        <v>WR-SERIES 141</v>
      </c>
      <c r="L692" s="3" t="str">
        <f>IFERROR(__xludf.DUMMYFUNCTION("""COMPUTED_VALUE"""),"25080346")</f>
        <v>25080346</v>
      </c>
      <c r="M692" s="3" t="str">
        <f>IFERROR(__xludf.DUMMYFUNCTION("""COMPUTED_VALUE"""),"25090998")</f>
        <v>25090998</v>
      </c>
      <c r="N692" s="2"/>
      <c r="O692" s="2" t="str">
        <f>IFERROR(__xludf.DUMMYFUNCTION("""COMPUTED_VALUE"""),"Santo Niño Tabuan")</f>
        <v>Santo Niño Tabuan</v>
      </c>
      <c r="P692" s="2" t="str">
        <f>IFERROR(__xludf.DUMMYFUNCTION("""COMPUTED_VALUE"""),"Arayat")</f>
        <v>Arayat</v>
      </c>
      <c r="Q692" s="2" t="str">
        <f>IFERROR(__xludf.DUMMYFUNCTION("""COMPUTED_VALUE"""),"Pampanga")</f>
        <v>Pampanga</v>
      </c>
      <c r="R692" s="2">
        <f>IFERROR(__xludf.DUMMYFUNCTION("""COMPUTED_VALUE"""),3.0)</f>
        <v>3</v>
      </c>
      <c r="S692" s="2"/>
      <c r="T692" s="2"/>
    </row>
    <row r="693">
      <c r="A693" s="1">
        <f>IFERROR(__xludf.DUMMYFUNCTION("""COMPUTED_VALUE"""),691.0)</f>
        <v>691</v>
      </c>
      <c r="B693" s="2" t="str">
        <f>IFERROR(__xludf.DUMMYFUNCTION("""COMPUTED_VALUE"""),"Lacmit Farmers Agriculture Cooperative")</f>
        <v>Lacmit Farmers Agriculture Cooperative</v>
      </c>
      <c r="C693" s="2" t="str">
        <f>IFERROR(__xludf.DUMMYFUNCTION("""COMPUTED_VALUE"""),"Lacmit, Arayat, PAMPANGA")</f>
        <v>Lacmit, Arayat, PAMPANGA</v>
      </c>
      <c r="D693" s="2" t="str">
        <f>IFERROR(__xludf.DUMMYFUNCTION("""COMPUTED_VALUE"""),"EDUARDO BALATBAT")</f>
        <v>EDUARDO BALATBAT</v>
      </c>
      <c r="E693" s="2" t="str">
        <f>IFERROR(__xludf.DUMMYFUNCTION("""COMPUTED_VALUE"""),"0967-245-6859")</f>
        <v>0967-245-6859</v>
      </c>
      <c r="F693" s="2" t="str">
        <f>IFERROR(__xludf.DUMMYFUNCTION("""COMPUTED_VALUE"""),"RCEF 25-03-05")</f>
        <v>RCEF 25-03-05</v>
      </c>
      <c r="G693" s="2">
        <f>IFERROR(__xludf.DUMMYFUNCTION("""COMPUTED_VALUE"""),5.0)</f>
        <v>5</v>
      </c>
      <c r="H693" s="2" t="str">
        <f>IFERROR(__xludf.DUMMYFUNCTION("""COMPUTED_VALUE"""),"26508 &amp; 27689")</f>
        <v>26508 &amp; 27689</v>
      </c>
      <c r="I693" s="2" t="str">
        <f>IFERROR(__xludf.DUMMYFUNCTION("""COMPUTED_VALUE"""),"KMC5825 AJSFPV0347")</f>
        <v>KMC5825 AJSFPV0347</v>
      </c>
      <c r="J693" s="3" t="str">
        <f>IFERROR(__xludf.DUMMYFUNCTION("""COMPUTED_VALUE"""),"STS100372")</f>
        <v>STS100372</v>
      </c>
      <c r="K693" s="2" t="str">
        <f>IFERROR(__xludf.DUMMYFUNCTION("""COMPUTED_VALUE"""),"WR-SERIES 088")</f>
        <v>WR-SERIES 088</v>
      </c>
      <c r="L693" s="3" t="str">
        <f>IFERROR(__xludf.DUMMYFUNCTION("""COMPUTED_VALUE"""),"25080304")</f>
        <v>25080304</v>
      </c>
      <c r="M693" s="3" t="str">
        <f>IFERROR(__xludf.DUMMYFUNCTION("""COMPUTED_VALUE"""),"25090975")</f>
        <v>25090975</v>
      </c>
      <c r="N693" s="2"/>
      <c r="O693" s="2" t="str">
        <f>IFERROR(__xludf.DUMMYFUNCTION("""COMPUTED_VALUE"""),"Lacmit")</f>
        <v>Lacmit</v>
      </c>
      <c r="P693" s="2" t="str">
        <f>IFERROR(__xludf.DUMMYFUNCTION("""COMPUTED_VALUE"""),"Arayat")</f>
        <v>Arayat</v>
      </c>
      <c r="Q693" s="2" t="str">
        <f>IFERROR(__xludf.DUMMYFUNCTION("""COMPUTED_VALUE"""),"Pampanga")</f>
        <v>Pampanga</v>
      </c>
      <c r="R693" s="2">
        <f>IFERROR(__xludf.DUMMYFUNCTION("""COMPUTED_VALUE"""),3.0)</f>
        <v>3</v>
      </c>
      <c r="S693" s="2"/>
      <c r="T693" s="2"/>
    </row>
    <row r="694">
      <c r="A694" s="1">
        <f>IFERROR(__xludf.DUMMYFUNCTION("""COMPUTED_VALUE"""),692.0)</f>
        <v>692</v>
      </c>
      <c r="B694" s="2" t="str">
        <f>IFERROR(__xludf.DUMMYFUNCTION("""COMPUTED_VALUE"""),"SAMAHAN NG MAGSASAKA KAPAMPANGAN NG LAPAZ TURU (SaMaKa) INC.")</f>
        <v>SAMAHAN NG MAGSASAKA KAPAMPANGAN NG LAPAZ TURU (SaMaKa) INC.</v>
      </c>
      <c r="C694" s="2" t="str">
        <f>IFERROR(__xludf.DUMMYFUNCTION("""COMPUTED_VALUE"""),"La Paz (Turu), Arayat, PAMPANGA")</f>
        <v>La Paz (Turu), Arayat, PAMPANGA</v>
      </c>
      <c r="D694" s="2" t="str">
        <f>IFERROR(__xludf.DUMMYFUNCTION("""COMPUTED_VALUE"""),"MARCELO M. LAXAMANA")</f>
        <v>MARCELO M. LAXAMANA</v>
      </c>
      <c r="E694" s="2" t="str">
        <f>IFERROR(__xludf.DUMMYFUNCTION("""COMPUTED_VALUE"""),"0906-855-9042")</f>
        <v>0906-855-9042</v>
      </c>
      <c r="F694" s="2" t="str">
        <f>IFERROR(__xludf.DUMMYFUNCTION("""COMPUTED_VALUE"""),"RCEF 25-03-05")</f>
        <v>RCEF 25-03-05</v>
      </c>
      <c r="G694" s="2">
        <f>IFERROR(__xludf.DUMMYFUNCTION("""COMPUTED_VALUE"""),5.0)</f>
        <v>5</v>
      </c>
      <c r="H694" s="2" t="str">
        <f>IFERROR(__xludf.DUMMYFUNCTION("""COMPUTED_VALUE"""),"26509 &amp; 27690")</f>
        <v>26509 &amp; 27690</v>
      </c>
      <c r="I694" s="2" t="str">
        <f>IFERROR(__xludf.DUMMYFUNCTION("""COMPUTED_VALUE"""),"KMC5825 ACSFPV0343")</f>
        <v>KMC5825 ACSFPV0343</v>
      </c>
      <c r="J694" s="3" t="str">
        <f>IFERROR(__xludf.DUMMYFUNCTION("""COMPUTED_VALUE"""),"STS100360")</f>
        <v>STS100360</v>
      </c>
      <c r="K694" s="2" t="str">
        <f>IFERROR(__xludf.DUMMYFUNCTION("""COMPUTED_VALUE"""),"R-SERIES 150PH")</f>
        <v>R-SERIES 150PH</v>
      </c>
      <c r="L694" s="3" t="str">
        <f>IFERROR(__xludf.DUMMYFUNCTION("""COMPUTED_VALUE"""),"25090567")</f>
        <v>25090567</v>
      </c>
      <c r="M694" s="3" t="str">
        <f>IFERROR(__xludf.DUMMYFUNCTION("""COMPUTED_VALUE"""),"25080824")</f>
        <v>25080824</v>
      </c>
      <c r="N694" s="2"/>
      <c r="O694" s="2" t="str">
        <f>IFERROR(__xludf.DUMMYFUNCTION("""COMPUTED_VALUE"""),"La Paz (Turu)")</f>
        <v>La Paz (Turu)</v>
      </c>
      <c r="P694" s="2" t="str">
        <f>IFERROR(__xludf.DUMMYFUNCTION("""COMPUTED_VALUE"""),"Arayat")</f>
        <v>Arayat</v>
      </c>
      <c r="Q694" s="2" t="str">
        <f>IFERROR(__xludf.DUMMYFUNCTION("""COMPUTED_VALUE"""),"Pampanga")</f>
        <v>Pampanga</v>
      </c>
      <c r="R694" s="2">
        <f>IFERROR(__xludf.DUMMYFUNCTION("""COMPUTED_VALUE"""),3.0)</f>
        <v>3</v>
      </c>
      <c r="S694" s="2"/>
      <c r="T694" s="2"/>
    </row>
    <row r="695">
      <c r="A695" s="1">
        <f>IFERROR(__xludf.DUMMYFUNCTION("""COMPUTED_VALUE"""),693.0)</f>
        <v>693</v>
      </c>
      <c r="B695" s="2" t="str">
        <f>IFERROR(__xludf.DUMMYFUNCTION("""COMPUTED_VALUE"""),"MACABACLE FARMERS ASSOCIATION")</f>
        <v>MACABACLE FARMERS ASSOCIATION</v>
      </c>
      <c r="C695" s="2" t="str">
        <f>IFERROR(__xludf.DUMMYFUNCTION("""COMPUTED_VALUE"""),"Macabacle, Bacolor, PAMPANGA")</f>
        <v>Macabacle, Bacolor, PAMPANGA</v>
      </c>
      <c r="D695" s="2" t="str">
        <f>IFERROR(__xludf.DUMMYFUNCTION("""COMPUTED_VALUE"""),"ARIEL OCAMPO")</f>
        <v>ARIEL OCAMPO</v>
      </c>
      <c r="E695" s="2" t="str">
        <f>IFERROR(__xludf.DUMMYFUNCTION("""COMPUTED_VALUE"""),"0948-280-9193")</f>
        <v>0948-280-9193</v>
      </c>
      <c r="F695" s="2" t="str">
        <f>IFERROR(__xludf.DUMMYFUNCTION("""COMPUTED_VALUE"""),"RCEF 25-03-05")</f>
        <v>RCEF 25-03-05</v>
      </c>
      <c r="G695" s="2">
        <f>IFERROR(__xludf.DUMMYFUNCTION("""COMPUTED_VALUE"""),5.0)</f>
        <v>5</v>
      </c>
      <c r="H695" s="2" t="str">
        <f>IFERROR(__xludf.DUMMYFUNCTION("""COMPUTED_VALUE"""),"26510 &amp; 27691")</f>
        <v>26510 &amp; 27691</v>
      </c>
      <c r="I695" s="2" t="str">
        <f>IFERROR(__xludf.DUMMYFUNCTION("""COMPUTED_VALUE"""),"KMC5825 ACSFPV0298")</f>
        <v>KMC5825 ACSFPV0298</v>
      </c>
      <c r="J695" s="3" t="str">
        <f>IFERROR(__xludf.DUMMYFUNCTION("""COMPUTED_VALUE"""),"STS100241")</f>
        <v>STS100241</v>
      </c>
      <c r="K695" s="2" t="str">
        <f>IFERROR(__xludf.DUMMYFUNCTION("""COMPUTED_VALUE"""),"R-SERIES 043PH")</f>
        <v>R-SERIES 043PH</v>
      </c>
      <c r="L695" s="3" t="str">
        <f>IFERROR(__xludf.DUMMYFUNCTION("""COMPUTED_VALUE"""),"25090576")</f>
        <v>25090576</v>
      </c>
      <c r="M695" s="3" t="str">
        <f>IFERROR(__xludf.DUMMYFUNCTION("""COMPUTED_VALUE"""),"25090991")</f>
        <v>25090991</v>
      </c>
      <c r="N695" s="2"/>
      <c r="O695" s="2" t="str">
        <f>IFERROR(__xludf.DUMMYFUNCTION("""COMPUTED_VALUE"""),"Macabacle")</f>
        <v>Macabacle</v>
      </c>
      <c r="P695" s="2" t="str">
        <f>IFERROR(__xludf.DUMMYFUNCTION("""COMPUTED_VALUE"""),"Bacolor")</f>
        <v>Bacolor</v>
      </c>
      <c r="Q695" s="2" t="str">
        <f>IFERROR(__xludf.DUMMYFUNCTION("""COMPUTED_VALUE"""),"Pampanga")</f>
        <v>Pampanga</v>
      </c>
      <c r="R695" s="2">
        <f>IFERROR(__xludf.DUMMYFUNCTION("""COMPUTED_VALUE"""),3.0)</f>
        <v>3</v>
      </c>
      <c r="S695" s="2"/>
      <c r="T695" s="2"/>
    </row>
    <row r="696">
      <c r="A696" s="1">
        <f>IFERROR(__xludf.DUMMYFUNCTION("""COMPUTED_VALUE"""),694.0)</f>
        <v>694</v>
      </c>
      <c r="B696" s="2" t="str">
        <f>IFERROR(__xludf.DUMMYFUNCTION("""COMPUTED_VALUE"""),"SAMAHANG MAGBUBUKID NG BARANGAY MESALIPIT")</f>
        <v>SAMAHANG MAGBUBUKID NG BARANGAY MESALIPIT</v>
      </c>
      <c r="C696" s="2" t="str">
        <f>IFERROR(__xludf.DUMMYFUNCTION("""COMPUTED_VALUE"""),"Mesalipit, Bacolor, PAMPANGA")</f>
        <v>Mesalipit, Bacolor, PAMPANGA</v>
      </c>
      <c r="D696" s="2" t="str">
        <f>IFERROR(__xludf.DUMMYFUNCTION("""COMPUTED_VALUE"""),"REY D. NAGUIT")</f>
        <v>REY D. NAGUIT</v>
      </c>
      <c r="E696" s="2" t="str">
        <f>IFERROR(__xludf.DUMMYFUNCTION("""COMPUTED_VALUE"""),"0939-199-0546")</f>
        <v>0939-199-0546</v>
      </c>
      <c r="F696" s="2" t="str">
        <f>IFERROR(__xludf.DUMMYFUNCTION("""COMPUTED_VALUE"""),"RCEF 25-03-05")</f>
        <v>RCEF 25-03-05</v>
      </c>
      <c r="G696" s="2">
        <f>IFERROR(__xludf.DUMMYFUNCTION("""COMPUTED_VALUE"""),5.0)</f>
        <v>5</v>
      </c>
      <c r="H696" s="2" t="str">
        <f>IFERROR(__xludf.DUMMYFUNCTION("""COMPUTED_VALUE"""),"26511 &amp; 27692")</f>
        <v>26511 &amp; 27692</v>
      </c>
      <c r="I696" s="2" t="str">
        <f>IFERROR(__xludf.DUMMYFUNCTION("""COMPUTED_VALUE"""),"KMC5825 AVSFPV0349")</f>
        <v>KMC5825 AVSFPV0349</v>
      </c>
      <c r="J696" s="3" t="str">
        <f>IFERROR(__xludf.DUMMYFUNCTION("""COMPUTED_VALUE"""),"STS100373")</f>
        <v>STS100373</v>
      </c>
      <c r="K696" s="2" t="str">
        <f>IFERROR(__xludf.DUMMYFUNCTION("""COMPUTED_VALUE"""),"R-SERIES 053PH")</f>
        <v>R-SERIES 053PH</v>
      </c>
      <c r="L696" s="3" t="str">
        <f>IFERROR(__xludf.DUMMYFUNCTION("""COMPUTED_VALUE"""),"25090536")</f>
        <v>25090536</v>
      </c>
      <c r="M696" s="3" t="str">
        <f>IFERROR(__xludf.DUMMYFUNCTION("""COMPUTED_VALUE"""),"25091000")</f>
        <v>25091000</v>
      </c>
      <c r="N696" s="2"/>
      <c r="O696" s="2" t="str">
        <f>IFERROR(__xludf.DUMMYFUNCTION("""COMPUTED_VALUE"""),"Mesalipit")</f>
        <v>Mesalipit</v>
      </c>
      <c r="P696" s="2" t="str">
        <f>IFERROR(__xludf.DUMMYFUNCTION("""COMPUTED_VALUE"""),"Bacolor")</f>
        <v>Bacolor</v>
      </c>
      <c r="Q696" s="2" t="str">
        <f>IFERROR(__xludf.DUMMYFUNCTION("""COMPUTED_VALUE"""),"Pampanga")</f>
        <v>Pampanga</v>
      </c>
      <c r="R696" s="2">
        <f>IFERROR(__xludf.DUMMYFUNCTION("""COMPUTED_VALUE"""),3.0)</f>
        <v>3</v>
      </c>
      <c r="S696" s="2"/>
      <c r="T696" s="2"/>
    </row>
    <row r="697">
      <c r="A697" s="1">
        <f>IFERROR(__xludf.DUMMYFUNCTION("""COMPUTED_VALUE"""),695.0)</f>
        <v>695</v>
      </c>
      <c r="B697" s="2" t="str">
        <f>IFERROR(__xludf.DUMMYFUNCTION("""COMPUTED_VALUE"""),"EDEN MEXICO PEOPLE'S ORGANIZATION AND FARMER'S ASSOCIATION INC.")</f>
        <v>EDEN MEXICO PEOPLE'S ORGANIZATION AND FARMER'S ASSOCIATION INC.</v>
      </c>
      <c r="C697" s="2" t="str">
        <f>IFERROR(__xludf.DUMMYFUNCTION("""COMPUTED_VALUE"""),"Eden, Mexico, PAMPANGA")</f>
        <v>Eden, Mexico, PAMPANGA</v>
      </c>
      <c r="D697" s="2" t="str">
        <f>IFERROR(__xludf.DUMMYFUNCTION("""COMPUTED_VALUE"""),"RONEL S. MALIG")</f>
        <v>RONEL S. MALIG</v>
      </c>
      <c r="E697" s="2" t="str">
        <f>IFERROR(__xludf.DUMMYFUNCTION("""COMPUTED_VALUE"""),"0975-860-5756")</f>
        <v>0975-860-5756</v>
      </c>
      <c r="F697" s="2" t="str">
        <f>IFERROR(__xludf.DUMMYFUNCTION("""COMPUTED_VALUE"""),"RCEF 25-03-05")</f>
        <v>RCEF 25-03-05</v>
      </c>
      <c r="G697" s="2">
        <f>IFERROR(__xludf.DUMMYFUNCTION("""COMPUTED_VALUE"""),5.0)</f>
        <v>5</v>
      </c>
      <c r="H697" s="2" t="str">
        <f>IFERROR(__xludf.DUMMYFUNCTION("""COMPUTED_VALUE"""),"26512 &amp; 27693")</f>
        <v>26512 &amp; 27693</v>
      </c>
      <c r="I697" s="2" t="str">
        <f>IFERROR(__xludf.DUMMYFUNCTION("""COMPUTED_VALUE"""),"KMC5825 AESFPV0180")</f>
        <v>KMC5825 AESFPV0180</v>
      </c>
      <c r="J697" s="3" t="str">
        <f>IFERROR(__xludf.DUMMYFUNCTION("""COMPUTED_VALUE"""),"STS100210")</f>
        <v>STS100210</v>
      </c>
      <c r="K697" s="2" t="str">
        <f>IFERROR(__xludf.DUMMYFUNCTION("""COMPUTED_VALUE"""),"R-SERIES 057PH")</f>
        <v>R-SERIES 057PH</v>
      </c>
      <c r="L697" s="3" t="str">
        <f>IFERROR(__xludf.DUMMYFUNCTION("""COMPUTED_VALUE"""),"25080311")</f>
        <v>25080311</v>
      </c>
      <c r="M697" s="3" t="str">
        <f>IFERROR(__xludf.DUMMYFUNCTION("""COMPUTED_VALUE"""),"25080845")</f>
        <v>25080845</v>
      </c>
      <c r="N697" s="2"/>
      <c r="O697" s="2" t="str">
        <f>IFERROR(__xludf.DUMMYFUNCTION("""COMPUTED_VALUE"""),"Eden")</f>
        <v>Eden</v>
      </c>
      <c r="P697" s="2" t="str">
        <f>IFERROR(__xludf.DUMMYFUNCTION("""COMPUTED_VALUE"""),"Mexico")</f>
        <v>Mexico</v>
      </c>
      <c r="Q697" s="2" t="str">
        <f>IFERROR(__xludf.DUMMYFUNCTION("""COMPUTED_VALUE"""),"Pampanga")</f>
        <v>Pampanga</v>
      </c>
      <c r="R697" s="2">
        <f>IFERROR(__xludf.DUMMYFUNCTION("""COMPUTED_VALUE"""),3.0)</f>
        <v>3</v>
      </c>
      <c r="S697" s="2"/>
      <c r="T697" s="2"/>
    </row>
    <row r="698">
      <c r="A698" s="1">
        <f>IFERROR(__xludf.DUMMYFUNCTION("""COMPUTED_VALUE"""),696.0)</f>
        <v>696</v>
      </c>
      <c r="B698" s="2" t="str">
        <f>IFERROR(__xludf.DUMMYFUNCTION("""COMPUTED_VALUE"""),"SAN CARLOS MEXICO FARMERS ASSOCIATION INC.")</f>
        <v>SAN CARLOS MEXICO FARMERS ASSOCIATION INC.</v>
      </c>
      <c r="C698" s="2" t="str">
        <f>IFERROR(__xludf.DUMMYFUNCTION("""COMPUTED_VALUE"""),"San Carlos, Mexico, PAMPANGA")</f>
        <v>San Carlos, Mexico, PAMPANGA</v>
      </c>
      <c r="D698" s="2" t="str">
        <f>IFERROR(__xludf.DUMMYFUNCTION("""COMPUTED_VALUE"""),"REMIGIO C. BUCAO")</f>
        <v>REMIGIO C. BUCAO</v>
      </c>
      <c r="E698" s="2" t="str">
        <f>IFERROR(__xludf.DUMMYFUNCTION("""COMPUTED_VALUE"""),"0949-154-7796")</f>
        <v>0949-154-7796</v>
      </c>
      <c r="F698" s="2" t="str">
        <f>IFERROR(__xludf.DUMMYFUNCTION("""COMPUTED_VALUE"""),"RCEF 25-03-05")</f>
        <v>RCEF 25-03-05</v>
      </c>
      <c r="G698" s="2">
        <f>IFERROR(__xludf.DUMMYFUNCTION("""COMPUTED_VALUE"""),5.0)</f>
        <v>5</v>
      </c>
      <c r="H698" s="2" t="str">
        <f>IFERROR(__xludf.DUMMYFUNCTION("""COMPUTED_VALUE"""),"26513 &amp; 27694")</f>
        <v>26513 &amp; 27694</v>
      </c>
      <c r="I698" s="2" t="str">
        <f>IFERROR(__xludf.DUMMYFUNCTION("""COMPUTED_VALUE"""),"KMC5825 AESFPV0194")</f>
        <v>KMC5825 AESFPV0194</v>
      </c>
      <c r="J698" s="3" t="str">
        <f>IFERROR(__xludf.DUMMYFUNCTION("""COMPUTED_VALUE"""),"STS100204")</f>
        <v>STS100204</v>
      </c>
      <c r="K698" s="2" t="str">
        <f>IFERROR(__xludf.DUMMYFUNCTION("""COMPUTED_VALUE"""),"WR-SERIES 058")</f>
        <v>WR-SERIES 058</v>
      </c>
      <c r="L698" s="3" t="str">
        <f>IFERROR(__xludf.DUMMYFUNCTION("""COMPUTED_VALUE"""),"25080417")</f>
        <v>25080417</v>
      </c>
      <c r="M698" s="3" t="str">
        <f>IFERROR(__xludf.DUMMYFUNCTION("""COMPUTED_VALUE"""),"25090976")</f>
        <v>25090976</v>
      </c>
      <c r="N698" s="2"/>
      <c r="O698" s="2" t="str">
        <f>IFERROR(__xludf.DUMMYFUNCTION("""COMPUTED_VALUE"""),"San Carlos")</f>
        <v>San Carlos</v>
      </c>
      <c r="P698" s="2" t="str">
        <f>IFERROR(__xludf.DUMMYFUNCTION("""COMPUTED_VALUE"""),"Mexico")</f>
        <v>Mexico</v>
      </c>
      <c r="Q698" s="2" t="str">
        <f>IFERROR(__xludf.DUMMYFUNCTION("""COMPUTED_VALUE"""),"Pampanga")</f>
        <v>Pampanga</v>
      </c>
      <c r="R698" s="2">
        <f>IFERROR(__xludf.DUMMYFUNCTION("""COMPUTED_VALUE"""),3.0)</f>
        <v>3</v>
      </c>
      <c r="S698" s="2"/>
      <c r="T698" s="2"/>
    </row>
    <row r="699">
      <c r="A699" s="1">
        <f>IFERROR(__xludf.DUMMYFUNCTION("""COMPUTED_VALUE"""),697.0)</f>
        <v>697</v>
      </c>
      <c r="B699" s="2" t="str">
        <f>IFERROR(__xludf.DUMMYFUNCTION("""COMPUTED_VALUE"""),"Guran-Sapa Multipurpose Cooperative")</f>
        <v>Guran-Sapa Multipurpose Cooperative</v>
      </c>
      <c r="C699" s="2" t="str">
        <f>IFERROR(__xludf.DUMMYFUNCTION("""COMPUTED_VALUE"""),"San Pablo, Santa Ana, PAMPANGA")</f>
        <v>San Pablo, Santa Ana, PAMPANGA</v>
      </c>
      <c r="D699" s="2" t="str">
        <f>IFERROR(__xludf.DUMMYFUNCTION("""COMPUTED_VALUE"""),"Atty. MAMERTO S. VILLANUEVA")</f>
        <v>Atty. MAMERTO S. VILLANUEVA</v>
      </c>
      <c r="E699" s="2" t="str">
        <f>IFERROR(__xludf.DUMMYFUNCTION("""COMPUTED_VALUE"""),"0927-691-5987")</f>
        <v>0927-691-5987</v>
      </c>
      <c r="F699" s="2" t="str">
        <f>IFERROR(__xludf.DUMMYFUNCTION("""COMPUTED_VALUE"""),"RCEF 25-03-05")</f>
        <v>RCEF 25-03-05</v>
      </c>
      <c r="G699" s="2">
        <f>IFERROR(__xludf.DUMMYFUNCTION("""COMPUTED_VALUE"""),5.0)</f>
        <v>5</v>
      </c>
      <c r="H699" s="2" t="str">
        <f>IFERROR(__xludf.DUMMYFUNCTION("""COMPUTED_VALUE"""),"26514 &amp; 27695")</f>
        <v>26514 &amp; 27695</v>
      </c>
      <c r="I699" s="2" t="str">
        <f>IFERROR(__xludf.DUMMYFUNCTION("""COMPUTED_VALUE"""),"KMC5825 AJSFPV0350")</f>
        <v>KMC5825 AJSFPV0350</v>
      </c>
      <c r="J699" s="3" t="str">
        <f>IFERROR(__xludf.DUMMYFUNCTION("""COMPUTED_VALUE"""),"STS100330")</f>
        <v>STS100330</v>
      </c>
      <c r="K699" s="2" t="str">
        <f>IFERROR(__xludf.DUMMYFUNCTION("""COMPUTED_VALUE"""),"WR-SERIES 275")</f>
        <v>WR-SERIES 275</v>
      </c>
      <c r="L699" s="3" t="str">
        <f>IFERROR(__xludf.DUMMYFUNCTION("""COMPUTED_VALUE"""),"25080405")</f>
        <v>25080405</v>
      </c>
      <c r="M699" s="3" t="str">
        <f>IFERROR(__xludf.DUMMYFUNCTION("""COMPUTED_VALUE"""),"25080820")</f>
        <v>25080820</v>
      </c>
      <c r="N699" s="2"/>
      <c r="O699" s="2" t="str">
        <f>IFERROR(__xludf.DUMMYFUNCTION("""COMPUTED_VALUE"""),"San Pablo")</f>
        <v>San Pablo</v>
      </c>
      <c r="P699" s="2" t="str">
        <f>IFERROR(__xludf.DUMMYFUNCTION("""COMPUTED_VALUE"""),"Santa Ana")</f>
        <v>Santa Ana</v>
      </c>
      <c r="Q699" s="2" t="str">
        <f>IFERROR(__xludf.DUMMYFUNCTION("""COMPUTED_VALUE"""),"Pampanga")</f>
        <v>Pampanga</v>
      </c>
      <c r="R699" s="2">
        <f>IFERROR(__xludf.DUMMYFUNCTION("""COMPUTED_VALUE"""),3.0)</f>
        <v>3</v>
      </c>
      <c r="S699" s="2"/>
      <c r="T699" s="2"/>
    </row>
    <row r="700">
      <c r="A700" s="1">
        <f>IFERROR(__xludf.DUMMYFUNCTION("""COMPUTED_VALUE"""),698.0)</f>
        <v>698</v>
      </c>
      <c r="B700" s="2" t="str">
        <f>IFERROR(__xludf.DUMMYFUNCTION("""COMPUTED_VALUE"""),"Sta. Ana Agricultural Multipurpose Cooperative")</f>
        <v>Sta. Ana Agricultural Multipurpose Cooperative</v>
      </c>
      <c r="C700" s="2" t="str">
        <f>IFERROR(__xludf.DUMMYFUNCTION("""COMPUTED_VALUE"""),"Santa Lucia, Santa Ana, PAMPANGA")</f>
        <v>Santa Lucia, Santa Ana, PAMPANGA</v>
      </c>
      <c r="D700" s="2" t="str">
        <f>IFERROR(__xludf.DUMMYFUNCTION("""COMPUTED_VALUE"""),"DANILO S. LANDAYAN")</f>
        <v>DANILO S. LANDAYAN</v>
      </c>
      <c r="E700" s="2" t="str">
        <f>IFERROR(__xludf.DUMMYFUNCTION("""COMPUTED_VALUE"""),"0955-118-3985")</f>
        <v>0955-118-3985</v>
      </c>
      <c r="F700" s="2" t="str">
        <f>IFERROR(__xludf.DUMMYFUNCTION("""COMPUTED_VALUE"""),"RCEF 25-03-05")</f>
        <v>RCEF 25-03-05</v>
      </c>
      <c r="G700" s="2">
        <f>IFERROR(__xludf.DUMMYFUNCTION("""COMPUTED_VALUE"""),5.0)</f>
        <v>5</v>
      </c>
      <c r="H700" s="2" t="str">
        <f>IFERROR(__xludf.DUMMYFUNCTION("""COMPUTED_VALUE"""),"26515 &amp; 27696")</f>
        <v>26515 &amp; 27696</v>
      </c>
      <c r="I700" s="2" t="str">
        <f>IFERROR(__xludf.DUMMYFUNCTION("""COMPUTED_VALUE"""),"KMC5825 AHSFPV0324")</f>
        <v>KMC5825 AHSFPV0324</v>
      </c>
      <c r="J700" s="3" t="str">
        <f>IFERROR(__xludf.DUMMYFUNCTION("""COMPUTED_VALUE"""),"STS100332")</f>
        <v>STS100332</v>
      </c>
      <c r="K700" s="2" t="str">
        <f>IFERROR(__xludf.DUMMYFUNCTION("""COMPUTED_VALUE"""),"WR-SERIES 145")</f>
        <v>WR-SERIES 145</v>
      </c>
      <c r="L700" s="3" t="str">
        <f>IFERROR(__xludf.DUMMYFUNCTION("""COMPUTED_VALUE"""),"25080399")</f>
        <v>25080399</v>
      </c>
      <c r="M700" s="3" t="str">
        <f>IFERROR(__xludf.DUMMYFUNCTION("""COMPUTED_VALUE"""),"25080871")</f>
        <v>25080871</v>
      </c>
      <c r="N700" s="2"/>
      <c r="O700" s="2" t="str">
        <f>IFERROR(__xludf.DUMMYFUNCTION("""COMPUTED_VALUE"""),"Santa Lucia")</f>
        <v>Santa Lucia</v>
      </c>
      <c r="P700" s="2" t="str">
        <f>IFERROR(__xludf.DUMMYFUNCTION("""COMPUTED_VALUE"""),"Santa Ana")</f>
        <v>Santa Ana</v>
      </c>
      <c r="Q700" s="2" t="str">
        <f>IFERROR(__xludf.DUMMYFUNCTION("""COMPUTED_VALUE"""),"Pampanga")</f>
        <v>Pampanga</v>
      </c>
      <c r="R700" s="2">
        <f>IFERROR(__xludf.DUMMYFUNCTION("""COMPUTED_VALUE"""),3.0)</f>
        <v>3</v>
      </c>
      <c r="S700" s="2"/>
      <c r="T700" s="2"/>
    </row>
    <row r="701">
      <c r="A701" s="1">
        <f>IFERROR(__xludf.DUMMYFUNCTION("""COMPUTED_VALUE"""),699.0)</f>
        <v>699</v>
      </c>
      <c r="B701" s="2" t="str">
        <f>IFERROR(__xludf.DUMMYFUNCTION("""COMPUTED_VALUE"""),"ROSARIANS ARBs AND FARMERS ASSOCIATION INC.")</f>
        <v>ROSARIANS ARBs AND FARMERS ASSOCIATION INC.</v>
      </c>
      <c r="C701" s="2" t="str">
        <f>IFERROR(__xludf.DUMMYFUNCTION("""COMPUTED_VALUE"""),"Sto. Rosario, Candaba, Pampanga")</f>
        <v>Sto. Rosario, Candaba, Pampanga</v>
      </c>
      <c r="D701" s="2" t="str">
        <f>IFERROR(__xludf.DUMMYFUNCTION("""COMPUTED_VALUE"""),"Rolando S. Carreon")</f>
        <v>Rolando S. Carreon</v>
      </c>
      <c r="E701" s="2" t="str">
        <f>IFERROR(__xludf.DUMMYFUNCTION("""COMPUTED_VALUE"""),"0905-946-4452")</f>
        <v>0905-946-4452</v>
      </c>
      <c r="F701" s="2" t="str">
        <f>IFERROR(__xludf.DUMMYFUNCTION("""COMPUTED_VALUE"""),"RCEF 25-03-05")</f>
        <v>RCEF 25-03-05</v>
      </c>
      <c r="G701" s="2">
        <f>IFERROR(__xludf.DUMMYFUNCTION("""COMPUTED_VALUE"""),5.0)</f>
        <v>5</v>
      </c>
      <c r="H701" s="2" t="str">
        <f>IFERROR(__xludf.DUMMYFUNCTION("""COMPUTED_VALUE"""),"26516 &amp; 27697")</f>
        <v>26516 &amp; 27697</v>
      </c>
      <c r="I701" s="2" t="str">
        <f>IFERROR(__xludf.DUMMYFUNCTION("""COMPUTED_VALUE"""),"KMC5825 AASFPV0238")</f>
        <v>KMC5825 AASFPV0238</v>
      </c>
      <c r="J701" s="3" t="str">
        <f>IFERROR(__xludf.DUMMYFUNCTION("""COMPUTED_VALUE"""),"STS100251")</f>
        <v>STS100251</v>
      </c>
      <c r="K701" s="2" t="str">
        <f>IFERROR(__xludf.DUMMYFUNCTION("""COMPUTED_VALUE"""),"WR-SERIES 055")</f>
        <v>WR-SERIES 055</v>
      </c>
      <c r="L701" s="3" t="str">
        <f>IFERROR(__xludf.DUMMYFUNCTION("""COMPUTED_VALUE"""),"25080348")</f>
        <v>25080348</v>
      </c>
      <c r="M701" s="3" t="str">
        <f>IFERROR(__xludf.DUMMYFUNCTION("""COMPUTED_VALUE"""),"25090971")</f>
        <v>25090971</v>
      </c>
      <c r="N701" s="2"/>
      <c r="O701" s="2" t="str">
        <f>IFERROR(__xludf.DUMMYFUNCTION("""COMPUTED_VALUE"""),"Sto. Rosario")</f>
        <v>Sto. Rosario</v>
      </c>
      <c r="P701" s="2" t="str">
        <f>IFERROR(__xludf.DUMMYFUNCTION("""COMPUTED_VALUE"""),"Candaba")</f>
        <v>Candaba</v>
      </c>
      <c r="Q701" s="2" t="str">
        <f>IFERROR(__xludf.DUMMYFUNCTION("""COMPUTED_VALUE"""),"Pampanga")</f>
        <v>Pampanga</v>
      </c>
      <c r="R701" s="2">
        <f>IFERROR(__xludf.DUMMYFUNCTION("""COMPUTED_VALUE"""),3.0)</f>
        <v>3</v>
      </c>
      <c r="S701" s="2"/>
      <c r="T701" s="2"/>
    </row>
    <row r="702">
      <c r="A702" s="1">
        <f>IFERROR(__xludf.DUMMYFUNCTION("""COMPUTED_VALUE"""),700.0)</f>
        <v>700</v>
      </c>
      <c r="B702" s="2" t="str">
        <f>IFERROR(__xludf.DUMMYFUNCTION("""COMPUTED_VALUE"""),"BARIT FARMERS IRRIGATORS ASSOCIATION OF CANDABA INC.")</f>
        <v>BARIT FARMERS IRRIGATORS ASSOCIATION OF CANDABA INC.</v>
      </c>
      <c r="C702" s="2" t="str">
        <f>IFERROR(__xludf.DUMMYFUNCTION("""COMPUTED_VALUE"""),"Barit, Candaba, PAMPANGA")</f>
        <v>Barit, Candaba, PAMPANGA</v>
      </c>
      <c r="D702" s="2" t="str">
        <f>IFERROR(__xludf.DUMMYFUNCTION("""COMPUTED_VALUE"""),"GUILLERMO MANGALUS")</f>
        <v>GUILLERMO MANGALUS</v>
      </c>
      <c r="E702" s="2" t="str">
        <f>IFERROR(__xludf.DUMMYFUNCTION("""COMPUTED_VALUE"""),"0915-893-6843")</f>
        <v>0915-893-6843</v>
      </c>
      <c r="F702" s="2" t="str">
        <f>IFERROR(__xludf.DUMMYFUNCTION("""COMPUTED_VALUE"""),"RCEF 25-03-05")</f>
        <v>RCEF 25-03-05</v>
      </c>
      <c r="G702" s="2">
        <f>IFERROR(__xludf.DUMMYFUNCTION("""COMPUTED_VALUE"""),5.0)</f>
        <v>5</v>
      </c>
      <c r="H702" s="2" t="str">
        <f>IFERROR(__xludf.DUMMYFUNCTION("""COMPUTED_VALUE"""),"26517 &amp; 27698")</f>
        <v>26517 &amp; 27698</v>
      </c>
      <c r="I702" s="2" t="str">
        <f>IFERROR(__xludf.DUMMYFUNCTION("""COMPUTED_VALUE"""),"KMC5825 ATSFPV0196")</f>
        <v>KMC5825 ATSFPV0196</v>
      </c>
      <c r="J702" s="3" t="str">
        <f>IFERROR(__xludf.DUMMYFUNCTION("""COMPUTED_VALUE"""),"STS100233")</f>
        <v>STS100233</v>
      </c>
      <c r="K702" s="2" t="str">
        <f>IFERROR(__xludf.DUMMYFUNCTION("""COMPUTED_VALUE"""),"WR-SERIES 144")</f>
        <v>WR-SERIES 144</v>
      </c>
      <c r="L702" s="3" t="str">
        <f>IFERROR(__xludf.DUMMYFUNCTION("""COMPUTED_VALUE"""),"25090616")</f>
        <v>25090616</v>
      </c>
      <c r="M702" s="3" t="str">
        <f>IFERROR(__xludf.DUMMYFUNCTION("""COMPUTED_VALUE"""),"25090974")</f>
        <v>25090974</v>
      </c>
      <c r="N702" s="2"/>
      <c r="O702" s="2" t="str">
        <f>IFERROR(__xludf.DUMMYFUNCTION("""COMPUTED_VALUE"""),"Barit")</f>
        <v>Barit</v>
      </c>
      <c r="P702" s="2" t="str">
        <f>IFERROR(__xludf.DUMMYFUNCTION("""COMPUTED_VALUE"""),"Candaba")</f>
        <v>Candaba</v>
      </c>
      <c r="Q702" s="2" t="str">
        <f>IFERROR(__xludf.DUMMYFUNCTION("""COMPUTED_VALUE"""),"Pampanga")</f>
        <v>Pampanga</v>
      </c>
      <c r="R702" s="2">
        <f>IFERROR(__xludf.DUMMYFUNCTION("""COMPUTED_VALUE"""),3.0)</f>
        <v>3</v>
      </c>
      <c r="S702" s="2"/>
      <c r="T702" s="2"/>
    </row>
    <row r="703">
      <c r="A703" s="1">
        <f>IFERROR(__xludf.DUMMYFUNCTION("""COMPUTED_VALUE"""),701.0)</f>
        <v>701</v>
      </c>
      <c r="B703" s="2" t="str">
        <f>IFERROR(__xludf.DUMMYFUNCTION("""COMPUTED_VALUE"""),"Candaba Marketing Cooperative")</f>
        <v>Candaba Marketing Cooperative</v>
      </c>
      <c r="C703" s="2" t="str">
        <f>IFERROR(__xludf.DUMMYFUNCTION("""COMPUTED_VALUE"""),"Pasig, Candaba, PAMPANGA")</f>
        <v>Pasig, Candaba, PAMPANGA</v>
      </c>
      <c r="D703" s="2" t="str">
        <f>IFERROR(__xludf.DUMMYFUNCTION("""COMPUTED_VALUE"""),"NORIE C. LUGTU")</f>
        <v>NORIE C. LUGTU</v>
      </c>
      <c r="E703" s="2" t="str">
        <f>IFERROR(__xludf.DUMMYFUNCTION("""COMPUTED_VALUE"""),"0968-854-1348")</f>
        <v>0968-854-1348</v>
      </c>
      <c r="F703" s="2" t="str">
        <f>IFERROR(__xludf.DUMMYFUNCTION("""COMPUTED_VALUE"""),"RCEF 25-03-05")</f>
        <v>RCEF 25-03-05</v>
      </c>
      <c r="G703" s="2">
        <f>IFERROR(__xludf.DUMMYFUNCTION("""COMPUTED_VALUE"""),5.0)</f>
        <v>5</v>
      </c>
      <c r="H703" s="2" t="str">
        <f>IFERROR(__xludf.DUMMYFUNCTION("""COMPUTED_VALUE"""),"26518 &amp; 27699")</f>
        <v>26518 &amp; 27699</v>
      </c>
      <c r="I703" s="2" t="str">
        <f>IFERROR(__xludf.DUMMYFUNCTION("""COMPUTED_VALUE"""),"KMC5825 AVSFPV0285")</f>
        <v>KMC5825 AVSFPV0285</v>
      </c>
      <c r="J703" s="3" t="str">
        <f>IFERROR(__xludf.DUMMYFUNCTION("""COMPUTED_VALUE"""),"STS100306")</f>
        <v>STS100306</v>
      </c>
      <c r="K703" s="2" t="str">
        <f>IFERROR(__xludf.DUMMYFUNCTION("""COMPUTED_VALUE"""),"WR-SERIES 243")</f>
        <v>WR-SERIES 243</v>
      </c>
      <c r="L703" s="3" t="str">
        <f>IFERROR(__xludf.DUMMYFUNCTION("""COMPUTED_VALUE"""),"25080305")</f>
        <v>25080305</v>
      </c>
      <c r="M703" s="3" t="str">
        <f>IFERROR(__xludf.DUMMYFUNCTION("""COMPUTED_VALUE"""),"25090990")</f>
        <v>25090990</v>
      </c>
      <c r="N703" s="2"/>
      <c r="O703" s="2" t="str">
        <f>IFERROR(__xludf.DUMMYFUNCTION("""COMPUTED_VALUE"""),"Pasig")</f>
        <v>Pasig</v>
      </c>
      <c r="P703" s="2" t="str">
        <f>IFERROR(__xludf.DUMMYFUNCTION("""COMPUTED_VALUE"""),"Candaba")</f>
        <v>Candaba</v>
      </c>
      <c r="Q703" s="2" t="str">
        <f>IFERROR(__xludf.DUMMYFUNCTION("""COMPUTED_VALUE"""),"Pampanga")</f>
        <v>Pampanga</v>
      </c>
      <c r="R703" s="2">
        <f>IFERROR(__xludf.DUMMYFUNCTION("""COMPUTED_VALUE"""),3.0)</f>
        <v>3</v>
      </c>
      <c r="S703" s="2"/>
      <c r="T703" s="2"/>
    </row>
    <row r="704">
      <c r="A704" s="1">
        <f>IFERROR(__xludf.DUMMYFUNCTION("""COMPUTED_VALUE"""),702.0)</f>
        <v>702</v>
      </c>
      <c r="B704" s="2" t="str">
        <f>IFERROR(__xludf.DUMMYFUNCTION("""COMPUTED_VALUE"""),"VIRGEN FARMERS IRRIGATORS ASSOCIATION, INC.")</f>
        <v>VIRGEN FARMERS IRRIGATORS ASSOCIATION, INC.</v>
      </c>
      <c r="C704" s="2" t="str">
        <f>IFERROR(__xludf.DUMMYFUNCTION("""COMPUTED_VALUE"""),"Paralaya (Pob.), Candaba, PAMPANGA")</f>
        <v>Paralaya (Pob.), Candaba, PAMPANGA</v>
      </c>
      <c r="D704" s="2" t="str">
        <f>IFERROR(__xludf.DUMMYFUNCTION("""COMPUTED_VALUE"""),"MAMERTO GUEVARRA")</f>
        <v>MAMERTO GUEVARRA</v>
      </c>
      <c r="E704" s="2" t="str">
        <f>IFERROR(__xludf.DUMMYFUNCTION("""COMPUTED_VALUE"""),"0916-607-6246")</f>
        <v>0916-607-6246</v>
      </c>
      <c r="F704" s="2" t="str">
        <f>IFERROR(__xludf.DUMMYFUNCTION("""COMPUTED_VALUE"""),"RCEF 25-03-05")</f>
        <v>RCEF 25-03-05</v>
      </c>
      <c r="G704" s="2">
        <f>IFERROR(__xludf.DUMMYFUNCTION("""COMPUTED_VALUE"""),5.0)</f>
        <v>5</v>
      </c>
      <c r="H704" s="2" t="str">
        <f>IFERROR(__xludf.DUMMYFUNCTION("""COMPUTED_VALUE"""),"26519 &amp; 27700")</f>
        <v>26519 &amp; 27700</v>
      </c>
      <c r="I704" s="2" t="str">
        <f>IFERROR(__xludf.DUMMYFUNCTION("""COMPUTED_VALUE"""),"KMC5825 AHSFPV0386")</f>
        <v>KMC5825 AHSFPV0386</v>
      </c>
      <c r="J704" s="3" t="str">
        <f>IFERROR(__xludf.DUMMYFUNCTION("""COMPUTED_VALUE"""),"STS100460")</f>
        <v>STS100460</v>
      </c>
      <c r="K704" s="2" t="str">
        <f>IFERROR(__xludf.DUMMYFUNCTION("""COMPUTED_VALUE"""),"WR-SERIES 123")</f>
        <v>WR-SERIES 123</v>
      </c>
      <c r="L704" s="3" t="str">
        <f>IFERROR(__xludf.DUMMYFUNCTION("""COMPUTED_VALUE"""),"25080827")</f>
        <v>25080827</v>
      </c>
      <c r="M704" s="3" t="str">
        <f>IFERROR(__xludf.DUMMYFUNCTION("""COMPUTED_VALUE"""),"25080827")</f>
        <v>25080827</v>
      </c>
      <c r="N704" s="2"/>
      <c r="O704" s="2" t="str">
        <f>IFERROR(__xludf.DUMMYFUNCTION("""COMPUTED_VALUE"""),"Paralaya (Pob.)")</f>
        <v>Paralaya (Pob.)</v>
      </c>
      <c r="P704" s="2" t="str">
        <f>IFERROR(__xludf.DUMMYFUNCTION("""COMPUTED_VALUE"""),"Candaba")</f>
        <v>Candaba</v>
      </c>
      <c r="Q704" s="2" t="str">
        <f>IFERROR(__xludf.DUMMYFUNCTION("""COMPUTED_VALUE"""),"Pampanga")</f>
        <v>Pampanga</v>
      </c>
      <c r="R704" s="2">
        <f>IFERROR(__xludf.DUMMYFUNCTION("""COMPUTED_VALUE"""),3.0)</f>
        <v>3</v>
      </c>
      <c r="S704" s="2"/>
      <c r="T704" s="2"/>
    </row>
    <row r="705">
      <c r="A705" s="1">
        <f>IFERROR(__xludf.DUMMYFUNCTION("""COMPUTED_VALUE"""),703.0)</f>
        <v>703</v>
      </c>
      <c r="B705" s="2" t="str">
        <f>IFERROR(__xludf.DUMMYFUNCTION("""COMPUTED_VALUE"""),"VIZAL STO. NIÑO RICE AND LIVESTOCK FARMERS ASSOCIATION")</f>
        <v>VIZAL STO. NIÑO RICE AND LIVESTOCK FARMERS ASSOCIATION</v>
      </c>
      <c r="C705" s="2" t="str">
        <f>IFERROR(__xludf.DUMMYFUNCTION("""COMPUTED_VALUE"""),"Vizal Santo Niño, Candaba, PAMPANGA")</f>
        <v>Vizal Santo Niño, Candaba, PAMPANGA</v>
      </c>
      <c r="D705" s="2" t="str">
        <f>IFERROR(__xludf.DUMMYFUNCTION("""COMPUTED_VALUE"""),"CLARA S. ORTEGA")</f>
        <v>CLARA S. ORTEGA</v>
      </c>
      <c r="E705" s="2" t="str">
        <f>IFERROR(__xludf.DUMMYFUNCTION("""COMPUTED_VALUE"""),"0922-557-0218")</f>
        <v>0922-557-0218</v>
      </c>
      <c r="F705" s="2" t="str">
        <f>IFERROR(__xludf.DUMMYFUNCTION("""COMPUTED_VALUE"""),"RCEF 25-03-05")</f>
        <v>RCEF 25-03-05</v>
      </c>
      <c r="G705" s="2">
        <f>IFERROR(__xludf.DUMMYFUNCTION("""COMPUTED_VALUE"""),5.0)</f>
        <v>5</v>
      </c>
      <c r="H705" s="2" t="str">
        <f>IFERROR(__xludf.DUMMYFUNCTION("""COMPUTED_VALUE"""),"26520 &amp; 27701")</f>
        <v>26520 &amp; 27701</v>
      </c>
      <c r="I705" s="2" t="str">
        <f>IFERROR(__xludf.DUMMYFUNCTION("""COMPUTED_VALUE"""),"KMC5825 ACSFPV0200")</f>
        <v>KMC5825 ACSFPV0200</v>
      </c>
      <c r="J705" s="3" t="str">
        <f>IFERROR(__xludf.DUMMYFUNCTION("""COMPUTED_VALUE"""),"STS100235")</f>
        <v>STS100235</v>
      </c>
      <c r="K705" s="2" t="str">
        <f>IFERROR(__xludf.DUMMYFUNCTION("""COMPUTED_VALUE"""),"WR-SERIES 061")</f>
        <v>WR-SERIES 061</v>
      </c>
      <c r="L705" s="3" t="str">
        <f>IFERROR(__xludf.DUMMYFUNCTION("""COMPUTED_VALUE"""),"25090537")</f>
        <v>25090537</v>
      </c>
      <c r="M705" s="3" t="str">
        <f>IFERROR(__xludf.DUMMYFUNCTION("""COMPUTED_VALUE"""),"25090983")</f>
        <v>25090983</v>
      </c>
      <c r="N705" s="2"/>
      <c r="O705" s="2" t="str">
        <f>IFERROR(__xludf.DUMMYFUNCTION("""COMPUTED_VALUE"""),"Vizal Santo Niño")</f>
        <v>Vizal Santo Niño</v>
      </c>
      <c r="P705" s="2" t="str">
        <f>IFERROR(__xludf.DUMMYFUNCTION("""COMPUTED_VALUE"""),"Candaba")</f>
        <v>Candaba</v>
      </c>
      <c r="Q705" s="2" t="str">
        <f>IFERROR(__xludf.DUMMYFUNCTION("""COMPUTED_VALUE"""),"Pampanga")</f>
        <v>Pampanga</v>
      </c>
      <c r="R705" s="2">
        <f>IFERROR(__xludf.DUMMYFUNCTION("""COMPUTED_VALUE"""),3.0)</f>
        <v>3</v>
      </c>
      <c r="S705" s="2"/>
      <c r="T705" s="2"/>
    </row>
    <row r="706">
      <c r="A706" s="1">
        <f>IFERROR(__xludf.DUMMYFUNCTION("""COMPUTED_VALUE"""),704.0)</f>
        <v>704</v>
      </c>
      <c r="B706" s="2" t="str">
        <f>IFERROR(__xludf.DUMMYFUNCTION("""COMPUTED_VALUE"""),"BEPACAL IRRIGATORS ASSOCIATION, INC.")</f>
        <v>BEPACAL IRRIGATORS ASSOCIATION, INC.</v>
      </c>
      <c r="C706" s="2" t="str">
        <f>IFERROR(__xludf.DUMMYFUNCTION("""COMPUTED_VALUE"""),"San Isidro, San Luis, PAMPANGA")</f>
        <v>San Isidro, San Luis, PAMPANGA</v>
      </c>
      <c r="D706" s="2" t="str">
        <f>IFERROR(__xludf.DUMMYFUNCTION("""COMPUTED_VALUE"""),"ARMIN R. TARUC")</f>
        <v>ARMIN R. TARUC</v>
      </c>
      <c r="E706" s="2" t="str">
        <f>IFERROR(__xludf.DUMMYFUNCTION("""COMPUTED_VALUE"""),"0998-552-8202")</f>
        <v>0998-552-8202</v>
      </c>
      <c r="F706" s="2" t="str">
        <f>IFERROR(__xludf.DUMMYFUNCTION("""COMPUTED_VALUE"""),"RCEF 25-03-05")</f>
        <v>RCEF 25-03-05</v>
      </c>
      <c r="G706" s="2">
        <f>IFERROR(__xludf.DUMMYFUNCTION("""COMPUTED_VALUE"""),5.0)</f>
        <v>5</v>
      </c>
      <c r="H706" s="2" t="str">
        <f>IFERROR(__xludf.DUMMYFUNCTION("""COMPUTED_VALUE"""),"26521 &amp; 27702")</f>
        <v>26521 &amp; 27702</v>
      </c>
      <c r="I706" s="2" t="str">
        <f>IFERROR(__xludf.DUMMYFUNCTION("""COMPUTED_VALUE"""),"KMC5825 AVSFPV0237")</f>
        <v>KMC5825 AVSFPV0237</v>
      </c>
      <c r="J706" s="3" t="str">
        <f>IFERROR(__xludf.DUMMYFUNCTION("""COMPUTED_VALUE"""),"STS100253")</f>
        <v>STS100253</v>
      </c>
      <c r="K706" s="2" t="str">
        <f>IFERROR(__xludf.DUMMYFUNCTION("""COMPUTED_VALUE"""),"WR-SERIES 051")</f>
        <v>WR-SERIES 051</v>
      </c>
      <c r="L706" s="3" t="str">
        <f>IFERROR(__xludf.DUMMYFUNCTION("""COMPUTED_VALUE"""),"25080313")</f>
        <v>25080313</v>
      </c>
      <c r="M706" s="3" t="str">
        <f>IFERROR(__xludf.DUMMYFUNCTION("""COMPUTED_VALUE"""),"25091002")</f>
        <v>25091002</v>
      </c>
      <c r="N706" s="2"/>
      <c r="O706" s="2" t="str">
        <f>IFERROR(__xludf.DUMMYFUNCTION("""COMPUTED_VALUE"""),"San Isidro")</f>
        <v>San Isidro</v>
      </c>
      <c r="P706" s="2" t="str">
        <f>IFERROR(__xludf.DUMMYFUNCTION("""COMPUTED_VALUE"""),"San Luis")</f>
        <v>San Luis</v>
      </c>
      <c r="Q706" s="2" t="str">
        <f>IFERROR(__xludf.DUMMYFUNCTION("""COMPUTED_VALUE"""),"Pampanga")</f>
        <v>Pampanga</v>
      </c>
      <c r="R706" s="2">
        <f>IFERROR(__xludf.DUMMYFUNCTION("""COMPUTED_VALUE"""),3.0)</f>
        <v>3</v>
      </c>
      <c r="S706" s="2"/>
      <c r="T706" s="2"/>
    </row>
    <row r="707">
      <c r="A707" s="1">
        <f>IFERROR(__xludf.DUMMYFUNCTION("""COMPUTED_VALUE"""),705.0)</f>
        <v>705</v>
      </c>
      <c r="B707" s="2" t="str">
        <f>IFERROR(__xludf.DUMMYFUNCTION("""COMPUTED_VALUE"""),"Sta. Rita San Luis ARBs Farmers Association Incorporated")</f>
        <v>Sta. Rita San Luis ARBs Farmers Association Incorporated</v>
      </c>
      <c r="C707" s="2" t="str">
        <f>IFERROR(__xludf.DUMMYFUNCTION("""COMPUTED_VALUE"""),"Santa Rita, San Luis, PAMPANGA")</f>
        <v>Santa Rita, San Luis, PAMPANGA</v>
      </c>
      <c r="D707" s="2" t="str">
        <f>IFERROR(__xludf.DUMMYFUNCTION("""COMPUTED_VALUE"""),"ALVIN A. SANTOS")</f>
        <v>ALVIN A. SANTOS</v>
      </c>
      <c r="E707" s="2" t="str">
        <f>IFERROR(__xludf.DUMMYFUNCTION("""COMPUTED_VALUE"""),"0942-417-2660")</f>
        <v>0942-417-2660</v>
      </c>
      <c r="F707" s="2" t="str">
        <f>IFERROR(__xludf.DUMMYFUNCTION("""COMPUTED_VALUE"""),"RCEF 25-03-05")</f>
        <v>RCEF 25-03-05</v>
      </c>
      <c r="G707" s="2">
        <f>IFERROR(__xludf.DUMMYFUNCTION("""COMPUTED_VALUE"""),5.0)</f>
        <v>5</v>
      </c>
      <c r="H707" s="2" t="str">
        <f>IFERROR(__xludf.DUMMYFUNCTION("""COMPUTED_VALUE"""),"26522 &amp; 27703")</f>
        <v>26522 &amp; 27703</v>
      </c>
      <c r="I707" s="2" t="str">
        <f>IFERROR(__xludf.DUMMYFUNCTION("""COMPUTED_VALUE"""),"KMC5825 APSFPV0393")</f>
        <v>KMC5825 APSFPV0393</v>
      </c>
      <c r="J707" s="3" t="str">
        <f>IFERROR(__xludf.DUMMYFUNCTION("""COMPUTED_VALUE"""),"STS100447")</f>
        <v>STS100447</v>
      </c>
      <c r="K707" s="2" t="str">
        <f>IFERROR(__xludf.DUMMYFUNCTION("""COMPUTED_VALUE"""),"WR-SERIES 097")</f>
        <v>WR-SERIES 097</v>
      </c>
      <c r="L707" s="3" t="str">
        <f>IFERROR(__xludf.DUMMYFUNCTION("""COMPUTED_VALUE"""),"25080331")</f>
        <v>25080331</v>
      </c>
      <c r="M707" s="3" t="str">
        <f>IFERROR(__xludf.DUMMYFUNCTION("""COMPUTED_VALUE"""),"25080816")</f>
        <v>25080816</v>
      </c>
      <c r="N707" s="2"/>
      <c r="O707" s="2" t="str">
        <f>IFERROR(__xludf.DUMMYFUNCTION("""COMPUTED_VALUE"""),"Santa Rita")</f>
        <v>Santa Rita</v>
      </c>
      <c r="P707" s="2" t="str">
        <f>IFERROR(__xludf.DUMMYFUNCTION("""COMPUTED_VALUE"""),"San Luis")</f>
        <v>San Luis</v>
      </c>
      <c r="Q707" s="2" t="str">
        <f>IFERROR(__xludf.DUMMYFUNCTION("""COMPUTED_VALUE"""),"Pampanga")</f>
        <v>Pampanga</v>
      </c>
      <c r="R707" s="2">
        <f>IFERROR(__xludf.DUMMYFUNCTION("""COMPUTED_VALUE"""),3.0)</f>
        <v>3</v>
      </c>
      <c r="S707" s="2"/>
      <c r="T707" s="2"/>
    </row>
    <row r="708">
      <c r="A708" s="1">
        <f>IFERROR(__xludf.DUMMYFUNCTION("""COMPUTED_VALUE"""),706.0)</f>
        <v>706</v>
      </c>
      <c r="B708" s="2" t="str">
        <f>IFERROR(__xludf.DUMMYFUNCTION("""COMPUTED_VALUE"""),"Bantog Anao Bagong Sibol Farmers Association Inc.")</f>
        <v>Bantog Anao Bagong Sibol Farmers Association Inc.</v>
      </c>
      <c r="C708" s="2" t="str">
        <f>IFERROR(__xludf.DUMMYFUNCTION("""COMPUTED_VALUE"""),"Bantog, Anao, TARLAC")</f>
        <v>Bantog, Anao, TARLAC</v>
      </c>
      <c r="D708" s="2" t="str">
        <f>IFERROR(__xludf.DUMMYFUNCTION("""COMPUTED_VALUE"""),"Pedro H. Hailer Jr.")</f>
        <v>Pedro H. Hailer Jr.</v>
      </c>
      <c r="E708" s="2" t="str">
        <f>IFERROR(__xludf.DUMMYFUNCTION("""COMPUTED_VALUE"""),"0966-398-2625")</f>
        <v>0966-398-2625</v>
      </c>
      <c r="F708" s="2" t="str">
        <f>IFERROR(__xludf.DUMMYFUNCTION("""COMPUTED_VALUE"""),"RCEF 25-03-05")</f>
        <v>RCEF 25-03-05</v>
      </c>
      <c r="G708" s="2">
        <f>IFERROR(__xludf.DUMMYFUNCTION("""COMPUTED_VALUE"""),5.0)</f>
        <v>5</v>
      </c>
      <c r="H708" s="2" t="str">
        <f>IFERROR(__xludf.DUMMYFUNCTION("""COMPUTED_VALUE"""),"26523 &amp; 27704")</f>
        <v>26523 &amp; 27704</v>
      </c>
      <c r="I708" s="2" t="str">
        <f>IFERROR(__xludf.DUMMYFUNCTION("""COMPUTED_VALUE"""),"KMC5825 AJSFPV0140")</f>
        <v>KMC5825 AJSFPV0140</v>
      </c>
      <c r="J708" s="3" t="str">
        <f>IFERROR(__xludf.DUMMYFUNCTION("""COMPUTED_VALUE"""),"STS100165")</f>
        <v>STS100165</v>
      </c>
      <c r="K708" s="2" t="str">
        <f>IFERROR(__xludf.DUMMYFUNCTION("""COMPUTED_VALUE"""),"R-SERIES 292PH")</f>
        <v>R-SERIES 292PH</v>
      </c>
      <c r="L708" s="3" t="str">
        <f>IFERROR(__xludf.DUMMYFUNCTION("""COMPUTED_VALUE"""),"25080400")</f>
        <v>25080400</v>
      </c>
      <c r="M708" s="3" t="str">
        <f>IFERROR(__xludf.DUMMYFUNCTION("""COMPUTED_VALUE"""),"25080868")</f>
        <v>25080868</v>
      </c>
      <c r="N708" s="2"/>
      <c r="O708" s="2" t="str">
        <f>IFERROR(__xludf.DUMMYFUNCTION("""COMPUTED_VALUE"""),"Bantog")</f>
        <v>Bantog</v>
      </c>
      <c r="P708" s="2" t="str">
        <f>IFERROR(__xludf.DUMMYFUNCTION("""COMPUTED_VALUE"""),"Anao")</f>
        <v>Anao</v>
      </c>
      <c r="Q708" s="2" t="str">
        <f>IFERROR(__xludf.DUMMYFUNCTION("""COMPUTED_VALUE"""),"Tarlac")</f>
        <v>Tarlac</v>
      </c>
      <c r="R708" s="2">
        <f>IFERROR(__xludf.DUMMYFUNCTION("""COMPUTED_VALUE"""),3.0)</f>
        <v>3</v>
      </c>
      <c r="S708" s="2"/>
      <c r="T708" s="2"/>
    </row>
    <row r="709">
      <c r="A709" s="1">
        <f>IFERROR(__xludf.DUMMYFUNCTION("""COMPUTED_VALUE"""),707.0)</f>
        <v>707</v>
      </c>
      <c r="B709" s="2" t="str">
        <f>IFERROR(__xludf.DUMMYFUNCTION("""COMPUTED_VALUE"""),"Brgy. Bantog Anao Rang-Ay Iti Farmers Association Inc.")</f>
        <v>Brgy. Bantog Anao Rang-Ay Iti Farmers Association Inc.</v>
      </c>
      <c r="C709" s="2" t="str">
        <f>IFERROR(__xludf.DUMMYFUNCTION("""COMPUTED_VALUE"""),"Bantog, Anao, TARLAC")</f>
        <v>Bantog, Anao, TARLAC</v>
      </c>
      <c r="D709" s="2" t="str">
        <f>IFERROR(__xludf.DUMMYFUNCTION("""COMPUTED_VALUE"""),"JACKSON D. CARBONEL")</f>
        <v>JACKSON D. CARBONEL</v>
      </c>
      <c r="E709" s="2" t="str">
        <f>IFERROR(__xludf.DUMMYFUNCTION("""COMPUTED_VALUE"""),"0905-199-8004")</f>
        <v>0905-199-8004</v>
      </c>
      <c r="F709" s="2" t="str">
        <f>IFERROR(__xludf.DUMMYFUNCTION("""COMPUTED_VALUE"""),"RCEF 25-03-05")</f>
        <v>RCEF 25-03-05</v>
      </c>
      <c r="G709" s="2">
        <f>IFERROR(__xludf.DUMMYFUNCTION("""COMPUTED_VALUE"""),5.0)</f>
        <v>5</v>
      </c>
      <c r="H709" s="2" t="str">
        <f>IFERROR(__xludf.DUMMYFUNCTION("""COMPUTED_VALUE"""),"26524 &amp; 27705")</f>
        <v>26524 &amp; 27705</v>
      </c>
      <c r="I709" s="2" t="str">
        <f>IFERROR(__xludf.DUMMYFUNCTION("""COMPUTED_VALUE"""),"KMC5825 ACSFPV0164")</f>
        <v>KMC5825 ACSFPV0164</v>
      </c>
      <c r="J709" s="3" t="str">
        <f>IFERROR(__xludf.DUMMYFUNCTION("""COMPUTED_VALUE"""),"STS100169")</f>
        <v>STS100169</v>
      </c>
      <c r="K709" s="2" t="str">
        <f>IFERROR(__xludf.DUMMYFUNCTION("""COMPUTED_VALUE"""),"R-SERIES 307PH")</f>
        <v>R-SERIES 307PH</v>
      </c>
      <c r="L709" s="3" t="str">
        <f>IFERROR(__xludf.DUMMYFUNCTION("""COMPUTED_VALUE"""),"25080402")</f>
        <v>25080402</v>
      </c>
      <c r="M709" s="3" t="str">
        <f>IFERROR(__xludf.DUMMYFUNCTION("""COMPUTED_VALUE"""),"25080851")</f>
        <v>25080851</v>
      </c>
      <c r="N709" s="2"/>
      <c r="O709" s="2" t="str">
        <f>IFERROR(__xludf.DUMMYFUNCTION("""COMPUTED_VALUE"""),"Bantog")</f>
        <v>Bantog</v>
      </c>
      <c r="P709" s="2" t="str">
        <f>IFERROR(__xludf.DUMMYFUNCTION("""COMPUTED_VALUE"""),"Anao")</f>
        <v>Anao</v>
      </c>
      <c r="Q709" s="2" t="str">
        <f>IFERROR(__xludf.DUMMYFUNCTION("""COMPUTED_VALUE"""),"Tarlac")</f>
        <v>Tarlac</v>
      </c>
      <c r="R709" s="2">
        <f>IFERROR(__xludf.DUMMYFUNCTION("""COMPUTED_VALUE"""),3.0)</f>
        <v>3</v>
      </c>
      <c r="S709" s="2"/>
      <c r="T709" s="2"/>
    </row>
    <row r="710">
      <c r="A710" s="1">
        <f>IFERROR(__xludf.DUMMYFUNCTION("""COMPUTED_VALUE"""),708.0)</f>
        <v>708</v>
      </c>
      <c r="B710" s="2" t="str">
        <f>IFERROR(__xludf.DUMMYFUNCTION("""COMPUTED_VALUE"""),"Cabanabaan Farmer's Livelihood Association Incorporation")</f>
        <v>Cabanabaan Farmer's Livelihood Association Incorporation</v>
      </c>
      <c r="C710" s="2" t="str">
        <f>IFERROR(__xludf.DUMMYFUNCTION("""COMPUTED_VALUE"""),"Cabanabaan, Camiling, TARLAC")</f>
        <v>Cabanabaan, Camiling, TARLAC</v>
      </c>
      <c r="D710" s="2" t="str">
        <f>IFERROR(__xludf.DUMMYFUNCTION("""COMPUTED_VALUE"""),"Franciscco D. Gervacio Jr.")</f>
        <v>Franciscco D. Gervacio Jr.</v>
      </c>
      <c r="E710" s="2">
        <f>IFERROR(__xludf.DUMMYFUNCTION("""COMPUTED_VALUE"""),9.459742277E9)</f>
        <v>9459742277</v>
      </c>
      <c r="F710" s="2" t="str">
        <f>IFERROR(__xludf.DUMMYFUNCTION("""COMPUTED_VALUE"""),"RCEF 25-03-05")</f>
        <v>RCEF 25-03-05</v>
      </c>
      <c r="G710" s="2">
        <f>IFERROR(__xludf.DUMMYFUNCTION("""COMPUTED_VALUE"""),5.0)</f>
        <v>5</v>
      </c>
      <c r="H710" s="2" t="str">
        <f>IFERROR(__xludf.DUMMYFUNCTION("""COMPUTED_VALUE"""),"26525 &amp; 27706")</f>
        <v>26525 &amp; 27706</v>
      </c>
      <c r="I710" s="2" t="str">
        <f>IFERROR(__xludf.DUMMYFUNCTION("""COMPUTED_VALUE"""),"KMC5825 ACSFPV0107")</f>
        <v>KMC5825 ACSFPV0107</v>
      </c>
      <c r="J710" s="3" t="str">
        <f>IFERROR(__xludf.DUMMYFUNCTION("""COMPUTED_VALUE"""),"STS100155")</f>
        <v>STS100155</v>
      </c>
      <c r="K710" s="2" t="str">
        <f>IFERROR(__xludf.DUMMYFUNCTION("""COMPUTED_VALUE"""),"R-SERIES 308PH")</f>
        <v>R-SERIES 308PH</v>
      </c>
      <c r="L710" s="3" t="str">
        <f>IFERROR(__xludf.DUMMYFUNCTION("""COMPUTED_VALUE"""),"25080419")</f>
        <v>25080419</v>
      </c>
      <c r="M710" s="3" t="str">
        <f>IFERROR(__xludf.DUMMYFUNCTION("""COMPUTED_VALUE"""),"25080887")</f>
        <v>25080887</v>
      </c>
      <c r="N710" s="2"/>
      <c r="O710" s="2" t="str">
        <f>IFERROR(__xludf.DUMMYFUNCTION("""COMPUTED_VALUE"""),"Cabanabaan")</f>
        <v>Cabanabaan</v>
      </c>
      <c r="P710" s="2" t="str">
        <f>IFERROR(__xludf.DUMMYFUNCTION("""COMPUTED_VALUE"""),"Camiling")</f>
        <v>Camiling</v>
      </c>
      <c r="Q710" s="2" t="str">
        <f>IFERROR(__xludf.DUMMYFUNCTION("""COMPUTED_VALUE"""),"Tarlac")</f>
        <v>Tarlac</v>
      </c>
      <c r="R710" s="2">
        <f>IFERROR(__xludf.DUMMYFUNCTION("""COMPUTED_VALUE"""),3.0)</f>
        <v>3</v>
      </c>
      <c r="S710" s="2"/>
      <c r="T710" s="2"/>
    </row>
    <row r="711">
      <c r="A711" s="1">
        <f>IFERROR(__xludf.DUMMYFUNCTION("""COMPUTED_VALUE"""),709.0)</f>
        <v>709</v>
      </c>
      <c r="B711" s="2" t="str">
        <f>IFERROR(__xludf.DUMMYFUNCTION("""COMPUTED_VALUE"""),"SINBACAMA Farmers Irrigators Association Inc.")</f>
        <v>SINBACAMA Farmers Irrigators Association Inc.</v>
      </c>
      <c r="C711" s="2" t="str">
        <f>IFERROR(__xludf.DUMMYFUNCTION("""COMPUTED_VALUE"""),"Matubog, Camiling, TARLAC")</f>
        <v>Matubog, Camiling, TARLAC</v>
      </c>
      <c r="D711" s="2" t="str">
        <f>IFERROR(__xludf.DUMMYFUNCTION("""COMPUTED_VALUE"""),"Leo L. Lucero")</f>
        <v>Leo L. Lucero</v>
      </c>
      <c r="E711" s="2">
        <f>IFERROR(__xludf.DUMMYFUNCTION("""COMPUTED_VALUE"""),9.087286446E9)</f>
        <v>9087286446</v>
      </c>
      <c r="F711" s="2" t="str">
        <f>IFERROR(__xludf.DUMMYFUNCTION("""COMPUTED_VALUE"""),"RCEF 25-03-05")</f>
        <v>RCEF 25-03-05</v>
      </c>
      <c r="G711" s="2">
        <f>IFERROR(__xludf.DUMMYFUNCTION("""COMPUTED_VALUE"""),5.0)</f>
        <v>5</v>
      </c>
      <c r="H711" s="2" t="str">
        <f>IFERROR(__xludf.DUMMYFUNCTION("""COMPUTED_VALUE"""),"26526 &amp; 27707")</f>
        <v>26526 &amp; 27707</v>
      </c>
      <c r="I711" s="2" t="str">
        <f>IFERROR(__xludf.DUMMYFUNCTION("""COMPUTED_VALUE"""),"KMC5825 ATSFPV0098")</f>
        <v>KMC5825 ATSFPV0098</v>
      </c>
      <c r="J711" s="3" t="str">
        <f>IFERROR(__xludf.DUMMYFUNCTION("""COMPUTED_VALUE"""),"STS100157")</f>
        <v>STS100157</v>
      </c>
      <c r="K711" s="2" t="str">
        <f>IFERROR(__xludf.DUMMYFUNCTION("""COMPUTED_VALUE"""),"R-SERIES 302PH")</f>
        <v>R-SERIES 302PH</v>
      </c>
      <c r="L711" s="3" t="str">
        <f>IFERROR(__xludf.DUMMYFUNCTION("""COMPUTED_VALUE"""),"25080418")</f>
        <v>25080418</v>
      </c>
      <c r="M711" s="3" t="str">
        <f>IFERROR(__xludf.DUMMYFUNCTION("""COMPUTED_VALUE"""),"25080862")</f>
        <v>25080862</v>
      </c>
      <c r="N711" s="2"/>
      <c r="O711" s="2" t="str">
        <f>IFERROR(__xludf.DUMMYFUNCTION("""COMPUTED_VALUE"""),"Matubog")</f>
        <v>Matubog</v>
      </c>
      <c r="P711" s="2" t="str">
        <f>IFERROR(__xludf.DUMMYFUNCTION("""COMPUTED_VALUE"""),"Camiling")</f>
        <v>Camiling</v>
      </c>
      <c r="Q711" s="2" t="str">
        <f>IFERROR(__xludf.DUMMYFUNCTION("""COMPUTED_VALUE"""),"Tarlac")</f>
        <v>Tarlac</v>
      </c>
      <c r="R711" s="2">
        <f>IFERROR(__xludf.DUMMYFUNCTION("""COMPUTED_VALUE"""),3.0)</f>
        <v>3</v>
      </c>
      <c r="S711" s="2"/>
      <c r="T711" s="2"/>
    </row>
    <row r="712">
      <c r="A712" s="1">
        <f>IFERROR(__xludf.DUMMYFUNCTION("""COMPUTED_VALUE"""),710.0)</f>
        <v>710</v>
      </c>
      <c r="B712" s="2" t="str">
        <f>IFERROR(__xludf.DUMMYFUNCTION("""COMPUTED_VALUE"""),"Sta. Maria Kapatanian Agriculture Cooperative")</f>
        <v>Sta. Maria Kapatanian Agriculture Cooperative</v>
      </c>
      <c r="C712" s="2" t="str">
        <f>IFERROR(__xludf.DUMMYFUNCTION("""COMPUTED_VALUE"""),"Santa Maria, Camiling, TARLAC")</f>
        <v>Santa Maria, Camiling, TARLAC</v>
      </c>
      <c r="D712" s="2" t="str">
        <f>IFERROR(__xludf.DUMMYFUNCTION("""COMPUTED_VALUE"""),"Luis G. Agustin")</f>
        <v>Luis G. Agustin</v>
      </c>
      <c r="E712" s="2">
        <f>IFERROR(__xludf.DUMMYFUNCTION("""COMPUTED_VALUE"""),9.691064703E9)</f>
        <v>9691064703</v>
      </c>
      <c r="F712" s="2" t="str">
        <f>IFERROR(__xludf.DUMMYFUNCTION("""COMPUTED_VALUE"""),"RCEF 25-03-05")</f>
        <v>RCEF 25-03-05</v>
      </c>
      <c r="G712" s="2">
        <f>IFERROR(__xludf.DUMMYFUNCTION("""COMPUTED_VALUE"""),5.0)</f>
        <v>5</v>
      </c>
      <c r="H712" s="2" t="str">
        <f>IFERROR(__xludf.DUMMYFUNCTION("""COMPUTED_VALUE"""),"26527 &amp; 27708")</f>
        <v>26527 &amp; 27708</v>
      </c>
      <c r="I712" s="2" t="str">
        <f>IFERROR(__xludf.DUMMYFUNCTION("""COMPUTED_VALUE"""),"KMC5825 ACSFPV0116")</f>
        <v>KMC5825 ACSFPV0116</v>
      </c>
      <c r="J712" s="3" t="str">
        <f>IFERROR(__xludf.DUMMYFUNCTION("""COMPUTED_VALUE"""),"STS100145")</f>
        <v>STS100145</v>
      </c>
      <c r="K712" s="2" t="str">
        <f>IFERROR(__xludf.DUMMYFUNCTION("""COMPUTED_VALUE"""),"R-SERIES 236PH")</f>
        <v>R-SERIES 236PH</v>
      </c>
      <c r="L712" s="3" t="str">
        <f>IFERROR(__xludf.DUMMYFUNCTION("""COMPUTED_VALUE"""),"25080395")</f>
        <v>25080395</v>
      </c>
      <c r="M712" s="3" t="str">
        <f>IFERROR(__xludf.DUMMYFUNCTION("""COMPUTED_VALUE"""),"25080883")</f>
        <v>25080883</v>
      </c>
      <c r="N712" s="2"/>
      <c r="O712" s="2" t="str">
        <f>IFERROR(__xludf.DUMMYFUNCTION("""COMPUTED_VALUE"""),"Santa Maria")</f>
        <v>Santa Maria</v>
      </c>
      <c r="P712" s="2" t="str">
        <f>IFERROR(__xludf.DUMMYFUNCTION("""COMPUTED_VALUE"""),"Camiling")</f>
        <v>Camiling</v>
      </c>
      <c r="Q712" s="2" t="str">
        <f>IFERROR(__xludf.DUMMYFUNCTION("""COMPUTED_VALUE"""),"Tarlac")</f>
        <v>Tarlac</v>
      </c>
      <c r="R712" s="2">
        <f>IFERROR(__xludf.DUMMYFUNCTION("""COMPUTED_VALUE"""),3.0)</f>
        <v>3</v>
      </c>
      <c r="S712" s="2"/>
      <c r="T712" s="2"/>
    </row>
    <row r="713">
      <c r="A713" s="1">
        <f>IFERROR(__xludf.DUMMYFUNCTION("""COMPUTED_VALUE"""),711.0)</f>
        <v>711</v>
      </c>
      <c r="B713" s="2" t="str">
        <f>IFERROR(__xludf.DUMMYFUNCTION("""COMPUTED_VALUE"""),"BRGY. POBLACION SUR AGRICULTURAL FARMERS ASSOCIATION")</f>
        <v>BRGY. POBLACION SUR AGRICULTURAL FARMERS ASSOCIATION</v>
      </c>
      <c r="C713" s="2" t="str">
        <f>IFERROR(__xludf.DUMMYFUNCTION("""COMPUTED_VALUE"""),"Poblacion Sur, Mayantoc, TARLAC")</f>
        <v>Poblacion Sur, Mayantoc, TARLAC</v>
      </c>
      <c r="D713" s="2" t="str">
        <f>IFERROR(__xludf.DUMMYFUNCTION("""COMPUTED_VALUE"""),"Jesus G. Toledo")</f>
        <v>Jesus G. Toledo</v>
      </c>
      <c r="E713" s="2" t="str">
        <f>IFERROR(__xludf.DUMMYFUNCTION("""COMPUTED_VALUE"""),"0961-306-1992")</f>
        <v>0961-306-1992</v>
      </c>
      <c r="F713" s="2" t="str">
        <f>IFERROR(__xludf.DUMMYFUNCTION("""COMPUTED_VALUE"""),"RCEF 25-03-05")</f>
        <v>RCEF 25-03-05</v>
      </c>
      <c r="G713" s="2">
        <f>IFERROR(__xludf.DUMMYFUNCTION("""COMPUTED_VALUE"""),5.0)</f>
        <v>5</v>
      </c>
      <c r="H713" s="2" t="str">
        <f>IFERROR(__xludf.DUMMYFUNCTION("""COMPUTED_VALUE"""),"26528 &amp; 27709")</f>
        <v>26528 &amp; 27709</v>
      </c>
      <c r="I713" s="2" t="str">
        <f>IFERROR(__xludf.DUMMYFUNCTION("""COMPUTED_VALUE"""),"KMC5825 APSFPV0425")</f>
        <v>KMC5825 APSFPV0425</v>
      </c>
      <c r="J713" s="3" t="str">
        <f>IFERROR(__xludf.DUMMYFUNCTION("""COMPUTED_VALUE"""),"STS100487")</f>
        <v>STS100487</v>
      </c>
      <c r="K713" s="2" t="str">
        <f>IFERROR(__xludf.DUMMYFUNCTION("""COMPUTED_VALUE"""),"WR-SERIES 108")</f>
        <v>WR-SERIES 108</v>
      </c>
      <c r="L713" s="3" t="str">
        <f>IFERROR(__xludf.DUMMYFUNCTION("""COMPUTED_VALUE"""),"25080420")</f>
        <v>25080420</v>
      </c>
      <c r="M713" s="3" t="str">
        <f>IFERROR(__xludf.DUMMYFUNCTION("""COMPUTED_VALUE"""),"25080873")</f>
        <v>25080873</v>
      </c>
      <c r="N713" s="2"/>
      <c r="O713" s="2" t="str">
        <f>IFERROR(__xludf.DUMMYFUNCTION("""COMPUTED_VALUE"""),"Poblacion Sur")</f>
        <v>Poblacion Sur</v>
      </c>
      <c r="P713" s="2" t="str">
        <f>IFERROR(__xludf.DUMMYFUNCTION("""COMPUTED_VALUE"""),"Mayantoc")</f>
        <v>Mayantoc</v>
      </c>
      <c r="Q713" s="2" t="str">
        <f>IFERROR(__xludf.DUMMYFUNCTION("""COMPUTED_VALUE"""),"Tarlac")</f>
        <v>Tarlac</v>
      </c>
      <c r="R713" s="2">
        <f>IFERROR(__xludf.DUMMYFUNCTION("""COMPUTED_VALUE"""),3.0)</f>
        <v>3</v>
      </c>
      <c r="S713" s="2"/>
      <c r="T713" s="2"/>
    </row>
    <row r="714">
      <c r="A714" s="1">
        <f>IFERROR(__xludf.DUMMYFUNCTION("""COMPUTED_VALUE"""),712.0)</f>
        <v>712</v>
      </c>
      <c r="B714" s="2" t="str">
        <f>IFERROR(__xludf.DUMMYFUNCTION("""COMPUTED_VALUE"""),"TOLEGA NORTE FARMERS ASSOCIATION")</f>
        <v>TOLEGA NORTE FARMERS ASSOCIATION</v>
      </c>
      <c r="C714" s="2" t="str">
        <f>IFERROR(__xludf.DUMMYFUNCTION("""COMPUTED_VALUE"""),"Tolega Norte, Moncada, TARLAC")</f>
        <v>Tolega Norte, Moncada, TARLAC</v>
      </c>
      <c r="D714" s="2" t="str">
        <f>IFERROR(__xludf.DUMMYFUNCTION("""COMPUTED_VALUE"""),"Myrna G. Tolentino")</f>
        <v>Myrna G. Tolentino</v>
      </c>
      <c r="E714" s="2" t="str">
        <f>IFERROR(__xludf.DUMMYFUNCTION("""COMPUTED_VALUE"""),"0921-412-5189")</f>
        <v>0921-412-5189</v>
      </c>
      <c r="F714" s="2" t="str">
        <f>IFERROR(__xludf.DUMMYFUNCTION("""COMPUTED_VALUE"""),"RCEF 25-03-05")</f>
        <v>RCEF 25-03-05</v>
      </c>
      <c r="G714" s="2">
        <f>IFERROR(__xludf.DUMMYFUNCTION("""COMPUTED_VALUE"""),5.0)</f>
        <v>5</v>
      </c>
      <c r="H714" s="2" t="str">
        <f>IFERROR(__xludf.DUMMYFUNCTION("""COMPUTED_VALUE"""),"26529 &amp; 27710")</f>
        <v>26529 &amp; 27710</v>
      </c>
      <c r="I714" s="2" t="str">
        <f>IFERROR(__xludf.DUMMYFUNCTION("""COMPUTED_VALUE"""),"KMC5825 AVSFPV0125")</f>
        <v>KMC5825 AVSFPV0125</v>
      </c>
      <c r="J714" s="3" t="str">
        <f>IFERROR(__xludf.DUMMYFUNCTION("""COMPUTED_VALUE"""),"STS100103")</f>
        <v>STS100103</v>
      </c>
      <c r="K714" s="2" t="str">
        <f>IFERROR(__xludf.DUMMYFUNCTION("""COMPUTED_VALUE"""),"R-SERIES 316PH")</f>
        <v>R-SERIES 316PH</v>
      </c>
      <c r="L714" s="3" t="str">
        <f>IFERROR(__xludf.DUMMYFUNCTION("""COMPUTED_VALUE"""),"25080398")</f>
        <v>25080398</v>
      </c>
      <c r="M714" s="3" t="str">
        <f>IFERROR(__xludf.DUMMYFUNCTION("""COMPUTED_VALUE"""),"25080857")</f>
        <v>25080857</v>
      </c>
      <c r="N714" s="2"/>
      <c r="O714" s="2" t="str">
        <f>IFERROR(__xludf.DUMMYFUNCTION("""COMPUTED_VALUE"""),"Tolega Norte")</f>
        <v>Tolega Norte</v>
      </c>
      <c r="P714" s="2" t="str">
        <f>IFERROR(__xludf.DUMMYFUNCTION("""COMPUTED_VALUE"""),"Moncada")</f>
        <v>Moncada</v>
      </c>
      <c r="Q714" s="2" t="str">
        <f>IFERROR(__xludf.DUMMYFUNCTION("""COMPUTED_VALUE"""),"Tarlac")</f>
        <v>Tarlac</v>
      </c>
      <c r="R714" s="2">
        <f>IFERROR(__xludf.DUMMYFUNCTION("""COMPUTED_VALUE"""),3.0)</f>
        <v>3</v>
      </c>
      <c r="S714" s="2"/>
      <c r="T714" s="2"/>
    </row>
    <row r="715">
      <c r="A715" s="1">
        <f>IFERROR(__xludf.DUMMYFUNCTION("""COMPUTED_VALUE"""),713.0)</f>
        <v>713</v>
      </c>
      <c r="B715" s="2" t="str">
        <f>IFERROR(__xludf.DUMMYFUNCTION("""COMPUTED_VALUE"""),"GP-124 Irrigation Services Association Inc.")</f>
        <v>GP-124 Irrigation Services Association Inc.</v>
      </c>
      <c r="C715" s="2" t="str">
        <f>IFERROR(__xludf.DUMMYFUNCTION("""COMPUTED_VALUE"""),"Coral-Iloco, Ramos, TARLAC")</f>
        <v>Coral-Iloco, Ramos, TARLAC</v>
      </c>
      <c r="D715" s="2" t="str">
        <f>IFERROR(__xludf.DUMMYFUNCTION("""COMPUTED_VALUE"""),"Gregoria J. Manglicmot")</f>
        <v>Gregoria J. Manglicmot</v>
      </c>
      <c r="E715" s="2" t="str">
        <f>IFERROR(__xludf.DUMMYFUNCTION("""COMPUTED_VALUE"""),"0917-362-7681")</f>
        <v>0917-362-7681</v>
      </c>
      <c r="F715" s="2" t="str">
        <f>IFERROR(__xludf.DUMMYFUNCTION("""COMPUTED_VALUE"""),"RCEF 25-03-05")</f>
        <v>RCEF 25-03-05</v>
      </c>
      <c r="G715" s="2">
        <f>IFERROR(__xludf.DUMMYFUNCTION("""COMPUTED_VALUE"""),5.0)</f>
        <v>5</v>
      </c>
      <c r="H715" s="2" t="str">
        <f>IFERROR(__xludf.DUMMYFUNCTION("""COMPUTED_VALUE"""),"26530 &amp; 27711")</f>
        <v>26530 &amp; 27711</v>
      </c>
      <c r="I715" s="2" t="str">
        <f>IFERROR(__xludf.DUMMYFUNCTION("""COMPUTED_VALUE"""),"KMC5825 AJSFPV0154")</f>
        <v>KMC5825 AJSFPV0154</v>
      </c>
      <c r="J715" s="3" t="str">
        <f>IFERROR(__xludf.DUMMYFUNCTION("""COMPUTED_VALUE"""),"STS100139")</f>
        <v>STS100139</v>
      </c>
      <c r="K715" s="2" t="str">
        <f>IFERROR(__xludf.DUMMYFUNCTION("""COMPUTED_VALUE"""),"R-SERIES 311PH")</f>
        <v>R-SERIES 311PH</v>
      </c>
      <c r="L715" s="3" t="str">
        <f>IFERROR(__xludf.DUMMYFUNCTION("""COMPUTED_VALUE"""),"25080376")</f>
        <v>25080376</v>
      </c>
      <c r="M715" s="3" t="str">
        <f>IFERROR(__xludf.DUMMYFUNCTION("""COMPUTED_VALUE"""),"25080880")</f>
        <v>25080880</v>
      </c>
      <c r="N715" s="2"/>
      <c r="O715" s="2" t="str">
        <f>IFERROR(__xludf.DUMMYFUNCTION("""COMPUTED_VALUE"""),"Coral-Iloco")</f>
        <v>Coral-Iloco</v>
      </c>
      <c r="P715" s="2" t="str">
        <f>IFERROR(__xludf.DUMMYFUNCTION("""COMPUTED_VALUE"""),"Ramos")</f>
        <v>Ramos</v>
      </c>
      <c r="Q715" s="2" t="str">
        <f>IFERROR(__xludf.DUMMYFUNCTION("""COMPUTED_VALUE"""),"Tarlac")</f>
        <v>Tarlac</v>
      </c>
      <c r="R715" s="2">
        <f>IFERROR(__xludf.DUMMYFUNCTION("""COMPUTED_VALUE"""),3.0)</f>
        <v>3</v>
      </c>
      <c r="S715" s="2"/>
      <c r="T715" s="2"/>
    </row>
    <row r="716">
      <c r="A716" s="1">
        <f>IFERROR(__xludf.DUMMYFUNCTION("""COMPUTED_VALUE"""),714.0)</f>
        <v>714</v>
      </c>
      <c r="B716" s="2" t="str">
        <f>IFERROR(__xludf.DUMMYFUNCTION("""COMPUTED_VALUE"""),"Mandala Farmers Agriculture Cooperative (MFC)")</f>
        <v>Mandala Farmers Agriculture Cooperative (MFC)</v>
      </c>
      <c r="C716" s="2" t="str">
        <f>IFERROR(__xludf.DUMMYFUNCTION("""COMPUTED_VALUE"""),"Coral-Iloco, Ramos, TARLAC")</f>
        <v>Coral-Iloco, Ramos, TARLAC</v>
      </c>
      <c r="D716" s="2" t="str">
        <f>IFERROR(__xludf.DUMMYFUNCTION("""COMPUTED_VALUE"""),"Christopher R. Tawatao")</f>
        <v>Christopher R. Tawatao</v>
      </c>
      <c r="E716" s="2" t="str">
        <f>IFERROR(__xludf.DUMMYFUNCTION("""COMPUTED_VALUE"""),"0951-156-2616")</f>
        <v>0951-156-2616</v>
      </c>
      <c r="F716" s="2" t="str">
        <f>IFERROR(__xludf.DUMMYFUNCTION("""COMPUTED_VALUE"""),"RCEF 25-03-05")</f>
        <v>RCEF 25-03-05</v>
      </c>
      <c r="G716" s="2">
        <f>IFERROR(__xludf.DUMMYFUNCTION("""COMPUTED_VALUE"""),5.0)</f>
        <v>5</v>
      </c>
      <c r="H716" s="2" t="str">
        <f>IFERROR(__xludf.DUMMYFUNCTION("""COMPUTED_VALUE"""),"26531 &amp; 27712")</f>
        <v>26531 &amp; 27712</v>
      </c>
      <c r="I716" s="2" t="str">
        <f>IFERROR(__xludf.DUMMYFUNCTION("""COMPUTED_VALUE"""),"KMC5825 ACSFPV0391")</f>
        <v>KMC5825 ACSFPV0391</v>
      </c>
      <c r="J716" s="3" t="str">
        <f>IFERROR(__xludf.DUMMYFUNCTION("""COMPUTED_VALUE"""),"STS100444")</f>
        <v>STS100444</v>
      </c>
      <c r="K716" s="2" t="str">
        <f>IFERROR(__xludf.DUMMYFUNCTION("""COMPUTED_VALUE"""),"WR-SERIES 128")</f>
        <v>WR-SERIES 128</v>
      </c>
      <c r="L716" s="3" t="str">
        <f>IFERROR(__xludf.DUMMYFUNCTION("""COMPUTED_VALUE"""),"25080359")</f>
        <v>25080359</v>
      </c>
      <c r="M716" s="3" t="str">
        <f>IFERROR(__xludf.DUMMYFUNCTION("""COMPUTED_VALUE"""),"25080859")</f>
        <v>25080859</v>
      </c>
      <c r="N716" s="2"/>
      <c r="O716" s="2" t="str">
        <f>IFERROR(__xludf.DUMMYFUNCTION("""COMPUTED_VALUE"""),"Coral-Iloco")</f>
        <v>Coral-Iloco</v>
      </c>
      <c r="P716" s="2" t="str">
        <f>IFERROR(__xludf.DUMMYFUNCTION("""COMPUTED_VALUE"""),"Ramos")</f>
        <v>Ramos</v>
      </c>
      <c r="Q716" s="2" t="str">
        <f>IFERROR(__xludf.DUMMYFUNCTION("""COMPUTED_VALUE"""),"Tarlac")</f>
        <v>Tarlac</v>
      </c>
      <c r="R716" s="2">
        <f>IFERROR(__xludf.DUMMYFUNCTION("""COMPUTED_VALUE"""),3.0)</f>
        <v>3</v>
      </c>
      <c r="S716" s="2"/>
      <c r="T716" s="2"/>
    </row>
    <row r="717">
      <c r="A717" s="1">
        <f>IFERROR(__xludf.DUMMYFUNCTION("""COMPUTED_VALUE"""),715.0)</f>
        <v>715</v>
      </c>
      <c r="B717" s="2" t="str">
        <f>IFERROR(__xludf.DUMMYFUNCTION("""COMPUTED_VALUE"""),"BALLOC FARMERS ASSOCIATION")</f>
        <v>BALLOC FARMERS ASSOCIATION</v>
      </c>
      <c r="C717" s="2" t="str">
        <f>IFERROR(__xludf.DUMMYFUNCTION("""COMPUTED_VALUE"""),"Balloc, San Clemente, TARLAC")</f>
        <v>Balloc, San Clemente, TARLAC</v>
      </c>
      <c r="D717" s="2" t="str">
        <f>IFERROR(__xludf.DUMMYFUNCTION("""COMPUTED_VALUE"""),"Jun P. Rivera")</f>
        <v>Jun P. Rivera</v>
      </c>
      <c r="E717" s="2" t="str">
        <f>IFERROR(__xludf.DUMMYFUNCTION("""COMPUTED_VALUE"""),"0977-133-9469")</f>
        <v>0977-133-9469</v>
      </c>
      <c r="F717" s="2" t="str">
        <f>IFERROR(__xludf.DUMMYFUNCTION("""COMPUTED_VALUE"""),"RCEF 25-03-05")</f>
        <v>RCEF 25-03-05</v>
      </c>
      <c r="G717" s="2">
        <f>IFERROR(__xludf.DUMMYFUNCTION("""COMPUTED_VALUE"""),5.0)</f>
        <v>5</v>
      </c>
      <c r="H717" s="2" t="str">
        <f>IFERROR(__xludf.DUMMYFUNCTION("""COMPUTED_VALUE"""),"26532 &amp; 27713")</f>
        <v>26532 &amp; 27713</v>
      </c>
      <c r="I717" s="2" t="str">
        <f>IFERROR(__xludf.DUMMYFUNCTION("""COMPUTED_VALUE"""),"KMC5825 ACSFPV0397")</f>
        <v>KMC5825 ACSFPV0397</v>
      </c>
      <c r="J717" s="3" t="str">
        <f>IFERROR(__xludf.DUMMYFUNCTION("""COMPUTED_VALUE"""),"STS100393")</f>
        <v>STS100393</v>
      </c>
      <c r="K717" s="2" t="str">
        <f>IFERROR(__xludf.DUMMYFUNCTION("""COMPUTED_VALUE"""),"R-SERIES 245PH")</f>
        <v>R-SERIES 245PH</v>
      </c>
      <c r="L717" s="3" t="str">
        <f>IFERROR(__xludf.DUMMYFUNCTION("""COMPUTED_VALUE"""),"25080354")</f>
        <v>25080354</v>
      </c>
      <c r="M717" s="3" t="str">
        <f>IFERROR(__xludf.DUMMYFUNCTION("""COMPUTED_VALUE"""),"25080875")</f>
        <v>25080875</v>
      </c>
      <c r="N717" s="2"/>
      <c r="O717" s="2" t="str">
        <f>IFERROR(__xludf.DUMMYFUNCTION("""COMPUTED_VALUE"""),"Balloc")</f>
        <v>Balloc</v>
      </c>
      <c r="P717" s="2" t="str">
        <f>IFERROR(__xludf.DUMMYFUNCTION("""COMPUTED_VALUE"""),"San Clemente")</f>
        <v>San Clemente</v>
      </c>
      <c r="Q717" s="2" t="str">
        <f>IFERROR(__xludf.DUMMYFUNCTION("""COMPUTED_VALUE"""),"Tarlac")</f>
        <v>Tarlac</v>
      </c>
      <c r="R717" s="2">
        <f>IFERROR(__xludf.DUMMYFUNCTION("""COMPUTED_VALUE"""),3.0)</f>
        <v>3</v>
      </c>
      <c r="S717" s="2"/>
      <c r="T717" s="2"/>
    </row>
    <row r="718">
      <c r="A718" s="1">
        <f>IFERROR(__xludf.DUMMYFUNCTION("""COMPUTED_VALUE"""),716.0)</f>
        <v>716</v>
      </c>
      <c r="B718" s="2" t="str">
        <f>IFERROR(__xludf.DUMMYFUNCTION("""COMPUTED_VALUE"""),"BSSN FARMERS IRRIGATORS ASSOCIATION INC.")</f>
        <v>BSSN FARMERS IRRIGATORS ASSOCIATION INC.</v>
      </c>
      <c r="C718" s="2" t="str">
        <f>IFERROR(__xludf.DUMMYFUNCTION("""COMPUTED_VALUE"""),"San Narciso, San Manuel, TARLAC")</f>
        <v>San Narciso, San Manuel, TARLAC</v>
      </c>
      <c r="D718" s="2" t="str">
        <f>IFERROR(__xludf.DUMMYFUNCTION("""COMPUTED_VALUE"""),"Federico C. Conde Jr.")</f>
        <v>Federico C. Conde Jr.</v>
      </c>
      <c r="E718" s="2" t="str">
        <f>IFERROR(__xludf.DUMMYFUNCTION("""COMPUTED_VALUE"""),"0994-416-5386")</f>
        <v>0994-416-5386</v>
      </c>
      <c r="F718" s="2" t="str">
        <f>IFERROR(__xludf.DUMMYFUNCTION("""COMPUTED_VALUE"""),"RCEF 25-03-05")</f>
        <v>RCEF 25-03-05</v>
      </c>
      <c r="G718" s="2">
        <f>IFERROR(__xludf.DUMMYFUNCTION("""COMPUTED_VALUE"""),5.0)</f>
        <v>5</v>
      </c>
      <c r="H718" s="2" t="str">
        <f>IFERROR(__xludf.DUMMYFUNCTION("""COMPUTED_VALUE"""),"26533 &amp; 27714")</f>
        <v>26533 &amp; 27714</v>
      </c>
      <c r="I718" s="2" t="str">
        <f>IFERROR(__xludf.DUMMYFUNCTION("""COMPUTED_VALUE"""),"KMC5825 ALSFPV0032")</f>
        <v>KMC5825 ALSFPV0032</v>
      </c>
      <c r="J718" s="3" t="str">
        <f>IFERROR(__xludf.DUMMYFUNCTION("""COMPUTED_VALUE"""),"STS100045")</f>
        <v>STS100045</v>
      </c>
      <c r="K718" s="2" t="str">
        <f>IFERROR(__xludf.DUMMYFUNCTION("""COMPUTED_VALUE"""),"R-SERIES 266PH")</f>
        <v>R-SERIES 266PH</v>
      </c>
      <c r="L718" s="3" t="str">
        <f>IFERROR(__xludf.DUMMYFUNCTION("""COMPUTED_VALUE"""),"25080394")</f>
        <v>25080394</v>
      </c>
      <c r="M718" s="3" t="str">
        <f>IFERROR(__xludf.DUMMYFUNCTION("""COMPUTED_VALUE"""),"25080874")</f>
        <v>25080874</v>
      </c>
      <c r="N718" s="2"/>
      <c r="O718" s="2" t="str">
        <f>IFERROR(__xludf.DUMMYFUNCTION("""COMPUTED_VALUE"""),"San Narciso")</f>
        <v>San Narciso</v>
      </c>
      <c r="P718" s="2" t="str">
        <f>IFERROR(__xludf.DUMMYFUNCTION("""COMPUTED_VALUE"""),"San Manuel")</f>
        <v>San Manuel</v>
      </c>
      <c r="Q718" s="2" t="str">
        <f>IFERROR(__xludf.DUMMYFUNCTION("""COMPUTED_VALUE"""),"Tarlac")</f>
        <v>Tarlac</v>
      </c>
      <c r="R718" s="2">
        <f>IFERROR(__xludf.DUMMYFUNCTION("""COMPUTED_VALUE"""),3.0)</f>
        <v>3</v>
      </c>
      <c r="S718" s="2"/>
      <c r="T718" s="2"/>
    </row>
    <row r="719">
      <c r="A719" s="1">
        <f>IFERROR(__xludf.DUMMYFUNCTION("""COMPUTED_VALUE"""),717.0)</f>
        <v>717</v>
      </c>
      <c r="B719" s="2" t="str">
        <f>IFERROR(__xludf.DUMMYFUNCTION("""COMPUTED_VALUE"""),"PADA-PADA STA. IGNACIA OFW AND FARMERS ASSOCIATION")</f>
        <v>PADA-PADA STA. IGNACIA OFW AND FARMERS ASSOCIATION</v>
      </c>
      <c r="C719" s="2" t="str">
        <f>IFERROR(__xludf.DUMMYFUNCTION("""COMPUTED_VALUE"""),"Padapada, Santa Ignacia, TARLAC")</f>
        <v>Padapada, Santa Ignacia, TARLAC</v>
      </c>
      <c r="D719" s="2" t="str">
        <f>IFERROR(__xludf.DUMMYFUNCTION("""COMPUTED_VALUE"""),"Cecilia A. Santos")</f>
        <v>Cecilia A. Santos</v>
      </c>
      <c r="E719" s="2" t="str">
        <f>IFERROR(__xludf.DUMMYFUNCTION("""COMPUTED_VALUE"""),"0961-406-0854")</f>
        <v>0961-406-0854</v>
      </c>
      <c r="F719" s="2" t="str">
        <f>IFERROR(__xludf.DUMMYFUNCTION("""COMPUTED_VALUE"""),"RCEF 25-03-05")</f>
        <v>RCEF 25-03-05</v>
      </c>
      <c r="G719" s="2">
        <f>IFERROR(__xludf.DUMMYFUNCTION("""COMPUTED_VALUE"""),5.0)</f>
        <v>5</v>
      </c>
      <c r="H719" s="2" t="str">
        <f>IFERROR(__xludf.DUMMYFUNCTION("""COMPUTED_VALUE"""),"26534 &amp; 27715")</f>
        <v>26534 &amp; 27715</v>
      </c>
      <c r="I719" s="2" t="str">
        <f>IFERROR(__xludf.DUMMYFUNCTION("""COMPUTED_VALUE"""),"KMC5825 AKSFPV0105")</f>
        <v>KMC5825 AKSFPV0105</v>
      </c>
      <c r="J719" s="3" t="str">
        <f>IFERROR(__xludf.DUMMYFUNCTION("""COMPUTED_VALUE"""),"STS100164")</f>
        <v>STS100164</v>
      </c>
      <c r="K719" s="2" t="str">
        <f>IFERROR(__xludf.DUMMYFUNCTION("""COMPUTED_VALUE"""),"R-SERIES 317PH")</f>
        <v>R-SERIES 317PH</v>
      </c>
      <c r="L719" s="3" t="str">
        <f>IFERROR(__xludf.DUMMYFUNCTION("""COMPUTED_VALUE"""),"25080355")</f>
        <v>25080355</v>
      </c>
      <c r="M719" s="3" t="str">
        <f>IFERROR(__xludf.DUMMYFUNCTION("""COMPUTED_VALUE"""),"25080808")</f>
        <v>25080808</v>
      </c>
      <c r="N719" s="2"/>
      <c r="O719" s="2" t="str">
        <f>IFERROR(__xludf.DUMMYFUNCTION("""COMPUTED_VALUE"""),"Padapada")</f>
        <v>Padapada</v>
      </c>
      <c r="P719" s="2" t="str">
        <f>IFERROR(__xludf.DUMMYFUNCTION("""COMPUTED_VALUE"""),"Santa Ignacia")</f>
        <v>Santa Ignacia</v>
      </c>
      <c r="Q719" s="2" t="str">
        <f>IFERROR(__xludf.DUMMYFUNCTION("""COMPUTED_VALUE"""),"Tarlac")</f>
        <v>Tarlac</v>
      </c>
      <c r="R719" s="2">
        <f>IFERROR(__xludf.DUMMYFUNCTION("""COMPUTED_VALUE"""),3.0)</f>
        <v>3</v>
      </c>
      <c r="S719" s="2"/>
      <c r="T719" s="2"/>
    </row>
    <row r="720">
      <c r="A720" s="1">
        <f>IFERROR(__xludf.DUMMYFUNCTION("""COMPUTED_VALUE"""),718.0)</f>
        <v>718</v>
      </c>
      <c r="B720" s="2" t="str">
        <f>IFERROR(__xludf.DUMMYFUNCTION("""COMPUTED_VALUE"""),"Dela Paz South Farmers Irrigators Association, Inc.")</f>
        <v>Dela Paz South Farmers Irrigators Association, Inc.</v>
      </c>
      <c r="C720" s="2" t="str">
        <f>IFERROR(__xludf.DUMMYFUNCTION("""COMPUTED_VALUE"""),"Dela Paz, Tarlac City, TARLAC")</f>
        <v>Dela Paz, Tarlac City, TARLAC</v>
      </c>
      <c r="D720" s="2" t="str">
        <f>IFERROR(__xludf.DUMMYFUNCTION("""COMPUTED_VALUE"""),"Pedro S. Nicdao")</f>
        <v>Pedro S. Nicdao</v>
      </c>
      <c r="E720" s="2" t="str">
        <f>IFERROR(__xludf.DUMMYFUNCTION("""COMPUTED_VALUE"""),"0933-862-5077")</f>
        <v>0933-862-5077</v>
      </c>
      <c r="F720" s="2" t="str">
        <f>IFERROR(__xludf.DUMMYFUNCTION("""COMPUTED_VALUE"""),"RCEF 25-03-05")</f>
        <v>RCEF 25-03-05</v>
      </c>
      <c r="G720" s="2">
        <f>IFERROR(__xludf.DUMMYFUNCTION("""COMPUTED_VALUE"""),5.0)</f>
        <v>5</v>
      </c>
      <c r="H720" s="2" t="str">
        <f>IFERROR(__xludf.DUMMYFUNCTION("""COMPUTED_VALUE"""),"26535 &amp; 27716")</f>
        <v>26535 &amp; 27716</v>
      </c>
      <c r="I720" s="2" t="str">
        <f>IFERROR(__xludf.DUMMYFUNCTION("""COMPUTED_VALUE"""),"KMC5825 AJSFPV0428")</f>
        <v>KMC5825 AJSFPV0428</v>
      </c>
      <c r="J720" s="3" t="str">
        <f>IFERROR(__xludf.DUMMYFUNCTION("""COMPUTED_VALUE"""),"STS100484")</f>
        <v>STS100484</v>
      </c>
      <c r="K720" s="2" t="str">
        <f>IFERROR(__xludf.DUMMYFUNCTION("""COMPUTED_VALUE"""),"R-SERIES 132PH")</f>
        <v>R-SERIES 132PH</v>
      </c>
      <c r="L720" s="3" t="str">
        <f>IFERROR(__xludf.DUMMYFUNCTION("""COMPUTED_VALUE"""),"25080412")</f>
        <v>25080412</v>
      </c>
      <c r="M720" s="3" t="str">
        <f>IFERROR(__xludf.DUMMYFUNCTION("""COMPUTED_VALUE"""),"25080888")</f>
        <v>25080888</v>
      </c>
      <c r="N720" s="2"/>
      <c r="O720" s="2" t="str">
        <f>IFERROR(__xludf.DUMMYFUNCTION("""COMPUTED_VALUE"""),"Dela Paz")</f>
        <v>Dela Paz</v>
      </c>
      <c r="P720" s="2" t="str">
        <f>IFERROR(__xludf.DUMMYFUNCTION("""COMPUTED_VALUE"""),"Tarlac City")</f>
        <v>Tarlac City</v>
      </c>
      <c r="Q720" s="2" t="str">
        <f>IFERROR(__xludf.DUMMYFUNCTION("""COMPUTED_VALUE"""),"Tarlac")</f>
        <v>Tarlac</v>
      </c>
      <c r="R720" s="2">
        <f>IFERROR(__xludf.DUMMYFUNCTION("""COMPUTED_VALUE"""),3.0)</f>
        <v>3</v>
      </c>
      <c r="S720" s="2"/>
      <c r="T720" s="2"/>
    </row>
    <row r="721">
      <c r="A721" s="1">
        <f>IFERROR(__xludf.DUMMYFUNCTION("""COMPUTED_VALUE"""),719.0)</f>
        <v>719</v>
      </c>
      <c r="B721" s="2" t="str">
        <f>IFERROR(__xludf.DUMMYFUNCTION("""COMPUTED_VALUE"""),"Barangay Cruz Victoria Tarlac Farmers Irrigator Association Inc.")</f>
        <v>Barangay Cruz Victoria Tarlac Farmers Irrigator Association Inc.</v>
      </c>
      <c r="C721" s="2" t="str">
        <f>IFERROR(__xludf.DUMMYFUNCTION("""COMPUTED_VALUE"""),"Cruz, Victoria, TARLAC")</f>
        <v>Cruz, Victoria, TARLAC</v>
      </c>
      <c r="D721" s="2" t="str">
        <f>IFERROR(__xludf.DUMMYFUNCTION("""COMPUTED_VALUE"""),"Felino V. Pascua Sr.")</f>
        <v>Felino V. Pascua Sr.</v>
      </c>
      <c r="E721" s="2" t="str">
        <f>IFERROR(__xludf.DUMMYFUNCTION("""COMPUTED_VALUE"""),"0970-523-0313")</f>
        <v>0970-523-0313</v>
      </c>
      <c r="F721" s="2" t="str">
        <f>IFERROR(__xludf.DUMMYFUNCTION("""COMPUTED_VALUE"""),"RCEF 25-03-05")</f>
        <v>RCEF 25-03-05</v>
      </c>
      <c r="G721" s="2">
        <f>IFERROR(__xludf.DUMMYFUNCTION("""COMPUTED_VALUE"""),5.0)</f>
        <v>5</v>
      </c>
      <c r="H721" s="2" t="str">
        <f>IFERROR(__xludf.DUMMYFUNCTION("""COMPUTED_VALUE"""),"26536 &amp; 27717")</f>
        <v>26536 &amp; 27717</v>
      </c>
      <c r="I721" s="2" t="str">
        <f>IFERROR(__xludf.DUMMYFUNCTION("""COMPUTED_VALUE"""),"KMC5825 AASFPV0398")</f>
        <v>KMC5825 AASFPV0398</v>
      </c>
      <c r="J721" s="3" t="str">
        <f>IFERROR(__xludf.DUMMYFUNCTION("""COMPUTED_VALUE"""),"STS100440")</f>
        <v>STS100440</v>
      </c>
      <c r="K721" s="2" t="str">
        <f>IFERROR(__xludf.DUMMYFUNCTION("""COMPUTED_VALUE"""),"WR-SERIES 287")</f>
        <v>WR-SERIES 287</v>
      </c>
      <c r="L721" s="3" t="str">
        <f>IFERROR(__xludf.DUMMYFUNCTION("""COMPUTED_VALUE"""),"25080422")</f>
        <v>25080422</v>
      </c>
      <c r="M721" s="3" t="str">
        <f>IFERROR(__xludf.DUMMYFUNCTION("""COMPUTED_VALUE"""),"25080881")</f>
        <v>25080881</v>
      </c>
      <c r="N721" s="2"/>
      <c r="O721" s="2" t="str">
        <f>IFERROR(__xludf.DUMMYFUNCTION("""COMPUTED_VALUE"""),"Cruz")</f>
        <v>Cruz</v>
      </c>
      <c r="P721" s="2" t="str">
        <f>IFERROR(__xludf.DUMMYFUNCTION("""COMPUTED_VALUE"""),"Victoria")</f>
        <v>Victoria</v>
      </c>
      <c r="Q721" s="2" t="str">
        <f>IFERROR(__xludf.DUMMYFUNCTION("""COMPUTED_VALUE"""),"Tarlac")</f>
        <v>Tarlac</v>
      </c>
      <c r="R721" s="2">
        <f>IFERROR(__xludf.DUMMYFUNCTION("""COMPUTED_VALUE"""),3.0)</f>
        <v>3</v>
      </c>
      <c r="S721" s="2"/>
      <c r="T721" s="2"/>
    </row>
    <row r="722">
      <c r="A722" s="1">
        <f>IFERROR(__xludf.DUMMYFUNCTION("""COMPUTED_VALUE"""),720.0)</f>
        <v>720</v>
      </c>
      <c r="B722" s="2" t="str">
        <f>IFERROR(__xludf.DUMMYFUNCTION("""COMPUTED_VALUE"""),"P-38 Farmers Irrigators Association Inc")</f>
        <v>P-38 Farmers Irrigators Association Inc</v>
      </c>
      <c r="C722" s="2" t="str">
        <f>IFERROR(__xludf.DUMMYFUNCTION("""COMPUTED_VALUE"""),"Canarem, Victoria, TARLAC")</f>
        <v>Canarem, Victoria, TARLAC</v>
      </c>
      <c r="D722" s="2" t="str">
        <f>IFERROR(__xludf.DUMMYFUNCTION("""COMPUTED_VALUE"""),"Ramon M. Ganiban")</f>
        <v>Ramon M. Ganiban</v>
      </c>
      <c r="E722" s="2">
        <f>IFERROR(__xludf.DUMMYFUNCTION("""COMPUTED_VALUE"""),9.956891989E9)</f>
        <v>9956891989</v>
      </c>
      <c r="F722" s="2" t="str">
        <f>IFERROR(__xludf.DUMMYFUNCTION("""COMPUTED_VALUE"""),"RCEF 25-03-05")</f>
        <v>RCEF 25-03-05</v>
      </c>
      <c r="G722" s="2">
        <f>IFERROR(__xludf.DUMMYFUNCTION("""COMPUTED_VALUE"""),5.0)</f>
        <v>5</v>
      </c>
      <c r="H722" s="2" t="str">
        <f>IFERROR(__xludf.DUMMYFUNCTION("""COMPUTED_VALUE"""),"26537 &amp; 27718")</f>
        <v>26537 &amp; 27718</v>
      </c>
      <c r="I722" s="2" t="str">
        <f>IFERROR(__xludf.DUMMYFUNCTION("""COMPUTED_VALUE"""),"KMC5825 AJSFPV0123")</f>
        <v>KMC5825 AJSFPV0123</v>
      </c>
      <c r="J722" s="3" t="str">
        <f>IFERROR(__xludf.DUMMYFUNCTION("""COMPUTED_VALUE"""),"STS100106")</f>
        <v>STS100106</v>
      </c>
      <c r="K722" s="2" t="str">
        <f>IFERROR(__xludf.DUMMYFUNCTION("""COMPUTED_VALUE"""),"R-SERIES 259PH")</f>
        <v>R-SERIES 259PH</v>
      </c>
      <c r="L722" s="3" t="str">
        <f>IFERROR(__xludf.DUMMYFUNCTION("""COMPUTED_VALUE"""),"25080391")</f>
        <v>25080391</v>
      </c>
      <c r="M722" s="3" t="str">
        <f>IFERROR(__xludf.DUMMYFUNCTION("""COMPUTED_VALUE"""),"25080866")</f>
        <v>25080866</v>
      </c>
      <c r="N722" s="2"/>
      <c r="O722" s="2" t="str">
        <f>IFERROR(__xludf.DUMMYFUNCTION("""COMPUTED_VALUE"""),"Canarem")</f>
        <v>Canarem</v>
      </c>
      <c r="P722" s="2" t="str">
        <f>IFERROR(__xludf.DUMMYFUNCTION("""COMPUTED_VALUE"""),"Victoria")</f>
        <v>Victoria</v>
      </c>
      <c r="Q722" s="2" t="str">
        <f>IFERROR(__xludf.DUMMYFUNCTION("""COMPUTED_VALUE"""),"Tarlac")</f>
        <v>Tarlac</v>
      </c>
      <c r="R722" s="2">
        <f>IFERROR(__xludf.DUMMYFUNCTION("""COMPUTED_VALUE"""),3.0)</f>
        <v>3</v>
      </c>
      <c r="S722" s="2"/>
      <c r="T722" s="2"/>
    </row>
    <row r="723">
      <c r="A723" s="1">
        <f>IFERROR(__xludf.DUMMYFUNCTION("""COMPUTED_VALUE"""),721.0)</f>
        <v>721</v>
      </c>
      <c r="B723" s="2" t="str">
        <f>IFERROR(__xludf.DUMMYFUNCTION("""COMPUTED_VALUE"""),"UNITED PRODUCTIVE FARMERS OF CALIBUNGAN INC.")</f>
        <v>UNITED PRODUCTIVE FARMERS OF CALIBUNGAN INC.</v>
      </c>
      <c r="C723" s="2" t="str">
        <f>IFERROR(__xludf.DUMMYFUNCTION("""COMPUTED_VALUE"""),"Calibungan, Victoria, TARLAC")</f>
        <v>Calibungan, Victoria, TARLAC</v>
      </c>
      <c r="D723" s="2" t="str">
        <f>IFERROR(__xludf.DUMMYFUNCTION("""COMPUTED_VALUE"""),"Inocencio D. Rigor Jr.")</f>
        <v>Inocencio D. Rigor Jr.</v>
      </c>
      <c r="E723" s="2" t="str">
        <f>IFERROR(__xludf.DUMMYFUNCTION("""COMPUTED_VALUE"""),"0948--601-2057")</f>
        <v>0948--601-2057</v>
      </c>
      <c r="F723" s="2" t="str">
        <f>IFERROR(__xludf.DUMMYFUNCTION("""COMPUTED_VALUE"""),"RCEF 25-03-05")</f>
        <v>RCEF 25-03-05</v>
      </c>
      <c r="G723" s="2">
        <f>IFERROR(__xludf.DUMMYFUNCTION("""COMPUTED_VALUE"""),5.0)</f>
        <v>5</v>
      </c>
      <c r="H723" s="2" t="str">
        <f>IFERROR(__xludf.DUMMYFUNCTION("""COMPUTED_VALUE"""),"26538 &amp; 27719")</f>
        <v>26538 &amp; 27719</v>
      </c>
      <c r="I723" s="2" t="str">
        <f>IFERROR(__xludf.DUMMYFUNCTION("""COMPUTED_VALUE"""),"KMC5825 AJSFPV0073")</f>
        <v>KMC5825 AJSFPV0073</v>
      </c>
      <c r="J723" s="3" t="str">
        <f>IFERROR(__xludf.DUMMYFUNCTION("""COMPUTED_VALUE"""),"STS100058")</f>
        <v>STS100058</v>
      </c>
      <c r="K723" s="2" t="str">
        <f>IFERROR(__xludf.DUMMYFUNCTION("""COMPUTED_VALUE"""),"R-SERIES 310PH")</f>
        <v>R-SERIES 310PH</v>
      </c>
      <c r="L723" s="3" t="str">
        <f>IFERROR(__xludf.DUMMYFUNCTION("""COMPUTED_VALUE"""),"25080408")</f>
        <v>25080408</v>
      </c>
      <c r="M723" s="3" t="str">
        <f>IFERROR(__xludf.DUMMYFUNCTION("""COMPUTED_VALUE"""),"25080814")</f>
        <v>25080814</v>
      </c>
      <c r="N723" s="2"/>
      <c r="O723" s="2" t="str">
        <f>IFERROR(__xludf.DUMMYFUNCTION("""COMPUTED_VALUE"""),"Calibungan")</f>
        <v>Calibungan</v>
      </c>
      <c r="P723" s="2" t="str">
        <f>IFERROR(__xludf.DUMMYFUNCTION("""COMPUTED_VALUE"""),"Victoria")</f>
        <v>Victoria</v>
      </c>
      <c r="Q723" s="2" t="str">
        <f>IFERROR(__xludf.DUMMYFUNCTION("""COMPUTED_VALUE"""),"Tarlac")</f>
        <v>Tarlac</v>
      </c>
      <c r="R723" s="2">
        <f>IFERROR(__xludf.DUMMYFUNCTION("""COMPUTED_VALUE"""),3.0)</f>
        <v>3</v>
      </c>
      <c r="S723" s="2"/>
      <c r="T723" s="2"/>
    </row>
    <row r="724">
      <c r="A724" s="1">
        <f>IFERROR(__xludf.DUMMYFUNCTION("""COMPUTED_VALUE"""),722.0)</f>
        <v>722</v>
      </c>
      <c r="B724" s="2" t="str">
        <f>IFERROR(__xludf.DUMMYFUNCTION("""COMPUTED_VALUE"""),"Aranguren Agriculture Cooperative (AA Coop)")</f>
        <v>Aranguren Agriculture Cooperative (AA Coop)</v>
      </c>
      <c r="C724" s="2" t="str">
        <f>IFERROR(__xludf.DUMMYFUNCTION("""COMPUTED_VALUE"""),"Aranguren, Capas, TARLAC")</f>
        <v>Aranguren, Capas, TARLAC</v>
      </c>
      <c r="D724" s="2" t="str">
        <f>IFERROR(__xludf.DUMMYFUNCTION("""COMPUTED_VALUE"""),"BENEDICT S. MACALOLOOY")</f>
        <v>BENEDICT S. MACALOLOOY</v>
      </c>
      <c r="E724" s="2" t="str">
        <f>IFERROR(__xludf.DUMMYFUNCTION("""COMPUTED_VALUE"""),"0930-238-7766")</f>
        <v>0930-238-7766</v>
      </c>
      <c r="F724" s="2" t="str">
        <f>IFERROR(__xludf.DUMMYFUNCTION("""COMPUTED_VALUE"""),"RCEF 25-03-05")</f>
        <v>RCEF 25-03-05</v>
      </c>
      <c r="G724" s="2">
        <f>IFERROR(__xludf.DUMMYFUNCTION("""COMPUTED_VALUE"""),5.0)</f>
        <v>5</v>
      </c>
      <c r="H724" s="2" t="str">
        <f>IFERROR(__xludf.DUMMYFUNCTION("""COMPUTED_VALUE"""),"26539 &amp; 27720")</f>
        <v>26539 &amp; 27720</v>
      </c>
      <c r="I724" s="2" t="str">
        <f>IFERROR(__xludf.DUMMYFUNCTION("""COMPUTED_VALUE"""),"KMC5825 APSFPV0149")</f>
        <v>KMC5825 APSFPV0149</v>
      </c>
      <c r="J724" s="3" t="str">
        <f>IFERROR(__xludf.DUMMYFUNCTION("""COMPUTED_VALUE"""),"STS100142")</f>
        <v>STS100142</v>
      </c>
      <c r="K724" s="2" t="str">
        <f>IFERROR(__xludf.DUMMYFUNCTION("""COMPUTED_VALUE"""),"R-SERIES 282PH")</f>
        <v>R-SERIES 282PH</v>
      </c>
      <c r="L724" s="3" t="str">
        <f>IFERROR(__xludf.DUMMYFUNCTION("""COMPUTED_VALUE"""),"25080401")</f>
        <v>25080401</v>
      </c>
      <c r="M724" s="3" t="str">
        <f>IFERROR(__xludf.DUMMYFUNCTION("""COMPUTED_VALUE"""),"25080878")</f>
        <v>25080878</v>
      </c>
      <c r="N724" s="2"/>
      <c r="O724" s="2" t="str">
        <f>IFERROR(__xludf.DUMMYFUNCTION("""COMPUTED_VALUE"""),"Aranguren")</f>
        <v>Aranguren</v>
      </c>
      <c r="P724" s="2" t="str">
        <f>IFERROR(__xludf.DUMMYFUNCTION("""COMPUTED_VALUE"""),"Capas")</f>
        <v>Capas</v>
      </c>
      <c r="Q724" s="2" t="str">
        <f>IFERROR(__xludf.DUMMYFUNCTION("""COMPUTED_VALUE"""),"Tarlac")</f>
        <v>Tarlac</v>
      </c>
      <c r="R724" s="2">
        <f>IFERROR(__xludf.DUMMYFUNCTION("""COMPUTED_VALUE"""),3.0)</f>
        <v>3</v>
      </c>
      <c r="S724" s="2"/>
      <c r="T724" s="2"/>
    </row>
    <row r="725">
      <c r="A725" s="1">
        <f>IFERROR(__xludf.DUMMYFUNCTION("""COMPUTED_VALUE"""),723.0)</f>
        <v>723</v>
      </c>
      <c r="B725" s="2" t="str">
        <f>IFERROR(__xludf.DUMMYFUNCTION("""COMPUTED_VALUE"""),"KAYANTABE FARMERS IRRIGATOR AGRICULTURE COOPERATIVE")</f>
        <v>KAYANTABE FARMERS IRRIGATOR AGRICULTURE COOPERATIVE</v>
      </c>
      <c r="C725" s="2" t="str">
        <f>IFERROR(__xludf.DUMMYFUNCTION("""COMPUTED_VALUE"""),"Santo Rosario, Capas, TARLAC")</f>
        <v>Santo Rosario, Capas, TARLAC</v>
      </c>
      <c r="D725" s="2" t="str">
        <f>IFERROR(__xludf.DUMMYFUNCTION("""COMPUTED_VALUE"""),"TITO DELOS REYES")</f>
        <v>TITO DELOS REYES</v>
      </c>
      <c r="E725" s="2" t="str">
        <f>IFERROR(__xludf.DUMMYFUNCTION("""COMPUTED_VALUE"""),"0968-663-0536")</f>
        <v>0968-663-0536</v>
      </c>
      <c r="F725" s="2" t="str">
        <f>IFERROR(__xludf.DUMMYFUNCTION("""COMPUTED_VALUE"""),"RCEF 25-03-05")</f>
        <v>RCEF 25-03-05</v>
      </c>
      <c r="G725" s="2">
        <f>IFERROR(__xludf.DUMMYFUNCTION("""COMPUTED_VALUE"""),5.0)</f>
        <v>5</v>
      </c>
      <c r="H725" s="2" t="str">
        <f>IFERROR(__xludf.DUMMYFUNCTION("""COMPUTED_VALUE"""),"26540 &amp; 27721")</f>
        <v>26540 &amp; 27721</v>
      </c>
      <c r="I725" s="2" t="str">
        <f>IFERROR(__xludf.DUMMYFUNCTION("""COMPUTED_VALUE"""),"KMC5825 ACSFPV0110")</f>
        <v>KMC5825 ACSFPV0110</v>
      </c>
      <c r="J725" s="3" t="str">
        <f>IFERROR(__xludf.DUMMYFUNCTION("""COMPUTED_VALUE"""),"STS100153")</f>
        <v>STS100153</v>
      </c>
      <c r="K725" s="2" t="str">
        <f>IFERROR(__xludf.DUMMYFUNCTION("""COMPUTED_VALUE"""),"R-SERIES 315PH")</f>
        <v>R-SERIES 315PH</v>
      </c>
      <c r="L725" s="3" t="str">
        <f>IFERROR(__xludf.DUMMYFUNCTION("""COMPUTED_VALUE"""),"25080433")</f>
        <v>25080433</v>
      </c>
      <c r="M725" s="3" t="str">
        <f>IFERROR(__xludf.DUMMYFUNCTION("""COMPUTED_VALUE"""),"25080861")</f>
        <v>25080861</v>
      </c>
      <c r="N725" s="2"/>
      <c r="O725" s="2" t="str">
        <f>IFERROR(__xludf.DUMMYFUNCTION("""COMPUTED_VALUE"""),"Santo Rosario")</f>
        <v>Santo Rosario</v>
      </c>
      <c r="P725" s="2" t="str">
        <f>IFERROR(__xludf.DUMMYFUNCTION("""COMPUTED_VALUE"""),"Capas")</f>
        <v>Capas</v>
      </c>
      <c r="Q725" s="2" t="str">
        <f>IFERROR(__xludf.DUMMYFUNCTION("""COMPUTED_VALUE"""),"Tarlac")</f>
        <v>Tarlac</v>
      </c>
      <c r="R725" s="2">
        <f>IFERROR(__xludf.DUMMYFUNCTION("""COMPUTED_VALUE"""),3.0)</f>
        <v>3</v>
      </c>
      <c r="S725" s="2"/>
      <c r="T725" s="2"/>
    </row>
    <row r="726">
      <c r="A726" s="1">
        <f>IFERROR(__xludf.DUMMYFUNCTION("""COMPUTED_VALUE"""),724.0)</f>
        <v>724</v>
      </c>
      <c r="B726" s="2" t="str">
        <f>IFERROR(__xludf.DUMMYFUNCTION("""COMPUTED_VALUE"""),"MUNICIPAL LOCAL GOVERNMENT UNIT OF SAN LEONARDO")</f>
        <v>MUNICIPAL LOCAL GOVERNMENT UNIT OF SAN LEONARDO</v>
      </c>
      <c r="C726" s="2" t="str">
        <f>IFERROR(__xludf.DUMMYFUNCTION("""COMPUTED_VALUE"""),", San Leonardo, Nueva Ecija")</f>
        <v>, San Leonardo, Nueva Ecija</v>
      </c>
      <c r="D726" s="2"/>
      <c r="E726" s="2"/>
      <c r="F726" s="2" t="str">
        <f>IFERROR(__xludf.DUMMYFUNCTION("""COMPUTED_VALUE"""),"RCEF 25-03-05")</f>
        <v>RCEF 25-03-05</v>
      </c>
      <c r="G726" s="2">
        <f>IFERROR(__xludf.DUMMYFUNCTION("""COMPUTED_VALUE"""),5.0)</f>
        <v>5</v>
      </c>
      <c r="H726" s="2" t="str">
        <f>IFERROR(__xludf.DUMMYFUNCTION("""COMPUTED_VALUE"""),"26541 &amp; 27722")</f>
        <v>26541 &amp; 27722</v>
      </c>
      <c r="I726" s="2" t="str">
        <f>IFERROR(__xludf.DUMMYFUNCTION("""COMPUTED_VALUE"""),"KMC5825 AJSFPV0333")</f>
        <v>KMC5825 AJSFPV0333</v>
      </c>
      <c r="J726" s="3" t="str">
        <f>IFERROR(__xludf.DUMMYFUNCTION("""COMPUTED_VALUE"""),"STS100352")</f>
        <v>STS100352</v>
      </c>
      <c r="K726" s="2" t="str">
        <f>IFERROR(__xludf.DUMMYFUNCTION("""COMPUTED_VALUE"""),"R-SERIES 037PH")</f>
        <v>R-SERIES 037PH</v>
      </c>
      <c r="L726" s="3" t="str">
        <f>IFERROR(__xludf.DUMMYFUNCTION("""COMPUTED_VALUE"""),"25090452")</f>
        <v>25090452</v>
      </c>
      <c r="M726" s="3" t="str">
        <f>IFERROR(__xludf.DUMMYFUNCTION("""COMPUTED_VALUE"""),"25080840")</f>
        <v>25080840</v>
      </c>
      <c r="N726" s="2"/>
      <c r="O726" s="2" t="str">
        <f>IFERROR(__xludf.DUMMYFUNCTION("""COMPUTED_VALUE"""),"")</f>
        <v/>
      </c>
      <c r="P726" s="2" t="str">
        <f>IFERROR(__xludf.DUMMYFUNCTION("""COMPUTED_VALUE"""),"San Leonardo")</f>
        <v>San Leonardo</v>
      </c>
      <c r="Q726" s="2" t="str">
        <f>IFERROR(__xludf.DUMMYFUNCTION("""COMPUTED_VALUE"""),"Nueva Ecija")</f>
        <v>Nueva Ecija</v>
      </c>
      <c r="R726" s="2">
        <f>IFERROR(__xludf.DUMMYFUNCTION("""COMPUTED_VALUE"""),3.0)</f>
        <v>3</v>
      </c>
      <c r="S726" s="2" t="str">
        <f>IFERROR(__xludf.DUMMYFUNCTION("""COMPUTED_VALUE"""),"CONCEPCION SEED GROWERS PRODUCER'S COOPERATIVE
Santo Cristo, Concepcion, TARLAC")</f>
        <v>CONCEPCION SEED GROWERS PRODUCER'S COOPERATIVE
Santo Cristo, Concepcion, TARLAC</v>
      </c>
      <c r="T726" s="2"/>
    </row>
    <row r="727">
      <c r="A727" s="1">
        <f>IFERROR(__xludf.DUMMYFUNCTION("""COMPUTED_VALUE"""),725.0)</f>
        <v>725</v>
      </c>
      <c r="B727" s="2" t="str">
        <f>IFERROR(__xludf.DUMMYFUNCTION("""COMPUTED_VALUE"""),"BAGONG JERUSALEM FARMERS FIELD SCHOOL")</f>
        <v>BAGONG JERUSALEM FARMERS FIELD SCHOOL</v>
      </c>
      <c r="C727" s="2" t="str">
        <f>IFERROR(__xludf.DUMMYFUNCTION("""COMPUTED_VALUE"""),"Dumarais, La Paz, TARLAC")</f>
        <v>Dumarais, La Paz, TARLAC</v>
      </c>
      <c r="D727" s="2" t="str">
        <f>IFERROR(__xludf.DUMMYFUNCTION("""COMPUTED_VALUE"""),"Lolita C. Aquino")</f>
        <v>Lolita C. Aquino</v>
      </c>
      <c r="E727" s="2" t="str">
        <f>IFERROR(__xludf.DUMMYFUNCTION("""COMPUTED_VALUE"""),"0905-338-5046")</f>
        <v>0905-338-5046</v>
      </c>
      <c r="F727" s="2" t="str">
        <f>IFERROR(__xludf.DUMMYFUNCTION("""COMPUTED_VALUE"""),"RCEF 25-03-05")</f>
        <v>RCEF 25-03-05</v>
      </c>
      <c r="G727" s="2">
        <f>IFERROR(__xludf.DUMMYFUNCTION("""COMPUTED_VALUE"""),5.0)</f>
        <v>5</v>
      </c>
      <c r="H727" s="2" t="str">
        <f>IFERROR(__xludf.DUMMYFUNCTION("""COMPUTED_VALUE"""),"26542 &amp; 27723")</f>
        <v>26542 &amp; 27723</v>
      </c>
      <c r="I727" s="2" t="str">
        <f>IFERROR(__xludf.DUMMYFUNCTION("""COMPUTED_VALUE"""),"KMC5825 ATSFPV0103")</f>
        <v>KMC5825 ATSFPV0103</v>
      </c>
      <c r="J727" s="3" t="str">
        <f>IFERROR(__xludf.DUMMYFUNCTION("""COMPUTED_VALUE"""),"STS100148")</f>
        <v>STS100148</v>
      </c>
      <c r="K727" s="2" t="str">
        <f>IFERROR(__xludf.DUMMYFUNCTION("""COMPUTED_VALUE"""),"R-SERIES 285PH")</f>
        <v>R-SERIES 285PH</v>
      </c>
      <c r="L727" s="3" t="str">
        <f>IFERROR(__xludf.DUMMYFUNCTION("""COMPUTED_VALUE"""),"25080392")</f>
        <v>25080392</v>
      </c>
      <c r="M727" s="3" t="str">
        <f>IFERROR(__xludf.DUMMYFUNCTION("""COMPUTED_VALUE"""),"25080828")</f>
        <v>25080828</v>
      </c>
      <c r="N727" s="2"/>
      <c r="O727" s="2" t="str">
        <f>IFERROR(__xludf.DUMMYFUNCTION("""COMPUTED_VALUE"""),"Dumarais")</f>
        <v>Dumarais</v>
      </c>
      <c r="P727" s="2" t="str">
        <f>IFERROR(__xludf.DUMMYFUNCTION("""COMPUTED_VALUE"""),"La Paz")</f>
        <v>La Paz</v>
      </c>
      <c r="Q727" s="2" t="str">
        <f>IFERROR(__xludf.DUMMYFUNCTION("""COMPUTED_VALUE"""),"Tarlac")</f>
        <v>Tarlac</v>
      </c>
      <c r="R727" s="2">
        <f>IFERROR(__xludf.DUMMYFUNCTION("""COMPUTED_VALUE"""),3.0)</f>
        <v>3</v>
      </c>
      <c r="S727" s="2"/>
      <c r="T727" s="2"/>
    </row>
    <row r="728">
      <c r="A728" s="1">
        <f>IFERROR(__xludf.DUMMYFUNCTION("""COMPUTED_VALUE"""),726.0)</f>
        <v>726</v>
      </c>
      <c r="B728" s="2" t="str">
        <f>IFERROR(__xludf.DUMMYFUNCTION("""COMPUTED_VALUE"""),"MAYANG UNITED FARMERS AGRICULTURE COOPERATIVE")</f>
        <v>MAYANG UNITED FARMERS AGRICULTURE COOPERATIVE</v>
      </c>
      <c r="C728" s="2" t="str">
        <f>IFERROR(__xludf.DUMMYFUNCTION("""COMPUTED_VALUE"""),"Mayang, La Paz, TARLAC")</f>
        <v>Mayang, La Paz, TARLAC</v>
      </c>
      <c r="D728" s="2" t="str">
        <f>IFERROR(__xludf.DUMMYFUNCTION("""COMPUTED_VALUE"""),"LARDY V. ALEGA")</f>
        <v>LARDY V. ALEGA</v>
      </c>
      <c r="E728" s="2" t="str">
        <f>IFERROR(__xludf.DUMMYFUNCTION("""COMPUTED_VALUE"""),"0908-882-5010")</f>
        <v>0908-882-5010</v>
      </c>
      <c r="F728" s="2" t="str">
        <f>IFERROR(__xludf.DUMMYFUNCTION("""COMPUTED_VALUE"""),"RCEF 25-03-05")</f>
        <v>RCEF 25-03-05</v>
      </c>
      <c r="G728" s="2">
        <f>IFERROR(__xludf.DUMMYFUNCTION("""COMPUTED_VALUE"""),5.0)</f>
        <v>5</v>
      </c>
      <c r="H728" s="2" t="str">
        <f>IFERROR(__xludf.DUMMYFUNCTION("""COMPUTED_VALUE"""),"26543 &amp; 27724")</f>
        <v>26543 &amp; 27724</v>
      </c>
      <c r="I728" s="2" t="str">
        <f>IFERROR(__xludf.DUMMYFUNCTION("""COMPUTED_VALUE"""),"KMC5825 ACSFPV0147")</f>
        <v>KMC5825 ACSFPV0147</v>
      </c>
      <c r="J728" s="3" t="str">
        <f>IFERROR(__xludf.DUMMYFUNCTION("""COMPUTED_VALUE"""),"STS100088")</f>
        <v>STS100088</v>
      </c>
      <c r="K728" s="2" t="str">
        <f>IFERROR(__xludf.DUMMYFUNCTION("""COMPUTED_VALUE"""),"R-SERIES 327PH")</f>
        <v>R-SERIES 327PH</v>
      </c>
      <c r="L728" s="3" t="str">
        <f>IFERROR(__xludf.DUMMYFUNCTION("""COMPUTED_VALUE"""),"25080390")</f>
        <v>25080390</v>
      </c>
      <c r="M728" s="3" t="str">
        <f>IFERROR(__xludf.DUMMYFUNCTION("""COMPUTED_VALUE"""),"25080850")</f>
        <v>25080850</v>
      </c>
      <c r="N728" s="2"/>
      <c r="O728" s="2" t="str">
        <f>IFERROR(__xludf.DUMMYFUNCTION("""COMPUTED_VALUE"""),"Mayang")</f>
        <v>Mayang</v>
      </c>
      <c r="P728" s="2" t="str">
        <f>IFERROR(__xludf.DUMMYFUNCTION("""COMPUTED_VALUE"""),"La Paz")</f>
        <v>La Paz</v>
      </c>
      <c r="Q728" s="2" t="str">
        <f>IFERROR(__xludf.DUMMYFUNCTION("""COMPUTED_VALUE"""),"Tarlac")</f>
        <v>Tarlac</v>
      </c>
      <c r="R728" s="2">
        <f>IFERROR(__xludf.DUMMYFUNCTION("""COMPUTED_VALUE"""),3.0)</f>
        <v>3</v>
      </c>
      <c r="S728" s="2"/>
      <c r="T728" s="2"/>
    </row>
    <row r="729">
      <c r="A729" s="1">
        <f>IFERROR(__xludf.DUMMYFUNCTION("""COMPUTED_VALUE"""),727.0)</f>
        <v>727</v>
      </c>
      <c r="B729" s="2" t="str">
        <f>IFERROR(__xludf.DUMMYFUNCTION("""COMPUTED_VALUE"""),"TAGA LA PAZ TARLAC AGRICULTURE COOPERATIVE")</f>
        <v>TAGA LA PAZ TARLAC AGRICULTURE COOPERATIVE</v>
      </c>
      <c r="C729" s="2" t="str">
        <f>IFERROR(__xludf.DUMMYFUNCTION("""COMPUTED_VALUE"""),"Macalong, La Paz, TARLAC")</f>
        <v>Macalong, La Paz, TARLAC</v>
      </c>
      <c r="D729" s="2" t="str">
        <f>IFERROR(__xludf.DUMMYFUNCTION("""COMPUTED_VALUE"""),"Isidro C. Castro")</f>
        <v>Isidro C. Castro</v>
      </c>
      <c r="E729" s="2" t="str">
        <f>IFERROR(__xludf.DUMMYFUNCTION("""COMPUTED_VALUE"""),"0910-214-7821")</f>
        <v>0910-214-7821</v>
      </c>
      <c r="F729" s="2" t="str">
        <f>IFERROR(__xludf.DUMMYFUNCTION("""COMPUTED_VALUE"""),"RCEF 25-03-05")</f>
        <v>RCEF 25-03-05</v>
      </c>
      <c r="G729" s="2">
        <f>IFERROR(__xludf.DUMMYFUNCTION("""COMPUTED_VALUE"""),5.0)</f>
        <v>5</v>
      </c>
      <c r="H729" s="2" t="str">
        <f>IFERROR(__xludf.DUMMYFUNCTION("""COMPUTED_VALUE"""),"26544 &amp; 27725")</f>
        <v>26544 &amp; 27725</v>
      </c>
      <c r="I729" s="2" t="str">
        <f>IFERROR(__xludf.DUMMYFUNCTION("""COMPUTED_VALUE"""),"KMC5825 APSFPV0104")</f>
        <v>KMC5825 APSFPV0104</v>
      </c>
      <c r="J729" s="3" t="str">
        <f>IFERROR(__xludf.DUMMYFUNCTION("""COMPUTED_VALUE"""),"STS100125")</f>
        <v>STS100125</v>
      </c>
      <c r="K729" s="2" t="str">
        <f>IFERROR(__xludf.DUMMYFUNCTION("""COMPUTED_VALUE"""),"R-SERIES 314PH")</f>
        <v>R-SERIES 314PH</v>
      </c>
      <c r="L729" s="3" t="str">
        <f>IFERROR(__xludf.DUMMYFUNCTION("""COMPUTED_VALUE"""),"25080409")</f>
        <v>25080409</v>
      </c>
      <c r="M729" s="3" t="str">
        <f>IFERROR(__xludf.DUMMYFUNCTION("""COMPUTED_VALUE"""),"25080818")</f>
        <v>25080818</v>
      </c>
      <c r="N729" s="2"/>
      <c r="O729" s="2" t="str">
        <f>IFERROR(__xludf.DUMMYFUNCTION("""COMPUTED_VALUE"""),"Macalong")</f>
        <v>Macalong</v>
      </c>
      <c r="P729" s="2" t="str">
        <f>IFERROR(__xludf.DUMMYFUNCTION("""COMPUTED_VALUE"""),"La Paz")</f>
        <v>La Paz</v>
      </c>
      <c r="Q729" s="2" t="str">
        <f>IFERROR(__xludf.DUMMYFUNCTION("""COMPUTED_VALUE"""),"Tarlac")</f>
        <v>Tarlac</v>
      </c>
      <c r="R729" s="2">
        <f>IFERROR(__xludf.DUMMYFUNCTION("""COMPUTED_VALUE"""),3.0)</f>
        <v>3</v>
      </c>
      <c r="S729" s="2"/>
      <c r="T729" s="2"/>
    </row>
    <row r="730">
      <c r="A730" s="1">
        <f>IFERROR(__xludf.DUMMYFUNCTION("""COMPUTED_VALUE"""),728.0)</f>
        <v>728</v>
      </c>
      <c r="B730" s="2" t="str">
        <f>IFERROR(__xludf.DUMMYFUNCTION("""COMPUTED_VALUE"""),"MALIPA FARMERS ASSOCIATION")</f>
        <v>MALIPA FARMERS ASSOCIATION</v>
      </c>
      <c r="C730" s="2" t="str">
        <f>IFERROR(__xludf.DUMMYFUNCTION("""COMPUTED_VALUE"""),"Nagbayan, Castillejos, ZAMBALES")</f>
        <v>Nagbayan, Castillejos, ZAMBALES</v>
      </c>
      <c r="D730" s="2" t="str">
        <f>IFERROR(__xludf.DUMMYFUNCTION("""COMPUTED_VALUE"""),"Rommel P. Andres")</f>
        <v>Rommel P. Andres</v>
      </c>
      <c r="E730" s="2" t="str">
        <f>IFERROR(__xludf.DUMMYFUNCTION("""COMPUTED_VALUE"""),"0961-749-4428")</f>
        <v>0961-749-4428</v>
      </c>
      <c r="F730" s="2" t="str">
        <f>IFERROR(__xludf.DUMMYFUNCTION("""COMPUTED_VALUE"""),"RCEF 25-03-05")</f>
        <v>RCEF 25-03-05</v>
      </c>
      <c r="G730" s="2">
        <f>IFERROR(__xludf.DUMMYFUNCTION("""COMPUTED_VALUE"""),5.0)</f>
        <v>5</v>
      </c>
      <c r="H730" s="2" t="str">
        <f>IFERROR(__xludf.DUMMYFUNCTION("""COMPUTED_VALUE"""),"26545 &amp; 27726")</f>
        <v>26545 &amp; 27726</v>
      </c>
      <c r="I730" s="2" t="str">
        <f>IFERROR(__xludf.DUMMYFUNCTION("""COMPUTED_VALUE"""),"KMC5825ALRFPV0820")</f>
        <v>KMC5825ALRFPV0820</v>
      </c>
      <c r="J730" s="3" t="str">
        <f>IFERROR(__xludf.DUMMYFUNCTION("""COMPUTED_VALUE"""),"RTS100701")</f>
        <v>RTS100701</v>
      </c>
      <c r="K730" s="2" t="str">
        <f>IFERROR(__xludf.DUMMYFUNCTION("""COMPUTED_VALUE"""),"WR-SERIES 021")</f>
        <v>WR-SERIES 021</v>
      </c>
      <c r="L730" s="3" t="str">
        <f>IFERROR(__xludf.DUMMYFUNCTION("""COMPUTED_VALUE"""),"25080375")</f>
        <v>25080375</v>
      </c>
      <c r="M730" s="3" t="str">
        <f>IFERROR(__xludf.DUMMYFUNCTION("""COMPUTED_VALUE"""),"25080804")</f>
        <v>25080804</v>
      </c>
      <c r="N730" s="2"/>
      <c r="O730" s="2" t="str">
        <f>IFERROR(__xludf.DUMMYFUNCTION("""COMPUTED_VALUE"""),"Nagbayan")</f>
        <v>Nagbayan</v>
      </c>
      <c r="P730" s="2" t="str">
        <f>IFERROR(__xludf.DUMMYFUNCTION("""COMPUTED_VALUE"""),"Castillejos")</f>
        <v>Castillejos</v>
      </c>
      <c r="Q730" s="2" t="str">
        <f>IFERROR(__xludf.DUMMYFUNCTION("""COMPUTED_VALUE"""),"Zambales")</f>
        <v>Zambales</v>
      </c>
      <c r="R730" s="2">
        <f>IFERROR(__xludf.DUMMYFUNCTION("""COMPUTED_VALUE"""),3.0)</f>
        <v>3</v>
      </c>
      <c r="S730" s="2"/>
      <c r="T730" s="2"/>
    </row>
    <row r="731">
      <c r="A731" s="1">
        <f>IFERROR(__xludf.DUMMYFUNCTION("""COMPUTED_VALUE"""),729.0)</f>
        <v>729</v>
      </c>
      <c r="B731" s="2" t="str">
        <f>IFERROR(__xludf.DUMMYFUNCTION("""COMPUTED_VALUE"""),"Matiques Farmers Association")</f>
        <v>Matiques Farmers Association</v>
      </c>
      <c r="C731" s="2" t="str">
        <f>IFERROR(__xludf.DUMMYFUNCTION("""COMPUTED_VALUE"""),"Santa Fe, San Marcelino, ZAMBALES")</f>
        <v>Santa Fe, San Marcelino, ZAMBALES</v>
      </c>
      <c r="D731" s="2" t="str">
        <f>IFERROR(__xludf.DUMMYFUNCTION("""COMPUTED_VALUE"""),"Raul Corpus")</f>
        <v>Raul Corpus</v>
      </c>
      <c r="E731" s="2" t="str">
        <f>IFERROR(__xludf.DUMMYFUNCTION("""COMPUTED_VALUE"""),"0910-648-7181")</f>
        <v>0910-648-7181</v>
      </c>
      <c r="F731" s="2" t="str">
        <f>IFERROR(__xludf.DUMMYFUNCTION("""COMPUTED_VALUE"""),"RCEF 25-03-05")</f>
        <v>RCEF 25-03-05</v>
      </c>
      <c r="G731" s="2">
        <f>IFERROR(__xludf.DUMMYFUNCTION("""COMPUTED_VALUE"""),5.0)</f>
        <v>5</v>
      </c>
      <c r="H731" s="2" t="str">
        <f>IFERROR(__xludf.DUMMYFUNCTION("""COMPUTED_VALUE"""),"26546 &amp; 27727")</f>
        <v>26546 &amp; 27727</v>
      </c>
      <c r="I731" s="2" t="str">
        <f>IFERROR(__xludf.DUMMYFUNCTION("""COMPUTED_VALUE"""),"KMC5825AHRFPV1015")</f>
        <v>KMC5825AHRFPV1015</v>
      </c>
      <c r="J731" s="3" t="str">
        <f>IFERROR(__xludf.DUMMYFUNCTION("""COMPUTED_VALUE"""),"RTS100919")</f>
        <v>RTS100919</v>
      </c>
      <c r="K731" s="2" t="str">
        <f>IFERROR(__xludf.DUMMYFUNCTION("""COMPUTED_VALUE"""),"WR-SERIES 024")</f>
        <v>WR-SERIES 024</v>
      </c>
      <c r="L731" s="3" t="str">
        <f>IFERROR(__xludf.DUMMYFUNCTION("""COMPUTED_VALUE"""),"25080363")</f>
        <v>25080363</v>
      </c>
      <c r="M731" s="3" t="str">
        <f>IFERROR(__xludf.DUMMYFUNCTION("""COMPUTED_VALUE"""),"25080803")</f>
        <v>25080803</v>
      </c>
      <c r="N731" s="2"/>
      <c r="O731" s="2" t="str">
        <f>IFERROR(__xludf.DUMMYFUNCTION("""COMPUTED_VALUE"""),"Santa Fe")</f>
        <v>Santa Fe</v>
      </c>
      <c r="P731" s="2" t="str">
        <f>IFERROR(__xludf.DUMMYFUNCTION("""COMPUTED_VALUE"""),"San Marcelino")</f>
        <v>San Marcelino</v>
      </c>
      <c r="Q731" s="2" t="str">
        <f>IFERROR(__xludf.DUMMYFUNCTION("""COMPUTED_VALUE"""),"Zambales")</f>
        <v>Zambales</v>
      </c>
      <c r="R731" s="2">
        <f>IFERROR(__xludf.DUMMYFUNCTION("""COMPUTED_VALUE"""),3.0)</f>
        <v>3</v>
      </c>
      <c r="S731" s="2"/>
      <c r="T731" s="2"/>
    </row>
    <row r="732">
      <c r="A732" s="1">
        <f>IFERROR(__xludf.DUMMYFUNCTION("""COMPUTED_VALUE"""),730.0)</f>
        <v>730</v>
      </c>
      <c r="B732" s="2" t="str">
        <f>IFERROR(__xludf.DUMMYFUNCTION("""COMPUTED_VALUE"""),"Zambales Agri-Farmers Entrepreneurship Association (ZAFEA) Inc.")</f>
        <v>Zambales Agri-Farmers Entrepreneurship Association (ZAFEA) Inc.</v>
      </c>
      <c r="C732" s="2" t="str">
        <f>IFERROR(__xludf.DUMMYFUNCTION("""COMPUTED_VALUE"""),"San Isidro (Pob.), San Marcelino, ZAMBALES")</f>
        <v>San Isidro (Pob.), San Marcelino, ZAMBALES</v>
      </c>
      <c r="D732" s="2" t="str">
        <f>IFERROR(__xludf.DUMMYFUNCTION("""COMPUTED_VALUE"""),"Dina M. Dacayo / Danilo C. Labrador")</f>
        <v>Dina M. Dacayo / Danilo C. Labrador</v>
      </c>
      <c r="E732" s="2" t="str">
        <f>IFERROR(__xludf.DUMMYFUNCTION("""COMPUTED_VALUE"""),"0909-056-1329")</f>
        <v>0909-056-1329</v>
      </c>
      <c r="F732" s="2" t="str">
        <f>IFERROR(__xludf.DUMMYFUNCTION("""COMPUTED_VALUE"""),"RCEF 25-03-05")</f>
        <v>RCEF 25-03-05</v>
      </c>
      <c r="G732" s="2">
        <f>IFERROR(__xludf.DUMMYFUNCTION("""COMPUTED_VALUE"""),5.0)</f>
        <v>5</v>
      </c>
      <c r="H732" s="2" t="str">
        <f>IFERROR(__xludf.DUMMYFUNCTION("""COMPUTED_VALUE"""),"26547 &amp; 27728")</f>
        <v>26547 &amp; 27728</v>
      </c>
      <c r="I732" s="2" t="str">
        <f>IFERROR(__xludf.DUMMYFUNCTION("""COMPUTED_VALUE"""),"KMC5825 AVRFPV0992")</f>
        <v>KMC5825 AVRFPV0992</v>
      </c>
      <c r="J732" s="3" t="str">
        <f>IFERROR(__xludf.DUMMYFUNCTION("""COMPUTED_VALUE"""),"RTS100885")</f>
        <v>RTS100885</v>
      </c>
      <c r="K732" s="2" t="str">
        <f>IFERROR(__xludf.DUMMYFUNCTION("""COMPUTED_VALUE"""),"WR-SERIES 025")</f>
        <v>WR-SERIES 025</v>
      </c>
      <c r="L732" s="3" t="str">
        <f>IFERROR(__xludf.DUMMYFUNCTION("""COMPUTED_VALUE"""),"24111136")</f>
        <v>24111136</v>
      </c>
      <c r="M732" s="3" t="str">
        <f>IFERROR(__xludf.DUMMYFUNCTION("""COMPUTED_VALUE"""),"25080800")</f>
        <v>25080800</v>
      </c>
      <c r="N732" s="2"/>
      <c r="O732" s="2" t="str">
        <f>IFERROR(__xludf.DUMMYFUNCTION("""COMPUTED_VALUE"""),"San Isidro (Pob.)")</f>
        <v>San Isidro (Pob.)</v>
      </c>
      <c r="P732" s="2" t="str">
        <f>IFERROR(__xludf.DUMMYFUNCTION("""COMPUTED_VALUE"""),"San Marcelino")</f>
        <v>San Marcelino</v>
      </c>
      <c r="Q732" s="2" t="str">
        <f>IFERROR(__xludf.DUMMYFUNCTION("""COMPUTED_VALUE"""),"Zambales")</f>
        <v>Zambales</v>
      </c>
      <c r="R732" s="2">
        <f>IFERROR(__xludf.DUMMYFUNCTION("""COMPUTED_VALUE"""),3.0)</f>
        <v>3</v>
      </c>
      <c r="S732" s="2"/>
      <c r="T732" s="2"/>
    </row>
    <row r="733">
      <c r="A733" s="1">
        <f>IFERROR(__xludf.DUMMYFUNCTION("""COMPUTED_VALUE"""),731.0)</f>
        <v>731</v>
      </c>
      <c r="B733" s="2" t="str">
        <f>IFERROR(__xludf.DUMMYFUNCTION("""COMPUTED_VALUE"""),"Zambales Competitive Farmers Association Inc.")</f>
        <v>Zambales Competitive Farmers Association Inc.</v>
      </c>
      <c r="C733" s="2" t="str">
        <f>IFERROR(__xludf.DUMMYFUNCTION("""COMPUTED_VALUE"""),"Laoag, San Marcelino, ZAMBALES")</f>
        <v>Laoag, San Marcelino, ZAMBALES</v>
      </c>
      <c r="D733" s="2" t="str">
        <f>IFERROR(__xludf.DUMMYFUNCTION("""COMPUTED_VALUE"""),"Ferdinan Rabanes")</f>
        <v>Ferdinan Rabanes</v>
      </c>
      <c r="E733" s="2" t="str">
        <f>IFERROR(__xludf.DUMMYFUNCTION("""COMPUTED_VALUE"""),"0951-000-5197")</f>
        <v>0951-000-5197</v>
      </c>
      <c r="F733" s="2" t="str">
        <f>IFERROR(__xludf.DUMMYFUNCTION("""COMPUTED_VALUE"""),"RCEF 25-03-05")</f>
        <v>RCEF 25-03-05</v>
      </c>
      <c r="G733" s="2">
        <f>IFERROR(__xludf.DUMMYFUNCTION("""COMPUTED_VALUE"""),5.0)</f>
        <v>5</v>
      </c>
      <c r="H733" s="2" t="str">
        <f>IFERROR(__xludf.DUMMYFUNCTION("""COMPUTED_VALUE"""),"26548 &amp; 27729")</f>
        <v>26548 &amp; 27729</v>
      </c>
      <c r="I733" s="2" t="str">
        <f>IFERROR(__xludf.DUMMYFUNCTION("""COMPUTED_VALUE"""),"KMC5825 ACRFPV1017")</f>
        <v>KMC5825 ACRFPV1017</v>
      </c>
      <c r="J733" s="3" t="str">
        <f>IFERROR(__xludf.DUMMYFUNCTION("""COMPUTED_VALUE"""),"RTS100908")</f>
        <v>RTS100908</v>
      </c>
      <c r="K733" s="2" t="str">
        <f>IFERROR(__xludf.DUMMYFUNCTION("""COMPUTED_VALUE"""),"WR-SERIES 013")</f>
        <v>WR-SERIES 013</v>
      </c>
      <c r="L733" s="3" t="str">
        <f>IFERROR(__xludf.DUMMYFUNCTION("""COMPUTED_VALUE"""),"24111155")</f>
        <v>24111155</v>
      </c>
      <c r="M733" s="3" t="str">
        <f>IFERROR(__xludf.DUMMYFUNCTION("""COMPUTED_VALUE"""),"25080796")</f>
        <v>25080796</v>
      </c>
      <c r="N733" s="2"/>
      <c r="O733" s="2" t="str">
        <f>IFERROR(__xludf.DUMMYFUNCTION("""COMPUTED_VALUE"""),"Laoag")</f>
        <v>Laoag</v>
      </c>
      <c r="P733" s="2" t="str">
        <f>IFERROR(__xludf.DUMMYFUNCTION("""COMPUTED_VALUE"""),"San Marcelino")</f>
        <v>San Marcelino</v>
      </c>
      <c r="Q733" s="2" t="str">
        <f>IFERROR(__xludf.DUMMYFUNCTION("""COMPUTED_VALUE"""),"Zambales")</f>
        <v>Zambales</v>
      </c>
      <c r="R733" s="2">
        <f>IFERROR(__xludf.DUMMYFUNCTION("""COMPUTED_VALUE"""),3.0)</f>
        <v>3</v>
      </c>
      <c r="S733" s="2"/>
      <c r="T733" s="2"/>
    </row>
    <row r="734">
      <c r="A734" s="1">
        <f>IFERROR(__xludf.DUMMYFUNCTION("""COMPUTED_VALUE"""),732.0)</f>
        <v>732</v>
      </c>
      <c r="B734" s="2" t="str">
        <f>IFERROR(__xludf.DUMMYFUNCTION("""COMPUTED_VALUE"""),"MUNICIPAL LOCAL GOVERNMENT UNIT OF BOTOLAN")</f>
        <v>MUNICIPAL LOCAL GOVERNMENT UNIT OF BOTOLAN</v>
      </c>
      <c r="C734" s="2" t="str">
        <f>IFERROR(__xludf.DUMMYFUNCTION("""COMPUTED_VALUE"""),"Batonlapoc, Botolan, ZAMBALES")</f>
        <v>Batonlapoc, Botolan, ZAMBALES</v>
      </c>
      <c r="D734" s="2" t="str">
        <f>IFERROR(__xludf.DUMMYFUNCTION("""COMPUTED_VALUE"""),"Hon. Jun Omar C. Ebdane")</f>
        <v>Hon. Jun Omar C. Ebdane</v>
      </c>
      <c r="E734" s="2" t="str">
        <f>IFERROR(__xludf.DUMMYFUNCTION("""COMPUTED_VALUE"""),"0917-707-7365 / 0919-077-2913 (MA)")</f>
        <v>0917-707-7365 / 0919-077-2913 (MA)</v>
      </c>
      <c r="F734" s="2" t="str">
        <f>IFERROR(__xludf.DUMMYFUNCTION("""COMPUTED_VALUE"""),"RCEF 25-03-05")</f>
        <v>RCEF 25-03-05</v>
      </c>
      <c r="G734" s="2">
        <f>IFERROR(__xludf.DUMMYFUNCTION("""COMPUTED_VALUE"""),5.0)</f>
        <v>5</v>
      </c>
      <c r="H734" s="2" t="str">
        <f>IFERROR(__xludf.DUMMYFUNCTION("""COMPUTED_VALUE"""),"26549 &amp; 27850")</f>
        <v>26549 &amp; 27850</v>
      </c>
      <c r="I734" s="2" t="str">
        <f>IFERROR(__xludf.DUMMYFUNCTION("""COMPUTED_VALUE"""),"KMC5825 AKSFPV0329")</f>
        <v>KMC5825 AKSFPV0329</v>
      </c>
      <c r="J734" s="3" t="str">
        <f>IFERROR(__xludf.DUMMYFUNCTION("""COMPUTED_VALUE"""),"STS100348")</f>
        <v>STS100348</v>
      </c>
      <c r="K734" s="2" t="str">
        <f>IFERROR(__xludf.DUMMYFUNCTION("""COMPUTED_VALUE"""),"WR-SERIES 075")</f>
        <v>WR-SERIES 075</v>
      </c>
      <c r="L734" s="3" t="str">
        <f>IFERROR(__xludf.DUMMYFUNCTION("""COMPUTED_VALUE"""),"2510810")</f>
        <v>2510810</v>
      </c>
      <c r="M734" s="3" t="str">
        <f>IFERROR(__xludf.DUMMYFUNCTION("""COMPUTED_VALUE"""),"25080829")</f>
        <v>25080829</v>
      </c>
      <c r="N734" s="2"/>
      <c r="O734" s="2" t="str">
        <f>IFERROR(__xludf.DUMMYFUNCTION("""COMPUTED_VALUE"""),"Batonlapoc")</f>
        <v>Batonlapoc</v>
      </c>
      <c r="P734" s="2" t="str">
        <f>IFERROR(__xludf.DUMMYFUNCTION("""COMPUTED_VALUE"""),"Botolan")</f>
        <v>Botolan</v>
      </c>
      <c r="Q734" s="2" t="str">
        <f>IFERROR(__xludf.DUMMYFUNCTION("""COMPUTED_VALUE"""),"Zambales")</f>
        <v>Zambales</v>
      </c>
      <c r="R734" s="2">
        <f>IFERROR(__xludf.DUMMYFUNCTION("""COMPUTED_VALUE"""),3.0)</f>
        <v>3</v>
      </c>
      <c r="S734" s="2"/>
      <c r="T734" s="2"/>
    </row>
    <row r="735">
      <c r="A735" s="1">
        <f>IFERROR(__xludf.DUMMYFUNCTION("""COMPUTED_VALUE"""),733.0)</f>
        <v>733</v>
      </c>
      <c r="B735" s="2" t="str">
        <f>IFERROR(__xludf.DUMMYFUNCTION("""COMPUTED_VALUE"""),"Babancal Alindayat Farmers/Irrigators Association Inc.")</f>
        <v>Babancal Alindayat Farmers/Irrigators Association Inc.</v>
      </c>
      <c r="C735" s="2" t="str">
        <f>IFERROR(__xludf.DUMMYFUNCTION("""COMPUTED_VALUE"""),"Babancal, Candelaria, ZAMBALES")</f>
        <v>Babancal, Candelaria, ZAMBALES</v>
      </c>
      <c r="D735" s="2" t="str">
        <f>IFERROR(__xludf.DUMMYFUNCTION("""COMPUTED_VALUE"""),"Allan Alcantara")</f>
        <v>Allan Alcantara</v>
      </c>
      <c r="E735" s="2" t="str">
        <f>IFERROR(__xludf.DUMMYFUNCTION("""COMPUTED_VALUE"""),"0945-486-8305")</f>
        <v>0945-486-8305</v>
      </c>
      <c r="F735" s="2" t="str">
        <f>IFERROR(__xludf.DUMMYFUNCTION("""COMPUTED_VALUE"""),"RCEF 25-03-05")</f>
        <v>RCEF 25-03-05</v>
      </c>
      <c r="G735" s="2">
        <f>IFERROR(__xludf.DUMMYFUNCTION("""COMPUTED_VALUE"""),5.0)</f>
        <v>5</v>
      </c>
      <c r="H735" s="2" t="str">
        <f>IFERROR(__xludf.DUMMYFUNCTION("""COMPUTED_VALUE"""),"26550 &amp; 27851")</f>
        <v>26550 &amp; 27851</v>
      </c>
      <c r="I735" s="2" t="str">
        <f>IFERROR(__xludf.DUMMYFUNCTION("""COMPUTED_VALUE"""),"KMC5825 AASFPV0174")</f>
        <v>KMC5825 AASFPV0174</v>
      </c>
      <c r="J735" s="3" t="str">
        <f>IFERROR(__xludf.DUMMYFUNCTION("""COMPUTED_VALUE"""),"STS100197")</f>
        <v>STS100197</v>
      </c>
      <c r="K735" s="2" t="str">
        <f>IFERROR(__xludf.DUMMYFUNCTION("""COMPUTED_VALUE"""),"WR-SERIES 130")</f>
        <v>WR-SERIES 130</v>
      </c>
      <c r="L735" s="3" t="str">
        <f>IFERROR(__xludf.DUMMYFUNCTION("""COMPUTED_VALUE"""),"2510809")</f>
        <v>2510809</v>
      </c>
      <c r="M735" s="3" t="str">
        <f>IFERROR(__xludf.DUMMYFUNCTION("""COMPUTED_VALUE"""),"25090985")</f>
        <v>25090985</v>
      </c>
      <c r="N735" s="2"/>
      <c r="O735" s="2" t="str">
        <f>IFERROR(__xludf.DUMMYFUNCTION("""COMPUTED_VALUE"""),"Babancal")</f>
        <v>Babancal</v>
      </c>
      <c r="P735" s="2" t="str">
        <f>IFERROR(__xludf.DUMMYFUNCTION("""COMPUTED_VALUE"""),"Candelaria")</f>
        <v>Candelaria</v>
      </c>
      <c r="Q735" s="2" t="str">
        <f>IFERROR(__xludf.DUMMYFUNCTION("""COMPUTED_VALUE"""),"Zambales")</f>
        <v>Zambales</v>
      </c>
      <c r="R735" s="2">
        <f>IFERROR(__xludf.DUMMYFUNCTION("""COMPUTED_VALUE"""),3.0)</f>
        <v>3</v>
      </c>
      <c r="S735" s="2"/>
      <c r="T735" s="2"/>
    </row>
    <row r="736">
      <c r="A736" s="1">
        <f>IFERROR(__xludf.DUMMYFUNCTION("""COMPUTED_VALUE"""),734.0)</f>
        <v>734</v>
      </c>
      <c r="B736" s="2" t="str">
        <f>IFERROR(__xludf.DUMMYFUNCTION("""COMPUTED_VALUE"""),"MUNICIPAL LOCAL GOVERNMENT UNIT OF CANDELARIA")</f>
        <v>MUNICIPAL LOCAL GOVERNMENT UNIT OF CANDELARIA</v>
      </c>
      <c r="C736" s="2" t="str">
        <f>IFERROR(__xludf.DUMMYFUNCTION("""COMPUTED_VALUE"""),"Poblacion, Candelaria, ZAMBALES")</f>
        <v>Poblacion, Candelaria, ZAMBALES</v>
      </c>
      <c r="D736" s="2" t="str">
        <f>IFERROR(__xludf.DUMMYFUNCTION("""COMPUTED_VALUE"""),"BYRON JONES E. EDQUILANG")</f>
        <v>BYRON JONES E. EDQUILANG</v>
      </c>
      <c r="E736" s="2" t="str">
        <f>IFERROR(__xludf.DUMMYFUNCTION("""COMPUTED_VALUE"""),"0977-781-0430/0967-210-8483")</f>
        <v>0977-781-0430/0967-210-8483</v>
      </c>
      <c r="F736" s="2" t="str">
        <f>IFERROR(__xludf.DUMMYFUNCTION("""COMPUTED_VALUE"""),"RCEF 25-03-05")</f>
        <v>RCEF 25-03-05</v>
      </c>
      <c r="G736" s="2">
        <f>IFERROR(__xludf.DUMMYFUNCTION("""COMPUTED_VALUE"""),5.0)</f>
        <v>5</v>
      </c>
      <c r="H736" s="2" t="str">
        <f>IFERROR(__xludf.DUMMYFUNCTION("""COMPUTED_VALUE"""),"26566 &amp; 27852")</f>
        <v>26566 &amp; 27852</v>
      </c>
      <c r="I736" s="2" t="str">
        <f>IFERROR(__xludf.DUMMYFUNCTION("""COMPUTED_VALUE"""),"KMC5825 ACSFPV0267")</f>
        <v>KMC5825 ACSFPV0267</v>
      </c>
      <c r="J736" s="3" t="str">
        <f>IFERROR(__xludf.DUMMYFUNCTION("""COMPUTED_VALUE"""),"STS100293")</f>
        <v>STS100293</v>
      </c>
      <c r="K736" s="2" t="str">
        <f>IFERROR(__xludf.DUMMYFUNCTION("""COMPUTED_VALUE"""),"WR-SERIES 090")</f>
        <v>WR-SERIES 090</v>
      </c>
      <c r="L736" s="3" t="str">
        <f>IFERROR(__xludf.DUMMYFUNCTION("""COMPUTED_VALUE"""),"2510811")</f>
        <v>2510811</v>
      </c>
      <c r="M736" s="3" t="str">
        <f>IFERROR(__xludf.DUMMYFUNCTION("""COMPUTED_VALUE"""),"25090980")</f>
        <v>25090980</v>
      </c>
      <c r="N736" s="2"/>
      <c r="O736" s="2" t="str">
        <f>IFERROR(__xludf.DUMMYFUNCTION("""COMPUTED_VALUE"""),"Poblacion")</f>
        <v>Poblacion</v>
      </c>
      <c r="P736" s="2" t="str">
        <f>IFERROR(__xludf.DUMMYFUNCTION("""COMPUTED_VALUE"""),"Candelaria")</f>
        <v>Candelaria</v>
      </c>
      <c r="Q736" s="2" t="str">
        <f>IFERROR(__xludf.DUMMYFUNCTION("""COMPUTED_VALUE"""),"Zambales")</f>
        <v>Zambales</v>
      </c>
      <c r="R736" s="2">
        <f>IFERROR(__xludf.DUMMYFUNCTION("""COMPUTED_VALUE"""),3.0)</f>
        <v>3</v>
      </c>
      <c r="S736" s="2"/>
      <c r="T736" s="2"/>
    </row>
    <row r="737">
      <c r="A737" s="1">
        <f>IFERROR(__xludf.DUMMYFUNCTION("""COMPUTED_VALUE"""),735.0)</f>
        <v>735</v>
      </c>
      <c r="B737" s="2" t="str">
        <f>IFERROR(__xludf.DUMMYFUNCTION("""COMPUTED_VALUE"""),"KAWAYAN KILING AMUNGAN FARMERS ASSOCIATION (KKAFA)")</f>
        <v>KAWAYAN KILING AMUNGAN FARMERS ASSOCIATION (KKAFA)</v>
      </c>
      <c r="C737" s="2" t="str">
        <f>IFERROR(__xludf.DUMMYFUNCTION("""COMPUTED_VALUE"""),"Amungan, Iba, ZAMBALES")</f>
        <v>Amungan, Iba, ZAMBALES</v>
      </c>
      <c r="D737" s="2" t="str">
        <f>IFERROR(__xludf.DUMMYFUNCTION("""COMPUTED_VALUE"""),"CARLOS G. TRINIDAD")</f>
        <v>CARLOS G. TRINIDAD</v>
      </c>
      <c r="E737" s="2" t="str">
        <f>IFERROR(__xludf.DUMMYFUNCTION("""COMPUTED_VALUE"""),"0918-470-9776")</f>
        <v>0918-470-9776</v>
      </c>
      <c r="F737" s="2" t="str">
        <f>IFERROR(__xludf.DUMMYFUNCTION("""COMPUTED_VALUE"""),"RCEF 25-03-05")</f>
        <v>RCEF 25-03-05</v>
      </c>
      <c r="G737" s="2">
        <f>IFERROR(__xludf.DUMMYFUNCTION("""COMPUTED_VALUE"""),5.0)</f>
        <v>5</v>
      </c>
      <c r="H737" s="2" t="str">
        <f>IFERROR(__xludf.DUMMYFUNCTION("""COMPUTED_VALUE"""),"26567 &amp; 27853")</f>
        <v>26567 &amp; 27853</v>
      </c>
      <c r="I737" s="2" t="str">
        <f>IFERROR(__xludf.DUMMYFUNCTION("""COMPUTED_VALUE"""),"KMC5825 APSFPV0264")</f>
        <v>KMC5825 APSFPV0264</v>
      </c>
      <c r="J737" s="3" t="str">
        <f>IFERROR(__xludf.DUMMYFUNCTION("""COMPUTED_VALUE"""),"STS100289")</f>
        <v>STS100289</v>
      </c>
      <c r="K737" s="2" t="str">
        <f>IFERROR(__xludf.DUMMYFUNCTION("""COMPUTED_VALUE"""),"WR-SERIES 086")</f>
        <v>WR-SERIES 086</v>
      </c>
      <c r="L737" s="3" t="str">
        <f>IFERROR(__xludf.DUMMYFUNCTION("""COMPUTED_VALUE"""),"2510796")</f>
        <v>2510796</v>
      </c>
      <c r="M737" s="3" t="str">
        <f>IFERROR(__xludf.DUMMYFUNCTION("""COMPUTED_VALUE"""),"25091005")</f>
        <v>25091005</v>
      </c>
      <c r="N737" s="2"/>
      <c r="O737" s="2" t="str">
        <f>IFERROR(__xludf.DUMMYFUNCTION("""COMPUTED_VALUE"""),"Amungan")</f>
        <v>Amungan</v>
      </c>
      <c r="P737" s="2" t="str">
        <f>IFERROR(__xludf.DUMMYFUNCTION("""COMPUTED_VALUE"""),"Iba")</f>
        <v>Iba</v>
      </c>
      <c r="Q737" s="2" t="str">
        <f>IFERROR(__xludf.DUMMYFUNCTION("""COMPUTED_VALUE"""),"Zambales")</f>
        <v>Zambales</v>
      </c>
      <c r="R737" s="2">
        <f>IFERROR(__xludf.DUMMYFUNCTION("""COMPUTED_VALUE"""),3.0)</f>
        <v>3</v>
      </c>
      <c r="S737" s="2"/>
      <c r="T737" s="2"/>
    </row>
    <row r="738">
      <c r="A738" s="1">
        <f>IFERROR(__xludf.DUMMYFUNCTION("""COMPUTED_VALUE"""),736.0)</f>
        <v>736</v>
      </c>
      <c r="B738" s="2" t="str">
        <f>IFERROR(__xludf.DUMMYFUNCTION("""COMPUTED_VALUE"""),"MUNICIPAL LOCAL GOVERNMENT UNIT OF IBA")</f>
        <v>MUNICIPAL LOCAL GOVERNMENT UNIT OF IBA</v>
      </c>
      <c r="C738" s="2" t="str">
        <f>IFERROR(__xludf.DUMMYFUNCTION("""COMPUTED_VALUE"""),"Zone 1 Pob. (Libaba), Iba, ZAMBALES")</f>
        <v>Zone 1 Pob. (Libaba), Iba, ZAMBALES</v>
      </c>
      <c r="D738" s="2" t="str">
        <f>IFERROR(__xludf.DUMMYFUNCTION("""COMPUTED_VALUE"""),"HON. IRENEA MANIQUIZ-BINAN")</f>
        <v>HON. IRENEA MANIQUIZ-BINAN</v>
      </c>
      <c r="E738" s="2" t="str">
        <f>IFERROR(__xludf.DUMMYFUNCTION("""COMPUTED_VALUE"""),"0908-896-3519")</f>
        <v>0908-896-3519</v>
      </c>
      <c r="F738" s="2" t="str">
        <f>IFERROR(__xludf.DUMMYFUNCTION("""COMPUTED_VALUE"""),"RCEF 25-03-05")</f>
        <v>RCEF 25-03-05</v>
      </c>
      <c r="G738" s="2">
        <f>IFERROR(__xludf.DUMMYFUNCTION("""COMPUTED_VALUE"""),5.0)</f>
        <v>5</v>
      </c>
      <c r="H738" s="2" t="str">
        <f>IFERROR(__xludf.DUMMYFUNCTION("""COMPUTED_VALUE"""),"26568 &amp; 27854")</f>
        <v>26568 &amp; 27854</v>
      </c>
      <c r="I738" s="2" t="str">
        <f>IFERROR(__xludf.DUMMYFUNCTION("""COMPUTED_VALUE"""),"KMC5825 ALSFPV0175")</f>
        <v>KMC5825 ALSFPV0175</v>
      </c>
      <c r="J738" s="3" t="str">
        <f>IFERROR(__xludf.DUMMYFUNCTION("""COMPUTED_VALUE"""),"STS100189")</f>
        <v>STS100189</v>
      </c>
      <c r="K738" s="2" t="str">
        <f>IFERROR(__xludf.DUMMYFUNCTION("""COMPUTED_VALUE"""),"WR-SERIES 138")</f>
        <v>WR-SERIES 138</v>
      </c>
      <c r="L738" s="3" t="str">
        <f>IFERROR(__xludf.DUMMYFUNCTION("""COMPUTED_VALUE"""),"2510797")</f>
        <v>2510797</v>
      </c>
      <c r="M738" s="3" t="str">
        <f>IFERROR(__xludf.DUMMYFUNCTION("""COMPUTED_VALUE"""),"25090972")</f>
        <v>25090972</v>
      </c>
      <c r="N738" s="2"/>
      <c r="O738" s="2" t="str">
        <f>IFERROR(__xludf.DUMMYFUNCTION("""COMPUTED_VALUE"""),"Zone 1 Pob. (Libaba)")</f>
        <v>Zone 1 Pob. (Libaba)</v>
      </c>
      <c r="P738" s="2" t="str">
        <f>IFERROR(__xludf.DUMMYFUNCTION("""COMPUTED_VALUE"""),"Iba")</f>
        <v>Iba</v>
      </c>
      <c r="Q738" s="2" t="str">
        <f>IFERROR(__xludf.DUMMYFUNCTION("""COMPUTED_VALUE"""),"Zambales")</f>
        <v>Zambales</v>
      </c>
      <c r="R738" s="2">
        <f>IFERROR(__xludf.DUMMYFUNCTION("""COMPUTED_VALUE"""),3.0)</f>
        <v>3</v>
      </c>
      <c r="S738" s="2"/>
      <c r="T738" s="2"/>
    </row>
    <row r="739">
      <c r="A739" s="1">
        <f>IFERROR(__xludf.DUMMYFUNCTION("""COMPUTED_VALUE"""),737.0)</f>
        <v>737</v>
      </c>
      <c r="B739" s="2" t="str">
        <f>IFERROR(__xludf.DUMMYFUNCTION("""COMPUTED_VALUE"""),"BULAWEN INTEGRATED FARMERS ASSOCIATION")</f>
        <v>BULAWEN INTEGRATED FARMERS ASSOCIATION</v>
      </c>
      <c r="C739" s="2" t="str">
        <f>IFERROR(__xludf.DUMMYFUNCTION("""COMPUTED_VALUE"""),"Bulawen, Palauig, ZAMBALES")</f>
        <v>Bulawen, Palauig, ZAMBALES</v>
      </c>
      <c r="D739" s="2" t="str">
        <f>IFERROR(__xludf.DUMMYFUNCTION("""COMPUTED_VALUE"""),"Maria Corazon M. Feliciano")</f>
        <v>Maria Corazon M. Feliciano</v>
      </c>
      <c r="E739" s="2" t="str">
        <f>IFERROR(__xludf.DUMMYFUNCTION("""COMPUTED_VALUE"""),"0916-443-3131 / 0912-859-8583")</f>
        <v>0916-443-3131 / 0912-859-8583</v>
      </c>
      <c r="F739" s="2" t="str">
        <f>IFERROR(__xludf.DUMMYFUNCTION("""COMPUTED_VALUE"""),"RCEF 25-03-05")</f>
        <v>RCEF 25-03-05</v>
      </c>
      <c r="G739" s="2">
        <f>IFERROR(__xludf.DUMMYFUNCTION("""COMPUTED_VALUE"""),5.0)</f>
        <v>5</v>
      </c>
      <c r="H739" s="2" t="str">
        <f>IFERROR(__xludf.DUMMYFUNCTION("""COMPUTED_VALUE"""),"26569 &amp; 27855")</f>
        <v>26569 &amp; 27855</v>
      </c>
      <c r="I739" s="2" t="str">
        <f>IFERROR(__xludf.DUMMYFUNCTION("""COMPUTED_VALUE"""),"KMC5825 ALSFPV0242")</f>
        <v>KMC5825 ALSFPV0242</v>
      </c>
      <c r="J739" s="3" t="str">
        <f>IFERROR(__xludf.DUMMYFUNCTION("""COMPUTED_VALUE"""),"STS100247")</f>
        <v>STS100247</v>
      </c>
      <c r="K739" s="2" t="str">
        <f>IFERROR(__xludf.DUMMYFUNCTION("""COMPUTED_VALUE"""),"WR-SERIES 247")</f>
        <v>WR-SERIES 247</v>
      </c>
      <c r="L739" s="3" t="str">
        <f>IFERROR(__xludf.DUMMYFUNCTION("""COMPUTED_VALUE"""),"2510794")</f>
        <v>2510794</v>
      </c>
      <c r="M739" s="3" t="str">
        <f>IFERROR(__xludf.DUMMYFUNCTION("""COMPUTED_VALUE"""),"25080835")</f>
        <v>25080835</v>
      </c>
      <c r="N739" s="2"/>
      <c r="O739" s="2" t="str">
        <f>IFERROR(__xludf.DUMMYFUNCTION("""COMPUTED_VALUE"""),"Bulawen")</f>
        <v>Bulawen</v>
      </c>
      <c r="P739" s="2" t="str">
        <f>IFERROR(__xludf.DUMMYFUNCTION("""COMPUTED_VALUE"""),"Palauig")</f>
        <v>Palauig</v>
      </c>
      <c r="Q739" s="2" t="str">
        <f>IFERROR(__xludf.DUMMYFUNCTION("""COMPUTED_VALUE"""),"Zambales")</f>
        <v>Zambales</v>
      </c>
      <c r="R739" s="2">
        <f>IFERROR(__xludf.DUMMYFUNCTION("""COMPUTED_VALUE"""),3.0)</f>
        <v>3</v>
      </c>
      <c r="S739" s="2"/>
      <c r="T739" s="2"/>
    </row>
    <row r="740">
      <c r="A740" s="1">
        <f>IFERROR(__xludf.DUMMYFUNCTION("""COMPUTED_VALUE"""),738.0)</f>
        <v>738</v>
      </c>
      <c r="B740" s="2" t="str">
        <f>IFERROR(__xludf.DUMMYFUNCTION("""COMPUTED_VALUE"""),"SAGPAT-BALINTAGAK-LIVESTOCK-IRRIGATORS AND ORGANIC FARMERS ASSOCIATION (SABALIOFA)")</f>
        <v>SAGPAT-BALINTAGAK-LIVESTOCK-IRRIGATORS AND ORGANIC FARMERS ASSOCIATION (SABALIOFA)</v>
      </c>
      <c r="C740" s="2" t="str">
        <f>IFERROR(__xludf.DUMMYFUNCTION("""COMPUTED_VALUE"""),"Maloma, San Felipe, ZAMBALES")</f>
        <v>Maloma, San Felipe, ZAMBALES</v>
      </c>
      <c r="D740" s="2" t="str">
        <f>IFERROR(__xludf.DUMMYFUNCTION("""COMPUTED_VALUE"""),"Ceasar Dumlao")</f>
        <v>Ceasar Dumlao</v>
      </c>
      <c r="E740" s="2" t="str">
        <f>IFERROR(__xludf.DUMMYFUNCTION("""COMPUTED_VALUE"""),"0956-641-0825")</f>
        <v>0956-641-0825</v>
      </c>
      <c r="F740" s="2" t="str">
        <f>IFERROR(__xludf.DUMMYFUNCTION("""COMPUTED_VALUE"""),"RCEF 25-03-05")</f>
        <v>RCEF 25-03-05</v>
      </c>
      <c r="G740" s="2">
        <f>IFERROR(__xludf.DUMMYFUNCTION("""COMPUTED_VALUE"""),5.0)</f>
        <v>5</v>
      </c>
      <c r="H740" s="2" t="str">
        <f>IFERROR(__xludf.DUMMYFUNCTION("""COMPUTED_VALUE"""),"26570 &amp; 27856")</f>
        <v>26570 &amp; 27856</v>
      </c>
      <c r="I740" s="2" t="str">
        <f>IFERROR(__xludf.DUMMYFUNCTION("""COMPUTED_VALUE"""),"KMC5825 ACSFPV0231")</f>
        <v>KMC5825 ACSFPV0231</v>
      </c>
      <c r="J740" s="3" t="str">
        <f>IFERROR(__xludf.DUMMYFUNCTION("""COMPUTED_VALUE"""),"STS100171")</f>
        <v>STS100171</v>
      </c>
      <c r="K740" s="2" t="str">
        <f>IFERROR(__xludf.DUMMYFUNCTION("""COMPUTED_VALUE"""),"WR-SERIES 098")</f>
        <v>WR-SERIES 098</v>
      </c>
      <c r="L740" s="3" t="str">
        <f>IFERROR(__xludf.DUMMYFUNCTION("""COMPUTED_VALUE"""),"2510469")</f>
        <v>2510469</v>
      </c>
      <c r="M740" s="3" t="str">
        <f>IFERROR(__xludf.DUMMYFUNCTION("""COMPUTED_VALUE"""),"25080833")</f>
        <v>25080833</v>
      </c>
      <c r="N740" s="2"/>
      <c r="O740" s="2" t="str">
        <f>IFERROR(__xludf.DUMMYFUNCTION("""COMPUTED_VALUE"""),"Maloma")</f>
        <v>Maloma</v>
      </c>
      <c r="P740" s="2" t="str">
        <f>IFERROR(__xludf.DUMMYFUNCTION("""COMPUTED_VALUE"""),"San Felipe")</f>
        <v>San Felipe</v>
      </c>
      <c r="Q740" s="2" t="str">
        <f>IFERROR(__xludf.DUMMYFUNCTION("""COMPUTED_VALUE"""),"Zambales")</f>
        <v>Zambales</v>
      </c>
      <c r="R740" s="2">
        <f>IFERROR(__xludf.DUMMYFUNCTION("""COMPUTED_VALUE"""),3.0)</f>
        <v>3</v>
      </c>
      <c r="S740" s="2"/>
      <c r="T740" s="2"/>
    </row>
    <row r="741">
      <c r="A741" s="1">
        <f>IFERROR(__xludf.DUMMYFUNCTION("""COMPUTED_VALUE"""),739.0)</f>
        <v>739</v>
      </c>
      <c r="B741" s="2" t="str">
        <f>IFERROR(__xludf.DUMMYFUNCTION("""COMPUTED_VALUE"""),"Municipal Local Government Unit of San Narciso")</f>
        <v>Municipal Local Government Unit of San Narciso</v>
      </c>
      <c r="C741" s="2" t="str">
        <f>IFERROR(__xludf.DUMMYFUNCTION("""COMPUTED_VALUE"""),"Libertad (Pob.), San Narciso, ZAMBALES")</f>
        <v>Libertad (Pob.), San Narciso, ZAMBALES</v>
      </c>
      <c r="D741" s="2" t="str">
        <f>IFERROR(__xludf.DUMMYFUNCTION("""COMPUTED_VALUE"""),"Hon. La Rainne Abad-Sarmiento, DPA")</f>
        <v>Hon. La Rainne Abad-Sarmiento, DPA</v>
      </c>
      <c r="E741" s="2" t="str">
        <f>IFERROR(__xludf.DUMMYFUNCTION("""COMPUTED_VALUE"""),"0950-488-3170 / 0919-248-3959")</f>
        <v>0950-488-3170 / 0919-248-3959</v>
      </c>
      <c r="F741" s="2" t="str">
        <f>IFERROR(__xludf.DUMMYFUNCTION("""COMPUTED_VALUE"""),"RCEF 25-03-05")</f>
        <v>RCEF 25-03-05</v>
      </c>
      <c r="G741" s="2">
        <f>IFERROR(__xludf.DUMMYFUNCTION("""COMPUTED_VALUE"""),5.0)</f>
        <v>5</v>
      </c>
      <c r="H741" s="2" t="str">
        <f>IFERROR(__xludf.DUMMYFUNCTION("""COMPUTED_VALUE"""),"26571 &amp; 27857")</f>
        <v>26571 &amp; 27857</v>
      </c>
      <c r="I741" s="2" t="str">
        <f>IFERROR(__xludf.DUMMYFUNCTION("""COMPUTED_VALUE"""),"KMC5825 AASFPV0272")</f>
        <v>KMC5825 AASFPV0272</v>
      </c>
      <c r="J741" s="3" t="str">
        <f>IFERROR(__xludf.DUMMYFUNCTION("""COMPUTED_VALUE"""),"STS100308")</f>
        <v>STS100308</v>
      </c>
      <c r="K741" s="2" t="str">
        <f>IFERROR(__xludf.DUMMYFUNCTION("""COMPUTED_VALUE"""),"WR-SERIES 127")</f>
        <v>WR-SERIES 127</v>
      </c>
      <c r="L741" s="3" t="str">
        <f>IFERROR(__xludf.DUMMYFUNCTION("""COMPUTED_VALUE"""),"2510835")</f>
        <v>2510835</v>
      </c>
      <c r="M741" s="3" t="str">
        <f>IFERROR(__xludf.DUMMYFUNCTION("""COMPUTED_VALUE"""),"25090993")</f>
        <v>25090993</v>
      </c>
      <c r="N741" s="2"/>
      <c r="O741" s="2" t="str">
        <f>IFERROR(__xludf.DUMMYFUNCTION("""COMPUTED_VALUE"""),"Libertad (Pob.)")</f>
        <v>Libertad (Pob.)</v>
      </c>
      <c r="P741" s="2" t="str">
        <f>IFERROR(__xludf.DUMMYFUNCTION("""COMPUTED_VALUE"""),"San Narciso")</f>
        <v>San Narciso</v>
      </c>
      <c r="Q741" s="2" t="str">
        <f>IFERROR(__xludf.DUMMYFUNCTION("""COMPUTED_VALUE"""),"Zambales")</f>
        <v>Zambales</v>
      </c>
      <c r="R741" s="2">
        <f>IFERROR(__xludf.DUMMYFUNCTION("""COMPUTED_VALUE"""),3.0)</f>
        <v>3</v>
      </c>
      <c r="S741" s="2"/>
      <c r="T741" s="2"/>
    </row>
    <row r="742">
      <c r="A742" s="1">
        <f>IFERROR(__xludf.DUMMYFUNCTION("""COMPUTED_VALUE"""),740.0)</f>
        <v>740</v>
      </c>
      <c r="B742" s="2" t="str">
        <f>IFERROR(__xludf.DUMMYFUNCTION("""COMPUTED_VALUE"""),"Casantacruzan Mabangcal Farmers Association")</f>
        <v>Casantacruzan Mabangcal Farmers Association</v>
      </c>
      <c r="C742" s="2" t="str">
        <f>IFERROR(__xludf.DUMMYFUNCTION("""COMPUTED_VALUE"""),"Beddeng, San Narciso, ZAMBALES")</f>
        <v>Beddeng, San Narciso, ZAMBALES</v>
      </c>
      <c r="D742" s="2" t="str">
        <f>IFERROR(__xludf.DUMMYFUNCTION("""COMPUTED_VALUE"""),"Loreto Bernandino")</f>
        <v>Loreto Bernandino</v>
      </c>
      <c r="E742" s="2" t="str">
        <f>IFERROR(__xludf.DUMMYFUNCTION("""COMPUTED_VALUE"""),"0930-521-9193")</f>
        <v>0930-521-9193</v>
      </c>
      <c r="F742" s="2" t="str">
        <f>IFERROR(__xludf.DUMMYFUNCTION("""COMPUTED_VALUE"""),"RCEF 25-03-05")</f>
        <v>RCEF 25-03-05</v>
      </c>
      <c r="G742" s="2">
        <f>IFERROR(__xludf.DUMMYFUNCTION("""COMPUTED_VALUE"""),5.0)</f>
        <v>5</v>
      </c>
      <c r="H742" s="2" t="str">
        <f>IFERROR(__xludf.DUMMYFUNCTION("""COMPUTED_VALUE"""),"26572 &amp; 27858")</f>
        <v>26572 &amp; 27858</v>
      </c>
      <c r="I742" s="2" t="str">
        <f>IFERROR(__xludf.DUMMYFUNCTION("""COMPUTED_VALUE"""),"KCM5825 APSFPV0247")</f>
        <v>KCM5825 APSFPV0247</v>
      </c>
      <c r="J742" s="3" t="str">
        <f>IFERROR(__xludf.DUMMYFUNCTION("""COMPUTED_VALUE"""),"STS100249")</f>
        <v>STS100249</v>
      </c>
      <c r="K742" s="2" t="str">
        <f>IFERROR(__xludf.DUMMYFUNCTION("""COMPUTED_VALUE"""),"WR-SERIES 080")</f>
        <v>WR-SERIES 080</v>
      </c>
      <c r="L742" s="3" t="str">
        <f>IFERROR(__xludf.DUMMYFUNCTION("""COMPUTED_VALUE"""),"2510792")</f>
        <v>2510792</v>
      </c>
      <c r="M742" s="3" t="str">
        <f>IFERROR(__xludf.DUMMYFUNCTION("""COMPUTED_VALUE"""),"25080832")</f>
        <v>25080832</v>
      </c>
      <c r="N742" s="2"/>
      <c r="O742" s="2" t="str">
        <f>IFERROR(__xludf.DUMMYFUNCTION("""COMPUTED_VALUE"""),"Beddeng")</f>
        <v>Beddeng</v>
      </c>
      <c r="P742" s="2" t="str">
        <f>IFERROR(__xludf.DUMMYFUNCTION("""COMPUTED_VALUE"""),"San Narciso")</f>
        <v>San Narciso</v>
      </c>
      <c r="Q742" s="2" t="str">
        <f>IFERROR(__xludf.DUMMYFUNCTION("""COMPUTED_VALUE"""),"Zambales")</f>
        <v>Zambales</v>
      </c>
      <c r="R742" s="2">
        <f>IFERROR(__xludf.DUMMYFUNCTION("""COMPUTED_VALUE"""),3.0)</f>
        <v>3</v>
      </c>
      <c r="S742" s="2"/>
      <c r="T742" s="2"/>
    </row>
    <row r="743">
      <c r="A743" s="1">
        <f>IFERROR(__xludf.DUMMYFUNCTION("""COMPUTED_VALUE"""),741.0)</f>
        <v>741</v>
      </c>
      <c r="B743" s="2" t="str">
        <f>IFERROR(__xludf.DUMMYFUNCTION("""COMPUTED_VALUE"""),"NEGATIL RICE AND HIGH VALUE CROPS FARMERS ASSOCIATION")</f>
        <v>NEGATIL RICE AND HIGH VALUE CROPS FARMERS ASSOCIATION</v>
      </c>
      <c r="C743" s="2" t="str">
        <f>IFERROR(__xludf.DUMMYFUNCTION("""COMPUTED_VALUE"""),"Grullo, San Narciso, ZAMBALES")</f>
        <v>Grullo, San Narciso, ZAMBALES</v>
      </c>
      <c r="D743" s="2" t="str">
        <f>IFERROR(__xludf.DUMMYFUNCTION("""COMPUTED_VALUE"""),"Noel B. Yadao")</f>
        <v>Noel B. Yadao</v>
      </c>
      <c r="E743" s="2" t="str">
        <f>IFERROR(__xludf.DUMMYFUNCTION("""COMPUTED_VALUE"""),"0970-724-7003")</f>
        <v>0970-724-7003</v>
      </c>
      <c r="F743" s="2" t="str">
        <f>IFERROR(__xludf.DUMMYFUNCTION("""COMPUTED_VALUE"""),"RCEF 25-03-05")</f>
        <v>RCEF 25-03-05</v>
      </c>
      <c r="G743" s="2">
        <f>IFERROR(__xludf.DUMMYFUNCTION("""COMPUTED_VALUE"""),5.0)</f>
        <v>5</v>
      </c>
      <c r="H743" s="2" t="str">
        <f>IFERROR(__xludf.DUMMYFUNCTION("""COMPUTED_VALUE"""),"26573 &amp; 27859")</f>
        <v>26573 &amp; 27859</v>
      </c>
      <c r="I743" s="2" t="str">
        <f>IFERROR(__xludf.DUMMYFUNCTION("""COMPUTED_VALUE"""),"KMC6825 ATSFPV0327")</f>
        <v>KMC6825 ATSFPV0327</v>
      </c>
      <c r="J743" s="3" t="str">
        <f>IFERROR(__xludf.DUMMYFUNCTION("""COMPUTED_VALUE"""),"STS100339")</f>
        <v>STS100339</v>
      </c>
      <c r="K743" s="2" t="str">
        <f>IFERROR(__xludf.DUMMYFUNCTION("""COMPUTED_VALUE"""),"WR-SERIES 131")</f>
        <v>WR-SERIES 131</v>
      </c>
      <c r="L743" s="3" t="str">
        <f>IFERROR(__xludf.DUMMYFUNCTION("""COMPUTED_VALUE"""),"2510827")</f>
        <v>2510827</v>
      </c>
      <c r="M743" s="3" t="str">
        <f>IFERROR(__xludf.DUMMYFUNCTION("""COMPUTED_VALUE"""),"25080836")</f>
        <v>25080836</v>
      </c>
      <c r="N743" s="2"/>
      <c r="O743" s="2" t="str">
        <f>IFERROR(__xludf.DUMMYFUNCTION("""COMPUTED_VALUE"""),"Grullo")</f>
        <v>Grullo</v>
      </c>
      <c r="P743" s="2" t="str">
        <f>IFERROR(__xludf.DUMMYFUNCTION("""COMPUTED_VALUE"""),"San Narciso")</f>
        <v>San Narciso</v>
      </c>
      <c r="Q743" s="2" t="str">
        <f>IFERROR(__xludf.DUMMYFUNCTION("""COMPUTED_VALUE"""),"Zambales")</f>
        <v>Zambales</v>
      </c>
      <c r="R743" s="2">
        <f>IFERROR(__xludf.DUMMYFUNCTION("""COMPUTED_VALUE"""),3.0)</f>
        <v>3</v>
      </c>
      <c r="S743" s="2"/>
      <c r="T743" s="2"/>
    </row>
    <row r="744">
      <c r="A744" s="1">
        <f>IFERROR(__xludf.DUMMYFUNCTION("""COMPUTED_VALUE"""),742.0)</f>
        <v>742</v>
      </c>
      <c r="B744" s="2" t="str">
        <f>IFERROR(__xludf.DUMMYFUNCTION("""COMPUTED_VALUE"""),"H2O IRRIGATORS ASSOCIATION INC.")</f>
        <v>H2O IRRIGATORS ASSOCIATION INC.</v>
      </c>
      <c r="C744" s="2" t="str">
        <f>IFERROR(__xludf.DUMMYFUNCTION("""COMPUTED_VALUE"""),"Namatacan, San Narciso, ZAMBALES")</f>
        <v>Namatacan, San Narciso, ZAMBALES</v>
      </c>
      <c r="D744" s="2" t="str">
        <f>IFERROR(__xludf.DUMMYFUNCTION("""COMPUTED_VALUE"""),"Nolan V. Gragasin")</f>
        <v>Nolan V. Gragasin</v>
      </c>
      <c r="E744" s="2" t="str">
        <f>IFERROR(__xludf.DUMMYFUNCTION("""COMPUTED_VALUE"""),"0920-233-4484")</f>
        <v>0920-233-4484</v>
      </c>
      <c r="F744" s="2" t="str">
        <f>IFERROR(__xludf.DUMMYFUNCTION("""COMPUTED_VALUE"""),"RCEF 25-03-05")</f>
        <v>RCEF 25-03-05</v>
      </c>
      <c r="G744" s="2">
        <f>IFERROR(__xludf.DUMMYFUNCTION("""COMPUTED_VALUE"""),5.0)</f>
        <v>5</v>
      </c>
      <c r="H744" s="2" t="str">
        <f>IFERROR(__xludf.DUMMYFUNCTION("""COMPUTED_VALUE"""),"26574 &amp; 27860")</f>
        <v>26574 &amp; 27860</v>
      </c>
      <c r="I744" s="2" t="str">
        <f>IFERROR(__xludf.DUMMYFUNCTION("""COMPUTED_VALUE"""),"KMC5825 AESFPV0325")</f>
        <v>KMC5825 AESFPV0325</v>
      </c>
      <c r="J744" s="3" t="str">
        <f>IFERROR(__xludf.DUMMYFUNCTION("""COMPUTED_VALUE"""),"STS100338")</f>
        <v>STS100338</v>
      </c>
      <c r="K744" s="2" t="str">
        <f>IFERROR(__xludf.DUMMYFUNCTION("""COMPUTED_VALUE"""),"WR-SERIES 079")</f>
        <v>WR-SERIES 079</v>
      </c>
      <c r="L744" s="3" t="str">
        <f>IFERROR(__xludf.DUMMYFUNCTION("""COMPUTED_VALUE"""),"2510817")</f>
        <v>2510817</v>
      </c>
      <c r="M744" s="3" t="str">
        <f>IFERROR(__xludf.DUMMYFUNCTION("""COMPUTED_VALUE"""),"25090977")</f>
        <v>25090977</v>
      </c>
      <c r="N744" s="2"/>
      <c r="O744" s="2" t="str">
        <f>IFERROR(__xludf.DUMMYFUNCTION("""COMPUTED_VALUE"""),"Namatacan")</f>
        <v>Namatacan</v>
      </c>
      <c r="P744" s="2" t="str">
        <f>IFERROR(__xludf.DUMMYFUNCTION("""COMPUTED_VALUE"""),"San Narciso")</f>
        <v>San Narciso</v>
      </c>
      <c r="Q744" s="2" t="str">
        <f>IFERROR(__xludf.DUMMYFUNCTION("""COMPUTED_VALUE"""),"Zambales")</f>
        <v>Zambales</v>
      </c>
      <c r="R744" s="2">
        <f>IFERROR(__xludf.DUMMYFUNCTION("""COMPUTED_VALUE"""),3.0)</f>
        <v>3</v>
      </c>
      <c r="S744" s="2"/>
      <c r="T744" s="2"/>
    </row>
    <row r="745">
      <c r="A745" s="1">
        <f>IFERROR(__xludf.DUMMYFUNCTION("""COMPUTED_VALUE"""),743.0)</f>
        <v>743</v>
      </c>
      <c r="B745" s="2" t="str">
        <f>IFERROR(__xludf.DUMMYFUNCTION("""COMPUTED_VALUE"""),"Municipal Local Government Unit of Bacacay")</f>
        <v>Municipal Local Government Unit of Bacacay</v>
      </c>
      <c r="C745" s="2" t="str">
        <f>IFERROR(__xludf.DUMMYFUNCTION("""COMPUTED_VALUE"""),"Barangay 2 (Pob.), Bacacay, ALBAY")</f>
        <v>Barangay 2 (Pob.), Bacacay, ALBAY</v>
      </c>
      <c r="D745" s="2" t="str">
        <f>IFERROR(__xludf.DUMMYFUNCTION("""COMPUTED_VALUE"""),"Hon. Edsel Belleza")</f>
        <v>Hon. Edsel Belleza</v>
      </c>
      <c r="E745" s="2" t="str">
        <f>IFERROR(__xludf.DUMMYFUNCTION("""COMPUTED_VALUE"""),"0997 925 0671")</f>
        <v>0997 925 0671</v>
      </c>
      <c r="F745" s="2" t="str">
        <f>IFERROR(__xludf.DUMMYFUNCTION("""COMPUTED_VALUE"""),"RCEF 25-03-05")</f>
        <v>RCEF 25-03-05</v>
      </c>
      <c r="G745" s="2">
        <f>IFERROR(__xludf.DUMMYFUNCTION("""COMPUTED_VALUE"""),6.0)</f>
        <v>6</v>
      </c>
      <c r="H745" s="2" t="str">
        <f>IFERROR(__xludf.DUMMYFUNCTION("""COMPUTED_VALUE"""),"26575 &amp; 27736")</f>
        <v>26575 &amp; 27736</v>
      </c>
      <c r="I745" s="2" t="str">
        <f>IFERROR(__xludf.DUMMYFUNCTION("""COMPUTED_VALUE"""),"KMC5825 ACSFPV0097")</f>
        <v>KMC5825 ACSFPV0097</v>
      </c>
      <c r="J745" s="3" t="str">
        <f>IFERROR(__xludf.DUMMYFUNCTION("""COMPUTED_VALUE"""),"STS100134")</f>
        <v>STS100134</v>
      </c>
      <c r="K745" s="2" t="str">
        <f>IFERROR(__xludf.DUMMYFUNCTION("""COMPUTED_VALUE"""),"WR-SERIES 251")</f>
        <v>WR-SERIES 251</v>
      </c>
      <c r="L745" s="3" t="str">
        <f>IFERROR(__xludf.DUMMYFUNCTION("""COMPUTED_VALUE"""),"25080360")</f>
        <v>25080360</v>
      </c>
      <c r="M745" s="3">
        <f>IFERROR(__xludf.DUMMYFUNCTION("""COMPUTED_VALUE"""),2.5080781E7)</f>
        <v>25080781</v>
      </c>
      <c r="N745" s="2"/>
      <c r="O745" s="2" t="str">
        <f>IFERROR(__xludf.DUMMYFUNCTION("""COMPUTED_VALUE"""),"Barangay 2 (Pob.)")</f>
        <v>Barangay 2 (Pob.)</v>
      </c>
      <c r="P745" s="2" t="str">
        <f>IFERROR(__xludf.DUMMYFUNCTION("""COMPUTED_VALUE"""),"Bacacay")</f>
        <v>Bacacay</v>
      </c>
      <c r="Q745" s="2" t="str">
        <f>IFERROR(__xludf.DUMMYFUNCTION("""COMPUTED_VALUE"""),"Albay")</f>
        <v>Albay</v>
      </c>
      <c r="R745" s="2">
        <f>IFERROR(__xludf.DUMMYFUNCTION("""COMPUTED_VALUE"""),5.0)</f>
        <v>5</v>
      </c>
      <c r="S745" s="2"/>
      <c r="T745" s="2"/>
    </row>
    <row r="746">
      <c r="A746" s="1">
        <f>IFERROR(__xludf.DUMMYFUNCTION("""COMPUTED_VALUE"""),744.0)</f>
        <v>744</v>
      </c>
      <c r="B746" s="2" t="str">
        <f>IFERROR(__xludf.DUMMYFUNCTION("""COMPUTED_VALUE"""),"Bariw Farmers Association")</f>
        <v>Bariw Farmers Association</v>
      </c>
      <c r="C746" s="2" t="str">
        <f>IFERROR(__xludf.DUMMYFUNCTION("""COMPUTED_VALUE"""),"Bariw, Malinao, ALBAY")</f>
        <v>Bariw, Malinao, ALBAY</v>
      </c>
      <c r="D746" s="2" t="str">
        <f>IFERROR(__xludf.DUMMYFUNCTION("""COMPUTED_VALUE"""),"Andres Bos Jr")</f>
        <v>Andres Bos Jr</v>
      </c>
      <c r="E746" s="2" t="str">
        <f>IFERROR(__xludf.DUMMYFUNCTION("""COMPUTED_VALUE"""),"0912 365 9045")</f>
        <v>0912 365 9045</v>
      </c>
      <c r="F746" s="2" t="str">
        <f>IFERROR(__xludf.DUMMYFUNCTION("""COMPUTED_VALUE"""),"RCEF 25-03-05")</f>
        <v>RCEF 25-03-05</v>
      </c>
      <c r="G746" s="2">
        <f>IFERROR(__xludf.DUMMYFUNCTION("""COMPUTED_VALUE"""),6.0)</f>
        <v>6</v>
      </c>
      <c r="H746" s="2" t="str">
        <f>IFERROR(__xludf.DUMMYFUNCTION("""COMPUTED_VALUE"""),"26576 &amp; 27737")</f>
        <v>26576 &amp; 27737</v>
      </c>
      <c r="I746" s="2" t="str">
        <f>IFERROR(__xludf.DUMMYFUNCTION("""COMPUTED_VALUE"""),"KMC5825 AHSFPV0159")</f>
        <v>KMC5825 AHSFPV0159</v>
      </c>
      <c r="J746" s="3" t="str">
        <f>IFERROR(__xludf.DUMMYFUNCTION("""COMPUTED_VALUE"""),"STS100141")</f>
        <v>STS100141</v>
      </c>
      <c r="K746" s="2" t="str">
        <f>IFERROR(__xludf.DUMMYFUNCTION("""COMPUTED_VALUE"""),"WR-SERIES 274")</f>
        <v>WR-SERIES 274</v>
      </c>
      <c r="L746" s="3" t="str">
        <f>IFERROR(__xludf.DUMMYFUNCTION("""COMPUTED_VALUE"""),"25080351")</f>
        <v>25080351</v>
      </c>
      <c r="M746" s="3">
        <f>IFERROR(__xludf.DUMMYFUNCTION("""COMPUTED_VALUE"""),2.5080793E7)</f>
        <v>25080793</v>
      </c>
      <c r="N746" s="2"/>
      <c r="O746" s="2" t="str">
        <f>IFERROR(__xludf.DUMMYFUNCTION("""COMPUTED_VALUE"""),"Bariw")</f>
        <v>Bariw</v>
      </c>
      <c r="P746" s="2" t="str">
        <f>IFERROR(__xludf.DUMMYFUNCTION("""COMPUTED_VALUE"""),"Malinao")</f>
        <v>Malinao</v>
      </c>
      <c r="Q746" s="2" t="str">
        <f>IFERROR(__xludf.DUMMYFUNCTION("""COMPUTED_VALUE"""),"Albay")</f>
        <v>Albay</v>
      </c>
      <c r="R746" s="2">
        <f>IFERROR(__xludf.DUMMYFUNCTION("""COMPUTED_VALUE"""),5.0)</f>
        <v>5</v>
      </c>
      <c r="S746" s="2"/>
      <c r="T746" s="2"/>
    </row>
    <row r="747">
      <c r="A747" s="1">
        <f>IFERROR(__xludf.DUMMYFUNCTION("""COMPUTED_VALUE"""),745.0)</f>
        <v>745</v>
      </c>
      <c r="B747" s="2" t="str">
        <f>IFERROR(__xludf.DUMMYFUNCTION("""COMPUTED_VALUE"""),"SAN NICOLAS ESTANCIA FARMER'S ASSOCIATION (SNEFA)")</f>
        <v>SAN NICOLAS ESTANCIA FARMER'S ASSOCIATION (SNEFA)</v>
      </c>
      <c r="C747" s="2" t="str">
        <f>IFERROR(__xludf.DUMMYFUNCTION("""COMPUTED_VALUE"""),"Estancia, Malinao, ALBAY")</f>
        <v>Estancia, Malinao, ALBAY</v>
      </c>
      <c r="D747" s="2" t="str">
        <f>IFERROR(__xludf.DUMMYFUNCTION("""COMPUTED_VALUE"""),"Roque H. Pena")</f>
        <v>Roque H. Pena</v>
      </c>
      <c r="E747" s="2" t="str">
        <f>IFERROR(__xludf.DUMMYFUNCTION("""COMPUTED_VALUE"""),"0970 1773 543")</f>
        <v>0970 1773 543</v>
      </c>
      <c r="F747" s="2" t="str">
        <f>IFERROR(__xludf.DUMMYFUNCTION("""COMPUTED_VALUE"""),"RCEF 25-03-05")</f>
        <v>RCEF 25-03-05</v>
      </c>
      <c r="G747" s="2">
        <f>IFERROR(__xludf.DUMMYFUNCTION("""COMPUTED_VALUE"""),6.0)</f>
        <v>6</v>
      </c>
      <c r="H747" s="2" t="str">
        <f>IFERROR(__xludf.DUMMYFUNCTION("""COMPUTED_VALUE"""),"26577 &amp; 27738")</f>
        <v>26577 &amp; 27738</v>
      </c>
      <c r="I747" s="2" t="str">
        <f>IFERROR(__xludf.DUMMYFUNCTION("""COMPUTED_VALUE"""),"KMC5825 AKRFPV0969")</f>
        <v>KMC5825 AKRFPV0969</v>
      </c>
      <c r="J747" s="3" t="str">
        <f>IFERROR(__xludf.DUMMYFUNCTION("""COMPUTED_VALUE"""),"RTS100664")</f>
        <v>RTS100664</v>
      </c>
      <c r="K747" s="2" t="str">
        <f>IFERROR(__xludf.DUMMYFUNCTION("""COMPUTED_VALUE"""),"WR-SERIES 1118")</f>
        <v>WR-SERIES 1118</v>
      </c>
      <c r="L747" s="3" t="str">
        <f>IFERROR(__xludf.DUMMYFUNCTION("""COMPUTED_VALUE"""),"25080253")</f>
        <v>25080253</v>
      </c>
      <c r="M747" s="3">
        <f>IFERROR(__xludf.DUMMYFUNCTION("""COMPUTED_VALUE"""),2.5080795E7)</f>
        <v>25080795</v>
      </c>
      <c r="N747" s="2"/>
      <c r="O747" s="2" t="str">
        <f>IFERROR(__xludf.DUMMYFUNCTION("""COMPUTED_VALUE"""),"Estancia")</f>
        <v>Estancia</v>
      </c>
      <c r="P747" s="2" t="str">
        <f>IFERROR(__xludf.DUMMYFUNCTION("""COMPUTED_VALUE"""),"Malinao")</f>
        <v>Malinao</v>
      </c>
      <c r="Q747" s="2" t="str">
        <f>IFERROR(__xludf.DUMMYFUNCTION("""COMPUTED_VALUE"""),"Albay")</f>
        <v>Albay</v>
      </c>
      <c r="R747" s="2">
        <f>IFERROR(__xludf.DUMMYFUNCTION("""COMPUTED_VALUE"""),5.0)</f>
        <v>5</v>
      </c>
      <c r="S747" s="2"/>
      <c r="T747" s="2"/>
    </row>
    <row r="748">
      <c r="A748" s="1">
        <f>IFERROR(__xludf.DUMMYFUNCTION("""COMPUTED_VALUE"""),746.0)</f>
        <v>746</v>
      </c>
      <c r="B748" s="2" t="str">
        <f>IFERROR(__xludf.DUMMYFUNCTION("""COMPUTED_VALUE"""),"TAGOYTOY MULTI-FARMER'S ASSOCIATION (TMFA)")</f>
        <v>TAGOYTOY MULTI-FARMER'S ASSOCIATION (TMFA)</v>
      </c>
      <c r="C748" s="2" t="str">
        <f>IFERROR(__xludf.DUMMYFUNCTION("""COMPUTED_VALUE"""),"Tagoytoy, Malinao, ALBAY")</f>
        <v>Tagoytoy, Malinao, ALBAY</v>
      </c>
      <c r="D748" s="2" t="str">
        <f>IFERROR(__xludf.DUMMYFUNCTION("""COMPUTED_VALUE"""),"Aurelio C. Castelo")</f>
        <v>Aurelio C. Castelo</v>
      </c>
      <c r="E748" s="2" t="str">
        <f>IFERROR(__xludf.DUMMYFUNCTION("""COMPUTED_VALUE"""),"0999 5926 438")</f>
        <v>0999 5926 438</v>
      </c>
      <c r="F748" s="2" t="str">
        <f>IFERROR(__xludf.DUMMYFUNCTION("""COMPUTED_VALUE"""),"RCEF 25-03-05")</f>
        <v>RCEF 25-03-05</v>
      </c>
      <c r="G748" s="2">
        <f>IFERROR(__xludf.DUMMYFUNCTION("""COMPUTED_VALUE"""),6.0)</f>
        <v>6</v>
      </c>
      <c r="H748" s="2" t="str">
        <f>IFERROR(__xludf.DUMMYFUNCTION("""COMPUTED_VALUE"""),"26578 &amp; 27739")</f>
        <v>26578 &amp; 27739</v>
      </c>
      <c r="I748" s="2" t="str">
        <f>IFERROR(__xludf.DUMMYFUNCTION("""COMPUTED_VALUE"""),"KMC5825 ACSFPV0138")</f>
        <v>KMC5825 ACSFPV0138</v>
      </c>
      <c r="J748" s="3" t="str">
        <f>IFERROR(__xludf.DUMMYFUNCTION("""COMPUTED_VALUE"""),"STS100092")</f>
        <v>STS100092</v>
      </c>
      <c r="K748" s="2" t="str">
        <f>IFERROR(__xludf.DUMMYFUNCTION("""COMPUTED_VALUE"""),"WR-SERIES 277")</f>
        <v>WR-SERIES 277</v>
      </c>
      <c r="L748" s="3" t="str">
        <f>IFERROR(__xludf.DUMMYFUNCTION("""COMPUTED_VALUE"""),"25080349")</f>
        <v>25080349</v>
      </c>
      <c r="M748" s="3">
        <f>IFERROR(__xludf.DUMMYFUNCTION("""COMPUTED_VALUE"""),2.5080787E7)</f>
        <v>25080787</v>
      </c>
      <c r="N748" s="2"/>
      <c r="O748" s="2" t="str">
        <f>IFERROR(__xludf.DUMMYFUNCTION("""COMPUTED_VALUE"""),"Tagoytoy")</f>
        <v>Tagoytoy</v>
      </c>
      <c r="P748" s="2" t="str">
        <f>IFERROR(__xludf.DUMMYFUNCTION("""COMPUTED_VALUE"""),"Malinao")</f>
        <v>Malinao</v>
      </c>
      <c r="Q748" s="2" t="str">
        <f>IFERROR(__xludf.DUMMYFUNCTION("""COMPUTED_VALUE"""),"Albay")</f>
        <v>Albay</v>
      </c>
      <c r="R748" s="2">
        <f>IFERROR(__xludf.DUMMYFUNCTION("""COMPUTED_VALUE"""),5.0)</f>
        <v>5</v>
      </c>
      <c r="S748" s="2"/>
      <c r="T748" s="2"/>
    </row>
    <row r="749">
      <c r="A749" s="1">
        <f>IFERROR(__xludf.DUMMYFUNCTION("""COMPUTED_VALUE"""),747.0)</f>
        <v>747</v>
      </c>
      <c r="B749" s="2" t="str">
        <f>IFERROR(__xludf.DUMMYFUNCTION("""COMPUTED_VALUE"""),"San Vicente Tabaco Irrigators Association Inc.")</f>
        <v>San Vicente Tabaco Irrigators Association Inc.</v>
      </c>
      <c r="C749" s="2" t="str">
        <f>IFERROR(__xludf.DUMMYFUNCTION("""COMPUTED_VALUE"""),"San Vicente, Tabaco City, ALBAY")</f>
        <v>San Vicente, Tabaco City, ALBAY</v>
      </c>
      <c r="D749" s="2" t="str">
        <f>IFERROR(__xludf.DUMMYFUNCTION("""COMPUTED_VALUE"""),"Pebro B. Colorico")</f>
        <v>Pebro B. Colorico</v>
      </c>
      <c r="E749" s="2" t="str">
        <f>IFERROR(__xludf.DUMMYFUNCTION("""COMPUTED_VALUE"""),"0991 2779 534")</f>
        <v>0991 2779 534</v>
      </c>
      <c r="F749" s="2" t="str">
        <f>IFERROR(__xludf.DUMMYFUNCTION("""COMPUTED_VALUE"""),"RCEF 25-03-05")</f>
        <v>RCEF 25-03-05</v>
      </c>
      <c r="G749" s="2">
        <f>IFERROR(__xludf.DUMMYFUNCTION("""COMPUTED_VALUE"""),6.0)</f>
        <v>6</v>
      </c>
      <c r="H749" s="2" t="str">
        <f>IFERROR(__xludf.DUMMYFUNCTION("""COMPUTED_VALUE"""),"26579 &amp; 27740")</f>
        <v>26579 &amp; 27740</v>
      </c>
      <c r="I749" s="2" t="str">
        <f>IFERROR(__xludf.DUMMYFUNCTION("""COMPUTED_VALUE"""),"KMC5825 ALSFPV0158")</f>
        <v>KMC5825 ALSFPV0158</v>
      </c>
      <c r="J749" s="3" t="str">
        <f>IFERROR(__xludf.DUMMYFUNCTION("""COMPUTED_VALUE"""),"STS100136")</f>
        <v>STS100136</v>
      </c>
      <c r="K749" s="2" t="str">
        <f>IFERROR(__xludf.DUMMYFUNCTION("""COMPUTED_VALUE"""),"WR-SERIES 301")</f>
        <v>WR-SERIES 301</v>
      </c>
      <c r="L749" s="3" t="str">
        <f>IFERROR(__xludf.DUMMYFUNCTION("""COMPUTED_VALUE"""),"25080389")</f>
        <v>25080389</v>
      </c>
      <c r="M749" s="3">
        <f>IFERROR(__xludf.DUMMYFUNCTION("""COMPUTED_VALUE"""),2.5080809E7)</f>
        <v>25080809</v>
      </c>
      <c r="N749" s="2"/>
      <c r="O749" s="2" t="str">
        <f>IFERROR(__xludf.DUMMYFUNCTION("""COMPUTED_VALUE"""),"San Vicente")</f>
        <v>San Vicente</v>
      </c>
      <c r="P749" s="2" t="str">
        <f>IFERROR(__xludf.DUMMYFUNCTION("""COMPUTED_VALUE"""),"Tabaco City")</f>
        <v>Tabaco City</v>
      </c>
      <c r="Q749" s="2" t="str">
        <f>IFERROR(__xludf.DUMMYFUNCTION("""COMPUTED_VALUE"""),"Albay")</f>
        <v>Albay</v>
      </c>
      <c r="R749" s="2">
        <f>IFERROR(__xludf.DUMMYFUNCTION("""COMPUTED_VALUE"""),5.0)</f>
        <v>5</v>
      </c>
      <c r="S749" s="2"/>
      <c r="T749" s="2"/>
    </row>
    <row r="750">
      <c r="A750" s="1">
        <f>IFERROR(__xludf.DUMMYFUNCTION("""COMPUTED_VALUE"""),748.0)</f>
        <v>748</v>
      </c>
      <c r="B750" s="2" t="str">
        <f>IFERROR(__xludf.DUMMYFUNCTION("""COMPUTED_VALUE"""),"Municipal Local Government Unit of Camalig")</f>
        <v>Municipal Local Government Unit of Camalig</v>
      </c>
      <c r="C750" s="2" t="str">
        <f>IFERROR(__xludf.DUMMYFUNCTION("""COMPUTED_VALUE"""),"Barangay 2 (Pob.), Camalig, ALBAY")</f>
        <v>Barangay 2 (Pob.), Camalig, ALBAY</v>
      </c>
      <c r="D750" s="2" t="str">
        <f>IFERROR(__xludf.DUMMYFUNCTION("""COMPUTED_VALUE"""),"Hon. Carlos Irwin G. Baldo Jr")</f>
        <v>Hon. Carlos Irwin G. Baldo Jr</v>
      </c>
      <c r="E750" s="2">
        <f>IFERROR(__xludf.DUMMYFUNCTION("""COMPUTED_VALUE"""),9.757581009E9)</f>
        <v>9757581009</v>
      </c>
      <c r="F750" s="2" t="str">
        <f>IFERROR(__xludf.DUMMYFUNCTION("""COMPUTED_VALUE"""),"RCEF 25-03-05")</f>
        <v>RCEF 25-03-05</v>
      </c>
      <c r="G750" s="2">
        <f>IFERROR(__xludf.DUMMYFUNCTION("""COMPUTED_VALUE"""),6.0)</f>
        <v>6</v>
      </c>
      <c r="H750" s="2" t="str">
        <f>IFERROR(__xludf.DUMMYFUNCTION("""COMPUTED_VALUE"""),"26580 &amp; 27741")</f>
        <v>26580 &amp; 27741</v>
      </c>
      <c r="I750" s="2" t="str">
        <f>IFERROR(__xludf.DUMMYFUNCTION("""COMPUTED_VALUE"""),"KMC5825 AESFPV0132")</f>
        <v>KMC5825 AESFPV0132</v>
      </c>
      <c r="J750" s="3" t="str">
        <f>IFERROR(__xludf.DUMMYFUNCTION("""COMPUTED_VALUE"""),"STS100166")</f>
        <v>STS100166</v>
      </c>
      <c r="K750" s="2" t="str">
        <f>IFERROR(__xludf.DUMMYFUNCTION("""COMPUTED_VALUE"""),"WR-SERIES 267")</f>
        <v>WR-SERIES 267</v>
      </c>
      <c r="L750" s="3" t="str">
        <f>IFERROR(__xludf.DUMMYFUNCTION("""COMPUTED_VALUE"""),"25080380")</f>
        <v>25080380</v>
      </c>
      <c r="M750" s="3">
        <f>IFERROR(__xludf.DUMMYFUNCTION("""COMPUTED_VALUE"""),2.5080789E7)</f>
        <v>25080789</v>
      </c>
      <c r="N750" s="2"/>
      <c r="O750" s="2" t="str">
        <f>IFERROR(__xludf.DUMMYFUNCTION("""COMPUTED_VALUE"""),"Barangay 2 (Pob.)")</f>
        <v>Barangay 2 (Pob.)</v>
      </c>
      <c r="P750" s="2" t="str">
        <f>IFERROR(__xludf.DUMMYFUNCTION("""COMPUTED_VALUE"""),"Camalig")</f>
        <v>Camalig</v>
      </c>
      <c r="Q750" s="2" t="str">
        <f>IFERROR(__xludf.DUMMYFUNCTION("""COMPUTED_VALUE"""),"Albay")</f>
        <v>Albay</v>
      </c>
      <c r="R750" s="2">
        <f>IFERROR(__xludf.DUMMYFUNCTION("""COMPUTED_VALUE"""),5.0)</f>
        <v>5</v>
      </c>
      <c r="S750" s="2"/>
      <c r="T750" s="2"/>
    </row>
    <row r="751">
      <c r="A751" s="1">
        <f>IFERROR(__xludf.DUMMYFUNCTION("""COMPUTED_VALUE"""),749.0)</f>
        <v>749</v>
      </c>
      <c r="B751" s="2" t="str">
        <f>IFERROR(__xludf.DUMMYFUNCTION("""COMPUTED_VALUE"""),"City Local Government Unit of Legazpi")</f>
        <v>City Local Government Unit of Legazpi</v>
      </c>
      <c r="C751" s="2" t="str">
        <f>IFERROR(__xludf.DUMMYFUNCTION("""COMPUTED_VALUE"""),"Bgy. 38 - Gogon (Bgy. 54), Legazpi City, ALBAY")</f>
        <v>Bgy. 38 - Gogon (Bgy. 54), Legazpi City, ALBAY</v>
      </c>
      <c r="D751" s="2" t="str">
        <f>IFERROR(__xludf.DUMMYFUNCTION("""COMPUTED_VALUE"""),"Hon. Atty. Alfredo A. Garbin Jr")</f>
        <v>Hon. Atty. Alfredo A. Garbin Jr</v>
      </c>
      <c r="E751" s="2" t="str">
        <f>IFERROR(__xludf.DUMMYFUNCTION("""COMPUTED_VALUE"""),"09500 841401")</f>
        <v>09500 841401</v>
      </c>
      <c r="F751" s="2" t="str">
        <f>IFERROR(__xludf.DUMMYFUNCTION("""COMPUTED_VALUE"""),"RCEF 25-03-05")</f>
        <v>RCEF 25-03-05</v>
      </c>
      <c r="G751" s="2">
        <f>IFERROR(__xludf.DUMMYFUNCTION("""COMPUTED_VALUE"""),6.0)</f>
        <v>6</v>
      </c>
      <c r="H751" s="2" t="str">
        <f>IFERROR(__xludf.DUMMYFUNCTION("""COMPUTED_VALUE"""),"26581 &amp; 27742")</f>
        <v>26581 &amp; 27742</v>
      </c>
      <c r="I751" s="2" t="str">
        <f>IFERROR(__xludf.DUMMYFUNCTION("""COMPUTED_VALUE"""),"KMC5825 APRFPV1084")</f>
        <v>KMC5825 APRFPV1084</v>
      </c>
      <c r="J751" s="3" t="str">
        <f>IFERROR(__xludf.DUMMYFUNCTION("""COMPUTED_VALUE"""),"RTS100917")</f>
        <v>RTS100917</v>
      </c>
      <c r="K751" s="2" t="str">
        <f>IFERROR(__xludf.DUMMYFUNCTION("""COMPUTED_VALUE"""),"WR-SERIES 1317")</f>
        <v>WR-SERIES 1317</v>
      </c>
      <c r="L751" s="3" t="str">
        <f>IFERROR(__xludf.DUMMYFUNCTION("""COMPUTED_VALUE"""),"25080361")</f>
        <v>25080361</v>
      </c>
      <c r="M751" s="3">
        <f>IFERROR(__xludf.DUMMYFUNCTION("""COMPUTED_VALUE"""),2.5080786E7)</f>
        <v>25080786</v>
      </c>
      <c r="N751" s="2"/>
      <c r="O751" s="2" t="str">
        <f>IFERROR(__xludf.DUMMYFUNCTION("""COMPUTED_VALUE"""),"Bgy. 38 - Gogon (Bgy. 54)")</f>
        <v>Bgy. 38 - Gogon (Bgy. 54)</v>
      </c>
      <c r="P751" s="2" t="str">
        <f>IFERROR(__xludf.DUMMYFUNCTION("""COMPUTED_VALUE"""),"Legazpi City")</f>
        <v>Legazpi City</v>
      </c>
      <c r="Q751" s="2" t="str">
        <f>IFERROR(__xludf.DUMMYFUNCTION("""COMPUTED_VALUE"""),"Albay")</f>
        <v>Albay</v>
      </c>
      <c r="R751" s="2">
        <f>IFERROR(__xludf.DUMMYFUNCTION("""COMPUTED_VALUE"""),5.0)</f>
        <v>5</v>
      </c>
      <c r="S751" s="2"/>
      <c r="T751" s="2"/>
    </row>
    <row r="752">
      <c r="A752" s="1">
        <f>IFERROR(__xludf.DUMMYFUNCTION("""COMPUTED_VALUE"""),750.0)</f>
        <v>750</v>
      </c>
      <c r="B752" s="2" t="str">
        <f>IFERROR(__xludf.DUMMYFUNCTION("""COMPUTED_VALUE"""),"Newtown Farmers Association")</f>
        <v>Newtown Farmers Association</v>
      </c>
      <c r="C752" s="2" t="str">
        <f>IFERROR(__xludf.DUMMYFUNCTION("""COMPUTED_VALUE"""),"Bagumbayan, Ligao City, ALBAY")</f>
        <v>Bagumbayan, Ligao City, ALBAY</v>
      </c>
      <c r="D752" s="2" t="str">
        <f>IFERROR(__xludf.DUMMYFUNCTION("""COMPUTED_VALUE"""),"Roberto A. Quirasol")</f>
        <v>Roberto A. Quirasol</v>
      </c>
      <c r="E752" s="2" t="str">
        <f>IFERROR(__xludf.DUMMYFUNCTION("""COMPUTED_VALUE"""),"0917 1083 595")</f>
        <v>0917 1083 595</v>
      </c>
      <c r="F752" s="2" t="str">
        <f>IFERROR(__xludf.DUMMYFUNCTION("""COMPUTED_VALUE"""),"RCEF 25-03-05")</f>
        <v>RCEF 25-03-05</v>
      </c>
      <c r="G752" s="2">
        <f>IFERROR(__xludf.DUMMYFUNCTION("""COMPUTED_VALUE"""),6.0)</f>
        <v>6</v>
      </c>
      <c r="H752" s="2" t="str">
        <f>IFERROR(__xludf.DUMMYFUNCTION("""COMPUTED_VALUE"""),"26582 &amp; 27743")</f>
        <v>26582 &amp; 27743</v>
      </c>
      <c r="I752" s="2" t="str">
        <f>IFERROR(__xludf.DUMMYFUNCTION("""COMPUTED_VALUE"""),"KMC5825 APSFPV0118")</f>
        <v>KMC5825 APSFPV0118</v>
      </c>
      <c r="J752" s="3" t="str">
        <f>IFERROR(__xludf.DUMMYFUNCTION("""COMPUTED_VALUE"""),"STS100096")</f>
        <v>STS100096</v>
      </c>
      <c r="K752" s="2" t="str">
        <f>IFERROR(__xludf.DUMMYFUNCTION("""COMPUTED_VALUE"""),"WR-SERIES 300")</f>
        <v>WR-SERIES 300</v>
      </c>
      <c r="L752" s="3" t="str">
        <f>IFERROR(__xludf.DUMMYFUNCTION("""COMPUTED_VALUE"""),"25080382")</f>
        <v>25080382</v>
      </c>
      <c r="M752" s="3">
        <f>IFERROR(__xludf.DUMMYFUNCTION("""COMPUTED_VALUE"""),2.5080785E7)</f>
        <v>25080785</v>
      </c>
      <c r="N752" s="2"/>
      <c r="O752" s="2" t="str">
        <f>IFERROR(__xludf.DUMMYFUNCTION("""COMPUTED_VALUE"""),"Bagumbayan")</f>
        <v>Bagumbayan</v>
      </c>
      <c r="P752" s="2" t="str">
        <f>IFERROR(__xludf.DUMMYFUNCTION("""COMPUTED_VALUE"""),"Ligao City")</f>
        <v>Ligao City</v>
      </c>
      <c r="Q752" s="2" t="str">
        <f>IFERROR(__xludf.DUMMYFUNCTION("""COMPUTED_VALUE"""),"Albay")</f>
        <v>Albay</v>
      </c>
      <c r="R752" s="2">
        <f>IFERROR(__xludf.DUMMYFUNCTION("""COMPUTED_VALUE"""),5.0)</f>
        <v>5</v>
      </c>
      <c r="S752" s="2"/>
      <c r="T752" s="2"/>
    </row>
    <row r="753">
      <c r="A753" s="1">
        <f>IFERROR(__xludf.DUMMYFUNCTION("""COMPUTED_VALUE"""),751.0)</f>
        <v>751</v>
      </c>
      <c r="B753" s="2" t="str">
        <f>IFERROR(__xludf.DUMMYFUNCTION("""COMPUTED_VALUE"""),"BAGSA RICE-ING FARMERS ASSOCIATION")</f>
        <v>BAGSA RICE-ING FARMERS ASSOCIATION</v>
      </c>
      <c r="C753" s="2" t="str">
        <f>IFERROR(__xludf.DUMMYFUNCTION("""COMPUTED_VALUE"""),"Bagsa, Oas, ALBAY")</f>
        <v>Bagsa, Oas, ALBAY</v>
      </c>
      <c r="D753" s="2" t="str">
        <f>IFERROR(__xludf.DUMMYFUNCTION("""COMPUTED_VALUE"""),"Mario A. Aguilar")</f>
        <v>Mario A. Aguilar</v>
      </c>
      <c r="E753" s="2" t="str">
        <f>IFERROR(__xludf.DUMMYFUNCTION("""COMPUTED_VALUE"""),"0958 5050 497")</f>
        <v>0958 5050 497</v>
      </c>
      <c r="F753" s="2" t="str">
        <f>IFERROR(__xludf.DUMMYFUNCTION("""COMPUTED_VALUE"""),"RCEF 25-03-05")</f>
        <v>RCEF 25-03-05</v>
      </c>
      <c r="G753" s="2">
        <f>IFERROR(__xludf.DUMMYFUNCTION("""COMPUTED_VALUE"""),6.0)</f>
        <v>6</v>
      </c>
      <c r="H753" s="2" t="str">
        <f>IFERROR(__xludf.DUMMYFUNCTION("""COMPUTED_VALUE"""),"26583 &amp; 27744")</f>
        <v>26583 &amp; 27744</v>
      </c>
      <c r="I753" s="2" t="str">
        <f>IFERROR(__xludf.DUMMYFUNCTION("""COMPUTED_VALUE"""),"KMC5825 AJSFPV0137")</f>
        <v>KMC5825 AJSFPV0137</v>
      </c>
      <c r="J753" s="3" t="str">
        <f>IFERROR(__xludf.DUMMYFUNCTION("""COMPUTED_VALUE"""),"STS100093")</f>
        <v>STS100093</v>
      </c>
      <c r="K753" s="2" t="str">
        <f>IFERROR(__xludf.DUMMYFUNCTION("""COMPUTED_VALUE"""),"WR-SERIES 271")</f>
        <v>WR-SERIES 271</v>
      </c>
      <c r="L753" s="3" t="str">
        <f>IFERROR(__xludf.DUMMYFUNCTION("""COMPUTED_VALUE"""),"25080358")</f>
        <v>25080358</v>
      </c>
      <c r="M753" s="3">
        <f>IFERROR(__xludf.DUMMYFUNCTION("""COMPUTED_VALUE"""),2.5080797E7)</f>
        <v>25080797</v>
      </c>
      <c r="N753" s="2"/>
      <c r="O753" s="2" t="str">
        <f>IFERROR(__xludf.DUMMYFUNCTION("""COMPUTED_VALUE"""),"Bagsa")</f>
        <v>Bagsa</v>
      </c>
      <c r="P753" s="2" t="str">
        <f>IFERROR(__xludf.DUMMYFUNCTION("""COMPUTED_VALUE"""),"Oas")</f>
        <v>Oas</v>
      </c>
      <c r="Q753" s="2" t="str">
        <f>IFERROR(__xludf.DUMMYFUNCTION("""COMPUTED_VALUE"""),"Albay")</f>
        <v>Albay</v>
      </c>
      <c r="R753" s="2">
        <f>IFERROR(__xludf.DUMMYFUNCTION("""COMPUTED_VALUE"""),5.0)</f>
        <v>5</v>
      </c>
      <c r="S753" s="2"/>
      <c r="T753" s="2"/>
    </row>
    <row r="754">
      <c r="A754" s="1">
        <f>IFERROR(__xludf.DUMMYFUNCTION("""COMPUTED_VALUE"""),752.0)</f>
        <v>752</v>
      </c>
      <c r="B754" s="2" t="str">
        <f>IFERROR(__xludf.DUMMYFUNCTION("""COMPUTED_VALUE"""),"Brgy. Maramba Integrated Farmers and Fisherfolks Association")</f>
        <v>Brgy. Maramba Integrated Farmers and Fisherfolks Association</v>
      </c>
      <c r="C754" s="2" t="str">
        <f>IFERROR(__xludf.DUMMYFUNCTION("""COMPUTED_VALUE"""),"Maramba, Oas, ALBAY")</f>
        <v>Maramba, Oas, ALBAY</v>
      </c>
      <c r="D754" s="2" t="str">
        <f>IFERROR(__xludf.DUMMYFUNCTION("""COMPUTED_VALUE"""),"Edward R San Jose")</f>
        <v>Edward R San Jose</v>
      </c>
      <c r="E754" s="2" t="str">
        <f>IFERROR(__xludf.DUMMYFUNCTION("""COMPUTED_VALUE"""),"0992 4989 278")</f>
        <v>0992 4989 278</v>
      </c>
      <c r="F754" s="2" t="str">
        <f>IFERROR(__xludf.DUMMYFUNCTION("""COMPUTED_VALUE"""),"RCEF 25-03-05")</f>
        <v>RCEF 25-03-05</v>
      </c>
      <c r="G754" s="2">
        <f>IFERROR(__xludf.DUMMYFUNCTION("""COMPUTED_VALUE"""),6.0)</f>
        <v>6</v>
      </c>
      <c r="H754" s="2" t="str">
        <f>IFERROR(__xludf.DUMMYFUNCTION("""COMPUTED_VALUE"""),"26584 &amp; 27750")</f>
        <v>26584 &amp; 27750</v>
      </c>
      <c r="I754" s="2" t="str">
        <f>IFERROR(__xludf.DUMMYFUNCTION("""COMPUTED_VALUE"""),"KMC5825 AHSFPV0131")</f>
        <v>KMC5825 AHSFPV0131</v>
      </c>
      <c r="J754" s="3" t="str">
        <f>IFERROR(__xludf.DUMMYFUNCTION("""COMPUTED_VALUE"""),"STS100167")</f>
        <v>STS100167</v>
      </c>
      <c r="K754" s="2" t="str">
        <f>IFERROR(__xludf.DUMMYFUNCTION("""COMPUTED_VALUE"""),"WR-SERIES 288")</f>
        <v>WR-SERIES 288</v>
      </c>
      <c r="L754" s="3" t="str">
        <f>IFERROR(__xludf.DUMMYFUNCTION("""COMPUTED_VALUE"""),"25080381")</f>
        <v>25080381</v>
      </c>
      <c r="M754" s="3">
        <f>IFERROR(__xludf.DUMMYFUNCTION("""COMPUTED_VALUE"""),2.5080782E7)</f>
        <v>25080782</v>
      </c>
      <c r="N754" s="2"/>
      <c r="O754" s="2" t="str">
        <f>IFERROR(__xludf.DUMMYFUNCTION("""COMPUTED_VALUE"""),"Maramba")</f>
        <v>Maramba</v>
      </c>
      <c r="P754" s="2" t="str">
        <f>IFERROR(__xludf.DUMMYFUNCTION("""COMPUTED_VALUE"""),"Oas")</f>
        <v>Oas</v>
      </c>
      <c r="Q754" s="2" t="str">
        <f>IFERROR(__xludf.DUMMYFUNCTION("""COMPUTED_VALUE"""),"Albay")</f>
        <v>Albay</v>
      </c>
      <c r="R754" s="2">
        <f>IFERROR(__xludf.DUMMYFUNCTION("""COMPUTED_VALUE"""),5.0)</f>
        <v>5</v>
      </c>
      <c r="S754" s="2"/>
      <c r="T754" s="2"/>
    </row>
    <row r="755">
      <c r="A755" s="1">
        <f>IFERROR(__xludf.DUMMYFUNCTION("""COMPUTED_VALUE"""),753.0)</f>
        <v>753</v>
      </c>
      <c r="B755" s="2" t="str">
        <f>IFERROR(__xludf.DUMMYFUNCTION("""COMPUTED_VALUE"""),"BURUNYOG NA PARAOMANG ORAGON ASSOCIATION")</f>
        <v>BURUNYOG NA PARAOMANG ORAGON ASSOCIATION</v>
      </c>
      <c r="C755" s="2" t="str">
        <f>IFERROR(__xludf.DUMMYFUNCTION("""COMPUTED_VALUE"""),"San Isidro, Oas, ALBAY")</f>
        <v>San Isidro, Oas, ALBAY</v>
      </c>
      <c r="D755" s="2" t="str">
        <f>IFERROR(__xludf.DUMMYFUNCTION("""COMPUTED_VALUE"""),"Lilia M. Regachuelo")</f>
        <v>Lilia M. Regachuelo</v>
      </c>
      <c r="E755" s="2" t="str">
        <f>IFERROR(__xludf.DUMMYFUNCTION("""COMPUTED_VALUE"""),"0939 3372 075")</f>
        <v>0939 3372 075</v>
      </c>
      <c r="F755" s="2" t="str">
        <f>IFERROR(__xludf.DUMMYFUNCTION("""COMPUTED_VALUE"""),"RCEF 25-03-05")</f>
        <v>RCEF 25-03-05</v>
      </c>
      <c r="G755" s="2">
        <f>IFERROR(__xludf.DUMMYFUNCTION("""COMPUTED_VALUE"""),6.0)</f>
        <v>6</v>
      </c>
      <c r="H755" s="2" t="str">
        <f>IFERROR(__xludf.DUMMYFUNCTION("""COMPUTED_VALUE"""),"26585 &amp; 27747")</f>
        <v>26585 &amp; 27747</v>
      </c>
      <c r="I755" s="2" t="str">
        <f>IFERROR(__xludf.DUMMYFUNCTION("""COMPUTED_VALUE"""),"KMC5825 ACSFPV0138")</f>
        <v>KMC5825 ACSFPV0138</v>
      </c>
      <c r="J755" s="3" t="str">
        <f>IFERROR(__xludf.DUMMYFUNCTION("""COMPUTED_VALUE"""),"STS100092")</f>
        <v>STS100092</v>
      </c>
      <c r="K755" s="2" t="str">
        <f>IFERROR(__xludf.DUMMYFUNCTION("""COMPUTED_VALUE"""),"WR-SERIES 277")</f>
        <v>WR-SERIES 277</v>
      </c>
      <c r="L755" s="3" t="str">
        <f>IFERROR(__xludf.DUMMYFUNCTION("""COMPUTED_VALUE"""),"25080377")</f>
        <v>25080377</v>
      </c>
      <c r="M755" s="3">
        <f>IFERROR(__xludf.DUMMYFUNCTION("""COMPUTED_VALUE"""),2.5080788E7)</f>
        <v>25080788</v>
      </c>
      <c r="N755" s="2"/>
      <c r="O755" s="2" t="str">
        <f>IFERROR(__xludf.DUMMYFUNCTION("""COMPUTED_VALUE"""),"San Isidro")</f>
        <v>San Isidro</v>
      </c>
      <c r="P755" s="2" t="str">
        <f>IFERROR(__xludf.DUMMYFUNCTION("""COMPUTED_VALUE"""),"Oas")</f>
        <v>Oas</v>
      </c>
      <c r="Q755" s="2" t="str">
        <f>IFERROR(__xludf.DUMMYFUNCTION("""COMPUTED_VALUE"""),"Albay")</f>
        <v>Albay</v>
      </c>
      <c r="R755" s="2">
        <f>IFERROR(__xludf.DUMMYFUNCTION("""COMPUTED_VALUE"""),5.0)</f>
        <v>5</v>
      </c>
      <c r="S755" s="2"/>
      <c r="T755" s="2"/>
    </row>
    <row r="756">
      <c r="A756" s="1">
        <f>IFERROR(__xludf.DUMMYFUNCTION("""COMPUTED_VALUE"""),754.0)</f>
        <v>754</v>
      </c>
      <c r="B756" s="2" t="str">
        <f>IFERROR(__xludf.DUMMYFUNCTION("""COMPUTED_VALUE"""),"Mayao Farmers Association")</f>
        <v>Mayao Farmers Association</v>
      </c>
      <c r="C756" s="2" t="str">
        <f>IFERROR(__xludf.DUMMYFUNCTION("""COMPUTED_VALUE"""),"Mayao, Oas, ALBAY")</f>
        <v>Mayao, Oas, ALBAY</v>
      </c>
      <c r="D756" s="2" t="str">
        <f>IFERROR(__xludf.DUMMYFUNCTION("""COMPUTED_VALUE"""),"RAFFY R. REBANAL")</f>
        <v>RAFFY R. REBANAL</v>
      </c>
      <c r="E756" s="2" t="str">
        <f>IFERROR(__xludf.DUMMYFUNCTION("""COMPUTED_VALUE"""),"0993 251 4853")</f>
        <v>0993 251 4853</v>
      </c>
      <c r="F756" s="2" t="str">
        <f>IFERROR(__xludf.DUMMYFUNCTION("""COMPUTED_VALUE"""),"RCEF 25-03-05")</f>
        <v>RCEF 25-03-05</v>
      </c>
      <c r="G756" s="2">
        <f>IFERROR(__xludf.DUMMYFUNCTION("""COMPUTED_VALUE"""),6.0)</f>
        <v>6</v>
      </c>
      <c r="H756" s="2" t="str">
        <f>IFERROR(__xludf.DUMMYFUNCTION("""COMPUTED_VALUE"""),"26586 &amp; 27748")</f>
        <v>26586 &amp; 27748</v>
      </c>
      <c r="I756" s="2" t="str">
        <f>IFERROR(__xludf.DUMMYFUNCTION("""COMPUTED_VALUE"""),"KMC5825 ACSFPV0150")</f>
        <v>KMC5825 ACSFPV0150</v>
      </c>
      <c r="J756" s="3" t="str">
        <f>IFERROR(__xludf.DUMMYFUNCTION("""COMPUTED_VALUE"""),"STS100143")</f>
        <v>STS100143</v>
      </c>
      <c r="K756" s="2" t="str">
        <f>IFERROR(__xludf.DUMMYFUNCTION("""COMPUTED_VALUE"""),"WR-SERIES 291")</f>
        <v>WR-SERIES 291</v>
      </c>
      <c r="L756" s="3" t="str">
        <f>IFERROR(__xludf.DUMMYFUNCTION("""COMPUTED_VALUE"""),"25080366")</f>
        <v>25080366</v>
      </c>
      <c r="M756" s="3">
        <f>IFERROR(__xludf.DUMMYFUNCTION("""COMPUTED_VALUE"""),2.5080794E7)</f>
        <v>25080794</v>
      </c>
      <c r="N756" s="2"/>
      <c r="O756" s="2" t="str">
        <f>IFERROR(__xludf.DUMMYFUNCTION("""COMPUTED_VALUE"""),"Mayao")</f>
        <v>Mayao</v>
      </c>
      <c r="P756" s="2" t="str">
        <f>IFERROR(__xludf.DUMMYFUNCTION("""COMPUTED_VALUE"""),"Oas")</f>
        <v>Oas</v>
      </c>
      <c r="Q756" s="2" t="str">
        <f>IFERROR(__xludf.DUMMYFUNCTION("""COMPUTED_VALUE"""),"Albay")</f>
        <v>Albay</v>
      </c>
      <c r="R756" s="2">
        <f>IFERROR(__xludf.DUMMYFUNCTION("""COMPUTED_VALUE"""),5.0)</f>
        <v>5</v>
      </c>
      <c r="S756" s="2"/>
      <c r="T756" s="2"/>
    </row>
    <row r="757">
      <c r="A757" s="1">
        <f>IFERROR(__xludf.DUMMYFUNCTION("""COMPUTED_VALUE"""),755.0)</f>
        <v>755</v>
      </c>
      <c r="B757" s="2" t="str">
        <f>IFERROR(__xludf.DUMMYFUNCTION("""COMPUTED_VALUE"""),"Municipal Local Government Unit of Polangui")</f>
        <v>Municipal Local Government Unit of Polangui</v>
      </c>
      <c r="C757" s="2" t="str">
        <f>IFERROR(__xludf.DUMMYFUNCTION("""COMPUTED_VALUE"""),"Centro Occidental (Pob.), Polangui, ALBAY")</f>
        <v>Centro Occidental (Pob.), Polangui, ALBAY</v>
      </c>
      <c r="D757" s="2" t="str">
        <f>IFERROR(__xludf.DUMMYFUNCTION("""COMPUTED_VALUE"""),"Hon. Raymond Adrian E. Salceda")</f>
        <v>Hon. Raymond Adrian E. Salceda</v>
      </c>
      <c r="E757" s="2" t="str">
        <f>IFERROR(__xludf.DUMMYFUNCTION("""COMPUTED_VALUE"""),"0912 8990 456")</f>
        <v>0912 8990 456</v>
      </c>
      <c r="F757" s="2" t="str">
        <f>IFERROR(__xludf.DUMMYFUNCTION("""COMPUTED_VALUE"""),"RCEF 25-03-05")</f>
        <v>RCEF 25-03-05</v>
      </c>
      <c r="G757" s="2">
        <f>IFERROR(__xludf.DUMMYFUNCTION("""COMPUTED_VALUE"""),6.0)</f>
        <v>6</v>
      </c>
      <c r="H757" s="2" t="str">
        <f>IFERROR(__xludf.DUMMYFUNCTION("""COMPUTED_VALUE"""),"26587 &amp; 27749")</f>
        <v>26587 &amp; 27749</v>
      </c>
      <c r="I757" s="2" t="str">
        <f>IFERROR(__xludf.DUMMYFUNCTION("""COMPUTED_VALUE"""),"KMC5825 APSFPV0152")</f>
        <v>KMC5825 APSFPV0152</v>
      </c>
      <c r="J757" s="3" t="str">
        <f>IFERROR(__xludf.DUMMYFUNCTION("""COMPUTED_VALUE"""),"STS100151")</f>
        <v>STS100151</v>
      </c>
      <c r="K757" s="2" t="str">
        <f>IFERROR(__xludf.DUMMYFUNCTION("""COMPUTED_VALUE"""),"WR-SERIES 296")</f>
        <v>WR-SERIES 296</v>
      </c>
      <c r="L757" s="3" t="str">
        <f>IFERROR(__xludf.DUMMYFUNCTION("""COMPUTED_VALUE"""),"25080357")</f>
        <v>25080357</v>
      </c>
      <c r="M757" s="3">
        <f>IFERROR(__xludf.DUMMYFUNCTION("""COMPUTED_VALUE"""),2.5080792E7)</f>
        <v>25080792</v>
      </c>
      <c r="N757" s="2"/>
      <c r="O757" s="2" t="str">
        <f>IFERROR(__xludf.DUMMYFUNCTION("""COMPUTED_VALUE"""),"Centro Occidental (Pob.)")</f>
        <v>Centro Occidental (Pob.)</v>
      </c>
      <c r="P757" s="2" t="str">
        <f>IFERROR(__xludf.DUMMYFUNCTION("""COMPUTED_VALUE"""),"Polangui")</f>
        <v>Polangui</v>
      </c>
      <c r="Q757" s="2" t="str">
        <f>IFERROR(__xludf.DUMMYFUNCTION("""COMPUTED_VALUE"""),"Albay")</f>
        <v>Albay</v>
      </c>
      <c r="R757" s="2">
        <f>IFERROR(__xludf.DUMMYFUNCTION("""COMPUTED_VALUE"""),5.0)</f>
        <v>5</v>
      </c>
      <c r="S757" s="2"/>
      <c r="T757" s="2"/>
    </row>
    <row r="758">
      <c r="A758" s="1">
        <f>IFERROR(__xludf.DUMMYFUNCTION("""COMPUTED_VALUE"""),756.0)</f>
        <v>756</v>
      </c>
      <c r="B758" s="2" t="str">
        <f>IFERROR(__xludf.DUMMYFUNCTION("""COMPUTED_VALUE"""),"Barangay Ubang Farmers Field School Association")</f>
        <v>Barangay Ubang Farmers Field School Association</v>
      </c>
      <c r="C758" s="2" t="str">
        <f>IFERROR(__xludf.DUMMYFUNCTION("""COMPUTED_VALUE"""),"Ubang, Capalonga, CAMARINES NORTE")</f>
        <v>Ubang, Capalonga, CAMARINES NORTE</v>
      </c>
      <c r="D758" s="2" t="str">
        <f>IFERROR(__xludf.DUMMYFUNCTION("""COMPUTED_VALUE"""),"Godofredo D. Parale")</f>
        <v>Godofredo D. Parale</v>
      </c>
      <c r="E758" s="2" t="str">
        <f>IFERROR(__xludf.DUMMYFUNCTION("""COMPUTED_VALUE"""),"0953 607 5001")</f>
        <v>0953 607 5001</v>
      </c>
      <c r="F758" s="2" t="str">
        <f>IFERROR(__xludf.DUMMYFUNCTION("""COMPUTED_VALUE"""),"RCEF 25-03-05")</f>
        <v>RCEF 25-03-05</v>
      </c>
      <c r="G758" s="2">
        <f>IFERROR(__xludf.DUMMYFUNCTION("""COMPUTED_VALUE"""),6.0)</f>
        <v>6</v>
      </c>
      <c r="H758" s="2" t="str">
        <f>IFERROR(__xludf.DUMMYFUNCTION("""COMPUTED_VALUE"""),"26588 &amp; 27861")</f>
        <v>26588 &amp; 27861</v>
      </c>
      <c r="I758" s="2" t="str">
        <f>IFERROR(__xludf.DUMMYFUNCTION("""COMPUTED_VALUE"""),"KMC5825 AKSFPV0217")</f>
        <v>KMC5825 AKSFPV0217</v>
      </c>
      <c r="J758" s="3" t="str">
        <f>IFERROR(__xludf.DUMMYFUNCTION("""COMPUTED_VALUE"""),"STS100206")</f>
        <v>STS100206</v>
      </c>
      <c r="K758" s="2" t="str">
        <f>IFERROR(__xludf.DUMMYFUNCTION("""COMPUTED_VALUE"""),"WR-SERIES 1464PH")</f>
        <v>WR-SERIES 1464PH</v>
      </c>
      <c r="L758" s="3">
        <f>IFERROR(__xludf.DUMMYFUNCTION("""COMPUTED_VALUE"""),2510849.0)</f>
        <v>2510849</v>
      </c>
      <c r="M758" s="3">
        <f>IFERROR(__xludf.DUMMYFUNCTION("""COMPUTED_VALUE"""),2.5121386E7)</f>
        <v>25121386</v>
      </c>
      <c r="N758" s="2"/>
      <c r="O758" s="2" t="str">
        <f>IFERROR(__xludf.DUMMYFUNCTION("""COMPUTED_VALUE"""),"Ubang")</f>
        <v>Ubang</v>
      </c>
      <c r="P758" s="2" t="str">
        <f>IFERROR(__xludf.DUMMYFUNCTION("""COMPUTED_VALUE"""),"Capalonga")</f>
        <v>Capalonga</v>
      </c>
      <c r="Q758" s="2" t="str">
        <f>IFERROR(__xludf.DUMMYFUNCTION("""COMPUTED_VALUE"""),"Camarines Norte")</f>
        <v>Camarines Norte</v>
      </c>
      <c r="R758" s="2">
        <f>IFERROR(__xludf.DUMMYFUNCTION("""COMPUTED_VALUE"""),5.0)</f>
        <v>5</v>
      </c>
      <c r="S758" s="2"/>
      <c r="T758" s="2"/>
    </row>
    <row r="759">
      <c r="A759" s="1">
        <f>IFERROR(__xludf.DUMMYFUNCTION("""COMPUTED_VALUE"""),757.0)</f>
        <v>757</v>
      </c>
      <c r="B759" s="2" t="str">
        <f>IFERROR(__xludf.DUMMYFUNCTION("""COMPUTED_VALUE"""),"Municipal Local Government Unit of Labo")</f>
        <v>Municipal Local Government Unit of Labo</v>
      </c>
      <c r="C759" s="2" t="str">
        <f>IFERROR(__xludf.DUMMYFUNCTION("""COMPUTED_VALUE"""),"Gumamela (Pob.), Labo, CAMARINES NORTE")</f>
        <v>Gumamela (Pob.), Labo, CAMARINES NORTE</v>
      </c>
      <c r="D759" s="2" t="str">
        <f>IFERROR(__xludf.DUMMYFUNCTION("""COMPUTED_VALUE"""),"Severino H. Francisco")</f>
        <v>Severino H. Francisco</v>
      </c>
      <c r="E759" s="2" t="str">
        <f>IFERROR(__xludf.DUMMYFUNCTION("""COMPUTED_VALUE"""),"0977 230 3294")</f>
        <v>0977 230 3294</v>
      </c>
      <c r="F759" s="2" t="str">
        <f>IFERROR(__xludf.DUMMYFUNCTION("""COMPUTED_VALUE"""),"RCEF 25-03-05")</f>
        <v>RCEF 25-03-05</v>
      </c>
      <c r="G759" s="2">
        <f>IFERROR(__xludf.DUMMYFUNCTION("""COMPUTED_VALUE"""),6.0)</f>
        <v>6</v>
      </c>
      <c r="H759" s="2" t="str">
        <f>IFERROR(__xludf.DUMMYFUNCTION("""COMPUTED_VALUE"""),"26589 &amp; 27862")</f>
        <v>26589 &amp; 27862</v>
      </c>
      <c r="I759" s="2" t="str">
        <f>IFERROR(__xludf.DUMMYFUNCTION("""COMPUTED_VALUE"""),"KMC5825 ALSFPV023")</f>
        <v>KMC5825 ALSFPV023</v>
      </c>
      <c r="J759" s="3" t="str">
        <f>IFERROR(__xludf.DUMMYFUNCTION("""COMPUTED_VALUE"""),"STS100250")</f>
        <v>STS100250</v>
      </c>
      <c r="K759" s="2" t="str">
        <f>IFERROR(__xludf.DUMMYFUNCTION("""COMPUTED_VALUE"""),"WR-SERIES 1465PH")</f>
        <v>WR-SERIES 1465PH</v>
      </c>
      <c r="L759" s="3">
        <f>IFERROR(__xludf.DUMMYFUNCTION("""COMPUTED_VALUE"""),2510786.0)</f>
        <v>2510786</v>
      </c>
      <c r="M759" s="3">
        <f>IFERROR(__xludf.DUMMYFUNCTION("""COMPUTED_VALUE"""),2.5121387E7)</f>
        <v>25121387</v>
      </c>
      <c r="N759" s="2"/>
      <c r="O759" s="2" t="str">
        <f>IFERROR(__xludf.DUMMYFUNCTION("""COMPUTED_VALUE"""),"Gumamela (Pob.)")</f>
        <v>Gumamela (Pob.)</v>
      </c>
      <c r="P759" s="2" t="str">
        <f>IFERROR(__xludf.DUMMYFUNCTION("""COMPUTED_VALUE"""),"Labo")</f>
        <v>Labo</v>
      </c>
      <c r="Q759" s="2" t="str">
        <f>IFERROR(__xludf.DUMMYFUNCTION("""COMPUTED_VALUE"""),"Camarines Norte")</f>
        <v>Camarines Norte</v>
      </c>
      <c r="R759" s="2">
        <f>IFERROR(__xludf.DUMMYFUNCTION("""COMPUTED_VALUE"""),5.0)</f>
        <v>5</v>
      </c>
      <c r="S759" s="2"/>
      <c r="T759" s="2"/>
    </row>
    <row r="760">
      <c r="A760" s="1">
        <f>IFERROR(__xludf.DUMMYFUNCTION("""COMPUTED_VALUE"""),758.0)</f>
        <v>758</v>
      </c>
      <c r="B760" s="2" t="str">
        <f>IFERROR(__xludf.DUMMYFUNCTION("""COMPUTED_VALUE"""),"Camarines Norte Development Cooperative")</f>
        <v>Camarines Norte Development Cooperative</v>
      </c>
      <c r="C760" s="2" t="str">
        <f>IFERROR(__xludf.DUMMYFUNCTION("""COMPUTED_VALUE"""),"Barangay III (Pob.), Daet, CAMARINES NORTE")</f>
        <v>Barangay III (Pob.), Daet, CAMARINES NORTE</v>
      </c>
      <c r="D760" s="2" t="str">
        <f>IFERROR(__xludf.DUMMYFUNCTION("""COMPUTED_VALUE"""),"Antonio M. Raña jr.")</f>
        <v>Antonio M. Raña jr.</v>
      </c>
      <c r="E760" s="2" t="str">
        <f>IFERROR(__xludf.DUMMYFUNCTION("""COMPUTED_VALUE"""),"0951 610 5796")</f>
        <v>0951 610 5796</v>
      </c>
      <c r="F760" s="2" t="str">
        <f>IFERROR(__xludf.DUMMYFUNCTION("""COMPUTED_VALUE"""),"RCEF 25-03-05")</f>
        <v>RCEF 25-03-05</v>
      </c>
      <c r="G760" s="2">
        <f>IFERROR(__xludf.DUMMYFUNCTION("""COMPUTED_VALUE"""),6.0)</f>
        <v>6</v>
      </c>
      <c r="H760" s="2" t="str">
        <f>IFERROR(__xludf.DUMMYFUNCTION("""COMPUTED_VALUE"""),"26590 &amp; 27863")</f>
        <v>26590 &amp; 27863</v>
      </c>
      <c r="I760" s="2" t="str">
        <f>IFERROR(__xludf.DUMMYFUNCTION("""COMPUTED_VALUE"""),"KMC5825 AASFPV0210")</f>
        <v>KMC5825 AASFPV0210</v>
      </c>
      <c r="J760" s="3" t="str">
        <f>IFERROR(__xludf.DUMMYFUNCTION("""COMPUTED_VALUE"""),"STS100178")</f>
        <v>STS100178</v>
      </c>
      <c r="K760" s="2" t="str">
        <f>IFERROR(__xludf.DUMMYFUNCTION("""COMPUTED_VALUE"""),"WR-SERIES 1466PH")</f>
        <v>WR-SERIES 1466PH</v>
      </c>
      <c r="L760" s="3">
        <f>IFERROR(__xludf.DUMMYFUNCTION("""COMPUTED_VALUE"""),2510779.0)</f>
        <v>2510779</v>
      </c>
      <c r="M760" s="3">
        <f>IFERROR(__xludf.DUMMYFUNCTION("""COMPUTED_VALUE"""),2.5121388E7)</f>
        <v>25121388</v>
      </c>
      <c r="N760" s="2"/>
      <c r="O760" s="2" t="str">
        <f>IFERROR(__xludf.DUMMYFUNCTION("""COMPUTED_VALUE"""),"Barangay Iii (Pob.)")</f>
        <v>Barangay Iii (Pob.)</v>
      </c>
      <c r="P760" s="2" t="str">
        <f>IFERROR(__xludf.DUMMYFUNCTION("""COMPUTED_VALUE"""),"Daet")</f>
        <v>Daet</v>
      </c>
      <c r="Q760" s="2" t="str">
        <f>IFERROR(__xludf.DUMMYFUNCTION("""COMPUTED_VALUE"""),"Camarines Norte")</f>
        <v>Camarines Norte</v>
      </c>
      <c r="R760" s="2">
        <f>IFERROR(__xludf.DUMMYFUNCTION("""COMPUTED_VALUE"""),5.0)</f>
        <v>5</v>
      </c>
      <c r="S760" s="2"/>
      <c r="T760" s="2"/>
    </row>
    <row r="761">
      <c r="A761" s="1">
        <f>IFERROR(__xludf.DUMMYFUNCTION("""COMPUTED_VALUE"""),759.0)</f>
        <v>759</v>
      </c>
      <c r="B761" s="2" t="str">
        <f>IFERROR(__xludf.DUMMYFUNCTION("""COMPUTED_VALUE"""),"Provincial Local Government Unit of Camarines Norte")</f>
        <v>Provincial Local Government Unit of Camarines Norte</v>
      </c>
      <c r="C761" s="2" t="str">
        <f>IFERROR(__xludf.DUMMYFUNCTION("""COMPUTED_VALUE"""),"Barangay III (Pob.), Daet, CAMARINES NORTE")</f>
        <v>Barangay III (Pob.), Daet, CAMARINES NORTE</v>
      </c>
      <c r="D761" s="2" t="str">
        <f>IFERROR(__xludf.DUMMYFUNCTION("""COMPUTED_VALUE"""),"Ricarte R. Padilla")</f>
        <v>Ricarte R. Padilla</v>
      </c>
      <c r="E761" s="2" t="str">
        <f>IFERROR(__xludf.DUMMYFUNCTION("""COMPUTED_VALUE"""),"0930 030 8034")</f>
        <v>0930 030 8034</v>
      </c>
      <c r="F761" s="2" t="str">
        <f>IFERROR(__xludf.DUMMYFUNCTION("""COMPUTED_VALUE"""),"RCEF 25-03-05")</f>
        <v>RCEF 25-03-05</v>
      </c>
      <c r="G761" s="2">
        <f>IFERROR(__xludf.DUMMYFUNCTION("""COMPUTED_VALUE"""),6.0)</f>
        <v>6</v>
      </c>
      <c r="H761" s="2" t="str">
        <f>IFERROR(__xludf.DUMMYFUNCTION("""COMPUTED_VALUE"""),"26591 &amp; 27864")</f>
        <v>26591 &amp; 27864</v>
      </c>
      <c r="I761" s="2" t="str">
        <f>IFERROR(__xludf.DUMMYFUNCTION("""COMPUTED_VALUE"""),"KMC5825 APSFPV0328")</f>
        <v>KMC5825 APSFPV0328</v>
      </c>
      <c r="J761" s="3" t="str">
        <f>IFERROR(__xludf.DUMMYFUNCTION("""COMPUTED_VALUE"""),"STS100344")</f>
        <v>STS100344</v>
      </c>
      <c r="K761" s="2" t="str">
        <f>IFERROR(__xludf.DUMMYFUNCTION("""COMPUTED_VALUE"""),"WR-SERIES 1467PH")</f>
        <v>WR-SERIES 1467PH</v>
      </c>
      <c r="L761" s="3">
        <f>IFERROR(__xludf.DUMMYFUNCTION("""COMPUTED_VALUE"""),2510848.0)</f>
        <v>2510848</v>
      </c>
      <c r="M761" s="3">
        <f>IFERROR(__xludf.DUMMYFUNCTION("""COMPUTED_VALUE"""),2.5121389E7)</f>
        <v>25121389</v>
      </c>
      <c r="N761" s="2"/>
      <c r="O761" s="2" t="str">
        <f>IFERROR(__xludf.DUMMYFUNCTION("""COMPUTED_VALUE"""),"Barangay Iii (Pob.)")</f>
        <v>Barangay Iii (Pob.)</v>
      </c>
      <c r="P761" s="2" t="str">
        <f>IFERROR(__xludf.DUMMYFUNCTION("""COMPUTED_VALUE"""),"Daet")</f>
        <v>Daet</v>
      </c>
      <c r="Q761" s="2" t="str">
        <f>IFERROR(__xludf.DUMMYFUNCTION("""COMPUTED_VALUE"""),"Camarines Norte")</f>
        <v>Camarines Norte</v>
      </c>
      <c r="R761" s="2">
        <f>IFERROR(__xludf.DUMMYFUNCTION("""COMPUTED_VALUE"""),5.0)</f>
        <v>5</v>
      </c>
      <c r="S761" s="2"/>
      <c r="T761" s="2"/>
    </row>
    <row r="762">
      <c r="A762" s="1">
        <f>IFERROR(__xludf.DUMMYFUNCTION("""COMPUTED_VALUE"""),760.0)</f>
        <v>760</v>
      </c>
      <c r="B762" s="2" t="str">
        <f>IFERROR(__xludf.DUMMYFUNCTION("""COMPUTED_VALUE"""),"San Fernando SWISA Agriculture Cooperative (SAFSCO)")</f>
        <v>San Fernando SWISA Agriculture Cooperative (SAFSCO)</v>
      </c>
      <c r="C762" s="2" t="str">
        <f>IFERROR(__xludf.DUMMYFUNCTION("""COMPUTED_VALUE"""),"Beberon, San Fernando, CAMARINES SUR")</f>
        <v>Beberon, San Fernando, CAMARINES SUR</v>
      </c>
      <c r="D762" s="2" t="str">
        <f>IFERROR(__xludf.DUMMYFUNCTION("""COMPUTED_VALUE"""),"Maribeth A. Lizardo")</f>
        <v>Maribeth A. Lizardo</v>
      </c>
      <c r="E762" s="2">
        <f>IFERROR(__xludf.DUMMYFUNCTION("""COMPUTED_VALUE"""),9.07095429E9)</f>
        <v>9070954290</v>
      </c>
      <c r="F762" s="2" t="str">
        <f>IFERROR(__xludf.DUMMYFUNCTION("""COMPUTED_VALUE"""),"RCEF 25-03-05")</f>
        <v>RCEF 25-03-05</v>
      </c>
      <c r="G762" s="2">
        <f>IFERROR(__xludf.DUMMYFUNCTION("""COMPUTED_VALUE"""),6.0)</f>
        <v>6</v>
      </c>
      <c r="H762" s="2" t="str">
        <f>IFERROR(__xludf.DUMMYFUNCTION("""COMPUTED_VALUE"""),"26592 &amp; 27865")</f>
        <v>26592 &amp; 27865</v>
      </c>
      <c r="I762" s="2" t="str">
        <f>IFERROR(__xludf.DUMMYFUNCTION("""COMPUTED_VALUE"""),"KMC5825 AHSFPV0176")</f>
        <v>KMC5825 AHSFPV0176</v>
      </c>
      <c r="J762" s="3" t="str">
        <f>IFERROR(__xludf.DUMMYFUNCTION("""COMPUTED_VALUE"""),"STS100190")</f>
        <v>STS100190</v>
      </c>
      <c r="K762" s="2" t="str">
        <f>IFERROR(__xludf.DUMMYFUNCTION("""COMPUTED_VALUE"""),"WR-SERIES 1468PH")</f>
        <v>WR-SERIES 1468PH</v>
      </c>
      <c r="L762" s="3">
        <f>IFERROR(__xludf.DUMMYFUNCTION("""COMPUTED_VALUE"""),2.5120898E7)</f>
        <v>25120898</v>
      </c>
      <c r="M762" s="3">
        <f>IFERROR(__xludf.DUMMYFUNCTION("""COMPUTED_VALUE"""),2.512139E7)</f>
        <v>25121390</v>
      </c>
      <c r="N762" s="2"/>
      <c r="O762" s="2" t="str">
        <f>IFERROR(__xludf.DUMMYFUNCTION("""COMPUTED_VALUE"""),"Beberon")</f>
        <v>Beberon</v>
      </c>
      <c r="P762" s="2" t="str">
        <f>IFERROR(__xludf.DUMMYFUNCTION("""COMPUTED_VALUE"""),"San Fernando")</f>
        <v>San Fernando</v>
      </c>
      <c r="Q762" s="2" t="str">
        <f>IFERROR(__xludf.DUMMYFUNCTION("""COMPUTED_VALUE"""),"Camarines Sur")</f>
        <v>Camarines Sur</v>
      </c>
      <c r="R762" s="2">
        <f>IFERROR(__xludf.DUMMYFUNCTION("""COMPUTED_VALUE"""),5.0)</f>
        <v>5</v>
      </c>
      <c r="S762" s="2"/>
      <c r="T762" s="2"/>
    </row>
    <row r="763">
      <c r="A763" s="1">
        <f>IFERROR(__xludf.DUMMYFUNCTION("""COMPUTED_VALUE"""),761.0)</f>
        <v>761</v>
      </c>
      <c r="B763" s="2" t="str">
        <f>IFERROR(__xludf.DUMMYFUNCTION("""COMPUTED_VALUE"""),"BOMBON IRAYA FARMERS AGRICULTURE COOPERATIVE")</f>
        <v>BOMBON IRAYA FARMERS AGRICULTURE COOPERATIVE</v>
      </c>
      <c r="C763" s="2" t="str">
        <f>IFERROR(__xludf.DUMMYFUNCTION("""COMPUTED_VALUE"""),"San Antonio, Bombon, CAMARINES SUR")</f>
        <v>San Antonio, Bombon, CAMARINES SUR</v>
      </c>
      <c r="D763" s="2" t="str">
        <f>IFERROR(__xludf.DUMMYFUNCTION("""COMPUTED_VALUE"""),"Dante T. Dela Merced")</f>
        <v>Dante T. Dela Merced</v>
      </c>
      <c r="E763" s="2" t="str">
        <f>IFERROR(__xludf.DUMMYFUNCTION("""COMPUTED_VALUE"""),"0994 809 6445")</f>
        <v>0994 809 6445</v>
      </c>
      <c r="F763" s="2" t="str">
        <f>IFERROR(__xludf.DUMMYFUNCTION("""COMPUTED_VALUE"""),"RCEF 25-03-05")</f>
        <v>RCEF 25-03-05</v>
      </c>
      <c r="G763" s="2">
        <f>IFERROR(__xludf.DUMMYFUNCTION("""COMPUTED_VALUE"""),6.0)</f>
        <v>6</v>
      </c>
      <c r="H763" s="2" t="str">
        <f>IFERROR(__xludf.DUMMYFUNCTION("""COMPUTED_VALUE"""),"26593 &amp; 27866")</f>
        <v>26593 &amp; 27866</v>
      </c>
      <c r="I763" s="2" t="str">
        <f>IFERROR(__xludf.DUMMYFUNCTION("""COMPUTED_VALUE"""),"KMC5825 AASFPV0224")</f>
        <v>KMC5825 AASFPV0224</v>
      </c>
      <c r="J763" s="3" t="str">
        <f>IFERROR(__xludf.DUMMYFUNCTION("""COMPUTED_VALUE"""),"STS100184")</f>
        <v>STS100184</v>
      </c>
      <c r="K763" s="2" t="str">
        <f>IFERROR(__xludf.DUMMYFUNCTION("""COMPUTED_VALUE"""),"WR-SERIES 1469PH")</f>
        <v>WR-SERIES 1469PH</v>
      </c>
      <c r="L763" s="3">
        <f>IFERROR(__xludf.DUMMYFUNCTION("""COMPUTED_VALUE"""),2.5120899E7)</f>
        <v>25120899</v>
      </c>
      <c r="M763" s="3">
        <f>IFERROR(__xludf.DUMMYFUNCTION("""COMPUTED_VALUE"""),2.5121391E7)</f>
        <v>25121391</v>
      </c>
      <c r="N763" s="2"/>
      <c r="O763" s="2" t="str">
        <f>IFERROR(__xludf.DUMMYFUNCTION("""COMPUTED_VALUE"""),"San Antonio")</f>
        <v>San Antonio</v>
      </c>
      <c r="P763" s="2" t="str">
        <f>IFERROR(__xludf.DUMMYFUNCTION("""COMPUTED_VALUE"""),"Bombon")</f>
        <v>Bombon</v>
      </c>
      <c r="Q763" s="2" t="str">
        <f>IFERROR(__xludf.DUMMYFUNCTION("""COMPUTED_VALUE"""),"Camarines Sur")</f>
        <v>Camarines Sur</v>
      </c>
      <c r="R763" s="2">
        <f>IFERROR(__xludf.DUMMYFUNCTION("""COMPUTED_VALUE"""),5.0)</f>
        <v>5</v>
      </c>
      <c r="S763" s="2"/>
      <c r="T763" s="2"/>
    </row>
    <row r="764">
      <c r="A764" s="1">
        <f>IFERROR(__xludf.DUMMYFUNCTION("""COMPUTED_VALUE"""),762.0)</f>
        <v>762</v>
      </c>
      <c r="B764" s="2" t="str">
        <f>IFERROR(__xludf.DUMMYFUNCTION("""COMPUTED_VALUE"""),"Magarao Multi-Purpose Cooperative")</f>
        <v>Magarao Multi-Purpose Cooperative</v>
      </c>
      <c r="C764" s="2" t="str">
        <f>IFERROR(__xludf.DUMMYFUNCTION("""COMPUTED_VALUE"""),"San Isidro (Pob.), Magarao, CAMARINES SUR")</f>
        <v>San Isidro (Pob.), Magarao, CAMARINES SUR</v>
      </c>
      <c r="D764" s="2" t="str">
        <f>IFERROR(__xludf.DUMMYFUNCTION("""COMPUTED_VALUE"""),"Gemma Y. Diaz")</f>
        <v>Gemma Y. Diaz</v>
      </c>
      <c r="E764" s="2">
        <f>IFERROR(__xludf.DUMMYFUNCTION("""COMPUTED_VALUE"""),9.630830525E9)</f>
        <v>9630830525</v>
      </c>
      <c r="F764" s="2" t="str">
        <f>IFERROR(__xludf.DUMMYFUNCTION("""COMPUTED_VALUE"""),"RCEF 25-03-05")</f>
        <v>RCEF 25-03-05</v>
      </c>
      <c r="G764" s="2">
        <f>IFERROR(__xludf.DUMMYFUNCTION("""COMPUTED_VALUE"""),6.0)</f>
        <v>6</v>
      </c>
      <c r="H764" s="2" t="str">
        <f>IFERROR(__xludf.DUMMYFUNCTION("""COMPUTED_VALUE"""),"26594 &amp; 27867")</f>
        <v>26594 &amp; 27867</v>
      </c>
      <c r="I764" s="2" t="str">
        <f>IFERROR(__xludf.DUMMYFUNCTION("""COMPUTED_VALUE"""),"KMC5825 APSFPV0202")</f>
        <v>KMC5825 APSFPV0202</v>
      </c>
      <c r="J764" s="3" t="str">
        <f>IFERROR(__xludf.DUMMYFUNCTION("""COMPUTED_VALUE"""),"STS100205")</f>
        <v>STS100205</v>
      </c>
      <c r="K764" s="2" t="str">
        <f>IFERROR(__xludf.DUMMYFUNCTION("""COMPUTED_VALUE"""),"WR-SERIES 1470PH")</f>
        <v>WR-SERIES 1470PH</v>
      </c>
      <c r="L764" s="3">
        <f>IFERROR(__xludf.DUMMYFUNCTION("""COMPUTED_VALUE"""),2.51209E7)</f>
        <v>25120900</v>
      </c>
      <c r="M764" s="3">
        <f>IFERROR(__xludf.DUMMYFUNCTION("""COMPUTED_VALUE"""),2.5121392E7)</f>
        <v>25121392</v>
      </c>
      <c r="N764" s="2"/>
      <c r="O764" s="2" t="str">
        <f>IFERROR(__xludf.DUMMYFUNCTION("""COMPUTED_VALUE"""),"San Isidro (Pob.)")</f>
        <v>San Isidro (Pob.)</v>
      </c>
      <c r="P764" s="2" t="str">
        <f>IFERROR(__xludf.DUMMYFUNCTION("""COMPUTED_VALUE"""),"Magarao")</f>
        <v>Magarao</v>
      </c>
      <c r="Q764" s="2" t="str">
        <f>IFERROR(__xludf.DUMMYFUNCTION("""COMPUTED_VALUE"""),"Camarines Sur")</f>
        <v>Camarines Sur</v>
      </c>
      <c r="R764" s="2">
        <f>IFERROR(__xludf.DUMMYFUNCTION("""COMPUTED_VALUE"""),5.0)</f>
        <v>5</v>
      </c>
      <c r="S764" s="2"/>
      <c r="T764" s="2"/>
    </row>
    <row r="765">
      <c r="A765" s="1">
        <f>IFERROR(__xludf.DUMMYFUNCTION("""COMPUTED_VALUE"""),763.0)</f>
        <v>763</v>
      </c>
      <c r="B765" s="2" t="str">
        <f>IFERROR(__xludf.DUMMYFUNCTION("""COMPUTED_VALUE"""),"City Local Government Unit of Naga")</f>
        <v>City Local Government Unit of Naga</v>
      </c>
      <c r="C765" s="2" t="str">
        <f>IFERROR(__xludf.DUMMYFUNCTION("""COMPUTED_VALUE"""),"Concepcion Pequeña, Naga City, CAMARINES SUR")</f>
        <v>Concepcion Pequeña, Naga City, CAMARINES SUR</v>
      </c>
      <c r="D765" s="2" t="str">
        <f>IFERROR(__xludf.DUMMYFUNCTION("""COMPUTED_VALUE"""),"Hon. Nelson S. Legacion")</f>
        <v>Hon. Nelson S. Legacion</v>
      </c>
      <c r="E765" s="2">
        <f>IFERROR(__xludf.DUMMYFUNCTION("""COMPUTED_VALUE"""),9.214816962E9)</f>
        <v>9214816962</v>
      </c>
      <c r="F765" s="2" t="str">
        <f>IFERROR(__xludf.DUMMYFUNCTION("""COMPUTED_VALUE"""),"RCEF 25-03-05")</f>
        <v>RCEF 25-03-05</v>
      </c>
      <c r="G765" s="2">
        <f>IFERROR(__xludf.DUMMYFUNCTION("""COMPUTED_VALUE"""),6.0)</f>
        <v>6</v>
      </c>
      <c r="H765" s="2" t="str">
        <f>IFERROR(__xludf.DUMMYFUNCTION("""COMPUTED_VALUE"""),"26595 &amp; 27868")</f>
        <v>26595 &amp; 27868</v>
      </c>
      <c r="I765" s="2" t="str">
        <f>IFERROR(__xludf.DUMMYFUNCTION("""COMPUTED_VALUE"""),"KMC5825 ALSFPV0211")</f>
        <v>KMC5825 ALSFPV0211</v>
      </c>
      <c r="J765" s="3" t="str">
        <f>IFERROR(__xludf.DUMMYFUNCTION("""COMPUTED_VALUE"""),"STS100200")</f>
        <v>STS100200</v>
      </c>
      <c r="K765" s="2" t="str">
        <f>IFERROR(__xludf.DUMMYFUNCTION("""COMPUTED_VALUE"""),"WR-SERIES 1471PH")</f>
        <v>WR-SERIES 1471PH</v>
      </c>
      <c r="L765" s="3">
        <f>IFERROR(__xludf.DUMMYFUNCTION("""COMPUTED_VALUE"""),2.5120901E7)</f>
        <v>25120901</v>
      </c>
      <c r="M765" s="3">
        <f>IFERROR(__xludf.DUMMYFUNCTION("""COMPUTED_VALUE"""),2.5121393E7)</f>
        <v>25121393</v>
      </c>
      <c r="N765" s="2"/>
      <c r="O765" s="2" t="str">
        <f>IFERROR(__xludf.DUMMYFUNCTION("""COMPUTED_VALUE"""),"Concepcion Pequeña")</f>
        <v>Concepcion Pequeña</v>
      </c>
      <c r="P765" s="2" t="str">
        <f>IFERROR(__xludf.DUMMYFUNCTION("""COMPUTED_VALUE"""),"Naga City")</f>
        <v>Naga City</v>
      </c>
      <c r="Q765" s="2" t="str">
        <f>IFERROR(__xludf.DUMMYFUNCTION("""COMPUTED_VALUE"""),"Camarines Sur")</f>
        <v>Camarines Sur</v>
      </c>
      <c r="R765" s="2">
        <f>IFERROR(__xludf.DUMMYFUNCTION("""COMPUTED_VALUE"""),5.0)</f>
        <v>5</v>
      </c>
      <c r="S765" s="2"/>
      <c r="T765" s="2"/>
    </row>
    <row r="766">
      <c r="A766" s="1">
        <f>IFERROR(__xludf.DUMMYFUNCTION("""COMPUTED_VALUE"""),764.0)</f>
        <v>764</v>
      </c>
      <c r="B766" s="2" t="str">
        <f>IFERROR(__xludf.DUMMYFUNCTION("""COMPUTED_VALUE"""),"Caanduyog Agriculture Cooperative (CAANDUYOG-ACO)")</f>
        <v>Caanduyog Agriculture Cooperative (CAANDUYOG-ACO)</v>
      </c>
      <c r="C766" s="2" t="str">
        <f>IFERROR(__xludf.DUMMYFUNCTION("""COMPUTED_VALUE"""),"Cagmanaba, Ocampo, CAMARINES SUR")</f>
        <v>Cagmanaba, Ocampo, CAMARINES SUR</v>
      </c>
      <c r="D766" s="2" t="str">
        <f>IFERROR(__xludf.DUMMYFUNCTION("""COMPUTED_VALUE"""),"Victor M. Losabio")</f>
        <v>Victor M. Losabio</v>
      </c>
      <c r="E766" s="2">
        <f>IFERROR(__xludf.DUMMYFUNCTION("""COMPUTED_VALUE"""),9.4774699664E10)</f>
        <v>94774699664</v>
      </c>
      <c r="F766" s="2" t="str">
        <f>IFERROR(__xludf.DUMMYFUNCTION("""COMPUTED_VALUE"""),"RCEF 25-03-05")</f>
        <v>RCEF 25-03-05</v>
      </c>
      <c r="G766" s="2">
        <f>IFERROR(__xludf.DUMMYFUNCTION("""COMPUTED_VALUE"""),6.0)</f>
        <v>6</v>
      </c>
      <c r="H766" s="2" t="str">
        <f>IFERROR(__xludf.DUMMYFUNCTION("""COMPUTED_VALUE"""),"26596 &amp; 27869")</f>
        <v>26596 &amp; 27869</v>
      </c>
      <c r="I766" s="2" t="str">
        <f>IFERROR(__xludf.DUMMYFUNCTION("""COMPUTED_VALUE"""),"KMC5825 AKSFPV0296")</f>
        <v>KMC5825 AKSFPV0296</v>
      </c>
      <c r="J766" s="3" t="str">
        <f>IFERROR(__xludf.DUMMYFUNCTION("""COMPUTED_VALUE"""),"STS100282")</f>
        <v>STS100282</v>
      </c>
      <c r="K766" s="2" t="str">
        <f>IFERROR(__xludf.DUMMYFUNCTION("""COMPUTED_VALUE"""),"WR-SERIES 1472PH")</f>
        <v>WR-SERIES 1472PH</v>
      </c>
      <c r="L766" s="3">
        <f>IFERROR(__xludf.DUMMYFUNCTION("""COMPUTED_VALUE"""),2.5120902E7)</f>
        <v>25120902</v>
      </c>
      <c r="M766" s="3">
        <f>IFERROR(__xludf.DUMMYFUNCTION("""COMPUTED_VALUE"""),2.5121394E7)</f>
        <v>25121394</v>
      </c>
      <c r="N766" s="2"/>
      <c r="O766" s="2" t="str">
        <f>IFERROR(__xludf.DUMMYFUNCTION("""COMPUTED_VALUE"""),"Cagmanaba")</f>
        <v>Cagmanaba</v>
      </c>
      <c r="P766" s="2" t="str">
        <f>IFERROR(__xludf.DUMMYFUNCTION("""COMPUTED_VALUE"""),"Ocampo")</f>
        <v>Ocampo</v>
      </c>
      <c r="Q766" s="2" t="str">
        <f>IFERROR(__xludf.DUMMYFUNCTION("""COMPUTED_VALUE"""),"Camarines Sur")</f>
        <v>Camarines Sur</v>
      </c>
      <c r="R766" s="2">
        <f>IFERROR(__xludf.DUMMYFUNCTION("""COMPUTED_VALUE"""),5.0)</f>
        <v>5</v>
      </c>
      <c r="S766" s="2"/>
      <c r="T766" s="2"/>
    </row>
    <row r="767">
      <c r="A767" s="1">
        <f>IFERROR(__xludf.DUMMYFUNCTION("""COMPUTED_VALUE"""),765.0)</f>
        <v>765</v>
      </c>
      <c r="B767" s="2" t="str">
        <f>IFERROR(__xludf.DUMMYFUNCTION("""COMPUTED_VALUE"""),"CAGMANABA AGRARIAN REFORM FARMER-BENEFICIARIES ASS. (CARFBA)")</f>
        <v>CAGMANABA AGRARIAN REFORM FARMER-BENEFICIARIES ASS. (CARFBA)</v>
      </c>
      <c r="C767" s="2" t="str">
        <f>IFERROR(__xludf.DUMMYFUNCTION("""COMPUTED_VALUE"""),"Cagmanaba, Ocampo, CAMARINES SUR")</f>
        <v>Cagmanaba, Ocampo, CAMARINES SUR</v>
      </c>
      <c r="D767" s="2" t="str">
        <f>IFERROR(__xludf.DUMMYFUNCTION("""COMPUTED_VALUE"""),"Michael Bicaldo")</f>
        <v>Michael Bicaldo</v>
      </c>
      <c r="E767" s="2">
        <f>IFERROR(__xludf.DUMMYFUNCTION("""COMPUTED_VALUE"""),9.704805118E9)</f>
        <v>9704805118</v>
      </c>
      <c r="F767" s="2" t="str">
        <f>IFERROR(__xludf.DUMMYFUNCTION("""COMPUTED_VALUE"""),"RCEF 25-03-05")</f>
        <v>RCEF 25-03-05</v>
      </c>
      <c r="G767" s="2">
        <f>IFERROR(__xludf.DUMMYFUNCTION("""COMPUTED_VALUE"""),6.0)</f>
        <v>6</v>
      </c>
      <c r="H767" s="2" t="str">
        <f>IFERROR(__xludf.DUMMYFUNCTION("""COMPUTED_VALUE"""),"26597 &amp; 27870")</f>
        <v>26597 &amp; 27870</v>
      </c>
      <c r="I767" s="2" t="str">
        <f>IFERROR(__xludf.DUMMYFUNCTION("""COMPUTED_VALUE"""),"KMC5825 AJSFPV0218")</f>
        <v>KMC5825 AJSFPV0218</v>
      </c>
      <c r="J767" s="3" t="str">
        <f>IFERROR(__xludf.DUMMYFUNCTION("""COMPUTED_VALUE"""),"STS100211")</f>
        <v>STS100211</v>
      </c>
      <c r="K767" s="2" t="str">
        <f>IFERROR(__xludf.DUMMYFUNCTION("""COMPUTED_VALUE"""),"WR-SERIES 1473PH")</f>
        <v>WR-SERIES 1473PH</v>
      </c>
      <c r="L767" s="3">
        <f>IFERROR(__xludf.DUMMYFUNCTION("""COMPUTED_VALUE"""),2.5120903E7)</f>
        <v>25120903</v>
      </c>
      <c r="M767" s="3">
        <f>IFERROR(__xludf.DUMMYFUNCTION("""COMPUTED_VALUE"""),2.5121395E7)</f>
        <v>25121395</v>
      </c>
      <c r="N767" s="2"/>
      <c r="O767" s="2" t="str">
        <f>IFERROR(__xludf.DUMMYFUNCTION("""COMPUTED_VALUE"""),"Cagmanaba")</f>
        <v>Cagmanaba</v>
      </c>
      <c r="P767" s="2" t="str">
        <f>IFERROR(__xludf.DUMMYFUNCTION("""COMPUTED_VALUE"""),"Ocampo")</f>
        <v>Ocampo</v>
      </c>
      <c r="Q767" s="2" t="str">
        <f>IFERROR(__xludf.DUMMYFUNCTION("""COMPUTED_VALUE"""),"Camarines Sur")</f>
        <v>Camarines Sur</v>
      </c>
      <c r="R767" s="2">
        <f>IFERROR(__xludf.DUMMYFUNCTION("""COMPUTED_VALUE"""),5.0)</f>
        <v>5</v>
      </c>
      <c r="S767" s="2"/>
      <c r="T767" s="2"/>
    </row>
    <row r="768">
      <c r="A768" s="1">
        <f>IFERROR(__xludf.DUMMYFUNCTION("""COMPUTED_VALUE"""),766.0)</f>
        <v>766</v>
      </c>
      <c r="B768" s="2" t="str">
        <f>IFERROR(__xludf.DUMMYFUNCTION("""COMPUTED_VALUE"""),"HANAWAN FARMERS ASSOCIATION (HANFA)")</f>
        <v>HANAWAN FARMERS ASSOCIATION (HANFA)</v>
      </c>
      <c r="C768" s="2" t="str">
        <f>IFERROR(__xludf.DUMMYFUNCTION("""COMPUTED_VALUE"""),"Hanawan, Ocampo, CAMARINES SUR")</f>
        <v>Hanawan, Ocampo, CAMARINES SUR</v>
      </c>
      <c r="D768" s="2" t="str">
        <f>IFERROR(__xludf.DUMMYFUNCTION("""COMPUTED_VALUE"""),"Ivy C. Fabricante")</f>
        <v>Ivy C. Fabricante</v>
      </c>
      <c r="E768" s="2" t="str">
        <f>IFERROR(__xludf.DUMMYFUNCTION("""COMPUTED_VALUE"""),"0938 615 9507")</f>
        <v>0938 615 9507</v>
      </c>
      <c r="F768" s="2" t="str">
        <f>IFERROR(__xludf.DUMMYFUNCTION("""COMPUTED_VALUE"""),"RCEF 25-03-05")</f>
        <v>RCEF 25-03-05</v>
      </c>
      <c r="G768" s="2">
        <f>IFERROR(__xludf.DUMMYFUNCTION("""COMPUTED_VALUE"""),6.0)</f>
        <v>6</v>
      </c>
      <c r="H768" s="2" t="str">
        <f>IFERROR(__xludf.DUMMYFUNCTION("""COMPUTED_VALUE"""),"26598 &amp; 27871")</f>
        <v>26598 &amp; 27871</v>
      </c>
      <c r="I768" s="2" t="str">
        <f>IFERROR(__xludf.DUMMYFUNCTION("""COMPUTED_VALUE"""),"KMC5825 AKSFPV0195")</f>
        <v>KMC5825 AKSFPV0195</v>
      </c>
      <c r="J768" s="3" t="str">
        <f>IFERROR(__xludf.DUMMYFUNCTION("""COMPUTED_VALUE"""),"STS100202")</f>
        <v>STS100202</v>
      </c>
      <c r="K768" s="2" t="str">
        <f>IFERROR(__xludf.DUMMYFUNCTION("""COMPUTED_VALUE"""),"WR-SERIES 1474PH")</f>
        <v>WR-SERIES 1474PH</v>
      </c>
      <c r="L768" s="3">
        <f>IFERROR(__xludf.DUMMYFUNCTION("""COMPUTED_VALUE"""),2.5120904E7)</f>
        <v>25120904</v>
      </c>
      <c r="M768" s="3">
        <f>IFERROR(__xludf.DUMMYFUNCTION("""COMPUTED_VALUE"""),2.5121396E7)</f>
        <v>25121396</v>
      </c>
      <c r="N768" s="2"/>
      <c r="O768" s="2" t="str">
        <f>IFERROR(__xludf.DUMMYFUNCTION("""COMPUTED_VALUE"""),"Hanawan")</f>
        <v>Hanawan</v>
      </c>
      <c r="P768" s="2" t="str">
        <f>IFERROR(__xludf.DUMMYFUNCTION("""COMPUTED_VALUE"""),"Ocampo")</f>
        <v>Ocampo</v>
      </c>
      <c r="Q768" s="2" t="str">
        <f>IFERROR(__xludf.DUMMYFUNCTION("""COMPUTED_VALUE"""),"Camarines Sur")</f>
        <v>Camarines Sur</v>
      </c>
      <c r="R768" s="2">
        <f>IFERROR(__xludf.DUMMYFUNCTION("""COMPUTED_VALUE"""),5.0)</f>
        <v>5</v>
      </c>
      <c r="S768" s="2"/>
      <c r="T768" s="2"/>
    </row>
    <row r="769">
      <c r="A769" s="1">
        <f>IFERROR(__xludf.DUMMYFUNCTION("""COMPUTED_VALUE"""),767.0)</f>
        <v>767</v>
      </c>
      <c r="B769" s="2" t="str">
        <f>IFERROR(__xludf.DUMMYFUNCTION("""COMPUTED_VALUE"""),"CALANGATNAN SEED GROWERS ASSOCIATION, INC.")</f>
        <v>CALANGATNAN SEED GROWERS ASSOCIATION, INC.</v>
      </c>
      <c r="C769" s="2" t="str">
        <f>IFERROR(__xludf.DUMMYFUNCTION("""COMPUTED_VALUE"""),"San Agustin, Pili, CAMARINES SUR")</f>
        <v>San Agustin, Pili, CAMARINES SUR</v>
      </c>
      <c r="D769" s="2" t="str">
        <f>IFERROR(__xludf.DUMMYFUNCTION("""COMPUTED_VALUE"""),"Lorenzo B. Deris")</f>
        <v>Lorenzo B. Deris</v>
      </c>
      <c r="E769" s="2">
        <f>IFERROR(__xludf.DUMMYFUNCTION("""COMPUTED_VALUE"""),9.202922261E9)</f>
        <v>9202922261</v>
      </c>
      <c r="F769" s="2" t="str">
        <f>IFERROR(__xludf.DUMMYFUNCTION("""COMPUTED_VALUE"""),"RCEF 25-03-05")</f>
        <v>RCEF 25-03-05</v>
      </c>
      <c r="G769" s="2">
        <f>IFERROR(__xludf.DUMMYFUNCTION("""COMPUTED_VALUE"""),6.0)</f>
        <v>6</v>
      </c>
      <c r="H769" s="2" t="str">
        <f>IFERROR(__xludf.DUMMYFUNCTION("""COMPUTED_VALUE"""),"26599 &amp; 27872")</f>
        <v>26599 &amp; 27872</v>
      </c>
      <c r="I769" s="2" t="str">
        <f>IFERROR(__xludf.DUMMYFUNCTION("""COMPUTED_VALUE"""),"KMC5825 ATSFPV0246")</f>
        <v>KMC5825 ATSFPV0246</v>
      </c>
      <c r="J769" s="3" t="str">
        <f>IFERROR(__xludf.DUMMYFUNCTION("""COMPUTED_VALUE"""),"STS100248")</f>
        <v>STS100248</v>
      </c>
      <c r="K769" s="2" t="str">
        <f>IFERROR(__xludf.DUMMYFUNCTION("""COMPUTED_VALUE"""),"WR-SERIES 1475PH")</f>
        <v>WR-SERIES 1475PH</v>
      </c>
      <c r="L769" s="3">
        <f>IFERROR(__xludf.DUMMYFUNCTION("""COMPUTED_VALUE"""),2.5120905E7)</f>
        <v>25120905</v>
      </c>
      <c r="M769" s="3">
        <f>IFERROR(__xludf.DUMMYFUNCTION("""COMPUTED_VALUE"""),2.5121397E7)</f>
        <v>25121397</v>
      </c>
      <c r="N769" s="2"/>
      <c r="O769" s="2" t="str">
        <f>IFERROR(__xludf.DUMMYFUNCTION("""COMPUTED_VALUE"""),"San Agustin")</f>
        <v>San Agustin</v>
      </c>
      <c r="P769" s="2" t="str">
        <f>IFERROR(__xludf.DUMMYFUNCTION("""COMPUTED_VALUE"""),"Pili")</f>
        <v>Pili</v>
      </c>
      <c r="Q769" s="2" t="str">
        <f>IFERROR(__xludf.DUMMYFUNCTION("""COMPUTED_VALUE"""),"Camarines Sur")</f>
        <v>Camarines Sur</v>
      </c>
      <c r="R769" s="2">
        <f>IFERROR(__xludf.DUMMYFUNCTION("""COMPUTED_VALUE"""),5.0)</f>
        <v>5</v>
      </c>
      <c r="S769" s="2"/>
      <c r="T769" s="2"/>
    </row>
    <row r="770">
      <c r="A770" s="1">
        <f>IFERROR(__xludf.DUMMYFUNCTION("""COMPUTED_VALUE"""),768.0)</f>
        <v>768</v>
      </c>
      <c r="B770" s="2" t="str">
        <f>IFERROR(__xludf.DUMMYFUNCTION("""COMPUTED_VALUE"""),"CSAC 77 Agriculture Cooperative")</f>
        <v>CSAC 77 Agriculture Cooperative</v>
      </c>
      <c r="C770" s="2" t="str">
        <f>IFERROR(__xludf.DUMMYFUNCTION("""COMPUTED_VALUE"""),"Tagbong, Pili, CAMARINES SUR")</f>
        <v>Tagbong, Pili, CAMARINES SUR</v>
      </c>
      <c r="D770" s="2" t="str">
        <f>IFERROR(__xludf.DUMMYFUNCTION("""COMPUTED_VALUE"""),"Antonio B. Valenzuela")</f>
        <v>Antonio B. Valenzuela</v>
      </c>
      <c r="E770" s="2">
        <f>IFERROR(__xludf.DUMMYFUNCTION("""COMPUTED_VALUE"""),9.514156425E9)</f>
        <v>9514156425</v>
      </c>
      <c r="F770" s="2" t="str">
        <f>IFERROR(__xludf.DUMMYFUNCTION("""COMPUTED_VALUE"""),"RCEF 25-03-05")</f>
        <v>RCEF 25-03-05</v>
      </c>
      <c r="G770" s="2">
        <f>IFERROR(__xludf.DUMMYFUNCTION("""COMPUTED_VALUE"""),6.0)</f>
        <v>6</v>
      </c>
      <c r="H770" s="2" t="str">
        <f>IFERROR(__xludf.DUMMYFUNCTION("""COMPUTED_VALUE"""),"26600 &amp; 27873")</f>
        <v>26600 &amp; 27873</v>
      </c>
      <c r="I770" s="2" t="str">
        <f>IFERROR(__xludf.DUMMYFUNCTION("""COMPUTED_VALUE"""),"KMC5825 AKSFPV0265")</f>
        <v>KMC5825 AKSFPV0265</v>
      </c>
      <c r="J770" s="3" t="str">
        <f>IFERROR(__xludf.DUMMYFUNCTION("""COMPUTED_VALUE"""),"STS100287")</f>
        <v>STS100287</v>
      </c>
      <c r="K770" s="2" t="str">
        <f>IFERROR(__xludf.DUMMYFUNCTION("""COMPUTED_VALUE"""),"WR-SERIES 1476PH")</f>
        <v>WR-SERIES 1476PH</v>
      </c>
      <c r="L770" s="3">
        <f>IFERROR(__xludf.DUMMYFUNCTION("""COMPUTED_VALUE"""),2.5120906E7)</f>
        <v>25120906</v>
      </c>
      <c r="M770" s="3">
        <f>IFERROR(__xludf.DUMMYFUNCTION("""COMPUTED_VALUE"""),2.5121398E7)</f>
        <v>25121398</v>
      </c>
      <c r="N770" s="2"/>
      <c r="O770" s="2" t="str">
        <f>IFERROR(__xludf.DUMMYFUNCTION("""COMPUTED_VALUE"""),"Tagbong")</f>
        <v>Tagbong</v>
      </c>
      <c r="P770" s="2" t="str">
        <f>IFERROR(__xludf.DUMMYFUNCTION("""COMPUTED_VALUE"""),"Pili")</f>
        <v>Pili</v>
      </c>
      <c r="Q770" s="2" t="str">
        <f>IFERROR(__xludf.DUMMYFUNCTION("""COMPUTED_VALUE"""),"Camarines Sur")</f>
        <v>Camarines Sur</v>
      </c>
      <c r="R770" s="2">
        <f>IFERROR(__xludf.DUMMYFUNCTION("""COMPUTED_VALUE"""),5.0)</f>
        <v>5</v>
      </c>
      <c r="S770" s="2"/>
      <c r="T770" s="2"/>
    </row>
    <row r="771">
      <c r="A771" s="1">
        <f>IFERROR(__xludf.DUMMYFUNCTION("""COMPUTED_VALUE"""),769.0)</f>
        <v>769</v>
      </c>
      <c r="B771" s="2" t="str">
        <f>IFERROR(__xludf.DUMMYFUNCTION("""COMPUTED_VALUE"""),"Provincial Local Government Unit of Camarines Sur")</f>
        <v>Provincial Local Government Unit of Camarines Sur</v>
      </c>
      <c r="C771" s="2" t="str">
        <f>IFERROR(__xludf.DUMMYFUNCTION("""COMPUTED_VALUE"""),"Cadlan, Pili, CAMARINES SUR")</f>
        <v>Cadlan, Pili, CAMARINES SUR</v>
      </c>
      <c r="D771" s="2" t="str">
        <f>IFERROR(__xludf.DUMMYFUNCTION("""COMPUTED_VALUE"""),"Hon. Vincenzo Renato Luigi R. Villafuerte")</f>
        <v>Hon. Vincenzo Renato Luigi R. Villafuerte</v>
      </c>
      <c r="E771" s="2">
        <f>IFERROR(__xludf.DUMMYFUNCTION("""COMPUTED_VALUE"""),9.188886152E9)</f>
        <v>9188886152</v>
      </c>
      <c r="F771" s="2" t="str">
        <f>IFERROR(__xludf.DUMMYFUNCTION("""COMPUTED_VALUE"""),"RCEF 25-03-05")</f>
        <v>RCEF 25-03-05</v>
      </c>
      <c r="G771" s="2">
        <f>IFERROR(__xludf.DUMMYFUNCTION("""COMPUTED_VALUE"""),6.0)</f>
        <v>6</v>
      </c>
      <c r="H771" s="2" t="str">
        <f>IFERROR(__xludf.DUMMYFUNCTION("""COMPUTED_VALUE"""),"26601 &amp; 27751")</f>
        <v>26601 &amp; 27751</v>
      </c>
      <c r="I771" s="2" t="str">
        <f>IFERROR(__xludf.DUMMYFUNCTION("""COMPUTED_VALUE"""),"KMC5825 ACRFPV0912")</f>
        <v>KMC5825 ACRFPV0912</v>
      </c>
      <c r="J771" s="3" t="str">
        <f>IFERROR(__xludf.DUMMYFUNCTION("""COMPUTED_VALUE"""),"RTS100823")</f>
        <v>RTS100823</v>
      </c>
      <c r="K771" s="2" t="str">
        <f>IFERROR(__xludf.DUMMYFUNCTION("""COMPUTED_VALUE"""),"WR-SERIES 1321")</f>
        <v>WR-SERIES 1321</v>
      </c>
      <c r="L771" s="3" t="str">
        <f>IFERROR(__xludf.DUMMYFUNCTION("""COMPUTED_VALUE"""),"25040062")</f>
        <v>25040062</v>
      </c>
      <c r="M771" s="3">
        <f>IFERROR(__xludf.DUMMYFUNCTION("""COMPUTED_VALUE"""),2.5020333E7)</f>
        <v>25020333</v>
      </c>
      <c r="N771" s="2"/>
      <c r="O771" s="2" t="str">
        <f>IFERROR(__xludf.DUMMYFUNCTION("""COMPUTED_VALUE"""),"Cadlan")</f>
        <v>Cadlan</v>
      </c>
      <c r="P771" s="2" t="str">
        <f>IFERROR(__xludf.DUMMYFUNCTION("""COMPUTED_VALUE"""),"Pili")</f>
        <v>Pili</v>
      </c>
      <c r="Q771" s="2" t="str">
        <f>IFERROR(__xludf.DUMMYFUNCTION("""COMPUTED_VALUE"""),"Camarines Sur")</f>
        <v>Camarines Sur</v>
      </c>
      <c r="R771" s="2">
        <f>IFERROR(__xludf.DUMMYFUNCTION("""COMPUTED_VALUE"""),5.0)</f>
        <v>5</v>
      </c>
      <c r="S771" s="2"/>
      <c r="T771" s="2"/>
    </row>
    <row r="772">
      <c r="A772" s="1">
        <f>IFERROR(__xludf.DUMMYFUNCTION("""COMPUTED_VALUE"""),770.0)</f>
        <v>770</v>
      </c>
      <c r="B772" s="2" t="str">
        <f>IFERROR(__xludf.DUMMYFUNCTION("""COMPUTED_VALUE"""),"Provincial Local Government Unit of Camarines Sur")</f>
        <v>Provincial Local Government Unit of Camarines Sur</v>
      </c>
      <c r="C772" s="2" t="str">
        <f>IFERROR(__xludf.DUMMYFUNCTION("""COMPUTED_VALUE"""),"Cadlan, Pili, CAMARINES SUR")</f>
        <v>Cadlan, Pili, CAMARINES SUR</v>
      </c>
      <c r="D772" s="2" t="str">
        <f>IFERROR(__xludf.DUMMYFUNCTION("""COMPUTED_VALUE"""),"Hon. Vincenzo Renato Luigi R. Villafuerte")</f>
        <v>Hon. Vincenzo Renato Luigi R. Villafuerte</v>
      </c>
      <c r="E772" s="2">
        <f>IFERROR(__xludf.DUMMYFUNCTION("""COMPUTED_VALUE"""),9.188886152E9)</f>
        <v>9188886152</v>
      </c>
      <c r="F772" s="2" t="str">
        <f>IFERROR(__xludf.DUMMYFUNCTION("""COMPUTED_VALUE"""),"RCEF 25-03-05")</f>
        <v>RCEF 25-03-05</v>
      </c>
      <c r="G772" s="2">
        <f>IFERROR(__xludf.DUMMYFUNCTION("""COMPUTED_VALUE"""),6.0)</f>
        <v>6</v>
      </c>
      <c r="H772" s="2" t="str">
        <f>IFERROR(__xludf.DUMMYFUNCTION("""COMPUTED_VALUE"""),"26601 &amp; 27751")</f>
        <v>26601 &amp; 27751</v>
      </c>
      <c r="I772" s="2" t="str">
        <f>IFERROR(__xludf.DUMMYFUNCTION("""COMPUTED_VALUE"""),"KMC5825 ACRFPV0912")</f>
        <v>KMC5825 ACRFPV0912</v>
      </c>
      <c r="J772" s="3" t="str">
        <f>IFERROR(__xludf.DUMMYFUNCTION("""COMPUTED_VALUE"""),"RTS100823")</f>
        <v>RTS100823</v>
      </c>
      <c r="K772" s="2" t="str">
        <f>IFERROR(__xludf.DUMMYFUNCTION("""COMPUTED_VALUE"""),"WR-SERIES 1321")</f>
        <v>WR-SERIES 1321</v>
      </c>
      <c r="L772" s="3" t="str">
        <f>IFERROR(__xludf.DUMMYFUNCTION("""COMPUTED_VALUE"""),"25040062")</f>
        <v>25040062</v>
      </c>
      <c r="M772" s="3">
        <f>IFERROR(__xludf.DUMMYFUNCTION("""COMPUTED_VALUE"""),2.5020333E7)</f>
        <v>25020333</v>
      </c>
      <c r="N772" s="2"/>
      <c r="O772" s="2" t="str">
        <f>IFERROR(__xludf.DUMMYFUNCTION("""COMPUTED_VALUE"""),"Cadlan")</f>
        <v>Cadlan</v>
      </c>
      <c r="P772" s="2" t="str">
        <f>IFERROR(__xludf.DUMMYFUNCTION("""COMPUTED_VALUE"""),"Pili")</f>
        <v>Pili</v>
      </c>
      <c r="Q772" s="2" t="str">
        <f>IFERROR(__xludf.DUMMYFUNCTION("""COMPUTED_VALUE"""),"Camarines Sur")</f>
        <v>Camarines Sur</v>
      </c>
      <c r="R772" s="2">
        <f>IFERROR(__xludf.DUMMYFUNCTION("""COMPUTED_VALUE"""),5.0)</f>
        <v>5</v>
      </c>
      <c r="S772" s="2"/>
      <c r="T772" s="2"/>
    </row>
    <row r="773">
      <c r="A773" s="1">
        <f>IFERROR(__xludf.DUMMYFUNCTION("""COMPUTED_VALUE"""),771.0)</f>
        <v>771</v>
      </c>
      <c r="B773" s="2" t="str">
        <f>IFERROR(__xludf.DUMMYFUNCTION("""COMPUTED_VALUE"""),"SAN ISIDRO LABRADOR FARMERS ASSOCIATION (SILFA)")</f>
        <v>SAN ISIDRO LABRADOR FARMERS ASSOCIATION (SILFA)</v>
      </c>
      <c r="C773" s="2" t="str">
        <f>IFERROR(__xludf.DUMMYFUNCTION("""COMPUTED_VALUE"""),"Caraycayon, Tigaon, CAMARINES SUR")</f>
        <v>Caraycayon, Tigaon, CAMARINES SUR</v>
      </c>
      <c r="D773" s="2" t="str">
        <f>IFERROR(__xludf.DUMMYFUNCTION("""COMPUTED_VALUE"""),"ALEXANDER S. MABANA")</f>
        <v>ALEXANDER S. MABANA</v>
      </c>
      <c r="E773" s="2">
        <f>IFERROR(__xludf.DUMMYFUNCTION("""COMPUTED_VALUE"""),9.91873285E9)</f>
        <v>9918732850</v>
      </c>
      <c r="F773" s="2" t="str">
        <f>IFERROR(__xludf.DUMMYFUNCTION("""COMPUTED_VALUE"""),"RCEF 25-03-05")</f>
        <v>RCEF 25-03-05</v>
      </c>
      <c r="G773" s="2">
        <f>IFERROR(__xludf.DUMMYFUNCTION("""COMPUTED_VALUE"""),6.0)</f>
        <v>6</v>
      </c>
      <c r="H773" s="2" t="str">
        <f>IFERROR(__xludf.DUMMYFUNCTION("""COMPUTED_VALUE"""),"26603 &amp; 27874")</f>
        <v>26603 &amp; 27874</v>
      </c>
      <c r="I773" s="2" t="str">
        <f>IFERROR(__xludf.DUMMYFUNCTION("""COMPUTED_VALUE"""),"KMC5825 ACSFPV0236")</f>
        <v>KMC5825 ACSFPV0236</v>
      </c>
      <c r="J773" s="3" t="str">
        <f>IFERROR(__xludf.DUMMYFUNCTION("""COMPUTED_VALUE"""),"STS100252")</f>
        <v>STS100252</v>
      </c>
      <c r="K773" s="2" t="str">
        <f>IFERROR(__xludf.DUMMYFUNCTION("""COMPUTED_VALUE"""),"WR-SERIES 1477PH")</f>
        <v>WR-SERIES 1477PH</v>
      </c>
      <c r="L773" s="3">
        <f>IFERROR(__xludf.DUMMYFUNCTION("""COMPUTED_VALUE"""),2.5120907E7)</f>
        <v>25120907</v>
      </c>
      <c r="M773" s="3">
        <f>IFERROR(__xludf.DUMMYFUNCTION("""COMPUTED_VALUE"""),2.5121399E7)</f>
        <v>25121399</v>
      </c>
      <c r="N773" s="2"/>
      <c r="O773" s="2" t="str">
        <f>IFERROR(__xludf.DUMMYFUNCTION("""COMPUTED_VALUE"""),"Caraycayon")</f>
        <v>Caraycayon</v>
      </c>
      <c r="P773" s="2" t="str">
        <f>IFERROR(__xludf.DUMMYFUNCTION("""COMPUTED_VALUE"""),"Tigaon")</f>
        <v>Tigaon</v>
      </c>
      <c r="Q773" s="2" t="str">
        <f>IFERROR(__xludf.DUMMYFUNCTION("""COMPUTED_VALUE"""),"Camarines Sur")</f>
        <v>Camarines Sur</v>
      </c>
      <c r="R773" s="2">
        <f>IFERROR(__xludf.DUMMYFUNCTION("""COMPUTED_VALUE"""),5.0)</f>
        <v>5</v>
      </c>
      <c r="S773" s="2"/>
      <c r="T773" s="2"/>
    </row>
    <row r="774">
      <c r="A774" s="1">
        <f>IFERROR(__xludf.DUMMYFUNCTION("""COMPUTED_VALUE"""),772.0)</f>
        <v>772</v>
      </c>
      <c r="B774" s="2" t="str">
        <f>IFERROR(__xludf.DUMMYFUNCTION("""COMPUTED_VALUE"""),"San Antonio Farmers Irrigators Multi-Purpose Cooperative")</f>
        <v>San Antonio Farmers Irrigators Multi-Purpose Cooperative</v>
      </c>
      <c r="C774" s="2" t="str">
        <f>IFERROR(__xludf.DUMMYFUNCTION("""COMPUTED_VALUE"""),"San Antonio, Buhi, CAMARINES SUR")</f>
        <v>San Antonio, Buhi, CAMARINES SUR</v>
      </c>
      <c r="D774" s="2" t="str">
        <f>IFERROR(__xludf.DUMMYFUNCTION("""COMPUTED_VALUE"""),"VICENTE A. VELASCO JR.")</f>
        <v>VICENTE A. VELASCO JR.</v>
      </c>
      <c r="E774" s="2">
        <f>IFERROR(__xludf.DUMMYFUNCTION("""COMPUTED_VALUE"""),9.260464496E9)</f>
        <v>9260464496</v>
      </c>
      <c r="F774" s="2" t="str">
        <f>IFERROR(__xludf.DUMMYFUNCTION("""COMPUTED_VALUE"""),"RCEF 25-03-05")</f>
        <v>RCEF 25-03-05</v>
      </c>
      <c r="G774" s="2">
        <f>IFERROR(__xludf.DUMMYFUNCTION("""COMPUTED_VALUE"""),6.0)</f>
        <v>6</v>
      </c>
      <c r="H774" s="2" t="str">
        <f>IFERROR(__xludf.DUMMYFUNCTION("""COMPUTED_VALUE"""),"26604 &amp; 27875")</f>
        <v>26604 &amp; 27875</v>
      </c>
      <c r="I774" s="2" t="str">
        <f>IFERROR(__xludf.DUMMYFUNCTION("""COMPUTED_VALUE"""),"KMC5825 ACSFPV0172")</f>
        <v>KMC5825 ACSFPV0172</v>
      </c>
      <c r="J774" s="3" t="str">
        <f>IFERROR(__xludf.DUMMYFUNCTION("""COMPUTED_VALUE"""),"STS100199")</f>
        <v>STS100199</v>
      </c>
      <c r="K774" s="2" t="str">
        <f>IFERROR(__xludf.DUMMYFUNCTION("""COMPUTED_VALUE"""),"WR-SERIES 1478PH")</f>
        <v>WR-SERIES 1478PH</v>
      </c>
      <c r="L774" s="3">
        <f>IFERROR(__xludf.DUMMYFUNCTION("""COMPUTED_VALUE"""),2.5120908E7)</f>
        <v>25120908</v>
      </c>
      <c r="M774" s="3">
        <f>IFERROR(__xludf.DUMMYFUNCTION("""COMPUTED_VALUE"""),2.51214E7)</f>
        <v>25121400</v>
      </c>
      <c r="N774" s="2"/>
      <c r="O774" s="2" t="str">
        <f>IFERROR(__xludf.DUMMYFUNCTION("""COMPUTED_VALUE"""),"San Antonio")</f>
        <v>San Antonio</v>
      </c>
      <c r="P774" s="2" t="str">
        <f>IFERROR(__xludf.DUMMYFUNCTION("""COMPUTED_VALUE"""),"Buhi")</f>
        <v>Buhi</v>
      </c>
      <c r="Q774" s="2" t="str">
        <f>IFERROR(__xludf.DUMMYFUNCTION("""COMPUTED_VALUE"""),"Camarines Sur")</f>
        <v>Camarines Sur</v>
      </c>
      <c r="R774" s="2">
        <f>IFERROR(__xludf.DUMMYFUNCTION("""COMPUTED_VALUE"""),5.0)</f>
        <v>5</v>
      </c>
      <c r="S774" s="2"/>
      <c r="T774" s="2"/>
    </row>
    <row r="775">
      <c r="A775" s="1">
        <f>IFERROR(__xludf.DUMMYFUNCTION("""COMPUTED_VALUE"""),773.0)</f>
        <v>773</v>
      </c>
      <c r="B775" s="2" t="str">
        <f>IFERROR(__xludf.DUMMYFUNCTION("""COMPUTED_VALUE"""),"SAN RAFAEL PAGSUBANGAN IRRIGATORS ASSOCIATION INC.")</f>
        <v>SAN RAFAEL PAGSUBANGAN IRRIGATORS ASSOCIATION INC.</v>
      </c>
      <c r="C775" s="2" t="str">
        <f>IFERROR(__xludf.DUMMYFUNCTION("""COMPUTED_VALUE"""),"San Rafael, Buhi, CAMARINES SUR")</f>
        <v>San Rafael, Buhi, CAMARINES SUR</v>
      </c>
      <c r="D775" s="2" t="str">
        <f>IFERROR(__xludf.DUMMYFUNCTION("""COMPUTED_VALUE"""),"JHON ANTHONY B. CERILLO")</f>
        <v>JHON ANTHONY B. CERILLO</v>
      </c>
      <c r="E775" s="2" t="str">
        <f>IFERROR(__xludf.DUMMYFUNCTION("""COMPUTED_VALUE"""),"0948 450 6481")</f>
        <v>0948 450 6481</v>
      </c>
      <c r="F775" s="2" t="str">
        <f>IFERROR(__xludf.DUMMYFUNCTION("""COMPUTED_VALUE"""),"RCEF 25-03-05")</f>
        <v>RCEF 25-03-05</v>
      </c>
      <c r="G775" s="2">
        <f>IFERROR(__xludf.DUMMYFUNCTION("""COMPUTED_VALUE"""),6.0)</f>
        <v>6</v>
      </c>
      <c r="H775" s="2" t="str">
        <f>IFERROR(__xludf.DUMMYFUNCTION("""COMPUTED_VALUE"""),"26605 &amp; 27876")</f>
        <v>26605 &amp; 27876</v>
      </c>
      <c r="I775" s="2" t="str">
        <f>IFERROR(__xludf.DUMMYFUNCTION("""COMPUTED_VALUE"""),"KMC5825 APSFPV0216")</f>
        <v>KMC5825 APSFPV0216</v>
      </c>
      <c r="J775" s="3" t="str">
        <f>IFERROR(__xludf.DUMMYFUNCTION("""COMPUTED_VALUE"""),"STS100223")</f>
        <v>STS100223</v>
      </c>
      <c r="K775" s="2" t="str">
        <f>IFERROR(__xludf.DUMMYFUNCTION("""COMPUTED_VALUE"""),"WR-SERIES 1479PH")</f>
        <v>WR-SERIES 1479PH</v>
      </c>
      <c r="L775" s="3">
        <f>IFERROR(__xludf.DUMMYFUNCTION("""COMPUTED_VALUE"""),2.5120909E7)</f>
        <v>25120909</v>
      </c>
      <c r="M775" s="3">
        <f>IFERROR(__xludf.DUMMYFUNCTION("""COMPUTED_VALUE"""),2.5121401E7)</f>
        <v>25121401</v>
      </c>
      <c r="N775" s="2"/>
      <c r="O775" s="2" t="str">
        <f>IFERROR(__xludf.DUMMYFUNCTION("""COMPUTED_VALUE"""),"San Rafael")</f>
        <v>San Rafael</v>
      </c>
      <c r="P775" s="2" t="str">
        <f>IFERROR(__xludf.DUMMYFUNCTION("""COMPUTED_VALUE"""),"Buhi")</f>
        <v>Buhi</v>
      </c>
      <c r="Q775" s="2" t="str">
        <f>IFERROR(__xludf.DUMMYFUNCTION("""COMPUTED_VALUE"""),"Camarines Sur")</f>
        <v>Camarines Sur</v>
      </c>
      <c r="R775" s="2">
        <f>IFERROR(__xludf.DUMMYFUNCTION("""COMPUTED_VALUE"""),5.0)</f>
        <v>5</v>
      </c>
      <c r="S775" s="2"/>
      <c r="T775" s="2"/>
    </row>
    <row r="776">
      <c r="A776" s="1">
        <f>IFERROR(__xludf.DUMMYFUNCTION("""COMPUTED_VALUE"""),774.0)</f>
        <v>774</v>
      </c>
      <c r="B776" s="2" t="str">
        <f>IFERROR(__xludf.DUMMYFUNCTION("""COMPUTED_VALUE"""),"SAMAHAN NG MANGINGISDA AT MAGSASAKA NG CASUGAD INC.")</f>
        <v>SAMAHAN NG MANGINGISDA AT MAGSASAKA NG CASUGAD INC.</v>
      </c>
      <c r="C776" s="2" t="str">
        <f>IFERROR(__xludf.DUMMYFUNCTION("""COMPUTED_VALUE"""),"Casugad, Bula, CAMARINES SUR")</f>
        <v>Casugad, Bula, CAMARINES SUR</v>
      </c>
      <c r="D776" s="2" t="str">
        <f>IFERROR(__xludf.DUMMYFUNCTION("""COMPUTED_VALUE"""),"ROGELIO B. LLABRES")</f>
        <v>ROGELIO B. LLABRES</v>
      </c>
      <c r="E776" s="2">
        <f>IFERROR(__xludf.DUMMYFUNCTION("""COMPUTED_VALUE"""),9.604285727E9)</f>
        <v>9604285727</v>
      </c>
      <c r="F776" s="2" t="str">
        <f>IFERROR(__xludf.DUMMYFUNCTION("""COMPUTED_VALUE"""),"RCEF 25-03-05")</f>
        <v>RCEF 25-03-05</v>
      </c>
      <c r="G776" s="2">
        <f>IFERROR(__xludf.DUMMYFUNCTION("""COMPUTED_VALUE"""),6.0)</f>
        <v>6</v>
      </c>
      <c r="H776" s="2" t="str">
        <f>IFERROR(__xludf.DUMMYFUNCTION("""COMPUTED_VALUE"""),"26606 &amp; 27877")</f>
        <v>26606 &amp; 27877</v>
      </c>
      <c r="I776" s="2" t="str">
        <f>IFERROR(__xludf.DUMMYFUNCTION("""COMPUTED_VALUE"""),"KMC5825 AJSFPV0252")</f>
        <v>KMC5825 AJSFPV0252</v>
      </c>
      <c r="J776" s="3" t="str">
        <f>IFERROR(__xludf.DUMMYFUNCTION("""COMPUTED_VALUE"""),"STS100258")</f>
        <v>STS100258</v>
      </c>
      <c r="K776" s="2" t="str">
        <f>IFERROR(__xludf.DUMMYFUNCTION("""COMPUTED_VALUE"""),"WR-SERIES 1330PH")</f>
        <v>WR-SERIES 1330PH</v>
      </c>
      <c r="L776" s="3">
        <f>IFERROR(__xludf.DUMMYFUNCTION("""COMPUTED_VALUE"""),2.512091E7)</f>
        <v>25120910</v>
      </c>
      <c r="M776" s="3">
        <f>IFERROR(__xludf.DUMMYFUNCTION("""COMPUTED_VALUE"""),2.5121402E7)</f>
        <v>25121402</v>
      </c>
      <c r="N776" s="2"/>
      <c r="O776" s="2" t="str">
        <f>IFERROR(__xludf.DUMMYFUNCTION("""COMPUTED_VALUE"""),"Casugad")</f>
        <v>Casugad</v>
      </c>
      <c r="P776" s="2" t="str">
        <f>IFERROR(__xludf.DUMMYFUNCTION("""COMPUTED_VALUE"""),"Bula")</f>
        <v>Bula</v>
      </c>
      <c r="Q776" s="2" t="str">
        <f>IFERROR(__xludf.DUMMYFUNCTION("""COMPUTED_VALUE"""),"Camarines Sur")</f>
        <v>Camarines Sur</v>
      </c>
      <c r="R776" s="2">
        <f>IFERROR(__xludf.DUMMYFUNCTION("""COMPUTED_VALUE"""),5.0)</f>
        <v>5</v>
      </c>
      <c r="S776" s="2"/>
      <c r="T776" s="2"/>
    </row>
    <row r="777">
      <c r="A777" s="1">
        <f>IFERROR(__xludf.DUMMYFUNCTION("""COMPUTED_VALUE"""),775.0)</f>
        <v>775</v>
      </c>
      <c r="B777" s="2" t="str">
        <f>IFERROR(__xludf.DUMMYFUNCTION("""COMPUTED_VALUE"""),"NABUA COCONUT FARMERS MULTI-PURPOSE DEVELOPMENT ASSOCIATION")</f>
        <v>NABUA COCONUT FARMERS MULTI-PURPOSE DEVELOPMENT ASSOCIATION</v>
      </c>
      <c r="C777" s="2" t="str">
        <f>IFERROR(__xludf.DUMMYFUNCTION("""COMPUTED_VALUE"""),"Angustia (Angustia Inapatan), Nabua, CAMARINES SUR")</f>
        <v>Angustia (Angustia Inapatan), Nabua, CAMARINES SUR</v>
      </c>
      <c r="D777" s="2" t="str">
        <f>IFERROR(__xludf.DUMMYFUNCTION("""COMPUTED_VALUE"""),"ANITA D. BABILONIA")</f>
        <v>ANITA D. BABILONIA</v>
      </c>
      <c r="E777" s="2">
        <f>IFERROR(__xludf.DUMMYFUNCTION("""COMPUTED_VALUE"""),9.212043046E9)</f>
        <v>9212043046</v>
      </c>
      <c r="F777" s="2" t="str">
        <f>IFERROR(__xludf.DUMMYFUNCTION("""COMPUTED_VALUE"""),"RCEF 25-03-05")</f>
        <v>RCEF 25-03-05</v>
      </c>
      <c r="G777" s="2">
        <f>IFERROR(__xludf.DUMMYFUNCTION("""COMPUTED_VALUE"""),6.0)</f>
        <v>6</v>
      </c>
      <c r="H777" s="2" t="str">
        <f>IFERROR(__xludf.DUMMYFUNCTION("""COMPUTED_VALUE"""),"26607 &amp; 27878")</f>
        <v>26607 &amp; 27878</v>
      </c>
      <c r="I777" s="2" t="str">
        <f>IFERROR(__xludf.DUMMYFUNCTION("""COMPUTED_VALUE"""),"KMC5825 APSFPV0166")</f>
        <v>KMC5825 APSFPV0166</v>
      </c>
      <c r="J777" s="3" t="str">
        <f>IFERROR(__xludf.DUMMYFUNCTION("""COMPUTED_VALUE"""),"STS100179")</f>
        <v>STS100179</v>
      </c>
      <c r="K777" s="2" t="str">
        <f>IFERROR(__xludf.DUMMYFUNCTION("""COMPUTED_VALUE"""),"WR-SERIES 1331PH")</f>
        <v>WR-SERIES 1331PH</v>
      </c>
      <c r="L777" s="3">
        <f>IFERROR(__xludf.DUMMYFUNCTION("""COMPUTED_VALUE"""),2.5120911E7)</f>
        <v>25120911</v>
      </c>
      <c r="M777" s="3">
        <f>IFERROR(__xludf.DUMMYFUNCTION("""COMPUTED_VALUE"""),2.5121403E7)</f>
        <v>25121403</v>
      </c>
      <c r="N777" s="2"/>
      <c r="O777" s="2" t="str">
        <f>IFERROR(__xludf.DUMMYFUNCTION("""COMPUTED_VALUE"""),"Angustia (Angustia Inapatan)")</f>
        <v>Angustia (Angustia Inapatan)</v>
      </c>
      <c r="P777" s="2" t="str">
        <f>IFERROR(__xludf.DUMMYFUNCTION("""COMPUTED_VALUE"""),"Nabua")</f>
        <v>Nabua</v>
      </c>
      <c r="Q777" s="2" t="str">
        <f>IFERROR(__xludf.DUMMYFUNCTION("""COMPUTED_VALUE"""),"Camarines Sur")</f>
        <v>Camarines Sur</v>
      </c>
      <c r="R777" s="2">
        <f>IFERROR(__xludf.DUMMYFUNCTION("""COMPUTED_VALUE"""),5.0)</f>
        <v>5</v>
      </c>
      <c r="S777" s="2"/>
      <c r="T777" s="2"/>
    </row>
    <row r="778">
      <c r="A778" s="1">
        <f>IFERROR(__xludf.DUMMYFUNCTION("""COMPUTED_VALUE"""),776.0)</f>
        <v>776</v>
      </c>
      <c r="B778" s="2" t="str">
        <f>IFERROR(__xludf.DUMMYFUNCTION("""COMPUTED_VALUE"""),"Provincial Local Government Unit of Catanduanes")</f>
        <v>Provincial Local Government Unit of Catanduanes</v>
      </c>
      <c r="C778" s="2" t="str">
        <f>IFERROR(__xludf.DUMMYFUNCTION("""COMPUTED_VALUE"""),"Marcelo Alberto (Pob.), Virac, CATANDUANES")</f>
        <v>Marcelo Alberto (Pob.), Virac, CATANDUANES</v>
      </c>
      <c r="D778" s="2" t="str">
        <f>IFERROR(__xludf.DUMMYFUNCTION("""COMPUTED_VALUE"""),"Hon. Patrick Alain Azanza")</f>
        <v>Hon. Patrick Alain Azanza</v>
      </c>
      <c r="E778" s="2" t="str">
        <f>IFERROR(__xludf.DUMMYFUNCTION("""COMPUTED_VALUE"""),"09196053344 (PASO staff Jeannete Molina)")</f>
        <v>09196053344 (PASO staff Jeannete Molina)</v>
      </c>
      <c r="F778" s="2" t="str">
        <f>IFERROR(__xludf.DUMMYFUNCTION("""COMPUTED_VALUE"""),"RCEF 25-03-05")</f>
        <v>RCEF 25-03-05</v>
      </c>
      <c r="G778" s="2">
        <f>IFERROR(__xludf.DUMMYFUNCTION("""COMPUTED_VALUE"""),6.0)</f>
        <v>6</v>
      </c>
      <c r="H778" s="2" t="str">
        <f>IFERROR(__xludf.DUMMYFUNCTION("""COMPUTED_VALUE"""),"26608 &amp; 27879")</f>
        <v>26608 &amp; 27879</v>
      </c>
      <c r="I778" s="2" t="str">
        <f>IFERROR(__xludf.DUMMYFUNCTION("""COMPUTED_VALUE"""),"KMC5825 AKSFPV0587")</f>
        <v>KMC5825 AKSFPV0587</v>
      </c>
      <c r="J778" s="3" t="str">
        <f>IFERROR(__xludf.DUMMYFUNCTION("""COMPUTED_VALUE"""),"STS100631")</f>
        <v>STS100631</v>
      </c>
      <c r="K778" s="2" t="str">
        <f>IFERROR(__xludf.DUMMYFUNCTION("""COMPUTED_VALUE"""),"WR-SERIES 1332PH")</f>
        <v>WR-SERIES 1332PH</v>
      </c>
      <c r="L778" s="3" t="str">
        <f>IFERROR(__xludf.DUMMYFUNCTION("""COMPUTED_VALUE"""),"2510841")</f>
        <v>2510841</v>
      </c>
      <c r="M778" s="3" t="str">
        <f>IFERROR(__xludf.DUMMYFUNCTION("""COMPUTED_VALUE"""),"25090914")</f>
        <v>25090914</v>
      </c>
      <c r="N778" s="2"/>
      <c r="O778" s="2" t="str">
        <f>IFERROR(__xludf.DUMMYFUNCTION("""COMPUTED_VALUE"""),"Marcelo Alberto (Pob.)")</f>
        <v>Marcelo Alberto (Pob.)</v>
      </c>
      <c r="P778" s="2" t="str">
        <f>IFERROR(__xludf.DUMMYFUNCTION("""COMPUTED_VALUE"""),"Virac")</f>
        <v>Virac</v>
      </c>
      <c r="Q778" s="2" t="str">
        <f>IFERROR(__xludf.DUMMYFUNCTION("""COMPUTED_VALUE"""),"Catanduanes")</f>
        <v>Catanduanes</v>
      </c>
      <c r="R778" s="2">
        <f>IFERROR(__xludf.DUMMYFUNCTION("""COMPUTED_VALUE"""),5.0)</f>
        <v>5</v>
      </c>
      <c r="S778" s="2"/>
      <c r="T778" s="2"/>
    </row>
    <row r="779">
      <c r="A779" s="1">
        <f>IFERROR(__xludf.DUMMYFUNCTION("""COMPUTED_VALUE"""),777.0)</f>
        <v>777</v>
      </c>
      <c r="B779" s="2" t="str">
        <f>IFERROR(__xludf.DUMMYFUNCTION("""COMPUTED_VALUE"""),"Provincial Local Government Unit of Catanduanes")</f>
        <v>Provincial Local Government Unit of Catanduanes</v>
      </c>
      <c r="C779" s="2" t="str">
        <f>IFERROR(__xludf.DUMMYFUNCTION("""COMPUTED_VALUE"""),"Marcelo Alberto (Pob.), Virac, CATANDUANES")</f>
        <v>Marcelo Alberto (Pob.), Virac, CATANDUANES</v>
      </c>
      <c r="D779" s="2" t="str">
        <f>IFERROR(__xludf.DUMMYFUNCTION("""COMPUTED_VALUE"""),"Hon. Patrick Alain Azanza")</f>
        <v>Hon. Patrick Alain Azanza</v>
      </c>
      <c r="E779" s="2" t="str">
        <f>IFERROR(__xludf.DUMMYFUNCTION("""COMPUTED_VALUE"""),"09196053344 (PASO staff Jeannete Molina)")</f>
        <v>09196053344 (PASO staff Jeannete Molina)</v>
      </c>
      <c r="F779" s="2" t="str">
        <f>IFERROR(__xludf.DUMMYFUNCTION("""COMPUTED_VALUE"""),"RCEF 25-03-05")</f>
        <v>RCEF 25-03-05</v>
      </c>
      <c r="G779" s="2">
        <f>IFERROR(__xludf.DUMMYFUNCTION("""COMPUTED_VALUE"""),6.0)</f>
        <v>6</v>
      </c>
      <c r="H779" s="2" t="str">
        <f>IFERROR(__xludf.DUMMYFUNCTION("""COMPUTED_VALUE"""),"26608 &amp; 27879")</f>
        <v>26608 &amp; 27879</v>
      </c>
      <c r="I779" s="2" t="str">
        <f>IFERROR(__xludf.DUMMYFUNCTION("""COMPUTED_VALUE"""),"KMC5825 AKSFPV0587")</f>
        <v>KMC5825 AKSFPV0587</v>
      </c>
      <c r="J779" s="3" t="str">
        <f>IFERROR(__xludf.DUMMYFUNCTION("""COMPUTED_VALUE"""),"STS100631")</f>
        <v>STS100631</v>
      </c>
      <c r="K779" s="2" t="str">
        <f>IFERROR(__xludf.DUMMYFUNCTION("""COMPUTED_VALUE"""),"WR-SERIES 1332PH")</f>
        <v>WR-SERIES 1332PH</v>
      </c>
      <c r="L779" s="3" t="str">
        <f>IFERROR(__xludf.DUMMYFUNCTION("""COMPUTED_VALUE"""),"2510841")</f>
        <v>2510841</v>
      </c>
      <c r="M779" s="3" t="str">
        <f>IFERROR(__xludf.DUMMYFUNCTION("""COMPUTED_VALUE"""),"25090914")</f>
        <v>25090914</v>
      </c>
      <c r="N779" s="2"/>
      <c r="O779" s="2" t="str">
        <f>IFERROR(__xludf.DUMMYFUNCTION("""COMPUTED_VALUE"""),"Marcelo Alberto (Pob.)")</f>
        <v>Marcelo Alberto (Pob.)</v>
      </c>
      <c r="P779" s="2" t="str">
        <f>IFERROR(__xludf.DUMMYFUNCTION("""COMPUTED_VALUE"""),"Virac")</f>
        <v>Virac</v>
      </c>
      <c r="Q779" s="2" t="str">
        <f>IFERROR(__xludf.DUMMYFUNCTION("""COMPUTED_VALUE"""),"Catanduanes")</f>
        <v>Catanduanes</v>
      </c>
      <c r="R779" s="2">
        <f>IFERROR(__xludf.DUMMYFUNCTION("""COMPUTED_VALUE"""),5.0)</f>
        <v>5</v>
      </c>
      <c r="S779" s="2"/>
      <c r="T779" s="2"/>
    </row>
    <row r="780">
      <c r="A780" s="1">
        <f>IFERROR(__xludf.DUMMYFUNCTION("""COMPUTED_VALUE"""),778.0)</f>
        <v>778</v>
      </c>
      <c r="B780" s="2" t="str">
        <f>IFERROR(__xludf.DUMMYFUNCTION("""COMPUTED_VALUE"""),"Provincial Local Government Unit of Catanduanes")</f>
        <v>Provincial Local Government Unit of Catanduanes</v>
      </c>
      <c r="C780" s="2" t="str">
        <f>IFERROR(__xludf.DUMMYFUNCTION("""COMPUTED_VALUE"""),"Marcelo Alberto (Pob.), Virac, CATANDUANES")</f>
        <v>Marcelo Alberto (Pob.), Virac, CATANDUANES</v>
      </c>
      <c r="D780" s="2" t="str">
        <f>IFERROR(__xludf.DUMMYFUNCTION("""COMPUTED_VALUE"""),"Hon. Patrick Alain Azanza")</f>
        <v>Hon. Patrick Alain Azanza</v>
      </c>
      <c r="E780" s="2" t="str">
        <f>IFERROR(__xludf.DUMMYFUNCTION("""COMPUTED_VALUE"""),"09196053344 (PASO staff Jeannete Molina)")</f>
        <v>09196053344 (PASO staff Jeannete Molina)</v>
      </c>
      <c r="F780" s="2" t="str">
        <f>IFERROR(__xludf.DUMMYFUNCTION("""COMPUTED_VALUE"""),"RCEF 25-03-05")</f>
        <v>RCEF 25-03-05</v>
      </c>
      <c r="G780" s="2">
        <f>IFERROR(__xludf.DUMMYFUNCTION("""COMPUTED_VALUE"""),6.0)</f>
        <v>6</v>
      </c>
      <c r="H780" s="2" t="str">
        <f>IFERROR(__xludf.DUMMYFUNCTION("""COMPUTED_VALUE"""),"26608 &amp; 27879")</f>
        <v>26608 &amp; 27879</v>
      </c>
      <c r="I780" s="2" t="str">
        <f>IFERROR(__xludf.DUMMYFUNCTION("""COMPUTED_VALUE"""),"KMC5825 AKSFPV0587")</f>
        <v>KMC5825 AKSFPV0587</v>
      </c>
      <c r="J780" s="3" t="str">
        <f>IFERROR(__xludf.DUMMYFUNCTION("""COMPUTED_VALUE"""),"STS100631")</f>
        <v>STS100631</v>
      </c>
      <c r="K780" s="2" t="str">
        <f>IFERROR(__xludf.DUMMYFUNCTION("""COMPUTED_VALUE"""),"WR-SERIES 1332PH")</f>
        <v>WR-SERIES 1332PH</v>
      </c>
      <c r="L780" s="3" t="str">
        <f>IFERROR(__xludf.DUMMYFUNCTION("""COMPUTED_VALUE"""),"2510841")</f>
        <v>2510841</v>
      </c>
      <c r="M780" s="3" t="str">
        <f>IFERROR(__xludf.DUMMYFUNCTION("""COMPUTED_VALUE"""),"25090914")</f>
        <v>25090914</v>
      </c>
      <c r="N780" s="2"/>
      <c r="O780" s="2" t="str">
        <f>IFERROR(__xludf.DUMMYFUNCTION("""COMPUTED_VALUE"""),"Marcelo Alberto (Pob.)")</f>
        <v>Marcelo Alberto (Pob.)</v>
      </c>
      <c r="P780" s="2" t="str">
        <f>IFERROR(__xludf.DUMMYFUNCTION("""COMPUTED_VALUE"""),"Virac")</f>
        <v>Virac</v>
      </c>
      <c r="Q780" s="2" t="str">
        <f>IFERROR(__xludf.DUMMYFUNCTION("""COMPUTED_VALUE"""),"Catanduanes")</f>
        <v>Catanduanes</v>
      </c>
      <c r="R780" s="2">
        <f>IFERROR(__xludf.DUMMYFUNCTION("""COMPUTED_VALUE"""),5.0)</f>
        <v>5</v>
      </c>
      <c r="S780" s="2"/>
      <c r="T780" s="2"/>
    </row>
    <row r="781">
      <c r="A781" s="1">
        <f>IFERROR(__xludf.DUMMYFUNCTION("""COMPUTED_VALUE"""),779.0)</f>
        <v>779</v>
      </c>
      <c r="B781" s="2" t="str">
        <f>IFERROR(__xludf.DUMMYFUNCTION("""COMPUTED_VALUE"""),"Provincial Local Government Unit of Catanduanes")</f>
        <v>Provincial Local Government Unit of Catanduanes</v>
      </c>
      <c r="C781" s="2" t="str">
        <f>IFERROR(__xludf.DUMMYFUNCTION("""COMPUTED_VALUE"""),"Marcelo Alberto (Pob.), Virac, CATANDUANES")</f>
        <v>Marcelo Alberto (Pob.), Virac, CATANDUANES</v>
      </c>
      <c r="D781" s="2" t="str">
        <f>IFERROR(__xludf.DUMMYFUNCTION("""COMPUTED_VALUE"""),"Hon. Patrick Alain Azanza")</f>
        <v>Hon. Patrick Alain Azanza</v>
      </c>
      <c r="E781" s="2" t="str">
        <f>IFERROR(__xludf.DUMMYFUNCTION("""COMPUTED_VALUE"""),"09196053344 (PASO staff Jeannete Molina)")</f>
        <v>09196053344 (PASO staff Jeannete Molina)</v>
      </c>
      <c r="F781" s="2" t="str">
        <f>IFERROR(__xludf.DUMMYFUNCTION("""COMPUTED_VALUE"""),"RCEF 25-03-05")</f>
        <v>RCEF 25-03-05</v>
      </c>
      <c r="G781" s="2">
        <f>IFERROR(__xludf.DUMMYFUNCTION("""COMPUTED_VALUE"""),6.0)</f>
        <v>6</v>
      </c>
      <c r="H781" s="2" t="str">
        <f>IFERROR(__xludf.DUMMYFUNCTION("""COMPUTED_VALUE"""),"26608 &amp; 27879")</f>
        <v>26608 &amp; 27879</v>
      </c>
      <c r="I781" s="2" t="str">
        <f>IFERROR(__xludf.DUMMYFUNCTION("""COMPUTED_VALUE"""),"KMC5825 AKSFPV0587")</f>
        <v>KMC5825 AKSFPV0587</v>
      </c>
      <c r="J781" s="3" t="str">
        <f>IFERROR(__xludf.DUMMYFUNCTION("""COMPUTED_VALUE"""),"STS100631")</f>
        <v>STS100631</v>
      </c>
      <c r="K781" s="2" t="str">
        <f>IFERROR(__xludf.DUMMYFUNCTION("""COMPUTED_VALUE"""),"WR-SERIES 1332PH")</f>
        <v>WR-SERIES 1332PH</v>
      </c>
      <c r="L781" s="3" t="str">
        <f>IFERROR(__xludf.DUMMYFUNCTION("""COMPUTED_VALUE"""),"2510841")</f>
        <v>2510841</v>
      </c>
      <c r="M781" s="3" t="str">
        <f>IFERROR(__xludf.DUMMYFUNCTION("""COMPUTED_VALUE"""),"25090914")</f>
        <v>25090914</v>
      </c>
      <c r="N781" s="2"/>
      <c r="O781" s="2" t="str">
        <f>IFERROR(__xludf.DUMMYFUNCTION("""COMPUTED_VALUE"""),"Marcelo Alberto (Pob.)")</f>
        <v>Marcelo Alberto (Pob.)</v>
      </c>
      <c r="P781" s="2" t="str">
        <f>IFERROR(__xludf.DUMMYFUNCTION("""COMPUTED_VALUE"""),"Virac")</f>
        <v>Virac</v>
      </c>
      <c r="Q781" s="2" t="str">
        <f>IFERROR(__xludf.DUMMYFUNCTION("""COMPUTED_VALUE"""),"Catanduanes")</f>
        <v>Catanduanes</v>
      </c>
      <c r="R781" s="2">
        <f>IFERROR(__xludf.DUMMYFUNCTION("""COMPUTED_VALUE"""),5.0)</f>
        <v>5</v>
      </c>
      <c r="S781" s="2"/>
      <c r="T781" s="2"/>
    </row>
    <row r="782">
      <c r="A782" s="1">
        <f>IFERROR(__xludf.DUMMYFUNCTION("""COMPUTED_VALUE"""),780.0)</f>
        <v>780</v>
      </c>
      <c r="B782" s="2" t="str">
        <f>IFERROR(__xludf.DUMMYFUNCTION("""COMPUTED_VALUE"""),"Provincial Local Government Unit of Catanduanes")</f>
        <v>Provincial Local Government Unit of Catanduanes</v>
      </c>
      <c r="C782" s="2" t="str">
        <f>IFERROR(__xludf.DUMMYFUNCTION("""COMPUTED_VALUE"""),"Marcelo Alberto (Pob.), Virac, CATANDUANES")</f>
        <v>Marcelo Alberto (Pob.), Virac, CATANDUANES</v>
      </c>
      <c r="D782" s="2" t="str">
        <f>IFERROR(__xludf.DUMMYFUNCTION("""COMPUTED_VALUE"""),"Hon. Patrick Alain Azanza")</f>
        <v>Hon. Patrick Alain Azanza</v>
      </c>
      <c r="E782" s="2" t="str">
        <f>IFERROR(__xludf.DUMMYFUNCTION("""COMPUTED_VALUE"""),"09196053344 (PASO staff Jeannete Molina)")</f>
        <v>09196053344 (PASO staff Jeannete Molina)</v>
      </c>
      <c r="F782" s="2" t="str">
        <f>IFERROR(__xludf.DUMMYFUNCTION("""COMPUTED_VALUE"""),"RCEF 25-03-05")</f>
        <v>RCEF 25-03-05</v>
      </c>
      <c r="G782" s="2">
        <f>IFERROR(__xludf.DUMMYFUNCTION("""COMPUTED_VALUE"""),6.0)</f>
        <v>6</v>
      </c>
      <c r="H782" s="2" t="str">
        <f>IFERROR(__xludf.DUMMYFUNCTION("""COMPUTED_VALUE"""),"26608 &amp; 27879")</f>
        <v>26608 &amp; 27879</v>
      </c>
      <c r="I782" s="2" t="str">
        <f>IFERROR(__xludf.DUMMYFUNCTION("""COMPUTED_VALUE"""),"KMC5825 AKSFPV0587")</f>
        <v>KMC5825 AKSFPV0587</v>
      </c>
      <c r="J782" s="3" t="str">
        <f>IFERROR(__xludf.DUMMYFUNCTION("""COMPUTED_VALUE"""),"STS100631")</f>
        <v>STS100631</v>
      </c>
      <c r="K782" s="2" t="str">
        <f>IFERROR(__xludf.DUMMYFUNCTION("""COMPUTED_VALUE"""),"WR-SERIES 1332PH")</f>
        <v>WR-SERIES 1332PH</v>
      </c>
      <c r="L782" s="3" t="str">
        <f>IFERROR(__xludf.DUMMYFUNCTION("""COMPUTED_VALUE"""),"2510841")</f>
        <v>2510841</v>
      </c>
      <c r="M782" s="3" t="str">
        <f>IFERROR(__xludf.DUMMYFUNCTION("""COMPUTED_VALUE"""),"25090914")</f>
        <v>25090914</v>
      </c>
      <c r="N782" s="2"/>
      <c r="O782" s="2" t="str">
        <f>IFERROR(__xludf.DUMMYFUNCTION("""COMPUTED_VALUE"""),"Marcelo Alberto (Pob.)")</f>
        <v>Marcelo Alberto (Pob.)</v>
      </c>
      <c r="P782" s="2" t="str">
        <f>IFERROR(__xludf.DUMMYFUNCTION("""COMPUTED_VALUE"""),"Virac")</f>
        <v>Virac</v>
      </c>
      <c r="Q782" s="2" t="str">
        <f>IFERROR(__xludf.DUMMYFUNCTION("""COMPUTED_VALUE"""),"Catanduanes")</f>
        <v>Catanduanes</v>
      </c>
      <c r="R782" s="2">
        <f>IFERROR(__xludf.DUMMYFUNCTION("""COMPUTED_VALUE"""),5.0)</f>
        <v>5</v>
      </c>
      <c r="S782" s="2"/>
      <c r="T782" s="2"/>
    </row>
    <row r="783">
      <c r="A783" s="1">
        <f>IFERROR(__xludf.DUMMYFUNCTION("""COMPUTED_VALUE"""),781.0)</f>
        <v>781</v>
      </c>
      <c r="B783" s="2" t="str">
        <f>IFERROR(__xludf.DUMMYFUNCTION("""COMPUTED_VALUE"""),"Provincial Local Government Unit of Catanduanes")</f>
        <v>Provincial Local Government Unit of Catanduanes</v>
      </c>
      <c r="C783" s="2" t="str">
        <f>IFERROR(__xludf.DUMMYFUNCTION("""COMPUTED_VALUE"""),"Marcelo Alberto (Pob.), Virac, CATANDUANES")</f>
        <v>Marcelo Alberto (Pob.), Virac, CATANDUANES</v>
      </c>
      <c r="D783" s="2" t="str">
        <f>IFERROR(__xludf.DUMMYFUNCTION("""COMPUTED_VALUE"""),"Hon. Patrick Alain Azanza")</f>
        <v>Hon. Patrick Alain Azanza</v>
      </c>
      <c r="E783" s="2" t="str">
        <f>IFERROR(__xludf.DUMMYFUNCTION("""COMPUTED_VALUE"""),"09196053344 (PASO staff Jeannete Molina)")</f>
        <v>09196053344 (PASO staff Jeannete Molina)</v>
      </c>
      <c r="F783" s="2" t="str">
        <f>IFERROR(__xludf.DUMMYFUNCTION("""COMPUTED_VALUE"""),"RCEF 25-03-05")</f>
        <v>RCEF 25-03-05</v>
      </c>
      <c r="G783" s="2">
        <f>IFERROR(__xludf.DUMMYFUNCTION("""COMPUTED_VALUE"""),6.0)</f>
        <v>6</v>
      </c>
      <c r="H783" s="2" t="str">
        <f>IFERROR(__xludf.DUMMYFUNCTION("""COMPUTED_VALUE"""),"26608 &amp; 27879")</f>
        <v>26608 &amp; 27879</v>
      </c>
      <c r="I783" s="2" t="str">
        <f>IFERROR(__xludf.DUMMYFUNCTION("""COMPUTED_VALUE"""),"KMC5825 AKSFPV0587")</f>
        <v>KMC5825 AKSFPV0587</v>
      </c>
      <c r="J783" s="3" t="str">
        <f>IFERROR(__xludf.DUMMYFUNCTION("""COMPUTED_VALUE"""),"STS100631")</f>
        <v>STS100631</v>
      </c>
      <c r="K783" s="2" t="str">
        <f>IFERROR(__xludf.DUMMYFUNCTION("""COMPUTED_VALUE"""),"WR-SERIES 1332PH")</f>
        <v>WR-SERIES 1332PH</v>
      </c>
      <c r="L783" s="3" t="str">
        <f>IFERROR(__xludf.DUMMYFUNCTION("""COMPUTED_VALUE"""),"2510841")</f>
        <v>2510841</v>
      </c>
      <c r="M783" s="3" t="str">
        <f>IFERROR(__xludf.DUMMYFUNCTION("""COMPUTED_VALUE"""),"25090914")</f>
        <v>25090914</v>
      </c>
      <c r="N783" s="2"/>
      <c r="O783" s="2" t="str">
        <f>IFERROR(__xludf.DUMMYFUNCTION("""COMPUTED_VALUE"""),"Marcelo Alberto (Pob.)")</f>
        <v>Marcelo Alberto (Pob.)</v>
      </c>
      <c r="P783" s="2" t="str">
        <f>IFERROR(__xludf.DUMMYFUNCTION("""COMPUTED_VALUE"""),"Virac")</f>
        <v>Virac</v>
      </c>
      <c r="Q783" s="2" t="str">
        <f>IFERROR(__xludf.DUMMYFUNCTION("""COMPUTED_VALUE"""),"Catanduanes")</f>
        <v>Catanduanes</v>
      </c>
      <c r="R783" s="2">
        <f>IFERROR(__xludf.DUMMYFUNCTION("""COMPUTED_VALUE"""),5.0)</f>
        <v>5</v>
      </c>
      <c r="S783" s="2"/>
      <c r="T783" s="2"/>
    </row>
    <row r="784">
      <c r="A784" s="1">
        <f>IFERROR(__xludf.DUMMYFUNCTION("""COMPUTED_VALUE"""),782.0)</f>
        <v>782</v>
      </c>
      <c r="B784" s="2" t="str">
        <f>IFERROR(__xludf.DUMMYFUNCTION("""COMPUTED_VALUE"""),"Balud Farmers and Fisherfolks Association INC")</f>
        <v>Balud Farmers and Fisherfolks Association INC</v>
      </c>
      <c r="C784" s="2" t="str">
        <f>IFERROR(__xludf.DUMMYFUNCTION("""COMPUTED_VALUE"""),"Ilaya, Balud, MASBATE")</f>
        <v>Ilaya, Balud, MASBATE</v>
      </c>
      <c r="D784" s="2" t="str">
        <f>IFERROR(__xludf.DUMMYFUNCTION("""COMPUTED_VALUE"""),"EDGARDO S. LOPEZ JR.")</f>
        <v>EDGARDO S. LOPEZ JR.</v>
      </c>
      <c r="E784" s="2" t="str">
        <f>IFERROR(__xludf.DUMMYFUNCTION("""COMPUTED_VALUE"""),"0938-927-6482")</f>
        <v>0938-927-6482</v>
      </c>
      <c r="F784" s="2" t="str">
        <f>IFERROR(__xludf.DUMMYFUNCTION("""COMPUTED_VALUE"""),"RCEF 25-03-05")</f>
        <v>RCEF 25-03-05</v>
      </c>
      <c r="G784" s="2">
        <f>IFERROR(__xludf.DUMMYFUNCTION("""COMPUTED_VALUE"""),6.0)</f>
        <v>6</v>
      </c>
      <c r="H784" s="2" t="str">
        <f>IFERROR(__xludf.DUMMYFUNCTION("""COMPUTED_VALUE"""),"26614 &amp; 27885")</f>
        <v>26614 &amp; 27885</v>
      </c>
      <c r="I784" s="2" t="str">
        <f>IFERROR(__xludf.DUMMYFUNCTION("""COMPUTED_VALUE"""),"KMC5825 ATSFPV0635")</f>
        <v>KMC5825 ATSFPV0635</v>
      </c>
      <c r="J784" s="3" t="str">
        <f>IFERROR(__xludf.DUMMYFUNCTION("""COMPUTED_VALUE"""),"STS100381")</f>
        <v>STS100381</v>
      </c>
      <c r="K784" s="2" t="str">
        <f>IFERROR(__xludf.DUMMYFUNCTION("""COMPUTED_VALUE"""),"WR-SERIES 1338PH")</f>
        <v>WR-SERIES 1338PH</v>
      </c>
      <c r="L784" s="3" t="str">
        <f>IFERROR(__xludf.DUMMYFUNCTION("""COMPUTED_VALUE"""),"2510772")</f>
        <v>2510772</v>
      </c>
      <c r="M784" s="3">
        <f>IFERROR(__xludf.DUMMYFUNCTION("""COMPUTED_VALUE"""),2.5121404E7)</f>
        <v>25121404</v>
      </c>
      <c r="N784" s="2"/>
      <c r="O784" s="2" t="str">
        <f>IFERROR(__xludf.DUMMYFUNCTION("""COMPUTED_VALUE"""),"Ilaya")</f>
        <v>Ilaya</v>
      </c>
      <c r="P784" s="2" t="str">
        <f>IFERROR(__xludf.DUMMYFUNCTION("""COMPUTED_VALUE"""),"Balud")</f>
        <v>Balud</v>
      </c>
      <c r="Q784" s="2" t="str">
        <f>IFERROR(__xludf.DUMMYFUNCTION("""COMPUTED_VALUE"""),"Masbate")</f>
        <v>Masbate</v>
      </c>
      <c r="R784" s="2">
        <f>IFERROR(__xludf.DUMMYFUNCTION("""COMPUTED_VALUE"""),5.0)</f>
        <v>5</v>
      </c>
      <c r="S784" s="2"/>
      <c r="T784" s="2"/>
    </row>
    <row r="785">
      <c r="A785" s="1">
        <f>IFERROR(__xludf.DUMMYFUNCTION("""COMPUTED_VALUE"""),783.0)</f>
        <v>783</v>
      </c>
      <c r="B785" s="2" t="str">
        <f>IFERROR(__xludf.DUMMYFUNCTION("""COMPUTED_VALUE"""),"San Andres Farmers Association INC")</f>
        <v>San Andres Farmers Association INC</v>
      </c>
      <c r="C785" s="2" t="str">
        <f>IFERROR(__xludf.DUMMYFUNCTION("""COMPUTED_VALUE"""),"San Andres (Quinayangan Dacu), Balud, MASBATE")</f>
        <v>San Andres (Quinayangan Dacu), Balud, MASBATE</v>
      </c>
      <c r="D785" s="2" t="str">
        <f>IFERROR(__xludf.DUMMYFUNCTION("""COMPUTED_VALUE"""),"KAREN L. ZAFRA")</f>
        <v>KAREN L. ZAFRA</v>
      </c>
      <c r="E785" s="2" t="str">
        <f>IFERROR(__xludf.DUMMYFUNCTION("""COMPUTED_VALUE"""),"0930 982 7397")</f>
        <v>0930 982 7397</v>
      </c>
      <c r="F785" s="2" t="str">
        <f>IFERROR(__xludf.DUMMYFUNCTION("""COMPUTED_VALUE"""),"RCEF 25-03-05")</f>
        <v>RCEF 25-03-05</v>
      </c>
      <c r="G785" s="2">
        <f>IFERROR(__xludf.DUMMYFUNCTION("""COMPUTED_VALUE"""),6.0)</f>
        <v>6</v>
      </c>
      <c r="H785" s="2" t="str">
        <f>IFERROR(__xludf.DUMMYFUNCTION("""COMPUTED_VALUE"""),"26615 &amp; 27886")</f>
        <v>26615 &amp; 27886</v>
      </c>
      <c r="I785" s="2" t="str">
        <f>IFERROR(__xludf.DUMMYFUNCTION("""COMPUTED_VALUE"""),"KMC5825 ALSFPV0645")</f>
        <v>KMC5825 ALSFPV0645</v>
      </c>
      <c r="J785" s="3" t="str">
        <f>IFERROR(__xludf.DUMMYFUNCTION("""COMPUTED_VALUE"""),"STS100388")</f>
        <v>STS100388</v>
      </c>
      <c r="K785" s="2" t="str">
        <f>IFERROR(__xludf.DUMMYFUNCTION("""COMPUTED_VALUE"""),"WR-SERIES 1339PH")</f>
        <v>WR-SERIES 1339PH</v>
      </c>
      <c r="L785" s="3" t="str">
        <f>IFERROR(__xludf.DUMMYFUNCTION("""COMPUTED_VALUE"""),"25080335")</f>
        <v>25080335</v>
      </c>
      <c r="M785" s="3">
        <f>IFERROR(__xludf.DUMMYFUNCTION("""COMPUTED_VALUE"""),2.5121405E7)</f>
        <v>25121405</v>
      </c>
      <c r="N785" s="2"/>
      <c r="O785" s="2" t="str">
        <f>IFERROR(__xludf.DUMMYFUNCTION("""COMPUTED_VALUE"""),"San Andres (Quinayangan Dacu)")</f>
        <v>San Andres (Quinayangan Dacu)</v>
      </c>
      <c r="P785" s="2" t="str">
        <f>IFERROR(__xludf.DUMMYFUNCTION("""COMPUTED_VALUE"""),"Balud")</f>
        <v>Balud</v>
      </c>
      <c r="Q785" s="2" t="str">
        <f>IFERROR(__xludf.DUMMYFUNCTION("""COMPUTED_VALUE"""),"Masbate")</f>
        <v>Masbate</v>
      </c>
      <c r="R785" s="2">
        <f>IFERROR(__xludf.DUMMYFUNCTION("""COMPUTED_VALUE"""),5.0)</f>
        <v>5</v>
      </c>
      <c r="S785" s="2"/>
      <c r="T785" s="2"/>
    </row>
    <row r="786">
      <c r="A786" s="1">
        <f>IFERROR(__xludf.DUMMYFUNCTION("""COMPUTED_VALUE"""),784.0)</f>
        <v>784</v>
      </c>
      <c r="B786" s="2" t="str">
        <f>IFERROR(__xludf.DUMMYFUNCTION("""COMPUTED_VALUE"""),"Municipal Local Government Unit of Mandaon")</f>
        <v>Municipal Local Government Unit of Mandaon</v>
      </c>
      <c r="C786" s="2" t="str">
        <f>IFERROR(__xludf.DUMMYFUNCTION("""COMPUTED_VALUE"""),"Poblacion, Mandaon, MASBATE")</f>
        <v>Poblacion, Mandaon, MASBATE</v>
      </c>
      <c r="D786" s="2" t="str">
        <f>IFERROR(__xludf.DUMMYFUNCTION("""COMPUTED_VALUE"""),"HON. KRISTINE SALVE E. HAO-KHO")</f>
        <v>HON. KRISTINE SALVE E. HAO-KHO</v>
      </c>
      <c r="E786" s="2" t="str">
        <f>IFERROR(__xludf.DUMMYFUNCTION("""COMPUTED_VALUE"""),"0908-915-6365")</f>
        <v>0908-915-6365</v>
      </c>
      <c r="F786" s="2" t="str">
        <f>IFERROR(__xludf.DUMMYFUNCTION("""COMPUTED_VALUE"""),"RCEF 25-03-05")</f>
        <v>RCEF 25-03-05</v>
      </c>
      <c r="G786" s="2">
        <f>IFERROR(__xludf.DUMMYFUNCTION("""COMPUTED_VALUE"""),6.0)</f>
        <v>6</v>
      </c>
      <c r="H786" s="2" t="str">
        <f>IFERROR(__xludf.DUMMYFUNCTION("""COMPUTED_VALUE"""),"26616 &amp; 27887")</f>
        <v>26616 &amp; 27887</v>
      </c>
      <c r="I786" s="2" t="str">
        <f>IFERROR(__xludf.DUMMYFUNCTION("""COMPUTED_VALUE"""),"KMC5825 AHSFPV0632")</f>
        <v>KMC5825 AHSFPV0632</v>
      </c>
      <c r="J786" s="3" t="str">
        <f>IFERROR(__xludf.DUMMYFUNCTION("""COMPUTED_VALUE"""),"STS100378")</f>
        <v>STS100378</v>
      </c>
      <c r="K786" s="2" t="str">
        <f>IFERROR(__xludf.DUMMYFUNCTION("""COMPUTED_VALUE"""),"WR-SERIES 1340PH")</f>
        <v>WR-SERIES 1340PH</v>
      </c>
      <c r="L786" s="3" t="str">
        <f>IFERROR(__xludf.DUMMYFUNCTION("""COMPUTED_VALUE"""),"2510767")</f>
        <v>2510767</v>
      </c>
      <c r="M786" s="3">
        <f>IFERROR(__xludf.DUMMYFUNCTION("""COMPUTED_VALUE"""),2.5121406E7)</f>
        <v>25121406</v>
      </c>
      <c r="N786" s="2"/>
      <c r="O786" s="2" t="str">
        <f>IFERROR(__xludf.DUMMYFUNCTION("""COMPUTED_VALUE"""),"Poblacion")</f>
        <v>Poblacion</v>
      </c>
      <c r="P786" s="2" t="str">
        <f>IFERROR(__xludf.DUMMYFUNCTION("""COMPUTED_VALUE"""),"Mandaon")</f>
        <v>Mandaon</v>
      </c>
      <c r="Q786" s="2" t="str">
        <f>IFERROR(__xludf.DUMMYFUNCTION("""COMPUTED_VALUE"""),"Masbate")</f>
        <v>Masbate</v>
      </c>
      <c r="R786" s="2">
        <f>IFERROR(__xludf.DUMMYFUNCTION("""COMPUTED_VALUE"""),5.0)</f>
        <v>5</v>
      </c>
      <c r="S786" s="2"/>
      <c r="T786" s="2"/>
    </row>
    <row r="787">
      <c r="A787" s="1">
        <f>IFERROR(__xludf.DUMMYFUNCTION("""COMPUTED_VALUE"""),785.0)</f>
        <v>785</v>
      </c>
      <c r="B787" s="2" t="str">
        <f>IFERROR(__xludf.DUMMYFUNCTION("""COMPUTED_VALUE"""),"Pawa Rice Farmers Association")</f>
        <v>Pawa Rice Farmers Association</v>
      </c>
      <c r="C787" s="2" t="str">
        <f>IFERROR(__xludf.DUMMYFUNCTION("""COMPUTED_VALUE"""),"Pawa, Masbate City, MASBATE")</f>
        <v>Pawa, Masbate City, MASBATE</v>
      </c>
      <c r="D787" s="2" t="str">
        <f>IFERROR(__xludf.DUMMYFUNCTION("""COMPUTED_VALUE"""),"Edilo C. Torres")</f>
        <v>Edilo C. Torres</v>
      </c>
      <c r="E787" s="2" t="str">
        <f>IFERROR(__xludf.DUMMYFUNCTION("""COMPUTED_VALUE"""),"0961 606 7409")</f>
        <v>0961 606 7409</v>
      </c>
      <c r="F787" s="2" t="str">
        <f>IFERROR(__xludf.DUMMYFUNCTION("""COMPUTED_VALUE"""),"RCEF 25-03-05")</f>
        <v>RCEF 25-03-05</v>
      </c>
      <c r="G787" s="2">
        <f>IFERROR(__xludf.DUMMYFUNCTION("""COMPUTED_VALUE"""),6.0)</f>
        <v>6</v>
      </c>
      <c r="H787" s="2" t="str">
        <f>IFERROR(__xludf.DUMMYFUNCTION("""COMPUTED_VALUE"""),"26617 &amp; 27888")</f>
        <v>26617 &amp; 27888</v>
      </c>
      <c r="I787" s="2" t="str">
        <f>IFERROR(__xludf.DUMMYFUNCTION("""COMPUTED_VALUE"""),"KMC5825 AESFPV0650")</f>
        <v>KMC5825 AESFPV0650</v>
      </c>
      <c r="J787" s="3" t="str">
        <f>IFERROR(__xludf.DUMMYFUNCTION("""COMPUTED_VALUE"""),"STS100407")</f>
        <v>STS100407</v>
      </c>
      <c r="K787" s="2" t="str">
        <f>IFERROR(__xludf.DUMMYFUNCTION("""COMPUTED_VALUE"""),"WR-SERIES 1341PH")</f>
        <v>WR-SERIES 1341PH</v>
      </c>
      <c r="L787" s="3" t="str">
        <f>IFERROR(__xludf.DUMMYFUNCTION("""COMPUTED_VALUE"""),"2510766")</f>
        <v>2510766</v>
      </c>
      <c r="M787" s="3">
        <f>IFERROR(__xludf.DUMMYFUNCTION("""COMPUTED_VALUE"""),2.5121407E7)</f>
        <v>25121407</v>
      </c>
      <c r="N787" s="2"/>
      <c r="O787" s="2" t="str">
        <f>IFERROR(__xludf.DUMMYFUNCTION("""COMPUTED_VALUE"""),"Pawa")</f>
        <v>Pawa</v>
      </c>
      <c r="P787" s="2" t="str">
        <f>IFERROR(__xludf.DUMMYFUNCTION("""COMPUTED_VALUE"""),"Masbate City")</f>
        <v>Masbate City</v>
      </c>
      <c r="Q787" s="2" t="str">
        <f>IFERROR(__xludf.DUMMYFUNCTION("""COMPUTED_VALUE"""),"Masbate")</f>
        <v>Masbate</v>
      </c>
      <c r="R787" s="2">
        <f>IFERROR(__xludf.DUMMYFUNCTION("""COMPUTED_VALUE"""),5.0)</f>
        <v>5</v>
      </c>
      <c r="S787" s="2"/>
      <c r="T787" s="2"/>
    </row>
    <row r="788">
      <c r="A788" s="1">
        <f>IFERROR(__xludf.DUMMYFUNCTION("""COMPUTED_VALUE"""),786.0)</f>
        <v>786</v>
      </c>
      <c r="B788" s="2" t="str">
        <f>IFERROR(__xludf.DUMMYFUNCTION("""COMPUTED_VALUE"""),"Municipal Local Government Unit of Mobo")</f>
        <v>Municipal Local Government Unit of Mobo</v>
      </c>
      <c r="C788" s="2" t="str">
        <f>IFERROR(__xludf.DUMMYFUNCTION("""COMPUTED_VALUE"""),"Poblacion Dist. I, Mobo, MASBATE")</f>
        <v>Poblacion Dist. I, Mobo, MASBATE</v>
      </c>
      <c r="D788" s="2" t="str">
        <f>IFERROR(__xludf.DUMMYFUNCTION("""COMPUTED_VALUE"""),"Hon. Raymund Osmundo N. Salvacion")</f>
        <v>Hon. Raymund Osmundo N. Salvacion</v>
      </c>
      <c r="E788" s="2" t="str">
        <f>IFERROR(__xludf.DUMMYFUNCTION("""COMPUTED_VALUE"""),"0921 636 7788")</f>
        <v>0921 636 7788</v>
      </c>
      <c r="F788" s="2" t="str">
        <f>IFERROR(__xludf.DUMMYFUNCTION("""COMPUTED_VALUE"""),"RCEF 25-03-05")</f>
        <v>RCEF 25-03-05</v>
      </c>
      <c r="G788" s="2">
        <f>IFERROR(__xludf.DUMMYFUNCTION("""COMPUTED_VALUE"""),6.0)</f>
        <v>6</v>
      </c>
      <c r="H788" s="2" t="str">
        <f>IFERROR(__xludf.DUMMYFUNCTION("""COMPUTED_VALUE"""),"26618 &amp; 27889")</f>
        <v>26618 &amp; 27889</v>
      </c>
      <c r="I788" s="2" t="str">
        <f>IFERROR(__xludf.DUMMYFUNCTION("""COMPUTED_VALUE"""),"KMC5825 AVSFPV0450")</f>
        <v>KMC5825 AVSFPV0450</v>
      </c>
      <c r="J788" s="3" t="str">
        <f>IFERROR(__xludf.DUMMYFUNCTION("""COMPUTED_VALUE"""),"STS100382")</f>
        <v>STS100382</v>
      </c>
      <c r="K788" s="2" t="str">
        <f>IFERROR(__xludf.DUMMYFUNCTION("""COMPUTED_VALUE"""),"WR-SERIES 1342PH")</f>
        <v>WR-SERIES 1342PH</v>
      </c>
      <c r="L788" s="3" t="str">
        <f>IFERROR(__xludf.DUMMYFUNCTION("""COMPUTED_VALUE"""),"25080325")</f>
        <v>25080325</v>
      </c>
      <c r="M788" s="3">
        <f>IFERROR(__xludf.DUMMYFUNCTION("""COMPUTED_VALUE"""),2.5121408E7)</f>
        <v>25121408</v>
      </c>
      <c r="N788" s="2"/>
      <c r="O788" s="2" t="str">
        <f>IFERROR(__xludf.DUMMYFUNCTION("""COMPUTED_VALUE"""),"Poblacion Dist. I")</f>
        <v>Poblacion Dist. I</v>
      </c>
      <c r="P788" s="2" t="str">
        <f>IFERROR(__xludf.DUMMYFUNCTION("""COMPUTED_VALUE"""),"Mobo")</f>
        <v>Mobo</v>
      </c>
      <c r="Q788" s="2" t="str">
        <f>IFERROR(__xludf.DUMMYFUNCTION("""COMPUTED_VALUE"""),"Masbate")</f>
        <v>Masbate</v>
      </c>
      <c r="R788" s="2">
        <f>IFERROR(__xludf.DUMMYFUNCTION("""COMPUTED_VALUE"""),5.0)</f>
        <v>5</v>
      </c>
      <c r="S788" s="2"/>
      <c r="T788" s="2"/>
    </row>
    <row r="789">
      <c r="A789" s="1">
        <f>IFERROR(__xludf.DUMMYFUNCTION("""COMPUTED_VALUE"""),787.0)</f>
        <v>787</v>
      </c>
      <c r="B789" s="2" t="str">
        <f>IFERROR(__xludf.DUMMYFUNCTION("""COMPUTED_VALUE"""),"ASSOCIATED CAWAYAN FARMERS FOR RICE COMMERCIALIZATION ENHANCEMENT (ACAF-RICE)")</f>
        <v>ASSOCIATED CAWAYAN FARMERS FOR RICE COMMERCIALIZATION ENHANCEMENT (ACAF-RICE)</v>
      </c>
      <c r="C789" s="2" t="str">
        <f>IFERROR(__xludf.DUMMYFUNCTION("""COMPUTED_VALUE"""),"Malbug, Cawayan, MASBATE")</f>
        <v>Malbug, Cawayan, MASBATE</v>
      </c>
      <c r="D789" s="2" t="str">
        <f>IFERROR(__xludf.DUMMYFUNCTION("""COMPUTED_VALUE"""),"CHITO B. MERCADER JR.")</f>
        <v>CHITO B. MERCADER JR.</v>
      </c>
      <c r="E789" s="2" t="str">
        <f>IFERROR(__xludf.DUMMYFUNCTION("""COMPUTED_VALUE"""),"0938 452 3132")</f>
        <v>0938 452 3132</v>
      </c>
      <c r="F789" s="2" t="str">
        <f>IFERROR(__xludf.DUMMYFUNCTION("""COMPUTED_VALUE"""),"RCEF 25-03-05")</f>
        <v>RCEF 25-03-05</v>
      </c>
      <c r="G789" s="2">
        <f>IFERROR(__xludf.DUMMYFUNCTION("""COMPUTED_VALUE"""),6.0)</f>
        <v>6</v>
      </c>
      <c r="H789" s="2" t="str">
        <f>IFERROR(__xludf.DUMMYFUNCTION("""COMPUTED_VALUE"""),"26619 &amp; 27890")</f>
        <v>26619 &amp; 27890</v>
      </c>
      <c r="I789" s="2" t="str">
        <f>IFERROR(__xludf.DUMMYFUNCTION("""COMPUTED_VALUE"""),"KMC5825 APSFPV0586")</f>
        <v>KMC5825 APSFPV0586</v>
      </c>
      <c r="J789" s="3" t="str">
        <f>IFERROR(__xludf.DUMMYFUNCTION("""COMPUTED_VALUE"""),"STS100644")</f>
        <v>STS100644</v>
      </c>
      <c r="K789" s="2" t="str">
        <f>IFERROR(__xludf.DUMMYFUNCTION("""COMPUTED_VALUE"""),"WR-SERIES 1343PH")</f>
        <v>WR-SERIES 1343PH</v>
      </c>
      <c r="L789" s="3" t="str">
        <f>IFERROR(__xludf.DUMMYFUNCTION("""COMPUTED_VALUE"""),"2510791")</f>
        <v>2510791</v>
      </c>
      <c r="M789" s="3">
        <f>IFERROR(__xludf.DUMMYFUNCTION("""COMPUTED_VALUE"""),2.5121409E7)</f>
        <v>25121409</v>
      </c>
      <c r="N789" s="2"/>
      <c r="O789" s="2" t="str">
        <f>IFERROR(__xludf.DUMMYFUNCTION("""COMPUTED_VALUE"""),"Malbug")</f>
        <v>Malbug</v>
      </c>
      <c r="P789" s="2" t="str">
        <f>IFERROR(__xludf.DUMMYFUNCTION("""COMPUTED_VALUE"""),"Cawayan")</f>
        <v>Cawayan</v>
      </c>
      <c r="Q789" s="2" t="str">
        <f>IFERROR(__xludf.DUMMYFUNCTION("""COMPUTED_VALUE"""),"Masbate")</f>
        <v>Masbate</v>
      </c>
      <c r="R789" s="2">
        <f>IFERROR(__xludf.DUMMYFUNCTION("""COMPUTED_VALUE"""),5.0)</f>
        <v>5</v>
      </c>
      <c r="S789" s="2"/>
      <c r="T789" s="2"/>
    </row>
    <row r="790">
      <c r="A790" s="1">
        <f>IFERROR(__xludf.DUMMYFUNCTION("""COMPUTED_VALUE"""),788.0)</f>
        <v>788</v>
      </c>
      <c r="B790" s="2" t="str">
        <f>IFERROR(__xludf.DUMMYFUNCTION("""COMPUTED_VALUE"""),"Cabayugan Farmers Association")</f>
        <v>Cabayugan Farmers Association</v>
      </c>
      <c r="C790" s="2" t="str">
        <f>IFERROR(__xludf.DUMMYFUNCTION("""COMPUTED_VALUE"""),"Cabayugan, Cawayan, MASBATE")</f>
        <v>Cabayugan, Cawayan, MASBATE</v>
      </c>
      <c r="D790" s="2" t="str">
        <f>IFERROR(__xludf.DUMMYFUNCTION("""COMPUTED_VALUE"""),"LOWILA B. LLEMA")</f>
        <v>LOWILA B. LLEMA</v>
      </c>
      <c r="E790" s="2" t="str">
        <f>IFERROR(__xludf.DUMMYFUNCTION("""COMPUTED_VALUE"""),"0962- 336-2418")</f>
        <v>0962- 336-2418</v>
      </c>
      <c r="F790" s="2" t="str">
        <f>IFERROR(__xludf.DUMMYFUNCTION("""COMPUTED_VALUE"""),"RCEF 25-03-05")</f>
        <v>RCEF 25-03-05</v>
      </c>
      <c r="G790" s="2">
        <f>IFERROR(__xludf.DUMMYFUNCTION("""COMPUTED_VALUE"""),6.0)</f>
        <v>6</v>
      </c>
      <c r="H790" s="2" t="str">
        <f>IFERROR(__xludf.DUMMYFUNCTION("""COMPUTED_VALUE"""),"26620 &amp; 27891")</f>
        <v>26620 &amp; 27891</v>
      </c>
      <c r="I790" s="2" t="str">
        <f>IFERROR(__xludf.DUMMYFUNCTION("""COMPUTED_VALUE"""),"KMC5825 AVSFPV0447")</f>
        <v>KMC5825 AVSFPV0447</v>
      </c>
      <c r="J790" s="3" t="str">
        <f>IFERROR(__xludf.DUMMYFUNCTION("""COMPUTED_VALUE"""),"STS100387")</f>
        <v>STS100387</v>
      </c>
      <c r="K790" s="2" t="str">
        <f>IFERROR(__xludf.DUMMYFUNCTION("""COMPUTED_VALUE"""),"WR-SERIES 1344PH")</f>
        <v>WR-SERIES 1344PH</v>
      </c>
      <c r="L790" s="3" t="str">
        <f>IFERROR(__xludf.DUMMYFUNCTION("""COMPUTED_VALUE"""),"2510785")</f>
        <v>2510785</v>
      </c>
      <c r="M790" s="3">
        <f>IFERROR(__xludf.DUMMYFUNCTION("""COMPUTED_VALUE"""),2.512141E7)</f>
        <v>25121410</v>
      </c>
      <c r="N790" s="2"/>
      <c r="O790" s="2" t="str">
        <f>IFERROR(__xludf.DUMMYFUNCTION("""COMPUTED_VALUE"""),"Cabayugan")</f>
        <v>Cabayugan</v>
      </c>
      <c r="P790" s="2" t="str">
        <f>IFERROR(__xludf.DUMMYFUNCTION("""COMPUTED_VALUE"""),"Cawayan")</f>
        <v>Cawayan</v>
      </c>
      <c r="Q790" s="2" t="str">
        <f>IFERROR(__xludf.DUMMYFUNCTION("""COMPUTED_VALUE"""),"Masbate")</f>
        <v>Masbate</v>
      </c>
      <c r="R790" s="2">
        <f>IFERROR(__xludf.DUMMYFUNCTION("""COMPUTED_VALUE"""),5.0)</f>
        <v>5</v>
      </c>
      <c r="S790" s="2"/>
      <c r="T790" s="2"/>
    </row>
    <row r="791">
      <c r="A791" s="1">
        <f>IFERROR(__xludf.DUMMYFUNCTION("""COMPUTED_VALUE"""),789.0)</f>
        <v>789</v>
      </c>
      <c r="B791" s="2" t="str">
        <f>IFERROR(__xludf.DUMMYFUNCTION("""COMPUTED_VALUE"""),"CALUMPANG FARMER'S ORGANIZATION (CAFO)")</f>
        <v>CALUMPANG FARMER'S ORGANIZATION (CAFO)</v>
      </c>
      <c r="C791" s="2" t="str">
        <f>IFERROR(__xludf.DUMMYFUNCTION("""COMPUTED_VALUE"""),"Calumpang, Cawayan, MASBATE")</f>
        <v>Calumpang, Cawayan, MASBATE</v>
      </c>
      <c r="D791" s="2" t="str">
        <f>IFERROR(__xludf.DUMMYFUNCTION("""COMPUTED_VALUE"""),"Ferdinand C. Ylaran")</f>
        <v>Ferdinand C. Ylaran</v>
      </c>
      <c r="E791" s="2" t="str">
        <f>IFERROR(__xludf.DUMMYFUNCTION("""COMPUTED_VALUE"""),"0936 429 6162")</f>
        <v>0936 429 6162</v>
      </c>
      <c r="F791" s="2" t="str">
        <f>IFERROR(__xludf.DUMMYFUNCTION("""COMPUTED_VALUE"""),"RCEF 25-03-05")</f>
        <v>RCEF 25-03-05</v>
      </c>
      <c r="G791" s="2">
        <f>IFERROR(__xludf.DUMMYFUNCTION("""COMPUTED_VALUE"""),6.0)</f>
        <v>6</v>
      </c>
      <c r="H791" s="2" t="str">
        <f>IFERROR(__xludf.DUMMYFUNCTION("""COMPUTED_VALUE"""),"26621 &amp; 27892")</f>
        <v>26621 &amp; 27892</v>
      </c>
      <c r="I791" s="2" t="str">
        <f>IFERROR(__xludf.DUMMYFUNCTION("""COMPUTED_VALUE"""),"KMC5825 ATSFPV0585")</f>
        <v>KMC5825 ATSFPV0585</v>
      </c>
      <c r="J791" s="3" t="str">
        <f>IFERROR(__xludf.DUMMYFUNCTION("""COMPUTED_VALUE"""),"STS100643")</f>
        <v>STS100643</v>
      </c>
      <c r="K791" s="2" t="str">
        <f>IFERROR(__xludf.DUMMYFUNCTION("""COMPUTED_VALUE"""),"WR-SERIES 1345PH")</f>
        <v>WR-SERIES 1345PH</v>
      </c>
      <c r="L791" s="3" t="str">
        <f>IFERROR(__xludf.DUMMYFUNCTION("""COMPUTED_VALUE"""),"25080338")</f>
        <v>25080338</v>
      </c>
      <c r="M791" s="3">
        <f>IFERROR(__xludf.DUMMYFUNCTION("""COMPUTED_VALUE"""),2.5121411E7)</f>
        <v>25121411</v>
      </c>
      <c r="N791" s="2"/>
      <c r="O791" s="2" t="str">
        <f>IFERROR(__xludf.DUMMYFUNCTION("""COMPUTED_VALUE"""),"Calumpang")</f>
        <v>Calumpang</v>
      </c>
      <c r="P791" s="2" t="str">
        <f>IFERROR(__xludf.DUMMYFUNCTION("""COMPUTED_VALUE"""),"Cawayan")</f>
        <v>Cawayan</v>
      </c>
      <c r="Q791" s="2" t="str">
        <f>IFERROR(__xludf.DUMMYFUNCTION("""COMPUTED_VALUE"""),"Masbate")</f>
        <v>Masbate</v>
      </c>
      <c r="R791" s="2">
        <f>IFERROR(__xludf.DUMMYFUNCTION("""COMPUTED_VALUE"""),5.0)</f>
        <v>5</v>
      </c>
      <c r="S791" s="2"/>
      <c r="T791" s="2"/>
    </row>
    <row r="792">
      <c r="A792" s="1">
        <f>IFERROR(__xludf.DUMMYFUNCTION("""COMPUTED_VALUE"""),790.0)</f>
        <v>790</v>
      </c>
      <c r="B792" s="2" t="str">
        <f>IFERROR(__xludf.DUMMYFUNCTION("""COMPUTED_VALUE"""),"LIBERTAD CAWAYAN AGRARIAN REFORM COOPERATIVE")</f>
        <v>LIBERTAD CAWAYAN AGRARIAN REFORM COOPERATIVE</v>
      </c>
      <c r="C792" s="2" t="str">
        <f>IFERROR(__xludf.DUMMYFUNCTION("""COMPUTED_VALUE"""),"Libertad, Cawayan, MASBATE")</f>
        <v>Libertad, Cawayan, MASBATE</v>
      </c>
      <c r="D792" s="2" t="str">
        <f>IFERROR(__xludf.DUMMYFUNCTION("""COMPUTED_VALUE"""),"CHARLON Y. LIPAR")</f>
        <v>CHARLON Y. LIPAR</v>
      </c>
      <c r="E792" s="2" t="str">
        <f>IFERROR(__xludf.DUMMYFUNCTION("""COMPUTED_VALUE"""),"0916-679-6787")</f>
        <v>0916-679-6787</v>
      </c>
      <c r="F792" s="2" t="str">
        <f>IFERROR(__xludf.DUMMYFUNCTION("""COMPUTED_VALUE"""),"RCEF 25-03-05")</f>
        <v>RCEF 25-03-05</v>
      </c>
      <c r="G792" s="2">
        <f>IFERROR(__xludf.DUMMYFUNCTION("""COMPUTED_VALUE"""),6.0)</f>
        <v>6</v>
      </c>
      <c r="H792" s="2" t="str">
        <f>IFERROR(__xludf.DUMMYFUNCTION("""COMPUTED_VALUE"""),"26622 &amp; 27893")</f>
        <v>26622 &amp; 27893</v>
      </c>
      <c r="I792" s="2" t="str">
        <f>IFERROR(__xludf.DUMMYFUNCTION("""COMPUTED_VALUE"""),"KMC5825 AVSFPV0612")</f>
        <v>KMC5825 AVSFPV0612</v>
      </c>
      <c r="J792" s="3" t="str">
        <f>IFERROR(__xludf.DUMMYFUNCTION("""COMPUTED_VALUE"""),"STS100497")</f>
        <v>STS100497</v>
      </c>
      <c r="K792" s="2" t="str">
        <f>IFERROR(__xludf.DUMMYFUNCTION("""COMPUTED_VALUE"""),"WR-SERIES 1346PH")</f>
        <v>WR-SERIES 1346PH</v>
      </c>
      <c r="L792" s="3" t="str">
        <f>IFERROR(__xludf.DUMMYFUNCTION("""COMPUTED_VALUE"""),"2510804")</f>
        <v>2510804</v>
      </c>
      <c r="M792" s="3">
        <f>IFERROR(__xludf.DUMMYFUNCTION("""COMPUTED_VALUE"""),2.5121412E7)</f>
        <v>25121412</v>
      </c>
      <c r="N792" s="2"/>
      <c r="O792" s="2" t="str">
        <f>IFERROR(__xludf.DUMMYFUNCTION("""COMPUTED_VALUE"""),"Libertad")</f>
        <v>Libertad</v>
      </c>
      <c r="P792" s="2" t="str">
        <f>IFERROR(__xludf.DUMMYFUNCTION("""COMPUTED_VALUE"""),"Cawayan")</f>
        <v>Cawayan</v>
      </c>
      <c r="Q792" s="2" t="str">
        <f>IFERROR(__xludf.DUMMYFUNCTION("""COMPUTED_VALUE"""),"Masbate")</f>
        <v>Masbate</v>
      </c>
      <c r="R792" s="2">
        <f>IFERROR(__xludf.DUMMYFUNCTION("""COMPUTED_VALUE"""),5.0)</f>
        <v>5</v>
      </c>
      <c r="S792" s="2"/>
      <c r="T792" s="2"/>
    </row>
    <row r="793">
      <c r="A793" s="1">
        <f>IFERROR(__xludf.DUMMYFUNCTION("""COMPUTED_VALUE"""),791.0)</f>
        <v>791</v>
      </c>
      <c r="B793" s="2" t="str">
        <f>IFERROR(__xludf.DUMMYFUNCTION("""COMPUTED_VALUE"""),"Panan-awan Farmers Association")</f>
        <v>Panan-awan Farmers Association</v>
      </c>
      <c r="C793" s="2" t="str">
        <f>IFERROR(__xludf.DUMMYFUNCTION("""COMPUTED_VALUE"""),"Pananawan, Cawayan, MASBATE")</f>
        <v>Pananawan, Cawayan, MASBATE</v>
      </c>
      <c r="D793" s="2" t="str">
        <f>IFERROR(__xludf.DUMMYFUNCTION("""COMPUTED_VALUE"""),"HERMES M. LOCAYLOCAY")</f>
        <v>HERMES M. LOCAYLOCAY</v>
      </c>
      <c r="E793" s="2" t="str">
        <f>IFERROR(__xludf.DUMMYFUNCTION("""COMPUTED_VALUE"""),"0956 -58-3650")</f>
        <v>0956 -58-3650</v>
      </c>
      <c r="F793" s="2" t="str">
        <f>IFERROR(__xludf.DUMMYFUNCTION("""COMPUTED_VALUE"""),"RCEF 25-03-05")</f>
        <v>RCEF 25-03-05</v>
      </c>
      <c r="G793" s="2">
        <f>IFERROR(__xludf.DUMMYFUNCTION("""COMPUTED_VALUE"""),6.0)</f>
        <v>6</v>
      </c>
      <c r="H793" s="2" t="str">
        <f>IFERROR(__xludf.DUMMYFUNCTION("""COMPUTED_VALUE"""),"26623 &amp; 27894")</f>
        <v>26623 &amp; 27894</v>
      </c>
      <c r="I793" s="2" t="str">
        <f>IFERROR(__xludf.DUMMYFUNCTION("""COMPUTED_VALUE"""),"KMC5825 ACSFPV0388")</f>
        <v>KMC5825 ACSFPV0388</v>
      </c>
      <c r="J793" s="3" t="str">
        <f>IFERROR(__xludf.DUMMYFUNCTION("""COMPUTED_VALUE"""),"STS100458")</f>
        <v>STS100458</v>
      </c>
      <c r="K793" s="2" t="str">
        <f>IFERROR(__xludf.DUMMYFUNCTION("""COMPUTED_VALUE"""),"WR-SERIES 1347PH")</f>
        <v>WR-SERIES 1347PH</v>
      </c>
      <c r="L793" s="3" t="str">
        <f>IFERROR(__xludf.DUMMYFUNCTION("""COMPUTED_VALUE"""),"2510840")</f>
        <v>2510840</v>
      </c>
      <c r="M793" s="3">
        <f>IFERROR(__xludf.DUMMYFUNCTION("""COMPUTED_VALUE"""),2.5121413E7)</f>
        <v>25121413</v>
      </c>
      <c r="N793" s="2"/>
      <c r="O793" s="2" t="str">
        <f>IFERROR(__xludf.DUMMYFUNCTION("""COMPUTED_VALUE"""),"Pananawan")</f>
        <v>Pananawan</v>
      </c>
      <c r="P793" s="2" t="str">
        <f>IFERROR(__xludf.DUMMYFUNCTION("""COMPUTED_VALUE"""),"Cawayan")</f>
        <v>Cawayan</v>
      </c>
      <c r="Q793" s="2" t="str">
        <f>IFERROR(__xludf.DUMMYFUNCTION("""COMPUTED_VALUE"""),"Masbate")</f>
        <v>Masbate</v>
      </c>
      <c r="R793" s="2">
        <f>IFERROR(__xludf.DUMMYFUNCTION("""COMPUTED_VALUE"""),5.0)</f>
        <v>5</v>
      </c>
      <c r="S793" s="2"/>
      <c r="T793" s="2"/>
    </row>
    <row r="794">
      <c r="A794" s="1">
        <f>IFERROR(__xludf.DUMMYFUNCTION("""COMPUTED_VALUE"""),792.0)</f>
        <v>792</v>
      </c>
      <c r="B794" s="2" t="str">
        <f>IFERROR(__xludf.DUMMYFUNCTION("""COMPUTED_VALUE"""),"PIN-AS FARMERS ASSOCIATION")</f>
        <v>PIN-AS FARMERS ASSOCIATION</v>
      </c>
      <c r="C794" s="2" t="str">
        <f>IFERROR(__xludf.DUMMYFUNCTION("""COMPUTED_VALUE"""),"Pin-As, Cawayan, MASBATE")</f>
        <v>Pin-As, Cawayan, MASBATE</v>
      </c>
      <c r="D794" s="2" t="str">
        <f>IFERROR(__xludf.DUMMYFUNCTION("""COMPUTED_VALUE"""),"JOEL B. VILLOSILLO")</f>
        <v>JOEL B. VILLOSILLO</v>
      </c>
      <c r="E794" s="2" t="str">
        <f>IFERROR(__xludf.DUMMYFUNCTION("""COMPUTED_VALUE"""),"0955-604-6054")</f>
        <v>0955-604-6054</v>
      </c>
      <c r="F794" s="2" t="str">
        <f>IFERROR(__xludf.DUMMYFUNCTION("""COMPUTED_VALUE"""),"RCEF 25-03-05")</f>
        <v>RCEF 25-03-05</v>
      </c>
      <c r="G794" s="2">
        <f>IFERROR(__xludf.DUMMYFUNCTION("""COMPUTED_VALUE"""),6.0)</f>
        <v>6</v>
      </c>
      <c r="H794" s="2" t="str">
        <f>IFERROR(__xludf.DUMMYFUNCTION("""COMPUTED_VALUE"""),"26624 &amp; 27895")</f>
        <v>26624 &amp; 27895</v>
      </c>
      <c r="I794" s="2" t="str">
        <f>IFERROR(__xludf.DUMMYFUNCTION("""COMPUTED_VALUE"""),"KMC5825 AJSFPV0414")</f>
        <v>KMC5825 AJSFPV0414</v>
      </c>
      <c r="J794" s="3" t="str">
        <f>IFERROR(__xludf.DUMMYFUNCTION("""COMPUTED_VALUE"""),"STS100480")</f>
        <v>STS100480</v>
      </c>
      <c r="K794" s="2" t="str">
        <f>IFERROR(__xludf.DUMMYFUNCTION("""COMPUTED_VALUE"""),"WR-SERIES 1348PH")</f>
        <v>WR-SERIES 1348PH</v>
      </c>
      <c r="L794" s="3" t="str">
        <f>IFERROR(__xludf.DUMMYFUNCTION("""COMPUTED_VALUE"""),"2510766")</f>
        <v>2510766</v>
      </c>
      <c r="M794" s="3">
        <f>IFERROR(__xludf.DUMMYFUNCTION("""COMPUTED_VALUE"""),2.5121414E7)</f>
        <v>25121414</v>
      </c>
      <c r="N794" s="2"/>
      <c r="O794" s="2" t="str">
        <f>IFERROR(__xludf.DUMMYFUNCTION("""COMPUTED_VALUE"""),"Pin-As")</f>
        <v>Pin-As</v>
      </c>
      <c r="P794" s="2" t="str">
        <f>IFERROR(__xludf.DUMMYFUNCTION("""COMPUTED_VALUE"""),"Cawayan")</f>
        <v>Cawayan</v>
      </c>
      <c r="Q794" s="2" t="str">
        <f>IFERROR(__xludf.DUMMYFUNCTION("""COMPUTED_VALUE"""),"Masbate")</f>
        <v>Masbate</v>
      </c>
      <c r="R794" s="2">
        <f>IFERROR(__xludf.DUMMYFUNCTION("""COMPUTED_VALUE"""),5.0)</f>
        <v>5</v>
      </c>
      <c r="S794" s="2"/>
      <c r="T794" s="2"/>
    </row>
    <row r="795">
      <c r="A795" s="1">
        <f>IFERROR(__xludf.DUMMYFUNCTION("""COMPUTED_VALUE"""),793.0)</f>
        <v>793</v>
      </c>
      <c r="B795" s="2" t="str">
        <f>IFERROR(__xludf.DUMMYFUNCTION("""COMPUTED_VALUE"""),"PULOT ACTIVE LIVELIHOOD ORGANIZATION (PAFLO)")</f>
        <v>PULOT ACTIVE LIVELIHOOD ORGANIZATION (PAFLO)</v>
      </c>
      <c r="C795" s="2" t="str">
        <f>IFERROR(__xludf.DUMMYFUNCTION("""COMPUTED_VALUE"""),"Pulot, Cawayan, MASBATE")</f>
        <v>Pulot, Cawayan, MASBATE</v>
      </c>
      <c r="D795" s="2" t="str">
        <f>IFERROR(__xludf.DUMMYFUNCTION("""COMPUTED_VALUE"""),"JOEY M. VERDIDA")</f>
        <v>JOEY M. VERDIDA</v>
      </c>
      <c r="E795" s="2" t="str">
        <f>IFERROR(__xludf.DUMMYFUNCTION("""COMPUTED_VALUE"""),"0909-170-8951")</f>
        <v>0909-170-8951</v>
      </c>
      <c r="F795" s="2" t="str">
        <f>IFERROR(__xludf.DUMMYFUNCTION("""COMPUTED_VALUE"""),"RCEF 25-03-05")</f>
        <v>RCEF 25-03-05</v>
      </c>
      <c r="G795" s="2">
        <f>IFERROR(__xludf.DUMMYFUNCTION("""COMPUTED_VALUE"""),6.0)</f>
        <v>6</v>
      </c>
      <c r="H795" s="2" t="str">
        <f>IFERROR(__xludf.DUMMYFUNCTION("""COMPUTED_VALUE"""),"26625 &amp; 27896")</f>
        <v>26625 &amp; 27896</v>
      </c>
      <c r="I795" s="2" t="str">
        <f>IFERROR(__xludf.DUMMYFUNCTION("""COMPUTED_VALUE"""),"KMC5825 AASFPV0613")</f>
        <v>KMC5825 AASFPV0613</v>
      </c>
      <c r="J795" s="3" t="str">
        <f>IFERROR(__xludf.DUMMYFUNCTION("""COMPUTED_VALUE"""),"STS100529")</f>
        <v>STS100529</v>
      </c>
      <c r="K795" s="2" t="str">
        <f>IFERROR(__xludf.DUMMYFUNCTION("""COMPUTED_VALUE"""),"WR-SERIES 1349PH")</f>
        <v>WR-SERIES 1349PH</v>
      </c>
      <c r="L795" s="3" t="str">
        <f>IFERROR(__xludf.DUMMYFUNCTION("""COMPUTED_VALUE"""),"2510838")</f>
        <v>2510838</v>
      </c>
      <c r="M795" s="3">
        <f>IFERROR(__xludf.DUMMYFUNCTION("""COMPUTED_VALUE"""),2.5121415E7)</f>
        <v>25121415</v>
      </c>
      <c r="N795" s="2"/>
      <c r="O795" s="2" t="str">
        <f>IFERROR(__xludf.DUMMYFUNCTION("""COMPUTED_VALUE"""),"Pulot")</f>
        <v>Pulot</v>
      </c>
      <c r="P795" s="2" t="str">
        <f>IFERROR(__xludf.DUMMYFUNCTION("""COMPUTED_VALUE"""),"Cawayan")</f>
        <v>Cawayan</v>
      </c>
      <c r="Q795" s="2" t="str">
        <f>IFERROR(__xludf.DUMMYFUNCTION("""COMPUTED_VALUE"""),"Masbate")</f>
        <v>Masbate</v>
      </c>
      <c r="R795" s="2">
        <f>IFERROR(__xludf.DUMMYFUNCTION("""COMPUTED_VALUE"""),5.0)</f>
        <v>5</v>
      </c>
      <c r="S795" s="2"/>
      <c r="T795" s="2"/>
    </row>
    <row r="796">
      <c r="A796" s="1">
        <f>IFERROR(__xludf.DUMMYFUNCTION("""COMPUTED_VALUE"""),794.0)</f>
        <v>794</v>
      </c>
      <c r="B796" s="2" t="str">
        <f>IFERROR(__xludf.DUMMYFUNCTION("""COMPUTED_VALUE"""),"R.M MAGBALON FARMERS ASSOCIATION")</f>
        <v>R.M MAGBALON FARMERS ASSOCIATION</v>
      </c>
      <c r="C796" s="2" t="str">
        <f>IFERROR(__xludf.DUMMYFUNCTION("""COMPUTED_VALUE"""),"R.M. Magbalon (Bebinan), Cawayan, MASBATE")</f>
        <v>R.M. Magbalon (Bebinan), Cawayan, MASBATE</v>
      </c>
      <c r="D796" s="2" t="str">
        <f>IFERROR(__xludf.DUMMYFUNCTION("""COMPUTED_VALUE"""),"Jerson O. Maribojoc")</f>
        <v>Jerson O. Maribojoc</v>
      </c>
      <c r="E796" s="2" t="str">
        <f>IFERROR(__xludf.DUMMYFUNCTION("""COMPUTED_VALUE"""),"0960 554 0643")</f>
        <v>0960 554 0643</v>
      </c>
      <c r="F796" s="2" t="str">
        <f>IFERROR(__xludf.DUMMYFUNCTION("""COMPUTED_VALUE"""),"RCEF 25-03-05")</f>
        <v>RCEF 25-03-05</v>
      </c>
      <c r="G796" s="2">
        <f>IFERROR(__xludf.DUMMYFUNCTION("""COMPUTED_VALUE"""),6.0)</f>
        <v>6</v>
      </c>
      <c r="H796" s="2" t="str">
        <f>IFERROR(__xludf.DUMMYFUNCTION("""COMPUTED_VALUE"""),"26626 &amp; 27897")</f>
        <v>26626 &amp; 27897</v>
      </c>
      <c r="I796" s="2" t="str">
        <f>IFERROR(__xludf.DUMMYFUNCTION("""COMPUTED_VALUE"""),"KMC5825 APSFPV0409")</f>
        <v>KMC5825 APSFPV0409</v>
      </c>
      <c r="J796" s="3" t="str">
        <f>IFERROR(__xludf.DUMMYFUNCTION("""COMPUTED_VALUE"""),"STS100467")</f>
        <v>STS100467</v>
      </c>
      <c r="K796" s="2" t="str">
        <f>IFERROR(__xludf.DUMMYFUNCTION("""COMPUTED_VALUE"""),"WR-SERIES 1350PH")</f>
        <v>WR-SERIES 1350PH</v>
      </c>
      <c r="L796" s="3" t="str">
        <f>IFERROR(__xludf.DUMMYFUNCTION("""COMPUTED_VALUE"""),"2510777")</f>
        <v>2510777</v>
      </c>
      <c r="M796" s="3">
        <f>IFERROR(__xludf.DUMMYFUNCTION("""COMPUTED_VALUE"""),2.5121416E7)</f>
        <v>25121416</v>
      </c>
      <c r="N796" s="2"/>
      <c r="O796" s="2" t="str">
        <f>IFERROR(__xludf.DUMMYFUNCTION("""COMPUTED_VALUE"""),"R.M. Magbalon (Bebinan)")</f>
        <v>R.M. Magbalon (Bebinan)</v>
      </c>
      <c r="P796" s="2" t="str">
        <f>IFERROR(__xludf.DUMMYFUNCTION("""COMPUTED_VALUE"""),"Cawayan")</f>
        <v>Cawayan</v>
      </c>
      <c r="Q796" s="2" t="str">
        <f>IFERROR(__xludf.DUMMYFUNCTION("""COMPUTED_VALUE"""),"Masbate")</f>
        <v>Masbate</v>
      </c>
      <c r="R796" s="2">
        <f>IFERROR(__xludf.DUMMYFUNCTION("""COMPUTED_VALUE"""),5.0)</f>
        <v>5</v>
      </c>
      <c r="S796" s="2"/>
      <c r="T796" s="2"/>
    </row>
    <row r="797">
      <c r="A797" s="1">
        <f>IFERROR(__xludf.DUMMYFUNCTION("""COMPUTED_VALUE"""),795.0)</f>
        <v>795</v>
      </c>
      <c r="B797" s="2" t="str">
        <f>IFERROR(__xludf.DUMMYFUNCTION("""COMPUTED_VALUE"""),"TABERNA RICE FARMERS ASSOCIATION")</f>
        <v>TABERNA RICE FARMERS ASSOCIATION</v>
      </c>
      <c r="C797" s="2" t="str">
        <f>IFERROR(__xludf.DUMMYFUNCTION("""COMPUTED_VALUE"""),"Taberna, Cawayan, MASBATE")</f>
        <v>Taberna, Cawayan, MASBATE</v>
      </c>
      <c r="D797" s="2" t="str">
        <f>IFERROR(__xludf.DUMMYFUNCTION("""COMPUTED_VALUE"""),"Leopoldo B. Barcinas")</f>
        <v>Leopoldo B. Barcinas</v>
      </c>
      <c r="E797" s="2" t="str">
        <f>IFERROR(__xludf.DUMMYFUNCTION("""COMPUTED_VALUE"""),"0968 281 0216")</f>
        <v>0968 281 0216</v>
      </c>
      <c r="F797" s="2" t="str">
        <f>IFERROR(__xludf.DUMMYFUNCTION("""COMPUTED_VALUE"""),"RCEF 25-03-05")</f>
        <v>RCEF 25-03-05</v>
      </c>
      <c r="G797" s="2">
        <f>IFERROR(__xludf.DUMMYFUNCTION("""COMPUTED_VALUE"""),6.0)</f>
        <v>6</v>
      </c>
      <c r="H797" s="2" t="str">
        <f>IFERROR(__xludf.DUMMYFUNCTION("""COMPUTED_VALUE"""),"26627 &amp; 27898")</f>
        <v>26627 &amp; 27898</v>
      </c>
      <c r="I797" s="2" t="str">
        <f>IFERROR(__xludf.DUMMYFUNCTION("""COMPUTED_VALUE"""),"KMC5825 ACSFPV0407")</f>
        <v>KMC5825 ACSFPV0407</v>
      </c>
      <c r="J797" s="3" t="str">
        <f>IFERROR(__xludf.DUMMYFUNCTION("""COMPUTED_VALUE"""),"STS100472")</f>
        <v>STS100472</v>
      </c>
      <c r="K797" s="2" t="str">
        <f>IFERROR(__xludf.DUMMYFUNCTION("""COMPUTED_VALUE"""),"WR-SERIES 1351PH")</f>
        <v>WR-SERIES 1351PH</v>
      </c>
      <c r="L797" s="3" t="str">
        <f>IFERROR(__xludf.DUMMYFUNCTION("""COMPUTED_VALUE"""),"2510774")</f>
        <v>2510774</v>
      </c>
      <c r="M797" s="3">
        <f>IFERROR(__xludf.DUMMYFUNCTION("""COMPUTED_VALUE"""),2.5121417E7)</f>
        <v>25121417</v>
      </c>
      <c r="N797" s="2"/>
      <c r="O797" s="2" t="str">
        <f>IFERROR(__xludf.DUMMYFUNCTION("""COMPUTED_VALUE"""),"Taberna")</f>
        <v>Taberna</v>
      </c>
      <c r="P797" s="2" t="str">
        <f>IFERROR(__xludf.DUMMYFUNCTION("""COMPUTED_VALUE"""),"Cawayan")</f>
        <v>Cawayan</v>
      </c>
      <c r="Q797" s="2" t="str">
        <f>IFERROR(__xludf.DUMMYFUNCTION("""COMPUTED_VALUE"""),"Masbate")</f>
        <v>Masbate</v>
      </c>
      <c r="R797" s="2">
        <f>IFERROR(__xludf.DUMMYFUNCTION("""COMPUTED_VALUE"""),5.0)</f>
        <v>5</v>
      </c>
      <c r="S797" s="2"/>
      <c r="T797" s="2"/>
    </row>
    <row r="798">
      <c r="A798" s="1">
        <f>IFERROR(__xludf.DUMMYFUNCTION("""COMPUTED_VALUE"""),796.0)</f>
        <v>796</v>
      </c>
      <c r="B798" s="2" t="str">
        <f>IFERROR(__xludf.DUMMYFUNCTION("""COMPUTED_VALUE"""),"Municipal Local Government Unit of Dimasalang")</f>
        <v>Municipal Local Government Unit of Dimasalang</v>
      </c>
      <c r="C798" s="2" t="str">
        <f>IFERROR(__xludf.DUMMYFUNCTION("""COMPUTED_VALUE"""),"Gregorio Alino (Pia-ong), Dimasalang, MASBATE")</f>
        <v>Gregorio Alino (Pia-ong), Dimasalang, MASBATE</v>
      </c>
      <c r="D798" s="2" t="str">
        <f>IFERROR(__xludf.DUMMYFUNCTION("""COMPUTED_VALUE"""),"Hon. Michael Demph Du Naga")</f>
        <v>Hon. Michael Demph Du Naga</v>
      </c>
      <c r="E798" s="2" t="str">
        <f>IFERROR(__xludf.DUMMYFUNCTION("""COMPUTED_VALUE"""),"0947 376 6373")</f>
        <v>0947 376 6373</v>
      </c>
      <c r="F798" s="2" t="str">
        <f>IFERROR(__xludf.DUMMYFUNCTION("""COMPUTED_VALUE"""),"RCEF 25-03-05")</f>
        <v>RCEF 25-03-05</v>
      </c>
      <c r="G798" s="2">
        <f>IFERROR(__xludf.DUMMYFUNCTION("""COMPUTED_VALUE"""),6.0)</f>
        <v>6</v>
      </c>
      <c r="H798" s="2" t="str">
        <f>IFERROR(__xludf.DUMMYFUNCTION("""COMPUTED_VALUE"""),"26628 &amp; 27899")</f>
        <v>26628 &amp; 27899</v>
      </c>
      <c r="I798" s="2" t="str">
        <f>IFERROR(__xludf.DUMMYFUNCTION("""COMPUTED_VALUE"""),"KMC5825 APSFPV0376")</f>
        <v>KMC5825 APSFPV0376</v>
      </c>
      <c r="J798" s="3" t="str">
        <f>IFERROR(__xludf.DUMMYFUNCTION("""COMPUTED_VALUE"""),"STS100443")</f>
        <v>STS100443</v>
      </c>
      <c r="K798" s="2" t="str">
        <f>IFERROR(__xludf.DUMMYFUNCTION("""COMPUTED_VALUE"""),"WR-SERIES 1352PH")</f>
        <v>WR-SERIES 1352PH</v>
      </c>
      <c r="L798" s="3" t="str">
        <f>IFERROR(__xludf.DUMMYFUNCTION("""COMPUTED_VALUE"""),"2510787")</f>
        <v>2510787</v>
      </c>
      <c r="M798" s="3">
        <f>IFERROR(__xludf.DUMMYFUNCTION("""COMPUTED_VALUE"""),2.5121418E7)</f>
        <v>25121418</v>
      </c>
      <c r="N798" s="2"/>
      <c r="O798" s="2" t="str">
        <f>IFERROR(__xludf.DUMMYFUNCTION("""COMPUTED_VALUE"""),"Gregorio Alino (Pia-Ong)")</f>
        <v>Gregorio Alino (Pia-Ong)</v>
      </c>
      <c r="P798" s="2" t="str">
        <f>IFERROR(__xludf.DUMMYFUNCTION("""COMPUTED_VALUE"""),"Dimasalang")</f>
        <v>Dimasalang</v>
      </c>
      <c r="Q798" s="2" t="str">
        <f>IFERROR(__xludf.DUMMYFUNCTION("""COMPUTED_VALUE"""),"Masbate")</f>
        <v>Masbate</v>
      </c>
      <c r="R798" s="2">
        <f>IFERROR(__xludf.DUMMYFUNCTION("""COMPUTED_VALUE"""),5.0)</f>
        <v>5</v>
      </c>
      <c r="S798" s="2"/>
      <c r="T798" s="2"/>
    </row>
    <row r="799">
      <c r="A799" s="1">
        <f>IFERROR(__xludf.DUMMYFUNCTION("""COMPUTED_VALUE"""),797.0)</f>
        <v>797</v>
      </c>
      <c r="B799" s="2" t="str">
        <f>IFERROR(__xludf.DUMMYFUNCTION("""COMPUTED_VALUE"""),"CANDELARIA USON FARMERS AGRARIAN REFORM COOPERATIVE")</f>
        <v>CANDELARIA USON FARMERS AGRARIAN REFORM COOPERATIVE</v>
      </c>
      <c r="C799" s="2" t="str">
        <f>IFERROR(__xludf.DUMMYFUNCTION("""COMPUTED_VALUE"""),"Candelaria, Uson, MASBATE")</f>
        <v>Candelaria, Uson, MASBATE</v>
      </c>
      <c r="D799" s="2" t="str">
        <f>IFERROR(__xludf.DUMMYFUNCTION("""COMPUTED_VALUE"""),"ROY C. VILLAMOR")</f>
        <v>ROY C. VILLAMOR</v>
      </c>
      <c r="E799" s="2" t="str">
        <f>IFERROR(__xludf.DUMMYFUNCTION("""COMPUTED_VALUE"""),"0931-918-0496")</f>
        <v>0931-918-0496</v>
      </c>
      <c r="F799" s="2" t="str">
        <f>IFERROR(__xludf.DUMMYFUNCTION("""COMPUTED_VALUE"""),"RCEF 25-03-05")</f>
        <v>RCEF 25-03-05</v>
      </c>
      <c r="G799" s="2">
        <f>IFERROR(__xludf.DUMMYFUNCTION("""COMPUTED_VALUE"""),6.0)</f>
        <v>6</v>
      </c>
      <c r="H799" s="2" t="str">
        <f>IFERROR(__xludf.DUMMYFUNCTION("""COMPUTED_VALUE"""),"26629 &amp; 27900")</f>
        <v>26629 &amp; 27900</v>
      </c>
      <c r="I799" s="2" t="str">
        <f>IFERROR(__xludf.DUMMYFUNCTION("""COMPUTED_VALUE"""),"KMC5825 ACSFPV0410")</f>
        <v>KMC5825 ACSFPV0410</v>
      </c>
      <c r="J799" s="3" t="str">
        <f>IFERROR(__xludf.DUMMYFUNCTION("""COMPUTED_VALUE"""),"STS100466")</f>
        <v>STS100466</v>
      </c>
      <c r="K799" s="2" t="str">
        <f>IFERROR(__xludf.DUMMYFUNCTION("""COMPUTED_VALUE"""),"WR-SERIES 1353PH")</f>
        <v>WR-SERIES 1353PH</v>
      </c>
      <c r="L799" s="3" t="str">
        <f>IFERROR(__xludf.DUMMYFUNCTION("""COMPUTED_VALUE"""),"2510782")</f>
        <v>2510782</v>
      </c>
      <c r="M799" s="3">
        <f>IFERROR(__xludf.DUMMYFUNCTION("""COMPUTED_VALUE"""),2.5121419E7)</f>
        <v>25121419</v>
      </c>
      <c r="N799" s="2"/>
      <c r="O799" s="2" t="str">
        <f>IFERROR(__xludf.DUMMYFUNCTION("""COMPUTED_VALUE"""),"Candelaria")</f>
        <v>Candelaria</v>
      </c>
      <c r="P799" s="2" t="str">
        <f>IFERROR(__xludf.DUMMYFUNCTION("""COMPUTED_VALUE"""),"Uson")</f>
        <v>Uson</v>
      </c>
      <c r="Q799" s="2" t="str">
        <f>IFERROR(__xludf.DUMMYFUNCTION("""COMPUTED_VALUE"""),"Masbate")</f>
        <v>Masbate</v>
      </c>
      <c r="R799" s="2">
        <f>IFERROR(__xludf.DUMMYFUNCTION("""COMPUTED_VALUE"""),5.0)</f>
        <v>5</v>
      </c>
      <c r="S799" s="2"/>
      <c r="T799" s="2"/>
    </row>
    <row r="800">
      <c r="A800" s="1">
        <f>IFERROR(__xludf.DUMMYFUNCTION("""COMPUTED_VALUE"""),798.0)</f>
        <v>798</v>
      </c>
      <c r="B800" s="2" t="str">
        <f>IFERROR(__xludf.DUMMYFUNCTION("""COMPUTED_VALUE"""),"LICTIN USWAG IRRIGATORS ASSOCIATION INC.")</f>
        <v>LICTIN USWAG IRRIGATORS ASSOCIATION INC.</v>
      </c>
      <c r="C800" s="2" t="str">
        <f>IFERROR(__xludf.DUMMYFUNCTION("""COMPUTED_VALUE"""),"Trece Martirez, Casiguran, SORSOGON")</f>
        <v>Trece Martirez, Casiguran, SORSOGON</v>
      </c>
      <c r="D800" s="2" t="str">
        <f>IFERROR(__xludf.DUMMYFUNCTION("""COMPUTED_VALUE"""),"Virgilio H. Destreza")</f>
        <v>Virgilio H. Destreza</v>
      </c>
      <c r="E800" s="2" t="str">
        <f>IFERROR(__xludf.DUMMYFUNCTION("""COMPUTED_VALUE"""),"0910 464 0068")</f>
        <v>0910 464 0068</v>
      </c>
      <c r="F800" s="2" t="str">
        <f>IFERROR(__xludf.DUMMYFUNCTION("""COMPUTED_VALUE"""),"RCEF 25-03-05")</f>
        <v>RCEF 25-03-05</v>
      </c>
      <c r="G800" s="2">
        <f>IFERROR(__xludf.DUMMYFUNCTION("""COMPUTED_VALUE"""),6.0)</f>
        <v>6</v>
      </c>
      <c r="H800" s="2" t="str">
        <f>IFERROR(__xludf.DUMMYFUNCTION("""COMPUTED_VALUE"""),"26630 &amp; 27753")</f>
        <v>26630 &amp; 27753</v>
      </c>
      <c r="I800" s="2" t="str">
        <f>IFERROR(__xludf.DUMMYFUNCTION("""COMPUTED_VALUE"""),"KMC5825 AJSFPV0106")</f>
        <v>KMC5825 AJSFPV0106</v>
      </c>
      <c r="J800" s="3" t="str">
        <f>IFERROR(__xludf.DUMMYFUNCTION("""COMPUTED_VALUE"""),"STS100163")</f>
        <v>STS100163</v>
      </c>
      <c r="K800" s="2" t="str">
        <f>IFERROR(__xludf.DUMMYFUNCTION("""COMPUTED_VALUE"""),"WR-SERIES 323")</f>
        <v>WR-SERIES 323</v>
      </c>
      <c r="L800" s="3" t="str">
        <f>IFERROR(__xludf.DUMMYFUNCTION("""COMPUTED_VALUE"""),"2580383")</f>
        <v>2580383</v>
      </c>
      <c r="M800" s="3" t="str">
        <f>IFERROR(__xludf.DUMMYFUNCTION("""COMPUTED_VALUE"""),"25080801")</f>
        <v>25080801</v>
      </c>
      <c r="N800" s="2"/>
      <c r="O800" s="2" t="str">
        <f>IFERROR(__xludf.DUMMYFUNCTION("""COMPUTED_VALUE"""),"Trece Martirez")</f>
        <v>Trece Martirez</v>
      </c>
      <c r="P800" s="2" t="str">
        <f>IFERROR(__xludf.DUMMYFUNCTION("""COMPUTED_VALUE"""),"Casiguran")</f>
        <v>Casiguran</v>
      </c>
      <c r="Q800" s="2" t="str">
        <f>IFERROR(__xludf.DUMMYFUNCTION("""COMPUTED_VALUE"""),"Sorsogon")</f>
        <v>Sorsogon</v>
      </c>
      <c r="R800" s="2">
        <f>IFERROR(__xludf.DUMMYFUNCTION("""COMPUTED_VALUE"""),5.0)</f>
        <v>5</v>
      </c>
      <c r="S800" s="2"/>
      <c r="T800" s="2"/>
    </row>
    <row r="801">
      <c r="A801" s="1">
        <f>IFERROR(__xludf.DUMMYFUNCTION("""COMPUTED_VALUE"""),799.0)</f>
        <v>799</v>
      </c>
      <c r="B801" s="2" t="str">
        <f>IFERROR(__xludf.DUMMYFUNCTION("""COMPUTED_VALUE"""),"PUROK PALAYAN AMIA VILLAGE DINAPA FARMERS ASSOCIATION")</f>
        <v>PUROK PALAYAN AMIA VILLAGE DINAPA FARMERS ASSOCIATION</v>
      </c>
      <c r="C801" s="2" t="str">
        <f>IFERROR(__xludf.DUMMYFUNCTION("""COMPUTED_VALUE"""),"Dinapa, Castilla, SORSOGON")</f>
        <v>Dinapa, Castilla, SORSOGON</v>
      </c>
      <c r="D801" s="2" t="str">
        <f>IFERROR(__xludf.DUMMYFUNCTION("""COMPUTED_VALUE"""),"Benjie B. Lotino")</f>
        <v>Benjie B. Lotino</v>
      </c>
      <c r="E801" s="2" t="str">
        <f>IFERROR(__xludf.DUMMYFUNCTION("""COMPUTED_VALUE"""),"0992 728 7126")</f>
        <v>0992 728 7126</v>
      </c>
      <c r="F801" s="2" t="str">
        <f>IFERROR(__xludf.DUMMYFUNCTION("""COMPUTED_VALUE"""),"RCEF 25-03-05")</f>
        <v>RCEF 25-03-05</v>
      </c>
      <c r="G801" s="2">
        <f>IFERROR(__xludf.DUMMYFUNCTION("""COMPUTED_VALUE"""),6.0)</f>
        <v>6</v>
      </c>
      <c r="H801" s="2" t="str">
        <f>IFERROR(__xludf.DUMMYFUNCTION("""COMPUTED_VALUE"""),"26631 &amp; 27754")</f>
        <v>26631 &amp; 27754</v>
      </c>
      <c r="I801" s="2" t="str">
        <f>IFERROR(__xludf.DUMMYFUNCTION("""COMPUTED_VALUE"""),"KMC5825 AESFPV0129")</f>
        <v>KMC5825 AESFPV0129</v>
      </c>
      <c r="J801" s="3" t="str">
        <f>IFERROR(__xludf.DUMMYFUNCTION("""COMPUTED_VALUE"""),"STS100099")</f>
        <v>STS100099</v>
      </c>
      <c r="K801" s="2" t="str">
        <f>IFERROR(__xludf.DUMMYFUNCTION("""COMPUTED_VALUE"""),"WR-SERIES 298")</f>
        <v>WR-SERIES 298</v>
      </c>
      <c r="L801" s="3" t="str">
        <f>IFERROR(__xludf.DUMMYFUNCTION("""COMPUTED_VALUE"""),"25080350")</f>
        <v>25080350</v>
      </c>
      <c r="M801" s="3" t="str">
        <f>IFERROR(__xludf.DUMMYFUNCTION("""COMPUTED_VALUE"""),"25080807")</f>
        <v>25080807</v>
      </c>
      <c r="N801" s="2"/>
      <c r="O801" s="2" t="str">
        <f>IFERROR(__xludf.DUMMYFUNCTION("""COMPUTED_VALUE"""),"Dinapa")</f>
        <v>Dinapa</v>
      </c>
      <c r="P801" s="2" t="str">
        <f>IFERROR(__xludf.DUMMYFUNCTION("""COMPUTED_VALUE"""),"Castilla")</f>
        <v>Castilla</v>
      </c>
      <c r="Q801" s="2" t="str">
        <f>IFERROR(__xludf.DUMMYFUNCTION("""COMPUTED_VALUE"""),"Sorsogon")</f>
        <v>Sorsogon</v>
      </c>
      <c r="R801" s="2">
        <f>IFERROR(__xludf.DUMMYFUNCTION("""COMPUTED_VALUE"""),5.0)</f>
        <v>5</v>
      </c>
      <c r="S801" s="2"/>
      <c r="T801" s="2"/>
    </row>
    <row r="802">
      <c r="A802" s="1">
        <f>IFERROR(__xludf.DUMMYFUNCTION("""COMPUTED_VALUE"""),800.0)</f>
        <v>800</v>
      </c>
      <c r="B802" s="2" t="str">
        <f>IFERROR(__xludf.DUMMYFUNCTION("""COMPUTED_VALUE"""),"Municipal Local Government Unit of Donsol")</f>
        <v>Municipal Local Government Unit of Donsol</v>
      </c>
      <c r="C802" s="2" t="str">
        <f>IFERROR(__xludf.DUMMYFUNCTION("""COMPUTED_VALUE"""),"Awai, Donsol, SORSOGON")</f>
        <v>Awai, Donsol, SORSOGON</v>
      </c>
      <c r="D802" s="2" t="str">
        <f>IFERROR(__xludf.DUMMYFUNCTION("""COMPUTED_VALUE"""),"Hon. TEODORO B. DE GUZMAN")</f>
        <v>Hon. TEODORO B. DE GUZMAN</v>
      </c>
      <c r="E802" s="2" t="str">
        <f>IFERROR(__xludf.DUMMYFUNCTION("""COMPUTED_VALUE"""),"0968 414 6735")</f>
        <v>0968 414 6735</v>
      </c>
      <c r="F802" s="2" t="str">
        <f>IFERROR(__xludf.DUMMYFUNCTION("""COMPUTED_VALUE"""),"RCEF 25-03-05")</f>
        <v>RCEF 25-03-05</v>
      </c>
      <c r="G802" s="2">
        <f>IFERROR(__xludf.DUMMYFUNCTION("""COMPUTED_VALUE"""),6.0)</f>
        <v>6</v>
      </c>
      <c r="H802" s="2" t="str">
        <f>IFERROR(__xludf.DUMMYFUNCTION("""COMPUTED_VALUE"""),"26632 &amp; 27755")</f>
        <v>26632 &amp; 27755</v>
      </c>
      <c r="I802" s="2" t="str">
        <f>IFERROR(__xludf.DUMMYFUNCTION("""COMPUTED_VALUE"""),"KMC5825 AASFPV0157")</f>
        <v>KMC5825 AASFPV0157</v>
      </c>
      <c r="J802" s="3" t="str">
        <f>IFERROR(__xludf.DUMMYFUNCTION("""COMPUTED_VALUE"""),"STS 100135")</f>
        <v>STS 100135</v>
      </c>
      <c r="K802" s="2" t="str">
        <f>IFERROR(__xludf.DUMMYFUNCTION("""COMPUTED_VALUE"""),"WR-SERIES 299")</f>
        <v>WR-SERIES 299</v>
      </c>
      <c r="L802" s="3" t="str">
        <f>IFERROR(__xludf.DUMMYFUNCTION("""COMPUTED_VALUE"""),"24090785")</f>
        <v>24090785</v>
      </c>
      <c r="M802" s="3" t="str">
        <f>IFERROR(__xludf.DUMMYFUNCTION("""COMPUTED_VALUE"""),"25080811")</f>
        <v>25080811</v>
      </c>
      <c r="N802" s="2"/>
      <c r="O802" s="2" t="str">
        <f>IFERROR(__xludf.DUMMYFUNCTION("""COMPUTED_VALUE"""),"Awai")</f>
        <v>Awai</v>
      </c>
      <c r="P802" s="2" t="str">
        <f>IFERROR(__xludf.DUMMYFUNCTION("""COMPUTED_VALUE"""),"Donsol")</f>
        <v>Donsol</v>
      </c>
      <c r="Q802" s="2" t="str">
        <f>IFERROR(__xludf.DUMMYFUNCTION("""COMPUTED_VALUE"""),"Sorsogon")</f>
        <v>Sorsogon</v>
      </c>
      <c r="R802" s="2">
        <f>IFERROR(__xludf.DUMMYFUNCTION("""COMPUTED_VALUE"""),5.0)</f>
        <v>5</v>
      </c>
      <c r="S802" s="2"/>
      <c r="T802" s="2"/>
    </row>
    <row r="803">
      <c r="A803" s="1">
        <f>IFERROR(__xludf.DUMMYFUNCTION("""COMPUTED_VALUE"""),801.0)</f>
        <v>801</v>
      </c>
      <c r="B803" s="2" t="str">
        <f>IFERROR(__xludf.DUMMYFUNCTION("""COMPUTED_VALUE"""),"ALINAO IRRIGATORS' ASSOCIATION, INC.")</f>
        <v>ALINAO IRRIGATORS' ASSOCIATION, INC.</v>
      </c>
      <c r="C803" s="2" t="str">
        <f>IFERROR(__xludf.DUMMYFUNCTION("""COMPUTED_VALUE"""),"Bibincahan, Sorsogon City, SORSOGON")</f>
        <v>Bibincahan, Sorsogon City, SORSOGON</v>
      </c>
      <c r="D803" s="2" t="str">
        <f>IFERROR(__xludf.DUMMYFUNCTION("""COMPUTED_VALUE"""),"Dianne H. Desquitado")</f>
        <v>Dianne H. Desquitado</v>
      </c>
      <c r="E803" s="2" t="str">
        <f>IFERROR(__xludf.DUMMYFUNCTION("""COMPUTED_VALUE"""),"0966-457-7599")</f>
        <v>0966-457-7599</v>
      </c>
      <c r="F803" s="2" t="str">
        <f>IFERROR(__xludf.DUMMYFUNCTION("""COMPUTED_VALUE"""),"RCEF 25-03-05")</f>
        <v>RCEF 25-03-05</v>
      </c>
      <c r="G803" s="2">
        <f>IFERROR(__xludf.DUMMYFUNCTION("""COMPUTED_VALUE"""),6.0)</f>
        <v>6</v>
      </c>
      <c r="H803" s="2" t="str">
        <f>IFERROR(__xludf.DUMMYFUNCTION("""COMPUTED_VALUE"""),"26633 &amp; 27756")</f>
        <v>26633 &amp; 27756</v>
      </c>
      <c r="I803" s="2" t="str">
        <f>IFERROR(__xludf.DUMMYFUNCTION("""COMPUTED_VALUE"""),"KMC5825 AASFPV0126")</f>
        <v>KMC5825 AASFPV0126</v>
      </c>
      <c r="J803" s="3" t="str">
        <f>IFERROR(__xludf.DUMMYFUNCTION("""COMPUTED_VALUE"""),"STS100100")</f>
        <v>STS100100</v>
      </c>
      <c r="K803" s="2" t="str">
        <f>IFERROR(__xludf.DUMMYFUNCTION("""COMPUTED_VALUE"""),"WR-SERIES 290")</f>
        <v>WR-SERIES 290</v>
      </c>
      <c r="L803" s="3" t="str">
        <f>IFERROR(__xludf.DUMMYFUNCTION("""COMPUTED_VALUE"""),"25080387")</f>
        <v>25080387</v>
      </c>
      <c r="M803" s="3" t="str">
        <f>IFERROR(__xludf.DUMMYFUNCTION("""COMPUTED_VALUE"""),"25080812")</f>
        <v>25080812</v>
      </c>
      <c r="N803" s="2"/>
      <c r="O803" s="2" t="str">
        <f>IFERROR(__xludf.DUMMYFUNCTION("""COMPUTED_VALUE"""),"Bibincahan")</f>
        <v>Bibincahan</v>
      </c>
      <c r="P803" s="2" t="str">
        <f>IFERROR(__xludf.DUMMYFUNCTION("""COMPUTED_VALUE"""),"Sorsogon City")</f>
        <v>Sorsogon City</v>
      </c>
      <c r="Q803" s="2" t="str">
        <f>IFERROR(__xludf.DUMMYFUNCTION("""COMPUTED_VALUE"""),"Sorsogon")</f>
        <v>Sorsogon</v>
      </c>
      <c r="R803" s="2">
        <f>IFERROR(__xludf.DUMMYFUNCTION("""COMPUTED_VALUE"""),5.0)</f>
        <v>5</v>
      </c>
      <c r="S803" s="2"/>
      <c r="T803" s="2"/>
    </row>
    <row r="804">
      <c r="A804" s="1">
        <f>IFERROR(__xludf.DUMMYFUNCTION("""COMPUTED_VALUE"""),802.0)</f>
        <v>802</v>
      </c>
      <c r="B804" s="2" t="str">
        <f>IFERROR(__xludf.DUMMYFUNCTION("""COMPUTED_VALUE"""),"City Local Government Unit of Sorsogon")</f>
        <v>City Local Government Unit of Sorsogon</v>
      </c>
      <c r="C804" s="2" t="str">
        <f>IFERROR(__xludf.DUMMYFUNCTION("""COMPUTED_VALUE"""),"Cabid-An, Sorsogon City, SORSOGON")</f>
        <v>Cabid-An, Sorsogon City, SORSOGON</v>
      </c>
      <c r="D804" s="2" t="str">
        <f>IFERROR(__xludf.DUMMYFUNCTION("""COMPUTED_VALUE"""),"Hon. Ma Ester E. Hamor")</f>
        <v>Hon. Ma Ester E. Hamor</v>
      </c>
      <c r="E804" s="2" t="str">
        <f>IFERROR(__xludf.DUMMYFUNCTION("""COMPUTED_VALUE"""),"0950 979 6058 (Adeline Detera - CA)")</f>
        <v>0950 979 6058 (Adeline Detera - CA)</v>
      </c>
      <c r="F804" s="2" t="str">
        <f>IFERROR(__xludf.DUMMYFUNCTION("""COMPUTED_VALUE"""),"RCEF 25-03-05")</f>
        <v>RCEF 25-03-05</v>
      </c>
      <c r="G804" s="2">
        <f>IFERROR(__xludf.DUMMYFUNCTION("""COMPUTED_VALUE"""),6.0)</f>
        <v>6</v>
      </c>
      <c r="H804" s="2" t="str">
        <f>IFERROR(__xludf.DUMMYFUNCTION("""COMPUTED_VALUE"""),"26634 &amp; 27757")</f>
        <v>26634 &amp; 27757</v>
      </c>
      <c r="I804" s="2" t="str">
        <f>IFERROR(__xludf.DUMMYFUNCTION("""COMPUTED_VALUE"""),"KMC5825 AVSFPV0156")</f>
        <v>KMC5825 AVSFPV0156</v>
      </c>
      <c r="J804" s="3" t="str">
        <f>IFERROR(__xludf.DUMMYFUNCTION("""COMPUTED_VALUE"""),"STS100119")</f>
        <v>STS100119</v>
      </c>
      <c r="K804" s="2" t="str">
        <f>IFERROR(__xludf.DUMMYFUNCTION("""COMPUTED_VALUE"""),"WR-SERIES 325")</f>
        <v>WR-SERIES 325</v>
      </c>
      <c r="L804" s="3" t="str">
        <f>IFERROR(__xludf.DUMMYFUNCTION("""COMPUTED_VALUE"""),"25080369")</f>
        <v>25080369</v>
      </c>
      <c r="M804" s="3" t="str">
        <f>IFERROR(__xludf.DUMMYFUNCTION("""COMPUTED_VALUE"""),"25080799")</f>
        <v>25080799</v>
      </c>
      <c r="N804" s="2"/>
      <c r="O804" s="2" t="str">
        <f>IFERROR(__xludf.DUMMYFUNCTION("""COMPUTED_VALUE"""),"Cabid-An")</f>
        <v>Cabid-An</v>
      </c>
      <c r="P804" s="2" t="str">
        <f>IFERROR(__xludf.DUMMYFUNCTION("""COMPUTED_VALUE"""),"Sorsogon City")</f>
        <v>Sorsogon City</v>
      </c>
      <c r="Q804" s="2" t="str">
        <f>IFERROR(__xludf.DUMMYFUNCTION("""COMPUTED_VALUE"""),"Sorsogon")</f>
        <v>Sorsogon</v>
      </c>
      <c r="R804" s="2">
        <f>IFERROR(__xludf.DUMMYFUNCTION("""COMPUTED_VALUE"""),5.0)</f>
        <v>5</v>
      </c>
      <c r="S804" s="2"/>
      <c r="T804" s="2"/>
    </row>
    <row r="805">
      <c r="A805" s="1">
        <f>IFERROR(__xludf.DUMMYFUNCTION("""COMPUTED_VALUE"""),803.0)</f>
        <v>803</v>
      </c>
      <c r="B805" s="2" t="str">
        <f>IFERROR(__xludf.DUMMYFUNCTION("""COMPUTED_VALUE"""),"Gatbo Farmers Irrigators Association (GAFIA)")</f>
        <v>Gatbo Farmers Irrigators Association (GAFIA)</v>
      </c>
      <c r="C805" s="2" t="str">
        <f>IFERROR(__xludf.DUMMYFUNCTION("""COMPUTED_VALUE"""),"Gatbo, Sorsogon City, SORSOGON")</f>
        <v>Gatbo, Sorsogon City, SORSOGON</v>
      </c>
      <c r="D805" s="2" t="str">
        <f>IFERROR(__xludf.DUMMYFUNCTION("""COMPUTED_VALUE"""),"Ryan J. Espinola")</f>
        <v>Ryan J. Espinola</v>
      </c>
      <c r="E805" s="2" t="str">
        <f>IFERROR(__xludf.DUMMYFUNCTION("""COMPUTED_VALUE"""),"0970-826-4081")</f>
        <v>0970-826-4081</v>
      </c>
      <c r="F805" s="2" t="str">
        <f>IFERROR(__xludf.DUMMYFUNCTION("""COMPUTED_VALUE"""),"RCEF 25-03-05")</f>
        <v>RCEF 25-03-05</v>
      </c>
      <c r="G805" s="2">
        <f>IFERROR(__xludf.DUMMYFUNCTION("""COMPUTED_VALUE"""),6.0)</f>
        <v>6</v>
      </c>
      <c r="H805" s="2" t="str">
        <f>IFERROR(__xludf.DUMMYFUNCTION("""COMPUTED_VALUE"""),"26635 &amp; 27758")</f>
        <v>26635 &amp; 27758</v>
      </c>
      <c r="I805" s="2" t="str">
        <f>IFERROR(__xludf.DUMMYFUNCTION("""COMPUTED_VALUE"""),"KMC5825 ALSFPV0094")</f>
        <v>KMC5825 ALSFPV0094</v>
      </c>
      <c r="J805" s="3" t="str">
        <f>IFERROR(__xludf.DUMMYFUNCTION("""COMPUTED_VALUE"""),"STS100146")</f>
        <v>STS100146</v>
      </c>
      <c r="K805" s="2" t="str">
        <f>IFERROR(__xludf.DUMMYFUNCTION("""COMPUTED_VALUE"""),"WR-SERIES 326")</f>
        <v>WR-SERIES 326</v>
      </c>
      <c r="L805" s="3" t="str">
        <f>IFERROR(__xludf.DUMMYFUNCTION("""COMPUTED_VALUE"""),"25080386")</f>
        <v>25080386</v>
      </c>
      <c r="M805" s="3" t="str">
        <f>IFERROR(__xludf.DUMMYFUNCTION("""COMPUTED_VALUE"""),"25080791")</f>
        <v>25080791</v>
      </c>
      <c r="N805" s="2"/>
      <c r="O805" s="2" t="str">
        <f>IFERROR(__xludf.DUMMYFUNCTION("""COMPUTED_VALUE"""),"Gatbo")</f>
        <v>Gatbo</v>
      </c>
      <c r="P805" s="2" t="str">
        <f>IFERROR(__xludf.DUMMYFUNCTION("""COMPUTED_VALUE"""),"Sorsogon City")</f>
        <v>Sorsogon City</v>
      </c>
      <c r="Q805" s="2" t="str">
        <f>IFERROR(__xludf.DUMMYFUNCTION("""COMPUTED_VALUE"""),"Sorsogon")</f>
        <v>Sorsogon</v>
      </c>
      <c r="R805" s="2">
        <f>IFERROR(__xludf.DUMMYFUNCTION("""COMPUTED_VALUE"""),5.0)</f>
        <v>5</v>
      </c>
      <c r="S805" s="2"/>
      <c r="T805" s="2"/>
    </row>
    <row r="806">
      <c r="A806" s="1">
        <f>IFERROR(__xludf.DUMMYFUNCTION("""COMPUTED_VALUE"""),804.0)</f>
        <v>804</v>
      </c>
      <c r="B806" s="2" t="str">
        <f>IFERROR(__xludf.DUMMYFUNCTION("""COMPUTED_VALUE"""),"SAMAHANG MAGSASAKA NG SAN ISIDRO BACON INC.")</f>
        <v>SAMAHANG MAGSASAKA NG SAN ISIDRO BACON INC.</v>
      </c>
      <c r="C806" s="2" t="str">
        <f>IFERROR(__xludf.DUMMYFUNCTION("""COMPUTED_VALUE"""),"San Isidro (Bacon District), Sorsogon City, SORSOGON")</f>
        <v>San Isidro (Bacon District), Sorsogon City, SORSOGON</v>
      </c>
      <c r="D806" s="2" t="str">
        <f>IFERROR(__xludf.DUMMYFUNCTION("""COMPUTED_VALUE"""),"Geronimo D. Divina")</f>
        <v>Geronimo D. Divina</v>
      </c>
      <c r="E806" s="2" t="str">
        <f>IFERROR(__xludf.DUMMYFUNCTION("""COMPUTED_VALUE"""),"0930 842 8343")</f>
        <v>0930 842 8343</v>
      </c>
      <c r="F806" s="2" t="str">
        <f>IFERROR(__xludf.DUMMYFUNCTION("""COMPUTED_VALUE"""),"RCEF 25-03-05")</f>
        <v>RCEF 25-03-05</v>
      </c>
      <c r="G806" s="2">
        <f>IFERROR(__xludf.DUMMYFUNCTION("""COMPUTED_VALUE"""),6.0)</f>
        <v>6</v>
      </c>
      <c r="H806" s="2" t="str">
        <f>IFERROR(__xludf.DUMMYFUNCTION("""COMPUTED_VALUE"""),"26636 &amp; 27759")</f>
        <v>26636 &amp; 27759</v>
      </c>
      <c r="I806" s="2" t="str">
        <f>IFERROR(__xludf.DUMMYFUNCTION("""COMPUTED_VALUE"""),"KMC5825 AJSFPV0087")</f>
        <v>KMC5825 AJSFPV0087</v>
      </c>
      <c r="J806" s="3" t="str">
        <f>IFERROR(__xludf.DUMMYFUNCTION("""COMPUTED_VALUE"""),"STS100121")</f>
        <v>STS100121</v>
      </c>
      <c r="K806" s="2" t="str">
        <f>IFERROR(__xludf.DUMMYFUNCTION("""COMPUTED_VALUE"""),"WR-SERIES 295")</f>
        <v>WR-SERIES 295</v>
      </c>
      <c r="L806" s="3" t="str">
        <f>IFERROR(__xludf.DUMMYFUNCTION("""COMPUTED_VALUE"""),"25080371")</f>
        <v>25080371</v>
      </c>
      <c r="M806" s="3" t="str">
        <f>IFERROR(__xludf.DUMMYFUNCTION("""COMPUTED_VALUE"""),"25080813")</f>
        <v>25080813</v>
      </c>
      <c r="N806" s="2"/>
      <c r="O806" s="2" t="str">
        <f>IFERROR(__xludf.DUMMYFUNCTION("""COMPUTED_VALUE"""),"San Isidro (Bacon District)")</f>
        <v>San Isidro (Bacon District)</v>
      </c>
      <c r="P806" s="2" t="str">
        <f>IFERROR(__xludf.DUMMYFUNCTION("""COMPUTED_VALUE"""),"Sorsogon City")</f>
        <v>Sorsogon City</v>
      </c>
      <c r="Q806" s="2" t="str">
        <f>IFERROR(__xludf.DUMMYFUNCTION("""COMPUTED_VALUE"""),"Sorsogon")</f>
        <v>Sorsogon</v>
      </c>
      <c r="R806" s="2">
        <f>IFERROR(__xludf.DUMMYFUNCTION("""COMPUTED_VALUE"""),5.0)</f>
        <v>5</v>
      </c>
      <c r="S806" s="2"/>
      <c r="T806" s="2"/>
    </row>
    <row r="807">
      <c r="A807" s="1">
        <f>IFERROR(__xludf.DUMMYFUNCTION("""COMPUTED_VALUE"""),805.0)</f>
        <v>805</v>
      </c>
      <c r="B807" s="2" t="str">
        <f>IFERROR(__xludf.DUMMYFUNCTION("""COMPUTED_VALUE"""),"Sawanga Farmers Association")</f>
        <v>Sawanga Farmers Association</v>
      </c>
      <c r="C807" s="2" t="str">
        <f>IFERROR(__xludf.DUMMYFUNCTION("""COMPUTED_VALUE"""),"Sawanga, Sorsogon City, SORSOGON")</f>
        <v>Sawanga, Sorsogon City, SORSOGON</v>
      </c>
      <c r="D807" s="2" t="str">
        <f>IFERROR(__xludf.DUMMYFUNCTION("""COMPUTED_VALUE"""),"Henry D. Dioquino")</f>
        <v>Henry D. Dioquino</v>
      </c>
      <c r="E807" s="2" t="str">
        <f>IFERROR(__xludf.DUMMYFUNCTION("""COMPUTED_VALUE"""),"0950-119-4248")</f>
        <v>0950-119-4248</v>
      </c>
      <c r="F807" s="2" t="str">
        <f>IFERROR(__xludf.DUMMYFUNCTION("""COMPUTED_VALUE"""),"RCEF 25-03-05")</f>
        <v>RCEF 25-03-05</v>
      </c>
      <c r="G807" s="2">
        <f>IFERROR(__xludf.DUMMYFUNCTION("""COMPUTED_VALUE"""),6.0)</f>
        <v>6</v>
      </c>
      <c r="H807" s="2" t="str">
        <f>IFERROR(__xludf.DUMMYFUNCTION("""COMPUTED_VALUE"""),"26637 &amp; 27760")</f>
        <v>26637 &amp; 27760</v>
      </c>
      <c r="I807" s="2" t="str">
        <f>IFERROR(__xludf.DUMMYFUNCTION("""COMPUTED_VALUE"""),"KMC5825 AJSFPV0119")</f>
        <v>KMC5825 AJSFPV0119</v>
      </c>
      <c r="J807" s="3" t="str">
        <f>IFERROR(__xludf.DUMMYFUNCTION("""COMPUTED_VALUE"""),"STS100159")</f>
        <v>STS100159</v>
      </c>
      <c r="K807" s="2" t="str">
        <f>IFERROR(__xludf.DUMMYFUNCTION("""COMPUTED_VALUE"""),"WR-SERIES 001")</f>
        <v>WR-SERIES 001</v>
      </c>
      <c r="L807" s="3" t="str">
        <f>IFERROR(__xludf.DUMMYFUNCTION("""COMPUTED_VALUE"""),"25080372")</f>
        <v>25080372</v>
      </c>
      <c r="M807" s="3" t="str">
        <f>IFERROR(__xludf.DUMMYFUNCTION("""COMPUTED_VALUE"""),"25080784")</f>
        <v>25080784</v>
      </c>
      <c r="N807" s="2"/>
      <c r="O807" s="2" t="str">
        <f>IFERROR(__xludf.DUMMYFUNCTION("""COMPUTED_VALUE"""),"Sawanga")</f>
        <v>Sawanga</v>
      </c>
      <c r="P807" s="2" t="str">
        <f>IFERROR(__xludf.DUMMYFUNCTION("""COMPUTED_VALUE"""),"Sorsogon City")</f>
        <v>Sorsogon City</v>
      </c>
      <c r="Q807" s="2" t="str">
        <f>IFERROR(__xludf.DUMMYFUNCTION("""COMPUTED_VALUE"""),"Sorsogon")</f>
        <v>Sorsogon</v>
      </c>
      <c r="R807" s="2">
        <f>IFERROR(__xludf.DUMMYFUNCTION("""COMPUTED_VALUE"""),5.0)</f>
        <v>5</v>
      </c>
      <c r="S807" s="2"/>
      <c r="T807" s="2"/>
    </row>
    <row r="808">
      <c r="A808" s="1">
        <f>IFERROR(__xludf.DUMMYFUNCTION("""COMPUTED_VALUE"""),806.0)</f>
        <v>806</v>
      </c>
      <c r="B808" s="2" t="str">
        <f>IFERROR(__xludf.DUMMYFUNCTION("""COMPUTED_VALUE"""),"BIGKIS SAN PARAOMA SA BULAN (BPB), INC.")</f>
        <v>BIGKIS SAN PARAOMA SA BULAN (BPB), INC.</v>
      </c>
      <c r="C808" s="2" t="str">
        <f>IFERROR(__xludf.DUMMYFUNCTION("""COMPUTED_VALUE"""),"Somagongsong, Bulan, SORSOGON")</f>
        <v>Somagongsong, Bulan, SORSOGON</v>
      </c>
      <c r="D808" s="2" t="str">
        <f>IFERROR(__xludf.DUMMYFUNCTION("""COMPUTED_VALUE"""),"Rafael G. Gordola")</f>
        <v>Rafael G. Gordola</v>
      </c>
      <c r="E808" s="2" t="str">
        <f>IFERROR(__xludf.DUMMYFUNCTION("""COMPUTED_VALUE"""),"0981-437-7346")</f>
        <v>0981-437-7346</v>
      </c>
      <c r="F808" s="2" t="str">
        <f>IFERROR(__xludf.DUMMYFUNCTION("""COMPUTED_VALUE"""),"RCEF 25-03-05")</f>
        <v>RCEF 25-03-05</v>
      </c>
      <c r="G808" s="2">
        <f>IFERROR(__xludf.DUMMYFUNCTION("""COMPUTED_VALUE"""),6.0)</f>
        <v>6</v>
      </c>
      <c r="H808" s="2" t="str">
        <f>IFERROR(__xludf.DUMMYFUNCTION("""COMPUTED_VALUE"""),"26638 &amp; 27761")</f>
        <v>26638 &amp; 27761</v>
      </c>
      <c r="I808" s="2" t="str">
        <f>IFERROR(__xludf.DUMMYFUNCTION("""COMPUTED_VALUE"""),"KMC5825 ACSFPV0133")</f>
        <v>KMC5825 ACSFPV0133</v>
      </c>
      <c r="J808" s="3" t="str">
        <f>IFERROR(__xludf.DUMMYFUNCTION("""COMPUTED_VALUE"""),"STS100131")</f>
        <v>STS100131</v>
      </c>
      <c r="K808" s="2" t="str">
        <f>IFERROR(__xludf.DUMMYFUNCTION("""COMPUTED_VALUE"""),"WR-SERIES 297")</f>
        <v>WR-SERIES 297</v>
      </c>
      <c r="L808" s="3" t="str">
        <f>IFERROR(__xludf.DUMMYFUNCTION("""COMPUTED_VALUE"""),"25080374")</f>
        <v>25080374</v>
      </c>
      <c r="M808" s="3" t="str">
        <f>IFERROR(__xludf.DUMMYFUNCTION("""COMPUTED_VALUE"""),"25080810")</f>
        <v>25080810</v>
      </c>
      <c r="N808" s="2"/>
      <c r="O808" s="2" t="str">
        <f>IFERROR(__xludf.DUMMYFUNCTION("""COMPUTED_VALUE"""),"Somagongsong")</f>
        <v>Somagongsong</v>
      </c>
      <c r="P808" s="2" t="str">
        <f>IFERROR(__xludf.DUMMYFUNCTION("""COMPUTED_VALUE"""),"Bulan")</f>
        <v>Bulan</v>
      </c>
      <c r="Q808" s="2" t="str">
        <f>IFERROR(__xludf.DUMMYFUNCTION("""COMPUTED_VALUE"""),"Sorsogon")</f>
        <v>Sorsogon</v>
      </c>
      <c r="R808" s="2">
        <f>IFERROR(__xludf.DUMMYFUNCTION("""COMPUTED_VALUE"""),5.0)</f>
        <v>5</v>
      </c>
      <c r="S808" s="2"/>
      <c r="T808" s="2"/>
    </row>
    <row r="809">
      <c r="A809" s="1">
        <f>IFERROR(__xludf.DUMMYFUNCTION("""COMPUTED_VALUE"""),807.0)</f>
        <v>807</v>
      </c>
      <c r="B809" s="2" t="str">
        <f>IFERROR(__xludf.DUMMYFUNCTION("""COMPUTED_VALUE"""),"Samahan ng mga Magsasaka ng Brgy. Sta. Remedios")</f>
        <v>Samahan ng mga Magsasaka ng Brgy. Sta. Remedios</v>
      </c>
      <c r="C809" s="2" t="str">
        <f>IFERROR(__xludf.DUMMYFUNCTION("""COMPUTED_VALUE"""),"Santa Remedios, Bulan, SORSOGON")</f>
        <v>Santa Remedios, Bulan, SORSOGON</v>
      </c>
      <c r="D809" s="2" t="str">
        <f>IFERROR(__xludf.DUMMYFUNCTION("""COMPUTED_VALUE"""),"Daniel Z. Ginga")</f>
        <v>Daniel Z. Ginga</v>
      </c>
      <c r="E809" s="2" t="str">
        <f>IFERROR(__xludf.DUMMYFUNCTION("""COMPUTED_VALUE"""),"0997 857 1666")</f>
        <v>0997 857 1666</v>
      </c>
      <c r="F809" s="2" t="str">
        <f>IFERROR(__xludf.DUMMYFUNCTION("""COMPUTED_VALUE"""),"RCEF 25-03-05")</f>
        <v>RCEF 25-03-05</v>
      </c>
      <c r="G809" s="2">
        <f>IFERROR(__xludf.DUMMYFUNCTION("""COMPUTED_VALUE"""),6.0)</f>
        <v>6</v>
      </c>
      <c r="H809" s="2" t="str">
        <f>IFERROR(__xludf.DUMMYFUNCTION("""COMPUTED_VALUE"""),"26639 &amp; 27762")</f>
        <v>26639 &amp; 27762</v>
      </c>
      <c r="I809" s="2" t="str">
        <f>IFERROR(__xludf.DUMMYFUNCTION("""COMPUTED_VALUE"""),"KMC5825 AVSFPV0139")</f>
        <v>KMC5825 AVSFPV0139</v>
      </c>
      <c r="J809" s="3" t="str">
        <f>IFERROR(__xludf.DUMMYFUNCTION("""COMPUTED_VALUE"""),"STS100091")</f>
        <v>STS100091</v>
      </c>
      <c r="K809" s="2" t="str">
        <f>IFERROR(__xludf.DUMMYFUNCTION("""COMPUTED_VALUE"""),"WR-SERIES 265")</f>
        <v>WR-SERIES 265</v>
      </c>
      <c r="L809" s="3" t="str">
        <f>IFERROR(__xludf.DUMMYFUNCTION("""COMPUTED_VALUE"""),"25080352")</f>
        <v>25080352</v>
      </c>
      <c r="M809" s="3" t="str">
        <f>IFERROR(__xludf.DUMMYFUNCTION("""COMPUTED_VALUE"""),"25080805")</f>
        <v>25080805</v>
      </c>
      <c r="N809" s="2"/>
      <c r="O809" s="2" t="str">
        <f>IFERROR(__xludf.DUMMYFUNCTION("""COMPUTED_VALUE"""),"Santa Remedios")</f>
        <v>Santa Remedios</v>
      </c>
      <c r="P809" s="2" t="str">
        <f>IFERROR(__xludf.DUMMYFUNCTION("""COMPUTED_VALUE"""),"Bulan")</f>
        <v>Bulan</v>
      </c>
      <c r="Q809" s="2" t="str">
        <f>IFERROR(__xludf.DUMMYFUNCTION("""COMPUTED_VALUE"""),"Sorsogon")</f>
        <v>Sorsogon</v>
      </c>
      <c r="R809" s="2">
        <f>IFERROR(__xludf.DUMMYFUNCTION("""COMPUTED_VALUE"""),5.0)</f>
        <v>5</v>
      </c>
      <c r="S809" s="2"/>
      <c r="T809" s="2"/>
    </row>
    <row r="810">
      <c r="A810" s="1">
        <f>IFERROR(__xludf.DUMMYFUNCTION("""COMPUTED_VALUE"""),808.0)</f>
        <v>808</v>
      </c>
      <c r="B810" s="2" t="str">
        <f>IFERROR(__xludf.DUMMYFUNCTION("""COMPUTED_VALUE"""),"TIRIS INTEGRATED FARMERS ASSOCIATION (TIFA)")</f>
        <v>TIRIS INTEGRATED FARMERS ASSOCIATION (TIFA)</v>
      </c>
      <c r="C810" s="2" t="str">
        <f>IFERROR(__xludf.DUMMYFUNCTION("""COMPUTED_VALUE"""),"Tiris, Gubat, SORSOGON")</f>
        <v>Tiris, Gubat, SORSOGON</v>
      </c>
      <c r="D810" s="2" t="str">
        <f>IFERROR(__xludf.DUMMYFUNCTION("""COMPUTED_VALUE"""),"Domingo E. Escober")</f>
        <v>Domingo E. Escober</v>
      </c>
      <c r="E810" s="2" t="str">
        <f>IFERROR(__xludf.DUMMYFUNCTION("""COMPUTED_VALUE"""),"0938 430 0062")</f>
        <v>0938 430 0062</v>
      </c>
      <c r="F810" s="2" t="str">
        <f>IFERROR(__xludf.DUMMYFUNCTION("""COMPUTED_VALUE"""),"RCEF 25-03-05")</f>
        <v>RCEF 25-03-05</v>
      </c>
      <c r="G810" s="2">
        <f>IFERROR(__xludf.DUMMYFUNCTION("""COMPUTED_VALUE"""),6.0)</f>
        <v>6</v>
      </c>
      <c r="H810" s="2" t="str">
        <f>IFERROR(__xludf.DUMMYFUNCTION("""COMPUTED_VALUE"""),"26640 &amp; 27763")</f>
        <v>26640 &amp; 27763</v>
      </c>
      <c r="I810" s="2" t="str">
        <f>IFERROR(__xludf.DUMMYFUNCTION("""COMPUTED_VALUE"""),"KMC5825 APSFPV0099")</f>
        <v>KMC5825 APSFPV0099</v>
      </c>
      <c r="J810" s="3" t="str">
        <f>IFERROR(__xludf.DUMMYFUNCTION("""COMPUTED_VALUE"""),"STS100156")</f>
        <v>STS100156</v>
      </c>
      <c r="K810" s="2" t="str">
        <f>IFERROR(__xludf.DUMMYFUNCTION("""COMPUTED_VALUE"""),"WR-SERIES 293")</f>
        <v>WR-SERIES 293</v>
      </c>
      <c r="L810" s="3" t="str">
        <f>IFERROR(__xludf.DUMMYFUNCTION("""COMPUTED_VALUE"""),"25080385")</f>
        <v>25080385</v>
      </c>
      <c r="M810" s="3" t="str">
        <f>IFERROR(__xludf.DUMMYFUNCTION("""COMPUTED_VALUE"""),"25080783")</f>
        <v>25080783</v>
      </c>
      <c r="N810" s="2"/>
      <c r="O810" s="2" t="str">
        <f>IFERROR(__xludf.DUMMYFUNCTION("""COMPUTED_VALUE"""),"Tiris")</f>
        <v>Tiris</v>
      </c>
      <c r="P810" s="2" t="str">
        <f>IFERROR(__xludf.DUMMYFUNCTION("""COMPUTED_VALUE"""),"Gubat")</f>
        <v>Gubat</v>
      </c>
      <c r="Q810" s="2" t="str">
        <f>IFERROR(__xludf.DUMMYFUNCTION("""COMPUTED_VALUE"""),"Sorsogon")</f>
        <v>Sorsogon</v>
      </c>
      <c r="R810" s="2">
        <f>IFERROR(__xludf.DUMMYFUNCTION("""COMPUTED_VALUE"""),5.0)</f>
        <v>5</v>
      </c>
      <c r="S810" s="2"/>
      <c r="T810" s="2"/>
    </row>
    <row r="811">
      <c r="A811" s="1">
        <f>IFERROR(__xludf.DUMMYFUNCTION("""COMPUTED_VALUE"""),809.0)</f>
        <v>809</v>
      </c>
      <c r="B811" s="2" t="str">
        <f>IFERROR(__xludf.DUMMYFUNCTION("""COMPUTED_VALUE"""),"ILAWOD SAGAP SARARO PARAOMA ASOSASYON (ISSAPA)")</f>
        <v>ILAWOD SAGAP SARARO PARAOMA ASOSASYON (ISSAPA)</v>
      </c>
      <c r="C811" s="2" t="str">
        <f>IFERROR(__xludf.DUMMYFUNCTION("""COMPUTED_VALUE"""),"Macawayan, Irosin, SORSOGON")</f>
        <v>Macawayan, Irosin, SORSOGON</v>
      </c>
      <c r="D811" s="2" t="str">
        <f>IFERROR(__xludf.DUMMYFUNCTION("""COMPUTED_VALUE"""),"Lucia L. Estremera")</f>
        <v>Lucia L. Estremera</v>
      </c>
      <c r="E811" s="2" t="str">
        <f>IFERROR(__xludf.DUMMYFUNCTION("""COMPUTED_VALUE"""),"0970 362 7068")</f>
        <v>0970 362 7068</v>
      </c>
      <c r="F811" s="2" t="str">
        <f>IFERROR(__xludf.DUMMYFUNCTION("""COMPUTED_VALUE"""),"RCEF 25-03-05")</f>
        <v>RCEF 25-03-05</v>
      </c>
      <c r="G811" s="2">
        <f>IFERROR(__xludf.DUMMYFUNCTION("""COMPUTED_VALUE"""),6.0)</f>
        <v>6</v>
      </c>
      <c r="H811" s="2" t="str">
        <f>IFERROR(__xludf.DUMMYFUNCTION("""COMPUTED_VALUE"""),"26641 &amp; 27764")</f>
        <v>26641 &amp; 27764</v>
      </c>
      <c r="I811" s="2" t="str">
        <f>IFERROR(__xludf.DUMMYFUNCTION("""COMPUTED_VALUE"""),"KMC5825 ALSFPV0130")</f>
        <v>KMC5825 ALSFPV0130</v>
      </c>
      <c r="J811" s="3" t="str">
        <f>IFERROR(__xludf.DUMMYFUNCTION("""COMPUTED_VALUE"""),"STS100085")</f>
        <v>STS100085</v>
      </c>
      <c r="K811" s="2" t="str">
        <f>IFERROR(__xludf.DUMMYFUNCTION("""COMPUTED_VALUE"""),"WR-SERIES 283")</f>
        <v>WR-SERIES 283</v>
      </c>
      <c r="L811" s="3" t="str">
        <f>IFERROR(__xludf.DUMMYFUNCTION("""COMPUTED_VALUE"""),"25080364")</f>
        <v>25080364</v>
      </c>
      <c r="M811" s="3" t="str">
        <f>IFERROR(__xludf.DUMMYFUNCTION("""COMPUTED_VALUE"""),"25080790")</f>
        <v>25080790</v>
      </c>
      <c r="N811" s="2"/>
      <c r="O811" s="2" t="str">
        <f>IFERROR(__xludf.DUMMYFUNCTION("""COMPUTED_VALUE"""),"Macawayan")</f>
        <v>Macawayan</v>
      </c>
      <c r="P811" s="2" t="str">
        <f>IFERROR(__xludf.DUMMYFUNCTION("""COMPUTED_VALUE"""),"Irosin")</f>
        <v>Irosin</v>
      </c>
      <c r="Q811" s="2" t="str">
        <f>IFERROR(__xludf.DUMMYFUNCTION("""COMPUTED_VALUE"""),"Sorsogon")</f>
        <v>Sorsogon</v>
      </c>
      <c r="R811" s="2">
        <f>IFERROR(__xludf.DUMMYFUNCTION("""COMPUTED_VALUE"""),5.0)</f>
        <v>5</v>
      </c>
      <c r="S811" s="2"/>
      <c r="T811" s="2"/>
    </row>
    <row r="812">
      <c r="A812" s="1">
        <f>IFERROR(__xludf.DUMMYFUNCTION("""COMPUTED_VALUE"""),810.0)</f>
        <v>810</v>
      </c>
      <c r="B812" s="2" t="str">
        <f>IFERROR(__xludf.DUMMYFUNCTION("""COMPUTED_VALUE"""),"DAUHAN-ALATIN IRRIGATORS ASSOCIATION, INC.")</f>
        <v>DAUHAN-ALATIN IRRIGATORS ASSOCIATION, INC.</v>
      </c>
      <c r="C812" s="2" t="str">
        <f>IFERROR(__xludf.DUMMYFUNCTION("""COMPUTED_VALUE"""),"Lumangbayan, Abra de Ilog, OCCIDENTAL MINDORO")</f>
        <v>Lumangbayan, Abra de Ilog, OCCIDENTAL MINDORO</v>
      </c>
      <c r="D812" s="2" t="str">
        <f>IFERROR(__xludf.DUMMYFUNCTION("""COMPUTED_VALUE"""),"Anastacia De Guzman")</f>
        <v>Anastacia De Guzman</v>
      </c>
      <c r="E812" s="2" t="str">
        <f>IFERROR(__xludf.DUMMYFUNCTION("""COMPUTED_VALUE"""),"0998 573 9960 (MAO)")</f>
        <v>0998 573 9960 (MAO)</v>
      </c>
      <c r="F812" s="2" t="str">
        <f>IFERROR(__xludf.DUMMYFUNCTION("""COMPUTED_VALUE"""),"RCEF 25-03-05")</f>
        <v>RCEF 25-03-05</v>
      </c>
      <c r="G812" s="2">
        <f>IFERROR(__xludf.DUMMYFUNCTION("""COMPUTED_VALUE"""),6.0)</f>
        <v>6</v>
      </c>
      <c r="H812" s="2" t="str">
        <f>IFERROR(__xludf.DUMMYFUNCTION("""COMPUTED_VALUE"""),"26642 &amp; 27765")</f>
        <v>26642 &amp; 27765</v>
      </c>
      <c r="I812" s="2" t="str">
        <f>IFERROR(__xludf.DUMMYFUNCTION("""COMPUTED_VALUE"""),"KMC5825 AHSFPV0095")</f>
        <v>KMC5825 AHSFPV0095</v>
      </c>
      <c r="J812" s="3" t="str">
        <f>IFERROR(__xludf.DUMMYFUNCTION("""COMPUTED_VALUE"""),"STS100147")</f>
        <v>STS100147</v>
      </c>
      <c r="K812" s="2" t="str">
        <f>IFERROR(__xludf.DUMMYFUNCTION("""COMPUTED_VALUE"""),"WR-SERIES 048")</f>
        <v>WR-SERIES 048</v>
      </c>
      <c r="L812" s="3" t="str">
        <f>IFERROR(__xludf.DUMMYFUNCTION("""COMPUTED_VALUE"""),"25090601")</f>
        <v>25090601</v>
      </c>
      <c r="M812" s="3" t="str">
        <f>IFERROR(__xludf.DUMMYFUNCTION("""COMPUTED_VALUE"""),"25080834")</f>
        <v>25080834</v>
      </c>
      <c r="N812" s="2"/>
      <c r="O812" s="2" t="str">
        <f>IFERROR(__xludf.DUMMYFUNCTION("""COMPUTED_VALUE"""),"Lumangbayan")</f>
        <v>Lumangbayan</v>
      </c>
      <c r="P812" s="2" t="str">
        <f>IFERROR(__xludf.DUMMYFUNCTION("""COMPUTED_VALUE"""),"Abra De Ilog")</f>
        <v>Abra De Ilog</v>
      </c>
      <c r="Q812" s="2" t="str">
        <f>IFERROR(__xludf.DUMMYFUNCTION("""COMPUTED_VALUE"""),"Occidental Mindoro")</f>
        <v>Occidental Mindoro</v>
      </c>
      <c r="R812" s="2" t="str">
        <f>IFERROR(__xludf.DUMMYFUNCTION("""COMPUTED_VALUE"""),"4B")</f>
        <v>4B</v>
      </c>
      <c r="S812" s="2"/>
      <c r="T812" s="2"/>
    </row>
    <row r="813">
      <c r="A813" s="1">
        <f>IFERROR(__xludf.DUMMYFUNCTION("""COMPUTED_VALUE"""),811.0)</f>
        <v>811</v>
      </c>
      <c r="B813" s="2" t="str">
        <f>IFERROR(__xludf.DUMMYFUNCTION("""COMPUTED_VALUE"""),"Inipitan Calawag Irrigators Association, Inc.")</f>
        <v>Inipitan Calawag Irrigators Association, Inc.</v>
      </c>
      <c r="C813" s="2" t="str">
        <f>IFERROR(__xludf.DUMMYFUNCTION("""COMPUTED_VALUE"""),", Magsaysay, OCCIDENTAL MINDORO")</f>
        <v>, Magsaysay, OCCIDENTAL MINDORO</v>
      </c>
      <c r="D813" s="2" t="str">
        <f>IFERROR(__xludf.DUMMYFUNCTION("""COMPUTED_VALUE"""),"Benito Graganta")</f>
        <v>Benito Graganta</v>
      </c>
      <c r="E813" s="2" t="str">
        <f>IFERROR(__xludf.DUMMYFUNCTION("""COMPUTED_VALUE"""),"0946 259 1994")</f>
        <v>0946 259 1994</v>
      </c>
      <c r="F813" s="2" t="str">
        <f>IFERROR(__xludf.DUMMYFUNCTION("""COMPUTED_VALUE"""),"RCEF 25-03-05")</f>
        <v>RCEF 25-03-05</v>
      </c>
      <c r="G813" s="2">
        <f>IFERROR(__xludf.DUMMYFUNCTION("""COMPUTED_VALUE"""),6.0)</f>
        <v>6</v>
      </c>
      <c r="H813" s="2" t="str">
        <f>IFERROR(__xludf.DUMMYFUNCTION("""COMPUTED_VALUE"""),"26643 &amp; 27766")</f>
        <v>26643 &amp; 27766</v>
      </c>
      <c r="I813" s="2" t="str">
        <f>IFERROR(__xludf.DUMMYFUNCTION("""COMPUTED_VALUE"""),"KMC5825 AJSFPV0011")</f>
        <v>KMC5825 AJSFPV0011</v>
      </c>
      <c r="J813" s="3" t="str">
        <f>IFERROR(__xludf.DUMMYFUNCTION("""COMPUTED_VALUE"""),"STS100020")</f>
        <v>STS100020</v>
      </c>
      <c r="K813" s="2" t="str">
        <f>IFERROR(__xludf.DUMMYFUNCTION("""COMPUTED_VALUE"""),"WR-SERIES 007")</f>
        <v>WR-SERIES 007</v>
      </c>
      <c r="L813" s="3" t="str">
        <f>IFERROR(__xludf.DUMMYFUNCTION("""COMPUTED_VALUE"""),"25080301")</f>
        <v>25080301</v>
      </c>
      <c r="M813" s="3" t="str">
        <f>IFERROR(__xludf.DUMMYFUNCTION("""COMPUTED_VALUE"""),"25080758")</f>
        <v>25080758</v>
      </c>
      <c r="N813" s="2"/>
      <c r="O813" s="2" t="str">
        <f>IFERROR(__xludf.DUMMYFUNCTION("""COMPUTED_VALUE"""),"")</f>
        <v/>
      </c>
      <c r="P813" s="2" t="str">
        <f>IFERROR(__xludf.DUMMYFUNCTION("""COMPUTED_VALUE"""),"Magsaysay")</f>
        <v>Magsaysay</v>
      </c>
      <c r="Q813" s="2" t="str">
        <f>IFERROR(__xludf.DUMMYFUNCTION("""COMPUTED_VALUE"""),"Occidental Mindoro")</f>
        <v>Occidental Mindoro</v>
      </c>
      <c r="R813" s="2" t="str">
        <f>IFERROR(__xludf.DUMMYFUNCTION("""COMPUTED_VALUE"""),"4B")</f>
        <v>4B</v>
      </c>
      <c r="S813" s="2"/>
      <c r="T813" s="2"/>
    </row>
    <row r="814">
      <c r="A814" s="1">
        <f>IFERROR(__xludf.DUMMYFUNCTION("""COMPUTED_VALUE"""),812.0)</f>
        <v>812</v>
      </c>
      <c r="B814" s="2" t="str">
        <f>IFERROR(__xludf.DUMMYFUNCTION("""COMPUTED_VALUE"""),"CALAMANSIAN POYPOY IRRIGATORS' ASSOCIATION, INC.")</f>
        <v>CALAMANSIAN POYPOY IRRIGATORS' ASSOCIATION, INC.</v>
      </c>
      <c r="C814" s="2" t="str">
        <f>IFERROR(__xludf.DUMMYFUNCTION("""COMPUTED_VALUE"""),", Calintaan, OCCIDENTAL MINDORO")</f>
        <v>, Calintaan, OCCIDENTAL MINDORO</v>
      </c>
      <c r="D814" s="2"/>
      <c r="E814" s="2"/>
      <c r="F814" s="2" t="str">
        <f>IFERROR(__xludf.DUMMYFUNCTION("""COMPUTED_VALUE"""),"RCEF 25-03-05")</f>
        <v>RCEF 25-03-05</v>
      </c>
      <c r="G814" s="2">
        <f>IFERROR(__xludf.DUMMYFUNCTION("""COMPUTED_VALUE"""),6.0)</f>
        <v>6</v>
      </c>
      <c r="H814" s="2" t="str">
        <f>IFERROR(__xludf.DUMMYFUNCTION("""COMPUTED_VALUE"""),"26644 &amp; 27767")</f>
        <v>26644 &amp; 27767</v>
      </c>
      <c r="I814" s="2" t="str">
        <f>IFERROR(__xludf.DUMMYFUNCTION("""COMPUTED_VALUE"""),"KMC5825 APSFPV0345")</f>
        <v>KMC5825 APSFPV0345</v>
      </c>
      <c r="J814" s="3" t="str">
        <f>IFERROR(__xludf.DUMMYFUNCTION("""COMPUTED_VALUE"""),"STS100356")</f>
        <v>STS100356</v>
      </c>
      <c r="K814" s="2" t="str">
        <f>IFERROR(__xludf.DUMMYFUNCTION("""COMPUTED_VALUE"""),"WR-SERIES 244")</f>
        <v>WR-SERIES 244</v>
      </c>
      <c r="L814" s="3" t="str">
        <f>IFERROR(__xludf.DUMMYFUNCTION("""COMPUTED_VALUE"""),"25090598")</f>
        <v>25090598</v>
      </c>
      <c r="M814" s="3" t="str">
        <f>IFERROR(__xludf.DUMMYFUNCTION("""COMPUTED_VALUE"""),"25080848")</f>
        <v>25080848</v>
      </c>
      <c r="N814" s="2"/>
      <c r="O814" s="2" t="str">
        <f>IFERROR(__xludf.DUMMYFUNCTION("""COMPUTED_VALUE"""),"")</f>
        <v/>
      </c>
      <c r="P814" s="2" t="str">
        <f>IFERROR(__xludf.DUMMYFUNCTION("""COMPUTED_VALUE"""),"Calintaan")</f>
        <v>Calintaan</v>
      </c>
      <c r="Q814" s="2" t="str">
        <f>IFERROR(__xludf.DUMMYFUNCTION("""COMPUTED_VALUE"""),"Occidental Mindoro")</f>
        <v>Occidental Mindoro</v>
      </c>
      <c r="R814" s="2" t="str">
        <f>IFERROR(__xludf.DUMMYFUNCTION("""COMPUTED_VALUE"""),"4B")</f>
        <v>4B</v>
      </c>
      <c r="S814" s="2"/>
      <c r="T814" s="2"/>
    </row>
    <row r="815">
      <c r="A815" s="1">
        <f>IFERROR(__xludf.DUMMYFUNCTION("""COMPUTED_VALUE"""),813.0)</f>
        <v>813</v>
      </c>
      <c r="B815" s="2" t="str">
        <f>IFERROR(__xludf.DUMMYFUNCTION("""COMPUTED_VALUE"""),"Calintaan Young Blood Farmers and Fishermen Multi-Purpose Cooperative")</f>
        <v>Calintaan Young Blood Farmers and Fishermen Multi-Purpose Cooperative</v>
      </c>
      <c r="C815" s="2" t="str">
        <f>IFERROR(__xludf.DUMMYFUNCTION("""COMPUTED_VALUE"""),", Calintaan, OCCIDENTAL MINDORO")</f>
        <v>, Calintaan, OCCIDENTAL MINDORO</v>
      </c>
      <c r="D815" s="2" t="str">
        <f>IFERROR(__xludf.DUMMYFUNCTION("""COMPUTED_VALUE"""),"Edson Del Rosario")</f>
        <v>Edson Del Rosario</v>
      </c>
      <c r="E815" s="2" t="str">
        <f>IFERROR(__xludf.DUMMYFUNCTION("""COMPUTED_VALUE"""),"0966 931 6474")</f>
        <v>0966 931 6474</v>
      </c>
      <c r="F815" s="2" t="str">
        <f>IFERROR(__xludf.DUMMYFUNCTION("""COMPUTED_VALUE"""),"RCEF 25-03-05")</f>
        <v>RCEF 25-03-05</v>
      </c>
      <c r="G815" s="2">
        <f>IFERROR(__xludf.DUMMYFUNCTION("""COMPUTED_VALUE"""),6.0)</f>
        <v>6</v>
      </c>
      <c r="H815" s="2" t="str">
        <f>IFERROR(__xludf.DUMMYFUNCTION("""COMPUTED_VALUE"""),"26645 &amp; 27768")</f>
        <v>26645 &amp; 27768</v>
      </c>
      <c r="I815" s="2" t="str">
        <f>IFERROR(__xludf.DUMMYFUNCTION("""COMPUTED_VALUE"""),"KMC5825 AHSFPV0291")</f>
        <v>KMC5825 AHSFPV0291</v>
      </c>
      <c r="J815" s="3" t="str">
        <f>IFERROR(__xludf.DUMMYFUNCTION("""COMPUTED_VALUE"""),"STS100294")</f>
        <v>STS100294</v>
      </c>
      <c r="K815" s="2" t="str">
        <f>IFERROR(__xludf.DUMMYFUNCTION("""COMPUTED_VALUE"""),"WR-SERIES 273")</f>
        <v>WR-SERIES 273</v>
      </c>
      <c r="L815" s="3" t="str">
        <f>IFERROR(__xludf.DUMMYFUNCTION("""COMPUTED_VALUE"""),"25090577")</f>
        <v>25090577</v>
      </c>
      <c r="M815" s="3" t="str">
        <f>IFERROR(__xludf.DUMMYFUNCTION("""COMPUTED_VALUE"""),"25080882")</f>
        <v>25080882</v>
      </c>
      <c r="N815" s="2"/>
      <c r="O815" s="2" t="str">
        <f>IFERROR(__xludf.DUMMYFUNCTION("""COMPUTED_VALUE"""),"")</f>
        <v/>
      </c>
      <c r="P815" s="2" t="str">
        <f>IFERROR(__xludf.DUMMYFUNCTION("""COMPUTED_VALUE"""),"Calintaan")</f>
        <v>Calintaan</v>
      </c>
      <c r="Q815" s="2" t="str">
        <f>IFERROR(__xludf.DUMMYFUNCTION("""COMPUTED_VALUE"""),"Occidental Mindoro")</f>
        <v>Occidental Mindoro</v>
      </c>
      <c r="R815" s="2" t="str">
        <f>IFERROR(__xludf.DUMMYFUNCTION("""COMPUTED_VALUE"""),"4B")</f>
        <v>4B</v>
      </c>
      <c r="S815" s="2"/>
      <c r="T815" s="2"/>
    </row>
    <row r="816">
      <c r="A816" s="1">
        <f>IFERROR(__xludf.DUMMYFUNCTION("""COMPUTED_VALUE"""),814.0)</f>
        <v>814</v>
      </c>
      <c r="B816" s="2" t="str">
        <f>IFERROR(__xludf.DUMMYFUNCTION("""COMPUTED_VALUE"""),"Concepcion Farmers Multi-Purpose Cooperative")</f>
        <v>Concepcion Farmers Multi-Purpose Cooperative</v>
      </c>
      <c r="C816" s="2" t="str">
        <f>IFERROR(__xludf.DUMMYFUNCTION("""COMPUTED_VALUE"""),", Calintaan, OCCIDENTAL MINDORO")</f>
        <v>, Calintaan, OCCIDENTAL MINDORO</v>
      </c>
      <c r="D816" s="2" t="str">
        <f>IFERROR(__xludf.DUMMYFUNCTION("""COMPUTED_VALUE"""),"Leido Isidro")</f>
        <v>Leido Isidro</v>
      </c>
      <c r="E816" s="2" t="str">
        <f>IFERROR(__xludf.DUMMYFUNCTION("""COMPUTED_VALUE"""),"0955 347 7897")</f>
        <v>0955 347 7897</v>
      </c>
      <c r="F816" s="2" t="str">
        <f>IFERROR(__xludf.DUMMYFUNCTION("""COMPUTED_VALUE"""),"RCEF 25-03-05")</f>
        <v>RCEF 25-03-05</v>
      </c>
      <c r="G816" s="2">
        <f>IFERROR(__xludf.DUMMYFUNCTION("""COMPUTED_VALUE"""),6.0)</f>
        <v>6</v>
      </c>
      <c r="H816" s="2" t="str">
        <f>IFERROR(__xludf.DUMMYFUNCTION("""COMPUTED_VALUE"""),"26646 &amp; 27769")</f>
        <v>26646 &amp; 27769</v>
      </c>
      <c r="I816" s="2" t="str">
        <f>IFERROR(__xludf.DUMMYFUNCTION("""COMPUTED_VALUE"""),"KMC5825 AKSFPV0363")</f>
        <v>KMC5825 AKSFPV0363</v>
      </c>
      <c r="J816" s="3" t="str">
        <f>IFERROR(__xludf.DUMMYFUNCTION("""COMPUTED_VALUE"""),"STS100415")</f>
        <v>STS100415</v>
      </c>
      <c r="K816" s="2" t="str">
        <f>IFERROR(__xludf.DUMMYFUNCTION("""COMPUTED_VALUE"""),"WR-SERIES 279")</f>
        <v>WR-SERIES 279</v>
      </c>
      <c r="L816" s="3" t="str">
        <f>IFERROR(__xludf.DUMMYFUNCTION("""COMPUTED_VALUE"""),"25090558")</f>
        <v>25090558</v>
      </c>
      <c r="M816" s="3" t="str">
        <f>IFERROR(__xludf.DUMMYFUNCTION("""COMPUTED_VALUE"""),"25080838")</f>
        <v>25080838</v>
      </c>
      <c r="N816" s="2"/>
      <c r="O816" s="2" t="str">
        <f>IFERROR(__xludf.DUMMYFUNCTION("""COMPUTED_VALUE"""),"")</f>
        <v/>
      </c>
      <c r="P816" s="2" t="str">
        <f>IFERROR(__xludf.DUMMYFUNCTION("""COMPUTED_VALUE"""),"Calintaan")</f>
        <v>Calintaan</v>
      </c>
      <c r="Q816" s="2" t="str">
        <f>IFERROR(__xludf.DUMMYFUNCTION("""COMPUTED_VALUE"""),"Occidental Mindoro")</f>
        <v>Occidental Mindoro</v>
      </c>
      <c r="R816" s="2" t="str">
        <f>IFERROR(__xludf.DUMMYFUNCTION("""COMPUTED_VALUE"""),"4B")</f>
        <v>4B</v>
      </c>
      <c r="S816" s="2"/>
      <c r="T816" s="2"/>
    </row>
    <row r="817">
      <c r="A817" s="1">
        <f>IFERROR(__xludf.DUMMYFUNCTION("""COMPUTED_VALUE"""),815.0)</f>
        <v>815</v>
      </c>
      <c r="B817" s="2" t="str">
        <f>IFERROR(__xludf.DUMMYFUNCTION("""COMPUTED_VALUE"""),"Binakas Agri Association")</f>
        <v>Binakas Agri Association</v>
      </c>
      <c r="C817" s="2" t="str">
        <f>IFERROR(__xludf.DUMMYFUNCTION("""COMPUTED_VALUE"""),"Binakas, Lubang, OCCIDENTAL MINDORO")</f>
        <v>Binakas, Lubang, OCCIDENTAL MINDORO</v>
      </c>
      <c r="D817" s="2" t="str">
        <f>IFERROR(__xludf.DUMMYFUNCTION("""COMPUTED_VALUE"""),"Roseller Tardio")</f>
        <v>Roseller Tardio</v>
      </c>
      <c r="E817" s="2" t="str">
        <f>IFERROR(__xludf.DUMMYFUNCTION("""COMPUTED_VALUE"""),"0928 554 2592")</f>
        <v>0928 554 2592</v>
      </c>
      <c r="F817" s="2" t="str">
        <f>IFERROR(__xludf.DUMMYFUNCTION("""COMPUTED_VALUE"""),"RCEF 25-03-05")</f>
        <v>RCEF 25-03-05</v>
      </c>
      <c r="G817" s="2">
        <f>IFERROR(__xludf.DUMMYFUNCTION("""COMPUTED_VALUE"""),6.0)</f>
        <v>6</v>
      </c>
      <c r="H817" s="2" t="str">
        <f>IFERROR(__xludf.DUMMYFUNCTION("""COMPUTED_VALUE"""),"26647 &amp; 27901")</f>
        <v>26647 &amp; 27901</v>
      </c>
      <c r="I817" s="2" t="str">
        <f>IFERROR(__xludf.DUMMYFUNCTION("""COMPUTED_VALUE"""),"KMC5825 ACSFPV0639")</f>
        <v>KMC5825 ACSFPV0639</v>
      </c>
      <c r="J817" s="3" t="str">
        <f>IFERROR(__xludf.DUMMYFUNCTION("""COMPUTED_VALUE"""),"STS100351")</f>
        <v>STS100351</v>
      </c>
      <c r="K817" s="2" t="str">
        <f>IFERROR(__xludf.DUMMYFUNCTION("""COMPUTED_VALUE"""),"WR-SERIES 1354PH")</f>
        <v>WR-SERIES 1354PH</v>
      </c>
      <c r="L817" s="3" t="str">
        <f>IFERROR(__xludf.DUMMYFUNCTION("""COMPUTED_VALUE"""),"2510839")</f>
        <v>2510839</v>
      </c>
      <c r="M817" s="3">
        <f>IFERROR(__xludf.DUMMYFUNCTION("""COMPUTED_VALUE"""),2.512142E7)</f>
        <v>25121420</v>
      </c>
      <c r="N817" s="2"/>
      <c r="O817" s="2" t="str">
        <f>IFERROR(__xludf.DUMMYFUNCTION("""COMPUTED_VALUE"""),"Binakas")</f>
        <v>Binakas</v>
      </c>
      <c r="P817" s="2" t="str">
        <f>IFERROR(__xludf.DUMMYFUNCTION("""COMPUTED_VALUE"""),"Lubang")</f>
        <v>Lubang</v>
      </c>
      <c r="Q817" s="2" t="str">
        <f>IFERROR(__xludf.DUMMYFUNCTION("""COMPUTED_VALUE"""),"Occidental Mindoro")</f>
        <v>Occidental Mindoro</v>
      </c>
      <c r="R817" s="2" t="str">
        <f>IFERROR(__xludf.DUMMYFUNCTION("""COMPUTED_VALUE"""),"4B")</f>
        <v>4B</v>
      </c>
      <c r="S817" s="2"/>
      <c r="T817" s="2"/>
    </row>
    <row r="818">
      <c r="A818" s="1">
        <f>IFERROR(__xludf.DUMMYFUNCTION("""COMPUTED_VALUE"""),816.0)</f>
        <v>816</v>
      </c>
      <c r="B818" s="2" t="str">
        <f>IFERROR(__xludf.DUMMYFUNCTION("""COMPUTED_VALUE"""),"Mabuting Pastol ng Kanlurang Mindoro Multi-Purpose Cooperative")</f>
        <v>Mabuting Pastol ng Kanlurang Mindoro Multi-Purpose Cooperative</v>
      </c>
      <c r="C818" s="2" t="str">
        <f>IFERROR(__xludf.DUMMYFUNCTION("""COMPUTED_VALUE"""),", Magsaysay, OCCIDENTAL MINDORO")</f>
        <v>, Magsaysay, OCCIDENTAL MINDORO</v>
      </c>
      <c r="D818" s="2" t="str">
        <f>IFERROR(__xludf.DUMMYFUNCTION("""COMPUTED_VALUE"""),"Imelda Reguyal")</f>
        <v>Imelda Reguyal</v>
      </c>
      <c r="E818" s="2" t="str">
        <f>IFERROR(__xludf.DUMMYFUNCTION("""COMPUTED_VALUE"""),"0920 981 7356")</f>
        <v>0920 981 7356</v>
      </c>
      <c r="F818" s="2" t="str">
        <f>IFERROR(__xludf.DUMMYFUNCTION("""COMPUTED_VALUE"""),"RCEF 25-03-05")</f>
        <v>RCEF 25-03-05</v>
      </c>
      <c r="G818" s="2">
        <f>IFERROR(__xludf.DUMMYFUNCTION("""COMPUTED_VALUE"""),6.0)</f>
        <v>6</v>
      </c>
      <c r="H818" s="2" t="str">
        <f>IFERROR(__xludf.DUMMYFUNCTION("""COMPUTED_VALUE"""),"26648 &amp; 27770")</f>
        <v>26648 &amp; 27770</v>
      </c>
      <c r="I818" s="2" t="str">
        <f>IFERROR(__xludf.DUMMYFUNCTION("""COMPUTED_VALUE"""),"KMC5825 ATSFPV0022")</f>
        <v>KMC5825 ATSFPV0022</v>
      </c>
      <c r="J818" s="3" t="str">
        <f>IFERROR(__xludf.DUMMYFUNCTION("""COMPUTED_VALUE"""),"STS100023")</f>
        <v>STS100023</v>
      </c>
      <c r="K818" s="2" t="str">
        <f>IFERROR(__xludf.DUMMYFUNCTION("""COMPUTED_VALUE"""),"WR-SERIES 042")</f>
        <v>WR-SERIES 042</v>
      </c>
      <c r="L818" s="3" t="str">
        <f>IFERROR(__xludf.DUMMYFUNCTION("""COMPUTED_VALUE"""),"25070132")</f>
        <v>25070132</v>
      </c>
      <c r="M818" s="3" t="str">
        <f>IFERROR(__xludf.DUMMYFUNCTION("""COMPUTED_VALUE"""),"25080769")</f>
        <v>25080769</v>
      </c>
      <c r="N818" s="2"/>
      <c r="O818" s="2" t="str">
        <f>IFERROR(__xludf.DUMMYFUNCTION("""COMPUTED_VALUE"""),"")</f>
        <v/>
      </c>
      <c r="P818" s="2" t="str">
        <f>IFERROR(__xludf.DUMMYFUNCTION("""COMPUTED_VALUE"""),"Magsaysay")</f>
        <v>Magsaysay</v>
      </c>
      <c r="Q818" s="2" t="str">
        <f>IFERROR(__xludf.DUMMYFUNCTION("""COMPUTED_VALUE"""),"Occidental Mindoro")</f>
        <v>Occidental Mindoro</v>
      </c>
      <c r="R818" s="2" t="str">
        <f>IFERROR(__xludf.DUMMYFUNCTION("""COMPUTED_VALUE"""),"4B")</f>
        <v>4B</v>
      </c>
      <c r="S818" s="2"/>
      <c r="T818" s="2"/>
    </row>
    <row r="819">
      <c r="A819" s="1">
        <f>IFERROR(__xludf.DUMMYFUNCTION("""COMPUTED_VALUE"""),817.0)</f>
        <v>817</v>
      </c>
      <c r="B819" s="2" t="str">
        <f>IFERROR(__xludf.DUMMYFUNCTION("""COMPUTED_VALUE"""),"Municipal Local Government Unit of Magsaysay")</f>
        <v>Municipal Local Government Unit of Magsaysay</v>
      </c>
      <c r="C819" s="2" t="str">
        <f>IFERROR(__xludf.DUMMYFUNCTION("""COMPUTED_VALUE"""),", Magsaysay, OCCIDENTAL MINDORO")</f>
        <v>, Magsaysay, OCCIDENTAL MINDORO</v>
      </c>
      <c r="D819" s="2" t="str">
        <f>IFERROR(__xludf.DUMMYFUNCTION("""COMPUTED_VALUE"""),"Hon. Cesar M. Tria Jr.")</f>
        <v>Hon. Cesar M. Tria Jr.</v>
      </c>
      <c r="E819" s="2" t="str">
        <f>IFERROR(__xludf.DUMMYFUNCTION("""COMPUTED_VALUE"""),"0948 501 3446 (MA)")</f>
        <v>0948 501 3446 (MA)</v>
      </c>
      <c r="F819" s="2" t="str">
        <f>IFERROR(__xludf.DUMMYFUNCTION("""COMPUTED_VALUE"""),"RCEF 25-03-05")</f>
        <v>RCEF 25-03-05</v>
      </c>
      <c r="G819" s="2">
        <f>IFERROR(__xludf.DUMMYFUNCTION("""COMPUTED_VALUE"""),6.0)</f>
        <v>6</v>
      </c>
      <c r="H819" s="2" t="str">
        <f>IFERROR(__xludf.DUMMYFUNCTION("""COMPUTED_VALUE"""),"26649 &amp; 27771")</f>
        <v>26649 &amp; 27771</v>
      </c>
      <c r="I819" s="2" t="str">
        <f>IFERROR(__xludf.DUMMYFUNCTION("""COMPUTED_VALUE"""),"KMC5825 ATSFPV0005")</f>
        <v>KMC5825 ATSFPV0005</v>
      </c>
      <c r="J819" s="3" t="str">
        <f>IFERROR(__xludf.DUMMYFUNCTION("""COMPUTED_VALUE"""),"STS100026")</f>
        <v>STS100026</v>
      </c>
      <c r="K819" s="2" t="str">
        <f>IFERROR(__xludf.DUMMYFUNCTION("""COMPUTED_VALUE"""),"WR-SERIES 084")</f>
        <v>WR-SERIES 084</v>
      </c>
      <c r="L819" s="3" t="str">
        <f>IFERROR(__xludf.DUMMYFUNCTION("""COMPUTED_VALUE"""),"25070096")</f>
        <v>25070096</v>
      </c>
      <c r="M819" s="3" t="str">
        <f>IFERROR(__xludf.DUMMYFUNCTION("""COMPUTED_VALUE"""),"25080767")</f>
        <v>25080767</v>
      </c>
      <c r="N819" s="2"/>
      <c r="O819" s="2" t="str">
        <f>IFERROR(__xludf.DUMMYFUNCTION("""COMPUTED_VALUE"""),"")</f>
        <v/>
      </c>
      <c r="P819" s="2" t="str">
        <f>IFERROR(__xludf.DUMMYFUNCTION("""COMPUTED_VALUE"""),"Magsaysay")</f>
        <v>Magsaysay</v>
      </c>
      <c r="Q819" s="2" t="str">
        <f>IFERROR(__xludf.DUMMYFUNCTION("""COMPUTED_VALUE"""),"Occidental Mindoro")</f>
        <v>Occidental Mindoro</v>
      </c>
      <c r="R819" s="2" t="str">
        <f>IFERROR(__xludf.DUMMYFUNCTION("""COMPUTED_VALUE"""),"4B")</f>
        <v>4B</v>
      </c>
      <c r="S819" s="2"/>
      <c r="T819" s="2"/>
    </row>
    <row r="820">
      <c r="A820" s="1">
        <f>IFERROR(__xludf.DUMMYFUNCTION("""COMPUTED_VALUE"""),818.0)</f>
        <v>818</v>
      </c>
      <c r="B820" s="2" t="str">
        <f>IFERROR(__xludf.DUMMYFUNCTION("""COMPUTED_VALUE"""),"PURNAGA FARMERS ASSOCIATION, INC.")</f>
        <v>PURNAGA FARMERS ASSOCIATION, INC.</v>
      </c>
      <c r="C820" s="2" t="str">
        <f>IFERROR(__xludf.DUMMYFUNCTION("""COMPUTED_VALUE"""),"Purnaga, Magsaysay, OCCIDENTAL MINDORO")</f>
        <v>Purnaga, Magsaysay, OCCIDENTAL MINDORO</v>
      </c>
      <c r="D820" s="2" t="str">
        <f>IFERROR(__xludf.DUMMYFUNCTION("""COMPUTED_VALUE"""),"Eddie Borce")</f>
        <v>Eddie Borce</v>
      </c>
      <c r="E820" s="2" t="str">
        <f>IFERROR(__xludf.DUMMYFUNCTION("""COMPUTED_VALUE"""),"0951 104 2877")</f>
        <v>0951 104 2877</v>
      </c>
      <c r="F820" s="2" t="str">
        <f>IFERROR(__xludf.DUMMYFUNCTION("""COMPUTED_VALUE"""),"RCEF 25-03-05")</f>
        <v>RCEF 25-03-05</v>
      </c>
      <c r="G820" s="2">
        <f>IFERROR(__xludf.DUMMYFUNCTION("""COMPUTED_VALUE"""),6.0)</f>
        <v>6</v>
      </c>
      <c r="H820" s="2" t="str">
        <f>IFERROR(__xludf.DUMMYFUNCTION("""COMPUTED_VALUE"""),"26650 &amp; 27772")</f>
        <v>26650 &amp; 27772</v>
      </c>
      <c r="I820" s="2" t="str">
        <f>IFERROR(__xludf.DUMMYFUNCTION("""COMPUTED_VALUE"""),"KMC5825 ATSFPV0019")</f>
        <v>KMC5825 ATSFPV0019</v>
      </c>
      <c r="J820" s="3" t="str">
        <f>IFERROR(__xludf.DUMMYFUNCTION("""COMPUTED_VALUE"""),"STS100009")</f>
        <v>STS100009</v>
      </c>
      <c r="K820" s="2" t="str">
        <f>IFERROR(__xludf.DUMMYFUNCTION("""COMPUTED_VALUE"""),"WR-SERIES 041")</f>
        <v>WR-SERIES 041</v>
      </c>
      <c r="L820" s="3" t="str">
        <f>IFERROR(__xludf.DUMMYFUNCTION("""COMPUTED_VALUE"""),"25070126")</f>
        <v>25070126</v>
      </c>
      <c r="M820" s="3" t="str">
        <f>IFERROR(__xludf.DUMMYFUNCTION("""COMPUTED_VALUE"""),"25080752")</f>
        <v>25080752</v>
      </c>
      <c r="N820" s="2"/>
      <c r="O820" s="2" t="str">
        <f>IFERROR(__xludf.DUMMYFUNCTION("""COMPUTED_VALUE"""),"Purnaga")</f>
        <v>Purnaga</v>
      </c>
      <c r="P820" s="2" t="str">
        <f>IFERROR(__xludf.DUMMYFUNCTION("""COMPUTED_VALUE"""),"Magsaysay")</f>
        <v>Magsaysay</v>
      </c>
      <c r="Q820" s="2" t="str">
        <f>IFERROR(__xludf.DUMMYFUNCTION("""COMPUTED_VALUE"""),"Occidental Mindoro")</f>
        <v>Occidental Mindoro</v>
      </c>
      <c r="R820" s="2" t="str">
        <f>IFERROR(__xludf.DUMMYFUNCTION("""COMPUTED_VALUE"""),"4B")</f>
        <v>4B</v>
      </c>
      <c r="S820" s="2"/>
      <c r="T820" s="2"/>
    </row>
    <row r="821">
      <c r="A821" s="1">
        <f>IFERROR(__xludf.DUMMYFUNCTION("""COMPUTED_VALUE"""),819.0)</f>
        <v>819</v>
      </c>
      <c r="B821" s="2" t="str">
        <f>IFERROR(__xludf.DUMMYFUNCTION("""COMPUTED_VALUE"""),"RIVECO FARMERS ASSOCIATON")</f>
        <v>RIVECO FARMERS ASSOCIATON</v>
      </c>
      <c r="C821" s="2" t="str">
        <f>IFERROR(__xludf.DUMMYFUNCTION("""COMPUTED_VALUE"""),", Magsaysay, OCCIDENTAL MINDORO")</f>
        <v>, Magsaysay, OCCIDENTAL MINDORO</v>
      </c>
      <c r="D821" s="2" t="str">
        <f>IFERROR(__xludf.DUMMYFUNCTION("""COMPUTED_VALUE"""),"Victor Tejoso")</f>
        <v>Victor Tejoso</v>
      </c>
      <c r="E821" s="2" t="str">
        <f>IFERROR(__xludf.DUMMYFUNCTION("""COMPUTED_VALUE"""),"0930 101 9437")</f>
        <v>0930 101 9437</v>
      </c>
      <c r="F821" s="2" t="str">
        <f>IFERROR(__xludf.DUMMYFUNCTION("""COMPUTED_VALUE"""),"RCEF 25-03-05")</f>
        <v>RCEF 25-03-05</v>
      </c>
      <c r="G821" s="2">
        <f>IFERROR(__xludf.DUMMYFUNCTION("""COMPUTED_VALUE"""),6.0)</f>
        <v>6</v>
      </c>
      <c r="H821" s="2" t="str">
        <f>IFERROR(__xludf.DUMMYFUNCTION("""COMPUTED_VALUE"""),"26819 &amp; 27773")</f>
        <v>26819 &amp; 27773</v>
      </c>
      <c r="I821" s="2" t="str">
        <f>IFERROR(__xludf.DUMMYFUNCTION("""COMPUTED_VALUE"""),"KMC5825 ALSFPV0001")</f>
        <v>KMC5825 ALSFPV0001</v>
      </c>
      <c r="J821" s="3" t="str">
        <f>IFERROR(__xludf.DUMMYFUNCTION("""COMPUTED_VALUE"""),"STS100017")</f>
        <v>STS100017</v>
      </c>
      <c r="K821" s="2" t="str">
        <f>IFERROR(__xludf.DUMMYFUNCTION("""COMPUTED_VALUE"""),"WR-SERIES 015")</f>
        <v>WR-SERIES 015</v>
      </c>
      <c r="L821" s="3" t="str">
        <f>IFERROR(__xludf.DUMMYFUNCTION("""COMPUTED_VALUE"""),"25070098")</f>
        <v>25070098</v>
      </c>
      <c r="M821" s="3" t="str">
        <f>IFERROR(__xludf.DUMMYFUNCTION("""COMPUTED_VALUE"""),"25080773")</f>
        <v>25080773</v>
      </c>
      <c r="N821" s="2"/>
      <c r="O821" s="2" t="str">
        <f>IFERROR(__xludf.DUMMYFUNCTION("""COMPUTED_VALUE"""),"")</f>
        <v/>
      </c>
      <c r="P821" s="2" t="str">
        <f>IFERROR(__xludf.DUMMYFUNCTION("""COMPUTED_VALUE"""),"Magsaysay")</f>
        <v>Magsaysay</v>
      </c>
      <c r="Q821" s="2" t="str">
        <f>IFERROR(__xludf.DUMMYFUNCTION("""COMPUTED_VALUE"""),"Occidental Mindoro")</f>
        <v>Occidental Mindoro</v>
      </c>
      <c r="R821" s="2" t="str">
        <f>IFERROR(__xludf.DUMMYFUNCTION("""COMPUTED_VALUE"""),"4B")</f>
        <v>4B</v>
      </c>
      <c r="S821" s="2"/>
      <c r="T821" s="2"/>
    </row>
    <row r="822">
      <c r="A822" s="1">
        <f>IFERROR(__xludf.DUMMYFUNCTION("""COMPUTED_VALUE"""),820.0)</f>
        <v>820</v>
      </c>
      <c r="B822" s="2" t="str">
        <f>IFERROR(__xludf.DUMMYFUNCTION("""COMPUTED_VALUE"""),"Samahan ng Pagpapatubig ng Paclolo, Inc.")</f>
        <v>Samahan ng Pagpapatubig ng Paclolo, Inc.</v>
      </c>
      <c r="C822" s="2" t="str">
        <f>IFERROR(__xludf.DUMMYFUNCTION("""COMPUTED_VALUE"""),"Paclolo, Magsaysay, OCCIDENTAL MINDORO")</f>
        <v>Paclolo, Magsaysay, OCCIDENTAL MINDORO</v>
      </c>
      <c r="D822" s="2" t="str">
        <f>IFERROR(__xludf.DUMMYFUNCTION("""COMPUTED_VALUE"""),"Rodelio Bagoy")</f>
        <v>Rodelio Bagoy</v>
      </c>
      <c r="E822" s="2" t="str">
        <f>IFERROR(__xludf.DUMMYFUNCTION("""COMPUTED_VALUE"""),"0967 804 7780")</f>
        <v>0967 804 7780</v>
      </c>
      <c r="F822" s="2" t="str">
        <f>IFERROR(__xludf.DUMMYFUNCTION("""COMPUTED_VALUE"""),"RCEF 25-03-05")</f>
        <v>RCEF 25-03-05</v>
      </c>
      <c r="G822" s="2">
        <f>IFERROR(__xludf.DUMMYFUNCTION("""COMPUTED_VALUE"""),6.0)</f>
        <v>6</v>
      </c>
      <c r="H822" s="2" t="str">
        <f>IFERROR(__xludf.DUMMYFUNCTION("""COMPUTED_VALUE"""),"26820 &amp; 27774")</f>
        <v>26820 &amp; 27774</v>
      </c>
      <c r="I822" s="2" t="str">
        <f>IFERROR(__xludf.DUMMYFUNCTION("""COMPUTED_VALUE"""),"KMC5825 AESFPV0003")</f>
        <v>KMC5825 AESFPV0003</v>
      </c>
      <c r="J822" s="3" t="str">
        <f>IFERROR(__xludf.DUMMYFUNCTION("""COMPUTED_VALUE"""),"STS100018")</f>
        <v>STS100018</v>
      </c>
      <c r="K822" s="2" t="str">
        <f>IFERROR(__xludf.DUMMYFUNCTION("""COMPUTED_VALUE"""),"WR-SERIES 034")</f>
        <v>WR-SERIES 034</v>
      </c>
      <c r="L822" s="3" t="str">
        <f>IFERROR(__xludf.DUMMYFUNCTION("""COMPUTED_VALUE"""),"25070120")</f>
        <v>25070120</v>
      </c>
      <c r="M822" s="3" t="str">
        <f>IFERROR(__xludf.DUMMYFUNCTION("""COMPUTED_VALUE"""),"25080764")</f>
        <v>25080764</v>
      </c>
      <c r="N822" s="2"/>
      <c r="O822" s="2" t="str">
        <f>IFERROR(__xludf.DUMMYFUNCTION("""COMPUTED_VALUE"""),"Paclolo")</f>
        <v>Paclolo</v>
      </c>
      <c r="P822" s="2" t="str">
        <f>IFERROR(__xludf.DUMMYFUNCTION("""COMPUTED_VALUE"""),"Magsaysay")</f>
        <v>Magsaysay</v>
      </c>
      <c r="Q822" s="2" t="str">
        <f>IFERROR(__xludf.DUMMYFUNCTION("""COMPUTED_VALUE"""),"Occidental Mindoro")</f>
        <v>Occidental Mindoro</v>
      </c>
      <c r="R822" s="2" t="str">
        <f>IFERROR(__xludf.DUMMYFUNCTION("""COMPUTED_VALUE"""),"4B")</f>
        <v>4B</v>
      </c>
      <c r="S822" s="2"/>
      <c r="T822" s="2"/>
    </row>
    <row r="823">
      <c r="A823" s="1">
        <f>IFERROR(__xludf.DUMMYFUNCTION("""COMPUTED_VALUE"""),821.0)</f>
        <v>821</v>
      </c>
      <c r="B823" s="2" t="str">
        <f>IFERROR(__xludf.DUMMYFUNCTION("""COMPUTED_VALUE"""),"Mindoro Progressive Multi-Purpose Cooperative")</f>
        <v>Mindoro Progressive Multi-Purpose Cooperative</v>
      </c>
      <c r="C823" s="2" t="str">
        <f>IFERROR(__xludf.DUMMYFUNCTION("""COMPUTED_VALUE"""),"Tangkalan, Mamburao, OCCIDENTAL MINDORO")</f>
        <v>Tangkalan, Mamburao, OCCIDENTAL MINDORO</v>
      </c>
      <c r="D823" s="2" t="str">
        <f>IFERROR(__xludf.DUMMYFUNCTION("""COMPUTED_VALUE"""),"Jenny Buay")</f>
        <v>Jenny Buay</v>
      </c>
      <c r="E823" s="2" t="str">
        <f>IFERROR(__xludf.DUMMYFUNCTION("""COMPUTED_VALUE"""),"0917 551 0572")</f>
        <v>0917 551 0572</v>
      </c>
      <c r="F823" s="2" t="str">
        <f>IFERROR(__xludf.DUMMYFUNCTION("""COMPUTED_VALUE"""),"RCEF 25-03-05")</f>
        <v>RCEF 25-03-05</v>
      </c>
      <c r="G823" s="2">
        <f>IFERROR(__xludf.DUMMYFUNCTION("""COMPUTED_VALUE"""),6.0)</f>
        <v>6</v>
      </c>
      <c r="H823" s="2" t="str">
        <f>IFERROR(__xludf.DUMMYFUNCTION("""COMPUTED_VALUE"""),"26821 &amp; 27775")</f>
        <v>26821 &amp; 27775</v>
      </c>
      <c r="I823" s="2" t="str">
        <f>IFERROR(__xludf.DUMMYFUNCTION("""COMPUTED_VALUE"""),"KMC5825 AKSFPV0234")</f>
        <v>KMC5825 AKSFPV0234</v>
      </c>
      <c r="J823" s="3" t="str">
        <f>IFERROR(__xludf.DUMMYFUNCTION("""COMPUTED_VALUE"""),"STS100176")</f>
        <v>STS100176</v>
      </c>
      <c r="K823" s="2" t="str">
        <f>IFERROR(__xludf.DUMMYFUNCTION("""COMPUTED_VALUE"""),"WR-SERIES 049")</f>
        <v>WR-SERIES 049</v>
      </c>
      <c r="L823" s="3" t="str">
        <f>IFERROR(__xludf.DUMMYFUNCTION("""COMPUTED_VALUE"""),"25090587")</f>
        <v>25090587</v>
      </c>
      <c r="M823" s="3" t="str">
        <f>IFERROR(__xludf.DUMMYFUNCTION("""COMPUTED_VALUE"""),"25080847")</f>
        <v>25080847</v>
      </c>
      <c r="N823" s="2"/>
      <c r="O823" s="2" t="str">
        <f>IFERROR(__xludf.DUMMYFUNCTION("""COMPUTED_VALUE"""),"Tangkalan")</f>
        <v>Tangkalan</v>
      </c>
      <c r="P823" s="2" t="str">
        <f>IFERROR(__xludf.DUMMYFUNCTION("""COMPUTED_VALUE"""),"Mamburao")</f>
        <v>Mamburao</v>
      </c>
      <c r="Q823" s="2" t="str">
        <f>IFERROR(__xludf.DUMMYFUNCTION("""COMPUTED_VALUE"""),"Occidental Mindoro")</f>
        <v>Occidental Mindoro</v>
      </c>
      <c r="R823" s="2" t="str">
        <f>IFERROR(__xludf.DUMMYFUNCTION("""COMPUTED_VALUE"""),"4B")</f>
        <v>4B</v>
      </c>
      <c r="S823" s="2"/>
      <c r="T823" s="2"/>
    </row>
    <row r="824">
      <c r="A824" s="1">
        <f>IFERROR(__xludf.DUMMYFUNCTION("""COMPUTED_VALUE"""),822.0)</f>
        <v>822</v>
      </c>
      <c r="B824" s="2" t="str">
        <f>IFERROR(__xludf.DUMMYFUNCTION("""COMPUTED_VALUE"""),"Provincial Local Government Unit of Occidental Mindoro")</f>
        <v>Provincial Local Government Unit of Occidental Mindoro</v>
      </c>
      <c r="C824" s="2" t="str">
        <f>IFERROR(__xludf.DUMMYFUNCTION("""COMPUTED_VALUE"""),"Poblacion 1 (Barangay 1), Mamburao, OCCIDENTAL MINDORO")</f>
        <v>Poblacion 1 (Barangay 1), Mamburao, OCCIDENTAL MINDORO</v>
      </c>
      <c r="D824" s="2" t="str">
        <f>IFERROR(__xludf.DUMMYFUNCTION("""COMPUTED_VALUE"""),"Hon. Eduardo B. Gadiano")</f>
        <v>Hon. Eduardo B. Gadiano</v>
      </c>
      <c r="E824" s="2" t="str">
        <f>IFERROR(__xludf.DUMMYFUNCTION("""COMPUTED_VALUE"""),"0915 452 0188")</f>
        <v>0915 452 0188</v>
      </c>
      <c r="F824" s="2" t="str">
        <f>IFERROR(__xludf.DUMMYFUNCTION("""COMPUTED_VALUE"""),"RCEF 25-03-05")</f>
        <v>RCEF 25-03-05</v>
      </c>
      <c r="G824" s="2">
        <f>IFERROR(__xludf.DUMMYFUNCTION("""COMPUTED_VALUE"""),6.0)</f>
        <v>6</v>
      </c>
      <c r="H824" s="2" t="str">
        <f>IFERROR(__xludf.DUMMYFUNCTION("""COMPUTED_VALUE"""),"26822 &amp; 27902")</f>
        <v>26822 &amp; 27902</v>
      </c>
      <c r="I824" s="2" t="str">
        <f>IFERROR(__xludf.DUMMYFUNCTION("""COMPUTED_VALUE"""),"KMC5825 ALSFPV0631")</f>
        <v>KMC5825 ALSFPV0631</v>
      </c>
      <c r="J824" s="3" t="str">
        <f>IFERROR(__xludf.DUMMYFUNCTION("""COMPUTED_VALUE"""),"STS100346")</f>
        <v>STS100346</v>
      </c>
      <c r="K824" s="2" t="str">
        <f>IFERROR(__xludf.DUMMYFUNCTION("""COMPUTED_VALUE"""),"WR-SERIES 1355PH")</f>
        <v>WR-SERIES 1355PH</v>
      </c>
      <c r="L824" s="3" t="str">
        <f>IFERROR(__xludf.DUMMYFUNCTION("""COMPUTED_VALUE"""),"2510851")</f>
        <v>2510851</v>
      </c>
      <c r="M824" s="3">
        <f>IFERROR(__xludf.DUMMYFUNCTION("""COMPUTED_VALUE"""),2.5121421E7)</f>
        <v>25121421</v>
      </c>
      <c r="N824" s="2"/>
      <c r="O824" s="2" t="str">
        <f>IFERROR(__xludf.DUMMYFUNCTION("""COMPUTED_VALUE"""),"Poblacion 1 (Barangay 1)")</f>
        <v>Poblacion 1 (Barangay 1)</v>
      </c>
      <c r="P824" s="2" t="str">
        <f>IFERROR(__xludf.DUMMYFUNCTION("""COMPUTED_VALUE"""),"Mamburao")</f>
        <v>Mamburao</v>
      </c>
      <c r="Q824" s="2" t="str">
        <f>IFERROR(__xludf.DUMMYFUNCTION("""COMPUTED_VALUE"""),"Occidental Mindoro")</f>
        <v>Occidental Mindoro</v>
      </c>
      <c r="R824" s="2" t="str">
        <f>IFERROR(__xludf.DUMMYFUNCTION("""COMPUTED_VALUE"""),"4B")</f>
        <v>4B</v>
      </c>
      <c r="S824" s="2"/>
      <c r="T824" s="2"/>
    </row>
    <row r="825">
      <c r="A825" s="1">
        <f>IFERROR(__xludf.DUMMYFUNCTION("""COMPUTED_VALUE"""),823.0)</f>
        <v>823</v>
      </c>
      <c r="B825" s="2" t="str">
        <f>IFERROR(__xludf.DUMMYFUNCTION("""COMPUTED_VALUE"""),"Lanaban Farmers Irrigators, Inc.")</f>
        <v>Lanaban Farmers Irrigators, Inc.</v>
      </c>
      <c r="C825" s="2" t="str">
        <f>IFERROR(__xludf.DUMMYFUNCTION("""COMPUTED_VALUE"""),"Rizal, Rizal, OCCIDENTAL MINDORO")</f>
        <v>Rizal, Rizal, OCCIDENTAL MINDORO</v>
      </c>
      <c r="D825" s="2" t="str">
        <f>IFERROR(__xludf.DUMMYFUNCTION("""COMPUTED_VALUE"""),"Hermenia Rodriguez")</f>
        <v>Hermenia Rodriguez</v>
      </c>
      <c r="E825" s="2" t="str">
        <f>IFERROR(__xludf.DUMMYFUNCTION("""COMPUTED_VALUE"""),"0936 210 7203")</f>
        <v>0936 210 7203</v>
      </c>
      <c r="F825" s="2" t="str">
        <f>IFERROR(__xludf.DUMMYFUNCTION("""COMPUTED_VALUE"""),"RCEF 25-03-05")</f>
        <v>RCEF 25-03-05</v>
      </c>
      <c r="G825" s="2">
        <f>IFERROR(__xludf.DUMMYFUNCTION("""COMPUTED_VALUE"""),6.0)</f>
        <v>6</v>
      </c>
      <c r="H825" s="2" t="str">
        <f>IFERROR(__xludf.DUMMYFUNCTION("""COMPUTED_VALUE"""),"26823 &amp; 27776")</f>
        <v>26823 &amp; 27776</v>
      </c>
      <c r="I825" s="2" t="str">
        <f>IFERROR(__xludf.DUMMYFUNCTION("""COMPUTED_VALUE"""),"KMC5825 AJSFPV0008")</f>
        <v>KMC5825 AJSFPV0008</v>
      </c>
      <c r="J825" s="3" t="str">
        <f>IFERROR(__xludf.DUMMYFUNCTION("""COMPUTED_VALUE"""),"STS100024")</f>
        <v>STS100024</v>
      </c>
      <c r="K825" s="2" t="str">
        <f>IFERROR(__xludf.DUMMYFUNCTION("""COMPUTED_VALUE"""),"WR-SERIES 031")</f>
        <v>WR-SERIES 031</v>
      </c>
      <c r="L825" s="3" t="str">
        <f>IFERROR(__xludf.DUMMYFUNCTION("""COMPUTED_VALUE"""),"25070128")</f>
        <v>25070128</v>
      </c>
      <c r="M825" s="3" t="str">
        <f>IFERROR(__xludf.DUMMYFUNCTION("""COMPUTED_VALUE"""),"25080746")</f>
        <v>25080746</v>
      </c>
      <c r="N825" s="2"/>
      <c r="O825" s="2" t="str">
        <f>IFERROR(__xludf.DUMMYFUNCTION("""COMPUTED_VALUE"""),"Rizal")</f>
        <v>Rizal</v>
      </c>
      <c r="P825" s="2" t="str">
        <f>IFERROR(__xludf.DUMMYFUNCTION("""COMPUTED_VALUE"""),"Rizal")</f>
        <v>Rizal</v>
      </c>
      <c r="Q825" s="2" t="str">
        <f>IFERROR(__xludf.DUMMYFUNCTION("""COMPUTED_VALUE"""),"Occidental Mindoro")</f>
        <v>Occidental Mindoro</v>
      </c>
      <c r="R825" s="2" t="str">
        <f>IFERROR(__xludf.DUMMYFUNCTION("""COMPUTED_VALUE"""),"4B")</f>
        <v>4B</v>
      </c>
      <c r="S825" s="2"/>
      <c r="T825" s="2"/>
    </row>
    <row r="826">
      <c r="A826" s="1">
        <f>IFERROR(__xludf.DUMMYFUNCTION("""COMPUTED_VALUE"""),824.0)</f>
        <v>824</v>
      </c>
      <c r="B826" s="2" t="str">
        <f>IFERROR(__xludf.DUMMYFUNCTION("""COMPUTED_VALUE"""),"Malawaan Farmers and Fisherfolk Agriculture Cooperative (MAFAFICO)")</f>
        <v>Malawaan Farmers and Fisherfolk Agriculture Cooperative (MAFAFICO)</v>
      </c>
      <c r="C826" s="2" t="str">
        <f>IFERROR(__xludf.DUMMYFUNCTION("""COMPUTED_VALUE"""),"Malawaan, Rizal, OCCIDENTAL MINDORO")</f>
        <v>Malawaan, Rizal, OCCIDENTAL MINDORO</v>
      </c>
      <c r="D826" s="2" t="str">
        <f>IFERROR(__xludf.DUMMYFUNCTION("""COMPUTED_VALUE"""),"Efifanio Magbanua II")</f>
        <v>Efifanio Magbanua II</v>
      </c>
      <c r="E826" s="2" t="str">
        <f>IFERROR(__xludf.DUMMYFUNCTION("""COMPUTED_VALUE"""),"0963 780 1958")</f>
        <v>0963 780 1958</v>
      </c>
      <c r="F826" s="2" t="str">
        <f>IFERROR(__xludf.DUMMYFUNCTION("""COMPUTED_VALUE"""),"RCEF 25-03-05")</f>
        <v>RCEF 25-03-05</v>
      </c>
      <c r="G826" s="2">
        <f>IFERROR(__xludf.DUMMYFUNCTION("""COMPUTED_VALUE"""),6.0)</f>
        <v>6</v>
      </c>
      <c r="H826" s="2" t="str">
        <f>IFERROR(__xludf.DUMMYFUNCTION("""COMPUTED_VALUE"""),"26824 &amp; 27777")</f>
        <v>26824 &amp; 27777</v>
      </c>
      <c r="I826" s="2" t="str">
        <f>IFERROR(__xludf.DUMMYFUNCTION("""COMPUTED_VALUE"""),"KMC5825 AKSFPV0024")</f>
        <v>KMC5825 AKSFPV0024</v>
      </c>
      <c r="J826" s="3" t="str">
        <f>IFERROR(__xludf.DUMMYFUNCTION("""COMPUTED_VALUE"""),"STS100019")</f>
        <v>STS100019</v>
      </c>
      <c r="K826" s="2" t="str">
        <f>IFERROR(__xludf.DUMMYFUNCTION("""COMPUTED_VALUE"""),"WR-SERIES 002")</f>
        <v>WR-SERIES 002</v>
      </c>
      <c r="L826" s="3" t="str">
        <f>IFERROR(__xludf.DUMMYFUNCTION("""COMPUTED_VALUE"""),"25070124")</f>
        <v>25070124</v>
      </c>
      <c r="M826" s="3" t="str">
        <f>IFERROR(__xludf.DUMMYFUNCTION("""COMPUTED_VALUE"""),"25080757")</f>
        <v>25080757</v>
      </c>
      <c r="N826" s="2"/>
      <c r="O826" s="2" t="str">
        <f>IFERROR(__xludf.DUMMYFUNCTION("""COMPUTED_VALUE"""),"Malawaan")</f>
        <v>Malawaan</v>
      </c>
      <c r="P826" s="2" t="str">
        <f>IFERROR(__xludf.DUMMYFUNCTION("""COMPUTED_VALUE"""),"Rizal")</f>
        <v>Rizal</v>
      </c>
      <c r="Q826" s="2" t="str">
        <f>IFERROR(__xludf.DUMMYFUNCTION("""COMPUTED_VALUE"""),"Occidental Mindoro")</f>
        <v>Occidental Mindoro</v>
      </c>
      <c r="R826" s="2" t="str">
        <f>IFERROR(__xludf.DUMMYFUNCTION("""COMPUTED_VALUE"""),"4B")</f>
        <v>4B</v>
      </c>
      <c r="S826" s="2"/>
      <c r="T826" s="2"/>
    </row>
    <row r="827">
      <c r="A827" s="1">
        <f>IFERROR(__xludf.DUMMYFUNCTION("""COMPUTED_VALUE"""),825.0)</f>
        <v>825</v>
      </c>
      <c r="B827" s="2" t="str">
        <f>IFERROR(__xludf.DUMMYFUNCTION("""COMPUTED_VALUE"""),"Manoot Rizal Women's Farmers Association (MARWOFA) Inc.")</f>
        <v>Manoot Rizal Women's Farmers Association (MARWOFA) Inc.</v>
      </c>
      <c r="C827" s="2" t="str">
        <f>IFERROR(__xludf.DUMMYFUNCTION("""COMPUTED_VALUE"""),"Manoot, Rizal, OCCIDENTAL MINDORO")</f>
        <v>Manoot, Rizal, OCCIDENTAL MINDORO</v>
      </c>
      <c r="D827" s="2" t="str">
        <f>IFERROR(__xludf.DUMMYFUNCTION("""COMPUTED_VALUE"""),"Leolyn Cabuntocan")</f>
        <v>Leolyn Cabuntocan</v>
      </c>
      <c r="E827" s="2" t="str">
        <f>IFERROR(__xludf.DUMMYFUNCTION("""COMPUTED_VALUE"""),"0906 490 7397")</f>
        <v>0906 490 7397</v>
      </c>
      <c r="F827" s="2" t="str">
        <f>IFERROR(__xludf.DUMMYFUNCTION("""COMPUTED_VALUE"""),"RCEF 25-03-05")</f>
        <v>RCEF 25-03-05</v>
      </c>
      <c r="G827" s="2">
        <f>IFERROR(__xludf.DUMMYFUNCTION("""COMPUTED_VALUE"""),6.0)</f>
        <v>6</v>
      </c>
      <c r="H827" s="2" t="str">
        <f>IFERROR(__xludf.DUMMYFUNCTION("""COMPUTED_VALUE"""),"26825 &amp; 27778")</f>
        <v>26825 &amp; 27778</v>
      </c>
      <c r="I827" s="2" t="str">
        <f>IFERROR(__xludf.DUMMYFUNCTION("""COMPUTED_VALUE"""),"KMC5825 AESFPV0020")</f>
        <v>KMC5825 AESFPV0020</v>
      </c>
      <c r="J827" s="3" t="str">
        <f>IFERROR(__xludf.DUMMYFUNCTION("""COMPUTED_VALUE"""),"STS100007")</f>
        <v>STS100007</v>
      </c>
      <c r="K827" s="2" t="str">
        <f>IFERROR(__xludf.DUMMYFUNCTION("""COMPUTED_VALUE"""),"WR-SERIES 033")</f>
        <v>WR-SERIES 033</v>
      </c>
      <c r="L827" s="3" t="str">
        <f>IFERROR(__xludf.DUMMYFUNCTION("""COMPUTED_VALUE"""),"25080289")</f>
        <v>25080289</v>
      </c>
      <c r="M827" s="3" t="str">
        <f>IFERROR(__xludf.DUMMYFUNCTION("""COMPUTED_VALUE"""),"25080755")</f>
        <v>25080755</v>
      </c>
      <c r="N827" s="2"/>
      <c r="O827" s="2" t="str">
        <f>IFERROR(__xludf.DUMMYFUNCTION("""COMPUTED_VALUE"""),"Manoot")</f>
        <v>Manoot</v>
      </c>
      <c r="P827" s="2" t="str">
        <f>IFERROR(__xludf.DUMMYFUNCTION("""COMPUTED_VALUE"""),"Rizal")</f>
        <v>Rizal</v>
      </c>
      <c r="Q827" s="2" t="str">
        <f>IFERROR(__xludf.DUMMYFUNCTION("""COMPUTED_VALUE"""),"Occidental Mindoro")</f>
        <v>Occidental Mindoro</v>
      </c>
      <c r="R827" s="2" t="str">
        <f>IFERROR(__xludf.DUMMYFUNCTION("""COMPUTED_VALUE"""),"4B")</f>
        <v>4B</v>
      </c>
      <c r="S827" s="2"/>
      <c r="T827" s="2"/>
    </row>
    <row r="828">
      <c r="A828" s="1">
        <f>IFERROR(__xludf.DUMMYFUNCTION("""COMPUTED_VALUE"""),826.0)</f>
        <v>826</v>
      </c>
      <c r="B828" s="2" t="str">
        <f>IFERROR(__xludf.DUMMYFUNCTION("""COMPUTED_VALUE"""),"Buenavista Farmers Association")</f>
        <v>Buenavista Farmers Association</v>
      </c>
      <c r="C828" s="2" t="str">
        <f>IFERROR(__xludf.DUMMYFUNCTION("""COMPUTED_VALUE"""),"Buenavista, Sablayan, OCCIDENTAL MINDORO")</f>
        <v>Buenavista, Sablayan, OCCIDENTAL MINDORO</v>
      </c>
      <c r="D828" s="2" t="str">
        <f>IFERROR(__xludf.DUMMYFUNCTION("""COMPUTED_VALUE"""),"Simplicio Castro")</f>
        <v>Simplicio Castro</v>
      </c>
      <c r="E828" s="2" t="str">
        <f>IFERROR(__xludf.DUMMYFUNCTION("""COMPUTED_VALUE"""),"0955 3160909")</f>
        <v>0955 3160909</v>
      </c>
      <c r="F828" s="2" t="str">
        <f>IFERROR(__xludf.DUMMYFUNCTION("""COMPUTED_VALUE"""),"RCEF 25-03-05")</f>
        <v>RCEF 25-03-05</v>
      </c>
      <c r="G828" s="2">
        <f>IFERROR(__xludf.DUMMYFUNCTION("""COMPUTED_VALUE"""),6.0)</f>
        <v>6</v>
      </c>
      <c r="H828" s="2" t="str">
        <f>IFERROR(__xludf.DUMMYFUNCTION("""COMPUTED_VALUE"""),"26826 &amp; 27779")</f>
        <v>26826 &amp; 27779</v>
      </c>
      <c r="I828" s="2" t="str">
        <f>IFERROR(__xludf.DUMMYFUNCTION("""COMPUTED_VALUE"""),"KMC5825 APSFPV0314")</f>
        <v>KMC5825 APSFPV0314</v>
      </c>
      <c r="J828" s="3" t="str">
        <f>IFERROR(__xludf.DUMMYFUNCTION("""COMPUTED_VALUE"""),"STS100317")</f>
        <v>STS100317</v>
      </c>
      <c r="K828" s="2" t="str">
        <f>IFERROR(__xludf.DUMMYFUNCTION("""COMPUTED_VALUE"""),"WR-SERIES 276")</f>
        <v>WR-SERIES 276</v>
      </c>
      <c r="L828" s="3" t="str">
        <f>IFERROR(__xludf.DUMMYFUNCTION("""COMPUTED_VALUE"""),"25090586")</f>
        <v>25090586</v>
      </c>
      <c r="M828" s="3" t="str">
        <f>IFERROR(__xludf.DUMMYFUNCTION("""COMPUTED_VALUE"""),"25080831")</f>
        <v>25080831</v>
      </c>
      <c r="N828" s="2"/>
      <c r="O828" s="2" t="str">
        <f>IFERROR(__xludf.DUMMYFUNCTION("""COMPUTED_VALUE"""),"Buenavista")</f>
        <v>Buenavista</v>
      </c>
      <c r="P828" s="2" t="str">
        <f>IFERROR(__xludf.DUMMYFUNCTION("""COMPUTED_VALUE"""),"Sablayan")</f>
        <v>Sablayan</v>
      </c>
      <c r="Q828" s="2" t="str">
        <f>IFERROR(__xludf.DUMMYFUNCTION("""COMPUTED_VALUE"""),"Occidental Mindoro")</f>
        <v>Occidental Mindoro</v>
      </c>
      <c r="R828" s="2" t="str">
        <f>IFERROR(__xludf.DUMMYFUNCTION("""COMPUTED_VALUE"""),"4B")</f>
        <v>4B</v>
      </c>
      <c r="S828" s="2"/>
      <c r="T828" s="2"/>
    </row>
    <row r="829">
      <c r="A829" s="1">
        <f>IFERROR(__xludf.DUMMYFUNCTION("""COMPUTED_VALUE"""),827.0)</f>
        <v>827</v>
      </c>
      <c r="B829" s="2" t="str">
        <f>IFERROR(__xludf.DUMMYFUNCTION("""COMPUTED_VALUE"""),"Kalumpit Malapaga Ibud Irrigators Association, Inc.")</f>
        <v>Kalumpit Malapaga Ibud Irrigators Association, Inc.</v>
      </c>
      <c r="C829" s="2" t="str">
        <f>IFERROR(__xludf.DUMMYFUNCTION("""COMPUTED_VALUE"""),"San Vicente, Sablayan, OCCIDENTAL MINDORO")</f>
        <v>San Vicente, Sablayan, OCCIDENTAL MINDORO</v>
      </c>
      <c r="D829" s="2" t="str">
        <f>IFERROR(__xludf.DUMMYFUNCTION("""COMPUTED_VALUE"""),"Romulo D. Dauran")</f>
        <v>Romulo D. Dauran</v>
      </c>
      <c r="E829" s="2" t="str">
        <f>IFERROR(__xludf.DUMMYFUNCTION("""COMPUTED_VALUE"""),"0917 103 9295")</f>
        <v>0917 103 9295</v>
      </c>
      <c r="F829" s="2" t="str">
        <f>IFERROR(__xludf.DUMMYFUNCTION("""COMPUTED_VALUE"""),"RCEF 25-03-05")</f>
        <v>RCEF 25-03-05</v>
      </c>
      <c r="G829" s="2">
        <f>IFERROR(__xludf.DUMMYFUNCTION("""COMPUTED_VALUE"""),6.0)</f>
        <v>6</v>
      </c>
      <c r="H829" s="2" t="str">
        <f>IFERROR(__xludf.DUMMYFUNCTION("""COMPUTED_VALUE"""),"26827 &amp; 27780")</f>
        <v>26827 &amp; 27780</v>
      </c>
      <c r="I829" s="2" t="str">
        <f>IFERROR(__xludf.DUMMYFUNCTION("""COMPUTED_VALUE"""),"KMC5825 AVRFPV0782")</f>
        <v>KMC5825 AVRFPV0782</v>
      </c>
      <c r="J829" s="3" t="str">
        <f>IFERROR(__xludf.DUMMYFUNCTION("""COMPUTED_VALUE"""),"RTS100659")</f>
        <v>RTS100659</v>
      </c>
      <c r="K829" s="2" t="str">
        <f>IFERROR(__xludf.DUMMYFUNCTION("""COMPUTED_VALUE"""),"WR-SERIES 1042")</f>
        <v>WR-SERIES 1042</v>
      </c>
      <c r="L829" s="3" t="str">
        <f>IFERROR(__xludf.DUMMYFUNCTION("""COMPUTED_VALUE"""),"24090796")</f>
        <v>24090796</v>
      </c>
      <c r="M829" s="3" t="str">
        <f>IFERROR(__xludf.DUMMYFUNCTION("""COMPUTED_VALUE"""),"25030522")</f>
        <v>25030522</v>
      </c>
      <c r="N829" s="2"/>
      <c r="O829" s="2" t="str">
        <f>IFERROR(__xludf.DUMMYFUNCTION("""COMPUTED_VALUE"""),"San Vicente")</f>
        <v>San Vicente</v>
      </c>
      <c r="P829" s="2" t="str">
        <f>IFERROR(__xludf.DUMMYFUNCTION("""COMPUTED_VALUE"""),"Sablayan")</f>
        <v>Sablayan</v>
      </c>
      <c r="Q829" s="2" t="str">
        <f>IFERROR(__xludf.DUMMYFUNCTION("""COMPUTED_VALUE"""),"Occidental Mindoro")</f>
        <v>Occidental Mindoro</v>
      </c>
      <c r="R829" s="2" t="str">
        <f>IFERROR(__xludf.DUMMYFUNCTION("""COMPUTED_VALUE"""),"4B")</f>
        <v>4B</v>
      </c>
      <c r="S829" s="2"/>
      <c r="T829" s="2"/>
    </row>
    <row r="830">
      <c r="A830" s="1">
        <f>IFERROR(__xludf.DUMMYFUNCTION("""COMPUTED_VALUE"""),828.0)</f>
        <v>828</v>
      </c>
      <c r="B830" s="2" t="str">
        <f>IFERROR(__xludf.DUMMYFUNCTION("""COMPUTED_VALUE"""),"Pandan Dike Farmers Agriculture Cooperative")</f>
        <v>Pandan Dike Farmers Agriculture Cooperative</v>
      </c>
      <c r="C830" s="2" t="str">
        <f>IFERROR(__xludf.DUMMYFUNCTION("""COMPUTED_VALUE"""),"Claudio Salgado, Sablayan, OCCIDENTAL MINDORO")</f>
        <v>Claudio Salgado, Sablayan, OCCIDENTAL MINDORO</v>
      </c>
      <c r="D830" s="2" t="str">
        <f>IFERROR(__xludf.DUMMYFUNCTION("""COMPUTED_VALUE"""),"Reynaldo Advincula")</f>
        <v>Reynaldo Advincula</v>
      </c>
      <c r="E830" s="2" t="str">
        <f>IFERROR(__xludf.DUMMYFUNCTION("""COMPUTED_VALUE"""),"0938 572 9312")</f>
        <v>0938 572 9312</v>
      </c>
      <c r="F830" s="2" t="str">
        <f>IFERROR(__xludf.DUMMYFUNCTION("""COMPUTED_VALUE"""),"RCEF 25-03-05")</f>
        <v>RCEF 25-03-05</v>
      </c>
      <c r="G830" s="2">
        <f>IFERROR(__xludf.DUMMYFUNCTION("""COMPUTED_VALUE"""),6.0)</f>
        <v>6</v>
      </c>
      <c r="H830" s="2" t="str">
        <f>IFERROR(__xludf.DUMMYFUNCTION("""COMPUTED_VALUE"""),"26829 &amp; 27781")</f>
        <v>26829 &amp; 27781</v>
      </c>
      <c r="I830" s="2" t="str">
        <f>IFERROR(__xludf.DUMMYFUNCTION("""COMPUTED_VALUE"""),"KMC5825 AHSFPV0257")</f>
        <v>KMC5825 AHSFPV0257</v>
      </c>
      <c r="J830" s="3" t="str">
        <f>IFERROR(__xludf.DUMMYFUNCTION("""COMPUTED_VALUE"""),"STS100266")</f>
        <v>STS100266</v>
      </c>
      <c r="K830" s="2" t="str">
        <f>IFERROR(__xludf.DUMMYFUNCTION("""COMPUTED_VALUE"""),"WR-SERIES 046")</f>
        <v>WR-SERIES 046</v>
      </c>
      <c r="L830" s="3" t="str">
        <f>IFERROR(__xludf.DUMMYFUNCTION("""COMPUTED_VALUE"""),"25080358")</f>
        <v>25080358</v>
      </c>
      <c r="M830" s="3" t="str">
        <f>IFERROR(__xludf.DUMMYFUNCTION("""COMPUTED_VALUE"""),"25080860")</f>
        <v>25080860</v>
      </c>
      <c r="N830" s="2"/>
      <c r="O830" s="2" t="str">
        <f>IFERROR(__xludf.DUMMYFUNCTION("""COMPUTED_VALUE"""),"Claudio Salgado")</f>
        <v>Claudio Salgado</v>
      </c>
      <c r="P830" s="2" t="str">
        <f>IFERROR(__xludf.DUMMYFUNCTION("""COMPUTED_VALUE"""),"Sablayan")</f>
        <v>Sablayan</v>
      </c>
      <c r="Q830" s="2" t="str">
        <f>IFERROR(__xludf.DUMMYFUNCTION("""COMPUTED_VALUE"""),"Occidental Mindoro")</f>
        <v>Occidental Mindoro</v>
      </c>
      <c r="R830" s="2" t="str">
        <f>IFERROR(__xludf.DUMMYFUNCTION("""COMPUTED_VALUE"""),"4B")</f>
        <v>4B</v>
      </c>
      <c r="S830" s="2"/>
      <c r="T830" s="2"/>
    </row>
    <row r="831">
      <c r="A831" s="1">
        <f>IFERROR(__xludf.DUMMYFUNCTION("""COMPUTED_VALUE"""),829.0)</f>
        <v>829</v>
      </c>
      <c r="B831" s="2" t="str">
        <f>IFERROR(__xludf.DUMMYFUNCTION("""COMPUTED_VALUE"""),"Samahan ng mga Magbibinhi ng Sablayan Agriculture Cooperative (SAMASACO)")</f>
        <v>Samahan ng mga Magbibinhi ng Sablayan Agriculture Cooperative (SAMASACO)</v>
      </c>
      <c r="C831" s="2" t="str">
        <f>IFERROR(__xludf.DUMMYFUNCTION("""COMPUTED_VALUE"""),"San Francisco, Sablayan, OCCIDENTAL MINDORO")</f>
        <v>San Francisco, Sablayan, OCCIDENTAL MINDORO</v>
      </c>
      <c r="D831" s="2" t="str">
        <f>IFERROR(__xludf.DUMMYFUNCTION("""COMPUTED_VALUE"""),"Cesar P. Pascual, Sr.")</f>
        <v>Cesar P. Pascual, Sr.</v>
      </c>
      <c r="E831" s="2" t="str">
        <f>IFERROR(__xludf.DUMMYFUNCTION("""COMPUTED_VALUE"""),"0916 5952812")</f>
        <v>0916 5952812</v>
      </c>
      <c r="F831" s="2" t="str">
        <f>IFERROR(__xludf.DUMMYFUNCTION("""COMPUTED_VALUE"""),"RCEF 25-03-05")</f>
        <v>RCEF 25-03-05</v>
      </c>
      <c r="G831" s="2">
        <f>IFERROR(__xludf.DUMMYFUNCTION("""COMPUTED_VALUE"""),6.0)</f>
        <v>6</v>
      </c>
      <c r="H831" s="2" t="str">
        <f>IFERROR(__xludf.DUMMYFUNCTION("""COMPUTED_VALUE"""),"26830 &amp; 27782")</f>
        <v>26830 &amp; 27782</v>
      </c>
      <c r="I831" s="2" t="str">
        <f>IFERROR(__xludf.DUMMYFUNCTION("""COMPUTED_VALUE"""),"KMC5825 ATSFPV0201")</f>
        <v>KMC5825 ATSFPV0201</v>
      </c>
      <c r="J831" s="3" t="str">
        <f>IFERROR(__xludf.DUMMYFUNCTION("""COMPUTED_VALUE"""),"STS100231")</f>
        <v>STS100231</v>
      </c>
      <c r="K831" s="2" t="str">
        <f>IFERROR(__xludf.DUMMYFUNCTION("""COMPUTED_VALUE"""),"WR-SERIES 044")</f>
        <v>WR-SERIES 044</v>
      </c>
      <c r="L831" s="3" t="str">
        <f>IFERROR(__xludf.DUMMYFUNCTION("""COMPUTED_VALUE"""),"25080393")</f>
        <v>25080393</v>
      </c>
      <c r="M831" s="3" t="str">
        <f>IFERROR(__xludf.DUMMYFUNCTION("""COMPUTED_VALUE"""),"25080855")</f>
        <v>25080855</v>
      </c>
      <c r="N831" s="2"/>
      <c r="O831" s="2" t="str">
        <f>IFERROR(__xludf.DUMMYFUNCTION("""COMPUTED_VALUE"""),"San Francisco")</f>
        <v>San Francisco</v>
      </c>
      <c r="P831" s="2" t="str">
        <f>IFERROR(__xludf.DUMMYFUNCTION("""COMPUTED_VALUE"""),"Sablayan")</f>
        <v>Sablayan</v>
      </c>
      <c r="Q831" s="2" t="str">
        <f>IFERROR(__xludf.DUMMYFUNCTION("""COMPUTED_VALUE"""),"Occidental Mindoro")</f>
        <v>Occidental Mindoro</v>
      </c>
      <c r="R831" s="2" t="str">
        <f>IFERROR(__xludf.DUMMYFUNCTION("""COMPUTED_VALUE"""),"4B")</f>
        <v>4B</v>
      </c>
      <c r="S831" s="2"/>
      <c r="T831" s="2"/>
    </row>
    <row r="832">
      <c r="A832" s="1">
        <f>IFERROR(__xludf.DUMMYFUNCTION("""COMPUTED_VALUE"""),830.0)</f>
        <v>830</v>
      </c>
      <c r="B832" s="2" t="str">
        <f>IFERROR(__xludf.DUMMYFUNCTION("""COMPUTED_VALUE"""),"San Carlos Multi-Purpose Cooperative")</f>
        <v>San Carlos Multi-Purpose Cooperative</v>
      </c>
      <c r="C832" s="2" t="str">
        <f>IFERROR(__xludf.DUMMYFUNCTION("""COMPUTED_VALUE"""),"San Francisco, Sablayan, OCCIDENTAL MINDORO")</f>
        <v>San Francisco, Sablayan, OCCIDENTAL MINDORO</v>
      </c>
      <c r="D832" s="2" t="str">
        <f>IFERROR(__xludf.DUMMYFUNCTION("""COMPUTED_VALUE"""),"Marivic Canillo")</f>
        <v>Marivic Canillo</v>
      </c>
      <c r="E832" s="2" t="str">
        <f>IFERROR(__xludf.DUMMYFUNCTION("""COMPUTED_VALUE"""),"0926 436 5271")</f>
        <v>0926 436 5271</v>
      </c>
      <c r="F832" s="2" t="str">
        <f>IFERROR(__xludf.DUMMYFUNCTION("""COMPUTED_VALUE"""),"RCEF 25-03-05")</f>
        <v>RCEF 25-03-05</v>
      </c>
      <c r="G832" s="2">
        <f>IFERROR(__xludf.DUMMYFUNCTION("""COMPUTED_VALUE"""),6.0)</f>
        <v>6</v>
      </c>
      <c r="H832" s="2" t="str">
        <f>IFERROR(__xludf.DUMMYFUNCTION("""COMPUTED_VALUE"""),"26831 &amp; 27783")</f>
        <v>26831 &amp; 27783</v>
      </c>
      <c r="I832" s="2" t="str">
        <f>IFERROR(__xludf.DUMMYFUNCTION("""COMPUTED_VALUE"""),"KMC5825 AESFPV0258")</f>
        <v>KMC5825 AESFPV0258</v>
      </c>
      <c r="J832" s="3" t="str">
        <f>IFERROR(__xludf.DUMMYFUNCTION("""COMPUTED_VALUE"""),"STS100243")</f>
        <v>STS100243</v>
      </c>
      <c r="K832" s="2" t="str">
        <f>IFERROR(__xludf.DUMMYFUNCTION("""COMPUTED_VALUE"""),"R-SERIES 056PH")</f>
        <v>R-SERIES 056PH</v>
      </c>
      <c r="L832" s="3" t="str">
        <f>IFERROR(__xludf.DUMMYFUNCTION("""COMPUTED_VALUE"""),"25090599")</f>
        <v>25090599</v>
      </c>
      <c r="M832" s="3" t="str">
        <f>IFERROR(__xludf.DUMMYFUNCTION("""COMPUTED_VALUE"""),"25080876")</f>
        <v>25080876</v>
      </c>
      <c r="N832" s="2"/>
      <c r="O832" s="2" t="str">
        <f>IFERROR(__xludf.DUMMYFUNCTION("""COMPUTED_VALUE"""),"San Francisco")</f>
        <v>San Francisco</v>
      </c>
      <c r="P832" s="2" t="str">
        <f>IFERROR(__xludf.DUMMYFUNCTION("""COMPUTED_VALUE"""),"Sablayan")</f>
        <v>Sablayan</v>
      </c>
      <c r="Q832" s="2" t="str">
        <f>IFERROR(__xludf.DUMMYFUNCTION("""COMPUTED_VALUE"""),"Occidental Mindoro")</f>
        <v>Occidental Mindoro</v>
      </c>
      <c r="R832" s="2" t="str">
        <f>IFERROR(__xludf.DUMMYFUNCTION("""COMPUTED_VALUE"""),"4B")</f>
        <v>4B</v>
      </c>
      <c r="S832" s="2"/>
      <c r="T832" s="2"/>
    </row>
    <row r="833">
      <c r="A833" s="1">
        <f>IFERROR(__xludf.DUMMYFUNCTION("""COMPUTED_VALUE"""),831.0)</f>
        <v>831</v>
      </c>
      <c r="B833" s="2" t="str">
        <f>IFERROR(__xludf.DUMMYFUNCTION("""COMPUTED_VALUE"""),"San Miguel Multi-purpose Cooperative (SAMMUCO)")</f>
        <v>San Miguel Multi-purpose Cooperative (SAMMUCO)</v>
      </c>
      <c r="C833" s="2" t="str">
        <f>IFERROR(__xludf.DUMMYFUNCTION("""COMPUTED_VALUE"""),"Claudio Salgado, Sablayan, OCCIDENTAL MINDORO")</f>
        <v>Claudio Salgado, Sablayan, OCCIDENTAL MINDORO</v>
      </c>
      <c r="D833" s="2" t="str">
        <f>IFERROR(__xludf.DUMMYFUNCTION("""COMPUTED_VALUE"""),"Rev. Ariel Gonzales")</f>
        <v>Rev. Ariel Gonzales</v>
      </c>
      <c r="E833" s="2" t="str">
        <f>IFERROR(__xludf.DUMMYFUNCTION("""COMPUTED_VALUE"""),"0906 327 1633")</f>
        <v>0906 327 1633</v>
      </c>
      <c r="F833" s="2" t="str">
        <f>IFERROR(__xludf.DUMMYFUNCTION("""COMPUTED_VALUE"""),"RCEF 25-03-05")</f>
        <v>RCEF 25-03-05</v>
      </c>
      <c r="G833" s="2">
        <f>IFERROR(__xludf.DUMMYFUNCTION("""COMPUTED_VALUE"""),6.0)</f>
        <v>6</v>
      </c>
      <c r="H833" s="2" t="str">
        <f>IFERROR(__xludf.DUMMYFUNCTION("""COMPUTED_VALUE"""),"26832 &amp; 27784")</f>
        <v>26832 &amp; 27784</v>
      </c>
      <c r="I833" s="2" t="str">
        <f>IFERROR(__xludf.DUMMYFUNCTION("""COMPUTED_VALUE"""),"KMC5825 AJSFPV0297")</f>
        <v>KMC5825 AJSFPV0297</v>
      </c>
      <c r="J833" s="3" t="str">
        <f>IFERROR(__xludf.DUMMYFUNCTION("""COMPUTED_VALUE"""),"STS100273")</f>
        <v>STS100273</v>
      </c>
      <c r="K833" s="2" t="str">
        <f>IFERROR(__xludf.DUMMYFUNCTION("""COMPUTED_VALUE"""),"R-SERIES 148PH")</f>
        <v>R-SERIES 148PH</v>
      </c>
      <c r="L833" s="3" t="str">
        <f>IFERROR(__xludf.DUMMYFUNCTION("""COMPUTED_VALUE"""),"25080367")</f>
        <v>25080367</v>
      </c>
      <c r="M833" s="3" t="str">
        <f>IFERROR(__xludf.DUMMYFUNCTION("""COMPUTED_VALUE"""),"25080864")</f>
        <v>25080864</v>
      </c>
      <c r="N833" s="2"/>
      <c r="O833" s="2" t="str">
        <f>IFERROR(__xludf.DUMMYFUNCTION("""COMPUTED_VALUE"""),"Claudio Salgado")</f>
        <v>Claudio Salgado</v>
      </c>
      <c r="P833" s="2" t="str">
        <f>IFERROR(__xludf.DUMMYFUNCTION("""COMPUTED_VALUE"""),"Sablayan")</f>
        <v>Sablayan</v>
      </c>
      <c r="Q833" s="2" t="str">
        <f>IFERROR(__xludf.DUMMYFUNCTION("""COMPUTED_VALUE"""),"Occidental Mindoro")</f>
        <v>Occidental Mindoro</v>
      </c>
      <c r="R833" s="2" t="str">
        <f>IFERROR(__xludf.DUMMYFUNCTION("""COMPUTED_VALUE"""),"4B")</f>
        <v>4B</v>
      </c>
      <c r="S833" s="2"/>
      <c r="T833" s="2"/>
    </row>
    <row r="834">
      <c r="A834" s="1">
        <f>IFERROR(__xludf.DUMMYFUNCTION("""COMPUTED_VALUE"""),832.0)</f>
        <v>832</v>
      </c>
      <c r="B834" s="2" t="str">
        <f>IFERROR(__xludf.DUMMYFUNCTION("""COMPUTED_VALUE"""),"Tuban Blessed Farmers Multi-Purpose Cooperative (TUBFARMCO)")</f>
        <v>Tuban Blessed Farmers Multi-Purpose Cooperative (TUBFARMCO)</v>
      </c>
      <c r="C834" s="2" t="str">
        <f>IFERROR(__xludf.DUMMYFUNCTION("""COMPUTED_VALUE"""),"Tuban, Sablayan, OCCIDENTAL MINDORO")</f>
        <v>Tuban, Sablayan, OCCIDENTAL MINDORO</v>
      </c>
      <c r="D834" s="2" t="str">
        <f>IFERROR(__xludf.DUMMYFUNCTION("""COMPUTED_VALUE"""),"Abel S. Perlas")</f>
        <v>Abel S. Perlas</v>
      </c>
      <c r="E834" s="2" t="str">
        <f>IFERROR(__xludf.DUMMYFUNCTION("""COMPUTED_VALUE"""),"0930 204 5550")</f>
        <v>0930 204 5550</v>
      </c>
      <c r="F834" s="2" t="str">
        <f>IFERROR(__xludf.DUMMYFUNCTION("""COMPUTED_VALUE"""),"RCEF 25-03-05")</f>
        <v>RCEF 25-03-05</v>
      </c>
      <c r="G834" s="2">
        <f>IFERROR(__xludf.DUMMYFUNCTION("""COMPUTED_VALUE"""),6.0)</f>
        <v>6</v>
      </c>
      <c r="H834" s="2" t="str">
        <f>IFERROR(__xludf.DUMMYFUNCTION("""COMPUTED_VALUE"""),"26833 &amp; 27785")</f>
        <v>26833 &amp; 27785</v>
      </c>
      <c r="I834" s="2" t="str">
        <f>IFERROR(__xludf.DUMMYFUNCTION("""COMPUTED_VALUE"""),"KMC5825 AVSFPV0402")</f>
        <v>KMC5825 AVSFPV0402</v>
      </c>
      <c r="J834" s="3" t="str">
        <f>IFERROR(__xludf.DUMMYFUNCTION("""COMPUTED_VALUE"""),"STS100410")</f>
        <v>STS100410</v>
      </c>
      <c r="K834" s="2" t="str">
        <f>IFERROR(__xludf.DUMMYFUNCTION("""COMPUTED_VALUE"""),"WR-SERIES 270")</f>
        <v>WR-SERIES 270</v>
      </c>
      <c r="L834" s="3" t="str">
        <f>IFERROR(__xludf.DUMMYFUNCTION("""COMPUTED_VALUE"""),"25080388")</f>
        <v>25080388</v>
      </c>
      <c r="M834" s="3" t="str">
        <f>IFERROR(__xludf.DUMMYFUNCTION("""COMPUTED_VALUE"""),"25080843")</f>
        <v>25080843</v>
      </c>
      <c r="N834" s="2"/>
      <c r="O834" s="2" t="str">
        <f>IFERROR(__xludf.DUMMYFUNCTION("""COMPUTED_VALUE"""),"Tuban")</f>
        <v>Tuban</v>
      </c>
      <c r="P834" s="2" t="str">
        <f>IFERROR(__xludf.DUMMYFUNCTION("""COMPUTED_VALUE"""),"Sablayan")</f>
        <v>Sablayan</v>
      </c>
      <c r="Q834" s="2" t="str">
        <f>IFERROR(__xludf.DUMMYFUNCTION("""COMPUTED_VALUE"""),"Occidental Mindoro")</f>
        <v>Occidental Mindoro</v>
      </c>
      <c r="R834" s="2" t="str">
        <f>IFERROR(__xludf.DUMMYFUNCTION("""COMPUTED_VALUE"""),"4B")</f>
        <v>4B</v>
      </c>
      <c r="S834" s="2"/>
      <c r="T834" s="2"/>
    </row>
    <row r="835">
      <c r="A835" s="1">
        <f>IFERROR(__xludf.DUMMYFUNCTION("""COMPUTED_VALUE"""),833.0)</f>
        <v>833</v>
      </c>
      <c r="B835" s="2" t="str">
        <f>IFERROR(__xludf.DUMMYFUNCTION("""COMPUTED_VALUE"""),"Upper Tiloy Farmers Association")</f>
        <v>Upper Tiloy Farmers Association</v>
      </c>
      <c r="C835" s="2" t="str">
        <f>IFERROR(__xludf.DUMMYFUNCTION("""COMPUTED_VALUE"""),"Ilvita, Sablayan, OCCIDENTAL MINDORO")</f>
        <v>Ilvita, Sablayan, OCCIDENTAL MINDORO</v>
      </c>
      <c r="D835" s="2" t="str">
        <f>IFERROR(__xludf.DUMMYFUNCTION("""COMPUTED_VALUE"""),"Artemio Lopez")</f>
        <v>Artemio Lopez</v>
      </c>
      <c r="E835" s="2" t="str">
        <f>IFERROR(__xludf.DUMMYFUNCTION("""COMPUTED_VALUE"""),"0965-729-9277/ 0917 253 8780")</f>
        <v>0965-729-9277/ 0917 253 8780</v>
      </c>
      <c r="F835" s="2" t="str">
        <f>IFERROR(__xludf.DUMMYFUNCTION("""COMPUTED_VALUE"""),"RCEF 25-03-05")</f>
        <v>RCEF 25-03-05</v>
      </c>
      <c r="G835" s="2">
        <f>IFERROR(__xludf.DUMMYFUNCTION("""COMPUTED_VALUE"""),6.0)</f>
        <v>6</v>
      </c>
      <c r="H835" s="2" t="str">
        <f>IFERROR(__xludf.DUMMYFUNCTION("""COMPUTED_VALUE"""),"26834 &amp; 27786")</f>
        <v>26834 &amp; 27786</v>
      </c>
      <c r="I835" s="2" t="str">
        <f>IFERROR(__xludf.DUMMYFUNCTION("""COMPUTED_VALUE"""),"KMC5825 AARFPV0993")</f>
        <v>KMC5825 AARFPV0993</v>
      </c>
      <c r="J835" s="3" t="str">
        <f>IFERROR(__xludf.DUMMYFUNCTION("""COMPUTED_VALUE"""),"RTS100887")</f>
        <v>RTS100887</v>
      </c>
      <c r="K835" s="2" t="str">
        <f>IFERROR(__xludf.DUMMYFUNCTION("""COMPUTED_VALUE"""),"WR-SERIES 1044")</f>
        <v>WR-SERIES 1044</v>
      </c>
      <c r="L835" s="3" t="str">
        <f>IFERROR(__xludf.DUMMYFUNCTION("""COMPUTED_VALUE"""),"24090798")</f>
        <v>24090798</v>
      </c>
      <c r="M835" s="3" t="str">
        <f>IFERROR(__xludf.DUMMYFUNCTION("""COMPUTED_VALUE"""),"25030526")</f>
        <v>25030526</v>
      </c>
      <c r="N835" s="2"/>
      <c r="O835" s="2" t="str">
        <f>IFERROR(__xludf.DUMMYFUNCTION("""COMPUTED_VALUE"""),"Ilvita")</f>
        <v>Ilvita</v>
      </c>
      <c r="P835" s="2" t="str">
        <f>IFERROR(__xludf.DUMMYFUNCTION("""COMPUTED_VALUE"""),"Sablayan")</f>
        <v>Sablayan</v>
      </c>
      <c r="Q835" s="2" t="str">
        <f>IFERROR(__xludf.DUMMYFUNCTION("""COMPUTED_VALUE"""),"Occidental Mindoro")</f>
        <v>Occidental Mindoro</v>
      </c>
      <c r="R835" s="2" t="str">
        <f>IFERROR(__xludf.DUMMYFUNCTION("""COMPUTED_VALUE"""),"4B")</f>
        <v>4B</v>
      </c>
      <c r="S835" s="2"/>
      <c r="T835" s="2"/>
    </row>
    <row r="836">
      <c r="A836" s="1">
        <f>IFERROR(__xludf.DUMMYFUNCTION("""COMPUTED_VALUE"""),834.0)</f>
        <v>834</v>
      </c>
      <c r="B836" s="2" t="str">
        <f>IFERROR(__xludf.DUMMYFUNCTION("""COMPUTED_VALUE"""),"ANTIPOLO RICE AND VEGETABLE FARMERS ASSOCIATION (ARVEFA)")</f>
        <v>ANTIPOLO RICE AND VEGETABLE FARMERS ASSOCIATION (ARVEFA)</v>
      </c>
      <c r="C836" s="2" t="str">
        <f>IFERROR(__xludf.DUMMYFUNCTION("""COMPUTED_VALUE"""),"Mangarin, San Jose, OCCIDENTAL MINDORO")</f>
        <v>Mangarin, San Jose, OCCIDENTAL MINDORO</v>
      </c>
      <c r="D836" s="2" t="str">
        <f>IFERROR(__xludf.DUMMYFUNCTION("""COMPUTED_VALUE"""),"Bella Erodias")</f>
        <v>Bella Erodias</v>
      </c>
      <c r="E836" s="2" t="str">
        <f>IFERROR(__xludf.DUMMYFUNCTION("""COMPUTED_VALUE"""),"0948 696 6560")</f>
        <v>0948 696 6560</v>
      </c>
      <c r="F836" s="2" t="str">
        <f>IFERROR(__xludf.DUMMYFUNCTION("""COMPUTED_VALUE"""),"RCEF 25-03-05")</f>
        <v>RCEF 25-03-05</v>
      </c>
      <c r="G836" s="2">
        <f>IFERROR(__xludf.DUMMYFUNCTION("""COMPUTED_VALUE"""),6.0)</f>
        <v>6</v>
      </c>
      <c r="H836" s="2" t="str">
        <f>IFERROR(__xludf.DUMMYFUNCTION("""COMPUTED_VALUE"""),"26835 &amp; 27787")</f>
        <v>26835 &amp; 27787</v>
      </c>
      <c r="I836" s="2" t="str">
        <f>IFERROR(__xludf.DUMMYFUNCTION("""COMPUTED_VALUE"""),"KMC5825 AHSFPV0355")</f>
        <v>KMC5825 AHSFPV0355</v>
      </c>
      <c r="J836" s="3" t="str">
        <f>IFERROR(__xludf.DUMMYFUNCTION("""COMPUTED_VALUE"""),"STS100386")</f>
        <v>STS100386</v>
      </c>
      <c r="K836" s="2" t="str">
        <f>IFERROR(__xludf.DUMMYFUNCTION("""COMPUTED_VALUE"""),"WR-SERIES 258")</f>
        <v>WR-SERIES 258</v>
      </c>
      <c r="L836" s="3" t="str">
        <f>IFERROR(__xludf.DUMMYFUNCTION("""COMPUTED_VALUE"""),"25080421")</f>
        <v>25080421</v>
      </c>
      <c r="M836" s="3" t="str">
        <f>IFERROR(__xludf.DUMMYFUNCTION("""COMPUTED_VALUE"""),"20580817")</f>
        <v>20580817</v>
      </c>
      <c r="N836" s="2"/>
      <c r="O836" s="2" t="str">
        <f>IFERROR(__xludf.DUMMYFUNCTION("""COMPUTED_VALUE"""),"Mangarin")</f>
        <v>Mangarin</v>
      </c>
      <c r="P836" s="2" t="str">
        <f>IFERROR(__xludf.DUMMYFUNCTION("""COMPUTED_VALUE"""),"San Jose")</f>
        <v>San Jose</v>
      </c>
      <c r="Q836" s="2" t="str">
        <f>IFERROR(__xludf.DUMMYFUNCTION("""COMPUTED_VALUE"""),"Occidental Mindoro")</f>
        <v>Occidental Mindoro</v>
      </c>
      <c r="R836" s="2" t="str">
        <f>IFERROR(__xludf.DUMMYFUNCTION("""COMPUTED_VALUE"""),"4B")</f>
        <v>4B</v>
      </c>
      <c r="S836" s="2"/>
      <c r="T836" s="2"/>
    </row>
    <row r="837">
      <c r="A837" s="1">
        <f>IFERROR(__xludf.DUMMYFUNCTION("""COMPUTED_VALUE"""),835.0)</f>
        <v>835</v>
      </c>
      <c r="B837" s="2" t="str">
        <f>IFERROR(__xludf.DUMMYFUNCTION("""COMPUTED_VALUE"""),"BAYOTBOT SAN ISIDRO FARMERS ASSOCIATION INC.")</f>
        <v>BAYOTBOT SAN ISIDRO FARMERS ASSOCIATION INC.</v>
      </c>
      <c r="C837" s="2" t="str">
        <f>IFERROR(__xludf.DUMMYFUNCTION("""COMPUTED_VALUE"""),"Bayotbot, San Jose, OCCIDENTAL MINDORO")</f>
        <v>Bayotbot, San Jose, OCCIDENTAL MINDORO</v>
      </c>
      <c r="D837" s="2" t="str">
        <f>IFERROR(__xludf.DUMMYFUNCTION("""COMPUTED_VALUE"""),"Bernardo Fernando, Sr.")</f>
        <v>Bernardo Fernando, Sr.</v>
      </c>
      <c r="E837" s="2" t="str">
        <f>IFERROR(__xludf.DUMMYFUNCTION("""COMPUTED_VALUE"""),"0905 420 2049")</f>
        <v>0905 420 2049</v>
      </c>
      <c r="F837" s="2" t="str">
        <f>IFERROR(__xludf.DUMMYFUNCTION("""COMPUTED_VALUE"""),"RCEF 25-03-05")</f>
        <v>RCEF 25-03-05</v>
      </c>
      <c r="G837" s="2">
        <f>IFERROR(__xludf.DUMMYFUNCTION("""COMPUTED_VALUE"""),6.0)</f>
        <v>6</v>
      </c>
      <c r="H837" s="2" t="str">
        <f>IFERROR(__xludf.DUMMYFUNCTION("""COMPUTED_VALUE"""),"26836 &amp; 27788")</f>
        <v>26836 &amp; 27788</v>
      </c>
      <c r="I837" s="2" t="str">
        <f>IFERROR(__xludf.DUMMYFUNCTION("""COMPUTED_VALUE"""),"KMC5825 AHSFPV0310")</f>
        <v>KMC5825 AHSFPV0310</v>
      </c>
      <c r="J837" s="3" t="str">
        <f>IFERROR(__xludf.DUMMYFUNCTION("""COMPUTED_VALUE"""),"STS100315")</f>
        <v>STS100315</v>
      </c>
      <c r="K837" s="2" t="str">
        <f>IFERROR(__xludf.DUMMYFUNCTION("""COMPUTED_VALUE"""),"R-SERIES 047PH")</f>
        <v>R-SERIES 047PH</v>
      </c>
      <c r="L837" s="3" t="str">
        <f>IFERROR(__xludf.DUMMYFUNCTION("""COMPUTED_VALUE"""),"25080370")</f>
        <v>25080370</v>
      </c>
      <c r="M837" s="3" t="str">
        <f>IFERROR(__xludf.DUMMYFUNCTION("""COMPUTED_VALUE"""),"25080853")</f>
        <v>25080853</v>
      </c>
      <c r="N837" s="2"/>
      <c r="O837" s="2" t="str">
        <f>IFERROR(__xludf.DUMMYFUNCTION("""COMPUTED_VALUE"""),"Bayotbot")</f>
        <v>Bayotbot</v>
      </c>
      <c r="P837" s="2" t="str">
        <f>IFERROR(__xludf.DUMMYFUNCTION("""COMPUTED_VALUE"""),"San Jose")</f>
        <v>San Jose</v>
      </c>
      <c r="Q837" s="2" t="str">
        <f>IFERROR(__xludf.DUMMYFUNCTION("""COMPUTED_VALUE"""),"Occidental Mindoro")</f>
        <v>Occidental Mindoro</v>
      </c>
      <c r="R837" s="2" t="str">
        <f>IFERROR(__xludf.DUMMYFUNCTION("""COMPUTED_VALUE"""),"4B")</f>
        <v>4B</v>
      </c>
      <c r="S837" s="2"/>
      <c r="T837" s="2"/>
    </row>
    <row r="838">
      <c r="A838" s="1">
        <f>IFERROR(__xludf.DUMMYFUNCTION("""COMPUTED_VALUE"""),836.0)</f>
        <v>836</v>
      </c>
      <c r="B838" s="2" t="str">
        <f>IFERROR(__xludf.DUMMYFUNCTION("""COMPUTED_VALUE"""),"BUBOG DEVELOPMENT COOPERATIVE")</f>
        <v>BUBOG DEVELOPMENT COOPERATIVE</v>
      </c>
      <c r="C838" s="2" t="str">
        <f>IFERROR(__xludf.DUMMYFUNCTION("""COMPUTED_VALUE"""),"Bubog, San Jose, OCCIDENTAL MINDORO")</f>
        <v>Bubog, San Jose, OCCIDENTAL MINDORO</v>
      </c>
      <c r="D838" s="2" t="str">
        <f>IFERROR(__xludf.DUMMYFUNCTION("""COMPUTED_VALUE"""),"LEONILO PANAGSAGAN")</f>
        <v>LEONILO PANAGSAGAN</v>
      </c>
      <c r="E838" s="2" t="str">
        <f>IFERROR(__xludf.DUMMYFUNCTION("""COMPUTED_VALUE"""),"0968 882 5923")</f>
        <v>0968 882 5923</v>
      </c>
      <c r="F838" s="2" t="str">
        <f>IFERROR(__xludf.DUMMYFUNCTION("""COMPUTED_VALUE"""),"RCEF 25-03-05")</f>
        <v>RCEF 25-03-05</v>
      </c>
      <c r="G838" s="2">
        <f>IFERROR(__xludf.DUMMYFUNCTION("""COMPUTED_VALUE"""),6.0)</f>
        <v>6</v>
      </c>
      <c r="H838" s="2" t="str">
        <f>IFERROR(__xludf.DUMMYFUNCTION("""COMPUTED_VALUE"""),"26837 &amp; 27789")</f>
        <v>26837 &amp; 27789</v>
      </c>
      <c r="I838" s="2" t="str">
        <f>IFERROR(__xludf.DUMMYFUNCTION("""COMPUTED_VALUE"""),"KMC5825 AHSFPV0260")</f>
        <v>KMC5825 AHSFPV0260</v>
      </c>
      <c r="J838" s="3" t="str">
        <f>IFERROR(__xludf.DUMMYFUNCTION("""COMPUTED_VALUE"""),"STS100268")</f>
        <v>STS100268</v>
      </c>
      <c r="K838" s="2" t="str">
        <f>IFERROR(__xludf.DUMMYFUNCTION("""COMPUTED_VALUE"""),"WR-SERIES 259")</f>
        <v>WR-SERIES 259</v>
      </c>
      <c r="L838" s="3" t="str">
        <f>IFERROR(__xludf.DUMMYFUNCTION("""COMPUTED_VALUE"""),"25080427")</f>
        <v>25080427</v>
      </c>
      <c r="M838" s="3" t="str">
        <f>IFERROR(__xludf.DUMMYFUNCTION("""COMPUTED_VALUE"""),"25080856")</f>
        <v>25080856</v>
      </c>
      <c r="N838" s="2"/>
      <c r="O838" s="2" t="str">
        <f>IFERROR(__xludf.DUMMYFUNCTION("""COMPUTED_VALUE"""),"Bubog")</f>
        <v>Bubog</v>
      </c>
      <c r="P838" s="2" t="str">
        <f>IFERROR(__xludf.DUMMYFUNCTION("""COMPUTED_VALUE"""),"San Jose")</f>
        <v>San Jose</v>
      </c>
      <c r="Q838" s="2" t="str">
        <f>IFERROR(__xludf.DUMMYFUNCTION("""COMPUTED_VALUE"""),"Occidental Mindoro")</f>
        <v>Occidental Mindoro</v>
      </c>
      <c r="R838" s="2" t="str">
        <f>IFERROR(__xludf.DUMMYFUNCTION("""COMPUTED_VALUE"""),"4B")</f>
        <v>4B</v>
      </c>
      <c r="S838" s="2"/>
      <c r="T838" s="2"/>
    </row>
    <row r="839">
      <c r="A839" s="1">
        <f>IFERROR(__xludf.DUMMYFUNCTION("""COMPUTED_VALUE"""),837.0)</f>
        <v>837</v>
      </c>
      <c r="B839" s="2" t="str">
        <f>IFERROR(__xludf.DUMMYFUNCTION("""COMPUTED_VALUE"""),"Calamansian Irrigators Balud Farmers Association")</f>
        <v>Calamansian Irrigators Balud Farmers Association</v>
      </c>
      <c r="C839" s="2" t="str">
        <f>IFERROR(__xludf.DUMMYFUNCTION("""COMPUTED_VALUE"""),"Batasan, San Jose, OCCIDENTAL MINDORO")</f>
        <v>Batasan, San Jose, OCCIDENTAL MINDORO</v>
      </c>
      <c r="D839" s="2" t="str">
        <f>IFERROR(__xludf.DUMMYFUNCTION("""COMPUTED_VALUE"""),"Renato Siodo")</f>
        <v>Renato Siodo</v>
      </c>
      <c r="E839" s="2" t="str">
        <f>IFERROR(__xludf.DUMMYFUNCTION("""COMPUTED_VALUE"""),"0997 560 4900")</f>
        <v>0997 560 4900</v>
      </c>
      <c r="F839" s="2" t="str">
        <f>IFERROR(__xludf.DUMMYFUNCTION("""COMPUTED_VALUE"""),"RCEF 25-03-05")</f>
        <v>RCEF 25-03-05</v>
      </c>
      <c r="G839" s="2">
        <f>IFERROR(__xludf.DUMMYFUNCTION("""COMPUTED_VALUE"""),6.0)</f>
        <v>6</v>
      </c>
      <c r="H839" s="2" t="str">
        <f>IFERROR(__xludf.DUMMYFUNCTION("""COMPUTED_VALUE"""),"26838 &amp; 27790")</f>
        <v>26838 &amp; 27790</v>
      </c>
      <c r="I839" s="2" t="str">
        <f>IFERROR(__xludf.DUMMYFUNCTION("""COMPUTED_VALUE"""),"KMC5825 AJSFPV0431")</f>
        <v>KMC5825 AJSFPV0431</v>
      </c>
      <c r="J839" s="3" t="str">
        <f>IFERROR(__xludf.DUMMYFUNCTION("""COMPUTED_VALUE"""),"STS100482")</f>
        <v>STS100482</v>
      </c>
      <c r="K839" s="2" t="str">
        <f>IFERROR(__xludf.DUMMYFUNCTION("""COMPUTED_VALUE"""),"WR-SERIES 242")</f>
        <v>WR-SERIES 242</v>
      </c>
      <c r="L839" s="3" t="str">
        <f>IFERROR(__xludf.DUMMYFUNCTION("""COMPUTED_VALUE"""),"25080515")</f>
        <v>25080515</v>
      </c>
      <c r="M839" s="3" t="str">
        <f>IFERROR(__xludf.DUMMYFUNCTION("""COMPUTED_VALUE"""),"25080854")</f>
        <v>25080854</v>
      </c>
      <c r="N839" s="2"/>
      <c r="O839" s="2" t="str">
        <f>IFERROR(__xludf.DUMMYFUNCTION("""COMPUTED_VALUE"""),"Batasan")</f>
        <v>Batasan</v>
      </c>
      <c r="P839" s="2" t="str">
        <f>IFERROR(__xludf.DUMMYFUNCTION("""COMPUTED_VALUE"""),"San Jose")</f>
        <v>San Jose</v>
      </c>
      <c r="Q839" s="2" t="str">
        <f>IFERROR(__xludf.DUMMYFUNCTION("""COMPUTED_VALUE"""),"Occidental Mindoro")</f>
        <v>Occidental Mindoro</v>
      </c>
      <c r="R839" s="2" t="str">
        <f>IFERROR(__xludf.DUMMYFUNCTION("""COMPUTED_VALUE"""),"4B")</f>
        <v>4B</v>
      </c>
      <c r="S839" s="2"/>
      <c r="T839" s="2"/>
    </row>
    <row r="840">
      <c r="A840" s="1">
        <f>IFERROR(__xludf.DUMMYFUNCTION("""COMPUTED_VALUE"""),838.0)</f>
        <v>838</v>
      </c>
      <c r="B840" s="2" t="str">
        <f>IFERROR(__xludf.DUMMYFUNCTION("""COMPUTED_VALUE"""),"Central D Multi-Purpose Cooperative")</f>
        <v>Central D Multi-Purpose Cooperative</v>
      </c>
      <c r="C840" s="2" t="str">
        <f>IFERROR(__xludf.DUMMYFUNCTION("""COMPUTED_VALUE"""),"Central, San Jose, OCCIDENTAL MINDORO")</f>
        <v>Central, San Jose, OCCIDENTAL MINDORO</v>
      </c>
      <c r="D840" s="2" t="str">
        <f>IFERROR(__xludf.DUMMYFUNCTION("""COMPUTED_VALUE"""),"Vernie Adrian Salazar")</f>
        <v>Vernie Adrian Salazar</v>
      </c>
      <c r="E840" s="2" t="str">
        <f>IFERROR(__xludf.DUMMYFUNCTION("""COMPUTED_VALUE"""),"0929 7039961")</f>
        <v>0929 7039961</v>
      </c>
      <c r="F840" s="2" t="str">
        <f>IFERROR(__xludf.DUMMYFUNCTION("""COMPUTED_VALUE"""),"RCEF 25-03-05")</f>
        <v>RCEF 25-03-05</v>
      </c>
      <c r="G840" s="2">
        <f>IFERROR(__xludf.DUMMYFUNCTION("""COMPUTED_VALUE"""),6.0)</f>
        <v>6</v>
      </c>
      <c r="H840" s="2" t="str">
        <f>IFERROR(__xludf.DUMMYFUNCTION("""COMPUTED_VALUE"""),"26839 &amp; 27791")</f>
        <v>26839 &amp; 27791</v>
      </c>
      <c r="I840" s="2" t="str">
        <f>IFERROR(__xludf.DUMMYFUNCTION("""COMPUTED_VALUE"""),"KMC5825 ACSFPV0401")</f>
        <v>KMC5825 ACSFPV0401</v>
      </c>
      <c r="J840" s="3" t="str">
        <f>IFERROR(__xludf.DUMMYFUNCTION("""COMPUTED_VALUE"""),"STS100421")</f>
        <v>STS100421</v>
      </c>
      <c r="K840" s="2" t="str">
        <f>IFERROR(__xludf.DUMMYFUNCTION("""COMPUTED_VALUE"""),"WR-SERIES 117")</f>
        <v>WR-SERIES 117</v>
      </c>
      <c r="L840" s="3" t="str">
        <f>IFERROR(__xludf.DUMMYFUNCTION("""COMPUTED_VALUE"""),"25080415")</f>
        <v>25080415</v>
      </c>
      <c r="M840" s="3" t="str">
        <f>IFERROR(__xludf.DUMMYFUNCTION("""COMPUTED_VALUE"""),"25080852")</f>
        <v>25080852</v>
      </c>
      <c r="N840" s="2"/>
      <c r="O840" s="2" t="str">
        <f>IFERROR(__xludf.DUMMYFUNCTION("""COMPUTED_VALUE"""),"Central")</f>
        <v>Central</v>
      </c>
      <c r="P840" s="2" t="str">
        <f>IFERROR(__xludf.DUMMYFUNCTION("""COMPUTED_VALUE"""),"San Jose")</f>
        <v>San Jose</v>
      </c>
      <c r="Q840" s="2" t="str">
        <f>IFERROR(__xludf.DUMMYFUNCTION("""COMPUTED_VALUE"""),"Occidental Mindoro")</f>
        <v>Occidental Mindoro</v>
      </c>
      <c r="R840" s="2" t="str">
        <f>IFERROR(__xludf.DUMMYFUNCTION("""COMPUTED_VALUE"""),"4B")</f>
        <v>4B</v>
      </c>
      <c r="S840" s="2"/>
      <c r="T840" s="2"/>
    </row>
    <row r="841">
      <c r="A841" s="1">
        <f>IFERROR(__xludf.DUMMYFUNCTION("""COMPUTED_VALUE"""),839.0)</f>
        <v>839</v>
      </c>
      <c r="B841" s="2" t="str">
        <f>IFERROR(__xludf.DUMMYFUNCTION("""COMPUTED_VALUE"""),"DELTA SQUAD GUARDIAN FARMERS ASSOCIATION")</f>
        <v>DELTA SQUAD GUARDIAN FARMERS ASSOCIATION</v>
      </c>
      <c r="C841" s="2" t="str">
        <f>IFERROR(__xludf.DUMMYFUNCTION("""COMPUTED_VALUE"""),"Mapaya, San Jose, OCCIDENTAL MINDORO")</f>
        <v>Mapaya, San Jose, OCCIDENTAL MINDORO</v>
      </c>
      <c r="D841" s="2" t="str">
        <f>IFERROR(__xludf.DUMMYFUNCTION("""COMPUTED_VALUE"""),"Eddie Boy Garcia")</f>
        <v>Eddie Boy Garcia</v>
      </c>
      <c r="E841" s="2" t="str">
        <f>IFERROR(__xludf.DUMMYFUNCTION("""COMPUTED_VALUE"""),"0950 8692448")</f>
        <v>0950 8692448</v>
      </c>
      <c r="F841" s="2" t="str">
        <f>IFERROR(__xludf.DUMMYFUNCTION("""COMPUTED_VALUE"""),"RCEF 25-03-05")</f>
        <v>RCEF 25-03-05</v>
      </c>
      <c r="G841" s="2">
        <f>IFERROR(__xludf.DUMMYFUNCTION("""COMPUTED_VALUE"""),6.0)</f>
        <v>6</v>
      </c>
      <c r="H841" s="2" t="str">
        <f>IFERROR(__xludf.DUMMYFUNCTION("""COMPUTED_VALUE"""),"26840 &amp; 27792")</f>
        <v>26840 &amp; 27792</v>
      </c>
      <c r="I841" s="2" t="str">
        <f>IFERROR(__xludf.DUMMYFUNCTION("""COMPUTED_VALUE"""),"KMC5825 AASFPV0403")</f>
        <v>KMC5825 AASFPV0403</v>
      </c>
      <c r="J841" s="3" t="str">
        <f>IFERROR(__xludf.DUMMYFUNCTION("""COMPUTED_VALUE"""),"STS100439")</f>
        <v>STS100439</v>
      </c>
      <c r="K841" s="2" t="str">
        <f>IFERROR(__xludf.DUMMYFUNCTION("""COMPUTED_VALUE"""),"R-SERIES 053PH")</f>
        <v>R-SERIES 053PH</v>
      </c>
      <c r="L841" s="3" t="str">
        <f>IFERROR(__xludf.DUMMYFUNCTION("""COMPUTED_VALUE"""),"25080403")</f>
        <v>25080403</v>
      </c>
      <c r="M841" s="3" t="str">
        <f>IFERROR(__xludf.DUMMYFUNCTION("""COMPUTED_VALUE"""),"25080870")</f>
        <v>25080870</v>
      </c>
      <c r="N841" s="2"/>
      <c r="O841" s="2" t="str">
        <f>IFERROR(__xludf.DUMMYFUNCTION("""COMPUTED_VALUE"""),"Mapaya")</f>
        <v>Mapaya</v>
      </c>
      <c r="P841" s="2" t="str">
        <f>IFERROR(__xludf.DUMMYFUNCTION("""COMPUTED_VALUE"""),"San Jose")</f>
        <v>San Jose</v>
      </c>
      <c r="Q841" s="2" t="str">
        <f>IFERROR(__xludf.DUMMYFUNCTION("""COMPUTED_VALUE"""),"Occidental Mindoro")</f>
        <v>Occidental Mindoro</v>
      </c>
      <c r="R841" s="2" t="str">
        <f>IFERROR(__xludf.DUMMYFUNCTION("""COMPUTED_VALUE"""),"4B")</f>
        <v>4B</v>
      </c>
      <c r="S841" s="2"/>
      <c r="T841" s="2"/>
    </row>
    <row r="842">
      <c r="A842" s="1">
        <f>IFERROR(__xludf.DUMMYFUNCTION("""COMPUTED_VALUE"""),840.0)</f>
        <v>840</v>
      </c>
      <c r="B842" s="2" t="str">
        <f>IFERROR(__xludf.DUMMYFUNCTION("""COMPUTED_VALUE"""),"Mabini Main Farmer's Association")</f>
        <v>Mabini Main Farmer's Association</v>
      </c>
      <c r="C842" s="2" t="str">
        <f>IFERROR(__xludf.DUMMYFUNCTION("""COMPUTED_VALUE"""),"Mabini, San Jose, OCCIDENTAL MINDORO")</f>
        <v>Mabini, San Jose, OCCIDENTAL MINDORO</v>
      </c>
      <c r="D842" s="2" t="str">
        <f>IFERROR(__xludf.DUMMYFUNCTION("""COMPUTED_VALUE"""),"Michael Custodio")</f>
        <v>Michael Custodio</v>
      </c>
      <c r="E842" s="2" t="str">
        <f>IFERROR(__xludf.DUMMYFUNCTION("""COMPUTED_VALUE"""),"0965 410 1547")</f>
        <v>0965 410 1547</v>
      </c>
      <c r="F842" s="2" t="str">
        <f>IFERROR(__xludf.DUMMYFUNCTION("""COMPUTED_VALUE"""),"RCEF 25-03-05")</f>
        <v>RCEF 25-03-05</v>
      </c>
      <c r="G842" s="2">
        <f>IFERROR(__xludf.DUMMYFUNCTION("""COMPUTED_VALUE"""),6.0)</f>
        <v>6</v>
      </c>
      <c r="H842" s="2" t="str">
        <f>IFERROR(__xludf.DUMMYFUNCTION("""COMPUTED_VALUE"""),"26841 &amp; 27793")</f>
        <v>26841 &amp; 27793</v>
      </c>
      <c r="I842" s="2" t="str">
        <f>IFERROR(__xludf.DUMMYFUNCTION("""COMPUTED_VALUE"""),"KMC5825 ATSFPV0313")</f>
        <v>KMC5825 ATSFPV0313</v>
      </c>
      <c r="J842" s="3" t="str">
        <f>IFERROR(__xludf.DUMMYFUNCTION("""COMPUTED_VALUE"""),"STS100319")</f>
        <v>STS100319</v>
      </c>
      <c r="K842" s="2" t="str">
        <f>IFERROR(__xludf.DUMMYFUNCTION("""COMPUTED_VALUE"""),"WR-SERIES 040")</f>
        <v>WR-SERIES 040</v>
      </c>
      <c r="L842" s="3" t="str">
        <f>IFERROR(__xludf.DUMMYFUNCTION("""COMPUTED_VALUE"""),"25080356")</f>
        <v>25080356</v>
      </c>
      <c r="M842" s="3" t="str">
        <f>IFERROR(__xludf.DUMMYFUNCTION("""COMPUTED_VALUE"""),"25080885")</f>
        <v>25080885</v>
      </c>
      <c r="N842" s="2"/>
      <c r="O842" s="2" t="str">
        <f>IFERROR(__xludf.DUMMYFUNCTION("""COMPUTED_VALUE"""),"Mabini")</f>
        <v>Mabini</v>
      </c>
      <c r="P842" s="2" t="str">
        <f>IFERROR(__xludf.DUMMYFUNCTION("""COMPUTED_VALUE"""),"San Jose")</f>
        <v>San Jose</v>
      </c>
      <c r="Q842" s="2" t="str">
        <f>IFERROR(__xludf.DUMMYFUNCTION("""COMPUTED_VALUE"""),"Occidental Mindoro")</f>
        <v>Occidental Mindoro</v>
      </c>
      <c r="R842" s="2" t="str">
        <f>IFERROR(__xludf.DUMMYFUNCTION("""COMPUTED_VALUE"""),"4B")</f>
        <v>4B</v>
      </c>
      <c r="S842" s="2"/>
      <c r="T842" s="2"/>
    </row>
    <row r="843">
      <c r="A843" s="1">
        <f>IFERROR(__xludf.DUMMYFUNCTION("""COMPUTED_VALUE"""),841.0)</f>
        <v>841</v>
      </c>
      <c r="B843" s="2" t="str">
        <f>IFERROR(__xludf.DUMMYFUNCTION("""COMPUTED_VALUE"""),"Monteclaro Irrigators Association, Incorporated")</f>
        <v>Monteclaro Irrigators Association, Incorporated</v>
      </c>
      <c r="C843" s="2" t="str">
        <f>IFERROR(__xludf.DUMMYFUNCTION("""COMPUTED_VALUE"""),"Mapaya, San Jose, OCCIDENTAL MINDORO")</f>
        <v>Mapaya, San Jose, OCCIDENTAL MINDORO</v>
      </c>
      <c r="D843" s="2" t="str">
        <f>IFERROR(__xludf.DUMMYFUNCTION("""COMPUTED_VALUE"""),"Fernando Ramos")</f>
        <v>Fernando Ramos</v>
      </c>
      <c r="E843" s="2">
        <f>IFERROR(__xludf.DUMMYFUNCTION("""COMPUTED_VALUE"""),9.154522277E9)</f>
        <v>9154522277</v>
      </c>
      <c r="F843" s="2" t="str">
        <f>IFERROR(__xludf.DUMMYFUNCTION("""COMPUTED_VALUE"""),"RCEF 25-03-05")</f>
        <v>RCEF 25-03-05</v>
      </c>
      <c r="G843" s="2">
        <f>IFERROR(__xludf.DUMMYFUNCTION("""COMPUTED_VALUE"""),6.0)</f>
        <v>6</v>
      </c>
      <c r="H843" s="2" t="str">
        <f>IFERROR(__xludf.DUMMYFUNCTION("""COMPUTED_VALUE"""),"26842 &amp; 27794")</f>
        <v>26842 &amp; 27794</v>
      </c>
      <c r="I843" s="2" t="str">
        <f>IFERROR(__xludf.DUMMYFUNCTION("""COMPUTED_VALUE"""),"KMC5825 AHSFPV0162")</f>
        <v>KMC5825 AHSFPV0162</v>
      </c>
      <c r="J843" s="3" t="str">
        <f>IFERROR(__xludf.DUMMYFUNCTION("""COMPUTED_VALUE"""),"STS100110")</f>
        <v>STS100110</v>
      </c>
      <c r="K843" s="2" t="str">
        <f>IFERROR(__xludf.DUMMYFUNCTION("""COMPUTED_VALUE"""),"R-SERIES 321PH")</f>
        <v>R-SERIES 321PH</v>
      </c>
      <c r="L843" s="3" t="str">
        <f>IFERROR(__xludf.DUMMYFUNCTION("""COMPUTED_VALUE"""),"25080404")</f>
        <v>25080404</v>
      </c>
      <c r="M843" s="3" t="str">
        <f>IFERROR(__xludf.DUMMYFUNCTION("""COMPUTED_VALUE"""),"25080879")</f>
        <v>25080879</v>
      </c>
      <c r="N843" s="2"/>
      <c r="O843" s="2" t="str">
        <f>IFERROR(__xludf.DUMMYFUNCTION("""COMPUTED_VALUE"""),"Mapaya")</f>
        <v>Mapaya</v>
      </c>
      <c r="P843" s="2" t="str">
        <f>IFERROR(__xludf.DUMMYFUNCTION("""COMPUTED_VALUE"""),"San Jose")</f>
        <v>San Jose</v>
      </c>
      <c r="Q843" s="2" t="str">
        <f>IFERROR(__xludf.DUMMYFUNCTION("""COMPUTED_VALUE"""),"Occidental Mindoro")</f>
        <v>Occidental Mindoro</v>
      </c>
      <c r="R843" s="2" t="str">
        <f>IFERROR(__xludf.DUMMYFUNCTION("""COMPUTED_VALUE"""),"4B")</f>
        <v>4B</v>
      </c>
      <c r="S843" s="2"/>
      <c r="T843" s="2"/>
    </row>
    <row r="844">
      <c r="A844" s="1">
        <f>IFERROR(__xludf.DUMMYFUNCTION("""COMPUTED_VALUE"""),842.0)</f>
        <v>842</v>
      </c>
      <c r="B844" s="2" t="str">
        <f>IFERROR(__xludf.DUMMYFUNCTION("""COMPUTED_VALUE"""),"Murtha Agriculture Cooperative")</f>
        <v>Murtha Agriculture Cooperative</v>
      </c>
      <c r="C844" s="2" t="str">
        <f>IFERROR(__xludf.DUMMYFUNCTION("""COMPUTED_VALUE"""),"Murtha, San Jose, OCCIDENTAL MINDORO")</f>
        <v>Murtha, San Jose, OCCIDENTAL MINDORO</v>
      </c>
      <c r="D844" s="2" t="str">
        <f>IFERROR(__xludf.DUMMYFUNCTION("""COMPUTED_VALUE"""),"Ricardo Gimeno")</f>
        <v>Ricardo Gimeno</v>
      </c>
      <c r="E844" s="2" t="str">
        <f>IFERROR(__xludf.DUMMYFUNCTION("""COMPUTED_VALUE"""),"0977 619 1251")</f>
        <v>0977 619 1251</v>
      </c>
      <c r="F844" s="2" t="str">
        <f>IFERROR(__xludf.DUMMYFUNCTION("""COMPUTED_VALUE"""),"RCEF 25-03-05")</f>
        <v>RCEF 25-03-05</v>
      </c>
      <c r="G844" s="2">
        <f>IFERROR(__xludf.DUMMYFUNCTION("""COMPUTED_VALUE"""),6.0)</f>
        <v>6</v>
      </c>
      <c r="H844" s="2" t="str">
        <f>IFERROR(__xludf.DUMMYFUNCTION("""COMPUTED_VALUE"""),"26843 &amp; 27795")</f>
        <v>26843 &amp; 27795</v>
      </c>
      <c r="I844" s="2" t="str">
        <f>IFERROR(__xludf.DUMMYFUNCTION("""COMPUTED_VALUE"""),"KMC5825 AKSFPV0430")</f>
        <v>KMC5825 AKSFPV0430</v>
      </c>
      <c r="J844" s="3" t="str">
        <f>IFERROR(__xludf.DUMMYFUNCTION("""COMPUTED_VALUE"""),"STS100473")</f>
        <v>STS100473</v>
      </c>
      <c r="K844" s="2" t="str">
        <f>IFERROR(__xludf.DUMMYFUNCTION("""COMPUTED_VALUE"""),"WR-SERIES 303")</f>
        <v>WR-SERIES 303</v>
      </c>
      <c r="L844" s="3" t="str">
        <f>IFERROR(__xludf.DUMMYFUNCTION("""COMPUTED_VALUE"""),"25080406")</f>
        <v>25080406</v>
      </c>
      <c r="M844" s="3" t="str">
        <f>IFERROR(__xludf.DUMMYFUNCTION("""COMPUTED_VALUE"""),"25080865")</f>
        <v>25080865</v>
      </c>
      <c r="N844" s="2"/>
      <c r="O844" s="2" t="str">
        <f>IFERROR(__xludf.DUMMYFUNCTION("""COMPUTED_VALUE"""),"Murtha")</f>
        <v>Murtha</v>
      </c>
      <c r="P844" s="2" t="str">
        <f>IFERROR(__xludf.DUMMYFUNCTION("""COMPUTED_VALUE"""),"San Jose")</f>
        <v>San Jose</v>
      </c>
      <c r="Q844" s="2" t="str">
        <f>IFERROR(__xludf.DUMMYFUNCTION("""COMPUTED_VALUE"""),"Occidental Mindoro")</f>
        <v>Occidental Mindoro</v>
      </c>
      <c r="R844" s="2" t="str">
        <f>IFERROR(__xludf.DUMMYFUNCTION("""COMPUTED_VALUE"""),"4B")</f>
        <v>4B</v>
      </c>
      <c r="S844" s="2"/>
      <c r="T844" s="2"/>
    </row>
    <row r="845">
      <c r="A845" s="1">
        <f>IFERROR(__xludf.DUMMYFUNCTION("""COMPUTED_VALUE"""),843.0)</f>
        <v>843</v>
      </c>
      <c r="B845" s="2" t="str">
        <f>IFERROR(__xludf.DUMMYFUNCTION("""COMPUTED_VALUE"""),"Murtha Development Multi-Purpose Cooperative")</f>
        <v>Murtha Development Multi-Purpose Cooperative</v>
      </c>
      <c r="C845" s="2" t="str">
        <f>IFERROR(__xludf.DUMMYFUNCTION("""COMPUTED_VALUE"""),"Murtha, San Jose, OCCIDENTAL MINDORO")</f>
        <v>Murtha, San Jose, OCCIDENTAL MINDORO</v>
      </c>
      <c r="D845" s="2" t="str">
        <f>IFERROR(__xludf.DUMMYFUNCTION("""COMPUTED_VALUE"""),"Jocelyn Jarabata")</f>
        <v>Jocelyn Jarabata</v>
      </c>
      <c r="E845" s="2" t="str">
        <f>IFERROR(__xludf.DUMMYFUNCTION("""COMPUTED_VALUE"""),"0935 934 3446")</f>
        <v>0935 934 3446</v>
      </c>
      <c r="F845" s="2" t="str">
        <f>IFERROR(__xludf.DUMMYFUNCTION("""COMPUTED_VALUE"""),"RCEF 25-03-05")</f>
        <v>RCEF 25-03-05</v>
      </c>
      <c r="G845" s="2">
        <f>IFERROR(__xludf.DUMMYFUNCTION("""COMPUTED_VALUE"""),6.0)</f>
        <v>6</v>
      </c>
      <c r="H845" s="2" t="str">
        <f>IFERROR(__xludf.DUMMYFUNCTION("""COMPUTED_VALUE"""),"26844 &amp; 27796")</f>
        <v>26844 &amp; 27796</v>
      </c>
      <c r="I845" s="2" t="str">
        <f>IFERROR(__xludf.DUMMYFUNCTION("""COMPUTED_VALUE"""),"KMC5825 ATSFPV0392")</f>
        <v>KMC5825 ATSFPV0392</v>
      </c>
      <c r="J845" s="3" t="str">
        <f>IFERROR(__xludf.DUMMYFUNCTION("""COMPUTED_VALUE"""),"STS100455")</f>
        <v>STS100455</v>
      </c>
      <c r="K845" s="2" t="str">
        <f>IFERROR(__xludf.DUMMYFUNCTION("""COMPUTED_VALUE"""),"R-SERIES 113PH")</f>
        <v>R-SERIES 113PH</v>
      </c>
      <c r="L845" s="3" t="str">
        <f>IFERROR(__xludf.DUMMYFUNCTION("""COMPUTED_VALUE"""),"25080414")</f>
        <v>25080414</v>
      </c>
      <c r="M845" s="3" t="str">
        <f>IFERROR(__xludf.DUMMYFUNCTION("""COMPUTED_VALUE"""),"25080869")</f>
        <v>25080869</v>
      </c>
      <c r="N845" s="2"/>
      <c r="O845" s="2" t="str">
        <f>IFERROR(__xludf.DUMMYFUNCTION("""COMPUTED_VALUE"""),"Murtha")</f>
        <v>Murtha</v>
      </c>
      <c r="P845" s="2" t="str">
        <f>IFERROR(__xludf.DUMMYFUNCTION("""COMPUTED_VALUE"""),"San Jose")</f>
        <v>San Jose</v>
      </c>
      <c r="Q845" s="2" t="str">
        <f>IFERROR(__xludf.DUMMYFUNCTION("""COMPUTED_VALUE"""),"Occidental Mindoro")</f>
        <v>Occidental Mindoro</v>
      </c>
      <c r="R845" s="2" t="str">
        <f>IFERROR(__xludf.DUMMYFUNCTION("""COMPUTED_VALUE"""),"4B")</f>
        <v>4B</v>
      </c>
      <c r="S845" s="2"/>
      <c r="T845" s="2"/>
    </row>
    <row r="846">
      <c r="A846" s="1">
        <f>IFERROR(__xludf.DUMMYFUNCTION("""COMPUTED_VALUE"""),844.0)</f>
        <v>844</v>
      </c>
      <c r="B846" s="2" t="str">
        <f>IFERROR(__xludf.DUMMYFUNCTION("""COMPUTED_VALUE"""),"Occ. Mdo. Mannalon Farmers Assn. Inc.")</f>
        <v>Occ. Mdo. Mannalon Farmers Assn. Inc.</v>
      </c>
      <c r="C846" s="2" t="str">
        <f>IFERROR(__xludf.DUMMYFUNCTION("""COMPUTED_VALUE"""),"La Curva, San Jose, OCCIDENTAL MINDORO")</f>
        <v>La Curva, San Jose, OCCIDENTAL MINDORO</v>
      </c>
      <c r="D846" s="2" t="str">
        <f>IFERROR(__xludf.DUMMYFUNCTION("""COMPUTED_VALUE"""),"Yolanda Espeleta")</f>
        <v>Yolanda Espeleta</v>
      </c>
      <c r="E846" s="2" t="str">
        <f>IFERROR(__xludf.DUMMYFUNCTION("""COMPUTED_VALUE"""),"0998 541 8984")</f>
        <v>0998 541 8984</v>
      </c>
      <c r="F846" s="2" t="str">
        <f>IFERROR(__xludf.DUMMYFUNCTION("""COMPUTED_VALUE"""),"RCEF 25-03-05")</f>
        <v>RCEF 25-03-05</v>
      </c>
      <c r="G846" s="2">
        <f>IFERROR(__xludf.DUMMYFUNCTION("""COMPUTED_VALUE"""),6.0)</f>
        <v>6</v>
      </c>
      <c r="H846" s="2" t="str">
        <f>IFERROR(__xludf.DUMMYFUNCTION("""COMPUTED_VALUE"""),"26845 &amp; 27797")</f>
        <v>26845 &amp; 27797</v>
      </c>
      <c r="I846" s="2" t="str">
        <f>IFERROR(__xludf.DUMMYFUNCTION("""COMPUTED_VALUE"""),"KMC5825 AASFPV0143")</f>
        <v>KMC5825 AASFPV0143</v>
      </c>
      <c r="J846" s="3" t="str">
        <f>IFERROR(__xludf.DUMMYFUNCTION("""COMPUTED_VALUE"""),"STS100084")</f>
        <v>STS100084</v>
      </c>
      <c r="K846" s="2" t="str">
        <f>IFERROR(__xludf.DUMMYFUNCTION("""COMPUTED_VALUE"""),"R-SERIES 313PH")</f>
        <v>R-SERIES 313PH</v>
      </c>
      <c r="L846" s="3" t="str">
        <f>IFERROR(__xludf.DUMMYFUNCTION("""COMPUTED_VALUE"""),"25080379")</f>
        <v>25080379</v>
      </c>
      <c r="M846" s="3" t="str">
        <f>IFERROR(__xludf.DUMMYFUNCTION("""COMPUTED_VALUE"""),"25080858")</f>
        <v>25080858</v>
      </c>
      <c r="N846" s="2"/>
      <c r="O846" s="2" t="str">
        <f>IFERROR(__xludf.DUMMYFUNCTION("""COMPUTED_VALUE"""),"La Curva")</f>
        <v>La Curva</v>
      </c>
      <c r="P846" s="2" t="str">
        <f>IFERROR(__xludf.DUMMYFUNCTION("""COMPUTED_VALUE"""),"San Jose")</f>
        <v>San Jose</v>
      </c>
      <c r="Q846" s="2" t="str">
        <f>IFERROR(__xludf.DUMMYFUNCTION("""COMPUTED_VALUE"""),"Occidental Mindoro")</f>
        <v>Occidental Mindoro</v>
      </c>
      <c r="R846" s="2" t="str">
        <f>IFERROR(__xludf.DUMMYFUNCTION("""COMPUTED_VALUE"""),"4B")</f>
        <v>4B</v>
      </c>
      <c r="S846" s="2"/>
      <c r="T846" s="2"/>
    </row>
    <row r="847">
      <c r="A847" s="1">
        <f>IFERROR(__xludf.DUMMYFUNCTION("""COMPUTED_VALUE"""),845.0)</f>
        <v>845</v>
      </c>
      <c r="B847" s="2" t="str">
        <f>IFERROR(__xludf.DUMMYFUNCTION("""COMPUTED_VALUE"""),"Pilipino Demokratiko MPC San Agustin Chapter")</f>
        <v>Pilipino Demokratiko MPC San Agustin Chapter</v>
      </c>
      <c r="C847" s="2" t="str">
        <f>IFERROR(__xludf.DUMMYFUNCTION("""COMPUTED_VALUE"""),"San Agustin, San Jose, OCCIDENTAL MINDORO")</f>
        <v>San Agustin, San Jose, OCCIDENTAL MINDORO</v>
      </c>
      <c r="D847" s="2" t="str">
        <f>IFERROR(__xludf.DUMMYFUNCTION("""COMPUTED_VALUE"""),"Ramil Prado")</f>
        <v>Ramil Prado</v>
      </c>
      <c r="E847" s="2" t="str">
        <f>IFERROR(__xludf.DUMMYFUNCTION("""COMPUTED_VALUE"""),"0909 861 7392")</f>
        <v>0909 861 7392</v>
      </c>
      <c r="F847" s="2" t="str">
        <f>IFERROR(__xludf.DUMMYFUNCTION("""COMPUTED_VALUE"""),"RCEF 25-03-05")</f>
        <v>RCEF 25-03-05</v>
      </c>
      <c r="G847" s="2">
        <f>IFERROR(__xludf.DUMMYFUNCTION("""COMPUTED_VALUE"""),6.0)</f>
        <v>6</v>
      </c>
      <c r="H847" s="2" t="str">
        <f>IFERROR(__xludf.DUMMYFUNCTION("""COMPUTED_VALUE"""),"26846 &amp; 27799")</f>
        <v>26846 &amp; 27799</v>
      </c>
      <c r="I847" s="2" t="str">
        <f>IFERROR(__xludf.DUMMYFUNCTION("""COMPUTED_VALUE"""),"KMC5825 ATSFPV0120")</f>
        <v>KMC5825 ATSFPV0120</v>
      </c>
      <c r="J847" s="3" t="str">
        <f>IFERROR(__xludf.DUMMYFUNCTION("""COMPUTED_VALUE"""),"STS100090")</f>
        <v>STS100090</v>
      </c>
      <c r="K847" s="2" t="str">
        <f>IFERROR(__xludf.DUMMYFUNCTION("""COMPUTED_VALUE"""),"R-SERIES 265PH")</f>
        <v>R-SERIES 265PH</v>
      </c>
      <c r="L847" s="3" t="str">
        <f>IFERROR(__xludf.DUMMYFUNCTION("""COMPUTED_VALUE"""),"25080396")</f>
        <v>25080396</v>
      </c>
      <c r="M847" s="3" t="str">
        <f>IFERROR(__xludf.DUMMYFUNCTION("""COMPUTED_VALUE"""),"25080863")</f>
        <v>25080863</v>
      </c>
      <c r="N847" s="2"/>
      <c r="O847" s="2" t="str">
        <f>IFERROR(__xludf.DUMMYFUNCTION("""COMPUTED_VALUE"""),"San Agustin")</f>
        <v>San Agustin</v>
      </c>
      <c r="P847" s="2" t="str">
        <f>IFERROR(__xludf.DUMMYFUNCTION("""COMPUTED_VALUE"""),"San Jose")</f>
        <v>San Jose</v>
      </c>
      <c r="Q847" s="2" t="str">
        <f>IFERROR(__xludf.DUMMYFUNCTION("""COMPUTED_VALUE"""),"Occidental Mindoro")</f>
        <v>Occidental Mindoro</v>
      </c>
      <c r="R847" s="2" t="str">
        <f>IFERROR(__xludf.DUMMYFUNCTION("""COMPUTED_VALUE"""),"4B")</f>
        <v>4B</v>
      </c>
      <c r="S847" s="2"/>
      <c r="T847" s="2"/>
    </row>
    <row r="848">
      <c r="A848" s="1">
        <f>IFERROR(__xludf.DUMMYFUNCTION("""COMPUTED_VALUE"""),846.0)</f>
        <v>846</v>
      </c>
      <c r="B848" s="2" t="str">
        <f>IFERROR(__xludf.DUMMYFUNCTION("""COMPUTED_VALUE"""),"Samahan ng Manggagawang Bukid ng Central")</f>
        <v>Samahan ng Manggagawang Bukid ng Central</v>
      </c>
      <c r="C848" s="2" t="str">
        <f>IFERROR(__xludf.DUMMYFUNCTION("""COMPUTED_VALUE"""),"Central, San Jose, OCCIDENTAL MINDORO")</f>
        <v>Central, San Jose, OCCIDENTAL MINDORO</v>
      </c>
      <c r="D848" s="2" t="str">
        <f>IFERROR(__xludf.DUMMYFUNCTION("""COMPUTED_VALUE"""),"Emelyn Dioniso")</f>
        <v>Emelyn Dioniso</v>
      </c>
      <c r="E848" s="2" t="str">
        <f>IFERROR(__xludf.DUMMYFUNCTION("""COMPUTED_VALUE"""),"0916 3860341")</f>
        <v>0916 3860341</v>
      </c>
      <c r="F848" s="2" t="str">
        <f>IFERROR(__xludf.DUMMYFUNCTION("""COMPUTED_VALUE"""),"RCEF 25-03-05")</f>
        <v>RCEF 25-03-05</v>
      </c>
      <c r="G848" s="2">
        <f>IFERROR(__xludf.DUMMYFUNCTION("""COMPUTED_VALUE"""),6.0)</f>
        <v>6</v>
      </c>
      <c r="H848" s="2" t="str">
        <f>IFERROR(__xludf.DUMMYFUNCTION("""COMPUTED_VALUE"""),"26847 &amp; 27800")</f>
        <v>26847 &amp; 27800</v>
      </c>
      <c r="I848" s="2" t="str">
        <f>IFERROR(__xludf.DUMMYFUNCTION("""COMPUTED_VALUE"""),"KMC5825 ATSFPV0361")</f>
        <v>KMC5825 ATSFPV0361</v>
      </c>
      <c r="J848" s="3" t="str">
        <f>IFERROR(__xludf.DUMMYFUNCTION("""COMPUTED_VALUE"""),"STS100394")</f>
        <v>STS100394</v>
      </c>
      <c r="K848" s="2" t="str">
        <f>IFERROR(__xludf.DUMMYFUNCTION("""COMPUTED_VALUE"""),"R-SERIES 312PH")</f>
        <v>R-SERIES 312PH</v>
      </c>
      <c r="L848" s="3" t="str">
        <f>IFERROR(__xludf.DUMMYFUNCTION("""COMPUTED_VALUE"""),"25080424")</f>
        <v>25080424</v>
      </c>
      <c r="M848" s="3" t="str">
        <f>IFERROR(__xludf.DUMMYFUNCTION("""COMPUTED_VALUE"""),"25080872")</f>
        <v>25080872</v>
      </c>
      <c r="N848" s="2"/>
      <c r="O848" s="2" t="str">
        <f>IFERROR(__xludf.DUMMYFUNCTION("""COMPUTED_VALUE"""),"Central")</f>
        <v>Central</v>
      </c>
      <c r="P848" s="2" t="str">
        <f>IFERROR(__xludf.DUMMYFUNCTION("""COMPUTED_VALUE"""),"San Jose")</f>
        <v>San Jose</v>
      </c>
      <c r="Q848" s="2" t="str">
        <f>IFERROR(__xludf.DUMMYFUNCTION("""COMPUTED_VALUE"""),"Occidental Mindoro")</f>
        <v>Occidental Mindoro</v>
      </c>
      <c r="R848" s="2" t="str">
        <f>IFERROR(__xludf.DUMMYFUNCTION("""COMPUTED_VALUE"""),"4B")</f>
        <v>4B</v>
      </c>
      <c r="S848" s="2"/>
      <c r="T848" s="2"/>
    </row>
    <row r="849">
      <c r="A849" s="1">
        <f>IFERROR(__xludf.DUMMYFUNCTION("""COMPUTED_VALUE"""),847.0)</f>
        <v>847</v>
      </c>
      <c r="B849" s="2" t="str">
        <f>IFERROR(__xludf.DUMMYFUNCTION("""COMPUTED_VALUE"""),"Samahang ng Manggagawang Mindoreño Agriculture Cooperative (SAMMAGRICO)")</f>
        <v>Samahang ng Manggagawang Mindoreño Agriculture Cooperative (SAMMAGRICO)</v>
      </c>
      <c r="C849" s="2" t="str">
        <f>IFERROR(__xludf.DUMMYFUNCTION("""COMPUTED_VALUE"""),"Magbay, San Jose, OCCIDENTAL MINDORO")</f>
        <v>Magbay, San Jose, OCCIDENTAL MINDORO</v>
      </c>
      <c r="D849" s="2" t="str">
        <f>IFERROR(__xludf.DUMMYFUNCTION("""COMPUTED_VALUE"""),"Gerrywin S. Oquindo")</f>
        <v>Gerrywin S. Oquindo</v>
      </c>
      <c r="E849" s="2" t="str">
        <f>IFERROR(__xludf.DUMMYFUNCTION("""COMPUTED_VALUE"""),"0966 2635401")</f>
        <v>0966 2635401</v>
      </c>
      <c r="F849" s="2" t="str">
        <f>IFERROR(__xludf.DUMMYFUNCTION("""COMPUTED_VALUE"""),"RCEF 25-03-05")</f>
        <v>RCEF 25-03-05</v>
      </c>
      <c r="G849" s="2">
        <f>IFERROR(__xludf.DUMMYFUNCTION("""COMPUTED_VALUE"""),6.0)</f>
        <v>6</v>
      </c>
      <c r="H849" s="2" t="str">
        <f>IFERROR(__xludf.DUMMYFUNCTION("""COMPUTED_VALUE"""),"26848 &amp; 27801")</f>
        <v>26848 &amp; 27801</v>
      </c>
      <c r="I849" s="2" t="str">
        <f>IFERROR(__xludf.DUMMYFUNCTION("""COMPUTED_VALUE"""),"KMC5825 AKSFPV0072")</f>
        <v>KMC5825 AKSFPV0072</v>
      </c>
      <c r="J849" s="3" t="str">
        <f>IFERROR(__xludf.DUMMYFUNCTION("""COMPUTED_VALUE"""),"STS100063")</f>
        <v>STS100063</v>
      </c>
      <c r="K849" s="2" t="str">
        <f>IFERROR(__xludf.DUMMYFUNCTION("""COMPUTED_VALUE"""),"R-SERIES 320PH")</f>
        <v>R-SERIES 320PH</v>
      </c>
      <c r="L849" s="3" t="str">
        <f>IFERROR(__xludf.DUMMYFUNCTION("""COMPUTED_VALUE"""),"25080407")</f>
        <v>25080407</v>
      </c>
      <c r="M849" s="3" t="str">
        <f>IFERROR(__xludf.DUMMYFUNCTION("""COMPUTED_VALUE"""),"25080798")</f>
        <v>25080798</v>
      </c>
      <c r="N849" s="2"/>
      <c r="O849" s="2" t="str">
        <f>IFERROR(__xludf.DUMMYFUNCTION("""COMPUTED_VALUE"""),"Magbay")</f>
        <v>Magbay</v>
      </c>
      <c r="P849" s="2" t="str">
        <f>IFERROR(__xludf.DUMMYFUNCTION("""COMPUTED_VALUE"""),"San Jose")</f>
        <v>San Jose</v>
      </c>
      <c r="Q849" s="2" t="str">
        <f>IFERROR(__xludf.DUMMYFUNCTION("""COMPUTED_VALUE"""),"Occidental Mindoro")</f>
        <v>Occidental Mindoro</v>
      </c>
      <c r="R849" s="2" t="str">
        <f>IFERROR(__xludf.DUMMYFUNCTION("""COMPUTED_VALUE"""),"4B")</f>
        <v>4B</v>
      </c>
      <c r="S849" s="2"/>
      <c r="T849" s="2"/>
    </row>
    <row r="850">
      <c r="A850" s="1">
        <f>IFERROR(__xludf.DUMMYFUNCTION("""COMPUTED_VALUE"""),848.0)</f>
        <v>848</v>
      </c>
      <c r="B850" s="2" t="str">
        <f>IFERROR(__xludf.DUMMYFUNCTION("""COMPUTED_VALUE"""),"Tamaraw Development Cooperative (TADECO)")</f>
        <v>Tamaraw Development Cooperative (TADECO)</v>
      </c>
      <c r="C850" s="2" t="str">
        <f>IFERROR(__xludf.DUMMYFUNCTION("""COMPUTED_VALUE"""),"La Curva, San Jose, OCCIDENTAL MINDORO")</f>
        <v>La Curva, San Jose, OCCIDENTAL MINDORO</v>
      </c>
      <c r="D850" s="2" t="str">
        <f>IFERROR(__xludf.DUMMYFUNCTION("""COMPUTED_VALUE"""),"Reynaldo Yalong")</f>
        <v>Reynaldo Yalong</v>
      </c>
      <c r="E850" s="2" t="str">
        <f>IFERROR(__xludf.DUMMYFUNCTION("""COMPUTED_VALUE"""),"0916 745 6894")</f>
        <v>0916 745 6894</v>
      </c>
      <c r="F850" s="2" t="str">
        <f>IFERROR(__xludf.DUMMYFUNCTION("""COMPUTED_VALUE"""),"RCEF 25-03-05")</f>
        <v>RCEF 25-03-05</v>
      </c>
      <c r="G850" s="2">
        <f>IFERROR(__xludf.DUMMYFUNCTION("""COMPUTED_VALUE"""),6.0)</f>
        <v>6</v>
      </c>
      <c r="H850" s="2" t="str">
        <f>IFERROR(__xludf.DUMMYFUNCTION("""COMPUTED_VALUE"""),"26849 &amp; 27802")</f>
        <v>26849 &amp; 27802</v>
      </c>
      <c r="I850" s="2" t="str">
        <f>IFERROR(__xludf.DUMMYFUNCTION("""COMPUTED_VALUE"""),"KMC5825 ALSFPV0161")</f>
        <v>KMC5825 ALSFPV0161</v>
      </c>
      <c r="J850" s="3" t="str">
        <f>IFERROR(__xludf.DUMMYFUNCTION("""COMPUTED_VALUE"""),"STS100094")</f>
        <v>STS100094</v>
      </c>
      <c r="K850" s="2" t="str">
        <f>IFERROR(__xludf.DUMMYFUNCTION("""COMPUTED_VALUE"""),"R-SERIES 318PH")</f>
        <v>R-SERIES 318PH</v>
      </c>
      <c r="L850" s="3" t="str">
        <f>IFERROR(__xludf.DUMMYFUNCTION("""COMPUTED_VALUE"""),"25080425")</f>
        <v>25080425</v>
      </c>
      <c r="M850" s="3" t="str">
        <f>IFERROR(__xludf.DUMMYFUNCTION("""COMPUTED_VALUE"""),"25080819")</f>
        <v>25080819</v>
      </c>
      <c r="N850" s="2"/>
      <c r="O850" s="2" t="str">
        <f>IFERROR(__xludf.DUMMYFUNCTION("""COMPUTED_VALUE"""),"La Curva")</f>
        <v>La Curva</v>
      </c>
      <c r="P850" s="2" t="str">
        <f>IFERROR(__xludf.DUMMYFUNCTION("""COMPUTED_VALUE"""),"San Jose")</f>
        <v>San Jose</v>
      </c>
      <c r="Q850" s="2" t="str">
        <f>IFERROR(__xludf.DUMMYFUNCTION("""COMPUTED_VALUE"""),"Occidental Mindoro")</f>
        <v>Occidental Mindoro</v>
      </c>
      <c r="R850" s="2" t="str">
        <f>IFERROR(__xludf.DUMMYFUNCTION("""COMPUTED_VALUE"""),"4B")</f>
        <v>4B</v>
      </c>
      <c r="S850" s="2"/>
      <c r="T850" s="2"/>
    </row>
    <row r="851">
      <c r="A851" s="1">
        <f>IFERROR(__xludf.DUMMYFUNCTION("""COMPUTED_VALUE"""),849.0)</f>
        <v>849</v>
      </c>
      <c r="B851" s="2" t="str">
        <f>IFERROR(__xludf.DUMMYFUNCTION("""COMPUTED_VALUE"""),"Watchers Multi-Purpose Cooperative")</f>
        <v>Watchers Multi-Purpose Cooperative</v>
      </c>
      <c r="C851" s="2" t="str">
        <f>IFERROR(__xludf.DUMMYFUNCTION("""COMPUTED_VALUE"""),"Labangan Poblacion, San Jose, OCCIDENTAL MINDORO")</f>
        <v>Labangan Poblacion, San Jose, OCCIDENTAL MINDORO</v>
      </c>
      <c r="D851" s="2" t="str">
        <f>IFERROR(__xludf.DUMMYFUNCTION("""COMPUTED_VALUE"""),"Herbert S. Cortez")</f>
        <v>Herbert S. Cortez</v>
      </c>
      <c r="E851" s="2" t="str">
        <f>IFERROR(__xludf.DUMMYFUNCTION("""COMPUTED_VALUE"""),"0948 657 7789")</f>
        <v>0948 657 7789</v>
      </c>
      <c r="F851" s="2" t="str">
        <f>IFERROR(__xludf.DUMMYFUNCTION("""COMPUTED_VALUE"""),"RCEF 25-03-05")</f>
        <v>RCEF 25-03-05</v>
      </c>
      <c r="G851" s="2">
        <f>IFERROR(__xludf.DUMMYFUNCTION("""COMPUTED_VALUE"""),6.0)</f>
        <v>6</v>
      </c>
      <c r="H851" s="2" t="str">
        <f>IFERROR(__xludf.DUMMYFUNCTION("""COMPUTED_VALUE"""),"26850 &amp; 27803")</f>
        <v>26850 &amp; 27803</v>
      </c>
      <c r="I851" s="2" t="str">
        <f>IFERROR(__xludf.DUMMYFUNCTION("""COMPUTED_VALUE"""),"KMC5825 AESFPV0292")</f>
        <v>KMC5825 AESFPV0292</v>
      </c>
      <c r="J851" s="3" t="str">
        <f>IFERROR(__xludf.DUMMYFUNCTION("""COMPUTED_VALUE"""),"STS100275")</f>
        <v>STS100275</v>
      </c>
      <c r="K851" s="2" t="str">
        <f>IFERROR(__xludf.DUMMYFUNCTION("""COMPUTED_VALUE"""),"WR-SERIES 120")</f>
        <v>WR-SERIES 120</v>
      </c>
      <c r="L851" s="3" t="str">
        <f>IFERROR(__xludf.DUMMYFUNCTION("""COMPUTED_VALUE"""),"25080431")</f>
        <v>25080431</v>
      </c>
      <c r="M851" s="3" t="str">
        <f>IFERROR(__xludf.DUMMYFUNCTION("""COMPUTED_VALUE"""),"25080877")</f>
        <v>25080877</v>
      </c>
      <c r="N851" s="2"/>
      <c r="O851" s="2" t="str">
        <f>IFERROR(__xludf.DUMMYFUNCTION("""COMPUTED_VALUE"""),"Labangan Poblacion")</f>
        <v>Labangan Poblacion</v>
      </c>
      <c r="P851" s="2" t="str">
        <f>IFERROR(__xludf.DUMMYFUNCTION("""COMPUTED_VALUE"""),"San Jose")</f>
        <v>San Jose</v>
      </c>
      <c r="Q851" s="2" t="str">
        <f>IFERROR(__xludf.DUMMYFUNCTION("""COMPUTED_VALUE"""),"Occidental Mindoro")</f>
        <v>Occidental Mindoro</v>
      </c>
      <c r="R851" s="2" t="str">
        <f>IFERROR(__xludf.DUMMYFUNCTION("""COMPUTED_VALUE"""),"4B")</f>
        <v>4B</v>
      </c>
      <c r="S851" s="2"/>
      <c r="T851" s="2"/>
    </row>
    <row r="852">
      <c r="A852" s="1">
        <f>IFERROR(__xludf.DUMMYFUNCTION("""COMPUTED_VALUE"""),850.0)</f>
        <v>850</v>
      </c>
      <c r="B852" s="2" t="str">
        <f>IFERROR(__xludf.DUMMYFUNCTION("""COMPUTED_VALUE"""),"Paunlarin ang Kabataan sa Pagsasaka Farmers Association")</f>
        <v>Paunlarin ang Kabataan sa Pagsasaka Farmers Association</v>
      </c>
      <c r="C852" s="2" t="str">
        <f>IFERROR(__xludf.DUMMYFUNCTION("""COMPUTED_VALUE"""),"Mulawin, Santa Cruz, OCCIDENTAL MINDORO")</f>
        <v>Mulawin, Santa Cruz, OCCIDENTAL MINDORO</v>
      </c>
      <c r="D852" s="2" t="str">
        <f>IFERROR(__xludf.DUMMYFUNCTION("""COMPUTED_VALUE"""),"Fernando Tuscano")</f>
        <v>Fernando Tuscano</v>
      </c>
      <c r="E852" s="2" t="str">
        <f>IFERROR(__xludf.DUMMYFUNCTION("""COMPUTED_VALUE"""),"0997 485 1055")</f>
        <v>0997 485 1055</v>
      </c>
      <c r="F852" s="2" t="str">
        <f>IFERROR(__xludf.DUMMYFUNCTION("""COMPUTED_VALUE"""),"RCEF 25-03-05")</f>
        <v>RCEF 25-03-05</v>
      </c>
      <c r="G852" s="2">
        <f>IFERROR(__xludf.DUMMYFUNCTION("""COMPUTED_VALUE"""),6.0)</f>
        <v>6</v>
      </c>
      <c r="H852" s="2" t="str">
        <f>IFERROR(__xludf.DUMMYFUNCTION("""COMPUTED_VALUE"""),"26851 &amp; 27804")</f>
        <v>26851 &amp; 27804</v>
      </c>
      <c r="I852" s="2" t="str">
        <f>IFERROR(__xludf.DUMMYFUNCTION("""COMPUTED_VALUE"""),"KMC5825 AESFPV0096")</f>
        <v>KMC5825 AESFPV0096</v>
      </c>
      <c r="J852" s="3" t="str">
        <f>IFERROR(__xludf.DUMMYFUNCTION("""COMPUTED_VALUE"""),"STS100124")</f>
        <v>STS100124</v>
      </c>
      <c r="K852" s="2" t="str">
        <f>IFERROR(__xludf.DUMMYFUNCTION("""COMPUTED_VALUE"""),"R-SERIES 129PH")</f>
        <v>R-SERIES 129PH</v>
      </c>
      <c r="L852" s="3" t="str">
        <f>IFERROR(__xludf.DUMMYFUNCTION("""COMPUTED_VALUE"""),"25080429")</f>
        <v>25080429</v>
      </c>
      <c r="M852" s="3" t="str">
        <f>IFERROR(__xludf.DUMMYFUNCTION("""COMPUTED_VALUE"""),"25080867")</f>
        <v>25080867</v>
      </c>
      <c r="N852" s="2"/>
      <c r="O852" s="2" t="str">
        <f>IFERROR(__xludf.DUMMYFUNCTION("""COMPUTED_VALUE"""),"Mulawin")</f>
        <v>Mulawin</v>
      </c>
      <c r="P852" s="2" t="str">
        <f>IFERROR(__xludf.DUMMYFUNCTION("""COMPUTED_VALUE"""),"Santa Cruz")</f>
        <v>Santa Cruz</v>
      </c>
      <c r="Q852" s="2" t="str">
        <f>IFERROR(__xludf.DUMMYFUNCTION("""COMPUTED_VALUE"""),"Occidental Mindoro")</f>
        <v>Occidental Mindoro</v>
      </c>
      <c r="R852" s="2" t="str">
        <f>IFERROR(__xludf.DUMMYFUNCTION("""COMPUTED_VALUE"""),"4B")</f>
        <v>4B</v>
      </c>
      <c r="S852" s="2"/>
      <c r="T852" s="2"/>
    </row>
    <row r="853">
      <c r="A853" s="1">
        <f>IFERROR(__xludf.DUMMYFUNCTION("""COMPUTED_VALUE"""),851.0)</f>
        <v>851</v>
      </c>
      <c r="B853" s="2" t="str">
        <f>IFERROR(__xludf.DUMMYFUNCTION("""COMPUTED_VALUE"""),"Samahan sa Ikauunlad ng Pagsasaka")</f>
        <v>Samahan sa Ikauunlad ng Pagsasaka</v>
      </c>
      <c r="C853" s="2" t="str">
        <f>IFERROR(__xludf.DUMMYFUNCTION("""COMPUTED_VALUE"""),"San Vicente, Santa Cruz, OCCIDENTAL MINDORO")</f>
        <v>San Vicente, Santa Cruz, OCCIDENTAL MINDORO</v>
      </c>
      <c r="D853" s="2" t="str">
        <f>IFERROR(__xludf.DUMMYFUNCTION("""COMPUTED_VALUE"""),"Fe A. Legaspi")</f>
        <v>Fe A. Legaspi</v>
      </c>
      <c r="E853" s="2" t="str">
        <f>IFERROR(__xludf.DUMMYFUNCTION("""COMPUTED_VALUE"""),"0919 991 5084")</f>
        <v>0919 991 5084</v>
      </c>
      <c r="F853" s="2" t="str">
        <f>IFERROR(__xludf.DUMMYFUNCTION("""COMPUTED_VALUE"""),"RCEF 25-03-05")</f>
        <v>RCEF 25-03-05</v>
      </c>
      <c r="G853" s="2">
        <f>IFERROR(__xludf.DUMMYFUNCTION("""COMPUTED_VALUE"""),6.0)</f>
        <v>6</v>
      </c>
      <c r="H853" s="2" t="str">
        <f>IFERROR(__xludf.DUMMYFUNCTION("""COMPUTED_VALUE"""),"26852 &amp; 27805")</f>
        <v>26852 &amp; 27805</v>
      </c>
      <c r="I853" s="2" t="str">
        <f>IFERROR(__xludf.DUMMYFUNCTION("""COMPUTED_VALUE"""),"KMC5825 AESFPV0308")</f>
        <v>KMC5825 AESFPV0308</v>
      </c>
      <c r="J853" s="3" t="str">
        <f>IFERROR(__xludf.DUMMYFUNCTION("""COMPUTED_VALUE"""),"STS100316")</f>
        <v>STS100316</v>
      </c>
      <c r="K853" s="2" t="str">
        <f>IFERROR(__xludf.DUMMYFUNCTION("""COMPUTED_VALUE"""),"WR-SERIES 111")</f>
        <v>WR-SERIES 111</v>
      </c>
      <c r="L853" s="3" t="str">
        <f>IFERROR(__xludf.DUMMYFUNCTION("""COMPUTED_VALUE"""),"25090585")</f>
        <v>25090585</v>
      </c>
      <c r="M853" s="3" t="str">
        <f>IFERROR(__xludf.DUMMYFUNCTION("""COMPUTED_VALUE"""),"25080821")</f>
        <v>25080821</v>
      </c>
      <c r="N853" s="2"/>
      <c r="O853" s="2" t="str">
        <f>IFERROR(__xludf.DUMMYFUNCTION("""COMPUTED_VALUE"""),"San Vicente")</f>
        <v>San Vicente</v>
      </c>
      <c r="P853" s="2" t="str">
        <f>IFERROR(__xludf.DUMMYFUNCTION("""COMPUTED_VALUE"""),"Santa Cruz")</f>
        <v>Santa Cruz</v>
      </c>
      <c r="Q853" s="2" t="str">
        <f>IFERROR(__xludf.DUMMYFUNCTION("""COMPUTED_VALUE"""),"Occidental Mindoro")</f>
        <v>Occidental Mindoro</v>
      </c>
      <c r="R853" s="2" t="str">
        <f>IFERROR(__xludf.DUMMYFUNCTION("""COMPUTED_VALUE"""),"4B")</f>
        <v>4B</v>
      </c>
      <c r="S853" s="2"/>
      <c r="T853" s="2"/>
    </row>
    <row r="854">
      <c r="A854" s="1">
        <f>IFERROR(__xludf.DUMMYFUNCTION("""COMPUTED_VALUE"""),852.0)</f>
        <v>852</v>
      </c>
      <c r="B854" s="2" t="str">
        <f>IFERROR(__xludf.DUMMYFUNCTION("""COMPUTED_VALUE"""),"Provincial Local Government Unit of Oriental Mindoro")</f>
        <v>Provincial Local Government Unit of Oriental Mindoro</v>
      </c>
      <c r="C854" s="2" t="str">
        <f>IFERROR(__xludf.DUMMYFUNCTION("""COMPUTED_VALUE"""),"Camilmil, Calapan City, ORIENTAL MINDORO")</f>
        <v>Camilmil, Calapan City, ORIENTAL MINDORO</v>
      </c>
      <c r="D854" s="2" t="str">
        <f>IFERROR(__xludf.DUMMYFUNCTION("""COMPUTED_VALUE"""),"Hon. Humerlito A. Dolor")</f>
        <v>Hon. Humerlito A. Dolor</v>
      </c>
      <c r="E854" s="2" t="str">
        <f>IFERROR(__xludf.DUMMYFUNCTION("""COMPUTED_VALUE"""),"0917 679 3714(PA) /  0948 680 4259")</f>
        <v>0917 679 3714(PA) /  0948 680 4259</v>
      </c>
      <c r="F854" s="2" t="str">
        <f>IFERROR(__xludf.DUMMYFUNCTION("""COMPUTED_VALUE"""),"RCEF 25-03-05")</f>
        <v>RCEF 25-03-05</v>
      </c>
      <c r="G854" s="2">
        <f>IFERROR(__xludf.DUMMYFUNCTION("""COMPUTED_VALUE"""),6.0)</f>
        <v>6</v>
      </c>
      <c r="H854" s="2" t="str">
        <f>IFERROR(__xludf.DUMMYFUNCTION("""COMPUTED_VALUE"""),"26853 &amp; 27806")</f>
        <v>26853 &amp; 27806</v>
      </c>
      <c r="I854" s="2" t="str">
        <f>IFERROR(__xludf.DUMMYFUNCTION("""COMPUTED_VALUE"""),"KMC5825 ALSFPV0001")</f>
        <v>KMC5825 ALSFPV0001</v>
      </c>
      <c r="J854" s="3" t="str">
        <f>IFERROR(__xludf.DUMMYFUNCTION("""COMPUTED_VALUE"""),"STS100017")</f>
        <v>STS100017</v>
      </c>
      <c r="K854" s="2" t="str">
        <f>IFERROR(__xludf.DUMMYFUNCTION("""COMPUTED_VALUE"""),"WR-SERIES 015")</f>
        <v>WR-SERIES 015</v>
      </c>
      <c r="L854" s="3" t="str">
        <f>IFERROR(__xludf.DUMMYFUNCTION("""COMPUTED_VALUE"""),"25080303")</f>
        <v>25080303</v>
      </c>
      <c r="M854" s="3" t="str">
        <f>IFERROR(__xludf.DUMMYFUNCTION("""COMPUTED_VALUE"""),"25080775")</f>
        <v>25080775</v>
      </c>
      <c r="N854" s="2"/>
      <c r="O854" s="2" t="str">
        <f>IFERROR(__xludf.DUMMYFUNCTION("""COMPUTED_VALUE"""),"Camilmil")</f>
        <v>Camilmil</v>
      </c>
      <c r="P854" s="2" t="str">
        <f>IFERROR(__xludf.DUMMYFUNCTION("""COMPUTED_VALUE"""),"Calapan City")</f>
        <v>Calapan City</v>
      </c>
      <c r="Q854" s="2" t="str">
        <f>IFERROR(__xludf.DUMMYFUNCTION("""COMPUTED_VALUE"""),"Oriental Mindoro")</f>
        <v>Oriental Mindoro</v>
      </c>
      <c r="R854" s="2" t="str">
        <f>IFERROR(__xludf.DUMMYFUNCTION("""COMPUTED_VALUE"""),"4B")</f>
        <v>4B</v>
      </c>
      <c r="S854" s="2"/>
      <c r="T854" s="2"/>
    </row>
    <row r="855">
      <c r="A855" s="1">
        <f>IFERROR(__xludf.DUMMYFUNCTION("""COMPUTED_VALUE"""),853.0)</f>
        <v>853</v>
      </c>
      <c r="B855" s="2" t="str">
        <f>IFERROR(__xludf.DUMMYFUNCTION("""COMPUTED_VALUE"""),"Provincial Local Government Unit of Oriental Mindoro")</f>
        <v>Provincial Local Government Unit of Oriental Mindoro</v>
      </c>
      <c r="C855" s="2" t="str">
        <f>IFERROR(__xludf.DUMMYFUNCTION("""COMPUTED_VALUE"""),"Camilmil, Calapan City, ORIENTAL MINDORO")</f>
        <v>Camilmil, Calapan City, ORIENTAL MINDORO</v>
      </c>
      <c r="D855" s="2" t="str">
        <f>IFERROR(__xludf.DUMMYFUNCTION("""COMPUTED_VALUE"""),"Hon. Humerlito A. Dolor")</f>
        <v>Hon. Humerlito A. Dolor</v>
      </c>
      <c r="E855" s="2" t="str">
        <f>IFERROR(__xludf.DUMMYFUNCTION("""COMPUTED_VALUE"""),"0917 679 3714(PA) /  0948 680 4259")</f>
        <v>0917 679 3714(PA) /  0948 680 4259</v>
      </c>
      <c r="F855" s="2" t="str">
        <f>IFERROR(__xludf.DUMMYFUNCTION("""COMPUTED_VALUE"""),"RCEF 25-03-05")</f>
        <v>RCEF 25-03-05</v>
      </c>
      <c r="G855" s="2">
        <f>IFERROR(__xludf.DUMMYFUNCTION("""COMPUTED_VALUE"""),6.0)</f>
        <v>6</v>
      </c>
      <c r="H855" s="2" t="str">
        <f>IFERROR(__xludf.DUMMYFUNCTION("""COMPUTED_VALUE"""),"26853 &amp; 27806")</f>
        <v>26853 &amp; 27806</v>
      </c>
      <c r="I855" s="2" t="str">
        <f>IFERROR(__xludf.DUMMYFUNCTION("""COMPUTED_VALUE"""),"KMC5825 ALSFPV0001")</f>
        <v>KMC5825 ALSFPV0001</v>
      </c>
      <c r="J855" s="3" t="str">
        <f>IFERROR(__xludf.DUMMYFUNCTION("""COMPUTED_VALUE"""),"STS100017")</f>
        <v>STS100017</v>
      </c>
      <c r="K855" s="2" t="str">
        <f>IFERROR(__xludf.DUMMYFUNCTION("""COMPUTED_VALUE"""),"WR-SERIES 015")</f>
        <v>WR-SERIES 015</v>
      </c>
      <c r="L855" s="3" t="str">
        <f>IFERROR(__xludf.DUMMYFUNCTION("""COMPUTED_VALUE"""),"25080303")</f>
        <v>25080303</v>
      </c>
      <c r="M855" s="3" t="str">
        <f>IFERROR(__xludf.DUMMYFUNCTION("""COMPUTED_VALUE"""),"25080775")</f>
        <v>25080775</v>
      </c>
      <c r="N855" s="2"/>
      <c r="O855" s="2" t="str">
        <f>IFERROR(__xludf.DUMMYFUNCTION("""COMPUTED_VALUE"""),"Camilmil")</f>
        <v>Camilmil</v>
      </c>
      <c r="P855" s="2" t="str">
        <f>IFERROR(__xludf.DUMMYFUNCTION("""COMPUTED_VALUE"""),"Calapan City")</f>
        <v>Calapan City</v>
      </c>
      <c r="Q855" s="2" t="str">
        <f>IFERROR(__xludf.DUMMYFUNCTION("""COMPUTED_VALUE"""),"Oriental Mindoro")</f>
        <v>Oriental Mindoro</v>
      </c>
      <c r="R855" s="2" t="str">
        <f>IFERROR(__xludf.DUMMYFUNCTION("""COMPUTED_VALUE"""),"4B")</f>
        <v>4B</v>
      </c>
      <c r="S855" s="2"/>
      <c r="T855" s="2"/>
    </row>
    <row r="856">
      <c r="A856" s="1">
        <f>IFERROR(__xludf.DUMMYFUNCTION("""COMPUTED_VALUE"""),854.0)</f>
        <v>854</v>
      </c>
      <c r="B856" s="2" t="str">
        <f>IFERROR(__xludf.DUMMYFUNCTION("""COMPUTED_VALUE"""),"Municipal Local Government Unit of San Teodoro")</f>
        <v>Municipal Local Government Unit of San Teodoro</v>
      </c>
      <c r="C856" s="2" t="str">
        <f>IFERROR(__xludf.DUMMYFUNCTION("""COMPUTED_VALUE"""),"Poblacion, San Teodoro, ORIENTAL MINDORO")</f>
        <v>Poblacion, San Teodoro, ORIENTAL MINDORO</v>
      </c>
      <c r="D856" s="2" t="str">
        <f>IFERROR(__xludf.DUMMYFUNCTION("""COMPUTED_VALUE"""),"Hon. Salvador R. Py")</f>
        <v>Hon. Salvador R. Py</v>
      </c>
      <c r="E856" s="2" t="str">
        <f>IFERROR(__xludf.DUMMYFUNCTION("""COMPUTED_VALUE"""),"0927 697 4479")</f>
        <v>0927 697 4479</v>
      </c>
      <c r="F856" s="2" t="str">
        <f>IFERROR(__xludf.DUMMYFUNCTION("""COMPUTED_VALUE"""),"RCEF 25-03-05")</f>
        <v>RCEF 25-03-05</v>
      </c>
      <c r="G856" s="2">
        <f>IFERROR(__xludf.DUMMYFUNCTION("""COMPUTED_VALUE"""),6.0)</f>
        <v>6</v>
      </c>
      <c r="H856" s="2" t="str">
        <f>IFERROR(__xludf.DUMMYFUNCTION("""COMPUTED_VALUE"""),"26855 &amp; 27808")</f>
        <v>26855 &amp; 27808</v>
      </c>
      <c r="I856" s="2" t="str">
        <f>IFERROR(__xludf.DUMMYFUNCTION("""COMPUTED_VALUE"""),"KMC5825 ACSFPV0009")</f>
        <v>KMC5825 ACSFPV0009</v>
      </c>
      <c r="J856" s="3" t="str">
        <f>IFERROR(__xludf.DUMMYFUNCTION("""COMPUTED_VALUE"""),"STS100025")</f>
        <v>STS100025</v>
      </c>
      <c r="K856" s="2" t="str">
        <f>IFERROR(__xludf.DUMMYFUNCTION("""COMPUTED_VALUE"""),"WR-SERIES 039")</f>
        <v>WR-SERIES 039</v>
      </c>
      <c r="L856" s="3" t="str">
        <f>IFERROR(__xludf.DUMMYFUNCTION("""COMPUTED_VALUE"""),"25070115")</f>
        <v>25070115</v>
      </c>
      <c r="M856" s="3" t="str">
        <f>IFERROR(__xludf.DUMMYFUNCTION("""COMPUTED_VALUE"""),"25080771")</f>
        <v>25080771</v>
      </c>
      <c r="N856" s="2"/>
      <c r="O856" s="2" t="str">
        <f>IFERROR(__xludf.DUMMYFUNCTION("""COMPUTED_VALUE"""),"Poblacion")</f>
        <v>Poblacion</v>
      </c>
      <c r="P856" s="2" t="str">
        <f>IFERROR(__xludf.DUMMYFUNCTION("""COMPUTED_VALUE"""),"San Teodoro")</f>
        <v>San Teodoro</v>
      </c>
      <c r="Q856" s="2" t="str">
        <f>IFERROR(__xludf.DUMMYFUNCTION("""COMPUTED_VALUE"""),"Oriental Mindoro")</f>
        <v>Oriental Mindoro</v>
      </c>
      <c r="R856" s="2" t="str">
        <f>IFERROR(__xludf.DUMMYFUNCTION("""COMPUTED_VALUE"""),"4B")</f>
        <v>4B</v>
      </c>
      <c r="S856" s="2"/>
      <c r="T856" s="2"/>
    </row>
    <row r="857">
      <c r="A857" s="1">
        <f>IFERROR(__xludf.DUMMYFUNCTION("""COMPUTED_VALUE"""),855.0)</f>
        <v>855</v>
      </c>
      <c r="B857" s="2" t="str">
        <f>IFERROR(__xludf.DUMMYFUNCTION("""COMPUTED_VALUE"""),"NEW LIFE LOWLAND FARMERS ASSOCIATION")</f>
        <v>NEW LIFE LOWLAND FARMERS ASSOCIATION</v>
      </c>
      <c r="C857" s="2" t="str">
        <f>IFERROR(__xludf.DUMMYFUNCTION("""COMPUTED_VALUE"""),"Bagong Buhay, Victoria, ORIENTAL MINDORO")</f>
        <v>Bagong Buhay, Victoria, ORIENTAL MINDORO</v>
      </c>
      <c r="D857" s="2" t="str">
        <f>IFERROR(__xludf.DUMMYFUNCTION("""COMPUTED_VALUE"""),"Loreto C. Pascual")</f>
        <v>Loreto C. Pascual</v>
      </c>
      <c r="E857" s="2" t="str">
        <f>IFERROR(__xludf.DUMMYFUNCTION("""COMPUTED_VALUE"""),"0945 528 6418/0949 311 9812")</f>
        <v>0945 528 6418/0949 311 9812</v>
      </c>
      <c r="F857" s="2" t="str">
        <f>IFERROR(__xludf.DUMMYFUNCTION("""COMPUTED_VALUE"""),"RCEF 25-03-05")</f>
        <v>RCEF 25-03-05</v>
      </c>
      <c r="G857" s="2">
        <f>IFERROR(__xludf.DUMMYFUNCTION("""COMPUTED_VALUE"""),6.0)</f>
        <v>6</v>
      </c>
      <c r="H857" s="2" t="str">
        <f>IFERROR(__xludf.DUMMYFUNCTION("""COMPUTED_VALUE"""),"26856 &amp; 27809")</f>
        <v>26856 &amp; 27809</v>
      </c>
      <c r="I857" s="2" t="str">
        <f>IFERROR(__xludf.DUMMYFUNCTION("""COMPUTED_VALUE"""),"KMC5825 APSFPV0006")</f>
        <v>KMC5825 APSFPV0006</v>
      </c>
      <c r="J857" s="3" t="str">
        <f>IFERROR(__xludf.DUMMYFUNCTION("""COMPUTED_VALUE"""),"STS100027")</f>
        <v>STS100027</v>
      </c>
      <c r="K857" s="2" t="str">
        <f>IFERROR(__xludf.DUMMYFUNCTION("""COMPUTED_VALUE"""),"WR-SERIES 082")</f>
        <v>WR-SERIES 082</v>
      </c>
      <c r="L857" s="3" t="str">
        <f>IFERROR(__xludf.DUMMYFUNCTION("""COMPUTED_VALUE"""),"25070116")</f>
        <v>25070116</v>
      </c>
      <c r="M857" s="3" t="str">
        <f>IFERROR(__xludf.DUMMYFUNCTION("""COMPUTED_VALUE"""),"25080766")</f>
        <v>25080766</v>
      </c>
      <c r="N857" s="2"/>
      <c r="O857" s="2" t="str">
        <f>IFERROR(__xludf.DUMMYFUNCTION("""COMPUTED_VALUE"""),"Bagong Buhay")</f>
        <v>Bagong Buhay</v>
      </c>
      <c r="P857" s="2" t="str">
        <f>IFERROR(__xludf.DUMMYFUNCTION("""COMPUTED_VALUE"""),"Victoria")</f>
        <v>Victoria</v>
      </c>
      <c r="Q857" s="2" t="str">
        <f>IFERROR(__xludf.DUMMYFUNCTION("""COMPUTED_VALUE"""),"Oriental Mindoro")</f>
        <v>Oriental Mindoro</v>
      </c>
      <c r="R857" s="2" t="str">
        <f>IFERROR(__xludf.DUMMYFUNCTION("""COMPUTED_VALUE"""),"4B")</f>
        <v>4B</v>
      </c>
      <c r="S857" s="2"/>
      <c r="T857" s="2"/>
    </row>
    <row r="858">
      <c r="A858" s="1">
        <f>IFERROR(__xludf.DUMMYFUNCTION("""COMPUTED_VALUE"""),856.0)</f>
        <v>856</v>
      </c>
      <c r="B858" s="2" t="str">
        <f>IFERROR(__xludf.DUMMYFUNCTION("""COMPUTED_VALUE"""),"BAGACAY FARMERS ANG LIVESTOCK RAISERS ASSOCIATION")</f>
        <v>BAGACAY FARMERS ANG LIVESTOCK RAISERS ASSOCIATION</v>
      </c>
      <c r="C858" s="2" t="str">
        <f>IFERROR(__xludf.DUMMYFUNCTION("""COMPUTED_VALUE"""),"Nasukob (Pob.), Bulalacao, ORIENTAL MINDORO")</f>
        <v>Nasukob (Pob.), Bulalacao, ORIENTAL MINDORO</v>
      </c>
      <c r="D858" s="2" t="str">
        <f>IFERROR(__xludf.DUMMYFUNCTION("""COMPUTED_VALUE"""),"Pepito M. Cantos")</f>
        <v>Pepito M. Cantos</v>
      </c>
      <c r="E858" s="2" t="str">
        <f>IFERROR(__xludf.DUMMYFUNCTION("""COMPUTED_VALUE"""),"0935 251 5123")</f>
        <v>0935 251 5123</v>
      </c>
      <c r="F858" s="2" t="str">
        <f>IFERROR(__xludf.DUMMYFUNCTION("""COMPUTED_VALUE"""),"RCEF 25-03-05")</f>
        <v>RCEF 25-03-05</v>
      </c>
      <c r="G858" s="2">
        <f>IFERROR(__xludf.DUMMYFUNCTION("""COMPUTED_VALUE"""),6.0)</f>
        <v>6</v>
      </c>
      <c r="H858" s="2" t="str">
        <f>IFERROR(__xludf.DUMMYFUNCTION("""COMPUTED_VALUE"""),"26857 &amp; 27810")</f>
        <v>26857 &amp; 27810</v>
      </c>
      <c r="I858" s="2" t="str">
        <f>IFERROR(__xludf.DUMMYFUNCTION("""COMPUTED_VALUE"""),"KMC5825 ACSFPV0018")</f>
        <v>KMC5825 ACSFPV0018</v>
      </c>
      <c r="J858" s="3" t="str">
        <f>IFERROR(__xludf.DUMMYFUNCTION("""COMPUTED_VALUE"""),"STS100008")</f>
        <v>STS100008</v>
      </c>
      <c r="K858" s="2" t="str">
        <f>IFERROR(__xludf.DUMMYFUNCTION("""COMPUTED_VALUE"""),"WR-SERIES 035")</f>
        <v>WR-SERIES 035</v>
      </c>
      <c r="L858" s="3" t="str">
        <f>IFERROR(__xludf.DUMMYFUNCTION("""COMPUTED_VALUE"""),"25070117")</f>
        <v>25070117</v>
      </c>
      <c r="M858" s="3" t="str">
        <f>IFERROR(__xludf.DUMMYFUNCTION("""COMPUTED_VALUE"""),"25080762")</f>
        <v>25080762</v>
      </c>
      <c r="N858" s="2"/>
      <c r="O858" s="2" t="str">
        <f>IFERROR(__xludf.DUMMYFUNCTION("""COMPUTED_VALUE"""),"Nasukob (Pob.)")</f>
        <v>Nasukob (Pob.)</v>
      </c>
      <c r="P858" s="2" t="str">
        <f>IFERROR(__xludf.DUMMYFUNCTION("""COMPUTED_VALUE"""),"Bulalacao")</f>
        <v>Bulalacao</v>
      </c>
      <c r="Q858" s="2" t="str">
        <f>IFERROR(__xludf.DUMMYFUNCTION("""COMPUTED_VALUE"""),"Oriental Mindoro")</f>
        <v>Oriental Mindoro</v>
      </c>
      <c r="R858" s="2" t="str">
        <f>IFERROR(__xludf.DUMMYFUNCTION("""COMPUTED_VALUE"""),"4B")</f>
        <v>4B</v>
      </c>
      <c r="S858" s="2"/>
      <c r="T858" s="2"/>
    </row>
    <row r="859">
      <c r="A859" s="1">
        <f>IFERROR(__xludf.DUMMYFUNCTION("""COMPUTED_VALUE"""),857.0)</f>
        <v>857</v>
      </c>
      <c r="B859" s="2" t="str">
        <f>IFERROR(__xludf.DUMMYFUNCTION("""COMPUTED_VALUE"""),"Bulalacao Development Cooperative")</f>
        <v>Bulalacao Development Cooperative</v>
      </c>
      <c r="C859" s="2" t="str">
        <f>IFERROR(__xludf.DUMMYFUNCTION("""COMPUTED_VALUE"""),"Poblacion, Bulalacao, ORIENTAL MINDORO")</f>
        <v>Poblacion, Bulalacao, ORIENTAL MINDORO</v>
      </c>
      <c r="D859" s="2" t="str">
        <f>IFERROR(__xludf.DUMMYFUNCTION("""COMPUTED_VALUE"""),"DANNY FESTIN")</f>
        <v>DANNY FESTIN</v>
      </c>
      <c r="E859" s="2" t="str">
        <f>IFERROR(__xludf.DUMMYFUNCTION("""COMPUTED_VALUE"""),"0917 856 0379")</f>
        <v>0917 856 0379</v>
      </c>
      <c r="F859" s="2" t="str">
        <f>IFERROR(__xludf.DUMMYFUNCTION("""COMPUTED_VALUE"""),"RCEF 25-03-05")</f>
        <v>RCEF 25-03-05</v>
      </c>
      <c r="G859" s="2">
        <f>IFERROR(__xludf.DUMMYFUNCTION("""COMPUTED_VALUE"""),6.0)</f>
        <v>6</v>
      </c>
      <c r="H859" s="2" t="str">
        <f>IFERROR(__xludf.DUMMYFUNCTION("""COMPUTED_VALUE"""),"26858 &amp; 27811")</f>
        <v>26858 &amp; 27811</v>
      </c>
      <c r="I859" s="2" t="str">
        <f>IFERROR(__xludf.DUMMYFUNCTION("""COMPUTED_VALUE"""),"KMC5825 ALSFPV0015")</f>
        <v>KMC5825 ALSFPV0015</v>
      </c>
      <c r="J859" s="3" t="str">
        <f>IFERROR(__xludf.DUMMYFUNCTION("""COMPUTED_VALUE"""),"STS100011")</f>
        <v>STS100011</v>
      </c>
      <c r="K859" s="2" t="str">
        <f>IFERROR(__xludf.DUMMYFUNCTION("""COMPUTED_VALUE"""),"WR-SERIES 038")</f>
        <v>WR-SERIES 038</v>
      </c>
      <c r="L859" s="3" t="str">
        <f>IFERROR(__xludf.DUMMYFUNCTION("""COMPUTED_VALUE"""),"25070123")</f>
        <v>25070123</v>
      </c>
      <c r="M859" s="3" t="str">
        <f>IFERROR(__xludf.DUMMYFUNCTION("""COMPUTED_VALUE"""),"25080760")</f>
        <v>25080760</v>
      </c>
      <c r="N859" s="2"/>
      <c r="O859" s="2" t="str">
        <f>IFERROR(__xludf.DUMMYFUNCTION("""COMPUTED_VALUE"""),"Poblacion")</f>
        <v>Poblacion</v>
      </c>
      <c r="P859" s="2" t="str">
        <f>IFERROR(__xludf.DUMMYFUNCTION("""COMPUTED_VALUE"""),"Bulalacao")</f>
        <v>Bulalacao</v>
      </c>
      <c r="Q859" s="2" t="str">
        <f>IFERROR(__xludf.DUMMYFUNCTION("""COMPUTED_VALUE"""),"Oriental Mindoro")</f>
        <v>Oriental Mindoro</v>
      </c>
      <c r="R859" s="2" t="str">
        <f>IFERROR(__xludf.DUMMYFUNCTION("""COMPUTED_VALUE"""),"4B")</f>
        <v>4B</v>
      </c>
      <c r="S859" s="2"/>
      <c r="T859" s="2"/>
    </row>
    <row r="860">
      <c r="A860" s="1">
        <f>IFERROR(__xludf.DUMMYFUNCTION("""COMPUTED_VALUE"""),858.0)</f>
        <v>858</v>
      </c>
      <c r="B860" s="2" t="str">
        <f>IFERROR(__xludf.DUMMYFUNCTION("""COMPUTED_VALUE"""),"IMBUYUNGAN GREENFIELDS LIVESTOCK RAISERS AND FARMERS ASSOCIATION")</f>
        <v>IMBUYUNGAN GREENFIELDS LIVESTOCK RAISERS AND FARMERS ASSOCIATION</v>
      </c>
      <c r="C860" s="2" t="str">
        <f>IFERROR(__xludf.DUMMYFUNCTION("""COMPUTED_VALUE"""),"Nasukob (Pob.), Bulalacao, ORIENTAL MINDORO")</f>
        <v>Nasukob (Pob.), Bulalacao, ORIENTAL MINDORO</v>
      </c>
      <c r="D860" s="2" t="str">
        <f>IFERROR(__xludf.DUMMYFUNCTION("""COMPUTED_VALUE"""),"Ronaldo O. Contreras")</f>
        <v>Ronaldo O. Contreras</v>
      </c>
      <c r="E860" s="2" t="str">
        <f>IFERROR(__xludf.DUMMYFUNCTION("""COMPUTED_VALUE"""),"0929230 2314")</f>
        <v>0929230 2314</v>
      </c>
      <c r="F860" s="2" t="str">
        <f>IFERROR(__xludf.DUMMYFUNCTION("""COMPUTED_VALUE"""),"RCEF 25-03-05")</f>
        <v>RCEF 25-03-05</v>
      </c>
      <c r="G860" s="2">
        <f>IFERROR(__xludf.DUMMYFUNCTION("""COMPUTED_VALUE"""),6.0)</f>
        <v>6</v>
      </c>
      <c r="H860" s="2" t="str">
        <f>IFERROR(__xludf.DUMMYFUNCTION("""COMPUTED_VALUE"""),"26859 &amp; 27812")</f>
        <v>26859 &amp; 27812</v>
      </c>
      <c r="I860" s="2" t="str">
        <f>IFERROR(__xludf.DUMMYFUNCTION("""COMPUTED_VALUE"""),"KMC5825 APSFPV0023")</f>
        <v>KMC5825 APSFPV0023</v>
      </c>
      <c r="J860" s="3" t="str">
        <f>IFERROR(__xludf.DUMMYFUNCTION("""COMPUTED_VALUE"""),"STS100018")</f>
        <v>STS100018</v>
      </c>
      <c r="K860" s="2" t="str">
        <f>IFERROR(__xludf.DUMMYFUNCTION("""COMPUTED_VALUE"""),"WR-SERIES 032")</f>
        <v>WR-SERIES 032</v>
      </c>
      <c r="L860" s="3" t="str">
        <f>IFERROR(__xludf.DUMMYFUNCTION("""COMPUTED_VALUE"""),"25070093")</f>
        <v>25070093</v>
      </c>
      <c r="M860" s="3" t="str">
        <f>IFERROR(__xludf.DUMMYFUNCTION("""COMPUTED_VALUE"""),"25080753")</f>
        <v>25080753</v>
      </c>
      <c r="N860" s="2"/>
      <c r="O860" s="2" t="str">
        <f>IFERROR(__xludf.DUMMYFUNCTION("""COMPUTED_VALUE"""),"Nasukob (Pob.)")</f>
        <v>Nasukob (Pob.)</v>
      </c>
      <c r="P860" s="2" t="str">
        <f>IFERROR(__xludf.DUMMYFUNCTION("""COMPUTED_VALUE"""),"Bulalacao")</f>
        <v>Bulalacao</v>
      </c>
      <c r="Q860" s="2" t="str">
        <f>IFERROR(__xludf.DUMMYFUNCTION("""COMPUTED_VALUE"""),"Oriental Mindoro")</f>
        <v>Oriental Mindoro</v>
      </c>
      <c r="R860" s="2" t="str">
        <f>IFERROR(__xludf.DUMMYFUNCTION("""COMPUTED_VALUE"""),"4B")</f>
        <v>4B</v>
      </c>
      <c r="S860" s="2"/>
      <c r="T860" s="2"/>
    </row>
    <row r="861">
      <c r="A861" s="1">
        <f>IFERROR(__xludf.DUMMYFUNCTION("""COMPUTED_VALUE"""),859.0)</f>
        <v>859</v>
      </c>
      <c r="B861" s="2" t="str">
        <f>IFERROR(__xludf.DUMMYFUNCTION("""COMPUTED_VALUE"""),"ARAMAYWAN FARMERS ASSOCIATION")</f>
        <v>ARAMAYWAN FARMERS ASSOCIATION</v>
      </c>
      <c r="C861" s="2" t="str">
        <f>IFERROR(__xludf.DUMMYFUNCTION("""COMPUTED_VALUE"""),"Aramaywan, Narra, PALAWAN")</f>
        <v>Aramaywan, Narra, PALAWAN</v>
      </c>
      <c r="D861" s="2" t="str">
        <f>IFERROR(__xludf.DUMMYFUNCTION("""COMPUTED_VALUE"""),"FREDDIE TAMBA")</f>
        <v>FREDDIE TAMBA</v>
      </c>
      <c r="E861" s="2">
        <f>IFERROR(__xludf.DUMMYFUNCTION("""COMPUTED_VALUE"""),9.754863416E9)</f>
        <v>9754863416</v>
      </c>
      <c r="F861" s="2" t="str">
        <f>IFERROR(__xludf.DUMMYFUNCTION("""COMPUTED_VALUE"""),"RCEF 25-03-05")</f>
        <v>RCEF 25-03-05</v>
      </c>
      <c r="G861" s="2">
        <f>IFERROR(__xludf.DUMMYFUNCTION("""COMPUTED_VALUE"""),6.0)</f>
        <v>6</v>
      </c>
      <c r="H861" s="2" t="str">
        <f>IFERROR(__xludf.DUMMYFUNCTION("""COMPUTED_VALUE"""),"26860 &amp; 27903")</f>
        <v>26860 &amp; 27903</v>
      </c>
      <c r="I861" s="2" t="str">
        <f>IFERROR(__xludf.DUMMYFUNCTION("""COMPUTED_VALUE"""),"KMC5825 AKS FPV0248")</f>
        <v>KMC5825 AKS FPV0248</v>
      </c>
      <c r="J861" s="3" t="str">
        <f>IFERROR(__xludf.DUMMYFUNCTION("""COMPUTED_VALUE"""),"STS 100244")</f>
        <v>STS 100244</v>
      </c>
      <c r="K861" s="2" t="str">
        <f>IFERROR(__xludf.DUMMYFUNCTION("""COMPUTED_VALUE"""),"WR-SERIES 1356PH")</f>
        <v>WR-SERIES 1356PH</v>
      </c>
      <c r="L861" s="3" t="str">
        <f>IFERROR(__xludf.DUMMYFUNCTION("""COMPUTED_VALUE"""),"25090483")</f>
        <v>25090483</v>
      </c>
      <c r="M861" s="3">
        <f>IFERROR(__xludf.DUMMYFUNCTION("""COMPUTED_VALUE"""),2.5121422E7)</f>
        <v>25121422</v>
      </c>
      <c r="N861" s="2"/>
      <c r="O861" s="2" t="str">
        <f>IFERROR(__xludf.DUMMYFUNCTION("""COMPUTED_VALUE"""),"Aramaywan")</f>
        <v>Aramaywan</v>
      </c>
      <c r="P861" s="2" t="str">
        <f>IFERROR(__xludf.DUMMYFUNCTION("""COMPUTED_VALUE"""),"Narra")</f>
        <v>Narra</v>
      </c>
      <c r="Q861" s="2" t="str">
        <f>IFERROR(__xludf.DUMMYFUNCTION("""COMPUTED_VALUE"""),"Palawan")</f>
        <v>Palawan</v>
      </c>
      <c r="R861" s="2" t="str">
        <f>IFERROR(__xludf.DUMMYFUNCTION("""COMPUTED_VALUE"""),"4B")</f>
        <v>4B</v>
      </c>
      <c r="S861" s="2"/>
      <c r="T861" s="2"/>
    </row>
    <row r="862">
      <c r="A862" s="1">
        <f>IFERROR(__xludf.DUMMYFUNCTION("""COMPUTED_VALUE"""),860.0)</f>
        <v>860</v>
      </c>
      <c r="B862" s="2" t="str">
        <f>IFERROR(__xludf.DUMMYFUNCTION("""COMPUTED_VALUE"""),"BARANGAY ANTIPULUAN FARMERS IRRIGATORS' ASSOCIATION, INC.")</f>
        <v>BARANGAY ANTIPULUAN FARMERS IRRIGATORS' ASSOCIATION, INC.</v>
      </c>
      <c r="C862" s="2" t="str">
        <f>IFERROR(__xludf.DUMMYFUNCTION("""COMPUTED_VALUE"""),"Antipuluan, Narra, PALAWAN")</f>
        <v>Antipuluan, Narra, PALAWAN</v>
      </c>
      <c r="D862" s="2" t="str">
        <f>IFERROR(__xludf.DUMMYFUNCTION("""COMPUTED_VALUE"""),"Danilo M. Roque")</f>
        <v>Danilo M. Roque</v>
      </c>
      <c r="E862" s="2">
        <f>IFERROR(__xludf.DUMMYFUNCTION("""COMPUTED_VALUE"""),9.103728115E9)</f>
        <v>9103728115</v>
      </c>
      <c r="F862" s="2" t="str">
        <f>IFERROR(__xludf.DUMMYFUNCTION("""COMPUTED_VALUE"""),"RCEF 25-03-05")</f>
        <v>RCEF 25-03-05</v>
      </c>
      <c r="G862" s="2">
        <f>IFERROR(__xludf.DUMMYFUNCTION("""COMPUTED_VALUE"""),6.0)</f>
        <v>6</v>
      </c>
      <c r="H862" s="2" t="str">
        <f>IFERROR(__xludf.DUMMYFUNCTION("""COMPUTED_VALUE"""),"26861 &amp; 27904")</f>
        <v>26861 &amp; 27904</v>
      </c>
      <c r="I862" s="2" t="str">
        <f>IFERROR(__xludf.DUMMYFUNCTION("""COMPUTED_VALUE"""),"KMC5825 AJS FPV0235")</f>
        <v>KMC5825 AJS FPV0235</v>
      </c>
      <c r="J862" s="3" t="str">
        <f>IFERROR(__xludf.DUMMYFUNCTION("""COMPUTED_VALUE"""),"STS 100246")</f>
        <v>STS 100246</v>
      </c>
      <c r="K862" s="2" t="str">
        <f>IFERROR(__xludf.DUMMYFUNCTION("""COMPUTED_VALUE"""),"WR-SERIES 137PH")</f>
        <v>WR-SERIES 137PH</v>
      </c>
      <c r="L862" s="3" t="str">
        <f>IFERROR(__xludf.DUMMYFUNCTION("""COMPUTED_VALUE"""),"2509474")</f>
        <v>2509474</v>
      </c>
      <c r="M862" s="3">
        <f>IFERROR(__xludf.DUMMYFUNCTION("""COMPUTED_VALUE"""),2.5121423E7)</f>
        <v>25121423</v>
      </c>
      <c r="N862" s="2"/>
      <c r="O862" s="2" t="str">
        <f>IFERROR(__xludf.DUMMYFUNCTION("""COMPUTED_VALUE"""),"Antipuluan")</f>
        <v>Antipuluan</v>
      </c>
      <c r="P862" s="2" t="str">
        <f>IFERROR(__xludf.DUMMYFUNCTION("""COMPUTED_VALUE"""),"Narra")</f>
        <v>Narra</v>
      </c>
      <c r="Q862" s="2" t="str">
        <f>IFERROR(__xludf.DUMMYFUNCTION("""COMPUTED_VALUE"""),"Palawan")</f>
        <v>Palawan</v>
      </c>
      <c r="R862" s="2" t="str">
        <f>IFERROR(__xludf.DUMMYFUNCTION("""COMPUTED_VALUE"""),"4B")</f>
        <v>4B</v>
      </c>
      <c r="S862" s="2"/>
      <c r="T862" s="2"/>
    </row>
    <row r="863">
      <c r="A863" s="1">
        <f>IFERROR(__xludf.DUMMYFUNCTION("""COMPUTED_VALUE"""),861.0)</f>
        <v>861</v>
      </c>
      <c r="B863" s="2" t="str">
        <f>IFERROR(__xludf.DUMMYFUNCTION("""COMPUTED_VALUE"""),"BARANGAY TERESA RICE FARMERS ASSOCIATION")</f>
        <v>BARANGAY TERESA RICE FARMERS ASSOCIATION</v>
      </c>
      <c r="C863" s="2" t="str">
        <f>IFERROR(__xludf.DUMMYFUNCTION("""COMPUTED_VALUE"""),"Teresa, Narra, PALAWAN")</f>
        <v>Teresa, Narra, PALAWAN</v>
      </c>
      <c r="D863" s="2" t="str">
        <f>IFERROR(__xludf.DUMMYFUNCTION("""COMPUTED_VALUE"""),"Teddy N. Estrada")</f>
        <v>Teddy N. Estrada</v>
      </c>
      <c r="E863" s="2">
        <f>IFERROR(__xludf.DUMMYFUNCTION("""COMPUTED_VALUE"""),9.178258522E9)</f>
        <v>9178258522</v>
      </c>
      <c r="F863" s="2" t="str">
        <f>IFERROR(__xludf.DUMMYFUNCTION("""COMPUTED_VALUE"""),"RCEF 25-03-05")</f>
        <v>RCEF 25-03-05</v>
      </c>
      <c r="G863" s="2">
        <f>IFERROR(__xludf.DUMMYFUNCTION("""COMPUTED_VALUE"""),6.0)</f>
        <v>6</v>
      </c>
      <c r="H863" s="2" t="str">
        <f>IFERROR(__xludf.DUMMYFUNCTION("""COMPUTED_VALUE"""),"26862 &amp; 27905")</f>
        <v>26862 &amp; 27905</v>
      </c>
      <c r="I863" s="2" t="str">
        <f>IFERROR(__xludf.DUMMYFUNCTION("""COMPUTED_VALUE"""),"KMC5825 ACS FPV0245")</f>
        <v>KMC5825 ACS FPV0245</v>
      </c>
      <c r="J863" s="3" t="str">
        <f>IFERROR(__xludf.DUMMYFUNCTION("""COMPUTED_VALUE"""),"STS 100262")</f>
        <v>STS 100262</v>
      </c>
      <c r="K863" s="2" t="str">
        <f>IFERROR(__xludf.DUMMYFUNCTION("""COMPUTED_VALUE"""),"WR-SERIES 219PH")</f>
        <v>WR-SERIES 219PH</v>
      </c>
      <c r="L863" s="3" t="str">
        <f>IFERROR(__xludf.DUMMYFUNCTION("""COMPUTED_VALUE"""),"2509473")</f>
        <v>2509473</v>
      </c>
      <c r="M863" s="3">
        <f>IFERROR(__xludf.DUMMYFUNCTION("""COMPUTED_VALUE"""),2.5121424E7)</f>
        <v>25121424</v>
      </c>
      <c r="N863" s="2"/>
      <c r="O863" s="2" t="str">
        <f>IFERROR(__xludf.DUMMYFUNCTION("""COMPUTED_VALUE"""),"Teresa")</f>
        <v>Teresa</v>
      </c>
      <c r="P863" s="2" t="str">
        <f>IFERROR(__xludf.DUMMYFUNCTION("""COMPUTED_VALUE"""),"Narra")</f>
        <v>Narra</v>
      </c>
      <c r="Q863" s="2" t="str">
        <f>IFERROR(__xludf.DUMMYFUNCTION("""COMPUTED_VALUE"""),"Palawan")</f>
        <v>Palawan</v>
      </c>
      <c r="R863" s="2" t="str">
        <f>IFERROR(__xludf.DUMMYFUNCTION("""COMPUTED_VALUE"""),"4B")</f>
        <v>4B</v>
      </c>
      <c r="S863" s="2"/>
      <c r="T863" s="2"/>
    </row>
    <row r="864">
      <c r="A864" s="1">
        <f>IFERROR(__xludf.DUMMYFUNCTION("""COMPUTED_VALUE"""),862.0)</f>
        <v>862</v>
      </c>
      <c r="B864" s="2" t="str">
        <f>IFERROR(__xludf.DUMMYFUNCTION("""COMPUTED_VALUE"""),"DELTA FALLS UPPER LAPU-LAPU IRRIGATORS ASSOCIATION,INC.")</f>
        <v>DELTA FALLS UPPER LAPU-LAPU IRRIGATORS ASSOCIATION,INC.</v>
      </c>
      <c r="C864" s="2" t="str">
        <f>IFERROR(__xludf.DUMMYFUNCTION("""COMPUTED_VALUE"""),"Narra (Pob.), Narra, PALAWAN")</f>
        <v>Narra (Pob.), Narra, PALAWAN</v>
      </c>
      <c r="D864" s="2" t="str">
        <f>IFERROR(__xludf.DUMMYFUNCTION("""COMPUTED_VALUE"""),"Loreto Briones Jr")</f>
        <v>Loreto Briones Jr</v>
      </c>
      <c r="E864" s="2" t="str">
        <f>IFERROR(__xludf.DUMMYFUNCTION("""COMPUTED_VALUE"""),"0916 573 7242")</f>
        <v>0916 573 7242</v>
      </c>
      <c r="F864" s="2" t="str">
        <f>IFERROR(__xludf.DUMMYFUNCTION("""COMPUTED_VALUE"""),"RCEF 25-03-05")</f>
        <v>RCEF 25-03-05</v>
      </c>
      <c r="G864" s="2">
        <f>IFERROR(__xludf.DUMMYFUNCTION("""COMPUTED_VALUE"""),6.0)</f>
        <v>6</v>
      </c>
      <c r="H864" s="2" t="str">
        <f>IFERROR(__xludf.DUMMYFUNCTION("""COMPUTED_VALUE"""),"26863 &amp; 27906")</f>
        <v>26863 &amp; 27906</v>
      </c>
      <c r="I864" s="2" t="str">
        <f>IFERROR(__xludf.DUMMYFUNCTION("""COMPUTED_VALUE"""),"KMC5825 AES FPV0213")</f>
        <v>KMC5825 AES FPV0213</v>
      </c>
      <c r="J864" s="3" t="str">
        <f>IFERROR(__xludf.DUMMYFUNCTION("""COMPUTED_VALUE"""),"STS 100238")</f>
        <v>STS 100238</v>
      </c>
      <c r="K864" s="2" t="str">
        <f>IFERROR(__xludf.DUMMYFUNCTION("""COMPUTED_VALUE"""),"WR-SERIES 068PH")</f>
        <v>WR-SERIES 068PH</v>
      </c>
      <c r="L864" s="3" t="str">
        <f>IFERROR(__xludf.DUMMYFUNCTION("""COMPUTED_VALUE"""),"25090451")</f>
        <v>25090451</v>
      </c>
      <c r="M864" s="3">
        <f>IFERROR(__xludf.DUMMYFUNCTION("""COMPUTED_VALUE"""),2.5121425E7)</f>
        <v>25121425</v>
      </c>
      <c r="N864" s="2"/>
      <c r="O864" s="2" t="str">
        <f>IFERROR(__xludf.DUMMYFUNCTION("""COMPUTED_VALUE"""),"Narra (Pob.)")</f>
        <v>Narra (Pob.)</v>
      </c>
      <c r="P864" s="2" t="str">
        <f>IFERROR(__xludf.DUMMYFUNCTION("""COMPUTED_VALUE"""),"Narra")</f>
        <v>Narra</v>
      </c>
      <c r="Q864" s="2" t="str">
        <f>IFERROR(__xludf.DUMMYFUNCTION("""COMPUTED_VALUE"""),"Palawan")</f>
        <v>Palawan</v>
      </c>
      <c r="R864" s="2" t="str">
        <f>IFERROR(__xludf.DUMMYFUNCTION("""COMPUTED_VALUE"""),"4B")</f>
        <v>4B</v>
      </c>
      <c r="S864" s="2"/>
      <c r="T864" s="2"/>
    </row>
    <row r="865">
      <c r="A865" s="1">
        <f>IFERROR(__xludf.DUMMYFUNCTION("""COMPUTED_VALUE"""),863.0)</f>
        <v>863</v>
      </c>
      <c r="B865" s="2" t="str">
        <f>IFERROR(__xludf.DUMMYFUNCTION("""COMPUTED_VALUE"""),"KABSAT TI PAGTATALON IRRIGATORS ASSOCIATION INC.")</f>
        <v>KABSAT TI PAGTATALON IRRIGATORS ASSOCIATION INC.</v>
      </c>
      <c r="C865" s="2" t="str">
        <f>IFERROR(__xludf.DUMMYFUNCTION("""COMPUTED_VALUE"""),"Bagong Sikat, Narra, PALAWAN")</f>
        <v>Bagong Sikat, Narra, PALAWAN</v>
      </c>
      <c r="D865" s="2" t="str">
        <f>IFERROR(__xludf.DUMMYFUNCTION("""COMPUTED_VALUE"""),"JOHN OPENA")</f>
        <v>JOHN OPENA</v>
      </c>
      <c r="E865" s="2"/>
      <c r="F865" s="2" t="str">
        <f>IFERROR(__xludf.DUMMYFUNCTION("""COMPUTED_VALUE"""),"RCEF 25-03-05")</f>
        <v>RCEF 25-03-05</v>
      </c>
      <c r="G865" s="2">
        <f>IFERROR(__xludf.DUMMYFUNCTION("""COMPUTED_VALUE"""),6.0)</f>
        <v>6</v>
      </c>
      <c r="H865" s="2" t="str">
        <f>IFERROR(__xludf.DUMMYFUNCTION("""COMPUTED_VALUE"""),"26864 &amp; 27907")</f>
        <v>26864 &amp; 27907</v>
      </c>
      <c r="I865" s="2" t="str">
        <f>IFERROR(__xludf.DUMMYFUNCTION("""COMPUTED_VALUE"""),"KMC5825 AHS FPV0212")</f>
        <v>KMC5825 AHS FPV0212</v>
      </c>
      <c r="J865" s="3" t="str">
        <f>IFERROR(__xludf.DUMMYFUNCTION("""COMPUTED_VALUE"""),"STS 100236")</f>
        <v>STS 100236</v>
      </c>
      <c r="K865" s="2" t="str">
        <f>IFERROR(__xludf.DUMMYFUNCTION("""COMPUTED_VALUE"""),"WR-SERIES 069PH")</f>
        <v>WR-SERIES 069PH</v>
      </c>
      <c r="L865" s="3" t="str">
        <f>IFERROR(__xludf.DUMMYFUNCTION("""COMPUTED_VALUE"""),"25090447")</f>
        <v>25090447</v>
      </c>
      <c r="M865" s="3">
        <f>IFERROR(__xludf.DUMMYFUNCTION("""COMPUTED_VALUE"""),2.5121426E7)</f>
        <v>25121426</v>
      </c>
      <c r="N865" s="2"/>
      <c r="O865" s="2" t="str">
        <f>IFERROR(__xludf.DUMMYFUNCTION("""COMPUTED_VALUE"""),"Bagong Sikat")</f>
        <v>Bagong Sikat</v>
      </c>
      <c r="P865" s="2" t="str">
        <f>IFERROR(__xludf.DUMMYFUNCTION("""COMPUTED_VALUE"""),"Narra")</f>
        <v>Narra</v>
      </c>
      <c r="Q865" s="2" t="str">
        <f>IFERROR(__xludf.DUMMYFUNCTION("""COMPUTED_VALUE"""),"Palawan")</f>
        <v>Palawan</v>
      </c>
      <c r="R865" s="2" t="str">
        <f>IFERROR(__xludf.DUMMYFUNCTION("""COMPUTED_VALUE"""),"4B")</f>
        <v>4B</v>
      </c>
      <c r="S865" s="2"/>
      <c r="T865" s="2"/>
    </row>
    <row r="866">
      <c r="A866" s="1">
        <f>IFERROR(__xludf.DUMMYFUNCTION("""COMPUTED_VALUE"""),864.0)</f>
        <v>864</v>
      </c>
      <c r="B866" s="2" t="str">
        <f>IFERROR(__xludf.DUMMYFUNCTION("""COMPUTED_VALUE"""),"KAGANDAHAN IRRIGATORS ASSOCIATION INC.")</f>
        <v>KAGANDAHAN IRRIGATORS ASSOCIATION INC.</v>
      </c>
      <c r="C866" s="2" t="str">
        <f>IFERROR(__xludf.DUMMYFUNCTION("""COMPUTED_VALUE"""),"Taritien, Narra, PALAWAN")</f>
        <v>Taritien, Narra, PALAWAN</v>
      </c>
      <c r="D866" s="2" t="str">
        <f>IFERROR(__xludf.DUMMYFUNCTION("""COMPUTED_VALUE"""),"MARCELINO A. YAMBAO")</f>
        <v>MARCELINO A. YAMBAO</v>
      </c>
      <c r="E866" s="2">
        <f>IFERROR(__xludf.DUMMYFUNCTION("""COMPUTED_VALUE"""),9.359132918E9)</f>
        <v>9359132918</v>
      </c>
      <c r="F866" s="2" t="str">
        <f>IFERROR(__xludf.DUMMYFUNCTION("""COMPUTED_VALUE"""),"RCEF 25-03-05")</f>
        <v>RCEF 25-03-05</v>
      </c>
      <c r="G866" s="2">
        <f>IFERROR(__xludf.DUMMYFUNCTION("""COMPUTED_VALUE"""),6.0)</f>
        <v>6</v>
      </c>
      <c r="H866" s="2" t="str">
        <f>IFERROR(__xludf.DUMMYFUNCTION("""COMPUTED_VALUE"""),"26865 &amp; 27908")</f>
        <v>26865 &amp; 27908</v>
      </c>
      <c r="I866" s="2" t="str">
        <f>IFERROR(__xludf.DUMMYFUNCTION("""COMPUTED_VALUE"""),"KMC5825 AAS FPV0241")</f>
        <v>KMC5825 AAS FPV0241</v>
      </c>
      <c r="J866" s="3" t="str">
        <f>IFERROR(__xludf.DUMMYFUNCTION("""COMPUTED_VALUE"""),"STS 100257")</f>
        <v>STS 100257</v>
      </c>
      <c r="K866" s="2" t="str">
        <f>IFERROR(__xludf.DUMMYFUNCTION("""COMPUTED_VALUE"""),"WR-SERIES 220PH")</f>
        <v>WR-SERIES 220PH</v>
      </c>
      <c r="L866" s="3" t="str">
        <f>IFERROR(__xludf.DUMMYFUNCTION("""COMPUTED_VALUE"""),"25090450")</f>
        <v>25090450</v>
      </c>
      <c r="M866" s="3">
        <f>IFERROR(__xludf.DUMMYFUNCTION("""COMPUTED_VALUE"""),2.5121427E7)</f>
        <v>25121427</v>
      </c>
      <c r="N866" s="2"/>
      <c r="O866" s="2" t="str">
        <f>IFERROR(__xludf.DUMMYFUNCTION("""COMPUTED_VALUE"""),"Taritien")</f>
        <v>Taritien</v>
      </c>
      <c r="P866" s="2" t="str">
        <f>IFERROR(__xludf.DUMMYFUNCTION("""COMPUTED_VALUE"""),"Narra")</f>
        <v>Narra</v>
      </c>
      <c r="Q866" s="2" t="str">
        <f>IFERROR(__xludf.DUMMYFUNCTION("""COMPUTED_VALUE"""),"Palawan")</f>
        <v>Palawan</v>
      </c>
      <c r="R866" s="2" t="str">
        <f>IFERROR(__xludf.DUMMYFUNCTION("""COMPUTED_VALUE"""),"4B")</f>
        <v>4B</v>
      </c>
      <c r="S866" s="2"/>
      <c r="T866" s="2"/>
    </row>
    <row r="867">
      <c r="A867" s="1">
        <f>IFERROR(__xludf.DUMMYFUNCTION("""COMPUTED_VALUE"""),865.0)</f>
        <v>865</v>
      </c>
      <c r="B867" s="2" t="str">
        <f>IFERROR(__xludf.DUMMYFUNCTION("""COMPUTED_VALUE"""),"MALATGAO FARMERS ASSOCIATION")</f>
        <v>MALATGAO FARMERS ASSOCIATION</v>
      </c>
      <c r="C867" s="2" t="str">
        <f>IFERROR(__xludf.DUMMYFUNCTION("""COMPUTED_VALUE"""),"Malatgao, Narra, PALAWAN")</f>
        <v>Malatgao, Narra, PALAWAN</v>
      </c>
      <c r="D867" s="2" t="str">
        <f>IFERROR(__xludf.DUMMYFUNCTION("""COMPUTED_VALUE"""),"ARNOLD CANTAGO")</f>
        <v>ARNOLD CANTAGO</v>
      </c>
      <c r="E867" s="2">
        <f>IFERROR(__xludf.DUMMYFUNCTION("""COMPUTED_VALUE"""),9.123442008E9)</f>
        <v>9123442008</v>
      </c>
      <c r="F867" s="2" t="str">
        <f>IFERROR(__xludf.DUMMYFUNCTION("""COMPUTED_VALUE"""),"RCEF 25-03-05")</f>
        <v>RCEF 25-03-05</v>
      </c>
      <c r="G867" s="2">
        <f>IFERROR(__xludf.DUMMYFUNCTION("""COMPUTED_VALUE"""),6.0)</f>
        <v>6</v>
      </c>
      <c r="H867" s="2" t="str">
        <f>IFERROR(__xludf.DUMMYFUNCTION("""COMPUTED_VALUE"""),"26866 &amp; 27909")</f>
        <v>26866 &amp; 27909</v>
      </c>
      <c r="I867" s="2" t="str">
        <f>IFERROR(__xludf.DUMMYFUNCTION("""COMPUTED_VALUE"""),"KMC5825 AAS FPV0188")</f>
        <v>KMC5825 AAS FPV0188</v>
      </c>
      <c r="J867" s="3" t="str">
        <f>IFERROR(__xludf.DUMMYFUNCTION("""COMPUTED_VALUE"""),"STS 100224")</f>
        <v>STS 100224</v>
      </c>
      <c r="K867" s="2" t="str">
        <f>IFERROR(__xludf.DUMMYFUNCTION("""COMPUTED_VALUE"""),"WR-SERIES 153PH")</f>
        <v>WR-SERIES 153PH</v>
      </c>
      <c r="L867" s="3" t="str">
        <f>IFERROR(__xludf.DUMMYFUNCTION("""COMPUTED_VALUE"""),"25090464")</f>
        <v>25090464</v>
      </c>
      <c r="M867" s="3">
        <f>IFERROR(__xludf.DUMMYFUNCTION("""COMPUTED_VALUE"""),2.5121428E7)</f>
        <v>25121428</v>
      </c>
      <c r="N867" s="2"/>
      <c r="O867" s="2" t="str">
        <f>IFERROR(__xludf.DUMMYFUNCTION("""COMPUTED_VALUE"""),"Malatgao")</f>
        <v>Malatgao</v>
      </c>
      <c r="P867" s="2" t="str">
        <f>IFERROR(__xludf.DUMMYFUNCTION("""COMPUTED_VALUE"""),"Narra")</f>
        <v>Narra</v>
      </c>
      <c r="Q867" s="2" t="str">
        <f>IFERROR(__xludf.DUMMYFUNCTION("""COMPUTED_VALUE"""),"Palawan")</f>
        <v>Palawan</v>
      </c>
      <c r="R867" s="2" t="str">
        <f>IFERROR(__xludf.DUMMYFUNCTION("""COMPUTED_VALUE"""),"4B")</f>
        <v>4B</v>
      </c>
      <c r="S867" s="2"/>
      <c r="T867" s="2"/>
    </row>
    <row r="868">
      <c r="A868" s="1">
        <f>IFERROR(__xludf.DUMMYFUNCTION("""COMPUTED_VALUE"""),866.0)</f>
        <v>866</v>
      </c>
      <c r="B868" s="2" t="str">
        <f>IFERROR(__xludf.DUMMYFUNCTION("""COMPUTED_VALUE"""),"NAGKAKAISANG LAHI IRRIGATORS ASSOCIATION INC.")</f>
        <v>NAGKAKAISANG LAHI IRRIGATORS ASSOCIATION INC.</v>
      </c>
      <c r="C868" s="2" t="str">
        <f>IFERROR(__xludf.DUMMYFUNCTION("""COMPUTED_VALUE"""),"Malinao, Narra, PALAWAN")</f>
        <v>Malinao, Narra, PALAWAN</v>
      </c>
      <c r="D868" s="2" t="str">
        <f>IFERROR(__xludf.DUMMYFUNCTION("""COMPUTED_VALUE"""),"Jesus D. Del Rosario")</f>
        <v>Jesus D. Del Rosario</v>
      </c>
      <c r="E868" s="2">
        <f>IFERROR(__xludf.DUMMYFUNCTION("""COMPUTED_VALUE"""),9.304356625E9)</f>
        <v>9304356625</v>
      </c>
      <c r="F868" s="2" t="str">
        <f>IFERROR(__xludf.DUMMYFUNCTION("""COMPUTED_VALUE"""),"RCEF 25-03-05")</f>
        <v>RCEF 25-03-05</v>
      </c>
      <c r="G868" s="2">
        <f>IFERROR(__xludf.DUMMYFUNCTION("""COMPUTED_VALUE"""),6.0)</f>
        <v>6</v>
      </c>
      <c r="H868" s="2" t="str">
        <f>IFERROR(__xludf.DUMMYFUNCTION("""COMPUTED_VALUE"""),"26867 &amp; 27910")</f>
        <v>26867 &amp; 27910</v>
      </c>
      <c r="I868" s="2" t="str">
        <f>IFERROR(__xludf.DUMMYFUNCTION("""COMPUTED_VALUE"""),"KMC5825 AVS FPV0187")</f>
        <v>KMC5825 AVS FPV0187</v>
      </c>
      <c r="J868" s="3" t="str">
        <f>IFERROR(__xludf.DUMMYFUNCTION("""COMPUTED_VALUE"""),"STS 100225")</f>
        <v>STS 100225</v>
      </c>
      <c r="K868" s="2" t="str">
        <f>IFERROR(__xludf.DUMMYFUNCTION("""COMPUTED_VALUE"""),"WR-SERIES 152PH")</f>
        <v>WR-SERIES 152PH</v>
      </c>
      <c r="L868" s="3" t="str">
        <f>IFERROR(__xludf.DUMMYFUNCTION("""COMPUTED_VALUE"""),"25090449")</f>
        <v>25090449</v>
      </c>
      <c r="M868" s="3">
        <f>IFERROR(__xludf.DUMMYFUNCTION("""COMPUTED_VALUE"""),2.5121429E7)</f>
        <v>25121429</v>
      </c>
      <c r="N868" s="2"/>
      <c r="O868" s="2" t="str">
        <f>IFERROR(__xludf.DUMMYFUNCTION("""COMPUTED_VALUE"""),"Malinao")</f>
        <v>Malinao</v>
      </c>
      <c r="P868" s="2" t="str">
        <f>IFERROR(__xludf.DUMMYFUNCTION("""COMPUTED_VALUE"""),"Narra")</f>
        <v>Narra</v>
      </c>
      <c r="Q868" s="2" t="str">
        <f>IFERROR(__xludf.DUMMYFUNCTION("""COMPUTED_VALUE"""),"Palawan")</f>
        <v>Palawan</v>
      </c>
      <c r="R868" s="2" t="str">
        <f>IFERROR(__xludf.DUMMYFUNCTION("""COMPUTED_VALUE"""),"4B")</f>
        <v>4B</v>
      </c>
      <c r="S868" s="2"/>
      <c r="T868" s="2"/>
    </row>
    <row r="869">
      <c r="A869" s="1">
        <f>IFERROR(__xludf.DUMMYFUNCTION("""COMPUTED_VALUE"""),867.0)</f>
        <v>867</v>
      </c>
      <c r="B869" s="2" t="str">
        <f>IFERROR(__xludf.DUMMYFUNCTION("""COMPUTED_VALUE"""),"Palawan ARC Cooperative Federation (PARCOFED)")</f>
        <v>Palawan ARC Cooperative Federation (PARCOFED)</v>
      </c>
      <c r="C869" s="2" t="str">
        <f>IFERROR(__xludf.DUMMYFUNCTION("""COMPUTED_VALUE"""),"Narra (Pob.), Narra, PALAWAN")</f>
        <v>Narra (Pob.), Narra, PALAWAN</v>
      </c>
      <c r="D869" s="2" t="str">
        <f>IFERROR(__xludf.DUMMYFUNCTION("""COMPUTED_VALUE"""),"LOVIMEN GALLEGO")</f>
        <v>LOVIMEN GALLEGO</v>
      </c>
      <c r="E869" s="2">
        <f>IFERROR(__xludf.DUMMYFUNCTION("""COMPUTED_VALUE"""),9.099279544E9)</f>
        <v>9099279544</v>
      </c>
      <c r="F869" s="2" t="str">
        <f>IFERROR(__xludf.DUMMYFUNCTION("""COMPUTED_VALUE"""),"RCEF 25-03-05")</f>
        <v>RCEF 25-03-05</v>
      </c>
      <c r="G869" s="2">
        <f>IFERROR(__xludf.DUMMYFUNCTION("""COMPUTED_VALUE"""),6.0)</f>
        <v>6</v>
      </c>
      <c r="H869" s="2" t="str">
        <f>IFERROR(__xludf.DUMMYFUNCTION("""COMPUTED_VALUE"""),"26868 &amp; 27911")</f>
        <v>26868 &amp; 27911</v>
      </c>
      <c r="I869" s="2" t="str">
        <f>IFERROR(__xludf.DUMMYFUNCTION("""COMPUTED_VALUE"""),"KMC5825 ACS FPV0169")</f>
        <v>KMC5825 ACS FPV0169</v>
      </c>
      <c r="J869" s="3" t="str">
        <f>IFERROR(__xludf.DUMMYFUNCTION("""COMPUTED_VALUE"""),"STS 100177")</f>
        <v>STS 100177</v>
      </c>
      <c r="K869" s="2" t="str">
        <f>IFERROR(__xludf.DUMMYFUNCTION("""COMPUTED_VALUE"""),"WR-SERIES 066PH")</f>
        <v>WR-SERIES 066PH</v>
      </c>
      <c r="L869" s="3" t="str">
        <f>IFERROR(__xludf.DUMMYFUNCTION("""COMPUTED_VALUE"""),"25090445")</f>
        <v>25090445</v>
      </c>
      <c r="M869" s="3">
        <f>IFERROR(__xludf.DUMMYFUNCTION("""COMPUTED_VALUE"""),2.512143E7)</f>
        <v>25121430</v>
      </c>
      <c r="N869" s="2"/>
      <c r="O869" s="2" t="str">
        <f>IFERROR(__xludf.DUMMYFUNCTION("""COMPUTED_VALUE"""),"Narra (Pob.)")</f>
        <v>Narra (Pob.)</v>
      </c>
      <c r="P869" s="2" t="str">
        <f>IFERROR(__xludf.DUMMYFUNCTION("""COMPUTED_VALUE"""),"Narra")</f>
        <v>Narra</v>
      </c>
      <c r="Q869" s="2" t="str">
        <f>IFERROR(__xludf.DUMMYFUNCTION("""COMPUTED_VALUE"""),"Palawan")</f>
        <v>Palawan</v>
      </c>
      <c r="R869" s="2" t="str">
        <f>IFERROR(__xludf.DUMMYFUNCTION("""COMPUTED_VALUE"""),"4B")</f>
        <v>4B</v>
      </c>
      <c r="S869" s="2"/>
      <c r="T869" s="2"/>
    </row>
    <row r="870">
      <c r="A870" s="1">
        <f>IFERROR(__xludf.DUMMYFUNCTION("""COMPUTED_VALUE"""),868.0)</f>
        <v>868</v>
      </c>
      <c r="B870" s="2" t="str">
        <f>IFERROR(__xludf.DUMMYFUNCTION("""COMPUTED_VALUE"""),"POBLACION CENTRO FARMERS ASSOCIATION (PoCeFa)")</f>
        <v>POBLACION CENTRO FARMERS ASSOCIATION (PoCeFa)</v>
      </c>
      <c r="C870" s="2" t="str">
        <f>IFERROR(__xludf.DUMMYFUNCTION("""COMPUTED_VALUE"""),"Narra (Pob.), Narra, PALAWAN")</f>
        <v>Narra (Pob.), Narra, PALAWAN</v>
      </c>
      <c r="D870" s="2" t="str">
        <f>IFERROR(__xludf.DUMMYFUNCTION("""COMPUTED_VALUE"""),"Susana A. Acosta")</f>
        <v>Susana A. Acosta</v>
      </c>
      <c r="E870" s="2">
        <f>IFERROR(__xludf.DUMMYFUNCTION("""COMPUTED_VALUE"""),9.708099335E9)</f>
        <v>9708099335</v>
      </c>
      <c r="F870" s="2" t="str">
        <f>IFERROR(__xludf.DUMMYFUNCTION("""COMPUTED_VALUE"""),"RCEF 25-03-05")</f>
        <v>RCEF 25-03-05</v>
      </c>
      <c r="G870" s="2">
        <f>IFERROR(__xludf.DUMMYFUNCTION("""COMPUTED_VALUE"""),6.0)</f>
        <v>6</v>
      </c>
      <c r="H870" s="2" t="str">
        <f>IFERROR(__xludf.DUMMYFUNCTION("""COMPUTED_VALUE"""),"26869 &amp; 27912")</f>
        <v>26869 &amp; 27912</v>
      </c>
      <c r="I870" s="2" t="str">
        <f>IFERROR(__xludf.DUMMYFUNCTION("""COMPUTED_VALUE"""),"KMC5825 AKS FPV0170")</f>
        <v>KMC5825 AKS FPV0170</v>
      </c>
      <c r="J870" s="3" t="str">
        <f>IFERROR(__xludf.DUMMYFUNCTION("""COMPUTED_VALUE"""),"STS 100187")</f>
        <v>STS 100187</v>
      </c>
      <c r="K870" s="2" t="str">
        <f>IFERROR(__xludf.DUMMYFUNCTION("""COMPUTED_VALUE"""),"WR-SERIES 217PH")</f>
        <v>WR-SERIES 217PH</v>
      </c>
      <c r="L870" s="3" t="str">
        <f>IFERROR(__xludf.DUMMYFUNCTION("""COMPUTED_VALUE"""),"25090461")</f>
        <v>25090461</v>
      </c>
      <c r="M870" s="3">
        <f>IFERROR(__xludf.DUMMYFUNCTION("""COMPUTED_VALUE"""),2.5121431E7)</f>
        <v>25121431</v>
      </c>
      <c r="N870" s="2"/>
      <c r="O870" s="2" t="str">
        <f>IFERROR(__xludf.DUMMYFUNCTION("""COMPUTED_VALUE"""),"Narra (Pob.)")</f>
        <v>Narra (Pob.)</v>
      </c>
      <c r="P870" s="2" t="str">
        <f>IFERROR(__xludf.DUMMYFUNCTION("""COMPUTED_VALUE"""),"Narra")</f>
        <v>Narra</v>
      </c>
      <c r="Q870" s="2" t="str">
        <f>IFERROR(__xludf.DUMMYFUNCTION("""COMPUTED_VALUE"""),"Palawan")</f>
        <v>Palawan</v>
      </c>
      <c r="R870" s="2" t="str">
        <f>IFERROR(__xludf.DUMMYFUNCTION("""COMPUTED_VALUE"""),"4B")</f>
        <v>4B</v>
      </c>
      <c r="S870" s="2"/>
      <c r="T870" s="2"/>
    </row>
    <row r="871">
      <c r="A871" s="1">
        <f>IFERROR(__xludf.DUMMYFUNCTION("""COMPUTED_VALUE"""),869.0)</f>
        <v>869</v>
      </c>
      <c r="B871" s="2" t="str">
        <f>IFERROR(__xludf.DUMMYFUNCTION("""COMPUTED_VALUE"""),"SANDOVAL FARMERS ASSOCIATION")</f>
        <v>SANDOVAL FARMERS ASSOCIATION</v>
      </c>
      <c r="C871" s="2" t="str">
        <f>IFERROR(__xludf.DUMMYFUNCTION("""COMPUTED_VALUE"""),"Sandoval, Narra, PALAWAN")</f>
        <v>Sandoval, Narra, PALAWAN</v>
      </c>
      <c r="D871" s="2" t="str">
        <f>IFERROR(__xludf.DUMMYFUNCTION("""COMPUTED_VALUE"""),"RICHARD B. LAURENTE")</f>
        <v>RICHARD B. LAURENTE</v>
      </c>
      <c r="E871" s="2">
        <f>IFERROR(__xludf.DUMMYFUNCTION("""COMPUTED_VALUE"""),9.095296077E9)</f>
        <v>9095296077</v>
      </c>
      <c r="F871" s="2" t="str">
        <f>IFERROR(__xludf.DUMMYFUNCTION("""COMPUTED_VALUE"""),"RCEF 25-03-05")</f>
        <v>RCEF 25-03-05</v>
      </c>
      <c r="G871" s="2">
        <f>IFERROR(__xludf.DUMMYFUNCTION("""COMPUTED_VALUE"""),6.0)</f>
        <v>6</v>
      </c>
      <c r="H871" s="2" t="str">
        <f>IFERROR(__xludf.DUMMYFUNCTION("""COMPUTED_VALUE"""),"26870 &amp; 27913")</f>
        <v>26870 &amp; 27913</v>
      </c>
      <c r="I871" s="2" t="str">
        <f>IFERROR(__xludf.DUMMYFUNCTION("""COMPUTED_VALUE"""),"KMC5825 ACS FPV0253")</f>
        <v>KMC5825 ACS FPV0253</v>
      </c>
      <c r="J871" s="3" t="str">
        <f>IFERROR(__xludf.DUMMYFUNCTION("""COMPUTED_VALUE"""),"STS 100263")</f>
        <v>STS 100263</v>
      </c>
      <c r="K871" s="2" t="str">
        <f>IFERROR(__xludf.DUMMYFUNCTION("""COMPUTED_VALUE"""),"WR-SERIES 070PH")</f>
        <v>WR-SERIES 070PH</v>
      </c>
      <c r="L871" s="3" t="str">
        <f>IFERROR(__xludf.DUMMYFUNCTION("""COMPUTED_VALUE"""),"25090475")</f>
        <v>25090475</v>
      </c>
      <c r="M871" s="3">
        <f>IFERROR(__xludf.DUMMYFUNCTION("""COMPUTED_VALUE"""),2.5121432E7)</f>
        <v>25121432</v>
      </c>
      <c r="N871" s="2"/>
      <c r="O871" s="2" t="str">
        <f>IFERROR(__xludf.DUMMYFUNCTION("""COMPUTED_VALUE"""),"Sandoval")</f>
        <v>Sandoval</v>
      </c>
      <c r="P871" s="2" t="str">
        <f>IFERROR(__xludf.DUMMYFUNCTION("""COMPUTED_VALUE"""),"Narra")</f>
        <v>Narra</v>
      </c>
      <c r="Q871" s="2" t="str">
        <f>IFERROR(__xludf.DUMMYFUNCTION("""COMPUTED_VALUE"""),"Palawan")</f>
        <v>Palawan</v>
      </c>
      <c r="R871" s="2" t="str">
        <f>IFERROR(__xludf.DUMMYFUNCTION("""COMPUTED_VALUE"""),"4B")</f>
        <v>4B</v>
      </c>
      <c r="S871" s="2"/>
      <c r="T871" s="2"/>
    </row>
    <row r="872">
      <c r="A872" s="1">
        <f>IFERROR(__xludf.DUMMYFUNCTION("""COMPUTED_VALUE"""),870.0)</f>
        <v>870</v>
      </c>
      <c r="B872" s="2" t="str">
        <f>IFERROR(__xludf.DUMMYFUNCTION("""COMPUTED_VALUE"""),"UPPER MALINAO RICE FARMERS IRRIGATORS ASSOCIATION INC.")</f>
        <v>UPPER MALINAO RICE FARMERS IRRIGATORS ASSOCIATION INC.</v>
      </c>
      <c r="C872" s="2" t="str">
        <f>IFERROR(__xludf.DUMMYFUNCTION("""COMPUTED_VALUE"""),"Malinao, Narra, PALAWAN")</f>
        <v>Malinao, Narra, PALAWAN</v>
      </c>
      <c r="D872" s="2" t="str">
        <f>IFERROR(__xludf.DUMMYFUNCTION("""COMPUTED_VALUE"""),"EMILY T. ESMAN")</f>
        <v>EMILY T. ESMAN</v>
      </c>
      <c r="E872" s="2">
        <f>IFERROR(__xludf.DUMMYFUNCTION("""COMPUTED_VALUE"""),9.386039579E9)</f>
        <v>9386039579</v>
      </c>
      <c r="F872" s="2" t="str">
        <f>IFERROR(__xludf.DUMMYFUNCTION("""COMPUTED_VALUE"""),"RCEF 25-03-05")</f>
        <v>RCEF 25-03-05</v>
      </c>
      <c r="G872" s="2">
        <f>IFERROR(__xludf.DUMMYFUNCTION("""COMPUTED_VALUE"""),6.0)</f>
        <v>6</v>
      </c>
      <c r="H872" s="2" t="str">
        <f>IFERROR(__xludf.DUMMYFUNCTION("""COMPUTED_VALUE"""),"26871 &amp; 27914")</f>
        <v>26871 &amp; 27914</v>
      </c>
      <c r="I872" s="2" t="str">
        <f>IFERROR(__xludf.DUMMYFUNCTION("""COMPUTED_VALUE"""),"KMC5825 AJS FPV0249")</f>
        <v>KMC5825 AJS FPV0249</v>
      </c>
      <c r="J872" s="3" t="str">
        <f>IFERROR(__xludf.DUMMYFUNCTION("""COMPUTED_VALUE"""),"STS 100255")</f>
        <v>STS 100255</v>
      </c>
      <c r="K872" s="2" t="str">
        <f>IFERROR(__xludf.DUMMYFUNCTION("""COMPUTED_VALUE"""),"WR-SERIES 089PH")</f>
        <v>WR-SERIES 089PH</v>
      </c>
      <c r="L872" s="3" t="str">
        <f>IFERROR(__xludf.DUMMYFUNCTION("""COMPUTED_VALUE"""),"25090470")</f>
        <v>25090470</v>
      </c>
      <c r="M872" s="3">
        <f>IFERROR(__xludf.DUMMYFUNCTION("""COMPUTED_VALUE"""),2.5121433E7)</f>
        <v>25121433</v>
      </c>
      <c r="N872" s="2"/>
      <c r="O872" s="2" t="str">
        <f>IFERROR(__xludf.DUMMYFUNCTION("""COMPUTED_VALUE"""),"Malinao")</f>
        <v>Malinao</v>
      </c>
      <c r="P872" s="2" t="str">
        <f>IFERROR(__xludf.DUMMYFUNCTION("""COMPUTED_VALUE"""),"Narra")</f>
        <v>Narra</v>
      </c>
      <c r="Q872" s="2" t="str">
        <f>IFERROR(__xludf.DUMMYFUNCTION("""COMPUTED_VALUE"""),"Palawan")</f>
        <v>Palawan</v>
      </c>
      <c r="R872" s="2" t="str">
        <f>IFERROR(__xludf.DUMMYFUNCTION("""COMPUTED_VALUE"""),"4B")</f>
        <v>4B</v>
      </c>
      <c r="S872" s="2"/>
      <c r="T872" s="2"/>
    </row>
    <row r="873">
      <c r="A873" s="1">
        <f>IFERROR(__xludf.DUMMYFUNCTION("""COMPUTED_VALUE"""),871.0)</f>
        <v>871</v>
      </c>
      <c r="B873" s="2" t="str">
        <f>IFERROR(__xludf.DUMMYFUNCTION("""COMPUTED_VALUE"""),"ARAMAYWAN QUEZON FARMERS IRRIGATORS' ASSOCIATION, INC")</f>
        <v>ARAMAYWAN QUEZON FARMERS IRRIGATORS' ASSOCIATION, INC</v>
      </c>
      <c r="C873" s="2" t="str">
        <f>IFERROR(__xludf.DUMMYFUNCTION("""COMPUTED_VALUE"""),"Aramaywan, Quezon, PALAWAN")</f>
        <v>Aramaywan, Quezon, PALAWAN</v>
      </c>
      <c r="D873" s="2" t="str">
        <f>IFERROR(__xludf.DUMMYFUNCTION("""COMPUTED_VALUE"""),"Mildred T. Pacabis")</f>
        <v>Mildred T. Pacabis</v>
      </c>
      <c r="E873" s="2">
        <f>IFERROR(__xludf.DUMMYFUNCTION("""COMPUTED_VALUE"""),9.204546137E9)</f>
        <v>9204546137</v>
      </c>
      <c r="F873" s="2" t="str">
        <f>IFERROR(__xludf.DUMMYFUNCTION("""COMPUTED_VALUE"""),"RCEF 25-03-05")</f>
        <v>RCEF 25-03-05</v>
      </c>
      <c r="G873" s="2">
        <f>IFERROR(__xludf.DUMMYFUNCTION("""COMPUTED_VALUE"""),6.0)</f>
        <v>6</v>
      </c>
      <c r="H873" s="2" t="str">
        <f>IFERROR(__xludf.DUMMYFUNCTION("""COMPUTED_VALUE"""),"26872 &amp; 27915")</f>
        <v>26872 &amp; 27915</v>
      </c>
      <c r="I873" s="2" t="str">
        <f>IFERROR(__xludf.DUMMYFUNCTION("""COMPUTED_VALUE"""),"KMC5825 AKS FPV0198")</f>
        <v>KMC5825 AKS FPV0198</v>
      </c>
      <c r="J873" s="3" t="str">
        <f>IFERROR(__xludf.DUMMYFUNCTION("""COMPUTED_VALUE"""),"STS 100236")</f>
        <v>STS 100236</v>
      </c>
      <c r="K873" s="2" t="str">
        <f>IFERROR(__xludf.DUMMYFUNCTION("""COMPUTED_VALUE"""),"WR-SERIES 073PH")</f>
        <v>WR-SERIES 073PH</v>
      </c>
      <c r="L873" s="3" t="str">
        <f>IFERROR(__xludf.DUMMYFUNCTION("""COMPUTED_VALUE"""),"25090446")</f>
        <v>25090446</v>
      </c>
      <c r="M873" s="3">
        <f>IFERROR(__xludf.DUMMYFUNCTION("""COMPUTED_VALUE"""),2.5121434E7)</f>
        <v>25121434</v>
      </c>
      <c r="N873" s="2"/>
      <c r="O873" s="2" t="str">
        <f>IFERROR(__xludf.DUMMYFUNCTION("""COMPUTED_VALUE"""),"Aramaywan")</f>
        <v>Aramaywan</v>
      </c>
      <c r="P873" s="2" t="str">
        <f>IFERROR(__xludf.DUMMYFUNCTION("""COMPUTED_VALUE"""),"Quezon")</f>
        <v>Quezon</v>
      </c>
      <c r="Q873" s="2" t="str">
        <f>IFERROR(__xludf.DUMMYFUNCTION("""COMPUTED_VALUE"""),"Palawan")</f>
        <v>Palawan</v>
      </c>
      <c r="R873" s="2" t="str">
        <f>IFERROR(__xludf.DUMMYFUNCTION("""COMPUTED_VALUE"""),"4B")</f>
        <v>4B</v>
      </c>
      <c r="S873" s="2"/>
      <c r="T873" s="2"/>
    </row>
    <row r="874">
      <c r="A874" s="1">
        <f>IFERROR(__xludf.DUMMYFUNCTION("""COMPUTED_VALUE"""),872.0)</f>
        <v>872</v>
      </c>
      <c r="B874" s="2" t="str">
        <f>IFERROR(__xludf.DUMMYFUNCTION("""COMPUTED_VALUE"""),"ILULUWAY FARMER'S ASSOCIATION")</f>
        <v>ILULUWAY FARMER'S ASSOCIATION</v>
      </c>
      <c r="C874" s="2" t="str">
        <f>IFERROR(__xludf.DUMMYFUNCTION("""COMPUTED_VALUE"""),"Alfonso XIII (Pob.), Quezon, PALAWAN")</f>
        <v>Alfonso XIII (Pob.), Quezon, PALAWAN</v>
      </c>
      <c r="D874" s="2" t="str">
        <f>IFERROR(__xludf.DUMMYFUNCTION("""COMPUTED_VALUE"""),"Faiz D. Macari")</f>
        <v>Faiz D. Macari</v>
      </c>
      <c r="E874" s="2">
        <f>IFERROR(__xludf.DUMMYFUNCTION("""COMPUTED_VALUE"""),9.750466892E9)</f>
        <v>9750466892</v>
      </c>
      <c r="F874" s="2" t="str">
        <f>IFERROR(__xludf.DUMMYFUNCTION("""COMPUTED_VALUE"""),"RCEF 25-03-05")</f>
        <v>RCEF 25-03-05</v>
      </c>
      <c r="G874" s="2">
        <f>IFERROR(__xludf.DUMMYFUNCTION("""COMPUTED_VALUE"""),6.0)</f>
        <v>6</v>
      </c>
      <c r="H874" s="2" t="str">
        <f>IFERROR(__xludf.DUMMYFUNCTION("""COMPUTED_VALUE"""),"26873 &amp; 27916")</f>
        <v>26873 &amp; 27916</v>
      </c>
      <c r="I874" s="2" t="str">
        <f>IFERROR(__xludf.DUMMYFUNCTION("""COMPUTED_VALUE"""),"KMC5825 AJS FPV0204")</f>
        <v>KMC5825 AJS FPV0204</v>
      </c>
      <c r="J874" s="3" t="str">
        <f>IFERROR(__xludf.DUMMYFUNCTION("""COMPUTED_VALUE"""),"STS 100232")</f>
        <v>STS 100232</v>
      </c>
      <c r="K874" s="2" t="str">
        <f>IFERROR(__xludf.DUMMYFUNCTION("""COMPUTED_VALUE"""),"WR-SERIES 135PH")</f>
        <v>WR-SERIES 135PH</v>
      </c>
      <c r="L874" s="3" t="str">
        <f>IFERROR(__xludf.DUMMYFUNCTION("""COMPUTED_VALUE"""),"25090488")</f>
        <v>25090488</v>
      </c>
      <c r="M874" s="3">
        <f>IFERROR(__xludf.DUMMYFUNCTION("""COMPUTED_VALUE"""),2.5121435E7)</f>
        <v>25121435</v>
      </c>
      <c r="N874" s="2"/>
      <c r="O874" s="2" t="str">
        <f>IFERROR(__xludf.DUMMYFUNCTION("""COMPUTED_VALUE"""),"Alfonso Xiii (Pob.)")</f>
        <v>Alfonso Xiii (Pob.)</v>
      </c>
      <c r="P874" s="2" t="str">
        <f>IFERROR(__xludf.DUMMYFUNCTION("""COMPUTED_VALUE"""),"Quezon")</f>
        <v>Quezon</v>
      </c>
      <c r="Q874" s="2" t="str">
        <f>IFERROR(__xludf.DUMMYFUNCTION("""COMPUTED_VALUE"""),"Palawan")</f>
        <v>Palawan</v>
      </c>
      <c r="R874" s="2" t="str">
        <f>IFERROR(__xludf.DUMMYFUNCTION("""COMPUTED_VALUE"""),"4B")</f>
        <v>4B</v>
      </c>
      <c r="S874" s="2"/>
      <c r="T874" s="2"/>
    </row>
    <row r="875">
      <c r="A875" s="1">
        <f>IFERROR(__xludf.DUMMYFUNCTION("""COMPUTED_VALUE"""),873.0)</f>
        <v>873</v>
      </c>
      <c r="B875" s="2" t="str">
        <f>IFERROR(__xludf.DUMMYFUNCTION("""COMPUTED_VALUE"""),"SITIO NALI IRRIGATORS' ASSOCIATION, INC.")</f>
        <v>SITIO NALI IRRIGATORS' ASSOCIATION, INC.</v>
      </c>
      <c r="C875" s="2" t="str">
        <f>IFERROR(__xludf.DUMMYFUNCTION("""COMPUTED_VALUE"""),"Panitian, Quezon, PALAWAN")</f>
        <v>Panitian, Quezon, PALAWAN</v>
      </c>
      <c r="D875" s="2" t="str">
        <f>IFERROR(__xludf.DUMMYFUNCTION("""COMPUTED_VALUE"""),"OLEDARIO R. INVIERNO")</f>
        <v>OLEDARIO R. INVIERNO</v>
      </c>
      <c r="E875" s="2">
        <f>IFERROR(__xludf.DUMMYFUNCTION("""COMPUTED_VALUE"""),9.366628202E9)</f>
        <v>9366628202</v>
      </c>
      <c r="F875" s="2" t="str">
        <f>IFERROR(__xludf.DUMMYFUNCTION("""COMPUTED_VALUE"""),"RCEF 25-03-05")</f>
        <v>RCEF 25-03-05</v>
      </c>
      <c r="G875" s="2">
        <f>IFERROR(__xludf.DUMMYFUNCTION("""COMPUTED_VALUE"""),6.0)</f>
        <v>6</v>
      </c>
      <c r="H875" s="2" t="str">
        <f>IFERROR(__xludf.DUMMYFUNCTION("""COMPUTED_VALUE"""),"26874 &amp; 27917")</f>
        <v>26874 &amp; 27917</v>
      </c>
      <c r="I875" s="2" t="str">
        <f>IFERROR(__xludf.DUMMYFUNCTION("""COMPUTED_VALUE"""),"KMC5825 AVS FPV0190")</f>
        <v>KMC5825 AVS FPV0190</v>
      </c>
      <c r="J875" s="3" t="str">
        <f>IFERROR(__xludf.DUMMYFUNCTION("""COMPUTED_VALUE"""),"STS 100219")</f>
        <v>STS 100219</v>
      </c>
      <c r="K875" s="2" t="str">
        <f>IFERROR(__xludf.DUMMYFUNCTION("""COMPUTED_VALUE"""),"WR-SERIES 151PH")</f>
        <v>WR-SERIES 151PH</v>
      </c>
      <c r="L875" s="3" t="str">
        <f>IFERROR(__xludf.DUMMYFUNCTION("""COMPUTED_VALUE"""),"2509460")</f>
        <v>2509460</v>
      </c>
      <c r="M875" s="3">
        <f>IFERROR(__xludf.DUMMYFUNCTION("""COMPUTED_VALUE"""),2.5121436E7)</f>
        <v>25121436</v>
      </c>
      <c r="N875" s="2"/>
      <c r="O875" s="2" t="str">
        <f>IFERROR(__xludf.DUMMYFUNCTION("""COMPUTED_VALUE"""),"Panitian")</f>
        <v>Panitian</v>
      </c>
      <c r="P875" s="2" t="str">
        <f>IFERROR(__xludf.DUMMYFUNCTION("""COMPUTED_VALUE"""),"Quezon")</f>
        <v>Quezon</v>
      </c>
      <c r="Q875" s="2" t="str">
        <f>IFERROR(__xludf.DUMMYFUNCTION("""COMPUTED_VALUE"""),"Palawan")</f>
        <v>Palawan</v>
      </c>
      <c r="R875" s="2" t="str">
        <f>IFERROR(__xludf.DUMMYFUNCTION("""COMPUTED_VALUE"""),"4B")</f>
        <v>4B</v>
      </c>
      <c r="S875" s="2"/>
      <c r="T875" s="2"/>
    </row>
    <row r="876">
      <c r="A876" s="1">
        <f>IFERROR(__xludf.DUMMYFUNCTION("""COMPUTED_VALUE"""),874.0)</f>
        <v>874</v>
      </c>
      <c r="B876" s="2" t="str">
        <f>IFERROR(__xludf.DUMMYFUNCTION("""COMPUTED_VALUE"""),"UNITED FARMER'S IRRIGATORS ASSOCIATION OF MALATGAO AND PANITIAN INC.")</f>
        <v>UNITED FARMER'S IRRIGATORS ASSOCIATION OF MALATGAO AND PANITIAN INC.</v>
      </c>
      <c r="C876" s="2" t="str">
        <f>IFERROR(__xludf.DUMMYFUNCTION("""COMPUTED_VALUE"""),"Malatgao, Quezon, PALAWAN")</f>
        <v>Malatgao, Quezon, PALAWAN</v>
      </c>
      <c r="D876" s="2" t="str">
        <f>IFERROR(__xludf.DUMMYFUNCTION("""COMPUTED_VALUE"""),"Fortunato C. Abellana Jr")</f>
        <v>Fortunato C. Abellana Jr</v>
      </c>
      <c r="E876" s="2">
        <f>IFERROR(__xludf.DUMMYFUNCTION("""COMPUTED_VALUE"""),9.120352264E9)</f>
        <v>9120352264</v>
      </c>
      <c r="F876" s="2" t="str">
        <f>IFERROR(__xludf.DUMMYFUNCTION("""COMPUTED_VALUE"""),"RCEF 25-03-05")</f>
        <v>RCEF 25-03-05</v>
      </c>
      <c r="G876" s="2">
        <f>IFERROR(__xludf.DUMMYFUNCTION("""COMPUTED_VALUE"""),6.0)</f>
        <v>6</v>
      </c>
      <c r="H876" s="2" t="str">
        <f>IFERROR(__xludf.DUMMYFUNCTION("""COMPUTED_VALUE"""),"26875 &amp; 27918")</f>
        <v>26875 &amp; 27918</v>
      </c>
      <c r="I876" s="2" t="str">
        <f>IFERROR(__xludf.DUMMYFUNCTION("""COMPUTED_VALUE"""),"KMC5825 ACS FPV0178")</f>
        <v>KMC5825 ACS FPV0178</v>
      </c>
      <c r="J876" s="3" t="str">
        <f>IFERROR(__xludf.DUMMYFUNCTION("""COMPUTED_VALUE"""),"STS 100207")</f>
        <v>STS 100207</v>
      </c>
      <c r="K876" s="2" t="str">
        <f>IFERROR(__xludf.DUMMYFUNCTION("""COMPUTED_VALUE"""),"WR-SERIES 064PH")</f>
        <v>WR-SERIES 064PH</v>
      </c>
      <c r="L876" s="3" t="str">
        <f>IFERROR(__xludf.DUMMYFUNCTION("""COMPUTED_VALUE"""),"2509479")</f>
        <v>2509479</v>
      </c>
      <c r="M876" s="3">
        <f>IFERROR(__xludf.DUMMYFUNCTION("""COMPUTED_VALUE"""),2.5121437E7)</f>
        <v>25121437</v>
      </c>
      <c r="N876" s="2"/>
      <c r="O876" s="2" t="str">
        <f>IFERROR(__xludf.DUMMYFUNCTION("""COMPUTED_VALUE"""),"Malatgao")</f>
        <v>Malatgao</v>
      </c>
      <c r="P876" s="2" t="str">
        <f>IFERROR(__xludf.DUMMYFUNCTION("""COMPUTED_VALUE"""),"Quezon")</f>
        <v>Quezon</v>
      </c>
      <c r="Q876" s="2" t="str">
        <f>IFERROR(__xludf.DUMMYFUNCTION("""COMPUTED_VALUE"""),"Palawan")</f>
        <v>Palawan</v>
      </c>
      <c r="R876" s="2" t="str">
        <f>IFERROR(__xludf.DUMMYFUNCTION("""COMPUTED_VALUE"""),"4B")</f>
        <v>4B</v>
      </c>
      <c r="S876" s="2"/>
      <c r="T876" s="2"/>
    </row>
    <row r="877">
      <c r="A877" s="1">
        <f>IFERROR(__xludf.DUMMYFUNCTION("""COMPUTED_VALUE"""),875.0)</f>
        <v>875</v>
      </c>
      <c r="B877" s="2" t="str">
        <f>IFERROR(__xludf.DUMMYFUNCTION("""COMPUTED_VALUE"""),"LABOG FARMERS ASSOCIATION")</f>
        <v>LABOG FARMERS ASSOCIATION</v>
      </c>
      <c r="C877" s="2" t="str">
        <f>IFERROR(__xludf.DUMMYFUNCTION("""COMPUTED_VALUE"""),"Labog, Sofronio Espanola, PALAWAN")</f>
        <v>Labog, Sofronio Espanola, PALAWAN</v>
      </c>
      <c r="D877" s="2" t="str">
        <f>IFERROR(__xludf.DUMMYFUNCTION("""COMPUTED_VALUE"""),"Vicente M. Machon")</f>
        <v>Vicente M. Machon</v>
      </c>
      <c r="E877" s="2">
        <f>IFERROR(__xludf.DUMMYFUNCTION("""COMPUTED_VALUE"""),9.067547046E9)</f>
        <v>9067547046</v>
      </c>
      <c r="F877" s="2" t="str">
        <f>IFERROR(__xludf.DUMMYFUNCTION("""COMPUTED_VALUE"""),"RCEF 25-03-05")</f>
        <v>RCEF 25-03-05</v>
      </c>
      <c r="G877" s="2">
        <f>IFERROR(__xludf.DUMMYFUNCTION("""COMPUTED_VALUE"""),6.0)</f>
        <v>6</v>
      </c>
      <c r="H877" s="2" t="str">
        <f>IFERROR(__xludf.DUMMYFUNCTION("""COMPUTED_VALUE"""),"26876 &amp; 27919")</f>
        <v>26876 &amp; 27919</v>
      </c>
      <c r="I877" s="2" t="str">
        <f>IFERROR(__xludf.DUMMYFUNCTION("""COMPUTED_VALUE"""),"KMC5825 AES FPV0616")</f>
        <v>KMC5825 AES FPV0616</v>
      </c>
      <c r="J877" s="3" t="str">
        <f>IFERROR(__xludf.DUMMYFUNCTION("""COMPUTED_VALUE"""),"STS 100531")</f>
        <v>STS 100531</v>
      </c>
      <c r="K877" s="2" t="str">
        <f>IFERROR(__xludf.DUMMYFUNCTION("""COMPUTED_VALUE"""),"WR-SERIES 071PH")</f>
        <v>WR-SERIES 071PH</v>
      </c>
      <c r="L877" s="3" t="str">
        <f>IFERROR(__xludf.DUMMYFUNCTION("""COMPUTED_VALUE"""),"25090476")</f>
        <v>25090476</v>
      </c>
      <c r="M877" s="3">
        <f>IFERROR(__xludf.DUMMYFUNCTION("""COMPUTED_VALUE"""),2.5121438E7)</f>
        <v>25121438</v>
      </c>
      <c r="N877" s="2"/>
      <c r="O877" s="2" t="str">
        <f>IFERROR(__xludf.DUMMYFUNCTION("""COMPUTED_VALUE"""),"Labog")</f>
        <v>Labog</v>
      </c>
      <c r="P877" s="2" t="str">
        <f>IFERROR(__xludf.DUMMYFUNCTION("""COMPUTED_VALUE"""),"Sofronio Espanola")</f>
        <v>Sofronio Espanola</v>
      </c>
      <c r="Q877" s="2" t="str">
        <f>IFERROR(__xludf.DUMMYFUNCTION("""COMPUTED_VALUE"""),"Palawan")</f>
        <v>Palawan</v>
      </c>
      <c r="R877" s="2" t="str">
        <f>IFERROR(__xludf.DUMMYFUNCTION("""COMPUTED_VALUE"""),"4B")</f>
        <v>4B</v>
      </c>
      <c r="S877" s="2"/>
      <c r="T877" s="2"/>
    </row>
    <row r="878">
      <c r="A878" s="1">
        <f>IFERROR(__xludf.DUMMYFUNCTION("""COMPUTED_VALUE"""),876.0)</f>
        <v>876</v>
      </c>
      <c r="B878" s="2" t="str">
        <f>IFERROR(__xludf.DUMMYFUNCTION("""COMPUTED_VALUE"""),"PINATARAY, AGIS AGIS AND PROPER FARMERS ASSOCIATION")</f>
        <v>PINATARAY, AGIS AGIS AND PROPER FARMERS ASSOCIATION</v>
      </c>
      <c r="C878" s="2" t="str">
        <f>IFERROR(__xludf.DUMMYFUNCTION("""COMPUTED_VALUE"""),"Panitian, Sofronio Espanola, PALAWAN")</f>
        <v>Panitian, Sofronio Espanola, PALAWAN</v>
      </c>
      <c r="D878" s="2" t="str">
        <f>IFERROR(__xludf.DUMMYFUNCTION("""COMPUTED_VALUE"""),"Retzald D. Rapista")</f>
        <v>Retzald D. Rapista</v>
      </c>
      <c r="E878" s="2">
        <f>IFERROR(__xludf.DUMMYFUNCTION("""COMPUTED_VALUE"""),9.267025796E9)</f>
        <v>9267025796</v>
      </c>
      <c r="F878" s="2" t="str">
        <f>IFERROR(__xludf.DUMMYFUNCTION("""COMPUTED_VALUE"""),"RCEF 25-03-05")</f>
        <v>RCEF 25-03-05</v>
      </c>
      <c r="G878" s="2">
        <f>IFERROR(__xludf.DUMMYFUNCTION("""COMPUTED_VALUE"""),6.0)</f>
        <v>6</v>
      </c>
      <c r="H878" s="2" t="str">
        <f>IFERROR(__xludf.DUMMYFUNCTION("""COMPUTED_VALUE"""),"26877 &amp; 27920")</f>
        <v>26877 &amp; 27920</v>
      </c>
      <c r="I878" s="2" t="str">
        <f>IFERROR(__xludf.DUMMYFUNCTION("""COMPUTED_VALUE"""),"KMC5825 ALS FPV0628")</f>
        <v>KMC5825 ALS FPV0628</v>
      </c>
      <c r="J878" s="3" t="str">
        <f>IFERROR(__xludf.DUMMYFUNCTION("""COMPUTED_VALUE"""),"STS 100400")</f>
        <v>STS 100400</v>
      </c>
      <c r="K878" s="2" t="str">
        <f>IFERROR(__xludf.DUMMYFUNCTION("""COMPUTED_VALUE"""),"WR-SERIES 222PH")</f>
        <v>WR-SERIES 222PH</v>
      </c>
      <c r="L878" s="3" t="str">
        <f>IFERROR(__xludf.DUMMYFUNCTION("""COMPUTED_VALUE"""),"25090462")</f>
        <v>25090462</v>
      </c>
      <c r="M878" s="3">
        <f>IFERROR(__xludf.DUMMYFUNCTION("""COMPUTED_VALUE"""),2.5121439E7)</f>
        <v>25121439</v>
      </c>
      <c r="N878" s="2"/>
      <c r="O878" s="2" t="str">
        <f>IFERROR(__xludf.DUMMYFUNCTION("""COMPUTED_VALUE"""),"Panitian")</f>
        <v>Panitian</v>
      </c>
      <c r="P878" s="2" t="str">
        <f>IFERROR(__xludf.DUMMYFUNCTION("""COMPUTED_VALUE"""),"Sofronio Espanola")</f>
        <v>Sofronio Espanola</v>
      </c>
      <c r="Q878" s="2" t="str">
        <f>IFERROR(__xludf.DUMMYFUNCTION("""COMPUTED_VALUE"""),"Palawan")</f>
        <v>Palawan</v>
      </c>
      <c r="R878" s="2" t="str">
        <f>IFERROR(__xludf.DUMMYFUNCTION("""COMPUTED_VALUE"""),"4B")</f>
        <v>4B</v>
      </c>
      <c r="S878" s="2"/>
      <c r="T878" s="2"/>
    </row>
    <row r="879">
      <c r="A879" s="1">
        <f>IFERROR(__xludf.DUMMYFUNCTION("""COMPUTED_VALUE"""),877.0)</f>
        <v>877</v>
      </c>
      <c r="B879" s="2" t="str">
        <f>IFERROR(__xludf.DUMMYFUNCTION("""COMPUTED_VALUE"""),"TALAKAIGAN-APOCAPOC IRRIGATORS' ASSOCIATION, INC.")</f>
        <v>TALAKAIGAN-APOCAPOC IRRIGATORS' ASSOCIATION, INC.</v>
      </c>
      <c r="C879" s="2" t="str">
        <f>IFERROR(__xludf.DUMMYFUNCTION("""COMPUTED_VALUE"""),"Apoc-apoc, Aborlan, PALAWAN")</f>
        <v>Apoc-apoc, Aborlan, PALAWAN</v>
      </c>
      <c r="D879" s="2" t="str">
        <f>IFERROR(__xludf.DUMMYFUNCTION("""COMPUTED_VALUE"""),"Emmanuel B. Catague")</f>
        <v>Emmanuel B. Catague</v>
      </c>
      <c r="E879" s="2">
        <f>IFERROR(__xludf.DUMMYFUNCTION("""COMPUTED_VALUE"""),9.517473731E9)</f>
        <v>9517473731</v>
      </c>
      <c r="F879" s="2" t="str">
        <f>IFERROR(__xludf.DUMMYFUNCTION("""COMPUTED_VALUE"""),"RCEF 25-03-05")</f>
        <v>RCEF 25-03-05</v>
      </c>
      <c r="G879" s="2">
        <f>IFERROR(__xludf.DUMMYFUNCTION("""COMPUTED_VALUE"""),6.0)</f>
        <v>6</v>
      </c>
      <c r="H879" s="2" t="str">
        <f>IFERROR(__xludf.DUMMYFUNCTION("""COMPUTED_VALUE"""),"26878 &amp; 27813")</f>
        <v>26878 &amp; 27813</v>
      </c>
      <c r="I879" s="2" t="str">
        <f>IFERROR(__xludf.DUMMYFUNCTION("""COMPUTED_VALUE"""),"KMC5825 AJS FPV0624")</f>
        <v>KMC5825 AJS FPV0624</v>
      </c>
      <c r="J879" s="3" t="str">
        <f>IFERROR(__xludf.DUMMYFUNCTION("""COMPUTED_VALUE"""),"STS100419")</f>
        <v>STS100419</v>
      </c>
      <c r="K879" s="2" t="str">
        <f>IFERROR(__xludf.DUMMYFUNCTION("""COMPUTED_VALUE"""),"WR-SERIES 067PH")</f>
        <v>WR-SERIES 067PH</v>
      </c>
      <c r="L879" s="3" t="str">
        <f>IFERROR(__xludf.DUMMYFUNCTION("""COMPUTED_VALUE"""),"25090472")</f>
        <v>25090472</v>
      </c>
      <c r="M879" s="3" t="str">
        <f>IFERROR(__xludf.DUMMYFUNCTION("""COMPUTED_VALUE"""),"25090911")</f>
        <v>25090911</v>
      </c>
      <c r="N879" s="2"/>
      <c r="O879" s="2" t="str">
        <f>IFERROR(__xludf.DUMMYFUNCTION("""COMPUTED_VALUE"""),"Apoc-Apoc")</f>
        <v>Apoc-Apoc</v>
      </c>
      <c r="P879" s="2" t="str">
        <f>IFERROR(__xludf.DUMMYFUNCTION("""COMPUTED_VALUE"""),"Aborlan")</f>
        <v>Aborlan</v>
      </c>
      <c r="Q879" s="2" t="str">
        <f>IFERROR(__xludf.DUMMYFUNCTION("""COMPUTED_VALUE"""),"Palawan")</f>
        <v>Palawan</v>
      </c>
      <c r="R879" s="2" t="str">
        <f>IFERROR(__xludf.DUMMYFUNCTION("""COMPUTED_VALUE"""),"4B")</f>
        <v>4B</v>
      </c>
      <c r="S879" s="2"/>
      <c r="T879" s="2"/>
    </row>
    <row r="880">
      <c r="A880" s="1">
        <f>IFERROR(__xludf.DUMMYFUNCTION("""COMPUTED_VALUE"""),878.0)</f>
        <v>878</v>
      </c>
      <c r="B880" s="2" t="str">
        <f>IFERROR(__xludf.DUMMYFUNCTION("""COMPUTED_VALUE"""),"NASUGBU BATANGAS CENTRAL IRRIGATORS ASSOCIATION INC.")</f>
        <v>NASUGBU BATANGAS CENTRAL IRRIGATORS ASSOCIATION INC.</v>
      </c>
      <c r="C880" s="2" t="str">
        <f>IFERROR(__xludf.DUMMYFUNCTION("""COMPUTED_VALUE"""),"Putat, Nasugbu, BATANGAS")</f>
        <v>Putat, Nasugbu, BATANGAS</v>
      </c>
      <c r="D880" s="2" t="str">
        <f>IFERROR(__xludf.DUMMYFUNCTION("""COMPUTED_VALUE"""),"Walter C. Dueñas")</f>
        <v>Walter C. Dueñas</v>
      </c>
      <c r="E880" s="2">
        <f>IFERROR(__xludf.DUMMYFUNCTION("""COMPUTED_VALUE"""),9.175415178E9)</f>
        <v>9175415178</v>
      </c>
      <c r="F880" s="2" t="str">
        <f>IFERROR(__xludf.DUMMYFUNCTION("""COMPUTED_VALUE"""),"RCEF 25-03-05")</f>
        <v>RCEF 25-03-05</v>
      </c>
      <c r="G880" s="2">
        <f>IFERROR(__xludf.DUMMYFUNCTION("""COMPUTED_VALUE"""),7.0)</f>
        <v>7</v>
      </c>
      <c r="H880" s="2" t="str">
        <f>IFERROR(__xludf.DUMMYFUNCTION("""COMPUTED_VALUE"""),"26879 &amp; 27921")</f>
        <v>26879 &amp; 27921</v>
      </c>
      <c r="I880" s="2" t="str">
        <f>IFERROR(__xludf.DUMMYFUNCTION("""COMPUTED_VALUE"""),"KMC5825 AVSFPV0304")</f>
        <v>KMC5825 AVSFPV0304</v>
      </c>
      <c r="J880" s="3" t="str">
        <f>IFERROR(__xludf.DUMMYFUNCTION("""COMPUTED_VALUE"""),"STS100295")</f>
        <v>STS100295</v>
      </c>
      <c r="K880" s="2" t="str">
        <f>IFERROR(__xludf.DUMMYFUNCTION("""COMPUTED_VALUE"""),"WR-SERIES 1357PH")</f>
        <v>WR-SERIES 1357PH</v>
      </c>
      <c r="L880" s="3" t="str">
        <f>IFERROR(__xludf.DUMMYFUNCTION("""COMPUTED_VALUE"""),"2510851")</f>
        <v>2510851</v>
      </c>
      <c r="M880" s="3">
        <f>IFERROR(__xludf.DUMMYFUNCTION("""COMPUTED_VALUE"""),2.512144E7)</f>
        <v>25121440</v>
      </c>
      <c r="N880" s="2"/>
      <c r="O880" s="2" t="str">
        <f>IFERROR(__xludf.DUMMYFUNCTION("""COMPUTED_VALUE"""),"Putat")</f>
        <v>Putat</v>
      </c>
      <c r="P880" s="2" t="str">
        <f>IFERROR(__xludf.DUMMYFUNCTION("""COMPUTED_VALUE"""),"Nasugbu")</f>
        <v>Nasugbu</v>
      </c>
      <c r="Q880" s="2" t="str">
        <f>IFERROR(__xludf.DUMMYFUNCTION("""COMPUTED_VALUE"""),"Batangas")</f>
        <v>Batangas</v>
      </c>
      <c r="R880" s="2" t="str">
        <f>IFERROR(__xludf.DUMMYFUNCTION("""COMPUTED_VALUE"""),"4A")</f>
        <v>4A</v>
      </c>
      <c r="S880" s="2"/>
      <c r="T880" s="2"/>
    </row>
    <row r="881">
      <c r="A881" s="1">
        <f>IFERROR(__xludf.DUMMYFUNCTION("""COMPUTED_VALUE"""),879.0)</f>
        <v>879</v>
      </c>
      <c r="B881" s="2" t="str">
        <f>IFERROR(__xludf.DUMMYFUNCTION("""COMPUTED_VALUE"""),"MAVALOR FARMERS ASSOCIATION")</f>
        <v>MAVALOR FARMERS ASSOCIATION</v>
      </c>
      <c r="C881" s="2" t="str">
        <f>IFERROR(__xludf.DUMMYFUNCTION("""COMPUTED_VALUE"""),"Mavalor, Rosario, BATANGAS")</f>
        <v>Mavalor, Rosario, BATANGAS</v>
      </c>
      <c r="D881" s="2" t="str">
        <f>IFERROR(__xludf.DUMMYFUNCTION("""COMPUTED_VALUE"""),"Hilarion D. Marasigan")</f>
        <v>Hilarion D. Marasigan</v>
      </c>
      <c r="E881" s="2">
        <f>IFERROR(__xludf.DUMMYFUNCTION("""COMPUTED_VALUE"""),9.289584869E9)</f>
        <v>9289584869</v>
      </c>
      <c r="F881" s="2" t="str">
        <f>IFERROR(__xludf.DUMMYFUNCTION("""COMPUTED_VALUE"""),"RCEF 25-03-05")</f>
        <v>RCEF 25-03-05</v>
      </c>
      <c r="G881" s="2">
        <f>IFERROR(__xludf.DUMMYFUNCTION("""COMPUTED_VALUE"""),7.0)</f>
        <v>7</v>
      </c>
      <c r="H881" s="2" t="str">
        <f>IFERROR(__xludf.DUMMYFUNCTION("""COMPUTED_VALUE"""),"26880 &amp; 27922")</f>
        <v>26880 &amp; 27922</v>
      </c>
      <c r="I881" s="2" t="str">
        <f>IFERROR(__xludf.DUMMYFUNCTION("""COMPUTED_VALUE"""),"KMC5825 AASFPV0305")</f>
        <v>KMC5825 AASFPV0305</v>
      </c>
      <c r="J881" s="3" t="str">
        <f>IFERROR(__xludf.DUMMYFUNCTION("""COMPUTED_VALUE"""),"STS100310")</f>
        <v>STS100310</v>
      </c>
      <c r="K881" s="2" t="str">
        <f>IFERROR(__xludf.DUMMYFUNCTION("""COMPUTED_VALUE"""),"WR-SERIES 1358PH")</f>
        <v>WR-SERIES 1358PH</v>
      </c>
      <c r="L881" s="3" t="str">
        <f>IFERROR(__xludf.DUMMYFUNCTION("""COMPUTED_VALUE"""),"2510844")</f>
        <v>2510844</v>
      </c>
      <c r="M881" s="3">
        <f>IFERROR(__xludf.DUMMYFUNCTION("""COMPUTED_VALUE"""),2.5121441E7)</f>
        <v>25121441</v>
      </c>
      <c r="N881" s="2"/>
      <c r="O881" s="2" t="str">
        <f>IFERROR(__xludf.DUMMYFUNCTION("""COMPUTED_VALUE"""),"Mavalor")</f>
        <v>Mavalor</v>
      </c>
      <c r="P881" s="2" t="str">
        <f>IFERROR(__xludf.DUMMYFUNCTION("""COMPUTED_VALUE"""),"Rosario")</f>
        <v>Rosario</v>
      </c>
      <c r="Q881" s="2" t="str">
        <f>IFERROR(__xludf.DUMMYFUNCTION("""COMPUTED_VALUE"""),"Batangas")</f>
        <v>Batangas</v>
      </c>
      <c r="R881" s="2" t="str">
        <f>IFERROR(__xludf.DUMMYFUNCTION("""COMPUTED_VALUE"""),"4A")</f>
        <v>4A</v>
      </c>
      <c r="S881" s="2"/>
      <c r="T881" s="2"/>
    </row>
    <row r="882">
      <c r="A882" s="1">
        <f>IFERROR(__xludf.DUMMYFUNCTION("""COMPUTED_VALUE"""),880.0)</f>
        <v>880</v>
      </c>
      <c r="B882" s="2" t="str">
        <f>IFERROR(__xludf.DUMMYFUNCTION("""COMPUTED_VALUE"""),"MUNICIPAL LOCAL GOVERNMENT UNIT OF INDANG")</f>
        <v>MUNICIPAL LOCAL GOVERNMENT UNIT OF INDANG</v>
      </c>
      <c r="C882" s="2" t="str">
        <f>IFERROR(__xludf.DUMMYFUNCTION("""COMPUTED_VALUE"""),"Poblacion IV, Indang, Cavite")</f>
        <v>Poblacion IV, Indang, Cavite</v>
      </c>
      <c r="D882" s="2"/>
      <c r="E882" s="2"/>
      <c r="F882" s="2" t="str">
        <f>IFERROR(__xludf.DUMMYFUNCTION("""COMPUTED_VALUE"""),"RCEF 25-03-05")</f>
        <v>RCEF 25-03-05</v>
      </c>
      <c r="G882" s="2">
        <f>IFERROR(__xludf.DUMMYFUNCTION("""COMPUTED_VALUE"""),7.0)</f>
        <v>7</v>
      </c>
      <c r="H882" s="2" t="str">
        <f>IFERROR(__xludf.DUMMYFUNCTION("""COMPUTED_VALUE"""),"26881 &amp; 27923")</f>
        <v>26881 &amp; 27923</v>
      </c>
      <c r="I882" s="2" t="str">
        <f>IFERROR(__xludf.DUMMYFUNCTION("""COMPUTED_VALUE"""),"KMC5825 ACSFPV0259")</f>
        <v>KMC5825 ACSFPV0259</v>
      </c>
      <c r="J882" s="3" t="str">
        <f>IFERROR(__xludf.DUMMYFUNCTION("""COMPUTED_VALUE"""),"STS100278")</f>
        <v>STS100278</v>
      </c>
      <c r="K882" s="2" t="str">
        <f>IFERROR(__xludf.DUMMYFUNCTION("""COMPUTED_VALUE"""),"R-SERIES 094PH")</f>
        <v>R-SERIES 094PH</v>
      </c>
      <c r="L882" s="3" t="str">
        <f>IFERROR(__xludf.DUMMYFUNCTION("""COMPUTED_VALUE"""),"25090457")</f>
        <v>25090457</v>
      </c>
      <c r="M882" s="3" t="str">
        <f>IFERROR(__xludf.DUMMYFUNCTION("""COMPUTED_VALUE"""),"25010075")</f>
        <v>25010075</v>
      </c>
      <c r="N882" s="2"/>
      <c r="O882" s="2" t="str">
        <f>IFERROR(__xludf.DUMMYFUNCTION("""COMPUTED_VALUE"""),"Poblacion Iv")</f>
        <v>Poblacion Iv</v>
      </c>
      <c r="P882" s="2" t="str">
        <f>IFERROR(__xludf.DUMMYFUNCTION("""COMPUTED_VALUE"""),"Indang")</f>
        <v>Indang</v>
      </c>
      <c r="Q882" s="2" t="str">
        <f>IFERROR(__xludf.DUMMYFUNCTION("""COMPUTED_VALUE"""),"Cavite")</f>
        <v>Cavite</v>
      </c>
      <c r="R882" s="2">
        <f>IFERROR(__xludf.DUMMYFUNCTION("""COMPUTED_VALUE"""),3.0)</f>
        <v>3</v>
      </c>
      <c r="S882" s="2"/>
      <c r="T882" s="2"/>
    </row>
    <row r="883">
      <c r="A883" s="1">
        <f>IFERROR(__xludf.DUMMYFUNCTION("""COMPUTED_VALUE"""),881.0)</f>
        <v>881</v>
      </c>
      <c r="B883" s="2" t="str">
        <f>IFERROR(__xludf.DUMMYFUNCTION("""COMPUTED_VALUE"""),"LIPUMA OF AKLAN IRRIGATORS' ASSOCIATION, INC.")</f>
        <v>LIPUMA OF AKLAN IRRIGATORS' ASSOCIATION, INC.</v>
      </c>
      <c r="C883" s="2" t="str">
        <f>IFERROR(__xludf.DUMMYFUNCTION("""COMPUTED_VALUE"""),"Linabuan Norte, Kalibo, AKLAN")</f>
        <v>Linabuan Norte, Kalibo, AKLAN</v>
      </c>
      <c r="D883" s="2" t="str">
        <f>IFERROR(__xludf.DUMMYFUNCTION("""COMPUTED_VALUE"""),"Julius Selorio")</f>
        <v>Julius Selorio</v>
      </c>
      <c r="E883" s="2" t="str">
        <f>IFERROR(__xludf.DUMMYFUNCTION("""COMPUTED_VALUE"""),"0956-896-0448")</f>
        <v>0956-896-0448</v>
      </c>
      <c r="F883" s="2" t="str">
        <f>IFERROR(__xludf.DUMMYFUNCTION("""COMPUTED_VALUE"""),"RCEF 25-03-05")</f>
        <v>RCEF 25-03-05</v>
      </c>
      <c r="G883" s="2">
        <f>IFERROR(__xludf.DUMMYFUNCTION("""COMPUTED_VALUE"""),7.0)</f>
        <v>7</v>
      </c>
      <c r="H883" s="2" t="str">
        <f>IFERROR(__xludf.DUMMYFUNCTION("""COMPUTED_VALUE"""),"26882 &amp; 27924")</f>
        <v>26882 &amp; 27924</v>
      </c>
      <c r="I883" s="2" t="str">
        <f>IFERROR(__xludf.DUMMYFUNCTION("""COMPUTED_VALUE"""),"KMC5825 ATSFPV0280")</f>
        <v>KMC5825 ATSFPV0280</v>
      </c>
      <c r="J883" s="3" t="str">
        <f>IFERROR(__xludf.DUMMYFUNCTION("""COMPUTED_VALUE"""),"STS100309")</f>
        <v>STS100309</v>
      </c>
      <c r="K883" s="2" t="str">
        <f>IFERROR(__xludf.DUMMYFUNCTION("""COMPUTED_VALUE"""),"R-SERIES 304PH")</f>
        <v>R-SERIES 304PH</v>
      </c>
      <c r="L883" s="3" t="str">
        <f>IFERROR(__xludf.DUMMYFUNCTION("""COMPUTED_VALUE"""),"25090590")</f>
        <v>25090590</v>
      </c>
      <c r="M883" s="3" t="str">
        <f>IFERROR(__xludf.DUMMYFUNCTION("""COMPUTED_VALUE"""),"25090979")</f>
        <v>25090979</v>
      </c>
      <c r="N883" s="2"/>
      <c r="O883" s="2" t="str">
        <f>IFERROR(__xludf.DUMMYFUNCTION("""COMPUTED_VALUE"""),"Linabuan Norte")</f>
        <v>Linabuan Norte</v>
      </c>
      <c r="P883" s="2" t="str">
        <f>IFERROR(__xludf.DUMMYFUNCTION("""COMPUTED_VALUE"""),"Kalibo")</f>
        <v>Kalibo</v>
      </c>
      <c r="Q883" s="2" t="str">
        <f>IFERROR(__xludf.DUMMYFUNCTION("""COMPUTED_VALUE"""),"Aklan")</f>
        <v>Aklan</v>
      </c>
      <c r="R883" s="2">
        <f>IFERROR(__xludf.DUMMYFUNCTION("""COMPUTED_VALUE"""),6.0)</f>
        <v>6</v>
      </c>
      <c r="S883" s="2"/>
      <c r="T883" s="2"/>
    </row>
    <row r="884">
      <c r="A884" s="1">
        <f>IFERROR(__xludf.DUMMYFUNCTION("""COMPUTED_VALUE"""),882.0)</f>
        <v>882</v>
      </c>
      <c r="B884" s="2" t="str">
        <f>IFERROR(__xludf.DUMMYFUNCTION("""COMPUTED_VALUE"""),"A-O-A BIDA Inc.")</f>
        <v>A-O-A BIDA Inc.</v>
      </c>
      <c r="C884" s="2" t="str">
        <f>IFERROR(__xludf.DUMMYFUNCTION("""COMPUTED_VALUE"""),"Ondoy, Ibajay, AKLAN")</f>
        <v>Ondoy, Ibajay, AKLAN</v>
      </c>
      <c r="D884" s="2" t="str">
        <f>IFERROR(__xludf.DUMMYFUNCTION("""COMPUTED_VALUE"""),"LUGEL S. GELITO")</f>
        <v>LUGEL S. GELITO</v>
      </c>
      <c r="E884" s="2" t="str">
        <f>IFERROR(__xludf.DUMMYFUNCTION("""COMPUTED_VALUE"""),"0998-725-9604")</f>
        <v>0998-725-9604</v>
      </c>
      <c r="F884" s="2" t="str">
        <f>IFERROR(__xludf.DUMMYFUNCTION("""COMPUTED_VALUE"""),"RCEF 25-03-05")</f>
        <v>RCEF 25-03-05</v>
      </c>
      <c r="G884" s="2">
        <f>IFERROR(__xludf.DUMMYFUNCTION("""COMPUTED_VALUE"""),7.0)</f>
        <v>7</v>
      </c>
      <c r="H884" s="2" t="str">
        <f>IFERROR(__xludf.DUMMYFUNCTION("""COMPUTED_VALUE"""),"26883 &amp; 27925")</f>
        <v>26883 &amp; 27925</v>
      </c>
      <c r="I884" s="2" t="str">
        <f>IFERROR(__xludf.DUMMYFUNCTION("""COMPUTED_VALUE"""),"KMC5825 APSFPV0295")</f>
        <v>KMC5825 APSFPV0295</v>
      </c>
      <c r="J884" s="3" t="str">
        <f>IFERROR(__xludf.DUMMYFUNCTION("""COMPUTED_VALUE"""),"STS100260")</f>
        <v>STS100260</v>
      </c>
      <c r="K884" s="2" t="str">
        <f>IFERROR(__xludf.DUMMYFUNCTION("""COMPUTED_VALUE"""),"R-SERIES 249PH")</f>
        <v>R-SERIES 249PH</v>
      </c>
      <c r="L884" s="3" t="str">
        <f>IFERROR(__xludf.DUMMYFUNCTION("""COMPUTED_VALUE"""),"25090636")</f>
        <v>25090636</v>
      </c>
      <c r="M884" s="3" t="str">
        <f>IFERROR(__xludf.DUMMYFUNCTION("""COMPUTED_VALUE"""),"25090981")</f>
        <v>25090981</v>
      </c>
      <c r="N884" s="2"/>
      <c r="O884" s="2" t="str">
        <f>IFERROR(__xludf.DUMMYFUNCTION("""COMPUTED_VALUE"""),"Ondoy")</f>
        <v>Ondoy</v>
      </c>
      <c r="P884" s="2" t="str">
        <f>IFERROR(__xludf.DUMMYFUNCTION("""COMPUTED_VALUE"""),"Ibajay")</f>
        <v>Ibajay</v>
      </c>
      <c r="Q884" s="2" t="str">
        <f>IFERROR(__xludf.DUMMYFUNCTION("""COMPUTED_VALUE"""),"Aklan")</f>
        <v>Aklan</v>
      </c>
      <c r="R884" s="2">
        <f>IFERROR(__xludf.DUMMYFUNCTION("""COMPUTED_VALUE"""),6.0)</f>
        <v>6</v>
      </c>
      <c r="S884" s="2"/>
      <c r="T884" s="2"/>
    </row>
    <row r="885">
      <c r="A885" s="1">
        <f>IFERROR(__xludf.DUMMYFUNCTION("""COMPUTED_VALUE"""),883.0)</f>
        <v>883</v>
      </c>
      <c r="B885" s="2" t="str">
        <f>IFERROR(__xludf.DUMMYFUNCTION("""COMPUTED_VALUE"""),"STAG IRRIGATORS' ASSOCIATION, INCORPORATED")</f>
        <v>STAG IRRIGATORS' ASSOCIATION, INCORPORATED</v>
      </c>
      <c r="C885" s="2" t="str">
        <f>IFERROR(__xludf.DUMMYFUNCTION("""COMPUTED_VALUE"""),"Santa Cruz, Ibajay, AKLAN")</f>
        <v>Santa Cruz, Ibajay, AKLAN</v>
      </c>
      <c r="D885" s="2" t="str">
        <f>IFERROR(__xludf.DUMMYFUNCTION("""COMPUTED_VALUE"""),"SILVINO S. PELAYO")</f>
        <v>SILVINO S. PELAYO</v>
      </c>
      <c r="E885" s="2" t="str">
        <f>IFERROR(__xludf.DUMMYFUNCTION("""COMPUTED_VALUE"""),"0907-833-5683")</f>
        <v>0907-833-5683</v>
      </c>
      <c r="F885" s="2" t="str">
        <f>IFERROR(__xludf.DUMMYFUNCTION("""COMPUTED_VALUE"""),"RCEF 25-03-05")</f>
        <v>RCEF 25-03-05</v>
      </c>
      <c r="G885" s="2">
        <f>IFERROR(__xludf.DUMMYFUNCTION("""COMPUTED_VALUE"""),7.0)</f>
        <v>7</v>
      </c>
      <c r="H885" s="2" t="str">
        <f>IFERROR(__xludf.DUMMYFUNCTION("""COMPUTED_VALUE"""),"26884 &amp; 27926")</f>
        <v>26884 &amp; 27926</v>
      </c>
      <c r="I885" s="2" t="str">
        <f>IFERROR(__xludf.DUMMYFUNCTION("""COMPUTED_VALUE"""),"KMC5825 AVSFPV0271")</f>
        <v>KMC5825 AVSFPV0271</v>
      </c>
      <c r="J885" s="3" t="str">
        <f>IFERROR(__xludf.DUMMYFUNCTION("""COMPUTED_VALUE"""),"STS100307")</f>
        <v>STS100307</v>
      </c>
      <c r="K885" s="2" t="str">
        <f>IFERROR(__xludf.DUMMYFUNCTION("""COMPUTED_VALUE"""),"R-SERIES 253PH")</f>
        <v>R-SERIES 253PH</v>
      </c>
      <c r="L885" s="3" t="str">
        <f>IFERROR(__xludf.DUMMYFUNCTION("""COMPUTED_VALUE"""),"25090605")</f>
        <v>25090605</v>
      </c>
      <c r="M885" s="3" t="str">
        <f>IFERROR(__xludf.DUMMYFUNCTION("""COMPUTED_VALUE"""),"25080837")</f>
        <v>25080837</v>
      </c>
      <c r="N885" s="2"/>
      <c r="O885" s="2" t="str">
        <f>IFERROR(__xludf.DUMMYFUNCTION("""COMPUTED_VALUE"""),"Santa Cruz")</f>
        <v>Santa Cruz</v>
      </c>
      <c r="P885" s="2" t="str">
        <f>IFERROR(__xludf.DUMMYFUNCTION("""COMPUTED_VALUE"""),"Ibajay")</f>
        <v>Ibajay</v>
      </c>
      <c r="Q885" s="2" t="str">
        <f>IFERROR(__xludf.DUMMYFUNCTION("""COMPUTED_VALUE"""),"Aklan")</f>
        <v>Aklan</v>
      </c>
      <c r="R885" s="2">
        <f>IFERROR(__xludf.DUMMYFUNCTION("""COMPUTED_VALUE"""),6.0)</f>
        <v>6</v>
      </c>
      <c r="S885" s="2"/>
      <c r="T885" s="2"/>
    </row>
    <row r="886">
      <c r="A886" s="1">
        <f>IFERROR(__xludf.DUMMYFUNCTION("""COMPUTED_VALUE"""),884.0)</f>
        <v>884</v>
      </c>
      <c r="B886" s="2" t="str">
        <f>IFERROR(__xludf.DUMMYFUNCTION("""COMPUTED_VALUE"""),"IBAO-MINA FARMERS ASSOCIATION")</f>
        <v>IBAO-MINA FARMERS ASSOCIATION</v>
      </c>
      <c r="C886" s="2" t="str">
        <f>IFERROR(__xludf.DUMMYFUNCTION("""COMPUTED_VALUE"""),"Ibao, Lezo, AKLAN")</f>
        <v>Ibao, Lezo, AKLAN</v>
      </c>
      <c r="D886" s="2" t="str">
        <f>IFERROR(__xludf.DUMMYFUNCTION("""COMPUTED_VALUE"""),"JEOSILO M. FULGENCIO")</f>
        <v>JEOSILO M. FULGENCIO</v>
      </c>
      <c r="E886" s="2" t="str">
        <f>IFERROR(__xludf.DUMMYFUNCTION("""COMPUTED_VALUE"""),"0912-413-0916")</f>
        <v>0912-413-0916</v>
      </c>
      <c r="F886" s="2" t="str">
        <f>IFERROR(__xludf.DUMMYFUNCTION("""COMPUTED_VALUE"""),"RCEF 25-03-05")</f>
        <v>RCEF 25-03-05</v>
      </c>
      <c r="G886" s="2">
        <f>IFERROR(__xludf.DUMMYFUNCTION("""COMPUTED_VALUE"""),7.0)</f>
        <v>7</v>
      </c>
      <c r="H886" s="2" t="str">
        <f>IFERROR(__xludf.DUMMYFUNCTION("""COMPUTED_VALUE"""),"26885 &amp; 27927")</f>
        <v>26885 &amp; 27927</v>
      </c>
      <c r="I886" s="2" t="str">
        <f>IFERROR(__xludf.DUMMYFUNCTION("""COMPUTED_VALUE"""),"KMC5825 ACSFPV0379")</f>
        <v>KMC5825 ACSFPV0379</v>
      </c>
      <c r="J886" s="3" t="str">
        <f>IFERROR(__xludf.DUMMYFUNCTION("""COMPUTED_VALUE"""),"STS100452")</f>
        <v>STS100452</v>
      </c>
      <c r="K886" s="2" t="str">
        <f>IFERROR(__xludf.DUMMYFUNCTION("""COMPUTED_VALUE"""),"R-SERIES 256PH")</f>
        <v>R-SERIES 256PH</v>
      </c>
      <c r="L886" s="3" t="str">
        <f>IFERROR(__xludf.DUMMYFUNCTION("""COMPUTED_VALUE"""),"25090603")</f>
        <v>25090603</v>
      </c>
      <c r="M886" s="3" t="str">
        <f>IFERROR(__xludf.DUMMYFUNCTION("""COMPUTED_VALUE"""),"25080846")</f>
        <v>25080846</v>
      </c>
      <c r="N886" s="2"/>
      <c r="O886" s="2" t="str">
        <f>IFERROR(__xludf.DUMMYFUNCTION("""COMPUTED_VALUE"""),"Ibao")</f>
        <v>Ibao</v>
      </c>
      <c r="P886" s="2" t="str">
        <f>IFERROR(__xludf.DUMMYFUNCTION("""COMPUTED_VALUE"""),"Lezo")</f>
        <v>Lezo</v>
      </c>
      <c r="Q886" s="2" t="str">
        <f>IFERROR(__xludf.DUMMYFUNCTION("""COMPUTED_VALUE"""),"Aklan")</f>
        <v>Aklan</v>
      </c>
      <c r="R886" s="2">
        <f>IFERROR(__xludf.DUMMYFUNCTION("""COMPUTED_VALUE"""),6.0)</f>
        <v>6</v>
      </c>
      <c r="S886" s="2"/>
      <c r="T886" s="2"/>
    </row>
    <row r="887">
      <c r="A887" s="1">
        <f>IFERROR(__xludf.DUMMYFUNCTION("""COMPUTED_VALUE"""),885.0)</f>
        <v>885</v>
      </c>
      <c r="B887" s="2" t="str">
        <f>IFERROR(__xludf.DUMMYFUNCTION("""COMPUTED_VALUE"""),"DONGON EAST RICE FARMERS ASSOCIATION, INC.")</f>
        <v>DONGON EAST RICE FARMERS ASSOCIATION, INC.</v>
      </c>
      <c r="C887" s="2" t="str">
        <f>IFERROR(__xludf.DUMMYFUNCTION("""COMPUTED_VALUE"""),"Dongon East, Numancia, AKLAN")</f>
        <v>Dongon East, Numancia, AKLAN</v>
      </c>
      <c r="D887" s="2" t="str">
        <f>IFERROR(__xludf.DUMMYFUNCTION("""COMPUTED_VALUE"""),"Rex Cusay")</f>
        <v>Rex Cusay</v>
      </c>
      <c r="E887" s="2" t="str">
        <f>IFERROR(__xludf.DUMMYFUNCTION("""COMPUTED_VALUE"""),"0981-405-4025")</f>
        <v>0981-405-4025</v>
      </c>
      <c r="F887" s="2" t="str">
        <f>IFERROR(__xludf.DUMMYFUNCTION("""COMPUTED_VALUE"""),"RCEF 25-03-05")</f>
        <v>RCEF 25-03-05</v>
      </c>
      <c r="G887" s="2">
        <f>IFERROR(__xludf.DUMMYFUNCTION("""COMPUTED_VALUE"""),7.0)</f>
        <v>7</v>
      </c>
      <c r="H887" s="2" t="str">
        <f>IFERROR(__xludf.DUMMYFUNCTION("""COMPUTED_VALUE"""),"26886 &amp; 27928")</f>
        <v>26886 &amp; 27928</v>
      </c>
      <c r="I887" s="2" t="str">
        <f>IFERROR(__xludf.DUMMYFUNCTION("""COMPUTED_VALUE"""),"KMC5825 AESFPV0289")</f>
        <v>KMC5825 AESFPV0289</v>
      </c>
      <c r="J887" s="3" t="str">
        <f>IFERROR(__xludf.DUMMYFUNCTION("""COMPUTED_VALUE"""),"STS100302")</f>
        <v>STS100302</v>
      </c>
      <c r="K887" s="2" t="str">
        <f>IFERROR(__xludf.DUMMYFUNCTION("""COMPUTED_VALUE"""),"R-SERIES 250PH")</f>
        <v>R-SERIES 250PH</v>
      </c>
      <c r="L887" s="3" t="str">
        <f>IFERROR(__xludf.DUMMYFUNCTION("""COMPUTED_VALUE"""),"25090632")</f>
        <v>25090632</v>
      </c>
      <c r="M887" s="3" t="str">
        <f>IFERROR(__xludf.DUMMYFUNCTION("""COMPUTED_VALUE"""),"25080839")</f>
        <v>25080839</v>
      </c>
      <c r="N887" s="2"/>
      <c r="O887" s="2" t="str">
        <f>IFERROR(__xludf.DUMMYFUNCTION("""COMPUTED_VALUE"""),"Dongon East")</f>
        <v>Dongon East</v>
      </c>
      <c r="P887" s="2" t="str">
        <f>IFERROR(__xludf.DUMMYFUNCTION("""COMPUTED_VALUE"""),"Numancia")</f>
        <v>Numancia</v>
      </c>
      <c r="Q887" s="2" t="str">
        <f>IFERROR(__xludf.DUMMYFUNCTION("""COMPUTED_VALUE"""),"Aklan")</f>
        <v>Aklan</v>
      </c>
      <c r="R887" s="2">
        <f>IFERROR(__xludf.DUMMYFUNCTION("""COMPUTED_VALUE"""),6.0)</f>
        <v>6</v>
      </c>
      <c r="S887" s="2"/>
      <c r="T887" s="2"/>
    </row>
    <row r="888">
      <c r="A888" s="1">
        <f>IFERROR(__xludf.DUMMYFUNCTION("""COMPUTED_VALUE"""),886.0)</f>
        <v>886</v>
      </c>
      <c r="B888" s="2" t="str">
        <f>IFERROR(__xludf.DUMMYFUNCTION("""COMPUTED_VALUE"""),"MAGDALENA-VILBAR-BALADJAY FARMERS ASSOCIATION (MAGVIBA FA)")</f>
        <v>MAGDALENA-VILBAR-BALADJAY FARMERS ASSOCIATION (MAGVIBA FA)</v>
      </c>
      <c r="C888" s="2" t="str">
        <f>IFERROR(__xludf.DUMMYFUNCTION("""COMPUTED_VALUE"""),"Baladjay, San Remigio, ANTIQUE")</f>
        <v>Baladjay, San Remigio, ANTIQUE</v>
      </c>
      <c r="D888" s="2" t="str">
        <f>IFERROR(__xludf.DUMMYFUNCTION("""COMPUTED_VALUE"""),"AMADOR DELOS SANTOS JR.")</f>
        <v>AMADOR DELOS SANTOS JR.</v>
      </c>
      <c r="E888" s="2">
        <f>IFERROR(__xludf.DUMMYFUNCTION("""COMPUTED_VALUE"""),9.292261828E9)</f>
        <v>9292261828</v>
      </c>
      <c r="F888" s="2" t="str">
        <f>IFERROR(__xludf.DUMMYFUNCTION("""COMPUTED_VALUE"""),"RCEF 25-03-05")</f>
        <v>RCEF 25-03-05</v>
      </c>
      <c r="G888" s="2">
        <f>IFERROR(__xludf.DUMMYFUNCTION("""COMPUTED_VALUE"""),7.0)</f>
        <v>7</v>
      </c>
      <c r="H888" s="2" t="str">
        <f>IFERROR(__xludf.DUMMYFUNCTION("""COMPUTED_VALUE"""),"26887 &amp; 27929")</f>
        <v>26887 &amp; 27929</v>
      </c>
      <c r="I888" s="2" t="str">
        <f>IFERROR(__xludf.DUMMYFUNCTION("""COMPUTED_VALUE"""),"KMC5825 AJSFPV0400")</f>
        <v>KMC5825 AJSFPV0400</v>
      </c>
      <c r="J888" s="3" t="str">
        <f>IFERROR(__xludf.DUMMYFUNCTION("""COMPUTED_VALUE"""),"STS100418")</f>
        <v>STS100418</v>
      </c>
      <c r="K888" s="2" t="str">
        <f>IFERROR(__xludf.DUMMYFUNCTION("""COMPUTED_VALUE"""),"R-SERIES 114PH")</f>
        <v>R-SERIES 114PH</v>
      </c>
      <c r="L888" s="3" t="str">
        <f>IFERROR(__xludf.DUMMYFUNCTION("""COMPUTED_VALUE"""),"25090638")</f>
        <v>25090638</v>
      </c>
      <c r="M888" s="3">
        <f>IFERROR(__xludf.DUMMYFUNCTION("""COMPUTED_VALUE"""),2.5121448E7)</f>
        <v>25121448</v>
      </c>
      <c r="N888" s="2"/>
      <c r="O888" s="2" t="str">
        <f>IFERROR(__xludf.DUMMYFUNCTION("""COMPUTED_VALUE"""),"Baladjay")</f>
        <v>Baladjay</v>
      </c>
      <c r="P888" s="2" t="str">
        <f>IFERROR(__xludf.DUMMYFUNCTION("""COMPUTED_VALUE"""),"San Remigio")</f>
        <v>San Remigio</v>
      </c>
      <c r="Q888" s="2" t="str">
        <f>IFERROR(__xludf.DUMMYFUNCTION("""COMPUTED_VALUE"""),"Antique")</f>
        <v>Antique</v>
      </c>
      <c r="R888" s="2">
        <f>IFERROR(__xludf.DUMMYFUNCTION("""COMPUTED_VALUE"""),6.0)</f>
        <v>6</v>
      </c>
      <c r="S888" s="2"/>
      <c r="T888" s="2"/>
    </row>
    <row r="889">
      <c r="A889" s="1">
        <f>IFERROR(__xludf.DUMMYFUNCTION("""COMPUTED_VALUE"""),887.0)</f>
        <v>887</v>
      </c>
      <c r="B889" s="2" t="str">
        <f>IFERROR(__xludf.DUMMYFUNCTION("""COMPUTED_VALUE"""),"Egaña Farmers Association")</f>
        <v>Egaña Farmers Association</v>
      </c>
      <c r="C889" s="2" t="str">
        <f>IFERROR(__xludf.DUMMYFUNCTION("""COMPUTED_VALUE"""),"Egaña, Sibalom, ANTIQUE")</f>
        <v>Egaña, Sibalom, ANTIQUE</v>
      </c>
      <c r="D889" s="2" t="str">
        <f>IFERROR(__xludf.DUMMYFUNCTION("""COMPUTED_VALUE"""),"Medardo F. Clarito")</f>
        <v>Medardo F. Clarito</v>
      </c>
      <c r="E889" s="2" t="str">
        <f>IFERROR(__xludf.DUMMYFUNCTION("""COMPUTED_VALUE"""),"0917-846-0646")</f>
        <v>0917-846-0646</v>
      </c>
      <c r="F889" s="2" t="str">
        <f>IFERROR(__xludf.DUMMYFUNCTION("""COMPUTED_VALUE"""),"RCEF 25-03-05")</f>
        <v>RCEF 25-03-05</v>
      </c>
      <c r="G889" s="2">
        <f>IFERROR(__xludf.DUMMYFUNCTION("""COMPUTED_VALUE"""),7.0)</f>
        <v>7</v>
      </c>
      <c r="H889" s="2" t="str">
        <f>IFERROR(__xludf.DUMMYFUNCTION("""COMPUTED_VALUE"""),"26888 &amp; 27930")</f>
        <v>26888 &amp; 27930</v>
      </c>
      <c r="I889" s="2" t="str">
        <f>IFERROR(__xludf.DUMMYFUNCTION("""COMPUTED_VALUE"""),"KMC5825 ACSFPV0214")</f>
        <v>KMC5825 ACSFPV0214</v>
      </c>
      <c r="J889" s="3" t="str">
        <f>IFERROR(__xludf.DUMMYFUNCTION("""COMPUTED_VALUE"""),"STS100239")</f>
        <v>STS100239</v>
      </c>
      <c r="K889" s="2" t="str">
        <f>IFERROR(__xludf.DUMMYFUNCTION("""COMPUTED_VALUE"""),"R-SERIES 116PH")</f>
        <v>R-SERIES 116PH</v>
      </c>
      <c r="L889" s="3" t="str">
        <f>IFERROR(__xludf.DUMMYFUNCTION("""COMPUTED_VALUE"""),"25090584")</f>
        <v>25090584</v>
      </c>
      <c r="M889" s="3">
        <f>IFERROR(__xludf.DUMMYFUNCTION("""COMPUTED_VALUE"""),2.5121449E7)</f>
        <v>25121449</v>
      </c>
      <c r="N889" s="2"/>
      <c r="O889" s="2" t="str">
        <f>IFERROR(__xludf.DUMMYFUNCTION("""COMPUTED_VALUE"""),"Egaña")</f>
        <v>Egaña</v>
      </c>
      <c r="P889" s="2" t="str">
        <f>IFERROR(__xludf.DUMMYFUNCTION("""COMPUTED_VALUE"""),"Sibalom")</f>
        <v>Sibalom</v>
      </c>
      <c r="Q889" s="2" t="str">
        <f>IFERROR(__xludf.DUMMYFUNCTION("""COMPUTED_VALUE"""),"Antique")</f>
        <v>Antique</v>
      </c>
      <c r="R889" s="2">
        <f>IFERROR(__xludf.DUMMYFUNCTION("""COMPUTED_VALUE"""),6.0)</f>
        <v>6</v>
      </c>
      <c r="S889" s="2"/>
      <c r="T889" s="2"/>
    </row>
    <row r="890">
      <c r="A890" s="1">
        <f>IFERROR(__xludf.DUMMYFUNCTION("""COMPUTED_VALUE"""),888.0)</f>
        <v>888</v>
      </c>
      <c r="B890" s="2" t="str">
        <f>IFERROR(__xludf.DUMMYFUNCTION("""COMPUTED_VALUE"""),"Bita Sur Farmers Association")</f>
        <v>Bita Sur Farmers Association</v>
      </c>
      <c r="C890" s="2" t="str">
        <f>IFERROR(__xludf.DUMMYFUNCTION("""COMPUTED_VALUE"""),"Bita Sur, Oton, ILOILO")</f>
        <v>Bita Sur, Oton, ILOILO</v>
      </c>
      <c r="D890" s="2" t="str">
        <f>IFERROR(__xludf.DUMMYFUNCTION("""COMPUTED_VALUE"""),"Daniel Robete")</f>
        <v>Daniel Robete</v>
      </c>
      <c r="E890" s="2" t="str">
        <f>IFERROR(__xludf.DUMMYFUNCTION("""COMPUTED_VALUE"""),"0930-9622307")</f>
        <v>0930-9622307</v>
      </c>
      <c r="F890" s="2" t="str">
        <f>IFERROR(__xludf.DUMMYFUNCTION("""COMPUTED_VALUE"""),"RCEF 25-03-05")</f>
        <v>RCEF 25-03-05</v>
      </c>
      <c r="G890" s="2">
        <f>IFERROR(__xludf.DUMMYFUNCTION("""COMPUTED_VALUE"""),7.0)</f>
        <v>7</v>
      </c>
      <c r="H890" s="2" t="str">
        <f>IFERROR(__xludf.DUMMYFUNCTION("""COMPUTED_VALUE"""),"26889 &amp; 27931")</f>
        <v>26889 &amp; 27931</v>
      </c>
      <c r="I890" s="2" t="str">
        <f>IFERROR(__xludf.DUMMYFUNCTION("""COMPUTED_VALUE"""),"KMC5825 APSFPV0362")</f>
        <v>KMC5825 APSFPV0362</v>
      </c>
      <c r="J890" s="3" t="str">
        <f>IFERROR(__xludf.DUMMYFUNCTION("""COMPUTED_VALUE"""),"STS100391")</f>
        <v>STS100391</v>
      </c>
      <c r="K890" s="2" t="str">
        <f>IFERROR(__xludf.DUMMYFUNCTION("""COMPUTED_VALUE"""),"R-SERIES 306PH")</f>
        <v>R-SERIES 306PH</v>
      </c>
      <c r="L890" s="3" t="str">
        <f>IFERROR(__xludf.DUMMYFUNCTION("""COMPUTED_VALUE"""),"25090635")</f>
        <v>25090635</v>
      </c>
      <c r="M890" s="3">
        <f>IFERROR(__xludf.DUMMYFUNCTION("""COMPUTED_VALUE"""),2.512145E7)</f>
        <v>25121450</v>
      </c>
      <c r="N890" s="2"/>
      <c r="O890" s="2" t="str">
        <f>IFERROR(__xludf.DUMMYFUNCTION("""COMPUTED_VALUE"""),"Bita Sur")</f>
        <v>Bita Sur</v>
      </c>
      <c r="P890" s="2" t="str">
        <f>IFERROR(__xludf.DUMMYFUNCTION("""COMPUTED_VALUE"""),"Oton")</f>
        <v>Oton</v>
      </c>
      <c r="Q890" s="2" t="str">
        <f>IFERROR(__xludf.DUMMYFUNCTION("""COMPUTED_VALUE"""),"Iloilo")</f>
        <v>Iloilo</v>
      </c>
      <c r="R890" s="2">
        <f>IFERROR(__xludf.DUMMYFUNCTION("""COMPUTED_VALUE"""),6.0)</f>
        <v>6</v>
      </c>
      <c r="S890" s="2"/>
      <c r="T890" s="2"/>
    </row>
    <row r="891">
      <c r="A891" s="1">
        <f>IFERROR(__xludf.DUMMYFUNCTION("""COMPUTED_VALUE"""),889.0)</f>
        <v>889</v>
      </c>
      <c r="B891" s="2" t="str">
        <f>IFERROR(__xludf.DUMMYFUNCTION("""COMPUTED_VALUE"""),"CALAM-ISAN FARMERS ASSOCIATION (CAMIFA)")</f>
        <v>CALAM-ISAN FARMERS ASSOCIATION (CAMIFA)</v>
      </c>
      <c r="C891" s="2" t="str">
        <f>IFERROR(__xludf.DUMMYFUNCTION("""COMPUTED_VALUE"""),"Calam-isan, Oton, ILOILO")</f>
        <v>Calam-isan, Oton, ILOILO</v>
      </c>
      <c r="D891" s="2" t="str">
        <f>IFERROR(__xludf.DUMMYFUNCTION("""COMPUTED_VALUE"""),"GERONIMO B. SARAD")</f>
        <v>GERONIMO B. SARAD</v>
      </c>
      <c r="E891" s="2">
        <f>IFERROR(__xludf.DUMMYFUNCTION("""COMPUTED_VALUE"""),9.099077724E9)</f>
        <v>9099077724</v>
      </c>
      <c r="F891" s="2" t="str">
        <f>IFERROR(__xludf.DUMMYFUNCTION("""COMPUTED_VALUE"""),"RCEF 25-03-05")</f>
        <v>RCEF 25-03-05</v>
      </c>
      <c r="G891" s="2">
        <f>IFERROR(__xludf.DUMMYFUNCTION("""COMPUTED_VALUE"""),7.0)</f>
        <v>7</v>
      </c>
      <c r="H891" s="2" t="str">
        <f>IFERROR(__xludf.DUMMYFUNCTION("""COMPUTED_VALUE"""),"26890 &amp; 27932")</f>
        <v>26890 &amp; 27932</v>
      </c>
      <c r="I891" s="2" t="str">
        <f>IFERROR(__xludf.DUMMYFUNCTION("""COMPUTED_VALUE"""),"KMC5825 AJSFPV0395")</f>
        <v>KMC5825 AJSFPV0395</v>
      </c>
      <c r="J891" s="3" t="str">
        <f>IFERROR(__xludf.DUMMYFUNCTION("""COMPUTED_VALUE"""),"STS100433")</f>
        <v>STS100433</v>
      </c>
      <c r="K891" s="2" t="str">
        <f>IFERROR(__xludf.DUMMYFUNCTION("""COMPUTED_VALUE"""),"R-SERIES 119PH")</f>
        <v>R-SERIES 119PH</v>
      </c>
      <c r="L891" s="3" t="str">
        <f>IFERROR(__xludf.DUMMYFUNCTION("""COMPUTED_VALUE"""),"25090613")</f>
        <v>25090613</v>
      </c>
      <c r="M891" s="3">
        <f>IFERROR(__xludf.DUMMYFUNCTION("""COMPUTED_VALUE"""),2.5121451E7)</f>
        <v>25121451</v>
      </c>
      <c r="N891" s="2"/>
      <c r="O891" s="2" t="str">
        <f>IFERROR(__xludf.DUMMYFUNCTION("""COMPUTED_VALUE"""),"Calam-Isan")</f>
        <v>Calam-Isan</v>
      </c>
      <c r="P891" s="2" t="str">
        <f>IFERROR(__xludf.DUMMYFUNCTION("""COMPUTED_VALUE"""),"Oton")</f>
        <v>Oton</v>
      </c>
      <c r="Q891" s="2" t="str">
        <f>IFERROR(__xludf.DUMMYFUNCTION("""COMPUTED_VALUE"""),"Iloilo")</f>
        <v>Iloilo</v>
      </c>
      <c r="R891" s="2">
        <f>IFERROR(__xludf.DUMMYFUNCTION("""COMPUTED_VALUE"""),6.0)</f>
        <v>6</v>
      </c>
      <c r="S891" s="2"/>
      <c r="T891" s="2"/>
    </row>
    <row r="892">
      <c r="A892" s="1">
        <f>IFERROR(__xludf.DUMMYFUNCTION("""COMPUTED_VALUE"""),890.0)</f>
        <v>890</v>
      </c>
      <c r="B892" s="2" t="str">
        <f>IFERROR(__xludf.DUMMYFUNCTION("""COMPUTED_VALUE"""),"Santa Monica Farmers Association")</f>
        <v>Santa Monica Farmers Association</v>
      </c>
      <c r="C892" s="2" t="str">
        <f>IFERROR(__xludf.DUMMYFUNCTION("""COMPUTED_VALUE"""),"Santa Monica, Oton, ILOILO")</f>
        <v>Santa Monica, Oton, ILOILO</v>
      </c>
      <c r="D892" s="2" t="str">
        <f>IFERROR(__xludf.DUMMYFUNCTION("""COMPUTED_VALUE"""),"Rafael B. Paniergo Jr.")</f>
        <v>Rafael B. Paniergo Jr.</v>
      </c>
      <c r="E892" s="2" t="str">
        <f>IFERROR(__xludf.DUMMYFUNCTION("""COMPUTED_VALUE"""),"0908-164-0585")</f>
        <v>0908-164-0585</v>
      </c>
      <c r="F892" s="2" t="str">
        <f>IFERROR(__xludf.DUMMYFUNCTION("""COMPUTED_VALUE"""),"RCEF 25-03-05")</f>
        <v>RCEF 25-03-05</v>
      </c>
      <c r="G892" s="2">
        <f>IFERROR(__xludf.DUMMYFUNCTION("""COMPUTED_VALUE"""),7.0)</f>
        <v>7</v>
      </c>
      <c r="H892" s="2" t="str">
        <f>IFERROR(__xludf.DUMMYFUNCTION("""COMPUTED_VALUE"""),"26891 &amp; 27933")</f>
        <v>26891 &amp; 27933</v>
      </c>
      <c r="I892" s="2" t="str">
        <f>IFERROR(__xludf.DUMMYFUNCTION("""COMPUTED_VALUE"""),"KMC5825 AESFPV0275")</f>
        <v>KMC5825 AESFPV0275</v>
      </c>
      <c r="J892" s="3" t="str">
        <f>IFERROR(__xludf.DUMMYFUNCTION("""COMPUTED_VALUE"""),"STS100285")</f>
        <v>STS100285</v>
      </c>
      <c r="K892" s="2" t="str">
        <f>IFERROR(__xludf.DUMMYFUNCTION("""COMPUTED_VALUE"""),"R-SERIES 107PH")</f>
        <v>R-SERIES 107PH</v>
      </c>
      <c r="L892" s="3" t="str">
        <f>IFERROR(__xludf.DUMMYFUNCTION("""COMPUTED_VALUE"""),"25090589")</f>
        <v>25090589</v>
      </c>
      <c r="M892" s="3">
        <f>IFERROR(__xludf.DUMMYFUNCTION("""COMPUTED_VALUE"""),2.5121452E7)</f>
        <v>25121452</v>
      </c>
      <c r="N892" s="2"/>
      <c r="O892" s="2" t="str">
        <f>IFERROR(__xludf.DUMMYFUNCTION("""COMPUTED_VALUE"""),"Santa Monica")</f>
        <v>Santa Monica</v>
      </c>
      <c r="P892" s="2" t="str">
        <f>IFERROR(__xludf.DUMMYFUNCTION("""COMPUTED_VALUE"""),"Oton")</f>
        <v>Oton</v>
      </c>
      <c r="Q892" s="2" t="str">
        <f>IFERROR(__xludf.DUMMYFUNCTION("""COMPUTED_VALUE"""),"Iloilo")</f>
        <v>Iloilo</v>
      </c>
      <c r="R892" s="2">
        <f>IFERROR(__xludf.DUMMYFUNCTION("""COMPUTED_VALUE"""),6.0)</f>
        <v>6</v>
      </c>
      <c r="S892" s="2"/>
      <c r="T892" s="2"/>
    </row>
    <row r="893">
      <c r="A893" s="1">
        <f>IFERROR(__xludf.DUMMYFUNCTION("""COMPUTED_VALUE"""),891.0)</f>
        <v>891</v>
      </c>
      <c r="B893" s="2" t="str">
        <f>IFERROR(__xludf.DUMMYFUNCTION("""COMPUTED_VALUE"""),"STA. CLARA FARMERS ASSOCIATION")</f>
        <v>STA. CLARA FARMERS ASSOCIATION</v>
      </c>
      <c r="C893" s="2" t="str">
        <f>IFERROR(__xludf.DUMMYFUNCTION("""COMPUTED_VALUE"""),"Santa Clara, Oton, ILOILO")</f>
        <v>Santa Clara, Oton, ILOILO</v>
      </c>
      <c r="D893" s="2" t="str">
        <f>IFERROR(__xludf.DUMMYFUNCTION("""COMPUTED_VALUE"""),"JOEL F. SABIO")</f>
        <v>JOEL F. SABIO</v>
      </c>
      <c r="E893" s="2" t="str">
        <f>IFERROR(__xludf.DUMMYFUNCTION("""COMPUTED_VALUE"""),"0910-765-2403")</f>
        <v>0910-765-2403</v>
      </c>
      <c r="F893" s="2" t="str">
        <f>IFERROR(__xludf.DUMMYFUNCTION("""COMPUTED_VALUE"""),"RCEF 25-03-05")</f>
        <v>RCEF 25-03-05</v>
      </c>
      <c r="G893" s="2">
        <f>IFERROR(__xludf.DUMMYFUNCTION("""COMPUTED_VALUE"""),7.0)</f>
        <v>7</v>
      </c>
      <c r="H893" s="2" t="str">
        <f>IFERROR(__xludf.DUMMYFUNCTION("""COMPUTED_VALUE"""),"26892 &amp; 27934")</f>
        <v>26892 &amp; 27934</v>
      </c>
      <c r="I893" s="2" t="str">
        <f>IFERROR(__xludf.DUMMYFUNCTION("""COMPUTED_VALUE"""),"KMC5825 AVSFPV0173")</f>
        <v>KMC5825 AVSFPV0173</v>
      </c>
      <c r="J893" s="3" t="str">
        <f>IFERROR(__xludf.DUMMYFUNCTION("""COMPUTED_VALUE"""),"STS100196")</f>
        <v>STS100196</v>
      </c>
      <c r="K893" s="2" t="str">
        <f>IFERROR(__xludf.DUMMYFUNCTION("""COMPUTED_VALUE"""),"R-SERIES 286PH")</f>
        <v>R-SERIES 286PH</v>
      </c>
      <c r="L893" s="3" t="str">
        <f>IFERROR(__xludf.DUMMYFUNCTION("""COMPUTED_VALUE"""),"25090615")</f>
        <v>25090615</v>
      </c>
      <c r="M893" s="3">
        <f>IFERROR(__xludf.DUMMYFUNCTION("""COMPUTED_VALUE"""),2.5121307E7)</f>
        <v>25121307</v>
      </c>
      <c r="N893" s="2"/>
      <c r="O893" s="2" t="str">
        <f>IFERROR(__xludf.DUMMYFUNCTION("""COMPUTED_VALUE"""),"Santa Clara")</f>
        <v>Santa Clara</v>
      </c>
      <c r="P893" s="2" t="str">
        <f>IFERROR(__xludf.DUMMYFUNCTION("""COMPUTED_VALUE"""),"Oton")</f>
        <v>Oton</v>
      </c>
      <c r="Q893" s="2" t="str">
        <f>IFERROR(__xludf.DUMMYFUNCTION("""COMPUTED_VALUE"""),"Iloilo")</f>
        <v>Iloilo</v>
      </c>
      <c r="R893" s="2">
        <f>IFERROR(__xludf.DUMMYFUNCTION("""COMPUTED_VALUE"""),6.0)</f>
        <v>6</v>
      </c>
      <c r="S893" s="2"/>
      <c r="T893" s="2"/>
    </row>
    <row r="894">
      <c r="A894" s="1">
        <f>IFERROR(__xludf.DUMMYFUNCTION("""COMPUTED_VALUE"""),892.0)</f>
        <v>892</v>
      </c>
      <c r="B894" s="2" t="str">
        <f>IFERROR(__xludf.DUMMYFUNCTION("""COMPUTED_VALUE"""),"Banaba Tigbauan Irrigator's Association, Inc.")</f>
        <v>Banaba Tigbauan Irrigator's Association, Inc.</v>
      </c>
      <c r="C894" s="2" t="str">
        <f>IFERROR(__xludf.DUMMYFUNCTION("""COMPUTED_VALUE"""),"Napnapan Norte, Tigbauan, ILOILO")</f>
        <v>Napnapan Norte, Tigbauan, ILOILO</v>
      </c>
      <c r="D894" s="2" t="str">
        <f>IFERROR(__xludf.DUMMYFUNCTION("""COMPUTED_VALUE"""),"Nilo Taban")</f>
        <v>Nilo Taban</v>
      </c>
      <c r="E894" s="2">
        <f>IFERROR(__xludf.DUMMYFUNCTION("""COMPUTED_VALUE"""),9.462142445E9)</f>
        <v>9462142445</v>
      </c>
      <c r="F894" s="2" t="str">
        <f>IFERROR(__xludf.DUMMYFUNCTION("""COMPUTED_VALUE"""),"RCEF 25-03-05")</f>
        <v>RCEF 25-03-05</v>
      </c>
      <c r="G894" s="2">
        <f>IFERROR(__xludf.DUMMYFUNCTION("""COMPUTED_VALUE"""),7.0)</f>
        <v>7</v>
      </c>
      <c r="H894" s="2" t="str">
        <f>IFERROR(__xludf.DUMMYFUNCTION("""COMPUTED_VALUE"""),"26893 &amp; 27935")</f>
        <v>26893 &amp; 27935</v>
      </c>
      <c r="I894" s="2" t="str">
        <f>IFERROR(__xludf.DUMMYFUNCTION("""COMPUTED_VALUE"""),"KMC5825 AVSFPV0366")</f>
        <v>KMC5825 AVSFPV0366</v>
      </c>
      <c r="J894" s="3" t="str">
        <f>IFERROR(__xludf.DUMMYFUNCTION("""COMPUTED_VALUE"""),"STS100385")</f>
        <v>STS100385</v>
      </c>
      <c r="K894" s="2" t="str">
        <f>IFERROR(__xludf.DUMMYFUNCTION("""COMPUTED_VALUE"""),"R-SERIES 262PH")</f>
        <v>R-SERIES 262PH</v>
      </c>
      <c r="L894" s="3" t="str">
        <f>IFERROR(__xludf.DUMMYFUNCTION("""COMPUTED_VALUE"""),"25090592")</f>
        <v>25090592</v>
      </c>
      <c r="M894" s="3">
        <f>IFERROR(__xludf.DUMMYFUNCTION("""COMPUTED_VALUE"""),2.5121308E7)</f>
        <v>25121308</v>
      </c>
      <c r="N894" s="2"/>
      <c r="O894" s="2" t="str">
        <f>IFERROR(__xludf.DUMMYFUNCTION("""COMPUTED_VALUE"""),"Napnapan Norte")</f>
        <v>Napnapan Norte</v>
      </c>
      <c r="P894" s="2" t="str">
        <f>IFERROR(__xludf.DUMMYFUNCTION("""COMPUTED_VALUE"""),"Tigbauan")</f>
        <v>Tigbauan</v>
      </c>
      <c r="Q894" s="2" t="str">
        <f>IFERROR(__xludf.DUMMYFUNCTION("""COMPUTED_VALUE"""),"Iloilo")</f>
        <v>Iloilo</v>
      </c>
      <c r="R894" s="2">
        <f>IFERROR(__xludf.DUMMYFUNCTION("""COMPUTED_VALUE"""),6.0)</f>
        <v>6</v>
      </c>
      <c r="S894" s="2"/>
      <c r="T894" s="2"/>
    </row>
    <row r="895">
      <c r="A895" s="1">
        <f>IFERROR(__xludf.DUMMYFUNCTION("""COMPUTED_VALUE"""),893.0)</f>
        <v>893</v>
      </c>
      <c r="B895" s="2" t="str">
        <f>IFERROR(__xludf.DUMMYFUNCTION("""COMPUTED_VALUE"""),"Lino Flores Farmers Association")</f>
        <v>Lino Flores Farmers Association</v>
      </c>
      <c r="C895" s="2" t="str">
        <f>IFERROR(__xludf.DUMMYFUNCTION("""COMPUTED_VALUE"""),"Baguingin, Tigbauan, ILOILO")</f>
        <v>Baguingin, Tigbauan, ILOILO</v>
      </c>
      <c r="D895" s="2" t="str">
        <f>IFERROR(__xludf.DUMMYFUNCTION("""COMPUTED_VALUE"""),"Felix C. Calimlim")</f>
        <v>Felix C. Calimlim</v>
      </c>
      <c r="E895" s="2">
        <f>IFERROR(__xludf.DUMMYFUNCTION("""COMPUTED_VALUE"""),9.123270181E9)</f>
        <v>9123270181</v>
      </c>
      <c r="F895" s="2" t="str">
        <f>IFERROR(__xludf.DUMMYFUNCTION("""COMPUTED_VALUE"""),"RCEF 25-03-05")</f>
        <v>RCEF 25-03-05</v>
      </c>
      <c r="G895" s="2">
        <f>IFERROR(__xludf.DUMMYFUNCTION("""COMPUTED_VALUE"""),7.0)</f>
        <v>7</v>
      </c>
      <c r="H895" s="2" t="str">
        <f>IFERROR(__xludf.DUMMYFUNCTION("""COMPUTED_VALUE"""),"26894 &amp; 27936")</f>
        <v>26894 &amp; 27936</v>
      </c>
      <c r="I895" s="2" t="str">
        <f>IFERROR(__xludf.DUMMYFUNCTION("""COMPUTED_VALUE"""),"KMC5825 AJSFPV0302")</f>
        <v>KMC5825 AJSFPV0302</v>
      </c>
      <c r="J895" s="3" t="str">
        <f>IFERROR(__xludf.DUMMYFUNCTION("""COMPUTED_VALUE"""),"STS100296")</f>
        <v>STS100296</v>
      </c>
      <c r="K895" s="2" t="str">
        <f>IFERROR(__xludf.DUMMYFUNCTION("""COMPUTED_VALUE"""),"R-SERIES 255PH")</f>
        <v>R-SERIES 255PH</v>
      </c>
      <c r="L895" s="3" t="str">
        <f>IFERROR(__xludf.DUMMYFUNCTION("""COMPUTED_VALUE"""),"25090586")</f>
        <v>25090586</v>
      </c>
      <c r="M895" s="3">
        <f>IFERROR(__xludf.DUMMYFUNCTION("""COMPUTED_VALUE"""),2.5121309E7)</f>
        <v>25121309</v>
      </c>
      <c r="N895" s="2"/>
      <c r="O895" s="2" t="str">
        <f>IFERROR(__xludf.DUMMYFUNCTION("""COMPUTED_VALUE"""),"Baguingin")</f>
        <v>Baguingin</v>
      </c>
      <c r="P895" s="2" t="str">
        <f>IFERROR(__xludf.DUMMYFUNCTION("""COMPUTED_VALUE"""),"Tigbauan")</f>
        <v>Tigbauan</v>
      </c>
      <c r="Q895" s="2" t="str">
        <f>IFERROR(__xludf.DUMMYFUNCTION("""COMPUTED_VALUE"""),"Iloilo")</f>
        <v>Iloilo</v>
      </c>
      <c r="R895" s="2">
        <f>IFERROR(__xludf.DUMMYFUNCTION("""COMPUTED_VALUE"""),6.0)</f>
        <v>6</v>
      </c>
      <c r="S895" s="2"/>
      <c r="T895" s="2"/>
    </row>
    <row r="896">
      <c r="A896" s="1">
        <f>IFERROR(__xludf.DUMMYFUNCTION("""COMPUTED_VALUE"""),894.0)</f>
        <v>894</v>
      </c>
      <c r="B896" s="2" t="str">
        <f>IFERROR(__xludf.DUMMYFUNCTION("""COMPUTED_VALUE"""),"Badlan Pequeno Farmers Association (BAPFA)")</f>
        <v>Badlan Pequeno Farmers Association (BAPFA)</v>
      </c>
      <c r="C896" s="2" t="str">
        <f>IFERROR(__xludf.DUMMYFUNCTION("""COMPUTED_VALUE"""),"Badlan Pequeño, Calinog, ILOILO")</f>
        <v>Badlan Pequeño, Calinog, ILOILO</v>
      </c>
      <c r="D896" s="2" t="str">
        <f>IFERROR(__xludf.DUMMYFUNCTION("""COMPUTED_VALUE"""),"Luis S. Castro")</f>
        <v>Luis S. Castro</v>
      </c>
      <c r="E896" s="2" t="str">
        <f>IFERROR(__xludf.DUMMYFUNCTION("""COMPUTED_VALUE"""),"0912 412 9918")</f>
        <v>0912 412 9918</v>
      </c>
      <c r="F896" s="2" t="str">
        <f>IFERROR(__xludf.DUMMYFUNCTION("""COMPUTED_VALUE"""),"RCEF 25-03-05")</f>
        <v>RCEF 25-03-05</v>
      </c>
      <c r="G896" s="2">
        <f>IFERROR(__xludf.DUMMYFUNCTION("""COMPUTED_VALUE"""),7.0)</f>
        <v>7</v>
      </c>
      <c r="H896" s="2" t="str">
        <f>IFERROR(__xludf.DUMMYFUNCTION("""COMPUTED_VALUE"""),"26895 &amp; 27937")</f>
        <v>26895 &amp; 27937</v>
      </c>
      <c r="I896" s="2" t="str">
        <f>IFERROR(__xludf.DUMMYFUNCTION("""COMPUTED_VALUE"""),"KMC5825 AHSFPV0288")</f>
        <v>KMC5825 AHSFPV0288</v>
      </c>
      <c r="J896" s="3" t="str">
        <f>IFERROR(__xludf.DUMMYFUNCTION("""COMPUTED_VALUE"""),"STS100283")</f>
        <v>STS100283</v>
      </c>
      <c r="K896" s="2" t="str">
        <f>IFERROR(__xludf.DUMMYFUNCTION("""COMPUTED_VALUE"""),"R-SERIES 278PH")</f>
        <v>R-SERIES 278PH</v>
      </c>
      <c r="L896" s="3" t="str">
        <f>IFERROR(__xludf.DUMMYFUNCTION("""COMPUTED_VALUE"""),"25090601")</f>
        <v>25090601</v>
      </c>
      <c r="M896" s="3">
        <f>IFERROR(__xludf.DUMMYFUNCTION("""COMPUTED_VALUE"""),2.512131E7)</f>
        <v>25121310</v>
      </c>
      <c r="N896" s="2"/>
      <c r="O896" s="2" t="str">
        <f>IFERROR(__xludf.DUMMYFUNCTION("""COMPUTED_VALUE"""),"Badlan Pequeño")</f>
        <v>Badlan Pequeño</v>
      </c>
      <c r="P896" s="2" t="str">
        <f>IFERROR(__xludf.DUMMYFUNCTION("""COMPUTED_VALUE"""),"Calinog")</f>
        <v>Calinog</v>
      </c>
      <c r="Q896" s="2" t="str">
        <f>IFERROR(__xludf.DUMMYFUNCTION("""COMPUTED_VALUE"""),"Iloilo")</f>
        <v>Iloilo</v>
      </c>
      <c r="R896" s="2">
        <f>IFERROR(__xludf.DUMMYFUNCTION("""COMPUTED_VALUE"""),6.0)</f>
        <v>6</v>
      </c>
      <c r="S896" s="2"/>
      <c r="T896" s="2"/>
    </row>
    <row r="897">
      <c r="A897" s="1">
        <f>IFERROR(__xludf.DUMMYFUNCTION("""COMPUTED_VALUE"""),895.0)</f>
        <v>895</v>
      </c>
      <c r="B897" s="2" t="str">
        <f>IFERROR(__xludf.DUMMYFUNCTION("""COMPUTED_VALUE"""),"BADU INTEGRATED DEVELOPMENT FARMERS ASSOCIATION")</f>
        <v>BADU INTEGRATED DEVELOPMENT FARMERS ASSOCIATION</v>
      </c>
      <c r="C897" s="2" t="str">
        <f>IFERROR(__xludf.DUMMYFUNCTION("""COMPUTED_VALUE"""),"Badu, Calinog, ILOILO")</f>
        <v>Badu, Calinog, ILOILO</v>
      </c>
      <c r="D897" s="2" t="str">
        <f>IFERROR(__xludf.DUMMYFUNCTION("""COMPUTED_VALUE"""),"ISIDRO S. PROVIDO")</f>
        <v>ISIDRO S. PROVIDO</v>
      </c>
      <c r="E897" s="2">
        <f>IFERROR(__xludf.DUMMYFUNCTION("""COMPUTED_VALUE"""),9.605993154E9)</f>
        <v>9605993154</v>
      </c>
      <c r="F897" s="2" t="str">
        <f>IFERROR(__xludf.DUMMYFUNCTION("""COMPUTED_VALUE"""),"RCEF 25-03-05")</f>
        <v>RCEF 25-03-05</v>
      </c>
      <c r="G897" s="2">
        <f>IFERROR(__xludf.DUMMYFUNCTION("""COMPUTED_VALUE"""),7.0)</f>
        <v>7</v>
      </c>
      <c r="H897" s="2" t="str">
        <f>IFERROR(__xludf.DUMMYFUNCTION("""COMPUTED_VALUE"""),"26896 &amp; 27938")</f>
        <v>26896 &amp; 27938</v>
      </c>
      <c r="I897" s="2" t="str">
        <f>IFERROR(__xludf.DUMMYFUNCTION("""COMPUTED_VALUE"""),"KMC5825 AVSFPV0223")</f>
        <v>KMC5825 AVSFPV0223</v>
      </c>
      <c r="J897" s="3" t="str">
        <f>IFERROR(__xludf.DUMMYFUNCTION("""COMPUTED_VALUE"""),"STS100191")</f>
        <v>STS100191</v>
      </c>
      <c r="K897" s="2" t="str">
        <f>IFERROR(__xludf.DUMMYFUNCTION("""COMPUTED_VALUE"""),"R-SERIES 110PH")</f>
        <v>R-SERIES 110PH</v>
      </c>
      <c r="L897" s="3" t="str">
        <f>IFERROR(__xludf.DUMMYFUNCTION("""COMPUTED_VALUE"""),"25090593")</f>
        <v>25090593</v>
      </c>
      <c r="M897" s="3">
        <f>IFERROR(__xludf.DUMMYFUNCTION("""COMPUTED_VALUE"""),2.5121311E7)</f>
        <v>25121311</v>
      </c>
      <c r="N897" s="2"/>
      <c r="O897" s="2" t="str">
        <f>IFERROR(__xludf.DUMMYFUNCTION("""COMPUTED_VALUE"""),"Badu")</f>
        <v>Badu</v>
      </c>
      <c r="P897" s="2" t="str">
        <f>IFERROR(__xludf.DUMMYFUNCTION("""COMPUTED_VALUE"""),"Calinog")</f>
        <v>Calinog</v>
      </c>
      <c r="Q897" s="2" t="str">
        <f>IFERROR(__xludf.DUMMYFUNCTION("""COMPUTED_VALUE"""),"Iloilo")</f>
        <v>Iloilo</v>
      </c>
      <c r="R897" s="2">
        <f>IFERROR(__xludf.DUMMYFUNCTION("""COMPUTED_VALUE"""),6.0)</f>
        <v>6</v>
      </c>
      <c r="S897" s="2"/>
      <c r="T897" s="2"/>
    </row>
    <row r="898">
      <c r="A898" s="1">
        <f>IFERROR(__xludf.DUMMYFUNCTION("""COMPUTED_VALUE"""),896.0)</f>
        <v>896</v>
      </c>
      <c r="B898" s="2" t="str">
        <f>IFERROR(__xludf.DUMMYFUNCTION("""COMPUTED_VALUE"""),"LONOY FARMERS ASSOCIATION")</f>
        <v>LONOY FARMERS ASSOCIATION</v>
      </c>
      <c r="C898" s="2" t="str">
        <f>IFERROR(__xludf.DUMMYFUNCTION("""COMPUTED_VALUE"""),"Lonoy, Calinog, ILOILO")</f>
        <v>Lonoy, Calinog, ILOILO</v>
      </c>
      <c r="D898" s="2" t="str">
        <f>IFERROR(__xludf.DUMMYFUNCTION("""COMPUTED_VALUE"""),"BERNABE L. BAÑAGADO")</f>
        <v>BERNABE L. BAÑAGADO</v>
      </c>
      <c r="E898" s="2">
        <f>IFERROR(__xludf.DUMMYFUNCTION("""COMPUTED_VALUE"""),9.197582244E9)</f>
        <v>9197582244</v>
      </c>
      <c r="F898" s="2" t="str">
        <f>IFERROR(__xludf.DUMMYFUNCTION("""COMPUTED_VALUE"""),"RCEF 25-03-05")</f>
        <v>RCEF 25-03-05</v>
      </c>
      <c r="G898" s="2">
        <f>IFERROR(__xludf.DUMMYFUNCTION("""COMPUTED_VALUE"""),7.0)</f>
        <v>7</v>
      </c>
      <c r="H898" s="2" t="str">
        <f>IFERROR(__xludf.DUMMYFUNCTION("""COMPUTED_VALUE"""),"26897 &amp; 27939")</f>
        <v>26897 &amp; 27939</v>
      </c>
      <c r="I898" s="2" t="str">
        <f>IFERROR(__xludf.DUMMYFUNCTION("""COMPUTED_VALUE"""),"KMC5825 ATSFPV0229")</f>
        <v>KMC5825 ATSFPV0229</v>
      </c>
      <c r="J898" s="3" t="str">
        <f>IFERROR(__xludf.DUMMYFUNCTION("""COMPUTED_VALUE"""),"STS100214")</f>
        <v>STS100214</v>
      </c>
      <c r="K898" s="2" t="str">
        <f>IFERROR(__xludf.DUMMYFUNCTION("""COMPUTED_VALUE"""),"R-SERIES 115PH")</f>
        <v>R-SERIES 115PH</v>
      </c>
      <c r="L898" s="3" t="str">
        <f>IFERROR(__xludf.DUMMYFUNCTION("""COMPUTED_VALUE"""),"25090606")</f>
        <v>25090606</v>
      </c>
      <c r="M898" s="3">
        <f>IFERROR(__xludf.DUMMYFUNCTION("""COMPUTED_VALUE"""),2.5121312E7)</f>
        <v>25121312</v>
      </c>
      <c r="N898" s="2"/>
      <c r="O898" s="2" t="str">
        <f>IFERROR(__xludf.DUMMYFUNCTION("""COMPUTED_VALUE"""),"Lonoy")</f>
        <v>Lonoy</v>
      </c>
      <c r="P898" s="2" t="str">
        <f>IFERROR(__xludf.DUMMYFUNCTION("""COMPUTED_VALUE"""),"Calinog")</f>
        <v>Calinog</v>
      </c>
      <c r="Q898" s="2" t="str">
        <f>IFERROR(__xludf.DUMMYFUNCTION("""COMPUTED_VALUE"""),"Iloilo")</f>
        <v>Iloilo</v>
      </c>
      <c r="R898" s="2">
        <f>IFERROR(__xludf.DUMMYFUNCTION("""COMPUTED_VALUE"""),6.0)</f>
        <v>6</v>
      </c>
      <c r="S898" s="2"/>
      <c r="T898" s="2"/>
    </row>
    <row r="899">
      <c r="A899" s="1">
        <f>IFERROR(__xludf.DUMMYFUNCTION("""COMPUTED_VALUE"""),897.0)</f>
        <v>897</v>
      </c>
      <c r="B899" s="2" t="str">
        <f>IFERROR(__xludf.DUMMYFUNCTION("""COMPUTED_VALUE"""),"TOLARUCAN GUADALUPE IRRIGATORS ASSOCIATION, INC.")</f>
        <v>TOLARUCAN GUADALUPE IRRIGATORS ASSOCIATION, INC.</v>
      </c>
      <c r="C899" s="2" t="str">
        <f>IFERROR(__xludf.DUMMYFUNCTION("""COMPUTED_VALUE"""),"Guadalupe, Janiuay, ILOILO")</f>
        <v>Guadalupe, Janiuay, ILOILO</v>
      </c>
      <c r="D899" s="2" t="str">
        <f>IFERROR(__xludf.DUMMYFUNCTION("""COMPUTED_VALUE"""),"RONALDO D. MONTALBAN")</f>
        <v>RONALDO D. MONTALBAN</v>
      </c>
      <c r="E899" s="2" t="str">
        <f>IFERROR(__xludf.DUMMYFUNCTION("""COMPUTED_VALUE"""),"0939-470-4531")</f>
        <v>0939-470-4531</v>
      </c>
      <c r="F899" s="2" t="str">
        <f>IFERROR(__xludf.DUMMYFUNCTION("""COMPUTED_VALUE"""),"RCEF 25-03-05")</f>
        <v>RCEF 25-03-05</v>
      </c>
      <c r="G899" s="2">
        <f>IFERROR(__xludf.DUMMYFUNCTION("""COMPUTED_VALUE"""),7.0)</f>
        <v>7</v>
      </c>
      <c r="H899" s="2" t="str">
        <f>IFERROR(__xludf.DUMMYFUNCTION("""COMPUTED_VALUE"""),"26898 &amp; 27940")</f>
        <v>26898 &amp; 27940</v>
      </c>
      <c r="I899" s="2" t="str">
        <f>IFERROR(__xludf.DUMMYFUNCTION("""COMPUTED_VALUE"""),"KMC5825 ATSFPV0294")</f>
        <v>KMC5825 ATSFPV0294</v>
      </c>
      <c r="J899" s="3" t="str">
        <f>IFERROR(__xludf.DUMMYFUNCTION("""COMPUTED_VALUE"""),"STS100297")</f>
        <v>STS100297</v>
      </c>
      <c r="K899" s="2" t="str">
        <f>IFERROR(__xludf.DUMMYFUNCTION("""COMPUTED_VALUE"""),"R-SERIES 234PH")</f>
        <v>R-SERIES 234PH</v>
      </c>
      <c r="L899" s="3" t="str">
        <f>IFERROR(__xludf.DUMMYFUNCTION("""COMPUTED_VALUE"""),"25090611")</f>
        <v>25090611</v>
      </c>
      <c r="M899" s="3">
        <f>IFERROR(__xludf.DUMMYFUNCTION("""COMPUTED_VALUE"""),2.5121313E7)</f>
        <v>25121313</v>
      </c>
      <c r="N899" s="2"/>
      <c r="O899" s="2" t="str">
        <f>IFERROR(__xludf.DUMMYFUNCTION("""COMPUTED_VALUE"""),"Guadalupe")</f>
        <v>Guadalupe</v>
      </c>
      <c r="P899" s="2" t="str">
        <f>IFERROR(__xludf.DUMMYFUNCTION("""COMPUTED_VALUE"""),"Janiuay")</f>
        <v>Janiuay</v>
      </c>
      <c r="Q899" s="2" t="str">
        <f>IFERROR(__xludf.DUMMYFUNCTION("""COMPUTED_VALUE"""),"Iloilo")</f>
        <v>Iloilo</v>
      </c>
      <c r="R899" s="2">
        <f>IFERROR(__xludf.DUMMYFUNCTION("""COMPUTED_VALUE"""),6.0)</f>
        <v>6</v>
      </c>
      <c r="S899" s="2"/>
      <c r="T899" s="2"/>
    </row>
    <row r="900">
      <c r="A900" s="1">
        <f>IFERROR(__xludf.DUMMYFUNCTION("""COMPUTED_VALUE"""),898.0)</f>
        <v>898</v>
      </c>
      <c r="B900" s="2" t="str">
        <f>IFERROR(__xludf.DUMMYFUNCTION("""COMPUTED_VALUE"""),"Caninguan Farmers Association")</f>
        <v>Caninguan Farmers Association</v>
      </c>
      <c r="C900" s="2" t="str">
        <f>IFERROR(__xludf.DUMMYFUNCTION("""COMPUTED_VALUE"""),"Caninguan, Lambunao, ILOILO")</f>
        <v>Caninguan, Lambunao, ILOILO</v>
      </c>
      <c r="D900" s="2" t="str">
        <f>IFERROR(__xludf.DUMMYFUNCTION("""COMPUTED_VALUE"""),"Regie S. Navarra")</f>
        <v>Regie S. Navarra</v>
      </c>
      <c r="E900" s="2">
        <f>IFERROR(__xludf.DUMMYFUNCTION("""COMPUTED_VALUE"""),9.081769678E9)</f>
        <v>9081769678</v>
      </c>
      <c r="F900" s="2" t="str">
        <f>IFERROR(__xludf.DUMMYFUNCTION("""COMPUTED_VALUE"""),"RCEF 25-03-05")</f>
        <v>RCEF 25-03-05</v>
      </c>
      <c r="G900" s="2">
        <f>IFERROR(__xludf.DUMMYFUNCTION("""COMPUTED_VALUE"""),7.0)</f>
        <v>7</v>
      </c>
      <c r="H900" s="2" t="str">
        <f>IFERROR(__xludf.DUMMYFUNCTION("""COMPUTED_VALUE"""),"26899 &amp; 27941")</f>
        <v>26899 &amp; 27941</v>
      </c>
      <c r="I900" s="2" t="str">
        <f>IFERROR(__xludf.DUMMYFUNCTION("""COMPUTED_VALUE"""),"KMC5825 AASFPV0367")</f>
        <v>KMC5825 AASFPV0367</v>
      </c>
      <c r="J900" s="3" t="str">
        <f>IFERROR(__xludf.DUMMYFUNCTION("""COMPUTED_VALUE"""),"STS100432")</f>
        <v>STS100432</v>
      </c>
      <c r="K900" s="2" t="str">
        <f>IFERROR(__xludf.DUMMYFUNCTION("""COMPUTED_VALUE"""),"R-SERIES 118PH")</f>
        <v>R-SERIES 118PH</v>
      </c>
      <c r="L900" s="3" t="str">
        <f>IFERROR(__xludf.DUMMYFUNCTION("""COMPUTED_VALUE"""),"25090630")</f>
        <v>25090630</v>
      </c>
      <c r="M900" s="3">
        <f>IFERROR(__xludf.DUMMYFUNCTION("""COMPUTED_VALUE"""),2.5121314E7)</f>
        <v>25121314</v>
      </c>
      <c r="N900" s="2"/>
      <c r="O900" s="2" t="str">
        <f>IFERROR(__xludf.DUMMYFUNCTION("""COMPUTED_VALUE"""),"Caninguan")</f>
        <v>Caninguan</v>
      </c>
      <c r="P900" s="2" t="str">
        <f>IFERROR(__xludf.DUMMYFUNCTION("""COMPUTED_VALUE"""),"Lambunao")</f>
        <v>Lambunao</v>
      </c>
      <c r="Q900" s="2" t="str">
        <f>IFERROR(__xludf.DUMMYFUNCTION("""COMPUTED_VALUE"""),"Iloilo")</f>
        <v>Iloilo</v>
      </c>
      <c r="R900" s="2">
        <f>IFERROR(__xludf.DUMMYFUNCTION("""COMPUTED_VALUE"""),6.0)</f>
        <v>6</v>
      </c>
      <c r="S900" s="2"/>
      <c r="T900" s="2"/>
    </row>
    <row r="901">
      <c r="A901" s="1">
        <f>IFERROR(__xludf.DUMMYFUNCTION("""COMPUTED_VALUE"""),899.0)</f>
        <v>899</v>
      </c>
      <c r="B901" s="2" t="str">
        <f>IFERROR(__xludf.DUMMYFUNCTION("""COMPUTED_VALUE"""),"Bagacay Farmers Association")</f>
        <v>Bagacay Farmers Association</v>
      </c>
      <c r="C901" s="2" t="str">
        <f>IFERROR(__xludf.DUMMYFUNCTION("""COMPUTED_VALUE"""),"Bagacay, Pototan, ILOILO")</f>
        <v>Bagacay, Pototan, ILOILO</v>
      </c>
      <c r="D901" s="2" t="str">
        <f>IFERROR(__xludf.DUMMYFUNCTION("""COMPUTED_VALUE"""),"Napoleon Delos Santos")</f>
        <v>Napoleon Delos Santos</v>
      </c>
      <c r="E901" s="2" t="str">
        <f>IFERROR(__xludf.DUMMYFUNCTION("""COMPUTED_VALUE"""),"0926-083-7241")</f>
        <v>0926-083-7241</v>
      </c>
      <c r="F901" s="2" t="str">
        <f>IFERROR(__xludf.DUMMYFUNCTION("""COMPUTED_VALUE"""),"RCEF 25-03-05")</f>
        <v>RCEF 25-03-05</v>
      </c>
      <c r="G901" s="2">
        <f>IFERROR(__xludf.DUMMYFUNCTION("""COMPUTED_VALUE"""),7.0)</f>
        <v>7</v>
      </c>
      <c r="H901" s="2" t="str">
        <f>IFERROR(__xludf.DUMMYFUNCTION("""COMPUTED_VALUE"""),"26900 &amp; 27942")</f>
        <v>26900 &amp; 27942</v>
      </c>
      <c r="I901" s="2" t="str">
        <f>IFERROR(__xludf.DUMMYFUNCTION("""COMPUTED_VALUE"""),"KMC5825APSFPV0281")</f>
        <v>KMC5825APSFPV0281</v>
      </c>
      <c r="J901" s="3" t="str">
        <f>IFERROR(__xludf.DUMMYFUNCTION("""COMPUTED_VALUE"""),"STS100305")</f>
        <v>STS100305</v>
      </c>
      <c r="K901" s="2" t="str">
        <f>IFERROR(__xludf.DUMMYFUNCTION("""COMPUTED_VALUE"""),"R-SERIES 112PH")</f>
        <v>R-SERIES 112PH</v>
      </c>
      <c r="L901" s="3" t="str">
        <f>IFERROR(__xludf.DUMMYFUNCTION("""COMPUTED_VALUE"""),"25090631")</f>
        <v>25090631</v>
      </c>
      <c r="M901" s="3">
        <f>IFERROR(__xludf.DUMMYFUNCTION("""COMPUTED_VALUE"""),2.5121315E7)</f>
        <v>25121315</v>
      </c>
      <c r="N901" s="2"/>
      <c r="O901" s="2" t="str">
        <f>IFERROR(__xludf.DUMMYFUNCTION("""COMPUTED_VALUE"""),"Bagacay")</f>
        <v>Bagacay</v>
      </c>
      <c r="P901" s="2" t="str">
        <f>IFERROR(__xludf.DUMMYFUNCTION("""COMPUTED_VALUE"""),"Pototan")</f>
        <v>Pototan</v>
      </c>
      <c r="Q901" s="2" t="str">
        <f>IFERROR(__xludf.DUMMYFUNCTION("""COMPUTED_VALUE"""),"Iloilo")</f>
        <v>Iloilo</v>
      </c>
      <c r="R901" s="2">
        <f>IFERROR(__xludf.DUMMYFUNCTION("""COMPUTED_VALUE"""),6.0)</f>
        <v>6</v>
      </c>
      <c r="S901" s="2"/>
      <c r="T901" s="2"/>
    </row>
    <row r="902">
      <c r="A902" s="1">
        <f>IFERROR(__xludf.DUMMYFUNCTION("""COMPUTED_VALUE"""),900.0)</f>
        <v>900</v>
      </c>
      <c r="B902" s="2" t="str">
        <f>IFERROR(__xludf.DUMMYFUNCTION("""COMPUTED_VALUE"""),"Lay-ahan Farmers Association")</f>
        <v>Lay-ahan Farmers Association</v>
      </c>
      <c r="C902" s="2" t="str">
        <f>IFERROR(__xludf.DUMMYFUNCTION("""COMPUTED_VALUE"""),"Lay-Ahan, Pototan, ILOILO")</f>
        <v>Lay-Ahan, Pototan, ILOILO</v>
      </c>
      <c r="D902" s="2" t="str">
        <f>IFERROR(__xludf.DUMMYFUNCTION("""COMPUTED_VALUE"""),"Evangeline C. Parra")</f>
        <v>Evangeline C. Parra</v>
      </c>
      <c r="E902" s="2" t="str">
        <f>IFERROR(__xludf.DUMMYFUNCTION("""COMPUTED_VALUE"""),"0917-164-9565")</f>
        <v>0917-164-9565</v>
      </c>
      <c r="F902" s="2" t="str">
        <f>IFERROR(__xludf.DUMMYFUNCTION("""COMPUTED_VALUE"""),"RCEF 25-03-05")</f>
        <v>RCEF 25-03-05</v>
      </c>
      <c r="G902" s="2">
        <f>IFERROR(__xludf.DUMMYFUNCTION("""COMPUTED_VALUE"""),7.0)</f>
        <v>7</v>
      </c>
      <c r="H902" s="2" t="str">
        <f>IFERROR(__xludf.DUMMYFUNCTION("""COMPUTED_VALUE"""),"26901 &amp; 27943")</f>
        <v>26901 &amp; 27943</v>
      </c>
      <c r="I902" s="2" t="str">
        <f>IFERROR(__xludf.DUMMYFUNCTION("""COMPUTED_VALUE"""),"KMC5825 AVSFPV0299")</f>
        <v>KMC5825 AVSFPV0299</v>
      </c>
      <c r="J902" s="3" t="str">
        <f>IFERROR(__xludf.DUMMYFUNCTION("""COMPUTED_VALUE"""),"STS100267")</f>
        <v>STS100267</v>
      </c>
      <c r="K902" s="2" t="str">
        <f>IFERROR(__xludf.DUMMYFUNCTION("""COMPUTED_VALUE"""),"R-SERIES 284PH")</f>
        <v>R-SERIES 284PH</v>
      </c>
      <c r="L902" s="3" t="str">
        <f>IFERROR(__xludf.DUMMYFUNCTION("""COMPUTED_VALUE"""),"25090552")</f>
        <v>25090552</v>
      </c>
      <c r="M902" s="3">
        <f>IFERROR(__xludf.DUMMYFUNCTION("""COMPUTED_VALUE"""),2.5121316E7)</f>
        <v>25121316</v>
      </c>
      <c r="N902" s="2"/>
      <c r="O902" s="2" t="str">
        <f>IFERROR(__xludf.DUMMYFUNCTION("""COMPUTED_VALUE"""),"Lay-Ahan")</f>
        <v>Lay-Ahan</v>
      </c>
      <c r="P902" s="2" t="str">
        <f>IFERROR(__xludf.DUMMYFUNCTION("""COMPUTED_VALUE"""),"Pototan")</f>
        <v>Pototan</v>
      </c>
      <c r="Q902" s="2" t="str">
        <f>IFERROR(__xludf.DUMMYFUNCTION("""COMPUTED_VALUE"""),"Iloilo")</f>
        <v>Iloilo</v>
      </c>
      <c r="R902" s="2">
        <f>IFERROR(__xludf.DUMMYFUNCTION("""COMPUTED_VALUE"""),6.0)</f>
        <v>6</v>
      </c>
      <c r="S902" s="2"/>
      <c r="T902" s="2"/>
    </row>
    <row r="903">
      <c r="A903" s="1">
        <f>IFERROR(__xludf.DUMMYFUNCTION("""COMPUTED_VALUE"""),901.0)</f>
        <v>901</v>
      </c>
      <c r="B903" s="2" t="str">
        <f>IFERROR(__xludf.DUMMYFUNCTION("""COMPUTED_VALUE"""),"Linao Farmers Association")</f>
        <v>Linao Farmers Association</v>
      </c>
      <c r="C903" s="2" t="str">
        <f>IFERROR(__xludf.DUMMYFUNCTION("""COMPUTED_VALUE"""),"Linao, Barotac Nuevo, ILOILO")</f>
        <v>Linao, Barotac Nuevo, ILOILO</v>
      </c>
      <c r="D903" s="2" t="str">
        <f>IFERROR(__xludf.DUMMYFUNCTION("""COMPUTED_VALUE"""),"Arnulfo Chavez")</f>
        <v>Arnulfo Chavez</v>
      </c>
      <c r="E903" s="2">
        <f>IFERROR(__xludf.DUMMYFUNCTION("""COMPUTED_VALUE"""),9.665080507E9)</f>
        <v>9665080507</v>
      </c>
      <c r="F903" s="2" t="str">
        <f>IFERROR(__xludf.DUMMYFUNCTION("""COMPUTED_VALUE"""),"RCEF 25-03-05")</f>
        <v>RCEF 25-03-05</v>
      </c>
      <c r="G903" s="2">
        <f>IFERROR(__xludf.DUMMYFUNCTION("""COMPUTED_VALUE"""),7.0)</f>
        <v>7</v>
      </c>
      <c r="H903" s="2" t="str">
        <f>IFERROR(__xludf.DUMMYFUNCTION("""COMPUTED_VALUE"""),"26902 &amp; 27944")</f>
        <v>26902 &amp; 27944</v>
      </c>
      <c r="I903" s="2" t="str">
        <f>IFERROR(__xludf.DUMMYFUNCTION("""COMPUTED_VALUE"""),"KMC5825 ATSFPV0375")</f>
        <v>KMC5825 ATSFPV0375</v>
      </c>
      <c r="J903" s="3" t="str">
        <f>IFERROR(__xludf.DUMMYFUNCTION("""COMPUTED_VALUE"""),"STS100422")</f>
        <v>STS100422</v>
      </c>
      <c r="K903" s="2" t="str">
        <f>IFERROR(__xludf.DUMMYFUNCTION("""COMPUTED_VALUE"""),"R- SERIES 305")</f>
        <v>R- SERIES 305</v>
      </c>
      <c r="L903" s="3" t="str">
        <f>IFERROR(__xludf.DUMMYFUNCTION("""COMPUTED_VALUE"""),"25090594")</f>
        <v>25090594</v>
      </c>
      <c r="M903" s="3">
        <f>IFERROR(__xludf.DUMMYFUNCTION("""COMPUTED_VALUE"""),2.5121317E7)</f>
        <v>25121317</v>
      </c>
      <c r="N903" s="2"/>
      <c r="O903" s="2" t="str">
        <f>IFERROR(__xludf.DUMMYFUNCTION("""COMPUTED_VALUE"""),"Linao")</f>
        <v>Linao</v>
      </c>
      <c r="P903" s="2" t="str">
        <f>IFERROR(__xludf.DUMMYFUNCTION("""COMPUTED_VALUE"""),"Barotac Nuevo")</f>
        <v>Barotac Nuevo</v>
      </c>
      <c r="Q903" s="2" t="str">
        <f>IFERROR(__xludf.DUMMYFUNCTION("""COMPUTED_VALUE"""),"Iloilo")</f>
        <v>Iloilo</v>
      </c>
      <c r="R903" s="2">
        <f>IFERROR(__xludf.DUMMYFUNCTION("""COMPUTED_VALUE"""),6.0)</f>
        <v>6</v>
      </c>
      <c r="S903" s="2"/>
      <c r="T903" s="2"/>
    </row>
    <row r="904">
      <c r="A904" s="1">
        <f>IFERROR(__xludf.DUMMYFUNCTION("""COMPUTED_VALUE"""),902.0)</f>
        <v>902</v>
      </c>
      <c r="B904" s="2" t="str">
        <f>IFERROR(__xludf.DUMMYFUNCTION("""COMPUTED_VALUE"""),"Tiwi Farmers Association")</f>
        <v>Tiwi Farmers Association</v>
      </c>
      <c r="C904" s="2" t="str">
        <f>IFERROR(__xludf.DUMMYFUNCTION("""COMPUTED_VALUE"""),"Tiwi, Barotac Nuevo, ILOILO")</f>
        <v>Tiwi, Barotac Nuevo, ILOILO</v>
      </c>
      <c r="D904" s="2" t="str">
        <f>IFERROR(__xludf.DUMMYFUNCTION("""COMPUTED_VALUE"""),"Antonio B. Barsales")</f>
        <v>Antonio B. Barsales</v>
      </c>
      <c r="E904" s="2">
        <f>IFERROR(__xludf.DUMMYFUNCTION("""COMPUTED_VALUE"""),9.684216084E9)</f>
        <v>9684216084</v>
      </c>
      <c r="F904" s="2" t="str">
        <f>IFERROR(__xludf.DUMMYFUNCTION("""COMPUTED_VALUE"""),"RCEF 25-03-05")</f>
        <v>RCEF 25-03-05</v>
      </c>
      <c r="G904" s="2">
        <f>IFERROR(__xludf.DUMMYFUNCTION("""COMPUTED_VALUE"""),7.0)</f>
        <v>7</v>
      </c>
      <c r="H904" s="2" t="str">
        <f>IFERROR(__xludf.DUMMYFUNCTION("""COMPUTED_VALUE"""),"26903 &amp; 27945")</f>
        <v>26903 &amp; 27945</v>
      </c>
      <c r="I904" s="2" t="str">
        <f>IFERROR(__xludf.DUMMYFUNCTION("""COMPUTED_VALUE"""),"KMC5825 ALSFPV0368")</f>
        <v>KMC5825 ALSFPV0368</v>
      </c>
      <c r="J904" s="3" t="str">
        <f>IFERROR(__xludf.DUMMYFUNCTION("""COMPUTED_VALUE"""),"STS100429")</f>
        <v>STS100429</v>
      </c>
      <c r="K904" s="2" t="str">
        <f>IFERROR(__xludf.DUMMYFUNCTION("""COMPUTED_VALUE"""),"R- SERIES 248 PH")</f>
        <v>R- SERIES 248 PH</v>
      </c>
      <c r="L904" s="3" t="str">
        <f>IFERROR(__xludf.DUMMYFUNCTION("""COMPUTED_VALUE"""),"25090587")</f>
        <v>25090587</v>
      </c>
      <c r="M904" s="3">
        <f>IFERROR(__xludf.DUMMYFUNCTION("""COMPUTED_VALUE"""),2.5121318E7)</f>
        <v>25121318</v>
      </c>
      <c r="N904" s="2"/>
      <c r="O904" s="2" t="str">
        <f>IFERROR(__xludf.DUMMYFUNCTION("""COMPUTED_VALUE"""),"Tiwi")</f>
        <v>Tiwi</v>
      </c>
      <c r="P904" s="2" t="str">
        <f>IFERROR(__xludf.DUMMYFUNCTION("""COMPUTED_VALUE"""),"Barotac Nuevo")</f>
        <v>Barotac Nuevo</v>
      </c>
      <c r="Q904" s="2" t="str">
        <f>IFERROR(__xludf.DUMMYFUNCTION("""COMPUTED_VALUE"""),"Iloilo")</f>
        <v>Iloilo</v>
      </c>
      <c r="R904" s="2">
        <f>IFERROR(__xludf.DUMMYFUNCTION("""COMPUTED_VALUE"""),6.0)</f>
        <v>6</v>
      </c>
      <c r="S904" s="2"/>
      <c r="T904" s="2"/>
    </row>
    <row r="905">
      <c r="A905" s="1">
        <f>IFERROR(__xludf.DUMMYFUNCTION("""COMPUTED_VALUE"""),903.0)</f>
        <v>903</v>
      </c>
      <c r="B905" s="2" t="str">
        <f>IFERROR(__xludf.DUMMYFUNCTION("""COMPUTED_VALUE"""),"PD Monfort North Irrigators' Association, Inc.")</f>
        <v>PD Monfort North Irrigators' Association, Inc.</v>
      </c>
      <c r="C905" s="2" t="str">
        <f>IFERROR(__xludf.DUMMYFUNCTION("""COMPUTED_VALUE"""),"Pd Monfort North (Lublub), Dumangas, ILOILO")</f>
        <v>Pd Monfort North (Lublub), Dumangas, ILOILO</v>
      </c>
      <c r="D905" s="2" t="str">
        <f>IFERROR(__xludf.DUMMYFUNCTION("""COMPUTED_VALUE"""),"Thelma Estocada")</f>
        <v>Thelma Estocada</v>
      </c>
      <c r="E905" s="2">
        <f>IFERROR(__xludf.DUMMYFUNCTION("""COMPUTED_VALUE"""),9.304950624E9)</f>
        <v>9304950624</v>
      </c>
      <c r="F905" s="2" t="str">
        <f>IFERROR(__xludf.DUMMYFUNCTION("""COMPUTED_VALUE"""),"RCEF 25-03-05")</f>
        <v>RCEF 25-03-05</v>
      </c>
      <c r="G905" s="2">
        <f>IFERROR(__xludf.DUMMYFUNCTION("""COMPUTED_VALUE"""),7.0)</f>
        <v>7</v>
      </c>
      <c r="H905" s="2" t="str">
        <f>IFERROR(__xludf.DUMMYFUNCTION("""COMPUTED_VALUE"""),"26904 &amp; 27946")</f>
        <v>26904 &amp; 27946</v>
      </c>
      <c r="I905" s="2" t="str">
        <f>IFERROR(__xludf.DUMMYFUNCTION("""COMPUTED_VALUE"""),"KMC5825 ACSFPV0365")</f>
        <v>KMC5825 ACSFPV0365</v>
      </c>
      <c r="J905" s="3" t="str">
        <f>IFERROR(__xludf.DUMMYFUNCTION("""COMPUTED_VALUE"""),"STS100392")</f>
        <v>STS100392</v>
      </c>
      <c r="K905" s="2" t="str">
        <f>IFERROR(__xludf.DUMMYFUNCTION("""COMPUTED_VALUE"""),"R- SERIES 251 PH")</f>
        <v>R- SERIES 251 PH</v>
      </c>
      <c r="L905" s="3" t="str">
        <f>IFERROR(__xludf.DUMMYFUNCTION("""COMPUTED_VALUE"""),"25090553")</f>
        <v>25090553</v>
      </c>
      <c r="M905" s="3">
        <f>IFERROR(__xludf.DUMMYFUNCTION("""COMPUTED_VALUE"""),2.5121319E7)</f>
        <v>25121319</v>
      </c>
      <c r="N905" s="2"/>
      <c r="O905" s="2" t="str">
        <f>IFERROR(__xludf.DUMMYFUNCTION("""COMPUTED_VALUE"""),"Pd Monfort North (Lublub)")</f>
        <v>Pd Monfort North (Lublub)</v>
      </c>
      <c r="P905" s="2" t="str">
        <f>IFERROR(__xludf.DUMMYFUNCTION("""COMPUTED_VALUE"""),"Dumangas")</f>
        <v>Dumangas</v>
      </c>
      <c r="Q905" s="2" t="str">
        <f>IFERROR(__xludf.DUMMYFUNCTION("""COMPUTED_VALUE"""),"Iloilo")</f>
        <v>Iloilo</v>
      </c>
      <c r="R905" s="2">
        <f>IFERROR(__xludf.DUMMYFUNCTION("""COMPUTED_VALUE"""),6.0)</f>
        <v>6</v>
      </c>
      <c r="S905" s="2"/>
      <c r="T905" s="2"/>
    </row>
    <row r="906">
      <c r="A906" s="1">
        <f>IFERROR(__xludf.DUMMYFUNCTION("""COMPUTED_VALUE"""),904.0)</f>
        <v>904</v>
      </c>
      <c r="B906" s="2" t="str">
        <f>IFERROR(__xludf.DUMMYFUNCTION("""COMPUTED_VALUE"""),"AGSARALO-IPROG FARMERS ASSOCIATION")</f>
        <v>AGSARALO-IPROG FARMERS ASSOCIATION</v>
      </c>
      <c r="C906" s="2" t="str">
        <f>IFERROR(__xludf.DUMMYFUNCTION("""COMPUTED_VALUE"""),", San Enrique, ILOILO")</f>
        <v>, San Enrique, ILOILO</v>
      </c>
      <c r="D906" s="2" t="str">
        <f>IFERROR(__xludf.DUMMYFUNCTION("""COMPUTED_VALUE"""),"RENE TOLENTINO")</f>
        <v>RENE TOLENTINO</v>
      </c>
      <c r="E906" s="2">
        <f>IFERROR(__xludf.DUMMYFUNCTION("""COMPUTED_VALUE"""),9.700609027E9)</f>
        <v>9700609027</v>
      </c>
      <c r="F906" s="2" t="str">
        <f>IFERROR(__xludf.DUMMYFUNCTION("""COMPUTED_VALUE"""),"RCEF 25-03-05")</f>
        <v>RCEF 25-03-05</v>
      </c>
      <c r="G906" s="2">
        <f>IFERROR(__xludf.DUMMYFUNCTION("""COMPUTED_VALUE"""),7.0)</f>
        <v>7</v>
      </c>
      <c r="H906" s="2" t="str">
        <f>IFERROR(__xludf.DUMMYFUNCTION("""COMPUTED_VALUE"""),"26905 &amp; 27947")</f>
        <v>26905 &amp; 27947</v>
      </c>
      <c r="I906" s="2" t="str">
        <f>IFERROR(__xludf.DUMMYFUNCTION("""COMPUTED_VALUE"""),"KMC5825 AHSFPV0419")</f>
        <v>KMC5825 AHSFPV0419</v>
      </c>
      <c r="J906" s="3" t="str">
        <f>IFERROR(__xludf.DUMMYFUNCTION("""COMPUTED_VALUE"""),"STS100477")</f>
        <v>STS100477</v>
      </c>
      <c r="K906" s="2" t="str">
        <f>IFERROR(__xludf.DUMMYFUNCTION("""COMPUTED_VALUE"""),"R- SERIES 263 PH")</f>
        <v>R- SERIES 263 PH</v>
      </c>
      <c r="L906" s="3" t="str">
        <f>IFERROR(__xludf.DUMMYFUNCTION("""COMPUTED_VALUE"""),"25090633")</f>
        <v>25090633</v>
      </c>
      <c r="M906" s="3">
        <f>IFERROR(__xludf.DUMMYFUNCTION("""COMPUTED_VALUE"""),2.512132E7)</f>
        <v>25121320</v>
      </c>
      <c r="N906" s="2"/>
      <c r="O906" s="2" t="str">
        <f>IFERROR(__xludf.DUMMYFUNCTION("""COMPUTED_VALUE"""),"")</f>
        <v/>
      </c>
      <c r="P906" s="2" t="str">
        <f>IFERROR(__xludf.DUMMYFUNCTION("""COMPUTED_VALUE"""),"San Enrique")</f>
        <v>San Enrique</v>
      </c>
      <c r="Q906" s="2" t="str">
        <f>IFERROR(__xludf.DUMMYFUNCTION("""COMPUTED_VALUE"""),"Iloilo")</f>
        <v>Iloilo</v>
      </c>
      <c r="R906" s="2">
        <f>IFERROR(__xludf.DUMMYFUNCTION("""COMPUTED_VALUE"""),6.0)</f>
        <v>6</v>
      </c>
      <c r="S906" s="2"/>
      <c r="T906" s="2"/>
    </row>
    <row r="907">
      <c r="A907" s="1">
        <f>IFERROR(__xludf.DUMMYFUNCTION("""COMPUTED_VALUE"""),905.0)</f>
        <v>905</v>
      </c>
      <c r="B907" s="2" t="str">
        <f>IFERROR(__xludf.DUMMYFUNCTION("""COMPUTED_VALUE"""),"Compo Farmers Association")</f>
        <v>Compo Farmers Association</v>
      </c>
      <c r="C907" s="2" t="str">
        <f>IFERROR(__xludf.DUMMYFUNCTION("""COMPUTED_VALUE"""),"Compo, San Enrique, ILOILO")</f>
        <v>Compo, San Enrique, ILOILO</v>
      </c>
      <c r="D907" s="2" t="str">
        <f>IFERROR(__xludf.DUMMYFUNCTION("""COMPUTED_VALUE"""),"Danilo L. Pacardo")</f>
        <v>Danilo L. Pacardo</v>
      </c>
      <c r="E907" s="2">
        <f>IFERROR(__xludf.DUMMYFUNCTION("""COMPUTED_VALUE"""),9.30353602E9)</f>
        <v>9303536020</v>
      </c>
      <c r="F907" s="2" t="str">
        <f>IFERROR(__xludf.DUMMYFUNCTION("""COMPUTED_VALUE"""),"RCEF 25-03-05")</f>
        <v>RCEF 25-03-05</v>
      </c>
      <c r="G907" s="2">
        <f>IFERROR(__xludf.DUMMYFUNCTION("""COMPUTED_VALUE"""),7.0)</f>
        <v>7</v>
      </c>
      <c r="H907" s="2" t="str">
        <f>IFERROR(__xludf.DUMMYFUNCTION("""COMPUTED_VALUE"""),"26906 &amp; 27948")</f>
        <v>26906 &amp; 27948</v>
      </c>
      <c r="I907" s="2" t="str">
        <f>IFERROR(__xludf.DUMMYFUNCTION("""COMPUTED_VALUE"""),"KMC5825 AJSFPV0316")</f>
        <v>KMC5825 AJSFPV0316</v>
      </c>
      <c r="J907" s="3" t="str">
        <f>IFERROR(__xludf.DUMMYFUNCTION("""COMPUTED_VALUE"""),"STS100322")</f>
        <v>STS100322</v>
      </c>
      <c r="K907" s="2" t="str">
        <f>IFERROR(__xludf.DUMMYFUNCTION("""COMPUTED_VALUE"""),"R- SERIES 268 PH")</f>
        <v>R- SERIES 268 PH</v>
      </c>
      <c r="L907" s="3" t="str">
        <f>IFERROR(__xludf.DUMMYFUNCTION("""COMPUTED_VALUE"""),"25090607")</f>
        <v>25090607</v>
      </c>
      <c r="M907" s="3">
        <f>IFERROR(__xludf.DUMMYFUNCTION("""COMPUTED_VALUE"""),2.5121321E7)</f>
        <v>25121321</v>
      </c>
      <c r="N907" s="2"/>
      <c r="O907" s="2" t="str">
        <f>IFERROR(__xludf.DUMMYFUNCTION("""COMPUTED_VALUE"""),"Compo")</f>
        <v>Compo</v>
      </c>
      <c r="P907" s="2" t="str">
        <f>IFERROR(__xludf.DUMMYFUNCTION("""COMPUTED_VALUE"""),"San Enrique")</f>
        <v>San Enrique</v>
      </c>
      <c r="Q907" s="2" t="str">
        <f>IFERROR(__xludf.DUMMYFUNCTION("""COMPUTED_VALUE"""),"Iloilo")</f>
        <v>Iloilo</v>
      </c>
      <c r="R907" s="2">
        <f>IFERROR(__xludf.DUMMYFUNCTION("""COMPUTED_VALUE"""),6.0)</f>
        <v>6</v>
      </c>
      <c r="S907" s="2"/>
      <c r="T907" s="2"/>
    </row>
    <row r="908">
      <c r="A908" s="1">
        <f>IFERROR(__xludf.DUMMYFUNCTION("""COMPUTED_VALUE"""),906.0)</f>
        <v>906</v>
      </c>
      <c r="B908" s="2" t="str">
        <f>IFERROR(__xludf.DUMMYFUNCTION("""COMPUTED_VALUE"""),"ASOSASYON SNG MANGUGUMA SA POBLACION")</f>
        <v>ASOSASYON SNG MANGUGUMA SA POBLACION</v>
      </c>
      <c r="C908" s="2" t="str">
        <f>IFERROR(__xludf.DUMMYFUNCTION("""COMPUTED_VALUE"""),"Poblacion, Ajuy, ILOILO")</f>
        <v>Poblacion, Ajuy, ILOILO</v>
      </c>
      <c r="D908" s="2" t="str">
        <f>IFERROR(__xludf.DUMMYFUNCTION("""COMPUTED_VALUE"""),"CELDY AZUELO")</f>
        <v>CELDY AZUELO</v>
      </c>
      <c r="E908" s="2">
        <f>IFERROR(__xludf.DUMMYFUNCTION("""COMPUTED_VALUE"""),9.690440207E9)</f>
        <v>9690440207</v>
      </c>
      <c r="F908" s="2" t="str">
        <f>IFERROR(__xludf.DUMMYFUNCTION("""COMPUTED_VALUE"""),"RCEF 25-03-05")</f>
        <v>RCEF 25-03-05</v>
      </c>
      <c r="G908" s="2">
        <f>IFERROR(__xludf.DUMMYFUNCTION("""COMPUTED_VALUE"""),7.0)</f>
        <v>7</v>
      </c>
      <c r="H908" s="2" t="str">
        <f>IFERROR(__xludf.DUMMYFUNCTION("""COMPUTED_VALUE"""),"26907 &amp; 27949")</f>
        <v>26907 &amp; 27949</v>
      </c>
      <c r="I908" s="2" t="str">
        <f>IFERROR(__xludf.DUMMYFUNCTION("""COMPUTED_VALUE"""),"KMC5825 ACSFPV0317")</f>
        <v>KMC5825 ACSFPV0317</v>
      </c>
      <c r="J908" s="3" t="str">
        <f>IFERROR(__xludf.DUMMYFUNCTION("""COMPUTED_VALUE"""),"STS100321")</f>
        <v>STS100321</v>
      </c>
      <c r="K908" s="2" t="str">
        <f>IFERROR(__xludf.DUMMYFUNCTION("""COMPUTED_VALUE"""),"R- SERIES 260 PH")</f>
        <v>R- SERIES 260 PH</v>
      </c>
      <c r="L908" s="3" t="str">
        <f>IFERROR(__xludf.DUMMYFUNCTION("""COMPUTED_VALUE"""),"25090634")</f>
        <v>25090634</v>
      </c>
      <c r="M908" s="3">
        <f>IFERROR(__xludf.DUMMYFUNCTION("""COMPUTED_VALUE"""),2.5121322E7)</f>
        <v>25121322</v>
      </c>
      <c r="N908" s="2"/>
      <c r="O908" s="2" t="str">
        <f>IFERROR(__xludf.DUMMYFUNCTION("""COMPUTED_VALUE"""),"Poblacion")</f>
        <v>Poblacion</v>
      </c>
      <c r="P908" s="2" t="str">
        <f>IFERROR(__xludf.DUMMYFUNCTION("""COMPUTED_VALUE"""),"Ajuy")</f>
        <v>Ajuy</v>
      </c>
      <c r="Q908" s="2" t="str">
        <f>IFERROR(__xludf.DUMMYFUNCTION("""COMPUTED_VALUE"""),"Iloilo")</f>
        <v>Iloilo</v>
      </c>
      <c r="R908" s="2">
        <f>IFERROR(__xludf.DUMMYFUNCTION("""COMPUTED_VALUE"""),6.0)</f>
        <v>6</v>
      </c>
      <c r="S908" s="2"/>
      <c r="T908" s="2"/>
    </row>
    <row r="909">
      <c r="A909" s="1">
        <f>IFERROR(__xludf.DUMMYFUNCTION("""COMPUTED_VALUE"""),907.0)</f>
        <v>907</v>
      </c>
      <c r="B909" s="2" t="str">
        <f>IFERROR(__xludf.DUMMYFUNCTION("""COMPUTED_VALUE"""),"BARANGAY TIPACLA FARMERS ASSOCIATION")</f>
        <v>BARANGAY TIPACLA FARMERS ASSOCIATION</v>
      </c>
      <c r="C909" s="2" t="str">
        <f>IFERROR(__xludf.DUMMYFUNCTION("""COMPUTED_VALUE"""),"Tipacla, Ajuy, ILOILO")</f>
        <v>Tipacla, Ajuy, ILOILO</v>
      </c>
      <c r="D909" s="2" t="str">
        <f>IFERROR(__xludf.DUMMYFUNCTION("""COMPUTED_VALUE"""),"RYAN CABALLERO")</f>
        <v>RYAN CABALLERO</v>
      </c>
      <c r="E909" s="2">
        <f>IFERROR(__xludf.DUMMYFUNCTION("""COMPUTED_VALUE"""),9.510636476E9)</f>
        <v>9510636476</v>
      </c>
      <c r="F909" s="2" t="str">
        <f>IFERROR(__xludf.DUMMYFUNCTION("""COMPUTED_VALUE"""),"RCEF 25-03-05")</f>
        <v>RCEF 25-03-05</v>
      </c>
      <c r="G909" s="2">
        <f>IFERROR(__xludf.DUMMYFUNCTION("""COMPUTED_VALUE"""),7.0)</f>
        <v>7</v>
      </c>
      <c r="H909" s="2" t="str">
        <f>IFERROR(__xludf.DUMMYFUNCTION("""COMPUTED_VALUE"""),"26908 &amp; 27950")</f>
        <v>26908 &amp; 27950</v>
      </c>
      <c r="I909" s="2" t="str">
        <f>IFERROR(__xludf.DUMMYFUNCTION("""COMPUTED_VALUE"""),"KMC5825 AESFPV0387")</f>
        <v>KMC5825 AESFPV0387</v>
      </c>
      <c r="J909" s="3" t="str">
        <f>IFERROR(__xludf.DUMMYFUNCTION("""COMPUTED_VALUE"""),"STS100461")</f>
        <v>STS100461</v>
      </c>
      <c r="K909" s="2" t="str">
        <f>IFERROR(__xludf.DUMMYFUNCTION("""COMPUTED_VALUE"""),"R- SERIES 272 PH")</f>
        <v>R- SERIES 272 PH</v>
      </c>
      <c r="L909" s="3" t="str">
        <f>IFERROR(__xludf.DUMMYFUNCTION("""COMPUTED_VALUE"""),"25090594")</f>
        <v>25090594</v>
      </c>
      <c r="M909" s="3">
        <f>IFERROR(__xludf.DUMMYFUNCTION("""COMPUTED_VALUE"""),2.5121323E7)</f>
        <v>25121323</v>
      </c>
      <c r="N909" s="2"/>
      <c r="O909" s="2" t="str">
        <f>IFERROR(__xludf.DUMMYFUNCTION("""COMPUTED_VALUE"""),"Tipacla")</f>
        <v>Tipacla</v>
      </c>
      <c r="P909" s="2" t="str">
        <f>IFERROR(__xludf.DUMMYFUNCTION("""COMPUTED_VALUE"""),"Ajuy")</f>
        <v>Ajuy</v>
      </c>
      <c r="Q909" s="2" t="str">
        <f>IFERROR(__xludf.DUMMYFUNCTION("""COMPUTED_VALUE"""),"Iloilo")</f>
        <v>Iloilo</v>
      </c>
      <c r="R909" s="2">
        <f>IFERROR(__xludf.DUMMYFUNCTION("""COMPUTED_VALUE"""),6.0)</f>
        <v>6</v>
      </c>
      <c r="S909" s="2"/>
      <c r="T909" s="2"/>
    </row>
    <row r="910">
      <c r="A910" s="1">
        <f>IFERROR(__xludf.DUMMYFUNCTION("""COMPUTED_VALUE"""),908.0)</f>
        <v>908</v>
      </c>
      <c r="B910" s="2" t="str">
        <f>IFERROR(__xludf.DUMMYFUNCTION("""COMPUTED_VALUE"""),"Alapasco Bulak Sur Irrigators' Service Association Inc.")</f>
        <v>Alapasco Bulak Sur Irrigators' Service Association Inc.</v>
      </c>
      <c r="C910" s="2" t="str">
        <f>IFERROR(__xludf.DUMMYFUNCTION("""COMPUTED_VALUE"""),"Bulak Sur, Batad, ILOILO")</f>
        <v>Bulak Sur, Batad, ILOILO</v>
      </c>
      <c r="D910" s="2" t="str">
        <f>IFERROR(__xludf.DUMMYFUNCTION("""COMPUTED_VALUE"""),"Armando B. Balsomo")</f>
        <v>Armando B. Balsomo</v>
      </c>
      <c r="E910" s="2" t="str">
        <f>IFERROR(__xludf.DUMMYFUNCTION("""COMPUTED_VALUE"""),"0915-325-2701")</f>
        <v>0915-325-2701</v>
      </c>
      <c r="F910" s="2" t="str">
        <f>IFERROR(__xludf.DUMMYFUNCTION("""COMPUTED_VALUE"""),"RCEF 25-03-05")</f>
        <v>RCEF 25-03-05</v>
      </c>
      <c r="G910" s="2">
        <f>IFERROR(__xludf.DUMMYFUNCTION("""COMPUTED_VALUE"""),7.0)</f>
        <v>7</v>
      </c>
      <c r="H910" s="2" t="str">
        <f>IFERROR(__xludf.DUMMYFUNCTION("""COMPUTED_VALUE"""),"26909 &amp; 27951")</f>
        <v>26909 &amp; 27951</v>
      </c>
      <c r="I910" s="2" t="str">
        <f>IFERROR(__xludf.DUMMYFUNCTION("""COMPUTED_VALUE"""),"KMC5825 ACSFPV0351")</f>
        <v>KMC5825 ACSFPV0351</v>
      </c>
      <c r="J910" s="3" t="str">
        <f>IFERROR(__xludf.DUMMYFUNCTION("""COMPUTED_VALUE"""),"STS100329")</f>
        <v>STS100329</v>
      </c>
      <c r="K910" s="2" t="str">
        <f>IFERROR(__xludf.DUMMYFUNCTION("""COMPUTED_VALUE"""),"R-SERIES 076 PH")</f>
        <v>R-SERIES 076 PH</v>
      </c>
      <c r="L910" s="3" t="str">
        <f>IFERROR(__xludf.DUMMYFUNCTION("""COMPUTED_VALUE"""),"25090608")</f>
        <v>25090608</v>
      </c>
      <c r="M910" s="3">
        <f>IFERROR(__xludf.DUMMYFUNCTION("""COMPUTED_VALUE"""),2.5121324E7)</f>
        <v>25121324</v>
      </c>
      <c r="N910" s="2"/>
      <c r="O910" s="2" t="str">
        <f>IFERROR(__xludf.DUMMYFUNCTION("""COMPUTED_VALUE"""),"Bulak Sur")</f>
        <v>Bulak Sur</v>
      </c>
      <c r="P910" s="2" t="str">
        <f>IFERROR(__xludf.DUMMYFUNCTION("""COMPUTED_VALUE"""),"Batad")</f>
        <v>Batad</v>
      </c>
      <c r="Q910" s="2" t="str">
        <f>IFERROR(__xludf.DUMMYFUNCTION("""COMPUTED_VALUE"""),"Iloilo")</f>
        <v>Iloilo</v>
      </c>
      <c r="R910" s="2">
        <f>IFERROR(__xludf.DUMMYFUNCTION("""COMPUTED_VALUE"""),6.0)</f>
        <v>6</v>
      </c>
      <c r="S910" s="2"/>
      <c r="T910" s="2"/>
    </row>
    <row r="911">
      <c r="A911" s="1">
        <f>IFERROR(__xludf.DUMMYFUNCTION("""COMPUTED_VALUE"""),909.0)</f>
        <v>909</v>
      </c>
      <c r="B911" s="2" t="str">
        <f>IFERROR(__xludf.DUMMYFUNCTION("""COMPUTED_VALUE"""),"Milan Farmers Association")</f>
        <v>Milan Farmers Association</v>
      </c>
      <c r="C911" s="2" t="str">
        <f>IFERROR(__xludf.DUMMYFUNCTION("""COMPUTED_VALUE"""),"Milan, Lemery, ILOILO")</f>
        <v>Milan, Lemery, ILOILO</v>
      </c>
      <c r="D911" s="2" t="str">
        <f>IFERROR(__xludf.DUMMYFUNCTION("""COMPUTED_VALUE"""),"Eduardo L. Marcelino")</f>
        <v>Eduardo L. Marcelino</v>
      </c>
      <c r="E911" s="2" t="str">
        <f>IFERROR(__xludf.DUMMYFUNCTION("""COMPUTED_VALUE"""),"0919 900 1346/ 0946 540 1137")</f>
        <v>0919 900 1346/ 0946 540 1137</v>
      </c>
      <c r="F911" s="2" t="str">
        <f>IFERROR(__xludf.DUMMYFUNCTION("""COMPUTED_VALUE"""),"RCEF 25-03-05")</f>
        <v>RCEF 25-03-05</v>
      </c>
      <c r="G911" s="2">
        <f>IFERROR(__xludf.DUMMYFUNCTION("""COMPUTED_VALUE"""),7.0)</f>
        <v>7</v>
      </c>
      <c r="H911" s="2" t="str">
        <f>IFERROR(__xludf.DUMMYFUNCTION("""COMPUTED_VALUE"""),"26910 &amp; 27952")</f>
        <v>26910 &amp; 27952</v>
      </c>
      <c r="I911" s="2" t="str">
        <f>IFERROR(__xludf.DUMMYFUNCTION("""COMPUTED_VALUE"""),"KMC5825 AHSFPV0369")</f>
        <v>KMC5825 AHSFPV0369</v>
      </c>
      <c r="J911" s="3" t="str">
        <f>IFERROR(__xludf.DUMMYFUNCTION("""COMPUTED_VALUE"""),"STS100424")</f>
        <v>STS100424</v>
      </c>
      <c r="K911" s="2" t="str">
        <f>IFERROR(__xludf.DUMMYFUNCTION("""COMPUTED_VALUE"""),"R- SERIES 109 PH")</f>
        <v>R- SERIES 109 PH</v>
      </c>
      <c r="L911" s="3" t="str">
        <f>IFERROR(__xludf.DUMMYFUNCTION("""COMPUTED_VALUE"""),"25096609")</f>
        <v>25096609</v>
      </c>
      <c r="M911" s="3">
        <f>IFERROR(__xludf.DUMMYFUNCTION("""COMPUTED_VALUE"""),2.5121325E7)</f>
        <v>25121325</v>
      </c>
      <c r="N911" s="2"/>
      <c r="O911" s="2" t="str">
        <f>IFERROR(__xludf.DUMMYFUNCTION("""COMPUTED_VALUE"""),"Milan")</f>
        <v>Milan</v>
      </c>
      <c r="P911" s="2" t="str">
        <f>IFERROR(__xludf.DUMMYFUNCTION("""COMPUTED_VALUE"""),"Lemery")</f>
        <v>Lemery</v>
      </c>
      <c r="Q911" s="2" t="str">
        <f>IFERROR(__xludf.DUMMYFUNCTION("""COMPUTED_VALUE"""),"Iloilo")</f>
        <v>Iloilo</v>
      </c>
      <c r="R911" s="2">
        <f>IFERROR(__xludf.DUMMYFUNCTION("""COMPUTED_VALUE"""),6.0)</f>
        <v>6</v>
      </c>
      <c r="S911" s="2"/>
      <c r="T911" s="2"/>
    </row>
    <row r="912">
      <c r="A912" s="1">
        <f>IFERROR(__xludf.DUMMYFUNCTION("""COMPUTED_VALUE"""),910.0)</f>
        <v>910</v>
      </c>
      <c r="B912" s="2" t="str">
        <f>IFERROR(__xludf.DUMMYFUNCTION("""COMPUTED_VALUE"""),"Municipal Local Government Unit of San Rafael")</f>
        <v>Municipal Local Government Unit of San Rafael</v>
      </c>
      <c r="C912" s="2" t="str">
        <f>IFERROR(__xludf.DUMMYFUNCTION("""COMPUTED_VALUE"""),"Poblacion, San Rafael, ILOILO")</f>
        <v>Poblacion, San Rafael, ILOILO</v>
      </c>
      <c r="D912" s="2" t="str">
        <f>IFERROR(__xludf.DUMMYFUNCTION("""COMPUTED_VALUE"""),"ROBERTO BELLEZA JR.")</f>
        <v>ROBERTO BELLEZA JR.</v>
      </c>
      <c r="E912" s="2">
        <f>IFERROR(__xludf.DUMMYFUNCTION("""COMPUTED_VALUE"""),9.99880519E8)</f>
        <v>999880519</v>
      </c>
      <c r="F912" s="2" t="str">
        <f>IFERROR(__xludf.DUMMYFUNCTION("""COMPUTED_VALUE"""),"RCEF 25-03-05")</f>
        <v>RCEF 25-03-05</v>
      </c>
      <c r="G912" s="2">
        <f>IFERROR(__xludf.DUMMYFUNCTION("""COMPUTED_VALUE"""),7.0)</f>
        <v>7</v>
      </c>
      <c r="H912" s="2" t="str">
        <f>IFERROR(__xludf.DUMMYFUNCTION("""COMPUTED_VALUE"""),"26911 &amp; 27953")</f>
        <v>26911 &amp; 27953</v>
      </c>
      <c r="I912" s="2" t="str">
        <f>IFERROR(__xludf.DUMMYFUNCTION("""COMPUTED_VALUE"""),"KMC5825 ALSFPV0404")</f>
        <v>KMC5825 ALSFPV0404</v>
      </c>
      <c r="J912" s="3" t="str">
        <f>IFERROR(__xludf.DUMMYFUNCTION("""COMPUTED_VALUE"""),"STS100471")</f>
        <v>STS100471</v>
      </c>
      <c r="K912" s="2" t="str">
        <f>IFERROR(__xludf.DUMMYFUNCTION("""COMPUTED_VALUE"""),"R- SERIES 280 PH")</f>
        <v>R- SERIES 280 PH</v>
      </c>
      <c r="L912" s="3" t="str">
        <f>IFERROR(__xludf.DUMMYFUNCTION("""COMPUTED_VALUE"""),"2509600")</f>
        <v>2509600</v>
      </c>
      <c r="M912" s="3">
        <f>IFERROR(__xludf.DUMMYFUNCTION("""COMPUTED_VALUE"""),2.5121326E7)</f>
        <v>25121326</v>
      </c>
      <c r="N912" s="2"/>
      <c r="O912" s="2" t="str">
        <f>IFERROR(__xludf.DUMMYFUNCTION("""COMPUTED_VALUE"""),"Poblacion")</f>
        <v>Poblacion</v>
      </c>
      <c r="P912" s="2" t="str">
        <f>IFERROR(__xludf.DUMMYFUNCTION("""COMPUTED_VALUE"""),"San Rafael")</f>
        <v>San Rafael</v>
      </c>
      <c r="Q912" s="2" t="str">
        <f>IFERROR(__xludf.DUMMYFUNCTION("""COMPUTED_VALUE"""),"Iloilo")</f>
        <v>Iloilo</v>
      </c>
      <c r="R912" s="2">
        <f>IFERROR(__xludf.DUMMYFUNCTION("""COMPUTED_VALUE"""),6.0)</f>
        <v>6</v>
      </c>
      <c r="S912" s="2"/>
      <c r="T912" s="2"/>
    </row>
    <row r="913">
      <c r="A913" s="1">
        <f>IFERROR(__xludf.DUMMYFUNCTION("""COMPUTED_VALUE"""),911.0)</f>
        <v>911</v>
      </c>
      <c r="B913" s="2" t="str">
        <f>IFERROR(__xludf.DUMMYFUNCTION("""COMPUTED_VALUE"""),"Pasig Integrated Farmers Association")</f>
        <v>Pasig Integrated Farmers Association</v>
      </c>
      <c r="C913" s="2" t="str">
        <f>IFERROR(__xludf.DUMMYFUNCTION("""COMPUTED_VALUE"""),"Pasig, Sara, ILOILO")</f>
        <v>Pasig, Sara, ILOILO</v>
      </c>
      <c r="D913" s="2" t="str">
        <f>IFERROR(__xludf.DUMMYFUNCTION("""COMPUTED_VALUE"""),"Danilo Dangan")</f>
        <v>Danilo Dangan</v>
      </c>
      <c r="E913" s="2">
        <f>IFERROR(__xludf.DUMMYFUNCTION("""COMPUTED_VALUE"""),9.640869974E9)</f>
        <v>9640869974</v>
      </c>
      <c r="F913" s="2" t="str">
        <f>IFERROR(__xludf.DUMMYFUNCTION("""COMPUTED_VALUE"""),"RCEF 25-03-05")</f>
        <v>RCEF 25-03-05</v>
      </c>
      <c r="G913" s="2">
        <f>IFERROR(__xludf.DUMMYFUNCTION("""COMPUTED_VALUE"""),7.0)</f>
        <v>7</v>
      </c>
      <c r="H913" s="2" t="str">
        <f>IFERROR(__xludf.DUMMYFUNCTION("""COMPUTED_VALUE"""),"26912 &amp; 27954")</f>
        <v>26912 &amp; 27954</v>
      </c>
      <c r="I913" s="2" t="str">
        <f>IFERROR(__xludf.DUMMYFUNCTION("""COMPUTED_VALUE"""),"KMC5825 AKSFPV0380")</f>
        <v>KMC5825 AKSFPV0380</v>
      </c>
      <c r="J913" s="3" t="str">
        <f>IFERROR(__xludf.DUMMYFUNCTION("""COMPUTED_VALUE"""),"STS100451")</f>
        <v>STS100451</v>
      </c>
      <c r="K913" s="2" t="str">
        <f>IFERROR(__xludf.DUMMYFUNCTION("""COMPUTED_VALUE"""),"R- SERIES 281 PH")</f>
        <v>R- SERIES 281 PH</v>
      </c>
      <c r="L913" s="3" t="str">
        <f>IFERROR(__xludf.DUMMYFUNCTION("""COMPUTED_VALUE"""),"25090585")</f>
        <v>25090585</v>
      </c>
      <c r="M913" s="3">
        <f>IFERROR(__xludf.DUMMYFUNCTION("""COMPUTED_VALUE"""),2.5121327E7)</f>
        <v>25121327</v>
      </c>
      <c r="N913" s="2"/>
      <c r="O913" s="2" t="str">
        <f>IFERROR(__xludf.DUMMYFUNCTION("""COMPUTED_VALUE"""),"Pasig")</f>
        <v>Pasig</v>
      </c>
      <c r="P913" s="2" t="str">
        <f>IFERROR(__xludf.DUMMYFUNCTION("""COMPUTED_VALUE"""),"Sara")</f>
        <v>Sara</v>
      </c>
      <c r="Q913" s="2" t="str">
        <f>IFERROR(__xludf.DUMMYFUNCTION("""COMPUTED_VALUE"""),"Iloilo")</f>
        <v>Iloilo</v>
      </c>
      <c r="R913" s="2">
        <f>IFERROR(__xludf.DUMMYFUNCTION("""COMPUTED_VALUE"""),6.0)</f>
        <v>6</v>
      </c>
      <c r="S913" s="2"/>
      <c r="T913" s="2"/>
    </row>
    <row r="914">
      <c r="A914" s="1">
        <f>IFERROR(__xludf.DUMMYFUNCTION("""COMPUTED_VALUE"""),912.0)</f>
        <v>912</v>
      </c>
      <c r="B914" s="2" t="str">
        <f>IFERROR(__xludf.DUMMYFUNCTION("""COMPUTED_VALUE"""),"CAUSWAGAN NORTE CATIGBIAN FARMERS AGRICULTURE COOPERATIVE (CANCAFAC)")</f>
        <v>CAUSWAGAN NORTE CATIGBIAN FARMERS AGRICULTURE COOPERATIVE (CANCAFAC)</v>
      </c>
      <c r="C914" s="2" t="str">
        <f>IFERROR(__xludf.DUMMYFUNCTION("""COMPUTED_VALUE"""),"Causwagan Norte, Catigbian, BOHOL")</f>
        <v>Causwagan Norte, Catigbian, BOHOL</v>
      </c>
      <c r="D914" s="2" t="str">
        <f>IFERROR(__xludf.DUMMYFUNCTION("""COMPUTED_VALUE"""),"Leonila G. Buhawe")</f>
        <v>Leonila G. Buhawe</v>
      </c>
      <c r="E914" s="2" t="str">
        <f>IFERROR(__xludf.DUMMYFUNCTION("""COMPUTED_VALUE"""),"0909-197-6464")</f>
        <v>0909-197-6464</v>
      </c>
      <c r="F914" s="2" t="str">
        <f>IFERROR(__xludf.DUMMYFUNCTION("""COMPUTED_VALUE"""),"RCEF 25-03-05")</f>
        <v>RCEF 25-03-05</v>
      </c>
      <c r="G914" s="2">
        <f>IFERROR(__xludf.DUMMYFUNCTION("""COMPUTED_VALUE"""),7.0)</f>
        <v>7</v>
      </c>
      <c r="H914" s="2" t="str">
        <f>IFERROR(__xludf.DUMMYFUNCTION("""COMPUTED_VALUE"""),"26913 &amp; 27955")</f>
        <v>26913 &amp; 27955</v>
      </c>
      <c r="I914" s="2" t="str">
        <f>IFERROR(__xludf.DUMMYFUNCTION("""COMPUTED_VALUE"""),"KMC5825 ALSFPV0290")</f>
        <v>KMC5825 ALSFPV0290</v>
      </c>
      <c r="J914" s="3" t="str">
        <f>IFERROR(__xludf.DUMMYFUNCTION("""COMPUTED_VALUE"""),"STS100288")</f>
        <v>STS100288</v>
      </c>
      <c r="K914" s="2" t="str">
        <f>IFERROR(__xludf.DUMMYFUNCTION("""COMPUTED_VALUE"""),"WR-SERIES 1359PH")</f>
        <v>WR-SERIES 1359PH</v>
      </c>
      <c r="L914" s="3" t="str">
        <f>IFERROR(__xludf.DUMMYFUNCTION("""COMPUTED_VALUE"""),"25090467")</f>
        <v>25090467</v>
      </c>
      <c r="M914" s="3">
        <f>IFERROR(__xludf.DUMMYFUNCTION("""COMPUTED_VALUE"""),2.5121338E7)</f>
        <v>25121338</v>
      </c>
      <c r="N914" s="2"/>
      <c r="O914" s="2" t="str">
        <f>IFERROR(__xludf.DUMMYFUNCTION("""COMPUTED_VALUE"""),"Causwagan Norte")</f>
        <v>Causwagan Norte</v>
      </c>
      <c r="P914" s="2" t="str">
        <f>IFERROR(__xludf.DUMMYFUNCTION("""COMPUTED_VALUE"""),"Catigbian")</f>
        <v>Catigbian</v>
      </c>
      <c r="Q914" s="2" t="str">
        <f>IFERROR(__xludf.DUMMYFUNCTION("""COMPUTED_VALUE"""),"Bohol")</f>
        <v>Bohol</v>
      </c>
      <c r="R914" s="2">
        <f>IFERROR(__xludf.DUMMYFUNCTION("""COMPUTED_VALUE"""),7.0)</f>
        <v>7</v>
      </c>
      <c r="S914" s="2"/>
      <c r="T914" s="2"/>
    </row>
    <row r="915">
      <c r="A915" s="1">
        <f>IFERROR(__xludf.DUMMYFUNCTION("""COMPUTED_VALUE"""),913.0)</f>
        <v>913</v>
      </c>
      <c r="B915" s="2" t="str">
        <f>IFERROR(__xludf.DUMMYFUNCTION("""COMPUTED_VALUE"""),"CATIGBIAN IRRIGATORS' ASSOCIATION, INC.")</f>
        <v>CATIGBIAN IRRIGATORS' ASSOCIATION, INC.</v>
      </c>
      <c r="C915" s="2" t="str">
        <f>IFERROR(__xludf.DUMMYFUNCTION("""COMPUTED_VALUE"""),"Catigbian, Buenavista, BOHOL")</f>
        <v>Catigbian, Buenavista, BOHOL</v>
      </c>
      <c r="D915" s="2" t="str">
        <f>IFERROR(__xludf.DUMMYFUNCTION("""COMPUTED_VALUE"""),"Adriano Membreve")</f>
        <v>Adriano Membreve</v>
      </c>
      <c r="E915" s="2" t="str">
        <f>IFERROR(__xludf.DUMMYFUNCTION("""COMPUTED_VALUE"""),"0968-612-1666")</f>
        <v>0968-612-1666</v>
      </c>
      <c r="F915" s="2" t="str">
        <f>IFERROR(__xludf.DUMMYFUNCTION("""COMPUTED_VALUE"""),"RCEF 25-03-05")</f>
        <v>RCEF 25-03-05</v>
      </c>
      <c r="G915" s="2">
        <f>IFERROR(__xludf.DUMMYFUNCTION("""COMPUTED_VALUE"""),7.0)</f>
        <v>7</v>
      </c>
      <c r="H915" s="2" t="str">
        <f>IFERROR(__xludf.DUMMYFUNCTION("""COMPUTED_VALUE"""),"26914 &amp; 27956")</f>
        <v>26914 &amp; 27956</v>
      </c>
      <c r="I915" s="2" t="str">
        <f>IFERROR(__xludf.DUMMYFUNCTION("""COMPUTED_VALUE"""),"KMC5825 AKSFPV0251")</f>
        <v>KMC5825 AKSFPV0251</v>
      </c>
      <c r="J915" s="3" t="str">
        <f>IFERROR(__xludf.DUMMYFUNCTION("""COMPUTED_VALUE"""),"STS100259")</f>
        <v>STS100259</v>
      </c>
      <c r="K915" s="2" t="str">
        <f>IFERROR(__xludf.DUMMYFUNCTION("""COMPUTED_VALUE"""),"WR-SERIES 1360PH")</f>
        <v>WR-SERIES 1360PH</v>
      </c>
      <c r="L915" s="3" t="str">
        <f>IFERROR(__xludf.DUMMYFUNCTION("""COMPUTED_VALUE"""),"25080341")</f>
        <v>25080341</v>
      </c>
      <c r="M915" s="3">
        <f>IFERROR(__xludf.DUMMYFUNCTION("""COMPUTED_VALUE"""),2.5121339E7)</f>
        <v>25121339</v>
      </c>
      <c r="N915" s="2"/>
      <c r="O915" s="2" t="str">
        <f>IFERROR(__xludf.DUMMYFUNCTION("""COMPUTED_VALUE"""),"Catigbian")</f>
        <v>Catigbian</v>
      </c>
      <c r="P915" s="2" t="str">
        <f>IFERROR(__xludf.DUMMYFUNCTION("""COMPUTED_VALUE"""),"Buenavista")</f>
        <v>Buenavista</v>
      </c>
      <c r="Q915" s="2" t="str">
        <f>IFERROR(__xludf.DUMMYFUNCTION("""COMPUTED_VALUE"""),"Bohol")</f>
        <v>Bohol</v>
      </c>
      <c r="R915" s="2">
        <f>IFERROR(__xludf.DUMMYFUNCTION("""COMPUTED_VALUE"""),7.0)</f>
        <v>7</v>
      </c>
      <c r="S915" s="2"/>
      <c r="T915" s="2"/>
    </row>
    <row r="916">
      <c r="A916" s="1">
        <f>IFERROR(__xludf.DUMMYFUNCTION("""COMPUTED_VALUE"""),914.0)</f>
        <v>914</v>
      </c>
      <c r="B916" s="2" t="str">
        <f>IFERROR(__xludf.DUMMYFUNCTION("""COMPUTED_VALUE"""),"NAGKAHUGPONG MAG-UUMA SA CAWAG (NMC)")</f>
        <v>NAGKAHUGPONG MAG-UUMA SA CAWAG (NMC)</v>
      </c>
      <c r="C916" s="2" t="str">
        <f>IFERROR(__xludf.DUMMYFUNCTION("""COMPUTED_VALUE"""),"Cawag, Buenavista, BOHOL")</f>
        <v>Cawag, Buenavista, BOHOL</v>
      </c>
      <c r="D916" s="2" t="str">
        <f>IFERROR(__xludf.DUMMYFUNCTION("""COMPUTED_VALUE"""),"Enemesio T. Degamo Jr.")</f>
        <v>Enemesio T. Degamo Jr.</v>
      </c>
      <c r="E916" s="2" t="str">
        <f>IFERROR(__xludf.DUMMYFUNCTION("""COMPUTED_VALUE"""),"0906-141-9886")</f>
        <v>0906-141-9886</v>
      </c>
      <c r="F916" s="2" t="str">
        <f>IFERROR(__xludf.DUMMYFUNCTION("""COMPUTED_VALUE"""),"RCEF 25-03-05")</f>
        <v>RCEF 25-03-05</v>
      </c>
      <c r="G916" s="2">
        <f>IFERROR(__xludf.DUMMYFUNCTION("""COMPUTED_VALUE"""),7.0)</f>
        <v>7</v>
      </c>
      <c r="H916" s="2" t="str">
        <f>IFERROR(__xludf.DUMMYFUNCTION("""COMPUTED_VALUE"""),"26915 &amp; 27957")</f>
        <v>26915 &amp; 27957</v>
      </c>
      <c r="I916" s="2" t="str">
        <f>IFERROR(__xludf.DUMMYFUNCTION("""COMPUTED_VALUE"""),"KMC5825 AVSFPV0254")</f>
        <v>KMC5825 AVSFPV0254</v>
      </c>
      <c r="J916" s="3" t="str">
        <f>IFERROR(__xludf.DUMMYFUNCTION("""COMPUTED_VALUE"""),"STS100276")</f>
        <v>STS100276</v>
      </c>
      <c r="K916" s="2" t="str">
        <f>IFERROR(__xludf.DUMMYFUNCTION("""COMPUTED_VALUE"""),"WR-SERIES 1361PH")</f>
        <v>WR-SERIES 1361PH</v>
      </c>
      <c r="L916" s="3" t="str">
        <f>IFERROR(__xludf.DUMMYFUNCTION("""COMPUTED_VALUE"""),"25080306")</f>
        <v>25080306</v>
      </c>
      <c r="M916" s="3">
        <f>IFERROR(__xludf.DUMMYFUNCTION("""COMPUTED_VALUE"""),2.512134E7)</f>
        <v>25121340</v>
      </c>
      <c r="N916" s="2"/>
      <c r="O916" s="2" t="str">
        <f>IFERROR(__xludf.DUMMYFUNCTION("""COMPUTED_VALUE"""),"Cawag")</f>
        <v>Cawag</v>
      </c>
      <c r="P916" s="2" t="str">
        <f>IFERROR(__xludf.DUMMYFUNCTION("""COMPUTED_VALUE"""),"Buenavista")</f>
        <v>Buenavista</v>
      </c>
      <c r="Q916" s="2" t="str">
        <f>IFERROR(__xludf.DUMMYFUNCTION("""COMPUTED_VALUE"""),"Bohol")</f>
        <v>Bohol</v>
      </c>
      <c r="R916" s="2">
        <f>IFERROR(__xludf.DUMMYFUNCTION("""COMPUTED_VALUE"""),7.0)</f>
        <v>7</v>
      </c>
      <c r="S916" s="2"/>
      <c r="T916" s="2"/>
    </row>
    <row r="917">
      <c r="A917" s="1">
        <f>IFERROR(__xludf.DUMMYFUNCTION("""COMPUTED_VALUE"""),915.0)</f>
        <v>915</v>
      </c>
      <c r="B917" s="2" t="str">
        <f>IFERROR(__xludf.DUMMYFUNCTION("""COMPUTED_VALUE"""),"DANAHAW FARMERS ASSOCIATION (DAFA)")</f>
        <v>DANAHAW FARMERS ASSOCIATION (DAFA)</v>
      </c>
      <c r="C917" s="2" t="str">
        <f>IFERROR(__xludf.DUMMYFUNCTION("""COMPUTED_VALUE"""),"Danahao, Clarin, BOHOL")</f>
        <v>Danahao, Clarin, BOHOL</v>
      </c>
      <c r="D917" s="2" t="str">
        <f>IFERROR(__xludf.DUMMYFUNCTION("""COMPUTED_VALUE"""),"Julieto C. Infesto")</f>
        <v>Julieto C. Infesto</v>
      </c>
      <c r="E917" s="2" t="str">
        <f>IFERROR(__xludf.DUMMYFUNCTION("""COMPUTED_VALUE"""),"0912-532-6739")</f>
        <v>0912-532-6739</v>
      </c>
      <c r="F917" s="2" t="str">
        <f>IFERROR(__xludf.DUMMYFUNCTION("""COMPUTED_VALUE"""),"RCEF 25-03-05")</f>
        <v>RCEF 25-03-05</v>
      </c>
      <c r="G917" s="2">
        <f>IFERROR(__xludf.DUMMYFUNCTION("""COMPUTED_VALUE"""),7.0)</f>
        <v>7</v>
      </c>
      <c r="H917" s="2" t="str">
        <f>IFERROR(__xludf.DUMMYFUNCTION("""COMPUTED_VALUE"""),"26916 &amp; 27958")</f>
        <v>26916 &amp; 27958</v>
      </c>
      <c r="I917" s="2" t="str">
        <f>IFERROR(__xludf.DUMMYFUNCTION("""COMPUTED_VALUE"""),"KMC5825 AJSFPV0171")</f>
        <v>KMC5825 AJSFPV0171</v>
      </c>
      <c r="J917" s="3" t="str">
        <f>IFERROR(__xludf.DUMMYFUNCTION("""COMPUTED_VALUE"""),"STS100198")</f>
        <v>STS100198</v>
      </c>
      <c r="K917" s="2" t="str">
        <f>IFERROR(__xludf.DUMMYFUNCTION("""COMPUTED_VALUE"""),"WR-SERIES 1362PH")</f>
        <v>WR-SERIES 1362PH</v>
      </c>
      <c r="L917" s="3" t="str">
        <f>IFERROR(__xludf.DUMMYFUNCTION("""COMPUTED_VALUE"""),"25080326")</f>
        <v>25080326</v>
      </c>
      <c r="M917" s="3">
        <f>IFERROR(__xludf.DUMMYFUNCTION("""COMPUTED_VALUE"""),2.5121341E7)</f>
        <v>25121341</v>
      </c>
      <c r="N917" s="2"/>
      <c r="O917" s="2" t="str">
        <f>IFERROR(__xludf.DUMMYFUNCTION("""COMPUTED_VALUE"""),"Danahao")</f>
        <v>Danahao</v>
      </c>
      <c r="P917" s="2" t="str">
        <f>IFERROR(__xludf.DUMMYFUNCTION("""COMPUTED_VALUE"""),"Clarin")</f>
        <v>Clarin</v>
      </c>
      <c r="Q917" s="2" t="str">
        <f>IFERROR(__xludf.DUMMYFUNCTION("""COMPUTED_VALUE"""),"Bohol")</f>
        <v>Bohol</v>
      </c>
      <c r="R917" s="2">
        <f>IFERROR(__xludf.DUMMYFUNCTION("""COMPUTED_VALUE"""),7.0)</f>
        <v>7</v>
      </c>
      <c r="S917" s="2"/>
      <c r="T917" s="2"/>
    </row>
    <row r="918">
      <c r="A918" s="1">
        <f>IFERROR(__xludf.DUMMYFUNCTION("""COMPUTED_VALUE"""),916.0)</f>
        <v>916</v>
      </c>
      <c r="B918" s="2" t="str">
        <f>IFERROR(__xludf.DUMMYFUNCTION("""COMPUTED_VALUE"""),"POB-CAN CLARIN IRRIGATORS ASSOCIATION INC")</f>
        <v>POB-CAN CLARIN IRRIGATORS ASSOCIATION INC</v>
      </c>
      <c r="C918" s="2" t="str">
        <f>IFERROR(__xludf.DUMMYFUNCTION("""COMPUTED_VALUE"""),"Candajec, Clarin, BOHOL")</f>
        <v>Candajec, Clarin, BOHOL</v>
      </c>
      <c r="D918" s="2" t="str">
        <f>IFERROR(__xludf.DUMMYFUNCTION("""COMPUTED_VALUE"""),"Maxima Z. Pelesores")</f>
        <v>Maxima Z. Pelesores</v>
      </c>
      <c r="E918" s="2" t="str">
        <f>IFERROR(__xludf.DUMMYFUNCTION("""COMPUTED_VALUE"""),"0970-524-8113")</f>
        <v>0970-524-8113</v>
      </c>
      <c r="F918" s="2" t="str">
        <f>IFERROR(__xludf.DUMMYFUNCTION("""COMPUTED_VALUE"""),"RCEF 25-03-05")</f>
        <v>RCEF 25-03-05</v>
      </c>
      <c r="G918" s="2">
        <f>IFERROR(__xludf.DUMMYFUNCTION("""COMPUTED_VALUE"""),7.0)</f>
        <v>7</v>
      </c>
      <c r="H918" s="2" t="str">
        <f>IFERROR(__xludf.DUMMYFUNCTION("""COMPUTED_VALUE"""),"26917 &amp; 27959")</f>
        <v>26917 &amp; 27959</v>
      </c>
      <c r="I918" s="2" t="str">
        <f>IFERROR(__xludf.DUMMYFUNCTION("""COMPUTED_VALUE"""),"KMC5825 AVSFPV0208")</f>
        <v>KMC5825 AVSFPV0208</v>
      </c>
      <c r="J918" s="3" t="str">
        <f>IFERROR(__xludf.DUMMYFUNCTION("""COMPUTED_VALUE"""),"STS100300")</f>
        <v>STS100300</v>
      </c>
      <c r="K918" s="2" t="str">
        <f>IFERROR(__xludf.DUMMYFUNCTION("""COMPUTED_VALUE"""),"WR-SERIES 1363PH")</f>
        <v>WR-SERIES 1363PH</v>
      </c>
      <c r="L918" s="3" t="str">
        <f>IFERROR(__xludf.DUMMYFUNCTION("""COMPUTED_VALUE"""),"25090468")</f>
        <v>25090468</v>
      </c>
      <c r="M918" s="3">
        <f>IFERROR(__xludf.DUMMYFUNCTION("""COMPUTED_VALUE"""),2.5121342E7)</f>
        <v>25121342</v>
      </c>
      <c r="N918" s="2"/>
      <c r="O918" s="2" t="str">
        <f>IFERROR(__xludf.DUMMYFUNCTION("""COMPUTED_VALUE"""),"Candajec")</f>
        <v>Candajec</v>
      </c>
      <c r="P918" s="2" t="str">
        <f>IFERROR(__xludf.DUMMYFUNCTION("""COMPUTED_VALUE"""),"Clarin")</f>
        <v>Clarin</v>
      </c>
      <c r="Q918" s="2" t="str">
        <f>IFERROR(__xludf.DUMMYFUNCTION("""COMPUTED_VALUE"""),"Bohol")</f>
        <v>Bohol</v>
      </c>
      <c r="R918" s="2">
        <f>IFERROR(__xludf.DUMMYFUNCTION("""COMPUTED_VALUE"""),7.0)</f>
        <v>7</v>
      </c>
      <c r="S918" s="2"/>
      <c r="T918" s="2"/>
    </row>
    <row r="919">
      <c r="A919" s="1">
        <f>IFERROR(__xludf.DUMMYFUNCTION("""COMPUTED_VALUE"""),917.0)</f>
        <v>917</v>
      </c>
      <c r="B919" s="2" t="str">
        <f>IFERROR(__xludf.DUMMYFUNCTION("""COMPUTED_VALUE"""),"LILOAN SUR FARMERS ASSOCIATION")</f>
        <v>LILOAN SUR FARMERS ASSOCIATION</v>
      </c>
      <c r="C919" s="2" t="str">
        <f>IFERROR(__xludf.DUMMYFUNCTION("""COMPUTED_VALUE"""),", Inabanga, BOHOL")</f>
        <v>, Inabanga, BOHOL</v>
      </c>
      <c r="D919" s="2" t="str">
        <f>IFERROR(__xludf.DUMMYFUNCTION("""COMPUTED_VALUE"""),"Gorgonio E. Celmar")</f>
        <v>Gorgonio E. Celmar</v>
      </c>
      <c r="E919" s="2" t="str">
        <f>IFERROR(__xludf.DUMMYFUNCTION("""COMPUTED_VALUE"""),"0912-262-6358/0991-593-6158 Diosdada Celerian (Vice)")</f>
        <v>0912-262-6358/0991-593-6158 Diosdada Celerian (Vice)</v>
      </c>
      <c r="F919" s="2" t="str">
        <f>IFERROR(__xludf.DUMMYFUNCTION("""COMPUTED_VALUE"""),"RCEF 25-03-05")</f>
        <v>RCEF 25-03-05</v>
      </c>
      <c r="G919" s="2">
        <f>IFERROR(__xludf.DUMMYFUNCTION("""COMPUTED_VALUE"""),7.0)</f>
        <v>7</v>
      </c>
      <c r="H919" s="2" t="str">
        <f>IFERROR(__xludf.DUMMYFUNCTION("""COMPUTED_VALUE"""),"26918 &amp; 27960")</f>
        <v>26918 &amp; 27960</v>
      </c>
      <c r="I919" s="2" t="str">
        <f>IFERROR(__xludf.DUMMYFUNCTION("""COMPUTED_VALUE"""),"KMC5825 ATSFPV0215")</f>
        <v>KMC5825 ATSFPV0215</v>
      </c>
      <c r="J919" s="3" t="str">
        <f>IFERROR(__xludf.DUMMYFUNCTION("""COMPUTED_VALUE"""),"STS100222")</f>
        <v>STS100222</v>
      </c>
      <c r="K919" s="2" t="str">
        <f>IFERROR(__xludf.DUMMYFUNCTION("""COMPUTED_VALUE"""),"WR-SERIES 1364PH")</f>
        <v>WR-SERIES 1364PH</v>
      </c>
      <c r="L919" s="3" t="str">
        <f>IFERROR(__xludf.DUMMYFUNCTION("""COMPUTED_VALUE"""),"25080362")</f>
        <v>25080362</v>
      </c>
      <c r="M919" s="3">
        <f>IFERROR(__xludf.DUMMYFUNCTION("""COMPUTED_VALUE"""),2.5121343E7)</f>
        <v>25121343</v>
      </c>
      <c r="N919" s="2"/>
      <c r="O919" s="2" t="str">
        <f>IFERROR(__xludf.DUMMYFUNCTION("""COMPUTED_VALUE"""),"")</f>
        <v/>
      </c>
      <c r="P919" s="2" t="str">
        <f>IFERROR(__xludf.DUMMYFUNCTION("""COMPUTED_VALUE"""),"Inabanga")</f>
        <v>Inabanga</v>
      </c>
      <c r="Q919" s="2" t="str">
        <f>IFERROR(__xludf.DUMMYFUNCTION("""COMPUTED_VALUE"""),"Bohol")</f>
        <v>Bohol</v>
      </c>
      <c r="R919" s="2">
        <f>IFERROR(__xludf.DUMMYFUNCTION("""COMPUTED_VALUE"""),7.0)</f>
        <v>7</v>
      </c>
      <c r="S919" s="2"/>
      <c r="T919" s="2"/>
    </row>
    <row r="920">
      <c r="A920" s="1">
        <f>IFERROR(__xludf.DUMMYFUNCTION("""COMPUTED_VALUE"""),918.0)</f>
        <v>918</v>
      </c>
      <c r="B920" s="2" t="str">
        <f>IFERROR(__xludf.DUMMYFUNCTION("""COMPUTED_VALUE"""),"CAM-BA-SAN IRRIGATORS' ASSOCIATION, INC.")</f>
        <v>CAM-BA-SAN IRRIGATORS' ASSOCIATION, INC.</v>
      </c>
      <c r="C920" s="2" t="str">
        <f>IFERROR(__xludf.DUMMYFUNCTION("""COMPUTED_VALUE"""),"Cambangay Norte, San Miguel, BOHOL")</f>
        <v>Cambangay Norte, San Miguel, BOHOL</v>
      </c>
      <c r="D920" s="2" t="str">
        <f>IFERROR(__xludf.DUMMYFUNCTION("""COMPUTED_VALUE"""),"Shem Boc Abrau")</f>
        <v>Shem Boc Abrau</v>
      </c>
      <c r="E920" s="2" t="str">
        <f>IFERROR(__xludf.DUMMYFUNCTION("""COMPUTED_VALUE"""),"0951-235-6426")</f>
        <v>0951-235-6426</v>
      </c>
      <c r="F920" s="2" t="str">
        <f>IFERROR(__xludf.DUMMYFUNCTION("""COMPUTED_VALUE"""),"RCEF 25-03-05")</f>
        <v>RCEF 25-03-05</v>
      </c>
      <c r="G920" s="2">
        <f>IFERROR(__xludf.DUMMYFUNCTION("""COMPUTED_VALUE"""),7.0)</f>
        <v>7</v>
      </c>
      <c r="H920" s="2" t="str">
        <f>IFERROR(__xludf.DUMMYFUNCTION("""COMPUTED_VALUE"""),"26919 &amp; 27961")</f>
        <v>26919 &amp; 27961</v>
      </c>
      <c r="I920" s="2" t="str">
        <f>IFERROR(__xludf.DUMMYFUNCTION("""COMPUTED_VALUE"""),"KMC5825 ACSFPV0219")</f>
        <v>KMC5825 ACSFPV0219</v>
      </c>
      <c r="J920" s="3" t="str">
        <f>IFERROR(__xludf.DUMMYFUNCTION("""COMPUTED_VALUE"""),"STS100201")</f>
        <v>STS100201</v>
      </c>
      <c r="K920" s="2" t="str">
        <f>IFERROR(__xludf.DUMMYFUNCTION("""COMPUTED_VALUE"""),"WR-SERIES 1365PH")</f>
        <v>WR-SERIES 1365PH</v>
      </c>
      <c r="L920" s="3" t="str">
        <f>IFERROR(__xludf.DUMMYFUNCTION("""COMPUTED_VALUE"""),"25080333")</f>
        <v>25080333</v>
      </c>
      <c r="M920" s="3">
        <f>IFERROR(__xludf.DUMMYFUNCTION("""COMPUTED_VALUE"""),2.5121344E7)</f>
        <v>25121344</v>
      </c>
      <c r="N920" s="2"/>
      <c r="O920" s="2" t="str">
        <f>IFERROR(__xludf.DUMMYFUNCTION("""COMPUTED_VALUE"""),"Cambangay Norte")</f>
        <v>Cambangay Norte</v>
      </c>
      <c r="P920" s="2" t="str">
        <f>IFERROR(__xludf.DUMMYFUNCTION("""COMPUTED_VALUE"""),"San Miguel")</f>
        <v>San Miguel</v>
      </c>
      <c r="Q920" s="2" t="str">
        <f>IFERROR(__xludf.DUMMYFUNCTION("""COMPUTED_VALUE"""),"Bohol")</f>
        <v>Bohol</v>
      </c>
      <c r="R920" s="2">
        <f>IFERROR(__xludf.DUMMYFUNCTION("""COMPUTED_VALUE"""),7.0)</f>
        <v>7</v>
      </c>
      <c r="S920" s="2"/>
      <c r="T920" s="2"/>
    </row>
    <row r="921">
      <c r="A921" s="1">
        <f>IFERROR(__xludf.DUMMYFUNCTION("""COMPUTED_VALUE"""),919.0)</f>
        <v>919</v>
      </c>
      <c r="B921" s="2" t="str">
        <f>IFERROR(__xludf.DUMMYFUNCTION("""COMPUTED_VALUE"""),"Kahugpungan Sa Mga Igsoong Naglawig sa Kalamboan Multi-purpose Cooperative")</f>
        <v>Kahugpungan Sa Mga Igsoong Naglawig sa Kalamboan Multi-purpose Cooperative</v>
      </c>
      <c r="C921" s="2" t="str">
        <f>IFERROR(__xludf.DUMMYFUNCTION("""COMPUTED_VALUE"""),"Poblacion, San Miguel, BOHOL")</f>
        <v>Poblacion, San Miguel, BOHOL</v>
      </c>
      <c r="D921" s="2" t="str">
        <f>IFERROR(__xludf.DUMMYFUNCTION("""COMPUTED_VALUE"""),"Norman L. Nuez")</f>
        <v>Norman L. Nuez</v>
      </c>
      <c r="E921" s="2" t="str">
        <f>IFERROR(__xludf.DUMMYFUNCTION("""COMPUTED_VALUE"""),"0917-306-0251")</f>
        <v>0917-306-0251</v>
      </c>
      <c r="F921" s="2" t="str">
        <f>IFERROR(__xludf.DUMMYFUNCTION("""COMPUTED_VALUE"""),"RCEF 25-03-05")</f>
        <v>RCEF 25-03-05</v>
      </c>
      <c r="G921" s="2">
        <f>IFERROR(__xludf.DUMMYFUNCTION("""COMPUTED_VALUE"""),7.0)</f>
        <v>7</v>
      </c>
      <c r="H921" s="2" t="str">
        <f>IFERROR(__xludf.DUMMYFUNCTION("""COMPUTED_VALUE"""),"26920 &amp; 27962")</f>
        <v>26920 &amp; 27962</v>
      </c>
      <c r="I921" s="2" t="str">
        <f>IFERROR(__xludf.DUMMYFUNCTION("""COMPUTED_VALUE"""),"KMC5825 AKSFPV0167")</f>
        <v>KMC5825 AKSFPV0167</v>
      </c>
      <c r="J921" s="3" t="str">
        <f>IFERROR(__xludf.DUMMYFUNCTION("""COMPUTED_VALUE"""),"STS100182")</f>
        <v>STS100182</v>
      </c>
      <c r="K921" s="2" t="str">
        <f>IFERROR(__xludf.DUMMYFUNCTION("""COMPUTED_VALUE"""),"WR-SERIES 1366PH")</f>
        <v>WR-SERIES 1366PH</v>
      </c>
      <c r="L921" s="3" t="str">
        <f>IFERROR(__xludf.DUMMYFUNCTION("""COMPUTED_VALUE"""),"25080345")</f>
        <v>25080345</v>
      </c>
      <c r="M921" s="3">
        <f>IFERROR(__xludf.DUMMYFUNCTION("""COMPUTED_VALUE"""),2.5121345E7)</f>
        <v>25121345</v>
      </c>
      <c r="N921" s="2"/>
      <c r="O921" s="2" t="str">
        <f>IFERROR(__xludf.DUMMYFUNCTION("""COMPUTED_VALUE"""),"Poblacion")</f>
        <v>Poblacion</v>
      </c>
      <c r="P921" s="2" t="str">
        <f>IFERROR(__xludf.DUMMYFUNCTION("""COMPUTED_VALUE"""),"San Miguel")</f>
        <v>San Miguel</v>
      </c>
      <c r="Q921" s="2" t="str">
        <f>IFERROR(__xludf.DUMMYFUNCTION("""COMPUTED_VALUE"""),"Bohol")</f>
        <v>Bohol</v>
      </c>
      <c r="R921" s="2">
        <f>IFERROR(__xludf.DUMMYFUNCTION("""COMPUTED_VALUE"""),7.0)</f>
        <v>7</v>
      </c>
      <c r="S921" s="2"/>
      <c r="T921" s="2"/>
    </row>
    <row r="922">
      <c r="A922" s="1">
        <f>IFERROR(__xludf.DUMMYFUNCTION("""COMPUTED_VALUE"""),920.0)</f>
        <v>920</v>
      </c>
      <c r="B922" s="2" t="str">
        <f>IFERROR(__xludf.DUMMYFUNCTION("""COMPUTED_VALUE"""),"MAMAMIA IRRIGATORS' ASSOCIATION, INC.")</f>
        <v>MAMAMIA IRRIGATORS' ASSOCIATION, INC.</v>
      </c>
      <c r="C922" s="2" t="str">
        <f>IFERROR(__xludf.DUMMYFUNCTION("""COMPUTED_VALUE"""),"Mahayag, San Miguel, BOHOL")</f>
        <v>Mahayag, San Miguel, BOHOL</v>
      </c>
      <c r="D922" s="2" t="str">
        <f>IFERROR(__xludf.DUMMYFUNCTION("""COMPUTED_VALUE"""),"Rene R. Ceniza")</f>
        <v>Rene R. Ceniza</v>
      </c>
      <c r="E922" s="2" t="str">
        <f>IFERROR(__xludf.DUMMYFUNCTION("""COMPUTED_VALUE"""),"0992-467-9864/0970-564-1100")</f>
        <v>0992-467-9864/0970-564-1100</v>
      </c>
      <c r="F922" s="2" t="str">
        <f>IFERROR(__xludf.DUMMYFUNCTION("""COMPUTED_VALUE"""),"RCEF 25-03-05")</f>
        <v>RCEF 25-03-05</v>
      </c>
      <c r="G922" s="2">
        <f>IFERROR(__xludf.DUMMYFUNCTION("""COMPUTED_VALUE"""),7.0)</f>
        <v>7</v>
      </c>
      <c r="H922" s="2" t="str">
        <f>IFERROR(__xludf.DUMMYFUNCTION("""COMPUTED_VALUE"""),"26921 &amp; 27963")</f>
        <v>26921 &amp; 27963</v>
      </c>
      <c r="I922" s="2" t="str">
        <f>IFERROR(__xludf.DUMMYFUNCTION("""COMPUTED_VALUE"""),"KMC5825 AHSFPV0193")</f>
        <v>KMC5825 AHSFPV0193</v>
      </c>
      <c r="J922" s="3" t="str">
        <f>IFERROR(__xludf.DUMMYFUNCTION("""COMPUTED_VALUE"""),"STS100221")</f>
        <v>STS100221</v>
      </c>
      <c r="K922" s="2" t="str">
        <f>IFERROR(__xludf.DUMMYFUNCTION("""COMPUTED_VALUE"""),"WR-SERIES 1367PH")</f>
        <v>WR-SERIES 1367PH</v>
      </c>
      <c r="L922" s="3" t="str">
        <f>IFERROR(__xludf.DUMMYFUNCTION("""COMPUTED_VALUE"""),"25080330")</f>
        <v>25080330</v>
      </c>
      <c r="M922" s="3">
        <f>IFERROR(__xludf.DUMMYFUNCTION("""COMPUTED_VALUE"""),2.5121346E7)</f>
        <v>25121346</v>
      </c>
      <c r="N922" s="2"/>
      <c r="O922" s="2" t="str">
        <f>IFERROR(__xludf.DUMMYFUNCTION("""COMPUTED_VALUE"""),"Mahayag")</f>
        <v>Mahayag</v>
      </c>
      <c r="P922" s="2" t="str">
        <f>IFERROR(__xludf.DUMMYFUNCTION("""COMPUTED_VALUE"""),"San Miguel")</f>
        <v>San Miguel</v>
      </c>
      <c r="Q922" s="2" t="str">
        <f>IFERROR(__xludf.DUMMYFUNCTION("""COMPUTED_VALUE"""),"Bohol")</f>
        <v>Bohol</v>
      </c>
      <c r="R922" s="2">
        <f>IFERROR(__xludf.DUMMYFUNCTION("""COMPUTED_VALUE"""),7.0)</f>
        <v>7</v>
      </c>
      <c r="S922" s="2"/>
      <c r="T922" s="2"/>
    </row>
    <row r="923">
      <c r="A923" s="1">
        <f>IFERROR(__xludf.DUMMYFUNCTION("""COMPUTED_VALUE"""),921.0)</f>
        <v>921</v>
      </c>
      <c r="B923" s="2" t="str">
        <f>IFERROR(__xludf.DUMMYFUNCTION("""COMPUTED_VALUE"""),"NINNEWC IRRIGATORS' ASSOCIATION, INC.")</f>
        <v>NINNEWC IRRIGATORS' ASSOCIATION, INC.</v>
      </c>
      <c r="C923" s="2" t="str">
        <f>IFERROR(__xludf.DUMMYFUNCTION("""COMPUTED_VALUE"""),"Bayongan, San Miguel, BOHOL")</f>
        <v>Bayongan, San Miguel, BOHOL</v>
      </c>
      <c r="D923" s="2" t="str">
        <f>IFERROR(__xludf.DUMMYFUNCTION("""COMPUTED_VALUE"""),"Joseph M. Auza")</f>
        <v>Joseph M. Auza</v>
      </c>
      <c r="E923" s="2" t="str">
        <f>IFERROR(__xludf.DUMMYFUNCTION("""COMPUTED_VALUE"""),"0915-212-3608")</f>
        <v>0915-212-3608</v>
      </c>
      <c r="F923" s="2" t="str">
        <f>IFERROR(__xludf.DUMMYFUNCTION("""COMPUTED_VALUE"""),"RCEF 25-03-05")</f>
        <v>RCEF 25-03-05</v>
      </c>
      <c r="G923" s="2">
        <f>IFERROR(__xludf.DUMMYFUNCTION("""COMPUTED_VALUE"""),7.0)</f>
        <v>7</v>
      </c>
      <c r="H923" s="2" t="str">
        <f>IFERROR(__xludf.DUMMYFUNCTION("""COMPUTED_VALUE"""),"26922 &amp; 27964")</f>
        <v>26922 &amp; 27964</v>
      </c>
      <c r="I923" s="2" t="str">
        <f>IFERROR(__xludf.DUMMYFUNCTION("""COMPUTED_VALUE"""),"KMC5825 ACSFPV0205")</f>
        <v>KMC5825 ACSFPV0205</v>
      </c>
      <c r="J923" s="3" t="str">
        <f>IFERROR(__xludf.DUMMYFUNCTION("""COMPUTED_VALUE"""),"STS100229")</f>
        <v>STS100229</v>
      </c>
      <c r="K923" s="2" t="str">
        <f>IFERROR(__xludf.DUMMYFUNCTION("""COMPUTED_VALUE"""),"WR-SERIES 1368PH")</f>
        <v>WR-SERIES 1368PH</v>
      </c>
      <c r="L923" s="3" t="str">
        <f>IFERROR(__xludf.DUMMYFUNCTION("""COMPUTED_VALUE"""),"25080337")</f>
        <v>25080337</v>
      </c>
      <c r="M923" s="3">
        <f>IFERROR(__xludf.DUMMYFUNCTION("""COMPUTED_VALUE"""),2.5121347E7)</f>
        <v>25121347</v>
      </c>
      <c r="N923" s="2"/>
      <c r="O923" s="2" t="str">
        <f>IFERROR(__xludf.DUMMYFUNCTION("""COMPUTED_VALUE"""),"Bayongan")</f>
        <v>Bayongan</v>
      </c>
      <c r="P923" s="2" t="str">
        <f>IFERROR(__xludf.DUMMYFUNCTION("""COMPUTED_VALUE"""),"San Miguel")</f>
        <v>San Miguel</v>
      </c>
      <c r="Q923" s="2" t="str">
        <f>IFERROR(__xludf.DUMMYFUNCTION("""COMPUTED_VALUE"""),"Bohol")</f>
        <v>Bohol</v>
      </c>
      <c r="R923" s="2">
        <f>IFERROR(__xludf.DUMMYFUNCTION("""COMPUTED_VALUE"""),7.0)</f>
        <v>7</v>
      </c>
      <c r="S923" s="2"/>
      <c r="T923" s="2"/>
    </row>
    <row r="924">
      <c r="A924" s="1">
        <f>IFERROR(__xludf.DUMMYFUNCTION("""COMPUTED_VALUE"""),922.0)</f>
        <v>922</v>
      </c>
      <c r="B924" s="2" t="str">
        <f>IFERROR(__xludf.DUMMYFUNCTION("""COMPUTED_VALUE"""),"HAMBABAURAN FARMERS ASSOCIATION")</f>
        <v>HAMBABAURAN FARMERS ASSOCIATION</v>
      </c>
      <c r="C924" s="2" t="str">
        <f>IFERROR(__xludf.DUMMYFUNCTION("""COMPUTED_VALUE"""),"Hambabauran, Ubay, BOHOL")</f>
        <v>Hambabauran, Ubay, BOHOL</v>
      </c>
      <c r="D924" s="2" t="str">
        <f>IFERROR(__xludf.DUMMYFUNCTION("""COMPUTED_VALUE"""),"Tessie Y. Dungog")</f>
        <v>Tessie Y. Dungog</v>
      </c>
      <c r="E924" s="2" t="str">
        <f>IFERROR(__xludf.DUMMYFUNCTION("""COMPUTED_VALUE"""),"0912-787-6399")</f>
        <v>0912-787-6399</v>
      </c>
      <c r="F924" s="2" t="str">
        <f>IFERROR(__xludf.DUMMYFUNCTION("""COMPUTED_VALUE"""),"RCEF 25-03-05")</f>
        <v>RCEF 25-03-05</v>
      </c>
      <c r="G924" s="2">
        <f>IFERROR(__xludf.DUMMYFUNCTION("""COMPUTED_VALUE"""),7.0)</f>
        <v>7</v>
      </c>
      <c r="H924" s="2" t="str">
        <f>IFERROR(__xludf.DUMMYFUNCTION("""COMPUTED_VALUE"""),"26923 &amp; 27965")</f>
        <v>26923 &amp; 27965</v>
      </c>
      <c r="I924" s="2" t="str">
        <f>IFERROR(__xludf.DUMMYFUNCTION("""COMPUTED_VALUE"""),"KMC5825 AHSFPV0209")</f>
        <v>KMC5825 AHSFPV0209</v>
      </c>
      <c r="J924" s="3" t="str">
        <f>IFERROR(__xludf.DUMMYFUNCTION("""COMPUTED_VALUE"""),"STS100213")</f>
        <v>STS100213</v>
      </c>
      <c r="K924" s="2" t="str">
        <f>IFERROR(__xludf.DUMMYFUNCTION("""COMPUTED_VALUE"""),"WR-SERIES 1369PH")</f>
        <v>WR-SERIES 1369PH</v>
      </c>
      <c r="L924" s="3" t="str">
        <f>IFERROR(__xludf.DUMMYFUNCTION("""COMPUTED_VALUE"""),"25036336")</f>
        <v>25036336</v>
      </c>
      <c r="M924" s="3">
        <f>IFERROR(__xludf.DUMMYFUNCTION("""COMPUTED_VALUE"""),2.5121348E7)</f>
        <v>25121348</v>
      </c>
      <c r="N924" s="2"/>
      <c r="O924" s="2" t="str">
        <f>IFERROR(__xludf.DUMMYFUNCTION("""COMPUTED_VALUE"""),"Hambabauran")</f>
        <v>Hambabauran</v>
      </c>
      <c r="P924" s="2" t="str">
        <f>IFERROR(__xludf.DUMMYFUNCTION("""COMPUTED_VALUE"""),"Ubay")</f>
        <v>Ubay</v>
      </c>
      <c r="Q924" s="2" t="str">
        <f>IFERROR(__xludf.DUMMYFUNCTION("""COMPUTED_VALUE"""),"Bohol")</f>
        <v>Bohol</v>
      </c>
      <c r="R924" s="2">
        <f>IFERROR(__xludf.DUMMYFUNCTION("""COMPUTED_VALUE"""),7.0)</f>
        <v>7</v>
      </c>
      <c r="S924" s="2"/>
      <c r="T924" s="2"/>
    </row>
    <row r="925">
      <c r="A925" s="1">
        <f>IFERROR(__xludf.DUMMYFUNCTION("""COMPUTED_VALUE"""),923.0)</f>
        <v>923</v>
      </c>
      <c r="B925" s="2" t="str">
        <f>IFERROR(__xludf.DUMMYFUNCTION("""COMPUTED_VALUE"""),"SAN ANTONIO ORGANIC FARMERS ASSOCIATION (SAOFA)")</f>
        <v>SAN ANTONIO ORGANIC FARMERS ASSOCIATION (SAOFA)</v>
      </c>
      <c r="C925" s="2" t="str">
        <f>IFERROR(__xludf.DUMMYFUNCTION("""COMPUTED_VALUE"""),"San Francisco, Ubay, BOHOL")</f>
        <v>San Francisco, Ubay, BOHOL</v>
      </c>
      <c r="D925" s="2" t="str">
        <f>IFERROR(__xludf.DUMMYFUNCTION("""COMPUTED_VALUE"""),"Alberto G. Gozo")</f>
        <v>Alberto G. Gozo</v>
      </c>
      <c r="E925" s="2" t="str">
        <f>IFERROR(__xludf.DUMMYFUNCTION("""COMPUTED_VALUE"""),"0994-475-1665/0954-073-3390")</f>
        <v>0994-475-1665/0954-073-3390</v>
      </c>
      <c r="F925" s="2" t="str">
        <f>IFERROR(__xludf.DUMMYFUNCTION("""COMPUTED_VALUE"""),"RCEF 25-03-05")</f>
        <v>RCEF 25-03-05</v>
      </c>
      <c r="G925" s="2">
        <f>IFERROR(__xludf.DUMMYFUNCTION("""COMPUTED_VALUE"""),7.0)</f>
        <v>7</v>
      </c>
      <c r="H925" s="2" t="str">
        <f>IFERROR(__xludf.DUMMYFUNCTION("""COMPUTED_VALUE"""),"26924 &amp; 27966")</f>
        <v>26924 &amp; 27966</v>
      </c>
      <c r="I925" s="2" t="str">
        <f>IFERROR(__xludf.DUMMYFUNCTION("""COMPUTED_VALUE"""),"KMC5825 ACSFPV0222")</f>
        <v>KMC5825 ACSFPV0222</v>
      </c>
      <c r="J925" s="3" t="str">
        <f>IFERROR(__xludf.DUMMYFUNCTION("""COMPUTED_VALUE"""),"STS100186")</f>
        <v>STS100186</v>
      </c>
      <c r="K925" s="2" t="str">
        <f>IFERROR(__xludf.DUMMYFUNCTION("""COMPUTED_VALUE"""),"WR-SERIES 1370PH")</f>
        <v>WR-SERIES 1370PH</v>
      </c>
      <c r="L925" s="3" t="str">
        <f>IFERROR(__xludf.DUMMYFUNCTION("""COMPUTED_VALUE"""),"25080309")</f>
        <v>25080309</v>
      </c>
      <c r="M925" s="3">
        <f>IFERROR(__xludf.DUMMYFUNCTION("""COMPUTED_VALUE"""),2.5121349E7)</f>
        <v>25121349</v>
      </c>
      <c r="N925" s="2"/>
      <c r="O925" s="2" t="str">
        <f>IFERROR(__xludf.DUMMYFUNCTION("""COMPUTED_VALUE"""),"San Francisco")</f>
        <v>San Francisco</v>
      </c>
      <c r="P925" s="2" t="str">
        <f>IFERROR(__xludf.DUMMYFUNCTION("""COMPUTED_VALUE"""),"Ubay")</f>
        <v>Ubay</v>
      </c>
      <c r="Q925" s="2" t="str">
        <f>IFERROR(__xludf.DUMMYFUNCTION("""COMPUTED_VALUE"""),"Bohol")</f>
        <v>Bohol</v>
      </c>
      <c r="R925" s="2">
        <f>IFERROR(__xludf.DUMMYFUNCTION("""COMPUTED_VALUE"""),7.0)</f>
        <v>7</v>
      </c>
      <c r="S925" s="2"/>
      <c r="T925" s="2"/>
    </row>
    <row r="926">
      <c r="A926" s="1">
        <f>IFERROR(__xludf.DUMMYFUNCTION("""COMPUTED_VALUE"""),924.0)</f>
        <v>924</v>
      </c>
      <c r="B926" s="2" t="str">
        <f>IFERROR(__xludf.DUMMYFUNCTION("""COMPUTED_VALUE"""),"Camba-ol Progreso Irrigators Association Inc.")</f>
        <v>Camba-ol Progreso Irrigators Association Inc.</v>
      </c>
      <c r="C926" s="2" t="str">
        <f>IFERROR(__xludf.DUMMYFUNCTION("""COMPUTED_VALUE"""),"Progreso, Alicia, BOHOL")</f>
        <v>Progreso, Alicia, BOHOL</v>
      </c>
      <c r="D926" s="2" t="str">
        <f>IFERROR(__xludf.DUMMYFUNCTION("""COMPUTED_VALUE"""),"Hilario B. Quinlog")</f>
        <v>Hilario B. Quinlog</v>
      </c>
      <c r="E926" s="2" t="str">
        <f>IFERROR(__xludf.DUMMYFUNCTION("""COMPUTED_VALUE"""),"0938-949-2435")</f>
        <v>0938-949-2435</v>
      </c>
      <c r="F926" s="2" t="str">
        <f>IFERROR(__xludf.DUMMYFUNCTION("""COMPUTED_VALUE"""),"RCEF 25-03-05")</f>
        <v>RCEF 25-03-05</v>
      </c>
      <c r="G926" s="2">
        <f>IFERROR(__xludf.DUMMYFUNCTION("""COMPUTED_VALUE"""),7.0)</f>
        <v>7</v>
      </c>
      <c r="H926" s="2" t="str">
        <f>IFERROR(__xludf.DUMMYFUNCTION("""COMPUTED_VALUE"""),"26925 &amp; 27967")</f>
        <v>26925 &amp; 27967</v>
      </c>
      <c r="I926" s="2" t="str">
        <f>IFERROR(__xludf.DUMMYFUNCTION("""COMPUTED_VALUE"""),"KMC5825 AHSFPV0341")</f>
        <v>KMC5825 AHSFPV0341</v>
      </c>
      <c r="J926" s="3" t="str">
        <f>IFERROR(__xludf.DUMMYFUNCTION("""COMPUTED_VALUE"""),"STS100364")</f>
        <v>STS100364</v>
      </c>
      <c r="K926" s="2" t="str">
        <f>IFERROR(__xludf.DUMMYFUNCTION("""COMPUTED_VALUE"""),"WR-SERIES 1371PH")</f>
        <v>WR-SERIES 1371PH</v>
      </c>
      <c r="L926" s="3" t="str">
        <f>IFERROR(__xludf.DUMMYFUNCTION("""COMPUTED_VALUE"""),"25080336")</f>
        <v>25080336</v>
      </c>
      <c r="M926" s="3">
        <f>IFERROR(__xludf.DUMMYFUNCTION("""COMPUTED_VALUE"""),2.512135E7)</f>
        <v>25121350</v>
      </c>
      <c r="N926" s="2"/>
      <c r="O926" s="2" t="str">
        <f>IFERROR(__xludf.DUMMYFUNCTION("""COMPUTED_VALUE"""),"Progreso")</f>
        <v>Progreso</v>
      </c>
      <c r="P926" s="2" t="str">
        <f>IFERROR(__xludf.DUMMYFUNCTION("""COMPUTED_VALUE"""),"Alicia")</f>
        <v>Alicia</v>
      </c>
      <c r="Q926" s="2" t="str">
        <f>IFERROR(__xludf.DUMMYFUNCTION("""COMPUTED_VALUE"""),"Bohol")</f>
        <v>Bohol</v>
      </c>
      <c r="R926" s="2">
        <f>IFERROR(__xludf.DUMMYFUNCTION("""COMPUTED_VALUE"""),7.0)</f>
        <v>7</v>
      </c>
      <c r="S926" s="2"/>
      <c r="T926" s="2"/>
    </row>
    <row r="927">
      <c r="A927" s="1">
        <f>IFERROR(__xludf.DUMMYFUNCTION("""COMPUTED_VALUE"""),925.0)</f>
        <v>925</v>
      </c>
      <c r="B927" s="2" t="str">
        <f>IFERROR(__xludf.DUMMYFUNCTION("""COMPUTED_VALUE"""),"FAITH FARMERS ASSOCIATION")</f>
        <v>FAITH FARMERS ASSOCIATION</v>
      </c>
      <c r="C927" s="2" t="str">
        <f>IFERROR(__xludf.DUMMYFUNCTION("""COMPUTED_VALUE"""),"Montesuerte, Carmen, BOHOL")</f>
        <v>Montesuerte, Carmen, BOHOL</v>
      </c>
      <c r="D927" s="2" t="str">
        <f>IFERROR(__xludf.DUMMYFUNCTION("""COMPUTED_VALUE"""),"Nerie J. Asucan")</f>
        <v>Nerie J. Asucan</v>
      </c>
      <c r="E927" s="2" t="str">
        <f>IFERROR(__xludf.DUMMYFUNCTION("""COMPUTED_VALUE"""),"0916-124-3390")</f>
        <v>0916-124-3390</v>
      </c>
      <c r="F927" s="2" t="str">
        <f>IFERROR(__xludf.DUMMYFUNCTION("""COMPUTED_VALUE"""),"RCEF 25-03-05")</f>
        <v>RCEF 25-03-05</v>
      </c>
      <c r="G927" s="2">
        <f>IFERROR(__xludf.DUMMYFUNCTION("""COMPUTED_VALUE"""),7.0)</f>
        <v>7</v>
      </c>
      <c r="H927" s="2" t="str">
        <f>IFERROR(__xludf.DUMMYFUNCTION("""COMPUTED_VALUE"""),"26926 &amp; 27968")</f>
        <v>26926 &amp; 27968</v>
      </c>
      <c r="I927" s="2" t="str">
        <f>IFERROR(__xludf.DUMMYFUNCTION("""COMPUTED_VALUE"""),"KMC5825 AKSFPV0332")</f>
        <v>KMC5825 AKSFPV0332</v>
      </c>
      <c r="J927" s="3" t="str">
        <f>IFERROR(__xludf.DUMMYFUNCTION("""COMPUTED_VALUE"""),"STS100347")</f>
        <v>STS100347</v>
      </c>
      <c r="K927" s="2" t="str">
        <f>IFERROR(__xludf.DUMMYFUNCTION("""COMPUTED_VALUE"""),"WR-SERIES 1372PH")</f>
        <v>WR-SERIES 1372PH</v>
      </c>
      <c r="L927" s="3" t="str">
        <f>IFERROR(__xludf.DUMMYFUNCTION("""COMPUTED_VALUE"""),"25090466")</f>
        <v>25090466</v>
      </c>
      <c r="M927" s="3">
        <f>IFERROR(__xludf.DUMMYFUNCTION("""COMPUTED_VALUE"""),2.5121351E7)</f>
        <v>25121351</v>
      </c>
      <c r="N927" s="2"/>
      <c r="O927" s="2" t="str">
        <f>IFERROR(__xludf.DUMMYFUNCTION("""COMPUTED_VALUE"""),"Montesuerte")</f>
        <v>Montesuerte</v>
      </c>
      <c r="P927" s="2" t="str">
        <f>IFERROR(__xludf.DUMMYFUNCTION("""COMPUTED_VALUE"""),"Carmen")</f>
        <v>Carmen</v>
      </c>
      <c r="Q927" s="2" t="str">
        <f>IFERROR(__xludf.DUMMYFUNCTION("""COMPUTED_VALUE"""),"Bohol")</f>
        <v>Bohol</v>
      </c>
      <c r="R927" s="2">
        <f>IFERROR(__xludf.DUMMYFUNCTION("""COMPUTED_VALUE"""),7.0)</f>
        <v>7</v>
      </c>
      <c r="S927" s="2"/>
      <c r="T927" s="2"/>
    </row>
    <row r="928">
      <c r="A928" s="1">
        <f>IFERROR(__xludf.DUMMYFUNCTION("""COMPUTED_VALUE"""),926.0)</f>
        <v>926</v>
      </c>
      <c r="B928" s="2" t="str">
        <f>IFERROR(__xludf.DUMMYFUNCTION("""COMPUTED_VALUE"""),"CANSIWANG-TABUNOK SMALL IRRIGATORS' ASSOCIATION (CTSIA)")</f>
        <v>CANSIWANG-TABUNOK SMALL IRRIGATORS' ASSOCIATION (CTSIA)</v>
      </c>
      <c r="C928" s="2" t="str">
        <f>IFERROR(__xludf.DUMMYFUNCTION("""COMPUTED_VALUE"""),", Guindulman, BOHOL")</f>
        <v>, Guindulman, BOHOL</v>
      </c>
      <c r="D928" s="2" t="str">
        <f>IFERROR(__xludf.DUMMYFUNCTION("""COMPUTED_VALUE"""),"Demetrio Peligro")</f>
        <v>Demetrio Peligro</v>
      </c>
      <c r="E928" s="2" t="str">
        <f>IFERROR(__xludf.DUMMYFUNCTION("""COMPUTED_VALUE"""),"0956-586-2855")</f>
        <v>0956-586-2855</v>
      </c>
      <c r="F928" s="2" t="str">
        <f>IFERROR(__xludf.DUMMYFUNCTION("""COMPUTED_VALUE"""),"RCEF 25-03-05")</f>
        <v>RCEF 25-03-05</v>
      </c>
      <c r="G928" s="2">
        <f>IFERROR(__xludf.DUMMYFUNCTION("""COMPUTED_VALUE"""),7.0)</f>
        <v>7</v>
      </c>
      <c r="H928" s="2" t="str">
        <f>IFERROR(__xludf.DUMMYFUNCTION("""COMPUTED_VALUE"""),"26927 &amp; 27969")</f>
        <v>26927 &amp; 27969</v>
      </c>
      <c r="I928" s="2" t="str">
        <f>IFERROR(__xludf.DUMMYFUNCTION("""COMPUTED_VALUE"""),"KMC5825 ACSFPV0293")</f>
        <v>KMC5825 ACSFPV0293</v>
      </c>
      <c r="J928" s="3" t="str">
        <f>IFERROR(__xludf.DUMMYFUNCTION("""COMPUTED_VALUE"""),"STS100298")</f>
        <v>STS100298</v>
      </c>
      <c r="K928" s="2" t="str">
        <f>IFERROR(__xludf.DUMMYFUNCTION("""COMPUTED_VALUE"""),"WR-SERIES 1373PH")</f>
        <v>WR-SERIES 1373PH</v>
      </c>
      <c r="L928" s="3" t="str">
        <f>IFERROR(__xludf.DUMMYFUNCTION("""COMPUTED_VALUE"""),"25080327")</f>
        <v>25080327</v>
      </c>
      <c r="M928" s="3">
        <f>IFERROR(__xludf.DUMMYFUNCTION("""COMPUTED_VALUE"""),2.5121352E7)</f>
        <v>25121352</v>
      </c>
      <c r="N928" s="2"/>
      <c r="O928" s="2" t="str">
        <f>IFERROR(__xludf.DUMMYFUNCTION("""COMPUTED_VALUE"""),"")</f>
        <v/>
      </c>
      <c r="P928" s="2" t="str">
        <f>IFERROR(__xludf.DUMMYFUNCTION("""COMPUTED_VALUE"""),"Guindulman")</f>
        <v>Guindulman</v>
      </c>
      <c r="Q928" s="2" t="str">
        <f>IFERROR(__xludf.DUMMYFUNCTION("""COMPUTED_VALUE"""),"Bohol")</f>
        <v>Bohol</v>
      </c>
      <c r="R928" s="2">
        <f>IFERROR(__xludf.DUMMYFUNCTION("""COMPUTED_VALUE"""),7.0)</f>
        <v>7</v>
      </c>
      <c r="S928" s="2"/>
      <c r="T928" s="2"/>
    </row>
    <row r="929">
      <c r="A929" s="1">
        <f>IFERROR(__xludf.DUMMYFUNCTION("""COMPUTED_VALUE"""),927.0)</f>
        <v>927</v>
      </c>
      <c r="B929" s="2" t="str">
        <f>IFERROR(__xludf.DUMMYFUNCTION("""COMPUTED_VALUE"""),"PANDAYON-CAMBARONG IRRIGATORS ASSOCIATION INC.")</f>
        <v>PANDAYON-CAMBARONG IRRIGATORS ASSOCIATION INC.</v>
      </c>
      <c r="C929" s="2" t="str">
        <f>IFERROR(__xludf.DUMMYFUNCTION("""COMPUTED_VALUE"""),", Guindulman, BOHOL")</f>
        <v>, Guindulman, BOHOL</v>
      </c>
      <c r="D929" s="2" t="str">
        <f>IFERROR(__xludf.DUMMYFUNCTION("""COMPUTED_VALUE"""),"Marcelo B. Busgano")</f>
        <v>Marcelo B. Busgano</v>
      </c>
      <c r="E929" s="2" t="str">
        <f>IFERROR(__xludf.DUMMYFUNCTION("""COMPUTED_VALUE"""),"0926-183-7023")</f>
        <v>0926-183-7023</v>
      </c>
      <c r="F929" s="2" t="str">
        <f>IFERROR(__xludf.DUMMYFUNCTION("""COMPUTED_VALUE"""),"RCEF 25-03-05")</f>
        <v>RCEF 25-03-05</v>
      </c>
      <c r="G929" s="2">
        <f>IFERROR(__xludf.DUMMYFUNCTION("""COMPUTED_VALUE"""),7.0)</f>
        <v>7</v>
      </c>
      <c r="H929" s="2" t="str">
        <f>IFERROR(__xludf.DUMMYFUNCTION("""COMPUTED_VALUE"""),"26928 &amp; 27970")</f>
        <v>26928 &amp; 27970</v>
      </c>
      <c r="I929" s="2" t="str">
        <f>IFERROR(__xludf.DUMMYFUNCTION("""COMPUTED_VALUE"""),"KMC5825 ACSFPV0284")</f>
        <v>KMC5825 ACSFPV0284</v>
      </c>
      <c r="J929" s="3" t="str">
        <f>IFERROR(__xludf.DUMMYFUNCTION("""COMPUTED_VALUE"""),"STS100291")</f>
        <v>STS100291</v>
      </c>
      <c r="K929" s="2" t="str">
        <f>IFERROR(__xludf.DUMMYFUNCTION("""COMPUTED_VALUE"""),"WR-SERIES 1374PH")</f>
        <v>WR-SERIES 1374PH</v>
      </c>
      <c r="L929" s="3" t="str">
        <f>IFERROR(__xludf.DUMMYFUNCTION("""COMPUTED_VALUE"""),"25090454")</f>
        <v>25090454</v>
      </c>
      <c r="M929" s="3">
        <f>IFERROR(__xludf.DUMMYFUNCTION("""COMPUTED_VALUE"""),2.5121353E7)</f>
        <v>25121353</v>
      </c>
      <c r="N929" s="2"/>
      <c r="O929" s="2" t="str">
        <f>IFERROR(__xludf.DUMMYFUNCTION("""COMPUTED_VALUE"""),"")</f>
        <v/>
      </c>
      <c r="P929" s="2" t="str">
        <f>IFERROR(__xludf.DUMMYFUNCTION("""COMPUTED_VALUE"""),"Guindulman")</f>
        <v>Guindulman</v>
      </c>
      <c r="Q929" s="2" t="str">
        <f>IFERROR(__xludf.DUMMYFUNCTION("""COMPUTED_VALUE"""),"Bohol")</f>
        <v>Bohol</v>
      </c>
      <c r="R929" s="2">
        <f>IFERROR(__xludf.DUMMYFUNCTION("""COMPUTED_VALUE"""),7.0)</f>
        <v>7</v>
      </c>
      <c r="S929" s="2"/>
      <c r="T929" s="2"/>
    </row>
    <row r="930">
      <c r="A930" s="1">
        <f>IFERROR(__xludf.DUMMYFUNCTION("""COMPUTED_VALUE"""),928.0)</f>
        <v>928</v>
      </c>
      <c r="B930" s="2" t="str">
        <f>IFERROR(__xludf.DUMMYFUNCTION("""COMPUTED_VALUE"""),"MABINI-CAYACAY IRRIGATORS' ASSOCIATION Inc.")</f>
        <v>MABINI-CAYACAY IRRIGATORS' ASSOCIATION Inc.</v>
      </c>
      <c r="C930" s="2" t="str">
        <f>IFERROR(__xludf.DUMMYFUNCTION("""COMPUTED_VALUE"""),"Abaca, Mabini, BOHOL")</f>
        <v>Abaca, Mabini, BOHOL</v>
      </c>
      <c r="D930" s="2" t="str">
        <f>IFERROR(__xludf.DUMMYFUNCTION("""COMPUTED_VALUE"""),"Rito S. Muring")</f>
        <v>Rito S. Muring</v>
      </c>
      <c r="E930" s="2" t="str">
        <f>IFERROR(__xludf.DUMMYFUNCTION("""COMPUTED_VALUE"""),"0998-384-4763")</f>
        <v>0998-384-4763</v>
      </c>
      <c r="F930" s="2" t="str">
        <f>IFERROR(__xludf.DUMMYFUNCTION("""COMPUTED_VALUE"""),"RCEF 25-03-05")</f>
        <v>RCEF 25-03-05</v>
      </c>
      <c r="G930" s="2">
        <f>IFERROR(__xludf.DUMMYFUNCTION("""COMPUTED_VALUE"""),7.0)</f>
        <v>7</v>
      </c>
      <c r="H930" s="2" t="str">
        <f>IFERROR(__xludf.DUMMYFUNCTION("""COMPUTED_VALUE"""),"26929 &amp; 27971")</f>
        <v>26929 &amp; 27971</v>
      </c>
      <c r="I930" s="2" t="str">
        <f>IFERROR(__xludf.DUMMYFUNCTION("""COMPUTED_VALUE"""),"KMC5825 AESFPV0230")</f>
        <v>KMC5825 AESFPV0230</v>
      </c>
      <c r="J930" s="3" t="str">
        <f>IFERROR(__xludf.DUMMYFUNCTION("""COMPUTED_VALUE"""),"STS100173")</f>
        <v>STS100173</v>
      </c>
      <c r="K930" s="2" t="str">
        <f>IFERROR(__xludf.DUMMYFUNCTION("""COMPUTED_VALUE"""),"WR-SERIES 1375PH")</f>
        <v>WR-SERIES 1375PH</v>
      </c>
      <c r="L930" s="3" t="str">
        <f>IFERROR(__xludf.DUMMYFUNCTION("""COMPUTED_VALUE"""),"25080334")</f>
        <v>25080334</v>
      </c>
      <c r="M930" s="3">
        <f>IFERROR(__xludf.DUMMYFUNCTION("""COMPUTED_VALUE"""),2.5121354E7)</f>
        <v>25121354</v>
      </c>
      <c r="N930" s="2"/>
      <c r="O930" s="2" t="str">
        <f>IFERROR(__xludf.DUMMYFUNCTION("""COMPUTED_VALUE"""),"Abaca")</f>
        <v>Abaca</v>
      </c>
      <c r="P930" s="2" t="str">
        <f>IFERROR(__xludf.DUMMYFUNCTION("""COMPUTED_VALUE"""),"Mabini")</f>
        <v>Mabini</v>
      </c>
      <c r="Q930" s="2" t="str">
        <f>IFERROR(__xludf.DUMMYFUNCTION("""COMPUTED_VALUE"""),"Bohol")</f>
        <v>Bohol</v>
      </c>
      <c r="R930" s="2">
        <f>IFERROR(__xludf.DUMMYFUNCTION("""COMPUTED_VALUE"""),7.0)</f>
        <v>7</v>
      </c>
      <c r="S930" s="2"/>
      <c r="T930" s="2"/>
    </row>
    <row r="931">
      <c r="A931" s="1">
        <f>IFERROR(__xludf.DUMMYFUNCTION("""COMPUTED_VALUE"""),929.0)</f>
        <v>929</v>
      </c>
      <c r="B931" s="2" t="str">
        <f>IFERROR(__xludf.DUMMYFUNCTION("""COMPUTED_VALUE"""),"MANDAWA-PITAO IRRIGATORS' ASSOCIATION INC.")</f>
        <v>MANDAWA-PITAO IRRIGATORS' ASSOCIATION INC.</v>
      </c>
      <c r="C931" s="2" t="str">
        <f>IFERROR(__xludf.DUMMYFUNCTION("""COMPUTED_VALUE"""),"San Isidro, Pilar, BOHOL")</f>
        <v>San Isidro, Pilar, BOHOL</v>
      </c>
      <c r="D931" s="2" t="str">
        <f>IFERROR(__xludf.DUMMYFUNCTION("""COMPUTED_VALUE"""),"Raul P. Agang")</f>
        <v>Raul P. Agang</v>
      </c>
      <c r="E931" s="2" t="str">
        <f>IFERROR(__xludf.DUMMYFUNCTION("""COMPUTED_VALUE"""),"0994-119-4741")</f>
        <v>0994-119-4741</v>
      </c>
      <c r="F931" s="2" t="str">
        <f>IFERROR(__xludf.DUMMYFUNCTION("""COMPUTED_VALUE"""),"RCEF 25-03-05")</f>
        <v>RCEF 25-03-05</v>
      </c>
      <c r="G931" s="2">
        <f>IFERROR(__xludf.DUMMYFUNCTION("""COMPUTED_VALUE"""),7.0)</f>
        <v>7</v>
      </c>
      <c r="H931" s="2" t="str">
        <f>IFERROR(__xludf.DUMMYFUNCTION("""COMPUTED_VALUE"""),"26930 &amp; 27972")</f>
        <v>26930 &amp; 27972</v>
      </c>
      <c r="I931" s="2" t="str">
        <f>IFERROR(__xludf.DUMMYFUNCTION("""COMPUTED_VALUE"""),"KMC5825 AJSFPV0168")</f>
        <v>KMC5825 AJSFPV0168</v>
      </c>
      <c r="J931" s="3" t="str">
        <f>IFERROR(__xludf.DUMMYFUNCTION("""COMPUTED_VALUE"""),"STS100180")</f>
        <v>STS100180</v>
      </c>
      <c r="K931" s="2" t="str">
        <f>IFERROR(__xludf.DUMMYFUNCTION("""COMPUTED_VALUE"""),"WR-SERIES 1376PH")</f>
        <v>WR-SERIES 1376PH</v>
      </c>
      <c r="L931" s="3" t="str">
        <f>IFERROR(__xludf.DUMMYFUNCTION("""COMPUTED_VALUE"""),"25090617")</f>
        <v>25090617</v>
      </c>
      <c r="M931" s="3">
        <f>IFERROR(__xludf.DUMMYFUNCTION("""COMPUTED_VALUE"""),2.5121355E7)</f>
        <v>25121355</v>
      </c>
      <c r="N931" s="2"/>
      <c r="O931" s="2" t="str">
        <f>IFERROR(__xludf.DUMMYFUNCTION("""COMPUTED_VALUE"""),"San Isidro")</f>
        <v>San Isidro</v>
      </c>
      <c r="P931" s="2" t="str">
        <f>IFERROR(__xludf.DUMMYFUNCTION("""COMPUTED_VALUE"""),"Pilar")</f>
        <v>Pilar</v>
      </c>
      <c r="Q931" s="2" t="str">
        <f>IFERROR(__xludf.DUMMYFUNCTION("""COMPUTED_VALUE"""),"Bohol")</f>
        <v>Bohol</v>
      </c>
      <c r="R931" s="2">
        <f>IFERROR(__xludf.DUMMYFUNCTION("""COMPUTED_VALUE"""),7.0)</f>
        <v>7</v>
      </c>
      <c r="S931" s="2"/>
      <c r="T931" s="2"/>
    </row>
    <row r="932">
      <c r="A932" s="1">
        <f>IFERROR(__xludf.DUMMYFUNCTION("""COMPUTED_VALUE"""),930.0)</f>
        <v>930</v>
      </c>
      <c r="B932" s="2" t="str">
        <f>IFERROR(__xludf.DUMMYFUNCTION("""COMPUTED_VALUE"""),"ORYZA SATIVA LINN PILAR IRRIGATORS' ASSOCIATION, INC.")</f>
        <v>ORYZA SATIVA LINN PILAR IRRIGATORS' ASSOCIATION, INC.</v>
      </c>
      <c r="C932" s="2" t="str">
        <f>IFERROR(__xludf.DUMMYFUNCTION("""COMPUTED_VALUE"""),"San Isidro, Pilar, BOHOL")</f>
        <v>San Isidro, Pilar, BOHOL</v>
      </c>
      <c r="D932" s="2" t="str">
        <f>IFERROR(__xludf.DUMMYFUNCTION("""COMPUTED_VALUE"""),"Ma. Ophelia A. Tadena")</f>
        <v>Ma. Ophelia A. Tadena</v>
      </c>
      <c r="E932" s="2" t="str">
        <f>IFERROR(__xludf.DUMMYFUNCTION("""COMPUTED_VALUE"""),"0938-597-6637/ 0936-3897176")</f>
        <v>0938-597-6637/ 0936-3897176</v>
      </c>
      <c r="F932" s="2" t="str">
        <f>IFERROR(__xludf.DUMMYFUNCTION("""COMPUTED_VALUE"""),"RCEF 25-03-05")</f>
        <v>RCEF 25-03-05</v>
      </c>
      <c r="G932" s="2">
        <f>IFERROR(__xludf.DUMMYFUNCTION("""COMPUTED_VALUE"""),7.0)</f>
        <v>7</v>
      </c>
      <c r="H932" s="2" t="str">
        <f>IFERROR(__xludf.DUMMYFUNCTION("""COMPUTED_VALUE"""),"26931 &amp; 27973")</f>
        <v>26931 &amp; 27973</v>
      </c>
      <c r="I932" s="2" t="str">
        <f>IFERROR(__xludf.DUMMYFUNCTION("""COMPUTED_VALUE"""),"KMC5825 ACSFPV0228")</f>
        <v>KMC5825 ACSFPV0228</v>
      </c>
      <c r="J932" s="3" t="str">
        <f>IFERROR(__xludf.DUMMYFUNCTION("""COMPUTED_VALUE"""),"STS100217")</f>
        <v>STS100217</v>
      </c>
      <c r="K932" s="2" t="str">
        <f>IFERROR(__xludf.DUMMYFUNCTION("""COMPUTED_VALUE"""),"WR-SERIES 1377PH")</f>
        <v>WR-SERIES 1377PH</v>
      </c>
      <c r="L932" s="3" t="str">
        <f>IFERROR(__xludf.DUMMYFUNCTION("""COMPUTED_VALUE"""),"25080338")</f>
        <v>25080338</v>
      </c>
      <c r="M932" s="3">
        <f>IFERROR(__xludf.DUMMYFUNCTION("""COMPUTED_VALUE"""),2.5121356E7)</f>
        <v>25121356</v>
      </c>
      <c r="N932" s="2"/>
      <c r="O932" s="2" t="str">
        <f>IFERROR(__xludf.DUMMYFUNCTION("""COMPUTED_VALUE"""),"San Isidro")</f>
        <v>San Isidro</v>
      </c>
      <c r="P932" s="2" t="str">
        <f>IFERROR(__xludf.DUMMYFUNCTION("""COMPUTED_VALUE"""),"Pilar")</f>
        <v>Pilar</v>
      </c>
      <c r="Q932" s="2" t="str">
        <f>IFERROR(__xludf.DUMMYFUNCTION("""COMPUTED_VALUE"""),"Bohol")</f>
        <v>Bohol</v>
      </c>
      <c r="R932" s="2">
        <f>IFERROR(__xludf.DUMMYFUNCTION("""COMPUTED_VALUE"""),7.0)</f>
        <v>7</v>
      </c>
      <c r="S932" s="2"/>
      <c r="T932" s="2"/>
    </row>
    <row r="933">
      <c r="A933" s="1">
        <f>IFERROR(__xludf.DUMMYFUNCTION("""COMPUTED_VALUE"""),931.0)</f>
        <v>931</v>
      </c>
      <c r="B933" s="2" t="str">
        <f>IFERROR(__xludf.DUMMYFUNCTION("""COMPUTED_VALUE"""),"San Isidro Multi-Purpose Cooperative")</f>
        <v>San Isidro Multi-Purpose Cooperative</v>
      </c>
      <c r="C933" s="2" t="str">
        <f>IFERROR(__xludf.DUMMYFUNCTION("""COMPUTED_VALUE"""),"San Isidro, Pilar, BOHOL")</f>
        <v>San Isidro, Pilar, BOHOL</v>
      </c>
      <c r="D933" s="2" t="str">
        <f>IFERROR(__xludf.DUMMYFUNCTION("""COMPUTED_VALUE"""),"Artemio J. Amper")</f>
        <v>Artemio J. Amper</v>
      </c>
      <c r="E933" s="2" t="str">
        <f>IFERROR(__xludf.DUMMYFUNCTION("""COMPUTED_VALUE"""),"0907-652-8486")</f>
        <v>0907-652-8486</v>
      </c>
      <c r="F933" s="2" t="str">
        <f>IFERROR(__xludf.DUMMYFUNCTION("""COMPUTED_VALUE"""),"RCEF 25-03-05")</f>
        <v>RCEF 25-03-05</v>
      </c>
      <c r="G933" s="2">
        <f>IFERROR(__xludf.DUMMYFUNCTION("""COMPUTED_VALUE"""),7.0)</f>
        <v>7</v>
      </c>
      <c r="H933" s="2" t="str">
        <f>IFERROR(__xludf.DUMMYFUNCTION("""COMPUTED_VALUE"""),"26932 &amp; 27974")</f>
        <v>26932 &amp; 27974</v>
      </c>
      <c r="I933" s="2" t="str">
        <f>IFERROR(__xludf.DUMMYFUNCTION("""COMPUTED_VALUE"""),"KMC5825 AVSFPV0335")</f>
        <v>KMC5825 AVSFPV0335</v>
      </c>
      <c r="J933" s="3" t="str">
        <f>IFERROR(__xludf.DUMMYFUNCTION("""COMPUTED_VALUE"""),"STS100354")</f>
        <v>STS100354</v>
      </c>
      <c r="K933" s="2" t="str">
        <f>IFERROR(__xludf.DUMMYFUNCTION("""COMPUTED_VALUE"""),"WR-SERIES 1378PH")</f>
        <v>WR-SERIES 1378PH</v>
      </c>
      <c r="L933" s="3" t="str">
        <f>IFERROR(__xludf.DUMMYFUNCTION("""COMPUTED_VALUE"""),"25080435")</f>
        <v>25080435</v>
      </c>
      <c r="M933" s="3">
        <f>IFERROR(__xludf.DUMMYFUNCTION("""COMPUTED_VALUE"""),2.5121357E7)</f>
        <v>25121357</v>
      </c>
      <c r="N933" s="2"/>
      <c r="O933" s="2" t="str">
        <f>IFERROR(__xludf.DUMMYFUNCTION("""COMPUTED_VALUE"""),"San Isidro")</f>
        <v>San Isidro</v>
      </c>
      <c r="P933" s="2" t="str">
        <f>IFERROR(__xludf.DUMMYFUNCTION("""COMPUTED_VALUE"""),"Pilar")</f>
        <v>Pilar</v>
      </c>
      <c r="Q933" s="2" t="str">
        <f>IFERROR(__xludf.DUMMYFUNCTION("""COMPUTED_VALUE"""),"Bohol")</f>
        <v>Bohol</v>
      </c>
      <c r="R933" s="2">
        <f>IFERROR(__xludf.DUMMYFUNCTION("""COMPUTED_VALUE"""),7.0)</f>
        <v>7</v>
      </c>
      <c r="S933" s="2"/>
      <c r="T933" s="2"/>
    </row>
    <row r="934">
      <c r="A934" s="1">
        <f>IFERROR(__xludf.DUMMYFUNCTION("""COMPUTED_VALUE"""),932.0)</f>
        <v>932</v>
      </c>
      <c r="B934" s="2" t="str">
        <f>IFERROR(__xludf.DUMMYFUNCTION("""COMPUTED_VALUE"""),"SAN-LES RALIP IRRIGATORS ASSOCIATION INC")</f>
        <v>SAN-LES RALIP IRRIGATORS ASSOCIATION INC</v>
      </c>
      <c r="C934" s="2" t="str">
        <f>IFERROR(__xludf.DUMMYFUNCTION("""COMPUTED_VALUE"""),"San Isidro, Pilar, BOHOL")</f>
        <v>San Isidro, Pilar, BOHOL</v>
      </c>
      <c r="D934" s="2" t="str">
        <f>IFERROR(__xludf.DUMMYFUNCTION("""COMPUTED_VALUE"""),"Javier B. Flores")</f>
        <v>Javier B. Flores</v>
      </c>
      <c r="E934" s="2" t="str">
        <f>IFERROR(__xludf.DUMMYFUNCTION("""COMPUTED_VALUE"""),"0912-811-1915")</f>
        <v>0912-811-1915</v>
      </c>
      <c r="F934" s="2" t="str">
        <f>IFERROR(__xludf.DUMMYFUNCTION("""COMPUTED_VALUE"""),"RCEF 25-03-05")</f>
        <v>RCEF 25-03-05</v>
      </c>
      <c r="G934" s="2">
        <f>IFERROR(__xludf.DUMMYFUNCTION("""COMPUTED_VALUE"""),7.0)</f>
        <v>7</v>
      </c>
      <c r="H934" s="2" t="str">
        <f>IFERROR(__xludf.DUMMYFUNCTION("""COMPUTED_VALUE"""),"26933 &amp; 27975")</f>
        <v>26933 &amp; 27975</v>
      </c>
      <c r="I934" s="2" t="str">
        <f>IFERROR(__xludf.DUMMYFUNCTION("""COMPUTED_VALUE"""),"KMC5825 ACSFPV0181")</f>
        <v>KMC5825 ACSFPV0181</v>
      </c>
      <c r="J934" s="3" t="str">
        <f>IFERROR(__xludf.DUMMYFUNCTION("""COMPUTED_VALUE"""),"STS100181")</f>
        <v>STS100181</v>
      </c>
      <c r="K934" s="2" t="str">
        <f>IFERROR(__xludf.DUMMYFUNCTION("""COMPUTED_VALUE"""),"WR-SERIES 1390PH")</f>
        <v>WR-SERIES 1390PH</v>
      </c>
      <c r="L934" s="3" t="str">
        <f>IFERROR(__xludf.DUMMYFUNCTION("""COMPUTED_VALUE"""),"25090541")</f>
        <v>25090541</v>
      </c>
      <c r="M934" s="3">
        <f>IFERROR(__xludf.DUMMYFUNCTION("""COMPUTED_VALUE"""),2.5121358E7)</f>
        <v>25121358</v>
      </c>
      <c r="N934" s="2"/>
      <c r="O934" s="2" t="str">
        <f>IFERROR(__xludf.DUMMYFUNCTION("""COMPUTED_VALUE"""),"San Isidro")</f>
        <v>San Isidro</v>
      </c>
      <c r="P934" s="2" t="str">
        <f>IFERROR(__xludf.DUMMYFUNCTION("""COMPUTED_VALUE"""),"Pilar")</f>
        <v>Pilar</v>
      </c>
      <c r="Q934" s="2" t="str">
        <f>IFERROR(__xludf.DUMMYFUNCTION("""COMPUTED_VALUE"""),"Bohol")</f>
        <v>Bohol</v>
      </c>
      <c r="R934" s="2">
        <f>IFERROR(__xludf.DUMMYFUNCTION("""COMPUTED_VALUE"""),7.0)</f>
        <v>7</v>
      </c>
      <c r="S934" s="2"/>
      <c r="T934" s="2"/>
    </row>
    <row r="935">
      <c r="A935" s="1">
        <f>IFERROR(__xludf.DUMMYFUNCTION("""COMPUTED_VALUE"""),933.0)</f>
        <v>933</v>
      </c>
      <c r="B935" s="2" t="str">
        <f>IFERROR(__xludf.DUMMYFUNCTION("""COMPUTED_VALUE"""),"UNITED PROHANCE IRRIGATORS' ASSOCIATION, INC.")</f>
        <v>UNITED PROHANCE IRRIGATORS' ASSOCIATION, INC.</v>
      </c>
      <c r="C935" s="2" t="str">
        <f>IFERROR(__xludf.DUMMYFUNCTION("""COMPUTED_VALUE"""),"Estaca, Pilar, BOHOL")</f>
        <v>Estaca, Pilar, BOHOL</v>
      </c>
      <c r="D935" s="2" t="str">
        <f>IFERROR(__xludf.DUMMYFUNCTION("""COMPUTED_VALUE"""),"Nonito P. Ampo, Sr.")</f>
        <v>Nonito P. Ampo, Sr.</v>
      </c>
      <c r="E935" s="2" t="str">
        <f>IFERROR(__xludf.DUMMYFUNCTION("""COMPUTED_VALUE"""),"0948-017-6766")</f>
        <v>0948-017-6766</v>
      </c>
      <c r="F935" s="2" t="str">
        <f>IFERROR(__xludf.DUMMYFUNCTION("""COMPUTED_VALUE"""),"RCEF 25-03-05")</f>
        <v>RCEF 25-03-05</v>
      </c>
      <c r="G935" s="2">
        <f>IFERROR(__xludf.DUMMYFUNCTION("""COMPUTED_VALUE"""),7.0)</f>
        <v>7</v>
      </c>
      <c r="H935" s="2" t="str">
        <f>IFERROR(__xludf.DUMMYFUNCTION("""COMPUTED_VALUE"""),"26934 &amp; 27976")</f>
        <v>26934 &amp; 27976</v>
      </c>
      <c r="I935" s="2" t="str">
        <f>IFERROR(__xludf.DUMMYFUNCTION("""COMPUTED_VALUE"""),"KMC5825 ACSFPV0186")</f>
        <v>KMC5825 ACSFPV0186</v>
      </c>
      <c r="J935" s="3" t="str">
        <f>IFERROR(__xludf.DUMMYFUNCTION("""COMPUTED_VALUE"""),"STS100194")</f>
        <v>STS100194</v>
      </c>
      <c r="K935" s="2" t="str">
        <f>IFERROR(__xludf.DUMMYFUNCTION("""COMPUTED_VALUE"""),"WR-SERIES 1391PH")</f>
        <v>WR-SERIES 1391PH</v>
      </c>
      <c r="L935" s="3" t="str">
        <f>IFERROR(__xludf.DUMMYFUNCTION("""COMPUTED_VALUE"""),"25080314")</f>
        <v>25080314</v>
      </c>
      <c r="M935" s="3">
        <f>IFERROR(__xludf.DUMMYFUNCTION("""COMPUTED_VALUE"""),2.5121359E7)</f>
        <v>25121359</v>
      </c>
      <c r="N935" s="2"/>
      <c r="O935" s="2" t="str">
        <f>IFERROR(__xludf.DUMMYFUNCTION("""COMPUTED_VALUE"""),"Estaca")</f>
        <v>Estaca</v>
      </c>
      <c r="P935" s="2" t="str">
        <f>IFERROR(__xludf.DUMMYFUNCTION("""COMPUTED_VALUE"""),"Pilar")</f>
        <v>Pilar</v>
      </c>
      <c r="Q935" s="2" t="str">
        <f>IFERROR(__xludf.DUMMYFUNCTION("""COMPUTED_VALUE"""),"Bohol")</f>
        <v>Bohol</v>
      </c>
      <c r="R935" s="2">
        <f>IFERROR(__xludf.DUMMYFUNCTION("""COMPUTED_VALUE"""),7.0)</f>
        <v>7</v>
      </c>
      <c r="S935" s="2"/>
      <c r="T935" s="2"/>
    </row>
    <row r="936">
      <c r="A936" s="1">
        <f>IFERROR(__xludf.DUMMYFUNCTION("""COMPUTED_VALUE"""),934.0)</f>
        <v>934</v>
      </c>
      <c r="B936" s="2" t="str">
        <f>IFERROR(__xludf.DUMMYFUNCTION("""COMPUTED_VALUE"""),"BARANGAY WATER AGRICULTURE AND FOOD ASSOCAITION (BWAFA)")</f>
        <v>BARANGAY WATER AGRICULTURE AND FOOD ASSOCAITION (BWAFA)</v>
      </c>
      <c r="C936" s="2" t="str">
        <f>IFERROR(__xludf.DUMMYFUNCTION("""COMPUTED_VALUE"""),"San Isidro, Sierra Bullones, BOHOL")</f>
        <v>San Isidro, Sierra Bullones, BOHOL</v>
      </c>
      <c r="D936" s="2" t="str">
        <f>IFERROR(__xludf.DUMMYFUNCTION("""COMPUTED_VALUE"""),"Eduardo C. Rubia")</f>
        <v>Eduardo C. Rubia</v>
      </c>
      <c r="E936" s="2" t="str">
        <f>IFERROR(__xludf.DUMMYFUNCTION("""COMPUTED_VALUE"""),"090975-450-3793")</f>
        <v>090975-450-3793</v>
      </c>
      <c r="F936" s="2" t="str">
        <f>IFERROR(__xludf.DUMMYFUNCTION("""COMPUTED_VALUE"""),"RCEF 25-03-05")</f>
        <v>RCEF 25-03-05</v>
      </c>
      <c r="G936" s="2">
        <f>IFERROR(__xludf.DUMMYFUNCTION("""COMPUTED_VALUE"""),7.0)</f>
        <v>7</v>
      </c>
      <c r="H936" s="2" t="str">
        <f>IFERROR(__xludf.DUMMYFUNCTION("""COMPUTED_VALUE"""),"26935 &amp; 27977")</f>
        <v>26935 &amp; 27977</v>
      </c>
      <c r="I936" s="2" t="str">
        <f>IFERROR(__xludf.DUMMYFUNCTION("""COMPUTED_VALUE"""),"KMC5825 ATSFPV0165")</f>
        <v>KMC5825 ATSFPV0165</v>
      </c>
      <c r="J936" s="3" t="str">
        <f>IFERROR(__xludf.DUMMYFUNCTION("""COMPUTED_VALUE"""),"STS100170")</f>
        <v>STS100170</v>
      </c>
      <c r="K936" s="2" t="str">
        <f>IFERROR(__xludf.DUMMYFUNCTION("""COMPUTED_VALUE"""),"WR-SERIES 1392PH")</f>
        <v>WR-SERIES 1392PH</v>
      </c>
      <c r="L936" s="3" t="str">
        <f>IFERROR(__xludf.DUMMYFUNCTION("""COMPUTED_VALUE"""),"25090465")</f>
        <v>25090465</v>
      </c>
      <c r="M936" s="3">
        <f>IFERROR(__xludf.DUMMYFUNCTION("""COMPUTED_VALUE"""),2.512136E7)</f>
        <v>25121360</v>
      </c>
      <c r="N936" s="2"/>
      <c r="O936" s="2" t="str">
        <f>IFERROR(__xludf.DUMMYFUNCTION("""COMPUTED_VALUE"""),"San Isidro")</f>
        <v>San Isidro</v>
      </c>
      <c r="P936" s="2" t="str">
        <f>IFERROR(__xludf.DUMMYFUNCTION("""COMPUTED_VALUE"""),"Sierra Bullones")</f>
        <v>Sierra Bullones</v>
      </c>
      <c r="Q936" s="2" t="str">
        <f>IFERROR(__xludf.DUMMYFUNCTION("""COMPUTED_VALUE"""),"Bohol")</f>
        <v>Bohol</v>
      </c>
      <c r="R936" s="2">
        <f>IFERROR(__xludf.DUMMYFUNCTION("""COMPUTED_VALUE"""),7.0)</f>
        <v>7</v>
      </c>
      <c r="S936" s="2"/>
      <c r="T936" s="2"/>
    </row>
    <row r="937">
      <c r="A937" s="1">
        <f>IFERROR(__xludf.DUMMYFUNCTION("""COMPUTED_VALUE"""),935.0)</f>
        <v>935</v>
      </c>
      <c r="B937" s="2" t="str">
        <f>IFERROR(__xludf.DUMMYFUNCTION("""COMPUTED_VALUE"""),"Municipal Local Government Unit of Naval")</f>
        <v>Municipal Local Government Unit of Naval</v>
      </c>
      <c r="C937" s="2" t="str">
        <f>IFERROR(__xludf.DUMMYFUNCTION("""COMPUTED_VALUE"""),"Padre Inocentes Garcia (Pob.), Naval, BILIRAN")</f>
        <v>Padre Inocentes Garcia (Pob.), Naval, BILIRAN</v>
      </c>
      <c r="D937" s="2" t="str">
        <f>IFERROR(__xludf.DUMMYFUNCTION("""COMPUTED_VALUE"""),"Laurence Mangco")</f>
        <v>Laurence Mangco</v>
      </c>
      <c r="E937" s="2">
        <f>IFERROR(__xludf.DUMMYFUNCTION("""COMPUTED_VALUE"""),9.754781351E9)</f>
        <v>9754781351</v>
      </c>
      <c r="F937" s="2" t="str">
        <f>IFERROR(__xludf.DUMMYFUNCTION("""COMPUTED_VALUE"""),"RCEF 25-03-05")</f>
        <v>RCEF 25-03-05</v>
      </c>
      <c r="G937" s="2">
        <f>IFERROR(__xludf.DUMMYFUNCTION("""COMPUTED_VALUE"""),7.0)</f>
        <v>7</v>
      </c>
      <c r="H937" s="2" t="str">
        <f>IFERROR(__xludf.DUMMYFUNCTION("""COMPUTED_VALUE"""),"26936 &amp; 27978")</f>
        <v>26936 &amp; 27978</v>
      </c>
      <c r="I937" s="2" t="str">
        <f>IFERROR(__xludf.DUMMYFUNCTION("""COMPUTED_VALUE"""),"KMC5825 ALSFPV0449")</f>
        <v>KMC5825 ALSFPV0449</v>
      </c>
      <c r="J937" s="3" t="str">
        <f>IFERROR(__xludf.DUMMYFUNCTION("""COMPUTED_VALUE"""),"STS100326")</f>
        <v>STS100326</v>
      </c>
      <c r="K937" s="2" t="str">
        <f>IFERROR(__xludf.DUMMYFUNCTION("""COMPUTED_VALUE"""),"R-SERIES 215PH")</f>
        <v>R-SERIES 215PH</v>
      </c>
      <c r="L937" s="3" t="str">
        <f>IFERROR(__xludf.DUMMYFUNCTION("""COMPUTED_VALUE"""),"25090459")</f>
        <v>25090459</v>
      </c>
      <c r="M937" s="3">
        <f>IFERROR(__xludf.DUMMYFUNCTION("""COMPUTED_VALUE"""),2.5121361E7)</f>
        <v>25121361</v>
      </c>
      <c r="N937" s="2"/>
      <c r="O937" s="2" t="str">
        <f>IFERROR(__xludf.DUMMYFUNCTION("""COMPUTED_VALUE"""),"Padre Inocentes Garcia (Pob.)")</f>
        <v>Padre Inocentes Garcia (Pob.)</v>
      </c>
      <c r="P937" s="2" t="str">
        <f>IFERROR(__xludf.DUMMYFUNCTION("""COMPUTED_VALUE"""),"Naval")</f>
        <v>Naval</v>
      </c>
      <c r="Q937" s="2" t="str">
        <f>IFERROR(__xludf.DUMMYFUNCTION("""COMPUTED_VALUE"""),"Biliran")</f>
        <v>Biliran</v>
      </c>
      <c r="R937" s="2">
        <f>IFERROR(__xludf.DUMMYFUNCTION("""COMPUTED_VALUE"""),8.0)</f>
        <v>8</v>
      </c>
      <c r="S937" s="2"/>
      <c r="T937" s="2"/>
    </row>
    <row r="938">
      <c r="A938" s="1">
        <f>IFERROR(__xludf.DUMMYFUNCTION("""COMPUTED_VALUE"""),936.0)</f>
        <v>936</v>
      </c>
      <c r="B938" s="2" t="str">
        <f>IFERROR(__xludf.DUMMYFUNCTION("""COMPUTED_VALUE"""),"BUGHO FARMERS ASSOCIATION")</f>
        <v>BUGHO FARMERS ASSOCIATION</v>
      </c>
      <c r="C938" s="2" t="str">
        <f>IFERROR(__xludf.DUMMYFUNCTION("""COMPUTED_VALUE"""),"Bugho, Alangalang, LEYTE")</f>
        <v>Bugho, Alangalang, LEYTE</v>
      </c>
      <c r="D938" s="2" t="str">
        <f>IFERROR(__xludf.DUMMYFUNCTION("""COMPUTED_VALUE"""),"ANALYN A. GASPAY")</f>
        <v>ANALYN A. GASPAY</v>
      </c>
      <c r="E938" s="2" t="str">
        <f>IFERROR(__xludf.DUMMYFUNCTION("""COMPUTED_VALUE"""),"0905-249-6113")</f>
        <v>0905-249-6113</v>
      </c>
      <c r="F938" s="2" t="str">
        <f>IFERROR(__xludf.DUMMYFUNCTION("""COMPUTED_VALUE"""),"RCEF 25-03-05")</f>
        <v>RCEF 25-03-05</v>
      </c>
      <c r="G938" s="2">
        <f>IFERROR(__xludf.DUMMYFUNCTION("""COMPUTED_VALUE"""),7.0)</f>
        <v>7</v>
      </c>
      <c r="H938" s="2" t="str">
        <f>IFERROR(__xludf.DUMMYFUNCTION("""COMPUTED_VALUE"""),"26937 &amp; 27979")</f>
        <v>26937 &amp; 27979</v>
      </c>
      <c r="I938" s="2" t="str">
        <f>IFERROR(__xludf.DUMMYFUNCTION("""COMPUTED_VALUE"""),"KMC5825 AKSFPV0301")</f>
        <v>KMC5825 AKSFPV0301</v>
      </c>
      <c r="J938" s="3" t="str">
        <f>IFERROR(__xludf.DUMMYFUNCTION("""COMPUTED_VALUE"""),"STS100264")</f>
        <v>STS100264</v>
      </c>
      <c r="K938" s="2" t="str">
        <f>IFERROR(__xludf.DUMMYFUNCTION("""COMPUTED_VALUE"""),"R-SERIES 191PH")</f>
        <v>R-SERIES 191PH</v>
      </c>
      <c r="L938" s="3" t="str">
        <f>IFERROR(__xludf.DUMMYFUNCTION("""COMPUTED_VALUE"""),"25080300")</f>
        <v>25080300</v>
      </c>
      <c r="M938" s="3">
        <f>IFERROR(__xludf.DUMMYFUNCTION("""COMPUTED_VALUE"""),2.5121362E7)</f>
        <v>25121362</v>
      </c>
      <c r="N938" s="2"/>
      <c r="O938" s="2" t="str">
        <f>IFERROR(__xludf.DUMMYFUNCTION("""COMPUTED_VALUE"""),"Bugho")</f>
        <v>Bugho</v>
      </c>
      <c r="P938" s="2" t="str">
        <f>IFERROR(__xludf.DUMMYFUNCTION("""COMPUTED_VALUE"""),"Alangalang")</f>
        <v>Alangalang</v>
      </c>
      <c r="Q938" s="2" t="str">
        <f>IFERROR(__xludf.DUMMYFUNCTION("""COMPUTED_VALUE"""),"Leyte")</f>
        <v>Leyte</v>
      </c>
      <c r="R938" s="2">
        <f>IFERROR(__xludf.DUMMYFUNCTION("""COMPUTED_VALUE"""),8.0)</f>
        <v>8</v>
      </c>
      <c r="S938" s="2"/>
      <c r="T938" s="2"/>
    </row>
    <row r="939">
      <c r="A939" s="1">
        <f>IFERROR(__xludf.DUMMYFUNCTION("""COMPUTED_VALUE"""),937.0)</f>
        <v>937</v>
      </c>
      <c r="B939" s="2" t="str">
        <f>IFERROR(__xludf.DUMMYFUNCTION("""COMPUTED_VALUE"""),"MUNICIPAL LOCAL GOVERNMENT UNIT OF ALANGALANG")</f>
        <v>MUNICIPAL LOCAL GOVERNMENT UNIT OF ALANGALANG</v>
      </c>
      <c r="C939" s="2" t="str">
        <f>IFERROR(__xludf.DUMMYFUNCTION("""COMPUTED_VALUE"""),"Santo Niño (Pob.), Alangalang, LEYTE")</f>
        <v>Santo Niño (Pob.), Alangalang, LEYTE</v>
      </c>
      <c r="D939" s="2" t="str">
        <f>IFERROR(__xludf.DUMMYFUNCTION("""COMPUTED_VALUE"""),"CESAR D. ANADE - MA")</f>
        <v>CESAR D. ANADE - MA</v>
      </c>
      <c r="E939" s="2" t="str">
        <f>IFERROR(__xludf.DUMMYFUNCTION("""COMPUTED_VALUE"""),"0998-330-0944")</f>
        <v>0998-330-0944</v>
      </c>
      <c r="F939" s="2" t="str">
        <f>IFERROR(__xludf.DUMMYFUNCTION("""COMPUTED_VALUE"""),"RCEF 25-03-05")</f>
        <v>RCEF 25-03-05</v>
      </c>
      <c r="G939" s="2">
        <f>IFERROR(__xludf.DUMMYFUNCTION("""COMPUTED_VALUE"""),7.0)</f>
        <v>7</v>
      </c>
      <c r="H939" s="2" t="str">
        <f>IFERROR(__xludf.DUMMYFUNCTION("""COMPUTED_VALUE"""),"26938 &amp; 27980")</f>
        <v>26938 &amp; 27980</v>
      </c>
      <c r="I939" s="2" t="str">
        <f>IFERROR(__xludf.DUMMYFUNCTION("""COMPUTED_VALUE"""),"KMC5825 AVSFPV0626")</f>
        <v>KMC5825 AVSFPV0626</v>
      </c>
      <c r="J939" s="3" t="str">
        <f>IFERROR(__xludf.DUMMYFUNCTION("""COMPUTED_VALUE"""),"STS100427")</f>
        <v>STS100427</v>
      </c>
      <c r="K939" s="2" t="str">
        <f>IFERROR(__xludf.DUMMYFUNCTION("""COMPUTED_VALUE"""),"R-SERIES 161PH")</f>
        <v>R-SERIES 161PH</v>
      </c>
      <c r="L939" s="3" t="str">
        <f>IFERROR(__xludf.DUMMYFUNCTION("""COMPUTED_VALUE"""),"25040034")</f>
        <v>25040034</v>
      </c>
      <c r="M939" s="3">
        <f>IFERROR(__xludf.DUMMYFUNCTION("""COMPUTED_VALUE"""),2.5121363E7)</f>
        <v>25121363</v>
      </c>
      <c r="N939" s="2"/>
      <c r="O939" s="2" t="str">
        <f>IFERROR(__xludf.DUMMYFUNCTION("""COMPUTED_VALUE"""),"Santo Niño (Pob.)")</f>
        <v>Santo Niño (Pob.)</v>
      </c>
      <c r="P939" s="2" t="str">
        <f>IFERROR(__xludf.DUMMYFUNCTION("""COMPUTED_VALUE"""),"Alangalang")</f>
        <v>Alangalang</v>
      </c>
      <c r="Q939" s="2" t="str">
        <f>IFERROR(__xludf.DUMMYFUNCTION("""COMPUTED_VALUE"""),"Leyte")</f>
        <v>Leyte</v>
      </c>
      <c r="R939" s="2">
        <f>IFERROR(__xludf.DUMMYFUNCTION("""COMPUTED_VALUE"""),8.0)</f>
        <v>8</v>
      </c>
      <c r="S939" s="2"/>
      <c r="T939" s="2"/>
    </row>
    <row r="940">
      <c r="A940" s="1">
        <f>IFERROR(__xludf.DUMMYFUNCTION("""COMPUTED_VALUE"""),938.0)</f>
        <v>938</v>
      </c>
      <c r="B940" s="2" t="str">
        <f>IFERROR(__xludf.DUMMYFUNCTION("""COMPUTED_VALUE"""),"SANMAGBA IRRIGATOR'S ASSOCIATION")</f>
        <v>SANMAGBA IRRIGATOR'S ASSOCIATION</v>
      </c>
      <c r="C940" s="2" t="str">
        <f>IFERROR(__xludf.DUMMYFUNCTION("""COMPUTED_VALUE"""),"San Diego, Alangalang, LEYTE")</f>
        <v>San Diego, Alangalang, LEYTE</v>
      </c>
      <c r="D940" s="2" t="str">
        <f>IFERROR(__xludf.DUMMYFUNCTION("""COMPUTED_VALUE"""),"JANITO J. SABELA")</f>
        <v>JANITO J. SABELA</v>
      </c>
      <c r="E940" s="2" t="str">
        <f>IFERROR(__xludf.DUMMYFUNCTION("""COMPUTED_VALUE"""),"0997-405-2054")</f>
        <v>0997-405-2054</v>
      </c>
      <c r="F940" s="2" t="str">
        <f>IFERROR(__xludf.DUMMYFUNCTION("""COMPUTED_VALUE"""),"RCEF 25-03-05")</f>
        <v>RCEF 25-03-05</v>
      </c>
      <c r="G940" s="2">
        <f>IFERROR(__xludf.DUMMYFUNCTION("""COMPUTED_VALUE"""),7.0)</f>
        <v>7</v>
      </c>
      <c r="H940" s="2" t="str">
        <f>IFERROR(__xludf.DUMMYFUNCTION("""COMPUTED_VALUE"""),"26939 &amp; 27981")</f>
        <v>26939 &amp; 27981</v>
      </c>
      <c r="I940" s="2" t="str">
        <f>IFERROR(__xludf.DUMMYFUNCTION("""COMPUTED_VALUE"""),"KMC5825 AASFPV0420")</f>
        <v>KMC5825 AASFPV0420</v>
      </c>
      <c r="J940" s="3" t="str">
        <f>IFERROR(__xludf.DUMMYFUNCTION("""COMPUTED_VALUE"""),"STS100474")</f>
        <v>STS100474</v>
      </c>
      <c r="K940" s="2" t="str">
        <f>IFERROR(__xludf.DUMMYFUNCTION("""COMPUTED_VALUE"""),"R-SERIES 211PH")</f>
        <v>R-SERIES 211PH</v>
      </c>
      <c r="L940" s="3" t="str">
        <f>IFERROR(__xludf.DUMMYFUNCTION("""COMPUTED_VALUE"""),"25080322")</f>
        <v>25080322</v>
      </c>
      <c r="M940" s="3">
        <f>IFERROR(__xludf.DUMMYFUNCTION("""COMPUTED_VALUE"""),2.5121364E7)</f>
        <v>25121364</v>
      </c>
      <c r="N940" s="2"/>
      <c r="O940" s="2" t="str">
        <f>IFERROR(__xludf.DUMMYFUNCTION("""COMPUTED_VALUE"""),"San Diego")</f>
        <v>San Diego</v>
      </c>
      <c r="P940" s="2" t="str">
        <f>IFERROR(__xludf.DUMMYFUNCTION("""COMPUTED_VALUE"""),"Alangalang")</f>
        <v>Alangalang</v>
      </c>
      <c r="Q940" s="2" t="str">
        <f>IFERROR(__xludf.DUMMYFUNCTION("""COMPUTED_VALUE"""),"Leyte")</f>
        <v>Leyte</v>
      </c>
      <c r="R940" s="2">
        <f>IFERROR(__xludf.DUMMYFUNCTION("""COMPUTED_VALUE"""),8.0)</f>
        <v>8</v>
      </c>
      <c r="S940" s="2"/>
      <c r="T940" s="2"/>
    </row>
    <row r="941">
      <c r="A941" s="1">
        <f>IFERROR(__xludf.DUMMYFUNCTION("""COMPUTED_VALUE"""),939.0)</f>
        <v>939</v>
      </c>
      <c r="B941" s="2" t="str">
        <f>IFERROR(__xludf.DUMMYFUNCTION("""COMPUTED_VALUE"""),"INTEGRATED BARANGAYS OF TOLOSA LEYTE IRRIGATORS ASSOCIATION INC.")</f>
        <v>INTEGRATED BARANGAYS OF TOLOSA LEYTE IRRIGATORS ASSOCIATION INC.</v>
      </c>
      <c r="C941" s="2" t="str">
        <f>IFERROR(__xludf.DUMMYFUNCTION("""COMPUTED_VALUE"""),"Telegrafo, Tolosa, LEYTE")</f>
        <v>Telegrafo, Tolosa, LEYTE</v>
      </c>
      <c r="D941" s="2" t="str">
        <f>IFERROR(__xludf.DUMMYFUNCTION("""COMPUTED_VALUE"""),"REMEDIOS V. CINCO")</f>
        <v>REMEDIOS V. CINCO</v>
      </c>
      <c r="E941" s="2" t="str">
        <f>IFERROR(__xludf.DUMMYFUNCTION("""COMPUTED_VALUE"""),"0912-195-0965")</f>
        <v>0912-195-0965</v>
      </c>
      <c r="F941" s="2" t="str">
        <f>IFERROR(__xludf.DUMMYFUNCTION("""COMPUTED_VALUE"""),"RCEF 25-03-05")</f>
        <v>RCEF 25-03-05</v>
      </c>
      <c r="G941" s="2">
        <f>IFERROR(__xludf.DUMMYFUNCTION("""COMPUTED_VALUE"""),7.0)</f>
        <v>7</v>
      </c>
      <c r="H941" s="2" t="str">
        <f>IFERROR(__xludf.DUMMYFUNCTION("""COMPUTED_VALUE"""),"26940 &amp; 27982")</f>
        <v>26940 &amp; 27982</v>
      </c>
      <c r="I941" s="2" t="str">
        <f>IFERROR(__xludf.DUMMYFUNCTION("""COMPUTED_VALUE"""),"KMC5825 ALSFPV0435")</f>
        <v>KMC5825 ALSFPV0435</v>
      </c>
      <c r="J941" s="3" t="str">
        <f>IFERROR(__xludf.DUMMYFUNCTION("""COMPUTED_VALUE"""),"STS100437")</f>
        <v>STS100437</v>
      </c>
      <c r="K941" s="2" t="str">
        <f>IFERROR(__xludf.DUMMYFUNCTION("""COMPUTED_VALUE"""),"R-SERIES 158PH")</f>
        <v>R-SERIES 158PH</v>
      </c>
      <c r="L941" s="3" t="str">
        <f>IFERROR(__xludf.DUMMYFUNCTION("""COMPUTED_VALUE"""),"25090458")</f>
        <v>25090458</v>
      </c>
      <c r="M941" s="3">
        <f>IFERROR(__xludf.DUMMYFUNCTION("""COMPUTED_VALUE"""),2.5121365E7)</f>
        <v>25121365</v>
      </c>
      <c r="N941" s="2"/>
      <c r="O941" s="2" t="str">
        <f>IFERROR(__xludf.DUMMYFUNCTION("""COMPUTED_VALUE"""),"Telegrafo")</f>
        <v>Telegrafo</v>
      </c>
      <c r="P941" s="2" t="str">
        <f>IFERROR(__xludf.DUMMYFUNCTION("""COMPUTED_VALUE"""),"Tolosa")</f>
        <v>Tolosa</v>
      </c>
      <c r="Q941" s="2" t="str">
        <f>IFERROR(__xludf.DUMMYFUNCTION("""COMPUTED_VALUE"""),"Leyte")</f>
        <v>Leyte</v>
      </c>
      <c r="R941" s="2">
        <f>IFERROR(__xludf.DUMMYFUNCTION("""COMPUTED_VALUE"""),8.0)</f>
        <v>8</v>
      </c>
      <c r="S941" s="2"/>
      <c r="T941" s="2"/>
    </row>
    <row r="942">
      <c r="A942" s="1">
        <f>IFERROR(__xludf.DUMMYFUNCTION("""COMPUTED_VALUE"""),940.0)</f>
        <v>940</v>
      </c>
      <c r="B942" s="2" t="str">
        <f>IFERROR(__xludf.DUMMYFUNCTION("""COMPUTED_VALUE"""),"NEWCD45 IRRIGATORS' ASSOCIATION, INC.")</f>
        <v>NEWCD45 IRRIGATORS' ASSOCIATION, INC.</v>
      </c>
      <c r="C942" s="2" t="str">
        <f>IFERROR(__xludf.DUMMYFUNCTION("""COMPUTED_VALUE"""),"Poblacion Dist. VI (New Road), Barugo, LEYTE")</f>
        <v>Poblacion Dist. VI (New Road), Barugo, LEYTE</v>
      </c>
      <c r="D942" s="2" t="str">
        <f>IFERROR(__xludf.DUMMYFUNCTION("""COMPUTED_VALUE"""),"GIL A. ACUIN, SR.")</f>
        <v>GIL A. ACUIN, SR.</v>
      </c>
      <c r="E942" s="2" t="str">
        <f>IFERROR(__xludf.DUMMYFUNCTION("""COMPUTED_VALUE"""),"0912-193-9532")</f>
        <v>0912-193-9532</v>
      </c>
      <c r="F942" s="2" t="str">
        <f>IFERROR(__xludf.DUMMYFUNCTION("""COMPUTED_VALUE"""),"RCEF 25-03-05")</f>
        <v>RCEF 25-03-05</v>
      </c>
      <c r="G942" s="2">
        <f>IFERROR(__xludf.DUMMYFUNCTION("""COMPUTED_VALUE"""),7.0)</f>
        <v>7</v>
      </c>
      <c r="H942" s="2" t="str">
        <f>IFERROR(__xludf.DUMMYFUNCTION("""COMPUTED_VALUE"""),"26941 &amp; 27983")</f>
        <v>26941 &amp; 27983</v>
      </c>
      <c r="I942" s="2" t="str">
        <f>IFERROR(__xludf.DUMMYFUNCTION("""COMPUTED_VALUE"""),"KMC5825 AKSFPV0282")</f>
        <v>KMC5825 AKSFPV0282</v>
      </c>
      <c r="J942" s="3" t="str">
        <f>IFERROR(__xludf.DUMMYFUNCTION("""COMPUTED_VALUE"""),"STS100292")</f>
        <v>STS100292</v>
      </c>
      <c r="K942" s="2" t="str">
        <f>IFERROR(__xludf.DUMMYFUNCTION("""COMPUTED_VALUE"""),"R-SERIES 162PH")</f>
        <v>R-SERIES 162PH</v>
      </c>
      <c r="L942" s="3" t="str">
        <f>IFERROR(__xludf.DUMMYFUNCTION("""COMPUTED_VALUE"""),"25080324")</f>
        <v>25080324</v>
      </c>
      <c r="M942" s="3">
        <f>IFERROR(__xludf.DUMMYFUNCTION("""COMPUTED_VALUE"""),2.5121366E7)</f>
        <v>25121366</v>
      </c>
      <c r="N942" s="2"/>
      <c r="O942" s="2" t="str">
        <f>IFERROR(__xludf.DUMMYFUNCTION("""COMPUTED_VALUE"""),"Poblacion Dist. Vi (New Road)")</f>
        <v>Poblacion Dist. Vi (New Road)</v>
      </c>
      <c r="P942" s="2" t="str">
        <f>IFERROR(__xludf.DUMMYFUNCTION("""COMPUTED_VALUE"""),"Barugo")</f>
        <v>Barugo</v>
      </c>
      <c r="Q942" s="2" t="str">
        <f>IFERROR(__xludf.DUMMYFUNCTION("""COMPUTED_VALUE"""),"Leyte")</f>
        <v>Leyte</v>
      </c>
      <c r="R942" s="2">
        <f>IFERROR(__xludf.DUMMYFUNCTION("""COMPUTED_VALUE"""),8.0)</f>
        <v>8</v>
      </c>
      <c r="S942" s="2"/>
      <c r="T942" s="2"/>
    </row>
    <row r="943">
      <c r="A943" s="1">
        <f>IFERROR(__xludf.DUMMYFUNCTION("""COMPUTED_VALUE"""),941.0)</f>
        <v>941</v>
      </c>
      <c r="B943" s="2" t="str">
        <f>IFERROR(__xludf.DUMMYFUNCTION("""COMPUTED_VALUE"""),"MUNICIPAL LOCAL GOVERNMENT UNIT OF DULAG")</f>
        <v>MUNICIPAL LOCAL GOVERNMENT UNIT OF DULAG</v>
      </c>
      <c r="C943" s="2" t="str">
        <f>IFERROR(__xludf.DUMMYFUNCTION("""COMPUTED_VALUE"""),"Buntay (Pob.), Dulag, LEYTE")</f>
        <v>Buntay (Pob.), Dulag, LEYTE</v>
      </c>
      <c r="D943" s="2" t="str">
        <f>IFERROR(__xludf.DUMMYFUNCTION("""COMPUTED_VALUE"""),"ALONITA M. BAUTISTA - MA")</f>
        <v>ALONITA M. BAUTISTA - MA</v>
      </c>
      <c r="E943" s="2" t="str">
        <f>IFERROR(__xludf.DUMMYFUNCTION("""COMPUTED_VALUE"""),"0927-796-1198")</f>
        <v>0927-796-1198</v>
      </c>
      <c r="F943" s="2" t="str">
        <f>IFERROR(__xludf.DUMMYFUNCTION("""COMPUTED_VALUE"""),"RCEF 25-03-05")</f>
        <v>RCEF 25-03-05</v>
      </c>
      <c r="G943" s="2">
        <f>IFERROR(__xludf.DUMMYFUNCTION("""COMPUTED_VALUE"""),7.0)</f>
        <v>7</v>
      </c>
      <c r="H943" s="2" t="str">
        <f>IFERROR(__xludf.DUMMYFUNCTION("""COMPUTED_VALUE"""),"26942 &amp; 27984")</f>
        <v>26942 &amp; 27984</v>
      </c>
      <c r="I943" s="2" t="str">
        <f>IFERROR(__xludf.DUMMYFUNCTION("""COMPUTED_VALUE"""),"KMC5825 ALSFPV0435")</f>
        <v>KMC5825 ALSFPV0435</v>
      </c>
      <c r="J943" s="3" t="str">
        <f>IFERROR(__xludf.DUMMYFUNCTION("""COMPUTED_VALUE"""),"STS100437")</f>
        <v>STS100437</v>
      </c>
      <c r="K943" s="2" t="str">
        <f>IFERROR(__xludf.DUMMYFUNCTION("""COMPUTED_VALUE"""),"R-SERIES 158PH")</f>
        <v>R-SERIES 158PH</v>
      </c>
      <c r="L943" s="3" t="str">
        <f>IFERROR(__xludf.DUMMYFUNCTION("""COMPUTED_VALUE"""),"25090458")</f>
        <v>25090458</v>
      </c>
      <c r="M943" s="3">
        <f>IFERROR(__xludf.DUMMYFUNCTION("""COMPUTED_VALUE"""),2.5121367E7)</f>
        <v>25121367</v>
      </c>
      <c r="N943" s="2"/>
      <c r="O943" s="2" t="str">
        <f>IFERROR(__xludf.DUMMYFUNCTION("""COMPUTED_VALUE"""),"Buntay (Pob.)")</f>
        <v>Buntay (Pob.)</v>
      </c>
      <c r="P943" s="2" t="str">
        <f>IFERROR(__xludf.DUMMYFUNCTION("""COMPUTED_VALUE"""),"Dulag")</f>
        <v>Dulag</v>
      </c>
      <c r="Q943" s="2" t="str">
        <f>IFERROR(__xludf.DUMMYFUNCTION("""COMPUTED_VALUE"""),"Leyte")</f>
        <v>Leyte</v>
      </c>
      <c r="R943" s="2">
        <f>IFERROR(__xludf.DUMMYFUNCTION("""COMPUTED_VALUE"""),8.0)</f>
        <v>8</v>
      </c>
      <c r="S943" s="2"/>
      <c r="T943" s="2"/>
    </row>
    <row r="944">
      <c r="A944" s="1">
        <f>IFERROR(__xludf.DUMMYFUNCTION("""COMPUTED_VALUE"""),942.0)</f>
        <v>942</v>
      </c>
      <c r="B944" s="2" t="str">
        <f>IFERROR(__xludf.DUMMYFUNCTION("""COMPUTED_VALUE"""),"SITIO BAGANG UNITED FARMERS ASSOCIATION")</f>
        <v>SITIO BAGANG UNITED FARMERS ASSOCIATION</v>
      </c>
      <c r="C944" s="2" t="str">
        <f>IFERROR(__xludf.DUMMYFUNCTION("""COMPUTED_VALUE"""),"Cabacungan, Dulag, LEYTE")</f>
        <v>Cabacungan, Dulag, LEYTE</v>
      </c>
      <c r="D944" s="2" t="str">
        <f>IFERROR(__xludf.DUMMYFUNCTION("""COMPUTED_VALUE"""),"AGAPITO V. ADONIS")</f>
        <v>AGAPITO V. ADONIS</v>
      </c>
      <c r="E944" s="2" t="str">
        <f>IFERROR(__xludf.DUMMYFUNCTION("""COMPUTED_VALUE"""),"0930-838-4008")</f>
        <v>0930-838-4008</v>
      </c>
      <c r="F944" s="2" t="str">
        <f>IFERROR(__xludf.DUMMYFUNCTION("""COMPUTED_VALUE"""),"RCEF 25-03-05")</f>
        <v>RCEF 25-03-05</v>
      </c>
      <c r="G944" s="2">
        <f>IFERROR(__xludf.DUMMYFUNCTION("""COMPUTED_VALUE"""),7.0)</f>
        <v>7</v>
      </c>
      <c r="H944" s="2" t="str">
        <f>IFERROR(__xludf.DUMMYFUNCTION("""COMPUTED_VALUE"""),"26943 &amp; 27985")</f>
        <v>26943 &amp; 27985</v>
      </c>
      <c r="I944" s="2" t="str">
        <f>IFERROR(__xludf.DUMMYFUNCTION("""COMPUTED_VALUE"""),"KMC5825 AESFPV0406")</f>
        <v>KMC5825 AESFPV0406</v>
      </c>
      <c r="J944" s="3" t="str">
        <f>IFERROR(__xludf.DUMMYFUNCTION("""COMPUTED_VALUE"""),"STS100470")</f>
        <v>STS100470</v>
      </c>
      <c r="K944" s="2" t="str">
        <f>IFERROR(__xludf.DUMMYFUNCTION("""COMPUTED_VALUE"""),"R-SERIES 175PH")</f>
        <v>R-SERIES 175PH</v>
      </c>
      <c r="L944" s="3" t="str">
        <f>IFERROR(__xludf.DUMMYFUNCTION("""COMPUTED_VALUE"""),"25090477")</f>
        <v>25090477</v>
      </c>
      <c r="M944" s="3">
        <f>IFERROR(__xludf.DUMMYFUNCTION("""COMPUTED_VALUE"""),2.5121368E7)</f>
        <v>25121368</v>
      </c>
      <c r="N944" s="2"/>
      <c r="O944" s="2" t="str">
        <f>IFERROR(__xludf.DUMMYFUNCTION("""COMPUTED_VALUE"""),"Cabacungan")</f>
        <v>Cabacungan</v>
      </c>
      <c r="P944" s="2" t="str">
        <f>IFERROR(__xludf.DUMMYFUNCTION("""COMPUTED_VALUE"""),"Dulag")</f>
        <v>Dulag</v>
      </c>
      <c r="Q944" s="2" t="str">
        <f>IFERROR(__xludf.DUMMYFUNCTION("""COMPUTED_VALUE"""),"Leyte")</f>
        <v>Leyte</v>
      </c>
      <c r="R944" s="2">
        <f>IFERROR(__xludf.DUMMYFUNCTION("""COMPUTED_VALUE"""),8.0)</f>
        <v>8</v>
      </c>
      <c r="S944" s="2"/>
      <c r="T944" s="2"/>
    </row>
    <row r="945">
      <c r="A945" s="1">
        <f>IFERROR(__xludf.DUMMYFUNCTION("""COMPUTED_VALUE"""),943.0)</f>
        <v>943</v>
      </c>
      <c r="B945" s="2" t="str">
        <f>IFERROR(__xludf.DUMMYFUNCTION("""COMPUTED_VALUE"""),"TIGBAO-BOLONGTOHAN IRRIGATORS' ASSOCIATION, INC.")</f>
        <v>TIGBAO-BOLONGTOHAN IRRIGATORS' ASSOCIATION, INC.</v>
      </c>
      <c r="C945" s="2" t="str">
        <f>IFERROR(__xludf.DUMMYFUNCTION("""COMPUTED_VALUE"""),"Tigbao, Dulag, LEYTE")</f>
        <v>Tigbao, Dulag, LEYTE</v>
      </c>
      <c r="D945" s="2" t="str">
        <f>IFERROR(__xludf.DUMMYFUNCTION("""COMPUTED_VALUE"""),"BRAULIO L. DUNGZAL, JR.")</f>
        <v>BRAULIO L. DUNGZAL, JR.</v>
      </c>
      <c r="E945" s="2" t="str">
        <f>IFERROR(__xludf.DUMMYFUNCTION("""COMPUTED_VALUE"""),"0916-885-6989")</f>
        <v>0916-885-6989</v>
      </c>
      <c r="F945" s="2" t="str">
        <f>IFERROR(__xludf.DUMMYFUNCTION("""COMPUTED_VALUE"""),"RCEF 25-03-05")</f>
        <v>RCEF 25-03-05</v>
      </c>
      <c r="G945" s="2">
        <f>IFERROR(__xludf.DUMMYFUNCTION("""COMPUTED_VALUE"""),7.0)</f>
        <v>7</v>
      </c>
      <c r="H945" s="2" t="str">
        <f>IFERROR(__xludf.DUMMYFUNCTION("""COMPUTED_VALUE"""),"26944 &amp; 27986")</f>
        <v>26944 &amp; 27986</v>
      </c>
      <c r="I945" s="2" t="str">
        <f>IFERROR(__xludf.DUMMYFUNCTION("""COMPUTED_VALUE"""),"KMC5825 ALSFPV0418")</f>
        <v>KMC5825 ALSFPV0418</v>
      </c>
      <c r="J945" s="3" t="str">
        <f>IFERROR(__xludf.DUMMYFUNCTION("""COMPUTED_VALUE"""),"STS100476")</f>
        <v>STS100476</v>
      </c>
      <c r="K945" s="2" t="str">
        <f>IFERROR(__xludf.DUMMYFUNCTION("""COMPUTED_VALUE"""),"R-SERIES 156PH")</f>
        <v>R-SERIES 156PH</v>
      </c>
      <c r="L945" s="3" t="str">
        <f>IFERROR(__xludf.DUMMYFUNCTION("""COMPUTED_VALUE"""),"25080329")</f>
        <v>25080329</v>
      </c>
      <c r="M945" s="3">
        <f>IFERROR(__xludf.DUMMYFUNCTION("""COMPUTED_VALUE"""),2.5121369E7)</f>
        <v>25121369</v>
      </c>
      <c r="N945" s="2"/>
      <c r="O945" s="2" t="str">
        <f>IFERROR(__xludf.DUMMYFUNCTION("""COMPUTED_VALUE"""),"Tigbao")</f>
        <v>Tigbao</v>
      </c>
      <c r="P945" s="2" t="str">
        <f>IFERROR(__xludf.DUMMYFUNCTION("""COMPUTED_VALUE"""),"Dulag")</f>
        <v>Dulag</v>
      </c>
      <c r="Q945" s="2" t="str">
        <f>IFERROR(__xludf.DUMMYFUNCTION("""COMPUTED_VALUE"""),"Leyte")</f>
        <v>Leyte</v>
      </c>
      <c r="R945" s="2">
        <f>IFERROR(__xludf.DUMMYFUNCTION("""COMPUTED_VALUE"""),8.0)</f>
        <v>8</v>
      </c>
      <c r="S945" s="2"/>
      <c r="T945" s="2"/>
    </row>
    <row r="946">
      <c r="A946" s="1">
        <f>IFERROR(__xludf.DUMMYFUNCTION("""COMPUTED_VALUE"""),944.0)</f>
        <v>944</v>
      </c>
      <c r="B946" s="2" t="str">
        <f>IFERROR(__xludf.DUMMYFUNCTION("""COMPUTED_VALUE"""),"SAN ROQUE-GITABLA IRRIGATORS' ASSOCIATION, INC.")</f>
        <v>SAN ROQUE-GITABLA IRRIGATORS' ASSOCIATION, INC.</v>
      </c>
      <c r="C946" s="2" t="str">
        <f>IFERROR(__xludf.DUMMYFUNCTION("""COMPUTED_VALUE"""),"Gitabla, Julita, LEYTE")</f>
        <v>Gitabla, Julita, LEYTE</v>
      </c>
      <c r="D946" s="2" t="str">
        <f>IFERROR(__xludf.DUMMYFUNCTION("""COMPUTED_VALUE"""),"ROMY C. MAGAYANO")</f>
        <v>ROMY C. MAGAYANO</v>
      </c>
      <c r="E946" s="2" t="str">
        <f>IFERROR(__xludf.DUMMYFUNCTION("""COMPUTED_VALUE"""),"0948-303-1634")</f>
        <v>0948-303-1634</v>
      </c>
      <c r="F946" s="2" t="str">
        <f>IFERROR(__xludf.DUMMYFUNCTION("""COMPUTED_VALUE"""),"RCEF 25-03-05")</f>
        <v>RCEF 25-03-05</v>
      </c>
      <c r="G946" s="2">
        <f>IFERROR(__xludf.DUMMYFUNCTION("""COMPUTED_VALUE"""),7.0)</f>
        <v>7</v>
      </c>
      <c r="H946" s="2" t="str">
        <f>IFERROR(__xludf.DUMMYFUNCTION("""COMPUTED_VALUE"""),"26945 &amp; 27987")</f>
        <v>26945 &amp; 27987</v>
      </c>
      <c r="I946" s="2" t="str">
        <f>IFERROR(__xludf.DUMMYFUNCTION("""COMPUTED_VALUE"""),"KMC5825 ATSFPV0408")</f>
        <v>KMC5825 ATSFPV0408</v>
      </c>
      <c r="J946" s="3" t="str">
        <f>IFERROR(__xludf.DUMMYFUNCTION("""COMPUTED_VALUE"""),"STS100468")</f>
        <v>STS100468</v>
      </c>
      <c r="K946" s="2" t="str">
        <f>IFERROR(__xludf.DUMMYFUNCTION("""COMPUTED_VALUE"""),"R-SERIES 214PH")</f>
        <v>R-SERIES 214PH</v>
      </c>
      <c r="L946" s="3" t="str">
        <f>IFERROR(__xludf.DUMMYFUNCTION("""COMPUTED_VALUE"""),"25080321")</f>
        <v>25080321</v>
      </c>
      <c r="M946" s="3">
        <f>IFERROR(__xludf.DUMMYFUNCTION("""COMPUTED_VALUE"""),2.512137E7)</f>
        <v>25121370</v>
      </c>
      <c r="N946" s="2"/>
      <c r="O946" s="2" t="str">
        <f>IFERROR(__xludf.DUMMYFUNCTION("""COMPUTED_VALUE"""),"Gitabla")</f>
        <v>Gitabla</v>
      </c>
      <c r="P946" s="2" t="str">
        <f>IFERROR(__xludf.DUMMYFUNCTION("""COMPUTED_VALUE"""),"Julita")</f>
        <v>Julita</v>
      </c>
      <c r="Q946" s="2" t="str">
        <f>IFERROR(__xludf.DUMMYFUNCTION("""COMPUTED_VALUE"""),"Leyte")</f>
        <v>Leyte</v>
      </c>
      <c r="R946" s="2">
        <f>IFERROR(__xludf.DUMMYFUNCTION("""COMPUTED_VALUE"""),8.0)</f>
        <v>8</v>
      </c>
      <c r="S946" s="2"/>
      <c r="T946" s="2"/>
    </row>
    <row r="947">
      <c r="A947" s="1">
        <f>IFERROR(__xludf.DUMMYFUNCTION("""COMPUTED_VALUE"""),945.0)</f>
        <v>945</v>
      </c>
      <c r="B947" s="2" t="str">
        <f>IFERROR(__xludf.DUMMYFUNCTION("""COMPUTED_VALUE"""),"PASAKAY-ASTORGA-SAN PEDRO-AMAHIT-CAN-ISAK IRRIGATORS ASSOCIATION (PASACA IA), INC.")</f>
        <v>PASAKAY-ASTORGA-SAN PEDRO-AMAHIT-CAN-ISAK IRRIGATORS ASSOCIATION (PASACA IA), INC.</v>
      </c>
      <c r="C947" s="2" t="str">
        <f>IFERROR(__xludf.DUMMYFUNCTION("""COMPUTED_VALUE"""),"San Pedro, Tunga, LEYTE")</f>
        <v>San Pedro, Tunga, LEYTE</v>
      </c>
      <c r="D947" s="2" t="str">
        <f>IFERROR(__xludf.DUMMYFUNCTION("""COMPUTED_VALUE"""),"NESTOR A. ESQUIBEL")</f>
        <v>NESTOR A. ESQUIBEL</v>
      </c>
      <c r="E947" s="2" t="str">
        <f>IFERROR(__xludf.DUMMYFUNCTION("""COMPUTED_VALUE"""),"0950-166-6096")</f>
        <v>0950-166-6096</v>
      </c>
      <c r="F947" s="2" t="str">
        <f>IFERROR(__xludf.DUMMYFUNCTION("""COMPUTED_VALUE"""),"RCEF 25-03-05")</f>
        <v>RCEF 25-03-05</v>
      </c>
      <c r="G947" s="2">
        <f>IFERROR(__xludf.DUMMYFUNCTION("""COMPUTED_VALUE"""),7.0)</f>
        <v>7</v>
      </c>
      <c r="H947" s="2" t="str">
        <f>IFERROR(__xludf.DUMMYFUNCTION("""COMPUTED_VALUE"""),"26946 &amp; 27988")</f>
        <v>26946 &amp; 27988</v>
      </c>
      <c r="I947" s="2" t="str">
        <f>IFERROR(__xludf.DUMMYFUNCTION("""COMPUTED_VALUE"""),"KMC5825 ATSFPV0389")</f>
        <v>KMC5825 ATSFPV0389</v>
      </c>
      <c r="J947" s="3" t="str">
        <f>IFERROR(__xludf.DUMMYFUNCTION("""COMPUTED_VALUE"""),"STS100459")</f>
        <v>STS100459</v>
      </c>
      <c r="K947" s="2" t="str">
        <f>IFERROR(__xludf.DUMMYFUNCTION("""COMPUTED_VALUE"""),"R-SERIES 161PH")</f>
        <v>R-SERIES 161PH</v>
      </c>
      <c r="L947" s="3" t="str">
        <f>IFERROR(__xludf.DUMMYFUNCTION("""COMPUTED_VALUE"""),"25040034")</f>
        <v>25040034</v>
      </c>
      <c r="M947" s="3">
        <f>IFERROR(__xludf.DUMMYFUNCTION("""COMPUTED_VALUE"""),2.5121371E7)</f>
        <v>25121371</v>
      </c>
      <c r="N947" s="2"/>
      <c r="O947" s="2" t="str">
        <f>IFERROR(__xludf.DUMMYFUNCTION("""COMPUTED_VALUE"""),"San Pedro")</f>
        <v>San Pedro</v>
      </c>
      <c r="P947" s="2" t="str">
        <f>IFERROR(__xludf.DUMMYFUNCTION("""COMPUTED_VALUE"""),"Tunga")</f>
        <v>Tunga</v>
      </c>
      <c r="Q947" s="2" t="str">
        <f>IFERROR(__xludf.DUMMYFUNCTION("""COMPUTED_VALUE"""),"Leyte")</f>
        <v>Leyte</v>
      </c>
      <c r="R947" s="2">
        <f>IFERROR(__xludf.DUMMYFUNCTION("""COMPUTED_VALUE"""),8.0)</f>
        <v>8</v>
      </c>
      <c r="S947" s="2"/>
      <c r="T947" s="2"/>
    </row>
    <row r="948">
      <c r="A948" s="1">
        <f>IFERROR(__xludf.DUMMYFUNCTION("""COMPUTED_VALUE"""),946.0)</f>
        <v>946</v>
      </c>
      <c r="B948" s="2" t="str">
        <f>IFERROR(__xludf.DUMMYFUNCTION("""COMPUTED_VALUE"""),"Calaguise Agriculture Cooperative")</f>
        <v>Calaguise Agriculture Cooperative</v>
      </c>
      <c r="C948" s="2" t="str">
        <f>IFERROR(__xludf.DUMMYFUNCTION("""COMPUTED_VALUE"""),"Calaguise, Leyte, LEYTE")</f>
        <v>Calaguise, Leyte, LEYTE</v>
      </c>
      <c r="D948" s="2" t="str">
        <f>IFERROR(__xludf.DUMMYFUNCTION("""COMPUTED_VALUE"""),"Jeremias S. Medalla")</f>
        <v>Jeremias S. Medalla</v>
      </c>
      <c r="E948" s="2" t="str">
        <f>IFERROR(__xludf.DUMMYFUNCTION("""COMPUTED_VALUE"""),"0909-830-0110")</f>
        <v>0909-830-0110</v>
      </c>
      <c r="F948" s="2" t="str">
        <f>IFERROR(__xludf.DUMMYFUNCTION("""COMPUTED_VALUE"""),"RCEF 25-03-05")</f>
        <v>RCEF 25-03-05</v>
      </c>
      <c r="G948" s="2">
        <f>IFERROR(__xludf.DUMMYFUNCTION("""COMPUTED_VALUE"""),7.0)</f>
        <v>7</v>
      </c>
      <c r="H948" s="2" t="str">
        <f>IFERROR(__xludf.DUMMYFUNCTION("""COMPUTED_VALUE"""),"26947 &amp; 27989")</f>
        <v>26947 &amp; 27989</v>
      </c>
      <c r="I948" s="2" t="str">
        <f>IFERROR(__xludf.DUMMYFUNCTION("""COMPUTED_VALUE"""),"KMC5825 AKSFPV0220")</f>
        <v>KMC5825 AKSFPV0220</v>
      </c>
      <c r="J948" s="3" t="str">
        <f>IFERROR(__xludf.DUMMYFUNCTION("""COMPUTED_VALUE"""),"STS100192")</f>
        <v>STS100192</v>
      </c>
      <c r="K948" s="2" t="str">
        <f>IFERROR(__xludf.DUMMYFUNCTION("""COMPUTED_VALUE"""),"R-SERIES 072PH")</f>
        <v>R-SERIES 072PH</v>
      </c>
      <c r="L948" s="3" t="str">
        <f>IFERROR(__xludf.DUMMYFUNCTION("""COMPUTED_VALUE"""),"25090463")</f>
        <v>25090463</v>
      </c>
      <c r="M948" s="3">
        <f>IFERROR(__xludf.DUMMYFUNCTION("""COMPUTED_VALUE"""),2.5121372E7)</f>
        <v>25121372</v>
      </c>
      <c r="N948" s="2"/>
      <c r="O948" s="2" t="str">
        <f>IFERROR(__xludf.DUMMYFUNCTION("""COMPUTED_VALUE"""),"Calaguise")</f>
        <v>Calaguise</v>
      </c>
      <c r="P948" s="2" t="str">
        <f>IFERROR(__xludf.DUMMYFUNCTION("""COMPUTED_VALUE"""),"Leyte")</f>
        <v>Leyte</v>
      </c>
      <c r="Q948" s="2" t="str">
        <f>IFERROR(__xludf.DUMMYFUNCTION("""COMPUTED_VALUE"""),"Leyte")</f>
        <v>Leyte</v>
      </c>
      <c r="R948" s="2">
        <f>IFERROR(__xludf.DUMMYFUNCTION("""COMPUTED_VALUE"""),8.0)</f>
        <v>8</v>
      </c>
      <c r="S948" s="2"/>
      <c r="T948" s="2"/>
    </row>
    <row r="949">
      <c r="A949" s="1">
        <f>IFERROR(__xludf.DUMMYFUNCTION("""COMPUTED_VALUE"""),947.0)</f>
        <v>947</v>
      </c>
      <c r="B949" s="2" t="str">
        <f>IFERROR(__xludf.DUMMYFUNCTION("""COMPUTED_VALUE"""),"GUINTAGBUCAN FARMERS ASSOCIATION")</f>
        <v>GUINTAGBUCAN FARMERS ASSOCIATION</v>
      </c>
      <c r="C949" s="2" t="str">
        <f>IFERROR(__xludf.DUMMYFUNCTION("""COMPUTED_VALUE"""),"Guintagbucan (Pob.), Abuyog, LEYTE")</f>
        <v>Guintagbucan (Pob.), Abuyog, LEYTE</v>
      </c>
      <c r="D949" s="2" t="str">
        <f>IFERROR(__xludf.DUMMYFUNCTION("""COMPUTED_VALUE"""),"Francisca P. Cinco")</f>
        <v>Francisca P. Cinco</v>
      </c>
      <c r="E949" s="2" t="str">
        <f>IFERROR(__xludf.DUMMYFUNCTION("""COMPUTED_VALUE"""),"0953-986-5263")</f>
        <v>0953-986-5263</v>
      </c>
      <c r="F949" s="2" t="str">
        <f>IFERROR(__xludf.DUMMYFUNCTION("""COMPUTED_VALUE"""),"RCEF 25-03-05")</f>
        <v>RCEF 25-03-05</v>
      </c>
      <c r="G949" s="2">
        <f>IFERROR(__xludf.DUMMYFUNCTION("""COMPUTED_VALUE"""),7.0)</f>
        <v>7</v>
      </c>
      <c r="H949" s="2" t="str">
        <f>IFERROR(__xludf.DUMMYFUNCTION("""COMPUTED_VALUE"""),"26948 &amp; 27990")</f>
        <v>26948 &amp; 27990</v>
      </c>
      <c r="I949" s="2" t="str">
        <f>IFERROR(__xludf.DUMMYFUNCTION("""COMPUTED_VALUE"""),"KMC5825 AHSFPV0274")</f>
        <v>KMC5825 AHSFPV0274</v>
      </c>
      <c r="J949" s="3" t="str">
        <f>IFERROR(__xludf.DUMMYFUNCTION("""COMPUTED_VALUE"""),"STS100280")</f>
        <v>STS100280</v>
      </c>
      <c r="K949" s="2" t="str">
        <f>IFERROR(__xludf.DUMMYFUNCTION("""COMPUTED_VALUE"""),"R-SERIES 065PH")</f>
        <v>R-SERIES 065PH</v>
      </c>
      <c r="L949" s="3" t="str">
        <f>IFERROR(__xludf.DUMMYFUNCTION("""COMPUTED_VALUE"""),"25080284")</f>
        <v>25080284</v>
      </c>
      <c r="M949" s="3">
        <f>IFERROR(__xludf.DUMMYFUNCTION("""COMPUTED_VALUE"""),2.5121373E7)</f>
        <v>25121373</v>
      </c>
      <c r="N949" s="2"/>
      <c r="O949" s="2" t="str">
        <f>IFERROR(__xludf.DUMMYFUNCTION("""COMPUTED_VALUE"""),"Guintagbucan (Pob.)")</f>
        <v>Guintagbucan (Pob.)</v>
      </c>
      <c r="P949" s="2" t="str">
        <f>IFERROR(__xludf.DUMMYFUNCTION("""COMPUTED_VALUE"""),"Abuyog")</f>
        <v>Abuyog</v>
      </c>
      <c r="Q949" s="2" t="str">
        <f>IFERROR(__xludf.DUMMYFUNCTION("""COMPUTED_VALUE"""),"Leyte")</f>
        <v>Leyte</v>
      </c>
      <c r="R949" s="2">
        <f>IFERROR(__xludf.DUMMYFUNCTION("""COMPUTED_VALUE"""),8.0)</f>
        <v>8</v>
      </c>
      <c r="S949" s="2"/>
      <c r="T949" s="2"/>
    </row>
    <row r="950">
      <c r="A950" s="1">
        <f>IFERROR(__xludf.DUMMYFUNCTION("""COMPUTED_VALUE"""),948.0)</f>
        <v>948</v>
      </c>
      <c r="B950" s="2" t="str">
        <f>IFERROR(__xludf.DUMMYFUNCTION("""COMPUTED_VALUE"""),"LIBERTAD PROGRESSIVE AGRICULTURAL FARMERS ASSOCIATION (LPAFA)")</f>
        <v>LIBERTAD PROGRESSIVE AGRICULTURAL FARMERS ASSOCIATION (LPAFA)</v>
      </c>
      <c r="C950" s="2" t="str">
        <f>IFERROR(__xludf.DUMMYFUNCTION("""COMPUTED_VALUE"""),"Libertad, Abuyog, LEYTE")</f>
        <v>Libertad, Abuyog, LEYTE</v>
      </c>
      <c r="D950" s="2" t="str">
        <f>IFERROR(__xludf.DUMMYFUNCTION("""COMPUTED_VALUE"""),"Esterlita D. Reas")</f>
        <v>Esterlita D. Reas</v>
      </c>
      <c r="E950" s="2" t="str">
        <f>IFERROR(__xludf.DUMMYFUNCTION("""COMPUTED_VALUE"""),"0967-916-3392")</f>
        <v>0967-916-3392</v>
      </c>
      <c r="F950" s="2" t="str">
        <f>IFERROR(__xludf.DUMMYFUNCTION("""COMPUTED_VALUE"""),"RCEF 25-03-05")</f>
        <v>RCEF 25-03-05</v>
      </c>
      <c r="G950" s="2">
        <f>IFERROR(__xludf.DUMMYFUNCTION("""COMPUTED_VALUE"""),7.0)</f>
        <v>7</v>
      </c>
      <c r="H950" s="2" t="str">
        <f>IFERROR(__xludf.DUMMYFUNCTION("""COMPUTED_VALUE"""),"26949 &amp; 27991")</f>
        <v>26949 &amp; 27991</v>
      </c>
      <c r="I950" s="2" t="str">
        <f>IFERROR(__xludf.DUMMYFUNCTION("""COMPUTED_VALUE"""),"KMC5825 AJSFPV0221")</f>
        <v>KMC5825 AJSFPV0221</v>
      </c>
      <c r="J950" s="3" t="str">
        <f>IFERROR(__xludf.DUMMYFUNCTION("""COMPUTED_VALUE"""),"STS100193")</f>
        <v>STS100193</v>
      </c>
      <c r="K950" s="2" t="str">
        <f>IFERROR(__xludf.DUMMYFUNCTION("""COMPUTED_VALUE"""),"R-SERIES 014PH")</f>
        <v>R-SERIES 014PH</v>
      </c>
      <c r="L950" s="3" t="str">
        <f>IFERROR(__xludf.DUMMYFUNCTION("""COMPUTED_VALUE"""),"25040030")</f>
        <v>25040030</v>
      </c>
      <c r="M950" s="3">
        <f>IFERROR(__xludf.DUMMYFUNCTION("""COMPUTED_VALUE"""),2.5121374E7)</f>
        <v>25121374</v>
      </c>
      <c r="N950" s="2"/>
      <c r="O950" s="2" t="str">
        <f>IFERROR(__xludf.DUMMYFUNCTION("""COMPUTED_VALUE"""),"Libertad")</f>
        <v>Libertad</v>
      </c>
      <c r="P950" s="2" t="str">
        <f>IFERROR(__xludf.DUMMYFUNCTION("""COMPUTED_VALUE"""),"Abuyog")</f>
        <v>Abuyog</v>
      </c>
      <c r="Q950" s="2" t="str">
        <f>IFERROR(__xludf.DUMMYFUNCTION("""COMPUTED_VALUE"""),"Leyte")</f>
        <v>Leyte</v>
      </c>
      <c r="R950" s="2">
        <f>IFERROR(__xludf.DUMMYFUNCTION("""COMPUTED_VALUE"""),8.0)</f>
        <v>8</v>
      </c>
      <c r="S950" s="2"/>
      <c r="T950" s="2"/>
    </row>
    <row r="951">
      <c r="A951" s="1">
        <f>IFERROR(__xludf.DUMMYFUNCTION("""COMPUTED_VALUE"""),949.0)</f>
        <v>949</v>
      </c>
      <c r="B951" s="2" t="str">
        <f>IFERROR(__xludf.DUMMYFUNCTION("""COMPUTED_VALUE"""),"MAGKANTA IRRIGATORS' ASSOCIATION, INC.")</f>
        <v>MAGKANTA IRRIGATORS' ASSOCIATION, INC.</v>
      </c>
      <c r="C951" s="2" t="str">
        <f>IFERROR(__xludf.DUMMYFUNCTION("""COMPUTED_VALUE"""),"Magnangoy, Hilongos, LEYTE")</f>
        <v>Magnangoy, Hilongos, LEYTE</v>
      </c>
      <c r="D951" s="2" t="str">
        <f>IFERROR(__xludf.DUMMYFUNCTION("""COMPUTED_VALUE"""),"Roberto Ma. B. Reyes")</f>
        <v>Roberto Ma. B. Reyes</v>
      </c>
      <c r="E951" s="2" t="str">
        <f>IFERROR(__xludf.DUMMYFUNCTION("""COMPUTED_VALUE"""),"0927-769-7279")</f>
        <v>0927-769-7279</v>
      </c>
      <c r="F951" s="2" t="str">
        <f>IFERROR(__xludf.DUMMYFUNCTION("""COMPUTED_VALUE"""),"RCEF 25-03-05")</f>
        <v>RCEF 25-03-05</v>
      </c>
      <c r="G951" s="2">
        <f>IFERROR(__xludf.DUMMYFUNCTION("""COMPUTED_VALUE"""),7.0)</f>
        <v>7</v>
      </c>
      <c r="H951" s="2" t="str">
        <f>IFERROR(__xludf.DUMMYFUNCTION("""COMPUTED_VALUE"""),"26950 &amp; 27992")</f>
        <v>26950 &amp; 27992</v>
      </c>
      <c r="I951" s="2" t="str">
        <f>IFERROR(__xludf.DUMMYFUNCTION("""COMPUTED_VALUE"""),"KMC5825 AASFPV0384")</f>
        <v>KMC5825 AASFPV0384</v>
      </c>
      <c r="J951" s="3" t="str">
        <f>IFERROR(__xludf.DUMMYFUNCTION("""COMPUTED_VALUE"""),"STS100464")</f>
        <v>STS100464</v>
      </c>
      <c r="K951" s="2" t="str">
        <f>IFERROR(__xludf.DUMMYFUNCTION("""COMPUTED_VALUE"""),"R-SERIES 162PH")</f>
        <v>R-SERIES 162PH</v>
      </c>
      <c r="L951" s="3" t="str">
        <f>IFERROR(__xludf.DUMMYFUNCTION("""COMPUTED_VALUE"""),"25080319")</f>
        <v>25080319</v>
      </c>
      <c r="M951" s="3">
        <f>IFERROR(__xludf.DUMMYFUNCTION("""COMPUTED_VALUE"""),2.5121375E7)</f>
        <v>25121375</v>
      </c>
      <c r="N951" s="2"/>
      <c r="O951" s="2" t="str">
        <f>IFERROR(__xludf.DUMMYFUNCTION("""COMPUTED_VALUE"""),"Magnangoy")</f>
        <v>Magnangoy</v>
      </c>
      <c r="P951" s="2" t="str">
        <f>IFERROR(__xludf.DUMMYFUNCTION("""COMPUTED_VALUE"""),"Hilongos")</f>
        <v>Hilongos</v>
      </c>
      <c r="Q951" s="2" t="str">
        <f>IFERROR(__xludf.DUMMYFUNCTION("""COMPUTED_VALUE"""),"Leyte")</f>
        <v>Leyte</v>
      </c>
      <c r="R951" s="2">
        <f>IFERROR(__xludf.DUMMYFUNCTION("""COMPUTED_VALUE"""),8.0)</f>
        <v>8</v>
      </c>
      <c r="S951" s="2"/>
      <c r="T951" s="2"/>
    </row>
    <row r="952">
      <c r="A952" s="1">
        <f>IFERROR(__xludf.DUMMYFUNCTION("""COMPUTED_VALUE"""),950.0)</f>
        <v>950</v>
      </c>
      <c r="B952" s="2" t="str">
        <f>IFERROR(__xludf.DUMMYFUNCTION("""COMPUTED_VALUE"""),"Municipal Local Government Unit of Matalom")</f>
        <v>Municipal Local Government Unit of Matalom</v>
      </c>
      <c r="C952" s="2" t="str">
        <f>IFERROR(__xludf.DUMMYFUNCTION("""COMPUTED_VALUE"""),"Santo Niño (Pob.), Matalom, LEYTE")</f>
        <v>Santo Niño (Pob.), Matalom, LEYTE</v>
      </c>
      <c r="D952" s="2" t="str">
        <f>IFERROR(__xludf.DUMMYFUNCTION("""COMPUTED_VALUE"""),"Bonifacio O. Gono")</f>
        <v>Bonifacio O. Gono</v>
      </c>
      <c r="E952" s="2">
        <f>IFERROR(__xludf.DUMMYFUNCTION("""COMPUTED_VALUE"""),9.564326187E9)</f>
        <v>9564326187</v>
      </c>
      <c r="F952" s="2" t="str">
        <f>IFERROR(__xludf.DUMMYFUNCTION("""COMPUTED_VALUE"""),"RCEF 25-03-05")</f>
        <v>RCEF 25-03-05</v>
      </c>
      <c r="G952" s="2">
        <f>IFERROR(__xludf.DUMMYFUNCTION("""COMPUTED_VALUE"""),7.0)</f>
        <v>7</v>
      </c>
      <c r="H952" s="2" t="str">
        <f>IFERROR(__xludf.DUMMYFUNCTION("""COMPUTED_VALUE"""),"27280 &amp; 27993")</f>
        <v>27280 &amp; 27993</v>
      </c>
      <c r="I952" s="2" t="str">
        <f>IFERROR(__xludf.DUMMYFUNCTION("""COMPUTED_VALUE"""),"KMC5825 APSFPV0300")</f>
        <v>KMC5825 APSFPV0300</v>
      </c>
      <c r="J952" s="3" t="str">
        <f>IFERROR(__xludf.DUMMYFUNCTION("""COMPUTED_VALUE"""),"STS100271")</f>
        <v>STS100271</v>
      </c>
      <c r="K952" s="2" t="str">
        <f>IFERROR(__xludf.DUMMYFUNCTION("""COMPUTED_VALUE"""),"R-SERIES 159PH")</f>
        <v>R-SERIES 159PH</v>
      </c>
      <c r="L952" s="3" t="str">
        <f>IFERROR(__xludf.DUMMYFUNCTION("""COMPUTED_VALUE"""),"25090478")</f>
        <v>25090478</v>
      </c>
      <c r="M952" s="3">
        <f>IFERROR(__xludf.DUMMYFUNCTION("""COMPUTED_VALUE"""),2.5121376E7)</f>
        <v>25121376</v>
      </c>
      <c r="N952" s="2"/>
      <c r="O952" s="2" t="str">
        <f>IFERROR(__xludf.DUMMYFUNCTION("""COMPUTED_VALUE"""),"Santo Niño (Pob.)")</f>
        <v>Santo Niño (Pob.)</v>
      </c>
      <c r="P952" s="2" t="str">
        <f>IFERROR(__xludf.DUMMYFUNCTION("""COMPUTED_VALUE"""),"Matalom")</f>
        <v>Matalom</v>
      </c>
      <c r="Q952" s="2" t="str">
        <f>IFERROR(__xludf.DUMMYFUNCTION("""COMPUTED_VALUE"""),"Leyte")</f>
        <v>Leyte</v>
      </c>
      <c r="R952" s="2">
        <f>IFERROR(__xludf.DUMMYFUNCTION("""COMPUTED_VALUE"""),8.0)</f>
        <v>8</v>
      </c>
      <c r="S952" s="2"/>
      <c r="T952" s="2"/>
    </row>
    <row r="953">
      <c r="A953" s="1">
        <f>IFERROR(__xludf.DUMMYFUNCTION("""COMPUTED_VALUE"""),951.0)</f>
        <v>951</v>
      </c>
      <c r="B953" s="2" t="str">
        <f>IFERROR(__xludf.DUMMYFUNCTION("""COMPUTED_VALUE"""),"BRGY. LAMOT II IRRIGATORS' SERVICE ASSOCIATION, INC.")</f>
        <v>BRGY. LAMOT II IRRIGATORS' SERVICE ASSOCIATION, INC.</v>
      </c>
      <c r="C953" s="2" t="str">
        <f>IFERROR(__xludf.DUMMYFUNCTION("""COMPUTED_VALUE"""),"Lamot 2, Calauan, LAGUNA")</f>
        <v>Lamot 2, Calauan, LAGUNA</v>
      </c>
      <c r="D953" s="2" t="str">
        <f>IFERROR(__xludf.DUMMYFUNCTION("""COMPUTED_VALUE"""),"Rohmel Latayan")</f>
        <v>Rohmel Latayan</v>
      </c>
      <c r="E953" s="2" t="str">
        <f>IFERROR(__xludf.DUMMYFUNCTION("""COMPUTED_VALUE"""),"0927 567 2114")</f>
        <v>0927 567 2114</v>
      </c>
      <c r="F953" s="2" t="str">
        <f>IFERROR(__xludf.DUMMYFUNCTION("""COMPUTED_VALUE"""),"RCEF 25-03-05")</f>
        <v>RCEF 25-03-05</v>
      </c>
      <c r="G953" s="2">
        <f>IFERROR(__xludf.DUMMYFUNCTION("""COMPUTED_VALUE"""),7.0)</f>
        <v>7</v>
      </c>
      <c r="H953" s="2" t="str">
        <f>IFERROR(__xludf.DUMMYFUNCTION("""COMPUTED_VALUE"""),"27281 &amp; 27994")</f>
        <v>27281 &amp; 27994</v>
      </c>
      <c r="I953" s="2" t="str">
        <f>IFERROR(__xludf.DUMMYFUNCTION("""COMPUTED_VALUE"""),"KMC525 AASFPV0286")</f>
        <v>KMC525 AASFPV0286</v>
      </c>
      <c r="J953" s="3" t="str">
        <f>IFERROR(__xludf.DUMMYFUNCTION("""COMPUTED_VALUE"""),"STS100299")</f>
        <v>STS100299</v>
      </c>
      <c r="K953" s="2" t="str">
        <f>IFERROR(__xludf.DUMMYFUNCTION("""COMPUTED_VALUE"""),"WR-SERIES 1393PH")</f>
        <v>WR-SERIES 1393PH</v>
      </c>
      <c r="L953" s="3">
        <f>IFERROR(__xludf.DUMMYFUNCTION("""COMPUTED_VALUE"""),2.5120912E7)</f>
        <v>25120912</v>
      </c>
      <c r="M953" s="3">
        <f>IFERROR(__xludf.DUMMYFUNCTION("""COMPUTED_VALUE"""),2.5121442E7)</f>
        <v>25121442</v>
      </c>
      <c r="N953" s="2"/>
      <c r="O953" s="2" t="str">
        <f>IFERROR(__xludf.DUMMYFUNCTION("""COMPUTED_VALUE"""),"Lamot 2")</f>
        <v>Lamot 2</v>
      </c>
      <c r="P953" s="2" t="str">
        <f>IFERROR(__xludf.DUMMYFUNCTION("""COMPUTED_VALUE"""),"Calauan")</f>
        <v>Calauan</v>
      </c>
      <c r="Q953" s="2" t="str">
        <f>IFERROR(__xludf.DUMMYFUNCTION("""COMPUTED_VALUE"""),"Laguna")</f>
        <v>Laguna</v>
      </c>
      <c r="R953" s="2" t="str">
        <f>IFERROR(__xludf.DUMMYFUNCTION("""COMPUTED_VALUE"""),"4A")</f>
        <v>4A</v>
      </c>
      <c r="S953" s="2"/>
      <c r="T953" s="2"/>
    </row>
    <row r="954">
      <c r="A954" s="1">
        <f>IFERROR(__xludf.DUMMYFUNCTION("""COMPUTED_VALUE"""),952.0)</f>
        <v>952</v>
      </c>
      <c r="B954" s="2" t="str">
        <f>IFERROR(__xludf.DUMMYFUNCTION("""COMPUTED_VALUE"""),"BARANGAY BIÑAN MULTI-CROPS AND LIVESTOCK FARMERS ASSOCIATION (BBMCLFA)")</f>
        <v>BARANGAY BIÑAN MULTI-CROPS AND LIVESTOCK FARMERS ASSOCIATION (BBMCLFA)</v>
      </c>
      <c r="C954" s="2" t="str">
        <f>IFERROR(__xludf.DUMMYFUNCTION("""COMPUTED_VALUE"""),"Biñan, Pagsanjan, LAGUNA")</f>
        <v>Biñan, Pagsanjan, LAGUNA</v>
      </c>
      <c r="D954" s="2" t="str">
        <f>IFERROR(__xludf.DUMMYFUNCTION("""COMPUTED_VALUE"""),"Raymundo Dacdac")</f>
        <v>Raymundo Dacdac</v>
      </c>
      <c r="E954" s="2" t="str">
        <f>IFERROR(__xludf.DUMMYFUNCTION("""COMPUTED_VALUE"""),"0908 537 7344")</f>
        <v>0908 537 7344</v>
      </c>
      <c r="F954" s="2" t="str">
        <f>IFERROR(__xludf.DUMMYFUNCTION("""COMPUTED_VALUE"""),"RCEF 25-03-05")</f>
        <v>RCEF 25-03-05</v>
      </c>
      <c r="G954" s="2">
        <f>IFERROR(__xludf.DUMMYFUNCTION("""COMPUTED_VALUE"""),7.0)</f>
        <v>7</v>
      </c>
      <c r="H954" s="2" t="str">
        <f>IFERROR(__xludf.DUMMYFUNCTION("""COMPUTED_VALUE"""),"27282 &amp; 27995")</f>
        <v>27282 &amp; 27995</v>
      </c>
      <c r="I954" s="2" t="str">
        <f>IFERROR(__xludf.DUMMYFUNCTION("""COMPUTED_VALUE"""),"KMC525 AESFPV0261")</f>
        <v>KMC525 AESFPV0261</v>
      </c>
      <c r="J954" s="3" t="str">
        <f>IFERROR(__xludf.DUMMYFUNCTION("""COMPUTED_VALUE"""),"STS100281")</f>
        <v>STS100281</v>
      </c>
      <c r="K954" s="2" t="str">
        <f>IFERROR(__xludf.DUMMYFUNCTION("""COMPUTED_VALUE"""),"WR-SERIES 1394PH")</f>
        <v>WR-SERIES 1394PH</v>
      </c>
      <c r="L954" s="3">
        <f>IFERROR(__xludf.DUMMYFUNCTION("""COMPUTED_VALUE"""),2.5120913E7)</f>
        <v>25120913</v>
      </c>
      <c r="M954" s="3">
        <f>IFERROR(__xludf.DUMMYFUNCTION("""COMPUTED_VALUE"""),2.5121443E7)</f>
        <v>25121443</v>
      </c>
      <c r="N954" s="2"/>
      <c r="O954" s="2" t="str">
        <f>IFERROR(__xludf.DUMMYFUNCTION("""COMPUTED_VALUE"""),"Biñan")</f>
        <v>Biñan</v>
      </c>
      <c r="P954" s="2" t="str">
        <f>IFERROR(__xludf.DUMMYFUNCTION("""COMPUTED_VALUE"""),"Pagsanjan")</f>
        <v>Pagsanjan</v>
      </c>
      <c r="Q954" s="2" t="str">
        <f>IFERROR(__xludf.DUMMYFUNCTION("""COMPUTED_VALUE"""),"Laguna")</f>
        <v>Laguna</v>
      </c>
      <c r="R954" s="2" t="str">
        <f>IFERROR(__xludf.DUMMYFUNCTION("""COMPUTED_VALUE"""),"4A")</f>
        <v>4A</v>
      </c>
      <c r="S954" s="2"/>
      <c r="T954" s="2"/>
    </row>
    <row r="955">
      <c r="A955" s="1">
        <f>IFERROR(__xludf.DUMMYFUNCTION("""COMPUTED_VALUE"""),953.0)</f>
        <v>953</v>
      </c>
      <c r="B955" s="2" t="str">
        <f>IFERROR(__xludf.DUMMYFUNCTION("""COMPUTED_VALUE"""),"Top Herbalist Agriculture Cooperative")</f>
        <v>Top Herbalist Agriculture Cooperative</v>
      </c>
      <c r="C955" s="2" t="str">
        <f>IFERROR(__xludf.DUMMYFUNCTION("""COMPUTED_VALUE"""),"Cabanbanan, Pagsanjan, LAGUNA")</f>
        <v>Cabanbanan, Pagsanjan, LAGUNA</v>
      </c>
      <c r="D955" s="2" t="str">
        <f>IFERROR(__xludf.DUMMYFUNCTION("""COMPUTED_VALUE"""),"Lilibeth D. Javilinar")</f>
        <v>Lilibeth D. Javilinar</v>
      </c>
      <c r="E955" s="2" t="str">
        <f>IFERROR(__xludf.DUMMYFUNCTION("""COMPUTED_VALUE"""),"0905 628 1568")</f>
        <v>0905 628 1568</v>
      </c>
      <c r="F955" s="2" t="str">
        <f>IFERROR(__xludf.DUMMYFUNCTION("""COMPUTED_VALUE"""),"RCEF 25-03-05")</f>
        <v>RCEF 25-03-05</v>
      </c>
      <c r="G955" s="2">
        <f>IFERROR(__xludf.DUMMYFUNCTION("""COMPUTED_VALUE"""),7.0)</f>
        <v>7</v>
      </c>
      <c r="H955" s="2" t="str">
        <f>IFERROR(__xludf.DUMMYFUNCTION("""COMPUTED_VALUE"""),"27283 &amp; 27996")</f>
        <v>27283 &amp; 27996</v>
      </c>
      <c r="I955" s="2" t="str">
        <f>IFERROR(__xludf.DUMMYFUNCTION("""COMPUTED_VALUE"""),"KMC525 AJSFPV0199")</f>
        <v>KMC525 AJSFPV0199</v>
      </c>
      <c r="J955" s="3" t="str">
        <f>IFERROR(__xludf.DUMMYFUNCTION("""COMPUTED_VALUE"""),"STS100237")</f>
        <v>STS100237</v>
      </c>
      <c r="K955" s="2" t="str">
        <f>IFERROR(__xludf.DUMMYFUNCTION("""COMPUTED_VALUE"""),"WR-SERIES 1395PH")</f>
        <v>WR-SERIES 1395PH</v>
      </c>
      <c r="L955" s="3">
        <f>IFERROR(__xludf.DUMMYFUNCTION("""COMPUTED_VALUE"""),2.5120914E7)</f>
        <v>25120914</v>
      </c>
      <c r="M955" s="3">
        <f>IFERROR(__xludf.DUMMYFUNCTION("""COMPUTED_VALUE"""),2.5121444E7)</f>
        <v>25121444</v>
      </c>
      <c r="N955" s="2"/>
      <c r="O955" s="2" t="str">
        <f>IFERROR(__xludf.DUMMYFUNCTION("""COMPUTED_VALUE"""),"Cabanbanan")</f>
        <v>Cabanbanan</v>
      </c>
      <c r="P955" s="2" t="str">
        <f>IFERROR(__xludf.DUMMYFUNCTION("""COMPUTED_VALUE"""),"Pagsanjan")</f>
        <v>Pagsanjan</v>
      </c>
      <c r="Q955" s="2" t="str">
        <f>IFERROR(__xludf.DUMMYFUNCTION("""COMPUTED_VALUE"""),"Laguna")</f>
        <v>Laguna</v>
      </c>
      <c r="R955" s="2" t="str">
        <f>IFERROR(__xludf.DUMMYFUNCTION("""COMPUTED_VALUE"""),"4A")</f>
        <v>4A</v>
      </c>
      <c r="S955" s="2"/>
      <c r="T955" s="2"/>
    </row>
    <row r="956">
      <c r="A956" s="1">
        <f>IFERROR(__xludf.DUMMYFUNCTION("""COMPUTED_VALUE"""),954.0)</f>
        <v>954</v>
      </c>
      <c r="B956" s="2" t="str">
        <f>IFERROR(__xludf.DUMMYFUNCTION("""COMPUTED_VALUE"""),"ASOSASYON NG MAGBUBUKID NG GATID, INC.")</f>
        <v>ASOSASYON NG MAGBUBUKID NG GATID, INC.</v>
      </c>
      <c r="C956" s="2" t="str">
        <f>IFERROR(__xludf.DUMMYFUNCTION("""COMPUTED_VALUE"""),"Gatid, Santa Cruz, LAGUNA")</f>
        <v>Gatid, Santa Cruz, LAGUNA</v>
      </c>
      <c r="D956" s="2" t="str">
        <f>IFERROR(__xludf.DUMMYFUNCTION("""COMPUTED_VALUE"""),"Luisito Jacob")</f>
        <v>Luisito Jacob</v>
      </c>
      <c r="E956" s="2" t="str">
        <f>IFERROR(__xludf.DUMMYFUNCTION("""COMPUTED_VALUE"""),"0909 132 4307")</f>
        <v>0909 132 4307</v>
      </c>
      <c r="F956" s="2" t="str">
        <f>IFERROR(__xludf.DUMMYFUNCTION("""COMPUTED_VALUE"""),"RCEF 25-03-05")</f>
        <v>RCEF 25-03-05</v>
      </c>
      <c r="G956" s="2">
        <f>IFERROR(__xludf.DUMMYFUNCTION("""COMPUTED_VALUE"""),7.0)</f>
        <v>7</v>
      </c>
      <c r="H956" s="2" t="str">
        <f>IFERROR(__xludf.DUMMYFUNCTION("""COMPUTED_VALUE"""),"27284 &amp; 27997")</f>
        <v>27284 &amp; 27997</v>
      </c>
      <c r="I956" s="2" t="str">
        <f>IFERROR(__xludf.DUMMYFUNCTION("""COMPUTED_VALUE"""),"KMC525 AVSFPV0240")</f>
        <v>KMC525 AVSFPV0240</v>
      </c>
      <c r="J956" s="3" t="str">
        <f>IFERROR(__xludf.DUMMYFUNCTION("""COMPUTED_VALUE"""),"STS100245")</f>
        <v>STS100245</v>
      </c>
      <c r="K956" s="2" t="str">
        <f>IFERROR(__xludf.DUMMYFUNCTION("""COMPUTED_VALUE"""),"WR-SERIES 1396PH")</f>
        <v>WR-SERIES 1396PH</v>
      </c>
      <c r="L956" s="3">
        <f>IFERROR(__xludf.DUMMYFUNCTION("""COMPUTED_VALUE"""),2.5120915E7)</f>
        <v>25120915</v>
      </c>
      <c r="M956" s="3">
        <f>IFERROR(__xludf.DUMMYFUNCTION("""COMPUTED_VALUE"""),2.5121445E7)</f>
        <v>25121445</v>
      </c>
      <c r="N956" s="2"/>
      <c r="O956" s="2" t="str">
        <f>IFERROR(__xludf.DUMMYFUNCTION("""COMPUTED_VALUE"""),"Gatid")</f>
        <v>Gatid</v>
      </c>
      <c r="P956" s="2" t="str">
        <f>IFERROR(__xludf.DUMMYFUNCTION("""COMPUTED_VALUE"""),"Santa Cruz")</f>
        <v>Santa Cruz</v>
      </c>
      <c r="Q956" s="2" t="str">
        <f>IFERROR(__xludf.DUMMYFUNCTION("""COMPUTED_VALUE"""),"Laguna")</f>
        <v>Laguna</v>
      </c>
      <c r="R956" s="2" t="str">
        <f>IFERROR(__xludf.DUMMYFUNCTION("""COMPUTED_VALUE"""),"4A")</f>
        <v>4A</v>
      </c>
      <c r="S956" s="2"/>
      <c r="T956" s="2"/>
    </row>
    <row r="957">
      <c r="A957" s="1">
        <f>IFERROR(__xludf.DUMMYFUNCTION("""COMPUTED_VALUE"""),955.0)</f>
        <v>955</v>
      </c>
      <c r="B957" s="2" t="str">
        <f>IFERROR(__xludf.DUMMYFUNCTION("""COMPUTED_VALUE"""),"BALIKATAN")</f>
        <v>BALIKATAN</v>
      </c>
      <c r="C957" s="2" t="str">
        <f>IFERROR(__xludf.DUMMYFUNCTION("""COMPUTED_VALUE"""),"San Pablo Sur, Santa Cruz, LAGUNA")</f>
        <v>San Pablo Sur, Santa Cruz, LAGUNA</v>
      </c>
      <c r="D957" s="2" t="str">
        <f>IFERROR(__xludf.DUMMYFUNCTION("""COMPUTED_VALUE"""),"Fernando Dael")</f>
        <v>Fernando Dael</v>
      </c>
      <c r="E957" s="2" t="str">
        <f>IFERROR(__xludf.DUMMYFUNCTION("""COMPUTED_VALUE"""),"0920 490 9415")</f>
        <v>0920 490 9415</v>
      </c>
      <c r="F957" s="2" t="str">
        <f>IFERROR(__xludf.DUMMYFUNCTION("""COMPUTED_VALUE"""),"RCEF 25-03-05")</f>
        <v>RCEF 25-03-05</v>
      </c>
      <c r="G957" s="2">
        <f>IFERROR(__xludf.DUMMYFUNCTION("""COMPUTED_VALUE"""),7.0)</f>
        <v>7</v>
      </c>
      <c r="H957" s="2" t="str">
        <f>IFERROR(__xludf.DUMMYFUNCTION("""COMPUTED_VALUE"""),"27285 &amp; 27998")</f>
        <v>27285 &amp; 27998</v>
      </c>
      <c r="I957" s="2" t="str">
        <f>IFERROR(__xludf.DUMMYFUNCTION("""COMPUTED_VALUE"""),"KMC5825 AVRFPV0913")</f>
        <v>KMC5825 AVRFPV0913</v>
      </c>
      <c r="J957" s="3" t="str">
        <f>IFERROR(__xludf.DUMMYFUNCTION("""COMPUTED_VALUE"""),"RTS100767")</f>
        <v>RTS100767</v>
      </c>
      <c r="K957" s="2" t="str">
        <f>IFERROR(__xludf.DUMMYFUNCTION("""COMPUTED_VALUE"""),"WR-SERIES 997")</f>
        <v>WR-SERIES 997</v>
      </c>
      <c r="L957" s="3" t="str">
        <f>IFERROR(__xludf.DUMMYFUNCTION("""COMPUTED_VALUE"""),"25040061")</f>
        <v>25040061</v>
      </c>
      <c r="M957" s="3" t="str">
        <f>IFERROR(__xludf.DUMMYFUNCTION("""COMPUTED_VALUE"""),"25030557")</f>
        <v>25030557</v>
      </c>
      <c r="N957" s="2"/>
      <c r="O957" s="2" t="str">
        <f>IFERROR(__xludf.DUMMYFUNCTION("""COMPUTED_VALUE"""),"San Pablo Sur")</f>
        <v>San Pablo Sur</v>
      </c>
      <c r="P957" s="2" t="str">
        <f>IFERROR(__xludf.DUMMYFUNCTION("""COMPUTED_VALUE"""),"Santa Cruz")</f>
        <v>Santa Cruz</v>
      </c>
      <c r="Q957" s="2" t="str">
        <f>IFERROR(__xludf.DUMMYFUNCTION("""COMPUTED_VALUE"""),"Laguna")</f>
        <v>Laguna</v>
      </c>
      <c r="R957" s="2" t="str">
        <f>IFERROR(__xludf.DUMMYFUNCTION("""COMPUTED_VALUE"""),"4A")</f>
        <v>4A</v>
      </c>
      <c r="S957" s="2"/>
      <c r="T957" s="2"/>
    </row>
    <row r="958">
      <c r="A958" s="1">
        <f>IFERROR(__xludf.DUMMYFUNCTION("""COMPUTED_VALUE"""),956.0)</f>
        <v>956</v>
      </c>
      <c r="B958" s="2" t="str">
        <f>IFERROR(__xludf.DUMMYFUNCTION("""COMPUTED_VALUE"""),"PATIMBAO-PALASAN FARMERS ASSOCIATION")</f>
        <v>PATIMBAO-PALASAN FARMERS ASSOCIATION</v>
      </c>
      <c r="C958" s="2" t="str">
        <f>IFERROR(__xludf.DUMMYFUNCTION("""COMPUTED_VALUE"""),"Patimbao, Santa Cruz, LAGUNA")</f>
        <v>Patimbao, Santa Cruz, LAGUNA</v>
      </c>
      <c r="D958" s="2" t="str">
        <f>IFERROR(__xludf.DUMMYFUNCTION("""COMPUTED_VALUE"""),"Amado P. Villanueva Jr.")</f>
        <v>Amado P. Villanueva Jr.</v>
      </c>
      <c r="E958" s="2" t="str">
        <f>IFERROR(__xludf.DUMMYFUNCTION("""COMPUTED_VALUE"""),"0928 949 1385")</f>
        <v>0928 949 1385</v>
      </c>
      <c r="F958" s="2" t="str">
        <f>IFERROR(__xludf.DUMMYFUNCTION("""COMPUTED_VALUE"""),"RCEF 25-03-05")</f>
        <v>RCEF 25-03-05</v>
      </c>
      <c r="G958" s="2">
        <f>IFERROR(__xludf.DUMMYFUNCTION("""COMPUTED_VALUE"""),7.0)</f>
        <v>7</v>
      </c>
      <c r="H958" s="2" t="str">
        <f>IFERROR(__xludf.DUMMYFUNCTION("""COMPUTED_VALUE"""),"27286 &amp; 27999")</f>
        <v>27286 &amp; 27999</v>
      </c>
      <c r="I958" s="2" t="str">
        <f>IFERROR(__xludf.DUMMYFUNCTION("""COMPUTED_VALUE"""),"KMC5825 ACRFPV0845")</f>
        <v>KMC5825 ACRFPV0845</v>
      </c>
      <c r="J958" s="3" t="str">
        <f>IFERROR(__xludf.DUMMYFUNCTION("""COMPUTED_VALUE"""),"RTS100741")</f>
        <v>RTS100741</v>
      </c>
      <c r="K958" s="2" t="str">
        <f>IFERROR(__xludf.DUMMYFUNCTION("""COMPUTED_VALUE"""),"WR-SERIES 1328")</f>
        <v>WR-SERIES 1328</v>
      </c>
      <c r="L958" s="3" t="str">
        <f>IFERROR(__xludf.DUMMYFUNCTION("""COMPUTED_VALUE"""),"25040064")</f>
        <v>25040064</v>
      </c>
      <c r="M958" s="3" t="str">
        <f>IFERROR(__xludf.DUMMYFUNCTION("""COMPUTED_VALUE"""),"25020313")</f>
        <v>25020313</v>
      </c>
      <c r="N958" s="2"/>
      <c r="O958" s="2" t="str">
        <f>IFERROR(__xludf.DUMMYFUNCTION("""COMPUTED_VALUE"""),"Patimbao")</f>
        <v>Patimbao</v>
      </c>
      <c r="P958" s="2" t="str">
        <f>IFERROR(__xludf.DUMMYFUNCTION("""COMPUTED_VALUE"""),"Santa Cruz")</f>
        <v>Santa Cruz</v>
      </c>
      <c r="Q958" s="2" t="str">
        <f>IFERROR(__xludf.DUMMYFUNCTION("""COMPUTED_VALUE"""),"Laguna")</f>
        <v>Laguna</v>
      </c>
      <c r="R958" s="2" t="str">
        <f>IFERROR(__xludf.DUMMYFUNCTION("""COMPUTED_VALUE"""),"4A")</f>
        <v>4A</v>
      </c>
      <c r="S958" s="2"/>
      <c r="T958" s="2"/>
    </row>
    <row r="959">
      <c r="A959" s="1">
        <f>IFERROR(__xludf.DUMMYFUNCTION("""COMPUTED_VALUE"""),957.0)</f>
        <v>957</v>
      </c>
      <c r="B959" s="2" t="str">
        <f>IFERROR(__xludf.DUMMYFUNCTION("""COMPUTED_VALUE"""),"Inayapan Farmers Association")</f>
        <v>Inayapan Farmers Association</v>
      </c>
      <c r="C959" s="2" t="str">
        <f>IFERROR(__xludf.DUMMYFUNCTION("""COMPUTED_VALUE"""),"Inayapan, Santa Maria, LAGUNA")</f>
        <v>Inayapan, Santa Maria, LAGUNA</v>
      </c>
      <c r="D959" s="2" t="str">
        <f>IFERROR(__xludf.DUMMYFUNCTION("""COMPUTED_VALUE"""),"Ruben Panaligan")</f>
        <v>Ruben Panaligan</v>
      </c>
      <c r="E959" s="2" t="str">
        <f>IFERROR(__xludf.DUMMYFUNCTION("""COMPUTED_VALUE"""),"0994 922 7328")</f>
        <v>0994 922 7328</v>
      </c>
      <c r="F959" s="2" t="str">
        <f>IFERROR(__xludf.DUMMYFUNCTION("""COMPUTED_VALUE"""),"RCEF 25-03-05")</f>
        <v>RCEF 25-03-05</v>
      </c>
      <c r="G959" s="2">
        <f>IFERROR(__xludf.DUMMYFUNCTION("""COMPUTED_VALUE"""),7.0)</f>
        <v>7</v>
      </c>
      <c r="H959" s="2" t="str">
        <f>IFERROR(__xludf.DUMMYFUNCTION("""COMPUTED_VALUE"""),"27287 &amp; 28000")</f>
        <v>27287 &amp; 28000</v>
      </c>
      <c r="I959" s="2" t="str">
        <f>IFERROR(__xludf.DUMMYFUNCTION("""COMPUTED_VALUE"""),"KMC525 ALSFPV0192")</f>
        <v>KMC525 ALSFPV0192</v>
      </c>
      <c r="J959" s="3" t="str">
        <f>IFERROR(__xludf.DUMMYFUNCTION("""COMPUTED_VALUE"""),"STS100208")</f>
        <v>STS100208</v>
      </c>
      <c r="K959" s="2" t="str">
        <f>IFERROR(__xludf.DUMMYFUNCTION("""COMPUTED_VALUE"""),"WR-SERIES 1397PH")</f>
        <v>WR-SERIES 1397PH</v>
      </c>
      <c r="L959" s="3">
        <f>IFERROR(__xludf.DUMMYFUNCTION("""COMPUTED_VALUE"""),2.5120916E7)</f>
        <v>25120916</v>
      </c>
      <c r="M959" s="3">
        <f>IFERROR(__xludf.DUMMYFUNCTION("""COMPUTED_VALUE"""),2.5121446E7)</f>
        <v>25121446</v>
      </c>
      <c r="N959" s="2"/>
      <c r="O959" s="2" t="str">
        <f>IFERROR(__xludf.DUMMYFUNCTION("""COMPUTED_VALUE"""),"Inayapan")</f>
        <v>Inayapan</v>
      </c>
      <c r="P959" s="2" t="str">
        <f>IFERROR(__xludf.DUMMYFUNCTION("""COMPUTED_VALUE"""),"Santa Maria")</f>
        <v>Santa Maria</v>
      </c>
      <c r="Q959" s="2" t="str">
        <f>IFERROR(__xludf.DUMMYFUNCTION("""COMPUTED_VALUE"""),"Laguna")</f>
        <v>Laguna</v>
      </c>
      <c r="R959" s="2" t="str">
        <f>IFERROR(__xludf.DUMMYFUNCTION("""COMPUTED_VALUE"""),"4A")</f>
        <v>4A</v>
      </c>
      <c r="S959" s="2"/>
      <c r="T959" s="2"/>
    </row>
    <row r="960">
      <c r="A960" s="1">
        <f>IFERROR(__xludf.DUMMYFUNCTION("""COMPUTED_VALUE"""),958.0)</f>
        <v>958</v>
      </c>
      <c r="B960" s="2" t="str">
        <f>IFERROR(__xludf.DUMMYFUNCTION("""COMPUTED_VALUE"""),"Masinao Farmers Association")</f>
        <v>Masinao Farmers Association</v>
      </c>
      <c r="C960" s="2" t="str">
        <f>IFERROR(__xludf.DUMMYFUNCTION("""COMPUTED_VALUE"""),"Masinao, Santa Maria, LAGUNA")</f>
        <v>Masinao, Santa Maria, LAGUNA</v>
      </c>
      <c r="D960" s="2" t="str">
        <f>IFERROR(__xludf.DUMMYFUNCTION("""COMPUTED_VALUE"""),"Aurora Pascua")</f>
        <v>Aurora Pascua</v>
      </c>
      <c r="E960" s="2" t="str">
        <f>IFERROR(__xludf.DUMMYFUNCTION("""COMPUTED_VALUE"""),"0951 731 8690")</f>
        <v>0951 731 8690</v>
      </c>
      <c r="F960" s="2" t="str">
        <f>IFERROR(__xludf.DUMMYFUNCTION("""COMPUTED_VALUE"""),"RCEF 25-03-05")</f>
        <v>RCEF 25-03-05</v>
      </c>
      <c r="G960" s="2">
        <f>IFERROR(__xludf.DUMMYFUNCTION("""COMPUTED_VALUE"""),7.0)</f>
        <v>7</v>
      </c>
      <c r="H960" s="2" t="str">
        <f>IFERROR(__xludf.DUMMYFUNCTION("""COMPUTED_VALUE"""),"27288 &amp; 27578")</f>
        <v>27288 &amp; 27578</v>
      </c>
      <c r="I960" s="2" t="str">
        <f>IFERROR(__xludf.DUMMYFUNCTION("""COMPUTED_VALUE"""),"KMC525 AESFPV0390")</f>
        <v>KMC525 AESFPV0390</v>
      </c>
      <c r="J960" s="3" t="str">
        <f>IFERROR(__xludf.DUMMYFUNCTION("""COMPUTED_VALUE"""),"STS100245")</f>
        <v>STS100245</v>
      </c>
      <c r="K960" s="2" t="str">
        <f>IFERROR(__xludf.DUMMYFUNCTION("""COMPUTED_VALUE"""),"WR-SERIES 1398PH")</f>
        <v>WR-SERIES 1398PH</v>
      </c>
      <c r="L960" s="3">
        <f>IFERROR(__xludf.DUMMYFUNCTION("""COMPUTED_VALUE"""),2.5120917E7)</f>
        <v>25120917</v>
      </c>
      <c r="M960" s="3">
        <f>IFERROR(__xludf.DUMMYFUNCTION("""COMPUTED_VALUE"""),2.5121447E7)</f>
        <v>25121447</v>
      </c>
      <c r="N960" s="2"/>
      <c r="O960" s="2" t="str">
        <f>IFERROR(__xludf.DUMMYFUNCTION("""COMPUTED_VALUE"""),"Masinao")</f>
        <v>Masinao</v>
      </c>
      <c r="P960" s="2" t="str">
        <f>IFERROR(__xludf.DUMMYFUNCTION("""COMPUTED_VALUE"""),"Santa Maria")</f>
        <v>Santa Maria</v>
      </c>
      <c r="Q960" s="2" t="str">
        <f>IFERROR(__xludf.DUMMYFUNCTION("""COMPUTED_VALUE"""),"Laguna")</f>
        <v>Laguna</v>
      </c>
      <c r="R960" s="2" t="str">
        <f>IFERROR(__xludf.DUMMYFUNCTION("""COMPUTED_VALUE"""),"4A")</f>
        <v>4A</v>
      </c>
      <c r="S960" s="2"/>
      <c r="T960" s="2"/>
    </row>
    <row r="961">
      <c r="A961" s="1">
        <f>IFERROR(__xludf.DUMMYFUNCTION("""COMPUTED_VALUE"""),959.0)</f>
        <v>959</v>
      </c>
      <c r="B961" s="2" t="str">
        <f>IFERROR(__xludf.DUMMYFUNCTION("""COMPUTED_VALUE"""),"QUEZON PALAY SEEDGROWERS ASSOCIATION INC.")</f>
        <v>QUEZON PALAY SEEDGROWERS ASSOCIATION INC.</v>
      </c>
      <c r="C961" s="2" t="str">
        <f>IFERROR(__xludf.DUMMYFUNCTION("""COMPUTED_VALUE"""),"Santa Catalina Sur, Candelaria, QUEZON")</f>
        <v>Santa Catalina Sur, Candelaria, QUEZON</v>
      </c>
      <c r="D961" s="2" t="str">
        <f>IFERROR(__xludf.DUMMYFUNCTION("""COMPUTED_VALUE"""),"Domingo A. Brion Jr.")</f>
        <v>Domingo A. Brion Jr.</v>
      </c>
      <c r="E961" s="2">
        <f>IFERROR(__xludf.DUMMYFUNCTION("""COMPUTED_VALUE"""),9.178246179E9)</f>
        <v>9178246179</v>
      </c>
      <c r="F961" s="2" t="str">
        <f>IFERROR(__xludf.DUMMYFUNCTION("""COMPUTED_VALUE"""),"RCEF 25-03-05")</f>
        <v>RCEF 25-03-05</v>
      </c>
      <c r="G961" s="2">
        <f>IFERROR(__xludf.DUMMYFUNCTION("""COMPUTED_VALUE"""),7.0)</f>
        <v>7</v>
      </c>
      <c r="H961" s="2" t="str">
        <f>IFERROR(__xludf.DUMMYFUNCTION("""COMPUTED_VALUE"""),"27289 &amp; 27579")</f>
        <v>27289 &amp; 27579</v>
      </c>
      <c r="I961" s="2" t="str">
        <f>IFERROR(__xludf.DUMMYFUNCTION("""COMPUTED_VALUE"""),"KMC5825 ATSFPV0599")</f>
        <v>KMC5825 ATSFPV0599</v>
      </c>
      <c r="J961" s="3" t="str">
        <f>IFERROR(__xludf.DUMMYFUNCTION("""COMPUTED_VALUE"""),"STS100627")</f>
        <v>STS100627</v>
      </c>
      <c r="K961" s="2" t="str">
        <f>IFERROR(__xludf.DUMMYFUNCTION("""COMPUTED_VALUE"""),"WR-SERIES 1399PH")</f>
        <v>WR-SERIES 1399PH</v>
      </c>
      <c r="L961" s="3" t="str">
        <f>IFERROR(__xludf.DUMMYFUNCTION("""COMPUTED_VALUE"""),"2510800")</f>
        <v>2510800</v>
      </c>
      <c r="M961" s="3" t="str">
        <f>IFERROR(__xludf.DUMMYFUNCTION("""COMPUTED_VALUE"""),"25101228")</f>
        <v>25101228</v>
      </c>
      <c r="N961" s="2"/>
      <c r="O961" s="2" t="str">
        <f>IFERROR(__xludf.DUMMYFUNCTION("""COMPUTED_VALUE"""),"Santa Catalina Sur")</f>
        <v>Santa Catalina Sur</v>
      </c>
      <c r="P961" s="2" t="str">
        <f>IFERROR(__xludf.DUMMYFUNCTION("""COMPUTED_VALUE"""),"Candelaria")</f>
        <v>Candelaria</v>
      </c>
      <c r="Q961" s="2" t="str">
        <f>IFERROR(__xludf.DUMMYFUNCTION("""COMPUTED_VALUE"""),"Quezon")</f>
        <v>Quezon</v>
      </c>
      <c r="R961" s="2" t="str">
        <f>IFERROR(__xludf.DUMMYFUNCTION("""COMPUTED_VALUE"""),"4A")</f>
        <v>4A</v>
      </c>
      <c r="S961" s="2"/>
      <c r="T961" s="2"/>
    </row>
    <row r="962">
      <c r="A962" s="1">
        <f>IFERROR(__xludf.DUMMYFUNCTION("""COMPUTED_VALUE"""),960.0)</f>
        <v>960</v>
      </c>
      <c r="B962" s="2" t="str">
        <f>IFERROR(__xludf.DUMMYFUNCTION("""COMPUTED_VALUE"""),"LUMINGON FARMERS ASSOCIATION")</f>
        <v>LUMINGON FARMERS ASSOCIATION</v>
      </c>
      <c r="C962" s="2" t="str">
        <f>IFERROR(__xludf.DUMMYFUNCTION("""COMPUTED_VALUE"""),"Lumingon, Tiaong, QUEZON")</f>
        <v>Lumingon, Tiaong, QUEZON</v>
      </c>
      <c r="D962" s="2" t="str">
        <f>IFERROR(__xludf.DUMMYFUNCTION("""COMPUTED_VALUE"""),"Jesus Andrae Torano")</f>
        <v>Jesus Andrae Torano</v>
      </c>
      <c r="E962" s="2" t="str">
        <f>IFERROR(__xludf.DUMMYFUNCTION("""COMPUTED_VALUE"""),"0905 942 0457")</f>
        <v>0905 942 0457</v>
      </c>
      <c r="F962" s="2" t="str">
        <f>IFERROR(__xludf.DUMMYFUNCTION("""COMPUTED_VALUE"""),"RCEF 25-03-05")</f>
        <v>RCEF 25-03-05</v>
      </c>
      <c r="G962" s="2">
        <f>IFERROR(__xludf.DUMMYFUNCTION("""COMPUTED_VALUE"""),7.0)</f>
        <v>7</v>
      </c>
      <c r="H962" s="2" t="str">
        <f>IFERROR(__xludf.DUMMYFUNCTION("""COMPUTED_VALUE"""),"27290 &amp; 27580")</f>
        <v>27290 &amp; 27580</v>
      </c>
      <c r="I962" s="2" t="str">
        <f>IFERROR(__xludf.DUMMYFUNCTION("""COMPUTED_VALUE"""),"KMC5825 ACSFPV0617")</f>
        <v>KMC5825 ACSFPV0617</v>
      </c>
      <c r="J962" s="3" t="str">
        <f>IFERROR(__xludf.DUMMYFUNCTION("""COMPUTED_VALUE"""),"STS100623")</f>
        <v>STS100623</v>
      </c>
      <c r="K962" s="2" t="str">
        <f>IFERROR(__xludf.DUMMYFUNCTION("""COMPUTED_VALUE"""),"WR-SERIES 1400PH")</f>
        <v>WR-SERIES 1400PH</v>
      </c>
      <c r="L962" s="3" t="str">
        <f>IFERROR(__xludf.DUMMYFUNCTION("""COMPUTED_VALUE"""),"2510793")</f>
        <v>2510793</v>
      </c>
      <c r="M962" s="3" t="str">
        <f>IFERROR(__xludf.DUMMYFUNCTION("""COMPUTED_VALUE"""),"25101217")</f>
        <v>25101217</v>
      </c>
      <c r="N962" s="2"/>
      <c r="O962" s="2" t="str">
        <f>IFERROR(__xludf.DUMMYFUNCTION("""COMPUTED_VALUE"""),"Lumingon")</f>
        <v>Lumingon</v>
      </c>
      <c r="P962" s="2" t="str">
        <f>IFERROR(__xludf.DUMMYFUNCTION("""COMPUTED_VALUE"""),"Tiaong")</f>
        <v>Tiaong</v>
      </c>
      <c r="Q962" s="2" t="str">
        <f>IFERROR(__xludf.DUMMYFUNCTION("""COMPUTED_VALUE"""),"Quezon")</f>
        <v>Quezon</v>
      </c>
      <c r="R962" s="2" t="str">
        <f>IFERROR(__xludf.DUMMYFUNCTION("""COMPUTED_VALUE"""),"4A")</f>
        <v>4A</v>
      </c>
      <c r="S962" s="2"/>
      <c r="T962" s="2"/>
    </row>
    <row r="963">
      <c r="A963" s="1">
        <f>IFERROR(__xludf.DUMMYFUNCTION("""COMPUTED_VALUE"""),961.0)</f>
        <v>961</v>
      </c>
      <c r="B963" s="2" t="str">
        <f>IFERROR(__xludf.DUMMYFUNCTION("""COMPUTED_VALUE"""),"SINTORISAN-BEHIA SWISA INC.")</f>
        <v>SINTORISAN-BEHIA SWISA INC.</v>
      </c>
      <c r="C963" s="2" t="str">
        <f>IFERROR(__xludf.DUMMYFUNCTION("""COMPUTED_VALUE"""),"Behia, Tiaong, QUEZON")</f>
        <v>Behia, Tiaong, QUEZON</v>
      </c>
      <c r="D963" s="2" t="str">
        <f>IFERROR(__xludf.DUMMYFUNCTION("""COMPUTED_VALUE"""),"Gregorio T. Garde")</f>
        <v>Gregorio T. Garde</v>
      </c>
      <c r="E963" s="2" t="str">
        <f>IFERROR(__xludf.DUMMYFUNCTION("""COMPUTED_VALUE"""),"0920-614-2592")</f>
        <v>0920-614-2592</v>
      </c>
      <c r="F963" s="2" t="str">
        <f>IFERROR(__xludf.DUMMYFUNCTION("""COMPUTED_VALUE"""),"RCEF 25-03-05")</f>
        <v>RCEF 25-03-05</v>
      </c>
      <c r="G963" s="2">
        <f>IFERROR(__xludf.DUMMYFUNCTION("""COMPUTED_VALUE"""),7.0)</f>
        <v>7</v>
      </c>
      <c r="H963" s="2" t="str">
        <f>IFERROR(__xludf.DUMMYFUNCTION("""COMPUTED_VALUE"""),"27291 &amp; 27581")</f>
        <v>27291 &amp; 27581</v>
      </c>
      <c r="I963" s="2" t="str">
        <f>IFERROR(__xludf.DUMMYFUNCTION("""COMPUTED_VALUE"""),"KMC5825 AASFPV0515")</f>
        <v>KMC5825 AASFPV0515</v>
      </c>
      <c r="J963" s="3" t="str">
        <f>IFERROR(__xludf.DUMMYFUNCTION("""COMPUTED_VALUE"""),"STS100588")</f>
        <v>STS100588</v>
      </c>
      <c r="K963" s="2" t="str">
        <f>IFERROR(__xludf.DUMMYFUNCTION("""COMPUTED_VALUE"""),"WR-SERIES 1401PH")</f>
        <v>WR-SERIES 1401PH</v>
      </c>
      <c r="L963" s="3" t="str">
        <f>IFERROR(__xludf.DUMMYFUNCTION("""COMPUTED_VALUE"""),"2510799")</f>
        <v>2510799</v>
      </c>
      <c r="M963" s="3" t="str">
        <f>IFERROR(__xludf.DUMMYFUNCTION("""COMPUTED_VALUE"""),"25101207")</f>
        <v>25101207</v>
      </c>
      <c r="N963" s="2"/>
      <c r="O963" s="2" t="str">
        <f>IFERROR(__xludf.DUMMYFUNCTION("""COMPUTED_VALUE"""),"Behia")</f>
        <v>Behia</v>
      </c>
      <c r="P963" s="2" t="str">
        <f>IFERROR(__xludf.DUMMYFUNCTION("""COMPUTED_VALUE"""),"Tiaong")</f>
        <v>Tiaong</v>
      </c>
      <c r="Q963" s="2" t="str">
        <f>IFERROR(__xludf.DUMMYFUNCTION("""COMPUTED_VALUE"""),"Quezon")</f>
        <v>Quezon</v>
      </c>
      <c r="R963" s="2" t="str">
        <f>IFERROR(__xludf.DUMMYFUNCTION("""COMPUTED_VALUE"""),"4A")</f>
        <v>4A</v>
      </c>
      <c r="S963" s="2"/>
      <c r="T963" s="2"/>
    </row>
    <row r="964">
      <c r="A964" s="1">
        <f>IFERROR(__xludf.DUMMYFUNCTION("""COMPUTED_VALUE"""),962.0)</f>
        <v>962</v>
      </c>
      <c r="B964" s="2" t="str">
        <f>IFERROR(__xludf.DUMMYFUNCTION("""COMPUTED_VALUE"""),"SALANG BATA FARMERS IRRIGATORS ASSOCIATION INC.")</f>
        <v>SALANG BATA FARMERS IRRIGATORS ASSOCIATION INC.</v>
      </c>
      <c r="C964" s="2" t="str">
        <f>IFERROR(__xludf.DUMMYFUNCTION("""COMPUTED_VALUE"""),"Kaybuto (Pob.), Tanay, RIZAL")</f>
        <v>Kaybuto (Pob.), Tanay, RIZAL</v>
      </c>
      <c r="D964" s="2" t="str">
        <f>IFERROR(__xludf.DUMMYFUNCTION("""COMPUTED_VALUE"""),"Jimson P. Fernandez")</f>
        <v>Jimson P. Fernandez</v>
      </c>
      <c r="E964" s="2">
        <f>IFERROR(__xludf.DUMMYFUNCTION("""COMPUTED_VALUE"""),9.355700708E9)</f>
        <v>9355700708</v>
      </c>
      <c r="F964" s="2" t="str">
        <f>IFERROR(__xludf.DUMMYFUNCTION("""COMPUTED_VALUE"""),"RCEF 25-03-05")</f>
        <v>RCEF 25-03-05</v>
      </c>
      <c r="G964" s="2">
        <f>IFERROR(__xludf.DUMMYFUNCTION("""COMPUTED_VALUE"""),7.0)</f>
        <v>7</v>
      </c>
      <c r="H964" s="2" t="str">
        <f>IFERROR(__xludf.DUMMYFUNCTION("""COMPUTED_VALUE"""),"27292 &amp; 27582")</f>
        <v>27292 &amp; 27582</v>
      </c>
      <c r="I964" s="2" t="str">
        <f>IFERROR(__xludf.DUMMYFUNCTION("""COMPUTED_VALUE"""),"KMC5825 ALSFPV0516")</f>
        <v>KMC5825 ALSFPV0516</v>
      </c>
      <c r="J964" s="3" t="str">
        <f>IFERROR(__xludf.DUMMYFUNCTION("""COMPUTED_VALUE"""),"STS100593")</f>
        <v>STS100593</v>
      </c>
      <c r="K964" s="2" t="str">
        <f>IFERROR(__xludf.DUMMYFUNCTION("""COMPUTED_VALUE"""),"WR-SERIES 1402PH")</f>
        <v>WR-SERIES 1402PH</v>
      </c>
      <c r="L964" s="3">
        <f>IFERROR(__xludf.DUMMYFUNCTION("""COMPUTED_VALUE"""),2510769.0)</f>
        <v>2510769</v>
      </c>
      <c r="M964" s="3" t="str">
        <f>IFERROR(__xludf.DUMMYFUNCTION("""COMPUTED_VALUE"""),"25101166")</f>
        <v>25101166</v>
      </c>
      <c r="N964" s="2"/>
      <c r="O964" s="2" t="str">
        <f>IFERROR(__xludf.DUMMYFUNCTION("""COMPUTED_VALUE"""),"Kaybuto (Pob.)")</f>
        <v>Kaybuto (Pob.)</v>
      </c>
      <c r="P964" s="2" t="str">
        <f>IFERROR(__xludf.DUMMYFUNCTION("""COMPUTED_VALUE"""),"Tanay")</f>
        <v>Tanay</v>
      </c>
      <c r="Q964" s="2" t="str">
        <f>IFERROR(__xludf.DUMMYFUNCTION("""COMPUTED_VALUE"""),"Rizal")</f>
        <v>Rizal</v>
      </c>
      <c r="R964" s="2" t="str">
        <f>IFERROR(__xludf.DUMMYFUNCTION("""COMPUTED_VALUE"""),"4A")</f>
        <v>4A</v>
      </c>
      <c r="S964" s="2"/>
      <c r="T964" s="2"/>
    </row>
    <row r="965">
      <c r="A965" s="1">
        <f>IFERROR(__xludf.DUMMYFUNCTION("""COMPUTED_VALUE"""),963.0)</f>
        <v>963</v>
      </c>
      <c r="B965" s="2" t="str">
        <f>IFERROR(__xludf.DUMMYFUNCTION("""COMPUTED_VALUE"""),"SALANG MATANDA FARMERS ASSOCIATION OF TANAY INC.")</f>
        <v>SALANG MATANDA FARMERS ASSOCIATION OF TANAY INC.</v>
      </c>
      <c r="C965" s="2" t="str">
        <f>IFERROR(__xludf.DUMMYFUNCTION("""COMPUTED_VALUE"""),"Plaza Aldea (Pob.), Tanay, RIZAL")</f>
        <v>Plaza Aldea (Pob.), Tanay, RIZAL</v>
      </c>
      <c r="D965" s="2" t="str">
        <f>IFERROR(__xludf.DUMMYFUNCTION("""COMPUTED_VALUE"""),"Rolando T. Catahimican")</f>
        <v>Rolando T. Catahimican</v>
      </c>
      <c r="E965" s="2">
        <f>IFERROR(__xludf.DUMMYFUNCTION("""COMPUTED_VALUE"""),9.368006021E9)</f>
        <v>9368006021</v>
      </c>
      <c r="F965" s="2" t="str">
        <f>IFERROR(__xludf.DUMMYFUNCTION("""COMPUTED_VALUE"""),"RCEF 25-03-05")</f>
        <v>RCEF 25-03-05</v>
      </c>
      <c r="G965" s="2">
        <f>IFERROR(__xludf.DUMMYFUNCTION("""COMPUTED_VALUE"""),7.0)</f>
        <v>7</v>
      </c>
      <c r="H965" s="2" t="str">
        <f>IFERROR(__xludf.DUMMYFUNCTION("""COMPUTED_VALUE"""),"27293 &amp; 27583")</f>
        <v>27293 &amp; 27583</v>
      </c>
      <c r="I965" s="2" t="str">
        <f>IFERROR(__xludf.DUMMYFUNCTION("""COMPUTED_VALUE"""),"KMC5825 APSFPV0510")</f>
        <v>KMC5825 APSFPV0510</v>
      </c>
      <c r="J965" s="3" t="str">
        <f>IFERROR(__xludf.DUMMYFUNCTION("""COMPUTED_VALUE"""),"STS100548")</f>
        <v>STS100548</v>
      </c>
      <c r="K965" s="2" t="str">
        <f>IFERROR(__xludf.DUMMYFUNCTION("""COMPUTED_VALUE"""),"WR-SERIES 1403PH")</f>
        <v>WR-SERIES 1403PH</v>
      </c>
      <c r="L965" s="3">
        <f>IFERROR(__xludf.DUMMYFUNCTION("""COMPUTED_VALUE"""),2510765.0)</f>
        <v>2510765</v>
      </c>
      <c r="M965" s="3" t="str">
        <f>IFERROR(__xludf.DUMMYFUNCTION("""COMPUTED_VALUE"""),"25101232")</f>
        <v>25101232</v>
      </c>
      <c r="N965" s="2"/>
      <c r="O965" s="2" t="str">
        <f>IFERROR(__xludf.DUMMYFUNCTION("""COMPUTED_VALUE"""),"Plaza Aldea (Pob.)")</f>
        <v>Plaza Aldea (Pob.)</v>
      </c>
      <c r="P965" s="2" t="str">
        <f>IFERROR(__xludf.DUMMYFUNCTION("""COMPUTED_VALUE"""),"Tanay")</f>
        <v>Tanay</v>
      </c>
      <c r="Q965" s="2" t="str">
        <f>IFERROR(__xludf.DUMMYFUNCTION("""COMPUTED_VALUE"""),"Rizal")</f>
        <v>Rizal</v>
      </c>
      <c r="R965" s="2" t="str">
        <f>IFERROR(__xludf.DUMMYFUNCTION("""COMPUTED_VALUE"""),"4A")</f>
        <v>4A</v>
      </c>
      <c r="S965" s="2"/>
      <c r="T965" s="2"/>
    </row>
    <row r="966">
      <c r="A966" s="1">
        <f>IFERROR(__xludf.DUMMYFUNCTION("""COMPUTED_VALUE"""),964.0)</f>
        <v>964</v>
      </c>
      <c r="B966" s="2" t="str">
        <f>IFERROR(__xludf.DUMMYFUNCTION("""COMPUTED_VALUE"""),"Alianza-Rufina Farmers Irrigators' Association, Inc.")</f>
        <v>Alianza-Rufina Farmers Irrigators' Association, Inc.</v>
      </c>
      <c r="C966" s="2" t="str">
        <f>IFERROR(__xludf.DUMMYFUNCTION("""COMPUTED_VALUE"""),"Alianza, Bago City, NEGROS OCCIDENTAL")</f>
        <v>Alianza, Bago City, NEGROS OCCIDENTAL</v>
      </c>
      <c r="D966" s="2" t="str">
        <f>IFERROR(__xludf.DUMMYFUNCTION("""COMPUTED_VALUE"""),"Corazon Rocero")</f>
        <v>Corazon Rocero</v>
      </c>
      <c r="E966" s="2">
        <f>IFERROR(__xludf.DUMMYFUNCTION("""COMPUTED_VALUE"""),9.098217868E9)</f>
        <v>9098217868</v>
      </c>
      <c r="F966" s="2" t="str">
        <f>IFERROR(__xludf.DUMMYFUNCTION("""COMPUTED_VALUE"""),"RCEF 25-03-05")</f>
        <v>RCEF 25-03-05</v>
      </c>
      <c r="G966" s="2">
        <f>IFERROR(__xludf.DUMMYFUNCTION("""COMPUTED_VALUE"""),7.0)</f>
        <v>7</v>
      </c>
      <c r="H966" s="2" t="str">
        <f>IFERROR(__xludf.DUMMYFUNCTION("""COMPUTED_VALUE"""),"27294 &amp; 27584")</f>
        <v>27294 &amp; 27584</v>
      </c>
      <c r="I966" s="2" t="str">
        <f>IFERROR(__xludf.DUMMYFUNCTION("""COMPUTED_VALUE"""),"KMC5825 AESFPV0373")</f>
        <v>KMC5825 AESFPV0373</v>
      </c>
      <c r="J966" s="3" t="str">
        <f>IFERROR(__xludf.DUMMYFUNCTION("""COMPUTED_VALUE"""),"STS100416")</f>
        <v>STS100416</v>
      </c>
      <c r="K966" s="2" t="str">
        <f>IFERROR(__xludf.DUMMYFUNCTION("""COMPUTED_VALUE"""),"R- SERIES 257")</f>
        <v>R- SERIES 257</v>
      </c>
      <c r="L966" s="3" t="str">
        <f>IFERROR(__xludf.DUMMYFUNCTION("""COMPUTED_VALUE"""),"25090612")</f>
        <v>25090612</v>
      </c>
      <c r="M966" s="3">
        <f>IFERROR(__xludf.DUMMYFUNCTION("""COMPUTED_VALUE"""),2.5121328E7)</f>
        <v>25121328</v>
      </c>
      <c r="N966" s="2"/>
      <c r="O966" s="2" t="str">
        <f>IFERROR(__xludf.DUMMYFUNCTION("""COMPUTED_VALUE"""),"Alianza")</f>
        <v>Alianza</v>
      </c>
      <c r="P966" s="2" t="str">
        <f>IFERROR(__xludf.DUMMYFUNCTION("""COMPUTED_VALUE"""),"Bago City")</f>
        <v>Bago City</v>
      </c>
      <c r="Q966" s="2" t="str">
        <f>IFERROR(__xludf.DUMMYFUNCTION("""COMPUTED_VALUE"""),"Negros Occidental")</f>
        <v>Negros Occidental</v>
      </c>
      <c r="R966" s="2" t="str">
        <f>IFERROR(__xludf.DUMMYFUNCTION("""COMPUTED_VALUE"""),"NIR")</f>
        <v>NIR</v>
      </c>
      <c r="S966" s="2"/>
      <c r="T966" s="2"/>
    </row>
    <row r="967">
      <c r="A967" s="1">
        <f>IFERROR(__xludf.DUMMYFUNCTION("""COMPUTED_VALUE"""),965.0)</f>
        <v>965</v>
      </c>
      <c r="B967" s="2" t="str">
        <f>IFERROR(__xludf.DUMMYFUNCTION("""COMPUTED_VALUE"""),"Brgy. Bagroy Farmers Irrigators' Association, Inc.")</f>
        <v>Brgy. Bagroy Farmers Irrigators' Association, Inc.</v>
      </c>
      <c r="C967" s="2" t="str">
        <f>IFERROR(__xludf.DUMMYFUNCTION("""COMPUTED_VALUE"""),"Bagroy, Bago City, NEGROS OCCIDENTAL")</f>
        <v>Bagroy, Bago City, NEGROS OCCIDENTAL</v>
      </c>
      <c r="D967" s="2" t="str">
        <f>IFERROR(__xludf.DUMMYFUNCTION("""COMPUTED_VALUE"""),"Rhoda Y. Manoso")</f>
        <v>Rhoda Y. Manoso</v>
      </c>
      <c r="E967" s="2">
        <f>IFERROR(__xludf.DUMMYFUNCTION("""COMPUTED_VALUE"""),9.171239734E9)</f>
        <v>9171239734</v>
      </c>
      <c r="F967" s="2" t="str">
        <f>IFERROR(__xludf.DUMMYFUNCTION("""COMPUTED_VALUE"""),"RCEF 25-03-05")</f>
        <v>RCEF 25-03-05</v>
      </c>
      <c r="G967" s="2">
        <f>IFERROR(__xludf.DUMMYFUNCTION("""COMPUTED_VALUE"""),7.0)</f>
        <v>7</v>
      </c>
      <c r="H967" s="2" t="str">
        <f>IFERROR(__xludf.DUMMYFUNCTION("""COMPUTED_VALUE"""),"27295 &amp; 27585")</f>
        <v>27295 &amp; 27585</v>
      </c>
      <c r="I967" s="2" t="str">
        <f>IFERROR(__xludf.DUMMYFUNCTION("""COMPUTED_VALUE"""),"KMC5825 ACSFPV0262")</f>
        <v>KMC5825 ACSFPV0262</v>
      </c>
      <c r="J967" s="3" t="str">
        <f>IFERROR(__xludf.DUMMYFUNCTION("""COMPUTED_VALUE"""),"STS100284")</f>
        <v>STS100284</v>
      </c>
      <c r="K967" s="2" t="str">
        <f>IFERROR(__xludf.DUMMYFUNCTION("""COMPUTED_VALUE"""),"R- SERIES 105")</f>
        <v>R- SERIES 105</v>
      </c>
      <c r="L967" s="3" t="str">
        <f>IFERROR(__xludf.DUMMYFUNCTION("""COMPUTED_VALUE"""),"25090610")</f>
        <v>25090610</v>
      </c>
      <c r="M967" s="3">
        <f>IFERROR(__xludf.DUMMYFUNCTION("""COMPUTED_VALUE"""),2.5121329E7)</f>
        <v>25121329</v>
      </c>
      <c r="N967" s="2"/>
      <c r="O967" s="2" t="str">
        <f>IFERROR(__xludf.DUMMYFUNCTION("""COMPUTED_VALUE"""),"Bagroy")</f>
        <v>Bagroy</v>
      </c>
      <c r="P967" s="2" t="str">
        <f>IFERROR(__xludf.DUMMYFUNCTION("""COMPUTED_VALUE"""),"Bago City")</f>
        <v>Bago City</v>
      </c>
      <c r="Q967" s="2" t="str">
        <f>IFERROR(__xludf.DUMMYFUNCTION("""COMPUTED_VALUE"""),"Negros Occidental")</f>
        <v>Negros Occidental</v>
      </c>
      <c r="R967" s="2" t="str">
        <f>IFERROR(__xludf.DUMMYFUNCTION("""COMPUTED_VALUE"""),"NIR")</f>
        <v>NIR</v>
      </c>
      <c r="S967" s="2"/>
      <c r="T967" s="2"/>
    </row>
    <row r="968">
      <c r="A968" s="1">
        <f>IFERROR(__xludf.DUMMYFUNCTION("""COMPUTED_VALUE"""),966.0)</f>
        <v>966</v>
      </c>
      <c r="B968" s="2" t="str">
        <f>IFERROR(__xludf.DUMMYFUNCTION("""COMPUTED_VALUE"""),"Calumangan Integrated Farmers and Farm workers Association (CALIFWA)")</f>
        <v>Calumangan Integrated Farmers and Farm workers Association (CALIFWA)</v>
      </c>
      <c r="C968" s="2" t="str">
        <f>IFERROR(__xludf.DUMMYFUNCTION("""COMPUTED_VALUE"""),"Calumangan, Bago City, NEGROS OCCIDENTAL")</f>
        <v>Calumangan, Bago City, NEGROS OCCIDENTAL</v>
      </c>
      <c r="D968" s="2" t="str">
        <f>IFERROR(__xludf.DUMMYFUNCTION("""COMPUTED_VALUE"""),"Susan M. Petallana")</f>
        <v>Susan M. Petallana</v>
      </c>
      <c r="E968" s="2">
        <f>IFERROR(__xludf.DUMMYFUNCTION("""COMPUTED_VALUE"""),9.47150843E9)</f>
        <v>9471508430</v>
      </c>
      <c r="F968" s="2" t="str">
        <f>IFERROR(__xludf.DUMMYFUNCTION("""COMPUTED_VALUE"""),"RCEF 25-03-05")</f>
        <v>RCEF 25-03-05</v>
      </c>
      <c r="G968" s="2">
        <f>IFERROR(__xludf.DUMMYFUNCTION("""COMPUTED_VALUE"""),7.0)</f>
        <v>7</v>
      </c>
      <c r="H968" s="2" t="str">
        <f>IFERROR(__xludf.DUMMYFUNCTION("""COMPUTED_VALUE"""),"27296 &amp; 27586")</f>
        <v>27296 &amp; 27586</v>
      </c>
      <c r="I968" s="2" t="str">
        <f>IFERROR(__xludf.DUMMYFUNCTION("""COMPUTED_VALUE"""),"KMC5825 ACSFPV0374")</f>
        <v>KMC5825 ACSFPV0374</v>
      </c>
      <c r="J968" s="3" t="str">
        <f>IFERROR(__xludf.DUMMYFUNCTION("""COMPUTED_VALUE"""),"STS100414")</f>
        <v>STS100414</v>
      </c>
      <c r="K968" s="2" t="str">
        <f>IFERROR(__xludf.DUMMYFUNCTION("""COMPUTED_VALUE"""),"R- SERIES 104")</f>
        <v>R- SERIES 104</v>
      </c>
      <c r="L968" s="3" t="str">
        <f>IFERROR(__xludf.DUMMYFUNCTION("""COMPUTED_VALUE"""),"25090588")</f>
        <v>25090588</v>
      </c>
      <c r="M968" s="3">
        <f>IFERROR(__xludf.DUMMYFUNCTION("""COMPUTED_VALUE"""),2.512133E7)</f>
        <v>25121330</v>
      </c>
      <c r="N968" s="2"/>
      <c r="O968" s="2" t="str">
        <f>IFERROR(__xludf.DUMMYFUNCTION("""COMPUTED_VALUE"""),"Calumangan")</f>
        <v>Calumangan</v>
      </c>
      <c r="P968" s="2" t="str">
        <f>IFERROR(__xludf.DUMMYFUNCTION("""COMPUTED_VALUE"""),"Bago City")</f>
        <v>Bago City</v>
      </c>
      <c r="Q968" s="2" t="str">
        <f>IFERROR(__xludf.DUMMYFUNCTION("""COMPUTED_VALUE"""),"Negros Occidental")</f>
        <v>Negros Occidental</v>
      </c>
      <c r="R968" s="2" t="str">
        <f>IFERROR(__xludf.DUMMYFUNCTION("""COMPUTED_VALUE"""),"NIR")</f>
        <v>NIR</v>
      </c>
      <c r="S968" s="2"/>
      <c r="T968" s="2"/>
    </row>
    <row r="969">
      <c r="A969" s="1">
        <f>IFERROR(__xludf.DUMMYFUNCTION("""COMPUTED_VALUE"""),967.0)</f>
        <v>967</v>
      </c>
      <c r="B969" s="2" t="str">
        <f>IFERROR(__xludf.DUMMYFUNCTION("""COMPUTED_VALUE"""),"Lacbama Hills Irrigators' Association, Inc.")</f>
        <v>Lacbama Hills Irrigators' Association, Inc.</v>
      </c>
      <c r="C969" s="2" t="str">
        <f>IFERROR(__xludf.DUMMYFUNCTION("""COMPUTED_VALUE"""),"Dulao, Bago City, NEGROS OCCIDENTAL")</f>
        <v>Dulao, Bago City, NEGROS OCCIDENTAL</v>
      </c>
      <c r="D969" s="2" t="str">
        <f>IFERROR(__xludf.DUMMYFUNCTION("""COMPUTED_VALUE"""),"Joelito A. Consas")</f>
        <v>Joelito A. Consas</v>
      </c>
      <c r="E969" s="2">
        <f>IFERROR(__xludf.DUMMYFUNCTION("""COMPUTED_VALUE"""),9.165080964E9)</f>
        <v>9165080964</v>
      </c>
      <c r="F969" s="2" t="str">
        <f>IFERROR(__xludf.DUMMYFUNCTION("""COMPUTED_VALUE"""),"RCEF 25-03-05")</f>
        <v>RCEF 25-03-05</v>
      </c>
      <c r="G969" s="2">
        <f>IFERROR(__xludf.DUMMYFUNCTION("""COMPUTED_VALUE"""),7.0)</f>
        <v>7</v>
      </c>
      <c r="H969" s="2" t="str">
        <f>IFERROR(__xludf.DUMMYFUNCTION("""COMPUTED_VALUE"""),"27297 &amp; 27587")</f>
        <v>27297 &amp; 27587</v>
      </c>
      <c r="I969" s="2" t="str">
        <f>IFERROR(__xludf.DUMMYFUNCTION("""COMPUTED_VALUE"""),"KMC5825 ALSFPV0354")</f>
        <v>KMC5825 ALSFPV0354</v>
      </c>
      <c r="J969" s="3" t="str">
        <f>IFERROR(__xludf.DUMMYFUNCTION("""COMPUTED_VALUE"""),"STS100371")</f>
        <v>STS100371</v>
      </c>
      <c r="K969" s="2" t="str">
        <f>IFERROR(__xludf.DUMMYFUNCTION("""COMPUTED_VALUE"""),"R- SERIES 103")</f>
        <v>R- SERIES 103</v>
      </c>
      <c r="L969" s="3" t="str">
        <f>IFERROR(__xludf.DUMMYFUNCTION("""COMPUTED_VALUE"""),"2509595")</f>
        <v>2509595</v>
      </c>
      <c r="M969" s="3">
        <f>IFERROR(__xludf.DUMMYFUNCTION("""COMPUTED_VALUE"""),2.5121331E7)</f>
        <v>25121331</v>
      </c>
      <c r="N969" s="2"/>
      <c r="O969" s="2" t="str">
        <f>IFERROR(__xludf.DUMMYFUNCTION("""COMPUTED_VALUE"""),"Dulao")</f>
        <v>Dulao</v>
      </c>
      <c r="P969" s="2" t="str">
        <f>IFERROR(__xludf.DUMMYFUNCTION("""COMPUTED_VALUE"""),"Bago City")</f>
        <v>Bago City</v>
      </c>
      <c r="Q969" s="2" t="str">
        <f>IFERROR(__xludf.DUMMYFUNCTION("""COMPUTED_VALUE"""),"Negros Occidental")</f>
        <v>Negros Occidental</v>
      </c>
      <c r="R969" s="2" t="str">
        <f>IFERROR(__xludf.DUMMYFUNCTION("""COMPUTED_VALUE"""),"NIR")</f>
        <v>NIR</v>
      </c>
      <c r="S969" s="2"/>
      <c r="T969" s="2"/>
    </row>
    <row r="970">
      <c r="A970" s="1">
        <f>IFERROR(__xludf.DUMMYFUNCTION("""COMPUTED_VALUE"""),968.0)</f>
        <v>968</v>
      </c>
      <c r="B970" s="2" t="str">
        <f>IFERROR(__xludf.DUMMYFUNCTION("""COMPUTED_VALUE"""),"Tabao Rizal Farmers Association")</f>
        <v>Tabao Rizal Farmers Association</v>
      </c>
      <c r="C970" s="2" t="str">
        <f>IFERROR(__xludf.DUMMYFUNCTION("""COMPUTED_VALUE"""),"Tabao Rizal, San Enrique, NEGROS OCCIDENTAL")</f>
        <v>Tabao Rizal, San Enrique, NEGROS OCCIDENTAL</v>
      </c>
      <c r="D970" s="2" t="str">
        <f>IFERROR(__xludf.DUMMYFUNCTION("""COMPUTED_VALUE"""),"Josie Bacolina, Jr.")</f>
        <v>Josie Bacolina, Jr.</v>
      </c>
      <c r="E970" s="2">
        <f>IFERROR(__xludf.DUMMYFUNCTION("""COMPUTED_VALUE"""),9.810054575E9)</f>
        <v>9810054575</v>
      </c>
      <c r="F970" s="2" t="str">
        <f>IFERROR(__xludf.DUMMYFUNCTION("""COMPUTED_VALUE"""),"RCEF 25-03-05")</f>
        <v>RCEF 25-03-05</v>
      </c>
      <c r="G970" s="2">
        <f>IFERROR(__xludf.DUMMYFUNCTION("""COMPUTED_VALUE"""),7.0)</f>
        <v>7</v>
      </c>
      <c r="H970" s="2" t="str">
        <f>IFERROR(__xludf.DUMMYFUNCTION("""COMPUTED_VALUE"""),"27298 &amp; 27588")</f>
        <v>27298 &amp; 27588</v>
      </c>
      <c r="I970" s="2" t="str">
        <f>IFERROR(__xludf.DUMMYFUNCTION("""COMPUTED_VALUE"""),"KMC5825 ATSFPV0344")</f>
        <v>KMC5825 ATSFPV0344</v>
      </c>
      <c r="J970" s="3" t="str">
        <f>IFERROR(__xludf.DUMMYFUNCTION("""COMPUTED_VALUE"""),"STS100365")</f>
        <v>STS100365</v>
      </c>
      <c r="K970" s="2" t="str">
        <f>IFERROR(__xludf.DUMMYFUNCTION("""COMPUTED_VALUE"""),"R- SERIES 77")</f>
        <v>R- SERIES 77</v>
      </c>
      <c r="L970" s="3" t="str">
        <f>IFERROR(__xludf.DUMMYFUNCTION("""COMPUTED_VALUE"""),"25090614")</f>
        <v>25090614</v>
      </c>
      <c r="M970" s="3">
        <f>IFERROR(__xludf.DUMMYFUNCTION("""COMPUTED_VALUE"""),2.5121332E7)</f>
        <v>25121332</v>
      </c>
      <c r="N970" s="2"/>
      <c r="O970" s="2" t="str">
        <f>IFERROR(__xludf.DUMMYFUNCTION("""COMPUTED_VALUE"""),"Tabao Rizal")</f>
        <v>Tabao Rizal</v>
      </c>
      <c r="P970" s="2" t="str">
        <f>IFERROR(__xludf.DUMMYFUNCTION("""COMPUTED_VALUE"""),"San Enrique")</f>
        <v>San Enrique</v>
      </c>
      <c r="Q970" s="2" t="str">
        <f>IFERROR(__xludf.DUMMYFUNCTION("""COMPUTED_VALUE"""),"Negros Occidental")</f>
        <v>Negros Occidental</v>
      </c>
      <c r="R970" s="2" t="str">
        <f>IFERROR(__xludf.DUMMYFUNCTION("""COMPUTED_VALUE"""),"NIR")</f>
        <v>NIR</v>
      </c>
      <c r="S970" s="2"/>
      <c r="T970" s="2"/>
    </row>
    <row r="971">
      <c r="A971" s="1">
        <f>IFERROR(__xludf.DUMMYFUNCTION("""COMPUTED_VALUE"""),969.0)</f>
        <v>969</v>
      </c>
      <c r="B971" s="2" t="str">
        <f>IFERROR(__xludf.DUMMYFUNCTION("""COMPUTED_VALUE"""),"LACAPA Irrigators' Association, Inc.")</f>
        <v>LACAPA Irrigators' Association, Inc.</v>
      </c>
      <c r="C971" s="2" t="str">
        <f>IFERROR(__xludf.DUMMYFUNCTION("""COMPUTED_VALUE"""),"Lacaron, Valladolid, NEGROS OCCIDENTAL")</f>
        <v>Lacaron, Valladolid, NEGROS OCCIDENTAL</v>
      </c>
      <c r="D971" s="2" t="str">
        <f>IFERROR(__xludf.DUMMYFUNCTION("""COMPUTED_VALUE"""),"Joseph Octiva")</f>
        <v>Joseph Octiva</v>
      </c>
      <c r="E971" s="2">
        <f>IFERROR(__xludf.DUMMYFUNCTION("""COMPUTED_VALUE"""),9.630830532E9)</f>
        <v>9630830532</v>
      </c>
      <c r="F971" s="2" t="str">
        <f>IFERROR(__xludf.DUMMYFUNCTION("""COMPUTED_VALUE"""),"RCEF 25-03-05")</f>
        <v>RCEF 25-03-05</v>
      </c>
      <c r="G971" s="2">
        <f>IFERROR(__xludf.DUMMYFUNCTION("""COMPUTED_VALUE"""),7.0)</f>
        <v>7</v>
      </c>
      <c r="H971" s="2" t="str">
        <f>IFERROR(__xludf.DUMMYFUNCTION("""COMPUTED_VALUE"""),"27299 &amp; 27589")</f>
        <v>27299 &amp; 27589</v>
      </c>
      <c r="I971" s="2" t="str">
        <f>IFERROR(__xludf.DUMMYFUNCTION("""COMPUTED_VALUE"""),"KMC5825 AESFPV0342")</f>
        <v>KMC5825 AESFPV0342</v>
      </c>
      <c r="J971" s="3" t="str">
        <f>IFERROR(__xludf.DUMMYFUNCTION("""COMPUTED_VALUE"""),"STS100343")</f>
        <v>STS100343</v>
      </c>
      <c r="K971" s="2" t="str">
        <f>IFERROR(__xludf.DUMMYFUNCTION("""COMPUTED_VALUE"""),"R- SERIES 81")</f>
        <v>R- SERIES 81</v>
      </c>
      <c r="L971" s="3" t="str">
        <f>IFERROR(__xludf.DUMMYFUNCTION("""COMPUTED_VALUE"""),"25090607")</f>
        <v>25090607</v>
      </c>
      <c r="M971" s="3">
        <f>IFERROR(__xludf.DUMMYFUNCTION("""COMPUTED_VALUE"""),2.5121333E7)</f>
        <v>25121333</v>
      </c>
      <c r="N971" s="2"/>
      <c r="O971" s="2" t="str">
        <f>IFERROR(__xludf.DUMMYFUNCTION("""COMPUTED_VALUE"""),"Lacaron")</f>
        <v>Lacaron</v>
      </c>
      <c r="P971" s="2" t="str">
        <f>IFERROR(__xludf.DUMMYFUNCTION("""COMPUTED_VALUE"""),"Valladolid")</f>
        <v>Valladolid</v>
      </c>
      <c r="Q971" s="2" t="str">
        <f>IFERROR(__xludf.DUMMYFUNCTION("""COMPUTED_VALUE"""),"Negros Occidental")</f>
        <v>Negros Occidental</v>
      </c>
      <c r="R971" s="2" t="str">
        <f>IFERROR(__xludf.DUMMYFUNCTION("""COMPUTED_VALUE"""),"NIR")</f>
        <v>NIR</v>
      </c>
      <c r="S971" s="2"/>
      <c r="T971" s="2"/>
    </row>
    <row r="972">
      <c r="A972" s="1">
        <f>IFERROR(__xludf.DUMMYFUNCTION("""COMPUTED_VALUE"""),970.0)</f>
        <v>970</v>
      </c>
      <c r="B972" s="2" t="str">
        <f>IFERROR(__xludf.DUMMYFUNCTION("""COMPUTED_VALUE"""),"Mag-inugyon Farmers Irrigators' Association, Inc.")</f>
        <v>Mag-inugyon Farmers Irrigators' Association, Inc.</v>
      </c>
      <c r="C972" s="2" t="str">
        <f>IFERROR(__xludf.DUMMYFUNCTION("""COMPUTED_VALUE"""),"Mabini, Valladolid, NEGROS OCCIDENTAL")</f>
        <v>Mabini, Valladolid, NEGROS OCCIDENTAL</v>
      </c>
      <c r="D972" s="2" t="str">
        <f>IFERROR(__xludf.DUMMYFUNCTION("""COMPUTED_VALUE"""),"Eduardo Salcedo")</f>
        <v>Eduardo Salcedo</v>
      </c>
      <c r="E972" s="2">
        <f>IFERROR(__xludf.DUMMYFUNCTION("""COMPUTED_VALUE"""),9.468852404E9)</f>
        <v>9468852404</v>
      </c>
      <c r="F972" s="2" t="str">
        <f>IFERROR(__xludf.DUMMYFUNCTION("""COMPUTED_VALUE"""),"RCEF 25-03-05")</f>
        <v>RCEF 25-03-05</v>
      </c>
      <c r="G972" s="2">
        <f>IFERROR(__xludf.DUMMYFUNCTION("""COMPUTED_VALUE"""),7.0)</f>
        <v>7</v>
      </c>
      <c r="H972" s="2" t="str">
        <f>IFERROR(__xludf.DUMMYFUNCTION("""COMPUTED_VALUE"""),"27300 &amp; 27591")</f>
        <v>27300 &amp; 27591</v>
      </c>
      <c r="I972" s="2" t="str">
        <f>IFERROR(__xludf.DUMMYFUNCTION("""COMPUTED_VALUE"""),"KMC5825 AVSFPV0352")</f>
        <v>KMC5825 AVSFPV0352</v>
      </c>
      <c r="J972" s="3" t="str">
        <f>IFERROR(__xludf.DUMMYFUNCTION("""COMPUTED_VALUE"""),"STS100374")</f>
        <v>STS100374</v>
      </c>
      <c r="K972" s="2" t="str">
        <f>IFERROR(__xludf.DUMMYFUNCTION("""COMPUTED_VALUE"""),"R- SERIES 74")</f>
        <v>R- SERIES 74</v>
      </c>
      <c r="L972" s="3" t="str">
        <f>IFERROR(__xludf.DUMMYFUNCTION("""COMPUTED_VALUE"""),"25090596")</f>
        <v>25090596</v>
      </c>
      <c r="M972" s="3">
        <f>IFERROR(__xludf.DUMMYFUNCTION("""COMPUTED_VALUE"""),2.5121334E7)</f>
        <v>25121334</v>
      </c>
      <c r="N972" s="2"/>
      <c r="O972" s="2" t="str">
        <f>IFERROR(__xludf.DUMMYFUNCTION("""COMPUTED_VALUE"""),"Mabini")</f>
        <v>Mabini</v>
      </c>
      <c r="P972" s="2" t="str">
        <f>IFERROR(__xludf.DUMMYFUNCTION("""COMPUTED_VALUE"""),"Valladolid")</f>
        <v>Valladolid</v>
      </c>
      <c r="Q972" s="2" t="str">
        <f>IFERROR(__xludf.DUMMYFUNCTION("""COMPUTED_VALUE"""),"Negros Occidental")</f>
        <v>Negros Occidental</v>
      </c>
      <c r="R972" s="2" t="str">
        <f>IFERROR(__xludf.DUMMYFUNCTION("""COMPUTED_VALUE"""),"NIR")</f>
        <v>NIR</v>
      </c>
      <c r="S972" s="2"/>
      <c r="T972" s="2"/>
    </row>
    <row r="973">
      <c r="A973" s="1">
        <f>IFERROR(__xludf.DUMMYFUNCTION("""COMPUTED_VALUE"""),971.0)</f>
        <v>971</v>
      </c>
      <c r="B973" s="2" t="str">
        <f>IFERROR(__xludf.DUMMYFUNCTION("""COMPUTED_VALUE"""),"Pacol Himaya Irrigators' Association, Inc.")</f>
        <v>Pacol Himaya Irrigators' Association, Inc.</v>
      </c>
      <c r="C973" s="2" t="str">
        <f>IFERROR(__xludf.DUMMYFUNCTION("""COMPUTED_VALUE"""),"Alijis, Valladolid, NEGROS OCCIDENTAL")</f>
        <v>Alijis, Valladolid, NEGROS OCCIDENTAL</v>
      </c>
      <c r="D973" s="2" t="str">
        <f>IFERROR(__xludf.DUMMYFUNCTION("""COMPUTED_VALUE"""),"Joey Belarmino")</f>
        <v>Joey Belarmino</v>
      </c>
      <c r="E973" s="2">
        <f>IFERROR(__xludf.DUMMYFUNCTION("""COMPUTED_VALUE"""),9.701975411E9)</f>
        <v>9701975411</v>
      </c>
      <c r="F973" s="2" t="str">
        <f>IFERROR(__xludf.DUMMYFUNCTION("""COMPUTED_VALUE"""),"RCEF 25-03-05")</f>
        <v>RCEF 25-03-05</v>
      </c>
      <c r="G973" s="2">
        <f>IFERROR(__xludf.DUMMYFUNCTION("""COMPUTED_VALUE"""),7.0)</f>
        <v>7</v>
      </c>
      <c r="H973" s="2" t="str">
        <f>IFERROR(__xludf.DUMMYFUNCTION("""COMPUTED_VALUE"""),"27301 &amp; 27590")</f>
        <v>27301 &amp; 27590</v>
      </c>
      <c r="I973" s="2" t="str">
        <f>IFERROR(__xludf.DUMMYFUNCTION("""COMPUTED_VALUE"""),"KMC5825 AHSFPV0372")</f>
        <v>KMC5825 AHSFPV0372</v>
      </c>
      <c r="J973" s="3" t="str">
        <f>IFERROR(__xludf.DUMMYFUNCTION("""COMPUTED_VALUE"""),"STS100423")</f>
        <v>STS100423</v>
      </c>
      <c r="K973" s="2" t="str">
        <f>IFERROR(__xludf.DUMMYFUNCTION("""COMPUTED_VALUE"""),"R- SERIES 099 PH")</f>
        <v>R- SERIES 099 PH</v>
      </c>
      <c r="L973" s="3" t="str">
        <f>IFERROR(__xludf.DUMMYFUNCTION("""COMPUTED_VALUE"""),"25090578")</f>
        <v>25090578</v>
      </c>
      <c r="M973" s="3">
        <f>IFERROR(__xludf.DUMMYFUNCTION("""COMPUTED_VALUE"""),2.5121335E7)</f>
        <v>25121335</v>
      </c>
      <c r="N973" s="2"/>
      <c r="O973" s="2" t="str">
        <f>IFERROR(__xludf.DUMMYFUNCTION("""COMPUTED_VALUE"""),"Alijis")</f>
        <v>Alijis</v>
      </c>
      <c r="P973" s="2" t="str">
        <f>IFERROR(__xludf.DUMMYFUNCTION("""COMPUTED_VALUE"""),"Valladolid")</f>
        <v>Valladolid</v>
      </c>
      <c r="Q973" s="2" t="str">
        <f>IFERROR(__xludf.DUMMYFUNCTION("""COMPUTED_VALUE"""),"Negros Occidental")</f>
        <v>Negros Occidental</v>
      </c>
      <c r="R973" s="2" t="str">
        <f>IFERROR(__xludf.DUMMYFUNCTION("""COMPUTED_VALUE"""),"NIR")</f>
        <v>NIR</v>
      </c>
      <c r="S973" s="2"/>
      <c r="T973" s="2"/>
    </row>
    <row r="974">
      <c r="A974" s="1">
        <f>IFERROR(__xludf.DUMMYFUNCTION("""COMPUTED_VALUE"""),972.0)</f>
        <v>972</v>
      </c>
      <c r="B974" s="2" t="str">
        <f>IFERROR(__xludf.DUMMYFUNCTION("""COMPUTED_VALUE"""),"Pukawabi Irrigators' Association, Inc.")</f>
        <v>Pukawabi Irrigators' Association, Inc.</v>
      </c>
      <c r="C974" s="2" t="str">
        <f>IFERROR(__xludf.DUMMYFUNCTION("""COMPUTED_VALUE"""),"Batuan, Valladolid, NEGROS OCCIDENTAL")</f>
        <v>Batuan, Valladolid, NEGROS OCCIDENTAL</v>
      </c>
      <c r="D974" s="2" t="str">
        <f>IFERROR(__xludf.DUMMYFUNCTION("""COMPUTED_VALUE"""),"Joel Samera")</f>
        <v>Joel Samera</v>
      </c>
      <c r="E974" s="2">
        <f>IFERROR(__xludf.DUMMYFUNCTION("""COMPUTED_VALUE"""),9.274001838E9)</f>
        <v>9274001838</v>
      </c>
      <c r="F974" s="2" t="str">
        <f>IFERROR(__xludf.DUMMYFUNCTION("""COMPUTED_VALUE"""),"RCEF 25-03-05")</f>
        <v>RCEF 25-03-05</v>
      </c>
      <c r="G974" s="2">
        <f>IFERROR(__xludf.DUMMYFUNCTION("""COMPUTED_VALUE"""),7.0)</f>
        <v>7</v>
      </c>
      <c r="H974" s="2" t="str">
        <f>IFERROR(__xludf.DUMMYFUNCTION("""COMPUTED_VALUE"""),"27302 &amp; 27592")</f>
        <v>27302 &amp; 27592</v>
      </c>
      <c r="I974" s="2" t="str">
        <f>IFERROR(__xludf.DUMMYFUNCTION("""COMPUTED_VALUE"""),"KMC5825 ATSFPV0263")</f>
        <v>KMC5825 ATSFPV0263</v>
      </c>
      <c r="J974" s="3" t="str">
        <f>IFERROR(__xludf.DUMMYFUNCTION("""COMPUTED_VALUE"""),"STS100290")</f>
        <v>STS100290</v>
      </c>
      <c r="K974" s="2" t="str">
        <f>IFERROR(__xludf.DUMMYFUNCTION("""COMPUTED_VALUE"""),"R- SERIES 78")</f>
        <v>R- SERIES 78</v>
      </c>
      <c r="L974" s="3" t="str">
        <f>IFERROR(__xludf.DUMMYFUNCTION("""COMPUTED_VALUE"""),"25090588")</f>
        <v>25090588</v>
      </c>
      <c r="M974" s="3">
        <f>IFERROR(__xludf.DUMMYFUNCTION("""COMPUTED_VALUE"""),2.5121336E7)</f>
        <v>25121336</v>
      </c>
      <c r="N974" s="2"/>
      <c r="O974" s="2" t="str">
        <f>IFERROR(__xludf.DUMMYFUNCTION("""COMPUTED_VALUE"""),"Batuan")</f>
        <v>Batuan</v>
      </c>
      <c r="P974" s="2" t="str">
        <f>IFERROR(__xludf.DUMMYFUNCTION("""COMPUTED_VALUE"""),"Valladolid")</f>
        <v>Valladolid</v>
      </c>
      <c r="Q974" s="2" t="str">
        <f>IFERROR(__xludf.DUMMYFUNCTION("""COMPUTED_VALUE"""),"Negros Occidental")</f>
        <v>Negros Occidental</v>
      </c>
      <c r="R974" s="2" t="str">
        <f>IFERROR(__xludf.DUMMYFUNCTION("""COMPUTED_VALUE"""),"NIR")</f>
        <v>NIR</v>
      </c>
      <c r="S974" s="2"/>
      <c r="T974" s="2"/>
    </row>
    <row r="975">
      <c r="A975" s="1">
        <f>IFERROR(__xludf.DUMMYFUNCTION("""COMPUTED_VALUE"""),973.0)</f>
        <v>973</v>
      </c>
      <c r="B975" s="2" t="str">
        <f>IFERROR(__xludf.DUMMYFUNCTION("""COMPUTED_VALUE"""),"Municipal Local Government Unit of Binalbagan")</f>
        <v>Municipal Local Government Unit of Binalbagan</v>
      </c>
      <c r="C975" s="2" t="str">
        <f>IFERROR(__xludf.DUMMYFUNCTION("""COMPUTED_VALUE"""),"San Pedro (Pob.), Binalbagan, NEGROS OCCIDENTAL")</f>
        <v>San Pedro (Pob.), Binalbagan, NEGROS OCCIDENTAL</v>
      </c>
      <c r="D975" s="2" t="str">
        <f>IFERROR(__xludf.DUMMYFUNCTION("""COMPUTED_VALUE"""),"Hon. Alejandro Y. Mirasol")</f>
        <v>Hon. Alejandro Y. Mirasol</v>
      </c>
      <c r="E975" s="2" t="str">
        <f>IFERROR(__xludf.DUMMYFUNCTION("""COMPUTED_VALUE"""),"MA:Kenny Zamora 09977886865")</f>
        <v>MA:Kenny Zamora 09977886865</v>
      </c>
      <c r="F975" s="2" t="str">
        <f>IFERROR(__xludf.DUMMYFUNCTION("""COMPUTED_VALUE"""),"RCEF 25-03-05")</f>
        <v>RCEF 25-03-05</v>
      </c>
      <c r="G975" s="2">
        <f>IFERROR(__xludf.DUMMYFUNCTION("""COMPUTED_VALUE"""),7.0)</f>
        <v>7</v>
      </c>
      <c r="H975" s="2" t="str">
        <f>IFERROR(__xludf.DUMMYFUNCTION("""COMPUTED_VALUE"""),"27303 &amp; 27593")</f>
        <v>27303 &amp; 27593</v>
      </c>
      <c r="I975" s="2" t="str">
        <f>IFERROR(__xludf.DUMMYFUNCTION("""COMPUTED_VALUE"""),"KMC5825 AVSFPV0206")</f>
        <v>KMC5825 AVSFPV0206</v>
      </c>
      <c r="J975" s="3" t="str">
        <f>IFERROR(__xludf.DUMMYFUNCTION("""COMPUTED_VALUE"""),"STS100228")</f>
        <v>STS100228</v>
      </c>
      <c r="K975" s="2" t="str">
        <f>IFERROR(__xludf.DUMMYFUNCTION("""COMPUTED_VALUE"""),"R-SERIES 1078PH")</f>
        <v>R-SERIES 1078PH</v>
      </c>
      <c r="L975" s="3" t="str">
        <f>IFERROR(__xludf.DUMMYFUNCTION("""COMPUTED_VALUE"""),"25090604")</f>
        <v>25090604</v>
      </c>
      <c r="M975" s="3">
        <f>IFERROR(__xludf.DUMMYFUNCTION("""COMPUTED_VALUE"""),2.5121337E7)</f>
        <v>25121337</v>
      </c>
      <c r="N975" s="2"/>
      <c r="O975" s="2" t="str">
        <f>IFERROR(__xludf.DUMMYFUNCTION("""COMPUTED_VALUE"""),"San Pedro (Pob.)")</f>
        <v>San Pedro (Pob.)</v>
      </c>
      <c r="P975" s="2" t="str">
        <f>IFERROR(__xludf.DUMMYFUNCTION("""COMPUTED_VALUE"""),"Binalbagan")</f>
        <v>Binalbagan</v>
      </c>
      <c r="Q975" s="2" t="str">
        <f>IFERROR(__xludf.DUMMYFUNCTION("""COMPUTED_VALUE"""),"Negros Occidental")</f>
        <v>Negros Occidental</v>
      </c>
      <c r="R975" s="2" t="str">
        <f>IFERROR(__xludf.DUMMYFUNCTION("""COMPUTED_VALUE"""),"NIR")</f>
        <v>NIR</v>
      </c>
      <c r="S975" s="2"/>
      <c r="T975" s="2"/>
    </row>
    <row r="976">
      <c r="A976" s="1">
        <f>IFERROR(__xludf.DUMMYFUNCTION("""COMPUTED_VALUE"""),974.0)</f>
        <v>974</v>
      </c>
      <c r="B976" s="2" t="str">
        <f>IFERROR(__xludf.DUMMYFUNCTION("""COMPUTED_VALUE"""),"Bliss Buenlag Group of Small Farmers Association Inc.")</f>
        <v>Bliss Buenlag Group of Small Farmers Association Inc.</v>
      </c>
      <c r="C976" s="2" t="str">
        <f>IFERROR(__xludf.DUMMYFUNCTION("""COMPUTED_VALUE"""),"Nancamaliran West, Urdaneta City, PANGASINAN")</f>
        <v>Nancamaliran West, Urdaneta City, PANGASINAN</v>
      </c>
      <c r="D976" s="2" t="str">
        <f>IFERROR(__xludf.DUMMYFUNCTION("""COMPUTED_VALUE"""),"Jimmy B. Mines")</f>
        <v>Jimmy B. Mines</v>
      </c>
      <c r="E976" s="2" t="str">
        <f>IFERROR(__xludf.DUMMYFUNCTION("""COMPUTED_VALUE"""),"0906 521 8910")</f>
        <v>0906 521 8910</v>
      </c>
      <c r="F976" s="2" t="str">
        <f>IFERROR(__xludf.DUMMYFUNCTION("""COMPUTED_VALUE"""),"Repeat Order")</f>
        <v>Repeat Order</v>
      </c>
      <c r="G976" s="2">
        <f>IFERROR(__xludf.DUMMYFUNCTION("""COMPUTED_VALUE"""),6.0)</f>
        <v>6</v>
      </c>
      <c r="H976" s="2">
        <f>IFERROR(__xludf.DUMMYFUNCTION("""COMPUTED_VALUE"""),23110.0)</f>
        <v>23110</v>
      </c>
      <c r="I976" s="2" t="str">
        <f>IFERROR(__xludf.DUMMYFUNCTION("""COMPUTED_VALUE"""),"KMC5825ACRFPV1079")</f>
        <v>KMC5825ACRFPV1079</v>
      </c>
      <c r="J976" s="2" t="str">
        <f>IFERROR(__xludf.DUMMYFUNCTION("""COMPUTED_VALUE"""),"RTS100933")</f>
        <v>RTS100933</v>
      </c>
      <c r="K976" s="2" t="str">
        <f>IFERROR(__xludf.DUMMYFUNCTION("""COMPUTED_VALUE"""),"LSGW1750-RMP-24111129")</f>
        <v>LSGW1750-RMP-24111129</v>
      </c>
      <c r="L976" s="2" t="str">
        <f>IFERROR(__xludf.DUMMYFUNCTION("""COMPUTED_VALUE"""),"WDP40-RMP-25030417")</f>
        <v>WDP40-RMP-25030417</v>
      </c>
      <c r="M976" s="2" t="str">
        <f>IFERROR(__xludf.DUMMYFUNCTION("""COMPUTED_VALUE"""),"WR-SERIES-1320PH")</f>
        <v>WR-SERIES-1320PH</v>
      </c>
      <c r="N976" s="2"/>
      <c r="O976" s="2" t="str">
        <f>IFERROR(__xludf.DUMMYFUNCTION("""COMPUTED_VALUE"""),"Nancamaliran West")</f>
        <v>Nancamaliran West</v>
      </c>
      <c r="P976" s="2" t="str">
        <f>IFERROR(__xludf.DUMMYFUNCTION("""COMPUTED_VALUE"""),"Urdaneta City")</f>
        <v>Urdaneta City</v>
      </c>
      <c r="Q976" s="2" t="str">
        <f>IFERROR(__xludf.DUMMYFUNCTION("""COMPUTED_VALUE"""),"Pangasinan")</f>
        <v>Pangasinan</v>
      </c>
      <c r="R976" s="2">
        <f>IFERROR(__xludf.DUMMYFUNCTION("""COMPUTED_VALUE"""),1.0)</f>
        <v>1</v>
      </c>
      <c r="S976" s="2"/>
      <c r="T976" s="2"/>
    </row>
    <row r="977">
      <c r="A977" s="1">
        <f>IFERROR(__xludf.DUMMYFUNCTION("""COMPUTED_VALUE"""),975.0)</f>
        <v>975</v>
      </c>
      <c r="B977" s="2" t="str">
        <f>IFERROR(__xludf.DUMMYFUNCTION("""COMPUTED_VALUE"""),"ALACSAN SQ IRRIGATORS ASSOCIATION, INC")</f>
        <v>ALACSAN SQ IRRIGATORS ASSOCIATION, INC</v>
      </c>
      <c r="C977" s="2" t="str">
        <f>IFERROR(__xludf.DUMMYFUNCTION("""COMPUTED_VALUE"""),"Alac, San Quintin, PANGASINAN")</f>
        <v>Alac, San Quintin, PANGASINAN</v>
      </c>
      <c r="D977" s="2" t="str">
        <f>IFERROR(__xludf.DUMMYFUNCTION("""COMPUTED_VALUE"""),"Leodegario M. Fariñas")</f>
        <v>Leodegario M. Fariñas</v>
      </c>
      <c r="E977" s="2" t="str">
        <f>IFERROR(__xludf.DUMMYFUNCTION("""COMPUTED_VALUE"""),"0995-378-5021")</f>
        <v>0995-378-5021</v>
      </c>
      <c r="F977" s="2" t="str">
        <f>IFERROR(__xludf.DUMMYFUNCTION("""COMPUTED_VALUE"""),"Repeat Order")</f>
        <v>Repeat Order</v>
      </c>
      <c r="G977" s="2">
        <f>IFERROR(__xludf.DUMMYFUNCTION("""COMPUTED_VALUE"""),6.0)</f>
        <v>6</v>
      </c>
      <c r="H977" s="2">
        <f>IFERROR(__xludf.DUMMYFUNCTION("""COMPUTED_VALUE"""),23111.0)</f>
        <v>23111</v>
      </c>
      <c r="I977" s="2" t="str">
        <f>IFERROR(__xludf.DUMMYFUNCTION("""COMPUTED_VALUE"""),"KMC5825AERFPV1078")</f>
        <v>KMC5825AERFPV1078</v>
      </c>
      <c r="J977" s="2" t="str">
        <f>IFERROR(__xludf.DUMMYFUNCTION("""COMPUTED_VALUE"""),"RTS100957")</f>
        <v>RTS100957</v>
      </c>
      <c r="K977" s="2" t="str">
        <f>IFERROR(__xludf.DUMMYFUNCTION("""COMPUTED_VALUE"""),"LSGW1750-RMP-24111131")</f>
        <v>LSGW1750-RMP-24111131</v>
      </c>
      <c r="L977" s="2" t="str">
        <f>IFERROR(__xludf.DUMMYFUNCTION("""COMPUTED_VALUE"""),"WDP40-RMP-25030368")</f>
        <v>WDP40-RMP-25030368</v>
      </c>
      <c r="M977" s="2" t="str">
        <f>IFERROR(__xludf.DUMMYFUNCTION("""COMPUTED_VALUE"""),"WR-SERIES-1310PH")</f>
        <v>WR-SERIES-1310PH</v>
      </c>
      <c r="N977" s="2"/>
      <c r="O977" s="2" t="str">
        <f>IFERROR(__xludf.DUMMYFUNCTION("""COMPUTED_VALUE"""),"Alac")</f>
        <v>Alac</v>
      </c>
      <c r="P977" s="2" t="str">
        <f>IFERROR(__xludf.DUMMYFUNCTION("""COMPUTED_VALUE"""),"San Quintin")</f>
        <v>San Quintin</v>
      </c>
      <c r="Q977" s="2" t="str">
        <f>IFERROR(__xludf.DUMMYFUNCTION("""COMPUTED_VALUE"""),"Pangasinan")</f>
        <v>Pangasinan</v>
      </c>
      <c r="R977" s="2">
        <f>IFERROR(__xludf.DUMMYFUNCTION("""COMPUTED_VALUE"""),1.0)</f>
        <v>1</v>
      </c>
      <c r="S977" s="2"/>
      <c r="T977" s="2"/>
    </row>
    <row r="978">
      <c r="A978" s="1">
        <f>IFERROR(__xludf.DUMMYFUNCTION("""COMPUTED_VALUE"""),976.0)</f>
        <v>976</v>
      </c>
      <c r="B978" s="2" t="str">
        <f>IFERROR(__xludf.DUMMYFUNCTION("""COMPUTED_VALUE"""),"CABALIN DIPALO IRRIGATORS ASSOCIATION, INC.")</f>
        <v>CABALIN DIPALO IRRIGATORS ASSOCIATION, INC.</v>
      </c>
      <c r="C978" s="2" t="str">
        <f>IFERROR(__xludf.DUMMYFUNCTION("""COMPUTED_VALUE"""),"Cabangaran, San Quintin, PANGASINAN")</f>
        <v>Cabangaran, San Quintin, PANGASINAN</v>
      </c>
      <c r="D978" s="2" t="str">
        <f>IFERROR(__xludf.DUMMYFUNCTION("""COMPUTED_VALUE"""),"Ronnie A. Cornel")</f>
        <v>Ronnie A. Cornel</v>
      </c>
      <c r="E978" s="2" t="str">
        <f>IFERROR(__xludf.DUMMYFUNCTION("""COMPUTED_VALUE"""),"0927-567-2835")</f>
        <v>0927-567-2835</v>
      </c>
      <c r="F978" s="2" t="str">
        <f>IFERROR(__xludf.DUMMYFUNCTION("""COMPUTED_VALUE"""),"Repeat Order")</f>
        <v>Repeat Order</v>
      </c>
      <c r="G978" s="2">
        <f>IFERROR(__xludf.DUMMYFUNCTION("""COMPUTED_VALUE"""),6.0)</f>
        <v>6</v>
      </c>
      <c r="H978" s="2">
        <f>IFERROR(__xludf.DUMMYFUNCTION("""COMPUTED_VALUE"""),23112.0)</f>
        <v>23112</v>
      </c>
      <c r="I978" s="2" t="str">
        <f>IFERROR(__xludf.DUMMYFUNCTION("""COMPUTED_VALUE"""),"KMC5825ACRFPV1048")</f>
        <v>KMC5825ACRFPV1048</v>
      </c>
      <c r="J978" s="2" t="str">
        <f>IFERROR(__xludf.DUMMYFUNCTION("""COMPUTED_VALUE"""),"RTS100947")</f>
        <v>RTS100947</v>
      </c>
      <c r="K978" s="2" t="str">
        <f>IFERROR(__xludf.DUMMYFUNCTION("""COMPUTED_VALUE"""),"LSGW1750-RMP-24090776")</f>
        <v>LSGW1750-RMP-24090776</v>
      </c>
      <c r="L978" s="2" t="str">
        <f>IFERROR(__xludf.DUMMYFUNCTION("""COMPUTED_VALUE"""),"WDP40-RMP-25030396")</f>
        <v>WDP40-RMP-25030396</v>
      </c>
      <c r="M978" s="2" t="str">
        <f>IFERROR(__xludf.DUMMYFUNCTION("""COMPUTED_VALUE"""),"WR-SERIES-1299PH")</f>
        <v>WR-SERIES-1299PH</v>
      </c>
      <c r="N978" s="2"/>
      <c r="O978" s="2" t="str">
        <f>IFERROR(__xludf.DUMMYFUNCTION("""COMPUTED_VALUE"""),"Cabangaran")</f>
        <v>Cabangaran</v>
      </c>
      <c r="P978" s="2" t="str">
        <f>IFERROR(__xludf.DUMMYFUNCTION("""COMPUTED_VALUE"""),"San Quintin")</f>
        <v>San Quintin</v>
      </c>
      <c r="Q978" s="2" t="str">
        <f>IFERROR(__xludf.DUMMYFUNCTION("""COMPUTED_VALUE"""),"Pangasinan")</f>
        <v>Pangasinan</v>
      </c>
      <c r="R978" s="2">
        <f>IFERROR(__xludf.DUMMYFUNCTION("""COMPUTED_VALUE"""),1.0)</f>
        <v>1</v>
      </c>
      <c r="S978" s="2"/>
      <c r="T978" s="2"/>
    </row>
    <row r="979">
      <c r="A979" s="1">
        <f>IFERROR(__xludf.DUMMYFUNCTION("""COMPUTED_VALUE"""),977.0)</f>
        <v>977</v>
      </c>
      <c r="B979" s="2" t="str">
        <f>IFERROR(__xludf.DUMMYFUNCTION("""COMPUTED_VALUE"""),"Lemu Farmers Agriculture Cooperative")</f>
        <v>Lemu Farmers Agriculture Cooperative</v>
      </c>
      <c r="C979" s="2" t="str">
        <f>IFERROR(__xludf.DUMMYFUNCTION("""COMPUTED_VALUE"""),"Lemu Norte, Enrile, CAGAYAN")</f>
        <v>Lemu Norte, Enrile, CAGAYAN</v>
      </c>
      <c r="D979" s="2" t="str">
        <f>IFERROR(__xludf.DUMMYFUNCTION("""COMPUTED_VALUE"""),"Jose M. Catabian")</f>
        <v>Jose M. Catabian</v>
      </c>
      <c r="E979" s="2" t="str">
        <f>IFERROR(__xludf.DUMMYFUNCTION("""COMPUTED_VALUE"""),"0917-1880-383")</f>
        <v>0917-1880-383</v>
      </c>
      <c r="F979" s="2" t="str">
        <f>IFERROR(__xludf.DUMMYFUNCTION("""COMPUTED_VALUE"""),"Repeat Order")</f>
        <v>Repeat Order</v>
      </c>
      <c r="G979" s="2">
        <f>IFERROR(__xludf.DUMMYFUNCTION("""COMPUTED_VALUE"""),6.0)</f>
        <v>6</v>
      </c>
      <c r="H979" s="2">
        <f>IFERROR(__xludf.DUMMYFUNCTION("""COMPUTED_VALUE"""),23113.0)</f>
        <v>23113</v>
      </c>
      <c r="I979" s="2" t="str">
        <f>IFERROR(__xludf.DUMMYFUNCTION("""COMPUTED_VALUE"""),"KMC5825AJRFPV1072")</f>
        <v>KMC5825AJRFPV1072</v>
      </c>
      <c r="J979" s="2" t="str">
        <f>IFERROR(__xludf.DUMMYFUNCTION("""COMPUTED_VALUE"""),"RTS100968")</f>
        <v>RTS100968</v>
      </c>
      <c r="K979" s="2" t="str">
        <f>IFERROR(__xludf.DUMMYFUNCTION("""COMPUTED_VALUE"""),"LSGW1750-RMP-24090768")</f>
        <v>LSGW1750-RMP-24090768</v>
      </c>
      <c r="L979" s="2" t="str">
        <f>IFERROR(__xludf.DUMMYFUNCTION("""COMPUTED_VALUE"""),"WDP40-RMP-25030372")</f>
        <v>WDP40-RMP-25030372</v>
      </c>
      <c r="M979" s="2" t="str">
        <f>IFERROR(__xludf.DUMMYFUNCTION("""COMPUTED_VALUE"""),"WR-SERIES-1266PH")</f>
        <v>WR-SERIES-1266PH</v>
      </c>
      <c r="N979" s="2"/>
      <c r="O979" s="2" t="str">
        <f>IFERROR(__xludf.DUMMYFUNCTION("""COMPUTED_VALUE"""),"Lemu Norte")</f>
        <v>Lemu Norte</v>
      </c>
      <c r="P979" s="2" t="str">
        <f>IFERROR(__xludf.DUMMYFUNCTION("""COMPUTED_VALUE"""),"Enrile")</f>
        <v>Enrile</v>
      </c>
      <c r="Q979" s="2" t="str">
        <f>IFERROR(__xludf.DUMMYFUNCTION("""COMPUTED_VALUE"""),"Cagayan")</f>
        <v>Cagayan</v>
      </c>
      <c r="R979" s="2">
        <f>IFERROR(__xludf.DUMMYFUNCTION("""COMPUTED_VALUE"""),2.0)</f>
        <v>2</v>
      </c>
      <c r="S979" s="2"/>
      <c r="T979" s="2"/>
    </row>
    <row r="980">
      <c r="A980" s="1">
        <f>IFERROR(__xludf.DUMMYFUNCTION("""COMPUTED_VALUE"""),978.0)</f>
        <v>978</v>
      </c>
      <c r="B980" s="2" t="str">
        <f>IFERROR(__xludf.DUMMYFUNCTION("""COMPUTED_VALUE"""),"Barakbak Agrarian Reform Beneficiaries Cooperative")</f>
        <v>Barakbak Agrarian Reform Beneficiaries Cooperative</v>
      </c>
      <c r="C980" s="2" t="str">
        <f>IFERROR(__xludf.DUMMYFUNCTION("""COMPUTED_VALUE"""),"Cadaanan, Solana, CAGAYAN")</f>
        <v>Cadaanan, Solana, CAGAYAN</v>
      </c>
      <c r="D980" s="2" t="str">
        <f>IFERROR(__xludf.DUMMYFUNCTION("""COMPUTED_VALUE"""),"Elisa Ramos")</f>
        <v>Elisa Ramos</v>
      </c>
      <c r="E980" s="2">
        <f>IFERROR(__xludf.DUMMYFUNCTION("""COMPUTED_VALUE"""),9.169169552E9)</f>
        <v>9169169552</v>
      </c>
      <c r="F980" s="2" t="str">
        <f>IFERROR(__xludf.DUMMYFUNCTION("""COMPUTED_VALUE"""),"Repeat Order")</f>
        <v>Repeat Order</v>
      </c>
      <c r="G980" s="2">
        <f>IFERROR(__xludf.DUMMYFUNCTION("""COMPUTED_VALUE"""),6.0)</f>
        <v>6</v>
      </c>
      <c r="H980" s="2">
        <f>IFERROR(__xludf.DUMMYFUNCTION("""COMPUTED_VALUE"""),23114.0)</f>
        <v>23114</v>
      </c>
      <c r="I980" s="2" t="str">
        <f>IFERROR(__xludf.DUMMYFUNCTION("""COMPUTED_VALUE"""),"KMC5825ALRFPV1093")</f>
        <v>KMC5825ALRFPV1093</v>
      </c>
      <c r="J980" s="2" t="str">
        <f>IFERROR(__xludf.DUMMYFUNCTION("""COMPUTED_VALUE"""),"RTS100847")</f>
        <v>RTS100847</v>
      </c>
      <c r="K980" s="2" t="str">
        <f>IFERROR(__xludf.DUMMYFUNCTION("""COMPUTED_VALUE"""),"LSGW1750-RMP-24090799")</f>
        <v>LSGW1750-RMP-24090799</v>
      </c>
      <c r="L980" s="2" t="str">
        <f>IFERROR(__xludf.DUMMYFUNCTION("""COMPUTED_VALUE"""),"WDP40-RMP-25030389")</f>
        <v>WDP40-RMP-25030389</v>
      </c>
      <c r="M980" s="2" t="str">
        <f>IFERROR(__xludf.DUMMYFUNCTION("""COMPUTED_VALUE"""),"WR-SERIES-1309PH")</f>
        <v>WR-SERIES-1309PH</v>
      </c>
      <c r="N980" s="2"/>
      <c r="O980" s="2" t="str">
        <f>IFERROR(__xludf.DUMMYFUNCTION("""COMPUTED_VALUE"""),"Cadaanan")</f>
        <v>Cadaanan</v>
      </c>
      <c r="P980" s="2" t="str">
        <f>IFERROR(__xludf.DUMMYFUNCTION("""COMPUTED_VALUE"""),"Solana")</f>
        <v>Solana</v>
      </c>
      <c r="Q980" s="2" t="str">
        <f>IFERROR(__xludf.DUMMYFUNCTION("""COMPUTED_VALUE"""),"Cagayan")</f>
        <v>Cagayan</v>
      </c>
      <c r="R980" s="2">
        <f>IFERROR(__xludf.DUMMYFUNCTION("""COMPUTED_VALUE"""),2.0)</f>
        <v>2</v>
      </c>
      <c r="S980" s="2"/>
      <c r="T980" s="2"/>
    </row>
    <row r="981">
      <c r="A981" s="1">
        <f>IFERROR(__xludf.DUMMYFUNCTION("""COMPUTED_VALUE"""),979.0)</f>
        <v>979</v>
      </c>
      <c r="B981" s="2" t="str">
        <f>IFERROR(__xludf.DUMMYFUNCTION("""COMPUTED_VALUE"""),"CASILAGAN-BALACONG IRRIGATORS' ASSOCIATION, INC.")</f>
        <v>CASILAGAN-BALACONG IRRIGATORS' ASSOCIATION, INC.</v>
      </c>
      <c r="C981" s="2" t="str">
        <f>IFERROR(__xludf.DUMMYFUNCTION("""COMPUTED_VALUE"""),"Cabeseria 14 and 16 (Casilagan), Ilagan City, ISABELA")</f>
        <v>Cabeseria 14 and 16 (Casilagan), Ilagan City, ISABELA</v>
      </c>
      <c r="D981" s="2" t="str">
        <f>IFERROR(__xludf.DUMMYFUNCTION("""COMPUTED_VALUE"""),"Joel E. Bueno")</f>
        <v>Joel E. Bueno</v>
      </c>
      <c r="E981" s="2" t="str">
        <f>IFERROR(__xludf.DUMMYFUNCTION("""COMPUTED_VALUE"""),"0906-155-3332")</f>
        <v>0906-155-3332</v>
      </c>
      <c r="F981" s="2" t="str">
        <f>IFERROR(__xludf.DUMMYFUNCTION("""COMPUTED_VALUE"""),"Repeat Order")</f>
        <v>Repeat Order</v>
      </c>
      <c r="G981" s="2">
        <f>IFERROR(__xludf.DUMMYFUNCTION("""COMPUTED_VALUE"""),6.0)</f>
        <v>6</v>
      </c>
      <c r="H981" s="2">
        <f>IFERROR(__xludf.DUMMYFUNCTION("""COMPUTED_VALUE"""),23115.0)</f>
        <v>23115</v>
      </c>
      <c r="I981" s="2" t="str">
        <f>IFERROR(__xludf.DUMMYFUNCTION("""COMPUTED_VALUE"""),"KMC5825AKRFPV0924")</f>
        <v>KMC5825AKRFPV0924</v>
      </c>
      <c r="J981" s="2" t="str">
        <f>IFERROR(__xludf.DUMMYFUNCTION("""COMPUTED_VALUE"""),"RTS100750")</f>
        <v>RTS100750</v>
      </c>
      <c r="K981" s="2" t="str">
        <f>IFERROR(__xludf.DUMMYFUNCTION("""COMPUTED_VALUE"""),"LSGW1750-RMP-24090786")</f>
        <v>LSGW1750-RMP-24090786</v>
      </c>
      <c r="L981" s="2" t="str">
        <f>IFERROR(__xludf.DUMMYFUNCTION("""COMPUTED_VALUE"""),"WDP40-RMP-25030413")</f>
        <v>WDP40-RMP-25030413</v>
      </c>
      <c r="M981" s="2" t="str">
        <f>IFERROR(__xludf.DUMMYFUNCTION("""COMPUTED_VALUE"""),"WR-SERIES-1305PH")</f>
        <v>WR-SERIES-1305PH</v>
      </c>
      <c r="N981" s="2"/>
      <c r="O981" s="2" t="str">
        <f>IFERROR(__xludf.DUMMYFUNCTION("""COMPUTED_VALUE"""),"Cabeseria 14 And 16 (Casilagan)")</f>
        <v>Cabeseria 14 And 16 (Casilagan)</v>
      </c>
      <c r="P981" s="2" t="str">
        <f>IFERROR(__xludf.DUMMYFUNCTION("""COMPUTED_VALUE"""),"Ilagan City")</f>
        <v>Ilagan City</v>
      </c>
      <c r="Q981" s="2" t="str">
        <f>IFERROR(__xludf.DUMMYFUNCTION("""COMPUTED_VALUE"""),"Isabela")</f>
        <v>Isabela</v>
      </c>
      <c r="R981" s="2">
        <f>IFERROR(__xludf.DUMMYFUNCTION("""COMPUTED_VALUE"""),2.0)</f>
        <v>2</v>
      </c>
      <c r="S981" s="2"/>
      <c r="T981" s="2"/>
    </row>
    <row r="982">
      <c r="A982" s="1">
        <f>IFERROR(__xludf.DUMMYFUNCTION("""COMPUTED_VALUE"""),980.0)</f>
        <v>980</v>
      </c>
      <c r="B982" s="2" t="str">
        <f>IFERROR(__xludf.DUMMYFUNCTION("""COMPUTED_VALUE"""),"Marcos Ventures masaganang ani Isabela Agriculture Cooperative (MVMAIAC)")</f>
        <v>Marcos Ventures masaganang ani Isabela Agriculture Cooperative (MVMAIAC)</v>
      </c>
      <c r="C982" s="2" t="str">
        <f>IFERROR(__xludf.DUMMYFUNCTION("""COMPUTED_VALUE"""),"Arellano (Pob.), Quezon, ISABELA")</f>
        <v>Arellano (Pob.), Quezon, ISABELA</v>
      </c>
      <c r="D982" s="2" t="str">
        <f>IFERROR(__xludf.DUMMYFUNCTION("""COMPUTED_VALUE"""),"Avelino N. Maribojo")</f>
        <v>Avelino N. Maribojo</v>
      </c>
      <c r="E982" s="2" t="str">
        <f>IFERROR(__xludf.DUMMYFUNCTION("""COMPUTED_VALUE"""),"0992-547-7015")</f>
        <v>0992-547-7015</v>
      </c>
      <c r="F982" s="2" t="str">
        <f>IFERROR(__xludf.DUMMYFUNCTION("""COMPUTED_VALUE"""),"Repeat Order")</f>
        <v>Repeat Order</v>
      </c>
      <c r="G982" s="2">
        <f>IFERROR(__xludf.DUMMYFUNCTION("""COMPUTED_VALUE"""),6.0)</f>
        <v>6</v>
      </c>
      <c r="H982" s="2">
        <f>IFERROR(__xludf.DUMMYFUNCTION("""COMPUTED_VALUE"""),23116.0)</f>
        <v>23116</v>
      </c>
      <c r="I982" s="2" t="str">
        <f>IFERROR(__xludf.DUMMYFUNCTION("""COMPUTED_VALUE"""),"KMC5825AERFPV1095")</f>
        <v>KMC5825AERFPV1095</v>
      </c>
      <c r="J982" s="2" t="str">
        <f>IFERROR(__xludf.DUMMYFUNCTION("""COMPUTED_VALUE"""),"RTS100845")</f>
        <v>RTS100845</v>
      </c>
      <c r="K982" s="2" t="str">
        <f>IFERROR(__xludf.DUMMYFUNCTION("""COMPUTED_VALUE"""),"LSGW1750-RMP-24090777")</f>
        <v>LSGW1750-RMP-24090777</v>
      </c>
      <c r="L982" s="2" t="str">
        <f>IFERROR(__xludf.DUMMYFUNCTION("""COMPUTED_VALUE"""),"WDP40-RMP-25030380")</f>
        <v>WDP40-RMP-25030380</v>
      </c>
      <c r="M982" s="2" t="str">
        <f>IFERROR(__xludf.DUMMYFUNCTION("""COMPUTED_VALUE"""),"WR-SERIES-1307PH")</f>
        <v>WR-SERIES-1307PH</v>
      </c>
      <c r="N982" s="2"/>
      <c r="O982" s="2" t="str">
        <f>IFERROR(__xludf.DUMMYFUNCTION("""COMPUTED_VALUE"""),"Arellano (Pob.)")</f>
        <v>Arellano (Pob.)</v>
      </c>
      <c r="P982" s="2" t="str">
        <f>IFERROR(__xludf.DUMMYFUNCTION("""COMPUTED_VALUE"""),"Quezon")</f>
        <v>Quezon</v>
      </c>
      <c r="Q982" s="2" t="str">
        <f>IFERROR(__xludf.DUMMYFUNCTION("""COMPUTED_VALUE"""),"Isabela")</f>
        <v>Isabela</v>
      </c>
      <c r="R982" s="2">
        <f>IFERROR(__xludf.DUMMYFUNCTION("""COMPUTED_VALUE"""),2.0)</f>
        <v>2</v>
      </c>
      <c r="S982" s="2"/>
      <c r="T982" s="2"/>
    </row>
    <row r="983">
      <c r="A983" s="1">
        <f>IFERROR(__xludf.DUMMYFUNCTION("""COMPUTED_VALUE"""),981.0)</f>
        <v>981</v>
      </c>
      <c r="B983" s="2" t="str">
        <f>IFERROR(__xludf.DUMMYFUNCTION("""COMPUTED_VALUE"""),"Kalayaan Grain Farmers Association")</f>
        <v>Kalayaan Grain Farmers Association</v>
      </c>
      <c r="C983" s="2" t="str">
        <f>IFERROR(__xludf.DUMMYFUNCTION("""COMPUTED_VALUE"""),"Dakila, Malolos City, BULACAN")</f>
        <v>Dakila, Malolos City, BULACAN</v>
      </c>
      <c r="D983" s="2" t="str">
        <f>IFERROR(__xludf.DUMMYFUNCTION("""COMPUTED_VALUE"""),"Apolinarion Surio")</f>
        <v>Apolinarion Surio</v>
      </c>
      <c r="E983" s="2" t="str">
        <f>IFERROR(__xludf.DUMMYFUNCTION("""COMPUTED_VALUE"""),"0916-8498-973")</f>
        <v>0916-8498-973</v>
      </c>
      <c r="F983" s="2" t="str">
        <f>IFERROR(__xludf.DUMMYFUNCTION("""COMPUTED_VALUE"""),"Repeat Order")</f>
        <v>Repeat Order</v>
      </c>
      <c r="G983" s="2">
        <f>IFERROR(__xludf.DUMMYFUNCTION("""COMPUTED_VALUE"""),6.0)</f>
        <v>6</v>
      </c>
      <c r="H983" s="2">
        <f>IFERROR(__xludf.DUMMYFUNCTION("""COMPUTED_VALUE"""),23117.0)</f>
        <v>23117</v>
      </c>
      <c r="I983" s="2" t="str">
        <f>IFERROR(__xludf.DUMMYFUNCTION("""COMPUTED_VALUE"""),"KMC5825AARFPV0802")</f>
        <v>KMC5825AARFPV0802</v>
      </c>
      <c r="J983" s="2" t="str">
        <f>IFERROR(__xludf.DUMMYFUNCTION("""COMPUTED_VALUE"""),"RTS100710")</f>
        <v>RTS100710</v>
      </c>
      <c r="K983" s="2" t="str">
        <f>IFERROR(__xludf.DUMMYFUNCTION("""COMPUTED_VALUE"""),"LSGW1750-RMP-24090774")</f>
        <v>LSGW1750-RMP-24090774</v>
      </c>
      <c r="L983" s="2" t="str">
        <f>IFERROR(__xludf.DUMMYFUNCTION("""COMPUTED_VALUE"""),"WDP40-RMP-25020307")</f>
        <v>WDP40-RMP-25020307</v>
      </c>
      <c r="M983" s="2" t="str">
        <f>IFERROR(__xludf.DUMMYFUNCTION("""COMPUTED_VALUE"""),"WR-SERIES-1289PH")</f>
        <v>WR-SERIES-1289PH</v>
      </c>
      <c r="N983" s="2"/>
      <c r="O983" s="2" t="str">
        <f>IFERROR(__xludf.DUMMYFUNCTION("""COMPUTED_VALUE"""),"Dakila")</f>
        <v>Dakila</v>
      </c>
      <c r="P983" s="2" t="str">
        <f>IFERROR(__xludf.DUMMYFUNCTION("""COMPUTED_VALUE"""),"Malolos City")</f>
        <v>Malolos City</v>
      </c>
      <c r="Q983" s="2" t="str">
        <f>IFERROR(__xludf.DUMMYFUNCTION("""COMPUTED_VALUE"""),"Bulacan")</f>
        <v>Bulacan</v>
      </c>
      <c r="R983" s="2">
        <f>IFERROR(__xludf.DUMMYFUNCTION("""COMPUTED_VALUE"""),3.0)</f>
        <v>3</v>
      </c>
      <c r="S983" s="2"/>
      <c r="T983" s="2"/>
    </row>
    <row r="984">
      <c r="A984" s="1">
        <f>IFERROR(__xludf.DUMMYFUNCTION("""COMPUTED_VALUE"""),982.0)</f>
        <v>982</v>
      </c>
      <c r="B984" s="2" t="str">
        <f>IFERROR(__xludf.DUMMYFUNCTION("""COMPUTED_VALUE"""),"MUNICIPAL LOCAL GOVERNMENT UNIT OF ANGAT")</f>
        <v>MUNICIPAL LOCAL GOVERNMENT UNIT OF ANGAT</v>
      </c>
      <c r="C984" s="2" t="str">
        <f>IFERROR(__xludf.DUMMYFUNCTION("""COMPUTED_VALUE"""),"San Roque (Pob.), Angat, BULACAN")</f>
        <v>San Roque (Pob.), Angat, BULACAN</v>
      </c>
      <c r="D984" s="2" t="str">
        <f>IFERROR(__xludf.DUMMYFUNCTION("""COMPUTED_VALUE"""),"Joseph Del Rosario")</f>
        <v>Joseph Del Rosario</v>
      </c>
      <c r="E984" s="2">
        <f>IFERROR(__xludf.DUMMYFUNCTION("""COMPUTED_VALUE"""),9.179941102E9)</f>
        <v>9179941102</v>
      </c>
      <c r="F984" s="2" t="str">
        <f>IFERROR(__xludf.DUMMYFUNCTION("""COMPUTED_VALUE"""),"Repeat Order")</f>
        <v>Repeat Order</v>
      </c>
      <c r="G984" s="2">
        <f>IFERROR(__xludf.DUMMYFUNCTION("""COMPUTED_VALUE"""),6.0)</f>
        <v>6</v>
      </c>
      <c r="H984" s="2">
        <f>IFERROR(__xludf.DUMMYFUNCTION("""COMPUTED_VALUE"""),23118.0)</f>
        <v>23118</v>
      </c>
      <c r="I984" s="2" t="str">
        <f>IFERROR(__xludf.DUMMYFUNCTION("""COMPUTED_VALUE"""),"KMC5825AKRFPV1071")</f>
        <v>KMC5825AKRFPV1071</v>
      </c>
      <c r="J984" s="2" t="str">
        <f>IFERROR(__xludf.DUMMYFUNCTION("""COMPUTED_VALUE"""),"RTS100948")</f>
        <v>RTS100948</v>
      </c>
      <c r="K984" s="2" t="str">
        <f>IFERROR(__xludf.DUMMYFUNCTION("""COMPUTED_VALUE"""),"LSGW1750-RMP-24090771")</f>
        <v>LSGW1750-RMP-24090771</v>
      </c>
      <c r="L984" s="2" t="str">
        <f>IFERROR(__xludf.DUMMYFUNCTION("""COMPUTED_VALUE"""),"WDP40-RMP-25020290")</f>
        <v>WDP40-RMP-25020290</v>
      </c>
      <c r="M984" s="2" t="str">
        <f>IFERROR(__xludf.DUMMYFUNCTION("""COMPUTED_VALUE"""),"WR-SERIES-1257PH")</f>
        <v>WR-SERIES-1257PH</v>
      </c>
      <c r="N984" s="2"/>
      <c r="O984" s="2" t="str">
        <f>IFERROR(__xludf.DUMMYFUNCTION("""COMPUTED_VALUE"""),"San Roque (Pob.)")</f>
        <v>San Roque (Pob.)</v>
      </c>
      <c r="P984" s="2" t="str">
        <f>IFERROR(__xludf.DUMMYFUNCTION("""COMPUTED_VALUE"""),"Angat")</f>
        <v>Angat</v>
      </c>
      <c r="Q984" s="2" t="str">
        <f>IFERROR(__xludf.DUMMYFUNCTION("""COMPUTED_VALUE"""),"Bulacan")</f>
        <v>Bulacan</v>
      </c>
      <c r="R984" s="2">
        <f>IFERROR(__xludf.DUMMYFUNCTION("""COMPUTED_VALUE"""),3.0)</f>
        <v>3</v>
      </c>
      <c r="S984" s="2"/>
      <c r="T984" s="2"/>
    </row>
    <row r="985">
      <c r="A985" s="1">
        <f>IFERROR(__xludf.DUMMYFUNCTION("""COMPUTED_VALUE"""),983.0)</f>
        <v>983</v>
      </c>
      <c r="B985" s="2" t="str">
        <f>IFERROR(__xludf.DUMMYFUNCTION("""COMPUTED_VALUE"""),"Municipal Local Government Unit of Quezon")</f>
        <v>Municipal Local Government Unit of Quezon</v>
      </c>
      <c r="C985" s="2" t="str">
        <f>IFERROR(__xludf.DUMMYFUNCTION("""COMPUTED_VALUE"""),"Santa Rita, Quezon, NUEVA ECIJA")</f>
        <v>Santa Rita, Quezon, NUEVA ECIJA</v>
      </c>
      <c r="D985" s="2"/>
      <c r="E985" s="2"/>
      <c r="F985" s="2" t="str">
        <f>IFERROR(__xludf.DUMMYFUNCTION("""COMPUTED_VALUE"""),"Repeat Order")</f>
        <v>Repeat Order</v>
      </c>
      <c r="G985" s="2">
        <f>IFERROR(__xludf.DUMMYFUNCTION("""COMPUTED_VALUE"""),6.0)</f>
        <v>6</v>
      </c>
      <c r="H985" s="2">
        <f>IFERROR(__xludf.DUMMYFUNCTION("""COMPUTED_VALUE"""),23119.0)</f>
        <v>23119</v>
      </c>
      <c r="I985" s="2" t="str">
        <f>IFERROR(__xludf.DUMMYFUNCTION("""COMPUTED_VALUE"""),"KMC5825AKRFPV1099")</f>
        <v>KMC5825AKRFPV1099</v>
      </c>
      <c r="J985" s="2" t="str">
        <f>IFERROR(__xludf.DUMMYFUNCTION("""COMPUTED_VALUE"""),"RTS100849")</f>
        <v>RTS100849</v>
      </c>
      <c r="K985" s="2" t="str">
        <f>IFERROR(__xludf.DUMMYFUNCTION("""COMPUTED_VALUE"""),"LSGW170-RMP-24111157")</f>
        <v>LSGW170-RMP-24111157</v>
      </c>
      <c r="L985" s="2" t="str">
        <f>IFERROR(__xludf.DUMMYFUNCTION("""COMPUTED_VALUE"""),"WDP40-RMP-25030351")</f>
        <v>WDP40-RMP-25030351</v>
      </c>
      <c r="M985" s="2" t="str">
        <f>IFERROR(__xludf.DUMMYFUNCTION("""COMPUTED_VALUE"""),"WR-SERIES-1302PH")</f>
        <v>WR-SERIES-1302PH</v>
      </c>
      <c r="N985" s="2"/>
      <c r="O985" s="2" t="str">
        <f>IFERROR(__xludf.DUMMYFUNCTION("""COMPUTED_VALUE"""),"Santa Rita")</f>
        <v>Santa Rita</v>
      </c>
      <c r="P985" s="2" t="str">
        <f>IFERROR(__xludf.DUMMYFUNCTION("""COMPUTED_VALUE"""),"Quezon")</f>
        <v>Quezon</v>
      </c>
      <c r="Q985" s="2" t="str">
        <f>IFERROR(__xludf.DUMMYFUNCTION("""COMPUTED_VALUE"""),"Nueva Ecija")</f>
        <v>Nueva Ecija</v>
      </c>
      <c r="R985" s="2">
        <f>IFERROR(__xludf.DUMMYFUNCTION("""COMPUTED_VALUE"""),3.0)</f>
        <v>3</v>
      </c>
      <c r="S985" s="2"/>
      <c r="T985" s="2"/>
    </row>
    <row r="986">
      <c r="A986" s="1">
        <f>IFERROR(__xludf.DUMMYFUNCTION("""COMPUTED_VALUE"""),984.0)</f>
        <v>984</v>
      </c>
      <c r="B986" s="2" t="str">
        <f>IFERROR(__xludf.DUMMYFUNCTION("""COMPUTED_VALUE"""),"Nueva Ecija Maunlad na Pinas Agriculture Cooperative")</f>
        <v>Nueva Ecija Maunlad na Pinas Agriculture Cooperative</v>
      </c>
      <c r="C986" s="2" t="str">
        <f>IFERROR(__xludf.DUMMYFUNCTION("""COMPUTED_VALUE"""),"Dicarma (Pob.), Cabanatuan City, NUEVA ECIJA")</f>
        <v>Dicarma (Pob.), Cabanatuan City, NUEVA ECIJA</v>
      </c>
      <c r="D986" s="2" t="str">
        <f>IFERROR(__xludf.DUMMYFUNCTION("""COMPUTED_VALUE"""),"Edgar C. Amores")</f>
        <v>Edgar C. Amores</v>
      </c>
      <c r="E986" s="2" t="str">
        <f>IFERROR(__xludf.DUMMYFUNCTION("""COMPUTED_VALUE"""),"0926-771-3374")</f>
        <v>0926-771-3374</v>
      </c>
      <c r="F986" s="2" t="str">
        <f>IFERROR(__xludf.DUMMYFUNCTION("""COMPUTED_VALUE"""),"Repeat Order")</f>
        <v>Repeat Order</v>
      </c>
      <c r="G986" s="2">
        <f>IFERROR(__xludf.DUMMYFUNCTION("""COMPUTED_VALUE"""),6.0)</f>
        <v>6</v>
      </c>
      <c r="H986" s="2">
        <f>IFERROR(__xludf.DUMMYFUNCTION("""COMPUTED_VALUE"""),23120.0)</f>
        <v>23120</v>
      </c>
      <c r="I986" s="2" t="str">
        <f>IFERROR(__xludf.DUMMYFUNCTION("""COMPUTED_VALUE"""),"KMC5825AARFPV1092")</f>
        <v>KMC5825AARFPV1092</v>
      </c>
      <c r="J986" s="2" t="str">
        <f>IFERROR(__xludf.DUMMYFUNCTION("""COMPUTED_VALUE"""),"RTS100857")</f>
        <v>RTS100857</v>
      </c>
      <c r="K986" s="2" t="str">
        <f>IFERROR(__xludf.DUMMYFUNCTION("""COMPUTED_VALUE"""),"LSGW170-RMP-24111138")</f>
        <v>LSGW170-RMP-24111138</v>
      </c>
      <c r="L986" s="2" t="str">
        <f>IFERROR(__xludf.DUMMYFUNCTION("""COMPUTED_VALUE"""),"WDP40-RMP-25030385")</f>
        <v>WDP40-RMP-25030385</v>
      </c>
      <c r="M986" s="2" t="str">
        <f>IFERROR(__xludf.DUMMYFUNCTION("""COMPUTED_VALUE"""),"WR-SERIES-1318PH")</f>
        <v>WR-SERIES-1318PH</v>
      </c>
      <c r="N986" s="2"/>
      <c r="O986" s="2" t="str">
        <f>IFERROR(__xludf.DUMMYFUNCTION("""COMPUTED_VALUE"""),"Dicarma (Pob.)")</f>
        <v>Dicarma (Pob.)</v>
      </c>
      <c r="P986" s="2" t="str">
        <f>IFERROR(__xludf.DUMMYFUNCTION("""COMPUTED_VALUE"""),"Cabanatuan City")</f>
        <v>Cabanatuan City</v>
      </c>
      <c r="Q986" s="2" t="str">
        <f>IFERROR(__xludf.DUMMYFUNCTION("""COMPUTED_VALUE"""),"Nueva Ecija")</f>
        <v>Nueva Ecija</v>
      </c>
      <c r="R986" s="2">
        <f>IFERROR(__xludf.DUMMYFUNCTION("""COMPUTED_VALUE"""),3.0)</f>
        <v>3</v>
      </c>
      <c r="S986" s="2"/>
      <c r="T986" s="2"/>
    </row>
    <row r="987">
      <c r="A987" s="1">
        <f>IFERROR(__xludf.DUMMYFUNCTION("""COMPUTED_VALUE"""),985.0)</f>
        <v>985</v>
      </c>
      <c r="B987" s="2" t="str">
        <f>IFERROR(__xludf.DUMMYFUNCTION("""COMPUTED_VALUE"""),"BUKLURAN NG MAKABAGONG MASASASAKA NG SAN ANTON")</f>
        <v>BUKLURAN NG MAKABAGONG MASASASAKA NG SAN ANTON</v>
      </c>
      <c r="C987" s="2" t="str">
        <f>IFERROR(__xludf.DUMMYFUNCTION("""COMPUTED_VALUE"""),"San Anton, San Leonardo, NUEVA ECIJA")</f>
        <v>San Anton, San Leonardo, NUEVA ECIJA</v>
      </c>
      <c r="D987" s="2" t="str">
        <f>IFERROR(__xludf.DUMMYFUNCTION("""COMPUTED_VALUE"""),"Perlita M. De Leon")</f>
        <v>Perlita M. De Leon</v>
      </c>
      <c r="E987" s="2" t="str">
        <f>IFERROR(__xludf.DUMMYFUNCTION("""COMPUTED_VALUE"""),"0977-247-0304")</f>
        <v>0977-247-0304</v>
      </c>
      <c r="F987" s="2" t="str">
        <f>IFERROR(__xludf.DUMMYFUNCTION("""COMPUTED_VALUE"""),"Repeat Order")</f>
        <v>Repeat Order</v>
      </c>
      <c r="G987" s="2">
        <f>IFERROR(__xludf.DUMMYFUNCTION("""COMPUTED_VALUE"""),6.0)</f>
        <v>6</v>
      </c>
      <c r="H987" s="2">
        <f>IFERROR(__xludf.DUMMYFUNCTION("""COMPUTED_VALUE"""),23121.0)</f>
        <v>23121</v>
      </c>
      <c r="I987" s="2" t="str">
        <f>IFERROR(__xludf.DUMMYFUNCTION("""COMPUTED_VALUE"""),"KMC5825AVRFPV1088")</f>
        <v>KMC5825AVRFPV1088</v>
      </c>
      <c r="J987" s="2" t="str">
        <f>IFERROR(__xludf.DUMMYFUNCTION("""COMPUTED_VALUE"""),"RTS100892")</f>
        <v>RTS100892</v>
      </c>
      <c r="K987" s="2" t="str">
        <f>IFERROR(__xludf.DUMMYFUNCTION("""COMPUTED_VALUE"""),"WECAN-04215A0630624")</f>
        <v>WECAN-04215A0630624</v>
      </c>
      <c r="L987" s="2" t="str">
        <f>IFERROR(__xludf.DUMMYFUNCTION("""COMPUTED_VALUE"""),"WDP40-RMP-25030390")</f>
        <v>WDP40-RMP-25030390</v>
      </c>
      <c r="M987" s="2" t="str">
        <f>IFERROR(__xludf.DUMMYFUNCTION("""COMPUTED_VALUE"""),"WR-SERIES-1284PH")</f>
        <v>WR-SERIES-1284PH</v>
      </c>
      <c r="N987" s="2"/>
      <c r="O987" s="2" t="str">
        <f>IFERROR(__xludf.DUMMYFUNCTION("""COMPUTED_VALUE"""),"San Anton")</f>
        <v>San Anton</v>
      </c>
      <c r="P987" s="2" t="str">
        <f>IFERROR(__xludf.DUMMYFUNCTION("""COMPUTED_VALUE"""),"San Leonardo")</f>
        <v>San Leonardo</v>
      </c>
      <c r="Q987" s="2" t="str">
        <f>IFERROR(__xludf.DUMMYFUNCTION("""COMPUTED_VALUE"""),"Nueva Ecija")</f>
        <v>Nueva Ecija</v>
      </c>
      <c r="R987" s="2">
        <f>IFERROR(__xludf.DUMMYFUNCTION("""COMPUTED_VALUE"""),3.0)</f>
        <v>3</v>
      </c>
      <c r="S987" s="2"/>
      <c r="T987" s="2"/>
    </row>
    <row r="988">
      <c r="A988" s="1">
        <f>IFERROR(__xludf.DUMMYFUNCTION("""COMPUTED_VALUE"""),986.0)</f>
        <v>986</v>
      </c>
      <c r="B988" s="2" t="str">
        <f>IFERROR(__xludf.DUMMYFUNCTION("""COMPUTED_VALUE"""),"Municipal Local Government Unit of Mexico")</f>
        <v>Municipal Local Government Unit of Mexico</v>
      </c>
      <c r="C988" s="2" t="str">
        <f>IFERROR(__xludf.DUMMYFUNCTION("""COMPUTED_VALUE"""),"Parian (Pob.), Mexico, PAMPANGA")</f>
        <v>Parian (Pob.), Mexico, PAMPANGA</v>
      </c>
      <c r="D988" s="2" t="str">
        <f>IFERROR(__xludf.DUMMYFUNCTION("""COMPUTED_VALUE"""),"RODENCIO S. GONZALES")</f>
        <v>RODENCIO S. GONZALES</v>
      </c>
      <c r="E988" s="2" t="str">
        <f>IFERROR(__xludf.DUMMYFUNCTION("""COMPUTED_VALUE"""),"0932-890-2020")</f>
        <v>0932-890-2020</v>
      </c>
      <c r="F988" s="2" t="str">
        <f>IFERROR(__xludf.DUMMYFUNCTION("""COMPUTED_VALUE"""),"Repeat Order")</f>
        <v>Repeat Order</v>
      </c>
      <c r="G988" s="2">
        <f>IFERROR(__xludf.DUMMYFUNCTION("""COMPUTED_VALUE"""),6.0)</f>
        <v>6</v>
      </c>
      <c r="H988" s="2">
        <f>IFERROR(__xludf.DUMMYFUNCTION("""COMPUTED_VALUE"""),23122.0)</f>
        <v>23122</v>
      </c>
      <c r="I988" s="2" t="str">
        <f>IFERROR(__xludf.DUMMYFUNCTION("""COMPUTED_VALUE"""),"KMC5825AERFPV1081")</f>
        <v>KMC5825AERFPV1081</v>
      </c>
      <c r="J988" s="2" t="str">
        <f>IFERROR(__xludf.DUMMYFUNCTION("""COMPUTED_VALUE"""),"RTS100930")</f>
        <v>RTS100930</v>
      </c>
      <c r="K988" s="2" t="str">
        <f>IFERROR(__xludf.DUMMYFUNCTION("""COMPUTED_VALUE"""),"LSGW170-RMP-24111128")</f>
        <v>LSGW170-RMP-24111128</v>
      </c>
      <c r="L988" s="2" t="str">
        <f>IFERROR(__xludf.DUMMYFUNCTION("""COMPUTED_VALUE"""),"WDP40-RMP-25020344")</f>
        <v>WDP40-RMP-25020344</v>
      </c>
      <c r="M988" s="2" t="str">
        <f>IFERROR(__xludf.DUMMYFUNCTION("""COMPUTED_VALUE"""),"WR-SERIES-1319PH")</f>
        <v>WR-SERIES-1319PH</v>
      </c>
      <c r="N988" s="2"/>
      <c r="O988" s="2" t="str">
        <f>IFERROR(__xludf.DUMMYFUNCTION("""COMPUTED_VALUE"""),"Parian (Pob.)")</f>
        <v>Parian (Pob.)</v>
      </c>
      <c r="P988" s="2" t="str">
        <f>IFERROR(__xludf.DUMMYFUNCTION("""COMPUTED_VALUE"""),"Mexico")</f>
        <v>Mexico</v>
      </c>
      <c r="Q988" s="2" t="str">
        <f>IFERROR(__xludf.DUMMYFUNCTION("""COMPUTED_VALUE"""),"Pampanga")</f>
        <v>Pampanga</v>
      </c>
      <c r="R988" s="2">
        <f>IFERROR(__xludf.DUMMYFUNCTION("""COMPUTED_VALUE"""),3.0)</f>
        <v>3</v>
      </c>
      <c r="S988" s="2"/>
      <c r="T988" s="2"/>
    </row>
    <row r="989">
      <c r="A989" s="1">
        <f>IFERROR(__xludf.DUMMYFUNCTION("""COMPUTED_VALUE"""),987.0)</f>
        <v>987</v>
      </c>
      <c r="B989" s="2" t="str">
        <f>IFERROR(__xludf.DUMMYFUNCTION("""COMPUTED_VALUE"""),"CAWAG FARMERS ASSOCIATION")</f>
        <v>CAWAG FARMERS ASSOCIATION</v>
      </c>
      <c r="C989" s="2" t="str">
        <f>IFERROR(__xludf.DUMMYFUNCTION("""COMPUTED_VALUE"""),"Cawag, Subic, ZAMBALES")</f>
        <v>Cawag, Subic, ZAMBALES</v>
      </c>
      <c r="D989" s="2" t="str">
        <f>IFERROR(__xludf.DUMMYFUNCTION("""COMPUTED_VALUE"""),"Virgilio G. Sabado")</f>
        <v>Virgilio G. Sabado</v>
      </c>
      <c r="E989" s="2" t="str">
        <f>IFERROR(__xludf.DUMMYFUNCTION("""COMPUTED_VALUE"""),"0929-732-2715")</f>
        <v>0929-732-2715</v>
      </c>
      <c r="F989" s="2" t="str">
        <f>IFERROR(__xludf.DUMMYFUNCTION("""COMPUTED_VALUE"""),"Repeat Order")</f>
        <v>Repeat Order</v>
      </c>
      <c r="G989" s="2">
        <f>IFERROR(__xludf.DUMMYFUNCTION("""COMPUTED_VALUE"""),6.0)</f>
        <v>6</v>
      </c>
      <c r="H989" s="2">
        <f>IFERROR(__xludf.DUMMYFUNCTION("""COMPUTED_VALUE"""),23123.0)</f>
        <v>23123</v>
      </c>
      <c r="I989" s="2" t="str">
        <f>IFERROR(__xludf.DUMMYFUNCTION("""COMPUTED_VALUE"""),"KMC5825AARFPV0816")</f>
        <v>KMC5825AARFPV0816</v>
      </c>
      <c r="J989" s="2" t="str">
        <f>IFERROR(__xludf.DUMMYFUNCTION("""COMPUTED_VALUE"""),"RTS100714")</f>
        <v>RTS100714</v>
      </c>
      <c r="K989" s="2" t="str">
        <f>IFERROR(__xludf.DUMMYFUNCTION("""COMPUTED_VALUE"""),"LSGW170-RMP-24111127")</f>
        <v>LSGW170-RMP-24111127</v>
      </c>
      <c r="L989" s="2" t="str">
        <f>IFERROR(__xludf.DUMMYFUNCTION("""COMPUTED_VALUE"""),"WDP40-RMP-25020310")</f>
        <v>WDP40-RMP-25020310</v>
      </c>
      <c r="M989" s="2" t="str">
        <f>IFERROR(__xludf.DUMMYFUNCTION("""COMPUTED_VALUE"""),"WR-SERIES-1271PH")</f>
        <v>WR-SERIES-1271PH</v>
      </c>
      <c r="N989" s="2"/>
      <c r="O989" s="2" t="str">
        <f>IFERROR(__xludf.DUMMYFUNCTION("""COMPUTED_VALUE"""),"Cawag")</f>
        <v>Cawag</v>
      </c>
      <c r="P989" s="2" t="str">
        <f>IFERROR(__xludf.DUMMYFUNCTION("""COMPUTED_VALUE"""),"Subic")</f>
        <v>Subic</v>
      </c>
      <c r="Q989" s="2" t="str">
        <f>IFERROR(__xludf.DUMMYFUNCTION("""COMPUTED_VALUE"""),"Zambales")</f>
        <v>Zambales</v>
      </c>
      <c r="R989" s="2">
        <f>IFERROR(__xludf.DUMMYFUNCTION("""COMPUTED_VALUE"""),3.0)</f>
        <v>3</v>
      </c>
      <c r="S989" s="2"/>
      <c r="T989" s="2"/>
    </row>
    <row r="990">
      <c r="A990" s="1">
        <f>IFERROR(__xludf.DUMMYFUNCTION("""COMPUTED_VALUE"""),988.0)</f>
        <v>988</v>
      </c>
      <c r="B990" s="2" t="str">
        <f>IFERROR(__xludf.DUMMYFUNCTION("""COMPUTED_VALUE"""),"Samahan ng Magsasaka ng Calios(SAMACA)")</f>
        <v>Samahan ng Magsasaka ng Calios(SAMACA)</v>
      </c>
      <c r="C990" s="2" t="str">
        <f>IFERROR(__xludf.DUMMYFUNCTION("""COMPUTED_VALUE"""),"Calios, Santa Cruz, LAGUNA")</f>
        <v>Calios, Santa Cruz, LAGUNA</v>
      </c>
      <c r="D990" s="2" t="str">
        <f>IFERROR(__xludf.DUMMYFUNCTION("""COMPUTED_VALUE"""),"Neriza D. Garcia")</f>
        <v>Neriza D. Garcia</v>
      </c>
      <c r="E990" s="2">
        <f>IFERROR(__xludf.DUMMYFUNCTION("""COMPUTED_VALUE"""),9.985973024E9)</f>
        <v>9985973024</v>
      </c>
      <c r="F990" s="2" t="str">
        <f>IFERROR(__xludf.DUMMYFUNCTION("""COMPUTED_VALUE"""),"Repeat Order")</f>
        <v>Repeat Order</v>
      </c>
      <c r="G990" s="2">
        <f>IFERROR(__xludf.DUMMYFUNCTION("""COMPUTED_VALUE"""),7.0)</f>
        <v>7</v>
      </c>
      <c r="H990" s="2">
        <f>IFERROR(__xludf.DUMMYFUNCTION("""COMPUTED_VALUE"""),23124.0)</f>
        <v>23124</v>
      </c>
      <c r="I990" s="2" t="str">
        <f>IFERROR(__xludf.DUMMYFUNCTION("""COMPUTED_VALUE"""),"KMC5825AHRFPV1046")</f>
        <v>KMC5825AHRFPV1046</v>
      </c>
      <c r="J990" s="2" t="str">
        <f>IFERROR(__xludf.DUMMYFUNCTION("""COMPUTED_VALUE"""),"RTS100946")</f>
        <v>RTS100946</v>
      </c>
      <c r="K990" s="2" t="str">
        <f>IFERROR(__xludf.DUMMYFUNCTION("""COMPUTED_VALUE"""),"WECAN-04015A0630624")</f>
        <v>WECAN-04015A0630624</v>
      </c>
      <c r="L990" s="2" t="str">
        <f>IFERROR(__xludf.DUMMYFUNCTION("""COMPUTED_VALUE"""),"WDP40-RMP-25020345")</f>
        <v>WDP40-RMP-25020345</v>
      </c>
      <c r="M990" s="2" t="str">
        <f>IFERROR(__xludf.DUMMYFUNCTION("""COMPUTED_VALUE"""),"WR-SERIES-1290PH")</f>
        <v>WR-SERIES-1290PH</v>
      </c>
      <c r="N990" s="2"/>
      <c r="O990" s="2" t="str">
        <f>IFERROR(__xludf.DUMMYFUNCTION("""COMPUTED_VALUE"""),"Calios")</f>
        <v>Calios</v>
      </c>
      <c r="P990" s="2" t="str">
        <f>IFERROR(__xludf.DUMMYFUNCTION("""COMPUTED_VALUE"""),"Santa Cruz")</f>
        <v>Santa Cruz</v>
      </c>
      <c r="Q990" s="2" t="str">
        <f>IFERROR(__xludf.DUMMYFUNCTION("""COMPUTED_VALUE"""),"Laguna")</f>
        <v>Laguna</v>
      </c>
      <c r="R990" s="2" t="str">
        <f>IFERROR(__xludf.DUMMYFUNCTION("""COMPUTED_VALUE"""),"4A")</f>
        <v>4A</v>
      </c>
      <c r="S990" s="2"/>
      <c r="T990" s="2"/>
    </row>
    <row r="991">
      <c r="A991" s="1">
        <f>IFERROR(__xludf.DUMMYFUNCTION("""COMPUTED_VALUE"""),989.0)</f>
        <v>989</v>
      </c>
      <c r="B991" s="2" t="str">
        <f>IFERROR(__xludf.DUMMYFUNCTION("""COMPUTED_VALUE"""),"UGNAYAN NG MAGSASAKA FARMERS ASSOCIATION")</f>
        <v>UGNAYAN NG MAGSASAKA FARMERS ASSOCIATION</v>
      </c>
      <c r="C991" s="2" t="str">
        <f>IFERROR(__xludf.DUMMYFUNCTION("""COMPUTED_VALUE"""),"Lusacan, Tiaong, QUEZON")</f>
        <v>Lusacan, Tiaong, QUEZON</v>
      </c>
      <c r="D991" s="2" t="str">
        <f>IFERROR(__xludf.DUMMYFUNCTION("""COMPUTED_VALUE"""),"Benito E. Mitra")</f>
        <v>Benito E. Mitra</v>
      </c>
      <c r="E991" s="2" t="str">
        <f>IFERROR(__xludf.DUMMYFUNCTION("""COMPUTED_VALUE"""),"0921 468 0930")</f>
        <v>0921 468 0930</v>
      </c>
      <c r="F991" s="2" t="str">
        <f>IFERROR(__xludf.DUMMYFUNCTION("""COMPUTED_VALUE"""),"Repeat Order")</f>
        <v>Repeat Order</v>
      </c>
      <c r="G991" s="2">
        <f>IFERROR(__xludf.DUMMYFUNCTION("""COMPUTED_VALUE"""),7.0)</f>
        <v>7</v>
      </c>
      <c r="H991" s="2">
        <f>IFERROR(__xludf.DUMMYFUNCTION("""COMPUTED_VALUE"""),23125.0)</f>
        <v>23125</v>
      </c>
      <c r="I991" s="2" t="str">
        <f>IFERROR(__xludf.DUMMYFUNCTION("""COMPUTED_VALUE"""),"KMC5825ATRFPV1049")</f>
        <v>KMC5825ATRFPV1049</v>
      </c>
      <c r="J991" s="2" t="str">
        <f>IFERROR(__xludf.DUMMYFUNCTION("""COMPUTED_VALUE"""),"RTS100944")</f>
        <v>RTS100944</v>
      </c>
      <c r="K991" s="2" t="str">
        <f>IFERROR(__xludf.DUMMYFUNCTION("""COMPUTED_VALUE"""),"LSGW1750-RMP-24111148")</f>
        <v>LSGW1750-RMP-24111148</v>
      </c>
      <c r="L991" s="2" t="str">
        <f>IFERROR(__xludf.DUMMYFUNCTION("""COMPUTED_VALUE"""),"WDP40-RMP-25020339")</f>
        <v>WDP40-RMP-25020339</v>
      </c>
      <c r="M991" s="2" t="str">
        <f>IFERROR(__xludf.DUMMYFUNCTION("""COMPUTED_VALUE"""),"WR-SERIES-1276PH")</f>
        <v>WR-SERIES-1276PH</v>
      </c>
      <c r="N991" s="2"/>
      <c r="O991" s="2" t="str">
        <f>IFERROR(__xludf.DUMMYFUNCTION("""COMPUTED_VALUE"""),"Lusacan")</f>
        <v>Lusacan</v>
      </c>
      <c r="P991" s="2" t="str">
        <f>IFERROR(__xludf.DUMMYFUNCTION("""COMPUTED_VALUE"""),"Tiaong")</f>
        <v>Tiaong</v>
      </c>
      <c r="Q991" s="2" t="str">
        <f>IFERROR(__xludf.DUMMYFUNCTION("""COMPUTED_VALUE"""),"Quezon")</f>
        <v>Quezon</v>
      </c>
      <c r="R991" s="2" t="str">
        <f>IFERROR(__xludf.DUMMYFUNCTION("""COMPUTED_VALUE"""),"4A")</f>
        <v>4A</v>
      </c>
      <c r="S991" s="2"/>
      <c r="T991" s="2"/>
    </row>
    <row r="992">
      <c r="A992" s="1">
        <f>IFERROR(__xludf.DUMMYFUNCTION("""COMPUTED_VALUE"""),990.0)</f>
        <v>990</v>
      </c>
      <c r="B992" s="2" t="str">
        <f>IFERROR(__xludf.DUMMYFUNCTION("""COMPUTED_VALUE"""),"Provincial Local Government Unit of Occidental Mindoro")</f>
        <v>Provincial Local Government Unit of Occidental Mindoro</v>
      </c>
      <c r="C992" s="2" t="str">
        <f>IFERROR(__xludf.DUMMYFUNCTION("""COMPUTED_VALUE"""),"Poblacion 1 (Barangay 1), Mamburao, OCCIDENTAL MINDORO")</f>
        <v>Poblacion 1 (Barangay 1), Mamburao, OCCIDENTAL MINDORO</v>
      </c>
      <c r="D992" s="2" t="str">
        <f>IFERROR(__xludf.DUMMYFUNCTION("""COMPUTED_VALUE"""),"HON. EDUARDO B. GADIANO")</f>
        <v>HON. EDUARDO B. GADIANO</v>
      </c>
      <c r="E992" s="2" t="str">
        <f>IFERROR(__xludf.DUMMYFUNCTION("""COMPUTED_VALUE"""),"0915 452 0188 (PA)")</f>
        <v>0915 452 0188 (PA)</v>
      </c>
      <c r="F992" s="2" t="str">
        <f>IFERROR(__xludf.DUMMYFUNCTION("""COMPUTED_VALUE"""),"Repeat Order")</f>
        <v>Repeat Order</v>
      </c>
      <c r="G992" s="2">
        <f>IFERROR(__xludf.DUMMYFUNCTION("""COMPUTED_VALUE"""),7.0)</f>
        <v>7</v>
      </c>
      <c r="H992" s="2">
        <f>IFERROR(__xludf.DUMMYFUNCTION("""COMPUTED_VALUE"""),23126.0)</f>
        <v>23126</v>
      </c>
      <c r="I992" s="2" t="str">
        <f>IFERROR(__xludf.DUMMYFUNCTION("""COMPUTED_VALUE"""),"KMC5825ATRFPV1083")</f>
        <v>KMC5825ATRFPV1083</v>
      </c>
      <c r="J992" s="2" t="str">
        <f>IFERROR(__xludf.DUMMYFUNCTION("""COMPUTED_VALUE"""),"RTS100918")</f>
        <v>RTS100918</v>
      </c>
      <c r="K992" s="2" t="str">
        <f>IFERROR(__xludf.DUMMYFUNCTION("""COMPUTED_VALUE"""),"LSGW1750-RMP-24111164")</f>
        <v>LSGW1750-RMP-24111164</v>
      </c>
      <c r="L992" s="2" t="str">
        <f>IFERROR(__xludf.DUMMYFUNCTION("""COMPUTED_VALUE"""),"WDP40-RMP-25020277")</f>
        <v>WDP40-RMP-25020277</v>
      </c>
      <c r="M992" s="2" t="str">
        <f>IFERROR(__xludf.DUMMYFUNCTION("""COMPUTED_VALUE"""),"WR-SERIES-1301PH")</f>
        <v>WR-SERIES-1301PH</v>
      </c>
      <c r="N992" s="2"/>
      <c r="O992" s="2" t="str">
        <f>IFERROR(__xludf.DUMMYFUNCTION("""COMPUTED_VALUE"""),"Poblacion 1 (Barangay 1)")</f>
        <v>Poblacion 1 (Barangay 1)</v>
      </c>
      <c r="P992" s="2" t="str">
        <f>IFERROR(__xludf.DUMMYFUNCTION("""COMPUTED_VALUE"""),"Mamburao")</f>
        <v>Mamburao</v>
      </c>
      <c r="Q992" s="2" t="str">
        <f>IFERROR(__xludf.DUMMYFUNCTION("""COMPUTED_VALUE"""),"Occidental Mindoro")</f>
        <v>Occidental Mindoro</v>
      </c>
      <c r="R992" s="2" t="str">
        <f>IFERROR(__xludf.DUMMYFUNCTION("""COMPUTED_VALUE"""),"4B")</f>
        <v>4B</v>
      </c>
      <c r="S992" s="2"/>
      <c r="T992" s="2"/>
    </row>
    <row r="993">
      <c r="A993" s="1">
        <f>IFERROR(__xludf.DUMMYFUNCTION("""COMPUTED_VALUE"""),991.0)</f>
        <v>991</v>
      </c>
      <c r="B993" s="2" t="str">
        <f>IFERROR(__xludf.DUMMYFUNCTION("""COMPUTED_VALUE"""),"Sablayan Farmers and Market Vendors Multi-Purpose Cooperative")</f>
        <v>Sablayan Farmers and Market Vendors Multi-Purpose Cooperative</v>
      </c>
      <c r="C993" s="2" t="str">
        <f>IFERROR(__xludf.DUMMYFUNCTION("""COMPUTED_VALUE"""),"Buenavista, Sablayan, OCCIDENTAL MINDORO")</f>
        <v>Buenavista, Sablayan, OCCIDENTAL MINDORO</v>
      </c>
      <c r="D993" s="2" t="str">
        <f>IFERROR(__xludf.DUMMYFUNCTION("""COMPUTED_VALUE"""),"Ley G. Balsamo")</f>
        <v>Ley G. Balsamo</v>
      </c>
      <c r="E993" s="2" t="str">
        <f>IFERROR(__xludf.DUMMYFUNCTION("""COMPUTED_VALUE"""),"0955 378 9283")</f>
        <v>0955 378 9283</v>
      </c>
      <c r="F993" s="2" t="str">
        <f>IFERROR(__xludf.DUMMYFUNCTION("""COMPUTED_VALUE"""),"Repeat Order")</f>
        <v>Repeat Order</v>
      </c>
      <c r="G993" s="2">
        <f>IFERROR(__xludf.DUMMYFUNCTION("""COMPUTED_VALUE"""),7.0)</f>
        <v>7</v>
      </c>
      <c r="H993" s="2">
        <f>IFERROR(__xludf.DUMMYFUNCTION("""COMPUTED_VALUE"""),23127.0)</f>
        <v>23127</v>
      </c>
      <c r="I993" s="2" t="str">
        <f>IFERROR(__xludf.DUMMYFUNCTION("""COMPUTED_VALUE"""),"KMC5825ACRFPV1096")</f>
        <v>KMC5825ACRFPV1096</v>
      </c>
      <c r="J993" s="2" t="str">
        <f>IFERROR(__xludf.DUMMYFUNCTION("""COMPUTED_VALUE"""),"RTS100846")</f>
        <v>RTS100846</v>
      </c>
      <c r="K993" s="2" t="str">
        <f>IFERROR(__xludf.DUMMYFUNCTION("""COMPUTED_VALUE"""),"LSGW1750-RMP-24111132")</f>
        <v>LSGW1750-RMP-24111132</v>
      </c>
      <c r="L993" s="2" t="str">
        <f>IFERROR(__xludf.DUMMYFUNCTION("""COMPUTED_VALUE"""),"WDP40-RMP-25020309")</f>
        <v>WDP40-RMP-25020309</v>
      </c>
      <c r="M993" s="2" t="str">
        <f>IFERROR(__xludf.DUMMYFUNCTION("""COMPUTED_VALUE"""),"WR-SERIES-1306PH")</f>
        <v>WR-SERIES-1306PH</v>
      </c>
      <c r="N993" s="2"/>
      <c r="O993" s="2" t="str">
        <f>IFERROR(__xludf.DUMMYFUNCTION("""COMPUTED_VALUE"""),"Buenavista")</f>
        <v>Buenavista</v>
      </c>
      <c r="P993" s="2" t="str">
        <f>IFERROR(__xludf.DUMMYFUNCTION("""COMPUTED_VALUE"""),"Sablayan")</f>
        <v>Sablayan</v>
      </c>
      <c r="Q993" s="2" t="str">
        <f>IFERROR(__xludf.DUMMYFUNCTION("""COMPUTED_VALUE"""),"Occidental Mindoro")</f>
        <v>Occidental Mindoro</v>
      </c>
      <c r="R993" s="2" t="str">
        <f>IFERROR(__xludf.DUMMYFUNCTION("""COMPUTED_VALUE"""),"4B")</f>
        <v>4B</v>
      </c>
      <c r="S993" s="2"/>
      <c r="T993" s="2"/>
    </row>
    <row r="994">
      <c r="A994" s="1">
        <f>IFERROR(__xludf.DUMMYFUNCTION("""COMPUTED_VALUE"""),992.0)</f>
        <v>992</v>
      </c>
      <c r="B994" s="2" t="str">
        <f>IFERROR(__xludf.DUMMYFUNCTION("""COMPUTED_VALUE"""),"Municipal Local Government Unit of Mansalay")</f>
        <v>Municipal Local Government Unit of Mansalay</v>
      </c>
      <c r="C994" s="2" t="str">
        <f>IFERROR(__xludf.DUMMYFUNCTION("""COMPUTED_VALUE"""),"Poblacion, Mansalay, ORIENTAL MINDORO")</f>
        <v>Poblacion, Mansalay, ORIENTAL MINDORO</v>
      </c>
      <c r="D994" s="2" t="str">
        <f>IFERROR(__xludf.DUMMYFUNCTION("""COMPUTED_VALUE"""),"Hon. Ferdinand M. Maliwanag")</f>
        <v>Hon. Ferdinand M. Maliwanag</v>
      </c>
      <c r="E994" s="2" t="str">
        <f>IFERROR(__xludf.DUMMYFUNCTION("""COMPUTED_VALUE"""),"0919 004 6814")</f>
        <v>0919 004 6814</v>
      </c>
      <c r="F994" s="2" t="str">
        <f>IFERROR(__xludf.DUMMYFUNCTION("""COMPUTED_VALUE"""),"Repeat Order")</f>
        <v>Repeat Order</v>
      </c>
      <c r="G994" s="2">
        <f>IFERROR(__xludf.DUMMYFUNCTION("""COMPUTED_VALUE"""),7.0)</f>
        <v>7</v>
      </c>
      <c r="H994" s="2">
        <f>IFERROR(__xludf.DUMMYFUNCTION("""COMPUTED_VALUE"""),23128.0)</f>
        <v>23128</v>
      </c>
      <c r="I994" s="2" t="str">
        <f>IFERROR(__xludf.DUMMYFUNCTION("""COMPUTED_VALUE"""),"KMC5825ACRFPV1073")</f>
        <v>KMC5825ACRFPV1073</v>
      </c>
      <c r="J994" s="2" t="str">
        <f>IFERROR(__xludf.DUMMYFUNCTION("""COMPUTED_VALUE"""),"RTS100966")</f>
        <v>RTS100966</v>
      </c>
      <c r="K994" s="2" t="str">
        <f>IFERROR(__xludf.DUMMYFUNCTION("""COMPUTED_VALUE"""),"LSGW1750-RMP-24111163")</f>
        <v>LSGW1750-RMP-24111163</v>
      </c>
      <c r="L994" s="2" t="str">
        <f>IFERROR(__xludf.DUMMYFUNCTION("""COMPUTED_VALUE"""),"WDP40-RMP-25020340")</f>
        <v>WDP40-RMP-25020340</v>
      </c>
      <c r="M994" s="2" t="str">
        <f>IFERROR(__xludf.DUMMYFUNCTION("""COMPUTED_VALUE"""),"WR-SERIES-1273PH")</f>
        <v>WR-SERIES-1273PH</v>
      </c>
      <c r="N994" s="2"/>
      <c r="O994" s="2" t="str">
        <f>IFERROR(__xludf.DUMMYFUNCTION("""COMPUTED_VALUE"""),"Poblacion")</f>
        <v>Poblacion</v>
      </c>
      <c r="P994" s="2" t="str">
        <f>IFERROR(__xludf.DUMMYFUNCTION("""COMPUTED_VALUE"""),"Mansalay")</f>
        <v>Mansalay</v>
      </c>
      <c r="Q994" s="2" t="str">
        <f>IFERROR(__xludf.DUMMYFUNCTION("""COMPUTED_VALUE"""),"Oriental Mindoro")</f>
        <v>Oriental Mindoro</v>
      </c>
      <c r="R994" s="2" t="str">
        <f>IFERROR(__xludf.DUMMYFUNCTION("""COMPUTED_VALUE"""),"4B")</f>
        <v>4B</v>
      </c>
      <c r="S994" s="2"/>
      <c r="T994" s="2"/>
    </row>
    <row r="995">
      <c r="A995" s="1">
        <f>IFERROR(__xludf.DUMMYFUNCTION("""COMPUTED_VALUE"""),993.0)</f>
        <v>993</v>
      </c>
      <c r="B995" s="2" t="str">
        <f>IFERROR(__xludf.DUMMYFUNCTION("""COMPUTED_VALUE"""),"Provincial Local Government Unit of Palawan")</f>
        <v>Provincial Local Government Unit of Palawan</v>
      </c>
      <c r="C995" s="2" t="str">
        <f>IFERROR(__xludf.DUMMYFUNCTION("""COMPUTED_VALUE"""),"San Miguel, Puerto Princesa City, PALAWAN")</f>
        <v>San Miguel, Puerto Princesa City, PALAWAN</v>
      </c>
      <c r="D995" s="2" t="str">
        <f>IFERROR(__xludf.DUMMYFUNCTION("""COMPUTED_VALUE"""),"Hon. Victorino Dennis M. Socrates")</f>
        <v>Hon. Victorino Dennis M. Socrates</v>
      </c>
      <c r="E995" s="2" t="str">
        <f>IFERROR(__xludf.DUMMYFUNCTION("""COMPUTED_VALUE"""),"09175327069 /BM Aris")</f>
        <v>09175327069 /BM Aris</v>
      </c>
      <c r="F995" s="2" t="str">
        <f>IFERROR(__xludf.DUMMYFUNCTION("""COMPUTED_VALUE"""),"Repeat Order")</f>
        <v>Repeat Order</v>
      </c>
      <c r="G995" s="2">
        <f>IFERROR(__xludf.DUMMYFUNCTION("""COMPUTED_VALUE"""),7.0)</f>
        <v>7</v>
      </c>
      <c r="H995" s="2">
        <f>IFERROR(__xludf.DUMMYFUNCTION("""COMPUTED_VALUE"""),23129.0)</f>
        <v>23129</v>
      </c>
      <c r="I995" s="2" t="str">
        <f>IFERROR(__xludf.DUMMYFUNCTION("""COMPUTED_VALUE"""),"KMC5825")</f>
        <v>KMC5825</v>
      </c>
      <c r="J995" s="2" t="str">
        <f>IFERROR(__xludf.DUMMYFUNCTION("""COMPUTED_VALUE"""),"RTS100")</f>
        <v>RTS100</v>
      </c>
      <c r="K995" s="2" t="str">
        <f>IFERROR(__xludf.DUMMYFUNCTION("""COMPUTED_VALUE"""),"LSGW1750-RMP-2411")</f>
        <v>LSGW1750-RMP-2411</v>
      </c>
      <c r="L995" s="2" t="str">
        <f>IFERROR(__xludf.DUMMYFUNCTION("""COMPUTED_VALUE"""),"WDP40-RMP-250")</f>
        <v>WDP40-RMP-250</v>
      </c>
      <c r="M995" s="2" t="str">
        <f>IFERROR(__xludf.DUMMYFUNCTION("""COMPUTED_VALUE"""),"WR-SERIES-")</f>
        <v>WR-SERIES-</v>
      </c>
      <c r="N995" s="2"/>
      <c r="O995" s="2" t="str">
        <f>IFERROR(__xludf.DUMMYFUNCTION("""COMPUTED_VALUE"""),"San Miguel")</f>
        <v>San Miguel</v>
      </c>
      <c r="P995" s="2" t="str">
        <f>IFERROR(__xludf.DUMMYFUNCTION("""COMPUTED_VALUE"""),"Puerto Princesa City")</f>
        <v>Puerto Princesa City</v>
      </c>
      <c r="Q995" s="2" t="str">
        <f>IFERROR(__xludf.DUMMYFUNCTION("""COMPUTED_VALUE"""),"Palawan")</f>
        <v>Palawan</v>
      </c>
      <c r="R995" s="2" t="str">
        <f>IFERROR(__xludf.DUMMYFUNCTION("""COMPUTED_VALUE"""),"4B")</f>
        <v>4B</v>
      </c>
      <c r="S995" s="2"/>
      <c r="T995" s="2"/>
    </row>
    <row r="996">
      <c r="A996" s="1">
        <f>IFERROR(__xludf.DUMMYFUNCTION("""COMPUTED_VALUE"""),994.0)</f>
        <v>994</v>
      </c>
      <c r="B996" s="2" t="str">
        <f>IFERROR(__xludf.DUMMYFUNCTION("""COMPUTED_VALUE"""),"Provincial Local Government Unit of Palawan")</f>
        <v>Provincial Local Government Unit of Palawan</v>
      </c>
      <c r="C996" s="2" t="str">
        <f>IFERROR(__xludf.DUMMYFUNCTION("""COMPUTED_VALUE"""),"San Miguel, Puerto Princesa City, PALAWAN")</f>
        <v>San Miguel, Puerto Princesa City, PALAWAN</v>
      </c>
      <c r="D996" s="2" t="str">
        <f>IFERROR(__xludf.DUMMYFUNCTION("""COMPUTED_VALUE"""),"Hon. Victorino Dennis M. Socrates")</f>
        <v>Hon. Victorino Dennis M. Socrates</v>
      </c>
      <c r="E996" s="2" t="str">
        <f>IFERROR(__xludf.DUMMYFUNCTION("""COMPUTED_VALUE"""),"09175327069 /BM Aris")</f>
        <v>09175327069 /BM Aris</v>
      </c>
      <c r="F996" s="2" t="str">
        <f>IFERROR(__xludf.DUMMYFUNCTION("""COMPUTED_VALUE"""),"Repeat Order")</f>
        <v>Repeat Order</v>
      </c>
      <c r="G996" s="2">
        <f>IFERROR(__xludf.DUMMYFUNCTION("""COMPUTED_VALUE"""),7.0)</f>
        <v>7</v>
      </c>
      <c r="H996" s="2">
        <f>IFERROR(__xludf.DUMMYFUNCTION("""COMPUTED_VALUE"""),23130.0)</f>
        <v>23130</v>
      </c>
      <c r="I996" s="2" t="str">
        <f>IFERROR(__xludf.DUMMYFUNCTION("""COMPUTED_VALUE"""),"KMC5825")</f>
        <v>KMC5825</v>
      </c>
      <c r="J996" s="2" t="str">
        <f>IFERROR(__xludf.DUMMYFUNCTION("""COMPUTED_VALUE"""),"RTS100")</f>
        <v>RTS100</v>
      </c>
      <c r="K996" s="2" t="str">
        <f>IFERROR(__xludf.DUMMYFUNCTION("""COMPUTED_VALUE"""),"LSGW1750-RMP-2411")</f>
        <v>LSGW1750-RMP-2411</v>
      </c>
      <c r="L996" s="2" t="str">
        <f>IFERROR(__xludf.DUMMYFUNCTION("""COMPUTED_VALUE"""),"WDP40-RMP-250")</f>
        <v>WDP40-RMP-250</v>
      </c>
      <c r="M996" s="2" t="str">
        <f>IFERROR(__xludf.DUMMYFUNCTION("""COMPUTED_VALUE"""),"WR-SERIES-")</f>
        <v>WR-SERIES-</v>
      </c>
      <c r="N996" s="2"/>
      <c r="O996" s="2" t="str">
        <f>IFERROR(__xludf.DUMMYFUNCTION("""COMPUTED_VALUE"""),"San Miguel")</f>
        <v>San Miguel</v>
      </c>
      <c r="P996" s="2" t="str">
        <f>IFERROR(__xludf.DUMMYFUNCTION("""COMPUTED_VALUE"""),"Puerto Princesa City")</f>
        <v>Puerto Princesa City</v>
      </c>
      <c r="Q996" s="2" t="str">
        <f>IFERROR(__xludf.DUMMYFUNCTION("""COMPUTED_VALUE"""),"Palawan")</f>
        <v>Palawan</v>
      </c>
      <c r="R996" s="2" t="str">
        <f>IFERROR(__xludf.DUMMYFUNCTION("""COMPUTED_VALUE"""),"4B")</f>
        <v>4B</v>
      </c>
      <c r="S996" s="2"/>
      <c r="T996" s="2"/>
    </row>
    <row r="997">
      <c r="A997" s="1">
        <f>IFERROR(__xludf.DUMMYFUNCTION("""COMPUTED_VALUE"""),995.0)</f>
        <v>995</v>
      </c>
      <c r="B997" s="2" t="str">
        <f>IFERROR(__xludf.DUMMYFUNCTION("""COMPUTED_VALUE"""),"Municipal Local Government Unit of Pasacao")</f>
        <v>Municipal Local Government Unit of Pasacao</v>
      </c>
      <c r="C997" s="2" t="str">
        <f>IFERROR(__xludf.DUMMYFUNCTION("""COMPUTED_VALUE"""),"Santa Rosa Del Norte (Pob.), Pasacao, CAMARINES SUR")</f>
        <v>Santa Rosa Del Norte (Pob.), Pasacao, CAMARINES SUR</v>
      </c>
      <c r="D997" s="2" t="str">
        <f>IFERROR(__xludf.DUMMYFUNCTION("""COMPUTED_VALUE"""),"Hon. Jorge R. Bengua")</f>
        <v>Hon. Jorge R. Bengua</v>
      </c>
      <c r="E997" s="2">
        <f>IFERROR(__xludf.DUMMYFUNCTION("""COMPUTED_VALUE"""),9.093680437E9)</f>
        <v>9093680437</v>
      </c>
      <c r="F997" s="2" t="str">
        <f>IFERROR(__xludf.DUMMYFUNCTION("""COMPUTED_VALUE"""),"Repeat Order")</f>
        <v>Repeat Order</v>
      </c>
      <c r="G997" s="2">
        <f>IFERROR(__xludf.DUMMYFUNCTION("""COMPUTED_VALUE"""),7.0)</f>
        <v>7</v>
      </c>
      <c r="H997" s="2">
        <f>IFERROR(__xludf.DUMMYFUNCTION("""COMPUTED_VALUE"""),23131.0)</f>
        <v>23131</v>
      </c>
      <c r="I997" s="2" t="str">
        <f>IFERROR(__xludf.DUMMYFUNCTION("""COMPUTED_VALUE"""),"KMC5825AARFPV1089")</f>
        <v>KMC5825AARFPV1089</v>
      </c>
      <c r="J997" s="2" t="str">
        <f>IFERROR(__xludf.DUMMYFUNCTION("""COMPUTED_VALUE"""),"RTS100951")</f>
        <v>RTS100951</v>
      </c>
      <c r="K997" s="2" t="str">
        <f>IFERROR(__xludf.DUMMYFUNCTION("""COMPUTED_VALUE"""),"LSGW1750-RMP-24111137")</f>
        <v>LSGW1750-RMP-24111137</v>
      </c>
      <c r="L997" s="2" t="str">
        <f>IFERROR(__xludf.DUMMYFUNCTION("""COMPUTED_VALUE"""),"WDP40-RMP-25020337")</f>
        <v>WDP40-RMP-25020337</v>
      </c>
      <c r="M997" s="2" t="str">
        <f>IFERROR(__xludf.DUMMYFUNCTION("""COMPUTED_VALUE"""),"WR-SERIES-1315PH")</f>
        <v>WR-SERIES-1315PH</v>
      </c>
      <c r="N997" s="2"/>
      <c r="O997" s="2" t="str">
        <f>IFERROR(__xludf.DUMMYFUNCTION("""COMPUTED_VALUE"""),"Santa Rosa Del Norte (Pob.)")</f>
        <v>Santa Rosa Del Norte (Pob.)</v>
      </c>
      <c r="P997" s="2" t="str">
        <f>IFERROR(__xludf.DUMMYFUNCTION("""COMPUTED_VALUE"""),"Pasacao")</f>
        <v>Pasacao</v>
      </c>
      <c r="Q997" s="2" t="str">
        <f>IFERROR(__xludf.DUMMYFUNCTION("""COMPUTED_VALUE"""),"Camarines Sur")</f>
        <v>Camarines Sur</v>
      </c>
      <c r="R997" s="2">
        <f>IFERROR(__xludf.DUMMYFUNCTION("""COMPUTED_VALUE"""),5.0)</f>
        <v>5</v>
      </c>
      <c r="S997" s="2"/>
      <c r="T997" s="2"/>
    </row>
    <row r="998">
      <c r="A998" s="1">
        <f>IFERROR(__xludf.DUMMYFUNCTION("""COMPUTED_VALUE"""),996.0)</f>
        <v>996</v>
      </c>
      <c r="B998" s="2" t="str">
        <f>IFERROR(__xludf.DUMMYFUNCTION("""COMPUTED_VALUE"""),"CamSur Multi-Purpose Cooperative")</f>
        <v>CamSur Multi-Purpose Cooperative</v>
      </c>
      <c r="C998" s="2" t="str">
        <f>IFERROR(__xludf.DUMMYFUNCTION("""COMPUTED_VALUE"""),"Cadlan, Pili, CAMARINES SUR")</f>
        <v>Cadlan, Pili, CAMARINES SUR</v>
      </c>
      <c r="D998" s="2" t="str">
        <f>IFERROR(__xludf.DUMMYFUNCTION("""COMPUTED_VALUE"""),"Annielen L. Panerio")</f>
        <v>Annielen L. Panerio</v>
      </c>
      <c r="E998" s="2" t="str">
        <f>IFERROR(__xludf.DUMMYFUNCTION("""COMPUTED_VALUE"""),"0917 514 4796")</f>
        <v>0917 514 4796</v>
      </c>
      <c r="F998" s="2" t="str">
        <f>IFERROR(__xludf.DUMMYFUNCTION("""COMPUTED_VALUE"""),"Repeat Order")</f>
        <v>Repeat Order</v>
      </c>
      <c r="G998" s="2">
        <f>IFERROR(__xludf.DUMMYFUNCTION("""COMPUTED_VALUE"""),7.0)</f>
        <v>7</v>
      </c>
      <c r="H998" s="2">
        <f>IFERROR(__xludf.DUMMYFUNCTION("""COMPUTED_VALUE"""),23132.0)</f>
        <v>23132</v>
      </c>
      <c r="I998" s="2" t="str">
        <f>IFERROR(__xludf.DUMMYFUNCTION("""COMPUTED_VALUE"""),"KMC5825AARFPV1044")</f>
        <v>KMC5825AARFPV1044</v>
      </c>
      <c r="J998" s="2" t="str">
        <f>IFERROR(__xludf.DUMMYFUNCTION("""COMPUTED_VALUE"""),"RTS100945")</f>
        <v>RTS100945</v>
      </c>
      <c r="K998" s="2" t="str">
        <f>IFERROR(__xludf.DUMMYFUNCTION("""COMPUTED_VALUE"""),"LSGW1750-RMP-24111150")</f>
        <v>LSGW1750-RMP-24111150</v>
      </c>
      <c r="L998" s="2" t="str">
        <f>IFERROR(__xludf.DUMMYFUNCTION("""COMPUTED_VALUE"""),"WDP40-RMP-25020338")</f>
        <v>WDP40-RMP-25020338</v>
      </c>
      <c r="M998" s="2" t="str">
        <f>IFERROR(__xludf.DUMMYFUNCTION("""COMPUTED_VALUE"""),"WR-SERIES-1296PH")</f>
        <v>WR-SERIES-1296PH</v>
      </c>
      <c r="N998" s="2"/>
      <c r="O998" s="2" t="str">
        <f>IFERROR(__xludf.DUMMYFUNCTION("""COMPUTED_VALUE"""),"Cadlan")</f>
        <v>Cadlan</v>
      </c>
      <c r="P998" s="2" t="str">
        <f>IFERROR(__xludf.DUMMYFUNCTION("""COMPUTED_VALUE"""),"Pili")</f>
        <v>Pili</v>
      </c>
      <c r="Q998" s="2" t="str">
        <f>IFERROR(__xludf.DUMMYFUNCTION("""COMPUTED_VALUE"""),"Camarines Sur")</f>
        <v>Camarines Sur</v>
      </c>
      <c r="R998" s="2">
        <f>IFERROR(__xludf.DUMMYFUNCTION("""COMPUTED_VALUE"""),5.0)</f>
        <v>5</v>
      </c>
      <c r="S998" s="2"/>
      <c r="T998" s="2"/>
    </row>
    <row r="999">
      <c r="A999" s="1">
        <f>IFERROR(__xludf.DUMMYFUNCTION("""COMPUTED_VALUE"""),997.0)</f>
        <v>997</v>
      </c>
      <c r="B999" s="2" t="str">
        <f>IFERROR(__xludf.DUMMYFUNCTION("""COMPUTED_VALUE"""),"Provincial Local Government Unit of Camarines Sur")</f>
        <v>Provincial Local Government Unit of Camarines Sur</v>
      </c>
      <c r="C999" s="2" t="str">
        <f>IFERROR(__xludf.DUMMYFUNCTION("""COMPUTED_VALUE"""),"Cadlan, Pili, CAMARINES SUR")</f>
        <v>Cadlan, Pili, CAMARINES SUR</v>
      </c>
      <c r="D999" s="2" t="str">
        <f>IFERROR(__xludf.DUMMYFUNCTION("""COMPUTED_VALUE"""),"Hon. Vincenzo Renato Luigi R. Villafuerte")</f>
        <v>Hon. Vincenzo Renato Luigi R. Villafuerte</v>
      </c>
      <c r="E999" s="2" t="str">
        <f>IFERROR(__xludf.DUMMYFUNCTION("""COMPUTED_VALUE"""),"0918 888 6152")</f>
        <v>0918 888 6152</v>
      </c>
      <c r="F999" s="2" t="str">
        <f>IFERROR(__xludf.DUMMYFUNCTION("""COMPUTED_VALUE"""),"Repeat Order")</f>
        <v>Repeat Order</v>
      </c>
      <c r="G999" s="2">
        <f>IFERROR(__xludf.DUMMYFUNCTION("""COMPUTED_VALUE"""),7.0)</f>
        <v>7</v>
      </c>
      <c r="H999" s="2">
        <f>IFERROR(__xludf.DUMMYFUNCTION("""COMPUTED_VALUE"""),23133.0)</f>
        <v>23133</v>
      </c>
      <c r="I999" s="2" t="str">
        <f>IFERROR(__xludf.DUMMYFUNCTION("""COMPUTED_VALUE"""),"KMC5825AVRFPV0846")</f>
        <v>KMC5825AVRFPV0846</v>
      </c>
      <c r="J999" s="2" t="str">
        <f>IFERROR(__xludf.DUMMYFUNCTION("""COMPUTED_VALUE"""),"RTS100742")</f>
        <v>RTS100742</v>
      </c>
      <c r="K999" s="2" t="str">
        <f>IFERROR(__xludf.DUMMYFUNCTION("""COMPUTED_VALUE"""),"LSGW1750-RMP-24111144")</f>
        <v>LSGW1750-RMP-24111144</v>
      </c>
      <c r="L999" s="2" t="str">
        <f>IFERROR(__xludf.DUMMYFUNCTION("""COMPUTED_VALUE"""),"WDP40-RMP-25020279")</f>
        <v>WDP40-RMP-25020279</v>
      </c>
      <c r="M999" s="2" t="str">
        <f>IFERROR(__xludf.DUMMYFUNCTION("""COMPUTED_VALUE"""),"WR-SERIES-1298PH")</f>
        <v>WR-SERIES-1298PH</v>
      </c>
      <c r="N999" s="2"/>
      <c r="O999" s="2" t="str">
        <f>IFERROR(__xludf.DUMMYFUNCTION("""COMPUTED_VALUE"""),"Cadlan")</f>
        <v>Cadlan</v>
      </c>
      <c r="P999" s="2" t="str">
        <f>IFERROR(__xludf.DUMMYFUNCTION("""COMPUTED_VALUE"""),"Pili")</f>
        <v>Pili</v>
      </c>
      <c r="Q999" s="2" t="str">
        <f>IFERROR(__xludf.DUMMYFUNCTION("""COMPUTED_VALUE"""),"Camarines Sur")</f>
        <v>Camarines Sur</v>
      </c>
      <c r="R999" s="2">
        <f>IFERROR(__xludf.DUMMYFUNCTION("""COMPUTED_VALUE"""),5.0)</f>
        <v>5</v>
      </c>
      <c r="S999" s="2"/>
      <c r="T999" s="2"/>
    </row>
    <row r="1000">
      <c r="A1000" s="1">
        <f>IFERROR(__xludf.DUMMYFUNCTION("""COMPUTED_VALUE"""),998.0)</f>
        <v>998</v>
      </c>
      <c r="B1000" s="2" t="str">
        <f>IFERROR(__xludf.DUMMYFUNCTION("""COMPUTED_VALUE"""),"Provincial Local Government Unit of Camarines Sur")</f>
        <v>Provincial Local Government Unit of Camarines Sur</v>
      </c>
      <c r="C1000" s="2" t="str">
        <f>IFERROR(__xludf.DUMMYFUNCTION("""COMPUTED_VALUE"""),"Cadlan, Pili, CAMARINES SUR")</f>
        <v>Cadlan, Pili, CAMARINES SUR</v>
      </c>
      <c r="D1000" s="2" t="str">
        <f>IFERROR(__xludf.DUMMYFUNCTION("""COMPUTED_VALUE"""),"Hon. Vincenzo Renato Luigi R. Villafuerte")</f>
        <v>Hon. Vincenzo Renato Luigi R. Villafuerte</v>
      </c>
      <c r="E1000" s="2" t="str">
        <f>IFERROR(__xludf.DUMMYFUNCTION("""COMPUTED_VALUE"""),"0918 888 6152")</f>
        <v>0918 888 6152</v>
      </c>
      <c r="F1000" s="2" t="str">
        <f>IFERROR(__xludf.DUMMYFUNCTION("""COMPUTED_VALUE"""),"Repeat Order")</f>
        <v>Repeat Order</v>
      </c>
      <c r="G1000" s="2">
        <f>IFERROR(__xludf.DUMMYFUNCTION("""COMPUTED_VALUE"""),7.0)</f>
        <v>7</v>
      </c>
      <c r="H1000" s="2">
        <f>IFERROR(__xludf.DUMMYFUNCTION("""COMPUTED_VALUE"""),23134.0)</f>
        <v>23134</v>
      </c>
      <c r="I1000" s="2" t="str">
        <f>IFERROR(__xludf.DUMMYFUNCTION("""COMPUTED_VALUE"""),"KMC5825ALRFPV1076")</f>
        <v>KMC5825ALRFPV1076</v>
      </c>
      <c r="J1000" s="2" t="str">
        <f>IFERROR(__xludf.DUMMYFUNCTION("""COMPUTED_VALUE"""),"RTS100964")</f>
        <v>RTS100964</v>
      </c>
      <c r="K1000" s="2" t="str">
        <f>IFERROR(__xludf.DUMMYFUNCTION("""COMPUTED_VALUE"""),"LSGW1750-RMP-24111149")</f>
        <v>LSGW1750-RMP-24111149</v>
      </c>
      <c r="L1000" s="2" t="str">
        <f>IFERROR(__xludf.DUMMYFUNCTION("""COMPUTED_VALUE"""),"WDP40-RMP-25020296")</f>
        <v>WDP40-RMP-25020296</v>
      </c>
      <c r="M1000" s="2" t="str">
        <f>IFERROR(__xludf.DUMMYFUNCTION("""COMPUTED_VALUE"""),"WR-SERIES-1316PH")</f>
        <v>WR-SERIES-1316PH</v>
      </c>
      <c r="N1000" s="2"/>
      <c r="O1000" s="2" t="str">
        <f>IFERROR(__xludf.DUMMYFUNCTION("""COMPUTED_VALUE"""),"Cadlan")</f>
        <v>Cadlan</v>
      </c>
      <c r="P1000" s="2" t="str">
        <f>IFERROR(__xludf.DUMMYFUNCTION("""COMPUTED_VALUE"""),"Pili")</f>
        <v>Pili</v>
      </c>
      <c r="Q1000" s="2" t="str">
        <f>IFERROR(__xludf.DUMMYFUNCTION("""COMPUTED_VALUE"""),"Camarines Sur")</f>
        <v>Camarines Sur</v>
      </c>
      <c r="R1000" s="2">
        <f>IFERROR(__xludf.DUMMYFUNCTION("""COMPUTED_VALUE"""),5.0)</f>
        <v>5</v>
      </c>
      <c r="S1000" s="2"/>
      <c r="T1000" s="2"/>
    </row>
    <row r="1001">
      <c r="A1001" s="1"/>
      <c r="B1001" s="2"/>
      <c r="C1001" s="2"/>
      <c r="D1001" s="2"/>
      <c r="E1001" s="2"/>
      <c r="F1001" s="2"/>
      <c r="G1001" s="2"/>
      <c r="H1001" s="2"/>
      <c r="I1001" s="2"/>
      <c r="J1001" s="2"/>
      <c r="K1001" s="2"/>
      <c r="L1001" s="2"/>
      <c r="M1001" s="2"/>
      <c r="N1001" s="2"/>
      <c r="O1001" s="2"/>
      <c r="P1001" s="2"/>
      <c r="Q1001" s="2"/>
      <c r="R1001" s="2"/>
      <c r="S1001" s="2"/>
      <c r="T1001" s="2"/>
    </row>
    <row r="1002">
      <c r="A1002" s="1"/>
      <c r="B1002" s="2"/>
      <c r="C1002" s="2"/>
      <c r="D1002" s="2"/>
      <c r="E1002" s="2"/>
      <c r="F1002" s="2"/>
      <c r="G1002" s="2"/>
      <c r="H1002" s="2"/>
      <c r="I1002" s="2"/>
      <c r="J1002" s="2"/>
      <c r="K1002" s="2"/>
      <c r="L1002" s="2"/>
      <c r="M1002" s="2"/>
      <c r="N1002" s="2"/>
      <c r="O1002" s="2"/>
      <c r="P1002" s="2"/>
      <c r="Q1002" s="2"/>
      <c r="R1002" s="2"/>
      <c r="S1002" s="2"/>
      <c r="T1002" s="2"/>
    </row>
    <row r="1003">
      <c r="A1003" s="1"/>
      <c r="B1003" s="2"/>
      <c r="C1003" s="2"/>
      <c r="D1003" s="2"/>
      <c r="E1003" s="2"/>
      <c r="F1003" s="2"/>
      <c r="G1003" s="2"/>
      <c r="H1003" s="2"/>
      <c r="I1003" s="2"/>
      <c r="J1003" s="2"/>
      <c r="K1003" s="2"/>
      <c r="L1003" s="2"/>
      <c r="M1003" s="2"/>
      <c r="N1003" s="2"/>
      <c r="O1003" s="2"/>
      <c r="P1003" s="2"/>
      <c r="Q1003" s="2"/>
      <c r="R1003" s="2"/>
      <c r="S1003" s="2"/>
      <c r="T1003" s="2"/>
    </row>
    <row r="1004">
      <c r="A1004" s="1"/>
      <c r="B1004" s="2"/>
      <c r="C1004" s="2"/>
      <c r="D1004" s="2"/>
      <c r="E1004" s="2"/>
      <c r="F1004" s="2"/>
      <c r="G1004" s="2"/>
      <c r="H1004" s="2"/>
      <c r="I1004" s="2"/>
      <c r="J1004" s="2"/>
      <c r="K1004" s="2"/>
      <c r="L1004" s="2"/>
      <c r="M1004" s="2"/>
      <c r="N1004" s="2"/>
      <c r="O1004" s="2"/>
      <c r="P1004" s="2"/>
      <c r="Q1004" s="2"/>
      <c r="R1004" s="2"/>
      <c r="S1004" s="2"/>
      <c r="T1004" s="2"/>
    </row>
    <row r="1005">
      <c r="A1005" s="1"/>
      <c r="B1005" s="2"/>
      <c r="C1005" s="2"/>
      <c r="D1005" s="2"/>
      <c r="E1005" s="2"/>
      <c r="F1005" s="2"/>
      <c r="G1005" s="2"/>
      <c r="H1005" s="2"/>
      <c r="I1005" s="2"/>
      <c r="J1005" s="2"/>
      <c r="K1005" s="2"/>
      <c r="L1005" s="2"/>
      <c r="M1005" s="2"/>
      <c r="N1005" s="2"/>
      <c r="O1005" s="2"/>
      <c r="P1005" s="2"/>
      <c r="Q1005" s="2"/>
      <c r="R1005" s="2"/>
      <c r="S1005" s="2"/>
      <c r="T1005" s="2"/>
    </row>
    <row r="1006">
      <c r="A1006" s="1"/>
      <c r="B1006" s="2"/>
      <c r="C1006" s="2"/>
      <c r="D1006" s="2"/>
      <c r="E1006" s="2"/>
      <c r="F1006" s="2"/>
      <c r="G1006" s="2"/>
      <c r="H1006" s="2"/>
      <c r="I1006" s="2"/>
      <c r="J1006" s="2"/>
      <c r="K1006" s="2"/>
      <c r="L1006" s="2"/>
      <c r="M1006" s="2"/>
      <c r="N1006" s="2"/>
      <c r="O1006" s="2"/>
      <c r="P1006" s="2"/>
      <c r="Q1006" s="2"/>
      <c r="R1006" s="2"/>
      <c r="S1006" s="2"/>
      <c r="T1006" s="2"/>
    </row>
    <row r="1007">
      <c r="A1007" s="1"/>
      <c r="B1007" s="2"/>
      <c r="C1007" s="2"/>
      <c r="D1007" s="2"/>
      <c r="E1007" s="2"/>
      <c r="F1007" s="2"/>
      <c r="G1007" s="2"/>
      <c r="H1007" s="2"/>
      <c r="I1007" s="2"/>
      <c r="J1007" s="2"/>
      <c r="K1007" s="2"/>
      <c r="L1007" s="2"/>
      <c r="M1007" s="2"/>
      <c r="N1007" s="2"/>
      <c r="O1007" s="2"/>
      <c r="P1007" s="2"/>
      <c r="Q1007" s="2"/>
      <c r="R1007" s="2"/>
      <c r="S1007" s="2"/>
      <c r="T1007" s="2"/>
    </row>
    <row r="1008">
      <c r="A1008" s="1"/>
      <c r="B1008" s="2"/>
      <c r="C1008" s="2"/>
      <c r="D1008" s="2"/>
      <c r="E1008" s="2"/>
      <c r="F1008" s="2"/>
      <c r="G1008" s="2"/>
      <c r="H1008" s="2"/>
      <c r="I1008" s="2"/>
      <c r="J1008" s="2"/>
      <c r="K1008" s="2"/>
      <c r="L1008" s="2"/>
      <c r="M1008" s="2"/>
      <c r="N1008" s="2"/>
      <c r="O1008" s="2"/>
      <c r="P1008" s="2"/>
      <c r="Q1008" s="2"/>
      <c r="R1008" s="2"/>
      <c r="S1008" s="2"/>
      <c r="T1008" s="2"/>
    </row>
    <row r="1009">
      <c r="A1009" s="1"/>
      <c r="B1009" s="2"/>
      <c r="C1009" s="2"/>
      <c r="D1009" s="2"/>
      <c r="E1009" s="2"/>
      <c r="F1009" s="2"/>
      <c r="G1009" s="2"/>
      <c r="H1009" s="2"/>
      <c r="I1009" s="2"/>
      <c r="J1009" s="2"/>
      <c r="K1009" s="2"/>
      <c r="L1009" s="2"/>
      <c r="M1009" s="2"/>
      <c r="N1009" s="2"/>
      <c r="O1009" s="2"/>
      <c r="P1009" s="2"/>
      <c r="Q1009" s="2"/>
      <c r="R1009" s="2"/>
      <c r="S1009" s="2"/>
      <c r="T1009" s="2"/>
    </row>
    <row r="1010">
      <c r="A1010" s="1"/>
      <c r="B1010" s="2"/>
      <c r="C1010" s="2"/>
      <c r="D1010" s="2"/>
      <c r="E1010" s="2"/>
      <c r="F1010" s="2"/>
      <c r="G1010" s="2"/>
      <c r="H1010" s="2"/>
      <c r="I1010" s="2"/>
      <c r="J1010" s="2"/>
      <c r="K1010" s="2"/>
      <c r="L1010" s="2"/>
      <c r="M1010" s="2"/>
      <c r="N1010" s="2"/>
      <c r="O1010" s="2"/>
      <c r="P1010" s="2"/>
      <c r="Q1010" s="2"/>
      <c r="R1010" s="2"/>
      <c r="S1010" s="2"/>
      <c r="T1010" s="2"/>
    </row>
    <row r="1011">
      <c r="A1011" s="1"/>
      <c r="B1011" s="2"/>
      <c r="C1011" s="2"/>
      <c r="D1011" s="2"/>
      <c r="E1011" s="2"/>
      <c r="F1011" s="2"/>
      <c r="G1011" s="2"/>
      <c r="H1011" s="2"/>
      <c r="I1011" s="2"/>
      <c r="J1011" s="2"/>
      <c r="K1011" s="2"/>
      <c r="L1011" s="2"/>
      <c r="M1011" s="2"/>
      <c r="N1011" s="2"/>
      <c r="O1011" s="2"/>
      <c r="P1011" s="2"/>
      <c r="Q1011" s="2"/>
      <c r="R1011" s="2"/>
      <c r="S1011" s="2"/>
      <c r="T1011" s="2"/>
    </row>
    <row r="1012">
      <c r="A1012" s="1"/>
      <c r="B1012" s="2"/>
      <c r="C1012" s="2"/>
      <c r="D1012" s="2"/>
      <c r="E1012" s="2"/>
      <c r="F1012" s="2"/>
      <c r="G1012" s="2"/>
      <c r="H1012" s="2"/>
      <c r="I1012" s="2"/>
      <c r="J1012" s="2"/>
      <c r="K1012" s="2"/>
      <c r="L1012" s="2"/>
      <c r="M1012" s="2"/>
      <c r="N1012" s="2"/>
      <c r="O1012" s="2"/>
      <c r="P1012" s="2"/>
      <c r="Q1012" s="2"/>
      <c r="R1012" s="2"/>
      <c r="S1012" s="2"/>
      <c r="T1012" s="2"/>
    </row>
    <row r="1013">
      <c r="A1013" s="1"/>
      <c r="B1013" s="2"/>
      <c r="C1013" s="2"/>
      <c r="D1013" s="2"/>
      <c r="E1013" s="2"/>
      <c r="F1013" s="2"/>
      <c r="G1013" s="2"/>
      <c r="H1013" s="2"/>
      <c r="I1013" s="2"/>
      <c r="J1013" s="2"/>
      <c r="K1013" s="2"/>
      <c r="L1013" s="2"/>
      <c r="M1013" s="2"/>
      <c r="N1013" s="2"/>
      <c r="O1013" s="2"/>
      <c r="P1013" s="2"/>
      <c r="Q1013" s="2"/>
      <c r="R1013" s="2"/>
      <c r="S1013" s="2"/>
      <c r="T1013" s="2"/>
    </row>
    <row r="1014">
      <c r="A1014" s="1"/>
      <c r="B1014" s="2"/>
      <c r="C1014" s="2"/>
      <c r="D1014" s="2"/>
      <c r="E1014" s="2"/>
      <c r="F1014" s="2"/>
      <c r="G1014" s="2"/>
      <c r="H1014" s="2"/>
      <c r="I1014" s="2"/>
      <c r="J1014" s="2"/>
      <c r="K1014" s="2"/>
      <c r="L1014" s="2"/>
      <c r="M1014" s="2"/>
      <c r="N1014" s="2"/>
      <c r="O1014" s="2"/>
      <c r="P1014" s="2"/>
      <c r="Q1014" s="2"/>
      <c r="R1014" s="2"/>
      <c r="S1014" s="2"/>
      <c r="T1014" s="2"/>
    </row>
    <row r="1015">
      <c r="A1015" s="1"/>
      <c r="B1015" s="2"/>
      <c r="C1015" s="2"/>
      <c r="D1015" s="2"/>
      <c r="E1015" s="2"/>
      <c r="F1015" s="2"/>
      <c r="G1015" s="2"/>
      <c r="H1015" s="2"/>
      <c r="I1015" s="2"/>
      <c r="J1015" s="2"/>
      <c r="K1015" s="2"/>
      <c r="L1015" s="2"/>
      <c r="M1015" s="2"/>
      <c r="N1015" s="2"/>
      <c r="O1015" s="2"/>
      <c r="P1015" s="2"/>
      <c r="Q1015" s="2"/>
      <c r="R1015" s="2"/>
      <c r="S1015" s="2"/>
      <c r="T1015" s="2"/>
    </row>
    <row r="1016">
      <c r="A1016" s="1"/>
      <c r="B1016" s="2"/>
      <c r="C1016" s="2"/>
      <c r="D1016" s="2"/>
      <c r="E1016" s="2"/>
      <c r="F1016" s="2"/>
      <c r="G1016" s="2"/>
      <c r="H1016" s="2"/>
      <c r="I1016" s="2"/>
      <c r="J1016" s="2"/>
      <c r="K1016" s="2"/>
      <c r="L1016" s="2"/>
      <c r="M1016" s="2"/>
      <c r="N1016" s="2"/>
      <c r="O1016" s="2"/>
      <c r="P1016" s="2"/>
      <c r="Q1016" s="2"/>
      <c r="R1016" s="2"/>
      <c r="S1016" s="2"/>
      <c r="T1016" s="2"/>
    </row>
    <row r="1017">
      <c r="A1017" s="1"/>
      <c r="B1017" s="2"/>
      <c r="C1017" s="2"/>
      <c r="D1017" s="2"/>
      <c r="E1017" s="2"/>
      <c r="F1017" s="2"/>
      <c r="G1017" s="2"/>
      <c r="H1017" s="2"/>
      <c r="I1017" s="2"/>
      <c r="J1017" s="2"/>
      <c r="K1017" s="2"/>
      <c r="L1017" s="2"/>
      <c r="M1017" s="2"/>
      <c r="N1017" s="2"/>
      <c r="O1017" s="2"/>
      <c r="P1017" s="2"/>
      <c r="Q1017" s="2"/>
      <c r="R1017" s="2"/>
      <c r="S1017" s="2"/>
      <c r="T1017" s="2"/>
    </row>
    <row r="1018">
      <c r="A1018" s="1"/>
      <c r="B1018" s="2"/>
      <c r="C1018" s="2"/>
      <c r="D1018" s="2"/>
      <c r="E1018" s="2"/>
      <c r="F1018" s="2"/>
      <c r="G1018" s="2"/>
      <c r="H1018" s="2"/>
      <c r="I1018" s="2"/>
      <c r="J1018" s="2"/>
      <c r="K1018" s="2"/>
      <c r="L1018" s="2"/>
      <c r="M1018" s="2"/>
      <c r="N1018" s="2"/>
      <c r="O1018" s="2"/>
      <c r="P1018" s="2"/>
      <c r="Q1018" s="2"/>
      <c r="R1018" s="2"/>
      <c r="S1018" s="2"/>
      <c r="T1018" s="2"/>
    </row>
    <row r="1019">
      <c r="A1019" s="1"/>
      <c r="B1019" s="2"/>
      <c r="C1019" s="2"/>
      <c r="D1019" s="2"/>
      <c r="E1019" s="2"/>
      <c r="F1019" s="2"/>
      <c r="G1019" s="2"/>
      <c r="H1019" s="2"/>
      <c r="I1019" s="2"/>
      <c r="J1019" s="2"/>
      <c r="K1019" s="2"/>
      <c r="L1019" s="2"/>
      <c r="M1019" s="2"/>
      <c r="N1019" s="2"/>
      <c r="O1019" s="2"/>
      <c r="P1019" s="2"/>
      <c r="Q1019" s="2"/>
      <c r="R1019" s="2"/>
      <c r="S1019" s="2"/>
      <c r="T1019" s="2"/>
    </row>
    <row r="1020">
      <c r="A1020" s="1"/>
      <c r="B1020" s="2"/>
      <c r="C1020" s="2"/>
      <c r="D1020" s="2"/>
      <c r="E1020" s="2"/>
      <c r="F1020" s="2"/>
      <c r="G1020" s="2"/>
      <c r="H1020" s="2"/>
      <c r="I1020" s="2"/>
      <c r="J1020" s="2"/>
      <c r="K1020" s="2"/>
      <c r="L1020" s="2"/>
      <c r="M1020" s="2"/>
      <c r="N1020" s="2"/>
      <c r="O1020" s="2"/>
      <c r="P1020" s="2"/>
      <c r="Q1020" s="2"/>
      <c r="R1020" s="2"/>
      <c r="S1020" s="2"/>
      <c r="T1020" s="2"/>
    </row>
    <row r="1021">
      <c r="A1021" s="1"/>
      <c r="B1021" s="2"/>
      <c r="C1021" s="2"/>
      <c r="D1021" s="2"/>
      <c r="E1021" s="2"/>
      <c r="F1021" s="2"/>
      <c r="G1021" s="2"/>
      <c r="H1021" s="2"/>
      <c r="I1021" s="2"/>
      <c r="J1021" s="2"/>
      <c r="K1021" s="2"/>
      <c r="L1021" s="2"/>
      <c r="M1021" s="2"/>
      <c r="N1021" s="2"/>
      <c r="O1021" s="2"/>
      <c r="P1021" s="2"/>
      <c r="Q1021" s="2"/>
      <c r="R1021" s="2"/>
      <c r="S1021" s="2"/>
      <c r="T1021" s="2"/>
    </row>
    <row r="1022">
      <c r="A1022" s="1"/>
      <c r="B1022" s="2"/>
      <c r="C1022" s="2"/>
      <c r="D1022" s="2"/>
      <c r="E1022" s="2"/>
      <c r="F1022" s="2"/>
      <c r="G1022" s="2"/>
      <c r="H1022" s="2"/>
      <c r="I1022" s="2"/>
      <c r="J1022" s="2"/>
      <c r="K1022" s="2"/>
      <c r="L1022" s="2"/>
      <c r="M1022" s="2"/>
      <c r="N1022" s="2"/>
      <c r="O1022" s="2"/>
      <c r="P1022" s="2"/>
      <c r="Q1022" s="2"/>
      <c r="R1022" s="2"/>
      <c r="S1022" s="2"/>
      <c r="T1022" s="2"/>
    </row>
    <row r="1023">
      <c r="A1023" s="1"/>
      <c r="B1023" s="2"/>
      <c r="C1023" s="2"/>
      <c r="D1023" s="2"/>
      <c r="E1023" s="2"/>
      <c r="F1023" s="2"/>
      <c r="G1023" s="2"/>
      <c r="H1023" s="2"/>
      <c r="I1023" s="2"/>
      <c r="J1023" s="2"/>
      <c r="K1023" s="2"/>
      <c r="L1023" s="2"/>
      <c r="M1023" s="2"/>
      <c r="N1023" s="2"/>
      <c r="O1023" s="2"/>
      <c r="P1023" s="2"/>
      <c r="Q1023" s="2"/>
      <c r="R1023" s="2"/>
      <c r="S1023" s="2"/>
      <c r="T1023" s="2"/>
    </row>
    <row r="1024">
      <c r="A1024" s="1"/>
      <c r="B1024" s="2"/>
      <c r="C1024" s="2"/>
      <c r="D1024" s="2"/>
      <c r="E1024" s="2"/>
      <c r="F1024" s="2"/>
      <c r="G1024" s="2"/>
      <c r="H1024" s="2"/>
      <c r="I1024" s="2"/>
      <c r="J1024" s="2"/>
      <c r="K1024" s="2"/>
      <c r="L1024" s="2"/>
      <c r="M1024" s="2"/>
      <c r="N1024" s="2"/>
      <c r="O1024" s="2"/>
      <c r="P1024" s="2"/>
      <c r="Q1024" s="2"/>
      <c r="R1024" s="2"/>
      <c r="S1024" s="2"/>
      <c r="T1024" s="2"/>
    </row>
    <row r="1025">
      <c r="A1025" s="1"/>
      <c r="B1025" s="2"/>
      <c r="C1025" s="2"/>
      <c r="D1025" s="2"/>
      <c r="E1025" s="2"/>
      <c r="F1025" s="2"/>
      <c r="G1025" s="2"/>
      <c r="H1025" s="2"/>
      <c r="I1025" s="2"/>
      <c r="J1025" s="2"/>
      <c r="K1025" s="2"/>
      <c r="L1025" s="2"/>
      <c r="M1025" s="2"/>
      <c r="N1025" s="2"/>
      <c r="O1025" s="2"/>
      <c r="P1025" s="2"/>
      <c r="Q1025" s="2"/>
      <c r="R1025" s="2"/>
      <c r="S1025" s="2"/>
      <c r="T1025" s="2"/>
    </row>
    <row r="1026">
      <c r="A1026" s="1"/>
      <c r="B1026" s="2"/>
      <c r="C1026" s="2"/>
      <c r="D1026" s="2"/>
      <c r="E1026" s="2"/>
      <c r="F1026" s="2"/>
      <c r="G1026" s="2"/>
      <c r="H1026" s="2"/>
      <c r="I1026" s="2"/>
      <c r="J1026" s="2"/>
      <c r="K1026" s="2"/>
      <c r="L1026" s="2"/>
      <c r="M1026" s="2"/>
      <c r="N1026" s="2"/>
      <c r="O1026" s="2"/>
      <c r="P1026" s="2"/>
      <c r="Q1026" s="2"/>
      <c r="R1026" s="2"/>
      <c r="S1026" s="2"/>
      <c r="T1026" s="2"/>
    </row>
    <row r="1027">
      <c r="A1027" s="1"/>
      <c r="B1027" s="2"/>
      <c r="C1027" s="2"/>
      <c r="D1027" s="2"/>
      <c r="E1027" s="2"/>
      <c r="F1027" s="2"/>
      <c r="G1027" s="2"/>
      <c r="H1027" s="2"/>
      <c r="I1027" s="2"/>
      <c r="J1027" s="2"/>
      <c r="K1027" s="2"/>
      <c r="L1027" s="2"/>
      <c r="M1027" s="2"/>
      <c r="N1027" s="2"/>
      <c r="O1027" s="2"/>
      <c r="P1027" s="2"/>
      <c r="Q1027" s="2"/>
      <c r="R1027" s="2"/>
      <c r="S1027" s="2"/>
      <c r="T1027" s="2"/>
    </row>
    <row r="1028">
      <c r="A1028" s="1"/>
      <c r="B1028" s="2"/>
      <c r="C1028" s="2"/>
      <c r="D1028" s="2"/>
      <c r="E1028" s="2"/>
      <c r="F1028" s="2"/>
      <c r="G1028" s="2"/>
      <c r="H1028" s="2"/>
      <c r="I1028" s="2"/>
      <c r="J1028" s="2"/>
      <c r="K1028" s="2"/>
      <c r="L1028" s="2"/>
      <c r="M1028" s="2"/>
      <c r="N1028" s="2"/>
      <c r="O1028" s="2"/>
      <c r="P1028" s="2"/>
      <c r="Q1028" s="2"/>
      <c r="R1028" s="2"/>
      <c r="S1028" s="2"/>
      <c r="T1028" s="2"/>
    </row>
    <row r="1029">
      <c r="A1029" s="1"/>
      <c r="B1029" s="2"/>
      <c r="C1029" s="2"/>
      <c r="D1029" s="2"/>
      <c r="E1029" s="2"/>
      <c r="F1029" s="2"/>
      <c r="G1029" s="2"/>
      <c r="H1029" s="2"/>
      <c r="I1029" s="2"/>
      <c r="J1029" s="2"/>
      <c r="K1029" s="2"/>
      <c r="L1029" s="2"/>
      <c r="M1029" s="2"/>
      <c r="N1029" s="2"/>
      <c r="O1029" s="2"/>
      <c r="P1029" s="2"/>
      <c r="Q1029" s="2"/>
      <c r="R1029" s="2"/>
      <c r="S1029" s="2"/>
      <c r="T1029" s="2"/>
    </row>
    <row r="1030">
      <c r="A1030" s="1"/>
      <c r="B1030" s="2"/>
      <c r="C1030" s="2"/>
      <c r="D1030" s="2"/>
      <c r="E1030" s="2"/>
      <c r="F1030" s="2"/>
      <c r="G1030" s="2"/>
      <c r="H1030" s="2"/>
      <c r="I1030" s="2"/>
      <c r="J1030" s="2"/>
      <c r="K1030" s="2"/>
      <c r="L1030" s="2"/>
      <c r="M1030" s="2"/>
      <c r="N1030" s="2"/>
      <c r="O1030" s="2"/>
      <c r="P1030" s="2"/>
      <c r="Q1030" s="2"/>
      <c r="R1030" s="2"/>
      <c r="S1030" s="2"/>
      <c r="T1030" s="2"/>
    </row>
    <row r="1031">
      <c r="A1031" s="1"/>
      <c r="B1031" s="2"/>
      <c r="C1031" s="2"/>
      <c r="D1031" s="2"/>
      <c r="E1031" s="2"/>
      <c r="F1031" s="2"/>
      <c r="G1031" s="2"/>
      <c r="H1031" s="2"/>
      <c r="I1031" s="2"/>
      <c r="J1031" s="2"/>
      <c r="K1031" s="2"/>
      <c r="L1031" s="2"/>
      <c r="M1031" s="2"/>
      <c r="N1031" s="2"/>
      <c r="O1031" s="2"/>
      <c r="P1031" s="2"/>
      <c r="Q1031" s="2"/>
      <c r="R1031" s="2"/>
      <c r="S1031" s="2"/>
      <c r="T1031" s="2"/>
    </row>
    <row r="1032">
      <c r="A1032" s="1"/>
      <c r="B1032" s="2"/>
      <c r="C1032" s="2"/>
      <c r="D1032" s="2"/>
      <c r="E1032" s="2"/>
      <c r="F1032" s="2"/>
      <c r="G1032" s="2"/>
      <c r="H1032" s="2"/>
      <c r="I1032" s="2"/>
      <c r="J1032" s="2"/>
      <c r="K1032" s="2"/>
      <c r="L1032" s="2"/>
      <c r="M1032" s="2"/>
      <c r="N1032" s="2"/>
      <c r="O1032" s="2"/>
      <c r="P1032" s="2"/>
      <c r="Q1032" s="2"/>
      <c r="R1032" s="2"/>
      <c r="S1032" s="2"/>
      <c r="T1032" s="2"/>
    </row>
    <row r="1033">
      <c r="A1033" s="1"/>
      <c r="B1033" s="2"/>
      <c r="C1033" s="2"/>
      <c r="D1033" s="2"/>
      <c r="E1033" s="2"/>
      <c r="F1033" s="2"/>
      <c r="G1033" s="2"/>
      <c r="H1033" s="2"/>
      <c r="I1033" s="2"/>
      <c r="J1033" s="2"/>
      <c r="K1033" s="2"/>
      <c r="L1033" s="2"/>
      <c r="M1033" s="2"/>
      <c r="N1033" s="2"/>
      <c r="O1033" s="2"/>
      <c r="P1033" s="2"/>
      <c r="Q1033" s="2"/>
      <c r="R1033" s="2"/>
      <c r="S1033" s="2"/>
      <c r="T1033" s="2"/>
    </row>
    <row r="1034">
      <c r="A1034" s="1"/>
      <c r="B1034" s="2"/>
      <c r="C1034" s="2"/>
      <c r="D1034" s="2"/>
      <c r="E1034" s="2"/>
      <c r="F1034" s="2"/>
      <c r="G1034" s="2"/>
      <c r="H1034" s="2"/>
      <c r="I1034" s="2"/>
      <c r="J1034" s="2"/>
      <c r="K1034" s="2"/>
      <c r="L1034" s="2"/>
      <c r="M1034" s="2"/>
      <c r="N1034" s="2"/>
      <c r="O1034" s="2"/>
      <c r="P1034" s="2"/>
      <c r="Q1034" s="2"/>
      <c r="R1034" s="2"/>
      <c r="S1034" s="2"/>
      <c r="T1034" s="2"/>
    </row>
    <row r="1035">
      <c r="A1035" s="1"/>
      <c r="B1035" s="2"/>
      <c r="C1035" s="2"/>
      <c r="D1035" s="2"/>
      <c r="E1035" s="2"/>
      <c r="F1035" s="2"/>
      <c r="G1035" s="2"/>
      <c r="H1035" s="2"/>
      <c r="I1035" s="2"/>
      <c r="J1035" s="2"/>
      <c r="K1035" s="2"/>
      <c r="L1035" s="2"/>
      <c r="M1035" s="2"/>
      <c r="N1035" s="2"/>
      <c r="O1035" s="2"/>
      <c r="P1035" s="2"/>
      <c r="Q1035" s="2"/>
      <c r="R1035" s="2"/>
      <c r="S1035" s="2"/>
      <c r="T1035" s="2"/>
    </row>
    <row r="1036">
      <c r="A1036" s="1"/>
      <c r="B1036" s="2"/>
      <c r="C1036" s="2"/>
      <c r="D1036" s="2"/>
      <c r="E1036" s="2"/>
      <c r="F1036" s="2"/>
      <c r="G1036" s="2"/>
      <c r="H1036" s="2"/>
      <c r="I1036" s="2"/>
      <c r="J1036" s="2"/>
      <c r="K1036" s="2"/>
      <c r="L1036" s="2"/>
      <c r="M1036" s="2"/>
      <c r="N1036" s="2"/>
      <c r="O1036" s="2"/>
      <c r="P1036" s="2"/>
      <c r="Q1036" s="2"/>
      <c r="R1036" s="2"/>
      <c r="S1036" s="2"/>
      <c r="T1036" s="2"/>
    </row>
    <row r="1037">
      <c r="A1037" s="1"/>
      <c r="B1037" s="2"/>
      <c r="C1037" s="2"/>
      <c r="D1037" s="2"/>
      <c r="E1037" s="2"/>
      <c r="F1037" s="2"/>
      <c r="G1037" s="2"/>
      <c r="H1037" s="2"/>
      <c r="I1037" s="2"/>
      <c r="J1037" s="2"/>
      <c r="K1037" s="2"/>
      <c r="L1037" s="2"/>
      <c r="M1037" s="2"/>
      <c r="N1037" s="2"/>
      <c r="O1037" s="2"/>
      <c r="P1037" s="2"/>
      <c r="Q1037" s="2"/>
      <c r="R1037" s="2"/>
      <c r="S1037" s="2"/>
      <c r="T1037" s="2"/>
    </row>
    <row r="1038">
      <c r="A1038" s="1"/>
      <c r="B1038" s="2"/>
      <c r="C1038" s="2"/>
      <c r="D1038" s="2"/>
      <c r="E1038" s="2"/>
      <c r="F1038" s="2"/>
      <c r="G1038" s="2"/>
      <c r="H1038" s="2"/>
      <c r="I1038" s="2"/>
      <c r="J1038" s="2"/>
      <c r="K1038" s="2"/>
      <c r="L1038" s="2"/>
      <c r="M1038" s="2"/>
      <c r="N1038" s="2"/>
      <c r="O1038" s="2"/>
      <c r="P1038" s="2"/>
      <c r="Q1038" s="2"/>
      <c r="R1038" s="2"/>
      <c r="S1038" s="2"/>
      <c r="T1038" s="2"/>
    </row>
    <row r="1039">
      <c r="A1039" s="1"/>
      <c r="B1039" s="2"/>
      <c r="C1039" s="2"/>
      <c r="D1039" s="2"/>
      <c r="E1039" s="2"/>
      <c r="F1039" s="2"/>
      <c r="G1039" s="2"/>
      <c r="H1039" s="2"/>
      <c r="I1039" s="2"/>
      <c r="J1039" s="2"/>
      <c r="K1039" s="2"/>
      <c r="L1039" s="2"/>
      <c r="M1039" s="2"/>
      <c r="N1039" s="2"/>
      <c r="O1039" s="2"/>
      <c r="P1039" s="2"/>
      <c r="Q1039" s="2"/>
      <c r="R1039" s="2"/>
      <c r="S1039" s="2"/>
      <c r="T1039" s="2"/>
    </row>
    <row r="1040">
      <c r="A1040" s="1"/>
      <c r="B1040" s="2"/>
      <c r="C1040" s="2"/>
      <c r="D1040" s="2"/>
      <c r="E1040" s="2"/>
      <c r="F1040" s="2"/>
      <c r="G1040" s="2"/>
      <c r="H1040" s="2"/>
      <c r="I1040" s="2"/>
      <c r="J1040" s="2"/>
      <c r="K1040" s="2"/>
      <c r="L1040" s="2"/>
      <c r="M1040" s="2"/>
      <c r="N1040" s="2"/>
      <c r="O1040" s="2"/>
      <c r="P1040" s="2"/>
      <c r="Q1040" s="2"/>
      <c r="R1040" s="2"/>
      <c r="S1040" s="2"/>
      <c r="T1040" s="2"/>
    </row>
    <row r="1041">
      <c r="A1041" s="1"/>
      <c r="B1041" s="2"/>
      <c r="C1041" s="2"/>
      <c r="D1041" s="2"/>
      <c r="E1041" s="2"/>
      <c r="F1041" s="2"/>
      <c r="G1041" s="2"/>
      <c r="H1041" s="2"/>
      <c r="I1041" s="2"/>
      <c r="J1041" s="2"/>
      <c r="K1041" s="2"/>
      <c r="L1041" s="2"/>
      <c r="M1041" s="2"/>
      <c r="N1041" s="2"/>
      <c r="O1041" s="2"/>
      <c r="P1041" s="2"/>
      <c r="Q1041" s="2"/>
      <c r="R1041" s="2"/>
      <c r="S1041" s="2"/>
      <c r="T1041" s="2"/>
    </row>
    <row r="1042">
      <c r="A1042" s="1"/>
      <c r="B1042" s="2"/>
      <c r="C1042" s="2"/>
      <c r="D1042" s="2"/>
      <c r="E1042" s="2"/>
      <c r="F1042" s="2"/>
      <c r="G1042" s="2"/>
      <c r="H1042" s="2"/>
      <c r="I1042" s="2"/>
      <c r="J1042" s="2"/>
      <c r="K1042" s="2"/>
      <c r="L1042" s="2"/>
      <c r="M1042" s="2"/>
      <c r="N1042" s="2"/>
      <c r="O1042" s="2"/>
      <c r="P1042" s="2"/>
      <c r="Q1042" s="2"/>
      <c r="R1042" s="2"/>
      <c r="S1042" s="2"/>
      <c r="T1042" s="2"/>
    </row>
    <row r="1043">
      <c r="A1043" s="1"/>
      <c r="B1043" s="2"/>
      <c r="C1043" s="2"/>
      <c r="D1043" s="2"/>
      <c r="E1043" s="2"/>
      <c r="F1043" s="2"/>
      <c r="G1043" s="2"/>
      <c r="H1043" s="2"/>
      <c r="I1043" s="2"/>
      <c r="J1043" s="2"/>
      <c r="K1043" s="2"/>
      <c r="L1043" s="2"/>
      <c r="M1043" s="2"/>
      <c r="N1043" s="2"/>
      <c r="O1043" s="2"/>
      <c r="P1043" s="2"/>
      <c r="Q1043" s="2"/>
      <c r="R1043" s="2"/>
      <c r="S1043" s="2"/>
      <c r="T1043" s="2"/>
    </row>
    <row r="1044">
      <c r="A1044" s="1"/>
      <c r="B1044" s="2"/>
      <c r="C1044" s="2"/>
      <c r="D1044" s="2"/>
      <c r="E1044" s="2"/>
      <c r="F1044" s="2"/>
      <c r="G1044" s="2"/>
      <c r="H1044" s="2"/>
      <c r="I1044" s="2"/>
      <c r="J1044" s="2"/>
      <c r="K1044" s="2"/>
      <c r="L1044" s="2"/>
      <c r="M1044" s="2"/>
      <c r="N1044" s="2"/>
      <c r="O1044" s="2"/>
      <c r="P1044" s="2"/>
      <c r="Q1044" s="2"/>
      <c r="R1044" s="2"/>
      <c r="S1044" s="2"/>
      <c r="T1044" s="2"/>
    </row>
    <row r="1045">
      <c r="A1045" s="1"/>
      <c r="B1045" s="2"/>
      <c r="C1045" s="2"/>
      <c r="D1045" s="2"/>
      <c r="E1045" s="2"/>
      <c r="F1045" s="2"/>
      <c r="G1045" s="2"/>
      <c r="H1045" s="2"/>
      <c r="I1045" s="2"/>
      <c r="J1045" s="2"/>
      <c r="K1045" s="2"/>
      <c r="L1045" s="2"/>
      <c r="M1045" s="2"/>
      <c r="N1045" s="2"/>
      <c r="O1045" s="2"/>
      <c r="P1045" s="2"/>
      <c r="Q1045" s="2"/>
      <c r="R1045" s="2"/>
      <c r="S1045" s="2"/>
      <c r="T1045" s="2"/>
    </row>
    <row r="1046">
      <c r="A1046" s="1"/>
      <c r="B1046" s="2"/>
      <c r="C1046" s="2"/>
      <c r="D1046" s="2"/>
      <c r="E1046" s="2"/>
      <c r="F1046" s="2"/>
      <c r="G1046" s="2"/>
      <c r="H1046" s="2"/>
      <c r="I1046" s="2"/>
      <c r="J1046" s="2"/>
      <c r="K1046" s="2"/>
      <c r="L1046" s="2"/>
      <c r="M1046" s="2"/>
      <c r="N1046" s="2"/>
      <c r="O1046" s="2"/>
      <c r="P1046" s="2"/>
      <c r="Q1046" s="2"/>
      <c r="R1046" s="2"/>
      <c r="S1046" s="2"/>
      <c r="T1046" s="2"/>
    </row>
    <row r="1047">
      <c r="A1047" s="1"/>
      <c r="B1047" s="2"/>
      <c r="C1047" s="2"/>
      <c r="D1047" s="2"/>
      <c r="E1047" s="2"/>
      <c r="F1047" s="2"/>
      <c r="G1047" s="2"/>
      <c r="H1047" s="2"/>
      <c r="I1047" s="2"/>
      <c r="J1047" s="2"/>
      <c r="K1047" s="2"/>
      <c r="L1047" s="2"/>
      <c r="M1047" s="2"/>
      <c r="N1047" s="2"/>
      <c r="O1047" s="2"/>
      <c r="P1047" s="2"/>
      <c r="Q1047" s="2"/>
      <c r="R1047" s="2"/>
      <c r="S1047" s="2"/>
      <c r="T1047" s="2"/>
    </row>
    <row r="1048">
      <c r="A1048" s="1"/>
      <c r="B1048" s="2"/>
      <c r="C1048" s="2"/>
      <c r="D1048" s="2"/>
      <c r="E1048" s="2"/>
      <c r="F1048" s="2"/>
      <c r="G1048" s="2"/>
      <c r="H1048" s="2"/>
      <c r="I1048" s="2"/>
      <c r="J1048" s="2"/>
      <c r="K1048" s="2"/>
      <c r="L1048" s="2"/>
      <c r="M1048" s="2"/>
      <c r="N1048" s="2"/>
      <c r="O1048" s="2"/>
      <c r="P1048" s="2"/>
      <c r="Q1048" s="2"/>
      <c r="R1048" s="2"/>
      <c r="S1048" s="2"/>
      <c r="T1048" s="2"/>
    </row>
    <row r="1049">
      <c r="A1049" s="1"/>
      <c r="B1049" s="2"/>
      <c r="C1049" s="2"/>
      <c r="D1049" s="2"/>
      <c r="E1049" s="2"/>
      <c r="F1049" s="2"/>
      <c r="G1049" s="2"/>
      <c r="H1049" s="2"/>
      <c r="I1049" s="2"/>
      <c r="J1049" s="2"/>
      <c r="K1049" s="2"/>
      <c r="L1049" s="2"/>
      <c r="M1049" s="2"/>
      <c r="N1049" s="2"/>
      <c r="O1049" s="2"/>
      <c r="P1049" s="2"/>
      <c r="Q1049" s="2"/>
      <c r="R1049" s="2"/>
      <c r="S1049" s="2"/>
      <c r="T1049" s="2"/>
    </row>
    <row r="1050">
      <c r="A1050" s="1"/>
      <c r="B1050" s="2"/>
      <c r="C1050" s="2"/>
      <c r="D1050" s="2"/>
      <c r="E1050" s="2"/>
      <c r="F1050" s="2"/>
      <c r="G1050" s="2"/>
      <c r="H1050" s="2"/>
      <c r="I1050" s="2"/>
      <c r="J1050" s="2"/>
      <c r="K1050" s="2"/>
      <c r="L1050" s="2"/>
      <c r="M1050" s="2"/>
      <c r="N1050" s="2"/>
      <c r="O1050" s="2"/>
      <c r="P1050" s="2"/>
      <c r="Q1050" s="2"/>
      <c r="R1050" s="2"/>
      <c r="S1050" s="2"/>
      <c r="T1050" s="2"/>
    </row>
    <row r="1051">
      <c r="A1051" s="1"/>
      <c r="B1051" s="2"/>
      <c r="C1051" s="2"/>
      <c r="D1051" s="2"/>
      <c r="E1051" s="2"/>
      <c r="F1051" s="2"/>
      <c r="G1051" s="2"/>
      <c r="H1051" s="2"/>
      <c r="I1051" s="2"/>
      <c r="J1051" s="2"/>
      <c r="K1051" s="2"/>
      <c r="L1051" s="2"/>
      <c r="M1051" s="2"/>
      <c r="N1051" s="2"/>
      <c r="O1051" s="2"/>
      <c r="P1051" s="2"/>
      <c r="Q1051" s="2"/>
      <c r="R1051" s="2"/>
      <c r="S1051" s="2"/>
      <c r="T1051" s="2"/>
    </row>
    <row r="1052">
      <c r="A1052" s="1"/>
      <c r="B1052" s="2"/>
      <c r="C1052" s="2"/>
      <c r="D1052" s="2"/>
      <c r="E1052" s="2"/>
      <c r="F1052" s="2"/>
      <c r="G1052" s="2"/>
      <c r="H1052" s="2"/>
      <c r="I1052" s="2"/>
      <c r="J1052" s="2"/>
      <c r="K1052" s="2"/>
      <c r="L1052" s="2"/>
      <c r="M1052" s="2"/>
      <c r="N1052" s="2"/>
      <c r="O1052" s="2"/>
      <c r="P1052" s="2"/>
      <c r="Q1052" s="2"/>
      <c r="R1052" s="2"/>
      <c r="S1052" s="2"/>
      <c r="T1052" s="2"/>
    </row>
    <row r="1053">
      <c r="A1053" s="1"/>
      <c r="B1053" s="2"/>
      <c r="C1053" s="2"/>
      <c r="D1053" s="2"/>
      <c r="E1053" s="2"/>
      <c r="F1053" s="2"/>
      <c r="G1053" s="2"/>
      <c r="H1053" s="2"/>
      <c r="I1053" s="2"/>
      <c r="J1053" s="2"/>
      <c r="K1053" s="2"/>
      <c r="L1053" s="2"/>
      <c r="M1053" s="2"/>
      <c r="N1053" s="2"/>
      <c r="O1053" s="2"/>
      <c r="P1053" s="2"/>
      <c r="Q1053" s="2"/>
      <c r="R1053" s="2"/>
      <c r="S1053" s="2"/>
      <c r="T1053" s="2"/>
    </row>
    <row r="1054">
      <c r="A1054" s="1"/>
      <c r="B1054" s="2"/>
      <c r="C1054" s="2"/>
      <c r="D1054" s="2"/>
      <c r="E1054" s="2"/>
      <c r="F1054" s="2"/>
      <c r="G1054" s="2"/>
      <c r="H1054" s="2"/>
      <c r="I1054" s="2"/>
      <c r="J1054" s="2"/>
      <c r="K1054" s="2"/>
      <c r="L1054" s="2"/>
      <c r="M1054" s="2"/>
      <c r="N1054" s="2"/>
      <c r="O1054" s="2"/>
      <c r="P1054" s="2"/>
      <c r="Q1054" s="2"/>
      <c r="R1054" s="2"/>
      <c r="S1054" s="2"/>
      <c r="T1054" s="2"/>
    </row>
    <row r="1055">
      <c r="A1055" s="1"/>
      <c r="B1055" s="2"/>
      <c r="C1055" s="2"/>
      <c r="D1055" s="2"/>
      <c r="E1055" s="2"/>
      <c r="F1055" s="2"/>
      <c r="G1055" s="2"/>
      <c r="H1055" s="2"/>
      <c r="I1055" s="2"/>
      <c r="J1055" s="2"/>
      <c r="K1055" s="2"/>
      <c r="L1055" s="2"/>
      <c r="M1055" s="2"/>
      <c r="N1055" s="2"/>
      <c r="O1055" s="2"/>
      <c r="P1055" s="2"/>
      <c r="Q1055" s="2"/>
      <c r="R1055" s="2"/>
      <c r="S1055" s="2"/>
      <c r="T1055" s="2"/>
    </row>
    <row r="1056">
      <c r="A1056" s="1"/>
      <c r="B1056" s="2"/>
      <c r="C1056" s="2"/>
      <c r="D1056" s="2"/>
      <c r="E1056" s="2"/>
      <c r="F1056" s="2"/>
      <c r="G1056" s="2"/>
      <c r="H1056" s="2"/>
      <c r="I1056" s="2"/>
      <c r="J1056" s="2"/>
      <c r="K1056" s="2"/>
      <c r="L1056" s="2"/>
      <c r="M1056" s="2"/>
      <c r="N1056" s="2"/>
      <c r="O1056" s="2"/>
      <c r="P1056" s="2"/>
      <c r="Q1056" s="2"/>
      <c r="R1056" s="2"/>
      <c r="S1056" s="2"/>
      <c r="T1056" s="2"/>
    </row>
    <row r="1057">
      <c r="A1057" s="1"/>
      <c r="B1057" s="2"/>
      <c r="C1057" s="2"/>
      <c r="D1057" s="2"/>
      <c r="E1057" s="2"/>
      <c r="F1057" s="2"/>
      <c r="G1057" s="2"/>
      <c r="H1057" s="2"/>
      <c r="I1057" s="2"/>
      <c r="J1057" s="2"/>
      <c r="K1057" s="2"/>
      <c r="L1057" s="2"/>
      <c r="M1057" s="2"/>
      <c r="N1057" s="2"/>
      <c r="O1057" s="2"/>
      <c r="P1057" s="2"/>
      <c r="Q1057" s="2"/>
      <c r="R1057" s="2"/>
      <c r="S1057" s="2"/>
      <c r="T1057" s="2"/>
    </row>
    <row r="1058">
      <c r="A1058" s="1"/>
      <c r="B1058" s="2"/>
      <c r="C1058" s="2"/>
      <c r="D1058" s="2"/>
      <c r="E1058" s="2"/>
      <c r="F1058" s="2"/>
      <c r="G1058" s="2"/>
      <c r="H1058" s="2"/>
      <c r="I1058" s="2"/>
      <c r="J1058" s="2"/>
      <c r="K1058" s="2"/>
      <c r="L1058" s="2"/>
      <c r="M1058" s="2"/>
      <c r="N1058" s="2"/>
      <c r="O1058" s="2"/>
      <c r="P1058" s="2"/>
      <c r="Q1058" s="2"/>
      <c r="R1058" s="2"/>
      <c r="S1058" s="2"/>
      <c r="T1058" s="2"/>
    </row>
    <row r="1059">
      <c r="A1059" s="1"/>
      <c r="B1059" s="2"/>
      <c r="C1059" s="2"/>
      <c r="D1059" s="2"/>
      <c r="E1059" s="2"/>
      <c r="F1059" s="2"/>
      <c r="G1059" s="2"/>
      <c r="H1059" s="2"/>
      <c r="I1059" s="2"/>
      <c r="J1059" s="2"/>
      <c r="K1059" s="2"/>
      <c r="L1059" s="2"/>
      <c r="M1059" s="2"/>
      <c r="N1059" s="2"/>
      <c r="O1059" s="2"/>
      <c r="P1059" s="2"/>
      <c r="Q1059" s="2"/>
      <c r="R1059" s="2"/>
      <c r="S1059" s="2"/>
      <c r="T1059" s="2"/>
    </row>
    <row r="1060">
      <c r="A1060" s="1"/>
      <c r="B1060" s="2"/>
      <c r="C1060" s="2"/>
      <c r="D1060" s="2"/>
      <c r="E1060" s="2"/>
      <c r="F1060" s="2"/>
      <c r="G1060" s="2"/>
      <c r="H1060" s="2"/>
      <c r="I1060" s="2"/>
      <c r="J1060" s="2"/>
      <c r="K1060" s="2"/>
      <c r="L1060" s="2"/>
      <c r="M1060" s="2"/>
      <c r="N1060" s="2"/>
      <c r="O1060" s="2"/>
      <c r="P1060" s="2"/>
      <c r="Q1060" s="2"/>
      <c r="R1060" s="2"/>
      <c r="S1060" s="2"/>
      <c r="T1060" s="2"/>
    </row>
    <row r="1061">
      <c r="A1061" s="1"/>
      <c r="B1061" s="2"/>
      <c r="C1061" s="2"/>
      <c r="D1061" s="2"/>
      <c r="E1061" s="2"/>
      <c r="F1061" s="2"/>
      <c r="G1061" s="2"/>
      <c r="H1061" s="2"/>
      <c r="I1061" s="2"/>
      <c r="J1061" s="2"/>
      <c r="K1061" s="2"/>
      <c r="L1061" s="2"/>
      <c r="M1061" s="2"/>
      <c r="N1061" s="2"/>
      <c r="O1061" s="2"/>
      <c r="P1061" s="2"/>
      <c r="Q1061" s="2"/>
      <c r="R1061" s="2"/>
      <c r="S1061" s="2"/>
      <c r="T1061" s="2"/>
    </row>
    <row r="1062">
      <c r="A1062" s="1"/>
      <c r="B1062" s="2"/>
      <c r="C1062" s="2"/>
      <c r="D1062" s="2"/>
      <c r="E1062" s="2"/>
      <c r="F1062" s="2"/>
      <c r="G1062" s="2"/>
      <c r="H1062" s="2"/>
      <c r="I1062" s="2"/>
      <c r="J1062" s="2"/>
      <c r="K1062" s="2"/>
      <c r="L1062" s="2"/>
      <c r="M1062" s="2"/>
      <c r="N1062" s="2"/>
      <c r="O1062" s="2"/>
      <c r="P1062" s="2"/>
      <c r="Q1062" s="2"/>
      <c r="R1062" s="2"/>
      <c r="S1062" s="2"/>
      <c r="T1062" s="2"/>
    </row>
    <row r="1063">
      <c r="A1063" s="1"/>
      <c r="B1063" s="2"/>
      <c r="C1063" s="2"/>
      <c r="D1063" s="2"/>
      <c r="E1063" s="2"/>
      <c r="F1063" s="2"/>
      <c r="G1063" s="2"/>
      <c r="H1063" s="2"/>
      <c r="I1063" s="2"/>
      <c r="J1063" s="2"/>
      <c r="K1063" s="2"/>
      <c r="L1063" s="2"/>
      <c r="M1063" s="2"/>
      <c r="N1063" s="2"/>
      <c r="O1063" s="2"/>
      <c r="P1063" s="2"/>
      <c r="Q1063" s="2"/>
      <c r="R1063" s="2"/>
      <c r="S1063" s="2"/>
      <c r="T1063" s="2"/>
    </row>
    <row r="1064">
      <c r="A1064" s="1"/>
      <c r="B1064" s="2"/>
      <c r="C1064" s="2"/>
      <c r="D1064" s="2"/>
      <c r="E1064" s="2"/>
      <c r="F1064" s="2"/>
      <c r="G1064" s="2"/>
      <c r="H1064" s="2"/>
      <c r="I1064" s="2"/>
      <c r="J1064" s="2"/>
      <c r="K1064" s="2"/>
      <c r="L1064" s="2"/>
      <c r="M1064" s="2"/>
      <c r="N1064" s="2"/>
      <c r="O1064" s="2"/>
      <c r="P1064" s="2"/>
      <c r="Q1064" s="2"/>
      <c r="R1064" s="2"/>
      <c r="S1064" s="2"/>
      <c r="T1064" s="2"/>
    </row>
    <row r="1065">
      <c r="A1065" s="1"/>
      <c r="B1065" s="2"/>
      <c r="C1065" s="2"/>
      <c r="D1065" s="2"/>
      <c r="E1065" s="2"/>
      <c r="F1065" s="2"/>
      <c r="G1065" s="2"/>
      <c r="H1065" s="2"/>
      <c r="I1065" s="2"/>
      <c r="J1065" s="2"/>
      <c r="K1065" s="2"/>
      <c r="L1065" s="2"/>
      <c r="M1065" s="2"/>
      <c r="N1065" s="2"/>
      <c r="O1065" s="2"/>
      <c r="P1065" s="2"/>
      <c r="Q1065" s="2"/>
      <c r="R1065" s="2"/>
      <c r="S1065" s="2"/>
      <c r="T1065" s="2"/>
    </row>
    <row r="1066">
      <c r="A1066" s="1"/>
      <c r="B1066" s="2"/>
      <c r="C1066" s="2"/>
      <c r="D1066" s="2"/>
      <c r="E1066" s="2"/>
      <c r="F1066" s="2"/>
      <c r="G1066" s="2"/>
      <c r="H1066" s="2"/>
      <c r="I1066" s="2"/>
      <c r="J1066" s="2"/>
      <c r="K1066" s="2"/>
      <c r="L1066" s="2"/>
      <c r="M1066" s="2"/>
      <c r="N1066" s="2"/>
      <c r="O1066" s="2"/>
      <c r="P1066" s="2"/>
      <c r="Q1066" s="2"/>
      <c r="R1066" s="2"/>
      <c r="S1066" s="2"/>
      <c r="T1066" s="2"/>
    </row>
    <row r="1067">
      <c r="A1067" s="1"/>
      <c r="B1067" s="2"/>
      <c r="C1067" s="2"/>
      <c r="D1067" s="2"/>
      <c r="E1067" s="2"/>
      <c r="F1067" s="2"/>
      <c r="G1067" s="2"/>
      <c r="H1067" s="2"/>
      <c r="I1067" s="2"/>
      <c r="J1067" s="2"/>
      <c r="K1067" s="2"/>
      <c r="L1067" s="2"/>
      <c r="M1067" s="2"/>
      <c r="N1067" s="2"/>
      <c r="O1067" s="2"/>
      <c r="P1067" s="2"/>
      <c r="Q1067" s="2"/>
      <c r="R1067" s="2"/>
      <c r="S1067" s="2"/>
      <c r="T1067" s="2"/>
    </row>
    <row r="1068">
      <c r="A1068" s="1"/>
      <c r="B1068" s="2"/>
      <c r="C1068" s="2"/>
      <c r="D1068" s="2"/>
      <c r="E1068" s="2"/>
      <c r="F1068" s="2"/>
      <c r="G1068" s="2"/>
      <c r="H1068" s="2"/>
      <c r="I1068" s="2"/>
      <c r="J1068" s="2"/>
      <c r="K1068" s="2"/>
      <c r="L1068" s="2"/>
      <c r="M1068" s="2"/>
      <c r="N1068" s="2"/>
      <c r="O1068" s="2"/>
      <c r="P1068" s="2"/>
      <c r="Q1068" s="2"/>
      <c r="R1068" s="2"/>
      <c r="S1068" s="2"/>
      <c r="T1068" s="2"/>
    </row>
    <row r="1069">
      <c r="A1069" s="1"/>
      <c r="B1069" s="2"/>
      <c r="C1069" s="2"/>
      <c r="D1069" s="2"/>
      <c r="E1069" s="2"/>
      <c r="F1069" s="2"/>
      <c r="G1069" s="2"/>
      <c r="H1069" s="2"/>
      <c r="I1069" s="2"/>
      <c r="J1069" s="2"/>
      <c r="K1069" s="2"/>
      <c r="L1069" s="2"/>
      <c r="M1069" s="2"/>
      <c r="N1069" s="2"/>
      <c r="O1069" s="2"/>
      <c r="P1069" s="2"/>
      <c r="Q1069" s="2"/>
      <c r="R1069" s="2"/>
      <c r="S1069" s="2"/>
      <c r="T1069" s="2"/>
    </row>
    <row r="1070">
      <c r="A1070" s="1"/>
      <c r="B1070" s="2"/>
      <c r="C1070" s="2"/>
      <c r="D1070" s="2"/>
      <c r="E1070" s="2"/>
      <c r="F1070" s="2"/>
      <c r="G1070" s="2"/>
      <c r="H1070" s="2"/>
      <c r="I1070" s="2"/>
      <c r="J1070" s="2"/>
      <c r="K1070" s="2"/>
      <c r="L1070" s="2"/>
      <c r="M1070" s="2"/>
      <c r="N1070" s="2"/>
      <c r="O1070" s="2"/>
      <c r="P1070" s="2"/>
      <c r="Q1070" s="2"/>
      <c r="R1070" s="2"/>
      <c r="S1070" s="2"/>
      <c r="T1070" s="2"/>
    </row>
    <row r="1071">
      <c r="A1071" s="1"/>
      <c r="B1071" s="2"/>
      <c r="C1071" s="2"/>
      <c r="D1071" s="2"/>
      <c r="E1071" s="2"/>
      <c r="F1071" s="2"/>
      <c r="G1071" s="2"/>
      <c r="H1071" s="2"/>
      <c r="I1071" s="2"/>
      <c r="J1071" s="2"/>
      <c r="K1071" s="2"/>
      <c r="L1071" s="2"/>
      <c r="M1071" s="2"/>
      <c r="N1071" s="2"/>
      <c r="O1071" s="2"/>
      <c r="P1071" s="2"/>
      <c r="Q1071" s="2"/>
      <c r="R1071" s="2"/>
      <c r="S1071" s="2"/>
      <c r="T1071" s="2"/>
    </row>
    <row r="1072">
      <c r="A1072" s="1"/>
      <c r="B1072" s="2"/>
      <c r="C1072" s="2"/>
      <c r="D1072" s="2"/>
      <c r="E1072" s="2"/>
      <c r="F1072" s="2"/>
      <c r="G1072" s="2"/>
      <c r="H1072" s="2"/>
      <c r="I1072" s="2"/>
      <c r="J1072" s="2"/>
      <c r="K1072" s="2"/>
      <c r="L1072" s="2"/>
      <c r="M1072" s="2"/>
      <c r="N1072" s="2"/>
      <c r="O1072" s="2"/>
      <c r="P1072" s="2"/>
      <c r="Q1072" s="2"/>
      <c r="R1072" s="2"/>
      <c r="S1072" s="2"/>
      <c r="T1072" s="2"/>
    </row>
    <row r="1073">
      <c r="A1073" s="1"/>
      <c r="B1073" s="2"/>
      <c r="C1073" s="2"/>
      <c r="D1073" s="2"/>
      <c r="E1073" s="2"/>
      <c r="F1073" s="2"/>
      <c r="G1073" s="2"/>
      <c r="H1073" s="2"/>
      <c r="I1073" s="2"/>
      <c r="J1073" s="2"/>
      <c r="K1073" s="2"/>
      <c r="L1073" s="2"/>
      <c r="M1073" s="2"/>
      <c r="N1073" s="2"/>
      <c r="O1073" s="2"/>
      <c r="P1073" s="2"/>
      <c r="Q1073" s="2"/>
      <c r="R1073" s="2"/>
      <c r="S1073" s="2"/>
      <c r="T1073" s="2"/>
    </row>
    <row r="1074">
      <c r="A1074" s="1"/>
      <c r="B1074" s="2"/>
      <c r="C1074" s="2"/>
      <c r="D1074" s="2"/>
      <c r="E1074" s="2"/>
      <c r="F1074" s="2"/>
      <c r="G1074" s="2"/>
      <c r="H1074" s="2"/>
      <c r="I1074" s="2"/>
      <c r="J1074" s="2"/>
      <c r="K1074" s="2"/>
      <c r="L1074" s="2"/>
      <c r="M1074" s="2"/>
      <c r="N1074" s="2"/>
      <c r="O1074" s="2"/>
      <c r="P1074" s="2"/>
      <c r="Q1074" s="2"/>
      <c r="R1074" s="2"/>
      <c r="S1074" s="2"/>
      <c r="T1074" s="2"/>
    </row>
    <row r="1075">
      <c r="A1075" s="1"/>
      <c r="B1075" s="2"/>
      <c r="C1075" s="2"/>
      <c r="D1075" s="2"/>
      <c r="E1075" s="2"/>
      <c r="F1075" s="2"/>
      <c r="G1075" s="2"/>
      <c r="H1075" s="2"/>
      <c r="I1075" s="2"/>
      <c r="J1075" s="2"/>
      <c r="K1075" s="2"/>
      <c r="L1075" s="2"/>
      <c r="M1075" s="2"/>
      <c r="N1075" s="2"/>
      <c r="O1075" s="2"/>
      <c r="P1075" s="2"/>
      <c r="Q1075" s="2"/>
      <c r="R1075" s="2"/>
      <c r="S1075" s="2"/>
      <c r="T1075" s="2"/>
    </row>
    <row r="1076">
      <c r="A1076" s="1"/>
      <c r="B1076" s="2"/>
      <c r="C1076" s="2"/>
      <c r="D1076" s="2"/>
      <c r="E1076" s="2"/>
      <c r="F1076" s="2"/>
      <c r="G1076" s="2"/>
      <c r="H1076" s="2"/>
      <c r="I1076" s="2"/>
      <c r="J1076" s="2"/>
      <c r="K1076" s="2"/>
      <c r="L1076" s="2"/>
      <c r="M1076" s="2"/>
      <c r="N1076" s="2"/>
      <c r="O1076" s="2"/>
      <c r="P1076" s="2"/>
      <c r="Q1076" s="2"/>
      <c r="R1076" s="2"/>
      <c r="S1076" s="2"/>
      <c r="T1076" s="2"/>
    </row>
    <row r="1077">
      <c r="A1077" s="1"/>
      <c r="B1077" s="2"/>
      <c r="C1077" s="2"/>
      <c r="D1077" s="2"/>
      <c r="E1077" s="2"/>
      <c r="F1077" s="2"/>
      <c r="G1077" s="2"/>
      <c r="H1077" s="2"/>
      <c r="I1077" s="2"/>
      <c r="J1077" s="2"/>
      <c r="K1077" s="2"/>
      <c r="L1077" s="2"/>
      <c r="M1077" s="2"/>
      <c r="N1077" s="2"/>
      <c r="O1077" s="2"/>
      <c r="P1077" s="2"/>
      <c r="Q1077" s="2"/>
      <c r="R1077" s="2"/>
      <c r="S1077" s="2"/>
      <c r="T1077" s="2"/>
    </row>
    <row r="1078">
      <c r="A1078" s="1"/>
      <c r="B1078" s="2"/>
      <c r="C1078" s="2"/>
      <c r="D1078" s="2"/>
      <c r="E1078" s="2"/>
      <c r="F1078" s="2"/>
      <c r="G1078" s="2"/>
      <c r="H1078" s="2"/>
      <c r="I1078" s="2"/>
      <c r="J1078" s="2"/>
      <c r="K1078" s="2"/>
      <c r="L1078" s="2"/>
      <c r="M1078" s="2"/>
      <c r="N1078" s="2"/>
      <c r="O1078" s="2"/>
      <c r="P1078" s="2"/>
      <c r="Q1078" s="2"/>
      <c r="R1078" s="2"/>
      <c r="S1078" s="2"/>
      <c r="T1078" s="2"/>
    </row>
    <row r="1079">
      <c r="A1079" s="1"/>
      <c r="B1079" s="2"/>
      <c r="C1079" s="2"/>
      <c r="D1079" s="2"/>
      <c r="E1079" s="2"/>
      <c r="F1079" s="2"/>
      <c r="G1079" s="2"/>
      <c r="H1079" s="2"/>
      <c r="I1079" s="2"/>
      <c r="J1079" s="2"/>
      <c r="K1079" s="2"/>
      <c r="L1079" s="2"/>
      <c r="M1079" s="2"/>
      <c r="N1079" s="2"/>
      <c r="O1079" s="2"/>
      <c r="P1079" s="2"/>
      <c r="Q1079" s="2"/>
      <c r="R1079" s="2"/>
      <c r="S1079" s="2"/>
      <c r="T1079" s="2"/>
    </row>
    <row r="1080">
      <c r="A1080" s="1"/>
      <c r="B1080" s="2"/>
      <c r="C1080" s="2"/>
      <c r="D1080" s="2"/>
      <c r="E1080" s="2"/>
      <c r="F1080" s="2"/>
      <c r="G1080" s="2"/>
      <c r="H1080" s="2"/>
      <c r="I1080" s="2"/>
      <c r="J1080" s="2"/>
      <c r="K1080" s="2"/>
      <c r="L1080" s="2"/>
      <c r="M1080" s="2"/>
      <c r="N1080" s="2"/>
      <c r="O1080" s="2"/>
      <c r="P1080" s="2"/>
      <c r="Q1080" s="2"/>
      <c r="R1080" s="2"/>
      <c r="S1080" s="2"/>
      <c r="T1080" s="2"/>
    </row>
    <row r="1081">
      <c r="A1081" s="1"/>
      <c r="B1081" s="2"/>
      <c r="C1081" s="2"/>
      <c r="D1081" s="2"/>
      <c r="E1081" s="2"/>
      <c r="F1081" s="2"/>
      <c r="G1081" s="2"/>
      <c r="H1081" s="2"/>
      <c r="I1081" s="2"/>
      <c r="J1081" s="2"/>
      <c r="K1081" s="2"/>
      <c r="L1081" s="2"/>
      <c r="M1081" s="2"/>
      <c r="N1081" s="2"/>
      <c r="O1081" s="2"/>
      <c r="P1081" s="2"/>
      <c r="Q1081" s="2"/>
      <c r="R1081" s="2"/>
      <c r="S1081" s="2"/>
      <c r="T1081" s="2"/>
    </row>
    <row r="1082">
      <c r="A1082" s="1"/>
      <c r="B1082" s="2"/>
      <c r="C1082" s="2"/>
      <c r="D1082" s="2"/>
      <c r="E1082" s="2"/>
      <c r="F1082" s="2"/>
      <c r="G1082" s="2"/>
      <c r="H1082" s="2"/>
      <c r="I1082" s="2"/>
      <c r="J1082" s="2"/>
      <c r="K1082" s="2"/>
      <c r="L1082" s="2"/>
      <c r="M1082" s="2"/>
      <c r="N1082" s="2"/>
      <c r="O1082" s="2"/>
      <c r="P1082" s="2"/>
      <c r="Q1082" s="2"/>
      <c r="R1082" s="2"/>
      <c r="S1082" s="2"/>
      <c r="T1082" s="2"/>
    </row>
    <row r="1083">
      <c r="A1083" s="1"/>
      <c r="B1083" s="2"/>
      <c r="C1083" s="2"/>
      <c r="D1083" s="2"/>
      <c r="E1083" s="2"/>
      <c r="F1083" s="2"/>
      <c r="G1083" s="2"/>
      <c r="H1083" s="2"/>
      <c r="I1083" s="2"/>
      <c r="J1083" s="2"/>
      <c r="K1083" s="2"/>
      <c r="L1083" s="2"/>
      <c r="M1083" s="2"/>
      <c r="N1083" s="2"/>
      <c r="O1083" s="2"/>
      <c r="P1083" s="2"/>
      <c r="Q1083" s="2"/>
      <c r="R1083" s="2"/>
      <c r="S1083" s="2"/>
      <c r="T1083" s="2"/>
    </row>
    <row r="1084">
      <c r="A1084" s="1"/>
      <c r="B1084" s="2"/>
      <c r="C1084" s="2"/>
      <c r="D1084" s="2"/>
      <c r="E1084" s="2"/>
      <c r="F1084" s="2"/>
      <c r="G1084" s="2"/>
      <c r="H1084" s="2"/>
      <c r="I1084" s="2"/>
      <c r="J1084" s="2"/>
      <c r="K1084" s="2"/>
      <c r="L1084" s="2"/>
      <c r="M1084" s="2"/>
      <c r="N1084" s="2"/>
      <c r="O1084" s="2"/>
      <c r="P1084" s="2"/>
      <c r="Q1084" s="2"/>
      <c r="R1084" s="2"/>
      <c r="S1084" s="2"/>
      <c r="T1084" s="2"/>
    </row>
    <row r="1085">
      <c r="A1085" s="1"/>
      <c r="B1085" s="2"/>
      <c r="C1085" s="2"/>
      <c r="D1085" s="2"/>
      <c r="E1085" s="2"/>
      <c r="F1085" s="2"/>
      <c r="G1085" s="2"/>
      <c r="H1085" s="2"/>
      <c r="I1085" s="2"/>
      <c r="J1085" s="2"/>
      <c r="K1085" s="2"/>
      <c r="L1085" s="2"/>
      <c r="M1085" s="2"/>
      <c r="N1085" s="2"/>
      <c r="O1085" s="2"/>
      <c r="P1085" s="2"/>
      <c r="Q1085" s="2"/>
      <c r="R1085" s="2"/>
      <c r="S1085" s="2"/>
      <c r="T1085" s="2"/>
    </row>
    <row r="1086">
      <c r="A1086" s="1"/>
      <c r="B1086" s="2"/>
      <c r="C1086" s="2"/>
      <c r="D1086" s="2"/>
      <c r="E1086" s="2"/>
      <c r="F1086" s="2"/>
      <c r="G1086" s="2"/>
      <c r="H1086" s="2"/>
      <c r="I1086" s="2"/>
      <c r="J1086" s="2"/>
      <c r="K1086" s="2"/>
      <c r="L1086" s="2"/>
      <c r="M1086" s="2"/>
      <c r="N1086" s="2"/>
      <c r="O1086" s="2"/>
      <c r="P1086" s="2"/>
      <c r="Q1086" s="2"/>
      <c r="R1086" s="2"/>
      <c r="S1086" s="2"/>
      <c r="T1086" s="2"/>
    </row>
    <row r="1087">
      <c r="A1087" s="1"/>
      <c r="B1087" s="2"/>
      <c r="C1087" s="2"/>
      <c r="D1087" s="2"/>
      <c r="E1087" s="2"/>
      <c r="F1087" s="2"/>
      <c r="G1087" s="2"/>
      <c r="H1087" s="2"/>
      <c r="I1087" s="2"/>
      <c r="J1087" s="2"/>
      <c r="K1087" s="2"/>
      <c r="L1087" s="2"/>
      <c r="M1087" s="2"/>
      <c r="N1087" s="2"/>
      <c r="O1087" s="2"/>
      <c r="P1087" s="2"/>
      <c r="Q1087" s="2"/>
      <c r="R1087" s="2"/>
      <c r="S1087" s="2"/>
      <c r="T1087" s="2"/>
    </row>
    <row r="1088">
      <c r="A1088" s="1"/>
      <c r="B1088" s="2"/>
      <c r="C1088" s="2"/>
      <c r="D1088" s="2"/>
      <c r="E1088" s="2"/>
      <c r="F1088" s="2"/>
      <c r="G1088" s="2"/>
      <c r="H1088" s="2"/>
      <c r="I1088" s="2"/>
      <c r="J1088" s="2"/>
      <c r="K1088" s="2"/>
      <c r="L1088" s="2"/>
      <c r="M1088" s="2"/>
      <c r="N1088" s="2"/>
      <c r="O1088" s="2"/>
      <c r="P1088" s="2"/>
      <c r="Q1088" s="2"/>
      <c r="R1088" s="2"/>
      <c r="S1088" s="2"/>
      <c r="T1088" s="2"/>
    </row>
    <row r="1089">
      <c r="A1089" s="1"/>
      <c r="B1089" s="2"/>
      <c r="C1089" s="2"/>
      <c r="D1089" s="2"/>
      <c r="E1089" s="2"/>
      <c r="F1089" s="2"/>
      <c r="G1089" s="2"/>
      <c r="H1089" s="2"/>
      <c r="I1089" s="2"/>
      <c r="J1089" s="2"/>
      <c r="K1089" s="2"/>
      <c r="L1089" s="2"/>
      <c r="M1089" s="2"/>
      <c r="N1089" s="2"/>
      <c r="O1089" s="2"/>
      <c r="P1089" s="2"/>
      <c r="Q1089" s="2"/>
      <c r="R1089" s="2"/>
      <c r="S1089" s="2"/>
      <c r="T1089" s="2"/>
    </row>
    <row r="1090">
      <c r="A1090" s="1"/>
      <c r="B1090" s="2"/>
      <c r="C1090" s="2"/>
      <c r="D1090" s="2"/>
      <c r="E1090" s="2"/>
      <c r="F1090" s="2"/>
      <c r="G1090" s="2"/>
      <c r="H1090" s="2"/>
      <c r="I1090" s="2"/>
      <c r="J1090" s="2"/>
      <c r="K1090" s="2"/>
      <c r="L1090" s="2"/>
      <c r="M1090" s="2"/>
      <c r="N1090" s="2"/>
      <c r="O1090" s="2"/>
      <c r="P1090" s="2"/>
      <c r="Q1090" s="2"/>
      <c r="R1090" s="2"/>
      <c r="S1090" s="2"/>
      <c r="T1090" s="2"/>
    </row>
    <row r="1091">
      <c r="A1091" s="1"/>
      <c r="B1091" s="2"/>
      <c r="C1091" s="2"/>
      <c r="D1091" s="2"/>
      <c r="E1091" s="2"/>
      <c r="F1091" s="2"/>
      <c r="G1091" s="2"/>
      <c r="H1091" s="2"/>
      <c r="I1091" s="2"/>
      <c r="J1091" s="2"/>
      <c r="K1091" s="2"/>
      <c r="L1091" s="2"/>
      <c r="M1091" s="2"/>
      <c r="N1091" s="2"/>
      <c r="O1091" s="2"/>
      <c r="P1091" s="2"/>
      <c r="Q1091" s="2"/>
      <c r="R1091" s="2"/>
      <c r="S1091" s="2"/>
      <c r="T1091" s="2"/>
    </row>
    <row r="1092">
      <c r="A1092" s="1"/>
      <c r="B1092" s="2"/>
      <c r="C1092" s="2"/>
      <c r="D1092" s="2"/>
      <c r="E1092" s="2"/>
      <c r="F1092" s="2"/>
      <c r="G1092" s="2"/>
      <c r="H1092" s="2"/>
      <c r="I1092" s="2"/>
      <c r="J1092" s="2"/>
      <c r="K1092" s="2"/>
      <c r="L1092" s="2"/>
      <c r="M1092" s="2"/>
      <c r="N1092" s="2"/>
      <c r="O1092" s="2"/>
      <c r="P1092" s="2"/>
      <c r="Q1092" s="2"/>
      <c r="R1092" s="2"/>
      <c r="S1092" s="2"/>
      <c r="T1092" s="2"/>
    </row>
    <row r="1093">
      <c r="A1093" s="1"/>
      <c r="B1093" s="2"/>
      <c r="C1093" s="2"/>
      <c r="D1093" s="2"/>
      <c r="E1093" s="2"/>
      <c r="F1093" s="2"/>
      <c r="G1093" s="2"/>
      <c r="H1093" s="2"/>
      <c r="I1093" s="2"/>
      <c r="J1093" s="2"/>
      <c r="K1093" s="2"/>
      <c r="L1093" s="2"/>
      <c r="M1093" s="2"/>
      <c r="N1093" s="2"/>
      <c r="O1093" s="2"/>
      <c r="P1093" s="2"/>
      <c r="Q1093" s="2"/>
      <c r="R1093" s="2"/>
      <c r="S1093" s="2"/>
      <c r="T1093" s="2"/>
    </row>
    <row r="1094">
      <c r="A1094" s="1"/>
      <c r="B1094" s="2"/>
      <c r="C1094" s="2"/>
      <c r="D1094" s="2"/>
      <c r="E1094" s="2"/>
      <c r="F1094" s="2"/>
      <c r="G1094" s="2"/>
      <c r="H1094" s="2"/>
      <c r="I1094" s="2"/>
      <c r="J1094" s="2"/>
      <c r="K1094" s="2"/>
      <c r="L1094" s="2"/>
      <c r="M1094" s="2"/>
      <c r="N1094" s="2"/>
      <c r="O1094" s="2"/>
      <c r="P1094" s="2"/>
      <c r="Q1094" s="2"/>
      <c r="R1094" s="2"/>
      <c r="S1094" s="2"/>
      <c r="T1094" s="2"/>
    </row>
    <row r="1095">
      <c r="A1095" s="1"/>
      <c r="B1095" s="2"/>
      <c r="C1095" s="2"/>
      <c r="D1095" s="2"/>
      <c r="E1095" s="2"/>
      <c r="F1095" s="2"/>
      <c r="G1095" s="2"/>
      <c r="H1095" s="2"/>
      <c r="I1095" s="2"/>
      <c r="J1095" s="2"/>
      <c r="K1095" s="2"/>
      <c r="L1095" s="2"/>
      <c r="M1095" s="2"/>
      <c r="N1095" s="2"/>
      <c r="O1095" s="2"/>
      <c r="P1095" s="2"/>
      <c r="Q1095" s="2"/>
      <c r="R1095" s="2"/>
      <c r="S1095" s="2"/>
      <c r="T1095" s="2"/>
    </row>
    <row r="1096">
      <c r="A1096" s="1"/>
      <c r="B1096" s="2"/>
      <c r="C1096" s="2"/>
      <c r="D1096" s="2"/>
      <c r="E1096" s="2"/>
      <c r="F1096" s="2"/>
      <c r="G1096" s="2"/>
      <c r="H1096" s="2"/>
      <c r="I1096" s="2"/>
      <c r="J1096" s="2"/>
      <c r="K1096" s="2"/>
      <c r="L1096" s="2"/>
      <c r="M1096" s="2"/>
      <c r="N1096" s="2"/>
      <c r="O1096" s="2"/>
      <c r="P1096" s="2"/>
      <c r="Q1096" s="2"/>
      <c r="R1096" s="2"/>
      <c r="S1096" s="2"/>
      <c r="T1096" s="2"/>
    </row>
    <row r="1097">
      <c r="A1097" s="1"/>
      <c r="B1097" s="2"/>
      <c r="C1097" s="2"/>
      <c r="D1097" s="2"/>
      <c r="E1097" s="2"/>
      <c r="F1097" s="2"/>
      <c r="G1097" s="2"/>
      <c r="H1097" s="2"/>
      <c r="I1097" s="2"/>
      <c r="J1097" s="2"/>
      <c r="K1097" s="2"/>
      <c r="L1097" s="2"/>
      <c r="M1097" s="2"/>
      <c r="N1097" s="2"/>
      <c r="O1097" s="2"/>
      <c r="P1097" s="2"/>
      <c r="Q1097" s="2"/>
      <c r="R1097" s="2"/>
      <c r="S1097" s="2"/>
      <c r="T1097" s="2"/>
    </row>
    <row r="1098">
      <c r="A1098" s="1"/>
      <c r="B1098" s="2"/>
      <c r="C1098" s="2"/>
      <c r="D1098" s="2"/>
      <c r="E1098" s="2"/>
      <c r="F1098" s="2"/>
      <c r="G1098" s="2"/>
      <c r="H1098" s="2"/>
      <c r="I1098" s="2"/>
      <c r="J1098" s="2"/>
      <c r="K1098" s="2"/>
      <c r="L1098" s="2"/>
      <c r="M1098" s="2"/>
      <c r="N1098" s="2"/>
      <c r="O1098" s="2"/>
      <c r="P1098" s="2"/>
      <c r="Q1098" s="2"/>
      <c r="R1098" s="2"/>
      <c r="S1098" s="2"/>
      <c r="T1098" s="2"/>
    </row>
    <row r="1099">
      <c r="A1099" s="1"/>
      <c r="B1099" s="2"/>
      <c r="C1099" s="2"/>
      <c r="D1099" s="2"/>
      <c r="E1099" s="2"/>
      <c r="F1099" s="2"/>
      <c r="G1099" s="2"/>
      <c r="H1099" s="2"/>
      <c r="I1099" s="2"/>
      <c r="J1099" s="2"/>
      <c r="K1099" s="2"/>
      <c r="L1099" s="2"/>
      <c r="M1099" s="2"/>
      <c r="N1099" s="2"/>
      <c r="O1099" s="2"/>
      <c r="P1099" s="2"/>
      <c r="Q1099" s="2"/>
      <c r="R1099" s="2"/>
      <c r="S1099" s="2"/>
      <c r="T1099" s="2"/>
    </row>
    <row r="1100">
      <c r="A1100" s="1"/>
      <c r="B1100" s="2"/>
      <c r="C1100" s="2"/>
      <c r="D1100" s="2"/>
      <c r="E1100" s="2"/>
      <c r="F1100" s="2"/>
      <c r="G1100" s="2"/>
      <c r="H1100" s="2"/>
      <c r="I1100" s="2"/>
      <c r="J1100" s="2"/>
      <c r="K1100" s="2"/>
      <c r="L1100" s="2"/>
      <c r="M1100" s="2"/>
      <c r="N1100" s="2"/>
      <c r="O1100" s="2"/>
      <c r="P1100" s="2"/>
      <c r="Q1100" s="2"/>
      <c r="R1100" s="2"/>
      <c r="S1100" s="2"/>
      <c r="T1100" s="2"/>
    </row>
    <row r="1101">
      <c r="A1101" s="1"/>
      <c r="B1101" s="2"/>
      <c r="C1101" s="2"/>
      <c r="D1101" s="2"/>
      <c r="E1101" s="2"/>
      <c r="F1101" s="2"/>
      <c r="G1101" s="2"/>
      <c r="H1101" s="2"/>
      <c r="I1101" s="2"/>
      <c r="J1101" s="2"/>
      <c r="K1101" s="2"/>
      <c r="L1101" s="2"/>
      <c r="M1101" s="2"/>
      <c r="N1101" s="2"/>
      <c r="O1101" s="2"/>
      <c r="P1101" s="2"/>
      <c r="Q1101" s="2"/>
      <c r="R1101" s="2"/>
      <c r="S1101" s="2"/>
      <c r="T1101" s="2"/>
    </row>
    <row r="1102">
      <c r="A1102" s="1"/>
      <c r="B1102" s="2"/>
      <c r="C1102" s="2"/>
      <c r="D1102" s="2"/>
      <c r="E1102" s="2"/>
      <c r="F1102" s="2"/>
      <c r="G1102" s="2"/>
      <c r="H1102" s="2"/>
      <c r="I1102" s="2"/>
      <c r="J1102" s="2"/>
      <c r="K1102" s="2"/>
      <c r="L1102" s="2"/>
      <c r="M1102" s="2"/>
      <c r="N1102" s="2"/>
      <c r="O1102" s="2"/>
      <c r="P1102" s="2"/>
      <c r="Q1102" s="2"/>
      <c r="R1102" s="2"/>
      <c r="S1102" s="2"/>
      <c r="T1102" s="2"/>
    </row>
    <row r="1103">
      <c r="A1103" s="1"/>
      <c r="B1103" s="2"/>
      <c r="C1103" s="2"/>
      <c r="D1103" s="2"/>
      <c r="E1103" s="2"/>
      <c r="F1103" s="2"/>
      <c r="G1103" s="2"/>
      <c r="H1103" s="2"/>
      <c r="I1103" s="2"/>
      <c r="J1103" s="2"/>
      <c r="K1103" s="2"/>
      <c r="L1103" s="2"/>
      <c r="M1103" s="2"/>
      <c r="N1103" s="2"/>
      <c r="O1103" s="2"/>
      <c r="P1103" s="2"/>
      <c r="Q1103" s="2"/>
      <c r="R1103" s="2"/>
      <c r="S1103" s="2"/>
      <c r="T1103" s="2"/>
    </row>
    <row r="1104">
      <c r="A1104" s="1"/>
      <c r="B1104" s="2"/>
      <c r="C1104" s="2"/>
      <c r="D1104" s="2"/>
      <c r="E1104" s="2"/>
      <c r="F1104" s="2"/>
      <c r="G1104" s="2"/>
      <c r="H1104" s="2"/>
      <c r="I1104" s="2"/>
      <c r="J1104" s="2"/>
      <c r="K1104" s="2"/>
      <c r="L1104" s="2"/>
      <c r="M1104" s="2"/>
      <c r="N1104" s="2"/>
      <c r="O1104" s="2"/>
      <c r="P1104" s="2"/>
      <c r="Q1104" s="2"/>
      <c r="R1104" s="2"/>
      <c r="S1104" s="2"/>
      <c r="T1104" s="2"/>
    </row>
    <row r="1105">
      <c r="A1105" s="1"/>
      <c r="B1105" s="2"/>
      <c r="C1105" s="2"/>
      <c r="D1105" s="2"/>
      <c r="E1105" s="2"/>
      <c r="F1105" s="2"/>
      <c r="G1105" s="2"/>
      <c r="H1105" s="2"/>
      <c r="I1105" s="2"/>
      <c r="J1105" s="2"/>
      <c r="K1105" s="2"/>
      <c r="L1105" s="2"/>
      <c r="M1105" s="2"/>
      <c r="N1105" s="2"/>
      <c r="O1105" s="2"/>
      <c r="P1105" s="2"/>
      <c r="Q1105" s="2"/>
      <c r="R1105" s="2"/>
      <c r="S1105" s="2"/>
      <c r="T1105" s="2"/>
    </row>
    <row r="1106">
      <c r="A1106" s="1"/>
      <c r="B1106" s="2"/>
      <c r="C1106" s="2"/>
      <c r="D1106" s="2"/>
      <c r="E1106" s="2"/>
      <c r="F1106" s="2"/>
      <c r="G1106" s="2"/>
      <c r="H1106" s="2"/>
      <c r="I1106" s="2"/>
      <c r="J1106" s="2"/>
      <c r="K1106" s="2"/>
      <c r="L1106" s="2"/>
      <c r="M1106" s="2"/>
      <c r="N1106" s="2"/>
      <c r="O1106" s="2"/>
      <c r="P1106" s="2"/>
      <c r="Q1106" s="2"/>
      <c r="R1106" s="2"/>
      <c r="S1106" s="2"/>
      <c r="T1106" s="2"/>
    </row>
    <row r="1107">
      <c r="A1107" s="1"/>
      <c r="B1107" s="2"/>
      <c r="C1107" s="2"/>
      <c r="D1107" s="2"/>
      <c r="E1107" s="2"/>
      <c r="F1107" s="2"/>
      <c r="G1107" s="2"/>
      <c r="H1107" s="2"/>
      <c r="I1107" s="2"/>
      <c r="J1107" s="2"/>
      <c r="K1107" s="2"/>
      <c r="L1107" s="2"/>
      <c r="M1107" s="2"/>
      <c r="N1107" s="2"/>
      <c r="O1107" s="2"/>
      <c r="P1107" s="2"/>
      <c r="Q1107" s="2"/>
      <c r="R1107" s="2"/>
      <c r="S1107" s="2"/>
      <c r="T1107" s="2"/>
    </row>
    <row r="1108">
      <c r="A1108" s="1"/>
      <c r="B1108" s="2"/>
      <c r="C1108" s="2"/>
      <c r="D1108" s="2"/>
      <c r="E1108" s="2"/>
      <c r="F1108" s="2"/>
      <c r="G1108" s="2"/>
      <c r="H1108" s="2"/>
      <c r="I1108" s="2"/>
      <c r="J1108" s="2"/>
      <c r="K1108" s="2"/>
      <c r="L1108" s="2"/>
      <c r="M1108" s="2"/>
      <c r="N1108" s="2"/>
      <c r="O1108" s="2"/>
      <c r="P1108" s="2"/>
      <c r="Q1108" s="2"/>
      <c r="R1108" s="2"/>
      <c r="S1108" s="2"/>
      <c r="T1108" s="2"/>
    </row>
    <row r="1109">
      <c r="A1109" s="1"/>
      <c r="B1109" s="2"/>
      <c r="C1109" s="2"/>
      <c r="D1109" s="2"/>
      <c r="E1109" s="2"/>
      <c r="F1109" s="2"/>
      <c r="G1109" s="2"/>
      <c r="H1109" s="2"/>
      <c r="I1109" s="2"/>
      <c r="J1109" s="2"/>
      <c r="K1109" s="2"/>
      <c r="L1109" s="2"/>
      <c r="M1109" s="2"/>
      <c r="N1109" s="2"/>
      <c r="O1109" s="2"/>
      <c r="P1109" s="2"/>
      <c r="Q1109" s="2"/>
      <c r="R1109" s="2"/>
      <c r="S1109" s="2"/>
      <c r="T1109" s="2"/>
    </row>
    <row r="1110">
      <c r="A1110" s="1"/>
      <c r="B1110" s="2"/>
      <c r="C1110" s="2"/>
      <c r="D1110" s="2"/>
      <c r="E1110" s="2"/>
      <c r="F1110" s="2"/>
      <c r="G1110" s="2"/>
      <c r="H1110" s="2"/>
      <c r="I1110" s="2"/>
      <c r="J1110" s="2"/>
      <c r="K1110" s="2"/>
      <c r="L1110" s="2"/>
      <c r="M1110" s="2"/>
      <c r="N1110" s="2"/>
      <c r="O1110" s="2"/>
      <c r="P1110" s="2"/>
      <c r="Q1110" s="2"/>
      <c r="R1110" s="2"/>
      <c r="S1110" s="2"/>
      <c r="T1110" s="2"/>
    </row>
    <row r="1111">
      <c r="A1111" s="1"/>
      <c r="B1111" s="2"/>
      <c r="C1111" s="2"/>
      <c r="D1111" s="2"/>
      <c r="E1111" s="2"/>
      <c r="F1111" s="2"/>
      <c r="G1111" s="2"/>
      <c r="H1111" s="2"/>
      <c r="I1111" s="2"/>
      <c r="J1111" s="2"/>
      <c r="K1111" s="2"/>
      <c r="L1111" s="2"/>
      <c r="M1111" s="2"/>
      <c r="N1111" s="2"/>
      <c r="O1111" s="2"/>
      <c r="P1111" s="2"/>
      <c r="Q1111" s="2"/>
      <c r="R1111" s="2"/>
      <c r="S1111" s="2"/>
      <c r="T1111" s="2"/>
    </row>
    <row r="1112">
      <c r="A1112" s="1"/>
      <c r="B1112" s="2"/>
      <c r="C1112" s="2"/>
      <c r="D1112" s="2"/>
      <c r="E1112" s="2"/>
      <c r="F1112" s="2"/>
      <c r="G1112" s="2"/>
      <c r="H1112" s="2"/>
      <c r="I1112" s="2"/>
      <c r="J1112" s="2"/>
      <c r="K1112" s="2"/>
      <c r="L1112" s="2"/>
      <c r="M1112" s="2"/>
      <c r="N1112" s="2"/>
      <c r="O1112" s="2"/>
      <c r="P1112" s="2"/>
      <c r="Q1112" s="2"/>
      <c r="R1112" s="2"/>
      <c r="S1112" s="2"/>
      <c r="T1112" s="2"/>
    </row>
    <row r="1113">
      <c r="A1113" s="1"/>
      <c r="B1113" s="2"/>
      <c r="C1113" s="2"/>
      <c r="D1113" s="2"/>
      <c r="E1113" s="2"/>
      <c r="F1113" s="2"/>
      <c r="G1113" s="2"/>
      <c r="H1113" s="2"/>
      <c r="I1113" s="2"/>
      <c r="J1113" s="2"/>
      <c r="K1113" s="2"/>
      <c r="L1113" s="2"/>
      <c r="M1113" s="2"/>
      <c r="N1113" s="2"/>
      <c r="O1113" s="2"/>
      <c r="P1113" s="2"/>
      <c r="Q1113" s="2"/>
      <c r="R1113" s="2"/>
      <c r="S1113" s="2"/>
      <c r="T1113" s="2"/>
    </row>
    <row r="1114">
      <c r="A1114" s="1"/>
      <c r="B1114" s="2"/>
      <c r="C1114" s="2"/>
      <c r="D1114" s="2"/>
      <c r="E1114" s="2"/>
      <c r="F1114" s="2"/>
      <c r="G1114" s="2"/>
      <c r="H1114" s="2"/>
      <c r="I1114" s="2"/>
      <c r="J1114" s="2"/>
      <c r="K1114" s="2"/>
      <c r="L1114" s="2"/>
      <c r="M1114" s="2"/>
      <c r="N1114" s="2"/>
      <c r="O1114" s="2"/>
      <c r="P1114" s="2"/>
      <c r="Q1114" s="2"/>
      <c r="R1114" s="2"/>
      <c r="S1114" s="2"/>
      <c r="T1114" s="2"/>
    </row>
    <row r="1115">
      <c r="A1115" s="1"/>
      <c r="B1115" s="2"/>
      <c r="C1115" s="2"/>
      <c r="D1115" s="2"/>
      <c r="E1115" s="2"/>
      <c r="F1115" s="2"/>
      <c r="G1115" s="2"/>
      <c r="H1115" s="2"/>
      <c r="I1115" s="2"/>
      <c r="J1115" s="2"/>
      <c r="K1115" s="2"/>
      <c r="L1115" s="2"/>
      <c r="M1115" s="2"/>
      <c r="N1115" s="2"/>
      <c r="O1115" s="2"/>
      <c r="P1115" s="2"/>
      <c r="Q1115" s="2"/>
      <c r="R1115" s="2"/>
      <c r="S1115" s="2"/>
      <c r="T1115" s="2"/>
    </row>
    <row r="1116">
      <c r="A1116" s="1"/>
      <c r="B1116" s="2"/>
      <c r="C1116" s="2"/>
      <c r="D1116" s="2"/>
      <c r="E1116" s="2"/>
      <c r="F1116" s="2"/>
      <c r="G1116" s="2"/>
      <c r="H1116" s="2"/>
      <c r="I1116" s="2"/>
      <c r="J1116" s="2"/>
      <c r="K1116" s="2"/>
      <c r="L1116" s="2"/>
      <c r="M1116" s="2"/>
      <c r="N1116" s="2"/>
      <c r="O1116" s="2"/>
      <c r="P1116" s="2"/>
      <c r="Q1116" s="2"/>
      <c r="R1116" s="2"/>
      <c r="S1116" s="2"/>
      <c r="T1116" s="2"/>
    </row>
    <row r="1117">
      <c r="A1117" s="1"/>
      <c r="B1117" s="2"/>
      <c r="C1117" s="2"/>
      <c r="D1117" s="2"/>
      <c r="E1117" s="2"/>
      <c r="F1117" s="2"/>
      <c r="G1117" s="2"/>
      <c r="H1117" s="2"/>
      <c r="I1117" s="2"/>
      <c r="J1117" s="2"/>
      <c r="K1117" s="2"/>
      <c r="L1117" s="2"/>
      <c r="M1117" s="2"/>
      <c r="N1117" s="2"/>
      <c r="O1117" s="2"/>
      <c r="P1117" s="2"/>
      <c r="Q1117" s="2"/>
      <c r="R1117" s="2"/>
      <c r="S1117" s="2"/>
      <c r="T1117" s="2"/>
    </row>
    <row r="1118">
      <c r="A1118" s="1"/>
      <c r="B1118" s="2"/>
      <c r="C1118" s="2"/>
      <c r="D1118" s="2"/>
      <c r="E1118" s="2"/>
      <c r="F1118" s="2"/>
      <c r="G1118" s="2"/>
      <c r="H1118" s="2"/>
      <c r="I1118" s="2"/>
      <c r="J1118" s="2"/>
      <c r="K1118" s="2"/>
      <c r="L1118" s="2"/>
      <c r="M1118" s="2"/>
      <c r="N1118" s="2"/>
      <c r="O1118" s="2"/>
      <c r="P1118" s="2"/>
      <c r="Q1118" s="2"/>
      <c r="R1118" s="2"/>
      <c r="S1118" s="2"/>
      <c r="T1118" s="2"/>
    </row>
    <row r="1119">
      <c r="A1119" s="1"/>
      <c r="B1119" s="2"/>
      <c r="C1119" s="2"/>
      <c r="D1119" s="2"/>
      <c r="E1119" s="2"/>
      <c r="F1119" s="2"/>
      <c r="G1119" s="2"/>
      <c r="H1119" s="2"/>
      <c r="I1119" s="2"/>
      <c r="J1119" s="2"/>
      <c r="K1119" s="2"/>
      <c r="L1119" s="2"/>
      <c r="M1119" s="2"/>
      <c r="N1119" s="2"/>
      <c r="O1119" s="2"/>
      <c r="P1119" s="2"/>
      <c r="Q1119" s="2"/>
      <c r="R1119" s="2"/>
      <c r="S1119" s="2"/>
      <c r="T1119" s="2"/>
    </row>
    <row r="1120">
      <c r="A1120" s="1"/>
      <c r="B1120" s="2"/>
      <c r="C1120" s="2"/>
      <c r="D1120" s="2"/>
      <c r="E1120" s="2"/>
      <c r="F1120" s="2"/>
      <c r="G1120" s="2"/>
      <c r="H1120" s="2"/>
      <c r="I1120" s="2"/>
      <c r="J1120" s="2"/>
      <c r="K1120" s="2"/>
      <c r="L1120" s="2"/>
      <c r="M1120" s="2"/>
      <c r="N1120" s="2"/>
      <c r="O1120" s="2"/>
      <c r="P1120" s="2"/>
      <c r="Q1120" s="2"/>
      <c r="R1120" s="2"/>
      <c r="S1120" s="2"/>
      <c r="T1120" s="2"/>
    </row>
    <row r="1121">
      <c r="A1121" s="1"/>
      <c r="B1121" s="2"/>
      <c r="C1121" s="2"/>
      <c r="D1121" s="2"/>
      <c r="E1121" s="2"/>
      <c r="F1121" s="2"/>
      <c r="G1121" s="2"/>
      <c r="H1121" s="2"/>
      <c r="I1121" s="2"/>
      <c r="J1121" s="2"/>
      <c r="K1121" s="2"/>
      <c r="L1121" s="2"/>
      <c r="M1121" s="2"/>
      <c r="N1121" s="2"/>
      <c r="O1121" s="2"/>
      <c r="P1121" s="2"/>
      <c r="Q1121" s="2"/>
      <c r="R1121" s="2"/>
      <c r="S1121" s="2"/>
      <c r="T1121" s="2"/>
    </row>
    <row r="1122">
      <c r="A1122" s="1"/>
      <c r="B1122" s="2"/>
      <c r="C1122" s="2"/>
      <c r="D1122" s="2"/>
      <c r="E1122" s="2"/>
      <c r="F1122" s="2"/>
      <c r="G1122" s="2"/>
      <c r="H1122" s="2"/>
      <c r="I1122" s="2"/>
      <c r="J1122" s="2"/>
      <c r="K1122" s="2"/>
      <c r="L1122" s="2"/>
      <c r="M1122" s="2"/>
      <c r="N1122" s="2"/>
      <c r="O1122" s="2"/>
      <c r="P1122" s="2"/>
      <c r="Q1122" s="2"/>
      <c r="R1122" s="2"/>
      <c r="S1122" s="2"/>
      <c r="T1122" s="2"/>
    </row>
    <row r="1123">
      <c r="A1123" s="1"/>
      <c r="B1123" s="2"/>
      <c r="C1123" s="2"/>
      <c r="D1123" s="2"/>
      <c r="E1123" s="2"/>
      <c r="F1123" s="2"/>
      <c r="G1123" s="2"/>
      <c r="H1123" s="2"/>
      <c r="I1123" s="2"/>
      <c r="J1123" s="2"/>
      <c r="K1123" s="2"/>
      <c r="L1123" s="2"/>
      <c r="M1123" s="2"/>
      <c r="N1123" s="2"/>
      <c r="O1123" s="2"/>
      <c r="P1123" s="2"/>
      <c r="Q1123" s="2"/>
      <c r="R1123" s="2"/>
      <c r="S1123" s="2"/>
      <c r="T1123" s="2"/>
    </row>
    <row r="1124">
      <c r="A1124" s="1"/>
      <c r="B1124" s="2"/>
      <c r="C1124" s="2"/>
      <c r="D1124" s="2"/>
      <c r="E1124" s="2"/>
      <c r="F1124" s="2"/>
      <c r="G1124" s="2"/>
      <c r="H1124" s="2"/>
      <c r="I1124" s="2"/>
      <c r="J1124" s="2"/>
      <c r="K1124" s="2"/>
      <c r="L1124" s="2"/>
      <c r="M1124" s="2"/>
      <c r="N1124" s="2"/>
      <c r="O1124" s="2"/>
      <c r="P1124" s="2"/>
      <c r="Q1124" s="2"/>
      <c r="R1124" s="2"/>
      <c r="S1124" s="2"/>
      <c r="T1124" s="2"/>
    </row>
    <row r="1125">
      <c r="A1125" s="1"/>
      <c r="B1125" s="2"/>
      <c r="C1125" s="2"/>
      <c r="D1125" s="2"/>
      <c r="E1125" s="2"/>
      <c r="F1125" s="2"/>
      <c r="G1125" s="2"/>
      <c r="H1125" s="2"/>
      <c r="I1125" s="2"/>
      <c r="J1125" s="2"/>
      <c r="K1125" s="2"/>
      <c r="L1125" s="2"/>
      <c r="M1125" s="2"/>
      <c r="N1125" s="2"/>
      <c r="O1125" s="2"/>
      <c r="P1125" s="2"/>
      <c r="Q1125" s="2"/>
      <c r="R1125" s="2"/>
      <c r="S1125" s="2"/>
      <c r="T1125" s="2"/>
    </row>
    <row r="1126">
      <c r="A1126" s="1"/>
      <c r="B1126" s="2"/>
      <c r="C1126" s="2"/>
      <c r="D1126" s="2"/>
      <c r="E1126" s="2"/>
      <c r="F1126" s="2"/>
      <c r="G1126" s="2"/>
      <c r="H1126" s="2"/>
      <c r="I1126" s="2"/>
      <c r="J1126" s="2"/>
      <c r="K1126" s="2"/>
      <c r="L1126" s="2"/>
      <c r="M1126" s="2"/>
      <c r="N1126" s="2"/>
      <c r="O1126" s="2"/>
      <c r="P1126" s="2"/>
      <c r="Q1126" s="2"/>
      <c r="R1126" s="2"/>
      <c r="S1126" s="2"/>
      <c r="T1126" s="2"/>
    </row>
    <row r="1127">
      <c r="A1127" s="1"/>
      <c r="B1127" s="2"/>
      <c r="C1127" s="2"/>
      <c r="D1127" s="2"/>
      <c r="E1127" s="2"/>
      <c r="F1127" s="2"/>
      <c r="G1127" s="2"/>
      <c r="H1127" s="2"/>
      <c r="I1127" s="2"/>
      <c r="J1127" s="2"/>
      <c r="K1127" s="2"/>
      <c r="L1127" s="2"/>
      <c r="M1127" s="2"/>
      <c r="N1127" s="2"/>
      <c r="O1127" s="2"/>
      <c r="P1127" s="2"/>
      <c r="Q1127" s="2"/>
      <c r="R1127" s="2"/>
      <c r="S1127" s="2"/>
      <c r="T1127" s="2"/>
    </row>
    <row r="1128">
      <c r="A1128" s="1"/>
      <c r="B1128" s="2"/>
      <c r="C1128" s="2"/>
      <c r="D1128" s="2"/>
      <c r="E1128" s="2"/>
      <c r="F1128" s="2"/>
      <c r="G1128" s="2"/>
      <c r="H1128" s="2"/>
      <c r="I1128" s="2"/>
      <c r="J1128" s="2"/>
      <c r="K1128" s="2"/>
      <c r="L1128" s="2"/>
      <c r="M1128" s="2"/>
      <c r="N1128" s="2"/>
      <c r="O1128" s="2"/>
      <c r="P1128" s="2"/>
      <c r="Q1128" s="2"/>
      <c r="R1128" s="2"/>
      <c r="S1128" s="2"/>
      <c r="T1128" s="2"/>
    </row>
    <row r="1129">
      <c r="A1129" s="1"/>
      <c r="B1129" s="2"/>
      <c r="C1129" s="2"/>
      <c r="D1129" s="2"/>
      <c r="E1129" s="2"/>
      <c r="F1129" s="2"/>
      <c r="G1129" s="2"/>
      <c r="H1129" s="2"/>
      <c r="I1129" s="2"/>
      <c r="J1129" s="2"/>
      <c r="K1129" s="2"/>
      <c r="L1129" s="2"/>
      <c r="M1129" s="2"/>
      <c r="N1129" s="2"/>
      <c r="O1129" s="2"/>
      <c r="P1129" s="2"/>
      <c r="Q1129" s="2"/>
      <c r="R1129" s="2"/>
      <c r="S1129" s="2"/>
      <c r="T1129" s="2"/>
    </row>
    <row r="1130">
      <c r="A1130" s="1"/>
      <c r="B1130" s="2"/>
      <c r="C1130" s="2"/>
      <c r="D1130" s="2"/>
      <c r="E1130" s="2"/>
      <c r="F1130" s="2"/>
      <c r="G1130" s="2"/>
      <c r="H1130" s="2"/>
      <c r="I1130" s="2"/>
      <c r="J1130" s="2"/>
      <c r="K1130" s="2"/>
      <c r="L1130" s="2"/>
      <c r="M1130" s="2"/>
      <c r="N1130" s="2"/>
      <c r="O1130" s="2"/>
      <c r="P1130" s="2"/>
      <c r="Q1130" s="2"/>
      <c r="R1130" s="2"/>
      <c r="S1130" s="2"/>
      <c r="T1130" s="2"/>
    </row>
    <row r="1131">
      <c r="A1131" s="1"/>
      <c r="B1131" s="2"/>
      <c r="C1131" s="2"/>
      <c r="D1131" s="2"/>
      <c r="E1131" s="2"/>
      <c r="F1131" s="2"/>
      <c r="G1131" s="2"/>
      <c r="H1131" s="2"/>
      <c r="I1131" s="2"/>
      <c r="J1131" s="2"/>
      <c r="K1131" s="2"/>
      <c r="L1131" s="2"/>
      <c r="M1131" s="2"/>
      <c r="N1131" s="2"/>
      <c r="O1131" s="2"/>
      <c r="P1131" s="2"/>
      <c r="Q1131" s="2"/>
      <c r="R1131" s="2"/>
      <c r="S1131" s="2"/>
      <c r="T1131" s="2"/>
    </row>
    <row r="1132">
      <c r="A1132" s="1"/>
      <c r="B1132" s="2"/>
      <c r="C1132" s="2"/>
      <c r="D1132" s="2"/>
      <c r="E1132" s="2"/>
      <c r="F1132" s="2"/>
      <c r="G1132" s="2"/>
      <c r="H1132" s="2"/>
      <c r="I1132" s="2"/>
      <c r="J1132" s="2"/>
      <c r="K1132" s="2"/>
      <c r="L1132" s="2"/>
      <c r="M1132" s="2"/>
      <c r="N1132" s="2"/>
      <c r="O1132" s="2"/>
      <c r="P1132" s="2"/>
      <c r="Q1132" s="2"/>
      <c r="R1132" s="2"/>
      <c r="S1132" s="2"/>
      <c r="T1132" s="2"/>
    </row>
    <row r="1133">
      <c r="A1133" s="1"/>
      <c r="B1133" s="2"/>
      <c r="C1133" s="2"/>
      <c r="D1133" s="2"/>
      <c r="E1133" s="2"/>
      <c r="F1133" s="2"/>
      <c r="G1133" s="2"/>
      <c r="H1133" s="2"/>
      <c r="I1133" s="2"/>
      <c r="J1133" s="2"/>
      <c r="K1133" s="2"/>
      <c r="L1133" s="2"/>
      <c r="M1133" s="2"/>
      <c r="N1133" s="2"/>
      <c r="O1133" s="2"/>
      <c r="P1133" s="2"/>
      <c r="Q1133" s="2"/>
      <c r="R1133" s="2"/>
      <c r="S1133" s="2"/>
      <c r="T1133" s="2"/>
    </row>
    <row r="1134">
      <c r="A1134" s="1"/>
      <c r="B1134" s="2"/>
      <c r="C1134" s="2"/>
      <c r="D1134" s="2"/>
      <c r="E1134" s="2"/>
      <c r="F1134" s="2"/>
      <c r="G1134" s="2"/>
      <c r="H1134" s="2"/>
      <c r="I1134" s="2"/>
      <c r="J1134" s="2"/>
      <c r="K1134" s="2"/>
      <c r="L1134" s="2"/>
      <c r="M1134" s="2"/>
      <c r="N1134" s="2"/>
      <c r="O1134" s="2"/>
      <c r="P1134" s="2"/>
      <c r="Q1134" s="2"/>
      <c r="R1134" s="2"/>
      <c r="S1134" s="2"/>
      <c r="T1134" s="2"/>
    </row>
    <row r="1135">
      <c r="A1135" s="1"/>
      <c r="B1135" s="2"/>
      <c r="C1135" s="2"/>
      <c r="D1135" s="2"/>
      <c r="E1135" s="2"/>
      <c r="F1135" s="2"/>
      <c r="G1135" s="2"/>
      <c r="H1135" s="2"/>
      <c r="I1135" s="2"/>
      <c r="J1135" s="2"/>
      <c r="K1135" s="2"/>
      <c r="L1135" s="2"/>
      <c r="M1135" s="2"/>
      <c r="N1135" s="2"/>
      <c r="O1135" s="2"/>
      <c r="P1135" s="2"/>
      <c r="Q1135" s="2"/>
      <c r="R1135" s="2"/>
      <c r="S1135" s="2"/>
      <c r="T1135" s="2"/>
    </row>
    <row r="1136">
      <c r="A1136" s="1"/>
      <c r="B1136" s="2"/>
      <c r="C1136" s="2"/>
      <c r="D1136" s="2"/>
      <c r="E1136" s="2"/>
      <c r="F1136" s="2"/>
      <c r="G1136" s="2"/>
      <c r="H1136" s="2"/>
      <c r="I1136" s="2"/>
      <c r="J1136" s="2"/>
      <c r="K1136" s="2"/>
      <c r="L1136" s="2"/>
      <c r="M1136" s="2"/>
      <c r="N1136" s="2"/>
      <c r="O1136" s="2"/>
      <c r="P1136" s="2"/>
      <c r="Q1136" s="2"/>
      <c r="R1136" s="2"/>
      <c r="S1136" s="2"/>
      <c r="T1136" s="2"/>
    </row>
    <row r="1137">
      <c r="A1137" s="1"/>
      <c r="B1137" s="2"/>
      <c r="C1137" s="2"/>
      <c r="D1137" s="2"/>
      <c r="E1137" s="2"/>
      <c r="F1137" s="2"/>
      <c r="G1137" s="2"/>
      <c r="H1137" s="2"/>
      <c r="I1137" s="2"/>
      <c r="J1137" s="2"/>
      <c r="K1137" s="2"/>
      <c r="L1137" s="2"/>
      <c r="M1137" s="2"/>
      <c r="N1137" s="2"/>
      <c r="O1137" s="2"/>
      <c r="P1137" s="2"/>
      <c r="Q1137" s="2"/>
      <c r="R1137" s="2"/>
      <c r="S1137" s="2"/>
      <c r="T1137" s="2"/>
    </row>
    <row r="1138">
      <c r="A1138" s="1"/>
      <c r="B1138" s="2"/>
      <c r="C1138" s="2"/>
      <c r="D1138" s="2"/>
      <c r="E1138" s="2"/>
      <c r="F1138" s="2"/>
      <c r="G1138" s="2"/>
      <c r="H1138" s="2"/>
      <c r="I1138" s="2"/>
      <c r="J1138" s="2"/>
      <c r="K1138" s="2"/>
      <c r="L1138" s="2"/>
      <c r="M1138" s="2"/>
      <c r="N1138" s="2"/>
      <c r="O1138" s="2"/>
      <c r="P1138" s="2"/>
      <c r="Q1138" s="2"/>
      <c r="R1138" s="2"/>
      <c r="S1138" s="2"/>
      <c r="T1138" s="2"/>
    </row>
    <row r="1139">
      <c r="A1139" s="1"/>
      <c r="B1139" s="2"/>
      <c r="C1139" s="2"/>
      <c r="D1139" s="2"/>
      <c r="E1139" s="2"/>
      <c r="F1139" s="2"/>
      <c r="G1139" s="2"/>
      <c r="H1139" s="2"/>
      <c r="I1139" s="2"/>
      <c r="J1139" s="2"/>
      <c r="K1139" s="2"/>
      <c r="L1139" s="2"/>
      <c r="M1139" s="2"/>
      <c r="N1139" s="2"/>
      <c r="O1139" s="2"/>
      <c r="P1139" s="2"/>
      <c r="Q1139" s="2"/>
      <c r="R1139" s="2"/>
      <c r="S1139" s="2"/>
      <c r="T1139" s="2"/>
    </row>
    <row r="1140">
      <c r="A1140" s="1"/>
      <c r="B1140" s="2"/>
      <c r="C1140" s="2"/>
      <c r="D1140" s="2"/>
      <c r="E1140" s="2"/>
      <c r="F1140" s="2"/>
      <c r="G1140" s="2"/>
      <c r="H1140" s="2"/>
      <c r="I1140" s="2"/>
      <c r="J1140" s="2"/>
      <c r="K1140" s="2"/>
      <c r="L1140" s="2"/>
      <c r="M1140" s="2"/>
      <c r="N1140" s="2"/>
      <c r="O1140" s="2"/>
      <c r="P1140" s="2"/>
      <c r="Q1140" s="2"/>
      <c r="R1140" s="2"/>
      <c r="S1140" s="2"/>
      <c r="T1140" s="2"/>
    </row>
    <row r="1141">
      <c r="A1141" s="1"/>
      <c r="B1141" s="2"/>
      <c r="C1141" s="2"/>
      <c r="D1141" s="2"/>
      <c r="E1141" s="2"/>
      <c r="F1141" s="2"/>
      <c r="G1141" s="2"/>
      <c r="H1141" s="2"/>
      <c r="I1141" s="2"/>
      <c r="J1141" s="2"/>
      <c r="K1141" s="2"/>
      <c r="L1141" s="2"/>
      <c r="M1141" s="2"/>
      <c r="N1141" s="2"/>
      <c r="O1141" s="2"/>
      <c r="P1141" s="2"/>
      <c r="Q1141" s="2"/>
      <c r="R1141" s="2"/>
      <c r="S1141" s="2"/>
      <c r="T1141" s="2"/>
    </row>
    <row r="1142">
      <c r="A1142" s="1"/>
      <c r="B1142" s="2"/>
      <c r="C1142" s="2"/>
      <c r="D1142" s="2"/>
      <c r="E1142" s="2"/>
      <c r="F1142" s="2"/>
      <c r="G1142" s="2"/>
      <c r="H1142" s="2"/>
      <c r="I1142" s="2"/>
      <c r="J1142" s="2"/>
      <c r="K1142" s="2"/>
      <c r="L1142" s="2"/>
      <c r="M1142" s="2"/>
      <c r="N1142" s="2"/>
      <c r="O1142" s="2"/>
      <c r="P1142" s="2"/>
      <c r="Q1142" s="2"/>
      <c r="R1142" s="2"/>
      <c r="S1142" s="2"/>
      <c r="T1142" s="2"/>
    </row>
    <row r="1143">
      <c r="A1143" s="1"/>
      <c r="B1143" s="2"/>
      <c r="C1143" s="2"/>
      <c r="D1143" s="2"/>
      <c r="E1143" s="2"/>
      <c r="F1143" s="2"/>
      <c r="G1143" s="2"/>
      <c r="H1143" s="2"/>
      <c r="I1143" s="2"/>
      <c r="J1143" s="2"/>
      <c r="K1143" s="2"/>
      <c r="L1143" s="2"/>
      <c r="M1143" s="2"/>
      <c r="N1143" s="2"/>
      <c r="O1143" s="2"/>
      <c r="P1143" s="2"/>
      <c r="Q1143" s="2"/>
      <c r="R1143" s="2"/>
      <c r="S1143" s="2"/>
      <c r="T1143" s="2"/>
    </row>
    <row r="1144">
      <c r="A1144" s="1"/>
      <c r="B1144" s="2"/>
      <c r="C1144" s="2"/>
      <c r="D1144" s="2"/>
      <c r="E1144" s="2"/>
      <c r="F1144" s="2"/>
      <c r="G1144" s="2"/>
      <c r="H1144" s="2"/>
      <c r="I1144" s="2"/>
      <c r="J1144" s="2"/>
      <c r="K1144" s="2"/>
      <c r="L1144" s="2"/>
      <c r="M1144" s="2"/>
      <c r="N1144" s="2"/>
      <c r="O1144" s="2"/>
      <c r="P1144" s="2"/>
      <c r="Q1144" s="2"/>
      <c r="R1144" s="2"/>
      <c r="S1144" s="2"/>
      <c r="T1144" s="2"/>
    </row>
    <row r="1145">
      <c r="A1145" s="1"/>
      <c r="B1145" s="2"/>
      <c r="C1145" s="2"/>
      <c r="D1145" s="2"/>
      <c r="E1145" s="2"/>
      <c r="F1145" s="2"/>
      <c r="G1145" s="2"/>
      <c r="H1145" s="2"/>
      <c r="I1145" s="2"/>
      <c r="J1145" s="2"/>
      <c r="K1145" s="2"/>
      <c r="L1145" s="2"/>
      <c r="M1145" s="2"/>
      <c r="N1145" s="2"/>
      <c r="O1145" s="2"/>
      <c r="P1145" s="2"/>
      <c r="Q1145" s="2"/>
      <c r="R1145" s="2"/>
      <c r="S1145" s="2"/>
      <c r="T1145" s="2"/>
    </row>
    <row r="1146">
      <c r="A1146" s="1"/>
      <c r="B1146" s="2"/>
      <c r="C1146" s="2"/>
      <c r="D1146" s="2"/>
      <c r="E1146" s="2"/>
      <c r="F1146" s="2"/>
      <c r="G1146" s="2"/>
      <c r="H1146" s="2"/>
      <c r="I1146" s="2"/>
      <c r="J1146" s="2"/>
      <c r="K1146" s="2"/>
      <c r="L1146" s="2"/>
      <c r="M1146" s="2"/>
      <c r="N1146" s="2"/>
      <c r="O1146" s="2"/>
      <c r="P1146" s="2"/>
      <c r="Q1146" s="2"/>
      <c r="R1146" s="2"/>
      <c r="S1146" s="2"/>
      <c r="T1146" s="2"/>
    </row>
    <row r="1147">
      <c r="A1147" s="1"/>
      <c r="B1147" s="2"/>
      <c r="C1147" s="2"/>
      <c r="D1147" s="2"/>
      <c r="E1147" s="2"/>
      <c r="F1147" s="2"/>
      <c r="G1147" s="2"/>
      <c r="H1147" s="2"/>
      <c r="I1147" s="2"/>
      <c r="J1147" s="2"/>
      <c r="K1147" s="2"/>
      <c r="L1147" s="2"/>
      <c r="M1147" s="2"/>
      <c r="N1147" s="2"/>
      <c r="O1147" s="2"/>
      <c r="P1147" s="2"/>
      <c r="Q1147" s="2"/>
      <c r="R1147" s="2"/>
      <c r="S1147" s="2"/>
      <c r="T1147" s="2"/>
    </row>
    <row r="1148">
      <c r="A1148" s="1"/>
      <c r="B1148" s="2"/>
      <c r="C1148" s="2"/>
      <c r="D1148" s="2"/>
      <c r="E1148" s="2"/>
      <c r="F1148" s="2"/>
      <c r="G1148" s="2"/>
      <c r="H1148" s="2"/>
      <c r="I1148" s="2"/>
      <c r="J1148" s="2"/>
      <c r="K1148" s="2"/>
      <c r="L1148" s="2"/>
      <c r="M1148" s="2"/>
      <c r="N1148" s="2"/>
      <c r="O1148" s="2"/>
      <c r="P1148" s="2"/>
      <c r="Q1148" s="2"/>
      <c r="R1148" s="2"/>
      <c r="S1148" s="2"/>
      <c r="T1148" s="2"/>
    </row>
    <row r="1149">
      <c r="A1149" s="1"/>
      <c r="B1149" s="2"/>
      <c r="C1149" s="2"/>
      <c r="D1149" s="2"/>
      <c r="E1149" s="2"/>
      <c r="F1149" s="2"/>
      <c r="G1149" s="2"/>
      <c r="H1149" s="2"/>
      <c r="I1149" s="2"/>
      <c r="J1149" s="2"/>
      <c r="K1149" s="2"/>
      <c r="L1149" s="2"/>
      <c r="M1149" s="2"/>
      <c r="N1149" s="2"/>
      <c r="O1149" s="2"/>
      <c r="P1149" s="2"/>
      <c r="Q1149" s="2"/>
      <c r="R1149" s="2"/>
      <c r="S1149" s="2"/>
      <c r="T1149" s="2"/>
    </row>
    <row r="1150">
      <c r="A1150" s="1"/>
      <c r="B1150" s="2"/>
      <c r="C1150" s="2"/>
      <c r="D1150" s="2"/>
      <c r="E1150" s="2"/>
      <c r="F1150" s="2"/>
      <c r="G1150" s="2"/>
      <c r="H1150" s="2"/>
      <c r="I1150" s="2"/>
      <c r="J1150" s="2"/>
      <c r="K1150" s="2"/>
      <c r="L1150" s="2"/>
      <c r="M1150" s="2"/>
      <c r="N1150" s="2"/>
      <c r="O1150" s="2"/>
      <c r="P1150" s="2"/>
      <c r="Q1150" s="2"/>
      <c r="R1150" s="2"/>
      <c r="S1150" s="2"/>
      <c r="T1150" s="2"/>
    </row>
    <row r="1151">
      <c r="A1151" s="1"/>
      <c r="B1151" s="2"/>
      <c r="C1151" s="2"/>
      <c r="D1151" s="2"/>
      <c r="E1151" s="2"/>
      <c r="F1151" s="2"/>
      <c r="G1151" s="2"/>
      <c r="H1151" s="2"/>
      <c r="I1151" s="2"/>
      <c r="J1151" s="2"/>
      <c r="K1151" s="2"/>
      <c r="L1151" s="2"/>
      <c r="M1151" s="2"/>
      <c r="N1151" s="2"/>
      <c r="O1151" s="2"/>
      <c r="P1151" s="2"/>
      <c r="Q1151" s="2"/>
      <c r="R1151" s="2"/>
      <c r="S1151" s="2"/>
      <c r="T1151" s="2"/>
    </row>
    <row r="1152">
      <c r="A1152" s="1"/>
      <c r="B1152" s="2"/>
      <c r="C1152" s="2"/>
      <c r="D1152" s="2"/>
      <c r="E1152" s="2"/>
      <c r="F1152" s="2"/>
      <c r="G1152" s="2"/>
      <c r="H1152" s="2"/>
      <c r="I1152" s="2"/>
      <c r="J1152" s="2"/>
      <c r="K1152" s="2"/>
      <c r="L1152" s="2"/>
      <c r="M1152" s="2"/>
      <c r="N1152" s="2"/>
      <c r="O1152" s="2"/>
      <c r="P1152" s="2"/>
      <c r="Q1152" s="2"/>
      <c r="R1152" s="2"/>
      <c r="S1152" s="2"/>
      <c r="T1152" s="2"/>
    </row>
    <row r="1153">
      <c r="A1153" s="1"/>
      <c r="B1153" s="2"/>
      <c r="C1153" s="2"/>
      <c r="D1153" s="2"/>
      <c r="E1153" s="2"/>
      <c r="F1153" s="2"/>
      <c r="G1153" s="2"/>
      <c r="H1153" s="2"/>
      <c r="I1153" s="2"/>
      <c r="J1153" s="2"/>
      <c r="K1153" s="2"/>
      <c r="L1153" s="2"/>
      <c r="M1153" s="2"/>
      <c r="N1153" s="2"/>
      <c r="O1153" s="2"/>
      <c r="P1153" s="2"/>
      <c r="Q1153" s="2"/>
      <c r="R1153" s="2"/>
      <c r="S1153" s="2"/>
      <c r="T1153" s="2"/>
    </row>
    <row r="1154">
      <c r="A1154" s="1"/>
      <c r="B1154" s="2"/>
      <c r="C1154" s="2"/>
      <c r="D1154" s="2"/>
      <c r="E1154" s="2"/>
      <c r="F1154" s="2"/>
      <c r="G1154" s="2"/>
      <c r="H1154" s="2"/>
      <c r="I1154" s="2"/>
      <c r="J1154" s="2"/>
      <c r="K1154" s="2"/>
      <c r="L1154" s="2"/>
      <c r="M1154" s="2"/>
      <c r="N1154" s="2"/>
      <c r="O1154" s="2"/>
      <c r="P1154" s="2"/>
      <c r="Q1154" s="2"/>
      <c r="R1154" s="2"/>
      <c r="S1154" s="2"/>
      <c r="T1154" s="2"/>
    </row>
    <row r="1155">
      <c r="A1155" s="1"/>
      <c r="B1155" s="2"/>
      <c r="C1155" s="2"/>
      <c r="D1155" s="2"/>
      <c r="E1155" s="2"/>
      <c r="F1155" s="2"/>
      <c r="G1155" s="2"/>
      <c r="H1155" s="2"/>
      <c r="I1155" s="2"/>
      <c r="J1155" s="2"/>
      <c r="K1155" s="2"/>
      <c r="L1155" s="2"/>
      <c r="M1155" s="2"/>
      <c r="N1155" s="2"/>
      <c r="O1155" s="2"/>
      <c r="P1155" s="2"/>
      <c r="Q1155" s="2"/>
      <c r="R1155" s="2"/>
      <c r="S1155" s="2"/>
      <c r="T1155" s="2"/>
    </row>
    <row r="1156">
      <c r="A1156" s="1"/>
      <c r="B1156" s="2"/>
      <c r="C1156" s="2"/>
      <c r="D1156" s="2"/>
      <c r="E1156" s="2"/>
      <c r="F1156" s="2"/>
      <c r="G1156" s="2"/>
      <c r="H1156" s="2"/>
      <c r="I1156" s="2"/>
      <c r="J1156" s="2"/>
      <c r="K1156" s="2"/>
      <c r="L1156" s="2"/>
      <c r="M1156" s="2"/>
      <c r="N1156" s="2"/>
      <c r="O1156" s="2"/>
      <c r="P1156" s="2"/>
      <c r="Q1156" s="2"/>
      <c r="R1156" s="2"/>
      <c r="S1156" s="2"/>
      <c r="T1156" s="2"/>
    </row>
    <row r="1157">
      <c r="A1157" s="1"/>
      <c r="B1157" s="2"/>
      <c r="C1157" s="2"/>
      <c r="D1157" s="2"/>
      <c r="E1157" s="2"/>
      <c r="F1157" s="2"/>
      <c r="G1157" s="2"/>
      <c r="H1157" s="2"/>
      <c r="I1157" s="2"/>
      <c r="J1157" s="2"/>
      <c r="K1157" s="2"/>
      <c r="L1157" s="2"/>
      <c r="M1157" s="2"/>
      <c r="N1157" s="2"/>
      <c r="O1157" s="2"/>
      <c r="P1157" s="2"/>
      <c r="Q1157" s="2"/>
      <c r="R1157" s="2"/>
      <c r="S1157" s="2"/>
      <c r="T1157" s="2"/>
    </row>
    <row r="1158">
      <c r="A1158" s="1"/>
      <c r="B1158" s="2"/>
      <c r="C1158" s="2"/>
      <c r="D1158" s="2"/>
      <c r="E1158" s="2"/>
      <c r="F1158" s="2"/>
      <c r="G1158" s="2"/>
      <c r="H1158" s="2"/>
      <c r="I1158" s="2"/>
      <c r="J1158" s="2"/>
      <c r="K1158" s="2"/>
      <c r="L1158" s="2"/>
      <c r="M1158" s="2"/>
      <c r="N1158" s="2"/>
      <c r="O1158" s="2"/>
      <c r="P1158" s="2"/>
      <c r="Q1158" s="2"/>
      <c r="R1158" s="2"/>
      <c r="S1158" s="2"/>
      <c r="T1158" s="2"/>
    </row>
    <row r="1159">
      <c r="A1159" s="1"/>
      <c r="B1159" s="2"/>
      <c r="C1159" s="2"/>
      <c r="D1159" s="2"/>
      <c r="E1159" s="2"/>
      <c r="F1159" s="2"/>
      <c r="G1159" s="2"/>
      <c r="H1159" s="2"/>
      <c r="I1159" s="2"/>
      <c r="J1159" s="2"/>
      <c r="K1159" s="2"/>
      <c r="L1159" s="2"/>
      <c r="M1159" s="2"/>
      <c r="N1159" s="2"/>
      <c r="O1159" s="2"/>
      <c r="P1159" s="2"/>
      <c r="Q1159" s="2"/>
      <c r="R1159" s="2"/>
      <c r="S1159" s="2"/>
      <c r="T1159" s="2"/>
    </row>
    <row r="1160">
      <c r="A1160" s="1"/>
      <c r="B1160" s="2"/>
      <c r="C1160" s="2"/>
      <c r="D1160" s="2"/>
      <c r="E1160" s="2"/>
      <c r="F1160" s="2"/>
      <c r="G1160" s="2"/>
      <c r="H1160" s="2"/>
      <c r="I1160" s="2"/>
      <c r="J1160" s="2"/>
      <c r="K1160" s="2"/>
      <c r="L1160" s="2"/>
      <c r="M1160" s="2"/>
      <c r="N1160" s="2"/>
      <c r="O1160" s="2"/>
      <c r="P1160" s="2"/>
      <c r="Q1160" s="2"/>
      <c r="R1160" s="2"/>
      <c r="S1160" s="2"/>
      <c r="T1160" s="2"/>
    </row>
    <row r="1161">
      <c r="A1161" s="1"/>
      <c r="B1161" s="2"/>
      <c r="C1161" s="2"/>
      <c r="D1161" s="2"/>
      <c r="E1161" s="2"/>
      <c r="F1161" s="2"/>
      <c r="G1161" s="2"/>
      <c r="H1161" s="2"/>
      <c r="I1161" s="2"/>
      <c r="J1161" s="2"/>
      <c r="K1161" s="2"/>
      <c r="L1161" s="2"/>
      <c r="M1161" s="2"/>
      <c r="N1161" s="2"/>
      <c r="O1161" s="2"/>
      <c r="P1161" s="2"/>
      <c r="Q1161" s="2"/>
      <c r="R1161" s="2"/>
      <c r="S1161" s="2"/>
      <c r="T1161" s="2"/>
    </row>
    <row r="1162">
      <c r="A1162" s="1"/>
      <c r="B1162" s="2"/>
      <c r="C1162" s="2"/>
      <c r="D1162" s="2"/>
      <c r="E1162" s="2"/>
      <c r="F1162" s="2"/>
      <c r="G1162" s="2"/>
      <c r="H1162" s="2"/>
      <c r="I1162" s="2"/>
      <c r="J1162" s="2"/>
      <c r="K1162" s="2"/>
      <c r="L1162" s="2"/>
      <c r="M1162" s="2"/>
      <c r="N1162" s="2"/>
      <c r="O1162" s="2"/>
      <c r="P1162" s="2"/>
      <c r="Q1162" s="2"/>
      <c r="R1162" s="2"/>
      <c r="S1162" s="2"/>
      <c r="T1162" s="2"/>
    </row>
    <row r="1163">
      <c r="A1163" s="1"/>
      <c r="B1163" s="2"/>
      <c r="C1163" s="2"/>
      <c r="D1163" s="2"/>
      <c r="E1163" s="2"/>
      <c r="F1163" s="2"/>
      <c r="G1163" s="2"/>
      <c r="H1163" s="2"/>
      <c r="I1163" s="2"/>
      <c r="J1163" s="2"/>
      <c r="K1163" s="2"/>
      <c r="L1163" s="2"/>
      <c r="M1163" s="2"/>
      <c r="N1163" s="2"/>
      <c r="O1163" s="2"/>
      <c r="P1163" s="2"/>
      <c r="Q1163" s="2"/>
      <c r="R1163" s="2"/>
      <c r="S1163" s="2"/>
      <c r="T1163" s="2"/>
    </row>
    <row r="1164">
      <c r="A1164" s="1"/>
      <c r="B1164" s="2"/>
      <c r="C1164" s="2"/>
      <c r="D1164" s="2"/>
      <c r="E1164" s="2"/>
      <c r="F1164" s="2"/>
      <c r="G1164" s="2"/>
      <c r="H1164" s="2"/>
      <c r="I1164" s="2"/>
      <c r="J1164" s="2"/>
      <c r="K1164" s="2"/>
      <c r="L1164" s="2"/>
      <c r="M1164" s="2"/>
      <c r="N1164" s="2"/>
      <c r="O1164" s="2"/>
      <c r="P1164" s="2"/>
      <c r="Q1164" s="2"/>
      <c r="R1164" s="2"/>
      <c r="S1164" s="2"/>
      <c r="T1164" s="2"/>
    </row>
    <row r="1165">
      <c r="A1165" s="1"/>
      <c r="B1165" s="2"/>
      <c r="C1165" s="2"/>
      <c r="D1165" s="2"/>
      <c r="E1165" s="2"/>
      <c r="F1165" s="2"/>
      <c r="G1165" s="2"/>
      <c r="H1165" s="2"/>
      <c r="I1165" s="2"/>
      <c r="J1165" s="2"/>
      <c r="K1165" s="2"/>
      <c r="L1165" s="2"/>
      <c r="M1165" s="2"/>
      <c r="N1165" s="2"/>
      <c r="O1165" s="2"/>
      <c r="P1165" s="2"/>
      <c r="Q1165" s="2"/>
      <c r="R1165" s="2"/>
      <c r="S1165" s="2"/>
      <c r="T1165" s="2"/>
    </row>
    <row r="1166">
      <c r="A1166" s="1"/>
      <c r="B1166" s="2"/>
      <c r="C1166" s="2"/>
      <c r="D1166" s="2"/>
      <c r="E1166" s="2"/>
      <c r="F1166" s="2"/>
      <c r="G1166" s="2"/>
      <c r="H1166" s="2"/>
      <c r="I1166" s="2"/>
      <c r="J1166" s="2"/>
      <c r="K1166" s="2"/>
      <c r="L1166" s="2"/>
      <c r="M1166" s="2"/>
      <c r="N1166" s="2"/>
      <c r="O1166" s="2"/>
      <c r="P1166" s="2"/>
      <c r="Q1166" s="2"/>
      <c r="R1166" s="2"/>
      <c r="S1166" s="2"/>
      <c r="T1166" s="2"/>
    </row>
    <row r="1167">
      <c r="A1167" s="1"/>
      <c r="B1167" s="2"/>
      <c r="C1167" s="2"/>
      <c r="D1167" s="2"/>
      <c r="E1167" s="2"/>
      <c r="F1167" s="2"/>
      <c r="G1167" s="2"/>
      <c r="H1167" s="2"/>
      <c r="I1167" s="2"/>
      <c r="J1167" s="2"/>
      <c r="K1167" s="2"/>
      <c r="L1167" s="2"/>
      <c r="M1167" s="2"/>
      <c r="N1167" s="2"/>
      <c r="O1167" s="2"/>
      <c r="P1167" s="2"/>
      <c r="Q1167" s="2"/>
      <c r="R1167" s="2"/>
      <c r="S1167" s="2"/>
      <c r="T1167" s="2"/>
    </row>
    <row r="1168">
      <c r="A1168" s="1"/>
      <c r="B1168" s="2"/>
      <c r="C1168" s="2"/>
      <c r="D1168" s="2"/>
      <c r="E1168" s="2"/>
      <c r="F1168" s="2"/>
      <c r="G1168" s="2"/>
      <c r="H1168" s="2"/>
      <c r="I1168" s="2"/>
      <c r="J1168" s="2"/>
      <c r="K1168" s="2"/>
      <c r="L1168" s="2"/>
      <c r="M1168" s="2"/>
      <c r="N1168" s="2"/>
      <c r="O1168" s="2"/>
      <c r="P1168" s="2"/>
      <c r="Q1168" s="2"/>
      <c r="R1168" s="2"/>
      <c r="S1168" s="2"/>
      <c r="T1168" s="2"/>
    </row>
    <row r="1169">
      <c r="A1169" s="1"/>
      <c r="B1169" s="2"/>
      <c r="C1169" s="2"/>
      <c r="D1169" s="2"/>
      <c r="E1169" s="2"/>
      <c r="F1169" s="2"/>
      <c r="G1169" s="2"/>
      <c r="H1169" s="2"/>
      <c r="I1169" s="2"/>
      <c r="J1169" s="2"/>
      <c r="K1169" s="2"/>
      <c r="L1169" s="2"/>
      <c r="M1169" s="2"/>
      <c r="N1169" s="2"/>
      <c r="O1169" s="2"/>
      <c r="P1169" s="2"/>
      <c r="Q1169" s="2"/>
      <c r="R1169" s="2"/>
      <c r="S1169" s="2"/>
      <c r="T1169" s="2"/>
    </row>
    <row r="1170">
      <c r="A1170" s="1"/>
      <c r="B1170" s="2"/>
      <c r="C1170" s="2"/>
      <c r="D1170" s="2"/>
      <c r="E1170" s="2"/>
      <c r="F1170" s="2"/>
      <c r="G1170" s="2"/>
      <c r="H1170" s="2"/>
      <c r="I1170" s="2"/>
      <c r="J1170" s="2"/>
      <c r="K1170" s="2"/>
      <c r="L1170" s="2"/>
      <c r="M1170" s="2"/>
      <c r="N1170" s="2"/>
      <c r="O1170" s="2"/>
      <c r="P1170" s="2"/>
      <c r="Q1170" s="2"/>
      <c r="R1170" s="2"/>
      <c r="S1170" s="2"/>
      <c r="T1170" s="2"/>
    </row>
    <row r="1171">
      <c r="A1171" s="1"/>
      <c r="B1171" s="2"/>
      <c r="C1171" s="2"/>
      <c r="D1171" s="2"/>
      <c r="E1171" s="2"/>
      <c r="F1171" s="2"/>
      <c r="G1171" s="2"/>
      <c r="H1171" s="2"/>
      <c r="I1171" s="2"/>
      <c r="J1171" s="2"/>
      <c r="K1171" s="2"/>
      <c r="L1171" s="2"/>
      <c r="M1171" s="2"/>
      <c r="N1171" s="2"/>
      <c r="O1171" s="2"/>
      <c r="P1171" s="2"/>
      <c r="Q1171" s="2"/>
      <c r="R1171" s="2"/>
      <c r="S1171" s="2"/>
      <c r="T1171" s="2"/>
    </row>
    <row r="1172">
      <c r="A1172" s="1"/>
      <c r="B1172" s="2"/>
      <c r="C1172" s="2"/>
      <c r="D1172" s="2"/>
      <c r="E1172" s="2"/>
      <c r="F1172" s="2"/>
      <c r="G1172" s="2"/>
      <c r="H1172" s="2"/>
      <c r="I1172" s="2"/>
      <c r="J1172" s="2"/>
      <c r="K1172" s="2"/>
      <c r="L1172" s="2"/>
      <c r="M1172" s="2"/>
      <c r="N1172" s="2"/>
      <c r="O1172" s="2"/>
      <c r="P1172" s="2"/>
      <c r="Q1172" s="2"/>
      <c r="R1172" s="2"/>
      <c r="S1172" s="2"/>
      <c r="T1172" s="2"/>
    </row>
    <row r="1173">
      <c r="A1173" s="1"/>
      <c r="B1173" s="2"/>
      <c r="C1173" s="2"/>
      <c r="D1173" s="2"/>
      <c r="E1173" s="2"/>
      <c r="F1173" s="2"/>
      <c r="G1173" s="2"/>
      <c r="H1173" s="2"/>
      <c r="I1173" s="2"/>
      <c r="J1173" s="2"/>
      <c r="K1173" s="2"/>
      <c r="L1173" s="2"/>
      <c r="M1173" s="2"/>
      <c r="N1173" s="2"/>
      <c r="O1173" s="2"/>
      <c r="P1173" s="2"/>
      <c r="Q1173" s="2"/>
      <c r="R1173" s="2"/>
      <c r="S1173" s="2"/>
      <c r="T1173" s="2"/>
    </row>
    <row r="1174">
      <c r="A1174" s="1"/>
      <c r="B1174" s="2"/>
      <c r="C1174" s="2"/>
      <c r="D1174" s="2"/>
      <c r="E1174" s="2"/>
      <c r="F1174" s="2"/>
      <c r="G1174" s="2"/>
      <c r="H1174" s="2"/>
      <c r="I1174" s="2"/>
      <c r="J1174" s="2"/>
      <c r="K1174" s="2"/>
      <c r="L1174" s="2"/>
      <c r="M1174" s="2"/>
      <c r="N1174" s="2"/>
      <c r="O1174" s="2"/>
      <c r="P1174" s="2"/>
      <c r="Q1174" s="2"/>
      <c r="R1174" s="2"/>
      <c r="S1174" s="2"/>
      <c r="T1174" s="2"/>
    </row>
    <row r="1175">
      <c r="A1175" s="1"/>
      <c r="B1175" s="2"/>
      <c r="C1175" s="2"/>
      <c r="D1175" s="2"/>
      <c r="E1175" s="2"/>
      <c r="F1175" s="2"/>
      <c r="G1175" s="2"/>
      <c r="H1175" s="2"/>
      <c r="I1175" s="2"/>
      <c r="J1175" s="2"/>
      <c r="K1175" s="2"/>
      <c r="L1175" s="2"/>
      <c r="M1175" s="2"/>
      <c r="N1175" s="2"/>
      <c r="O1175" s="2"/>
      <c r="P1175" s="2"/>
      <c r="Q1175" s="2"/>
      <c r="R1175" s="2"/>
      <c r="S1175" s="2"/>
      <c r="T1175" s="2"/>
    </row>
    <row r="1176">
      <c r="A1176" s="1"/>
      <c r="B1176" s="2"/>
      <c r="C1176" s="2"/>
      <c r="D1176" s="2"/>
      <c r="E1176" s="2"/>
      <c r="F1176" s="2"/>
      <c r="G1176" s="2"/>
      <c r="H1176" s="2"/>
      <c r="I1176" s="2"/>
      <c r="J1176" s="2"/>
      <c r="K1176" s="2"/>
      <c r="L1176" s="2"/>
      <c r="M1176" s="2"/>
      <c r="N1176" s="2"/>
      <c r="O1176" s="2"/>
      <c r="P1176" s="2"/>
      <c r="Q1176" s="2"/>
      <c r="R1176" s="2"/>
      <c r="S1176" s="2"/>
      <c r="T1176" s="2"/>
    </row>
    <row r="1177">
      <c r="A1177" s="1"/>
      <c r="B1177" s="2"/>
      <c r="C1177" s="2"/>
      <c r="D1177" s="2"/>
      <c r="E1177" s="2"/>
      <c r="F1177" s="2"/>
      <c r="G1177" s="2"/>
      <c r="H1177" s="2"/>
      <c r="I1177" s="2"/>
      <c r="J1177" s="2"/>
      <c r="K1177" s="2"/>
      <c r="L1177" s="2"/>
      <c r="M1177" s="2"/>
      <c r="N1177" s="2"/>
      <c r="O1177" s="2"/>
      <c r="P1177" s="2"/>
      <c r="Q1177" s="2"/>
      <c r="R1177" s="2"/>
      <c r="S1177" s="2"/>
      <c r="T1177" s="2"/>
    </row>
    <row r="1178">
      <c r="A1178" s="1"/>
      <c r="B1178" s="2"/>
      <c r="C1178" s="2"/>
      <c r="D1178" s="2"/>
      <c r="E1178" s="2"/>
      <c r="F1178" s="2"/>
      <c r="G1178" s="2"/>
      <c r="H1178" s="2"/>
      <c r="I1178" s="2"/>
      <c r="J1178" s="2"/>
      <c r="K1178" s="2"/>
      <c r="L1178" s="2"/>
      <c r="M1178" s="2"/>
      <c r="N1178" s="2"/>
      <c r="O1178" s="2"/>
      <c r="P1178" s="2"/>
      <c r="Q1178" s="2"/>
      <c r="R1178" s="2"/>
      <c r="S1178" s="2"/>
      <c r="T1178" s="2"/>
    </row>
    <row r="1179">
      <c r="A1179" s="1"/>
      <c r="B1179" s="2"/>
      <c r="C1179" s="2"/>
      <c r="D1179" s="2"/>
      <c r="E1179" s="2"/>
      <c r="F1179" s="2"/>
      <c r="G1179" s="2"/>
      <c r="H1179" s="2"/>
      <c r="I1179" s="2"/>
      <c r="J1179" s="2"/>
      <c r="K1179" s="2"/>
      <c r="L1179" s="2"/>
      <c r="M1179" s="2"/>
      <c r="N1179" s="2"/>
      <c r="O1179" s="2"/>
      <c r="P1179" s="2"/>
      <c r="Q1179" s="2"/>
      <c r="R1179" s="2"/>
      <c r="S1179" s="2"/>
      <c r="T1179" s="2"/>
    </row>
    <row r="1180">
      <c r="A1180" s="1"/>
      <c r="B1180" s="2"/>
      <c r="C1180" s="2"/>
      <c r="D1180" s="2"/>
      <c r="E1180" s="2"/>
      <c r="F1180" s="2"/>
      <c r="G1180" s="2"/>
      <c r="H1180" s="2"/>
      <c r="I1180" s="2"/>
      <c r="J1180" s="2"/>
      <c r="K1180" s="2"/>
      <c r="L1180" s="2"/>
      <c r="M1180" s="2"/>
      <c r="N1180" s="2"/>
      <c r="O1180" s="2"/>
      <c r="P1180" s="2"/>
      <c r="Q1180" s="2"/>
      <c r="R1180" s="2"/>
      <c r="S1180" s="2"/>
      <c r="T1180" s="2"/>
    </row>
    <row r="1181">
      <c r="A1181" s="1"/>
      <c r="B1181" s="2"/>
      <c r="C1181" s="2"/>
      <c r="D1181" s="2"/>
      <c r="E1181" s="2"/>
      <c r="F1181" s="2"/>
      <c r="G1181" s="2"/>
      <c r="H1181" s="2"/>
      <c r="I1181" s="2"/>
      <c r="J1181" s="2"/>
      <c r="K1181" s="2"/>
      <c r="L1181" s="2"/>
      <c r="M1181" s="2"/>
      <c r="N1181" s="2"/>
      <c r="O1181" s="2"/>
      <c r="P1181" s="2"/>
      <c r="Q1181" s="2"/>
      <c r="R1181" s="2"/>
      <c r="S1181" s="2"/>
      <c r="T1181" s="2"/>
    </row>
    <row r="1182">
      <c r="A1182" s="1"/>
      <c r="B1182" s="2"/>
      <c r="C1182" s="2"/>
      <c r="D1182" s="2"/>
      <c r="E1182" s="2"/>
      <c r="F1182" s="2"/>
      <c r="G1182" s="2"/>
      <c r="H1182" s="2"/>
      <c r="I1182" s="2"/>
      <c r="J1182" s="2"/>
      <c r="K1182" s="2"/>
      <c r="L1182" s="2"/>
      <c r="M1182" s="2"/>
      <c r="N1182" s="2"/>
      <c r="O1182" s="2"/>
      <c r="P1182" s="2"/>
      <c r="Q1182" s="2"/>
      <c r="R1182" s="2"/>
      <c r="S1182" s="2"/>
      <c r="T1182" s="2"/>
    </row>
    <row r="1183">
      <c r="A1183" s="1"/>
      <c r="B1183" s="2"/>
      <c r="C1183" s="2"/>
      <c r="D1183" s="2"/>
      <c r="E1183" s="2"/>
      <c r="F1183" s="2"/>
      <c r="G1183" s="2"/>
      <c r="H1183" s="2"/>
      <c r="I1183" s="2"/>
      <c r="J1183" s="2"/>
      <c r="K1183" s="2"/>
      <c r="L1183" s="2"/>
      <c r="M1183" s="2"/>
      <c r="N1183" s="2"/>
      <c r="O1183" s="2"/>
      <c r="P1183" s="2"/>
      <c r="Q1183" s="2"/>
      <c r="R1183" s="2"/>
      <c r="S1183" s="2"/>
      <c r="T1183" s="2"/>
    </row>
    <row r="1184">
      <c r="A1184" s="1"/>
      <c r="B1184" s="2"/>
      <c r="C1184" s="2"/>
      <c r="D1184" s="2"/>
      <c r="E1184" s="2"/>
      <c r="F1184" s="2"/>
      <c r="G1184" s="2"/>
      <c r="H1184" s="2"/>
      <c r="I1184" s="2"/>
      <c r="J1184" s="2"/>
      <c r="K1184" s="2"/>
      <c r="L1184" s="2"/>
      <c r="M1184" s="2"/>
      <c r="N1184" s="2"/>
      <c r="O1184" s="2"/>
      <c r="P1184" s="2"/>
      <c r="Q1184" s="2"/>
      <c r="R1184" s="2"/>
      <c r="S1184" s="2"/>
      <c r="T1184" s="2"/>
    </row>
    <row r="1185">
      <c r="A1185" s="1"/>
      <c r="B1185" s="2"/>
      <c r="C1185" s="2"/>
      <c r="D1185" s="2"/>
      <c r="E1185" s="2"/>
      <c r="F1185" s="2"/>
      <c r="G1185" s="2"/>
      <c r="H1185" s="2"/>
      <c r="I1185" s="2"/>
      <c r="J1185" s="2"/>
      <c r="K1185" s="2"/>
      <c r="L1185" s="2"/>
      <c r="M1185" s="2"/>
      <c r="N1185" s="2"/>
      <c r="O1185" s="2"/>
      <c r="P1185" s="2"/>
      <c r="Q1185" s="2"/>
      <c r="R1185" s="2"/>
      <c r="S1185" s="2"/>
      <c r="T1185" s="2"/>
    </row>
    <row r="1186">
      <c r="A1186" s="1"/>
      <c r="B1186" s="2"/>
      <c r="C1186" s="2"/>
      <c r="D1186" s="2"/>
      <c r="E1186" s="2"/>
      <c r="F1186" s="2"/>
      <c r="G1186" s="2"/>
      <c r="H1186" s="2"/>
      <c r="I1186" s="2"/>
      <c r="J1186" s="2"/>
      <c r="K1186" s="2"/>
      <c r="L1186" s="2"/>
      <c r="M1186" s="2"/>
      <c r="N1186" s="2"/>
      <c r="O1186" s="2"/>
      <c r="P1186" s="2"/>
      <c r="Q1186" s="2"/>
      <c r="R1186" s="2"/>
      <c r="S1186" s="2"/>
      <c r="T1186" s="2"/>
    </row>
    <row r="1187">
      <c r="A1187" s="1"/>
      <c r="B1187" s="2"/>
      <c r="C1187" s="2"/>
      <c r="D1187" s="2"/>
      <c r="E1187" s="2"/>
      <c r="F1187" s="2"/>
      <c r="G1187" s="2"/>
      <c r="H1187" s="2"/>
      <c r="I1187" s="2"/>
      <c r="J1187" s="2"/>
      <c r="K1187" s="2"/>
      <c r="L1187" s="2"/>
      <c r="M1187" s="2"/>
      <c r="N1187" s="2"/>
      <c r="O1187" s="2"/>
      <c r="P1187" s="2"/>
      <c r="Q1187" s="2"/>
      <c r="R1187" s="2"/>
      <c r="S1187" s="2"/>
      <c r="T1187" s="2"/>
    </row>
    <row r="1188">
      <c r="A1188" s="1"/>
      <c r="B1188" s="2"/>
      <c r="C1188" s="2"/>
      <c r="D1188" s="2"/>
      <c r="E1188" s="2"/>
      <c r="F1188" s="2"/>
      <c r="G1188" s="2"/>
      <c r="H1188" s="2"/>
      <c r="I1188" s="2"/>
      <c r="J1188" s="2"/>
      <c r="K1188" s="2"/>
      <c r="L1188" s="2"/>
      <c r="M1188" s="2"/>
      <c r="N1188" s="2"/>
      <c r="O1188" s="2"/>
      <c r="P1188" s="2"/>
      <c r="Q1188" s="2"/>
      <c r="R1188" s="2"/>
      <c r="S1188" s="2"/>
      <c r="T1188" s="2"/>
    </row>
    <row r="1189">
      <c r="A1189" s="1"/>
      <c r="B1189" s="2"/>
      <c r="C1189" s="2"/>
      <c r="D1189" s="2"/>
      <c r="E1189" s="2"/>
      <c r="F1189" s="2"/>
      <c r="G1189" s="2"/>
      <c r="H1189" s="2"/>
      <c r="I1189" s="2"/>
      <c r="J1189" s="2"/>
      <c r="K1189" s="2"/>
      <c r="L1189" s="2"/>
      <c r="M1189" s="2"/>
      <c r="N1189" s="2"/>
      <c r="O1189" s="2"/>
      <c r="P1189" s="2"/>
      <c r="Q1189" s="2"/>
      <c r="R1189" s="2"/>
      <c r="S1189" s="2"/>
      <c r="T1189" s="2"/>
    </row>
    <row r="1190">
      <c r="A1190" s="1"/>
      <c r="B1190" s="2"/>
      <c r="C1190" s="2"/>
      <c r="D1190" s="2"/>
      <c r="E1190" s="2"/>
      <c r="F1190" s="2"/>
      <c r="G1190" s="2"/>
      <c r="H1190" s="2"/>
      <c r="I1190" s="2"/>
      <c r="J1190" s="2"/>
      <c r="K1190" s="2"/>
      <c r="L1190" s="2"/>
      <c r="M1190" s="2"/>
      <c r="N1190" s="2"/>
      <c r="O1190" s="2"/>
      <c r="P1190" s="2"/>
      <c r="Q1190" s="2"/>
      <c r="R1190" s="2"/>
      <c r="S1190" s="2"/>
      <c r="T1190" s="2"/>
    </row>
    <row r="1191">
      <c r="A1191" s="1"/>
      <c r="B1191" s="2"/>
      <c r="C1191" s="2"/>
      <c r="D1191" s="2"/>
      <c r="E1191" s="2"/>
      <c r="F1191" s="2"/>
      <c r="G1191" s="2"/>
      <c r="H1191" s="2"/>
      <c r="I1191" s="2"/>
      <c r="J1191" s="2"/>
      <c r="K1191" s="2"/>
      <c r="L1191" s="2"/>
      <c r="M1191" s="2"/>
      <c r="N1191" s="2"/>
      <c r="O1191" s="2"/>
      <c r="P1191" s="2"/>
      <c r="Q1191" s="2"/>
      <c r="R1191" s="2"/>
      <c r="S1191" s="2"/>
      <c r="T1191" s="2"/>
    </row>
    <row r="1192">
      <c r="A1192" s="1"/>
      <c r="B1192" s="2"/>
      <c r="C1192" s="2"/>
      <c r="D1192" s="2"/>
      <c r="E1192" s="2"/>
      <c r="F1192" s="2"/>
      <c r="G1192" s="2"/>
      <c r="H1192" s="2"/>
      <c r="I1192" s="2"/>
      <c r="J1192" s="2"/>
      <c r="K1192" s="2"/>
      <c r="L1192" s="2"/>
      <c r="M1192" s="2"/>
      <c r="N1192" s="2"/>
      <c r="O1192" s="2"/>
      <c r="P1192" s="2"/>
      <c r="Q1192" s="2"/>
      <c r="R1192" s="2"/>
      <c r="S1192" s="2"/>
      <c r="T1192" s="2"/>
    </row>
    <row r="1193">
      <c r="A1193" s="1"/>
      <c r="B1193" s="2"/>
      <c r="C1193" s="2"/>
      <c r="D1193" s="2"/>
      <c r="E1193" s="2"/>
      <c r="F1193" s="2"/>
      <c r="G1193" s="2"/>
      <c r="H1193" s="2"/>
      <c r="I1193" s="2"/>
      <c r="J1193" s="2"/>
      <c r="K1193" s="2"/>
      <c r="L1193" s="2"/>
      <c r="M1193" s="2"/>
      <c r="N1193" s="2"/>
      <c r="O1193" s="2"/>
      <c r="P1193" s="2"/>
      <c r="Q1193" s="2"/>
      <c r="R1193" s="2"/>
      <c r="S1193" s="2"/>
      <c r="T1193" s="2"/>
    </row>
    <row r="1194">
      <c r="A1194" s="1"/>
      <c r="B1194" s="2"/>
      <c r="C1194" s="2"/>
      <c r="D1194" s="2"/>
      <c r="E1194" s="2"/>
      <c r="F1194" s="2"/>
      <c r="G1194" s="2"/>
      <c r="H1194" s="2"/>
      <c r="I1194" s="2"/>
      <c r="J1194" s="2"/>
      <c r="K1194" s="2"/>
      <c r="L1194" s="2"/>
      <c r="M1194" s="2"/>
      <c r="N1194" s="2"/>
      <c r="O1194" s="2"/>
      <c r="P1194" s="2"/>
      <c r="Q1194" s="2"/>
      <c r="R1194" s="2"/>
      <c r="S1194" s="2"/>
      <c r="T1194" s="2"/>
    </row>
    <row r="1195">
      <c r="A1195" s="1"/>
      <c r="B1195" s="2"/>
      <c r="C1195" s="2"/>
      <c r="D1195" s="2"/>
      <c r="E1195" s="2"/>
      <c r="F1195" s="2"/>
      <c r="G1195" s="2"/>
      <c r="H1195" s="2"/>
      <c r="I1195" s="2"/>
      <c r="J1195" s="2"/>
      <c r="K1195" s="2"/>
      <c r="L1195" s="2"/>
      <c r="M1195" s="2"/>
      <c r="N1195" s="2"/>
      <c r="O1195" s="2"/>
      <c r="P1195" s="2"/>
      <c r="Q1195" s="2"/>
      <c r="R1195" s="2"/>
      <c r="S1195" s="2"/>
      <c r="T1195" s="2"/>
    </row>
    <row r="1196">
      <c r="A1196" s="1"/>
      <c r="B1196" s="2"/>
      <c r="C1196" s="2"/>
      <c r="D1196" s="2"/>
      <c r="E1196" s="2"/>
      <c r="F1196" s="2"/>
      <c r="G1196" s="2"/>
      <c r="H1196" s="2"/>
      <c r="I1196" s="2"/>
      <c r="J1196" s="2"/>
      <c r="K1196" s="2"/>
      <c r="L1196" s="2"/>
      <c r="M1196" s="2"/>
      <c r="N1196" s="2"/>
      <c r="O1196" s="2"/>
      <c r="P1196" s="2"/>
      <c r="Q1196" s="2"/>
      <c r="R1196" s="2"/>
      <c r="S1196" s="2"/>
      <c r="T1196" s="2"/>
    </row>
    <row r="1197">
      <c r="A1197" s="1"/>
      <c r="B1197" s="2"/>
      <c r="C1197" s="2"/>
      <c r="D1197" s="2"/>
      <c r="E1197" s="2"/>
      <c r="F1197" s="2"/>
      <c r="G1197" s="2"/>
      <c r="H1197" s="2"/>
      <c r="I1197" s="2"/>
      <c r="J1197" s="2"/>
      <c r="K1197" s="2"/>
      <c r="L1197" s="2"/>
      <c r="M1197" s="2"/>
      <c r="N1197" s="2"/>
      <c r="O1197" s="2"/>
      <c r="P1197" s="2"/>
      <c r="Q1197" s="2"/>
      <c r="R1197" s="2"/>
      <c r="S1197" s="2"/>
      <c r="T1197" s="2"/>
    </row>
    <row r="1198">
      <c r="A1198" s="1"/>
      <c r="B1198" s="2"/>
      <c r="C1198" s="2"/>
      <c r="D1198" s="2"/>
      <c r="E1198" s="2"/>
      <c r="F1198" s="2"/>
      <c r="G1198" s="2"/>
      <c r="H1198" s="2"/>
      <c r="I1198" s="2"/>
      <c r="J1198" s="2"/>
      <c r="K1198" s="2"/>
      <c r="L1198" s="2"/>
      <c r="M1198" s="2"/>
      <c r="N1198" s="2"/>
      <c r="O1198" s="2"/>
      <c r="P1198" s="2"/>
      <c r="Q1198" s="2"/>
      <c r="R1198" s="2"/>
      <c r="S1198" s="2"/>
      <c r="T1198" s="2"/>
    </row>
    <row r="1199">
      <c r="A1199" s="1"/>
      <c r="B1199" s="2"/>
      <c r="C1199" s="2"/>
      <c r="D1199" s="2"/>
      <c r="E1199" s="2"/>
      <c r="F1199" s="2"/>
      <c r="G1199" s="2"/>
      <c r="H1199" s="2"/>
      <c r="I1199" s="2"/>
      <c r="J1199" s="2"/>
      <c r="K1199" s="2"/>
      <c r="L1199" s="2"/>
      <c r="M1199" s="2"/>
      <c r="N1199" s="2"/>
      <c r="O1199" s="2"/>
      <c r="P1199" s="2"/>
      <c r="Q1199" s="2"/>
      <c r="R1199" s="2"/>
      <c r="S1199" s="2"/>
      <c r="T1199" s="2"/>
    </row>
    <row r="1200">
      <c r="A1200" s="1"/>
      <c r="B1200" s="2"/>
      <c r="C1200" s="2"/>
      <c r="D1200" s="2"/>
      <c r="E1200" s="2"/>
      <c r="F1200" s="2"/>
      <c r="G1200" s="2"/>
      <c r="H1200" s="2"/>
      <c r="I1200" s="2"/>
      <c r="J1200" s="2"/>
      <c r="K1200" s="2"/>
      <c r="L1200" s="2"/>
      <c r="M1200" s="2"/>
      <c r="N1200" s="2"/>
      <c r="O1200" s="2"/>
      <c r="P1200" s="2"/>
      <c r="Q1200" s="2"/>
      <c r="R1200" s="2"/>
      <c r="S1200" s="2"/>
      <c r="T1200" s="2"/>
    </row>
    <row r="1201">
      <c r="A1201" s="1"/>
      <c r="B1201" s="2"/>
      <c r="C1201" s="2"/>
      <c r="D1201" s="2"/>
      <c r="E1201" s="2"/>
      <c r="F1201" s="2"/>
      <c r="G1201" s="2"/>
      <c r="H1201" s="2"/>
      <c r="I1201" s="2"/>
      <c r="J1201" s="2"/>
      <c r="K1201" s="2"/>
      <c r="L1201" s="2"/>
      <c r="M1201" s="2"/>
      <c r="N1201" s="2"/>
      <c r="O1201" s="2"/>
      <c r="P1201" s="2"/>
      <c r="Q1201" s="2"/>
      <c r="R1201" s="2"/>
      <c r="S1201" s="2"/>
      <c r="T1201" s="2"/>
    </row>
    <row r="1202">
      <c r="A1202" s="1"/>
      <c r="B1202" s="2"/>
      <c r="C1202" s="2"/>
      <c r="D1202" s="2"/>
      <c r="E1202" s="2"/>
      <c r="F1202" s="2"/>
      <c r="G1202" s="2"/>
      <c r="H1202" s="2"/>
      <c r="I1202" s="2"/>
      <c r="J1202" s="2"/>
      <c r="K1202" s="2"/>
      <c r="L1202" s="2"/>
      <c r="M1202" s="2"/>
      <c r="N1202" s="2"/>
      <c r="O1202" s="2"/>
      <c r="P1202" s="2"/>
      <c r="Q1202" s="2"/>
      <c r="R1202" s="2"/>
      <c r="S1202" s="2"/>
      <c r="T1202" s="2"/>
    </row>
    <row r="1203">
      <c r="A1203" s="1"/>
      <c r="B1203" s="2"/>
      <c r="C1203" s="2"/>
      <c r="D1203" s="2"/>
      <c r="E1203" s="2"/>
      <c r="F1203" s="2"/>
      <c r="G1203" s="2"/>
      <c r="H1203" s="2"/>
      <c r="I1203" s="2"/>
      <c r="J1203" s="2"/>
      <c r="K1203" s="2"/>
      <c r="L1203" s="2"/>
      <c r="M1203" s="2"/>
      <c r="N1203" s="2"/>
      <c r="O1203" s="2"/>
      <c r="P1203" s="2"/>
      <c r="Q1203" s="2"/>
      <c r="R1203" s="2"/>
      <c r="S1203" s="2"/>
      <c r="T1203" s="2"/>
    </row>
    <row r="1204">
      <c r="A1204" s="1"/>
      <c r="B1204" s="2"/>
      <c r="C1204" s="2"/>
      <c r="D1204" s="2"/>
      <c r="E1204" s="2"/>
      <c r="F1204" s="2"/>
      <c r="G1204" s="2"/>
      <c r="H1204" s="2"/>
      <c r="I1204" s="2"/>
      <c r="J1204" s="2"/>
      <c r="K1204" s="2"/>
      <c r="L1204" s="2"/>
      <c r="M1204" s="2"/>
      <c r="N1204" s="2"/>
      <c r="O1204" s="2"/>
      <c r="P1204" s="2"/>
      <c r="Q1204" s="2"/>
      <c r="R1204" s="2"/>
      <c r="S1204" s="2"/>
      <c r="T1204" s="2"/>
    </row>
    <row r="1205">
      <c r="A1205" s="1"/>
      <c r="B1205" s="2"/>
      <c r="C1205" s="2"/>
      <c r="D1205" s="2"/>
      <c r="E1205" s="2"/>
      <c r="F1205" s="2"/>
      <c r="G1205" s="2"/>
      <c r="H1205" s="2"/>
      <c r="I1205" s="2"/>
      <c r="J1205" s="2"/>
      <c r="K1205" s="2"/>
      <c r="L1205" s="2"/>
      <c r="M1205" s="2"/>
      <c r="N1205" s="2"/>
      <c r="O1205" s="2"/>
      <c r="P1205" s="2"/>
      <c r="Q1205" s="2"/>
      <c r="R1205" s="2"/>
      <c r="S1205" s="2"/>
      <c r="T1205" s="2"/>
    </row>
    <row r="1206">
      <c r="A1206" s="1"/>
      <c r="B1206" s="2"/>
      <c r="C1206" s="2"/>
      <c r="D1206" s="2"/>
      <c r="E1206" s="2"/>
      <c r="F1206" s="2"/>
      <c r="G1206" s="2"/>
      <c r="H1206" s="2"/>
      <c r="I1206" s="2"/>
      <c r="J1206" s="2"/>
      <c r="K1206" s="2"/>
      <c r="L1206" s="2"/>
      <c r="M1206" s="2"/>
      <c r="N1206" s="2"/>
      <c r="O1206" s="2"/>
      <c r="P1206" s="2"/>
      <c r="Q1206" s="2"/>
      <c r="R1206" s="2"/>
      <c r="S1206" s="2"/>
      <c r="T1206" s="2"/>
    </row>
    <row r="1207">
      <c r="A1207" s="1"/>
      <c r="B1207" s="2"/>
      <c r="C1207" s="2"/>
      <c r="D1207" s="2"/>
      <c r="E1207" s="2"/>
      <c r="F1207" s="2"/>
      <c r="G1207" s="2"/>
      <c r="H1207" s="2"/>
      <c r="I1207" s="2"/>
      <c r="J1207" s="2"/>
      <c r="K1207" s="2"/>
      <c r="L1207" s="2"/>
      <c r="M1207" s="2"/>
      <c r="N1207" s="2"/>
      <c r="O1207" s="2"/>
      <c r="P1207" s="2"/>
      <c r="Q1207" s="2"/>
      <c r="R1207" s="2"/>
      <c r="S1207" s="2"/>
      <c r="T1207" s="2"/>
    </row>
    <row r="1208">
      <c r="A1208" s="1"/>
      <c r="B1208" s="2"/>
      <c r="C1208" s="2"/>
      <c r="D1208" s="2"/>
      <c r="E1208" s="2"/>
      <c r="F1208" s="2"/>
      <c r="G1208" s="2"/>
      <c r="H1208" s="2"/>
      <c r="I1208" s="2"/>
      <c r="J1208" s="2"/>
      <c r="K1208" s="2"/>
      <c r="L1208" s="2"/>
      <c r="M1208" s="2"/>
      <c r="N1208" s="2"/>
      <c r="O1208" s="2"/>
      <c r="P1208" s="2"/>
      <c r="Q1208" s="2"/>
      <c r="R1208" s="2"/>
      <c r="S1208" s="2"/>
      <c r="T1208" s="2"/>
    </row>
    <row r="1209">
      <c r="A1209" s="1"/>
      <c r="B1209" s="2"/>
      <c r="C1209" s="2"/>
      <c r="D1209" s="2"/>
      <c r="E1209" s="2"/>
      <c r="F1209" s="2"/>
      <c r="G1209" s="2"/>
      <c r="H1209" s="2"/>
      <c r="I1209" s="2"/>
      <c r="J1209" s="2"/>
      <c r="K1209" s="2"/>
      <c r="L1209" s="2"/>
      <c r="M1209" s="2"/>
      <c r="N1209" s="2"/>
      <c r="O1209" s="2"/>
      <c r="P1209" s="2"/>
      <c r="Q1209" s="2"/>
      <c r="R1209" s="2"/>
      <c r="S1209" s="2"/>
      <c r="T1209" s="2"/>
    </row>
    <row r="1210">
      <c r="A1210" s="1"/>
      <c r="B1210" s="2"/>
      <c r="C1210" s="2"/>
      <c r="D1210" s="2"/>
      <c r="E1210" s="2"/>
      <c r="F1210" s="2"/>
      <c r="G1210" s="2"/>
      <c r="H1210" s="2"/>
      <c r="I1210" s="2"/>
      <c r="J1210" s="2"/>
      <c r="K1210" s="2"/>
      <c r="L1210" s="2"/>
      <c r="M1210" s="2"/>
      <c r="N1210" s="2"/>
      <c r="O1210" s="2"/>
      <c r="P1210" s="2"/>
      <c r="Q1210" s="2"/>
      <c r="R1210" s="2"/>
      <c r="S1210" s="2"/>
      <c r="T1210" s="2"/>
    </row>
    <row r="1211">
      <c r="A1211" s="1"/>
      <c r="B1211" s="2"/>
      <c r="C1211" s="2"/>
      <c r="D1211" s="2"/>
      <c r="E1211" s="2"/>
      <c r="F1211" s="2"/>
      <c r="G1211" s="2"/>
      <c r="H1211" s="2"/>
      <c r="I1211" s="2"/>
      <c r="J1211" s="2"/>
      <c r="K1211" s="2"/>
      <c r="L1211" s="2"/>
      <c r="M1211" s="2"/>
      <c r="N1211" s="2"/>
      <c r="O1211" s="2"/>
      <c r="P1211" s="2"/>
      <c r="Q1211" s="2"/>
      <c r="R1211" s="2"/>
      <c r="S1211" s="2"/>
      <c r="T1211" s="2"/>
    </row>
    <row r="1212">
      <c r="A1212" s="1"/>
      <c r="B1212" s="2"/>
      <c r="C1212" s="2"/>
      <c r="D1212" s="2"/>
      <c r="E1212" s="2"/>
      <c r="F1212" s="2"/>
      <c r="G1212" s="2"/>
      <c r="H1212" s="2"/>
      <c r="I1212" s="2"/>
      <c r="J1212" s="2"/>
      <c r="K1212" s="2"/>
      <c r="L1212" s="2"/>
      <c r="M1212" s="2"/>
      <c r="N1212" s="2"/>
      <c r="O1212" s="2"/>
      <c r="P1212" s="2"/>
      <c r="Q1212" s="2"/>
      <c r="R1212" s="2"/>
      <c r="S1212" s="2"/>
      <c r="T1212" s="2"/>
    </row>
    <row r="1213">
      <c r="A1213" s="1"/>
      <c r="B1213" s="2"/>
      <c r="C1213" s="2"/>
      <c r="D1213" s="2"/>
      <c r="E1213" s="2"/>
      <c r="F1213" s="2"/>
      <c r="G1213" s="2"/>
      <c r="H1213" s="2"/>
      <c r="I1213" s="2"/>
      <c r="J1213" s="2"/>
      <c r="K1213" s="2"/>
      <c r="L1213" s="2"/>
      <c r="M1213" s="2"/>
      <c r="N1213" s="2"/>
      <c r="O1213" s="2"/>
      <c r="P1213" s="2"/>
      <c r="Q1213" s="2"/>
      <c r="R1213" s="2"/>
      <c r="S1213" s="2"/>
      <c r="T1213" s="2"/>
    </row>
    <row r="1214">
      <c r="A1214" s="1"/>
      <c r="B1214" s="2"/>
      <c r="C1214" s="2"/>
      <c r="D1214" s="2"/>
      <c r="E1214" s="2"/>
      <c r="F1214" s="2"/>
      <c r="G1214" s="2"/>
      <c r="H1214" s="2"/>
      <c r="I1214" s="2"/>
      <c r="J1214" s="2"/>
      <c r="K1214" s="2"/>
      <c r="L1214" s="2"/>
      <c r="M1214" s="2"/>
      <c r="N1214" s="2"/>
      <c r="O1214" s="2"/>
      <c r="P1214" s="2"/>
      <c r="Q1214" s="2"/>
      <c r="R1214" s="2"/>
      <c r="S1214" s="2"/>
      <c r="T1214" s="2"/>
    </row>
    <row r="1215">
      <c r="A1215" s="1"/>
      <c r="B1215" s="2"/>
      <c r="C1215" s="2"/>
      <c r="D1215" s="2"/>
      <c r="E1215" s="2"/>
      <c r="F1215" s="2"/>
      <c r="G1215" s="2"/>
      <c r="H1215" s="2"/>
      <c r="I1215" s="2"/>
      <c r="J1215" s="2"/>
      <c r="K1215" s="2"/>
      <c r="L1215" s="2"/>
      <c r="M1215" s="2"/>
      <c r="N1215" s="2"/>
      <c r="O1215" s="2"/>
      <c r="P1215" s="2"/>
      <c r="Q1215" s="2"/>
      <c r="R1215" s="2"/>
      <c r="S1215" s="2"/>
      <c r="T1215" s="2"/>
    </row>
    <row r="1216">
      <c r="A1216" s="1"/>
      <c r="B1216" s="2"/>
      <c r="C1216" s="2"/>
      <c r="D1216" s="2"/>
      <c r="E1216" s="2"/>
      <c r="F1216" s="2"/>
      <c r="G1216" s="2"/>
      <c r="H1216" s="2"/>
      <c r="I1216" s="2"/>
      <c r="J1216" s="2"/>
      <c r="K1216" s="2"/>
      <c r="L1216" s="2"/>
      <c r="M1216" s="2"/>
      <c r="N1216" s="2"/>
      <c r="O1216" s="2"/>
      <c r="P1216" s="2"/>
      <c r="Q1216" s="2"/>
      <c r="R1216" s="2"/>
      <c r="S1216" s="2"/>
      <c r="T1216" s="2"/>
    </row>
    <row r="1217">
      <c r="A1217" s="1"/>
      <c r="B1217" s="2"/>
      <c r="C1217" s="2"/>
      <c r="D1217" s="2"/>
      <c r="E1217" s="2"/>
      <c r="F1217" s="2"/>
      <c r="G1217" s="2"/>
      <c r="H1217" s="2"/>
      <c r="I1217" s="2"/>
      <c r="J1217" s="2"/>
      <c r="K1217" s="2"/>
      <c r="L1217" s="2"/>
      <c r="M1217" s="2"/>
      <c r="N1217" s="2"/>
      <c r="O1217" s="2"/>
      <c r="P1217" s="2"/>
      <c r="Q1217" s="2"/>
      <c r="R1217" s="2"/>
      <c r="S1217" s="2"/>
      <c r="T1217" s="2"/>
    </row>
    <row r="1218">
      <c r="A1218" s="1"/>
      <c r="B1218" s="2"/>
      <c r="C1218" s="2"/>
      <c r="D1218" s="2"/>
      <c r="E1218" s="2"/>
      <c r="F1218" s="2"/>
      <c r="G1218" s="2"/>
      <c r="H1218" s="2"/>
      <c r="I1218" s="2"/>
      <c r="J1218" s="2"/>
      <c r="K1218" s="2"/>
      <c r="L1218" s="2"/>
      <c r="M1218" s="2"/>
      <c r="N1218" s="2"/>
      <c r="O1218" s="2"/>
      <c r="P1218" s="2"/>
      <c r="Q1218" s="2"/>
      <c r="R1218" s="2"/>
      <c r="S1218" s="2"/>
      <c r="T1218" s="2"/>
    </row>
    <row r="1219">
      <c r="A1219" s="1"/>
      <c r="B1219" s="2"/>
      <c r="C1219" s="2"/>
      <c r="D1219" s="2"/>
      <c r="E1219" s="2"/>
      <c r="F1219" s="2"/>
      <c r="G1219" s="2"/>
      <c r="H1219" s="2"/>
      <c r="I1219" s="2"/>
      <c r="J1219" s="2"/>
      <c r="K1219" s="2"/>
      <c r="L1219" s="2"/>
      <c r="M1219" s="2"/>
      <c r="N1219" s="2"/>
      <c r="O1219" s="2"/>
      <c r="P1219" s="2"/>
      <c r="Q1219" s="2"/>
      <c r="R1219" s="2"/>
      <c r="S1219" s="2"/>
      <c r="T1219" s="2"/>
    </row>
    <row r="1220">
      <c r="A1220" s="1"/>
      <c r="B1220" s="2"/>
      <c r="C1220" s="2"/>
      <c r="D1220" s="2"/>
      <c r="E1220" s="2"/>
      <c r="F1220" s="2"/>
      <c r="G1220" s="2"/>
      <c r="H1220" s="2"/>
      <c r="I1220" s="2"/>
      <c r="J1220" s="2"/>
      <c r="K1220" s="2"/>
      <c r="L1220" s="2"/>
      <c r="M1220" s="2"/>
      <c r="N1220" s="2"/>
      <c r="O1220" s="2"/>
      <c r="P1220" s="2"/>
      <c r="Q1220" s="2"/>
      <c r="R1220" s="2"/>
      <c r="S1220" s="2"/>
      <c r="T1220" s="2"/>
    </row>
    <row r="1221">
      <c r="A1221" s="1"/>
      <c r="B1221" s="2"/>
      <c r="C1221" s="2"/>
      <c r="D1221" s="2"/>
      <c r="E1221" s="2"/>
      <c r="F1221" s="2"/>
      <c r="G1221" s="2"/>
      <c r="H1221" s="2"/>
      <c r="I1221" s="2"/>
      <c r="J1221" s="2"/>
      <c r="K1221" s="2"/>
      <c r="L1221" s="2"/>
      <c r="M1221" s="2"/>
      <c r="N1221" s="2"/>
      <c r="O1221" s="2"/>
      <c r="P1221" s="2"/>
      <c r="Q1221" s="2"/>
      <c r="R1221" s="2"/>
      <c r="S1221" s="2"/>
      <c r="T1221" s="2"/>
    </row>
    <row r="1222">
      <c r="A1222" s="1"/>
      <c r="B1222" s="2"/>
      <c r="C1222" s="2"/>
      <c r="D1222" s="2"/>
      <c r="E1222" s="2"/>
      <c r="F1222" s="2"/>
      <c r="G1222" s="2"/>
      <c r="H1222" s="2"/>
      <c r="I1222" s="2"/>
      <c r="J1222" s="2"/>
      <c r="K1222" s="2"/>
      <c r="L1222" s="2"/>
      <c r="M1222" s="2"/>
      <c r="N1222" s="2"/>
      <c r="O1222" s="2"/>
      <c r="P1222" s="2"/>
      <c r="Q1222" s="2"/>
      <c r="R1222" s="2"/>
      <c r="S1222" s="2"/>
      <c r="T1222" s="2"/>
    </row>
    <row r="1223">
      <c r="A1223" s="1"/>
      <c r="B1223" s="2"/>
      <c r="C1223" s="2"/>
      <c r="D1223" s="2"/>
      <c r="E1223" s="2"/>
      <c r="F1223" s="2"/>
      <c r="G1223" s="2"/>
      <c r="H1223" s="2"/>
      <c r="I1223" s="2"/>
      <c r="J1223" s="2"/>
      <c r="K1223" s="2"/>
      <c r="L1223" s="2"/>
      <c r="M1223" s="2"/>
      <c r="N1223" s="2"/>
      <c r="O1223" s="2"/>
      <c r="P1223" s="2"/>
      <c r="Q1223" s="2"/>
      <c r="R1223" s="2"/>
      <c r="S1223" s="2"/>
      <c r="T1223" s="2"/>
    </row>
    <row r="1224">
      <c r="A1224" s="1"/>
      <c r="B1224" s="2"/>
      <c r="C1224" s="2"/>
      <c r="D1224" s="2"/>
      <c r="E1224" s="2"/>
      <c r="F1224" s="2"/>
      <c r="G1224" s="2"/>
      <c r="H1224" s="2"/>
      <c r="I1224" s="2"/>
      <c r="J1224" s="2"/>
      <c r="K1224" s="2"/>
      <c r="L1224" s="2"/>
      <c r="M1224" s="2"/>
      <c r="N1224" s="2"/>
      <c r="O1224" s="2"/>
      <c r="P1224" s="2"/>
      <c r="Q1224" s="2"/>
      <c r="R1224" s="2"/>
      <c r="S1224" s="2"/>
      <c r="T1224" s="2"/>
    </row>
    <row r="1225">
      <c r="A1225" s="1"/>
      <c r="B1225" s="2"/>
      <c r="C1225" s="2"/>
      <c r="D1225" s="2"/>
      <c r="E1225" s="2"/>
      <c r="F1225" s="2"/>
      <c r="G1225" s="2"/>
      <c r="H1225" s="2"/>
      <c r="I1225" s="2"/>
      <c r="J1225" s="2"/>
      <c r="K1225" s="2"/>
      <c r="L1225" s="2"/>
      <c r="M1225" s="2"/>
      <c r="N1225" s="2"/>
      <c r="O1225" s="2"/>
      <c r="P1225" s="2"/>
      <c r="Q1225" s="2"/>
      <c r="R1225" s="2"/>
      <c r="S1225" s="2"/>
      <c r="T1225" s="2"/>
    </row>
    <row r="1226">
      <c r="A1226" s="1"/>
      <c r="B1226" s="2"/>
      <c r="C1226" s="2"/>
      <c r="D1226" s="2"/>
      <c r="E1226" s="2"/>
      <c r="F1226" s="2"/>
      <c r="G1226" s="2"/>
      <c r="H1226" s="2"/>
      <c r="I1226" s="2"/>
      <c r="J1226" s="2"/>
      <c r="K1226" s="2"/>
      <c r="L1226" s="2"/>
      <c r="M1226" s="2"/>
      <c r="N1226" s="2"/>
      <c r="O1226" s="2"/>
      <c r="P1226" s="2"/>
      <c r="Q1226" s="2"/>
      <c r="R1226" s="2"/>
      <c r="S1226" s="2"/>
      <c r="T1226" s="2"/>
    </row>
    <row r="1227">
      <c r="A1227" s="1"/>
      <c r="B1227" s="2"/>
      <c r="C1227" s="2"/>
      <c r="D1227" s="2"/>
      <c r="E1227" s="2"/>
      <c r="F1227" s="2"/>
      <c r="G1227" s="2"/>
      <c r="H1227" s="2"/>
      <c r="I1227" s="2"/>
      <c r="J1227" s="2"/>
      <c r="K1227" s="2"/>
      <c r="L1227" s="2"/>
      <c r="M1227" s="2"/>
      <c r="N1227" s="2"/>
      <c r="O1227" s="2"/>
      <c r="P1227" s="2"/>
      <c r="Q1227" s="2"/>
      <c r="R1227" s="2"/>
      <c r="S1227" s="2"/>
      <c r="T1227" s="2"/>
    </row>
    <row r="1228">
      <c r="A1228" s="1"/>
      <c r="B1228" s="2"/>
      <c r="C1228" s="2"/>
      <c r="D1228" s="2"/>
      <c r="E1228" s="2"/>
      <c r="F1228" s="2"/>
      <c r="G1228" s="2"/>
      <c r="H1228" s="2"/>
      <c r="I1228" s="2"/>
      <c r="J1228" s="2"/>
      <c r="K1228" s="2"/>
      <c r="L1228" s="2"/>
      <c r="M1228" s="2"/>
      <c r="N1228" s="2"/>
      <c r="O1228" s="2"/>
      <c r="P1228" s="2"/>
      <c r="Q1228" s="2"/>
      <c r="R1228" s="2"/>
      <c r="S1228" s="2"/>
      <c r="T1228" s="2"/>
    </row>
    <row r="1229">
      <c r="A1229" s="1"/>
      <c r="B1229" s="2"/>
      <c r="C1229" s="2"/>
      <c r="D1229" s="2"/>
      <c r="E1229" s="2"/>
      <c r="F1229" s="2"/>
      <c r="G1229" s="2"/>
      <c r="H1229" s="2"/>
      <c r="I1229" s="2"/>
      <c r="J1229" s="2"/>
      <c r="K1229" s="2"/>
      <c r="L1229" s="2"/>
      <c r="M1229" s="2"/>
      <c r="N1229" s="2"/>
      <c r="O1229" s="2"/>
      <c r="P1229" s="2"/>
      <c r="Q1229" s="2"/>
      <c r="R1229" s="2"/>
      <c r="S1229" s="2"/>
      <c r="T1229" s="2"/>
    </row>
    <row r="1230">
      <c r="A1230" s="1"/>
      <c r="B1230" s="2"/>
      <c r="C1230" s="2"/>
      <c r="D1230" s="2"/>
      <c r="E1230" s="2"/>
      <c r="F1230" s="2"/>
      <c r="G1230" s="2"/>
      <c r="H1230" s="2"/>
      <c r="I1230" s="2"/>
      <c r="J1230" s="2"/>
      <c r="K1230" s="2"/>
      <c r="L1230" s="2"/>
      <c r="M1230" s="2"/>
      <c r="N1230" s="2"/>
      <c r="O1230" s="2"/>
      <c r="P1230" s="2"/>
      <c r="Q1230" s="2"/>
      <c r="R1230" s="2"/>
      <c r="S1230" s="2"/>
      <c r="T1230" s="2"/>
    </row>
    <row r="1231">
      <c r="A1231" s="1"/>
      <c r="B1231" s="2"/>
      <c r="C1231" s="2"/>
      <c r="D1231" s="2"/>
      <c r="E1231" s="2"/>
      <c r="F1231" s="2"/>
      <c r="G1231" s="2"/>
      <c r="H1231" s="2"/>
      <c r="I1231" s="2"/>
      <c r="J1231" s="2"/>
      <c r="K1231" s="2"/>
      <c r="L1231" s="2"/>
      <c r="M1231" s="2"/>
      <c r="N1231" s="2"/>
      <c r="O1231" s="2"/>
      <c r="P1231" s="2"/>
      <c r="Q1231" s="2"/>
      <c r="R1231" s="2"/>
      <c r="S1231" s="2"/>
      <c r="T1231" s="2"/>
    </row>
    <row r="1232">
      <c r="A1232" s="1"/>
      <c r="B1232" s="2"/>
      <c r="C1232" s="2"/>
      <c r="D1232" s="2"/>
      <c r="E1232" s="2"/>
      <c r="F1232" s="2"/>
      <c r="G1232" s="2"/>
      <c r="H1232" s="2"/>
      <c r="I1232" s="2"/>
      <c r="J1232" s="2"/>
      <c r="K1232" s="2"/>
      <c r="L1232" s="2"/>
      <c r="M1232" s="2"/>
      <c r="N1232" s="2"/>
      <c r="O1232" s="2"/>
      <c r="P1232" s="2"/>
      <c r="Q1232" s="2"/>
      <c r="R1232" s="2"/>
      <c r="S1232" s="2"/>
      <c r="T1232" s="2"/>
    </row>
    <row r="1233">
      <c r="A1233" s="1"/>
      <c r="B1233" s="2"/>
      <c r="C1233" s="2"/>
      <c r="D1233" s="2"/>
      <c r="E1233" s="2"/>
      <c r="F1233" s="2"/>
      <c r="G1233" s="2"/>
      <c r="H1233" s="2"/>
      <c r="I1233" s="2"/>
      <c r="J1233" s="2"/>
      <c r="K1233" s="2"/>
      <c r="L1233" s="2"/>
      <c r="M1233" s="2"/>
      <c r="N1233" s="2"/>
      <c r="O1233" s="2"/>
      <c r="P1233" s="2"/>
      <c r="Q1233" s="2"/>
      <c r="R1233" s="2"/>
      <c r="S1233" s="2"/>
      <c r="T1233" s="2"/>
    </row>
    <row r="1234">
      <c r="A1234" s="1"/>
      <c r="B1234" s="2"/>
      <c r="C1234" s="2"/>
      <c r="D1234" s="2"/>
      <c r="E1234" s="2"/>
      <c r="F1234" s="2"/>
      <c r="G1234" s="2"/>
      <c r="H1234" s="2"/>
      <c r="I1234" s="2"/>
      <c r="J1234" s="2"/>
      <c r="K1234" s="2"/>
      <c r="L1234" s="2"/>
      <c r="M1234" s="2"/>
      <c r="N1234" s="2"/>
      <c r="O1234" s="2"/>
      <c r="P1234" s="2"/>
      <c r="Q1234" s="2"/>
      <c r="R1234" s="2"/>
      <c r="S1234" s="2"/>
      <c r="T1234" s="2"/>
    </row>
    <row r="1235">
      <c r="A1235" s="1"/>
      <c r="B1235" s="2"/>
      <c r="C1235" s="2"/>
      <c r="D1235" s="2"/>
      <c r="E1235" s="2"/>
      <c r="F1235" s="2"/>
      <c r="G1235" s="2"/>
      <c r="H1235" s="2"/>
      <c r="I1235" s="2"/>
      <c r="J1235" s="2"/>
      <c r="K1235" s="2"/>
      <c r="L1235" s="2"/>
      <c r="M1235" s="2"/>
      <c r="N1235" s="2"/>
      <c r="O1235" s="2"/>
      <c r="P1235" s="2"/>
      <c r="Q1235" s="2"/>
      <c r="R1235" s="2"/>
      <c r="S1235" s="2"/>
      <c r="T1235" s="2"/>
    </row>
    <row r="1236">
      <c r="A1236" s="1"/>
      <c r="B1236" s="2"/>
      <c r="C1236" s="2"/>
      <c r="D1236" s="2"/>
      <c r="E1236" s="2"/>
      <c r="F1236" s="2"/>
      <c r="G1236" s="2"/>
      <c r="H1236" s="2"/>
      <c r="I1236" s="2"/>
      <c r="J1236" s="2"/>
      <c r="K1236" s="2"/>
      <c r="L1236" s="2"/>
      <c r="M1236" s="2"/>
      <c r="N1236" s="2"/>
      <c r="O1236" s="2"/>
      <c r="P1236" s="2"/>
      <c r="Q1236" s="2"/>
      <c r="R1236" s="2"/>
      <c r="S1236" s="2"/>
      <c r="T1236" s="2"/>
    </row>
    <row r="1237">
      <c r="A1237" s="1"/>
      <c r="B1237" s="2"/>
      <c r="C1237" s="2"/>
      <c r="D1237" s="2"/>
      <c r="E1237" s="2"/>
      <c r="F1237" s="2"/>
      <c r="G1237" s="2"/>
      <c r="H1237" s="2"/>
      <c r="I1237" s="2"/>
      <c r="J1237" s="2"/>
      <c r="K1237" s="2"/>
      <c r="L1237" s="2"/>
      <c r="M1237" s="2"/>
      <c r="N1237" s="2"/>
      <c r="O1237" s="2"/>
      <c r="P1237" s="2"/>
      <c r="Q1237" s="2"/>
      <c r="R1237" s="2"/>
      <c r="S1237" s="2"/>
      <c r="T1237" s="2"/>
    </row>
    <row r="1238">
      <c r="A1238" s="1"/>
      <c r="B1238" s="2"/>
      <c r="C1238" s="2"/>
      <c r="D1238" s="2"/>
      <c r="E1238" s="2"/>
      <c r="F1238" s="2"/>
      <c r="G1238" s="2"/>
      <c r="H1238" s="2"/>
      <c r="I1238" s="2"/>
      <c r="J1238" s="2"/>
      <c r="K1238" s="2"/>
      <c r="L1238" s="2"/>
      <c r="M1238" s="2"/>
      <c r="N1238" s="2"/>
      <c r="O1238" s="2"/>
      <c r="P1238" s="2"/>
      <c r="Q1238" s="2"/>
      <c r="R1238" s="2"/>
      <c r="S1238" s="2"/>
      <c r="T1238" s="2"/>
    </row>
    <row r="1239">
      <c r="A1239" s="1"/>
      <c r="B1239" s="2"/>
      <c r="C1239" s="2"/>
      <c r="D1239" s="2"/>
      <c r="E1239" s="2"/>
      <c r="F1239" s="2"/>
      <c r="G1239" s="2"/>
      <c r="H1239" s="2"/>
      <c r="I1239" s="2"/>
      <c r="J1239" s="2"/>
      <c r="K1239" s="2"/>
      <c r="L1239" s="2"/>
      <c r="M1239" s="2"/>
      <c r="N1239" s="2"/>
      <c r="O1239" s="2"/>
      <c r="P1239" s="2"/>
      <c r="Q1239" s="2"/>
      <c r="R1239" s="2"/>
      <c r="S1239" s="2"/>
      <c r="T1239" s="2"/>
    </row>
    <row r="1240">
      <c r="A1240" s="1"/>
      <c r="B1240" s="2"/>
      <c r="C1240" s="2"/>
      <c r="D1240" s="2"/>
      <c r="E1240" s="2"/>
      <c r="F1240" s="2"/>
      <c r="G1240" s="2"/>
      <c r="H1240" s="2"/>
      <c r="I1240" s="2"/>
      <c r="J1240" s="2"/>
      <c r="K1240" s="2"/>
      <c r="L1240" s="2"/>
      <c r="M1240" s="2"/>
      <c r="N1240" s="2"/>
      <c r="O1240" s="2"/>
      <c r="P1240" s="2"/>
      <c r="Q1240" s="2"/>
      <c r="R1240" s="2"/>
      <c r="S1240" s="2"/>
      <c r="T1240" s="2"/>
    </row>
    <row r="1241">
      <c r="A1241" s="1"/>
      <c r="B1241" s="2"/>
      <c r="C1241" s="2"/>
      <c r="D1241" s="2"/>
      <c r="E1241" s="2"/>
      <c r="F1241" s="2"/>
      <c r="G1241" s="2"/>
      <c r="H1241" s="2"/>
      <c r="I1241" s="2"/>
      <c r="J1241" s="2"/>
      <c r="K1241" s="2"/>
      <c r="L1241" s="2"/>
      <c r="M1241" s="2"/>
      <c r="N1241" s="2"/>
      <c r="O1241" s="2"/>
      <c r="P1241" s="2"/>
      <c r="Q1241" s="2"/>
      <c r="R1241" s="2"/>
      <c r="S1241" s="2"/>
      <c r="T1241" s="2"/>
    </row>
    <row r="1242">
      <c r="A1242" s="1"/>
      <c r="B1242" s="2"/>
      <c r="C1242" s="2"/>
      <c r="D1242" s="2"/>
      <c r="E1242" s="2"/>
      <c r="F1242" s="2"/>
      <c r="G1242" s="2"/>
      <c r="H1242" s="2"/>
      <c r="I1242" s="2"/>
      <c r="J1242" s="2"/>
      <c r="K1242" s="2"/>
      <c r="L1242" s="2"/>
      <c r="M1242" s="2"/>
      <c r="N1242" s="2"/>
      <c r="O1242" s="2"/>
      <c r="P1242" s="2"/>
      <c r="Q1242" s="2"/>
      <c r="R1242" s="2"/>
      <c r="S1242" s="2"/>
      <c r="T1242" s="2"/>
    </row>
    <row r="1243">
      <c r="A1243" s="1"/>
      <c r="B1243" s="2"/>
      <c r="C1243" s="2"/>
      <c r="D1243" s="2"/>
      <c r="E1243" s="2"/>
      <c r="F1243" s="2"/>
      <c r="G1243" s="2"/>
      <c r="H1243" s="2"/>
      <c r="I1243" s="2"/>
      <c r="J1243" s="2"/>
      <c r="K1243" s="2"/>
      <c r="L1243" s="2"/>
      <c r="M1243" s="2"/>
      <c r="N1243" s="2"/>
      <c r="O1243" s="2"/>
      <c r="P1243" s="2"/>
      <c r="Q1243" s="2"/>
      <c r="R1243" s="2"/>
      <c r="S1243" s="2"/>
      <c r="T1243" s="2"/>
    </row>
    <row r="1244">
      <c r="A1244" s="1"/>
      <c r="B1244" s="2"/>
      <c r="C1244" s="2"/>
      <c r="D1244" s="2"/>
      <c r="E1244" s="2"/>
      <c r="F1244" s="2"/>
      <c r="G1244" s="2"/>
      <c r="H1244" s="2"/>
      <c r="I1244" s="2"/>
      <c r="J1244" s="2"/>
      <c r="K1244" s="2"/>
      <c r="L1244" s="2"/>
      <c r="M1244" s="2"/>
      <c r="N1244" s="2"/>
      <c r="O1244" s="2"/>
      <c r="P1244" s="2"/>
      <c r="Q1244" s="2"/>
      <c r="R1244" s="2"/>
      <c r="S1244" s="2"/>
      <c r="T1244" s="2"/>
    </row>
    <row r="1245">
      <c r="A1245" s="1"/>
      <c r="B1245" s="2"/>
      <c r="C1245" s="2"/>
      <c r="D1245" s="2"/>
      <c r="E1245" s="2"/>
      <c r="F1245" s="2"/>
      <c r="G1245" s="2"/>
      <c r="H1245" s="2"/>
      <c r="I1245" s="2"/>
      <c r="J1245" s="2"/>
      <c r="K1245" s="2"/>
      <c r="L1245" s="2"/>
      <c r="M1245" s="2"/>
      <c r="N1245" s="2"/>
      <c r="O1245" s="2"/>
      <c r="P1245" s="2"/>
      <c r="Q1245" s="2"/>
      <c r="R1245" s="2"/>
      <c r="S1245" s="2"/>
      <c r="T1245" s="2"/>
    </row>
    <row r="1246">
      <c r="A1246" s="1"/>
      <c r="B1246" s="2"/>
      <c r="C1246" s="2"/>
      <c r="D1246" s="2"/>
      <c r="E1246" s="2"/>
      <c r="F1246" s="2"/>
      <c r="G1246" s="2"/>
      <c r="H1246" s="2"/>
      <c r="I1246" s="2"/>
      <c r="J1246" s="2"/>
      <c r="K1246" s="2"/>
      <c r="L1246" s="2"/>
      <c r="M1246" s="2"/>
      <c r="N1246" s="2"/>
      <c r="O1246" s="2"/>
      <c r="P1246" s="2"/>
      <c r="Q1246" s="2"/>
      <c r="R1246" s="2"/>
      <c r="S1246" s="2"/>
      <c r="T1246" s="2"/>
    </row>
    <row r="1247">
      <c r="A1247" s="1"/>
      <c r="B1247" s="2"/>
      <c r="C1247" s="2"/>
      <c r="D1247" s="2"/>
      <c r="E1247" s="2"/>
      <c r="F1247" s="2"/>
      <c r="G1247" s="2"/>
      <c r="H1247" s="2"/>
      <c r="I1247" s="2"/>
      <c r="J1247" s="2"/>
      <c r="K1247" s="2"/>
      <c r="L1247" s="2"/>
      <c r="M1247" s="2"/>
      <c r="N1247" s="2"/>
      <c r="O1247" s="2"/>
      <c r="P1247" s="2"/>
      <c r="Q1247" s="2"/>
      <c r="R1247" s="2"/>
      <c r="S1247" s="2"/>
      <c r="T1247" s="2"/>
    </row>
    <row r="1248">
      <c r="A1248" s="1"/>
      <c r="B1248" s="2"/>
      <c r="C1248" s="2"/>
      <c r="D1248" s="2"/>
      <c r="E1248" s="2"/>
      <c r="F1248" s="2"/>
      <c r="G1248" s="2"/>
      <c r="H1248" s="2"/>
      <c r="I1248" s="2"/>
      <c r="J1248" s="2"/>
      <c r="K1248" s="2"/>
      <c r="L1248" s="2"/>
      <c r="M1248" s="2"/>
      <c r="N1248" s="2"/>
      <c r="O1248" s="2"/>
      <c r="P1248" s="2"/>
      <c r="Q1248" s="2"/>
      <c r="R1248" s="2"/>
      <c r="S1248" s="2"/>
      <c r="T1248" s="2"/>
    </row>
    <row r="1249">
      <c r="A1249" s="1"/>
      <c r="B1249" s="2"/>
      <c r="C1249" s="2"/>
      <c r="D1249" s="2"/>
      <c r="E1249" s="2"/>
      <c r="F1249" s="2"/>
      <c r="G1249" s="2"/>
      <c r="H1249" s="2"/>
      <c r="I1249" s="2"/>
      <c r="J1249" s="2"/>
      <c r="K1249" s="2"/>
      <c r="L1249" s="2"/>
      <c r="M1249" s="2"/>
      <c r="N1249" s="2"/>
      <c r="O1249" s="2"/>
      <c r="P1249" s="2"/>
      <c r="Q1249" s="2"/>
      <c r="R1249" s="2"/>
      <c r="S1249" s="2"/>
      <c r="T1249" s="2"/>
    </row>
    <row r="1250">
      <c r="A1250" s="1"/>
      <c r="B1250" s="2"/>
      <c r="C1250" s="2"/>
      <c r="D1250" s="2"/>
      <c r="E1250" s="2"/>
      <c r="F1250" s="2"/>
      <c r="G1250" s="2"/>
      <c r="H1250" s="2"/>
      <c r="I1250" s="2"/>
      <c r="J1250" s="2"/>
      <c r="K1250" s="2"/>
      <c r="L1250" s="2"/>
      <c r="M1250" s="2"/>
      <c r="N1250" s="2"/>
      <c r="O1250" s="2"/>
      <c r="P1250" s="2"/>
      <c r="Q1250" s="2"/>
      <c r="R1250" s="2"/>
      <c r="S1250" s="2"/>
      <c r="T1250" s="2"/>
    </row>
    <row r="1251">
      <c r="A1251" s="1"/>
      <c r="B1251" s="2"/>
      <c r="C1251" s="2"/>
      <c r="D1251" s="2"/>
      <c r="E1251" s="2"/>
      <c r="F1251" s="2"/>
      <c r="G1251" s="2"/>
      <c r="H1251" s="2"/>
      <c r="I1251" s="2"/>
      <c r="J1251" s="2"/>
      <c r="K1251" s="2"/>
      <c r="L1251" s="2"/>
      <c r="M1251" s="2"/>
      <c r="N1251" s="2"/>
      <c r="O1251" s="2"/>
      <c r="P1251" s="2"/>
      <c r="Q1251" s="2"/>
      <c r="R1251" s="2"/>
      <c r="S1251" s="2"/>
      <c r="T1251" s="2"/>
    </row>
    <row r="1252">
      <c r="A1252" s="1"/>
      <c r="B1252" s="2"/>
      <c r="C1252" s="2"/>
      <c r="D1252" s="2"/>
      <c r="E1252" s="2"/>
      <c r="F1252" s="2"/>
      <c r="G1252" s="2"/>
      <c r="H1252" s="2"/>
      <c r="I1252" s="2"/>
      <c r="J1252" s="2"/>
      <c r="K1252" s="2"/>
      <c r="L1252" s="2"/>
      <c r="M1252" s="2"/>
      <c r="N1252" s="2"/>
      <c r="O1252" s="2"/>
      <c r="P1252" s="2"/>
      <c r="Q1252" s="2"/>
      <c r="R1252" s="2"/>
      <c r="S1252" s="2"/>
      <c r="T1252" s="2"/>
    </row>
    <row r="1253">
      <c r="A1253" s="1"/>
      <c r="B1253" s="2"/>
      <c r="C1253" s="2"/>
      <c r="D1253" s="2"/>
      <c r="E1253" s="2"/>
      <c r="F1253" s="2"/>
      <c r="G1253" s="2"/>
      <c r="H1253" s="2"/>
      <c r="I1253" s="2"/>
      <c r="J1253" s="2"/>
      <c r="K1253" s="2"/>
      <c r="L1253" s="2"/>
      <c r="M1253" s="2"/>
      <c r="N1253" s="2"/>
      <c r="O1253" s="2"/>
      <c r="P1253" s="2"/>
      <c r="Q1253" s="2"/>
      <c r="R1253" s="2"/>
      <c r="S1253" s="2"/>
      <c r="T1253" s="2"/>
    </row>
    <row r="1254">
      <c r="A1254" s="1"/>
      <c r="B1254" s="2"/>
      <c r="C1254" s="2"/>
      <c r="D1254" s="2"/>
      <c r="E1254" s="2"/>
      <c r="F1254" s="2"/>
      <c r="G1254" s="2"/>
      <c r="H1254" s="2"/>
      <c r="I1254" s="2"/>
      <c r="J1254" s="2"/>
      <c r="K1254" s="2"/>
      <c r="L1254" s="2"/>
      <c r="M1254" s="2"/>
      <c r="N1254" s="2"/>
      <c r="O1254" s="2"/>
      <c r="P1254" s="2"/>
      <c r="Q1254" s="2"/>
      <c r="R1254" s="2"/>
      <c r="S1254" s="2"/>
      <c r="T1254" s="2"/>
    </row>
    <row r="1255">
      <c r="A1255" s="1"/>
      <c r="B1255" s="2"/>
      <c r="C1255" s="2"/>
      <c r="D1255" s="2"/>
      <c r="E1255" s="2"/>
      <c r="F1255" s="2"/>
      <c r="G1255" s="2"/>
      <c r="H1255" s="2"/>
      <c r="I1255" s="2"/>
      <c r="J1255" s="2"/>
      <c r="K1255" s="2"/>
      <c r="L1255" s="2"/>
      <c r="M1255" s="2"/>
      <c r="N1255" s="2"/>
      <c r="O1255" s="2"/>
      <c r="P1255" s="2"/>
      <c r="Q1255" s="2"/>
      <c r="R1255" s="2"/>
      <c r="S1255" s="2"/>
      <c r="T1255" s="2"/>
    </row>
    <row r="1256">
      <c r="A1256" s="1"/>
      <c r="B1256" s="2"/>
      <c r="C1256" s="2"/>
      <c r="D1256" s="2"/>
      <c r="E1256" s="2"/>
      <c r="F1256" s="2"/>
      <c r="G1256" s="2"/>
      <c r="H1256" s="2"/>
      <c r="I1256" s="2"/>
      <c r="J1256" s="2"/>
      <c r="K1256" s="2"/>
      <c r="L1256" s="2"/>
      <c r="M1256" s="2"/>
      <c r="N1256" s="2"/>
      <c r="O1256" s="2"/>
      <c r="P1256" s="2"/>
      <c r="Q1256" s="2"/>
      <c r="R1256" s="2"/>
      <c r="S1256" s="2"/>
      <c r="T1256" s="2"/>
    </row>
    <row r="1257">
      <c r="A1257" s="1"/>
      <c r="B1257" s="2"/>
      <c r="C1257" s="2"/>
      <c r="D1257" s="2"/>
      <c r="E1257" s="2"/>
      <c r="F1257" s="2"/>
      <c r="G1257" s="2"/>
      <c r="H1257" s="2"/>
      <c r="I1257" s="2"/>
      <c r="J1257" s="2"/>
      <c r="K1257" s="2"/>
      <c r="L1257" s="2"/>
      <c r="M1257" s="2"/>
      <c r="N1257" s="2"/>
      <c r="O1257" s="2"/>
      <c r="P1257" s="2"/>
      <c r="Q1257" s="2"/>
      <c r="R1257" s="2"/>
      <c r="S1257" s="2"/>
      <c r="T1257" s="2"/>
    </row>
    <row r="1258">
      <c r="A1258" s="1"/>
      <c r="B1258" s="2"/>
      <c r="C1258" s="2"/>
      <c r="D1258" s="2"/>
      <c r="E1258" s="2"/>
      <c r="F1258" s="2"/>
      <c r="G1258" s="2"/>
      <c r="H1258" s="2"/>
      <c r="I1258" s="2"/>
      <c r="J1258" s="2"/>
      <c r="K1258" s="2"/>
      <c r="L1258" s="2"/>
      <c r="M1258" s="2"/>
      <c r="N1258" s="2"/>
      <c r="O1258" s="2"/>
      <c r="P1258" s="2"/>
      <c r="Q1258" s="2"/>
      <c r="R1258" s="2"/>
      <c r="S1258" s="2"/>
      <c r="T1258" s="2"/>
    </row>
    <row r="1259">
      <c r="A1259" s="1"/>
      <c r="B1259" s="2"/>
      <c r="C1259" s="2"/>
      <c r="D1259" s="2"/>
      <c r="E1259" s="2"/>
      <c r="F1259" s="2"/>
      <c r="G1259" s="2"/>
      <c r="H1259" s="2"/>
      <c r="I1259" s="2"/>
      <c r="J1259" s="2"/>
      <c r="K1259" s="2"/>
      <c r="L1259" s="2"/>
      <c r="M1259" s="2"/>
      <c r="N1259" s="2"/>
      <c r="O1259" s="2"/>
      <c r="P1259" s="2"/>
      <c r="Q1259" s="2"/>
      <c r="R1259" s="2"/>
      <c r="S1259" s="2"/>
      <c r="T1259" s="2"/>
    </row>
    <row r="1260">
      <c r="A1260" s="1"/>
      <c r="B1260" s="2"/>
      <c r="C1260" s="2"/>
      <c r="D1260" s="2"/>
      <c r="E1260" s="2"/>
      <c r="F1260" s="2"/>
      <c r="G1260" s="2"/>
      <c r="H1260" s="2"/>
      <c r="I1260" s="2"/>
      <c r="J1260" s="2"/>
      <c r="K1260" s="2"/>
      <c r="L1260" s="2"/>
      <c r="M1260" s="2"/>
      <c r="N1260" s="2"/>
      <c r="O1260" s="2"/>
      <c r="P1260" s="2"/>
      <c r="Q1260" s="2"/>
      <c r="R1260" s="2"/>
      <c r="S1260" s="2"/>
      <c r="T1260" s="2"/>
    </row>
    <row r="1261">
      <c r="A1261" s="1"/>
      <c r="B1261" s="2"/>
      <c r="C1261" s="2"/>
      <c r="D1261" s="2"/>
      <c r="E1261" s="2"/>
      <c r="F1261" s="2"/>
      <c r="G1261" s="2"/>
      <c r="H1261" s="2"/>
      <c r="I1261" s="2"/>
      <c r="J1261" s="2"/>
      <c r="K1261" s="2"/>
      <c r="L1261" s="2"/>
      <c r="M1261" s="2"/>
      <c r="N1261" s="2"/>
      <c r="O1261" s="2"/>
      <c r="P1261" s="2"/>
      <c r="Q1261" s="2"/>
      <c r="R1261" s="2"/>
      <c r="S1261" s="2"/>
      <c r="T1261" s="2"/>
    </row>
    <row r="1262">
      <c r="A1262" s="1"/>
      <c r="B1262" s="2"/>
      <c r="C1262" s="2"/>
      <c r="D1262" s="2"/>
      <c r="E1262" s="2"/>
      <c r="F1262" s="2"/>
      <c r="G1262" s="2"/>
      <c r="H1262" s="2"/>
      <c r="I1262" s="2"/>
      <c r="J1262" s="2"/>
      <c r="K1262" s="2"/>
      <c r="L1262" s="2"/>
      <c r="M1262" s="2"/>
      <c r="N1262" s="2"/>
      <c r="O1262" s="2"/>
      <c r="P1262" s="2"/>
      <c r="Q1262" s="2"/>
      <c r="R1262" s="2"/>
      <c r="S1262" s="2"/>
      <c r="T1262" s="2"/>
    </row>
    <row r="1263">
      <c r="A1263" s="1"/>
      <c r="B1263" s="2"/>
      <c r="C1263" s="2"/>
      <c r="D1263" s="2"/>
      <c r="E1263" s="2"/>
      <c r="F1263" s="2"/>
      <c r="G1263" s="2"/>
      <c r="H1263" s="2"/>
      <c r="I1263" s="2"/>
      <c r="J1263" s="2"/>
      <c r="K1263" s="2"/>
      <c r="L1263" s="2"/>
      <c r="M1263" s="2"/>
      <c r="N1263" s="2"/>
      <c r="O1263" s="2"/>
      <c r="P1263" s="2"/>
      <c r="Q1263" s="2"/>
      <c r="R1263" s="2"/>
      <c r="S1263" s="2"/>
      <c r="T1263" s="2"/>
    </row>
    <row r="1264">
      <c r="A1264" s="1"/>
      <c r="B1264" s="2"/>
      <c r="C1264" s="2"/>
      <c r="D1264" s="2"/>
      <c r="E1264" s="2"/>
      <c r="F1264" s="2"/>
      <c r="G1264" s="2"/>
      <c r="H1264" s="2"/>
      <c r="I1264" s="2"/>
      <c r="J1264" s="2"/>
      <c r="K1264" s="2"/>
      <c r="L1264" s="2"/>
      <c r="M1264" s="2"/>
      <c r="N1264" s="2"/>
      <c r="O1264" s="2"/>
      <c r="P1264" s="2"/>
      <c r="Q1264" s="2"/>
      <c r="R1264" s="2"/>
      <c r="S1264" s="2"/>
      <c r="T1264" s="2"/>
    </row>
    <row r="1265">
      <c r="A1265" s="1"/>
      <c r="B1265" s="2"/>
      <c r="C1265" s="2"/>
      <c r="D1265" s="2"/>
      <c r="E1265" s="2"/>
      <c r="F1265" s="2"/>
      <c r="G1265" s="2"/>
      <c r="H1265" s="2"/>
      <c r="I1265" s="2"/>
      <c r="J1265" s="2"/>
      <c r="K1265" s="2"/>
      <c r="L1265" s="2"/>
      <c r="M1265" s="2"/>
      <c r="N1265" s="2"/>
      <c r="O1265" s="2"/>
      <c r="P1265" s="2"/>
      <c r="Q1265" s="2"/>
      <c r="R1265" s="2"/>
      <c r="S1265" s="2"/>
      <c r="T1265" s="2"/>
    </row>
    <row r="1266">
      <c r="A1266" s="1"/>
      <c r="B1266" s="2"/>
      <c r="C1266" s="2"/>
      <c r="D1266" s="2"/>
      <c r="E1266" s="2"/>
      <c r="F1266" s="2"/>
      <c r="G1266" s="2"/>
      <c r="H1266" s="2"/>
      <c r="I1266" s="2"/>
      <c r="J1266" s="2"/>
      <c r="K1266" s="2"/>
      <c r="L1266" s="2"/>
      <c r="M1266" s="2"/>
      <c r="N1266" s="2"/>
      <c r="O1266" s="2"/>
      <c r="P1266" s="2"/>
      <c r="Q1266" s="2"/>
      <c r="R1266" s="2"/>
      <c r="S1266" s="2"/>
      <c r="T1266" s="2"/>
    </row>
    <row r="1267">
      <c r="A1267" s="1"/>
      <c r="B1267" s="2"/>
      <c r="C1267" s="2"/>
      <c r="D1267" s="2"/>
      <c r="E1267" s="2"/>
      <c r="F1267" s="2"/>
      <c r="G1267" s="2"/>
      <c r="H1267" s="2"/>
      <c r="I1267" s="2"/>
      <c r="J1267" s="2"/>
      <c r="K1267" s="2"/>
      <c r="L1267" s="2"/>
      <c r="M1267" s="2"/>
      <c r="N1267" s="2"/>
      <c r="O1267" s="2"/>
      <c r="P1267" s="2"/>
      <c r="Q1267" s="2"/>
      <c r="R1267" s="2"/>
      <c r="S1267" s="2"/>
      <c r="T1267" s="2"/>
    </row>
    <row r="1268">
      <c r="A1268" s="1"/>
      <c r="B1268" s="2"/>
      <c r="C1268" s="2"/>
      <c r="D1268" s="2"/>
      <c r="E1268" s="2"/>
      <c r="F1268" s="2"/>
      <c r="G1268" s="2"/>
      <c r="H1268" s="2"/>
      <c r="I1268" s="2"/>
      <c r="J1268" s="2"/>
      <c r="K1268" s="2"/>
      <c r="L1268" s="2"/>
      <c r="M1268" s="2"/>
      <c r="N1268" s="2"/>
      <c r="O1268" s="2"/>
      <c r="P1268" s="2"/>
      <c r="Q1268" s="2"/>
      <c r="R1268" s="2"/>
      <c r="S1268" s="2"/>
      <c r="T1268" s="2"/>
    </row>
    <row r="1269">
      <c r="A1269" s="1"/>
      <c r="B1269" s="2"/>
      <c r="C1269" s="2"/>
      <c r="D1269" s="2"/>
      <c r="E1269" s="2"/>
      <c r="F1269" s="2"/>
      <c r="G1269" s="2"/>
      <c r="H1269" s="2"/>
      <c r="I1269" s="2"/>
      <c r="J1269" s="2"/>
      <c r="K1269" s="2"/>
      <c r="L1269" s="2"/>
      <c r="M1269" s="2"/>
      <c r="N1269" s="2"/>
      <c r="O1269" s="2"/>
      <c r="P1269" s="2"/>
      <c r="Q1269" s="2"/>
      <c r="R1269" s="2"/>
      <c r="S1269" s="2"/>
      <c r="T1269" s="2"/>
    </row>
    <row r="1270">
      <c r="A1270" s="1"/>
      <c r="B1270" s="2"/>
      <c r="C1270" s="2"/>
      <c r="D1270" s="2"/>
      <c r="E1270" s="2"/>
      <c r="F1270" s="2"/>
      <c r="G1270" s="2"/>
      <c r="H1270" s="2"/>
      <c r="I1270" s="2"/>
      <c r="J1270" s="2"/>
      <c r="K1270" s="2"/>
      <c r="L1270" s="2"/>
      <c r="M1270" s="2"/>
      <c r="N1270" s="2"/>
      <c r="O1270" s="2"/>
      <c r="P1270" s="2"/>
      <c r="Q1270" s="2"/>
      <c r="R1270" s="2"/>
      <c r="S1270" s="2"/>
      <c r="T1270" s="2"/>
    </row>
    <row r="1271">
      <c r="A1271" s="1"/>
      <c r="B1271" s="2"/>
      <c r="C1271" s="2"/>
      <c r="D1271" s="2"/>
      <c r="E1271" s="2"/>
      <c r="F1271" s="2"/>
      <c r="G1271" s="2"/>
      <c r="H1271" s="2"/>
      <c r="I1271" s="2"/>
      <c r="J1271" s="2"/>
      <c r="K1271" s="2"/>
      <c r="L1271" s="2"/>
      <c r="M1271" s="2"/>
      <c r="N1271" s="2"/>
      <c r="O1271" s="2"/>
      <c r="P1271" s="2"/>
      <c r="Q1271" s="2"/>
      <c r="R1271" s="2"/>
      <c r="S1271" s="2"/>
      <c r="T1271" s="2"/>
    </row>
    <row r="1272">
      <c r="A1272" s="1"/>
      <c r="B1272" s="2"/>
      <c r="C1272" s="2"/>
      <c r="D1272" s="2"/>
      <c r="E1272" s="2"/>
      <c r="F1272" s="2"/>
      <c r="G1272" s="2"/>
      <c r="H1272" s="2"/>
      <c r="I1272" s="2"/>
      <c r="J1272" s="2"/>
      <c r="K1272" s="2"/>
      <c r="L1272" s="2"/>
      <c r="M1272" s="2"/>
      <c r="N1272" s="2"/>
      <c r="O1272" s="2"/>
      <c r="P1272" s="2"/>
      <c r="Q1272" s="2"/>
      <c r="R1272" s="2"/>
      <c r="S1272" s="2"/>
      <c r="T1272" s="2"/>
    </row>
    <row r="1273">
      <c r="A1273" s="1"/>
      <c r="B1273" s="2"/>
      <c r="C1273" s="2"/>
      <c r="D1273" s="2"/>
      <c r="E1273" s="2"/>
      <c r="F1273" s="2"/>
      <c r="G1273" s="2"/>
      <c r="H1273" s="2"/>
      <c r="I1273" s="2"/>
      <c r="J1273" s="2"/>
      <c r="K1273" s="2"/>
      <c r="L1273" s="2"/>
      <c r="M1273" s="2"/>
      <c r="N1273" s="2"/>
      <c r="O1273" s="2"/>
      <c r="P1273" s="2"/>
      <c r="Q1273" s="2"/>
      <c r="R1273" s="2"/>
      <c r="S1273" s="2"/>
      <c r="T1273" s="2"/>
    </row>
    <row r="1274">
      <c r="A1274" s="1"/>
      <c r="B1274" s="2"/>
      <c r="C1274" s="2"/>
      <c r="D1274" s="2"/>
      <c r="E1274" s="2"/>
      <c r="F1274" s="2"/>
      <c r="G1274" s="2"/>
      <c r="H1274" s="2"/>
      <c r="I1274" s="2"/>
      <c r="J1274" s="2"/>
      <c r="K1274" s="2"/>
      <c r="L1274" s="2"/>
      <c r="M1274" s="2"/>
      <c r="N1274" s="2"/>
      <c r="O1274" s="2"/>
      <c r="P1274" s="2"/>
      <c r="Q1274" s="2"/>
      <c r="R1274" s="2"/>
      <c r="S1274" s="2"/>
      <c r="T1274" s="2"/>
    </row>
    <row r="1275">
      <c r="A1275" s="1"/>
      <c r="B1275" s="2"/>
      <c r="C1275" s="2"/>
      <c r="D1275" s="2"/>
      <c r="E1275" s="2"/>
      <c r="F1275" s="2"/>
      <c r="G1275" s="2"/>
      <c r="H1275" s="2"/>
      <c r="I1275" s="2"/>
      <c r="J1275" s="2"/>
      <c r="K1275" s="2"/>
      <c r="L1275" s="2"/>
      <c r="M1275" s="2"/>
      <c r="N1275" s="2"/>
      <c r="O1275" s="2"/>
      <c r="P1275" s="2"/>
      <c r="Q1275" s="2"/>
      <c r="R1275" s="2"/>
      <c r="S1275" s="2"/>
      <c r="T1275" s="2"/>
    </row>
    <row r="1276">
      <c r="A1276" s="1"/>
      <c r="B1276" s="2"/>
      <c r="C1276" s="2"/>
      <c r="D1276" s="2"/>
      <c r="E1276" s="2"/>
      <c r="F1276" s="2"/>
      <c r="G1276" s="2"/>
      <c r="H1276" s="2"/>
      <c r="I1276" s="2"/>
      <c r="J1276" s="2"/>
      <c r="K1276" s="2"/>
      <c r="L1276" s="2"/>
      <c r="M1276" s="2"/>
      <c r="N1276" s="2"/>
      <c r="O1276" s="2"/>
      <c r="P1276" s="2"/>
      <c r="Q1276" s="2"/>
      <c r="R1276" s="2"/>
      <c r="S1276" s="2"/>
      <c r="T1276" s="2"/>
    </row>
    <row r="1277">
      <c r="A1277" s="1"/>
      <c r="B1277" s="2"/>
      <c r="C1277" s="2"/>
      <c r="D1277" s="2"/>
      <c r="E1277" s="2"/>
      <c r="F1277" s="2"/>
      <c r="G1277" s="2"/>
      <c r="H1277" s="2"/>
      <c r="I1277" s="2"/>
      <c r="J1277" s="2"/>
      <c r="K1277" s="2"/>
      <c r="L1277" s="2"/>
      <c r="M1277" s="2"/>
      <c r="N1277" s="2"/>
      <c r="O1277" s="2"/>
      <c r="P1277" s="2"/>
      <c r="Q1277" s="2"/>
      <c r="R1277" s="2"/>
      <c r="S1277" s="2"/>
      <c r="T1277" s="2"/>
    </row>
    <row r="1278">
      <c r="A1278" s="1"/>
      <c r="B1278" s="2"/>
      <c r="C1278" s="2"/>
      <c r="D1278" s="2"/>
      <c r="E1278" s="2"/>
      <c r="F1278" s="2"/>
      <c r="G1278" s="2"/>
      <c r="H1278" s="2"/>
      <c r="I1278" s="2"/>
      <c r="J1278" s="2"/>
      <c r="K1278" s="2"/>
      <c r="L1278" s="2"/>
      <c r="M1278" s="2"/>
      <c r="N1278" s="2"/>
      <c r="O1278" s="2"/>
      <c r="P1278" s="2"/>
      <c r="Q1278" s="2"/>
      <c r="R1278" s="2"/>
      <c r="S1278" s="2"/>
      <c r="T1278" s="2"/>
    </row>
    <row r="1279">
      <c r="A1279" s="1"/>
      <c r="B1279" s="2"/>
      <c r="C1279" s="2"/>
      <c r="D1279" s="2"/>
      <c r="E1279" s="2"/>
      <c r="F1279" s="2"/>
      <c r="G1279" s="2"/>
      <c r="H1279" s="2"/>
      <c r="I1279" s="2"/>
      <c r="J1279" s="2"/>
      <c r="K1279" s="2"/>
      <c r="L1279" s="2"/>
      <c r="M1279" s="2"/>
      <c r="N1279" s="2"/>
      <c r="O1279" s="2"/>
      <c r="P1279" s="2"/>
      <c r="Q1279" s="2"/>
      <c r="R1279" s="2"/>
      <c r="S1279" s="2"/>
      <c r="T1279" s="2"/>
    </row>
    <row r="1280">
      <c r="A1280" s="1"/>
      <c r="B1280" s="2"/>
      <c r="C1280" s="2"/>
      <c r="D1280" s="2"/>
      <c r="E1280" s="2"/>
      <c r="F1280" s="2"/>
      <c r="G1280" s="2"/>
      <c r="H1280" s="2"/>
      <c r="I1280" s="2"/>
      <c r="J1280" s="2"/>
      <c r="K1280" s="2"/>
      <c r="L1280" s="2"/>
      <c r="M1280" s="2"/>
      <c r="N1280" s="2"/>
      <c r="O1280" s="2"/>
      <c r="P1280" s="2"/>
      <c r="Q1280" s="2"/>
      <c r="R1280" s="2"/>
      <c r="S1280" s="2"/>
      <c r="T1280" s="2"/>
    </row>
    <row r="1281">
      <c r="A1281" s="1"/>
      <c r="B1281" s="2"/>
      <c r="C1281" s="2"/>
      <c r="D1281" s="2"/>
      <c r="E1281" s="2"/>
      <c r="F1281" s="2"/>
      <c r="G1281" s="2"/>
      <c r="H1281" s="2"/>
      <c r="I1281" s="2"/>
      <c r="J1281" s="2"/>
      <c r="K1281" s="2"/>
      <c r="L1281" s="2"/>
      <c r="M1281" s="2"/>
      <c r="N1281" s="2"/>
      <c r="O1281" s="2"/>
      <c r="P1281" s="2"/>
      <c r="Q1281" s="2"/>
      <c r="R1281" s="2"/>
      <c r="S1281" s="2"/>
      <c r="T1281" s="2"/>
    </row>
    <row r="1282">
      <c r="A1282" s="1"/>
      <c r="B1282" s="2"/>
      <c r="C1282" s="2"/>
      <c r="D1282" s="2"/>
      <c r="E1282" s="2"/>
      <c r="F1282" s="2"/>
      <c r="G1282" s="2"/>
      <c r="H1282" s="2"/>
      <c r="I1282" s="2"/>
      <c r="J1282" s="2"/>
      <c r="K1282" s="2"/>
      <c r="L1282" s="2"/>
      <c r="M1282" s="2"/>
      <c r="N1282" s="2"/>
      <c r="O1282" s="2"/>
      <c r="P1282" s="2"/>
      <c r="Q1282" s="2"/>
      <c r="R1282" s="2"/>
      <c r="S1282" s="2"/>
      <c r="T1282" s="2"/>
    </row>
    <row r="1283">
      <c r="A1283" s="1"/>
      <c r="B1283" s="2"/>
      <c r="C1283" s="2"/>
      <c r="D1283" s="2"/>
      <c r="E1283" s="2"/>
      <c r="F1283" s="2"/>
      <c r="G1283" s="2"/>
      <c r="H1283" s="2"/>
      <c r="I1283" s="2"/>
      <c r="J1283" s="2"/>
      <c r="K1283" s="2"/>
      <c r="L1283" s="2"/>
      <c r="M1283" s="2"/>
      <c r="N1283" s="2"/>
      <c r="O1283" s="2"/>
      <c r="P1283" s="2"/>
      <c r="Q1283" s="2"/>
      <c r="R1283" s="2"/>
      <c r="S1283" s="2"/>
      <c r="T1283" s="2"/>
    </row>
    <row r="1284">
      <c r="A1284" s="1"/>
      <c r="B1284" s="2"/>
      <c r="C1284" s="2"/>
      <c r="D1284" s="2"/>
      <c r="E1284" s="2"/>
      <c r="F1284" s="2"/>
      <c r="G1284" s="2"/>
      <c r="H1284" s="2"/>
      <c r="I1284" s="2"/>
      <c r="J1284" s="2"/>
      <c r="K1284" s="2"/>
      <c r="L1284" s="2"/>
      <c r="M1284" s="2"/>
      <c r="N1284" s="2"/>
      <c r="O1284" s="2"/>
      <c r="P1284" s="2"/>
      <c r="Q1284" s="2"/>
      <c r="R1284" s="2"/>
      <c r="S1284" s="2"/>
      <c r="T1284" s="2"/>
    </row>
    <row r="1285">
      <c r="A1285" s="1"/>
      <c r="B1285" s="2"/>
      <c r="C1285" s="2"/>
      <c r="D1285" s="2"/>
      <c r="E1285" s="2"/>
      <c r="F1285" s="2"/>
      <c r="G1285" s="2"/>
      <c r="H1285" s="2"/>
      <c r="I1285" s="2"/>
      <c r="J1285" s="2"/>
      <c r="K1285" s="2"/>
      <c r="L1285" s="2"/>
      <c r="M1285" s="2"/>
      <c r="N1285" s="2"/>
      <c r="O1285" s="2"/>
      <c r="P1285" s="2"/>
      <c r="Q1285" s="2"/>
      <c r="R1285" s="2"/>
      <c r="S1285" s="2"/>
      <c r="T1285" s="2"/>
    </row>
    <row r="1286">
      <c r="A1286" s="1"/>
      <c r="B1286" s="2"/>
      <c r="C1286" s="2"/>
      <c r="D1286" s="2"/>
      <c r="E1286" s="2"/>
      <c r="F1286" s="2"/>
      <c r="G1286" s="2"/>
      <c r="H1286" s="2"/>
      <c r="I1286" s="2"/>
      <c r="J1286" s="2"/>
      <c r="K1286" s="2"/>
      <c r="L1286" s="2"/>
      <c r="M1286" s="2"/>
      <c r="N1286" s="2"/>
      <c r="O1286" s="2"/>
      <c r="P1286" s="2"/>
      <c r="Q1286" s="2"/>
      <c r="R1286" s="2"/>
      <c r="S1286" s="2"/>
      <c r="T1286" s="2"/>
    </row>
    <row r="1287">
      <c r="A1287" s="1"/>
      <c r="B1287" s="2"/>
      <c r="C1287" s="2"/>
      <c r="D1287" s="2"/>
      <c r="E1287" s="2"/>
      <c r="F1287" s="2"/>
      <c r="G1287" s="2"/>
      <c r="H1287" s="2"/>
      <c r="I1287" s="2"/>
      <c r="J1287" s="2"/>
      <c r="K1287" s="2"/>
      <c r="L1287" s="2"/>
      <c r="M1287" s="2"/>
      <c r="N1287" s="2"/>
      <c r="O1287" s="2"/>
      <c r="P1287" s="2"/>
      <c r="Q1287" s="2"/>
      <c r="R1287" s="2"/>
      <c r="S1287" s="2"/>
      <c r="T1287" s="2"/>
    </row>
    <row r="1288">
      <c r="A1288" s="1"/>
      <c r="B1288" s="2"/>
      <c r="C1288" s="2"/>
      <c r="D1288" s="2"/>
      <c r="E1288" s="2"/>
      <c r="F1288" s="2"/>
      <c r="G1288" s="2"/>
      <c r="H1288" s="2"/>
      <c r="I1288" s="2"/>
      <c r="J1288" s="2"/>
      <c r="K1288" s="2"/>
      <c r="L1288" s="2"/>
      <c r="M1288" s="2"/>
      <c r="N1288" s="2"/>
      <c r="O1288" s="2"/>
      <c r="P1288" s="2"/>
      <c r="Q1288" s="2"/>
      <c r="R1288" s="2"/>
      <c r="S1288" s="2"/>
      <c r="T1288" s="2"/>
    </row>
    <row r="1289">
      <c r="A1289" s="1"/>
      <c r="B1289" s="2"/>
      <c r="C1289" s="2"/>
      <c r="D1289" s="2"/>
      <c r="E1289" s="2"/>
      <c r="F1289" s="2"/>
      <c r="G1289" s="2"/>
      <c r="H1289" s="2"/>
      <c r="I1289" s="2"/>
      <c r="J1289" s="2"/>
      <c r="K1289" s="2"/>
      <c r="L1289" s="2"/>
      <c r="M1289" s="2"/>
      <c r="N1289" s="2"/>
      <c r="O1289" s="2"/>
      <c r="P1289" s="2"/>
      <c r="Q1289" s="2"/>
      <c r="R1289" s="2"/>
      <c r="S1289" s="2"/>
      <c r="T1289" s="2"/>
    </row>
    <row r="1290">
      <c r="A1290" s="1"/>
      <c r="B1290" s="2"/>
      <c r="C1290" s="2"/>
      <c r="D1290" s="2"/>
      <c r="E1290" s="2"/>
      <c r="F1290" s="2"/>
      <c r="G1290" s="2"/>
      <c r="H1290" s="2"/>
      <c r="I1290" s="2"/>
      <c r="J1290" s="2"/>
      <c r="K1290" s="2"/>
      <c r="L1290" s="2"/>
      <c r="M1290" s="2"/>
      <c r="N1290" s="2"/>
      <c r="O1290" s="2"/>
      <c r="P1290" s="2"/>
      <c r="Q1290" s="2"/>
      <c r="R1290" s="2"/>
      <c r="S1290" s="2"/>
      <c r="T1290" s="2"/>
    </row>
    <row r="1291">
      <c r="A1291" s="1"/>
      <c r="B1291" s="2"/>
      <c r="C1291" s="2"/>
      <c r="D1291" s="2"/>
      <c r="E1291" s="2"/>
      <c r="F1291" s="2"/>
      <c r="G1291" s="2"/>
      <c r="H1291" s="2"/>
      <c r="I1291" s="2"/>
      <c r="J1291" s="2"/>
      <c r="K1291" s="2"/>
      <c r="L1291" s="2"/>
      <c r="M1291" s="2"/>
      <c r="N1291" s="2"/>
      <c r="O1291" s="2"/>
      <c r="P1291" s="2"/>
      <c r="Q1291" s="2"/>
      <c r="R1291" s="2"/>
      <c r="S1291" s="2"/>
      <c r="T1291" s="2"/>
    </row>
    <row r="1292">
      <c r="A1292" s="1"/>
      <c r="B1292" s="2"/>
      <c r="C1292" s="2"/>
      <c r="D1292" s="2"/>
      <c r="E1292" s="2"/>
      <c r="F1292" s="2"/>
      <c r="G1292" s="2"/>
      <c r="H1292" s="2"/>
      <c r="I1292" s="2"/>
      <c r="J1292" s="2"/>
      <c r="K1292" s="2"/>
      <c r="L1292" s="2"/>
      <c r="M1292" s="2"/>
      <c r="N1292" s="2"/>
      <c r="O1292" s="2"/>
      <c r="P1292" s="2"/>
      <c r="Q1292" s="2"/>
      <c r="R1292" s="2"/>
      <c r="S1292" s="2"/>
      <c r="T1292" s="2"/>
    </row>
    <row r="1293">
      <c r="A1293" s="1"/>
      <c r="B1293" s="2"/>
      <c r="C1293" s="2"/>
      <c r="D1293" s="2"/>
      <c r="E1293" s="2"/>
      <c r="F1293" s="2"/>
      <c r="G1293" s="2"/>
      <c r="H1293" s="2"/>
      <c r="I1293" s="2"/>
      <c r="J1293" s="2"/>
      <c r="K1293" s="2"/>
      <c r="L1293" s="2"/>
      <c r="M1293" s="2"/>
      <c r="N1293" s="2"/>
      <c r="O1293" s="2"/>
      <c r="P1293" s="2"/>
      <c r="Q1293" s="2"/>
      <c r="R1293" s="2"/>
      <c r="S1293" s="2"/>
      <c r="T1293" s="2"/>
    </row>
    <row r="1294">
      <c r="A1294" s="1"/>
      <c r="B1294" s="2"/>
      <c r="C1294" s="2"/>
      <c r="D1294" s="2"/>
      <c r="E1294" s="2"/>
      <c r="F1294" s="2"/>
      <c r="G1294" s="2"/>
      <c r="H1294" s="2"/>
      <c r="I1294" s="2"/>
      <c r="J1294" s="2"/>
      <c r="K1294" s="2"/>
      <c r="L1294" s="2"/>
      <c r="M1294" s="2"/>
      <c r="N1294" s="2"/>
      <c r="O1294" s="2"/>
      <c r="P1294" s="2"/>
      <c r="Q1294" s="2"/>
      <c r="R1294" s="2"/>
      <c r="S1294" s="2"/>
      <c r="T1294" s="2"/>
    </row>
    <row r="1295">
      <c r="A1295" s="1"/>
      <c r="B1295" s="2"/>
      <c r="C1295" s="2"/>
      <c r="D1295" s="2"/>
      <c r="E1295" s="2"/>
      <c r="F1295" s="2"/>
      <c r="G1295" s="2"/>
      <c r="H1295" s="2"/>
      <c r="I1295" s="2"/>
      <c r="J1295" s="2"/>
      <c r="K1295" s="2"/>
      <c r="L1295" s="2"/>
      <c r="M1295" s="2"/>
      <c r="N1295" s="2"/>
      <c r="O1295" s="2"/>
      <c r="P1295" s="2"/>
      <c r="Q1295" s="2"/>
      <c r="R1295" s="2"/>
      <c r="S1295" s="2"/>
      <c r="T1295" s="2"/>
    </row>
    <row r="1296">
      <c r="A1296" s="1"/>
      <c r="B1296" s="2"/>
      <c r="C1296" s="2"/>
      <c r="D1296" s="2"/>
      <c r="E1296" s="2"/>
      <c r="F1296" s="2"/>
      <c r="G1296" s="2"/>
      <c r="H1296" s="2"/>
      <c r="I1296" s="2"/>
      <c r="J1296" s="2"/>
      <c r="K1296" s="2"/>
      <c r="L1296" s="2"/>
      <c r="M1296" s="2"/>
      <c r="N1296" s="2"/>
      <c r="O1296" s="2"/>
      <c r="P1296" s="2"/>
      <c r="Q1296" s="2"/>
      <c r="R1296" s="2"/>
      <c r="S1296" s="2"/>
      <c r="T1296" s="2"/>
    </row>
    <row r="1297">
      <c r="A1297" s="1"/>
      <c r="B1297" s="2"/>
      <c r="C1297" s="2"/>
      <c r="D1297" s="2"/>
      <c r="E1297" s="2"/>
      <c r="F1297" s="2"/>
      <c r="G1297" s="2"/>
      <c r="H1297" s="2"/>
      <c r="I1297" s="2"/>
      <c r="J1297" s="2"/>
      <c r="K1297" s="2"/>
      <c r="L1297" s="2"/>
      <c r="M1297" s="2"/>
      <c r="N1297" s="2"/>
      <c r="O1297" s="2"/>
      <c r="P1297" s="2"/>
      <c r="Q1297" s="2"/>
      <c r="R1297" s="2"/>
      <c r="S1297" s="2"/>
      <c r="T1297" s="2"/>
    </row>
    <row r="1298">
      <c r="A1298" s="1"/>
      <c r="B1298" s="2"/>
      <c r="C1298" s="2"/>
      <c r="D1298" s="2"/>
      <c r="E1298" s="2"/>
      <c r="F1298" s="2"/>
      <c r="G1298" s="2"/>
      <c r="H1298" s="2"/>
      <c r="I1298" s="2"/>
      <c r="J1298" s="2"/>
      <c r="K1298" s="2"/>
      <c r="L1298" s="2"/>
      <c r="M1298" s="2"/>
      <c r="N1298" s="2"/>
      <c r="O1298" s="2"/>
      <c r="P1298" s="2"/>
      <c r="Q1298" s="2"/>
      <c r="R1298" s="2"/>
      <c r="S1298" s="2"/>
      <c r="T1298" s="2"/>
    </row>
    <row r="1299">
      <c r="A1299" s="1"/>
      <c r="B1299" s="2"/>
      <c r="C1299" s="2"/>
      <c r="D1299" s="2"/>
      <c r="E1299" s="2"/>
      <c r="F1299" s="2"/>
      <c r="G1299" s="2"/>
      <c r="H1299" s="2"/>
      <c r="I1299" s="2"/>
      <c r="J1299" s="2"/>
      <c r="K1299" s="2"/>
      <c r="L1299" s="2"/>
      <c r="M1299" s="2"/>
      <c r="N1299" s="2"/>
      <c r="O1299" s="2"/>
      <c r="P1299" s="2"/>
      <c r="Q1299" s="2"/>
      <c r="R1299" s="2"/>
      <c r="S1299" s="2"/>
      <c r="T1299" s="2"/>
    </row>
    <row r="1300">
      <c r="A1300" s="1"/>
      <c r="B1300" s="2"/>
      <c r="C1300" s="2"/>
      <c r="D1300" s="2"/>
      <c r="E1300" s="2"/>
      <c r="F1300" s="2"/>
      <c r="G1300" s="2"/>
      <c r="H1300" s="2"/>
      <c r="I1300" s="2"/>
      <c r="J1300" s="2"/>
      <c r="K1300" s="2"/>
      <c r="L1300" s="2"/>
      <c r="M1300" s="2"/>
      <c r="N1300" s="2"/>
      <c r="O1300" s="2"/>
      <c r="P1300" s="2"/>
      <c r="Q1300" s="2"/>
      <c r="R1300" s="2"/>
      <c r="S1300" s="2"/>
      <c r="T1300" s="2"/>
    </row>
    <row r="1301">
      <c r="A1301" s="1"/>
      <c r="B1301" s="2"/>
      <c r="C1301" s="2"/>
      <c r="D1301" s="2"/>
      <c r="E1301" s="2"/>
      <c r="F1301" s="2"/>
      <c r="G1301" s="2"/>
      <c r="H1301" s="2"/>
      <c r="I1301" s="2"/>
      <c r="J1301" s="2"/>
      <c r="K1301" s="2"/>
      <c r="L1301" s="2"/>
      <c r="M1301" s="2"/>
      <c r="N1301" s="2"/>
      <c r="O1301" s="2"/>
      <c r="P1301" s="2"/>
      <c r="Q1301" s="2"/>
      <c r="R1301" s="2"/>
      <c r="S1301" s="2"/>
      <c r="T1301" s="2"/>
    </row>
    <row r="1302">
      <c r="A1302" s="1"/>
      <c r="B1302" s="2"/>
      <c r="C1302" s="2"/>
      <c r="D1302" s="2"/>
      <c r="E1302" s="2"/>
      <c r="F1302" s="2"/>
      <c r="G1302" s="2"/>
      <c r="H1302" s="2"/>
      <c r="I1302" s="2"/>
      <c r="J1302" s="2"/>
      <c r="K1302" s="2"/>
      <c r="L1302" s="2"/>
      <c r="M1302" s="2"/>
      <c r="N1302" s="2"/>
      <c r="O1302" s="2"/>
      <c r="P1302" s="2"/>
      <c r="Q1302" s="2"/>
      <c r="R1302" s="2"/>
      <c r="S1302" s="2"/>
      <c r="T1302" s="2"/>
    </row>
    <row r="1303">
      <c r="A1303" s="1"/>
      <c r="B1303" s="2"/>
      <c r="C1303" s="2"/>
      <c r="D1303" s="2"/>
      <c r="E1303" s="2"/>
      <c r="F1303" s="2"/>
      <c r="G1303" s="2"/>
      <c r="H1303" s="2"/>
      <c r="I1303" s="2"/>
      <c r="J1303" s="2"/>
      <c r="K1303" s="2"/>
      <c r="L1303" s="2"/>
      <c r="M1303" s="2"/>
      <c r="N1303" s="2"/>
      <c r="O1303" s="2"/>
      <c r="P1303" s="2"/>
      <c r="Q1303" s="2"/>
      <c r="R1303" s="2"/>
      <c r="S1303" s="2"/>
      <c r="T1303" s="2"/>
    </row>
    <row r="1304">
      <c r="A1304" s="1"/>
      <c r="B1304" s="2"/>
      <c r="C1304" s="2"/>
      <c r="D1304" s="2"/>
      <c r="E1304" s="2"/>
      <c r="F1304" s="2"/>
      <c r="G1304" s="2"/>
      <c r="H1304" s="2"/>
      <c r="I1304" s="2"/>
      <c r="J1304" s="2"/>
      <c r="K1304" s="2"/>
      <c r="L1304" s="2"/>
      <c r="M1304" s="2"/>
      <c r="N1304" s="2"/>
      <c r="O1304" s="2"/>
      <c r="P1304" s="2"/>
      <c r="Q1304" s="2"/>
      <c r="R1304" s="2"/>
      <c r="S1304" s="2"/>
      <c r="T1304" s="2"/>
    </row>
    <row r="1305">
      <c r="A1305" s="1"/>
      <c r="B1305" s="2"/>
      <c r="C1305" s="2"/>
      <c r="D1305" s="2"/>
      <c r="E1305" s="2"/>
      <c r="F1305" s="2"/>
      <c r="G1305" s="2"/>
      <c r="H1305" s="2"/>
      <c r="I1305" s="2"/>
      <c r="J1305" s="2"/>
      <c r="K1305" s="2"/>
      <c r="L1305" s="2"/>
      <c r="M1305" s="2"/>
      <c r="N1305" s="2"/>
      <c r="O1305" s="2"/>
      <c r="P1305" s="2"/>
      <c r="Q1305" s="2"/>
      <c r="R1305" s="2"/>
      <c r="S1305" s="2"/>
      <c r="T1305" s="2"/>
    </row>
    <row r="1306">
      <c r="A1306" s="1"/>
      <c r="B1306" s="2"/>
      <c r="C1306" s="2"/>
      <c r="D1306" s="2"/>
      <c r="E1306" s="2"/>
      <c r="F1306" s="2"/>
      <c r="G1306" s="2"/>
      <c r="H1306" s="2"/>
      <c r="I1306" s="2"/>
      <c r="J1306" s="2"/>
      <c r="K1306" s="2"/>
      <c r="L1306" s="2"/>
      <c r="M1306" s="2"/>
      <c r="N1306" s="2"/>
      <c r="O1306" s="2"/>
      <c r="P1306" s="2"/>
      <c r="Q1306" s="2"/>
      <c r="R1306" s="2"/>
      <c r="S1306" s="2"/>
      <c r="T1306" s="2"/>
    </row>
    <row r="1307">
      <c r="A1307" s="1"/>
      <c r="B1307" s="2"/>
      <c r="C1307" s="2"/>
      <c r="D1307" s="2"/>
      <c r="E1307" s="2"/>
      <c r="F1307" s="2"/>
      <c r="G1307" s="2"/>
      <c r="H1307" s="2"/>
      <c r="I1307" s="2"/>
      <c r="J1307" s="2"/>
      <c r="K1307" s="2"/>
      <c r="L1307" s="2"/>
      <c r="M1307" s="2"/>
      <c r="N1307" s="2"/>
      <c r="O1307" s="2"/>
      <c r="P1307" s="2"/>
      <c r="Q1307" s="2"/>
      <c r="R1307" s="2"/>
      <c r="S1307" s="2"/>
      <c r="T1307" s="2"/>
    </row>
    <row r="1308">
      <c r="A1308" s="1"/>
      <c r="B1308" s="2"/>
      <c r="C1308" s="2"/>
      <c r="D1308" s="2"/>
      <c r="E1308" s="2"/>
      <c r="F1308" s="2"/>
      <c r="G1308" s="2"/>
      <c r="H1308" s="2"/>
      <c r="I1308" s="2"/>
      <c r="J1308" s="2"/>
      <c r="K1308" s="2"/>
      <c r="L1308" s="2"/>
      <c r="M1308" s="2"/>
      <c r="N1308" s="2"/>
      <c r="O1308" s="2"/>
      <c r="P1308" s="2"/>
      <c r="Q1308" s="2"/>
      <c r="R1308" s="2"/>
      <c r="S1308" s="2"/>
      <c r="T1308" s="2"/>
    </row>
    <row r="1309">
      <c r="A1309" s="1"/>
      <c r="B1309" s="2"/>
      <c r="C1309" s="2"/>
      <c r="D1309" s="2"/>
      <c r="E1309" s="2"/>
      <c r="F1309" s="2"/>
      <c r="G1309" s="2"/>
      <c r="H1309" s="2"/>
      <c r="I1309" s="2"/>
      <c r="J1309" s="2"/>
      <c r="K1309" s="2"/>
      <c r="L1309" s="2"/>
      <c r="M1309" s="2"/>
      <c r="N1309" s="2"/>
      <c r="O1309" s="2"/>
      <c r="P1309" s="2"/>
      <c r="Q1309" s="2"/>
      <c r="R1309" s="2"/>
      <c r="S1309" s="2"/>
      <c r="T1309" s="2"/>
    </row>
    <row r="1310">
      <c r="A1310" s="1"/>
      <c r="B1310" s="2"/>
      <c r="C1310" s="2"/>
      <c r="D1310" s="2"/>
      <c r="E1310" s="2"/>
      <c r="F1310" s="2"/>
      <c r="G1310" s="2"/>
      <c r="H1310" s="2"/>
      <c r="I1310" s="2"/>
      <c r="J1310" s="2"/>
      <c r="K1310" s="2"/>
      <c r="L1310" s="2"/>
      <c r="M1310" s="2"/>
      <c r="N1310" s="2"/>
      <c r="O1310" s="2"/>
      <c r="P1310" s="2"/>
      <c r="Q1310" s="2"/>
      <c r="R1310" s="2"/>
      <c r="S1310" s="2"/>
      <c r="T1310" s="2"/>
    </row>
    <row r="1311">
      <c r="A1311" s="1"/>
      <c r="B1311" s="2"/>
      <c r="C1311" s="2"/>
      <c r="D1311" s="2"/>
      <c r="E1311" s="2"/>
      <c r="F1311" s="2"/>
      <c r="G1311" s="2"/>
      <c r="H1311" s="2"/>
      <c r="I1311" s="2"/>
      <c r="J1311" s="2"/>
      <c r="K1311" s="2"/>
      <c r="L1311" s="2"/>
      <c r="M1311" s="2"/>
      <c r="N1311" s="2"/>
      <c r="O1311" s="2"/>
      <c r="P1311" s="2"/>
      <c r="Q1311" s="2"/>
      <c r="R1311" s="2"/>
      <c r="S1311" s="2"/>
      <c r="T1311" s="2"/>
    </row>
    <row r="1312">
      <c r="A1312" s="1"/>
      <c r="B1312" s="2"/>
      <c r="C1312" s="2"/>
      <c r="D1312" s="2"/>
      <c r="E1312" s="2"/>
      <c r="F1312" s="2"/>
      <c r="G1312" s="2"/>
      <c r="H1312" s="2"/>
      <c r="I1312" s="2"/>
      <c r="J1312" s="2"/>
      <c r="K1312" s="2"/>
      <c r="L1312" s="2"/>
      <c r="M1312" s="2"/>
      <c r="N1312" s="2"/>
      <c r="O1312" s="2"/>
      <c r="P1312" s="2"/>
      <c r="Q1312" s="2"/>
      <c r="R1312" s="2"/>
      <c r="S1312" s="2"/>
      <c r="T1312" s="2"/>
    </row>
    <row r="1313">
      <c r="A1313" s="1"/>
      <c r="B1313" s="2"/>
      <c r="C1313" s="2"/>
      <c r="D1313" s="2"/>
      <c r="E1313" s="2"/>
      <c r="F1313" s="2"/>
      <c r="G1313" s="2"/>
      <c r="H1313" s="2"/>
      <c r="I1313" s="2"/>
      <c r="J1313" s="2"/>
      <c r="K1313" s="2"/>
      <c r="L1313" s="2"/>
      <c r="M1313" s="2"/>
      <c r="N1313" s="2"/>
      <c r="O1313" s="2"/>
      <c r="P1313" s="2"/>
      <c r="Q1313" s="2"/>
      <c r="R1313" s="2"/>
      <c r="S1313" s="2"/>
      <c r="T1313" s="2"/>
    </row>
    <row r="1314">
      <c r="A1314" s="1"/>
      <c r="B1314" s="2"/>
      <c r="C1314" s="2"/>
      <c r="D1314" s="2"/>
      <c r="E1314" s="2"/>
      <c r="F1314" s="2"/>
      <c r="G1314" s="2"/>
      <c r="H1314" s="2"/>
      <c r="I1314" s="2"/>
      <c r="J1314" s="2"/>
      <c r="K1314" s="2"/>
      <c r="L1314" s="2"/>
      <c r="M1314" s="2"/>
      <c r="N1314" s="2"/>
      <c r="O1314" s="2"/>
      <c r="P1314" s="2"/>
      <c r="Q1314" s="2"/>
      <c r="R1314" s="2"/>
      <c r="S1314" s="2"/>
      <c r="T1314" s="2"/>
    </row>
    <row r="1315">
      <c r="A1315" s="1"/>
      <c r="B1315" s="2"/>
      <c r="C1315" s="2"/>
      <c r="D1315" s="2"/>
      <c r="E1315" s="2"/>
      <c r="F1315" s="2"/>
      <c r="G1315" s="2"/>
      <c r="H1315" s="2"/>
      <c r="I1315" s="2"/>
      <c r="J1315" s="2"/>
      <c r="K1315" s="2"/>
      <c r="L1315" s="2"/>
      <c r="M1315" s="2"/>
      <c r="N1315" s="2"/>
      <c r="O1315" s="2"/>
      <c r="P1315" s="2"/>
      <c r="Q1315" s="2"/>
      <c r="R1315" s="2"/>
      <c r="S1315" s="2"/>
      <c r="T1315" s="2"/>
    </row>
    <row r="1316">
      <c r="A1316" s="1"/>
      <c r="B1316" s="2"/>
      <c r="C1316" s="2"/>
      <c r="D1316" s="2"/>
      <c r="E1316" s="2"/>
      <c r="F1316" s="2"/>
      <c r="G1316" s="2"/>
      <c r="H1316" s="2"/>
      <c r="I1316" s="2"/>
      <c r="J1316" s="2"/>
      <c r="K1316" s="2"/>
      <c r="L1316" s="2"/>
      <c r="M1316" s="2"/>
      <c r="N1316" s="2"/>
      <c r="O1316" s="2"/>
      <c r="P1316" s="2"/>
      <c r="Q1316" s="2"/>
      <c r="R1316" s="2"/>
      <c r="S1316" s="2"/>
      <c r="T1316" s="2"/>
    </row>
    <row r="1317">
      <c r="A1317" s="1"/>
      <c r="B1317" s="2"/>
      <c r="C1317" s="2"/>
      <c r="D1317" s="2"/>
      <c r="E1317" s="2"/>
      <c r="F1317" s="2"/>
      <c r="G1317" s="2"/>
      <c r="H1317" s="2"/>
      <c r="I1317" s="2"/>
      <c r="J1317" s="2"/>
      <c r="K1317" s="2"/>
      <c r="L1317" s="2"/>
      <c r="M1317" s="2"/>
      <c r="N1317" s="2"/>
      <c r="O1317" s="2"/>
      <c r="P1317" s="2"/>
      <c r="Q1317" s="2"/>
      <c r="R1317" s="2"/>
      <c r="S1317" s="2"/>
      <c r="T1317" s="2"/>
    </row>
    <row r="1318">
      <c r="A1318" s="1"/>
      <c r="B1318" s="2"/>
      <c r="C1318" s="2"/>
      <c r="D1318" s="2"/>
      <c r="E1318" s="2"/>
      <c r="F1318" s="2"/>
      <c r="G1318" s="2"/>
      <c r="H1318" s="2"/>
      <c r="I1318" s="2"/>
      <c r="J1318" s="2"/>
      <c r="K1318" s="2"/>
      <c r="L1318" s="2"/>
      <c r="M1318" s="2"/>
      <c r="N1318" s="2"/>
      <c r="O1318" s="2"/>
      <c r="P1318" s="2"/>
      <c r="Q1318" s="2"/>
      <c r="R1318" s="2"/>
      <c r="S1318" s="2"/>
      <c r="T1318" s="2"/>
    </row>
    <row r="1319">
      <c r="A1319" s="1"/>
      <c r="B1319" s="2"/>
      <c r="C1319" s="2"/>
      <c r="D1319" s="2"/>
      <c r="E1319" s="2"/>
      <c r="F1319" s="2"/>
      <c r="G1319" s="2"/>
      <c r="H1319" s="2"/>
      <c r="I1319" s="2"/>
      <c r="J1319" s="2"/>
      <c r="K1319" s="2"/>
      <c r="L1319" s="2"/>
      <c r="M1319" s="2"/>
      <c r="N1319" s="2"/>
      <c r="O1319" s="2"/>
      <c r="P1319" s="2"/>
      <c r="Q1319" s="2"/>
      <c r="R1319" s="2"/>
      <c r="S1319" s="2"/>
      <c r="T1319" s="2"/>
    </row>
    <row r="1320">
      <c r="A1320" s="1"/>
      <c r="B1320" s="2"/>
      <c r="C1320" s="2"/>
      <c r="D1320" s="2"/>
      <c r="E1320" s="2"/>
      <c r="F1320" s="2"/>
      <c r="G1320" s="2"/>
      <c r="H1320" s="2"/>
      <c r="I1320" s="2"/>
      <c r="J1320" s="2"/>
      <c r="K1320" s="2"/>
      <c r="L1320" s="2"/>
      <c r="M1320" s="2"/>
      <c r="N1320" s="2"/>
      <c r="O1320" s="2"/>
      <c r="P1320" s="2"/>
      <c r="Q1320" s="2"/>
      <c r="R1320" s="2"/>
      <c r="S1320" s="2"/>
      <c r="T1320" s="2"/>
    </row>
    <row r="1321">
      <c r="A1321" s="1"/>
      <c r="B1321" s="2"/>
      <c r="C1321" s="2"/>
      <c r="D1321" s="2"/>
      <c r="E1321" s="2"/>
      <c r="F1321" s="2"/>
      <c r="G1321" s="2"/>
      <c r="H1321" s="2"/>
      <c r="I1321" s="2"/>
      <c r="J1321" s="2"/>
      <c r="K1321" s="2"/>
      <c r="L1321" s="2"/>
      <c r="M1321" s="2"/>
      <c r="N1321" s="2"/>
      <c r="O1321" s="2"/>
      <c r="P1321" s="2"/>
      <c r="Q1321" s="2"/>
      <c r="R1321" s="2"/>
      <c r="S1321" s="2"/>
      <c r="T1321" s="2"/>
    </row>
    <row r="1322">
      <c r="A1322" s="1"/>
      <c r="B1322" s="2"/>
      <c r="C1322" s="2"/>
      <c r="D1322" s="2"/>
      <c r="E1322" s="2"/>
      <c r="F1322" s="2"/>
      <c r="G1322" s="2"/>
      <c r="H1322" s="2"/>
      <c r="I1322" s="2"/>
      <c r="J1322" s="2"/>
      <c r="K1322" s="2"/>
      <c r="L1322" s="2"/>
      <c r="M1322" s="2"/>
      <c r="N1322" s="2"/>
      <c r="O1322" s="2"/>
      <c r="P1322" s="2"/>
      <c r="Q1322" s="2"/>
      <c r="R1322" s="2"/>
      <c r="S1322" s="2"/>
      <c r="T1322" s="2"/>
    </row>
    <row r="1323">
      <c r="A1323" s="1"/>
      <c r="B1323" s="2"/>
      <c r="C1323" s="2"/>
      <c r="D1323" s="2"/>
      <c r="E1323" s="2"/>
      <c r="F1323" s="2"/>
      <c r="G1323" s="2"/>
      <c r="H1323" s="2"/>
      <c r="I1323" s="2"/>
      <c r="J1323" s="2"/>
      <c r="K1323" s="2"/>
      <c r="L1323" s="2"/>
      <c r="M1323" s="2"/>
      <c r="N1323" s="2"/>
      <c r="O1323" s="2"/>
      <c r="P1323" s="2"/>
      <c r="Q1323" s="2"/>
      <c r="R1323" s="2"/>
      <c r="S1323" s="2"/>
      <c r="T1323" s="2"/>
    </row>
    <row r="1324">
      <c r="A1324" s="1"/>
      <c r="B1324" s="2"/>
      <c r="C1324" s="2"/>
      <c r="D1324" s="2"/>
      <c r="E1324" s="2"/>
      <c r="F1324" s="2"/>
      <c r="G1324" s="2"/>
      <c r="H1324" s="2"/>
      <c r="I1324" s="2"/>
      <c r="J1324" s="2"/>
      <c r="K1324" s="2"/>
      <c r="L1324" s="2"/>
      <c r="M1324" s="2"/>
      <c r="N1324" s="2"/>
      <c r="O1324" s="2"/>
      <c r="P1324" s="2"/>
      <c r="Q1324" s="2"/>
      <c r="R1324" s="2"/>
      <c r="S1324" s="2"/>
      <c r="T1324" s="2"/>
    </row>
    <row r="1325">
      <c r="A1325" s="1"/>
      <c r="B1325" s="2"/>
      <c r="C1325" s="2"/>
      <c r="D1325" s="2"/>
      <c r="E1325" s="2"/>
      <c r="F1325" s="2"/>
      <c r="G1325" s="2"/>
      <c r="H1325" s="2"/>
      <c r="I1325" s="2"/>
      <c r="J1325" s="2"/>
      <c r="K1325" s="2"/>
      <c r="L1325" s="2"/>
      <c r="M1325" s="2"/>
      <c r="N1325" s="2"/>
      <c r="O1325" s="2"/>
      <c r="P1325" s="2"/>
      <c r="Q1325" s="2"/>
      <c r="R1325" s="2"/>
      <c r="S1325" s="2"/>
      <c r="T1325" s="2"/>
    </row>
    <row r="1326">
      <c r="A1326" s="1"/>
      <c r="B1326" s="2"/>
      <c r="C1326" s="2"/>
      <c r="D1326" s="2"/>
      <c r="E1326" s="2"/>
      <c r="F1326" s="2"/>
      <c r="G1326" s="2"/>
      <c r="H1326" s="2"/>
      <c r="I1326" s="2"/>
      <c r="J1326" s="2"/>
      <c r="K1326" s="2"/>
      <c r="L1326" s="2"/>
      <c r="M1326" s="2"/>
      <c r="N1326" s="2"/>
      <c r="O1326" s="2"/>
      <c r="P1326" s="2"/>
      <c r="Q1326" s="2"/>
      <c r="R1326" s="2"/>
      <c r="S1326" s="2"/>
      <c r="T1326" s="2"/>
    </row>
    <row r="1327">
      <c r="A1327" s="1"/>
      <c r="B1327" s="2"/>
      <c r="C1327" s="2"/>
      <c r="D1327" s="2"/>
      <c r="E1327" s="2"/>
      <c r="F1327" s="2"/>
      <c r="G1327" s="2"/>
      <c r="H1327" s="2"/>
      <c r="I1327" s="2"/>
      <c r="J1327" s="2"/>
      <c r="K1327" s="2"/>
      <c r="L1327" s="2"/>
      <c r="M1327" s="2"/>
      <c r="N1327" s="2"/>
      <c r="O1327" s="2"/>
      <c r="P1327" s="2"/>
      <c r="Q1327" s="2"/>
      <c r="R1327" s="2"/>
      <c r="S1327" s="2"/>
      <c r="T1327" s="2"/>
    </row>
    <row r="1328">
      <c r="A1328" s="1"/>
      <c r="B1328" s="2"/>
      <c r="C1328" s="2"/>
      <c r="D1328" s="2"/>
      <c r="E1328" s="2"/>
      <c r="F1328" s="2"/>
      <c r="G1328" s="2"/>
      <c r="H1328" s="2"/>
      <c r="I1328" s="2"/>
      <c r="J1328" s="2"/>
      <c r="K1328" s="2"/>
      <c r="L1328" s="2"/>
      <c r="M1328" s="2"/>
      <c r="N1328" s="2"/>
      <c r="O1328" s="2"/>
      <c r="P1328" s="2"/>
      <c r="Q1328" s="2"/>
      <c r="R1328" s="2"/>
      <c r="S1328" s="2"/>
      <c r="T1328" s="2"/>
    </row>
    <row r="1329">
      <c r="A1329" s="1"/>
      <c r="B1329" s="2"/>
      <c r="C1329" s="2"/>
      <c r="D1329" s="2"/>
      <c r="E1329" s="2"/>
      <c r="F1329" s="2"/>
      <c r="G1329" s="2"/>
      <c r="H1329" s="2"/>
      <c r="I1329" s="2"/>
      <c r="J1329" s="2"/>
      <c r="K1329" s="2"/>
      <c r="L1329" s="2"/>
      <c r="M1329" s="2"/>
      <c r="N1329" s="2"/>
      <c r="O1329" s="2"/>
      <c r="P1329" s="2"/>
      <c r="Q1329" s="2"/>
      <c r="R1329" s="2"/>
      <c r="S1329" s="2"/>
      <c r="T1329" s="2"/>
    </row>
    <row r="1330">
      <c r="A1330" s="1"/>
      <c r="B1330" s="2"/>
      <c r="C1330" s="2"/>
      <c r="D1330" s="2"/>
      <c r="E1330" s="2"/>
      <c r="F1330" s="2"/>
      <c r="G1330" s="2"/>
      <c r="H1330" s="2"/>
      <c r="I1330" s="2"/>
      <c r="J1330" s="2"/>
      <c r="K1330" s="2"/>
      <c r="L1330" s="2"/>
      <c r="M1330" s="2"/>
      <c r="N1330" s="2"/>
      <c r="O1330" s="2"/>
      <c r="P1330" s="2"/>
      <c r="Q1330" s="2"/>
      <c r="R1330" s="2"/>
      <c r="S1330" s="2"/>
      <c r="T1330" s="2"/>
    </row>
    <row r="1331">
      <c r="A1331" s="1"/>
      <c r="B1331" s="2"/>
      <c r="C1331" s="2"/>
      <c r="D1331" s="2"/>
      <c r="E1331" s="2"/>
      <c r="F1331" s="2"/>
      <c r="G1331" s="2"/>
      <c r="H1331" s="2"/>
      <c r="I1331" s="2"/>
      <c r="J1331" s="2"/>
      <c r="K1331" s="2"/>
      <c r="L1331" s="2"/>
      <c r="M1331" s="2"/>
      <c r="N1331" s="2"/>
      <c r="O1331" s="2"/>
      <c r="P1331" s="2"/>
      <c r="Q1331" s="2"/>
      <c r="R1331" s="2"/>
      <c r="S1331" s="2"/>
      <c r="T1331" s="2"/>
    </row>
    <row r="1332">
      <c r="A1332" s="1"/>
      <c r="B1332" s="2"/>
      <c r="C1332" s="2"/>
      <c r="D1332" s="2"/>
      <c r="E1332" s="2"/>
      <c r="F1332" s="2"/>
      <c r="G1332" s="2"/>
      <c r="H1332" s="2"/>
      <c r="I1332" s="2"/>
      <c r="J1332" s="2"/>
      <c r="K1332" s="2"/>
      <c r="L1332" s="2"/>
      <c r="M1332" s="2"/>
      <c r="N1332" s="2"/>
      <c r="O1332" s="2"/>
      <c r="P1332" s="2"/>
      <c r="Q1332" s="2"/>
      <c r="R1332" s="2"/>
      <c r="S1332" s="2"/>
      <c r="T1332" s="2"/>
    </row>
    <row r="1333">
      <c r="A1333" s="1"/>
      <c r="B1333" s="2"/>
      <c r="C1333" s="2"/>
      <c r="D1333" s="2"/>
      <c r="E1333" s="2"/>
      <c r="F1333" s="2"/>
      <c r="G1333" s="2"/>
      <c r="H1333" s="2"/>
      <c r="I1333" s="2"/>
      <c r="J1333" s="2"/>
      <c r="K1333" s="2"/>
      <c r="L1333" s="2"/>
      <c r="M1333" s="2"/>
      <c r="N1333" s="2"/>
      <c r="O1333" s="2"/>
      <c r="P1333" s="2"/>
      <c r="Q1333" s="2"/>
      <c r="R1333" s="2"/>
      <c r="S1333" s="2"/>
      <c r="T1333" s="2"/>
    </row>
    <row r="1334">
      <c r="A1334" s="1"/>
      <c r="B1334" s="2"/>
      <c r="C1334" s="2"/>
      <c r="D1334" s="2"/>
      <c r="E1334" s="2"/>
      <c r="F1334" s="2"/>
      <c r="G1334" s="2"/>
      <c r="H1334" s="2"/>
      <c r="I1334" s="2"/>
      <c r="J1334" s="2"/>
      <c r="K1334" s="2"/>
      <c r="L1334" s="2"/>
      <c r="M1334" s="2"/>
      <c r="N1334" s="2"/>
      <c r="O1334" s="2"/>
      <c r="P1334" s="2"/>
      <c r="Q1334" s="2"/>
      <c r="R1334" s="2"/>
      <c r="S1334" s="2"/>
      <c r="T1334" s="2"/>
    </row>
    <row r="1335">
      <c r="A1335" s="1"/>
      <c r="B1335" s="2"/>
      <c r="C1335" s="2"/>
      <c r="D1335" s="2"/>
      <c r="E1335" s="2"/>
      <c r="F1335" s="2"/>
      <c r="G1335" s="2"/>
      <c r="H1335" s="2"/>
      <c r="I1335" s="2"/>
      <c r="J1335" s="2"/>
      <c r="K1335" s="2"/>
      <c r="L1335" s="2"/>
      <c r="M1335" s="2"/>
      <c r="N1335" s="2"/>
      <c r="O1335" s="2"/>
      <c r="P1335" s="2"/>
      <c r="Q1335" s="2"/>
      <c r="R1335" s="2"/>
      <c r="S1335" s="2"/>
      <c r="T1335" s="2"/>
    </row>
    <row r="1336">
      <c r="A1336" s="1"/>
      <c r="B1336" s="2"/>
      <c r="C1336" s="2"/>
      <c r="D1336" s="2"/>
      <c r="E1336" s="2"/>
      <c r="F1336" s="2"/>
      <c r="G1336" s="2"/>
      <c r="H1336" s="2"/>
      <c r="I1336" s="2"/>
      <c r="J1336" s="2"/>
      <c r="K1336" s="2"/>
      <c r="L1336" s="2"/>
      <c r="M1336" s="2"/>
      <c r="N1336" s="2"/>
      <c r="O1336" s="2"/>
      <c r="P1336" s="2"/>
      <c r="Q1336" s="2"/>
      <c r="R1336" s="2"/>
      <c r="S1336" s="2"/>
      <c r="T1336" s="2"/>
    </row>
    <row r="1337">
      <c r="A1337" s="1"/>
      <c r="B1337" s="2"/>
      <c r="C1337" s="2"/>
      <c r="D1337" s="2"/>
      <c r="E1337" s="2"/>
      <c r="F1337" s="2"/>
      <c r="G1337" s="2"/>
      <c r="H1337" s="2"/>
      <c r="I1337" s="2"/>
      <c r="J1337" s="2"/>
      <c r="K1337" s="2"/>
      <c r="L1337" s="2"/>
      <c r="M1337" s="2"/>
      <c r="N1337" s="2"/>
      <c r="O1337" s="2"/>
      <c r="P1337" s="2"/>
      <c r="Q1337" s="2"/>
      <c r="R1337" s="2"/>
      <c r="S1337" s="2"/>
      <c r="T1337" s="2"/>
    </row>
    <row r="1338">
      <c r="A1338" s="1"/>
      <c r="B1338" s="2"/>
      <c r="C1338" s="2"/>
      <c r="D1338" s="2"/>
      <c r="E1338" s="2"/>
      <c r="F1338" s="2"/>
      <c r="G1338" s="2"/>
      <c r="H1338" s="2"/>
      <c r="I1338" s="2"/>
      <c r="J1338" s="2"/>
      <c r="K1338" s="2"/>
      <c r="L1338" s="2"/>
      <c r="M1338" s="2"/>
      <c r="N1338" s="2"/>
      <c r="O1338" s="2"/>
      <c r="P1338" s="2"/>
      <c r="Q1338" s="2"/>
      <c r="R1338" s="2"/>
      <c r="S1338" s="2"/>
      <c r="T1338" s="2"/>
    </row>
    <row r="1339">
      <c r="A1339" s="1"/>
      <c r="B1339" s="2"/>
      <c r="C1339" s="2"/>
      <c r="D1339" s="2"/>
      <c r="E1339" s="2"/>
      <c r="F1339" s="2"/>
      <c r="G1339" s="2"/>
      <c r="H1339" s="2"/>
      <c r="I1339" s="2"/>
      <c r="J1339" s="2"/>
      <c r="K1339" s="2"/>
      <c r="L1339" s="2"/>
      <c r="M1339" s="2"/>
      <c r="N1339" s="2"/>
      <c r="O1339" s="2"/>
      <c r="P1339" s="2"/>
      <c r="Q1339" s="2"/>
      <c r="R1339" s="2"/>
      <c r="S1339" s="2"/>
      <c r="T1339" s="2"/>
    </row>
    <row r="1340">
      <c r="A1340" s="1"/>
      <c r="B1340" s="2"/>
      <c r="C1340" s="2"/>
      <c r="D1340" s="2"/>
      <c r="E1340" s="2"/>
      <c r="F1340" s="2"/>
      <c r="G1340" s="2"/>
      <c r="H1340" s="2"/>
      <c r="I1340" s="2"/>
      <c r="J1340" s="2"/>
      <c r="K1340" s="2"/>
      <c r="L1340" s="2"/>
      <c r="M1340" s="2"/>
      <c r="N1340" s="2"/>
      <c r="O1340" s="2"/>
      <c r="P1340" s="2"/>
      <c r="Q1340" s="2"/>
      <c r="R1340" s="2"/>
      <c r="S1340" s="2"/>
      <c r="T1340" s="2"/>
    </row>
    <row r="1341">
      <c r="A1341" s="1"/>
      <c r="B1341" s="2"/>
      <c r="C1341" s="2"/>
      <c r="D1341" s="2"/>
      <c r="E1341" s="2"/>
      <c r="F1341" s="2"/>
      <c r="G1341" s="2"/>
      <c r="H1341" s="2"/>
      <c r="I1341" s="2"/>
      <c r="J1341" s="2"/>
      <c r="K1341" s="2"/>
      <c r="L1341" s="2"/>
      <c r="M1341" s="2"/>
      <c r="N1341" s="2"/>
      <c r="O1341" s="2"/>
      <c r="P1341" s="2"/>
      <c r="Q1341" s="2"/>
      <c r="R1341" s="2"/>
      <c r="S1341" s="2"/>
      <c r="T1341" s="2"/>
    </row>
    <row r="1342">
      <c r="A1342" s="1"/>
      <c r="B1342" s="2"/>
      <c r="C1342" s="2"/>
      <c r="D1342" s="2"/>
      <c r="E1342" s="2"/>
      <c r="F1342" s="2"/>
      <c r="G1342" s="2"/>
      <c r="H1342" s="2"/>
      <c r="I1342" s="2"/>
      <c r="J1342" s="2"/>
      <c r="K1342" s="2"/>
      <c r="L1342" s="2"/>
      <c r="M1342" s="2"/>
      <c r="N1342" s="2"/>
      <c r="O1342" s="2"/>
      <c r="P1342" s="2"/>
      <c r="Q1342" s="2"/>
      <c r="R1342" s="2"/>
      <c r="S1342" s="2"/>
      <c r="T1342" s="2"/>
    </row>
    <row r="1343">
      <c r="A1343" s="1"/>
      <c r="B1343" s="2"/>
      <c r="C1343" s="2"/>
      <c r="D1343" s="2"/>
      <c r="E1343" s="2"/>
      <c r="F1343" s="2"/>
      <c r="G1343" s="2"/>
      <c r="H1343" s="2"/>
      <c r="I1343" s="2"/>
      <c r="J1343" s="2"/>
      <c r="K1343" s="2"/>
      <c r="L1343" s="2"/>
      <c r="M1343" s="2"/>
      <c r="N1343" s="2"/>
      <c r="O1343" s="2"/>
      <c r="P1343" s="2"/>
      <c r="Q1343" s="2"/>
      <c r="R1343" s="2"/>
      <c r="S1343" s="2"/>
      <c r="T1343" s="2"/>
    </row>
    <row r="1344">
      <c r="A1344" s="1"/>
      <c r="B1344" s="2"/>
      <c r="C1344" s="2"/>
      <c r="D1344" s="2"/>
      <c r="E1344" s="2"/>
      <c r="F1344" s="2"/>
      <c r="G1344" s="2"/>
      <c r="H1344" s="2"/>
      <c r="I1344" s="2"/>
      <c r="J1344" s="2"/>
      <c r="K1344" s="2"/>
      <c r="L1344" s="2"/>
      <c r="M1344" s="2"/>
      <c r="N1344" s="2"/>
      <c r="O1344" s="2"/>
      <c r="P1344" s="2"/>
      <c r="Q1344" s="2"/>
      <c r="R1344" s="2"/>
      <c r="S1344" s="2"/>
      <c r="T1344" s="2"/>
    </row>
    <row r="1345">
      <c r="A1345" s="1"/>
      <c r="B1345" s="2"/>
      <c r="C1345" s="2"/>
      <c r="D1345" s="2"/>
      <c r="E1345" s="2"/>
      <c r="F1345" s="2"/>
      <c r="G1345" s="2"/>
      <c r="H1345" s="2"/>
      <c r="I1345" s="2"/>
      <c r="J1345" s="2"/>
      <c r="K1345" s="2"/>
      <c r="L1345" s="2"/>
      <c r="M1345" s="2"/>
      <c r="N1345" s="2"/>
      <c r="O1345" s="2"/>
      <c r="P1345" s="2"/>
      <c r="Q1345" s="2"/>
      <c r="R1345" s="2"/>
      <c r="S1345" s="2"/>
      <c r="T1345" s="2"/>
    </row>
    <row r="1346">
      <c r="A1346" s="1"/>
      <c r="B1346" s="2"/>
      <c r="C1346" s="2"/>
      <c r="D1346" s="2"/>
      <c r="E1346" s="2"/>
      <c r="F1346" s="2"/>
      <c r="G1346" s="2"/>
      <c r="H1346" s="2"/>
      <c r="I1346" s="2"/>
      <c r="J1346" s="2"/>
      <c r="K1346" s="2"/>
      <c r="L1346" s="2"/>
      <c r="M1346" s="2"/>
      <c r="N1346" s="2"/>
      <c r="O1346" s="2"/>
      <c r="P1346" s="2"/>
      <c r="Q1346" s="2"/>
      <c r="R1346" s="2"/>
      <c r="S1346" s="2"/>
      <c r="T1346" s="2"/>
    </row>
    <row r="1347">
      <c r="A1347" s="1"/>
      <c r="B1347" s="2"/>
      <c r="C1347" s="2"/>
      <c r="D1347" s="2"/>
      <c r="E1347" s="2"/>
      <c r="F1347" s="2"/>
      <c r="G1347" s="2"/>
      <c r="H1347" s="2"/>
      <c r="I1347" s="2"/>
      <c r="J1347" s="2"/>
      <c r="K1347" s="2"/>
      <c r="L1347" s="2"/>
      <c r="M1347" s="2"/>
      <c r="N1347" s="2"/>
      <c r="O1347" s="2"/>
      <c r="P1347" s="2"/>
      <c r="Q1347" s="2"/>
      <c r="R1347" s="2"/>
      <c r="S1347" s="2"/>
      <c r="T1347" s="2"/>
    </row>
    <row r="1348">
      <c r="A1348" s="1"/>
      <c r="B1348" s="2"/>
      <c r="C1348" s="2"/>
      <c r="D1348" s="2"/>
      <c r="E1348" s="2"/>
      <c r="F1348" s="2"/>
      <c r="G1348" s="2"/>
      <c r="H1348" s="2"/>
      <c r="I1348" s="2"/>
      <c r="J1348" s="2"/>
      <c r="K1348" s="2"/>
      <c r="L1348" s="2"/>
      <c r="M1348" s="2"/>
      <c r="N1348" s="2"/>
      <c r="O1348" s="2"/>
      <c r="P1348" s="2"/>
      <c r="Q1348" s="2"/>
      <c r="R1348" s="2"/>
      <c r="S1348" s="2"/>
      <c r="T1348" s="2"/>
    </row>
    <row r="1349">
      <c r="A1349" s="1"/>
      <c r="B1349" s="2"/>
      <c r="C1349" s="2"/>
      <c r="D1349" s="2"/>
      <c r="E1349" s="2"/>
      <c r="F1349" s="2"/>
      <c r="G1349" s="2"/>
      <c r="H1349" s="2"/>
      <c r="I1349" s="2"/>
      <c r="J1349" s="2"/>
      <c r="K1349" s="2"/>
      <c r="L1349" s="2"/>
      <c r="M1349" s="2"/>
      <c r="N1349" s="2"/>
      <c r="O1349" s="2"/>
      <c r="P1349" s="2"/>
      <c r="Q1349" s="2"/>
      <c r="R1349" s="2"/>
      <c r="S1349" s="2"/>
      <c r="T1349" s="2"/>
    </row>
    <row r="1350">
      <c r="A1350" s="1"/>
      <c r="B1350" s="2"/>
      <c r="C1350" s="2"/>
      <c r="D1350" s="2"/>
      <c r="E1350" s="2"/>
      <c r="F1350" s="2"/>
      <c r="G1350" s="2"/>
      <c r="H1350" s="2"/>
      <c r="I1350" s="2"/>
      <c r="J1350" s="2"/>
      <c r="K1350" s="2"/>
      <c r="L1350" s="2"/>
      <c r="M1350" s="2"/>
      <c r="N1350" s="2"/>
      <c r="O1350" s="2"/>
      <c r="P1350" s="2"/>
      <c r="Q1350" s="2"/>
      <c r="R1350" s="2"/>
      <c r="S1350" s="2"/>
      <c r="T1350" s="2"/>
    </row>
    <row r="1351">
      <c r="A1351" s="1"/>
      <c r="B1351" s="2"/>
      <c r="C1351" s="2"/>
      <c r="D1351" s="2"/>
      <c r="E1351" s="2"/>
      <c r="F1351" s="2"/>
      <c r="G1351" s="2"/>
      <c r="H1351" s="2"/>
      <c r="I1351" s="2"/>
      <c r="J1351" s="2"/>
      <c r="K1351" s="2"/>
      <c r="L1351" s="2"/>
      <c r="M1351" s="2"/>
      <c r="N1351" s="2"/>
      <c r="O1351" s="2"/>
      <c r="P1351" s="2"/>
      <c r="Q1351" s="2"/>
      <c r="R1351" s="2"/>
      <c r="S1351" s="2"/>
      <c r="T1351" s="2"/>
    </row>
    <row r="1352">
      <c r="A1352" s="1"/>
      <c r="B1352" s="2"/>
      <c r="C1352" s="2"/>
      <c r="D1352" s="2"/>
      <c r="E1352" s="2"/>
      <c r="F1352" s="2"/>
      <c r="G1352" s="2"/>
      <c r="H1352" s="2"/>
      <c r="I1352" s="2"/>
      <c r="J1352" s="2"/>
      <c r="K1352" s="2"/>
      <c r="L1352" s="2"/>
      <c r="M1352" s="2"/>
      <c r="N1352" s="2"/>
      <c r="O1352" s="2"/>
      <c r="P1352" s="2"/>
      <c r="Q1352" s="2"/>
      <c r="R1352" s="2"/>
      <c r="S1352" s="2"/>
      <c r="T1352" s="2"/>
    </row>
    <row r="1353">
      <c r="A1353" s="1"/>
      <c r="B1353" s="2"/>
      <c r="C1353" s="2"/>
      <c r="D1353" s="2"/>
      <c r="E1353" s="2"/>
      <c r="F1353" s="2"/>
      <c r="G1353" s="2"/>
      <c r="H1353" s="2"/>
      <c r="I1353" s="2"/>
      <c r="J1353" s="2"/>
      <c r="K1353" s="2"/>
      <c r="L1353" s="2"/>
      <c r="M1353" s="2"/>
      <c r="N1353" s="2"/>
      <c r="O1353" s="2"/>
      <c r="P1353" s="2"/>
      <c r="Q1353" s="2"/>
      <c r="R1353" s="2"/>
      <c r="S1353" s="2"/>
      <c r="T1353" s="2"/>
    </row>
    <row r="1354">
      <c r="A1354" s="1"/>
      <c r="B1354" s="2"/>
      <c r="C1354" s="2"/>
      <c r="D1354" s="2"/>
      <c r="E1354" s="2"/>
      <c r="F1354" s="2"/>
      <c r="G1354" s="2"/>
      <c r="H1354" s="2"/>
      <c r="I1354" s="2"/>
      <c r="J1354" s="2"/>
      <c r="K1354" s="2"/>
      <c r="L1354" s="2"/>
      <c r="M1354" s="2"/>
      <c r="N1354" s="2"/>
      <c r="O1354" s="2"/>
      <c r="P1354" s="2"/>
      <c r="Q1354" s="2"/>
      <c r="R1354" s="2"/>
      <c r="S1354" s="2"/>
      <c r="T1354" s="2"/>
    </row>
    <row r="1355">
      <c r="A1355" s="1"/>
      <c r="B1355" s="2"/>
      <c r="C1355" s="2"/>
      <c r="D1355" s="2"/>
      <c r="E1355" s="2"/>
      <c r="F1355" s="2"/>
      <c r="G1355" s="2"/>
      <c r="H1355" s="2"/>
      <c r="I1355" s="2"/>
      <c r="J1355" s="2"/>
      <c r="K1355" s="2"/>
      <c r="L1355" s="2"/>
      <c r="M1355" s="2"/>
      <c r="N1355" s="2"/>
      <c r="O1355" s="2"/>
      <c r="P1355" s="2"/>
      <c r="Q1355" s="2"/>
      <c r="R1355" s="2"/>
      <c r="S1355" s="2"/>
      <c r="T1355" s="2"/>
    </row>
    <row r="1356">
      <c r="A1356" s="1"/>
      <c r="B1356" s="2"/>
      <c r="C1356" s="2"/>
      <c r="D1356" s="2"/>
      <c r="E1356" s="2"/>
      <c r="F1356" s="2"/>
      <c r="G1356" s="2"/>
      <c r="H1356" s="2"/>
      <c r="I1356" s="2"/>
      <c r="J1356" s="2"/>
      <c r="K1356" s="2"/>
      <c r="L1356" s="2"/>
      <c r="M1356" s="2"/>
      <c r="N1356" s="2"/>
      <c r="O1356" s="2"/>
      <c r="P1356" s="2"/>
      <c r="Q1356" s="2"/>
      <c r="R1356" s="2"/>
      <c r="S1356" s="2"/>
      <c r="T1356" s="2"/>
    </row>
    <row r="1357">
      <c r="A1357" s="1"/>
      <c r="B1357" s="2"/>
      <c r="C1357" s="2"/>
      <c r="D1357" s="2"/>
      <c r="E1357" s="2"/>
      <c r="F1357" s="2"/>
      <c r="G1357" s="2"/>
      <c r="H1357" s="2"/>
      <c r="I1357" s="2"/>
      <c r="J1357" s="2"/>
      <c r="K1357" s="2"/>
      <c r="L1357" s="2"/>
      <c r="M1357" s="2"/>
      <c r="N1357" s="2"/>
      <c r="O1357" s="2"/>
      <c r="P1357" s="2"/>
      <c r="Q1357" s="2"/>
      <c r="R1357" s="2"/>
      <c r="S1357" s="2"/>
      <c r="T1357" s="2"/>
    </row>
    <row r="1358">
      <c r="A1358" s="1"/>
      <c r="B1358" s="2"/>
      <c r="C1358" s="2"/>
      <c r="D1358" s="2"/>
      <c r="E1358" s="2"/>
      <c r="F1358" s="2"/>
      <c r="G1358" s="2"/>
      <c r="H1358" s="2"/>
      <c r="I1358" s="2"/>
      <c r="J1358" s="2"/>
      <c r="K1358" s="2"/>
      <c r="L1358" s="2"/>
      <c r="M1358" s="2"/>
      <c r="N1358" s="2"/>
      <c r="O1358" s="2"/>
      <c r="P1358" s="2"/>
      <c r="Q1358" s="2"/>
      <c r="R1358" s="2"/>
      <c r="S1358" s="2"/>
      <c r="T1358" s="2"/>
    </row>
    <row r="1359">
      <c r="A1359" s="1"/>
      <c r="B1359" s="2"/>
      <c r="C1359" s="2"/>
      <c r="D1359" s="2"/>
      <c r="E1359" s="2"/>
      <c r="F1359" s="2"/>
      <c r="G1359" s="2"/>
      <c r="H1359" s="2"/>
      <c r="I1359" s="2"/>
      <c r="J1359" s="2"/>
      <c r="K1359" s="2"/>
      <c r="L1359" s="2"/>
      <c r="M1359" s="2"/>
      <c r="N1359" s="2"/>
      <c r="O1359" s="2"/>
      <c r="P1359" s="2"/>
      <c r="Q1359" s="2"/>
      <c r="R1359" s="2"/>
      <c r="S1359" s="2"/>
      <c r="T1359" s="2"/>
    </row>
    <row r="1360">
      <c r="A1360" s="1"/>
      <c r="B1360" s="2"/>
      <c r="C1360" s="2"/>
      <c r="D1360" s="2"/>
      <c r="E1360" s="2"/>
      <c r="F1360" s="2"/>
      <c r="G1360" s="2"/>
      <c r="H1360" s="2"/>
      <c r="I1360" s="2"/>
      <c r="J1360" s="2"/>
      <c r="K1360" s="2"/>
      <c r="L1360" s="2"/>
      <c r="M1360" s="2"/>
      <c r="N1360" s="2"/>
      <c r="O1360" s="2"/>
      <c r="P1360" s="2"/>
      <c r="Q1360" s="2"/>
      <c r="R1360" s="2"/>
      <c r="S1360" s="2"/>
      <c r="T1360" s="2"/>
    </row>
    <row r="1361">
      <c r="A1361" s="1"/>
      <c r="B1361" s="2"/>
      <c r="C1361" s="2"/>
      <c r="D1361" s="2"/>
      <c r="E1361" s="2"/>
      <c r="F1361" s="2"/>
      <c r="G1361" s="2"/>
      <c r="H1361" s="2"/>
      <c r="I1361" s="2"/>
      <c r="J1361" s="2"/>
      <c r="K1361" s="2"/>
      <c r="L1361" s="2"/>
      <c r="M1361" s="2"/>
      <c r="N1361" s="2"/>
      <c r="O1361" s="2"/>
      <c r="P1361" s="2"/>
      <c r="Q1361" s="2"/>
      <c r="R1361" s="2"/>
      <c r="S1361" s="2"/>
      <c r="T1361" s="2"/>
    </row>
    <row r="1362">
      <c r="A1362" s="1"/>
      <c r="B1362" s="2"/>
      <c r="C1362" s="2"/>
      <c r="D1362" s="2"/>
      <c r="E1362" s="2"/>
      <c r="F1362" s="2"/>
      <c r="G1362" s="2"/>
      <c r="H1362" s="2"/>
      <c r="I1362" s="2"/>
      <c r="J1362" s="2"/>
      <c r="K1362" s="2"/>
      <c r="L1362" s="2"/>
      <c r="M1362" s="2"/>
      <c r="N1362" s="2"/>
      <c r="O1362" s="2"/>
      <c r="P1362" s="2"/>
      <c r="Q1362" s="2"/>
      <c r="R1362" s="2"/>
      <c r="S1362" s="2"/>
      <c r="T1362" s="2"/>
    </row>
    <row r="1363">
      <c r="A1363" s="1"/>
      <c r="B1363" s="2"/>
      <c r="C1363" s="2"/>
      <c r="D1363" s="2"/>
      <c r="E1363" s="2"/>
      <c r="F1363" s="2"/>
      <c r="G1363" s="2"/>
      <c r="H1363" s="2"/>
      <c r="I1363" s="2"/>
      <c r="J1363" s="2"/>
      <c r="K1363" s="2"/>
      <c r="L1363" s="2"/>
      <c r="M1363" s="2"/>
      <c r="N1363" s="2"/>
      <c r="O1363" s="2"/>
      <c r="P1363" s="2"/>
      <c r="Q1363" s="2"/>
      <c r="R1363" s="2"/>
      <c r="S1363" s="2"/>
      <c r="T1363" s="2"/>
    </row>
    <row r="1364">
      <c r="A1364" s="1"/>
      <c r="B1364" s="2"/>
      <c r="C1364" s="2"/>
      <c r="D1364" s="2"/>
      <c r="E1364" s="2"/>
      <c r="F1364" s="2"/>
      <c r="G1364" s="2"/>
      <c r="H1364" s="2"/>
      <c r="I1364" s="2"/>
      <c r="J1364" s="2"/>
      <c r="K1364" s="2"/>
      <c r="L1364" s="2"/>
      <c r="M1364" s="2"/>
      <c r="N1364" s="2"/>
      <c r="O1364" s="2"/>
      <c r="P1364" s="2"/>
      <c r="Q1364" s="2"/>
      <c r="R1364" s="2"/>
      <c r="S1364" s="2"/>
      <c r="T1364" s="2"/>
    </row>
    <row r="1365">
      <c r="A1365" s="1"/>
      <c r="B1365" s="2"/>
      <c r="C1365" s="2"/>
      <c r="D1365" s="2"/>
      <c r="E1365" s="2"/>
      <c r="F1365" s="2"/>
      <c r="G1365" s="2"/>
      <c r="H1365" s="2"/>
      <c r="I1365" s="2"/>
      <c r="J1365" s="2"/>
      <c r="K1365" s="2"/>
      <c r="L1365" s="2"/>
      <c r="M1365" s="2"/>
      <c r="N1365" s="2"/>
      <c r="O1365" s="2"/>
      <c r="P1365" s="2"/>
      <c r="Q1365" s="2"/>
      <c r="R1365" s="2"/>
      <c r="S1365" s="2"/>
      <c r="T1365" s="2"/>
    </row>
    <row r="1366">
      <c r="A1366" s="1"/>
      <c r="B1366" s="2"/>
      <c r="C1366" s="2"/>
      <c r="D1366" s="2"/>
      <c r="E1366" s="2"/>
      <c r="F1366" s="2"/>
      <c r="G1366" s="2"/>
      <c r="H1366" s="2"/>
      <c r="I1366" s="2"/>
      <c r="J1366" s="2"/>
      <c r="K1366" s="2"/>
      <c r="L1366" s="2"/>
      <c r="M1366" s="2"/>
      <c r="N1366" s="2"/>
      <c r="O1366" s="2"/>
      <c r="P1366" s="2"/>
      <c r="Q1366" s="2"/>
      <c r="R1366" s="2"/>
      <c r="S1366" s="2"/>
      <c r="T1366" s="2"/>
    </row>
    <row r="1367">
      <c r="A1367" s="1"/>
      <c r="B1367" s="2"/>
      <c r="C1367" s="2"/>
      <c r="D1367" s="2"/>
      <c r="E1367" s="2"/>
      <c r="F1367" s="2"/>
      <c r="G1367" s="2"/>
      <c r="H1367" s="2"/>
      <c r="I1367" s="2"/>
      <c r="J1367" s="2"/>
      <c r="K1367" s="2"/>
      <c r="L1367" s="2"/>
      <c r="M1367" s="2"/>
      <c r="N1367" s="2"/>
      <c r="O1367" s="2"/>
      <c r="P1367" s="2"/>
      <c r="Q1367" s="2"/>
      <c r="R1367" s="2"/>
      <c r="S1367" s="2"/>
      <c r="T1367" s="2"/>
    </row>
    <row r="1368">
      <c r="A1368" s="1"/>
      <c r="B1368" s="2"/>
      <c r="C1368" s="2"/>
      <c r="D1368" s="2"/>
      <c r="E1368" s="2"/>
      <c r="F1368" s="2"/>
      <c r="G1368" s="2"/>
      <c r="H1368" s="2"/>
      <c r="I1368" s="2"/>
      <c r="J1368" s="2"/>
      <c r="K1368" s="2"/>
      <c r="L1368" s="2"/>
      <c r="M1368" s="2"/>
      <c r="N1368" s="2"/>
      <c r="O1368" s="2"/>
      <c r="P1368" s="2"/>
      <c r="Q1368" s="2"/>
      <c r="R1368" s="2"/>
      <c r="S1368" s="2"/>
      <c r="T1368" s="2"/>
    </row>
    <row r="1369">
      <c r="A1369" s="1"/>
      <c r="B1369" s="2"/>
      <c r="C1369" s="2"/>
      <c r="D1369" s="2"/>
      <c r="E1369" s="2"/>
      <c r="F1369" s="2"/>
      <c r="G1369" s="2"/>
      <c r="H1369" s="2"/>
      <c r="I1369" s="2"/>
      <c r="J1369" s="2"/>
      <c r="K1369" s="2"/>
      <c r="L1369" s="2"/>
      <c r="M1369" s="2"/>
      <c r="N1369" s="2"/>
      <c r="O1369" s="2"/>
      <c r="P1369" s="2"/>
      <c r="Q1369" s="2"/>
      <c r="R1369" s="2"/>
      <c r="S1369" s="2"/>
      <c r="T1369" s="2"/>
    </row>
    <row r="1370">
      <c r="A1370" s="1"/>
      <c r="B1370" s="2"/>
      <c r="C1370" s="2"/>
      <c r="D1370" s="2"/>
      <c r="E1370" s="2"/>
      <c r="F1370" s="2"/>
      <c r="G1370" s="2"/>
      <c r="H1370" s="2"/>
      <c r="I1370" s="2"/>
      <c r="J1370" s="2"/>
      <c r="K1370" s="2"/>
      <c r="L1370" s="2"/>
      <c r="M1370" s="2"/>
      <c r="N1370" s="2"/>
      <c r="O1370" s="2"/>
      <c r="P1370" s="2"/>
      <c r="Q1370" s="2"/>
      <c r="R1370" s="2"/>
      <c r="S1370" s="2"/>
      <c r="T1370" s="2"/>
    </row>
    <row r="1371">
      <c r="A1371" s="1"/>
      <c r="B1371" s="2"/>
      <c r="C1371" s="2"/>
      <c r="D1371" s="2"/>
      <c r="E1371" s="2"/>
      <c r="F1371" s="2"/>
      <c r="G1371" s="2"/>
      <c r="H1371" s="2"/>
      <c r="I1371" s="2"/>
      <c r="J1371" s="2"/>
      <c r="K1371" s="2"/>
      <c r="L1371" s="2"/>
      <c r="M1371" s="2"/>
      <c r="N1371" s="2"/>
      <c r="O1371" s="2"/>
      <c r="P1371" s="2"/>
      <c r="Q1371" s="2"/>
      <c r="R1371" s="2"/>
      <c r="S1371" s="2"/>
      <c r="T1371" s="2"/>
    </row>
    <row r="1372">
      <c r="A1372" s="1"/>
      <c r="B1372" s="2"/>
      <c r="C1372" s="2"/>
      <c r="D1372" s="2"/>
      <c r="E1372" s="2"/>
      <c r="F1372" s="2"/>
      <c r="G1372" s="2"/>
      <c r="H1372" s="2"/>
      <c r="I1372" s="2"/>
      <c r="J1372" s="2"/>
      <c r="K1372" s="2"/>
      <c r="L1372" s="2"/>
      <c r="M1372" s="2"/>
      <c r="N1372" s="2"/>
      <c r="O1372" s="2"/>
      <c r="P1372" s="2"/>
      <c r="Q1372" s="2"/>
      <c r="R1372" s="2"/>
      <c r="S1372" s="2"/>
      <c r="T1372" s="2"/>
    </row>
    <row r="1373">
      <c r="A1373" s="1"/>
      <c r="B1373" s="2"/>
      <c r="C1373" s="2"/>
      <c r="D1373" s="2"/>
      <c r="E1373" s="2"/>
      <c r="F1373" s="2"/>
      <c r="G1373" s="2"/>
      <c r="H1373" s="2"/>
      <c r="I1373" s="2"/>
      <c r="J1373" s="2"/>
      <c r="K1373" s="2"/>
      <c r="L1373" s="2"/>
      <c r="M1373" s="2"/>
      <c r="N1373" s="2"/>
      <c r="O1373" s="2"/>
      <c r="P1373" s="2"/>
      <c r="Q1373" s="2"/>
      <c r="R1373" s="2"/>
      <c r="S1373" s="2"/>
      <c r="T1373" s="2"/>
    </row>
    <row r="1374">
      <c r="A1374" s="1"/>
      <c r="B1374" s="2"/>
      <c r="C1374" s="2"/>
      <c r="D1374" s="2"/>
      <c r="E1374" s="2"/>
      <c r="F1374" s="2"/>
      <c r="G1374" s="2"/>
      <c r="H1374" s="2"/>
      <c r="I1374" s="2"/>
      <c r="J1374" s="2"/>
      <c r="K1374" s="2"/>
      <c r="L1374" s="2"/>
      <c r="M1374" s="2"/>
      <c r="N1374" s="2"/>
      <c r="O1374" s="2"/>
      <c r="P1374" s="2"/>
      <c r="Q1374" s="2"/>
      <c r="R1374" s="2"/>
      <c r="S1374" s="2"/>
      <c r="T1374" s="2"/>
    </row>
    <row r="1375">
      <c r="A1375" s="1"/>
      <c r="B1375" s="2"/>
      <c r="C1375" s="2"/>
      <c r="D1375" s="2"/>
      <c r="E1375" s="2"/>
      <c r="F1375" s="2"/>
      <c r="G1375" s="2"/>
      <c r="H1375" s="2"/>
      <c r="I1375" s="2"/>
      <c r="J1375" s="2"/>
      <c r="K1375" s="2"/>
      <c r="L1375" s="2"/>
      <c r="M1375" s="2"/>
      <c r="N1375" s="2"/>
      <c r="O1375" s="2"/>
      <c r="P1375" s="2"/>
      <c r="Q1375" s="2"/>
      <c r="R1375" s="2"/>
      <c r="S1375" s="2"/>
      <c r="T1375" s="2"/>
    </row>
    <row r="1376">
      <c r="A1376" s="1"/>
      <c r="B1376" s="2"/>
      <c r="C1376" s="2"/>
      <c r="D1376" s="2"/>
      <c r="E1376" s="2"/>
      <c r="F1376" s="2"/>
      <c r="G1376" s="2"/>
      <c r="H1376" s="2"/>
      <c r="I1376" s="2"/>
      <c r="J1376" s="2"/>
      <c r="K1376" s="2"/>
      <c r="L1376" s="2"/>
      <c r="M1376" s="2"/>
      <c r="N1376" s="2"/>
      <c r="O1376" s="2"/>
      <c r="P1376" s="2"/>
      <c r="Q1376" s="2"/>
      <c r="R1376" s="2"/>
      <c r="S1376" s="2"/>
      <c r="T1376" s="2"/>
    </row>
    <row r="1377">
      <c r="A1377" s="1"/>
      <c r="B1377" s="2"/>
      <c r="C1377" s="2"/>
      <c r="D1377" s="2"/>
      <c r="E1377" s="2"/>
      <c r="F1377" s="2"/>
      <c r="G1377" s="2"/>
      <c r="H1377" s="2"/>
      <c r="I1377" s="2"/>
      <c r="J1377" s="2"/>
      <c r="K1377" s="2"/>
      <c r="L1377" s="2"/>
      <c r="M1377" s="2"/>
      <c r="N1377" s="2"/>
      <c r="O1377" s="2"/>
      <c r="P1377" s="2"/>
      <c r="Q1377" s="2"/>
      <c r="R1377" s="2"/>
      <c r="S1377" s="2"/>
      <c r="T1377" s="2"/>
    </row>
    <row r="1378">
      <c r="A1378" s="1"/>
      <c r="B1378" s="2"/>
      <c r="C1378" s="2"/>
      <c r="D1378" s="2"/>
      <c r="E1378" s="2"/>
      <c r="F1378" s="2"/>
      <c r="G1378" s="2"/>
      <c r="H1378" s="2"/>
      <c r="I1378" s="2"/>
      <c r="J1378" s="2"/>
      <c r="K1378" s="2"/>
      <c r="L1378" s="2"/>
      <c r="M1378" s="2"/>
      <c r="N1378" s="2"/>
      <c r="O1378" s="2"/>
      <c r="P1378" s="2"/>
      <c r="Q1378" s="2"/>
      <c r="R1378" s="2"/>
      <c r="S1378" s="2"/>
      <c r="T1378" s="2"/>
    </row>
    <row r="1379">
      <c r="A1379" s="1"/>
      <c r="B1379" s="2"/>
      <c r="C1379" s="2"/>
      <c r="D1379" s="2"/>
      <c r="E1379" s="2"/>
      <c r="F1379" s="2"/>
      <c r="G1379" s="2"/>
      <c r="H1379" s="2"/>
      <c r="I1379" s="2"/>
      <c r="J1379" s="2"/>
      <c r="K1379" s="2"/>
      <c r="L1379" s="2"/>
      <c r="M1379" s="2"/>
      <c r="N1379" s="2"/>
      <c r="O1379" s="2"/>
      <c r="P1379" s="2"/>
      <c r="Q1379" s="2"/>
      <c r="R1379" s="2"/>
      <c r="S1379" s="2"/>
      <c r="T1379" s="2"/>
    </row>
    <row r="1380">
      <c r="A1380" s="1"/>
      <c r="B1380" s="2"/>
      <c r="C1380" s="2"/>
      <c r="D1380" s="2"/>
      <c r="E1380" s="2"/>
      <c r="F1380" s="2"/>
      <c r="G1380" s="2"/>
      <c r="H1380" s="2"/>
      <c r="I1380" s="2"/>
      <c r="J1380" s="2"/>
      <c r="K1380" s="2"/>
      <c r="L1380" s="2"/>
      <c r="M1380" s="2"/>
      <c r="N1380" s="2"/>
      <c r="O1380" s="2"/>
      <c r="P1380" s="2"/>
      <c r="Q1380" s="2"/>
      <c r="R1380" s="2"/>
      <c r="S1380" s="2"/>
      <c r="T1380" s="2"/>
    </row>
    <row r="1381">
      <c r="A1381" s="1"/>
      <c r="B1381" s="2"/>
      <c r="C1381" s="2"/>
      <c r="D1381" s="2"/>
      <c r="E1381" s="2"/>
      <c r="F1381" s="2"/>
      <c r="G1381" s="2"/>
      <c r="H1381" s="2"/>
      <c r="I1381" s="2"/>
      <c r="J1381" s="2"/>
      <c r="K1381" s="2"/>
      <c r="L1381" s="2"/>
      <c r="M1381" s="2"/>
      <c r="N1381" s="2"/>
      <c r="O1381" s="2"/>
      <c r="P1381" s="2"/>
      <c r="Q1381" s="2"/>
      <c r="R1381" s="2"/>
      <c r="S1381" s="2"/>
      <c r="T1381" s="2"/>
    </row>
    <row r="1382">
      <c r="A1382" s="1"/>
      <c r="B1382" s="2"/>
      <c r="C1382" s="2"/>
      <c r="D1382" s="2"/>
      <c r="E1382" s="2"/>
      <c r="F1382" s="2"/>
      <c r="G1382" s="2"/>
      <c r="H1382" s="2"/>
      <c r="I1382" s="2"/>
      <c r="J1382" s="2"/>
      <c r="K1382" s="2"/>
      <c r="L1382" s="2"/>
      <c r="M1382" s="2"/>
      <c r="N1382" s="2"/>
      <c r="O1382" s="2"/>
      <c r="P1382" s="2"/>
      <c r="Q1382" s="2"/>
      <c r="R1382" s="2"/>
      <c r="S1382" s="2"/>
      <c r="T1382" s="2"/>
    </row>
    <row r="1383">
      <c r="A1383" s="1"/>
      <c r="B1383" s="2"/>
      <c r="C1383" s="2"/>
      <c r="D1383" s="2"/>
      <c r="E1383" s="2"/>
      <c r="F1383" s="2"/>
      <c r="G1383" s="2"/>
      <c r="H1383" s="2"/>
      <c r="I1383" s="2"/>
      <c r="J1383" s="2"/>
      <c r="K1383" s="2"/>
      <c r="L1383" s="2"/>
      <c r="M1383" s="2"/>
      <c r="N1383" s="2"/>
      <c r="O1383" s="2"/>
      <c r="P1383" s="2"/>
      <c r="Q1383" s="2"/>
      <c r="R1383" s="2"/>
      <c r="S1383" s="2"/>
      <c r="T1383" s="2"/>
    </row>
    <row r="1384">
      <c r="A1384" s="1"/>
      <c r="B1384" s="2"/>
      <c r="C1384" s="2"/>
      <c r="D1384" s="2"/>
      <c r="E1384" s="2"/>
      <c r="F1384" s="2"/>
      <c r="G1384" s="2"/>
      <c r="H1384" s="2"/>
      <c r="I1384" s="2"/>
      <c r="J1384" s="2"/>
      <c r="K1384" s="2"/>
      <c r="L1384" s="2"/>
      <c r="M1384" s="2"/>
      <c r="N1384" s="2"/>
      <c r="O1384" s="2"/>
      <c r="P1384" s="2"/>
      <c r="Q1384" s="2"/>
      <c r="R1384" s="2"/>
      <c r="S1384" s="2"/>
      <c r="T1384" s="2"/>
    </row>
    <row r="1385">
      <c r="A1385" s="1"/>
      <c r="B1385" s="2"/>
      <c r="C1385" s="2"/>
      <c r="D1385" s="2"/>
      <c r="E1385" s="2"/>
      <c r="F1385" s="2"/>
      <c r="G1385" s="2"/>
      <c r="H1385" s="2"/>
      <c r="I1385" s="2"/>
      <c r="J1385" s="2"/>
      <c r="K1385" s="2"/>
      <c r="L1385" s="2"/>
      <c r="M1385" s="2"/>
      <c r="N1385" s="2"/>
      <c r="O1385" s="2"/>
      <c r="P1385" s="2"/>
      <c r="Q1385" s="2"/>
      <c r="R1385" s="2"/>
      <c r="S1385" s="2"/>
      <c r="T1385" s="2"/>
    </row>
    <row r="1386">
      <c r="A1386" s="1"/>
      <c r="B1386" s="2"/>
      <c r="C1386" s="2"/>
      <c r="D1386" s="2"/>
      <c r="E1386" s="2"/>
      <c r="F1386" s="2"/>
      <c r="G1386" s="2"/>
      <c r="H1386" s="2"/>
      <c r="I1386" s="2"/>
      <c r="J1386" s="2"/>
      <c r="K1386" s="2"/>
      <c r="L1386" s="2"/>
      <c r="M1386" s="2"/>
      <c r="N1386" s="2"/>
      <c r="O1386" s="2"/>
      <c r="P1386" s="2"/>
      <c r="Q1386" s="2"/>
      <c r="R1386" s="2"/>
      <c r="S1386" s="2"/>
      <c r="T1386" s="2"/>
    </row>
    <row r="1387">
      <c r="A1387" s="1"/>
      <c r="B1387" s="2"/>
      <c r="C1387" s="2"/>
      <c r="D1387" s="2"/>
      <c r="E1387" s="2"/>
      <c r="F1387" s="2"/>
      <c r="G1387" s="2"/>
      <c r="H1387" s="2"/>
      <c r="I1387" s="2"/>
      <c r="J1387" s="2"/>
      <c r="K1387" s="2"/>
      <c r="L1387" s="2"/>
      <c r="M1387" s="2"/>
      <c r="N1387" s="2"/>
      <c r="O1387" s="2"/>
      <c r="P1387" s="2"/>
      <c r="Q1387" s="2"/>
      <c r="R1387" s="2"/>
      <c r="S1387" s="2"/>
      <c r="T1387" s="2"/>
    </row>
    <row r="1388">
      <c r="A1388" s="1"/>
      <c r="B1388" s="2"/>
      <c r="C1388" s="2"/>
      <c r="D1388" s="2"/>
      <c r="E1388" s="2"/>
      <c r="F1388" s="2"/>
      <c r="G1388" s="2"/>
      <c r="H1388" s="2"/>
      <c r="I1388" s="2"/>
      <c r="J1388" s="2"/>
      <c r="K1388" s="2"/>
      <c r="L1388" s="2"/>
      <c r="M1388" s="2"/>
      <c r="N1388" s="2"/>
      <c r="O1388" s="2"/>
      <c r="P1388" s="2"/>
      <c r="Q1388" s="2"/>
      <c r="R1388" s="2"/>
      <c r="S1388" s="2"/>
      <c r="T1388" s="2"/>
    </row>
    <row r="1389">
      <c r="A1389" s="1"/>
      <c r="B1389" s="2"/>
      <c r="C1389" s="2"/>
      <c r="D1389" s="2"/>
      <c r="E1389" s="2"/>
      <c r="F1389" s="2"/>
      <c r="G1389" s="2"/>
      <c r="H1389" s="2"/>
      <c r="I1389" s="2"/>
      <c r="J1389" s="2"/>
      <c r="K1389" s="2"/>
      <c r="L1389" s="2"/>
      <c r="M1389" s="2"/>
      <c r="N1389" s="2"/>
      <c r="O1389" s="2"/>
      <c r="P1389" s="2"/>
      <c r="Q1389" s="2"/>
      <c r="R1389" s="2"/>
      <c r="S1389" s="2"/>
      <c r="T1389" s="2"/>
    </row>
    <row r="1390">
      <c r="A1390" s="1"/>
      <c r="B1390" s="2"/>
      <c r="C1390" s="2"/>
      <c r="D1390" s="2"/>
      <c r="E1390" s="2"/>
      <c r="F1390" s="2"/>
      <c r="G1390" s="2"/>
      <c r="H1390" s="2"/>
      <c r="I1390" s="2"/>
      <c r="J1390" s="2"/>
      <c r="K1390" s="2"/>
      <c r="L1390" s="2"/>
      <c r="M1390" s="2"/>
      <c r="N1390" s="2"/>
      <c r="O1390" s="2"/>
      <c r="P1390" s="2"/>
      <c r="Q1390" s="2"/>
      <c r="R1390" s="2"/>
      <c r="S1390" s="2"/>
      <c r="T1390" s="2"/>
    </row>
    <row r="1391">
      <c r="A1391" s="1"/>
      <c r="B1391" s="2"/>
      <c r="C1391" s="2"/>
      <c r="D1391" s="2"/>
      <c r="E1391" s="2"/>
      <c r="F1391" s="2"/>
      <c r="G1391" s="2"/>
      <c r="H1391" s="2"/>
      <c r="I1391" s="2"/>
      <c r="J1391" s="2"/>
      <c r="K1391" s="2"/>
      <c r="L1391" s="2"/>
      <c r="M1391" s="2"/>
      <c r="N1391" s="2"/>
      <c r="O1391" s="2"/>
      <c r="P1391" s="2"/>
      <c r="Q1391" s="2"/>
      <c r="R1391" s="2"/>
      <c r="S1391" s="2"/>
      <c r="T1391" s="2"/>
    </row>
    <row r="1392">
      <c r="A1392" s="1"/>
      <c r="B1392" s="2"/>
      <c r="C1392" s="2"/>
      <c r="D1392" s="2"/>
      <c r="E1392" s="2"/>
      <c r="F1392" s="2"/>
      <c r="G1392" s="2"/>
      <c r="H1392" s="2"/>
      <c r="I1392" s="2"/>
      <c r="J1392" s="2"/>
      <c r="K1392" s="2"/>
      <c r="L1392" s="2"/>
      <c r="M1392" s="2"/>
      <c r="N1392" s="2"/>
      <c r="O1392" s="2"/>
      <c r="P1392" s="2"/>
      <c r="Q1392" s="2"/>
      <c r="R1392" s="2"/>
      <c r="S1392" s="2"/>
      <c r="T1392" s="2"/>
    </row>
    <row r="1393">
      <c r="A1393" s="1"/>
      <c r="B1393" s="2"/>
      <c r="C1393" s="2"/>
      <c r="D1393" s="2"/>
      <c r="E1393" s="2"/>
      <c r="F1393" s="2"/>
      <c r="G1393" s="2"/>
      <c r="H1393" s="2"/>
      <c r="I1393" s="2"/>
      <c r="J1393" s="2"/>
      <c r="K1393" s="2"/>
      <c r="L1393" s="2"/>
      <c r="M1393" s="2"/>
      <c r="N1393" s="2"/>
      <c r="O1393" s="2"/>
      <c r="P1393" s="2"/>
      <c r="Q1393" s="2"/>
      <c r="R1393" s="2"/>
      <c r="S1393" s="2"/>
      <c r="T1393" s="2"/>
    </row>
    <row r="1394">
      <c r="A1394" s="1"/>
      <c r="B1394" s="2"/>
      <c r="C1394" s="2"/>
      <c r="D1394" s="2"/>
      <c r="E1394" s="2"/>
      <c r="F1394" s="2"/>
      <c r="G1394" s="2"/>
      <c r="H1394" s="2"/>
      <c r="I1394" s="2"/>
      <c r="J1394" s="2"/>
      <c r="K1394" s="2"/>
      <c r="L1394" s="2"/>
      <c r="M1394" s="2"/>
      <c r="N1394" s="2"/>
      <c r="O1394" s="2"/>
      <c r="P1394" s="2"/>
      <c r="Q1394" s="2"/>
      <c r="R1394" s="2"/>
      <c r="S1394" s="2"/>
      <c r="T1394" s="2"/>
    </row>
    <row r="1395">
      <c r="A1395" s="1"/>
      <c r="B1395" s="2"/>
      <c r="C1395" s="2"/>
      <c r="D1395" s="2"/>
      <c r="E1395" s="2"/>
      <c r="F1395" s="2"/>
      <c r="G1395" s="2"/>
      <c r="H1395" s="2"/>
      <c r="I1395" s="2"/>
      <c r="J1395" s="2"/>
      <c r="K1395" s="2"/>
      <c r="L1395" s="2"/>
      <c r="M1395" s="2"/>
      <c r="N1395" s="2"/>
      <c r="O1395" s="2"/>
      <c r="P1395" s="2"/>
      <c r="Q1395" s="2"/>
      <c r="R1395" s="2"/>
      <c r="S1395" s="2"/>
      <c r="T1395" s="2"/>
    </row>
    <row r="1396">
      <c r="A1396" s="1"/>
      <c r="B1396" s="2"/>
      <c r="C1396" s="2"/>
      <c r="D1396" s="2"/>
      <c r="E1396" s="2"/>
      <c r="F1396" s="2"/>
      <c r="G1396" s="2"/>
      <c r="H1396" s="2"/>
      <c r="I1396" s="2"/>
      <c r="J1396" s="2"/>
      <c r="K1396" s="2"/>
      <c r="L1396" s="2"/>
      <c r="M1396" s="2"/>
      <c r="N1396" s="2"/>
      <c r="O1396" s="2"/>
      <c r="P1396" s="2"/>
      <c r="Q1396" s="2"/>
      <c r="R1396" s="2"/>
      <c r="S1396" s="2"/>
      <c r="T1396" s="2"/>
    </row>
    <row r="1397">
      <c r="A1397" s="1"/>
      <c r="B1397" s="2"/>
      <c r="C1397" s="2"/>
      <c r="D1397" s="2"/>
      <c r="E1397" s="2"/>
      <c r="F1397" s="2"/>
      <c r="G1397" s="2"/>
      <c r="H1397" s="2"/>
      <c r="I1397" s="2"/>
      <c r="J1397" s="2"/>
      <c r="K1397" s="2"/>
      <c r="L1397" s="2"/>
      <c r="M1397" s="2"/>
      <c r="N1397" s="2"/>
      <c r="O1397" s="2"/>
      <c r="P1397" s="2"/>
      <c r="Q1397" s="2"/>
      <c r="R1397" s="2"/>
      <c r="S1397" s="2"/>
      <c r="T1397" s="2"/>
    </row>
    <row r="1398">
      <c r="A1398" s="1"/>
      <c r="B1398" s="2"/>
      <c r="C1398" s="2"/>
      <c r="D1398" s="2"/>
      <c r="E1398" s="2"/>
      <c r="F1398" s="2"/>
      <c r="G1398" s="2"/>
      <c r="H1398" s="2"/>
      <c r="I1398" s="2"/>
      <c r="J1398" s="2"/>
      <c r="K1398" s="2"/>
      <c r="L1398" s="2"/>
      <c r="M1398" s="2"/>
      <c r="N1398" s="2"/>
      <c r="O1398" s="2"/>
      <c r="P1398" s="2"/>
      <c r="Q1398" s="2"/>
      <c r="R1398" s="2"/>
      <c r="S1398" s="2"/>
      <c r="T1398" s="2"/>
    </row>
    <row r="1399">
      <c r="A1399" s="1"/>
      <c r="B1399" s="2"/>
      <c r="C1399" s="2"/>
      <c r="D1399" s="2"/>
      <c r="E1399" s="2"/>
      <c r="F1399" s="2"/>
      <c r="G1399" s="2"/>
      <c r="H1399" s="2"/>
      <c r="I1399" s="2"/>
      <c r="J1399" s="2"/>
      <c r="K1399" s="2"/>
      <c r="L1399" s="2"/>
      <c r="M1399" s="2"/>
      <c r="N1399" s="2"/>
      <c r="O1399" s="2"/>
      <c r="P1399" s="2"/>
      <c r="Q1399" s="2"/>
      <c r="R1399" s="2"/>
      <c r="S1399" s="2"/>
      <c r="T1399" s="2"/>
    </row>
    <row r="1400">
      <c r="A1400" s="1"/>
      <c r="B1400" s="2"/>
      <c r="C1400" s="2"/>
      <c r="D1400" s="2"/>
      <c r="E1400" s="2"/>
      <c r="F1400" s="2"/>
      <c r="G1400" s="2"/>
      <c r="H1400" s="2"/>
      <c r="I1400" s="2"/>
      <c r="J1400" s="2"/>
      <c r="K1400" s="2"/>
      <c r="L1400" s="2"/>
      <c r="M1400" s="2"/>
      <c r="N1400" s="2"/>
      <c r="O1400" s="2"/>
      <c r="P1400" s="2"/>
      <c r="Q1400" s="2"/>
      <c r="R1400" s="2"/>
      <c r="S1400" s="2"/>
      <c r="T1400" s="2"/>
    </row>
    <row r="1401">
      <c r="A1401" s="1"/>
      <c r="B1401" s="2"/>
      <c r="C1401" s="2"/>
      <c r="D1401" s="2"/>
      <c r="E1401" s="2"/>
      <c r="F1401" s="2"/>
      <c r="G1401" s="2"/>
      <c r="H1401" s="2"/>
      <c r="I1401" s="2"/>
      <c r="J1401" s="2"/>
      <c r="K1401" s="2"/>
      <c r="L1401" s="2"/>
      <c r="M1401" s="2"/>
      <c r="N1401" s="2"/>
      <c r="O1401" s="2"/>
      <c r="P1401" s="2"/>
      <c r="Q1401" s="2"/>
      <c r="R1401" s="2"/>
      <c r="S1401" s="2"/>
      <c r="T1401" s="2"/>
    </row>
    <row r="1402">
      <c r="A1402" s="1"/>
      <c r="B1402" s="2"/>
      <c r="C1402" s="2"/>
      <c r="D1402" s="2"/>
      <c r="E1402" s="2"/>
      <c r="F1402" s="2"/>
      <c r="G1402" s="2"/>
      <c r="H1402" s="2"/>
      <c r="I1402" s="2"/>
      <c r="J1402" s="2"/>
      <c r="K1402" s="2"/>
      <c r="L1402" s="2"/>
      <c r="M1402" s="2"/>
      <c r="N1402" s="2"/>
      <c r="O1402" s="2"/>
      <c r="P1402" s="2"/>
      <c r="Q1402" s="2"/>
      <c r="R1402" s="2"/>
      <c r="S1402" s="2"/>
      <c r="T1402" s="2"/>
    </row>
    <row r="1403">
      <c r="A1403" s="1"/>
      <c r="B1403" s="2"/>
      <c r="C1403" s="2"/>
      <c r="D1403" s="2"/>
      <c r="E1403" s="2"/>
      <c r="F1403" s="2"/>
      <c r="G1403" s="2"/>
      <c r="H1403" s="2"/>
      <c r="I1403" s="2"/>
      <c r="J1403" s="2"/>
      <c r="K1403" s="2"/>
      <c r="L1403" s="2"/>
      <c r="M1403" s="2"/>
      <c r="N1403" s="2"/>
      <c r="O1403" s="2"/>
      <c r="P1403" s="2"/>
      <c r="Q1403" s="2"/>
      <c r="R1403" s="2"/>
      <c r="S1403" s="2"/>
      <c r="T1403" s="2"/>
    </row>
    <row r="1404">
      <c r="A1404" s="1"/>
      <c r="B1404" s="2"/>
      <c r="C1404" s="2"/>
      <c r="D1404" s="2"/>
      <c r="E1404" s="2"/>
      <c r="F1404" s="2"/>
      <c r="G1404" s="2"/>
      <c r="H1404" s="2"/>
      <c r="I1404" s="2"/>
      <c r="J1404" s="2"/>
      <c r="K1404" s="2"/>
      <c r="L1404" s="2"/>
      <c r="M1404" s="2"/>
      <c r="N1404" s="2"/>
      <c r="O1404" s="2"/>
      <c r="P1404" s="2"/>
      <c r="Q1404" s="2"/>
      <c r="R1404" s="2"/>
      <c r="S1404" s="2"/>
      <c r="T1404" s="2"/>
    </row>
    <row r="1405">
      <c r="A1405" s="1"/>
      <c r="B1405" s="2"/>
      <c r="C1405" s="2"/>
      <c r="D1405" s="2"/>
      <c r="E1405" s="2"/>
      <c r="F1405" s="2"/>
      <c r="G1405" s="2"/>
      <c r="H1405" s="2"/>
      <c r="I1405" s="2"/>
      <c r="J1405" s="2"/>
      <c r="K1405" s="2"/>
      <c r="L1405" s="2"/>
      <c r="M1405" s="2"/>
      <c r="N1405" s="2"/>
      <c r="O1405" s="2"/>
      <c r="P1405" s="2"/>
      <c r="Q1405" s="2"/>
      <c r="R1405" s="2"/>
      <c r="S1405" s="2"/>
      <c r="T1405" s="2"/>
    </row>
    <row r="1406">
      <c r="A1406" s="1"/>
      <c r="B1406" s="2"/>
      <c r="C1406" s="2"/>
      <c r="D1406" s="2"/>
      <c r="E1406" s="2"/>
      <c r="F1406" s="2"/>
      <c r="G1406" s="2"/>
      <c r="H1406" s="2"/>
      <c r="I1406" s="2"/>
      <c r="J1406" s="2"/>
      <c r="K1406" s="2"/>
      <c r="L1406" s="2"/>
      <c r="M1406" s="2"/>
      <c r="N1406" s="2"/>
      <c r="O1406" s="2"/>
      <c r="P1406" s="2"/>
      <c r="Q1406" s="2"/>
      <c r="R1406" s="2"/>
      <c r="S1406" s="2"/>
      <c r="T1406" s="2"/>
    </row>
    <row r="1407">
      <c r="A1407" s="1"/>
      <c r="B1407" s="2"/>
      <c r="C1407" s="2"/>
      <c r="D1407" s="2"/>
      <c r="E1407" s="2"/>
      <c r="F1407" s="2"/>
      <c r="G1407" s="2"/>
      <c r="H1407" s="2"/>
      <c r="I1407" s="2"/>
      <c r="J1407" s="2"/>
      <c r="K1407" s="2"/>
      <c r="L1407" s="2"/>
      <c r="M1407" s="2"/>
      <c r="N1407" s="2"/>
      <c r="O1407" s="2"/>
      <c r="P1407" s="2"/>
      <c r="Q1407" s="2"/>
      <c r="R1407" s="2"/>
      <c r="S1407" s="2"/>
      <c r="T1407" s="2"/>
    </row>
    <row r="1408">
      <c r="A1408" s="1"/>
      <c r="B1408" s="2"/>
      <c r="C1408" s="2"/>
      <c r="D1408" s="2"/>
      <c r="E1408" s="2"/>
      <c r="F1408" s="2"/>
      <c r="G1408" s="2"/>
      <c r="H1408" s="2"/>
      <c r="I1408" s="2"/>
      <c r="J1408" s="2"/>
      <c r="K1408" s="2"/>
      <c r="L1408" s="2"/>
      <c r="M1408" s="2"/>
      <c r="N1408" s="2"/>
      <c r="O1408" s="2"/>
      <c r="P1408" s="2"/>
      <c r="Q1408" s="2"/>
      <c r="R1408" s="2"/>
      <c r="S1408" s="2"/>
      <c r="T1408" s="2"/>
    </row>
    <row r="1409">
      <c r="A1409" s="1"/>
      <c r="B1409" s="2"/>
      <c r="C1409" s="2"/>
      <c r="D1409" s="2"/>
      <c r="E1409" s="2"/>
      <c r="F1409" s="2"/>
      <c r="G1409" s="2"/>
      <c r="H1409" s="2"/>
      <c r="I1409" s="2"/>
      <c r="J1409" s="2"/>
      <c r="K1409" s="2"/>
      <c r="L1409" s="2"/>
      <c r="M1409" s="2"/>
      <c r="N1409" s="2"/>
      <c r="O1409" s="2"/>
      <c r="P1409" s="2"/>
      <c r="Q1409" s="2"/>
      <c r="R1409" s="2"/>
      <c r="S1409" s="2"/>
      <c r="T1409" s="2"/>
    </row>
    <row r="1410">
      <c r="A1410" s="1"/>
      <c r="B1410" s="2"/>
      <c r="C1410" s="2"/>
      <c r="D1410" s="2"/>
      <c r="E1410" s="2"/>
      <c r="F1410" s="2"/>
      <c r="G1410" s="2"/>
      <c r="H1410" s="2"/>
      <c r="I1410" s="2"/>
      <c r="J1410" s="2"/>
      <c r="K1410" s="2"/>
      <c r="L1410" s="2"/>
      <c r="M1410" s="2"/>
      <c r="N1410" s="2"/>
      <c r="O1410" s="2"/>
      <c r="P1410" s="2"/>
      <c r="Q1410" s="2"/>
      <c r="R1410" s="2"/>
      <c r="S1410" s="2"/>
      <c r="T1410" s="2"/>
    </row>
    <row r="1411">
      <c r="A1411" s="1"/>
      <c r="B1411" s="2"/>
      <c r="C1411" s="2"/>
      <c r="D1411" s="2"/>
      <c r="E1411" s="2"/>
      <c r="F1411" s="2"/>
      <c r="G1411" s="2"/>
      <c r="H1411" s="2"/>
      <c r="I1411" s="2"/>
      <c r="J1411" s="2"/>
      <c r="K1411" s="2"/>
      <c r="L1411" s="2"/>
      <c r="M1411" s="2"/>
      <c r="N1411" s="2"/>
      <c r="O1411" s="2"/>
      <c r="P1411" s="2"/>
      <c r="Q1411" s="2"/>
      <c r="R1411" s="2"/>
      <c r="S1411" s="2"/>
      <c r="T1411" s="2"/>
    </row>
    <row r="1412">
      <c r="A1412" s="1"/>
      <c r="B1412" s="2"/>
      <c r="C1412" s="2"/>
      <c r="D1412" s="2"/>
      <c r="E1412" s="2"/>
      <c r="F1412" s="2"/>
      <c r="G1412" s="2"/>
      <c r="H1412" s="2"/>
      <c r="I1412" s="2"/>
      <c r="J1412" s="2"/>
      <c r="K1412" s="2"/>
      <c r="L1412" s="2"/>
      <c r="M1412" s="2"/>
      <c r="N1412" s="2"/>
      <c r="O1412" s="2"/>
      <c r="P1412" s="2"/>
      <c r="Q1412" s="2"/>
      <c r="R1412" s="2"/>
      <c r="S1412" s="2"/>
      <c r="T1412" s="2"/>
    </row>
    <row r="1413">
      <c r="A1413" s="1"/>
      <c r="B1413" s="2"/>
      <c r="C1413" s="2"/>
      <c r="D1413" s="2"/>
      <c r="E1413" s="2"/>
      <c r="F1413" s="2"/>
      <c r="G1413" s="2"/>
      <c r="H1413" s="2"/>
      <c r="I1413" s="2"/>
      <c r="J1413" s="2"/>
      <c r="K1413" s="2"/>
      <c r="L1413" s="2"/>
      <c r="M1413" s="2"/>
      <c r="N1413" s="2"/>
      <c r="O1413" s="2"/>
      <c r="P1413" s="2"/>
      <c r="Q1413" s="2"/>
      <c r="R1413" s="2"/>
      <c r="S1413" s="2"/>
      <c r="T1413" s="2"/>
    </row>
    <row r="1414">
      <c r="A1414" s="1"/>
      <c r="B1414" s="2"/>
      <c r="C1414" s="2"/>
      <c r="D1414" s="2"/>
      <c r="E1414" s="2"/>
      <c r="F1414" s="2"/>
      <c r="G1414" s="2"/>
      <c r="H1414" s="2"/>
      <c r="I1414" s="2"/>
      <c r="J1414" s="2"/>
      <c r="K1414" s="2"/>
      <c r="L1414" s="2"/>
      <c r="M1414" s="2"/>
      <c r="N1414" s="2"/>
      <c r="O1414" s="2"/>
      <c r="P1414" s="2"/>
      <c r="Q1414" s="2"/>
      <c r="R1414" s="2"/>
      <c r="S1414" s="2"/>
      <c r="T1414" s="2"/>
    </row>
    <row r="1415">
      <c r="A1415" s="1"/>
      <c r="B1415" s="2"/>
      <c r="C1415" s="2"/>
      <c r="D1415" s="2"/>
      <c r="E1415" s="2"/>
      <c r="F1415" s="2"/>
      <c r="G1415" s="2"/>
      <c r="H1415" s="2"/>
      <c r="I1415" s="2"/>
      <c r="J1415" s="2"/>
      <c r="K1415" s="2"/>
      <c r="L1415" s="2"/>
      <c r="M1415" s="2"/>
      <c r="N1415" s="2"/>
      <c r="O1415" s="2"/>
      <c r="P1415" s="2"/>
      <c r="Q1415" s="2"/>
      <c r="R1415" s="2"/>
      <c r="S1415" s="2"/>
      <c r="T1415" s="2"/>
    </row>
    <row r="1416">
      <c r="A1416" s="1"/>
      <c r="B1416" s="2"/>
      <c r="C1416" s="2"/>
      <c r="D1416" s="2"/>
      <c r="E1416" s="2"/>
      <c r="F1416" s="2"/>
      <c r="G1416" s="2"/>
      <c r="H1416" s="2"/>
      <c r="I1416" s="2"/>
      <c r="J1416" s="2"/>
      <c r="K1416" s="2"/>
      <c r="L1416" s="2"/>
      <c r="M1416" s="2"/>
      <c r="N1416" s="2"/>
      <c r="O1416" s="2"/>
      <c r="P1416" s="2"/>
      <c r="Q1416" s="2"/>
      <c r="R1416" s="2"/>
      <c r="S1416" s="2"/>
      <c r="T1416" s="2"/>
    </row>
    <row r="1417">
      <c r="A1417" s="1"/>
      <c r="B1417" s="2"/>
      <c r="C1417" s="2"/>
      <c r="D1417" s="2"/>
      <c r="E1417" s="2"/>
      <c r="F1417" s="2"/>
      <c r="G1417" s="2"/>
      <c r="H1417" s="2"/>
      <c r="I1417" s="2"/>
      <c r="J1417" s="2"/>
      <c r="K1417" s="2"/>
      <c r="L1417" s="2"/>
      <c r="M1417" s="2"/>
      <c r="N1417" s="2"/>
      <c r="O1417" s="2"/>
      <c r="P1417" s="2"/>
      <c r="Q1417" s="2"/>
      <c r="R1417" s="2"/>
      <c r="S1417" s="2"/>
      <c r="T1417" s="2"/>
    </row>
    <row r="1418">
      <c r="A1418" s="1"/>
      <c r="B1418" s="2"/>
      <c r="C1418" s="2"/>
      <c r="D1418" s="2"/>
      <c r="E1418" s="2"/>
      <c r="F1418" s="2"/>
      <c r="G1418" s="2"/>
      <c r="H1418" s="2"/>
      <c r="I1418" s="2"/>
      <c r="J1418" s="2"/>
      <c r="K1418" s="2"/>
      <c r="L1418" s="2"/>
      <c r="M1418" s="2"/>
      <c r="N1418" s="2"/>
      <c r="O1418" s="2"/>
      <c r="P1418" s="2"/>
      <c r="Q1418" s="2"/>
      <c r="R1418" s="2"/>
      <c r="S1418" s="2"/>
      <c r="T1418" s="2"/>
    </row>
    <row r="1419">
      <c r="A1419" s="1"/>
      <c r="B1419" s="2"/>
      <c r="C1419" s="2"/>
      <c r="D1419" s="2"/>
      <c r="E1419" s="2"/>
      <c r="F1419" s="2"/>
      <c r="G1419" s="2"/>
      <c r="H1419" s="2"/>
      <c r="I1419" s="2"/>
      <c r="J1419" s="2"/>
      <c r="K1419" s="2"/>
      <c r="L1419" s="2"/>
      <c r="M1419" s="2"/>
      <c r="N1419" s="2"/>
      <c r="O1419" s="2"/>
      <c r="P1419" s="2"/>
      <c r="Q1419" s="2"/>
      <c r="R1419" s="2"/>
      <c r="S1419" s="2"/>
      <c r="T1419" s="2"/>
    </row>
    <row r="1420">
      <c r="A1420" s="1"/>
      <c r="B1420" s="2"/>
      <c r="C1420" s="2"/>
      <c r="D1420" s="2"/>
      <c r="E1420" s="2"/>
      <c r="F1420" s="2"/>
      <c r="G1420" s="2"/>
      <c r="H1420" s="2"/>
      <c r="I1420" s="2"/>
      <c r="J1420" s="2"/>
      <c r="K1420" s="2"/>
      <c r="L1420" s="2"/>
      <c r="M1420" s="2"/>
      <c r="N1420" s="2"/>
      <c r="O1420" s="2"/>
      <c r="P1420" s="2"/>
      <c r="Q1420" s="2"/>
      <c r="R1420" s="2"/>
      <c r="S1420" s="2"/>
      <c r="T1420" s="2"/>
    </row>
    <row r="1421">
      <c r="A1421" s="1"/>
      <c r="B1421" s="2"/>
      <c r="C1421" s="2"/>
      <c r="D1421" s="2"/>
      <c r="E1421" s="2"/>
      <c r="F1421" s="2"/>
      <c r="G1421" s="2"/>
      <c r="H1421" s="2"/>
      <c r="I1421" s="2"/>
      <c r="J1421" s="2"/>
      <c r="K1421" s="2"/>
      <c r="L1421" s="2"/>
      <c r="M1421" s="2"/>
      <c r="N1421" s="2"/>
      <c r="O1421" s="2"/>
      <c r="P1421" s="2"/>
      <c r="Q1421" s="2"/>
      <c r="R1421" s="2"/>
      <c r="S1421" s="2"/>
      <c r="T1421" s="2"/>
    </row>
    <row r="1422">
      <c r="A1422" s="1"/>
      <c r="B1422" s="2"/>
      <c r="C1422" s="2"/>
      <c r="D1422" s="2"/>
      <c r="E1422" s="2"/>
      <c r="F1422" s="2"/>
      <c r="G1422" s="2"/>
      <c r="H1422" s="2"/>
      <c r="I1422" s="2"/>
      <c r="J1422" s="2"/>
      <c r="K1422" s="2"/>
      <c r="L1422" s="2"/>
      <c r="M1422" s="2"/>
      <c r="N1422" s="2"/>
      <c r="O1422" s="2"/>
      <c r="P1422" s="2"/>
      <c r="Q1422" s="2"/>
      <c r="R1422" s="2"/>
      <c r="S1422" s="2"/>
      <c r="T1422" s="2"/>
    </row>
    <row r="1423">
      <c r="A1423" s="1"/>
      <c r="B1423" s="2"/>
      <c r="C1423" s="2"/>
      <c r="D1423" s="2"/>
      <c r="E1423" s="2"/>
      <c r="F1423" s="2"/>
      <c r="G1423" s="2"/>
      <c r="H1423" s="2"/>
      <c r="I1423" s="2"/>
      <c r="J1423" s="2"/>
      <c r="K1423" s="2"/>
      <c r="L1423" s="2"/>
      <c r="M1423" s="2"/>
      <c r="N1423" s="2"/>
      <c r="O1423" s="2"/>
      <c r="P1423" s="2"/>
      <c r="Q1423" s="2"/>
      <c r="R1423" s="2"/>
      <c r="S1423" s="2"/>
      <c r="T1423" s="2"/>
    </row>
    <row r="1424">
      <c r="A1424" s="1"/>
      <c r="B1424" s="2"/>
      <c r="C1424" s="2"/>
      <c r="D1424" s="2"/>
      <c r="E1424" s="2"/>
      <c r="F1424" s="2"/>
      <c r="G1424" s="2"/>
      <c r="H1424" s="2"/>
      <c r="I1424" s="2"/>
      <c r="J1424" s="2"/>
      <c r="K1424" s="2"/>
      <c r="L1424" s="2"/>
      <c r="M1424" s="2"/>
      <c r="N1424" s="2"/>
      <c r="O1424" s="2"/>
      <c r="P1424" s="2"/>
      <c r="Q1424" s="2"/>
      <c r="R1424" s="2"/>
      <c r="S1424" s="2"/>
      <c r="T1424" s="2"/>
    </row>
    <row r="1425">
      <c r="A1425" s="1"/>
      <c r="B1425" s="2"/>
      <c r="C1425" s="2"/>
      <c r="D1425" s="2"/>
      <c r="E1425" s="2"/>
      <c r="F1425" s="2"/>
      <c r="G1425" s="2"/>
      <c r="H1425" s="2"/>
      <c r="I1425" s="2"/>
      <c r="J1425" s="2"/>
      <c r="K1425" s="2"/>
      <c r="L1425" s="2"/>
      <c r="M1425" s="2"/>
      <c r="N1425" s="2"/>
      <c r="O1425" s="2"/>
      <c r="P1425" s="2"/>
      <c r="Q1425" s="2"/>
      <c r="R1425" s="2"/>
      <c r="S1425" s="2"/>
      <c r="T1425" s="2"/>
    </row>
    <row r="1426">
      <c r="A1426" s="1"/>
      <c r="B1426" s="2"/>
      <c r="C1426" s="2"/>
      <c r="D1426" s="2"/>
      <c r="E1426" s="2"/>
      <c r="F1426" s="2"/>
      <c r="G1426" s="2"/>
      <c r="H1426" s="2"/>
      <c r="I1426" s="2"/>
      <c r="J1426" s="2"/>
      <c r="K1426" s="2"/>
      <c r="L1426" s="2"/>
      <c r="M1426" s="2"/>
      <c r="N1426" s="2"/>
      <c r="O1426" s="2"/>
      <c r="P1426" s="2"/>
      <c r="Q1426" s="2"/>
      <c r="R1426" s="2"/>
      <c r="S1426" s="2"/>
      <c r="T1426" s="2"/>
    </row>
    <row r="1427">
      <c r="A1427" s="1"/>
      <c r="B1427" s="2"/>
      <c r="C1427" s="2"/>
      <c r="D1427" s="2"/>
      <c r="E1427" s="2"/>
      <c r="F1427" s="2"/>
      <c r="G1427" s="2"/>
      <c r="H1427" s="2"/>
      <c r="I1427" s="2"/>
      <c r="J1427" s="2"/>
      <c r="K1427" s="2"/>
      <c r="L1427" s="2"/>
      <c r="M1427" s="2"/>
      <c r="N1427" s="2"/>
      <c r="O1427" s="2"/>
      <c r="P1427" s="2"/>
      <c r="Q1427" s="2"/>
      <c r="R1427" s="2"/>
      <c r="S1427" s="2"/>
      <c r="T1427" s="2"/>
    </row>
    <row r="1428">
      <c r="A1428" s="1"/>
      <c r="B1428" s="2"/>
      <c r="C1428" s="2"/>
      <c r="D1428" s="2"/>
      <c r="E1428" s="2"/>
      <c r="F1428" s="2"/>
      <c r="G1428" s="2"/>
      <c r="H1428" s="2"/>
      <c r="I1428" s="2"/>
      <c r="J1428" s="2"/>
      <c r="K1428" s="2"/>
      <c r="L1428" s="2"/>
      <c r="M1428" s="2"/>
      <c r="N1428" s="2"/>
      <c r="O1428" s="2"/>
      <c r="P1428" s="2"/>
      <c r="Q1428" s="2"/>
      <c r="R1428" s="2"/>
      <c r="S1428" s="2"/>
      <c r="T1428" s="2"/>
    </row>
    <row r="1429">
      <c r="A1429" s="1"/>
      <c r="B1429" s="2"/>
      <c r="C1429" s="2"/>
      <c r="D1429" s="2"/>
      <c r="E1429" s="2"/>
      <c r="F1429" s="2"/>
      <c r="G1429" s="2"/>
      <c r="H1429" s="2"/>
      <c r="I1429" s="2"/>
      <c r="J1429" s="2"/>
      <c r="K1429" s="2"/>
      <c r="L1429" s="2"/>
      <c r="M1429" s="2"/>
      <c r="N1429" s="2"/>
      <c r="O1429" s="2"/>
      <c r="P1429" s="2"/>
      <c r="Q1429" s="2"/>
      <c r="R1429" s="2"/>
      <c r="S1429" s="2"/>
      <c r="T1429" s="2"/>
    </row>
    <row r="1430">
      <c r="A1430" s="1"/>
      <c r="B1430" s="2"/>
      <c r="C1430" s="2"/>
      <c r="D1430" s="2"/>
      <c r="E1430" s="2"/>
      <c r="F1430" s="2"/>
      <c r="G1430" s="2"/>
      <c r="H1430" s="2"/>
      <c r="I1430" s="2"/>
      <c r="J1430" s="2"/>
      <c r="K1430" s="2"/>
      <c r="L1430" s="2"/>
      <c r="M1430" s="2"/>
      <c r="N1430" s="2"/>
      <c r="O1430" s="2"/>
      <c r="P1430" s="2"/>
      <c r="Q1430" s="2"/>
      <c r="R1430" s="2"/>
      <c r="S1430" s="2"/>
      <c r="T1430" s="2"/>
    </row>
    <row r="1431">
      <c r="A1431" s="1"/>
      <c r="B1431" s="2"/>
      <c r="C1431" s="2"/>
      <c r="D1431" s="2"/>
      <c r="E1431" s="2"/>
      <c r="F1431" s="2"/>
      <c r="G1431" s="2"/>
      <c r="H1431" s="2"/>
      <c r="I1431" s="2"/>
      <c r="J1431" s="2"/>
      <c r="K1431" s="2"/>
      <c r="L1431" s="2"/>
      <c r="M1431" s="2"/>
      <c r="N1431" s="2"/>
      <c r="O1431" s="2"/>
      <c r="P1431" s="2"/>
      <c r="Q1431" s="2"/>
      <c r="R1431" s="2"/>
      <c r="S1431" s="2"/>
      <c r="T1431" s="2"/>
    </row>
    <row r="1432">
      <c r="A1432" s="1"/>
      <c r="B1432" s="2"/>
      <c r="C1432" s="2"/>
      <c r="D1432" s="2"/>
      <c r="E1432" s="2"/>
      <c r="F1432" s="2"/>
      <c r="G1432" s="2"/>
      <c r="H1432" s="2"/>
      <c r="I1432" s="2"/>
      <c r="J1432" s="2"/>
      <c r="K1432" s="2"/>
      <c r="L1432" s="2"/>
      <c r="M1432" s="2"/>
      <c r="N1432" s="2"/>
      <c r="O1432" s="2"/>
      <c r="P1432" s="2"/>
      <c r="Q1432" s="2"/>
      <c r="R1432" s="2"/>
      <c r="S1432" s="2"/>
      <c r="T1432" s="2"/>
    </row>
    <row r="1433">
      <c r="A1433" s="1"/>
      <c r="B1433" s="2"/>
      <c r="C1433" s="2"/>
      <c r="D1433" s="2"/>
      <c r="E1433" s="2"/>
      <c r="F1433" s="2"/>
      <c r="G1433" s="2"/>
      <c r="H1433" s="2"/>
      <c r="I1433" s="2"/>
      <c r="J1433" s="2"/>
      <c r="K1433" s="2"/>
      <c r="L1433" s="2"/>
      <c r="M1433" s="2"/>
      <c r="N1433" s="2"/>
      <c r="O1433" s="2"/>
      <c r="P1433" s="2"/>
      <c r="Q1433" s="2"/>
      <c r="R1433" s="2"/>
      <c r="S1433" s="2"/>
      <c r="T1433" s="2"/>
    </row>
    <row r="1434">
      <c r="A1434" s="1"/>
      <c r="B1434" s="2"/>
      <c r="C1434" s="2"/>
      <c r="D1434" s="2"/>
      <c r="E1434" s="2"/>
      <c r="F1434" s="2"/>
      <c r="G1434" s="2"/>
      <c r="H1434" s="2"/>
      <c r="I1434" s="2"/>
      <c r="J1434" s="2"/>
      <c r="K1434" s="2"/>
      <c r="L1434" s="2"/>
      <c r="M1434" s="2"/>
      <c r="N1434" s="2"/>
      <c r="O1434" s="2"/>
      <c r="P1434" s="2"/>
      <c r="Q1434" s="2"/>
      <c r="R1434" s="2"/>
      <c r="S1434" s="2"/>
      <c r="T1434" s="2"/>
    </row>
    <row r="1435">
      <c r="A1435" s="1"/>
      <c r="B1435" s="2"/>
      <c r="C1435" s="2"/>
      <c r="D1435" s="2"/>
      <c r="E1435" s="2"/>
      <c r="F1435" s="2"/>
      <c r="G1435" s="2"/>
      <c r="H1435" s="2"/>
      <c r="I1435" s="2"/>
      <c r="J1435" s="2"/>
      <c r="K1435" s="2"/>
      <c r="L1435" s="2"/>
      <c r="M1435" s="2"/>
      <c r="N1435" s="2"/>
      <c r="O1435" s="2"/>
      <c r="P1435" s="2"/>
      <c r="Q1435" s="2"/>
      <c r="R1435" s="2"/>
      <c r="S1435" s="2"/>
      <c r="T1435" s="2"/>
    </row>
    <row r="1436">
      <c r="A1436" s="1"/>
      <c r="B1436" s="2"/>
      <c r="C1436" s="2"/>
      <c r="D1436" s="2"/>
      <c r="E1436" s="2"/>
      <c r="F1436" s="2"/>
      <c r="G1436" s="2"/>
      <c r="H1436" s="2"/>
      <c r="I1436" s="2"/>
      <c r="J1436" s="2"/>
      <c r="K1436" s="2"/>
      <c r="L1436" s="2"/>
      <c r="M1436" s="2"/>
      <c r="N1436" s="2"/>
      <c r="O1436" s="2"/>
      <c r="P1436" s="2"/>
      <c r="Q1436" s="2"/>
      <c r="R1436" s="2"/>
      <c r="S1436" s="2"/>
      <c r="T1436" s="2"/>
    </row>
    <row r="1437">
      <c r="A1437" s="1"/>
      <c r="B1437" s="2"/>
      <c r="C1437" s="2"/>
      <c r="D1437" s="2"/>
      <c r="E1437" s="2"/>
      <c r="F1437" s="2"/>
      <c r="G1437" s="2"/>
      <c r="H1437" s="2"/>
      <c r="I1437" s="2"/>
      <c r="J1437" s="2"/>
      <c r="K1437" s="2"/>
      <c r="L1437" s="2"/>
      <c r="M1437" s="2"/>
      <c r="N1437" s="2"/>
      <c r="O1437" s="2"/>
      <c r="P1437" s="2"/>
      <c r="Q1437" s="2"/>
      <c r="R1437" s="2"/>
      <c r="S1437" s="2"/>
      <c r="T1437" s="2"/>
    </row>
    <row r="1438">
      <c r="A1438" s="1"/>
      <c r="B1438" s="2"/>
      <c r="C1438" s="2"/>
      <c r="D1438" s="2"/>
      <c r="E1438" s="2"/>
      <c r="F1438" s="2"/>
      <c r="G1438" s="2"/>
      <c r="H1438" s="2"/>
      <c r="I1438" s="2"/>
      <c r="J1438" s="2"/>
      <c r="K1438" s="2"/>
      <c r="L1438" s="2"/>
      <c r="M1438" s="2"/>
      <c r="N1438" s="2"/>
      <c r="O1438" s="2"/>
      <c r="P1438" s="2"/>
      <c r="Q1438" s="2"/>
      <c r="R1438" s="2"/>
      <c r="S1438" s="2"/>
      <c r="T1438" s="2"/>
    </row>
    <row r="1439">
      <c r="A1439" s="1"/>
      <c r="B1439" s="2"/>
      <c r="C1439" s="2"/>
      <c r="D1439" s="2"/>
      <c r="E1439" s="2"/>
      <c r="F1439" s="2"/>
      <c r="G1439" s="2"/>
      <c r="H1439" s="2"/>
      <c r="I1439" s="2"/>
      <c r="J1439" s="2"/>
      <c r="K1439" s="2"/>
      <c r="L1439" s="2"/>
      <c r="M1439" s="2"/>
      <c r="N1439" s="2"/>
      <c r="O1439" s="2"/>
      <c r="P1439" s="2"/>
      <c r="Q1439" s="2"/>
      <c r="R1439" s="2"/>
      <c r="S1439" s="2"/>
      <c r="T1439" s="2"/>
    </row>
    <row r="1440">
      <c r="A1440" s="1"/>
      <c r="B1440" s="2"/>
      <c r="C1440" s="2"/>
      <c r="D1440" s="2"/>
      <c r="E1440" s="2"/>
      <c r="F1440" s="2"/>
      <c r="G1440" s="2"/>
      <c r="H1440" s="2"/>
      <c r="I1440" s="2"/>
      <c r="J1440" s="2"/>
      <c r="K1440" s="2"/>
      <c r="L1440" s="2"/>
      <c r="M1440" s="2"/>
      <c r="N1440" s="2"/>
      <c r="O1440" s="2"/>
      <c r="P1440" s="2"/>
      <c r="Q1440" s="2"/>
      <c r="R1440" s="2"/>
      <c r="S1440" s="2"/>
      <c r="T1440" s="2"/>
    </row>
    <row r="1441">
      <c r="A1441" s="1"/>
      <c r="B1441" s="2"/>
      <c r="C1441" s="2"/>
      <c r="D1441" s="2"/>
      <c r="E1441" s="2"/>
      <c r="F1441" s="2"/>
      <c r="G1441" s="2"/>
      <c r="H1441" s="2"/>
      <c r="I1441" s="2"/>
      <c r="J1441" s="2"/>
      <c r="K1441" s="2"/>
      <c r="L1441" s="2"/>
      <c r="M1441" s="2"/>
      <c r="N1441" s="2"/>
      <c r="O1441" s="2"/>
      <c r="P1441" s="2"/>
      <c r="Q1441" s="2"/>
      <c r="R1441" s="2"/>
      <c r="S1441" s="2"/>
      <c r="T1441" s="2"/>
    </row>
    <row r="1442">
      <c r="A1442" s="1"/>
      <c r="B1442" s="2"/>
      <c r="C1442" s="2"/>
      <c r="D1442" s="2"/>
      <c r="E1442" s="2"/>
      <c r="F1442" s="2"/>
      <c r="G1442" s="2"/>
      <c r="H1442" s="2"/>
      <c r="I1442" s="2"/>
      <c r="J1442" s="2"/>
      <c r="K1442" s="2"/>
      <c r="L1442" s="2"/>
      <c r="M1442" s="2"/>
      <c r="N1442" s="2"/>
      <c r="O1442" s="2"/>
      <c r="P1442" s="2"/>
      <c r="Q1442" s="2"/>
      <c r="R1442" s="2"/>
      <c r="S1442" s="2"/>
      <c r="T1442" s="2"/>
    </row>
    <row r="1443">
      <c r="A1443" s="1"/>
      <c r="B1443" s="2"/>
      <c r="C1443" s="2"/>
      <c r="D1443" s="2"/>
      <c r="E1443" s="2"/>
      <c r="F1443" s="2"/>
      <c r="G1443" s="2"/>
      <c r="H1443" s="2"/>
      <c r="I1443" s="2"/>
      <c r="J1443" s="2"/>
      <c r="K1443" s="2"/>
      <c r="L1443" s="2"/>
      <c r="M1443" s="2"/>
      <c r="N1443" s="2"/>
      <c r="O1443" s="2"/>
      <c r="P1443" s="2"/>
      <c r="Q1443" s="2"/>
      <c r="R1443" s="2"/>
      <c r="S1443" s="2"/>
      <c r="T1443" s="2"/>
    </row>
    <row r="1444">
      <c r="A1444" s="1"/>
      <c r="B1444" s="2"/>
      <c r="C1444" s="2"/>
      <c r="D1444" s="2"/>
      <c r="E1444" s="2"/>
      <c r="F1444" s="2"/>
      <c r="G1444" s="2"/>
      <c r="H1444" s="2"/>
      <c r="I1444" s="2"/>
      <c r="J1444" s="2"/>
      <c r="K1444" s="2"/>
      <c r="L1444" s="2"/>
      <c r="M1444" s="2"/>
      <c r="N1444" s="2"/>
      <c r="O1444" s="2"/>
      <c r="P1444" s="2"/>
      <c r="Q1444" s="2"/>
      <c r="R1444" s="2"/>
      <c r="S1444" s="2"/>
      <c r="T1444" s="2"/>
    </row>
    <row r="1445">
      <c r="A1445" s="1"/>
      <c r="B1445" s="2"/>
      <c r="C1445" s="2"/>
      <c r="D1445" s="2"/>
      <c r="E1445" s="2"/>
      <c r="F1445" s="2"/>
      <c r="G1445" s="2"/>
      <c r="H1445" s="2"/>
      <c r="I1445" s="2"/>
      <c r="J1445" s="2"/>
      <c r="K1445" s="2"/>
      <c r="L1445" s="2"/>
      <c r="M1445" s="2"/>
      <c r="N1445" s="2"/>
      <c r="O1445" s="2"/>
      <c r="P1445" s="2"/>
      <c r="Q1445" s="2"/>
      <c r="R1445" s="2"/>
      <c r="S1445" s="2"/>
      <c r="T1445" s="2"/>
    </row>
    <row r="1446">
      <c r="A1446" s="1"/>
      <c r="B1446" s="2"/>
      <c r="C1446" s="2"/>
      <c r="D1446" s="2"/>
      <c r="E1446" s="2"/>
      <c r="F1446" s="2"/>
      <c r="G1446" s="2"/>
      <c r="H1446" s="2"/>
      <c r="I1446" s="2"/>
      <c r="J1446" s="2"/>
      <c r="K1446" s="2"/>
      <c r="L1446" s="2"/>
      <c r="M1446" s="2"/>
      <c r="N1446" s="2"/>
      <c r="O1446" s="2"/>
      <c r="P1446" s="2"/>
      <c r="Q1446" s="2"/>
      <c r="R1446" s="2"/>
      <c r="S1446" s="2"/>
      <c r="T1446" s="2"/>
    </row>
    <row r="1447">
      <c r="A1447" s="1"/>
      <c r="B1447" s="2"/>
      <c r="C1447" s="2"/>
      <c r="D1447" s="2"/>
      <c r="E1447" s="2"/>
      <c r="F1447" s="2"/>
      <c r="G1447" s="2"/>
      <c r="H1447" s="2"/>
      <c r="I1447" s="2"/>
      <c r="J1447" s="2"/>
      <c r="K1447" s="2"/>
      <c r="L1447" s="2"/>
      <c r="M1447" s="2"/>
      <c r="N1447" s="2"/>
      <c r="O1447" s="2"/>
      <c r="P1447" s="2"/>
      <c r="Q1447" s="2"/>
      <c r="R1447" s="2"/>
      <c r="S1447" s="2"/>
      <c r="T1447" s="2"/>
    </row>
    <row r="1448">
      <c r="A1448" s="1"/>
      <c r="B1448" s="2"/>
      <c r="C1448" s="2"/>
      <c r="D1448" s="2"/>
      <c r="E1448" s="2"/>
      <c r="F1448" s="2"/>
      <c r="G1448" s="2"/>
      <c r="H1448" s="2"/>
      <c r="I1448" s="2"/>
      <c r="J1448" s="2"/>
      <c r="K1448" s="2"/>
      <c r="L1448" s="2"/>
      <c r="M1448" s="2"/>
      <c r="N1448" s="2"/>
      <c r="O1448" s="2"/>
      <c r="P1448" s="2"/>
      <c r="Q1448" s="2"/>
      <c r="R1448" s="2"/>
      <c r="S1448" s="2"/>
      <c r="T1448" s="2"/>
    </row>
    <row r="1449">
      <c r="A1449" s="1"/>
      <c r="B1449" s="2"/>
      <c r="C1449" s="2"/>
      <c r="D1449" s="2"/>
      <c r="E1449" s="2"/>
      <c r="F1449" s="2"/>
      <c r="G1449" s="2"/>
      <c r="H1449" s="2"/>
      <c r="I1449" s="2"/>
      <c r="J1449" s="2"/>
      <c r="K1449" s="2"/>
      <c r="L1449" s="2"/>
      <c r="M1449" s="2"/>
      <c r="N1449" s="2"/>
      <c r="O1449" s="2"/>
      <c r="P1449" s="2"/>
      <c r="Q1449" s="2"/>
      <c r="R1449" s="2"/>
      <c r="S1449" s="2"/>
      <c r="T1449" s="2"/>
    </row>
    <row r="1450">
      <c r="A1450" s="1"/>
      <c r="B1450" s="2"/>
      <c r="C1450" s="2"/>
      <c r="D1450" s="2"/>
      <c r="E1450" s="2"/>
      <c r="F1450" s="2"/>
      <c r="G1450" s="2"/>
      <c r="H1450" s="2"/>
      <c r="I1450" s="2"/>
      <c r="J1450" s="2"/>
      <c r="K1450" s="2"/>
      <c r="L1450" s="2"/>
      <c r="M1450" s="2"/>
      <c r="N1450" s="2"/>
      <c r="O1450" s="2"/>
      <c r="P1450" s="2"/>
      <c r="Q1450" s="2"/>
      <c r="R1450" s="2"/>
      <c r="S1450" s="2"/>
      <c r="T1450" s="2"/>
    </row>
    <row r="1451">
      <c r="A1451" s="1"/>
      <c r="B1451" s="2"/>
      <c r="C1451" s="2"/>
      <c r="D1451" s="2"/>
      <c r="E1451" s="2"/>
      <c r="F1451" s="2"/>
      <c r="G1451" s="2"/>
      <c r="H1451" s="2"/>
      <c r="I1451" s="2"/>
      <c r="J1451" s="2"/>
      <c r="K1451" s="2"/>
      <c r="L1451" s="2"/>
      <c r="M1451" s="2"/>
      <c r="N1451" s="2"/>
      <c r="O1451" s="2"/>
      <c r="P1451" s="2"/>
      <c r="Q1451" s="2"/>
      <c r="R1451" s="2"/>
      <c r="S1451" s="2"/>
      <c r="T1451" s="2"/>
    </row>
    <row r="1452">
      <c r="A1452" s="1"/>
      <c r="B1452" s="2"/>
      <c r="C1452" s="2"/>
      <c r="D1452" s="2"/>
      <c r="E1452" s="2"/>
      <c r="F1452" s="2"/>
      <c r="G1452" s="2"/>
      <c r="H1452" s="2"/>
      <c r="I1452" s="2"/>
      <c r="J1452" s="2"/>
      <c r="K1452" s="2"/>
      <c r="L1452" s="2"/>
      <c r="M1452" s="2"/>
      <c r="N1452" s="2"/>
      <c r="O1452" s="2"/>
      <c r="P1452" s="2"/>
      <c r="Q1452" s="2"/>
      <c r="R1452" s="2"/>
      <c r="S1452" s="2"/>
      <c r="T1452" s="2"/>
    </row>
    <row r="1453">
      <c r="A1453" s="1"/>
      <c r="B1453" s="2"/>
      <c r="C1453" s="2"/>
      <c r="D1453" s="2"/>
      <c r="E1453" s="2"/>
      <c r="F1453" s="2"/>
      <c r="G1453" s="2"/>
      <c r="H1453" s="2"/>
      <c r="I1453" s="2"/>
      <c r="J1453" s="2"/>
      <c r="K1453" s="2"/>
      <c r="L1453" s="2"/>
      <c r="M1453" s="2"/>
      <c r="N1453" s="2"/>
      <c r="O1453" s="2"/>
      <c r="P1453" s="2"/>
      <c r="Q1453" s="2"/>
      <c r="R1453" s="2"/>
      <c r="S1453" s="2"/>
      <c r="T1453" s="2"/>
    </row>
    <row r="1454">
      <c r="A1454" s="1"/>
      <c r="B1454" s="2"/>
      <c r="C1454" s="2"/>
      <c r="D1454" s="2"/>
      <c r="E1454" s="2"/>
      <c r="F1454" s="2"/>
      <c r="G1454" s="2"/>
      <c r="H1454" s="2"/>
      <c r="I1454" s="2"/>
      <c r="J1454" s="2"/>
      <c r="K1454" s="2"/>
      <c r="L1454" s="2"/>
      <c r="M1454" s="2"/>
      <c r="N1454" s="2"/>
      <c r="O1454" s="2"/>
      <c r="P1454" s="2"/>
      <c r="Q1454" s="2"/>
      <c r="R1454" s="2"/>
      <c r="S1454" s="2"/>
      <c r="T1454" s="2"/>
    </row>
    <row r="1455">
      <c r="A1455" s="1"/>
      <c r="B1455" s="2"/>
      <c r="C1455" s="2"/>
      <c r="D1455" s="2"/>
      <c r="E1455" s="2"/>
      <c r="F1455" s="2"/>
      <c r="G1455" s="2"/>
      <c r="H1455" s="2"/>
      <c r="I1455" s="2"/>
      <c r="J1455" s="2"/>
      <c r="K1455" s="2"/>
      <c r="L1455" s="2"/>
      <c r="M1455" s="2"/>
      <c r="N1455" s="2"/>
      <c r="O1455" s="2"/>
      <c r="P1455" s="2"/>
      <c r="Q1455" s="2"/>
      <c r="R1455" s="2"/>
      <c r="S1455" s="2"/>
      <c r="T1455" s="2"/>
    </row>
    <row r="1456">
      <c r="A1456" s="1"/>
      <c r="B1456" s="2"/>
      <c r="C1456" s="2"/>
      <c r="D1456" s="2"/>
      <c r="E1456" s="2"/>
      <c r="F1456" s="2"/>
      <c r="G1456" s="2"/>
      <c r="H1456" s="2"/>
      <c r="I1456" s="2"/>
      <c r="J1456" s="2"/>
      <c r="K1456" s="2"/>
      <c r="L1456" s="2"/>
      <c r="M1456" s="2"/>
      <c r="N1456" s="2"/>
      <c r="O1456" s="2"/>
      <c r="P1456" s="2"/>
      <c r="Q1456" s="2"/>
      <c r="R1456" s="2"/>
      <c r="S1456" s="2"/>
      <c r="T1456" s="2"/>
    </row>
    <row r="1457">
      <c r="A1457" s="1"/>
      <c r="B1457" s="2"/>
      <c r="C1457" s="2"/>
      <c r="D1457" s="2"/>
      <c r="E1457" s="2"/>
      <c r="F1457" s="2"/>
      <c r="G1457" s="2"/>
      <c r="H1457" s="2"/>
      <c r="I1457" s="2"/>
      <c r="J1457" s="2"/>
      <c r="K1457" s="2"/>
      <c r="L1457" s="2"/>
      <c r="M1457" s="2"/>
      <c r="N1457" s="2"/>
      <c r="O1457" s="2"/>
      <c r="P1457" s="2"/>
      <c r="Q1457" s="2"/>
      <c r="R1457" s="2"/>
      <c r="S1457" s="2"/>
      <c r="T1457" s="2"/>
    </row>
    <row r="1458">
      <c r="A1458" s="1"/>
      <c r="B1458" s="2"/>
      <c r="C1458" s="2"/>
      <c r="D1458" s="2"/>
      <c r="E1458" s="2"/>
      <c r="F1458" s="2"/>
      <c r="G1458" s="2"/>
      <c r="H1458" s="2"/>
      <c r="I1458" s="2"/>
      <c r="J1458" s="2"/>
      <c r="K1458" s="2"/>
      <c r="L1458" s="2"/>
      <c r="M1458" s="2"/>
      <c r="N1458" s="2"/>
      <c r="O1458" s="2"/>
      <c r="P1458" s="2"/>
      <c r="Q1458" s="2"/>
      <c r="R1458" s="2"/>
      <c r="S1458" s="2"/>
      <c r="T1458" s="2"/>
    </row>
    <row r="1459">
      <c r="A1459" s="1"/>
      <c r="B1459" s="2"/>
      <c r="C1459" s="2"/>
      <c r="D1459" s="2"/>
      <c r="E1459" s="2"/>
      <c r="F1459" s="2"/>
      <c r="G1459" s="2"/>
      <c r="H1459" s="2"/>
      <c r="I1459" s="2"/>
      <c r="J1459" s="2"/>
      <c r="K1459" s="2"/>
      <c r="L1459" s="2"/>
      <c r="M1459" s="2"/>
      <c r="N1459" s="2"/>
      <c r="O1459" s="2"/>
      <c r="P1459" s="2"/>
      <c r="Q1459" s="2"/>
      <c r="R1459" s="2"/>
      <c r="S1459" s="2"/>
      <c r="T1459" s="2"/>
    </row>
    <row r="1460">
      <c r="A1460" s="1"/>
      <c r="B1460" s="2"/>
      <c r="C1460" s="2"/>
      <c r="D1460" s="2"/>
      <c r="E1460" s="2"/>
      <c r="F1460" s="2"/>
      <c r="G1460" s="2"/>
      <c r="H1460" s="2"/>
      <c r="I1460" s="2"/>
      <c r="J1460" s="2"/>
      <c r="K1460" s="2"/>
      <c r="L1460" s="2"/>
      <c r="M1460" s="2"/>
      <c r="N1460" s="2"/>
      <c r="O1460" s="2"/>
      <c r="P1460" s="2"/>
      <c r="Q1460" s="2"/>
      <c r="R1460" s="2"/>
      <c r="S1460" s="2"/>
      <c r="T1460" s="2"/>
    </row>
    <row r="1461">
      <c r="A1461" s="1"/>
      <c r="B1461" s="2"/>
      <c r="C1461" s="2"/>
      <c r="D1461" s="2"/>
      <c r="E1461" s="2"/>
      <c r="F1461" s="2"/>
      <c r="G1461" s="2"/>
      <c r="H1461" s="2"/>
      <c r="I1461" s="2"/>
      <c r="J1461" s="2"/>
      <c r="K1461" s="2"/>
      <c r="L1461" s="2"/>
      <c r="M1461" s="2"/>
      <c r="N1461" s="2"/>
      <c r="O1461" s="2"/>
      <c r="P1461" s="2"/>
      <c r="Q1461" s="2"/>
      <c r="R1461" s="2"/>
      <c r="S1461" s="2"/>
      <c r="T1461" s="2"/>
    </row>
    <row r="1462">
      <c r="A1462" s="1"/>
      <c r="B1462" s="2"/>
      <c r="C1462" s="2"/>
      <c r="D1462" s="2"/>
      <c r="E1462" s="2"/>
      <c r="F1462" s="2"/>
      <c r="G1462" s="2"/>
      <c r="H1462" s="2"/>
      <c r="I1462" s="2"/>
      <c r="J1462" s="2"/>
      <c r="K1462" s="2"/>
      <c r="L1462" s="2"/>
      <c r="M1462" s="2"/>
      <c r="N1462" s="2"/>
      <c r="O1462" s="2"/>
      <c r="P1462" s="2"/>
      <c r="Q1462" s="2"/>
      <c r="R1462" s="2"/>
      <c r="S1462" s="2"/>
      <c r="T1462" s="2"/>
    </row>
    <row r="1463">
      <c r="A1463" s="1"/>
      <c r="B1463" s="2"/>
      <c r="C1463" s="2"/>
      <c r="D1463" s="2"/>
      <c r="E1463" s="2"/>
      <c r="F1463" s="2"/>
      <c r="G1463" s="2"/>
      <c r="H1463" s="2"/>
      <c r="I1463" s="2"/>
      <c r="J1463" s="2"/>
      <c r="K1463" s="2"/>
      <c r="L1463" s="2"/>
      <c r="M1463" s="2"/>
      <c r="N1463" s="2"/>
      <c r="O1463" s="2"/>
      <c r="P1463" s="2"/>
      <c r="Q1463" s="2"/>
      <c r="R1463" s="2"/>
      <c r="S1463" s="2"/>
      <c r="T1463" s="2"/>
    </row>
    <row r="1464">
      <c r="A1464" s="1"/>
      <c r="B1464" s="2"/>
      <c r="C1464" s="2"/>
      <c r="D1464" s="2"/>
      <c r="E1464" s="2"/>
      <c r="F1464" s="2"/>
      <c r="G1464" s="2"/>
      <c r="H1464" s="2"/>
      <c r="I1464" s="2"/>
      <c r="J1464" s="2"/>
      <c r="K1464" s="2"/>
      <c r="L1464" s="2"/>
      <c r="M1464" s="2"/>
      <c r="N1464" s="2"/>
      <c r="O1464" s="2"/>
      <c r="P1464" s="2"/>
      <c r="Q1464" s="2"/>
      <c r="R1464" s="2"/>
      <c r="S1464" s="2"/>
      <c r="T1464" s="2"/>
    </row>
    <row r="1465">
      <c r="A1465" s="1"/>
      <c r="B1465" s="2"/>
      <c r="C1465" s="2"/>
      <c r="D1465" s="2"/>
      <c r="E1465" s="2"/>
      <c r="F1465" s="2"/>
      <c r="G1465" s="2"/>
      <c r="H1465" s="2"/>
      <c r="I1465" s="2"/>
      <c r="J1465" s="2"/>
      <c r="K1465" s="2"/>
      <c r="L1465" s="2"/>
      <c r="M1465" s="2"/>
      <c r="N1465" s="2"/>
      <c r="O1465" s="2"/>
      <c r="P1465" s="2"/>
      <c r="Q1465" s="2"/>
      <c r="R1465" s="2"/>
      <c r="S1465" s="2"/>
      <c r="T1465" s="2"/>
    </row>
    <row r="1466">
      <c r="A1466" s="1"/>
      <c r="B1466" s="2"/>
      <c r="C1466" s="2"/>
      <c r="D1466" s="2"/>
      <c r="E1466" s="2"/>
      <c r="F1466" s="2"/>
      <c r="G1466" s="2"/>
      <c r="H1466" s="2"/>
      <c r="I1466" s="2"/>
      <c r="J1466" s="2"/>
      <c r="K1466" s="2"/>
      <c r="L1466" s="2"/>
      <c r="M1466" s="2"/>
      <c r="N1466" s="2"/>
      <c r="O1466" s="2"/>
      <c r="P1466" s="2"/>
      <c r="Q1466" s="2"/>
      <c r="R1466" s="2"/>
      <c r="S1466" s="2"/>
      <c r="T1466" s="2"/>
    </row>
    <row r="1467">
      <c r="A1467" s="1"/>
      <c r="B1467" s="2"/>
      <c r="C1467" s="2"/>
      <c r="D1467" s="2"/>
      <c r="E1467" s="2"/>
      <c r="F1467" s="2"/>
      <c r="G1467" s="2"/>
      <c r="H1467" s="2"/>
      <c r="I1467" s="2"/>
      <c r="J1467" s="2"/>
      <c r="K1467" s="2"/>
      <c r="L1467" s="2"/>
      <c r="M1467" s="2"/>
      <c r="N1467" s="2"/>
      <c r="O1467" s="2"/>
      <c r="P1467" s="2"/>
      <c r="Q1467" s="2"/>
      <c r="R1467" s="2"/>
      <c r="S1467" s="2"/>
      <c r="T1467" s="2"/>
    </row>
    <row r="1468">
      <c r="A1468" s="1"/>
      <c r="B1468" s="2"/>
      <c r="C1468" s="2"/>
      <c r="D1468" s="2"/>
      <c r="E1468" s="2"/>
      <c r="F1468" s="2"/>
      <c r="G1468" s="2"/>
      <c r="H1468" s="2"/>
      <c r="I1468" s="2"/>
      <c r="J1468" s="2"/>
      <c r="K1468" s="2"/>
      <c r="L1468" s="2"/>
      <c r="M1468" s="2"/>
      <c r="N1468" s="2"/>
      <c r="O1468" s="2"/>
      <c r="P1468" s="2"/>
      <c r="Q1468" s="2"/>
      <c r="R1468" s="2"/>
      <c r="S1468" s="2"/>
      <c r="T1468" s="2"/>
    </row>
    <row r="1469">
      <c r="A1469" s="1"/>
      <c r="B1469" s="2"/>
      <c r="C1469" s="2"/>
      <c r="D1469" s="2"/>
      <c r="E1469" s="2"/>
      <c r="F1469" s="2"/>
      <c r="G1469" s="2"/>
      <c r="H1469" s="2"/>
      <c r="I1469" s="2"/>
      <c r="J1469" s="2"/>
      <c r="K1469" s="2"/>
      <c r="L1469" s="2"/>
      <c r="M1469" s="2"/>
      <c r="N1469" s="2"/>
      <c r="O1469" s="2"/>
      <c r="P1469" s="2"/>
      <c r="Q1469" s="2"/>
      <c r="R1469" s="2"/>
      <c r="S1469" s="2"/>
      <c r="T1469" s="2"/>
    </row>
    <row r="1470">
      <c r="A1470" s="1"/>
      <c r="B1470" s="2"/>
      <c r="C1470" s="2"/>
      <c r="D1470" s="2"/>
      <c r="E1470" s="2"/>
      <c r="F1470" s="2"/>
      <c r="G1470" s="2"/>
      <c r="H1470" s="2"/>
      <c r="I1470" s="2"/>
      <c r="J1470" s="2"/>
      <c r="K1470" s="2"/>
      <c r="L1470" s="2"/>
      <c r="M1470" s="2"/>
      <c r="N1470" s="2"/>
      <c r="O1470" s="2"/>
      <c r="P1470" s="2"/>
      <c r="Q1470" s="2"/>
      <c r="R1470" s="2"/>
      <c r="S1470" s="2"/>
      <c r="T1470" s="2"/>
    </row>
    <row r="1471">
      <c r="A1471" s="1"/>
      <c r="B1471" s="2"/>
      <c r="C1471" s="2"/>
      <c r="D1471" s="2"/>
      <c r="E1471" s="2"/>
      <c r="F1471" s="2"/>
      <c r="G1471" s="2"/>
      <c r="H1471" s="2"/>
      <c r="I1471" s="2"/>
      <c r="J1471" s="2"/>
      <c r="K1471" s="2"/>
      <c r="L1471" s="2"/>
      <c r="M1471" s="2"/>
      <c r="N1471" s="2"/>
      <c r="O1471" s="2"/>
      <c r="P1471" s="2"/>
      <c r="Q1471" s="2"/>
      <c r="R1471" s="2"/>
      <c r="S1471" s="2"/>
      <c r="T1471" s="2"/>
    </row>
    <row r="1472">
      <c r="A1472" s="1"/>
      <c r="B1472" s="2"/>
      <c r="C1472" s="2"/>
      <c r="D1472" s="2"/>
      <c r="E1472" s="2"/>
      <c r="F1472" s="2"/>
      <c r="G1472" s="2"/>
      <c r="H1472" s="2"/>
      <c r="I1472" s="2"/>
      <c r="J1472" s="2"/>
      <c r="K1472" s="2"/>
      <c r="L1472" s="2"/>
      <c r="M1472" s="2"/>
      <c r="N1472" s="2"/>
      <c r="O1472" s="2"/>
      <c r="P1472" s="2"/>
      <c r="Q1472" s="2"/>
      <c r="R1472" s="2"/>
      <c r="S1472" s="2"/>
      <c r="T1472" s="2"/>
    </row>
    <row r="1473">
      <c r="A1473" s="1"/>
      <c r="B1473" s="2"/>
      <c r="C1473" s="2"/>
      <c r="D1473" s="2"/>
      <c r="E1473" s="2"/>
      <c r="F1473" s="2"/>
      <c r="G1473" s="2"/>
      <c r="H1473" s="2"/>
      <c r="I1473" s="2"/>
      <c r="J1473" s="2"/>
      <c r="K1473" s="2"/>
      <c r="L1473" s="2"/>
      <c r="M1473" s="2"/>
      <c r="N1473" s="2"/>
      <c r="O1473" s="2"/>
      <c r="P1473" s="2"/>
      <c r="Q1473" s="2"/>
      <c r="R1473" s="2"/>
      <c r="S1473" s="2"/>
      <c r="T1473" s="2"/>
    </row>
    <row r="1474">
      <c r="A1474" s="1"/>
      <c r="B1474" s="2"/>
      <c r="C1474" s="2"/>
      <c r="D1474" s="2"/>
      <c r="E1474" s="2"/>
      <c r="F1474" s="2"/>
      <c r="G1474" s="2"/>
      <c r="H1474" s="2"/>
      <c r="I1474" s="2"/>
      <c r="J1474" s="2"/>
      <c r="K1474" s="2"/>
      <c r="L1474" s="2"/>
      <c r="M1474" s="2"/>
      <c r="N1474" s="2"/>
      <c r="O1474" s="2"/>
      <c r="P1474" s="2"/>
      <c r="Q1474" s="2"/>
      <c r="R1474" s="2"/>
      <c r="S1474" s="2"/>
      <c r="T1474" s="2"/>
    </row>
    <row r="1475">
      <c r="A1475" s="1"/>
      <c r="B1475" s="2"/>
      <c r="C1475" s="2"/>
      <c r="D1475" s="2"/>
      <c r="E1475" s="2"/>
      <c r="F1475" s="2"/>
      <c r="G1475" s="2"/>
      <c r="H1475" s="2"/>
      <c r="I1475" s="2"/>
      <c r="J1475" s="2"/>
      <c r="K1475" s="2"/>
      <c r="L1475" s="2"/>
      <c r="M1475" s="2"/>
      <c r="N1475" s="2"/>
      <c r="O1475" s="2"/>
      <c r="P1475" s="2"/>
      <c r="Q1475" s="2"/>
      <c r="R1475" s="2"/>
      <c r="S1475" s="2"/>
      <c r="T1475" s="2"/>
    </row>
    <row r="1476">
      <c r="A1476" s="1"/>
      <c r="B1476" s="2"/>
      <c r="C1476" s="2"/>
      <c r="D1476" s="2"/>
      <c r="E1476" s="2"/>
      <c r="F1476" s="2"/>
      <c r="G1476" s="2"/>
      <c r="H1476" s="2"/>
      <c r="I1476" s="2"/>
      <c r="J1476" s="2"/>
      <c r="K1476" s="2"/>
      <c r="L1476" s="2"/>
      <c r="M1476" s="2"/>
      <c r="N1476" s="2"/>
      <c r="O1476" s="2"/>
      <c r="P1476" s="2"/>
      <c r="Q1476" s="2"/>
      <c r="R1476" s="2"/>
      <c r="S1476" s="2"/>
      <c r="T1476" s="2"/>
    </row>
    <row r="1477">
      <c r="A1477" s="1"/>
      <c r="B1477" s="2"/>
      <c r="C1477" s="2"/>
      <c r="D1477" s="2"/>
      <c r="E1477" s="2"/>
      <c r="F1477" s="2"/>
      <c r="G1477" s="2"/>
      <c r="H1477" s="2"/>
      <c r="I1477" s="2"/>
      <c r="J1477" s="2"/>
      <c r="K1477" s="2"/>
      <c r="L1477" s="2"/>
      <c r="M1477" s="2"/>
      <c r="N1477" s="2"/>
      <c r="O1477" s="2"/>
      <c r="P1477" s="2"/>
      <c r="Q1477" s="2"/>
      <c r="R1477" s="2"/>
      <c r="S1477" s="2"/>
      <c r="T1477" s="2"/>
    </row>
    <row r="1478">
      <c r="A1478" s="1"/>
      <c r="B1478" s="2"/>
      <c r="C1478" s="2"/>
      <c r="D1478" s="2"/>
      <c r="E1478" s="2"/>
      <c r="F1478" s="2"/>
      <c r="G1478" s="2"/>
      <c r="H1478" s="2"/>
      <c r="I1478" s="2"/>
      <c r="J1478" s="2"/>
      <c r="K1478" s="2"/>
      <c r="L1478" s="2"/>
      <c r="M1478" s="2"/>
      <c r="N1478" s="2"/>
      <c r="O1478" s="2"/>
      <c r="P1478" s="2"/>
      <c r="Q1478" s="2"/>
      <c r="R1478" s="2"/>
      <c r="S1478" s="2"/>
      <c r="T1478" s="2"/>
    </row>
    <row r="1479">
      <c r="A1479" s="1"/>
      <c r="B1479" s="2"/>
      <c r="C1479" s="2"/>
      <c r="D1479" s="2"/>
      <c r="E1479" s="2"/>
      <c r="F1479" s="2"/>
      <c r="G1479" s="2"/>
      <c r="H1479" s="2"/>
      <c r="I1479" s="2"/>
      <c r="J1479" s="2"/>
      <c r="K1479" s="2"/>
      <c r="L1479" s="2"/>
      <c r="M1479" s="2"/>
      <c r="N1479" s="2"/>
      <c r="O1479" s="2"/>
      <c r="P1479" s="2"/>
      <c r="Q1479" s="2"/>
      <c r="R1479" s="2"/>
      <c r="S1479" s="2"/>
      <c r="T1479" s="2"/>
    </row>
    <row r="1480">
      <c r="A1480" s="1"/>
      <c r="B1480" s="2"/>
      <c r="C1480" s="2"/>
      <c r="D1480" s="2"/>
      <c r="E1480" s="2"/>
      <c r="F1480" s="2"/>
      <c r="G1480" s="2"/>
      <c r="H1480" s="2"/>
      <c r="I1480" s="2"/>
      <c r="J1480" s="2"/>
      <c r="K1480" s="2"/>
      <c r="L1480" s="2"/>
      <c r="M1480" s="2"/>
      <c r="N1480" s="2"/>
      <c r="O1480" s="2"/>
      <c r="P1480" s="2"/>
      <c r="Q1480" s="2"/>
      <c r="R1480" s="2"/>
      <c r="S1480" s="2"/>
      <c r="T1480" s="2"/>
    </row>
    <row r="1481">
      <c r="A1481" s="1"/>
      <c r="B1481" s="2"/>
      <c r="C1481" s="2"/>
      <c r="D1481" s="2"/>
      <c r="E1481" s="2"/>
      <c r="F1481" s="2"/>
      <c r="G1481" s="2"/>
      <c r="H1481" s="2"/>
      <c r="I1481" s="2"/>
      <c r="J1481" s="2"/>
      <c r="K1481" s="2"/>
      <c r="L1481" s="2"/>
      <c r="M1481" s="2"/>
      <c r="N1481" s="2"/>
      <c r="O1481" s="2"/>
      <c r="P1481" s="2"/>
      <c r="Q1481" s="2"/>
      <c r="R1481" s="2"/>
      <c r="S1481" s="2"/>
      <c r="T1481" s="2"/>
    </row>
    <row r="1482">
      <c r="A1482" s="1"/>
      <c r="B1482" s="2"/>
      <c r="C1482" s="2"/>
      <c r="D1482" s="2"/>
      <c r="E1482" s="2"/>
      <c r="F1482" s="2"/>
      <c r="G1482" s="2"/>
      <c r="H1482" s="2"/>
      <c r="I1482" s="2"/>
      <c r="J1482" s="2"/>
      <c r="K1482" s="2"/>
      <c r="L1482" s="2"/>
      <c r="M1482" s="2"/>
      <c r="N1482" s="2"/>
      <c r="O1482" s="2"/>
      <c r="P1482" s="2"/>
      <c r="Q1482" s="2"/>
      <c r="R1482" s="2"/>
      <c r="S1482" s="2"/>
      <c r="T1482" s="2"/>
    </row>
    <row r="1483">
      <c r="A1483" s="1"/>
      <c r="B1483" s="2"/>
      <c r="C1483" s="2"/>
      <c r="D1483" s="2"/>
      <c r="E1483" s="2"/>
      <c r="F1483" s="2"/>
      <c r="G1483" s="2"/>
      <c r="H1483" s="2"/>
      <c r="I1483" s="2"/>
      <c r="J1483" s="2"/>
      <c r="K1483" s="2"/>
      <c r="L1483" s="2"/>
      <c r="M1483" s="2"/>
      <c r="N1483" s="2"/>
      <c r="O1483" s="2"/>
      <c r="P1483" s="2"/>
      <c r="Q1483" s="2"/>
      <c r="R1483" s="2"/>
      <c r="S1483" s="2"/>
      <c r="T1483" s="2"/>
    </row>
    <row r="1484">
      <c r="A1484" s="1"/>
      <c r="B1484" s="2"/>
      <c r="C1484" s="2"/>
      <c r="D1484" s="2"/>
      <c r="E1484" s="2"/>
      <c r="F1484" s="2"/>
      <c r="G1484" s="2"/>
      <c r="H1484" s="2"/>
      <c r="I1484" s="2"/>
      <c r="J1484" s="2"/>
      <c r="K1484" s="2"/>
      <c r="L1484" s="2"/>
      <c r="M1484" s="2"/>
      <c r="N1484" s="2"/>
      <c r="O1484" s="2"/>
      <c r="P1484" s="2"/>
      <c r="Q1484" s="2"/>
      <c r="R1484" s="2"/>
      <c r="S1484" s="2"/>
      <c r="T1484" s="2"/>
    </row>
    <row r="1485">
      <c r="A1485" s="1"/>
      <c r="B1485" s="2"/>
      <c r="C1485" s="2"/>
      <c r="D1485" s="2"/>
      <c r="E1485" s="2"/>
      <c r="F1485" s="2"/>
      <c r="G1485" s="2"/>
      <c r="H1485" s="2"/>
      <c r="I1485" s="2"/>
      <c r="J1485" s="2"/>
      <c r="K1485" s="2"/>
      <c r="L1485" s="2"/>
      <c r="M1485" s="2"/>
      <c r="N1485" s="2"/>
      <c r="O1485" s="2"/>
      <c r="P1485" s="2"/>
      <c r="Q1485" s="2"/>
      <c r="R1485" s="2"/>
      <c r="S1485" s="2"/>
      <c r="T1485" s="2"/>
    </row>
    <row r="1486">
      <c r="A1486" s="1"/>
      <c r="B1486" s="2"/>
      <c r="C1486" s="2"/>
      <c r="D1486" s="2"/>
      <c r="E1486" s="2"/>
      <c r="F1486" s="2"/>
      <c r="G1486" s="2"/>
      <c r="H1486" s="2"/>
      <c r="I1486" s="2"/>
      <c r="J1486" s="2"/>
      <c r="K1486" s="2"/>
      <c r="L1486" s="2"/>
      <c r="M1486" s="2"/>
      <c r="N1486" s="2"/>
      <c r="O1486" s="2"/>
      <c r="P1486" s="2"/>
      <c r="Q1486" s="2"/>
      <c r="R1486" s="2"/>
      <c r="S1486" s="2"/>
      <c r="T1486" s="2"/>
    </row>
    <row r="1487">
      <c r="A1487" s="1"/>
      <c r="B1487" s="2"/>
      <c r="C1487" s="2"/>
      <c r="D1487" s="2"/>
      <c r="E1487" s="2"/>
      <c r="F1487" s="2"/>
      <c r="G1487" s="2"/>
      <c r="H1487" s="2"/>
      <c r="I1487" s="2"/>
      <c r="J1487" s="2"/>
      <c r="K1487" s="2"/>
      <c r="L1487" s="2"/>
      <c r="M1487" s="2"/>
      <c r="N1487" s="2"/>
      <c r="O1487" s="2"/>
      <c r="P1487" s="2"/>
      <c r="Q1487" s="2"/>
      <c r="R1487" s="2"/>
      <c r="S1487" s="2"/>
      <c r="T1487" s="2"/>
    </row>
    <row r="1488">
      <c r="A1488" s="1"/>
      <c r="B1488" s="2"/>
      <c r="C1488" s="2"/>
      <c r="D1488" s="2"/>
      <c r="E1488" s="2"/>
      <c r="F1488" s="2"/>
      <c r="G1488" s="2"/>
      <c r="H1488" s="2"/>
      <c r="I1488" s="2"/>
      <c r="J1488" s="2"/>
      <c r="K1488" s="2"/>
      <c r="L1488" s="2"/>
      <c r="M1488" s="2"/>
      <c r="N1488" s="2"/>
      <c r="O1488" s="2"/>
      <c r="P1488" s="2"/>
      <c r="Q1488" s="2"/>
      <c r="R1488" s="2"/>
      <c r="S1488" s="2"/>
      <c r="T1488" s="2"/>
    </row>
    <row r="1489">
      <c r="A1489" s="1"/>
      <c r="B1489" s="2"/>
      <c r="C1489" s="2"/>
      <c r="D1489" s="2"/>
      <c r="E1489" s="2"/>
      <c r="F1489" s="2"/>
      <c r="G1489" s="2"/>
      <c r="H1489" s="2"/>
      <c r="I1489" s="2"/>
      <c r="J1489" s="2"/>
      <c r="K1489" s="2"/>
      <c r="L1489" s="2"/>
      <c r="M1489" s="2"/>
      <c r="N1489" s="2"/>
      <c r="O1489" s="2"/>
      <c r="P1489" s="2"/>
      <c r="Q1489" s="2"/>
      <c r="R1489" s="2"/>
      <c r="S1489" s="2"/>
      <c r="T1489" s="2"/>
    </row>
    <row r="1490">
      <c r="A1490" s="1"/>
      <c r="B1490" s="2"/>
      <c r="C1490" s="2"/>
      <c r="D1490" s="2"/>
      <c r="E1490" s="2"/>
      <c r="F1490" s="2"/>
      <c r="G1490" s="2"/>
      <c r="H1490" s="2"/>
      <c r="I1490" s="2"/>
      <c r="J1490" s="2"/>
      <c r="K1490" s="2"/>
      <c r="L1490" s="2"/>
      <c r="M1490" s="2"/>
      <c r="N1490" s="2"/>
      <c r="O1490" s="2"/>
      <c r="P1490" s="2"/>
      <c r="Q1490" s="2"/>
      <c r="R1490" s="2"/>
      <c r="S1490" s="2"/>
      <c r="T1490" s="2"/>
    </row>
    <row r="1491">
      <c r="A1491" s="1"/>
      <c r="B1491" s="2"/>
      <c r="C1491" s="2"/>
      <c r="D1491" s="2"/>
      <c r="E1491" s="2"/>
      <c r="F1491" s="2"/>
      <c r="G1491" s="2"/>
      <c r="H1491" s="2"/>
      <c r="I1491" s="2"/>
      <c r="J1491" s="2"/>
      <c r="K1491" s="2"/>
      <c r="L1491" s="2"/>
      <c r="M1491" s="2"/>
      <c r="N1491" s="2"/>
      <c r="O1491" s="2"/>
      <c r="P1491" s="2"/>
      <c r="Q1491" s="2"/>
      <c r="R1491" s="2"/>
      <c r="S1491" s="2"/>
      <c r="T1491" s="2"/>
    </row>
    <row r="1492">
      <c r="A1492" s="1"/>
      <c r="B1492" s="2"/>
      <c r="C1492" s="2"/>
      <c r="D1492" s="2"/>
      <c r="E1492" s="2"/>
      <c r="F1492" s="2"/>
      <c r="G1492" s="2"/>
      <c r="H1492" s="2"/>
      <c r="I1492" s="2"/>
      <c r="J1492" s="2"/>
      <c r="K1492" s="2"/>
      <c r="L1492" s="2"/>
      <c r="M1492" s="2"/>
      <c r="N1492" s="2"/>
      <c r="O1492" s="2"/>
      <c r="P1492" s="2"/>
      <c r="Q1492" s="2"/>
      <c r="R1492" s="2"/>
      <c r="S1492" s="2"/>
      <c r="T1492" s="2"/>
    </row>
    <row r="1493">
      <c r="A1493" s="1"/>
      <c r="B1493" s="2"/>
      <c r="C1493" s="2"/>
      <c r="D1493" s="2"/>
      <c r="E1493" s="2"/>
      <c r="F1493" s="2"/>
      <c r="G1493" s="2"/>
      <c r="H1493" s="2"/>
      <c r="I1493" s="2"/>
      <c r="J1493" s="2"/>
      <c r="K1493" s="2"/>
      <c r="L1493" s="2"/>
      <c r="M1493" s="2"/>
      <c r="N1493" s="2"/>
      <c r="O1493" s="2"/>
      <c r="P1493" s="2"/>
      <c r="Q1493" s="2"/>
      <c r="R1493" s="2"/>
      <c r="S1493" s="2"/>
      <c r="T1493" s="2"/>
    </row>
    <row r="1494">
      <c r="A1494" s="1"/>
      <c r="B1494" s="2"/>
      <c r="C1494" s="2"/>
      <c r="D1494" s="2"/>
      <c r="E1494" s="2"/>
      <c r="F1494" s="2"/>
      <c r="G1494" s="2"/>
      <c r="H1494" s="2"/>
      <c r="I1494" s="2"/>
      <c r="J1494" s="2"/>
      <c r="K1494" s="2"/>
      <c r="L1494" s="2"/>
      <c r="M1494" s="2"/>
      <c r="N1494" s="2"/>
      <c r="O1494" s="2"/>
      <c r="P1494" s="2"/>
      <c r="Q1494" s="2"/>
      <c r="R1494" s="2"/>
      <c r="S1494" s="2"/>
      <c r="T1494" s="2"/>
    </row>
    <row r="1495">
      <c r="A1495" s="1"/>
      <c r="B1495" s="2"/>
      <c r="C1495" s="2"/>
      <c r="D1495" s="2"/>
      <c r="E1495" s="2"/>
      <c r="F1495" s="2"/>
      <c r="G1495" s="2"/>
      <c r="H1495" s="2"/>
      <c r="I1495" s="2"/>
      <c r="J1495" s="2"/>
      <c r="K1495" s="2"/>
      <c r="L1495" s="2"/>
      <c r="M1495" s="2"/>
      <c r="N1495" s="2"/>
      <c r="O1495" s="2"/>
      <c r="P1495" s="2"/>
      <c r="Q1495" s="2"/>
      <c r="R1495" s="2"/>
      <c r="S1495" s="2"/>
      <c r="T1495" s="2"/>
    </row>
    <row r="1496">
      <c r="A1496" s="1"/>
      <c r="B1496" s="2"/>
      <c r="C1496" s="2"/>
      <c r="D1496" s="2"/>
      <c r="E1496" s="2"/>
      <c r="F1496" s="2"/>
      <c r="G1496" s="2"/>
      <c r="H1496" s="2"/>
      <c r="I1496" s="2"/>
      <c r="J1496" s="2"/>
      <c r="K1496" s="2"/>
      <c r="L1496" s="2"/>
      <c r="M1496" s="2"/>
      <c r="N1496" s="2"/>
      <c r="O1496" s="2"/>
      <c r="P1496" s="2"/>
      <c r="Q1496" s="2"/>
      <c r="R1496" s="2"/>
      <c r="S1496" s="2"/>
      <c r="T1496" s="2"/>
    </row>
    <row r="1497">
      <c r="A1497" s="1"/>
      <c r="B1497" s="2"/>
      <c r="C1497" s="2"/>
      <c r="D1497" s="2"/>
      <c r="E1497" s="2"/>
      <c r="F1497" s="2"/>
      <c r="G1497" s="2"/>
      <c r="H1497" s="2"/>
      <c r="I1497" s="2"/>
      <c r="J1497" s="2"/>
      <c r="K1497" s="2"/>
      <c r="L1497" s="2"/>
      <c r="M1497" s="2"/>
      <c r="N1497" s="2"/>
      <c r="O1497" s="2"/>
      <c r="P1497" s="2"/>
      <c r="Q1497" s="2"/>
      <c r="R1497" s="2"/>
      <c r="S1497" s="2"/>
      <c r="T1497" s="2"/>
    </row>
    <row r="1498">
      <c r="A1498" s="1"/>
      <c r="B1498" s="2"/>
      <c r="C1498" s="2"/>
      <c r="D1498" s="2"/>
      <c r="E1498" s="2"/>
      <c r="F1498" s="2"/>
      <c r="G1498" s="2"/>
      <c r="H1498" s="2"/>
      <c r="I1498" s="2"/>
      <c r="J1498" s="2"/>
      <c r="K1498" s="2"/>
      <c r="L1498" s="2"/>
      <c r="M1498" s="2"/>
      <c r="N1498" s="2"/>
      <c r="O1498" s="2"/>
      <c r="P1498" s="2"/>
      <c r="Q1498" s="2"/>
      <c r="R1498" s="2"/>
      <c r="S1498" s="2"/>
      <c r="T1498" s="2"/>
    </row>
    <row r="1499">
      <c r="A1499" s="1"/>
      <c r="B1499" s="2"/>
      <c r="C1499" s="2"/>
      <c r="D1499" s="2"/>
      <c r="E1499" s="2"/>
      <c r="F1499" s="2"/>
      <c r="G1499" s="2"/>
      <c r="H1499" s="2"/>
      <c r="I1499" s="2"/>
      <c r="J1499" s="2"/>
      <c r="K1499" s="2"/>
      <c r="L1499" s="2"/>
      <c r="M1499" s="2"/>
      <c r="N1499" s="2"/>
      <c r="O1499" s="2"/>
      <c r="P1499" s="2"/>
      <c r="Q1499" s="2"/>
      <c r="R1499" s="2"/>
      <c r="S1499" s="2"/>
      <c r="T1499" s="2"/>
    </row>
    <row r="1500">
      <c r="A1500" s="1"/>
      <c r="B1500" s="2"/>
      <c r="C1500" s="2"/>
      <c r="D1500" s="2"/>
      <c r="E1500" s="2"/>
      <c r="F1500" s="2"/>
      <c r="G1500" s="2"/>
      <c r="H1500" s="2"/>
      <c r="I1500" s="2"/>
      <c r="J1500" s="2"/>
      <c r="K1500" s="2"/>
      <c r="L1500" s="2"/>
      <c r="M1500" s="2"/>
      <c r="N1500" s="2"/>
      <c r="O1500" s="2"/>
      <c r="P1500" s="2"/>
      <c r="Q1500" s="2"/>
      <c r="R1500" s="2"/>
      <c r="S1500" s="2"/>
      <c r="T1500" s="2"/>
    </row>
    <row r="1501">
      <c r="A1501" s="1"/>
      <c r="B1501" s="2"/>
      <c r="C1501" s="2"/>
      <c r="D1501" s="2"/>
      <c r="E1501" s="2"/>
      <c r="F1501" s="2"/>
      <c r="G1501" s="2"/>
      <c r="H1501" s="2"/>
      <c r="I1501" s="2"/>
      <c r="J1501" s="2"/>
      <c r="K1501" s="2"/>
      <c r="L1501" s="2"/>
      <c r="M1501" s="2"/>
      <c r="N1501" s="2"/>
      <c r="O1501" s="2"/>
      <c r="P1501" s="2"/>
      <c r="Q1501" s="2"/>
      <c r="R1501" s="2"/>
      <c r="S1501" s="2"/>
      <c r="T1501"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hidden="1" min="1" max="1" width="5.63"/>
    <col customWidth="1" hidden="1" min="2" max="4" width="15.13"/>
    <col customWidth="1" min="5" max="5" width="17.13"/>
    <col customWidth="1" min="6" max="6" width="13.63"/>
    <col customWidth="1" min="8" max="8" width="12.63"/>
    <col customWidth="1" min="9" max="9" width="13.63"/>
    <col customWidth="1" min="13" max="13" width="6.88"/>
    <col customWidth="1" min="14" max="14" width="6.25"/>
    <col customWidth="1" min="15" max="16" width="8.38"/>
    <col customWidth="1" min="19" max="19" width="10.5"/>
    <col customWidth="1" min="20" max="20" width="8.38"/>
    <col customWidth="1" min="22" max="22" width="8.38"/>
    <col customWidth="1" min="23" max="23" width="9.63"/>
    <col customWidth="1" min="25" max="26" width="8.38"/>
    <col customWidth="1" min="28" max="28" width="2.0"/>
    <col customWidth="1" min="29" max="29" width="15.63"/>
    <col customWidth="1" min="31" max="32" width="15.88"/>
  </cols>
  <sheetData>
    <row r="1">
      <c r="A1" s="4" t="s">
        <v>0</v>
      </c>
      <c r="B1" s="4" t="s">
        <v>1</v>
      </c>
      <c r="C1" s="4" t="s">
        <v>2</v>
      </c>
      <c r="D1" s="4"/>
      <c r="E1" s="5" t="s">
        <v>3</v>
      </c>
      <c r="F1" s="6" t="s">
        <v>4</v>
      </c>
      <c r="G1" s="6" t="s">
        <v>5</v>
      </c>
      <c r="H1" s="6" t="s">
        <v>6</v>
      </c>
      <c r="I1" s="7" t="s">
        <v>7</v>
      </c>
      <c r="J1" s="8" t="s">
        <v>8</v>
      </c>
      <c r="K1" s="8" t="s">
        <v>9</v>
      </c>
      <c r="L1" s="9" t="str">
        <f t="array" ref="L1">XLOOKUP($A1,'Recipients REF'!$A:$A,'Recipients REF'!F:F,"",0)</f>
        <v>Project REF</v>
      </c>
      <c r="M1" s="10" t="s">
        <v>10</v>
      </c>
      <c r="N1" s="9" t="str">
        <f t="array" ref="N1">XLOOKUP($A1,'Recipients REF'!$A:$A,'Recipients REF'!H:H,"",0)</f>
        <v>DR NO.</v>
      </c>
      <c r="O1" s="11" t="s">
        <v>11</v>
      </c>
      <c r="P1" s="12"/>
      <c r="Q1" s="13" t="str">
        <f t="array" ref="Q1">XLOOKUP($A1,'Recipients REF'!$A:$A,'Recipients REF'!I:I,"",0)</f>
        <v>Tractor SN</v>
      </c>
      <c r="R1" s="14" t="str">
        <f t="array" ref="R1">XLOOKUP($A1,'Recipients REF'!$A:$A,'Recipients REF'!J:J,"",0)</f>
        <v>Tractor EN</v>
      </c>
      <c r="S1" s="15" t="s">
        <v>12</v>
      </c>
      <c r="T1" s="12"/>
      <c r="U1" s="16" t="str">
        <f t="array" ref="U1">XLOOKUP($A1,'Recipients REF'!$A:$A,'Recipients REF'!K:K,"",0)</f>
        <v>Front Loader SN</v>
      </c>
      <c r="V1" s="17" t="s">
        <v>13</v>
      </c>
      <c r="W1" s="12"/>
      <c r="X1" s="18" t="str">
        <f t="array" ref="X1">XLOOKUP($A1,'Recipients REF'!$A:$A,'Recipients REF'!L:L,"",0)</f>
        <v>Rotavator SN</v>
      </c>
      <c r="Y1" s="19" t="s">
        <v>14</v>
      </c>
      <c r="Z1" s="12"/>
      <c r="AA1" s="13" t="str">
        <f t="array" ref="AA1">XLOOKUP($A1,'Recipients REF'!$A:$A,'Recipients REF'!M:M,"",0)</f>
        <v>Disc Plow SN</v>
      </c>
      <c r="AB1" s="20"/>
      <c r="AC1" s="21" t="s">
        <v>15</v>
      </c>
      <c r="AD1" s="21" t="s">
        <v>16</v>
      </c>
      <c r="AE1" s="21" t="s">
        <v>17</v>
      </c>
      <c r="AF1" s="21" t="s">
        <v>18</v>
      </c>
      <c r="AG1" s="21" t="s">
        <v>19</v>
      </c>
      <c r="AH1" s="4"/>
      <c r="AI1" s="22">
        <v>2024.0</v>
      </c>
      <c r="AJ1" s="22">
        <v>2024.0</v>
      </c>
    </row>
    <row r="2">
      <c r="A2" s="23"/>
      <c r="B2" s="23"/>
      <c r="C2" s="23"/>
      <c r="D2" s="23"/>
      <c r="E2" s="24"/>
      <c r="F2" s="25"/>
      <c r="G2" s="25"/>
      <c r="H2" s="25"/>
      <c r="I2" s="26" t="s">
        <v>20</v>
      </c>
      <c r="J2" s="27"/>
      <c r="K2" s="27"/>
      <c r="L2" s="28"/>
      <c r="M2" s="29"/>
      <c r="N2" s="28"/>
      <c r="O2" s="30" t="s">
        <v>21</v>
      </c>
      <c r="P2" s="31" t="s">
        <v>22</v>
      </c>
      <c r="Q2" s="32"/>
      <c r="R2" s="33"/>
      <c r="S2" s="34" t="s">
        <v>21</v>
      </c>
      <c r="T2" s="34" t="s">
        <v>22</v>
      </c>
      <c r="U2" s="35"/>
      <c r="V2" s="36" t="s">
        <v>21</v>
      </c>
      <c r="W2" s="37" t="s">
        <v>22</v>
      </c>
      <c r="X2" s="38"/>
      <c r="Y2" s="31" t="s">
        <v>21</v>
      </c>
      <c r="Z2" s="31" t="s">
        <v>22</v>
      </c>
      <c r="AA2" s="32"/>
      <c r="AB2" s="39"/>
      <c r="AC2" s="40"/>
      <c r="AD2" s="40"/>
      <c r="AE2" s="40"/>
      <c r="AF2" s="40"/>
      <c r="AG2" s="40"/>
      <c r="AH2" s="23"/>
      <c r="AI2" s="21" t="s">
        <v>17</v>
      </c>
      <c r="AJ2" s="21" t="s">
        <v>18</v>
      </c>
    </row>
    <row r="3">
      <c r="A3" s="41">
        <v>300.0</v>
      </c>
      <c r="B3" s="42" t="s">
        <v>23</v>
      </c>
      <c r="C3" s="42" t="s">
        <v>24</v>
      </c>
      <c r="D3" s="42"/>
      <c r="E3" s="42" t="str">
        <f t="shared" ref="E3:F3" si="1">PROPER(B3)</f>
        <v>Aquino Cluster Farmers Association</v>
      </c>
      <c r="F3" s="42" t="str">
        <f t="shared" si="1"/>
        <v>Aquino, Ibajay, Aklan</v>
      </c>
      <c r="G3" s="42" t="str">
        <f t="shared" ref="G3:G1000" si="3">PROPER(TRIM(LEFT(F3,FIND(",",F3)-1)))</f>
        <v>Aquino</v>
      </c>
      <c r="H3" s="42" t="str">
        <f t="shared" ref="H3:H1000" si="4">PROPER(TRIM(MID(F3,FIND(",",F3)+1,FIND(",",F3,FIND(",",F3)+1)-FIND(",",F3)-1)))</f>
        <v>Ibajay</v>
      </c>
      <c r="I3" s="42" t="str">
        <f t="shared" ref="I3:I1000" si="5">PROPER(TRIM(RIGHT(F3,LEN(F3)-FIND(",",F3,FIND(",",F3)+1))))</f>
        <v>Aklan</v>
      </c>
      <c r="J3" s="42" t="str">
        <f t="array" ref="J3">XLOOKUP($E3,'Recipients REF'!$B:$B,'Recipients REF'!D:D,"",0)</f>
        <v>Sermundo Conan</v>
      </c>
      <c r="K3" s="42" t="str">
        <f t="array" ref="K3">XLOOKUP($E3,'Recipients REF'!$B:$B,'Recipients REF'!E:E,"",0)</f>
        <v>0910-874-4791</v>
      </c>
      <c r="L3" s="43" t="str">
        <f t="array" ref="L3">XLOOKUP($A3,'Recipients REF'!$A:$A,'Recipients REF'!F:F,"",0)</f>
        <v>RCEF 23-09-21 Rebidding</v>
      </c>
      <c r="M3" s="43">
        <f t="array" ref="M3">XLOOKUP($A3,'Recipients REF'!$A:$A,'Recipients REF'!G:G,"",0)</f>
        <v>4</v>
      </c>
      <c r="N3" s="43">
        <f t="array" ref="N3">XLOOKUP($A3,'Recipients REF'!$A:$A,'Recipients REF'!H:H,"",0)</f>
        <v>18898</v>
      </c>
      <c r="O3" s="44" t="s">
        <v>25</v>
      </c>
      <c r="P3" s="45" t="s">
        <v>26</v>
      </c>
      <c r="Q3" s="46" t="str">
        <f t="array" ref="Q3">XLOOKUP($A3,'Recipients REF'!$A:$A,'Recipients REF'!I:I,"",0)</f>
        <v>KMC5825 AHRFPV0303</v>
      </c>
      <c r="R3" s="47" t="str">
        <f t="array" ref="R3">XLOOKUP($A3,'Recipients REF'!$A:$A,'Recipients REF'!J:J,"",0)</f>
        <v>RTS100189</v>
      </c>
      <c r="S3" s="45" t="s">
        <v>27</v>
      </c>
      <c r="T3" s="45" t="s">
        <v>28</v>
      </c>
      <c r="U3" s="46" t="str">
        <f t="array" ref="U3">XLOOKUP($A3,'Recipients REF'!$A:$A,'Recipients REF'!K:K,"",0)</f>
        <v>R-SERIES 042 PH</v>
      </c>
      <c r="V3" s="44" t="s">
        <v>29</v>
      </c>
      <c r="W3" s="45" t="s">
        <v>30</v>
      </c>
      <c r="X3" s="47" t="str">
        <f t="array" ref="X3">XLOOKUP($A3,'Recipients REF'!$A:$A,'Recipients REF'!L:L,"",0)</f>
        <v>LSGW1750 RMP 24020425</v>
      </c>
      <c r="Y3" s="48" t="s">
        <v>29</v>
      </c>
      <c r="Z3" s="48" t="s">
        <v>31</v>
      </c>
      <c r="AA3" s="46" t="str">
        <f t="array" ref="AA3">XLOOKUP($A3,'Recipients REF'!$A:$A,'Recipients REF'!M:M,"",0)</f>
        <v>WDP40 RMP 24030385</v>
      </c>
      <c r="AB3" s="49"/>
      <c r="AC3" s="42"/>
      <c r="AD3" s="42"/>
      <c r="AE3" s="50"/>
      <c r="AF3" s="42"/>
      <c r="AG3" s="42"/>
      <c r="AH3" s="42"/>
      <c r="AI3" s="42" t="str">
        <f t="array" ref="AI3">XLOOKUP($E3,Sheet11!$D:$D,Sheet11!$X:$X,"",0)</f>
        <v/>
      </c>
      <c r="AJ3" s="42" t="str">
        <f t="array" ref="AJ3">XLOOKUP($E3,Sheet11!$D:$D,Sheet11!$Y:$Y,"",0)</f>
        <v/>
      </c>
    </row>
    <row r="4">
      <c r="A4" s="41">
        <v>301.0</v>
      </c>
      <c r="B4" s="42" t="s">
        <v>32</v>
      </c>
      <c r="C4" s="42" t="s">
        <v>33</v>
      </c>
      <c r="D4" s="42"/>
      <c r="E4" s="42" t="str">
        <f t="shared" ref="E4:F4" si="2">PROPER(B4)</f>
        <v>Laguinbanua Integrated Farmers Association</v>
      </c>
      <c r="F4" s="42" t="str">
        <f t="shared" si="2"/>
        <v>Laguinbanua, Ibajay, Aklan</v>
      </c>
      <c r="G4" s="42" t="str">
        <f t="shared" si="3"/>
        <v>Laguinbanua</v>
      </c>
      <c r="H4" s="42" t="str">
        <f t="shared" si="4"/>
        <v>Ibajay</v>
      </c>
      <c r="I4" s="42" t="str">
        <f t="shared" si="5"/>
        <v>Aklan</v>
      </c>
      <c r="J4" s="42" t="str">
        <f t="array" ref="J4">XLOOKUP($E4,'Recipients REF'!$B:$B,'Recipients REF'!D:D,"",0)</f>
        <v>Chevy Fernandez</v>
      </c>
      <c r="K4" s="42" t="str">
        <f t="array" ref="K4">XLOOKUP($E4,'Recipients REF'!$B:$B,'Recipients REF'!E:E,"",0)</f>
        <v>0919-241-3021</v>
      </c>
      <c r="L4" s="43" t="str">
        <f t="array" ref="L4">XLOOKUP($A4,'Recipients REF'!$A:$A,'Recipients REF'!F:F,"",0)</f>
        <v>RCEF 23-09-21 Rebidding</v>
      </c>
      <c r="M4" s="43">
        <f t="array" ref="M4">XLOOKUP($A4,'Recipients REF'!$A:$A,'Recipients REF'!G:G,"",0)</f>
        <v>4</v>
      </c>
      <c r="N4" s="43">
        <f t="array" ref="N4">XLOOKUP($A4,'Recipients REF'!$A:$A,'Recipients REF'!H:H,"",0)</f>
        <v>18899</v>
      </c>
      <c r="O4" s="44" t="s">
        <v>25</v>
      </c>
      <c r="P4" s="45" t="s">
        <v>26</v>
      </c>
      <c r="Q4" s="46" t="str">
        <f t="array" ref="Q4">XLOOKUP($A4,'Recipients REF'!$A:$A,'Recipients REF'!I:I,"",0)</f>
        <v>KMC5825 ALRFPV0393</v>
      </c>
      <c r="R4" s="47" t="str">
        <f t="array" ref="R4">XLOOKUP($A4,'Recipients REF'!$A:$A,'Recipients REF'!J:J,"",0)</f>
        <v>RTS100304</v>
      </c>
      <c r="S4" s="45" t="s">
        <v>27</v>
      </c>
      <c r="T4" s="45" t="s">
        <v>28</v>
      </c>
      <c r="U4" s="46" t="str">
        <f t="array" ref="U4">XLOOKUP($A4,'Recipients REF'!$A:$A,'Recipients REF'!K:K,"",0)</f>
        <v>R-SERIES 035 PH</v>
      </c>
      <c r="V4" s="44" t="s">
        <v>29</v>
      </c>
      <c r="W4" s="45" t="s">
        <v>30</v>
      </c>
      <c r="X4" s="47" t="str">
        <f t="array" ref="X4">XLOOKUP($A4,'Recipients REF'!$A:$A,'Recipients REF'!L:L,"",0)</f>
        <v>LSGW1750 RMP 24020477</v>
      </c>
      <c r="Y4" s="48" t="s">
        <v>29</v>
      </c>
      <c r="Z4" s="48" t="s">
        <v>31</v>
      </c>
      <c r="AA4" s="46" t="str">
        <f t="array" ref="AA4">XLOOKUP($A4,'Recipients REF'!$A:$A,'Recipients REF'!M:M,"",0)</f>
        <v>WDP40 RMP 24030340</v>
      </c>
      <c r="AB4" s="49"/>
      <c r="AC4" s="42"/>
      <c r="AD4" s="42"/>
      <c r="AE4" s="51"/>
      <c r="AF4" s="52"/>
      <c r="AG4" s="42"/>
      <c r="AH4" s="42"/>
      <c r="AI4" s="42" t="str">
        <f t="array" ref="AI4">XLOOKUP($E4,Sheet11!$D:$D,Sheet11!$X:$X,"",0)</f>
        <v/>
      </c>
      <c r="AJ4" s="42" t="str">
        <f t="array" ref="AJ4">XLOOKUP($E4,Sheet11!$D:$D,Sheet11!$Y:$Y,"",0)</f>
        <v/>
      </c>
    </row>
    <row r="5">
      <c r="A5" s="41">
        <v>302.0</v>
      </c>
      <c r="B5" s="42" t="s">
        <v>34</v>
      </c>
      <c r="C5" s="42" t="s">
        <v>35</v>
      </c>
      <c r="D5" s="42"/>
      <c r="E5" s="42" t="str">
        <f t="shared" ref="E5:F5" si="6">PROPER(B5)</f>
        <v>Agcawilan-Silakat Nonok Farmers Cluster Association</v>
      </c>
      <c r="F5" s="42" t="str">
        <f t="shared" si="6"/>
        <v>Agcawilan, Lezo, Aklan</v>
      </c>
      <c r="G5" s="42" t="str">
        <f t="shared" si="3"/>
        <v>Agcawilan</v>
      </c>
      <c r="H5" s="42" t="str">
        <f t="shared" si="4"/>
        <v>Lezo</v>
      </c>
      <c r="I5" s="42" t="str">
        <f t="shared" si="5"/>
        <v>Aklan</v>
      </c>
      <c r="J5" s="42" t="str">
        <f t="array" ref="J5">XLOOKUP($E5,'Recipients REF'!$B:$B,'Recipients REF'!D:D,"",0)</f>
        <v>MARIO Z. ZAULDA</v>
      </c>
      <c r="K5" s="42" t="str">
        <f t="array" ref="K5">XLOOKUP($E5,'Recipients REF'!$B:$B,'Recipients REF'!E:E,"",0)</f>
        <v>0951-208-9996</v>
      </c>
      <c r="L5" s="43" t="str">
        <f t="array" ref="L5">XLOOKUP($A5,'Recipients REF'!$A:$A,'Recipients REF'!F:F,"",0)</f>
        <v>RCEF 23-09-21 Rebidding</v>
      </c>
      <c r="M5" s="43">
        <f t="array" ref="M5">XLOOKUP($A5,'Recipients REF'!$A:$A,'Recipients REF'!G:G,"",0)</f>
        <v>4</v>
      </c>
      <c r="N5" s="43">
        <f t="array" ref="N5">XLOOKUP($A5,'Recipients REF'!$A:$A,'Recipients REF'!H:H,"",0)</f>
        <v>18900</v>
      </c>
      <c r="O5" s="44" t="s">
        <v>25</v>
      </c>
      <c r="P5" s="45" t="s">
        <v>26</v>
      </c>
      <c r="Q5" s="46" t="str">
        <f t="array" ref="Q5">XLOOKUP($A5,'Recipients REF'!$A:$A,'Recipients REF'!I:I,"",0)</f>
        <v>KMC5825 ACRFPV0327</v>
      </c>
      <c r="R5" s="47" t="str">
        <f t="array" ref="R5">XLOOKUP($A5,'Recipients REF'!$A:$A,'Recipients REF'!J:J,"",0)</f>
        <v>RTS100167</v>
      </c>
      <c r="S5" s="45" t="s">
        <v>27</v>
      </c>
      <c r="T5" s="45" t="s">
        <v>28</v>
      </c>
      <c r="U5" s="46" t="str">
        <f t="array" ref="U5">XLOOKUP($A5,'Recipients REF'!$A:$A,'Recipients REF'!K:K,"",0)</f>
        <v>R-SERIES 019 PH</v>
      </c>
      <c r="V5" s="44" t="s">
        <v>29</v>
      </c>
      <c r="W5" s="45" t="s">
        <v>30</v>
      </c>
      <c r="X5" s="47" t="str">
        <f t="array" ref="X5">XLOOKUP($A5,'Recipients REF'!$A:$A,'Recipients REF'!L:L,"",0)</f>
        <v>LSGW1750 RMP 24020460</v>
      </c>
      <c r="Y5" s="48" t="s">
        <v>29</v>
      </c>
      <c r="Z5" s="48" t="s">
        <v>31</v>
      </c>
      <c r="AA5" s="46" t="str">
        <f t="array" ref="AA5">XLOOKUP($A5,'Recipients REF'!$A:$A,'Recipients REF'!M:M,"",0)</f>
        <v>WDP40 RMP 24030363</v>
      </c>
      <c r="AB5" s="49"/>
      <c r="AC5" s="42"/>
      <c r="AD5" s="42"/>
      <c r="AE5" s="50"/>
      <c r="AF5" s="42"/>
      <c r="AG5" s="42"/>
      <c r="AH5" s="42"/>
      <c r="AI5" s="42" t="str">
        <f t="array" ref="AI5">XLOOKUP($E5,Sheet11!$D:$D,Sheet11!$X:$X,"",0)</f>
        <v/>
      </c>
      <c r="AJ5" s="42" t="str">
        <f t="array" ref="AJ5">XLOOKUP($E5,Sheet11!$D:$D,Sheet11!$Y:$Y,"",0)</f>
        <v/>
      </c>
    </row>
    <row r="6">
      <c r="A6" s="41">
        <v>303.0</v>
      </c>
      <c r="B6" s="42" t="s">
        <v>36</v>
      </c>
      <c r="C6" s="42" t="s">
        <v>37</v>
      </c>
      <c r="D6" s="42"/>
      <c r="E6" s="42" t="str">
        <f t="shared" ref="E6:F6" si="7">PROPER(B6)</f>
        <v>Lezo Multi-Purpose Cooperative</v>
      </c>
      <c r="F6" s="42" t="str">
        <f t="shared" si="7"/>
        <v>Poblacion, Lezo, Aklan</v>
      </c>
      <c r="G6" s="42" t="str">
        <f t="shared" si="3"/>
        <v>Poblacion</v>
      </c>
      <c r="H6" s="42" t="str">
        <f t="shared" si="4"/>
        <v>Lezo</v>
      </c>
      <c r="I6" s="42" t="str">
        <f t="shared" si="5"/>
        <v>Aklan</v>
      </c>
      <c r="J6" s="42" t="str">
        <f t="array" ref="J6">XLOOKUP($E6,'Recipients REF'!$B:$B,'Recipients REF'!D:D,"",0)</f>
        <v>Emelinda R. Dela Cruz</v>
      </c>
      <c r="K6" s="42" t="str">
        <f t="array" ref="K6">XLOOKUP($E6,'Recipients REF'!$B:$B,'Recipients REF'!E:E,"",0)</f>
        <v>0918-957-2998</v>
      </c>
      <c r="L6" s="43" t="str">
        <f t="array" ref="L6">XLOOKUP($A6,'Recipients REF'!$A:$A,'Recipients REF'!F:F,"",0)</f>
        <v>RCEF 23-09-21 Rebidding</v>
      </c>
      <c r="M6" s="43">
        <f t="array" ref="M6">XLOOKUP($A6,'Recipients REF'!$A:$A,'Recipients REF'!G:G,"",0)</f>
        <v>4</v>
      </c>
      <c r="N6" s="43">
        <f t="array" ref="N6">XLOOKUP($A6,'Recipients REF'!$A:$A,'Recipients REF'!H:H,"",0)</f>
        <v>18901</v>
      </c>
      <c r="O6" s="44" t="s">
        <v>25</v>
      </c>
      <c r="P6" s="45" t="s">
        <v>26</v>
      </c>
      <c r="Q6" s="46" t="str">
        <f t="array" ref="Q6">XLOOKUP($A6,'Recipients REF'!$A:$A,'Recipients REF'!I:I,"",0)</f>
        <v>KMC5825 ATRFPV0421</v>
      </c>
      <c r="R6" s="47" t="str">
        <f t="array" ref="R6">XLOOKUP($A6,'Recipients REF'!$A:$A,'Recipients REF'!J:J,"",0)</f>
        <v>RTS100327</v>
      </c>
      <c r="S6" s="45" t="s">
        <v>27</v>
      </c>
      <c r="T6" s="45" t="s">
        <v>28</v>
      </c>
      <c r="U6" s="46" t="str">
        <f t="array" ref="U6">XLOOKUP($A6,'Recipients REF'!$A:$A,'Recipients REF'!K:K,"",0)</f>
        <v>R-SERIES 125 PH</v>
      </c>
      <c r="V6" s="44" t="s">
        <v>29</v>
      </c>
      <c r="W6" s="45" t="s">
        <v>30</v>
      </c>
      <c r="X6" s="47" t="str">
        <f t="array" ref="X6">XLOOKUP($A6,'Recipients REF'!$A:$A,'Recipients REF'!L:L,"",0)</f>
        <v>LSGW1750 RMP 24020486</v>
      </c>
      <c r="Y6" s="48" t="s">
        <v>29</v>
      </c>
      <c r="Z6" s="48" t="s">
        <v>31</v>
      </c>
      <c r="AA6" s="46" t="str">
        <f t="array" ref="AA6">XLOOKUP($A6,'Recipients REF'!$A:$A,'Recipients REF'!M:M,"",0)</f>
        <v>WDP40 RMP 24030342</v>
      </c>
      <c r="AB6" s="49"/>
      <c r="AC6" s="42"/>
      <c r="AD6" s="42"/>
      <c r="AE6" s="50"/>
      <c r="AF6" s="42"/>
      <c r="AG6" s="42"/>
      <c r="AH6" s="42"/>
      <c r="AI6" s="42" t="str">
        <f t="array" ref="AI6">XLOOKUP($E6,Sheet11!$D:$D,Sheet11!$X:$X,"",0)</f>
        <v/>
      </c>
      <c r="AJ6" s="42" t="str">
        <f t="array" ref="AJ6">XLOOKUP($E6,Sheet11!$D:$D,Sheet11!$Y:$Y,"",0)</f>
        <v/>
      </c>
    </row>
    <row r="7">
      <c r="A7" s="41">
        <v>304.0</v>
      </c>
      <c r="B7" s="42" t="s">
        <v>38</v>
      </c>
      <c r="C7" s="42" t="s">
        <v>39</v>
      </c>
      <c r="D7" s="42"/>
      <c r="E7" s="42" t="str">
        <f t="shared" ref="E7:F7" si="8">PROPER(B7)</f>
        <v>Dtc-Pro Farmers Irrigators' Association, Inc.</v>
      </c>
      <c r="F7" s="42" t="str">
        <f t="shared" si="8"/>
        <v>Dumga, Makato, Aklan</v>
      </c>
      <c r="G7" s="42" t="str">
        <f t="shared" si="3"/>
        <v>Dumga</v>
      </c>
      <c r="H7" s="42" t="str">
        <f t="shared" si="4"/>
        <v>Makato</v>
      </c>
      <c r="I7" s="42" t="str">
        <f t="shared" si="5"/>
        <v>Aklan</v>
      </c>
      <c r="J7" s="42" t="str">
        <f t="array" ref="J7">XLOOKUP($E7,'Recipients REF'!$B:$B,'Recipients REF'!D:D,"",0)</f>
        <v>Ramon Togoto</v>
      </c>
      <c r="K7" s="42" t="str">
        <f t="array" ref="K7">XLOOKUP($E7,'Recipients REF'!$B:$B,'Recipients REF'!E:E,"",0)</f>
        <v>0909-929-3299</v>
      </c>
      <c r="L7" s="43" t="str">
        <f t="array" ref="L7">XLOOKUP($A7,'Recipients REF'!$A:$A,'Recipients REF'!F:F,"",0)</f>
        <v>RCEF 23-09-21 Rebidding</v>
      </c>
      <c r="M7" s="43">
        <f t="array" ref="M7">XLOOKUP($A7,'Recipients REF'!$A:$A,'Recipients REF'!G:G,"",0)</f>
        <v>4</v>
      </c>
      <c r="N7" s="43">
        <f t="array" ref="N7">XLOOKUP($A7,'Recipients REF'!$A:$A,'Recipients REF'!H:H,"",0)</f>
        <v>18902</v>
      </c>
      <c r="O7" s="44" t="s">
        <v>25</v>
      </c>
      <c r="P7" s="45" t="s">
        <v>26</v>
      </c>
      <c r="Q7" s="46" t="str">
        <f t="array" ref="Q7">XLOOKUP($A7,'Recipients REF'!$A:$A,'Recipients REF'!I:I,"",0)</f>
        <v>KMC5825 AHRFPV0463</v>
      </c>
      <c r="R7" s="47" t="str">
        <f t="array" ref="R7">XLOOKUP($A7,'Recipients REF'!$A:$A,'Recipients REF'!J:J,"",0)</f>
        <v>RTS100376</v>
      </c>
      <c r="S7" s="45" t="s">
        <v>27</v>
      </c>
      <c r="T7" s="45" t="s">
        <v>28</v>
      </c>
      <c r="U7" s="46" t="str">
        <f t="array" ref="U7">XLOOKUP($A7,'Recipients REF'!$A:$A,'Recipients REF'!K:K,"",0)</f>
        <v>R-SERIES 274 PH</v>
      </c>
      <c r="V7" s="44" t="s">
        <v>29</v>
      </c>
      <c r="W7" s="45" t="s">
        <v>30</v>
      </c>
      <c r="X7" s="47" t="str">
        <f t="array" ref="X7">XLOOKUP($A7,'Recipients REF'!$A:$A,'Recipients REF'!L:L,"",0)</f>
        <v>LSGW1750 RMP 24020489</v>
      </c>
      <c r="Y7" s="48" t="s">
        <v>29</v>
      </c>
      <c r="Z7" s="48" t="s">
        <v>31</v>
      </c>
      <c r="AA7" s="46" t="str">
        <f t="array" ref="AA7">XLOOKUP($A7,'Recipients REF'!$A:$A,'Recipients REF'!M:M,"",0)</f>
        <v>WDP40 RMP 24040397</v>
      </c>
      <c r="AB7" s="49"/>
      <c r="AC7" s="42"/>
      <c r="AD7" s="42"/>
      <c r="AE7" s="50"/>
      <c r="AF7" s="42"/>
      <c r="AG7" s="42"/>
      <c r="AH7" s="42"/>
      <c r="AI7" s="42" t="str">
        <f t="array" ref="AI7">XLOOKUP($E7,Sheet11!$D:$D,Sheet11!$X:$X,"",0)</f>
        <v/>
      </c>
      <c r="AJ7" s="42" t="str">
        <f t="array" ref="AJ7">XLOOKUP($E7,Sheet11!$D:$D,Sheet11!$Y:$Y,"",0)</f>
        <v/>
      </c>
    </row>
    <row r="8">
      <c r="A8" s="41">
        <v>305.0</v>
      </c>
      <c r="B8" s="42" t="s">
        <v>40</v>
      </c>
      <c r="C8" s="42" t="s">
        <v>41</v>
      </c>
      <c r="D8" s="42"/>
      <c r="E8" s="42" t="str">
        <f t="shared" ref="E8:F8" si="9">PROPER(B8)</f>
        <v>Navitas Farmer'S Association (Nfa)</v>
      </c>
      <c r="F8" s="42" t="str">
        <f t="shared" si="9"/>
        <v>Navitas, Malinao, Aklan</v>
      </c>
      <c r="G8" s="42" t="str">
        <f t="shared" si="3"/>
        <v>Navitas</v>
      </c>
      <c r="H8" s="42" t="str">
        <f t="shared" si="4"/>
        <v>Malinao</v>
      </c>
      <c r="I8" s="42" t="str">
        <f t="shared" si="5"/>
        <v>Aklan</v>
      </c>
      <c r="J8" s="42" t="str">
        <f t="array" ref="J8">XLOOKUP($E8,'Recipients REF'!$B:$B,'Recipients REF'!D:D,"",0)</f>
        <v>Rose Melinda Odorita</v>
      </c>
      <c r="K8" s="42" t="str">
        <f t="array" ref="K8">XLOOKUP($E8,'Recipients REF'!$B:$B,'Recipients REF'!E:E,"",0)</f>
        <v>0946-380-6871</v>
      </c>
      <c r="L8" s="43" t="str">
        <f t="array" ref="L8">XLOOKUP($A8,'Recipients REF'!$A:$A,'Recipients REF'!F:F,"",0)</f>
        <v>RCEF 23-09-21 Rebidding</v>
      </c>
      <c r="M8" s="43">
        <f t="array" ref="M8">XLOOKUP($A8,'Recipients REF'!$A:$A,'Recipients REF'!G:G,"",0)</f>
        <v>4</v>
      </c>
      <c r="N8" s="43">
        <f t="array" ref="N8">XLOOKUP($A8,'Recipients REF'!$A:$A,'Recipients REF'!H:H,"",0)</f>
        <v>18903</v>
      </c>
      <c r="O8" s="44" t="s">
        <v>25</v>
      </c>
      <c r="P8" s="45" t="s">
        <v>26</v>
      </c>
      <c r="Q8" s="46" t="str">
        <f t="array" ref="Q8">XLOOKUP($A8,'Recipients REF'!$A:$A,'Recipients REF'!I:I,"",0)</f>
        <v>KMC5825AHRFPV0379</v>
      </c>
      <c r="R8" s="47" t="str">
        <f t="array" ref="R8">XLOOKUP($A8,'Recipients REF'!$A:$A,'Recipients REF'!J:J,"",0)</f>
        <v>RTS100263</v>
      </c>
      <c r="S8" s="45" t="s">
        <v>27</v>
      </c>
      <c r="T8" s="45" t="s">
        <v>28</v>
      </c>
      <c r="U8" s="46" t="str">
        <f t="array" ref="U8">XLOOKUP($A8,'Recipients REF'!$A:$A,'Recipients REF'!K:K,"",0)</f>
        <v>R-SERIES 120 PH</v>
      </c>
      <c r="V8" s="44" t="s">
        <v>29</v>
      </c>
      <c r="W8" s="45" t="s">
        <v>30</v>
      </c>
      <c r="X8" s="47" t="str">
        <f t="array" ref="X8">XLOOKUP($A8,'Recipients REF'!$A:$A,'Recipients REF'!L:L,"",0)</f>
        <v>LSGW1750 RMP 24020459</v>
      </c>
      <c r="Y8" s="48" t="s">
        <v>29</v>
      </c>
      <c r="Z8" s="48" t="s">
        <v>31</v>
      </c>
      <c r="AA8" s="46" t="str">
        <f t="array" ref="AA8">XLOOKUP($A8,'Recipients REF'!$A:$A,'Recipients REF'!M:M,"",0)</f>
        <v>WDP40 RMP 24010120</v>
      </c>
      <c r="AB8" s="49"/>
      <c r="AC8" s="42"/>
      <c r="AD8" s="42"/>
      <c r="AE8" s="50"/>
      <c r="AF8" s="42"/>
      <c r="AG8" s="42"/>
      <c r="AH8" s="42"/>
      <c r="AI8" s="42" t="str">
        <f t="array" ref="AI8">XLOOKUP($E8,Sheet11!$D:$D,Sheet11!$X:$X,"",0)</f>
        <v/>
      </c>
      <c r="AJ8" s="42" t="str">
        <f t="array" ref="AJ8">XLOOKUP($E8,Sheet11!$D:$D,Sheet11!$Y:$Y,"",0)</f>
        <v/>
      </c>
    </row>
    <row r="9">
      <c r="A9" s="41">
        <v>306.0</v>
      </c>
      <c r="B9" s="42" t="s">
        <v>42</v>
      </c>
      <c r="C9" s="42" t="s">
        <v>43</v>
      </c>
      <c r="D9" s="42"/>
      <c r="E9" s="42" t="str">
        <f t="shared" ref="E9:F9" si="10">PROPER(B9)</f>
        <v>Solido Cluster Farmers Association</v>
      </c>
      <c r="F9" s="42" t="str">
        <f t="shared" si="10"/>
        <v>Solido, Nabas, Aklan</v>
      </c>
      <c r="G9" s="42" t="str">
        <f t="shared" si="3"/>
        <v>Solido</v>
      </c>
      <c r="H9" s="42" t="str">
        <f t="shared" si="4"/>
        <v>Nabas</v>
      </c>
      <c r="I9" s="42" t="str">
        <f t="shared" si="5"/>
        <v>Aklan</v>
      </c>
      <c r="J9" s="42" t="str">
        <f t="array" ref="J9">XLOOKUP($E9,'Recipients REF'!$B:$B,'Recipients REF'!D:D,"",0)</f>
        <v>Felix Dubrico</v>
      </c>
      <c r="K9" s="42" t="str">
        <f t="array" ref="K9">XLOOKUP($E9,'Recipients REF'!$B:$B,'Recipients REF'!E:E,"",0)</f>
        <v>0907-602-9968</v>
      </c>
      <c r="L9" s="43" t="str">
        <f t="array" ref="L9">XLOOKUP($A9,'Recipients REF'!$A:$A,'Recipients REF'!F:F,"",0)</f>
        <v>RCEF 23-09-21 Rebidding</v>
      </c>
      <c r="M9" s="43">
        <f t="array" ref="M9">XLOOKUP($A9,'Recipients REF'!$A:$A,'Recipients REF'!G:G,"",0)</f>
        <v>4</v>
      </c>
      <c r="N9" s="43">
        <f t="array" ref="N9">XLOOKUP($A9,'Recipients REF'!$A:$A,'Recipients REF'!H:H,"",0)</f>
        <v>18904</v>
      </c>
      <c r="O9" s="44" t="s">
        <v>25</v>
      </c>
      <c r="P9" s="45" t="s">
        <v>26</v>
      </c>
      <c r="Q9" s="46" t="str">
        <f t="array" ref="Q9">XLOOKUP($A9,'Recipients REF'!$A:$A,'Recipients REF'!I:I,"",0)</f>
        <v>KMC5825 AKRFPV0325</v>
      </c>
      <c r="R9" s="47" t="str">
        <f t="array" ref="R9">XLOOKUP($A9,'Recipients REF'!$A:$A,'Recipients REF'!J:J,"",0)</f>
        <v>RTS100168</v>
      </c>
      <c r="S9" s="45" t="s">
        <v>27</v>
      </c>
      <c r="T9" s="45" t="s">
        <v>28</v>
      </c>
      <c r="U9" s="46" t="str">
        <f t="array" ref="U9">XLOOKUP($A9,'Recipients REF'!$A:$A,'Recipients REF'!K:K,"",0)</f>
        <v>R-SERIES 060 PH</v>
      </c>
      <c r="V9" s="44" t="s">
        <v>29</v>
      </c>
      <c r="W9" s="45" t="s">
        <v>30</v>
      </c>
      <c r="X9" s="47" t="str">
        <f t="array" ref="X9">XLOOKUP($A9,'Recipients REF'!$A:$A,'Recipients REF'!L:L,"",0)</f>
        <v>LSGW1750 RMP 24020483</v>
      </c>
      <c r="Y9" s="48" t="s">
        <v>29</v>
      </c>
      <c r="Z9" s="48" t="s">
        <v>31</v>
      </c>
      <c r="AA9" s="46" t="str">
        <f t="array" ref="AA9">XLOOKUP($A9,'Recipients REF'!$A:$A,'Recipients REF'!M:M,"",0)</f>
        <v>WDP40 RMP 24040464</v>
      </c>
      <c r="AB9" s="49"/>
      <c r="AC9" s="42"/>
      <c r="AD9" s="42"/>
      <c r="AE9" s="50"/>
      <c r="AF9" s="42"/>
      <c r="AG9" s="42"/>
      <c r="AH9" s="42"/>
      <c r="AI9" s="42" t="str">
        <f t="array" ref="AI9">XLOOKUP($E9,Sheet11!$D:$D,Sheet11!$X:$X,"",0)</f>
        <v/>
      </c>
      <c r="AJ9" s="42" t="str">
        <f t="array" ref="AJ9">XLOOKUP($E9,Sheet11!$D:$D,Sheet11!$Y:$Y,"",0)</f>
        <v/>
      </c>
    </row>
    <row r="10">
      <c r="A10" s="41">
        <v>307.0</v>
      </c>
      <c r="B10" s="42" t="s">
        <v>44</v>
      </c>
      <c r="C10" s="42" t="s">
        <v>45</v>
      </c>
      <c r="D10" s="42"/>
      <c r="E10" s="42" t="str">
        <f t="shared" ref="E10:F10" si="11">PROPER(B10)</f>
        <v>Integrated Barangays Of Numancia Multi-Purpose Cooperative (Ibon Mpc)</v>
      </c>
      <c r="F10" s="42" t="str">
        <f t="shared" si="11"/>
        <v>Pusiw, Numancia, Aklan</v>
      </c>
      <c r="G10" s="42" t="str">
        <f t="shared" si="3"/>
        <v>Pusiw</v>
      </c>
      <c r="H10" s="42" t="str">
        <f t="shared" si="4"/>
        <v>Numancia</v>
      </c>
      <c r="I10" s="42" t="str">
        <f t="shared" si="5"/>
        <v>Aklan</v>
      </c>
      <c r="J10" s="42" t="str">
        <f t="array" ref="J10">XLOOKUP($E10,'Recipients REF'!$B:$B,'Recipients REF'!D:D,"",0)</f>
        <v>Stineli F. Barrios</v>
      </c>
      <c r="K10" s="42" t="str">
        <f t="array" ref="K10">XLOOKUP($E10,'Recipients REF'!$B:$B,'Recipients REF'!E:E,"",0)</f>
        <v>0948-151-6655</v>
      </c>
      <c r="L10" s="43" t="str">
        <f t="array" ref="L10">XLOOKUP($A10,'Recipients REF'!$A:$A,'Recipients REF'!F:F,"",0)</f>
        <v>RCEF 23-09-21 Rebidding</v>
      </c>
      <c r="M10" s="43">
        <f t="array" ref="M10">XLOOKUP($A10,'Recipients REF'!$A:$A,'Recipients REF'!G:G,"",0)</f>
        <v>4</v>
      </c>
      <c r="N10" s="43">
        <f t="array" ref="N10">XLOOKUP($A10,'Recipients REF'!$A:$A,'Recipients REF'!H:H,"",0)</f>
        <v>18905</v>
      </c>
      <c r="O10" s="44" t="s">
        <v>25</v>
      </c>
      <c r="P10" s="45" t="s">
        <v>26</v>
      </c>
      <c r="Q10" s="46" t="str">
        <f t="array" ref="Q10">XLOOKUP($A10,'Recipients REF'!$A:$A,'Recipients REF'!I:I,"",0)</f>
        <v>KMC5825 AHRFPV0396</v>
      </c>
      <c r="R10" s="47" t="str">
        <f t="array" ref="R10">XLOOKUP($A10,'Recipients REF'!$A:$A,'Recipients REF'!J:J,"",0)</f>
        <v>RTS100291</v>
      </c>
      <c r="S10" s="45" t="s">
        <v>27</v>
      </c>
      <c r="T10" s="45" t="s">
        <v>28</v>
      </c>
      <c r="U10" s="46" t="str">
        <f t="array" ref="U10">XLOOKUP($A10,'Recipients REF'!$A:$A,'Recipients REF'!K:K,"",0)</f>
        <v>R-SERIES 016 PH</v>
      </c>
      <c r="V10" s="44" t="s">
        <v>29</v>
      </c>
      <c r="W10" s="45" t="s">
        <v>30</v>
      </c>
      <c r="X10" s="47" t="str">
        <f t="array" ref="X10">XLOOKUP($A10,'Recipients REF'!$A:$A,'Recipients REF'!L:L,"",0)</f>
        <v>LSGW1750 RMP 24020478</v>
      </c>
      <c r="Y10" s="48" t="s">
        <v>29</v>
      </c>
      <c r="Z10" s="48" t="s">
        <v>31</v>
      </c>
      <c r="AA10" s="46" t="str">
        <f t="array" ref="AA10">XLOOKUP($A10,'Recipients REF'!$A:$A,'Recipients REF'!M:M,"",0)</f>
        <v>WDP40 RMP 24010123</v>
      </c>
      <c r="AB10" s="49"/>
      <c r="AC10" s="42"/>
      <c r="AD10" s="42"/>
      <c r="AE10" s="50"/>
      <c r="AF10" s="42"/>
      <c r="AG10" s="42"/>
      <c r="AH10" s="42"/>
      <c r="AI10" s="42" t="str">
        <f t="array" ref="AI10">XLOOKUP($E10,Sheet11!$D:$D,Sheet11!$X:$X,"",0)</f>
        <v/>
      </c>
      <c r="AJ10" s="42" t="str">
        <f t="array" ref="AJ10">XLOOKUP($E10,Sheet11!$D:$D,Sheet11!$Y:$Y,"",0)</f>
        <v/>
      </c>
    </row>
    <row r="11">
      <c r="A11" s="41">
        <v>308.0</v>
      </c>
      <c r="B11" s="42" t="s">
        <v>46</v>
      </c>
      <c r="C11" s="42" t="s">
        <v>47</v>
      </c>
      <c r="D11" s="42"/>
      <c r="E11" s="42" t="str">
        <f t="shared" ref="E11:F11" si="12">PROPER(B11)</f>
        <v>Laguinbanua West Farmers Association</v>
      </c>
      <c r="F11" s="42" t="str">
        <f t="shared" si="12"/>
        <v>Laguinbanua West, Numancia, Aklan</v>
      </c>
      <c r="G11" s="42" t="str">
        <f t="shared" si="3"/>
        <v>Laguinbanua West</v>
      </c>
      <c r="H11" s="42" t="str">
        <f t="shared" si="4"/>
        <v>Numancia</v>
      </c>
      <c r="I11" s="42" t="str">
        <f t="shared" si="5"/>
        <v>Aklan</v>
      </c>
      <c r="J11" s="42" t="str">
        <f t="array" ref="J11">XLOOKUP($E11,'Recipients REF'!$B:$B,'Recipients REF'!D:D,"",0)</f>
        <v>Leonarda B. De Miguel</v>
      </c>
      <c r="K11" s="42" t="str">
        <f t="array" ref="K11">XLOOKUP($E11,'Recipients REF'!$B:$B,'Recipients REF'!E:E,"",0)</f>
        <v>0918-448-2414</v>
      </c>
      <c r="L11" s="43" t="str">
        <f t="array" ref="L11">XLOOKUP($A11,'Recipients REF'!$A:$A,'Recipients REF'!F:F,"",0)</f>
        <v>RCEF 23-09-21 Rebidding</v>
      </c>
      <c r="M11" s="43">
        <f t="array" ref="M11">XLOOKUP($A11,'Recipients REF'!$A:$A,'Recipients REF'!G:G,"",0)</f>
        <v>4</v>
      </c>
      <c r="N11" s="43">
        <f t="array" ref="N11">XLOOKUP($A11,'Recipients REF'!$A:$A,'Recipients REF'!H:H,"",0)</f>
        <v>18906</v>
      </c>
      <c r="O11" s="44" t="s">
        <v>25</v>
      </c>
      <c r="P11" s="45" t="s">
        <v>26</v>
      </c>
      <c r="Q11" s="46" t="str">
        <f t="array" ref="Q11">XLOOKUP($A11,'Recipients REF'!$A:$A,'Recipients REF'!I:I,"",0)</f>
        <v>KMC5825 ALRFPV0381</v>
      </c>
      <c r="R11" s="47" t="str">
        <f t="array" ref="R11">XLOOKUP($A11,'Recipients REF'!$A:$A,'Recipients REF'!J:J,"",0)</f>
        <v>RTS100249</v>
      </c>
      <c r="S11" s="45" t="s">
        <v>27</v>
      </c>
      <c r="T11" s="45" t="s">
        <v>28</v>
      </c>
      <c r="U11" s="46" t="str">
        <f t="array" ref="U11">XLOOKUP($A11,'Recipients REF'!$A:$A,'Recipients REF'!K:K,"",0)</f>
        <v>R-SERIES 007 PH</v>
      </c>
      <c r="V11" s="44" t="s">
        <v>29</v>
      </c>
      <c r="W11" s="45" t="s">
        <v>30</v>
      </c>
      <c r="X11" s="47" t="str">
        <f t="array" ref="X11">XLOOKUP($A11,'Recipients REF'!$A:$A,'Recipients REF'!L:L,"",0)</f>
        <v>LSGW1750 RMP 24020476</v>
      </c>
      <c r="Y11" s="48" t="s">
        <v>29</v>
      </c>
      <c r="Z11" s="48" t="s">
        <v>31</v>
      </c>
      <c r="AA11" s="46" t="str">
        <f t="array" ref="AA11">XLOOKUP($A11,'Recipients REF'!$A:$A,'Recipients REF'!M:M,"",0)</f>
        <v>WDP40 RMP 24010113</v>
      </c>
      <c r="AB11" s="49"/>
      <c r="AC11" s="42"/>
      <c r="AD11" s="42"/>
      <c r="AE11" s="50"/>
      <c r="AF11" s="42"/>
      <c r="AG11" s="42"/>
      <c r="AH11" s="42"/>
      <c r="AI11" s="42" t="str">
        <f t="array" ref="AI11">XLOOKUP($E11,Sheet11!$D:$D,Sheet11!$X:$X,"",0)</f>
        <v/>
      </c>
      <c r="AJ11" s="42" t="str">
        <f t="array" ref="AJ11">XLOOKUP($E11,Sheet11!$D:$D,Sheet11!$Y:$Y,"",0)</f>
        <v/>
      </c>
    </row>
    <row r="12">
      <c r="A12" s="41">
        <v>382.0</v>
      </c>
      <c r="B12" s="42" t="s">
        <v>48</v>
      </c>
      <c r="C12" s="42" t="s">
        <v>49</v>
      </c>
      <c r="D12" s="42"/>
      <c r="E12" s="42" t="str">
        <f t="shared" ref="E12:F12" si="13">PROPER(B12)</f>
        <v>Dalipdip Integrated Farmers Association</v>
      </c>
      <c r="F12" s="42" t="str">
        <f t="shared" si="13"/>
        <v>Dalipdip, Altavas, Aklan</v>
      </c>
      <c r="G12" s="42" t="str">
        <f t="shared" si="3"/>
        <v>Dalipdip</v>
      </c>
      <c r="H12" s="42" t="str">
        <f t="shared" si="4"/>
        <v>Altavas</v>
      </c>
      <c r="I12" s="42" t="str">
        <f t="shared" si="5"/>
        <v>Aklan</v>
      </c>
      <c r="J12" s="42" t="str">
        <f t="array" ref="J12">XLOOKUP($E12,'Recipients REF'!$B:$B,'Recipients REF'!D:D,"",0)</f>
        <v>Reynaldo G. Gallo</v>
      </c>
      <c r="K12" s="42" t="str">
        <f t="array" ref="K12">XLOOKUP($E12,'Recipients REF'!$B:$B,'Recipients REF'!E:E,"",0)</f>
        <v>0921-882-9361</v>
      </c>
      <c r="L12" s="43" t="str">
        <f t="array" ref="L12">XLOOKUP($A12,'Recipients REF'!$A:$A,'Recipients REF'!F:F,"",0)</f>
        <v>RCEF 23-09-21 Rebidding</v>
      </c>
      <c r="M12" s="43">
        <f t="array" ref="M12">XLOOKUP($A12,'Recipients REF'!$A:$A,'Recipients REF'!G:G,"",0)</f>
        <v>4</v>
      </c>
      <c r="N12" s="43">
        <f t="array" ref="N12">XLOOKUP($A12,'Recipients REF'!$A:$A,'Recipients REF'!H:H,"",0)</f>
        <v>19040</v>
      </c>
      <c r="O12" s="44" t="s">
        <v>25</v>
      </c>
      <c r="P12" s="45" t="s">
        <v>26</v>
      </c>
      <c r="Q12" s="46" t="str">
        <f t="array" ref="Q12">XLOOKUP($A12,'Recipients REF'!$A:$A,'Recipients REF'!I:I,"",0)</f>
        <v>KMC5825ALRFPV0543</v>
      </c>
      <c r="R12" s="47" t="str">
        <f t="array" ref="R12">XLOOKUP($A12,'Recipients REF'!$A:$A,'Recipients REF'!J:J,"",0)</f>
        <v>RTS100446</v>
      </c>
      <c r="S12" s="45" t="s">
        <v>27</v>
      </c>
      <c r="T12" s="45" t="s">
        <v>28</v>
      </c>
      <c r="U12" s="46" t="str">
        <f t="array" ref="U12">XLOOKUP($A12,'Recipients REF'!$A:$A,'Recipients REF'!K:K,"",0)</f>
        <v>WR-SERIES 766 PH</v>
      </c>
      <c r="V12" s="44" t="s">
        <v>29</v>
      </c>
      <c r="W12" s="45" t="s">
        <v>30</v>
      </c>
      <c r="X12" s="47" t="str">
        <f t="array" ref="X12">XLOOKUP($A12,'Recipients REF'!$A:$A,'Recipients REF'!L:L,"",0)</f>
        <v>LSGW1750 RMP 24040657</v>
      </c>
      <c r="Y12" s="48" t="s">
        <v>29</v>
      </c>
      <c r="Z12" s="48" t="s">
        <v>31</v>
      </c>
      <c r="AA12" s="46" t="str">
        <f t="array" ref="AA12">XLOOKUP($A12,'Recipients REF'!$A:$A,'Recipients REF'!M:M,"",0)</f>
        <v>WDP40 RMP 24040414</v>
      </c>
      <c r="AB12" s="49"/>
      <c r="AC12" s="42"/>
      <c r="AD12" s="42"/>
      <c r="AE12" s="50"/>
      <c r="AF12" s="42"/>
      <c r="AG12" s="42"/>
      <c r="AH12" s="42"/>
      <c r="AI12" s="42">
        <f t="array" ref="AI12">XLOOKUP($E12,Sheet11!$D:$D,Sheet11!$X:$X,"",0)</f>
        <v>869066060243228</v>
      </c>
      <c r="AJ12" s="42">
        <f t="array" ref="AJ12">XLOOKUP($E12,Sheet11!$D:$D,Sheet11!$Y:$Y,"",0)</f>
        <v>9083571281</v>
      </c>
    </row>
    <row r="13">
      <c r="A13" s="41">
        <v>383.0</v>
      </c>
      <c r="B13" s="42" t="s">
        <v>50</v>
      </c>
      <c r="C13" s="42" t="s">
        <v>51</v>
      </c>
      <c r="D13" s="42"/>
      <c r="E13" s="42" t="str">
        <f t="shared" ref="E13:F13" si="14">PROPER(B13)</f>
        <v>Mabais Tagaytay Bantayan Farmer’S Association</v>
      </c>
      <c r="F13" s="42" t="str">
        <f t="shared" si="14"/>
        <v>Feliciano, Balete, Aklan</v>
      </c>
      <c r="G13" s="42" t="str">
        <f t="shared" si="3"/>
        <v>Feliciano</v>
      </c>
      <c r="H13" s="42" t="str">
        <f t="shared" si="4"/>
        <v>Balete</v>
      </c>
      <c r="I13" s="42" t="str">
        <f t="shared" si="5"/>
        <v>Aklan</v>
      </c>
      <c r="J13" s="42" t="str">
        <f t="array" ref="J13">XLOOKUP($E13,'Recipients REF'!$B:$B,'Recipients REF'!D:D,"",0)</f>
        <v>Raul Birol</v>
      </c>
      <c r="K13" s="42" t="str">
        <f t="array" ref="K13">XLOOKUP($E13,'Recipients REF'!$B:$B,'Recipients REF'!E:E,"",0)</f>
        <v>0909-855-9889</v>
      </c>
      <c r="L13" s="43" t="str">
        <f t="array" ref="L13">XLOOKUP($A13,'Recipients REF'!$A:$A,'Recipients REF'!F:F,"",0)</f>
        <v>RCEF 23-09-21 Rebidding</v>
      </c>
      <c r="M13" s="43">
        <f t="array" ref="M13">XLOOKUP($A13,'Recipients REF'!$A:$A,'Recipients REF'!G:G,"",0)</f>
        <v>4</v>
      </c>
      <c r="N13" s="43">
        <f t="array" ref="N13">XLOOKUP($A13,'Recipients REF'!$A:$A,'Recipients REF'!H:H,"",0)</f>
        <v>19041</v>
      </c>
      <c r="O13" s="44" t="s">
        <v>25</v>
      </c>
      <c r="P13" s="45" t="s">
        <v>26</v>
      </c>
      <c r="Q13" s="46" t="str">
        <f t="array" ref="Q13">XLOOKUP($A13,'Recipients REF'!$A:$A,'Recipients REF'!I:I,"",0)</f>
        <v>KMC5825ALRFPV0644</v>
      </c>
      <c r="R13" s="47" t="str">
        <f t="array" ref="R13">XLOOKUP($A13,'Recipients REF'!$A:$A,'Recipients REF'!J:J,"",0)</f>
        <v>RTS100210</v>
      </c>
      <c r="S13" s="45" t="s">
        <v>27</v>
      </c>
      <c r="T13" s="45" t="s">
        <v>28</v>
      </c>
      <c r="U13" s="46" t="str">
        <f t="array" ref="U13">XLOOKUP($A13,'Recipients REF'!$A:$A,'Recipients REF'!K:K,"",0)</f>
        <v>WR-SERIES 796 PH</v>
      </c>
      <c r="V13" s="44" t="s">
        <v>29</v>
      </c>
      <c r="W13" s="45" t="s">
        <v>30</v>
      </c>
      <c r="X13" s="47" t="str">
        <f t="array" ref="X13">XLOOKUP($A13,'Recipients REF'!$A:$A,'Recipients REF'!L:L,"",0)</f>
        <v>LSGW1750 RMP 24040652</v>
      </c>
      <c r="Y13" s="48" t="s">
        <v>29</v>
      </c>
      <c r="Z13" s="48" t="s">
        <v>31</v>
      </c>
      <c r="AA13" s="46" t="str">
        <f t="array" ref="AA13">XLOOKUP($A13,'Recipients REF'!$A:$A,'Recipients REF'!M:M,"",0)</f>
        <v>WDP40 RMP 24040398</v>
      </c>
      <c r="AB13" s="49"/>
      <c r="AC13" s="42"/>
      <c r="AD13" s="42"/>
      <c r="AE13" s="50"/>
      <c r="AF13" s="42"/>
      <c r="AG13" s="42"/>
      <c r="AH13" s="42"/>
      <c r="AI13" s="42">
        <f t="array" ref="AI13">XLOOKUP($E13,Sheet11!$D:$D,Sheet11!$X:$X,"",0)</f>
        <v>869066060241339</v>
      </c>
      <c r="AJ13" s="42">
        <f t="array" ref="AJ13">XLOOKUP($E13,Sheet11!$D:$D,Sheet11!$Y:$Y,"",0)</f>
        <v>9083147120</v>
      </c>
    </row>
    <row r="14">
      <c r="A14" s="41">
        <v>384.0</v>
      </c>
      <c r="B14" s="42" t="s">
        <v>52</v>
      </c>
      <c r="C14" s="42" t="s">
        <v>53</v>
      </c>
      <c r="D14" s="42"/>
      <c r="E14" s="42" t="str">
        <f t="shared" ref="E14:F14" si="15">PROPER(B14)</f>
        <v>Estancia Farmers' Association</v>
      </c>
      <c r="F14" s="42" t="str">
        <f t="shared" si="15"/>
        <v>Estancia, Kalibo, Aklan</v>
      </c>
      <c r="G14" s="42" t="str">
        <f t="shared" si="3"/>
        <v>Estancia</v>
      </c>
      <c r="H14" s="42" t="str">
        <f t="shared" si="4"/>
        <v>Kalibo</v>
      </c>
      <c r="I14" s="42" t="str">
        <f t="shared" si="5"/>
        <v>Aklan</v>
      </c>
      <c r="J14" s="42" t="str">
        <f t="array" ref="J14">XLOOKUP($E14,'Recipients REF'!$B:$B,'Recipients REF'!D:D,"",0)</f>
        <v>CEZAR F. ICABANDI</v>
      </c>
      <c r="K14" s="42" t="str">
        <f t="array" ref="K14">XLOOKUP($E14,'Recipients REF'!$B:$B,'Recipients REF'!E:E,"",0)</f>
        <v>0950-272-6806</v>
      </c>
      <c r="L14" s="43" t="str">
        <f t="array" ref="L14">XLOOKUP($A14,'Recipients REF'!$A:$A,'Recipients REF'!F:F,"",0)</f>
        <v>RCEF 23-09-21 Rebidding</v>
      </c>
      <c r="M14" s="43">
        <f t="array" ref="M14">XLOOKUP($A14,'Recipients REF'!$A:$A,'Recipients REF'!G:G,"",0)</f>
        <v>4</v>
      </c>
      <c r="N14" s="43">
        <f t="array" ref="N14">XLOOKUP($A14,'Recipients REF'!$A:$A,'Recipients REF'!H:H,"",0)</f>
        <v>19042</v>
      </c>
      <c r="O14" s="44" t="s">
        <v>25</v>
      </c>
      <c r="P14" s="45" t="s">
        <v>26</v>
      </c>
      <c r="Q14" s="46" t="str">
        <f t="array" ref="Q14">XLOOKUP($A14,'Recipients REF'!$A:$A,'Recipients REF'!I:I,"",0)</f>
        <v>KMC5825AKRFPV0566</v>
      </c>
      <c r="R14" s="47" t="str">
        <f t="array" ref="R14">XLOOKUP($A14,'Recipients REF'!$A:$A,'Recipients REF'!J:J,"",0)</f>
        <v>RTS100229</v>
      </c>
      <c r="S14" s="45" t="s">
        <v>27</v>
      </c>
      <c r="T14" s="45" t="s">
        <v>28</v>
      </c>
      <c r="U14" s="46" t="str">
        <f t="array" ref="U14">XLOOKUP($A14,'Recipients REF'!$A:$A,'Recipients REF'!K:K,"",0)</f>
        <v>WR-SERIES 767 PH</v>
      </c>
      <c r="V14" s="44" t="s">
        <v>29</v>
      </c>
      <c r="W14" s="45" t="s">
        <v>30</v>
      </c>
      <c r="X14" s="47" t="str">
        <f t="array" ref="X14">XLOOKUP($A14,'Recipients REF'!$A:$A,'Recipients REF'!L:L,"",0)</f>
        <v>LSGW1750 RMP 24040660</v>
      </c>
      <c r="Y14" s="48" t="s">
        <v>29</v>
      </c>
      <c r="Z14" s="48" t="s">
        <v>31</v>
      </c>
      <c r="AA14" s="46" t="str">
        <f t="array" ref="AA14">XLOOKUP($A14,'Recipients REF'!$A:$A,'Recipients REF'!M:M,"",0)</f>
        <v>WDP40 RMP 24040402</v>
      </c>
      <c r="AB14" s="49"/>
      <c r="AC14" s="42"/>
      <c r="AD14" s="42"/>
      <c r="AE14" s="50"/>
      <c r="AF14" s="42"/>
      <c r="AG14" s="42"/>
      <c r="AH14" s="42"/>
      <c r="AI14" s="42">
        <f t="array" ref="AI14">XLOOKUP($E14,Sheet11!$D:$D,Sheet11!$X:$X,"",0)</f>
        <v>869066060245983</v>
      </c>
      <c r="AJ14" s="42">
        <f t="array" ref="AJ14">XLOOKUP($E14,Sheet11!$D:$D,Sheet11!$Y:$Y,"",0)</f>
        <v>9084547669</v>
      </c>
    </row>
    <row r="15">
      <c r="A15" s="41">
        <v>385.0</v>
      </c>
      <c r="B15" s="42" t="s">
        <v>54</v>
      </c>
      <c r="C15" s="42" t="s">
        <v>55</v>
      </c>
      <c r="D15" s="42"/>
      <c r="E15" s="42" t="str">
        <f t="shared" ref="E15:F15" si="16">PROPER(B15)</f>
        <v>Nalook Farmers' Association</v>
      </c>
      <c r="F15" s="42" t="str">
        <f t="shared" si="16"/>
        <v>Nalook, Kalibo, Aklan</v>
      </c>
      <c r="G15" s="42" t="str">
        <f t="shared" si="3"/>
        <v>Nalook</v>
      </c>
      <c r="H15" s="42" t="str">
        <f t="shared" si="4"/>
        <v>Kalibo</v>
      </c>
      <c r="I15" s="42" t="str">
        <f t="shared" si="5"/>
        <v>Aklan</v>
      </c>
      <c r="J15" s="42" t="str">
        <f t="array" ref="J15">XLOOKUP($E15,'Recipients REF'!$B:$B,'Recipients REF'!D:D,"",0)</f>
        <v>Evelyn Sioco</v>
      </c>
      <c r="K15" s="42" t="str">
        <f t="array" ref="K15">XLOOKUP($E15,'Recipients REF'!$B:$B,'Recipients REF'!E:E,"",0)</f>
        <v>0999-945-1766</v>
      </c>
      <c r="L15" s="43" t="str">
        <f t="array" ref="L15">XLOOKUP($A15,'Recipients REF'!$A:$A,'Recipients REF'!F:F,"",0)</f>
        <v>RCEF 23-09-21 Rebidding</v>
      </c>
      <c r="M15" s="43">
        <f t="array" ref="M15">XLOOKUP($A15,'Recipients REF'!$A:$A,'Recipients REF'!G:G,"",0)</f>
        <v>4</v>
      </c>
      <c r="N15" s="43">
        <f t="array" ref="N15">XLOOKUP($A15,'Recipients REF'!$A:$A,'Recipients REF'!H:H,"",0)</f>
        <v>19043</v>
      </c>
      <c r="O15" s="44" t="s">
        <v>25</v>
      </c>
      <c r="P15" s="45" t="s">
        <v>26</v>
      </c>
      <c r="Q15" s="46" t="str">
        <f t="array" ref="Q15">XLOOKUP($A15,'Recipients REF'!$A:$A,'Recipients REF'!I:I,"",0)</f>
        <v>KMC5825ATRFPV0631</v>
      </c>
      <c r="R15" s="47" t="str">
        <f t="array" ref="R15">XLOOKUP($A15,'Recipients REF'!$A:$A,'Recipients REF'!J:J,"",0)</f>
        <v>RTS100512</v>
      </c>
      <c r="S15" s="45" t="s">
        <v>27</v>
      </c>
      <c r="T15" s="45" t="s">
        <v>28</v>
      </c>
      <c r="U15" s="46" t="str">
        <f t="array" ref="U15">XLOOKUP($A15,'Recipients REF'!$A:$A,'Recipients REF'!K:K,"",0)</f>
        <v>WR-SERIES 810 PH</v>
      </c>
      <c r="V15" s="44" t="s">
        <v>29</v>
      </c>
      <c r="W15" s="45" t="s">
        <v>30</v>
      </c>
      <c r="X15" s="47" t="str">
        <f t="array" ref="X15">XLOOKUP($A15,'Recipients REF'!$A:$A,'Recipients REF'!L:L,"",0)</f>
        <v>LSGW1750 RMP 24040674</v>
      </c>
      <c r="Y15" s="48" t="s">
        <v>29</v>
      </c>
      <c r="Z15" s="48" t="s">
        <v>31</v>
      </c>
      <c r="AA15" s="46" t="str">
        <f t="array" ref="AA15">XLOOKUP($A15,'Recipients REF'!$A:$A,'Recipients REF'!M:M,"",0)</f>
        <v>WDP40 RMP 24040426</v>
      </c>
      <c r="AB15" s="49"/>
      <c r="AC15" s="42"/>
      <c r="AD15" s="42"/>
      <c r="AE15" s="50"/>
      <c r="AF15" s="42"/>
      <c r="AG15" s="42"/>
      <c r="AH15" s="42"/>
      <c r="AI15" s="42">
        <f t="array" ref="AI15">XLOOKUP($E15,Sheet11!$D:$D,Sheet11!$X:$X,"",0)</f>
        <v>869066060241438</v>
      </c>
      <c r="AJ15" s="42">
        <f t="array" ref="AJ15">XLOOKUP($E15,Sheet11!$D:$D,Sheet11!$Y:$Y,"",0)</f>
        <v>9086632468</v>
      </c>
    </row>
    <row r="16">
      <c r="A16" s="41">
        <v>386.0</v>
      </c>
      <c r="B16" s="42" t="s">
        <v>56</v>
      </c>
      <c r="C16" s="42" t="s">
        <v>57</v>
      </c>
      <c r="D16" s="42"/>
      <c r="E16" s="42" t="str">
        <f t="shared" ref="E16:F16" si="17">PROPER(B16)</f>
        <v>Puis Farmers Association</v>
      </c>
      <c r="F16" s="42" t="str">
        <f t="shared" si="17"/>
        <v>Puis, New Washington, Aklan</v>
      </c>
      <c r="G16" s="42" t="str">
        <f t="shared" si="3"/>
        <v>Puis</v>
      </c>
      <c r="H16" s="42" t="str">
        <f t="shared" si="4"/>
        <v>New Washington</v>
      </c>
      <c r="I16" s="42" t="str">
        <f t="shared" si="5"/>
        <v>Aklan</v>
      </c>
      <c r="J16" s="42" t="str">
        <f t="array" ref="J16">XLOOKUP($E16,'Recipients REF'!$B:$B,'Recipients REF'!D:D,"",0)</f>
        <v>Emmanual Tolentino</v>
      </c>
      <c r="K16" s="42" t="str">
        <f t="array" ref="K16">XLOOKUP($E16,'Recipients REF'!$B:$B,'Recipients REF'!E:E,"",0)</f>
        <v>0919-284-9193</v>
      </c>
      <c r="L16" s="43" t="str">
        <f t="array" ref="L16">XLOOKUP($A16,'Recipients REF'!$A:$A,'Recipients REF'!F:F,"",0)</f>
        <v>RCEF 23-09-21 Rebidding</v>
      </c>
      <c r="M16" s="43">
        <f t="array" ref="M16">XLOOKUP($A16,'Recipients REF'!$A:$A,'Recipients REF'!G:G,"",0)</f>
        <v>4</v>
      </c>
      <c r="N16" s="43">
        <f t="array" ref="N16">XLOOKUP($A16,'Recipients REF'!$A:$A,'Recipients REF'!H:H,"",0)</f>
        <v>19044</v>
      </c>
      <c r="O16" s="44" t="s">
        <v>25</v>
      </c>
      <c r="P16" s="45" t="s">
        <v>26</v>
      </c>
      <c r="Q16" s="46" t="str">
        <f t="array" ref="Q16">XLOOKUP($A16,'Recipients REF'!$A:$A,'Recipients REF'!I:I,"",0)</f>
        <v>KMC5825APRFPV0436</v>
      </c>
      <c r="R16" s="47" t="str">
        <f t="array" ref="R16">XLOOKUP($A16,'Recipients REF'!$A:$A,'Recipients REF'!J:J,"",0)</f>
        <v>RTS100350</v>
      </c>
      <c r="S16" s="45" t="s">
        <v>27</v>
      </c>
      <c r="T16" s="45" t="s">
        <v>28</v>
      </c>
      <c r="U16" s="46" t="str">
        <f t="array" ref="U16">XLOOKUP($A16,'Recipients REF'!$A:$A,'Recipients REF'!K:K,"",0)</f>
        <v>WR-SERIES 873 PH</v>
      </c>
      <c r="V16" s="44" t="s">
        <v>29</v>
      </c>
      <c r="W16" s="45" t="s">
        <v>30</v>
      </c>
      <c r="X16" s="47" t="str">
        <f t="array" ref="X16">XLOOKUP($A16,'Recipients REF'!$A:$A,'Recipients REF'!L:L,"",0)</f>
        <v>LSGW1750 RMP 24040654</v>
      </c>
      <c r="Y16" s="48" t="s">
        <v>29</v>
      </c>
      <c r="Z16" s="48" t="s">
        <v>31</v>
      </c>
      <c r="AA16" s="46" t="str">
        <f t="array" ref="AA16">XLOOKUP($A16,'Recipients REF'!$A:$A,'Recipients REF'!M:M,"",0)</f>
        <v>WDP40 RMP 24040410</v>
      </c>
      <c r="AB16" s="49"/>
      <c r="AC16" s="42"/>
      <c r="AD16" s="42"/>
      <c r="AE16" s="50"/>
      <c r="AF16" s="42"/>
      <c r="AG16" s="42"/>
      <c r="AH16" s="42"/>
      <c r="AI16" s="42" t="str">
        <f t="array" ref="AI16">XLOOKUP($E16,Sheet11!$D:$D,Sheet11!$X:$X,"",0)</f>
        <v/>
      </c>
      <c r="AJ16" s="42" t="str">
        <f t="array" ref="AJ16">XLOOKUP($E16,Sheet11!$D:$D,Sheet11!$Y:$Y,"",0)</f>
        <v/>
      </c>
    </row>
    <row r="17">
      <c r="A17" s="41">
        <v>881.0</v>
      </c>
      <c r="B17" s="42" t="s">
        <v>58</v>
      </c>
      <c r="C17" s="42" t="s">
        <v>59</v>
      </c>
      <c r="D17" s="42"/>
      <c r="E17" s="42" t="str">
        <f t="shared" ref="E17:F17" si="18">PROPER(B17)</f>
        <v>Lipuma Of Aklan Irrigators' Association, Inc.</v>
      </c>
      <c r="F17" s="42" t="str">
        <f t="shared" si="18"/>
        <v>Linabuan Norte, Kalibo, Aklan</v>
      </c>
      <c r="G17" s="42" t="str">
        <f t="shared" si="3"/>
        <v>Linabuan Norte</v>
      </c>
      <c r="H17" s="42" t="str">
        <f t="shared" si="4"/>
        <v>Kalibo</v>
      </c>
      <c r="I17" s="42" t="str">
        <f t="shared" si="5"/>
        <v>Aklan</v>
      </c>
      <c r="J17" s="42" t="str">
        <f t="array" ref="J17">XLOOKUP($E17,'Recipients REF'!$B:$B,'Recipients REF'!D:D,"",0)</f>
        <v>Julius Selorio</v>
      </c>
      <c r="K17" s="42" t="str">
        <f t="array" ref="K17">XLOOKUP($E17,'Recipients REF'!$B:$B,'Recipients REF'!E:E,"",0)</f>
        <v>0956-896-0448</v>
      </c>
      <c r="L17" s="43" t="str">
        <f t="array" ref="L17">XLOOKUP($A17,'Recipients REF'!$A:$A,'Recipients REF'!F:F,"",0)</f>
        <v>RCEF 25-03-05</v>
      </c>
      <c r="M17" s="43">
        <f t="array" ref="M17">XLOOKUP($A17,'Recipients REF'!$A:$A,'Recipients REF'!G:G,"",0)</f>
        <v>7</v>
      </c>
      <c r="N17" s="43" t="str">
        <f t="array" ref="N17">XLOOKUP($A17,'Recipients REF'!$A:$A,'Recipients REF'!H:H,"",0)</f>
        <v>26882 &amp; 27924</v>
      </c>
      <c r="O17" s="44" t="s">
        <v>25</v>
      </c>
      <c r="P17" s="45" t="s">
        <v>26</v>
      </c>
      <c r="Q17" s="46" t="str">
        <f t="array" ref="Q17">XLOOKUP($A17,'Recipients REF'!$A:$A,'Recipients REF'!I:I,"",0)</f>
        <v>KMC5825 ATSFPV0280</v>
      </c>
      <c r="R17" s="53" t="str">
        <f t="array" ref="R17">XLOOKUP($A17,'Recipients REF'!$A:$A,'Recipients REF'!J:J,"",0)</f>
        <v>STS100309</v>
      </c>
      <c r="S17" s="45" t="s">
        <v>27</v>
      </c>
      <c r="T17" s="45" t="s">
        <v>28</v>
      </c>
      <c r="U17" s="46" t="str">
        <f t="array" ref="U17">XLOOKUP($A17,'Recipients REF'!$A:$A,'Recipients REF'!K:K,"",0)</f>
        <v>R-SERIES 304PH</v>
      </c>
      <c r="V17" s="44" t="s">
        <v>29</v>
      </c>
      <c r="W17" s="45" t="s">
        <v>30</v>
      </c>
      <c r="X17" s="53" t="str">
        <f t="array" ref="X17">XLOOKUP($A17,'Recipients REF'!$A:$A,'Recipients REF'!L:L,"",0)</f>
        <v>25090590</v>
      </c>
      <c r="Y17" s="48" t="s">
        <v>29</v>
      </c>
      <c r="Z17" s="48" t="s">
        <v>31</v>
      </c>
      <c r="AA17" s="54" t="str">
        <f t="array" ref="AA17">XLOOKUP($A17,'Recipients REF'!$A:$A,'Recipients REF'!M:M,"",0)</f>
        <v>25090979</v>
      </c>
      <c r="AB17" s="49"/>
      <c r="AC17" s="42"/>
      <c r="AD17" s="42"/>
      <c r="AE17" s="50"/>
      <c r="AF17" s="42"/>
      <c r="AG17" s="42"/>
      <c r="AH17" s="42"/>
      <c r="AI17" s="42" t="str">
        <f t="array" ref="AI17">XLOOKUP($E17,Sheet11!$D:$D,Sheet11!$X:$X,"",0)</f>
        <v/>
      </c>
      <c r="AJ17" s="42" t="str">
        <f t="array" ref="AJ17">XLOOKUP($E17,Sheet11!$D:$D,Sheet11!$Y:$Y,"",0)</f>
        <v/>
      </c>
    </row>
    <row r="18">
      <c r="A18" s="41">
        <v>882.0</v>
      </c>
      <c r="B18" s="42" t="s">
        <v>60</v>
      </c>
      <c r="C18" s="42" t="s">
        <v>61</v>
      </c>
      <c r="D18" s="42"/>
      <c r="E18" s="42" t="str">
        <f t="shared" ref="E18:F18" si="19">PROPER(B18)</f>
        <v>A-O-A Bida Inc.</v>
      </c>
      <c r="F18" s="42" t="str">
        <f t="shared" si="19"/>
        <v>Ondoy, Ibajay, Aklan</v>
      </c>
      <c r="G18" s="42" t="str">
        <f t="shared" si="3"/>
        <v>Ondoy</v>
      </c>
      <c r="H18" s="42" t="str">
        <f t="shared" si="4"/>
        <v>Ibajay</v>
      </c>
      <c r="I18" s="42" t="str">
        <f t="shared" si="5"/>
        <v>Aklan</v>
      </c>
      <c r="J18" s="42" t="str">
        <f t="array" ref="J18">XLOOKUP($E18,'Recipients REF'!$B:$B,'Recipients REF'!D:D,"",0)</f>
        <v>LUGEL S. GELITO</v>
      </c>
      <c r="K18" s="42" t="str">
        <f t="array" ref="K18">XLOOKUP($E18,'Recipients REF'!$B:$B,'Recipients REF'!E:E,"",0)</f>
        <v>0998-725-9604</v>
      </c>
      <c r="L18" s="43" t="str">
        <f t="array" ref="L18">XLOOKUP($A18,'Recipients REF'!$A:$A,'Recipients REF'!F:F,"",0)</f>
        <v>RCEF 25-03-05</v>
      </c>
      <c r="M18" s="43">
        <f t="array" ref="M18">XLOOKUP($A18,'Recipients REF'!$A:$A,'Recipients REF'!G:G,"",0)</f>
        <v>7</v>
      </c>
      <c r="N18" s="43" t="str">
        <f t="array" ref="N18">XLOOKUP($A18,'Recipients REF'!$A:$A,'Recipients REF'!H:H,"",0)</f>
        <v>26883 &amp; 27925</v>
      </c>
      <c r="O18" s="44" t="s">
        <v>25</v>
      </c>
      <c r="P18" s="45" t="s">
        <v>26</v>
      </c>
      <c r="Q18" s="46" t="str">
        <f t="array" ref="Q18">XLOOKUP($A18,'Recipients REF'!$A:$A,'Recipients REF'!I:I,"",0)</f>
        <v>KMC5825 APSFPV0295</v>
      </c>
      <c r="R18" s="53" t="str">
        <f t="array" ref="R18">XLOOKUP($A18,'Recipients REF'!$A:$A,'Recipients REF'!J:J,"",0)</f>
        <v>STS100260</v>
      </c>
      <c r="S18" s="45" t="s">
        <v>27</v>
      </c>
      <c r="T18" s="45" t="s">
        <v>28</v>
      </c>
      <c r="U18" s="46" t="str">
        <f t="array" ref="U18">XLOOKUP($A18,'Recipients REF'!$A:$A,'Recipients REF'!K:K,"",0)</f>
        <v>R-SERIES 249PH</v>
      </c>
      <c r="V18" s="44" t="s">
        <v>29</v>
      </c>
      <c r="W18" s="45" t="s">
        <v>30</v>
      </c>
      <c r="X18" s="53" t="str">
        <f t="array" ref="X18">XLOOKUP($A18,'Recipients REF'!$A:$A,'Recipients REF'!L:L,"",0)</f>
        <v>25090636</v>
      </c>
      <c r="Y18" s="48" t="s">
        <v>29</v>
      </c>
      <c r="Z18" s="48" t="s">
        <v>31</v>
      </c>
      <c r="AA18" s="54" t="str">
        <f t="array" ref="AA18">XLOOKUP($A18,'Recipients REF'!$A:$A,'Recipients REF'!M:M,"",0)</f>
        <v>25090981</v>
      </c>
      <c r="AB18" s="49"/>
      <c r="AC18" s="42"/>
      <c r="AD18" s="42"/>
      <c r="AE18" s="50"/>
      <c r="AF18" s="42"/>
      <c r="AG18" s="42"/>
      <c r="AH18" s="42"/>
      <c r="AI18" s="42" t="str">
        <f t="array" ref="AI18">XLOOKUP($E18,Sheet11!$D:$D,Sheet11!$X:$X,"",0)</f>
        <v/>
      </c>
      <c r="AJ18" s="42" t="str">
        <f t="array" ref="AJ18">XLOOKUP($E18,Sheet11!$D:$D,Sheet11!$Y:$Y,"",0)</f>
        <v/>
      </c>
    </row>
    <row r="19">
      <c r="A19" s="41">
        <v>883.0</v>
      </c>
      <c r="B19" s="42" t="s">
        <v>62</v>
      </c>
      <c r="C19" s="42" t="s">
        <v>63</v>
      </c>
      <c r="D19" s="42"/>
      <c r="E19" s="42" t="str">
        <f t="shared" ref="E19:F19" si="20">PROPER(B19)</f>
        <v>Stag Irrigators' Association, Incorporated</v>
      </c>
      <c r="F19" s="42" t="str">
        <f t="shared" si="20"/>
        <v>Santa Cruz, Ibajay, Aklan</v>
      </c>
      <c r="G19" s="42" t="str">
        <f t="shared" si="3"/>
        <v>Santa Cruz</v>
      </c>
      <c r="H19" s="42" t="str">
        <f t="shared" si="4"/>
        <v>Ibajay</v>
      </c>
      <c r="I19" s="42" t="str">
        <f t="shared" si="5"/>
        <v>Aklan</v>
      </c>
      <c r="J19" s="42" t="str">
        <f t="array" ref="J19">XLOOKUP($E19,'Recipients REF'!$B:$B,'Recipients REF'!D:D,"",0)</f>
        <v>SILVINO S. PELAYO</v>
      </c>
      <c r="K19" s="42" t="str">
        <f t="array" ref="K19">XLOOKUP($E19,'Recipients REF'!$B:$B,'Recipients REF'!E:E,"",0)</f>
        <v>0907-833-5683</v>
      </c>
      <c r="L19" s="43" t="str">
        <f t="array" ref="L19">XLOOKUP($A19,'Recipients REF'!$A:$A,'Recipients REF'!F:F,"",0)</f>
        <v>RCEF 25-03-05</v>
      </c>
      <c r="M19" s="43">
        <f t="array" ref="M19">XLOOKUP($A19,'Recipients REF'!$A:$A,'Recipients REF'!G:G,"",0)</f>
        <v>7</v>
      </c>
      <c r="N19" s="43" t="str">
        <f t="array" ref="N19">XLOOKUP($A19,'Recipients REF'!$A:$A,'Recipients REF'!H:H,"",0)</f>
        <v>26884 &amp; 27926</v>
      </c>
      <c r="O19" s="44" t="s">
        <v>25</v>
      </c>
      <c r="P19" s="45" t="s">
        <v>26</v>
      </c>
      <c r="Q19" s="46" t="str">
        <f t="array" ref="Q19">XLOOKUP($A19,'Recipients REF'!$A:$A,'Recipients REF'!I:I,"",0)</f>
        <v>KMC5825 AVSFPV0271</v>
      </c>
      <c r="R19" s="53" t="str">
        <f t="array" ref="R19">XLOOKUP($A19,'Recipients REF'!$A:$A,'Recipients REF'!J:J,"",0)</f>
        <v>STS100307</v>
      </c>
      <c r="S19" s="45" t="s">
        <v>27</v>
      </c>
      <c r="T19" s="45" t="s">
        <v>28</v>
      </c>
      <c r="U19" s="46" t="str">
        <f t="array" ref="U19">XLOOKUP($A19,'Recipients REF'!$A:$A,'Recipients REF'!K:K,"",0)</f>
        <v>R-SERIES 253PH</v>
      </c>
      <c r="V19" s="44" t="s">
        <v>29</v>
      </c>
      <c r="W19" s="45" t="s">
        <v>30</v>
      </c>
      <c r="X19" s="53" t="str">
        <f t="array" ref="X19">XLOOKUP($A19,'Recipients REF'!$A:$A,'Recipients REF'!L:L,"",0)</f>
        <v>25090605</v>
      </c>
      <c r="Y19" s="48" t="s">
        <v>29</v>
      </c>
      <c r="Z19" s="48" t="s">
        <v>31</v>
      </c>
      <c r="AA19" s="54" t="str">
        <f t="array" ref="AA19">XLOOKUP($A19,'Recipients REF'!$A:$A,'Recipients REF'!M:M,"",0)</f>
        <v>25080837</v>
      </c>
      <c r="AB19" s="49"/>
      <c r="AC19" s="42"/>
      <c r="AD19" s="42"/>
      <c r="AE19" s="50"/>
      <c r="AF19" s="42"/>
      <c r="AG19" s="42"/>
      <c r="AH19" s="42"/>
      <c r="AI19" s="42" t="str">
        <f t="array" ref="AI19">XLOOKUP($E19,Sheet11!$D:$D,Sheet11!$X:$X,"",0)</f>
        <v/>
      </c>
      <c r="AJ19" s="42" t="str">
        <f t="array" ref="AJ19">XLOOKUP($E19,Sheet11!$D:$D,Sheet11!$Y:$Y,"",0)</f>
        <v/>
      </c>
    </row>
    <row r="20">
      <c r="A20" s="41">
        <v>884.0</v>
      </c>
      <c r="B20" s="42" t="s">
        <v>64</v>
      </c>
      <c r="C20" s="42" t="s">
        <v>65</v>
      </c>
      <c r="D20" s="42"/>
      <c r="E20" s="42" t="str">
        <f t="shared" ref="E20:F20" si="21">PROPER(B20)</f>
        <v>Ibao-Mina Farmers Association</v>
      </c>
      <c r="F20" s="42" t="str">
        <f t="shared" si="21"/>
        <v>Ibao, Lezo, Aklan</v>
      </c>
      <c r="G20" s="42" t="str">
        <f t="shared" si="3"/>
        <v>Ibao</v>
      </c>
      <c r="H20" s="42" t="str">
        <f t="shared" si="4"/>
        <v>Lezo</v>
      </c>
      <c r="I20" s="42" t="str">
        <f t="shared" si="5"/>
        <v>Aklan</v>
      </c>
      <c r="J20" s="42" t="str">
        <f t="array" ref="J20">XLOOKUP($E20,'Recipients REF'!$B:$B,'Recipients REF'!D:D,"",0)</f>
        <v>JEOSILO M. FULGENCIO</v>
      </c>
      <c r="K20" s="42" t="str">
        <f t="array" ref="K20">XLOOKUP($E20,'Recipients REF'!$B:$B,'Recipients REF'!E:E,"",0)</f>
        <v>0912-413-0916</v>
      </c>
      <c r="L20" s="43" t="str">
        <f t="array" ref="L20">XLOOKUP($A20,'Recipients REF'!$A:$A,'Recipients REF'!F:F,"",0)</f>
        <v>RCEF 25-03-05</v>
      </c>
      <c r="M20" s="43">
        <f t="array" ref="M20">XLOOKUP($A20,'Recipients REF'!$A:$A,'Recipients REF'!G:G,"",0)</f>
        <v>7</v>
      </c>
      <c r="N20" s="43" t="str">
        <f t="array" ref="N20">XLOOKUP($A20,'Recipients REF'!$A:$A,'Recipients REF'!H:H,"",0)</f>
        <v>26885 &amp; 27927</v>
      </c>
      <c r="O20" s="44" t="s">
        <v>25</v>
      </c>
      <c r="P20" s="45" t="s">
        <v>26</v>
      </c>
      <c r="Q20" s="46" t="str">
        <f t="array" ref="Q20">XLOOKUP($A20,'Recipients REF'!$A:$A,'Recipients REF'!I:I,"",0)</f>
        <v>KMC5825 ACSFPV0379</v>
      </c>
      <c r="R20" s="53" t="str">
        <f t="array" ref="R20">XLOOKUP($A20,'Recipients REF'!$A:$A,'Recipients REF'!J:J,"",0)</f>
        <v>STS100452</v>
      </c>
      <c r="S20" s="45" t="s">
        <v>27</v>
      </c>
      <c r="T20" s="45" t="s">
        <v>28</v>
      </c>
      <c r="U20" s="46" t="str">
        <f t="array" ref="U20">XLOOKUP($A20,'Recipients REF'!$A:$A,'Recipients REF'!K:K,"",0)</f>
        <v>R-SERIES 256PH</v>
      </c>
      <c r="V20" s="44" t="s">
        <v>29</v>
      </c>
      <c r="W20" s="45" t="s">
        <v>30</v>
      </c>
      <c r="X20" s="53" t="str">
        <f t="array" ref="X20">XLOOKUP($A20,'Recipients REF'!$A:$A,'Recipients REF'!L:L,"",0)</f>
        <v>25090603</v>
      </c>
      <c r="Y20" s="48" t="s">
        <v>29</v>
      </c>
      <c r="Z20" s="48" t="s">
        <v>31</v>
      </c>
      <c r="AA20" s="54" t="str">
        <f t="array" ref="AA20">XLOOKUP($A20,'Recipients REF'!$A:$A,'Recipients REF'!M:M,"",0)</f>
        <v>25080846</v>
      </c>
      <c r="AB20" s="49"/>
      <c r="AC20" s="42"/>
      <c r="AD20" s="42"/>
      <c r="AE20" s="50"/>
      <c r="AF20" s="42"/>
      <c r="AG20" s="42"/>
      <c r="AH20" s="42"/>
      <c r="AI20" s="42" t="str">
        <f t="array" ref="AI20">XLOOKUP($E20,Sheet11!$D:$D,Sheet11!$X:$X,"",0)</f>
        <v/>
      </c>
      <c r="AJ20" s="42" t="str">
        <f t="array" ref="AJ20">XLOOKUP($E20,Sheet11!$D:$D,Sheet11!$Y:$Y,"",0)</f>
        <v/>
      </c>
    </row>
    <row r="21">
      <c r="A21" s="41">
        <v>885.0</v>
      </c>
      <c r="B21" s="42" t="s">
        <v>66</v>
      </c>
      <c r="C21" s="42" t="s">
        <v>67</v>
      </c>
      <c r="D21" s="42"/>
      <c r="E21" s="42" t="str">
        <f t="shared" ref="E21:F21" si="22">PROPER(B21)</f>
        <v>Dongon East Rice Farmers Association, Inc.</v>
      </c>
      <c r="F21" s="42" t="str">
        <f t="shared" si="22"/>
        <v>Dongon East, Numancia, Aklan</v>
      </c>
      <c r="G21" s="42" t="str">
        <f t="shared" si="3"/>
        <v>Dongon East</v>
      </c>
      <c r="H21" s="42" t="str">
        <f t="shared" si="4"/>
        <v>Numancia</v>
      </c>
      <c r="I21" s="42" t="str">
        <f t="shared" si="5"/>
        <v>Aklan</v>
      </c>
      <c r="J21" s="42" t="str">
        <f t="array" ref="J21">XLOOKUP($E21,'Recipients REF'!$B:$B,'Recipients REF'!D:D,"",0)</f>
        <v>Rex Cusay</v>
      </c>
      <c r="K21" s="42" t="str">
        <f t="array" ref="K21">XLOOKUP($E21,'Recipients REF'!$B:$B,'Recipients REF'!E:E,"",0)</f>
        <v>0981-405-4025</v>
      </c>
      <c r="L21" s="43" t="str">
        <f t="array" ref="L21">XLOOKUP($A21,'Recipients REF'!$A:$A,'Recipients REF'!F:F,"",0)</f>
        <v>RCEF 25-03-05</v>
      </c>
      <c r="M21" s="43">
        <f t="array" ref="M21">XLOOKUP($A21,'Recipients REF'!$A:$A,'Recipients REF'!G:G,"",0)</f>
        <v>7</v>
      </c>
      <c r="N21" s="43" t="str">
        <f t="array" ref="N21">XLOOKUP($A21,'Recipients REF'!$A:$A,'Recipients REF'!H:H,"",0)</f>
        <v>26886 &amp; 27928</v>
      </c>
      <c r="O21" s="44" t="s">
        <v>25</v>
      </c>
      <c r="P21" s="45" t="s">
        <v>26</v>
      </c>
      <c r="Q21" s="46" t="str">
        <f t="array" ref="Q21">XLOOKUP($A21,'Recipients REF'!$A:$A,'Recipients REF'!I:I,"",0)</f>
        <v>KMC5825 AESFPV0289</v>
      </c>
      <c r="R21" s="53" t="str">
        <f t="array" ref="R21">XLOOKUP($A21,'Recipients REF'!$A:$A,'Recipients REF'!J:J,"",0)</f>
        <v>STS100302</v>
      </c>
      <c r="S21" s="45" t="s">
        <v>27</v>
      </c>
      <c r="T21" s="45" t="s">
        <v>28</v>
      </c>
      <c r="U21" s="46" t="str">
        <f t="array" ref="U21">XLOOKUP($A21,'Recipients REF'!$A:$A,'Recipients REF'!K:K,"",0)</f>
        <v>R-SERIES 250PH</v>
      </c>
      <c r="V21" s="44" t="s">
        <v>29</v>
      </c>
      <c r="W21" s="45" t="s">
        <v>30</v>
      </c>
      <c r="X21" s="53" t="str">
        <f t="array" ref="X21">XLOOKUP($A21,'Recipients REF'!$A:$A,'Recipients REF'!L:L,"",0)</f>
        <v>25090632</v>
      </c>
      <c r="Y21" s="48" t="s">
        <v>29</v>
      </c>
      <c r="Z21" s="48" t="s">
        <v>31</v>
      </c>
      <c r="AA21" s="54" t="str">
        <f t="array" ref="AA21">XLOOKUP($A21,'Recipients REF'!$A:$A,'Recipients REF'!M:M,"",0)</f>
        <v>25080839</v>
      </c>
      <c r="AB21" s="49"/>
      <c r="AC21" s="42"/>
      <c r="AD21" s="42"/>
      <c r="AE21" s="50"/>
      <c r="AF21" s="42"/>
      <c r="AG21" s="42"/>
      <c r="AH21" s="42"/>
      <c r="AI21" s="42" t="str">
        <f t="array" ref="AI21">XLOOKUP($E21,Sheet11!$D:$D,Sheet11!$X:$X,"",0)</f>
        <v/>
      </c>
      <c r="AJ21" s="42" t="str">
        <f t="array" ref="AJ21">XLOOKUP($E21,Sheet11!$D:$D,Sheet11!$Y:$Y,"",0)</f>
        <v/>
      </c>
    </row>
    <row r="22">
      <c r="A22" s="41">
        <v>552.0</v>
      </c>
      <c r="B22" s="42" t="s">
        <v>68</v>
      </c>
      <c r="C22" s="42" t="s">
        <v>69</v>
      </c>
      <c r="D22" s="42"/>
      <c r="E22" s="42" t="str">
        <f t="shared" ref="E22:F22" si="23">PROPER(B22)</f>
        <v>Municipal Government Unit Of Malinao</v>
      </c>
      <c r="F22" s="42" t="str">
        <f t="shared" si="23"/>
        <v>Poblacion, Malinao, Albay</v>
      </c>
      <c r="G22" s="42" t="str">
        <f t="shared" si="3"/>
        <v>Poblacion</v>
      </c>
      <c r="H22" s="42" t="str">
        <f t="shared" si="4"/>
        <v>Malinao</v>
      </c>
      <c r="I22" s="42" t="str">
        <f t="shared" si="5"/>
        <v>Albay</v>
      </c>
      <c r="J22" s="42" t="str">
        <f t="array" ref="J22">XLOOKUP($E22,'Recipients REF'!$B:$B,'Recipients REF'!D:D,"",0)</f>
        <v>Hon. Sheryl C. Bilo</v>
      </c>
      <c r="K22" s="42" t="str">
        <f t="array" ref="K22">XLOOKUP($E22,'Recipients REF'!$B:$B,'Recipients REF'!E:E,"",0)</f>
        <v>0998 558 6980</v>
      </c>
      <c r="L22" s="43" t="str">
        <f t="array" ref="L22">XLOOKUP($A22,'Recipients REF'!$A:$A,'Recipients REF'!F:F,"",0)</f>
        <v>RCEF 24-04-15</v>
      </c>
      <c r="M22" s="43">
        <f t="array" ref="M22">XLOOKUP($A22,'Recipients REF'!$A:$A,'Recipients REF'!G:G,"",0)</f>
        <v>7</v>
      </c>
      <c r="N22" s="43">
        <f t="array" ref="N22">XLOOKUP($A22,'Recipients REF'!$A:$A,'Recipients REF'!H:H,"",0)</f>
        <v>20026</v>
      </c>
      <c r="O22" s="44" t="s">
        <v>25</v>
      </c>
      <c r="P22" s="45" t="s">
        <v>26</v>
      </c>
      <c r="Q22" s="46" t="str">
        <f t="array" ref="Q22">XLOOKUP($A22,'Recipients REF'!$A:$A,'Recipients REF'!I:I,"",0)</f>
        <v>KMC5825ACRFPV0949</v>
      </c>
      <c r="R22" s="47" t="str">
        <f t="array" ref="R22">XLOOKUP($A22,'Recipients REF'!$A:$A,'Recipients REF'!J:J,"",0)</f>
        <v>RTS100828</v>
      </c>
      <c r="S22" s="45" t="s">
        <v>27</v>
      </c>
      <c r="T22" s="45" t="s">
        <v>28</v>
      </c>
      <c r="U22" s="46" t="str">
        <f t="array" ref="U22">XLOOKUP($A22,'Recipients REF'!$A:$A,'Recipients REF'!K:K,"",0)</f>
        <v>LSGW170-RMP-24111151</v>
      </c>
      <c r="V22" s="44" t="s">
        <v>29</v>
      </c>
      <c r="W22" s="45" t="s">
        <v>30</v>
      </c>
      <c r="X22" s="47" t="str">
        <f t="array" ref="X22">XLOOKUP($A22,'Recipients REF'!$A:$A,'Recipients REF'!L:L,"",0)</f>
        <v>WDP40-RMP-25010096</v>
      </c>
      <c r="Y22" s="48" t="s">
        <v>29</v>
      </c>
      <c r="Z22" s="48" t="s">
        <v>31</v>
      </c>
      <c r="AA22" s="46" t="str">
        <f t="array" ref="AA22">XLOOKUP($A22,'Recipients REF'!$A:$A,'Recipients REF'!M:M,"",0)</f>
        <v>WR-SERIES-1198PH</v>
      </c>
      <c r="AB22" s="49"/>
      <c r="AC22" s="42"/>
      <c r="AD22" s="42"/>
      <c r="AE22" s="50"/>
      <c r="AF22" s="42"/>
      <c r="AG22" s="42"/>
      <c r="AH22" s="42"/>
      <c r="AI22" s="42" t="str">
        <f t="array" ref="AI22">XLOOKUP($E22,Sheet11!$D:$D,Sheet11!$X:$X,"",0)</f>
        <v/>
      </c>
      <c r="AJ22" s="42" t="str">
        <f t="array" ref="AJ22">XLOOKUP($E22,Sheet11!$D:$D,Sheet11!$Y:$Y,"",0)</f>
        <v/>
      </c>
    </row>
    <row r="23">
      <c r="A23" s="41">
        <v>553.0</v>
      </c>
      <c r="B23" s="42" t="s">
        <v>70</v>
      </c>
      <c r="C23" s="42" t="s">
        <v>71</v>
      </c>
      <c r="D23" s="42"/>
      <c r="E23" s="42" t="str">
        <f t="shared" ref="E23:F23" si="24">PROPER(B23)</f>
        <v>Belen Farmers &amp; Farm Worker'S Assn., Inc</v>
      </c>
      <c r="F23" s="42" t="str">
        <f t="shared" si="24"/>
        <v>Belen (Malabog), Tiwi, Albay</v>
      </c>
      <c r="G23" s="42" t="str">
        <f t="shared" si="3"/>
        <v>Belen (Malabog)</v>
      </c>
      <c r="H23" s="42" t="str">
        <f t="shared" si="4"/>
        <v>Tiwi</v>
      </c>
      <c r="I23" s="42" t="str">
        <f t="shared" si="5"/>
        <v>Albay</v>
      </c>
      <c r="J23" s="42" t="str">
        <f t="array" ref="J23">XLOOKUP($E23,'Recipients REF'!$B:$B,'Recipients REF'!D:D,"",0)</f>
        <v>Edmundo C. Cortuna</v>
      </c>
      <c r="K23" s="42" t="str">
        <f t="array" ref="K23">XLOOKUP($E23,'Recipients REF'!$B:$B,'Recipients REF'!E:E,"",0)</f>
        <v>0906 2396 605</v>
      </c>
      <c r="L23" s="43" t="str">
        <f t="array" ref="L23">XLOOKUP($A23,'Recipients REF'!$A:$A,'Recipients REF'!F:F,"",0)</f>
        <v>RCEF 24-04-15</v>
      </c>
      <c r="M23" s="43">
        <f t="array" ref="M23">XLOOKUP($A23,'Recipients REF'!$A:$A,'Recipients REF'!G:G,"",0)</f>
        <v>7</v>
      </c>
      <c r="N23" s="43">
        <f t="array" ref="N23">XLOOKUP($A23,'Recipients REF'!$A:$A,'Recipients REF'!H:H,"",0)</f>
        <v>20027</v>
      </c>
      <c r="O23" s="44" t="s">
        <v>25</v>
      </c>
      <c r="P23" s="45" t="s">
        <v>26</v>
      </c>
      <c r="Q23" s="46" t="str">
        <f t="array" ref="Q23">XLOOKUP($A23,'Recipients REF'!$A:$A,'Recipients REF'!I:I,"",0)</f>
        <v>KMC5825ATRFPV0970</v>
      </c>
      <c r="R23" s="47" t="str">
        <f t="array" ref="R23">XLOOKUP($A23,'Recipients REF'!$A:$A,'Recipients REF'!J:J,"",0)</f>
        <v>RTS100661</v>
      </c>
      <c r="S23" s="45" t="s">
        <v>27</v>
      </c>
      <c r="T23" s="45" t="s">
        <v>28</v>
      </c>
      <c r="U23" s="46" t="str">
        <f t="array" ref="U23">XLOOKUP($A23,'Recipients REF'!$A:$A,'Recipients REF'!K:K,"",0)</f>
        <v>LSGW170-RMP-24111133</v>
      </c>
      <c r="V23" s="44" t="s">
        <v>29</v>
      </c>
      <c r="W23" s="45" t="s">
        <v>30</v>
      </c>
      <c r="X23" s="47" t="str">
        <f t="array" ref="X23">XLOOKUP($A23,'Recipients REF'!$A:$A,'Recipients REF'!L:L,"",0)</f>
        <v>WDP40-RMP-25010097</v>
      </c>
      <c r="Y23" s="48" t="s">
        <v>29</v>
      </c>
      <c r="Z23" s="48" t="s">
        <v>31</v>
      </c>
      <c r="AA23" s="46" t="str">
        <f t="array" ref="AA23">XLOOKUP($A23,'Recipients REF'!$A:$A,'Recipients REF'!M:M,"",0)</f>
        <v>WR-SERIES-1237PH</v>
      </c>
      <c r="AB23" s="49"/>
      <c r="AC23" s="42"/>
      <c r="AD23" s="42"/>
      <c r="AE23" s="50"/>
      <c r="AF23" s="42"/>
      <c r="AG23" s="42"/>
      <c r="AH23" s="42"/>
      <c r="AI23" s="42" t="str">
        <f t="array" ref="AI23">XLOOKUP($E23,Sheet11!$D:$D,Sheet11!$X:$X,"",0)</f>
        <v/>
      </c>
      <c r="AJ23" s="42" t="str">
        <f t="array" ref="AJ23">XLOOKUP($E23,Sheet11!$D:$D,Sheet11!$Y:$Y,"",0)</f>
        <v/>
      </c>
    </row>
    <row r="24">
      <c r="A24" s="41">
        <v>554.0</v>
      </c>
      <c r="B24" s="42" t="s">
        <v>72</v>
      </c>
      <c r="C24" s="42" t="s">
        <v>73</v>
      </c>
      <c r="D24" s="42"/>
      <c r="E24" s="42" t="str">
        <f t="shared" ref="E24:F24" si="25">PROPER(B24)</f>
        <v>Balopapu Farmers Association, Inc.</v>
      </c>
      <c r="F24" s="42" t="str">
        <f t="shared" si="25"/>
        <v>Barayong, Ligao City, Albay</v>
      </c>
      <c r="G24" s="42" t="str">
        <f t="shared" si="3"/>
        <v>Barayong</v>
      </c>
      <c r="H24" s="42" t="str">
        <f t="shared" si="4"/>
        <v>Ligao City</v>
      </c>
      <c r="I24" s="42" t="str">
        <f t="shared" si="5"/>
        <v>Albay</v>
      </c>
      <c r="J24" s="42" t="str">
        <f t="array" ref="J24">XLOOKUP($E24,'Recipients REF'!$B:$B,'Recipients REF'!D:D,"",0)</f>
        <v>Eduardo P. Retalo</v>
      </c>
      <c r="K24" s="42" t="str">
        <f t="array" ref="K24">XLOOKUP($E24,'Recipients REF'!$B:$B,'Recipients REF'!E:E,"",0)</f>
        <v>0912 3957 713</v>
      </c>
      <c r="L24" s="43" t="str">
        <f t="array" ref="L24">XLOOKUP($A24,'Recipients REF'!$A:$A,'Recipients REF'!F:F,"",0)</f>
        <v>RCEF 24-04-15</v>
      </c>
      <c r="M24" s="43">
        <f t="array" ref="M24">XLOOKUP($A24,'Recipients REF'!$A:$A,'Recipients REF'!G:G,"",0)</f>
        <v>7</v>
      </c>
      <c r="N24" s="43">
        <f t="array" ref="N24">XLOOKUP($A24,'Recipients REF'!$A:$A,'Recipients REF'!H:H,"",0)</f>
        <v>20030</v>
      </c>
      <c r="O24" s="44" t="s">
        <v>25</v>
      </c>
      <c r="P24" s="45" t="s">
        <v>26</v>
      </c>
      <c r="Q24" s="46" t="str">
        <f t="array" ref="Q24">XLOOKUP($A24,'Recipients REF'!$A:$A,'Recipients REF'!I:I,"",0)</f>
        <v>KMC5825ATRFPV0869</v>
      </c>
      <c r="R24" s="47" t="str">
        <f t="array" ref="R24">XLOOKUP($A24,'Recipients REF'!$A:$A,'Recipients REF'!J:J,"",0)</f>
        <v>RTS100779</v>
      </c>
      <c r="S24" s="45" t="s">
        <v>27</v>
      </c>
      <c r="T24" s="45" t="s">
        <v>28</v>
      </c>
      <c r="U24" s="46" t="str">
        <f t="array" ref="U24">XLOOKUP($A24,'Recipients REF'!$A:$A,'Recipients REF'!K:K,"",0)</f>
        <v>LSGW170-RMP-24100989</v>
      </c>
      <c r="V24" s="44" t="s">
        <v>29</v>
      </c>
      <c r="W24" s="45" t="s">
        <v>30</v>
      </c>
      <c r="X24" s="47" t="str">
        <f t="array" ref="X24">XLOOKUP($A24,'Recipients REF'!$A:$A,'Recipients REF'!L:L,"",0)</f>
        <v>WDP40-RMP-25010078</v>
      </c>
      <c r="Y24" s="48" t="s">
        <v>29</v>
      </c>
      <c r="Z24" s="48" t="s">
        <v>31</v>
      </c>
      <c r="AA24" s="46" t="str">
        <f t="array" ref="AA24">XLOOKUP($A24,'Recipients REF'!$A:$A,'Recipients REF'!M:M,"",0)</f>
        <v>WR-SERIES-1081PH</v>
      </c>
      <c r="AB24" s="49"/>
      <c r="AC24" s="42"/>
      <c r="AD24" s="42"/>
      <c r="AE24" s="50"/>
      <c r="AF24" s="42"/>
      <c r="AG24" s="42"/>
      <c r="AH24" s="42"/>
      <c r="AI24" s="42" t="str">
        <f t="array" ref="AI24">XLOOKUP($E24,Sheet11!$D:$D,Sheet11!$X:$X,"",0)</f>
        <v/>
      </c>
      <c r="AJ24" s="42" t="str">
        <f t="array" ref="AJ24">XLOOKUP($E24,Sheet11!$D:$D,Sheet11!$Y:$Y,"",0)</f>
        <v/>
      </c>
    </row>
    <row r="25">
      <c r="A25" s="41">
        <v>555.0</v>
      </c>
      <c r="B25" s="42" t="s">
        <v>74</v>
      </c>
      <c r="C25" s="42" t="s">
        <v>75</v>
      </c>
      <c r="D25" s="42"/>
      <c r="E25" s="42" t="str">
        <f t="shared" ref="E25:F25" si="26">PROPER(B25)</f>
        <v>Bay Farmers Association (Bafass)</v>
      </c>
      <c r="F25" s="42" t="str">
        <f t="shared" si="26"/>
        <v>Bay, Ligao City, Albay</v>
      </c>
      <c r="G25" s="42" t="str">
        <f t="shared" si="3"/>
        <v>Bay</v>
      </c>
      <c r="H25" s="42" t="str">
        <f t="shared" si="4"/>
        <v>Ligao City</v>
      </c>
      <c r="I25" s="42" t="str">
        <f t="shared" si="5"/>
        <v>Albay</v>
      </c>
      <c r="J25" s="42" t="str">
        <f t="array" ref="J25">XLOOKUP($E25,'Recipients REF'!$B:$B,'Recipients REF'!D:D,"",0)</f>
        <v>Evangeline M. Seming</v>
      </c>
      <c r="K25" s="42" t="str">
        <f t="array" ref="K25">XLOOKUP($E25,'Recipients REF'!$B:$B,'Recipients REF'!E:E,"",0)</f>
        <v>0975 5080 710</v>
      </c>
      <c r="L25" s="43" t="str">
        <f t="array" ref="L25">XLOOKUP($A25,'Recipients REF'!$A:$A,'Recipients REF'!F:F,"",0)</f>
        <v>RCEF 24-04-15</v>
      </c>
      <c r="M25" s="43">
        <f t="array" ref="M25">XLOOKUP($A25,'Recipients REF'!$A:$A,'Recipients REF'!G:G,"",0)</f>
        <v>7</v>
      </c>
      <c r="N25" s="43">
        <f t="array" ref="N25">XLOOKUP($A25,'Recipients REF'!$A:$A,'Recipients REF'!H:H,"",0)</f>
        <v>20031</v>
      </c>
      <c r="O25" s="44" t="s">
        <v>25</v>
      </c>
      <c r="P25" s="45" t="s">
        <v>26</v>
      </c>
      <c r="Q25" s="46" t="str">
        <f t="array" ref="Q25">XLOOKUP($A25,'Recipients REF'!$A:$A,'Recipients REF'!I:I,"",0)</f>
        <v>KMC5825AVRFPV0863</v>
      </c>
      <c r="R25" s="47" t="str">
        <f t="array" ref="R25">XLOOKUP($A25,'Recipients REF'!$A:$A,'Recipients REF'!J:J,"",0)</f>
        <v>RTS100791</v>
      </c>
      <c r="S25" s="45" t="s">
        <v>27</v>
      </c>
      <c r="T25" s="45" t="s">
        <v>28</v>
      </c>
      <c r="U25" s="46" t="str">
        <f t="array" ref="U25">XLOOKUP($A25,'Recipients REF'!$A:$A,'Recipients REF'!K:K,"",0)</f>
        <v>LSGW170-RMP-24080763</v>
      </c>
      <c r="V25" s="44" t="s">
        <v>29</v>
      </c>
      <c r="W25" s="45" t="s">
        <v>30</v>
      </c>
      <c r="X25" s="47" t="str">
        <f t="array" ref="X25">XLOOKUP($A25,'Recipients REF'!$A:$A,'Recipients REF'!L:L,"",0)</f>
        <v>WDP40-RMP-25010106</v>
      </c>
      <c r="Y25" s="48" t="s">
        <v>29</v>
      </c>
      <c r="Z25" s="48" t="s">
        <v>31</v>
      </c>
      <c r="AA25" s="46" t="str">
        <f t="array" ref="AA25">XLOOKUP($A25,'Recipients REF'!$A:$A,'Recipients REF'!M:M,"",0)</f>
        <v>WR-SERIES-1204PH</v>
      </c>
      <c r="AB25" s="49"/>
      <c r="AC25" s="42"/>
      <c r="AD25" s="42"/>
      <c r="AE25" s="50"/>
      <c r="AF25" s="42"/>
      <c r="AG25" s="42"/>
      <c r="AH25" s="42"/>
      <c r="AI25" s="42" t="str">
        <f t="array" ref="AI25">XLOOKUP($E25,Sheet11!$D:$D,Sheet11!$X:$X,"",0)</f>
        <v/>
      </c>
      <c r="AJ25" s="42" t="str">
        <f t="array" ref="AJ25">XLOOKUP($E25,Sheet11!$D:$D,Sheet11!$Y:$Y,"",0)</f>
        <v/>
      </c>
    </row>
    <row r="26">
      <c r="A26" s="41">
        <v>556.0</v>
      </c>
      <c r="B26" s="42" t="s">
        <v>76</v>
      </c>
      <c r="C26" s="42" t="s">
        <v>77</v>
      </c>
      <c r="D26" s="42"/>
      <c r="E26" s="42" t="str">
        <f t="shared" ref="E26:F26" si="27">PROPER(B26)</f>
        <v>City Government Unit Of Ligao City</v>
      </c>
      <c r="F26" s="42" t="str">
        <f t="shared" si="27"/>
        <v>Santa Cruz (Pob.), Ligao City, Albay</v>
      </c>
      <c r="G26" s="42" t="str">
        <f t="shared" si="3"/>
        <v>Santa Cruz (Pob.)</v>
      </c>
      <c r="H26" s="42" t="str">
        <f t="shared" si="4"/>
        <v>Ligao City</v>
      </c>
      <c r="I26" s="42" t="str">
        <f t="shared" si="5"/>
        <v>Albay</v>
      </c>
      <c r="J26" s="42" t="str">
        <f t="array" ref="J26">XLOOKUP($E26,'Recipients REF'!$B:$B,'Recipients REF'!D:D,"",0)</f>
        <v>Hon. Fernando V. Gonzalez</v>
      </c>
      <c r="K26" s="42" t="str">
        <f t="array" ref="K26">XLOOKUP($E26,'Recipients REF'!$B:$B,'Recipients REF'!E:E,"",0)</f>
        <v>0999 411 4002</v>
      </c>
      <c r="L26" s="43" t="str">
        <f t="array" ref="L26">XLOOKUP($A26,'Recipients REF'!$A:$A,'Recipients REF'!F:F,"",0)</f>
        <v>RCEF 24-04-15</v>
      </c>
      <c r="M26" s="43">
        <f t="array" ref="M26">XLOOKUP($A26,'Recipients REF'!$A:$A,'Recipients REF'!G:G,"",0)</f>
        <v>7</v>
      </c>
      <c r="N26" s="43">
        <f t="array" ref="N26">XLOOKUP($A26,'Recipients REF'!$A:$A,'Recipients REF'!H:H,"",0)</f>
        <v>20032</v>
      </c>
      <c r="O26" s="44" t="s">
        <v>25</v>
      </c>
      <c r="P26" s="45" t="s">
        <v>26</v>
      </c>
      <c r="Q26" s="46" t="str">
        <f t="array" ref="Q26">XLOOKUP($A26,'Recipients REF'!$A:$A,'Recipients REF'!I:I,"",0)</f>
        <v>KMC5825AARFPV0931</v>
      </c>
      <c r="R26" s="47" t="str">
        <f t="array" ref="R26">XLOOKUP($A26,'Recipients REF'!$A:$A,'Recipients REF'!J:J,"",0)</f>
        <v>RTS100751</v>
      </c>
      <c r="S26" s="45" t="s">
        <v>27</v>
      </c>
      <c r="T26" s="45" t="s">
        <v>28</v>
      </c>
      <c r="U26" s="46" t="str">
        <f t="array" ref="U26">XLOOKUP($A26,'Recipients REF'!$A:$A,'Recipients REF'!K:K,"",0)</f>
        <v>LSGW170-RMP-24100969</v>
      </c>
      <c r="V26" s="44" t="s">
        <v>29</v>
      </c>
      <c r="W26" s="45" t="s">
        <v>30</v>
      </c>
      <c r="X26" s="47" t="str">
        <f t="array" ref="X26">XLOOKUP($A26,'Recipients REF'!$A:$A,'Recipients REF'!L:L,"",0)</f>
        <v>WDP40-RMP-24121463</v>
      </c>
      <c r="Y26" s="48" t="s">
        <v>29</v>
      </c>
      <c r="Z26" s="48" t="s">
        <v>31</v>
      </c>
      <c r="AA26" s="46" t="str">
        <f t="array" ref="AA26">XLOOKUP($A26,'Recipients REF'!$A:$A,'Recipients REF'!M:M,"",0)</f>
        <v>WR-SERIES-1111PH</v>
      </c>
      <c r="AB26" s="49"/>
      <c r="AC26" s="42"/>
      <c r="AD26" s="42"/>
      <c r="AE26" s="50"/>
      <c r="AF26" s="42"/>
      <c r="AG26" s="42"/>
      <c r="AH26" s="42"/>
      <c r="AI26" s="42" t="str">
        <f t="array" ref="AI26">XLOOKUP($E26,Sheet11!$D:$D,Sheet11!$X:$X,"",0)</f>
        <v/>
      </c>
      <c r="AJ26" s="42" t="str">
        <f t="array" ref="AJ26">XLOOKUP($E26,Sheet11!$D:$D,Sheet11!$Y:$Y,"",0)</f>
        <v/>
      </c>
    </row>
    <row r="27">
      <c r="A27" s="41">
        <v>557.0</v>
      </c>
      <c r="B27" s="42" t="s">
        <v>78</v>
      </c>
      <c r="C27" s="42" t="s">
        <v>79</v>
      </c>
      <c r="D27" s="42"/>
      <c r="E27" s="42" t="str">
        <f t="shared" ref="E27:F27" si="28">PROPER(B27)</f>
        <v>Tinago Divino Rostro Farmers Association (Tidirofa)</v>
      </c>
      <c r="F27" s="42" t="str">
        <f t="shared" si="28"/>
        <v>Tinago, Ligao City, Albay</v>
      </c>
      <c r="G27" s="42" t="str">
        <f t="shared" si="3"/>
        <v>Tinago</v>
      </c>
      <c r="H27" s="42" t="str">
        <f t="shared" si="4"/>
        <v>Ligao City</v>
      </c>
      <c r="I27" s="42" t="str">
        <f t="shared" si="5"/>
        <v>Albay</v>
      </c>
      <c r="J27" s="42" t="str">
        <f t="array" ref="J27">XLOOKUP($E27,'Recipients REF'!$B:$B,'Recipients REF'!D:D,"",0)</f>
        <v>Rafael N. Buenavente</v>
      </c>
      <c r="K27" s="42" t="str">
        <f t="array" ref="K27">XLOOKUP($E27,'Recipients REF'!$B:$B,'Recipients REF'!E:E,"",0)</f>
        <v>0961-0512-904</v>
      </c>
      <c r="L27" s="43" t="str">
        <f t="array" ref="L27">XLOOKUP($A27,'Recipients REF'!$A:$A,'Recipients REF'!F:F,"",0)</f>
        <v>RCEF 24-04-15</v>
      </c>
      <c r="M27" s="43">
        <f t="array" ref="M27">XLOOKUP($A27,'Recipients REF'!$A:$A,'Recipients REF'!G:G,"",0)</f>
        <v>7</v>
      </c>
      <c r="N27" s="43">
        <f t="array" ref="N27">XLOOKUP($A27,'Recipients REF'!$A:$A,'Recipients REF'!H:H,"",0)</f>
        <v>20033</v>
      </c>
      <c r="O27" s="44" t="s">
        <v>25</v>
      </c>
      <c r="P27" s="45" t="s">
        <v>26</v>
      </c>
      <c r="Q27" s="46" t="str">
        <f t="array" ref="Q27">XLOOKUP($A27,'Recipients REF'!$A:$A,'Recipients REF'!I:I,"",0)</f>
        <v>KMC5825ACRFPV0921</v>
      </c>
      <c r="R27" s="47" t="str">
        <f t="array" ref="R27">XLOOKUP($A27,'Recipients REF'!$A:$A,'Recipients REF'!J:J,"",0)</f>
        <v>RTS100744</v>
      </c>
      <c r="S27" s="45" t="s">
        <v>27</v>
      </c>
      <c r="T27" s="45" t="s">
        <v>28</v>
      </c>
      <c r="U27" s="46" t="str">
        <f t="array" ref="U27">XLOOKUP($A27,'Recipients REF'!$A:$A,'Recipients REF'!K:K,"",0)</f>
        <v>LSGW170-RMP-24080738</v>
      </c>
      <c r="V27" s="44" t="s">
        <v>29</v>
      </c>
      <c r="W27" s="45" t="s">
        <v>30</v>
      </c>
      <c r="X27" s="47" t="str">
        <f t="array" ref="X27">XLOOKUP($A27,'Recipients REF'!$A:$A,'Recipients REF'!L:L,"",0)</f>
        <v>WDP40-RMP-24121489</v>
      </c>
      <c r="Y27" s="48" t="s">
        <v>29</v>
      </c>
      <c r="Z27" s="48" t="s">
        <v>31</v>
      </c>
      <c r="AA27" s="46" t="str">
        <f t="array" ref="AA27">XLOOKUP($A27,'Recipients REF'!$A:$A,'Recipients REF'!M:M,"",0)</f>
        <v>WR-SERIES-1004PH</v>
      </c>
      <c r="AB27" s="49"/>
      <c r="AC27" s="42"/>
      <c r="AD27" s="42"/>
      <c r="AE27" s="50"/>
      <c r="AF27" s="42"/>
      <c r="AG27" s="42"/>
      <c r="AH27" s="42"/>
      <c r="AI27" s="42" t="str">
        <f t="array" ref="AI27">XLOOKUP($E27,Sheet11!$D:$D,Sheet11!$X:$X,"",0)</f>
        <v/>
      </c>
      <c r="AJ27" s="42" t="str">
        <f t="array" ref="AJ27">XLOOKUP($E27,Sheet11!$D:$D,Sheet11!$Y:$Y,"",0)</f>
        <v/>
      </c>
    </row>
    <row r="28">
      <c r="A28" s="41">
        <v>558.0</v>
      </c>
      <c r="B28" s="42" t="s">
        <v>80</v>
      </c>
      <c r="C28" s="42" t="s">
        <v>81</v>
      </c>
      <c r="D28" s="42"/>
      <c r="E28" s="42" t="str">
        <f t="shared" ref="E28:F28" si="29">PROPER(B28)</f>
        <v>Ilaor Sur Farmers Association</v>
      </c>
      <c r="F28" s="42" t="str">
        <f t="shared" si="29"/>
        <v>Ilaor Sur, Oas, Albay</v>
      </c>
      <c r="G28" s="42" t="str">
        <f t="shared" si="3"/>
        <v>Ilaor Sur</v>
      </c>
      <c r="H28" s="42" t="str">
        <f t="shared" si="4"/>
        <v>Oas</v>
      </c>
      <c r="I28" s="42" t="str">
        <f t="shared" si="5"/>
        <v>Albay</v>
      </c>
      <c r="J28" s="42" t="str">
        <f t="array" ref="J28">XLOOKUP($E28,'Recipients REF'!$B:$B,'Recipients REF'!D:D,"",0)</f>
        <v>Jesus P. Clete</v>
      </c>
      <c r="K28" s="42">
        <f t="array" ref="K28">XLOOKUP($E28,'Recipients REF'!$B:$B,'Recipients REF'!E:E,"",0)</f>
        <v>9676604341</v>
      </c>
      <c r="L28" s="43" t="str">
        <f t="array" ref="L28">XLOOKUP($A28,'Recipients REF'!$A:$A,'Recipients REF'!F:F,"",0)</f>
        <v>RCEF 24-04-15</v>
      </c>
      <c r="M28" s="43">
        <f t="array" ref="M28">XLOOKUP($A28,'Recipients REF'!$A:$A,'Recipients REF'!G:G,"",0)</f>
        <v>7</v>
      </c>
      <c r="N28" s="43">
        <f t="array" ref="N28">XLOOKUP($A28,'Recipients REF'!$A:$A,'Recipients REF'!H:H,"",0)</f>
        <v>20034</v>
      </c>
      <c r="O28" s="44" t="s">
        <v>25</v>
      </c>
      <c r="P28" s="45" t="s">
        <v>26</v>
      </c>
      <c r="Q28" s="46" t="str">
        <f t="array" ref="Q28">XLOOKUP($A28,'Recipients REF'!$A:$A,'Recipients REF'!I:I,"",0)</f>
        <v>KMC5825ACRFPV0814</v>
      </c>
      <c r="R28" s="47" t="str">
        <f t="array" ref="R28">XLOOKUP($A28,'Recipients REF'!$A:$A,'Recipients REF'!J:J,"",0)</f>
        <v>RTS100715</v>
      </c>
      <c r="S28" s="45" t="s">
        <v>27</v>
      </c>
      <c r="T28" s="45" t="s">
        <v>28</v>
      </c>
      <c r="U28" s="46" t="str">
        <f t="array" ref="U28">XLOOKUP($A28,'Recipients REF'!$A:$A,'Recipients REF'!K:K,"",0)</f>
        <v>LSGW170-RMP-24111152</v>
      </c>
      <c r="V28" s="44" t="s">
        <v>29</v>
      </c>
      <c r="W28" s="45" t="s">
        <v>30</v>
      </c>
      <c r="X28" s="47" t="str">
        <f t="array" ref="X28">XLOOKUP($A28,'Recipients REF'!$A:$A,'Recipients REF'!L:L,"",0)</f>
        <v>WDP40-RMP-25010112</v>
      </c>
      <c r="Y28" s="48" t="s">
        <v>29</v>
      </c>
      <c r="Z28" s="48" t="s">
        <v>31</v>
      </c>
      <c r="AA28" s="46" t="str">
        <f t="array" ref="AA28">XLOOKUP($A28,'Recipients REF'!$A:$A,'Recipients REF'!M:M,"",0)</f>
        <v>WR-SERIES-1088PH</v>
      </c>
      <c r="AB28" s="49"/>
      <c r="AC28" s="42"/>
      <c r="AD28" s="42"/>
      <c r="AE28" s="50"/>
      <c r="AF28" s="42"/>
      <c r="AG28" s="42"/>
      <c r="AH28" s="42"/>
      <c r="AI28" s="42" t="str">
        <f t="array" ref="AI28">XLOOKUP($E28,Sheet11!$D:$D,Sheet11!$X:$X,"",0)</f>
        <v/>
      </c>
      <c r="AJ28" s="42" t="str">
        <f t="array" ref="AJ28">XLOOKUP($E28,Sheet11!$D:$D,Sheet11!$Y:$Y,"",0)</f>
        <v/>
      </c>
    </row>
    <row r="29">
      <c r="A29" s="41">
        <v>559.0</v>
      </c>
      <c r="B29" s="42" t="s">
        <v>82</v>
      </c>
      <c r="C29" s="42" t="s">
        <v>83</v>
      </c>
      <c r="D29" s="42"/>
      <c r="E29" s="42" t="str">
        <f t="shared" ref="E29:F29" si="30">PROPER(B29)</f>
        <v>Magipan Irrigators Association, Inc.</v>
      </c>
      <c r="F29" s="42" t="str">
        <f t="shared" si="30"/>
        <v>Ilaor Norte, Oas, Albay</v>
      </c>
      <c r="G29" s="42" t="str">
        <f t="shared" si="3"/>
        <v>Ilaor Norte</v>
      </c>
      <c r="H29" s="42" t="str">
        <f t="shared" si="4"/>
        <v>Oas</v>
      </c>
      <c r="I29" s="42" t="str">
        <f t="shared" si="5"/>
        <v>Albay</v>
      </c>
      <c r="J29" s="42" t="str">
        <f t="array" ref="J29">XLOOKUP($E29,'Recipients REF'!$B:$B,'Recipients REF'!D:D,"",0)</f>
        <v>Marlon R. Serranilla</v>
      </c>
      <c r="K29" s="42" t="str">
        <f t="array" ref="K29">XLOOKUP($E29,'Recipients REF'!$B:$B,'Recipients REF'!E:E,"",0)</f>
        <v>0935 9451 764</v>
      </c>
      <c r="L29" s="43" t="str">
        <f t="array" ref="L29">XLOOKUP($A29,'Recipients REF'!$A:$A,'Recipients REF'!F:F,"",0)</f>
        <v>RCEF 24-04-15</v>
      </c>
      <c r="M29" s="43">
        <f t="array" ref="M29">XLOOKUP($A29,'Recipients REF'!$A:$A,'Recipients REF'!G:G,"",0)</f>
        <v>7</v>
      </c>
      <c r="N29" s="43">
        <f t="array" ref="N29">XLOOKUP($A29,'Recipients REF'!$A:$A,'Recipients REF'!H:H,"",0)</f>
        <v>20035</v>
      </c>
      <c r="O29" s="44" t="s">
        <v>25</v>
      </c>
      <c r="P29" s="45" t="s">
        <v>26</v>
      </c>
      <c r="Q29" s="46" t="str">
        <f t="array" ref="Q29">XLOOKUP($A29,'Recipients REF'!$A:$A,'Recipients REF'!I:I,"",0)</f>
        <v>KMC5825APRFPV0789</v>
      </c>
      <c r="R29" s="47" t="str">
        <f t="array" ref="R29">XLOOKUP($A29,'Recipients REF'!$A:$A,'Recipients REF'!J:J,"",0)</f>
        <v>RTS100681</v>
      </c>
      <c r="S29" s="45" t="s">
        <v>27</v>
      </c>
      <c r="T29" s="45" t="s">
        <v>28</v>
      </c>
      <c r="U29" s="46" t="str">
        <f t="array" ref="U29">XLOOKUP($A29,'Recipients REF'!$A:$A,'Recipients REF'!K:K,"",0)</f>
        <v>LSGW170-RMP-24100967</v>
      </c>
      <c r="V29" s="44" t="s">
        <v>29</v>
      </c>
      <c r="W29" s="45" t="s">
        <v>30</v>
      </c>
      <c r="X29" s="47" t="str">
        <f t="array" ref="X29">XLOOKUP($A29,'Recipients REF'!$A:$A,'Recipients REF'!L:L,"",0)</f>
        <v>WDP40-RMP-25010110</v>
      </c>
      <c r="Y29" s="48" t="s">
        <v>29</v>
      </c>
      <c r="Z29" s="48" t="s">
        <v>31</v>
      </c>
      <c r="AA29" s="46" t="str">
        <f t="array" ref="AA29">XLOOKUP($A29,'Recipients REF'!$A:$A,'Recipients REF'!M:M,"",0)</f>
        <v>WR-SERIES-1196PH</v>
      </c>
      <c r="AB29" s="49"/>
      <c r="AC29" s="42"/>
      <c r="AD29" s="42"/>
      <c r="AE29" s="50"/>
      <c r="AF29" s="42"/>
      <c r="AG29" s="42"/>
      <c r="AH29" s="42"/>
      <c r="AI29" s="42" t="str">
        <f t="array" ref="AI29">XLOOKUP($E29,Sheet11!$D:$D,Sheet11!$X:$X,"",0)</f>
        <v/>
      </c>
      <c r="AJ29" s="42" t="str">
        <f t="array" ref="AJ29">XLOOKUP($E29,Sheet11!$D:$D,Sheet11!$Y:$Y,"",0)</f>
        <v/>
      </c>
    </row>
    <row r="30">
      <c r="A30" s="41">
        <v>560.0</v>
      </c>
      <c r="B30" s="42" t="s">
        <v>84</v>
      </c>
      <c r="C30" s="42" t="s">
        <v>85</v>
      </c>
      <c r="D30" s="42"/>
      <c r="E30" s="42" t="str">
        <f t="shared" ref="E30:F30" si="31">PROPER(B30)</f>
        <v>Oas South Main Canal Irrigtors Association Incorporated</v>
      </c>
      <c r="F30" s="42" t="str">
        <f t="shared" si="31"/>
        <v>Bagsa, Oas, Albay</v>
      </c>
      <c r="G30" s="42" t="str">
        <f t="shared" si="3"/>
        <v>Bagsa</v>
      </c>
      <c r="H30" s="42" t="str">
        <f t="shared" si="4"/>
        <v>Oas</v>
      </c>
      <c r="I30" s="42" t="str">
        <f t="shared" si="5"/>
        <v>Albay</v>
      </c>
      <c r="J30" s="42" t="str">
        <f t="array" ref="J30">XLOOKUP($E30,'Recipients REF'!$B:$B,'Recipients REF'!D:D,"",0)</f>
        <v>RONNIE P. PEñARANDA</v>
      </c>
      <c r="K30" s="42" t="str">
        <f t="array" ref="K30">XLOOKUP($E30,'Recipients REF'!$B:$B,'Recipients REF'!E:E,"",0)</f>
        <v>0918 6336 68</v>
      </c>
      <c r="L30" s="43" t="str">
        <f t="array" ref="L30">XLOOKUP($A30,'Recipients REF'!$A:$A,'Recipients REF'!F:F,"",0)</f>
        <v>RCEF 24-04-15</v>
      </c>
      <c r="M30" s="43">
        <f t="array" ref="M30">XLOOKUP($A30,'Recipients REF'!$A:$A,'Recipients REF'!G:G,"",0)</f>
        <v>7</v>
      </c>
      <c r="N30" s="43">
        <f t="array" ref="N30">XLOOKUP($A30,'Recipients REF'!$A:$A,'Recipients REF'!H:H,"",0)</f>
        <v>20036</v>
      </c>
      <c r="O30" s="44" t="s">
        <v>25</v>
      </c>
      <c r="P30" s="45" t="s">
        <v>26</v>
      </c>
      <c r="Q30" s="46" t="str">
        <f t="array" ref="Q30">XLOOKUP($A30,'Recipients REF'!$A:$A,'Recipients REF'!I:I,"",0)</f>
        <v>KMC5825ATRFPV0807</v>
      </c>
      <c r="R30" s="47" t="str">
        <f t="array" ref="R30">XLOOKUP($A30,'Recipients REF'!$A:$A,'Recipients REF'!J:J,"",0)</f>
        <v>RTS100713</v>
      </c>
      <c r="S30" s="45" t="s">
        <v>27</v>
      </c>
      <c r="T30" s="45" t="s">
        <v>28</v>
      </c>
      <c r="U30" s="46" t="str">
        <f t="array" ref="U30">XLOOKUP($A30,'Recipients REF'!$A:$A,'Recipients REF'!K:K,"",0)</f>
        <v>LSGW170-RMP-24101037</v>
      </c>
      <c r="V30" s="44" t="s">
        <v>29</v>
      </c>
      <c r="W30" s="45" t="s">
        <v>30</v>
      </c>
      <c r="X30" s="47" t="str">
        <f t="array" ref="X30">XLOOKUP($A30,'Recipients REF'!$A:$A,'Recipients REF'!L:L,"",0)</f>
        <v>WDP40-RMP-25010131</v>
      </c>
      <c r="Y30" s="48" t="s">
        <v>29</v>
      </c>
      <c r="Z30" s="48" t="s">
        <v>31</v>
      </c>
      <c r="AA30" s="46" t="str">
        <f t="array" ref="AA30">XLOOKUP($A30,'Recipients REF'!$A:$A,'Recipients REF'!M:M,"",0)</f>
        <v>WR-SERIES-1084PH</v>
      </c>
      <c r="AB30" s="49"/>
      <c r="AC30" s="42"/>
      <c r="AD30" s="42"/>
      <c r="AE30" s="50"/>
      <c r="AF30" s="42"/>
      <c r="AG30" s="42"/>
      <c r="AH30" s="42"/>
      <c r="AI30" s="42" t="str">
        <f t="array" ref="AI30">XLOOKUP($E30,Sheet11!$D:$D,Sheet11!$X:$X,"",0)</f>
        <v/>
      </c>
      <c r="AJ30" s="42" t="str">
        <f t="array" ref="AJ30">XLOOKUP($E30,Sheet11!$D:$D,Sheet11!$Y:$Y,"",0)</f>
        <v/>
      </c>
    </row>
    <row r="31">
      <c r="A31" s="41">
        <v>561.0</v>
      </c>
      <c r="B31" s="42" t="s">
        <v>86</v>
      </c>
      <c r="C31" s="42" t="s">
        <v>87</v>
      </c>
      <c r="D31" s="42"/>
      <c r="E31" s="42" t="str">
        <f t="shared" ref="E31:F31" si="32">PROPER(B31)</f>
        <v>Municipal Government Unit Of Pio Duran</v>
      </c>
      <c r="F31" s="42" t="str">
        <f t="shared" si="32"/>
        <v>Caratagan, Pio Duran, Albay</v>
      </c>
      <c r="G31" s="42" t="str">
        <f t="shared" si="3"/>
        <v>Caratagan</v>
      </c>
      <c r="H31" s="42" t="str">
        <f t="shared" si="4"/>
        <v>Pio Duran</v>
      </c>
      <c r="I31" s="42" t="str">
        <f t="shared" si="5"/>
        <v>Albay</v>
      </c>
      <c r="J31" s="42" t="str">
        <f t="array" ref="J31">XLOOKUP($E31,'Recipients REF'!$B:$B,'Recipients REF'!D:D,"",0)</f>
        <v>Hon. Alan R. Arandia</v>
      </c>
      <c r="K31" s="42" t="str">
        <f t="array" ref="K31">XLOOKUP($E31,'Recipients REF'!$B:$B,'Recipients REF'!E:E,"",0)</f>
        <v>0908 816 0377</v>
      </c>
      <c r="L31" s="43" t="str">
        <f t="array" ref="L31">XLOOKUP($A31,'Recipients REF'!$A:$A,'Recipients REF'!F:F,"",0)</f>
        <v>RCEF 24-04-15</v>
      </c>
      <c r="M31" s="43">
        <f t="array" ref="M31">XLOOKUP($A31,'Recipients REF'!$A:$A,'Recipients REF'!G:G,"",0)</f>
        <v>7</v>
      </c>
      <c r="N31" s="43">
        <f t="array" ref="N31">XLOOKUP($A31,'Recipients REF'!$A:$A,'Recipients REF'!H:H,"",0)</f>
        <v>20037</v>
      </c>
      <c r="O31" s="44" t="s">
        <v>25</v>
      </c>
      <c r="P31" s="45" t="s">
        <v>26</v>
      </c>
      <c r="Q31" s="46" t="str">
        <f t="array" ref="Q31">XLOOKUP($A31,'Recipients REF'!$A:$A,'Recipients REF'!I:I,"",0)</f>
        <v>KMC5825APRFPV0842</v>
      </c>
      <c r="R31" s="47" t="str">
        <f t="array" ref="R31">XLOOKUP($A31,'Recipients REF'!$A:$A,'Recipients REF'!J:J,"",0)</f>
        <v>RTS100692</v>
      </c>
      <c r="S31" s="45" t="s">
        <v>27</v>
      </c>
      <c r="T31" s="45" t="s">
        <v>28</v>
      </c>
      <c r="U31" s="46" t="str">
        <f t="array" ref="U31">XLOOKUP($A31,'Recipients REF'!$A:$A,'Recipients REF'!K:K,"",0)</f>
        <v>LSGW170-RMP-24101169</v>
      </c>
      <c r="V31" s="44" t="s">
        <v>29</v>
      </c>
      <c r="W31" s="45" t="s">
        <v>30</v>
      </c>
      <c r="X31" s="47" t="str">
        <f t="array" ref="X31">XLOOKUP($A31,'Recipients REF'!$A:$A,'Recipients REF'!L:L,"",0)</f>
        <v>WDP40-RMP-24110108</v>
      </c>
      <c r="Y31" s="48" t="s">
        <v>29</v>
      </c>
      <c r="Z31" s="48" t="s">
        <v>31</v>
      </c>
      <c r="AA31" s="46" t="str">
        <f t="array" ref="AA31">XLOOKUP($A31,'Recipients REF'!$A:$A,'Recipients REF'!M:M,"",0)</f>
        <v>WR-SERIES-1193PH</v>
      </c>
      <c r="AB31" s="49"/>
      <c r="AC31" s="42"/>
      <c r="AD31" s="42"/>
      <c r="AE31" s="50"/>
      <c r="AF31" s="42"/>
      <c r="AG31" s="42"/>
      <c r="AH31" s="42"/>
      <c r="AI31" s="42" t="str">
        <f t="array" ref="AI31">XLOOKUP($E31,Sheet11!$D:$D,Sheet11!$X:$X,"",0)</f>
        <v/>
      </c>
      <c r="AJ31" s="42" t="str">
        <f t="array" ref="AJ31">XLOOKUP($E31,Sheet11!$D:$D,Sheet11!$Y:$Y,"",0)</f>
        <v/>
      </c>
    </row>
    <row r="32">
      <c r="A32" s="41">
        <v>610.0</v>
      </c>
      <c r="B32" s="42" t="s">
        <v>88</v>
      </c>
      <c r="C32" s="42" t="s">
        <v>89</v>
      </c>
      <c r="D32" s="42"/>
      <c r="E32" s="42" t="str">
        <f t="shared" ref="E32:F32" si="33">PROPER(B32)</f>
        <v>Provincial Local Government Unit Of Albay</v>
      </c>
      <c r="F32" s="42" t="str">
        <f t="shared" si="33"/>
        <v>Bgy. 33 - Pnr-Peñaranda St.-Iraya (Pob.), Legazpi City, Albay</v>
      </c>
      <c r="G32" s="42" t="str">
        <f t="shared" si="3"/>
        <v>Bgy. 33 - Pnr-Peñaranda St.-Iraya (Pob.)</v>
      </c>
      <c r="H32" s="42" t="str">
        <f t="shared" si="4"/>
        <v>Legazpi City</v>
      </c>
      <c r="I32" s="42" t="str">
        <f t="shared" si="5"/>
        <v>Albay</v>
      </c>
      <c r="J32" s="42" t="str">
        <f t="array" ref="J32">XLOOKUP($E32,'Recipients REF'!$B:$B,'Recipients REF'!D:D,"",0)</f>
        <v>HON. Edcel Greco Lagman</v>
      </c>
      <c r="K32" s="42" t="str">
        <f t="array" ref="K32">XLOOKUP($E32,'Recipients REF'!$B:$B,'Recipients REF'!E:E,"",0)</f>
        <v>0995 136 4640</v>
      </c>
      <c r="L32" s="43" t="str">
        <f t="array" ref="L32">XLOOKUP($A32,'Recipients REF'!$A:$A,'Recipients REF'!F:F,"",0)</f>
        <v>RCEF 24-04-15</v>
      </c>
      <c r="M32" s="43">
        <f t="array" ref="M32">XLOOKUP($A32,'Recipients REF'!$A:$A,'Recipients REF'!G:G,"",0)</f>
        <v>7</v>
      </c>
      <c r="N32" s="43" t="str">
        <f t="array" ref="N32">XLOOKUP($A32,'Recipients REF'!$A:$A,'Recipients REF'!H:H,"",0)</f>
        <v/>
      </c>
      <c r="O32" s="44" t="s">
        <v>25</v>
      </c>
      <c r="P32" s="45" t="s">
        <v>26</v>
      </c>
      <c r="Q32" s="46" t="str">
        <f t="array" ref="Q32">XLOOKUP($A32,'Recipients REF'!$A:$A,'Recipients REF'!I:I,"",0)</f>
        <v>KMC5825</v>
      </c>
      <c r="R32" s="47" t="str">
        <f t="array" ref="R32">XLOOKUP($A32,'Recipients REF'!$A:$A,'Recipients REF'!J:J,"",0)</f>
        <v>RTS100</v>
      </c>
      <c r="S32" s="45" t="s">
        <v>27</v>
      </c>
      <c r="T32" s="45" t="s">
        <v>28</v>
      </c>
      <c r="U32" s="46" t="str">
        <f t="array" ref="U32">XLOOKUP($A32,'Recipients REF'!$A:$A,'Recipients REF'!K:K,"",0)</f>
        <v>LSGW170-RMP-2411</v>
      </c>
      <c r="V32" s="44" t="s">
        <v>29</v>
      </c>
      <c r="W32" s="45" t="s">
        <v>30</v>
      </c>
      <c r="X32" s="47" t="str">
        <f t="array" ref="X32">XLOOKUP($A32,'Recipients REF'!$A:$A,'Recipients REF'!L:L,"",0)</f>
        <v>WDP40-RMP-250</v>
      </c>
      <c r="Y32" s="48" t="s">
        <v>29</v>
      </c>
      <c r="Z32" s="48" t="s">
        <v>31</v>
      </c>
      <c r="AA32" s="46" t="str">
        <f t="array" ref="AA32">XLOOKUP($A32,'Recipients REF'!$A:$A,'Recipients REF'!M:M,"",0)</f>
        <v>WR-SERIES-1193PH</v>
      </c>
      <c r="AB32" s="49"/>
      <c r="AC32" s="42"/>
      <c r="AD32" s="42"/>
      <c r="AE32" s="50"/>
      <c r="AF32" s="42"/>
      <c r="AG32" s="42"/>
      <c r="AH32" s="42"/>
      <c r="AI32" s="42" t="str">
        <f t="array" ref="AI32">XLOOKUP($E32,Sheet11!$D:$D,Sheet11!$X:$X,"",0)</f>
        <v/>
      </c>
      <c r="AJ32" s="42" t="str">
        <f t="array" ref="AJ32">XLOOKUP($E32,Sheet11!$D:$D,Sheet11!$Y:$Y,"",0)</f>
        <v/>
      </c>
    </row>
    <row r="33">
      <c r="A33" s="41">
        <v>611.0</v>
      </c>
      <c r="B33" s="42" t="s">
        <v>88</v>
      </c>
      <c r="C33" s="42" t="s">
        <v>89</v>
      </c>
      <c r="D33" s="42"/>
      <c r="E33" s="42" t="str">
        <f t="shared" ref="E33:F33" si="34">PROPER(B33)</f>
        <v>Provincial Local Government Unit Of Albay</v>
      </c>
      <c r="F33" s="42" t="str">
        <f t="shared" si="34"/>
        <v>Bgy. 33 - Pnr-Peñaranda St.-Iraya (Pob.), Legazpi City, Albay</v>
      </c>
      <c r="G33" s="42" t="str">
        <f t="shared" si="3"/>
        <v>Bgy. 33 - Pnr-Peñaranda St.-Iraya (Pob.)</v>
      </c>
      <c r="H33" s="42" t="str">
        <f t="shared" si="4"/>
        <v>Legazpi City</v>
      </c>
      <c r="I33" s="42" t="str">
        <f t="shared" si="5"/>
        <v>Albay</v>
      </c>
      <c r="J33" s="42" t="str">
        <f t="array" ref="J33">XLOOKUP($E33,'Recipients REF'!$B:$B,'Recipients REF'!D:D,"",0)</f>
        <v>HON. Edcel Greco Lagman</v>
      </c>
      <c r="K33" s="42" t="str">
        <f t="array" ref="K33">XLOOKUP($E33,'Recipients REF'!$B:$B,'Recipients REF'!E:E,"",0)</f>
        <v>0995 136 4640</v>
      </c>
      <c r="L33" s="43" t="str">
        <f t="array" ref="L33">XLOOKUP($A33,'Recipients REF'!$A:$A,'Recipients REF'!F:F,"",0)</f>
        <v>RCEF 24-04-15</v>
      </c>
      <c r="M33" s="43">
        <f t="array" ref="M33">XLOOKUP($A33,'Recipients REF'!$A:$A,'Recipients REF'!G:G,"",0)</f>
        <v>7</v>
      </c>
      <c r="N33" s="43" t="str">
        <f t="array" ref="N33">XLOOKUP($A33,'Recipients REF'!$A:$A,'Recipients REF'!H:H,"",0)</f>
        <v/>
      </c>
      <c r="O33" s="44" t="s">
        <v>25</v>
      </c>
      <c r="P33" s="45" t="s">
        <v>26</v>
      </c>
      <c r="Q33" s="46" t="str">
        <f t="array" ref="Q33">XLOOKUP($A33,'Recipients REF'!$A:$A,'Recipients REF'!I:I,"",0)</f>
        <v>KMC5825</v>
      </c>
      <c r="R33" s="47" t="str">
        <f t="array" ref="R33">XLOOKUP($A33,'Recipients REF'!$A:$A,'Recipients REF'!J:J,"",0)</f>
        <v>RTS100</v>
      </c>
      <c r="S33" s="45" t="s">
        <v>27</v>
      </c>
      <c r="T33" s="45" t="s">
        <v>28</v>
      </c>
      <c r="U33" s="46" t="str">
        <f t="array" ref="U33">XLOOKUP($A33,'Recipients REF'!$A:$A,'Recipients REF'!K:K,"",0)</f>
        <v>LSGW170-RMP-2410</v>
      </c>
      <c r="V33" s="44" t="s">
        <v>29</v>
      </c>
      <c r="W33" s="45" t="s">
        <v>30</v>
      </c>
      <c r="X33" s="47" t="str">
        <f t="array" ref="X33">XLOOKUP($A33,'Recipients REF'!$A:$A,'Recipients REF'!L:L,"",0)</f>
        <v>WDP40-RMP-241</v>
      </c>
      <c r="Y33" s="48" t="s">
        <v>29</v>
      </c>
      <c r="Z33" s="48" t="s">
        <v>31</v>
      </c>
      <c r="AA33" s="46" t="str">
        <f t="array" ref="AA33">XLOOKUP($A33,'Recipients REF'!$A:$A,'Recipients REF'!M:M,"",0)</f>
        <v>WR-SERIES-</v>
      </c>
      <c r="AB33" s="49"/>
      <c r="AC33" s="42"/>
      <c r="AD33" s="42"/>
      <c r="AE33" s="50"/>
      <c r="AF33" s="42"/>
      <c r="AG33" s="42"/>
      <c r="AH33" s="42"/>
      <c r="AI33" s="42" t="str">
        <f t="array" ref="AI33">XLOOKUP($E33,Sheet11!$D:$D,Sheet11!$X:$X,"",0)</f>
        <v/>
      </c>
      <c r="AJ33" s="42" t="str">
        <f t="array" ref="AJ33">XLOOKUP($E33,Sheet11!$D:$D,Sheet11!$Y:$Y,"",0)</f>
        <v/>
      </c>
    </row>
    <row r="34">
      <c r="A34" s="41">
        <v>743.0</v>
      </c>
      <c r="B34" s="42" t="s">
        <v>90</v>
      </c>
      <c r="C34" s="42" t="s">
        <v>91</v>
      </c>
      <c r="D34" s="42"/>
      <c r="E34" s="42" t="str">
        <f t="shared" ref="E34:F34" si="35">PROPER(B34)</f>
        <v>Municipal Local Government Unit Of Bacacay</v>
      </c>
      <c r="F34" s="42" t="str">
        <f t="shared" si="35"/>
        <v>Barangay 2 (Pob.), Bacacay, Albay</v>
      </c>
      <c r="G34" s="42" t="str">
        <f t="shared" si="3"/>
        <v>Barangay 2 (Pob.)</v>
      </c>
      <c r="H34" s="42" t="str">
        <f t="shared" si="4"/>
        <v>Bacacay</v>
      </c>
      <c r="I34" s="42" t="str">
        <f t="shared" si="5"/>
        <v>Albay</v>
      </c>
      <c r="J34" s="42" t="str">
        <f t="array" ref="J34">XLOOKUP($E34,'Recipients REF'!$B:$B,'Recipients REF'!D:D,"",0)</f>
        <v>Hon. Edsel Belleza</v>
      </c>
      <c r="K34" s="42" t="str">
        <f t="array" ref="K34">XLOOKUP($E34,'Recipients REF'!$B:$B,'Recipients REF'!E:E,"",0)</f>
        <v>0997 925 0671</v>
      </c>
      <c r="L34" s="43" t="str">
        <f t="array" ref="L34">XLOOKUP($A34,'Recipients REF'!$A:$A,'Recipients REF'!F:F,"",0)</f>
        <v>RCEF 25-03-05</v>
      </c>
      <c r="M34" s="43">
        <f t="array" ref="M34">XLOOKUP($A34,'Recipients REF'!$A:$A,'Recipients REF'!G:G,"",0)</f>
        <v>6</v>
      </c>
      <c r="N34" s="43" t="str">
        <f t="array" ref="N34">XLOOKUP($A34,'Recipients REF'!$A:$A,'Recipients REF'!H:H,"",0)</f>
        <v>26575 &amp; 27736</v>
      </c>
      <c r="O34" s="44" t="s">
        <v>25</v>
      </c>
      <c r="P34" s="45" t="s">
        <v>26</v>
      </c>
      <c r="Q34" s="46" t="str">
        <f t="array" ref="Q34">XLOOKUP($A34,'Recipients REF'!$A:$A,'Recipients REF'!I:I,"",0)</f>
        <v>KMC5825 ACSFPV0097</v>
      </c>
      <c r="R34" s="53" t="str">
        <f t="array" ref="R34">XLOOKUP($A34,'Recipients REF'!$A:$A,'Recipients REF'!J:J,"",0)</f>
        <v>STS100134</v>
      </c>
      <c r="S34" s="45" t="s">
        <v>27</v>
      </c>
      <c r="T34" s="45" t="s">
        <v>28</v>
      </c>
      <c r="U34" s="46" t="str">
        <f t="array" ref="U34">XLOOKUP($A34,'Recipients REF'!$A:$A,'Recipients REF'!K:K,"",0)</f>
        <v>WR-SERIES 251</v>
      </c>
      <c r="V34" s="44" t="s">
        <v>29</v>
      </c>
      <c r="W34" s="45" t="s">
        <v>30</v>
      </c>
      <c r="X34" s="53" t="str">
        <f t="array" ref="X34">XLOOKUP($A34,'Recipients REF'!$A:$A,'Recipients REF'!L:L,"",0)</f>
        <v>25080360</v>
      </c>
      <c r="Y34" s="48" t="s">
        <v>29</v>
      </c>
      <c r="Z34" s="48" t="s">
        <v>31</v>
      </c>
      <c r="AA34" s="54">
        <f t="array" ref="AA34">XLOOKUP($A34,'Recipients REF'!$A:$A,'Recipients REF'!M:M,"",0)</f>
        <v>25080781</v>
      </c>
      <c r="AB34" s="49"/>
      <c r="AC34" s="42"/>
      <c r="AD34" s="42"/>
      <c r="AE34" s="50"/>
      <c r="AF34" s="42"/>
      <c r="AG34" s="42"/>
      <c r="AH34" s="42"/>
      <c r="AI34" s="42" t="str">
        <f t="array" ref="AI34">XLOOKUP($E34,Sheet11!$D:$D,Sheet11!$X:$X,"",0)</f>
        <v/>
      </c>
      <c r="AJ34" s="42" t="str">
        <f t="array" ref="AJ34">XLOOKUP($E34,Sheet11!$D:$D,Sheet11!$Y:$Y,"",0)</f>
        <v/>
      </c>
    </row>
    <row r="35">
      <c r="A35" s="41">
        <v>744.0</v>
      </c>
      <c r="B35" s="42" t="s">
        <v>92</v>
      </c>
      <c r="C35" s="42" t="s">
        <v>93</v>
      </c>
      <c r="D35" s="42"/>
      <c r="E35" s="42" t="str">
        <f t="shared" ref="E35:F35" si="36">PROPER(B35)</f>
        <v>Bariw Farmers Association</v>
      </c>
      <c r="F35" s="42" t="str">
        <f t="shared" si="36"/>
        <v>Bariw, Malinao, Albay</v>
      </c>
      <c r="G35" s="42" t="str">
        <f t="shared" si="3"/>
        <v>Bariw</v>
      </c>
      <c r="H35" s="42" t="str">
        <f t="shared" si="4"/>
        <v>Malinao</v>
      </c>
      <c r="I35" s="42" t="str">
        <f t="shared" si="5"/>
        <v>Albay</v>
      </c>
      <c r="J35" s="42" t="str">
        <f t="array" ref="J35">XLOOKUP($E35,'Recipients REF'!$B:$B,'Recipients REF'!D:D,"",0)</f>
        <v>Andres Bos Jr</v>
      </c>
      <c r="K35" s="42" t="str">
        <f t="array" ref="K35">XLOOKUP($E35,'Recipients REF'!$B:$B,'Recipients REF'!E:E,"",0)</f>
        <v>0912 365 9045</v>
      </c>
      <c r="L35" s="43" t="str">
        <f t="array" ref="L35">XLOOKUP($A35,'Recipients REF'!$A:$A,'Recipients REF'!F:F,"",0)</f>
        <v>RCEF 25-03-05</v>
      </c>
      <c r="M35" s="43">
        <f t="array" ref="M35">XLOOKUP($A35,'Recipients REF'!$A:$A,'Recipients REF'!G:G,"",0)</f>
        <v>6</v>
      </c>
      <c r="N35" s="43" t="str">
        <f t="array" ref="N35">XLOOKUP($A35,'Recipients REF'!$A:$A,'Recipients REF'!H:H,"",0)</f>
        <v>26576 &amp; 27737</v>
      </c>
      <c r="O35" s="44" t="s">
        <v>25</v>
      </c>
      <c r="P35" s="45" t="s">
        <v>26</v>
      </c>
      <c r="Q35" s="46" t="str">
        <f t="array" ref="Q35">XLOOKUP($A35,'Recipients REF'!$A:$A,'Recipients REF'!I:I,"",0)</f>
        <v>KMC5825 AHSFPV0159</v>
      </c>
      <c r="R35" s="53" t="str">
        <f t="array" ref="R35">XLOOKUP($A35,'Recipients REF'!$A:$A,'Recipients REF'!J:J,"",0)</f>
        <v>STS100141</v>
      </c>
      <c r="S35" s="45" t="s">
        <v>27</v>
      </c>
      <c r="T35" s="45" t="s">
        <v>28</v>
      </c>
      <c r="U35" s="46" t="str">
        <f t="array" ref="U35">XLOOKUP($A35,'Recipients REF'!$A:$A,'Recipients REF'!K:K,"",0)</f>
        <v>WR-SERIES 274</v>
      </c>
      <c r="V35" s="44" t="s">
        <v>29</v>
      </c>
      <c r="W35" s="45" t="s">
        <v>30</v>
      </c>
      <c r="X35" s="53" t="str">
        <f t="array" ref="X35">XLOOKUP($A35,'Recipients REF'!$A:$A,'Recipients REF'!L:L,"",0)</f>
        <v>25080351</v>
      </c>
      <c r="Y35" s="48" t="s">
        <v>29</v>
      </c>
      <c r="Z35" s="48" t="s">
        <v>31</v>
      </c>
      <c r="AA35" s="54">
        <f t="array" ref="AA35">XLOOKUP($A35,'Recipients REF'!$A:$A,'Recipients REF'!M:M,"",0)</f>
        <v>25080793</v>
      </c>
      <c r="AB35" s="49"/>
      <c r="AC35" s="42"/>
      <c r="AD35" s="42"/>
      <c r="AE35" s="51"/>
      <c r="AF35" s="42"/>
      <c r="AG35" s="42"/>
      <c r="AH35" s="42"/>
      <c r="AI35" s="42" t="str">
        <f t="array" ref="AI35">XLOOKUP($E35,Sheet11!$D:$D,Sheet11!$X:$X,"",0)</f>
        <v/>
      </c>
      <c r="AJ35" s="42" t="str">
        <f t="array" ref="AJ35">XLOOKUP($E35,Sheet11!$D:$D,Sheet11!$Y:$Y,"",0)</f>
        <v/>
      </c>
    </row>
    <row r="36">
      <c r="A36" s="41">
        <v>745.0</v>
      </c>
      <c r="B36" s="42" t="s">
        <v>94</v>
      </c>
      <c r="C36" s="42" t="s">
        <v>95</v>
      </c>
      <c r="D36" s="42"/>
      <c r="E36" s="42" t="str">
        <f t="shared" ref="E36:F36" si="37">PROPER(B36)</f>
        <v>San Nicolas Estancia Farmer'S Association (Snefa)</v>
      </c>
      <c r="F36" s="42" t="str">
        <f t="shared" si="37"/>
        <v>Estancia, Malinao, Albay</v>
      </c>
      <c r="G36" s="42" t="str">
        <f t="shared" si="3"/>
        <v>Estancia</v>
      </c>
      <c r="H36" s="42" t="str">
        <f t="shared" si="4"/>
        <v>Malinao</v>
      </c>
      <c r="I36" s="42" t="str">
        <f t="shared" si="5"/>
        <v>Albay</v>
      </c>
      <c r="J36" s="42" t="str">
        <f t="array" ref="J36">XLOOKUP($E36,'Recipients REF'!$B:$B,'Recipients REF'!D:D,"",0)</f>
        <v>Roque H. Pena</v>
      </c>
      <c r="K36" s="42" t="str">
        <f t="array" ref="K36">XLOOKUP($E36,'Recipients REF'!$B:$B,'Recipients REF'!E:E,"",0)</f>
        <v>0970 1773 543</v>
      </c>
      <c r="L36" s="43" t="str">
        <f t="array" ref="L36">XLOOKUP($A36,'Recipients REF'!$A:$A,'Recipients REF'!F:F,"",0)</f>
        <v>RCEF 25-03-05</v>
      </c>
      <c r="M36" s="43">
        <f t="array" ref="M36">XLOOKUP($A36,'Recipients REF'!$A:$A,'Recipients REF'!G:G,"",0)</f>
        <v>6</v>
      </c>
      <c r="N36" s="43" t="str">
        <f t="array" ref="N36">XLOOKUP($A36,'Recipients REF'!$A:$A,'Recipients REF'!H:H,"",0)</f>
        <v>26577 &amp; 27738</v>
      </c>
      <c r="O36" s="44" t="s">
        <v>25</v>
      </c>
      <c r="P36" s="45" t="s">
        <v>26</v>
      </c>
      <c r="Q36" s="46" t="str">
        <f t="array" ref="Q36">XLOOKUP($A36,'Recipients REF'!$A:$A,'Recipients REF'!I:I,"",0)</f>
        <v>KMC5825 AKRFPV0969</v>
      </c>
      <c r="R36" s="53" t="str">
        <f t="array" ref="R36">XLOOKUP($A36,'Recipients REF'!$A:$A,'Recipients REF'!J:J,"",0)</f>
        <v>RTS100664</v>
      </c>
      <c r="S36" s="45" t="s">
        <v>27</v>
      </c>
      <c r="T36" s="45" t="s">
        <v>28</v>
      </c>
      <c r="U36" s="46" t="str">
        <f t="array" ref="U36">XLOOKUP($A36,'Recipients REF'!$A:$A,'Recipients REF'!K:K,"",0)</f>
        <v>WR-SERIES 1118</v>
      </c>
      <c r="V36" s="44" t="s">
        <v>29</v>
      </c>
      <c r="W36" s="45" t="s">
        <v>30</v>
      </c>
      <c r="X36" s="53" t="str">
        <f t="array" ref="X36">XLOOKUP($A36,'Recipients REF'!$A:$A,'Recipients REF'!L:L,"",0)</f>
        <v>25080253</v>
      </c>
      <c r="Y36" s="48" t="s">
        <v>29</v>
      </c>
      <c r="Z36" s="48" t="s">
        <v>31</v>
      </c>
      <c r="AA36" s="54">
        <f t="array" ref="AA36">XLOOKUP($A36,'Recipients REF'!$A:$A,'Recipients REF'!M:M,"",0)</f>
        <v>25080795</v>
      </c>
      <c r="AB36" s="49"/>
      <c r="AC36" s="42"/>
      <c r="AD36" s="42"/>
      <c r="AE36" s="51"/>
      <c r="AF36" s="52"/>
      <c r="AG36" s="42"/>
      <c r="AH36" s="42"/>
      <c r="AI36" s="42" t="str">
        <f t="array" ref="AI36">XLOOKUP($E36,Sheet11!$D:$D,Sheet11!$X:$X,"",0)</f>
        <v/>
      </c>
      <c r="AJ36" s="42" t="str">
        <f t="array" ref="AJ36">XLOOKUP($E36,Sheet11!$D:$D,Sheet11!$Y:$Y,"",0)</f>
        <v/>
      </c>
    </row>
    <row r="37">
      <c r="A37" s="41">
        <v>746.0</v>
      </c>
      <c r="B37" s="42" t="s">
        <v>96</v>
      </c>
      <c r="C37" s="42" t="s">
        <v>97</v>
      </c>
      <c r="D37" s="42"/>
      <c r="E37" s="42" t="str">
        <f t="shared" ref="E37:F37" si="38">PROPER(B37)</f>
        <v>Tagoytoy Multi-Farmer'S Association (Tmfa)</v>
      </c>
      <c r="F37" s="42" t="str">
        <f t="shared" si="38"/>
        <v>Tagoytoy, Malinao, Albay</v>
      </c>
      <c r="G37" s="42" t="str">
        <f t="shared" si="3"/>
        <v>Tagoytoy</v>
      </c>
      <c r="H37" s="42" t="str">
        <f t="shared" si="4"/>
        <v>Malinao</v>
      </c>
      <c r="I37" s="42" t="str">
        <f t="shared" si="5"/>
        <v>Albay</v>
      </c>
      <c r="J37" s="42" t="str">
        <f t="array" ref="J37">XLOOKUP($E37,'Recipients REF'!$B:$B,'Recipients REF'!D:D,"",0)</f>
        <v>Aurelio C. Castelo</v>
      </c>
      <c r="K37" s="42" t="str">
        <f t="array" ref="K37">XLOOKUP($E37,'Recipients REF'!$B:$B,'Recipients REF'!E:E,"",0)</f>
        <v>0999 5926 438</v>
      </c>
      <c r="L37" s="43" t="str">
        <f t="array" ref="L37">XLOOKUP($A37,'Recipients REF'!$A:$A,'Recipients REF'!F:F,"",0)</f>
        <v>RCEF 25-03-05</v>
      </c>
      <c r="M37" s="43">
        <f t="array" ref="M37">XLOOKUP($A37,'Recipients REF'!$A:$A,'Recipients REF'!G:G,"",0)</f>
        <v>6</v>
      </c>
      <c r="N37" s="43" t="str">
        <f t="array" ref="N37">XLOOKUP($A37,'Recipients REF'!$A:$A,'Recipients REF'!H:H,"",0)</f>
        <v>26578 &amp; 27739</v>
      </c>
      <c r="O37" s="44" t="s">
        <v>25</v>
      </c>
      <c r="P37" s="45" t="s">
        <v>26</v>
      </c>
      <c r="Q37" s="46" t="str">
        <f t="array" ref="Q37">XLOOKUP($A37,'Recipients REF'!$A:$A,'Recipients REF'!I:I,"",0)</f>
        <v>KMC5825 ACSFPV0138</v>
      </c>
      <c r="R37" s="53" t="str">
        <f t="array" ref="R37">XLOOKUP($A37,'Recipients REF'!$A:$A,'Recipients REF'!J:J,"",0)</f>
        <v>STS100092</v>
      </c>
      <c r="S37" s="45" t="s">
        <v>27</v>
      </c>
      <c r="T37" s="45" t="s">
        <v>28</v>
      </c>
      <c r="U37" s="46" t="str">
        <f t="array" ref="U37">XLOOKUP($A37,'Recipients REF'!$A:$A,'Recipients REF'!K:K,"",0)</f>
        <v>WR-SERIES 277</v>
      </c>
      <c r="V37" s="44" t="s">
        <v>29</v>
      </c>
      <c r="W37" s="45" t="s">
        <v>30</v>
      </c>
      <c r="X37" s="53" t="str">
        <f t="array" ref="X37">XLOOKUP($A37,'Recipients REF'!$A:$A,'Recipients REF'!L:L,"",0)</f>
        <v>25080349</v>
      </c>
      <c r="Y37" s="48" t="s">
        <v>29</v>
      </c>
      <c r="Z37" s="48" t="s">
        <v>31</v>
      </c>
      <c r="AA37" s="54">
        <f t="array" ref="AA37">XLOOKUP($A37,'Recipients REF'!$A:$A,'Recipients REF'!M:M,"",0)</f>
        <v>25080787</v>
      </c>
      <c r="AB37" s="49"/>
      <c r="AC37" s="42"/>
      <c r="AD37" s="42"/>
      <c r="AE37" s="51"/>
      <c r="AF37" s="42"/>
      <c r="AG37" s="42"/>
      <c r="AH37" s="42"/>
      <c r="AI37" s="42" t="str">
        <f t="array" ref="AI37">XLOOKUP($E37,Sheet11!$D:$D,Sheet11!$X:$X,"",0)</f>
        <v/>
      </c>
      <c r="AJ37" s="42" t="str">
        <f t="array" ref="AJ37">XLOOKUP($E37,Sheet11!$D:$D,Sheet11!$Y:$Y,"",0)</f>
        <v/>
      </c>
    </row>
    <row r="38">
      <c r="A38" s="41">
        <v>747.0</v>
      </c>
      <c r="B38" s="42" t="s">
        <v>98</v>
      </c>
      <c r="C38" s="42" t="s">
        <v>99</v>
      </c>
      <c r="D38" s="42"/>
      <c r="E38" s="42" t="str">
        <f t="shared" ref="E38:F38" si="39">PROPER(B38)</f>
        <v>San Vicente Tabaco Irrigators Association Inc.</v>
      </c>
      <c r="F38" s="42" t="str">
        <f t="shared" si="39"/>
        <v>San Vicente, Tabaco City, Albay</v>
      </c>
      <c r="G38" s="42" t="str">
        <f t="shared" si="3"/>
        <v>San Vicente</v>
      </c>
      <c r="H38" s="42" t="str">
        <f t="shared" si="4"/>
        <v>Tabaco City</v>
      </c>
      <c r="I38" s="42" t="str">
        <f t="shared" si="5"/>
        <v>Albay</v>
      </c>
      <c r="J38" s="42" t="str">
        <f t="array" ref="J38">XLOOKUP($E38,'Recipients REF'!$B:$B,'Recipients REF'!D:D,"",0)</f>
        <v>Pebro B. Colorico</v>
      </c>
      <c r="K38" s="42" t="str">
        <f t="array" ref="K38">XLOOKUP($E38,'Recipients REF'!$B:$B,'Recipients REF'!E:E,"",0)</f>
        <v>0991 2779 534</v>
      </c>
      <c r="L38" s="43" t="str">
        <f t="array" ref="L38">XLOOKUP($A38,'Recipients REF'!$A:$A,'Recipients REF'!F:F,"",0)</f>
        <v>RCEF 25-03-05</v>
      </c>
      <c r="M38" s="43">
        <f t="array" ref="M38">XLOOKUP($A38,'Recipients REF'!$A:$A,'Recipients REF'!G:G,"",0)</f>
        <v>6</v>
      </c>
      <c r="N38" s="43" t="str">
        <f t="array" ref="N38">XLOOKUP($A38,'Recipients REF'!$A:$A,'Recipients REF'!H:H,"",0)</f>
        <v>26579 &amp; 27740</v>
      </c>
      <c r="O38" s="44" t="s">
        <v>25</v>
      </c>
      <c r="P38" s="45" t="s">
        <v>26</v>
      </c>
      <c r="Q38" s="46" t="str">
        <f t="array" ref="Q38">XLOOKUP($A38,'Recipients REF'!$A:$A,'Recipients REF'!I:I,"",0)</f>
        <v>KMC5825 ALSFPV0158</v>
      </c>
      <c r="R38" s="53" t="str">
        <f t="array" ref="R38">XLOOKUP($A38,'Recipients REF'!$A:$A,'Recipients REF'!J:J,"",0)</f>
        <v>STS100136</v>
      </c>
      <c r="S38" s="45" t="s">
        <v>27</v>
      </c>
      <c r="T38" s="45" t="s">
        <v>28</v>
      </c>
      <c r="U38" s="46" t="str">
        <f t="array" ref="U38">XLOOKUP($A38,'Recipients REF'!$A:$A,'Recipients REF'!K:K,"",0)</f>
        <v>WR-SERIES 301</v>
      </c>
      <c r="V38" s="44" t="s">
        <v>29</v>
      </c>
      <c r="W38" s="45" t="s">
        <v>30</v>
      </c>
      <c r="X38" s="53" t="str">
        <f t="array" ref="X38">XLOOKUP($A38,'Recipients REF'!$A:$A,'Recipients REF'!L:L,"",0)</f>
        <v>25080389</v>
      </c>
      <c r="Y38" s="48" t="s">
        <v>29</v>
      </c>
      <c r="Z38" s="48" t="s">
        <v>31</v>
      </c>
      <c r="AA38" s="54">
        <f t="array" ref="AA38">XLOOKUP($A38,'Recipients REF'!$A:$A,'Recipients REF'!M:M,"",0)</f>
        <v>25080809</v>
      </c>
      <c r="AB38" s="49"/>
      <c r="AC38" s="42"/>
      <c r="AD38" s="42"/>
      <c r="AE38" s="51"/>
      <c r="AF38" s="52"/>
      <c r="AG38" s="42"/>
      <c r="AH38" s="42"/>
      <c r="AI38" s="42" t="str">
        <f t="array" ref="AI38">XLOOKUP($E38,Sheet11!$D:$D,Sheet11!$X:$X,"",0)</f>
        <v/>
      </c>
      <c r="AJ38" s="42" t="str">
        <f t="array" ref="AJ38">XLOOKUP($E38,Sheet11!$D:$D,Sheet11!$Y:$Y,"",0)</f>
        <v/>
      </c>
    </row>
    <row r="39">
      <c r="A39" s="41">
        <v>748.0</v>
      </c>
      <c r="B39" s="42" t="s">
        <v>100</v>
      </c>
      <c r="C39" s="42" t="s">
        <v>101</v>
      </c>
      <c r="D39" s="42"/>
      <c r="E39" s="42" t="str">
        <f t="shared" ref="E39:F39" si="40">PROPER(B39)</f>
        <v>Municipal Local Government Unit Of Camalig</v>
      </c>
      <c r="F39" s="42" t="str">
        <f t="shared" si="40"/>
        <v>Barangay 2 (Pob.), Camalig, Albay</v>
      </c>
      <c r="G39" s="42" t="str">
        <f t="shared" si="3"/>
        <v>Barangay 2 (Pob.)</v>
      </c>
      <c r="H39" s="42" t="str">
        <f t="shared" si="4"/>
        <v>Camalig</v>
      </c>
      <c r="I39" s="42" t="str">
        <f t="shared" si="5"/>
        <v>Albay</v>
      </c>
      <c r="J39" s="42" t="str">
        <f t="array" ref="J39">XLOOKUP($E39,'Recipients REF'!$B:$B,'Recipients REF'!D:D,"",0)</f>
        <v>Hon. Carlos Irwin G. Baldo Jr</v>
      </c>
      <c r="K39" s="42">
        <f t="array" ref="K39">XLOOKUP($E39,'Recipients REF'!$B:$B,'Recipients REF'!E:E,"",0)</f>
        <v>9757581009</v>
      </c>
      <c r="L39" s="43" t="str">
        <f t="array" ref="L39">XLOOKUP($A39,'Recipients REF'!$A:$A,'Recipients REF'!F:F,"",0)</f>
        <v>RCEF 25-03-05</v>
      </c>
      <c r="M39" s="43">
        <f t="array" ref="M39">XLOOKUP($A39,'Recipients REF'!$A:$A,'Recipients REF'!G:G,"",0)</f>
        <v>6</v>
      </c>
      <c r="N39" s="43" t="str">
        <f t="array" ref="N39">XLOOKUP($A39,'Recipients REF'!$A:$A,'Recipients REF'!H:H,"",0)</f>
        <v>26580 &amp; 27741</v>
      </c>
      <c r="O39" s="44" t="s">
        <v>25</v>
      </c>
      <c r="P39" s="45" t="s">
        <v>26</v>
      </c>
      <c r="Q39" s="46" t="str">
        <f t="array" ref="Q39">XLOOKUP($A39,'Recipients REF'!$A:$A,'Recipients REF'!I:I,"",0)</f>
        <v>KMC5825 AESFPV0132</v>
      </c>
      <c r="R39" s="53" t="str">
        <f t="array" ref="R39">XLOOKUP($A39,'Recipients REF'!$A:$A,'Recipients REF'!J:J,"",0)</f>
        <v>STS100166</v>
      </c>
      <c r="S39" s="45" t="s">
        <v>27</v>
      </c>
      <c r="T39" s="45" t="s">
        <v>28</v>
      </c>
      <c r="U39" s="46" t="str">
        <f t="array" ref="U39">XLOOKUP($A39,'Recipients REF'!$A:$A,'Recipients REF'!K:K,"",0)</f>
        <v>WR-SERIES 267</v>
      </c>
      <c r="V39" s="44" t="s">
        <v>29</v>
      </c>
      <c r="W39" s="45" t="s">
        <v>30</v>
      </c>
      <c r="X39" s="53" t="str">
        <f t="array" ref="X39">XLOOKUP($A39,'Recipients REF'!$A:$A,'Recipients REF'!L:L,"",0)</f>
        <v>25080380</v>
      </c>
      <c r="Y39" s="48" t="s">
        <v>29</v>
      </c>
      <c r="Z39" s="48" t="s">
        <v>31</v>
      </c>
      <c r="AA39" s="54">
        <f t="array" ref="AA39">XLOOKUP($A39,'Recipients REF'!$A:$A,'Recipients REF'!M:M,"",0)</f>
        <v>25080789</v>
      </c>
      <c r="AB39" s="49"/>
      <c r="AC39" s="42"/>
      <c r="AD39" s="42"/>
      <c r="AE39" s="50"/>
      <c r="AF39" s="42"/>
      <c r="AG39" s="42"/>
      <c r="AH39" s="42"/>
      <c r="AI39" s="42" t="str">
        <f t="array" ref="AI39">XLOOKUP($E39,Sheet11!$D:$D,Sheet11!$X:$X,"",0)</f>
        <v/>
      </c>
      <c r="AJ39" s="42" t="str">
        <f t="array" ref="AJ39">XLOOKUP($E39,Sheet11!$D:$D,Sheet11!$Y:$Y,"",0)</f>
        <v/>
      </c>
    </row>
    <row r="40">
      <c r="A40" s="41">
        <v>749.0</v>
      </c>
      <c r="B40" s="42" t="s">
        <v>102</v>
      </c>
      <c r="C40" s="42" t="s">
        <v>103</v>
      </c>
      <c r="D40" s="42"/>
      <c r="E40" s="42" t="str">
        <f t="shared" ref="E40:F40" si="41">PROPER(B40)</f>
        <v>City Local Government Unit Of Legazpi</v>
      </c>
      <c r="F40" s="42" t="str">
        <f t="shared" si="41"/>
        <v>Bgy. 38 - Gogon (Bgy. 54), Legazpi City, Albay</v>
      </c>
      <c r="G40" s="42" t="str">
        <f t="shared" si="3"/>
        <v>Bgy. 38 - Gogon (Bgy. 54)</v>
      </c>
      <c r="H40" s="42" t="str">
        <f t="shared" si="4"/>
        <v>Legazpi City</v>
      </c>
      <c r="I40" s="42" t="str">
        <f t="shared" si="5"/>
        <v>Albay</v>
      </c>
      <c r="J40" s="42" t="str">
        <f t="array" ref="J40">XLOOKUP($E40,'Recipients REF'!$B:$B,'Recipients REF'!D:D,"",0)</f>
        <v>Hon. Atty. Alfredo A. Garbin Jr</v>
      </c>
      <c r="K40" s="42" t="str">
        <f t="array" ref="K40">XLOOKUP($E40,'Recipients REF'!$B:$B,'Recipients REF'!E:E,"",0)</f>
        <v>09500 841401</v>
      </c>
      <c r="L40" s="43" t="str">
        <f t="array" ref="L40">XLOOKUP($A40,'Recipients REF'!$A:$A,'Recipients REF'!F:F,"",0)</f>
        <v>RCEF 25-03-05</v>
      </c>
      <c r="M40" s="43">
        <f t="array" ref="M40">XLOOKUP($A40,'Recipients REF'!$A:$A,'Recipients REF'!G:G,"",0)</f>
        <v>6</v>
      </c>
      <c r="N40" s="43" t="str">
        <f t="array" ref="N40">XLOOKUP($A40,'Recipients REF'!$A:$A,'Recipients REF'!H:H,"",0)</f>
        <v>26581 &amp; 27742</v>
      </c>
      <c r="O40" s="44" t="s">
        <v>25</v>
      </c>
      <c r="P40" s="45" t="s">
        <v>26</v>
      </c>
      <c r="Q40" s="46" t="str">
        <f t="array" ref="Q40">XLOOKUP($A40,'Recipients REF'!$A:$A,'Recipients REF'!I:I,"",0)</f>
        <v>KMC5825 APRFPV1084</v>
      </c>
      <c r="R40" s="53" t="str">
        <f t="array" ref="R40">XLOOKUP($A40,'Recipients REF'!$A:$A,'Recipients REF'!J:J,"",0)</f>
        <v>RTS100917</v>
      </c>
      <c r="S40" s="45" t="s">
        <v>27</v>
      </c>
      <c r="T40" s="45" t="s">
        <v>28</v>
      </c>
      <c r="U40" s="46" t="str">
        <f t="array" ref="U40">XLOOKUP($A40,'Recipients REF'!$A:$A,'Recipients REF'!K:K,"",0)</f>
        <v>WR-SERIES 1317</v>
      </c>
      <c r="V40" s="44" t="s">
        <v>29</v>
      </c>
      <c r="W40" s="45" t="s">
        <v>30</v>
      </c>
      <c r="X40" s="53" t="str">
        <f t="array" ref="X40">XLOOKUP($A40,'Recipients REF'!$A:$A,'Recipients REF'!L:L,"",0)</f>
        <v>25080361</v>
      </c>
      <c r="Y40" s="48" t="s">
        <v>29</v>
      </c>
      <c r="Z40" s="48" t="s">
        <v>31</v>
      </c>
      <c r="AA40" s="54">
        <f t="array" ref="AA40">XLOOKUP($A40,'Recipients REF'!$A:$A,'Recipients REF'!M:M,"",0)</f>
        <v>25080786</v>
      </c>
      <c r="AB40" s="49"/>
      <c r="AC40" s="42"/>
      <c r="AD40" s="42"/>
      <c r="AE40" s="51"/>
      <c r="AF40" s="42"/>
      <c r="AG40" s="42"/>
      <c r="AH40" s="42"/>
      <c r="AI40" s="42" t="str">
        <f t="array" ref="AI40">XLOOKUP($E40,Sheet11!$D:$D,Sheet11!$X:$X,"",0)</f>
        <v/>
      </c>
      <c r="AJ40" s="42" t="str">
        <f t="array" ref="AJ40">XLOOKUP($E40,Sheet11!$D:$D,Sheet11!$Y:$Y,"",0)</f>
        <v/>
      </c>
    </row>
    <row r="41">
      <c r="A41" s="41">
        <v>750.0</v>
      </c>
      <c r="B41" s="42" t="s">
        <v>104</v>
      </c>
      <c r="C41" s="42" t="s">
        <v>105</v>
      </c>
      <c r="D41" s="42"/>
      <c r="E41" s="42" t="str">
        <f t="shared" ref="E41:F41" si="42">PROPER(B41)</f>
        <v>Newtown Farmers Association</v>
      </c>
      <c r="F41" s="42" t="str">
        <f t="shared" si="42"/>
        <v>Bagumbayan, Ligao City, Albay</v>
      </c>
      <c r="G41" s="42" t="str">
        <f t="shared" si="3"/>
        <v>Bagumbayan</v>
      </c>
      <c r="H41" s="42" t="str">
        <f t="shared" si="4"/>
        <v>Ligao City</v>
      </c>
      <c r="I41" s="42" t="str">
        <f t="shared" si="5"/>
        <v>Albay</v>
      </c>
      <c r="J41" s="42" t="str">
        <f t="array" ref="J41">XLOOKUP($E41,'Recipients REF'!$B:$B,'Recipients REF'!D:D,"",0)</f>
        <v>Roberto A. Quirasol</v>
      </c>
      <c r="K41" s="42" t="str">
        <f t="array" ref="K41">XLOOKUP($E41,'Recipients REF'!$B:$B,'Recipients REF'!E:E,"",0)</f>
        <v>0917 1083 595</v>
      </c>
      <c r="L41" s="43" t="str">
        <f t="array" ref="L41">XLOOKUP($A41,'Recipients REF'!$A:$A,'Recipients REF'!F:F,"",0)</f>
        <v>RCEF 25-03-05</v>
      </c>
      <c r="M41" s="43">
        <f t="array" ref="M41">XLOOKUP($A41,'Recipients REF'!$A:$A,'Recipients REF'!G:G,"",0)</f>
        <v>6</v>
      </c>
      <c r="N41" s="43" t="str">
        <f t="array" ref="N41">XLOOKUP($A41,'Recipients REF'!$A:$A,'Recipients REF'!H:H,"",0)</f>
        <v>26582 &amp; 27743</v>
      </c>
      <c r="O41" s="44" t="s">
        <v>25</v>
      </c>
      <c r="P41" s="45" t="s">
        <v>26</v>
      </c>
      <c r="Q41" s="46" t="str">
        <f t="array" ref="Q41">XLOOKUP($A41,'Recipients REF'!$A:$A,'Recipients REF'!I:I,"",0)</f>
        <v>KMC5825 APSFPV0118</v>
      </c>
      <c r="R41" s="53" t="str">
        <f t="array" ref="R41">XLOOKUP($A41,'Recipients REF'!$A:$A,'Recipients REF'!J:J,"",0)</f>
        <v>STS100096</v>
      </c>
      <c r="S41" s="45" t="s">
        <v>27</v>
      </c>
      <c r="T41" s="45" t="s">
        <v>28</v>
      </c>
      <c r="U41" s="46" t="str">
        <f t="array" ref="U41">XLOOKUP($A41,'Recipients REF'!$A:$A,'Recipients REF'!K:K,"",0)</f>
        <v>WR-SERIES 300</v>
      </c>
      <c r="V41" s="44" t="s">
        <v>29</v>
      </c>
      <c r="W41" s="45" t="s">
        <v>30</v>
      </c>
      <c r="X41" s="53" t="str">
        <f t="array" ref="X41">XLOOKUP($A41,'Recipients REF'!$A:$A,'Recipients REF'!L:L,"",0)</f>
        <v>25080382</v>
      </c>
      <c r="Y41" s="48" t="s">
        <v>29</v>
      </c>
      <c r="Z41" s="48" t="s">
        <v>31</v>
      </c>
      <c r="AA41" s="54">
        <f t="array" ref="AA41">XLOOKUP($A41,'Recipients REF'!$A:$A,'Recipients REF'!M:M,"",0)</f>
        <v>25080785</v>
      </c>
      <c r="AB41" s="49"/>
      <c r="AC41" s="42"/>
      <c r="AD41" s="42"/>
      <c r="AE41" s="51"/>
      <c r="AF41" s="42"/>
      <c r="AG41" s="42"/>
      <c r="AH41" s="42"/>
      <c r="AI41" s="42" t="str">
        <f t="array" ref="AI41">XLOOKUP($E41,Sheet11!$D:$D,Sheet11!$X:$X,"",0)</f>
        <v/>
      </c>
      <c r="AJ41" s="42" t="str">
        <f t="array" ref="AJ41">XLOOKUP($E41,Sheet11!$D:$D,Sheet11!$Y:$Y,"",0)</f>
        <v/>
      </c>
    </row>
    <row r="42">
      <c r="A42" s="41">
        <v>751.0</v>
      </c>
      <c r="B42" s="42" t="s">
        <v>106</v>
      </c>
      <c r="C42" s="42" t="s">
        <v>85</v>
      </c>
      <c r="D42" s="42"/>
      <c r="E42" s="42" t="str">
        <f t="shared" ref="E42:F42" si="43">PROPER(B42)</f>
        <v>Bagsa Rice-Ing Farmers Association</v>
      </c>
      <c r="F42" s="42" t="str">
        <f t="shared" si="43"/>
        <v>Bagsa, Oas, Albay</v>
      </c>
      <c r="G42" s="42" t="str">
        <f t="shared" si="3"/>
        <v>Bagsa</v>
      </c>
      <c r="H42" s="42" t="str">
        <f t="shared" si="4"/>
        <v>Oas</v>
      </c>
      <c r="I42" s="42" t="str">
        <f t="shared" si="5"/>
        <v>Albay</v>
      </c>
      <c r="J42" s="42" t="str">
        <f t="array" ref="J42">XLOOKUP($E42,'Recipients REF'!$B:$B,'Recipients REF'!D:D,"",0)</f>
        <v>Mario A. Aguilar</v>
      </c>
      <c r="K42" s="42" t="str">
        <f t="array" ref="K42">XLOOKUP($E42,'Recipients REF'!$B:$B,'Recipients REF'!E:E,"",0)</f>
        <v>0958 5050 497</v>
      </c>
      <c r="L42" s="43" t="str">
        <f t="array" ref="L42">XLOOKUP($A42,'Recipients REF'!$A:$A,'Recipients REF'!F:F,"",0)</f>
        <v>RCEF 25-03-05</v>
      </c>
      <c r="M42" s="43">
        <f t="array" ref="M42">XLOOKUP($A42,'Recipients REF'!$A:$A,'Recipients REF'!G:G,"",0)</f>
        <v>6</v>
      </c>
      <c r="N42" s="43" t="str">
        <f t="array" ref="N42">XLOOKUP($A42,'Recipients REF'!$A:$A,'Recipients REF'!H:H,"",0)</f>
        <v>26583 &amp; 27744</v>
      </c>
      <c r="O42" s="44" t="s">
        <v>25</v>
      </c>
      <c r="P42" s="45" t="s">
        <v>26</v>
      </c>
      <c r="Q42" s="46" t="str">
        <f t="array" ref="Q42">XLOOKUP($A42,'Recipients REF'!$A:$A,'Recipients REF'!I:I,"",0)</f>
        <v>KMC5825 AJSFPV0137</v>
      </c>
      <c r="R42" s="53" t="str">
        <f t="array" ref="R42">XLOOKUP($A42,'Recipients REF'!$A:$A,'Recipients REF'!J:J,"",0)</f>
        <v>STS100093</v>
      </c>
      <c r="S42" s="45" t="s">
        <v>27</v>
      </c>
      <c r="T42" s="45" t="s">
        <v>28</v>
      </c>
      <c r="U42" s="46" t="str">
        <f t="array" ref="U42">XLOOKUP($A42,'Recipients REF'!$A:$A,'Recipients REF'!K:K,"",0)</f>
        <v>WR-SERIES 271</v>
      </c>
      <c r="V42" s="44" t="s">
        <v>29</v>
      </c>
      <c r="W42" s="45" t="s">
        <v>30</v>
      </c>
      <c r="X42" s="53" t="str">
        <f t="array" ref="X42">XLOOKUP($A42,'Recipients REF'!$A:$A,'Recipients REF'!L:L,"",0)</f>
        <v>25080358</v>
      </c>
      <c r="Y42" s="48" t="s">
        <v>29</v>
      </c>
      <c r="Z42" s="48" t="s">
        <v>31</v>
      </c>
      <c r="AA42" s="54">
        <f t="array" ref="AA42">XLOOKUP($A42,'Recipients REF'!$A:$A,'Recipients REF'!M:M,"",0)</f>
        <v>25080797</v>
      </c>
      <c r="AB42" s="49"/>
      <c r="AC42" s="42"/>
      <c r="AD42" s="42"/>
      <c r="AE42" s="51"/>
      <c r="AF42" s="42"/>
      <c r="AG42" s="42"/>
      <c r="AH42" s="42"/>
      <c r="AI42" s="42" t="str">
        <f t="array" ref="AI42">XLOOKUP($E42,Sheet11!$D:$D,Sheet11!$X:$X,"",0)</f>
        <v/>
      </c>
      <c r="AJ42" s="42" t="str">
        <f t="array" ref="AJ42">XLOOKUP($E42,Sheet11!$D:$D,Sheet11!$Y:$Y,"",0)</f>
        <v/>
      </c>
    </row>
    <row r="43">
      <c r="A43" s="41">
        <v>752.0</v>
      </c>
      <c r="B43" s="42" t="s">
        <v>107</v>
      </c>
      <c r="C43" s="42" t="s">
        <v>108</v>
      </c>
      <c r="D43" s="42"/>
      <c r="E43" s="42" t="str">
        <f t="shared" ref="E43:F43" si="44">PROPER(B43)</f>
        <v>Brgy. Maramba Integrated Farmers And Fisherfolks Association</v>
      </c>
      <c r="F43" s="42" t="str">
        <f t="shared" si="44"/>
        <v>Maramba, Oas, Albay</v>
      </c>
      <c r="G43" s="42" t="str">
        <f t="shared" si="3"/>
        <v>Maramba</v>
      </c>
      <c r="H43" s="42" t="str">
        <f t="shared" si="4"/>
        <v>Oas</v>
      </c>
      <c r="I43" s="42" t="str">
        <f t="shared" si="5"/>
        <v>Albay</v>
      </c>
      <c r="J43" s="42" t="str">
        <f t="array" ref="J43">XLOOKUP($E43,'Recipients REF'!$B:$B,'Recipients REF'!D:D,"",0)</f>
        <v>Edward R San Jose</v>
      </c>
      <c r="K43" s="42" t="str">
        <f t="array" ref="K43">XLOOKUP($E43,'Recipients REF'!$B:$B,'Recipients REF'!E:E,"",0)</f>
        <v>0992 4989 278</v>
      </c>
      <c r="L43" s="43" t="str">
        <f t="array" ref="L43">XLOOKUP($A43,'Recipients REF'!$A:$A,'Recipients REF'!F:F,"",0)</f>
        <v>RCEF 25-03-05</v>
      </c>
      <c r="M43" s="43">
        <f t="array" ref="M43">XLOOKUP($A43,'Recipients REF'!$A:$A,'Recipients REF'!G:G,"",0)</f>
        <v>6</v>
      </c>
      <c r="N43" s="43" t="str">
        <f t="array" ref="N43">XLOOKUP($A43,'Recipients REF'!$A:$A,'Recipients REF'!H:H,"",0)</f>
        <v>26584 &amp; 27750</v>
      </c>
      <c r="O43" s="44" t="s">
        <v>25</v>
      </c>
      <c r="P43" s="45" t="s">
        <v>26</v>
      </c>
      <c r="Q43" s="46" t="str">
        <f t="array" ref="Q43">XLOOKUP($A43,'Recipients REF'!$A:$A,'Recipients REF'!I:I,"",0)</f>
        <v>KMC5825 AHSFPV0131</v>
      </c>
      <c r="R43" s="53" t="str">
        <f t="array" ref="R43">XLOOKUP($A43,'Recipients REF'!$A:$A,'Recipients REF'!J:J,"",0)</f>
        <v>STS100167</v>
      </c>
      <c r="S43" s="45" t="s">
        <v>27</v>
      </c>
      <c r="T43" s="45" t="s">
        <v>28</v>
      </c>
      <c r="U43" s="46" t="str">
        <f t="array" ref="U43">XLOOKUP($A43,'Recipients REF'!$A:$A,'Recipients REF'!K:K,"",0)</f>
        <v>WR-SERIES 288</v>
      </c>
      <c r="V43" s="44" t="s">
        <v>29</v>
      </c>
      <c r="W43" s="45" t="s">
        <v>30</v>
      </c>
      <c r="X43" s="53" t="str">
        <f t="array" ref="X43">XLOOKUP($A43,'Recipients REF'!$A:$A,'Recipients REF'!L:L,"",0)</f>
        <v>25080381</v>
      </c>
      <c r="Y43" s="48" t="s">
        <v>29</v>
      </c>
      <c r="Z43" s="48" t="s">
        <v>31</v>
      </c>
      <c r="AA43" s="54">
        <f t="array" ref="AA43">XLOOKUP($A43,'Recipients REF'!$A:$A,'Recipients REF'!M:M,"",0)</f>
        <v>25080782</v>
      </c>
      <c r="AB43" s="49"/>
      <c r="AC43" s="42"/>
      <c r="AD43" s="42"/>
      <c r="AE43" s="51"/>
      <c r="AF43" s="42"/>
      <c r="AG43" s="42"/>
      <c r="AH43" s="42"/>
      <c r="AI43" s="42" t="str">
        <f t="array" ref="AI43">XLOOKUP($E43,Sheet11!$D:$D,Sheet11!$X:$X,"",0)</f>
        <v/>
      </c>
      <c r="AJ43" s="42" t="str">
        <f t="array" ref="AJ43">XLOOKUP($E43,Sheet11!$D:$D,Sheet11!$Y:$Y,"",0)</f>
        <v/>
      </c>
    </row>
    <row r="44">
      <c r="A44" s="41">
        <v>753.0</v>
      </c>
      <c r="B44" s="42" t="s">
        <v>109</v>
      </c>
      <c r="C44" s="42" t="s">
        <v>110</v>
      </c>
      <c r="D44" s="42"/>
      <c r="E44" s="42" t="str">
        <f t="shared" ref="E44:F44" si="45">PROPER(B44)</f>
        <v>Burunyog Na Paraomang Oragon Association</v>
      </c>
      <c r="F44" s="42" t="str">
        <f t="shared" si="45"/>
        <v>San Isidro, Oas, Albay</v>
      </c>
      <c r="G44" s="42" t="str">
        <f t="shared" si="3"/>
        <v>San Isidro</v>
      </c>
      <c r="H44" s="42" t="str">
        <f t="shared" si="4"/>
        <v>Oas</v>
      </c>
      <c r="I44" s="42" t="str">
        <f t="shared" si="5"/>
        <v>Albay</v>
      </c>
      <c r="J44" s="42" t="str">
        <f t="array" ref="J44">XLOOKUP($E44,'Recipients REF'!$B:$B,'Recipients REF'!D:D,"",0)</f>
        <v>Lilia M. Regachuelo</v>
      </c>
      <c r="K44" s="42" t="str">
        <f t="array" ref="K44">XLOOKUP($E44,'Recipients REF'!$B:$B,'Recipients REF'!E:E,"",0)</f>
        <v>0939 3372 075</v>
      </c>
      <c r="L44" s="43" t="str">
        <f t="array" ref="L44">XLOOKUP($A44,'Recipients REF'!$A:$A,'Recipients REF'!F:F,"",0)</f>
        <v>RCEF 25-03-05</v>
      </c>
      <c r="M44" s="43">
        <f t="array" ref="M44">XLOOKUP($A44,'Recipients REF'!$A:$A,'Recipients REF'!G:G,"",0)</f>
        <v>6</v>
      </c>
      <c r="N44" s="43" t="str">
        <f t="array" ref="N44">XLOOKUP($A44,'Recipients REF'!$A:$A,'Recipients REF'!H:H,"",0)</f>
        <v>26585 &amp; 27747</v>
      </c>
      <c r="O44" s="44" t="s">
        <v>25</v>
      </c>
      <c r="P44" s="45" t="s">
        <v>26</v>
      </c>
      <c r="Q44" s="46" t="str">
        <f t="array" ref="Q44">XLOOKUP($A44,'Recipients REF'!$A:$A,'Recipients REF'!I:I,"",0)</f>
        <v>KMC5825 ACSFPV0138</v>
      </c>
      <c r="R44" s="53" t="str">
        <f t="array" ref="R44">XLOOKUP($A44,'Recipients REF'!$A:$A,'Recipients REF'!J:J,"",0)</f>
        <v>STS100092</v>
      </c>
      <c r="S44" s="45" t="s">
        <v>27</v>
      </c>
      <c r="T44" s="45" t="s">
        <v>28</v>
      </c>
      <c r="U44" s="46" t="str">
        <f t="array" ref="U44">XLOOKUP($A44,'Recipients REF'!$A:$A,'Recipients REF'!K:K,"",0)</f>
        <v>WR-SERIES 277</v>
      </c>
      <c r="V44" s="44" t="s">
        <v>29</v>
      </c>
      <c r="W44" s="45" t="s">
        <v>30</v>
      </c>
      <c r="X44" s="53" t="str">
        <f t="array" ref="X44">XLOOKUP($A44,'Recipients REF'!$A:$A,'Recipients REF'!L:L,"",0)</f>
        <v>25080377</v>
      </c>
      <c r="Y44" s="48" t="s">
        <v>29</v>
      </c>
      <c r="Z44" s="48" t="s">
        <v>31</v>
      </c>
      <c r="AA44" s="54">
        <f t="array" ref="AA44">XLOOKUP($A44,'Recipients REF'!$A:$A,'Recipients REF'!M:M,"",0)</f>
        <v>25080788</v>
      </c>
      <c r="AB44" s="49"/>
      <c r="AC44" s="42"/>
      <c r="AD44" s="42"/>
      <c r="AE44" s="51"/>
      <c r="AF44" s="42"/>
      <c r="AG44" s="42"/>
      <c r="AH44" s="42"/>
      <c r="AI44" s="42" t="str">
        <f t="array" ref="AI44">XLOOKUP($E44,Sheet11!$D:$D,Sheet11!$X:$X,"",0)</f>
        <v/>
      </c>
      <c r="AJ44" s="42" t="str">
        <f t="array" ref="AJ44">XLOOKUP($E44,Sheet11!$D:$D,Sheet11!$Y:$Y,"",0)</f>
        <v/>
      </c>
    </row>
    <row r="45">
      <c r="A45" s="41">
        <v>754.0</v>
      </c>
      <c r="B45" s="42" t="s">
        <v>111</v>
      </c>
      <c r="C45" s="42" t="s">
        <v>112</v>
      </c>
      <c r="D45" s="42"/>
      <c r="E45" s="42" t="str">
        <f t="shared" ref="E45:F45" si="46">PROPER(B45)</f>
        <v>Mayao Farmers Association</v>
      </c>
      <c r="F45" s="42" t="str">
        <f t="shared" si="46"/>
        <v>Mayao, Oas, Albay</v>
      </c>
      <c r="G45" s="42" t="str">
        <f t="shared" si="3"/>
        <v>Mayao</v>
      </c>
      <c r="H45" s="42" t="str">
        <f t="shared" si="4"/>
        <v>Oas</v>
      </c>
      <c r="I45" s="42" t="str">
        <f t="shared" si="5"/>
        <v>Albay</v>
      </c>
      <c r="J45" s="42" t="str">
        <f t="array" ref="J45">XLOOKUP($E45,'Recipients REF'!$B:$B,'Recipients REF'!D:D,"",0)</f>
        <v>RAFFY R. REBANAL</v>
      </c>
      <c r="K45" s="42" t="str">
        <f t="array" ref="K45">XLOOKUP($E45,'Recipients REF'!$B:$B,'Recipients REF'!E:E,"",0)</f>
        <v>0993 251 4853</v>
      </c>
      <c r="L45" s="43" t="str">
        <f t="array" ref="L45">XLOOKUP($A45,'Recipients REF'!$A:$A,'Recipients REF'!F:F,"",0)</f>
        <v>RCEF 25-03-05</v>
      </c>
      <c r="M45" s="43">
        <f t="array" ref="M45">XLOOKUP($A45,'Recipients REF'!$A:$A,'Recipients REF'!G:G,"",0)</f>
        <v>6</v>
      </c>
      <c r="N45" s="43" t="str">
        <f t="array" ref="N45">XLOOKUP($A45,'Recipients REF'!$A:$A,'Recipients REF'!H:H,"",0)</f>
        <v>26586 &amp; 27748</v>
      </c>
      <c r="O45" s="44" t="s">
        <v>25</v>
      </c>
      <c r="P45" s="45" t="s">
        <v>26</v>
      </c>
      <c r="Q45" s="46" t="str">
        <f t="array" ref="Q45">XLOOKUP($A45,'Recipients REF'!$A:$A,'Recipients REF'!I:I,"",0)</f>
        <v>KMC5825 ACSFPV0150</v>
      </c>
      <c r="R45" s="53" t="str">
        <f t="array" ref="R45">XLOOKUP($A45,'Recipients REF'!$A:$A,'Recipients REF'!J:J,"",0)</f>
        <v>STS100143</v>
      </c>
      <c r="S45" s="45" t="s">
        <v>27</v>
      </c>
      <c r="T45" s="45" t="s">
        <v>28</v>
      </c>
      <c r="U45" s="46" t="str">
        <f t="array" ref="U45">XLOOKUP($A45,'Recipients REF'!$A:$A,'Recipients REF'!K:K,"",0)</f>
        <v>WR-SERIES 291</v>
      </c>
      <c r="V45" s="44" t="s">
        <v>29</v>
      </c>
      <c r="W45" s="45" t="s">
        <v>30</v>
      </c>
      <c r="X45" s="53" t="str">
        <f t="array" ref="X45">XLOOKUP($A45,'Recipients REF'!$A:$A,'Recipients REF'!L:L,"",0)</f>
        <v>25080366</v>
      </c>
      <c r="Y45" s="48" t="s">
        <v>29</v>
      </c>
      <c r="Z45" s="48" t="s">
        <v>31</v>
      </c>
      <c r="AA45" s="54">
        <f t="array" ref="AA45">XLOOKUP($A45,'Recipients REF'!$A:$A,'Recipients REF'!M:M,"",0)</f>
        <v>25080794</v>
      </c>
      <c r="AB45" s="49"/>
      <c r="AC45" s="42"/>
      <c r="AD45" s="42"/>
      <c r="AE45" s="51"/>
      <c r="AF45" s="42"/>
      <c r="AG45" s="42"/>
      <c r="AH45" s="42"/>
      <c r="AI45" s="42" t="str">
        <f t="array" ref="AI45">XLOOKUP($E45,Sheet11!$D:$D,Sheet11!$X:$X,"",0)</f>
        <v/>
      </c>
      <c r="AJ45" s="42" t="str">
        <f t="array" ref="AJ45">XLOOKUP($E45,Sheet11!$D:$D,Sheet11!$Y:$Y,"",0)</f>
        <v/>
      </c>
    </row>
    <row r="46">
      <c r="A46" s="41">
        <v>755.0</v>
      </c>
      <c r="B46" s="42" t="s">
        <v>113</v>
      </c>
      <c r="C46" s="42" t="s">
        <v>114</v>
      </c>
      <c r="D46" s="42"/>
      <c r="E46" s="42" t="str">
        <f t="shared" ref="E46:F46" si="47">PROPER(B46)</f>
        <v>Municipal Local Government Unit Of Polangui</v>
      </c>
      <c r="F46" s="42" t="str">
        <f t="shared" si="47"/>
        <v>Centro Occidental (Pob.), Polangui, Albay</v>
      </c>
      <c r="G46" s="42" t="str">
        <f t="shared" si="3"/>
        <v>Centro Occidental (Pob.)</v>
      </c>
      <c r="H46" s="42" t="str">
        <f t="shared" si="4"/>
        <v>Polangui</v>
      </c>
      <c r="I46" s="42" t="str">
        <f t="shared" si="5"/>
        <v>Albay</v>
      </c>
      <c r="J46" s="42" t="str">
        <f t="array" ref="J46">XLOOKUP($E46,'Recipients REF'!$B:$B,'Recipients REF'!D:D,"",0)</f>
        <v>Hon. Raymond Adrian E. Salceda</v>
      </c>
      <c r="K46" s="42" t="str">
        <f t="array" ref="K46">XLOOKUP($E46,'Recipients REF'!$B:$B,'Recipients REF'!E:E,"",0)</f>
        <v>0912 8990 456</v>
      </c>
      <c r="L46" s="43" t="str">
        <f t="array" ref="L46">XLOOKUP($A46,'Recipients REF'!$A:$A,'Recipients REF'!F:F,"",0)</f>
        <v>RCEF 25-03-05</v>
      </c>
      <c r="M46" s="43">
        <f t="array" ref="M46">XLOOKUP($A46,'Recipients REF'!$A:$A,'Recipients REF'!G:G,"",0)</f>
        <v>6</v>
      </c>
      <c r="N46" s="43" t="str">
        <f t="array" ref="N46">XLOOKUP($A46,'Recipients REF'!$A:$A,'Recipients REF'!H:H,"",0)</f>
        <v>26587 &amp; 27749</v>
      </c>
      <c r="O46" s="44" t="s">
        <v>25</v>
      </c>
      <c r="P46" s="45" t="s">
        <v>26</v>
      </c>
      <c r="Q46" s="46" t="str">
        <f t="array" ref="Q46">XLOOKUP($A46,'Recipients REF'!$A:$A,'Recipients REF'!I:I,"",0)</f>
        <v>KMC5825 APSFPV0152</v>
      </c>
      <c r="R46" s="53" t="str">
        <f t="array" ref="R46">XLOOKUP($A46,'Recipients REF'!$A:$A,'Recipients REF'!J:J,"",0)</f>
        <v>STS100151</v>
      </c>
      <c r="S46" s="45" t="s">
        <v>27</v>
      </c>
      <c r="T46" s="45" t="s">
        <v>28</v>
      </c>
      <c r="U46" s="46" t="str">
        <f t="array" ref="U46">XLOOKUP($A46,'Recipients REF'!$A:$A,'Recipients REF'!K:K,"",0)</f>
        <v>WR-SERIES 296</v>
      </c>
      <c r="V46" s="44" t="s">
        <v>29</v>
      </c>
      <c r="W46" s="45" t="s">
        <v>30</v>
      </c>
      <c r="X46" s="53" t="str">
        <f t="array" ref="X46">XLOOKUP($A46,'Recipients REF'!$A:$A,'Recipients REF'!L:L,"",0)</f>
        <v>25080357</v>
      </c>
      <c r="Y46" s="48" t="s">
        <v>29</v>
      </c>
      <c r="Z46" s="48" t="s">
        <v>31</v>
      </c>
      <c r="AA46" s="54">
        <f t="array" ref="AA46">XLOOKUP($A46,'Recipients REF'!$A:$A,'Recipients REF'!M:M,"",0)</f>
        <v>25080792</v>
      </c>
      <c r="AB46" s="49"/>
      <c r="AC46" s="42"/>
      <c r="AD46" s="42"/>
      <c r="AE46" s="51"/>
      <c r="AF46" s="42"/>
      <c r="AG46" s="42"/>
      <c r="AH46" s="42"/>
      <c r="AI46" s="42" t="str">
        <f t="array" ref="AI46">XLOOKUP($E46,Sheet11!$D:$D,Sheet11!$X:$X,"",0)</f>
        <v/>
      </c>
      <c r="AJ46" s="42" t="str">
        <f t="array" ref="AJ46">XLOOKUP($E46,Sheet11!$D:$D,Sheet11!$Y:$Y,"",0)</f>
        <v/>
      </c>
    </row>
    <row r="47">
      <c r="A47" s="41">
        <v>387.0</v>
      </c>
      <c r="B47" s="42" t="s">
        <v>115</v>
      </c>
      <c r="C47" s="42" t="s">
        <v>116</v>
      </c>
      <c r="D47" s="42"/>
      <c r="E47" s="42" t="str">
        <f t="shared" ref="E47:F47" si="48">PROPER(B47)</f>
        <v>(Bbcm) Binanu-An Binangbang Centro-Cubay-Magtulis Irrigators Association, Inc.</v>
      </c>
      <c r="F47" s="42" t="str">
        <f t="shared" si="48"/>
        <v>Binanu-An, Barbaza, Antique</v>
      </c>
      <c r="G47" s="42" t="str">
        <f t="shared" si="3"/>
        <v>Binanu-An</v>
      </c>
      <c r="H47" s="42" t="str">
        <f t="shared" si="4"/>
        <v>Barbaza</v>
      </c>
      <c r="I47" s="42" t="str">
        <f t="shared" si="5"/>
        <v>Antique</v>
      </c>
      <c r="J47" s="42" t="str">
        <f t="array" ref="J47">XLOOKUP($E47,'Recipients REF'!$B:$B,'Recipients REF'!D:D,"",0)</f>
        <v>Votaire B. Chavoso</v>
      </c>
      <c r="K47" s="42" t="str">
        <f t="array" ref="K47">XLOOKUP($E47,'Recipients REF'!$B:$B,'Recipients REF'!E:E,"",0)</f>
        <v>0905-107-1789</v>
      </c>
      <c r="L47" s="43" t="str">
        <f t="array" ref="L47">XLOOKUP($A47,'Recipients REF'!$A:$A,'Recipients REF'!F:F,"",0)</f>
        <v>RCEF 23-09-21 Rebidding</v>
      </c>
      <c r="M47" s="43">
        <f t="array" ref="M47">XLOOKUP($A47,'Recipients REF'!$A:$A,'Recipients REF'!G:G,"",0)</f>
        <v>4</v>
      </c>
      <c r="N47" s="43">
        <f t="array" ref="N47">XLOOKUP($A47,'Recipients REF'!$A:$A,'Recipients REF'!H:H,"",0)</f>
        <v>19045</v>
      </c>
      <c r="O47" s="44" t="s">
        <v>25</v>
      </c>
      <c r="P47" s="45" t="s">
        <v>26</v>
      </c>
      <c r="Q47" s="46" t="str">
        <f t="array" ref="Q47">XLOOKUP($A47,'Recipients REF'!$A:$A,'Recipients REF'!I:I,"",0)</f>
        <v>KMC5825 APRFPV0596</v>
      </c>
      <c r="R47" s="47" t="str">
        <f t="array" ref="R47">XLOOKUP($A47,'Recipients REF'!$A:$A,'Recipients REF'!J:J,"",0)</f>
        <v>RTS 100471</v>
      </c>
      <c r="S47" s="45" t="s">
        <v>27</v>
      </c>
      <c r="T47" s="45" t="s">
        <v>28</v>
      </c>
      <c r="U47" s="46" t="str">
        <f t="array" ref="U47">XLOOKUP($A47,'Recipients REF'!$A:$A,'Recipients REF'!K:K,"",0)</f>
        <v>WR-SERIES 943 PH</v>
      </c>
      <c r="V47" s="44" t="s">
        <v>29</v>
      </c>
      <c r="W47" s="45" t="s">
        <v>30</v>
      </c>
      <c r="X47" s="47" t="str">
        <f t="array" ref="X47">XLOOKUP($A47,'Recipients REF'!$A:$A,'Recipients REF'!L:L,"",0)</f>
        <v>LSGW1750 RMP 24040691</v>
      </c>
      <c r="Y47" s="48" t="s">
        <v>29</v>
      </c>
      <c r="Z47" s="48" t="s">
        <v>31</v>
      </c>
      <c r="AA47" s="46" t="str">
        <f t="array" ref="AA47">XLOOKUP($A47,'Recipients REF'!$A:$A,'Recipients REF'!M:M,"",0)</f>
        <v>WDP40 RMP 24040462</v>
      </c>
      <c r="AB47" s="49"/>
      <c r="AC47" s="42"/>
      <c r="AD47" s="42"/>
      <c r="AE47" s="50"/>
      <c r="AF47" s="42"/>
      <c r="AG47" s="42"/>
      <c r="AH47" s="42"/>
      <c r="AI47" s="42">
        <f t="array" ref="AI47">XLOOKUP($E47,Sheet11!$D:$D,Sheet11!$X:$X,"",0)</f>
        <v>869066060241149</v>
      </c>
      <c r="AJ47" s="42">
        <f t="array" ref="AJ47">XLOOKUP($E47,Sheet11!$D:$D,Sheet11!$Y:$Y,"",0)</f>
        <v>9084592748</v>
      </c>
    </row>
    <row r="48">
      <c r="A48" s="41">
        <v>388.0</v>
      </c>
      <c r="B48" s="42" t="s">
        <v>117</v>
      </c>
      <c r="C48" s="42" t="s">
        <v>118</v>
      </c>
      <c r="D48" s="42"/>
      <c r="E48" s="42" t="str">
        <f t="shared" ref="E48:F48" si="49">PROPER(B48)</f>
        <v>Capoyuan Farmers Association</v>
      </c>
      <c r="F48" s="42" t="str">
        <f t="shared" si="49"/>
        <v>Capoyuan, Barbaza, Antique</v>
      </c>
      <c r="G48" s="42" t="str">
        <f t="shared" si="3"/>
        <v>Capoyuan</v>
      </c>
      <c r="H48" s="42" t="str">
        <f t="shared" si="4"/>
        <v>Barbaza</v>
      </c>
      <c r="I48" s="42" t="str">
        <f t="shared" si="5"/>
        <v>Antique</v>
      </c>
      <c r="J48" s="42" t="str">
        <f t="array" ref="J48">XLOOKUP($E48,'Recipients REF'!$B:$B,'Recipients REF'!D:D,"",0)</f>
        <v>Rodulfo M. Remo</v>
      </c>
      <c r="K48" s="42">
        <f t="array" ref="K48">XLOOKUP($E48,'Recipients REF'!$B:$B,'Recipients REF'!E:E,"",0)</f>
        <v>9477650687</v>
      </c>
      <c r="L48" s="43" t="str">
        <f t="array" ref="L48">XLOOKUP($A48,'Recipients REF'!$A:$A,'Recipients REF'!F:F,"",0)</f>
        <v>RCEF 23-09-21 Rebidding</v>
      </c>
      <c r="M48" s="43">
        <f t="array" ref="M48">XLOOKUP($A48,'Recipients REF'!$A:$A,'Recipients REF'!G:G,"",0)</f>
        <v>4</v>
      </c>
      <c r="N48" s="43">
        <f t="array" ref="N48">XLOOKUP($A48,'Recipients REF'!$A:$A,'Recipients REF'!H:H,"",0)</f>
        <v>19046</v>
      </c>
      <c r="O48" s="44" t="s">
        <v>25</v>
      </c>
      <c r="P48" s="45" t="s">
        <v>26</v>
      </c>
      <c r="Q48" s="46" t="str">
        <f t="array" ref="Q48">XLOOKUP($A48,'Recipients REF'!$A:$A,'Recipients REF'!I:I,"",0)</f>
        <v>KMC5825 ATRFPV0600</v>
      </c>
      <c r="R48" s="47" t="str">
        <f t="array" ref="R48">XLOOKUP($A48,'Recipients REF'!$A:$A,'Recipients REF'!J:J,"",0)</f>
        <v>RTS 100565</v>
      </c>
      <c r="S48" s="45" t="s">
        <v>27</v>
      </c>
      <c r="T48" s="45" t="s">
        <v>28</v>
      </c>
      <c r="U48" s="46" t="str">
        <f t="array" ref="U48">XLOOKUP($A48,'Recipients REF'!$A:$A,'Recipients REF'!K:K,"",0)</f>
        <v>WR-SERIES 853 PH</v>
      </c>
      <c r="V48" s="44" t="s">
        <v>29</v>
      </c>
      <c r="W48" s="45" t="s">
        <v>30</v>
      </c>
      <c r="X48" s="47" t="str">
        <f t="array" ref="X48">XLOOKUP($A48,'Recipients REF'!$A:$A,'Recipients REF'!L:L,"",0)</f>
        <v>LSGW1750 RMP 24040687</v>
      </c>
      <c r="Y48" s="48" t="s">
        <v>29</v>
      </c>
      <c r="Z48" s="48" t="s">
        <v>31</v>
      </c>
      <c r="AA48" s="46" t="str">
        <f t="array" ref="AA48">XLOOKUP($A48,'Recipients REF'!$A:$A,'Recipients REF'!M:M,"",0)</f>
        <v>WDP40 RMP 24040468</v>
      </c>
      <c r="AB48" s="49"/>
      <c r="AC48" s="42"/>
      <c r="AD48" s="42"/>
      <c r="AE48" s="50"/>
      <c r="AF48" s="42"/>
      <c r="AG48" s="42"/>
      <c r="AH48" s="42"/>
      <c r="AI48" s="42">
        <f t="array" ref="AI48">XLOOKUP($E48,Sheet11!$D:$D,Sheet11!$X:$X,"",0)</f>
        <v>869066060237618</v>
      </c>
      <c r="AJ48" s="42">
        <f t="array" ref="AJ48">XLOOKUP($E48,Sheet11!$D:$D,Sheet11!$Y:$Y,"",0)</f>
        <v>9084778709</v>
      </c>
    </row>
    <row r="49">
      <c r="A49" s="41">
        <v>389.0</v>
      </c>
      <c r="B49" s="42" t="s">
        <v>119</v>
      </c>
      <c r="C49" s="42" t="s">
        <v>120</v>
      </c>
      <c r="D49" s="42"/>
      <c r="E49" s="42" t="str">
        <f t="shared" ref="E49:F49" si="50">PROPER(B49)</f>
        <v>Carit-An - Antique Farmers Irrigators' Association, Inc.</v>
      </c>
      <c r="F49" s="42" t="str">
        <f t="shared" si="50"/>
        <v>Carit-An, Culasi, Antique</v>
      </c>
      <c r="G49" s="42" t="str">
        <f t="shared" si="3"/>
        <v>Carit-An</v>
      </c>
      <c r="H49" s="42" t="str">
        <f t="shared" si="4"/>
        <v>Culasi</v>
      </c>
      <c r="I49" s="42" t="str">
        <f t="shared" si="5"/>
        <v>Antique</v>
      </c>
      <c r="J49" s="42" t="str">
        <f t="array" ref="J49">XLOOKUP($E49,'Recipients REF'!$B:$B,'Recipients REF'!D:D,"",0)</f>
        <v>Amie I. Tibang</v>
      </c>
      <c r="K49" s="42" t="str">
        <f t="array" ref="K49">XLOOKUP($E49,'Recipients REF'!$B:$B,'Recipients REF'!E:E,"",0)</f>
        <v>0909-3581044</v>
      </c>
      <c r="L49" s="43" t="str">
        <f t="array" ref="L49">XLOOKUP($A49,'Recipients REF'!$A:$A,'Recipients REF'!F:F,"",0)</f>
        <v>RCEF 23-09-21 Rebidding</v>
      </c>
      <c r="M49" s="43">
        <f t="array" ref="M49">XLOOKUP($A49,'Recipients REF'!$A:$A,'Recipients REF'!G:G,"",0)</f>
        <v>4</v>
      </c>
      <c r="N49" s="43">
        <f t="array" ref="N49">XLOOKUP($A49,'Recipients REF'!$A:$A,'Recipients REF'!H:H,"",0)</f>
        <v>19047</v>
      </c>
      <c r="O49" s="44" t="s">
        <v>25</v>
      </c>
      <c r="P49" s="45" t="s">
        <v>26</v>
      </c>
      <c r="Q49" s="46" t="str">
        <f t="array" ref="Q49">XLOOKUP($A49,'Recipients REF'!$A:$A,'Recipients REF'!I:I,"",0)</f>
        <v>KMC5825 AARFPV0363</v>
      </c>
      <c r="R49" s="47" t="str">
        <f t="array" ref="R49">XLOOKUP($A49,'Recipients REF'!$A:$A,'Recipients REF'!J:J,"",0)</f>
        <v>RTS 100218</v>
      </c>
      <c r="S49" s="45" t="s">
        <v>27</v>
      </c>
      <c r="T49" s="45" t="s">
        <v>28</v>
      </c>
      <c r="U49" s="46" t="str">
        <f t="array" ref="U49">XLOOKUP($A49,'Recipients REF'!$A:$A,'Recipients REF'!K:K,"",0)</f>
        <v>WR-SERIES 949 PH</v>
      </c>
      <c r="V49" s="44" t="s">
        <v>29</v>
      </c>
      <c r="W49" s="45" t="s">
        <v>30</v>
      </c>
      <c r="X49" s="47" t="str">
        <f t="array" ref="X49">XLOOKUP($A49,'Recipients REF'!$A:$A,'Recipients REF'!L:L,"",0)</f>
        <v>LSGW1750 RMP 24040684</v>
      </c>
      <c r="Y49" s="48" t="s">
        <v>29</v>
      </c>
      <c r="Z49" s="48" t="s">
        <v>31</v>
      </c>
      <c r="AA49" s="46" t="str">
        <f t="array" ref="AA49">XLOOKUP($A49,'Recipients REF'!$A:$A,'Recipients REF'!M:M,"",0)</f>
        <v>WDP40 RMP 24040430</v>
      </c>
      <c r="AB49" s="49"/>
      <c r="AC49" s="42"/>
      <c r="AD49" s="42"/>
      <c r="AE49" s="50"/>
      <c r="AF49" s="42"/>
      <c r="AG49" s="42"/>
      <c r="AH49" s="42"/>
      <c r="AI49" s="42">
        <f t="array" ref="AI49">XLOOKUP($E49,Sheet11!$D:$D,Sheet11!$X:$X,"",0)</f>
        <v>869066060241255</v>
      </c>
      <c r="AJ49" s="42">
        <f t="array" ref="AJ49">XLOOKUP($E49,Sheet11!$D:$D,Sheet11!$Y:$Y,"",0)</f>
        <v>9086598338</v>
      </c>
    </row>
    <row r="50">
      <c r="A50" s="41">
        <v>390.0</v>
      </c>
      <c r="B50" s="42" t="s">
        <v>121</v>
      </c>
      <c r="C50" s="42" t="s">
        <v>122</v>
      </c>
      <c r="D50" s="42"/>
      <c r="E50" s="42" t="str">
        <f t="shared" ref="E50:F50" si="51">PROPER(B50)</f>
        <v>San Luis Condez Tig-Anit Farmers Irrigators Association</v>
      </c>
      <c r="F50" s="42" t="str">
        <f t="shared" si="51"/>
        <v>San Luis, Culasi, Antique</v>
      </c>
      <c r="G50" s="42" t="str">
        <f t="shared" si="3"/>
        <v>San Luis</v>
      </c>
      <c r="H50" s="42" t="str">
        <f t="shared" si="4"/>
        <v>Culasi</v>
      </c>
      <c r="I50" s="42" t="str">
        <f t="shared" si="5"/>
        <v>Antique</v>
      </c>
      <c r="J50" s="42" t="str">
        <f t="array" ref="J50">XLOOKUP($E50,'Recipients REF'!$B:$B,'Recipients REF'!D:D,"",0)</f>
        <v>RODOLFO ALORO</v>
      </c>
      <c r="K50" s="42" t="str">
        <f t="array" ref="K50">XLOOKUP($E50,'Recipients REF'!$B:$B,'Recipients REF'!E:E,"",0)</f>
        <v>0909-837-5026</v>
      </c>
      <c r="L50" s="43" t="str">
        <f t="array" ref="L50">XLOOKUP($A50,'Recipients REF'!$A:$A,'Recipients REF'!F:F,"",0)</f>
        <v>RCEF 23-09-21 Rebidding</v>
      </c>
      <c r="M50" s="43">
        <f t="array" ref="M50">XLOOKUP($A50,'Recipients REF'!$A:$A,'Recipients REF'!G:G,"",0)</f>
        <v>4</v>
      </c>
      <c r="N50" s="43">
        <f t="array" ref="N50">XLOOKUP($A50,'Recipients REF'!$A:$A,'Recipients REF'!H:H,"",0)</f>
        <v>19048</v>
      </c>
      <c r="O50" s="44" t="s">
        <v>25</v>
      </c>
      <c r="P50" s="45" t="s">
        <v>26</v>
      </c>
      <c r="Q50" s="46" t="str">
        <f t="array" ref="Q50">XLOOKUP($A50,'Recipients REF'!$A:$A,'Recipients REF'!I:I,"",0)</f>
        <v>KMC5825 AVRFPV0586</v>
      </c>
      <c r="R50" s="47" t="str">
        <f t="array" ref="R50">XLOOKUP($A50,'Recipients REF'!$A:$A,'Recipients REF'!J:J,"",0)</f>
        <v>RTS 100563</v>
      </c>
      <c r="S50" s="45" t="s">
        <v>27</v>
      </c>
      <c r="T50" s="45" t="s">
        <v>28</v>
      </c>
      <c r="U50" s="46" t="str">
        <f t="array" ref="U50">XLOOKUP($A50,'Recipients REF'!$A:$A,'Recipients REF'!K:K,"",0)</f>
        <v>WR-SERIES 958 PH</v>
      </c>
      <c r="V50" s="44" t="s">
        <v>29</v>
      </c>
      <c r="W50" s="45" t="s">
        <v>30</v>
      </c>
      <c r="X50" s="47" t="str">
        <f t="array" ref="X50">XLOOKUP($A50,'Recipients REF'!$A:$A,'Recipients REF'!L:L,"",0)</f>
        <v>LSGW1750 RMP 24040637</v>
      </c>
      <c r="Y50" s="48" t="s">
        <v>29</v>
      </c>
      <c r="Z50" s="48" t="s">
        <v>31</v>
      </c>
      <c r="AA50" s="46" t="str">
        <f t="array" ref="AA50">XLOOKUP($A50,'Recipients REF'!$A:$A,'Recipients REF'!M:M,"",0)</f>
        <v>WDP40 RMP 24040465</v>
      </c>
      <c r="AB50" s="49"/>
      <c r="AC50" s="42"/>
      <c r="AD50" s="42"/>
      <c r="AE50" s="50"/>
      <c r="AF50" s="42"/>
      <c r="AG50" s="42"/>
      <c r="AH50" s="42"/>
      <c r="AI50" s="42">
        <f t="array" ref="AI50">XLOOKUP($E50,Sheet11!$D:$D,Sheet11!$X:$X,"",0)</f>
        <v>869066060246015</v>
      </c>
      <c r="AJ50" s="42">
        <f t="array" ref="AJ50">XLOOKUP($E50,Sheet11!$D:$D,Sheet11!$Y:$Y,"",0)</f>
        <v>9086491795</v>
      </c>
    </row>
    <row r="51">
      <c r="A51" s="41">
        <v>391.0</v>
      </c>
      <c r="B51" s="42" t="s">
        <v>123</v>
      </c>
      <c r="C51" s="42" t="s">
        <v>124</v>
      </c>
      <c r="D51" s="42"/>
      <c r="E51" s="42" t="str">
        <f t="shared" ref="E51:F51" si="52">PROPER(B51)</f>
        <v>Bia-An Farmers Association</v>
      </c>
      <c r="F51" s="42" t="str">
        <f t="shared" si="52"/>
        <v>Bia-An, Hamtic, Antique</v>
      </c>
      <c r="G51" s="42" t="str">
        <f t="shared" si="3"/>
        <v>Bia-An</v>
      </c>
      <c r="H51" s="42" t="str">
        <f t="shared" si="4"/>
        <v>Hamtic</v>
      </c>
      <c r="I51" s="42" t="str">
        <f t="shared" si="5"/>
        <v>Antique</v>
      </c>
      <c r="J51" s="42" t="str">
        <f t="array" ref="J51">XLOOKUP($E51,'Recipients REF'!$B:$B,'Recipients REF'!D:D,"",0)</f>
        <v>RYAN SUMACULOB</v>
      </c>
      <c r="K51" s="42" t="str">
        <f t="array" ref="K51">XLOOKUP($E51,'Recipients REF'!$B:$B,'Recipients REF'!E:E,"",0)</f>
        <v>0915-586-3799</v>
      </c>
      <c r="L51" s="43" t="str">
        <f t="array" ref="L51">XLOOKUP($A51,'Recipients REF'!$A:$A,'Recipients REF'!F:F,"",0)</f>
        <v>RCEF 23-09-21 Rebidding</v>
      </c>
      <c r="M51" s="43">
        <f t="array" ref="M51">XLOOKUP($A51,'Recipients REF'!$A:$A,'Recipients REF'!G:G,"",0)</f>
        <v>4</v>
      </c>
      <c r="N51" s="43">
        <f t="array" ref="N51">XLOOKUP($A51,'Recipients REF'!$A:$A,'Recipients REF'!H:H,"",0)</f>
        <v>19049</v>
      </c>
      <c r="O51" s="44" t="s">
        <v>25</v>
      </c>
      <c r="P51" s="45" t="s">
        <v>26</v>
      </c>
      <c r="Q51" s="46" t="str">
        <f t="array" ref="Q51">XLOOKUP($A51,'Recipients REF'!$A:$A,'Recipients REF'!I:I,"",0)</f>
        <v>KMC5825 APRFPV0484</v>
      </c>
      <c r="R51" s="47" t="str">
        <f t="array" ref="R51">XLOOKUP($A51,'Recipients REF'!$A:$A,'Recipients REF'!J:J,"",0)</f>
        <v>RTS 100398</v>
      </c>
      <c r="S51" s="45" t="s">
        <v>27</v>
      </c>
      <c r="T51" s="45" t="s">
        <v>28</v>
      </c>
      <c r="U51" s="46" t="str">
        <f t="array" ref="U51">XLOOKUP($A51,'Recipients REF'!$A:$A,'Recipients REF'!K:K,"",0)</f>
        <v>WR SERIES 948 PH</v>
      </c>
      <c r="V51" s="44" t="s">
        <v>29</v>
      </c>
      <c r="W51" s="45" t="s">
        <v>30</v>
      </c>
      <c r="X51" s="47" t="str">
        <f t="array" ref="X51">XLOOKUP($A51,'Recipients REF'!$A:$A,'Recipients REF'!L:L,"",0)</f>
        <v>LSGW1750 RMP 24040692</v>
      </c>
      <c r="Y51" s="48" t="s">
        <v>29</v>
      </c>
      <c r="Z51" s="48" t="s">
        <v>31</v>
      </c>
      <c r="AA51" s="46" t="str">
        <f t="array" ref="AA51">XLOOKUP($A51,'Recipients REF'!$A:$A,'Recipients REF'!M:M,"",0)</f>
        <v>WDP40 RMP 24040444</v>
      </c>
      <c r="AB51" s="49"/>
      <c r="AC51" s="42"/>
      <c r="AD51" s="42"/>
      <c r="AE51" s="51"/>
      <c r="AF51" s="42"/>
      <c r="AG51" s="42"/>
      <c r="AH51" s="42"/>
      <c r="AI51" s="42">
        <f t="array" ref="AI51">XLOOKUP($E51,Sheet11!$D:$D,Sheet11!$X:$X,"",0)</f>
        <v>869066060242196</v>
      </c>
      <c r="AJ51" s="42">
        <f t="array" ref="AJ51">XLOOKUP($E51,Sheet11!$D:$D,Sheet11!$Y:$Y,"",0)</f>
        <v>9082952271</v>
      </c>
    </row>
    <row r="52">
      <c r="A52" s="41">
        <v>392.0</v>
      </c>
      <c r="B52" s="42" t="s">
        <v>125</v>
      </c>
      <c r="C52" s="42" t="s">
        <v>126</v>
      </c>
      <c r="D52" s="42"/>
      <c r="E52" s="42" t="str">
        <f t="shared" ref="E52:F52" si="53">PROPER(B52)</f>
        <v>La Rioja Farmers Association</v>
      </c>
      <c r="F52" s="42" t="str">
        <f t="shared" si="53"/>
        <v>La Rioja, Patnongon, Antique</v>
      </c>
      <c r="G52" s="42" t="str">
        <f t="shared" si="3"/>
        <v>La Rioja</v>
      </c>
      <c r="H52" s="42" t="str">
        <f t="shared" si="4"/>
        <v>Patnongon</v>
      </c>
      <c r="I52" s="42" t="str">
        <f t="shared" si="5"/>
        <v>Antique</v>
      </c>
      <c r="J52" s="42" t="str">
        <f t="array" ref="J52">XLOOKUP($E52,'Recipients REF'!$B:$B,'Recipients REF'!D:D,"",0)</f>
        <v>Alipio E. Guzman</v>
      </c>
      <c r="K52" s="42" t="str">
        <f t="array" ref="K52">XLOOKUP($E52,'Recipients REF'!$B:$B,'Recipients REF'!E:E,"",0)</f>
        <v>0997-962-1463</v>
      </c>
      <c r="L52" s="43" t="str">
        <f t="array" ref="L52">XLOOKUP($A52,'Recipients REF'!$A:$A,'Recipients REF'!F:F,"",0)</f>
        <v>RCEF 23-09-21 Rebidding</v>
      </c>
      <c r="M52" s="43">
        <f t="array" ref="M52">XLOOKUP($A52,'Recipients REF'!$A:$A,'Recipients REF'!G:G,"",0)</f>
        <v>4</v>
      </c>
      <c r="N52" s="43">
        <f t="array" ref="N52">XLOOKUP($A52,'Recipients REF'!$A:$A,'Recipients REF'!H:H,"",0)</f>
        <v>19050</v>
      </c>
      <c r="O52" s="44" t="s">
        <v>25</v>
      </c>
      <c r="P52" s="45" t="s">
        <v>26</v>
      </c>
      <c r="Q52" s="46" t="str">
        <f t="array" ref="Q52">XLOOKUP($A52,'Recipients REF'!$A:$A,'Recipients REF'!I:I,"",0)</f>
        <v>KMC5825 AKRFPV0549</v>
      </c>
      <c r="R52" s="47" t="str">
        <f t="array" ref="R52">XLOOKUP($A52,'Recipients REF'!$A:$A,'Recipients REF'!J:J,"",0)</f>
        <v>RTS 100457</v>
      </c>
      <c r="S52" s="45" t="s">
        <v>27</v>
      </c>
      <c r="T52" s="45" t="s">
        <v>28</v>
      </c>
      <c r="U52" s="46" t="str">
        <f t="array" ref="U52">XLOOKUP($A52,'Recipients REF'!$A:$A,'Recipients REF'!K:K,"",0)</f>
        <v>WR-SERIES 959 PH</v>
      </c>
      <c r="V52" s="44" t="s">
        <v>29</v>
      </c>
      <c r="W52" s="45" t="s">
        <v>30</v>
      </c>
      <c r="X52" s="47" t="str">
        <f t="array" ref="X52">XLOOKUP($A52,'Recipients REF'!$A:$A,'Recipients REF'!L:L,"",0)</f>
        <v>LSGW1750 RMP 24040638</v>
      </c>
      <c r="Y52" s="48" t="s">
        <v>29</v>
      </c>
      <c r="Z52" s="48" t="s">
        <v>31</v>
      </c>
      <c r="AA52" s="46" t="str">
        <f t="array" ref="AA52">XLOOKUP($A52,'Recipients REF'!$A:$A,'Recipients REF'!M:M,"",0)</f>
        <v>WDP40 RMP 24040460</v>
      </c>
      <c r="AB52" s="49"/>
      <c r="AC52" s="42"/>
      <c r="AD52" s="42"/>
      <c r="AE52" s="50"/>
      <c r="AF52" s="42"/>
      <c r="AG52" s="42"/>
      <c r="AH52" s="42"/>
      <c r="AI52" s="42">
        <f t="array" ref="AI52">XLOOKUP($E52,Sheet11!$D:$D,Sheet11!$X:$X,"",0)</f>
        <v>869066060240554</v>
      </c>
      <c r="AJ52" s="42">
        <f t="array" ref="AJ52">XLOOKUP($E52,Sheet11!$D:$D,Sheet11!$Y:$Y,"",0)</f>
        <v>9081458172</v>
      </c>
    </row>
    <row r="53">
      <c r="A53" s="41">
        <v>393.0</v>
      </c>
      <c r="B53" s="42" t="s">
        <v>127</v>
      </c>
      <c r="C53" s="42" t="s">
        <v>128</v>
      </c>
      <c r="D53" s="42"/>
      <c r="E53" s="42" t="str">
        <f t="shared" ref="E53:F53" si="54">PROPER(B53)</f>
        <v>Magsaysay Farmer'S Association</v>
      </c>
      <c r="F53" s="42" t="str">
        <f t="shared" si="54"/>
        <v>Magsaysay, Patnongon, Antique</v>
      </c>
      <c r="G53" s="42" t="str">
        <f t="shared" si="3"/>
        <v>Magsaysay</v>
      </c>
      <c r="H53" s="42" t="str">
        <f t="shared" si="4"/>
        <v>Patnongon</v>
      </c>
      <c r="I53" s="42" t="str">
        <f t="shared" si="5"/>
        <v>Antique</v>
      </c>
      <c r="J53" s="42" t="str">
        <f t="array" ref="J53">XLOOKUP($E53,'Recipients REF'!$B:$B,'Recipients REF'!D:D,"",0)</f>
        <v>Felix C. Molining</v>
      </c>
      <c r="K53" s="42" t="str">
        <f t="array" ref="K53">XLOOKUP($E53,'Recipients REF'!$B:$B,'Recipients REF'!E:E,"",0)</f>
        <v>0906-919-3017</v>
      </c>
      <c r="L53" s="43" t="str">
        <f t="array" ref="L53">XLOOKUP($A53,'Recipients REF'!$A:$A,'Recipients REF'!F:F,"",0)</f>
        <v>RCEF 23-09-21 Rebidding</v>
      </c>
      <c r="M53" s="43">
        <f t="array" ref="M53">XLOOKUP($A53,'Recipients REF'!$A:$A,'Recipients REF'!G:G,"",0)</f>
        <v>4</v>
      </c>
      <c r="N53" s="43">
        <f t="array" ref="N53">XLOOKUP($A53,'Recipients REF'!$A:$A,'Recipients REF'!H:H,"",0)</f>
        <v>19051</v>
      </c>
      <c r="O53" s="44" t="s">
        <v>25</v>
      </c>
      <c r="P53" s="45" t="s">
        <v>26</v>
      </c>
      <c r="Q53" s="46" t="str">
        <f t="array" ref="Q53">XLOOKUP($A53,'Recipients REF'!$A:$A,'Recipients REF'!I:I,"",0)</f>
        <v>KMC5825 ATRFPV0452</v>
      </c>
      <c r="R53" s="47" t="str">
        <f t="array" ref="R53">XLOOKUP($A53,'Recipients REF'!$A:$A,'Recipients REF'!J:J,"",0)</f>
        <v>RTS 100360</v>
      </c>
      <c r="S53" s="45" t="s">
        <v>27</v>
      </c>
      <c r="T53" s="45" t="s">
        <v>28</v>
      </c>
      <c r="U53" s="46" t="str">
        <f t="array" ref="U53">XLOOKUP($A53,'Recipients REF'!$A:$A,'Recipients REF'!K:K,"",0)</f>
        <v>WR-SERIES 753 PH</v>
      </c>
      <c r="V53" s="44" t="s">
        <v>29</v>
      </c>
      <c r="W53" s="45" t="s">
        <v>30</v>
      </c>
      <c r="X53" s="47" t="str">
        <f t="array" ref="X53">XLOOKUP($A53,'Recipients REF'!$A:$A,'Recipients REF'!L:L,"",0)</f>
        <v>LSGW1750 RMP 24040659</v>
      </c>
      <c r="Y53" s="48" t="s">
        <v>29</v>
      </c>
      <c r="Z53" s="48" t="s">
        <v>31</v>
      </c>
      <c r="AA53" s="46" t="str">
        <f t="array" ref="AA53">XLOOKUP($A53,'Recipients REF'!$A:$A,'Recipients REF'!M:M,"",0)</f>
        <v>WDP40 RMP 24040450</v>
      </c>
      <c r="AB53" s="49"/>
      <c r="AC53" s="42"/>
      <c r="AD53" s="42"/>
      <c r="AE53" s="51"/>
      <c r="AF53" s="42"/>
      <c r="AG53" s="42"/>
      <c r="AH53" s="42"/>
      <c r="AI53" s="42">
        <f t="array" ref="AI53">XLOOKUP($E53,Sheet11!$D:$D,Sheet11!$X:$X,"",0)</f>
        <v>869066060240612</v>
      </c>
      <c r="AJ53" s="42">
        <f t="array" ref="AJ53">XLOOKUP($E53,Sheet11!$D:$D,Sheet11!$Y:$Y,"",0)</f>
        <v>9082700287</v>
      </c>
    </row>
    <row r="54">
      <c r="A54" s="41">
        <v>394.0</v>
      </c>
      <c r="B54" s="42" t="s">
        <v>129</v>
      </c>
      <c r="C54" s="42" t="s">
        <v>130</v>
      </c>
      <c r="D54" s="42"/>
      <c r="E54" s="42" t="str">
        <f t="shared" ref="E54:F54" si="55">PROPER(B54)</f>
        <v>Inabasan Small Farmers Association</v>
      </c>
      <c r="F54" s="42" t="str">
        <f t="shared" si="55"/>
        <v>Inabasan, San Jose, Antique</v>
      </c>
      <c r="G54" s="42" t="str">
        <f t="shared" si="3"/>
        <v>Inabasan</v>
      </c>
      <c r="H54" s="42" t="str">
        <f t="shared" si="4"/>
        <v>San Jose</v>
      </c>
      <c r="I54" s="42" t="str">
        <f t="shared" si="5"/>
        <v>Antique</v>
      </c>
      <c r="J54" s="42" t="str">
        <f t="array" ref="J54">XLOOKUP($E54,'Recipients REF'!$B:$B,'Recipients REF'!D:D,"",0)</f>
        <v>Joebert E. Daniel</v>
      </c>
      <c r="K54" s="42" t="str">
        <f t="array" ref="K54">XLOOKUP($E54,'Recipients REF'!$B:$B,'Recipients REF'!E:E,"",0)</f>
        <v>0955-987-8800</v>
      </c>
      <c r="L54" s="43" t="str">
        <f t="array" ref="L54">XLOOKUP($A54,'Recipients REF'!$A:$A,'Recipients REF'!F:F,"",0)</f>
        <v>RCEF 23-09-21 Rebidding</v>
      </c>
      <c r="M54" s="43">
        <f t="array" ref="M54">XLOOKUP($A54,'Recipients REF'!$A:$A,'Recipients REF'!G:G,"",0)</f>
        <v>4</v>
      </c>
      <c r="N54" s="43">
        <f t="array" ref="N54">XLOOKUP($A54,'Recipients REF'!$A:$A,'Recipients REF'!H:H,"",0)</f>
        <v>19052</v>
      </c>
      <c r="O54" s="44" t="s">
        <v>25</v>
      </c>
      <c r="P54" s="45" t="s">
        <v>26</v>
      </c>
      <c r="Q54" s="46" t="str">
        <f t="array" ref="Q54">XLOOKUP($A54,'Recipients REF'!$A:$A,'Recipients REF'!I:I,"",0)</f>
        <v>KMC5825 ACRFPV0313</v>
      </c>
      <c r="R54" s="47" t="str">
        <f t="array" ref="R54">XLOOKUP($A54,'Recipients REF'!$A:$A,'Recipients REF'!J:J,"",0)</f>
        <v>RTS 100190</v>
      </c>
      <c r="S54" s="45" t="s">
        <v>27</v>
      </c>
      <c r="T54" s="45" t="s">
        <v>28</v>
      </c>
      <c r="U54" s="46" t="str">
        <f t="array" ref="U54">XLOOKUP($A54,'Recipients REF'!$A:$A,'Recipients REF'!K:K,"",0)</f>
        <v>WR SERIES 754 PH</v>
      </c>
      <c r="V54" s="44" t="s">
        <v>29</v>
      </c>
      <c r="W54" s="45" t="s">
        <v>30</v>
      </c>
      <c r="X54" s="47" t="str">
        <f t="array" ref="X54">XLOOKUP($A54,'Recipients REF'!$A:$A,'Recipients REF'!L:L,"",0)</f>
        <v>LSGW1750 RMP 24040688</v>
      </c>
      <c r="Y54" s="48" t="s">
        <v>29</v>
      </c>
      <c r="Z54" s="48" t="s">
        <v>31</v>
      </c>
      <c r="AA54" s="46" t="str">
        <f t="array" ref="AA54">XLOOKUP($A54,'Recipients REF'!$A:$A,'Recipients REF'!M:M,"",0)</f>
        <v>WDP40 RMP 24040431</v>
      </c>
      <c r="AB54" s="49"/>
      <c r="AC54" s="42"/>
      <c r="AD54" s="42"/>
      <c r="AE54" s="51"/>
      <c r="AF54" s="42"/>
      <c r="AG54" s="42"/>
      <c r="AH54" s="42"/>
      <c r="AI54" s="42">
        <f t="array" ref="AI54">XLOOKUP($E54,Sheet11!$D:$D,Sheet11!$X:$X,"",0)</f>
        <v>869066060245421</v>
      </c>
      <c r="AJ54" s="42">
        <f t="array" ref="AJ54">XLOOKUP($E54,Sheet11!$D:$D,Sheet11!$Y:$Y,"",0)</f>
        <v>9082110383</v>
      </c>
    </row>
    <row r="55">
      <c r="A55" s="41">
        <v>395.0</v>
      </c>
      <c r="B55" s="42" t="s">
        <v>131</v>
      </c>
      <c r="C55" s="42" t="s">
        <v>132</v>
      </c>
      <c r="D55" s="42"/>
      <c r="E55" s="42" t="str">
        <f t="shared" ref="E55:F55" si="56">PROPER(B55)</f>
        <v>United Igbonglo Farmers Association (Unifa), Inc.</v>
      </c>
      <c r="F55" s="42" t="str">
        <f t="shared" si="56"/>
        <v>Igbonglo, San Jose, Antique</v>
      </c>
      <c r="G55" s="42" t="str">
        <f t="shared" si="3"/>
        <v>Igbonglo</v>
      </c>
      <c r="H55" s="42" t="str">
        <f t="shared" si="4"/>
        <v>San Jose</v>
      </c>
      <c r="I55" s="42" t="str">
        <f t="shared" si="5"/>
        <v>Antique</v>
      </c>
      <c r="J55" s="42" t="str">
        <f t="array" ref="J55">XLOOKUP($E55,'Recipients REF'!$B:$B,'Recipients REF'!D:D,"",0)</f>
        <v>RENE A. SIBA</v>
      </c>
      <c r="K55" s="42">
        <f t="array" ref="K55">XLOOKUP($E55,'Recipients REF'!$B:$B,'Recipients REF'!E:E,"",0)</f>
        <v>9653946886</v>
      </c>
      <c r="L55" s="43" t="str">
        <f t="array" ref="L55">XLOOKUP($A55,'Recipients REF'!$A:$A,'Recipients REF'!F:F,"",0)</f>
        <v>RCEF 23-09-21 Rebidding</v>
      </c>
      <c r="M55" s="43">
        <f t="array" ref="M55">XLOOKUP($A55,'Recipients REF'!$A:$A,'Recipients REF'!G:G,"",0)</f>
        <v>4</v>
      </c>
      <c r="N55" s="43">
        <f t="array" ref="N55">XLOOKUP($A55,'Recipients REF'!$A:$A,'Recipients REF'!H:H,"",0)</f>
        <v>19053</v>
      </c>
      <c r="O55" s="44" t="s">
        <v>25</v>
      </c>
      <c r="P55" s="45" t="s">
        <v>26</v>
      </c>
      <c r="Q55" s="46" t="str">
        <f t="array" ref="Q55">XLOOKUP($A55,'Recipients REF'!$A:$A,'Recipients REF'!I:I,"",0)</f>
        <v>KMC5825 ACRFPV0408</v>
      </c>
      <c r="R55" s="47" t="str">
        <f t="array" ref="R55">XLOOKUP($A55,'Recipients REF'!$A:$A,'Recipients REF'!J:J,"",0)</f>
        <v>RTS 100310</v>
      </c>
      <c r="S55" s="45" t="s">
        <v>27</v>
      </c>
      <c r="T55" s="45" t="s">
        <v>28</v>
      </c>
      <c r="U55" s="46" t="str">
        <f t="array" ref="U55">XLOOKUP($A55,'Recipients REF'!$A:$A,'Recipients REF'!K:K,"",0)</f>
        <v>WR-SERIES 780 PH</v>
      </c>
      <c r="V55" s="44" t="s">
        <v>29</v>
      </c>
      <c r="W55" s="45" t="s">
        <v>30</v>
      </c>
      <c r="X55" s="47" t="str">
        <f t="array" ref="X55">XLOOKUP($A55,'Recipients REF'!$A:$A,'Recipients REF'!L:L,"",0)</f>
        <v>LSGW1750 RMP 24040641</v>
      </c>
      <c r="Y55" s="48" t="s">
        <v>29</v>
      </c>
      <c r="Z55" s="48" t="s">
        <v>31</v>
      </c>
      <c r="AA55" s="46" t="str">
        <f t="array" ref="AA55">XLOOKUP($A55,'Recipients REF'!$A:$A,'Recipients REF'!M:M,"",0)</f>
        <v>WDP40 RMP 24040461</v>
      </c>
      <c r="AB55" s="49"/>
      <c r="AC55" s="42"/>
      <c r="AD55" s="42"/>
      <c r="AE55" s="51"/>
      <c r="AF55" s="42"/>
      <c r="AG55" s="42"/>
      <c r="AH55" s="42"/>
      <c r="AI55" s="42">
        <f t="array" ref="AI55">XLOOKUP($E55,Sheet11!$D:$D,Sheet11!$X:$X,"",0)</f>
        <v>869066060236693</v>
      </c>
      <c r="AJ55" s="42">
        <f t="array" ref="AJ55">XLOOKUP($E55,Sheet11!$D:$D,Sheet11!$Y:$Y,"",0)</f>
        <v>9086138694</v>
      </c>
    </row>
    <row r="56">
      <c r="A56" s="41">
        <v>396.0</v>
      </c>
      <c r="B56" s="42" t="s">
        <v>133</v>
      </c>
      <c r="C56" s="42" t="s">
        <v>134</v>
      </c>
      <c r="D56" s="42"/>
      <c r="E56" s="42" t="str">
        <f t="shared" ref="E56:F56" si="57">PROPER(B56)</f>
        <v>Lacaron Farmers Association</v>
      </c>
      <c r="F56" s="42" t="str">
        <f t="shared" si="57"/>
        <v>Lacaron, Sibalom, Antique</v>
      </c>
      <c r="G56" s="42" t="str">
        <f t="shared" si="3"/>
        <v>Lacaron</v>
      </c>
      <c r="H56" s="42" t="str">
        <f t="shared" si="4"/>
        <v>Sibalom</v>
      </c>
      <c r="I56" s="42" t="str">
        <f t="shared" si="5"/>
        <v>Antique</v>
      </c>
      <c r="J56" s="42" t="str">
        <f t="array" ref="J56">XLOOKUP($E56,'Recipients REF'!$B:$B,'Recipients REF'!D:D,"",0)</f>
        <v>LORGIE ABAO</v>
      </c>
      <c r="K56" s="42" t="str">
        <f t="array" ref="K56">XLOOKUP($E56,'Recipients REF'!$B:$B,'Recipients REF'!E:E,"",0)</f>
        <v>0955-433-3926</v>
      </c>
      <c r="L56" s="43" t="str">
        <f t="array" ref="L56">XLOOKUP($A56,'Recipients REF'!$A:$A,'Recipients REF'!F:F,"",0)</f>
        <v>RCEF 23-09-21 Rebidding</v>
      </c>
      <c r="M56" s="43">
        <f t="array" ref="M56">XLOOKUP($A56,'Recipients REF'!$A:$A,'Recipients REF'!G:G,"",0)</f>
        <v>4</v>
      </c>
      <c r="N56" s="43">
        <f t="array" ref="N56">XLOOKUP($A56,'Recipients REF'!$A:$A,'Recipients REF'!H:H,"",0)</f>
        <v>19054</v>
      </c>
      <c r="O56" s="44" t="s">
        <v>25</v>
      </c>
      <c r="P56" s="45" t="s">
        <v>26</v>
      </c>
      <c r="Q56" s="46" t="str">
        <f t="array" ref="Q56">XLOOKUP($A56,'Recipients REF'!$A:$A,'Recipients REF'!I:I,"",0)</f>
        <v>KMC5825 AJRFPV0472</v>
      </c>
      <c r="R56" s="47" t="str">
        <f t="array" ref="R56">XLOOKUP($A56,'Recipients REF'!$A:$A,'Recipients REF'!J:J,"",0)</f>
        <v>RTS 100215</v>
      </c>
      <c r="S56" s="45" t="s">
        <v>27</v>
      </c>
      <c r="T56" s="45" t="s">
        <v>28</v>
      </c>
      <c r="U56" s="46" t="str">
        <f t="array" ref="U56">XLOOKUP($A56,'Recipients REF'!$A:$A,'Recipients REF'!K:K,"",0)</f>
        <v>WR-SERIES 050 PH</v>
      </c>
      <c r="V56" s="44" t="s">
        <v>29</v>
      </c>
      <c r="W56" s="45" t="s">
        <v>30</v>
      </c>
      <c r="X56" s="47" t="str">
        <f t="array" ref="X56">XLOOKUP($A56,'Recipients REF'!$A:$A,'Recipients REF'!L:L,"",0)</f>
        <v>LSGW1750 RMP 24040658</v>
      </c>
      <c r="Y56" s="48" t="s">
        <v>29</v>
      </c>
      <c r="Z56" s="48" t="s">
        <v>31</v>
      </c>
      <c r="AA56" s="46" t="str">
        <f t="array" ref="AA56">XLOOKUP($A56,'Recipients REF'!$A:$A,'Recipients REF'!M:M,"",0)</f>
        <v>WDP40 RMP 24040443</v>
      </c>
      <c r="AB56" s="49"/>
      <c r="AC56" s="42"/>
      <c r="AD56" s="42"/>
      <c r="AE56" s="51"/>
      <c r="AF56" s="42"/>
      <c r="AG56" s="42"/>
      <c r="AH56" s="42"/>
      <c r="AI56" s="42">
        <f t="array" ref="AI56">XLOOKUP($E56,Sheet11!$D:$D,Sheet11!$X:$X,"",0)</f>
        <v>869066060240653</v>
      </c>
      <c r="AJ56" s="42">
        <f t="array" ref="AJ56">XLOOKUP($E56,Sheet11!$D:$D,Sheet11!$Y:$Y,"",0)</f>
        <v>9083823487</v>
      </c>
    </row>
    <row r="57">
      <c r="A57" s="41">
        <v>397.0</v>
      </c>
      <c r="B57" s="42" t="s">
        <v>135</v>
      </c>
      <c r="C57" s="42" t="s">
        <v>136</v>
      </c>
      <c r="D57" s="42"/>
      <c r="E57" s="42" t="str">
        <f t="shared" ref="E57:F57" si="58">PROPER(B57)</f>
        <v>Bandoja San Francisco Sur San Francisco Norte San Isidro Irrigators Association (Basficia) Inc.</v>
      </c>
      <c r="F57" s="42" t="str">
        <f t="shared" si="58"/>
        <v>San Francisco Sur, Tibiao, Antique</v>
      </c>
      <c r="G57" s="42" t="str">
        <f t="shared" si="3"/>
        <v>San Francisco Sur</v>
      </c>
      <c r="H57" s="42" t="str">
        <f t="shared" si="4"/>
        <v>Tibiao</v>
      </c>
      <c r="I57" s="42" t="str">
        <f t="shared" si="5"/>
        <v>Antique</v>
      </c>
      <c r="J57" s="42" t="str">
        <f t="array" ref="J57">XLOOKUP($E57,'Recipients REF'!$B:$B,'Recipients REF'!D:D,"",0)</f>
        <v>JOEL ANDRES</v>
      </c>
      <c r="K57" s="42">
        <f t="array" ref="K57">XLOOKUP($E57,'Recipients REF'!$B:$B,'Recipients REF'!E:E,"",0)</f>
        <v>9651166825</v>
      </c>
      <c r="L57" s="43" t="str">
        <f t="array" ref="L57">XLOOKUP($A57,'Recipients REF'!$A:$A,'Recipients REF'!F:F,"",0)</f>
        <v>RCEF 23-09-21 Rebidding</v>
      </c>
      <c r="M57" s="43">
        <f t="array" ref="M57">XLOOKUP($A57,'Recipients REF'!$A:$A,'Recipients REF'!G:G,"",0)</f>
        <v>4</v>
      </c>
      <c r="N57" s="43">
        <f t="array" ref="N57">XLOOKUP($A57,'Recipients REF'!$A:$A,'Recipients REF'!H:H,"",0)</f>
        <v>19055</v>
      </c>
      <c r="O57" s="44" t="s">
        <v>25</v>
      </c>
      <c r="P57" s="45" t="s">
        <v>26</v>
      </c>
      <c r="Q57" s="46" t="str">
        <f t="array" ref="Q57">XLOOKUP($A57,'Recipients REF'!$A:$A,'Recipients REF'!I:I,"",0)</f>
        <v>KMC5825 AERFPV0478</v>
      </c>
      <c r="R57" s="47" t="str">
        <f t="array" ref="R57">XLOOKUP($A57,'Recipients REF'!$A:$A,'Recipients REF'!J:J,"",0)</f>
        <v>RTS 100383</v>
      </c>
      <c r="S57" s="45" t="s">
        <v>27</v>
      </c>
      <c r="T57" s="45" t="s">
        <v>28</v>
      </c>
      <c r="U57" s="46" t="str">
        <f t="array" ref="U57">XLOOKUP($A57,'Recipients REF'!$A:$A,'Recipients REF'!K:K,"",0)</f>
        <v>WR-SERIES 940 PH</v>
      </c>
      <c r="V57" s="44" t="s">
        <v>29</v>
      </c>
      <c r="W57" s="45" t="s">
        <v>30</v>
      </c>
      <c r="X57" s="47" t="str">
        <f t="array" ref="X57">XLOOKUP($A57,'Recipients REF'!$A:$A,'Recipients REF'!L:L,"",0)</f>
        <v>LSGW1750 RMP 24040642</v>
      </c>
      <c r="Y57" s="48" t="s">
        <v>29</v>
      </c>
      <c r="Z57" s="48" t="s">
        <v>31</v>
      </c>
      <c r="AA57" s="46" t="str">
        <f t="array" ref="AA57">XLOOKUP($A57,'Recipients REF'!$A:$A,'Recipients REF'!M:M,"",0)</f>
        <v>WDP40 RMP 24040447</v>
      </c>
      <c r="AB57" s="49"/>
      <c r="AC57" s="42"/>
      <c r="AD57" s="42"/>
      <c r="AE57" s="51"/>
      <c r="AF57" s="42"/>
      <c r="AG57" s="42"/>
      <c r="AH57" s="42"/>
      <c r="AI57" s="42">
        <f t="array" ref="AI57">XLOOKUP($E57,Sheet11!$D:$D,Sheet11!$X:$X,"",0)</f>
        <v>869066060240943</v>
      </c>
      <c r="AJ57" s="42">
        <f t="array" ref="AJ57">XLOOKUP($E57,Sheet11!$D:$D,Sheet11!$Y:$Y,"",0)</f>
        <v>908514112</v>
      </c>
    </row>
    <row r="58">
      <c r="A58" s="41">
        <v>398.0</v>
      </c>
      <c r="B58" s="42" t="s">
        <v>137</v>
      </c>
      <c r="C58" s="42" t="s">
        <v>138</v>
      </c>
      <c r="D58" s="42"/>
      <c r="E58" s="42" t="str">
        <f t="shared" ref="E58:F58" si="59">PROPER(B58)</f>
        <v>Tibiao-Dalanas River Irrigators' Association, Inc.</v>
      </c>
      <c r="F58" s="42" t="str">
        <f t="shared" si="59"/>
        <v>Malabor, Tibiao, Antique</v>
      </c>
      <c r="G58" s="42" t="str">
        <f t="shared" si="3"/>
        <v>Malabor</v>
      </c>
      <c r="H58" s="42" t="str">
        <f t="shared" si="4"/>
        <v>Tibiao</v>
      </c>
      <c r="I58" s="42" t="str">
        <f t="shared" si="5"/>
        <v>Antique</v>
      </c>
      <c r="J58" s="42" t="str">
        <f t="array" ref="J58">XLOOKUP($E58,'Recipients REF'!$B:$B,'Recipients REF'!D:D,"",0)</f>
        <v>Noel C. Songcayawon</v>
      </c>
      <c r="K58" s="42" t="str">
        <f t="array" ref="K58">XLOOKUP($E58,'Recipients REF'!$B:$B,'Recipients REF'!E:E,"",0)</f>
        <v>0935-170-8943</v>
      </c>
      <c r="L58" s="43" t="str">
        <f t="array" ref="L58">XLOOKUP($A58,'Recipients REF'!$A:$A,'Recipients REF'!F:F,"",0)</f>
        <v>RCEF 23-09-21 Rebidding</v>
      </c>
      <c r="M58" s="43">
        <f t="array" ref="M58">XLOOKUP($A58,'Recipients REF'!$A:$A,'Recipients REF'!G:G,"",0)</f>
        <v>4</v>
      </c>
      <c r="N58" s="43">
        <f t="array" ref="N58">XLOOKUP($A58,'Recipients REF'!$A:$A,'Recipients REF'!H:H,"",0)</f>
        <v>19056</v>
      </c>
      <c r="O58" s="44" t="s">
        <v>25</v>
      </c>
      <c r="P58" s="45" t="s">
        <v>26</v>
      </c>
      <c r="Q58" s="46" t="str">
        <f t="array" ref="Q58">XLOOKUP($A58,'Recipients REF'!$A:$A,'Recipients REF'!I:I,"",0)</f>
        <v>KMC5825 ACRFPV0487</v>
      </c>
      <c r="R58" s="47" t="str">
        <f t="array" ref="R58">XLOOKUP($A58,'Recipients REF'!$A:$A,'Recipients REF'!J:J,"",0)</f>
        <v>RTS 100395</v>
      </c>
      <c r="S58" s="45" t="s">
        <v>27</v>
      </c>
      <c r="T58" s="45" t="s">
        <v>28</v>
      </c>
      <c r="U58" s="46" t="str">
        <f t="array" ref="U58">XLOOKUP($A58,'Recipients REF'!$A:$A,'Recipients REF'!K:K,"",0)</f>
        <v>WR-SERIES 955 PH</v>
      </c>
      <c r="V58" s="44" t="s">
        <v>29</v>
      </c>
      <c r="W58" s="45" t="s">
        <v>30</v>
      </c>
      <c r="X58" s="47" t="str">
        <f t="array" ref="X58">XLOOKUP($A58,'Recipients REF'!$A:$A,'Recipients REF'!L:L,"",0)</f>
        <v>LSGW1750 RMP 24040698</v>
      </c>
      <c r="Y58" s="48" t="s">
        <v>29</v>
      </c>
      <c r="Z58" s="48" t="s">
        <v>31</v>
      </c>
      <c r="AA58" s="46" t="str">
        <f t="array" ref="AA58">XLOOKUP($A58,'Recipients REF'!$A:$A,'Recipients REF'!M:M,"",0)</f>
        <v>WDP40 RMP 24040399</v>
      </c>
      <c r="AB58" s="49"/>
      <c r="AC58" s="42"/>
      <c r="AD58" s="42"/>
      <c r="AE58" s="50"/>
      <c r="AF58" s="42"/>
      <c r="AG58" s="42"/>
      <c r="AH58" s="42"/>
      <c r="AI58" s="42">
        <f t="array" ref="AI58">XLOOKUP($E58,Sheet11!$D:$D,Sheet11!$X:$X,"",0)</f>
        <v>869066060012987</v>
      </c>
      <c r="AJ58" s="42">
        <f t="array" ref="AJ58">XLOOKUP($E58,Sheet11!$D:$D,Sheet11!$Y:$Y,"",0)</f>
        <v>9086465060</v>
      </c>
    </row>
    <row r="59">
      <c r="A59" s="41">
        <v>886.0</v>
      </c>
      <c r="B59" s="42" t="s">
        <v>139</v>
      </c>
      <c r="C59" s="42" t="s">
        <v>140</v>
      </c>
      <c r="D59" s="42"/>
      <c r="E59" s="42" t="str">
        <f t="shared" ref="E59:F59" si="60">PROPER(B59)</f>
        <v>Magdalena-Vilbar-Baladjay Farmers Association (Magviba Fa)</v>
      </c>
      <c r="F59" s="42" t="str">
        <f t="shared" si="60"/>
        <v>Baladjay, San Remigio, Antique</v>
      </c>
      <c r="G59" s="42" t="str">
        <f t="shared" si="3"/>
        <v>Baladjay</v>
      </c>
      <c r="H59" s="42" t="str">
        <f t="shared" si="4"/>
        <v>San Remigio</v>
      </c>
      <c r="I59" s="42" t="str">
        <f t="shared" si="5"/>
        <v>Antique</v>
      </c>
      <c r="J59" s="42" t="str">
        <f t="array" ref="J59">XLOOKUP($E59,'Recipients REF'!$B:$B,'Recipients REF'!D:D,"",0)</f>
        <v>AMADOR DELOS SANTOS JR.</v>
      </c>
      <c r="K59" s="42">
        <f t="array" ref="K59">XLOOKUP($E59,'Recipients REF'!$B:$B,'Recipients REF'!E:E,"",0)</f>
        <v>9292261828</v>
      </c>
      <c r="L59" s="43" t="str">
        <f t="array" ref="L59">XLOOKUP($A59,'Recipients REF'!$A:$A,'Recipients REF'!F:F,"",0)</f>
        <v>RCEF 25-03-05</v>
      </c>
      <c r="M59" s="43">
        <f t="array" ref="M59">XLOOKUP($A59,'Recipients REF'!$A:$A,'Recipients REF'!G:G,"",0)</f>
        <v>7</v>
      </c>
      <c r="N59" s="43" t="str">
        <f t="array" ref="N59">XLOOKUP($A59,'Recipients REF'!$A:$A,'Recipients REF'!H:H,"",0)</f>
        <v>26887 &amp; 27929</v>
      </c>
      <c r="O59" s="44" t="s">
        <v>25</v>
      </c>
      <c r="P59" s="45" t="s">
        <v>26</v>
      </c>
      <c r="Q59" s="46" t="str">
        <f t="array" ref="Q59">XLOOKUP($A59,'Recipients REF'!$A:$A,'Recipients REF'!I:I,"",0)</f>
        <v>KMC5825 AJSFPV0400</v>
      </c>
      <c r="R59" s="53" t="str">
        <f t="array" ref="R59">XLOOKUP($A59,'Recipients REF'!$A:$A,'Recipients REF'!J:J,"",0)</f>
        <v>STS100418</v>
      </c>
      <c r="S59" s="45" t="s">
        <v>27</v>
      </c>
      <c r="T59" s="45" t="s">
        <v>28</v>
      </c>
      <c r="U59" s="46" t="str">
        <f t="array" ref="U59">XLOOKUP($A59,'Recipients REF'!$A:$A,'Recipients REF'!K:K,"",0)</f>
        <v>R-SERIES 114PH</v>
      </c>
      <c r="V59" s="44" t="s">
        <v>29</v>
      </c>
      <c r="W59" s="45" t="s">
        <v>30</v>
      </c>
      <c r="X59" s="53" t="str">
        <f t="array" ref="X59">XLOOKUP($A59,'Recipients REF'!$A:$A,'Recipients REF'!L:L,"",0)</f>
        <v>25090638</v>
      </c>
      <c r="Y59" s="48" t="s">
        <v>29</v>
      </c>
      <c r="Z59" s="48" t="s">
        <v>31</v>
      </c>
      <c r="AA59" s="54">
        <f t="array" ref="AA59">XLOOKUP($A59,'Recipients REF'!$A:$A,'Recipients REF'!M:M,"",0)</f>
        <v>25121448</v>
      </c>
      <c r="AB59" s="49"/>
      <c r="AC59" s="42"/>
      <c r="AD59" s="42"/>
      <c r="AE59" s="50"/>
      <c r="AF59" s="42"/>
      <c r="AG59" s="42"/>
      <c r="AH59" s="42"/>
      <c r="AI59" s="42" t="str">
        <f t="array" ref="AI59">XLOOKUP($E59,Sheet11!$D:$D,Sheet11!$X:$X,"",0)</f>
        <v/>
      </c>
      <c r="AJ59" s="42" t="str">
        <f t="array" ref="AJ59">XLOOKUP($E59,Sheet11!$D:$D,Sheet11!$Y:$Y,"",0)</f>
        <v/>
      </c>
    </row>
    <row r="60">
      <c r="A60" s="41">
        <v>887.0</v>
      </c>
      <c r="B60" s="42" t="s">
        <v>141</v>
      </c>
      <c r="C60" s="42" t="s">
        <v>142</v>
      </c>
      <c r="D60" s="42"/>
      <c r="E60" s="42" t="str">
        <f t="shared" ref="E60:F60" si="61">PROPER(B60)</f>
        <v>Egaña Farmers Association</v>
      </c>
      <c r="F60" s="42" t="str">
        <f t="shared" si="61"/>
        <v>Egaña, Sibalom, Antique</v>
      </c>
      <c r="G60" s="42" t="str">
        <f t="shared" si="3"/>
        <v>Egaña</v>
      </c>
      <c r="H60" s="42" t="str">
        <f t="shared" si="4"/>
        <v>Sibalom</v>
      </c>
      <c r="I60" s="42" t="str">
        <f t="shared" si="5"/>
        <v>Antique</v>
      </c>
      <c r="J60" s="42" t="str">
        <f t="array" ref="J60">XLOOKUP($E60,'Recipients REF'!$B:$B,'Recipients REF'!D:D,"",0)</f>
        <v>Medardo F. Clarito</v>
      </c>
      <c r="K60" s="42" t="str">
        <f t="array" ref="K60">XLOOKUP($E60,'Recipients REF'!$B:$B,'Recipients REF'!E:E,"",0)</f>
        <v>0917-846-0646</v>
      </c>
      <c r="L60" s="43" t="str">
        <f t="array" ref="L60">XLOOKUP($A60,'Recipients REF'!$A:$A,'Recipients REF'!F:F,"",0)</f>
        <v>RCEF 25-03-05</v>
      </c>
      <c r="M60" s="43">
        <f t="array" ref="M60">XLOOKUP($A60,'Recipients REF'!$A:$A,'Recipients REF'!G:G,"",0)</f>
        <v>7</v>
      </c>
      <c r="N60" s="43" t="str">
        <f t="array" ref="N60">XLOOKUP($A60,'Recipients REF'!$A:$A,'Recipients REF'!H:H,"",0)</f>
        <v>26888 &amp; 27930</v>
      </c>
      <c r="O60" s="44" t="s">
        <v>25</v>
      </c>
      <c r="P60" s="45" t="s">
        <v>26</v>
      </c>
      <c r="Q60" s="46" t="str">
        <f t="array" ref="Q60">XLOOKUP($A60,'Recipients REF'!$A:$A,'Recipients REF'!I:I,"",0)</f>
        <v>KMC5825 ACSFPV0214</v>
      </c>
      <c r="R60" s="53" t="str">
        <f t="array" ref="R60">XLOOKUP($A60,'Recipients REF'!$A:$A,'Recipients REF'!J:J,"",0)</f>
        <v>STS100239</v>
      </c>
      <c r="S60" s="45" t="s">
        <v>27</v>
      </c>
      <c r="T60" s="45" t="s">
        <v>28</v>
      </c>
      <c r="U60" s="46" t="str">
        <f t="array" ref="U60">XLOOKUP($A60,'Recipients REF'!$A:$A,'Recipients REF'!K:K,"",0)</f>
        <v>R-SERIES 116PH</v>
      </c>
      <c r="V60" s="44" t="s">
        <v>29</v>
      </c>
      <c r="W60" s="45" t="s">
        <v>30</v>
      </c>
      <c r="X60" s="53" t="str">
        <f t="array" ref="X60">XLOOKUP($A60,'Recipients REF'!$A:$A,'Recipients REF'!L:L,"",0)</f>
        <v>25090584</v>
      </c>
      <c r="Y60" s="48" t="s">
        <v>29</v>
      </c>
      <c r="Z60" s="48" t="s">
        <v>31</v>
      </c>
      <c r="AA60" s="54">
        <f t="array" ref="AA60">XLOOKUP($A60,'Recipients REF'!$A:$A,'Recipients REF'!M:M,"",0)</f>
        <v>25121449</v>
      </c>
      <c r="AB60" s="49"/>
      <c r="AC60" s="42"/>
      <c r="AD60" s="42"/>
      <c r="AE60" s="51"/>
      <c r="AF60" s="42"/>
      <c r="AG60" s="42"/>
      <c r="AH60" s="42"/>
      <c r="AI60" s="42" t="str">
        <f t="array" ref="AI60">XLOOKUP($E60,Sheet11!$D:$D,Sheet11!$X:$X,"",0)</f>
        <v/>
      </c>
      <c r="AJ60" s="42" t="str">
        <f t="array" ref="AJ60">XLOOKUP($E60,Sheet11!$D:$D,Sheet11!$Y:$Y,"",0)</f>
        <v/>
      </c>
    </row>
    <row r="61">
      <c r="A61" s="41">
        <v>295.0</v>
      </c>
      <c r="B61" s="42" t="s">
        <v>143</v>
      </c>
      <c r="C61" s="42" t="s">
        <v>144</v>
      </c>
      <c r="D61" s="42"/>
      <c r="E61" s="42" t="str">
        <f t="shared" ref="E61:F61" si="62">PROPER(B61)</f>
        <v>Diagyan Multi Farmers Association</v>
      </c>
      <c r="F61" s="42" t="str">
        <f t="shared" si="62"/>
        <v>Diagyan, Dilasag, Aurora</v>
      </c>
      <c r="G61" s="42" t="str">
        <f t="shared" si="3"/>
        <v>Diagyan</v>
      </c>
      <c r="H61" s="42" t="str">
        <f t="shared" si="4"/>
        <v>Dilasag</v>
      </c>
      <c r="I61" s="42" t="str">
        <f t="shared" si="5"/>
        <v>Aurora</v>
      </c>
      <c r="J61" s="42" t="str">
        <f t="array" ref="J61">XLOOKUP($E61,'Recipients REF'!$B:$B,'Recipients REF'!D:D,"",0)</f>
        <v>Eduardo C. Prado</v>
      </c>
      <c r="K61" s="42" t="str">
        <f t="array" ref="K61">XLOOKUP($E61,'Recipients REF'!$B:$B,'Recipients REF'!E:E,"",0)</f>
        <v>0997-2311-013 / 0935-862-2888</v>
      </c>
      <c r="L61" s="43" t="str">
        <f t="array" ref="L61">XLOOKUP($A61,'Recipients REF'!$A:$A,'Recipients REF'!F:F,"",0)</f>
        <v>RCEF 23-09-21 Rebidding</v>
      </c>
      <c r="M61" s="43">
        <f t="array" ref="M61">XLOOKUP($A61,'Recipients REF'!$A:$A,'Recipients REF'!G:G,"",0)</f>
        <v>9</v>
      </c>
      <c r="N61" s="43">
        <f t="array" ref="N61">XLOOKUP($A61,'Recipients REF'!$A:$A,'Recipients REF'!H:H,"",0)</f>
        <v>18893</v>
      </c>
      <c r="O61" s="44" t="s">
        <v>25</v>
      </c>
      <c r="P61" s="45" t="s">
        <v>26</v>
      </c>
      <c r="Q61" s="46" t="str">
        <f t="array" ref="Q61">XLOOKUP($A61,'Recipients REF'!$A:$A,'Recipients REF'!I:I,"",0)</f>
        <v>KMC5825 ACRFPV0711</v>
      </c>
      <c r="R61" s="47" t="str">
        <f t="array" ref="R61">XLOOKUP($A61,'Recipients REF'!$A:$A,'Recipients REF'!J:J,"",0)</f>
        <v>RTS 100628</v>
      </c>
      <c r="S61" s="45" t="s">
        <v>27</v>
      </c>
      <c r="T61" s="45" t="s">
        <v>28</v>
      </c>
      <c r="U61" s="46" t="str">
        <f t="array" ref="U61">XLOOKUP($A61,'Recipients REF'!$A:$A,'Recipients REF'!K:K,"",0)</f>
        <v>RSERIES 923 PH</v>
      </c>
      <c r="V61" s="44" t="s">
        <v>29</v>
      </c>
      <c r="W61" s="45" t="s">
        <v>30</v>
      </c>
      <c r="X61" s="47" t="str">
        <f t="array" ref="X61">XLOOKUP($A61,'Recipients REF'!$A:$A,'Recipients REF'!L:L,"",0)</f>
        <v>LSGW1750 RMP 24010104</v>
      </c>
      <c r="Y61" s="48" t="s">
        <v>29</v>
      </c>
      <c r="Z61" s="48" t="s">
        <v>31</v>
      </c>
      <c r="AA61" s="46" t="str">
        <f t="array" ref="AA61">XLOOKUP($A61,'Recipients REF'!$A:$A,'Recipients REF'!M:M,"",0)</f>
        <v>WDP 40 RMP 24050638</v>
      </c>
      <c r="AB61" s="49"/>
      <c r="AC61" s="42"/>
      <c r="AD61" s="42"/>
      <c r="AE61" s="50"/>
      <c r="AF61" s="42"/>
      <c r="AG61" s="42"/>
      <c r="AH61" s="42"/>
      <c r="AI61" s="42">
        <f t="array" ref="AI61">XLOOKUP($E61,Sheet11!$D:$D,Sheet11!$X:$X,"",0)</f>
        <v>86906660245496</v>
      </c>
      <c r="AJ61" s="42">
        <f t="array" ref="AJ61">XLOOKUP($E61,Sheet11!$D:$D,Sheet11!$Y:$Y,"",0)</f>
        <v>9624681445</v>
      </c>
    </row>
    <row r="62">
      <c r="A62" s="41">
        <v>296.0</v>
      </c>
      <c r="B62" s="42" t="s">
        <v>145</v>
      </c>
      <c r="C62" s="42" t="s">
        <v>146</v>
      </c>
      <c r="D62" s="42"/>
      <c r="E62" s="42" t="str">
        <f t="shared" ref="E62:F62" si="63">PROPER(B62)</f>
        <v>Kabalikat Pangsakahan Association</v>
      </c>
      <c r="F62" s="42" t="str">
        <f t="shared" si="63"/>
        <v>, Dilasag, Aurora</v>
      </c>
      <c r="G62" s="42" t="str">
        <f t="shared" si="3"/>
        <v/>
      </c>
      <c r="H62" s="42" t="str">
        <f t="shared" si="4"/>
        <v>Dilasag</v>
      </c>
      <c r="I62" s="42" t="str">
        <f t="shared" si="5"/>
        <v>Aurora</v>
      </c>
      <c r="J62" s="42" t="str">
        <f t="array" ref="J62">XLOOKUP($E62,'Recipients REF'!$B:$B,'Recipients REF'!D:D,"",0)</f>
        <v>Abuel S. Ancheta</v>
      </c>
      <c r="K62" s="42" t="str">
        <f t="array" ref="K62">XLOOKUP($E62,'Recipients REF'!$B:$B,'Recipients REF'!E:E,"",0)</f>
        <v>0975-097-1775</v>
      </c>
      <c r="L62" s="43" t="str">
        <f t="array" ref="L62">XLOOKUP($A62,'Recipients REF'!$A:$A,'Recipients REF'!F:F,"",0)</f>
        <v>RCEF 23-09-21 Rebidding</v>
      </c>
      <c r="M62" s="43">
        <f t="array" ref="M62">XLOOKUP($A62,'Recipients REF'!$A:$A,'Recipients REF'!G:G,"",0)</f>
        <v>9</v>
      </c>
      <c r="N62" s="43">
        <f t="array" ref="N62">XLOOKUP($A62,'Recipients REF'!$A:$A,'Recipients REF'!H:H,"",0)</f>
        <v>18894</v>
      </c>
      <c r="O62" s="44" t="s">
        <v>25</v>
      </c>
      <c r="P62" s="45" t="s">
        <v>26</v>
      </c>
      <c r="Q62" s="46" t="str">
        <f t="array" ref="Q62">XLOOKUP($A62,'Recipients REF'!$A:$A,'Recipients REF'!I:I,"",0)</f>
        <v>KMC5825 ATRFPV0712</v>
      </c>
      <c r="R62" s="47" t="str">
        <f t="array" ref="R62">XLOOKUP($A62,'Recipients REF'!$A:$A,'Recipients REF'!J:J,"",0)</f>
        <v>RTS100622</v>
      </c>
      <c r="S62" s="45" t="s">
        <v>27</v>
      </c>
      <c r="T62" s="45" t="s">
        <v>28</v>
      </c>
      <c r="U62" s="46" t="str">
        <f t="array" ref="U62">XLOOKUP($A62,'Recipients REF'!$A:$A,'Recipients REF'!K:K,"",0)</f>
        <v>RSERIES 932 PH</v>
      </c>
      <c r="V62" s="44" t="s">
        <v>29</v>
      </c>
      <c r="W62" s="45" t="s">
        <v>30</v>
      </c>
      <c r="X62" s="47" t="str">
        <f t="array" ref="X62">XLOOKUP($A62,'Recipients REF'!$A:$A,'Recipients REF'!L:L,"",0)</f>
        <v>LSGW1750 RMP 24010095</v>
      </c>
      <c r="Y62" s="48" t="s">
        <v>29</v>
      </c>
      <c r="Z62" s="48" t="s">
        <v>31</v>
      </c>
      <c r="AA62" s="46" t="str">
        <f t="array" ref="AA62">XLOOKUP($A62,'Recipients REF'!$A:$A,'Recipients REF'!M:M,"",0)</f>
        <v>WDP 40 RMP 24010095</v>
      </c>
      <c r="AB62" s="49"/>
      <c r="AC62" s="42"/>
      <c r="AD62" s="42"/>
      <c r="AE62" s="51"/>
      <c r="AF62" s="42"/>
      <c r="AG62" s="42"/>
      <c r="AH62" s="42"/>
      <c r="AI62" s="42">
        <f t="array" ref="AI62">XLOOKUP($E62,Sheet11!$D:$D,Sheet11!$X:$X,"",0)</f>
        <v>86906660242337</v>
      </c>
      <c r="AJ62" s="42">
        <f t="array" ref="AJ62">XLOOKUP($E62,Sheet11!$D:$D,Sheet11!$Y:$Y,"",0)</f>
        <v>9624681438</v>
      </c>
    </row>
    <row r="63">
      <c r="A63" s="41">
        <v>297.0</v>
      </c>
      <c r="B63" s="42" t="s">
        <v>147</v>
      </c>
      <c r="C63" s="42" t="s">
        <v>148</v>
      </c>
      <c r="D63" s="42"/>
      <c r="E63" s="42" t="str">
        <f t="shared" ref="E63:F63" si="64">PROPER(B63)</f>
        <v>Bagtu-Obligacion Irrigators Association</v>
      </c>
      <c r="F63" s="42" t="str">
        <f t="shared" si="64"/>
        <v>Obligacion, Baler, Aurora</v>
      </c>
      <c r="G63" s="42" t="str">
        <f t="shared" si="3"/>
        <v>Obligacion</v>
      </c>
      <c r="H63" s="42" t="str">
        <f t="shared" si="4"/>
        <v>Baler</v>
      </c>
      <c r="I63" s="42" t="str">
        <f t="shared" si="5"/>
        <v>Aurora</v>
      </c>
      <c r="J63" s="42" t="str">
        <f t="array" ref="J63">XLOOKUP($E63,'Recipients REF'!$B:$B,'Recipients REF'!D:D,"",0)</f>
        <v>Anthony E. Bernalte</v>
      </c>
      <c r="K63" s="42" t="str">
        <f t="array" ref="K63">XLOOKUP($E63,'Recipients REF'!$B:$B,'Recipients REF'!E:E,"",0)</f>
        <v>0947-966-1717</v>
      </c>
      <c r="L63" s="43" t="str">
        <f t="array" ref="L63">XLOOKUP($A63,'Recipients REF'!$A:$A,'Recipients REF'!F:F,"",0)</f>
        <v>RCEF 23-09-21 Rebidding</v>
      </c>
      <c r="M63" s="43">
        <f t="array" ref="M63">XLOOKUP($A63,'Recipients REF'!$A:$A,'Recipients REF'!G:G,"",0)</f>
        <v>3</v>
      </c>
      <c r="N63" s="43">
        <f t="array" ref="N63">XLOOKUP($A63,'Recipients REF'!$A:$A,'Recipients REF'!H:H,"",0)</f>
        <v>18895</v>
      </c>
      <c r="O63" s="44" t="s">
        <v>25</v>
      </c>
      <c r="P63" s="45" t="s">
        <v>26</v>
      </c>
      <c r="Q63" s="46" t="str">
        <f t="array" ref="Q63">XLOOKUP($A63,'Recipients REF'!$A:$A,'Recipients REF'!I:I,"",0)</f>
        <v>KMC 5825 AVRFPV0779</v>
      </c>
      <c r="R63" s="47" t="str">
        <f t="array" ref="R63">XLOOKUP($A63,'Recipients REF'!$A:$A,'Recipients REF'!J:J,"",0)</f>
        <v>RTS 100611</v>
      </c>
      <c r="S63" s="45" t="s">
        <v>27</v>
      </c>
      <c r="T63" s="45" t="s">
        <v>28</v>
      </c>
      <c r="U63" s="46" t="str">
        <f t="array" ref="U63">XLOOKUP($A63,'Recipients REF'!$A:$A,'Recipients REF'!K:K,"",0)</f>
        <v>R SERIES 937 PH</v>
      </c>
      <c r="V63" s="44" t="s">
        <v>29</v>
      </c>
      <c r="W63" s="45" t="s">
        <v>30</v>
      </c>
      <c r="X63" s="47" t="str">
        <f t="array" ref="X63">XLOOKUP($A63,'Recipients REF'!$A:$A,'Recipients REF'!L:L,"",0)</f>
        <v>LSGW1750 RMP 24010128</v>
      </c>
      <c r="Y63" s="48" t="s">
        <v>29</v>
      </c>
      <c r="Z63" s="48" t="s">
        <v>31</v>
      </c>
      <c r="AA63" s="46" t="str">
        <f t="array" ref="AA63">XLOOKUP($A63,'Recipients REF'!$A:$A,'Recipients REF'!M:M,"",0)</f>
        <v>WDP40 RMP 24050639</v>
      </c>
      <c r="AB63" s="49"/>
      <c r="AC63" s="42"/>
      <c r="AD63" s="42"/>
      <c r="AE63" s="51"/>
      <c r="AF63" s="42"/>
      <c r="AG63" s="42"/>
      <c r="AH63" s="42"/>
      <c r="AI63" s="42">
        <f t="array" ref="AI63">XLOOKUP($E63,Sheet11!$D:$D,Sheet11!$X:$X,"",0)</f>
        <v>869066060239424</v>
      </c>
      <c r="AJ63" s="42">
        <f t="array" ref="AJ63">XLOOKUP($E63,Sheet11!$D:$D,Sheet11!$Y:$Y,"",0)</f>
        <v>9624681449</v>
      </c>
    </row>
    <row r="64">
      <c r="A64" s="41">
        <v>298.0</v>
      </c>
      <c r="B64" s="42" t="s">
        <v>149</v>
      </c>
      <c r="C64" s="42" t="s">
        <v>150</v>
      </c>
      <c r="D64" s="42"/>
      <c r="E64" s="42" t="str">
        <f t="shared" ref="E64:F64" si="65">PROPER(B64)</f>
        <v>Culat Irrigators Farmers Association.</v>
      </c>
      <c r="F64" s="42" t="str">
        <f t="shared" si="65"/>
        <v>Culat, Casiguran, Aurora</v>
      </c>
      <c r="G64" s="42" t="str">
        <f t="shared" si="3"/>
        <v>Culat</v>
      </c>
      <c r="H64" s="42" t="str">
        <f t="shared" si="4"/>
        <v>Casiguran</v>
      </c>
      <c r="I64" s="42" t="str">
        <f t="shared" si="5"/>
        <v>Aurora</v>
      </c>
      <c r="J64" s="42" t="str">
        <f t="array" ref="J64">XLOOKUP($E64,'Recipients REF'!$B:$B,'Recipients REF'!D:D,"",0)</f>
        <v>Reynaldo T. Torre</v>
      </c>
      <c r="K64" s="42" t="str">
        <f t="array" ref="K64">XLOOKUP($E64,'Recipients REF'!$B:$B,'Recipients REF'!E:E,"",0)</f>
        <v>0920-706-5957</v>
      </c>
      <c r="L64" s="43" t="str">
        <f t="array" ref="L64">XLOOKUP($A64,'Recipients REF'!$A:$A,'Recipients REF'!F:F,"",0)</f>
        <v>RCEF 23-09-21 Rebidding</v>
      </c>
      <c r="M64" s="43">
        <f t="array" ref="M64">XLOOKUP($A64,'Recipients REF'!$A:$A,'Recipients REF'!G:G,"",0)</f>
        <v>3</v>
      </c>
      <c r="N64" s="43">
        <f t="array" ref="N64">XLOOKUP($A64,'Recipients REF'!$A:$A,'Recipients REF'!H:H,"",0)</f>
        <v>18896</v>
      </c>
      <c r="O64" s="44" t="s">
        <v>25</v>
      </c>
      <c r="P64" s="45" t="s">
        <v>26</v>
      </c>
      <c r="Q64" s="46" t="str">
        <f t="array" ref="Q64">XLOOKUP($A64,'Recipients REF'!$A:$A,'Recipients REF'!I:I,"",0)</f>
        <v>KMC 5825 AVRFPV0765</v>
      </c>
      <c r="R64" s="47" t="str">
        <f t="array" ref="R64">XLOOKUP($A64,'Recipients REF'!$A:$A,'Recipients REF'!J:J,"",0)</f>
        <v>RTS 100527</v>
      </c>
      <c r="S64" s="45" t="s">
        <v>27</v>
      </c>
      <c r="T64" s="45" t="s">
        <v>28</v>
      </c>
      <c r="U64" s="46" t="str">
        <f t="array" ref="U64">XLOOKUP($A64,'Recipients REF'!$A:$A,'Recipients REF'!K:K,"",0)</f>
        <v>R SERIES 966 PH</v>
      </c>
      <c r="V64" s="44" t="s">
        <v>29</v>
      </c>
      <c r="W64" s="45" t="s">
        <v>30</v>
      </c>
      <c r="X64" s="47" t="str">
        <f t="array" ref="X64">XLOOKUP($A64,'Recipients REF'!$A:$A,'Recipients REF'!L:L,"",0)</f>
        <v>LSGW1750 RMP 24010099</v>
      </c>
      <c r="Y64" s="48" t="s">
        <v>29</v>
      </c>
      <c r="Z64" s="48" t="s">
        <v>31</v>
      </c>
      <c r="AA64" s="46" t="str">
        <f t="array" ref="AA64">XLOOKUP($A64,'Recipients REF'!$A:$A,'Recipients REF'!M:M,"",0)</f>
        <v>WDP40 RMP 24050630</v>
      </c>
      <c r="AB64" s="49"/>
      <c r="AC64" s="42"/>
      <c r="AD64" s="42"/>
      <c r="AE64" s="50"/>
      <c r="AF64" s="42"/>
      <c r="AG64" s="42"/>
      <c r="AH64" s="42"/>
      <c r="AI64" s="42">
        <f t="array" ref="AI64">XLOOKUP($E64,Sheet11!$D:$D,Sheet11!$X:$X,"",0)</f>
        <v>869066060238236</v>
      </c>
      <c r="AJ64" s="42">
        <f t="array" ref="AJ64">XLOOKUP($E64,Sheet11!$D:$D,Sheet11!$Y:$Y,"",0)</f>
        <v>9625154628</v>
      </c>
    </row>
    <row r="65">
      <c r="A65" s="41">
        <v>299.0</v>
      </c>
      <c r="B65" s="42" t="s">
        <v>151</v>
      </c>
      <c r="C65" s="42" t="s">
        <v>152</v>
      </c>
      <c r="D65" s="42"/>
      <c r="E65" s="42" t="str">
        <f t="shared" ref="E65:F65" si="66">PROPER(B65)</f>
        <v>Indigenous Peoples Farmers Association</v>
      </c>
      <c r="F65" s="42" t="str">
        <f t="shared" si="66"/>
        <v>Manggitahan, Dilasag, Aurora</v>
      </c>
      <c r="G65" s="42" t="str">
        <f t="shared" si="3"/>
        <v>Manggitahan</v>
      </c>
      <c r="H65" s="42" t="str">
        <f t="shared" si="4"/>
        <v>Dilasag</v>
      </c>
      <c r="I65" s="42" t="str">
        <f t="shared" si="5"/>
        <v>Aurora</v>
      </c>
      <c r="J65" s="42" t="str">
        <f t="array" ref="J65">XLOOKUP($E65,'Recipients REF'!$B:$B,'Recipients REF'!D:D,"",0)</f>
        <v>Deborah Valerozo</v>
      </c>
      <c r="K65" s="42" t="str">
        <f t="array" ref="K65">XLOOKUP($E65,'Recipients REF'!$B:$B,'Recipients REF'!E:E,"",0)</f>
        <v>0975-299-769</v>
      </c>
      <c r="L65" s="43" t="str">
        <f t="array" ref="L65">XLOOKUP($A65,'Recipients REF'!$A:$A,'Recipients REF'!F:F,"",0)</f>
        <v>RCEF 23-09-21 Rebidding</v>
      </c>
      <c r="M65" s="43">
        <f t="array" ref="M65">XLOOKUP($A65,'Recipients REF'!$A:$A,'Recipients REF'!G:G,"",0)</f>
        <v>3</v>
      </c>
      <c r="N65" s="43">
        <f t="array" ref="N65">XLOOKUP($A65,'Recipients REF'!$A:$A,'Recipients REF'!H:H,"",0)</f>
        <v>18897</v>
      </c>
      <c r="O65" s="44" t="s">
        <v>25</v>
      </c>
      <c r="P65" s="45" t="s">
        <v>26</v>
      </c>
      <c r="Q65" s="46" t="str">
        <f t="array" ref="Q65">XLOOKUP($A65,'Recipients REF'!$A:$A,'Recipients REF'!I:I,"",0)</f>
        <v>KMC 5825 AARFPV0654</v>
      </c>
      <c r="R65" s="47" t="str">
        <f t="array" ref="R65">XLOOKUP($A65,'Recipients REF'!$A:$A,'Recipients REF'!J:J,"",0)</f>
        <v>RTS 100541</v>
      </c>
      <c r="S65" s="45" t="s">
        <v>27</v>
      </c>
      <c r="T65" s="45" t="s">
        <v>28</v>
      </c>
      <c r="U65" s="46" t="str">
        <f t="array" ref="U65">XLOOKUP($A65,'Recipients REF'!$A:$A,'Recipients REF'!K:K,"",0)</f>
        <v>R SERIES 951 PH</v>
      </c>
      <c r="V65" s="44" t="s">
        <v>29</v>
      </c>
      <c r="W65" s="45" t="s">
        <v>30</v>
      </c>
      <c r="X65" s="47" t="str">
        <f t="array" ref="X65">XLOOKUP($A65,'Recipients REF'!$A:$A,'Recipients REF'!L:L,"",0)</f>
        <v>LSGW1750 RMP 24010103</v>
      </c>
      <c r="Y65" s="48" t="s">
        <v>29</v>
      </c>
      <c r="Z65" s="48" t="s">
        <v>31</v>
      </c>
      <c r="AA65" s="46" t="str">
        <f t="array" ref="AA65">XLOOKUP($A65,'Recipients REF'!$A:$A,'Recipients REF'!M:M,"",0)</f>
        <v>WDP40 RMP 24050643</v>
      </c>
      <c r="AB65" s="49"/>
      <c r="AC65" s="42"/>
      <c r="AD65" s="42"/>
      <c r="AE65" s="50"/>
      <c r="AF65" s="42"/>
      <c r="AG65" s="42"/>
      <c r="AH65" s="42"/>
      <c r="AI65" s="42">
        <f t="array" ref="AI65">XLOOKUP($E65,Sheet11!$D:$D,Sheet11!$X:$X,"",0)</f>
        <v>869066060245629</v>
      </c>
      <c r="AJ65" s="42">
        <f t="array" ref="AJ65">XLOOKUP($E65,Sheet11!$D:$D,Sheet11!$Y:$Y,"",0)</f>
        <v>9624681450</v>
      </c>
    </row>
    <row r="66">
      <c r="A66" s="41">
        <v>612.0</v>
      </c>
      <c r="B66" s="42" t="s">
        <v>153</v>
      </c>
      <c r="C66" s="42" t="s">
        <v>154</v>
      </c>
      <c r="D66" s="42"/>
      <c r="E66" s="42" t="str">
        <f t="shared" ref="E66:F66" si="67">PROPER(B66)</f>
        <v>Barangay Dibet Farmers Association (Bdfa)</v>
      </c>
      <c r="F66" s="42" t="str">
        <f t="shared" si="67"/>
        <v>Dibet, Casiguran, Aurora</v>
      </c>
      <c r="G66" s="42" t="str">
        <f t="shared" si="3"/>
        <v>Dibet</v>
      </c>
      <c r="H66" s="42" t="str">
        <f t="shared" si="4"/>
        <v>Casiguran</v>
      </c>
      <c r="I66" s="42" t="str">
        <f t="shared" si="5"/>
        <v>Aurora</v>
      </c>
      <c r="J66" s="42" t="str">
        <f t="array" ref="J66">XLOOKUP($E66,'Recipients REF'!$B:$B,'Recipients REF'!D:D,"",0)</f>
        <v>Albert G. Torre</v>
      </c>
      <c r="K66" s="42" t="str">
        <f t="array" ref="K66">XLOOKUP($E66,'Recipients REF'!$B:$B,'Recipients REF'!E:E,"",0)</f>
        <v>0951-998-1961</v>
      </c>
      <c r="L66" s="43" t="str">
        <f t="array" ref="L66">XLOOKUP($A66,'Recipients REF'!$A:$A,'Recipients REF'!F:F,"",0)</f>
        <v>RCEF 25-03-05</v>
      </c>
      <c r="M66" s="43">
        <f t="array" ref="M66">XLOOKUP($A66,'Recipients REF'!$A:$A,'Recipients REF'!G:G,"",0)</f>
        <v>5</v>
      </c>
      <c r="N66" s="43" t="str">
        <f t="array" ref="N66">XLOOKUP($A66,'Recipients REF'!$A:$A,'Recipients REF'!H:H,"",0)</f>
        <v>26201 &amp; 27814</v>
      </c>
      <c r="O66" s="44" t="s">
        <v>25</v>
      </c>
      <c r="P66" s="45" t="s">
        <v>26</v>
      </c>
      <c r="Q66" s="46" t="str">
        <f t="array" ref="Q66">XLOOKUP($A66,'Recipients REF'!$A:$A,'Recipients REF'!I:I,"",0)</f>
        <v>KMC5825 ACSFPV0348</v>
      </c>
      <c r="R66" s="53" t="str">
        <f t="array" ref="R66">XLOOKUP($A66,'Recipients REF'!$A:$A,'Recipients REF'!J:J,"",0)</f>
        <v>STS100357</v>
      </c>
      <c r="S66" s="45" t="s">
        <v>27</v>
      </c>
      <c r="T66" s="45" t="s">
        <v>28</v>
      </c>
      <c r="U66" s="46" t="str">
        <f t="array" ref="U66">XLOOKUP($A66,'Recipients REF'!$A:$A,'Recipients REF'!K:K,"",0)</f>
        <v>WR-SERIES 1379PH</v>
      </c>
      <c r="V66" s="44" t="s">
        <v>29</v>
      </c>
      <c r="W66" s="45" t="s">
        <v>30</v>
      </c>
      <c r="X66" s="53" t="str">
        <f t="array" ref="X66">XLOOKUP($A66,'Recipients REF'!$A:$A,'Recipients REF'!L:L,"",0)</f>
        <v>25090444</v>
      </c>
      <c r="Y66" s="48" t="s">
        <v>29</v>
      </c>
      <c r="Z66" s="48" t="s">
        <v>31</v>
      </c>
      <c r="AA66" s="54">
        <f t="array" ref="AA66">XLOOKUP($A66,'Recipients REF'!$A:$A,'Recipients REF'!M:M,"",0)</f>
        <v>25121377</v>
      </c>
      <c r="AB66" s="49"/>
      <c r="AC66" s="42"/>
      <c r="AD66" s="42"/>
      <c r="AE66" s="50"/>
      <c r="AF66" s="42"/>
      <c r="AG66" s="42"/>
      <c r="AH66" s="42"/>
      <c r="AI66" s="42" t="str">
        <f t="array" ref="AI66">XLOOKUP($E66,Sheet11!$D:$D,Sheet11!$X:$X,"",0)</f>
        <v/>
      </c>
      <c r="AJ66" s="42" t="str">
        <f t="array" ref="AJ66">XLOOKUP($E66,Sheet11!$D:$D,Sheet11!$Y:$Y,"",0)</f>
        <v/>
      </c>
    </row>
    <row r="67">
      <c r="A67" s="41">
        <v>613.0</v>
      </c>
      <c r="B67" s="42" t="s">
        <v>155</v>
      </c>
      <c r="C67" s="42" t="s">
        <v>156</v>
      </c>
      <c r="D67" s="42"/>
      <c r="E67" s="42" t="str">
        <f t="shared" ref="E67:F67" si="68">PROPER(B67)</f>
        <v>Calangcuasan Farmers Association</v>
      </c>
      <c r="F67" s="42" t="str">
        <f t="shared" si="68"/>
        <v>Calangcuasan, Casiguran, Aurora</v>
      </c>
      <c r="G67" s="42" t="str">
        <f t="shared" si="3"/>
        <v>Calangcuasan</v>
      </c>
      <c r="H67" s="42" t="str">
        <f t="shared" si="4"/>
        <v>Casiguran</v>
      </c>
      <c r="I67" s="42" t="str">
        <f t="shared" si="5"/>
        <v>Aurora</v>
      </c>
      <c r="J67" s="42" t="str">
        <f t="array" ref="J67">XLOOKUP($E67,'Recipients REF'!$B:$B,'Recipients REF'!D:D,"",0)</f>
        <v>Fernando A. Buena</v>
      </c>
      <c r="K67" s="42" t="str">
        <f t="array" ref="K67">XLOOKUP($E67,'Recipients REF'!$B:$B,'Recipients REF'!E:E,"",0)</f>
        <v>0945-477-9114/0912-859-3554</v>
      </c>
      <c r="L67" s="43" t="str">
        <f t="array" ref="L67">XLOOKUP($A67,'Recipients REF'!$A:$A,'Recipients REF'!F:F,"",0)</f>
        <v>RCEF 25-03-05</v>
      </c>
      <c r="M67" s="43">
        <f t="array" ref="M67">XLOOKUP($A67,'Recipients REF'!$A:$A,'Recipients REF'!G:G,"",0)</f>
        <v>5</v>
      </c>
      <c r="N67" s="43" t="str">
        <f t="array" ref="N67">XLOOKUP($A67,'Recipients REF'!$A:$A,'Recipients REF'!H:H,"",0)</f>
        <v>26203 &amp; 27815</v>
      </c>
      <c r="O67" s="44" t="s">
        <v>25</v>
      </c>
      <c r="P67" s="45" t="s">
        <v>26</v>
      </c>
      <c r="Q67" s="46" t="str">
        <f t="array" ref="Q67">XLOOKUP($A67,'Recipients REF'!$A:$A,'Recipients REF'!I:I,"",0)</f>
        <v>KMC5825 AASFPV0370</v>
      </c>
      <c r="R67" s="53" t="str">
        <f t="array" ref="R67">XLOOKUP($A67,'Recipients REF'!$A:$A,'Recipients REF'!J:J,"",0)</f>
        <v>STS100425</v>
      </c>
      <c r="S67" s="45" t="s">
        <v>27</v>
      </c>
      <c r="T67" s="45" t="s">
        <v>28</v>
      </c>
      <c r="U67" s="46" t="str">
        <f t="array" ref="U67">XLOOKUP($A67,'Recipients REF'!$A:$A,'Recipients REF'!K:K,"",0)</f>
        <v>WR-SERIES 1380PH</v>
      </c>
      <c r="V67" s="44" t="s">
        <v>29</v>
      </c>
      <c r="W67" s="45" t="s">
        <v>30</v>
      </c>
      <c r="X67" s="53" t="str">
        <f t="array" ref="X67">XLOOKUP($A67,'Recipients REF'!$A:$A,'Recipients REF'!L:L,"",0)</f>
        <v>25090471</v>
      </c>
      <c r="Y67" s="48" t="s">
        <v>29</v>
      </c>
      <c r="Z67" s="48" t="s">
        <v>31</v>
      </c>
      <c r="AA67" s="54">
        <f t="array" ref="AA67">XLOOKUP($A67,'Recipients REF'!$A:$A,'Recipients REF'!M:M,"",0)</f>
        <v>25121378</v>
      </c>
      <c r="AB67" s="49"/>
      <c r="AC67" s="42"/>
      <c r="AD67" s="42"/>
      <c r="AE67" s="50"/>
      <c r="AF67" s="42"/>
      <c r="AG67" s="42"/>
      <c r="AH67" s="42"/>
      <c r="AI67" s="42" t="str">
        <f t="array" ref="AI67">XLOOKUP($E67,Sheet11!$D:$D,Sheet11!$X:$X,"",0)</f>
        <v/>
      </c>
      <c r="AJ67" s="42" t="str">
        <f t="array" ref="AJ67">XLOOKUP($E67,Sheet11!$D:$D,Sheet11!$Y:$Y,"",0)</f>
        <v/>
      </c>
    </row>
    <row r="68">
      <c r="A68" s="41">
        <v>614.0</v>
      </c>
      <c r="B68" s="42" t="s">
        <v>157</v>
      </c>
      <c r="C68" s="42" t="s">
        <v>158</v>
      </c>
      <c r="D68" s="42"/>
      <c r="E68" s="42" t="str">
        <f t="shared" ref="E68:F68" si="69">PROPER(B68)</f>
        <v>Calantas Palaycheck Farmers Association</v>
      </c>
      <c r="F68" s="42" t="str">
        <f t="shared" si="69"/>
        <v>Calantas, Casiguran, Aurora</v>
      </c>
      <c r="G68" s="42" t="str">
        <f t="shared" si="3"/>
        <v>Calantas</v>
      </c>
      <c r="H68" s="42" t="str">
        <f t="shared" si="4"/>
        <v>Casiguran</v>
      </c>
      <c r="I68" s="42" t="str">
        <f t="shared" si="5"/>
        <v>Aurora</v>
      </c>
      <c r="J68" s="42" t="str">
        <f t="array" ref="J68">XLOOKUP($E68,'Recipients REF'!$B:$B,'Recipients REF'!D:D,"",0)</f>
        <v>Christopher Roxas</v>
      </c>
      <c r="K68" s="42" t="str">
        <f t="array" ref="K68">XLOOKUP($E68,'Recipients REF'!$B:$B,'Recipients REF'!E:E,"",0)</f>
        <v>0920-317-6363</v>
      </c>
      <c r="L68" s="43" t="str">
        <f t="array" ref="L68">XLOOKUP($A68,'Recipients REF'!$A:$A,'Recipients REF'!F:F,"",0)</f>
        <v>RCEF 25-03-05</v>
      </c>
      <c r="M68" s="43">
        <f t="array" ref="M68">XLOOKUP($A68,'Recipients REF'!$A:$A,'Recipients REF'!G:G,"",0)</f>
        <v>5</v>
      </c>
      <c r="N68" s="43" t="str">
        <f t="array" ref="N68">XLOOKUP($A68,'Recipients REF'!$A:$A,'Recipients REF'!H:H,"",0)</f>
        <v>26204 &amp; 27816</v>
      </c>
      <c r="O68" s="44" t="s">
        <v>25</v>
      </c>
      <c r="P68" s="45" t="s">
        <v>26</v>
      </c>
      <c r="Q68" s="46" t="str">
        <f t="array" ref="Q68">XLOOKUP($A68,'Recipients REF'!$A:$A,'Recipients REF'!I:I,"",0)</f>
        <v>KMC5825 ALSFPV0371</v>
      </c>
      <c r="R68" s="53" t="str">
        <f t="array" ref="R68">XLOOKUP($A68,'Recipients REF'!$A:$A,'Recipients REF'!J:J,"",0)</f>
        <v>STS100420</v>
      </c>
      <c r="S68" s="45" t="s">
        <v>27</v>
      </c>
      <c r="T68" s="45" t="s">
        <v>28</v>
      </c>
      <c r="U68" s="46" t="str">
        <f t="array" ref="U68">XLOOKUP($A68,'Recipients REF'!$A:$A,'Recipients REF'!K:K,"",0)</f>
        <v>WR-SERIES 1381PH</v>
      </c>
      <c r="V68" s="44" t="s">
        <v>29</v>
      </c>
      <c r="W68" s="45" t="s">
        <v>30</v>
      </c>
      <c r="X68" s="53" t="str">
        <f t="array" ref="X68">XLOOKUP($A68,'Recipients REF'!$A:$A,'Recipients REF'!L:L,"",0)</f>
        <v>25090453</v>
      </c>
      <c r="Y68" s="48" t="s">
        <v>29</v>
      </c>
      <c r="Z68" s="48" t="s">
        <v>31</v>
      </c>
      <c r="AA68" s="54">
        <f t="array" ref="AA68">XLOOKUP($A68,'Recipients REF'!$A:$A,'Recipients REF'!M:M,"",0)</f>
        <v>25121379</v>
      </c>
      <c r="AB68" s="49"/>
      <c r="AC68" s="42"/>
      <c r="AD68" s="42"/>
      <c r="AE68" s="50"/>
      <c r="AF68" s="42"/>
      <c r="AG68" s="42"/>
      <c r="AH68" s="42"/>
      <c r="AI68" s="42" t="str">
        <f t="array" ref="AI68">XLOOKUP($E68,Sheet11!$D:$D,Sheet11!$X:$X,"",0)</f>
        <v/>
      </c>
      <c r="AJ68" s="42" t="str">
        <f t="array" ref="AJ68">XLOOKUP($E68,Sheet11!$D:$D,Sheet11!$Y:$Y,"",0)</f>
        <v/>
      </c>
    </row>
    <row r="69">
      <c r="A69" s="41">
        <v>615.0</v>
      </c>
      <c r="B69" s="42" t="s">
        <v>159</v>
      </c>
      <c r="C69" s="42" t="s">
        <v>160</v>
      </c>
      <c r="D69" s="42"/>
      <c r="E69" s="42" t="str">
        <f t="shared" ref="E69:F69" si="70">PROPER(B69)</f>
        <v>Cozo Proper Farmers Association</v>
      </c>
      <c r="F69" s="42" t="str">
        <f t="shared" si="70"/>
        <v>Cozo, Casiguran, Aurora</v>
      </c>
      <c r="G69" s="42" t="str">
        <f t="shared" si="3"/>
        <v>Cozo</v>
      </c>
      <c r="H69" s="42" t="str">
        <f t="shared" si="4"/>
        <v>Casiguran</v>
      </c>
      <c r="I69" s="42" t="str">
        <f t="shared" si="5"/>
        <v>Aurora</v>
      </c>
      <c r="J69" s="42" t="str">
        <f t="array" ref="J69">XLOOKUP($E69,'Recipients REF'!$B:$B,'Recipients REF'!D:D,"",0)</f>
        <v>Ferdinand C. Torre</v>
      </c>
      <c r="K69" s="42" t="str">
        <f t="array" ref="K69">XLOOKUP($E69,'Recipients REF'!$B:$B,'Recipients REF'!E:E,"",0)</f>
        <v>0921-251-2975 / 0999-740-5320</v>
      </c>
      <c r="L69" s="43" t="str">
        <f t="array" ref="L69">XLOOKUP($A69,'Recipients REF'!$A:$A,'Recipients REF'!F:F,"",0)</f>
        <v>RCEF 25-03-05</v>
      </c>
      <c r="M69" s="43">
        <f t="array" ref="M69">XLOOKUP($A69,'Recipients REF'!$A:$A,'Recipients REF'!G:G,"",0)</f>
        <v>5</v>
      </c>
      <c r="N69" s="43" t="str">
        <f t="array" ref="N69">XLOOKUP($A69,'Recipients REF'!$A:$A,'Recipients REF'!H:H,"",0)</f>
        <v>26205 &amp; 27817</v>
      </c>
      <c r="O69" s="44" t="s">
        <v>25</v>
      </c>
      <c r="P69" s="45" t="s">
        <v>26</v>
      </c>
      <c r="Q69" s="46" t="str">
        <f t="array" ref="Q69">XLOOKUP($A69,'Recipients REF'!$A:$A,'Recipients REF'!I:I,"",0)</f>
        <v>KMC5825 AHSFPV0307</v>
      </c>
      <c r="R69" s="53" t="str">
        <f t="array" ref="R69">XLOOKUP($A69,'Recipients REF'!$A:$A,'Recipients REF'!J:J,"",0)</f>
        <v>STS100313</v>
      </c>
      <c r="S69" s="45" t="s">
        <v>27</v>
      </c>
      <c r="T69" s="45" t="s">
        <v>28</v>
      </c>
      <c r="U69" s="46" t="str">
        <f t="array" ref="U69">XLOOKUP($A69,'Recipients REF'!$A:$A,'Recipients REF'!K:K,"",0)</f>
        <v>WR-SERIES 1382PH</v>
      </c>
      <c r="V69" s="44" t="s">
        <v>29</v>
      </c>
      <c r="W69" s="45" t="s">
        <v>30</v>
      </c>
      <c r="X69" s="53" t="str">
        <f t="array" ref="X69">XLOOKUP($A69,'Recipients REF'!$A:$A,'Recipients REF'!L:L,"",0)</f>
        <v>25090455</v>
      </c>
      <c r="Y69" s="48" t="s">
        <v>29</v>
      </c>
      <c r="Z69" s="48" t="s">
        <v>31</v>
      </c>
      <c r="AA69" s="54">
        <f t="array" ref="AA69">XLOOKUP($A69,'Recipients REF'!$A:$A,'Recipients REF'!M:M,"",0)</f>
        <v>25121380</v>
      </c>
      <c r="AB69" s="49"/>
      <c r="AC69" s="42"/>
      <c r="AD69" s="42"/>
      <c r="AE69" s="50"/>
      <c r="AF69" s="42"/>
      <c r="AG69" s="42"/>
      <c r="AH69" s="42"/>
      <c r="AI69" s="42" t="str">
        <f t="array" ref="AI69">XLOOKUP($E69,Sheet11!$D:$D,Sheet11!$X:$X,"",0)</f>
        <v/>
      </c>
      <c r="AJ69" s="42" t="str">
        <f t="array" ref="AJ69">XLOOKUP($E69,Sheet11!$D:$D,Sheet11!$Y:$Y,"",0)</f>
        <v/>
      </c>
    </row>
    <row r="70">
      <c r="A70" s="41">
        <v>616.0</v>
      </c>
      <c r="B70" s="42" t="s">
        <v>161</v>
      </c>
      <c r="C70" s="42" t="s">
        <v>162</v>
      </c>
      <c r="D70" s="42"/>
      <c r="E70" s="42" t="str">
        <f t="shared" ref="E70:F70" si="71">PROPER(B70)</f>
        <v>Municipal Local Government Unit Of Dipaculao</v>
      </c>
      <c r="F70" s="42" t="str">
        <f t="shared" si="71"/>
        <v>North Poblacion, Dipaculao, Aurora</v>
      </c>
      <c r="G70" s="42" t="str">
        <f t="shared" si="3"/>
        <v>North Poblacion</v>
      </c>
      <c r="H70" s="42" t="str">
        <f t="shared" si="4"/>
        <v>Dipaculao</v>
      </c>
      <c r="I70" s="42" t="str">
        <f t="shared" si="5"/>
        <v>Aurora</v>
      </c>
      <c r="J70" s="42" t="str">
        <f t="array" ref="J70">XLOOKUP($E70,'Recipients REF'!$B:$B,'Recipients REF'!D:D,"",0)</f>
        <v>Hon. Danilo A. Tolentino</v>
      </c>
      <c r="K70" s="42" t="str">
        <f t="array" ref="K70">XLOOKUP($E70,'Recipients REF'!$B:$B,'Recipients REF'!E:E,"",0)</f>
        <v>0930-500-4539</v>
      </c>
      <c r="L70" s="43" t="str">
        <f t="array" ref="L70">XLOOKUP($A70,'Recipients REF'!$A:$A,'Recipients REF'!F:F,"",0)</f>
        <v>RCEF 25-03-05</v>
      </c>
      <c r="M70" s="43">
        <f t="array" ref="M70">XLOOKUP($A70,'Recipients REF'!$A:$A,'Recipients REF'!G:G,"",0)</f>
        <v>5</v>
      </c>
      <c r="N70" s="43" t="str">
        <f t="array" ref="N70">XLOOKUP($A70,'Recipients REF'!$A:$A,'Recipients REF'!H:H,"",0)</f>
        <v>26206 &amp; 27818</v>
      </c>
      <c r="O70" s="44" t="s">
        <v>25</v>
      </c>
      <c r="P70" s="45" t="s">
        <v>26</v>
      </c>
      <c r="Q70" s="46" t="str">
        <f t="array" ref="Q70">XLOOKUP($A70,'Recipients REF'!$A:$A,'Recipients REF'!I:I,"",0)</f>
        <v>KMC5825 ALSFPV0337</v>
      </c>
      <c r="R70" s="53" t="str">
        <f t="array" ref="R70">XLOOKUP($A70,'Recipients REF'!$A:$A,'Recipients REF'!J:J,"",0)</f>
        <v>STS100358</v>
      </c>
      <c r="S70" s="45" t="s">
        <v>27</v>
      </c>
      <c r="T70" s="45" t="s">
        <v>28</v>
      </c>
      <c r="U70" s="46" t="str">
        <f t="array" ref="U70">XLOOKUP($A70,'Recipients REF'!$A:$A,'Recipients REF'!K:K,"",0)</f>
        <v>WR-SERIES 1383PH</v>
      </c>
      <c r="V70" s="44" t="s">
        <v>29</v>
      </c>
      <c r="W70" s="45" t="s">
        <v>30</v>
      </c>
      <c r="X70" s="53" t="str">
        <f t="array" ref="X70">XLOOKUP($A70,'Recipients REF'!$A:$A,'Recipients REF'!L:L,"",0)</f>
        <v>25080410</v>
      </c>
      <c r="Y70" s="48" t="s">
        <v>29</v>
      </c>
      <c r="Z70" s="48" t="s">
        <v>31</v>
      </c>
      <c r="AA70" s="54">
        <f t="array" ref="AA70">XLOOKUP($A70,'Recipients REF'!$A:$A,'Recipients REF'!M:M,"",0)</f>
        <v>25121381</v>
      </c>
      <c r="AB70" s="49"/>
      <c r="AC70" s="42"/>
      <c r="AD70" s="42"/>
      <c r="AE70" s="50"/>
      <c r="AF70" s="42"/>
      <c r="AG70" s="42"/>
      <c r="AH70" s="42"/>
      <c r="AI70" s="42" t="str">
        <f t="array" ref="AI70">XLOOKUP($E70,Sheet11!$D:$D,Sheet11!$X:$X,"",0)</f>
        <v/>
      </c>
      <c r="AJ70" s="42" t="str">
        <f t="array" ref="AJ70">XLOOKUP($E70,Sheet11!$D:$D,Sheet11!$Y:$Y,"",0)</f>
        <v/>
      </c>
    </row>
    <row r="71">
      <c r="A71" s="41">
        <v>617.0</v>
      </c>
      <c r="B71" s="42" t="s">
        <v>163</v>
      </c>
      <c r="C71" s="42" t="s">
        <v>164</v>
      </c>
      <c r="D71" s="42"/>
      <c r="E71" s="42" t="str">
        <f t="shared" ref="E71:F71" si="72">PROPER(B71)</f>
        <v>Dimanpudso Farmers Association</v>
      </c>
      <c r="F71" s="42" t="str">
        <f t="shared" si="72"/>
        <v>Dimanpudso, Maria Aurora, Aurora</v>
      </c>
      <c r="G71" s="42" t="str">
        <f t="shared" si="3"/>
        <v>Dimanpudso</v>
      </c>
      <c r="H71" s="42" t="str">
        <f t="shared" si="4"/>
        <v>Maria Aurora</v>
      </c>
      <c r="I71" s="42" t="str">
        <f t="shared" si="5"/>
        <v>Aurora</v>
      </c>
      <c r="J71" s="42" t="str">
        <f t="array" ref="J71">XLOOKUP($E71,'Recipients REF'!$B:$B,'Recipients REF'!D:D,"",0)</f>
        <v>Reynaldo C. Abrero</v>
      </c>
      <c r="K71" s="42" t="str">
        <f t="array" ref="K71">XLOOKUP($E71,'Recipients REF'!$B:$B,'Recipients REF'!E:E,"",0)</f>
        <v>0919-001-1023</v>
      </c>
      <c r="L71" s="43" t="str">
        <f t="array" ref="L71">XLOOKUP($A71,'Recipients REF'!$A:$A,'Recipients REF'!F:F,"",0)</f>
        <v>RCEF 25-03-05</v>
      </c>
      <c r="M71" s="43">
        <f t="array" ref="M71">XLOOKUP($A71,'Recipients REF'!$A:$A,'Recipients REF'!G:G,"",0)</f>
        <v>5</v>
      </c>
      <c r="N71" s="43" t="str">
        <f t="array" ref="N71">XLOOKUP($A71,'Recipients REF'!$A:$A,'Recipients REF'!H:H,"",0)</f>
        <v>26207 &amp; 27819</v>
      </c>
      <c r="O71" s="44" t="s">
        <v>25</v>
      </c>
      <c r="P71" s="45" t="s">
        <v>26</v>
      </c>
      <c r="Q71" s="46" t="str">
        <f t="array" ref="Q71">XLOOKUP($A71,'Recipients REF'!$A:$A,'Recipients REF'!I:I,"",0)</f>
        <v>KMC5825 APSFPV0250</v>
      </c>
      <c r="R71" s="53" t="str">
        <f t="array" ref="R71">XLOOKUP($A71,'Recipients REF'!$A:$A,'Recipients REF'!J:J,"",0)</f>
        <v>STS100272</v>
      </c>
      <c r="S71" s="45" t="s">
        <v>27</v>
      </c>
      <c r="T71" s="45" t="s">
        <v>28</v>
      </c>
      <c r="U71" s="46" t="str">
        <f t="array" ref="U71">XLOOKUP($A71,'Recipients REF'!$A:$A,'Recipients REF'!K:K,"",0)</f>
        <v>WR-SERIES 1384PH</v>
      </c>
      <c r="V71" s="44" t="s">
        <v>29</v>
      </c>
      <c r="W71" s="45" t="s">
        <v>30</v>
      </c>
      <c r="X71" s="53" t="str">
        <f t="array" ref="X71">XLOOKUP($A71,'Recipients REF'!$A:$A,'Recipients REF'!L:L,"",0)</f>
        <v>25080428</v>
      </c>
      <c r="Y71" s="48" t="s">
        <v>29</v>
      </c>
      <c r="Z71" s="48" t="s">
        <v>31</v>
      </c>
      <c r="AA71" s="54">
        <f t="array" ref="AA71">XLOOKUP($A71,'Recipients REF'!$A:$A,'Recipients REF'!M:M,"",0)</f>
        <v>25121382</v>
      </c>
      <c r="AB71" s="49"/>
      <c r="AC71" s="42"/>
      <c r="AD71" s="42"/>
      <c r="AE71" s="50"/>
      <c r="AF71" s="42"/>
      <c r="AG71" s="42"/>
      <c r="AH71" s="42"/>
      <c r="AI71" s="42" t="str">
        <f t="array" ref="AI71">XLOOKUP($E71,Sheet11!$D:$D,Sheet11!$X:$X,"",0)</f>
        <v/>
      </c>
      <c r="AJ71" s="42" t="str">
        <f t="array" ref="AJ71">XLOOKUP($E71,Sheet11!$D:$D,Sheet11!$Y:$Y,"",0)</f>
        <v/>
      </c>
    </row>
    <row r="72">
      <c r="A72" s="41">
        <v>618.0</v>
      </c>
      <c r="B72" s="42" t="s">
        <v>165</v>
      </c>
      <c r="C72" s="42" t="s">
        <v>166</v>
      </c>
      <c r="D72" s="42"/>
      <c r="E72" s="42" t="str">
        <f t="shared" ref="E72:F72" si="73">PROPER(B72)</f>
        <v>Diome Farmers Association</v>
      </c>
      <c r="F72" s="42" t="str">
        <f t="shared" si="73"/>
        <v>Diome, Maria Aurora, Aurora</v>
      </c>
      <c r="G72" s="42" t="str">
        <f t="shared" si="3"/>
        <v>Diome</v>
      </c>
      <c r="H72" s="42" t="str">
        <f t="shared" si="4"/>
        <v>Maria Aurora</v>
      </c>
      <c r="I72" s="42" t="str">
        <f t="shared" si="5"/>
        <v>Aurora</v>
      </c>
      <c r="J72" s="42" t="str">
        <f t="array" ref="J72">XLOOKUP($E72,'Recipients REF'!$B:$B,'Recipients REF'!D:D,"",0)</f>
        <v>Perlita A. Abaco</v>
      </c>
      <c r="K72" s="42" t="str">
        <f t="array" ref="K72">XLOOKUP($E72,'Recipients REF'!$B:$B,'Recipients REF'!E:E,"",0)</f>
        <v>0907-753-1995</v>
      </c>
      <c r="L72" s="43" t="str">
        <f t="array" ref="L72">XLOOKUP($A72,'Recipients REF'!$A:$A,'Recipients REF'!F:F,"",0)</f>
        <v>RCEF 25-03-05</v>
      </c>
      <c r="M72" s="43">
        <f t="array" ref="M72">XLOOKUP($A72,'Recipients REF'!$A:$A,'Recipients REF'!G:G,"",0)</f>
        <v>5</v>
      </c>
      <c r="N72" s="43" t="str">
        <f t="array" ref="N72">XLOOKUP($A72,'Recipients REF'!$A:$A,'Recipients REF'!H:H,"",0)</f>
        <v>26208 &amp; 27820</v>
      </c>
      <c r="O72" s="44" t="s">
        <v>25</v>
      </c>
      <c r="P72" s="45" t="s">
        <v>26</v>
      </c>
      <c r="Q72" s="46" t="str">
        <f t="array" ref="Q72">XLOOKUP($A72,'Recipients REF'!$A:$A,'Recipients REF'!I:I,"",0)</f>
        <v>KMC5825 AKSFPV0184</v>
      </c>
      <c r="R72" s="53" t="str">
        <f t="array" ref="R72">XLOOKUP($A72,'Recipients REF'!$A:$A,'Recipients REF'!J:J,"",0)</f>
        <v>STS100215</v>
      </c>
      <c r="S72" s="45" t="s">
        <v>27</v>
      </c>
      <c r="T72" s="45" t="s">
        <v>28</v>
      </c>
      <c r="U72" s="46" t="str">
        <f t="array" ref="U72">XLOOKUP($A72,'Recipients REF'!$A:$A,'Recipients REF'!K:K,"",0)</f>
        <v>WR-SERIES 1385PH</v>
      </c>
      <c r="V72" s="44" t="s">
        <v>29</v>
      </c>
      <c r="W72" s="45" t="s">
        <v>30</v>
      </c>
      <c r="X72" s="53" t="str">
        <f t="array" ref="X72">XLOOKUP($A72,'Recipients REF'!$A:$A,'Recipients REF'!L:L,"",0)</f>
        <v>25080328</v>
      </c>
      <c r="Y72" s="48" t="s">
        <v>29</v>
      </c>
      <c r="Z72" s="48" t="s">
        <v>31</v>
      </c>
      <c r="AA72" s="54">
        <f t="array" ref="AA72">XLOOKUP($A72,'Recipients REF'!$A:$A,'Recipients REF'!M:M,"",0)</f>
        <v>25121383</v>
      </c>
      <c r="AB72" s="49"/>
      <c r="AC72" s="42"/>
      <c r="AD72" s="42"/>
      <c r="AE72" s="50"/>
      <c r="AF72" s="42"/>
      <c r="AG72" s="42"/>
      <c r="AH72" s="42"/>
      <c r="AI72" s="42" t="str">
        <f t="array" ref="AI72">XLOOKUP($E72,Sheet11!$D:$D,Sheet11!$X:$X,"",0)</f>
        <v/>
      </c>
      <c r="AJ72" s="42" t="str">
        <f t="array" ref="AJ72">XLOOKUP($E72,Sheet11!$D:$D,Sheet11!$Y:$Y,"",0)</f>
        <v/>
      </c>
    </row>
    <row r="73">
      <c r="A73" s="41">
        <v>619.0</v>
      </c>
      <c r="B73" s="42" t="s">
        <v>167</v>
      </c>
      <c r="C73" s="42" t="s">
        <v>168</v>
      </c>
      <c r="D73" s="42"/>
      <c r="E73" s="42" t="str">
        <f t="shared" ref="E73:F73" si="74">PROPER(B73)</f>
        <v>Municipal Local Government Unit Of Maria Aurora</v>
      </c>
      <c r="F73" s="42" t="str">
        <f t="shared" si="74"/>
        <v>Barangay Iii (Pob.), Maria Aurora, Aurora</v>
      </c>
      <c r="G73" s="42" t="str">
        <f t="shared" si="3"/>
        <v>Barangay Iii (Pob.)</v>
      </c>
      <c r="H73" s="42" t="str">
        <f t="shared" si="4"/>
        <v>Maria Aurora</v>
      </c>
      <c r="I73" s="42" t="str">
        <f t="shared" si="5"/>
        <v>Aurora</v>
      </c>
      <c r="J73" s="42" t="str">
        <f t="array" ref="J73">XLOOKUP($E73,'Recipients REF'!$B:$B,'Recipients REF'!D:D,"",0)</f>
        <v>Hon. Ariel S. Bitong/ Engr. John Gerald L. Prado</v>
      </c>
      <c r="K73" s="42" t="str">
        <f t="array" ref="K73">XLOOKUP($E73,'Recipients REF'!$B:$B,'Recipients REF'!E:E,"",0)</f>
        <v>0917-150-8929</v>
      </c>
      <c r="L73" s="43" t="str">
        <f t="array" ref="L73">XLOOKUP($A73,'Recipients REF'!$A:$A,'Recipients REF'!F:F,"",0)</f>
        <v>RCEF 25-03-05</v>
      </c>
      <c r="M73" s="43">
        <f t="array" ref="M73">XLOOKUP($A73,'Recipients REF'!$A:$A,'Recipients REF'!G:G,"",0)</f>
        <v>5</v>
      </c>
      <c r="N73" s="43" t="str">
        <f t="array" ref="N73">XLOOKUP($A73,'Recipients REF'!$A:$A,'Recipients REF'!H:H,"",0)</f>
        <v>26209 &amp; 27821</v>
      </c>
      <c r="O73" s="44" t="s">
        <v>25</v>
      </c>
      <c r="P73" s="45" t="s">
        <v>26</v>
      </c>
      <c r="Q73" s="46" t="str">
        <f t="array" ref="Q73">XLOOKUP($A73,'Recipients REF'!$A:$A,'Recipients REF'!I:I,"",0)</f>
        <v>KMC5825 AJSFPV0185</v>
      </c>
      <c r="R73" s="53" t="str">
        <f t="array" ref="R73">XLOOKUP($A73,'Recipients REF'!$A:$A,'Recipients REF'!J:J,"",0)</f>
        <v>STS100216</v>
      </c>
      <c r="S73" s="45" t="s">
        <v>27</v>
      </c>
      <c r="T73" s="45" t="s">
        <v>28</v>
      </c>
      <c r="U73" s="46" t="str">
        <f t="array" ref="U73">XLOOKUP($A73,'Recipients REF'!$A:$A,'Recipients REF'!K:K,"",0)</f>
        <v>WR-SERIES 1386PH</v>
      </c>
      <c r="V73" s="44" t="s">
        <v>29</v>
      </c>
      <c r="W73" s="45" t="s">
        <v>30</v>
      </c>
      <c r="X73" s="53" t="str">
        <f t="array" ref="X73">XLOOKUP($A73,'Recipients REF'!$A:$A,'Recipients REF'!L:L,"",0)</f>
        <v>25080347</v>
      </c>
      <c r="Y73" s="48" t="s">
        <v>29</v>
      </c>
      <c r="Z73" s="48" t="s">
        <v>31</v>
      </c>
      <c r="AA73" s="54">
        <f t="array" ref="AA73">XLOOKUP($A73,'Recipients REF'!$A:$A,'Recipients REF'!M:M,"",0)</f>
        <v>25121384</v>
      </c>
      <c r="AB73" s="49"/>
      <c r="AC73" s="42"/>
      <c r="AD73" s="42"/>
      <c r="AE73" s="50"/>
      <c r="AF73" s="42"/>
      <c r="AG73" s="42"/>
      <c r="AH73" s="42"/>
      <c r="AI73" s="42" t="str">
        <f t="array" ref="AI73">XLOOKUP($E73,Sheet11!$D:$D,Sheet11!$X:$X,"",0)</f>
        <v/>
      </c>
      <c r="AJ73" s="42" t="str">
        <f t="array" ref="AJ73">XLOOKUP($E73,Sheet11!$D:$D,Sheet11!$Y:$Y,"",0)</f>
        <v/>
      </c>
    </row>
    <row r="74">
      <c r="A74" s="41">
        <v>620.0</v>
      </c>
      <c r="B74" s="42" t="s">
        <v>169</v>
      </c>
      <c r="C74" s="42" t="s">
        <v>170</v>
      </c>
      <c r="D74" s="42"/>
      <c r="E74" s="42" t="str">
        <f t="shared" ref="E74:F74" si="75">PROPER(B74)</f>
        <v>Aurora Federation Of Farmers And Irrigators Association, Inc.</v>
      </c>
      <c r="F74" s="42" t="str">
        <f t="shared" si="75"/>
        <v>Barangay Iv (Pob.), San Luis, Aurora</v>
      </c>
      <c r="G74" s="42" t="str">
        <f t="shared" si="3"/>
        <v>Barangay Iv (Pob.)</v>
      </c>
      <c r="H74" s="42" t="str">
        <f t="shared" si="4"/>
        <v>San Luis</v>
      </c>
      <c r="I74" s="42" t="str">
        <f t="shared" si="5"/>
        <v>Aurora</v>
      </c>
      <c r="J74" s="42" t="str">
        <f t="array" ref="J74">XLOOKUP($E74,'Recipients REF'!$B:$B,'Recipients REF'!D:D,"",0)</f>
        <v>Antonio E. Cada, Sr.</v>
      </c>
      <c r="K74" s="42" t="str">
        <f t="array" ref="K74">XLOOKUP($E74,'Recipients REF'!$B:$B,'Recipients REF'!E:E,"",0)</f>
        <v>0948-883-3971</v>
      </c>
      <c r="L74" s="43" t="str">
        <f t="array" ref="L74">XLOOKUP($A74,'Recipients REF'!$A:$A,'Recipients REF'!F:F,"",0)</f>
        <v>RCEF 25-03-05</v>
      </c>
      <c r="M74" s="43">
        <f t="array" ref="M74">XLOOKUP($A74,'Recipients REF'!$A:$A,'Recipients REF'!G:G,"",0)</f>
        <v>5</v>
      </c>
      <c r="N74" s="43" t="str">
        <f t="array" ref="N74">XLOOKUP($A74,'Recipients REF'!$A:$A,'Recipients REF'!H:H,"",0)</f>
        <v>26210 &amp; 27822</v>
      </c>
      <c r="O74" s="44" t="s">
        <v>25</v>
      </c>
      <c r="P74" s="45" t="s">
        <v>26</v>
      </c>
      <c r="Q74" s="46" t="str">
        <f t="array" ref="Q74">XLOOKUP($A74,'Recipients REF'!$A:$A,'Recipients REF'!I:I,"",0)</f>
        <v>KMC5825 AESFPV0244</v>
      </c>
      <c r="R74" s="53" t="str">
        <f t="array" ref="R74">XLOOKUP($A74,'Recipients REF'!$A:$A,'Recipients REF'!J:J,"",0)</f>
        <v>STS100250</v>
      </c>
      <c r="S74" s="45" t="s">
        <v>27</v>
      </c>
      <c r="T74" s="45" t="s">
        <v>28</v>
      </c>
      <c r="U74" s="46" t="str">
        <f t="array" ref="U74">XLOOKUP($A74,'Recipients REF'!$A:$A,'Recipients REF'!K:K,"",0)</f>
        <v>WR-SERIES 1387PH</v>
      </c>
      <c r="V74" s="44" t="s">
        <v>29</v>
      </c>
      <c r="W74" s="45" t="s">
        <v>30</v>
      </c>
      <c r="X74" s="53" t="str">
        <f t="array" ref="X74">XLOOKUP($A74,'Recipients REF'!$A:$A,'Recipients REF'!L:L,"",0)</f>
        <v>25080437</v>
      </c>
      <c r="Y74" s="48" t="s">
        <v>29</v>
      </c>
      <c r="Z74" s="48" t="s">
        <v>31</v>
      </c>
      <c r="AA74" s="54">
        <f t="array" ref="AA74">XLOOKUP($A74,'Recipients REF'!$A:$A,'Recipients REF'!M:M,"",0)</f>
        <v>25121385</v>
      </c>
      <c r="AB74" s="49"/>
      <c r="AC74" s="42"/>
      <c r="AD74" s="42"/>
      <c r="AE74" s="50"/>
      <c r="AF74" s="42"/>
      <c r="AG74" s="42"/>
      <c r="AH74" s="42"/>
      <c r="AI74" s="42" t="str">
        <f t="array" ref="AI74">XLOOKUP($E74,Sheet11!$D:$D,Sheet11!$X:$X,"",0)</f>
        <v/>
      </c>
      <c r="AJ74" s="42" t="str">
        <f t="array" ref="AJ74">XLOOKUP($E74,Sheet11!$D:$D,Sheet11!$Y:$Y,"",0)</f>
        <v/>
      </c>
    </row>
    <row r="75">
      <c r="A75" s="41">
        <v>136.0</v>
      </c>
      <c r="B75" s="42" t="s">
        <v>171</v>
      </c>
      <c r="C75" s="42" t="s">
        <v>172</v>
      </c>
      <c r="D75" s="42"/>
      <c r="E75" s="42" t="str">
        <f t="shared" ref="E75:F75" si="76">PROPER(B75)</f>
        <v>Municipal Local Government Unit Of Abucay</v>
      </c>
      <c r="F75" s="42" t="str">
        <f t="shared" si="76"/>
        <v>Calaylayan (Pob.), Abucay, Bataan</v>
      </c>
      <c r="G75" s="42" t="str">
        <f t="shared" si="3"/>
        <v>Calaylayan (Pob.)</v>
      </c>
      <c r="H75" s="42" t="str">
        <f t="shared" si="4"/>
        <v>Abucay</v>
      </c>
      <c r="I75" s="42" t="str">
        <f t="shared" si="5"/>
        <v>Bataan</v>
      </c>
      <c r="J75" s="42" t="str">
        <f t="array" ref="J75">XLOOKUP($E75,'Recipients REF'!$B:$B,'Recipients REF'!D:D,"",0)</f>
        <v>Mayor- Liberato P. Santiago Jr./ MA- Eraño Marabe</v>
      </c>
      <c r="K75" s="42" t="str">
        <f t="array" ref="K75">XLOOKUP($E75,'Recipients REF'!$B:$B,'Recipients REF'!E:E,"",0)</f>
        <v>0918-587-3906</v>
      </c>
      <c r="L75" s="43" t="str">
        <f t="array" ref="L75">XLOOKUP($A75,'Recipients REF'!$A:$A,'Recipients REF'!F:F,"",0)</f>
        <v>RCEF 23-09-21 Rebidding</v>
      </c>
      <c r="M75" s="43">
        <f t="array" ref="M75">XLOOKUP($A75,'Recipients REF'!$A:$A,'Recipients REF'!G:G,"",0)</f>
        <v>3</v>
      </c>
      <c r="N75" s="43">
        <f t="array" ref="N75">XLOOKUP($A75,'Recipients REF'!$A:$A,'Recipients REF'!H:H,"",0)</f>
        <v>17872</v>
      </c>
      <c r="O75" s="44" t="s">
        <v>25</v>
      </c>
      <c r="P75" s="45" t="s">
        <v>26</v>
      </c>
      <c r="Q75" s="46" t="str">
        <f t="array" ref="Q75">XLOOKUP($A75,'Recipients REF'!$A:$A,'Recipients REF'!I:I,"",0)</f>
        <v>KMC5825 ACPFPV0132</v>
      </c>
      <c r="R75" s="47" t="str">
        <f t="array" ref="R75">XLOOKUP($A75,'Recipients REF'!$A:$A,'Recipients REF'!J:J,"",0)</f>
        <v>PTS100042</v>
      </c>
      <c r="S75" s="45" t="s">
        <v>27</v>
      </c>
      <c r="T75" s="45" t="s">
        <v>28</v>
      </c>
      <c r="U75" s="46" t="str">
        <f t="array" ref="U75">XLOOKUP($A75,'Recipients REF'!$A:$A,'Recipients REF'!K:K,"",0)</f>
        <v>R-SERIES 076PH</v>
      </c>
      <c r="V75" s="44" t="s">
        <v>29</v>
      </c>
      <c r="W75" s="45" t="s">
        <v>30</v>
      </c>
      <c r="X75" s="47" t="str">
        <f t="array" ref="X75">XLOOKUP($A75,'Recipients REF'!$A:$A,'Recipients REF'!L:L,"",0)</f>
        <v>LSGW1750 RMP 2312100</v>
      </c>
      <c r="Y75" s="48" t="s">
        <v>29</v>
      </c>
      <c r="Z75" s="48" t="s">
        <v>31</v>
      </c>
      <c r="AA75" s="46" t="str">
        <f t="array" ref="AA75">XLOOKUP($A75,'Recipients REF'!$A:$A,'Recipients REF'!M:M,"",0)</f>
        <v>WDP40-RMP-2312006</v>
      </c>
      <c r="AB75" s="49"/>
      <c r="AC75" s="42"/>
      <c r="AD75" s="42"/>
      <c r="AE75" s="50"/>
      <c r="AF75" s="42"/>
      <c r="AG75" s="42"/>
      <c r="AH75" s="42"/>
      <c r="AI75" s="42">
        <f t="array" ref="AI75">XLOOKUP($E75,Sheet11!$D:$D,Sheet11!$X:$X,"",0)</f>
        <v>869066060245900</v>
      </c>
      <c r="AJ75" s="42">
        <f t="array" ref="AJ75">XLOOKUP($E75,Sheet11!$D:$D,Sheet11!$Y:$Y,"",0)</f>
        <v>9690676762</v>
      </c>
    </row>
    <row r="76">
      <c r="A76" s="41">
        <v>137.0</v>
      </c>
      <c r="B76" s="42" t="s">
        <v>173</v>
      </c>
      <c r="C76" s="42" t="s">
        <v>174</v>
      </c>
      <c r="D76" s="42"/>
      <c r="E76" s="42" t="str">
        <f t="shared" ref="E76:F76" si="77">PROPER(B76)</f>
        <v>Parapal Small Water Impounding System Association</v>
      </c>
      <c r="F76" s="42" t="str">
        <f t="shared" si="77"/>
        <v>Mabiga, Hermosa, Bataan</v>
      </c>
      <c r="G76" s="42" t="str">
        <f t="shared" si="3"/>
        <v>Mabiga</v>
      </c>
      <c r="H76" s="42" t="str">
        <f t="shared" si="4"/>
        <v>Hermosa</v>
      </c>
      <c r="I76" s="42" t="str">
        <f t="shared" si="5"/>
        <v>Bataan</v>
      </c>
      <c r="J76" s="42" t="str">
        <f t="array" ref="J76">XLOOKUP($E76,'Recipients REF'!$B:$B,'Recipients REF'!D:D,"",0)</f>
        <v>Leonardo Cruz</v>
      </c>
      <c r="K76" s="42" t="str">
        <f t="array" ref="K76">XLOOKUP($E76,'Recipients REF'!$B:$B,'Recipients REF'!E:E,"",0)</f>
        <v>0948-976-1312</v>
      </c>
      <c r="L76" s="43" t="str">
        <f t="array" ref="L76">XLOOKUP($A76,'Recipients REF'!$A:$A,'Recipients REF'!F:F,"",0)</f>
        <v>RCEF 23-09-21 Rebidding</v>
      </c>
      <c r="M76" s="43">
        <f t="array" ref="M76">XLOOKUP($A76,'Recipients REF'!$A:$A,'Recipients REF'!G:G,"",0)</f>
        <v>3</v>
      </c>
      <c r="N76" s="43">
        <f t="array" ref="N76">XLOOKUP($A76,'Recipients REF'!$A:$A,'Recipients REF'!H:H,"",0)</f>
        <v>17873</v>
      </c>
      <c r="O76" s="44" t="s">
        <v>25</v>
      </c>
      <c r="P76" s="45" t="s">
        <v>26</v>
      </c>
      <c r="Q76" s="46" t="str">
        <f t="array" ref="Q76">XLOOKUP($A76,'Recipients REF'!$A:$A,'Recipients REF'!I:I,"",0)</f>
        <v>KMC5825 APPFPV0045</v>
      </c>
      <c r="R76" s="47" t="str">
        <f t="array" ref="R76">XLOOKUP($A76,'Recipients REF'!$A:$A,'Recipients REF'!J:J,"",0)</f>
        <v>PTS100062</v>
      </c>
      <c r="S76" s="45" t="s">
        <v>27</v>
      </c>
      <c r="T76" s="45" t="s">
        <v>28</v>
      </c>
      <c r="U76" s="46" t="str">
        <f t="array" ref="U76">XLOOKUP($A76,'Recipients REF'!$A:$A,'Recipients REF'!K:K,"",0)</f>
        <v>R-SERIES 079PH</v>
      </c>
      <c r="V76" s="44" t="s">
        <v>29</v>
      </c>
      <c r="W76" s="45" t="s">
        <v>30</v>
      </c>
      <c r="X76" s="47" t="str">
        <f t="array" ref="X76">XLOOKUP($A76,'Recipients REF'!$A:$A,'Recipients REF'!L:L,"",0)</f>
        <v>LSGW1750 RMP 2312101</v>
      </c>
      <c r="Y76" s="48" t="s">
        <v>29</v>
      </c>
      <c r="Z76" s="48" t="s">
        <v>31</v>
      </c>
      <c r="AA76" s="46" t="str">
        <f t="array" ref="AA76">XLOOKUP($A76,'Recipients REF'!$A:$A,'Recipients REF'!M:M,"",0)</f>
        <v>WDP40 RMP 2312023</v>
      </c>
      <c r="AB76" s="49"/>
      <c r="AC76" s="42"/>
      <c r="AD76" s="42"/>
      <c r="AE76" s="50"/>
      <c r="AF76" s="42"/>
      <c r="AG76" s="42"/>
      <c r="AH76" s="42"/>
      <c r="AI76" s="42">
        <f t="array" ref="AI76">XLOOKUP($E76,Sheet11!$D:$D,Sheet11!$X:$X,"",0)</f>
        <v>869066060239846</v>
      </c>
      <c r="AJ76" s="42">
        <f t="array" ref="AJ76">XLOOKUP($E76,Sheet11!$D:$D,Sheet11!$Y:$Y,"",0)</f>
        <v>9690900367</v>
      </c>
    </row>
    <row r="77">
      <c r="A77" s="41">
        <v>138.0</v>
      </c>
      <c r="B77" s="42" t="s">
        <v>175</v>
      </c>
      <c r="C77" s="42" t="s">
        <v>176</v>
      </c>
      <c r="D77" s="42"/>
      <c r="E77" s="42" t="str">
        <f t="shared" ref="E77:F77" si="78">PROPER(B77)</f>
        <v>San Pedro Farmers Association</v>
      </c>
      <c r="F77" s="42" t="str">
        <f t="shared" si="78"/>
        <v>San Pedro (Pob.), Hermosa, Bataan</v>
      </c>
      <c r="G77" s="42" t="str">
        <f t="shared" si="3"/>
        <v>San Pedro (Pob.)</v>
      </c>
      <c r="H77" s="42" t="str">
        <f t="shared" si="4"/>
        <v>Hermosa</v>
      </c>
      <c r="I77" s="42" t="str">
        <f t="shared" si="5"/>
        <v>Bataan</v>
      </c>
      <c r="J77" s="42" t="str">
        <f t="array" ref="J77">XLOOKUP($E77,'Recipients REF'!$B:$B,'Recipients REF'!D:D,"",0)</f>
        <v>ALEJANDRO B. MOJICA, JR.</v>
      </c>
      <c r="K77" s="42" t="str">
        <f t="array" ref="K77">XLOOKUP($E77,'Recipients REF'!$B:$B,'Recipients REF'!E:E,"",0)</f>
        <v>0920-8017-267</v>
      </c>
      <c r="L77" s="43" t="str">
        <f t="array" ref="L77">XLOOKUP($A77,'Recipients REF'!$A:$A,'Recipients REF'!F:F,"",0)</f>
        <v>RCEF 23-09-21 Rebidding</v>
      </c>
      <c r="M77" s="43">
        <f t="array" ref="M77">XLOOKUP($A77,'Recipients REF'!$A:$A,'Recipients REF'!G:G,"",0)</f>
        <v>3</v>
      </c>
      <c r="N77" s="43">
        <f t="array" ref="N77">XLOOKUP($A77,'Recipients REF'!$A:$A,'Recipients REF'!H:H,"",0)</f>
        <v>17874</v>
      </c>
      <c r="O77" s="44" t="s">
        <v>25</v>
      </c>
      <c r="P77" s="45" t="s">
        <v>26</v>
      </c>
      <c r="Q77" s="46" t="str">
        <f t="array" ref="Q77">XLOOKUP($A77,'Recipients REF'!$A:$A,'Recipients REF'!I:I,"",0)</f>
        <v>KMC5825 APPFPV0062</v>
      </c>
      <c r="R77" s="47" t="str">
        <f t="array" ref="R77">XLOOKUP($A77,'Recipients REF'!$A:$A,'Recipients REF'!J:J,"",0)</f>
        <v>PTS 100107</v>
      </c>
      <c r="S77" s="45" t="s">
        <v>27</v>
      </c>
      <c r="T77" s="45" t="s">
        <v>28</v>
      </c>
      <c r="U77" s="46" t="str">
        <f t="array" ref="U77">XLOOKUP($A77,'Recipients REF'!$A:$A,'Recipients REF'!K:K,"",0)</f>
        <v>R-SERIES 082 PH</v>
      </c>
      <c r="V77" s="44" t="s">
        <v>29</v>
      </c>
      <c r="W77" s="45" t="s">
        <v>30</v>
      </c>
      <c r="X77" s="47" t="str">
        <f t="array" ref="X77">XLOOKUP($A77,'Recipients REF'!$A:$A,'Recipients REF'!L:L,"",0)</f>
        <v>LSGW1750 RMP 2312103</v>
      </c>
      <c r="Y77" s="48" t="s">
        <v>29</v>
      </c>
      <c r="Z77" s="48" t="s">
        <v>31</v>
      </c>
      <c r="AA77" s="46" t="str">
        <f t="array" ref="AA77">XLOOKUP($A77,'Recipients REF'!$A:$A,'Recipients REF'!M:M,"",0)</f>
        <v>WDP40 RMP 2312007</v>
      </c>
      <c r="AB77" s="49"/>
      <c r="AC77" s="42"/>
      <c r="AD77" s="42"/>
      <c r="AE77" s="50"/>
      <c r="AF77" s="42"/>
      <c r="AG77" s="42"/>
      <c r="AH77" s="42"/>
      <c r="AI77" s="42">
        <f t="array" ref="AI77">XLOOKUP($E77,Sheet11!$D:$D,Sheet11!$X:$X,"",0)</f>
        <v>869066060242626</v>
      </c>
      <c r="AJ77" s="42">
        <f t="array" ref="AJ77">XLOOKUP($E77,Sheet11!$D:$D,Sheet11!$Y:$Y,"",0)</f>
        <v>9086718706</v>
      </c>
    </row>
    <row r="78">
      <c r="A78" s="41">
        <v>139.0</v>
      </c>
      <c r="B78" s="42" t="s">
        <v>177</v>
      </c>
      <c r="C78" s="42" t="s">
        <v>178</v>
      </c>
      <c r="D78" s="42"/>
      <c r="E78" s="42" t="str">
        <f t="shared" ref="E78:F78" si="79">PROPER(B78)</f>
        <v>Greatest Manimas Farmers And Fisherfolks Association</v>
      </c>
      <c r="F78" s="42" t="str">
        <f t="shared" si="79"/>
        <v>Cataning, Balanga City, Bataan</v>
      </c>
      <c r="G78" s="42" t="str">
        <f t="shared" si="3"/>
        <v>Cataning</v>
      </c>
      <c r="H78" s="42" t="str">
        <f t="shared" si="4"/>
        <v>Balanga City</v>
      </c>
      <c r="I78" s="42" t="str">
        <f t="shared" si="5"/>
        <v>Bataan</v>
      </c>
      <c r="J78" s="42" t="str">
        <f t="array" ref="J78">XLOOKUP($E78,'Recipients REF'!$B:$B,'Recipients REF'!D:D,"",0)</f>
        <v>Renato S. Carig</v>
      </c>
      <c r="K78" s="42" t="str">
        <f t="array" ref="K78">XLOOKUP($E78,'Recipients REF'!$B:$B,'Recipients REF'!E:E,"",0)</f>
        <v>0939-958-8174</v>
      </c>
      <c r="L78" s="43" t="str">
        <f t="array" ref="L78">XLOOKUP($A78,'Recipients REF'!$A:$A,'Recipients REF'!F:F,"",0)</f>
        <v>RCEF 23-09-21 Rebidding</v>
      </c>
      <c r="M78" s="43">
        <f t="array" ref="M78">XLOOKUP($A78,'Recipients REF'!$A:$A,'Recipients REF'!G:G,"",0)</f>
        <v>3</v>
      </c>
      <c r="N78" s="43">
        <f t="array" ref="N78">XLOOKUP($A78,'Recipients REF'!$A:$A,'Recipients REF'!H:H,"",0)</f>
        <v>17875</v>
      </c>
      <c r="O78" s="44" t="s">
        <v>25</v>
      </c>
      <c r="P78" s="45" t="s">
        <v>26</v>
      </c>
      <c r="Q78" s="46" t="str">
        <f t="array" ref="Q78">XLOOKUP($A78,'Recipients REF'!$A:$A,'Recipients REF'!I:I,"",0)</f>
        <v>KMC5825 AVPFPV0102</v>
      </c>
      <c r="R78" s="47" t="str">
        <f t="array" ref="R78">XLOOKUP($A78,'Recipients REF'!$A:$A,'Recipients REF'!J:J,"",0)</f>
        <v>PTS 100066</v>
      </c>
      <c r="S78" s="45" t="s">
        <v>27</v>
      </c>
      <c r="T78" s="45" t="s">
        <v>28</v>
      </c>
      <c r="U78" s="46" t="str">
        <f t="array" ref="U78">XLOOKUP($A78,'Recipients REF'!$A:$A,'Recipients REF'!K:K,"",0)</f>
        <v>R-SERIES 086 PH</v>
      </c>
      <c r="V78" s="44" t="s">
        <v>29</v>
      </c>
      <c r="W78" s="45" t="s">
        <v>30</v>
      </c>
      <c r="X78" s="47" t="str">
        <f t="array" ref="X78">XLOOKUP($A78,'Recipients REF'!$A:$A,'Recipients REF'!L:L,"",0)</f>
        <v>LSGW1750 RMP 2312120</v>
      </c>
      <c r="Y78" s="48" t="s">
        <v>29</v>
      </c>
      <c r="Z78" s="48" t="s">
        <v>31</v>
      </c>
      <c r="AA78" s="46" t="str">
        <f t="array" ref="AA78">XLOOKUP($A78,'Recipients REF'!$A:$A,'Recipients REF'!M:M,"",0)</f>
        <v>WDP40 RMP 2312036</v>
      </c>
      <c r="AB78" s="49"/>
      <c r="AC78" s="42"/>
      <c r="AD78" s="42"/>
      <c r="AE78" s="50"/>
      <c r="AF78" s="42"/>
      <c r="AG78" s="42"/>
      <c r="AH78" s="42"/>
      <c r="AI78" s="42" t="str">
        <f t="array" ref="AI78">XLOOKUP($E78,Sheet11!$D:$D,Sheet11!$X:$X,"",0)</f>
        <v/>
      </c>
      <c r="AJ78" s="42" t="str">
        <f t="array" ref="AJ78">XLOOKUP($E78,Sheet11!$D:$D,Sheet11!$Y:$Y,"",0)</f>
        <v/>
      </c>
    </row>
    <row r="79">
      <c r="A79" s="41">
        <v>140.0</v>
      </c>
      <c r="B79" s="42" t="s">
        <v>179</v>
      </c>
      <c r="C79" s="42" t="s">
        <v>180</v>
      </c>
      <c r="D79" s="42"/>
      <c r="E79" s="42" t="str">
        <f t="shared" ref="E79:F79" si="80">PROPER(B79)</f>
        <v>Community Savers Agriculture Cooperative</v>
      </c>
      <c r="F79" s="42" t="str">
        <f t="shared" si="80"/>
        <v>Banawang, Bagac, Bataan</v>
      </c>
      <c r="G79" s="42" t="str">
        <f t="shared" si="3"/>
        <v>Banawang</v>
      </c>
      <c r="H79" s="42" t="str">
        <f t="shared" si="4"/>
        <v>Bagac</v>
      </c>
      <c r="I79" s="42" t="str">
        <f t="shared" si="5"/>
        <v>Bataan</v>
      </c>
      <c r="J79" s="42" t="str">
        <f t="array" ref="J79">XLOOKUP($E79,'Recipients REF'!$B:$B,'Recipients REF'!D:D,"",0)</f>
        <v>Emelita T. Quiroz</v>
      </c>
      <c r="K79" s="42" t="str">
        <f t="array" ref="K79">XLOOKUP($E79,'Recipients REF'!$B:$B,'Recipients REF'!E:E,"",0)</f>
        <v>0912-765-3885</v>
      </c>
      <c r="L79" s="43" t="str">
        <f t="array" ref="L79">XLOOKUP($A79,'Recipients REF'!$A:$A,'Recipients REF'!F:F,"",0)</f>
        <v>RCEF 23-09-21 Rebidding</v>
      </c>
      <c r="M79" s="43">
        <f t="array" ref="M79">XLOOKUP($A79,'Recipients REF'!$A:$A,'Recipients REF'!G:G,"",0)</f>
        <v>3</v>
      </c>
      <c r="N79" s="43">
        <f t="array" ref="N79">XLOOKUP($A79,'Recipients REF'!$A:$A,'Recipients REF'!H:H,"",0)</f>
        <v>17876</v>
      </c>
      <c r="O79" s="44" t="s">
        <v>25</v>
      </c>
      <c r="P79" s="45" t="s">
        <v>26</v>
      </c>
      <c r="Q79" s="46" t="str">
        <f t="array" ref="Q79">XLOOKUP($A79,'Recipients REF'!$A:$A,'Recipients REF'!I:I,"",0)</f>
        <v>KMC5825 AHPFPV0136</v>
      </c>
      <c r="R79" s="47" t="str">
        <f t="array" ref="R79">XLOOKUP($A79,'Recipients REF'!$A:$A,'Recipients REF'!J:J,"",0)</f>
        <v>PTS 100069</v>
      </c>
      <c r="S79" s="45" t="s">
        <v>27</v>
      </c>
      <c r="T79" s="45" t="s">
        <v>28</v>
      </c>
      <c r="U79" s="46" t="str">
        <f t="array" ref="U79">XLOOKUP($A79,'Recipients REF'!$A:$A,'Recipients REF'!K:K,"",0)</f>
        <v>R-SERIES 100 PH</v>
      </c>
      <c r="V79" s="44" t="s">
        <v>29</v>
      </c>
      <c r="W79" s="45" t="s">
        <v>30</v>
      </c>
      <c r="X79" s="47" t="str">
        <f t="array" ref="X79">XLOOKUP($A79,'Recipients REF'!$A:$A,'Recipients REF'!L:L,"",0)</f>
        <v>LSGW1750 RMP 2312133</v>
      </c>
      <c r="Y79" s="48" t="s">
        <v>29</v>
      </c>
      <c r="Z79" s="48" t="s">
        <v>31</v>
      </c>
      <c r="AA79" s="46" t="str">
        <f t="array" ref="AA79">XLOOKUP($A79,'Recipients REF'!$A:$A,'Recipients REF'!M:M,"",0)</f>
        <v>WDP40 RMP 2312018</v>
      </c>
      <c r="AB79" s="49"/>
      <c r="AC79" s="42"/>
      <c r="AD79" s="42"/>
      <c r="AE79" s="50"/>
      <c r="AF79" s="42"/>
      <c r="AG79" s="42"/>
      <c r="AH79" s="42"/>
      <c r="AI79" s="42">
        <f t="array" ref="AI79">XLOOKUP($E79,Sheet11!$D:$D,Sheet11!$X:$X,"",0)</f>
        <v>869066060245074</v>
      </c>
      <c r="AJ79" s="42">
        <f t="array" ref="AJ79">XLOOKUP($E79,Sheet11!$D:$D,Sheet11!$Y:$Y,"",0)</f>
        <v>9692953372</v>
      </c>
    </row>
    <row r="80">
      <c r="A80" s="41">
        <v>141.0</v>
      </c>
      <c r="B80" s="42" t="s">
        <v>181</v>
      </c>
      <c r="C80" s="42" t="s">
        <v>182</v>
      </c>
      <c r="D80" s="42"/>
      <c r="E80" s="42" t="str">
        <f t="shared" ref="E80:F80" si="81">PROPER(B80)</f>
        <v>Gintong Samahan Ng Magsasaka Ng Pagalanggang</v>
      </c>
      <c r="F80" s="42" t="str">
        <f t="shared" si="81"/>
        <v>Pagalanggang, Dinalupihan, Bataan</v>
      </c>
      <c r="G80" s="42" t="str">
        <f t="shared" si="3"/>
        <v>Pagalanggang</v>
      </c>
      <c r="H80" s="42" t="str">
        <f t="shared" si="4"/>
        <v>Dinalupihan</v>
      </c>
      <c r="I80" s="42" t="str">
        <f t="shared" si="5"/>
        <v>Bataan</v>
      </c>
      <c r="J80" s="42" t="str">
        <f t="array" ref="J80">XLOOKUP($E80,'Recipients REF'!$B:$B,'Recipients REF'!D:D,"",0)</f>
        <v>Edgardo M. De Guzman</v>
      </c>
      <c r="K80" s="42" t="str">
        <f t="array" ref="K80">XLOOKUP($E80,'Recipients REF'!$B:$B,'Recipients REF'!E:E,"",0)</f>
        <v>0999-429-7657/ 0948-984-8571</v>
      </c>
      <c r="L80" s="43" t="str">
        <f t="array" ref="L80">XLOOKUP($A80,'Recipients REF'!$A:$A,'Recipients REF'!F:F,"",0)</f>
        <v>RCEF 23-09-21 Rebidding</v>
      </c>
      <c r="M80" s="43">
        <f t="array" ref="M80">XLOOKUP($A80,'Recipients REF'!$A:$A,'Recipients REF'!G:G,"",0)</f>
        <v>3</v>
      </c>
      <c r="N80" s="43">
        <f t="array" ref="N80">XLOOKUP($A80,'Recipients REF'!$A:$A,'Recipients REF'!H:H,"",0)</f>
        <v>17877</v>
      </c>
      <c r="O80" s="44" t="s">
        <v>25</v>
      </c>
      <c r="P80" s="45" t="s">
        <v>26</v>
      </c>
      <c r="Q80" s="46" t="str">
        <f t="array" ref="Q80">XLOOKUP($A80,'Recipients REF'!$A:$A,'Recipients REF'!I:I,"",0)</f>
        <v>KMC5825 ACPFPV0107</v>
      </c>
      <c r="R80" s="47" t="str">
        <f t="array" ref="R80">XLOOKUP($A80,'Recipients REF'!$A:$A,'Recipients REF'!J:J,"",0)</f>
        <v>PTS 100047</v>
      </c>
      <c r="S80" s="45" t="s">
        <v>27</v>
      </c>
      <c r="T80" s="45" t="s">
        <v>28</v>
      </c>
      <c r="U80" s="46" t="str">
        <f t="array" ref="U80">XLOOKUP($A80,'Recipients REF'!$A:$A,'Recipients REF'!K:K,"",0)</f>
        <v>R-SERIES 080 PH</v>
      </c>
      <c r="V80" s="44" t="s">
        <v>29</v>
      </c>
      <c r="W80" s="45" t="s">
        <v>30</v>
      </c>
      <c r="X80" s="47" t="str">
        <f t="array" ref="X80">XLOOKUP($A80,'Recipients REF'!$A:$A,'Recipients REF'!L:L,"",0)</f>
        <v>LSGW1750 RMP 2312105</v>
      </c>
      <c r="Y80" s="48" t="s">
        <v>29</v>
      </c>
      <c r="Z80" s="48" t="s">
        <v>31</v>
      </c>
      <c r="AA80" s="46" t="str">
        <f t="array" ref="AA80">XLOOKUP($A80,'Recipients REF'!$A:$A,'Recipients REF'!M:M,"",0)</f>
        <v>WDP40 RMP 2312028</v>
      </c>
      <c r="AB80" s="49"/>
      <c r="AC80" s="42"/>
      <c r="AD80" s="42"/>
      <c r="AE80" s="50"/>
      <c r="AF80" s="42"/>
      <c r="AG80" s="42"/>
      <c r="AH80" s="42"/>
      <c r="AI80" s="42">
        <f t="array" ref="AI80">XLOOKUP($E80,Sheet11!$D:$D,Sheet11!$X:$X,"",0)</f>
        <v>869066060242600</v>
      </c>
      <c r="AJ80" s="42">
        <f t="array" ref="AJ80">XLOOKUP($E80,Sheet11!$D:$D,Sheet11!$Y:$Y,"",0)</f>
        <v>9690484192</v>
      </c>
    </row>
    <row r="81">
      <c r="A81" s="41">
        <v>142.0</v>
      </c>
      <c r="B81" s="42" t="s">
        <v>183</v>
      </c>
      <c r="C81" s="42" t="s">
        <v>184</v>
      </c>
      <c r="D81" s="42"/>
      <c r="E81" s="42" t="str">
        <f t="shared" ref="E81:F81" si="82">PROPER(B81)</f>
        <v>Samahan Ng Magsasaka Ng Jc Payumo Jr. Dinalupihan Bataan</v>
      </c>
      <c r="F81" s="42" t="str">
        <f t="shared" si="82"/>
        <v>"Jose C. Payumo Jr.", Dinalupihan, Bataan</v>
      </c>
      <c r="G81" s="42" t="str">
        <f t="shared" si="3"/>
        <v>"Jose C. Payumo Jr."</v>
      </c>
      <c r="H81" s="42" t="str">
        <f t="shared" si="4"/>
        <v>Dinalupihan</v>
      </c>
      <c r="I81" s="42" t="str">
        <f t="shared" si="5"/>
        <v>Bataan</v>
      </c>
      <c r="J81" s="42" t="str">
        <f t="array" ref="J81">XLOOKUP($E81,'Recipients REF'!$B:$B,'Recipients REF'!D:D,"",0)</f>
        <v>Oliver F. Tan</v>
      </c>
      <c r="K81" s="42" t="str">
        <f t="array" ref="K81">XLOOKUP($E81,'Recipients REF'!$B:$B,'Recipients REF'!E:E,"",0)</f>
        <v>0910-799-0931</v>
      </c>
      <c r="L81" s="43" t="str">
        <f t="array" ref="L81">XLOOKUP($A81,'Recipients REF'!$A:$A,'Recipients REF'!F:F,"",0)</f>
        <v>RCEF 23-09-21 Rebidding</v>
      </c>
      <c r="M81" s="43">
        <f t="array" ref="M81">XLOOKUP($A81,'Recipients REF'!$A:$A,'Recipients REF'!G:G,"",0)</f>
        <v>9</v>
      </c>
      <c r="N81" s="43">
        <f t="array" ref="N81">XLOOKUP($A81,'Recipients REF'!$A:$A,'Recipients REF'!H:H,"",0)</f>
        <v>17878</v>
      </c>
      <c r="O81" s="44" t="s">
        <v>25</v>
      </c>
      <c r="P81" s="45" t="s">
        <v>26</v>
      </c>
      <c r="Q81" s="46" t="str">
        <f t="array" ref="Q81">XLOOKUP($A81,'Recipients REF'!$A:$A,'Recipients REF'!I:I,"",0)</f>
        <v>KMC5825 ACPFPV0096</v>
      </c>
      <c r="R81" s="47" t="str">
        <f t="array" ref="R81">XLOOKUP($A81,'Recipients REF'!$A:$A,'Recipients REF'!J:J,"",0)</f>
        <v>PTS 100091</v>
      </c>
      <c r="S81" s="45" t="s">
        <v>27</v>
      </c>
      <c r="T81" s="45" t="s">
        <v>28</v>
      </c>
      <c r="U81" s="46" t="str">
        <f t="array" ref="U81">XLOOKUP($A81,'Recipients REF'!$A:$A,'Recipients REF'!K:K,"",0)</f>
        <v>R-SERIES 077 PH</v>
      </c>
      <c r="V81" s="44" t="s">
        <v>29</v>
      </c>
      <c r="W81" s="45" t="s">
        <v>30</v>
      </c>
      <c r="X81" s="47" t="str">
        <f t="array" ref="X81">XLOOKUP($A81,'Recipients REF'!$A:$A,'Recipients REF'!L:L,"",0)</f>
        <v>LSGW1750 RMP 2312102</v>
      </c>
      <c r="Y81" s="48" t="s">
        <v>29</v>
      </c>
      <c r="Z81" s="48" t="s">
        <v>31</v>
      </c>
      <c r="AA81" s="46" t="str">
        <f t="array" ref="AA81">XLOOKUP($A81,'Recipients REF'!$A:$A,'Recipients REF'!M:M,"",0)</f>
        <v>WDP40 RMP 2312005</v>
      </c>
      <c r="AB81" s="49"/>
      <c r="AC81" s="42"/>
      <c r="AD81" s="42"/>
      <c r="AE81" s="50"/>
      <c r="AF81" s="42"/>
      <c r="AG81" s="42"/>
      <c r="AH81" s="42"/>
      <c r="AI81" s="42">
        <f t="array" ref="AI81">XLOOKUP($E81,Sheet11!$D:$D,Sheet11!$X:$X,"",0)</f>
        <v>869066060244804</v>
      </c>
      <c r="AJ81" s="42">
        <f t="array" ref="AJ81">XLOOKUP($E81,Sheet11!$D:$D,Sheet11!$Y:$Y,"",0)</f>
        <v>9692485374</v>
      </c>
    </row>
    <row r="82">
      <c r="A82" s="41">
        <v>621.0</v>
      </c>
      <c r="B82" s="42" t="s">
        <v>185</v>
      </c>
      <c r="C82" s="42" t="s">
        <v>186</v>
      </c>
      <c r="D82" s="42"/>
      <c r="E82" s="42" t="str">
        <f t="shared" ref="E82:F82" si="83">PROPER(B82)</f>
        <v>Adamson - Bambang Farmers Association</v>
      </c>
      <c r="F82" s="42" t="str">
        <f t="shared" si="83"/>
        <v>Gugo, Samal, Bataan</v>
      </c>
      <c r="G82" s="42" t="str">
        <f t="shared" si="3"/>
        <v>Gugo</v>
      </c>
      <c r="H82" s="42" t="str">
        <f t="shared" si="4"/>
        <v>Samal</v>
      </c>
      <c r="I82" s="42" t="str">
        <f t="shared" si="5"/>
        <v>Bataan</v>
      </c>
      <c r="J82" s="42" t="str">
        <f t="array" ref="J82">XLOOKUP($E82,'Recipients REF'!$B:$B,'Recipients REF'!D:D,"",0)</f>
        <v>Raul Dela Rosa</v>
      </c>
      <c r="K82" s="42">
        <f t="array" ref="K82">XLOOKUP($E82,'Recipients REF'!$B:$B,'Recipients REF'!E:E,"",0)</f>
        <v>9266164086</v>
      </c>
      <c r="L82" s="43" t="str">
        <f t="array" ref="L82">XLOOKUP($A82,'Recipients REF'!$A:$A,'Recipients REF'!F:F,"",0)</f>
        <v>RCEF 25-03-05</v>
      </c>
      <c r="M82" s="43">
        <f t="array" ref="M82">XLOOKUP($A82,'Recipients REF'!$A:$A,'Recipients REF'!G:G,"",0)</f>
        <v>5</v>
      </c>
      <c r="N82" s="43" t="str">
        <f t="array" ref="N82">XLOOKUP($A82,'Recipients REF'!$A:$A,'Recipients REF'!H:H,"",0)</f>
        <v>26211 &amp; 27651</v>
      </c>
      <c r="O82" s="44" t="s">
        <v>25</v>
      </c>
      <c r="P82" s="45" t="s">
        <v>26</v>
      </c>
      <c r="Q82" s="46" t="str">
        <f t="array" ref="Q82">XLOOKUP($A82,'Recipients REF'!$A:$A,'Recipients REF'!I:I,"",0)</f>
        <v>KMC5825 ATSFPV0117</v>
      </c>
      <c r="R82" s="53" t="str">
        <f t="array" ref="R82">XLOOKUP($A82,'Recipients REF'!$A:$A,'Recipients REF'!J:J,"",0)</f>
        <v>STS100095</v>
      </c>
      <c r="S82" s="45" t="s">
        <v>27</v>
      </c>
      <c r="T82" s="45" t="s">
        <v>28</v>
      </c>
      <c r="U82" s="46" t="str">
        <f t="array" ref="U82">XLOOKUP($A82,'Recipients REF'!$A:$A,'Recipients REF'!K:K,"",0)</f>
        <v>R-SERIES 322PH</v>
      </c>
      <c r="V82" s="44" t="s">
        <v>29</v>
      </c>
      <c r="W82" s="45" t="s">
        <v>30</v>
      </c>
      <c r="X82" s="53">
        <f t="array" ref="X82">XLOOKUP($A82,'Recipients REF'!$A:$A,'Recipients REF'!L:L,"",0)</f>
        <v>25080360</v>
      </c>
      <c r="Y82" s="48" t="s">
        <v>29</v>
      </c>
      <c r="Z82" s="48" t="s">
        <v>31</v>
      </c>
      <c r="AA82" s="54">
        <f t="array" ref="AA82">XLOOKUP($A82,'Recipients REF'!$A:$A,'Recipients REF'!M:M,"",0)</f>
        <v>25080815</v>
      </c>
      <c r="AB82" s="49"/>
      <c r="AC82" s="42"/>
      <c r="AD82" s="42"/>
      <c r="AE82" s="50"/>
      <c r="AF82" s="42"/>
      <c r="AG82" s="42"/>
      <c r="AH82" s="42"/>
      <c r="AI82" s="42" t="str">
        <f t="array" ref="AI82">XLOOKUP($E82,Sheet11!$D:$D,Sheet11!$X:$X,"",0)</f>
        <v/>
      </c>
      <c r="AJ82" s="42" t="str">
        <f t="array" ref="AJ82">XLOOKUP($E82,Sheet11!$D:$D,Sheet11!$Y:$Y,"",0)</f>
        <v/>
      </c>
    </row>
    <row r="83">
      <c r="A83" s="41">
        <v>622.0</v>
      </c>
      <c r="B83" s="42" t="s">
        <v>187</v>
      </c>
      <c r="C83" s="42" t="s">
        <v>188</v>
      </c>
      <c r="D83" s="42"/>
      <c r="E83" s="42" t="str">
        <f t="shared" ref="E83:F83" si="84">PROPER(B83)</f>
        <v>Cupang West Multipurpose Cooperative</v>
      </c>
      <c r="F83" s="42" t="str">
        <f t="shared" si="84"/>
        <v>Cupang West, Balanga City, Bataan</v>
      </c>
      <c r="G83" s="42" t="str">
        <f t="shared" si="3"/>
        <v>Cupang West</v>
      </c>
      <c r="H83" s="42" t="str">
        <f t="shared" si="4"/>
        <v>Balanga City</v>
      </c>
      <c r="I83" s="42" t="str">
        <f t="shared" si="5"/>
        <v>Bataan</v>
      </c>
      <c r="J83" s="42" t="str">
        <f t="array" ref="J83">XLOOKUP($E83,'Recipients REF'!$B:$B,'Recipients REF'!D:D,"",0)</f>
        <v>Estrella De Guzman</v>
      </c>
      <c r="K83" s="42" t="str">
        <f t="array" ref="K83">XLOOKUP($E83,'Recipients REF'!$B:$B,'Recipients REF'!E:E,"",0)</f>
        <v>0998-390-8488</v>
      </c>
      <c r="L83" s="43" t="str">
        <f t="array" ref="L83">XLOOKUP($A83,'Recipients REF'!$A:$A,'Recipients REF'!F:F,"",0)</f>
        <v>RCEF 25-03-05</v>
      </c>
      <c r="M83" s="43">
        <f t="array" ref="M83">XLOOKUP($A83,'Recipients REF'!$A:$A,'Recipients REF'!G:G,"",0)</f>
        <v>5</v>
      </c>
      <c r="N83" s="43" t="str">
        <f t="array" ref="N83">XLOOKUP($A83,'Recipients REF'!$A:$A,'Recipients REF'!H:H,"",0)</f>
        <v>26212 &amp; 27652</v>
      </c>
      <c r="O83" s="44" t="s">
        <v>25</v>
      </c>
      <c r="P83" s="45" t="s">
        <v>26</v>
      </c>
      <c r="Q83" s="46" t="str">
        <f t="array" ref="Q83">XLOOKUP($A83,'Recipients REF'!$A:$A,'Recipients REF'!I:I,"",0)</f>
        <v>KMC5825 AASFPV0160</v>
      </c>
      <c r="R83" s="53" t="str">
        <f t="array" ref="R83">XLOOKUP($A83,'Recipients REF'!$A:$A,'Recipients REF'!J:J,"",0)</f>
        <v>STS100158</v>
      </c>
      <c r="S83" s="45" t="s">
        <v>27</v>
      </c>
      <c r="T83" s="45" t="s">
        <v>28</v>
      </c>
      <c r="U83" s="46" t="str">
        <f t="array" ref="U83">XLOOKUP($A83,'Recipients REF'!$A:$A,'Recipients REF'!K:K,"",0)</f>
        <v>R-SERIES 324PH</v>
      </c>
      <c r="V83" s="44" t="s">
        <v>29</v>
      </c>
      <c r="W83" s="45" t="s">
        <v>30</v>
      </c>
      <c r="X83" s="53">
        <f t="array" ref="X83">XLOOKUP($A83,'Recipients REF'!$A:$A,'Recipients REF'!L:L,"",0)</f>
        <v>25080378</v>
      </c>
      <c r="Y83" s="48" t="s">
        <v>29</v>
      </c>
      <c r="Z83" s="48" t="s">
        <v>31</v>
      </c>
      <c r="AA83" s="54">
        <f t="array" ref="AA83">XLOOKUP($A83,'Recipients REF'!$A:$A,'Recipients REF'!M:M,"",0)</f>
        <v>25080806</v>
      </c>
      <c r="AB83" s="49"/>
      <c r="AC83" s="42"/>
      <c r="AD83" s="42"/>
      <c r="AE83" s="50"/>
      <c r="AF83" s="42"/>
      <c r="AG83" s="42"/>
      <c r="AH83" s="42"/>
      <c r="AI83" s="42" t="str">
        <f t="array" ref="AI83">XLOOKUP($E83,Sheet11!$D:$D,Sheet11!$X:$X,"",0)</f>
        <v/>
      </c>
      <c r="AJ83" s="42" t="str">
        <f t="array" ref="AJ83">XLOOKUP($E83,Sheet11!$D:$D,Sheet11!$Y:$Y,"",0)</f>
        <v/>
      </c>
    </row>
    <row r="84">
      <c r="A84" s="41">
        <v>878.0</v>
      </c>
      <c r="B84" s="42" t="s">
        <v>189</v>
      </c>
      <c r="C84" s="42" t="s">
        <v>190</v>
      </c>
      <c r="D84" s="42"/>
      <c r="E84" s="42" t="str">
        <f t="shared" ref="E84:F84" si="85">PROPER(B84)</f>
        <v>Nasugbu Batangas Central Irrigators Association Inc.</v>
      </c>
      <c r="F84" s="42" t="str">
        <f t="shared" si="85"/>
        <v>Putat, Nasugbu, Batangas</v>
      </c>
      <c r="G84" s="42" t="str">
        <f t="shared" si="3"/>
        <v>Putat</v>
      </c>
      <c r="H84" s="42" t="str">
        <f t="shared" si="4"/>
        <v>Nasugbu</v>
      </c>
      <c r="I84" s="42" t="str">
        <f t="shared" si="5"/>
        <v>Batangas</v>
      </c>
      <c r="J84" s="42" t="str">
        <f t="array" ref="J84">XLOOKUP($E84,'Recipients REF'!$B:$B,'Recipients REF'!D:D,"",0)</f>
        <v>Walter C. Dueñas</v>
      </c>
      <c r="K84" s="42">
        <f t="array" ref="K84">XLOOKUP($E84,'Recipients REF'!$B:$B,'Recipients REF'!E:E,"",0)</f>
        <v>9175415178</v>
      </c>
      <c r="L84" s="43" t="str">
        <f t="array" ref="L84">XLOOKUP($A84,'Recipients REF'!$A:$A,'Recipients REF'!F:F,"",0)</f>
        <v>RCEF 25-03-05</v>
      </c>
      <c r="M84" s="43">
        <f t="array" ref="M84">XLOOKUP($A84,'Recipients REF'!$A:$A,'Recipients REF'!G:G,"",0)</f>
        <v>7</v>
      </c>
      <c r="N84" s="43" t="str">
        <f t="array" ref="N84">XLOOKUP($A84,'Recipients REF'!$A:$A,'Recipients REF'!H:H,"",0)</f>
        <v>26879 &amp; 27921</v>
      </c>
      <c r="O84" s="44" t="s">
        <v>25</v>
      </c>
      <c r="P84" s="45" t="s">
        <v>26</v>
      </c>
      <c r="Q84" s="46" t="str">
        <f t="array" ref="Q84">XLOOKUP($A84,'Recipients REF'!$A:$A,'Recipients REF'!I:I,"",0)</f>
        <v>KMC5825 AVSFPV0304</v>
      </c>
      <c r="R84" s="53" t="str">
        <f t="array" ref="R84">XLOOKUP($A84,'Recipients REF'!$A:$A,'Recipients REF'!J:J,"",0)</f>
        <v>STS100295</v>
      </c>
      <c r="S84" s="45" t="s">
        <v>27</v>
      </c>
      <c r="T84" s="45" t="s">
        <v>28</v>
      </c>
      <c r="U84" s="46" t="str">
        <f t="array" ref="U84">XLOOKUP($A84,'Recipients REF'!$A:$A,'Recipients REF'!K:K,"",0)</f>
        <v>WR-SERIES 1357PH</v>
      </c>
      <c r="V84" s="44" t="s">
        <v>29</v>
      </c>
      <c r="W84" s="45" t="s">
        <v>30</v>
      </c>
      <c r="X84" s="53" t="str">
        <f t="array" ref="X84">XLOOKUP($A84,'Recipients REF'!$A:$A,'Recipients REF'!L:L,"",0)</f>
        <v>2510851</v>
      </c>
      <c r="Y84" s="48" t="s">
        <v>29</v>
      </c>
      <c r="Z84" s="48" t="s">
        <v>31</v>
      </c>
      <c r="AA84" s="54">
        <f t="array" ref="AA84">XLOOKUP($A84,'Recipients REF'!$A:$A,'Recipients REF'!M:M,"",0)</f>
        <v>25121440</v>
      </c>
      <c r="AB84" s="49"/>
      <c r="AC84" s="42"/>
      <c r="AD84" s="42"/>
      <c r="AE84" s="55">
        <v>8.6906606380612E14</v>
      </c>
      <c r="AF84" s="56" t="s">
        <v>191</v>
      </c>
      <c r="AG84" s="42"/>
      <c r="AH84" s="42"/>
      <c r="AI84" s="42" t="str">
        <f t="array" ref="AI84">XLOOKUP($E84,Sheet11!$D:$D,Sheet11!$X:$X,"",0)</f>
        <v/>
      </c>
      <c r="AJ84" s="42" t="str">
        <f t="array" ref="AJ84">XLOOKUP($E84,Sheet11!$D:$D,Sheet11!$Y:$Y,"",0)</f>
        <v/>
      </c>
    </row>
    <row r="85">
      <c r="A85" s="41">
        <v>879.0</v>
      </c>
      <c r="B85" s="42" t="s">
        <v>192</v>
      </c>
      <c r="C85" s="42" t="s">
        <v>193</v>
      </c>
      <c r="D85" s="42"/>
      <c r="E85" s="42" t="str">
        <f t="shared" ref="E85:F85" si="86">PROPER(B85)</f>
        <v>Mavalor Farmers Association</v>
      </c>
      <c r="F85" s="42" t="str">
        <f t="shared" si="86"/>
        <v>Mavalor, Rosario, Batangas</v>
      </c>
      <c r="G85" s="42" t="str">
        <f t="shared" si="3"/>
        <v>Mavalor</v>
      </c>
      <c r="H85" s="42" t="str">
        <f t="shared" si="4"/>
        <v>Rosario</v>
      </c>
      <c r="I85" s="42" t="str">
        <f t="shared" si="5"/>
        <v>Batangas</v>
      </c>
      <c r="J85" s="42" t="str">
        <f t="array" ref="J85">XLOOKUP($E85,'Recipients REF'!$B:$B,'Recipients REF'!D:D,"",0)</f>
        <v>Hilarion D. Marasigan</v>
      </c>
      <c r="K85" s="42">
        <f t="array" ref="K85">XLOOKUP($E85,'Recipients REF'!$B:$B,'Recipients REF'!E:E,"",0)</f>
        <v>9289584869</v>
      </c>
      <c r="L85" s="43" t="str">
        <f t="array" ref="L85">XLOOKUP($A85,'Recipients REF'!$A:$A,'Recipients REF'!F:F,"",0)</f>
        <v>RCEF 25-03-05</v>
      </c>
      <c r="M85" s="43">
        <f t="array" ref="M85">XLOOKUP($A85,'Recipients REF'!$A:$A,'Recipients REF'!G:G,"",0)</f>
        <v>7</v>
      </c>
      <c r="N85" s="43" t="str">
        <f t="array" ref="N85">XLOOKUP($A85,'Recipients REF'!$A:$A,'Recipients REF'!H:H,"",0)</f>
        <v>26880 &amp; 27922</v>
      </c>
      <c r="O85" s="44" t="s">
        <v>25</v>
      </c>
      <c r="P85" s="45" t="s">
        <v>26</v>
      </c>
      <c r="Q85" s="46" t="str">
        <f t="array" ref="Q85">XLOOKUP($A85,'Recipients REF'!$A:$A,'Recipients REF'!I:I,"",0)</f>
        <v>KMC5825 AASFPV0305</v>
      </c>
      <c r="R85" s="53" t="str">
        <f t="array" ref="R85">XLOOKUP($A85,'Recipients REF'!$A:$A,'Recipients REF'!J:J,"",0)</f>
        <v>STS100310</v>
      </c>
      <c r="S85" s="45" t="s">
        <v>27</v>
      </c>
      <c r="T85" s="45" t="s">
        <v>28</v>
      </c>
      <c r="U85" s="46" t="str">
        <f t="array" ref="U85">XLOOKUP($A85,'Recipients REF'!$A:$A,'Recipients REF'!K:K,"",0)</f>
        <v>WR-SERIES 1358PH</v>
      </c>
      <c r="V85" s="44" t="s">
        <v>29</v>
      </c>
      <c r="W85" s="45" t="s">
        <v>30</v>
      </c>
      <c r="X85" s="53" t="str">
        <f t="array" ref="X85">XLOOKUP($A85,'Recipients REF'!$A:$A,'Recipients REF'!L:L,"",0)</f>
        <v>2510844</v>
      </c>
      <c r="Y85" s="48" t="s">
        <v>29</v>
      </c>
      <c r="Z85" s="48" t="s">
        <v>31</v>
      </c>
      <c r="AA85" s="54">
        <f t="array" ref="AA85">XLOOKUP($A85,'Recipients REF'!$A:$A,'Recipients REF'!M:M,"",0)</f>
        <v>25121441</v>
      </c>
      <c r="AB85" s="49"/>
      <c r="AC85" s="42"/>
      <c r="AD85" s="42"/>
      <c r="AE85" s="56">
        <v>8.69066063796792E14</v>
      </c>
      <c r="AF85" s="56" t="s">
        <v>194</v>
      </c>
      <c r="AG85" s="42"/>
      <c r="AH85" s="42"/>
      <c r="AI85" s="42" t="str">
        <f t="array" ref="AI85">XLOOKUP($E85,Sheet11!$D:$D,Sheet11!$X:$X,"",0)</f>
        <v/>
      </c>
      <c r="AJ85" s="42" t="str">
        <f t="array" ref="AJ85">XLOOKUP($E85,Sheet11!$D:$D,Sheet11!$Y:$Y,"",0)</f>
        <v/>
      </c>
    </row>
    <row r="86">
      <c r="A86" s="41">
        <v>935.0</v>
      </c>
      <c r="B86" s="42" t="s">
        <v>195</v>
      </c>
      <c r="C86" s="42" t="s">
        <v>196</v>
      </c>
      <c r="D86" s="42"/>
      <c r="E86" s="42" t="str">
        <f t="shared" ref="E86:F86" si="87">PROPER(B86)</f>
        <v>Municipal Local Government Unit Of Naval</v>
      </c>
      <c r="F86" s="42" t="str">
        <f t="shared" si="87"/>
        <v>Padre Inocentes Garcia (Pob.), Naval, Biliran</v>
      </c>
      <c r="G86" s="42" t="str">
        <f t="shared" si="3"/>
        <v>Padre Inocentes Garcia (Pob.)</v>
      </c>
      <c r="H86" s="42" t="str">
        <f t="shared" si="4"/>
        <v>Naval</v>
      </c>
      <c r="I86" s="42" t="str">
        <f t="shared" si="5"/>
        <v>Biliran</v>
      </c>
      <c r="J86" s="42" t="str">
        <f t="array" ref="J86">XLOOKUP($E86,'Recipients REF'!$B:$B,'Recipients REF'!D:D,"",0)</f>
        <v>Laurence Mangco</v>
      </c>
      <c r="K86" s="42">
        <f t="array" ref="K86">XLOOKUP($E86,'Recipients REF'!$B:$B,'Recipients REF'!E:E,"",0)</f>
        <v>9754781351</v>
      </c>
      <c r="L86" s="43" t="str">
        <f t="array" ref="L86">XLOOKUP($A86,'Recipients REF'!$A:$A,'Recipients REF'!F:F,"",0)</f>
        <v>RCEF 25-03-05</v>
      </c>
      <c r="M86" s="43">
        <f t="array" ref="M86">XLOOKUP($A86,'Recipients REF'!$A:$A,'Recipients REF'!G:G,"",0)</f>
        <v>7</v>
      </c>
      <c r="N86" s="43" t="str">
        <f t="array" ref="N86">XLOOKUP($A86,'Recipients REF'!$A:$A,'Recipients REF'!H:H,"",0)</f>
        <v>26936 &amp; 27978</v>
      </c>
      <c r="O86" s="44" t="s">
        <v>25</v>
      </c>
      <c r="P86" s="45" t="s">
        <v>26</v>
      </c>
      <c r="Q86" s="46" t="str">
        <f t="array" ref="Q86">XLOOKUP($A86,'Recipients REF'!$A:$A,'Recipients REF'!I:I,"",0)</f>
        <v>KMC5825 ALSFPV0449</v>
      </c>
      <c r="R86" s="53" t="str">
        <f t="array" ref="R86">XLOOKUP($A86,'Recipients REF'!$A:$A,'Recipients REF'!J:J,"",0)</f>
        <v>STS100326</v>
      </c>
      <c r="S86" s="45" t="s">
        <v>27</v>
      </c>
      <c r="T86" s="45" t="s">
        <v>28</v>
      </c>
      <c r="U86" s="46" t="str">
        <f t="array" ref="U86">XLOOKUP($A86,'Recipients REF'!$A:$A,'Recipients REF'!K:K,"",0)</f>
        <v>R-SERIES 215PH</v>
      </c>
      <c r="V86" s="44" t="s">
        <v>29</v>
      </c>
      <c r="W86" s="45" t="s">
        <v>30</v>
      </c>
      <c r="X86" s="53" t="str">
        <f t="array" ref="X86">XLOOKUP($A86,'Recipients REF'!$A:$A,'Recipients REF'!L:L,"",0)</f>
        <v>25090459</v>
      </c>
      <c r="Y86" s="48" t="s">
        <v>29</v>
      </c>
      <c r="Z86" s="48" t="s">
        <v>31</v>
      </c>
      <c r="AA86" s="54">
        <f t="array" ref="AA86">XLOOKUP($A86,'Recipients REF'!$A:$A,'Recipients REF'!M:M,"",0)</f>
        <v>25121361</v>
      </c>
      <c r="AB86" s="49"/>
      <c r="AC86" s="42"/>
      <c r="AD86" s="42"/>
      <c r="AE86" s="50"/>
      <c r="AF86" s="42"/>
      <c r="AG86" s="42"/>
      <c r="AH86" s="42"/>
      <c r="AI86" s="42" t="str">
        <f t="array" ref="AI86">XLOOKUP($E86,Sheet11!$D:$D,Sheet11!$X:$X,"",0)</f>
        <v/>
      </c>
      <c r="AJ86" s="42" t="str">
        <f t="array" ref="AJ86">XLOOKUP($E86,Sheet11!$D:$D,Sheet11!$Y:$Y,"",0)</f>
        <v/>
      </c>
    </row>
    <row r="87">
      <c r="A87" s="41">
        <v>924.0</v>
      </c>
      <c r="B87" s="42" t="s">
        <v>197</v>
      </c>
      <c r="C87" s="42" t="s">
        <v>198</v>
      </c>
      <c r="D87" s="42"/>
      <c r="E87" s="42" t="str">
        <f t="shared" ref="E87:F87" si="88">PROPER(B87)</f>
        <v>Camba-Ol Progreso Irrigators Association Inc.</v>
      </c>
      <c r="F87" s="42" t="str">
        <f t="shared" si="88"/>
        <v>Progreso, Alicia, Bohol</v>
      </c>
      <c r="G87" s="42" t="str">
        <f t="shared" si="3"/>
        <v>Progreso</v>
      </c>
      <c r="H87" s="42" t="str">
        <f t="shared" si="4"/>
        <v>Alicia</v>
      </c>
      <c r="I87" s="42" t="str">
        <f t="shared" si="5"/>
        <v>Bohol</v>
      </c>
      <c r="J87" s="42" t="str">
        <f t="array" ref="J87">XLOOKUP($E87,'Recipients REF'!$B:$B,'Recipients REF'!D:D,"",0)</f>
        <v>Hilario B. Quinlog</v>
      </c>
      <c r="K87" s="42" t="str">
        <f t="array" ref="K87">XLOOKUP($E87,'Recipients REF'!$B:$B,'Recipients REF'!E:E,"",0)</f>
        <v>0938-949-2435</v>
      </c>
      <c r="L87" s="43" t="str">
        <f t="array" ref="L87">XLOOKUP($A87,'Recipients REF'!$A:$A,'Recipients REF'!F:F,"",0)</f>
        <v>RCEF 25-03-05</v>
      </c>
      <c r="M87" s="43">
        <f t="array" ref="M87">XLOOKUP($A87,'Recipients REF'!$A:$A,'Recipients REF'!G:G,"",0)</f>
        <v>7</v>
      </c>
      <c r="N87" s="43" t="str">
        <f t="array" ref="N87">XLOOKUP($A87,'Recipients REF'!$A:$A,'Recipients REF'!H:H,"",0)</f>
        <v>26925 &amp; 27967</v>
      </c>
      <c r="O87" s="44" t="s">
        <v>25</v>
      </c>
      <c r="P87" s="45" t="s">
        <v>26</v>
      </c>
      <c r="Q87" s="46" t="str">
        <f t="array" ref="Q87">XLOOKUP($A87,'Recipients REF'!$A:$A,'Recipients REF'!I:I,"",0)</f>
        <v>KMC5825 AHSFPV0341</v>
      </c>
      <c r="R87" s="53" t="str">
        <f t="array" ref="R87">XLOOKUP($A87,'Recipients REF'!$A:$A,'Recipients REF'!J:J,"",0)</f>
        <v>STS100364</v>
      </c>
      <c r="S87" s="45" t="s">
        <v>27</v>
      </c>
      <c r="T87" s="45" t="s">
        <v>28</v>
      </c>
      <c r="U87" s="46" t="str">
        <f t="array" ref="U87">XLOOKUP($A87,'Recipients REF'!$A:$A,'Recipients REF'!K:K,"",0)</f>
        <v>WR-SERIES 1371PH</v>
      </c>
      <c r="V87" s="44" t="s">
        <v>29</v>
      </c>
      <c r="W87" s="45" t="s">
        <v>30</v>
      </c>
      <c r="X87" s="53" t="str">
        <f t="array" ref="X87">XLOOKUP($A87,'Recipients REF'!$A:$A,'Recipients REF'!L:L,"",0)</f>
        <v>25080336</v>
      </c>
      <c r="Y87" s="48" t="s">
        <v>29</v>
      </c>
      <c r="Z87" s="48" t="s">
        <v>31</v>
      </c>
      <c r="AA87" s="54">
        <f t="array" ref="AA87">XLOOKUP($A87,'Recipients REF'!$A:$A,'Recipients REF'!M:M,"",0)</f>
        <v>25121350</v>
      </c>
      <c r="AB87" s="49"/>
      <c r="AC87" s="42"/>
      <c r="AD87" s="42"/>
      <c r="AE87" s="50"/>
      <c r="AF87" s="42"/>
      <c r="AG87" s="42"/>
      <c r="AH87" s="42"/>
      <c r="AI87" s="42" t="str">
        <f t="array" ref="AI87">XLOOKUP($E87,Sheet11!$D:$D,Sheet11!$X:$X,"",0)</f>
        <v/>
      </c>
      <c r="AJ87" s="42" t="str">
        <f t="array" ref="AJ87">XLOOKUP($E87,Sheet11!$D:$D,Sheet11!$Y:$Y,"",0)</f>
        <v/>
      </c>
    </row>
    <row r="88">
      <c r="A88" s="41">
        <v>913.0</v>
      </c>
      <c r="B88" s="42" t="s">
        <v>199</v>
      </c>
      <c r="C88" s="42" t="s">
        <v>200</v>
      </c>
      <c r="D88" s="42"/>
      <c r="E88" s="42" t="str">
        <f t="shared" ref="E88:F88" si="89">PROPER(B88)</f>
        <v>Catigbian Irrigators' Association, Inc.</v>
      </c>
      <c r="F88" s="42" t="str">
        <f t="shared" si="89"/>
        <v>Catigbian, Buenavista, Bohol</v>
      </c>
      <c r="G88" s="42" t="str">
        <f t="shared" si="3"/>
        <v>Catigbian</v>
      </c>
      <c r="H88" s="42" t="str">
        <f t="shared" si="4"/>
        <v>Buenavista</v>
      </c>
      <c r="I88" s="42" t="str">
        <f t="shared" si="5"/>
        <v>Bohol</v>
      </c>
      <c r="J88" s="42" t="str">
        <f t="array" ref="J88">XLOOKUP($E88,'Recipients REF'!$B:$B,'Recipients REF'!D:D,"",0)</f>
        <v>Adriano Membreve</v>
      </c>
      <c r="K88" s="42" t="str">
        <f t="array" ref="K88">XLOOKUP($E88,'Recipients REF'!$B:$B,'Recipients REF'!E:E,"",0)</f>
        <v>0968-612-1666</v>
      </c>
      <c r="L88" s="43" t="str">
        <f t="array" ref="L88">XLOOKUP($A88,'Recipients REF'!$A:$A,'Recipients REF'!F:F,"",0)</f>
        <v>RCEF 25-03-05</v>
      </c>
      <c r="M88" s="43">
        <f t="array" ref="M88">XLOOKUP($A88,'Recipients REF'!$A:$A,'Recipients REF'!G:G,"",0)</f>
        <v>7</v>
      </c>
      <c r="N88" s="43" t="str">
        <f t="array" ref="N88">XLOOKUP($A88,'Recipients REF'!$A:$A,'Recipients REF'!H:H,"",0)</f>
        <v>26914 &amp; 27956</v>
      </c>
      <c r="O88" s="44" t="s">
        <v>25</v>
      </c>
      <c r="P88" s="45" t="s">
        <v>26</v>
      </c>
      <c r="Q88" s="46" t="str">
        <f t="array" ref="Q88">XLOOKUP($A88,'Recipients REF'!$A:$A,'Recipients REF'!I:I,"",0)</f>
        <v>KMC5825 AKSFPV0251</v>
      </c>
      <c r="R88" s="53" t="str">
        <f t="array" ref="R88">XLOOKUP($A88,'Recipients REF'!$A:$A,'Recipients REF'!J:J,"",0)</f>
        <v>STS100259</v>
      </c>
      <c r="S88" s="45" t="s">
        <v>27</v>
      </c>
      <c r="T88" s="45" t="s">
        <v>28</v>
      </c>
      <c r="U88" s="46" t="str">
        <f t="array" ref="U88">XLOOKUP($A88,'Recipients REF'!$A:$A,'Recipients REF'!K:K,"",0)</f>
        <v>WR-SERIES 1360PH</v>
      </c>
      <c r="V88" s="44" t="s">
        <v>29</v>
      </c>
      <c r="W88" s="45" t="s">
        <v>30</v>
      </c>
      <c r="X88" s="53" t="str">
        <f t="array" ref="X88">XLOOKUP($A88,'Recipients REF'!$A:$A,'Recipients REF'!L:L,"",0)</f>
        <v>25080341</v>
      </c>
      <c r="Y88" s="48" t="s">
        <v>29</v>
      </c>
      <c r="Z88" s="48" t="s">
        <v>31</v>
      </c>
      <c r="AA88" s="54">
        <f t="array" ref="AA88">XLOOKUP($A88,'Recipients REF'!$A:$A,'Recipients REF'!M:M,"",0)</f>
        <v>25121339</v>
      </c>
      <c r="AB88" s="49"/>
      <c r="AC88" s="42"/>
      <c r="AD88" s="42"/>
      <c r="AE88" s="50"/>
      <c r="AF88" s="42"/>
      <c r="AG88" s="42"/>
      <c r="AH88" s="42"/>
      <c r="AI88" s="42" t="str">
        <f t="array" ref="AI88">XLOOKUP($E88,Sheet11!$D:$D,Sheet11!$X:$X,"",0)</f>
        <v/>
      </c>
      <c r="AJ88" s="42" t="str">
        <f t="array" ref="AJ88">XLOOKUP($E88,Sheet11!$D:$D,Sheet11!$Y:$Y,"",0)</f>
        <v/>
      </c>
    </row>
    <row r="89">
      <c r="A89" s="41">
        <v>914.0</v>
      </c>
      <c r="B89" s="42" t="s">
        <v>201</v>
      </c>
      <c r="C89" s="42" t="s">
        <v>202</v>
      </c>
      <c r="D89" s="42"/>
      <c r="E89" s="42" t="str">
        <f t="shared" ref="E89:F89" si="90">PROPER(B89)</f>
        <v>Nagkahugpong Mag-Uuma Sa Cawag (Nmc)</v>
      </c>
      <c r="F89" s="42" t="str">
        <f t="shared" si="90"/>
        <v>Cawag, Buenavista, Bohol</v>
      </c>
      <c r="G89" s="42" t="str">
        <f t="shared" si="3"/>
        <v>Cawag</v>
      </c>
      <c r="H89" s="42" t="str">
        <f t="shared" si="4"/>
        <v>Buenavista</v>
      </c>
      <c r="I89" s="42" t="str">
        <f t="shared" si="5"/>
        <v>Bohol</v>
      </c>
      <c r="J89" s="42" t="str">
        <f t="array" ref="J89">XLOOKUP($E89,'Recipients REF'!$B:$B,'Recipients REF'!D:D,"",0)</f>
        <v>Enemesio T. Degamo Jr.</v>
      </c>
      <c r="K89" s="42" t="str">
        <f t="array" ref="K89">XLOOKUP($E89,'Recipients REF'!$B:$B,'Recipients REF'!E:E,"",0)</f>
        <v>0906-141-9886</v>
      </c>
      <c r="L89" s="43" t="str">
        <f t="array" ref="L89">XLOOKUP($A89,'Recipients REF'!$A:$A,'Recipients REF'!F:F,"",0)</f>
        <v>RCEF 25-03-05</v>
      </c>
      <c r="M89" s="43">
        <f t="array" ref="M89">XLOOKUP($A89,'Recipients REF'!$A:$A,'Recipients REF'!G:G,"",0)</f>
        <v>7</v>
      </c>
      <c r="N89" s="43" t="str">
        <f t="array" ref="N89">XLOOKUP($A89,'Recipients REF'!$A:$A,'Recipients REF'!H:H,"",0)</f>
        <v>26915 &amp; 27957</v>
      </c>
      <c r="O89" s="44" t="s">
        <v>25</v>
      </c>
      <c r="P89" s="45" t="s">
        <v>26</v>
      </c>
      <c r="Q89" s="46" t="str">
        <f t="array" ref="Q89">XLOOKUP($A89,'Recipients REF'!$A:$A,'Recipients REF'!I:I,"",0)</f>
        <v>KMC5825 AVSFPV0254</v>
      </c>
      <c r="R89" s="53" t="str">
        <f t="array" ref="R89">XLOOKUP($A89,'Recipients REF'!$A:$A,'Recipients REF'!J:J,"",0)</f>
        <v>STS100276</v>
      </c>
      <c r="S89" s="45" t="s">
        <v>27</v>
      </c>
      <c r="T89" s="45" t="s">
        <v>28</v>
      </c>
      <c r="U89" s="46" t="str">
        <f t="array" ref="U89">XLOOKUP($A89,'Recipients REF'!$A:$A,'Recipients REF'!K:K,"",0)</f>
        <v>WR-SERIES 1361PH</v>
      </c>
      <c r="V89" s="44" t="s">
        <v>29</v>
      </c>
      <c r="W89" s="45" t="s">
        <v>30</v>
      </c>
      <c r="X89" s="53" t="str">
        <f t="array" ref="X89">XLOOKUP($A89,'Recipients REF'!$A:$A,'Recipients REF'!L:L,"",0)</f>
        <v>25080306</v>
      </c>
      <c r="Y89" s="48" t="s">
        <v>29</v>
      </c>
      <c r="Z89" s="48" t="s">
        <v>31</v>
      </c>
      <c r="AA89" s="54">
        <f t="array" ref="AA89">XLOOKUP($A89,'Recipients REF'!$A:$A,'Recipients REF'!M:M,"",0)</f>
        <v>25121340</v>
      </c>
      <c r="AB89" s="49"/>
      <c r="AC89" s="42"/>
      <c r="AD89" s="42"/>
      <c r="AE89" s="50"/>
      <c r="AF89" s="42"/>
      <c r="AG89" s="42"/>
      <c r="AH89" s="42"/>
      <c r="AI89" s="42" t="str">
        <f t="array" ref="AI89">XLOOKUP($E89,Sheet11!$D:$D,Sheet11!$X:$X,"",0)</f>
        <v/>
      </c>
      <c r="AJ89" s="42" t="str">
        <f t="array" ref="AJ89">XLOOKUP($E89,Sheet11!$D:$D,Sheet11!$Y:$Y,"",0)</f>
        <v/>
      </c>
    </row>
    <row r="90">
      <c r="A90" s="41">
        <v>925.0</v>
      </c>
      <c r="B90" s="42" t="s">
        <v>203</v>
      </c>
      <c r="C90" s="42" t="s">
        <v>204</v>
      </c>
      <c r="D90" s="42"/>
      <c r="E90" s="42" t="str">
        <f t="shared" ref="E90:F90" si="91">PROPER(B90)</f>
        <v>Faith Farmers Association</v>
      </c>
      <c r="F90" s="42" t="str">
        <f t="shared" si="91"/>
        <v>Montesuerte, Carmen, Bohol</v>
      </c>
      <c r="G90" s="42" t="str">
        <f t="shared" si="3"/>
        <v>Montesuerte</v>
      </c>
      <c r="H90" s="42" t="str">
        <f t="shared" si="4"/>
        <v>Carmen</v>
      </c>
      <c r="I90" s="42" t="str">
        <f t="shared" si="5"/>
        <v>Bohol</v>
      </c>
      <c r="J90" s="42" t="str">
        <f t="array" ref="J90">XLOOKUP($E90,'Recipients REF'!$B:$B,'Recipients REF'!D:D,"",0)</f>
        <v>Nerie J. Asucan</v>
      </c>
      <c r="K90" s="42" t="str">
        <f t="array" ref="K90">XLOOKUP($E90,'Recipients REF'!$B:$B,'Recipients REF'!E:E,"",0)</f>
        <v>0916-124-3390</v>
      </c>
      <c r="L90" s="43" t="str">
        <f t="array" ref="L90">XLOOKUP($A90,'Recipients REF'!$A:$A,'Recipients REF'!F:F,"",0)</f>
        <v>RCEF 25-03-05</v>
      </c>
      <c r="M90" s="43">
        <f t="array" ref="M90">XLOOKUP($A90,'Recipients REF'!$A:$A,'Recipients REF'!G:G,"",0)</f>
        <v>7</v>
      </c>
      <c r="N90" s="43" t="str">
        <f t="array" ref="N90">XLOOKUP($A90,'Recipients REF'!$A:$A,'Recipients REF'!H:H,"",0)</f>
        <v>26926 &amp; 27968</v>
      </c>
      <c r="O90" s="44" t="s">
        <v>25</v>
      </c>
      <c r="P90" s="45" t="s">
        <v>26</v>
      </c>
      <c r="Q90" s="46" t="str">
        <f t="array" ref="Q90">XLOOKUP($A90,'Recipients REF'!$A:$A,'Recipients REF'!I:I,"",0)</f>
        <v>KMC5825 AKSFPV0332</v>
      </c>
      <c r="R90" s="53" t="str">
        <f t="array" ref="R90">XLOOKUP($A90,'Recipients REF'!$A:$A,'Recipients REF'!J:J,"",0)</f>
        <v>STS100347</v>
      </c>
      <c r="S90" s="45" t="s">
        <v>27</v>
      </c>
      <c r="T90" s="45" t="s">
        <v>28</v>
      </c>
      <c r="U90" s="46" t="str">
        <f t="array" ref="U90">XLOOKUP($A90,'Recipients REF'!$A:$A,'Recipients REF'!K:K,"",0)</f>
        <v>WR-SERIES 1372PH</v>
      </c>
      <c r="V90" s="44" t="s">
        <v>29</v>
      </c>
      <c r="W90" s="45" t="s">
        <v>30</v>
      </c>
      <c r="X90" s="53" t="str">
        <f t="array" ref="X90">XLOOKUP($A90,'Recipients REF'!$A:$A,'Recipients REF'!L:L,"",0)</f>
        <v>25090466</v>
      </c>
      <c r="Y90" s="48" t="s">
        <v>29</v>
      </c>
      <c r="Z90" s="48" t="s">
        <v>31</v>
      </c>
      <c r="AA90" s="54">
        <f t="array" ref="AA90">XLOOKUP($A90,'Recipients REF'!$A:$A,'Recipients REF'!M:M,"",0)</f>
        <v>25121351</v>
      </c>
      <c r="AB90" s="49"/>
      <c r="AC90" s="42"/>
      <c r="AD90" s="42"/>
      <c r="AE90" s="50"/>
      <c r="AF90" s="42"/>
      <c r="AG90" s="42"/>
      <c r="AH90" s="42"/>
      <c r="AI90" s="42" t="str">
        <f t="array" ref="AI90">XLOOKUP($E90,Sheet11!$D:$D,Sheet11!$X:$X,"",0)</f>
        <v/>
      </c>
      <c r="AJ90" s="42" t="str">
        <f t="array" ref="AJ90">XLOOKUP($E90,Sheet11!$D:$D,Sheet11!$Y:$Y,"",0)</f>
        <v/>
      </c>
    </row>
    <row r="91">
      <c r="A91" s="41">
        <v>912.0</v>
      </c>
      <c r="B91" s="42" t="s">
        <v>205</v>
      </c>
      <c r="C91" s="42" t="s">
        <v>206</v>
      </c>
      <c r="D91" s="42"/>
      <c r="E91" s="42" t="str">
        <f t="shared" ref="E91:F91" si="92">PROPER(B91)</f>
        <v>Causwagan Norte Catigbian Farmers Agriculture Cooperative (Cancafac)</v>
      </c>
      <c r="F91" s="42" t="str">
        <f t="shared" si="92"/>
        <v>Causwagan Norte, Catigbian, Bohol</v>
      </c>
      <c r="G91" s="42" t="str">
        <f t="shared" si="3"/>
        <v>Causwagan Norte</v>
      </c>
      <c r="H91" s="42" t="str">
        <f t="shared" si="4"/>
        <v>Catigbian</v>
      </c>
      <c r="I91" s="42" t="str">
        <f t="shared" si="5"/>
        <v>Bohol</v>
      </c>
      <c r="J91" s="42" t="str">
        <f t="array" ref="J91">XLOOKUP($E91,'Recipients REF'!$B:$B,'Recipients REF'!D:D,"",0)</f>
        <v>Leonila G. Buhawe</v>
      </c>
      <c r="K91" s="42" t="str">
        <f t="array" ref="K91">XLOOKUP($E91,'Recipients REF'!$B:$B,'Recipients REF'!E:E,"",0)</f>
        <v>0909-197-6464</v>
      </c>
      <c r="L91" s="43" t="str">
        <f t="array" ref="L91">XLOOKUP($A91,'Recipients REF'!$A:$A,'Recipients REF'!F:F,"",0)</f>
        <v>RCEF 25-03-05</v>
      </c>
      <c r="M91" s="43">
        <f t="array" ref="M91">XLOOKUP($A91,'Recipients REF'!$A:$A,'Recipients REF'!G:G,"",0)</f>
        <v>7</v>
      </c>
      <c r="N91" s="43" t="str">
        <f t="array" ref="N91">XLOOKUP($A91,'Recipients REF'!$A:$A,'Recipients REF'!H:H,"",0)</f>
        <v>26913 &amp; 27955</v>
      </c>
      <c r="O91" s="44" t="s">
        <v>25</v>
      </c>
      <c r="P91" s="45" t="s">
        <v>26</v>
      </c>
      <c r="Q91" s="46" t="str">
        <f t="array" ref="Q91">XLOOKUP($A91,'Recipients REF'!$A:$A,'Recipients REF'!I:I,"",0)</f>
        <v>KMC5825 ALSFPV0290</v>
      </c>
      <c r="R91" s="53" t="str">
        <f t="array" ref="R91">XLOOKUP($A91,'Recipients REF'!$A:$A,'Recipients REF'!J:J,"",0)</f>
        <v>STS100288</v>
      </c>
      <c r="S91" s="45" t="s">
        <v>27</v>
      </c>
      <c r="T91" s="45" t="s">
        <v>28</v>
      </c>
      <c r="U91" s="46" t="str">
        <f t="array" ref="U91">XLOOKUP($A91,'Recipients REF'!$A:$A,'Recipients REF'!K:K,"",0)</f>
        <v>WR-SERIES 1359PH</v>
      </c>
      <c r="V91" s="44" t="s">
        <v>29</v>
      </c>
      <c r="W91" s="45" t="s">
        <v>30</v>
      </c>
      <c r="X91" s="53" t="str">
        <f t="array" ref="X91">XLOOKUP($A91,'Recipients REF'!$A:$A,'Recipients REF'!L:L,"",0)</f>
        <v>25090467</v>
      </c>
      <c r="Y91" s="48" t="s">
        <v>29</v>
      </c>
      <c r="Z91" s="48" t="s">
        <v>31</v>
      </c>
      <c r="AA91" s="54">
        <f t="array" ref="AA91">XLOOKUP($A91,'Recipients REF'!$A:$A,'Recipients REF'!M:M,"",0)</f>
        <v>25121338</v>
      </c>
      <c r="AB91" s="49"/>
      <c r="AC91" s="42"/>
      <c r="AD91" s="42"/>
      <c r="AE91" s="50"/>
      <c r="AF91" s="42"/>
      <c r="AG91" s="42"/>
      <c r="AH91" s="42"/>
      <c r="AI91" s="42" t="str">
        <f t="array" ref="AI91">XLOOKUP($E91,Sheet11!$D:$D,Sheet11!$X:$X,"",0)</f>
        <v/>
      </c>
      <c r="AJ91" s="42" t="str">
        <f t="array" ref="AJ91">XLOOKUP($E91,Sheet11!$D:$D,Sheet11!$Y:$Y,"",0)</f>
        <v/>
      </c>
    </row>
    <row r="92">
      <c r="A92" s="41">
        <v>915.0</v>
      </c>
      <c r="B92" s="42" t="s">
        <v>207</v>
      </c>
      <c r="C92" s="42" t="s">
        <v>208</v>
      </c>
      <c r="D92" s="42"/>
      <c r="E92" s="42" t="str">
        <f t="shared" ref="E92:F92" si="93">PROPER(B92)</f>
        <v>Danahaw Farmers Association (Dafa)</v>
      </c>
      <c r="F92" s="42" t="str">
        <f t="shared" si="93"/>
        <v>Danahao, Clarin, Bohol</v>
      </c>
      <c r="G92" s="42" t="str">
        <f t="shared" si="3"/>
        <v>Danahao</v>
      </c>
      <c r="H92" s="42" t="str">
        <f t="shared" si="4"/>
        <v>Clarin</v>
      </c>
      <c r="I92" s="42" t="str">
        <f t="shared" si="5"/>
        <v>Bohol</v>
      </c>
      <c r="J92" s="42" t="str">
        <f t="array" ref="J92">XLOOKUP($E92,'Recipients REF'!$B:$B,'Recipients REF'!D:D,"",0)</f>
        <v>Julieto C. Infesto</v>
      </c>
      <c r="K92" s="42" t="str">
        <f t="array" ref="K92">XLOOKUP($E92,'Recipients REF'!$B:$B,'Recipients REF'!E:E,"",0)</f>
        <v>0912-532-6739</v>
      </c>
      <c r="L92" s="43" t="str">
        <f t="array" ref="L92">XLOOKUP($A92,'Recipients REF'!$A:$A,'Recipients REF'!F:F,"",0)</f>
        <v>RCEF 25-03-05</v>
      </c>
      <c r="M92" s="43">
        <f t="array" ref="M92">XLOOKUP($A92,'Recipients REF'!$A:$A,'Recipients REF'!G:G,"",0)</f>
        <v>7</v>
      </c>
      <c r="N92" s="43" t="str">
        <f t="array" ref="N92">XLOOKUP($A92,'Recipients REF'!$A:$A,'Recipients REF'!H:H,"",0)</f>
        <v>26916 &amp; 27958</v>
      </c>
      <c r="O92" s="44" t="s">
        <v>25</v>
      </c>
      <c r="P92" s="45" t="s">
        <v>26</v>
      </c>
      <c r="Q92" s="46" t="str">
        <f t="array" ref="Q92">XLOOKUP($A92,'Recipients REF'!$A:$A,'Recipients REF'!I:I,"",0)</f>
        <v>KMC5825 AJSFPV0171</v>
      </c>
      <c r="R92" s="53" t="str">
        <f t="array" ref="R92">XLOOKUP($A92,'Recipients REF'!$A:$A,'Recipients REF'!J:J,"",0)</f>
        <v>STS100198</v>
      </c>
      <c r="S92" s="45" t="s">
        <v>27</v>
      </c>
      <c r="T92" s="45" t="s">
        <v>28</v>
      </c>
      <c r="U92" s="46" t="str">
        <f t="array" ref="U92">XLOOKUP($A92,'Recipients REF'!$A:$A,'Recipients REF'!K:K,"",0)</f>
        <v>WR-SERIES 1362PH</v>
      </c>
      <c r="V92" s="44" t="s">
        <v>29</v>
      </c>
      <c r="W92" s="45" t="s">
        <v>30</v>
      </c>
      <c r="X92" s="53" t="str">
        <f t="array" ref="X92">XLOOKUP($A92,'Recipients REF'!$A:$A,'Recipients REF'!L:L,"",0)</f>
        <v>25080326</v>
      </c>
      <c r="Y92" s="48" t="s">
        <v>29</v>
      </c>
      <c r="Z92" s="48" t="s">
        <v>31</v>
      </c>
      <c r="AA92" s="54">
        <f t="array" ref="AA92">XLOOKUP($A92,'Recipients REF'!$A:$A,'Recipients REF'!M:M,"",0)</f>
        <v>25121341</v>
      </c>
      <c r="AB92" s="49"/>
      <c r="AC92" s="42"/>
      <c r="AD92" s="42"/>
      <c r="AE92" s="50"/>
      <c r="AF92" s="42"/>
      <c r="AG92" s="42"/>
      <c r="AH92" s="42"/>
      <c r="AI92" s="42" t="str">
        <f t="array" ref="AI92">XLOOKUP($E92,Sheet11!$D:$D,Sheet11!$X:$X,"",0)</f>
        <v/>
      </c>
      <c r="AJ92" s="42" t="str">
        <f t="array" ref="AJ92">XLOOKUP($E92,Sheet11!$D:$D,Sheet11!$Y:$Y,"",0)</f>
        <v/>
      </c>
    </row>
    <row r="93">
      <c r="A93" s="41">
        <v>916.0</v>
      </c>
      <c r="B93" s="42" t="s">
        <v>209</v>
      </c>
      <c r="C93" s="42" t="s">
        <v>210</v>
      </c>
      <c r="D93" s="42"/>
      <c r="E93" s="42" t="str">
        <f t="shared" ref="E93:F93" si="94">PROPER(B93)</f>
        <v>Pob-Can Clarin Irrigators Association Inc</v>
      </c>
      <c r="F93" s="42" t="str">
        <f t="shared" si="94"/>
        <v>Candajec, Clarin, Bohol</v>
      </c>
      <c r="G93" s="42" t="str">
        <f t="shared" si="3"/>
        <v>Candajec</v>
      </c>
      <c r="H93" s="42" t="str">
        <f t="shared" si="4"/>
        <v>Clarin</v>
      </c>
      <c r="I93" s="42" t="str">
        <f t="shared" si="5"/>
        <v>Bohol</v>
      </c>
      <c r="J93" s="42" t="str">
        <f t="array" ref="J93">XLOOKUP($E93,'Recipients REF'!$B:$B,'Recipients REF'!D:D,"",0)</f>
        <v>Maxima Z. Pelesores</v>
      </c>
      <c r="K93" s="42" t="str">
        <f t="array" ref="K93">XLOOKUP($E93,'Recipients REF'!$B:$B,'Recipients REF'!E:E,"",0)</f>
        <v>0970-524-8113</v>
      </c>
      <c r="L93" s="43" t="str">
        <f t="array" ref="L93">XLOOKUP($A93,'Recipients REF'!$A:$A,'Recipients REF'!F:F,"",0)</f>
        <v>RCEF 25-03-05</v>
      </c>
      <c r="M93" s="43">
        <f t="array" ref="M93">XLOOKUP($A93,'Recipients REF'!$A:$A,'Recipients REF'!G:G,"",0)</f>
        <v>7</v>
      </c>
      <c r="N93" s="43" t="str">
        <f t="array" ref="N93">XLOOKUP($A93,'Recipients REF'!$A:$A,'Recipients REF'!H:H,"",0)</f>
        <v>26917 &amp; 27959</v>
      </c>
      <c r="O93" s="44" t="s">
        <v>25</v>
      </c>
      <c r="P93" s="45" t="s">
        <v>26</v>
      </c>
      <c r="Q93" s="46" t="str">
        <f t="array" ref="Q93">XLOOKUP($A93,'Recipients REF'!$A:$A,'Recipients REF'!I:I,"",0)</f>
        <v>KMC5825 AVSFPV0208</v>
      </c>
      <c r="R93" s="53" t="str">
        <f t="array" ref="R93">XLOOKUP($A93,'Recipients REF'!$A:$A,'Recipients REF'!J:J,"",0)</f>
        <v>STS100300</v>
      </c>
      <c r="S93" s="45" t="s">
        <v>27</v>
      </c>
      <c r="T93" s="45" t="s">
        <v>28</v>
      </c>
      <c r="U93" s="46" t="str">
        <f t="array" ref="U93">XLOOKUP($A93,'Recipients REF'!$A:$A,'Recipients REF'!K:K,"",0)</f>
        <v>WR-SERIES 1363PH</v>
      </c>
      <c r="V93" s="44" t="s">
        <v>29</v>
      </c>
      <c r="W93" s="45" t="s">
        <v>30</v>
      </c>
      <c r="X93" s="53" t="str">
        <f t="array" ref="X93">XLOOKUP($A93,'Recipients REF'!$A:$A,'Recipients REF'!L:L,"",0)</f>
        <v>25090468</v>
      </c>
      <c r="Y93" s="48" t="s">
        <v>29</v>
      </c>
      <c r="Z93" s="48" t="s">
        <v>31</v>
      </c>
      <c r="AA93" s="54">
        <f t="array" ref="AA93">XLOOKUP($A93,'Recipients REF'!$A:$A,'Recipients REF'!M:M,"",0)</f>
        <v>25121342</v>
      </c>
      <c r="AB93" s="49"/>
      <c r="AC93" s="42"/>
      <c r="AD93" s="42"/>
      <c r="AE93" s="50"/>
      <c r="AF93" s="42"/>
      <c r="AG93" s="42"/>
      <c r="AH93" s="42"/>
      <c r="AI93" s="42" t="str">
        <f t="array" ref="AI93">XLOOKUP($E93,Sheet11!$D:$D,Sheet11!$X:$X,"",0)</f>
        <v/>
      </c>
      <c r="AJ93" s="42" t="str">
        <f t="array" ref="AJ93">XLOOKUP($E93,Sheet11!$D:$D,Sheet11!$Y:$Y,"",0)</f>
        <v/>
      </c>
    </row>
    <row r="94">
      <c r="A94" s="41">
        <v>926.0</v>
      </c>
      <c r="B94" s="42" t="s">
        <v>211</v>
      </c>
      <c r="C94" s="42" t="s">
        <v>212</v>
      </c>
      <c r="D94" s="42"/>
      <c r="E94" s="42" t="str">
        <f t="shared" ref="E94:F94" si="95">PROPER(B94)</f>
        <v>Cansiwang-Tabunok Small Irrigators' Association (Ctsia)</v>
      </c>
      <c r="F94" s="42" t="str">
        <f t="shared" si="95"/>
        <v>, Guindulman, Bohol</v>
      </c>
      <c r="G94" s="42" t="str">
        <f t="shared" si="3"/>
        <v/>
      </c>
      <c r="H94" s="42" t="str">
        <f t="shared" si="4"/>
        <v>Guindulman</v>
      </c>
      <c r="I94" s="42" t="str">
        <f t="shared" si="5"/>
        <v>Bohol</v>
      </c>
      <c r="J94" s="42" t="str">
        <f t="array" ref="J94">XLOOKUP($E94,'Recipients REF'!$B:$B,'Recipients REF'!D:D,"",0)</f>
        <v>Demetrio Peligro</v>
      </c>
      <c r="K94" s="42" t="str">
        <f t="array" ref="K94">XLOOKUP($E94,'Recipients REF'!$B:$B,'Recipients REF'!E:E,"",0)</f>
        <v>0956-586-2855</v>
      </c>
      <c r="L94" s="43" t="str">
        <f t="array" ref="L94">XLOOKUP($A94,'Recipients REF'!$A:$A,'Recipients REF'!F:F,"",0)</f>
        <v>RCEF 25-03-05</v>
      </c>
      <c r="M94" s="43">
        <f t="array" ref="M94">XLOOKUP($A94,'Recipients REF'!$A:$A,'Recipients REF'!G:G,"",0)</f>
        <v>7</v>
      </c>
      <c r="N94" s="43" t="str">
        <f t="array" ref="N94">XLOOKUP($A94,'Recipients REF'!$A:$A,'Recipients REF'!H:H,"",0)</f>
        <v>26927 &amp; 27969</v>
      </c>
      <c r="O94" s="44" t="s">
        <v>25</v>
      </c>
      <c r="P94" s="45" t="s">
        <v>26</v>
      </c>
      <c r="Q94" s="46" t="str">
        <f t="array" ref="Q94">XLOOKUP($A94,'Recipients REF'!$A:$A,'Recipients REF'!I:I,"",0)</f>
        <v>KMC5825 ACSFPV0293</v>
      </c>
      <c r="R94" s="53" t="str">
        <f t="array" ref="R94">XLOOKUP($A94,'Recipients REF'!$A:$A,'Recipients REF'!J:J,"",0)</f>
        <v>STS100298</v>
      </c>
      <c r="S94" s="45" t="s">
        <v>27</v>
      </c>
      <c r="T94" s="45" t="s">
        <v>28</v>
      </c>
      <c r="U94" s="46" t="str">
        <f t="array" ref="U94">XLOOKUP($A94,'Recipients REF'!$A:$A,'Recipients REF'!K:K,"",0)</f>
        <v>WR-SERIES 1373PH</v>
      </c>
      <c r="V94" s="44" t="s">
        <v>29</v>
      </c>
      <c r="W94" s="45" t="s">
        <v>30</v>
      </c>
      <c r="X94" s="53" t="str">
        <f t="array" ref="X94">XLOOKUP($A94,'Recipients REF'!$A:$A,'Recipients REF'!L:L,"",0)</f>
        <v>25080327</v>
      </c>
      <c r="Y94" s="48" t="s">
        <v>29</v>
      </c>
      <c r="Z94" s="48" t="s">
        <v>31</v>
      </c>
      <c r="AA94" s="54">
        <f t="array" ref="AA94">XLOOKUP($A94,'Recipients REF'!$A:$A,'Recipients REF'!M:M,"",0)</f>
        <v>25121352</v>
      </c>
      <c r="AB94" s="49"/>
      <c r="AC94" s="42"/>
      <c r="AD94" s="42"/>
      <c r="AE94" s="50"/>
      <c r="AF94" s="42"/>
      <c r="AG94" s="42"/>
      <c r="AH94" s="42"/>
      <c r="AI94" s="42" t="str">
        <f t="array" ref="AI94">XLOOKUP($E94,Sheet11!$D:$D,Sheet11!$X:$X,"",0)</f>
        <v/>
      </c>
      <c r="AJ94" s="42" t="str">
        <f t="array" ref="AJ94">XLOOKUP($E94,Sheet11!$D:$D,Sheet11!$Y:$Y,"",0)</f>
        <v/>
      </c>
    </row>
    <row r="95">
      <c r="A95" s="41">
        <v>927.0</v>
      </c>
      <c r="B95" s="42" t="s">
        <v>213</v>
      </c>
      <c r="C95" s="42" t="s">
        <v>212</v>
      </c>
      <c r="D95" s="42"/>
      <c r="E95" s="42" t="str">
        <f t="shared" ref="E95:F95" si="96">PROPER(B95)</f>
        <v>Pandayon-Cambarong Irrigators Association Inc.</v>
      </c>
      <c r="F95" s="42" t="str">
        <f t="shared" si="96"/>
        <v>, Guindulman, Bohol</v>
      </c>
      <c r="G95" s="42" t="str">
        <f t="shared" si="3"/>
        <v/>
      </c>
      <c r="H95" s="42" t="str">
        <f t="shared" si="4"/>
        <v>Guindulman</v>
      </c>
      <c r="I95" s="42" t="str">
        <f t="shared" si="5"/>
        <v>Bohol</v>
      </c>
      <c r="J95" s="42" t="str">
        <f t="array" ref="J95">XLOOKUP($E95,'Recipients REF'!$B:$B,'Recipients REF'!D:D,"",0)</f>
        <v>Marcelo B. Busgano</v>
      </c>
      <c r="K95" s="42" t="str">
        <f t="array" ref="K95">XLOOKUP($E95,'Recipients REF'!$B:$B,'Recipients REF'!E:E,"",0)</f>
        <v>0926-183-7023</v>
      </c>
      <c r="L95" s="43" t="str">
        <f t="array" ref="L95">XLOOKUP($A95,'Recipients REF'!$A:$A,'Recipients REF'!F:F,"",0)</f>
        <v>RCEF 25-03-05</v>
      </c>
      <c r="M95" s="43">
        <f t="array" ref="M95">XLOOKUP($A95,'Recipients REF'!$A:$A,'Recipients REF'!G:G,"",0)</f>
        <v>7</v>
      </c>
      <c r="N95" s="43" t="str">
        <f t="array" ref="N95">XLOOKUP($A95,'Recipients REF'!$A:$A,'Recipients REF'!H:H,"",0)</f>
        <v>26928 &amp; 27970</v>
      </c>
      <c r="O95" s="44" t="s">
        <v>25</v>
      </c>
      <c r="P95" s="45" t="s">
        <v>26</v>
      </c>
      <c r="Q95" s="46" t="str">
        <f t="array" ref="Q95">XLOOKUP($A95,'Recipients REF'!$A:$A,'Recipients REF'!I:I,"",0)</f>
        <v>KMC5825 ACSFPV0284</v>
      </c>
      <c r="R95" s="53" t="str">
        <f t="array" ref="R95">XLOOKUP($A95,'Recipients REF'!$A:$A,'Recipients REF'!J:J,"",0)</f>
        <v>STS100291</v>
      </c>
      <c r="S95" s="45" t="s">
        <v>27</v>
      </c>
      <c r="T95" s="45" t="s">
        <v>28</v>
      </c>
      <c r="U95" s="46" t="str">
        <f t="array" ref="U95">XLOOKUP($A95,'Recipients REF'!$A:$A,'Recipients REF'!K:K,"",0)</f>
        <v>WR-SERIES 1374PH</v>
      </c>
      <c r="V95" s="44" t="s">
        <v>29</v>
      </c>
      <c r="W95" s="45" t="s">
        <v>30</v>
      </c>
      <c r="X95" s="53" t="str">
        <f t="array" ref="X95">XLOOKUP($A95,'Recipients REF'!$A:$A,'Recipients REF'!L:L,"",0)</f>
        <v>25090454</v>
      </c>
      <c r="Y95" s="48" t="s">
        <v>29</v>
      </c>
      <c r="Z95" s="48" t="s">
        <v>31</v>
      </c>
      <c r="AA95" s="54">
        <f t="array" ref="AA95">XLOOKUP($A95,'Recipients REF'!$A:$A,'Recipients REF'!M:M,"",0)</f>
        <v>25121353</v>
      </c>
      <c r="AB95" s="49"/>
      <c r="AC95" s="42"/>
      <c r="AD95" s="42"/>
      <c r="AE95" s="50"/>
      <c r="AF95" s="42"/>
      <c r="AG95" s="42"/>
      <c r="AH95" s="42"/>
      <c r="AI95" s="42" t="str">
        <f t="array" ref="AI95">XLOOKUP($E95,Sheet11!$D:$D,Sheet11!$X:$X,"",0)</f>
        <v/>
      </c>
      <c r="AJ95" s="42" t="str">
        <f t="array" ref="AJ95">XLOOKUP($E95,Sheet11!$D:$D,Sheet11!$Y:$Y,"",0)</f>
        <v/>
      </c>
    </row>
    <row r="96">
      <c r="A96" s="41">
        <v>917.0</v>
      </c>
      <c r="B96" s="42" t="s">
        <v>214</v>
      </c>
      <c r="C96" s="42" t="s">
        <v>215</v>
      </c>
      <c r="D96" s="42"/>
      <c r="E96" s="42" t="str">
        <f t="shared" ref="E96:F96" si="97">PROPER(B96)</f>
        <v>Liloan Sur Farmers Association</v>
      </c>
      <c r="F96" s="42" t="str">
        <f t="shared" si="97"/>
        <v>, Inabanga, Bohol</v>
      </c>
      <c r="G96" s="42" t="str">
        <f t="shared" si="3"/>
        <v/>
      </c>
      <c r="H96" s="42" t="str">
        <f t="shared" si="4"/>
        <v>Inabanga</v>
      </c>
      <c r="I96" s="42" t="str">
        <f t="shared" si="5"/>
        <v>Bohol</v>
      </c>
      <c r="J96" s="42" t="str">
        <f t="array" ref="J96">XLOOKUP($E96,'Recipients REF'!$B:$B,'Recipients REF'!D:D,"",0)</f>
        <v>Gorgonio E. Celmar</v>
      </c>
      <c r="K96" s="42" t="str">
        <f t="array" ref="K96">XLOOKUP($E96,'Recipients REF'!$B:$B,'Recipients REF'!E:E,"",0)</f>
        <v>0912-262-6358/0991-593-6158 Diosdada Celerian (Vice)</v>
      </c>
      <c r="L96" s="43" t="str">
        <f t="array" ref="L96">XLOOKUP($A96,'Recipients REF'!$A:$A,'Recipients REF'!F:F,"",0)</f>
        <v>RCEF 25-03-05</v>
      </c>
      <c r="M96" s="43">
        <f t="array" ref="M96">XLOOKUP($A96,'Recipients REF'!$A:$A,'Recipients REF'!G:G,"",0)</f>
        <v>7</v>
      </c>
      <c r="N96" s="43" t="str">
        <f t="array" ref="N96">XLOOKUP($A96,'Recipients REF'!$A:$A,'Recipients REF'!H:H,"",0)</f>
        <v>26918 &amp; 27960</v>
      </c>
      <c r="O96" s="44" t="s">
        <v>25</v>
      </c>
      <c r="P96" s="45" t="s">
        <v>26</v>
      </c>
      <c r="Q96" s="46" t="str">
        <f t="array" ref="Q96">XLOOKUP($A96,'Recipients REF'!$A:$A,'Recipients REF'!I:I,"",0)</f>
        <v>KMC5825 ATSFPV0215</v>
      </c>
      <c r="R96" s="53" t="str">
        <f t="array" ref="R96">XLOOKUP($A96,'Recipients REF'!$A:$A,'Recipients REF'!J:J,"",0)</f>
        <v>STS100222</v>
      </c>
      <c r="S96" s="45" t="s">
        <v>27</v>
      </c>
      <c r="T96" s="45" t="s">
        <v>28</v>
      </c>
      <c r="U96" s="46" t="str">
        <f t="array" ref="U96">XLOOKUP($A96,'Recipients REF'!$A:$A,'Recipients REF'!K:K,"",0)</f>
        <v>WR-SERIES 1364PH</v>
      </c>
      <c r="V96" s="44" t="s">
        <v>29</v>
      </c>
      <c r="W96" s="45" t="s">
        <v>30</v>
      </c>
      <c r="X96" s="53" t="str">
        <f t="array" ref="X96">XLOOKUP($A96,'Recipients REF'!$A:$A,'Recipients REF'!L:L,"",0)</f>
        <v>25080362</v>
      </c>
      <c r="Y96" s="48" t="s">
        <v>29</v>
      </c>
      <c r="Z96" s="48" t="s">
        <v>31</v>
      </c>
      <c r="AA96" s="54">
        <f t="array" ref="AA96">XLOOKUP($A96,'Recipients REF'!$A:$A,'Recipients REF'!M:M,"",0)</f>
        <v>25121343</v>
      </c>
      <c r="AB96" s="49"/>
      <c r="AC96" s="42"/>
      <c r="AD96" s="42"/>
      <c r="AE96" s="50"/>
      <c r="AF96" s="42"/>
      <c r="AG96" s="42"/>
      <c r="AH96" s="42"/>
      <c r="AI96" s="42" t="str">
        <f t="array" ref="AI96">XLOOKUP($E96,Sheet11!$D:$D,Sheet11!$X:$X,"",0)</f>
        <v/>
      </c>
      <c r="AJ96" s="42" t="str">
        <f t="array" ref="AJ96">XLOOKUP($E96,Sheet11!$D:$D,Sheet11!$Y:$Y,"",0)</f>
        <v/>
      </c>
    </row>
    <row r="97">
      <c r="A97" s="41">
        <v>928.0</v>
      </c>
      <c r="B97" s="42" t="s">
        <v>216</v>
      </c>
      <c r="C97" s="42" t="s">
        <v>217</v>
      </c>
      <c r="D97" s="42"/>
      <c r="E97" s="42" t="str">
        <f t="shared" ref="E97:F97" si="98">PROPER(B97)</f>
        <v>Mabini-Cayacay Irrigators' Association Inc.</v>
      </c>
      <c r="F97" s="42" t="str">
        <f t="shared" si="98"/>
        <v>Abaca, Mabini, Bohol</v>
      </c>
      <c r="G97" s="42" t="str">
        <f t="shared" si="3"/>
        <v>Abaca</v>
      </c>
      <c r="H97" s="42" t="str">
        <f t="shared" si="4"/>
        <v>Mabini</v>
      </c>
      <c r="I97" s="42" t="str">
        <f t="shared" si="5"/>
        <v>Bohol</v>
      </c>
      <c r="J97" s="42" t="str">
        <f t="array" ref="J97">XLOOKUP($E97,'Recipients REF'!$B:$B,'Recipients REF'!D:D,"",0)</f>
        <v>Rito S. Muring</v>
      </c>
      <c r="K97" s="42" t="str">
        <f t="array" ref="K97">XLOOKUP($E97,'Recipients REF'!$B:$B,'Recipients REF'!E:E,"",0)</f>
        <v>0998-384-4763</v>
      </c>
      <c r="L97" s="43" t="str">
        <f t="array" ref="L97">XLOOKUP($A97,'Recipients REF'!$A:$A,'Recipients REF'!F:F,"",0)</f>
        <v>RCEF 25-03-05</v>
      </c>
      <c r="M97" s="43">
        <f t="array" ref="M97">XLOOKUP($A97,'Recipients REF'!$A:$A,'Recipients REF'!G:G,"",0)</f>
        <v>7</v>
      </c>
      <c r="N97" s="43" t="str">
        <f t="array" ref="N97">XLOOKUP($A97,'Recipients REF'!$A:$A,'Recipients REF'!H:H,"",0)</f>
        <v>26929 &amp; 27971</v>
      </c>
      <c r="O97" s="44" t="s">
        <v>25</v>
      </c>
      <c r="P97" s="45" t="s">
        <v>26</v>
      </c>
      <c r="Q97" s="46" t="str">
        <f t="array" ref="Q97">XLOOKUP($A97,'Recipients REF'!$A:$A,'Recipients REF'!I:I,"",0)</f>
        <v>KMC5825 AESFPV0230</v>
      </c>
      <c r="R97" s="53" t="str">
        <f t="array" ref="R97">XLOOKUP($A97,'Recipients REF'!$A:$A,'Recipients REF'!J:J,"",0)</f>
        <v>STS100173</v>
      </c>
      <c r="S97" s="45" t="s">
        <v>27</v>
      </c>
      <c r="T97" s="45" t="s">
        <v>28</v>
      </c>
      <c r="U97" s="46" t="str">
        <f t="array" ref="U97">XLOOKUP($A97,'Recipients REF'!$A:$A,'Recipients REF'!K:K,"",0)</f>
        <v>WR-SERIES 1375PH</v>
      </c>
      <c r="V97" s="44" t="s">
        <v>29</v>
      </c>
      <c r="W97" s="45" t="s">
        <v>30</v>
      </c>
      <c r="X97" s="53" t="str">
        <f t="array" ref="X97">XLOOKUP($A97,'Recipients REF'!$A:$A,'Recipients REF'!L:L,"",0)</f>
        <v>25080334</v>
      </c>
      <c r="Y97" s="48" t="s">
        <v>29</v>
      </c>
      <c r="Z97" s="48" t="s">
        <v>31</v>
      </c>
      <c r="AA97" s="54">
        <f t="array" ref="AA97">XLOOKUP($A97,'Recipients REF'!$A:$A,'Recipients REF'!M:M,"",0)</f>
        <v>25121354</v>
      </c>
      <c r="AB97" s="49"/>
      <c r="AC97" s="42"/>
      <c r="AD97" s="42"/>
      <c r="AE97" s="51"/>
      <c r="AF97" s="52"/>
      <c r="AG97" s="42"/>
      <c r="AH97" s="42"/>
      <c r="AI97" s="42" t="str">
        <f t="array" ref="AI97">XLOOKUP($E97,Sheet11!$D:$D,Sheet11!$X:$X,"",0)</f>
        <v/>
      </c>
      <c r="AJ97" s="42" t="str">
        <f t="array" ref="AJ97">XLOOKUP($E97,Sheet11!$D:$D,Sheet11!$Y:$Y,"",0)</f>
        <v/>
      </c>
    </row>
    <row r="98">
      <c r="A98" s="41">
        <v>929.0</v>
      </c>
      <c r="B98" s="42" t="s">
        <v>218</v>
      </c>
      <c r="C98" s="42" t="s">
        <v>219</v>
      </c>
      <c r="D98" s="42"/>
      <c r="E98" s="42" t="str">
        <f t="shared" ref="E98:F98" si="99">PROPER(B98)</f>
        <v>Mandawa-Pitao Irrigators' Association Inc.</v>
      </c>
      <c r="F98" s="42" t="str">
        <f t="shared" si="99"/>
        <v>San Isidro, Pilar, Bohol</v>
      </c>
      <c r="G98" s="42" t="str">
        <f t="shared" si="3"/>
        <v>San Isidro</v>
      </c>
      <c r="H98" s="42" t="str">
        <f t="shared" si="4"/>
        <v>Pilar</v>
      </c>
      <c r="I98" s="42" t="str">
        <f t="shared" si="5"/>
        <v>Bohol</v>
      </c>
      <c r="J98" s="42" t="str">
        <f t="array" ref="J98">XLOOKUP($E98,'Recipients REF'!$B:$B,'Recipients REF'!D:D,"",0)</f>
        <v>Raul P. Agang</v>
      </c>
      <c r="K98" s="42" t="str">
        <f t="array" ref="K98">XLOOKUP($E98,'Recipients REF'!$B:$B,'Recipients REF'!E:E,"",0)</f>
        <v>0994-119-4741</v>
      </c>
      <c r="L98" s="43" t="str">
        <f t="array" ref="L98">XLOOKUP($A98,'Recipients REF'!$A:$A,'Recipients REF'!F:F,"",0)</f>
        <v>RCEF 25-03-05</v>
      </c>
      <c r="M98" s="43">
        <f t="array" ref="M98">XLOOKUP($A98,'Recipients REF'!$A:$A,'Recipients REF'!G:G,"",0)</f>
        <v>7</v>
      </c>
      <c r="N98" s="43" t="str">
        <f t="array" ref="N98">XLOOKUP($A98,'Recipients REF'!$A:$A,'Recipients REF'!H:H,"",0)</f>
        <v>26930 &amp; 27972</v>
      </c>
      <c r="O98" s="44" t="s">
        <v>25</v>
      </c>
      <c r="P98" s="45" t="s">
        <v>26</v>
      </c>
      <c r="Q98" s="46" t="str">
        <f t="array" ref="Q98">XLOOKUP($A98,'Recipients REF'!$A:$A,'Recipients REF'!I:I,"",0)</f>
        <v>KMC5825 AJSFPV0168</v>
      </c>
      <c r="R98" s="53" t="str">
        <f t="array" ref="R98">XLOOKUP($A98,'Recipients REF'!$A:$A,'Recipients REF'!J:J,"",0)</f>
        <v>STS100180</v>
      </c>
      <c r="S98" s="45" t="s">
        <v>27</v>
      </c>
      <c r="T98" s="45" t="s">
        <v>28</v>
      </c>
      <c r="U98" s="46" t="str">
        <f t="array" ref="U98">XLOOKUP($A98,'Recipients REF'!$A:$A,'Recipients REF'!K:K,"",0)</f>
        <v>WR-SERIES 1376PH</v>
      </c>
      <c r="V98" s="44" t="s">
        <v>29</v>
      </c>
      <c r="W98" s="45" t="s">
        <v>30</v>
      </c>
      <c r="X98" s="53" t="str">
        <f t="array" ref="X98">XLOOKUP($A98,'Recipients REF'!$A:$A,'Recipients REF'!L:L,"",0)</f>
        <v>25090617</v>
      </c>
      <c r="Y98" s="48" t="s">
        <v>29</v>
      </c>
      <c r="Z98" s="48" t="s">
        <v>31</v>
      </c>
      <c r="AA98" s="54">
        <f t="array" ref="AA98">XLOOKUP($A98,'Recipients REF'!$A:$A,'Recipients REF'!M:M,"",0)</f>
        <v>25121355</v>
      </c>
      <c r="AB98" s="49"/>
      <c r="AC98" s="42"/>
      <c r="AD98" s="42"/>
      <c r="AE98" s="51"/>
      <c r="AF98" s="52"/>
      <c r="AG98" s="42"/>
      <c r="AH98" s="42"/>
      <c r="AI98" s="42" t="str">
        <f t="array" ref="AI98">XLOOKUP($E98,Sheet11!$D:$D,Sheet11!$X:$X,"",0)</f>
        <v/>
      </c>
      <c r="AJ98" s="42" t="str">
        <f t="array" ref="AJ98">XLOOKUP($E98,Sheet11!$D:$D,Sheet11!$Y:$Y,"",0)</f>
        <v/>
      </c>
    </row>
    <row r="99">
      <c r="A99" s="41">
        <v>930.0</v>
      </c>
      <c r="B99" s="42" t="s">
        <v>220</v>
      </c>
      <c r="C99" s="42" t="s">
        <v>219</v>
      </c>
      <c r="D99" s="42"/>
      <c r="E99" s="42" t="str">
        <f t="shared" ref="E99:F99" si="100">PROPER(B99)</f>
        <v>Oryza Sativa Linn Pilar Irrigators' Association, Inc.</v>
      </c>
      <c r="F99" s="42" t="str">
        <f t="shared" si="100"/>
        <v>San Isidro, Pilar, Bohol</v>
      </c>
      <c r="G99" s="42" t="str">
        <f t="shared" si="3"/>
        <v>San Isidro</v>
      </c>
      <c r="H99" s="42" t="str">
        <f t="shared" si="4"/>
        <v>Pilar</v>
      </c>
      <c r="I99" s="42" t="str">
        <f t="shared" si="5"/>
        <v>Bohol</v>
      </c>
      <c r="J99" s="42" t="str">
        <f t="array" ref="J99">XLOOKUP($E99,'Recipients REF'!$B:$B,'Recipients REF'!D:D,"",0)</f>
        <v>Ma. Ophelia A. Tadena</v>
      </c>
      <c r="K99" s="42" t="str">
        <f t="array" ref="K99">XLOOKUP($E99,'Recipients REF'!$B:$B,'Recipients REF'!E:E,"",0)</f>
        <v>0938-597-6637/ 0936-3897176</v>
      </c>
      <c r="L99" s="43" t="str">
        <f t="array" ref="L99">XLOOKUP($A99,'Recipients REF'!$A:$A,'Recipients REF'!F:F,"",0)</f>
        <v>RCEF 25-03-05</v>
      </c>
      <c r="M99" s="43">
        <f t="array" ref="M99">XLOOKUP($A99,'Recipients REF'!$A:$A,'Recipients REF'!G:G,"",0)</f>
        <v>7</v>
      </c>
      <c r="N99" s="43" t="str">
        <f t="array" ref="N99">XLOOKUP($A99,'Recipients REF'!$A:$A,'Recipients REF'!H:H,"",0)</f>
        <v>26931 &amp; 27973</v>
      </c>
      <c r="O99" s="44" t="s">
        <v>25</v>
      </c>
      <c r="P99" s="45" t="s">
        <v>26</v>
      </c>
      <c r="Q99" s="46" t="str">
        <f t="array" ref="Q99">XLOOKUP($A99,'Recipients REF'!$A:$A,'Recipients REF'!I:I,"",0)</f>
        <v>KMC5825 ACSFPV0228</v>
      </c>
      <c r="R99" s="53" t="str">
        <f t="array" ref="R99">XLOOKUP($A99,'Recipients REF'!$A:$A,'Recipients REF'!J:J,"",0)</f>
        <v>STS100217</v>
      </c>
      <c r="S99" s="45" t="s">
        <v>27</v>
      </c>
      <c r="T99" s="45" t="s">
        <v>28</v>
      </c>
      <c r="U99" s="46" t="str">
        <f t="array" ref="U99">XLOOKUP($A99,'Recipients REF'!$A:$A,'Recipients REF'!K:K,"",0)</f>
        <v>WR-SERIES 1377PH</v>
      </c>
      <c r="V99" s="44" t="s">
        <v>29</v>
      </c>
      <c r="W99" s="45" t="s">
        <v>30</v>
      </c>
      <c r="X99" s="53" t="str">
        <f t="array" ref="X99">XLOOKUP($A99,'Recipients REF'!$A:$A,'Recipients REF'!L:L,"",0)</f>
        <v>25080338</v>
      </c>
      <c r="Y99" s="48" t="s">
        <v>29</v>
      </c>
      <c r="Z99" s="48" t="s">
        <v>31</v>
      </c>
      <c r="AA99" s="54">
        <f t="array" ref="AA99">XLOOKUP($A99,'Recipients REF'!$A:$A,'Recipients REF'!M:M,"",0)</f>
        <v>25121356</v>
      </c>
      <c r="AB99" s="49"/>
      <c r="AC99" s="42"/>
      <c r="AD99" s="42"/>
      <c r="AE99" s="50"/>
      <c r="AF99" s="42"/>
      <c r="AG99" s="42"/>
      <c r="AH99" s="42"/>
      <c r="AI99" s="42" t="str">
        <f t="array" ref="AI99">XLOOKUP($E99,Sheet11!$D:$D,Sheet11!$X:$X,"",0)</f>
        <v/>
      </c>
      <c r="AJ99" s="42" t="str">
        <f t="array" ref="AJ99">XLOOKUP($E99,Sheet11!$D:$D,Sheet11!$Y:$Y,"",0)</f>
        <v/>
      </c>
    </row>
    <row r="100">
      <c r="A100" s="41">
        <v>931.0</v>
      </c>
      <c r="B100" s="42" t="s">
        <v>221</v>
      </c>
      <c r="C100" s="42" t="s">
        <v>219</v>
      </c>
      <c r="D100" s="42"/>
      <c r="E100" s="42" t="str">
        <f t="shared" ref="E100:F100" si="101">PROPER(B100)</f>
        <v>San Isidro Multi-Purpose Cooperative</v>
      </c>
      <c r="F100" s="42" t="str">
        <f t="shared" si="101"/>
        <v>San Isidro, Pilar, Bohol</v>
      </c>
      <c r="G100" s="42" t="str">
        <f t="shared" si="3"/>
        <v>San Isidro</v>
      </c>
      <c r="H100" s="42" t="str">
        <f t="shared" si="4"/>
        <v>Pilar</v>
      </c>
      <c r="I100" s="42" t="str">
        <f t="shared" si="5"/>
        <v>Bohol</v>
      </c>
      <c r="J100" s="42" t="str">
        <f t="array" ref="J100">XLOOKUP($E100,'Recipients REF'!$B:$B,'Recipients REF'!D:D,"",0)</f>
        <v>Artemio J. Amper</v>
      </c>
      <c r="K100" s="42" t="str">
        <f t="array" ref="K100">XLOOKUP($E100,'Recipients REF'!$B:$B,'Recipients REF'!E:E,"",0)</f>
        <v>0907-652-8486</v>
      </c>
      <c r="L100" s="43" t="str">
        <f t="array" ref="L100">XLOOKUP($A100,'Recipients REF'!$A:$A,'Recipients REF'!F:F,"",0)</f>
        <v>RCEF 25-03-05</v>
      </c>
      <c r="M100" s="43">
        <f t="array" ref="M100">XLOOKUP($A100,'Recipients REF'!$A:$A,'Recipients REF'!G:G,"",0)</f>
        <v>7</v>
      </c>
      <c r="N100" s="43" t="str">
        <f t="array" ref="N100">XLOOKUP($A100,'Recipients REF'!$A:$A,'Recipients REF'!H:H,"",0)</f>
        <v>26932 &amp; 27974</v>
      </c>
      <c r="O100" s="44" t="s">
        <v>25</v>
      </c>
      <c r="P100" s="45" t="s">
        <v>26</v>
      </c>
      <c r="Q100" s="46" t="str">
        <f t="array" ref="Q100">XLOOKUP($A100,'Recipients REF'!$A:$A,'Recipients REF'!I:I,"",0)</f>
        <v>KMC5825 AVSFPV0335</v>
      </c>
      <c r="R100" s="53" t="str">
        <f t="array" ref="R100">XLOOKUP($A100,'Recipients REF'!$A:$A,'Recipients REF'!J:J,"",0)</f>
        <v>STS100354</v>
      </c>
      <c r="S100" s="45" t="s">
        <v>27</v>
      </c>
      <c r="T100" s="45" t="s">
        <v>28</v>
      </c>
      <c r="U100" s="46" t="str">
        <f t="array" ref="U100">XLOOKUP($A100,'Recipients REF'!$A:$A,'Recipients REF'!K:K,"",0)</f>
        <v>WR-SERIES 1378PH</v>
      </c>
      <c r="V100" s="44" t="s">
        <v>29</v>
      </c>
      <c r="W100" s="45" t="s">
        <v>30</v>
      </c>
      <c r="X100" s="53" t="str">
        <f t="array" ref="X100">XLOOKUP($A100,'Recipients REF'!$A:$A,'Recipients REF'!L:L,"",0)</f>
        <v>25080435</v>
      </c>
      <c r="Y100" s="48" t="s">
        <v>29</v>
      </c>
      <c r="Z100" s="48" t="s">
        <v>31</v>
      </c>
      <c r="AA100" s="54">
        <f t="array" ref="AA100">XLOOKUP($A100,'Recipients REF'!$A:$A,'Recipients REF'!M:M,"",0)</f>
        <v>25121357</v>
      </c>
      <c r="AB100" s="49"/>
      <c r="AC100" s="42"/>
      <c r="AD100" s="42"/>
      <c r="AE100" s="50"/>
      <c r="AF100" s="42"/>
      <c r="AG100" s="42"/>
      <c r="AH100" s="42"/>
      <c r="AI100" s="42" t="str">
        <f t="array" ref="AI100">XLOOKUP($E100,Sheet11!$D:$D,Sheet11!$X:$X,"",0)</f>
        <v/>
      </c>
      <c r="AJ100" s="42" t="str">
        <f t="array" ref="AJ100">XLOOKUP($E100,Sheet11!$D:$D,Sheet11!$Y:$Y,"",0)</f>
        <v/>
      </c>
    </row>
    <row r="101">
      <c r="A101" s="41">
        <v>932.0</v>
      </c>
      <c r="B101" s="42" t="s">
        <v>222</v>
      </c>
      <c r="C101" s="42" t="s">
        <v>219</v>
      </c>
      <c r="D101" s="42"/>
      <c r="E101" s="42" t="str">
        <f t="shared" ref="E101:F101" si="102">PROPER(B101)</f>
        <v>San-Les Ralip Irrigators Association Inc</v>
      </c>
      <c r="F101" s="42" t="str">
        <f t="shared" si="102"/>
        <v>San Isidro, Pilar, Bohol</v>
      </c>
      <c r="G101" s="42" t="str">
        <f t="shared" si="3"/>
        <v>San Isidro</v>
      </c>
      <c r="H101" s="42" t="str">
        <f t="shared" si="4"/>
        <v>Pilar</v>
      </c>
      <c r="I101" s="42" t="str">
        <f t="shared" si="5"/>
        <v>Bohol</v>
      </c>
      <c r="J101" s="42" t="str">
        <f t="array" ref="J101">XLOOKUP($E101,'Recipients REF'!$B:$B,'Recipients REF'!D:D,"",0)</f>
        <v>Javier B. Flores</v>
      </c>
      <c r="K101" s="42" t="str">
        <f t="array" ref="K101">XLOOKUP($E101,'Recipients REF'!$B:$B,'Recipients REF'!E:E,"",0)</f>
        <v>0912-811-1915</v>
      </c>
      <c r="L101" s="43" t="str">
        <f t="array" ref="L101">XLOOKUP($A101,'Recipients REF'!$A:$A,'Recipients REF'!F:F,"",0)</f>
        <v>RCEF 25-03-05</v>
      </c>
      <c r="M101" s="43">
        <f t="array" ref="M101">XLOOKUP($A101,'Recipients REF'!$A:$A,'Recipients REF'!G:G,"",0)</f>
        <v>7</v>
      </c>
      <c r="N101" s="43" t="str">
        <f t="array" ref="N101">XLOOKUP($A101,'Recipients REF'!$A:$A,'Recipients REF'!H:H,"",0)</f>
        <v>26933 &amp; 27975</v>
      </c>
      <c r="O101" s="44" t="s">
        <v>25</v>
      </c>
      <c r="P101" s="45" t="s">
        <v>26</v>
      </c>
      <c r="Q101" s="46" t="str">
        <f t="array" ref="Q101">XLOOKUP($A101,'Recipients REF'!$A:$A,'Recipients REF'!I:I,"",0)</f>
        <v>KMC5825 ACSFPV0181</v>
      </c>
      <c r="R101" s="53" t="str">
        <f t="array" ref="R101">XLOOKUP($A101,'Recipients REF'!$A:$A,'Recipients REF'!J:J,"",0)</f>
        <v>STS100181</v>
      </c>
      <c r="S101" s="45" t="s">
        <v>27</v>
      </c>
      <c r="T101" s="45" t="s">
        <v>28</v>
      </c>
      <c r="U101" s="46" t="str">
        <f t="array" ref="U101">XLOOKUP($A101,'Recipients REF'!$A:$A,'Recipients REF'!K:K,"",0)</f>
        <v>WR-SERIES 1390PH</v>
      </c>
      <c r="V101" s="44" t="s">
        <v>29</v>
      </c>
      <c r="W101" s="45" t="s">
        <v>30</v>
      </c>
      <c r="X101" s="53" t="str">
        <f t="array" ref="X101">XLOOKUP($A101,'Recipients REF'!$A:$A,'Recipients REF'!L:L,"",0)</f>
        <v>25090541</v>
      </c>
      <c r="Y101" s="48" t="s">
        <v>29</v>
      </c>
      <c r="Z101" s="48" t="s">
        <v>31</v>
      </c>
      <c r="AA101" s="54">
        <f t="array" ref="AA101">XLOOKUP($A101,'Recipients REF'!$A:$A,'Recipients REF'!M:M,"",0)</f>
        <v>25121358</v>
      </c>
      <c r="AB101" s="49"/>
      <c r="AC101" s="42"/>
      <c r="AD101" s="42"/>
      <c r="AE101" s="50"/>
      <c r="AF101" s="42"/>
      <c r="AG101" s="42"/>
      <c r="AH101" s="42"/>
      <c r="AI101" s="42" t="str">
        <f t="array" ref="AI101">XLOOKUP($E101,Sheet11!$D:$D,Sheet11!$X:$X,"",0)</f>
        <v/>
      </c>
      <c r="AJ101" s="42" t="str">
        <f t="array" ref="AJ101">XLOOKUP($E101,Sheet11!$D:$D,Sheet11!$Y:$Y,"",0)</f>
        <v/>
      </c>
    </row>
    <row r="102">
      <c r="A102" s="41">
        <v>933.0</v>
      </c>
      <c r="B102" s="42" t="s">
        <v>223</v>
      </c>
      <c r="C102" s="42" t="s">
        <v>224</v>
      </c>
      <c r="D102" s="42"/>
      <c r="E102" s="42" t="str">
        <f t="shared" ref="E102:F102" si="103">PROPER(B102)</f>
        <v>United Prohance Irrigators' Association, Inc.</v>
      </c>
      <c r="F102" s="42" t="str">
        <f t="shared" si="103"/>
        <v>Estaca, Pilar, Bohol</v>
      </c>
      <c r="G102" s="42" t="str">
        <f t="shared" si="3"/>
        <v>Estaca</v>
      </c>
      <c r="H102" s="42" t="str">
        <f t="shared" si="4"/>
        <v>Pilar</v>
      </c>
      <c r="I102" s="42" t="str">
        <f t="shared" si="5"/>
        <v>Bohol</v>
      </c>
      <c r="J102" s="42" t="str">
        <f t="array" ref="J102">XLOOKUP($E102,'Recipients REF'!$B:$B,'Recipients REF'!D:D,"",0)</f>
        <v>Nonito P. Ampo, Sr.</v>
      </c>
      <c r="K102" s="42" t="str">
        <f t="array" ref="K102">XLOOKUP($E102,'Recipients REF'!$B:$B,'Recipients REF'!E:E,"",0)</f>
        <v>0948-017-6766</v>
      </c>
      <c r="L102" s="43" t="str">
        <f t="array" ref="L102">XLOOKUP($A102,'Recipients REF'!$A:$A,'Recipients REF'!F:F,"",0)</f>
        <v>RCEF 25-03-05</v>
      </c>
      <c r="M102" s="43">
        <f t="array" ref="M102">XLOOKUP($A102,'Recipients REF'!$A:$A,'Recipients REF'!G:G,"",0)</f>
        <v>7</v>
      </c>
      <c r="N102" s="43" t="str">
        <f t="array" ref="N102">XLOOKUP($A102,'Recipients REF'!$A:$A,'Recipients REF'!H:H,"",0)</f>
        <v>26934 &amp; 27976</v>
      </c>
      <c r="O102" s="44" t="s">
        <v>25</v>
      </c>
      <c r="P102" s="45" t="s">
        <v>26</v>
      </c>
      <c r="Q102" s="46" t="str">
        <f t="array" ref="Q102">XLOOKUP($A102,'Recipients REF'!$A:$A,'Recipients REF'!I:I,"",0)</f>
        <v>KMC5825 ACSFPV0186</v>
      </c>
      <c r="R102" s="53" t="str">
        <f t="array" ref="R102">XLOOKUP($A102,'Recipients REF'!$A:$A,'Recipients REF'!J:J,"",0)</f>
        <v>STS100194</v>
      </c>
      <c r="S102" s="45" t="s">
        <v>27</v>
      </c>
      <c r="T102" s="45" t="s">
        <v>28</v>
      </c>
      <c r="U102" s="46" t="str">
        <f t="array" ref="U102">XLOOKUP($A102,'Recipients REF'!$A:$A,'Recipients REF'!K:K,"",0)</f>
        <v>WR-SERIES 1391PH</v>
      </c>
      <c r="V102" s="44" t="s">
        <v>29</v>
      </c>
      <c r="W102" s="45" t="s">
        <v>30</v>
      </c>
      <c r="X102" s="53" t="str">
        <f t="array" ref="X102">XLOOKUP($A102,'Recipients REF'!$A:$A,'Recipients REF'!L:L,"",0)</f>
        <v>25080314</v>
      </c>
      <c r="Y102" s="48" t="s">
        <v>29</v>
      </c>
      <c r="Z102" s="48" t="s">
        <v>31</v>
      </c>
      <c r="AA102" s="54">
        <f t="array" ref="AA102">XLOOKUP($A102,'Recipients REF'!$A:$A,'Recipients REF'!M:M,"",0)</f>
        <v>25121359</v>
      </c>
      <c r="AB102" s="49"/>
      <c r="AC102" s="42"/>
      <c r="AD102" s="42"/>
      <c r="AE102" s="51"/>
      <c r="AF102" s="52"/>
      <c r="AG102" s="42"/>
      <c r="AH102" s="42"/>
      <c r="AI102" s="42" t="str">
        <f t="array" ref="AI102">XLOOKUP($E102,Sheet11!$D:$D,Sheet11!$X:$X,"",0)</f>
        <v/>
      </c>
      <c r="AJ102" s="42" t="str">
        <f t="array" ref="AJ102">XLOOKUP($E102,Sheet11!$D:$D,Sheet11!$Y:$Y,"",0)</f>
        <v/>
      </c>
    </row>
    <row r="103">
      <c r="A103" s="41">
        <v>918.0</v>
      </c>
      <c r="B103" s="42" t="s">
        <v>225</v>
      </c>
      <c r="C103" s="42" t="s">
        <v>226</v>
      </c>
      <c r="D103" s="42"/>
      <c r="E103" s="42" t="str">
        <f t="shared" ref="E103:F103" si="104">PROPER(B103)</f>
        <v>Cam-Ba-San Irrigators' Association, Inc.</v>
      </c>
      <c r="F103" s="42" t="str">
        <f t="shared" si="104"/>
        <v>Cambangay Norte, San Miguel, Bohol</v>
      </c>
      <c r="G103" s="42" t="str">
        <f t="shared" si="3"/>
        <v>Cambangay Norte</v>
      </c>
      <c r="H103" s="42" t="str">
        <f t="shared" si="4"/>
        <v>San Miguel</v>
      </c>
      <c r="I103" s="42" t="str">
        <f t="shared" si="5"/>
        <v>Bohol</v>
      </c>
      <c r="J103" s="42" t="str">
        <f t="array" ref="J103">XLOOKUP($E103,'Recipients REF'!$B:$B,'Recipients REF'!D:D,"",0)</f>
        <v>Shem Boc Abrau</v>
      </c>
      <c r="K103" s="42" t="str">
        <f t="array" ref="K103">XLOOKUP($E103,'Recipients REF'!$B:$B,'Recipients REF'!E:E,"",0)</f>
        <v>0951-235-6426</v>
      </c>
      <c r="L103" s="43" t="str">
        <f t="array" ref="L103">XLOOKUP($A103,'Recipients REF'!$A:$A,'Recipients REF'!F:F,"",0)</f>
        <v>RCEF 25-03-05</v>
      </c>
      <c r="M103" s="43">
        <f t="array" ref="M103">XLOOKUP($A103,'Recipients REF'!$A:$A,'Recipients REF'!G:G,"",0)</f>
        <v>7</v>
      </c>
      <c r="N103" s="43" t="str">
        <f t="array" ref="N103">XLOOKUP($A103,'Recipients REF'!$A:$A,'Recipients REF'!H:H,"",0)</f>
        <v>26919 &amp; 27961</v>
      </c>
      <c r="O103" s="44" t="s">
        <v>25</v>
      </c>
      <c r="P103" s="45" t="s">
        <v>26</v>
      </c>
      <c r="Q103" s="46" t="str">
        <f t="array" ref="Q103">XLOOKUP($A103,'Recipients REF'!$A:$A,'Recipients REF'!I:I,"",0)</f>
        <v>KMC5825 ACSFPV0219</v>
      </c>
      <c r="R103" s="53" t="str">
        <f t="array" ref="R103">XLOOKUP($A103,'Recipients REF'!$A:$A,'Recipients REF'!J:J,"",0)</f>
        <v>STS100201</v>
      </c>
      <c r="S103" s="45" t="s">
        <v>27</v>
      </c>
      <c r="T103" s="45" t="s">
        <v>28</v>
      </c>
      <c r="U103" s="46" t="str">
        <f t="array" ref="U103">XLOOKUP($A103,'Recipients REF'!$A:$A,'Recipients REF'!K:K,"",0)</f>
        <v>WR-SERIES 1365PH</v>
      </c>
      <c r="V103" s="44" t="s">
        <v>29</v>
      </c>
      <c r="W103" s="45" t="s">
        <v>30</v>
      </c>
      <c r="X103" s="53" t="str">
        <f t="array" ref="X103">XLOOKUP($A103,'Recipients REF'!$A:$A,'Recipients REF'!L:L,"",0)</f>
        <v>25080333</v>
      </c>
      <c r="Y103" s="48" t="s">
        <v>29</v>
      </c>
      <c r="Z103" s="48" t="s">
        <v>31</v>
      </c>
      <c r="AA103" s="54">
        <f t="array" ref="AA103">XLOOKUP($A103,'Recipients REF'!$A:$A,'Recipients REF'!M:M,"",0)</f>
        <v>25121344</v>
      </c>
      <c r="AB103" s="49"/>
      <c r="AC103" s="42"/>
      <c r="AD103" s="42"/>
      <c r="AE103" s="50"/>
      <c r="AF103" s="42"/>
      <c r="AG103" s="42"/>
      <c r="AH103" s="42"/>
      <c r="AI103" s="42" t="str">
        <f t="array" ref="AI103">XLOOKUP($E103,Sheet11!$D:$D,Sheet11!$X:$X,"",0)</f>
        <v/>
      </c>
      <c r="AJ103" s="42" t="str">
        <f t="array" ref="AJ103">XLOOKUP($E103,Sheet11!$D:$D,Sheet11!$Y:$Y,"",0)</f>
        <v/>
      </c>
    </row>
    <row r="104">
      <c r="A104" s="41">
        <v>919.0</v>
      </c>
      <c r="B104" s="42" t="s">
        <v>227</v>
      </c>
      <c r="C104" s="42" t="s">
        <v>228</v>
      </c>
      <c r="D104" s="42"/>
      <c r="E104" s="42" t="str">
        <f t="shared" ref="E104:F104" si="105">PROPER(B104)</f>
        <v>Kahugpungan Sa Mga Igsoong Naglawig Sa Kalamboan Multi-Purpose Cooperative</v>
      </c>
      <c r="F104" s="42" t="str">
        <f t="shared" si="105"/>
        <v>Poblacion, San Miguel, Bohol</v>
      </c>
      <c r="G104" s="42" t="str">
        <f t="shared" si="3"/>
        <v>Poblacion</v>
      </c>
      <c r="H104" s="42" t="str">
        <f t="shared" si="4"/>
        <v>San Miguel</v>
      </c>
      <c r="I104" s="42" t="str">
        <f t="shared" si="5"/>
        <v>Bohol</v>
      </c>
      <c r="J104" s="42" t="str">
        <f t="array" ref="J104">XLOOKUP($E104,'Recipients REF'!$B:$B,'Recipients REF'!D:D,"",0)</f>
        <v>Norman L. Nuez</v>
      </c>
      <c r="K104" s="42" t="str">
        <f t="array" ref="K104">XLOOKUP($E104,'Recipients REF'!$B:$B,'Recipients REF'!E:E,"",0)</f>
        <v>0917-306-0251</v>
      </c>
      <c r="L104" s="43" t="str">
        <f t="array" ref="L104">XLOOKUP($A104,'Recipients REF'!$A:$A,'Recipients REF'!F:F,"",0)</f>
        <v>RCEF 25-03-05</v>
      </c>
      <c r="M104" s="43">
        <f t="array" ref="M104">XLOOKUP($A104,'Recipients REF'!$A:$A,'Recipients REF'!G:G,"",0)</f>
        <v>7</v>
      </c>
      <c r="N104" s="43" t="str">
        <f t="array" ref="N104">XLOOKUP($A104,'Recipients REF'!$A:$A,'Recipients REF'!H:H,"",0)</f>
        <v>26920 &amp; 27962</v>
      </c>
      <c r="O104" s="44" t="s">
        <v>25</v>
      </c>
      <c r="P104" s="45" t="s">
        <v>26</v>
      </c>
      <c r="Q104" s="46" t="str">
        <f t="array" ref="Q104">XLOOKUP($A104,'Recipients REF'!$A:$A,'Recipients REF'!I:I,"",0)</f>
        <v>KMC5825 AKSFPV0167</v>
      </c>
      <c r="R104" s="53" t="str">
        <f t="array" ref="R104">XLOOKUP($A104,'Recipients REF'!$A:$A,'Recipients REF'!J:J,"",0)</f>
        <v>STS100182</v>
      </c>
      <c r="S104" s="45" t="s">
        <v>27</v>
      </c>
      <c r="T104" s="45" t="s">
        <v>28</v>
      </c>
      <c r="U104" s="46" t="str">
        <f t="array" ref="U104">XLOOKUP($A104,'Recipients REF'!$A:$A,'Recipients REF'!K:K,"",0)</f>
        <v>WR-SERIES 1366PH</v>
      </c>
      <c r="V104" s="44" t="s">
        <v>29</v>
      </c>
      <c r="W104" s="45" t="s">
        <v>30</v>
      </c>
      <c r="X104" s="53" t="str">
        <f t="array" ref="X104">XLOOKUP($A104,'Recipients REF'!$A:$A,'Recipients REF'!L:L,"",0)</f>
        <v>25080345</v>
      </c>
      <c r="Y104" s="48" t="s">
        <v>29</v>
      </c>
      <c r="Z104" s="48" t="s">
        <v>31</v>
      </c>
      <c r="AA104" s="54">
        <f t="array" ref="AA104">XLOOKUP($A104,'Recipients REF'!$A:$A,'Recipients REF'!M:M,"",0)</f>
        <v>25121345</v>
      </c>
      <c r="AB104" s="49"/>
      <c r="AC104" s="42"/>
      <c r="AD104" s="42"/>
      <c r="AE104" s="51"/>
      <c r="AF104" s="52"/>
      <c r="AG104" s="42"/>
      <c r="AH104" s="42"/>
      <c r="AI104" s="42" t="str">
        <f t="array" ref="AI104">XLOOKUP($E104,Sheet11!$D:$D,Sheet11!$X:$X,"",0)</f>
        <v/>
      </c>
      <c r="AJ104" s="42" t="str">
        <f t="array" ref="AJ104">XLOOKUP($E104,Sheet11!$D:$D,Sheet11!$Y:$Y,"",0)</f>
        <v/>
      </c>
    </row>
    <row r="105">
      <c r="A105" s="41">
        <v>920.0</v>
      </c>
      <c r="B105" s="42" t="s">
        <v>229</v>
      </c>
      <c r="C105" s="42" t="s">
        <v>230</v>
      </c>
      <c r="D105" s="42"/>
      <c r="E105" s="42" t="str">
        <f t="shared" ref="E105:F105" si="106">PROPER(B105)</f>
        <v>Mamamia Irrigators' Association, Inc.</v>
      </c>
      <c r="F105" s="42" t="str">
        <f t="shared" si="106"/>
        <v>Mahayag, San Miguel, Bohol</v>
      </c>
      <c r="G105" s="42" t="str">
        <f t="shared" si="3"/>
        <v>Mahayag</v>
      </c>
      <c r="H105" s="42" t="str">
        <f t="shared" si="4"/>
        <v>San Miguel</v>
      </c>
      <c r="I105" s="42" t="str">
        <f t="shared" si="5"/>
        <v>Bohol</v>
      </c>
      <c r="J105" s="42" t="str">
        <f t="array" ref="J105">XLOOKUP($E105,'Recipients REF'!$B:$B,'Recipients REF'!D:D,"",0)</f>
        <v>Rene R. Ceniza</v>
      </c>
      <c r="K105" s="42" t="str">
        <f t="array" ref="K105">XLOOKUP($E105,'Recipients REF'!$B:$B,'Recipients REF'!E:E,"",0)</f>
        <v>0992-467-9864/0970-564-1100</v>
      </c>
      <c r="L105" s="43" t="str">
        <f t="array" ref="L105">XLOOKUP($A105,'Recipients REF'!$A:$A,'Recipients REF'!F:F,"",0)</f>
        <v>RCEF 25-03-05</v>
      </c>
      <c r="M105" s="43">
        <f t="array" ref="M105">XLOOKUP($A105,'Recipients REF'!$A:$A,'Recipients REF'!G:G,"",0)</f>
        <v>7</v>
      </c>
      <c r="N105" s="43" t="str">
        <f t="array" ref="N105">XLOOKUP($A105,'Recipients REF'!$A:$A,'Recipients REF'!H:H,"",0)</f>
        <v>26921 &amp; 27963</v>
      </c>
      <c r="O105" s="44" t="s">
        <v>25</v>
      </c>
      <c r="P105" s="45" t="s">
        <v>26</v>
      </c>
      <c r="Q105" s="46" t="str">
        <f t="array" ref="Q105">XLOOKUP($A105,'Recipients REF'!$A:$A,'Recipients REF'!I:I,"",0)</f>
        <v>KMC5825 AHSFPV0193</v>
      </c>
      <c r="R105" s="53" t="str">
        <f t="array" ref="R105">XLOOKUP($A105,'Recipients REF'!$A:$A,'Recipients REF'!J:J,"",0)</f>
        <v>STS100221</v>
      </c>
      <c r="S105" s="45" t="s">
        <v>27</v>
      </c>
      <c r="T105" s="45" t="s">
        <v>28</v>
      </c>
      <c r="U105" s="46" t="str">
        <f t="array" ref="U105">XLOOKUP($A105,'Recipients REF'!$A:$A,'Recipients REF'!K:K,"",0)</f>
        <v>WR-SERIES 1367PH</v>
      </c>
      <c r="V105" s="44" t="s">
        <v>29</v>
      </c>
      <c r="W105" s="45" t="s">
        <v>30</v>
      </c>
      <c r="X105" s="53" t="str">
        <f t="array" ref="X105">XLOOKUP($A105,'Recipients REF'!$A:$A,'Recipients REF'!L:L,"",0)</f>
        <v>25080330</v>
      </c>
      <c r="Y105" s="48" t="s">
        <v>29</v>
      </c>
      <c r="Z105" s="48" t="s">
        <v>31</v>
      </c>
      <c r="AA105" s="54">
        <f t="array" ref="AA105">XLOOKUP($A105,'Recipients REF'!$A:$A,'Recipients REF'!M:M,"",0)</f>
        <v>25121346</v>
      </c>
      <c r="AB105" s="49"/>
      <c r="AC105" s="42"/>
      <c r="AD105" s="42"/>
      <c r="AE105" s="50"/>
      <c r="AF105" s="42"/>
      <c r="AG105" s="42"/>
      <c r="AH105" s="42"/>
      <c r="AI105" s="42" t="str">
        <f t="array" ref="AI105">XLOOKUP($E105,Sheet11!$D:$D,Sheet11!$X:$X,"",0)</f>
        <v/>
      </c>
      <c r="AJ105" s="42" t="str">
        <f t="array" ref="AJ105">XLOOKUP($E105,Sheet11!$D:$D,Sheet11!$Y:$Y,"",0)</f>
        <v/>
      </c>
    </row>
    <row r="106">
      <c r="A106" s="41">
        <v>921.0</v>
      </c>
      <c r="B106" s="42" t="s">
        <v>231</v>
      </c>
      <c r="C106" s="42" t="s">
        <v>232</v>
      </c>
      <c r="D106" s="42"/>
      <c r="E106" s="42" t="str">
        <f t="shared" ref="E106:F106" si="107">PROPER(B106)</f>
        <v>Ninnewc Irrigators' Association, Inc.</v>
      </c>
      <c r="F106" s="42" t="str">
        <f t="shared" si="107"/>
        <v>Bayongan, San Miguel, Bohol</v>
      </c>
      <c r="G106" s="42" t="str">
        <f t="shared" si="3"/>
        <v>Bayongan</v>
      </c>
      <c r="H106" s="42" t="str">
        <f t="shared" si="4"/>
        <v>San Miguel</v>
      </c>
      <c r="I106" s="42" t="str">
        <f t="shared" si="5"/>
        <v>Bohol</v>
      </c>
      <c r="J106" s="42" t="str">
        <f t="array" ref="J106">XLOOKUP($E106,'Recipients REF'!$B:$B,'Recipients REF'!D:D,"",0)</f>
        <v>Joseph M. Auza</v>
      </c>
      <c r="K106" s="42" t="str">
        <f t="array" ref="K106">XLOOKUP($E106,'Recipients REF'!$B:$B,'Recipients REF'!E:E,"",0)</f>
        <v>0915-212-3608</v>
      </c>
      <c r="L106" s="43" t="str">
        <f t="array" ref="L106">XLOOKUP($A106,'Recipients REF'!$A:$A,'Recipients REF'!F:F,"",0)</f>
        <v>RCEF 25-03-05</v>
      </c>
      <c r="M106" s="43">
        <f t="array" ref="M106">XLOOKUP($A106,'Recipients REF'!$A:$A,'Recipients REF'!G:G,"",0)</f>
        <v>7</v>
      </c>
      <c r="N106" s="43" t="str">
        <f t="array" ref="N106">XLOOKUP($A106,'Recipients REF'!$A:$A,'Recipients REF'!H:H,"",0)</f>
        <v>26922 &amp; 27964</v>
      </c>
      <c r="O106" s="44" t="s">
        <v>25</v>
      </c>
      <c r="P106" s="45" t="s">
        <v>26</v>
      </c>
      <c r="Q106" s="46" t="str">
        <f t="array" ref="Q106">XLOOKUP($A106,'Recipients REF'!$A:$A,'Recipients REF'!I:I,"",0)</f>
        <v>KMC5825 ACSFPV0205</v>
      </c>
      <c r="R106" s="53" t="str">
        <f t="array" ref="R106">XLOOKUP($A106,'Recipients REF'!$A:$A,'Recipients REF'!J:J,"",0)</f>
        <v>STS100229</v>
      </c>
      <c r="S106" s="45" t="s">
        <v>27</v>
      </c>
      <c r="T106" s="45" t="s">
        <v>28</v>
      </c>
      <c r="U106" s="46" t="str">
        <f t="array" ref="U106">XLOOKUP($A106,'Recipients REF'!$A:$A,'Recipients REF'!K:K,"",0)</f>
        <v>WR-SERIES 1368PH</v>
      </c>
      <c r="V106" s="44" t="s">
        <v>29</v>
      </c>
      <c r="W106" s="45" t="s">
        <v>30</v>
      </c>
      <c r="X106" s="53" t="str">
        <f t="array" ref="X106">XLOOKUP($A106,'Recipients REF'!$A:$A,'Recipients REF'!L:L,"",0)</f>
        <v>25080337</v>
      </c>
      <c r="Y106" s="48" t="s">
        <v>29</v>
      </c>
      <c r="Z106" s="48" t="s">
        <v>31</v>
      </c>
      <c r="AA106" s="54">
        <f t="array" ref="AA106">XLOOKUP($A106,'Recipients REF'!$A:$A,'Recipients REF'!M:M,"",0)</f>
        <v>25121347</v>
      </c>
      <c r="AB106" s="49"/>
      <c r="AC106" s="42"/>
      <c r="AD106" s="42"/>
      <c r="AE106" s="51"/>
      <c r="AF106" s="52"/>
      <c r="AG106" s="42"/>
      <c r="AH106" s="42"/>
      <c r="AI106" s="42" t="str">
        <f t="array" ref="AI106">XLOOKUP($E106,Sheet11!$D:$D,Sheet11!$X:$X,"",0)</f>
        <v/>
      </c>
      <c r="AJ106" s="42" t="str">
        <f t="array" ref="AJ106">XLOOKUP($E106,Sheet11!$D:$D,Sheet11!$Y:$Y,"",0)</f>
        <v/>
      </c>
    </row>
    <row r="107">
      <c r="A107" s="41">
        <v>934.0</v>
      </c>
      <c r="B107" s="42" t="s">
        <v>233</v>
      </c>
      <c r="C107" s="42" t="s">
        <v>234</v>
      </c>
      <c r="D107" s="42"/>
      <c r="E107" s="42" t="str">
        <f t="shared" ref="E107:F107" si="108">PROPER(B107)</f>
        <v>Barangay Water Agriculture And Food Assocaition (Bwafa)</v>
      </c>
      <c r="F107" s="42" t="str">
        <f t="shared" si="108"/>
        <v>San Isidro, Sierra Bullones, Bohol</v>
      </c>
      <c r="G107" s="42" t="str">
        <f t="shared" si="3"/>
        <v>San Isidro</v>
      </c>
      <c r="H107" s="42" t="str">
        <f t="shared" si="4"/>
        <v>Sierra Bullones</v>
      </c>
      <c r="I107" s="42" t="str">
        <f t="shared" si="5"/>
        <v>Bohol</v>
      </c>
      <c r="J107" s="42" t="str">
        <f t="array" ref="J107">XLOOKUP($E107,'Recipients REF'!$B:$B,'Recipients REF'!D:D,"",0)</f>
        <v>Eduardo C. Rubia</v>
      </c>
      <c r="K107" s="42" t="str">
        <f t="array" ref="K107">XLOOKUP($E107,'Recipients REF'!$B:$B,'Recipients REF'!E:E,"",0)</f>
        <v>090975-450-3793</v>
      </c>
      <c r="L107" s="43" t="str">
        <f t="array" ref="L107">XLOOKUP($A107,'Recipients REF'!$A:$A,'Recipients REF'!F:F,"",0)</f>
        <v>RCEF 25-03-05</v>
      </c>
      <c r="M107" s="43">
        <f t="array" ref="M107">XLOOKUP($A107,'Recipients REF'!$A:$A,'Recipients REF'!G:G,"",0)</f>
        <v>7</v>
      </c>
      <c r="N107" s="43" t="str">
        <f t="array" ref="N107">XLOOKUP($A107,'Recipients REF'!$A:$A,'Recipients REF'!H:H,"",0)</f>
        <v>26935 &amp; 27977</v>
      </c>
      <c r="O107" s="44" t="s">
        <v>25</v>
      </c>
      <c r="P107" s="45" t="s">
        <v>26</v>
      </c>
      <c r="Q107" s="46" t="str">
        <f t="array" ref="Q107">XLOOKUP($A107,'Recipients REF'!$A:$A,'Recipients REF'!I:I,"",0)</f>
        <v>KMC5825 ATSFPV0165</v>
      </c>
      <c r="R107" s="53" t="str">
        <f t="array" ref="R107">XLOOKUP($A107,'Recipients REF'!$A:$A,'Recipients REF'!J:J,"",0)</f>
        <v>STS100170</v>
      </c>
      <c r="S107" s="45" t="s">
        <v>27</v>
      </c>
      <c r="T107" s="45" t="s">
        <v>28</v>
      </c>
      <c r="U107" s="46" t="str">
        <f t="array" ref="U107">XLOOKUP($A107,'Recipients REF'!$A:$A,'Recipients REF'!K:K,"",0)</f>
        <v>WR-SERIES 1392PH</v>
      </c>
      <c r="V107" s="44" t="s">
        <v>29</v>
      </c>
      <c r="W107" s="45" t="s">
        <v>30</v>
      </c>
      <c r="X107" s="53" t="str">
        <f t="array" ref="X107">XLOOKUP($A107,'Recipients REF'!$A:$A,'Recipients REF'!L:L,"",0)</f>
        <v>25090465</v>
      </c>
      <c r="Y107" s="48" t="s">
        <v>29</v>
      </c>
      <c r="Z107" s="48" t="s">
        <v>31</v>
      </c>
      <c r="AA107" s="54">
        <f t="array" ref="AA107">XLOOKUP($A107,'Recipients REF'!$A:$A,'Recipients REF'!M:M,"",0)</f>
        <v>25121360</v>
      </c>
      <c r="AB107" s="49"/>
      <c r="AC107" s="42"/>
      <c r="AD107" s="42"/>
      <c r="AE107" s="51"/>
      <c r="AF107" s="52"/>
      <c r="AG107" s="42"/>
      <c r="AH107" s="42"/>
      <c r="AI107" s="42" t="str">
        <f t="array" ref="AI107">XLOOKUP($E107,Sheet11!$D:$D,Sheet11!$X:$X,"",0)</f>
        <v/>
      </c>
      <c r="AJ107" s="42" t="str">
        <f t="array" ref="AJ107">XLOOKUP($E107,Sheet11!$D:$D,Sheet11!$Y:$Y,"",0)</f>
        <v/>
      </c>
    </row>
    <row r="108">
      <c r="A108" s="41">
        <v>922.0</v>
      </c>
      <c r="B108" s="42" t="s">
        <v>235</v>
      </c>
      <c r="C108" s="42" t="s">
        <v>236</v>
      </c>
      <c r="D108" s="42"/>
      <c r="E108" s="42" t="str">
        <f t="shared" ref="E108:F108" si="109">PROPER(B108)</f>
        <v>Hambabauran Farmers Association</v>
      </c>
      <c r="F108" s="42" t="str">
        <f t="shared" si="109"/>
        <v>Hambabauran, Ubay, Bohol</v>
      </c>
      <c r="G108" s="42" t="str">
        <f t="shared" si="3"/>
        <v>Hambabauran</v>
      </c>
      <c r="H108" s="42" t="str">
        <f t="shared" si="4"/>
        <v>Ubay</v>
      </c>
      <c r="I108" s="42" t="str">
        <f t="shared" si="5"/>
        <v>Bohol</v>
      </c>
      <c r="J108" s="42" t="str">
        <f t="array" ref="J108">XLOOKUP($E108,'Recipients REF'!$B:$B,'Recipients REF'!D:D,"",0)</f>
        <v>Tessie Y. Dungog</v>
      </c>
      <c r="K108" s="42" t="str">
        <f t="array" ref="K108">XLOOKUP($E108,'Recipients REF'!$B:$B,'Recipients REF'!E:E,"",0)</f>
        <v>0912-787-6399</v>
      </c>
      <c r="L108" s="43" t="str">
        <f t="array" ref="L108">XLOOKUP($A108,'Recipients REF'!$A:$A,'Recipients REF'!F:F,"",0)</f>
        <v>RCEF 25-03-05</v>
      </c>
      <c r="M108" s="43">
        <f t="array" ref="M108">XLOOKUP($A108,'Recipients REF'!$A:$A,'Recipients REF'!G:G,"",0)</f>
        <v>7</v>
      </c>
      <c r="N108" s="43" t="str">
        <f t="array" ref="N108">XLOOKUP($A108,'Recipients REF'!$A:$A,'Recipients REF'!H:H,"",0)</f>
        <v>26923 &amp; 27965</v>
      </c>
      <c r="O108" s="44" t="s">
        <v>25</v>
      </c>
      <c r="P108" s="45" t="s">
        <v>26</v>
      </c>
      <c r="Q108" s="46" t="str">
        <f t="array" ref="Q108">XLOOKUP($A108,'Recipients REF'!$A:$A,'Recipients REF'!I:I,"",0)</f>
        <v>KMC5825 AHSFPV0209</v>
      </c>
      <c r="R108" s="53" t="str">
        <f t="array" ref="R108">XLOOKUP($A108,'Recipients REF'!$A:$A,'Recipients REF'!J:J,"",0)</f>
        <v>STS100213</v>
      </c>
      <c r="S108" s="45" t="s">
        <v>27</v>
      </c>
      <c r="T108" s="45" t="s">
        <v>28</v>
      </c>
      <c r="U108" s="46" t="str">
        <f t="array" ref="U108">XLOOKUP($A108,'Recipients REF'!$A:$A,'Recipients REF'!K:K,"",0)</f>
        <v>WR-SERIES 1369PH</v>
      </c>
      <c r="V108" s="44" t="s">
        <v>29</v>
      </c>
      <c r="W108" s="45" t="s">
        <v>30</v>
      </c>
      <c r="X108" s="53" t="str">
        <f t="array" ref="X108">XLOOKUP($A108,'Recipients REF'!$A:$A,'Recipients REF'!L:L,"",0)</f>
        <v>25036336</v>
      </c>
      <c r="Y108" s="48" t="s">
        <v>29</v>
      </c>
      <c r="Z108" s="48" t="s">
        <v>31</v>
      </c>
      <c r="AA108" s="54">
        <f t="array" ref="AA108">XLOOKUP($A108,'Recipients REF'!$A:$A,'Recipients REF'!M:M,"",0)</f>
        <v>25121348</v>
      </c>
      <c r="AB108" s="49"/>
      <c r="AC108" s="42"/>
      <c r="AD108" s="42"/>
      <c r="AE108" s="50"/>
      <c r="AF108" s="42"/>
      <c r="AG108" s="42"/>
      <c r="AH108" s="42"/>
      <c r="AI108" s="42" t="str">
        <f t="array" ref="AI108">XLOOKUP($E108,Sheet11!$D:$D,Sheet11!$X:$X,"",0)</f>
        <v/>
      </c>
      <c r="AJ108" s="42" t="str">
        <f t="array" ref="AJ108">XLOOKUP($E108,Sheet11!$D:$D,Sheet11!$Y:$Y,"",0)</f>
        <v/>
      </c>
    </row>
    <row r="109">
      <c r="A109" s="41">
        <v>923.0</v>
      </c>
      <c r="B109" s="42" t="s">
        <v>237</v>
      </c>
      <c r="C109" s="42" t="s">
        <v>238</v>
      </c>
      <c r="D109" s="42"/>
      <c r="E109" s="42" t="str">
        <f t="shared" ref="E109:F109" si="110">PROPER(B109)</f>
        <v>San Antonio Organic Farmers Association (Saofa)</v>
      </c>
      <c r="F109" s="42" t="str">
        <f t="shared" si="110"/>
        <v>San Francisco, Ubay, Bohol</v>
      </c>
      <c r="G109" s="42" t="str">
        <f t="shared" si="3"/>
        <v>San Francisco</v>
      </c>
      <c r="H109" s="42" t="str">
        <f t="shared" si="4"/>
        <v>Ubay</v>
      </c>
      <c r="I109" s="42" t="str">
        <f t="shared" si="5"/>
        <v>Bohol</v>
      </c>
      <c r="J109" s="42" t="str">
        <f t="array" ref="J109">XLOOKUP($E109,'Recipients REF'!$B:$B,'Recipients REF'!D:D,"",0)</f>
        <v>Alberto G. Gozo</v>
      </c>
      <c r="K109" s="42" t="str">
        <f t="array" ref="K109">XLOOKUP($E109,'Recipients REF'!$B:$B,'Recipients REF'!E:E,"",0)</f>
        <v>0994-475-1665/0954-073-3390</v>
      </c>
      <c r="L109" s="43" t="str">
        <f t="array" ref="L109">XLOOKUP($A109,'Recipients REF'!$A:$A,'Recipients REF'!F:F,"",0)</f>
        <v>RCEF 25-03-05</v>
      </c>
      <c r="M109" s="43">
        <f t="array" ref="M109">XLOOKUP($A109,'Recipients REF'!$A:$A,'Recipients REF'!G:G,"",0)</f>
        <v>7</v>
      </c>
      <c r="N109" s="43" t="str">
        <f t="array" ref="N109">XLOOKUP($A109,'Recipients REF'!$A:$A,'Recipients REF'!H:H,"",0)</f>
        <v>26924 &amp; 27966</v>
      </c>
      <c r="O109" s="44" t="s">
        <v>25</v>
      </c>
      <c r="P109" s="45" t="s">
        <v>26</v>
      </c>
      <c r="Q109" s="46" t="str">
        <f t="array" ref="Q109">XLOOKUP($A109,'Recipients REF'!$A:$A,'Recipients REF'!I:I,"",0)</f>
        <v>KMC5825 ACSFPV0222</v>
      </c>
      <c r="R109" s="53" t="str">
        <f t="array" ref="R109">XLOOKUP($A109,'Recipients REF'!$A:$A,'Recipients REF'!J:J,"",0)</f>
        <v>STS100186</v>
      </c>
      <c r="S109" s="45" t="s">
        <v>27</v>
      </c>
      <c r="T109" s="45" t="s">
        <v>28</v>
      </c>
      <c r="U109" s="46" t="str">
        <f t="array" ref="U109">XLOOKUP($A109,'Recipients REF'!$A:$A,'Recipients REF'!K:K,"",0)</f>
        <v>WR-SERIES 1370PH</v>
      </c>
      <c r="V109" s="44" t="s">
        <v>29</v>
      </c>
      <c r="W109" s="45" t="s">
        <v>30</v>
      </c>
      <c r="X109" s="53" t="str">
        <f t="array" ref="X109">XLOOKUP($A109,'Recipients REF'!$A:$A,'Recipients REF'!L:L,"",0)</f>
        <v>25080309</v>
      </c>
      <c r="Y109" s="48" t="s">
        <v>29</v>
      </c>
      <c r="Z109" s="48" t="s">
        <v>31</v>
      </c>
      <c r="AA109" s="54">
        <f t="array" ref="AA109">XLOOKUP($A109,'Recipients REF'!$A:$A,'Recipients REF'!M:M,"",0)</f>
        <v>25121349</v>
      </c>
      <c r="AB109" s="49"/>
      <c r="AC109" s="42"/>
      <c r="AD109" s="42"/>
      <c r="AE109" s="51"/>
      <c r="AF109" s="52"/>
      <c r="AG109" s="42"/>
      <c r="AH109" s="42"/>
      <c r="AI109" s="42" t="str">
        <f t="array" ref="AI109">XLOOKUP($E109,Sheet11!$D:$D,Sheet11!$X:$X,"",0)</f>
        <v/>
      </c>
      <c r="AJ109" s="42" t="str">
        <f t="array" ref="AJ109">XLOOKUP($E109,Sheet11!$D:$D,Sheet11!$Y:$Y,"",0)</f>
        <v/>
      </c>
    </row>
    <row r="110">
      <c r="A110" s="41">
        <v>170.0</v>
      </c>
      <c r="B110" s="42" t="s">
        <v>239</v>
      </c>
      <c r="C110" s="42" t="s">
        <v>240</v>
      </c>
      <c r="D110" s="42"/>
      <c r="E110" s="42" t="str">
        <f t="shared" ref="E110:F110" si="111">PROPER(B110)</f>
        <v>Mambog Taal Look Irrigators Association Inc.</v>
      </c>
      <c r="F110" s="42" t="str">
        <f t="shared" si="111"/>
        <v>Mambog, Malolos City, Bulacan</v>
      </c>
      <c r="G110" s="42" t="str">
        <f t="shared" si="3"/>
        <v>Mambog</v>
      </c>
      <c r="H110" s="42" t="str">
        <f t="shared" si="4"/>
        <v>Malolos City</v>
      </c>
      <c r="I110" s="42" t="str">
        <f t="shared" si="5"/>
        <v>Bulacan</v>
      </c>
      <c r="J110" s="42" t="str">
        <f t="array" ref="J110">XLOOKUP($E110,'Recipients REF'!$B:$B,'Recipients REF'!D:D,"",0)</f>
        <v>Ramiro R. Dela Cruz</v>
      </c>
      <c r="K110" s="42" t="str">
        <f t="array" ref="K110">XLOOKUP($E110,'Recipients REF'!$B:$B,'Recipients REF'!E:E,"",0)</f>
        <v>0935-076-9919</v>
      </c>
      <c r="L110" s="43" t="str">
        <f t="array" ref="L110">XLOOKUP($A110,'Recipients REF'!$A:$A,'Recipients REF'!F:F,"",0)</f>
        <v>RCEF 23-09-21 Rebidding</v>
      </c>
      <c r="M110" s="43">
        <f t="array" ref="M110">XLOOKUP($A110,'Recipients REF'!$A:$A,'Recipients REF'!G:G,"",0)</f>
        <v>3</v>
      </c>
      <c r="N110" s="43">
        <f t="array" ref="N110">XLOOKUP($A110,'Recipients REF'!$A:$A,'Recipients REF'!H:H,"",0)</f>
        <v>17986</v>
      </c>
      <c r="O110" s="44" t="s">
        <v>25</v>
      </c>
      <c r="P110" s="45" t="s">
        <v>26</v>
      </c>
      <c r="Q110" s="46" t="str">
        <f t="array" ref="Q110">XLOOKUP($A110,'Recipients REF'!$A:$A,'Recipients REF'!I:I,"",0)</f>
        <v>KMC5825 AVPFPV0066</v>
      </c>
      <c r="R110" s="47" t="str">
        <f t="array" ref="R110">XLOOKUP($A110,'Recipients REF'!$A:$A,'Recipients REF'!J:J,"",0)</f>
        <v>PTS 100148</v>
      </c>
      <c r="S110" s="45" t="s">
        <v>27</v>
      </c>
      <c r="T110" s="45" t="s">
        <v>28</v>
      </c>
      <c r="U110" s="46" t="str">
        <f t="array" ref="U110">XLOOKUP($A110,'Recipients REF'!$A:$A,'Recipients REF'!K:K,"",0)</f>
        <v>R-SERIES 045 PH</v>
      </c>
      <c r="V110" s="44" t="s">
        <v>29</v>
      </c>
      <c r="W110" s="45" t="s">
        <v>30</v>
      </c>
      <c r="X110" s="47" t="str">
        <f t="array" ref="X110">XLOOKUP($A110,'Recipients REF'!$A:$A,'Recipients REF'!L:L,"",0)</f>
        <v>LSGW1750 RMP 2312086</v>
      </c>
      <c r="Y110" s="48" t="s">
        <v>29</v>
      </c>
      <c r="Z110" s="48" t="s">
        <v>31</v>
      </c>
      <c r="AA110" s="46" t="str">
        <f t="array" ref="AA110">XLOOKUP($A110,'Recipients REF'!$A:$A,'Recipients REF'!M:M,"",0)</f>
        <v>WDP40 RMP 2312118</v>
      </c>
      <c r="AB110" s="49"/>
      <c r="AC110" s="42"/>
      <c r="AD110" s="42"/>
      <c r="AE110" s="50"/>
      <c r="AF110" s="42"/>
      <c r="AG110" s="42"/>
      <c r="AH110" s="42"/>
      <c r="AI110" s="42">
        <f t="array" ref="AI110">XLOOKUP($E110,Sheet11!$D:$D,Sheet11!$X:$X,"",0)</f>
        <v>869066060243970</v>
      </c>
      <c r="AJ110" s="42">
        <f t="array" ref="AJ110">XLOOKUP($E110,Sheet11!$D:$D,Sheet11!$Y:$Y,"",0)</f>
        <v>9086606605</v>
      </c>
    </row>
    <row r="111">
      <c r="A111" s="41">
        <v>171.0</v>
      </c>
      <c r="B111" s="42" t="s">
        <v>241</v>
      </c>
      <c r="C111" s="42" t="s">
        <v>242</v>
      </c>
      <c r="D111" s="42"/>
      <c r="E111" s="42" t="str">
        <f t="shared" ref="E111:F111" si="112">PROPER(B111)</f>
        <v>Camlongan Irrigators Association Inc.</v>
      </c>
      <c r="F111" s="42" t="str">
        <f t="shared" si="112"/>
        <v>Kapitangan, Paombong, Bulacan</v>
      </c>
      <c r="G111" s="42" t="str">
        <f t="shared" si="3"/>
        <v>Kapitangan</v>
      </c>
      <c r="H111" s="42" t="str">
        <f t="shared" si="4"/>
        <v>Paombong</v>
      </c>
      <c r="I111" s="42" t="str">
        <f t="shared" si="5"/>
        <v>Bulacan</v>
      </c>
      <c r="J111" s="42" t="str">
        <f t="array" ref="J111">XLOOKUP($E111,'Recipients REF'!$B:$B,'Recipients REF'!D:D,"",0)</f>
        <v>Desiderio R. Pablico</v>
      </c>
      <c r="K111" s="42" t="str">
        <f t="array" ref="K111">XLOOKUP($E111,'Recipients REF'!$B:$B,'Recipients REF'!E:E,"",0)</f>
        <v>0921-260-6572</v>
      </c>
      <c r="L111" s="43" t="str">
        <f t="array" ref="L111">XLOOKUP($A111,'Recipients REF'!$A:$A,'Recipients REF'!F:F,"",0)</f>
        <v>RCEF 23-09-21 Rebidding</v>
      </c>
      <c r="M111" s="43">
        <f t="array" ref="M111">XLOOKUP($A111,'Recipients REF'!$A:$A,'Recipients REF'!G:G,"",0)</f>
        <v>3</v>
      </c>
      <c r="N111" s="43">
        <f t="array" ref="N111">XLOOKUP($A111,'Recipients REF'!$A:$A,'Recipients REF'!H:H,"",0)</f>
        <v>17987</v>
      </c>
      <c r="O111" s="44" t="s">
        <v>25</v>
      </c>
      <c r="P111" s="45" t="s">
        <v>26</v>
      </c>
      <c r="Q111" s="46" t="str">
        <f t="array" ref="Q111">XLOOKUP($A111,'Recipients REF'!$A:$A,'Recipients REF'!I:I,"",0)</f>
        <v>KMC5825 AVPFPV0097</v>
      </c>
      <c r="R111" s="47" t="str">
        <f t="array" ref="R111">XLOOKUP($A111,'Recipients REF'!$A:$A,'Recipients REF'!J:J,"",0)</f>
        <v>PTS 100092</v>
      </c>
      <c r="S111" s="45" t="s">
        <v>27</v>
      </c>
      <c r="T111" s="45" t="s">
        <v>28</v>
      </c>
      <c r="U111" s="46" t="str">
        <f t="array" ref="U111">XLOOKUP($A111,'Recipients REF'!$A:$A,'Recipients REF'!K:K,"",0)</f>
        <v>R-SERIES 031 PH</v>
      </c>
      <c r="V111" s="44" t="s">
        <v>29</v>
      </c>
      <c r="W111" s="45" t="s">
        <v>30</v>
      </c>
      <c r="X111" s="47" t="str">
        <f t="array" ref="X111">XLOOKUP($A111,'Recipients REF'!$A:$A,'Recipients REF'!L:L,"",0)</f>
        <v>LSGW1750 RMP 2312076</v>
      </c>
      <c r="Y111" s="48" t="s">
        <v>29</v>
      </c>
      <c r="Z111" s="48" t="s">
        <v>31</v>
      </c>
      <c r="AA111" s="46" t="str">
        <f t="array" ref="AA111">XLOOKUP($A111,'Recipients REF'!$A:$A,'Recipients REF'!M:M,"",0)</f>
        <v>WDP40 RMP 2312125</v>
      </c>
      <c r="AB111" s="49"/>
      <c r="AC111" s="42"/>
      <c r="AD111" s="42"/>
      <c r="AE111" s="51"/>
      <c r="AF111" s="52"/>
      <c r="AG111" s="42"/>
      <c r="AH111" s="42"/>
      <c r="AI111" s="42" t="str">
        <f t="array" ref="AI111">XLOOKUP($E111,Sheet11!$D:$D,Sheet11!$X:$X,"",0)</f>
        <v>869066060242949 (E)</v>
      </c>
      <c r="AJ111" s="42">
        <f t="array" ref="AJ111">XLOOKUP($E111,Sheet11!$D:$D,Sheet11!$Y:$Y,"",0)</f>
        <v>9086857239</v>
      </c>
    </row>
    <row r="112">
      <c r="A112" s="41">
        <v>172.0</v>
      </c>
      <c r="B112" s="42" t="s">
        <v>243</v>
      </c>
      <c r="C112" s="42" t="s">
        <v>244</v>
      </c>
      <c r="D112" s="42"/>
      <c r="E112" s="42" t="str">
        <f t="shared" ref="E112:F112" si="113">PROPER(B112)</f>
        <v>Tenejero Pulilan Farmers Association</v>
      </c>
      <c r="F112" s="42" t="str">
        <f t="shared" si="113"/>
        <v>Tinejero, Pulilan, Bulacan</v>
      </c>
      <c r="G112" s="42" t="str">
        <f t="shared" si="3"/>
        <v>Tinejero</v>
      </c>
      <c r="H112" s="42" t="str">
        <f t="shared" si="4"/>
        <v>Pulilan</v>
      </c>
      <c r="I112" s="42" t="str">
        <f t="shared" si="5"/>
        <v>Bulacan</v>
      </c>
      <c r="J112" s="42" t="str">
        <f t="array" ref="J112">XLOOKUP($E112,'Recipients REF'!$B:$B,'Recipients REF'!D:D,"",0)</f>
        <v>Brigido C. Gonzales</v>
      </c>
      <c r="K112" s="42" t="str">
        <f t="array" ref="K112">XLOOKUP($E112,'Recipients REF'!$B:$B,'Recipients REF'!E:E,"",0)</f>
        <v>0932-714-4046</v>
      </c>
      <c r="L112" s="43" t="str">
        <f t="array" ref="L112">XLOOKUP($A112,'Recipients REF'!$A:$A,'Recipients REF'!F:F,"",0)</f>
        <v>RCEF 23-09-21 Rebidding</v>
      </c>
      <c r="M112" s="43">
        <f t="array" ref="M112">XLOOKUP($A112,'Recipients REF'!$A:$A,'Recipients REF'!G:G,"",0)</f>
        <v>3</v>
      </c>
      <c r="N112" s="43">
        <f t="array" ref="N112">XLOOKUP($A112,'Recipients REF'!$A:$A,'Recipients REF'!H:H,"",0)</f>
        <v>17988</v>
      </c>
      <c r="O112" s="44" t="s">
        <v>25</v>
      </c>
      <c r="P112" s="45" t="s">
        <v>26</v>
      </c>
      <c r="Q112" s="46" t="str">
        <f t="array" ref="Q112">XLOOKUP($A112,'Recipients REF'!$A:$A,'Recipients REF'!I:I,"",0)</f>
        <v>KMC5825 AEPFPV0073</v>
      </c>
      <c r="R112" s="47" t="str">
        <f t="array" ref="R112">XLOOKUP($A112,'Recipients REF'!$A:$A,'Recipients REF'!J:J,"",0)</f>
        <v>PTS 100152</v>
      </c>
      <c r="S112" s="45" t="s">
        <v>27</v>
      </c>
      <c r="T112" s="45" t="s">
        <v>28</v>
      </c>
      <c r="U112" s="46" t="str">
        <f t="array" ref="U112">XLOOKUP($A112,'Recipients REF'!$A:$A,'Recipients REF'!K:K,"",0)</f>
        <v>R-SERIES 016 PH</v>
      </c>
      <c r="V112" s="44" t="s">
        <v>29</v>
      </c>
      <c r="W112" s="45" t="s">
        <v>30</v>
      </c>
      <c r="X112" s="47" t="str">
        <f t="array" ref="X112">XLOOKUP($A112,'Recipients REF'!$A:$A,'Recipients REF'!L:L,"",0)</f>
        <v>LSGW1750 RMP 2312081</v>
      </c>
      <c r="Y112" s="48" t="s">
        <v>29</v>
      </c>
      <c r="Z112" s="48" t="s">
        <v>31</v>
      </c>
      <c r="AA112" s="46" t="str">
        <f t="array" ref="AA112">XLOOKUP($A112,'Recipients REF'!$A:$A,'Recipients REF'!M:M,"",0)</f>
        <v>WDP40 RMP 2312079</v>
      </c>
      <c r="AB112" s="49"/>
      <c r="AC112" s="42"/>
      <c r="AD112" s="42"/>
      <c r="AE112" s="51"/>
      <c r="AF112" s="52"/>
      <c r="AG112" s="42"/>
      <c r="AH112" s="42"/>
      <c r="AI112" s="42">
        <f t="array" ref="AI112">XLOOKUP($E112,Sheet11!$D:$D,Sheet11!$X:$X,"",0)</f>
        <v>869066060238798</v>
      </c>
      <c r="AJ112" s="42">
        <f t="array" ref="AJ112">XLOOKUP($E112,Sheet11!$D:$D,Sheet11!$Y:$Y,"",0)</f>
        <v>9085695608</v>
      </c>
    </row>
    <row r="113">
      <c r="A113" s="41">
        <v>173.0</v>
      </c>
      <c r="B113" s="42" t="s">
        <v>245</v>
      </c>
      <c r="C113" s="42" t="s">
        <v>246</v>
      </c>
      <c r="D113" s="42"/>
      <c r="E113" s="42" t="str">
        <f t="shared" ref="E113:F113" si="114">PROPER(B113)</f>
        <v>Mulawin Bata Irrigators Association, Inc.</v>
      </c>
      <c r="F113" s="42" t="str">
        <f t="shared" si="114"/>
        <v>Tarcan, Baliuag, Bulacan</v>
      </c>
      <c r="G113" s="42" t="str">
        <f t="shared" si="3"/>
        <v>Tarcan</v>
      </c>
      <c r="H113" s="42" t="str">
        <f t="shared" si="4"/>
        <v>Baliuag</v>
      </c>
      <c r="I113" s="42" t="str">
        <f t="shared" si="5"/>
        <v>Bulacan</v>
      </c>
      <c r="J113" s="42" t="str">
        <f t="array" ref="J113">XLOOKUP($E113,'Recipients REF'!$B:$B,'Recipients REF'!D:D,"",0)</f>
        <v>Rogelio P. Rodriguez</v>
      </c>
      <c r="K113" s="42" t="str">
        <f t="array" ref="K113">XLOOKUP($E113,'Recipients REF'!$B:$B,'Recipients REF'!E:E,"",0)</f>
        <v>0923-745-1436</v>
      </c>
      <c r="L113" s="43" t="str">
        <f t="array" ref="L113">XLOOKUP($A113,'Recipients REF'!$A:$A,'Recipients REF'!F:F,"",0)</f>
        <v>RCEF 23-09-21 Rebidding</v>
      </c>
      <c r="M113" s="43">
        <f t="array" ref="M113">XLOOKUP($A113,'Recipients REF'!$A:$A,'Recipients REF'!G:G,"",0)</f>
        <v>3</v>
      </c>
      <c r="N113" s="43">
        <f t="array" ref="N113">XLOOKUP($A113,'Recipients REF'!$A:$A,'Recipients REF'!H:H,"",0)</f>
        <v>17989</v>
      </c>
      <c r="O113" s="44" t="s">
        <v>25</v>
      </c>
      <c r="P113" s="45" t="s">
        <v>26</v>
      </c>
      <c r="Q113" s="46" t="str">
        <f t="array" ref="Q113">XLOOKUP($A113,'Recipients REF'!$A:$A,'Recipients REF'!I:I,"",0)</f>
        <v>KMC5825 AKPFPV0144</v>
      </c>
      <c r="R113" s="47" t="str">
        <f t="array" ref="R113">XLOOKUP($A113,'Recipients REF'!$A:$A,'Recipients REF'!J:J,"",0)</f>
        <v>PTS 100124</v>
      </c>
      <c r="S113" s="45" t="s">
        <v>27</v>
      </c>
      <c r="T113" s="45" t="s">
        <v>28</v>
      </c>
      <c r="U113" s="46" t="str">
        <f t="array" ref="U113">XLOOKUP($A113,'Recipients REF'!$A:$A,'Recipients REF'!K:K,"",0)</f>
        <v>R-SERIES 058 PH</v>
      </c>
      <c r="V113" s="44" t="s">
        <v>29</v>
      </c>
      <c r="W113" s="45" t="s">
        <v>30</v>
      </c>
      <c r="X113" s="47" t="str">
        <f t="array" ref="X113">XLOOKUP($A113,'Recipients REF'!$A:$A,'Recipients REF'!L:L,"",0)</f>
        <v>LSGW1750 RMP 2312061</v>
      </c>
      <c r="Y113" s="48" t="s">
        <v>29</v>
      </c>
      <c r="Z113" s="48" t="s">
        <v>31</v>
      </c>
      <c r="AA113" s="46" t="str">
        <f t="array" ref="AA113">XLOOKUP($A113,'Recipients REF'!$A:$A,'Recipients REF'!M:M,"",0)</f>
        <v>WDP40 RMP 2312114</v>
      </c>
      <c r="AB113" s="49"/>
      <c r="AC113" s="42"/>
      <c r="AD113" s="42"/>
      <c r="AE113" s="51"/>
      <c r="AF113" s="52"/>
      <c r="AG113" s="42"/>
      <c r="AH113" s="42"/>
      <c r="AI113" s="42">
        <f t="array" ref="AI113">XLOOKUP($E113,Sheet11!$D:$D,Sheet11!$X:$X,"",0)</f>
        <v>869066060243996</v>
      </c>
      <c r="AJ113" s="42">
        <f t="array" ref="AJ113">XLOOKUP($E113,Sheet11!$D:$D,Sheet11!$Y:$Y,"",0)</f>
        <v>9087601814</v>
      </c>
    </row>
    <row r="114">
      <c r="A114" s="41">
        <v>174.0</v>
      </c>
      <c r="B114" s="42" t="s">
        <v>247</v>
      </c>
      <c r="C114" s="42" t="s">
        <v>248</v>
      </c>
      <c r="D114" s="42"/>
      <c r="E114" s="42" t="str">
        <f t="shared" ref="E114:F114" si="115">PROPER(B114)</f>
        <v>Sta. Catalina Matanda-Bubulong Malaki Irrigators Association Inc.</v>
      </c>
      <c r="F114" s="42" t="str">
        <f t="shared" si="115"/>
        <v>Sta. Catalina, San Ildefonso, Bulacan</v>
      </c>
      <c r="G114" s="42" t="str">
        <f t="shared" si="3"/>
        <v>Sta. Catalina</v>
      </c>
      <c r="H114" s="42" t="str">
        <f t="shared" si="4"/>
        <v>San Ildefonso</v>
      </c>
      <c r="I114" s="42" t="str">
        <f t="shared" si="5"/>
        <v>Bulacan</v>
      </c>
      <c r="J114" s="42" t="str">
        <f t="array" ref="J114">XLOOKUP($E114,'Recipients REF'!$B:$B,'Recipients REF'!D:D,"",0)</f>
        <v>Rodrigo P. Villacorta</v>
      </c>
      <c r="K114" s="42" t="str">
        <f t="array" ref="K114">XLOOKUP($E114,'Recipients REF'!$B:$B,'Recipients REF'!E:E,"",0)</f>
        <v>0935-728-1261</v>
      </c>
      <c r="L114" s="43" t="str">
        <f t="array" ref="L114">XLOOKUP($A114,'Recipients REF'!$A:$A,'Recipients REF'!F:F,"",0)</f>
        <v>RCEF 23-09-21 Rebidding</v>
      </c>
      <c r="M114" s="43">
        <f t="array" ref="M114">XLOOKUP($A114,'Recipients REF'!$A:$A,'Recipients REF'!G:G,"",0)</f>
        <v>3</v>
      </c>
      <c r="N114" s="43">
        <f t="array" ref="N114">XLOOKUP($A114,'Recipients REF'!$A:$A,'Recipients REF'!H:H,"",0)</f>
        <v>17990</v>
      </c>
      <c r="O114" s="44" t="s">
        <v>25</v>
      </c>
      <c r="P114" s="45" t="s">
        <v>26</v>
      </c>
      <c r="Q114" s="46" t="str">
        <f t="array" ref="Q114">XLOOKUP($A114,'Recipients REF'!$A:$A,'Recipients REF'!I:I,"",0)</f>
        <v>KMC5825 AAPFPV0103</v>
      </c>
      <c r="R114" s="47" t="str">
        <f t="array" ref="R114">XLOOKUP($A114,'Recipients REF'!$A:$A,'Recipients REF'!J:J,"",0)</f>
        <v>PTS 100111</v>
      </c>
      <c r="S114" s="45" t="s">
        <v>27</v>
      </c>
      <c r="T114" s="45" t="s">
        <v>28</v>
      </c>
      <c r="U114" s="46" t="str">
        <f t="array" ref="U114">XLOOKUP($A114,'Recipients REF'!$A:$A,'Recipients REF'!K:K,"",0)</f>
        <v>R-SERIES 054 PH</v>
      </c>
      <c r="V114" s="44" t="s">
        <v>29</v>
      </c>
      <c r="W114" s="45" t="s">
        <v>30</v>
      </c>
      <c r="X114" s="47" t="str">
        <f t="array" ref="X114">XLOOKUP($A114,'Recipients REF'!$A:$A,'Recipients REF'!L:L,"",0)</f>
        <v>LSGW1750 RMP 2312047</v>
      </c>
      <c r="Y114" s="48" t="s">
        <v>29</v>
      </c>
      <c r="Z114" s="48" t="s">
        <v>31</v>
      </c>
      <c r="AA114" s="46" t="str">
        <f t="array" ref="AA114">XLOOKUP($A114,'Recipients REF'!$A:$A,'Recipients REF'!M:M,"",0)</f>
        <v>WDP40 RMP 2312122</v>
      </c>
      <c r="AB114" s="49"/>
      <c r="AC114" s="42"/>
      <c r="AD114" s="42"/>
      <c r="AE114" s="51"/>
      <c r="AF114" s="52"/>
      <c r="AG114" s="52"/>
      <c r="AH114" s="42"/>
      <c r="AI114" s="42" t="str">
        <f t="array" ref="AI114">XLOOKUP($E114,Sheet11!$D:$D,Sheet11!$X:$X,"",0)</f>
        <v>869066060242360 (E)</v>
      </c>
      <c r="AJ114" s="42">
        <f t="array" ref="AJ114">XLOOKUP($E114,Sheet11!$D:$D,Sheet11!$Y:$Y,"",0)</f>
        <v>9086899315</v>
      </c>
    </row>
    <row r="115">
      <c r="A115" s="41">
        <v>175.0</v>
      </c>
      <c r="B115" s="42" t="s">
        <v>249</v>
      </c>
      <c r="C115" s="42" t="s">
        <v>250</v>
      </c>
      <c r="D115" s="42"/>
      <c r="E115" s="42" t="str">
        <f t="shared" ref="E115:F115" si="116">PROPER(B115)</f>
        <v>Masagana Producers Cooperative</v>
      </c>
      <c r="F115" s="42" t="str">
        <f t="shared" si="116"/>
        <v>Alagao, San Ildefonso, Bulacan</v>
      </c>
      <c r="G115" s="42" t="str">
        <f t="shared" si="3"/>
        <v>Alagao</v>
      </c>
      <c r="H115" s="42" t="str">
        <f t="shared" si="4"/>
        <v>San Ildefonso</v>
      </c>
      <c r="I115" s="42" t="str">
        <f t="shared" si="5"/>
        <v>Bulacan</v>
      </c>
      <c r="J115" s="42" t="str">
        <f t="array" ref="J115">XLOOKUP($E115,'Recipients REF'!$B:$B,'Recipients REF'!D:D,"",0)</f>
        <v>Suelo F. Vergara</v>
      </c>
      <c r="K115" s="42" t="str">
        <f t="array" ref="K115">XLOOKUP($E115,'Recipients REF'!$B:$B,'Recipients REF'!E:E,"",0)</f>
        <v>0935-140-4696</v>
      </c>
      <c r="L115" s="43" t="str">
        <f t="array" ref="L115">XLOOKUP($A115,'Recipients REF'!$A:$A,'Recipients REF'!F:F,"",0)</f>
        <v>RCEF 23-09-21 Rebidding</v>
      </c>
      <c r="M115" s="43">
        <f t="array" ref="M115">XLOOKUP($A115,'Recipients REF'!$A:$A,'Recipients REF'!G:G,"",0)</f>
        <v>3</v>
      </c>
      <c r="N115" s="43">
        <f t="array" ref="N115">XLOOKUP($A115,'Recipients REF'!$A:$A,'Recipients REF'!H:H,"",0)</f>
        <v>17991</v>
      </c>
      <c r="O115" s="44" t="s">
        <v>25</v>
      </c>
      <c r="P115" s="45" t="s">
        <v>26</v>
      </c>
      <c r="Q115" s="46" t="str">
        <f t="array" ref="Q115">XLOOKUP($A115,'Recipients REF'!$A:$A,'Recipients REF'!I:I,"",0)</f>
        <v>KMC5825 AVPFPV0006</v>
      </c>
      <c r="R115" s="47" t="str">
        <f t="array" ref="R115">XLOOKUP($A115,'Recipients REF'!$A:$A,'Recipients REF'!J:J,"",0)</f>
        <v>PTS 100271</v>
      </c>
      <c r="S115" s="45" t="s">
        <v>27</v>
      </c>
      <c r="T115" s="45" t="s">
        <v>28</v>
      </c>
      <c r="U115" s="46" t="str">
        <f t="array" ref="U115">XLOOKUP($A115,'Recipients REF'!$A:$A,'Recipients REF'!K:K,"",0)</f>
        <v>R-SERIES 010 PH</v>
      </c>
      <c r="V115" s="44" t="s">
        <v>29</v>
      </c>
      <c r="W115" s="45" t="s">
        <v>30</v>
      </c>
      <c r="X115" s="47" t="str">
        <f t="array" ref="X115">XLOOKUP($A115,'Recipients REF'!$A:$A,'Recipients REF'!L:L,"",0)</f>
        <v>LSGW1750 RMP 2312046</v>
      </c>
      <c r="Y115" s="48" t="s">
        <v>29</v>
      </c>
      <c r="Z115" s="48" t="s">
        <v>31</v>
      </c>
      <c r="AA115" s="46" t="str">
        <f t="array" ref="AA115">XLOOKUP($A115,'Recipients REF'!$A:$A,'Recipients REF'!M:M,"",0)</f>
        <v>WDP40 RMP 2312130</v>
      </c>
      <c r="AB115" s="49"/>
      <c r="AC115" s="42"/>
      <c r="AD115" s="42"/>
      <c r="AE115" s="51"/>
      <c r="AF115" s="52"/>
      <c r="AG115" s="42"/>
      <c r="AH115" s="42"/>
      <c r="AI115" s="42" t="str">
        <f t="array" ref="AI115">XLOOKUP($E115,Sheet11!$D:$D,Sheet11!$X:$X,"",0)</f>
        <v>869066060244515 (E)</v>
      </c>
      <c r="AJ115" s="42">
        <f t="array" ref="AJ115">XLOOKUP($E115,Sheet11!$D:$D,Sheet11!$Y:$Y,"",0)</f>
        <v>9087173211</v>
      </c>
    </row>
    <row r="116">
      <c r="A116" s="41">
        <v>176.0</v>
      </c>
      <c r="B116" s="42" t="s">
        <v>251</v>
      </c>
      <c r="C116" s="42" t="s">
        <v>252</v>
      </c>
      <c r="D116" s="42"/>
      <c r="E116" s="42" t="str">
        <f t="shared" ref="E116:F116" si="117">PROPER(B116)</f>
        <v>Masalipit Small Water Irrigation System Association Inc.</v>
      </c>
      <c r="F116" s="42" t="str">
        <f t="shared" si="117"/>
        <v>Masalipit, San Miguel, Bulacan</v>
      </c>
      <c r="G116" s="42" t="str">
        <f t="shared" si="3"/>
        <v>Masalipit</v>
      </c>
      <c r="H116" s="42" t="str">
        <f t="shared" si="4"/>
        <v>San Miguel</v>
      </c>
      <c r="I116" s="42" t="str">
        <f t="shared" si="5"/>
        <v>Bulacan</v>
      </c>
      <c r="J116" s="42" t="str">
        <f t="array" ref="J116">XLOOKUP($E116,'Recipients REF'!$B:$B,'Recipients REF'!D:D,"",0)</f>
        <v>Bernardo S. Lusano</v>
      </c>
      <c r="K116" s="42" t="str">
        <f t="array" ref="K116">XLOOKUP($E116,'Recipients REF'!$B:$B,'Recipients REF'!E:E,"",0)</f>
        <v>0935-952-6857</v>
      </c>
      <c r="L116" s="43" t="str">
        <f t="array" ref="L116">XLOOKUP($A116,'Recipients REF'!$A:$A,'Recipients REF'!F:F,"",0)</f>
        <v>RCEF 23-09-21 Rebidding</v>
      </c>
      <c r="M116" s="43">
        <f t="array" ref="M116">XLOOKUP($A116,'Recipients REF'!$A:$A,'Recipients REF'!G:G,"",0)</f>
        <v>3</v>
      </c>
      <c r="N116" s="43">
        <f t="array" ref="N116">XLOOKUP($A116,'Recipients REF'!$A:$A,'Recipients REF'!H:H,"",0)</f>
        <v>17992</v>
      </c>
      <c r="O116" s="44" t="s">
        <v>25</v>
      </c>
      <c r="P116" s="45" t="s">
        <v>26</v>
      </c>
      <c r="Q116" s="46" t="str">
        <f t="array" ref="Q116">XLOOKUP($A116,'Recipients REF'!$A:$A,'Recipients REF'!I:I,"",0)</f>
        <v>KMC5825 AEPFPV0123</v>
      </c>
      <c r="R116" s="47" t="str">
        <f t="array" ref="R116">XLOOKUP($A116,'Recipients REF'!$A:$A,'Recipients REF'!J:J,"",0)</f>
        <v>PTS 100105</v>
      </c>
      <c r="S116" s="45" t="s">
        <v>27</v>
      </c>
      <c r="T116" s="45" t="s">
        <v>28</v>
      </c>
      <c r="U116" s="46" t="str">
        <f t="array" ref="U116">XLOOKUP($A116,'Recipients REF'!$A:$A,'Recipients REF'!K:K,"",0)</f>
        <v>R-SERIES 072 PH</v>
      </c>
      <c r="V116" s="44" t="s">
        <v>29</v>
      </c>
      <c r="W116" s="45" t="s">
        <v>30</v>
      </c>
      <c r="X116" s="47" t="str">
        <f t="array" ref="X116">XLOOKUP($A116,'Recipients REF'!$A:$A,'Recipients REF'!L:L,"",0)</f>
        <v>LSGW1750 RMP 2312072</v>
      </c>
      <c r="Y116" s="48" t="s">
        <v>29</v>
      </c>
      <c r="Z116" s="48" t="s">
        <v>31</v>
      </c>
      <c r="AA116" s="46" t="str">
        <f t="array" ref="AA116">XLOOKUP($A116,'Recipients REF'!$A:$A,'Recipients REF'!M:M,"",0)</f>
        <v>WDP40 RMP 2312120</v>
      </c>
      <c r="AB116" s="49"/>
      <c r="AC116" s="42"/>
      <c r="AD116" s="42"/>
      <c r="AE116" s="50"/>
      <c r="AF116" s="42"/>
      <c r="AG116" s="42"/>
      <c r="AH116" s="42"/>
      <c r="AI116" s="42" t="str">
        <f t="array" ref="AI116">XLOOKUP($E116,Sheet11!$D:$D,Sheet11!$X:$X,"",0)</f>
        <v>869066060243624 (E)</v>
      </c>
      <c r="AJ116" s="42">
        <f t="array" ref="AJ116">XLOOKUP($E116,Sheet11!$D:$D,Sheet11!$Y:$Y,"",0)</f>
        <v>9086899329</v>
      </c>
    </row>
    <row r="117">
      <c r="A117" s="41">
        <v>177.0</v>
      </c>
      <c r="B117" s="42" t="s">
        <v>253</v>
      </c>
      <c r="C117" s="42" t="s">
        <v>254</v>
      </c>
      <c r="D117" s="42"/>
      <c r="E117" s="42" t="str">
        <f t="shared" ref="E117:F117" si="118">PROPER(B117)</f>
        <v>Agribusiness Farmworker'S Livelihood And Agriculture Cooperative (Aflac)</v>
      </c>
      <c r="F117" s="42" t="str">
        <f t="shared" si="118"/>
        <v>Capihan, San Rafael, Bulacan</v>
      </c>
      <c r="G117" s="42" t="str">
        <f t="shared" si="3"/>
        <v>Capihan</v>
      </c>
      <c r="H117" s="42" t="str">
        <f t="shared" si="4"/>
        <v>San Rafael</v>
      </c>
      <c r="I117" s="42" t="str">
        <f t="shared" si="5"/>
        <v>Bulacan</v>
      </c>
      <c r="J117" s="42" t="str">
        <f t="array" ref="J117">XLOOKUP($E117,'Recipients REF'!$B:$B,'Recipients REF'!D:D,"",0)</f>
        <v>Angelito Verdillo</v>
      </c>
      <c r="K117" s="42" t="str">
        <f t="array" ref="K117">XLOOKUP($E117,'Recipients REF'!$B:$B,'Recipients REF'!E:E,"",0)</f>
        <v>0932-567-4073/0922-893-8364</v>
      </c>
      <c r="L117" s="43" t="str">
        <f t="array" ref="L117">XLOOKUP($A117,'Recipients REF'!$A:$A,'Recipients REF'!F:F,"",0)</f>
        <v>RCEF 23-09-21 Rebidding</v>
      </c>
      <c r="M117" s="43">
        <f t="array" ref="M117">XLOOKUP($A117,'Recipients REF'!$A:$A,'Recipients REF'!G:G,"",0)</f>
        <v>3</v>
      </c>
      <c r="N117" s="43">
        <f t="array" ref="N117">XLOOKUP($A117,'Recipients REF'!$A:$A,'Recipients REF'!H:H,"",0)</f>
        <v>17993</v>
      </c>
      <c r="O117" s="44" t="s">
        <v>25</v>
      </c>
      <c r="P117" s="45" t="s">
        <v>26</v>
      </c>
      <c r="Q117" s="46" t="str">
        <f t="array" ref="Q117">XLOOKUP($A117,'Recipients REF'!$A:$A,'Recipients REF'!I:I,"",0)</f>
        <v>KMC5825 AVPFPV0133</v>
      </c>
      <c r="R117" s="47" t="str">
        <f t="array" ref="R117">XLOOKUP($A117,'Recipients REF'!$A:$A,'Recipients REF'!J:J,"",0)</f>
        <v>PTS 100079</v>
      </c>
      <c r="S117" s="45" t="s">
        <v>27</v>
      </c>
      <c r="T117" s="45" t="s">
        <v>28</v>
      </c>
      <c r="U117" s="46" t="str">
        <f t="array" ref="U117">XLOOKUP($A117,'Recipients REF'!$A:$A,'Recipients REF'!K:K,"",0)</f>
        <v>R-SERIES 023 PH</v>
      </c>
      <c r="V117" s="44" t="s">
        <v>29</v>
      </c>
      <c r="W117" s="45" t="s">
        <v>30</v>
      </c>
      <c r="X117" s="47" t="str">
        <f t="array" ref="X117">XLOOKUP($A117,'Recipients REF'!$A:$A,'Recipients REF'!L:L,"",0)</f>
        <v>LSGW1750 RMP 2312073</v>
      </c>
      <c r="Y117" s="48" t="s">
        <v>29</v>
      </c>
      <c r="Z117" s="48" t="s">
        <v>31</v>
      </c>
      <c r="AA117" s="46" t="str">
        <f t="array" ref="AA117">XLOOKUP($A117,'Recipients REF'!$A:$A,'Recipients REF'!M:M,"",0)</f>
        <v>WDP40 RMP 2312102</v>
      </c>
      <c r="AB117" s="49"/>
      <c r="AC117" s="42"/>
      <c r="AD117" s="42"/>
      <c r="AE117" s="51"/>
      <c r="AF117" s="52"/>
      <c r="AG117" s="42"/>
      <c r="AH117" s="42"/>
      <c r="AI117" s="42">
        <f t="array" ref="AI117">XLOOKUP($E117,Sheet11!$D:$D,Sheet11!$X:$X,"",0)</f>
        <v>869066060243632</v>
      </c>
      <c r="AJ117" s="42">
        <f t="array" ref="AJ117">XLOOKUP($E117,Sheet11!$D:$D,Sheet11!$Y:$Y,"",0)</f>
        <v>9086620378</v>
      </c>
    </row>
    <row r="118">
      <c r="A118" s="41">
        <v>178.0</v>
      </c>
      <c r="B118" s="42" t="s">
        <v>255</v>
      </c>
      <c r="C118" s="42" t="s">
        <v>256</v>
      </c>
      <c r="D118" s="42"/>
      <c r="E118" s="42" t="str">
        <f t="shared" ref="E118:F118" si="119">PROPER(B118)</f>
        <v>Galas Maasim Palay And Vegetable Producers Association</v>
      </c>
      <c r="F118" s="42" t="str">
        <f t="shared" si="119"/>
        <v>Maasim, San Rafael, Bulacan</v>
      </c>
      <c r="G118" s="42" t="str">
        <f t="shared" si="3"/>
        <v>Maasim</v>
      </c>
      <c r="H118" s="42" t="str">
        <f t="shared" si="4"/>
        <v>San Rafael</v>
      </c>
      <c r="I118" s="42" t="str">
        <f t="shared" si="5"/>
        <v>Bulacan</v>
      </c>
      <c r="J118" s="42" t="str">
        <f t="array" ref="J118">XLOOKUP($E118,'Recipients REF'!$B:$B,'Recipients REF'!D:D,"",0)</f>
        <v>Tarcila S. Dela Cruz</v>
      </c>
      <c r="K118" s="42" t="str">
        <f t="array" ref="K118">XLOOKUP($E118,'Recipients REF'!$B:$B,'Recipients REF'!E:E,"",0)</f>
        <v>0923-801-3149</v>
      </c>
      <c r="L118" s="43" t="str">
        <f t="array" ref="L118">XLOOKUP($A118,'Recipients REF'!$A:$A,'Recipients REF'!F:F,"",0)</f>
        <v>RCEF 23-09-21 Rebidding</v>
      </c>
      <c r="M118" s="43">
        <f t="array" ref="M118">XLOOKUP($A118,'Recipients REF'!$A:$A,'Recipients REF'!G:G,"",0)</f>
        <v>3</v>
      </c>
      <c r="N118" s="43">
        <f t="array" ref="N118">XLOOKUP($A118,'Recipients REF'!$A:$A,'Recipients REF'!H:H,"",0)</f>
        <v>17994</v>
      </c>
      <c r="O118" s="44" t="s">
        <v>25</v>
      </c>
      <c r="P118" s="45" t="s">
        <v>26</v>
      </c>
      <c r="Q118" s="46" t="str">
        <f t="array" ref="Q118">XLOOKUP($A118,'Recipients REF'!$A:$A,'Recipients REF'!I:I,"",0)</f>
        <v>KMC5825 ALPFPV0099</v>
      </c>
      <c r="R118" s="47" t="str">
        <f t="array" ref="R118">XLOOKUP($A118,'Recipients REF'!$A:$A,'Recipients REF'!J:J,"",0)</f>
        <v>PTS 100071</v>
      </c>
      <c r="S118" s="45" t="s">
        <v>27</v>
      </c>
      <c r="T118" s="45" t="s">
        <v>28</v>
      </c>
      <c r="U118" s="46" t="str">
        <f t="array" ref="U118">XLOOKUP($A118,'Recipients REF'!$A:$A,'Recipients REF'!K:K,"",0)</f>
        <v>R-SERIES 034 PH</v>
      </c>
      <c r="V118" s="44" t="s">
        <v>29</v>
      </c>
      <c r="W118" s="45" t="s">
        <v>30</v>
      </c>
      <c r="X118" s="47" t="str">
        <f t="array" ref="X118">XLOOKUP($A118,'Recipients REF'!$A:$A,'Recipients REF'!L:L,"",0)</f>
        <v>LSGW1750 RMP 2312069</v>
      </c>
      <c r="Y118" s="48" t="s">
        <v>29</v>
      </c>
      <c r="Z118" s="48" t="s">
        <v>31</v>
      </c>
      <c r="AA118" s="46" t="str">
        <f t="array" ref="AA118">XLOOKUP($A118,'Recipients REF'!$A:$A,'Recipients REF'!M:M,"",0)</f>
        <v>WDP40 RMP 2312123</v>
      </c>
      <c r="AB118" s="49"/>
      <c r="AC118" s="42"/>
      <c r="AD118" s="42"/>
      <c r="AE118" s="51"/>
      <c r="AF118" s="52"/>
      <c r="AG118" s="42"/>
      <c r="AH118" s="42"/>
      <c r="AI118" s="42">
        <f t="array" ref="AI118">XLOOKUP($E118,Sheet11!$D:$D,Sheet11!$X:$X,"",0)</f>
        <v>869066060243640</v>
      </c>
      <c r="AJ118" s="42">
        <f t="array" ref="AJ118">XLOOKUP($E118,Sheet11!$D:$D,Sheet11!$Y:$Y,"",0)</f>
        <v>9086634990</v>
      </c>
    </row>
    <row r="119">
      <c r="A119" s="41">
        <v>179.0</v>
      </c>
      <c r="B119" s="42" t="s">
        <v>257</v>
      </c>
      <c r="C119" s="42" t="s">
        <v>258</v>
      </c>
      <c r="D119" s="42"/>
      <c r="E119" s="42" t="str">
        <f t="shared" ref="E119:F119" si="120">PROPER(B119)</f>
        <v>Municipal Local Government Unit Of Angat</v>
      </c>
      <c r="F119" s="42" t="str">
        <f t="shared" si="120"/>
        <v>Poblacion, Angat, Bulacan</v>
      </c>
      <c r="G119" s="42" t="str">
        <f t="shared" si="3"/>
        <v>Poblacion</v>
      </c>
      <c r="H119" s="42" t="str">
        <f t="shared" si="4"/>
        <v>Angat</v>
      </c>
      <c r="I119" s="42" t="str">
        <f t="shared" si="5"/>
        <v>Bulacan</v>
      </c>
      <c r="J119" s="42" t="str">
        <f t="array" ref="J119">XLOOKUP($E119,'Recipients REF'!$B:$B,'Recipients REF'!D:D,"",0)</f>
        <v>Joseph Del Rosario</v>
      </c>
      <c r="K119" s="42">
        <f t="array" ref="K119">XLOOKUP($E119,'Recipients REF'!$B:$B,'Recipients REF'!E:E,"",0)</f>
        <v>9179941102</v>
      </c>
      <c r="L119" s="43" t="str">
        <f t="array" ref="L119">XLOOKUP($A119,'Recipients REF'!$A:$A,'Recipients REF'!F:F,"",0)</f>
        <v>RCEF 23-09-21 Rebidding</v>
      </c>
      <c r="M119" s="43">
        <f t="array" ref="M119">XLOOKUP($A119,'Recipients REF'!$A:$A,'Recipients REF'!G:G,"",0)</f>
        <v>3</v>
      </c>
      <c r="N119" s="43">
        <f t="array" ref="N119">XLOOKUP($A119,'Recipients REF'!$A:$A,'Recipients REF'!H:H,"",0)</f>
        <v>17995</v>
      </c>
      <c r="O119" s="44" t="s">
        <v>25</v>
      </c>
      <c r="P119" s="45" t="s">
        <v>26</v>
      </c>
      <c r="Q119" s="46" t="str">
        <f t="array" ref="Q119">XLOOKUP($A119,'Recipients REF'!$A:$A,'Recipients REF'!I:I,"",0)</f>
        <v>KMC5825 APPFPV0143</v>
      </c>
      <c r="R119" s="47" t="str">
        <f t="array" ref="R119">XLOOKUP($A119,'Recipients REF'!$A:$A,'Recipients REF'!J:J,"",0)</f>
        <v>PTS 100119</v>
      </c>
      <c r="S119" s="45" t="s">
        <v>27</v>
      </c>
      <c r="T119" s="45" t="s">
        <v>28</v>
      </c>
      <c r="U119" s="46" t="str">
        <f t="array" ref="U119">XLOOKUP($A119,'Recipients REF'!$A:$A,'Recipients REF'!K:K,"",0)</f>
        <v>R-SERIES 076 PH</v>
      </c>
      <c r="V119" s="44" t="s">
        <v>29</v>
      </c>
      <c r="W119" s="45" t="s">
        <v>30</v>
      </c>
      <c r="X119" s="47" t="str">
        <f t="array" ref="X119">XLOOKUP($A119,'Recipients REF'!$A:$A,'Recipients REF'!L:L,"",0)</f>
        <v>LSGW1750 RMP 2312082</v>
      </c>
      <c r="Y119" s="48" t="s">
        <v>29</v>
      </c>
      <c r="Z119" s="48" t="s">
        <v>31</v>
      </c>
      <c r="AA119" s="46" t="str">
        <f t="array" ref="AA119">XLOOKUP($A119,'Recipients REF'!$A:$A,'Recipients REF'!M:M,"",0)</f>
        <v>WDP40 RMP 2312137</v>
      </c>
      <c r="AB119" s="49"/>
      <c r="AC119" s="42"/>
      <c r="AD119" s="42"/>
      <c r="AE119" s="51"/>
      <c r="AF119" s="52"/>
      <c r="AG119" s="42"/>
      <c r="AH119" s="42"/>
      <c r="AI119" s="42" t="str">
        <f t="array" ref="AI119">XLOOKUP($E119,Sheet11!$D:$D,Sheet11!$X:$X,"",0)</f>
        <v>869066060010213 (E)</v>
      </c>
      <c r="AJ119" s="42">
        <f t="array" ref="AJ119">XLOOKUP($E119,Sheet11!$D:$D,Sheet11!$Y:$Y,"",0)</f>
        <v>9086857236</v>
      </c>
    </row>
    <row r="120">
      <c r="A120" s="41">
        <v>180.0</v>
      </c>
      <c r="B120" s="42" t="s">
        <v>259</v>
      </c>
      <c r="C120" s="42" t="s">
        <v>260</v>
      </c>
      <c r="D120" s="42"/>
      <c r="E120" s="42" t="str">
        <f t="shared" ref="E120:F120" si="121">PROPER(B120)</f>
        <v>Butil, Gulayan, At Paghahayupan Ng Magsasaka Ng Bagong Barrio</v>
      </c>
      <c r="F120" s="42" t="str">
        <f t="shared" si="121"/>
        <v>Bagong Barrio, Pandi, Bulacan</v>
      </c>
      <c r="G120" s="42" t="str">
        <f t="shared" si="3"/>
        <v>Bagong Barrio</v>
      </c>
      <c r="H120" s="42" t="str">
        <f t="shared" si="4"/>
        <v>Pandi</v>
      </c>
      <c r="I120" s="42" t="str">
        <f t="shared" si="5"/>
        <v>Bulacan</v>
      </c>
      <c r="J120" s="42" t="str">
        <f t="array" ref="J120">XLOOKUP($E120,'Recipients REF'!$B:$B,'Recipients REF'!D:D,"",0)</f>
        <v>Adriano R. Landayan Jr.</v>
      </c>
      <c r="K120" s="42" t="str">
        <f t="array" ref="K120">XLOOKUP($E120,'Recipients REF'!$B:$B,'Recipients REF'!E:E,"",0)</f>
        <v>0975-916-2663/0932-199-1058</v>
      </c>
      <c r="L120" s="43" t="str">
        <f t="array" ref="L120">XLOOKUP($A120,'Recipients REF'!$A:$A,'Recipients REF'!F:F,"",0)</f>
        <v>RCEF 23-09-21 Rebidding</v>
      </c>
      <c r="M120" s="43">
        <f t="array" ref="M120">XLOOKUP($A120,'Recipients REF'!$A:$A,'Recipients REF'!G:G,"",0)</f>
        <v>3</v>
      </c>
      <c r="N120" s="43">
        <f t="array" ref="N120">XLOOKUP($A120,'Recipients REF'!$A:$A,'Recipients REF'!H:H,"",0)</f>
        <v>17996</v>
      </c>
      <c r="O120" s="44" t="s">
        <v>25</v>
      </c>
      <c r="P120" s="45" t="s">
        <v>26</v>
      </c>
      <c r="Q120" s="46" t="str">
        <f t="array" ref="Q120">XLOOKUP($A120,'Recipients REF'!$A:$A,'Recipients REF'!I:I,"",0)</f>
        <v>KMC5825 AJRFPV0004</v>
      </c>
      <c r="R120" s="47" t="str">
        <f t="array" ref="R120">XLOOKUP($A120,'Recipients REF'!$A:$A,'Recipients REF'!J:J,"",0)</f>
        <v>PTS 100295</v>
      </c>
      <c r="S120" s="45" t="s">
        <v>27</v>
      </c>
      <c r="T120" s="45" t="s">
        <v>28</v>
      </c>
      <c r="U120" s="46" t="str">
        <f t="array" ref="U120">XLOOKUP($A120,'Recipients REF'!$A:$A,'Recipients REF'!K:K,"",0)</f>
        <v>R-SERIES 020 PH</v>
      </c>
      <c r="V120" s="44" t="s">
        <v>29</v>
      </c>
      <c r="W120" s="45" t="s">
        <v>30</v>
      </c>
      <c r="X120" s="47" t="str">
        <f t="array" ref="X120">XLOOKUP($A120,'Recipients REF'!$A:$A,'Recipients REF'!L:L,"",0)</f>
        <v>LSGW1750 RMP 2312084</v>
      </c>
      <c r="Y120" s="48" t="s">
        <v>29</v>
      </c>
      <c r="Z120" s="48" t="s">
        <v>31</v>
      </c>
      <c r="AA120" s="46" t="str">
        <f t="array" ref="AA120">XLOOKUP($A120,'Recipients REF'!$A:$A,'Recipients REF'!M:M,"",0)</f>
        <v>WDP40 RMP 2312076</v>
      </c>
      <c r="AB120" s="49"/>
      <c r="AC120" s="42"/>
      <c r="AD120" s="42"/>
      <c r="AE120" s="51"/>
      <c r="AF120" s="52"/>
      <c r="AG120" s="42"/>
      <c r="AH120" s="42"/>
      <c r="AI120" s="42" t="str">
        <f t="array" ref="AI120">XLOOKUP($E120,Sheet11!$D:$D,Sheet11!$X:$X,"",0)</f>
        <v>869066060012870 (E)</v>
      </c>
      <c r="AJ120" s="42">
        <f t="array" ref="AJ120">XLOOKUP($E120,Sheet11!$D:$D,Sheet11!$Y:$Y,"",0)</f>
        <v>9807860886</v>
      </c>
    </row>
    <row r="121">
      <c r="A121" s="41">
        <v>181.0</v>
      </c>
      <c r="B121" s="42" t="s">
        <v>261</v>
      </c>
      <c r="C121" s="42" t="s">
        <v>262</v>
      </c>
      <c r="D121" s="42"/>
      <c r="E121" s="42" t="str">
        <f t="shared" ref="E121:F121" si="122">PROPER(B121)</f>
        <v>Bulusukan Farmers Palay And Vegetable Producers Cooperative</v>
      </c>
      <c r="F121" s="42" t="str">
        <f t="shared" si="122"/>
        <v>Bulusukan, San Ildefonso, Bulacan</v>
      </c>
      <c r="G121" s="42" t="str">
        <f t="shared" si="3"/>
        <v>Bulusukan</v>
      </c>
      <c r="H121" s="42" t="str">
        <f t="shared" si="4"/>
        <v>San Ildefonso</v>
      </c>
      <c r="I121" s="42" t="str">
        <f t="shared" si="5"/>
        <v>Bulacan</v>
      </c>
      <c r="J121" s="42" t="str">
        <f t="array" ref="J121">XLOOKUP($E121,'Recipients REF'!$B:$B,'Recipients REF'!D:D,"",0)</f>
        <v>Naldy T. Nunez</v>
      </c>
      <c r="K121" s="42" t="str">
        <f t="array" ref="K121">XLOOKUP($E121,'Recipients REF'!$B:$B,'Recipients REF'!E:E,"",0)</f>
        <v>0955-307-1974</v>
      </c>
      <c r="L121" s="43" t="str">
        <f t="array" ref="L121">XLOOKUP($A121,'Recipients REF'!$A:$A,'Recipients REF'!F:F,"",0)</f>
        <v>RCEF 23-09-21 Rebidding</v>
      </c>
      <c r="M121" s="43">
        <f t="array" ref="M121">XLOOKUP($A121,'Recipients REF'!$A:$A,'Recipients REF'!G:G,"",0)</f>
        <v>9</v>
      </c>
      <c r="N121" s="43">
        <f t="array" ref="N121">XLOOKUP($A121,'Recipients REF'!$A:$A,'Recipients REF'!H:H,"",0)</f>
        <v>17997</v>
      </c>
      <c r="O121" s="44" t="s">
        <v>25</v>
      </c>
      <c r="P121" s="45" t="s">
        <v>26</v>
      </c>
      <c r="Q121" s="46" t="str">
        <f t="array" ref="Q121">XLOOKUP($A121,'Recipients REF'!$A:$A,'Recipients REF'!I:I,"",0)</f>
        <v>KMC5825 AKPFPV0046</v>
      </c>
      <c r="R121" s="47" t="str">
        <f t="array" ref="R121">XLOOKUP($A121,'Recipients REF'!$A:$A,'Recipients REF'!J:J,"",0)</f>
        <v>PTS100065</v>
      </c>
      <c r="S121" s="45" t="s">
        <v>27</v>
      </c>
      <c r="T121" s="45" t="s">
        <v>28</v>
      </c>
      <c r="U121" s="46" t="str">
        <f t="array" ref="U121">XLOOKUP($A121,'Recipients REF'!$A:$A,'Recipients REF'!K:K,"",0)</f>
        <v>R-SERIES 030 PH</v>
      </c>
      <c r="V121" s="44" t="s">
        <v>29</v>
      </c>
      <c r="W121" s="45" t="s">
        <v>30</v>
      </c>
      <c r="X121" s="47" t="str">
        <f t="array" ref="X121">XLOOKUP($A121,'Recipients REF'!$A:$A,'Recipients REF'!L:L,"",0)</f>
        <v>LSGW1750 RMP 2312060</v>
      </c>
      <c r="Y121" s="48" t="s">
        <v>29</v>
      </c>
      <c r="Z121" s="48" t="s">
        <v>31</v>
      </c>
      <c r="AA121" s="46" t="str">
        <f t="array" ref="AA121">XLOOKUP($A121,'Recipients REF'!$A:$A,'Recipients REF'!M:M,"",0)</f>
        <v>WDP40 RMP 2312119</v>
      </c>
      <c r="AB121" s="49"/>
      <c r="AC121" s="42"/>
      <c r="AD121" s="42"/>
      <c r="AE121" s="51"/>
      <c r="AF121" s="52"/>
      <c r="AG121" s="42"/>
      <c r="AH121" s="42"/>
      <c r="AI121" s="42" t="str">
        <f t="array" ref="AI121">XLOOKUP($E121,Sheet11!$D:$D,Sheet11!$X:$X,"",0)</f>
        <v>869066060243020 (E)</v>
      </c>
      <c r="AJ121" s="42">
        <f t="array" ref="AJ121">XLOOKUP($E121,Sheet11!$D:$D,Sheet11!$Y:$Y,"",0)</f>
        <v>9085863965</v>
      </c>
    </row>
    <row r="122">
      <c r="A122" s="41">
        <v>182.0</v>
      </c>
      <c r="B122" s="42" t="s">
        <v>263</v>
      </c>
      <c r="C122" s="42" t="s">
        <v>264</v>
      </c>
      <c r="D122" s="42"/>
      <c r="E122" s="42" t="str">
        <f t="shared" ref="E122:F122" si="123">PROPER(B122)</f>
        <v>Tukod Palay And Vegetables Farmers Association</v>
      </c>
      <c r="F122" s="42" t="str">
        <f t="shared" si="123"/>
        <v>Tukod, San Rafael, Bulacan</v>
      </c>
      <c r="G122" s="42" t="str">
        <f t="shared" si="3"/>
        <v>Tukod</v>
      </c>
      <c r="H122" s="42" t="str">
        <f t="shared" si="4"/>
        <v>San Rafael</v>
      </c>
      <c r="I122" s="42" t="str">
        <f t="shared" si="5"/>
        <v>Bulacan</v>
      </c>
      <c r="J122" s="42" t="str">
        <f t="array" ref="J122">XLOOKUP($E122,'Recipients REF'!$B:$B,'Recipients REF'!D:D,"",0)</f>
        <v>Teofista Z. Basa</v>
      </c>
      <c r="K122" s="42" t="str">
        <f t="array" ref="K122">XLOOKUP($E122,'Recipients REF'!$B:$B,'Recipients REF'!E:E,"",0)</f>
        <v>0928-746-1730</v>
      </c>
      <c r="L122" s="43" t="str">
        <f t="array" ref="L122">XLOOKUP($A122,'Recipients REF'!$A:$A,'Recipients REF'!F:F,"",0)</f>
        <v>RCEF 23-09-21 Rebidding</v>
      </c>
      <c r="M122" s="43">
        <f t="array" ref="M122">XLOOKUP($A122,'Recipients REF'!$A:$A,'Recipients REF'!G:G,"",0)</f>
        <v>9</v>
      </c>
      <c r="N122" s="43">
        <f t="array" ref="N122">XLOOKUP($A122,'Recipients REF'!$A:$A,'Recipients REF'!H:H,"",0)</f>
        <v>17998</v>
      </c>
      <c r="O122" s="44" t="s">
        <v>25</v>
      </c>
      <c r="P122" s="45" t="s">
        <v>26</v>
      </c>
      <c r="Q122" s="46" t="str">
        <f t="array" ref="Q122">XLOOKUP($A122,'Recipients REF'!$A:$A,'Recipients REF'!I:I,"",0)</f>
        <v>KMC5825 ACPFPV0124</v>
      </c>
      <c r="R122" s="47" t="str">
        <f t="array" ref="R122">XLOOKUP($A122,'Recipients REF'!$A:$A,'Recipients REF'!J:J,"",0)</f>
        <v>PTS 100049</v>
      </c>
      <c r="S122" s="45" t="s">
        <v>27</v>
      </c>
      <c r="T122" s="45" t="s">
        <v>28</v>
      </c>
      <c r="U122" s="46" t="str">
        <f t="array" ref="U122">XLOOKUP($A122,'Recipients REF'!$A:$A,'Recipients REF'!K:K,"",0)</f>
        <v>R-SERIES 100049 PH</v>
      </c>
      <c r="V122" s="44" t="s">
        <v>29</v>
      </c>
      <c r="W122" s="45" t="s">
        <v>30</v>
      </c>
      <c r="X122" s="47" t="str">
        <f t="array" ref="X122">XLOOKUP($A122,'Recipients REF'!$A:$A,'Recipients REF'!L:L,"",0)</f>
        <v>LSGW1750 RMP 2312059</v>
      </c>
      <c r="Y122" s="48" t="s">
        <v>29</v>
      </c>
      <c r="Z122" s="48" t="s">
        <v>31</v>
      </c>
      <c r="AA122" s="46" t="str">
        <f t="array" ref="AA122">XLOOKUP($A122,'Recipients REF'!$A:$A,'Recipients REF'!M:M,"",0)</f>
        <v>WDP40 RMP 2312107</v>
      </c>
      <c r="AB122" s="49"/>
      <c r="AC122" s="42"/>
      <c r="AD122" s="42"/>
      <c r="AE122" s="50"/>
      <c r="AF122" s="42"/>
      <c r="AG122" s="42"/>
      <c r="AH122" s="42"/>
      <c r="AI122" s="42" t="str">
        <f t="array" ref="AI122">XLOOKUP($E122,Sheet11!$D:$D,Sheet11!$X:$X,"",0)</f>
        <v>869066060243657 (E)</v>
      </c>
      <c r="AJ122" s="42">
        <f t="array" ref="AJ122">XLOOKUP($E122,Sheet11!$D:$D,Sheet11!$Y:$Y,"",0)</f>
        <v>9859651762</v>
      </c>
    </row>
    <row r="123">
      <c r="A123" s="41">
        <v>183.0</v>
      </c>
      <c r="B123" s="42" t="s">
        <v>265</v>
      </c>
      <c r="C123" s="42" t="s">
        <v>266</v>
      </c>
      <c r="D123" s="42"/>
      <c r="E123" s="42" t="str">
        <f t="shared" ref="E123:F123" si="124">PROPER(B123)</f>
        <v>Plaridel-Malolos Irrigators Association Inc.</v>
      </c>
      <c r="F123" s="42" t="str">
        <f t="shared" si="124"/>
        <v>Barilan, Malolos, Bulacan</v>
      </c>
      <c r="G123" s="42" t="str">
        <f t="shared" si="3"/>
        <v>Barilan</v>
      </c>
      <c r="H123" s="42" t="str">
        <f t="shared" si="4"/>
        <v>Malolos</v>
      </c>
      <c r="I123" s="42" t="str">
        <f t="shared" si="5"/>
        <v>Bulacan</v>
      </c>
      <c r="J123" s="42" t="str">
        <f t="array" ref="J123">XLOOKUP($E123,'Recipients REF'!$B:$B,'Recipients REF'!D:D,"",0)</f>
        <v>Maxima E. valentino</v>
      </c>
      <c r="K123" s="42" t="str">
        <f t="array" ref="K123">XLOOKUP($E123,'Recipients REF'!$B:$B,'Recipients REF'!E:E,"",0)</f>
        <v>0936-137-0538/    0917-393-3929</v>
      </c>
      <c r="L123" s="43" t="str">
        <f t="array" ref="L123">XLOOKUP($A123,'Recipients REF'!$A:$A,'Recipients REF'!F:F,"",0)</f>
        <v>RCEF 23-09-21 Rebidding</v>
      </c>
      <c r="M123" s="43">
        <f t="array" ref="M123">XLOOKUP($A123,'Recipients REF'!$A:$A,'Recipients REF'!G:G,"",0)</f>
        <v>9</v>
      </c>
      <c r="N123" s="43">
        <f t="array" ref="N123">XLOOKUP($A123,'Recipients REF'!$A:$A,'Recipients REF'!H:H,"",0)</f>
        <v>17999</v>
      </c>
      <c r="O123" s="44" t="s">
        <v>25</v>
      </c>
      <c r="P123" s="45" t="s">
        <v>26</v>
      </c>
      <c r="Q123" s="46" t="str">
        <f t="array" ref="Q123">XLOOKUP($A123,'Recipients REF'!$A:$A,'Recipients REF'!I:I,"",0)</f>
        <v>KMC5825 AJPFPV0095</v>
      </c>
      <c r="R123" s="47" t="str">
        <f t="array" ref="R123">XLOOKUP($A123,'Recipients REF'!$A:$A,'Recipients REF'!J:J,"",0)</f>
        <v>PTS 100098</v>
      </c>
      <c r="S123" s="45" t="s">
        <v>27</v>
      </c>
      <c r="T123" s="45" t="s">
        <v>28</v>
      </c>
      <c r="U123" s="46" t="str">
        <f t="array" ref="U123">XLOOKUP($A123,'Recipients REF'!$A:$A,'Recipients REF'!K:K,"",0)</f>
        <v>R-SERIES 035 PH</v>
      </c>
      <c r="V123" s="44" t="s">
        <v>29</v>
      </c>
      <c r="W123" s="45" t="s">
        <v>30</v>
      </c>
      <c r="X123" s="47" t="str">
        <f t="array" ref="X123">XLOOKUP($A123,'Recipients REF'!$A:$A,'Recipients REF'!L:L,"",0)</f>
        <v>LSGW1750 RMP 2312143</v>
      </c>
      <c r="Y123" s="48" t="s">
        <v>29</v>
      </c>
      <c r="Z123" s="48" t="s">
        <v>31</v>
      </c>
      <c r="AA123" s="46" t="str">
        <f t="array" ref="AA123">XLOOKUP($A123,'Recipients REF'!$A:$A,'Recipients REF'!M:M,"",0)</f>
        <v>WDP40 RMP 2312117</v>
      </c>
      <c r="AB123" s="49"/>
      <c r="AC123" s="42"/>
      <c r="AD123" s="42"/>
      <c r="AE123" s="50"/>
      <c r="AF123" s="42"/>
      <c r="AG123" s="42"/>
      <c r="AH123" s="42"/>
      <c r="AI123" s="42" t="str">
        <f t="array" ref="AI123">XLOOKUP($E123,Sheet11!$D:$D,Sheet11!$X:$X,"",0)</f>
        <v>869066060244556 (E)</v>
      </c>
      <c r="AJ123" s="42">
        <f t="array" ref="AJ123">XLOOKUP($E123,Sheet11!$D:$D,Sheet11!$Y:$Y,"",0)</f>
        <v>9082387990</v>
      </c>
    </row>
    <row r="124">
      <c r="A124" s="41">
        <v>623.0</v>
      </c>
      <c r="B124" s="42" t="s">
        <v>267</v>
      </c>
      <c r="C124" s="42" t="s">
        <v>244</v>
      </c>
      <c r="D124" s="42"/>
      <c r="E124" s="42" t="str">
        <f t="shared" ref="E124:F124" si="125">PROPER(B124)</f>
        <v>Paraan Irrigators Association Inc.</v>
      </c>
      <c r="F124" s="42" t="str">
        <f t="shared" si="125"/>
        <v>Tinejero, Pulilan, Bulacan</v>
      </c>
      <c r="G124" s="42" t="str">
        <f t="shared" si="3"/>
        <v>Tinejero</v>
      </c>
      <c r="H124" s="42" t="str">
        <f t="shared" si="4"/>
        <v>Pulilan</v>
      </c>
      <c r="I124" s="42" t="str">
        <f t="shared" si="5"/>
        <v>Bulacan</v>
      </c>
      <c r="J124" s="42" t="str">
        <f t="array" ref="J124">XLOOKUP($E124,'Recipients REF'!$B:$B,'Recipients REF'!D:D,"",0)</f>
        <v>Joselito C. Calderon</v>
      </c>
      <c r="K124" s="42" t="str">
        <f t="array" ref="K124">XLOOKUP($E124,'Recipients REF'!$B:$B,'Recipients REF'!E:E,"",0)</f>
        <v>0918-584-4336</v>
      </c>
      <c r="L124" s="43" t="str">
        <f t="array" ref="L124">XLOOKUP($A124,'Recipients REF'!$A:$A,'Recipients REF'!F:F,"",0)</f>
        <v>RCEF 25-03-05</v>
      </c>
      <c r="M124" s="43">
        <f t="array" ref="M124">XLOOKUP($A124,'Recipients REF'!$A:$A,'Recipients REF'!G:G,"",0)</f>
        <v>5</v>
      </c>
      <c r="N124" s="43" t="str">
        <f t="array" ref="N124">XLOOKUP($A124,'Recipients REF'!$A:$A,'Recipients REF'!H:H,"",0)</f>
        <v>26213 &amp; 27653</v>
      </c>
      <c r="O124" s="44" t="s">
        <v>25</v>
      </c>
      <c r="P124" s="45" t="s">
        <v>26</v>
      </c>
      <c r="Q124" s="46" t="str">
        <f t="array" ref="Q124">XLOOKUP($A124,'Recipients REF'!$A:$A,'Recipients REF'!I:I,"",0)</f>
        <v>KMC5825 AASFPV0319</v>
      </c>
      <c r="R124" s="53" t="str">
        <f t="array" ref="R124">XLOOKUP($A124,'Recipients REF'!$A:$A,'Recipients REF'!J:J,"",0)</f>
        <v>STS100323</v>
      </c>
      <c r="S124" s="45" t="s">
        <v>27</v>
      </c>
      <c r="T124" s="45" t="s">
        <v>28</v>
      </c>
      <c r="U124" s="46" t="str">
        <f t="array" ref="U124">XLOOKUP($A124,'Recipients REF'!$A:$A,'Recipients REF'!K:K,"",0)</f>
        <v>R-SERIES 146PH</v>
      </c>
      <c r="V124" s="44" t="s">
        <v>29</v>
      </c>
      <c r="W124" s="45" t="s">
        <v>30</v>
      </c>
      <c r="X124" s="53">
        <f t="array" ref="X124">XLOOKUP($A124,'Recipients REF'!$A:$A,'Recipients REF'!L:L,"",0)</f>
        <v>25080434</v>
      </c>
      <c r="Y124" s="48" t="s">
        <v>29</v>
      </c>
      <c r="Z124" s="48" t="s">
        <v>31</v>
      </c>
      <c r="AA124" s="54">
        <f t="array" ref="AA124">XLOOKUP($A124,'Recipients REF'!$A:$A,'Recipients REF'!M:M,"",0)</f>
        <v>25090995</v>
      </c>
      <c r="AB124" s="49"/>
      <c r="AC124" s="42"/>
      <c r="AD124" s="42"/>
      <c r="AE124" s="50"/>
      <c r="AF124" s="42"/>
      <c r="AG124" s="42"/>
      <c r="AH124" s="42"/>
      <c r="AI124" s="42" t="str">
        <f t="array" ref="AI124">XLOOKUP($E124,Sheet11!$D:$D,Sheet11!$X:$X,"",0)</f>
        <v/>
      </c>
      <c r="AJ124" s="42" t="str">
        <f t="array" ref="AJ124">XLOOKUP($E124,Sheet11!$D:$D,Sheet11!$Y:$Y,"",0)</f>
        <v/>
      </c>
    </row>
    <row r="125">
      <c r="A125" s="41">
        <v>624.0</v>
      </c>
      <c r="B125" s="42" t="s">
        <v>268</v>
      </c>
      <c r="C125" s="42" t="s">
        <v>269</v>
      </c>
      <c r="D125" s="42"/>
      <c r="E125" s="42" t="str">
        <f t="shared" ref="E125:F125" si="126">PROPER(B125)</f>
        <v>Samahang Magsasaka Ng Dulong Malabon</v>
      </c>
      <c r="F125" s="42" t="str">
        <f t="shared" si="126"/>
        <v>Dulong Malabon, Pulilan, Bulacan</v>
      </c>
      <c r="G125" s="42" t="str">
        <f t="shared" si="3"/>
        <v>Dulong Malabon</v>
      </c>
      <c r="H125" s="42" t="str">
        <f t="shared" si="4"/>
        <v>Pulilan</v>
      </c>
      <c r="I125" s="42" t="str">
        <f t="shared" si="5"/>
        <v>Bulacan</v>
      </c>
      <c r="J125" s="42" t="str">
        <f t="array" ref="J125">XLOOKUP($E125,'Recipients REF'!$B:$B,'Recipients REF'!D:D,"",0)</f>
        <v>Enrico Reyes</v>
      </c>
      <c r="K125" s="42" t="str">
        <f t="array" ref="K125">XLOOKUP($E125,'Recipients REF'!$B:$B,'Recipients REF'!E:E,"",0)</f>
        <v>0935-795-9841/ 0969-370-9144</v>
      </c>
      <c r="L125" s="43" t="str">
        <f t="array" ref="L125">XLOOKUP($A125,'Recipients REF'!$A:$A,'Recipients REF'!F:F,"",0)</f>
        <v>RCEF 25-03-05</v>
      </c>
      <c r="M125" s="43">
        <f t="array" ref="M125">XLOOKUP($A125,'Recipients REF'!$A:$A,'Recipients REF'!G:G,"",0)</f>
        <v>5</v>
      </c>
      <c r="N125" s="43" t="str">
        <f t="array" ref="N125">XLOOKUP($A125,'Recipients REF'!$A:$A,'Recipients REF'!H:H,"",0)</f>
        <v>26214 &amp; 27654</v>
      </c>
      <c r="O125" s="44" t="s">
        <v>25</v>
      </c>
      <c r="P125" s="45" t="s">
        <v>26</v>
      </c>
      <c r="Q125" s="46" t="str">
        <f t="array" ref="Q125">XLOOKUP($A125,'Recipients REF'!$A:$A,'Recipients REF'!I:I,"",0)</f>
        <v>KMC5825 AJSFPV0378</v>
      </c>
      <c r="R125" s="53" t="str">
        <f t="array" ref="R125">XLOOKUP($A125,'Recipients REF'!$A:$A,'Recipients REF'!J:J,"",0)</f>
        <v>STS100454</v>
      </c>
      <c r="S125" s="45" t="s">
        <v>27</v>
      </c>
      <c r="T125" s="45" t="s">
        <v>28</v>
      </c>
      <c r="U125" s="46" t="str">
        <f t="array" ref="U125">XLOOKUP($A125,'Recipients REF'!$A:$A,'Recipients REF'!K:K,"",0)</f>
        <v>WR-SERIES 122</v>
      </c>
      <c r="V125" s="44" t="s">
        <v>29</v>
      </c>
      <c r="W125" s="45" t="s">
        <v>30</v>
      </c>
      <c r="X125" s="53">
        <f t="array" ref="X125">XLOOKUP($A125,'Recipients REF'!$A:$A,'Recipients REF'!L:L,"",0)</f>
        <v>25080430</v>
      </c>
      <c r="Y125" s="48" t="s">
        <v>29</v>
      </c>
      <c r="Z125" s="48" t="s">
        <v>31</v>
      </c>
      <c r="AA125" s="54">
        <f t="array" ref="AA125">XLOOKUP($A125,'Recipients REF'!$A:$A,'Recipients REF'!M:M,"",0)</f>
        <v>25091006</v>
      </c>
      <c r="AB125" s="49"/>
      <c r="AC125" s="42"/>
      <c r="AD125" s="42"/>
      <c r="AE125" s="50"/>
      <c r="AF125" s="42"/>
      <c r="AG125" s="42"/>
      <c r="AH125" s="42"/>
      <c r="AI125" s="42" t="str">
        <f t="array" ref="AI125">XLOOKUP($E125,Sheet11!$D:$D,Sheet11!$X:$X,"",0)</f>
        <v/>
      </c>
      <c r="AJ125" s="42" t="str">
        <f t="array" ref="AJ125">XLOOKUP($E125,Sheet11!$D:$D,Sheet11!$Y:$Y,"",0)</f>
        <v/>
      </c>
    </row>
    <row r="126">
      <c r="A126" s="41">
        <v>625.0</v>
      </c>
      <c r="B126" s="42" t="s">
        <v>270</v>
      </c>
      <c r="C126" s="42" t="s">
        <v>271</v>
      </c>
      <c r="D126" s="42"/>
      <c r="E126" s="42" t="str">
        <f t="shared" ref="E126:F126" si="127">PROPER(B126)</f>
        <v>Bonga Menor Farmers Association (Bmfa), Inc.</v>
      </c>
      <c r="F126" s="42" t="str">
        <f t="shared" si="127"/>
        <v>Bonga Menor, Bustos, Bulacan</v>
      </c>
      <c r="G126" s="42" t="str">
        <f t="shared" si="3"/>
        <v>Bonga Menor</v>
      </c>
      <c r="H126" s="42" t="str">
        <f t="shared" si="4"/>
        <v>Bustos</v>
      </c>
      <c r="I126" s="42" t="str">
        <f t="shared" si="5"/>
        <v>Bulacan</v>
      </c>
      <c r="J126" s="42" t="str">
        <f t="array" ref="J126">XLOOKUP($E126,'Recipients REF'!$B:$B,'Recipients REF'!D:D,"",0)</f>
        <v>Teddy S. Castro</v>
      </c>
      <c r="K126" s="42" t="str">
        <f t="array" ref="K126">XLOOKUP($E126,'Recipients REF'!$B:$B,'Recipients REF'!E:E,"",0)</f>
        <v>0945-581-6173</v>
      </c>
      <c r="L126" s="43" t="str">
        <f t="array" ref="L126">XLOOKUP($A126,'Recipients REF'!$A:$A,'Recipients REF'!F:F,"",0)</f>
        <v>RCEF 25-03-05</v>
      </c>
      <c r="M126" s="43">
        <f t="array" ref="M126">XLOOKUP($A126,'Recipients REF'!$A:$A,'Recipients REF'!G:G,"",0)</f>
        <v>5</v>
      </c>
      <c r="N126" s="43" t="str">
        <f t="array" ref="N126">XLOOKUP($A126,'Recipients REF'!$A:$A,'Recipients REF'!H:H,"",0)</f>
        <v>26215 &amp; 27655</v>
      </c>
      <c r="O126" s="44" t="s">
        <v>25</v>
      </c>
      <c r="P126" s="45" t="s">
        <v>26</v>
      </c>
      <c r="Q126" s="46" t="str">
        <f t="array" ref="Q126">XLOOKUP($A126,'Recipients REF'!$A:$A,'Recipients REF'!I:I,"",0)</f>
        <v>KMC5825 AJSFPV0350</v>
      </c>
      <c r="R126" s="53" t="str">
        <f t="array" ref="R126">XLOOKUP($A126,'Recipients REF'!$A:$A,'Recipients REF'!J:J,"",0)</f>
        <v>STS100330</v>
      </c>
      <c r="S126" s="45" t="s">
        <v>27</v>
      </c>
      <c r="T126" s="45" t="s">
        <v>28</v>
      </c>
      <c r="U126" s="46" t="str">
        <f t="array" ref="U126">XLOOKUP($A126,'Recipients REF'!$A:$A,'Recipients REF'!K:K,"",0)</f>
        <v>WR-SERIES 275</v>
      </c>
      <c r="V126" s="44" t="s">
        <v>29</v>
      </c>
      <c r="W126" s="45" t="s">
        <v>30</v>
      </c>
      <c r="X126" s="53">
        <f t="array" ref="X126">XLOOKUP($A126,'Recipients REF'!$A:$A,'Recipients REF'!L:L,"",0)</f>
        <v>25090559</v>
      </c>
      <c r="Y126" s="48" t="s">
        <v>29</v>
      </c>
      <c r="Z126" s="48" t="s">
        <v>31</v>
      </c>
      <c r="AA126" s="54">
        <f t="array" ref="AA126">XLOOKUP($A126,'Recipients REF'!$A:$A,'Recipients REF'!M:M,"",0)</f>
        <v>25080826</v>
      </c>
      <c r="AB126" s="49"/>
      <c r="AC126" s="42"/>
      <c r="AD126" s="42"/>
      <c r="AE126" s="51"/>
      <c r="AF126" s="52"/>
      <c r="AG126" s="42"/>
      <c r="AH126" s="42"/>
      <c r="AI126" s="42" t="str">
        <f t="array" ref="AI126">XLOOKUP($E126,Sheet11!$D:$D,Sheet11!$X:$X,"",0)</f>
        <v/>
      </c>
      <c r="AJ126" s="42" t="str">
        <f t="array" ref="AJ126">XLOOKUP($E126,Sheet11!$D:$D,Sheet11!$Y:$Y,"",0)</f>
        <v/>
      </c>
    </row>
    <row r="127">
      <c r="A127" s="41">
        <v>626.0</v>
      </c>
      <c r="B127" s="42" t="s">
        <v>272</v>
      </c>
      <c r="C127" s="42" t="s">
        <v>273</v>
      </c>
      <c r="D127" s="42"/>
      <c r="E127" s="42" t="str">
        <f t="shared" ref="E127:F127" si="128">PROPER(B127)</f>
        <v>Municipal Local Government Unit Of Bustos</v>
      </c>
      <c r="F127" s="42" t="str">
        <f t="shared" si="128"/>
        <v>Poblacion, Bustos, Bulacan</v>
      </c>
      <c r="G127" s="42" t="str">
        <f t="shared" si="3"/>
        <v>Poblacion</v>
      </c>
      <c r="H127" s="42" t="str">
        <f t="shared" si="4"/>
        <v>Bustos</v>
      </c>
      <c r="I127" s="42" t="str">
        <f t="shared" si="5"/>
        <v>Bulacan</v>
      </c>
      <c r="J127" s="42" t="str">
        <f t="array" ref="J127">XLOOKUP($E127,'Recipients REF'!$B:$B,'Recipients REF'!D:D,"",0)</f>
        <v>HON. FRANCIS ALBERT G. JUAN / Maria Lourdes Roberto (MA)</v>
      </c>
      <c r="K127" s="42" t="str">
        <f t="array" ref="K127">XLOOKUP($E127,'Recipients REF'!$B:$B,'Recipients REF'!E:E,"",0)</f>
        <v>0923-457-7048</v>
      </c>
      <c r="L127" s="43" t="str">
        <f t="array" ref="L127">XLOOKUP($A127,'Recipients REF'!$A:$A,'Recipients REF'!F:F,"",0)</f>
        <v>RCEF 25-03-05</v>
      </c>
      <c r="M127" s="43">
        <f t="array" ref="M127">XLOOKUP($A127,'Recipients REF'!$A:$A,'Recipients REF'!G:G,"",0)</f>
        <v>5</v>
      </c>
      <c r="N127" s="43" t="str">
        <f t="array" ref="N127">XLOOKUP($A127,'Recipients REF'!$A:$A,'Recipients REF'!H:H,"",0)</f>
        <v>26216 &amp; 27657</v>
      </c>
      <c r="O127" s="44" t="s">
        <v>25</v>
      </c>
      <c r="P127" s="45" t="s">
        <v>26</v>
      </c>
      <c r="Q127" s="46" t="str">
        <f t="array" ref="Q127">XLOOKUP($A127,'Recipients REF'!$A:$A,'Recipients REF'!I:I,"",0)</f>
        <v>KMC5825 ACSFPV0303</v>
      </c>
      <c r="R127" s="53" t="str">
        <f t="array" ref="R127">XLOOKUP($A127,'Recipients REF'!$A:$A,'Recipients REF'!J:J,"",0)</f>
        <v>STS100274</v>
      </c>
      <c r="S127" s="45" t="s">
        <v>27</v>
      </c>
      <c r="T127" s="45" t="s">
        <v>28</v>
      </c>
      <c r="U127" s="46" t="str">
        <f t="array" ref="U127">XLOOKUP($A127,'Recipients REF'!$A:$A,'Recipients REF'!K:K,"",0)</f>
        <v>R-SERIES 149PH</v>
      </c>
      <c r="V127" s="44" t="s">
        <v>29</v>
      </c>
      <c r="W127" s="45" t="s">
        <v>30</v>
      </c>
      <c r="X127" s="53">
        <f t="array" ref="X127">XLOOKUP($A127,'Recipients REF'!$A:$A,'Recipients REF'!L:L,"",0)</f>
        <v>25080397</v>
      </c>
      <c r="Y127" s="48" t="s">
        <v>29</v>
      </c>
      <c r="Z127" s="48" t="s">
        <v>31</v>
      </c>
      <c r="AA127" s="54">
        <f t="array" ref="AA127">XLOOKUP($A127,'Recipients REF'!$A:$A,'Recipients REF'!M:M,"",0)</f>
        <v>25091004</v>
      </c>
      <c r="AB127" s="49"/>
      <c r="AC127" s="42"/>
      <c r="AD127" s="42"/>
      <c r="AE127" s="50"/>
      <c r="AF127" s="42"/>
      <c r="AG127" s="42"/>
      <c r="AH127" s="42"/>
      <c r="AI127" s="42" t="str">
        <f t="array" ref="AI127">XLOOKUP($E127,Sheet11!$D:$D,Sheet11!$X:$X,"",0)</f>
        <v/>
      </c>
      <c r="AJ127" s="42" t="str">
        <f t="array" ref="AJ127">XLOOKUP($E127,Sheet11!$D:$D,Sheet11!$Y:$Y,"",0)</f>
        <v/>
      </c>
    </row>
    <row r="128">
      <c r="A128" s="41">
        <v>627.0</v>
      </c>
      <c r="B128" s="42" t="s">
        <v>274</v>
      </c>
      <c r="C128" s="42" t="s">
        <v>273</v>
      </c>
      <c r="D128" s="42"/>
      <c r="E128" s="42" t="str">
        <f t="shared" ref="E128:F128" si="129">PROPER(B128)</f>
        <v>Samahang Magsasaka Ng Bustos (Smb) Inc.</v>
      </c>
      <c r="F128" s="42" t="str">
        <f t="shared" si="129"/>
        <v>Poblacion, Bustos, Bulacan</v>
      </c>
      <c r="G128" s="42" t="str">
        <f t="shared" si="3"/>
        <v>Poblacion</v>
      </c>
      <c r="H128" s="42" t="str">
        <f t="shared" si="4"/>
        <v>Bustos</v>
      </c>
      <c r="I128" s="42" t="str">
        <f t="shared" si="5"/>
        <v>Bulacan</v>
      </c>
      <c r="J128" s="42" t="str">
        <f t="array" ref="J128">XLOOKUP($E128,'Recipients REF'!$B:$B,'Recipients REF'!D:D,"",0)</f>
        <v>JOEL A. GATUZ</v>
      </c>
      <c r="K128" s="42" t="str">
        <f t="array" ref="K128">XLOOKUP($E128,'Recipients REF'!$B:$B,'Recipients REF'!E:E,"",0)</f>
        <v>0943-501-9407</v>
      </c>
      <c r="L128" s="43" t="str">
        <f t="array" ref="L128">XLOOKUP($A128,'Recipients REF'!$A:$A,'Recipients REF'!F:F,"",0)</f>
        <v>RCEF 25-03-05</v>
      </c>
      <c r="M128" s="43">
        <f t="array" ref="M128">XLOOKUP($A128,'Recipients REF'!$A:$A,'Recipients REF'!G:G,"",0)</f>
        <v>5</v>
      </c>
      <c r="N128" s="43" t="str">
        <f t="array" ref="N128">XLOOKUP($A128,'Recipients REF'!$A:$A,'Recipients REF'!H:H,"",0)</f>
        <v>26217 &amp; 27658</v>
      </c>
      <c r="O128" s="44" t="s">
        <v>25</v>
      </c>
      <c r="P128" s="45" t="s">
        <v>26</v>
      </c>
      <c r="Q128" s="46" t="str">
        <f t="array" ref="Q128">XLOOKUP($A128,'Recipients REF'!$A:$A,'Recipients REF'!I:I,"",0)</f>
        <v>KMC5825 AVSFPV0383</v>
      </c>
      <c r="R128" s="53" t="str">
        <f t="array" ref="R128">XLOOKUP($A128,'Recipients REF'!$A:$A,'Recipients REF'!J:J,"",0)</f>
        <v>STS100456</v>
      </c>
      <c r="S128" s="45" t="s">
        <v>27</v>
      </c>
      <c r="T128" s="45" t="s">
        <v>28</v>
      </c>
      <c r="U128" s="46" t="str">
        <f t="array" ref="U128">XLOOKUP($A128,'Recipients REF'!$A:$A,'Recipients REF'!K:K,"",0)</f>
        <v>WR-SERIES 121</v>
      </c>
      <c r="V128" s="44" t="s">
        <v>29</v>
      </c>
      <c r="W128" s="45" t="s">
        <v>30</v>
      </c>
      <c r="X128" s="53">
        <f t="array" ref="X128">XLOOKUP($A128,'Recipients REF'!$A:$A,'Recipients REF'!L:L,"",0)</f>
        <v>25080365</v>
      </c>
      <c r="Y128" s="48" t="s">
        <v>29</v>
      </c>
      <c r="Z128" s="48" t="s">
        <v>31</v>
      </c>
      <c r="AA128" s="54">
        <f t="array" ref="AA128">XLOOKUP($A128,'Recipients REF'!$A:$A,'Recipients REF'!M:M,"",0)</f>
        <v>25080825</v>
      </c>
      <c r="AB128" s="49"/>
      <c r="AC128" s="42"/>
      <c r="AD128" s="42"/>
      <c r="AE128" s="51"/>
      <c r="AF128" s="52"/>
      <c r="AG128" s="42"/>
      <c r="AH128" s="42"/>
      <c r="AI128" s="42" t="str">
        <f t="array" ref="AI128">XLOOKUP($E128,Sheet11!$D:$D,Sheet11!$X:$X,"",0)</f>
        <v/>
      </c>
      <c r="AJ128" s="42" t="str">
        <f t="array" ref="AJ128">XLOOKUP($E128,Sheet11!$D:$D,Sheet11!$Y:$Y,"",0)</f>
        <v/>
      </c>
    </row>
    <row r="129">
      <c r="A129" s="41">
        <v>628.0</v>
      </c>
      <c r="B129" s="42" t="s">
        <v>275</v>
      </c>
      <c r="C129" s="42" t="s">
        <v>276</v>
      </c>
      <c r="D129" s="42"/>
      <c r="E129" s="42" t="str">
        <f t="shared" ref="E129:F129" si="130">PROPER(B129)</f>
        <v>Bulualto Farmers Irrigators' Association Inc</v>
      </c>
      <c r="F129" s="42" t="str">
        <f t="shared" si="130"/>
        <v>Bulualto, San Miguel, Bulacan</v>
      </c>
      <c r="G129" s="42" t="str">
        <f t="shared" si="3"/>
        <v>Bulualto</v>
      </c>
      <c r="H129" s="42" t="str">
        <f t="shared" si="4"/>
        <v>San Miguel</v>
      </c>
      <c r="I129" s="42" t="str">
        <f t="shared" si="5"/>
        <v>Bulacan</v>
      </c>
      <c r="J129" s="42" t="str">
        <f t="array" ref="J129">XLOOKUP($E129,'Recipients REF'!$B:$B,'Recipients REF'!D:D,"",0)</f>
        <v>ALLAN B. DE JESUS</v>
      </c>
      <c r="K129" s="42" t="str">
        <f t="array" ref="K129">XLOOKUP($E129,'Recipients REF'!$B:$B,'Recipients REF'!E:E,"",0)</f>
        <v>0905-326-0991</v>
      </c>
      <c r="L129" s="43" t="str">
        <f t="array" ref="L129">XLOOKUP($A129,'Recipients REF'!$A:$A,'Recipients REF'!F:F,"",0)</f>
        <v>RCEF 25-03-05</v>
      </c>
      <c r="M129" s="43">
        <f t="array" ref="M129">XLOOKUP($A129,'Recipients REF'!$A:$A,'Recipients REF'!G:G,"",0)</f>
        <v>5</v>
      </c>
      <c r="N129" s="43" t="str">
        <f t="array" ref="N129">XLOOKUP($A129,'Recipients REF'!$A:$A,'Recipients REF'!H:H,"",0)</f>
        <v>26218 &amp; 27659</v>
      </c>
      <c r="O129" s="44" t="s">
        <v>25</v>
      </c>
      <c r="P129" s="45" t="s">
        <v>26</v>
      </c>
      <c r="Q129" s="46" t="str">
        <f t="array" ref="Q129">XLOOKUP($A129,'Recipients REF'!$A:$A,'Recipients REF'!I:I,"",0)</f>
        <v>KMC5825 ACSFPV0320</v>
      </c>
      <c r="R129" s="53" t="str">
        <f t="array" ref="R129">XLOOKUP($A129,'Recipients REF'!$A:$A,'Recipients REF'!J:J,"",0)</f>
        <v>STS100328</v>
      </c>
      <c r="S129" s="45" t="s">
        <v>27</v>
      </c>
      <c r="T129" s="45" t="s">
        <v>28</v>
      </c>
      <c r="U129" s="46" t="str">
        <f t="array" ref="U129">XLOOKUP($A129,'Recipients REF'!$A:$A,'Recipients REF'!K:K,"",0)</f>
        <v>R-SERIES 045PH</v>
      </c>
      <c r="V129" s="44" t="s">
        <v>29</v>
      </c>
      <c r="W129" s="45" t="s">
        <v>30</v>
      </c>
      <c r="X129" s="53">
        <f t="array" ref="X129">XLOOKUP($A129,'Recipients REF'!$A:$A,'Recipients REF'!L:L,"",0)</f>
        <v>25080432</v>
      </c>
      <c r="Y129" s="48" t="s">
        <v>29</v>
      </c>
      <c r="Z129" s="48" t="s">
        <v>31</v>
      </c>
      <c r="AA129" s="54">
        <f t="array" ref="AA129">XLOOKUP($A129,'Recipients REF'!$A:$A,'Recipients REF'!M:M,"",0)</f>
        <v>25080842</v>
      </c>
      <c r="AB129" s="49"/>
      <c r="AC129" s="42"/>
      <c r="AD129" s="42"/>
      <c r="AE129" s="51"/>
      <c r="AF129" s="52"/>
      <c r="AG129" s="42"/>
      <c r="AH129" s="42"/>
      <c r="AI129" s="42" t="str">
        <f t="array" ref="AI129">XLOOKUP($E129,Sheet11!$D:$D,Sheet11!$X:$X,"",0)</f>
        <v/>
      </c>
      <c r="AJ129" s="42" t="str">
        <f t="array" ref="AJ129">XLOOKUP($E129,Sheet11!$D:$D,Sheet11!$Y:$Y,"",0)</f>
        <v/>
      </c>
    </row>
    <row r="130">
      <c r="A130" s="41">
        <v>629.0</v>
      </c>
      <c r="B130" s="42" t="s">
        <v>277</v>
      </c>
      <c r="C130" s="42" t="s">
        <v>278</v>
      </c>
      <c r="D130" s="42"/>
      <c r="E130" s="42" t="str">
        <f t="shared" ref="E130:F130" si="131">PROPER(B130)</f>
        <v>Fortune Empire Multipurpose Cooperative</v>
      </c>
      <c r="F130" s="42" t="str">
        <f t="shared" si="131"/>
        <v>Biclat, San Miguel, Bulacan</v>
      </c>
      <c r="G130" s="42" t="str">
        <f t="shared" si="3"/>
        <v>Biclat</v>
      </c>
      <c r="H130" s="42" t="str">
        <f t="shared" si="4"/>
        <v>San Miguel</v>
      </c>
      <c r="I130" s="42" t="str">
        <f t="shared" si="5"/>
        <v>Bulacan</v>
      </c>
      <c r="J130" s="42" t="str">
        <f t="array" ref="J130">XLOOKUP($E130,'Recipients REF'!$B:$B,'Recipients REF'!D:D,"",0)</f>
        <v/>
      </c>
      <c r="K130" s="42" t="str">
        <f t="array" ref="K130">XLOOKUP($E130,'Recipients REF'!$B:$B,'Recipients REF'!E:E,"",0)</f>
        <v/>
      </c>
      <c r="L130" s="43" t="str">
        <f t="array" ref="L130">XLOOKUP($A130,'Recipients REF'!$A:$A,'Recipients REF'!F:F,"",0)</f>
        <v>RCEF 25-03-05</v>
      </c>
      <c r="M130" s="43">
        <f t="array" ref="M130">XLOOKUP($A130,'Recipients REF'!$A:$A,'Recipients REF'!G:G,"",0)</f>
        <v>5</v>
      </c>
      <c r="N130" s="43" t="str">
        <f t="array" ref="N130">XLOOKUP($A130,'Recipients REF'!$A:$A,'Recipients REF'!H:H,"",0)</f>
        <v>26219 &amp; 27660</v>
      </c>
      <c r="O130" s="44" t="s">
        <v>25</v>
      </c>
      <c r="P130" s="45" t="s">
        <v>26</v>
      </c>
      <c r="Q130" s="46" t="str">
        <f t="array" ref="Q130">XLOOKUP($A130,'Recipients REF'!$A:$A,'Recipients REF'!I:I,"",0)</f>
        <v>KMC5825 ACSFPV0424</v>
      </c>
      <c r="R130" s="53" t="str">
        <f t="array" ref="R130">XLOOKUP($A130,'Recipients REF'!$A:$A,'Recipients REF'!J:J,"",0)</f>
        <v>STS100446</v>
      </c>
      <c r="S130" s="45" t="s">
        <v>27</v>
      </c>
      <c r="T130" s="45" t="s">
        <v>28</v>
      </c>
      <c r="U130" s="46" t="str">
        <f t="array" ref="U130">XLOOKUP($A130,'Recipients REF'!$A:$A,'Recipients REF'!K:K,"",0)</f>
        <v>WR-SERIES 264</v>
      </c>
      <c r="V130" s="44" t="s">
        <v>29</v>
      </c>
      <c r="W130" s="45" t="s">
        <v>30</v>
      </c>
      <c r="X130" s="53">
        <f t="array" ref="X130">XLOOKUP($A130,'Recipients REF'!$A:$A,'Recipients REF'!L:L,"",0)</f>
        <v>25080423</v>
      </c>
      <c r="Y130" s="48" t="s">
        <v>29</v>
      </c>
      <c r="Z130" s="48" t="s">
        <v>31</v>
      </c>
      <c r="AA130" s="54">
        <f t="array" ref="AA130">XLOOKUP($A130,'Recipients REF'!$A:$A,'Recipients REF'!M:M,"",0)</f>
        <v>25080841</v>
      </c>
      <c r="AB130" s="49"/>
      <c r="AC130" s="42"/>
      <c r="AD130" s="42"/>
      <c r="AE130" s="51"/>
      <c r="AF130" s="52"/>
      <c r="AG130" s="42"/>
      <c r="AH130" s="42"/>
      <c r="AI130" s="42" t="str">
        <f t="array" ref="AI130">XLOOKUP($E130,Sheet11!$D:$D,Sheet11!$X:$X,"",0)</f>
        <v/>
      </c>
      <c r="AJ130" s="42" t="str">
        <f t="array" ref="AJ130">XLOOKUP($E130,Sheet11!$D:$D,Sheet11!$Y:$Y,"",0)</f>
        <v/>
      </c>
    </row>
    <row r="131">
      <c r="A131" s="41">
        <v>630.0</v>
      </c>
      <c r="B131" s="42" t="s">
        <v>279</v>
      </c>
      <c r="C131" s="42" t="s">
        <v>280</v>
      </c>
      <c r="D131" s="42"/>
      <c r="E131" s="42" t="str">
        <f t="shared" ref="E131:F131" si="132">PROPER(B131)</f>
        <v>Malapajo Irrigated Farmer'S Association</v>
      </c>
      <c r="F131" s="42" t="str">
        <f t="shared" si="132"/>
        <v>Santa Rita Bata, San Miguel, Bulacan</v>
      </c>
      <c r="G131" s="42" t="str">
        <f t="shared" si="3"/>
        <v>Santa Rita Bata</v>
      </c>
      <c r="H131" s="42" t="str">
        <f t="shared" si="4"/>
        <v>San Miguel</v>
      </c>
      <c r="I131" s="42" t="str">
        <f t="shared" si="5"/>
        <v>Bulacan</v>
      </c>
      <c r="J131" s="42" t="str">
        <f t="array" ref="J131">XLOOKUP($E131,'Recipients REF'!$B:$B,'Recipients REF'!D:D,"",0)</f>
        <v>TIRSO M. YASIS</v>
      </c>
      <c r="K131" s="42" t="str">
        <f t="array" ref="K131">XLOOKUP($E131,'Recipients REF'!$B:$B,'Recipients REF'!E:E,"",0)</f>
        <v>0917-126-5680</v>
      </c>
      <c r="L131" s="43" t="str">
        <f t="array" ref="L131">XLOOKUP($A131,'Recipients REF'!$A:$A,'Recipients REF'!F:F,"",0)</f>
        <v>RCEF 25-03-05</v>
      </c>
      <c r="M131" s="43">
        <f t="array" ref="M131">XLOOKUP($A131,'Recipients REF'!$A:$A,'Recipients REF'!G:G,"",0)</f>
        <v>5</v>
      </c>
      <c r="N131" s="43" t="str">
        <f t="array" ref="N131">XLOOKUP($A131,'Recipients REF'!$A:$A,'Recipients REF'!H:H,"",0)</f>
        <v>26220 &amp; 27661</v>
      </c>
      <c r="O131" s="44" t="s">
        <v>25</v>
      </c>
      <c r="P131" s="45" t="s">
        <v>26</v>
      </c>
      <c r="Q131" s="46" t="str">
        <f t="array" ref="Q131">XLOOKUP($A131,'Recipients REF'!$A:$A,'Recipients REF'!I:I,"",0)</f>
        <v>KMC5825 AASFPV0207</v>
      </c>
      <c r="R131" s="53" t="str">
        <f t="array" ref="R131">XLOOKUP($A131,'Recipients REF'!$A:$A,'Recipients REF'!J:J,"",0)</f>
        <v>STS100227</v>
      </c>
      <c r="S131" s="45" t="s">
        <v>27</v>
      </c>
      <c r="T131" s="45" t="s">
        <v>28</v>
      </c>
      <c r="U131" s="46" t="str">
        <f t="array" ref="U131">XLOOKUP($A131,'Recipients REF'!$A:$A,'Recipients REF'!K:K,"",0)</f>
        <v>WR-SERIES 140</v>
      </c>
      <c r="V131" s="44" t="s">
        <v>29</v>
      </c>
      <c r="W131" s="45" t="s">
        <v>30</v>
      </c>
      <c r="X131" s="53">
        <f t="array" ref="X131">XLOOKUP($A131,'Recipients REF'!$A:$A,'Recipients REF'!L:L,"",0)</f>
        <v>2509555</v>
      </c>
      <c r="Y131" s="48" t="s">
        <v>29</v>
      </c>
      <c r="Z131" s="48" t="s">
        <v>31</v>
      </c>
      <c r="AA131" s="54">
        <f t="array" ref="AA131">XLOOKUP($A131,'Recipients REF'!$A:$A,'Recipients REF'!M:M,"",0)</f>
        <v>25080822</v>
      </c>
      <c r="AB131" s="49"/>
      <c r="AC131" s="42"/>
      <c r="AD131" s="42"/>
      <c r="AE131" s="51"/>
      <c r="AF131" s="52"/>
      <c r="AG131" s="42"/>
      <c r="AH131" s="42"/>
      <c r="AI131" s="42" t="str">
        <f t="array" ref="AI131">XLOOKUP($E131,Sheet11!$D:$D,Sheet11!$X:$X,"",0)</f>
        <v/>
      </c>
      <c r="AJ131" s="42" t="str">
        <f t="array" ref="AJ131">XLOOKUP($E131,Sheet11!$D:$D,Sheet11!$Y:$Y,"",0)</f>
        <v/>
      </c>
    </row>
    <row r="132">
      <c r="A132" s="41">
        <v>631.0</v>
      </c>
      <c r="B132" s="42" t="s">
        <v>281</v>
      </c>
      <c r="C132" s="42" t="s">
        <v>282</v>
      </c>
      <c r="D132" s="42"/>
      <c r="E132" s="42" t="str">
        <f t="shared" ref="E132:F132" si="133">PROPER(B132)</f>
        <v>San Miguel Sinag Tala Multipurpose Cooperative</v>
      </c>
      <c r="F132" s="42" t="str">
        <f t="shared" si="133"/>
        <v>San Vicente, San Miguel, Bulacan</v>
      </c>
      <c r="G132" s="42" t="str">
        <f t="shared" si="3"/>
        <v>San Vicente</v>
      </c>
      <c r="H132" s="42" t="str">
        <f t="shared" si="4"/>
        <v>San Miguel</v>
      </c>
      <c r="I132" s="42" t="str">
        <f t="shared" si="5"/>
        <v>Bulacan</v>
      </c>
      <c r="J132" s="42" t="str">
        <f t="array" ref="J132">XLOOKUP($E132,'Recipients REF'!$B:$B,'Recipients REF'!D:D,"",0)</f>
        <v>MA. DIGNA S. CALIWAG</v>
      </c>
      <c r="K132" s="42" t="str">
        <f t="array" ref="K132">XLOOKUP($E132,'Recipients REF'!$B:$B,'Recipients REF'!E:E,"",0)</f>
        <v>0915-918-3604</v>
      </c>
      <c r="L132" s="43" t="str">
        <f t="array" ref="L132">XLOOKUP($A132,'Recipients REF'!$A:$A,'Recipients REF'!F:F,"",0)</f>
        <v>RCEF 25-03-05</v>
      </c>
      <c r="M132" s="43">
        <f t="array" ref="M132">XLOOKUP($A132,'Recipients REF'!$A:$A,'Recipients REF'!G:G,"",0)</f>
        <v>5</v>
      </c>
      <c r="N132" s="43" t="str">
        <f t="array" ref="N132">XLOOKUP($A132,'Recipients REF'!$A:$A,'Recipients REF'!H:H,"",0)</f>
        <v>26221 &amp; 27662</v>
      </c>
      <c r="O132" s="44" t="s">
        <v>25</v>
      </c>
      <c r="P132" s="45" t="s">
        <v>26</v>
      </c>
      <c r="Q132" s="46" t="str">
        <f t="array" ref="Q132">XLOOKUP($A132,'Recipients REF'!$A:$A,'Recipients REF'!I:I,"",0)</f>
        <v>KMC5825 ATSFPV0179</v>
      </c>
      <c r="R132" s="53" t="str">
        <f t="array" ref="R132">XLOOKUP($A132,'Recipients REF'!$A:$A,'Recipients REF'!J:J,"",0)</f>
        <v>STS100209</v>
      </c>
      <c r="S132" s="45" t="s">
        <v>27</v>
      </c>
      <c r="T132" s="45" t="s">
        <v>28</v>
      </c>
      <c r="U132" s="46" t="str">
        <f t="array" ref="U132">XLOOKUP($A132,'Recipients REF'!$A:$A,'Recipients REF'!K:K,"",0)</f>
        <v>R-SERIES 147PH</v>
      </c>
      <c r="V132" s="44" t="s">
        <v>29</v>
      </c>
      <c r="W132" s="45" t="s">
        <v>30</v>
      </c>
      <c r="X132" s="53">
        <f t="array" ref="X132">XLOOKUP($A132,'Recipients REF'!$A:$A,'Recipients REF'!L:L,"",0)</f>
        <v>25090637</v>
      </c>
      <c r="Y132" s="48" t="s">
        <v>29</v>
      </c>
      <c r="Z132" s="48" t="s">
        <v>31</v>
      </c>
      <c r="AA132" s="54">
        <f t="array" ref="AA132">XLOOKUP($A132,'Recipients REF'!$A:$A,'Recipients REF'!M:M,"",0)</f>
        <v>25090992</v>
      </c>
      <c r="AB132" s="49"/>
      <c r="AC132" s="42"/>
      <c r="AD132" s="42"/>
      <c r="AE132" s="51"/>
      <c r="AF132" s="52"/>
      <c r="AG132" s="42"/>
      <c r="AH132" s="42"/>
      <c r="AI132" s="42" t="str">
        <f t="array" ref="AI132">XLOOKUP($E132,Sheet11!$D:$D,Sheet11!$X:$X,"",0)</f>
        <v/>
      </c>
      <c r="AJ132" s="42" t="str">
        <f t="array" ref="AJ132">XLOOKUP($E132,Sheet11!$D:$D,Sheet11!$Y:$Y,"",0)</f>
        <v/>
      </c>
    </row>
    <row r="133">
      <c r="A133" s="41">
        <v>632.0</v>
      </c>
      <c r="B133" s="42" t="s">
        <v>283</v>
      </c>
      <c r="C133" s="42" t="s">
        <v>284</v>
      </c>
      <c r="D133" s="42"/>
      <c r="E133" s="42" t="str">
        <f t="shared" ref="E133:F133" si="134">PROPER(B133)</f>
        <v>Igulot Farmers Association</v>
      </c>
      <c r="F133" s="42" t="str">
        <f t="shared" si="134"/>
        <v>Igulot, Bocaue, Bulacan</v>
      </c>
      <c r="G133" s="42" t="str">
        <f t="shared" si="3"/>
        <v>Igulot</v>
      </c>
      <c r="H133" s="42" t="str">
        <f t="shared" si="4"/>
        <v>Bocaue</v>
      </c>
      <c r="I133" s="42" t="str">
        <f t="shared" si="5"/>
        <v>Bulacan</v>
      </c>
      <c r="J133" s="42" t="str">
        <f t="array" ref="J133">XLOOKUP($E133,'Recipients REF'!$B:$B,'Recipients REF'!D:D,"",0)</f>
        <v>Nora M. Agapito</v>
      </c>
      <c r="K133" s="42" t="str">
        <f t="array" ref="K133">XLOOKUP($E133,'Recipients REF'!$B:$B,'Recipients REF'!E:E,"",0)</f>
        <v>0926-365-2640</v>
      </c>
      <c r="L133" s="43" t="str">
        <f t="array" ref="L133">XLOOKUP($A133,'Recipients REF'!$A:$A,'Recipients REF'!F:F,"",0)</f>
        <v>RCEF 25-03-05</v>
      </c>
      <c r="M133" s="43">
        <f t="array" ref="M133">XLOOKUP($A133,'Recipients REF'!$A:$A,'Recipients REF'!G:G,"",0)</f>
        <v>5</v>
      </c>
      <c r="N133" s="43" t="str">
        <f t="array" ref="N133">XLOOKUP($A133,'Recipients REF'!$A:$A,'Recipients REF'!H:H,"",0)</f>
        <v>26222 &amp; 27663</v>
      </c>
      <c r="O133" s="44" t="s">
        <v>25</v>
      </c>
      <c r="P133" s="45" t="s">
        <v>26</v>
      </c>
      <c r="Q133" s="46" t="str">
        <f t="array" ref="Q133">XLOOKUP($A133,'Recipients REF'!$A:$A,'Recipients REF'!I:I,"",0)</f>
        <v>KMC5825 AHSFPV0243</v>
      </c>
      <c r="R133" s="53" t="str">
        <f t="array" ref="R133">XLOOKUP($A133,'Recipients REF'!$A:$A,'Recipients REF'!J:J,"",0)</f>
        <v>STS100261</v>
      </c>
      <c r="S133" s="45" t="s">
        <v>27</v>
      </c>
      <c r="T133" s="45" t="s">
        <v>28</v>
      </c>
      <c r="U133" s="46" t="str">
        <f t="array" ref="U133">XLOOKUP($A133,'Recipients REF'!$A:$A,'Recipients REF'!K:K,"",0)</f>
        <v>R-SERIES 062PH</v>
      </c>
      <c r="V133" s="44" t="s">
        <v>29</v>
      </c>
      <c r="W133" s="45" t="s">
        <v>30</v>
      </c>
      <c r="X133" s="53">
        <f t="array" ref="X133">XLOOKUP($A133,'Recipients REF'!$A:$A,'Recipients REF'!L:L,"",0)</f>
        <v>25090538</v>
      </c>
      <c r="Y133" s="48" t="s">
        <v>29</v>
      </c>
      <c r="Z133" s="48" t="s">
        <v>31</v>
      </c>
      <c r="AA133" s="54">
        <f t="array" ref="AA133">XLOOKUP($A133,'Recipients REF'!$A:$A,'Recipients REF'!M:M,"",0)</f>
        <v>25091001</v>
      </c>
      <c r="AB133" s="49"/>
      <c r="AC133" s="42"/>
      <c r="AD133" s="42"/>
      <c r="AE133" s="50"/>
      <c r="AF133" s="42"/>
      <c r="AG133" s="42"/>
      <c r="AH133" s="42"/>
      <c r="AI133" s="42" t="str">
        <f t="array" ref="AI133">XLOOKUP($E133,Sheet11!$D:$D,Sheet11!$X:$X,"",0)</f>
        <v/>
      </c>
      <c r="AJ133" s="42" t="str">
        <f t="array" ref="AJ133">XLOOKUP($E133,Sheet11!$D:$D,Sheet11!$Y:$Y,"",0)</f>
        <v/>
      </c>
    </row>
    <row r="134">
      <c r="A134" s="41">
        <v>633.0</v>
      </c>
      <c r="B134" s="42" t="s">
        <v>285</v>
      </c>
      <c r="C134" s="42" t="s">
        <v>286</v>
      </c>
      <c r="D134" s="42"/>
      <c r="E134" s="42" t="str">
        <f t="shared" ref="E134:F134" si="135">PROPER(B134)</f>
        <v>Mmmb Irrigators Association</v>
      </c>
      <c r="F134" s="42" t="str">
        <f t="shared" si="135"/>
        <v>Malibong Bata, Pandi, Bulacan</v>
      </c>
      <c r="G134" s="42" t="str">
        <f t="shared" si="3"/>
        <v>Malibong Bata</v>
      </c>
      <c r="H134" s="42" t="str">
        <f t="shared" si="4"/>
        <v>Pandi</v>
      </c>
      <c r="I134" s="42" t="str">
        <f t="shared" si="5"/>
        <v>Bulacan</v>
      </c>
      <c r="J134" s="42" t="str">
        <f t="array" ref="J134">XLOOKUP($E134,'Recipients REF'!$B:$B,'Recipients REF'!D:D,"",0)</f>
        <v>CRISENCIANO A. GALVEZ</v>
      </c>
      <c r="K134" s="42" t="str">
        <f t="array" ref="K134">XLOOKUP($E134,'Recipients REF'!$B:$B,'Recipients REF'!E:E,"",0)</f>
        <v>0945-503-4093</v>
      </c>
      <c r="L134" s="43" t="str">
        <f t="array" ref="L134">XLOOKUP($A134,'Recipients REF'!$A:$A,'Recipients REF'!F:F,"",0)</f>
        <v>RCEF 25-03-05</v>
      </c>
      <c r="M134" s="43">
        <f t="array" ref="M134">XLOOKUP($A134,'Recipients REF'!$A:$A,'Recipients REF'!G:G,"",0)</f>
        <v>5</v>
      </c>
      <c r="N134" s="43" t="str">
        <f t="array" ref="N134">XLOOKUP($A134,'Recipients REF'!$A:$A,'Recipients REF'!H:H,"",0)</f>
        <v>26223 &amp; 27664</v>
      </c>
      <c r="O134" s="44" t="s">
        <v>25</v>
      </c>
      <c r="P134" s="45" t="s">
        <v>26</v>
      </c>
      <c r="Q134" s="46" t="str">
        <f t="array" ref="Q134">XLOOKUP($A134,'Recipients REF'!$A:$A,'Recipients REF'!I:I,"",0)</f>
        <v>KMC5825 AKSFPV0377</v>
      </c>
      <c r="R134" s="53" t="str">
        <f t="array" ref="R134">XLOOKUP($A134,'Recipients REF'!$A:$A,'Recipients REF'!J:J,"",0)</f>
        <v>STS100453</v>
      </c>
      <c r="S134" s="45" t="s">
        <v>27</v>
      </c>
      <c r="T134" s="45" t="s">
        <v>28</v>
      </c>
      <c r="U134" s="46" t="str">
        <f t="array" ref="U134">XLOOKUP($A134,'Recipients REF'!$A:$A,'Recipients REF'!K:K,"",0)</f>
        <v>R-SERIES 139PH</v>
      </c>
      <c r="V134" s="44" t="s">
        <v>29</v>
      </c>
      <c r="W134" s="45" t="s">
        <v>30</v>
      </c>
      <c r="X134" s="53">
        <f t="array" ref="X134">XLOOKUP($A134,'Recipients REF'!$A:$A,'Recipients REF'!L:L,"",0)</f>
        <v>25090591</v>
      </c>
      <c r="Y134" s="48" t="s">
        <v>29</v>
      </c>
      <c r="Z134" s="48" t="s">
        <v>31</v>
      </c>
      <c r="AA134" s="54">
        <f t="array" ref="AA134">XLOOKUP($A134,'Recipients REF'!$A:$A,'Recipients REF'!M:M,"",0)</f>
        <v>25090989</v>
      </c>
      <c r="AB134" s="49"/>
      <c r="AC134" s="42"/>
      <c r="AD134" s="42"/>
      <c r="AE134" s="50"/>
      <c r="AF134" s="42"/>
      <c r="AG134" s="42"/>
      <c r="AH134" s="42"/>
      <c r="AI134" s="42" t="str">
        <f t="array" ref="AI134">XLOOKUP($E134,Sheet11!$D:$D,Sheet11!$X:$X,"",0)</f>
        <v/>
      </c>
      <c r="AJ134" s="42" t="str">
        <f t="array" ref="AJ134">XLOOKUP($E134,Sheet11!$D:$D,Sheet11!$Y:$Y,"",0)</f>
        <v/>
      </c>
    </row>
    <row r="135">
      <c r="A135" s="41">
        <v>634.0</v>
      </c>
      <c r="B135" s="42" t="s">
        <v>287</v>
      </c>
      <c r="C135" s="42" t="s">
        <v>288</v>
      </c>
      <c r="D135" s="42"/>
      <c r="E135" s="42" t="str">
        <f t="shared" ref="E135:F135" si="136">PROPER(B135)</f>
        <v>Samahang Magsasaka Ng Malibong Matanda, Inc.</v>
      </c>
      <c r="F135" s="42" t="str">
        <f t="shared" si="136"/>
        <v>Malibong Matanda, Pandi, Bulacan</v>
      </c>
      <c r="G135" s="42" t="str">
        <f t="shared" si="3"/>
        <v>Malibong Matanda</v>
      </c>
      <c r="H135" s="42" t="str">
        <f t="shared" si="4"/>
        <v>Pandi</v>
      </c>
      <c r="I135" s="42" t="str">
        <f t="shared" si="5"/>
        <v>Bulacan</v>
      </c>
      <c r="J135" s="42" t="str">
        <f t="array" ref="J135">XLOOKUP($E135,'Recipients REF'!$B:$B,'Recipients REF'!D:D,"",0)</f>
        <v>MARIO A. DEL ROSARIO</v>
      </c>
      <c r="K135" s="42" t="str">
        <f t="array" ref="K135">XLOOKUP($E135,'Recipients REF'!$B:$B,'Recipients REF'!E:E,"",0)</f>
        <v>0942-454-7703</v>
      </c>
      <c r="L135" s="43" t="str">
        <f t="array" ref="L135">XLOOKUP($A135,'Recipients REF'!$A:$A,'Recipients REF'!F:F,"",0)</f>
        <v>RCEF 25-03-05</v>
      </c>
      <c r="M135" s="43">
        <f t="array" ref="M135">XLOOKUP($A135,'Recipients REF'!$A:$A,'Recipients REF'!G:G,"",0)</f>
        <v>5</v>
      </c>
      <c r="N135" s="43" t="str">
        <f t="array" ref="N135">XLOOKUP($A135,'Recipients REF'!$A:$A,'Recipients REF'!H:H,"",0)</f>
        <v>26224 &amp; 27665</v>
      </c>
      <c r="O135" s="44" t="s">
        <v>25</v>
      </c>
      <c r="P135" s="45" t="s">
        <v>26</v>
      </c>
      <c r="Q135" s="46" t="str">
        <f t="array" ref="Q135">XLOOKUP($A135,'Recipients REF'!$A:$A,'Recipients REF'!I:I,"",0)</f>
        <v>KMC5825 ALSFPV0273</v>
      </c>
      <c r="R135" s="53" t="str">
        <f t="array" ref="R135">XLOOKUP($A135,'Recipients REF'!$A:$A,'Recipients REF'!J:J,"",0)</f>
        <v>STS100279</v>
      </c>
      <c r="S135" s="45" t="s">
        <v>27</v>
      </c>
      <c r="T135" s="45" t="s">
        <v>28</v>
      </c>
      <c r="U135" s="46" t="str">
        <f t="array" ref="U135">XLOOKUP($A135,'Recipients REF'!$A:$A,'Recipients REF'!K:K,"",0)</f>
        <v>R-SERIES 060PH</v>
      </c>
      <c r="V135" s="44" t="s">
        <v>29</v>
      </c>
      <c r="W135" s="45" t="s">
        <v>30</v>
      </c>
      <c r="X135" s="53">
        <f t="array" ref="X135">XLOOKUP($A135,'Recipients REF'!$A:$A,'Recipients REF'!L:L,"",0)</f>
        <v>25080317</v>
      </c>
      <c r="Y135" s="48" t="s">
        <v>29</v>
      </c>
      <c r="Z135" s="48" t="s">
        <v>31</v>
      </c>
      <c r="AA135" s="54">
        <f t="array" ref="AA135">XLOOKUP($A135,'Recipients REF'!$A:$A,'Recipients REF'!M:M,"",0)</f>
        <v>25080830</v>
      </c>
      <c r="AB135" s="49"/>
      <c r="AC135" s="42"/>
      <c r="AD135" s="42"/>
      <c r="AE135" s="50"/>
      <c r="AF135" s="42"/>
      <c r="AG135" s="42"/>
      <c r="AH135" s="42"/>
      <c r="AI135" s="42" t="str">
        <f t="array" ref="AI135">XLOOKUP($E135,Sheet11!$D:$D,Sheet11!$X:$X,"",0)</f>
        <v/>
      </c>
      <c r="AJ135" s="42" t="str">
        <f t="array" ref="AJ135">XLOOKUP($E135,Sheet11!$D:$D,Sheet11!$Y:$Y,"",0)</f>
        <v/>
      </c>
    </row>
    <row r="136">
      <c r="A136" s="41">
        <v>636.0</v>
      </c>
      <c r="B136" s="42" t="s">
        <v>289</v>
      </c>
      <c r="C136" s="42" t="s">
        <v>290</v>
      </c>
      <c r="D136" s="42"/>
      <c r="E136" s="42" t="str">
        <f t="shared" ref="E136:F136" si="137">PROPER(B136)</f>
        <v>Buenavista Farmer'S Association</v>
      </c>
      <c r="F136" s="42" t="str">
        <f t="shared" si="137"/>
        <v>Buenavista, Santa Maria, Bulacan</v>
      </c>
      <c r="G136" s="42" t="str">
        <f t="shared" si="3"/>
        <v>Buenavista</v>
      </c>
      <c r="H136" s="42" t="str">
        <f t="shared" si="4"/>
        <v>Santa Maria</v>
      </c>
      <c r="I136" s="42" t="str">
        <f t="shared" si="5"/>
        <v>Bulacan</v>
      </c>
      <c r="J136" s="42" t="str">
        <f t="array" ref="J136">XLOOKUP($E136,'Recipients REF'!$B:$B,'Recipients REF'!D:D,"",0)</f>
        <v>JOAQUIN DELA CRUZ</v>
      </c>
      <c r="K136" s="42" t="str">
        <f t="array" ref="K136">XLOOKUP($E136,'Recipients REF'!$B:$B,'Recipients REF'!E:E,"",0)</f>
        <v>0916-540-0638/ 0933-599-6070</v>
      </c>
      <c r="L136" s="43" t="str">
        <f t="array" ref="L136">XLOOKUP($A136,'Recipients REF'!$A:$A,'Recipients REF'!F:F,"",0)</f>
        <v>RCEF 25-03-05</v>
      </c>
      <c r="M136" s="43">
        <f t="array" ref="M136">XLOOKUP($A136,'Recipients REF'!$A:$A,'Recipients REF'!G:G,"",0)</f>
        <v>5</v>
      </c>
      <c r="N136" s="43" t="str">
        <f t="array" ref="N136">XLOOKUP($A136,'Recipients REF'!$A:$A,'Recipients REF'!H:H,"",0)</f>
        <v>26226 &amp; 27667</v>
      </c>
      <c r="O136" s="44" t="s">
        <v>25</v>
      </c>
      <c r="P136" s="45" t="s">
        <v>26</v>
      </c>
      <c r="Q136" s="46" t="str">
        <f t="array" ref="Q136">XLOOKUP($A136,'Recipients REF'!$A:$A,'Recipients REF'!I:I,"",0)</f>
        <v>KMC5825 AHSFPV0226</v>
      </c>
      <c r="R136" s="53" t="str">
        <f t="array" ref="R136">XLOOKUP($A136,'Recipients REF'!$A:$A,'Recipients REF'!J:J,"",0)</f>
        <v>STS100183</v>
      </c>
      <c r="S136" s="45" t="s">
        <v>27</v>
      </c>
      <c r="T136" s="45" t="s">
        <v>28</v>
      </c>
      <c r="U136" s="46" t="str">
        <f t="array" ref="U136">XLOOKUP($A136,'Recipients REF'!$A:$A,'Recipients REF'!K:K,"",0)</f>
        <v>WR-SERIES 050</v>
      </c>
      <c r="V136" s="44" t="s">
        <v>29</v>
      </c>
      <c r="W136" s="45" t="s">
        <v>30</v>
      </c>
      <c r="X136" s="53">
        <f t="array" ref="X136">XLOOKUP($A136,'Recipients REF'!$A:$A,'Recipients REF'!L:L,"",0)</f>
        <v>25090600</v>
      </c>
      <c r="Y136" s="48" t="s">
        <v>29</v>
      </c>
      <c r="Z136" s="48" t="s">
        <v>31</v>
      </c>
      <c r="AA136" s="54">
        <f t="array" ref="AA136">XLOOKUP($A136,'Recipients REF'!$A:$A,'Recipients REF'!M:M,"",0)</f>
        <v>25091003</v>
      </c>
      <c r="AB136" s="49"/>
      <c r="AC136" s="42"/>
      <c r="AD136" s="42"/>
      <c r="AE136" s="50"/>
      <c r="AF136" s="42"/>
      <c r="AG136" s="42"/>
      <c r="AH136" s="42"/>
      <c r="AI136" s="42" t="str">
        <f t="array" ref="AI136">XLOOKUP($E136,Sheet11!$D:$D,Sheet11!$X:$X,"",0)</f>
        <v/>
      </c>
      <c r="AJ136" s="42" t="str">
        <f t="array" ref="AJ136">XLOOKUP($E136,Sheet11!$D:$D,Sheet11!$Y:$Y,"",0)</f>
        <v/>
      </c>
    </row>
    <row r="137">
      <c r="A137" s="41">
        <v>637.0</v>
      </c>
      <c r="B137" s="42" t="s">
        <v>291</v>
      </c>
      <c r="C137" s="42" t="s">
        <v>292</v>
      </c>
      <c r="D137" s="42"/>
      <c r="E137" s="42" t="str">
        <f t="shared" ref="E137:F137" si="138">PROPER(B137)</f>
        <v>Municipal Local Government Unit Of Santa Maria</v>
      </c>
      <c r="F137" s="42" t="str">
        <f t="shared" si="138"/>
        <v>Poblacion, Santa Maria, Bulacan</v>
      </c>
      <c r="G137" s="42" t="str">
        <f t="shared" si="3"/>
        <v>Poblacion</v>
      </c>
      <c r="H137" s="42" t="str">
        <f t="shared" si="4"/>
        <v>Santa Maria</v>
      </c>
      <c r="I137" s="42" t="str">
        <f t="shared" si="5"/>
        <v>Bulacan</v>
      </c>
      <c r="J137" s="42" t="str">
        <f t="array" ref="J137">XLOOKUP($E137,'Recipients REF'!$B:$B,'Recipients REF'!D:D,"",0)</f>
        <v>HON. BARTOLOME R. SANTOS</v>
      </c>
      <c r="K137" s="42" t="str">
        <f t="array" ref="K137">XLOOKUP($E137,'Recipients REF'!$B:$B,'Recipients REF'!E:E,"",0)</f>
        <v>0922-878-7448</v>
      </c>
      <c r="L137" s="43" t="str">
        <f t="array" ref="L137">XLOOKUP($A137,'Recipients REF'!$A:$A,'Recipients REF'!F:F,"",0)</f>
        <v>RCEF 25-03-05</v>
      </c>
      <c r="M137" s="43">
        <f t="array" ref="M137">XLOOKUP($A137,'Recipients REF'!$A:$A,'Recipients REF'!G:G,"",0)</f>
        <v>5</v>
      </c>
      <c r="N137" s="43" t="str">
        <f t="array" ref="N137">XLOOKUP($A137,'Recipients REF'!$A:$A,'Recipients REF'!H:H,"",0)</f>
        <v>26227 &amp; 27668</v>
      </c>
      <c r="O137" s="44" t="s">
        <v>25</v>
      </c>
      <c r="P137" s="45" t="s">
        <v>26</v>
      </c>
      <c r="Q137" s="46" t="str">
        <f t="array" ref="Q137">XLOOKUP($A137,'Recipients REF'!$A:$A,'Recipients REF'!I:I,"",0)</f>
        <v>KMC5825 ACSFPV0334</v>
      </c>
      <c r="R137" s="53" t="str">
        <f t="array" ref="R137">XLOOKUP($A137,'Recipients REF'!$A:$A,'Recipients REF'!J:J,"",0)</f>
        <v>STS100353</v>
      </c>
      <c r="S137" s="45" t="s">
        <v>27</v>
      </c>
      <c r="T137" s="45" t="s">
        <v>28</v>
      </c>
      <c r="U137" s="46" t="str">
        <f t="array" ref="U137">XLOOKUP($A137,'Recipients REF'!$A:$A,'Recipients REF'!K:K,"",0)</f>
        <v>WR-SERIES 241</v>
      </c>
      <c r="V137" s="44" t="s">
        <v>29</v>
      </c>
      <c r="W137" s="45" t="s">
        <v>30</v>
      </c>
      <c r="X137" s="53">
        <f t="array" ref="X137">XLOOKUP($A137,'Recipients REF'!$A:$A,'Recipients REF'!L:L,"",0)</f>
        <v>25090584</v>
      </c>
      <c r="Y137" s="48" t="s">
        <v>29</v>
      </c>
      <c r="Z137" s="48" t="s">
        <v>31</v>
      </c>
      <c r="AA137" s="54">
        <f t="array" ref="AA137">XLOOKUP($A137,'Recipients REF'!$A:$A,'Recipients REF'!M:M,"",0)</f>
        <v>25080844</v>
      </c>
      <c r="AB137" s="49"/>
      <c r="AC137" s="42"/>
      <c r="AD137" s="42"/>
      <c r="AE137" s="50"/>
      <c r="AF137" s="42"/>
      <c r="AG137" s="42"/>
      <c r="AH137" s="42"/>
      <c r="AI137" s="42" t="str">
        <f t="array" ref="AI137">XLOOKUP($E137,Sheet11!$D:$D,Sheet11!$X:$X,"",0)</f>
        <v/>
      </c>
      <c r="AJ137" s="42" t="str">
        <f t="array" ref="AJ137">XLOOKUP($E137,Sheet11!$D:$D,Sheet11!$Y:$Y,"",0)</f>
        <v/>
      </c>
    </row>
    <row r="138">
      <c r="A138" s="41">
        <v>638.0</v>
      </c>
      <c r="B138" s="42" t="s">
        <v>291</v>
      </c>
      <c r="C138" s="42" t="s">
        <v>292</v>
      </c>
      <c r="D138" s="42"/>
      <c r="E138" s="42" t="str">
        <f t="shared" ref="E138:F138" si="139">PROPER(B138)</f>
        <v>Municipal Local Government Unit Of Santa Maria</v>
      </c>
      <c r="F138" s="42" t="str">
        <f t="shared" si="139"/>
        <v>Poblacion, Santa Maria, Bulacan</v>
      </c>
      <c r="G138" s="42" t="str">
        <f t="shared" si="3"/>
        <v>Poblacion</v>
      </c>
      <c r="H138" s="42" t="str">
        <f t="shared" si="4"/>
        <v>Santa Maria</v>
      </c>
      <c r="I138" s="42" t="str">
        <f t="shared" si="5"/>
        <v>Bulacan</v>
      </c>
      <c r="J138" s="42" t="str">
        <f t="array" ref="J138">XLOOKUP($E138,'Recipients REF'!$B:$B,'Recipients REF'!D:D,"",0)</f>
        <v>HON. BARTOLOME R. SANTOS</v>
      </c>
      <c r="K138" s="42" t="str">
        <f t="array" ref="K138">XLOOKUP($E138,'Recipients REF'!$B:$B,'Recipients REF'!E:E,"",0)</f>
        <v>0922-878-7448</v>
      </c>
      <c r="L138" s="43" t="str">
        <f t="array" ref="L138">XLOOKUP($A138,'Recipients REF'!$A:$A,'Recipients REF'!F:F,"",0)</f>
        <v>RCEF 25-03-05</v>
      </c>
      <c r="M138" s="43">
        <f t="array" ref="M138">XLOOKUP($A138,'Recipients REF'!$A:$A,'Recipients REF'!G:G,"",0)</f>
        <v>5</v>
      </c>
      <c r="N138" s="43" t="str">
        <f t="array" ref="N138">XLOOKUP($A138,'Recipients REF'!$A:$A,'Recipients REF'!H:H,"",0)</f>
        <v>26227 &amp; 27668</v>
      </c>
      <c r="O138" s="44" t="s">
        <v>25</v>
      </c>
      <c r="P138" s="45" t="s">
        <v>26</v>
      </c>
      <c r="Q138" s="46" t="str">
        <f t="array" ref="Q138">XLOOKUP($A138,'Recipients REF'!$A:$A,'Recipients REF'!I:I,"",0)</f>
        <v>KMC5825 AASFPV0322</v>
      </c>
      <c r="R138" s="53" t="str">
        <f t="array" ref="R138">XLOOKUP($A138,'Recipients REF'!$A:$A,'Recipients REF'!J:J,"",0)</f>
        <v>STS100334</v>
      </c>
      <c r="S138" s="45" t="s">
        <v>27</v>
      </c>
      <c r="T138" s="45" t="s">
        <v>28</v>
      </c>
      <c r="U138" s="46" t="str">
        <f t="array" ref="U138">XLOOKUP($A138,'Recipients REF'!$A:$A,'Recipients REF'!K:K,"",0)</f>
        <v>WR-SERIES 124</v>
      </c>
      <c r="V138" s="44" t="s">
        <v>29</v>
      </c>
      <c r="W138" s="45" t="s">
        <v>30</v>
      </c>
      <c r="X138" s="53">
        <f t="array" ref="X138">XLOOKUP($A138,'Recipients REF'!$A:$A,'Recipients REF'!L:L,"",0)</f>
        <v>25090597</v>
      </c>
      <c r="Y138" s="48" t="s">
        <v>29</v>
      </c>
      <c r="Z138" s="48" t="s">
        <v>31</v>
      </c>
      <c r="AA138" s="54">
        <f t="array" ref="AA138">XLOOKUP($A138,'Recipients REF'!$A:$A,'Recipients REF'!M:M,"",0)</f>
        <v>25090996</v>
      </c>
      <c r="AB138" s="49"/>
      <c r="AC138" s="42"/>
      <c r="AD138" s="42"/>
      <c r="AE138" s="50"/>
      <c r="AF138" s="42"/>
      <c r="AG138" s="42"/>
      <c r="AH138" s="42"/>
      <c r="AI138" s="42" t="str">
        <f t="array" ref="AI138">XLOOKUP($E138,Sheet11!$D:$D,Sheet11!$X:$X,"",0)</f>
        <v/>
      </c>
      <c r="AJ138" s="42" t="str">
        <f t="array" ref="AJ138">XLOOKUP($E138,Sheet11!$D:$D,Sheet11!$Y:$Y,"",0)</f>
        <v/>
      </c>
    </row>
    <row r="139">
      <c r="A139" s="41">
        <v>981.0</v>
      </c>
      <c r="B139" s="42" t="s">
        <v>293</v>
      </c>
      <c r="C139" s="42" t="s">
        <v>294</v>
      </c>
      <c r="D139" s="42"/>
      <c r="E139" s="42" t="str">
        <f t="shared" ref="E139:F139" si="140">PROPER(B139)</f>
        <v>Kalayaan Grain Farmers Association</v>
      </c>
      <c r="F139" s="42" t="str">
        <f t="shared" si="140"/>
        <v>Dakila, Malolos City, Bulacan</v>
      </c>
      <c r="G139" s="42" t="str">
        <f t="shared" si="3"/>
        <v>Dakila</v>
      </c>
      <c r="H139" s="42" t="str">
        <f t="shared" si="4"/>
        <v>Malolos City</v>
      </c>
      <c r="I139" s="42" t="str">
        <f t="shared" si="5"/>
        <v>Bulacan</v>
      </c>
      <c r="J139" s="42" t="str">
        <f t="array" ref="J139">XLOOKUP($E139,'Recipients REF'!$B:$B,'Recipients REF'!D:D,"",0)</f>
        <v>Apolinarion Surio</v>
      </c>
      <c r="K139" s="42" t="str">
        <f t="array" ref="K139">XLOOKUP($E139,'Recipients REF'!$B:$B,'Recipients REF'!E:E,"",0)</f>
        <v>0916-8498-973</v>
      </c>
      <c r="L139" s="43" t="str">
        <f t="array" ref="L139">XLOOKUP($A139,'Recipients REF'!$A:$A,'Recipients REF'!F:F,"",0)</f>
        <v>Repeat Order</v>
      </c>
      <c r="M139" s="43">
        <f t="array" ref="M139">XLOOKUP($A139,'Recipients REF'!$A:$A,'Recipients REF'!G:G,"",0)</f>
        <v>6</v>
      </c>
      <c r="N139" s="43">
        <f t="array" ref="N139">XLOOKUP($A139,'Recipients REF'!$A:$A,'Recipients REF'!H:H,"",0)</f>
        <v>23117</v>
      </c>
      <c r="O139" s="44" t="s">
        <v>25</v>
      </c>
      <c r="P139" s="45" t="s">
        <v>26</v>
      </c>
      <c r="Q139" s="46" t="str">
        <f t="array" ref="Q139">XLOOKUP($A139,'Recipients REF'!$A:$A,'Recipients REF'!I:I,"",0)</f>
        <v>KMC5825AARFPV0802</v>
      </c>
      <c r="R139" s="47" t="str">
        <f t="array" ref="R139">XLOOKUP($A139,'Recipients REF'!$A:$A,'Recipients REF'!J:J,"",0)</f>
        <v>RTS100710</v>
      </c>
      <c r="S139" s="45" t="s">
        <v>27</v>
      </c>
      <c r="T139" s="45" t="s">
        <v>28</v>
      </c>
      <c r="U139" s="46" t="str">
        <f t="array" ref="U139">XLOOKUP($A139,'Recipients REF'!$A:$A,'Recipients REF'!K:K,"",0)</f>
        <v>LSGW1750-RMP-24090774</v>
      </c>
      <c r="V139" s="44" t="s">
        <v>29</v>
      </c>
      <c r="W139" s="45" t="s">
        <v>30</v>
      </c>
      <c r="X139" s="47" t="str">
        <f t="array" ref="X139">XLOOKUP($A139,'Recipients REF'!$A:$A,'Recipients REF'!L:L,"",0)</f>
        <v>WDP40-RMP-25020307</v>
      </c>
      <c r="Y139" s="48" t="s">
        <v>29</v>
      </c>
      <c r="Z139" s="48" t="s">
        <v>31</v>
      </c>
      <c r="AA139" s="46" t="str">
        <f t="array" ref="AA139">XLOOKUP($A139,'Recipients REF'!$A:$A,'Recipients REF'!M:M,"",0)</f>
        <v>WR-SERIES-1289PH</v>
      </c>
      <c r="AB139" s="49"/>
      <c r="AC139" s="42"/>
      <c r="AD139" s="42"/>
      <c r="AE139" s="50"/>
      <c r="AF139" s="42"/>
      <c r="AG139" s="42"/>
      <c r="AH139" s="42"/>
      <c r="AI139" s="42" t="str">
        <f t="array" ref="AI139">XLOOKUP($E139,Sheet11!$D:$D,Sheet11!$X:$X,"",0)</f>
        <v/>
      </c>
      <c r="AJ139" s="42" t="str">
        <f t="array" ref="AJ139">XLOOKUP($E139,Sheet11!$D:$D,Sheet11!$Y:$Y,"",0)</f>
        <v/>
      </c>
    </row>
    <row r="140">
      <c r="A140" s="41">
        <v>982.0</v>
      </c>
      <c r="B140" s="42" t="s">
        <v>257</v>
      </c>
      <c r="C140" s="42" t="s">
        <v>295</v>
      </c>
      <c r="D140" s="42"/>
      <c r="E140" s="42" t="str">
        <f t="shared" ref="E140:F140" si="141">PROPER(B140)</f>
        <v>Municipal Local Government Unit Of Angat</v>
      </c>
      <c r="F140" s="42" t="str">
        <f t="shared" si="141"/>
        <v>San Roque (Pob.), Angat, Bulacan</v>
      </c>
      <c r="G140" s="42" t="str">
        <f t="shared" si="3"/>
        <v>San Roque (Pob.)</v>
      </c>
      <c r="H140" s="42" t="str">
        <f t="shared" si="4"/>
        <v>Angat</v>
      </c>
      <c r="I140" s="42" t="str">
        <f t="shared" si="5"/>
        <v>Bulacan</v>
      </c>
      <c r="J140" s="42" t="str">
        <f t="array" ref="J140">XLOOKUP($E140,'Recipients REF'!$B:$B,'Recipients REF'!D:D,"",0)</f>
        <v>Joseph Del Rosario</v>
      </c>
      <c r="K140" s="42">
        <f t="array" ref="K140">XLOOKUP($E140,'Recipients REF'!$B:$B,'Recipients REF'!E:E,"",0)</f>
        <v>9179941102</v>
      </c>
      <c r="L140" s="43" t="str">
        <f t="array" ref="L140">XLOOKUP($A140,'Recipients REF'!$A:$A,'Recipients REF'!F:F,"",0)</f>
        <v>Repeat Order</v>
      </c>
      <c r="M140" s="43">
        <f t="array" ref="M140">XLOOKUP($A140,'Recipients REF'!$A:$A,'Recipients REF'!G:G,"",0)</f>
        <v>6</v>
      </c>
      <c r="N140" s="43">
        <f t="array" ref="N140">XLOOKUP($A140,'Recipients REF'!$A:$A,'Recipients REF'!H:H,"",0)</f>
        <v>23118</v>
      </c>
      <c r="O140" s="44" t="s">
        <v>25</v>
      </c>
      <c r="P140" s="45" t="s">
        <v>26</v>
      </c>
      <c r="Q140" s="46" t="str">
        <f t="array" ref="Q140">XLOOKUP($A140,'Recipients REF'!$A:$A,'Recipients REF'!I:I,"",0)</f>
        <v>KMC5825AKRFPV1071</v>
      </c>
      <c r="R140" s="47" t="str">
        <f t="array" ref="R140">XLOOKUP($A140,'Recipients REF'!$A:$A,'Recipients REF'!J:J,"",0)</f>
        <v>RTS100948</v>
      </c>
      <c r="S140" s="45" t="s">
        <v>27</v>
      </c>
      <c r="T140" s="45" t="s">
        <v>28</v>
      </c>
      <c r="U140" s="46" t="str">
        <f t="array" ref="U140">XLOOKUP($A140,'Recipients REF'!$A:$A,'Recipients REF'!K:K,"",0)</f>
        <v>LSGW1750-RMP-24090771</v>
      </c>
      <c r="V140" s="44" t="s">
        <v>29</v>
      </c>
      <c r="W140" s="45" t="s">
        <v>30</v>
      </c>
      <c r="X140" s="47" t="str">
        <f t="array" ref="X140">XLOOKUP($A140,'Recipients REF'!$A:$A,'Recipients REF'!L:L,"",0)</f>
        <v>WDP40-RMP-25020290</v>
      </c>
      <c r="Y140" s="48" t="s">
        <v>29</v>
      </c>
      <c r="Z140" s="48" t="s">
        <v>31</v>
      </c>
      <c r="AA140" s="46" t="str">
        <f t="array" ref="AA140">XLOOKUP($A140,'Recipients REF'!$A:$A,'Recipients REF'!M:M,"",0)</f>
        <v>WR-SERIES-1257PH</v>
      </c>
      <c r="AB140" s="49"/>
      <c r="AC140" s="42"/>
      <c r="AD140" s="42"/>
      <c r="AE140" s="50"/>
      <c r="AF140" s="42"/>
      <c r="AG140" s="42"/>
      <c r="AH140" s="42"/>
      <c r="AI140" s="42" t="str">
        <f t="array" ref="AI140">XLOOKUP($E140,Sheet11!$D:$D,Sheet11!$X:$X,"",0)</f>
        <v>869066060010213 (E)</v>
      </c>
      <c r="AJ140" s="42">
        <f t="array" ref="AJ140">XLOOKUP($E140,Sheet11!$D:$D,Sheet11!$Y:$Y,"",0)</f>
        <v>9086857236</v>
      </c>
    </row>
    <row r="141">
      <c r="A141" s="41">
        <v>151.0</v>
      </c>
      <c r="B141" s="42" t="s">
        <v>296</v>
      </c>
      <c r="C141" s="42" t="s">
        <v>297</v>
      </c>
      <c r="D141" s="42"/>
      <c r="E141" s="42" t="str">
        <f t="shared" ref="E141:F141" si="142">PROPER(B141)</f>
        <v>Bangag Nanappatan Agriculture Cooperative</v>
      </c>
      <c r="F141" s="42" t="str">
        <f t="shared" si="142"/>
        <v>Bangag, Aparri, Cagayan</v>
      </c>
      <c r="G141" s="42" t="str">
        <f t="shared" si="3"/>
        <v>Bangag</v>
      </c>
      <c r="H141" s="42" t="str">
        <f t="shared" si="4"/>
        <v>Aparri</v>
      </c>
      <c r="I141" s="42" t="str">
        <f t="shared" si="5"/>
        <v>Cagayan</v>
      </c>
      <c r="J141" s="42" t="str">
        <f t="array" ref="J141">XLOOKUP($E141,'Recipients REF'!$B:$B,'Recipients REF'!D:D,"",0)</f>
        <v>Ofelia R. Garbin</v>
      </c>
      <c r="K141" s="42" t="str">
        <f t="array" ref="K141">XLOOKUP($E141,'Recipients REF'!$B:$B,'Recipients REF'!E:E,"",0)</f>
        <v>09173973459/09616168190</v>
      </c>
      <c r="L141" s="43" t="str">
        <f t="array" ref="L141">XLOOKUP($A141,'Recipients REF'!$A:$A,'Recipients REF'!F:F,"",0)</f>
        <v>RCEF 23-09-21 Rebidding</v>
      </c>
      <c r="M141" s="43">
        <f t="array" ref="M141">XLOOKUP($A141,'Recipients REF'!$A:$A,'Recipients REF'!G:G,"",0)</f>
        <v>9</v>
      </c>
      <c r="N141" s="43">
        <f t="array" ref="N141">XLOOKUP($A141,'Recipients REF'!$A:$A,'Recipients REF'!H:H,"",0)</f>
        <v>17967</v>
      </c>
      <c r="O141" s="44" t="s">
        <v>25</v>
      </c>
      <c r="P141" s="45" t="s">
        <v>26</v>
      </c>
      <c r="Q141" s="46" t="str">
        <f t="array" ref="Q141">XLOOKUP($A141,'Recipients REF'!$A:$A,'Recipients REF'!I:I,"",0)</f>
        <v>KMC5825 ATPFPV0142</v>
      </c>
      <c r="R141" s="47" t="str">
        <f t="array" ref="R141">XLOOKUP($A141,'Recipients REF'!$A:$A,'Recipients REF'!J:J,"",0)</f>
        <v>PTS 100068</v>
      </c>
      <c r="S141" s="45" t="s">
        <v>27</v>
      </c>
      <c r="T141" s="45" t="s">
        <v>28</v>
      </c>
      <c r="U141" s="46" t="str">
        <f t="array" ref="U141">XLOOKUP($A141,'Recipients REF'!$A:$A,'Recipients REF'!K:K,"",0)</f>
        <v>R-SERIES 061 PH</v>
      </c>
      <c r="V141" s="44" t="s">
        <v>29</v>
      </c>
      <c r="W141" s="45" t="s">
        <v>30</v>
      </c>
      <c r="X141" s="47" t="str">
        <f t="array" ref="X141">XLOOKUP($A141,'Recipients REF'!$A:$A,'Recipients REF'!L:L,"",0)</f>
        <v>LSGW1750 2312058</v>
      </c>
      <c r="Y141" s="48" t="s">
        <v>29</v>
      </c>
      <c r="Z141" s="48" t="s">
        <v>31</v>
      </c>
      <c r="AA141" s="46" t="str">
        <f t="array" ref="AA141">XLOOKUP($A141,'Recipients REF'!$A:$A,'Recipients REF'!M:M,"",0)</f>
        <v>WDP40 RMP 2312101</v>
      </c>
      <c r="AB141" s="49"/>
      <c r="AC141" s="42"/>
      <c r="AD141" s="42"/>
      <c r="AE141" s="50"/>
      <c r="AF141" s="42"/>
      <c r="AG141" s="42"/>
      <c r="AH141" s="42"/>
      <c r="AI141" s="42">
        <f t="array" ref="AI141">XLOOKUP($E141,Sheet11!$D:$D,Sheet11!$X:$X,"",0)</f>
        <v>869066060237824</v>
      </c>
      <c r="AJ141" s="42">
        <f t="array" ref="AJ141">XLOOKUP($E141,Sheet11!$D:$D,Sheet11!$Y:$Y,"",0)</f>
        <v>9086768499</v>
      </c>
    </row>
    <row r="142">
      <c r="A142" s="41">
        <v>152.0</v>
      </c>
      <c r="B142" s="42" t="s">
        <v>298</v>
      </c>
      <c r="C142" s="42" t="s">
        <v>299</v>
      </c>
      <c r="D142" s="42"/>
      <c r="E142" s="42" t="str">
        <f t="shared" ref="E142:F142" si="143">PROPER(B142)</f>
        <v>Saranay Farmers Association</v>
      </c>
      <c r="F142" s="42" t="str">
        <f t="shared" si="143"/>
        <v>Mabini, Baggao, Cagayan</v>
      </c>
      <c r="G142" s="42" t="str">
        <f t="shared" si="3"/>
        <v>Mabini</v>
      </c>
      <c r="H142" s="42" t="str">
        <f t="shared" si="4"/>
        <v>Baggao</v>
      </c>
      <c r="I142" s="42" t="str">
        <f t="shared" si="5"/>
        <v>Cagayan</v>
      </c>
      <c r="J142" s="42" t="str">
        <f t="array" ref="J142">XLOOKUP($E142,'Recipients REF'!$B:$B,'Recipients REF'!D:D,"",0)</f>
        <v>Alexander B. Cesar</v>
      </c>
      <c r="K142" s="42">
        <f t="array" ref="K142">XLOOKUP($E142,'Recipients REF'!$B:$B,'Recipients REF'!E:E,"",0)</f>
        <v>9972112810</v>
      </c>
      <c r="L142" s="43" t="str">
        <f t="array" ref="L142">XLOOKUP($A142,'Recipients REF'!$A:$A,'Recipients REF'!F:F,"",0)</f>
        <v>RCEF 23-09-21 Rebidding</v>
      </c>
      <c r="M142" s="43">
        <f t="array" ref="M142">XLOOKUP($A142,'Recipients REF'!$A:$A,'Recipients REF'!G:G,"",0)</f>
        <v>9</v>
      </c>
      <c r="N142" s="43">
        <f t="array" ref="N142">XLOOKUP($A142,'Recipients REF'!$A:$A,'Recipients REF'!H:H,"",0)</f>
        <v>17968</v>
      </c>
      <c r="O142" s="44" t="s">
        <v>25</v>
      </c>
      <c r="P142" s="45" t="s">
        <v>26</v>
      </c>
      <c r="Q142" s="46" t="str">
        <f t="array" ref="Q142">XLOOKUP($A142,'Recipients REF'!$A:$A,'Recipients REF'!I:I,"",0)</f>
        <v>KMC5825 AAPFPVO134</v>
      </c>
      <c r="R142" s="47" t="str">
        <f t="array" ref="R142">XLOOKUP($A142,'Recipients REF'!$A:$A,'Recipients REF'!J:J,"",0)</f>
        <v>PTS100041</v>
      </c>
      <c r="S142" s="45" t="s">
        <v>27</v>
      </c>
      <c r="T142" s="45" t="s">
        <v>28</v>
      </c>
      <c r="U142" s="46" t="str">
        <f t="array" ref="U142">XLOOKUP($A142,'Recipients REF'!$A:$A,'Recipients REF'!K:K,"",0)</f>
        <v>R-SERIES 022 PH</v>
      </c>
      <c r="V142" s="44" t="s">
        <v>29</v>
      </c>
      <c r="W142" s="45" t="s">
        <v>30</v>
      </c>
      <c r="X142" s="47" t="str">
        <f t="array" ref="X142">XLOOKUP($A142,'Recipients REF'!$A:$A,'Recipients REF'!L:L,"",0)</f>
        <v>LSGW1750 2312053</v>
      </c>
      <c r="Y142" s="48" t="s">
        <v>29</v>
      </c>
      <c r="Z142" s="48" t="s">
        <v>31</v>
      </c>
      <c r="AA142" s="46" t="str">
        <f t="array" ref="AA142">XLOOKUP($A142,'Recipients REF'!$A:$A,'Recipients REF'!M:M,"",0)</f>
        <v>WDP40 RMP 2312105</v>
      </c>
      <c r="AB142" s="49"/>
      <c r="AC142" s="42"/>
      <c r="AD142" s="42"/>
      <c r="AE142" s="50"/>
      <c r="AF142" s="42"/>
      <c r="AG142" s="42"/>
      <c r="AH142" s="42"/>
      <c r="AI142" s="42">
        <f t="array" ref="AI142">XLOOKUP($E142,Sheet11!$D:$D,Sheet11!$X:$X,"",0)</f>
        <v>869066060245355</v>
      </c>
      <c r="AJ142" s="42">
        <f t="array" ref="AJ142">XLOOKUP($E142,Sheet11!$D:$D,Sheet11!$Y:$Y,"",0)</f>
        <v>9084513576</v>
      </c>
    </row>
    <row r="143">
      <c r="A143" s="41">
        <v>153.0</v>
      </c>
      <c r="B143" s="42" t="s">
        <v>300</v>
      </c>
      <c r="C143" s="42" t="s">
        <v>301</v>
      </c>
      <c r="D143" s="42"/>
      <c r="E143" s="42" t="str">
        <f t="shared" ref="E143:F143" si="144">PROPER(B143)</f>
        <v>Capatag Farmers Irrigation Association Inc.</v>
      </c>
      <c r="F143" s="42" t="str">
        <f t="shared" si="144"/>
        <v>Nabaccayan, Gattaran, Cagayan</v>
      </c>
      <c r="G143" s="42" t="str">
        <f t="shared" si="3"/>
        <v>Nabaccayan</v>
      </c>
      <c r="H143" s="42" t="str">
        <f t="shared" si="4"/>
        <v>Gattaran</v>
      </c>
      <c r="I143" s="42" t="str">
        <f t="shared" si="5"/>
        <v>Cagayan</v>
      </c>
      <c r="J143" s="42" t="str">
        <f t="array" ref="J143">XLOOKUP($E143,'Recipients REF'!$B:$B,'Recipients REF'!D:D,"",0)</f>
        <v>Silverio P. Miguel</v>
      </c>
      <c r="K143" s="42">
        <f t="array" ref="K143">XLOOKUP($E143,'Recipients REF'!$B:$B,'Recipients REF'!E:E,"",0)</f>
        <v>9354126762</v>
      </c>
      <c r="L143" s="43" t="str">
        <f t="array" ref="L143">XLOOKUP($A143,'Recipients REF'!$A:$A,'Recipients REF'!F:F,"",0)</f>
        <v>RCEF 23-09-21 Rebidding</v>
      </c>
      <c r="M143" s="43">
        <f t="array" ref="M143">XLOOKUP($A143,'Recipients REF'!$A:$A,'Recipients REF'!G:G,"",0)</f>
        <v>9</v>
      </c>
      <c r="N143" s="43">
        <f t="array" ref="N143">XLOOKUP($A143,'Recipients REF'!$A:$A,'Recipients REF'!H:H,"",0)</f>
        <v>17969</v>
      </c>
      <c r="O143" s="44" t="s">
        <v>25</v>
      </c>
      <c r="P143" s="45" t="s">
        <v>26</v>
      </c>
      <c r="Q143" s="46" t="str">
        <f t="array" ref="Q143">XLOOKUP($A143,'Recipients REF'!$A:$A,'Recipients REF'!I:I,"",0)</f>
        <v>KMC5825 ALRFPVOO8</v>
      </c>
      <c r="R143" s="47" t="str">
        <f t="array" ref="R143">XLOOKUP($A143,'Recipients REF'!$A:$A,'Recipients REF'!J:J,"",0)</f>
        <v>PTS 100287</v>
      </c>
      <c r="S143" s="45" t="s">
        <v>27</v>
      </c>
      <c r="T143" s="45" t="s">
        <v>28</v>
      </c>
      <c r="U143" s="46" t="str">
        <f t="array" ref="U143">XLOOKUP($A143,'Recipients REF'!$A:$A,'Recipients REF'!K:K,"",0)</f>
        <v>R-SERIES 002 PH</v>
      </c>
      <c r="V143" s="44" t="s">
        <v>29</v>
      </c>
      <c r="W143" s="45" t="s">
        <v>30</v>
      </c>
      <c r="X143" s="47" t="str">
        <f t="array" ref="X143">XLOOKUP($A143,'Recipients REF'!$A:$A,'Recipients REF'!L:L,"",0)</f>
        <v>LSGW1750 2312088</v>
      </c>
      <c r="Y143" s="48" t="s">
        <v>29</v>
      </c>
      <c r="Z143" s="48" t="s">
        <v>31</v>
      </c>
      <c r="AA143" s="46" t="str">
        <f t="array" ref="AA143">XLOOKUP($A143,'Recipients REF'!$A:$A,'Recipients REF'!M:M,"",0)</f>
        <v>WDP40 RMP 2312131</v>
      </c>
      <c r="AB143" s="49"/>
      <c r="AC143" s="42"/>
      <c r="AD143" s="42"/>
      <c r="AE143" s="50"/>
      <c r="AF143" s="42"/>
      <c r="AG143" s="42"/>
      <c r="AH143" s="42"/>
      <c r="AI143" s="42">
        <f t="array" ref="AI143">XLOOKUP($E143,Sheet11!$D:$D,Sheet11!$X:$X,"",0)</f>
        <v>869066060237162</v>
      </c>
      <c r="AJ143" s="42">
        <f t="array" ref="AJ143">XLOOKUP($E143,Sheet11!$D:$D,Sheet11!$Y:$Y,"",0)</f>
        <v>9086425373</v>
      </c>
    </row>
    <row r="144">
      <c r="A144" s="41">
        <v>154.0</v>
      </c>
      <c r="B144" s="42" t="s">
        <v>302</v>
      </c>
      <c r="C144" s="42" t="s">
        <v>303</v>
      </c>
      <c r="D144" s="42"/>
      <c r="E144" s="42" t="str">
        <f t="shared" ref="E144:F144" si="145">PROPER(B144)</f>
        <v>Sarusar Ti San Pedro Farmers Irrigators Association</v>
      </c>
      <c r="F144" s="42" t="str">
        <f t="shared" si="145"/>
        <v>Pateng, Gonzaga, Cagayan</v>
      </c>
      <c r="G144" s="42" t="str">
        <f t="shared" si="3"/>
        <v>Pateng</v>
      </c>
      <c r="H144" s="42" t="str">
        <f t="shared" si="4"/>
        <v>Gonzaga</v>
      </c>
      <c r="I144" s="42" t="str">
        <f t="shared" si="5"/>
        <v>Cagayan</v>
      </c>
      <c r="J144" s="42" t="str">
        <f t="array" ref="J144">XLOOKUP($E144,'Recipients REF'!$B:$B,'Recipients REF'!D:D,"",0)</f>
        <v>#N/A</v>
      </c>
      <c r="K144" s="42" t="str">
        <f t="array" ref="K144">XLOOKUP($E144,'Recipients REF'!$B:$B,'Recipients REF'!E:E,"",0)</f>
        <v>#N/A</v>
      </c>
      <c r="L144" s="43" t="str">
        <f t="array" ref="L144">XLOOKUP($A144,'Recipients REF'!$A:$A,'Recipients REF'!F:F,"",0)</f>
        <v>RCEF 23-09-21 Rebidding</v>
      </c>
      <c r="M144" s="43">
        <f t="array" ref="M144">XLOOKUP($A144,'Recipients REF'!$A:$A,'Recipients REF'!G:G,"",0)</f>
        <v>9</v>
      </c>
      <c r="N144" s="43">
        <f t="array" ref="N144">XLOOKUP($A144,'Recipients REF'!$A:$A,'Recipients REF'!H:H,"",0)</f>
        <v>17970</v>
      </c>
      <c r="O144" s="44" t="s">
        <v>25</v>
      </c>
      <c r="P144" s="45" t="s">
        <v>26</v>
      </c>
      <c r="Q144" s="46" t="str">
        <f t="array" ref="Q144">XLOOKUP($A144,'Recipients REF'!$A:$A,'Recipients REF'!I:I,"",0)</f>
        <v>KMC5825 AJRFPV0634</v>
      </c>
      <c r="R144" s="47" t="str">
        <f t="array" ref="R144">XLOOKUP($A144,'Recipients REF'!$A:$A,'Recipients REF'!J:J,"",0)</f>
        <v>RTS 100172</v>
      </c>
      <c r="S144" s="45" t="s">
        <v>27</v>
      </c>
      <c r="T144" s="45" t="s">
        <v>28</v>
      </c>
      <c r="U144" s="46" t="str">
        <f t="array" ref="U144">XLOOKUP($A144,'Recipients REF'!$A:$A,'Recipients REF'!K:K,"",0)</f>
        <v>RSERIES 861 PH</v>
      </c>
      <c r="V144" s="44" t="s">
        <v>29</v>
      </c>
      <c r="W144" s="45" t="s">
        <v>30</v>
      </c>
      <c r="X144" s="47" t="str">
        <f t="array" ref="X144">XLOOKUP($A144,'Recipients REF'!$A:$A,'Recipients REF'!L:L,"",0)</f>
        <v>LSGW1750 RMP 24020539</v>
      </c>
      <c r="Y144" s="48" t="s">
        <v>29</v>
      </c>
      <c r="Z144" s="48" t="s">
        <v>31</v>
      </c>
      <c r="AA144" s="46" t="str">
        <f t="array" ref="AA144">XLOOKUP($A144,'Recipients REF'!$A:$A,'Recipients REF'!M:M,"",0)</f>
        <v>WDP 40 RMP 240505555</v>
      </c>
      <c r="AB144" s="49"/>
      <c r="AC144" s="42"/>
      <c r="AD144" s="42"/>
      <c r="AE144" s="50"/>
      <c r="AF144" s="42"/>
      <c r="AG144" s="42"/>
      <c r="AH144" s="42"/>
      <c r="AI144" s="42" t="str">
        <f t="array" ref="AI144">XLOOKUP($E144,Sheet11!$D:$D,Sheet11!$X:$X,"",0)</f>
        <v/>
      </c>
      <c r="AJ144" s="42" t="str">
        <f t="array" ref="AJ144">XLOOKUP($E144,Sheet11!$D:$D,Sheet11!$Y:$Y,"",0)</f>
        <v/>
      </c>
    </row>
    <row r="145">
      <c r="A145" s="41">
        <v>155.0</v>
      </c>
      <c r="B145" s="42" t="s">
        <v>304</v>
      </c>
      <c r="C145" s="42" t="s">
        <v>305</v>
      </c>
      <c r="D145" s="42"/>
      <c r="E145" s="42" t="str">
        <f t="shared" ref="E145:F145" si="146">PROPER(B145)</f>
        <v>Naguilian Irrigators' Association, Inc.</v>
      </c>
      <c r="F145" s="42" t="str">
        <f t="shared" si="146"/>
        <v>Naguilian, Lal-Lo, Cagayan</v>
      </c>
      <c r="G145" s="42" t="str">
        <f t="shared" si="3"/>
        <v>Naguilian</v>
      </c>
      <c r="H145" s="42" t="str">
        <f t="shared" si="4"/>
        <v>Lal-Lo</v>
      </c>
      <c r="I145" s="42" t="str">
        <f t="shared" si="5"/>
        <v>Cagayan</v>
      </c>
      <c r="J145" s="42" t="str">
        <f t="array" ref="J145">XLOOKUP($E145,'Recipients REF'!$B:$B,'Recipients REF'!D:D,"",0)</f>
        <v>Dario I. Costales</v>
      </c>
      <c r="K145" s="42">
        <f t="array" ref="K145">XLOOKUP($E145,'Recipients REF'!$B:$B,'Recipients REF'!E:E,"",0)</f>
        <v>9655815697</v>
      </c>
      <c r="L145" s="43" t="str">
        <f t="array" ref="L145">XLOOKUP($A145,'Recipients REF'!$A:$A,'Recipients REF'!F:F,"",0)</f>
        <v>RCEF 23-09-21 Rebidding</v>
      </c>
      <c r="M145" s="43">
        <f t="array" ref="M145">XLOOKUP($A145,'Recipients REF'!$A:$A,'Recipients REF'!G:G,"",0)</f>
        <v>9</v>
      </c>
      <c r="N145" s="43">
        <f t="array" ref="N145">XLOOKUP($A145,'Recipients REF'!$A:$A,'Recipients REF'!H:H,"",0)</f>
        <v>17971</v>
      </c>
      <c r="O145" s="44" t="s">
        <v>25</v>
      </c>
      <c r="P145" s="45" t="s">
        <v>26</v>
      </c>
      <c r="Q145" s="46" t="str">
        <f t="array" ref="Q145">XLOOKUP($A145,'Recipients REF'!$A:$A,'Recipients REF'!I:I,"",0)</f>
        <v>KMC5825 ACPFPV0101</v>
      </c>
      <c r="R145" s="47" t="str">
        <f t="array" ref="R145">XLOOKUP($A145,'Recipients REF'!$A:$A,'Recipients REF'!J:J,"",0)</f>
        <v>PTS 100154</v>
      </c>
      <c r="S145" s="45" t="s">
        <v>27</v>
      </c>
      <c r="T145" s="45" t="s">
        <v>28</v>
      </c>
      <c r="U145" s="46" t="str">
        <f t="array" ref="U145">XLOOKUP($A145,'Recipients REF'!$A:$A,'Recipients REF'!K:K,"",0)</f>
        <v>R-SERIES 006 PH</v>
      </c>
      <c r="V145" s="44" t="s">
        <v>29</v>
      </c>
      <c r="W145" s="45" t="s">
        <v>30</v>
      </c>
      <c r="X145" s="47" t="str">
        <f t="array" ref="X145">XLOOKUP($A145,'Recipients REF'!$A:$A,'Recipients REF'!L:L,"",0)</f>
        <v>LSGW1750 2312085</v>
      </c>
      <c r="Y145" s="48" t="s">
        <v>29</v>
      </c>
      <c r="Z145" s="48" t="s">
        <v>31</v>
      </c>
      <c r="AA145" s="46" t="str">
        <f t="array" ref="AA145">XLOOKUP($A145,'Recipients REF'!$A:$A,'Recipients REF'!M:M,"",0)</f>
        <v>WDP40 RMP 2312109</v>
      </c>
      <c r="AB145" s="49"/>
      <c r="AC145" s="42"/>
      <c r="AD145" s="42"/>
      <c r="AE145" s="50"/>
      <c r="AF145" s="42"/>
      <c r="AG145" s="42"/>
      <c r="AH145" s="42"/>
      <c r="AI145" s="42">
        <f t="array" ref="AI145">XLOOKUP($E145,Sheet11!$D:$D,Sheet11!$X:$X,"",0)</f>
        <v>869066060240091</v>
      </c>
      <c r="AJ145" s="42">
        <f t="array" ref="AJ145">XLOOKUP($E145,Sheet11!$D:$D,Sheet11!$Y:$Y,"",0)</f>
        <v>9087442367</v>
      </c>
    </row>
    <row r="146">
      <c r="A146" s="41">
        <v>156.0</v>
      </c>
      <c r="B146" s="42" t="s">
        <v>306</v>
      </c>
      <c r="C146" s="42" t="s">
        <v>307</v>
      </c>
      <c r="D146" s="42"/>
      <c r="E146" s="42" t="str">
        <f t="shared" ref="E146:F146" si="147">PROPER(B146)</f>
        <v>Dilian Santa Ana Farmers Irrigators Association, Inc.</v>
      </c>
      <c r="F146" s="42" t="str">
        <f t="shared" si="147"/>
        <v>, Santa Ana, Cagayan</v>
      </c>
      <c r="G146" s="42" t="str">
        <f t="shared" si="3"/>
        <v/>
      </c>
      <c r="H146" s="42" t="str">
        <f t="shared" si="4"/>
        <v>Santa Ana</v>
      </c>
      <c r="I146" s="42" t="str">
        <f t="shared" si="5"/>
        <v>Cagayan</v>
      </c>
      <c r="J146" s="42" t="str">
        <f t="array" ref="J146">XLOOKUP($E146,'Recipients REF'!$B:$B,'Recipients REF'!D:D,"",0)</f>
        <v>Faustino P. Tabilisima Jr.</v>
      </c>
      <c r="K146" s="42">
        <f t="array" ref="K146">XLOOKUP($E146,'Recipients REF'!$B:$B,'Recipients REF'!E:E,"",0)</f>
        <v>9359764336</v>
      </c>
      <c r="L146" s="43" t="str">
        <f t="array" ref="L146">XLOOKUP($A146,'Recipients REF'!$A:$A,'Recipients REF'!F:F,"",0)</f>
        <v>RCEF 23-09-21 Rebidding</v>
      </c>
      <c r="M146" s="43">
        <f t="array" ref="M146">XLOOKUP($A146,'Recipients REF'!$A:$A,'Recipients REF'!G:G,"",0)</f>
        <v>9</v>
      </c>
      <c r="N146" s="43">
        <f t="array" ref="N146">XLOOKUP($A146,'Recipients REF'!$A:$A,'Recipients REF'!H:H,"",0)</f>
        <v>17972</v>
      </c>
      <c r="O146" s="44" t="s">
        <v>25</v>
      </c>
      <c r="P146" s="45" t="s">
        <v>26</v>
      </c>
      <c r="Q146" s="46" t="str">
        <f t="array" ref="Q146">XLOOKUP($A146,'Recipients REF'!$A:$A,'Recipients REF'!I:I,"",0)</f>
        <v>KMC5825 AERFPV0625</v>
      </c>
      <c r="R146" s="47" t="str">
        <f t="array" ref="R146">XLOOKUP($A146,'Recipients REF'!$A:$A,'Recipients REF'!J:J,"",0)</f>
        <v>RTS 100288</v>
      </c>
      <c r="S146" s="45" t="s">
        <v>27</v>
      </c>
      <c r="T146" s="45" t="s">
        <v>28</v>
      </c>
      <c r="U146" s="46" t="str">
        <f t="array" ref="U146">XLOOKUP($A146,'Recipients REF'!$A:$A,'Recipients REF'!K:K,"",0)</f>
        <v>RSERIES 860 PH</v>
      </c>
      <c r="V146" s="44" t="s">
        <v>29</v>
      </c>
      <c r="W146" s="45" t="s">
        <v>30</v>
      </c>
      <c r="X146" s="47" t="str">
        <f t="array" ref="X146">XLOOKUP($A146,'Recipients REF'!$A:$A,'Recipients REF'!L:L,"",0)</f>
        <v>LSGW1750 RMP 24010124</v>
      </c>
      <c r="Y146" s="48" t="s">
        <v>29</v>
      </c>
      <c r="Z146" s="48" t="s">
        <v>31</v>
      </c>
      <c r="AA146" s="46" t="str">
        <f t="array" ref="AA146">XLOOKUP($A146,'Recipients REF'!$A:$A,'Recipients REF'!M:M,"",0)</f>
        <v>WDP 40 RMP24030345</v>
      </c>
      <c r="AB146" s="49"/>
      <c r="AC146" s="42"/>
      <c r="AD146" s="42"/>
      <c r="AE146" s="50"/>
      <c r="AF146" s="42"/>
      <c r="AG146" s="42"/>
      <c r="AH146" s="42"/>
      <c r="AI146" s="42" t="str">
        <f t="array" ref="AI146">XLOOKUP($E146,Sheet11!$D:$D,Sheet11!$X:$X,"",0)</f>
        <v/>
      </c>
      <c r="AJ146" s="42" t="str">
        <f t="array" ref="AJ146">XLOOKUP($E146,Sheet11!$D:$D,Sheet11!$Y:$Y,"",0)</f>
        <v/>
      </c>
    </row>
    <row r="147">
      <c r="A147" s="41">
        <v>157.0</v>
      </c>
      <c r="B147" s="42" t="s">
        <v>308</v>
      </c>
      <c r="C147" s="42" t="s">
        <v>309</v>
      </c>
      <c r="D147" s="42"/>
      <c r="E147" s="42" t="str">
        <f t="shared" ref="E147:F147" si="148">PROPER(B147)</f>
        <v>Sto. Tomas Farmers' And Fisherfolks Association</v>
      </c>
      <c r="F147" s="42" t="str">
        <f t="shared" si="148"/>
        <v>Santo Tomas, Abulug, Cagayan</v>
      </c>
      <c r="G147" s="42" t="str">
        <f t="shared" si="3"/>
        <v>Santo Tomas</v>
      </c>
      <c r="H147" s="42" t="str">
        <f t="shared" si="4"/>
        <v>Abulug</v>
      </c>
      <c r="I147" s="42" t="str">
        <f t="shared" si="5"/>
        <v>Cagayan</v>
      </c>
      <c r="J147" s="42" t="str">
        <f t="array" ref="J147">XLOOKUP($E147,'Recipients REF'!$B:$B,'Recipients REF'!D:D,"",0)</f>
        <v>Jose A. Aquisay Sr.</v>
      </c>
      <c r="K147" s="42" t="str">
        <f t="array" ref="K147">XLOOKUP($E147,'Recipients REF'!$B:$B,'Recipients REF'!E:E,"",0)</f>
        <v>09774491996/ 09350356511</v>
      </c>
      <c r="L147" s="43" t="str">
        <f t="array" ref="L147">XLOOKUP($A147,'Recipients REF'!$A:$A,'Recipients REF'!F:F,"",0)</f>
        <v>RCEF 23-09-21 Rebidding</v>
      </c>
      <c r="M147" s="43">
        <f t="array" ref="M147">XLOOKUP($A147,'Recipients REF'!$A:$A,'Recipients REF'!G:G,"",0)</f>
        <v>9</v>
      </c>
      <c r="N147" s="43">
        <f t="array" ref="N147">XLOOKUP($A147,'Recipients REF'!$A:$A,'Recipients REF'!H:H,"",0)</f>
        <v>17973</v>
      </c>
      <c r="O147" s="44" t="s">
        <v>25</v>
      </c>
      <c r="P147" s="45" t="s">
        <v>26</v>
      </c>
      <c r="Q147" s="46" t="str">
        <f t="array" ref="Q147">XLOOKUP($A147,'Recipients REF'!$A:$A,'Recipients REF'!I:I,"",0)</f>
        <v>KMC5825 APRFPV0016</v>
      </c>
      <c r="R147" s="47" t="str">
        <f t="array" ref="R147">XLOOKUP($A147,'Recipients REF'!$A:$A,'Recipients REF'!J:J,"",0)</f>
        <v>PTS 100270</v>
      </c>
      <c r="S147" s="45" t="s">
        <v>27</v>
      </c>
      <c r="T147" s="45" t="s">
        <v>28</v>
      </c>
      <c r="U147" s="46" t="str">
        <f t="array" ref="U147">XLOOKUP($A147,'Recipients REF'!$A:$A,'Recipients REF'!K:K,"",0)</f>
        <v>R-SERIES 021 PH</v>
      </c>
      <c r="V147" s="44" t="s">
        <v>29</v>
      </c>
      <c r="W147" s="45" t="s">
        <v>30</v>
      </c>
      <c r="X147" s="47" t="str">
        <f t="array" ref="X147">XLOOKUP($A147,'Recipients REF'!$A:$A,'Recipients REF'!L:L,"",0)</f>
        <v>LSGW1750 2312071</v>
      </c>
      <c r="Y147" s="48" t="s">
        <v>29</v>
      </c>
      <c r="Z147" s="48" t="s">
        <v>31</v>
      </c>
      <c r="AA147" s="46" t="str">
        <f t="array" ref="AA147">XLOOKUP($A147,'Recipients REF'!$A:$A,'Recipients REF'!M:M,"",0)</f>
        <v>WDP40 RMP 2312116</v>
      </c>
      <c r="AB147" s="49"/>
      <c r="AC147" s="42"/>
      <c r="AD147" s="42"/>
      <c r="AE147" s="50"/>
      <c r="AF147" s="42"/>
      <c r="AG147" s="42"/>
      <c r="AH147" s="42"/>
      <c r="AI147" s="42">
        <f t="array" ref="AI147">XLOOKUP($E147,Sheet11!$D:$D,Sheet11!$X:$X,"",0)</f>
        <v>869066060237733</v>
      </c>
      <c r="AJ147" s="42">
        <f t="array" ref="AJ147">XLOOKUP($E147,Sheet11!$D:$D,Sheet11!$Y:$Y,"",0)</f>
        <v>9087406769</v>
      </c>
    </row>
    <row r="148">
      <c r="A148" s="41">
        <v>158.0</v>
      </c>
      <c r="B148" s="42" t="s">
        <v>310</v>
      </c>
      <c r="C148" s="42" t="s">
        <v>311</v>
      </c>
      <c r="D148" s="42"/>
      <c r="E148" s="42" t="str">
        <f t="shared" ref="E148:F148" si="149">PROPER(B148)</f>
        <v>Tayak Agri-Fishery Producers Association</v>
      </c>
      <c r="F148" s="42" t="str">
        <f t="shared" si="149"/>
        <v>Siguiran, Abulug, Cagayan</v>
      </c>
      <c r="G148" s="42" t="str">
        <f t="shared" si="3"/>
        <v>Siguiran</v>
      </c>
      <c r="H148" s="42" t="str">
        <f t="shared" si="4"/>
        <v>Abulug</v>
      </c>
      <c r="I148" s="42" t="str">
        <f t="shared" si="5"/>
        <v>Cagayan</v>
      </c>
      <c r="J148" s="42" t="str">
        <f t="array" ref="J148">XLOOKUP($E148,'Recipients REF'!$B:$B,'Recipients REF'!D:D,"",0)</f>
        <v>Christoffer B. Bayani</v>
      </c>
      <c r="K148" s="42">
        <f t="array" ref="K148">XLOOKUP($E148,'Recipients REF'!$B:$B,'Recipients REF'!E:E,"",0)</f>
        <v>9273062333</v>
      </c>
      <c r="L148" s="43" t="str">
        <f t="array" ref="L148">XLOOKUP($A148,'Recipients REF'!$A:$A,'Recipients REF'!F:F,"",0)</f>
        <v>RCEF 23-09-21 Rebidding</v>
      </c>
      <c r="M148" s="43">
        <f t="array" ref="M148">XLOOKUP($A148,'Recipients REF'!$A:$A,'Recipients REF'!G:G,"",0)</f>
        <v>9</v>
      </c>
      <c r="N148" s="43">
        <f t="array" ref="N148">XLOOKUP($A148,'Recipients REF'!$A:$A,'Recipients REF'!H:H,"",0)</f>
        <v>17974</v>
      </c>
      <c r="O148" s="44" t="s">
        <v>25</v>
      </c>
      <c r="P148" s="45" t="s">
        <v>26</v>
      </c>
      <c r="Q148" s="46" t="str">
        <f t="array" ref="Q148">XLOOKUP($A148,'Recipients REF'!$A:$A,'Recipients REF'!I:I,"",0)</f>
        <v>KMC5825 AJPFPV0047</v>
      </c>
      <c r="R148" s="47" t="str">
        <f t="array" ref="R148">XLOOKUP($A148,'Recipients REF'!$A:$A,'Recipients REF'!J:J,"",0)</f>
        <v>PTS 100132</v>
      </c>
      <c r="S148" s="45" t="s">
        <v>27</v>
      </c>
      <c r="T148" s="45" t="s">
        <v>28</v>
      </c>
      <c r="U148" s="46" t="str">
        <f t="array" ref="U148">XLOOKUP($A148,'Recipients REF'!$A:$A,'Recipients REF'!K:K,"",0)</f>
        <v>R-SERIES 057 PH</v>
      </c>
      <c r="V148" s="44" t="s">
        <v>29</v>
      </c>
      <c r="W148" s="45" t="s">
        <v>30</v>
      </c>
      <c r="X148" s="47" t="str">
        <f t="array" ref="X148">XLOOKUP($A148,'Recipients REF'!$A:$A,'Recipients REF'!L:L,"",0)</f>
        <v>LSGW1750 2312160</v>
      </c>
      <c r="Y148" s="48" t="s">
        <v>29</v>
      </c>
      <c r="Z148" s="48" t="s">
        <v>31</v>
      </c>
      <c r="AA148" s="46" t="str">
        <f t="array" ref="AA148">XLOOKUP($A148,'Recipients REF'!$A:$A,'Recipients REF'!M:M,"",0)</f>
        <v>WDP40 RMP 2312112</v>
      </c>
      <c r="AB148" s="49"/>
      <c r="AC148" s="42"/>
      <c r="AD148" s="42"/>
      <c r="AE148" s="50"/>
      <c r="AF148" s="42"/>
      <c r="AG148" s="42"/>
      <c r="AH148" s="42"/>
      <c r="AI148" s="42">
        <f t="array" ref="AI148">XLOOKUP($E148,Sheet11!$D:$D,Sheet11!$X:$X,"",0)</f>
        <v>869066060236628</v>
      </c>
      <c r="AJ148" s="42">
        <f t="array" ref="AJ148">XLOOKUP($E148,Sheet11!$D:$D,Sheet11!$Y:$Y,"",0)</f>
        <v>9086768490</v>
      </c>
    </row>
    <row r="149">
      <c r="A149" s="41">
        <v>159.0</v>
      </c>
      <c r="B149" s="42" t="s">
        <v>312</v>
      </c>
      <c r="C149" s="42" t="s">
        <v>313</v>
      </c>
      <c r="D149" s="42"/>
      <c r="E149" s="42" t="str">
        <f t="shared" ref="E149:F149" si="150">PROPER(B149)</f>
        <v>Tamboli Farmers Association</v>
      </c>
      <c r="F149" s="42" t="str">
        <f t="shared" si="150"/>
        <v>Tamboli, Allacapan, Cagayan</v>
      </c>
      <c r="G149" s="42" t="str">
        <f t="shared" si="3"/>
        <v>Tamboli</v>
      </c>
      <c r="H149" s="42" t="str">
        <f t="shared" si="4"/>
        <v>Allacapan</v>
      </c>
      <c r="I149" s="42" t="str">
        <f t="shared" si="5"/>
        <v>Cagayan</v>
      </c>
      <c r="J149" s="42" t="str">
        <f t="array" ref="J149">XLOOKUP($E149,'Recipients REF'!$B:$B,'Recipients REF'!D:D,"",0)</f>
        <v>Patrocinio R. Cortez</v>
      </c>
      <c r="K149" s="42" t="str">
        <f t="array" ref="K149">XLOOKUP($E149,'Recipients REF'!$B:$B,'Recipients REF'!E:E,"",0)</f>
        <v>0927-312-9829</v>
      </c>
      <c r="L149" s="43" t="str">
        <f t="array" ref="L149">XLOOKUP($A149,'Recipients REF'!$A:$A,'Recipients REF'!F:F,"",0)</f>
        <v>RCEF 23-09-21 Rebidding</v>
      </c>
      <c r="M149" s="43">
        <f t="array" ref="M149">XLOOKUP($A149,'Recipients REF'!$A:$A,'Recipients REF'!G:G,"",0)</f>
        <v>9</v>
      </c>
      <c r="N149" s="43">
        <f t="array" ref="N149">XLOOKUP($A149,'Recipients REF'!$A:$A,'Recipients REF'!H:H,"",0)</f>
        <v>17975</v>
      </c>
      <c r="O149" s="44" t="s">
        <v>25</v>
      </c>
      <c r="P149" s="45" t="s">
        <v>26</v>
      </c>
      <c r="Q149" s="46" t="str">
        <f t="array" ref="Q149">XLOOKUP($A149,'Recipients REF'!$A:$A,'Recipients REF'!I:I,"",0)</f>
        <v>KMC5825 ACRFPV0005</v>
      </c>
      <c r="R149" s="47" t="str">
        <f t="array" ref="R149">XLOOKUP($A149,'Recipients REF'!$A:$A,'Recipients REF'!J:J,"",0)</f>
        <v>PTS 100297</v>
      </c>
      <c r="S149" s="45" t="s">
        <v>27</v>
      </c>
      <c r="T149" s="45" t="s">
        <v>28</v>
      </c>
      <c r="U149" s="46" t="str">
        <f t="array" ref="U149">XLOOKUP($A149,'Recipients REF'!$A:$A,'Recipients REF'!K:K,"",0)</f>
        <v>R-SERIES 015 PH</v>
      </c>
      <c r="V149" s="44" t="s">
        <v>29</v>
      </c>
      <c r="W149" s="45" t="s">
        <v>30</v>
      </c>
      <c r="X149" s="47" t="str">
        <f t="array" ref="X149">XLOOKUP($A149,'Recipients REF'!$A:$A,'Recipients REF'!L:L,"",0)</f>
        <v>LSGW1750 2312144</v>
      </c>
      <c r="Y149" s="48" t="s">
        <v>29</v>
      </c>
      <c r="Z149" s="48" t="s">
        <v>31</v>
      </c>
      <c r="AA149" s="46" t="str">
        <f t="array" ref="AA149">XLOOKUP($A149,'Recipients REF'!$A:$A,'Recipients REF'!M:M,"",0)</f>
        <v>WDP40 RMP 2312103</v>
      </c>
      <c r="AB149" s="49"/>
      <c r="AC149" s="42"/>
      <c r="AD149" s="42"/>
      <c r="AE149" s="50"/>
      <c r="AF149" s="42"/>
      <c r="AG149" s="42"/>
      <c r="AH149" s="42"/>
      <c r="AI149" s="42">
        <f t="array" ref="AI149">XLOOKUP($E149,Sheet11!$D:$D,Sheet11!$X:$X,"",0)</f>
        <v>869066060236677</v>
      </c>
      <c r="AJ149" s="42">
        <f t="array" ref="AJ149">XLOOKUP($E149,Sheet11!$D:$D,Sheet11!$Y:$Y,"",0)</f>
        <v>9083392231</v>
      </c>
    </row>
    <row r="150">
      <c r="A150" s="41">
        <v>160.0</v>
      </c>
      <c r="B150" s="42" t="s">
        <v>314</v>
      </c>
      <c r="C150" s="42" t="s">
        <v>315</v>
      </c>
      <c r="D150" s="42"/>
      <c r="E150" s="42" t="str">
        <f t="shared" ref="E150:F150" si="151">PROPER(B150)</f>
        <v>Nararagan Cabayu San Juan Valley Irrigators Association, Inc.</v>
      </c>
      <c r="F150" s="42" t="str">
        <f t="shared" si="151"/>
        <v>Cabayu, Ballesteros, Cagayan</v>
      </c>
      <c r="G150" s="42" t="str">
        <f t="shared" si="3"/>
        <v>Cabayu</v>
      </c>
      <c r="H150" s="42" t="str">
        <f t="shared" si="4"/>
        <v>Ballesteros</v>
      </c>
      <c r="I150" s="42" t="str">
        <f t="shared" si="5"/>
        <v>Cagayan</v>
      </c>
      <c r="J150" s="42" t="str">
        <f t="array" ref="J150">XLOOKUP($E150,'Recipients REF'!$B:$B,'Recipients REF'!D:D,"",0)</f>
        <v>Manuel F. Ralleca</v>
      </c>
      <c r="K150" s="42">
        <f t="array" ref="K150">XLOOKUP($E150,'Recipients REF'!$B:$B,'Recipients REF'!E:E,"",0)</f>
        <v>9264881045</v>
      </c>
      <c r="L150" s="43" t="str">
        <f t="array" ref="L150">XLOOKUP($A150,'Recipients REF'!$A:$A,'Recipients REF'!F:F,"",0)</f>
        <v>RCEF 23-09-21 Rebidding</v>
      </c>
      <c r="M150" s="43">
        <f t="array" ref="M150">XLOOKUP($A150,'Recipients REF'!$A:$A,'Recipients REF'!G:G,"",0)</f>
        <v>9</v>
      </c>
      <c r="N150" s="43">
        <f t="array" ref="N150">XLOOKUP($A150,'Recipients REF'!$A:$A,'Recipients REF'!H:H,"",0)</f>
        <v>17976</v>
      </c>
      <c r="O150" s="44" t="s">
        <v>25</v>
      </c>
      <c r="P150" s="45" t="s">
        <v>26</v>
      </c>
      <c r="Q150" s="46" t="str">
        <f t="array" ref="Q150">XLOOKUP($A150,'Recipients REF'!$A:$A,'Recipients REF'!I:I,"",0)</f>
        <v>KMC5825 ACRFPV0014</v>
      </c>
      <c r="R150" s="47" t="str">
        <f t="array" ref="R150">XLOOKUP($A150,'Recipients REF'!$A:$A,'Recipients REF'!J:J,"",0)</f>
        <v>PTS 100283</v>
      </c>
      <c r="S150" s="45" t="s">
        <v>27</v>
      </c>
      <c r="T150" s="45" t="s">
        <v>28</v>
      </c>
      <c r="U150" s="46" t="str">
        <f t="array" ref="U150">XLOOKUP($A150,'Recipients REF'!$A:$A,'Recipients REF'!K:K,"",0)</f>
        <v>R-SERIES 148 PH</v>
      </c>
      <c r="V150" s="44" t="s">
        <v>29</v>
      </c>
      <c r="W150" s="45" t="s">
        <v>30</v>
      </c>
      <c r="X150" s="47" t="str">
        <f t="array" ref="X150">XLOOKUP($A150,'Recipients REF'!$A:$A,'Recipients REF'!L:L,"",0)</f>
        <v>LSGW1750 2312050</v>
      </c>
      <c r="Y150" s="48" t="s">
        <v>29</v>
      </c>
      <c r="Z150" s="48" t="s">
        <v>31</v>
      </c>
      <c r="AA150" s="46" t="str">
        <f t="array" ref="AA150">XLOOKUP($A150,'Recipients REF'!$A:$A,'Recipients REF'!M:M,"",0)</f>
        <v>WDP40 RMP 2312075</v>
      </c>
      <c r="AB150" s="49"/>
      <c r="AC150" s="42"/>
      <c r="AD150" s="42"/>
      <c r="AE150" s="50"/>
      <c r="AF150" s="42"/>
      <c r="AG150" s="42"/>
      <c r="AH150" s="42"/>
      <c r="AI150" s="42">
        <f t="array" ref="AI150">XLOOKUP($E150,Sheet11!$D:$D,Sheet11!$X:$X,"",0)</f>
        <v>869066060240109</v>
      </c>
      <c r="AJ150" s="42">
        <f t="array" ref="AJ150">XLOOKUP($E150,Sheet11!$D:$D,Sheet11!$Y:$Y,"",0)</f>
        <v>9087601379</v>
      </c>
    </row>
    <row r="151">
      <c r="A151" s="41">
        <v>161.0</v>
      </c>
      <c r="B151" s="42" t="s">
        <v>316</v>
      </c>
      <c r="C151" s="42" t="s">
        <v>317</v>
      </c>
      <c r="D151" s="42"/>
      <c r="E151" s="42" t="str">
        <f t="shared" ref="E151:F151" si="152">PROPER(B151)</f>
        <v>Zanjera Dagoc-Sto. Tomas Farmers Association, Inc.</v>
      </c>
      <c r="F151" s="42" t="str">
        <f t="shared" si="152"/>
        <v>Santo Tomas, Claveria, Cagayan</v>
      </c>
      <c r="G151" s="42" t="str">
        <f t="shared" si="3"/>
        <v>Santo Tomas</v>
      </c>
      <c r="H151" s="42" t="str">
        <f t="shared" si="4"/>
        <v>Claveria</v>
      </c>
      <c r="I151" s="42" t="str">
        <f t="shared" si="5"/>
        <v>Cagayan</v>
      </c>
      <c r="J151" s="42" t="str">
        <f t="array" ref="J151">XLOOKUP($E151,'Recipients REF'!$B:$B,'Recipients REF'!D:D,"",0)</f>
        <v>Roderick A. Agustin</v>
      </c>
      <c r="K151" s="42">
        <f t="array" ref="K151">XLOOKUP($E151,'Recipients REF'!$B:$B,'Recipients REF'!E:E,"",0)</f>
        <v>9232710227</v>
      </c>
      <c r="L151" s="43" t="str">
        <f t="array" ref="L151">XLOOKUP($A151,'Recipients REF'!$A:$A,'Recipients REF'!F:F,"",0)</f>
        <v>RCEF 23-09-21 Rebidding</v>
      </c>
      <c r="M151" s="43">
        <f t="array" ref="M151">XLOOKUP($A151,'Recipients REF'!$A:$A,'Recipients REF'!G:G,"",0)</f>
        <v>9</v>
      </c>
      <c r="N151" s="43">
        <f t="array" ref="N151">XLOOKUP($A151,'Recipients REF'!$A:$A,'Recipients REF'!H:H,"",0)</f>
        <v>17977</v>
      </c>
      <c r="O151" s="44" t="s">
        <v>25</v>
      </c>
      <c r="P151" s="45" t="s">
        <v>26</v>
      </c>
      <c r="Q151" s="46" t="str">
        <f t="array" ref="Q151">XLOOKUP($A151,'Recipients REF'!$A:$A,'Recipients REF'!I:I,"",0)</f>
        <v>KMC5825 ACPFPV0088</v>
      </c>
      <c r="R151" s="47" t="str">
        <f t="array" ref="R151">XLOOKUP($A151,'Recipients REF'!$A:$A,'Recipients REF'!J:J,"",0)</f>
        <v>PTS 003 PH</v>
      </c>
      <c r="S151" s="45" t="s">
        <v>27</v>
      </c>
      <c r="T151" s="45" t="s">
        <v>28</v>
      </c>
      <c r="U151" s="46" t="str">
        <f t="array" ref="U151">XLOOKUP($A151,'Recipients REF'!$A:$A,'Recipients REF'!K:K,"",0)</f>
        <v>R-SERIES 003 PH</v>
      </c>
      <c r="V151" s="44" t="s">
        <v>29</v>
      </c>
      <c r="W151" s="45" t="s">
        <v>30</v>
      </c>
      <c r="X151" s="47" t="str">
        <f t="array" ref="X151">XLOOKUP($A151,'Recipients REF'!$A:$A,'Recipients REF'!L:L,"",0)</f>
        <v>LSGW1750 2312167</v>
      </c>
      <c r="Y151" s="48" t="s">
        <v>29</v>
      </c>
      <c r="Z151" s="48" t="s">
        <v>31</v>
      </c>
      <c r="AA151" s="46" t="str">
        <f t="array" ref="AA151">XLOOKUP($A151,'Recipients REF'!$A:$A,'Recipients REF'!M:M,"",0)</f>
        <v>WDP40 RMP 2312089</v>
      </c>
      <c r="AB151" s="49"/>
      <c r="AC151" s="42"/>
      <c r="AD151" s="42"/>
      <c r="AE151" s="50"/>
      <c r="AF151" s="42"/>
      <c r="AG151" s="42"/>
      <c r="AH151" s="42"/>
      <c r="AI151" s="42">
        <f t="array" ref="AI151">XLOOKUP($E151,Sheet11!$D:$D,Sheet11!$X:$X,"",0)</f>
        <v>869066060245348</v>
      </c>
      <c r="AJ151" s="42">
        <f t="array" ref="AJ151">XLOOKUP($E151,Sheet11!$D:$D,Sheet11!$Y:$Y,"",0)</f>
        <v>9087391599</v>
      </c>
    </row>
    <row r="152">
      <c r="A152" s="41">
        <v>162.0</v>
      </c>
      <c r="B152" s="42" t="s">
        <v>318</v>
      </c>
      <c r="C152" s="42" t="s">
        <v>319</v>
      </c>
      <c r="D152" s="42"/>
      <c r="E152" s="42" t="str">
        <f t="shared" ref="E152:F152" si="153">PROPER(B152)</f>
        <v>Panagkaykaysa Ti Mannalon Ti Viga Agriculture Cooperative (Pmvac)</v>
      </c>
      <c r="F152" s="42" t="str">
        <f t="shared" si="153"/>
        <v>Viga, Lasam, Cagayan</v>
      </c>
      <c r="G152" s="42" t="str">
        <f t="shared" si="3"/>
        <v>Viga</v>
      </c>
      <c r="H152" s="42" t="str">
        <f t="shared" si="4"/>
        <v>Lasam</v>
      </c>
      <c r="I152" s="42" t="str">
        <f t="shared" si="5"/>
        <v>Cagayan</v>
      </c>
      <c r="J152" s="42" t="str">
        <f t="array" ref="J152">XLOOKUP($E152,'Recipients REF'!$B:$B,'Recipients REF'!D:D,"",0)</f>
        <v>Rodolfo P. Mariñas</v>
      </c>
      <c r="K152" s="42">
        <f t="array" ref="K152">XLOOKUP($E152,'Recipients REF'!$B:$B,'Recipients REF'!E:E,"",0)</f>
        <v>9355519837</v>
      </c>
      <c r="L152" s="43" t="str">
        <f t="array" ref="L152">XLOOKUP($A152,'Recipients REF'!$A:$A,'Recipients REF'!F:F,"",0)</f>
        <v>RCEF 23-09-21 Rebidding</v>
      </c>
      <c r="M152" s="43">
        <f t="array" ref="M152">XLOOKUP($A152,'Recipients REF'!$A:$A,'Recipients REF'!G:G,"",0)</f>
        <v>9</v>
      </c>
      <c r="N152" s="43">
        <f t="array" ref="N152">XLOOKUP($A152,'Recipients REF'!$A:$A,'Recipients REF'!H:H,"",0)</f>
        <v>17978</v>
      </c>
      <c r="O152" s="44" t="s">
        <v>25</v>
      </c>
      <c r="P152" s="45" t="s">
        <v>26</v>
      </c>
      <c r="Q152" s="46" t="str">
        <f t="array" ref="Q152">XLOOKUP($A152,'Recipients REF'!$A:$A,'Recipients REF'!I:I,"",0)</f>
        <v>KMC5825 AJPFPV0050</v>
      </c>
      <c r="R152" s="47" t="str">
        <f t="array" ref="R152">XLOOKUP($A152,'Recipients REF'!$A:$A,'Recipients REF'!J:J,"",0)</f>
        <v>PTS100063</v>
      </c>
      <c r="S152" s="45" t="s">
        <v>27</v>
      </c>
      <c r="T152" s="45" t="s">
        <v>28</v>
      </c>
      <c r="U152" s="46" t="str">
        <f t="array" ref="U152">XLOOKUP($A152,'Recipients REF'!$A:$A,'Recipients REF'!K:K,"",0)</f>
        <v>R-SERIES 044 PH</v>
      </c>
      <c r="V152" s="44" t="s">
        <v>29</v>
      </c>
      <c r="W152" s="45" t="s">
        <v>30</v>
      </c>
      <c r="X152" s="47" t="str">
        <f t="array" ref="X152">XLOOKUP($A152,'Recipients REF'!$A:$A,'Recipients REF'!L:L,"",0)</f>
        <v>LSGW1750 2312141</v>
      </c>
      <c r="Y152" s="48" t="s">
        <v>29</v>
      </c>
      <c r="Z152" s="48" t="s">
        <v>31</v>
      </c>
      <c r="AA152" s="46" t="str">
        <f t="array" ref="AA152">XLOOKUP($A152,'Recipients REF'!$A:$A,'Recipients REF'!M:M,"",0)</f>
        <v>WDP40 RMP 2312097</v>
      </c>
      <c r="AB152" s="49"/>
      <c r="AC152" s="42"/>
      <c r="AD152" s="42"/>
      <c r="AE152" s="50"/>
      <c r="AF152" s="42"/>
      <c r="AG152" s="42"/>
      <c r="AH152" s="42"/>
      <c r="AI152" s="42">
        <f t="array" ref="AI152">XLOOKUP($E152,Sheet11!$D:$D,Sheet11!$X:$X,"",0)</f>
        <v>869066060245314</v>
      </c>
      <c r="AJ152" s="42">
        <f t="array" ref="AJ152">XLOOKUP($E152,Sheet11!$D:$D,Sheet11!$Y:$Y,"",0)</f>
        <v>9086857290</v>
      </c>
    </row>
    <row r="153">
      <c r="A153" s="41">
        <v>163.0</v>
      </c>
      <c r="B153" s="42" t="s">
        <v>320</v>
      </c>
      <c r="C153" s="42" t="s">
        <v>321</v>
      </c>
      <c r="D153" s="42"/>
      <c r="E153" s="42" t="str">
        <f t="shared" ref="E153:F153" si="154">PROPER(B153)</f>
        <v>Taricusto Farmers Irrigators' Association Inc.</v>
      </c>
      <c r="F153" s="42" t="str">
        <f t="shared" si="154"/>
        <v>Taribubu, Tuao, Cagayan</v>
      </c>
      <c r="G153" s="42" t="str">
        <f t="shared" si="3"/>
        <v>Taribubu</v>
      </c>
      <c r="H153" s="42" t="str">
        <f t="shared" si="4"/>
        <v>Tuao</v>
      </c>
      <c r="I153" s="42" t="str">
        <f t="shared" si="5"/>
        <v>Cagayan</v>
      </c>
      <c r="J153" s="42" t="str">
        <f t="array" ref="J153">XLOOKUP($E153,'Recipients REF'!$B:$B,'Recipients REF'!D:D,"",0)</f>
        <v>Fernando L Del Monte</v>
      </c>
      <c r="K153" s="42">
        <f t="array" ref="K153">XLOOKUP($E153,'Recipients REF'!$B:$B,'Recipients REF'!E:E,"",0)</f>
        <v>9978832047</v>
      </c>
      <c r="L153" s="43" t="str">
        <f t="array" ref="L153">XLOOKUP($A153,'Recipients REF'!$A:$A,'Recipients REF'!F:F,"",0)</f>
        <v>RCEF 23-09-21 Rebidding</v>
      </c>
      <c r="M153" s="43">
        <f t="array" ref="M153">XLOOKUP($A153,'Recipients REF'!$A:$A,'Recipients REF'!G:G,"",0)</f>
        <v>9</v>
      </c>
      <c r="N153" s="43">
        <f t="array" ref="N153">XLOOKUP($A153,'Recipients REF'!$A:$A,'Recipients REF'!H:H,"",0)</f>
        <v>17979</v>
      </c>
      <c r="O153" s="44" t="s">
        <v>25</v>
      </c>
      <c r="P153" s="45" t="s">
        <v>26</v>
      </c>
      <c r="Q153" s="46" t="str">
        <f t="array" ref="Q153">XLOOKUP($A153,'Recipients REF'!$A:$A,'Recipients REF'!I:I,"",0)</f>
        <v>KMC5825 ACPFPV0155</v>
      </c>
      <c r="R153" s="47" t="str">
        <f t="array" ref="R153">XLOOKUP($A153,'Recipients REF'!$A:$A,'Recipients REF'!J:J,"",0)</f>
        <v>PTS100112</v>
      </c>
      <c r="S153" s="45" t="s">
        <v>27</v>
      </c>
      <c r="T153" s="45" t="s">
        <v>28</v>
      </c>
      <c r="U153" s="46" t="str">
        <f t="array" ref="U153">XLOOKUP($A153,'Recipients REF'!$A:$A,'Recipients REF'!K:K,"",0)</f>
        <v>R-SERIES 010 PH</v>
      </c>
      <c r="V153" s="44" t="s">
        <v>29</v>
      </c>
      <c r="W153" s="45" t="s">
        <v>30</v>
      </c>
      <c r="X153" s="47" t="str">
        <f t="array" ref="X153">XLOOKUP($A153,'Recipients REF'!$A:$A,'Recipients REF'!L:L,"",0)</f>
        <v>LSGW1750 2312137</v>
      </c>
      <c r="Y153" s="48" t="s">
        <v>29</v>
      </c>
      <c r="Z153" s="48" t="s">
        <v>31</v>
      </c>
      <c r="AA153" s="46" t="str">
        <f t="array" ref="AA153">XLOOKUP($A153,'Recipients REF'!$A:$A,'Recipients REF'!M:M,"",0)</f>
        <v>WDP40 RMP 2312110</v>
      </c>
      <c r="AB153" s="49"/>
      <c r="AC153" s="42"/>
      <c r="AD153" s="42"/>
      <c r="AE153" s="50"/>
      <c r="AF153" s="42"/>
      <c r="AG153" s="42"/>
      <c r="AH153" s="42"/>
      <c r="AI153" s="42">
        <f t="array" ref="AI153">XLOOKUP($E153,Sheet11!$D:$D,Sheet11!$X:$X,"",0)</f>
        <v>869066060237956</v>
      </c>
      <c r="AJ153" s="42">
        <f t="array" ref="AJ153">XLOOKUP($E153,Sheet11!$D:$D,Sheet11!$Y:$Y,"",0)</f>
        <v>9083789203</v>
      </c>
    </row>
    <row r="154">
      <c r="A154" s="41">
        <v>164.0</v>
      </c>
      <c r="B154" s="42" t="s">
        <v>322</v>
      </c>
      <c r="C154" s="42" t="s">
        <v>323</v>
      </c>
      <c r="D154" s="42"/>
      <c r="E154" s="42" t="str">
        <f t="shared" ref="E154:F154" si="155">PROPER(B154)</f>
        <v>Southern Bugueyagrarian Reform Beneficiary Cooperative</v>
      </c>
      <c r="F154" s="42" t="str">
        <f t="shared" si="155"/>
        <v>Santa Isabel, Buguey, Cagayan</v>
      </c>
      <c r="G154" s="42" t="str">
        <f t="shared" si="3"/>
        <v>Santa Isabel</v>
      </c>
      <c r="H154" s="42" t="str">
        <f t="shared" si="4"/>
        <v>Buguey</v>
      </c>
      <c r="I154" s="42" t="str">
        <f t="shared" si="5"/>
        <v>Cagayan</v>
      </c>
      <c r="J154" s="42" t="str">
        <f t="array" ref="J154">XLOOKUP($E154,'Recipients REF'!$B:$B,'Recipients REF'!D:D,"",0)</f>
        <v>Geromino B.Fontiveros</v>
      </c>
      <c r="K154" s="42">
        <f t="array" ref="K154">XLOOKUP($E154,'Recipients REF'!$B:$B,'Recipients REF'!E:E,"",0)</f>
        <v>9363713303</v>
      </c>
      <c r="L154" s="43" t="str">
        <f t="array" ref="L154">XLOOKUP($A154,'Recipients REF'!$A:$A,'Recipients REF'!F:F,"",0)</f>
        <v>RCEF 23-09-21 Rebidding</v>
      </c>
      <c r="M154" s="43">
        <f t="array" ref="M154">XLOOKUP($A154,'Recipients REF'!$A:$A,'Recipients REF'!G:G,"",0)</f>
        <v>1</v>
      </c>
      <c r="N154" s="43">
        <f t="array" ref="N154">XLOOKUP($A154,'Recipients REF'!$A:$A,'Recipients REF'!H:H,"",0)</f>
        <v>17980</v>
      </c>
      <c r="O154" s="44" t="s">
        <v>25</v>
      </c>
      <c r="P154" s="45" t="s">
        <v>26</v>
      </c>
      <c r="Q154" s="46" t="str">
        <f t="array" ref="Q154">XLOOKUP($A154,'Recipients REF'!$A:$A,'Recipients REF'!I:I,"",0)</f>
        <v>KMC5825 AHRFPV0625</v>
      </c>
      <c r="R154" s="47" t="str">
        <f t="array" ref="R154">XLOOKUP($A154,'Recipients REF'!$A:$A,'Recipients REF'!J:J,"",0)</f>
        <v>RTS100524</v>
      </c>
      <c r="S154" s="45" t="s">
        <v>27</v>
      </c>
      <c r="T154" s="45" t="s">
        <v>28</v>
      </c>
      <c r="U154" s="46" t="str">
        <f t="array" ref="U154">XLOOKUP($A154,'Recipients REF'!$A:$A,'Recipients REF'!K:K,"",0)</f>
        <v>WR-SERIES 872 PH</v>
      </c>
      <c r="V154" s="44" t="s">
        <v>29</v>
      </c>
      <c r="W154" s="45" t="s">
        <v>30</v>
      </c>
      <c r="X154" s="47" t="str">
        <f t="array" ref="X154">XLOOKUP($A154,'Recipients REF'!$A:$A,'Recipients REF'!L:L,"",0)</f>
        <v>LSGW1750 RMP 24020526</v>
      </c>
      <c r="Y154" s="48" t="s">
        <v>29</v>
      </c>
      <c r="Z154" s="48" t="s">
        <v>31</v>
      </c>
      <c r="AA154" s="46" t="str">
        <f t="array" ref="AA154">XLOOKUP($A154,'Recipients REF'!$A:$A,'Recipients REF'!M:M,"",0)</f>
        <v>WDP40 RMP 24050571</v>
      </c>
      <c r="AB154" s="49"/>
      <c r="AC154" s="42"/>
      <c r="AD154" s="42"/>
      <c r="AE154" s="50"/>
      <c r="AF154" s="42"/>
      <c r="AG154" s="42"/>
      <c r="AH154" s="42"/>
      <c r="AI154" s="42" t="str">
        <f t="array" ref="AI154">XLOOKUP($E154,Sheet11!$D:$D,Sheet11!$X:$X,"",0)</f>
        <v/>
      </c>
      <c r="AJ154" s="42" t="str">
        <f t="array" ref="AJ154">XLOOKUP($E154,Sheet11!$D:$D,Sheet11!$Y:$Y,"",0)</f>
        <v/>
      </c>
    </row>
    <row r="155">
      <c r="A155" s="41">
        <v>165.0</v>
      </c>
      <c r="B155" s="42" t="s">
        <v>324</v>
      </c>
      <c r="C155" s="42" t="s">
        <v>325</v>
      </c>
      <c r="D155" s="42"/>
      <c r="E155" s="42" t="str">
        <f t="shared" ref="E155:F155" si="156">PROPER(B155)</f>
        <v>Bessang Small Water Impounding System Association (Beswisa)</v>
      </c>
      <c r="F155" s="42" t="str">
        <f t="shared" si="156"/>
        <v>Bessang, Allacapan, Cagayan</v>
      </c>
      <c r="G155" s="42" t="str">
        <f t="shared" si="3"/>
        <v>Bessang</v>
      </c>
      <c r="H155" s="42" t="str">
        <f t="shared" si="4"/>
        <v>Allacapan</v>
      </c>
      <c r="I155" s="42" t="str">
        <f t="shared" si="5"/>
        <v>Cagayan</v>
      </c>
      <c r="J155" s="42" t="str">
        <f t="array" ref="J155">XLOOKUP($E155,'Recipients REF'!$B:$B,'Recipients REF'!D:D,"",0)</f>
        <v>Maximo T. Vicerra</v>
      </c>
      <c r="K155" s="42">
        <f t="array" ref="K155">XLOOKUP($E155,'Recipients REF'!$B:$B,'Recipients REF'!E:E,"",0)</f>
        <v>9178227233</v>
      </c>
      <c r="L155" s="43" t="str">
        <f t="array" ref="L155">XLOOKUP($A155,'Recipients REF'!$A:$A,'Recipients REF'!F:F,"",0)</f>
        <v>RCEF 23-09-21 Rebidding</v>
      </c>
      <c r="M155" s="43">
        <f t="array" ref="M155">XLOOKUP($A155,'Recipients REF'!$A:$A,'Recipients REF'!G:G,"",0)</f>
        <v>1</v>
      </c>
      <c r="N155" s="43">
        <f t="array" ref="N155">XLOOKUP($A155,'Recipients REF'!$A:$A,'Recipients REF'!H:H,"",0)</f>
        <v>17981</v>
      </c>
      <c r="O155" s="44" t="s">
        <v>25</v>
      </c>
      <c r="P155" s="45" t="s">
        <v>26</v>
      </c>
      <c r="Q155" s="46" t="str">
        <f t="array" ref="Q155">XLOOKUP($A155,'Recipients REF'!$A:$A,'Recipients REF'!I:I,"",0)</f>
        <v>KMC5825 AHRFPV0009</v>
      </c>
      <c r="R155" s="47" t="str">
        <f t="array" ref="R155">XLOOKUP($A155,'Recipients REF'!$A:$A,'Recipients REF'!J:J,"",0)</f>
        <v>PTS 100231</v>
      </c>
      <c r="S155" s="45" t="s">
        <v>27</v>
      </c>
      <c r="T155" s="45" t="s">
        <v>28</v>
      </c>
      <c r="U155" s="46" t="str">
        <f t="array" ref="U155">XLOOKUP($A155,'Recipients REF'!$A:$A,'Recipients REF'!K:K,"",0)</f>
        <v>R-SERIES 003 PH</v>
      </c>
      <c r="V155" s="44" t="s">
        <v>29</v>
      </c>
      <c r="W155" s="45" t="s">
        <v>30</v>
      </c>
      <c r="X155" s="47" t="str">
        <f t="array" ref="X155">XLOOKUP($A155,'Recipients REF'!$A:$A,'Recipients REF'!L:L,"",0)</f>
        <v>LSGW1750 2312075</v>
      </c>
      <c r="Y155" s="48" t="s">
        <v>29</v>
      </c>
      <c r="Z155" s="48" t="s">
        <v>31</v>
      </c>
      <c r="AA155" s="46" t="str">
        <f t="array" ref="AA155">XLOOKUP($A155,'Recipients REF'!$A:$A,'Recipients REF'!M:M,"",0)</f>
        <v>WDP40 RMP 2312115</v>
      </c>
      <c r="AB155" s="49"/>
      <c r="AC155" s="42"/>
      <c r="AD155" s="42"/>
      <c r="AE155" s="50"/>
      <c r="AF155" s="42"/>
      <c r="AG155" s="42"/>
      <c r="AH155" s="42"/>
      <c r="AI155" s="42">
        <f t="array" ref="AI155">XLOOKUP($E155,Sheet11!$D:$D,Sheet11!$X:$X,"",0)</f>
        <v>869066060237832</v>
      </c>
      <c r="AJ155" s="42" t="str">
        <f t="array" ref="AJ155">XLOOKUP($E155,Sheet11!$D:$D,Sheet11!$Y:$Y,"",0)</f>
        <v>03232500006122658</v>
      </c>
    </row>
    <row r="156">
      <c r="A156" s="41">
        <v>166.0</v>
      </c>
      <c r="B156" s="42" t="s">
        <v>326</v>
      </c>
      <c r="C156" s="42" t="s">
        <v>327</v>
      </c>
      <c r="D156" s="42"/>
      <c r="E156" s="42" t="str">
        <f t="shared" ref="E156:F156" si="157">PROPER(B156)</f>
        <v>Zanjera Bilibigao Farmers Irrigators Association Inc.</v>
      </c>
      <c r="F156" s="42" t="str">
        <f t="shared" si="157"/>
        <v>Bilibigao, Claveria, Cagayan</v>
      </c>
      <c r="G156" s="42" t="str">
        <f t="shared" si="3"/>
        <v>Bilibigao</v>
      </c>
      <c r="H156" s="42" t="str">
        <f t="shared" si="4"/>
        <v>Claveria</v>
      </c>
      <c r="I156" s="42" t="str">
        <f t="shared" si="5"/>
        <v>Cagayan</v>
      </c>
      <c r="J156" s="42" t="str">
        <f t="array" ref="J156">XLOOKUP($E156,'Recipients REF'!$B:$B,'Recipients REF'!D:D,"",0)</f>
        <v>Nixon A. Alipio</v>
      </c>
      <c r="K156" s="42">
        <f t="array" ref="K156">XLOOKUP($E156,'Recipients REF'!$B:$B,'Recipients REF'!E:E,"",0)</f>
        <v>9777372618</v>
      </c>
      <c r="L156" s="43" t="str">
        <f t="array" ref="L156">XLOOKUP($A156,'Recipients REF'!$A:$A,'Recipients REF'!F:F,"",0)</f>
        <v>RCEF 23-09-21 Rebidding</v>
      </c>
      <c r="M156" s="43">
        <f t="array" ref="M156">XLOOKUP($A156,'Recipients REF'!$A:$A,'Recipients REF'!G:G,"",0)</f>
        <v>1</v>
      </c>
      <c r="N156" s="43">
        <f t="array" ref="N156">XLOOKUP($A156,'Recipients REF'!$A:$A,'Recipients REF'!H:H,"",0)</f>
        <v>17982</v>
      </c>
      <c r="O156" s="44" t="s">
        <v>25</v>
      </c>
      <c r="P156" s="45" t="s">
        <v>26</v>
      </c>
      <c r="Q156" s="46" t="str">
        <f t="array" ref="Q156">XLOOKUP($A156,'Recipients REF'!$A:$A,'Recipients REF'!I:I,"",0)</f>
        <v>KMC5825 ACPFPV0019</v>
      </c>
      <c r="R156" s="47" t="str">
        <f t="array" ref="R156">XLOOKUP($A156,'Recipients REF'!$A:$A,'Recipients REF'!J:J,"",0)</f>
        <v>PTS100165</v>
      </c>
      <c r="S156" s="45" t="s">
        <v>27</v>
      </c>
      <c r="T156" s="45" t="s">
        <v>28</v>
      </c>
      <c r="U156" s="46" t="str">
        <f t="array" ref="U156">XLOOKUP($A156,'Recipients REF'!$A:$A,'Recipients REF'!K:K,"",0)</f>
        <v>R-SERIES 012 PH</v>
      </c>
      <c r="V156" s="44" t="s">
        <v>29</v>
      </c>
      <c r="W156" s="45" t="s">
        <v>30</v>
      </c>
      <c r="X156" s="47" t="str">
        <f t="array" ref="X156">XLOOKUP($A156,'Recipients REF'!$A:$A,'Recipients REF'!L:L,"",0)</f>
        <v>LSGW1750 2312176</v>
      </c>
      <c r="Y156" s="48" t="s">
        <v>29</v>
      </c>
      <c r="Z156" s="48" t="s">
        <v>31</v>
      </c>
      <c r="AA156" s="46" t="str">
        <f t="array" ref="AA156">XLOOKUP($A156,'Recipients REF'!$A:$A,'Recipients REF'!M:M,"",0)</f>
        <v>WDP40 RMP 2312106</v>
      </c>
      <c r="AB156" s="49"/>
      <c r="AC156" s="42"/>
      <c r="AD156" s="42"/>
      <c r="AE156" s="50"/>
      <c r="AF156" s="42"/>
      <c r="AG156" s="42"/>
      <c r="AH156" s="42"/>
      <c r="AI156" s="42">
        <f t="array" ref="AI156">XLOOKUP($E156,Sheet11!$D:$D,Sheet11!$X:$X,"",0)</f>
        <v>869066060236610</v>
      </c>
      <c r="AJ156" s="42">
        <f t="array" ref="AJ156">XLOOKUP($E156,Sheet11!$D:$D,Sheet11!$Y:$Y,"",0)</f>
        <v>9086506075</v>
      </c>
    </row>
    <row r="157">
      <c r="A157" s="41">
        <v>167.0</v>
      </c>
      <c r="B157" s="42" t="s">
        <v>328</v>
      </c>
      <c r="C157" s="42" t="s">
        <v>329</v>
      </c>
      <c r="D157" s="42"/>
      <c r="E157" s="42" t="str">
        <f t="shared" ref="E157:F157" si="158">PROPER(B157)</f>
        <v>Pcsc Farmers Irrigators' Association, Inc.</v>
      </c>
      <c r="F157" s="42" t="str">
        <f t="shared" si="158"/>
        <v>Curva, Pamplona, Cagayan</v>
      </c>
      <c r="G157" s="42" t="str">
        <f t="shared" si="3"/>
        <v>Curva</v>
      </c>
      <c r="H157" s="42" t="str">
        <f t="shared" si="4"/>
        <v>Pamplona</v>
      </c>
      <c r="I157" s="42" t="str">
        <f t="shared" si="5"/>
        <v>Cagayan</v>
      </c>
      <c r="J157" s="42" t="str">
        <f t="array" ref="J157">XLOOKUP($E157,'Recipients REF'!$B:$B,'Recipients REF'!D:D,"",0)</f>
        <v>Pio I. Tabao</v>
      </c>
      <c r="K157" s="42">
        <f t="array" ref="K157">XLOOKUP($E157,'Recipients REF'!$B:$B,'Recipients REF'!E:E,"",0)</f>
        <v>9261358387</v>
      </c>
      <c r="L157" s="43" t="str">
        <f t="array" ref="L157">XLOOKUP($A157,'Recipients REF'!$A:$A,'Recipients REF'!F:F,"",0)</f>
        <v>RCEF 23-09-21 Rebidding</v>
      </c>
      <c r="M157" s="43">
        <f t="array" ref="M157">XLOOKUP($A157,'Recipients REF'!$A:$A,'Recipients REF'!G:G,"",0)</f>
        <v>1</v>
      </c>
      <c r="N157" s="43">
        <f t="array" ref="N157">XLOOKUP($A157,'Recipients REF'!$A:$A,'Recipients REF'!H:H,"",0)</f>
        <v>17983</v>
      </c>
      <c r="O157" s="44" t="s">
        <v>25</v>
      </c>
      <c r="P157" s="45" t="s">
        <v>26</v>
      </c>
      <c r="Q157" s="46" t="str">
        <f t="array" ref="Q157">XLOOKUP($A157,'Recipients REF'!$A:$A,'Recipients REF'!I:I,"",0)</f>
        <v>kmc5825AJRFPV0519</v>
      </c>
      <c r="R157" s="47" t="str">
        <f t="array" ref="R157">XLOOKUP($A157,'Recipients REF'!$A:$A,'Recipients REF'!J:J,"",0)</f>
        <v>RTS 100409</v>
      </c>
      <c r="S157" s="45" t="s">
        <v>27</v>
      </c>
      <c r="T157" s="45" t="s">
        <v>28</v>
      </c>
      <c r="U157" s="46" t="str">
        <f t="array" ref="U157">XLOOKUP($A157,'Recipients REF'!$A:$A,'Recipients REF'!K:K,"",0)</f>
        <v>WR SERIES 871 PH</v>
      </c>
      <c r="V157" s="44" t="s">
        <v>29</v>
      </c>
      <c r="W157" s="45" t="s">
        <v>30</v>
      </c>
      <c r="X157" s="47" t="str">
        <f t="array" ref="X157">XLOOKUP($A157,'Recipients REF'!$A:$A,'Recipients REF'!L:L,"",0)</f>
        <v>LSGW1750 RMP 24020530</v>
      </c>
      <c r="Y157" s="48" t="s">
        <v>29</v>
      </c>
      <c r="Z157" s="48" t="s">
        <v>31</v>
      </c>
      <c r="AA157" s="46" t="str">
        <f t="array" ref="AA157">XLOOKUP($A157,'Recipients REF'!$A:$A,'Recipients REF'!M:M,"",0)</f>
        <v>WDP40 RMP 24050568</v>
      </c>
      <c r="AB157" s="49"/>
      <c r="AC157" s="42"/>
      <c r="AD157" s="42"/>
      <c r="AE157" s="50"/>
      <c r="AF157" s="42"/>
      <c r="AG157" s="42"/>
      <c r="AH157" s="42"/>
      <c r="AI157" s="42" t="str">
        <f t="array" ref="AI157">XLOOKUP($E157,Sheet11!$D:$D,Sheet11!$X:$X,"",0)</f>
        <v/>
      </c>
      <c r="AJ157" s="42" t="str">
        <f t="array" ref="AJ157">XLOOKUP($E157,Sheet11!$D:$D,Sheet11!$Y:$Y,"",0)</f>
        <v/>
      </c>
    </row>
    <row r="158">
      <c r="A158" s="41">
        <v>168.0</v>
      </c>
      <c r="B158" s="42" t="s">
        <v>330</v>
      </c>
      <c r="C158" s="42" t="s">
        <v>331</v>
      </c>
      <c r="D158" s="42"/>
      <c r="E158" s="42" t="str">
        <f t="shared" ref="E158:F158" si="159">PROPER(B158)</f>
        <v>Pinupuk Small Water Irrigation System Association Inc.</v>
      </c>
      <c r="F158" s="42" t="str">
        <f t="shared" si="159"/>
        <v>Santiago, Iguig, Cagayan</v>
      </c>
      <c r="G158" s="42" t="str">
        <f t="shared" si="3"/>
        <v>Santiago</v>
      </c>
      <c r="H158" s="42" t="str">
        <f t="shared" si="4"/>
        <v>Iguig</v>
      </c>
      <c r="I158" s="42" t="str">
        <f t="shared" si="5"/>
        <v>Cagayan</v>
      </c>
      <c r="J158" s="42" t="str">
        <f t="array" ref="J158">XLOOKUP($E158,'Recipients REF'!$B:$B,'Recipients REF'!D:D,"",0)</f>
        <v>Maylene R.Najorra</v>
      </c>
      <c r="K158" s="42">
        <f t="array" ref="K158">XLOOKUP($E158,'Recipients REF'!$B:$B,'Recipients REF'!E:E,"",0)</f>
        <v>9169272276</v>
      </c>
      <c r="L158" s="43" t="str">
        <f t="array" ref="L158">XLOOKUP($A158,'Recipients REF'!$A:$A,'Recipients REF'!F:F,"",0)</f>
        <v>RCEF 23-09-21 Rebidding</v>
      </c>
      <c r="M158" s="43">
        <f t="array" ref="M158">XLOOKUP($A158,'Recipients REF'!$A:$A,'Recipients REF'!G:G,"",0)</f>
        <v>1</v>
      </c>
      <c r="N158" s="43">
        <f t="array" ref="N158">XLOOKUP($A158,'Recipients REF'!$A:$A,'Recipients REF'!H:H,"",0)</f>
        <v>17984</v>
      </c>
      <c r="O158" s="44" t="s">
        <v>25</v>
      </c>
      <c r="P158" s="45" t="s">
        <v>26</v>
      </c>
      <c r="Q158" s="46" t="str">
        <f t="array" ref="Q158">XLOOKUP($A158,'Recipients REF'!$A:$A,'Recipients REF'!I:I,"",0)</f>
        <v>KMC5825 ATRFPV0015</v>
      </c>
      <c r="R158" s="47" t="str">
        <f t="array" ref="R158">XLOOKUP($A158,'Recipients REF'!$A:$A,'Recipients REF'!J:J,"",0)</f>
        <v>PTS 100288</v>
      </c>
      <c r="S158" s="45" t="s">
        <v>27</v>
      </c>
      <c r="T158" s="45" t="s">
        <v>28</v>
      </c>
      <c r="U158" s="46" t="str">
        <f t="array" ref="U158">XLOOKUP($A158,'Recipients REF'!$A:$A,'Recipients REF'!K:K,"",0)</f>
        <v>R-SERIES 039 PH</v>
      </c>
      <c r="V158" s="44" t="s">
        <v>29</v>
      </c>
      <c r="W158" s="45" t="s">
        <v>30</v>
      </c>
      <c r="X158" s="47" t="str">
        <f t="array" ref="X158">XLOOKUP($A158,'Recipients REF'!$A:$A,'Recipients REF'!L:L,"",0)</f>
        <v>LSGW1750 2312078</v>
      </c>
      <c r="Y158" s="48" t="s">
        <v>29</v>
      </c>
      <c r="Z158" s="48" t="s">
        <v>31</v>
      </c>
      <c r="AA158" s="46" t="str">
        <f t="array" ref="AA158">XLOOKUP($A158,'Recipients REF'!$A:$A,'Recipients REF'!M:M,"",0)</f>
        <v>WDP40 RMP 2312087</v>
      </c>
      <c r="AB158" s="49"/>
      <c r="AC158" s="42"/>
      <c r="AD158" s="42"/>
      <c r="AE158" s="50"/>
      <c r="AF158" s="42"/>
      <c r="AG158" s="42"/>
      <c r="AH158" s="42"/>
      <c r="AI158" s="42">
        <f t="array" ref="AI158">XLOOKUP($E158,Sheet11!$D:$D,Sheet11!$X:$X,"",0)</f>
        <v>869066060237873</v>
      </c>
      <c r="AJ158" s="42">
        <f t="array" ref="AJ158">XLOOKUP($E158,Sheet11!$D:$D,Sheet11!$Y:$Y,"",0)</f>
        <v>9083264957</v>
      </c>
    </row>
    <row r="159">
      <c r="A159" s="41">
        <v>169.0</v>
      </c>
      <c r="B159" s="42" t="s">
        <v>332</v>
      </c>
      <c r="C159" s="42" t="s">
        <v>333</v>
      </c>
      <c r="D159" s="42"/>
      <c r="E159" s="42" t="str">
        <f t="shared" ref="E159:F159" si="160">PROPER(B159)</f>
        <v>Iraga Water Pump Irrigators Association Inc. (Iwpia)</v>
      </c>
      <c r="F159" s="42" t="str">
        <f t="shared" si="160"/>
        <v>Iraga, Solana, Cagayan</v>
      </c>
      <c r="G159" s="42" t="str">
        <f t="shared" si="3"/>
        <v>Iraga</v>
      </c>
      <c r="H159" s="42" t="str">
        <f t="shared" si="4"/>
        <v>Solana</v>
      </c>
      <c r="I159" s="42" t="str">
        <f t="shared" si="5"/>
        <v>Cagayan</v>
      </c>
      <c r="J159" s="42" t="str">
        <f t="array" ref="J159">XLOOKUP($E159,'Recipients REF'!$B:$B,'Recipients REF'!D:D,"",0)</f>
        <v>Elias I. Vicente Jr.</v>
      </c>
      <c r="K159" s="42" t="str">
        <f t="array" ref="K159">XLOOKUP($E159,'Recipients REF'!$B:$B,'Recipients REF'!E:E,"",0)</f>
        <v>09656613666/ 09451886483</v>
      </c>
      <c r="L159" s="43" t="str">
        <f t="array" ref="L159">XLOOKUP($A159,'Recipients REF'!$A:$A,'Recipients REF'!F:F,"",0)</f>
        <v>RCEF 23-09-21 Rebidding</v>
      </c>
      <c r="M159" s="43">
        <f t="array" ref="M159">XLOOKUP($A159,'Recipients REF'!$A:$A,'Recipients REF'!G:G,"",0)</f>
        <v>1</v>
      </c>
      <c r="N159" s="43">
        <f t="array" ref="N159">XLOOKUP($A159,'Recipients REF'!$A:$A,'Recipients REF'!H:H,"",0)</f>
        <v>17985</v>
      </c>
      <c r="O159" s="44" t="s">
        <v>25</v>
      </c>
      <c r="P159" s="45" t="s">
        <v>26</v>
      </c>
      <c r="Q159" s="46" t="str">
        <f t="array" ref="Q159">XLOOKUP($A159,'Recipients REF'!$A:$A,'Recipients REF'!I:I,"",0)</f>
        <v>KMC5825 AKPFPV0127</v>
      </c>
      <c r="R159" s="47" t="str">
        <f t="array" ref="R159">XLOOKUP($A159,'Recipients REF'!$A:$A,'Recipients REF'!J:J,"",0)</f>
        <v>PTS100054</v>
      </c>
      <c r="S159" s="45" t="s">
        <v>27</v>
      </c>
      <c r="T159" s="45" t="s">
        <v>28</v>
      </c>
      <c r="U159" s="46" t="str">
        <f t="array" ref="U159">XLOOKUP($A159,'Recipients REF'!$A:$A,'Recipients REF'!K:K,"",0)</f>
        <v>R-SERIES 014 PH</v>
      </c>
      <c r="V159" s="44" t="s">
        <v>29</v>
      </c>
      <c r="W159" s="45" t="s">
        <v>30</v>
      </c>
      <c r="X159" s="47" t="str">
        <f t="array" ref="X159">XLOOKUP($A159,'Recipients REF'!$A:$A,'Recipients REF'!L:L,"",0)</f>
        <v>LSGW1750 2312136</v>
      </c>
      <c r="Y159" s="48" t="s">
        <v>29</v>
      </c>
      <c r="Z159" s="48" t="s">
        <v>31</v>
      </c>
      <c r="AA159" s="46" t="str">
        <f t="array" ref="AA159">XLOOKUP($A159,'Recipients REF'!$A:$A,'Recipients REF'!M:M,"",0)</f>
        <v>WDP40 RMP 2312099</v>
      </c>
      <c r="AB159" s="49"/>
      <c r="AC159" s="42"/>
      <c r="AD159" s="42"/>
      <c r="AE159" s="50"/>
      <c r="AF159" s="42"/>
      <c r="AG159" s="42"/>
      <c r="AH159" s="42"/>
      <c r="AI159" s="42">
        <f t="array" ref="AI159">XLOOKUP($E159,Sheet11!$D:$D,Sheet11!$X:$X,"",0)</f>
        <v>869066060238434</v>
      </c>
      <c r="AJ159" s="42">
        <f t="array" ref="AJ159">XLOOKUP($E159,Sheet11!$D:$D,Sheet11!$Y:$Y,"",0)</f>
        <v>9087897240</v>
      </c>
    </row>
    <row r="160">
      <c r="A160" s="41">
        <v>501.0</v>
      </c>
      <c r="B160" s="42" t="s">
        <v>334</v>
      </c>
      <c r="C160" s="42" t="s">
        <v>335</v>
      </c>
      <c r="D160" s="42"/>
      <c r="E160" s="42" t="str">
        <f t="shared" ref="E160:F160" si="161">PROPER(B160)</f>
        <v>Cfc-Solana Farmers Agriculture Cooperative</v>
      </c>
      <c r="F160" s="42" t="str">
        <f t="shared" si="161"/>
        <v>Centro Northeast (Pob.), Solana, Cagayan</v>
      </c>
      <c r="G160" s="42" t="str">
        <f t="shared" si="3"/>
        <v>Centro Northeast (Pob.)</v>
      </c>
      <c r="H160" s="42" t="str">
        <f t="shared" si="4"/>
        <v>Solana</v>
      </c>
      <c r="I160" s="42" t="str">
        <f t="shared" si="5"/>
        <v>Cagayan</v>
      </c>
      <c r="J160" s="42" t="str">
        <f t="array" ref="J160">XLOOKUP($E160,'Recipients REF'!$B:$B,'Recipients REF'!D:D,"",0)</f>
        <v>Agapito L. Malaki</v>
      </c>
      <c r="K160" s="42" t="str">
        <f t="array" ref="K160">XLOOKUP($E160,'Recipients REF'!$B:$B,'Recipients REF'!E:E,"",0)</f>
        <v>0917-566-8656</v>
      </c>
      <c r="L160" s="43" t="str">
        <f t="array" ref="L160">XLOOKUP($A160,'Recipients REF'!$A:$A,'Recipients REF'!F:F,"",0)</f>
        <v>RCEF 24-04-15</v>
      </c>
      <c r="M160" s="43">
        <f t="array" ref="M160">XLOOKUP($A160,'Recipients REF'!$A:$A,'Recipients REF'!G:G,"",0)</f>
        <v>6</v>
      </c>
      <c r="N160" s="43">
        <f t="array" ref="N160">XLOOKUP($A160,'Recipients REF'!$A:$A,'Recipients REF'!H:H,"",0)</f>
        <v>19975</v>
      </c>
      <c r="O160" s="44" t="s">
        <v>25</v>
      </c>
      <c r="P160" s="45" t="s">
        <v>26</v>
      </c>
      <c r="Q160" s="46" t="str">
        <f t="array" ref="Q160">XLOOKUP($A160,'Recipients REF'!$A:$A,'Recipients REF'!I:I,"",0)</f>
        <v>KMC5825AVRFPV0958</v>
      </c>
      <c r="R160" s="47" t="str">
        <f t="array" ref="R160">XLOOKUP($A160,'Recipients REF'!$A:$A,'Recipients REF'!J:J,"",0)</f>
        <v>RTS100691</v>
      </c>
      <c r="S160" s="45" t="s">
        <v>27</v>
      </c>
      <c r="T160" s="45" t="s">
        <v>28</v>
      </c>
      <c r="U160" s="46" t="str">
        <f t="array" ref="U160">XLOOKUP($A160,'Recipients REF'!$A:$A,'Recipients REF'!K:K,"",0)</f>
        <v>LSGW170-RMP-24100953</v>
      </c>
      <c r="V160" s="44" t="s">
        <v>29</v>
      </c>
      <c r="W160" s="45" t="s">
        <v>30</v>
      </c>
      <c r="X160" s="47" t="str">
        <f t="array" ref="X160">XLOOKUP($A160,'Recipients REF'!$A:$A,'Recipients REF'!L:L,"",0)</f>
        <v>WDP40-RMP-24121479</v>
      </c>
      <c r="Y160" s="48" t="s">
        <v>29</v>
      </c>
      <c r="Z160" s="48" t="s">
        <v>31</v>
      </c>
      <c r="AA160" s="46" t="str">
        <f t="array" ref="AA160">XLOOKUP($A160,'Recipients REF'!$A:$A,'Recipients REF'!M:M,"",0)</f>
        <v>WR-SERIES-1020PH</v>
      </c>
      <c r="AB160" s="49"/>
      <c r="AC160" s="42"/>
      <c r="AD160" s="42"/>
      <c r="AE160" s="50"/>
      <c r="AF160" s="42"/>
      <c r="AG160" s="42"/>
      <c r="AH160" s="42"/>
      <c r="AI160" s="42" t="str">
        <f t="array" ref="AI160">XLOOKUP($E160,Sheet11!$D:$D,Sheet11!$X:$X,"",0)</f>
        <v/>
      </c>
      <c r="AJ160" s="42" t="str">
        <f t="array" ref="AJ160">XLOOKUP($E160,Sheet11!$D:$D,Sheet11!$Y:$Y,"",0)</f>
        <v/>
      </c>
    </row>
    <row r="161">
      <c r="A161" s="41">
        <v>502.0</v>
      </c>
      <c r="B161" s="42" t="s">
        <v>336</v>
      </c>
      <c r="C161" s="42" t="s">
        <v>337</v>
      </c>
      <c r="D161" s="42"/>
      <c r="E161" s="42" t="str">
        <f t="shared" ref="E161:F161" si="162">PROPER(B161)</f>
        <v>Sampaguita Farmers Water Pump Irrigators Association</v>
      </c>
      <c r="F161" s="42" t="str">
        <f t="shared" si="162"/>
        <v>Sampaguita, Solana, Cagayan</v>
      </c>
      <c r="G161" s="42" t="str">
        <f t="shared" si="3"/>
        <v>Sampaguita</v>
      </c>
      <c r="H161" s="42" t="str">
        <f t="shared" si="4"/>
        <v>Solana</v>
      </c>
      <c r="I161" s="42" t="str">
        <f t="shared" si="5"/>
        <v>Cagayan</v>
      </c>
      <c r="J161" s="42" t="str">
        <f t="array" ref="J161">XLOOKUP($E161,'Recipients REF'!$B:$B,'Recipients REF'!D:D,"",0)</f>
        <v>Emerson Gerardo</v>
      </c>
      <c r="K161" s="42">
        <f t="array" ref="K161">XLOOKUP($E161,'Recipients REF'!$B:$B,'Recipients REF'!E:E,"",0)</f>
        <v>9361990540</v>
      </c>
      <c r="L161" s="43" t="str">
        <f t="array" ref="L161">XLOOKUP($A161,'Recipients REF'!$A:$A,'Recipients REF'!F:F,"",0)</f>
        <v>RCEF 24-04-15</v>
      </c>
      <c r="M161" s="43">
        <f t="array" ref="M161">XLOOKUP($A161,'Recipients REF'!$A:$A,'Recipients REF'!G:G,"",0)</f>
        <v>6</v>
      </c>
      <c r="N161" s="43">
        <f t="array" ref="N161">XLOOKUP($A161,'Recipients REF'!$A:$A,'Recipients REF'!H:H,"",0)</f>
        <v>19976</v>
      </c>
      <c r="O161" s="44" t="s">
        <v>25</v>
      </c>
      <c r="P161" s="45" t="s">
        <v>26</v>
      </c>
      <c r="Q161" s="46" t="str">
        <f t="array" ref="Q161">XLOOKUP($A161,'Recipients REF'!$A:$A,'Recipients REF'!I:I,"",0)</f>
        <v>KMC5825ACRFPV0957</v>
      </c>
      <c r="R161" s="47" t="str">
        <f t="array" ref="R161">XLOOKUP($A161,'Recipients REF'!$A:$A,'Recipients REF'!J:J,"",0)</f>
        <v>RTS100675</v>
      </c>
      <c r="S161" s="45" t="s">
        <v>27</v>
      </c>
      <c r="T161" s="45" t="s">
        <v>28</v>
      </c>
      <c r="U161" s="46" t="str">
        <f t="array" ref="U161">XLOOKUP($A161,'Recipients REF'!$A:$A,'Recipients REF'!K:K,"",0)</f>
        <v>LSGW170-RMP-24101071</v>
      </c>
      <c r="V161" s="44" t="s">
        <v>29</v>
      </c>
      <c r="W161" s="45" t="s">
        <v>30</v>
      </c>
      <c r="X161" s="47" t="str">
        <f t="array" ref="X161">XLOOKUP($A161,'Recipients REF'!$A:$A,'Recipients REF'!L:L,"",0)</f>
        <v>WDP40-RMP-24121460</v>
      </c>
      <c r="Y161" s="48" t="s">
        <v>29</v>
      </c>
      <c r="Z161" s="48" t="s">
        <v>31</v>
      </c>
      <c r="AA161" s="46" t="str">
        <f t="array" ref="AA161">XLOOKUP($A161,'Recipients REF'!$A:$A,'Recipients REF'!M:M,"",0)</f>
        <v>WR-SERIES-1108PH</v>
      </c>
      <c r="AB161" s="49"/>
      <c r="AC161" s="42"/>
      <c r="AD161" s="42"/>
      <c r="AE161" s="50"/>
      <c r="AF161" s="42"/>
      <c r="AG161" s="42"/>
      <c r="AH161" s="42"/>
      <c r="AI161" s="42" t="str">
        <f t="array" ref="AI161">XLOOKUP($E161,Sheet11!$D:$D,Sheet11!$X:$X,"",0)</f>
        <v/>
      </c>
      <c r="AJ161" s="42" t="str">
        <f t="array" ref="AJ161">XLOOKUP($E161,Sheet11!$D:$D,Sheet11!$Y:$Y,"",0)</f>
        <v/>
      </c>
    </row>
    <row r="162">
      <c r="A162" s="41">
        <v>977.0</v>
      </c>
      <c r="B162" s="42" t="s">
        <v>338</v>
      </c>
      <c r="C162" s="42" t="s">
        <v>339</v>
      </c>
      <c r="D162" s="42"/>
      <c r="E162" s="42" t="str">
        <f t="shared" ref="E162:F162" si="163">PROPER(B162)</f>
        <v>Lemu Farmers Agriculture Cooperative</v>
      </c>
      <c r="F162" s="42" t="str">
        <f t="shared" si="163"/>
        <v>Lemu Norte, Enrile, Cagayan</v>
      </c>
      <c r="G162" s="42" t="str">
        <f t="shared" si="3"/>
        <v>Lemu Norte</v>
      </c>
      <c r="H162" s="42" t="str">
        <f t="shared" si="4"/>
        <v>Enrile</v>
      </c>
      <c r="I162" s="42" t="str">
        <f t="shared" si="5"/>
        <v>Cagayan</v>
      </c>
      <c r="J162" s="42" t="str">
        <f t="array" ref="J162">XLOOKUP($E162,'Recipients REF'!$B:$B,'Recipients REF'!D:D,"",0)</f>
        <v>Jose M. Catabian</v>
      </c>
      <c r="K162" s="42" t="str">
        <f t="array" ref="K162">XLOOKUP($E162,'Recipients REF'!$B:$B,'Recipients REF'!E:E,"",0)</f>
        <v>0917-1880-383</v>
      </c>
      <c r="L162" s="43" t="str">
        <f t="array" ref="L162">XLOOKUP($A162,'Recipients REF'!$A:$A,'Recipients REF'!F:F,"",0)</f>
        <v>Repeat Order</v>
      </c>
      <c r="M162" s="43">
        <f t="array" ref="M162">XLOOKUP($A162,'Recipients REF'!$A:$A,'Recipients REF'!G:G,"",0)</f>
        <v>6</v>
      </c>
      <c r="N162" s="43">
        <f t="array" ref="N162">XLOOKUP($A162,'Recipients REF'!$A:$A,'Recipients REF'!H:H,"",0)</f>
        <v>23113</v>
      </c>
      <c r="O162" s="44" t="s">
        <v>25</v>
      </c>
      <c r="P162" s="45" t="s">
        <v>26</v>
      </c>
      <c r="Q162" s="46" t="str">
        <f t="array" ref="Q162">XLOOKUP($A162,'Recipients REF'!$A:$A,'Recipients REF'!I:I,"",0)</f>
        <v>KMC5825AJRFPV1072</v>
      </c>
      <c r="R162" s="47" t="str">
        <f t="array" ref="R162">XLOOKUP($A162,'Recipients REF'!$A:$A,'Recipients REF'!J:J,"",0)</f>
        <v>RTS100968</v>
      </c>
      <c r="S162" s="45" t="s">
        <v>27</v>
      </c>
      <c r="T162" s="45" t="s">
        <v>28</v>
      </c>
      <c r="U162" s="46" t="str">
        <f t="array" ref="U162">XLOOKUP($A162,'Recipients REF'!$A:$A,'Recipients REF'!K:K,"",0)</f>
        <v>LSGW1750-RMP-24090768</v>
      </c>
      <c r="V162" s="44" t="s">
        <v>29</v>
      </c>
      <c r="W162" s="45" t="s">
        <v>30</v>
      </c>
      <c r="X162" s="47" t="str">
        <f t="array" ref="X162">XLOOKUP($A162,'Recipients REF'!$A:$A,'Recipients REF'!L:L,"",0)</f>
        <v>WDP40-RMP-25030372</v>
      </c>
      <c r="Y162" s="48" t="s">
        <v>29</v>
      </c>
      <c r="Z162" s="48" t="s">
        <v>31</v>
      </c>
      <c r="AA162" s="46" t="str">
        <f t="array" ref="AA162">XLOOKUP($A162,'Recipients REF'!$A:$A,'Recipients REF'!M:M,"",0)</f>
        <v>WR-SERIES-1266PH</v>
      </c>
      <c r="AB162" s="49"/>
      <c r="AC162" s="42"/>
      <c r="AD162" s="42"/>
      <c r="AE162" s="50"/>
      <c r="AF162" s="42"/>
      <c r="AG162" s="42"/>
      <c r="AH162" s="42"/>
      <c r="AI162" s="42" t="str">
        <f t="array" ref="AI162">XLOOKUP($E162,Sheet11!$D:$D,Sheet11!$X:$X,"",0)</f>
        <v/>
      </c>
      <c r="AJ162" s="42" t="str">
        <f t="array" ref="AJ162">XLOOKUP($E162,Sheet11!$D:$D,Sheet11!$Y:$Y,"",0)</f>
        <v/>
      </c>
    </row>
    <row r="163">
      <c r="A163" s="41">
        <v>978.0</v>
      </c>
      <c r="B163" s="42" t="s">
        <v>340</v>
      </c>
      <c r="C163" s="42" t="s">
        <v>341</v>
      </c>
      <c r="D163" s="42"/>
      <c r="E163" s="42" t="str">
        <f t="shared" ref="E163:F163" si="164">PROPER(B163)</f>
        <v>Barakbak Agrarian Reform Beneficiaries Cooperative</v>
      </c>
      <c r="F163" s="42" t="str">
        <f t="shared" si="164"/>
        <v>Cadaanan, Solana, Cagayan</v>
      </c>
      <c r="G163" s="42" t="str">
        <f t="shared" si="3"/>
        <v>Cadaanan</v>
      </c>
      <c r="H163" s="42" t="str">
        <f t="shared" si="4"/>
        <v>Solana</v>
      </c>
      <c r="I163" s="42" t="str">
        <f t="shared" si="5"/>
        <v>Cagayan</v>
      </c>
      <c r="J163" s="42" t="str">
        <f t="array" ref="J163">XLOOKUP($E163,'Recipients REF'!$B:$B,'Recipients REF'!D:D,"",0)</f>
        <v>Elisa Ramos</v>
      </c>
      <c r="K163" s="42">
        <f t="array" ref="K163">XLOOKUP($E163,'Recipients REF'!$B:$B,'Recipients REF'!E:E,"",0)</f>
        <v>9169169552</v>
      </c>
      <c r="L163" s="43" t="str">
        <f t="array" ref="L163">XLOOKUP($A163,'Recipients REF'!$A:$A,'Recipients REF'!F:F,"",0)</f>
        <v>Repeat Order</v>
      </c>
      <c r="M163" s="43">
        <f t="array" ref="M163">XLOOKUP($A163,'Recipients REF'!$A:$A,'Recipients REF'!G:G,"",0)</f>
        <v>6</v>
      </c>
      <c r="N163" s="43">
        <f t="array" ref="N163">XLOOKUP($A163,'Recipients REF'!$A:$A,'Recipients REF'!H:H,"",0)</f>
        <v>23114</v>
      </c>
      <c r="O163" s="44" t="s">
        <v>25</v>
      </c>
      <c r="P163" s="45" t="s">
        <v>26</v>
      </c>
      <c r="Q163" s="46" t="str">
        <f t="array" ref="Q163">XLOOKUP($A163,'Recipients REF'!$A:$A,'Recipients REF'!I:I,"",0)</f>
        <v>KMC5825ALRFPV1093</v>
      </c>
      <c r="R163" s="47" t="str">
        <f t="array" ref="R163">XLOOKUP($A163,'Recipients REF'!$A:$A,'Recipients REF'!J:J,"",0)</f>
        <v>RTS100847</v>
      </c>
      <c r="S163" s="45" t="s">
        <v>27</v>
      </c>
      <c r="T163" s="45" t="s">
        <v>28</v>
      </c>
      <c r="U163" s="46" t="str">
        <f t="array" ref="U163">XLOOKUP($A163,'Recipients REF'!$A:$A,'Recipients REF'!K:K,"",0)</f>
        <v>LSGW1750-RMP-24090799</v>
      </c>
      <c r="V163" s="44" t="s">
        <v>29</v>
      </c>
      <c r="W163" s="45" t="s">
        <v>30</v>
      </c>
      <c r="X163" s="47" t="str">
        <f t="array" ref="X163">XLOOKUP($A163,'Recipients REF'!$A:$A,'Recipients REF'!L:L,"",0)</f>
        <v>WDP40-RMP-25030389</v>
      </c>
      <c r="Y163" s="48" t="s">
        <v>29</v>
      </c>
      <c r="Z163" s="48" t="s">
        <v>31</v>
      </c>
      <c r="AA163" s="46" t="str">
        <f t="array" ref="AA163">XLOOKUP($A163,'Recipients REF'!$A:$A,'Recipients REF'!M:M,"",0)</f>
        <v>WR-SERIES-1309PH</v>
      </c>
      <c r="AB163" s="49"/>
      <c r="AC163" s="42"/>
      <c r="AD163" s="42"/>
      <c r="AE163" s="50"/>
      <c r="AF163" s="42"/>
      <c r="AG163" s="42"/>
      <c r="AH163" s="42"/>
      <c r="AI163" s="42" t="str">
        <f t="array" ref="AI163">XLOOKUP($E163,Sheet11!$D:$D,Sheet11!$X:$X,"",0)</f>
        <v/>
      </c>
      <c r="AJ163" s="42" t="str">
        <f t="array" ref="AJ163">XLOOKUP($E163,Sheet11!$D:$D,Sheet11!$Y:$Y,"",0)</f>
        <v/>
      </c>
    </row>
    <row r="164">
      <c r="A164" s="41">
        <v>756.0</v>
      </c>
      <c r="B164" s="42" t="s">
        <v>342</v>
      </c>
      <c r="C164" s="42" t="s">
        <v>343</v>
      </c>
      <c r="D164" s="42"/>
      <c r="E164" s="42" t="str">
        <f t="shared" ref="E164:F164" si="165">PROPER(B164)</f>
        <v>Barangay Ubang Farmers Field School Association</v>
      </c>
      <c r="F164" s="42" t="str">
        <f t="shared" si="165"/>
        <v>Ubang, Capalonga, Camarines Norte</v>
      </c>
      <c r="G164" s="42" t="str">
        <f t="shared" si="3"/>
        <v>Ubang</v>
      </c>
      <c r="H164" s="42" t="str">
        <f t="shared" si="4"/>
        <v>Capalonga</v>
      </c>
      <c r="I164" s="42" t="str">
        <f t="shared" si="5"/>
        <v>Camarines Norte</v>
      </c>
      <c r="J164" s="42" t="str">
        <f t="array" ref="J164">XLOOKUP($E164,'Recipients REF'!$B:$B,'Recipients REF'!D:D,"",0)</f>
        <v>Godofredo D. Parale</v>
      </c>
      <c r="K164" s="42" t="str">
        <f t="array" ref="K164">XLOOKUP($E164,'Recipients REF'!$B:$B,'Recipients REF'!E:E,"",0)</f>
        <v>0953 607 5001</v>
      </c>
      <c r="L164" s="43" t="str">
        <f t="array" ref="L164">XLOOKUP($A164,'Recipients REF'!$A:$A,'Recipients REF'!F:F,"",0)</f>
        <v>RCEF 25-03-05</v>
      </c>
      <c r="M164" s="43">
        <f t="array" ref="M164">XLOOKUP($A164,'Recipients REF'!$A:$A,'Recipients REF'!G:G,"",0)</f>
        <v>6</v>
      </c>
      <c r="N164" s="43" t="str">
        <f t="array" ref="N164">XLOOKUP($A164,'Recipients REF'!$A:$A,'Recipients REF'!H:H,"",0)</f>
        <v>26588 &amp; 27861</v>
      </c>
      <c r="O164" s="44" t="s">
        <v>25</v>
      </c>
      <c r="P164" s="45" t="s">
        <v>26</v>
      </c>
      <c r="Q164" s="46" t="str">
        <f t="array" ref="Q164">XLOOKUP($A164,'Recipients REF'!$A:$A,'Recipients REF'!I:I,"",0)</f>
        <v>KMC5825 AKSFPV0217</v>
      </c>
      <c r="R164" s="53" t="str">
        <f t="array" ref="R164">XLOOKUP($A164,'Recipients REF'!$A:$A,'Recipients REF'!J:J,"",0)</f>
        <v>STS100206</v>
      </c>
      <c r="S164" s="45" t="s">
        <v>27</v>
      </c>
      <c r="T164" s="45" t="s">
        <v>28</v>
      </c>
      <c r="U164" s="46" t="str">
        <f t="array" ref="U164">XLOOKUP($A164,'Recipients REF'!$A:$A,'Recipients REF'!K:K,"",0)</f>
        <v>WR-SERIES 1464PH</v>
      </c>
      <c r="V164" s="44" t="s">
        <v>29</v>
      </c>
      <c r="W164" s="45" t="s">
        <v>30</v>
      </c>
      <c r="X164" s="53">
        <f t="array" ref="X164">XLOOKUP($A164,'Recipients REF'!$A:$A,'Recipients REF'!L:L,"",0)</f>
        <v>2510849</v>
      </c>
      <c r="Y164" s="48" t="s">
        <v>29</v>
      </c>
      <c r="Z164" s="48" t="s">
        <v>31</v>
      </c>
      <c r="AA164" s="54">
        <f t="array" ref="AA164">XLOOKUP($A164,'Recipients REF'!$A:$A,'Recipients REF'!M:M,"",0)</f>
        <v>25121386</v>
      </c>
      <c r="AB164" s="49"/>
      <c r="AC164" s="42"/>
      <c r="AD164" s="42"/>
      <c r="AE164" s="50"/>
      <c r="AF164" s="42"/>
      <c r="AG164" s="42"/>
      <c r="AH164" s="42"/>
      <c r="AI164" s="42" t="str">
        <f t="array" ref="AI164">XLOOKUP($E164,Sheet11!$D:$D,Sheet11!$X:$X,"",0)</f>
        <v/>
      </c>
      <c r="AJ164" s="42" t="str">
        <f t="array" ref="AJ164">XLOOKUP($E164,Sheet11!$D:$D,Sheet11!$Y:$Y,"",0)</f>
        <v/>
      </c>
    </row>
    <row r="165">
      <c r="A165" s="41">
        <v>757.0</v>
      </c>
      <c r="B165" s="42" t="s">
        <v>344</v>
      </c>
      <c r="C165" s="42" t="s">
        <v>345</v>
      </c>
      <c r="D165" s="42"/>
      <c r="E165" s="42" t="str">
        <f t="shared" ref="E165:F165" si="166">PROPER(B165)</f>
        <v>Municipal Local Government Unit Of Labo</v>
      </c>
      <c r="F165" s="42" t="str">
        <f t="shared" si="166"/>
        <v>Gumamela (Pob.), Labo, Camarines Norte</v>
      </c>
      <c r="G165" s="42" t="str">
        <f t="shared" si="3"/>
        <v>Gumamela (Pob.)</v>
      </c>
      <c r="H165" s="42" t="str">
        <f t="shared" si="4"/>
        <v>Labo</v>
      </c>
      <c r="I165" s="42" t="str">
        <f t="shared" si="5"/>
        <v>Camarines Norte</v>
      </c>
      <c r="J165" s="42" t="str">
        <f t="array" ref="J165">XLOOKUP($E165,'Recipients REF'!$B:$B,'Recipients REF'!D:D,"",0)</f>
        <v>Severino H. Francisco</v>
      </c>
      <c r="K165" s="42" t="str">
        <f t="array" ref="K165">XLOOKUP($E165,'Recipients REF'!$B:$B,'Recipients REF'!E:E,"",0)</f>
        <v>0977 230 3294</v>
      </c>
      <c r="L165" s="43" t="str">
        <f t="array" ref="L165">XLOOKUP($A165,'Recipients REF'!$A:$A,'Recipients REF'!F:F,"",0)</f>
        <v>RCEF 25-03-05</v>
      </c>
      <c r="M165" s="43">
        <f t="array" ref="M165">XLOOKUP($A165,'Recipients REF'!$A:$A,'Recipients REF'!G:G,"",0)</f>
        <v>6</v>
      </c>
      <c r="N165" s="43" t="str">
        <f t="array" ref="N165">XLOOKUP($A165,'Recipients REF'!$A:$A,'Recipients REF'!H:H,"",0)</f>
        <v>26589 &amp; 27862</v>
      </c>
      <c r="O165" s="44" t="s">
        <v>25</v>
      </c>
      <c r="P165" s="45" t="s">
        <v>26</v>
      </c>
      <c r="Q165" s="46" t="str">
        <f t="array" ref="Q165">XLOOKUP($A165,'Recipients REF'!$A:$A,'Recipients REF'!I:I,"",0)</f>
        <v>KMC5825 ALSFPV023</v>
      </c>
      <c r="R165" s="53" t="str">
        <f t="array" ref="R165">XLOOKUP($A165,'Recipients REF'!$A:$A,'Recipients REF'!J:J,"",0)</f>
        <v>STS100250</v>
      </c>
      <c r="S165" s="45" t="s">
        <v>27</v>
      </c>
      <c r="T165" s="45" t="s">
        <v>28</v>
      </c>
      <c r="U165" s="46" t="str">
        <f t="array" ref="U165">XLOOKUP($A165,'Recipients REF'!$A:$A,'Recipients REF'!K:K,"",0)</f>
        <v>WR-SERIES 1465PH</v>
      </c>
      <c r="V165" s="44" t="s">
        <v>29</v>
      </c>
      <c r="W165" s="45" t="s">
        <v>30</v>
      </c>
      <c r="X165" s="53">
        <f t="array" ref="X165">XLOOKUP($A165,'Recipients REF'!$A:$A,'Recipients REF'!L:L,"",0)</f>
        <v>2510786</v>
      </c>
      <c r="Y165" s="48" t="s">
        <v>29</v>
      </c>
      <c r="Z165" s="48" t="s">
        <v>31</v>
      </c>
      <c r="AA165" s="54">
        <f t="array" ref="AA165">XLOOKUP($A165,'Recipients REF'!$A:$A,'Recipients REF'!M:M,"",0)</f>
        <v>25121387</v>
      </c>
      <c r="AB165" s="49"/>
      <c r="AC165" s="42"/>
      <c r="AD165" s="42"/>
      <c r="AE165" s="50"/>
      <c r="AF165" s="42"/>
      <c r="AG165" s="42"/>
      <c r="AH165" s="42"/>
      <c r="AI165" s="42" t="str">
        <f t="array" ref="AI165">XLOOKUP($E165,Sheet11!$D:$D,Sheet11!$X:$X,"",0)</f>
        <v/>
      </c>
      <c r="AJ165" s="42" t="str">
        <f t="array" ref="AJ165">XLOOKUP($E165,Sheet11!$D:$D,Sheet11!$Y:$Y,"",0)</f>
        <v/>
      </c>
    </row>
    <row r="166">
      <c r="A166" s="41">
        <v>758.0</v>
      </c>
      <c r="B166" s="42" t="s">
        <v>346</v>
      </c>
      <c r="C166" s="42" t="s">
        <v>347</v>
      </c>
      <c r="D166" s="42"/>
      <c r="E166" s="42" t="str">
        <f t="shared" ref="E166:F166" si="167">PROPER(B166)</f>
        <v>Camarines Norte Development Cooperative</v>
      </c>
      <c r="F166" s="42" t="str">
        <f t="shared" si="167"/>
        <v>Barangay Iii (Pob.), Daet, Camarines Norte</v>
      </c>
      <c r="G166" s="42" t="str">
        <f t="shared" si="3"/>
        <v>Barangay Iii (Pob.)</v>
      </c>
      <c r="H166" s="42" t="str">
        <f t="shared" si="4"/>
        <v>Daet</v>
      </c>
      <c r="I166" s="42" t="str">
        <f t="shared" si="5"/>
        <v>Camarines Norte</v>
      </c>
      <c r="J166" s="42" t="str">
        <f t="array" ref="J166">XLOOKUP($E166,'Recipients REF'!$B:$B,'Recipients REF'!D:D,"",0)</f>
        <v>Antonio M. Raña jr.</v>
      </c>
      <c r="K166" s="42" t="str">
        <f t="array" ref="K166">XLOOKUP($E166,'Recipients REF'!$B:$B,'Recipients REF'!E:E,"",0)</f>
        <v>0951 610 5796</v>
      </c>
      <c r="L166" s="43" t="str">
        <f t="array" ref="L166">XLOOKUP($A166,'Recipients REF'!$A:$A,'Recipients REF'!F:F,"",0)</f>
        <v>RCEF 25-03-05</v>
      </c>
      <c r="M166" s="43">
        <f t="array" ref="M166">XLOOKUP($A166,'Recipients REF'!$A:$A,'Recipients REF'!G:G,"",0)</f>
        <v>6</v>
      </c>
      <c r="N166" s="43" t="str">
        <f t="array" ref="N166">XLOOKUP($A166,'Recipients REF'!$A:$A,'Recipients REF'!H:H,"",0)</f>
        <v>26590 &amp; 27863</v>
      </c>
      <c r="O166" s="44" t="s">
        <v>25</v>
      </c>
      <c r="P166" s="45" t="s">
        <v>26</v>
      </c>
      <c r="Q166" s="46" t="str">
        <f t="array" ref="Q166">XLOOKUP($A166,'Recipients REF'!$A:$A,'Recipients REF'!I:I,"",0)</f>
        <v>KMC5825 AASFPV0210</v>
      </c>
      <c r="R166" s="53" t="str">
        <f t="array" ref="R166">XLOOKUP($A166,'Recipients REF'!$A:$A,'Recipients REF'!J:J,"",0)</f>
        <v>STS100178</v>
      </c>
      <c r="S166" s="45" t="s">
        <v>27</v>
      </c>
      <c r="T166" s="45" t="s">
        <v>28</v>
      </c>
      <c r="U166" s="46" t="str">
        <f t="array" ref="U166">XLOOKUP($A166,'Recipients REF'!$A:$A,'Recipients REF'!K:K,"",0)</f>
        <v>WR-SERIES 1466PH</v>
      </c>
      <c r="V166" s="44" t="s">
        <v>29</v>
      </c>
      <c r="W166" s="45" t="s">
        <v>30</v>
      </c>
      <c r="X166" s="53">
        <f t="array" ref="X166">XLOOKUP($A166,'Recipients REF'!$A:$A,'Recipients REF'!L:L,"",0)</f>
        <v>2510779</v>
      </c>
      <c r="Y166" s="48" t="s">
        <v>29</v>
      </c>
      <c r="Z166" s="48" t="s">
        <v>31</v>
      </c>
      <c r="AA166" s="54">
        <f t="array" ref="AA166">XLOOKUP($A166,'Recipients REF'!$A:$A,'Recipients REF'!M:M,"",0)</f>
        <v>25121388</v>
      </c>
      <c r="AB166" s="49"/>
      <c r="AC166" s="42"/>
      <c r="AD166" s="42"/>
      <c r="AE166" s="50"/>
      <c r="AF166" s="42"/>
      <c r="AG166" s="42"/>
      <c r="AH166" s="42"/>
      <c r="AI166" s="42" t="str">
        <f t="array" ref="AI166">XLOOKUP($E166,Sheet11!$D:$D,Sheet11!$X:$X,"",0)</f>
        <v/>
      </c>
      <c r="AJ166" s="42" t="str">
        <f t="array" ref="AJ166">XLOOKUP($E166,Sheet11!$D:$D,Sheet11!$Y:$Y,"",0)</f>
        <v/>
      </c>
    </row>
    <row r="167">
      <c r="A167" s="41">
        <v>759.0</v>
      </c>
      <c r="B167" s="42" t="s">
        <v>348</v>
      </c>
      <c r="C167" s="42" t="s">
        <v>347</v>
      </c>
      <c r="D167" s="42"/>
      <c r="E167" s="42" t="str">
        <f t="shared" ref="E167:F167" si="168">PROPER(B167)</f>
        <v>Provincial Local Government Unit Of Camarines Norte</v>
      </c>
      <c r="F167" s="42" t="str">
        <f t="shared" si="168"/>
        <v>Barangay Iii (Pob.), Daet, Camarines Norte</v>
      </c>
      <c r="G167" s="42" t="str">
        <f t="shared" si="3"/>
        <v>Barangay Iii (Pob.)</v>
      </c>
      <c r="H167" s="42" t="str">
        <f t="shared" si="4"/>
        <v>Daet</v>
      </c>
      <c r="I167" s="42" t="str">
        <f t="shared" si="5"/>
        <v>Camarines Norte</v>
      </c>
      <c r="J167" s="42" t="str">
        <f t="array" ref="J167">XLOOKUP($E167,'Recipients REF'!$B:$B,'Recipients REF'!D:D,"",0)</f>
        <v>Ricarte R. Padilla</v>
      </c>
      <c r="K167" s="42" t="str">
        <f t="array" ref="K167">XLOOKUP($E167,'Recipients REF'!$B:$B,'Recipients REF'!E:E,"",0)</f>
        <v>0930 030 8034</v>
      </c>
      <c r="L167" s="43" t="str">
        <f t="array" ref="L167">XLOOKUP($A167,'Recipients REF'!$A:$A,'Recipients REF'!F:F,"",0)</f>
        <v>RCEF 25-03-05</v>
      </c>
      <c r="M167" s="43">
        <f t="array" ref="M167">XLOOKUP($A167,'Recipients REF'!$A:$A,'Recipients REF'!G:G,"",0)</f>
        <v>6</v>
      </c>
      <c r="N167" s="43" t="str">
        <f t="array" ref="N167">XLOOKUP($A167,'Recipients REF'!$A:$A,'Recipients REF'!H:H,"",0)</f>
        <v>26591 &amp; 27864</v>
      </c>
      <c r="O167" s="44" t="s">
        <v>25</v>
      </c>
      <c r="P167" s="45" t="s">
        <v>26</v>
      </c>
      <c r="Q167" s="46" t="str">
        <f t="array" ref="Q167">XLOOKUP($A167,'Recipients REF'!$A:$A,'Recipients REF'!I:I,"",0)</f>
        <v>KMC5825 APSFPV0328</v>
      </c>
      <c r="R167" s="53" t="str">
        <f t="array" ref="R167">XLOOKUP($A167,'Recipients REF'!$A:$A,'Recipients REF'!J:J,"",0)</f>
        <v>STS100344</v>
      </c>
      <c r="S167" s="45" t="s">
        <v>27</v>
      </c>
      <c r="T167" s="45" t="s">
        <v>28</v>
      </c>
      <c r="U167" s="46" t="str">
        <f t="array" ref="U167">XLOOKUP($A167,'Recipients REF'!$A:$A,'Recipients REF'!K:K,"",0)</f>
        <v>WR-SERIES 1467PH</v>
      </c>
      <c r="V167" s="44" t="s">
        <v>29</v>
      </c>
      <c r="W167" s="45" t="s">
        <v>30</v>
      </c>
      <c r="X167" s="53">
        <f t="array" ref="X167">XLOOKUP($A167,'Recipients REF'!$A:$A,'Recipients REF'!L:L,"",0)</f>
        <v>2510848</v>
      </c>
      <c r="Y167" s="48" t="s">
        <v>29</v>
      </c>
      <c r="Z167" s="48" t="s">
        <v>31</v>
      </c>
      <c r="AA167" s="54">
        <f t="array" ref="AA167">XLOOKUP($A167,'Recipients REF'!$A:$A,'Recipients REF'!M:M,"",0)</f>
        <v>25121389</v>
      </c>
      <c r="AB167" s="49"/>
      <c r="AC167" s="42"/>
      <c r="AD167" s="42"/>
      <c r="AE167" s="50"/>
      <c r="AF167" s="42"/>
      <c r="AG167" s="42"/>
      <c r="AH167" s="42"/>
      <c r="AI167" s="42" t="str">
        <f t="array" ref="AI167">XLOOKUP($E167,Sheet11!$D:$D,Sheet11!$X:$X,"",0)</f>
        <v/>
      </c>
      <c r="AJ167" s="42" t="str">
        <f t="array" ref="AJ167">XLOOKUP($E167,Sheet11!$D:$D,Sheet11!$Y:$Y,"",0)</f>
        <v/>
      </c>
    </row>
    <row r="168">
      <c r="A168" s="41">
        <v>562.0</v>
      </c>
      <c r="B168" s="42" t="s">
        <v>349</v>
      </c>
      <c r="C168" s="42" t="s">
        <v>350</v>
      </c>
      <c r="D168" s="42"/>
      <c r="E168" s="42" t="str">
        <f t="shared" ref="E168:F168" si="169">PROPER(B168)</f>
        <v>United Gainza Farmers Association (Ugfa)</v>
      </c>
      <c r="F168" s="42" t="str">
        <f t="shared" si="169"/>
        <v>Sampaloc, Gainza, Camarines Sur</v>
      </c>
      <c r="G168" s="42" t="str">
        <f t="shared" si="3"/>
        <v>Sampaloc</v>
      </c>
      <c r="H168" s="42" t="str">
        <f t="shared" si="4"/>
        <v>Gainza</v>
      </c>
      <c r="I168" s="42" t="str">
        <f t="shared" si="5"/>
        <v>Camarines Sur</v>
      </c>
      <c r="J168" s="42" t="str">
        <f t="array" ref="J168">XLOOKUP($E168,'Recipients REF'!$B:$B,'Recipients REF'!D:D,"",0)</f>
        <v>Freddie San Buenaventura</v>
      </c>
      <c r="K168" s="42" t="str">
        <f t="array" ref="K168">XLOOKUP($E168,'Recipients REF'!$B:$B,'Recipients REF'!E:E,"",0)</f>
        <v>0999 700 7460</v>
      </c>
      <c r="L168" s="43" t="str">
        <f t="array" ref="L168">XLOOKUP($A168,'Recipients REF'!$A:$A,'Recipients REF'!F:F,"",0)</f>
        <v>RCEF 24-04-15</v>
      </c>
      <c r="M168" s="43">
        <f t="array" ref="M168">XLOOKUP($A168,'Recipients REF'!$A:$A,'Recipients REF'!G:G,"",0)</f>
        <v>7</v>
      </c>
      <c r="N168" s="43">
        <f t="array" ref="N168">XLOOKUP($A168,'Recipients REF'!$A:$A,'Recipients REF'!H:H,"",0)</f>
        <v>20038</v>
      </c>
      <c r="O168" s="44" t="s">
        <v>25</v>
      </c>
      <c r="P168" s="45" t="s">
        <v>26</v>
      </c>
      <c r="Q168" s="46" t="str">
        <f t="array" ref="Q168">XLOOKUP($A168,'Recipients REF'!$A:$A,'Recipients REF'!I:I,"",0)</f>
        <v>KMC5825AHRFPV0964</v>
      </c>
      <c r="R168" s="47" t="str">
        <f t="array" ref="R168">XLOOKUP($A168,'Recipients REF'!$A:$A,'Recipients REF'!J:J,"",0)</f>
        <v>RTS100668</v>
      </c>
      <c r="S168" s="45" t="s">
        <v>27</v>
      </c>
      <c r="T168" s="45" t="s">
        <v>28</v>
      </c>
      <c r="U168" s="46" t="str">
        <f t="array" ref="U168">XLOOKUP($A168,'Recipients REF'!$A:$A,'Recipients REF'!K:K,"",0)</f>
        <v>LSGW170-RMP-24111165</v>
      </c>
      <c r="V168" s="44" t="s">
        <v>29</v>
      </c>
      <c r="W168" s="45" t="s">
        <v>30</v>
      </c>
      <c r="X168" s="47" t="str">
        <f t="array" ref="X168">XLOOKUP($A168,'Recipients REF'!$A:$A,'Recipients REF'!L:L,"",0)</f>
        <v>WDP40-RMP-24080956</v>
      </c>
      <c r="Y168" s="48" t="s">
        <v>29</v>
      </c>
      <c r="Z168" s="48" t="s">
        <v>31</v>
      </c>
      <c r="AA168" s="46" t="str">
        <f t="array" ref="AA168">XLOOKUP($A168,'Recipients REF'!$A:$A,'Recipients REF'!M:M,"",0)</f>
        <v>WR-SERIES-1227PH</v>
      </c>
      <c r="AB168" s="49"/>
      <c r="AC168" s="42"/>
      <c r="AD168" s="42"/>
      <c r="AE168" s="50"/>
      <c r="AF168" s="42"/>
      <c r="AG168" s="42"/>
      <c r="AH168" s="42"/>
      <c r="AI168" s="42" t="str">
        <f t="array" ref="AI168">XLOOKUP($E168,Sheet11!$D:$D,Sheet11!$X:$X,"",0)</f>
        <v/>
      </c>
      <c r="AJ168" s="42" t="str">
        <f t="array" ref="AJ168">XLOOKUP($E168,Sheet11!$D:$D,Sheet11!$Y:$Y,"",0)</f>
        <v/>
      </c>
    </row>
    <row r="169">
      <c r="A169" s="41">
        <v>563.0</v>
      </c>
      <c r="B169" s="42" t="s">
        <v>351</v>
      </c>
      <c r="C169" s="42" t="s">
        <v>352</v>
      </c>
      <c r="D169" s="42"/>
      <c r="E169" s="42" t="str">
        <f t="shared" ref="E169:F169" si="170">PROPER(B169)</f>
        <v>Mantalisay Tarum Camambugan Bagumbayan Irrigators Association, Inc.</v>
      </c>
      <c r="F169" s="42" t="str">
        <f t="shared" si="170"/>
        <v>Handong, Libmanan, Camarines Sur</v>
      </c>
      <c r="G169" s="42" t="str">
        <f t="shared" si="3"/>
        <v>Handong</v>
      </c>
      <c r="H169" s="42" t="str">
        <f t="shared" si="4"/>
        <v>Libmanan</v>
      </c>
      <c r="I169" s="42" t="str">
        <f t="shared" si="5"/>
        <v>Camarines Sur</v>
      </c>
      <c r="J169" s="42" t="str">
        <f t="array" ref="J169">XLOOKUP($E169,'Recipients REF'!$B:$B,'Recipients REF'!D:D,"",0)</f>
        <v>Chelan R. Guerrero</v>
      </c>
      <c r="K169" s="42" t="str">
        <f t="array" ref="K169">XLOOKUP($E169,'Recipients REF'!$B:$B,'Recipients REF'!E:E,"",0)</f>
        <v>0930 5230 856/0930 9030 820</v>
      </c>
      <c r="L169" s="43" t="str">
        <f t="array" ref="L169">XLOOKUP($A169,'Recipients REF'!$A:$A,'Recipients REF'!F:F,"",0)</f>
        <v>RCEF 24-04-15</v>
      </c>
      <c r="M169" s="43">
        <f t="array" ref="M169">XLOOKUP($A169,'Recipients REF'!$A:$A,'Recipients REF'!G:G,"",0)</f>
        <v>7</v>
      </c>
      <c r="N169" s="43">
        <f t="array" ref="N169">XLOOKUP($A169,'Recipients REF'!$A:$A,'Recipients REF'!H:H,"",0)</f>
        <v>20039</v>
      </c>
      <c r="O169" s="44" t="s">
        <v>25</v>
      </c>
      <c r="P169" s="45" t="s">
        <v>26</v>
      </c>
      <c r="Q169" s="46" t="str">
        <f t="array" ref="Q169">XLOOKUP($A169,'Recipients REF'!$A:$A,'Recipients REF'!I:I,"",0)</f>
        <v>KMC5825APRFPV0968</v>
      </c>
      <c r="R169" s="47" t="str">
        <f t="array" ref="R169">XLOOKUP($A169,'Recipients REF'!$A:$A,'Recipients REF'!J:J,"",0)</f>
        <v>RTS100657</v>
      </c>
      <c r="S169" s="45" t="s">
        <v>27</v>
      </c>
      <c r="T169" s="45" t="s">
        <v>28</v>
      </c>
      <c r="U169" s="46" t="str">
        <f t="array" ref="U169">XLOOKUP($A169,'Recipients REF'!$A:$A,'Recipients REF'!K:K,"",0)</f>
        <v>LSGW170-RMP-24111170</v>
      </c>
      <c r="V169" s="44" t="s">
        <v>29</v>
      </c>
      <c r="W169" s="45" t="s">
        <v>30</v>
      </c>
      <c r="X169" s="47" t="str">
        <f t="array" ref="X169">XLOOKUP($A169,'Recipients REF'!$A:$A,'Recipients REF'!L:L,"",0)</f>
        <v>WDP40-RMP-25010081</v>
      </c>
      <c r="Y169" s="48" t="s">
        <v>29</v>
      </c>
      <c r="Z169" s="48" t="s">
        <v>31</v>
      </c>
      <c r="AA169" s="46" t="str">
        <f t="array" ref="AA169">XLOOKUP($A169,'Recipients REF'!$A:$A,'Recipients REF'!M:M,"",0)</f>
        <v>WR-SERIES-1219PH</v>
      </c>
      <c r="AB169" s="49"/>
      <c r="AC169" s="42"/>
      <c r="AD169" s="42"/>
      <c r="AE169" s="50"/>
      <c r="AF169" s="42"/>
      <c r="AG169" s="42"/>
      <c r="AH169" s="42"/>
      <c r="AI169" s="42" t="str">
        <f t="array" ref="AI169">XLOOKUP($E169,Sheet11!$D:$D,Sheet11!$X:$X,"",0)</f>
        <v/>
      </c>
      <c r="AJ169" s="42" t="str">
        <f t="array" ref="AJ169">XLOOKUP($E169,Sheet11!$D:$D,Sheet11!$Y:$Y,"",0)</f>
        <v/>
      </c>
    </row>
    <row r="170">
      <c r="A170" s="41">
        <v>564.0</v>
      </c>
      <c r="B170" s="42" t="s">
        <v>353</v>
      </c>
      <c r="C170" s="42" t="s">
        <v>354</v>
      </c>
      <c r="D170" s="42"/>
      <c r="E170" s="42" t="str">
        <f t="shared" ref="E170:F170" si="171">PROPER(B170)</f>
        <v>Sanfarma-Sto. Niño Farmers Association</v>
      </c>
      <c r="F170" s="42" t="str">
        <f t="shared" si="171"/>
        <v>Antipolo, Minalabac, Camarines Sur</v>
      </c>
      <c r="G170" s="42" t="str">
        <f t="shared" si="3"/>
        <v>Antipolo</v>
      </c>
      <c r="H170" s="42" t="str">
        <f t="shared" si="4"/>
        <v>Minalabac</v>
      </c>
      <c r="I170" s="42" t="str">
        <f t="shared" si="5"/>
        <v>Camarines Sur</v>
      </c>
      <c r="J170" s="42" t="str">
        <f t="array" ref="J170">XLOOKUP($E170,'Recipients REF'!$B:$B,'Recipients REF'!D:D,"",0)</f>
        <v>Lorenzo SF. Santillan</v>
      </c>
      <c r="K170" s="42" t="str">
        <f t="array" ref="K170">XLOOKUP($E170,'Recipients REF'!$B:$B,'Recipients REF'!E:E,"",0)</f>
        <v>0977 785 3123</v>
      </c>
      <c r="L170" s="43" t="str">
        <f t="array" ref="L170">XLOOKUP($A170,'Recipients REF'!$A:$A,'Recipients REF'!F:F,"",0)</f>
        <v>RCEF 24-04-15</v>
      </c>
      <c r="M170" s="43">
        <f t="array" ref="M170">XLOOKUP($A170,'Recipients REF'!$A:$A,'Recipients REF'!G:G,"",0)</f>
        <v>7</v>
      </c>
      <c r="N170" s="43">
        <f t="array" ref="N170">XLOOKUP($A170,'Recipients REF'!$A:$A,'Recipients REF'!H:H,"",0)</f>
        <v>20040</v>
      </c>
      <c r="O170" s="44" t="s">
        <v>25</v>
      </c>
      <c r="P170" s="45" t="s">
        <v>26</v>
      </c>
      <c r="Q170" s="46" t="str">
        <f t="array" ref="Q170">XLOOKUP($A170,'Recipients REF'!$A:$A,'Recipients REF'!I:I,"",0)</f>
        <v>KMC5825AKRFPV0891</v>
      </c>
      <c r="R170" s="47" t="str">
        <f t="array" ref="R170">XLOOKUP($A170,'Recipients REF'!$A:$A,'Recipients REF'!J:J,"",0)</f>
        <v>RTS100795</v>
      </c>
      <c r="S170" s="45" t="s">
        <v>27</v>
      </c>
      <c r="T170" s="45" t="s">
        <v>28</v>
      </c>
      <c r="U170" s="46" t="str">
        <f t="array" ref="U170">XLOOKUP($A170,'Recipients REF'!$A:$A,'Recipients REF'!K:K,"",0)</f>
        <v>LSGW170-RMP-24111162</v>
      </c>
      <c r="V170" s="44" t="s">
        <v>29</v>
      </c>
      <c r="W170" s="45" t="s">
        <v>30</v>
      </c>
      <c r="X170" s="47" t="str">
        <f t="array" ref="X170">XLOOKUP($A170,'Recipients REF'!$A:$A,'Recipients REF'!L:L,"",0)</f>
        <v>WDP40-RMP-24080947</v>
      </c>
      <c r="Y170" s="48" t="s">
        <v>29</v>
      </c>
      <c r="Z170" s="48" t="s">
        <v>31</v>
      </c>
      <c r="AA170" s="46" t="str">
        <f t="array" ref="AA170">XLOOKUP($A170,'Recipients REF'!$A:$A,'Recipients REF'!M:M,"",0)</f>
        <v>WR-SERIES-1218PH</v>
      </c>
      <c r="AB170" s="49"/>
      <c r="AC170" s="42"/>
      <c r="AD170" s="42"/>
      <c r="AE170" s="50"/>
      <c r="AF170" s="42"/>
      <c r="AG170" s="42"/>
      <c r="AH170" s="42"/>
      <c r="AI170" s="42" t="str">
        <f t="array" ref="AI170">XLOOKUP($E170,Sheet11!$D:$D,Sheet11!$X:$X,"",0)</f>
        <v/>
      </c>
      <c r="AJ170" s="42" t="str">
        <f t="array" ref="AJ170">XLOOKUP($E170,Sheet11!$D:$D,Sheet11!$Y:$Y,"",0)</f>
        <v/>
      </c>
    </row>
    <row r="171">
      <c r="A171" s="41">
        <v>565.0</v>
      </c>
      <c r="B171" s="42" t="s">
        <v>355</v>
      </c>
      <c r="C171" s="42" t="s">
        <v>356</v>
      </c>
      <c r="D171" s="42"/>
      <c r="E171" s="42" t="str">
        <f t="shared" ref="E171:F171" si="172">PROPER(B171)</f>
        <v>Samahang Magsasaka Ng Barangay San Gabriel Pamplona Camarines Sur Inc.</v>
      </c>
      <c r="F171" s="42" t="str">
        <f t="shared" si="172"/>
        <v>San Gabriel, Pamplona, Camarines Sur</v>
      </c>
      <c r="G171" s="42" t="str">
        <f t="shared" si="3"/>
        <v>San Gabriel</v>
      </c>
      <c r="H171" s="42" t="str">
        <f t="shared" si="4"/>
        <v>Pamplona</v>
      </c>
      <c r="I171" s="42" t="str">
        <f t="shared" si="5"/>
        <v>Camarines Sur</v>
      </c>
      <c r="J171" s="42" t="str">
        <f t="array" ref="J171">XLOOKUP($E171,'Recipients REF'!$B:$B,'Recipients REF'!D:D,"",0)</f>
        <v>Salvador M. Mojico</v>
      </c>
      <c r="K171" s="42" t="str">
        <f t="array" ref="K171">XLOOKUP($E171,'Recipients REF'!$B:$B,'Recipients REF'!E:E,"",0)</f>
        <v>0920 430 2570</v>
      </c>
      <c r="L171" s="43" t="str">
        <f t="array" ref="L171">XLOOKUP($A171,'Recipients REF'!$A:$A,'Recipients REF'!F:F,"",0)</f>
        <v>RCEF 24-04-15</v>
      </c>
      <c r="M171" s="43">
        <f t="array" ref="M171">XLOOKUP($A171,'Recipients REF'!$A:$A,'Recipients REF'!G:G,"",0)</f>
        <v>7</v>
      </c>
      <c r="N171" s="43">
        <f t="array" ref="N171">XLOOKUP($A171,'Recipients REF'!$A:$A,'Recipients REF'!H:H,"",0)</f>
        <v>20041</v>
      </c>
      <c r="O171" s="44" t="s">
        <v>25</v>
      </c>
      <c r="P171" s="45" t="s">
        <v>26</v>
      </c>
      <c r="Q171" s="46" t="str">
        <f t="array" ref="Q171">XLOOKUP($A171,'Recipients REF'!$A:$A,'Recipients REF'!I:I,"",0)</f>
        <v>KMC5825ALRFPV0851</v>
      </c>
      <c r="R171" s="47" t="str">
        <f t="array" ref="R171">XLOOKUP($A171,'Recipients REF'!$A:$A,'Recipients REF'!J:J,"",0)</f>
        <v>RTS100761</v>
      </c>
      <c r="S171" s="45" t="s">
        <v>27</v>
      </c>
      <c r="T171" s="45" t="s">
        <v>28</v>
      </c>
      <c r="U171" s="46" t="str">
        <f t="array" ref="U171">XLOOKUP($A171,'Recipients REF'!$A:$A,'Recipients REF'!K:K,"",0)</f>
        <v>LSGW170-RMP-24111134</v>
      </c>
      <c r="V171" s="44" t="s">
        <v>29</v>
      </c>
      <c r="W171" s="45" t="s">
        <v>30</v>
      </c>
      <c r="X171" s="47" t="str">
        <f t="array" ref="X171">XLOOKUP($A171,'Recipients REF'!$A:$A,'Recipients REF'!L:L,"",0)</f>
        <v>WDP40-RMP-25010083</v>
      </c>
      <c r="Y171" s="48" t="s">
        <v>29</v>
      </c>
      <c r="Z171" s="48" t="s">
        <v>31</v>
      </c>
      <c r="AA171" s="46" t="str">
        <f t="array" ref="AA171">XLOOKUP($A171,'Recipients REF'!$A:$A,'Recipients REF'!M:M,"",0)</f>
        <v>WR-SERIES-1239PH</v>
      </c>
      <c r="AB171" s="49"/>
      <c r="AC171" s="42"/>
      <c r="AD171" s="42"/>
      <c r="AE171" s="50"/>
      <c r="AF171" s="42"/>
      <c r="AG171" s="42"/>
      <c r="AH171" s="42"/>
      <c r="AI171" s="42" t="str">
        <f t="array" ref="AI171">XLOOKUP($E171,Sheet11!$D:$D,Sheet11!$X:$X,"",0)</f>
        <v/>
      </c>
      <c r="AJ171" s="42" t="str">
        <f t="array" ref="AJ171">XLOOKUP($E171,Sheet11!$D:$D,Sheet11!$Y:$Y,"",0)</f>
        <v/>
      </c>
    </row>
    <row r="172">
      <c r="A172" s="41">
        <v>566.0</v>
      </c>
      <c r="B172" s="42" t="s">
        <v>357</v>
      </c>
      <c r="C172" s="42" t="s">
        <v>358</v>
      </c>
      <c r="D172" s="42"/>
      <c r="E172" s="42" t="str">
        <f t="shared" ref="E172:F172" si="173">PROPER(B172)</f>
        <v>Magarao Multi-Purpose Cooperative</v>
      </c>
      <c r="F172" s="42" t="str">
        <f t="shared" si="173"/>
        <v>San Isidro (Pob.), Magarao, Camarines Sur</v>
      </c>
      <c r="G172" s="42" t="str">
        <f t="shared" si="3"/>
        <v>San Isidro (Pob.)</v>
      </c>
      <c r="H172" s="42" t="str">
        <f t="shared" si="4"/>
        <v>Magarao</v>
      </c>
      <c r="I172" s="42" t="str">
        <f t="shared" si="5"/>
        <v>Camarines Sur</v>
      </c>
      <c r="J172" s="42" t="str">
        <f t="array" ref="J172">XLOOKUP($E172,'Recipients REF'!$B:$B,'Recipients REF'!D:D,"",0)</f>
        <v>Gemma Diaz</v>
      </c>
      <c r="K172" s="42">
        <f t="array" ref="K172">XLOOKUP($E172,'Recipients REF'!$B:$B,'Recipients REF'!E:E,"",0)</f>
        <v>9074694335</v>
      </c>
      <c r="L172" s="43" t="str">
        <f t="array" ref="L172">XLOOKUP($A172,'Recipients REF'!$A:$A,'Recipients REF'!F:F,"",0)</f>
        <v>RCEF 24-04-15</v>
      </c>
      <c r="M172" s="43">
        <f t="array" ref="M172">XLOOKUP($A172,'Recipients REF'!$A:$A,'Recipients REF'!G:G,"",0)</f>
        <v>7</v>
      </c>
      <c r="N172" s="43">
        <f t="array" ref="N172">XLOOKUP($A172,'Recipients REF'!$A:$A,'Recipients REF'!H:H,"",0)</f>
        <v>20042</v>
      </c>
      <c r="O172" s="44" t="s">
        <v>25</v>
      </c>
      <c r="P172" s="45" t="s">
        <v>26</v>
      </c>
      <c r="Q172" s="46" t="str">
        <f t="array" ref="Q172">XLOOKUP($A172,'Recipients REF'!$A:$A,'Recipients REF'!I:I,"",0)</f>
        <v>KMC5825ATRFPV0824</v>
      </c>
      <c r="R172" s="47" t="str">
        <f t="array" ref="R172">XLOOKUP($A172,'Recipients REF'!$A:$A,'Recipients REF'!J:J,"",0)</f>
        <v>RTS100738</v>
      </c>
      <c r="S172" s="45" t="s">
        <v>27</v>
      </c>
      <c r="T172" s="45" t="s">
        <v>28</v>
      </c>
      <c r="U172" s="46" t="str">
        <f t="array" ref="U172">XLOOKUP($A172,'Recipients REF'!$A:$A,'Recipients REF'!K:K,"",0)</f>
        <v>LSGW170-RMP-24111142</v>
      </c>
      <c r="V172" s="44" t="s">
        <v>29</v>
      </c>
      <c r="W172" s="45" t="s">
        <v>30</v>
      </c>
      <c r="X172" s="47" t="str">
        <f t="array" ref="X172">XLOOKUP($A172,'Recipients REF'!$A:$A,'Recipients REF'!L:L,"",0)</f>
        <v>WDP40-RMP-25010095</v>
      </c>
      <c r="Y172" s="48" t="s">
        <v>29</v>
      </c>
      <c r="Z172" s="48" t="s">
        <v>31</v>
      </c>
      <c r="AA172" s="46" t="str">
        <f t="array" ref="AA172">XLOOKUP($A172,'Recipients REF'!$A:$A,'Recipients REF'!M:M,"",0)</f>
        <v>WR-SERIES-1064PH</v>
      </c>
      <c r="AB172" s="49"/>
      <c r="AC172" s="42"/>
      <c r="AD172" s="42"/>
      <c r="AE172" s="50"/>
      <c r="AF172" s="42"/>
      <c r="AG172" s="42"/>
      <c r="AH172" s="42"/>
      <c r="AI172" s="42" t="str">
        <f t="array" ref="AI172">XLOOKUP($E172,Sheet11!$D:$D,Sheet11!$X:$X,"",0)</f>
        <v/>
      </c>
      <c r="AJ172" s="42" t="str">
        <f t="array" ref="AJ172">XLOOKUP($E172,Sheet11!$D:$D,Sheet11!$Y:$Y,"",0)</f>
        <v/>
      </c>
    </row>
    <row r="173">
      <c r="A173" s="41">
        <v>567.0</v>
      </c>
      <c r="B173" s="42" t="s">
        <v>359</v>
      </c>
      <c r="C173" s="42" t="s">
        <v>360</v>
      </c>
      <c r="D173" s="42"/>
      <c r="E173" s="42" t="str">
        <f t="shared" ref="E173:F173" si="174">PROPER(B173)</f>
        <v>Pag-Asa San Agustin Agrarian Beneficiaries Farmers Association</v>
      </c>
      <c r="F173" s="42" t="str">
        <f t="shared" si="174"/>
        <v>San Agustin, Pili, Camarines Sur</v>
      </c>
      <c r="G173" s="42" t="str">
        <f t="shared" si="3"/>
        <v>San Agustin</v>
      </c>
      <c r="H173" s="42" t="str">
        <f t="shared" si="4"/>
        <v>Pili</v>
      </c>
      <c r="I173" s="42" t="str">
        <f t="shared" si="5"/>
        <v>Camarines Sur</v>
      </c>
      <c r="J173" s="42" t="str">
        <f t="array" ref="J173">XLOOKUP($E173,'Recipients REF'!$B:$B,'Recipients REF'!D:D,"",0)</f>
        <v>Joselito Nacario</v>
      </c>
      <c r="K173" s="42" t="str">
        <f t="array" ref="K173">XLOOKUP($E173,'Recipients REF'!$B:$B,'Recipients REF'!E:E,"",0)</f>
        <v>0946 364 8796</v>
      </c>
      <c r="L173" s="43" t="str">
        <f t="array" ref="L173">XLOOKUP($A173,'Recipients REF'!$A:$A,'Recipients REF'!F:F,"",0)</f>
        <v>RCEF 24-04-15</v>
      </c>
      <c r="M173" s="43">
        <f t="array" ref="M173">XLOOKUP($A173,'Recipients REF'!$A:$A,'Recipients REF'!G:G,"",0)</f>
        <v>7</v>
      </c>
      <c r="N173" s="43">
        <f t="array" ref="N173">XLOOKUP($A173,'Recipients REF'!$A:$A,'Recipients REF'!H:H,"",0)</f>
        <v>20043</v>
      </c>
      <c r="O173" s="44" t="s">
        <v>25</v>
      </c>
      <c r="P173" s="45" t="s">
        <v>26</v>
      </c>
      <c r="Q173" s="46" t="str">
        <f t="array" ref="Q173">XLOOKUP($A173,'Recipients REF'!$A:$A,'Recipients REF'!I:I,"",0)</f>
        <v>KMC5825ATRFPV0855</v>
      </c>
      <c r="R173" s="47" t="str">
        <f t="array" ref="R173">XLOOKUP($A173,'Recipients REF'!$A:$A,'Recipients REF'!J:J,"",0)</f>
        <v>RTS100748</v>
      </c>
      <c r="S173" s="45" t="s">
        <v>27</v>
      </c>
      <c r="T173" s="45" t="s">
        <v>28</v>
      </c>
      <c r="U173" s="46" t="str">
        <f t="array" ref="U173">XLOOKUP($A173,'Recipients REF'!$A:$A,'Recipients REF'!K:K,"",0)</f>
        <v>LSGW170-RMP-24111141</v>
      </c>
      <c r="V173" s="44" t="s">
        <v>29</v>
      </c>
      <c r="W173" s="45" t="s">
        <v>30</v>
      </c>
      <c r="X173" s="47" t="str">
        <f t="array" ref="X173">XLOOKUP($A173,'Recipients REF'!$A:$A,'Recipients REF'!L:L,"",0)</f>
        <v>WDP40-RMP-25010084</v>
      </c>
      <c r="Y173" s="48" t="s">
        <v>29</v>
      </c>
      <c r="Z173" s="48" t="s">
        <v>31</v>
      </c>
      <c r="AA173" s="46" t="str">
        <f t="array" ref="AA173">XLOOKUP($A173,'Recipients REF'!$A:$A,'Recipients REF'!M:M,"",0)</f>
        <v>WR-SERIES-1191PH</v>
      </c>
      <c r="AB173" s="49"/>
      <c r="AC173" s="42"/>
      <c r="AD173" s="42"/>
      <c r="AE173" s="50"/>
      <c r="AF173" s="42"/>
      <c r="AG173" s="42"/>
      <c r="AH173" s="42"/>
      <c r="AI173" s="42" t="str">
        <f t="array" ref="AI173">XLOOKUP($E173,Sheet11!$D:$D,Sheet11!$X:$X,"",0)</f>
        <v/>
      </c>
      <c r="AJ173" s="42" t="str">
        <f t="array" ref="AJ173">XLOOKUP($E173,Sheet11!$D:$D,Sheet11!$Y:$Y,"",0)</f>
        <v/>
      </c>
    </row>
    <row r="174">
      <c r="A174" s="41">
        <v>568.0</v>
      </c>
      <c r="B174" s="42" t="s">
        <v>361</v>
      </c>
      <c r="C174" s="42" t="s">
        <v>362</v>
      </c>
      <c r="D174" s="42"/>
      <c r="E174" s="42" t="str">
        <f t="shared" ref="E174:F174" si="175">PROPER(B174)</f>
        <v>San Ramon Lagonoy Farmers Association (Srlfa)</v>
      </c>
      <c r="F174" s="42" t="str">
        <f t="shared" si="175"/>
        <v>San Ramon, Lagonoy, Camarines Sur</v>
      </c>
      <c r="G174" s="42" t="str">
        <f t="shared" si="3"/>
        <v>San Ramon</v>
      </c>
      <c r="H174" s="42" t="str">
        <f t="shared" si="4"/>
        <v>Lagonoy</v>
      </c>
      <c r="I174" s="42" t="str">
        <f t="shared" si="5"/>
        <v>Camarines Sur</v>
      </c>
      <c r="J174" s="42" t="str">
        <f t="array" ref="J174">XLOOKUP($E174,'Recipients REF'!$B:$B,'Recipients REF'!D:D,"",0)</f>
        <v>Buck Roger R. Madrid</v>
      </c>
      <c r="K174" s="42">
        <f t="array" ref="K174">XLOOKUP($E174,'Recipients REF'!$B:$B,'Recipients REF'!E:E,"",0)</f>
        <v>9491186638</v>
      </c>
      <c r="L174" s="43" t="str">
        <f t="array" ref="L174">XLOOKUP($A174,'Recipients REF'!$A:$A,'Recipients REF'!F:F,"",0)</f>
        <v>RCEF 24-04-15</v>
      </c>
      <c r="M174" s="43">
        <f t="array" ref="M174">XLOOKUP($A174,'Recipients REF'!$A:$A,'Recipients REF'!G:G,"",0)</f>
        <v>7</v>
      </c>
      <c r="N174" s="43">
        <f t="array" ref="N174">XLOOKUP($A174,'Recipients REF'!$A:$A,'Recipients REF'!H:H,"",0)</f>
        <v>20044</v>
      </c>
      <c r="O174" s="44" t="s">
        <v>25</v>
      </c>
      <c r="P174" s="45" t="s">
        <v>26</v>
      </c>
      <c r="Q174" s="46" t="str">
        <f t="array" ref="Q174">XLOOKUP($A174,'Recipients REF'!$A:$A,'Recipients REF'!I:I,"",0)</f>
        <v>KMC5825AARFPV0847</v>
      </c>
      <c r="R174" s="47" t="str">
        <f t="array" ref="R174">XLOOKUP($A174,'Recipients REF'!$A:$A,'Recipients REF'!J:J,"",0)</f>
        <v>RTS100739</v>
      </c>
      <c r="S174" s="45" t="s">
        <v>27</v>
      </c>
      <c r="T174" s="45" t="s">
        <v>28</v>
      </c>
      <c r="U174" s="46" t="str">
        <f t="array" ref="U174">XLOOKUP($A174,'Recipients REF'!$A:$A,'Recipients REF'!K:K,"",0)</f>
        <v>LSGW170-RMP-24111147</v>
      </c>
      <c r="V174" s="44" t="s">
        <v>29</v>
      </c>
      <c r="W174" s="45" t="s">
        <v>30</v>
      </c>
      <c r="X174" s="47" t="str">
        <f t="array" ref="X174">XLOOKUP($A174,'Recipients REF'!$A:$A,'Recipients REF'!L:L,"",0)</f>
        <v>WDP40-RMP-25010093</v>
      </c>
      <c r="Y174" s="48" t="s">
        <v>29</v>
      </c>
      <c r="Z174" s="48" t="s">
        <v>31</v>
      </c>
      <c r="AA174" s="46" t="str">
        <f t="array" ref="AA174">XLOOKUP($A174,'Recipients REF'!$A:$A,'Recipients REF'!M:M,"",0)</f>
        <v>WR-SERIES-1205PH</v>
      </c>
      <c r="AB174" s="49"/>
      <c r="AC174" s="42"/>
      <c r="AD174" s="42"/>
      <c r="AE174" s="50"/>
      <c r="AF174" s="42"/>
      <c r="AG174" s="42"/>
      <c r="AH174" s="42"/>
      <c r="AI174" s="42" t="str">
        <f t="array" ref="AI174">XLOOKUP($E174,Sheet11!$D:$D,Sheet11!$X:$X,"",0)</f>
        <v/>
      </c>
      <c r="AJ174" s="42" t="str">
        <f t="array" ref="AJ174">XLOOKUP($E174,Sheet11!$D:$D,Sheet11!$Y:$Y,"",0)</f>
        <v/>
      </c>
    </row>
    <row r="175">
      <c r="A175" s="41">
        <v>569.0</v>
      </c>
      <c r="B175" s="42" t="s">
        <v>363</v>
      </c>
      <c r="C175" s="42" t="s">
        <v>364</v>
      </c>
      <c r="D175" s="42"/>
      <c r="E175" s="42" t="str">
        <f t="shared" ref="E175:F175" si="176">PROPER(B175)</f>
        <v>City Local Government Unit Of Iriga</v>
      </c>
      <c r="F175" s="42" t="str">
        <f t="shared" si="176"/>
        <v>Santa Cruz Sur, Iriga City, Camarines Sur</v>
      </c>
      <c r="G175" s="42" t="str">
        <f t="shared" si="3"/>
        <v>Santa Cruz Sur</v>
      </c>
      <c r="H175" s="42" t="str">
        <f t="shared" si="4"/>
        <v>Iriga City</v>
      </c>
      <c r="I175" s="42" t="str">
        <f t="shared" si="5"/>
        <v>Camarines Sur</v>
      </c>
      <c r="J175" s="42" t="str">
        <f t="array" ref="J175">XLOOKUP($E175,'Recipients REF'!$B:$B,'Recipients REF'!D:D,"",0)</f>
        <v>Hon. Wilfredo Rex. C Oliva</v>
      </c>
      <c r="K175" s="42" t="str">
        <f t="array" ref="K175">XLOOKUP($E175,'Recipients REF'!$B:$B,'Recipients REF'!E:E,"",0)</f>
        <v>0920 948 1149</v>
      </c>
      <c r="L175" s="43" t="str">
        <f t="array" ref="L175">XLOOKUP($A175,'Recipients REF'!$A:$A,'Recipients REF'!F:F,"",0)</f>
        <v>RCEF 24-04-15</v>
      </c>
      <c r="M175" s="43">
        <f t="array" ref="M175">XLOOKUP($A175,'Recipients REF'!$A:$A,'Recipients REF'!G:G,"",0)</f>
        <v>7</v>
      </c>
      <c r="N175" s="43">
        <f t="array" ref="N175">XLOOKUP($A175,'Recipients REF'!$A:$A,'Recipients REF'!H:H,"",0)</f>
        <v>20045</v>
      </c>
      <c r="O175" s="44" t="s">
        <v>25</v>
      </c>
      <c r="P175" s="45" t="s">
        <v>26</v>
      </c>
      <c r="Q175" s="46" t="str">
        <f t="array" ref="Q175">XLOOKUP($A175,'Recipients REF'!$A:$A,'Recipients REF'!I:I,"",0)</f>
        <v>KMC5825AKRFPV0907</v>
      </c>
      <c r="R175" s="47" t="str">
        <f t="array" ref="R175">XLOOKUP($A175,'Recipients REF'!$A:$A,'Recipients REF'!J:J,"",0)</f>
        <v>RTS100821</v>
      </c>
      <c r="S175" s="45" t="s">
        <v>27</v>
      </c>
      <c r="T175" s="45" t="s">
        <v>28</v>
      </c>
      <c r="U175" s="46" t="str">
        <f t="array" ref="U175">XLOOKUP($A175,'Recipients REF'!$A:$A,'Recipients REF'!K:K,"",0)</f>
        <v>LSGW170-RMP-24111135</v>
      </c>
      <c r="V175" s="44" t="s">
        <v>29</v>
      </c>
      <c r="W175" s="45" t="s">
        <v>30</v>
      </c>
      <c r="X175" s="47" t="str">
        <f t="array" ref="X175">XLOOKUP($A175,'Recipients REF'!$A:$A,'Recipients REF'!L:L,"",0)</f>
        <v>WDP40-RMP-25010047</v>
      </c>
      <c r="Y175" s="48" t="s">
        <v>29</v>
      </c>
      <c r="Z175" s="48" t="s">
        <v>31</v>
      </c>
      <c r="AA175" s="46" t="str">
        <f t="array" ref="AA175">XLOOKUP($A175,'Recipients REF'!$A:$A,'Recipients REF'!M:M,"",0)</f>
        <v>WR-SERIES-1234PH</v>
      </c>
      <c r="AB175" s="49"/>
      <c r="AC175" s="42"/>
      <c r="AD175" s="42"/>
      <c r="AE175" s="50"/>
      <c r="AF175" s="42"/>
      <c r="AG175" s="42"/>
      <c r="AH175" s="42"/>
      <c r="AI175" s="42" t="str">
        <f t="array" ref="AI175">XLOOKUP($E175,Sheet11!$D:$D,Sheet11!$X:$X,"",0)</f>
        <v/>
      </c>
      <c r="AJ175" s="42" t="str">
        <f t="array" ref="AJ175">XLOOKUP($E175,Sheet11!$D:$D,Sheet11!$Y:$Y,"",0)</f>
        <v/>
      </c>
    </row>
    <row r="176">
      <c r="A176" s="41">
        <v>760.0</v>
      </c>
      <c r="B176" s="42" t="s">
        <v>365</v>
      </c>
      <c r="C176" s="42" t="s">
        <v>366</v>
      </c>
      <c r="D176" s="42"/>
      <c r="E176" s="42" t="str">
        <f t="shared" ref="E176:F176" si="177">PROPER(B176)</f>
        <v>San Fernando Swisa Agriculture Cooperative (Safsco)</v>
      </c>
      <c r="F176" s="42" t="str">
        <f t="shared" si="177"/>
        <v>Beberon, San Fernando, Camarines Sur</v>
      </c>
      <c r="G176" s="42" t="str">
        <f t="shared" si="3"/>
        <v>Beberon</v>
      </c>
      <c r="H176" s="42" t="str">
        <f t="shared" si="4"/>
        <v>San Fernando</v>
      </c>
      <c r="I176" s="42" t="str">
        <f t="shared" si="5"/>
        <v>Camarines Sur</v>
      </c>
      <c r="J176" s="42" t="str">
        <f t="array" ref="J176">XLOOKUP($E176,'Recipients REF'!$B:$B,'Recipients REF'!D:D,"",0)</f>
        <v>Maribeth A. Lizardo</v>
      </c>
      <c r="K176" s="42">
        <f t="array" ref="K176">XLOOKUP($E176,'Recipients REF'!$B:$B,'Recipients REF'!E:E,"",0)</f>
        <v>9070954290</v>
      </c>
      <c r="L176" s="43" t="str">
        <f t="array" ref="L176">XLOOKUP($A176,'Recipients REF'!$A:$A,'Recipients REF'!F:F,"",0)</f>
        <v>RCEF 25-03-05</v>
      </c>
      <c r="M176" s="43">
        <f t="array" ref="M176">XLOOKUP($A176,'Recipients REF'!$A:$A,'Recipients REF'!G:G,"",0)</f>
        <v>6</v>
      </c>
      <c r="N176" s="43" t="str">
        <f t="array" ref="N176">XLOOKUP($A176,'Recipients REF'!$A:$A,'Recipients REF'!H:H,"",0)</f>
        <v>26592 &amp; 27865</v>
      </c>
      <c r="O176" s="44" t="s">
        <v>25</v>
      </c>
      <c r="P176" s="45" t="s">
        <v>26</v>
      </c>
      <c r="Q176" s="46" t="str">
        <f t="array" ref="Q176">XLOOKUP($A176,'Recipients REF'!$A:$A,'Recipients REF'!I:I,"",0)</f>
        <v>KMC5825 AHSFPV0176</v>
      </c>
      <c r="R176" s="53" t="str">
        <f t="array" ref="R176">XLOOKUP($A176,'Recipients REF'!$A:$A,'Recipients REF'!J:J,"",0)</f>
        <v>STS100190</v>
      </c>
      <c r="S176" s="45" t="s">
        <v>27</v>
      </c>
      <c r="T176" s="45" t="s">
        <v>28</v>
      </c>
      <c r="U176" s="46" t="str">
        <f t="array" ref="U176">XLOOKUP($A176,'Recipients REF'!$A:$A,'Recipients REF'!K:K,"",0)</f>
        <v>WR-SERIES 1468PH</v>
      </c>
      <c r="V176" s="44" t="s">
        <v>29</v>
      </c>
      <c r="W176" s="45" t="s">
        <v>30</v>
      </c>
      <c r="X176" s="53">
        <f t="array" ref="X176">XLOOKUP($A176,'Recipients REF'!$A:$A,'Recipients REF'!L:L,"",0)</f>
        <v>25120898</v>
      </c>
      <c r="Y176" s="48" t="s">
        <v>29</v>
      </c>
      <c r="Z176" s="48" t="s">
        <v>31</v>
      </c>
      <c r="AA176" s="54">
        <f t="array" ref="AA176">XLOOKUP($A176,'Recipients REF'!$A:$A,'Recipients REF'!M:M,"",0)</f>
        <v>25121390</v>
      </c>
      <c r="AB176" s="49"/>
      <c r="AC176" s="42"/>
      <c r="AD176" s="42"/>
      <c r="AE176" s="50"/>
      <c r="AF176" s="42"/>
      <c r="AG176" s="42"/>
      <c r="AH176" s="42"/>
      <c r="AI176" s="42" t="str">
        <f t="array" ref="AI176">XLOOKUP($E176,Sheet11!$D:$D,Sheet11!$X:$X,"",0)</f>
        <v/>
      </c>
      <c r="AJ176" s="42" t="str">
        <f t="array" ref="AJ176">XLOOKUP($E176,Sheet11!$D:$D,Sheet11!$Y:$Y,"",0)</f>
        <v/>
      </c>
    </row>
    <row r="177">
      <c r="A177" s="41">
        <v>761.0</v>
      </c>
      <c r="B177" s="42" t="s">
        <v>367</v>
      </c>
      <c r="C177" s="42" t="s">
        <v>368</v>
      </c>
      <c r="D177" s="42"/>
      <c r="E177" s="42" t="str">
        <f t="shared" ref="E177:F177" si="178">PROPER(B177)</f>
        <v>Bombon Iraya Farmers Agriculture Cooperative</v>
      </c>
      <c r="F177" s="42" t="str">
        <f t="shared" si="178"/>
        <v>San Antonio, Bombon, Camarines Sur</v>
      </c>
      <c r="G177" s="42" t="str">
        <f t="shared" si="3"/>
        <v>San Antonio</v>
      </c>
      <c r="H177" s="42" t="str">
        <f t="shared" si="4"/>
        <v>Bombon</v>
      </c>
      <c r="I177" s="42" t="str">
        <f t="shared" si="5"/>
        <v>Camarines Sur</v>
      </c>
      <c r="J177" s="42" t="str">
        <f t="array" ref="J177">XLOOKUP($E177,'Recipients REF'!$B:$B,'Recipients REF'!D:D,"",0)</f>
        <v>Dante T. Dela Merced</v>
      </c>
      <c r="K177" s="42" t="str">
        <f t="array" ref="K177">XLOOKUP($E177,'Recipients REF'!$B:$B,'Recipients REF'!E:E,"",0)</f>
        <v>0994 809 6445</v>
      </c>
      <c r="L177" s="43" t="str">
        <f t="array" ref="L177">XLOOKUP($A177,'Recipients REF'!$A:$A,'Recipients REF'!F:F,"",0)</f>
        <v>RCEF 25-03-05</v>
      </c>
      <c r="M177" s="43">
        <f t="array" ref="M177">XLOOKUP($A177,'Recipients REF'!$A:$A,'Recipients REF'!G:G,"",0)</f>
        <v>6</v>
      </c>
      <c r="N177" s="43" t="str">
        <f t="array" ref="N177">XLOOKUP($A177,'Recipients REF'!$A:$A,'Recipients REF'!H:H,"",0)</f>
        <v>26593 &amp; 27866</v>
      </c>
      <c r="O177" s="44" t="s">
        <v>25</v>
      </c>
      <c r="P177" s="45" t="s">
        <v>26</v>
      </c>
      <c r="Q177" s="46" t="str">
        <f t="array" ref="Q177">XLOOKUP($A177,'Recipients REF'!$A:$A,'Recipients REF'!I:I,"",0)</f>
        <v>KMC5825 AASFPV0224</v>
      </c>
      <c r="R177" s="53" t="str">
        <f t="array" ref="R177">XLOOKUP($A177,'Recipients REF'!$A:$A,'Recipients REF'!J:J,"",0)</f>
        <v>STS100184</v>
      </c>
      <c r="S177" s="45" t="s">
        <v>27</v>
      </c>
      <c r="T177" s="45" t="s">
        <v>28</v>
      </c>
      <c r="U177" s="46" t="str">
        <f t="array" ref="U177">XLOOKUP($A177,'Recipients REF'!$A:$A,'Recipients REF'!K:K,"",0)</f>
        <v>WR-SERIES 1469PH</v>
      </c>
      <c r="V177" s="44" t="s">
        <v>29</v>
      </c>
      <c r="W177" s="45" t="s">
        <v>30</v>
      </c>
      <c r="X177" s="53">
        <f t="array" ref="X177">XLOOKUP($A177,'Recipients REF'!$A:$A,'Recipients REF'!L:L,"",0)</f>
        <v>25120899</v>
      </c>
      <c r="Y177" s="48" t="s">
        <v>29</v>
      </c>
      <c r="Z177" s="48" t="s">
        <v>31</v>
      </c>
      <c r="AA177" s="54">
        <f t="array" ref="AA177">XLOOKUP($A177,'Recipients REF'!$A:$A,'Recipients REF'!M:M,"",0)</f>
        <v>25121391</v>
      </c>
      <c r="AB177" s="49"/>
      <c r="AC177" s="42"/>
      <c r="AD177" s="42"/>
      <c r="AE177" s="50"/>
      <c r="AF177" s="42"/>
      <c r="AG177" s="42"/>
      <c r="AH177" s="42"/>
      <c r="AI177" s="42" t="str">
        <f t="array" ref="AI177">XLOOKUP($E177,Sheet11!$D:$D,Sheet11!$X:$X,"",0)</f>
        <v/>
      </c>
      <c r="AJ177" s="42" t="str">
        <f t="array" ref="AJ177">XLOOKUP($E177,Sheet11!$D:$D,Sheet11!$Y:$Y,"",0)</f>
        <v/>
      </c>
    </row>
    <row r="178">
      <c r="A178" s="41">
        <v>762.0</v>
      </c>
      <c r="B178" s="42" t="s">
        <v>357</v>
      </c>
      <c r="C178" s="42" t="s">
        <v>358</v>
      </c>
      <c r="D178" s="42"/>
      <c r="E178" s="42" t="str">
        <f t="shared" ref="E178:F178" si="179">PROPER(B178)</f>
        <v>Magarao Multi-Purpose Cooperative</v>
      </c>
      <c r="F178" s="42" t="str">
        <f t="shared" si="179"/>
        <v>San Isidro (Pob.), Magarao, Camarines Sur</v>
      </c>
      <c r="G178" s="42" t="str">
        <f t="shared" si="3"/>
        <v>San Isidro (Pob.)</v>
      </c>
      <c r="H178" s="42" t="str">
        <f t="shared" si="4"/>
        <v>Magarao</v>
      </c>
      <c r="I178" s="42" t="str">
        <f t="shared" si="5"/>
        <v>Camarines Sur</v>
      </c>
      <c r="J178" s="42" t="str">
        <f t="array" ref="J178">XLOOKUP($E178,'Recipients REF'!$B:$B,'Recipients REF'!D:D,"",0)</f>
        <v>Gemma Diaz</v>
      </c>
      <c r="K178" s="42">
        <f t="array" ref="K178">XLOOKUP($E178,'Recipients REF'!$B:$B,'Recipients REF'!E:E,"",0)</f>
        <v>9074694335</v>
      </c>
      <c r="L178" s="43" t="str">
        <f t="array" ref="L178">XLOOKUP($A178,'Recipients REF'!$A:$A,'Recipients REF'!F:F,"",0)</f>
        <v>RCEF 25-03-05</v>
      </c>
      <c r="M178" s="43">
        <f t="array" ref="M178">XLOOKUP($A178,'Recipients REF'!$A:$A,'Recipients REF'!G:G,"",0)</f>
        <v>6</v>
      </c>
      <c r="N178" s="43" t="str">
        <f t="array" ref="N178">XLOOKUP($A178,'Recipients REF'!$A:$A,'Recipients REF'!H:H,"",0)</f>
        <v>26594 &amp; 27867</v>
      </c>
      <c r="O178" s="44" t="s">
        <v>25</v>
      </c>
      <c r="P178" s="45" t="s">
        <v>26</v>
      </c>
      <c r="Q178" s="46" t="str">
        <f t="array" ref="Q178">XLOOKUP($A178,'Recipients REF'!$A:$A,'Recipients REF'!I:I,"",0)</f>
        <v>KMC5825 APSFPV0202</v>
      </c>
      <c r="R178" s="53" t="str">
        <f t="array" ref="R178">XLOOKUP($A178,'Recipients REF'!$A:$A,'Recipients REF'!J:J,"",0)</f>
        <v>STS100205</v>
      </c>
      <c r="S178" s="45" t="s">
        <v>27</v>
      </c>
      <c r="T178" s="45" t="s">
        <v>28</v>
      </c>
      <c r="U178" s="46" t="str">
        <f t="array" ref="U178">XLOOKUP($A178,'Recipients REF'!$A:$A,'Recipients REF'!K:K,"",0)</f>
        <v>WR-SERIES 1470PH</v>
      </c>
      <c r="V178" s="44" t="s">
        <v>29</v>
      </c>
      <c r="W178" s="45" t="s">
        <v>30</v>
      </c>
      <c r="X178" s="53">
        <f t="array" ref="X178">XLOOKUP($A178,'Recipients REF'!$A:$A,'Recipients REF'!L:L,"",0)</f>
        <v>25120900</v>
      </c>
      <c r="Y178" s="48" t="s">
        <v>29</v>
      </c>
      <c r="Z178" s="48" t="s">
        <v>31</v>
      </c>
      <c r="AA178" s="54">
        <f t="array" ref="AA178">XLOOKUP($A178,'Recipients REF'!$A:$A,'Recipients REF'!M:M,"",0)</f>
        <v>25121392</v>
      </c>
      <c r="AB178" s="49"/>
      <c r="AC178" s="42"/>
      <c r="AD178" s="42"/>
      <c r="AE178" s="50"/>
      <c r="AF178" s="42"/>
      <c r="AG178" s="42"/>
      <c r="AH178" s="42"/>
      <c r="AI178" s="42" t="str">
        <f t="array" ref="AI178">XLOOKUP($E178,Sheet11!$D:$D,Sheet11!$X:$X,"",0)</f>
        <v/>
      </c>
      <c r="AJ178" s="42" t="str">
        <f t="array" ref="AJ178">XLOOKUP($E178,Sheet11!$D:$D,Sheet11!$Y:$Y,"",0)</f>
        <v/>
      </c>
    </row>
    <row r="179">
      <c r="A179" s="41">
        <v>763.0</v>
      </c>
      <c r="B179" s="42" t="s">
        <v>369</v>
      </c>
      <c r="C179" s="42" t="s">
        <v>370</v>
      </c>
      <c r="D179" s="42"/>
      <c r="E179" s="42" t="str">
        <f t="shared" ref="E179:F179" si="180">PROPER(B179)</f>
        <v>City Local Government Unit Of Naga</v>
      </c>
      <c r="F179" s="42" t="str">
        <f t="shared" si="180"/>
        <v>Concepcion Pequeña, Naga City, Camarines Sur</v>
      </c>
      <c r="G179" s="42" t="str">
        <f t="shared" si="3"/>
        <v>Concepcion Pequeña</v>
      </c>
      <c r="H179" s="42" t="str">
        <f t="shared" si="4"/>
        <v>Naga City</v>
      </c>
      <c r="I179" s="42" t="str">
        <f t="shared" si="5"/>
        <v>Camarines Sur</v>
      </c>
      <c r="J179" s="42" t="str">
        <f t="array" ref="J179">XLOOKUP($E179,'Recipients REF'!$B:$B,'Recipients REF'!D:D,"",0)</f>
        <v>Hon. Nelson S. Legacion</v>
      </c>
      <c r="K179" s="42">
        <f t="array" ref="K179">XLOOKUP($E179,'Recipients REF'!$B:$B,'Recipients REF'!E:E,"",0)</f>
        <v>9214816962</v>
      </c>
      <c r="L179" s="43" t="str">
        <f t="array" ref="L179">XLOOKUP($A179,'Recipients REF'!$A:$A,'Recipients REF'!F:F,"",0)</f>
        <v>RCEF 25-03-05</v>
      </c>
      <c r="M179" s="43">
        <f t="array" ref="M179">XLOOKUP($A179,'Recipients REF'!$A:$A,'Recipients REF'!G:G,"",0)</f>
        <v>6</v>
      </c>
      <c r="N179" s="43" t="str">
        <f t="array" ref="N179">XLOOKUP($A179,'Recipients REF'!$A:$A,'Recipients REF'!H:H,"",0)</f>
        <v>26595 &amp; 27868</v>
      </c>
      <c r="O179" s="44" t="s">
        <v>25</v>
      </c>
      <c r="P179" s="45" t="s">
        <v>26</v>
      </c>
      <c r="Q179" s="46" t="str">
        <f t="array" ref="Q179">XLOOKUP($A179,'Recipients REF'!$A:$A,'Recipients REF'!I:I,"",0)</f>
        <v>KMC5825 ALSFPV0211</v>
      </c>
      <c r="R179" s="53" t="str">
        <f t="array" ref="R179">XLOOKUP($A179,'Recipients REF'!$A:$A,'Recipients REF'!J:J,"",0)</f>
        <v>STS100200</v>
      </c>
      <c r="S179" s="45" t="s">
        <v>27</v>
      </c>
      <c r="T179" s="45" t="s">
        <v>28</v>
      </c>
      <c r="U179" s="46" t="str">
        <f t="array" ref="U179">XLOOKUP($A179,'Recipients REF'!$A:$A,'Recipients REF'!K:K,"",0)</f>
        <v>WR-SERIES 1471PH</v>
      </c>
      <c r="V179" s="44" t="s">
        <v>29</v>
      </c>
      <c r="W179" s="45" t="s">
        <v>30</v>
      </c>
      <c r="X179" s="53">
        <f t="array" ref="X179">XLOOKUP($A179,'Recipients REF'!$A:$A,'Recipients REF'!L:L,"",0)</f>
        <v>25120901</v>
      </c>
      <c r="Y179" s="48" t="s">
        <v>29</v>
      </c>
      <c r="Z179" s="48" t="s">
        <v>31</v>
      </c>
      <c r="AA179" s="54">
        <f t="array" ref="AA179">XLOOKUP($A179,'Recipients REF'!$A:$A,'Recipients REF'!M:M,"",0)</f>
        <v>25121393</v>
      </c>
      <c r="AB179" s="49"/>
      <c r="AC179" s="42"/>
      <c r="AD179" s="42"/>
      <c r="AE179" s="50"/>
      <c r="AF179" s="42"/>
      <c r="AG179" s="42"/>
      <c r="AH179" s="42"/>
      <c r="AI179" s="42" t="str">
        <f t="array" ref="AI179">XLOOKUP($E179,Sheet11!$D:$D,Sheet11!$X:$X,"",0)</f>
        <v/>
      </c>
      <c r="AJ179" s="42" t="str">
        <f t="array" ref="AJ179">XLOOKUP($E179,Sheet11!$D:$D,Sheet11!$Y:$Y,"",0)</f>
        <v/>
      </c>
    </row>
    <row r="180">
      <c r="A180" s="41">
        <v>764.0</v>
      </c>
      <c r="B180" s="42" t="s">
        <v>371</v>
      </c>
      <c r="C180" s="42" t="s">
        <v>372</v>
      </c>
      <c r="D180" s="42"/>
      <c r="E180" s="42" t="str">
        <f t="shared" ref="E180:F180" si="181">PROPER(B180)</f>
        <v>Caanduyog Agriculture Cooperative (Caanduyog-Aco)</v>
      </c>
      <c r="F180" s="42" t="str">
        <f t="shared" si="181"/>
        <v>Cagmanaba, Ocampo, Camarines Sur</v>
      </c>
      <c r="G180" s="42" t="str">
        <f t="shared" si="3"/>
        <v>Cagmanaba</v>
      </c>
      <c r="H180" s="42" t="str">
        <f t="shared" si="4"/>
        <v>Ocampo</v>
      </c>
      <c r="I180" s="42" t="str">
        <f t="shared" si="5"/>
        <v>Camarines Sur</v>
      </c>
      <c r="J180" s="42" t="str">
        <f t="array" ref="J180">XLOOKUP($E180,'Recipients REF'!$B:$B,'Recipients REF'!D:D,"",0)</f>
        <v>Victor M. Losabio</v>
      </c>
      <c r="K180" s="42">
        <f t="array" ref="K180">XLOOKUP($E180,'Recipients REF'!$B:$B,'Recipients REF'!E:E,"",0)</f>
        <v>94774699664</v>
      </c>
      <c r="L180" s="43" t="str">
        <f t="array" ref="L180">XLOOKUP($A180,'Recipients REF'!$A:$A,'Recipients REF'!F:F,"",0)</f>
        <v>RCEF 25-03-05</v>
      </c>
      <c r="M180" s="43">
        <f t="array" ref="M180">XLOOKUP($A180,'Recipients REF'!$A:$A,'Recipients REF'!G:G,"",0)</f>
        <v>6</v>
      </c>
      <c r="N180" s="43" t="str">
        <f t="array" ref="N180">XLOOKUP($A180,'Recipients REF'!$A:$A,'Recipients REF'!H:H,"",0)</f>
        <v>26596 &amp; 27869</v>
      </c>
      <c r="O180" s="44" t="s">
        <v>25</v>
      </c>
      <c r="P180" s="45" t="s">
        <v>26</v>
      </c>
      <c r="Q180" s="46" t="str">
        <f t="array" ref="Q180">XLOOKUP($A180,'Recipients REF'!$A:$A,'Recipients REF'!I:I,"",0)</f>
        <v>KMC5825 AKSFPV0296</v>
      </c>
      <c r="R180" s="53" t="str">
        <f t="array" ref="R180">XLOOKUP($A180,'Recipients REF'!$A:$A,'Recipients REF'!J:J,"",0)</f>
        <v>STS100282</v>
      </c>
      <c r="S180" s="45" t="s">
        <v>27</v>
      </c>
      <c r="T180" s="45" t="s">
        <v>28</v>
      </c>
      <c r="U180" s="46" t="str">
        <f t="array" ref="U180">XLOOKUP($A180,'Recipients REF'!$A:$A,'Recipients REF'!K:K,"",0)</f>
        <v>WR-SERIES 1472PH</v>
      </c>
      <c r="V180" s="44" t="s">
        <v>29</v>
      </c>
      <c r="W180" s="45" t="s">
        <v>30</v>
      </c>
      <c r="X180" s="53">
        <f t="array" ref="X180">XLOOKUP($A180,'Recipients REF'!$A:$A,'Recipients REF'!L:L,"",0)</f>
        <v>25120902</v>
      </c>
      <c r="Y180" s="48" t="s">
        <v>29</v>
      </c>
      <c r="Z180" s="48" t="s">
        <v>31</v>
      </c>
      <c r="AA180" s="54">
        <f t="array" ref="AA180">XLOOKUP($A180,'Recipients REF'!$A:$A,'Recipients REF'!M:M,"",0)</f>
        <v>25121394</v>
      </c>
      <c r="AB180" s="49"/>
      <c r="AC180" s="42"/>
      <c r="AD180" s="42"/>
      <c r="AE180" s="50"/>
      <c r="AF180" s="42"/>
      <c r="AG180" s="42"/>
      <c r="AH180" s="42"/>
      <c r="AI180" s="42" t="str">
        <f t="array" ref="AI180">XLOOKUP($E180,Sheet11!$D:$D,Sheet11!$X:$X,"",0)</f>
        <v/>
      </c>
      <c r="AJ180" s="42" t="str">
        <f t="array" ref="AJ180">XLOOKUP($E180,Sheet11!$D:$D,Sheet11!$Y:$Y,"",0)</f>
        <v/>
      </c>
    </row>
    <row r="181">
      <c r="A181" s="41">
        <v>765.0</v>
      </c>
      <c r="B181" s="42" t="s">
        <v>373</v>
      </c>
      <c r="C181" s="42" t="s">
        <v>372</v>
      </c>
      <c r="D181" s="42"/>
      <c r="E181" s="42" t="str">
        <f t="shared" ref="E181:F181" si="182">PROPER(B181)</f>
        <v>Cagmanaba Agrarian Reform Farmer-Beneficiaries Ass. (Carfba)</v>
      </c>
      <c r="F181" s="42" t="str">
        <f t="shared" si="182"/>
        <v>Cagmanaba, Ocampo, Camarines Sur</v>
      </c>
      <c r="G181" s="42" t="str">
        <f t="shared" si="3"/>
        <v>Cagmanaba</v>
      </c>
      <c r="H181" s="42" t="str">
        <f t="shared" si="4"/>
        <v>Ocampo</v>
      </c>
      <c r="I181" s="42" t="str">
        <f t="shared" si="5"/>
        <v>Camarines Sur</v>
      </c>
      <c r="J181" s="42" t="str">
        <f t="array" ref="J181">XLOOKUP($E181,'Recipients REF'!$B:$B,'Recipients REF'!D:D,"",0)</f>
        <v>Michael Bicaldo</v>
      </c>
      <c r="K181" s="42">
        <f t="array" ref="K181">XLOOKUP($E181,'Recipients REF'!$B:$B,'Recipients REF'!E:E,"",0)</f>
        <v>9704805118</v>
      </c>
      <c r="L181" s="43" t="str">
        <f t="array" ref="L181">XLOOKUP($A181,'Recipients REF'!$A:$A,'Recipients REF'!F:F,"",0)</f>
        <v>RCEF 25-03-05</v>
      </c>
      <c r="M181" s="43">
        <f t="array" ref="M181">XLOOKUP($A181,'Recipients REF'!$A:$A,'Recipients REF'!G:G,"",0)</f>
        <v>6</v>
      </c>
      <c r="N181" s="43" t="str">
        <f t="array" ref="N181">XLOOKUP($A181,'Recipients REF'!$A:$A,'Recipients REF'!H:H,"",0)</f>
        <v>26597 &amp; 27870</v>
      </c>
      <c r="O181" s="44" t="s">
        <v>25</v>
      </c>
      <c r="P181" s="45" t="s">
        <v>26</v>
      </c>
      <c r="Q181" s="46" t="str">
        <f t="array" ref="Q181">XLOOKUP($A181,'Recipients REF'!$A:$A,'Recipients REF'!I:I,"",0)</f>
        <v>KMC5825 AJSFPV0218</v>
      </c>
      <c r="R181" s="53" t="str">
        <f t="array" ref="R181">XLOOKUP($A181,'Recipients REF'!$A:$A,'Recipients REF'!J:J,"",0)</f>
        <v>STS100211</v>
      </c>
      <c r="S181" s="45" t="s">
        <v>27</v>
      </c>
      <c r="T181" s="45" t="s">
        <v>28</v>
      </c>
      <c r="U181" s="46" t="str">
        <f t="array" ref="U181">XLOOKUP($A181,'Recipients REF'!$A:$A,'Recipients REF'!K:K,"",0)</f>
        <v>WR-SERIES 1473PH</v>
      </c>
      <c r="V181" s="44" t="s">
        <v>29</v>
      </c>
      <c r="W181" s="45" t="s">
        <v>30</v>
      </c>
      <c r="X181" s="53">
        <f t="array" ref="X181">XLOOKUP($A181,'Recipients REF'!$A:$A,'Recipients REF'!L:L,"",0)</f>
        <v>25120903</v>
      </c>
      <c r="Y181" s="48" t="s">
        <v>29</v>
      </c>
      <c r="Z181" s="48" t="s">
        <v>31</v>
      </c>
      <c r="AA181" s="54">
        <f t="array" ref="AA181">XLOOKUP($A181,'Recipients REF'!$A:$A,'Recipients REF'!M:M,"",0)</f>
        <v>25121395</v>
      </c>
      <c r="AB181" s="49"/>
      <c r="AC181" s="42"/>
      <c r="AD181" s="42"/>
      <c r="AE181" s="50"/>
      <c r="AF181" s="42"/>
      <c r="AG181" s="42"/>
      <c r="AH181" s="42"/>
      <c r="AI181" s="42" t="str">
        <f t="array" ref="AI181">XLOOKUP($E181,Sheet11!$D:$D,Sheet11!$X:$X,"",0)</f>
        <v/>
      </c>
      <c r="AJ181" s="42" t="str">
        <f t="array" ref="AJ181">XLOOKUP($E181,Sheet11!$D:$D,Sheet11!$Y:$Y,"",0)</f>
        <v/>
      </c>
    </row>
    <row r="182">
      <c r="A182" s="41">
        <v>766.0</v>
      </c>
      <c r="B182" s="42" t="s">
        <v>374</v>
      </c>
      <c r="C182" s="42" t="s">
        <v>375</v>
      </c>
      <c r="D182" s="42"/>
      <c r="E182" s="42" t="str">
        <f t="shared" ref="E182:F182" si="183">PROPER(B182)</f>
        <v>Hanawan Farmers Association (Hanfa)</v>
      </c>
      <c r="F182" s="42" t="str">
        <f t="shared" si="183"/>
        <v>Hanawan, Ocampo, Camarines Sur</v>
      </c>
      <c r="G182" s="42" t="str">
        <f t="shared" si="3"/>
        <v>Hanawan</v>
      </c>
      <c r="H182" s="42" t="str">
        <f t="shared" si="4"/>
        <v>Ocampo</v>
      </c>
      <c r="I182" s="42" t="str">
        <f t="shared" si="5"/>
        <v>Camarines Sur</v>
      </c>
      <c r="J182" s="42" t="str">
        <f t="array" ref="J182">XLOOKUP($E182,'Recipients REF'!$B:$B,'Recipients REF'!D:D,"",0)</f>
        <v>Ivy C. Fabricante</v>
      </c>
      <c r="K182" s="42" t="str">
        <f t="array" ref="K182">XLOOKUP($E182,'Recipients REF'!$B:$B,'Recipients REF'!E:E,"",0)</f>
        <v>0938 615 9507</v>
      </c>
      <c r="L182" s="43" t="str">
        <f t="array" ref="L182">XLOOKUP($A182,'Recipients REF'!$A:$A,'Recipients REF'!F:F,"",0)</f>
        <v>RCEF 25-03-05</v>
      </c>
      <c r="M182" s="43">
        <f t="array" ref="M182">XLOOKUP($A182,'Recipients REF'!$A:$A,'Recipients REF'!G:G,"",0)</f>
        <v>6</v>
      </c>
      <c r="N182" s="43" t="str">
        <f t="array" ref="N182">XLOOKUP($A182,'Recipients REF'!$A:$A,'Recipients REF'!H:H,"",0)</f>
        <v>26598 &amp; 27871</v>
      </c>
      <c r="O182" s="44" t="s">
        <v>25</v>
      </c>
      <c r="P182" s="45" t="s">
        <v>26</v>
      </c>
      <c r="Q182" s="46" t="str">
        <f t="array" ref="Q182">XLOOKUP($A182,'Recipients REF'!$A:$A,'Recipients REF'!I:I,"",0)</f>
        <v>KMC5825 AKSFPV0195</v>
      </c>
      <c r="R182" s="53" t="str">
        <f t="array" ref="R182">XLOOKUP($A182,'Recipients REF'!$A:$A,'Recipients REF'!J:J,"",0)</f>
        <v>STS100202</v>
      </c>
      <c r="S182" s="45" t="s">
        <v>27</v>
      </c>
      <c r="T182" s="45" t="s">
        <v>28</v>
      </c>
      <c r="U182" s="46" t="str">
        <f t="array" ref="U182">XLOOKUP($A182,'Recipients REF'!$A:$A,'Recipients REF'!K:K,"",0)</f>
        <v>WR-SERIES 1474PH</v>
      </c>
      <c r="V182" s="44" t="s">
        <v>29</v>
      </c>
      <c r="W182" s="45" t="s">
        <v>30</v>
      </c>
      <c r="X182" s="53">
        <f t="array" ref="X182">XLOOKUP($A182,'Recipients REF'!$A:$A,'Recipients REF'!L:L,"",0)</f>
        <v>25120904</v>
      </c>
      <c r="Y182" s="48" t="s">
        <v>29</v>
      </c>
      <c r="Z182" s="48" t="s">
        <v>31</v>
      </c>
      <c r="AA182" s="54">
        <f t="array" ref="AA182">XLOOKUP($A182,'Recipients REF'!$A:$A,'Recipients REF'!M:M,"",0)</f>
        <v>25121396</v>
      </c>
      <c r="AB182" s="49"/>
      <c r="AC182" s="42"/>
      <c r="AD182" s="42"/>
      <c r="AE182" s="50"/>
      <c r="AF182" s="42"/>
      <c r="AG182" s="42"/>
      <c r="AH182" s="42"/>
      <c r="AI182" s="42" t="str">
        <f t="array" ref="AI182">XLOOKUP($E182,Sheet11!$D:$D,Sheet11!$X:$X,"",0)</f>
        <v/>
      </c>
      <c r="AJ182" s="42" t="str">
        <f t="array" ref="AJ182">XLOOKUP($E182,Sheet11!$D:$D,Sheet11!$Y:$Y,"",0)</f>
        <v/>
      </c>
    </row>
    <row r="183">
      <c r="A183" s="41">
        <v>767.0</v>
      </c>
      <c r="B183" s="42" t="s">
        <v>376</v>
      </c>
      <c r="C183" s="42" t="s">
        <v>360</v>
      </c>
      <c r="D183" s="42"/>
      <c r="E183" s="42" t="str">
        <f t="shared" ref="E183:F183" si="184">PROPER(B183)</f>
        <v>Calangatnan Seed Growers Association, Inc.</v>
      </c>
      <c r="F183" s="42" t="str">
        <f t="shared" si="184"/>
        <v>San Agustin, Pili, Camarines Sur</v>
      </c>
      <c r="G183" s="42" t="str">
        <f t="shared" si="3"/>
        <v>San Agustin</v>
      </c>
      <c r="H183" s="42" t="str">
        <f t="shared" si="4"/>
        <v>Pili</v>
      </c>
      <c r="I183" s="42" t="str">
        <f t="shared" si="5"/>
        <v>Camarines Sur</v>
      </c>
      <c r="J183" s="42" t="str">
        <f t="array" ref="J183">XLOOKUP($E183,'Recipients REF'!$B:$B,'Recipients REF'!D:D,"",0)</f>
        <v>Lorenzo B. Deris</v>
      </c>
      <c r="K183" s="42">
        <f t="array" ref="K183">XLOOKUP($E183,'Recipients REF'!$B:$B,'Recipients REF'!E:E,"",0)</f>
        <v>9202922261</v>
      </c>
      <c r="L183" s="43" t="str">
        <f t="array" ref="L183">XLOOKUP($A183,'Recipients REF'!$A:$A,'Recipients REF'!F:F,"",0)</f>
        <v>RCEF 25-03-05</v>
      </c>
      <c r="M183" s="43">
        <f t="array" ref="M183">XLOOKUP($A183,'Recipients REF'!$A:$A,'Recipients REF'!G:G,"",0)</f>
        <v>6</v>
      </c>
      <c r="N183" s="43" t="str">
        <f t="array" ref="N183">XLOOKUP($A183,'Recipients REF'!$A:$A,'Recipients REF'!H:H,"",0)</f>
        <v>26599 &amp; 27872</v>
      </c>
      <c r="O183" s="44" t="s">
        <v>25</v>
      </c>
      <c r="P183" s="45" t="s">
        <v>26</v>
      </c>
      <c r="Q183" s="46" t="str">
        <f t="array" ref="Q183">XLOOKUP($A183,'Recipients REF'!$A:$A,'Recipients REF'!I:I,"",0)</f>
        <v>KMC5825 ATSFPV0246</v>
      </c>
      <c r="R183" s="53" t="str">
        <f t="array" ref="R183">XLOOKUP($A183,'Recipients REF'!$A:$A,'Recipients REF'!J:J,"",0)</f>
        <v>STS100248</v>
      </c>
      <c r="S183" s="45" t="s">
        <v>27</v>
      </c>
      <c r="T183" s="45" t="s">
        <v>28</v>
      </c>
      <c r="U183" s="46" t="str">
        <f t="array" ref="U183">XLOOKUP($A183,'Recipients REF'!$A:$A,'Recipients REF'!K:K,"",0)</f>
        <v>WR-SERIES 1475PH</v>
      </c>
      <c r="V183" s="44" t="s">
        <v>29</v>
      </c>
      <c r="W183" s="45" t="s">
        <v>30</v>
      </c>
      <c r="X183" s="53">
        <f t="array" ref="X183">XLOOKUP($A183,'Recipients REF'!$A:$A,'Recipients REF'!L:L,"",0)</f>
        <v>25120905</v>
      </c>
      <c r="Y183" s="48" t="s">
        <v>29</v>
      </c>
      <c r="Z183" s="48" t="s">
        <v>31</v>
      </c>
      <c r="AA183" s="54">
        <f t="array" ref="AA183">XLOOKUP($A183,'Recipients REF'!$A:$A,'Recipients REF'!M:M,"",0)</f>
        <v>25121397</v>
      </c>
      <c r="AB183" s="49"/>
      <c r="AC183" s="42"/>
      <c r="AD183" s="42"/>
      <c r="AE183" s="50"/>
      <c r="AF183" s="42"/>
      <c r="AG183" s="42"/>
      <c r="AH183" s="42"/>
      <c r="AI183" s="42" t="str">
        <f t="array" ref="AI183">XLOOKUP($E183,Sheet11!$D:$D,Sheet11!$X:$X,"",0)</f>
        <v/>
      </c>
      <c r="AJ183" s="42" t="str">
        <f t="array" ref="AJ183">XLOOKUP($E183,Sheet11!$D:$D,Sheet11!$Y:$Y,"",0)</f>
        <v/>
      </c>
    </row>
    <row r="184">
      <c r="A184" s="41">
        <v>768.0</v>
      </c>
      <c r="B184" s="42" t="s">
        <v>377</v>
      </c>
      <c r="C184" s="42" t="s">
        <v>378</v>
      </c>
      <c r="D184" s="42"/>
      <c r="E184" s="42" t="str">
        <f t="shared" ref="E184:F184" si="185">PROPER(B184)</f>
        <v>Csac 77 Agriculture Cooperative</v>
      </c>
      <c r="F184" s="42" t="str">
        <f t="shared" si="185"/>
        <v>Tagbong, Pili, Camarines Sur</v>
      </c>
      <c r="G184" s="42" t="str">
        <f t="shared" si="3"/>
        <v>Tagbong</v>
      </c>
      <c r="H184" s="42" t="str">
        <f t="shared" si="4"/>
        <v>Pili</v>
      </c>
      <c r="I184" s="42" t="str">
        <f t="shared" si="5"/>
        <v>Camarines Sur</v>
      </c>
      <c r="J184" s="42" t="str">
        <f t="array" ref="J184">XLOOKUP($E184,'Recipients REF'!$B:$B,'Recipients REF'!D:D,"",0)</f>
        <v>Antonio B. Valenzuela</v>
      </c>
      <c r="K184" s="42">
        <f t="array" ref="K184">XLOOKUP($E184,'Recipients REF'!$B:$B,'Recipients REF'!E:E,"",0)</f>
        <v>9514156425</v>
      </c>
      <c r="L184" s="43" t="str">
        <f t="array" ref="L184">XLOOKUP($A184,'Recipients REF'!$A:$A,'Recipients REF'!F:F,"",0)</f>
        <v>RCEF 25-03-05</v>
      </c>
      <c r="M184" s="43">
        <f t="array" ref="M184">XLOOKUP($A184,'Recipients REF'!$A:$A,'Recipients REF'!G:G,"",0)</f>
        <v>6</v>
      </c>
      <c r="N184" s="43" t="str">
        <f t="array" ref="N184">XLOOKUP($A184,'Recipients REF'!$A:$A,'Recipients REF'!H:H,"",0)</f>
        <v>26600 &amp; 27873</v>
      </c>
      <c r="O184" s="44" t="s">
        <v>25</v>
      </c>
      <c r="P184" s="45" t="s">
        <v>26</v>
      </c>
      <c r="Q184" s="46" t="str">
        <f t="array" ref="Q184">XLOOKUP($A184,'Recipients REF'!$A:$A,'Recipients REF'!I:I,"",0)</f>
        <v>KMC5825 AKSFPV0265</v>
      </c>
      <c r="R184" s="53" t="str">
        <f t="array" ref="R184">XLOOKUP($A184,'Recipients REF'!$A:$A,'Recipients REF'!J:J,"",0)</f>
        <v>STS100287</v>
      </c>
      <c r="S184" s="45" t="s">
        <v>27</v>
      </c>
      <c r="T184" s="45" t="s">
        <v>28</v>
      </c>
      <c r="U184" s="46" t="str">
        <f t="array" ref="U184">XLOOKUP($A184,'Recipients REF'!$A:$A,'Recipients REF'!K:K,"",0)</f>
        <v>WR-SERIES 1476PH</v>
      </c>
      <c r="V184" s="44" t="s">
        <v>29</v>
      </c>
      <c r="W184" s="45" t="s">
        <v>30</v>
      </c>
      <c r="X184" s="53">
        <f t="array" ref="X184">XLOOKUP($A184,'Recipients REF'!$A:$A,'Recipients REF'!L:L,"",0)</f>
        <v>25120906</v>
      </c>
      <c r="Y184" s="48" t="s">
        <v>29</v>
      </c>
      <c r="Z184" s="48" t="s">
        <v>31</v>
      </c>
      <c r="AA184" s="54">
        <f t="array" ref="AA184">XLOOKUP($A184,'Recipients REF'!$A:$A,'Recipients REF'!M:M,"",0)</f>
        <v>25121398</v>
      </c>
      <c r="AB184" s="49"/>
      <c r="AC184" s="42"/>
      <c r="AD184" s="42"/>
      <c r="AE184" s="50"/>
      <c r="AF184" s="42"/>
      <c r="AG184" s="42"/>
      <c r="AH184" s="42"/>
      <c r="AI184" s="42" t="str">
        <f t="array" ref="AI184">XLOOKUP($E184,Sheet11!$D:$D,Sheet11!$X:$X,"",0)</f>
        <v/>
      </c>
      <c r="AJ184" s="42" t="str">
        <f t="array" ref="AJ184">XLOOKUP($E184,Sheet11!$D:$D,Sheet11!$Y:$Y,"",0)</f>
        <v/>
      </c>
    </row>
    <row r="185">
      <c r="A185" s="41">
        <v>769.0</v>
      </c>
      <c r="B185" s="42" t="s">
        <v>379</v>
      </c>
      <c r="C185" s="42" t="s">
        <v>380</v>
      </c>
      <c r="D185" s="42"/>
      <c r="E185" s="42" t="str">
        <f t="shared" ref="E185:F185" si="186">PROPER(B185)</f>
        <v>Provincial Local Government Unit Of Camarines Sur</v>
      </c>
      <c r="F185" s="42" t="str">
        <f t="shared" si="186"/>
        <v>Cadlan, Pili, Camarines Sur</v>
      </c>
      <c r="G185" s="42" t="str">
        <f t="shared" si="3"/>
        <v>Cadlan</v>
      </c>
      <c r="H185" s="42" t="str">
        <f t="shared" si="4"/>
        <v>Pili</v>
      </c>
      <c r="I185" s="42" t="str">
        <f t="shared" si="5"/>
        <v>Camarines Sur</v>
      </c>
      <c r="J185" s="42" t="str">
        <f t="array" ref="J185">XLOOKUP($E185,'Recipients REF'!$B:$B,'Recipients REF'!D:D,"",0)</f>
        <v>Hon. Vincenzo Renato Luigi R. Villafuerte</v>
      </c>
      <c r="K185" s="42">
        <f t="array" ref="K185">XLOOKUP($E185,'Recipients REF'!$B:$B,'Recipients REF'!E:E,"",0)</f>
        <v>9188886152</v>
      </c>
      <c r="L185" s="43" t="str">
        <f t="array" ref="L185">XLOOKUP($A185,'Recipients REF'!$A:$A,'Recipients REF'!F:F,"",0)</f>
        <v>RCEF 25-03-05</v>
      </c>
      <c r="M185" s="43">
        <f t="array" ref="M185">XLOOKUP($A185,'Recipients REF'!$A:$A,'Recipients REF'!G:G,"",0)</f>
        <v>6</v>
      </c>
      <c r="N185" s="43" t="str">
        <f t="array" ref="N185">XLOOKUP($A185,'Recipients REF'!$A:$A,'Recipients REF'!H:H,"",0)</f>
        <v>26601 &amp; 27751</v>
      </c>
      <c r="O185" s="44" t="s">
        <v>25</v>
      </c>
      <c r="P185" s="45" t="s">
        <v>26</v>
      </c>
      <c r="Q185" s="46" t="str">
        <f t="array" ref="Q185">XLOOKUP($A185,'Recipients REF'!$A:$A,'Recipients REF'!I:I,"",0)</f>
        <v>KMC5825 ACRFPV0912</v>
      </c>
      <c r="R185" s="53" t="str">
        <f t="array" ref="R185">XLOOKUP($A185,'Recipients REF'!$A:$A,'Recipients REF'!J:J,"",0)</f>
        <v>RTS100823</v>
      </c>
      <c r="S185" s="45" t="s">
        <v>27</v>
      </c>
      <c r="T185" s="45" t="s">
        <v>28</v>
      </c>
      <c r="U185" s="46" t="str">
        <f t="array" ref="U185">XLOOKUP($A185,'Recipients REF'!$A:$A,'Recipients REF'!K:K,"",0)</f>
        <v>WR-SERIES 1321</v>
      </c>
      <c r="V185" s="44" t="s">
        <v>29</v>
      </c>
      <c r="W185" s="45" t="s">
        <v>30</v>
      </c>
      <c r="X185" s="53" t="str">
        <f t="array" ref="X185">XLOOKUP($A185,'Recipients REF'!$A:$A,'Recipients REF'!L:L,"",0)</f>
        <v>25040062</v>
      </c>
      <c r="Y185" s="48" t="s">
        <v>29</v>
      </c>
      <c r="Z185" s="48" t="s">
        <v>31</v>
      </c>
      <c r="AA185" s="54">
        <f t="array" ref="AA185">XLOOKUP($A185,'Recipients REF'!$A:$A,'Recipients REF'!M:M,"",0)</f>
        <v>25020333</v>
      </c>
      <c r="AB185" s="49"/>
      <c r="AC185" s="42"/>
      <c r="AD185" s="42"/>
      <c r="AE185" s="50"/>
      <c r="AF185" s="42"/>
      <c r="AG185" s="42"/>
      <c r="AH185" s="42"/>
      <c r="AI185" s="42" t="str">
        <f t="array" ref="AI185">XLOOKUP($E185,Sheet11!$D:$D,Sheet11!$X:$X,"",0)</f>
        <v/>
      </c>
      <c r="AJ185" s="42" t="str">
        <f t="array" ref="AJ185">XLOOKUP($E185,Sheet11!$D:$D,Sheet11!$Y:$Y,"",0)</f>
        <v/>
      </c>
    </row>
    <row r="186">
      <c r="A186" s="41">
        <v>770.0</v>
      </c>
      <c r="B186" s="42" t="s">
        <v>379</v>
      </c>
      <c r="C186" s="42" t="s">
        <v>380</v>
      </c>
      <c r="D186" s="42"/>
      <c r="E186" s="42" t="str">
        <f t="shared" ref="E186:F186" si="187">PROPER(B186)</f>
        <v>Provincial Local Government Unit Of Camarines Sur</v>
      </c>
      <c r="F186" s="42" t="str">
        <f t="shared" si="187"/>
        <v>Cadlan, Pili, Camarines Sur</v>
      </c>
      <c r="G186" s="42" t="str">
        <f t="shared" si="3"/>
        <v>Cadlan</v>
      </c>
      <c r="H186" s="42" t="str">
        <f t="shared" si="4"/>
        <v>Pili</v>
      </c>
      <c r="I186" s="42" t="str">
        <f t="shared" si="5"/>
        <v>Camarines Sur</v>
      </c>
      <c r="J186" s="42" t="str">
        <f t="array" ref="J186">XLOOKUP($E186,'Recipients REF'!$B:$B,'Recipients REF'!D:D,"",0)</f>
        <v>Hon. Vincenzo Renato Luigi R. Villafuerte</v>
      </c>
      <c r="K186" s="42">
        <f t="array" ref="K186">XLOOKUP($E186,'Recipients REF'!$B:$B,'Recipients REF'!E:E,"",0)</f>
        <v>9188886152</v>
      </c>
      <c r="L186" s="43" t="str">
        <f t="array" ref="L186">XLOOKUP($A186,'Recipients REF'!$A:$A,'Recipients REF'!F:F,"",0)</f>
        <v>RCEF 25-03-05</v>
      </c>
      <c r="M186" s="43">
        <f t="array" ref="M186">XLOOKUP($A186,'Recipients REF'!$A:$A,'Recipients REF'!G:G,"",0)</f>
        <v>6</v>
      </c>
      <c r="N186" s="43" t="str">
        <f t="array" ref="N186">XLOOKUP($A186,'Recipients REF'!$A:$A,'Recipients REF'!H:H,"",0)</f>
        <v>26601 &amp; 27751</v>
      </c>
      <c r="O186" s="44" t="s">
        <v>25</v>
      </c>
      <c r="P186" s="45" t="s">
        <v>26</v>
      </c>
      <c r="Q186" s="46" t="str">
        <f t="array" ref="Q186">XLOOKUP($A186,'Recipients REF'!$A:$A,'Recipients REF'!I:I,"",0)</f>
        <v>KMC5825 ACRFPV0912</v>
      </c>
      <c r="R186" s="53" t="str">
        <f t="array" ref="R186">XLOOKUP($A186,'Recipients REF'!$A:$A,'Recipients REF'!J:J,"",0)</f>
        <v>RTS100823</v>
      </c>
      <c r="S186" s="45" t="s">
        <v>27</v>
      </c>
      <c r="T186" s="45" t="s">
        <v>28</v>
      </c>
      <c r="U186" s="46" t="str">
        <f t="array" ref="U186">XLOOKUP($A186,'Recipients REF'!$A:$A,'Recipients REF'!K:K,"",0)</f>
        <v>WR-SERIES 1321</v>
      </c>
      <c r="V186" s="44" t="s">
        <v>29</v>
      </c>
      <c r="W186" s="45" t="s">
        <v>30</v>
      </c>
      <c r="X186" s="53" t="str">
        <f t="array" ref="X186">XLOOKUP($A186,'Recipients REF'!$A:$A,'Recipients REF'!L:L,"",0)</f>
        <v>25040062</v>
      </c>
      <c r="Y186" s="48" t="s">
        <v>29</v>
      </c>
      <c r="Z186" s="48" t="s">
        <v>31</v>
      </c>
      <c r="AA186" s="54">
        <f t="array" ref="AA186">XLOOKUP($A186,'Recipients REF'!$A:$A,'Recipients REF'!M:M,"",0)</f>
        <v>25020333</v>
      </c>
      <c r="AB186" s="49"/>
      <c r="AC186" s="42"/>
      <c r="AD186" s="42"/>
      <c r="AE186" s="50"/>
      <c r="AF186" s="42"/>
      <c r="AG186" s="42"/>
      <c r="AH186" s="42"/>
      <c r="AI186" s="42" t="str">
        <f t="array" ref="AI186">XLOOKUP($E186,Sheet11!$D:$D,Sheet11!$X:$X,"",0)</f>
        <v/>
      </c>
      <c r="AJ186" s="42" t="str">
        <f t="array" ref="AJ186">XLOOKUP($E186,Sheet11!$D:$D,Sheet11!$Y:$Y,"",0)</f>
        <v/>
      </c>
    </row>
    <row r="187">
      <c r="A187" s="41">
        <v>771.0</v>
      </c>
      <c r="B187" s="42" t="s">
        <v>381</v>
      </c>
      <c r="C187" s="42" t="s">
        <v>382</v>
      </c>
      <c r="D187" s="42"/>
      <c r="E187" s="42" t="str">
        <f t="shared" ref="E187:F187" si="188">PROPER(B187)</f>
        <v>San Isidro Labrador Farmers Association (Silfa)</v>
      </c>
      <c r="F187" s="42" t="str">
        <f t="shared" si="188"/>
        <v>Caraycayon, Tigaon, Camarines Sur</v>
      </c>
      <c r="G187" s="42" t="str">
        <f t="shared" si="3"/>
        <v>Caraycayon</v>
      </c>
      <c r="H187" s="42" t="str">
        <f t="shared" si="4"/>
        <v>Tigaon</v>
      </c>
      <c r="I187" s="42" t="str">
        <f t="shared" si="5"/>
        <v>Camarines Sur</v>
      </c>
      <c r="J187" s="42" t="str">
        <f t="array" ref="J187">XLOOKUP($E187,'Recipients REF'!$B:$B,'Recipients REF'!D:D,"",0)</f>
        <v>ALEXANDER S. MABANA</v>
      </c>
      <c r="K187" s="42">
        <f t="array" ref="K187">XLOOKUP($E187,'Recipients REF'!$B:$B,'Recipients REF'!E:E,"",0)</f>
        <v>9918732850</v>
      </c>
      <c r="L187" s="43" t="str">
        <f t="array" ref="L187">XLOOKUP($A187,'Recipients REF'!$A:$A,'Recipients REF'!F:F,"",0)</f>
        <v>RCEF 25-03-05</v>
      </c>
      <c r="M187" s="43">
        <f t="array" ref="M187">XLOOKUP($A187,'Recipients REF'!$A:$A,'Recipients REF'!G:G,"",0)</f>
        <v>6</v>
      </c>
      <c r="N187" s="43" t="str">
        <f t="array" ref="N187">XLOOKUP($A187,'Recipients REF'!$A:$A,'Recipients REF'!H:H,"",0)</f>
        <v>26603 &amp; 27874</v>
      </c>
      <c r="O187" s="44" t="s">
        <v>25</v>
      </c>
      <c r="P187" s="45" t="s">
        <v>26</v>
      </c>
      <c r="Q187" s="46" t="str">
        <f t="array" ref="Q187">XLOOKUP($A187,'Recipients REF'!$A:$A,'Recipients REF'!I:I,"",0)</f>
        <v>KMC5825 ACSFPV0236</v>
      </c>
      <c r="R187" s="53" t="str">
        <f t="array" ref="R187">XLOOKUP($A187,'Recipients REF'!$A:$A,'Recipients REF'!J:J,"",0)</f>
        <v>STS100252</v>
      </c>
      <c r="S187" s="45" t="s">
        <v>27</v>
      </c>
      <c r="T187" s="45" t="s">
        <v>28</v>
      </c>
      <c r="U187" s="46" t="str">
        <f t="array" ref="U187">XLOOKUP($A187,'Recipients REF'!$A:$A,'Recipients REF'!K:K,"",0)</f>
        <v>WR-SERIES 1477PH</v>
      </c>
      <c r="V187" s="44" t="s">
        <v>29</v>
      </c>
      <c r="W187" s="45" t="s">
        <v>30</v>
      </c>
      <c r="X187" s="53">
        <f t="array" ref="X187">XLOOKUP($A187,'Recipients REF'!$A:$A,'Recipients REF'!L:L,"",0)</f>
        <v>25120907</v>
      </c>
      <c r="Y187" s="48" t="s">
        <v>29</v>
      </c>
      <c r="Z187" s="48" t="s">
        <v>31</v>
      </c>
      <c r="AA187" s="54">
        <f t="array" ref="AA187">XLOOKUP($A187,'Recipients REF'!$A:$A,'Recipients REF'!M:M,"",0)</f>
        <v>25121399</v>
      </c>
      <c r="AB187" s="49"/>
      <c r="AC187" s="42"/>
      <c r="AD187" s="42"/>
      <c r="AE187" s="50"/>
      <c r="AF187" s="42"/>
      <c r="AG187" s="42"/>
      <c r="AH187" s="42"/>
      <c r="AI187" s="42" t="str">
        <f t="array" ref="AI187">XLOOKUP($E187,Sheet11!$D:$D,Sheet11!$X:$X,"",0)</f>
        <v/>
      </c>
      <c r="AJ187" s="42" t="str">
        <f t="array" ref="AJ187">XLOOKUP($E187,Sheet11!$D:$D,Sheet11!$Y:$Y,"",0)</f>
        <v/>
      </c>
    </row>
    <row r="188">
      <c r="A188" s="41">
        <v>772.0</v>
      </c>
      <c r="B188" s="42" t="s">
        <v>383</v>
      </c>
      <c r="C188" s="42" t="s">
        <v>384</v>
      </c>
      <c r="D188" s="42"/>
      <c r="E188" s="42" t="str">
        <f t="shared" ref="E188:F188" si="189">PROPER(B188)</f>
        <v>San Antonio Farmers Irrigators Multi-Purpose Cooperative</v>
      </c>
      <c r="F188" s="42" t="str">
        <f t="shared" si="189"/>
        <v>San Antonio, Buhi, Camarines Sur</v>
      </c>
      <c r="G188" s="42" t="str">
        <f t="shared" si="3"/>
        <v>San Antonio</v>
      </c>
      <c r="H188" s="42" t="str">
        <f t="shared" si="4"/>
        <v>Buhi</v>
      </c>
      <c r="I188" s="42" t="str">
        <f t="shared" si="5"/>
        <v>Camarines Sur</v>
      </c>
      <c r="J188" s="42" t="str">
        <f t="array" ref="J188">XLOOKUP($E188,'Recipients REF'!$B:$B,'Recipients REF'!D:D,"",0)</f>
        <v>VICENTE A. VELASCO JR.</v>
      </c>
      <c r="K188" s="42">
        <f t="array" ref="K188">XLOOKUP($E188,'Recipients REF'!$B:$B,'Recipients REF'!E:E,"",0)</f>
        <v>9260464496</v>
      </c>
      <c r="L188" s="43" t="str">
        <f t="array" ref="L188">XLOOKUP($A188,'Recipients REF'!$A:$A,'Recipients REF'!F:F,"",0)</f>
        <v>RCEF 25-03-05</v>
      </c>
      <c r="M188" s="43">
        <f t="array" ref="M188">XLOOKUP($A188,'Recipients REF'!$A:$A,'Recipients REF'!G:G,"",0)</f>
        <v>6</v>
      </c>
      <c r="N188" s="43" t="str">
        <f t="array" ref="N188">XLOOKUP($A188,'Recipients REF'!$A:$A,'Recipients REF'!H:H,"",0)</f>
        <v>26604 &amp; 27875</v>
      </c>
      <c r="O188" s="44" t="s">
        <v>25</v>
      </c>
      <c r="P188" s="45" t="s">
        <v>26</v>
      </c>
      <c r="Q188" s="46" t="str">
        <f t="array" ref="Q188">XLOOKUP($A188,'Recipients REF'!$A:$A,'Recipients REF'!I:I,"",0)</f>
        <v>KMC5825 ACSFPV0172</v>
      </c>
      <c r="R188" s="53" t="str">
        <f t="array" ref="R188">XLOOKUP($A188,'Recipients REF'!$A:$A,'Recipients REF'!J:J,"",0)</f>
        <v>STS100199</v>
      </c>
      <c r="S188" s="45" t="s">
        <v>27</v>
      </c>
      <c r="T188" s="45" t="s">
        <v>28</v>
      </c>
      <c r="U188" s="46" t="str">
        <f t="array" ref="U188">XLOOKUP($A188,'Recipients REF'!$A:$A,'Recipients REF'!K:K,"",0)</f>
        <v>WR-SERIES 1478PH</v>
      </c>
      <c r="V188" s="44" t="s">
        <v>29</v>
      </c>
      <c r="W188" s="45" t="s">
        <v>30</v>
      </c>
      <c r="X188" s="53">
        <f t="array" ref="X188">XLOOKUP($A188,'Recipients REF'!$A:$A,'Recipients REF'!L:L,"",0)</f>
        <v>25120908</v>
      </c>
      <c r="Y188" s="48" t="s">
        <v>29</v>
      </c>
      <c r="Z188" s="48" t="s">
        <v>31</v>
      </c>
      <c r="AA188" s="54">
        <f t="array" ref="AA188">XLOOKUP($A188,'Recipients REF'!$A:$A,'Recipients REF'!M:M,"",0)</f>
        <v>25121400</v>
      </c>
      <c r="AB188" s="49"/>
      <c r="AC188" s="42"/>
      <c r="AD188" s="42"/>
      <c r="AE188" s="50"/>
      <c r="AF188" s="42"/>
      <c r="AG188" s="42"/>
      <c r="AH188" s="42"/>
      <c r="AI188" s="42" t="str">
        <f t="array" ref="AI188">XLOOKUP($E188,Sheet11!$D:$D,Sheet11!$X:$X,"",0)</f>
        <v/>
      </c>
      <c r="AJ188" s="42" t="str">
        <f t="array" ref="AJ188">XLOOKUP($E188,Sheet11!$D:$D,Sheet11!$Y:$Y,"",0)</f>
        <v/>
      </c>
    </row>
    <row r="189">
      <c r="A189" s="41">
        <v>773.0</v>
      </c>
      <c r="B189" s="42" t="s">
        <v>385</v>
      </c>
      <c r="C189" s="42" t="s">
        <v>386</v>
      </c>
      <c r="D189" s="42"/>
      <c r="E189" s="42" t="str">
        <f t="shared" ref="E189:F189" si="190">PROPER(B189)</f>
        <v>San Rafael Pagsubangan Irrigators Association Inc.</v>
      </c>
      <c r="F189" s="42" t="str">
        <f t="shared" si="190"/>
        <v>San Rafael, Buhi, Camarines Sur</v>
      </c>
      <c r="G189" s="42" t="str">
        <f t="shared" si="3"/>
        <v>San Rafael</v>
      </c>
      <c r="H189" s="42" t="str">
        <f t="shared" si="4"/>
        <v>Buhi</v>
      </c>
      <c r="I189" s="42" t="str">
        <f t="shared" si="5"/>
        <v>Camarines Sur</v>
      </c>
      <c r="J189" s="42" t="str">
        <f t="array" ref="J189">XLOOKUP($E189,'Recipients REF'!$B:$B,'Recipients REF'!D:D,"",0)</f>
        <v>JHON ANTHONY B. CERILLO</v>
      </c>
      <c r="K189" s="42" t="str">
        <f t="array" ref="K189">XLOOKUP($E189,'Recipients REF'!$B:$B,'Recipients REF'!E:E,"",0)</f>
        <v>0948 450 6481</v>
      </c>
      <c r="L189" s="43" t="str">
        <f t="array" ref="L189">XLOOKUP($A189,'Recipients REF'!$A:$A,'Recipients REF'!F:F,"",0)</f>
        <v>RCEF 25-03-05</v>
      </c>
      <c r="M189" s="43">
        <f t="array" ref="M189">XLOOKUP($A189,'Recipients REF'!$A:$A,'Recipients REF'!G:G,"",0)</f>
        <v>6</v>
      </c>
      <c r="N189" s="43" t="str">
        <f t="array" ref="N189">XLOOKUP($A189,'Recipients REF'!$A:$A,'Recipients REF'!H:H,"",0)</f>
        <v>26605 &amp; 27876</v>
      </c>
      <c r="O189" s="44" t="s">
        <v>25</v>
      </c>
      <c r="P189" s="45" t="s">
        <v>26</v>
      </c>
      <c r="Q189" s="46" t="str">
        <f t="array" ref="Q189">XLOOKUP($A189,'Recipients REF'!$A:$A,'Recipients REF'!I:I,"",0)</f>
        <v>KMC5825 APSFPV0216</v>
      </c>
      <c r="R189" s="53" t="str">
        <f t="array" ref="R189">XLOOKUP($A189,'Recipients REF'!$A:$A,'Recipients REF'!J:J,"",0)</f>
        <v>STS100223</v>
      </c>
      <c r="S189" s="45" t="s">
        <v>27</v>
      </c>
      <c r="T189" s="45" t="s">
        <v>28</v>
      </c>
      <c r="U189" s="46" t="str">
        <f t="array" ref="U189">XLOOKUP($A189,'Recipients REF'!$A:$A,'Recipients REF'!K:K,"",0)</f>
        <v>WR-SERIES 1479PH</v>
      </c>
      <c r="V189" s="44" t="s">
        <v>29</v>
      </c>
      <c r="W189" s="45" t="s">
        <v>30</v>
      </c>
      <c r="X189" s="53">
        <f t="array" ref="X189">XLOOKUP($A189,'Recipients REF'!$A:$A,'Recipients REF'!L:L,"",0)</f>
        <v>25120909</v>
      </c>
      <c r="Y189" s="48" t="s">
        <v>29</v>
      </c>
      <c r="Z189" s="48" t="s">
        <v>31</v>
      </c>
      <c r="AA189" s="54">
        <f t="array" ref="AA189">XLOOKUP($A189,'Recipients REF'!$A:$A,'Recipients REF'!M:M,"",0)</f>
        <v>25121401</v>
      </c>
      <c r="AB189" s="49"/>
      <c r="AC189" s="42"/>
      <c r="AD189" s="42"/>
      <c r="AE189" s="50"/>
      <c r="AF189" s="42"/>
      <c r="AG189" s="42"/>
      <c r="AH189" s="42"/>
      <c r="AI189" s="42" t="str">
        <f t="array" ref="AI189">XLOOKUP($E189,Sheet11!$D:$D,Sheet11!$X:$X,"",0)</f>
        <v/>
      </c>
      <c r="AJ189" s="42" t="str">
        <f t="array" ref="AJ189">XLOOKUP($E189,Sheet11!$D:$D,Sheet11!$Y:$Y,"",0)</f>
        <v/>
      </c>
    </row>
    <row r="190">
      <c r="A190" s="41">
        <v>774.0</v>
      </c>
      <c r="B190" s="42" t="s">
        <v>387</v>
      </c>
      <c r="C190" s="42" t="s">
        <v>388</v>
      </c>
      <c r="D190" s="42"/>
      <c r="E190" s="42" t="str">
        <f t="shared" ref="E190:F190" si="191">PROPER(B190)</f>
        <v>Samahan Ng Mangingisda At Magsasaka Ng Casugad Inc.</v>
      </c>
      <c r="F190" s="42" t="str">
        <f t="shared" si="191"/>
        <v>Casugad, Bula, Camarines Sur</v>
      </c>
      <c r="G190" s="42" t="str">
        <f t="shared" si="3"/>
        <v>Casugad</v>
      </c>
      <c r="H190" s="42" t="str">
        <f t="shared" si="4"/>
        <v>Bula</v>
      </c>
      <c r="I190" s="42" t="str">
        <f t="shared" si="5"/>
        <v>Camarines Sur</v>
      </c>
      <c r="J190" s="42" t="str">
        <f t="array" ref="J190">XLOOKUP($E190,'Recipients REF'!$B:$B,'Recipients REF'!D:D,"",0)</f>
        <v>ROGELIO B. LLABRES</v>
      </c>
      <c r="K190" s="42">
        <f t="array" ref="K190">XLOOKUP($E190,'Recipients REF'!$B:$B,'Recipients REF'!E:E,"",0)</f>
        <v>9604285727</v>
      </c>
      <c r="L190" s="43" t="str">
        <f t="array" ref="L190">XLOOKUP($A190,'Recipients REF'!$A:$A,'Recipients REF'!F:F,"",0)</f>
        <v>RCEF 25-03-05</v>
      </c>
      <c r="M190" s="43">
        <f t="array" ref="M190">XLOOKUP($A190,'Recipients REF'!$A:$A,'Recipients REF'!G:G,"",0)</f>
        <v>6</v>
      </c>
      <c r="N190" s="43" t="str">
        <f t="array" ref="N190">XLOOKUP($A190,'Recipients REF'!$A:$A,'Recipients REF'!H:H,"",0)</f>
        <v>26606 &amp; 27877</v>
      </c>
      <c r="O190" s="44" t="s">
        <v>25</v>
      </c>
      <c r="P190" s="45" t="s">
        <v>26</v>
      </c>
      <c r="Q190" s="46" t="str">
        <f t="array" ref="Q190">XLOOKUP($A190,'Recipients REF'!$A:$A,'Recipients REF'!I:I,"",0)</f>
        <v>KMC5825 AJSFPV0252</v>
      </c>
      <c r="R190" s="53" t="str">
        <f t="array" ref="R190">XLOOKUP($A190,'Recipients REF'!$A:$A,'Recipients REF'!J:J,"",0)</f>
        <v>STS100258</v>
      </c>
      <c r="S190" s="45" t="s">
        <v>27</v>
      </c>
      <c r="T190" s="45" t="s">
        <v>28</v>
      </c>
      <c r="U190" s="46" t="str">
        <f t="array" ref="U190">XLOOKUP($A190,'Recipients REF'!$A:$A,'Recipients REF'!K:K,"",0)</f>
        <v>WR-SERIES 1330PH</v>
      </c>
      <c r="V190" s="44" t="s">
        <v>29</v>
      </c>
      <c r="W190" s="45" t="s">
        <v>30</v>
      </c>
      <c r="X190" s="53">
        <f t="array" ref="X190">XLOOKUP($A190,'Recipients REF'!$A:$A,'Recipients REF'!L:L,"",0)</f>
        <v>25120910</v>
      </c>
      <c r="Y190" s="48" t="s">
        <v>29</v>
      </c>
      <c r="Z190" s="48" t="s">
        <v>31</v>
      </c>
      <c r="AA190" s="54">
        <f t="array" ref="AA190">XLOOKUP($A190,'Recipients REF'!$A:$A,'Recipients REF'!M:M,"",0)</f>
        <v>25121402</v>
      </c>
      <c r="AB190" s="49"/>
      <c r="AC190" s="42"/>
      <c r="AD190" s="42"/>
      <c r="AE190" s="50"/>
      <c r="AF190" s="42"/>
      <c r="AG190" s="42"/>
      <c r="AH190" s="42"/>
      <c r="AI190" s="42" t="str">
        <f t="array" ref="AI190">XLOOKUP($E190,Sheet11!$D:$D,Sheet11!$X:$X,"",0)</f>
        <v/>
      </c>
      <c r="AJ190" s="42" t="str">
        <f t="array" ref="AJ190">XLOOKUP($E190,Sheet11!$D:$D,Sheet11!$Y:$Y,"",0)</f>
        <v/>
      </c>
    </row>
    <row r="191">
      <c r="A191" s="41">
        <v>775.0</v>
      </c>
      <c r="B191" s="42" t="s">
        <v>389</v>
      </c>
      <c r="C191" s="42" t="s">
        <v>390</v>
      </c>
      <c r="D191" s="42"/>
      <c r="E191" s="42" t="str">
        <f t="shared" ref="E191:F191" si="192">PROPER(B191)</f>
        <v>Nabua Coconut Farmers Multi-Purpose Development Association</v>
      </c>
      <c r="F191" s="42" t="str">
        <f t="shared" si="192"/>
        <v>Angustia (Angustia Inapatan), Nabua, Camarines Sur</v>
      </c>
      <c r="G191" s="42" t="str">
        <f t="shared" si="3"/>
        <v>Angustia (Angustia Inapatan)</v>
      </c>
      <c r="H191" s="42" t="str">
        <f t="shared" si="4"/>
        <v>Nabua</v>
      </c>
      <c r="I191" s="42" t="str">
        <f t="shared" si="5"/>
        <v>Camarines Sur</v>
      </c>
      <c r="J191" s="42" t="str">
        <f t="array" ref="J191">XLOOKUP($E191,'Recipients REF'!$B:$B,'Recipients REF'!D:D,"",0)</f>
        <v>ANITA D. BABILONIA</v>
      </c>
      <c r="K191" s="42">
        <f t="array" ref="K191">XLOOKUP($E191,'Recipients REF'!$B:$B,'Recipients REF'!E:E,"",0)</f>
        <v>9212043046</v>
      </c>
      <c r="L191" s="43" t="str">
        <f t="array" ref="L191">XLOOKUP($A191,'Recipients REF'!$A:$A,'Recipients REF'!F:F,"",0)</f>
        <v>RCEF 25-03-05</v>
      </c>
      <c r="M191" s="43">
        <f t="array" ref="M191">XLOOKUP($A191,'Recipients REF'!$A:$A,'Recipients REF'!G:G,"",0)</f>
        <v>6</v>
      </c>
      <c r="N191" s="43" t="str">
        <f t="array" ref="N191">XLOOKUP($A191,'Recipients REF'!$A:$A,'Recipients REF'!H:H,"",0)</f>
        <v>26607 &amp; 27878</v>
      </c>
      <c r="O191" s="44" t="s">
        <v>25</v>
      </c>
      <c r="P191" s="45" t="s">
        <v>26</v>
      </c>
      <c r="Q191" s="46" t="str">
        <f t="array" ref="Q191">XLOOKUP($A191,'Recipients REF'!$A:$A,'Recipients REF'!I:I,"",0)</f>
        <v>KMC5825 APSFPV0166</v>
      </c>
      <c r="R191" s="53" t="str">
        <f t="array" ref="R191">XLOOKUP($A191,'Recipients REF'!$A:$A,'Recipients REF'!J:J,"",0)</f>
        <v>STS100179</v>
      </c>
      <c r="S191" s="45" t="s">
        <v>27</v>
      </c>
      <c r="T191" s="45" t="s">
        <v>28</v>
      </c>
      <c r="U191" s="46" t="str">
        <f t="array" ref="U191">XLOOKUP($A191,'Recipients REF'!$A:$A,'Recipients REF'!K:K,"",0)</f>
        <v>WR-SERIES 1331PH</v>
      </c>
      <c r="V191" s="44" t="s">
        <v>29</v>
      </c>
      <c r="W191" s="45" t="s">
        <v>30</v>
      </c>
      <c r="X191" s="53">
        <f t="array" ref="X191">XLOOKUP($A191,'Recipients REF'!$A:$A,'Recipients REF'!L:L,"",0)</f>
        <v>25120911</v>
      </c>
      <c r="Y191" s="48" t="s">
        <v>29</v>
      </c>
      <c r="Z191" s="48" t="s">
        <v>31</v>
      </c>
      <c r="AA191" s="54">
        <f t="array" ref="AA191">XLOOKUP($A191,'Recipients REF'!$A:$A,'Recipients REF'!M:M,"",0)</f>
        <v>25121403</v>
      </c>
      <c r="AB191" s="49"/>
      <c r="AC191" s="42"/>
      <c r="AD191" s="42"/>
      <c r="AE191" s="50"/>
      <c r="AF191" s="42"/>
      <c r="AG191" s="42"/>
      <c r="AH191" s="42"/>
      <c r="AI191" s="42" t="str">
        <f t="array" ref="AI191">XLOOKUP($E191,Sheet11!$D:$D,Sheet11!$X:$X,"",0)</f>
        <v/>
      </c>
      <c r="AJ191" s="42" t="str">
        <f t="array" ref="AJ191">XLOOKUP($E191,Sheet11!$D:$D,Sheet11!$Y:$Y,"",0)</f>
        <v/>
      </c>
    </row>
    <row r="192">
      <c r="A192" s="41">
        <v>995.0</v>
      </c>
      <c r="B192" s="42" t="s">
        <v>391</v>
      </c>
      <c r="C192" s="42" t="s">
        <v>392</v>
      </c>
      <c r="D192" s="42"/>
      <c r="E192" s="42" t="str">
        <f t="shared" ref="E192:F192" si="193">PROPER(B192)</f>
        <v>Municipal Local Government Unit Of Pasacao</v>
      </c>
      <c r="F192" s="42" t="str">
        <f t="shared" si="193"/>
        <v>Santa Rosa Del Norte (Pob.), Pasacao, Camarines Sur</v>
      </c>
      <c r="G192" s="42" t="str">
        <f t="shared" si="3"/>
        <v>Santa Rosa Del Norte (Pob.)</v>
      </c>
      <c r="H192" s="42" t="str">
        <f t="shared" si="4"/>
        <v>Pasacao</v>
      </c>
      <c r="I192" s="42" t="str">
        <f t="shared" si="5"/>
        <v>Camarines Sur</v>
      </c>
      <c r="J192" s="42" t="str">
        <f t="array" ref="J192">XLOOKUP($E192,'Recipients REF'!$B:$B,'Recipients REF'!D:D,"",0)</f>
        <v>Hon. Jorge R. Bengua</v>
      </c>
      <c r="K192" s="42">
        <f t="array" ref="K192">XLOOKUP($E192,'Recipients REF'!$B:$B,'Recipients REF'!E:E,"",0)</f>
        <v>9093680437</v>
      </c>
      <c r="L192" s="43" t="str">
        <f t="array" ref="L192">XLOOKUP($A192,'Recipients REF'!$A:$A,'Recipients REF'!F:F,"",0)</f>
        <v>Repeat Order</v>
      </c>
      <c r="M192" s="43">
        <f t="array" ref="M192">XLOOKUP($A192,'Recipients REF'!$A:$A,'Recipients REF'!G:G,"",0)</f>
        <v>7</v>
      </c>
      <c r="N192" s="43">
        <f t="array" ref="N192">XLOOKUP($A192,'Recipients REF'!$A:$A,'Recipients REF'!H:H,"",0)</f>
        <v>23131</v>
      </c>
      <c r="O192" s="44" t="s">
        <v>25</v>
      </c>
      <c r="P192" s="45" t="s">
        <v>26</v>
      </c>
      <c r="Q192" s="46" t="str">
        <f t="array" ref="Q192">XLOOKUP($A192,'Recipients REF'!$A:$A,'Recipients REF'!I:I,"",0)</f>
        <v>KMC5825AARFPV1089</v>
      </c>
      <c r="R192" s="47" t="str">
        <f t="array" ref="R192">XLOOKUP($A192,'Recipients REF'!$A:$A,'Recipients REF'!J:J,"",0)</f>
        <v>RTS100951</v>
      </c>
      <c r="S192" s="45" t="s">
        <v>27</v>
      </c>
      <c r="T192" s="45" t="s">
        <v>28</v>
      </c>
      <c r="U192" s="46" t="str">
        <f t="array" ref="U192">XLOOKUP($A192,'Recipients REF'!$A:$A,'Recipients REF'!K:K,"",0)</f>
        <v>LSGW1750-RMP-24111137</v>
      </c>
      <c r="V192" s="44" t="s">
        <v>29</v>
      </c>
      <c r="W192" s="45" t="s">
        <v>30</v>
      </c>
      <c r="X192" s="47" t="str">
        <f t="array" ref="X192">XLOOKUP($A192,'Recipients REF'!$A:$A,'Recipients REF'!L:L,"",0)</f>
        <v>WDP40-RMP-25020337</v>
      </c>
      <c r="Y192" s="48" t="s">
        <v>29</v>
      </c>
      <c r="Z192" s="48" t="s">
        <v>31</v>
      </c>
      <c r="AA192" s="46" t="str">
        <f t="array" ref="AA192">XLOOKUP($A192,'Recipients REF'!$A:$A,'Recipients REF'!M:M,"",0)</f>
        <v>WR-SERIES-1315PH</v>
      </c>
      <c r="AB192" s="49"/>
      <c r="AC192" s="42"/>
      <c r="AD192" s="42"/>
      <c r="AE192" s="50"/>
      <c r="AF192" s="42"/>
      <c r="AG192" s="42"/>
      <c r="AH192" s="42"/>
      <c r="AI192" s="42" t="str">
        <f t="array" ref="AI192">XLOOKUP($E192,Sheet11!$D:$D,Sheet11!$X:$X,"",0)</f>
        <v/>
      </c>
      <c r="AJ192" s="42" t="str">
        <f t="array" ref="AJ192">XLOOKUP($E192,Sheet11!$D:$D,Sheet11!$Y:$Y,"",0)</f>
        <v/>
      </c>
    </row>
    <row r="193">
      <c r="A193" s="41">
        <v>996.0</v>
      </c>
      <c r="B193" s="42" t="s">
        <v>393</v>
      </c>
      <c r="C193" s="42" t="s">
        <v>380</v>
      </c>
      <c r="D193" s="42"/>
      <c r="E193" s="42" t="str">
        <f t="shared" ref="E193:F193" si="194">PROPER(B193)</f>
        <v>Camsur Multi-Purpose Cooperative</v>
      </c>
      <c r="F193" s="42" t="str">
        <f t="shared" si="194"/>
        <v>Cadlan, Pili, Camarines Sur</v>
      </c>
      <c r="G193" s="42" t="str">
        <f t="shared" si="3"/>
        <v>Cadlan</v>
      </c>
      <c r="H193" s="42" t="str">
        <f t="shared" si="4"/>
        <v>Pili</v>
      </c>
      <c r="I193" s="42" t="str">
        <f t="shared" si="5"/>
        <v>Camarines Sur</v>
      </c>
      <c r="J193" s="42" t="str">
        <f t="array" ref="J193">XLOOKUP($E193,'Recipients REF'!$B:$B,'Recipients REF'!D:D,"",0)</f>
        <v>Annielen L. Panerio</v>
      </c>
      <c r="K193" s="42" t="str">
        <f t="array" ref="K193">XLOOKUP($E193,'Recipients REF'!$B:$B,'Recipients REF'!E:E,"",0)</f>
        <v>0917 514 4796</v>
      </c>
      <c r="L193" s="43" t="str">
        <f t="array" ref="L193">XLOOKUP($A193,'Recipients REF'!$A:$A,'Recipients REF'!F:F,"",0)</f>
        <v>Repeat Order</v>
      </c>
      <c r="M193" s="43">
        <f t="array" ref="M193">XLOOKUP($A193,'Recipients REF'!$A:$A,'Recipients REF'!G:G,"",0)</f>
        <v>7</v>
      </c>
      <c r="N193" s="43">
        <f t="array" ref="N193">XLOOKUP($A193,'Recipients REF'!$A:$A,'Recipients REF'!H:H,"",0)</f>
        <v>23132</v>
      </c>
      <c r="O193" s="44" t="s">
        <v>25</v>
      </c>
      <c r="P193" s="45" t="s">
        <v>26</v>
      </c>
      <c r="Q193" s="46" t="str">
        <f t="array" ref="Q193">XLOOKUP($A193,'Recipients REF'!$A:$A,'Recipients REF'!I:I,"",0)</f>
        <v>KMC5825AARFPV1044</v>
      </c>
      <c r="R193" s="47" t="str">
        <f t="array" ref="R193">XLOOKUP($A193,'Recipients REF'!$A:$A,'Recipients REF'!J:J,"",0)</f>
        <v>RTS100945</v>
      </c>
      <c r="S193" s="45" t="s">
        <v>27</v>
      </c>
      <c r="T193" s="45" t="s">
        <v>28</v>
      </c>
      <c r="U193" s="46" t="str">
        <f t="array" ref="U193">XLOOKUP($A193,'Recipients REF'!$A:$A,'Recipients REF'!K:K,"",0)</f>
        <v>LSGW1750-RMP-24111150</v>
      </c>
      <c r="V193" s="44" t="s">
        <v>29</v>
      </c>
      <c r="W193" s="45" t="s">
        <v>30</v>
      </c>
      <c r="X193" s="47" t="str">
        <f t="array" ref="X193">XLOOKUP($A193,'Recipients REF'!$A:$A,'Recipients REF'!L:L,"",0)</f>
        <v>WDP40-RMP-25020338</v>
      </c>
      <c r="Y193" s="48" t="s">
        <v>29</v>
      </c>
      <c r="Z193" s="48" t="s">
        <v>31</v>
      </c>
      <c r="AA193" s="46" t="str">
        <f t="array" ref="AA193">XLOOKUP($A193,'Recipients REF'!$A:$A,'Recipients REF'!M:M,"",0)</f>
        <v>WR-SERIES-1296PH</v>
      </c>
      <c r="AB193" s="49"/>
      <c r="AC193" s="42"/>
      <c r="AD193" s="42"/>
      <c r="AE193" s="50"/>
      <c r="AF193" s="42"/>
      <c r="AG193" s="42"/>
      <c r="AH193" s="42"/>
      <c r="AI193" s="42" t="str">
        <f t="array" ref="AI193">XLOOKUP($E193,Sheet11!$D:$D,Sheet11!$X:$X,"",0)</f>
        <v/>
      </c>
      <c r="AJ193" s="42" t="str">
        <f t="array" ref="AJ193">XLOOKUP($E193,Sheet11!$D:$D,Sheet11!$Y:$Y,"",0)</f>
        <v/>
      </c>
    </row>
    <row r="194">
      <c r="A194" s="41">
        <v>997.0</v>
      </c>
      <c r="B194" s="42" t="s">
        <v>379</v>
      </c>
      <c r="C194" s="42" t="s">
        <v>380</v>
      </c>
      <c r="D194" s="42"/>
      <c r="E194" s="42" t="str">
        <f t="shared" ref="E194:F194" si="195">PROPER(B194)</f>
        <v>Provincial Local Government Unit Of Camarines Sur</v>
      </c>
      <c r="F194" s="42" t="str">
        <f t="shared" si="195"/>
        <v>Cadlan, Pili, Camarines Sur</v>
      </c>
      <c r="G194" s="42" t="str">
        <f t="shared" si="3"/>
        <v>Cadlan</v>
      </c>
      <c r="H194" s="42" t="str">
        <f t="shared" si="4"/>
        <v>Pili</v>
      </c>
      <c r="I194" s="42" t="str">
        <f t="shared" si="5"/>
        <v>Camarines Sur</v>
      </c>
      <c r="J194" s="42" t="str">
        <f t="array" ref="J194">XLOOKUP($E194,'Recipients REF'!$B:$B,'Recipients REF'!D:D,"",0)</f>
        <v>Hon. Vincenzo Renato Luigi R. Villafuerte</v>
      </c>
      <c r="K194" s="42">
        <f t="array" ref="K194">XLOOKUP($E194,'Recipients REF'!$B:$B,'Recipients REF'!E:E,"",0)</f>
        <v>9188886152</v>
      </c>
      <c r="L194" s="43" t="str">
        <f t="array" ref="L194">XLOOKUP($A194,'Recipients REF'!$A:$A,'Recipients REF'!F:F,"",0)</f>
        <v>Repeat Order</v>
      </c>
      <c r="M194" s="43">
        <f t="array" ref="M194">XLOOKUP($A194,'Recipients REF'!$A:$A,'Recipients REF'!G:G,"",0)</f>
        <v>7</v>
      </c>
      <c r="N194" s="43">
        <f t="array" ref="N194">XLOOKUP($A194,'Recipients REF'!$A:$A,'Recipients REF'!H:H,"",0)</f>
        <v>23133</v>
      </c>
      <c r="O194" s="44" t="s">
        <v>25</v>
      </c>
      <c r="P194" s="45" t="s">
        <v>26</v>
      </c>
      <c r="Q194" s="46" t="str">
        <f t="array" ref="Q194">XLOOKUP($A194,'Recipients REF'!$A:$A,'Recipients REF'!I:I,"",0)</f>
        <v>KMC5825AVRFPV0846</v>
      </c>
      <c r="R194" s="47" t="str">
        <f t="array" ref="R194">XLOOKUP($A194,'Recipients REF'!$A:$A,'Recipients REF'!J:J,"",0)</f>
        <v>RTS100742</v>
      </c>
      <c r="S194" s="45" t="s">
        <v>27</v>
      </c>
      <c r="T194" s="45" t="s">
        <v>28</v>
      </c>
      <c r="U194" s="46" t="str">
        <f t="array" ref="U194">XLOOKUP($A194,'Recipients REF'!$A:$A,'Recipients REF'!K:K,"",0)</f>
        <v>LSGW1750-RMP-24111144</v>
      </c>
      <c r="V194" s="44" t="s">
        <v>29</v>
      </c>
      <c r="W194" s="45" t="s">
        <v>30</v>
      </c>
      <c r="X194" s="47" t="str">
        <f t="array" ref="X194">XLOOKUP($A194,'Recipients REF'!$A:$A,'Recipients REF'!L:L,"",0)</f>
        <v>WDP40-RMP-25020279</v>
      </c>
      <c r="Y194" s="48" t="s">
        <v>29</v>
      </c>
      <c r="Z194" s="48" t="s">
        <v>31</v>
      </c>
      <c r="AA194" s="46" t="str">
        <f t="array" ref="AA194">XLOOKUP($A194,'Recipients REF'!$A:$A,'Recipients REF'!M:M,"",0)</f>
        <v>WR-SERIES-1298PH</v>
      </c>
      <c r="AB194" s="49"/>
      <c r="AC194" s="42"/>
      <c r="AD194" s="42"/>
      <c r="AE194" s="50"/>
      <c r="AF194" s="42"/>
      <c r="AG194" s="42"/>
      <c r="AH194" s="42"/>
      <c r="AI194" s="42" t="str">
        <f t="array" ref="AI194">XLOOKUP($E194,Sheet11!$D:$D,Sheet11!$X:$X,"",0)</f>
        <v/>
      </c>
      <c r="AJ194" s="42" t="str">
        <f t="array" ref="AJ194">XLOOKUP($E194,Sheet11!$D:$D,Sheet11!$Y:$Y,"",0)</f>
        <v/>
      </c>
    </row>
    <row r="195">
      <c r="A195" s="41">
        <v>998.0</v>
      </c>
      <c r="B195" s="42" t="s">
        <v>379</v>
      </c>
      <c r="C195" s="42" t="s">
        <v>380</v>
      </c>
      <c r="D195" s="42"/>
      <c r="E195" s="42" t="str">
        <f t="shared" ref="E195:F195" si="196">PROPER(B195)</f>
        <v>Provincial Local Government Unit Of Camarines Sur</v>
      </c>
      <c r="F195" s="42" t="str">
        <f t="shared" si="196"/>
        <v>Cadlan, Pili, Camarines Sur</v>
      </c>
      <c r="G195" s="42" t="str">
        <f t="shared" si="3"/>
        <v>Cadlan</v>
      </c>
      <c r="H195" s="42" t="str">
        <f t="shared" si="4"/>
        <v>Pili</v>
      </c>
      <c r="I195" s="42" t="str">
        <f t="shared" si="5"/>
        <v>Camarines Sur</v>
      </c>
      <c r="J195" s="42" t="str">
        <f t="array" ref="J195">XLOOKUP($E195,'Recipients REF'!$B:$B,'Recipients REF'!D:D,"",0)</f>
        <v>Hon. Vincenzo Renato Luigi R. Villafuerte</v>
      </c>
      <c r="K195" s="42">
        <f t="array" ref="K195">XLOOKUP($E195,'Recipients REF'!$B:$B,'Recipients REF'!E:E,"",0)</f>
        <v>9188886152</v>
      </c>
      <c r="L195" s="43" t="str">
        <f t="array" ref="L195">XLOOKUP($A195,'Recipients REF'!$A:$A,'Recipients REF'!F:F,"",0)</f>
        <v>Repeat Order</v>
      </c>
      <c r="M195" s="43">
        <f t="array" ref="M195">XLOOKUP($A195,'Recipients REF'!$A:$A,'Recipients REF'!G:G,"",0)</f>
        <v>7</v>
      </c>
      <c r="N195" s="43">
        <f t="array" ref="N195">XLOOKUP($A195,'Recipients REF'!$A:$A,'Recipients REF'!H:H,"",0)</f>
        <v>23134</v>
      </c>
      <c r="O195" s="44" t="s">
        <v>25</v>
      </c>
      <c r="P195" s="45" t="s">
        <v>26</v>
      </c>
      <c r="Q195" s="46" t="str">
        <f t="array" ref="Q195">XLOOKUP($A195,'Recipients REF'!$A:$A,'Recipients REF'!I:I,"",0)</f>
        <v>KMC5825ALRFPV1076</v>
      </c>
      <c r="R195" s="47" t="str">
        <f t="array" ref="R195">XLOOKUP($A195,'Recipients REF'!$A:$A,'Recipients REF'!J:J,"",0)</f>
        <v>RTS100964</v>
      </c>
      <c r="S195" s="45" t="s">
        <v>27</v>
      </c>
      <c r="T195" s="45" t="s">
        <v>28</v>
      </c>
      <c r="U195" s="46" t="str">
        <f t="array" ref="U195">XLOOKUP($A195,'Recipients REF'!$A:$A,'Recipients REF'!K:K,"",0)</f>
        <v>LSGW1750-RMP-24111149</v>
      </c>
      <c r="V195" s="44" t="s">
        <v>29</v>
      </c>
      <c r="W195" s="45" t="s">
        <v>30</v>
      </c>
      <c r="X195" s="47" t="str">
        <f t="array" ref="X195">XLOOKUP($A195,'Recipients REF'!$A:$A,'Recipients REF'!L:L,"",0)</f>
        <v>WDP40-RMP-25020296</v>
      </c>
      <c r="Y195" s="48" t="s">
        <v>29</v>
      </c>
      <c r="Z195" s="48" t="s">
        <v>31</v>
      </c>
      <c r="AA195" s="46" t="str">
        <f t="array" ref="AA195">XLOOKUP($A195,'Recipients REF'!$A:$A,'Recipients REF'!M:M,"",0)</f>
        <v>WR-SERIES-1316PH</v>
      </c>
      <c r="AB195" s="49"/>
      <c r="AC195" s="42"/>
      <c r="AD195" s="42"/>
      <c r="AE195" s="50"/>
      <c r="AF195" s="42"/>
      <c r="AG195" s="42"/>
      <c r="AH195" s="42"/>
      <c r="AI195" s="42" t="str">
        <f t="array" ref="AI195">XLOOKUP($E195,Sheet11!$D:$D,Sheet11!$X:$X,"",0)</f>
        <v/>
      </c>
      <c r="AJ195" s="42" t="str">
        <f t="array" ref="AJ195">XLOOKUP($E195,Sheet11!$D:$D,Sheet11!$Y:$Y,"",0)</f>
        <v/>
      </c>
    </row>
    <row r="196">
      <c r="A196" s="41">
        <v>399.0</v>
      </c>
      <c r="B196" s="42" t="s">
        <v>394</v>
      </c>
      <c r="C196" s="42" t="s">
        <v>395</v>
      </c>
      <c r="D196" s="42"/>
      <c r="E196" s="42" t="str">
        <f t="shared" ref="E196:F196" si="197">PROPER(B196)</f>
        <v>Barangay Indayagan Farmers Association</v>
      </c>
      <c r="F196" s="42" t="str">
        <f t="shared" si="197"/>
        <v>Indayagan, Ma-Ayon, Capiz</v>
      </c>
      <c r="G196" s="42" t="str">
        <f t="shared" si="3"/>
        <v>Indayagan</v>
      </c>
      <c r="H196" s="42" t="str">
        <f t="shared" si="4"/>
        <v>Ma-Ayon</v>
      </c>
      <c r="I196" s="42" t="str">
        <f t="shared" si="5"/>
        <v>Capiz</v>
      </c>
      <c r="J196" s="42" t="str">
        <f t="array" ref="J196">XLOOKUP($E196,'Recipients REF'!$B:$B,'Recipients REF'!D:D,"",0)</f>
        <v>Merlinda D. Dumolong</v>
      </c>
      <c r="K196" s="42" t="str">
        <f t="array" ref="K196">XLOOKUP($E196,'Recipients REF'!$B:$B,'Recipients REF'!E:E,"",0)</f>
        <v>0929-968-6413</v>
      </c>
      <c r="L196" s="43" t="str">
        <f t="array" ref="L196">XLOOKUP($A196,'Recipients REF'!$A:$A,'Recipients REF'!F:F,"",0)</f>
        <v>RCEF 23-09-21 Rebidding</v>
      </c>
      <c r="M196" s="43">
        <f t="array" ref="M196">XLOOKUP($A196,'Recipients REF'!$A:$A,'Recipients REF'!G:G,"",0)</f>
        <v>4</v>
      </c>
      <c r="N196" s="43">
        <f t="array" ref="N196">XLOOKUP($A196,'Recipients REF'!$A:$A,'Recipients REF'!H:H,"",0)</f>
        <v>19057</v>
      </c>
      <c r="O196" s="44" t="s">
        <v>25</v>
      </c>
      <c r="P196" s="45" t="s">
        <v>26</v>
      </c>
      <c r="Q196" s="46" t="str">
        <f t="array" ref="Q196">XLOOKUP($A196,'Recipients REF'!$A:$A,'Recipients REF'!I:I,"",0)</f>
        <v>KMC5825 AJRFPV0567</v>
      </c>
      <c r="R196" s="47" t="str">
        <f t="array" ref="R196">XLOOKUP($A196,'Recipients REF'!$A:$A,'Recipients REF'!J:J,"",0)</f>
        <v>RTS100459</v>
      </c>
      <c r="S196" s="45" t="s">
        <v>27</v>
      </c>
      <c r="T196" s="45" t="s">
        <v>28</v>
      </c>
      <c r="U196" s="46" t="str">
        <f t="array" ref="U196">XLOOKUP($A196,'Recipients REF'!$A:$A,'Recipients REF'!K:K,"",0)</f>
        <v>WR-SERIES 851 PH</v>
      </c>
      <c r="V196" s="44" t="s">
        <v>29</v>
      </c>
      <c r="W196" s="45" t="s">
        <v>30</v>
      </c>
      <c r="X196" s="47" t="str">
        <f t="array" ref="X196">XLOOKUP($A196,'Recipients REF'!$A:$A,'Recipients REF'!L:L,"",0)</f>
        <v>LSGW1750 RMP 24040693</v>
      </c>
      <c r="Y196" s="48" t="s">
        <v>29</v>
      </c>
      <c r="Z196" s="48" t="s">
        <v>31</v>
      </c>
      <c r="AA196" s="46" t="str">
        <f t="array" ref="AA196">XLOOKUP($A196,'Recipients REF'!$A:$A,'Recipients REF'!M:M,"",0)</f>
        <v>WDP40 RMP 24010115</v>
      </c>
      <c r="AB196" s="49"/>
      <c r="AC196" s="42"/>
      <c r="AD196" s="42"/>
      <c r="AE196" s="50"/>
      <c r="AF196" s="42"/>
      <c r="AG196" s="42"/>
      <c r="AH196" s="42"/>
      <c r="AI196" s="42">
        <f t="array" ref="AI196">XLOOKUP($E196,Sheet11!$D:$D,Sheet11!$X:$X,"",0)</f>
        <v>869066060240885</v>
      </c>
      <c r="AJ196" s="42">
        <f t="array" ref="AJ196">XLOOKUP($E196,Sheet11!$D:$D,Sheet11!$Y:$Y,"",0)</f>
        <v>9087078137</v>
      </c>
    </row>
    <row r="197">
      <c r="A197" s="41">
        <v>400.0</v>
      </c>
      <c r="B197" s="42" t="s">
        <v>396</v>
      </c>
      <c r="C197" s="42" t="s">
        <v>397</v>
      </c>
      <c r="D197" s="42"/>
      <c r="E197" s="42" t="str">
        <f t="shared" ref="E197:F197" si="198">PROPER(B197)</f>
        <v>Bangbang Farmers Association</v>
      </c>
      <c r="F197" s="42" t="str">
        <f t="shared" si="198"/>
        <v>Daga, Panay, Capiz</v>
      </c>
      <c r="G197" s="42" t="str">
        <f t="shared" si="3"/>
        <v>Daga</v>
      </c>
      <c r="H197" s="42" t="str">
        <f t="shared" si="4"/>
        <v>Panay</v>
      </c>
      <c r="I197" s="42" t="str">
        <f t="shared" si="5"/>
        <v>Capiz</v>
      </c>
      <c r="J197" s="42" t="str">
        <f t="array" ref="J197">XLOOKUP($E197,'Recipients REF'!$B:$B,'Recipients REF'!D:D,"",0)</f>
        <v>Ludovico B. Dipon</v>
      </c>
      <c r="K197" s="42">
        <f t="array" ref="K197">XLOOKUP($E197,'Recipients REF'!$B:$B,'Recipients REF'!E:E,"",0)</f>
        <v>9462811455</v>
      </c>
      <c r="L197" s="43" t="str">
        <f t="array" ref="L197">XLOOKUP($A197,'Recipients REF'!$A:$A,'Recipients REF'!F:F,"",0)</f>
        <v>RCEF 23-09-21 Rebidding</v>
      </c>
      <c r="M197" s="43">
        <f t="array" ref="M197">XLOOKUP($A197,'Recipients REF'!$A:$A,'Recipients REF'!G:G,"",0)</f>
        <v>4</v>
      </c>
      <c r="N197" s="43">
        <f t="array" ref="N197">XLOOKUP($A197,'Recipients REF'!$A:$A,'Recipients REF'!H:H,"",0)</f>
        <v>19058</v>
      </c>
      <c r="O197" s="44" t="s">
        <v>25</v>
      </c>
      <c r="P197" s="45" t="s">
        <v>26</v>
      </c>
      <c r="Q197" s="46" t="str">
        <f t="array" ref="Q197">XLOOKUP($A197,'Recipients REF'!$A:$A,'Recipients REF'!I:I,"",0)</f>
        <v>KMC5825ACRFPV0358</v>
      </c>
      <c r="R197" s="47" t="str">
        <f t="array" ref="R197">XLOOKUP($A197,'Recipients REF'!$A:$A,'Recipients REF'!J:J,"",0)</f>
        <v>RTS100248</v>
      </c>
      <c r="S197" s="45" t="s">
        <v>27</v>
      </c>
      <c r="T197" s="45" t="s">
        <v>28</v>
      </c>
      <c r="U197" s="46" t="str">
        <f t="array" ref="U197">XLOOKUP($A197,'Recipients REF'!$A:$A,'Recipients REF'!K:K,"",0)</f>
        <v>WR-SERIES 790 PH</v>
      </c>
      <c r="V197" s="44" t="s">
        <v>29</v>
      </c>
      <c r="W197" s="45" t="s">
        <v>30</v>
      </c>
      <c r="X197" s="47" t="str">
        <f t="array" ref="X197">XLOOKUP($A197,'Recipients REF'!$A:$A,'Recipients REF'!L:L,"",0)</f>
        <v>LSGW1759 RMP 24040653</v>
      </c>
      <c r="Y197" s="48" t="s">
        <v>29</v>
      </c>
      <c r="Z197" s="48" t="s">
        <v>31</v>
      </c>
      <c r="AA197" s="46" t="str">
        <f t="array" ref="AA197">XLOOKUP($A197,'Recipients REF'!$A:$A,'Recipients REF'!M:M,"",0)</f>
        <v>WDP40 RMP 24040412</v>
      </c>
      <c r="AB197" s="49"/>
      <c r="AC197" s="42"/>
      <c r="AD197" s="42"/>
      <c r="AE197" s="50"/>
      <c r="AF197" s="42"/>
      <c r="AG197" s="42"/>
      <c r="AH197" s="42"/>
      <c r="AI197" s="42" t="str">
        <f t="array" ref="AI197">XLOOKUP($E197,Sheet11!$D:$D,Sheet11!$X:$X,"",0)</f>
        <v/>
      </c>
      <c r="AJ197" s="42" t="str">
        <f t="array" ref="AJ197">XLOOKUP($E197,Sheet11!$D:$D,Sheet11!$Y:$Y,"",0)</f>
        <v/>
      </c>
    </row>
    <row r="198">
      <c r="A198" s="41">
        <v>401.0</v>
      </c>
      <c r="B198" s="42" t="s">
        <v>398</v>
      </c>
      <c r="C198" s="42" t="s">
        <v>399</v>
      </c>
      <c r="D198" s="42"/>
      <c r="E198" s="42" t="str">
        <f t="shared" ref="E198:F198" si="199">PROPER(B198)</f>
        <v>Calapawan Farmers Association</v>
      </c>
      <c r="F198" s="42" t="str">
        <f t="shared" si="199"/>
        <v>Calapawan, Panay, Capiz</v>
      </c>
      <c r="G198" s="42" t="str">
        <f t="shared" si="3"/>
        <v>Calapawan</v>
      </c>
      <c r="H198" s="42" t="str">
        <f t="shared" si="4"/>
        <v>Panay</v>
      </c>
      <c r="I198" s="42" t="str">
        <f t="shared" si="5"/>
        <v>Capiz</v>
      </c>
      <c r="J198" s="42" t="str">
        <f t="array" ref="J198">XLOOKUP($E198,'Recipients REF'!$B:$B,'Recipients REF'!D:D,"",0)</f>
        <v>Rodolfo Balgos</v>
      </c>
      <c r="K198" s="42" t="str">
        <f t="array" ref="K198">XLOOKUP($E198,'Recipients REF'!$B:$B,'Recipients REF'!E:E,"",0)</f>
        <v>0910-2135562</v>
      </c>
      <c r="L198" s="43" t="str">
        <f t="array" ref="L198">XLOOKUP($A198,'Recipients REF'!$A:$A,'Recipients REF'!F:F,"",0)</f>
        <v>RCEF 23-09-21 Rebidding</v>
      </c>
      <c r="M198" s="43">
        <f t="array" ref="M198">XLOOKUP($A198,'Recipients REF'!$A:$A,'Recipients REF'!G:G,"",0)</f>
        <v>4</v>
      </c>
      <c r="N198" s="43">
        <f t="array" ref="N198">XLOOKUP($A198,'Recipients REF'!$A:$A,'Recipients REF'!H:H,"",0)</f>
        <v>19059</v>
      </c>
      <c r="O198" s="44" t="s">
        <v>25</v>
      </c>
      <c r="P198" s="45" t="s">
        <v>26</v>
      </c>
      <c r="Q198" s="46" t="str">
        <f t="array" ref="Q198">XLOOKUP($A198,'Recipients REF'!$A:$A,'Recipients REF'!I:I,"",0)</f>
        <v>KMC5825ATRFPV0628</v>
      </c>
      <c r="R198" s="47" t="str">
        <f t="array" ref="R198">XLOOKUP($A198,'Recipients REF'!$A:$A,'Recipients REF'!J:J,"",0)</f>
        <v>RTS100519</v>
      </c>
      <c r="S198" s="45" t="s">
        <v>27</v>
      </c>
      <c r="T198" s="45" t="s">
        <v>28</v>
      </c>
      <c r="U198" s="46" t="str">
        <f t="array" ref="U198">XLOOKUP($A198,'Recipients REF'!$A:$A,'Recipients REF'!K:K,"",0)</f>
        <v>WR-SERIES 736 PH</v>
      </c>
      <c r="V198" s="44" t="s">
        <v>29</v>
      </c>
      <c r="W198" s="45" t="s">
        <v>30</v>
      </c>
      <c r="X198" s="47" t="str">
        <f t="array" ref="X198">XLOOKUP($A198,'Recipients REF'!$A:$A,'Recipients REF'!L:L,"",0)</f>
        <v>LSGW1750 RMP 24040650</v>
      </c>
      <c r="Y198" s="48" t="s">
        <v>29</v>
      </c>
      <c r="Z198" s="48" t="s">
        <v>31</v>
      </c>
      <c r="AA198" s="46" t="str">
        <f t="array" ref="AA198">XLOOKUP($A198,'Recipients REF'!$A:$A,'Recipients REF'!M:M,"",0)</f>
        <v>WDP40 RMP 24010117</v>
      </c>
      <c r="AB198" s="49"/>
      <c r="AC198" s="42"/>
      <c r="AD198" s="42"/>
      <c r="AE198" s="50"/>
      <c r="AF198" s="42"/>
      <c r="AG198" s="42"/>
      <c r="AH198" s="42"/>
      <c r="AI198" s="42">
        <f t="array" ref="AI198">XLOOKUP($E198,Sheet11!$D:$D,Sheet11!$X:$X,"",0)</f>
        <v>869066060241230</v>
      </c>
      <c r="AJ198" s="42">
        <f t="array" ref="AJ198">XLOOKUP($E198,Sheet11!$D:$D,Sheet11!$Y:$Y,"",0)</f>
        <v>9084642186</v>
      </c>
    </row>
    <row r="199">
      <c r="A199" s="41">
        <v>402.0</v>
      </c>
      <c r="B199" s="42" t="s">
        <v>400</v>
      </c>
      <c r="C199" s="42" t="s">
        <v>401</v>
      </c>
      <c r="D199" s="42"/>
      <c r="E199" s="42" t="str">
        <f t="shared" ref="E199:F199" si="200">PROPER(B199)</f>
        <v>Intampilan Farmers Association</v>
      </c>
      <c r="F199" s="42" t="str">
        <f t="shared" si="200"/>
        <v>Intampilan, Panitan, Capiz</v>
      </c>
      <c r="G199" s="42" t="str">
        <f t="shared" si="3"/>
        <v>Intampilan</v>
      </c>
      <c r="H199" s="42" t="str">
        <f t="shared" si="4"/>
        <v>Panitan</v>
      </c>
      <c r="I199" s="42" t="str">
        <f t="shared" si="5"/>
        <v>Capiz</v>
      </c>
      <c r="J199" s="42" t="str">
        <f t="array" ref="J199">XLOOKUP($E199,'Recipients REF'!$B:$B,'Recipients REF'!D:D,"",0)</f>
        <v>MANUEL B. AGAPITO JR.</v>
      </c>
      <c r="K199" s="42">
        <f t="array" ref="K199">XLOOKUP($E199,'Recipients REF'!$B:$B,'Recipients REF'!E:E,"",0)</f>
        <v>9109236360</v>
      </c>
      <c r="L199" s="43" t="str">
        <f t="array" ref="L199">XLOOKUP($A199,'Recipients REF'!$A:$A,'Recipients REF'!F:F,"",0)</f>
        <v>RCEF 23-09-21 Rebidding</v>
      </c>
      <c r="M199" s="43">
        <f t="array" ref="M199">XLOOKUP($A199,'Recipients REF'!$A:$A,'Recipients REF'!G:G,"",0)</f>
        <v>4</v>
      </c>
      <c r="N199" s="43">
        <f t="array" ref="N199">XLOOKUP($A199,'Recipients REF'!$A:$A,'Recipients REF'!H:H,"",0)</f>
        <v>19060</v>
      </c>
      <c r="O199" s="44" t="s">
        <v>25</v>
      </c>
      <c r="P199" s="45" t="s">
        <v>26</v>
      </c>
      <c r="Q199" s="46" t="str">
        <f t="array" ref="Q199">XLOOKUP($A199,'Recipients REF'!$A:$A,'Recipients REF'!I:I,"",0)</f>
        <v>KMC5825ALRFPV0347</v>
      </c>
      <c r="R199" s="47" t="str">
        <f t="array" ref="R199">XLOOKUP($A199,'Recipients REF'!$A:$A,'Recipients REF'!J:J,"",0)</f>
        <v>RTS100243</v>
      </c>
      <c r="S199" s="45" t="s">
        <v>27</v>
      </c>
      <c r="T199" s="45" t="s">
        <v>28</v>
      </c>
      <c r="U199" s="46" t="str">
        <f t="array" ref="U199">XLOOKUP($A199,'Recipients REF'!$A:$A,'Recipients REF'!K:K,"",0)</f>
        <v>WR-SERIES 854 PH</v>
      </c>
      <c r="V199" s="44" t="s">
        <v>29</v>
      </c>
      <c r="W199" s="45" t="s">
        <v>30</v>
      </c>
      <c r="X199" s="47" t="str">
        <f t="array" ref="X199">XLOOKUP($A199,'Recipients REF'!$A:$A,'Recipients REF'!L:L,"",0)</f>
        <v>LSGW1750 RMP 24040705</v>
      </c>
      <c r="Y199" s="48" t="s">
        <v>29</v>
      </c>
      <c r="Z199" s="48" t="s">
        <v>31</v>
      </c>
      <c r="AA199" s="46" t="str">
        <f t="array" ref="AA199">XLOOKUP($A199,'Recipients REF'!$A:$A,'Recipients REF'!M:M,"",0)</f>
        <v>WDP40 RMP 24030362</v>
      </c>
      <c r="AB199" s="49"/>
      <c r="AC199" s="42"/>
      <c r="AD199" s="42"/>
      <c r="AE199" s="50"/>
      <c r="AF199" s="42"/>
      <c r="AG199" s="42"/>
      <c r="AH199" s="42"/>
      <c r="AI199" s="42">
        <f t="array" ref="AI199">XLOOKUP($E199,Sheet11!$D:$D,Sheet11!$X:$X,"",0)</f>
        <v>869066060239077</v>
      </c>
      <c r="AJ199" s="42">
        <f t="array" ref="AJ199">XLOOKUP($E199,Sheet11!$D:$D,Sheet11!$Y:$Y,"",0)</f>
        <v>9083875731</v>
      </c>
    </row>
    <row r="200">
      <c r="A200" s="41">
        <v>403.0</v>
      </c>
      <c r="B200" s="42" t="s">
        <v>402</v>
      </c>
      <c r="C200" s="42" t="s">
        <v>403</v>
      </c>
      <c r="D200" s="42"/>
      <c r="E200" s="42" t="str">
        <f t="shared" ref="E200:F200" si="201">PROPER(B200)</f>
        <v>Pasugue Community Farmers Association (Pacfa)</v>
      </c>
      <c r="F200" s="42" t="str">
        <f t="shared" si="201"/>
        <v>Pasugue, Panitan, Capiz</v>
      </c>
      <c r="G200" s="42" t="str">
        <f t="shared" si="3"/>
        <v>Pasugue</v>
      </c>
      <c r="H200" s="42" t="str">
        <f t="shared" si="4"/>
        <v>Panitan</v>
      </c>
      <c r="I200" s="42" t="str">
        <f t="shared" si="5"/>
        <v>Capiz</v>
      </c>
      <c r="J200" s="42" t="str">
        <f t="array" ref="J200">XLOOKUP($E200,'Recipients REF'!$B:$B,'Recipients REF'!D:D,"",0)</f>
        <v>Eugene B. Degollado</v>
      </c>
      <c r="K200" s="42">
        <f t="array" ref="K200">XLOOKUP($E200,'Recipients REF'!$B:$B,'Recipients REF'!E:E,"",0)</f>
        <v>9751847134</v>
      </c>
      <c r="L200" s="43" t="str">
        <f t="array" ref="L200">XLOOKUP($A200,'Recipients REF'!$A:$A,'Recipients REF'!F:F,"",0)</f>
        <v>RCEF 23-09-21 Rebidding</v>
      </c>
      <c r="M200" s="43">
        <f t="array" ref="M200">XLOOKUP($A200,'Recipients REF'!$A:$A,'Recipients REF'!G:G,"",0)</f>
        <v>4</v>
      </c>
      <c r="N200" s="43">
        <f t="array" ref="N200">XLOOKUP($A200,'Recipients REF'!$A:$A,'Recipients REF'!H:H,"",0)</f>
        <v>19061</v>
      </c>
      <c r="O200" s="44" t="s">
        <v>25</v>
      </c>
      <c r="P200" s="45" t="s">
        <v>26</v>
      </c>
      <c r="Q200" s="46" t="str">
        <f t="array" ref="Q200">XLOOKUP($A200,'Recipients REF'!$A:$A,'Recipients REF'!I:I,"",0)</f>
        <v>KMC5825ACRFPV0708</v>
      </c>
      <c r="R200" s="47" t="str">
        <f t="array" ref="R200">XLOOKUP($A200,'Recipients REF'!$A:$A,'Recipients REF'!J:J,"",0)</f>
        <v>RTS100508</v>
      </c>
      <c r="S200" s="45" t="s">
        <v>27</v>
      </c>
      <c r="T200" s="45" t="s">
        <v>28</v>
      </c>
      <c r="U200" s="46" t="str">
        <f t="array" ref="U200">XLOOKUP($A200,'Recipients REF'!$A:$A,'Recipients REF'!K:K,"",0)</f>
        <v>WR-SERIES 805 PH</v>
      </c>
      <c r="V200" s="44" t="s">
        <v>29</v>
      </c>
      <c r="W200" s="45" t="s">
        <v>30</v>
      </c>
      <c r="X200" s="47" t="str">
        <f t="array" ref="X200">XLOOKUP($A200,'Recipients REF'!$A:$A,'Recipients REF'!L:L,"",0)</f>
        <v>LSGW1750 RMP 24040649</v>
      </c>
      <c r="Y200" s="48" t="s">
        <v>29</v>
      </c>
      <c r="Z200" s="48" t="s">
        <v>31</v>
      </c>
      <c r="AA200" s="46" t="str">
        <f t="array" ref="AA200">XLOOKUP($A200,'Recipients REF'!$A:$A,'Recipients REF'!M:M,"",0)</f>
        <v>WDP40 RMP 24040420</v>
      </c>
      <c r="AB200" s="49"/>
      <c r="AC200" s="42"/>
      <c r="AD200" s="42"/>
      <c r="AE200" s="50"/>
      <c r="AF200" s="42"/>
      <c r="AG200" s="42"/>
      <c r="AH200" s="42"/>
      <c r="AI200" s="42" t="str">
        <f t="array" ref="AI200">XLOOKUP($E200,Sheet11!$D:$D,Sheet11!$X:$X,"",0)</f>
        <v/>
      </c>
      <c r="AJ200" s="42" t="str">
        <f t="array" ref="AJ200">XLOOKUP($E200,Sheet11!$D:$D,Sheet11!$Y:$Y,"",0)</f>
        <v/>
      </c>
    </row>
    <row r="201">
      <c r="A201" s="41">
        <v>404.0</v>
      </c>
      <c r="B201" s="42" t="s">
        <v>404</v>
      </c>
      <c r="C201" s="42" t="s">
        <v>405</v>
      </c>
      <c r="D201" s="42"/>
      <c r="E201" s="42" t="str">
        <f t="shared" ref="E201:F201" si="202">PROPER(B201)</f>
        <v>Poblacion Ilaya Panit-An Farmers Association</v>
      </c>
      <c r="F201" s="42" t="str">
        <f t="shared" si="202"/>
        <v>Poblacion Ilaya, Panitan, Capiz</v>
      </c>
      <c r="G201" s="42" t="str">
        <f t="shared" si="3"/>
        <v>Poblacion Ilaya</v>
      </c>
      <c r="H201" s="42" t="str">
        <f t="shared" si="4"/>
        <v>Panitan</v>
      </c>
      <c r="I201" s="42" t="str">
        <f t="shared" si="5"/>
        <v>Capiz</v>
      </c>
      <c r="J201" s="42" t="str">
        <f t="array" ref="J201">XLOOKUP($E201,'Recipients REF'!$B:$B,'Recipients REF'!D:D,"",0)</f>
        <v>Bertito D. Dequina</v>
      </c>
      <c r="K201" s="42" t="str">
        <f t="array" ref="K201">XLOOKUP($E201,'Recipients REF'!$B:$B,'Recipients REF'!E:E,"",0)</f>
        <v>0998-289-9515</v>
      </c>
      <c r="L201" s="43" t="str">
        <f t="array" ref="L201">XLOOKUP($A201,'Recipients REF'!$A:$A,'Recipients REF'!F:F,"",0)</f>
        <v>RCEF 23-09-21 Rebidding</v>
      </c>
      <c r="M201" s="43">
        <f t="array" ref="M201">XLOOKUP($A201,'Recipients REF'!$A:$A,'Recipients REF'!G:G,"",0)</f>
        <v>4</v>
      </c>
      <c r="N201" s="43">
        <f t="array" ref="N201">XLOOKUP($A201,'Recipients REF'!$A:$A,'Recipients REF'!H:H,"",0)</f>
        <v>19062</v>
      </c>
      <c r="O201" s="44" t="s">
        <v>25</v>
      </c>
      <c r="P201" s="45" t="s">
        <v>26</v>
      </c>
      <c r="Q201" s="46" t="str">
        <f t="array" ref="Q201">XLOOKUP($A201,'Recipients REF'!$A:$A,'Recipients REF'!I:I,"",0)</f>
        <v>KMC5825AKRFPV0633</v>
      </c>
      <c r="R201" s="47" t="str">
        <f t="array" ref="R201">XLOOKUP($A201,'Recipients REF'!$A:$A,'Recipients REF'!J:J,"",0)</f>
        <v>RTS100510</v>
      </c>
      <c r="S201" s="45" t="s">
        <v>27</v>
      </c>
      <c r="T201" s="45" t="s">
        <v>28</v>
      </c>
      <c r="U201" s="46" t="str">
        <f t="array" ref="U201">XLOOKUP($A201,'Recipients REF'!$A:$A,'Recipients REF'!K:K,"",0)</f>
        <v>WR-SERIES 857 PH</v>
      </c>
      <c r="V201" s="44" t="s">
        <v>29</v>
      </c>
      <c r="W201" s="45" t="s">
        <v>30</v>
      </c>
      <c r="X201" s="47" t="str">
        <f t="array" ref="X201">XLOOKUP($A201,'Recipients REF'!$A:$A,'Recipients REF'!L:L,"",0)</f>
        <v>LSGW1750 RMP 24040712</v>
      </c>
      <c r="Y201" s="48" t="s">
        <v>29</v>
      </c>
      <c r="Z201" s="48" t="s">
        <v>31</v>
      </c>
      <c r="AA201" s="46" t="str">
        <f t="array" ref="AA201">XLOOKUP($A201,'Recipients REF'!$A:$A,'Recipients REF'!M:M,"",0)</f>
        <v>WDP40 RMP 24040459</v>
      </c>
      <c r="AB201" s="49"/>
      <c r="AC201" s="42"/>
      <c r="AD201" s="42"/>
      <c r="AE201" s="50"/>
      <c r="AF201" s="42"/>
      <c r="AG201" s="42"/>
      <c r="AH201" s="42"/>
      <c r="AI201" s="42">
        <f t="array" ref="AI201">XLOOKUP($E201,Sheet11!$D:$D,Sheet11!$X:$X,"",0)</f>
        <v>869066060240869</v>
      </c>
      <c r="AJ201" s="42">
        <f t="array" ref="AJ201">XLOOKUP($E201,Sheet11!$D:$D,Sheet11!$Y:$Y,"",0)</f>
        <v>9083939128</v>
      </c>
    </row>
    <row r="202">
      <c r="A202" s="41">
        <v>405.0</v>
      </c>
      <c r="B202" s="42" t="s">
        <v>406</v>
      </c>
      <c r="C202" s="42" t="s">
        <v>407</v>
      </c>
      <c r="D202" s="42"/>
      <c r="E202" s="42" t="str">
        <f t="shared" ref="E202:F202" si="203">PROPER(B202)</f>
        <v>San Pedro United Farmers Association</v>
      </c>
      <c r="F202" s="42" t="str">
        <f t="shared" si="203"/>
        <v>San Pedro, Pilar, Capiz</v>
      </c>
      <c r="G202" s="42" t="str">
        <f t="shared" si="3"/>
        <v>San Pedro</v>
      </c>
      <c r="H202" s="42" t="str">
        <f t="shared" si="4"/>
        <v>Pilar</v>
      </c>
      <c r="I202" s="42" t="str">
        <f t="shared" si="5"/>
        <v>Capiz</v>
      </c>
      <c r="J202" s="42" t="str">
        <f t="array" ref="J202">XLOOKUP($E202,'Recipients REF'!$B:$B,'Recipients REF'!D:D,"",0)</f>
        <v>Nelia B. Bonzo</v>
      </c>
      <c r="K202" s="42" t="str">
        <f t="array" ref="K202">XLOOKUP($E202,'Recipients REF'!$B:$B,'Recipients REF'!E:E,"",0)</f>
        <v>0936-714-6094</v>
      </c>
      <c r="L202" s="43" t="str">
        <f t="array" ref="L202">XLOOKUP($A202,'Recipients REF'!$A:$A,'Recipients REF'!F:F,"",0)</f>
        <v>RCEF 23-09-21 Rebidding</v>
      </c>
      <c r="M202" s="43">
        <f t="array" ref="M202">XLOOKUP($A202,'Recipients REF'!$A:$A,'Recipients REF'!G:G,"",0)</f>
        <v>4</v>
      </c>
      <c r="N202" s="43">
        <f t="array" ref="N202">XLOOKUP($A202,'Recipients REF'!$A:$A,'Recipients REF'!H:H,"",0)</f>
        <v>19063</v>
      </c>
      <c r="O202" s="44" t="s">
        <v>25</v>
      </c>
      <c r="P202" s="45" t="s">
        <v>26</v>
      </c>
      <c r="Q202" s="46" t="str">
        <f t="array" ref="Q202">XLOOKUP($A202,'Recipients REF'!$A:$A,'Recipients REF'!I:I,"",0)</f>
        <v>KMC5825AKRFPV0647</v>
      </c>
      <c r="R202" s="47" t="str">
        <f t="array" ref="R202">XLOOKUP($A202,'Recipients REF'!$A:$A,'Recipients REF'!J:J,"",0)</f>
        <v>RTS100539</v>
      </c>
      <c r="S202" s="45" t="s">
        <v>27</v>
      </c>
      <c r="T202" s="45" t="s">
        <v>28</v>
      </c>
      <c r="U202" s="46" t="str">
        <f t="array" ref="U202">XLOOKUP($A202,'Recipients REF'!$A:$A,'Recipients REF'!K:K,"",0)</f>
        <v>WR-SERIES 858 PH</v>
      </c>
      <c r="V202" s="44" t="s">
        <v>29</v>
      </c>
      <c r="W202" s="45" t="s">
        <v>30</v>
      </c>
      <c r="X202" s="47" t="str">
        <f t="array" ref="X202">XLOOKUP($A202,'Recipients REF'!$A:$A,'Recipients REF'!L:L,"",0)</f>
        <v>LSGW1750 RMP 24040712</v>
      </c>
      <c r="Y202" s="48" t="s">
        <v>29</v>
      </c>
      <c r="Z202" s="48" t="s">
        <v>31</v>
      </c>
      <c r="AA202" s="46" t="str">
        <f t="array" ref="AA202">XLOOKUP($A202,'Recipients REF'!$A:$A,'Recipients REF'!M:M,"",0)</f>
        <v>WDP40 RMP 24040488</v>
      </c>
      <c r="AB202" s="49"/>
      <c r="AC202" s="42"/>
      <c r="AD202" s="42"/>
      <c r="AE202" s="50"/>
      <c r="AF202" s="42"/>
      <c r="AG202" s="42"/>
      <c r="AH202" s="42"/>
      <c r="AI202" s="42">
        <f t="array" ref="AI202">XLOOKUP($E202,Sheet11!$D:$D,Sheet11!$X:$X,"",0)</f>
        <v>869066060243244</v>
      </c>
      <c r="AJ202" s="42">
        <f t="array" ref="AJ202">XLOOKUP($E202,Sheet11!$D:$D,Sheet11!$Y:$Y,"",0)</f>
        <v>9086514657</v>
      </c>
    </row>
    <row r="203">
      <c r="A203" s="41">
        <v>406.0</v>
      </c>
      <c r="B203" s="42" t="s">
        <v>408</v>
      </c>
      <c r="C203" s="42" t="s">
        <v>409</v>
      </c>
      <c r="D203" s="42"/>
      <c r="E203" s="42" t="str">
        <f t="shared" ref="E203:F203" si="204">PROPER(B203)</f>
        <v>Tabuc Farmers Association</v>
      </c>
      <c r="F203" s="42" t="str">
        <f t="shared" si="204"/>
        <v>Tabuc, Pontevedra, Capiz</v>
      </c>
      <c r="G203" s="42" t="str">
        <f t="shared" si="3"/>
        <v>Tabuc</v>
      </c>
      <c r="H203" s="42" t="str">
        <f t="shared" si="4"/>
        <v>Pontevedra</v>
      </c>
      <c r="I203" s="42" t="str">
        <f t="shared" si="5"/>
        <v>Capiz</v>
      </c>
      <c r="J203" s="42" t="str">
        <f t="array" ref="J203">XLOOKUP($E203,'Recipients REF'!$B:$B,'Recipients REF'!D:D,"",0)</f>
        <v>Virgilio Begas</v>
      </c>
      <c r="K203" s="42" t="str">
        <f t="array" ref="K203">XLOOKUP($E203,'Recipients REF'!$B:$B,'Recipients REF'!E:E,"",0)</f>
        <v>0921-371-8573</v>
      </c>
      <c r="L203" s="43" t="str">
        <f t="array" ref="L203">XLOOKUP($A203,'Recipients REF'!$A:$A,'Recipients REF'!F:F,"",0)</f>
        <v>RCEF 23-09-21 Rebidding</v>
      </c>
      <c r="M203" s="43">
        <f t="array" ref="M203">XLOOKUP($A203,'Recipients REF'!$A:$A,'Recipients REF'!G:G,"",0)</f>
        <v>4</v>
      </c>
      <c r="N203" s="43">
        <f t="array" ref="N203">XLOOKUP($A203,'Recipients REF'!$A:$A,'Recipients REF'!H:H,"",0)</f>
        <v>19064</v>
      </c>
      <c r="O203" s="44" t="s">
        <v>25</v>
      </c>
      <c r="P203" s="45" t="s">
        <v>26</v>
      </c>
      <c r="Q203" s="46" t="str">
        <f t="array" ref="Q203">XLOOKUP($A203,'Recipients REF'!$A:$A,'Recipients REF'!I:I,"",0)</f>
        <v>KMC5825ATRFPV0581</v>
      </c>
      <c r="R203" s="47" t="str">
        <f t="array" ref="R203">XLOOKUP($A203,'Recipients REF'!$A:$A,'Recipients REF'!J:J,"",0)</f>
        <v>RTS100490</v>
      </c>
      <c r="S203" s="45" t="s">
        <v>27</v>
      </c>
      <c r="T203" s="45" t="s">
        <v>28</v>
      </c>
      <c r="U203" s="46" t="str">
        <f t="array" ref="U203">XLOOKUP($A203,'Recipients REF'!$A:$A,'Recipients REF'!K:K,"",0)</f>
        <v>WR-SERIES 875 PH</v>
      </c>
      <c r="V203" s="44" t="s">
        <v>29</v>
      </c>
      <c r="W203" s="45" t="s">
        <v>30</v>
      </c>
      <c r="X203" s="47" t="str">
        <f t="array" ref="X203">XLOOKUP($A203,'Recipients REF'!$A:$A,'Recipients REF'!L:L,"",0)</f>
        <v>LSGW1750 RMP 24040699</v>
      </c>
      <c r="Y203" s="48" t="s">
        <v>29</v>
      </c>
      <c r="Z203" s="48" t="s">
        <v>31</v>
      </c>
      <c r="AA203" s="46" t="str">
        <f t="array" ref="AA203">XLOOKUP($A203,'Recipients REF'!$A:$A,'Recipients REF'!M:M,"",0)</f>
        <v>WDP40 RMP 24040466</v>
      </c>
      <c r="AB203" s="49"/>
      <c r="AC203" s="42"/>
      <c r="AD203" s="42"/>
      <c r="AE203" s="50"/>
      <c r="AF203" s="42"/>
      <c r="AG203" s="42"/>
      <c r="AH203" s="42"/>
      <c r="AI203" s="42">
        <f t="array" ref="AI203">XLOOKUP($E203,Sheet11!$D:$D,Sheet11!$X:$X,"",0)</f>
        <v>869066060241891</v>
      </c>
      <c r="AJ203" s="42">
        <f t="array" ref="AJ203">XLOOKUP($E203,Sheet11!$D:$D,Sheet11!$Y:$Y,"",0)</f>
        <v>9087071510</v>
      </c>
    </row>
    <row r="204">
      <c r="A204" s="41">
        <v>407.0</v>
      </c>
      <c r="B204" s="42" t="s">
        <v>410</v>
      </c>
      <c r="C204" s="42" t="s">
        <v>411</v>
      </c>
      <c r="D204" s="42"/>
      <c r="E204" s="42" t="str">
        <f t="shared" ref="E204:F204" si="205">PROPER(B204)</f>
        <v>Kasanag Pinaypayan Bolo Farmers Association</v>
      </c>
      <c r="F204" s="42" t="str">
        <f t="shared" si="205"/>
        <v>Bolo, Roxas City, Capiz</v>
      </c>
      <c r="G204" s="42" t="str">
        <f t="shared" si="3"/>
        <v>Bolo</v>
      </c>
      <c r="H204" s="42" t="str">
        <f t="shared" si="4"/>
        <v>Roxas City</v>
      </c>
      <c r="I204" s="42" t="str">
        <f t="shared" si="5"/>
        <v>Capiz</v>
      </c>
      <c r="J204" s="42" t="str">
        <f t="array" ref="J204">XLOOKUP($E204,'Recipients REF'!$B:$B,'Recipients REF'!D:D,"",0)</f>
        <v>SALVADOR V. MEDINA JR.</v>
      </c>
      <c r="K204" s="42">
        <f t="array" ref="K204">XLOOKUP($E204,'Recipients REF'!$B:$B,'Recipients REF'!E:E,"",0)</f>
        <v>9455117041</v>
      </c>
      <c r="L204" s="43" t="str">
        <f t="array" ref="L204">XLOOKUP($A204,'Recipients REF'!$A:$A,'Recipients REF'!F:F,"",0)</f>
        <v>RCEF 23-09-21 Rebidding</v>
      </c>
      <c r="M204" s="43">
        <f t="array" ref="M204">XLOOKUP($A204,'Recipients REF'!$A:$A,'Recipients REF'!G:G,"",0)</f>
        <v>4</v>
      </c>
      <c r="N204" s="43">
        <f t="array" ref="N204">XLOOKUP($A204,'Recipients REF'!$A:$A,'Recipients REF'!H:H,"",0)</f>
        <v>19065</v>
      </c>
      <c r="O204" s="44" t="s">
        <v>25</v>
      </c>
      <c r="P204" s="45" t="s">
        <v>26</v>
      </c>
      <c r="Q204" s="46" t="str">
        <f t="array" ref="Q204">XLOOKUP($A204,'Recipients REF'!$A:$A,'Recipients REF'!I:I,"",0)</f>
        <v>KMC5825AARFPV0489</v>
      </c>
      <c r="R204" s="47" t="str">
        <f t="array" ref="R204">XLOOKUP($A204,'Recipients REF'!$A:$A,'Recipients REF'!J:J,"",0)</f>
        <v>RTS100399</v>
      </c>
      <c r="S204" s="45" t="s">
        <v>27</v>
      </c>
      <c r="T204" s="45" t="s">
        <v>28</v>
      </c>
      <c r="U204" s="46" t="str">
        <f t="array" ref="U204">XLOOKUP($A204,'Recipients REF'!$A:$A,'Recipients REF'!K:K,"",0)</f>
        <v>WR-SERIES 742 PH</v>
      </c>
      <c r="V204" s="44" t="s">
        <v>29</v>
      </c>
      <c r="W204" s="45" t="s">
        <v>30</v>
      </c>
      <c r="X204" s="47" t="str">
        <f t="array" ref="X204">XLOOKUP($A204,'Recipients REF'!$A:$A,'Recipients REF'!L:L,"",0)</f>
        <v>LSGW1750 RMP 24040651</v>
      </c>
      <c r="Y204" s="48" t="s">
        <v>29</v>
      </c>
      <c r="Z204" s="48" t="s">
        <v>31</v>
      </c>
      <c r="AA204" s="46" t="str">
        <f t="array" ref="AA204">XLOOKUP($A204,'Recipients REF'!$A:$A,'Recipients REF'!M:M,"",0)</f>
        <v>WDP40 RMP 24030338</v>
      </c>
      <c r="AB204" s="49"/>
      <c r="AC204" s="42"/>
      <c r="AD204" s="42"/>
      <c r="AE204" s="50"/>
      <c r="AF204" s="42"/>
      <c r="AG204" s="42"/>
      <c r="AH204" s="42"/>
      <c r="AI204" s="42">
        <f t="array" ref="AI204">XLOOKUP($E204,Sheet11!$D:$D,Sheet11!$X:$X,"",0)</f>
        <v>869066060242063</v>
      </c>
      <c r="AJ204" s="42" t="str">
        <f t="array" ref="AJ204">XLOOKUP($E204,Sheet11!$D:$D,Sheet11!$Y:$Y,"",0)</f>
        <v/>
      </c>
    </row>
    <row r="205">
      <c r="A205" s="41">
        <v>408.0</v>
      </c>
      <c r="B205" s="42" t="s">
        <v>412</v>
      </c>
      <c r="C205" s="42" t="s">
        <v>413</v>
      </c>
      <c r="D205" s="42"/>
      <c r="E205" s="42" t="str">
        <f t="shared" ref="E205:F205" si="206">PROPER(B205)</f>
        <v>San Jose Farmers And Workers Association (Sjfwa)</v>
      </c>
      <c r="F205" s="42" t="str">
        <f t="shared" si="206"/>
        <v>San Jose, Roxas City, Capiz</v>
      </c>
      <c r="G205" s="42" t="str">
        <f t="shared" si="3"/>
        <v>San Jose</v>
      </c>
      <c r="H205" s="42" t="str">
        <f t="shared" si="4"/>
        <v>Roxas City</v>
      </c>
      <c r="I205" s="42" t="str">
        <f t="shared" si="5"/>
        <v>Capiz</v>
      </c>
      <c r="J205" s="42" t="str">
        <f t="array" ref="J205">XLOOKUP($E205,'Recipients REF'!$B:$B,'Recipients REF'!D:D,"",0)</f>
        <v>Rodulfo C. Capapas</v>
      </c>
      <c r="K205" s="42">
        <f t="array" ref="K205">XLOOKUP($E205,'Recipients REF'!$B:$B,'Recipients REF'!E:E,"",0)</f>
        <v>9072102733</v>
      </c>
      <c r="L205" s="43" t="str">
        <f t="array" ref="L205">XLOOKUP($A205,'Recipients REF'!$A:$A,'Recipients REF'!F:F,"",0)</f>
        <v>RCEF 23-09-21 Rebidding</v>
      </c>
      <c r="M205" s="43">
        <f t="array" ref="M205">XLOOKUP($A205,'Recipients REF'!$A:$A,'Recipients REF'!G:G,"",0)</f>
        <v>4</v>
      </c>
      <c r="N205" s="43">
        <f t="array" ref="N205">XLOOKUP($A205,'Recipients REF'!$A:$A,'Recipients REF'!H:H,"",0)</f>
        <v>19066</v>
      </c>
      <c r="O205" s="44" t="s">
        <v>25</v>
      </c>
      <c r="P205" s="45" t="s">
        <v>26</v>
      </c>
      <c r="Q205" s="46" t="str">
        <f t="array" ref="Q205">XLOOKUP($A205,'Recipients REF'!$A:$A,'Recipients REF'!I:I,"",0)</f>
        <v>KMC5825ACRFPV0451</v>
      </c>
      <c r="R205" s="47" t="str">
        <f t="array" ref="R205">XLOOKUP($A205,'Recipients REF'!$A:$A,'Recipients REF'!J:J,"",0)</f>
        <v>RTS100362</v>
      </c>
      <c r="S205" s="45" t="s">
        <v>27</v>
      </c>
      <c r="T205" s="45" t="s">
        <v>28</v>
      </c>
      <c r="U205" s="46" t="str">
        <f t="array" ref="U205">XLOOKUP($A205,'Recipients REF'!$A:$A,'Recipients REF'!K:K,"",0)</f>
        <v>WR-SERIES 856 PH</v>
      </c>
      <c r="V205" s="44" t="s">
        <v>29</v>
      </c>
      <c r="W205" s="45" t="s">
        <v>30</v>
      </c>
      <c r="X205" s="47" t="str">
        <f t="array" ref="X205">XLOOKUP($A205,'Recipients REF'!$A:$A,'Recipients REF'!L:L,"",0)</f>
        <v>LSGW1750 RMP 24040650</v>
      </c>
      <c r="Y205" s="48" t="s">
        <v>29</v>
      </c>
      <c r="Z205" s="48" t="s">
        <v>31</v>
      </c>
      <c r="AA205" s="46" t="str">
        <f t="array" ref="AA205">XLOOKUP($A205,'Recipients REF'!$A:$A,'Recipients REF'!M:M,"",0)</f>
        <v>WDP40 RMP 24040409</v>
      </c>
      <c r="AB205" s="49"/>
      <c r="AC205" s="42"/>
      <c r="AD205" s="42"/>
      <c r="AE205" s="50"/>
      <c r="AF205" s="42"/>
      <c r="AG205" s="42"/>
      <c r="AH205" s="42"/>
      <c r="AI205" s="42">
        <f t="array" ref="AI205">XLOOKUP($E205,Sheet11!$D:$D,Sheet11!$X:$X,"",0)</f>
        <v>869066060241248</v>
      </c>
      <c r="AJ205" s="42">
        <f t="array" ref="AJ205">XLOOKUP($E205,Sheet11!$D:$D,Sheet11!$Y:$Y,"",0)</f>
        <v>9086107395</v>
      </c>
    </row>
    <row r="206">
      <c r="A206" s="41">
        <v>409.0</v>
      </c>
      <c r="B206" s="42" t="s">
        <v>414</v>
      </c>
      <c r="C206" s="42" t="s">
        <v>415</v>
      </c>
      <c r="D206" s="42"/>
      <c r="E206" s="42" t="str">
        <f t="shared" ref="E206:F206" si="207">PROPER(B206)</f>
        <v>Barangay Angub Farmers Association</v>
      </c>
      <c r="F206" s="42" t="str">
        <f t="shared" si="207"/>
        <v>Angub, Cuartero, Capiz</v>
      </c>
      <c r="G206" s="42" t="str">
        <f t="shared" si="3"/>
        <v>Angub</v>
      </c>
      <c r="H206" s="42" t="str">
        <f t="shared" si="4"/>
        <v>Cuartero</v>
      </c>
      <c r="I206" s="42" t="str">
        <f t="shared" si="5"/>
        <v>Capiz</v>
      </c>
      <c r="J206" s="42" t="str">
        <f t="array" ref="J206">XLOOKUP($E206,'Recipients REF'!$B:$B,'Recipients REF'!D:D,"",0)</f>
        <v>Raphaela F. Navarro</v>
      </c>
      <c r="K206" s="42" t="str">
        <f t="array" ref="K206">XLOOKUP($E206,'Recipients REF'!$B:$B,'Recipients REF'!E:E,"",0)</f>
        <v>0938-160-8639</v>
      </c>
      <c r="L206" s="43" t="str">
        <f t="array" ref="L206">XLOOKUP($A206,'Recipients REF'!$A:$A,'Recipients REF'!F:F,"",0)</f>
        <v>RCEF 23-09-21 Rebidding</v>
      </c>
      <c r="M206" s="43">
        <f t="array" ref="M206">XLOOKUP($A206,'Recipients REF'!$A:$A,'Recipients REF'!G:G,"",0)</f>
        <v>4</v>
      </c>
      <c r="N206" s="43">
        <f t="array" ref="N206">XLOOKUP($A206,'Recipients REF'!$A:$A,'Recipients REF'!H:H,"",0)</f>
        <v>19067</v>
      </c>
      <c r="O206" s="44" t="s">
        <v>25</v>
      </c>
      <c r="P206" s="45" t="s">
        <v>26</v>
      </c>
      <c r="Q206" s="46" t="str">
        <f t="array" ref="Q206">XLOOKUP($A206,'Recipients REF'!$A:$A,'Recipients REF'!I:I,"",0)</f>
        <v>KMC5825ACRFPV0618</v>
      </c>
      <c r="R206" s="47" t="str">
        <f t="array" ref="R206">XLOOKUP($A206,'Recipients REF'!$A:$A,'Recipients REF'!J:J,"",0)</f>
        <v>RTS100442</v>
      </c>
      <c r="S206" s="45" t="s">
        <v>27</v>
      </c>
      <c r="T206" s="45" t="s">
        <v>28</v>
      </c>
      <c r="U206" s="46" t="str">
        <f t="array" ref="U206">XLOOKUP($A206,'Recipients REF'!$A:$A,'Recipients REF'!K:K,"",0)</f>
        <v>WR-SERIES 877 PH</v>
      </c>
      <c r="V206" s="44" t="s">
        <v>29</v>
      </c>
      <c r="W206" s="45" t="s">
        <v>30</v>
      </c>
      <c r="X206" s="47" t="str">
        <f t="array" ref="X206">XLOOKUP($A206,'Recipients REF'!$A:$A,'Recipients REF'!L:L,"",0)</f>
        <v>LSGW1750 RMP 24040710</v>
      </c>
      <c r="Y206" s="48" t="s">
        <v>29</v>
      </c>
      <c r="Z206" s="48" t="s">
        <v>31</v>
      </c>
      <c r="AA206" s="46" t="str">
        <f t="array" ref="AA206">XLOOKUP($A206,'Recipients REF'!$A:$A,'Recipients REF'!M:M,"",0)</f>
        <v>WDP40 RMP 24040400</v>
      </c>
      <c r="AB206" s="49"/>
      <c r="AC206" s="42"/>
      <c r="AD206" s="42"/>
      <c r="AE206" s="50"/>
      <c r="AF206" s="42"/>
      <c r="AG206" s="42"/>
      <c r="AH206" s="42"/>
      <c r="AI206" s="42" t="str">
        <f t="array" ref="AI206">XLOOKUP($E206,Sheet11!$D:$D,Sheet11!$X:$X,"",0)</f>
        <v/>
      </c>
      <c r="AJ206" s="42" t="str">
        <f t="array" ref="AJ206">XLOOKUP($E206,Sheet11!$D:$D,Sheet11!$Y:$Y,"",0)</f>
        <v/>
      </c>
    </row>
    <row r="207">
      <c r="A207" s="41">
        <v>410.0</v>
      </c>
      <c r="B207" s="42" t="s">
        <v>416</v>
      </c>
      <c r="C207" s="42" t="s">
        <v>417</v>
      </c>
      <c r="D207" s="42"/>
      <c r="E207" s="42" t="str">
        <f t="shared" ref="E207:F207" si="208">PROPER(B207)</f>
        <v>Agtanguay Small Farmers Association</v>
      </c>
      <c r="F207" s="42" t="str">
        <f t="shared" si="208"/>
        <v>Agtanguay, Dao, Capiz</v>
      </c>
      <c r="G207" s="42" t="str">
        <f t="shared" si="3"/>
        <v>Agtanguay</v>
      </c>
      <c r="H207" s="42" t="str">
        <f t="shared" si="4"/>
        <v>Dao</v>
      </c>
      <c r="I207" s="42" t="str">
        <f t="shared" si="5"/>
        <v>Capiz</v>
      </c>
      <c r="J207" s="42" t="str">
        <f t="array" ref="J207">XLOOKUP($E207,'Recipients REF'!$B:$B,'Recipients REF'!D:D,"",0)</f>
        <v>Janet A. Beter</v>
      </c>
      <c r="K207" s="42" t="str">
        <f t="array" ref="K207">XLOOKUP($E207,'Recipients REF'!$B:$B,'Recipients REF'!E:E,"",0)</f>
        <v>0950-912-9065</v>
      </c>
      <c r="L207" s="43" t="str">
        <f t="array" ref="L207">XLOOKUP($A207,'Recipients REF'!$A:$A,'Recipients REF'!F:F,"",0)</f>
        <v>RCEF 23-09-21 Rebidding</v>
      </c>
      <c r="M207" s="43">
        <f t="array" ref="M207">XLOOKUP($A207,'Recipients REF'!$A:$A,'Recipients REF'!G:G,"",0)</f>
        <v>4</v>
      </c>
      <c r="N207" s="43">
        <f t="array" ref="N207">XLOOKUP($A207,'Recipients REF'!$A:$A,'Recipients REF'!H:H,"",0)</f>
        <v>19068</v>
      </c>
      <c r="O207" s="44" t="s">
        <v>25</v>
      </c>
      <c r="P207" s="45" t="s">
        <v>26</v>
      </c>
      <c r="Q207" s="46" t="str">
        <f t="array" ref="Q207">XLOOKUP($A207,'Recipients REF'!$A:$A,'Recipients REF'!I:I,"",0)</f>
        <v>KMC5825AJRFPV0360</v>
      </c>
      <c r="R207" s="47" t="str">
        <f t="array" ref="R207">XLOOKUP($A207,'Recipients REF'!$A:$A,'Recipients REF'!J:J,"",0)</f>
        <v>RTS100246</v>
      </c>
      <c r="S207" s="45" t="s">
        <v>27</v>
      </c>
      <c r="T207" s="45" t="s">
        <v>28</v>
      </c>
      <c r="U207" s="46" t="str">
        <f t="array" ref="U207">XLOOKUP($A207,'Recipients REF'!$A:$A,'Recipients REF'!K:K,"",0)</f>
        <v>WR-SERIES 811 PH</v>
      </c>
      <c r="V207" s="44" t="s">
        <v>29</v>
      </c>
      <c r="W207" s="45" t="s">
        <v>30</v>
      </c>
      <c r="X207" s="47" t="str">
        <f t="array" ref="X207">XLOOKUP($A207,'Recipients REF'!$A:$A,'Recipients REF'!L:L,"",0)</f>
        <v>LSGW1750 RMP 24040689</v>
      </c>
      <c r="Y207" s="48" t="s">
        <v>29</v>
      </c>
      <c r="Z207" s="48" t="s">
        <v>31</v>
      </c>
      <c r="AA207" s="46" t="str">
        <f t="array" ref="AA207">XLOOKUP($A207,'Recipients REF'!$A:$A,'Recipients REF'!M:M,"",0)</f>
        <v>WDP40 RMP 24040416</v>
      </c>
      <c r="AB207" s="49"/>
      <c r="AC207" s="42"/>
      <c r="AD207" s="42"/>
      <c r="AE207" s="50"/>
      <c r="AF207" s="42"/>
      <c r="AG207" s="42"/>
      <c r="AH207" s="42"/>
      <c r="AI207" s="42">
        <f t="array" ref="AI207">XLOOKUP($E207,Sheet11!$D:$D,Sheet11!$X:$X,"",0)</f>
        <v>869066060240893</v>
      </c>
      <c r="AJ207" s="42">
        <f t="array" ref="AJ207">XLOOKUP($E207,Sheet11!$D:$D,Sheet11!$Y:$Y,"",0)</f>
        <v>9087711430</v>
      </c>
    </row>
    <row r="208">
      <c r="A208" s="41">
        <v>411.0</v>
      </c>
      <c r="B208" s="42" t="s">
        <v>418</v>
      </c>
      <c r="C208" s="42" t="s">
        <v>419</v>
      </c>
      <c r="D208" s="42"/>
      <c r="E208" s="42" t="str">
        <f t="shared" ref="E208:F208" si="209">PROPER(B208)</f>
        <v>Nasunogan Farmers Association</v>
      </c>
      <c r="F208" s="42" t="str">
        <f t="shared" si="209"/>
        <v>Nasunogan, Dao, Capiz</v>
      </c>
      <c r="G208" s="42" t="str">
        <f t="shared" si="3"/>
        <v>Nasunogan</v>
      </c>
      <c r="H208" s="42" t="str">
        <f t="shared" si="4"/>
        <v>Dao</v>
      </c>
      <c r="I208" s="42" t="str">
        <f t="shared" si="5"/>
        <v>Capiz</v>
      </c>
      <c r="J208" s="42" t="str">
        <f t="array" ref="J208">XLOOKUP($E208,'Recipients REF'!$B:$B,'Recipients REF'!D:D,"",0)</f>
        <v>Leonardo G. Venus</v>
      </c>
      <c r="K208" s="42" t="str">
        <f t="array" ref="K208">XLOOKUP($E208,'Recipients REF'!$B:$B,'Recipients REF'!E:E,"",0)</f>
        <v>0963-433-3468</v>
      </c>
      <c r="L208" s="43" t="str">
        <f t="array" ref="L208">XLOOKUP($A208,'Recipients REF'!$A:$A,'Recipients REF'!F:F,"",0)</f>
        <v>RCEF 23-09-21 Rebidding</v>
      </c>
      <c r="M208" s="43">
        <f t="array" ref="M208">XLOOKUP($A208,'Recipients REF'!$A:$A,'Recipients REF'!G:G,"",0)</f>
        <v>4</v>
      </c>
      <c r="N208" s="43">
        <f t="array" ref="N208">XLOOKUP($A208,'Recipients REF'!$A:$A,'Recipients REF'!H:H,"",0)</f>
        <v>19069</v>
      </c>
      <c r="O208" s="44" t="s">
        <v>25</v>
      </c>
      <c r="P208" s="45" t="s">
        <v>26</v>
      </c>
      <c r="Q208" s="46" t="str">
        <f t="array" ref="Q208">XLOOKUP($A208,'Recipients REF'!$A:$A,'Recipients REF'!I:I,"",0)</f>
        <v>KMC5825AVRFPV0636</v>
      </c>
      <c r="R208" s="47" t="str">
        <f t="array" ref="R208">XLOOKUP($A208,'Recipients REF'!$A:$A,'Recipients REF'!J:J,"",0)</f>
        <v>RTS100230</v>
      </c>
      <c r="S208" s="45" t="s">
        <v>27</v>
      </c>
      <c r="T208" s="45" t="s">
        <v>28</v>
      </c>
      <c r="U208" s="46" t="str">
        <f t="array" ref="U208">XLOOKUP($A208,'Recipients REF'!$A:$A,'Recipients REF'!K:K,"",0)</f>
        <v>WR-SERIES 855 PH</v>
      </c>
      <c r="V208" s="44" t="s">
        <v>29</v>
      </c>
      <c r="W208" s="45" t="s">
        <v>30</v>
      </c>
      <c r="X208" s="47" t="str">
        <f t="array" ref="X208">XLOOKUP($A208,'Recipients REF'!$A:$A,'Recipients REF'!L:L,"",0)</f>
        <v>LSGW1750 RMP 24040719</v>
      </c>
      <c r="Y208" s="48" t="s">
        <v>29</v>
      </c>
      <c r="Z208" s="48" t="s">
        <v>31</v>
      </c>
      <c r="AA208" s="46" t="str">
        <f t="array" ref="AA208">XLOOKUP($A208,'Recipients REF'!$A:$A,'Recipients REF'!M:M,"",0)</f>
        <v>WDP40 RMP 24040467</v>
      </c>
      <c r="AB208" s="49"/>
      <c r="AC208" s="42"/>
      <c r="AD208" s="42"/>
      <c r="AE208" s="50"/>
      <c r="AF208" s="42"/>
      <c r="AG208" s="42"/>
      <c r="AH208" s="42"/>
      <c r="AI208" s="42">
        <f t="array" ref="AI208">XLOOKUP($E208,Sheet11!$D:$D,Sheet11!$X:$X,"",0)</f>
        <v>869066060242410</v>
      </c>
      <c r="AJ208" s="42">
        <f t="array" ref="AJ208">XLOOKUP($E208,Sheet11!$D:$D,Sheet11!$Y:$Y,"",0)</f>
        <v>9087078368</v>
      </c>
    </row>
    <row r="209">
      <c r="A209" s="41">
        <v>412.0</v>
      </c>
      <c r="B209" s="42" t="s">
        <v>420</v>
      </c>
      <c r="C209" s="42" t="s">
        <v>421</v>
      </c>
      <c r="D209" s="42"/>
      <c r="E209" s="42" t="str">
        <f t="shared" ref="E209:F209" si="210">PROPER(B209)</f>
        <v>Sta. Carmen Farmers Association</v>
      </c>
      <c r="F209" s="42" t="str">
        <f t="shared" si="210"/>
        <v>Santa Carmen, Dumalag, Capiz</v>
      </c>
      <c r="G209" s="42" t="str">
        <f t="shared" si="3"/>
        <v>Santa Carmen</v>
      </c>
      <c r="H209" s="42" t="str">
        <f t="shared" si="4"/>
        <v>Dumalag</v>
      </c>
      <c r="I209" s="42" t="str">
        <f t="shared" si="5"/>
        <v>Capiz</v>
      </c>
      <c r="J209" s="42" t="str">
        <f t="array" ref="J209">XLOOKUP($E209,'Recipients REF'!$B:$B,'Recipients REF'!D:D,"",0)</f>
        <v>RODRIGO F. FEDALGO</v>
      </c>
      <c r="K209" s="42">
        <f t="array" ref="K209">XLOOKUP($E209,'Recipients REF'!$B:$B,'Recipients REF'!E:E,"",0)</f>
        <v>9388468466</v>
      </c>
      <c r="L209" s="43" t="str">
        <f t="array" ref="L209">XLOOKUP($A209,'Recipients REF'!$A:$A,'Recipients REF'!F:F,"",0)</f>
        <v>RCEF 23-09-21 Rebidding</v>
      </c>
      <c r="M209" s="43">
        <f t="array" ref="M209">XLOOKUP($A209,'Recipients REF'!$A:$A,'Recipients REF'!G:G,"",0)</f>
        <v>4</v>
      </c>
      <c r="N209" s="43">
        <f t="array" ref="N209">XLOOKUP($A209,'Recipients REF'!$A:$A,'Recipients REF'!H:H,"",0)</f>
        <v>19070</v>
      </c>
      <c r="O209" s="44" t="s">
        <v>25</v>
      </c>
      <c r="P209" s="45" t="s">
        <v>26</v>
      </c>
      <c r="Q209" s="46" t="str">
        <f t="array" ref="Q209">XLOOKUP($A209,'Recipients REF'!$A:$A,'Recipients REF'!I:I,"",0)</f>
        <v>KMC5825APRFPV0646</v>
      </c>
      <c r="R209" s="47" t="str">
        <f t="array" ref="R209">XLOOKUP($A209,'Recipients REF'!$A:$A,'Recipients REF'!J:J,"",0)</f>
        <v>RTS100408</v>
      </c>
      <c r="S209" s="45" t="s">
        <v>27</v>
      </c>
      <c r="T209" s="45" t="s">
        <v>28</v>
      </c>
      <c r="U209" s="46" t="str">
        <f t="array" ref="U209">XLOOKUP($A209,'Recipients REF'!$A:$A,'Recipients REF'!K:K,"",0)</f>
        <v>WR-SERIES 789 PH</v>
      </c>
      <c r="V209" s="44" t="s">
        <v>29</v>
      </c>
      <c r="W209" s="45" t="s">
        <v>30</v>
      </c>
      <c r="X209" s="47" t="str">
        <f t="array" ref="X209">XLOOKUP($A209,'Recipients REF'!$A:$A,'Recipients REF'!L:L,"",0)</f>
        <v>LSGW1750 RMP 24040701</v>
      </c>
      <c r="Y209" s="48" t="s">
        <v>29</v>
      </c>
      <c r="Z209" s="48" t="s">
        <v>31</v>
      </c>
      <c r="AA209" s="46" t="str">
        <f t="array" ref="AA209">XLOOKUP($A209,'Recipients REF'!$A:$A,'Recipients REF'!M:M,"",0)</f>
        <v>WDP40 RMP 24040432</v>
      </c>
      <c r="AB209" s="49"/>
      <c r="AC209" s="42"/>
      <c r="AD209" s="42"/>
      <c r="AE209" s="50"/>
      <c r="AF209" s="42"/>
      <c r="AG209" s="42"/>
      <c r="AH209" s="42"/>
      <c r="AI209" s="42">
        <f t="array" ref="AI209">XLOOKUP($E209,Sheet11!$D:$D,Sheet11!$X:$X,"",0)</f>
        <v>869066060241909</v>
      </c>
      <c r="AJ209" s="42">
        <f t="array" ref="AJ209">XLOOKUP($E209,Sheet11!$D:$D,Sheet11!$Y:$Y,"",0)</f>
        <v>9083532380</v>
      </c>
    </row>
    <row r="210">
      <c r="A210" s="41">
        <v>413.0</v>
      </c>
      <c r="B210" s="42" t="s">
        <v>422</v>
      </c>
      <c r="C210" s="42" t="s">
        <v>423</v>
      </c>
      <c r="D210" s="42"/>
      <c r="E210" s="42" t="str">
        <f t="shared" ref="E210:F210" si="211">PROPER(B210)</f>
        <v>Aglanot Pinoy Agri Farmers Association (Apafa)</v>
      </c>
      <c r="F210" s="42" t="str">
        <f t="shared" si="211"/>
        <v>Aglanot, Dumarao, Capiz</v>
      </c>
      <c r="G210" s="42" t="str">
        <f t="shared" si="3"/>
        <v>Aglanot</v>
      </c>
      <c r="H210" s="42" t="str">
        <f t="shared" si="4"/>
        <v>Dumarao</v>
      </c>
      <c r="I210" s="42" t="str">
        <f t="shared" si="5"/>
        <v>Capiz</v>
      </c>
      <c r="J210" s="42" t="str">
        <f t="array" ref="J210">XLOOKUP($E210,'Recipients REF'!$B:$B,'Recipients REF'!D:D,"",0)</f>
        <v>MA. LINA A. ALVAREZ</v>
      </c>
      <c r="K210" s="42">
        <f t="array" ref="K210">XLOOKUP($E210,'Recipients REF'!$B:$B,'Recipients REF'!E:E,"",0)</f>
        <v>9319369156</v>
      </c>
      <c r="L210" s="43" t="str">
        <f t="array" ref="L210">XLOOKUP($A210,'Recipients REF'!$A:$A,'Recipients REF'!F:F,"",0)</f>
        <v>RCEF 23-09-21 Rebidding</v>
      </c>
      <c r="M210" s="43">
        <f t="array" ref="M210">XLOOKUP($A210,'Recipients REF'!$A:$A,'Recipients REF'!G:G,"",0)</f>
        <v>4</v>
      </c>
      <c r="N210" s="43">
        <f t="array" ref="N210">XLOOKUP($A210,'Recipients REF'!$A:$A,'Recipients REF'!H:H,"",0)</f>
        <v>19071</v>
      </c>
      <c r="O210" s="44" t="s">
        <v>25</v>
      </c>
      <c r="P210" s="45" t="s">
        <v>26</v>
      </c>
      <c r="Q210" s="46" t="str">
        <f t="array" ref="Q210">XLOOKUP($A210,'Recipients REF'!$A:$A,'Recipients REF'!I:I,"",0)</f>
        <v>KMC5825ARRFPV0582</v>
      </c>
      <c r="R210" s="47" t="str">
        <f t="array" ref="R210">XLOOKUP($A210,'Recipients REF'!$A:$A,'Recipients REF'!J:J,"",0)</f>
        <v>RTS100484</v>
      </c>
      <c r="S210" s="45" t="s">
        <v>27</v>
      </c>
      <c r="T210" s="45" t="s">
        <v>28</v>
      </c>
      <c r="U210" s="46" t="str">
        <f t="array" ref="U210">XLOOKUP($A210,'Recipients REF'!$A:$A,'Recipients REF'!K:K,"",0)</f>
        <v>WR-SERIES 748 PH</v>
      </c>
      <c r="V210" s="44" t="s">
        <v>29</v>
      </c>
      <c r="W210" s="45" t="s">
        <v>30</v>
      </c>
      <c r="X210" s="47" t="str">
        <f t="array" ref="X210">XLOOKUP($A210,'Recipients REF'!$A:$A,'Recipients REF'!L:L,"",0)</f>
        <v>LSGW1750 RMP 24040695</v>
      </c>
      <c r="Y210" s="48" t="s">
        <v>29</v>
      </c>
      <c r="Z210" s="48" t="s">
        <v>31</v>
      </c>
      <c r="AA210" s="46" t="str">
        <f t="array" ref="AA210">XLOOKUP($A210,'Recipients REF'!$A:$A,'Recipients REF'!M:M,"",0)</f>
        <v>WDP40 RMP 24040421</v>
      </c>
      <c r="AB210" s="49"/>
      <c r="AC210" s="42"/>
      <c r="AD210" s="42"/>
      <c r="AE210" s="50"/>
      <c r="AF210" s="42"/>
      <c r="AG210" s="42"/>
      <c r="AH210" s="42"/>
      <c r="AI210" s="42">
        <f t="array" ref="AI210">XLOOKUP($E210,Sheet11!$D:$D,Sheet11!$X:$X,"",0)</f>
        <v>869066060240984</v>
      </c>
      <c r="AJ210" s="42">
        <f t="array" ref="AJ210">XLOOKUP($E210,Sheet11!$D:$D,Sheet11!$Y:$Y,"",0)</f>
        <v>9082963306</v>
      </c>
    </row>
    <row r="211">
      <c r="A211" s="41">
        <v>414.0</v>
      </c>
      <c r="B211" s="42" t="s">
        <v>424</v>
      </c>
      <c r="C211" s="42" t="s">
        <v>425</v>
      </c>
      <c r="D211" s="42"/>
      <c r="E211" s="42" t="str">
        <f t="shared" ref="E211:F211" si="212">PROPER(B211)</f>
        <v>Astorga Farmers Association</v>
      </c>
      <c r="F211" s="42" t="str">
        <f t="shared" si="212"/>
        <v>Astorga, Dumarao, Capiz</v>
      </c>
      <c r="G211" s="42" t="str">
        <f t="shared" si="3"/>
        <v>Astorga</v>
      </c>
      <c r="H211" s="42" t="str">
        <f t="shared" si="4"/>
        <v>Dumarao</v>
      </c>
      <c r="I211" s="42" t="str">
        <f t="shared" si="5"/>
        <v>Capiz</v>
      </c>
      <c r="J211" s="42" t="str">
        <f t="array" ref="J211">XLOOKUP($E211,'Recipients REF'!$B:$B,'Recipients REF'!D:D,"",0)</f>
        <v>Roberto E. Marcelino Sr.</v>
      </c>
      <c r="K211" s="42">
        <f t="array" ref="K211">XLOOKUP($E211,'Recipients REF'!$B:$B,'Recipients REF'!E:E,"",0)</f>
        <v>9176888094</v>
      </c>
      <c r="L211" s="43" t="str">
        <f t="array" ref="L211">XLOOKUP($A211,'Recipients REF'!$A:$A,'Recipients REF'!F:F,"",0)</f>
        <v>RCEF 23-09-21 Rebidding</v>
      </c>
      <c r="M211" s="43">
        <f t="array" ref="M211">XLOOKUP($A211,'Recipients REF'!$A:$A,'Recipients REF'!G:G,"",0)</f>
        <v>4</v>
      </c>
      <c r="N211" s="43">
        <f t="array" ref="N211">XLOOKUP($A211,'Recipients REF'!$A:$A,'Recipients REF'!H:H,"",0)</f>
        <v>19072</v>
      </c>
      <c r="O211" s="44" t="s">
        <v>25</v>
      </c>
      <c r="P211" s="45" t="s">
        <v>26</v>
      </c>
      <c r="Q211" s="46" t="str">
        <f t="array" ref="Q211">XLOOKUP($A211,'Recipients REF'!$A:$A,'Recipients REF'!I:I,"",0)</f>
        <v>KMC5825AKRFPV0437</v>
      </c>
      <c r="R211" s="47" t="str">
        <f t="array" ref="R211">XLOOKUP($A211,'Recipients REF'!$A:$A,'Recipients REF'!J:J,"",0)</f>
        <v>RTS100338</v>
      </c>
      <c r="S211" s="45" t="s">
        <v>27</v>
      </c>
      <c r="T211" s="45" t="s">
        <v>28</v>
      </c>
      <c r="U211" s="46" t="str">
        <f t="array" ref="U211">XLOOKUP($A211,'Recipients REF'!$A:$A,'Recipients REF'!K:K,"",0)</f>
        <v>WR-SERIES 804 PH</v>
      </c>
      <c r="V211" s="44" t="s">
        <v>29</v>
      </c>
      <c r="W211" s="45" t="s">
        <v>30</v>
      </c>
      <c r="X211" s="47" t="str">
        <f t="array" ref="X211">XLOOKUP($A211,'Recipients REF'!$A:$A,'Recipients REF'!L:L,"",0)</f>
        <v>LSGW1750 RMP 24040685</v>
      </c>
      <c r="Y211" s="48" t="s">
        <v>29</v>
      </c>
      <c r="Z211" s="48" t="s">
        <v>31</v>
      </c>
      <c r="AA211" s="46" t="str">
        <f t="array" ref="AA211">XLOOKUP($A211,'Recipients REF'!$A:$A,'Recipients REF'!M:M,"",0)</f>
        <v>WDP40 RMP 24040429</v>
      </c>
      <c r="AB211" s="49"/>
      <c r="AC211" s="42"/>
      <c r="AD211" s="42"/>
      <c r="AE211" s="50"/>
      <c r="AF211" s="42"/>
      <c r="AG211" s="42"/>
      <c r="AH211" s="42"/>
      <c r="AI211" s="42">
        <f t="array" ref="AI211">XLOOKUP($E211,Sheet11!$D:$D,Sheet11!$X:$X,"",0)</f>
        <v>869066060245942</v>
      </c>
      <c r="AJ211" s="42">
        <f t="array" ref="AJ211">XLOOKUP($E211,Sheet11!$D:$D,Sheet11!$Y:$Y,"",0)</f>
        <v>9083758254</v>
      </c>
    </row>
    <row r="212">
      <c r="A212" s="41">
        <v>415.0</v>
      </c>
      <c r="B212" s="42" t="s">
        <v>426</v>
      </c>
      <c r="C212" s="42" t="s">
        <v>427</v>
      </c>
      <c r="D212" s="42"/>
      <c r="E212" s="42" t="str">
        <f t="shared" ref="E212:F212" si="213">PROPER(B212)</f>
        <v>Nagsulang Farmers Association</v>
      </c>
      <c r="F212" s="42" t="str">
        <f t="shared" si="213"/>
        <v>Nagsulang, Dumarao, Capiz</v>
      </c>
      <c r="G212" s="42" t="str">
        <f t="shared" si="3"/>
        <v>Nagsulang</v>
      </c>
      <c r="H212" s="42" t="str">
        <f t="shared" si="4"/>
        <v>Dumarao</v>
      </c>
      <c r="I212" s="42" t="str">
        <f t="shared" si="5"/>
        <v>Capiz</v>
      </c>
      <c r="J212" s="42" t="str">
        <f t="array" ref="J212">XLOOKUP($E212,'Recipients REF'!$B:$B,'Recipients REF'!D:D,"",0)</f>
        <v>Thelso V. Barrera</v>
      </c>
      <c r="K212" s="42" t="str">
        <f t="array" ref="K212">XLOOKUP($E212,'Recipients REF'!$B:$B,'Recipients REF'!E:E,"",0)</f>
        <v>0955-430-0391 / 0997-637-7468</v>
      </c>
      <c r="L212" s="43" t="str">
        <f t="array" ref="L212">XLOOKUP($A212,'Recipients REF'!$A:$A,'Recipients REF'!F:F,"",0)</f>
        <v>RCEF 23-09-21 Rebidding</v>
      </c>
      <c r="M212" s="43">
        <f t="array" ref="M212">XLOOKUP($A212,'Recipients REF'!$A:$A,'Recipients REF'!G:G,"",0)</f>
        <v>4</v>
      </c>
      <c r="N212" s="43">
        <f t="array" ref="N212">XLOOKUP($A212,'Recipients REF'!$A:$A,'Recipients REF'!H:H,"",0)</f>
        <v>19073</v>
      </c>
      <c r="O212" s="44" t="s">
        <v>25</v>
      </c>
      <c r="P212" s="45" t="s">
        <v>26</v>
      </c>
      <c r="Q212" s="46" t="str">
        <f t="array" ref="Q212">XLOOKUP($A212,'Recipients REF'!$A:$A,'Recipients REF'!I:I,"",0)</f>
        <v>KMC5825AARFPV0475</v>
      </c>
      <c r="R212" s="47" t="str">
        <f t="array" ref="R212">XLOOKUP($A212,'Recipients REF'!$A:$A,'Recipients REF'!J:J,"",0)</f>
        <v>RTS100388</v>
      </c>
      <c r="S212" s="45" t="s">
        <v>27</v>
      </c>
      <c r="T212" s="45" t="s">
        <v>28</v>
      </c>
      <c r="U212" s="46" t="str">
        <f t="array" ref="U212">XLOOKUP($A212,'Recipients REF'!$A:$A,'Recipients REF'!K:K,"",0)</f>
        <v>WR-SERIES 744 PH</v>
      </c>
      <c r="V212" s="44" t="s">
        <v>29</v>
      </c>
      <c r="W212" s="45" t="s">
        <v>30</v>
      </c>
      <c r="X212" s="47" t="str">
        <f t="array" ref="X212">XLOOKUP($A212,'Recipients REF'!$A:$A,'Recipients REF'!L:L,"",0)</f>
        <v>LSGW1750 RMP 24040716</v>
      </c>
      <c r="Y212" s="48" t="s">
        <v>29</v>
      </c>
      <c r="Z212" s="48" t="s">
        <v>31</v>
      </c>
      <c r="AA212" s="46" t="str">
        <f t="array" ref="AA212">XLOOKUP($A212,'Recipients REF'!$A:$A,'Recipients REF'!M:M,"",0)</f>
        <v>WDP40 RMP 24040427</v>
      </c>
      <c r="AB212" s="49"/>
      <c r="AC212" s="42"/>
      <c r="AD212" s="42"/>
      <c r="AE212" s="50"/>
      <c r="AF212" s="42"/>
      <c r="AG212" s="42"/>
      <c r="AH212" s="42"/>
      <c r="AI212" s="42">
        <f t="array" ref="AI212">XLOOKUP($E212,Sheet11!$D:$D,Sheet11!$X:$X,"",0)</f>
        <v>869066060238046</v>
      </c>
      <c r="AJ212" s="42" t="str">
        <f t="array" ref="AJ212">XLOOKUP($E212,Sheet11!$D:$D,Sheet11!$Y:$Y,"",0)</f>
        <v/>
      </c>
    </row>
    <row r="213">
      <c r="A213" s="41">
        <v>416.0</v>
      </c>
      <c r="B213" s="42" t="s">
        <v>428</v>
      </c>
      <c r="C213" s="42" t="s">
        <v>429</v>
      </c>
      <c r="D213" s="42"/>
      <c r="E213" s="42" t="str">
        <f t="shared" ref="E213:F213" si="214">PROPER(B213)</f>
        <v>Cabalbat Irrigators’ Association, Inc.</v>
      </c>
      <c r="F213" s="42" t="str">
        <f t="shared" si="214"/>
        <v>Cala-Agus, Mambusao, Capiz</v>
      </c>
      <c r="G213" s="42" t="str">
        <f t="shared" si="3"/>
        <v>Cala-Agus</v>
      </c>
      <c r="H213" s="42" t="str">
        <f t="shared" si="4"/>
        <v>Mambusao</v>
      </c>
      <c r="I213" s="42" t="str">
        <f t="shared" si="5"/>
        <v>Capiz</v>
      </c>
      <c r="J213" s="42" t="str">
        <f t="array" ref="J213">XLOOKUP($E213,'Recipients REF'!$B:$B,'Recipients REF'!D:D,"",0)</f>
        <v>ANGELO G. PESTAÑO</v>
      </c>
      <c r="K213" s="42">
        <f t="array" ref="K213">XLOOKUP($E213,'Recipients REF'!$B:$B,'Recipients REF'!E:E,"",0)</f>
        <v>9483457091</v>
      </c>
      <c r="L213" s="43" t="str">
        <f t="array" ref="L213">XLOOKUP($A213,'Recipients REF'!$A:$A,'Recipients REF'!F:F,"",0)</f>
        <v>RCEF 23-09-21 Rebidding</v>
      </c>
      <c r="M213" s="43">
        <f t="array" ref="M213">XLOOKUP($A213,'Recipients REF'!$A:$A,'Recipients REF'!G:G,"",0)</f>
        <v>4</v>
      </c>
      <c r="N213" s="43">
        <f t="array" ref="N213">XLOOKUP($A213,'Recipients REF'!$A:$A,'Recipients REF'!H:H,"",0)</f>
        <v>19074</v>
      </c>
      <c r="O213" s="44" t="s">
        <v>25</v>
      </c>
      <c r="P213" s="45" t="s">
        <v>26</v>
      </c>
      <c r="Q213" s="46" t="str">
        <f t="array" ref="Q213">XLOOKUP($A213,'Recipients REF'!$A:$A,'Recipients REF'!I:I,"",0)</f>
        <v>KMC5825AVRFPV0619</v>
      </c>
      <c r="R213" s="47" t="str">
        <f t="array" ref="R213">XLOOKUP($A213,'Recipients REF'!$A:$A,'Recipients REF'!J:J,"",0)</f>
        <v>RTS100584</v>
      </c>
      <c r="S213" s="45" t="s">
        <v>27</v>
      </c>
      <c r="T213" s="45" t="s">
        <v>28</v>
      </c>
      <c r="U213" s="46" t="str">
        <f t="array" ref="U213">XLOOKUP($A213,'Recipients REF'!$A:$A,'Recipients REF'!K:K,"",0)</f>
        <v>WR-SERIES 874 PH</v>
      </c>
      <c r="V213" s="44" t="s">
        <v>29</v>
      </c>
      <c r="W213" s="45" t="s">
        <v>30</v>
      </c>
      <c r="X213" s="47" t="str">
        <f t="array" ref="X213">XLOOKUP($A213,'Recipients REF'!$A:$A,'Recipients REF'!L:L,"",0)</f>
        <v>LSGW1750 RMP 24040714</v>
      </c>
      <c r="Y213" s="48" t="s">
        <v>29</v>
      </c>
      <c r="Z213" s="48" t="s">
        <v>31</v>
      </c>
      <c r="AA213" s="46" t="str">
        <f t="array" ref="AA213">XLOOKUP($A213,'Recipients REF'!$A:$A,'Recipients REF'!M:M,"",0)</f>
        <v>WDP40 RMP 24040428</v>
      </c>
      <c r="AB213" s="49"/>
      <c r="AC213" s="42"/>
      <c r="AD213" s="42"/>
      <c r="AE213" s="50"/>
      <c r="AF213" s="42"/>
      <c r="AG213" s="42"/>
      <c r="AH213" s="42"/>
      <c r="AI213" s="42">
        <f t="array" ref="AI213">XLOOKUP($E213,Sheet11!$D:$D,Sheet11!$X:$X,"",0)</f>
        <v>869066060237758</v>
      </c>
      <c r="AJ213" s="42">
        <f t="array" ref="AJ213">XLOOKUP($E213,Sheet11!$D:$D,Sheet11!$Y:$Y,"",0)</f>
        <v>9086578227</v>
      </c>
    </row>
    <row r="214">
      <c r="A214" s="41">
        <v>417.0</v>
      </c>
      <c r="B214" s="42" t="s">
        <v>430</v>
      </c>
      <c r="C214" s="42" t="s">
        <v>431</v>
      </c>
      <c r="D214" s="42"/>
      <c r="E214" s="42" t="str">
        <f t="shared" ref="E214:F214" si="215">PROPER(B214)</f>
        <v>Balucuan Farmers Association</v>
      </c>
      <c r="F214" s="42" t="str">
        <f t="shared" si="215"/>
        <v>Balucuan, Sigma, Capiz</v>
      </c>
      <c r="G214" s="42" t="str">
        <f t="shared" si="3"/>
        <v>Balucuan</v>
      </c>
      <c r="H214" s="42" t="str">
        <f t="shared" si="4"/>
        <v>Sigma</v>
      </c>
      <c r="I214" s="42" t="str">
        <f t="shared" si="5"/>
        <v>Capiz</v>
      </c>
      <c r="J214" s="42" t="str">
        <f t="array" ref="J214">XLOOKUP($E214,'Recipients REF'!$B:$B,'Recipients REF'!D:D,"",0)</f>
        <v>Josephine M. Jago</v>
      </c>
      <c r="K214" s="42">
        <f t="array" ref="K214">XLOOKUP($E214,'Recipients REF'!$B:$B,'Recipients REF'!E:E,"",0)</f>
        <v>9083946493</v>
      </c>
      <c r="L214" s="43" t="str">
        <f t="array" ref="L214">XLOOKUP($A214,'Recipients REF'!$A:$A,'Recipients REF'!F:F,"",0)</f>
        <v>RCEF 23-09-21 Rebidding</v>
      </c>
      <c r="M214" s="43">
        <f t="array" ref="M214">XLOOKUP($A214,'Recipients REF'!$A:$A,'Recipients REF'!G:G,"",0)</f>
        <v>4</v>
      </c>
      <c r="N214" s="43">
        <f t="array" ref="N214">XLOOKUP($A214,'Recipients REF'!$A:$A,'Recipients REF'!H:H,"",0)</f>
        <v>19075</v>
      </c>
      <c r="O214" s="44" t="s">
        <v>25</v>
      </c>
      <c r="P214" s="45" t="s">
        <v>26</v>
      </c>
      <c r="Q214" s="46" t="str">
        <f t="array" ref="Q214">XLOOKUP($A214,'Recipients REF'!$A:$A,'Recipients REF'!I:I,"",0)</f>
        <v>KMC5825APRFPV0632</v>
      </c>
      <c r="R214" s="47" t="str">
        <f t="array" ref="R214">XLOOKUP($A214,'Recipients REF'!$A:$A,'Recipients REF'!J:J,"",0)</f>
        <v>RTS100513</v>
      </c>
      <c r="S214" s="45" t="s">
        <v>27</v>
      </c>
      <c r="T214" s="45" t="s">
        <v>28</v>
      </c>
      <c r="U214" s="46" t="str">
        <f t="array" ref="U214">XLOOKUP($A214,'Recipients REF'!$A:$A,'Recipients REF'!K:K,"",0)</f>
        <v>WR-SERIES 859 PH</v>
      </c>
      <c r="V214" s="44" t="s">
        <v>29</v>
      </c>
      <c r="W214" s="45" t="s">
        <v>30</v>
      </c>
      <c r="X214" s="47" t="str">
        <f t="array" ref="X214">XLOOKUP($A214,'Recipients REF'!$A:$A,'Recipients REF'!L:L,"",0)</f>
        <v>LSGW1750 RMP 24040677</v>
      </c>
      <c r="Y214" s="48" t="s">
        <v>29</v>
      </c>
      <c r="Z214" s="48" t="s">
        <v>31</v>
      </c>
      <c r="AA214" s="46" t="str">
        <f t="array" ref="AA214">XLOOKUP($A214,'Recipients REF'!$A:$A,'Recipients REF'!M:M,"",0)</f>
        <v>WDP40 RMP 24040454</v>
      </c>
      <c r="AB214" s="49"/>
      <c r="AC214" s="42"/>
      <c r="AD214" s="42"/>
      <c r="AE214" s="50"/>
      <c r="AF214" s="42"/>
      <c r="AG214" s="42"/>
      <c r="AH214" s="42"/>
      <c r="AI214" s="42">
        <f t="array" ref="AI214">XLOOKUP($E214,Sheet11!$D:$D,Sheet11!$X:$X,"",0)</f>
        <v>869066060241099</v>
      </c>
      <c r="AJ214" s="42">
        <f t="array" ref="AJ214">XLOOKUP($E214,Sheet11!$D:$D,Sheet11!$Y:$Y,"",0)</f>
        <v>9084631591</v>
      </c>
    </row>
    <row r="215">
      <c r="A215" s="41">
        <v>776.0</v>
      </c>
      <c r="B215" s="42" t="s">
        <v>432</v>
      </c>
      <c r="C215" s="42" t="s">
        <v>433</v>
      </c>
      <c r="D215" s="42"/>
      <c r="E215" s="42" t="str">
        <f t="shared" ref="E215:F215" si="216">PROPER(B215)</f>
        <v>Provincial Local Government Unit Of Catanduanes</v>
      </c>
      <c r="F215" s="42" t="str">
        <f t="shared" si="216"/>
        <v>Marcelo Alberto (Pob.), Virac, Catanduanes</v>
      </c>
      <c r="G215" s="42" t="str">
        <f t="shared" si="3"/>
        <v>Marcelo Alberto (Pob.)</v>
      </c>
      <c r="H215" s="42" t="str">
        <f t="shared" si="4"/>
        <v>Virac</v>
      </c>
      <c r="I215" s="42" t="str">
        <f t="shared" si="5"/>
        <v>Catanduanes</v>
      </c>
      <c r="J215" s="42" t="str">
        <f t="array" ref="J215">XLOOKUP($E215,'Recipients REF'!$B:$B,'Recipients REF'!D:D,"",0)</f>
        <v>Hon. Patrick Alain Azanza</v>
      </c>
      <c r="K215" s="42" t="str">
        <f t="array" ref="K215">XLOOKUP($E215,'Recipients REF'!$B:$B,'Recipients REF'!E:E,"",0)</f>
        <v>09196053344 (PASO staff Jeannete Molina)</v>
      </c>
      <c r="L215" s="43" t="str">
        <f t="array" ref="L215">XLOOKUP($A215,'Recipients REF'!$A:$A,'Recipients REF'!F:F,"",0)</f>
        <v>RCEF 25-03-05</v>
      </c>
      <c r="M215" s="43">
        <f t="array" ref="M215">XLOOKUP($A215,'Recipients REF'!$A:$A,'Recipients REF'!G:G,"",0)</f>
        <v>6</v>
      </c>
      <c r="N215" s="43" t="str">
        <f t="array" ref="N215">XLOOKUP($A215,'Recipients REF'!$A:$A,'Recipients REF'!H:H,"",0)</f>
        <v>26608 &amp; 27879</v>
      </c>
      <c r="O215" s="44" t="s">
        <v>25</v>
      </c>
      <c r="P215" s="45" t="s">
        <v>26</v>
      </c>
      <c r="Q215" s="46" t="str">
        <f t="array" ref="Q215">XLOOKUP($A215,'Recipients REF'!$A:$A,'Recipients REF'!I:I,"",0)</f>
        <v>KMC5825 AKSFPV0587</v>
      </c>
      <c r="R215" s="53" t="str">
        <f t="array" ref="R215">XLOOKUP($A215,'Recipients REF'!$A:$A,'Recipients REF'!J:J,"",0)</f>
        <v>STS100631</v>
      </c>
      <c r="S215" s="45" t="s">
        <v>27</v>
      </c>
      <c r="T215" s="45" t="s">
        <v>28</v>
      </c>
      <c r="U215" s="46" t="str">
        <f t="array" ref="U215">XLOOKUP($A215,'Recipients REF'!$A:$A,'Recipients REF'!K:K,"",0)</f>
        <v>WR-SERIES 1332PH</v>
      </c>
      <c r="V215" s="44" t="s">
        <v>29</v>
      </c>
      <c r="W215" s="45" t="s">
        <v>30</v>
      </c>
      <c r="X215" s="53" t="str">
        <f t="array" ref="X215">XLOOKUP($A215,'Recipients REF'!$A:$A,'Recipients REF'!L:L,"",0)</f>
        <v>2510841</v>
      </c>
      <c r="Y215" s="48" t="s">
        <v>29</v>
      </c>
      <c r="Z215" s="48" t="s">
        <v>31</v>
      </c>
      <c r="AA215" s="54" t="str">
        <f t="array" ref="AA215">XLOOKUP($A215,'Recipients REF'!$A:$A,'Recipients REF'!M:M,"",0)</f>
        <v>25090914</v>
      </c>
      <c r="AB215" s="49"/>
      <c r="AC215" s="42"/>
      <c r="AD215" s="42"/>
      <c r="AE215" s="50"/>
      <c r="AF215" s="42"/>
      <c r="AG215" s="42"/>
      <c r="AH215" s="42"/>
      <c r="AI215" s="42" t="str">
        <f t="array" ref="AI215">XLOOKUP($E215,Sheet11!$D:$D,Sheet11!$X:$X,"",0)</f>
        <v/>
      </c>
      <c r="AJ215" s="42" t="str">
        <f t="array" ref="AJ215">XLOOKUP($E215,Sheet11!$D:$D,Sheet11!$Y:$Y,"",0)</f>
        <v/>
      </c>
    </row>
    <row r="216">
      <c r="A216" s="41">
        <v>777.0</v>
      </c>
      <c r="B216" s="42" t="s">
        <v>432</v>
      </c>
      <c r="C216" s="42" t="s">
        <v>433</v>
      </c>
      <c r="D216" s="42"/>
      <c r="E216" s="42" t="str">
        <f t="shared" ref="E216:F216" si="217">PROPER(B216)</f>
        <v>Provincial Local Government Unit Of Catanduanes</v>
      </c>
      <c r="F216" s="42" t="str">
        <f t="shared" si="217"/>
        <v>Marcelo Alberto (Pob.), Virac, Catanduanes</v>
      </c>
      <c r="G216" s="42" t="str">
        <f t="shared" si="3"/>
        <v>Marcelo Alberto (Pob.)</v>
      </c>
      <c r="H216" s="42" t="str">
        <f t="shared" si="4"/>
        <v>Virac</v>
      </c>
      <c r="I216" s="42" t="str">
        <f t="shared" si="5"/>
        <v>Catanduanes</v>
      </c>
      <c r="J216" s="42" t="str">
        <f t="array" ref="J216">XLOOKUP($E216,'Recipients REF'!$B:$B,'Recipients REF'!D:D,"",0)</f>
        <v>Hon. Patrick Alain Azanza</v>
      </c>
      <c r="K216" s="42" t="str">
        <f t="array" ref="K216">XLOOKUP($E216,'Recipients REF'!$B:$B,'Recipients REF'!E:E,"",0)</f>
        <v>09196053344 (PASO staff Jeannete Molina)</v>
      </c>
      <c r="L216" s="43" t="str">
        <f t="array" ref="L216">XLOOKUP($A216,'Recipients REF'!$A:$A,'Recipients REF'!F:F,"",0)</f>
        <v>RCEF 25-03-05</v>
      </c>
      <c r="M216" s="43">
        <f t="array" ref="M216">XLOOKUP($A216,'Recipients REF'!$A:$A,'Recipients REF'!G:G,"",0)</f>
        <v>6</v>
      </c>
      <c r="N216" s="43" t="str">
        <f t="array" ref="N216">XLOOKUP($A216,'Recipients REF'!$A:$A,'Recipients REF'!H:H,"",0)</f>
        <v>26608 &amp; 27879</v>
      </c>
      <c r="O216" s="44" t="s">
        <v>25</v>
      </c>
      <c r="P216" s="45" t="s">
        <v>26</v>
      </c>
      <c r="Q216" s="46" t="str">
        <f t="array" ref="Q216">XLOOKUP($A216,'Recipients REF'!$A:$A,'Recipients REF'!I:I,"",0)</f>
        <v>KMC5825 AKSFPV0587</v>
      </c>
      <c r="R216" s="53" t="str">
        <f t="array" ref="R216">XLOOKUP($A216,'Recipients REF'!$A:$A,'Recipients REF'!J:J,"",0)</f>
        <v>STS100631</v>
      </c>
      <c r="S216" s="45" t="s">
        <v>27</v>
      </c>
      <c r="T216" s="45" t="s">
        <v>28</v>
      </c>
      <c r="U216" s="46" t="str">
        <f t="array" ref="U216">XLOOKUP($A216,'Recipients REF'!$A:$A,'Recipients REF'!K:K,"",0)</f>
        <v>WR-SERIES 1332PH</v>
      </c>
      <c r="V216" s="44" t="s">
        <v>29</v>
      </c>
      <c r="W216" s="45" t="s">
        <v>30</v>
      </c>
      <c r="X216" s="53" t="str">
        <f t="array" ref="X216">XLOOKUP($A216,'Recipients REF'!$A:$A,'Recipients REF'!L:L,"",0)</f>
        <v>2510841</v>
      </c>
      <c r="Y216" s="48" t="s">
        <v>29</v>
      </c>
      <c r="Z216" s="48" t="s">
        <v>31</v>
      </c>
      <c r="AA216" s="54" t="str">
        <f t="array" ref="AA216">XLOOKUP($A216,'Recipients REF'!$A:$A,'Recipients REF'!M:M,"",0)</f>
        <v>25090914</v>
      </c>
      <c r="AB216" s="49"/>
      <c r="AC216" s="42"/>
      <c r="AD216" s="42"/>
      <c r="AE216" s="50"/>
      <c r="AF216" s="42"/>
      <c r="AG216" s="42"/>
      <c r="AH216" s="42"/>
      <c r="AI216" s="42" t="str">
        <f t="array" ref="AI216">XLOOKUP($E216,Sheet11!$D:$D,Sheet11!$X:$X,"",0)</f>
        <v/>
      </c>
      <c r="AJ216" s="42" t="str">
        <f t="array" ref="AJ216">XLOOKUP($E216,Sheet11!$D:$D,Sheet11!$Y:$Y,"",0)</f>
        <v/>
      </c>
    </row>
    <row r="217">
      <c r="A217" s="41">
        <v>778.0</v>
      </c>
      <c r="B217" s="42" t="s">
        <v>432</v>
      </c>
      <c r="C217" s="42" t="s">
        <v>433</v>
      </c>
      <c r="D217" s="42"/>
      <c r="E217" s="42" t="str">
        <f t="shared" ref="E217:F217" si="218">PROPER(B217)</f>
        <v>Provincial Local Government Unit Of Catanduanes</v>
      </c>
      <c r="F217" s="42" t="str">
        <f t="shared" si="218"/>
        <v>Marcelo Alberto (Pob.), Virac, Catanduanes</v>
      </c>
      <c r="G217" s="42" t="str">
        <f t="shared" si="3"/>
        <v>Marcelo Alberto (Pob.)</v>
      </c>
      <c r="H217" s="42" t="str">
        <f t="shared" si="4"/>
        <v>Virac</v>
      </c>
      <c r="I217" s="42" t="str">
        <f t="shared" si="5"/>
        <v>Catanduanes</v>
      </c>
      <c r="J217" s="42" t="str">
        <f t="array" ref="J217">XLOOKUP($E217,'Recipients REF'!$B:$B,'Recipients REF'!D:D,"",0)</f>
        <v>Hon. Patrick Alain Azanza</v>
      </c>
      <c r="K217" s="42" t="str">
        <f t="array" ref="K217">XLOOKUP($E217,'Recipients REF'!$B:$B,'Recipients REF'!E:E,"",0)</f>
        <v>09196053344 (PASO staff Jeannete Molina)</v>
      </c>
      <c r="L217" s="43" t="str">
        <f t="array" ref="L217">XLOOKUP($A217,'Recipients REF'!$A:$A,'Recipients REF'!F:F,"",0)</f>
        <v>RCEF 25-03-05</v>
      </c>
      <c r="M217" s="43">
        <f t="array" ref="M217">XLOOKUP($A217,'Recipients REF'!$A:$A,'Recipients REF'!G:G,"",0)</f>
        <v>6</v>
      </c>
      <c r="N217" s="43" t="str">
        <f t="array" ref="N217">XLOOKUP($A217,'Recipients REF'!$A:$A,'Recipients REF'!H:H,"",0)</f>
        <v>26608 &amp; 27879</v>
      </c>
      <c r="O217" s="44" t="s">
        <v>25</v>
      </c>
      <c r="P217" s="45" t="s">
        <v>26</v>
      </c>
      <c r="Q217" s="46" t="str">
        <f t="array" ref="Q217">XLOOKUP($A217,'Recipients REF'!$A:$A,'Recipients REF'!I:I,"",0)</f>
        <v>KMC5825 AKSFPV0587</v>
      </c>
      <c r="R217" s="53" t="str">
        <f t="array" ref="R217">XLOOKUP($A217,'Recipients REF'!$A:$A,'Recipients REF'!J:J,"",0)</f>
        <v>STS100631</v>
      </c>
      <c r="S217" s="45" t="s">
        <v>27</v>
      </c>
      <c r="T217" s="45" t="s">
        <v>28</v>
      </c>
      <c r="U217" s="46" t="str">
        <f t="array" ref="U217">XLOOKUP($A217,'Recipients REF'!$A:$A,'Recipients REF'!K:K,"",0)</f>
        <v>WR-SERIES 1332PH</v>
      </c>
      <c r="V217" s="44" t="s">
        <v>29</v>
      </c>
      <c r="W217" s="45" t="s">
        <v>30</v>
      </c>
      <c r="X217" s="53" t="str">
        <f t="array" ref="X217">XLOOKUP($A217,'Recipients REF'!$A:$A,'Recipients REF'!L:L,"",0)</f>
        <v>2510841</v>
      </c>
      <c r="Y217" s="48" t="s">
        <v>29</v>
      </c>
      <c r="Z217" s="48" t="s">
        <v>31</v>
      </c>
      <c r="AA217" s="54" t="str">
        <f t="array" ref="AA217">XLOOKUP($A217,'Recipients REF'!$A:$A,'Recipients REF'!M:M,"",0)</f>
        <v>25090914</v>
      </c>
      <c r="AB217" s="49"/>
      <c r="AC217" s="42"/>
      <c r="AD217" s="42"/>
      <c r="AE217" s="50"/>
      <c r="AF217" s="42"/>
      <c r="AG217" s="42"/>
      <c r="AH217" s="42"/>
      <c r="AI217" s="42" t="str">
        <f t="array" ref="AI217">XLOOKUP($E217,Sheet11!$D:$D,Sheet11!$X:$X,"",0)</f>
        <v/>
      </c>
      <c r="AJ217" s="42" t="str">
        <f t="array" ref="AJ217">XLOOKUP($E217,Sheet11!$D:$D,Sheet11!$Y:$Y,"",0)</f>
        <v/>
      </c>
    </row>
    <row r="218">
      <c r="A218" s="41">
        <v>779.0</v>
      </c>
      <c r="B218" s="42" t="s">
        <v>432</v>
      </c>
      <c r="C218" s="42" t="s">
        <v>433</v>
      </c>
      <c r="D218" s="42"/>
      <c r="E218" s="42" t="str">
        <f t="shared" ref="E218:F218" si="219">PROPER(B218)</f>
        <v>Provincial Local Government Unit Of Catanduanes</v>
      </c>
      <c r="F218" s="42" t="str">
        <f t="shared" si="219"/>
        <v>Marcelo Alberto (Pob.), Virac, Catanduanes</v>
      </c>
      <c r="G218" s="42" t="str">
        <f t="shared" si="3"/>
        <v>Marcelo Alberto (Pob.)</v>
      </c>
      <c r="H218" s="42" t="str">
        <f t="shared" si="4"/>
        <v>Virac</v>
      </c>
      <c r="I218" s="42" t="str">
        <f t="shared" si="5"/>
        <v>Catanduanes</v>
      </c>
      <c r="J218" s="42" t="str">
        <f t="array" ref="J218">XLOOKUP($E218,'Recipients REF'!$B:$B,'Recipients REF'!D:D,"",0)</f>
        <v>Hon. Patrick Alain Azanza</v>
      </c>
      <c r="K218" s="42" t="str">
        <f t="array" ref="K218">XLOOKUP($E218,'Recipients REF'!$B:$B,'Recipients REF'!E:E,"",0)</f>
        <v>09196053344 (PASO staff Jeannete Molina)</v>
      </c>
      <c r="L218" s="43" t="str">
        <f t="array" ref="L218">XLOOKUP($A218,'Recipients REF'!$A:$A,'Recipients REF'!F:F,"",0)</f>
        <v>RCEF 25-03-05</v>
      </c>
      <c r="M218" s="43">
        <f t="array" ref="M218">XLOOKUP($A218,'Recipients REF'!$A:$A,'Recipients REF'!G:G,"",0)</f>
        <v>6</v>
      </c>
      <c r="N218" s="43" t="str">
        <f t="array" ref="N218">XLOOKUP($A218,'Recipients REF'!$A:$A,'Recipients REF'!H:H,"",0)</f>
        <v>26608 &amp; 27879</v>
      </c>
      <c r="O218" s="44" t="s">
        <v>25</v>
      </c>
      <c r="P218" s="45" t="s">
        <v>26</v>
      </c>
      <c r="Q218" s="46" t="str">
        <f t="array" ref="Q218">XLOOKUP($A218,'Recipients REF'!$A:$A,'Recipients REF'!I:I,"",0)</f>
        <v>KMC5825 AKSFPV0587</v>
      </c>
      <c r="R218" s="53" t="str">
        <f t="array" ref="R218">XLOOKUP($A218,'Recipients REF'!$A:$A,'Recipients REF'!J:J,"",0)</f>
        <v>STS100631</v>
      </c>
      <c r="S218" s="45" t="s">
        <v>27</v>
      </c>
      <c r="T218" s="45" t="s">
        <v>28</v>
      </c>
      <c r="U218" s="46" t="str">
        <f t="array" ref="U218">XLOOKUP($A218,'Recipients REF'!$A:$A,'Recipients REF'!K:K,"",0)</f>
        <v>WR-SERIES 1332PH</v>
      </c>
      <c r="V218" s="44" t="s">
        <v>29</v>
      </c>
      <c r="W218" s="45" t="s">
        <v>30</v>
      </c>
      <c r="X218" s="53" t="str">
        <f t="array" ref="X218">XLOOKUP($A218,'Recipients REF'!$A:$A,'Recipients REF'!L:L,"",0)</f>
        <v>2510841</v>
      </c>
      <c r="Y218" s="48" t="s">
        <v>29</v>
      </c>
      <c r="Z218" s="48" t="s">
        <v>31</v>
      </c>
      <c r="AA218" s="54" t="str">
        <f t="array" ref="AA218">XLOOKUP($A218,'Recipients REF'!$A:$A,'Recipients REF'!M:M,"",0)</f>
        <v>25090914</v>
      </c>
      <c r="AB218" s="49"/>
      <c r="AC218" s="42"/>
      <c r="AD218" s="42"/>
      <c r="AE218" s="50"/>
      <c r="AF218" s="42"/>
      <c r="AG218" s="42"/>
      <c r="AH218" s="42"/>
      <c r="AI218" s="42" t="str">
        <f t="array" ref="AI218">XLOOKUP($E218,Sheet11!$D:$D,Sheet11!$X:$X,"",0)</f>
        <v/>
      </c>
      <c r="AJ218" s="42" t="str">
        <f t="array" ref="AJ218">XLOOKUP($E218,Sheet11!$D:$D,Sheet11!$Y:$Y,"",0)</f>
        <v/>
      </c>
    </row>
    <row r="219">
      <c r="A219" s="41">
        <v>780.0</v>
      </c>
      <c r="B219" s="42" t="s">
        <v>432</v>
      </c>
      <c r="C219" s="42" t="s">
        <v>433</v>
      </c>
      <c r="D219" s="42"/>
      <c r="E219" s="42" t="str">
        <f t="shared" ref="E219:F219" si="220">PROPER(B219)</f>
        <v>Provincial Local Government Unit Of Catanduanes</v>
      </c>
      <c r="F219" s="42" t="str">
        <f t="shared" si="220"/>
        <v>Marcelo Alberto (Pob.), Virac, Catanduanes</v>
      </c>
      <c r="G219" s="42" t="str">
        <f t="shared" si="3"/>
        <v>Marcelo Alberto (Pob.)</v>
      </c>
      <c r="H219" s="42" t="str">
        <f t="shared" si="4"/>
        <v>Virac</v>
      </c>
      <c r="I219" s="42" t="str">
        <f t="shared" si="5"/>
        <v>Catanduanes</v>
      </c>
      <c r="J219" s="42" t="str">
        <f t="array" ref="J219">XLOOKUP($E219,'Recipients REF'!$B:$B,'Recipients REF'!D:D,"",0)</f>
        <v>Hon. Patrick Alain Azanza</v>
      </c>
      <c r="K219" s="42" t="str">
        <f t="array" ref="K219">XLOOKUP($E219,'Recipients REF'!$B:$B,'Recipients REF'!E:E,"",0)</f>
        <v>09196053344 (PASO staff Jeannete Molina)</v>
      </c>
      <c r="L219" s="43" t="str">
        <f t="array" ref="L219">XLOOKUP($A219,'Recipients REF'!$A:$A,'Recipients REF'!F:F,"",0)</f>
        <v>RCEF 25-03-05</v>
      </c>
      <c r="M219" s="43">
        <f t="array" ref="M219">XLOOKUP($A219,'Recipients REF'!$A:$A,'Recipients REF'!G:G,"",0)</f>
        <v>6</v>
      </c>
      <c r="N219" s="43" t="str">
        <f t="array" ref="N219">XLOOKUP($A219,'Recipients REF'!$A:$A,'Recipients REF'!H:H,"",0)</f>
        <v>26608 &amp; 27879</v>
      </c>
      <c r="O219" s="44" t="s">
        <v>25</v>
      </c>
      <c r="P219" s="45" t="s">
        <v>26</v>
      </c>
      <c r="Q219" s="46" t="str">
        <f t="array" ref="Q219">XLOOKUP($A219,'Recipients REF'!$A:$A,'Recipients REF'!I:I,"",0)</f>
        <v>KMC5825 AKSFPV0587</v>
      </c>
      <c r="R219" s="53" t="str">
        <f t="array" ref="R219">XLOOKUP($A219,'Recipients REF'!$A:$A,'Recipients REF'!J:J,"",0)</f>
        <v>STS100631</v>
      </c>
      <c r="S219" s="45" t="s">
        <v>27</v>
      </c>
      <c r="T219" s="45" t="s">
        <v>28</v>
      </c>
      <c r="U219" s="46" t="str">
        <f t="array" ref="U219">XLOOKUP($A219,'Recipients REF'!$A:$A,'Recipients REF'!K:K,"",0)</f>
        <v>WR-SERIES 1332PH</v>
      </c>
      <c r="V219" s="44" t="s">
        <v>29</v>
      </c>
      <c r="W219" s="45" t="s">
        <v>30</v>
      </c>
      <c r="X219" s="53" t="str">
        <f t="array" ref="X219">XLOOKUP($A219,'Recipients REF'!$A:$A,'Recipients REF'!L:L,"",0)</f>
        <v>2510841</v>
      </c>
      <c r="Y219" s="48" t="s">
        <v>29</v>
      </c>
      <c r="Z219" s="48" t="s">
        <v>31</v>
      </c>
      <c r="AA219" s="54" t="str">
        <f t="array" ref="AA219">XLOOKUP($A219,'Recipients REF'!$A:$A,'Recipients REF'!M:M,"",0)</f>
        <v>25090914</v>
      </c>
      <c r="AB219" s="49"/>
      <c r="AC219" s="42"/>
      <c r="AD219" s="42"/>
      <c r="AE219" s="50"/>
      <c r="AF219" s="42"/>
      <c r="AG219" s="42"/>
      <c r="AH219" s="42"/>
      <c r="AI219" s="42" t="str">
        <f t="array" ref="AI219">XLOOKUP($E219,Sheet11!$D:$D,Sheet11!$X:$X,"",0)</f>
        <v/>
      </c>
      <c r="AJ219" s="42" t="str">
        <f t="array" ref="AJ219">XLOOKUP($E219,Sheet11!$D:$D,Sheet11!$Y:$Y,"",0)</f>
        <v/>
      </c>
    </row>
    <row r="220">
      <c r="A220" s="41">
        <v>781.0</v>
      </c>
      <c r="B220" s="42" t="s">
        <v>432</v>
      </c>
      <c r="C220" s="42" t="s">
        <v>433</v>
      </c>
      <c r="D220" s="42"/>
      <c r="E220" s="42" t="str">
        <f t="shared" ref="E220:F220" si="221">PROPER(B220)</f>
        <v>Provincial Local Government Unit Of Catanduanes</v>
      </c>
      <c r="F220" s="42" t="str">
        <f t="shared" si="221"/>
        <v>Marcelo Alberto (Pob.), Virac, Catanduanes</v>
      </c>
      <c r="G220" s="42" t="str">
        <f t="shared" si="3"/>
        <v>Marcelo Alberto (Pob.)</v>
      </c>
      <c r="H220" s="42" t="str">
        <f t="shared" si="4"/>
        <v>Virac</v>
      </c>
      <c r="I220" s="42" t="str">
        <f t="shared" si="5"/>
        <v>Catanduanes</v>
      </c>
      <c r="J220" s="42" t="str">
        <f t="array" ref="J220">XLOOKUP($E220,'Recipients REF'!$B:$B,'Recipients REF'!D:D,"",0)</f>
        <v>Hon. Patrick Alain Azanza</v>
      </c>
      <c r="K220" s="42" t="str">
        <f t="array" ref="K220">XLOOKUP($E220,'Recipients REF'!$B:$B,'Recipients REF'!E:E,"",0)</f>
        <v>09196053344 (PASO staff Jeannete Molina)</v>
      </c>
      <c r="L220" s="43" t="str">
        <f t="array" ref="L220">XLOOKUP($A220,'Recipients REF'!$A:$A,'Recipients REF'!F:F,"",0)</f>
        <v>RCEF 25-03-05</v>
      </c>
      <c r="M220" s="43">
        <f t="array" ref="M220">XLOOKUP($A220,'Recipients REF'!$A:$A,'Recipients REF'!G:G,"",0)</f>
        <v>6</v>
      </c>
      <c r="N220" s="43" t="str">
        <f t="array" ref="N220">XLOOKUP($A220,'Recipients REF'!$A:$A,'Recipients REF'!H:H,"",0)</f>
        <v>26608 &amp; 27879</v>
      </c>
      <c r="O220" s="44" t="s">
        <v>25</v>
      </c>
      <c r="P220" s="45" t="s">
        <v>26</v>
      </c>
      <c r="Q220" s="46" t="str">
        <f t="array" ref="Q220">XLOOKUP($A220,'Recipients REF'!$A:$A,'Recipients REF'!I:I,"",0)</f>
        <v>KMC5825 AKSFPV0587</v>
      </c>
      <c r="R220" s="53" t="str">
        <f t="array" ref="R220">XLOOKUP($A220,'Recipients REF'!$A:$A,'Recipients REF'!J:J,"",0)</f>
        <v>STS100631</v>
      </c>
      <c r="S220" s="45" t="s">
        <v>27</v>
      </c>
      <c r="T220" s="45" t="s">
        <v>28</v>
      </c>
      <c r="U220" s="46" t="str">
        <f t="array" ref="U220">XLOOKUP($A220,'Recipients REF'!$A:$A,'Recipients REF'!K:K,"",0)</f>
        <v>WR-SERIES 1332PH</v>
      </c>
      <c r="V220" s="44" t="s">
        <v>29</v>
      </c>
      <c r="W220" s="45" t="s">
        <v>30</v>
      </c>
      <c r="X220" s="53" t="str">
        <f t="array" ref="X220">XLOOKUP($A220,'Recipients REF'!$A:$A,'Recipients REF'!L:L,"",0)</f>
        <v>2510841</v>
      </c>
      <c r="Y220" s="48" t="s">
        <v>29</v>
      </c>
      <c r="Z220" s="48" t="s">
        <v>31</v>
      </c>
      <c r="AA220" s="54" t="str">
        <f t="array" ref="AA220">XLOOKUP($A220,'Recipients REF'!$A:$A,'Recipients REF'!M:M,"",0)</f>
        <v>25090914</v>
      </c>
      <c r="AB220" s="49"/>
      <c r="AC220" s="42"/>
      <c r="AD220" s="42"/>
      <c r="AE220" s="50"/>
      <c r="AF220" s="42"/>
      <c r="AG220" s="42"/>
      <c r="AH220" s="42"/>
      <c r="AI220" s="42" t="str">
        <f t="array" ref="AI220">XLOOKUP($E220,Sheet11!$D:$D,Sheet11!$X:$X,"",0)</f>
        <v/>
      </c>
      <c r="AJ220" s="42" t="str">
        <f t="array" ref="AJ220">XLOOKUP($E220,Sheet11!$D:$D,Sheet11!$Y:$Y,"",0)</f>
        <v/>
      </c>
    </row>
    <row r="221">
      <c r="A221" s="41">
        <v>575.0</v>
      </c>
      <c r="B221" s="42" t="s">
        <v>434</v>
      </c>
      <c r="C221" s="42" t="s">
        <v>435</v>
      </c>
      <c r="D221" s="42"/>
      <c r="E221" s="42" t="str">
        <f t="shared" ref="E221:F221" si="222">PROPER(B221)</f>
        <v>Cantaricio Irrigators Association, Inc.</v>
      </c>
      <c r="F221" s="42" t="str">
        <f t="shared" si="222"/>
        <v>Garita I A, Maragondon, Cavite</v>
      </c>
      <c r="G221" s="42" t="str">
        <f t="shared" si="3"/>
        <v>Garita I A</v>
      </c>
      <c r="H221" s="42" t="str">
        <f t="shared" si="4"/>
        <v>Maragondon</v>
      </c>
      <c r="I221" s="42" t="str">
        <f t="shared" si="5"/>
        <v>Cavite</v>
      </c>
      <c r="J221" s="42" t="str">
        <f t="array" ref="J221">XLOOKUP($E221,'Recipients REF'!$B:$B,'Recipients REF'!D:D,"",0)</f>
        <v>Ladislao C. Completo</v>
      </c>
      <c r="K221" s="42">
        <f t="array" ref="K221">XLOOKUP($E221,'Recipients REF'!$B:$B,'Recipients REF'!E:E,"",0)</f>
        <v>9655462216</v>
      </c>
      <c r="L221" s="43" t="str">
        <f t="array" ref="L221">XLOOKUP($A221,'Recipients REF'!$A:$A,'Recipients REF'!F:F,"",0)</f>
        <v>RCEF 24-04-15</v>
      </c>
      <c r="M221" s="43">
        <f t="array" ref="M221">XLOOKUP($A221,'Recipients REF'!$A:$A,'Recipients REF'!G:G,"",0)</f>
        <v>7</v>
      </c>
      <c r="N221" s="43">
        <f t="array" ref="N221">XLOOKUP($A221,'Recipients REF'!$A:$A,'Recipients REF'!H:H,"",0)</f>
        <v>21758</v>
      </c>
      <c r="O221" s="44" t="s">
        <v>25</v>
      </c>
      <c r="P221" s="45" t="s">
        <v>26</v>
      </c>
      <c r="Q221" s="46" t="str">
        <f t="array" ref="Q221">XLOOKUP($A221,'Recipients REF'!$A:$A,'Recipients REF'!I:I,"",0)</f>
        <v>KMC5825AARFPV0623</v>
      </c>
      <c r="R221" s="47" t="str">
        <f t="array" ref="R221">XLOOKUP($A221,'Recipients REF'!$A:$A,'Recipients REF'!J:J,"",0)</f>
        <v>RTS100526</v>
      </c>
      <c r="S221" s="45" t="s">
        <v>27</v>
      </c>
      <c r="T221" s="45" t="s">
        <v>28</v>
      </c>
      <c r="U221" s="46" t="str">
        <f t="array" ref="U221">XLOOKUP($A221,'Recipients REF'!$A:$A,'Recipients REF'!K:K,"",0)</f>
        <v>LSGW1750-RMP-24080756</v>
      </c>
      <c r="V221" s="44" t="s">
        <v>29</v>
      </c>
      <c r="W221" s="45" t="s">
        <v>30</v>
      </c>
      <c r="X221" s="47" t="str">
        <f t="array" ref="X221">XLOOKUP($A221,'Recipients REF'!$A:$A,'Recipients REF'!L:L,"",0)</f>
        <v>WDP40-RMP-24080958</v>
      </c>
      <c r="Y221" s="48" t="s">
        <v>29</v>
      </c>
      <c r="Z221" s="48" t="s">
        <v>31</v>
      </c>
      <c r="AA221" s="46" t="str">
        <f t="array" ref="AA221">XLOOKUP($A221,'Recipients REF'!$A:$A,'Recipients REF'!M:M,"",0)</f>
        <v>WR-SERIES-989PH</v>
      </c>
      <c r="AB221" s="49"/>
      <c r="AC221" s="42"/>
      <c r="AD221" s="42"/>
      <c r="AE221" s="56">
        <v>8.69066060242329E14</v>
      </c>
      <c r="AF221" s="56">
        <v>9.087615336E9</v>
      </c>
      <c r="AG221" s="42"/>
      <c r="AH221" s="42"/>
      <c r="AI221" s="42" t="str">
        <f t="array" ref="AI221">XLOOKUP($E221,Sheet11!$D:$D,Sheet11!$X:$X,"",0)</f>
        <v/>
      </c>
      <c r="AJ221" s="42" t="str">
        <f t="array" ref="AJ221">XLOOKUP($E221,Sheet11!$D:$D,Sheet11!$Y:$Y,"",0)</f>
        <v/>
      </c>
    </row>
    <row r="222">
      <c r="A222" s="41">
        <v>880.0</v>
      </c>
      <c r="B222" s="42" t="s">
        <v>436</v>
      </c>
      <c r="C222" s="42" t="s">
        <v>437</v>
      </c>
      <c r="D222" s="42"/>
      <c r="E222" s="42" t="str">
        <f t="shared" ref="E222:F222" si="223">PROPER(B222)</f>
        <v>Municipal Local Government Unit Of Indang</v>
      </c>
      <c r="F222" s="42" t="str">
        <f t="shared" si="223"/>
        <v>Poblacion Iv, Indang, Cavite</v>
      </c>
      <c r="G222" s="42" t="str">
        <f t="shared" si="3"/>
        <v>Poblacion Iv</v>
      </c>
      <c r="H222" s="42" t="str">
        <f t="shared" si="4"/>
        <v>Indang</v>
      </c>
      <c r="I222" s="42" t="str">
        <f t="shared" si="5"/>
        <v>Cavite</v>
      </c>
      <c r="J222" s="42" t="str">
        <f t="array" ref="J222">XLOOKUP($E222,'Recipients REF'!$B:$B,'Recipients REF'!D:D,"",0)</f>
        <v/>
      </c>
      <c r="K222" s="42" t="str">
        <f t="array" ref="K222">XLOOKUP($E222,'Recipients REF'!$B:$B,'Recipients REF'!E:E,"",0)</f>
        <v/>
      </c>
      <c r="L222" s="43" t="str">
        <f t="array" ref="L222">XLOOKUP($A222,'Recipients REF'!$A:$A,'Recipients REF'!F:F,"",0)</f>
        <v>RCEF 25-03-05</v>
      </c>
      <c r="M222" s="43">
        <f t="array" ref="M222">XLOOKUP($A222,'Recipients REF'!$A:$A,'Recipients REF'!G:G,"",0)</f>
        <v>7</v>
      </c>
      <c r="N222" s="43" t="str">
        <f t="array" ref="N222">XLOOKUP($A222,'Recipients REF'!$A:$A,'Recipients REF'!H:H,"",0)</f>
        <v>26881 &amp; 27923</v>
      </c>
      <c r="O222" s="44" t="s">
        <v>25</v>
      </c>
      <c r="P222" s="45" t="s">
        <v>26</v>
      </c>
      <c r="Q222" s="46" t="str">
        <f t="array" ref="Q222">XLOOKUP($A222,'Recipients REF'!$A:$A,'Recipients REF'!I:I,"",0)</f>
        <v>KMC5825 ACSFPV0259</v>
      </c>
      <c r="R222" s="53" t="str">
        <f t="array" ref="R222">XLOOKUP($A222,'Recipients REF'!$A:$A,'Recipients REF'!J:J,"",0)</f>
        <v>STS100278</v>
      </c>
      <c r="S222" s="45" t="s">
        <v>27</v>
      </c>
      <c r="T222" s="45" t="s">
        <v>28</v>
      </c>
      <c r="U222" s="46" t="str">
        <f t="array" ref="U222">XLOOKUP($A222,'Recipients REF'!$A:$A,'Recipients REF'!K:K,"",0)</f>
        <v>R-SERIES 094PH</v>
      </c>
      <c r="V222" s="44" t="s">
        <v>29</v>
      </c>
      <c r="W222" s="45" t="s">
        <v>30</v>
      </c>
      <c r="X222" s="53" t="str">
        <f t="array" ref="X222">XLOOKUP($A222,'Recipients REF'!$A:$A,'Recipients REF'!L:L,"",0)</f>
        <v>25090457</v>
      </c>
      <c r="Y222" s="48" t="s">
        <v>29</v>
      </c>
      <c r="Z222" s="48" t="s">
        <v>31</v>
      </c>
      <c r="AA222" s="54" t="str">
        <f t="array" ref="AA222">XLOOKUP($A222,'Recipients REF'!$A:$A,'Recipients REF'!M:M,"",0)</f>
        <v>25010075</v>
      </c>
      <c r="AB222" s="49"/>
      <c r="AC222" s="42"/>
      <c r="AD222" s="42"/>
      <c r="AE222" s="50"/>
      <c r="AF222" s="42"/>
      <c r="AG222" s="42"/>
      <c r="AH222" s="42"/>
      <c r="AI222" s="42" t="str">
        <f t="array" ref="AI222">XLOOKUP($E222,Sheet11!$D:$D,Sheet11!$X:$X,"",0)</f>
        <v/>
      </c>
      <c r="AJ222" s="42" t="str">
        <f t="array" ref="AJ222">XLOOKUP($E222,Sheet11!$D:$D,Sheet11!$Y:$Y,"",0)</f>
        <v/>
      </c>
    </row>
    <row r="223">
      <c r="A223" s="41">
        <v>184.0</v>
      </c>
      <c r="B223" s="42" t="s">
        <v>438</v>
      </c>
      <c r="C223" s="42" t="s">
        <v>439</v>
      </c>
      <c r="D223" s="42"/>
      <c r="E223" s="42" t="str">
        <f t="shared" ref="E223:F223" si="224">PROPER(B223)</f>
        <v>San Juan Ia/Farmers Association</v>
      </c>
      <c r="F223" s="42" t="str">
        <f t="shared" si="224"/>
        <v>San Juan, Alfonso Lista (Potia), Ifugao</v>
      </c>
      <c r="G223" s="42" t="str">
        <f t="shared" si="3"/>
        <v>San Juan</v>
      </c>
      <c r="H223" s="42" t="str">
        <f t="shared" si="4"/>
        <v>Alfonso Lista (Potia)</v>
      </c>
      <c r="I223" s="42" t="str">
        <f t="shared" si="5"/>
        <v>Ifugao</v>
      </c>
      <c r="J223" s="42" t="str">
        <f t="array" ref="J223">XLOOKUP($E223,'Recipients REF'!$B:$B,'Recipients REF'!D:D,"",0)</f>
        <v>Esmenia S. Borja</v>
      </c>
      <c r="K223" s="42">
        <f t="array" ref="K223">XLOOKUP($E223,'Recipients REF'!$B:$B,'Recipients REF'!E:E,"",0)</f>
        <v>9554952463</v>
      </c>
      <c r="L223" s="43" t="str">
        <f t="array" ref="L223">XLOOKUP($A223,'Recipients REF'!$A:$A,'Recipients REF'!F:F,"",0)</f>
        <v>RCEF 23-09-21 Rebidding</v>
      </c>
      <c r="M223" s="43">
        <f t="array" ref="M223">XLOOKUP($A223,'Recipients REF'!$A:$A,'Recipients REF'!G:G,"",0)</f>
        <v>1</v>
      </c>
      <c r="N223" s="43">
        <f t="array" ref="N223">XLOOKUP($A223,'Recipients REF'!$A:$A,'Recipients REF'!H:H,"",0)</f>
        <v>18348</v>
      </c>
      <c r="O223" s="44" t="s">
        <v>25</v>
      </c>
      <c r="P223" s="45" t="s">
        <v>26</v>
      </c>
      <c r="Q223" s="46" t="str">
        <f t="array" ref="Q223">XLOOKUP($A223,'Recipients REF'!$A:$A,'Recipients REF'!I:I,"",0)</f>
        <v>KMC5825 APRFPV0517</v>
      </c>
      <c r="R223" s="47" t="str">
        <f t="array" ref="R223">XLOOKUP($A223,'Recipients REF'!$A:$A,'Recipients REF'!J:J,"",0)</f>
        <v>RTS 100423</v>
      </c>
      <c r="S223" s="45" t="s">
        <v>27</v>
      </c>
      <c r="T223" s="45" t="s">
        <v>28</v>
      </c>
      <c r="U223" s="46" t="str">
        <f t="array" ref="U223">XLOOKUP($A223,'Recipients REF'!$A:$A,'Recipients REF'!K:K,"",0)</f>
        <v>WR-SERIES 812 PH</v>
      </c>
      <c r="V223" s="44" t="s">
        <v>29</v>
      </c>
      <c r="W223" s="45" t="s">
        <v>30</v>
      </c>
      <c r="X223" s="47" t="str">
        <f t="array" ref="X223">XLOOKUP($A223,'Recipients REF'!$A:$A,'Recipients REF'!L:L,"",0)</f>
        <v>LSGW1750 RMP 24010210</v>
      </c>
      <c r="Y223" s="48" t="s">
        <v>29</v>
      </c>
      <c r="Z223" s="48" t="s">
        <v>31</v>
      </c>
      <c r="AA223" s="46" t="str">
        <f t="array" ref="AA223">XLOOKUP($A223,'Recipients REF'!$A:$A,'Recipients REF'!M:M,"",0)</f>
        <v>WDP40 RMP 24050576</v>
      </c>
      <c r="AB223" s="49"/>
      <c r="AC223" s="42"/>
      <c r="AD223" s="42"/>
      <c r="AE223" s="50"/>
      <c r="AF223" s="42"/>
      <c r="AG223" s="42"/>
      <c r="AH223" s="42"/>
      <c r="AI223" s="42" t="str">
        <f t="array" ref="AI223">XLOOKUP($E223,Sheet11!$D:$D,Sheet11!$X:$X,"",0)</f>
        <v/>
      </c>
      <c r="AJ223" s="42" t="str">
        <f t="array" ref="AJ223">XLOOKUP($E223,Sheet11!$D:$D,Sheet11!$Y:$Y,"",0)</f>
        <v/>
      </c>
    </row>
    <row r="224">
      <c r="A224" s="41">
        <v>185.0</v>
      </c>
      <c r="B224" s="42" t="s">
        <v>440</v>
      </c>
      <c r="C224" s="42" t="s">
        <v>441</v>
      </c>
      <c r="D224" s="42"/>
      <c r="E224" s="42" t="str">
        <f t="shared" ref="E224:F224" si="225">PROPER(B224)</f>
        <v>San Quintin Integrated Farmers Association</v>
      </c>
      <c r="F224" s="42" t="str">
        <f t="shared" si="225"/>
        <v>San Quintin, Alfonso Lista (Potia), Ifugao</v>
      </c>
      <c r="G224" s="42" t="str">
        <f t="shared" si="3"/>
        <v>San Quintin</v>
      </c>
      <c r="H224" s="42" t="str">
        <f t="shared" si="4"/>
        <v>Alfonso Lista (Potia)</v>
      </c>
      <c r="I224" s="42" t="str">
        <f t="shared" si="5"/>
        <v>Ifugao</v>
      </c>
      <c r="J224" s="42" t="str">
        <f t="array" ref="J224">XLOOKUP($E224,'Recipients REF'!$B:$B,'Recipients REF'!D:D,"",0)</f>
        <v>Michael Johnson P. Mabalo</v>
      </c>
      <c r="K224" s="42">
        <f t="array" ref="K224">XLOOKUP($E224,'Recipients REF'!$B:$B,'Recipients REF'!E:E,"",0)</f>
        <v>9175053586</v>
      </c>
      <c r="L224" s="43" t="str">
        <f t="array" ref="L224">XLOOKUP($A224,'Recipients REF'!$A:$A,'Recipients REF'!F:F,"",0)</f>
        <v>RCEF 23-09-21 Rebidding</v>
      </c>
      <c r="M224" s="43">
        <f t="array" ref="M224">XLOOKUP($A224,'Recipients REF'!$A:$A,'Recipients REF'!G:G,"",0)</f>
        <v>1</v>
      </c>
      <c r="N224" s="43">
        <f t="array" ref="N224">XLOOKUP($A224,'Recipients REF'!$A:$A,'Recipients REF'!H:H,"",0)</f>
        <v>18349</v>
      </c>
      <c r="O224" s="44" t="s">
        <v>25</v>
      </c>
      <c r="P224" s="45" t="s">
        <v>26</v>
      </c>
      <c r="Q224" s="46" t="str">
        <f t="array" ref="Q224">XLOOKUP($A224,'Recipients REF'!$A:$A,'Recipients REF'!I:I,"",0)</f>
        <v>KMC5825 APRFPV0047</v>
      </c>
      <c r="R224" s="47" t="str">
        <f t="array" ref="R224">XLOOKUP($A224,'Recipients REF'!$A:$A,'Recipients REF'!J:J,"",0)</f>
        <v>PTS 100221</v>
      </c>
      <c r="S224" s="45" t="s">
        <v>27</v>
      </c>
      <c r="T224" s="45" t="s">
        <v>28</v>
      </c>
      <c r="U224" s="46" t="str">
        <f t="array" ref="U224">XLOOKUP($A224,'Recipients REF'!$A:$A,'Recipients REF'!K:K,"",0)</f>
        <v>R-SERIES 030 PH</v>
      </c>
      <c r="V224" s="44" t="s">
        <v>29</v>
      </c>
      <c r="W224" s="45" t="s">
        <v>30</v>
      </c>
      <c r="X224" s="47" t="str">
        <f t="array" ref="X224">XLOOKUP($A224,'Recipients REF'!$A:$A,'Recipients REF'!L:L,"",0)</f>
        <v>LSGW1750 RMP 24010036</v>
      </c>
      <c r="Y224" s="48" t="s">
        <v>29</v>
      </c>
      <c r="Z224" s="48" t="s">
        <v>31</v>
      </c>
      <c r="AA224" s="46" t="str">
        <f t="array" ref="AA224">XLOOKUP($A224,'Recipients REF'!$A:$A,'Recipients REF'!M:M,"",0)</f>
        <v>WDP40 RMP 24010001</v>
      </c>
      <c r="AB224" s="49"/>
      <c r="AC224" s="42"/>
      <c r="AD224" s="42"/>
      <c r="AE224" s="50"/>
      <c r="AF224" s="42"/>
      <c r="AG224" s="42"/>
      <c r="AH224" s="42"/>
      <c r="AI224" s="42">
        <f t="array" ref="AI224">XLOOKUP($E224,Sheet11!$D:$D,Sheet11!$X:$X,"",0)</f>
        <v>869066060236636</v>
      </c>
      <c r="AJ224" s="42">
        <f t="array" ref="AJ224">XLOOKUP($E224,Sheet11!$D:$D,Sheet11!$Y:$Y,"",0)</f>
        <v>9086606615</v>
      </c>
    </row>
    <row r="225">
      <c r="A225" s="41">
        <v>186.0</v>
      </c>
      <c r="B225" s="42" t="s">
        <v>442</v>
      </c>
      <c r="C225" s="42" t="s">
        <v>443</v>
      </c>
      <c r="D225" s="42"/>
      <c r="E225" s="42" t="str">
        <f t="shared" ref="E225:F225" si="226">PROPER(B225)</f>
        <v>Alfonso Lista Rice Cluster Farmers Federation Incorporated</v>
      </c>
      <c r="F225" s="42" t="str">
        <f t="shared" si="226"/>
        <v>Santa Maria, Alfonso Lista (Potia), Ifugao</v>
      </c>
      <c r="G225" s="42" t="str">
        <f t="shared" si="3"/>
        <v>Santa Maria</v>
      </c>
      <c r="H225" s="42" t="str">
        <f t="shared" si="4"/>
        <v>Alfonso Lista (Potia)</v>
      </c>
      <c r="I225" s="42" t="str">
        <f t="shared" si="5"/>
        <v>Ifugao</v>
      </c>
      <c r="J225" s="42" t="str">
        <f t="array" ref="J225">XLOOKUP($E225,'Recipients REF'!$B:$B,'Recipients REF'!D:D,"",0)</f>
        <v>Jeffrey S. Gaspar</v>
      </c>
      <c r="K225" s="42" t="str">
        <f t="array" ref="K225">XLOOKUP($E225,'Recipients REF'!$B:$B,'Recipients REF'!E:E,"",0)</f>
        <v>0975-895-0983</v>
      </c>
      <c r="L225" s="43" t="str">
        <f t="array" ref="L225">XLOOKUP($A225,'Recipients REF'!$A:$A,'Recipients REF'!F:F,"",0)</f>
        <v>RCEF 23-09-21 Rebidding</v>
      </c>
      <c r="M225" s="43">
        <f t="array" ref="M225">XLOOKUP($A225,'Recipients REF'!$A:$A,'Recipients REF'!G:G,"",0)</f>
        <v>1</v>
      </c>
      <c r="N225" s="43">
        <f t="array" ref="N225">XLOOKUP($A225,'Recipients REF'!$A:$A,'Recipients REF'!H:H,"",0)</f>
        <v>18350</v>
      </c>
      <c r="O225" s="44" t="s">
        <v>25</v>
      </c>
      <c r="P225" s="45" t="s">
        <v>26</v>
      </c>
      <c r="Q225" s="46" t="str">
        <f t="array" ref="Q225">XLOOKUP($A225,'Recipients REF'!$A:$A,'Recipients REF'!I:I,"",0)</f>
        <v>KMC5825 ACRFPV0045</v>
      </c>
      <c r="R225" s="47" t="str">
        <f t="array" ref="R225">XLOOKUP($A225,'Recipients REF'!$A:$A,'Recipients REF'!J:J,"",0)</f>
        <v>PTS 100220</v>
      </c>
      <c r="S225" s="45" t="s">
        <v>27</v>
      </c>
      <c r="T225" s="45" t="s">
        <v>28</v>
      </c>
      <c r="U225" s="46" t="str">
        <f t="array" ref="U225">XLOOKUP($A225,'Recipients REF'!$A:$A,'Recipients REF'!K:K,"",0)</f>
        <v>R-SERIES 046 PH</v>
      </c>
      <c r="V225" s="44" t="s">
        <v>29</v>
      </c>
      <c r="W225" s="45" t="s">
        <v>30</v>
      </c>
      <c r="X225" s="47" t="str">
        <f t="array" ref="X225">XLOOKUP($A225,'Recipients REF'!$A:$A,'Recipients REF'!L:L,"",0)</f>
        <v>LSGW1750 RMP 24010035</v>
      </c>
      <c r="Y225" s="48" t="s">
        <v>29</v>
      </c>
      <c r="Z225" s="48" t="s">
        <v>31</v>
      </c>
      <c r="AA225" s="46" t="str">
        <f t="array" ref="AA225">XLOOKUP($A225,'Recipients REF'!$A:$A,'Recipients REF'!M:M,"",0)</f>
        <v>WDP40 RMP 24010012</v>
      </c>
      <c r="AB225" s="49"/>
      <c r="AC225" s="42"/>
      <c r="AD225" s="42"/>
      <c r="AE225" s="50"/>
      <c r="AF225" s="42"/>
      <c r="AG225" s="42"/>
      <c r="AH225" s="42"/>
      <c r="AI225" s="42">
        <f t="array" ref="AI225">XLOOKUP($E225,Sheet11!$D:$D,Sheet11!$X:$X,"",0)</f>
        <v>869066060240034</v>
      </c>
      <c r="AJ225" s="42">
        <f t="array" ref="AJ225">XLOOKUP($E225,Sheet11!$D:$D,Sheet11!$Y:$Y,"",0)</f>
        <v>9087468195</v>
      </c>
    </row>
    <row r="226">
      <c r="A226" s="41">
        <v>187.0</v>
      </c>
      <c r="B226" s="42" t="s">
        <v>444</v>
      </c>
      <c r="C226" s="42" t="s">
        <v>445</v>
      </c>
      <c r="D226" s="42"/>
      <c r="E226" s="42" t="str">
        <f t="shared" ref="E226:F226" si="227">PROPER(B226)</f>
        <v>Alpip-Caba-San Irrigators Association Inc.</v>
      </c>
      <c r="F226" s="42" t="str">
        <f t="shared" si="227"/>
        <v>Santo Domingo (Cabicalan), Alfonso Lista (Potia), Ifugao</v>
      </c>
      <c r="G226" s="42" t="str">
        <f t="shared" si="3"/>
        <v>Santo Domingo (Cabicalan)</v>
      </c>
      <c r="H226" s="42" t="str">
        <f t="shared" si="4"/>
        <v>Alfonso Lista (Potia)</v>
      </c>
      <c r="I226" s="42" t="str">
        <f t="shared" si="5"/>
        <v>Ifugao</v>
      </c>
      <c r="J226" s="42" t="str">
        <f t="array" ref="J226">XLOOKUP($E226,'Recipients REF'!$B:$B,'Recipients REF'!D:D,"",0)</f>
        <v>Bert P. Kimmayong</v>
      </c>
      <c r="K226" s="42" t="str">
        <f t="array" ref="K226">XLOOKUP($E226,'Recipients REF'!$B:$B,'Recipients REF'!E:E,"",0)</f>
        <v>0945-6128-144/0955-4253-473</v>
      </c>
      <c r="L226" s="43" t="str">
        <f t="array" ref="L226">XLOOKUP($A226,'Recipients REF'!$A:$A,'Recipients REF'!F:F,"",0)</f>
        <v>RCEF 23-09-21 Rebidding</v>
      </c>
      <c r="M226" s="43">
        <f t="array" ref="M226">XLOOKUP($A226,'Recipients REF'!$A:$A,'Recipients REF'!G:G,"",0)</f>
        <v>1</v>
      </c>
      <c r="N226" s="43">
        <f t="array" ref="N226">XLOOKUP($A226,'Recipients REF'!$A:$A,'Recipients REF'!H:H,"",0)</f>
        <v>18351</v>
      </c>
      <c r="O226" s="44" t="s">
        <v>25</v>
      </c>
      <c r="P226" s="45" t="s">
        <v>26</v>
      </c>
      <c r="Q226" s="46" t="str">
        <f t="array" ref="Q226">XLOOKUP($A226,'Recipients REF'!$A:$A,'Recipients REF'!I:I,"",0)</f>
        <v>KMC5825 APRFPV0002</v>
      </c>
      <c r="R226" s="47" t="str">
        <f t="array" ref="R226">XLOOKUP($A226,'Recipients REF'!$A:$A,'Recipients REF'!J:J,"",0)</f>
        <v>PTS 100273</v>
      </c>
      <c r="S226" s="45" t="s">
        <v>27</v>
      </c>
      <c r="T226" s="45" t="s">
        <v>28</v>
      </c>
      <c r="U226" s="46" t="str">
        <f t="array" ref="U226">XLOOKUP($A226,'Recipients REF'!$A:$A,'Recipients REF'!K:K,"",0)</f>
        <v>R-SERIES 045 PH</v>
      </c>
      <c r="V226" s="44" t="s">
        <v>29</v>
      </c>
      <c r="W226" s="45" t="s">
        <v>30</v>
      </c>
      <c r="X226" s="47" t="str">
        <f t="array" ref="X226">XLOOKUP($A226,'Recipients REF'!$A:$A,'Recipients REF'!L:L,"",0)</f>
        <v>LSGW1750 RMP 24010034</v>
      </c>
      <c r="Y226" s="48" t="s">
        <v>29</v>
      </c>
      <c r="Z226" s="48" t="s">
        <v>31</v>
      </c>
      <c r="AA226" s="46" t="str">
        <f t="array" ref="AA226">XLOOKUP($A226,'Recipients REF'!$A:$A,'Recipients REF'!M:M,"",0)</f>
        <v>WDP40 RMP 24010024</v>
      </c>
      <c r="AB226" s="49"/>
      <c r="AC226" s="42"/>
      <c r="AD226" s="42"/>
      <c r="AE226" s="50"/>
      <c r="AF226" s="42"/>
      <c r="AG226" s="42"/>
      <c r="AH226" s="42"/>
      <c r="AI226" s="42">
        <f t="array" ref="AI226">XLOOKUP($E226,Sheet11!$D:$D,Sheet11!$X:$X,"",0)</f>
        <v>86906606023964</v>
      </c>
      <c r="AJ226" s="42">
        <f t="array" ref="AJ226">XLOOKUP($E226,Sheet11!$D:$D,Sheet11!$Y:$Y,"",0)</f>
        <v>9086798381</v>
      </c>
    </row>
    <row r="227">
      <c r="A227" s="41">
        <v>188.0</v>
      </c>
      <c r="B227" s="42" t="s">
        <v>446</v>
      </c>
      <c r="C227" s="42" t="s">
        <v>447</v>
      </c>
      <c r="D227" s="42"/>
      <c r="E227" s="42" t="str">
        <f t="shared" ref="E227:F227" si="228">PROPER(B227)</f>
        <v>Salukag Farmers Association</v>
      </c>
      <c r="F227" s="42" t="str">
        <f t="shared" si="228"/>
        <v>Namnama, Alfonso Lista (Potia), Ifugao</v>
      </c>
      <c r="G227" s="42" t="str">
        <f t="shared" si="3"/>
        <v>Namnama</v>
      </c>
      <c r="H227" s="42" t="str">
        <f t="shared" si="4"/>
        <v>Alfonso Lista (Potia)</v>
      </c>
      <c r="I227" s="42" t="str">
        <f t="shared" si="5"/>
        <v>Ifugao</v>
      </c>
      <c r="J227" s="42" t="str">
        <f t="array" ref="J227">XLOOKUP($E227,'Recipients REF'!$B:$B,'Recipients REF'!D:D,"",0)</f>
        <v>Marites R. Tam-ao</v>
      </c>
      <c r="K227" s="42" t="str">
        <f t="array" ref="K227">XLOOKUP($E227,'Recipients REF'!$B:$B,'Recipients REF'!E:E,"",0)</f>
        <v>0919-8716-238</v>
      </c>
      <c r="L227" s="43" t="str">
        <f t="array" ref="L227">XLOOKUP($A227,'Recipients REF'!$A:$A,'Recipients REF'!F:F,"",0)</f>
        <v>RCEF 23-09-21 Rebidding</v>
      </c>
      <c r="M227" s="43">
        <f t="array" ref="M227">XLOOKUP($A227,'Recipients REF'!$A:$A,'Recipients REF'!G:G,"",0)</f>
        <v>1</v>
      </c>
      <c r="N227" s="43">
        <f t="array" ref="N227">XLOOKUP($A227,'Recipients REF'!$A:$A,'Recipients REF'!H:H,"",0)</f>
        <v>18352</v>
      </c>
      <c r="O227" s="44" t="s">
        <v>25</v>
      </c>
      <c r="P227" s="45" t="s">
        <v>26</v>
      </c>
      <c r="Q227" s="46" t="str">
        <f t="array" ref="Q227">XLOOKUP($A227,'Recipients REF'!$A:$A,'Recipients REF'!I:I,"",0)</f>
        <v>KMC5825 AFRFPB0013</v>
      </c>
      <c r="R227" s="47" t="str">
        <f t="array" ref="R227">XLOOKUP($A227,'Recipients REF'!$A:$A,'Recipients REF'!J:J,"",0)</f>
        <v>PTS 100280</v>
      </c>
      <c r="S227" s="45" t="s">
        <v>27</v>
      </c>
      <c r="T227" s="45" t="s">
        <v>28</v>
      </c>
      <c r="U227" s="46" t="str">
        <f t="array" ref="U227">XLOOKUP($A227,'Recipients REF'!$A:$A,'Recipients REF'!K:K,"",0)</f>
        <v>R-SERIES 038 PH</v>
      </c>
      <c r="V227" s="44" t="s">
        <v>29</v>
      </c>
      <c r="W227" s="45" t="s">
        <v>30</v>
      </c>
      <c r="X227" s="47" t="str">
        <f t="array" ref="X227">XLOOKUP($A227,'Recipients REF'!$A:$A,'Recipients REF'!L:L,"",0)</f>
        <v>LSGW1750 RMP 24010042</v>
      </c>
      <c r="Y227" s="48" t="s">
        <v>29</v>
      </c>
      <c r="Z227" s="48" t="s">
        <v>31</v>
      </c>
      <c r="AA227" s="46" t="str">
        <f t="array" ref="AA227">XLOOKUP($A227,'Recipients REF'!$A:$A,'Recipients REF'!M:M,"",0)</f>
        <v>WDP40 RMP 24010010</v>
      </c>
      <c r="AB227" s="49"/>
      <c r="AC227" s="42"/>
      <c r="AD227" s="42"/>
      <c r="AE227" s="50"/>
      <c r="AF227" s="42"/>
      <c r="AG227" s="42"/>
      <c r="AH227" s="42"/>
      <c r="AI227" s="42">
        <f t="array" ref="AI227">XLOOKUP($E227,Sheet11!$D:$D,Sheet11!$X:$X,"",0)</f>
        <v>869066060245397</v>
      </c>
      <c r="AJ227" s="42">
        <f t="array" ref="AJ227">XLOOKUP($E227,Sheet11!$D:$D,Sheet11!$Y:$Y,"",0)</f>
        <v>9086454780</v>
      </c>
    </row>
    <row r="228">
      <c r="A228" s="41">
        <v>189.0</v>
      </c>
      <c r="B228" s="42" t="s">
        <v>448</v>
      </c>
      <c r="C228" s="42" t="s">
        <v>449</v>
      </c>
      <c r="D228" s="42"/>
      <c r="E228" s="42" t="str">
        <f t="shared" ref="E228:F228" si="229">PROPER(B228)</f>
        <v>Lamut Grassroots Savings And Development Cooperative</v>
      </c>
      <c r="F228" s="42" t="str">
        <f t="shared" si="229"/>
        <v>Poblacion East, Lamut, Ifugao</v>
      </c>
      <c r="G228" s="42" t="str">
        <f t="shared" si="3"/>
        <v>Poblacion East</v>
      </c>
      <c r="H228" s="42" t="str">
        <f t="shared" si="4"/>
        <v>Lamut</v>
      </c>
      <c r="I228" s="42" t="str">
        <f t="shared" si="5"/>
        <v>Ifugao</v>
      </c>
      <c r="J228" s="42" t="str">
        <f t="array" ref="J228">XLOOKUP($E228,'Recipients REF'!$B:$B,'Recipients REF'!D:D,"",0)</f>
        <v>Ferdinand O. Bautista-Chairman/Danilo V. Sera-Manager</v>
      </c>
      <c r="K228" s="42" t="str">
        <f t="array" ref="K228">XLOOKUP($E228,'Recipients REF'!$B:$B,'Recipients REF'!E:E,"",0)</f>
        <v>09171105531/09171887104</v>
      </c>
      <c r="L228" s="43" t="str">
        <f t="array" ref="L228">XLOOKUP($A228,'Recipients REF'!$A:$A,'Recipients REF'!F:F,"",0)</f>
        <v>RCEF 23-09-21 Rebidding</v>
      </c>
      <c r="M228" s="43">
        <f t="array" ref="M228">XLOOKUP($A228,'Recipients REF'!$A:$A,'Recipients REF'!G:G,"",0)</f>
        <v>1</v>
      </c>
      <c r="N228" s="43">
        <f t="array" ref="N228">XLOOKUP($A228,'Recipients REF'!$A:$A,'Recipients REF'!H:H,"",0)</f>
        <v>18353</v>
      </c>
      <c r="O228" s="44" t="s">
        <v>25</v>
      </c>
      <c r="P228" s="45" t="s">
        <v>26</v>
      </c>
      <c r="Q228" s="46" t="str">
        <f t="array" ref="Q228">XLOOKUP($A228,'Recipients REF'!$A:$A,'Recipients REF'!I:I,"",0)</f>
        <v>KMC5825 AVRFPV0555</v>
      </c>
      <c r="R228" s="47" t="str">
        <f t="array" ref="R228">XLOOKUP($A228,'Recipients REF'!$A:$A,'Recipients REF'!J:J,"",0)</f>
        <v>RTS 100443</v>
      </c>
      <c r="S228" s="45" t="s">
        <v>27</v>
      </c>
      <c r="T228" s="45" t="s">
        <v>28</v>
      </c>
      <c r="U228" s="46" t="str">
        <f t="array" ref="U228">XLOOKUP($A228,'Recipients REF'!$A:$A,'Recipients REF'!K:K,"",0)</f>
        <v>WR-SERIES 954 PH</v>
      </c>
      <c r="V228" s="44" t="s">
        <v>29</v>
      </c>
      <c r="W228" s="45" t="s">
        <v>30</v>
      </c>
      <c r="X228" s="47" t="str">
        <f t="array" ref="X228">XLOOKUP($A228,'Recipients REF'!$A:$A,'Recipients REF'!L:L,"",0)</f>
        <v>LSGW1750 RMP 24010221</v>
      </c>
      <c r="Y228" s="48" t="s">
        <v>29</v>
      </c>
      <c r="Z228" s="48" t="s">
        <v>31</v>
      </c>
      <c r="AA228" s="46" t="str">
        <f t="array" ref="AA228">XLOOKUP($A228,'Recipients REF'!$A:$A,'Recipients REF'!M:M,"",0)</f>
        <v>WDP40 RMP 24050566</v>
      </c>
      <c r="AB228" s="49"/>
      <c r="AC228" s="42"/>
      <c r="AD228" s="42"/>
      <c r="AE228" s="50"/>
      <c r="AF228" s="42"/>
      <c r="AG228" s="42"/>
      <c r="AH228" s="42"/>
      <c r="AI228" s="42">
        <f t="array" ref="AI228">XLOOKUP($E228,Sheet11!$D:$D,Sheet11!$X:$X,"",0)</f>
        <v>869066060238996</v>
      </c>
      <c r="AJ228" s="42">
        <f t="array" ref="AJ228">XLOOKUP($E228,Sheet11!$D:$D,Sheet11!$Y:$Y,"",0)</f>
        <v>9622800974</v>
      </c>
    </row>
    <row r="229">
      <c r="A229" s="41">
        <v>190.0</v>
      </c>
      <c r="B229" s="42" t="s">
        <v>450</v>
      </c>
      <c r="C229" s="42" t="s">
        <v>451</v>
      </c>
      <c r="D229" s="42"/>
      <c r="E229" s="42" t="str">
        <f t="shared" ref="E229:F229" si="230">PROPER(B229)</f>
        <v>Malling Progressive Farmers Association</v>
      </c>
      <c r="F229" s="42" t="str">
        <f t="shared" si="230"/>
        <v>Pugol (Ifugao Reservation), Lamut, Ifugao</v>
      </c>
      <c r="G229" s="42" t="str">
        <f t="shared" si="3"/>
        <v>Pugol (Ifugao Reservation)</v>
      </c>
      <c r="H229" s="42" t="str">
        <f t="shared" si="4"/>
        <v>Lamut</v>
      </c>
      <c r="I229" s="42" t="str">
        <f t="shared" si="5"/>
        <v>Ifugao</v>
      </c>
      <c r="J229" s="42" t="str">
        <f t="array" ref="J229">XLOOKUP($E229,'Recipients REF'!$B:$B,'Recipients REF'!D:D,"",0)</f>
        <v>Ramon P. Cabanayan</v>
      </c>
      <c r="K229" s="42" t="str">
        <f t="array" ref="K229">XLOOKUP($E229,'Recipients REF'!$B:$B,'Recipients REF'!E:E,"",0)</f>
        <v>09777823963/09151310699</v>
      </c>
      <c r="L229" s="43" t="str">
        <f t="array" ref="L229">XLOOKUP($A229,'Recipients REF'!$A:$A,'Recipients REF'!F:F,"",0)</f>
        <v>RCEF 23-09-21 Rebidding</v>
      </c>
      <c r="M229" s="43">
        <f t="array" ref="M229">XLOOKUP($A229,'Recipients REF'!$A:$A,'Recipients REF'!G:G,"",0)</f>
        <v>1</v>
      </c>
      <c r="N229" s="43">
        <f t="array" ref="N229">XLOOKUP($A229,'Recipients REF'!$A:$A,'Recipients REF'!H:H,"",0)</f>
        <v>18355</v>
      </c>
      <c r="O229" s="44" t="s">
        <v>25</v>
      </c>
      <c r="P229" s="45" t="s">
        <v>26</v>
      </c>
      <c r="Q229" s="46" t="str">
        <f t="array" ref="Q229">XLOOKUP($A229,'Recipients REF'!$A:$A,'Recipients REF'!I:I,"",0)</f>
        <v>KMC5825 AVRFPV0538</v>
      </c>
      <c r="R229" s="47" t="str">
        <f t="array" ref="R229">XLOOKUP($A229,'Recipients REF'!$A:$A,'Recipients REF'!J:J,"",0)</f>
        <v>RTS 100445</v>
      </c>
      <c r="S229" s="45" t="s">
        <v>27</v>
      </c>
      <c r="T229" s="45" t="s">
        <v>28</v>
      </c>
      <c r="U229" s="46" t="str">
        <f t="array" ref="U229">XLOOKUP($A229,'Recipients REF'!$A:$A,'Recipients REF'!K:K,"",0)</f>
        <v>WR-SERIES 965 PH</v>
      </c>
      <c r="V229" s="44" t="s">
        <v>29</v>
      </c>
      <c r="W229" s="45" t="s">
        <v>30</v>
      </c>
      <c r="X229" s="47" t="str">
        <f t="array" ref="X229">XLOOKUP($A229,'Recipients REF'!$A:$A,'Recipients REF'!L:L,"",0)</f>
        <v>LSGW1750 RMP 24010220</v>
      </c>
      <c r="Y229" s="48" t="s">
        <v>29</v>
      </c>
      <c r="Z229" s="48" t="s">
        <v>31</v>
      </c>
      <c r="AA229" s="46" t="str">
        <f t="array" ref="AA229">XLOOKUP($A229,'Recipients REF'!$A:$A,'Recipients REF'!M:M,"",0)</f>
        <v>WDP40 RMP 24050575</v>
      </c>
      <c r="AB229" s="49"/>
      <c r="AC229" s="42"/>
      <c r="AD229" s="42"/>
      <c r="AE229" s="50"/>
      <c r="AF229" s="42"/>
      <c r="AG229" s="42"/>
      <c r="AH229" s="42"/>
      <c r="AI229" s="42">
        <f t="array" ref="AI229">XLOOKUP($E229,Sheet11!$D:$D,Sheet11!$X:$X,"",0)</f>
        <v>869066060245231</v>
      </c>
      <c r="AJ229" s="42">
        <f t="array" ref="AJ229">XLOOKUP($E229,Sheet11!$D:$D,Sheet11!$Y:$Y,"",0)</f>
        <v>9622800973</v>
      </c>
    </row>
    <row r="230">
      <c r="A230" s="41">
        <v>191.0</v>
      </c>
      <c r="B230" s="42" t="s">
        <v>452</v>
      </c>
      <c r="C230" s="42" t="s">
        <v>453</v>
      </c>
      <c r="D230" s="42"/>
      <c r="E230" s="42" t="str">
        <f t="shared" ref="E230:F230" si="231">PROPER(B230)</f>
        <v>Ilucban Agrarian Reform Farmers And Community Organization</v>
      </c>
      <c r="F230" s="42" t="str">
        <f t="shared" si="231"/>
        <v>Lucban, Lamut, Ifugao</v>
      </c>
      <c r="G230" s="42" t="str">
        <f t="shared" si="3"/>
        <v>Lucban</v>
      </c>
      <c r="H230" s="42" t="str">
        <f t="shared" si="4"/>
        <v>Lamut</v>
      </c>
      <c r="I230" s="42" t="str">
        <f t="shared" si="5"/>
        <v>Ifugao</v>
      </c>
      <c r="J230" s="42" t="str">
        <f t="array" ref="J230">XLOOKUP($E230,'Recipients REF'!$B:$B,'Recipients REF'!D:D,"",0)</f>
        <v>John P. Dulinayan</v>
      </c>
      <c r="K230" s="42" t="str">
        <f t="array" ref="K230">XLOOKUP($E230,'Recipients REF'!$B:$B,'Recipients REF'!E:E,"",0)</f>
        <v>0927-9614-916</v>
      </c>
      <c r="L230" s="43" t="str">
        <f t="array" ref="L230">XLOOKUP($A230,'Recipients REF'!$A:$A,'Recipients REF'!F:F,"",0)</f>
        <v>RCEF 23-09-21 Rebidding</v>
      </c>
      <c r="M230" s="43">
        <f t="array" ref="M230">XLOOKUP($A230,'Recipients REF'!$A:$A,'Recipients REF'!G:G,"",0)</f>
        <v>1</v>
      </c>
      <c r="N230" s="43">
        <f t="array" ref="N230">XLOOKUP($A230,'Recipients REF'!$A:$A,'Recipients REF'!H:H,"",0)</f>
        <v>18356</v>
      </c>
      <c r="O230" s="44" t="s">
        <v>25</v>
      </c>
      <c r="P230" s="45" t="s">
        <v>26</v>
      </c>
      <c r="Q230" s="46" t="str">
        <f t="array" ref="Q230">XLOOKUP($A230,'Recipients REF'!$A:$A,'Recipients REF'!I:I,"",0)</f>
        <v>KMC5825 APRFPV0554</v>
      </c>
      <c r="R230" s="47" t="str">
        <f t="array" ref="R230">XLOOKUP($A230,'Recipients REF'!$A:$A,'Recipients REF'!J:J,"",0)</f>
        <v>RTS 100450</v>
      </c>
      <c r="S230" s="45" t="s">
        <v>27</v>
      </c>
      <c r="T230" s="45" t="s">
        <v>28</v>
      </c>
      <c r="U230" s="46" t="str">
        <f t="array" ref="U230">XLOOKUP($A230,'Recipients REF'!$A:$A,'Recipients REF'!K:K,"",0)</f>
        <v>WR-SERIES 964 PH</v>
      </c>
      <c r="V230" s="44" t="s">
        <v>29</v>
      </c>
      <c r="W230" s="45" t="s">
        <v>30</v>
      </c>
      <c r="X230" s="47" t="str">
        <f t="array" ref="X230">XLOOKUP($A230,'Recipients REF'!$A:$A,'Recipients REF'!L:L,"",0)</f>
        <v>LSGW1750 RMP 24010215</v>
      </c>
      <c r="Y230" s="48" t="s">
        <v>29</v>
      </c>
      <c r="Z230" s="48" t="s">
        <v>31</v>
      </c>
      <c r="AA230" s="46" t="str">
        <f t="array" ref="AA230">XLOOKUP($A230,'Recipients REF'!$A:$A,'Recipients REF'!M:M,"",0)</f>
        <v>WDP40 RMP 24050559</v>
      </c>
      <c r="AB230" s="49"/>
      <c r="AC230" s="42"/>
      <c r="AD230" s="42"/>
      <c r="AE230" s="50"/>
      <c r="AF230" s="42"/>
      <c r="AG230" s="42"/>
      <c r="AH230" s="42"/>
      <c r="AI230" s="42" t="str">
        <f t="array" ref="AI230">XLOOKUP($E230,Sheet11!$D:$D,Sheet11!$X:$X,"",0)</f>
        <v/>
      </c>
      <c r="AJ230" s="42" t="str">
        <f t="array" ref="AJ230">XLOOKUP($E230,Sheet11!$D:$D,Sheet11!$Y:$Y,"",0)</f>
        <v/>
      </c>
    </row>
    <row r="231">
      <c r="A231" s="41">
        <v>92.0</v>
      </c>
      <c r="B231" s="42" t="s">
        <v>454</v>
      </c>
      <c r="C231" s="42" t="s">
        <v>455</v>
      </c>
      <c r="D231" s="42"/>
      <c r="E231" s="42" t="str">
        <f t="shared" ref="E231:F231" si="232">PROPER(B231)</f>
        <v>Ngabangab Resources Farmers Association</v>
      </c>
      <c r="F231" s="42" t="str">
        <f t="shared" si="232"/>
        <v>Ngabangab, Pasuquin, Ilocos Norte</v>
      </c>
      <c r="G231" s="42" t="str">
        <f t="shared" si="3"/>
        <v>Ngabangab</v>
      </c>
      <c r="H231" s="42" t="str">
        <f t="shared" si="4"/>
        <v>Pasuquin</v>
      </c>
      <c r="I231" s="42" t="str">
        <f t="shared" si="5"/>
        <v>Ilocos Norte</v>
      </c>
      <c r="J231" s="42" t="str">
        <f t="array" ref="J231">XLOOKUP($E231,'Recipients REF'!$B:$B,'Recipients REF'!D:D,"",0)</f>
        <v>#N/A</v>
      </c>
      <c r="K231" s="42" t="str">
        <f t="array" ref="K231">XLOOKUP($E231,'Recipients REF'!$B:$B,'Recipients REF'!E:E,"",0)</f>
        <v>#N/A</v>
      </c>
      <c r="L231" s="43" t="str">
        <f t="array" ref="L231">XLOOKUP($A231,'Recipients REF'!$A:$A,'Recipients REF'!F:F,"",0)</f>
        <v>RCEF 23-09-21 Rebidding</v>
      </c>
      <c r="M231" s="43">
        <f t="array" ref="M231">XLOOKUP($A231,'Recipients REF'!$A:$A,'Recipients REF'!G:G,"",0)</f>
        <v>2</v>
      </c>
      <c r="N231" s="43">
        <f t="array" ref="N231">XLOOKUP($A231,'Recipients REF'!$A:$A,'Recipients REF'!H:H,"",0)</f>
        <v>17404</v>
      </c>
      <c r="O231" s="44" t="s">
        <v>25</v>
      </c>
      <c r="P231" s="45" t="s">
        <v>26</v>
      </c>
      <c r="Q231" s="46" t="str">
        <f t="array" ref="Q231">XLOOKUP($A231,'Recipients REF'!$A:$A,'Recipients REF'!I:I,"",0)</f>
        <v>KMC5825 APPFPV0031</v>
      </c>
      <c r="R231" s="47" t="str">
        <f t="array" ref="R231">XLOOKUP($A231,'Recipients REF'!$A:$A,'Recipients REF'!J:J,"",0)</f>
        <v>RTS 1000016</v>
      </c>
      <c r="S231" s="45" t="s">
        <v>27</v>
      </c>
      <c r="T231" s="45" t="s">
        <v>28</v>
      </c>
      <c r="U231" s="46" t="str">
        <f t="array" ref="U231">XLOOKUP($A231,'Recipients REF'!$A:$A,'Recipients REF'!K:K,"",0)</f>
        <v>R-SERIES-012 PH</v>
      </c>
      <c r="V231" s="44" t="s">
        <v>29</v>
      </c>
      <c r="W231" s="45" t="s">
        <v>30</v>
      </c>
      <c r="X231" s="47" t="str">
        <f t="array" ref="X231">XLOOKUP($A231,'Recipients REF'!$A:$A,'Recipients REF'!L:L,"",0)</f>
        <v>LSGW -1750 -RMP- 24010121</v>
      </c>
      <c r="Y231" s="48" t="s">
        <v>29</v>
      </c>
      <c r="Z231" s="48" t="s">
        <v>31</v>
      </c>
      <c r="AA231" s="46" t="str">
        <f t="array" ref="AA231">XLOOKUP($A231,'Recipients REF'!$A:$A,'Recipients REF'!M:M,"",0)</f>
        <v>WDP 0019</v>
      </c>
      <c r="AB231" s="49"/>
      <c r="AC231" s="42"/>
      <c r="AD231" s="42"/>
      <c r="AE231" s="50"/>
      <c r="AF231" s="42"/>
      <c r="AG231" s="42"/>
      <c r="AH231" s="42"/>
      <c r="AI231" s="42" t="str">
        <f t="array" ref="AI231">XLOOKUP($E231,Sheet11!$D:$D,Sheet11!$X:$X,"",0)</f>
        <v/>
      </c>
      <c r="AJ231" s="42" t="str">
        <f t="array" ref="AJ231">XLOOKUP($E231,Sheet11!$D:$D,Sheet11!$Y:$Y,"",0)</f>
        <v/>
      </c>
    </row>
    <row r="232">
      <c r="A232" s="41">
        <v>93.0</v>
      </c>
      <c r="B232" s="42" t="s">
        <v>456</v>
      </c>
      <c r="C232" s="42" t="s">
        <v>457</v>
      </c>
      <c r="D232" s="42"/>
      <c r="E232" s="42" t="str">
        <f t="shared" ref="E232:F232" si="233">PROPER(B232)</f>
        <v>Paninaan-Daya Farmers Association Inc.</v>
      </c>
      <c r="F232" s="42" t="str">
        <f t="shared" si="233"/>
        <v>Paninaan, Bacarra, Ilocos Norte</v>
      </c>
      <c r="G232" s="42" t="str">
        <f t="shared" si="3"/>
        <v>Paninaan</v>
      </c>
      <c r="H232" s="42" t="str">
        <f t="shared" si="4"/>
        <v>Bacarra</v>
      </c>
      <c r="I232" s="42" t="str">
        <f t="shared" si="5"/>
        <v>Ilocos Norte</v>
      </c>
      <c r="J232" s="42" t="str">
        <f t="array" ref="J232">XLOOKUP($E232,'Recipients REF'!$B:$B,'Recipients REF'!D:D,"",0)</f>
        <v>Antonio T. Lomotan</v>
      </c>
      <c r="K232" s="42" t="str">
        <f t="array" ref="K232">XLOOKUP($E232,'Recipients REF'!$B:$B,'Recipients REF'!E:E,"",0)</f>
        <v>0927-933-7043</v>
      </c>
      <c r="L232" s="43" t="str">
        <f t="array" ref="L232">XLOOKUP($A232,'Recipients REF'!$A:$A,'Recipients REF'!F:F,"",0)</f>
        <v>RCEF 23-09-21 Rebidding</v>
      </c>
      <c r="M232" s="43">
        <f t="array" ref="M232">XLOOKUP($A232,'Recipients REF'!$A:$A,'Recipients REF'!G:G,"",0)</f>
        <v>2</v>
      </c>
      <c r="N232" s="43">
        <f t="array" ref="N232">XLOOKUP($A232,'Recipients REF'!$A:$A,'Recipients REF'!H:H,"",0)</f>
        <v>17405</v>
      </c>
      <c r="O232" s="44" t="s">
        <v>25</v>
      </c>
      <c r="P232" s="45" t="s">
        <v>26</v>
      </c>
      <c r="Q232" s="46" t="str">
        <f t="array" ref="Q232">XLOOKUP($A232,'Recipients REF'!$A:$A,'Recipients REF'!I:I,"",0)</f>
        <v>KMC5825 AKPFPV0016</v>
      </c>
      <c r="R232" s="47" t="str">
        <f t="array" ref="R232">XLOOKUP($A232,'Recipients REF'!$A:$A,'Recipients REF'!J:J,"",0)</f>
        <v>RTS 1000017</v>
      </c>
      <c r="S232" s="45" t="s">
        <v>27</v>
      </c>
      <c r="T232" s="45" t="s">
        <v>28</v>
      </c>
      <c r="U232" s="46" t="str">
        <f t="array" ref="U232">XLOOKUP($A232,'Recipients REF'!$A:$A,'Recipients REF'!K:K,"",0)</f>
        <v>RSERIES-014PH</v>
      </c>
      <c r="V232" s="44" t="s">
        <v>29</v>
      </c>
      <c r="W232" s="45" t="s">
        <v>30</v>
      </c>
      <c r="X232" s="47" t="str">
        <f t="array" ref="X232">XLOOKUP($A232,'Recipients REF'!$A:$A,'Recipients REF'!L:L,"",0)</f>
        <v>LSGW -1750 -RMP- 24010126</v>
      </c>
      <c r="Y232" s="48" t="s">
        <v>29</v>
      </c>
      <c r="Z232" s="48" t="s">
        <v>31</v>
      </c>
      <c r="AA232" s="46" t="str">
        <f t="array" ref="AA232">XLOOKUP($A232,'Recipients REF'!$A:$A,'Recipients REF'!M:M,"",0)</f>
        <v>WDP 0020</v>
      </c>
      <c r="AB232" s="49"/>
      <c r="AC232" s="42"/>
      <c r="AD232" s="42"/>
      <c r="AE232" s="50"/>
      <c r="AF232" s="42"/>
      <c r="AG232" s="42"/>
      <c r="AH232" s="42"/>
      <c r="AI232" s="42">
        <f t="array" ref="AI232">XLOOKUP($E232,Sheet11!$D:$D,Sheet11!$X:$X,"",0)</f>
        <v>869066060242634</v>
      </c>
      <c r="AJ232" s="42">
        <f t="array" ref="AJ232">XLOOKUP($E232,Sheet11!$D:$D,Sheet11!$Y:$Y,"",0)</f>
        <v>9690177986</v>
      </c>
    </row>
    <row r="233">
      <c r="A233" s="41">
        <v>94.0</v>
      </c>
      <c r="B233" s="42" t="s">
        <v>458</v>
      </c>
      <c r="C233" s="42" t="s">
        <v>459</v>
      </c>
      <c r="D233" s="42"/>
      <c r="E233" s="42" t="str">
        <f t="shared" ref="E233:F233" si="234">PROPER(B233)</f>
        <v>62A Navotas Farmers Association Incorporated</v>
      </c>
      <c r="F233" s="42" t="str">
        <f t="shared" si="234"/>
        <v>62A- Navotas North, Laoag City, Ilocos Norte</v>
      </c>
      <c r="G233" s="42" t="str">
        <f t="shared" si="3"/>
        <v>62A- Navotas North</v>
      </c>
      <c r="H233" s="42" t="str">
        <f t="shared" si="4"/>
        <v>Laoag City</v>
      </c>
      <c r="I233" s="42" t="str">
        <f t="shared" si="5"/>
        <v>Ilocos Norte</v>
      </c>
      <c r="J233" s="42" t="str">
        <f t="array" ref="J233">XLOOKUP($E233,'Recipients REF'!$B:$B,'Recipients REF'!D:D,"",0)</f>
        <v>#N/A</v>
      </c>
      <c r="K233" s="42" t="str">
        <f t="array" ref="K233">XLOOKUP($E233,'Recipients REF'!$B:$B,'Recipients REF'!E:E,"",0)</f>
        <v>#N/A</v>
      </c>
      <c r="L233" s="43" t="str">
        <f t="array" ref="L233">XLOOKUP($A233,'Recipients REF'!$A:$A,'Recipients REF'!F:F,"",0)</f>
        <v>RCEF 23-09-21 Rebidding</v>
      </c>
      <c r="M233" s="43">
        <f t="array" ref="M233">XLOOKUP($A233,'Recipients REF'!$A:$A,'Recipients REF'!G:G,"",0)</f>
        <v>2</v>
      </c>
      <c r="N233" s="43">
        <f t="array" ref="N233">XLOOKUP($A233,'Recipients REF'!$A:$A,'Recipients REF'!H:H,"",0)</f>
        <v>17406</v>
      </c>
      <c r="O233" s="44" t="s">
        <v>25</v>
      </c>
      <c r="P233" s="45" t="s">
        <v>26</v>
      </c>
      <c r="Q233" s="46" t="str">
        <f t="array" ref="Q233">XLOOKUP($A233,'Recipients REF'!$A:$A,'Recipients REF'!I:I,"",0)</f>
        <v>KMC5825 ALPFPV0006</v>
      </c>
      <c r="R233" s="47" t="str">
        <f t="array" ref="R233">XLOOKUP($A233,'Recipients REF'!$A:$A,'Recipients REF'!J:J,"",0)</f>
        <v>RTS 100007</v>
      </c>
      <c r="S233" s="45" t="s">
        <v>27</v>
      </c>
      <c r="T233" s="45" t="s">
        <v>28</v>
      </c>
      <c r="U233" s="46" t="str">
        <f t="array" ref="U233">XLOOKUP($A233,'Recipients REF'!$A:$A,'Recipients REF'!K:K,"",0)</f>
        <v>HL 22R009</v>
      </c>
      <c r="V233" s="44" t="s">
        <v>29</v>
      </c>
      <c r="W233" s="45" t="s">
        <v>30</v>
      </c>
      <c r="X233" s="47" t="str">
        <f t="array" ref="X233">XLOOKUP($A233,'Recipients REF'!$A:$A,'Recipients REF'!L:L,"",0)</f>
        <v>LSGW -1750 -RMP- 24010209</v>
      </c>
      <c r="Y233" s="48" t="s">
        <v>29</v>
      </c>
      <c r="Z233" s="48" t="s">
        <v>31</v>
      </c>
      <c r="AA233" s="46" t="str">
        <f t="array" ref="AA233">XLOOKUP($A233,'Recipients REF'!$A:$A,'Recipients REF'!M:M,"",0)</f>
        <v>WDP 0021</v>
      </c>
      <c r="AB233" s="49"/>
      <c r="AC233" s="42"/>
      <c r="AD233" s="42"/>
      <c r="AE233" s="50"/>
      <c r="AF233" s="42"/>
      <c r="AG233" s="42"/>
      <c r="AH233" s="42"/>
      <c r="AI233" s="42" t="str">
        <f t="array" ref="AI233">XLOOKUP($E233,Sheet11!$D:$D,Sheet11!$X:$X,"",0)</f>
        <v/>
      </c>
      <c r="AJ233" s="42" t="str">
        <f t="array" ref="AJ233">XLOOKUP($E233,Sheet11!$D:$D,Sheet11!$Y:$Y,"",0)</f>
        <v/>
      </c>
    </row>
    <row r="234">
      <c r="A234" s="41">
        <v>309.0</v>
      </c>
      <c r="B234" s="42" t="s">
        <v>460</v>
      </c>
      <c r="C234" s="42" t="s">
        <v>461</v>
      </c>
      <c r="D234" s="42"/>
      <c r="E234" s="42" t="str">
        <f t="shared" ref="E234:F234" si="235">PROPER(B234)</f>
        <v>Lang-Ayan Agrarian Reform Farmers Association Inc.</v>
      </c>
      <c r="F234" s="42" t="str">
        <f t="shared" si="235"/>
        <v>Lang-Ayan-Baramban, Currimao, Ilocos Norte</v>
      </c>
      <c r="G234" s="42" t="str">
        <f t="shared" si="3"/>
        <v>Lang-Ayan-Baramban</v>
      </c>
      <c r="H234" s="42" t="str">
        <f t="shared" si="4"/>
        <v>Currimao</v>
      </c>
      <c r="I234" s="42" t="str">
        <f t="shared" si="5"/>
        <v>Ilocos Norte</v>
      </c>
      <c r="J234" s="42" t="str">
        <f t="array" ref="J234">XLOOKUP($E234,'Recipients REF'!$B:$B,'Recipients REF'!D:D,"",0)</f>
        <v>Edison S. Yamongan</v>
      </c>
      <c r="K234" s="42" t="str">
        <f t="array" ref="K234">XLOOKUP($E234,'Recipients REF'!$B:$B,'Recipients REF'!E:E,"",0)</f>
        <v>0930-894-4463</v>
      </c>
      <c r="L234" s="43" t="str">
        <f t="array" ref="L234">XLOOKUP($A234,'Recipients REF'!$A:$A,'Recipients REF'!F:F,"",0)</f>
        <v>RCEF 23-09-21 Rebidding</v>
      </c>
      <c r="M234" s="43">
        <f t="array" ref="M234">XLOOKUP($A234,'Recipients REF'!$A:$A,'Recipients REF'!G:G,"",0)</f>
        <v>9</v>
      </c>
      <c r="N234" s="43">
        <f t="array" ref="N234">XLOOKUP($A234,'Recipients REF'!$A:$A,'Recipients REF'!H:H,"",0)</f>
        <v>18944</v>
      </c>
      <c r="O234" s="44" t="s">
        <v>25</v>
      </c>
      <c r="P234" s="45" t="s">
        <v>26</v>
      </c>
      <c r="Q234" s="46" t="str">
        <f t="array" ref="Q234">XLOOKUP($A234,'Recipients REF'!$A:$A,'Recipients REF'!I:I,"",0)</f>
        <v>KMC5825 AVRFPV0152</v>
      </c>
      <c r="R234" s="47" t="str">
        <f t="array" ref="R234">XLOOKUP($A234,'Recipients REF'!$A:$A,'Recipients REF'!J:J,"",0)</f>
        <v>RTS 100079</v>
      </c>
      <c r="S234" s="45" t="s">
        <v>27</v>
      </c>
      <c r="T234" s="45" t="s">
        <v>28</v>
      </c>
      <c r="U234" s="46" t="str">
        <f t="array" ref="U234">XLOOKUP($A234,'Recipients REF'!$A:$A,'Recipients REF'!K:K,"",0)</f>
        <v>R SERIES 712 PH</v>
      </c>
      <c r="V234" s="44" t="s">
        <v>29</v>
      </c>
      <c r="W234" s="45" t="s">
        <v>30</v>
      </c>
      <c r="X234" s="47" t="str">
        <f t="array" ref="X234">XLOOKUP($A234,'Recipients REF'!$A:$A,'Recipients REF'!L:L,"",0)</f>
        <v>LSGW1750 RMP 24010199</v>
      </c>
      <c r="Y234" s="48" t="s">
        <v>29</v>
      </c>
      <c r="Z234" s="48" t="s">
        <v>31</v>
      </c>
      <c r="AA234" s="46" t="str">
        <f t="array" ref="AA234">XLOOKUP($A234,'Recipients REF'!$A:$A,'Recipients REF'!M:M,"",0)</f>
        <v>WDP 40 RMP 24010049</v>
      </c>
      <c r="AB234" s="49"/>
      <c r="AC234" s="42"/>
      <c r="AD234" s="42"/>
      <c r="AE234" s="50"/>
      <c r="AF234" s="42"/>
      <c r="AG234" s="42"/>
      <c r="AH234" s="42"/>
      <c r="AI234" s="42">
        <f t="array" ref="AI234">XLOOKUP($E234,Sheet11!$D:$D,Sheet11!$X:$X,"",0)</f>
        <v>869066060245850</v>
      </c>
      <c r="AJ234" s="42">
        <f t="array" ref="AJ234">XLOOKUP($E234,Sheet11!$D:$D,Sheet11!$Y:$Y,"",0)</f>
        <v>9624248219</v>
      </c>
    </row>
    <row r="235">
      <c r="A235" s="41">
        <v>310.0</v>
      </c>
      <c r="B235" s="42" t="s">
        <v>462</v>
      </c>
      <c r="C235" s="42" t="s">
        <v>463</v>
      </c>
      <c r="D235" s="42"/>
      <c r="E235" s="42" t="str">
        <f t="shared" ref="E235:F235" si="236">PROPER(B235)</f>
        <v>Burayoc Linglingay Farmers Association Inc.</v>
      </c>
      <c r="F235" s="42" t="str">
        <f t="shared" si="236"/>
        <v>Burayoc, Pagudpud, Ilocos Norte</v>
      </c>
      <c r="G235" s="42" t="str">
        <f t="shared" si="3"/>
        <v>Burayoc</v>
      </c>
      <c r="H235" s="42" t="str">
        <f t="shared" si="4"/>
        <v>Pagudpud</v>
      </c>
      <c r="I235" s="42" t="str">
        <f t="shared" si="5"/>
        <v>Ilocos Norte</v>
      </c>
      <c r="J235" s="42" t="str">
        <f t="array" ref="J235">XLOOKUP($E235,'Recipients REF'!$B:$B,'Recipients REF'!D:D,"",0)</f>
        <v>Alejandro Aviles</v>
      </c>
      <c r="K235" s="42" t="str">
        <f t="array" ref="K235">XLOOKUP($E235,'Recipients REF'!$B:$B,'Recipients REF'!E:E,"",0)</f>
        <v>0929-824-3865</v>
      </c>
      <c r="L235" s="43" t="str">
        <f t="array" ref="L235">XLOOKUP($A235,'Recipients REF'!$A:$A,'Recipients REF'!F:F,"",0)</f>
        <v>RCEF 23-09-21 Rebidding</v>
      </c>
      <c r="M235" s="43">
        <f t="array" ref="M235">XLOOKUP($A235,'Recipients REF'!$A:$A,'Recipients REF'!G:G,"",0)</f>
        <v>2</v>
      </c>
      <c r="N235" s="43">
        <f t="array" ref="N235">XLOOKUP($A235,'Recipients REF'!$A:$A,'Recipients REF'!H:H,"",0)</f>
        <v>18948</v>
      </c>
      <c r="O235" s="44" t="s">
        <v>25</v>
      </c>
      <c r="P235" s="45" t="s">
        <v>26</v>
      </c>
      <c r="Q235" s="46" t="str">
        <f t="array" ref="Q235">XLOOKUP($A235,'Recipients REF'!$A:$A,'Recipients REF'!I:I,"",0)</f>
        <v>KMC5825 AHRFPV0219</v>
      </c>
      <c r="R235" s="47" t="str">
        <f t="array" ref="R235">XLOOKUP($A235,'Recipients REF'!$A:$A,'Recipients REF'!J:J,"",0)</f>
        <v>RTS 100038</v>
      </c>
      <c r="S235" s="45" t="s">
        <v>27</v>
      </c>
      <c r="T235" s="45" t="s">
        <v>28</v>
      </c>
      <c r="U235" s="46" t="str">
        <f t="array" ref="U235">XLOOKUP($A235,'Recipients REF'!$A:$A,'Recipients REF'!K:K,"",0)</f>
        <v>WR SERIES 727 PH</v>
      </c>
      <c r="V235" s="44" t="s">
        <v>29</v>
      </c>
      <c r="W235" s="45" t="s">
        <v>30</v>
      </c>
      <c r="X235" s="47" t="str">
        <f t="array" ref="X235">XLOOKUP($A235,'Recipients REF'!$A:$A,'Recipients REF'!L:L,"",0)</f>
        <v>LSGW1750 RMP 24010212</v>
      </c>
      <c r="Y235" s="48" t="s">
        <v>29</v>
      </c>
      <c r="Z235" s="48" t="s">
        <v>31</v>
      </c>
      <c r="AA235" s="46" t="str">
        <f t="array" ref="AA235">XLOOKUP($A235,'Recipients REF'!$A:$A,'Recipients REF'!M:M,"",0)</f>
        <v>WDP40 RMP 24010067</v>
      </c>
      <c r="AB235" s="49"/>
      <c r="AC235" s="42"/>
      <c r="AD235" s="42"/>
      <c r="AE235" s="50"/>
      <c r="AF235" s="42"/>
      <c r="AG235" s="42"/>
      <c r="AH235" s="42"/>
      <c r="AI235" s="42">
        <f t="array" ref="AI235">XLOOKUP($E235,Sheet11!$D:$D,Sheet11!$X:$X,"",0)</f>
        <v>869066060244234</v>
      </c>
      <c r="AJ235" s="42">
        <f t="array" ref="AJ235">XLOOKUP($E235,Sheet11!$D:$D,Sheet11!$Y:$Y,"",0)</f>
        <v>9624247751</v>
      </c>
    </row>
    <row r="236">
      <c r="A236" s="41">
        <v>311.0</v>
      </c>
      <c r="B236" s="42" t="s">
        <v>464</v>
      </c>
      <c r="C236" s="42" t="s">
        <v>465</v>
      </c>
      <c r="D236" s="42"/>
      <c r="E236" s="42" t="str">
        <f t="shared" ref="E236:F236" si="237">PROPER(B236)</f>
        <v>Brgy. Maab-Abaca Irrigators Association Inc.</v>
      </c>
      <c r="F236" s="42" t="str">
        <f t="shared" si="237"/>
        <v>Maab-Abaca, Piddig, Ilocos Norte</v>
      </c>
      <c r="G236" s="42" t="str">
        <f t="shared" si="3"/>
        <v>Maab-Abaca</v>
      </c>
      <c r="H236" s="42" t="str">
        <f t="shared" si="4"/>
        <v>Piddig</v>
      </c>
      <c r="I236" s="42" t="str">
        <f t="shared" si="5"/>
        <v>Ilocos Norte</v>
      </c>
      <c r="J236" s="42" t="str">
        <f t="array" ref="J236">XLOOKUP($E236,'Recipients REF'!$B:$B,'Recipients REF'!D:D,"",0)</f>
        <v>Florentino Soriano Jr.</v>
      </c>
      <c r="K236" s="42" t="str">
        <f t="array" ref="K236">XLOOKUP($E236,'Recipients REF'!$B:$B,'Recipients REF'!E:E,"",0)</f>
        <v>0945-459-1334/0963-993-4898</v>
      </c>
      <c r="L236" s="43" t="str">
        <f t="array" ref="L236">XLOOKUP($A236,'Recipients REF'!$A:$A,'Recipients REF'!F:F,"",0)</f>
        <v>RCEF 23-09-21 Rebidding</v>
      </c>
      <c r="M236" s="43">
        <f t="array" ref="M236">XLOOKUP($A236,'Recipients REF'!$A:$A,'Recipients REF'!G:G,"",0)</f>
        <v>2</v>
      </c>
      <c r="N236" s="43">
        <f t="array" ref="N236">XLOOKUP($A236,'Recipients REF'!$A:$A,'Recipients REF'!H:H,"",0)</f>
        <v>18950</v>
      </c>
      <c r="O236" s="44" t="s">
        <v>25</v>
      </c>
      <c r="P236" s="45" t="s">
        <v>26</v>
      </c>
      <c r="Q236" s="46" t="str">
        <f t="array" ref="Q236">XLOOKUP($A236,'Recipients REF'!$A:$A,'Recipients REF'!I:I,"",0)</f>
        <v>KMC5825 APRFPV0243</v>
      </c>
      <c r="R236" s="47" t="str">
        <f t="array" ref="R236">XLOOKUP($A236,'Recipients REF'!$A:$A,'Recipients REF'!J:J,"",0)</f>
        <v>PTS 100152</v>
      </c>
      <c r="S236" s="45" t="s">
        <v>27</v>
      </c>
      <c r="T236" s="45" t="s">
        <v>28</v>
      </c>
      <c r="U236" s="46" t="str">
        <f t="array" ref="U236">XLOOKUP($A236,'Recipients REF'!$A:$A,'Recipients REF'!K:K,"",0)</f>
        <v>WR SERIES 729 PH</v>
      </c>
      <c r="V236" s="44" t="s">
        <v>29</v>
      </c>
      <c r="W236" s="45" t="s">
        <v>30</v>
      </c>
      <c r="X236" s="47" t="str">
        <f t="array" ref="X236">XLOOKUP($A236,'Recipients REF'!$A:$A,'Recipients REF'!L:L,"",0)</f>
        <v>LSGW1750 RMP 24010200</v>
      </c>
      <c r="Y236" s="48" t="s">
        <v>29</v>
      </c>
      <c r="Z236" s="48" t="s">
        <v>31</v>
      </c>
      <c r="AA236" s="46" t="str">
        <f t="array" ref="AA236">XLOOKUP($A236,'Recipients REF'!$A:$A,'Recipients REF'!M:M,"",0)</f>
        <v>WDP40 RMP 24010065</v>
      </c>
      <c r="AB236" s="49"/>
      <c r="AC236" s="42"/>
      <c r="AD236" s="42"/>
      <c r="AE236" s="50"/>
      <c r="AF236" s="42"/>
      <c r="AG236" s="42"/>
      <c r="AH236" s="42"/>
      <c r="AI236" s="42">
        <f t="array" ref="AI236">XLOOKUP($E236,Sheet11!$D:$D,Sheet11!$X:$X,"",0)</f>
        <v>869066060245660</v>
      </c>
      <c r="AJ236" s="42">
        <f t="array" ref="AJ236">XLOOKUP($E236,Sheet11!$D:$D,Sheet11!$Y:$Y,"",0)</f>
        <v>92624247745</v>
      </c>
    </row>
    <row r="237">
      <c r="A237" s="41">
        <v>312.0</v>
      </c>
      <c r="B237" s="42" t="s">
        <v>466</v>
      </c>
      <c r="C237" s="42" t="s">
        <v>467</v>
      </c>
      <c r="D237" s="42"/>
      <c r="E237" s="42" t="str">
        <f t="shared" ref="E237:F237" si="238">PROPER(B237)</f>
        <v>Baro A Rimat Farmers Association Inc</v>
      </c>
      <c r="F237" s="42" t="str">
        <f t="shared" si="238"/>
        <v>Pagsanahan Sur, Badoc, Ilocos Norte</v>
      </c>
      <c r="G237" s="42" t="str">
        <f t="shared" si="3"/>
        <v>Pagsanahan Sur</v>
      </c>
      <c r="H237" s="42" t="str">
        <f t="shared" si="4"/>
        <v>Badoc</v>
      </c>
      <c r="I237" s="42" t="str">
        <f t="shared" si="5"/>
        <v>Ilocos Norte</v>
      </c>
      <c r="J237" s="42" t="str">
        <f t="array" ref="J237">XLOOKUP($E237,'Recipients REF'!$B:$B,'Recipients REF'!D:D,"",0)</f>
        <v>#N/A</v>
      </c>
      <c r="K237" s="42" t="str">
        <f t="array" ref="K237">XLOOKUP($E237,'Recipients REF'!$B:$B,'Recipients REF'!E:E,"",0)</f>
        <v>#N/A</v>
      </c>
      <c r="L237" s="43" t="str">
        <f t="array" ref="L237">XLOOKUP($A237,'Recipients REF'!$A:$A,'Recipients REF'!F:F,"",0)</f>
        <v>RCEF 23-09-21 Rebidding</v>
      </c>
      <c r="M237" s="43">
        <f t="array" ref="M237">XLOOKUP($A237,'Recipients REF'!$A:$A,'Recipients REF'!G:G,"",0)</f>
        <v>2</v>
      </c>
      <c r="N237" s="43">
        <f t="array" ref="N237">XLOOKUP($A237,'Recipients REF'!$A:$A,'Recipients REF'!H:H,"",0)</f>
        <v>18951</v>
      </c>
      <c r="O237" s="44" t="s">
        <v>25</v>
      </c>
      <c r="P237" s="45" t="s">
        <v>26</v>
      </c>
      <c r="Q237" s="46" t="str">
        <f t="array" ref="Q237">XLOOKUP($A237,'Recipients REF'!$A:$A,'Recipients REF'!I:I,"",0)</f>
        <v>KMC5825 ALRFPV0333</v>
      </c>
      <c r="R237" s="47" t="str">
        <f t="array" ref="R237">XLOOKUP($A237,'Recipients REF'!$A:$A,'Recipients REF'!J:J,"",0)</f>
        <v>RTS 100162</v>
      </c>
      <c r="S237" s="45" t="s">
        <v>27</v>
      </c>
      <c r="T237" s="45" t="s">
        <v>28</v>
      </c>
      <c r="U237" s="46" t="str">
        <f t="array" ref="U237">XLOOKUP($A237,'Recipients REF'!$A:$A,'Recipients REF'!K:K,"",0)</f>
        <v>WR SERIES 710 PH</v>
      </c>
      <c r="V237" s="44" t="s">
        <v>29</v>
      </c>
      <c r="W237" s="45" t="s">
        <v>30</v>
      </c>
      <c r="X237" s="47" t="str">
        <f t="array" ref="X237">XLOOKUP($A237,'Recipients REF'!$A:$A,'Recipients REF'!L:L,"",0)</f>
        <v>LSGW1750 RMP 24010206</v>
      </c>
      <c r="Y237" s="48" t="s">
        <v>29</v>
      </c>
      <c r="Z237" s="48" t="s">
        <v>31</v>
      </c>
      <c r="AA237" s="46" t="str">
        <f t="array" ref="AA237">XLOOKUP($A237,'Recipients REF'!$A:$A,'Recipients REF'!M:M,"",0)</f>
        <v>WDP40 RMP 24010119</v>
      </c>
      <c r="AB237" s="49"/>
      <c r="AC237" s="42"/>
      <c r="AD237" s="42"/>
      <c r="AE237" s="50"/>
      <c r="AF237" s="42"/>
      <c r="AG237" s="42"/>
      <c r="AH237" s="42"/>
      <c r="AI237" s="42" t="str">
        <f t="array" ref="AI237">XLOOKUP($E237,Sheet11!$D:$D,Sheet11!$X:$X,"",0)</f>
        <v/>
      </c>
      <c r="AJ237" s="42" t="str">
        <f t="array" ref="AJ237">XLOOKUP($E237,Sheet11!$D:$D,Sheet11!$Y:$Y,"",0)</f>
        <v/>
      </c>
    </row>
    <row r="238">
      <c r="A238" s="41">
        <v>313.0</v>
      </c>
      <c r="B238" s="42" t="s">
        <v>468</v>
      </c>
      <c r="C238" s="42" t="s">
        <v>469</v>
      </c>
      <c r="D238" s="42"/>
      <c r="E238" s="42" t="str">
        <f t="shared" ref="E238:F238" si="239">PROPER(B238)</f>
        <v>Mangapit Mabuti Farmers Association Inc.</v>
      </c>
      <c r="F238" s="42" t="str">
        <f t="shared" si="239"/>
        <v>Mabuti, Marcos, Ilocos Norte</v>
      </c>
      <c r="G238" s="42" t="str">
        <f t="shared" si="3"/>
        <v>Mabuti</v>
      </c>
      <c r="H238" s="42" t="str">
        <f t="shared" si="4"/>
        <v>Marcos</v>
      </c>
      <c r="I238" s="42" t="str">
        <f t="shared" si="5"/>
        <v>Ilocos Norte</v>
      </c>
      <c r="J238" s="42" t="str">
        <f t="array" ref="J238">XLOOKUP($E238,'Recipients REF'!$B:$B,'Recipients REF'!D:D,"",0)</f>
        <v>Desiderio M. Valencia</v>
      </c>
      <c r="K238" s="42" t="str">
        <f t="array" ref="K238">XLOOKUP($E238,'Recipients REF'!$B:$B,'Recipients REF'!E:E,"",0)</f>
        <v>0966-820-3277</v>
      </c>
      <c r="L238" s="43" t="str">
        <f t="array" ref="L238">XLOOKUP($A238,'Recipients REF'!$A:$A,'Recipients REF'!F:F,"",0)</f>
        <v>RCEF 23-09-21 Rebidding</v>
      </c>
      <c r="M238" s="43">
        <f t="array" ref="M238">XLOOKUP($A238,'Recipients REF'!$A:$A,'Recipients REF'!G:G,"",0)</f>
        <v>2</v>
      </c>
      <c r="N238" s="43">
        <f t="array" ref="N238">XLOOKUP($A238,'Recipients REF'!$A:$A,'Recipients REF'!H:H,"",0)</f>
        <v>18952</v>
      </c>
      <c r="O238" s="44" t="s">
        <v>25</v>
      </c>
      <c r="P238" s="45" t="s">
        <v>26</v>
      </c>
      <c r="Q238" s="46" t="str">
        <f t="array" ref="Q238">XLOOKUP($A238,'Recipients REF'!$A:$A,'Recipients REF'!I:I,"",0)</f>
        <v>KMC5825 ALRFPV0316</v>
      </c>
      <c r="R238" s="47" t="str">
        <f t="array" ref="R238">XLOOKUP($A238,'Recipients REF'!$A:$A,'Recipients REF'!J:J,"",0)</f>
        <v>PTS 100208</v>
      </c>
      <c r="S238" s="45" t="s">
        <v>27</v>
      </c>
      <c r="T238" s="45" t="s">
        <v>28</v>
      </c>
      <c r="U238" s="46" t="str">
        <f t="array" ref="U238">XLOOKUP($A238,'Recipients REF'!$A:$A,'Recipients REF'!K:K,"",0)</f>
        <v>R-SERIES 728 PH</v>
      </c>
      <c r="V238" s="44" t="s">
        <v>29</v>
      </c>
      <c r="W238" s="45" t="s">
        <v>30</v>
      </c>
      <c r="X238" s="47" t="str">
        <f t="array" ref="X238">XLOOKUP($A238,'Recipients REF'!$A:$A,'Recipients REF'!L:L,"",0)</f>
        <v>LSGW1750 RMP 24010204</v>
      </c>
      <c r="Y238" s="48" t="s">
        <v>29</v>
      </c>
      <c r="Z238" s="48" t="s">
        <v>31</v>
      </c>
      <c r="AA238" s="46" t="str">
        <f t="array" ref="AA238">XLOOKUP($A238,'Recipients REF'!$A:$A,'Recipients REF'!M:M,"",0)</f>
        <v>WDP40 RMP 24010047</v>
      </c>
      <c r="AB238" s="49"/>
      <c r="AC238" s="42"/>
      <c r="AD238" s="42"/>
      <c r="AE238" s="50"/>
      <c r="AF238" s="42"/>
      <c r="AG238" s="42"/>
      <c r="AH238" s="42"/>
      <c r="AI238" s="42">
        <f t="array" ref="AI238">XLOOKUP($E238,Sheet11!$D:$D,Sheet11!$X:$X,"",0)</f>
        <v>869066060241826</v>
      </c>
      <c r="AJ238" s="42">
        <f t="array" ref="AJ238">XLOOKUP($E238,Sheet11!$D:$D,Sheet11!$Y:$Y,"",0)</f>
        <v>9624248234</v>
      </c>
    </row>
    <row r="239">
      <c r="A239" s="41">
        <v>314.0</v>
      </c>
      <c r="B239" s="42" t="s">
        <v>470</v>
      </c>
      <c r="C239" s="42" t="s">
        <v>471</v>
      </c>
      <c r="D239" s="42"/>
      <c r="E239" s="42" t="str">
        <f t="shared" ref="E239:F239" si="240">PROPER(B239)</f>
        <v>Salangsang Sto. Niño Farmers Association Inc.</v>
      </c>
      <c r="F239" s="42" t="str">
        <f t="shared" si="240"/>
        <v>Santo Niño, Nueva Era, Ilocos Norte</v>
      </c>
      <c r="G239" s="42" t="str">
        <f t="shared" si="3"/>
        <v>Santo Niño</v>
      </c>
      <c r="H239" s="42" t="str">
        <f t="shared" si="4"/>
        <v>Nueva Era</v>
      </c>
      <c r="I239" s="42" t="str">
        <f t="shared" si="5"/>
        <v>Ilocos Norte</v>
      </c>
      <c r="J239" s="42" t="str">
        <f t="array" ref="J239">XLOOKUP($E239,'Recipients REF'!$B:$B,'Recipients REF'!D:D,"",0)</f>
        <v>Marcos Aguilar</v>
      </c>
      <c r="K239" s="42" t="str">
        <f t="array" ref="K239">XLOOKUP($E239,'Recipients REF'!$B:$B,'Recipients REF'!E:E,"",0)</f>
        <v>0966-640-0469</v>
      </c>
      <c r="L239" s="43" t="str">
        <f t="array" ref="L239">XLOOKUP($A239,'Recipients REF'!$A:$A,'Recipients REF'!F:F,"",0)</f>
        <v>RCEF 23-09-21 Rebidding</v>
      </c>
      <c r="M239" s="43">
        <f t="array" ref="M239">XLOOKUP($A239,'Recipients REF'!$A:$A,'Recipients REF'!G:G,"",0)</f>
        <v>2</v>
      </c>
      <c r="N239" s="43">
        <f t="array" ref="N239">XLOOKUP($A239,'Recipients REF'!$A:$A,'Recipients REF'!H:H,"",0)</f>
        <v>18953</v>
      </c>
      <c r="O239" s="44" t="s">
        <v>25</v>
      </c>
      <c r="P239" s="45" t="s">
        <v>26</v>
      </c>
      <c r="Q239" s="46" t="str">
        <f t="array" ref="Q239">XLOOKUP($A239,'Recipients REF'!$A:$A,'Recipients REF'!I:I,"",0)</f>
        <v>KMC5825 ATRFPV0290</v>
      </c>
      <c r="R239" s="47" t="str">
        <f t="array" ref="R239">XLOOKUP($A239,'Recipients REF'!$A:$A,'Recipients REF'!J:J,"",0)</f>
        <v>RTS 100113</v>
      </c>
      <c r="S239" s="45" t="s">
        <v>27</v>
      </c>
      <c r="T239" s="45" t="s">
        <v>28</v>
      </c>
      <c r="U239" s="46" t="str">
        <f t="array" ref="U239">XLOOKUP($A239,'Recipients REF'!$A:$A,'Recipients REF'!K:K,"",0)</f>
        <v>WR SERIES 722 PH</v>
      </c>
      <c r="V239" s="44" t="s">
        <v>29</v>
      </c>
      <c r="W239" s="45" t="s">
        <v>30</v>
      </c>
      <c r="X239" s="47" t="str">
        <f t="array" ref="X239">XLOOKUP($A239,'Recipients REF'!$A:$A,'Recipients REF'!L:L,"",0)</f>
        <v>LSGW1750 RMP 2401017</v>
      </c>
      <c r="Y239" s="48" t="s">
        <v>29</v>
      </c>
      <c r="Z239" s="48" t="s">
        <v>31</v>
      </c>
      <c r="AA239" s="46" t="str">
        <f t="array" ref="AA239">XLOOKUP($A239,'Recipients REF'!$A:$A,'Recipients REF'!M:M,"",0)</f>
        <v>WDP40 RMP 24010152</v>
      </c>
      <c r="AB239" s="49"/>
      <c r="AC239" s="42"/>
      <c r="AD239" s="42"/>
      <c r="AE239" s="50"/>
      <c r="AF239" s="42"/>
      <c r="AG239" s="42"/>
      <c r="AH239" s="42"/>
      <c r="AI239" s="42">
        <f t="array" ref="AI239">XLOOKUP($E239,Sheet11!$D:$D,Sheet11!$X:$X,"",0)</f>
        <v>869066060245108</v>
      </c>
      <c r="AJ239" s="42">
        <f t="array" ref="AJ239">XLOOKUP($E239,Sheet11!$D:$D,Sheet11!$Y:$Y,"",0)</f>
        <v>9624248232</v>
      </c>
    </row>
    <row r="240">
      <c r="A240" s="41">
        <v>315.0</v>
      </c>
      <c r="B240" s="42" t="s">
        <v>472</v>
      </c>
      <c r="C240" s="42" t="s">
        <v>473</v>
      </c>
      <c r="D240" s="42"/>
      <c r="E240" s="42" t="str">
        <f t="shared" ref="E240:F240" si="241">PROPER(B240)</f>
        <v>Linang Farmers Agriculture Cooperative</v>
      </c>
      <c r="F240" s="42" t="str">
        <f t="shared" si="241"/>
        <v>Cabagoan, Paoay, Ilocos Norte</v>
      </c>
      <c r="G240" s="42" t="str">
        <f t="shared" si="3"/>
        <v>Cabagoan</v>
      </c>
      <c r="H240" s="42" t="str">
        <f t="shared" si="4"/>
        <v>Paoay</v>
      </c>
      <c r="I240" s="42" t="str">
        <f t="shared" si="5"/>
        <v>Ilocos Norte</v>
      </c>
      <c r="J240" s="42" t="str">
        <f t="array" ref="J240">XLOOKUP($E240,'Recipients REF'!$B:$B,'Recipients REF'!D:D,"",0)</f>
        <v>Ronald Lutap</v>
      </c>
      <c r="K240" s="42" t="str">
        <f t="array" ref="K240">XLOOKUP($E240,'Recipients REF'!$B:$B,'Recipients REF'!E:E,"",0)</f>
        <v>0906-286-9495</v>
      </c>
      <c r="L240" s="43" t="str">
        <f t="array" ref="L240">XLOOKUP($A240,'Recipients REF'!$A:$A,'Recipients REF'!F:F,"",0)</f>
        <v>RCEF 23-09-21 Rebidding</v>
      </c>
      <c r="M240" s="43">
        <f t="array" ref="M240">XLOOKUP($A240,'Recipients REF'!$A:$A,'Recipients REF'!G:G,"",0)</f>
        <v>2</v>
      </c>
      <c r="N240" s="43">
        <f t="array" ref="N240">XLOOKUP($A240,'Recipients REF'!$A:$A,'Recipients REF'!H:H,"",0)</f>
        <v>18954</v>
      </c>
      <c r="O240" s="44" t="s">
        <v>25</v>
      </c>
      <c r="P240" s="45" t="s">
        <v>26</v>
      </c>
      <c r="Q240" s="46" t="str">
        <f t="array" ref="Q240">XLOOKUP($A240,'Recipients REF'!$A:$A,'Recipients REF'!I:I,"",0)</f>
        <v>KMC5825 APRFPV0128</v>
      </c>
      <c r="R240" s="47" t="str">
        <f t="array" ref="R240">XLOOKUP($A240,'Recipients REF'!$A:$A,'Recipients REF'!J:J,"",0)</f>
        <v>PTS 100260</v>
      </c>
      <c r="S240" s="45" t="s">
        <v>27</v>
      </c>
      <c r="T240" s="45" t="s">
        <v>28</v>
      </c>
      <c r="U240" s="46" t="str">
        <f t="array" ref="U240">XLOOKUP($A240,'Recipients REF'!$A:$A,'Recipients REF'!K:K,"",0)</f>
        <v>WR SERIES 721 PH</v>
      </c>
      <c r="V240" s="44" t="s">
        <v>29</v>
      </c>
      <c r="W240" s="45" t="s">
        <v>30</v>
      </c>
      <c r="X240" s="47" t="str">
        <f t="array" ref="X240">XLOOKUP($A240,'Recipients REF'!$A:$A,'Recipients REF'!L:L,"",0)</f>
        <v>LSGW1750 RMP 24010201</v>
      </c>
      <c r="Y240" s="48" t="s">
        <v>29</v>
      </c>
      <c r="Z240" s="48" t="s">
        <v>31</v>
      </c>
      <c r="AA240" s="46" t="str">
        <f t="array" ref="AA240">XLOOKUP($A240,'Recipients REF'!$A:$A,'Recipients REF'!M:M,"",0)</f>
        <v>WDP40 RMP 24010064</v>
      </c>
      <c r="AB240" s="49"/>
      <c r="AC240" s="42"/>
      <c r="AD240" s="42"/>
      <c r="AE240" s="50"/>
      <c r="AF240" s="42"/>
      <c r="AG240" s="42"/>
      <c r="AH240" s="42"/>
      <c r="AI240" s="42" t="str">
        <f t="array" ref="AI240">XLOOKUP($E240,Sheet11!$D:$D,Sheet11!$X:$X,"",0)</f>
        <v/>
      </c>
      <c r="AJ240" s="42" t="str">
        <f t="array" ref="AJ240">XLOOKUP($E240,Sheet11!$D:$D,Sheet11!$Y:$Y,"",0)</f>
        <v/>
      </c>
    </row>
    <row r="241">
      <c r="A241" s="41">
        <v>469.0</v>
      </c>
      <c r="B241" s="42" t="s">
        <v>474</v>
      </c>
      <c r="C241" s="42" t="s">
        <v>475</v>
      </c>
      <c r="D241" s="42"/>
      <c r="E241" s="42" t="str">
        <f t="shared" ref="E241:F241" si="242">PROPER(B241)</f>
        <v>Pardok Irrigators Association Inc.</v>
      </c>
      <c r="F241" s="42" t="str">
        <f t="shared" si="242"/>
        <v>Poblooacion, Burgos, Ilocos Norte</v>
      </c>
      <c r="G241" s="42" t="str">
        <f t="shared" si="3"/>
        <v>Poblooacion</v>
      </c>
      <c r="H241" s="42" t="str">
        <f t="shared" si="4"/>
        <v>Burgos</v>
      </c>
      <c r="I241" s="42" t="str">
        <f t="shared" si="5"/>
        <v>Ilocos Norte</v>
      </c>
      <c r="J241" s="42" t="str">
        <f t="array" ref="J241">XLOOKUP($E241,'Recipients REF'!$B:$B,'Recipients REF'!D:D,"",0)</f>
        <v>Carmelo P. Cagaoan Jr.</v>
      </c>
      <c r="K241" s="42" t="str">
        <f t="array" ref="K241">XLOOKUP($E241,'Recipients REF'!$B:$B,'Recipients REF'!E:E,"",0)</f>
        <v>0963-517-3603</v>
      </c>
      <c r="L241" s="43" t="str">
        <f t="array" ref="L241">XLOOKUP($A241,'Recipients REF'!$A:$A,'Recipients REF'!F:F,"",0)</f>
        <v>RCEF 23-09-21 Rebidding</v>
      </c>
      <c r="M241" s="43">
        <f t="array" ref="M241">XLOOKUP($A241,'Recipients REF'!$A:$A,'Recipients REF'!G:G,"",0)</f>
        <v>2</v>
      </c>
      <c r="N241" s="43">
        <f t="array" ref="N241">XLOOKUP($A241,'Recipients REF'!$A:$A,'Recipients REF'!H:H,"",0)</f>
        <v>19479</v>
      </c>
      <c r="O241" s="44" t="s">
        <v>25</v>
      </c>
      <c r="P241" s="45" t="s">
        <v>26</v>
      </c>
      <c r="Q241" s="46" t="str">
        <f t="array" ref="Q241">XLOOKUP($A241,'Recipients REF'!$A:$A,'Recipients REF'!I:I,"",0)</f>
        <v>KMC5825AKRFPV0731</v>
      </c>
      <c r="R241" s="47" t="str">
        <f t="array" ref="R241">XLOOKUP($A241,'Recipients REF'!$A:$A,'Recipients REF'!J:J,"",0)</f>
        <v>RTS100591</v>
      </c>
      <c r="S241" s="45" t="s">
        <v>27</v>
      </c>
      <c r="T241" s="45" t="s">
        <v>28</v>
      </c>
      <c r="U241" s="46" t="str">
        <f t="array" ref="U241">XLOOKUP($A241,'Recipients REF'!$A:$A,'Recipients REF'!K:K,"",0)</f>
        <v>R-SERIES 922</v>
      </c>
      <c r="V241" s="44" t="s">
        <v>29</v>
      </c>
      <c r="W241" s="45" t="s">
        <v>30</v>
      </c>
      <c r="X241" s="47" t="str">
        <f t="array" ref="X241">XLOOKUP($A241,'Recipients REF'!$A:$A,'Recipients REF'!L:L,"",0)</f>
        <v>LSGW1750-RMP-240140109</v>
      </c>
      <c r="Y241" s="48" t="s">
        <v>29</v>
      </c>
      <c r="Z241" s="48" t="s">
        <v>31</v>
      </c>
      <c r="AA241" s="46" t="str">
        <f t="array" ref="AA241">XLOOKUP($A241,'Recipients REF'!$A:$A,'Recipients REF'!M:M,"",0)</f>
        <v>WDSP40-RMP-24050614</v>
      </c>
      <c r="AB241" s="49"/>
      <c r="AC241" s="42"/>
      <c r="AD241" s="42"/>
      <c r="AE241" s="51"/>
      <c r="AF241" s="52"/>
      <c r="AG241" s="42"/>
      <c r="AH241" s="42"/>
      <c r="AI241" s="42" t="str">
        <f t="array" ref="AI241">XLOOKUP($E241,Sheet11!$D:$D,Sheet11!$X:$X,"",0)</f>
        <v/>
      </c>
      <c r="AJ241" s="42" t="str">
        <f t="array" ref="AJ241">XLOOKUP($E241,Sheet11!$D:$D,Sheet11!$Y:$Y,"",0)</f>
        <v/>
      </c>
    </row>
    <row r="242">
      <c r="A242" s="41">
        <v>470.0</v>
      </c>
      <c r="B242" s="42" t="s">
        <v>476</v>
      </c>
      <c r="C242" s="42" t="s">
        <v>477</v>
      </c>
      <c r="D242" s="42"/>
      <c r="E242" s="42" t="str">
        <f t="shared" ref="E242:F242" si="243">PROPER(B242)</f>
        <v>Bangar Burobor Farmers Association, Inc.</v>
      </c>
      <c r="F242" s="42" t="str">
        <f t="shared" si="243"/>
        <v>San Pedro, Sarrat, Ilocos Norte</v>
      </c>
      <c r="G242" s="42" t="str">
        <f t="shared" si="3"/>
        <v>San Pedro</v>
      </c>
      <c r="H242" s="42" t="str">
        <f t="shared" si="4"/>
        <v>Sarrat</v>
      </c>
      <c r="I242" s="42" t="str">
        <f t="shared" si="5"/>
        <v>Ilocos Norte</v>
      </c>
      <c r="J242" s="42" t="str">
        <f t="array" ref="J242">XLOOKUP($E242,'Recipients REF'!$B:$B,'Recipients REF'!D:D,"",0)</f>
        <v>Wilson R. Viado</v>
      </c>
      <c r="K242" s="42" t="str">
        <f t="array" ref="K242">XLOOKUP($E242,'Recipients REF'!$B:$B,'Recipients REF'!E:E,"",0)</f>
        <v>0966-358-1591</v>
      </c>
      <c r="L242" s="43" t="str">
        <f t="array" ref="L242">XLOOKUP($A242,'Recipients REF'!$A:$A,'Recipients REF'!F:F,"",0)</f>
        <v>RCEF 23-09-21 Rebidding</v>
      </c>
      <c r="M242" s="43">
        <f t="array" ref="M242">XLOOKUP($A242,'Recipients REF'!$A:$A,'Recipients REF'!G:G,"",0)</f>
        <v>2</v>
      </c>
      <c r="N242" s="43">
        <f t="array" ref="N242">XLOOKUP($A242,'Recipients REF'!$A:$A,'Recipients REF'!H:H,"",0)</f>
        <v>19480</v>
      </c>
      <c r="O242" s="44" t="s">
        <v>25</v>
      </c>
      <c r="P242" s="45" t="s">
        <v>26</v>
      </c>
      <c r="Q242" s="46" t="str">
        <f t="array" ref="Q242">XLOOKUP($A242,'Recipients REF'!$A:$A,'Recipients REF'!I:I,"",0)</f>
        <v>KMC5825AVRFPV0684</v>
      </c>
      <c r="R242" s="47" t="str">
        <f t="array" ref="R242">XLOOKUP($A242,'Recipients REF'!$A:$A,'Recipients REF'!J:J,"",0)</f>
        <v>RTS100552</v>
      </c>
      <c r="S242" s="45" t="s">
        <v>27</v>
      </c>
      <c r="T242" s="45" t="s">
        <v>28</v>
      </c>
      <c r="U242" s="46" t="str">
        <f t="array" ref="U242">XLOOKUP($A242,'Recipients REF'!$A:$A,'Recipients REF'!K:K,"",0)</f>
        <v>R-SERIES 904</v>
      </c>
      <c r="V242" s="44" t="s">
        <v>29</v>
      </c>
      <c r="W242" s="45" t="s">
        <v>30</v>
      </c>
      <c r="X242" s="47" t="str">
        <f t="array" ref="X242">XLOOKUP($A242,'Recipients REF'!$A:$A,'Recipients REF'!L:L,"",0)</f>
        <v>LSGW1750-RMP-24010198</v>
      </c>
      <c r="Y242" s="48" t="s">
        <v>29</v>
      </c>
      <c r="Z242" s="48" t="s">
        <v>31</v>
      </c>
      <c r="AA242" s="46" t="str">
        <f t="array" ref="AA242">XLOOKUP($A242,'Recipients REF'!$A:$A,'Recipients REF'!M:M,"",0)</f>
        <v>WDP40-RMP-24050615</v>
      </c>
      <c r="AB242" s="49"/>
      <c r="AC242" s="42"/>
      <c r="AD242" s="42"/>
      <c r="AE242" s="50"/>
      <c r="AF242" s="42"/>
      <c r="AG242" s="42"/>
      <c r="AH242" s="42"/>
      <c r="AI242" s="42">
        <f t="array" ref="AI242">XLOOKUP($E242,Sheet11!$D:$D,Sheet11!$X:$X,"",0)</f>
        <v>869066060237741</v>
      </c>
      <c r="AJ242" s="42">
        <f t="array" ref="AJ242">XLOOKUP($E242,Sheet11!$D:$D,Sheet11!$Y:$Y,"",0)</f>
        <v>9625154636</v>
      </c>
    </row>
    <row r="243">
      <c r="A243" s="41">
        <v>471.0</v>
      </c>
      <c r="B243" s="42" t="s">
        <v>478</v>
      </c>
      <c r="C243" s="42" t="s">
        <v>479</v>
      </c>
      <c r="D243" s="42"/>
      <c r="E243" s="42" t="str">
        <f t="shared" ref="E243:F243" si="244">PROPER(B243)</f>
        <v>Bagnos Multi Purpose Cooperative</v>
      </c>
      <c r="F243" s="42" t="str">
        <f t="shared" si="244"/>
        <v>,Binacag Banna (Espiritu), Ilocos Norte</v>
      </c>
      <c r="G243" s="42" t="str">
        <f t="shared" si="3"/>
        <v/>
      </c>
      <c r="H243" s="42" t="str">
        <f t="shared" si="4"/>
        <v>Binacag Banna (Espiritu)</v>
      </c>
      <c r="I243" s="42" t="str">
        <f t="shared" si="5"/>
        <v>Ilocos Norte</v>
      </c>
      <c r="J243" s="42" t="str">
        <f t="array" ref="J243">XLOOKUP($E243,'Recipients REF'!$B:$B,'Recipients REF'!D:D,"",0)</f>
        <v>Maribel G. Rosquita</v>
      </c>
      <c r="K243" s="42" t="str">
        <f t="array" ref="K243">XLOOKUP($E243,'Recipients REF'!$B:$B,'Recipients REF'!E:E,"",0)</f>
        <v>0928-620-5270</v>
      </c>
      <c r="L243" s="43" t="str">
        <f t="array" ref="L243">XLOOKUP($A243,'Recipients REF'!$A:$A,'Recipients REF'!F:F,"",0)</f>
        <v>RCEF 23-09-21 Rebidding</v>
      </c>
      <c r="M243" s="43">
        <f t="array" ref="M243">XLOOKUP($A243,'Recipients REF'!$A:$A,'Recipients REF'!G:G,"",0)</f>
        <v>2</v>
      </c>
      <c r="N243" s="43">
        <f t="array" ref="N243">XLOOKUP($A243,'Recipients REF'!$A:$A,'Recipients REF'!H:H,"",0)</f>
        <v>19481</v>
      </c>
      <c r="O243" s="44" t="s">
        <v>25</v>
      </c>
      <c r="P243" s="45" t="s">
        <v>26</v>
      </c>
      <c r="Q243" s="46" t="str">
        <f t="array" ref="Q243">XLOOKUP($A243,'Recipients REF'!$A:$A,'Recipients REF'!I:I,"",0)</f>
        <v>KMC5825AHRFPV0656</v>
      </c>
      <c r="R243" s="47" t="str">
        <f t="array" ref="R243">XLOOKUP($A243,'Recipients REF'!$A:$A,'Recipients REF'!J:J,"",0)</f>
        <v>RTS100535</v>
      </c>
      <c r="S243" s="45" t="s">
        <v>27</v>
      </c>
      <c r="T243" s="45" t="s">
        <v>28</v>
      </c>
      <c r="U243" s="46" t="str">
        <f t="array" ref="U243">XLOOKUP($A243,'Recipients REF'!$A:$A,'Recipients REF'!K:K,"",0)</f>
        <v>R-SERIES 952</v>
      </c>
      <c r="V243" s="44" t="s">
        <v>29</v>
      </c>
      <c r="W243" s="45" t="s">
        <v>30</v>
      </c>
      <c r="X243" s="47" t="str">
        <f t="array" ref="X243">XLOOKUP($A243,'Recipients REF'!$A:$A,'Recipients REF'!L:L,"",0)</f>
        <v>LSGW1750-RMP-24010098</v>
      </c>
      <c r="Y243" s="48" t="s">
        <v>29</v>
      </c>
      <c r="Z243" s="48" t="s">
        <v>31</v>
      </c>
      <c r="AA243" s="46" t="str">
        <f t="array" ref="AA243">XLOOKUP($A243,'Recipients REF'!$A:$A,'Recipients REF'!M:M,"",0)</f>
        <v>WDP40-RMP-240580634</v>
      </c>
      <c r="AB243" s="49"/>
      <c r="AC243" s="42"/>
      <c r="AD243" s="42"/>
      <c r="AE243" s="50"/>
      <c r="AF243" s="42"/>
      <c r="AG243" s="42"/>
      <c r="AH243" s="42"/>
      <c r="AI243" s="42">
        <f t="array" ref="AI243">XLOOKUP($E243,Sheet11!$D:$D,Sheet11!$X:$X,"",0)</f>
        <v>869066060246288</v>
      </c>
      <c r="AJ243" s="42">
        <f t="array" ref="AJ243">XLOOKUP($E243,Sheet11!$D:$D,Sheet11!$Y:$Y,"",0)</f>
        <v>9625154634</v>
      </c>
    </row>
    <row r="244">
      <c r="A244" s="41">
        <v>472.0</v>
      </c>
      <c r="B244" s="42" t="s">
        <v>480</v>
      </c>
      <c r="C244" s="42" t="s">
        <v>481</v>
      </c>
      <c r="D244" s="42"/>
      <c r="E244" s="42" t="str">
        <f t="shared" ref="E244:F244" si="245">PROPER(B244)</f>
        <v>United San Juan South Farmers Association Inc.</v>
      </c>
      <c r="F244" s="42" t="str">
        <f t="shared" si="245"/>
        <v>San Juan, Solsona, Ilocos Norte</v>
      </c>
      <c r="G244" s="42" t="str">
        <f t="shared" si="3"/>
        <v>San Juan</v>
      </c>
      <c r="H244" s="42" t="str">
        <f t="shared" si="4"/>
        <v>Solsona</v>
      </c>
      <c r="I244" s="42" t="str">
        <f t="shared" si="5"/>
        <v>Ilocos Norte</v>
      </c>
      <c r="J244" s="42" t="str">
        <f t="array" ref="J244">XLOOKUP($E244,'Recipients REF'!$B:$B,'Recipients REF'!D:D,"",0)</f>
        <v>Loreto A. Coloma</v>
      </c>
      <c r="K244" s="42" t="str">
        <f t="array" ref="K244">XLOOKUP($E244,'Recipients REF'!$B:$B,'Recipients REF'!E:E,"",0)</f>
        <v>0927-245-7511</v>
      </c>
      <c r="L244" s="43" t="str">
        <f t="array" ref="L244">XLOOKUP($A244,'Recipients REF'!$A:$A,'Recipients REF'!F:F,"",0)</f>
        <v>RCEF 23-09-21 Rebidding</v>
      </c>
      <c r="M244" s="43">
        <f t="array" ref="M244">XLOOKUP($A244,'Recipients REF'!$A:$A,'Recipients REF'!G:G,"",0)</f>
        <v>2</v>
      </c>
      <c r="N244" s="43">
        <f t="array" ref="N244">XLOOKUP($A244,'Recipients REF'!$A:$A,'Recipients REF'!H:H,"",0)</f>
        <v>19482</v>
      </c>
      <c r="O244" s="44" t="s">
        <v>25</v>
      </c>
      <c r="P244" s="45" t="s">
        <v>26</v>
      </c>
      <c r="Q244" s="46" t="str">
        <f t="array" ref="Q244">XLOOKUP($A244,'Recipients REF'!$A:$A,'Recipients REF'!I:I,"",0)</f>
        <v>KMC5825APRFPV0713</v>
      </c>
      <c r="R244" s="47" t="str">
        <f t="array" ref="R244">XLOOKUP($A244,'Recipients REF'!$A:$A,'Recipients REF'!J:J,"",0)</f>
        <v>RTS100613</v>
      </c>
      <c r="S244" s="45" t="s">
        <v>27</v>
      </c>
      <c r="T244" s="45" t="s">
        <v>28</v>
      </c>
      <c r="U244" s="46" t="str">
        <f t="array" ref="U244">XLOOKUP($A244,'Recipients REF'!$A:$A,'Recipients REF'!K:K,"",0)</f>
        <v>R-SERIES 899</v>
      </c>
      <c r="V244" s="44" t="s">
        <v>29</v>
      </c>
      <c r="W244" s="45" t="s">
        <v>30</v>
      </c>
      <c r="X244" s="47" t="str">
        <f t="array" ref="X244">XLOOKUP($A244,'Recipients REF'!$A:$A,'Recipients REF'!L:L,"",0)</f>
        <v>LSGW1750-RMP-24040205</v>
      </c>
      <c r="Y244" s="48" t="s">
        <v>29</v>
      </c>
      <c r="Z244" s="48" t="s">
        <v>31</v>
      </c>
      <c r="AA244" s="46" t="str">
        <f t="array" ref="AA244">XLOOKUP($A244,'Recipients REF'!$A:$A,'Recipients REF'!M:M,"",0)</f>
        <v>WDP40-RMP-24050613</v>
      </c>
      <c r="AB244" s="49"/>
      <c r="AC244" s="42"/>
      <c r="AD244" s="42"/>
      <c r="AE244" s="51"/>
      <c r="AF244" s="52"/>
      <c r="AG244" s="42"/>
      <c r="AH244" s="42"/>
      <c r="AI244" s="42">
        <f t="array" ref="AI244">XLOOKUP($E244,Sheet11!$D:$D,Sheet11!$X:$X,"",0)</f>
        <v>869066060246361</v>
      </c>
      <c r="AJ244" s="42">
        <f t="array" ref="AJ244">XLOOKUP($E244,Sheet11!$D:$D,Sheet11!$Y:$Y,"",0)</f>
        <v>9625056144</v>
      </c>
    </row>
    <row r="245">
      <c r="A245" s="41">
        <v>479.0</v>
      </c>
      <c r="B245" s="42" t="s">
        <v>482</v>
      </c>
      <c r="C245" s="42" t="s">
        <v>483</v>
      </c>
      <c r="D245" s="42"/>
      <c r="E245" s="42" t="str">
        <f t="shared" ref="E245:F245" si="246">PROPER(B245)</f>
        <v>Nueva Era Papa North Irrigators Association Inc.</v>
      </c>
      <c r="F245" s="42" t="str">
        <f t="shared" si="246"/>
        <v>Poblacion, Nueva Era, Ilocos Norte</v>
      </c>
      <c r="G245" s="42" t="str">
        <f t="shared" si="3"/>
        <v>Poblacion</v>
      </c>
      <c r="H245" s="42" t="str">
        <f t="shared" si="4"/>
        <v>Nueva Era</v>
      </c>
      <c r="I245" s="42" t="str">
        <f t="shared" si="5"/>
        <v>Ilocos Norte</v>
      </c>
      <c r="J245" s="42" t="str">
        <f t="array" ref="J245">XLOOKUP($E245,'Recipients REF'!$B:$B,'Recipients REF'!D:D,"",0)</f>
        <v>Rufino D. Corpuz</v>
      </c>
      <c r="K245" s="42" t="str">
        <f t="array" ref="K245">XLOOKUP($E245,'Recipients REF'!$B:$B,'Recipients REF'!E:E,"",0)</f>
        <v>0930-137-0534</v>
      </c>
      <c r="L245" s="43" t="str">
        <f t="array" ref="L245">XLOOKUP($A245,'Recipients REF'!$A:$A,'Recipients REF'!F:F,"",0)</f>
        <v>RCEF 23-09-21 Rebidding</v>
      </c>
      <c r="M245" s="43">
        <f t="array" ref="M245">XLOOKUP($A245,'Recipients REF'!$A:$A,'Recipients REF'!G:G,"",0)</f>
        <v>9</v>
      </c>
      <c r="N245" s="43">
        <f t="array" ref="N245">XLOOKUP($A245,'Recipients REF'!$A:$A,'Recipients REF'!H:H,"",0)</f>
        <v>188945</v>
      </c>
      <c r="O245" s="44" t="s">
        <v>25</v>
      </c>
      <c r="P245" s="45" t="s">
        <v>26</v>
      </c>
      <c r="Q245" s="46" t="str">
        <f t="array" ref="Q245">XLOOKUP($A245,'Recipients REF'!$A:$A,'Recipients REF'!I:I,"",0)</f>
        <v>KMC5825 AHRFPV038</v>
      </c>
      <c r="R245" s="47" t="str">
        <f t="array" ref="R245">XLOOKUP($A245,'Recipients REF'!$A:$A,'Recipients REF'!J:J,"",0)</f>
        <v>RTS 100239</v>
      </c>
      <c r="S245" s="45" t="s">
        <v>27</v>
      </c>
      <c r="T245" s="45" t="s">
        <v>28</v>
      </c>
      <c r="U245" s="46" t="str">
        <f t="array" ref="U245">XLOOKUP($A245,'Recipients REF'!$A:$A,'Recipients REF'!K:K,"",0)</f>
        <v>R SERIES 708 PH</v>
      </c>
      <c r="V245" s="44" t="s">
        <v>29</v>
      </c>
      <c r="W245" s="45" t="s">
        <v>30</v>
      </c>
      <c r="X245" s="47" t="str">
        <f t="array" ref="X245">XLOOKUP($A245,'Recipients REF'!$A:$A,'Recipients REF'!L:L,"",0)</f>
        <v>LSGW1750 RMP 24010202</v>
      </c>
      <c r="Y245" s="48" t="s">
        <v>29</v>
      </c>
      <c r="Z245" s="48" t="s">
        <v>31</v>
      </c>
      <c r="AA245" s="46" t="str">
        <f t="array" ref="AA245">XLOOKUP($A245,'Recipients REF'!$A:$A,'Recipients REF'!M:M,"",0)</f>
        <v>WDP 40 RMP 24010053</v>
      </c>
      <c r="AB245" s="49"/>
      <c r="AC245" s="42"/>
      <c r="AD245" s="42"/>
      <c r="AE245" s="50"/>
      <c r="AF245" s="42"/>
      <c r="AG245" s="42"/>
      <c r="AH245" s="42"/>
      <c r="AI245" s="42">
        <f t="array" ref="AI245">XLOOKUP($E245,Sheet11!$D:$D,Sheet11!$X:$X,"",0)</f>
        <v>869066060244226</v>
      </c>
      <c r="AJ245" s="42">
        <f t="array" ref="AJ245">XLOOKUP($E245,Sheet11!$D:$D,Sheet11!$Y:$Y,"",0)</f>
        <v>9624247749</v>
      </c>
    </row>
    <row r="246">
      <c r="A246" s="41">
        <v>316.0</v>
      </c>
      <c r="B246" s="42" t="s">
        <v>484</v>
      </c>
      <c r="C246" s="42" t="s">
        <v>485</v>
      </c>
      <c r="D246" s="42"/>
      <c r="E246" s="42" t="str">
        <f t="shared" ref="E246:F246" si="247">PROPER(B246)</f>
        <v>Metro Daligan Irrigators Association</v>
      </c>
      <c r="F246" s="42" t="str">
        <f t="shared" si="247"/>
        <v>Daligan, Santa Cruz, Ilocos Sur</v>
      </c>
      <c r="G246" s="42" t="str">
        <f t="shared" si="3"/>
        <v>Daligan</v>
      </c>
      <c r="H246" s="42" t="str">
        <f t="shared" si="4"/>
        <v>Santa Cruz</v>
      </c>
      <c r="I246" s="42" t="str">
        <f t="shared" si="5"/>
        <v>Ilocos Sur</v>
      </c>
      <c r="J246" s="42" t="str">
        <f t="array" ref="J246">XLOOKUP($E246,'Recipients REF'!$B:$B,'Recipients REF'!D:D,"",0)</f>
        <v>EDWIN JANDOC</v>
      </c>
      <c r="K246" s="42" t="str">
        <f t="array" ref="K246">XLOOKUP($E246,'Recipients REF'!$B:$B,'Recipients REF'!E:E,"",0)</f>
        <v>0956-052-4008</v>
      </c>
      <c r="L246" s="43" t="str">
        <f t="array" ref="L246">XLOOKUP($A246,'Recipients REF'!$A:$A,'Recipients REF'!F:F,"",0)</f>
        <v>RCEF 23-09-21 Rebidding</v>
      </c>
      <c r="M246" s="43">
        <f t="array" ref="M246">XLOOKUP($A246,'Recipients REF'!$A:$A,'Recipients REF'!G:G,"",0)</f>
        <v>9</v>
      </c>
      <c r="N246" s="43">
        <f t="array" ref="N246">XLOOKUP($A246,'Recipients REF'!$A:$A,'Recipients REF'!H:H,"",0)</f>
        <v>18955</v>
      </c>
      <c r="O246" s="44" t="s">
        <v>25</v>
      </c>
      <c r="P246" s="45" t="s">
        <v>26</v>
      </c>
      <c r="Q246" s="46" t="str">
        <f t="array" ref="Q246">XLOOKUP($A246,'Recipients REF'!$A:$A,'Recipients REF'!I:I,"",0)</f>
        <v>KMC5825 ACRFPV0403</v>
      </c>
      <c r="R246" s="47" t="str">
        <f t="array" ref="R246">XLOOKUP($A246,'Recipients REF'!$A:$A,'Recipients REF'!J:J,"",0)</f>
        <v>RTS100317</v>
      </c>
      <c r="S246" s="45" t="s">
        <v>27</v>
      </c>
      <c r="T246" s="45" t="s">
        <v>28</v>
      </c>
      <c r="U246" s="46" t="str">
        <f t="array" ref="U246">XLOOKUP($A246,'Recipients REF'!$A:$A,'Recipients REF'!K:K,"",0)</f>
        <v>R-SERIES 366 PH</v>
      </c>
      <c r="V246" s="44" t="s">
        <v>29</v>
      </c>
      <c r="W246" s="45" t="s">
        <v>30</v>
      </c>
      <c r="X246" s="47" t="str">
        <f t="array" ref="X246">XLOOKUP($A246,'Recipients REF'!$A:$A,'Recipients REF'!L:L,"",0)</f>
        <v>LSGW1750 RMP 24020440</v>
      </c>
      <c r="Y246" s="48" t="s">
        <v>29</v>
      </c>
      <c r="Z246" s="48" t="s">
        <v>31</v>
      </c>
      <c r="AA246" s="46" t="str">
        <f t="array" ref="AA246">XLOOKUP($A246,'Recipients REF'!$A:$A,'Recipients REF'!M:M,"",0)</f>
        <v>WDP40 RMP 24030368</v>
      </c>
      <c r="AB246" s="49"/>
      <c r="AC246" s="42"/>
      <c r="AD246" s="42"/>
      <c r="AE246" s="51"/>
      <c r="AF246" s="52"/>
      <c r="AG246" s="42"/>
      <c r="AH246" s="42"/>
      <c r="AI246" s="42" t="str">
        <f t="array" ref="AI246">XLOOKUP($E246,Sheet11!$D:$D,Sheet11!$X:$X,"",0)</f>
        <v/>
      </c>
      <c r="AJ246" s="42" t="str">
        <f t="array" ref="AJ246">XLOOKUP($E246,Sheet11!$D:$D,Sheet11!$Y:$Y,"",0)</f>
        <v/>
      </c>
    </row>
    <row r="247">
      <c r="A247" s="41">
        <v>317.0</v>
      </c>
      <c r="B247" s="42" t="s">
        <v>486</v>
      </c>
      <c r="C247" s="42" t="s">
        <v>487</v>
      </c>
      <c r="D247" s="42"/>
      <c r="E247" s="42" t="str">
        <f t="shared" ref="E247:F247" si="248">PROPER(B247)</f>
        <v>Suyo Sta. Cruz Farmers Association Inc.</v>
      </c>
      <c r="F247" s="42" t="str">
        <f t="shared" si="248"/>
        <v>Suyo, Santa Cruz, Ilocos Sur</v>
      </c>
      <c r="G247" s="42" t="str">
        <f t="shared" si="3"/>
        <v>Suyo</v>
      </c>
      <c r="H247" s="42" t="str">
        <f t="shared" si="4"/>
        <v>Santa Cruz</v>
      </c>
      <c r="I247" s="42" t="str">
        <f t="shared" si="5"/>
        <v>Ilocos Sur</v>
      </c>
      <c r="J247" s="42" t="str">
        <f t="array" ref="J247">XLOOKUP($E247,'Recipients REF'!$B:$B,'Recipients REF'!D:D,"",0)</f>
        <v>JAMES TEJADA</v>
      </c>
      <c r="K247" s="42" t="str">
        <f t="array" ref="K247">XLOOKUP($E247,'Recipients REF'!$B:$B,'Recipients REF'!E:E,"",0)</f>
        <v>0950-952-3742</v>
      </c>
      <c r="L247" s="43" t="str">
        <f t="array" ref="L247">XLOOKUP($A247,'Recipients REF'!$A:$A,'Recipients REF'!F:F,"",0)</f>
        <v>RCEF 23-09-21 Rebidding</v>
      </c>
      <c r="M247" s="43">
        <f t="array" ref="M247">XLOOKUP($A247,'Recipients REF'!$A:$A,'Recipients REF'!G:G,"",0)</f>
        <v>9</v>
      </c>
      <c r="N247" s="43">
        <f t="array" ref="N247">XLOOKUP($A247,'Recipients REF'!$A:$A,'Recipients REF'!H:H,"",0)</f>
        <v>18956</v>
      </c>
      <c r="O247" s="44" t="s">
        <v>25</v>
      </c>
      <c r="P247" s="45" t="s">
        <v>26</v>
      </c>
      <c r="Q247" s="46" t="str">
        <f t="array" ref="Q247">XLOOKUP($A247,'Recipients REF'!$A:$A,'Recipients REF'!I:I,"",0)</f>
        <v>KMC5825 AHRFPV0513</v>
      </c>
      <c r="R247" s="47" t="str">
        <f t="array" ref="R247">XLOOKUP($A247,'Recipients REF'!$A:$A,'Recipients REF'!J:J,"",0)</f>
        <v>RTS100426</v>
      </c>
      <c r="S247" s="45" t="s">
        <v>27</v>
      </c>
      <c r="T247" s="45" t="s">
        <v>28</v>
      </c>
      <c r="U247" s="46" t="str">
        <f t="array" ref="U247">XLOOKUP($A247,'Recipients REF'!$A:$A,'Recipients REF'!K:K,"",0)</f>
        <v>R-SERIES 364 PH</v>
      </c>
      <c r="V247" s="44" t="s">
        <v>29</v>
      </c>
      <c r="W247" s="45" t="s">
        <v>30</v>
      </c>
      <c r="X247" s="47" t="str">
        <f t="array" ref="X247">XLOOKUP($A247,'Recipients REF'!$A:$A,'Recipients REF'!L:L,"",0)</f>
        <v>LSGW1750 RMP 24020408</v>
      </c>
      <c r="Y247" s="48" t="s">
        <v>29</v>
      </c>
      <c r="Z247" s="48" t="s">
        <v>31</v>
      </c>
      <c r="AA247" s="46" t="str">
        <f t="array" ref="AA247">XLOOKUP($A247,'Recipients REF'!$A:$A,'Recipients REF'!M:M,"",0)</f>
        <v>WDP40 RMP 24010066</v>
      </c>
      <c r="AB247" s="49"/>
      <c r="AC247" s="42"/>
      <c r="AD247" s="42"/>
      <c r="AE247" s="50"/>
      <c r="AF247" s="42"/>
      <c r="AG247" s="42"/>
      <c r="AH247" s="42"/>
      <c r="AI247" s="42" t="str">
        <f t="array" ref="AI247">XLOOKUP($E247,Sheet11!$D:$D,Sheet11!$X:$X,"",0)</f>
        <v/>
      </c>
      <c r="AJ247" s="42" t="str">
        <f t="array" ref="AJ247">XLOOKUP($E247,Sheet11!$D:$D,Sheet11!$Y:$Y,"",0)</f>
        <v/>
      </c>
    </row>
    <row r="248">
      <c r="A248" s="41">
        <v>318.0</v>
      </c>
      <c r="B248" s="42" t="s">
        <v>488</v>
      </c>
      <c r="C248" s="42" t="s">
        <v>489</v>
      </c>
      <c r="D248" s="42"/>
      <c r="E248" s="42" t="str">
        <f t="shared" ref="E248:F248" si="249">PROPER(B248)</f>
        <v>Cuantacla Farmers Association Inc.</v>
      </c>
      <c r="F248" s="42" t="str">
        <f t="shared" si="249"/>
        <v>Cuantacla, Cabugao, Ilocos Sur</v>
      </c>
      <c r="G248" s="42" t="str">
        <f t="shared" si="3"/>
        <v>Cuantacla</v>
      </c>
      <c r="H248" s="42" t="str">
        <f t="shared" si="4"/>
        <v>Cabugao</v>
      </c>
      <c r="I248" s="42" t="str">
        <f t="shared" si="5"/>
        <v>Ilocos Sur</v>
      </c>
      <c r="J248" s="42" t="str">
        <f t="array" ref="J248">XLOOKUP($E248,'Recipients REF'!$B:$B,'Recipients REF'!D:D,"",0)</f>
        <v>Rusvel J. Palpal-latoc</v>
      </c>
      <c r="K248" s="42" t="str">
        <f t="array" ref="K248">XLOOKUP($E248,'Recipients REF'!$B:$B,'Recipients REF'!E:E,"",0)</f>
        <v>0995-464-6517</v>
      </c>
      <c r="L248" s="43" t="str">
        <f t="array" ref="L248">XLOOKUP($A248,'Recipients REF'!$A:$A,'Recipients REF'!F:F,"",0)</f>
        <v>RCEF 23-09-21 Rebidding</v>
      </c>
      <c r="M248" s="43">
        <f t="array" ref="M248">XLOOKUP($A248,'Recipients REF'!$A:$A,'Recipients REF'!G:G,"",0)</f>
        <v>2</v>
      </c>
      <c r="N248" s="43">
        <f t="array" ref="N248">XLOOKUP($A248,'Recipients REF'!$A:$A,'Recipients REF'!H:H,"",0)</f>
        <v>18957</v>
      </c>
      <c r="O248" s="44" t="s">
        <v>25</v>
      </c>
      <c r="P248" s="45" t="s">
        <v>26</v>
      </c>
      <c r="Q248" s="46" t="str">
        <f t="array" ref="Q248">XLOOKUP($A248,'Recipients REF'!$A:$A,'Recipients REF'!I:I,"",0)</f>
        <v>KMC5825 ATRFPV0760</v>
      </c>
      <c r="R248" s="47" t="str">
        <f t="array" ref="R248">XLOOKUP($A248,'Recipients REF'!$A:$A,'Recipients REF'!J:J,"",0)</f>
        <v>RTS 100479</v>
      </c>
      <c r="S248" s="45" t="s">
        <v>27</v>
      </c>
      <c r="T248" s="45" t="s">
        <v>28</v>
      </c>
      <c r="U248" s="46" t="str">
        <f t="array" ref="U248">XLOOKUP($A248,'Recipients REF'!$A:$A,'Recipients REF'!K:K,"",0)</f>
        <v>R-SERIES 794 PH</v>
      </c>
      <c r="V248" s="44" t="s">
        <v>29</v>
      </c>
      <c r="W248" s="45" t="s">
        <v>30</v>
      </c>
      <c r="X248" s="47" t="str">
        <f t="array" ref="X248">XLOOKUP($A248,'Recipients REF'!$A:$A,'Recipients REF'!L:L,"",0)</f>
        <v>LSGW -1750 -RMP- 24010122</v>
      </c>
      <c r="Y248" s="48" t="s">
        <v>29</v>
      </c>
      <c r="Z248" s="48" t="s">
        <v>31</v>
      </c>
      <c r="AA248" s="46" t="str">
        <f t="array" ref="AA248">XLOOKUP($A248,'Recipients REF'!$A:$A,'Recipients REF'!M:M,"",0)</f>
        <v>WDP40 - RMP - 24050558</v>
      </c>
      <c r="AB248" s="49"/>
      <c r="AC248" s="42"/>
      <c r="AD248" s="42"/>
      <c r="AE248" s="51"/>
      <c r="AF248" s="52"/>
      <c r="AG248" s="42"/>
      <c r="AH248" s="42"/>
      <c r="AI248" s="42" t="str">
        <f t="array" ref="AI248">XLOOKUP($E248,Sheet11!$D:$D,Sheet11!$X:$X,"",0)</f>
        <v/>
      </c>
      <c r="AJ248" s="42" t="str">
        <f t="array" ref="AJ248">XLOOKUP($E248,Sheet11!$D:$D,Sheet11!$Y:$Y,"",0)</f>
        <v/>
      </c>
    </row>
    <row r="249">
      <c r="A249" s="41">
        <v>319.0</v>
      </c>
      <c r="B249" s="42" t="s">
        <v>490</v>
      </c>
      <c r="C249" s="42" t="s">
        <v>491</v>
      </c>
      <c r="D249" s="42"/>
      <c r="E249" s="42" t="str">
        <f t="shared" ref="E249:F249" si="250">PROPER(B249)</f>
        <v>Free Farmers Multi Purpose Cooperative</v>
      </c>
      <c r="F249" s="42" t="str">
        <f t="shared" si="250"/>
        <v>Sayagaden, Cabugao, Ilocos Sur</v>
      </c>
      <c r="G249" s="42" t="str">
        <f t="shared" si="3"/>
        <v>Sayagaden</v>
      </c>
      <c r="H249" s="42" t="str">
        <f t="shared" si="4"/>
        <v>Cabugao</v>
      </c>
      <c r="I249" s="42" t="str">
        <f t="shared" si="5"/>
        <v>Ilocos Sur</v>
      </c>
      <c r="J249" s="42" t="str">
        <f t="array" ref="J249">XLOOKUP($E249,'Recipients REF'!$B:$B,'Recipients REF'!D:D,"",0)</f>
        <v>Benedicto Satumba</v>
      </c>
      <c r="K249" s="42" t="str">
        <f t="array" ref="K249">XLOOKUP($E249,'Recipients REF'!$B:$B,'Recipients REF'!E:E,"",0)</f>
        <v>0997 780 8595</v>
      </c>
      <c r="L249" s="43" t="str">
        <f t="array" ref="L249">XLOOKUP($A249,'Recipients REF'!$A:$A,'Recipients REF'!F:F,"",0)</f>
        <v>RCEF 23-09-21 Rebidding</v>
      </c>
      <c r="M249" s="43">
        <f t="array" ref="M249">XLOOKUP($A249,'Recipients REF'!$A:$A,'Recipients REF'!G:G,"",0)</f>
        <v>2</v>
      </c>
      <c r="N249" s="43">
        <f t="array" ref="N249">XLOOKUP($A249,'Recipients REF'!$A:$A,'Recipients REF'!H:H,"",0)</f>
        <v>18958</v>
      </c>
      <c r="O249" s="44" t="s">
        <v>25</v>
      </c>
      <c r="P249" s="45" t="s">
        <v>26</v>
      </c>
      <c r="Q249" s="46" t="str">
        <f t="array" ref="Q249">XLOOKUP($A249,'Recipients REF'!$A:$A,'Recipients REF'!I:I,"",0)</f>
        <v>KMC5825AVRFPV0653</v>
      </c>
      <c r="R249" s="47" t="str">
        <f t="array" ref="R249">XLOOKUP($A249,'Recipients REF'!$A:$A,'Recipients REF'!J:J,"",0)</f>
        <v>RTS100540</v>
      </c>
      <c r="S249" s="45" t="s">
        <v>27</v>
      </c>
      <c r="T249" s="45" t="s">
        <v>28</v>
      </c>
      <c r="U249" s="46" t="str">
        <f t="array" ref="U249">XLOOKUP($A249,'Recipients REF'!$A:$A,'Recipients REF'!K:K,"",0)</f>
        <v>R-SERIES 803 PH</v>
      </c>
      <c r="V249" s="44" t="s">
        <v>29</v>
      </c>
      <c r="W249" s="45" t="s">
        <v>30</v>
      </c>
      <c r="X249" s="47" t="str">
        <f t="array" ref="X249">XLOOKUP($A249,'Recipients REF'!$A:$A,'Recipients REF'!L:L,"",0)</f>
        <v>LSGW-1750-RMP-24010120</v>
      </c>
      <c r="Y249" s="48" t="s">
        <v>29</v>
      </c>
      <c r="Z249" s="48" t="s">
        <v>31</v>
      </c>
      <c r="AA249" s="46" t="str">
        <f t="array" ref="AA249">XLOOKUP($A249,'Recipients REF'!$A:$A,'Recipients REF'!M:M,"",0)</f>
        <v>WDP40 RMP 24050616</v>
      </c>
      <c r="AB249" s="49"/>
      <c r="AC249" s="42"/>
      <c r="AD249" s="42"/>
      <c r="AE249" s="50"/>
      <c r="AF249" s="42"/>
      <c r="AG249" s="42"/>
      <c r="AH249" s="42"/>
      <c r="AI249" s="42" t="str">
        <f t="array" ref="AI249">XLOOKUP($E249,Sheet11!$D:$D,Sheet11!$X:$X,"",0)</f>
        <v/>
      </c>
      <c r="AJ249" s="42" t="str">
        <f t="array" ref="AJ249">XLOOKUP($E249,Sheet11!$D:$D,Sheet11!$Y:$Y,"",0)</f>
        <v/>
      </c>
    </row>
    <row r="250">
      <c r="A250" s="41">
        <v>320.0</v>
      </c>
      <c r="B250" s="42" t="s">
        <v>492</v>
      </c>
      <c r="C250" s="42" t="s">
        <v>493</v>
      </c>
      <c r="D250" s="42"/>
      <c r="E250" s="42" t="str">
        <f t="shared" ref="E250:F250" si="251">PROPER(B250)</f>
        <v>Brgy. Caraisan Farmers Association Incorporated</v>
      </c>
      <c r="F250" s="42" t="str">
        <f t="shared" si="251"/>
        <v>Caraisan, Magsingal, Ilocos Sur</v>
      </c>
      <c r="G250" s="42" t="str">
        <f t="shared" si="3"/>
        <v>Caraisan</v>
      </c>
      <c r="H250" s="42" t="str">
        <f t="shared" si="4"/>
        <v>Magsingal</v>
      </c>
      <c r="I250" s="42" t="str">
        <f t="shared" si="5"/>
        <v>Ilocos Sur</v>
      </c>
      <c r="J250" s="42" t="str">
        <f t="array" ref="J250">XLOOKUP($E250,'Recipients REF'!$B:$B,'Recipients REF'!D:D,"",0)</f>
        <v>Felipe Urata</v>
      </c>
      <c r="K250" s="42" t="str">
        <f t="array" ref="K250">XLOOKUP($E250,'Recipients REF'!$B:$B,'Recipients REF'!E:E,"",0)</f>
        <v>0945-457-5019</v>
      </c>
      <c r="L250" s="43" t="str">
        <f t="array" ref="L250">XLOOKUP($A250,'Recipients REF'!$A:$A,'Recipients REF'!F:F,"",0)</f>
        <v>RCEF 23-09-21 Rebidding</v>
      </c>
      <c r="M250" s="43">
        <f t="array" ref="M250">XLOOKUP($A250,'Recipients REF'!$A:$A,'Recipients REF'!G:G,"",0)</f>
        <v>2</v>
      </c>
      <c r="N250" s="43">
        <f t="array" ref="N250">XLOOKUP($A250,'Recipients REF'!$A:$A,'Recipients REF'!H:H,"",0)</f>
        <v>18959</v>
      </c>
      <c r="O250" s="44" t="s">
        <v>25</v>
      </c>
      <c r="P250" s="45" t="s">
        <v>26</v>
      </c>
      <c r="Q250" s="46" t="str">
        <f t="array" ref="Q250">XLOOKUP($A250,'Recipients REF'!$A:$A,'Recipients REF'!I:I,"",0)</f>
        <v>KMC5825ACRFPV0697</v>
      </c>
      <c r="R250" s="47" t="str">
        <f t="array" ref="R250">XLOOKUP($A250,'Recipients REF'!$A:$A,'Recipients REF'!J:J,"",0)</f>
        <v>RTS 100576</v>
      </c>
      <c r="S250" s="45" t="s">
        <v>27</v>
      </c>
      <c r="T250" s="45" t="s">
        <v>28</v>
      </c>
      <c r="U250" s="46" t="str">
        <f t="array" ref="U250">XLOOKUP($A250,'Recipients REF'!$A:$A,'Recipients REF'!K:K,"",0)</f>
        <v>R- SERIES 795 PPH</v>
      </c>
      <c r="V250" s="44" t="s">
        <v>29</v>
      </c>
      <c r="W250" s="45" t="s">
        <v>30</v>
      </c>
      <c r="X250" s="47" t="str">
        <f t="array" ref="X250">XLOOKUP($A250,'Recipients REF'!$A:$A,'Recipients REF'!L:L,"",0)</f>
        <v>LSGW1750-RMP-24010119</v>
      </c>
      <c r="Y250" s="48" t="s">
        <v>29</v>
      </c>
      <c r="Z250" s="48" t="s">
        <v>31</v>
      </c>
      <c r="AA250" s="46" t="str">
        <f t="array" ref="AA250">XLOOKUP($A250,'Recipients REF'!$A:$A,'Recipients REF'!M:M,"",0)</f>
        <v>WDP40 RMP 24050560</v>
      </c>
      <c r="AB250" s="49"/>
      <c r="AC250" s="42"/>
      <c r="AD250" s="42"/>
      <c r="AE250" s="50"/>
      <c r="AF250" s="42"/>
      <c r="AG250" s="42"/>
      <c r="AH250" s="42"/>
      <c r="AI250" s="42" t="str">
        <f t="array" ref="AI250">XLOOKUP($E250,Sheet11!$D:$D,Sheet11!$X:$X,"",0)</f>
        <v/>
      </c>
      <c r="AJ250" s="42" t="str">
        <f t="array" ref="AJ250">XLOOKUP($E250,Sheet11!$D:$D,Sheet11!$Y:$Y,"",0)</f>
        <v/>
      </c>
    </row>
    <row r="251">
      <c r="A251" s="41">
        <v>321.0</v>
      </c>
      <c r="B251" s="42" t="s">
        <v>494</v>
      </c>
      <c r="C251" s="42" t="s">
        <v>495</v>
      </c>
      <c r="D251" s="42"/>
      <c r="E251" s="42" t="str">
        <f t="shared" ref="E251:F251" si="252">PROPER(B251)</f>
        <v>Municipal Local Government Unit Of Sto. Domingo</v>
      </c>
      <c r="F251" s="42" t="str">
        <f t="shared" si="252"/>
        <v>Poblacion , Sto Domingo, Ilocos Sur</v>
      </c>
      <c r="G251" s="42" t="str">
        <f t="shared" si="3"/>
        <v>Poblacion</v>
      </c>
      <c r="H251" s="42" t="str">
        <f t="shared" si="4"/>
        <v>Sto Domingo</v>
      </c>
      <c r="I251" s="42" t="str">
        <f t="shared" si="5"/>
        <v>Ilocos Sur</v>
      </c>
      <c r="J251" s="42" t="str">
        <f t="array" ref="J251">XLOOKUP($E251,'Recipients REF'!$B:$B,'Recipients REF'!D:D,"",0)</f>
        <v>Bryan Dexter V. Tadena</v>
      </c>
      <c r="K251" s="42" t="str">
        <f t="array" ref="K251">XLOOKUP($E251,'Recipients REF'!$B:$B,'Recipients REF'!E:E,"",0)</f>
        <v>0927-431-5144 (MA - Randy Reburon)</v>
      </c>
      <c r="L251" s="43" t="str">
        <f t="array" ref="L251">XLOOKUP($A251,'Recipients REF'!$A:$A,'Recipients REF'!F:F,"",0)</f>
        <v>RCEF 23-09-21 Rebidding</v>
      </c>
      <c r="M251" s="43">
        <f t="array" ref="M251">XLOOKUP($A251,'Recipients REF'!$A:$A,'Recipients REF'!G:G,"",0)</f>
        <v>2</v>
      </c>
      <c r="N251" s="43">
        <f t="array" ref="N251">XLOOKUP($A251,'Recipients REF'!$A:$A,'Recipients REF'!H:H,"",0)</f>
        <v>18960</v>
      </c>
      <c r="O251" s="44" t="s">
        <v>25</v>
      </c>
      <c r="P251" s="45" t="s">
        <v>26</v>
      </c>
      <c r="Q251" s="46" t="str">
        <f t="array" ref="Q251">XLOOKUP($A251,'Recipients REF'!$A:$A,'Recipients REF'!I:I,"",0)</f>
        <v>KMC5825AKRFPV0700</v>
      </c>
      <c r="R251" s="47" t="str">
        <f t="array" ref="R251">XLOOKUP($A251,'Recipients REF'!$A:$A,'Recipients REF'!J:J,"",0)</f>
        <v>RTS100201</v>
      </c>
      <c r="S251" s="45" t="s">
        <v>27</v>
      </c>
      <c r="T251" s="45" t="s">
        <v>28</v>
      </c>
      <c r="U251" s="46" t="str">
        <f t="array" ref="U251">XLOOKUP($A251,'Recipients REF'!$A:$A,'Recipients REF'!K:K,"",0)</f>
        <v>R-SERIES 801</v>
      </c>
      <c r="V251" s="44" t="s">
        <v>29</v>
      </c>
      <c r="W251" s="45" t="s">
        <v>30</v>
      </c>
      <c r="X251" s="47" t="str">
        <f t="array" ref="X251">XLOOKUP($A251,'Recipients REF'!$A:$A,'Recipients REF'!L:L,"",0)</f>
        <v>LSGW1750-RMP-24010131</v>
      </c>
      <c r="Y251" s="48" t="s">
        <v>29</v>
      </c>
      <c r="Z251" s="48" t="s">
        <v>31</v>
      </c>
      <c r="AA251" s="46" t="str">
        <f t="array" ref="AA251">XLOOKUP($A251,'Recipients REF'!$A:$A,'Recipients REF'!M:M,"",0)</f>
        <v>WDSP40-RMP-24050556</v>
      </c>
      <c r="AB251" s="49"/>
      <c r="AC251" s="42"/>
      <c r="AD251" s="42"/>
      <c r="AE251" s="50"/>
      <c r="AF251" s="42"/>
      <c r="AG251" s="42"/>
      <c r="AH251" s="42"/>
      <c r="AI251" s="42" t="str">
        <f t="array" ref="AI251">XLOOKUP($E251,Sheet11!$D:$D,Sheet11!$X:$X,"",0)</f>
        <v/>
      </c>
      <c r="AJ251" s="42" t="str">
        <f t="array" ref="AJ251">XLOOKUP($E251,Sheet11!$D:$D,Sheet11!$Y:$Y,"",0)</f>
        <v/>
      </c>
    </row>
    <row r="252">
      <c r="A252" s="41">
        <v>322.0</v>
      </c>
      <c r="B252" s="42" t="s">
        <v>496</v>
      </c>
      <c r="C252" s="42" t="s">
        <v>497</v>
      </c>
      <c r="D252" s="42"/>
      <c r="E252" s="42" t="str">
        <f t="shared" ref="E252:F252" si="253">PROPER(B252)</f>
        <v>Municipal Local Government Unit Of Gregorio Del Pilar</v>
      </c>
      <c r="F252" s="42" t="str">
        <f t="shared" si="253"/>
        <v>Poblacion Sur, Gregori0O Del Pilar, Ilocos Sur</v>
      </c>
      <c r="G252" s="42" t="str">
        <f t="shared" si="3"/>
        <v>Poblacion Sur</v>
      </c>
      <c r="H252" s="42" t="str">
        <f t="shared" si="4"/>
        <v>Gregori0O Del Pilar</v>
      </c>
      <c r="I252" s="42" t="str">
        <f t="shared" si="5"/>
        <v>Ilocos Sur</v>
      </c>
      <c r="J252" s="42" t="str">
        <f t="array" ref="J252">XLOOKUP($E252,'Recipients REF'!$B:$B,'Recipients REF'!D:D,"",0)</f>
        <v>Henry S. Gallardo</v>
      </c>
      <c r="K252" s="42" t="str">
        <f t="array" ref="K252">XLOOKUP($E252,'Recipients REF'!$B:$B,'Recipients REF'!E:E,"",0)</f>
        <v>0926-163-9175</v>
      </c>
      <c r="L252" s="43" t="str">
        <f t="array" ref="L252">XLOOKUP($A252,'Recipients REF'!$A:$A,'Recipients REF'!F:F,"",0)</f>
        <v>RCEF 23-09-21 Rebidding</v>
      </c>
      <c r="M252" s="43">
        <f t="array" ref="M252">XLOOKUP($A252,'Recipients REF'!$A:$A,'Recipients REF'!G:G,"",0)</f>
        <v>2</v>
      </c>
      <c r="N252" s="43">
        <f t="array" ref="N252">XLOOKUP($A252,'Recipients REF'!$A:$A,'Recipients REF'!H:H,"",0)</f>
        <v>18961</v>
      </c>
      <c r="O252" s="44" t="s">
        <v>25</v>
      </c>
      <c r="P252" s="45" t="s">
        <v>26</v>
      </c>
      <c r="Q252" s="46" t="str">
        <f t="array" ref="Q252">XLOOKUP($A252,'Recipients REF'!$A:$A,'Recipients REF'!I:I,"",0)</f>
        <v>KMC5825AKPFPV0759</v>
      </c>
      <c r="R252" s="47" t="str">
        <f t="array" ref="R252">XLOOKUP($A252,'Recipients REF'!$A:$A,'Recipients REF'!J:J,"",0)</f>
        <v>RTS100478</v>
      </c>
      <c r="S252" s="45" t="s">
        <v>27</v>
      </c>
      <c r="T252" s="45" t="s">
        <v>28</v>
      </c>
      <c r="U252" s="46" t="str">
        <f t="array" ref="U252">XLOOKUP($A252,'Recipients REF'!$A:$A,'Recipients REF'!K:K,"",0)</f>
        <v>R-SERIES 781</v>
      </c>
      <c r="V252" s="44" t="s">
        <v>29</v>
      </c>
      <c r="W252" s="45" t="s">
        <v>30</v>
      </c>
      <c r="X252" s="47" t="str">
        <f t="array" ref="X252">XLOOKUP($A252,'Recipients REF'!$A:$A,'Recipients REF'!L:L,"",0)</f>
        <v>LSGW1750-RMP-24010106</v>
      </c>
      <c r="Y252" s="48" t="s">
        <v>29</v>
      </c>
      <c r="Z252" s="48" t="s">
        <v>31</v>
      </c>
      <c r="AA252" s="46" t="str">
        <f t="array" ref="AA252">XLOOKUP($A252,'Recipients REF'!$A:$A,'Recipients REF'!M:M,"",0)</f>
        <v>WDSP40-RMP-24050549</v>
      </c>
      <c r="AB252" s="49"/>
      <c r="AC252" s="42"/>
      <c r="AD252" s="42"/>
      <c r="AE252" s="50"/>
      <c r="AF252" s="42"/>
      <c r="AG252" s="42"/>
      <c r="AH252" s="42"/>
      <c r="AI252" s="42" t="str">
        <f t="array" ref="AI252">XLOOKUP($E252,Sheet11!$D:$D,Sheet11!$X:$X,"",0)</f>
        <v/>
      </c>
      <c r="AJ252" s="42" t="str">
        <f t="array" ref="AJ252">XLOOKUP($E252,Sheet11!$D:$D,Sheet11!$Y:$Y,"",0)</f>
        <v/>
      </c>
    </row>
    <row r="253">
      <c r="A253" s="41">
        <v>323.0</v>
      </c>
      <c r="B253" s="42" t="s">
        <v>498</v>
      </c>
      <c r="C253" s="42" t="s">
        <v>499</v>
      </c>
      <c r="D253" s="42"/>
      <c r="E253" s="42" t="str">
        <f t="shared" ref="E253:F253" si="254">PROPER(B253)</f>
        <v>Maligcong Farmers Association</v>
      </c>
      <c r="F253" s="42" t="str">
        <f t="shared" si="254"/>
        <v>Maligcong, Salcedo, Ilocos Sur</v>
      </c>
      <c r="G253" s="42" t="str">
        <f t="shared" si="3"/>
        <v>Maligcong</v>
      </c>
      <c r="H253" s="42" t="str">
        <f t="shared" si="4"/>
        <v>Salcedo</v>
      </c>
      <c r="I253" s="42" t="str">
        <f t="shared" si="5"/>
        <v>Ilocos Sur</v>
      </c>
      <c r="J253" s="42" t="str">
        <f t="array" ref="J253">XLOOKUP($E253,'Recipients REF'!$B:$B,'Recipients REF'!D:D,"",0)</f>
        <v>Jerry Ruiz</v>
      </c>
      <c r="K253" s="42" t="str">
        <f t="array" ref="K253">XLOOKUP($E253,'Recipients REF'!$B:$B,'Recipients REF'!E:E,"",0)</f>
        <v>0920-648-2518</v>
      </c>
      <c r="L253" s="43" t="str">
        <f t="array" ref="L253">XLOOKUP($A253,'Recipients REF'!$A:$A,'Recipients REF'!F:F,"",0)</f>
        <v>RCEF 23-09-21 Rebidding</v>
      </c>
      <c r="M253" s="43">
        <f t="array" ref="M253">XLOOKUP($A253,'Recipients REF'!$A:$A,'Recipients REF'!G:G,"",0)</f>
        <v>2</v>
      </c>
      <c r="N253" s="43">
        <f t="array" ref="N253">XLOOKUP($A253,'Recipients REF'!$A:$A,'Recipients REF'!H:H,"",0)</f>
        <v>18962</v>
      </c>
      <c r="O253" s="44" t="s">
        <v>25</v>
      </c>
      <c r="P253" s="45" t="s">
        <v>26</v>
      </c>
      <c r="Q253" s="46" t="str">
        <f t="array" ref="Q253">XLOOKUP($A253,'Recipients REF'!$A:$A,'Recipients REF'!I:I,"",0)</f>
        <v>KMC5825AARFPV0668</v>
      </c>
      <c r="R253" s="47" t="str">
        <f t="array" ref="R253">XLOOKUP($A253,'Recipients REF'!$A:$A,'Recipients REF'!J:J,"",0)</f>
        <v>RTS100158</v>
      </c>
      <c r="S253" s="45" t="s">
        <v>27</v>
      </c>
      <c r="T253" s="45" t="s">
        <v>28</v>
      </c>
      <c r="U253" s="46" t="str">
        <f t="array" ref="U253">XLOOKUP($A253,'Recipients REF'!$A:$A,'Recipients REF'!K:K,"",0)</f>
        <v>R-SERIES 816</v>
      </c>
      <c r="V253" s="44" t="s">
        <v>29</v>
      </c>
      <c r="W253" s="45" t="s">
        <v>30</v>
      </c>
      <c r="X253" s="47" t="str">
        <f t="array" ref="X253">XLOOKUP($A253,'Recipients REF'!$A:$A,'Recipients REF'!L:L,"",0)</f>
        <v>LSGW1750-RMP-24010133</v>
      </c>
      <c r="Y253" s="48" t="s">
        <v>29</v>
      </c>
      <c r="Z253" s="48" t="s">
        <v>31</v>
      </c>
      <c r="AA253" s="46" t="str">
        <f t="array" ref="AA253">XLOOKUP($A253,'Recipients REF'!$A:$A,'Recipients REF'!M:M,"",0)</f>
        <v>WDSP40-RMP-24050619</v>
      </c>
      <c r="AB253" s="49"/>
      <c r="AC253" s="42"/>
      <c r="AD253" s="42"/>
      <c r="AE253" s="50"/>
      <c r="AF253" s="42"/>
      <c r="AG253" s="42"/>
      <c r="AH253" s="42"/>
      <c r="AI253" s="42" t="str">
        <f t="array" ref="AI253">XLOOKUP($E253,Sheet11!$D:$D,Sheet11!$X:$X,"",0)</f>
        <v/>
      </c>
      <c r="AJ253" s="42" t="str">
        <f t="array" ref="AJ253">XLOOKUP($E253,Sheet11!$D:$D,Sheet11!$Y:$Y,"",0)</f>
        <v/>
      </c>
    </row>
    <row r="254">
      <c r="A254" s="41">
        <v>324.0</v>
      </c>
      <c r="B254" s="42" t="s">
        <v>500</v>
      </c>
      <c r="C254" s="42" t="s">
        <v>485</v>
      </c>
      <c r="D254" s="42"/>
      <c r="E254" s="42" t="str">
        <f t="shared" ref="E254:F254" si="255">PROPER(B254)</f>
        <v>Daligan, Sta. Cruz, Greenfield Farmers Association Inc.</v>
      </c>
      <c r="F254" s="42" t="str">
        <f t="shared" si="255"/>
        <v>Daligan, Santa Cruz, Ilocos Sur</v>
      </c>
      <c r="G254" s="42" t="str">
        <f t="shared" si="3"/>
        <v>Daligan</v>
      </c>
      <c r="H254" s="42" t="str">
        <f t="shared" si="4"/>
        <v>Santa Cruz</v>
      </c>
      <c r="I254" s="42" t="str">
        <f t="shared" si="5"/>
        <v>Ilocos Sur</v>
      </c>
      <c r="J254" s="42" t="str">
        <f t="array" ref="J254">XLOOKUP($E254,'Recipients REF'!$B:$B,'Recipients REF'!D:D,"",0)</f>
        <v>Alexander T. Solimen</v>
      </c>
      <c r="K254" s="42" t="str">
        <f t="array" ref="K254">XLOOKUP($E254,'Recipients REF'!$B:$B,'Recipients REF'!E:E,"",0)</f>
        <v>0995-926-3530</v>
      </c>
      <c r="L254" s="43" t="str">
        <f t="array" ref="L254">XLOOKUP($A254,'Recipients REF'!$A:$A,'Recipients REF'!F:F,"",0)</f>
        <v>RCEF 23-09-21 Rebidding</v>
      </c>
      <c r="M254" s="43">
        <f t="array" ref="M254">XLOOKUP($A254,'Recipients REF'!$A:$A,'Recipients REF'!G:G,"",0)</f>
        <v>2</v>
      </c>
      <c r="N254" s="43">
        <f t="array" ref="N254">XLOOKUP($A254,'Recipients REF'!$A:$A,'Recipients REF'!H:H,"",0)</f>
        <v>18963</v>
      </c>
      <c r="O254" s="44" t="s">
        <v>25</v>
      </c>
      <c r="P254" s="45" t="s">
        <v>26</v>
      </c>
      <c r="Q254" s="46" t="str">
        <f t="array" ref="Q254">XLOOKUP($A254,'Recipients REF'!$A:$A,'Recipients REF'!I:I,"",0)</f>
        <v>KMC5825 ACRFPV0442</v>
      </c>
      <c r="R254" s="47" t="str">
        <f t="array" ref="R254">XLOOKUP($A254,'Recipients REF'!$A:$A,'Recipients REF'!J:J,"",0)</f>
        <v>RTS 100349</v>
      </c>
      <c r="S254" s="45" t="s">
        <v>27</v>
      </c>
      <c r="T254" s="45" t="s">
        <v>28</v>
      </c>
      <c r="U254" s="46" t="str">
        <f t="array" ref="U254">XLOOKUP($A254,'Recipients REF'!$A:$A,'Recipients REF'!K:K,"",0)</f>
        <v>R-SERIES 432 PH</v>
      </c>
      <c r="V254" s="44" t="s">
        <v>29</v>
      </c>
      <c r="W254" s="45" t="s">
        <v>30</v>
      </c>
      <c r="X254" s="47" t="str">
        <f t="array" ref="X254">XLOOKUP($A254,'Recipients REF'!$A:$A,'Recipients REF'!L:L,"",0)</f>
        <v>LSGW1750 RMP 24020407</v>
      </c>
      <c r="Y254" s="48" t="s">
        <v>29</v>
      </c>
      <c r="Z254" s="48" t="s">
        <v>31</v>
      </c>
      <c r="AA254" s="46" t="str">
        <f t="array" ref="AA254">XLOOKUP($A254,'Recipients REF'!$A:$A,'Recipients REF'!M:M,"",0)</f>
        <v>WDP40 RMP 24010118</v>
      </c>
      <c r="AB254" s="49"/>
      <c r="AC254" s="42"/>
      <c r="AD254" s="42"/>
      <c r="AE254" s="50"/>
      <c r="AF254" s="42"/>
      <c r="AG254" s="42"/>
      <c r="AH254" s="42"/>
      <c r="AI254" s="42" t="str">
        <f t="array" ref="AI254">XLOOKUP($E254,Sheet11!$D:$D,Sheet11!$X:$X,"",0)</f>
        <v/>
      </c>
      <c r="AJ254" s="42" t="str">
        <f t="array" ref="AJ254">XLOOKUP($E254,Sheet11!$D:$D,Sheet11!$Y:$Y,"",0)</f>
        <v/>
      </c>
    </row>
    <row r="255">
      <c r="A255" s="41">
        <v>325.0</v>
      </c>
      <c r="B255" s="42" t="s">
        <v>501</v>
      </c>
      <c r="C255" s="42" t="s">
        <v>502</v>
      </c>
      <c r="D255" s="42"/>
      <c r="E255" s="42" t="str">
        <f t="shared" ref="E255:F255" si="256">PROPER(B255)</f>
        <v>Conconig East Farmers Multi Purpose Cooperative</v>
      </c>
      <c r="F255" s="42" t="str">
        <f t="shared" si="256"/>
        <v>Conconig East, Santa Lucia, Ilocos Sur</v>
      </c>
      <c r="G255" s="42" t="str">
        <f t="shared" si="3"/>
        <v>Conconig East</v>
      </c>
      <c r="H255" s="42" t="str">
        <f t="shared" si="4"/>
        <v>Santa Lucia</v>
      </c>
      <c r="I255" s="42" t="str">
        <f t="shared" si="5"/>
        <v>Ilocos Sur</v>
      </c>
      <c r="J255" s="42" t="str">
        <f t="array" ref="J255">XLOOKUP($E255,'Recipients REF'!$B:$B,'Recipients REF'!D:D,"",0)</f>
        <v>Emerlina Chan</v>
      </c>
      <c r="K255" s="42" t="str">
        <f t="array" ref="K255">XLOOKUP($E255,'Recipients REF'!$B:$B,'Recipients REF'!E:E,"",0)</f>
        <v>0919-938-0740</v>
      </c>
      <c r="L255" s="43" t="str">
        <f t="array" ref="L255">XLOOKUP($A255,'Recipients REF'!$A:$A,'Recipients REF'!F:F,"",0)</f>
        <v>RCEF 23-09-21 Rebidding</v>
      </c>
      <c r="M255" s="43">
        <f t="array" ref="M255">XLOOKUP($A255,'Recipients REF'!$A:$A,'Recipients REF'!G:G,"",0)</f>
        <v>2</v>
      </c>
      <c r="N255" s="43">
        <f t="array" ref="N255">XLOOKUP($A255,'Recipients REF'!$A:$A,'Recipients REF'!H:H,"",0)</f>
        <v>18964</v>
      </c>
      <c r="O255" s="44" t="s">
        <v>25</v>
      </c>
      <c r="P255" s="45" t="s">
        <v>26</v>
      </c>
      <c r="Q255" s="46" t="str">
        <f t="array" ref="Q255">XLOOKUP($A255,'Recipients REF'!$A:$A,'Recipients REF'!I:I,"",0)</f>
        <v>KMC5825 AERFPV0514</v>
      </c>
      <c r="R255" s="47" t="str">
        <f t="array" ref="R255">XLOOKUP($A255,'Recipients REF'!$A:$A,'Recipients REF'!J:J,"",0)</f>
        <v>RTS 100427</v>
      </c>
      <c r="S255" s="45" t="s">
        <v>27</v>
      </c>
      <c r="T255" s="45" t="s">
        <v>28</v>
      </c>
      <c r="U255" s="46" t="str">
        <f t="array" ref="U255">XLOOKUP($A255,'Recipients REF'!$A:$A,'Recipients REF'!K:K,"",0)</f>
        <v>R-SERIES 381 PH</v>
      </c>
      <c r="V255" s="44" t="s">
        <v>29</v>
      </c>
      <c r="W255" s="45" t="s">
        <v>30</v>
      </c>
      <c r="X255" s="47" t="str">
        <f t="array" ref="X255">XLOOKUP($A255,'Recipients REF'!$A:$A,'Recipients REF'!L:L,"",0)</f>
        <v>LSGW1750 RMP 24020406</v>
      </c>
      <c r="Y255" s="48" t="s">
        <v>29</v>
      </c>
      <c r="Z255" s="48" t="s">
        <v>31</v>
      </c>
      <c r="AA255" s="46" t="str">
        <f t="array" ref="AA255">XLOOKUP($A255,'Recipients REF'!$A:$A,'Recipients REF'!M:M,"",0)</f>
        <v>WDP40 RMP 24030379</v>
      </c>
      <c r="AB255" s="49"/>
      <c r="AC255" s="42"/>
      <c r="AD255" s="42"/>
      <c r="AE255" s="50"/>
      <c r="AF255" s="42"/>
      <c r="AG255" s="42"/>
      <c r="AH255" s="42"/>
      <c r="AI255" s="42" t="str">
        <f t="array" ref="AI255">XLOOKUP($E255,Sheet11!$D:$D,Sheet11!$X:$X,"",0)</f>
        <v/>
      </c>
      <c r="AJ255" s="42" t="str">
        <f t="array" ref="AJ255">XLOOKUP($E255,Sheet11!$D:$D,Sheet11!$Y:$Y,"",0)</f>
        <v/>
      </c>
    </row>
    <row r="256">
      <c r="A256" s="41">
        <v>326.0</v>
      </c>
      <c r="B256" s="42" t="s">
        <v>503</v>
      </c>
      <c r="C256" s="42" t="s">
        <v>504</v>
      </c>
      <c r="D256" s="42"/>
      <c r="E256" s="42" t="str">
        <f t="shared" ref="E256:F256" si="257">PROPER(B256)</f>
        <v>Lugarba Multi Purpose Cooperative</v>
      </c>
      <c r="F256" s="42" t="str">
        <f t="shared" si="257"/>
        <v>Bario-An, Tagudin, Ilocos Sur</v>
      </c>
      <c r="G256" s="42" t="str">
        <f t="shared" si="3"/>
        <v>Bario-An</v>
      </c>
      <c r="H256" s="42" t="str">
        <f t="shared" si="4"/>
        <v>Tagudin</v>
      </c>
      <c r="I256" s="42" t="str">
        <f t="shared" si="5"/>
        <v>Ilocos Sur</v>
      </c>
      <c r="J256" s="42" t="str">
        <f t="array" ref="J256">XLOOKUP($E256,'Recipients REF'!$B:$B,'Recipients REF'!D:D,"",0)</f>
        <v>Marie Joy Cabatu</v>
      </c>
      <c r="K256" s="42" t="str">
        <f t="array" ref="K256">XLOOKUP($E256,'Recipients REF'!$B:$B,'Recipients REF'!E:E,"",0)</f>
        <v>0930 907 561 / 0949 705 6448</v>
      </c>
      <c r="L256" s="43" t="str">
        <f t="array" ref="L256">XLOOKUP($A256,'Recipients REF'!$A:$A,'Recipients REF'!F:F,"",0)</f>
        <v>RCEF 23-09-21 Rebidding</v>
      </c>
      <c r="M256" s="43">
        <f t="array" ref="M256">XLOOKUP($A256,'Recipients REF'!$A:$A,'Recipients REF'!G:G,"",0)</f>
        <v>2</v>
      </c>
      <c r="N256" s="43">
        <f t="array" ref="N256">XLOOKUP($A256,'Recipients REF'!$A:$A,'Recipients REF'!H:H,"",0)</f>
        <v>18965</v>
      </c>
      <c r="O256" s="44" t="s">
        <v>25</v>
      </c>
      <c r="P256" s="45" t="s">
        <v>26</v>
      </c>
      <c r="Q256" s="46" t="str">
        <f t="array" ref="Q256">XLOOKUP($A256,'Recipients REF'!$A:$A,'Recipients REF'!I:I,"",0)</f>
        <v>KMC5825ACRFPV0666</v>
      </c>
      <c r="R256" s="47" t="str">
        <f t="array" ref="R256">XLOOKUP($A256,'Recipients REF'!$A:$A,'Recipients REF'!J:J,"",0)</f>
        <v>RTS100209</v>
      </c>
      <c r="S256" s="45" t="s">
        <v>27</v>
      </c>
      <c r="T256" s="45" t="s">
        <v>28</v>
      </c>
      <c r="U256" s="46" t="str">
        <f t="array" ref="U256">XLOOKUP($A256,'Recipients REF'!$A:$A,'Recipients REF'!K:K,"",0)</f>
        <v>R-SERIES 798</v>
      </c>
      <c r="V256" s="44" t="s">
        <v>29</v>
      </c>
      <c r="W256" s="45" t="s">
        <v>30</v>
      </c>
      <c r="X256" s="47" t="str">
        <f t="array" ref="X256">XLOOKUP($A256,'Recipients REF'!$A:$A,'Recipients REF'!L:L,"",0)</f>
        <v>LSGW1750-RMP-24010113</v>
      </c>
      <c r="Y256" s="48" t="s">
        <v>29</v>
      </c>
      <c r="Z256" s="48" t="s">
        <v>31</v>
      </c>
      <c r="AA256" s="46" t="str">
        <f t="array" ref="AA256">XLOOKUP($A256,'Recipients REF'!$A:$A,'Recipients REF'!M:M,"",0)</f>
        <v>WDSP40-RMP-24050635</v>
      </c>
      <c r="AB256" s="49"/>
      <c r="AC256" s="42"/>
      <c r="AD256" s="42"/>
      <c r="AE256" s="51"/>
      <c r="AF256" s="52"/>
      <c r="AG256" s="42"/>
      <c r="AH256" s="42"/>
      <c r="AI256" s="42" t="str">
        <f t="array" ref="AI256">XLOOKUP($E256,Sheet11!$D:$D,Sheet11!$X:$X,"",0)</f>
        <v/>
      </c>
      <c r="AJ256" s="42" t="str">
        <f t="array" ref="AJ256">XLOOKUP($E256,Sheet11!$D:$D,Sheet11!$Y:$Y,"",0)</f>
        <v/>
      </c>
    </row>
    <row r="257">
      <c r="A257" s="41">
        <v>327.0</v>
      </c>
      <c r="B257" s="42" t="s">
        <v>505</v>
      </c>
      <c r="C257" s="42" t="s">
        <v>506</v>
      </c>
      <c r="D257" s="42"/>
      <c r="E257" s="42" t="str">
        <f t="shared" ref="E257:F257" si="258">PROPER(B257)</f>
        <v>Municipal Local Government Unit Of Tagudin</v>
      </c>
      <c r="F257" s="42" t="str">
        <f t="shared" si="258"/>
        <v>Rizal (Pob.), Tagudin, Ilocos Sur</v>
      </c>
      <c r="G257" s="42" t="str">
        <f t="shared" si="3"/>
        <v>Rizal (Pob.)</v>
      </c>
      <c r="H257" s="42" t="str">
        <f t="shared" si="4"/>
        <v>Tagudin</v>
      </c>
      <c r="I257" s="42" t="str">
        <f t="shared" si="5"/>
        <v>Ilocos Sur</v>
      </c>
      <c r="J257" s="42" t="str">
        <f t="array" ref="J257">XLOOKUP($E257,'Recipients REF'!$B:$B,'Recipients REF'!D:D,"",0)</f>
        <v>Roque S. Verzosa Jr.</v>
      </c>
      <c r="K257" s="42" t="str">
        <f t="array" ref="K257">XLOOKUP($E257,'Recipients REF'!$B:$B,'Recipients REF'!E:E,"",0)</f>
        <v>0917 520 5579</v>
      </c>
      <c r="L257" s="43" t="str">
        <f t="array" ref="L257">XLOOKUP($A257,'Recipients REF'!$A:$A,'Recipients REF'!F:F,"",0)</f>
        <v>RCEF 23-09-21 Rebidding</v>
      </c>
      <c r="M257" s="43">
        <f t="array" ref="M257">XLOOKUP($A257,'Recipients REF'!$A:$A,'Recipients REF'!G:G,"",0)</f>
        <v>2</v>
      </c>
      <c r="N257" s="43">
        <f t="array" ref="N257">XLOOKUP($A257,'Recipients REF'!$A:$A,'Recipients REF'!H:H,"",0)</f>
        <v>18966</v>
      </c>
      <c r="O257" s="44" t="s">
        <v>25</v>
      </c>
      <c r="P257" s="45" t="s">
        <v>26</v>
      </c>
      <c r="Q257" s="46" t="str">
        <f t="array" ref="Q257">XLOOKUP($A257,'Recipients REF'!$A:$A,'Recipients REF'!I:I,"",0)</f>
        <v>KMC5825ALRFEV0669</v>
      </c>
      <c r="R257" s="47" t="str">
        <f t="array" ref="R257">XLOOKUP($A257,'Recipients REF'!$A:$A,'Recipients REF'!J:J,"",0)</f>
        <v>RTS100301</v>
      </c>
      <c r="S257" s="45" t="s">
        <v>27</v>
      </c>
      <c r="T257" s="45" t="s">
        <v>28</v>
      </c>
      <c r="U257" s="46" t="str">
        <f t="array" ref="U257">XLOOKUP($A257,'Recipients REF'!$A:$A,'Recipients REF'!K:K,"",0)</f>
        <v>R-SERIES 783</v>
      </c>
      <c r="V257" s="44" t="s">
        <v>29</v>
      </c>
      <c r="W257" s="45" t="s">
        <v>30</v>
      </c>
      <c r="X257" s="47" t="str">
        <f t="array" ref="X257">XLOOKUP($A257,'Recipients REF'!$A:$A,'Recipients REF'!L:L,"",0)</f>
        <v>LSGW1750-RMP-24010097</v>
      </c>
      <c r="Y257" s="48" t="s">
        <v>29</v>
      </c>
      <c r="Z257" s="48" t="s">
        <v>31</v>
      </c>
      <c r="AA257" s="46" t="str">
        <f t="array" ref="AA257">XLOOKUP($A257,'Recipients REF'!$A:$A,'Recipients REF'!M:M,"",0)</f>
        <v>WDSP40-RMP-24050627</v>
      </c>
      <c r="AB257" s="49"/>
      <c r="AC257" s="42"/>
      <c r="AD257" s="42"/>
      <c r="AE257" s="50"/>
      <c r="AF257" s="42"/>
      <c r="AG257" s="42"/>
      <c r="AH257" s="42"/>
      <c r="AI257" s="42" t="str">
        <f t="array" ref="AI257">XLOOKUP($E257,Sheet11!$D:$D,Sheet11!$X:$X,"",0)</f>
        <v/>
      </c>
      <c r="AJ257" s="42" t="str">
        <f t="array" ref="AJ257">XLOOKUP($E257,Sheet11!$D:$D,Sheet11!$Y:$Y,"",0)</f>
        <v/>
      </c>
    </row>
    <row r="258">
      <c r="A258" s="41">
        <v>418.0</v>
      </c>
      <c r="B258" s="42" t="s">
        <v>507</v>
      </c>
      <c r="C258" s="42" t="s">
        <v>508</v>
      </c>
      <c r="D258" s="42"/>
      <c r="E258" s="42" t="str">
        <f t="shared" ref="E258:F258" si="259">PROPER(B258)</f>
        <v>Oyungan Tacas Irrigators Association</v>
      </c>
      <c r="F258" s="42" t="str">
        <f t="shared" si="259"/>
        <v>Oyungan, Miagao, Iloilo</v>
      </c>
      <c r="G258" s="42" t="str">
        <f t="shared" si="3"/>
        <v>Oyungan</v>
      </c>
      <c r="H258" s="42" t="str">
        <f t="shared" si="4"/>
        <v>Miagao</v>
      </c>
      <c r="I258" s="42" t="str">
        <f t="shared" si="5"/>
        <v>Iloilo</v>
      </c>
      <c r="J258" s="42" t="str">
        <f t="array" ref="J258">XLOOKUP($E258,'Recipients REF'!$B:$B,'Recipients REF'!D:D,"",0)</f>
        <v>Jose N. Mollenido</v>
      </c>
      <c r="K258" s="42">
        <f t="array" ref="K258">XLOOKUP($E258,'Recipients REF'!$B:$B,'Recipients REF'!E:E,"",0)</f>
        <v>9093537879</v>
      </c>
      <c r="L258" s="43" t="str">
        <f t="array" ref="L258">XLOOKUP($A258,'Recipients REF'!$A:$A,'Recipients REF'!F:F,"",0)</f>
        <v>RCEF 23-09-21 Rebidding</v>
      </c>
      <c r="M258" s="43">
        <f t="array" ref="M258">XLOOKUP($A258,'Recipients REF'!$A:$A,'Recipients REF'!G:G,"",0)</f>
        <v>4</v>
      </c>
      <c r="N258" s="43">
        <f t="array" ref="N258">XLOOKUP($A258,'Recipients REF'!$A:$A,'Recipients REF'!H:H,"",0)</f>
        <v>19076</v>
      </c>
      <c r="O258" s="44" t="s">
        <v>25</v>
      </c>
      <c r="P258" s="45" t="s">
        <v>26</v>
      </c>
      <c r="Q258" s="46" t="str">
        <f t="array" ref="Q258">XLOOKUP($A258,'Recipients REF'!$A:$A,'Recipients REF'!I:I,"",0)</f>
        <v>KMC5825 ALRFPV0624</v>
      </c>
      <c r="R258" s="47" t="str">
        <f t="array" ref="R258">XLOOKUP($A258,'Recipients REF'!$A:$A,'Recipients REF'!J:J,"",0)</f>
        <v>RTS 100523</v>
      </c>
      <c r="S258" s="45" t="s">
        <v>27</v>
      </c>
      <c r="T258" s="45" t="s">
        <v>28</v>
      </c>
      <c r="U258" s="46" t="str">
        <f t="array" ref="U258">XLOOKUP($A258,'Recipients REF'!$A:$A,'Recipients REF'!K:K,"",0)</f>
        <v>R-SERIES 413 PH</v>
      </c>
      <c r="V258" s="44" t="s">
        <v>29</v>
      </c>
      <c r="W258" s="45" t="s">
        <v>30</v>
      </c>
      <c r="X258" s="47" t="str">
        <f t="array" ref="X258">XLOOKUP($A258,'Recipients REF'!$A:$A,'Recipients REF'!L:L,"",0)</f>
        <v>LSGW1750 RMP 24020508</v>
      </c>
      <c r="Y258" s="48" t="s">
        <v>29</v>
      </c>
      <c r="Z258" s="48" t="s">
        <v>31</v>
      </c>
      <c r="AA258" s="46" t="str">
        <f t="array" ref="AA258">XLOOKUP($A258,'Recipients REF'!$A:$A,'Recipients REF'!M:M,"",0)</f>
        <v>WDP40 RMP 24030393</v>
      </c>
      <c r="AB258" s="49"/>
      <c r="AC258" s="42"/>
      <c r="AD258" s="42"/>
      <c r="AE258" s="51"/>
      <c r="AF258" s="52"/>
      <c r="AG258" s="42"/>
      <c r="AH258" s="42"/>
      <c r="AI258" s="42" t="str">
        <f t="array" ref="AI258">XLOOKUP($E258,Sheet11!$D:$D,Sheet11!$X:$X,"",0)</f>
        <v/>
      </c>
      <c r="AJ258" s="42" t="str">
        <f t="array" ref="AJ258">XLOOKUP($E258,Sheet11!$D:$D,Sheet11!$Y:$Y,"",0)</f>
        <v/>
      </c>
    </row>
    <row r="259">
      <c r="A259" s="41">
        <v>419.0</v>
      </c>
      <c r="B259" s="42" t="s">
        <v>509</v>
      </c>
      <c r="C259" s="42" t="s">
        <v>510</v>
      </c>
      <c r="D259" s="42"/>
      <c r="E259" s="42" t="str">
        <f t="shared" ref="E259:F259" si="260">PROPER(B259)</f>
        <v>Sttab Irrigators' Association, Inc.</v>
      </c>
      <c r="F259" s="42" t="str">
        <f t="shared" si="260"/>
        <v>Santa Monica, Oton, Iloilo</v>
      </c>
      <c r="G259" s="42" t="str">
        <f t="shared" si="3"/>
        <v>Santa Monica</v>
      </c>
      <c r="H259" s="42" t="str">
        <f t="shared" si="4"/>
        <v>Oton</v>
      </c>
      <c r="I259" s="42" t="str">
        <f t="shared" si="5"/>
        <v>Iloilo</v>
      </c>
      <c r="J259" s="42" t="str">
        <f t="array" ref="J259">XLOOKUP($E259,'Recipients REF'!$B:$B,'Recipients REF'!D:D,"",0)</f>
        <v>Arcenio Salupon</v>
      </c>
      <c r="K259" s="42" t="str">
        <f t="array" ref="K259">XLOOKUP($E259,'Recipients REF'!$B:$B,'Recipients REF'!E:E,"",0)</f>
        <v>0912 813 7331/ 0928 763 8023</v>
      </c>
      <c r="L259" s="43" t="str">
        <f t="array" ref="L259">XLOOKUP($A259,'Recipients REF'!$A:$A,'Recipients REF'!F:F,"",0)</f>
        <v>RCEF 23-09-21 Rebidding</v>
      </c>
      <c r="M259" s="43">
        <f t="array" ref="M259">XLOOKUP($A259,'Recipients REF'!$A:$A,'Recipients REF'!G:G,"",0)</f>
        <v>4</v>
      </c>
      <c r="N259" s="43">
        <f t="array" ref="N259">XLOOKUP($A259,'Recipients REF'!$A:$A,'Recipients REF'!H:H,"",0)</f>
        <v>19077</v>
      </c>
      <c r="O259" s="44" t="s">
        <v>25</v>
      </c>
      <c r="P259" s="45" t="s">
        <v>26</v>
      </c>
      <c r="Q259" s="46" t="str">
        <f t="array" ref="Q259">XLOOKUP($A259,'Recipients REF'!$A:$A,'Recipients REF'!I:I,"",0)</f>
        <v>KMC5825 AHRFPV0317</v>
      </c>
      <c r="R259" s="47" t="str">
        <f t="array" ref="R259">XLOOKUP($A259,'Recipients REF'!$A:$A,'Recipients REF'!J:J,"",0)</f>
        <v>RTS 100213</v>
      </c>
      <c r="S259" s="45" t="s">
        <v>27</v>
      </c>
      <c r="T259" s="45" t="s">
        <v>28</v>
      </c>
      <c r="U259" s="46" t="str">
        <f t="array" ref="U259">XLOOKUP($A259,'Recipients REF'!$A:$A,'Recipients REF'!K:K,"",0)</f>
        <v>R-SERIES 433 PH</v>
      </c>
      <c r="V259" s="44" t="s">
        <v>29</v>
      </c>
      <c r="W259" s="45" t="s">
        <v>30</v>
      </c>
      <c r="X259" s="47" t="str">
        <f t="array" ref="X259">XLOOKUP($A259,'Recipients REF'!$A:$A,'Recipients REF'!L:L,"",0)</f>
        <v>LSGW1750 RMP 24020506</v>
      </c>
      <c r="Y259" s="48" t="s">
        <v>29</v>
      </c>
      <c r="Z259" s="48" t="s">
        <v>31</v>
      </c>
      <c r="AA259" s="46" t="str">
        <f t="array" ref="AA259">XLOOKUP($A259,'Recipients REF'!$A:$A,'Recipients REF'!M:M,"",0)</f>
        <v>WDP40 RMP 24030337</v>
      </c>
      <c r="AB259" s="49"/>
      <c r="AC259" s="42"/>
      <c r="AD259" s="42"/>
      <c r="AE259" s="50"/>
      <c r="AF259" s="42"/>
      <c r="AG259" s="42"/>
      <c r="AH259" s="42"/>
      <c r="AI259" s="42" t="str">
        <f t="array" ref="AI259">XLOOKUP($E259,Sheet11!$D:$D,Sheet11!$X:$X,"",0)</f>
        <v/>
      </c>
      <c r="AJ259" s="42" t="str">
        <f t="array" ref="AJ259">XLOOKUP($E259,Sheet11!$D:$D,Sheet11!$Y:$Y,"",0)</f>
        <v/>
      </c>
    </row>
    <row r="260">
      <c r="A260" s="41">
        <v>420.0</v>
      </c>
      <c r="B260" s="42" t="s">
        <v>511</v>
      </c>
      <c r="C260" s="42" t="s">
        <v>512</v>
      </c>
      <c r="D260" s="42"/>
      <c r="E260" s="42" t="str">
        <f t="shared" ref="E260:F260" si="261">PROPER(B260)</f>
        <v>Cordova Sur Farmers Association</v>
      </c>
      <c r="F260" s="42" t="str">
        <f t="shared" si="261"/>
        <v>Cordova Sur, Tigbauan, Iloilo</v>
      </c>
      <c r="G260" s="42" t="str">
        <f t="shared" si="3"/>
        <v>Cordova Sur</v>
      </c>
      <c r="H260" s="42" t="str">
        <f t="shared" si="4"/>
        <v>Tigbauan</v>
      </c>
      <c r="I260" s="42" t="str">
        <f t="shared" si="5"/>
        <v>Iloilo</v>
      </c>
      <c r="J260" s="42" t="str">
        <f t="array" ref="J260">XLOOKUP($E260,'Recipients REF'!$B:$B,'Recipients REF'!D:D,"",0)</f>
        <v>Reynaldo T. Cansancio</v>
      </c>
      <c r="K260" s="42" t="str">
        <f t="array" ref="K260">XLOOKUP($E260,'Recipients REF'!$B:$B,'Recipients REF'!E:E,"",0)</f>
        <v>0956 661 3869</v>
      </c>
      <c r="L260" s="43" t="str">
        <f t="array" ref="L260">XLOOKUP($A260,'Recipients REF'!$A:$A,'Recipients REF'!F:F,"",0)</f>
        <v>RCEF 23-09-21 Rebidding</v>
      </c>
      <c r="M260" s="43">
        <f t="array" ref="M260">XLOOKUP($A260,'Recipients REF'!$A:$A,'Recipients REF'!G:G,"",0)</f>
        <v>4</v>
      </c>
      <c r="N260" s="43">
        <f t="array" ref="N260">XLOOKUP($A260,'Recipients REF'!$A:$A,'Recipients REF'!H:H,"",0)</f>
        <v>19078</v>
      </c>
      <c r="O260" s="44" t="s">
        <v>25</v>
      </c>
      <c r="P260" s="45" t="s">
        <v>26</v>
      </c>
      <c r="Q260" s="46" t="str">
        <f t="array" ref="Q260">XLOOKUP($A260,'Recipients REF'!$A:$A,'Recipients REF'!I:I,"",0)</f>
        <v>KMC5825 AJRFPV0617</v>
      </c>
      <c r="R260" s="47" t="str">
        <f t="array" ref="R260">XLOOKUP($A260,'Recipients REF'!$A:$A,'Recipients REF'!J:J,"",0)</f>
        <v>RTS 100407</v>
      </c>
      <c r="S260" s="45" t="s">
        <v>27</v>
      </c>
      <c r="T260" s="45" t="s">
        <v>28</v>
      </c>
      <c r="U260" s="46" t="str">
        <f t="array" ref="U260">XLOOKUP($A260,'Recipients REF'!$A:$A,'Recipients REF'!K:K,"",0)</f>
        <v>R-SERIES 444 PH</v>
      </c>
      <c r="V260" s="44" t="s">
        <v>29</v>
      </c>
      <c r="W260" s="45" t="s">
        <v>30</v>
      </c>
      <c r="X260" s="47" t="str">
        <f t="array" ref="X260">XLOOKUP($A260,'Recipients REF'!$A:$A,'Recipients REF'!L:L,"",0)</f>
        <v>LSGW1750 RMP 24020472</v>
      </c>
      <c r="Y260" s="48" t="s">
        <v>29</v>
      </c>
      <c r="Z260" s="48" t="s">
        <v>31</v>
      </c>
      <c r="AA260" s="46" t="str">
        <f t="array" ref="AA260">XLOOKUP($A260,'Recipients REF'!$A:$A,'Recipients REF'!M:M,"",0)</f>
        <v>WDP40 RMP 24030966</v>
      </c>
      <c r="AB260" s="49"/>
      <c r="AC260" s="42"/>
      <c r="AD260" s="42"/>
      <c r="AE260" s="50"/>
      <c r="AF260" s="42"/>
      <c r="AG260" s="42"/>
      <c r="AH260" s="42"/>
      <c r="AI260" s="42" t="str">
        <f t="array" ref="AI260">XLOOKUP($E260,Sheet11!$D:$D,Sheet11!$X:$X,"",0)</f>
        <v/>
      </c>
      <c r="AJ260" s="42" t="str">
        <f t="array" ref="AJ260">XLOOKUP($E260,Sheet11!$D:$D,Sheet11!$Y:$Y,"",0)</f>
        <v/>
      </c>
    </row>
    <row r="261">
      <c r="A261" s="41">
        <v>421.0</v>
      </c>
      <c r="B261" s="42" t="s">
        <v>513</v>
      </c>
      <c r="C261" s="42" t="s">
        <v>514</v>
      </c>
      <c r="D261" s="42"/>
      <c r="E261" s="42" t="str">
        <f t="shared" ref="E261:F261" si="262">PROPER(B261)</f>
        <v>Dalid Farmers Association</v>
      </c>
      <c r="F261" s="42" t="str">
        <f t="shared" si="262"/>
        <v>Dalid, Alimodian, Iloilo</v>
      </c>
      <c r="G261" s="42" t="str">
        <f t="shared" si="3"/>
        <v>Dalid</v>
      </c>
      <c r="H261" s="42" t="str">
        <f t="shared" si="4"/>
        <v>Alimodian</v>
      </c>
      <c r="I261" s="42" t="str">
        <f t="shared" si="5"/>
        <v>Iloilo</v>
      </c>
      <c r="J261" s="42" t="str">
        <f t="array" ref="J261">XLOOKUP($E261,'Recipients REF'!$B:$B,'Recipients REF'!D:D,"",0)</f>
        <v>Nida Andicoy</v>
      </c>
      <c r="K261" s="42">
        <f t="array" ref="K261">XLOOKUP($E261,'Recipients REF'!$B:$B,'Recipients REF'!E:E,"",0)</f>
        <v>9056654724</v>
      </c>
      <c r="L261" s="43" t="str">
        <f t="array" ref="L261">XLOOKUP($A261,'Recipients REF'!$A:$A,'Recipients REF'!F:F,"",0)</f>
        <v>RCEF 23-09-21 Rebidding</v>
      </c>
      <c r="M261" s="43">
        <f t="array" ref="M261">XLOOKUP($A261,'Recipients REF'!$A:$A,'Recipients REF'!G:G,"",0)</f>
        <v>4</v>
      </c>
      <c r="N261" s="43">
        <f t="array" ref="N261">XLOOKUP($A261,'Recipients REF'!$A:$A,'Recipients REF'!H:H,"",0)</f>
        <v>19079</v>
      </c>
      <c r="O261" s="44" t="s">
        <v>25</v>
      </c>
      <c r="P261" s="45" t="s">
        <v>26</v>
      </c>
      <c r="Q261" s="46" t="str">
        <f t="array" ref="Q261">XLOOKUP($A261,'Recipients REF'!$A:$A,'Recipients REF'!I:I,"",0)</f>
        <v>KMC5825 AERFPV0593</v>
      </c>
      <c r="R261" s="47" t="str">
        <f t="array" ref="R261">XLOOKUP($A261,'Recipients REF'!$A:$A,'Recipients REF'!J:J,"",0)</f>
        <v>RTS 100503</v>
      </c>
      <c r="S261" s="45" t="s">
        <v>27</v>
      </c>
      <c r="T261" s="45" t="s">
        <v>28</v>
      </c>
      <c r="U261" s="46" t="str">
        <f t="array" ref="U261">XLOOKUP($A261,'Recipients REF'!$A:$A,'Recipients REF'!K:K,"",0)</f>
        <v>R-SERIES 447 PH</v>
      </c>
      <c r="V261" s="44" t="s">
        <v>29</v>
      </c>
      <c r="W261" s="45" t="s">
        <v>30</v>
      </c>
      <c r="X261" s="47" t="str">
        <f t="array" ref="X261">XLOOKUP($A261,'Recipients REF'!$A:$A,'Recipients REF'!L:L,"",0)</f>
        <v>LSGW1750 RMP 24020464</v>
      </c>
      <c r="Y261" s="48" t="s">
        <v>29</v>
      </c>
      <c r="Z261" s="48" t="s">
        <v>31</v>
      </c>
      <c r="AA261" s="46" t="str">
        <f t="array" ref="AA261">XLOOKUP($A261,'Recipients REF'!$A:$A,'Recipients REF'!M:M,"",0)</f>
        <v>WDP40 RMP 24030343</v>
      </c>
      <c r="AB261" s="49"/>
      <c r="AC261" s="42"/>
      <c r="AD261" s="42"/>
      <c r="AE261" s="51"/>
      <c r="AF261" s="52"/>
      <c r="AG261" s="42"/>
      <c r="AH261" s="42"/>
      <c r="AI261" s="42" t="str">
        <f t="array" ref="AI261">XLOOKUP($E261,Sheet11!$D:$D,Sheet11!$X:$X,"",0)</f>
        <v/>
      </c>
      <c r="AJ261" s="42" t="str">
        <f t="array" ref="AJ261">XLOOKUP($E261,Sheet11!$D:$D,Sheet11!$Y:$Y,"",0)</f>
        <v/>
      </c>
    </row>
    <row r="262">
      <c r="A262" s="41">
        <v>422.0</v>
      </c>
      <c r="B262" s="42" t="s">
        <v>515</v>
      </c>
      <c r="C262" s="42" t="s">
        <v>516</v>
      </c>
      <c r="D262" s="42"/>
      <c r="E262" s="42" t="str">
        <f t="shared" ref="E262:F262" si="263">PROPER(B262)</f>
        <v>Buntatala Farmers &amp; Farm Worker Farmers Association</v>
      </c>
      <c r="F262" s="42" t="str">
        <f t="shared" si="263"/>
        <v>Buntatala, Leganes, Iloilo</v>
      </c>
      <c r="G262" s="42" t="str">
        <f t="shared" si="3"/>
        <v>Buntatala</v>
      </c>
      <c r="H262" s="42" t="str">
        <f t="shared" si="4"/>
        <v>Leganes</v>
      </c>
      <c r="I262" s="42" t="str">
        <f t="shared" si="5"/>
        <v>Iloilo</v>
      </c>
      <c r="J262" s="42" t="str">
        <f t="array" ref="J262">XLOOKUP($E262,'Recipients REF'!$B:$B,'Recipients REF'!D:D,"",0)</f>
        <v>Nilo G. Jontarciego</v>
      </c>
      <c r="K262" s="42" t="str">
        <f t="array" ref="K262">XLOOKUP($E262,'Recipients REF'!$B:$B,'Recipients REF'!E:E,"",0)</f>
        <v>0929 102 9216</v>
      </c>
      <c r="L262" s="43" t="str">
        <f t="array" ref="L262">XLOOKUP($A262,'Recipients REF'!$A:$A,'Recipients REF'!F:F,"",0)</f>
        <v>RCEF 23-09-21 Rebidding</v>
      </c>
      <c r="M262" s="43">
        <f t="array" ref="M262">XLOOKUP($A262,'Recipients REF'!$A:$A,'Recipients REF'!G:G,"",0)</f>
        <v>4</v>
      </c>
      <c r="N262" s="43">
        <f t="array" ref="N262">XLOOKUP($A262,'Recipients REF'!$A:$A,'Recipients REF'!H:H,"",0)</f>
        <v>19080</v>
      </c>
      <c r="O262" s="44" t="s">
        <v>25</v>
      </c>
      <c r="P262" s="45" t="s">
        <v>26</v>
      </c>
      <c r="Q262" s="46" t="str">
        <f t="array" ref="Q262">XLOOKUP($A262,'Recipients REF'!$A:$A,'Recipients REF'!I:I,"",0)</f>
        <v>KMC5825 AKRFPV0535</v>
      </c>
      <c r="R262" s="47" t="str">
        <f t="array" ref="R262">XLOOKUP($A262,'Recipients REF'!$A:$A,'Recipients REF'!J:J,"",0)</f>
        <v>RTS 100379</v>
      </c>
      <c r="S262" s="45" t="s">
        <v>27</v>
      </c>
      <c r="T262" s="45" t="s">
        <v>28</v>
      </c>
      <c r="U262" s="46" t="str">
        <f t="array" ref="U262">XLOOKUP($A262,'Recipients REF'!$A:$A,'Recipients REF'!K:K,"",0)</f>
        <v>R-SERIES 448 PH</v>
      </c>
      <c r="V262" s="44" t="s">
        <v>29</v>
      </c>
      <c r="W262" s="45" t="s">
        <v>30</v>
      </c>
      <c r="X262" s="47" t="str">
        <f t="array" ref="X262">XLOOKUP($A262,'Recipients REF'!$A:$A,'Recipients REF'!L:L,"",0)</f>
        <v>LSGW1750 RMP 24020512</v>
      </c>
      <c r="Y262" s="48" t="s">
        <v>29</v>
      </c>
      <c r="Z262" s="48" t="s">
        <v>31</v>
      </c>
      <c r="AA262" s="46" t="str">
        <f t="array" ref="AA262">XLOOKUP($A262,'Recipients REF'!$A:$A,'Recipients REF'!M:M,"",0)</f>
        <v>WDP40 RMP 24030346</v>
      </c>
      <c r="AB262" s="49"/>
      <c r="AC262" s="42"/>
      <c r="AD262" s="42"/>
      <c r="AE262" s="51"/>
      <c r="AF262" s="52"/>
      <c r="AG262" s="42"/>
      <c r="AH262" s="42"/>
      <c r="AI262" s="42" t="str">
        <f t="array" ref="AI262">XLOOKUP($E262,Sheet11!$D:$D,Sheet11!$X:$X,"",0)</f>
        <v/>
      </c>
      <c r="AJ262" s="42" t="str">
        <f t="array" ref="AJ262">XLOOKUP($E262,Sheet11!$D:$D,Sheet11!$Y:$Y,"",0)</f>
        <v/>
      </c>
    </row>
    <row r="263">
      <c r="A263" s="41">
        <v>423.0</v>
      </c>
      <c r="B263" s="42" t="s">
        <v>517</v>
      </c>
      <c r="C263" s="42" t="s">
        <v>518</v>
      </c>
      <c r="D263" s="42"/>
      <c r="E263" s="42" t="str">
        <f t="shared" ref="E263:F263" si="264">PROPER(B263)</f>
        <v>Cabilauan Farmers Association</v>
      </c>
      <c r="F263" s="42" t="str">
        <f t="shared" si="264"/>
        <v>Cabilauan, New Lucena, Iloilo</v>
      </c>
      <c r="G263" s="42" t="str">
        <f t="shared" si="3"/>
        <v>Cabilauan</v>
      </c>
      <c r="H263" s="42" t="str">
        <f t="shared" si="4"/>
        <v>New Lucena</v>
      </c>
      <c r="I263" s="42" t="str">
        <f t="shared" si="5"/>
        <v>Iloilo</v>
      </c>
      <c r="J263" s="42" t="str">
        <f t="array" ref="J263">XLOOKUP($E263,'Recipients REF'!$B:$B,'Recipients REF'!D:D,"",0)</f>
        <v>Cecilio E. Niego</v>
      </c>
      <c r="K263" s="42" t="str">
        <f t="array" ref="K263">XLOOKUP($E263,'Recipients REF'!$B:$B,'Recipients REF'!E:E,"",0)</f>
        <v>0948 350 5906/ 0966 163 9562</v>
      </c>
      <c r="L263" s="43" t="str">
        <f t="array" ref="L263">XLOOKUP($A263,'Recipients REF'!$A:$A,'Recipients REF'!F:F,"",0)</f>
        <v>RCEF 23-09-21 Rebidding</v>
      </c>
      <c r="M263" s="43">
        <f t="array" ref="M263">XLOOKUP($A263,'Recipients REF'!$A:$A,'Recipients REF'!G:G,"",0)</f>
        <v>4</v>
      </c>
      <c r="N263" s="43">
        <f t="array" ref="N263">XLOOKUP($A263,'Recipients REF'!$A:$A,'Recipients REF'!H:H,"",0)</f>
        <v>19081</v>
      </c>
      <c r="O263" s="44" t="s">
        <v>25</v>
      </c>
      <c r="P263" s="45" t="s">
        <v>26</v>
      </c>
      <c r="Q263" s="46" t="str">
        <f t="array" ref="Q263">XLOOKUP($A263,'Recipients REF'!$A:$A,'Recipients REF'!I:I,"",0)</f>
        <v>KMC5825 ALRFPV0610</v>
      </c>
      <c r="R263" s="47" t="str">
        <f t="array" ref="R263">XLOOKUP($A263,'Recipients REF'!$A:$A,'Recipients REF'!J:J,"",0)</f>
        <v>RTS 100587</v>
      </c>
      <c r="S263" s="45" t="s">
        <v>27</v>
      </c>
      <c r="T263" s="45" t="s">
        <v>28</v>
      </c>
      <c r="U263" s="46" t="str">
        <f t="array" ref="U263">XLOOKUP($A263,'Recipients REF'!$A:$A,'Recipients REF'!K:K,"",0)</f>
        <v>R-SERIES 421 PH</v>
      </c>
      <c r="V263" s="44" t="s">
        <v>29</v>
      </c>
      <c r="W263" s="45" t="s">
        <v>30</v>
      </c>
      <c r="X263" s="47" t="str">
        <f t="array" ref="X263">XLOOKUP($A263,'Recipients REF'!$A:$A,'Recipients REF'!L:L,"",0)</f>
        <v>LSGW1750 RMP 24020467</v>
      </c>
      <c r="Y263" s="48" t="s">
        <v>29</v>
      </c>
      <c r="Z263" s="48" t="s">
        <v>31</v>
      </c>
      <c r="AA263" s="46" t="str">
        <f t="array" ref="AA263">XLOOKUP($A263,'Recipients REF'!$A:$A,'Recipients REF'!M:M,"",0)</f>
        <v>WDP40 RMP 24030377</v>
      </c>
      <c r="AB263" s="49"/>
      <c r="AC263" s="42"/>
      <c r="AD263" s="42"/>
      <c r="AE263" s="50"/>
      <c r="AF263" s="42"/>
      <c r="AG263" s="42"/>
      <c r="AH263" s="42"/>
      <c r="AI263" s="42">
        <f t="array" ref="AI263">XLOOKUP($E263,Sheet11!$D:$D,Sheet11!$X:$X,"",0)</f>
        <v>869066060241883</v>
      </c>
      <c r="AJ263" s="42">
        <f t="array" ref="AJ263">XLOOKUP($E263,Sheet11!$D:$D,Sheet11!$Y:$Y,"",0)</f>
        <v>9086528375</v>
      </c>
    </row>
    <row r="264">
      <c r="A264" s="41">
        <v>424.0</v>
      </c>
      <c r="B264" s="42" t="s">
        <v>519</v>
      </c>
      <c r="C264" s="42" t="s">
        <v>520</v>
      </c>
      <c r="D264" s="42"/>
      <c r="E264" s="42" t="str">
        <f t="shared" ref="E264:F264" si="265">PROPER(B264)</f>
        <v>San Miguel Farmer'S Agriculture Cooperative</v>
      </c>
      <c r="F264" s="42" t="str">
        <f t="shared" si="265"/>
        <v>Bgy. 8 Pob. (Montano - San Roque), San Miguel, Iloilo</v>
      </c>
      <c r="G264" s="42" t="str">
        <f t="shared" si="3"/>
        <v>Bgy. 8 Pob. (Montano - San Roque)</v>
      </c>
      <c r="H264" s="42" t="str">
        <f t="shared" si="4"/>
        <v>San Miguel</v>
      </c>
      <c r="I264" s="42" t="str">
        <f t="shared" si="5"/>
        <v>Iloilo</v>
      </c>
      <c r="J264" s="42" t="str">
        <f t="array" ref="J264">XLOOKUP($E264,'Recipients REF'!$B:$B,'Recipients REF'!D:D,"",0)</f>
        <v>Jose Pepe Caoyonan</v>
      </c>
      <c r="K264" s="42" t="str">
        <f t="array" ref="K264">XLOOKUP($E264,'Recipients REF'!$B:$B,'Recipients REF'!E:E,"",0)</f>
        <v>9212472033/ 09077139009</v>
      </c>
      <c r="L264" s="43" t="str">
        <f t="array" ref="L264">XLOOKUP($A264,'Recipients REF'!$A:$A,'Recipients REF'!F:F,"",0)</f>
        <v>RCEF 23-09-21 Rebidding</v>
      </c>
      <c r="M264" s="43">
        <f t="array" ref="M264">XLOOKUP($A264,'Recipients REF'!$A:$A,'Recipients REF'!G:G,"",0)</f>
        <v>4</v>
      </c>
      <c r="N264" s="43">
        <f t="array" ref="N264">XLOOKUP($A264,'Recipients REF'!$A:$A,'Recipients REF'!H:H,"",0)</f>
        <v>19082</v>
      </c>
      <c r="O264" s="44" t="s">
        <v>25</v>
      </c>
      <c r="P264" s="45" t="s">
        <v>26</v>
      </c>
      <c r="Q264" s="46" t="str">
        <f t="array" ref="Q264">XLOOKUP($A264,'Recipients REF'!$A:$A,'Recipients REF'!I:I,"",0)</f>
        <v>KMC5825 APRFPV0548</v>
      </c>
      <c r="R264" s="47" t="str">
        <f t="array" ref="R264">XLOOKUP($A264,'Recipients REF'!$A:$A,'Recipients REF'!J:J,"",0)</f>
        <v>RTS 100455</v>
      </c>
      <c r="S264" s="45" t="s">
        <v>27</v>
      </c>
      <c r="T264" s="45" t="s">
        <v>28</v>
      </c>
      <c r="U264" s="46" t="str">
        <f t="array" ref="U264">XLOOKUP($A264,'Recipients REF'!$A:$A,'Recipients REF'!K:K,"",0)</f>
        <v>R-SERIES 428 PH</v>
      </c>
      <c r="V264" s="44" t="s">
        <v>29</v>
      </c>
      <c r="W264" s="45" t="s">
        <v>30</v>
      </c>
      <c r="X264" s="47" t="str">
        <f t="array" ref="X264">XLOOKUP($A264,'Recipients REF'!$A:$A,'Recipients REF'!L:L,"",0)</f>
        <v>LSGW1750 RMP 24020473</v>
      </c>
      <c r="Y264" s="48" t="s">
        <v>29</v>
      </c>
      <c r="Z264" s="48" t="s">
        <v>31</v>
      </c>
      <c r="AA264" s="46" t="str">
        <f t="array" ref="AA264">XLOOKUP($A264,'Recipients REF'!$A:$A,'Recipients REF'!M:M,"",0)</f>
        <v>WDP40 RMP 24030391</v>
      </c>
      <c r="AB264" s="49"/>
      <c r="AC264" s="42"/>
      <c r="AD264" s="42"/>
      <c r="AE264" s="50"/>
      <c r="AF264" s="42"/>
      <c r="AG264" s="42"/>
      <c r="AH264" s="42"/>
      <c r="AI264" s="42" t="str">
        <f t="array" ref="AI264">XLOOKUP($E264,Sheet11!$D:$D,Sheet11!$X:$X,"",0)</f>
        <v/>
      </c>
      <c r="AJ264" s="42" t="str">
        <f t="array" ref="AJ264">XLOOKUP($E264,Sheet11!$D:$D,Sheet11!$Y:$Y,"",0)</f>
        <v/>
      </c>
    </row>
    <row r="265">
      <c r="A265" s="41">
        <v>425.0</v>
      </c>
      <c r="B265" s="42" t="s">
        <v>521</v>
      </c>
      <c r="C265" s="42" t="s">
        <v>522</v>
      </c>
      <c r="D265" s="42"/>
      <c r="E265" s="42" t="str">
        <f t="shared" ref="E265:F265" si="266">PROPER(B265)</f>
        <v>Balibagan Farmers Association</v>
      </c>
      <c r="F265" s="42" t="str">
        <f t="shared" si="266"/>
        <v>Balibagan Este, Santa Barbara, Iloilo</v>
      </c>
      <c r="G265" s="42" t="str">
        <f t="shared" si="3"/>
        <v>Balibagan Este</v>
      </c>
      <c r="H265" s="42" t="str">
        <f t="shared" si="4"/>
        <v>Santa Barbara</v>
      </c>
      <c r="I265" s="42" t="str">
        <f t="shared" si="5"/>
        <v>Iloilo</v>
      </c>
      <c r="J265" s="42" t="str">
        <f t="array" ref="J265">XLOOKUP($E265,'Recipients REF'!$B:$B,'Recipients REF'!D:D,"",0)</f>
        <v>Flavio S. Somejo</v>
      </c>
      <c r="K265" s="42">
        <f t="array" ref="K265">XLOOKUP($E265,'Recipients REF'!$B:$B,'Recipients REF'!E:E,"",0)</f>
        <v>9073947899</v>
      </c>
      <c r="L265" s="43" t="str">
        <f t="array" ref="L265">XLOOKUP($A265,'Recipients REF'!$A:$A,'Recipients REF'!F:F,"",0)</f>
        <v>RCEF 23-09-21 Rebidding</v>
      </c>
      <c r="M265" s="43">
        <f t="array" ref="M265">XLOOKUP($A265,'Recipients REF'!$A:$A,'Recipients REF'!G:G,"",0)</f>
        <v>4</v>
      </c>
      <c r="N265" s="43">
        <f t="array" ref="N265">XLOOKUP($A265,'Recipients REF'!$A:$A,'Recipients REF'!H:H,"",0)</f>
        <v>19083</v>
      </c>
      <c r="O265" s="44" t="s">
        <v>25</v>
      </c>
      <c r="P265" s="45" t="s">
        <v>26</v>
      </c>
      <c r="Q265" s="46" t="str">
        <f t="array" ref="Q265">XLOOKUP($A265,'Recipients REF'!$A:$A,'Recipients REF'!I:I,"",0)</f>
        <v>KMC5825 ALRFPV0297</v>
      </c>
      <c r="R265" s="47" t="str">
        <f t="array" ref="R265">XLOOKUP($A265,'Recipients REF'!$A:$A,'Recipients REF'!J:J,"",0)</f>
        <v>RTS 100105</v>
      </c>
      <c r="S265" s="45" t="s">
        <v>27</v>
      </c>
      <c r="T265" s="45" t="s">
        <v>28</v>
      </c>
      <c r="U265" s="46" t="str">
        <f t="array" ref="U265">XLOOKUP($A265,'Recipients REF'!$A:$A,'Recipients REF'!K:K,"",0)</f>
        <v>WR-SERIES 725 PH</v>
      </c>
      <c r="V265" s="44" t="s">
        <v>29</v>
      </c>
      <c r="W265" s="45" t="s">
        <v>30</v>
      </c>
      <c r="X265" s="47" t="str">
        <f t="array" ref="X265">XLOOKUP($A265,'Recipients REF'!$A:$A,'Recipients REF'!L:L,"",0)</f>
        <v>LSGW1750 RMP 24020501</v>
      </c>
      <c r="Y265" s="48" t="s">
        <v>29</v>
      </c>
      <c r="Z265" s="48" t="s">
        <v>31</v>
      </c>
      <c r="AA265" s="46" t="str">
        <f t="array" ref="AA265">XLOOKUP($A265,'Recipients REF'!$A:$A,'Recipients REF'!M:M,"",0)</f>
        <v>WDP40 RMP 24030394</v>
      </c>
      <c r="AB265" s="49"/>
      <c r="AC265" s="42"/>
      <c r="AD265" s="42"/>
      <c r="AE265" s="50"/>
      <c r="AF265" s="42"/>
      <c r="AG265" s="42"/>
      <c r="AH265" s="42"/>
      <c r="AI265" s="42" t="str">
        <f t="array" ref="AI265">XLOOKUP($E265,Sheet11!$D:$D,Sheet11!$X:$X,"",0)</f>
        <v/>
      </c>
      <c r="AJ265" s="42" t="str">
        <f t="array" ref="AJ265">XLOOKUP($E265,Sheet11!$D:$D,Sheet11!$Y:$Y,"",0)</f>
        <v/>
      </c>
    </row>
    <row r="266">
      <c r="A266" s="41">
        <v>426.0</v>
      </c>
      <c r="B266" s="42" t="s">
        <v>523</v>
      </c>
      <c r="C266" s="42" t="s">
        <v>524</v>
      </c>
      <c r="D266" s="42"/>
      <c r="E266" s="42" t="str">
        <f t="shared" ref="E266:F266" si="267">PROPER(B266)</f>
        <v>Inagdangan Centro Farmers Association (Icfa)</v>
      </c>
      <c r="F266" s="42" t="str">
        <f t="shared" si="267"/>
        <v>Inagdangan Centro, Zarraga, Iloilo</v>
      </c>
      <c r="G266" s="42" t="str">
        <f t="shared" si="3"/>
        <v>Inagdangan Centro</v>
      </c>
      <c r="H266" s="42" t="str">
        <f t="shared" si="4"/>
        <v>Zarraga</v>
      </c>
      <c r="I266" s="42" t="str">
        <f t="shared" si="5"/>
        <v>Iloilo</v>
      </c>
      <c r="J266" s="42" t="str">
        <f t="array" ref="J266">XLOOKUP($E266,'Recipients REF'!$B:$B,'Recipients REF'!D:D,"",0)</f>
        <v>Edwin S. Guino-o</v>
      </c>
      <c r="K266" s="42">
        <f t="array" ref="K266">XLOOKUP($E266,'Recipients REF'!$B:$B,'Recipients REF'!E:E,"",0)</f>
        <v>9273584635</v>
      </c>
      <c r="L266" s="43" t="str">
        <f t="array" ref="L266">XLOOKUP($A266,'Recipients REF'!$A:$A,'Recipients REF'!F:F,"",0)</f>
        <v>RCEF 23-09-21 Rebidding</v>
      </c>
      <c r="M266" s="43">
        <f t="array" ref="M266">XLOOKUP($A266,'Recipients REF'!$A:$A,'Recipients REF'!G:G,"",0)</f>
        <v>4</v>
      </c>
      <c r="N266" s="43">
        <f t="array" ref="N266">XLOOKUP($A266,'Recipients REF'!$A:$A,'Recipients REF'!H:H,"",0)</f>
        <v>19084</v>
      </c>
      <c r="O266" s="44" t="s">
        <v>25</v>
      </c>
      <c r="P266" s="45" t="s">
        <v>26</v>
      </c>
      <c r="Q266" s="46" t="str">
        <f t="array" ref="Q266">XLOOKUP($A266,'Recipients REF'!$A:$A,'Recipients REF'!I:I,"",0)</f>
        <v>KMC5825 AHRFPV0351</v>
      </c>
      <c r="R266" s="47" t="str">
        <f t="array" ref="R266">XLOOKUP($A266,'Recipients REF'!$A:$A,'Recipients REF'!J:J,"",0)</f>
        <v>RTS 100235</v>
      </c>
      <c r="S266" s="45" t="s">
        <v>27</v>
      </c>
      <c r="T266" s="45" t="s">
        <v>28</v>
      </c>
      <c r="U266" s="46" t="str">
        <f t="array" ref="U266">XLOOKUP($A266,'Recipients REF'!$A:$A,'Recipients REF'!K:K,"",0)</f>
        <v>R-SERIES 427 PH</v>
      </c>
      <c r="V266" s="44" t="s">
        <v>29</v>
      </c>
      <c r="W266" s="45" t="s">
        <v>30</v>
      </c>
      <c r="X266" s="47" t="str">
        <f t="array" ref="X266">XLOOKUP($A266,'Recipients REF'!$A:$A,'Recipients REF'!L:L,"",0)</f>
        <v>LSGW1750 RMP 24020514</v>
      </c>
      <c r="Y266" s="48" t="s">
        <v>29</v>
      </c>
      <c r="Z266" s="48" t="s">
        <v>31</v>
      </c>
      <c r="AA266" s="46" t="str">
        <f t="array" ref="AA266">XLOOKUP($A266,'Recipients REF'!$A:$A,'Recipients REF'!M:M,"",0)</f>
        <v>WDP40 RMP 24030390</v>
      </c>
      <c r="AB266" s="49"/>
      <c r="AC266" s="42"/>
      <c r="AD266" s="42"/>
      <c r="AE266" s="50"/>
      <c r="AF266" s="42"/>
      <c r="AG266" s="42"/>
      <c r="AH266" s="42"/>
      <c r="AI266" s="42" t="str">
        <f t="array" ref="AI266">XLOOKUP($E266,Sheet11!$D:$D,Sheet11!$X:$X,"",0)</f>
        <v/>
      </c>
      <c r="AJ266" s="42" t="str">
        <f t="array" ref="AJ266">XLOOKUP($E266,Sheet11!$D:$D,Sheet11!$Y:$Y,"",0)</f>
        <v/>
      </c>
    </row>
    <row r="267">
      <c r="A267" s="41">
        <v>427.0</v>
      </c>
      <c r="B267" s="42" t="s">
        <v>525</v>
      </c>
      <c r="C267" s="42" t="s">
        <v>526</v>
      </c>
      <c r="D267" s="42"/>
      <c r="E267" s="42" t="str">
        <f t="shared" ref="E267:F267" si="268">PROPER(B267)</f>
        <v>Tina Integrated Farmers Association</v>
      </c>
      <c r="F267" s="42" t="str">
        <f t="shared" si="268"/>
        <v>Tina, Badiangan, Iloilo</v>
      </c>
      <c r="G267" s="42" t="str">
        <f t="shared" si="3"/>
        <v>Tina</v>
      </c>
      <c r="H267" s="42" t="str">
        <f t="shared" si="4"/>
        <v>Badiangan</v>
      </c>
      <c r="I267" s="42" t="str">
        <f t="shared" si="5"/>
        <v>Iloilo</v>
      </c>
      <c r="J267" s="42" t="str">
        <f t="array" ref="J267">XLOOKUP($E267,'Recipients REF'!$B:$B,'Recipients REF'!D:D,"",0)</f>
        <v>Gilbert P. Afinadad</v>
      </c>
      <c r="K267" s="42" t="str">
        <f t="array" ref="K267">XLOOKUP($E267,'Recipients REF'!$B:$B,'Recipients REF'!E:E,"",0)</f>
        <v>0909 528 5702</v>
      </c>
      <c r="L267" s="43" t="str">
        <f t="array" ref="L267">XLOOKUP($A267,'Recipients REF'!$A:$A,'Recipients REF'!F:F,"",0)</f>
        <v>RCEF 23-09-21 Rebidding</v>
      </c>
      <c r="M267" s="43">
        <f t="array" ref="M267">XLOOKUP($A267,'Recipients REF'!$A:$A,'Recipients REF'!G:G,"",0)</f>
        <v>4</v>
      </c>
      <c r="N267" s="43">
        <f t="array" ref="N267">XLOOKUP($A267,'Recipients REF'!$A:$A,'Recipients REF'!H:H,"",0)</f>
        <v>19085</v>
      </c>
      <c r="O267" s="44" t="s">
        <v>25</v>
      </c>
      <c r="P267" s="45" t="s">
        <v>26</v>
      </c>
      <c r="Q267" s="46" t="str">
        <f t="array" ref="Q267">XLOOKUP($A267,'Recipients REF'!$A:$A,'Recipients REF'!I:I,"",0)</f>
        <v>KMC5825 ATRFPV0547</v>
      </c>
      <c r="R267" s="47" t="str">
        <f t="array" ref="R267">XLOOKUP($A267,'Recipients REF'!$A:$A,'Recipients REF'!J:J,"",0)</f>
        <v>RTS 100458</v>
      </c>
      <c r="S267" s="45" t="s">
        <v>27</v>
      </c>
      <c r="T267" s="45" t="s">
        <v>28</v>
      </c>
      <c r="U267" s="46" t="str">
        <f t="array" ref="U267">XLOOKUP($A267,'Recipients REF'!$A:$A,'Recipients REF'!K:K,"",0)</f>
        <v>R-SERIES 380 PH</v>
      </c>
      <c r="V267" s="44" t="s">
        <v>29</v>
      </c>
      <c r="W267" s="45" t="s">
        <v>30</v>
      </c>
      <c r="X267" s="47" t="str">
        <f t="array" ref="X267">XLOOKUP($A267,'Recipients REF'!$A:$A,'Recipients REF'!L:L,"",0)</f>
        <v>LSGW1750 RMP 24020500</v>
      </c>
      <c r="Y267" s="48" t="s">
        <v>29</v>
      </c>
      <c r="Z267" s="48" t="s">
        <v>31</v>
      </c>
      <c r="AA267" s="46" t="str">
        <f t="array" ref="AA267">XLOOKUP($A267,'Recipients REF'!$A:$A,'Recipients REF'!M:M,"",0)</f>
        <v>WDP40 RMP 24030380</v>
      </c>
      <c r="AB267" s="49"/>
      <c r="AC267" s="42"/>
      <c r="AD267" s="42"/>
      <c r="AE267" s="50"/>
      <c r="AF267" s="42"/>
      <c r="AG267" s="42"/>
      <c r="AH267" s="42"/>
      <c r="AI267" s="42" t="str">
        <f t="array" ref="AI267">XLOOKUP($E267,Sheet11!$D:$D,Sheet11!$X:$X,"",0)</f>
        <v/>
      </c>
      <c r="AJ267" s="42" t="str">
        <f t="array" ref="AJ267">XLOOKUP($E267,Sheet11!$D:$D,Sheet11!$Y:$Y,"",0)</f>
        <v/>
      </c>
    </row>
    <row r="268">
      <c r="A268" s="41">
        <v>428.0</v>
      </c>
      <c r="B268" s="42" t="s">
        <v>527</v>
      </c>
      <c r="C268" s="42" t="s">
        <v>528</v>
      </c>
      <c r="D268" s="42"/>
      <c r="E268" s="42" t="str">
        <f t="shared" ref="E268:F268" si="269">PROPER(B268)</f>
        <v>Cubay Evangelical Farmers Association</v>
      </c>
      <c r="F268" s="42" t="str">
        <f t="shared" si="269"/>
        <v>Poblacion, Bingawan, Iloilo</v>
      </c>
      <c r="G268" s="42" t="str">
        <f t="shared" si="3"/>
        <v>Poblacion</v>
      </c>
      <c r="H268" s="42" t="str">
        <f t="shared" si="4"/>
        <v>Bingawan</v>
      </c>
      <c r="I268" s="42" t="str">
        <f t="shared" si="5"/>
        <v>Iloilo</v>
      </c>
      <c r="J268" s="42" t="str">
        <f t="array" ref="J268">XLOOKUP($E268,'Recipients REF'!$B:$B,'Recipients REF'!D:D,"",0)</f>
        <v>Lemuel G. Magnifico</v>
      </c>
      <c r="K268" s="42" t="str">
        <f t="array" ref="K268">XLOOKUP($E268,'Recipients REF'!$B:$B,'Recipients REF'!E:E,"",0)</f>
        <v>0918 760 2724/0905 418 9162</v>
      </c>
      <c r="L268" s="43" t="str">
        <f t="array" ref="L268">XLOOKUP($A268,'Recipients REF'!$A:$A,'Recipients REF'!F:F,"",0)</f>
        <v>RCEF 23-09-21 Rebidding</v>
      </c>
      <c r="M268" s="43">
        <f t="array" ref="M268">XLOOKUP($A268,'Recipients REF'!$A:$A,'Recipients REF'!G:G,"",0)</f>
        <v>4</v>
      </c>
      <c r="N268" s="43">
        <f t="array" ref="N268">XLOOKUP($A268,'Recipients REF'!$A:$A,'Recipients REF'!H:H,"",0)</f>
        <v>19086</v>
      </c>
      <c r="O268" s="44" t="s">
        <v>25</v>
      </c>
      <c r="P268" s="45" t="s">
        <v>26</v>
      </c>
      <c r="Q268" s="46" t="str">
        <f t="array" ref="Q268">XLOOKUP($A268,'Recipients REF'!$A:$A,'Recipients REF'!I:I,"",0)</f>
        <v>KMC5825 ACRFPV0580</v>
      </c>
      <c r="R268" s="47" t="str">
        <f t="array" ref="R268">XLOOKUP($A268,'Recipients REF'!$A:$A,'Recipients REF'!J:J,"",0)</f>
        <v>RTS 100496</v>
      </c>
      <c r="S268" s="45" t="s">
        <v>27</v>
      </c>
      <c r="T268" s="45" t="s">
        <v>28</v>
      </c>
      <c r="U268" s="46" t="str">
        <f t="array" ref="U268">XLOOKUP($A268,'Recipients REF'!$A:$A,'Recipients REF'!K:K,"",0)</f>
        <v>R-SERIES 443 PH</v>
      </c>
      <c r="V268" s="44" t="s">
        <v>29</v>
      </c>
      <c r="W268" s="45" t="s">
        <v>30</v>
      </c>
      <c r="X268" s="47" t="str">
        <f t="array" ref="X268">XLOOKUP($A268,'Recipients REF'!$A:$A,'Recipients REF'!L:L,"",0)</f>
        <v>LSGW1750 RMP 24020509</v>
      </c>
      <c r="Y268" s="48" t="s">
        <v>29</v>
      </c>
      <c r="Z268" s="48" t="s">
        <v>31</v>
      </c>
      <c r="AA268" s="46" t="str">
        <f t="array" ref="AA268">XLOOKUP($A268,'Recipients REF'!$A:$A,'Recipients REF'!M:M,"",0)</f>
        <v>WDP40 RMP 24030361</v>
      </c>
      <c r="AB268" s="49"/>
      <c r="AC268" s="42"/>
      <c r="AD268" s="42"/>
      <c r="AE268" s="50"/>
      <c r="AF268" s="42"/>
      <c r="AG268" s="42"/>
      <c r="AH268" s="42"/>
      <c r="AI268" s="42" t="str">
        <f t="array" ref="AI268">XLOOKUP($E268,Sheet11!$D:$D,Sheet11!$X:$X,"",0)</f>
        <v/>
      </c>
      <c r="AJ268" s="42" t="str">
        <f t="array" ref="AJ268">XLOOKUP($E268,Sheet11!$D:$D,Sheet11!$Y:$Y,"",0)</f>
        <v/>
      </c>
    </row>
    <row r="269">
      <c r="A269" s="41">
        <v>429.0</v>
      </c>
      <c r="B269" s="42" t="s">
        <v>529</v>
      </c>
      <c r="C269" s="42" t="s">
        <v>530</v>
      </c>
      <c r="D269" s="42"/>
      <c r="E269" s="42" t="str">
        <f t="shared" ref="E269:F269" si="270">PROPER(B269)</f>
        <v>Guintapagin Agrarian Reform Beneficiaries Multi-Purpose Cooperative</v>
      </c>
      <c r="F269" s="42" t="str">
        <f t="shared" si="270"/>
        <v>Tapacon, Bingawan, Iloilo</v>
      </c>
      <c r="G269" s="42" t="str">
        <f t="shared" si="3"/>
        <v>Tapacon</v>
      </c>
      <c r="H269" s="42" t="str">
        <f t="shared" si="4"/>
        <v>Bingawan</v>
      </c>
      <c r="I269" s="42" t="str">
        <f t="shared" si="5"/>
        <v>Iloilo</v>
      </c>
      <c r="J269" s="42" t="str">
        <f t="array" ref="J269">XLOOKUP($E269,'Recipients REF'!$B:$B,'Recipients REF'!D:D,"",0)</f>
        <v>Mamerta P. Pelagio</v>
      </c>
      <c r="K269" s="42">
        <f t="array" ref="K269">XLOOKUP($E269,'Recipients REF'!$B:$B,'Recipients REF'!E:E,"",0)</f>
        <v>9636249645</v>
      </c>
      <c r="L269" s="43" t="str">
        <f t="array" ref="L269">XLOOKUP($A269,'Recipients REF'!$A:$A,'Recipients REF'!F:F,"",0)</f>
        <v>RCEF 23-09-21 Rebidding</v>
      </c>
      <c r="M269" s="43">
        <f t="array" ref="M269">XLOOKUP($A269,'Recipients REF'!$A:$A,'Recipients REF'!G:G,"",0)</f>
        <v>4</v>
      </c>
      <c r="N269" s="43">
        <f t="array" ref="N269">XLOOKUP($A269,'Recipients REF'!$A:$A,'Recipients REF'!H:H,"",0)</f>
        <v>19087</v>
      </c>
      <c r="O269" s="44" t="s">
        <v>25</v>
      </c>
      <c r="P269" s="45" t="s">
        <v>26</v>
      </c>
      <c r="Q269" s="46" t="str">
        <f t="array" ref="Q269">XLOOKUP($A269,'Recipients REF'!$A:$A,'Recipients REF'!I:I,"",0)</f>
        <v>KMC5825 AERFPV0691</v>
      </c>
      <c r="R269" s="47" t="str">
        <f t="array" ref="R269">XLOOKUP($A269,'Recipients REF'!$A:$A,'Recipients REF'!J:J,"",0)</f>
        <v>RTS 100 600</v>
      </c>
      <c r="S269" s="45" t="s">
        <v>27</v>
      </c>
      <c r="T269" s="45" t="s">
        <v>28</v>
      </c>
      <c r="U269" s="46" t="str">
        <f t="array" ref="U269">XLOOKUP($A269,'Recipients REF'!$A:$A,'Recipients REF'!K:K,"",0)</f>
        <v>R-SERIES 440 PH</v>
      </c>
      <c r="V269" s="44" t="s">
        <v>29</v>
      </c>
      <c r="W269" s="45" t="s">
        <v>30</v>
      </c>
      <c r="X269" s="47" t="str">
        <f t="array" ref="X269">XLOOKUP($A269,'Recipients REF'!$A:$A,'Recipients REF'!L:L,"",0)</f>
        <v>LSGW1750 RMP 24020513</v>
      </c>
      <c r="Y269" s="48" t="s">
        <v>29</v>
      </c>
      <c r="Z269" s="48" t="s">
        <v>31</v>
      </c>
      <c r="AA269" s="46" t="str">
        <f t="array" ref="AA269">XLOOKUP($A269,'Recipients REF'!$A:$A,'Recipients REF'!M:M,"",0)</f>
        <v>WDP40 RMP 24030339</v>
      </c>
      <c r="AB269" s="49"/>
      <c r="AC269" s="42"/>
      <c r="AD269" s="42"/>
      <c r="AE269" s="50"/>
      <c r="AF269" s="42"/>
      <c r="AG269" s="42"/>
      <c r="AH269" s="42"/>
      <c r="AI269" s="42" t="str">
        <f t="array" ref="AI269">XLOOKUP($E269,Sheet11!$D:$D,Sheet11!$X:$X,"",0)</f>
        <v/>
      </c>
      <c r="AJ269" s="42" t="str">
        <f t="array" ref="AJ269">XLOOKUP($E269,Sheet11!$D:$D,Sheet11!$Y:$Y,"",0)</f>
        <v/>
      </c>
    </row>
    <row r="270">
      <c r="A270" s="41">
        <v>430.0</v>
      </c>
      <c r="B270" s="42" t="s">
        <v>531</v>
      </c>
      <c r="C270" s="42" t="s">
        <v>532</v>
      </c>
      <c r="D270" s="42"/>
      <c r="E270" s="42" t="str">
        <f t="shared" ref="E270:F270" si="271">PROPER(B270)</f>
        <v>Gaub Farmers Association</v>
      </c>
      <c r="F270" s="42" t="str">
        <f t="shared" si="271"/>
        <v>Gaub, Cabatuan, Iloilo</v>
      </c>
      <c r="G270" s="42" t="str">
        <f t="shared" si="3"/>
        <v>Gaub</v>
      </c>
      <c r="H270" s="42" t="str">
        <f t="shared" si="4"/>
        <v>Cabatuan</v>
      </c>
      <c r="I270" s="42" t="str">
        <f t="shared" si="5"/>
        <v>Iloilo</v>
      </c>
      <c r="J270" s="42" t="str">
        <f t="array" ref="J270">XLOOKUP($E270,'Recipients REF'!$B:$B,'Recipients REF'!D:D,"",0)</f>
        <v>Rosanne A. Paniagua</v>
      </c>
      <c r="K270" s="42">
        <f t="array" ref="K270">XLOOKUP($E270,'Recipients REF'!$B:$B,'Recipients REF'!E:E,"",0)</f>
        <v>9177914376</v>
      </c>
      <c r="L270" s="43" t="str">
        <f t="array" ref="L270">XLOOKUP($A270,'Recipients REF'!$A:$A,'Recipients REF'!F:F,"",0)</f>
        <v>RCEF 23-09-21 Rebidding</v>
      </c>
      <c r="M270" s="43">
        <f t="array" ref="M270">XLOOKUP($A270,'Recipients REF'!$A:$A,'Recipients REF'!G:G,"",0)</f>
        <v>4</v>
      </c>
      <c r="N270" s="43">
        <f t="array" ref="N270">XLOOKUP($A270,'Recipients REF'!$A:$A,'Recipients REF'!H:H,"",0)</f>
        <v>19088</v>
      </c>
      <c r="O270" s="44" t="s">
        <v>25</v>
      </c>
      <c r="P270" s="45" t="s">
        <v>26</v>
      </c>
      <c r="Q270" s="46" t="str">
        <f t="array" ref="Q270">XLOOKUP($A270,'Recipients REF'!$A:$A,'Recipients REF'!I:I,"",0)</f>
        <v>KMC5825 AERFPV0304</v>
      </c>
      <c r="R270" s="47" t="str">
        <f t="array" ref="R270">XLOOKUP($A270,'Recipients REF'!$A:$A,'Recipients REF'!J:J,"",0)</f>
        <v>RTS 100188</v>
      </c>
      <c r="S270" s="45" t="s">
        <v>27</v>
      </c>
      <c r="T270" s="45" t="s">
        <v>28</v>
      </c>
      <c r="U270" s="46" t="str">
        <f t="array" ref="U270">XLOOKUP($A270,'Recipients REF'!$A:$A,'Recipients REF'!K:K,"",0)</f>
        <v>R-SERIES 426 PH</v>
      </c>
      <c r="V270" s="44" t="s">
        <v>29</v>
      </c>
      <c r="W270" s="45" t="s">
        <v>30</v>
      </c>
      <c r="X270" s="47" t="str">
        <f t="array" ref="X270">XLOOKUP($A270,'Recipients REF'!$A:$A,'Recipients REF'!L:L,"",0)</f>
        <v>LSGW1750 RMP 24040706</v>
      </c>
      <c r="Y270" s="48" t="s">
        <v>29</v>
      </c>
      <c r="Z270" s="48" t="s">
        <v>31</v>
      </c>
      <c r="AA270" s="46" t="str">
        <f t="array" ref="AA270">XLOOKUP($A270,'Recipients REF'!$A:$A,'Recipients REF'!M:M,"",0)</f>
        <v>WDP40 RMP 24040411</v>
      </c>
      <c r="AB270" s="49"/>
      <c r="AC270" s="42"/>
      <c r="AD270" s="42"/>
      <c r="AE270" s="50"/>
      <c r="AF270" s="42"/>
      <c r="AG270" s="42"/>
      <c r="AH270" s="42"/>
      <c r="AI270" s="42">
        <f t="array" ref="AI270">XLOOKUP($E270,Sheet11!$D:$D,Sheet11!$X:$X,"",0)</f>
        <v>869066060242675</v>
      </c>
      <c r="AJ270" s="42">
        <f t="array" ref="AJ270">XLOOKUP($E270,Sheet11!$D:$D,Sheet11!$Y:$Y,"",0)</f>
        <v>9082057048</v>
      </c>
    </row>
    <row r="271">
      <c r="A271" s="41">
        <v>431.0</v>
      </c>
      <c r="B271" s="42" t="s">
        <v>533</v>
      </c>
      <c r="C271" s="42" t="s">
        <v>534</v>
      </c>
      <c r="D271" s="42"/>
      <c r="E271" s="42" t="str">
        <f t="shared" ref="E271:F271" si="272">PROPER(B271)</f>
        <v>Talanghauan Farmers Association</v>
      </c>
      <c r="F271" s="42" t="str">
        <f t="shared" si="272"/>
        <v>Talanghauan, Cabatuan, Iloilo</v>
      </c>
      <c r="G271" s="42" t="str">
        <f t="shared" si="3"/>
        <v>Talanghauan</v>
      </c>
      <c r="H271" s="42" t="str">
        <f t="shared" si="4"/>
        <v>Cabatuan</v>
      </c>
      <c r="I271" s="42" t="str">
        <f t="shared" si="5"/>
        <v>Iloilo</v>
      </c>
      <c r="J271" s="42" t="str">
        <f t="array" ref="J271">XLOOKUP($E271,'Recipients REF'!$B:$B,'Recipients REF'!D:D,"",0)</f>
        <v>Mesalina B. Zaragoza</v>
      </c>
      <c r="K271" s="42" t="str">
        <f t="array" ref="K271">XLOOKUP($E271,'Recipients REF'!$B:$B,'Recipients REF'!E:E,"",0)</f>
        <v>0905 544 8702/ 0995 602 6677</v>
      </c>
      <c r="L271" s="43" t="str">
        <f t="array" ref="L271">XLOOKUP($A271,'Recipients REF'!$A:$A,'Recipients REF'!F:F,"",0)</f>
        <v>RCEF 23-09-21 Rebidding</v>
      </c>
      <c r="M271" s="43">
        <f t="array" ref="M271">XLOOKUP($A271,'Recipients REF'!$A:$A,'Recipients REF'!G:G,"",0)</f>
        <v>4</v>
      </c>
      <c r="N271" s="43">
        <f t="array" ref="N271">XLOOKUP($A271,'Recipients REF'!$A:$A,'Recipients REF'!H:H,"",0)</f>
        <v>19089</v>
      </c>
      <c r="O271" s="44" t="s">
        <v>25</v>
      </c>
      <c r="P271" s="45" t="s">
        <v>26</v>
      </c>
      <c r="Q271" s="46" t="str">
        <f t="array" ref="Q271">XLOOKUP($A271,'Recipients REF'!$A:$A,'Recipients REF'!I:I,"",0)</f>
        <v>KMC5825 AERFPV0559</v>
      </c>
      <c r="R271" s="47" t="str">
        <f t="array" ref="R271">XLOOKUP($A271,'Recipients REF'!$A:$A,'Recipients REF'!J:J,"",0)</f>
        <v>RTS 100466</v>
      </c>
      <c r="S271" s="45" t="s">
        <v>27</v>
      </c>
      <c r="T271" s="45" t="s">
        <v>28</v>
      </c>
      <c r="U271" s="46" t="str">
        <f t="array" ref="U271">XLOOKUP($A271,'Recipients REF'!$A:$A,'Recipients REF'!K:K,"",0)</f>
        <v>R-SERIES 423 PH</v>
      </c>
      <c r="V271" s="44" t="s">
        <v>29</v>
      </c>
      <c r="W271" s="45" t="s">
        <v>30</v>
      </c>
      <c r="X271" s="47" t="str">
        <f t="array" ref="X271">XLOOKUP($A271,'Recipients REF'!$A:$A,'Recipients REF'!L:L,"",0)</f>
        <v>LSGW1750 RMP 24040703</v>
      </c>
      <c r="Y271" s="48" t="s">
        <v>29</v>
      </c>
      <c r="Z271" s="48" t="s">
        <v>31</v>
      </c>
      <c r="AA271" s="46" t="str">
        <f t="array" ref="AA271">XLOOKUP($A271,'Recipients REF'!$A:$A,'Recipients REF'!M:M,"",0)</f>
        <v>WDP40 RMP 24040437</v>
      </c>
      <c r="AB271" s="49"/>
      <c r="AC271" s="42"/>
      <c r="AD271" s="42"/>
      <c r="AE271" s="50"/>
      <c r="AF271" s="42"/>
      <c r="AG271" s="42"/>
      <c r="AH271" s="42"/>
      <c r="AI271" s="42" t="str">
        <f t="array" ref="AI271">XLOOKUP($E271,Sheet11!$D:$D,Sheet11!$X:$X,"",0)</f>
        <v/>
      </c>
      <c r="AJ271" s="42" t="str">
        <f t="array" ref="AJ271">XLOOKUP($E271,Sheet11!$D:$D,Sheet11!$Y:$Y,"",0)</f>
        <v/>
      </c>
    </row>
    <row r="272">
      <c r="A272" s="41">
        <v>432.0</v>
      </c>
      <c r="B272" s="42" t="s">
        <v>535</v>
      </c>
      <c r="C272" s="42" t="s">
        <v>536</v>
      </c>
      <c r="D272" s="42"/>
      <c r="E272" s="42" t="str">
        <f t="shared" ref="E272:F272" si="273">PROPER(B272)</f>
        <v>Maspasan Farmers Association</v>
      </c>
      <c r="F272" s="42" t="str">
        <f t="shared" si="273"/>
        <v>Maspasan, Calinog, Iloilo</v>
      </c>
      <c r="G272" s="42" t="str">
        <f t="shared" si="3"/>
        <v>Maspasan</v>
      </c>
      <c r="H272" s="42" t="str">
        <f t="shared" si="4"/>
        <v>Calinog</v>
      </c>
      <c r="I272" s="42" t="str">
        <f t="shared" si="5"/>
        <v>Iloilo</v>
      </c>
      <c r="J272" s="42" t="str">
        <f t="array" ref="J272">XLOOKUP($E272,'Recipients REF'!$B:$B,'Recipients REF'!D:D,"",0)</f>
        <v>Gerome P. Latoza</v>
      </c>
      <c r="K272" s="42" t="str">
        <f t="array" ref="K272">XLOOKUP($E272,'Recipients REF'!$B:$B,'Recipients REF'!E:E,"",0)</f>
        <v>0907 156 1868</v>
      </c>
      <c r="L272" s="43" t="str">
        <f t="array" ref="L272">XLOOKUP($A272,'Recipients REF'!$A:$A,'Recipients REF'!F:F,"",0)</f>
        <v>RCEF 23-09-21 Rebidding</v>
      </c>
      <c r="M272" s="43">
        <f t="array" ref="M272">XLOOKUP($A272,'Recipients REF'!$A:$A,'Recipients REF'!G:G,"",0)</f>
        <v>4</v>
      </c>
      <c r="N272" s="43">
        <f t="array" ref="N272">XLOOKUP($A272,'Recipients REF'!$A:$A,'Recipients REF'!H:H,"",0)</f>
        <v>19090</v>
      </c>
      <c r="O272" s="44" t="s">
        <v>25</v>
      </c>
      <c r="P272" s="45" t="s">
        <v>26</v>
      </c>
      <c r="Q272" s="46" t="str">
        <f t="array" ref="Q272">XLOOKUP($A272,'Recipients REF'!$A:$A,'Recipients REF'!I:I,"",0)</f>
        <v>KMC5825 APRFPV0520</v>
      </c>
      <c r="R272" s="47" t="str">
        <f t="array" ref="R272">XLOOKUP($A272,'Recipients REF'!$A:$A,'Recipients REF'!J:J,"",0)</f>
        <v>RTS 100429</v>
      </c>
      <c r="S272" s="45" t="s">
        <v>27</v>
      </c>
      <c r="T272" s="45" t="s">
        <v>28</v>
      </c>
      <c r="U272" s="46" t="str">
        <f t="array" ref="U272">XLOOKUP($A272,'Recipients REF'!$A:$A,'Recipients REF'!K:K,"",0)</f>
        <v>R-SERIES 435 PH</v>
      </c>
      <c r="V272" s="44" t="s">
        <v>29</v>
      </c>
      <c r="W272" s="45" t="s">
        <v>30</v>
      </c>
      <c r="X272" s="47" t="str">
        <f t="array" ref="X272">XLOOKUP($A272,'Recipients REF'!$A:$A,'Recipients REF'!L:L,"",0)</f>
        <v>LSGW17590 RMP 24040707</v>
      </c>
      <c r="Y272" s="48" t="s">
        <v>29</v>
      </c>
      <c r="Z272" s="48" t="s">
        <v>31</v>
      </c>
      <c r="AA272" s="46" t="str">
        <f t="array" ref="AA272">XLOOKUP($A272,'Recipients REF'!$A:$A,'Recipients REF'!M:M,"",0)</f>
        <v>WDP40 RMP 24040434</v>
      </c>
      <c r="AB272" s="49"/>
      <c r="AC272" s="42"/>
      <c r="AD272" s="42"/>
      <c r="AE272" s="50"/>
      <c r="AF272" s="42"/>
      <c r="AG272" s="42"/>
      <c r="AH272" s="42"/>
      <c r="AI272" s="42">
        <f t="array" ref="AI272">XLOOKUP($E272,Sheet11!$D:$D,Sheet11!$X:$X,"",0)</f>
        <v>869066060241768</v>
      </c>
      <c r="AJ272" s="42">
        <f t="array" ref="AJ272">XLOOKUP($E272,Sheet11!$D:$D,Sheet11!$Y:$Y,"",0)</f>
        <v>9083165353</v>
      </c>
    </row>
    <row r="273">
      <c r="A273" s="41">
        <v>433.0</v>
      </c>
      <c r="B273" s="42" t="s">
        <v>537</v>
      </c>
      <c r="C273" s="42" t="s">
        <v>538</v>
      </c>
      <c r="D273" s="42"/>
      <c r="E273" s="42" t="str">
        <f t="shared" ref="E273:F273" si="274">PROPER(B273)</f>
        <v>Brgy. Mañacabac Farmers Association</v>
      </c>
      <c r="F273" s="42" t="str">
        <f t="shared" si="274"/>
        <v>Manacabac, Janiuay, Iloilo</v>
      </c>
      <c r="G273" s="42" t="str">
        <f t="shared" si="3"/>
        <v>Manacabac</v>
      </c>
      <c r="H273" s="42" t="str">
        <f t="shared" si="4"/>
        <v>Janiuay</v>
      </c>
      <c r="I273" s="42" t="str">
        <f t="shared" si="5"/>
        <v>Iloilo</v>
      </c>
      <c r="J273" s="42" t="str">
        <f t="array" ref="J273">XLOOKUP($E273,'Recipients REF'!$B:$B,'Recipients REF'!D:D,"",0)</f>
        <v>Rodolfo A. Palizada Jr.</v>
      </c>
      <c r="K273" s="42">
        <f t="array" ref="K273">XLOOKUP($E273,'Recipients REF'!$B:$B,'Recipients REF'!E:E,"",0)</f>
        <v>9073101243</v>
      </c>
      <c r="L273" s="43" t="str">
        <f t="array" ref="L273">XLOOKUP($A273,'Recipients REF'!$A:$A,'Recipients REF'!F:F,"",0)</f>
        <v>RCEF 23-09-21 Rebidding</v>
      </c>
      <c r="M273" s="43">
        <f t="array" ref="M273">XLOOKUP($A273,'Recipients REF'!$A:$A,'Recipients REF'!G:G,"",0)</f>
        <v>4</v>
      </c>
      <c r="N273" s="43">
        <f t="array" ref="N273">XLOOKUP($A273,'Recipients REF'!$A:$A,'Recipients REF'!H:H,"",0)</f>
        <v>19091</v>
      </c>
      <c r="O273" s="44" t="s">
        <v>25</v>
      </c>
      <c r="P273" s="45" t="s">
        <v>26</v>
      </c>
      <c r="Q273" s="46" t="str">
        <f t="array" ref="Q273">XLOOKUP($A273,'Recipients REF'!$A:$A,'Recipients REF'!I:I,"",0)</f>
        <v>KMC5825 AJRFPV0228</v>
      </c>
      <c r="R273" s="47" t="str">
        <f t="array" ref="R273">XLOOKUP($A273,'Recipients REF'!$A:$A,'Recipients REF'!J:J,"",0)</f>
        <v>RTS 100050</v>
      </c>
      <c r="S273" s="45" t="s">
        <v>27</v>
      </c>
      <c r="T273" s="45" t="s">
        <v>28</v>
      </c>
      <c r="U273" s="46" t="str">
        <f t="array" ref="U273">XLOOKUP($A273,'Recipients REF'!$A:$A,'Recipients REF'!K:K,"",0)</f>
        <v>WR-SERIES 211 PH</v>
      </c>
      <c r="V273" s="44" t="s">
        <v>29</v>
      </c>
      <c r="W273" s="45" t="s">
        <v>30</v>
      </c>
      <c r="X273" s="47" t="str">
        <f t="array" ref="X273">XLOOKUP($A273,'Recipients REF'!$A:$A,'Recipients REF'!L:L,"",0)</f>
        <v>LSGW1750 RMP 24040711</v>
      </c>
      <c r="Y273" s="48" t="s">
        <v>29</v>
      </c>
      <c r="Z273" s="48" t="s">
        <v>31</v>
      </c>
      <c r="AA273" s="46" t="str">
        <f t="array" ref="AA273">XLOOKUP($A273,'Recipients REF'!$A:$A,'Recipients REF'!M:M,"",0)</f>
        <v>WDP40 RMP 24040405</v>
      </c>
      <c r="AB273" s="49"/>
      <c r="AC273" s="42"/>
      <c r="AD273" s="42"/>
      <c r="AE273" s="50"/>
      <c r="AF273" s="42"/>
      <c r="AG273" s="42"/>
      <c r="AH273" s="42"/>
      <c r="AI273" s="42">
        <f t="array" ref="AI273">XLOOKUP($E273,Sheet11!$D:$D,Sheet11!$X:$X,"",0)</f>
        <v>869066060243566</v>
      </c>
      <c r="AJ273" s="42">
        <f t="array" ref="AJ273">XLOOKUP($E273,Sheet11!$D:$D,Sheet11!$Y:$Y,"",0)</f>
        <v>9195147702</v>
      </c>
    </row>
    <row r="274">
      <c r="A274" s="41">
        <v>434.0</v>
      </c>
      <c r="B274" s="42" t="s">
        <v>539</v>
      </c>
      <c r="C274" s="42" t="s">
        <v>540</v>
      </c>
      <c r="D274" s="42"/>
      <c r="E274" s="42" t="str">
        <f t="shared" ref="E274:F274" si="275">PROPER(B274)</f>
        <v>San Gregorio Farmers Association</v>
      </c>
      <c r="F274" s="42" t="str">
        <f t="shared" si="275"/>
        <v>San Gregorio, Lambunao, Iloilo</v>
      </c>
      <c r="G274" s="42" t="str">
        <f t="shared" si="3"/>
        <v>San Gregorio</v>
      </c>
      <c r="H274" s="42" t="str">
        <f t="shared" si="4"/>
        <v>Lambunao</v>
      </c>
      <c r="I274" s="42" t="str">
        <f t="shared" si="5"/>
        <v>Iloilo</v>
      </c>
      <c r="J274" s="42" t="str">
        <f t="array" ref="J274">XLOOKUP($E274,'Recipients REF'!$B:$B,'Recipients REF'!D:D,"",0)</f>
        <v>Jose Glenn Lasado</v>
      </c>
      <c r="K274" s="42" t="str">
        <f t="array" ref="K274">XLOOKUP($E274,'Recipients REF'!$B:$B,'Recipients REF'!E:E,"",0)</f>
        <v>0909-537-9343</v>
      </c>
      <c r="L274" s="43" t="str">
        <f t="array" ref="L274">XLOOKUP($A274,'Recipients REF'!$A:$A,'Recipients REF'!F:F,"",0)</f>
        <v>RCEF 23-09-21 Rebidding</v>
      </c>
      <c r="M274" s="43">
        <f t="array" ref="M274">XLOOKUP($A274,'Recipients REF'!$A:$A,'Recipients REF'!G:G,"",0)</f>
        <v>4</v>
      </c>
      <c r="N274" s="43">
        <f t="array" ref="N274">XLOOKUP($A274,'Recipients REF'!$A:$A,'Recipients REF'!H:H,"",0)</f>
        <v>19092</v>
      </c>
      <c r="O274" s="44" t="s">
        <v>25</v>
      </c>
      <c r="P274" s="45" t="s">
        <v>26</v>
      </c>
      <c r="Q274" s="46" t="str">
        <f t="array" ref="Q274">XLOOKUP($A274,'Recipients REF'!$A:$A,'Recipients REF'!I:I,"",0)</f>
        <v>KMC5825 APRFPV0551</v>
      </c>
      <c r="R274" s="47" t="str">
        <f t="array" ref="R274">XLOOKUP($A274,'Recipients REF'!$A:$A,'Recipients REF'!J:J,"",0)</f>
        <v>RTS100451</v>
      </c>
      <c r="S274" s="45" t="s">
        <v>27</v>
      </c>
      <c r="T274" s="45" t="s">
        <v>28</v>
      </c>
      <c r="U274" s="46" t="str">
        <f t="array" ref="U274">XLOOKUP($A274,'Recipients REF'!$A:$A,'Recipients REF'!K:K,"",0)</f>
        <v>HL22 R007 BRANSON 4625</v>
      </c>
      <c r="V274" s="44" t="s">
        <v>29</v>
      </c>
      <c r="W274" s="45" t="s">
        <v>30</v>
      </c>
      <c r="X274" s="47" t="str">
        <f t="array" ref="X274">XLOOKUP($A274,'Recipients REF'!$A:$A,'Recipients REF'!L:L,"",0)</f>
        <v>LSGW1750 RMP 24040713</v>
      </c>
      <c r="Y274" s="48" t="s">
        <v>29</v>
      </c>
      <c r="Z274" s="48" t="s">
        <v>31</v>
      </c>
      <c r="AA274" s="46" t="str">
        <f t="array" ref="AA274">XLOOKUP($A274,'Recipients REF'!$A:$A,'Recipients REF'!M:M,"",0)</f>
        <v>WDP40 RMP 24040422</v>
      </c>
      <c r="AB274" s="49"/>
      <c r="AC274" s="42"/>
      <c r="AD274" s="42"/>
      <c r="AE274" s="50"/>
      <c r="AF274" s="42"/>
      <c r="AG274" s="42"/>
      <c r="AH274" s="42"/>
      <c r="AI274" s="42">
        <f t="array" ref="AI274">XLOOKUP($E274,Sheet11!$D:$D,Sheet11!$X:$X,"",0)</f>
        <v>869066060244580</v>
      </c>
      <c r="AJ274" s="42">
        <f t="array" ref="AJ274">XLOOKUP($E274,Sheet11!$D:$D,Sheet11!$Y:$Y,"",0)</f>
        <v>9086861208</v>
      </c>
    </row>
    <row r="275">
      <c r="A275" s="41">
        <v>435.0</v>
      </c>
      <c r="B275" s="42" t="s">
        <v>541</v>
      </c>
      <c r="C275" s="42" t="s">
        <v>542</v>
      </c>
      <c r="D275" s="42"/>
      <c r="E275" s="42" t="str">
        <f t="shared" ref="E275:F275" si="276">PROPER(B275)</f>
        <v>Mina East Farmers Association</v>
      </c>
      <c r="F275" s="42" t="str">
        <f t="shared" si="276"/>
        <v>Mina East (Pob.), Mina, Iloilo</v>
      </c>
      <c r="G275" s="42" t="str">
        <f t="shared" si="3"/>
        <v>Mina East (Pob.)</v>
      </c>
      <c r="H275" s="42" t="str">
        <f t="shared" si="4"/>
        <v>Mina</v>
      </c>
      <c r="I275" s="42" t="str">
        <f t="shared" si="5"/>
        <v>Iloilo</v>
      </c>
      <c r="J275" s="42" t="str">
        <f t="array" ref="J275">XLOOKUP($E275,'Recipients REF'!$B:$B,'Recipients REF'!D:D,"",0)</f>
        <v>Nenita S. Defensor</v>
      </c>
      <c r="K275" s="42" t="str">
        <f t="array" ref="K275">XLOOKUP($E275,'Recipients REF'!$B:$B,'Recipients REF'!E:E,"",0)</f>
        <v>0918 445 6077</v>
      </c>
      <c r="L275" s="43" t="str">
        <f t="array" ref="L275">XLOOKUP($A275,'Recipients REF'!$A:$A,'Recipients REF'!F:F,"",0)</f>
        <v>RCEF 23-09-21 Rebidding</v>
      </c>
      <c r="M275" s="43">
        <f t="array" ref="M275">XLOOKUP($A275,'Recipients REF'!$A:$A,'Recipients REF'!G:G,"",0)</f>
        <v>4</v>
      </c>
      <c r="N275" s="43">
        <f t="array" ref="N275">XLOOKUP($A275,'Recipients REF'!$A:$A,'Recipients REF'!H:H,"",0)</f>
        <v>19092</v>
      </c>
      <c r="O275" s="44" t="s">
        <v>25</v>
      </c>
      <c r="P275" s="45" t="s">
        <v>26</v>
      </c>
      <c r="Q275" s="46" t="str">
        <f t="array" ref="Q275">XLOOKUP($A275,'Recipients REF'!$A:$A,'Recipients REF'!I:I,"",0)</f>
        <v>KMC5825 AHRFPV0527</v>
      </c>
      <c r="R275" s="47" t="str">
        <f t="array" ref="R275">XLOOKUP($A275,'Recipients REF'!$A:$A,'Recipients REF'!J:J,"",0)</f>
        <v>RTS 100430</v>
      </c>
      <c r="S275" s="45" t="s">
        <v>27</v>
      </c>
      <c r="T275" s="45" t="s">
        <v>28</v>
      </c>
      <c r="U275" s="46" t="str">
        <f t="array" ref="U275">XLOOKUP($A275,'Recipients REF'!$A:$A,'Recipients REF'!K:K,"",0)</f>
        <v>R-SERIES 449 PH</v>
      </c>
      <c r="V275" s="44" t="s">
        <v>29</v>
      </c>
      <c r="W275" s="45" t="s">
        <v>30</v>
      </c>
      <c r="X275" s="47" t="str">
        <f t="array" ref="X275">XLOOKUP($A275,'Recipients REF'!$A:$A,'Recipients REF'!L:L,"",0)</f>
        <v>LSGW1759 RMP 24040678</v>
      </c>
      <c r="Y275" s="48" t="s">
        <v>29</v>
      </c>
      <c r="Z275" s="48" t="s">
        <v>31</v>
      </c>
      <c r="AA275" s="46" t="str">
        <f t="array" ref="AA275">XLOOKUP($A275,'Recipients REF'!$A:$A,'Recipients REF'!M:M,"",0)</f>
        <v>WDP40 RMP 24040406</v>
      </c>
      <c r="AB275" s="49"/>
      <c r="AC275" s="42"/>
      <c r="AD275" s="42"/>
      <c r="AE275" s="50"/>
      <c r="AF275" s="42"/>
      <c r="AG275" s="42"/>
      <c r="AH275" s="42"/>
      <c r="AI275" s="42">
        <f t="array" ref="AI275">XLOOKUP($E275,Sheet11!$D:$D,Sheet11!$X:$X,"",0)</f>
        <v>869066060241396</v>
      </c>
      <c r="AJ275" s="42">
        <f t="array" ref="AJ275">XLOOKUP($E275,Sheet11!$D:$D,Sheet11!$Y:$Y,"",0)</f>
        <v>9087647297</v>
      </c>
    </row>
    <row r="276">
      <c r="A276" s="41">
        <v>436.0</v>
      </c>
      <c r="B276" s="42" t="s">
        <v>543</v>
      </c>
      <c r="C276" s="42" t="s">
        <v>544</v>
      </c>
      <c r="D276" s="42"/>
      <c r="E276" s="42" t="str">
        <f t="shared" ref="E276:F276" si="277">PROPER(B276)</f>
        <v>Danao Farmers Association</v>
      </c>
      <c r="F276" s="42" t="str">
        <f t="shared" si="277"/>
        <v>Danao, Pototan, Iloilo</v>
      </c>
      <c r="G276" s="42" t="str">
        <f t="shared" si="3"/>
        <v>Danao</v>
      </c>
      <c r="H276" s="42" t="str">
        <f t="shared" si="4"/>
        <v>Pototan</v>
      </c>
      <c r="I276" s="42" t="str">
        <f t="shared" si="5"/>
        <v>Iloilo</v>
      </c>
      <c r="J276" s="42" t="str">
        <f t="array" ref="J276">XLOOKUP($E276,'Recipients REF'!$B:$B,'Recipients REF'!D:D,"",0)</f>
        <v>Jesus B. Potente</v>
      </c>
      <c r="K276" s="42" t="str">
        <f t="array" ref="K276">XLOOKUP($E276,'Recipients REF'!$B:$B,'Recipients REF'!E:E,"",0)</f>
        <v>0921 268 5213</v>
      </c>
      <c r="L276" s="43" t="str">
        <f t="array" ref="L276">XLOOKUP($A276,'Recipients REF'!$A:$A,'Recipients REF'!F:F,"",0)</f>
        <v>RCEF 23-09-21 Rebidding</v>
      </c>
      <c r="M276" s="43">
        <f t="array" ref="M276">XLOOKUP($A276,'Recipients REF'!$A:$A,'Recipients REF'!G:G,"",0)</f>
        <v>4</v>
      </c>
      <c r="N276" s="43">
        <f t="array" ref="N276">XLOOKUP($A276,'Recipients REF'!$A:$A,'Recipients REF'!H:H,"",0)</f>
        <v>19094</v>
      </c>
      <c r="O276" s="44" t="s">
        <v>25</v>
      </c>
      <c r="P276" s="45" t="s">
        <v>26</v>
      </c>
      <c r="Q276" s="46" t="str">
        <f t="array" ref="Q276">XLOOKUP($A276,'Recipients REF'!$A:$A,'Recipients REF'!I:I,"",0)</f>
        <v>KMC5825 AKRFPV0230</v>
      </c>
      <c r="R276" s="47" t="str">
        <f t="array" ref="R276">XLOOKUP($A276,'Recipients REF'!$A:$A,'Recipients REF'!J:J,"",0)</f>
        <v>RTS 10083</v>
      </c>
      <c r="S276" s="45" t="s">
        <v>27</v>
      </c>
      <c r="T276" s="45" t="s">
        <v>28</v>
      </c>
      <c r="U276" s="46" t="str">
        <f t="array" ref="U276">XLOOKUP($A276,'Recipients REF'!$A:$A,'Recipients REF'!K:K,"",0)</f>
        <v>WR-SERIES 703 PH</v>
      </c>
      <c r="V276" s="44" t="s">
        <v>29</v>
      </c>
      <c r="W276" s="45" t="s">
        <v>30</v>
      </c>
      <c r="X276" s="47" t="str">
        <f t="array" ref="X276">XLOOKUP($A276,'Recipients REF'!$A:$A,'Recipients REF'!L:L,"",0)</f>
        <v>LSGW1750 RMP 24040696</v>
      </c>
      <c r="Y276" s="48" t="s">
        <v>29</v>
      </c>
      <c r="Z276" s="48" t="s">
        <v>31</v>
      </c>
      <c r="AA276" s="46" t="str">
        <f t="array" ref="AA276">XLOOKUP($A276,'Recipients REF'!$A:$A,'Recipients REF'!M:M,"",0)</f>
        <v>WDP40 RMP 24040408</v>
      </c>
      <c r="AB276" s="49"/>
      <c r="AC276" s="42"/>
      <c r="AD276" s="42"/>
      <c r="AE276" s="50"/>
      <c r="AF276" s="42"/>
      <c r="AG276" s="42"/>
      <c r="AH276" s="42"/>
      <c r="AI276" s="42">
        <f t="array" ref="AI276">XLOOKUP($E276,Sheet11!$D:$D,Sheet11!$X:$X,"",0)</f>
        <v>869066060240901</v>
      </c>
      <c r="AJ276" s="42">
        <f t="array" ref="AJ276">XLOOKUP($E276,Sheet11!$D:$D,Sheet11!$Y:$Y,"",0)</f>
        <v>9086345295</v>
      </c>
    </row>
    <row r="277">
      <c r="A277" s="41">
        <v>437.0</v>
      </c>
      <c r="B277" s="42" t="s">
        <v>545</v>
      </c>
      <c r="C277" s="42" t="s">
        <v>546</v>
      </c>
      <c r="D277" s="42"/>
      <c r="E277" s="42" t="str">
        <f t="shared" ref="E277:F277" si="278">PROPER(B277)</f>
        <v>Mostro Farmers Association</v>
      </c>
      <c r="F277" s="42" t="str">
        <f t="shared" si="278"/>
        <v>Mostro, Anilao, Iloilo</v>
      </c>
      <c r="G277" s="42" t="str">
        <f t="shared" si="3"/>
        <v>Mostro</v>
      </c>
      <c r="H277" s="42" t="str">
        <f t="shared" si="4"/>
        <v>Anilao</v>
      </c>
      <c r="I277" s="42" t="str">
        <f t="shared" si="5"/>
        <v>Iloilo</v>
      </c>
      <c r="J277" s="42" t="str">
        <f t="array" ref="J277">XLOOKUP($E277,'Recipients REF'!$B:$B,'Recipients REF'!D:D,"",0)</f>
        <v>Wilhem G. Pauchano</v>
      </c>
      <c r="K277" s="42" t="str">
        <f t="array" ref="K277">XLOOKUP($E277,'Recipients REF'!$B:$B,'Recipients REF'!E:E,"",0)</f>
        <v>0930 977 0845</v>
      </c>
      <c r="L277" s="43" t="str">
        <f t="array" ref="L277">XLOOKUP($A277,'Recipients REF'!$A:$A,'Recipients REF'!F:F,"",0)</f>
        <v>RCEF 23-09-21 Rebidding</v>
      </c>
      <c r="M277" s="43">
        <f t="array" ref="M277">XLOOKUP($A277,'Recipients REF'!$A:$A,'Recipients REF'!G:G,"",0)</f>
        <v>4</v>
      </c>
      <c r="N277" s="43">
        <f t="array" ref="N277">XLOOKUP($A277,'Recipients REF'!$A:$A,'Recipients REF'!H:H,"",0)</f>
        <v>19095</v>
      </c>
      <c r="O277" s="44" t="s">
        <v>25</v>
      </c>
      <c r="P277" s="45" t="s">
        <v>26</v>
      </c>
      <c r="Q277" s="46" t="str">
        <f t="array" ref="Q277">XLOOKUP($A277,'Recipients REF'!$A:$A,'Recipients REF'!I:I,"",0)</f>
        <v>KMC5825 AERFPV0531</v>
      </c>
      <c r="R277" s="47" t="str">
        <f t="array" ref="R277">XLOOKUP($A277,'Recipients REF'!$A:$A,'Recipients REF'!J:J,"",0)</f>
        <v>RTS 100155</v>
      </c>
      <c r="S277" s="45" t="s">
        <v>27</v>
      </c>
      <c r="T277" s="45" t="s">
        <v>28</v>
      </c>
      <c r="U277" s="46" t="str">
        <f t="array" ref="U277">XLOOKUP($A277,'Recipients REF'!$A:$A,'Recipients REF'!K:K,"",0)</f>
        <v>R-SERIES 422 PH</v>
      </c>
      <c r="V277" s="44" t="s">
        <v>29</v>
      </c>
      <c r="W277" s="45" t="s">
        <v>30</v>
      </c>
      <c r="X277" s="47" t="str">
        <f t="array" ref="X277">XLOOKUP($A277,'Recipients REF'!$A:$A,'Recipients REF'!L:L,"",0)</f>
        <v>LSGW1750 RMP 24040704</v>
      </c>
      <c r="Y277" s="48" t="s">
        <v>29</v>
      </c>
      <c r="Z277" s="48" t="s">
        <v>31</v>
      </c>
      <c r="AA277" s="46" t="str">
        <f t="array" ref="AA277">XLOOKUP($A277,'Recipients REF'!$A:$A,'Recipients REF'!M:M,"",0)</f>
        <v>WDP40 RMP 24040435</v>
      </c>
      <c r="AB277" s="49"/>
      <c r="AC277" s="42"/>
      <c r="AD277" s="42"/>
      <c r="AE277" s="50"/>
      <c r="AF277" s="42"/>
      <c r="AG277" s="42"/>
      <c r="AH277" s="42"/>
      <c r="AI277" s="42">
        <f t="array" ref="AI277">XLOOKUP($E277,Sheet11!$D:$D,Sheet11!$X:$X,"",0)</f>
        <v>869066060231537</v>
      </c>
      <c r="AJ277" s="42">
        <f t="array" ref="AJ277">XLOOKUP($E277,Sheet11!$D:$D,Sheet11!$Y:$Y,"",0)</f>
        <v>9084107231</v>
      </c>
    </row>
    <row r="278">
      <c r="A278" s="41">
        <v>438.0</v>
      </c>
      <c r="B278" s="42" t="s">
        <v>547</v>
      </c>
      <c r="C278" s="42" t="s">
        <v>548</v>
      </c>
      <c r="D278" s="42"/>
      <c r="E278" s="42" t="str">
        <f t="shared" ref="E278:F278" si="279">PROPER(B278)</f>
        <v>Cañapasan Banate Irrigators' Association Inc.</v>
      </c>
      <c r="F278" s="42" t="str">
        <f t="shared" si="279"/>
        <v>Managopaya, Banate, Iloilo</v>
      </c>
      <c r="G278" s="42" t="str">
        <f t="shared" si="3"/>
        <v>Managopaya</v>
      </c>
      <c r="H278" s="42" t="str">
        <f t="shared" si="4"/>
        <v>Banate</v>
      </c>
      <c r="I278" s="42" t="str">
        <f t="shared" si="5"/>
        <v>Iloilo</v>
      </c>
      <c r="J278" s="42" t="str">
        <f t="array" ref="J278">XLOOKUP($E278,'Recipients REF'!$B:$B,'Recipients REF'!D:D,"",0)</f>
        <v>Gina B. Bayinela</v>
      </c>
      <c r="K278" s="42" t="str">
        <f t="array" ref="K278">XLOOKUP($E278,'Recipients REF'!$B:$B,'Recipients REF'!E:E,"",0)</f>
        <v>0915 460 3212</v>
      </c>
      <c r="L278" s="43" t="str">
        <f t="array" ref="L278">XLOOKUP($A278,'Recipients REF'!$A:$A,'Recipients REF'!F:F,"",0)</f>
        <v>RCEF 23-09-21 Rebidding</v>
      </c>
      <c r="M278" s="43">
        <f t="array" ref="M278">XLOOKUP($A278,'Recipients REF'!$A:$A,'Recipients REF'!G:G,"",0)</f>
        <v>4</v>
      </c>
      <c r="N278" s="43">
        <f t="array" ref="N278">XLOOKUP($A278,'Recipients REF'!$A:$A,'Recipients REF'!H:H,"",0)</f>
        <v>19096</v>
      </c>
      <c r="O278" s="44" t="s">
        <v>25</v>
      </c>
      <c r="P278" s="45" t="s">
        <v>26</v>
      </c>
      <c r="Q278" s="46" t="str">
        <f t="array" ref="Q278">XLOOKUP($A278,'Recipients REF'!$A:$A,'Recipients REF'!I:I,"",0)</f>
        <v>KMC5825 ACRFPV0621</v>
      </c>
      <c r="R278" s="47" t="str">
        <f t="array" ref="R278">XLOOKUP($A278,'Recipients REF'!$A:$A,'Recipients REF'!J:J,"",0)</f>
        <v>RTS 100521</v>
      </c>
      <c r="S278" s="45" t="s">
        <v>27</v>
      </c>
      <c r="T278" s="45" t="s">
        <v>28</v>
      </c>
      <c r="U278" s="46" t="str">
        <f t="array" ref="U278">XLOOKUP($A278,'Recipients REF'!$A:$A,'Recipients REF'!K:K,"",0)</f>
        <v>R-SERIES 445 PH</v>
      </c>
      <c r="V278" s="44" t="s">
        <v>29</v>
      </c>
      <c r="W278" s="45" t="s">
        <v>30</v>
      </c>
      <c r="X278" s="47" t="str">
        <f t="array" ref="X278">XLOOKUP($A278,'Recipients REF'!$A:$A,'Recipients REF'!L:L,"",0)</f>
        <v>LSGW1750 RMP 24040681</v>
      </c>
      <c r="Y278" s="48" t="s">
        <v>29</v>
      </c>
      <c r="Z278" s="48" t="s">
        <v>31</v>
      </c>
      <c r="AA278" s="46" t="str">
        <f t="array" ref="AA278">XLOOKUP($A278,'Recipients REF'!$A:$A,'Recipients REF'!M:M,"",0)</f>
        <v>WDP40 RMP 24040401</v>
      </c>
      <c r="AB278" s="49"/>
      <c r="AC278" s="42"/>
      <c r="AD278" s="42"/>
      <c r="AE278" s="50"/>
      <c r="AF278" s="42"/>
      <c r="AG278" s="42"/>
      <c r="AH278" s="42"/>
      <c r="AI278" s="42">
        <f t="array" ref="AI278">XLOOKUP($E278,Sheet11!$D:$D,Sheet11!$X:$X,"",0)</f>
        <v>869066060240406</v>
      </c>
      <c r="AJ278" s="42">
        <f t="array" ref="AJ278">XLOOKUP($E278,Sheet11!$D:$D,Sheet11!$Y:$Y,"",0)</f>
        <v>9085079827</v>
      </c>
    </row>
    <row r="279">
      <c r="A279" s="41">
        <v>439.0</v>
      </c>
      <c r="B279" s="42" t="s">
        <v>549</v>
      </c>
      <c r="C279" s="42" t="s">
        <v>550</v>
      </c>
      <c r="D279" s="42"/>
      <c r="E279" s="42" t="str">
        <f t="shared" ref="E279:F279" si="280">PROPER(B279)</f>
        <v>Dugwakan Farmers Association</v>
      </c>
      <c r="F279" s="42" t="str">
        <f t="shared" si="280"/>
        <v>Dugwakan, Banate, Iloilo</v>
      </c>
      <c r="G279" s="42" t="str">
        <f t="shared" si="3"/>
        <v>Dugwakan</v>
      </c>
      <c r="H279" s="42" t="str">
        <f t="shared" si="4"/>
        <v>Banate</v>
      </c>
      <c r="I279" s="42" t="str">
        <f t="shared" si="5"/>
        <v>Iloilo</v>
      </c>
      <c r="J279" s="42" t="str">
        <f t="array" ref="J279">XLOOKUP($E279,'Recipients REF'!$B:$B,'Recipients REF'!D:D,"",0)</f>
        <v>Moniza A. Marquez</v>
      </c>
      <c r="K279" s="42">
        <f t="array" ref="K279">XLOOKUP($E279,'Recipients REF'!$B:$B,'Recipients REF'!E:E,"",0)</f>
        <v>9635258390</v>
      </c>
      <c r="L279" s="43" t="str">
        <f t="array" ref="L279">XLOOKUP($A279,'Recipients REF'!$A:$A,'Recipients REF'!F:F,"",0)</f>
        <v>RCEF 23-09-21 Rebidding</v>
      </c>
      <c r="M279" s="43">
        <f t="array" ref="M279">XLOOKUP($A279,'Recipients REF'!$A:$A,'Recipients REF'!G:G,"",0)</f>
        <v>4</v>
      </c>
      <c r="N279" s="43">
        <f t="array" ref="N279">XLOOKUP($A279,'Recipients REF'!$A:$A,'Recipients REF'!H:H,"",0)</f>
        <v>19097</v>
      </c>
      <c r="O279" s="44" t="s">
        <v>25</v>
      </c>
      <c r="P279" s="45" t="s">
        <v>26</v>
      </c>
      <c r="Q279" s="46" t="str">
        <f t="array" ref="Q279">XLOOKUP($A279,'Recipients REF'!$A:$A,'Recipients REF'!I:I,"",0)</f>
        <v>KMC5825 AVRFPV0569</v>
      </c>
      <c r="R279" s="47" t="str">
        <f t="array" ref="R279">XLOOKUP($A279,'Recipients REF'!$A:$A,'Recipients REF'!J:J,"",0)</f>
        <v>RTS 100461</v>
      </c>
      <c r="S279" s="45" t="s">
        <v>27</v>
      </c>
      <c r="T279" s="45" t="s">
        <v>28</v>
      </c>
      <c r="U279" s="46" t="str">
        <f t="array" ref="U279">XLOOKUP($A279,'Recipients REF'!$A:$A,'Recipients REF'!K:K,"",0)</f>
        <v>R-SERIES 446 PH</v>
      </c>
      <c r="V279" s="44" t="s">
        <v>29</v>
      </c>
      <c r="W279" s="45" t="s">
        <v>30</v>
      </c>
      <c r="X279" s="47" t="str">
        <f t="array" ref="X279">XLOOKUP($A279,'Recipients REF'!$A:$A,'Recipients REF'!L:L,"",0)</f>
        <v>LSGW1750 RMP 24040702</v>
      </c>
      <c r="Y279" s="48" t="s">
        <v>29</v>
      </c>
      <c r="Z279" s="48" t="s">
        <v>31</v>
      </c>
      <c r="AA279" s="46" t="str">
        <f t="array" ref="AA279">XLOOKUP($A279,'Recipients REF'!$A:$A,'Recipients REF'!M:M,"",0)</f>
        <v>WDP40 RMP 24040401</v>
      </c>
      <c r="AB279" s="49"/>
      <c r="AC279" s="42"/>
      <c r="AD279" s="42"/>
      <c r="AE279" s="50"/>
      <c r="AF279" s="42"/>
      <c r="AG279" s="42"/>
      <c r="AH279" s="42"/>
      <c r="AI279" s="42">
        <f t="array" ref="AI279">XLOOKUP($E279,Sheet11!$D:$D,Sheet11!$X:$X,"",0)</f>
        <v>869066060244416</v>
      </c>
      <c r="AJ279" s="42">
        <f t="array" ref="AJ279">XLOOKUP($E279,Sheet11!$D:$D,Sheet11!$Y:$Y,"",0)</f>
        <v>9086774626</v>
      </c>
    </row>
    <row r="280">
      <c r="A280" s="41">
        <v>440.0</v>
      </c>
      <c r="B280" s="42" t="s">
        <v>551</v>
      </c>
      <c r="C280" s="42" t="s">
        <v>552</v>
      </c>
      <c r="D280" s="42"/>
      <c r="E280" s="42" t="str">
        <f t="shared" ref="E280:F280" si="281">PROPER(B280)</f>
        <v>Baras Farmers Association</v>
      </c>
      <c r="F280" s="42" t="str">
        <f t="shared" si="281"/>
        <v>Baras, Barotac Nuevo, Iloilo</v>
      </c>
      <c r="G280" s="42" t="str">
        <f t="shared" si="3"/>
        <v>Baras</v>
      </c>
      <c r="H280" s="42" t="str">
        <f t="shared" si="4"/>
        <v>Barotac Nuevo</v>
      </c>
      <c r="I280" s="42" t="str">
        <f t="shared" si="5"/>
        <v>Iloilo</v>
      </c>
      <c r="J280" s="42" t="str">
        <f t="array" ref="J280">XLOOKUP($E280,'Recipients REF'!$B:$B,'Recipients REF'!D:D,"",0)</f>
        <v>Mario B. Boglosa</v>
      </c>
      <c r="K280" s="42">
        <f t="array" ref="K280">XLOOKUP($E280,'Recipients REF'!$B:$B,'Recipients REF'!E:E,"",0)</f>
        <v>9951876513</v>
      </c>
      <c r="L280" s="43" t="str">
        <f t="array" ref="L280">XLOOKUP($A280,'Recipients REF'!$A:$A,'Recipients REF'!F:F,"",0)</f>
        <v>RCEF 23-09-21 Rebidding</v>
      </c>
      <c r="M280" s="43">
        <f t="array" ref="M280">XLOOKUP($A280,'Recipients REF'!$A:$A,'Recipients REF'!G:G,"",0)</f>
        <v>4</v>
      </c>
      <c r="N280" s="43">
        <f t="array" ref="N280">XLOOKUP($A280,'Recipients REF'!$A:$A,'Recipients REF'!H:H,"",0)</f>
        <v>19098</v>
      </c>
      <c r="O280" s="44" t="s">
        <v>25</v>
      </c>
      <c r="P280" s="45" t="s">
        <v>26</v>
      </c>
      <c r="Q280" s="46" t="str">
        <f t="array" ref="Q280">XLOOKUP($A280,'Recipients REF'!$A:$A,'Recipients REF'!I:I,"",0)</f>
        <v>KMC5825 AERFPV0612</v>
      </c>
      <c r="R280" s="47" t="str">
        <f t="array" ref="R280">XLOOKUP($A280,'Recipients REF'!$A:$A,'Recipients REF'!J:J,"",0)</f>
        <v>RTS 100579</v>
      </c>
      <c r="S280" s="45" t="s">
        <v>27</v>
      </c>
      <c r="T280" s="45" t="s">
        <v>28</v>
      </c>
      <c r="U280" s="46" t="str">
        <f t="array" ref="U280">XLOOKUP($A280,'Recipients REF'!$A:$A,'Recipients REF'!K:K,"",0)</f>
        <v>R-SERIES 442 PH</v>
      </c>
      <c r="V280" s="44" t="s">
        <v>29</v>
      </c>
      <c r="W280" s="45" t="s">
        <v>30</v>
      </c>
      <c r="X280" s="47" t="str">
        <f t="array" ref="X280">XLOOKUP($A280,'Recipients REF'!$A:$A,'Recipients REF'!L:L,"",0)</f>
        <v>LSGW1750 RMP 24040676</v>
      </c>
      <c r="Y280" s="48" t="s">
        <v>29</v>
      </c>
      <c r="Z280" s="48" t="s">
        <v>31</v>
      </c>
      <c r="AA280" s="46" t="str">
        <f t="array" ref="AA280">XLOOKUP($A280,'Recipients REF'!$A:$A,'Recipients REF'!M:M,"",0)</f>
        <v>WDP40 RMP 24040417</v>
      </c>
      <c r="AB280" s="49"/>
      <c r="AC280" s="42"/>
      <c r="AD280" s="42"/>
      <c r="AE280" s="50"/>
      <c r="AF280" s="42"/>
      <c r="AG280" s="42"/>
      <c r="AH280" s="42"/>
      <c r="AI280" s="42">
        <f t="array" ref="AI280">XLOOKUP($E280,Sheet11!$D:$D,Sheet11!$X:$X,"",0)</f>
        <v>869066060240604</v>
      </c>
      <c r="AJ280" s="42">
        <f t="array" ref="AJ280">XLOOKUP($E280,Sheet11!$D:$D,Sheet11!$Y:$Y,"",0)</f>
        <v>9086764570</v>
      </c>
    </row>
    <row r="281">
      <c r="A281" s="41">
        <v>441.0</v>
      </c>
      <c r="B281" s="42" t="s">
        <v>553</v>
      </c>
      <c r="C281" s="42" t="s">
        <v>554</v>
      </c>
      <c r="D281" s="42"/>
      <c r="E281" s="42" t="str">
        <f t="shared" ref="E281:F281" si="282">PROPER(B281)</f>
        <v>Sosabu Irrigators' Association, Inc.</v>
      </c>
      <c r="F281" s="42" t="str">
        <f t="shared" si="282"/>
        <v>Bungca, Barotac Nuevo, Iloilo</v>
      </c>
      <c r="G281" s="42" t="str">
        <f t="shared" si="3"/>
        <v>Bungca</v>
      </c>
      <c r="H281" s="42" t="str">
        <f t="shared" si="4"/>
        <v>Barotac Nuevo</v>
      </c>
      <c r="I281" s="42" t="str">
        <f t="shared" si="5"/>
        <v>Iloilo</v>
      </c>
      <c r="J281" s="42" t="str">
        <f t="array" ref="J281">XLOOKUP($E281,'Recipients REF'!$B:$B,'Recipients REF'!D:D,"",0)</f>
        <v>Nicasio Hernalion</v>
      </c>
      <c r="K281" s="42">
        <f t="array" ref="K281">XLOOKUP($E281,'Recipients REF'!$B:$B,'Recipients REF'!E:E,"",0)</f>
        <v>9127754295</v>
      </c>
      <c r="L281" s="43" t="str">
        <f t="array" ref="L281">XLOOKUP($A281,'Recipients REF'!$A:$A,'Recipients REF'!F:F,"",0)</f>
        <v>RCEF 23-09-21 Rebidding</v>
      </c>
      <c r="M281" s="43">
        <f t="array" ref="M281">XLOOKUP($A281,'Recipients REF'!$A:$A,'Recipients REF'!G:G,"",0)</f>
        <v>4</v>
      </c>
      <c r="N281" s="43">
        <f t="array" ref="N281">XLOOKUP($A281,'Recipients REF'!$A:$A,'Recipients REF'!H:H,"",0)</f>
        <v>19099</v>
      </c>
      <c r="O281" s="44" t="s">
        <v>25</v>
      </c>
      <c r="P281" s="45" t="s">
        <v>26</v>
      </c>
      <c r="Q281" s="46" t="str">
        <f t="array" ref="Q281">XLOOKUP($A281,'Recipients REF'!$A:$A,'Recipients REF'!I:I,"",0)</f>
        <v>KMC5825 AHRFPV0611</v>
      </c>
      <c r="R281" s="47" t="str">
        <f t="array" ref="R281">XLOOKUP($A281,'Recipients REF'!$A:$A,'Recipients REF'!J:J,"",0)</f>
        <v>RTS 100583</v>
      </c>
      <c r="S281" s="45" t="s">
        <v>27</v>
      </c>
      <c r="T281" s="45" t="s">
        <v>28</v>
      </c>
      <c r="U281" s="46" t="str">
        <f t="array" ref="U281">XLOOKUP($A281,'Recipients REF'!$A:$A,'Recipients REF'!K:K,"",0)</f>
        <v>R-SERIES 429 PH</v>
      </c>
      <c r="V281" s="44" t="s">
        <v>29</v>
      </c>
      <c r="W281" s="45" t="s">
        <v>30</v>
      </c>
      <c r="X281" s="47" t="str">
        <f t="array" ref="X281">XLOOKUP($A281,'Recipients REF'!$A:$A,'Recipients REF'!L:L,"",0)</f>
        <v>LSGW1750 RMP 24040709</v>
      </c>
      <c r="Y281" s="48" t="s">
        <v>29</v>
      </c>
      <c r="Z281" s="48" t="s">
        <v>31</v>
      </c>
      <c r="AA281" s="46" t="str">
        <f t="array" ref="AA281">XLOOKUP($A281,'Recipients REF'!$A:$A,'Recipients REF'!M:M,"",0)</f>
        <v>WDP40 RMP 24040433</v>
      </c>
      <c r="AB281" s="49"/>
      <c r="AC281" s="42"/>
      <c r="AD281" s="42"/>
      <c r="AE281" s="50"/>
      <c r="AF281" s="42"/>
      <c r="AG281" s="42"/>
      <c r="AH281" s="42"/>
      <c r="AI281" s="42">
        <f t="array" ref="AI281">XLOOKUP($E281,Sheet11!$D:$D,Sheet11!$X:$X,"",0)</f>
        <v>869066060243186</v>
      </c>
      <c r="AJ281" s="42">
        <f t="array" ref="AJ281">XLOOKUP($E281,Sheet11!$D:$D,Sheet11!$Y:$Y,"",0)</f>
        <v>9087149368</v>
      </c>
    </row>
    <row r="282">
      <c r="A282" s="41">
        <v>442.0</v>
      </c>
      <c r="B282" s="42" t="s">
        <v>555</v>
      </c>
      <c r="C282" s="42" t="s">
        <v>556</v>
      </c>
      <c r="D282" s="42"/>
      <c r="E282" s="42" t="str">
        <f t="shared" ref="E282:F282" si="283">PROPER(B282)</f>
        <v>Bungloy Integrated Farmers Association</v>
      </c>
      <c r="F282" s="42" t="str">
        <f t="shared" si="283"/>
        <v>Bongloy, Dingle, Iloilo</v>
      </c>
      <c r="G282" s="42" t="str">
        <f t="shared" si="3"/>
        <v>Bongloy</v>
      </c>
      <c r="H282" s="42" t="str">
        <f t="shared" si="4"/>
        <v>Dingle</v>
      </c>
      <c r="I282" s="42" t="str">
        <f t="shared" si="5"/>
        <v>Iloilo</v>
      </c>
      <c r="J282" s="42" t="str">
        <f t="array" ref="J282">XLOOKUP($E282,'Recipients REF'!$B:$B,'Recipients REF'!D:D,"",0)</f>
        <v>Martin P. Franciliso Jr.</v>
      </c>
      <c r="K282" s="42" t="str">
        <f t="array" ref="K282">XLOOKUP($E282,'Recipients REF'!$B:$B,'Recipients REF'!E:E,"",0)</f>
        <v>0961 652 9867</v>
      </c>
      <c r="L282" s="43" t="str">
        <f t="array" ref="L282">XLOOKUP($A282,'Recipients REF'!$A:$A,'Recipients REF'!F:F,"",0)</f>
        <v>RCEF 23-09-21 Rebidding</v>
      </c>
      <c r="M282" s="43">
        <f t="array" ref="M282">XLOOKUP($A282,'Recipients REF'!$A:$A,'Recipients REF'!G:G,"",0)</f>
        <v>4</v>
      </c>
      <c r="N282" s="43">
        <f t="array" ref="N282">XLOOKUP($A282,'Recipients REF'!$A:$A,'Recipients REF'!H:H,"",0)</f>
        <v>19100</v>
      </c>
      <c r="O282" s="44" t="s">
        <v>25</v>
      </c>
      <c r="P282" s="45" t="s">
        <v>26</v>
      </c>
      <c r="Q282" s="46" t="str">
        <f t="array" ref="Q282">XLOOKUP($A282,'Recipients REF'!$A:$A,'Recipients REF'!I:I,"",0)</f>
        <v>KMC5825 AJRFPV0682</v>
      </c>
      <c r="R282" s="47" t="str">
        <f t="array" ref="R282">XLOOKUP($A282,'Recipients REF'!$A:$A,'Recipients REF'!J:J,"",0)</f>
        <v>RTS 100554</v>
      </c>
      <c r="S282" s="45" t="s">
        <v>27</v>
      </c>
      <c r="T282" s="45" t="s">
        <v>28</v>
      </c>
      <c r="U282" s="46" t="str">
        <f t="array" ref="U282">XLOOKUP($A282,'Recipients REF'!$A:$A,'Recipients REF'!K:K,"",0)</f>
        <v>R-SERIES 437 PH</v>
      </c>
      <c r="V282" s="44" t="s">
        <v>29</v>
      </c>
      <c r="W282" s="45" t="s">
        <v>30</v>
      </c>
      <c r="X282" s="47" t="str">
        <f t="array" ref="X282">XLOOKUP($A282,'Recipients REF'!$A:$A,'Recipients REF'!L:L,"",0)</f>
        <v>LSGW1750 RMP 24040715</v>
      </c>
      <c r="Y282" s="48" t="s">
        <v>29</v>
      </c>
      <c r="Z282" s="48" t="s">
        <v>31</v>
      </c>
      <c r="AA282" s="46" t="str">
        <f t="array" ref="AA282">XLOOKUP($A282,'Recipients REF'!$A:$A,'Recipients REF'!M:M,"",0)</f>
        <v>WDP40 RMP 24040436</v>
      </c>
      <c r="AB282" s="49"/>
      <c r="AC282" s="42"/>
      <c r="AD282" s="42"/>
      <c r="AE282" s="50"/>
      <c r="AF282" s="42"/>
      <c r="AG282" s="42"/>
      <c r="AH282" s="42"/>
      <c r="AI282" s="42">
        <f t="array" ref="AI282">XLOOKUP($E282,Sheet11!$D:$D,Sheet11!$X:$X,"",0)</f>
        <v>869066060244945</v>
      </c>
      <c r="AJ282" s="42">
        <f t="array" ref="AJ282">XLOOKUP($E282,Sheet11!$D:$D,Sheet11!$Y:$Y,"",0)</f>
        <v>9084284757</v>
      </c>
    </row>
    <row r="283">
      <c r="A283" s="41">
        <v>443.0</v>
      </c>
      <c r="B283" s="42" t="s">
        <v>557</v>
      </c>
      <c r="C283" s="42" t="s">
        <v>558</v>
      </c>
      <c r="D283" s="42"/>
      <c r="E283" s="42" t="str">
        <f t="shared" ref="E283:F283" si="284">PROPER(B283)</f>
        <v>Tanghawan Farmers Association</v>
      </c>
      <c r="F283" s="42" t="str">
        <f t="shared" si="284"/>
        <v>Tanghawan, Dingle, Iloilo</v>
      </c>
      <c r="G283" s="42" t="str">
        <f t="shared" si="3"/>
        <v>Tanghawan</v>
      </c>
      <c r="H283" s="42" t="str">
        <f t="shared" si="4"/>
        <v>Dingle</v>
      </c>
      <c r="I283" s="42" t="str">
        <f t="shared" si="5"/>
        <v>Iloilo</v>
      </c>
      <c r="J283" s="42" t="str">
        <f t="array" ref="J283">XLOOKUP($E283,'Recipients REF'!$B:$B,'Recipients REF'!D:D,"",0)</f>
        <v>Michael D. Damasing</v>
      </c>
      <c r="K283" s="42">
        <f t="array" ref="K283">XLOOKUP($E283,'Recipients REF'!$B:$B,'Recipients REF'!E:E,"",0)</f>
        <v>9150157766</v>
      </c>
      <c r="L283" s="43" t="str">
        <f t="array" ref="L283">XLOOKUP($A283,'Recipients REF'!$A:$A,'Recipients REF'!F:F,"",0)</f>
        <v>RCEF 23-09-21 Rebidding</v>
      </c>
      <c r="M283" s="43">
        <f t="array" ref="M283">XLOOKUP($A283,'Recipients REF'!$A:$A,'Recipients REF'!G:G,"",0)</f>
        <v>4</v>
      </c>
      <c r="N283" s="43">
        <f t="array" ref="N283">XLOOKUP($A283,'Recipients REF'!$A:$A,'Recipients REF'!H:H,"",0)</f>
        <v>19101</v>
      </c>
      <c r="O283" s="44" t="s">
        <v>25</v>
      </c>
      <c r="P283" s="45" t="s">
        <v>26</v>
      </c>
      <c r="Q283" s="46" t="str">
        <f t="array" ref="Q283">XLOOKUP($A283,'Recipients REF'!$A:$A,'Recipients REF'!I:I,"",0)</f>
        <v>KMC5825 AARFPV0511</v>
      </c>
      <c r="R283" s="47" t="str">
        <f t="array" ref="R283">XLOOKUP($A283,'Recipients REF'!$A:$A,'Recipients REF'!J:J,"",0)</f>
        <v>RTS 100405</v>
      </c>
      <c r="S283" s="45" t="s">
        <v>27</v>
      </c>
      <c r="T283" s="45" t="s">
        <v>28</v>
      </c>
      <c r="U283" s="46" t="str">
        <f t="array" ref="U283">XLOOKUP($A283,'Recipients REF'!$A:$A,'Recipients REF'!K:K,"",0)</f>
        <v>R-SERIES 438 PH</v>
      </c>
      <c r="V283" s="44" t="s">
        <v>29</v>
      </c>
      <c r="W283" s="45" t="s">
        <v>30</v>
      </c>
      <c r="X283" s="47" t="str">
        <f t="array" ref="X283">XLOOKUP($A283,'Recipients REF'!$A:$A,'Recipients REF'!L:L,"",0)</f>
        <v>LSGW1750 RMP 24040700</v>
      </c>
      <c r="Y283" s="48" t="s">
        <v>29</v>
      </c>
      <c r="Z283" s="48" t="s">
        <v>31</v>
      </c>
      <c r="AA283" s="46" t="str">
        <f t="array" ref="AA283">XLOOKUP($A283,'Recipients REF'!$A:$A,'Recipients REF'!M:M,"",0)</f>
        <v>WDP40 RMP 24040452</v>
      </c>
      <c r="AB283" s="49"/>
      <c r="AC283" s="42"/>
      <c r="AD283" s="42"/>
      <c r="AE283" s="50"/>
      <c r="AF283" s="42"/>
      <c r="AG283" s="42"/>
      <c r="AH283" s="42"/>
      <c r="AI283" s="42">
        <f t="array" ref="AI283">XLOOKUP($E283,Sheet11!$D:$D,Sheet11!$X:$X,"",0)</f>
        <v>869066060242642</v>
      </c>
      <c r="AJ283" s="42">
        <f t="array" ref="AJ283">XLOOKUP($E283,Sheet11!$D:$D,Sheet11!$Y:$Y,"",0)</f>
        <v>9087695690</v>
      </c>
    </row>
    <row r="284">
      <c r="A284" s="41">
        <v>444.0</v>
      </c>
      <c r="B284" s="42" t="s">
        <v>559</v>
      </c>
      <c r="C284" s="42" t="s">
        <v>560</v>
      </c>
      <c r="D284" s="42"/>
      <c r="E284" s="42" t="str">
        <f t="shared" ref="E284:F284" si="285">PROPER(B284)</f>
        <v>Bugtongan Farmers Association</v>
      </c>
      <c r="F284" s="42" t="str">
        <f t="shared" si="285"/>
        <v>Bugtongan, Duenas, Iloilo</v>
      </c>
      <c r="G284" s="42" t="str">
        <f t="shared" si="3"/>
        <v>Bugtongan</v>
      </c>
      <c r="H284" s="42" t="str">
        <f t="shared" si="4"/>
        <v>Duenas</v>
      </c>
      <c r="I284" s="42" t="str">
        <f t="shared" si="5"/>
        <v>Iloilo</v>
      </c>
      <c r="J284" s="42" t="str">
        <f t="array" ref="J284">XLOOKUP($E284,'Recipients REF'!$B:$B,'Recipients REF'!D:D,"",0)</f>
        <v>Narciso T. Sorongon</v>
      </c>
      <c r="K284" s="42" t="str">
        <f t="array" ref="K284">XLOOKUP($E284,'Recipients REF'!$B:$B,'Recipients REF'!E:E,"",0)</f>
        <v>0921 318 8684</v>
      </c>
      <c r="L284" s="43" t="str">
        <f t="array" ref="L284">XLOOKUP($A284,'Recipients REF'!$A:$A,'Recipients REF'!F:F,"",0)</f>
        <v>RCEF 23-09-21 Rebidding</v>
      </c>
      <c r="M284" s="43">
        <f t="array" ref="M284">XLOOKUP($A284,'Recipients REF'!$A:$A,'Recipients REF'!G:G,"",0)</f>
        <v>4</v>
      </c>
      <c r="N284" s="43">
        <f t="array" ref="N284">XLOOKUP($A284,'Recipients REF'!$A:$A,'Recipients REF'!H:H,"",0)</f>
        <v>19102</v>
      </c>
      <c r="O284" s="44" t="s">
        <v>25</v>
      </c>
      <c r="P284" s="45" t="s">
        <v>26</v>
      </c>
      <c r="Q284" s="46" t="str">
        <f t="array" ref="Q284">XLOOKUP($A284,'Recipients REF'!$A:$A,'Recipients REF'!I:I,"",0)</f>
        <v>KMC5825 APRFPV0209</v>
      </c>
      <c r="R284" s="47" t="str">
        <f t="array" ref="R284">XLOOKUP($A284,'Recipients REF'!$A:$A,'Recipients REF'!J:J,"",0)</f>
        <v>RTS 100135</v>
      </c>
      <c r="S284" s="45" t="s">
        <v>27</v>
      </c>
      <c r="T284" s="45" t="s">
        <v>28</v>
      </c>
      <c r="U284" s="46" t="str">
        <f t="array" ref="U284">XLOOKUP($A284,'Recipients REF'!$A:$A,'Recipients REF'!K:K,"",0)</f>
        <v>WR-SERIES 724 PH</v>
      </c>
      <c r="V284" s="44" t="s">
        <v>29</v>
      </c>
      <c r="W284" s="45" t="s">
        <v>30</v>
      </c>
      <c r="X284" s="47" t="str">
        <f t="array" ref="X284">XLOOKUP($A284,'Recipients REF'!$A:$A,'Recipients REF'!L:L,"",0)</f>
        <v>LSGW1750 RMP 24040697</v>
      </c>
      <c r="Y284" s="48" t="s">
        <v>29</v>
      </c>
      <c r="Z284" s="48" t="s">
        <v>31</v>
      </c>
      <c r="AA284" s="46" t="str">
        <f t="array" ref="AA284">XLOOKUP($A284,'Recipients REF'!$A:$A,'Recipients REF'!M:M,"",0)</f>
        <v>WDP40 RMP 24040415</v>
      </c>
      <c r="AB284" s="49"/>
      <c r="AC284" s="42"/>
      <c r="AD284" s="42"/>
      <c r="AE284" s="50"/>
      <c r="AF284" s="42"/>
      <c r="AG284" s="42"/>
      <c r="AH284" s="42"/>
      <c r="AI284" s="42">
        <f t="array" ref="AI284">XLOOKUP($E284,Sheet11!$D:$D,Sheet11!$X:$X,"",0)</f>
        <v>869066060242659</v>
      </c>
      <c r="AJ284" s="42">
        <f t="array" ref="AJ284">XLOOKUP($E284,Sheet11!$D:$D,Sheet11!$Y:$Y,"",0)</f>
        <v>9086778259</v>
      </c>
    </row>
    <row r="285">
      <c r="A285" s="41">
        <v>445.0</v>
      </c>
      <c r="B285" s="42" t="s">
        <v>561</v>
      </c>
      <c r="C285" s="42" t="s">
        <v>562</v>
      </c>
      <c r="D285" s="42"/>
      <c r="E285" s="42" t="str">
        <f t="shared" ref="E285:F285" si="286">PROPER(B285)</f>
        <v>Ilagbata Irrigators' Association</v>
      </c>
      <c r="F285" s="42" t="str">
        <f t="shared" si="286"/>
        <v>Bacong, Dumangas, Iloilo</v>
      </c>
      <c r="G285" s="42" t="str">
        <f t="shared" si="3"/>
        <v>Bacong</v>
      </c>
      <c r="H285" s="42" t="str">
        <f t="shared" si="4"/>
        <v>Dumangas</v>
      </c>
      <c r="I285" s="42" t="str">
        <f t="shared" si="5"/>
        <v>Iloilo</v>
      </c>
      <c r="J285" s="42" t="str">
        <f t="array" ref="J285">XLOOKUP($E285,'Recipients REF'!$B:$B,'Recipients REF'!D:D,"",0)</f>
        <v>Rogelio D. Diamante</v>
      </c>
      <c r="K285" s="42">
        <f t="array" ref="K285">XLOOKUP($E285,'Recipients REF'!$B:$B,'Recipients REF'!E:E,"",0)</f>
        <v>9617884936</v>
      </c>
      <c r="L285" s="43" t="str">
        <f t="array" ref="L285">XLOOKUP($A285,'Recipients REF'!$A:$A,'Recipients REF'!F:F,"",0)</f>
        <v>RCEF 23-09-21 Rebidding</v>
      </c>
      <c r="M285" s="43">
        <f t="array" ref="M285">XLOOKUP($A285,'Recipients REF'!$A:$A,'Recipients REF'!G:G,"",0)</f>
        <v>4</v>
      </c>
      <c r="N285" s="43">
        <f t="array" ref="N285">XLOOKUP($A285,'Recipients REF'!$A:$A,'Recipients REF'!H:H,"",0)</f>
        <v>19103</v>
      </c>
      <c r="O285" s="44" t="s">
        <v>25</v>
      </c>
      <c r="P285" s="45" t="s">
        <v>26</v>
      </c>
      <c r="Q285" s="46" t="str">
        <f t="array" ref="Q285">XLOOKUP($A285,'Recipients REF'!$A:$A,'Recipients REF'!I:I,"",0)</f>
        <v>KMC5825 ALRFPV0574</v>
      </c>
      <c r="R285" s="47" t="str">
        <f t="array" ref="R285">XLOOKUP($A285,'Recipients REF'!$A:$A,'Recipients REF'!J:J,"",0)</f>
        <v>RTS 100477</v>
      </c>
      <c r="S285" s="45" t="s">
        <v>27</v>
      </c>
      <c r="T285" s="45" t="s">
        <v>28</v>
      </c>
      <c r="U285" s="46" t="str">
        <f t="array" ref="U285">XLOOKUP($A285,'Recipients REF'!$A:$A,'Recipients REF'!K:K,"",0)</f>
        <v>WR-SERIES 441 PH</v>
      </c>
      <c r="V285" s="44" t="s">
        <v>29</v>
      </c>
      <c r="W285" s="45" t="s">
        <v>30</v>
      </c>
      <c r="X285" s="47" t="str">
        <f t="array" ref="X285">XLOOKUP($A285,'Recipients REF'!$A:$A,'Recipients REF'!L:L,"",0)</f>
        <v>LSGW1750 RMP 24040718</v>
      </c>
      <c r="Y285" s="48" t="s">
        <v>29</v>
      </c>
      <c r="Z285" s="48" t="s">
        <v>31</v>
      </c>
      <c r="AA285" s="46" t="str">
        <f t="array" ref="AA285">XLOOKUP($A285,'Recipients REF'!$A:$A,'Recipients REF'!M:M,"",0)</f>
        <v>WDP40 RMP 24040425</v>
      </c>
      <c r="AB285" s="49"/>
      <c r="AC285" s="42"/>
      <c r="AD285" s="42"/>
      <c r="AE285" s="50"/>
      <c r="AF285" s="42"/>
      <c r="AG285" s="42"/>
      <c r="AH285" s="42"/>
      <c r="AI285" s="42">
        <f t="array" ref="AI285">XLOOKUP($E285,Sheet11!$D:$D,Sheet11!$X:$X,"",0)</f>
        <v>869066060241917</v>
      </c>
      <c r="AJ285" s="42">
        <f t="array" ref="AJ285">XLOOKUP($E285,Sheet11!$D:$D,Sheet11!$Y:$Y,"",0)</f>
        <v>9087213179</v>
      </c>
    </row>
    <row r="286">
      <c r="A286" s="41">
        <v>446.0</v>
      </c>
      <c r="B286" s="42" t="s">
        <v>563</v>
      </c>
      <c r="C286" s="42" t="s">
        <v>564</v>
      </c>
      <c r="D286" s="42"/>
      <c r="E286" s="42" t="str">
        <f t="shared" ref="E286:F286" si="287">PROPER(B286)</f>
        <v>Cabugao Viejo Farmers Association</v>
      </c>
      <c r="F286" s="42" t="str">
        <f t="shared" si="287"/>
        <v>Cabugao Viejo, San Enrique, Iloilo</v>
      </c>
      <c r="G286" s="42" t="str">
        <f t="shared" si="3"/>
        <v>Cabugao Viejo</v>
      </c>
      <c r="H286" s="42" t="str">
        <f t="shared" si="4"/>
        <v>San Enrique</v>
      </c>
      <c r="I286" s="42" t="str">
        <f t="shared" si="5"/>
        <v>Iloilo</v>
      </c>
      <c r="J286" s="42" t="str">
        <f t="array" ref="J286">XLOOKUP($E286,'Recipients REF'!$B:$B,'Recipients REF'!D:D,"",0)</f>
        <v>Rogelio P. Palermo</v>
      </c>
      <c r="K286" s="42" t="str">
        <f t="array" ref="K286">XLOOKUP($E286,'Recipients REF'!$B:$B,'Recipients REF'!E:E,"",0)</f>
        <v>0907 177 4773</v>
      </c>
      <c r="L286" s="43" t="str">
        <f t="array" ref="L286">XLOOKUP($A286,'Recipients REF'!$A:$A,'Recipients REF'!F:F,"",0)</f>
        <v>RCEF 23-09-21 Rebidding</v>
      </c>
      <c r="M286" s="43">
        <f t="array" ref="M286">XLOOKUP($A286,'Recipients REF'!$A:$A,'Recipients REF'!G:G,"",0)</f>
        <v>4</v>
      </c>
      <c r="N286" s="43">
        <f t="array" ref="N286">XLOOKUP($A286,'Recipients REF'!$A:$A,'Recipients REF'!H:H,"",0)</f>
        <v>19104</v>
      </c>
      <c r="O286" s="44" t="s">
        <v>25</v>
      </c>
      <c r="P286" s="45" t="s">
        <v>26</v>
      </c>
      <c r="Q286" s="46" t="str">
        <f t="array" ref="Q286">XLOOKUP($A286,'Recipients REF'!$A:$A,'Recipients REF'!I:I,"",0)</f>
        <v>KMC5825 ALRFPV0350</v>
      </c>
      <c r="R286" s="47" t="str">
        <f t="array" ref="R286">XLOOKUP($A286,'Recipients REF'!$A:$A,'Recipients REF'!J:J,"",0)</f>
        <v>RTS 100236</v>
      </c>
      <c r="S286" s="45" t="s">
        <v>27</v>
      </c>
      <c r="T286" s="45" t="s">
        <v>28</v>
      </c>
      <c r="U286" s="46" t="str">
        <f t="array" ref="U286">XLOOKUP($A286,'Recipients REF'!$A:$A,'Recipients REF'!K:K,"",0)</f>
        <v>R-SERIES 430 PH</v>
      </c>
      <c r="V286" s="44" t="s">
        <v>29</v>
      </c>
      <c r="W286" s="45" t="s">
        <v>30</v>
      </c>
      <c r="X286" s="47" t="str">
        <f t="array" ref="X286">XLOOKUP($A286,'Recipients REF'!$A:$A,'Recipients REF'!L:L,"",0)</f>
        <v>LSGW1750 RMP 24040682</v>
      </c>
      <c r="Y286" s="48" t="s">
        <v>29</v>
      </c>
      <c r="Z286" s="48" t="s">
        <v>31</v>
      </c>
      <c r="AA286" s="46" t="str">
        <f t="array" ref="AA286">XLOOKUP($A286,'Recipients REF'!$A:$A,'Recipients REF'!M:M,"",0)</f>
        <v>WDP40 RMP 24040419</v>
      </c>
      <c r="AB286" s="49"/>
      <c r="AC286" s="42"/>
      <c r="AD286" s="42"/>
      <c r="AE286" s="50"/>
      <c r="AF286" s="42"/>
      <c r="AG286" s="42"/>
      <c r="AH286" s="42"/>
      <c r="AI286" s="42">
        <f t="array" ref="AI286">XLOOKUP($E286,Sheet11!$D:$D,Sheet11!$X:$X,"",0)</f>
        <v>869066060232790</v>
      </c>
      <c r="AJ286" s="42">
        <f t="array" ref="AJ286">XLOOKUP($E286,Sheet11!$D:$D,Sheet11!$Y:$Y,"",0)</f>
        <v>9087606039</v>
      </c>
    </row>
    <row r="287">
      <c r="A287" s="41">
        <v>447.0</v>
      </c>
      <c r="B287" s="42" t="s">
        <v>565</v>
      </c>
      <c r="C287" s="42" t="s">
        <v>566</v>
      </c>
      <c r="D287" s="42"/>
      <c r="E287" s="42" t="str">
        <f t="shared" ref="E287:F287" si="288">PROPER(B287)</f>
        <v>Madarag Farmers Association</v>
      </c>
      <c r="F287" s="42" t="str">
        <f t="shared" si="288"/>
        <v>Madarag, San Enrique, Iloilo</v>
      </c>
      <c r="G287" s="42" t="str">
        <f t="shared" si="3"/>
        <v>Madarag</v>
      </c>
      <c r="H287" s="42" t="str">
        <f t="shared" si="4"/>
        <v>San Enrique</v>
      </c>
      <c r="I287" s="42" t="str">
        <f t="shared" si="5"/>
        <v>Iloilo</v>
      </c>
      <c r="J287" s="42" t="str">
        <f t="array" ref="J287">XLOOKUP($E287,'Recipients REF'!$B:$B,'Recipients REF'!D:D,"",0)</f>
        <v>Fernando N. Agnes Jr.</v>
      </c>
      <c r="K287" s="42" t="str">
        <f t="array" ref="K287">XLOOKUP($E287,'Recipients REF'!$B:$B,'Recipients REF'!E:E,"",0)</f>
        <v>0912 443 2584</v>
      </c>
      <c r="L287" s="43" t="str">
        <f t="array" ref="L287">XLOOKUP($A287,'Recipients REF'!$A:$A,'Recipients REF'!F:F,"",0)</f>
        <v>RCEF 23-09-21 Rebidding</v>
      </c>
      <c r="M287" s="43">
        <f t="array" ref="M287">XLOOKUP($A287,'Recipients REF'!$A:$A,'Recipients REF'!G:G,"",0)</f>
        <v>4</v>
      </c>
      <c r="N287" s="43">
        <f t="array" ref="N287">XLOOKUP($A287,'Recipients REF'!$A:$A,'Recipients REF'!H:H,"",0)</f>
        <v>19105</v>
      </c>
      <c r="O287" s="44" t="s">
        <v>25</v>
      </c>
      <c r="P287" s="45" t="s">
        <v>26</v>
      </c>
      <c r="Q287" s="46" t="str">
        <f t="array" ref="Q287">XLOOKUP($A287,'Recipients REF'!$A:$A,'Recipients REF'!I:I,"",0)</f>
        <v>KMC5825 ALRFPV0591</v>
      </c>
      <c r="R287" s="47" t="str">
        <f t="array" ref="R287">XLOOKUP($A287,'Recipients REF'!$A:$A,'Recipients REF'!J:J,"",0)</f>
        <v>RTS 100538</v>
      </c>
      <c r="S287" s="45" t="s">
        <v>27</v>
      </c>
      <c r="T287" s="45" t="s">
        <v>28</v>
      </c>
      <c r="U287" s="46" t="str">
        <f t="array" ref="U287">XLOOKUP($A287,'Recipients REF'!$A:$A,'Recipients REF'!K:K,"",0)</f>
        <v>R-SERIES 434 PH</v>
      </c>
      <c r="V287" s="44" t="s">
        <v>29</v>
      </c>
      <c r="W287" s="45" t="s">
        <v>30</v>
      </c>
      <c r="X287" s="47" t="str">
        <f t="array" ref="X287">XLOOKUP($A287,'Recipients REF'!$A:$A,'Recipients REF'!L:L,"",0)</f>
        <v>LSGW1750 RMP 24040686</v>
      </c>
      <c r="Y287" s="48" t="s">
        <v>29</v>
      </c>
      <c r="Z287" s="48" t="s">
        <v>31</v>
      </c>
      <c r="AA287" s="46" t="str">
        <f t="array" ref="AA287">XLOOKUP($A287,'Recipients REF'!$A:$A,'Recipients REF'!M:M,"",0)</f>
        <v>WDP40 RMP 24040424</v>
      </c>
      <c r="AB287" s="49"/>
      <c r="AC287" s="42"/>
      <c r="AD287" s="42"/>
      <c r="AE287" s="50"/>
      <c r="AF287" s="42"/>
      <c r="AG287" s="42"/>
      <c r="AH287" s="42"/>
      <c r="AI287" s="42">
        <f t="array" ref="AI287">XLOOKUP($E287,Sheet11!$D:$D,Sheet11!$X:$X,"",0)</f>
        <v>869066060242162</v>
      </c>
      <c r="AJ287" s="42">
        <f t="array" ref="AJ287">XLOOKUP($E287,Sheet11!$D:$D,Sheet11!$Y:$Y,"",0)</f>
        <v>9084510879</v>
      </c>
    </row>
    <row r="288">
      <c r="A288" s="41">
        <v>448.0</v>
      </c>
      <c r="B288" s="42" t="s">
        <v>567</v>
      </c>
      <c r="C288" s="42" t="s">
        <v>568</v>
      </c>
      <c r="D288" s="42"/>
      <c r="E288" s="42" t="str">
        <f t="shared" ref="E288:F288" si="289">PROPER(B288)</f>
        <v>Pili Farmers Association</v>
      </c>
      <c r="F288" s="42" t="str">
        <f t="shared" si="289"/>
        <v>Pili, Ajuy, Iloilo</v>
      </c>
      <c r="G288" s="42" t="str">
        <f t="shared" si="3"/>
        <v>Pili</v>
      </c>
      <c r="H288" s="42" t="str">
        <f t="shared" si="4"/>
        <v>Ajuy</v>
      </c>
      <c r="I288" s="42" t="str">
        <f t="shared" si="5"/>
        <v>Iloilo</v>
      </c>
      <c r="J288" s="42" t="str">
        <f t="array" ref="J288">XLOOKUP($E288,'Recipients REF'!$B:$B,'Recipients REF'!D:D,"",0)</f>
        <v>Ariel J. Asong</v>
      </c>
      <c r="K288" s="42" t="str">
        <f t="array" ref="K288">XLOOKUP($E288,'Recipients REF'!$B:$B,'Recipients REF'!E:E,"",0)</f>
        <v>0930 292 3044</v>
      </c>
      <c r="L288" s="43" t="str">
        <f t="array" ref="L288">XLOOKUP($A288,'Recipients REF'!$A:$A,'Recipients REF'!F:F,"",0)</f>
        <v>RCEF 23-09-21 Rebidding</v>
      </c>
      <c r="M288" s="43">
        <f t="array" ref="M288">XLOOKUP($A288,'Recipients REF'!$A:$A,'Recipients REF'!G:G,"",0)</f>
        <v>4</v>
      </c>
      <c r="N288" s="43">
        <f t="array" ref="N288">XLOOKUP($A288,'Recipients REF'!$A:$A,'Recipients REF'!H:H,"",0)</f>
        <v>19106</v>
      </c>
      <c r="O288" s="44" t="s">
        <v>25</v>
      </c>
      <c r="P288" s="45" t="s">
        <v>26</v>
      </c>
      <c r="Q288" s="46" t="str">
        <f t="array" ref="Q288">XLOOKUP($A288,'Recipients REF'!$A:$A,'Recipients REF'!I:I,"",0)</f>
        <v>KMC5825 AARFPV0153</v>
      </c>
      <c r="R288" s="47" t="str">
        <f t="array" ref="R288">XLOOKUP($A288,'Recipients REF'!$A:$A,'Recipients REF'!J:J,"",0)</f>
        <v>RTS 100101</v>
      </c>
      <c r="S288" s="45" t="s">
        <v>27</v>
      </c>
      <c r="T288" s="45" t="s">
        <v>28</v>
      </c>
      <c r="U288" s="46" t="str">
        <f t="array" ref="U288">XLOOKUP($A288,'Recipients REF'!$A:$A,'Recipients REF'!K:K,"",0)</f>
        <v>WR-SERIES 719 PH</v>
      </c>
      <c r="V288" s="44" t="s">
        <v>29</v>
      </c>
      <c r="W288" s="45" t="s">
        <v>30</v>
      </c>
      <c r="X288" s="47" t="str">
        <f t="array" ref="X288">XLOOKUP($A288,'Recipients REF'!$A:$A,'Recipients REF'!L:L,"",0)</f>
        <v>LSGW1750 RMP 24040704</v>
      </c>
      <c r="Y288" s="48" t="s">
        <v>29</v>
      </c>
      <c r="Z288" s="48" t="s">
        <v>31</v>
      </c>
      <c r="AA288" s="46" t="str">
        <f t="array" ref="AA288">XLOOKUP($A288,'Recipients REF'!$A:$A,'Recipients REF'!M:M,"",0)</f>
        <v>WDP40 RMP 24040453</v>
      </c>
      <c r="AB288" s="49"/>
      <c r="AC288" s="42"/>
      <c r="AD288" s="42"/>
      <c r="AE288" s="50"/>
      <c r="AF288" s="42"/>
      <c r="AG288" s="42"/>
      <c r="AH288" s="42"/>
      <c r="AI288" s="42">
        <f t="array" ref="AI288">XLOOKUP($E288,Sheet11!$D:$D,Sheet11!$X:$X,"",0)</f>
        <v>869066060244911</v>
      </c>
      <c r="AJ288" s="42">
        <f t="array" ref="AJ288">XLOOKUP($E288,Sheet11!$D:$D,Sheet11!$Y:$Y,"",0)</f>
        <v>9086802258</v>
      </c>
    </row>
    <row r="289">
      <c r="A289" s="41">
        <v>449.0</v>
      </c>
      <c r="B289" s="42" t="s">
        <v>569</v>
      </c>
      <c r="C289" s="42" t="s">
        <v>570</v>
      </c>
      <c r="D289" s="42"/>
      <c r="E289" s="42" t="str">
        <f t="shared" ref="E289:F289" si="290">PROPER(B289)</f>
        <v>Puente Bunglas Farmers Association</v>
      </c>
      <c r="F289" s="42" t="str">
        <f t="shared" si="290"/>
        <v>Puente Bunglas, Ajuy, Iloilo</v>
      </c>
      <c r="G289" s="42" t="str">
        <f t="shared" si="3"/>
        <v>Puente Bunglas</v>
      </c>
      <c r="H289" s="42" t="str">
        <f t="shared" si="4"/>
        <v>Ajuy</v>
      </c>
      <c r="I289" s="42" t="str">
        <f t="shared" si="5"/>
        <v>Iloilo</v>
      </c>
      <c r="J289" s="42" t="str">
        <f t="array" ref="J289">XLOOKUP($E289,'Recipients REF'!$B:$B,'Recipients REF'!D:D,"",0)</f>
        <v>Riza R. Eler</v>
      </c>
      <c r="K289" s="42">
        <f t="array" ref="K289">XLOOKUP($E289,'Recipients REF'!$B:$B,'Recipients REF'!E:E,"",0)</f>
        <v>9382247049</v>
      </c>
      <c r="L289" s="43" t="str">
        <f t="array" ref="L289">XLOOKUP($A289,'Recipients REF'!$A:$A,'Recipients REF'!F:F,"",0)</f>
        <v>RCEF 23-09-21 Rebidding</v>
      </c>
      <c r="M289" s="43">
        <f t="array" ref="M289">XLOOKUP($A289,'Recipients REF'!$A:$A,'Recipients REF'!G:G,"",0)</f>
        <v>4</v>
      </c>
      <c r="N289" s="43">
        <f t="array" ref="N289">XLOOKUP($A289,'Recipients REF'!$A:$A,'Recipients REF'!H:H,"",0)</f>
        <v>19107</v>
      </c>
      <c r="O289" s="44" t="s">
        <v>25</v>
      </c>
      <c r="P289" s="45" t="s">
        <v>26</v>
      </c>
      <c r="Q289" s="46" t="str">
        <f t="array" ref="Q289">XLOOKUP($A289,'Recipients REF'!$A:$A,'Recipients REF'!I:I,"",0)</f>
        <v>KMC5825 ATRFPV0306</v>
      </c>
      <c r="R289" s="47" t="str">
        <f t="array" ref="R289">XLOOKUP($A289,'Recipients REF'!$A:$A,'Recipients REF'!J:J,"",0)</f>
        <v>RTS 100181</v>
      </c>
      <c r="S289" s="45" t="s">
        <v>27</v>
      </c>
      <c r="T289" s="45" t="s">
        <v>28</v>
      </c>
      <c r="U289" s="46" t="str">
        <f t="array" ref="U289">XLOOKUP($A289,'Recipients REF'!$A:$A,'Recipients REF'!K:K,"",0)</f>
        <v>WR-SERIES 713 PH</v>
      </c>
      <c r="V289" s="44" t="s">
        <v>29</v>
      </c>
      <c r="W289" s="45" t="s">
        <v>30</v>
      </c>
      <c r="X289" s="47" t="str">
        <f t="array" ref="X289">XLOOKUP($A289,'Recipients REF'!$A:$A,'Recipients REF'!L:L,"",0)</f>
        <v>LSGW1750 RMP 24040708</v>
      </c>
      <c r="Y289" s="48" t="s">
        <v>29</v>
      </c>
      <c r="Z289" s="48" t="s">
        <v>31</v>
      </c>
      <c r="AA289" s="46" t="str">
        <f t="array" ref="AA289">XLOOKUP($A289,'Recipients REF'!$A:$A,'Recipients REF'!M:M,"",0)</f>
        <v>WDP40 RMP 24040407</v>
      </c>
      <c r="AB289" s="49"/>
      <c r="AC289" s="42"/>
      <c r="AD289" s="42"/>
      <c r="AE289" s="50"/>
      <c r="AF289" s="42"/>
      <c r="AG289" s="42"/>
      <c r="AH289" s="42"/>
      <c r="AI289" s="42">
        <f t="array" ref="AI289">XLOOKUP($E289,Sheet11!$D:$D,Sheet11!$X:$X,"",0)</f>
        <v>869066060239616</v>
      </c>
      <c r="AJ289" s="42">
        <f t="array" ref="AJ289">XLOOKUP($E289,Sheet11!$D:$D,Sheet11!$Y:$Y,"",0)</f>
        <v>9083443054</v>
      </c>
    </row>
    <row r="290">
      <c r="A290" s="41">
        <v>450.0</v>
      </c>
      <c r="B290" s="42" t="s">
        <v>571</v>
      </c>
      <c r="C290" s="42" t="s">
        <v>572</v>
      </c>
      <c r="D290" s="42"/>
      <c r="E290" s="42" t="str">
        <f t="shared" ref="E290:F290" si="291">PROPER(B290)</f>
        <v>Timipal Agrarian Reform Beneficiaries Multi-Purpose Cooperative</v>
      </c>
      <c r="F290" s="42" t="str">
        <f t="shared" si="291"/>
        <v>Pani-An, Balasan, Iloilo</v>
      </c>
      <c r="G290" s="42" t="str">
        <f t="shared" si="3"/>
        <v>Pani-An</v>
      </c>
      <c r="H290" s="42" t="str">
        <f t="shared" si="4"/>
        <v>Balasan</v>
      </c>
      <c r="I290" s="42" t="str">
        <f t="shared" si="5"/>
        <v>Iloilo</v>
      </c>
      <c r="J290" s="42" t="str">
        <f t="array" ref="J290">XLOOKUP($E290,'Recipients REF'!$B:$B,'Recipients REF'!D:D,"",0)</f>
        <v>Alberto C. Lamigo</v>
      </c>
      <c r="K290" s="42">
        <f t="array" ref="K290">XLOOKUP($E290,'Recipients REF'!$B:$B,'Recipients REF'!E:E,"",0)</f>
        <v>9128453091</v>
      </c>
      <c r="L290" s="43" t="str">
        <f t="array" ref="L290">XLOOKUP($A290,'Recipients REF'!$A:$A,'Recipients REF'!F:F,"",0)</f>
        <v>RCEF 23-09-21 Rebidding</v>
      </c>
      <c r="M290" s="43">
        <f t="array" ref="M290">XLOOKUP($A290,'Recipients REF'!$A:$A,'Recipients REF'!G:G,"",0)</f>
        <v>4</v>
      </c>
      <c r="N290" s="43">
        <f t="array" ref="N290">XLOOKUP($A290,'Recipients REF'!$A:$A,'Recipients REF'!H:H,"",0)</f>
        <v>19108</v>
      </c>
      <c r="O290" s="44" t="s">
        <v>25</v>
      </c>
      <c r="P290" s="45" t="s">
        <v>26</v>
      </c>
      <c r="Q290" s="46" t="str">
        <f t="array" ref="Q290">XLOOKUP($A290,'Recipients REF'!$A:$A,'Recipients REF'!I:I,"",0)</f>
        <v>KMC5825 AKRFPV0583</v>
      </c>
      <c r="R290" s="47" t="str">
        <f t="array" ref="R290">XLOOKUP($A290,'Recipients REF'!$A:$A,'Recipients REF'!J:J,"",0)</f>
        <v>RTS 100401</v>
      </c>
      <c r="S290" s="45" t="s">
        <v>27</v>
      </c>
      <c r="T290" s="45" t="s">
        <v>28</v>
      </c>
      <c r="U290" s="46" t="str">
        <f t="array" ref="U290">XLOOKUP($A290,'Recipients REF'!$A:$A,'Recipients REF'!K:K,"",0)</f>
        <v>WH-SERIES 450 PH</v>
      </c>
      <c r="V290" s="44" t="s">
        <v>29</v>
      </c>
      <c r="W290" s="45" t="s">
        <v>30</v>
      </c>
      <c r="X290" s="47" t="str">
        <f t="array" ref="X290">XLOOKUP($A290,'Recipients REF'!$A:$A,'Recipients REF'!L:L,"",0)</f>
        <v>LSGW1750 RMP 24040680</v>
      </c>
      <c r="Y290" s="48" t="s">
        <v>29</v>
      </c>
      <c r="Z290" s="48" t="s">
        <v>31</v>
      </c>
      <c r="AA290" s="46" t="str">
        <f t="array" ref="AA290">XLOOKUP($A290,'Recipients REF'!$A:$A,'Recipients REF'!M:M,"",0)</f>
        <v>WDP40 RMP 24040451</v>
      </c>
      <c r="AB290" s="49"/>
      <c r="AC290" s="42"/>
      <c r="AD290" s="42"/>
      <c r="AE290" s="50"/>
      <c r="AF290" s="42"/>
      <c r="AG290" s="42"/>
      <c r="AH290" s="42"/>
      <c r="AI290" s="42">
        <f t="array" ref="AI290">XLOOKUP($E290,Sheet11!$D:$D,Sheet11!$X:$X,"",0)</f>
        <v>869066060244962</v>
      </c>
      <c r="AJ290" s="42">
        <f t="array" ref="AJ290">XLOOKUP($E290,Sheet11!$D:$D,Sheet11!$Y:$Y,"",0)</f>
        <v>9085147725</v>
      </c>
    </row>
    <row r="291">
      <c r="A291" s="41">
        <v>451.0</v>
      </c>
      <c r="B291" s="42" t="s">
        <v>573</v>
      </c>
      <c r="C291" s="42" t="s">
        <v>574</v>
      </c>
      <c r="D291" s="42"/>
      <c r="E291" s="42" t="str">
        <f t="shared" ref="E291:F291" si="292">PROPER(B291)</f>
        <v>Aglosong-Bachawan Norte Community Participatory Action Research</v>
      </c>
      <c r="F291" s="42" t="str">
        <f t="shared" si="292"/>
        <v>Aglosong, Concepcion, Iloilo</v>
      </c>
      <c r="G291" s="42" t="str">
        <f t="shared" si="3"/>
        <v>Aglosong</v>
      </c>
      <c r="H291" s="42" t="str">
        <f t="shared" si="4"/>
        <v>Concepcion</v>
      </c>
      <c r="I291" s="42" t="str">
        <f t="shared" si="5"/>
        <v>Iloilo</v>
      </c>
      <c r="J291" s="42" t="str">
        <f t="array" ref="J291">XLOOKUP($E291,'Recipients REF'!$B:$B,'Recipients REF'!D:D,"",0)</f>
        <v>Gilbert J. Balida</v>
      </c>
      <c r="K291" s="42" t="str">
        <f t="array" ref="K291">XLOOKUP($E291,'Recipients REF'!$B:$B,'Recipients REF'!E:E,"",0)</f>
        <v>0916 278 6205</v>
      </c>
      <c r="L291" s="43" t="str">
        <f t="array" ref="L291">XLOOKUP($A291,'Recipients REF'!$A:$A,'Recipients REF'!F:F,"",0)</f>
        <v>RCEF 23-09-21 Rebidding</v>
      </c>
      <c r="M291" s="43">
        <f t="array" ref="M291">XLOOKUP($A291,'Recipients REF'!$A:$A,'Recipients REF'!G:G,"",0)</f>
        <v>4</v>
      </c>
      <c r="N291" s="43">
        <f t="array" ref="N291">XLOOKUP($A291,'Recipients REF'!$A:$A,'Recipients REF'!H:H,"",0)</f>
        <v>19109</v>
      </c>
      <c r="O291" s="44" t="s">
        <v>25</v>
      </c>
      <c r="P291" s="45" t="s">
        <v>26</v>
      </c>
      <c r="Q291" s="46" t="str">
        <f t="array" ref="Q291">XLOOKUP($A291,'Recipients REF'!$A:$A,'Recipients REF'!I:I,"",0)</f>
        <v>KMC5825 AKRFPV0406</v>
      </c>
      <c r="R291" s="47" t="str">
        <f t="array" ref="R291">XLOOKUP($A291,'Recipients REF'!$A:$A,'Recipients REF'!J:J,"",0)</f>
        <v>RTS 100313</v>
      </c>
      <c r="S291" s="45" t="s">
        <v>27</v>
      </c>
      <c r="T291" s="45" t="s">
        <v>28</v>
      </c>
      <c r="U291" s="46" t="str">
        <f t="array" ref="U291">XLOOKUP($A291,'Recipients REF'!$A:$A,'Recipients REF'!K:K,"",0)</f>
        <v>WH-SERIES 879 PH</v>
      </c>
      <c r="V291" s="44" t="s">
        <v>29</v>
      </c>
      <c r="W291" s="45" t="s">
        <v>30</v>
      </c>
      <c r="X291" s="47" t="str">
        <f t="array" ref="X291">XLOOKUP($A291,'Recipients REF'!$A:$A,'Recipients REF'!L:L,"",0)</f>
        <v>LSGW1750 RMP 24040690</v>
      </c>
      <c r="Y291" s="48" t="s">
        <v>29</v>
      </c>
      <c r="Z291" s="48" t="s">
        <v>31</v>
      </c>
      <c r="AA291" s="46" t="str">
        <f t="array" ref="AA291">XLOOKUP($A291,'Recipients REF'!$A:$A,'Recipients REF'!M:M,"",0)</f>
        <v>WDP40 RMP 24040404</v>
      </c>
      <c r="AB291" s="49"/>
      <c r="AC291" s="42"/>
      <c r="AD291" s="42"/>
      <c r="AE291" s="50"/>
      <c r="AF291" s="42"/>
      <c r="AG291" s="42"/>
      <c r="AH291" s="42"/>
      <c r="AI291" s="42">
        <f t="array" ref="AI291">XLOOKUP($E291,Sheet11!$D:$D,Sheet11!$X:$X,"",0)</f>
        <v>869066060239994</v>
      </c>
      <c r="AJ291" s="42">
        <f t="array" ref="AJ291">XLOOKUP($E291,Sheet11!$D:$D,Sheet11!$Y:$Y,"",0)</f>
        <v>9083122927</v>
      </c>
    </row>
    <row r="292">
      <c r="A292" s="41">
        <v>452.0</v>
      </c>
      <c r="B292" s="42" t="s">
        <v>575</v>
      </c>
      <c r="C292" s="42" t="s">
        <v>576</v>
      </c>
      <c r="D292" s="42"/>
      <c r="E292" s="42" t="str">
        <f t="shared" ref="E292:F292" si="293">PROPER(B292)</f>
        <v>Brgy. Bankal Farmers Association</v>
      </c>
      <c r="F292" s="42" t="str">
        <f t="shared" si="293"/>
        <v>Bankal, Lemery, Iloilo</v>
      </c>
      <c r="G292" s="42" t="str">
        <f t="shared" si="3"/>
        <v>Bankal</v>
      </c>
      <c r="H292" s="42" t="str">
        <f t="shared" si="4"/>
        <v>Lemery</v>
      </c>
      <c r="I292" s="42" t="str">
        <f t="shared" si="5"/>
        <v>Iloilo</v>
      </c>
      <c r="J292" s="42" t="str">
        <f t="array" ref="J292">XLOOKUP($E292,'Recipients REF'!$B:$B,'Recipients REF'!D:D,"",0)</f>
        <v>Eugenio Dable</v>
      </c>
      <c r="K292" s="42">
        <f t="array" ref="K292">XLOOKUP($E292,'Recipients REF'!$B:$B,'Recipients REF'!E:E,"",0)</f>
        <v>9070819944</v>
      </c>
      <c r="L292" s="43" t="str">
        <f t="array" ref="L292">XLOOKUP($A292,'Recipients REF'!$A:$A,'Recipients REF'!F:F,"",0)</f>
        <v>RCEF 23-09-21 Rebidding</v>
      </c>
      <c r="M292" s="43">
        <f t="array" ref="M292">XLOOKUP($A292,'Recipients REF'!$A:$A,'Recipients REF'!G:G,"",0)</f>
        <v>4</v>
      </c>
      <c r="N292" s="43">
        <f t="array" ref="N292">XLOOKUP($A292,'Recipients REF'!$A:$A,'Recipients REF'!H:H,"",0)</f>
        <v>19110</v>
      </c>
      <c r="O292" s="44" t="s">
        <v>25</v>
      </c>
      <c r="P292" s="45" t="s">
        <v>26</v>
      </c>
      <c r="Q292" s="46" t="str">
        <f t="array" ref="Q292">XLOOKUP($A292,'Recipients REF'!$A:$A,'Recipients REF'!I:I,"",0)</f>
        <v>KMC5825 ACRFPV0675</v>
      </c>
      <c r="R292" s="47" t="str">
        <f t="array" ref="R292">XLOOKUP($A292,'Recipients REF'!$A:$A,'Recipients REF'!J:J,"",0)</f>
        <v>RTS 100568</v>
      </c>
      <c r="S292" s="45" t="s">
        <v>27</v>
      </c>
      <c r="T292" s="45" t="s">
        <v>28</v>
      </c>
      <c r="U292" s="46" t="str">
        <f t="array" ref="U292">XLOOKUP($A292,'Recipients REF'!$A:$A,'Recipients REF'!K:K,"",0)</f>
        <v>WR-SERIES 852 PH</v>
      </c>
      <c r="V292" s="44" t="s">
        <v>29</v>
      </c>
      <c r="W292" s="45" t="s">
        <v>30</v>
      </c>
      <c r="X292" s="47" t="str">
        <f t="array" ref="X292">XLOOKUP($A292,'Recipients REF'!$A:$A,'Recipients REF'!L:L,"",0)</f>
        <v>LSGW1750 RMP 24040683</v>
      </c>
      <c r="Y292" s="48" t="s">
        <v>29</v>
      </c>
      <c r="Z292" s="48" t="s">
        <v>31</v>
      </c>
      <c r="AA292" s="46" t="str">
        <f t="array" ref="AA292">XLOOKUP($A292,'Recipients REF'!$A:$A,'Recipients REF'!M:M,"",0)</f>
        <v>WDP40 RMP 24040403</v>
      </c>
      <c r="AB292" s="49"/>
      <c r="AC292" s="42"/>
      <c r="AD292" s="42"/>
      <c r="AE292" s="50"/>
      <c r="AF292" s="42"/>
      <c r="AG292" s="42"/>
      <c r="AH292" s="42"/>
      <c r="AI292" s="42">
        <f t="array" ref="AI292">XLOOKUP($E292,Sheet11!$D:$D,Sheet11!$X:$X,"",0)</f>
        <v>869066060239465</v>
      </c>
      <c r="AJ292" s="42">
        <f t="array" ref="AJ292">XLOOKUP($E292,Sheet11!$D:$D,Sheet11!$Y:$Y,"",0)</f>
        <v>9085964106</v>
      </c>
    </row>
    <row r="293">
      <c r="A293" s="41">
        <v>453.0</v>
      </c>
      <c r="B293" s="42" t="s">
        <v>577</v>
      </c>
      <c r="C293" s="42" t="s">
        <v>578</v>
      </c>
      <c r="D293" s="42"/>
      <c r="E293" s="42" t="str">
        <f t="shared" ref="E293:F293" si="294">PROPER(B293)</f>
        <v>Capisanan Agrarian Reform Cooperative</v>
      </c>
      <c r="F293" s="42" t="str">
        <f t="shared" si="294"/>
        <v>Capinang, San Dionisio, Iloilo</v>
      </c>
      <c r="G293" s="42" t="str">
        <f t="shared" si="3"/>
        <v>Capinang</v>
      </c>
      <c r="H293" s="42" t="str">
        <f t="shared" si="4"/>
        <v>San Dionisio</v>
      </c>
      <c r="I293" s="42" t="str">
        <f t="shared" si="5"/>
        <v>Iloilo</v>
      </c>
      <c r="J293" s="42" t="str">
        <f t="array" ref="J293">XLOOKUP($E293,'Recipients REF'!$B:$B,'Recipients REF'!D:D,"",0)</f>
        <v>Julius G. Bolivar</v>
      </c>
      <c r="K293" s="42">
        <f t="array" ref="K293">XLOOKUP($E293,'Recipients REF'!$B:$B,'Recipients REF'!E:E,"",0)</f>
        <v>9977287574</v>
      </c>
      <c r="L293" s="43" t="str">
        <f t="array" ref="L293">XLOOKUP($A293,'Recipients REF'!$A:$A,'Recipients REF'!F:F,"",0)</f>
        <v>RCEF 23-09-21 Rebidding</v>
      </c>
      <c r="M293" s="43">
        <f t="array" ref="M293">XLOOKUP($A293,'Recipients REF'!$A:$A,'Recipients REF'!G:G,"",0)</f>
        <v>4</v>
      </c>
      <c r="N293" s="43">
        <f t="array" ref="N293">XLOOKUP($A293,'Recipients REF'!$A:$A,'Recipients REF'!H:H,"",0)</f>
        <v>19111</v>
      </c>
      <c r="O293" s="44" t="s">
        <v>25</v>
      </c>
      <c r="P293" s="45" t="s">
        <v>26</v>
      </c>
      <c r="Q293" s="46" t="str">
        <f t="array" ref="Q293">XLOOKUP($A293,'Recipients REF'!$A:$A,'Recipients REF'!I:I,"",0)</f>
        <v>KMC5825 ACRFPV0630</v>
      </c>
      <c r="R293" s="47" t="str">
        <f t="array" ref="R293">XLOOKUP($A293,'Recipients REF'!$A:$A,'Recipients REF'!J:J,"",0)</f>
        <v>RTS 100517</v>
      </c>
      <c r="S293" s="45" t="s">
        <v>27</v>
      </c>
      <c r="T293" s="45" t="s">
        <v>28</v>
      </c>
      <c r="U293" s="46" t="str">
        <f t="array" ref="U293">XLOOKUP($A293,'Recipients REF'!$A:$A,'Recipients REF'!K:K,"",0)</f>
        <v>WR-SERIES 876 PH</v>
      </c>
      <c r="V293" s="44" t="s">
        <v>29</v>
      </c>
      <c r="W293" s="45" t="s">
        <v>30</v>
      </c>
      <c r="X293" s="47" t="str">
        <f t="array" ref="X293">XLOOKUP($A293,'Recipients REF'!$A:$A,'Recipients REF'!L:L,"",0)</f>
        <v>LSGW1750 RMP 24040717</v>
      </c>
      <c r="Y293" s="48" t="s">
        <v>29</v>
      </c>
      <c r="Z293" s="48" t="s">
        <v>31</v>
      </c>
      <c r="AA293" s="46" t="str">
        <f t="array" ref="AA293">XLOOKUP($A293,'Recipients REF'!$A:$A,'Recipients REF'!M:M,"",0)</f>
        <v>WDP40 RMP 24040413</v>
      </c>
      <c r="AB293" s="49"/>
      <c r="AC293" s="42"/>
      <c r="AD293" s="42"/>
      <c r="AE293" s="50"/>
      <c r="AF293" s="42"/>
      <c r="AG293" s="42"/>
      <c r="AH293" s="42"/>
      <c r="AI293" s="42">
        <f t="array" ref="AI293">XLOOKUP($E293,Sheet11!$D:$D,Sheet11!$X:$X,"",0)</f>
        <v>869066060242774</v>
      </c>
      <c r="AJ293" s="42">
        <f t="array" ref="AJ293">XLOOKUP($E293,Sheet11!$D:$D,Sheet11!$Y:$Y,"",0)</f>
        <v>9085163138</v>
      </c>
    </row>
    <row r="294">
      <c r="A294" s="41">
        <v>454.0</v>
      </c>
      <c r="B294" s="42" t="s">
        <v>579</v>
      </c>
      <c r="C294" s="42" t="s">
        <v>580</v>
      </c>
      <c r="D294" s="42"/>
      <c r="E294" s="42" t="str">
        <f t="shared" ref="E294:F294" si="295">PROPER(B294)</f>
        <v>San Andres Farmers Association</v>
      </c>
      <c r="F294" s="42" t="str">
        <f t="shared" si="295"/>
        <v>San Andres, San Rafael, Iloilo</v>
      </c>
      <c r="G294" s="42" t="str">
        <f t="shared" si="3"/>
        <v>San Andres</v>
      </c>
      <c r="H294" s="42" t="str">
        <f t="shared" si="4"/>
        <v>San Rafael</v>
      </c>
      <c r="I294" s="42" t="str">
        <f t="shared" si="5"/>
        <v>Iloilo</v>
      </c>
      <c r="J294" s="42" t="str">
        <f t="array" ref="J294">XLOOKUP($E294,'Recipients REF'!$B:$B,'Recipients REF'!D:D,"",0)</f>
        <v>Rodolfo A. Madrigal</v>
      </c>
      <c r="K294" s="42">
        <f t="array" ref="K294">XLOOKUP($E294,'Recipients REF'!$B:$B,'Recipients REF'!E:E,"",0)</f>
        <v>9460210643</v>
      </c>
      <c r="L294" s="43" t="str">
        <f t="array" ref="L294">XLOOKUP($A294,'Recipients REF'!$A:$A,'Recipients REF'!F:F,"",0)</f>
        <v>RCEF 23-09-21 Rebidding</v>
      </c>
      <c r="M294" s="43">
        <f t="array" ref="M294">XLOOKUP($A294,'Recipients REF'!$A:$A,'Recipients REF'!G:G,"",0)</f>
        <v>4</v>
      </c>
      <c r="N294" s="43">
        <f t="array" ref="N294">XLOOKUP($A294,'Recipients REF'!$A:$A,'Recipients REF'!H:H,"",0)</f>
        <v>19112</v>
      </c>
      <c r="O294" s="44" t="s">
        <v>25</v>
      </c>
      <c r="P294" s="45" t="s">
        <v>26</v>
      </c>
      <c r="Q294" s="46" t="str">
        <f t="array" ref="Q294">XLOOKUP($A294,'Recipients REF'!$A:$A,'Recipients REF'!I:I,"",0)</f>
        <v>KMC5825 ACRFPV0473</v>
      </c>
      <c r="R294" s="47" t="str">
        <f t="array" ref="R294">XLOOKUP($A294,'Recipients REF'!$A:$A,'Recipients REF'!J:J,"",0)</f>
        <v>RTS 100391</v>
      </c>
      <c r="S294" s="45" t="s">
        <v>27</v>
      </c>
      <c r="T294" s="45" t="s">
        <v>28</v>
      </c>
      <c r="U294" s="46" t="str">
        <f t="array" ref="U294">XLOOKUP($A294,'Recipients REF'!$A:$A,'Recipients REF'!K:K,"",0)</f>
        <v>WR-SERIES 878 PH</v>
      </c>
      <c r="V294" s="44" t="s">
        <v>29</v>
      </c>
      <c r="W294" s="45" t="s">
        <v>30</v>
      </c>
      <c r="X294" s="47" t="str">
        <f t="array" ref="X294">XLOOKUP($A294,'Recipients REF'!$A:$A,'Recipients REF'!L:L,"",0)</f>
        <v>LSGW1750 RMP 24040697</v>
      </c>
      <c r="Y294" s="48" t="s">
        <v>29</v>
      </c>
      <c r="Z294" s="48" t="s">
        <v>31</v>
      </c>
      <c r="AA294" s="46" t="str">
        <f t="array" ref="AA294">XLOOKUP($A294,'Recipients REF'!$A:$A,'Recipients REF'!M:M,"",0)</f>
        <v>WDP40 RMP 24040418</v>
      </c>
      <c r="AB294" s="49"/>
      <c r="AC294" s="42"/>
      <c r="AD294" s="42"/>
      <c r="AE294" s="50"/>
      <c r="AF294" s="42"/>
      <c r="AG294" s="42"/>
      <c r="AH294" s="42"/>
      <c r="AI294" s="42">
        <f t="array" ref="AI294">XLOOKUP($E294,Sheet11!$D:$D,Sheet11!$X:$X,"",0)</f>
        <v>869066060244960</v>
      </c>
      <c r="AJ294" s="42">
        <f t="array" ref="AJ294">XLOOKUP($E294,Sheet11!$D:$D,Sheet11!$Y:$Y,"",0)</f>
        <v>9086861209</v>
      </c>
    </row>
    <row r="295">
      <c r="A295" s="41">
        <v>888.0</v>
      </c>
      <c r="B295" s="42" t="s">
        <v>581</v>
      </c>
      <c r="C295" s="42" t="s">
        <v>582</v>
      </c>
      <c r="D295" s="42"/>
      <c r="E295" s="42" t="str">
        <f t="shared" ref="E295:F295" si="296">PROPER(B295)</f>
        <v>Bita Sur Farmers Association</v>
      </c>
      <c r="F295" s="42" t="str">
        <f t="shared" si="296"/>
        <v>Bita Sur, Oton, Iloilo</v>
      </c>
      <c r="G295" s="42" t="str">
        <f t="shared" si="3"/>
        <v>Bita Sur</v>
      </c>
      <c r="H295" s="42" t="str">
        <f t="shared" si="4"/>
        <v>Oton</v>
      </c>
      <c r="I295" s="42" t="str">
        <f t="shared" si="5"/>
        <v>Iloilo</v>
      </c>
      <c r="J295" s="42" t="str">
        <f t="array" ref="J295">XLOOKUP($E295,'Recipients REF'!$B:$B,'Recipients REF'!D:D,"",0)</f>
        <v>Daniel Robete</v>
      </c>
      <c r="K295" s="42" t="str">
        <f t="array" ref="K295">XLOOKUP($E295,'Recipients REF'!$B:$B,'Recipients REF'!E:E,"",0)</f>
        <v>0930-9622307</v>
      </c>
      <c r="L295" s="43" t="str">
        <f t="array" ref="L295">XLOOKUP($A295,'Recipients REF'!$A:$A,'Recipients REF'!F:F,"",0)</f>
        <v>RCEF 25-03-05</v>
      </c>
      <c r="M295" s="43">
        <f t="array" ref="M295">XLOOKUP($A295,'Recipients REF'!$A:$A,'Recipients REF'!G:G,"",0)</f>
        <v>7</v>
      </c>
      <c r="N295" s="43" t="str">
        <f t="array" ref="N295">XLOOKUP($A295,'Recipients REF'!$A:$A,'Recipients REF'!H:H,"",0)</f>
        <v>26889 &amp; 27931</v>
      </c>
      <c r="O295" s="44" t="s">
        <v>25</v>
      </c>
      <c r="P295" s="45" t="s">
        <v>26</v>
      </c>
      <c r="Q295" s="46" t="str">
        <f t="array" ref="Q295">XLOOKUP($A295,'Recipients REF'!$A:$A,'Recipients REF'!I:I,"",0)</f>
        <v>KMC5825 APSFPV0362</v>
      </c>
      <c r="R295" s="53" t="str">
        <f t="array" ref="R295">XLOOKUP($A295,'Recipients REF'!$A:$A,'Recipients REF'!J:J,"",0)</f>
        <v>STS100391</v>
      </c>
      <c r="S295" s="45" t="s">
        <v>27</v>
      </c>
      <c r="T295" s="45" t="s">
        <v>28</v>
      </c>
      <c r="U295" s="46" t="str">
        <f t="array" ref="U295">XLOOKUP($A295,'Recipients REF'!$A:$A,'Recipients REF'!K:K,"",0)</f>
        <v>R-SERIES 306PH</v>
      </c>
      <c r="V295" s="44" t="s">
        <v>29</v>
      </c>
      <c r="W295" s="45" t="s">
        <v>30</v>
      </c>
      <c r="X295" s="53" t="str">
        <f t="array" ref="X295">XLOOKUP($A295,'Recipients REF'!$A:$A,'Recipients REF'!L:L,"",0)</f>
        <v>25090635</v>
      </c>
      <c r="Y295" s="48" t="s">
        <v>29</v>
      </c>
      <c r="Z295" s="48" t="s">
        <v>31</v>
      </c>
      <c r="AA295" s="54">
        <f t="array" ref="AA295">XLOOKUP($A295,'Recipients REF'!$A:$A,'Recipients REF'!M:M,"",0)</f>
        <v>25121450</v>
      </c>
      <c r="AB295" s="49"/>
      <c r="AC295" s="42"/>
      <c r="AD295" s="42"/>
      <c r="AE295" s="50"/>
      <c r="AF295" s="42"/>
      <c r="AG295" s="42"/>
      <c r="AH295" s="42"/>
      <c r="AI295" s="42" t="str">
        <f t="array" ref="AI295">XLOOKUP($E295,Sheet11!$D:$D,Sheet11!$X:$X,"",0)</f>
        <v/>
      </c>
      <c r="AJ295" s="42" t="str">
        <f t="array" ref="AJ295">XLOOKUP($E295,Sheet11!$D:$D,Sheet11!$Y:$Y,"",0)</f>
        <v/>
      </c>
    </row>
    <row r="296">
      <c r="A296" s="41">
        <v>889.0</v>
      </c>
      <c r="B296" s="42" t="s">
        <v>583</v>
      </c>
      <c r="C296" s="42" t="s">
        <v>584</v>
      </c>
      <c r="D296" s="42"/>
      <c r="E296" s="42" t="str">
        <f t="shared" ref="E296:F296" si="297">PROPER(B296)</f>
        <v>Calam-Isan Farmers Association (Camifa)</v>
      </c>
      <c r="F296" s="42" t="str">
        <f t="shared" si="297"/>
        <v>Calam-Isan, Oton, Iloilo</v>
      </c>
      <c r="G296" s="42" t="str">
        <f t="shared" si="3"/>
        <v>Calam-Isan</v>
      </c>
      <c r="H296" s="42" t="str">
        <f t="shared" si="4"/>
        <v>Oton</v>
      </c>
      <c r="I296" s="42" t="str">
        <f t="shared" si="5"/>
        <v>Iloilo</v>
      </c>
      <c r="J296" s="42" t="str">
        <f t="array" ref="J296">XLOOKUP($E296,'Recipients REF'!$B:$B,'Recipients REF'!D:D,"",0)</f>
        <v>GERONIMO B. SARAD</v>
      </c>
      <c r="K296" s="42">
        <f t="array" ref="K296">XLOOKUP($E296,'Recipients REF'!$B:$B,'Recipients REF'!E:E,"",0)</f>
        <v>9099077724</v>
      </c>
      <c r="L296" s="43" t="str">
        <f t="array" ref="L296">XLOOKUP($A296,'Recipients REF'!$A:$A,'Recipients REF'!F:F,"",0)</f>
        <v>RCEF 25-03-05</v>
      </c>
      <c r="M296" s="43">
        <f t="array" ref="M296">XLOOKUP($A296,'Recipients REF'!$A:$A,'Recipients REF'!G:G,"",0)</f>
        <v>7</v>
      </c>
      <c r="N296" s="43" t="str">
        <f t="array" ref="N296">XLOOKUP($A296,'Recipients REF'!$A:$A,'Recipients REF'!H:H,"",0)</f>
        <v>26890 &amp; 27932</v>
      </c>
      <c r="O296" s="44" t="s">
        <v>25</v>
      </c>
      <c r="P296" s="45" t="s">
        <v>26</v>
      </c>
      <c r="Q296" s="46" t="str">
        <f t="array" ref="Q296">XLOOKUP($A296,'Recipients REF'!$A:$A,'Recipients REF'!I:I,"",0)</f>
        <v>KMC5825 AJSFPV0395</v>
      </c>
      <c r="R296" s="53" t="str">
        <f t="array" ref="R296">XLOOKUP($A296,'Recipients REF'!$A:$A,'Recipients REF'!J:J,"",0)</f>
        <v>STS100433</v>
      </c>
      <c r="S296" s="45" t="s">
        <v>27</v>
      </c>
      <c r="T296" s="45" t="s">
        <v>28</v>
      </c>
      <c r="U296" s="46" t="str">
        <f t="array" ref="U296">XLOOKUP($A296,'Recipients REF'!$A:$A,'Recipients REF'!K:K,"",0)</f>
        <v>R-SERIES 119PH</v>
      </c>
      <c r="V296" s="44" t="s">
        <v>29</v>
      </c>
      <c r="W296" s="45" t="s">
        <v>30</v>
      </c>
      <c r="X296" s="53" t="str">
        <f t="array" ref="X296">XLOOKUP($A296,'Recipients REF'!$A:$A,'Recipients REF'!L:L,"",0)</f>
        <v>25090613</v>
      </c>
      <c r="Y296" s="48" t="s">
        <v>29</v>
      </c>
      <c r="Z296" s="48" t="s">
        <v>31</v>
      </c>
      <c r="AA296" s="54">
        <f t="array" ref="AA296">XLOOKUP($A296,'Recipients REF'!$A:$A,'Recipients REF'!M:M,"",0)</f>
        <v>25121451</v>
      </c>
      <c r="AB296" s="49"/>
      <c r="AC296" s="42"/>
      <c r="AD296" s="42"/>
      <c r="AE296" s="50"/>
      <c r="AF296" s="42"/>
      <c r="AG296" s="42"/>
      <c r="AH296" s="42"/>
      <c r="AI296" s="42" t="str">
        <f t="array" ref="AI296">XLOOKUP($E296,Sheet11!$D:$D,Sheet11!$X:$X,"",0)</f>
        <v/>
      </c>
      <c r="AJ296" s="42" t="str">
        <f t="array" ref="AJ296">XLOOKUP($E296,Sheet11!$D:$D,Sheet11!$Y:$Y,"",0)</f>
        <v/>
      </c>
    </row>
    <row r="297">
      <c r="A297" s="41">
        <v>890.0</v>
      </c>
      <c r="B297" s="42" t="s">
        <v>585</v>
      </c>
      <c r="C297" s="42" t="s">
        <v>510</v>
      </c>
      <c r="D297" s="42"/>
      <c r="E297" s="42" t="str">
        <f t="shared" ref="E297:F297" si="298">PROPER(B297)</f>
        <v>Santa Monica Farmers Association</v>
      </c>
      <c r="F297" s="42" t="str">
        <f t="shared" si="298"/>
        <v>Santa Monica, Oton, Iloilo</v>
      </c>
      <c r="G297" s="42" t="str">
        <f t="shared" si="3"/>
        <v>Santa Monica</v>
      </c>
      <c r="H297" s="42" t="str">
        <f t="shared" si="4"/>
        <v>Oton</v>
      </c>
      <c r="I297" s="42" t="str">
        <f t="shared" si="5"/>
        <v>Iloilo</v>
      </c>
      <c r="J297" s="42" t="str">
        <f t="array" ref="J297">XLOOKUP($E297,'Recipients REF'!$B:$B,'Recipients REF'!D:D,"",0)</f>
        <v>Rafael B. Paniergo Jr.</v>
      </c>
      <c r="K297" s="42" t="str">
        <f t="array" ref="K297">XLOOKUP($E297,'Recipients REF'!$B:$B,'Recipients REF'!E:E,"",0)</f>
        <v>0908-164-0585</v>
      </c>
      <c r="L297" s="43" t="str">
        <f t="array" ref="L297">XLOOKUP($A297,'Recipients REF'!$A:$A,'Recipients REF'!F:F,"",0)</f>
        <v>RCEF 25-03-05</v>
      </c>
      <c r="M297" s="43">
        <f t="array" ref="M297">XLOOKUP($A297,'Recipients REF'!$A:$A,'Recipients REF'!G:G,"",0)</f>
        <v>7</v>
      </c>
      <c r="N297" s="43" t="str">
        <f t="array" ref="N297">XLOOKUP($A297,'Recipients REF'!$A:$A,'Recipients REF'!H:H,"",0)</f>
        <v>26891 &amp; 27933</v>
      </c>
      <c r="O297" s="44" t="s">
        <v>25</v>
      </c>
      <c r="P297" s="45" t="s">
        <v>26</v>
      </c>
      <c r="Q297" s="46" t="str">
        <f t="array" ref="Q297">XLOOKUP($A297,'Recipients REF'!$A:$A,'Recipients REF'!I:I,"",0)</f>
        <v>KMC5825 AESFPV0275</v>
      </c>
      <c r="R297" s="53" t="str">
        <f t="array" ref="R297">XLOOKUP($A297,'Recipients REF'!$A:$A,'Recipients REF'!J:J,"",0)</f>
        <v>STS100285</v>
      </c>
      <c r="S297" s="45" t="s">
        <v>27</v>
      </c>
      <c r="T297" s="45" t="s">
        <v>28</v>
      </c>
      <c r="U297" s="46" t="str">
        <f t="array" ref="U297">XLOOKUP($A297,'Recipients REF'!$A:$A,'Recipients REF'!K:K,"",0)</f>
        <v>R-SERIES 107PH</v>
      </c>
      <c r="V297" s="44" t="s">
        <v>29</v>
      </c>
      <c r="W297" s="45" t="s">
        <v>30</v>
      </c>
      <c r="X297" s="53" t="str">
        <f t="array" ref="X297">XLOOKUP($A297,'Recipients REF'!$A:$A,'Recipients REF'!L:L,"",0)</f>
        <v>25090589</v>
      </c>
      <c r="Y297" s="48" t="s">
        <v>29</v>
      </c>
      <c r="Z297" s="48" t="s">
        <v>31</v>
      </c>
      <c r="AA297" s="54">
        <f t="array" ref="AA297">XLOOKUP($A297,'Recipients REF'!$A:$A,'Recipients REF'!M:M,"",0)</f>
        <v>25121452</v>
      </c>
      <c r="AB297" s="49"/>
      <c r="AC297" s="42"/>
      <c r="AD297" s="42"/>
      <c r="AE297" s="50"/>
      <c r="AF297" s="42"/>
      <c r="AG297" s="42"/>
      <c r="AH297" s="42"/>
      <c r="AI297" s="42" t="str">
        <f t="array" ref="AI297">XLOOKUP($E297,Sheet11!$D:$D,Sheet11!$X:$X,"",0)</f>
        <v/>
      </c>
      <c r="AJ297" s="42" t="str">
        <f t="array" ref="AJ297">XLOOKUP($E297,Sheet11!$D:$D,Sheet11!$Y:$Y,"",0)</f>
        <v/>
      </c>
    </row>
    <row r="298">
      <c r="A298" s="41">
        <v>891.0</v>
      </c>
      <c r="B298" s="42" t="s">
        <v>586</v>
      </c>
      <c r="C298" s="42" t="s">
        <v>587</v>
      </c>
      <c r="D298" s="42"/>
      <c r="E298" s="42" t="str">
        <f t="shared" ref="E298:F298" si="299">PROPER(B298)</f>
        <v>Sta. Clara Farmers Association</v>
      </c>
      <c r="F298" s="42" t="str">
        <f t="shared" si="299"/>
        <v>Santa Clara, Oton, Iloilo</v>
      </c>
      <c r="G298" s="42" t="str">
        <f t="shared" si="3"/>
        <v>Santa Clara</v>
      </c>
      <c r="H298" s="42" t="str">
        <f t="shared" si="4"/>
        <v>Oton</v>
      </c>
      <c r="I298" s="42" t="str">
        <f t="shared" si="5"/>
        <v>Iloilo</v>
      </c>
      <c r="J298" s="42" t="str">
        <f t="array" ref="J298">XLOOKUP($E298,'Recipients REF'!$B:$B,'Recipients REF'!D:D,"",0)</f>
        <v>JOEL F. SABIO</v>
      </c>
      <c r="K298" s="42" t="str">
        <f t="array" ref="K298">XLOOKUP($E298,'Recipients REF'!$B:$B,'Recipients REF'!E:E,"",0)</f>
        <v>0910-765-2403</v>
      </c>
      <c r="L298" s="43" t="str">
        <f t="array" ref="L298">XLOOKUP($A298,'Recipients REF'!$A:$A,'Recipients REF'!F:F,"",0)</f>
        <v>RCEF 25-03-05</v>
      </c>
      <c r="M298" s="43">
        <f t="array" ref="M298">XLOOKUP($A298,'Recipients REF'!$A:$A,'Recipients REF'!G:G,"",0)</f>
        <v>7</v>
      </c>
      <c r="N298" s="43" t="str">
        <f t="array" ref="N298">XLOOKUP($A298,'Recipients REF'!$A:$A,'Recipients REF'!H:H,"",0)</f>
        <v>26892 &amp; 27934</v>
      </c>
      <c r="O298" s="44" t="s">
        <v>25</v>
      </c>
      <c r="P298" s="45" t="s">
        <v>26</v>
      </c>
      <c r="Q298" s="46" t="str">
        <f t="array" ref="Q298">XLOOKUP($A298,'Recipients REF'!$A:$A,'Recipients REF'!I:I,"",0)</f>
        <v>KMC5825 AVSFPV0173</v>
      </c>
      <c r="R298" s="53" t="str">
        <f t="array" ref="R298">XLOOKUP($A298,'Recipients REF'!$A:$A,'Recipients REF'!J:J,"",0)</f>
        <v>STS100196</v>
      </c>
      <c r="S298" s="45" t="s">
        <v>27</v>
      </c>
      <c r="T298" s="45" t="s">
        <v>28</v>
      </c>
      <c r="U298" s="46" t="str">
        <f t="array" ref="U298">XLOOKUP($A298,'Recipients REF'!$A:$A,'Recipients REF'!K:K,"",0)</f>
        <v>R-SERIES 286PH</v>
      </c>
      <c r="V298" s="44" t="s">
        <v>29</v>
      </c>
      <c r="W298" s="45" t="s">
        <v>30</v>
      </c>
      <c r="X298" s="53" t="str">
        <f t="array" ref="X298">XLOOKUP($A298,'Recipients REF'!$A:$A,'Recipients REF'!L:L,"",0)</f>
        <v>25090615</v>
      </c>
      <c r="Y298" s="48" t="s">
        <v>29</v>
      </c>
      <c r="Z298" s="48" t="s">
        <v>31</v>
      </c>
      <c r="AA298" s="54">
        <f t="array" ref="AA298">XLOOKUP($A298,'Recipients REF'!$A:$A,'Recipients REF'!M:M,"",0)</f>
        <v>25121307</v>
      </c>
      <c r="AB298" s="49"/>
      <c r="AC298" s="42"/>
      <c r="AD298" s="42"/>
      <c r="AE298" s="50"/>
      <c r="AF298" s="42"/>
      <c r="AG298" s="42"/>
      <c r="AH298" s="42"/>
      <c r="AI298" s="42" t="str">
        <f t="array" ref="AI298">XLOOKUP($E298,Sheet11!$D:$D,Sheet11!$X:$X,"",0)</f>
        <v/>
      </c>
      <c r="AJ298" s="42" t="str">
        <f t="array" ref="AJ298">XLOOKUP($E298,Sheet11!$D:$D,Sheet11!$Y:$Y,"",0)</f>
        <v/>
      </c>
    </row>
    <row r="299">
      <c r="A299" s="41">
        <v>892.0</v>
      </c>
      <c r="B299" s="42" t="s">
        <v>588</v>
      </c>
      <c r="C299" s="42" t="s">
        <v>589</v>
      </c>
      <c r="D299" s="42"/>
      <c r="E299" s="42" t="str">
        <f t="shared" ref="E299:F299" si="300">PROPER(B299)</f>
        <v>Banaba Tigbauan Irrigator'S Association, Inc.</v>
      </c>
      <c r="F299" s="42" t="str">
        <f t="shared" si="300"/>
        <v>Napnapan Norte, Tigbauan, Iloilo</v>
      </c>
      <c r="G299" s="42" t="str">
        <f t="shared" si="3"/>
        <v>Napnapan Norte</v>
      </c>
      <c r="H299" s="42" t="str">
        <f t="shared" si="4"/>
        <v>Tigbauan</v>
      </c>
      <c r="I299" s="42" t="str">
        <f t="shared" si="5"/>
        <v>Iloilo</v>
      </c>
      <c r="J299" s="42" t="str">
        <f t="array" ref="J299">XLOOKUP($E299,'Recipients REF'!$B:$B,'Recipients REF'!D:D,"",0)</f>
        <v>Nilo Taban</v>
      </c>
      <c r="K299" s="42">
        <f t="array" ref="K299">XLOOKUP($E299,'Recipients REF'!$B:$B,'Recipients REF'!E:E,"",0)</f>
        <v>9462142445</v>
      </c>
      <c r="L299" s="43" t="str">
        <f t="array" ref="L299">XLOOKUP($A299,'Recipients REF'!$A:$A,'Recipients REF'!F:F,"",0)</f>
        <v>RCEF 25-03-05</v>
      </c>
      <c r="M299" s="43">
        <f t="array" ref="M299">XLOOKUP($A299,'Recipients REF'!$A:$A,'Recipients REF'!G:G,"",0)</f>
        <v>7</v>
      </c>
      <c r="N299" s="43" t="str">
        <f t="array" ref="N299">XLOOKUP($A299,'Recipients REF'!$A:$A,'Recipients REF'!H:H,"",0)</f>
        <v>26893 &amp; 27935</v>
      </c>
      <c r="O299" s="44" t="s">
        <v>25</v>
      </c>
      <c r="P299" s="45" t="s">
        <v>26</v>
      </c>
      <c r="Q299" s="46" t="str">
        <f t="array" ref="Q299">XLOOKUP($A299,'Recipients REF'!$A:$A,'Recipients REF'!I:I,"",0)</f>
        <v>KMC5825 AVSFPV0366</v>
      </c>
      <c r="R299" s="53" t="str">
        <f t="array" ref="R299">XLOOKUP($A299,'Recipients REF'!$A:$A,'Recipients REF'!J:J,"",0)</f>
        <v>STS100385</v>
      </c>
      <c r="S299" s="45" t="s">
        <v>27</v>
      </c>
      <c r="T299" s="45" t="s">
        <v>28</v>
      </c>
      <c r="U299" s="46" t="str">
        <f t="array" ref="U299">XLOOKUP($A299,'Recipients REF'!$A:$A,'Recipients REF'!K:K,"",0)</f>
        <v>R-SERIES 262PH</v>
      </c>
      <c r="V299" s="44" t="s">
        <v>29</v>
      </c>
      <c r="W299" s="45" t="s">
        <v>30</v>
      </c>
      <c r="X299" s="53" t="str">
        <f t="array" ref="X299">XLOOKUP($A299,'Recipients REF'!$A:$A,'Recipients REF'!L:L,"",0)</f>
        <v>25090592</v>
      </c>
      <c r="Y299" s="48" t="s">
        <v>29</v>
      </c>
      <c r="Z299" s="48" t="s">
        <v>31</v>
      </c>
      <c r="AA299" s="54">
        <f t="array" ref="AA299">XLOOKUP($A299,'Recipients REF'!$A:$A,'Recipients REF'!M:M,"",0)</f>
        <v>25121308</v>
      </c>
      <c r="AB299" s="49"/>
      <c r="AC299" s="42"/>
      <c r="AD299" s="42"/>
      <c r="AE299" s="50"/>
      <c r="AF299" s="42"/>
      <c r="AG299" s="42"/>
      <c r="AH299" s="42"/>
      <c r="AI299" s="42" t="str">
        <f t="array" ref="AI299">XLOOKUP($E299,Sheet11!$D:$D,Sheet11!$X:$X,"",0)</f>
        <v/>
      </c>
      <c r="AJ299" s="42" t="str">
        <f t="array" ref="AJ299">XLOOKUP($E299,Sheet11!$D:$D,Sheet11!$Y:$Y,"",0)</f>
        <v/>
      </c>
    </row>
    <row r="300">
      <c r="A300" s="41">
        <v>893.0</v>
      </c>
      <c r="B300" s="42" t="s">
        <v>590</v>
      </c>
      <c r="C300" s="42" t="s">
        <v>591</v>
      </c>
      <c r="D300" s="42"/>
      <c r="E300" s="42" t="str">
        <f t="shared" ref="E300:F300" si="301">PROPER(B300)</f>
        <v>Lino Flores Farmers Association</v>
      </c>
      <c r="F300" s="42" t="str">
        <f t="shared" si="301"/>
        <v>Baguingin, Tigbauan, Iloilo</v>
      </c>
      <c r="G300" s="42" t="str">
        <f t="shared" si="3"/>
        <v>Baguingin</v>
      </c>
      <c r="H300" s="42" t="str">
        <f t="shared" si="4"/>
        <v>Tigbauan</v>
      </c>
      <c r="I300" s="42" t="str">
        <f t="shared" si="5"/>
        <v>Iloilo</v>
      </c>
      <c r="J300" s="42" t="str">
        <f t="array" ref="J300">XLOOKUP($E300,'Recipients REF'!$B:$B,'Recipients REF'!D:D,"",0)</f>
        <v>Felix C. Calimlim</v>
      </c>
      <c r="K300" s="42">
        <f t="array" ref="K300">XLOOKUP($E300,'Recipients REF'!$B:$B,'Recipients REF'!E:E,"",0)</f>
        <v>9123270181</v>
      </c>
      <c r="L300" s="43" t="str">
        <f t="array" ref="L300">XLOOKUP($A300,'Recipients REF'!$A:$A,'Recipients REF'!F:F,"",0)</f>
        <v>RCEF 25-03-05</v>
      </c>
      <c r="M300" s="43">
        <f t="array" ref="M300">XLOOKUP($A300,'Recipients REF'!$A:$A,'Recipients REF'!G:G,"",0)</f>
        <v>7</v>
      </c>
      <c r="N300" s="43" t="str">
        <f t="array" ref="N300">XLOOKUP($A300,'Recipients REF'!$A:$A,'Recipients REF'!H:H,"",0)</f>
        <v>26894 &amp; 27936</v>
      </c>
      <c r="O300" s="44" t="s">
        <v>25</v>
      </c>
      <c r="P300" s="45" t="s">
        <v>26</v>
      </c>
      <c r="Q300" s="46" t="str">
        <f t="array" ref="Q300">XLOOKUP($A300,'Recipients REF'!$A:$A,'Recipients REF'!I:I,"",0)</f>
        <v>KMC5825 AJSFPV0302</v>
      </c>
      <c r="R300" s="53" t="str">
        <f t="array" ref="R300">XLOOKUP($A300,'Recipients REF'!$A:$A,'Recipients REF'!J:J,"",0)</f>
        <v>STS100296</v>
      </c>
      <c r="S300" s="45" t="s">
        <v>27</v>
      </c>
      <c r="T300" s="45" t="s">
        <v>28</v>
      </c>
      <c r="U300" s="46" t="str">
        <f t="array" ref="U300">XLOOKUP($A300,'Recipients REF'!$A:$A,'Recipients REF'!K:K,"",0)</f>
        <v>R-SERIES 255PH</v>
      </c>
      <c r="V300" s="44" t="s">
        <v>29</v>
      </c>
      <c r="W300" s="45" t="s">
        <v>30</v>
      </c>
      <c r="X300" s="53" t="str">
        <f t="array" ref="X300">XLOOKUP($A300,'Recipients REF'!$A:$A,'Recipients REF'!L:L,"",0)</f>
        <v>25090586</v>
      </c>
      <c r="Y300" s="48" t="s">
        <v>29</v>
      </c>
      <c r="Z300" s="48" t="s">
        <v>31</v>
      </c>
      <c r="AA300" s="54">
        <f t="array" ref="AA300">XLOOKUP($A300,'Recipients REF'!$A:$A,'Recipients REF'!M:M,"",0)</f>
        <v>25121309</v>
      </c>
      <c r="AB300" s="49"/>
      <c r="AC300" s="42"/>
      <c r="AD300" s="42"/>
      <c r="AE300" s="50"/>
      <c r="AF300" s="42"/>
      <c r="AG300" s="42"/>
      <c r="AH300" s="42"/>
      <c r="AI300" s="42" t="str">
        <f t="array" ref="AI300">XLOOKUP($E300,Sheet11!$D:$D,Sheet11!$X:$X,"",0)</f>
        <v/>
      </c>
      <c r="AJ300" s="42" t="str">
        <f t="array" ref="AJ300">XLOOKUP($E300,Sheet11!$D:$D,Sheet11!$Y:$Y,"",0)</f>
        <v/>
      </c>
    </row>
    <row r="301">
      <c r="A301" s="41">
        <v>894.0</v>
      </c>
      <c r="B301" s="42" t="s">
        <v>592</v>
      </c>
      <c r="C301" s="42" t="s">
        <v>593</v>
      </c>
      <c r="D301" s="42"/>
      <c r="E301" s="42" t="str">
        <f t="shared" ref="E301:F301" si="302">PROPER(B301)</f>
        <v>Badlan Pequeno Farmers Association (Bapfa)</v>
      </c>
      <c r="F301" s="42" t="str">
        <f t="shared" si="302"/>
        <v>Badlan Pequeño, Calinog, Iloilo</v>
      </c>
      <c r="G301" s="42" t="str">
        <f t="shared" si="3"/>
        <v>Badlan Pequeño</v>
      </c>
      <c r="H301" s="42" t="str">
        <f t="shared" si="4"/>
        <v>Calinog</v>
      </c>
      <c r="I301" s="42" t="str">
        <f t="shared" si="5"/>
        <v>Iloilo</v>
      </c>
      <c r="J301" s="42" t="str">
        <f t="array" ref="J301">XLOOKUP($E301,'Recipients REF'!$B:$B,'Recipients REF'!D:D,"",0)</f>
        <v>Luis S. Castro</v>
      </c>
      <c r="K301" s="42" t="str">
        <f t="array" ref="K301">XLOOKUP($E301,'Recipients REF'!$B:$B,'Recipients REF'!E:E,"",0)</f>
        <v>0912 412 9918</v>
      </c>
      <c r="L301" s="43" t="str">
        <f t="array" ref="L301">XLOOKUP($A301,'Recipients REF'!$A:$A,'Recipients REF'!F:F,"",0)</f>
        <v>RCEF 25-03-05</v>
      </c>
      <c r="M301" s="43">
        <f t="array" ref="M301">XLOOKUP($A301,'Recipients REF'!$A:$A,'Recipients REF'!G:G,"",0)</f>
        <v>7</v>
      </c>
      <c r="N301" s="43" t="str">
        <f t="array" ref="N301">XLOOKUP($A301,'Recipients REF'!$A:$A,'Recipients REF'!H:H,"",0)</f>
        <v>26895 &amp; 27937</v>
      </c>
      <c r="O301" s="44" t="s">
        <v>25</v>
      </c>
      <c r="P301" s="45" t="s">
        <v>26</v>
      </c>
      <c r="Q301" s="46" t="str">
        <f t="array" ref="Q301">XLOOKUP($A301,'Recipients REF'!$A:$A,'Recipients REF'!I:I,"",0)</f>
        <v>KMC5825 AHSFPV0288</v>
      </c>
      <c r="R301" s="53" t="str">
        <f t="array" ref="R301">XLOOKUP($A301,'Recipients REF'!$A:$A,'Recipients REF'!J:J,"",0)</f>
        <v>STS100283</v>
      </c>
      <c r="S301" s="45" t="s">
        <v>27</v>
      </c>
      <c r="T301" s="45" t="s">
        <v>28</v>
      </c>
      <c r="U301" s="46" t="str">
        <f t="array" ref="U301">XLOOKUP($A301,'Recipients REF'!$A:$A,'Recipients REF'!K:K,"",0)</f>
        <v>R-SERIES 278PH</v>
      </c>
      <c r="V301" s="44" t="s">
        <v>29</v>
      </c>
      <c r="W301" s="45" t="s">
        <v>30</v>
      </c>
      <c r="X301" s="53" t="str">
        <f t="array" ref="X301">XLOOKUP($A301,'Recipients REF'!$A:$A,'Recipients REF'!L:L,"",0)</f>
        <v>25090601</v>
      </c>
      <c r="Y301" s="48" t="s">
        <v>29</v>
      </c>
      <c r="Z301" s="48" t="s">
        <v>31</v>
      </c>
      <c r="AA301" s="54">
        <f t="array" ref="AA301">XLOOKUP($A301,'Recipients REF'!$A:$A,'Recipients REF'!M:M,"",0)</f>
        <v>25121310</v>
      </c>
      <c r="AB301" s="49"/>
      <c r="AC301" s="42"/>
      <c r="AD301" s="42"/>
      <c r="AE301" s="50"/>
      <c r="AF301" s="42"/>
      <c r="AG301" s="42"/>
      <c r="AH301" s="42"/>
      <c r="AI301" s="42" t="str">
        <f t="array" ref="AI301">XLOOKUP($E301,Sheet11!$D:$D,Sheet11!$X:$X,"",0)</f>
        <v/>
      </c>
      <c r="AJ301" s="42" t="str">
        <f t="array" ref="AJ301">XLOOKUP($E301,Sheet11!$D:$D,Sheet11!$Y:$Y,"",0)</f>
        <v/>
      </c>
    </row>
    <row r="302">
      <c r="A302" s="41">
        <v>895.0</v>
      </c>
      <c r="B302" s="42" t="s">
        <v>594</v>
      </c>
      <c r="C302" s="42" t="s">
        <v>595</v>
      </c>
      <c r="D302" s="42"/>
      <c r="E302" s="42" t="str">
        <f t="shared" ref="E302:F302" si="303">PROPER(B302)</f>
        <v>Badu Integrated Development Farmers Association</v>
      </c>
      <c r="F302" s="42" t="str">
        <f t="shared" si="303"/>
        <v>Badu, Calinog, Iloilo</v>
      </c>
      <c r="G302" s="42" t="str">
        <f t="shared" si="3"/>
        <v>Badu</v>
      </c>
      <c r="H302" s="42" t="str">
        <f t="shared" si="4"/>
        <v>Calinog</v>
      </c>
      <c r="I302" s="42" t="str">
        <f t="shared" si="5"/>
        <v>Iloilo</v>
      </c>
      <c r="J302" s="42" t="str">
        <f t="array" ref="J302">XLOOKUP($E302,'Recipients REF'!$B:$B,'Recipients REF'!D:D,"",0)</f>
        <v>ISIDRO S. PROVIDO</v>
      </c>
      <c r="K302" s="42">
        <f t="array" ref="K302">XLOOKUP($E302,'Recipients REF'!$B:$B,'Recipients REF'!E:E,"",0)</f>
        <v>9605993154</v>
      </c>
      <c r="L302" s="43" t="str">
        <f t="array" ref="L302">XLOOKUP($A302,'Recipients REF'!$A:$A,'Recipients REF'!F:F,"",0)</f>
        <v>RCEF 25-03-05</v>
      </c>
      <c r="M302" s="43">
        <f t="array" ref="M302">XLOOKUP($A302,'Recipients REF'!$A:$A,'Recipients REF'!G:G,"",0)</f>
        <v>7</v>
      </c>
      <c r="N302" s="43" t="str">
        <f t="array" ref="N302">XLOOKUP($A302,'Recipients REF'!$A:$A,'Recipients REF'!H:H,"",0)</f>
        <v>26896 &amp; 27938</v>
      </c>
      <c r="O302" s="44" t="s">
        <v>25</v>
      </c>
      <c r="P302" s="45" t="s">
        <v>26</v>
      </c>
      <c r="Q302" s="46" t="str">
        <f t="array" ref="Q302">XLOOKUP($A302,'Recipients REF'!$A:$A,'Recipients REF'!I:I,"",0)</f>
        <v>KMC5825 AVSFPV0223</v>
      </c>
      <c r="R302" s="53" t="str">
        <f t="array" ref="R302">XLOOKUP($A302,'Recipients REF'!$A:$A,'Recipients REF'!J:J,"",0)</f>
        <v>STS100191</v>
      </c>
      <c r="S302" s="45" t="s">
        <v>27</v>
      </c>
      <c r="T302" s="45" t="s">
        <v>28</v>
      </c>
      <c r="U302" s="46" t="str">
        <f t="array" ref="U302">XLOOKUP($A302,'Recipients REF'!$A:$A,'Recipients REF'!K:K,"",0)</f>
        <v>R-SERIES 110PH</v>
      </c>
      <c r="V302" s="44" t="s">
        <v>29</v>
      </c>
      <c r="W302" s="45" t="s">
        <v>30</v>
      </c>
      <c r="X302" s="53" t="str">
        <f t="array" ref="X302">XLOOKUP($A302,'Recipients REF'!$A:$A,'Recipients REF'!L:L,"",0)</f>
        <v>25090593</v>
      </c>
      <c r="Y302" s="48" t="s">
        <v>29</v>
      </c>
      <c r="Z302" s="48" t="s">
        <v>31</v>
      </c>
      <c r="AA302" s="54">
        <f t="array" ref="AA302">XLOOKUP($A302,'Recipients REF'!$A:$A,'Recipients REF'!M:M,"",0)</f>
        <v>25121311</v>
      </c>
      <c r="AB302" s="49"/>
      <c r="AC302" s="42"/>
      <c r="AD302" s="42"/>
      <c r="AE302" s="50"/>
      <c r="AF302" s="42"/>
      <c r="AG302" s="42"/>
      <c r="AH302" s="42"/>
      <c r="AI302" s="42" t="str">
        <f t="array" ref="AI302">XLOOKUP($E302,Sheet11!$D:$D,Sheet11!$X:$X,"",0)</f>
        <v/>
      </c>
      <c r="AJ302" s="42" t="str">
        <f t="array" ref="AJ302">XLOOKUP($E302,Sheet11!$D:$D,Sheet11!$Y:$Y,"",0)</f>
        <v/>
      </c>
    </row>
    <row r="303">
      <c r="A303" s="41">
        <v>896.0</v>
      </c>
      <c r="B303" s="42" t="s">
        <v>596</v>
      </c>
      <c r="C303" s="42" t="s">
        <v>597</v>
      </c>
      <c r="D303" s="42"/>
      <c r="E303" s="42" t="str">
        <f t="shared" ref="E303:F303" si="304">PROPER(B303)</f>
        <v>Lonoy Farmers Association</v>
      </c>
      <c r="F303" s="42" t="str">
        <f t="shared" si="304"/>
        <v>Lonoy, Calinog, Iloilo</v>
      </c>
      <c r="G303" s="42" t="str">
        <f t="shared" si="3"/>
        <v>Lonoy</v>
      </c>
      <c r="H303" s="42" t="str">
        <f t="shared" si="4"/>
        <v>Calinog</v>
      </c>
      <c r="I303" s="42" t="str">
        <f t="shared" si="5"/>
        <v>Iloilo</v>
      </c>
      <c r="J303" s="42" t="str">
        <f t="array" ref="J303">XLOOKUP($E303,'Recipients REF'!$B:$B,'Recipients REF'!D:D,"",0)</f>
        <v>BERNABE L. BAÑAGADO</v>
      </c>
      <c r="K303" s="42">
        <f t="array" ref="K303">XLOOKUP($E303,'Recipients REF'!$B:$B,'Recipients REF'!E:E,"",0)</f>
        <v>9197582244</v>
      </c>
      <c r="L303" s="43" t="str">
        <f t="array" ref="L303">XLOOKUP($A303,'Recipients REF'!$A:$A,'Recipients REF'!F:F,"",0)</f>
        <v>RCEF 25-03-05</v>
      </c>
      <c r="M303" s="43">
        <f t="array" ref="M303">XLOOKUP($A303,'Recipients REF'!$A:$A,'Recipients REF'!G:G,"",0)</f>
        <v>7</v>
      </c>
      <c r="N303" s="43" t="str">
        <f t="array" ref="N303">XLOOKUP($A303,'Recipients REF'!$A:$A,'Recipients REF'!H:H,"",0)</f>
        <v>26897 &amp; 27939</v>
      </c>
      <c r="O303" s="44" t="s">
        <v>25</v>
      </c>
      <c r="P303" s="45" t="s">
        <v>26</v>
      </c>
      <c r="Q303" s="46" t="str">
        <f t="array" ref="Q303">XLOOKUP($A303,'Recipients REF'!$A:$A,'Recipients REF'!I:I,"",0)</f>
        <v>KMC5825 ATSFPV0229</v>
      </c>
      <c r="R303" s="53" t="str">
        <f t="array" ref="R303">XLOOKUP($A303,'Recipients REF'!$A:$A,'Recipients REF'!J:J,"",0)</f>
        <v>STS100214</v>
      </c>
      <c r="S303" s="45" t="s">
        <v>27</v>
      </c>
      <c r="T303" s="45" t="s">
        <v>28</v>
      </c>
      <c r="U303" s="46" t="str">
        <f t="array" ref="U303">XLOOKUP($A303,'Recipients REF'!$A:$A,'Recipients REF'!K:K,"",0)</f>
        <v>R-SERIES 115PH</v>
      </c>
      <c r="V303" s="44" t="s">
        <v>29</v>
      </c>
      <c r="W303" s="45" t="s">
        <v>30</v>
      </c>
      <c r="X303" s="53" t="str">
        <f t="array" ref="X303">XLOOKUP($A303,'Recipients REF'!$A:$A,'Recipients REF'!L:L,"",0)</f>
        <v>25090606</v>
      </c>
      <c r="Y303" s="48" t="s">
        <v>29</v>
      </c>
      <c r="Z303" s="48" t="s">
        <v>31</v>
      </c>
      <c r="AA303" s="54">
        <f t="array" ref="AA303">XLOOKUP($A303,'Recipients REF'!$A:$A,'Recipients REF'!M:M,"",0)</f>
        <v>25121312</v>
      </c>
      <c r="AB303" s="49"/>
      <c r="AC303" s="42"/>
      <c r="AD303" s="42"/>
      <c r="AE303" s="50"/>
      <c r="AF303" s="42"/>
      <c r="AG303" s="42"/>
      <c r="AH303" s="42"/>
      <c r="AI303" s="42" t="str">
        <f t="array" ref="AI303">XLOOKUP($E303,Sheet11!$D:$D,Sheet11!$X:$X,"",0)</f>
        <v/>
      </c>
      <c r="AJ303" s="42" t="str">
        <f t="array" ref="AJ303">XLOOKUP($E303,Sheet11!$D:$D,Sheet11!$Y:$Y,"",0)</f>
        <v/>
      </c>
    </row>
    <row r="304">
      <c r="A304" s="41">
        <v>897.0</v>
      </c>
      <c r="B304" s="42" t="s">
        <v>598</v>
      </c>
      <c r="C304" s="42" t="s">
        <v>599</v>
      </c>
      <c r="D304" s="42"/>
      <c r="E304" s="42" t="str">
        <f t="shared" ref="E304:F304" si="305">PROPER(B304)</f>
        <v>Tolarucan Guadalupe Irrigators Association, Inc.</v>
      </c>
      <c r="F304" s="42" t="str">
        <f t="shared" si="305"/>
        <v>Guadalupe, Janiuay, Iloilo</v>
      </c>
      <c r="G304" s="42" t="str">
        <f t="shared" si="3"/>
        <v>Guadalupe</v>
      </c>
      <c r="H304" s="42" t="str">
        <f t="shared" si="4"/>
        <v>Janiuay</v>
      </c>
      <c r="I304" s="42" t="str">
        <f t="shared" si="5"/>
        <v>Iloilo</v>
      </c>
      <c r="J304" s="42" t="str">
        <f t="array" ref="J304">XLOOKUP($E304,'Recipients REF'!$B:$B,'Recipients REF'!D:D,"",0)</f>
        <v>RONALDO D. MONTALBAN</v>
      </c>
      <c r="K304" s="42" t="str">
        <f t="array" ref="K304">XLOOKUP($E304,'Recipients REF'!$B:$B,'Recipients REF'!E:E,"",0)</f>
        <v>0939-470-4531</v>
      </c>
      <c r="L304" s="43" t="str">
        <f t="array" ref="L304">XLOOKUP($A304,'Recipients REF'!$A:$A,'Recipients REF'!F:F,"",0)</f>
        <v>RCEF 25-03-05</v>
      </c>
      <c r="M304" s="43">
        <f t="array" ref="M304">XLOOKUP($A304,'Recipients REF'!$A:$A,'Recipients REF'!G:G,"",0)</f>
        <v>7</v>
      </c>
      <c r="N304" s="43" t="str">
        <f t="array" ref="N304">XLOOKUP($A304,'Recipients REF'!$A:$A,'Recipients REF'!H:H,"",0)</f>
        <v>26898 &amp; 27940</v>
      </c>
      <c r="O304" s="44" t="s">
        <v>25</v>
      </c>
      <c r="P304" s="45" t="s">
        <v>26</v>
      </c>
      <c r="Q304" s="46" t="str">
        <f t="array" ref="Q304">XLOOKUP($A304,'Recipients REF'!$A:$A,'Recipients REF'!I:I,"",0)</f>
        <v>KMC5825 ATSFPV0294</v>
      </c>
      <c r="R304" s="53" t="str">
        <f t="array" ref="R304">XLOOKUP($A304,'Recipients REF'!$A:$A,'Recipients REF'!J:J,"",0)</f>
        <v>STS100297</v>
      </c>
      <c r="S304" s="45" t="s">
        <v>27</v>
      </c>
      <c r="T304" s="45" t="s">
        <v>28</v>
      </c>
      <c r="U304" s="46" t="str">
        <f t="array" ref="U304">XLOOKUP($A304,'Recipients REF'!$A:$A,'Recipients REF'!K:K,"",0)</f>
        <v>R-SERIES 234PH</v>
      </c>
      <c r="V304" s="44" t="s">
        <v>29</v>
      </c>
      <c r="W304" s="45" t="s">
        <v>30</v>
      </c>
      <c r="X304" s="53" t="str">
        <f t="array" ref="X304">XLOOKUP($A304,'Recipients REF'!$A:$A,'Recipients REF'!L:L,"",0)</f>
        <v>25090611</v>
      </c>
      <c r="Y304" s="48" t="s">
        <v>29</v>
      </c>
      <c r="Z304" s="48" t="s">
        <v>31</v>
      </c>
      <c r="AA304" s="54">
        <f t="array" ref="AA304">XLOOKUP($A304,'Recipients REF'!$A:$A,'Recipients REF'!M:M,"",0)</f>
        <v>25121313</v>
      </c>
      <c r="AB304" s="49"/>
      <c r="AC304" s="42"/>
      <c r="AD304" s="42"/>
      <c r="AE304" s="50"/>
      <c r="AF304" s="42"/>
      <c r="AG304" s="42"/>
      <c r="AH304" s="42"/>
      <c r="AI304" s="42" t="str">
        <f t="array" ref="AI304">XLOOKUP($E304,Sheet11!$D:$D,Sheet11!$X:$X,"",0)</f>
        <v/>
      </c>
      <c r="AJ304" s="42" t="str">
        <f t="array" ref="AJ304">XLOOKUP($E304,Sheet11!$D:$D,Sheet11!$Y:$Y,"",0)</f>
        <v/>
      </c>
    </row>
    <row r="305">
      <c r="A305" s="41">
        <v>898.0</v>
      </c>
      <c r="B305" s="42" t="s">
        <v>600</v>
      </c>
      <c r="C305" s="42" t="s">
        <v>601</v>
      </c>
      <c r="D305" s="42"/>
      <c r="E305" s="42" t="str">
        <f t="shared" ref="E305:F305" si="306">PROPER(B305)</f>
        <v>Caninguan Farmers Association</v>
      </c>
      <c r="F305" s="42" t="str">
        <f t="shared" si="306"/>
        <v>Caninguan, Lambunao, Iloilo</v>
      </c>
      <c r="G305" s="42" t="str">
        <f t="shared" si="3"/>
        <v>Caninguan</v>
      </c>
      <c r="H305" s="42" t="str">
        <f t="shared" si="4"/>
        <v>Lambunao</v>
      </c>
      <c r="I305" s="42" t="str">
        <f t="shared" si="5"/>
        <v>Iloilo</v>
      </c>
      <c r="J305" s="42" t="str">
        <f t="array" ref="J305">XLOOKUP($E305,'Recipients REF'!$B:$B,'Recipients REF'!D:D,"",0)</f>
        <v>Regie S. Navarra</v>
      </c>
      <c r="K305" s="42">
        <f t="array" ref="K305">XLOOKUP($E305,'Recipients REF'!$B:$B,'Recipients REF'!E:E,"",0)</f>
        <v>9081769678</v>
      </c>
      <c r="L305" s="43" t="str">
        <f t="array" ref="L305">XLOOKUP($A305,'Recipients REF'!$A:$A,'Recipients REF'!F:F,"",0)</f>
        <v>RCEF 25-03-05</v>
      </c>
      <c r="M305" s="43">
        <f t="array" ref="M305">XLOOKUP($A305,'Recipients REF'!$A:$A,'Recipients REF'!G:G,"",0)</f>
        <v>7</v>
      </c>
      <c r="N305" s="43" t="str">
        <f t="array" ref="N305">XLOOKUP($A305,'Recipients REF'!$A:$A,'Recipients REF'!H:H,"",0)</f>
        <v>26899 &amp; 27941</v>
      </c>
      <c r="O305" s="44" t="s">
        <v>25</v>
      </c>
      <c r="P305" s="45" t="s">
        <v>26</v>
      </c>
      <c r="Q305" s="46" t="str">
        <f t="array" ref="Q305">XLOOKUP($A305,'Recipients REF'!$A:$A,'Recipients REF'!I:I,"",0)</f>
        <v>KMC5825 AASFPV0367</v>
      </c>
      <c r="R305" s="53" t="str">
        <f t="array" ref="R305">XLOOKUP($A305,'Recipients REF'!$A:$A,'Recipients REF'!J:J,"",0)</f>
        <v>STS100432</v>
      </c>
      <c r="S305" s="45" t="s">
        <v>27</v>
      </c>
      <c r="T305" s="45" t="s">
        <v>28</v>
      </c>
      <c r="U305" s="46" t="str">
        <f t="array" ref="U305">XLOOKUP($A305,'Recipients REF'!$A:$A,'Recipients REF'!K:K,"",0)</f>
        <v>R-SERIES 118PH</v>
      </c>
      <c r="V305" s="44" t="s">
        <v>29</v>
      </c>
      <c r="W305" s="45" t="s">
        <v>30</v>
      </c>
      <c r="X305" s="53" t="str">
        <f t="array" ref="X305">XLOOKUP($A305,'Recipients REF'!$A:$A,'Recipients REF'!L:L,"",0)</f>
        <v>25090630</v>
      </c>
      <c r="Y305" s="48" t="s">
        <v>29</v>
      </c>
      <c r="Z305" s="48" t="s">
        <v>31</v>
      </c>
      <c r="AA305" s="54">
        <f t="array" ref="AA305">XLOOKUP($A305,'Recipients REF'!$A:$A,'Recipients REF'!M:M,"",0)</f>
        <v>25121314</v>
      </c>
      <c r="AB305" s="49"/>
      <c r="AC305" s="42"/>
      <c r="AD305" s="42"/>
      <c r="AE305" s="50"/>
      <c r="AF305" s="42"/>
      <c r="AG305" s="42"/>
      <c r="AH305" s="42"/>
      <c r="AI305" s="42" t="str">
        <f t="array" ref="AI305">XLOOKUP($E305,Sheet11!$D:$D,Sheet11!$X:$X,"",0)</f>
        <v/>
      </c>
      <c r="AJ305" s="42" t="str">
        <f t="array" ref="AJ305">XLOOKUP($E305,Sheet11!$D:$D,Sheet11!$Y:$Y,"",0)</f>
        <v/>
      </c>
    </row>
    <row r="306">
      <c r="A306" s="41">
        <v>899.0</v>
      </c>
      <c r="B306" s="42" t="s">
        <v>602</v>
      </c>
      <c r="C306" s="42" t="s">
        <v>603</v>
      </c>
      <c r="D306" s="42"/>
      <c r="E306" s="42" t="str">
        <f t="shared" ref="E306:F306" si="307">PROPER(B306)</f>
        <v>Bagacay Farmers Association</v>
      </c>
      <c r="F306" s="42" t="str">
        <f t="shared" si="307"/>
        <v>Bagacay, Pototan, Iloilo</v>
      </c>
      <c r="G306" s="42" t="str">
        <f t="shared" si="3"/>
        <v>Bagacay</v>
      </c>
      <c r="H306" s="42" t="str">
        <f t="shared" si="4"/>
        <v>Pototan</v>
      </c>
      <c r="I306" s="42" t="str">
        <f t="shared" si="5"/>
        <v>Iloilo</v>
      </c>
      <c r="J306" s="42" t="str">
        <f t="array" ref="J306">XLOOKUP($E306,'Recipients REF'!$B:$B,'Recipients REF'!D:D,"",0)</f>
        <v>Napoleon Delos Santos</v>
      </c>
      <c r="K306" s="42" t="str">
        <f t="array" ref="K306">XLOOKUP($E306,'Recipients REF'!$B:$B,'Recipients REF'!E:E,"",0)</f>
        <v>0926-083-7241</v>
      </c>
      <c r="L306" s="43" t="str">
        <f t="array" ref="L306">XLOOKUP($A306,'Recipients REF'!$A:$A,'Recipients REF'!F:F,"",0)</f>
        <v>RCEF 25-03-05</v>
      </c>
      <c r="M306" s="43">
        <f t="array" ref="M306">XLOOKUP($A306,'Recipients REF'!$A:$A,'Recipients REF'!G:G,"",0)</f>
        <v>7</v>
      </c>
      <c r="N306" s="43" t="str">
        <f t="array" ref="N306">XLOOKUP($A306,'Recipients REF'!$A:$A,'Recipients REF'!H:H,"",0)</f>
        <v>26900 &amp; 27942</v>
      </c>
      <c r="O306" s="44" t="s">
        <v>25</v>
      </c>
      <c r="P306" s="45" t="s">
        <v>26</v>
      </c>
      <c r="Q306" s="46" t="str">
        <f t="array" ref="Q306">XLOOKUP($A306,'Recipients REF'!$A:$A,'Recipients REF'!I:I,"",0)</f>
        <v>KMC5825APSFPV0281</v>
      </c>
      <c r="R306" s="53" t="str">
        <f t="array" ref="R306">XLOOKUP($A306,'Recipients REF'!$A:$A,'Recipients REF'!J:J,"",0)</f>
        <v>STS100305</v>
      </c>
      <c r="S306" s="45" t="s">
        <v>27</v>
      </c>
      <c r="T306" s="45" t="s">
        <v>28</v>
      </c>
      <c r="U306" s="46" t="str">
        <f t="array" ref="U306">XLOOKUP($A306,'Recipients REF'!$A:$A,'Recipients REF'!K:K,"",0)</f>
        <v>R-SERIES 112PH</v>
      </c>
      <c r="V306" s="44" t="s">
        <v>29</v>
      </c>
      <c r="W306" s="45" t="s">
        <v>30</v>
      </c>
      <c r="X306" s="53" t="str">
        <f t="array" ref="X306">XLOOKUP($A306,'Recipients REF'!$A:$A,'Recipients REF'!L:L,"",0)</f>
        <v>25090631</v>
      </c>
      <c r="Y306" s="48" t="s">
        <v>29</v>
      </c>
      <c r="Z306" s="48" t="s">
        <v>31</v>
      </c>
      <c r="AA306" s="54">
        <f t="array" ref="AA306">XLOOKUP($A306,'Recipients REF'!$A:$A,'Recipients REF'!M:M,"",0)</f>
        <v>25121315</v>
      </c>
      <c r="AB306" s="49"/>
      <c r="AC306" s="42"/>
      <c r="AD306" s="42"/>
      <c r="AE306" s="50"/>
      <c r="AF306" s="42"/>
      <c r="AG306" s="42"/>
      <c r="AH306" s="42"/>
      <c r="AI306" s="42" t="str">
        <f t="array" ref="AI306">XLOOKUP($E306,Sheet11!$D:$D,Sheet11!$X:$X,"",0)</f>
        <v/>
      </c>
      <c r="AJ306" s="42" t="str">
        <f t="array" ref="AJ306">XLOOKUP($E306,Sheet11!$D:$D,Sheet11!$Y:$Y,"",0)</f>
        <v/>
      </c>
    </row>
    <row r="307">
      <c r="A307" s="41">
        <v>900.0</v>
      </c>
      <c r="B307" s="42" t="s">
        <v>604</v>
      </c>
      <c r="C307" s="42" t="s">
        <v>605</v>
      </c>
      <c r="D307" s="42"/>
      <c r="E307" s="42" t="str">
        <f t="shared" ref="E307:F307" si="308">PROPER(B307)</f>
        <v>Lay-Ahan Farmers Association</v>
      </c>
      <c r="F307" s="42" t="str">
        <f t="shared" si="308"/>
        <v>Lay-Ahan, Pototan, Iloilo</v>
      </c>
      <c r="G307" s="42" t="str">
        <f t="shared" si="3"/>
        <v>Lay-Ahan</v>
      </c>
      <c r="H307" s="42" t="str">
        <f t="shared" si="4"/>
        <v>Pototan</v>
      </c>
      <c r="I307" s="42" t="str">
        <f t="shared" si="5"/>
        <v>Iloilo</v>
      </c>
      <c r="J307" s="42" t="str">
        <f t="array" ref="J307">XLOOKUP($E307,'Recipients REF'!$B:$B,'Recipients REF'!D:D,"",0)</f>
        <v>Evangeline C. Parra</v>
      </c>
      <c r="K307" s="42" t="str">
        <f t="array" ref="K307">XLOOKUP($E307,'Recipients REF'!$B:$B,'Recipients REF'!E:E,"",0)</f>
        <v>0917-164-9565</v>
      </c>
      <c r="L307" s="43" t="str">
        <f t="array" ref="L307">XLOOKUP($A307,'Recipients REF'!$A:$A,'Recipients REF'!F:F,"",0)</f>
        <v>RCEF 25-03-05</v>
      </c>
      <c r="M307" s="43">
        <f t="array" ref="M307">XLOOKUP($A307,'Recipients REF'!$A:$A,'Recipients REF'!G:G,"",0)</f>
        <v>7</v>
      </c>
      <c r="N307" s="43" t="str">
        <f t="array" ref="N307">XLOOKUP($A307,'Recipients REF'!$A:$A,'Recipients REF'!H:H,"",0)</f>
        <v>26901 &amp; 27943</v>
      </c>
      <c r="O307" s="44" t="s">
        <v>25</v>
      </c>
      <c r="P307" s="45" t="s">
        <v>26</v>
      </c>
      <c r="Q307" s="46" t="str">
        <f t="array" ref="Q307">XLOOKUP($A307,'Recipients REF'!$A:$A,'Recipients REF'!I:I,"",0)</f>
        <v>KMC5825 AVSFPV0299</v>
      </c>
      <c r="R307" s="53" t="str">
        <f t="array" ref="R307">XLOOKUP($A307,'Recipients REF'!$A:$A,'Recipients REF'!J:J,"",0)</f>
        <v>STS100267</v>
      </c>
      <c r="S307" s="45" t="s">
        <v>27</v>
      </c>
      <c r="T307" s="45" t="s">
        <v>28</v>
      </c>
      <c r="U307" s="46" t="str">
        <f t="array" ref="U307">XLOOKUP($A307,'Recipients REF'!$A:$A,'Recipients REF'!K:K,"",0)</f>
        <v>R-SERIES 284PH</v>
      </c>
      <c r="V307" s="44" t="s">
        <v>29</v>
      </c>
      <c r="W307" s="45" t="s">
        <v>30</v>
      </c>
      <c r="X307" s="53" t="str">
        <f t="array" ref="X307">XLOOKUP($A307,'Recipients REF'!$A:$A,'Recipients REF'!L:L,"",0)</f>
        <v>25090552</v>
      </c>
      <c r="Y307" s="48" t="s">
        <v>29</v>
      </c>
      <c r="Z307" s="48" t="s">
        <v>31</v>
      </c>
      <c r="AA307" s="54">
        <f t="array" ref="AA307">XLOOKUP($A307,'Recipients REF'!$A:$A,'Recipients REF'!M:M,"",0)</f>
        <v>25121316</v>
      </c>
      <c r="AB307" s="49"/>
      <c r="AC307" s="42"/>
      <c r="AD307" s="42"/>
      <c r="AE307" s="50"/>
      <c r="AF307" s="42"/>
      <c r="AG307" s="42"/>
      <c r="AH307" s="42"/>
      <c r="AI307" s="42" t="str">
        <f t="array" ref="AI307">XLOOKUP($E307,Sheet11!$D:$D,Sheet11!$X:$X,"",0)</f>
        <v/>
      </c>
      <c r="AJ307" s="42" t="str">
        <f t="array" ref="AJ307">XLOOKUP($E307,Sheet11!$D:$D,Sheet11!$Y:$Y,"",0)</f>
        <v/>
      </c>
    </row>
    <row r="308">
      <c r="A308" s="41">
        <v>901.0</v>
      </c>
      <c r="B308" s="42" t="s">
        <v>606</v>
      </c>
      <c r="C308" s="42" t="s">
        <v>607</v>
      </c>
      <c r="D308" s="42"/>
      <c r="E308" s="42" t="str">
        <f t="shared" ref="E308:F308" si="309">PROPER(B308)</f>
        <v>Linao Farmers Association</v>
      </c>
      <c r="F308" s="42" t="str">
        <f t="shared" si="309"/>
        <v>Linao, Barotac Nuevo, Iloilo</v>
      </c>
      <c r="G308" s="42" t="str">
        <f t="shared" si="3"/>
        <v>Linao</v>
      </c>
      <c r="H308" s="42" t="str">
        <f t="shared" si="4"/>
        <v>Barotac Nuevo</v>
      </c>
      <c r="I308" s="42" t="str">
        <f t="shared" si="5"/>
        <v>Iloilo</v>
      </c>
      <c r="J308" s="42" t="str">
        <f t="array" ref="J308">XLOOKUP($E308,'Recipients REF'!$B:$B,'Recipients REF'!D:D,"",0)</f>
        <v>Arnulfo Chavez</v>
      </c>
      <c r="K308" s="42">
        <f t="array" ref="K308">XLOOKUP($E308,'Recipients REF'!$B:$B,'Recipients REF'!E:E,"",0)</f>
        <v>9665080507</v>
      </c>
      <c r="L308" s="43" t="str">
        <f t="array" ref="L308">XLOOKUP($A308,'Recipients REF'!$A:$A,'Recipients REF'!F:F,"",0)</f>
        <v>RCEF 25-03-05</v>
      </c>
      <c r="M308" s="43">
        <f t="array" ref="M308">XLOOKUP($A308,'Recipients REF'!$A:$A,'Recipients REF'!G:G,"",0)</f>
        <v>7</v>
      </c>
      <c r="N308" s="43" t="str">
        <f t="array" ref="N308">XLOOKUP($A308,'Recipients REF'!$A:$A,'Recipients REF'!H:H,"",0)</f>
        <v>26902 &amp; 27944</v>
      </c>
      <c r="O308" s="44" t="s">
        <v>25</v>
      </c>
      <c r="P308" s="45" t="s">
        <v>26</v>
      </c>
      <c r="Q308" s="46" t="str">
        <f t="array" ref="Q308">XLOOKUP($A308,'Recipients REF'!$A:$A,'Recipients REF'!I:I,"",0)</f>
        <v>KMC5825 ATSFPV0375</v>
      </c>
      <c r="R308" s="53" t="str">
        <f t="array" ref="R308">XLOOKUP($A308,'Recipients REF'!$A:$A,'Recipients REF'!J:J,"",0)</f>
        <v>STS100422</v>
      </c>
      <c r="S308" s="45" t="s">
        <v>27</v>
      </c>
      <c r="T308" s="45" t="s">
        <v>28</v>
      </c>
      <c r="U308" s="46" t="str">
        <f t="array" ref="U308">XLOOKUP($A308,'Recipients REF'!$A:$A,'Recipients REF'!K:K,"",0)</f>
        <v>R- SERIES 305</v>
      </c>
      <c r="V308" s="44" t="s">
        <v>29</v>
      </c>
      <c r="W308" s="45" t="s">
        <v>30</v>
      </c>
      <c r="X308" s="53" t="str">
        <f t="array" ref="X308">XLOOKUP($A308,'Recipients REF'!$A:$A,'Recipients REF'!L:L,"",0)</f>
        <v>25090594</v>
      </c>
      <c r="Y308" s="48" t="s">
        <v>29</v>
      </c>
      <c r="Z308" s="48" t="s">
        <v>31</v>
      </c>
      <c r="AA308" s="54">
        <f t="array" ref="AA308">XLOOKUP($A308,'Recipients REF'!$A:$A,'Recipients REF'!M:M,"",0)</f>
        <v>25121317</v>
      </c>
      <c r="AB308" s="49"/>
      <c r="AC308" s="42"/>
      <c r="AD308" s="42"/>
      <c r="AE308" s="50"/>
      <c r="AF308" s="42"/>
      <c r="AG308" s="42"/>
      <c r="AH308" s="42"/>
      <c r="AI308" s="42" t="str">
        <f t="array" ref="AI308">XLOOKUP($E308,Sheet11!$D:$D,Sheet11!$X:$X,"",0)</f>
        <v/>
      </c>
      <c r="AJ308" s="42" t="str">
        <f t="array" ref="AJ308">XLOOKUP($E308,Sheet11!$D:$D,Sheet11!$Y:$Y,"",0)</f>
        <v/>
      </c>
    </row>
    <row r="309">
      <c r="A309" s="41">
        <v>902.0</v>
      </c>
      <c r="B309" s="42" t="s">
        <v>608</v>
      </c>
      <c r="C309" s="42" t="s">
        <v>609</v>
      </c>
      <c r="D309" s="42"/>
      <c r="E309" s="42" t="str">
        <f t="shared" ref="E309:F309" si="310">PROPER(B309)</f>
        <v>Tiwi Farmers Association</v>
      </c>
      <c r="F309" s="42" t="str">
        <f t="shared" si="310"/>
        <v>Tiwi, Barotac Nuevo, Iloilo</v>
      </c>
      <c r="G309" s="42" t="str">
        <f t="shared" si="3"/>
        <v>Tiwi</v>
      </c>
      <c r="H309" s="42" t="str">
        <f t="shared" si="4"/>
        <v>Barotac Nuevo</v>
      </c>
      <c r="I309" s="42" t="str">
        <f t="shared" si="5"/>
        <v>Iloilo</v>
      </c>
      <c r="J309" s="42" t="str">
        <f t="array" ref="J309">XLOOKUP($E309,'Recipients REF'!$B:$B,'Recipients REF'!D:D,"",0)</f>
        <v>Antonio B. Barsales</v>
      </c>
      <c r="K309" s="42">
        <f t="array" ref="K309">XLOOKUP($E309,'Recipients REF'!$B:$B,'Recipients REF'!E:E,"",0)</f>
        <v>9684216084</v>
      </c>
      <c r="L309" s="43" t="str">
        <f t="array" ref="L309">XLOOKUP($A309,'Recipients REF'!$A:$A,'Recipients REF'!F:F,"",0)</f>
        <v>RCEF 25-03-05</v>
      </c>
      <c r="M309" s="43">
        <f t="array" ref="M309">XLOOKUP($A309,'Recipients REF'!$A:$A,'Recipients REF'!G:G,"",0)</f>
        <v>7</v>
      </c>
      <c r="N309" s="43" t="str">
        <f t="array" ref="N309">XLOOKUP($A309,'Recipients REF'!$A:$A,'Recipients REF'!H:H,"",0)</f>
        <v>26903 &amp; 27945</v>
      </c>
      <c r="O309" s="44" t="s">
        <v>25</v>
      </c>
      <c r="P309" s="45" t="s">
        <v>26</v>
      </c>
      <c r="Q309" s="46" t="str">
        <f t="array" ref="Q309">XLOOKUP($A309,'Recipients REF'!$A:$A,'Recipients REF'!I:I,"",0)</f>
        <v>KMC5825 ALSFPV0368</v>
      </c>
      <c r="R309" s="53" t="str">
        <f t="array" ref="R309">XLOOKUP($A309,'Recipients REF'!$A:$A,'Recipients REF'!J:J,"",0)</f>
        <v>STS100429</v>
      </c>
      <c r="S309" s="45" t="s">
        <v>27</v>
      </c>
      <c r="T309" s="45" t="s">
        <v>28</v>
      </c>
      <c r="U309" s="46" t="str">
        <f t="array" ref="U309">XLOOKUP($A309,'Recipients REF'!$A:$A,'Recipients REF'!K:K,"",0)</f>
        <v>R- SERIES 248 PH</v>
      </c>
      <c r="V309" s="44" t="s">
        <v>29</v>
      </c>
      <c r="W309" s="45" t="s">
        <v>30</v>
      </c>
      <c r="X309" s="53" t="str">
        <f t="array" ref="X309">XLOOKUP($A309,'Recipients REF'!$A:$A,'Recipients REF'!L:L,"",0)</f>
        <v>25090587</v>
      </c>
      <c r="Y309" s="48" t="s">
        <v>29</v>
      </c>
      <c r="Z309" s="48" t="s">
        <v>31</v>
      </c>
      <c r="AA309" s="54">
        <f t="array" ref="AA309">XLOOKUP($A309,'Recipients REF'!$A:$A,'Recipients REF'!M:M,"",0)</f>
        <v>25121318</v>
      </c>
      <c r="AB309" s="49"/>
      <c r="AC309" s="42"/>
      <c r="AD309" s="42"/>
      <c r="AE309" s="50"/>
      <c r="AF309" s="42"/>
      <c r="AG309" s="42"/>
      <c r="AH309" s="42"/>
      <c r="AI309" s="42" t="str">
        <f t="array" ref="AI309">XLOOKUP($E309,Sheet11!$D:$D,Sheet11!$X:$X,"",0)</f>
        <v/>
      </c>
      <c r="AJ309" s="42" t="str">
        <f t="array" ref="AJ309">XLOOKUP($E309,Sheet11!$D:$D,Sheet11!$Y:$Y,"",0)</f>
        <v/>
      </c>
    </row>
    <row r="310">
      <c r="A310" s="41">
        <v>903.0</v>
      </c>
      <c r="B310" s="42" t="s">
        <v>610</v>
      </c>
      <c r="C310" s="42" t="s">
        <v>611</v>
      </c>
      <c r="D310" s="42"/>
      <c r="E310" s="42" t="str">
        <f t="shared" ref="E310:F310" si="311">PROPER(B310)</f>
        <v>Pd Monfort North Irrigators' Association, Inc.</v>
      </c>
      <c r="F310" s="42" t="str">
        <f t="shared" si="311"/>
        <v>Pd Monfort North (Lublub), Dumangas, Iloilo</v>
      </c>
      <c r="G310" s="42" t="str">
        <f t="shared" si="3"/>
        <v>Pd Monfort North (Lublub)</v>
      </c>
      <c r="H310" s="42" t="str">
        <f t="shared" si="4"/>
        <v>Dumangas</v>
      </c>
      <c r="I310" s="42" t="str">
        <f t="shared" si="5"/>
        <v>Iloilo</v>
      </c>
      <c r="J310" s="42" t="str">
        <f t="array" ref="J310">XLOOKUP($E310,'Recipients REF'!$B:$B,'Recipients REF'!D:D,"",0)</f>
        <v>Thelma Estocada</v>
      </c>
      <c r="K310" s="42">
        <f t="array" ref="K310">XLOOKUP($E310,'Recipients REF'!$B:$B,'Recipients REF'!E:E,"",0)</f>
        <v>9304950624</v>
      </c>
      <c r="L310" s="43" t="str">
        <f t="array" ref="L310">XLOOKUP($A310,'Recipients REF'!$A:$A,'Recipients REF'!F:F,"",0)</f>
        <v>RCEF 25-03-05</v>
      </c>
      <c r="M310" s="43">
        <f t="array" ref="M310">XLOOKUP($A310,'Recipients REF'!$A:$A,'Recipients REF'!G:G,"",0)</f>
        <v>7</v>
      </c>
      <c r="N310" s="43" t="str">
        <f t="array" ref="N310">XLOOKUP($A310,'Recipients REF'!$A:$A,'Recipients REF'!H:H,"",0)</f>
        <v>26904 &amp; 27946</v>
      </c>
      <c r="O310" s="44" t="s">
        <v>25</v>
      </c>
      <c r="P310" s="45" t="s">
        <v>26</v>
      </c>
      <c r="Q310" s="46" t="str">
        <f t="array" ref="Q310">XLOOKUP($A310,'Recipients REF'!$A:$A,'Recipients REF'!I:I,"",0)</f>
        <v>KMC5825 ACSFPV0365</v>
      </c>
      <c r="R310" s="53" t="str">
        <f t="array" ref="R310">XLOOKUP($A310,'Recipients REF'!$A:$A,'Recipients REF'!J:J,"",0)</f>
        <v>STS100392</v>
      </c>
      <c r="S310" s="45" t="s">
        <v>27</v>
      </c>
      <c r="T310" s="45" t="s">
        <v>28</v>
      </c>
      <c r="U310" s="46" t="str">
        <f t="array" ref="U310">XLOOKUP($A310,'Recipients REF'!$A:$A,'Recipients REF'!K:K,"",0)</f>
        <v>R- SERIES 251 PH</v>
      </c>
      <c r="V310" s="44" t="s">
        <v>29</v>
      </c>
      <c r="W310" s="45" t="s">
        <v>30</v>
      </c>
      <c r="X310" s="53" t="str">
        <f t="array" ref="X310">XLOOKUP($A310,'Recipients REF'!$A:$A,'Recipients REF'!L:L,"",0)</f>
        <v>25090553</v>
      </c>
      <c r="Y310" s="48" t="s">
        <v>29</v>
      </c>
      <c r="Z310" s="48" t="s">
        <v>31</v>
      </c>
      <c r="AA310" s="54">
        <f t="array" ref="AA310">XLOOKUP($A310,'Recipients REF'!$A:$A,'Recipients REF'!M:M,"",0)</f>
        <v>25121319</v>
      </c>
      <c r="AB310" s="49"/>
      <c r="AC310" s="42"/>
      <c r="AD310" s="42"/>
      <c r="AE310" s="50"/>
      <c r="AF310" s="42"/>
      <c r="AG310" s="42"/>
      <c r="AH310" s="42"/>
      <c r="AI310" s="42" t="str">
        <f t="array" ref="AI310">XLOOKUP($E310,Sheet11!$D:$D,Sheet11!$X:$X,"",0)</f>
        <v/>
      </c>
      <c r="AJ310" s="42" t="str">
        <f t="array" ref="AJ310">XLOOKUP($E310,Sheet11!$D:$D,Sheet11!$Y:$Y,"",0)</f>
        <v/>
      </c>
    </row>
    <row r="311">
      <c r="A311" s="41">
        <v>904.0</v>
      </c>
      <c r="B311" s="42" t="s">
        <v>612</v>
      </c>
      <c r="C311" s="42" t="s">
        <v>613</v>
      </c>
      <c r="D311" s="42"/>
      <c r="E311" s="42" t="str">
        <f t="shared" ref="E311:F311" si="312">PROPER(B311)</f>
        <v>Agsaralo-Iprog Farmers Association</v>
      </c>
      <c r="F311" s="42" t="str">
        <f t="shared" si="312"/>
        <v>, San Enrique, Iloilo</v>
      </c>
      <c r="G311" s="42" t="str">
        <f t="shared" si="3"/>
        <v/>
      </c>
      <c r="H311" s="42" t="str">
        <f t="shared" si="4"/>
        <v>San Enrique</v>
      </c>
      <c r="I311" s="42" t="str">
        <f t="shared" si="5"/>
        <v>Iloilo</v>
      </c>
      <c r="J311" s="42" t="str">
        <f t="array" ref="J311">XLOOKUP($E311,'Recipients REF'!$B:$B,'Recipients REF'!D:D,"",0)</f>
        <v>RENE TOLENTINO</v>
      </c>
      <c r="K311" s="42">
        <f t="array" ref="K311">XLOOKUP($E311,'Recipients REF'!$B:$B,'Recipients REF'!E:E,"",0)</f>
        <v>9700609027</v>
      </c>
      <c r="L311" s="43" t="str">
        <f t="array" ref="L311">XLOOKUP($A311,'Recipients REF'!$A:$A,'Recipients REF'!F:F,"",0)</f>
        <v>RCEF 25-03-05</v>
      </c>
      <c r="M311" s="43">
        <f t="array" ref="M311">XLOOKUP($A311,'Recipients REF'!$A:$A,'Recipients REF'!G:G,"",0)</f>
        <v>7</v>
      </c>
      <c r="N311" s="43" t="str">
        <f t="array" ref="N311">XLOOKUP($A311,'Recipients REF'!$A:$A,'Recipients REF'!H:H,"",0)</f>
        <v>26905 &amp; 27947</v>
      </c>
      <c r="O311" s="44" t="s">
        <v>25</v>
      </c>
      <c r="P311" s="45" t="s">
        <v>26</v>
      </c>
      <c r="Q311" s="46" t="str">
        <f t="array" ref="Q311">XLOOKUP($A311,'Recipients REF'!$A:$A,'Recipients REF'!I:I,"",0)</f>
        <v>KMC5825 AHSFPV0419</v>
      </c>
      <c r="R311" s="53" t="str">
        <f t="array" ref="R311">XLOOKUP($A311,'Recipients REF'!$A:$A,'Recipients REF'!J:J,"",0)</f>
        <v>STS100477</v>
      </c>
      <c r="S311" s="45" t="s">
        <v>27</v>
      </c>
      <c r="T311" s="45" t="s">
        <v>28</v>
      </c>
      <c r="U311" s="46" t="str">
        <f t="array" ref="U311">XLOOKUP($A311,'Recipients REF'!$A:$A,'Recipients REF'!K:K,"",0)</f>
        <v>R- SERIES 263 PH</v>
      </c>
      <c r="V311" s="44" t="s">
        <v>29</v>
      </c>
      <c r="W311" s="45" t="s">
        <v>30</v>
      </c>
      <c r="X311" s="53" t="str">
        <f t="array" ref="X311">XLOOKUP($A311,'Recipients REF'!$A:$A,'Recipients REF'!L:L,"",0)</f>
        <v>25090633</v>
      </c>
      <c r="Y311" s="48" t="s">
        <v>29</v>
      </c>
      <c r="Z311" s="48" t="s">
        <v>31</v>
      </c>
      <c r="AA311" s="54">
        <f t="array" ref="AA311">XLOOKUP($A311,'Recipients REF'!$A:$A,'Recipients REF'!M:M,"",0)</f>
        <v>25121320</v>
      </c>
      <c r="AB311" s="49"/>
      <c r="AC311" s="42"/>
      <c r="AD311" s="42"/>
      <c r="AE311" s="50"/>
      <c r="AF311" s="42"/>
      <c r="AG311" s="42"/>
      <c r="AH311" s="42"/>
      <c r="AI311" s="42" t="str">
        <f t="array" ref="AI311">XLOOKUP($E311,Sheet11!$D:$D,Sheet11!$X:$X,"",0)</f>
        <v/>
      </c>
      <c r="AJ311" s="42" t="str">
        <f t="array" ref="AJ311">XLOOKUP($E311,Sheet11!$D:$D,Sheet11!$Y:$Y,"",0)</f>
        <v/>
      </c>
    </row>
    <row r="312">
      <c r="A312" s="41">
        <v>905.0</v>
      </c>
      <c r="B312" s="42" t="s">
        <v>614</v>
      </c>
      <c r="C312" s="42" t="s">
        <v>615</v>
      </c>
      <c r="D312" s="42"/>
      <c r="E312" s="42" t="str">
        <f t="shared" ref="E312:F312" si="313">PROPER(B312)</f>
        <v>Compo Farmers Association</v>
      </c>
      <c r="F312" s="42" t="str">
        <f t="shared" si="313"/>
        <v>Compo, San Enrique, Iloilo</v>
      </c>
      <c r="G312" s="42" t="str">
        <f t="shared" si="3"/>
        <v>Compo</v>
      </c>
      <c r="H312" s="42" t="str">
        <f t="shared" si="4"/>
        <v>San Enrique</v>
      </c>
      <c r="I312" s="42" t="str">
        <f t="shared" si="5"/>
        <v>Iloilo</v>
      </c>
      <c r="J312" s="42" t="str">
        <f t="array" ref="J312">XLOOKUP($E312,'Recipients REF'!$B:$B,'Recipients REF'!D:D,"",0)</f>
        <v>Danilo L. Pacardo</v>
      </c>
      <c r="K312" s="42">
        <f t="array" ref="K312">XLOOKUP($E312,'Recipients REF'!$B:$B,'Recipients REF'!E:E,"",0)</f>
        <v>9303536020</v>
      </c>
      <c r="L312" s="43" t="str">
        <f t="array" ref="L312">XLOOKUP($A312,'Recipients REF'!$A:$A,'Recipients REF'!F:F,"",0)</f>
        <v>RCEF 25-03-05</v>
      </c>
      <c r="M312" s="43">
        <f t="array" ref="M312">XLOOKUP($A312,'Recipients REF'!$A:$A,'Recipients REF'!G:G,"",0)</f>
        <v>7</v>
      </c>
      <c r="N312" s="43" t="str">
        <f t="array" ref="N312">XLOOKUP($A312,'Recipients REF'!$A:$A,'Recipients REF'!H:H,"",0)</f>
        <v>26906 &amp; 27948</v>
      </c>
      <c r="O312" s="44" t="s">
        <v>25</v>
      </c>
      <c r="P312" s="45" t="s">
        <v>26</v>
      </c>
      <c r="Q312" s="46" t="str">
        <f t="array" ref="Q312">XLOOKUP($A312,'Recipients REF'!$A:$A,'Recipients REF'!I:I,"",0)</f>
        <v>KMC5825 AJSFPV0316</v>
      </c>
      <c r="R312" s="53" t="str">
        <f t="array" ref="R312">XLOOKUP($A312,'Recipients REF'!$A:$A,'Recipients REF'!J:J,"",0)</f>
        <v>STS100322</v>
      </c>
      <c r="S312" s="45" t="s">
        <v>27</v>
      </c>
      <c r="T312" s="45" t="s">
        <v>28</v>
      </c>
      <c r="U312" s="46" t="str">
        <f t="array" ref="U312">XLOOKUP($A312,'Recipients REF'!$A:$A,'Recipients REF'!K:K,"",0)</f>
        <v>R- SERIES 268 PH</v>
      </c>
      <c r="V312" s="44" t="s">
        <v>29</v>
      </c>
      <c r="W312" s="45" t="s">
        <v>30</v>
      </c>
      <c r="X312" s="53" t="str">
        <f t="array" ref="X312">XLOOKUP($A312,'Recipients REF'!$A:$A,'Recipients REF'!L:L,"",0)</f>
        <v>25090607</v>
      </c>
      <c r="Y312" s="48" t="s">
        <v>29</v>
      </c>
      <c r="Z312" s="48" t="s">
        <v>31</v>
      </c>
      <c r="AA312" s="54">
        <f t="array" ref="AA312">XLOOKUP($A312,'Recipients REF'!$A:$A,'Recipients REF'!M:M,"",0)</f>
        <v>25121321</v>
      </c>
      <c r="AB312" s="49"/>
      <c r="AC312" s="42"/>
      <c r="AD312" s="42"/>
      <c r="AE312" s="50"/>
      <c r="AF312" s="42"/>
      <c r="AG312" s="42"/>
      <c r="AH312" s="42"/>
      <c r="AI312" s="42" t="str">
        <f t="array" ref="AI312">XLOOKUP($E312,Sheet11!$D:$D,Sheet11!$X:$X,"",0)</f>
        <v/>
      </c>
      <c r="AJ312" s="42" t="str">
        <f t="array" ref="AJ312">XLOOKUP($E312,Sheet11!$D:$D,Sheet11!$Y:$Y,"",0)</f>
        <v/>
      </c>
    </row>
    <row r="313">
      <c r="A313" s="41">
        <v>906.0</v>
      </c>
      <c r="B313" s="42" t="s">
        <v>616</v>
      </c>
      <c r="C313" s="42" t="s">
        <v>617</v>
      </c>
      <c r="D313" s="42"/>
      <c r="E313" s="42" t="str">
        <f t="shared" ref="E313:F313" si="314">PROPER(B313)</f>
        <v>Asosasyon Sng Manguguma Sa Poblacion</v>
      </c>
      <c r="F313" s="42" t="str">
        <f t="shared" si="314"/>
        <v>Poblacion, Ajuy, Iloilo</v>
      </c>
      <c r="G313" s="42" t="str">
        <f t="shared" si="3"/>
        <v>Poblacion</v>
      </c>
      <c r="H313" s="42" t="str">
        <f t="shared" si="4"/>
        <v>Ajuy</v>
      </c>
      <c r="I313" s="42" t="str">
        <f t="shared" si="5"/>
        <v>Iloilo</v>
      </c>
      <c r="J313" s="42" t="str">
        <f t="array" ref="J313">XLOOKUP($E313,'Recipients REF'!$B:$B,'Recipients REF'!D:D,"",0)</f>
        <v>CELDY AZUELO</v>
      </c>
      <c r="K313" s="42">
        <f t="array" ref="K313">XLOOKUP($E313,'Recipients REF'!$B:$B,'Recipients REF'!E:E,"",0)</f>
        <v>9690440207</v>
      </c>
      <c r="L313" s="43" t="str">
        <f t="array" ref="L313">XLOOKUP($A313,'Recipients REF'!$A:$A,'Recipients REF'!F:F,"",0)</f>
        <v>RCEF 25-03-05</v>
      </c>
      <c r="M313" s="43">
        <f t="array" ref="M313">XLOOKUP($A313,'Recipients REF'!$A:$A,'Recipients REF'!G:G,"",0)</f>
        <v>7</v>
      </c>
      <c r="N313" s="43" t="str">
        <f t="array" ref="N313">XLOOKUP($A313,'Recipients REF'!$A:$A,'Recipients REF'!H:H,"",0)</f>
        <v>26907 &amp; 27949</v>
      </c>
      <c r="O313" s="44" t="s">
        <v>25</v>
      </c>
      <c r="P313" s="45" t="s">
        <v>26</v>
      </c>
      <c r="Q313" s="46" t="str">
        <f t="array" ref="Q313">XLOOKUP($A313,'Recipients REF'!$A:$A,'Recipients REF'!I:I,"",0)</f>
        <v>KMC5825 ACSFPV0317</v>
      </c>
      <c r="R313" s="53" t="str">
        <f t="array" ref="R313">XLOOKUP($A313,'Recipients REF'!$A:$A,'Recipients REF'!J:J,"",0)</f>
        <v>STS100321</v>
      </c>
      <c r="S313" s="45" t="s">
        <v>27</v>
      </c>
      <c r="T313" s="45" t="s">
        <v>28</v>
      </c>
      <c r="U313" s="46" t="str">
        <f t="array" ref="U313">XLOOKUP($A313,'Recipients REF'!$A:$A,'Recipients REF'!K:K,"",0)</f>
        <v>R- SERIES 260 PH</v>
      </c>
      <c r="V313" s="44" t="s">
        <v>29</v>
      </c>
      <c r="W313" s="45" t="s">
        <v>30</v>
      </c>
      <c r="X313" s="53" t="str">
        <f t="array" ref="X313">XLOOKUP($A313,'Recipients REF'!$A:$A,'Recipients REF'!L:L,"",0)</f>
        <v>25090634</v>
      </c>
      <c r="Y313" s="48" t="s">
        <v>29</v>
      </c>
      <c r="Z313" s="48" t="s">
        <v>31</v>
      </c>
      <c r="AA313" s="54">
        <f t="array" ref="AA313">XLOOKUP($A313,'Recipients REF'!$A:$A,'Recipients REF'!M:M,"",0)</f>
        <v>25121322</v>
      </c>
      <c r="AB313" s="49"/>
      <c r="AC313" s="42"/>
      <c r="AD313" s="42"/>
      <c r="AE313" s="50"/>
      <c r="AF313" s="42"/>
      <c r="AG313" s="42"/>
      <c r="AH313" s="42"/>
      <c r="AI313" s="42" t="str">
        <f t="array" ref="AI313">XLOOKUP($E313,Sheet11!$D:$D,Sheet11!$X:$X,"",0)</f>
        <v/>
      </c>
      <c r="AJ313" s="42" t="str">
        <f t="array" ref="AJ313">XLOOKUP($E313,Sheet11!$D:$D,Sheet11!$Y:$Y,"",0)</f>
        <v/>
      </c>
    </row>
    <row r="314">
      <c r="A314" s="41">
        <v>907.0</v>
      </c>
      <c r="B314" s="42" t="s">
        <v>618</v>
      </c>
      <c r="C314" s="42" t="s">
        <v>619</v>
      </c>
      <c r="D314" s="42"/>
      <c r="E314" s="42" t="str">
        <f t="shared" ref="E314:F314" si="315">PROPER(B314)</f>
        <v>Barangay Tipacla Farmers Association</v>
      </c>
      <c r="F314" s="42" t="str">
        <f t="shared" si="315"/>
        <v>Tipacla, Ajuy, Iloilo</v>
      </c>
      <c r="G314" s="42" t="str">
        <f t="shared" si="3"/>
        <v>Tipacla</v>
      </c>
      <c r="H314" s="42" t="str">
        <f t="shared" si="4"/>
        <v>Ajuy</v>
      </c>
      <c r="I314" s="42" t="str">
        <f t="shared" si="5"/>
        <v>Iloilo</v>
      </c>
      <c r="J314" s="42" t="str">
        <f t="array" ref="J314">XLOOKUP($E314,'Recipients REF'!$B:$B,'Recipients REF'!D:D,"",0)</f>
        <v>RYAN CABALLERO</v>
      </c>
      <c r="K314" s="42">
        <f t="array" ref="K314">XLOOKUP($E314,'Recipients REF'!$B:$B,'Recipients REF'!E:E,"",0)</f>
        <v>9510636476</v>
      </c>
      <c r="L314" s="43" t="str">
        <f t="array" ref="L314">XLOOKUP($A314,'Recipients REF'!$A:$A,'Recipients REF'!F:F,"",0)</f>
        <v>RCEF 25-03-05</v>
      </c>
      <c r="M314" s="43">
        <f t="array" ref="M314">XLOOKUP($A314,'Recipients REF'!$A:$A,'Recipients REF'!G:G,"",0)</f>
        <v>7</v>
      </c>
      <c r="N314" s="43" t="str">
        <f t="array" ref="N314">XLOOKUP($A314,'Recipients REF'!$A:$A,'Recipients REF'!H:H,"",0)</f>
        <v>26908 &amp; 27950</v>
      </c>
      <c r="O314" s="44" t="s">
        <v>25</v>
      </c>
      <c r="P314" s="45" t="s">
        <v>26</v>
      </c>
      <c r="Q314" s="46" t="str">
        <f t="array" ref="Q314">XLOOKUP($A314,'Recipients REF'!$A:$A,'Recipients REF'!I:I,"",0)</f>
        <v>KMC5825 AESFPV0387</v>
      </c>
      <c r="R314" s="53" t="str">
        <f t="array" ref="R314">XLOOKUP($A314,'Recipients REF'!$A:$A,'Recipients REF'!J:J,"",0)</f>
        <v>STS100461</v>
      </c>
      <c r="S314" s="45" t="s">
        <v>27</v>
      </c>
      <c r="T314" s="45" t="s">
        <v>28</v>
      </c>
      <c r="U314" s="46" t="str">
        <f t="array" ref="U314">XLOOKUP($A314,'Recipients REF'!$A:$A,'Recipients REF'!K:K,"",0)</f>
        <v>R- SERIES 272 PH</v>
      </c>
      <c r="V314" s="44" t="s">
        <v>29</v>
      </c>
      <c r="W314" s="45" t="s">
        <v>30</v>
      </c>
      <c r="X314" s="53" t="str">
        <f t="array" ref="X314">XLOOKUP($A314,'Recipients REF'!$A:$A,'Recipients REF'!L:L,"",0)</f>
        <v>25090594</v>
      </c>
      <c r="Y314" s="48" t="s">
        <v>29</v>
      </c>
      <c r="Z314" s="48" t="s">
        <v>31</v>
      </c>
      <c r="AA314" s="54">
        <f t="array" ref="AA314">XLOOKUP($A314,'Recipients REF'!$A:$A,'Recipients REF'!M:M,"",0)</f>
        <v>25121323</v>
      </c>
      <c r="AB314" s="49"/>
      <c r="AC314" s="42"/>
      <c r="AD314" s="42"/>
      <c r="AE314" s="50"/>
      <c r="AF314" s="42"/>
      <c r="AG314" s="42"/>
      <c r="AH314" s="42"/>
      <c r="AI314" s="42" t="str">
        <f t="array" ref="AI314">XLOOKUP($E314,Sheet11!$D:$D,Sheet11!$X:$X,"",0)</f>
        <v/>
      </c>
      <c r="AJ314" s="42" t="str">
        <f t="array" ref="AJ314">XLOOKUP($E314,Sheet11!$D:$D,Sheet11!$Y:$Y,"",0)</f>
        <v/>
      </c>
    </row>
    <row r="315">
      <c r="A315" s="41">
        <v>908.0</v>
      </c>
      <c r="B315" s="42" t="s">
        <v>620</v>
      </c>
      <c r="C315" s="42" t="s">
        <v>621</v>
      </c>
      <c r="D315" s="42"/>
      <c r="E315" s="42" t="str">
        <f t="shared" ref="E315:F315" si="316">PROPER(B315)</f>
        <v>Alapasco Bulak Sur Irrigators' Service Association Inc.</v>
      </c>
      <c r="F315" s="42" t="str">
        <f t="shared" si="316"/>
        <v>Bulak Sur, Batad, Iloilo</v>
      </c>
      <c r="G315" s="42" t="str">
        <f t="shared" si="3"/>
        <v>Bulak Sur</v>
      </c>
      <c r="H315" s="42" t="str">
        <f t="shared" si="4"/>
        <v>Batad</v>
      </c>
      <c r="I315" s="42" t="str">
        <f t="shared" si="5"/>
        <v>Iloilo</v>
      </c>
      <c r="J315" s="42" t="str">
        <f t="array" ref="J315">XLOOKUP($E315,'Recipients REF'!$B:$B,'Recipients REF'!D:D,"",0)</f>
        <v>Armando B. Balsomo</v>
      </c>
      <c r="K315" s="42" t="str">
        <f t="array" ref="K315">XLOOKUP($E315,'Recipients REF'!$B:$B,'Recipients REF'!E:E,"",0)</f>
        <v>0915-325-2701</v>
      </c>
      <c r="L315" s="43" t="str">
        <f t="array" ref="L315">XLOOKUP($A315,'Recipients REF'!$A:$A,'Recipients REF'!F:F,"",0)</f>
        <v>RCEF 25-03-05</v>
      </c>
      <c r="M315" s="43">
        <f t="array" ref="M315">XLOOKUP($A315,'Recipients REF'!$A:$A,'Recipients REF'!G:G,"",0)</f>
        <v>7</v>
      </c>
      <c r="N315" s="43" t="str">
        <f t="array" ref="N315">XLOOKUP($A315,'Recipients REF'!$A:$A,'Recipients REF'!H:H,"",0)</f>
        <v>26909 &amp; 27951</v>
      </c>
      <c r="O315" s="44" t="s">
        <v>25</v>
      </c>
      <c r="P315" s="45" t="s">
        <v>26</v>
      </c>
      <c r="Q315" s="46" t="str">
        <f t="array" ref="Q315">XLOOKUP($A315,'Recipients REF'!$A:$A,'Recipients REF'!I:I,"",0)</f>
        <v>KMC5825 ACSFPV0351</v>
      </c>
      <c r="R315" s="53" t="str">
        <f t="array" ref="R315">XLOOKUP($A315,'Recipients REF'!$A:$A,'Recipients REF'!J:J,"",0)</f>
        <v>STS100329</v>
      </c>
      <c r="S315" s="45" t="s">
        <v>27</v>
      </c>
      <c r="T315" s="45" t="s">
        <v>28</v>
      </c>
      <c r="U315" s="46" t="str">
        <f t="array" ref="U315">XLOOKUP($A315,'Recipients REF'!$A:$A,'Recipients REF'!K:K,"",0)</f>
        <v>R-SERIES 076 PH</v>
      </c>
      <c r="V315" s="44" t="s">
        <v>29</v>
      </c>
      <c r="W315" s="45" t="s">
        <v>30</v>
      </c>
      <c r="X315" s="53" t="str">
        <f t="array" ref="X315">XLOOKUP($A315,'Recipients REF'!$A:$A,'Recipients REF'!L:L,"",0)</f>
        <v>25090608</v>
      </c>
      <c r="Y315" s="48" t="s">
        <v>29</v>
      </c>
      <c r="Z315" s="48" t="s">
        <v>31</v>
      </c>
      <c r="AA315" s="54">
        <f t="array" ref="AA315">XLOOKUP($A315,'Recipients REF'!$A:$A,'Recipients REF'!M:M,"",0)</f>
        <v>25121324</v>
      </c>
      <c r="AB315" s="49"/>
      <c r="AC315" s="42"/>
      <c r="AD315" s="42"/>
      <c r="AE315" s="50"/>
      <c r="AF315" s="42"/>
      <c r="AG315" s="42"/>
      <c r="AH315" s="42"/>
      <c r="AI315" s="42" t="str">
        <f t="array" ref="AI315">XLOOKUP($E315,Sheet11!$D:$D,Sheet11!$X:$X,"",0)</f>
        <v/>
      </c>
      <c r="AJ315" s="42" t="str">
        <f t="array" ref="AJ315">XLOOKUP($E315,Sheet11!$D:$D,Sheet11!$Y:$Y,"",0)</f>
        <v/>
      </c>
    </row>
    <row r="316">
      <c r="A316" s="41">
        <v>909.0</v>
      </c>
      <c r="B316" s="42" t="s">
        <v>622</v>
      </c>
      <c r="C316" s="42" t="s">
        <v>623</v>
      </c>
      <c r="D316" s="42"/>
      <c r="E316" s="42" t="str">
        <f t="shared" ref="E316:F316" si="317">PROPER(B316)</f>
        <v>Milan Farmers Association</v>
      </c>
      <c r="F316" s="42" t="str">
        <f t="shared" si="317"/>
        <v>Milan, Lemery, Iloilo</v>
      </c>
      <c r="G316" s="42" t="str">
        <f t="shared" si="3"/>
        <v>Milan</v>
      </c>
      <c r="H316" s="42" t="str">
        <f t="shared" si="4"/>
        <v>Lemery</v>
      </c>
      <c r="I316" s="42" t="str">
        <f t="shared" si="5"/>
        <v>Iloilo</v>
      </c>
      <c r="J316" s="42" t="str">
        <f t="array" ref="J316">XLOOKUP($E316,'Recipients REF'!$B:$B,'Recipients REF'!D:D,"",0)</f>
        <v>Eduardo L. Marcelino</v>
      </c>
      <c r="K316" s="42" t="str">
        <f t="array" ref="K316">XLOOKUP($E316,'Recipients REF'!$B:$B,'Recipients REF'!E:E,"",0)</f>
        <v>0919 900 1346/ 0946 540 1137</v>
      </c>
      <c r="L316" s="43" t="str">
        <f t="array" ref="L316">XLOOKUP($A316,'Recipients REF'!$A:$A,'Recipients REF'!F:F,"",0)</f>
        <v>RCEF 25-03-05</v>
      </c>
      <c r="M316" s="43">
        <f t="array" ref="M316">XLOOKUP($A316,'Recipients REF'!$A:$A,'Recipients REF'!G:G,"",0)</f>
        <v>7</v>
      </c>
      <c r="N316" s="43" t="str">
        <f t="array" ref="N316">XLOOKUP($A316,'Recipients REF'!$A:$A,'Recipients REF'!H:H,"",0)</f>
        <v>26910 &amp; 27952</v>
      </c>
      <c r="O316" s="44" t="s">
        <v>25</v>
      </c>
      <c r="P316" s="45" t="s">
        <v>26</v>
      </c>
      <c r="Q316" s="46" t="str">
        <f t="array" ref="Q316">XLOOKUP($A316,'Recipients REF'!$A:$A,'Recipients REF'!I:I,"",0)</f>
        <v>KMC5825 AHSFPV0369</v>
      </c>
      <c r="R316" s="53" t="str">
        <f t="array" ref="R316">XLOOKUP($A316,'Recipients REF'!$A:$A,'Recipients REF'!J:J,"",0)</f>
        <v>STS100424</v>
      </c>
      <c r="S316" s="45" t="s">
        <v>27</v>
      </c>
      <c r="T316" s="45" t="s">
        <v>28</v>
      </c>
      <c r="U316" s="46" t="str">
        <f t="array" ref="U316">XLOOKUP($A316,'Recipients REF'!$A:$A,'Recipients REF'!K:K,"",0)</f>
        <v>R- SERIES 109 PH</v>
      </c>
      <c r="V316" s="44" t="s">
        <v>29</v>
      </c>
      <c r="W316" s="45" t="s">
        <v>30</v>
      </c>
      <c r="X316" s="53" t="str">
        <f t="array" ref="X316">XLOOKUP($A316,'Recipients REF'!$A:$A,'Recipients REF'!L:L,"",0)</f>
        <v>25096609</v>
      </c>
      <c r="Y316" s="48" t="s">
        <v>29</v>
      </c>
      <c r="Z316" s="48" t="s">
        <v>31</v>
      </c>
      <c r="AA316" s="54">
        <f t="array" ref="AA316">XLOOKUP($A316,'Recipients REF'!$A:$A,'Recipients REF'!M:M,"",0)</f>
        <v>25121325</v>
      </c>
      <c r="AB316" s="49"/>
      <c r="AC316" s="42"/>
      <c r="AD316" s="42"/>
      <c r="AE316" s="50"/>
      <c r="AF316" s="42"/>
      <c r="AG316" s="42"/>
      <c r="AH316" s="42"/>
      <c r="AI316" s="42" t="str">
        <f t="array" ref="AI316">XLOOKUP($E316,Sheet11!$D:$D,Sheet11!$X:$X,"",0)</f>
        <v/>
      </c>
      <c r="AJ316" s="42" t="str">
        <f t="array" ref="AJ316">XLOOKUP($E316,Sheet11!$D:$D,Sheet11!$Y:$Y,"",0)</f>
        <v/>
      </c>
    </row>
    <row r="317">
      <c r="A317" s="41">
        <v>910.0</v>
      </c>
      <c r="B317" s="42" t="s">
        <v>624</v>
      </c>
      <c r="C317" s="42" t="s">
        <v>625</v>
      </c>
      <c r="D317" s="42"/>
      <c r="E317" s="42" t="str">
        <f t="shared" ref="E317:F317" si="318">PROPER(B317)</f>
        <v>Municipal Local Government Unit Of San Rafael</v>
      </c>
      <c r="F317" s="42" t="str">
        <f t="shared" si="318"/>
        <v>Poblacion, San Rafael, Iloilo</v>
      </c>
      <c r="G317" s="42" t="str">
        <f t="shared" si="3"/>
        <v>Poblacion</v>
      </c>
      <c r="H317" s="42" t="str">
        <f t="shared" si="4"/>
        <v>San Rafael</v>
      </c>
      <c r="I317" s="42" t="str">
        <f t="shared" si="5"/>
        <v>Iloilo</v>
      </c>
      <c r="J317" s="42" t="str">
        <f t="array" ref="J317">XLOOKUP($E317,'Recipients REF'!$B:$B,'Recipients REF'!D:D,"",0)</f>
        <v>ROBERTO BELLEZA JR.</v>
      </c>
      <c r="K317" s="42">
        <f t="array" ref="K317">XLOOKUP($E317,'Recipients REF'!$B:$B,'Recipients REF'!E:E,"",0)</f>
        <v>999880519</v>
      </c>
      <c r="L317" s="43" t="str">
        <f t="array" ref="L317">XLOOKUP($A317,'Recipients REF'!$A:$A,'Recipients REF'!F:F,"",0)</f>
        <v>RCEF 25-03-05</v>
      </c>
      <c r="M317" s="43">
        <f t="array" ref="M317">XLOOKUP($A317,'Recipients REF'!$A:$A,'Recipients REF'!G:G,"",0)</f>
        <v>7</v>
      </c>
      <c r="N317" s="43" t="str">
        <f t="array" ref="N317">XLOOKUP($A317,'Recipients REF'!$A:$A,'Recipients REF'!H:H,"",0)</f>
        <v>26911 &amp; 27953</v>
      </c>
      <c r="O317" s="44" t="s">
        <v>25</v>
      </c>
      <c r="P317" s="45" t="s">
        <v>26</v>
      </c>
      <c r="Q317" s="46" t="str">
        <f t="array" ref="Q317">XLOOKUP($A317,'Recipients REF'!$A:$A,'Recipients REF'!I:I,"",0)</f>
        <v>KMC5825 ALSFPV0404</v>
      </c>
      <c r="R317" s="53" t="str">
        <f t="array" ref="R317">XLOOKUP($A317,'Recipients REF'!$A:$A,'Recipients REF'!J:J,"",0)</f>
        <v>STS100471</v>
      </c>
      <c r="S317" s="45" t="s">
        <v>27</v>
      </c>
      <c r="T317" s="45" t="s">
        <v>28</v>
      </c>
      <c r="U317" s="46" t="str">
        <f t="array" ref="U317">XLOOKUP($A317,'Recipients REF'!$A:$A,'Recipients REF'!K:K,"",0)</f>
        <v>R- SERIES 280 PH</v>
      </c>
      <c r="V317" s="44" t="s">
        <v>29</v>
      </c>
      <c r="W317" s="45" t="s">
        <v>30</v>
      </c>
      <c r="X317" s="53" t="str">
        <f t="array" ref="X317">XLOOKUP($A317,'Recipients REF'!$A:$A,'Recipients REF'!L:L,"",0)</f>
        <v>2509600</v>
      </c>
      <c r="Y317" s="48" t="s">
        <v>29</v>
      </c>
      <c r="Z317" s="48" t="s">
        <v>31</v>
      </c>
      <c r="AA317" s="54">
        <f t="array" ref="AA317">XLOOKUP($A317,'Recipients REF'!$A:$A,'Recipients REF'!M:M,"",0)</f>
        <v>25121326</v>
      </c>
      <c r="AB317" s="49"/>
      <c r="AC317" s="42"/>
      <c r="AD317" s="42"/>
      <c r="AE317" s="50"/>
      <c r="AF317" s="42"/>
      <c r="AG317" s="42"/>
      <c r="AH317" s="42"/>
      <c r="AI317" s="42" t="str">
        <f t="array" ref="AI317">XLOOKUP($E317,Sheet11!$D:$D,Sheet11!$X:$X,"",0)</f>
        <v/>
      </c>
      <c r="AJ317" s="42" t="str">
        <f t="array" ref="AJ317">XLOOKUP($E317,Sheet11!$D:$D,Sheet11!$Y:$Y,"",0)</f>
        <v/>
      </c>
    </row>
    <row r="318">
      <c r="A318" s="41">
        <v>911.0</v>
      </c>
      <c r="B318" s="42" t="s">
        <v>626</v>
      </c>
      <c r="C318" s="42" t="s">
        <v>627</v>
      </c>
      <c r="D318" s="42"/>
      <c r="E318" s="42" t="str">
        <f t="shared" ref="E318:F318" si="319">PROPER(B318)</f>
        <v>Pasig Integrated Farmers Association</v>
      </c>
      <c r="F318" s="42" t="str">
        <f t="shared" si="319"/>
        <v>Pasig, Sara, Iloilo</v>
      </c>
      <c r="G318" s="42" t="str">
        <f t="shared" si="3"/>
        <v>Pasig</v>
      </c>
      <c r="H318" s="42" t="str">
        <f t="shared" si="4"/>
        <v>Sara</v>
      </c>
      <c r="I318" s="42" t="str">
        <f t="shared" si="5"/>
        <v>Iloilo</v>
      </c>
      <c r="J318" s="42" t="str">
        <f t="array" ref="J318">XLOOKUP($E318,'Recipients REF'!$B:$B,'Recipients REF'!D:D,"",0)</f>
        <v>Danilo Dangan</v>
      </c>
      <c r="K318" s="42">
        <f t="array" ref="K318">XLOOKUP($E318,'Recipients REF'!$B:$B,'Recipients REF'!E:E,"",0)</f>
        <v>9640869974</v>
      </c>
      <c r="L318" s="43" t="str">
        <f t="array" ref="L318">XLOOKUP($A318,'Recipients REF'!$A:$A,'Recipients REF'!F:F,"",0)</f>
        <v>RCEF 25-03-05</v>
      </c>
      <c r="M318" s="43">
        <f t="array" ref="M318">XLOOKUP($A318,'Recipients REF'!$A:$A,'Recipients REF'!G:G,"",0)</f>
        <v>7</v>
      </c>
      <c r="N318" s="43" t="str">
        <f t="array" ref="N318">XLOOKUP($A318,'Recipients REF'!$A:$A,'Recipients REF'!H:H,"",0)</f>
        <v>26912 &amp; 27954</v>
      </c>
      <c r="O318" s="44" t="s">
        <v>25</v>
      </c>
      <c r="P318" s="45" t="s">
        <v>26</v>
      </c>
      <c r="Q318" s="46" t="str">
        <f t="array" ref="Q318">XLOOKUP($A318,'Recipients REF'!$A:$A,'Recipients REF'!I:I,"",0)</f>
        <v>KMC5825 AKSFPV0380</v>
      </c>
      <c r="R318" s="53" t="str">
        <f t="array" ref="R318">XLOOKUP($A318,'Recipients REF'!$A:$A,'Recipients REF'!J:J,"",0)</f>
        <v>STS100451</v>
      </c>
      <c r="S318" s="45" t="s">
        <v>27</v>
      </c>
      <c r="T318" s="45" t="s">
        <v>28</v>
      </c>
      <c r="U318" s="46" t="str">
        <f t="array" ref="U318">XLOOKUP($A318,'Recipients REF'!$A:$A,'Recipients REF'!K:K,"",0)</f>
        <v>R- SERIES 281 PH</v>
      </c>
      <c r="V318" s="44" t="s">
        <v>29</v>
      </c>
      <c r="W318" s="45" t="s">
        <v>30</v>
      </c>
      <c r="X318" s="53" t="str">
        <f t="array" ref="X318">XLOOKUP($A318,'Recipients REF'!$A:$A,'Recipients REF'!L:L,"",0)</f>
        <v>25090585</v>
      </c>
      <c r="Y318" s="48" t="s">
        <v>29</v>
      </c>
      <c r="Z318" s="48" t="s">
        <v>31</v>
      </c>
      <c r="AA318" s="54">
        <f t="array" ref="AA318">XLOOKUP($A318,'Recipients REF'!$A:$A,'Recipients REF'!M:M,"",0)</f>
        <v>25121327</v>
      </c>
      <c r="AB318" s="49"/>
      <c r="AC318" s="42"/>
      <c r="AD318" s="42"/>
      <c r="AE318" s="50"/>
      <c r="AF318" s="42"/>
      <c r="AG318" s="42"/>
      <c r="AH318" s="42"/>
      <c r="AI318" s="42" t="str">
        <f t="array" ref="AI318">XLOOKUP($E318,Sheet11!$D:$D,Sheet11!$X:$X,"",0)</f>
        <v/>
      </c>
      <c r="AJ318" s="42" t="str">
        <f t="array" ref="AJ318">XLOOKUP($E318,Sheet11!$D:$D,Sheet11!$Y:$Y,"",0)</f>
        <v/>
      </c>
    </row>
    <row r="319">
      <c r="A319" s="41">
        <v>90.0</v>
      </c>
      <c r="B319" s="42" t="s">
        <v>628</v>
      </c>
      <c r="C319" s="42" t="s">
        <v>629</v>
      </c>
      <c r="D319" s="42"/>
      <c r="E319" s="42" t="str">
        <f t="shared" ref="E319:F319" si="320">PROPER(B319)</f>
        <v>The Farmers Of Luna Agriculture Cooperative</v>
      </c>
      <c r="F319" s="42" t="str">
        <f t="shared" si="320"/>
        <v>Centro 2, Luna, Isabela</v>
      </c>
      <c r="G319" s="42" t="str">
        <f t="shared" si="3"/>
        <v>Centro 2</v>
      </c>
      <c r="H319" s="42" t="str">
        <f t="shared" si="4"/>
        <v>Luna</v>
      </c>
      <c r="I319" s="42" t="str">
        <f t="shared" si="5"/>
        <v>Isabela</v>
      </c>
      <c r="J319" s="42" t="str">
        <f t="array" ref="J319">XLOOKUP($E319,'Recipients REF'!$B:$B,'Recipients REF'!D:D,"",0)</f>
        <v>Edgar A. Diniega</v>
      </c>
      <c r="K319" s="42">
        <f t="array" ref="K319">XLOOKUP($E319,'Recipients REF'!$B:$B,'Recipients REF'!E:E,"",0)</f>
        <v>9656732717</v>
      </c>
      <c r="L319" s="43" t="str">
        <f t="array" ref="L319">XLOOKUP($A319,'Recipients REF'!$A:$A,'Recipients REF'!F:F,"",0)</f>
        <v>RCEF 23-09-21 Rebidding</v>
      </c>
      <c r="M319" s="43">
        <f t="array" ref="M319">XLOOKUP($A319,'Recipients REF'!$A:$A,'Recipients REF'!G:G,"",0)</f>
        <v>9</v>
      </c>
      <c r="N319" s="43">
        <f t="array" ref="N319">XLOOKUP($A319,'Recipients REF'!$A:$A,'Recipients REF'!H:H,"",0)</f>
        <v>17369</v>
      </c>
      <c r="O319" s="44" t="s">
        <v>25</v>
      </c>
      <c r="P319" s="45" t="s">
        <v>26</v>
      </c>
      <c r="Q319" s="46" t="str">
        <f t="array" ref="Q319">XLOOKUP($A319,'Recipients REF'!$A:$A,'Recipients REF'!I:I,"",0)</f>
        <v>KMC 5825 ACPFPV0034</v>
      </c>
      <c r="R319" s="47" t="str">
        <f t="array" ref="R319">XLOOKUP($A319,'Recipients REF'!$A:$A,'Recipients REF'!J:J,"",0)</f>
        <v>PTS100004</v>
      </c>
      <c r="S319" s="45" t="s">
        <v>27</v>
      </c>
      <c r="T319" s="45" t="s">
        <v>28</v>
      </c>
      <c r="U319" s="46" t="str">
        <f t="array" ref="U319">XLOOKUP($A319,'Recipients REF'!$A:$A,'Recipients REF'!K:K,"",0)</f>
        <v>HL 22R005</v>
      </c>
      <c r="V319" s="44" t="s">
        <v>29</v>
      </c>
      <c r="W319" s="45" t="s">
        <v>30</v>
      </c>
      <c r="X319" s="47" t="str">
        <f t="array" ref="X319">XLOOKUP($A319,'Recipients REF'!$A:$A,'Recipients REF'!L:L,"",0)</f>
        <v>WR LSGW 0019</v>
      </c>
      <c r="Y319" s="48" t="s">
        <v>29</v>
      </c>
      <c r="Z319" s="48" t="s">
        <v>31</v>
      </c>
      <c r="AA319" s="46" t="str">
        <f t="array" ref="AA319">XLOOKUP($A319,'Recipients REF'!$A:$A,'Recipients REF'!M:M,"",0)</f>
        <v>WDP40 RMP 24010055</v>
      </c>
      <c r="AB319" s="49"/>
      <c r="AC319" s="42"/>
      <c r="AD319" s="42"/>
      <c r="AE319" s="50"/>
      <c r="AF319" s="42"/>
      <c r="AG319" s="42"/>
      <c r="AH319" s="42"/>
      <c r="AI319" s="42">
        <f t="array" ref="AI319">XLOOKUP($E319,Sheet11!$D:$D,Sheet11!$X:$X,"",0)</f>
        <v>869066060245181</v>
      </c>
      <c r="AJ319" s="42">
        <f t="array" ref="AJ319">XLOOKUP($E319,Sheet11!$D:$D,Sheet11!$Y:$Y,"",0)</f>
        <v>9690110443</v>
      </c>
    </row>
    <row r="320">
      <c r="A320" s="41">
        <v>91.0</v>
      </c>
      <c r="B320" s="42" t="s">
        <v>630</v>
      </c>
      <c r="C320" s="42" t="s">
        <v>631</v>
      </c>
      <c r="D320" s="42"/>
      <c r="E320" s="42" t="str">
        <f t="shared" ref="E320:F320" si="321">PROPER(B320)</f>
        <v>Barangay Cabannungan Farmers Association</v>
      </c>
      <c r="F320" s="42" t="str">
        <f t="shared" si="321"/>
        <v>Cabannungan 2Nd, City Of Ilagan, Isabela</v>
      </c>
      <c r="G320" s="42" t="str">
        <f t="shared" si="3"/>
        <v>Cabannungan 2Nd</v>
      </c>
      <c r="H320" s="42" t="str">
        <f t="shared" si="4"/>
        <v>City Of Ilagan</v>
      </c>
      <c r="I320" s="42" t="str">
        <f t="shared" si="5"/>
        <v>Isabela</v>
      </c>
      <c r="J320" s="42" t="str">
        <f t="array" ref="J320">XLOOKUP($E320,'Recipients REF'!$B:$B,'Recipients REF'!D:D,"",0)</f>
        <v>Christopher M. Siriban</v>
      </c>
      <c r="K320" s="42" t="str">
        <f t="array" ref="K320">XLOOKUP($E320,'Recipients REF'!$B:$B,'Recipients REF'!E:E,"",0)</f>
        <v>0935-762-0492</v>
      </c>
      <c r="L320" s="43" t="str">
        <f t="array" ref="L320">XLOOKUP($A320,'Recipients REF'!$A:$A,'Recipients REF'!F:F,"",0)</f>
        <v>RCEF 23-09-21 Rebidding</v>
      </c>
      <c r="M320" s="43">
        <f t="array" ref="M320">XLOOKUP($A320,'Recipients REF'!$A:$A,'Recipients REF'!G:G,"",0)</f>
        <v>9</v>
      </c>
      <c r="N320" s="43">
        <f t="array" ref="N320">XLOOKUP($A320,'Recipients REF'!$A:$A,'Recipients REF'!H:H,"",0)</f>
        <v>17370</v>
      </c>
      <c r="O320" s="44" t="s">
        <v>25</v>
      </c>
      <c r="P320" s="45" t="s">
        <v>26</v>
      </c>
      <c r="Q320" s="46" t="str">
        <f t="array" ref="Q320">XLOOKUP($A320,'Recipients REF'!$A:$A,'Recipients REF'!I:I,"",0)</f>
        <v>KMC 5825 AEPFPV0025</v>
      </c>
      <c r="R320" s="47" t="str">
        <f t="array" ref="R320">XLOOKUP($A320,'Recipients REF'!$A:$A,'Recipients REF'!J:J,"",0)</f>
        <v>PTS100038</v>
      </c>
      <c r="S320" s="45" t="s">
        <v>27</v>
      </c>
      <c r="T320" s="45" t="s">
        <v>28</v>
      </c>
      <c r="U320" s="46" t="str">
        <f t="array" ref="U320">XLOOKUP($A320,'Recipients REF'!$A:$A,'Recipients REF'!K:K,"",0)</f>
        <v>HL 22R010</v>
      </c>
      <c r="V320" s="44" t="s">
        <v>29</v>
      </c>
      <c r="W320" s="45" t="s">
        <v>30</v>
      </c>
      <c r="X320" s="47" t="str">
        <f t="array" ref="X320">XLOOKUP($A320,'Recipients REF'!$A:$A,'Recipients REF'!L:L,"",0)</f>
        <v>WR LSGW 0020</v>
      </c>
      <c r="Y320" s="48" t="s">
        <v>29</v>
      </c>
      <c r="Z320" s="48" t="s">
        <v>31</v>
      </c>
      <c r="AA320" s="46" t="str">
        <f t="array" ref="AA320">XLOOKUP($A320,'Recipients REF'!$A:$A,'Recipients REF'!M:M,"",0)</f>
        <v>WDP40 RMP 24010050</v>
      </c>
      <c r="AB320" s="49"/>
      <c r="AC320" s="42"/>
      <c r="AD320" s="42"/>
      <c r="AE320" s="50"/>
      <c r="AF320" s="42"/>
      <c r="AG320" s="42"/>
      <c r="AH320" s="42"/>
      <c r="AI320" s="42">
        <f t="array" ref="AI320">XLOOKUP($E320,Sheet11!$D:$D,Sheet11!$X:$X,"",0)</f>
        <v>869066060240240</v>
      </c>
      <c r="AJ320" s="42">
        <f t="array" ref="AJ320">XLOOKUP($E320,Sheet11!$D:$D,Sheet11!$Y:$Y,"",0)</f>
        <v>9690374168</v>
      </c>
    </row>
    <row r="321">
      <c r="A321" s="41">
        <v>272.0</v>
      </c>
      <c r="B321" s="42" t="s">
        <v>632</v>
      </c>
      <c r="C321" s="42" t="s">
        <v>633</v>
      </c>
      <c r="D321" s="42"/>
      <c r="E321" s="42" t="str">
        <f t="shared" ref="E321:F321" si="322">PROPER(B321)</f>
        <v>San Macario Farmer'S Association</v>
      </c>
      <c r="F321" s="42" t="str">
        <f t="shared" si="322"/>
        <v>San Macario, Delfin Albano, Isabela</v>
      </c>
      <c r="G321" s="42" t="str">
        <f t="shared" si="3"/>
        <v>San Macario</v>
      </c>
      <c r="H321" s="42" t="str">
        <f t="shared" si="4"/>
        <v>Delfin Albano</v>
      </c>
      <c r="I321" s="42" t="str">
        <f t="shared" si="5"/>
        <v>Isabela</v>
      </c>
      <c r="J321" s="42" t="str">
        <f t="array" ref="J321">XLOOKUP($E321,'Recipients REF'!$B:$B,'Recipients REF'!D:D,"",0)</f>
        <v>ARIEL V. BIDES</v>
      </c>
      <c r="K321" s="42">
        <f t="array" ref="K321">XLOOKUP($E321,'Recipients REF'!$B:$B,'Recipients REF'!E:E,"",0)</f>
        <v>9263610336</v>
      </c>
      <c r="L321" s="43" t="str">
        <f t="array" ref="L321">XLOOKUP($A321,'Recipients REF'!$A:$A,'Recipients REF'!F:F,"",0)</f>
        <v>RCEF 23-09-21 Rebidding</v>
      </c>
      <c r="M321" s="43">
        <f t="array" ref="M321">XLOOKUP($A321,'Recipients REF'!$A:$A,'Recipients REF'!G:G,"",0)</f>
        <v>9</v>
      </c>
      <c r="N321" s="43">
        <f t="array" ref="N321">XLOOKUP($A321,'Recipients REF'!$A:$A,'Recipients REF'!H:H,"",0)</f>
        <v>18833</v>
      </c>
      <c r="O321" s="44" t="s">
        <v>25</v>
      </c>
      <c r="P321" s="45" t="s">
        <v>26</v>
      </c>
      <c r="Q321" s="46" t="str">
        <f t="array" ref="Q321">XLOOKUP($A321,'Recipients REF'!$A:$A,'Recipients REF'!I:I,"",0)</f>
        <v>KMC5825 AARFPV0167</v>
      </c>
      <c r="R321" s="47" t="str">
        <f t="array" ref="R321">XLOOKUP($A321,'Recipients REF'!$A:$A,'Recipients REF'!J:J,"",0)</f>
        <v>RTS100108</v>
      </c>
      <c r="S321" s="45" t="s">
        <v>27</v>
      </c>
      <c r="T321" s="45" t="s">
        <v>28</v>
      </c>
      <c r="U321" s="46" t="str">
        <f t="array" ref="U321">XLOOKUP($A321,'Recipients REF'!$A:$A,'Recipients REF'!K:K,"",0)</f>
        <v>R-SERIES 134 PH</v>
      </c>
      <c r="V321" s="44" t="s">
        <v>29</v>
      </c>
      <c r="W321" s="45" t="s">
        <v>30</v>
      </c>
      <c r="X321" s="47" t="str">
        <f t="array" ref="X321">XLOOKUP($A321,'Recipients REF'!$A:$A,'Recipients REF'!L:L,"",0)</f>
        <v>LSGW1750 RMP 24010134</v>
      </c>
      <c r="Y321" s="48" t="s">
        <v>29</v>
      </c>
      <c r="Z321" s="48" t="s">
        <v>31</v>
      </c>
      <c r="AA321" s="46" t="str">
        <f t="array" ref="AA321">XLOOKUP($A321,'Recipients REF'!$A:$A,'Recipients REF'!M:M,"",0)</f>
        <v>WDP40 RMP 24010122</v>
      </c>
      <c r="AB321" s="49"/>
      <c r="AC321" s="42"/>
      <c r="AD321" s="42"/>
      <c r="AE321" s="50"/>
      <c r="AF321" s="42"/>
      <c r="AG321" s="42"/>
      <c r="AH321" s="42"/>
      <c r="AI321" s="42" t="str">
        <f t="array" ref="AI321">XLOOKUP($E321,Sheet11!$D:$D,Sheet11!$X:$X,"",0)</f>
        <v/>
      </c>
      <c r="AJ321" s="42" t="str">
        <f t="array" ref="AJ321">XLOOKUP($E321,Sheet11!$D:$D,Sheet11!$Y:$Y,"",0)</f>
        <v/>
      </c>
    </row>
    <row r="322">
      <c r="A322" s="41">
        <v>273.0</v>
      </c>
      <c r="B322" s="42" t="s">
        <v>634</v>
      </c>
      <c r="C322" s="42" t="s">
        <v>635</v>
      </c>
      <c r="D322" s="42"/>
      <c r="E322" s="42" t="str">
        <f t="shared" ref="E322:F322" si="323">PROPER(B322)</f>
        <v>Barumbong Irrigators Association Inc.</v>
      </c>
      <c r="F322" s="42" t="str">
        <f t="shared" si="323"/>
        <v>Barumbong, Santo Tomas, Isabela</v>
      </c>
      <c r="G322" s="42" t="str">
        <f t="shared" si="3"/>
        <v>Barumbong</v>
      </c>
      <c r="H322" s="42" t="str">
        <f t="shared" si="4"/>
        <v>Santo Tomas</v>
      </c>
      <c r="I322" s="42" t="str">
        <f t="shared" si="5"/>
        <v>Isabela</v>
      </c>
      <c r="J322" s="42" t="str">
        <f t="array" ref="J322">XLOOKUP($E322,'Recipients REF'!$B:$B,'Recipients REF'!D:D,"",0)</f>
        <v>SONNY P. TALLION</v>
      </c>
      <c r="K322" s="42">
        <f t="array" ref="K322">XLOOKUP($E322,'Recipients REF'!$B:$B,'Recipients REF'!E:E,"",0)</f>
        <v>9758262334</v>
      </c>
      <c r="L322" s="43" t="str">
        <f t="array" ref="L322">XLOOKUP($A322,'Recipients REF'!$A:$A,'Recipients REF'!F:F,"",0)</f>
        <v>RCEF 23-09-21 Rebidding</v>
      </c>
      <c r="M322" s="43">
        <f t="array" ref="M322">XLOOKUP($A322,'Recipients REF'!$A:$A,'Recipients REF'!G:G,"",0)</f>
        <v>9</v>
      </c>
      <c r="N322" s="43">
        <f t="array" ref="N322">XLOOKUP($A322,'Recipients REF'!$A:$A,'Recipients REF'!H:H,"",0)</f>
        <v>18834</v>
      </c>
      <c r="O322" s="44" t="s">
        <v>25</v>
      </c>
      <c r="P322" s="45" t="s">
        <v>26</v>
      </c>
      <c r="Q322" s="46" t="str">
        <f t="array" ref="Q322">XLOOKUP($A322,'Recipients REF'!$A:$A,'Recipients REF'!I:I,"",0)</f>
        <v>kmc5825 ACRFPV0207</v>
      </c>
      <c r="R322" s="47" t="str">
        <f t="array" ref="R322">XLOOKUP($A322,'Recipients REF'!$A:$A,'Recipients REF'!J:J,"",0)</f>
        <v>RTS100055</v>
      </c>
      <c r="S322" s="45" t="s">
        <v>27</v>
      </c>
      <c r="T322" s="45" t="s">
        <v>28</v>
      </c>
      <c r="U322" s="46" t="str">
        <f t="array" ref="U322">XLOOKUP($A322,'Recipients REF'!$A:$A,'Recipients REF'!K:K,"",0)</f>
        <v>R-SERIES 159 PH</v>
      </c>
      <c r="V322" s="44" t="s">
        <v>29</v>
      </c>
      <c r="W322" s="45" t="s">
        <v>30</v>
      </c>
      <c r="X322" s="47" t="str">
        <f t="array" ref="X322">XLOOKUP($A322,'Recipients REF'!$A:$A,'Recipients REF'!L:L,"",0)</f>
        <v>LSGW1750 RMP 24010116</v>
      </c>
      <c r="Y322" s="48" t="s">
        <v>29</v>
      </c>
      <c r="Z322" s="48" t="s">
        <v>31</v>
      </c>
      <c r="AA322" s="46" t="str">
        <f t="array" ref="AA322">XLOOKUP($A322,'Recipients REF'!$A:$A,'Recipients REF'!M:M,"",0)</f>
        <v>WDP40 RMP 24010143</v>
      </c>
      <c r="AB322" s="49"/>
      <c r="AC322" s="42"/>
      <c r="AD322" s="42"/>
      <c r="AE322" s="50"/>
      <c r="AF322" s="42"/>
      <c r="AG322" s="42"/>
      <c r="AH322" s="42"/>
      <c r="AI322" s="42" t="str">
        <f t="array" ref="AI322">XLOOKUP($E322,Sheet11!$D:$D,Sheet11!$X:$X,"",0)</f>
        <v/>
      </c>
      <c r="AJ322" s="42" t="str">
        <f t="array" ref="AJ322">XLOOKUP($E322,Sheet11!$D:$D,Sheet11!$Y:$Y,"",0)</f>
        <v/>
      </c>
    </row>
    <row r="323">
      <c r="A323" s="41">
        <v>274.0</v>
      </c>
      <c r="B323" s="42" t="s">
        <v>636</v>
      </c>
      <c r="C323" s="42" t="s">
        <v>637</v>
      </c>
      <c r="D323" s="42"/>
      <c r="E323" s="42" t="str">
        <f t="shared" ref="E323:F323" si="324">PROPER(B323)</f>
        <v>Mallalatang Grande And Villador Farmers Association</v>
      </c>
      <c r="F323" s="42" t="str">
        <f t="shared" si="324"/>
        <v>Villador, Reina Mercedes, Isabela</v>
      </c>
      <c r="G323" s="42" t="str">
        <f t="shared" si="3"/>
        <v>Villador</v>
      </c>
      <c r="H323" s="42" t="str">
        <f t="shared" si="4"/>
        <v>Reina Mercedes</v>
      </c>
      <c r="I323" s="42" t="str">
        <f t="shared" si="5"/>
        <v>Isabela</v>
      </c>
      <c r="J323" s="42" t="str">
        <f t="array" ref="J323">XLOOKUP($E323,'Recipients REF'!$B:$B,'Recipients REF'!D:D,"",0)</f>
        <v>JONEL F. ACOB</v>
      </c>
      <c r="K323" s="42">
        <f t="array" ref="K323">XLOOKUP($E323,'Recipients REF'!$B:$B,'Recipients REF'!E:E,"",0)</f>
        <v>9654799576</v>
      </c>
      <c r="L323" s="43" t="str">
        <f t="array" ref="L323">XLOOKUP($A323,'Recipients REF'!$A:$A,'Recipients REF'!F:F,"",0)</f>
        <v>RCEF 23-09-21 Rebidding</v>
      </c>
      <c r="M323" s="43">
        <f t="array" ref="M323">XLOOKUP($A323,'Recipients REF'!$A:$A,'Recipients REF'!G:G,"",0)</f>
        <v>9</v>
      </c>
      <c r="N323" s="43">
        <f t="array" ref="N323">XLOOKUP($A323,'Recipients REF'!$A:$A,'Recipients REF'!H:H,"",0)</f>
        <v>18835</v>
      </c>
      <c r="O323" s="44" t="s">
        <v>25</v>
      </c>
      <c r="P323" s="45" t="s">
        <v>26</v>
      </c>
      <c r="Q323" s="46" t="str">
        <f t="array" ref="Q323">XLOOKUP($A323,'Recipients REF'!$A:$A,'Recipients REF'!I:I,"",0)</f>
        <v>KMC5825 ACRFPV0157</v>
      </c>
      <c r="R323" s="47" t="str">
        <f t="array" ref="R323">XLOOKUP($A323,'Recipients REF'!$A:$A,'Recipients REF'!J:J,"",0)</f>
        <v>RTS100077</v>
      </c>
      <c r="S323" s="45" t="s">
        <v>27</v>
      </c>
      <c r="T323" s="45" t="s">
        <v>28</v>
      </c>
      <c r="U323" s="46" t="str">
        <f t="array" ref="U323">XLOOKUP($A323,'Recipients REF'!$A:$A,'Recipients REF'!K:K,"",0)</f>
        <v>R-SERIES 131PH</v>
      </c>
      <c r="V323" s="44" t="s">
        <v>29</v>
      </c>
      <c r="W323" s="45" t="s">
        <v>30</v>
      </c>
      <c r="X323" s="47" t="str">
        <f t="array" ref="X323">XLOOKUP($A323,'Recipients REF'!$A:$A,'Recipients REF'!L:L,"",0)</f>
        <v>LSGW1750 RMP 24010132</v>
      </c>
      <c r="Y323" s="48" t="s">
        <v>29</v>
      </c>
      <c r="Z323" s="48" t="s">
        <v>31</v>
      </c>
      <c r="AA323" s="46" t="str">
        <f t="array" ref="AA323">XLOOKUP($A323,'Recipients REF'!$A:$A,'Recipients REF'!M:M,"",0)</f>
        <v>WDP40 RMP 24010130</v>
      </c>
      <c r="AB323" s="49"/>
      <c r="AC323" s="42"/>
      <c r="AD323" s="42"/>
      <c r="AE323" s="50"/>
      <c r="AF323" s="42"/>
      <c r="AG323" s="42"/>
      <c r="AH323" s="42"/>
      <c r="AI323" s="42" t="str">
        <f t="array" ref="AI323">XLOOKUP($E323,Sheet11!$D:$D,Sheet11!$X:$X,"",0)</f>
        <v/>
      </c>
      <c r="AJ323" s="42" t="str">
        <f t="array" ref="AJ323">XLOOKUP($E323,Sheet11!$D:$D,Sheet11!$Y:$Y,"",0)</f>
        <v/>
      </c>
    </row>
    <row r="324">
      <c r="A324" s="41">
        <v>275.0</v>
      </c>
      <c r="B324" s="42" t="s">
        <v>638</v>
      </c>
      <c r="C324" s="42" t="s">
        <v>639</v>
      </c>
      <c r="D324" s="42"/>
      <c r="E324" s="42" t="str">
        <f t="shared" ref="E324:F324" si="325">PROPER(B324)</f>
        <v>Sto Tomas Mmc Irrigators Association , Inc</v>
      </c>
      <c r="F324" s="42" t="str">
        <f t="shared" si="325"/>
        <v>Santo Tomas, Alicia, Isabela</v>
      </c>
      <c r="G324" s="42" t="str">
        <f t="shared" si="3"/>
        <v>Santo Tomas</v>
      </c>
      <c r="H324" s="42" t="str">
        <f t="shared" si="4"/>
        <v>Alicia</v>
      </c>
      <c r="I324" s="42" t="str">
        <f t="shared" si="5"/>
        <v>Isabela</v>
      </c>
      <c r="J324" s="42" t="str">
        <f t="array" ref="J324">XLOOKUP($E324,'Recipients REF'!$B:$B,'Recipients REF'!D:D,"",0)</f>
        <v>Arleen T. Fernandez</v>
      </c>
      <c r="K324" s="42">
        <f t="array" ref="K324">XLOOKUP($E324,'Recipients REF'!$B:$B,'Recipients REF'!E:E,"",0)</f>
        <v>9272907875</v>
      </c>
      <c r="L324" s="43" t="str">
        <f t="array" ref="L324">XLOOKUP($A324,'Recipients REF'!$A:$A,'Recipients REF'!F:F,"",0)</f>
        <v>RCEF 23-09-21 Rebidding</v>
      </c>
      <c r="M324" s="43">
        <f t="array" ref="M324">XLOOKUP($A324,'Recipients REF'!$A:$A,'Recipients REF'!G:G,"",0)</f>
        <v>9</v>
      </c>
      <c r="N324" s="43">
        <f t="array" ref="N324">XLOOKUP($A324,'Recipients REF'!$A:$A,'Recipients REF'!H:H,"",0)</f>
        <v>18836</v>
      </c>
      <c r="O324" s="44" t="s">
        <v>25</v>
      </c>
      <c r="P324" s="45" t="s">
        <v>26</v>
      </c>
      <c r="Q324" s="46" t="str">
        <f t="array" ref="Q324">XLOOKUP($A324,'Recipients REF'!$A:$A,'Recipients REF'!I:I,"",0)</f>
        <v>KMC5825 ACRFPV0224</v>
      </c>
      <c r="R324" s="47" t="str">
        <f t="array" ref="R324">XLOOKUP($A324,'Recipients REF'!$A:$A,'Recipients REF'!J:J,"",0)</f>
        <v>RTS100118</v>
      </c>
      <c r="S324" s="45" t="s">
        <v>27</v>
      </c>
      <c r="T324" s="45" t="s">
        <v>28</v>
      </c>
      <c r="U324" s="46" t="str">
        <f t="array" ref="U324">XLOOKUP($A324,'Recipients REF'!$A:$A,'Recipients REF'!K:K,"",0)</f>
        <v>R-SERIES 244PH</v>
      </c>
      <c r="V324" s="44" t="s">
        <v>29</v>
      </c>
      <c r="W324" s="45" t="s">
        <v>30</v>
      </c>
      <c r="X324" s="47" t="str">
        <f t="array" ref="X324">XLOOKUP($A324,'Recipients REF'!$A:$A,'Recipients REF'!L:L,"",0)</f>
        <v>LSGW1750 RMP 24010135</v>
      </c>
      <c r="Y324" s="48" t="s">
        <v>29</v>
      </c>
      <c r="Z324" s="48" t="s">
        <v>31</v>
      </c>
      <c r="AA324" s="46" t="str">
        <f t="array" ref="AA324">XLOOKUP($A324,'Recipients REF'!$A:$A,'Recipients REF'!M:M,"",0)</f>
        <v>WDP40 RMP 24020211</v>
      </c>
      <c r="AB324" s="49"/>
      <c r="AC324" s="42"/>
      <c r="AD324" s="42"/>
      <c r="AE324" s="50"/>
      <c r="AF324" s="42"/>
      <c r="AG324" s="42"/>
      <c r="AH324" s="42"/>
      <c r="AI324" s="42">
        <f t="array" ref="AI324">XLOOKUP($E324,Sheet11!$D:$D,Sheet11!$X:$X,"",0)</f>
        <v>869066060246544</v>
      </c>
      <c r="AJ324" s="42">
        <f t="array" ref="AJ324">XLOOKUP($E324,Sheet11!$D:$D,Sheet11!$Y:$Y,"",0)</f>
        <v>9624426403</v>
      </c>
    </row>
    <row r="325">
      <c r="A325" s="41">
        <v>276.0</v>
      </c>
      <c r="B325" s="42" t="s">
        <v>640</v>
      </c>
      <c r="C325" s="42" t="s">
        <v>641</v>
      </c>
      <c r="D325" s="42"/>
      <c r="E325" s="42" t="str">
        <f t="shared" ref="E325:F325" si="326">PROPER(B325)</f>
        <v>Sta. Isabel Farmers Association</v>
      </c>
      <c r="F325" s="42" t="str">
        <f t="shared" si="326"/>
        <v>Santa Isabel, Jones, Isabela</v>
      </c>
      <c r="G325" s="42" t="str">
        <f t="shared" si="3"/>
        <v>Santa Isabel</v>
      </c>
      <c r="H325" s="42" t="str">
        <f t="shared" si="4"/>
        <v>Jones</v>
      </c>
      <c r="I325" s="42" t="str">
        <f t="shared" si="5"/>
        <v>Isabela</v>
      </c>
      <c r="J325" s="42" t="str">
        <f t="array" ref="J325">XLOOKUP($E325,'Recipients REF'!$B:$B,'Recipients REF'!D:D,"",0)</f>
        <v>Wilbert C. Villanueva</v>
      </c>
      <c r="K325" s="42">
        <f t="array" ref="K325">XLOOKUP($E325,'Recipients REF'!$B:$B,'Recipients REF'!E:E,"",0)</f>
        <v>9976617996</v>
      </c>
      <c r="L325" s="43" t="str">
        <f t="array" ref="L325">XLOOKUP($A325,'Recipients REF'!$A:$A,'Recipients REF'!F:F,"",0)</f>
        <v>RCEF 23-09-21 Rebidding</v>
      </c>
      <c r="M325" s="43">
        <f t="array" ref="M325">XLOOKUP($A325,'Recipients REF'!$A:$A,'Recipients REF'!G:G,"",0)</f>
        <v>9</v>
      </c>
      <c r="N325" s="43">
        <f t="array" ref="N325">XLOOKUP($A325,'Recipients REF'!$A:$A,'Recipients REF'!H:H,"",0)</f>
        <v>18837</v>
      </c>
      <c r="O325" s="44" t="s">
        <v>25</v>
      </c>
      <c r="P325" s="45" t="s">
        <v>26</v>
      </c>
      <c r="Q325" s="46" t="str">
        <f t="array" ref="Q325">XLOOKUP($A325,'Recipients REF'!$A:$A,'Recipients REF'!I:I,"",0)</f>
        <v>KMC5825 AVRFPV0202</v>
      </c>
      <c r="R325" s="47" t="str">
        <f t="array" ref="R325">XLOOKUP($A325,'Recipients REF'!$A:$A,'Recipients REF'!J:J,"",0)</f>
        <v>RTS100070</v>
      </c>
      <c r="S325" s="45" t="s">
        <v>27</v>
      </c>
      <c r="T325" s="45" t="s">
        <v>28</v>
      </c>
      <c r="U325" s="46" t="str">
        <f t="array" ref="U325">XLOOKUP($A325,'Recipients REF'!$A:$A,'Recipients REF'!K:K,"",0)</f>
        <v>R-SERIES 271 PH</v>
      </c>
      <c r="V325" s="44" t="s">
        <v>29</v>
      </c>
      <c r="W325" s="45" t="s">
        <v>30</v>
      </c>
      <c r="X325" s="47" t="str">
        <f t="array" ref="X325">XLOOKUP($A325,'Recipients REF'!$A:$A,'Recipients REF'!L:L,"",0)</f>
        <v>LSGW1750 RMP 24010115</v>
      </c>
      <c r="Y325" s="48" t="s">
        <v>29</v>
      </c>
      <c r="Z325" s="48" t="s">
        <v>31</v>
      </c>
      <c r="AA325" s="46" t="str">
        <f t="array" ref="AA325">XLOOKUP($A325,'Recipients REF'!$A:$A,'Recipients REF'!M:M,"",0)</f>
        <v>WDP40 RMP 24010139</v>
      </c>
      <c r="AB325" s="49"/>
      <c r="AC325" s="42"/>
      <c r="AD325" s="42"/>
      <c r="AE325" s="50"/>
      <c r="AF325" s="42"/>
      <c r="AG325" s="42"/>
      <c r="AH325" s="42"/>
      <c r="AI325" s="42">
        <f t="array" ref="AI325">XLOOKUP($E325,Sheet11!$D:$D,Sheet11!$X:$X,"",0)</f>
        <v>869066060246395</v>
      </c>
      <c r="AJ325" s="42">
        <f t="array" ref="AJ325">XLOOKUP($E325,Sheet11!$D:$D,Sheet11!$Y:$Y,"",0)</f>
        <v>9624245397</v>
      </c>
    </row>
    <row r="326">
      <c r="A326" s="41">
        <v>277.0</v>
      </c>
      <c r="B326" s="42" t="s">
        <v>642</v>
      </c>
      <c r="C326" s="42" t="s">
        <v>643</v>
      </c>
      <c r="D326" s="42"/>
      <c r="E326" s="42" t="str">
        <f t="shared" ref="E326:F326" si="327">PROPER(B326)</f>
        <v>Salay Farmers Association (Sfa)</v>
      </c>
      <c r="F326" s="42" t="str">
        <f t="shared" si="327"/>
        <v>Salay, San Agustin, Isabela</v>
      </c>
      <c r="G326" s="42" t="str">
        <f t="shared" si="3"/>
        <v>Salay</v>
      </c>
      <c r="H326" s="42" t="str">
        <f t="shared" si="4"/>
        <v>San Agustin</v>
      </c>
      <c r="I326" s="42" t="str">
        <f t="shared" si="5"/>
        <v>Isabela</v>
      </c>
      <c r="J326" s="42" t="str">
        <f t="array" ref="J326">XLOOKUP($E326,'Recipients REF'!$B:$B,'Recipients REF'!D:D,"",0)</f>
        <v>Saturnino P. Daquioag</v>
      </c>
      <c r="K326" s="42" t="str">
        <f t="array" ref="K326">XLOOKUP($E326,'Recipients REF'!$B:$B,'Recipients REF'!E:E,"",0)</f>
        <v>09654799576/ 0926-5183287 (MA)</v>
      </c>
      <c r="L326" s="43" t="str">
        <f t="array" ref="L326">XLOOKUP($A326,'Recipients REF'!$A:$A,'Recipients REF'!F:F,"",0)</f>
        <v>RCEF 23-09-21 Rebidding</v>
      </c>
      <c r="M326" s="43">
        <f t="array" ref="M326">XLOOKUP($A326,'Recipients REF'!$A:$A,'Recipients REF'!G:G,"",0)</f>
        <v>9</v>
      </c>
      <c r="N326" s="43">
        <f t="array" ref="N326">XLOOKUP($A326,'Recipients REF'!$A:$A,'Recipients REF'!H:H,"",0)</f>
        <v>18838</v>
      </c>
      <c r="O326" s="44" t="s">
        <v>25</v>
      </c>
      <c r="P326" s="45" t="s">
        <v>26</v>
      </c>
      <c r="Q326" s="46" t="str">
        <f t="array" ref="Q326">XLOOKUP($A326,'Recipients REF'!$A:$A,'Recipients REF'!I:I,"",0)</f>
        <v>KMC5825 ACRFPV0286</v>
      </c>
      <c r="R326" s="47" t="str">
        <f t="array" ref="R326">XLOOKUP($A326,'Recipients REF'!$A:$A,'Recipients REF'!J:J,"",0)</f>
        <v>RTS100023</v>
      </c>
      <c r="S326" s="45" t="s">
        <v>27</v>
      </c>
      <c r="T326" s="45" t="s">
        <v>28</v>
      </c>
      <c r="U326" s="46" t="str">
        <f t="array" ref="U326">XLOOKUP($A326,'Recipients REF'!$A:$A,'Recipients REF'!K:K,"",0)</f>
        <v>R-SERIES 278 PH</v>
      </c>
      <c r="V326" s="44" t="s">
        <v>29</v>
      </c>
      <c r="W326" s="45" t="s">
        <v>30</v>
      </c>
      <c r="X326" s="47" t="str">
        <f t="array" ref="X326">XLOOKUP($A326,'Recipients REF'!$A:$A,'Recipients REF'!L:L,"",0)</f>
        <v>LSGW1750 RMP 24010100</v>
      </c>
      <c r="Y326" s="48" t="s">
        <v>29</v>
      </c>
      <c r="Z326" s="48" t="s">
        <v>31</v>
      </c>
      <c r="AA326" s="46" t="str">
        <f t="array" ref="AA326">XLOOKUP($A326,'Recipients REF'!$A:$A,'Recipients REF'!M:M,"",0)</f>
        <v>WDP40 RMP 24010138</v>
      </c>
      <c r="AB326" s="49"/>
      <c r="AC326" s="42"/>
      <c r="AD326" s="42"/>
      <c r="AE326" s="50"/>
      <c r="AF326" s="42"/>
      <c r="AG326" s="42"/>
      <c r="AH326" s="42"/>
      <c r="AI326" s="42" t="str">
        <f t="array" ref="AI326">XLOOKUP($E326,Sheet11!$D:$D,Sheet11!$X:$X,"",0)</f>
        <v/>
      </c>
      <c r="AJ326" s="42" t="str">
        <f t="array" ref="AJ326">XLOOKUP($E326,Sheet11!$D:$D,Sheet11!$Y:$Y,"",0)</f>
        <v/>
      </c>
    </row>
    <row r="327">
      <c r="A327" s="41">
        <v>278.0</v>
      </c>
      <c r="B327" s="42" t="s">
        <v>644</v>
      </c>
      <c r="C327" s="42" t="s">
        <v>645</v>
      </c>
      <c r="D327" s="42"/>
      <c r="E327" s="42" t="str">
        <f t="shared" ref="E327:F327" si="328">PROPER(B327)</f>
        <v>Kalaukan Irrigators Association, Inc.</v>
      </c>
      <c r="F327" s="42" t="str">
        <f t="shared" si="328"/>
        <v>Cullalabo San Antonio, Burgos, Isabela</v>
      </c>
      <c r="G327" s="42" t="str">
        <f t="shared" si="3"/>
        <v>Cullalabo San Antonio</v>
      </c>
      <c r="H327" s="42" t="str">
        <f t="shared" si="4"/>
        <v>Burgos</v>
      </c>
      <c r="I327" s="42" t="str">
        <f t="shared" si="5"/>
        <v>Isabela</v>
      </c>
      <c r="J327" s="42" t="str">
        <f t="array" ref="J327">XLOOKUP($E327,'Recipients REF'!$B:$B,'Recipients REF'!D:D,"",0)</f>
        <v>EDUARDO R. MARTINEZ</v>
      </c>
      <c r="K327" s="42">
        <f t="array" ref="K327">XLOOKUP($E327,'Recipients REF'!$B:$B,'Recipients REF'!E:E,"",0)</f>
        <v>9059376961</v>
      </c>
      <c r="L327" s="43" t="str">
        <f t="array" ref="L327">XLOOKUP($A327,'Recipients REF'!$A:$A,'Recipients REF'!F:F,"",0)</f>
        <v>RCEF 23-09-21 Rebidding</v>
      </c>
      <c r="M327" s="43">
        <f t="array" ref="M327">XLOOKUP($A327,'Recipients REF'!$A:$A,'Recipients REF'!G:G,"",0)</f>
        <v>9</v>
      </c>
      <c r="N327" s="43">
        <f t="array" ref="N327">XLOOKUP($A327,'Recipients REF'!$A:$A,'Recipients REF'!H:H,"",0)</f>
        <v>18839</v>
      </c>
      <c r="O327" s="44" t="s">
        <v>25</v>
      </c>
      <c r="P327" s="45" t="s">
        <v>26</v>
      </c>
      <c r="Q327" s="46" t="str">
        <f t="array" ref="Q327">XLOOKUP($A327,'Recipients REF'!$A:$A,'Recipients REF'!I:I,"",0)</f>
        <v>KMC5825 AJRFPV0259</v>
      </c>
      <c r="R327" s="47" t="str">
        <f t="array" ref="R327">XLOOKUP($A327,'Recipients REF'!$A:$A,'Recipients REF'!J:J,"",0)</f>
        <v>RTS100151</v>
      </c>
      <c r="S327" s="45" t="s">
        <v>27</v>
      </c>
      <c r="T327" s="45" t="s">
        <v>28</v>
      </c>
      <c r="U327" s="46" t="str">
        <f t="array" ref="U327">XLOOKUP($A327,'Recipients REF'!$A:$A,'Recipients REF'!K:K,"",0)</f>
        <v>R-SERIES 281 PH</v>
      </c>
      <c r="V327" s="44" t="s">
        <v>29</v>
      </c>
      <c r="W327" s="45" t="s">
        <v>30</v>
      </c>
      <c r="X327" s="47" t="str">
        <f t="array" ref="X327">XLOOKUP($A327,'Recipients REF'!$A:$A,'Recipients REF'!L:L,"",0)</f>
        <v>LSGW1750 RMP 24010117</v>
      </c>
      <c r="Y327" s="48" t="s">
        <v>29</v>
      </c>
      <c r="Z327" s="48" t="s">
        <v>31</v>
      </c>
      <c r="AA327" s="46" t="str">
        <f t="array" ref="AA327">XLOOKUP($A327,'Recipients REF'!$A:$A,'Recipients REF'!M:M,"",0)</f>
        <v>WDP40 RMP 24010137</v>
      </c>
      <c r="AB327" s="49"/>
      <c r="AC327" s="42"/>
      <c r="AD327" s="42"/>
      <c r="AE327" s="50"/>
      <c r="AF327" s="42"/>
      <c r="AG327" s="42"/>
      <c r="AH327" s="42"/>
      <c r="AI327" s="42">
        <f t="array" ref="AI327">XLOOKUP($E327,Sheet11!$D:$D,Sheet11!$X:$X,"",0)</f>
        <v>869066060240059</v>
      </c>
      <c r="AJ327" s="42">
        <f t="array" ref="AJ327">XLOOKUP($E327,Sheet11!$D:$D,Sheet11!$Y:$Y,"",0)</f>
        <v>9624244943</v>
      </c>
    </row>
    <row r="328">
      <c r="A328" s="41">
        <v>279.0</v>
      </c>
      <c r="B328" s="42" t="s">
        <v>646</v>
      </c>
      <c r="C328" s="42" t="s">
        <v>647</v>
      </c>
      <c r="D328" s="42"/>
      <c r="E328" s="42" t="str">
        <f t="shared" ref="E328:F328" si="329">PROPER(B328)</f>
        <v>Ortiz Buma-A Irrigators Association, Inc.</v>
      </c>
      <c r="F328" s="42" t="str">
        <f t="shared" si="329"/>
        <v>Samonte (Pob.), Quezon, Isabela</v>
      </c>
      <c r="G328" s="42" t="str">
        <f t="shared" si="3"/>
        <v>Samonte (Pob.)</v>
      </c>
      <c r="H328" s="42" t="str">
        <f t="shared" si="4"/>
        <v>Quezon</v>
      </c>
      <c r="I328" s="42" t="str">
        <f t="shared" si="5"/>
        <v>Isabela</v>
      </c>
      <c r="J328" s="42" t="str">
        <f t="array" ref="J328">XLOOKUP($E328,'Recipients REF'!$B:$B,'Recipients REF'!D:D,"",0)</f>
        <v>Andres A. Madarang</v>
      </c>
      <c r="K328" s="42">
        <f t="array" ref="K328">XLOOKUP($E328,'Recipients REF'!$B:$B,'Recipients REF'!E:E,"",0)</f>
        <v>9756593894</v>
      </c>
      <c r="L328" s="43" t="str">
        <f t="array" ref="L328">XLOOKUP($A328,'Recipients REF'!$A:$A,'Recipients REF'!F:F,"",0)</f>
        <v>RCEF 23-09-21 Rebidding</v>
      </c>
      <c r="M328" s="43">
        <f t="array" ref="M328">XLOOKUP($A328,'Recipients REF'!$A:$A,'Recipients REF'!G:G,"",0)</f>
        <v>9</v>
      </c>
      <c r="N328" s="43">
        <f t="array" ref="N328">XLOOKUP($A328,'Recipients REF'!$A:$A,'Recipients REF'!H:H,"",0)</f>
        <v>18840</v>
      </c>
      <c r="O328" s="44" t="s">
        <v>25</v>
      </c>
      <c r="P328" s="45" t="s">
        <v>26</v>
      </c>
      <c r="Q328" s="46" t="str">
        <f t="array" ref="Q328">XLOOKUP($A328,'Recipients REF'!$A:$A,'Recipients REF'!I:I,"",0)</f>
        <v>KMC5825 AJRFPV0293</v>
      </c>
      <c r="R328" s="47" t="str">
        <f t="array" ref="R328">XLOOKUP($A328,'Recipients REF'!$A:$A,'Recipients REF'!J:J,"",0)</f>
        <v>RTS100026</v>
      </c>
      <c r="S328" s="45" t="s">
        <v>27</v>
      </c>
      <c r="T328" s="45" t="s">
        <v>28</v>
      </c>
      <c r="U328" s="46" t="str">
        <f t="array" ref="U328">XLOOKUP($A328,'Recipients REF'!$A:$A,'Recipients REF'!K:K,"",0)</f>
        <v>R-SERIES 172 PH</v>
      </c>
      <c r="V328" s="44" t="s">
        <v>29</v>
      </c>
      <c r="W328" s="45" t="s">
        <v>30</v>
      </c>
      <c r="X328" s="47" t="str">
        <f t="array" ref="X328">XLOOKUP($A328,'Recipients REF'!$A:$A,'Recipients REF'!L:L,"",0)</f>
        <v>LSGW1750 RMP 24010093</v>
      </c>
      <c r="Y328" s="48" t="s">
        <v>29</v>
      </c>
      <c r="Z328" s="48" t="s">
        <v>31</v>
      </c>
      <c r="AA328" s="46" t="str">
        <f t="array" ref="AA328">XLOOKUP($A328,'Recipients REF'!$A:$A,'Recipients REF'!M:M,"",0)</f>
        <v>WDP40 RMP 24020183</v>
      </c>
      <c r="AB328" s="49"/>
      <c r="AC328" s="42"/>
      <c r="AD328" s="42"/>
      <c r="AE328" s="50"/>
      <c r="AF328" s="42"/>
      <c r="AG328" s="42"/>
      <c r="AH328" s="42"/>
      <c r="AI328" s="42">
        <f t="array" ref="AI328">XLOOKUP($E328,Sheet11!$D:$D,Sheet11!$X:$X,"",0)</f>
        <v>869066060237519</v>
      </c>
      <c r="AJ328" s="42">
        <f t="array" ref="AJ328">XLOOKUP($E328,Sheet11!$D:$D,Sheet11!$Y:$Y,"",0)</f>
        <v>9624426839</v>
      </c>
    </row>
    <row r="329">
      <c r="A329" s="41">
        <v>280.0</v>
      </c>
      <c r="B329" s="42" t="s">
        <v>648</v>
      </c>
      <c r="C329" s="42" t="s">
        <v>649</v>
      </c>
      <c r="D329" s="42"/>
      <c r="E329" s="42" t="str">
        <f t="shared" ref="E329:F329" si="330">PROPER(B329)</f>
        <v>Cariz Irrigators Association, Inc.</v>
      </c>
      <c r="F329" s="42" t="str">
        <f t="shared" si="330"/>
        <v>Camaal, Quirino, Isabela</v>
      </c>
      <c r="G329" s="42" t="str">
        <f t="shared" si="3"/>
        <v>Camaal</v>
      </c>
      <c r="H329" s="42" t="str">
        <f t="shared" si="4"/>
        <v>Quirino</v>
      </c>
      <c r="I329" s="42" t="str">
        <f t="shared" si="5"/>
        <v>Isabela</v>
      </c>
      <c r="J329" s="42" t="str">
        <f t="array" ref="J329">XLOOKUP($E329,'Recipients REF'!$B:$B,'Recipients REF'!D:D,"",0)</f>
        <v>Ray S. Diampoc</v>
      </c>
      <c r="K329" s="42">
        <f t="array" ref="K329">XLOOKUP($E329,'Recipients REF'!$B:$B,'Recipients REF'!E:E,"",0)</f>
        <v>9676227404</v>
      </c>
      <c r="L329" s="43" t="str">
        <f t="array" ref="L329">XLOOKUP($A329,'Recipients REF'!$A:$A,'Recipients REF'!F:F,"",0)</f>
        <v>RCEF 23-09-21 Rebidding</v>
      </c>
      <c r="M329" s="43">
        <f t="array" ref="M329">XLOOKUP($A329,'Recipients REF'!$A:$A,'Recipients REF'!G:G,"",0)</f>
        <v>9</v>
      </c>
      <c r="N329" s="43">
        <f t="array" ref="N329">XLOOKUP($A329,'Recipients REF'!$A:$A,'Recipients REF'!H:H,"",0)</f>
        <v>18841</v>
      </c>
      <c r="O329" s="44" t="s">
        <v>25</v>
      </c>
      <c r="P329" s="45" t="s">
        <v>26</v>
      </c>
      <c r="Q329" s="46" t="str">
        <f t="array" ref="Q329">XLOOKUP($A329,'Recipients REF'!$A:$A,'Recipients REF'!I:I,"",0)</f>
        <v>KMC5825 ATRFPV0189</v>
      </c>
      <c r="R329" s="47" t="str">
        <f t="array" ref="R329">XLOOKUP($A329,'Recipients REF'!$A:$A,'Recipients REF'!J:J,"",0)</f>
        <v>RTS100082</v>
      </c>
      <c r="S329" s="45" t="s">
        <v>27</v>
      </c>
      <c r="T329" s="45" t="s">
        <v>28</v>
      </c>
      <c r="U329" s="46" t="str">
        <f t="array" ref="U329">XLOOKUP($A329,'Recipients REF'!$A:$A,'Recipients REF'!K:K,"",0)</f>
        <v>R-SERIES 290 PH</v>
      </c>
      <c r="V329" s="44" t="s">
        <v>29</v>
      </c>
      <c r="W329" s="45" t="s">
        <v>30</v>
      </c>
      <c r="X329" s="47" t="str">
        <f t="array" ref="X329">XLOOKUP($A329,'Recipients REF'!$A:$A,'Recipients REF'!L:L,"",0)</f>
        <v>LSGW1750 RMP 24010091</v>
      </c>
      <c r="Y329" s="48" t="s">
        <v>29</v>
      </c>
      <c r="Z329" s="48" t="s">
        <v>31</v>
      </c>
      <c r="AA329" s="46" t="str">
        <f t="array" ref="AA329">XLOOKUP($A329,'Recipients REF'!$A:$A,'Recipients REF'!M:M,"",0)</f>
        <v>WDP40 RMP 24020198</v>
      </c>
      <c r="AB329" s="49"/>
      <c r="AC329" s="42"/>
      <c r="AD329" s="42"/>
      <c r="AE329" s="50"/>
      <c r="AF329" s="42"/>
      <c r="AG329" s="42"/>
      <c r="AH329" s="42"/>
      <c r="AI329" s="42">
        <f t="array" ref="AI329">XLOOKUP($E329,Sheet11!$D:$D,Sheet11!$X:$X,"",0)</f>
        <v>869066060237899</v>
      </c>
      <c r="AJ329" s="42">
        <f t="array" ref="AJ329">XLOOKUP($E329,Sheet11!$D:$D,Sheet11!$Y:$Y,"",0)</f>
        <v>9624244940</v>
      </c>
    </row>
    <row r="330">
      <c r="A330" s="41">
        <v>281.0</v>
      </c>
      <c r="B330" s="42" t="s">
        <v>650</v>
      </c>
      <c r="C330" s="42" t="s">
        <v>651</v>
      </c>
      <c r="D330" s="42"/>
      <c r="E330" s="42" t="str">
        <f t="shared" ref="E330:F330" si="331">PROPER(B330)</f>
        <v>D4-Saguday Irrigators Association, Inc.</v>
      </c>
      <c r="F330" s="42" t="str">
        <f t="shared" si="331"/>
        <v>Pinoma, Cauayan City, Isabela</v>
      </c>
      <c r="G330" s="42" t="str">
        <f t="shared" si="3"/>
        <v>Pinoma</v>
      </c>
      <c r="H330" s="42" t="str">
        <f t="shared" si="4"/>
        <v>Cauayan City</v>
      </c>
      <c r="I330" s="42" t="str">
        <f t="shared" si="5"/>
        <v>Isabela</v>
      </c>
      <c r="J330" s="42" t="str">
        <f t="array" ref="J330">XLOOKUP($E330,'Recipients REF'!$B:$B,'Recipients REF'!D:D,"",0)</f>
        <v>Isaias G. Cargo</v>
      </c>
      <c r="K330" s="42">
        <f t="array" ref="K330">XLOOKUP($E330,'Recipients REF'!$B:$B,'Recipients REF'!E:E,"",0)</f>
        <v>9278896046</v>
      </c>
      <c r="L330" s="43" t="str">
        <f t="array" ref="L330">XLOOKUP($A330,'Recipients REF'!$A:$A,'Recipients REF'!F:F,"",0)</f>
        <v>RCEF 23-09-21 Rebidding</v>
      </c>
      <c r="M330" s="43">
        <f t="array" ref="M330">XLOOKUP($A330,'Recipients REF'!$A:$A,'Recipients REF'!G:G,"",0)</f>
        <v>9</v>
      </c>
      <c r="N330" s="43">
        <f t="array" ref="N330">XLOOKUP($A330,'Recipients REF'!$A:$A,'Recipients REF'!H:H,"",0)</f>
        <v>18842</v>
      </c>
      <c r="O330" s="44" t="s">
        <v>25</v>
      </c>
      <c r="P330" s="45" t="s">
        <v>26</v>
      </c>
      <c r="Q330" s="46" t="str">
        <f t="array" ref="Q330">XLOOKUP($A330,'Recipients REF'!$A:$A,'Recipients REF'!I:I,"",0)</f>
        <v>KMC5825 AERFPV0206</v>
      </c>
      <c r="R330" s="47" t="str">
        <f t="array" ref="R330">XLOOKUP($A330,'Recipients REF'!$A:$A,'Recipients REF'!J:J,"",0)</f>
        <v>RTS100136</v>
      </c>
      <c r="S330" s="45" t="s">
        <v>27</v>
      </c>
      <c r="T330" s="45" t="s">
        <v>28</v>
      </c>
      <c r="U330" s="46" t="str">
        <f t="array" ref="U330">XLOOKUP($A330,'Recipients REF'!$A:$A,'Recipients REF'!K:K,"",0)</f>
        <v>R-SERIES 168 PH</v>
      </c>
      <c r="V330" s="44" t="s">
        <v>29</v>
      </c>
      <c r="W330" s="45" t="s">
        <v>30</v>
      </c>
      <c r="X330" s="47" t="str">
        <f t="array" ref="X330">XLOOKUP($A330,'Recipients REF'!$A:$A,'Recipients REF'!L:L,"",0)</f>
        <v>LSGW1750 RMP 24010118</v>
      </c>
      <c r="Y330" s="48" t="s">
        <v>29</v>
      </c>
      <c r="Z330" s="48" t="s">
        <v>31</v>
      </c>
      <c r="AA330" s="46" t="str">
        <f t="array" ref="AA330">XLOOKUP($A330,'Recipients REF'!$A:$A,'Recipients REF'!M:M,"",0)</f>
        <v>WDP40 RMP 24020213</v>
      </c>
      <c r="AB330" s="49"/>
      <c r="AC330" s="42"/>
      <c r="AD330" s="42"/>
      <c r="AE330" s="50"/>
      <c r="AF330" s="42"/>
      <c r="AG330" s="42"/>
      <c r="AH330" s="42"/>
      <c r="AI330" s="42">
        <f t="array" ref="AI330">XLOOKUP($E330,Sheet11!$D:$D,Sheet11!$X:$X,"",0)</f>
        <v>869066060246486</v>
      </c>
      <c r="AJ330" s="42">
        <f t="array" ref="AJ330">XLOOKUP($E330,Sheet11!$D:$D,Sheet11!$Y:$Y,"",0)</f>
        <v>9624244955</v>
      </c>
    </row>
    <row r="331">
      <c r="A331" s="41">
        <v>282.0</v>
      </c>
      <c r="B331" s="42" t="s">
        <v>652</v>
      </c>
      <c r="C331" s="42" t="s">
        <v>653</v>
      </c>
      <c r="D331" s="42"/>
      <c r="E331" s="42" t="str">
        <f t="shared" ref="E331:F331" si="332">PROPER(B331)</f>
        <v>Sadiri Irrigators Association, Inc.</v>
      </c>
      <c r="F331" s="42" t="str">
        <f t="shared" si="332"/>
        <v>Santa Monica, Echague, Isabela</v>
      </c>
      <c r="G331" s="42" t="str">
        <f t="shared" si="3"/>
        <v>Santa Monica</v>
      </c>
      <c r="H331" s="42" t="str">
        <f t="shared" si="4"/>
        <v>Echague</v>
      </c>
      <c r="I331" s="42" t="str">
        <f t="shared" si="5"/>
        <v>Isabela</v>
      </c>
      <c r="J331" s="42" t="str">
        <f t="array" ref="J331">XLOOKUP($E331,'Recipients REF'!$B:$B,'Recipients REF'!D:D,"",0)</f>
        <v>Junar M. Lagmay</v>
      </c>
      <c r="K331" s="42" t="str">
        <f t="array" ref="K331">XLOOKUP($E331,'Recipients REF'!$B:$B,'Recipients REF'!E:E,"",0)</f>
        <v>0949-370-8604</v>
      </c>
      <c r="L331" s="43" t="str">
        <f t="array" ref="L331">XLOOKUP($A331,'Recipients REF'!$A:$A,'Recipients REF'!F:F,"",0)</f>
        <v>RCEF 23-09-21 Rebidding</v>
      </c>
      <c r="M331" s="43">
        <f t="array" ref="M331">XLOOKUP($A331,'Recipients REF'!$A:$A,'Recipients REF'!G:G,"",0)</f>
        <v>9</v>
      </c>
      <c r="N331" s="43">
        <f t="array" ref="N331">XLOOKUP($A331,'Recipients REF'!$A:$A,'Recipients REF'!H:H,"",0)</f>
        <v>18843</v>
      </c>
      <c r="O331" s="44" t="s">
        <v>25</v>
      </c>
      <c r="P331" s="45" t="s">
        <v>26</v>
      </c>
      <c r="Q331" s="46" t="str">
        <f t="array" ref="Q331">XLOOKUP($A331,'Recipients REF'!$A:$A,'Recipients REF'!I:I,"",0)</f>
        <v>KMC5825 AKRFPV0292</v>
      </c>
      <c r="R331" s="47" t="str">
        <f t="array" ref="R331">XLOOKUP($A331,'Recipients REF'!$A:$A,'Recipients REF'!J:J,"",0)</f>
        <v>RTS100011</v>
      </c>
      <c r="S331" s="45" t="s">
        <v>27</v>
      </c>
      <c r="T331" s="45" t="s">
        <v>28</v>
      </c>
      <c r="U331" s="46" t="str">
        <f t="array" ref="U331">XLOOKUP($A331,'Recipients REF'!$A:$A,'Recipients REF'!K:K,"",0)</f>
        <v>R-SERIES 291 PH</v>
      </c>
      <c r="V331" s="44" t="s">
        <v>29</v>
      </c>
      <c r="W331" s="45" t="s">
        <v>30</v>
      </c>
      <c r="X331" s="47" t="str">
        <f t="array" ref="X331">XLOOKUP($A331,'Recipients REF'!$A:$A,'Recipients REF'!L:L,"",0)</f>
        <v>LSGW1750 RMP 24010060</v>
      </c>
      <c r="Y331" s="48" t="s">
        <v>29</v>
      </c>
      <c r="Z331" s="48" t="s">
        <v>31</v>
      </c>
      <c r="AA331" s="46" t="str">
        <f t="array" ref="AA331">XLOOKUP($A331,'Recipients REF'!$A:$A,'Recipients REF'!M:M,"",0)</f>
        <v>WDP40 RMP 24020184</v>
      </c>
      <c r="AB331" s="49"/>
      <c r="AC331" s="42"/>
      <c r="AD331" s="42"/>
      <c r="AE331" s="50"/>
      <c r="AF331" s="42"/>
      <c r="AG331" s="42"/>
      <c r="AH331" s="42"/>
      <c r="AI331" s="42" t="str">
        <f t="array" ref="AI331">XLOOKUP($E331,Sheet11!$D:$D,Sheet11!$X:$X,"",0)</f>
        <v/>
      </c>
      <c r="AJ331" s="42" t="str">
        <f t="array" ref="AJ331">XLOOKUP($E331,Sheet11!$D:$D,Sheet11!$Y:$Y,"",0)</f>
        <v/>
      </c>
    </row>
    <row r="332">
      <c r="A332" s="41">
        <v>283.0</v>
      </c>
      <c r="B332" s="42" t="s">
        <v>654</v>
      </c>
      <c r="C332" s="42" t="s">
        <v>655</v>
      </c>
      <c r="D332" s="42"/>
      <c r="E332" s="42" t="str">
        <f t="shared" ref="E332:F332" si="333">PROPER(B332)</f>
        <v>Calanigan Sur Farmers Association</v>
      </c>
      <c r="F332" s="42" t="str">
        <f t="shared" si="333"/>
        <v>Calanigan Sur, Santo Tomas, Isabela</v>
      </c>
      <c r="G332" s="42" t="str">
        <f t="shared" si="3"/>
        <v>Calanigan Sur</v>
      </c>
      <c r="H332" s="42" t="str">
        <f t="shared" si="4"/>
        <v>Santo Tomas</v>
      </c>
      <c r="I332" s="42" t="str">
        <f t="shared" si="5"/>
        <v>Isabela</v>
      </c>
      <c r="J332" s="42" t="str">
        <f t="array" ref="J332">XLOOKUP($E332,'Recipients REF'!$B:$B,'Recipients REF'!D:D,"",0)</f>
        <v>Rodolfo A. Galasinao</v>
      </c>
      <c r="K332" s="42">
        <f t="array" ref="K332">XLOOKUP($E332,'Recipients REF'!$B:$B,'Recipients REF'!E:E,"",0)</f>
        <v>9557994663</v>
      </c>
      <c r="L332" s="43" t="str">
        <f t="array" ref="L332">XLOOKUP($A332,'Recipients REF'!$A:$A,'Recipients REF'!F:F,"",0)</f>
        <v>RCEF 23-09-21 Rebidding</v>
      </c>
      <c r="M332" s="43">
        <f t="array" ref="M332">XLOOKUP($A332,'Recipients REF'!$A:$A,'Recipients REF'!G:G,"",0)</f>
        <v>1</v>
      </c>
      <c r="N332" s="43">
        <f t="array" ref="N332">XLOOKUP($A332,'Recipients REF'!$A:$A,'Recipients REF'!H:H,"",0)</f>
        <v>18844</v>
      </c>
      <c r="O332" s="44" t="s">
        <v>25</v>
      </c>
      <c r="P332" s="45" t="s">
        <v>26</v>
      </c>
      <c r="Q332" s="46" t="str">
        <f t="array" ref="Q332">XLOOKUP($A332,'Recipients REF'!$A:$A,'Recipients REF'!I:I,"",0)</f>
        <v>KMC5825 AJRFPV0200</v>
      </c>
      <c r="R332" s="47" t="str">
        <f t="array" ref="R332">XLOOKUP($A332,'Recipients REF'!$A:$A,'Recipients REF'!J:J,"",0)</f>
        <v>RTS100143</v>
      </c>
      <c r="S332" s="45" t="s">
        <v>27</v>
      </c>
      <c r="T332" s="45" t="s">
        <v>28</v>
      </c>
      <c r="U332" s="46" t="str">
        <f t="array" ref="U332">XLOOKUP($A332,'Recipients REF'!$A:$A,'Recipients REF'!K:K,"",0)</f>
        <v>R-SERIES 179 PH</v>
      </c>
      <c r="V332" s="44" t="s">
        <v>29</v>
      </c>
      <c r="W332" s="45" t="s">
        <v>30</v>
      </c>
      <c r="X332" s="47" t="str">
        <f t="array" ref="X332">XLOOKUP($A332,'Recipients REF'!$A:$A,'Recipients REF'!L:L,"",0)</f>
        <v>LSGW1750 RMP 2401-0094</v>
      </c>
      <c r="Y332" s="48" t="s">
        <v>29</v>
      </c>
      <c r="Z332" s="48" t="s">
        <v>31</v>
      </c>
      <c r="AA332" s="46" t="str">
        <f t="array" ref="AA332">XLOOKUP($A332,'Recipients REF'!$A:$A,'Recipients REF'!M:M,"",0)</f>
        <v>WDP40 RMP 24010069</v>
      </c>
      <c r="AB332" s="49"/>
      <c r="AC332" s="42"/>
      <c r="AD332" s="42"/>
      <c r="AE332" s="50"/>
      <c r="AF332" s="42"/>
      <c r="AG332" s="42"/>
      <c r="AH332" s="42"/>
      <c r="AI332" s="42">
        <f t="array" ref="AI332">XLOOKUP($E332,Sheet11!$D:$D,Sheet11!$X:$X,"",0)</f>
        <v>869066060237584</v>
      </c>
      <c r="AJ332" s="42">
        <f t="array" ref="AJ332">XLOOKUP($E332,Sheet11!$D:$D,Sheet11!$Y:$Y,"",0)</f>
        <v>9624245414</v>
      </c>
    </row>
    <row r="333">
      <c r="A333" s="41">
        <v>284.0</v>
      </c>
      <c r="B333" s="42" t="s">
        <v>656</v>
      </c>
      <c r="C333" s="42" t="s">
        <v>657</v>
      </c>
      <c r="D333" s="42"/>
      <c r="E333" s="42" t="str">
        <f t="shared" ref="E333:F333" si="334">PROPER(B333)</f>
        <v>Rang-Ay Farmers Irrigators' Association, Inc.</v>
      </c>
      <c r="F333" s="42" t="str">
        <f t="shared" si="334"/>
        <v>Arcon, Tumauini, Isabela</v>
      </c>
      <c r="G333" s="42" t="str">
        <f t="shared" si="3"/>
        <v>Arcon</v>
      </c>
      <c r="H333" s="42" t="str">
        <f t="shared" si="4"/>
        <v>Tumauini</v>
      </c>
      <c r="I333" s="42" t="str">
        <f t="shared" si="5"/>
        <v>Isabela</v>
      </c>
      <c r="J333" s="42" t="str">
        <f t="array" ref="J333">XLOOKUP($E333,'Recipients REF'!$B:$B,'Recipients REF'!D:D,"",0)</f>
        <v>ARNEL B. LOZANO</v>
      </c>
      <c r="K333" s="42">
        <f t="array" ref="K333">XLOOKUP($E333,'Recipients REF'!$B:$B,'Recipients REF'!E:E,"",0)</f>
        <v>9368701007</v>
      </c>
      <c r="L333" s="43" t="str">
        <f t="array" ref="L333">XLOOKUP($A333,'Recipients REF'!$A:$A,'Recipients REF'!F:F,"",0)</f>
        <v>RCEF 23-09-21 Rebidding</v>
      </c>
      <c r="M333" s="43">
        <f t="array" ref="M333">XLOOKUP($A333,'Recipients REF'!$A:$A,'Recipients REF'!G:G,"",0)</f>
        <v>1</v>
      </c>
      <c r="N333" s="43">
        <f t="array" ref="N333">XLOOKUP($A333,'Recipients REF'!$A:$A,'Recipients REF'!H:H,"",0)</f>
        <v>18845</v>
      </c>
      <c r="O333" s="44" t="s">
        <v>25</v>
      </c>
      <c r="P333" s="45" t="s">
        <v>26</v>
      </c>
      <c r="Q333" s="46" t="str">
        <f t="array" ref="Q333">XLOOKUP($A333,'Recipients REF'!$A:$A,'Recipients REF'!I:I,"",0)</f>
        <v>KMC5825AARFPV0198</v>
      </c>
      <c r="R333" s="47" t="str">
        <f t="array" ref="R333">XLOOKUP($A333,'Recipients REF'!$A:$A,'Recipients REF'!J:J,"",0)</f>
        <v>RTS100144</v>
      </c>
      <c r="S333" s="45" t="s">
        <v>27</v>
      </c>
      <c r="T333" s="45" t="s">
        <v>28</v>
      </c>
      <c r="U333" s="46" t="str">
        <f t="array" ref="U333">XLOOKUP($A333,'Recipients REF'!$A:$A,'Recipients REF'!K:K,"",0)</f>
        <v>R-SERIES 157 PH</v>
      </c>
      <c r="V333" s="44" t="s">
        <v>29</v>
      </c>
      <c r="W333" s="45" t="s">
        <v>30</v>
      </c>
      <c r="X333" s="47" t="str">
        <f t="array" ref="X333">XLOOKUP($A333,'Recipients REF'!$A:$A,'Recipients REF'!L:L,"",0)</f>
        <v>LSGW1750 RMP 24010101</v>
      </c>
      <c r="Y333" s="48" t="s">
        <v>29</v>
      </c>
      <c r="Z333" s="48" t="s">
        <v>31</v>
      </c>
      <c r="AA333" s="46" t="str">
        <f t="array" ref="AA333">XLOOKUP($A333,'Recipients REF'!$A:$A,'Recipients REF'!M:M,"",0)</f>
        <v>WDP40 RMP 24020216</v>
      </c>
      <c r="AB333" s="49"/>
      <c r="AC333" s="42"/>
      <c r="AD333" s="42"/>
      <c r="AE333" s="50"/>
      <c r="AF333" s="42"/>
      <c r="AG333" s="42"/>
      <c r="AH333" s="42"/>
      <c r="AI333" s="42">
        <f t="array" ref="AI333">XLOOKUP($E333,Sheet11!$D:$D,Sheet11!$X:$X,"",0)</f>
        <v>869066060246189</v>
      </c>
      <c r="AJ333" s="42">
        <f t="array" ref="AJ333">XLOOKUP($E333,Sheet11!$D:$D,Sheet11!$Y:$Y,"",0)</f>
        <v>9624245416</v>
      </c>
    </row>
    <row r="334">
      <c r="A334" s="41">
        <v>285.0</v>
      </c>
      <c r="B334" s="42" t="s">
        <v>658</v>
      </c>
      <c r="C334" s="42" t="s">
        <v>659</v>
      </c>
      <c r="D334" s="42"/>
      <c r="E334" s="42" t="str">
        <f t="shared" ref="E334:F334" si="335">PROPER(B334)</f>
        <v>Ugad-San Mateo Farmers Irrigators' Association, Inc.</v>
      </c>
      <c r="F334" s="42" t="str">
        <f t="shared" si="335"/>
        <v>Ugad, Tumauini, Isabela</v>
      </c>
      <c r="G334" s="42" t="str">
        <f t="shared" si="3"/>
        <v>Ugad</v>
      </c>
      <c r="H334" s="42" t="str">
        <f t="shared" si="4"/>
        <v>Tumauini</v>
      </c>
      <c r="I334" s="42" t="str">
        <f t="shared" si="5"/>
        <v>Isabela</v>
      </c>
      <c r="J334" s="42" t="str">
        <f t="array" ref="J334">XLOOKUP($E334,'Recipients REF'!$B:$B,'Recipients REF'!D:D,"",0)</f>
        <v>NESTOR P. AMBRE</v>
      </c>
      <c r="K334" s="42">
        <f t="array" ref="K334">XLOOKUP($E334,'Recipients REF'!$B:$B,'Recipients REF'!E:E,"",0)</f>
        <v>9554194610</v>
      </c>
      <c r="L334" s="43" t="str">
        <f t="array" ref="L334">XLOOKUP($A334,'Recipients REF'!$A:$A,'Recipients REF'!F:F,"",0)</f>
        <v>RCEF 23-09-21 Rebidding</v>
      </c>
      <c r="M334" s="43">
        <f t="array" ref="M334">XLOOKUP($A334,'Recipients REF'!$A:$A,'Recipients REF'!G:G,"",0)</f>
        <v>1</v>
      </c>
      <c r="N334" s="43">
        <f t="array" ref="N334">XLOOKUP($A334,'Recipients REF'!$A:$A,'Recipients REF'!H:H,"",0)</f>
        <v>18846</v>
      </c>
      <c r="O334" s="44" t="s">
        <v>25</v>
      </c>
      <c r="P334" s="45" t="s">
        <v>26</v>
      </c>
      <c r="Q334" s="46" t="str">
        <f t="array" ref="Q334">XLOOKUP($A334,'Recipients REF'!$A:$A,'Recipients REF'!I:I,"",0)</f>
        <v>KMC5825 ACRFPV0151</v>
      </c>
      <c r="R334" s="47" t="str">
        <f t="array" ref="R334">XLOOKUP($A334,'Recipients REF'!$A:$A,'Recipients REF'!J:J,"",0)</f>
        <v>RTS100095</v>
      </c>
      <c r="S334" s="45" t="s">
        <v>27</v>
      </c>
      <c r="T334" s="45" t="s">
        <v>28</v>
      </c>
      <c r="U334" s="46" t="str">
        <f t="array" ref="U334">XLOOKUP($A334,'Recipients REF'!$A:$A,'Recipients REF'!K:K,"",0)</f>
        <v>R-SERIES 124PH</v>
      </c>
      <c r="V334" s="44" t="s">
        <v>29</v>
      </c>
      <c r="W334" s="45" t="s">
        <v>30</v>
      </c>
      <c r="X334" s="47" t="str">
        <f t="array" ref="X334">XLOOKUP($A334,'Recipients REF'!$A:$A,'Recipients REF'!L:L,"",0)</f>
        <v>LSGW1750 RMP 24010105</v>
      </c>
      <c r="Y334" s="48" t="s">
        <v>29</v>
      </c>
      <c r="Z334" s="48" t="s">
        <v>31</v>
      </c>
      <c r="AA334" s="46" t="str">
        <f t="array" ref="AA334">XLOOKUP($A334,'Recipients REF'!$A:$A,'Recipients REF'!M:M,"",0)</f>
        <v>WDP40 RMP 24010125</v>
      </c>
      <c r="AB334" s="49"/>
      <c r="AC334" s="42"/>
      <c r="AD334" s="42"/>
      <c r="AE334" s="50"/>
      <c r="AF334" s="42"/>
      <c r="AG334" s="42"/>
      <c r="AH334" s="42"/>
      <c r="AI334" s="42" t="str">
        <f t="array" ref="AI334">XLOOKUP($E334,Sheet11!$D:$D,Sheet11!$X:$X,"",0)</f>
        <v/>
      </c>
      <c r="AJ334" s="42" t="str">
        <f t="array" ref="AJ334">XLOOKUP($E334,Sheet11!$D:$D,Sheet11!$Y:$Y,"",0)</f>
        <v/>
      </c>
    </row>
    <row r="335">
      <c r="A335" s="41">
        <v>286.0</v>
      </c>
      <c r="B335" s="42" t="s">
        <v>660</v>
      </c>
      <c r="C335" s="42" t="s">
        <v>661</v>
      </c>
      <c r="D335" s="42"/>
      <c r="E335" s="42" t="str">
        <f t="shared" ref="E335:F335" si="336">PROPER(B335)</f>
        <v>Upi Farmers Irrigators Association, Inc.</v>
      </c>
      <c r="F335" s="42" t="str">
        <f t="shared" si="336"/>
        <v>Upi, Gamu, Isabela</v>
      </c>
      <c r="G335" s="42" t="str">
        <f t="shared" si="3"/>
        <v>Upi</v>
      </c>
      <c r="H335" s="42" t="str">
        <f t="shared" si="4"/>
        <v>Gamu</v>
      </c>
      <c r="I335" s="42" t="str">
        <f t="shared" si="5"/>
        <v>Isabela</v>
      </c>
      <c r="J335" s="42" t="str">
        <f t="array" ref="J335">XLOOKUP($E335,'Recipients REF'!$B:$B,'Recipients REF'!D:D,"",0)</f>
        <v>Nowlin V. Rosiete</v>
      </c>
      <c r="K335" s="42">
        <f t="array" ref="K335">XLOOKUP($E335,'Recipients REF'!$B:$B,'Recipients REF'!E:E,"",0)</f>
        <v>9061565033</v>
      </c>
      <c r="L335" s="43" t="str">
        <f t="array" ref="L335">XLOOKUP($A335,'Recipients REF'!$A:$A,'Recipients REF'!F:F,"",0)</f>
        <v>RCEF 23-09-21 Rebidding</v>
      </c>
      <c r="M335" s="43">
        <f t="array" ref="M335">XLOOKUP($A335,'Recipients REF'!$A:$A,'Recipients REF'!G:G,"",0)</f>
        <v>1</v>
      </c>
      <c r="N335" s="43">
        <f t="array" ref="N335">XLOOKUP($A335,'Recipients REF'!$A:$A,'Recipients REF'!H:H,"",0)</f>
        <v>18847</v>
      </c>
      <c r="O335" s="44" t="s">
        <v>25</v>
      </c>
      <c r="P335" s="45" t="s">
        <v>26</v>
      </c>
      <c r="Q335" s="46" t="str">
        <f t="array" ref="Q335">XLOOKUP($A335,'Recipients REF'!$A:$A,'Recipients REF'!I:I,"",0)</f>
        <v>KMC5825 AKRFPV0261</v>
      </c>
      <c r="R335" s="47" t="str">
        <f t="array" ref="R335">XLOOKUP($A335,'Recipients REF'!$A:$A,'Recipients REF'!J:J,"",0)</f>
        <v>RTS100013</v>
      </c>
      <c r="S335" s="45" t="s">
        <v>27</v>
      </c>
      <c r="T335" s="45" t="s">
        <v>28</v>
      </c>
      <c r="U335" s="46" t="str">
        <f t="array" ref="U335">XLOOKUP($A335,'Recipients REF'!$A:$A,'Recipients REF'!K:K,"",0)</f>
        <v>R-SERIES 107 PH</v>
      </c>
      <c r="V335" s="44" t="s">
        <v>29</v>
      </c>
      <c r="W335" s="45" t="s">
        <v>30</v>
      </c>
      <c r="X335" s="47" t="str">
        <f t="array" ref="X335">XLOOKUP($A335,'Recipients REF'!$A:$A,'Recipients REF'!L:L,"",0)</f>
        <v>LSGW1750 RMP 24020522</v>
      </c>
      <c r="Y335" s="48" t="s">
        <v>29</v>
      </c>
      <c r="Z335" s="48" t="s">
        <v>31</v>
      </c>
      <c r="AA335" s="46" t="str">
        <f t="array" ref="AA335">XLOOKUP($A335,'Recipients REF'!$A:$A,'Recipients REF'!M:M,"",0)</f>
        <v>WDP40 RMP 24010040</v>
      </c>
      <c r="AB335" s="49"/>
      <c r="AC335" s="42"/>
      <c r="AD335" s="42"/>
      <c r="AE335" s="50"/>
      <c r="AF335" s="42"/>
      <c r="AG335" s="42"/>
      <c r="AH335" s="42"/>
      <c r="AI335" s="42" t="str">
        <f t="array" ref="AI335">XLOOKUP($E335,Sheet11!$D:$D,Sheet11!$X:$X,"",0)</f>
        <v/>
      </c>
      <c r="AJ335" s="42" t="str">
        <f t="array" ref="AJ335">XLOOKUP($E335,Sheet11!$D:$D,Sheet11!$Y:$Y,"",0)</f>
        <v/>
      </c>
    </row>
    <row r="336">
      <c r="A336" s="41">
        <v>287.0</v>
      </c>
      <c r="B336" s="42" t="s">
        <v>662</v>
      </c>
      <c r="C336" s="42" t="s">
        <v>663</v>
      </c>
      <c r="D336" s="42"/>
      <c r="E336" s="42" t="str">
        <f t="shared" ref="E336:F336" si="337">PROPER(B336)</f>
        <v>Payoga/Kapatagan Multi-Purpose Cooperative</v>
      </c>
      <c r="F336" s="42" t="str">
        <f t="shared" si="337"/>
        <v>Guibang, Gamu, Isabela</v>
      </c>
      <c r="G336" s="42" t="str">
        <f t="shared" si="3"/>
        <v>Guibang</v>
      </c>
      <c r="H336" s="42" t="str">
        <f t="shared" si="4"/>
        <v>Gamu</v>
      </c>
      <c r="I336" s="42" t="str">
        <f t="shared" si="5"/>
        <v>Isabela</v>
      </c>
      <c r="J336" s="42" t="str">
        <f t="array" ref="J336">XLOOKUP($E336,'Recipients REF'!$B:$B,'Recipients REF'!D:D,"",0)</f>
        <v>Julie F. Madrid</v>
      </c>
      <c r="K336" s="42" t="str">
        <f t="array" ref="K336">XLOOKUP($E336,'Recipients REF'!$B:$B,'Recipients REF'!E:E,"",0)</f>
        <v>0956-096-5954</v>
      </c>
      <c r="L336" s="43" t="str">
        <f t="array" ref="L336">XLOOKUP($A336,'Recipients REF'!$A:$A,'Recipients REF'!F:F,"",0)</f>
        <v>RCEF 23-09-21 Rebidding</v>
      </c>
      <c r="M336" s="43">
        <f t="array" ref="M336">XLOOKUP($A336,'Recipients REF'!$A:$A,'Recipients REF'!G:G,"",0)</f>
        <v>1</v>
      </c>
      <c r="N336" s="43">
        <f t="array" ref="N336">XLOOKUP($A336,'Recipients REF'!$A:$A,'Recipients REF'!H:H,"",0)</f>
        <v>18848</v>
      </c>
      <c r="O336" s="44" t="s">
        <v>25</v>
      </c>
      <c r="P336" s="45" t="s">
        <v>26</v>
      </c>
      <c r="Q336" s="46" t="str">
        <f t="array" ref="Q336">XLOOKUP($A336,'Recipients REF'!$A:$A,'Recipients REF'!I:I,"",0)</f>
        <v>KMC5825 ACRFPV0241</v>
      </c>
      <c r="R336" s="47" t="str">
        <f t="array" ref="R336">XLOOKUP($A336,'Recipients REF'!$A:$A,'Recipients REF'!J:J,"",0)</f>
        <v>RTS100005</v>
      </c>
      <c r="S336" s="45" t="s">
        <v>27</v>
      </c>
      <c r="T336" s="45" t="s">
        <v>28</v>
      </c>
      <c r="U336" s="46" t="str">
        <f t="array" ref="U336">XLOOKUP($A336,'Recipients REF'!$A:$A,'Recipients REF'!K:K,"",0)</f>
        <v>R-SERIES 177 PH</v>
      </c>
      <c r="V336" s="44" t="s">
        <v>29</v>
      </c>
      <c r="W336" s="45" t="s">
        <v>30</v>
      </c>
      <c r="X336" s="47" t="str">
        <f t="array" ref="X336">XLOOKUP($A336,'Recipients REF'!$A:$A,'Recipients REF'!L:L,"",0)</f>
        <v>LSGW1750 RMP 24020425</v>
      </c>
      <c r="Y336" s="48" t="s">
        <v>29</v>
      </c>
      <c r="Z336" s="48" t="s">
        <v>31</v>
      </c>
      <c r="AA336" s="46" t="str">
        <f t="array" ref="AA336">XLOOKUP($A336,'Recipients REF'!$A:$A,'Recipients REF'!M:M,"",0)</f>
        <v>WDP40 RMP 24010121</v>
      </c>
      <c r="AB336" s="49"/>
      <c r="AC336" s="42"/>
      <c r="AD336" s="42"/>
      <c r="AE336" s="50"/>
      <c r="AF336" s="42"/>
      <c r="AG336" s="42"/>
      <c r="AH336" s="42"/>
      <c r="AI336" s="42" t="str">
        <f t="array" ref="AI336">XLOOKUP($E336,Sheet11!$D:$D,Sheet11!$X:$X,"",0)</f>
        <v/>
      </c>
      <c r="AJ336" s="42" t="str">
        <f t="array" ref="AJ336">XLOOKUP($E336,Sheet11!$D:$D,Sheet11!$Y:$Y,"",0)</f>
        <v/>
      </c>
    </row>
    <row r="337">
      <c r="A337" s="41">
        <v>288.0</v>
      </c>
      <c r="B337" s="42" t="s">
        <v>664</v>
      </c>
      <c r="C337" s="42" t="s">
        <v>665</v>
      </c>
      <c r="D337" s="42"/>
      <c r="E337" s="42" t="str">
        <f t="shared" ref="E337:F337" si="338">PROPER(B337)</f>
        <v>Tandul Pilot Irrigators Association, Inc.</v>
      </c>
      <c r="F337" s="42" t="str">
        <f t="shared" si="338"/>
        <v>Tandul, Cabatuan, Isabela</v>
      </c>
      <c r="G337" s="42" t="str">
        <f t="shared" si="3"/>
        <v>Tandul</v>
      </c>
      <c r="H337" s="42" t="str">
        <f t="shared" si="4"/>
        <v>Cabatuan</v>
      </c>
      <c r="I337" s="42" t="str">
        <f t="shared" si="5"/>
        <v>Isabela</v>
      </c>
      <c r="J337" s="42" t="str">
        <f t="array" ref="J337">XLOOKUP($E337,'Recipients REF'!$B:$B,'Recipients REF'!D:D,"",0)</f>
        <v>RONALD DORIA</v>
      </c>
      <c r="K337" s="42">
        <f t="array" ref="K337">XLOOKUP($E337,'Recipients REF'!$B:$B,'Recipients REF'!E:E,"",0)</f>
        <v>9650481496</v>
      </c>
      <c r="L337" s="43" t="str">
        <f t="array" ref="L337">XLOOKUP($A337,'Recipients REF'!$A:$A,'Recipients REF'!F:F,"",0)</f>
        <v>RCEF 23-09-21 Rebidding</v>
      </c>
      <c r="M337" s="43">
        <f t="array" ref="M337">XLOOKUP($A337,'Recipients REF'!$A:$A,'Recipients REF'!G:G,"",0)</f>
        <v>1</v>
      </c>
      <c r="N337" s="43">
        <f t="array" ref="N337">XLOOKUP($A337,'Recipients REF'!$A:$A,'Recipients REF'!H:H,"",0)</f>
        <v>18849</v>
      </c>
      <c r="O337" s="44" t="s">
        <v>25</v>
      </c>
      <c r="P337" s="45" t="s">
        <v>26</v>
      </c>
      <c r="Q337" s="46" t="str">
        <f t="array" ref="Q337">XLOOKUP($A337,'Recipients REF'!$A:$A,'Recipients REF'!I:I,"",0)</f>
        <v>KMC5825 AERFPV0240</v>
      </c>
      <c r="R337" s="47" t="str">
        <f t="array" ref="R337">XLOOKUP($A337,'Recipients REF'!$A:$A,'Recipients REF'!J:J,"",0)</f>
        <v>RTS100049</v>
      </c>
      <c r="S337" s="45" t="s">
        <v>27</v>
      </c>
      <c r="T337" s="45" t="s">
        <v>28</v>
      </c>
      <c r="U337" s="46" t="str">
        <f t="array" ref="U337">XLOOKUP($A337,'Recipients REF'!$A:$A,'Recipients REF'!K:K,"",0)</f>
        <v>R-SERIES 294PH</v>
      </c>
      <c r="V337" s="44" t="s">
        <v>29</v>
      </c>
      <c r="W337" s="45" t="s">
        <v>30</v>
      </c>
      <c r="X337" s="47" t="str">
        <f t="array" ref="X337">XLOOKUP($A337,'Recipients REF'!$A:$A,'Recipients REF'!L:L,"",0)</f>
        <v>LSGW1750 RMP 24020423</v>
      </c>
      <c r="Y337" s="48" t="s">
        <v>29</v>
      </c>
      <c r="Z337" s="48" t="s">
        <v>31</v>
      </c>
      <c r="AA337" s="46" t="str">
        <f t="array" ref="AA337">XLOOKUP($A337,'Recipients REF'!$A:$A,'Recipients REF'!M:M,"",0)</f>
        <v>WDP40 RMP 24010116</v>
      </c>
      <c r="AB337" s="49"/>
      <c r="AC337" s="42"/>
      <c r="AD337" s="42"/>
      <c r="AE337" s="50"/>
      <c r="AF337" s="42"/>
      <c r="AG337" s="42"/>
      <c r="AH337" s="42"/>
      <c r="AI337" s="42" t="str">
        <f t="array" ref="AI337">XLOOKUP($E337,Sheet11!$D:$D,Sheet11!$X:$X,"",0)</f>
        <v/>
      </c>
      <c r="AJ337" s="42" t="str">
        <f t="array" ref="AJ337">XLOOKUP($E337,Sheet11!$D:$D,Sheet11!$Y:$Y,"",0)</f>
        <v/>
      </c>
    </row>
    <row r="338">
      <c r="A338" s="41">
        <v>289.0</v>
      </c>
      <c r="B338" s="42" t="s">
        <v>666</v>
      </c>
      <c r="C338" s="42" t="s">
        <v>667</v>
      </c>
      <c r="D338" s="42"/>
      <c r="E338" s="42" t="str">
        <f t="shared" ref="E338:F338" si="339">PROPER(B338)</f>
        <v>Kabalikat Irrigators Association, Inc.</v>
      </c>
      <c r="F338" s="42" t="str">
        <f t="shared" si="339"/>
        <v>Rizaluna (Rizaluna Oeste), Cordon, Isabela</v>
      </c>
      <c r="G338" s="42" t="str">
        <f t="shared" si="3"/>
        <v>Rizaluna (Rizaluna Oeste)</v>
      </c>
      <c r="H338" s="42" t="str">
        <f t="shared" si="4"/>
        <v>Cordon</v>
      </c>
      <c r="I338" s="42" t="str">
        <f t="shared" si="5"/>
        <v>Isabela</v>
      </c>
      <c r="J338" s="42" t="str">
        <f t="array" ref="J338">XLOOKUP($E338,'Recipients REF'!$B:$B,'Recipients REF'!D:D,"",0)</f>
        <v>Virgilio N. Retotal, Jr.</v>
      </c>
      <c r="K338" s="42">
        <f t="array" ref="K338">XLOOKUP($E338,'Recipients REF'!$B:$B,'Recipients REF'!E:E,"",0)</f>
        <v>9168462142</v>
      </c>
      <c r="L338" s="43" t="str">
        <f t="array" ref="L338">XLOOKUP($A338,'Recipients REF'!$A:$A,'Recipients REF'!F:F,"",0)</f>
        <v>RCEF 23-09-21 Rebidding</v>
      </c>
      <c r="M338" s="43">
        <f t="array" ref="M338">XLOOKUP($A338,'Recipients REF'!$A:$A,'Recipients REF'!G:G,"",0)</f>
        <v>1</v>
      </c>
      <c r="N338" s="43">
        <f t="array" ref="N338">XLOOKUP($A338,'Recipients REF'!$A:$A,'Recipients REF'!H:H,"",0)</f>
        <v>18850</v>
      </c>
      <c r="O338" s="44" t="s">
        <v>25</v>
      </c>
      <c r="P338" s="45" t="s">
        <v>26</v>
      </c>
      <c r="Q338" s="46" t="str">
        <f t="array" ref="Q338">XLOOKUP($A338,'Recipients REF'!$A:$A,'Recipients REF'!I:I,"",0)</f>
        <v>KMC5825 ACRFPV02246</v>
      </c>
      <c r="R338" s="47" t="str">
        <f t="array" ref="R338">XLOOKUP($A338,'Recipients REF'!$A:$A,'Recipients REF'!J:J,"",0)</f>
        <v>RTS100006</v>
      </c>
      <c r="S338" s="45" t="s">
        <v>27</v>
      </c>
      <c r="T338" s="45" t="s">
        <v>28</v>
      </c>
      <c r="U338" s="46" t="str">
        <f t="array" ref="U338">XLOOKUP($A338,'Recipients REF'!$A:$A,'Recipients REF'!K:K,"",0)</f>
        <v>R-SERIES 121 PH</v>
      </c>
      <c r="V338" s="44" t="s">
        <v>29</v>
      </c>
      <c r="W338" s="45" t="s">
        <v>30</v>
      </c>
      <c r="X338" s="47" t="str">
        <f t="array" ref="X338">XLOOKUP($A338,'Recipients REF'!$A:$A,'Recipients REF'!L:L,"",0)</f>
        <v>LSGW1750 RMP 24020424</v>
      </c>
      <c r="Y338" s="48" t="s">
        <v>29</v>
      </c>
      <c r="Z338" s="48" t="s">
        <v>31</v>
      </c>
      <c r="AA338" s="46" t="str">
        <f t="array" ref="AA338">XLOOKUP($A338,'Recipients REF'!$A:$A,'Recipients REF'!M:M,"",0)</f>
        <v>WDP40 RMP 24010144</v>
      </c>
      <c r="AB338" s="49"/>
      <c r="AC338" s="42"/>
      <c r="AD338" s="42"/>
      <c r="AE338" s="50"/>
      <c r="AF338" s="42"/>
      <c r="AG338" s="42"/>
      <c r="AH338" s="42"/>
      <c r="AI338" s="42" t="str">
        <f t="array" ref="AI338">XLOOKUP($E338,Sheet11!$D:$D,Sheet11!$X:$X,"",0)</f>
        <v/>
      </c>
      <c r="AJ338" s="42" t="str">
        <f t="array" ref="AJ338">XLOOKUP($E338,Sheet11!$D:$D,Sheet11!$Y:$Y,"",0)</f>
        <v/>
      </c>
    </row>
    <row r="339">
      <c r="A339" s="41">
        <v>290.0</v>
      </c>
      <c r="B339" s="42" t="s">
        <v>668</v>
      </c>
      <c r="C339" s="42" t="s">
        <v>669</v>
      </c>
      <c r="D339" s="42"/>
      <c r="E339" s="42" t="str">
        <f t="shared" ref="E339:F339" si="340">PROPER(B339)</f>
        <v>Bandus Irrigators Association, Inc.</v>
      </c>
      <c r="F339" s="42" t="str">
        <f t="shared" si="340"/>
        <v>Divisoria, Santiago City, Isabela</v>
      </c>
      <c r="G339" s="42" t="str">
        <f t="shared" si="3"/>
        <v>Divisoria</v>
      </c>
      <c r="H339" s="42" t="str">
        <f t="shared" si="4"/>
        <v>Santiago City</v>
      </c>
      <c r="I339" s="42" t="str">
        <f t="shared" si="5"/>
        <v>Isabela</v>
      </c>
      <c r="J339" s="42" t="str">
        <f t="array" ref="J339">XLOOKUP($E339,'Recipients REF'!$B:$B,'Recipients REF'!D:D,"",0)</f>
        <v>Celestino S. Soliven</v>
      </c>
      <c r="K339" s="42">
        <f t="array" ref="K339">XLOOKUP($E339,'Recipients REF'!$B:$B,'Recipients REF'!E:E,"",0)</f>
        <v>9352477197</v>
      </c>
      <c r="L339" s="43" t="str">
        <f t="array" ref="L339">XLOOKUP($A339,'Recipients REF'!$A:$A,'Recipients REF'!F:F,"",0)</f>
        <v>RCEF 23-09-21 Rebidding</v>
      </c>
      <c r="M339" s="43">
        <f t="array" ref="M339">XLOOKUP($A339,'Recipients REF'!$A:$A,'Recipients REF'!G:G,"",0)</f>
        <v>1</v>
      </c>
      <c r="N339" s="43">
        <f t="array" ref="N339">XLOOKUP($A339,'Recipients REF'!$A:$A,'Recipients REF'!H:H,"",0)</f>
        <v>18851</v>
      </c>
      <c r="O339" s="44" t="s">
        <v>25</v>
      </c>
      <c r="P339" s="45" t="s">
        <v>26</v>
      </c>
      <c r="Q339" s="46" t="str">
        <f t="array" ref="Q339">XLOOKUP($A339,'Recipients REF'!$A:$A,'Recipients REF'!I:I,"",0)</f>
        <v>KMC5825 ALRFPV0218</v>
      </c>
      <c r="R339" s="47" t="str">
        <f t="array" ref="R339">XLOOKUP($A339,'Recipients REF'!$A:$A,'Recipients REF'!J:J,"",0)</f>
        <v>RTS100080</v>
      </c>
      <c r="S339" s="45" t="s">
        <v>27</v>
      </c>
      <c r="T339" s="45" t="s">
        <v>28</v>
      </c>
      <c r="U339" s="46" t="str">
        <f t="array" ref="U339">XLOOKUP($A339,'Recipients REF'!$A:$A,'Recipients REF'!K:K,"",0)</f>
        <v>R-SERIES 174 PH</v>
      </c>
      <c r="V339" s="44" t="s">
        <v>29</v>
      </c>
      <c r="W339" s="45" t="s">
        <v>30</v>
      </c>
      <c r="X339" s="47" t="str">
        <f t="array" ref="X339">XLOOKUP($A339,'Recipients REF'!$A:$A,'Recipients REF'!L:L,"",0)</f>
        <v>LSGW1750 RMP 24020520</v>
      </c>
      <c r="Y339" s="48" t="s">
        <v>29</v>
      </c>
      <c r="Z339" s="48" t="s">
        <v>31</v>
      </c>
      <c r="AA339" s="46" t="str">
        <f t="array" ref="AA339">XLOOKUP($A339,'Recipients REF'!$A:$A,'Recipients REF'!M:M,"",0)</f>
        <v>WDP40 RMP 24010142</v>
      </c>
      <c r="AB339" s="49"/>
      <c r="AC339" s="42"/>
      <c r="AD339" s="42"/>
      <c r="AE339" s="50"/>
      <c r="AF339" s="42"/>
      <c r="AG339" s="42"/>
      <c r="AH339" s="42"/>
      <c r="AI339" s="42" t="str">
        <f t="array" ref="AI339">XLOOKUP($E339,Sheet11!$D:$D,Sheet11!$X:$X,"",0)</f>
        <v/>
      </c>
      <c r="AJ339" s="42" t="str">
        <f t="array" ref="AJ339">XLOOKUP($E339,Sheet11!$D:$D,Sheet11!$Y:$Y,"",0)</f>
        <v/>
      </c>
    </row>
    <row r="340">
      <c r="A340" s="41">
        <v>291.0</v>
      </c>
      <c r="B340" s="42" t="s">
        <v>670</v>
      </c>
      <c r="C340" s="42" t="s">
        <v>671</v>
      </c>
      <c r="D340" s="42"/>
      <c r="E340" s="42" t="str">
        <f t="shared" ref="E340:F340" si="341">PROPER(B340)</f>
        <v>San Jose Sur Farmers Irrigators Association, Inc.</v>
      </c>
      <c r="F340" s="42" t="str">
        <f t="shared" si="341"/>
        <v>San Jose Sur, Mallig, Isabela</v>
      </c>
      <c r="G340" s="42" t="str">
        <f t="shared" si="3"/>
        <v>San Jose Sur</v>
      </c>
      <c r="H340" s="42" t="str">
        <f t="shared" si="4"/>
        <v>Mallig</v>
      </c>
      <c r="I340" s="42" t="str">
        <f t="shared" si="5"/>
        <v>Isabela</v>
      </c>
      <c r="J340" s="42" t="str">
        <f t="array" ref="J340">XLOOKUP($E340,'Recipients REF'!$B:$B,'Recipients REF'!D:D,"",0)</f>
        <v>Ambrocio S. Villanueva</v>
      </c>
      <c r="K340" s="42" t="str">
        <f t="array" ref="K340">XLOOKUP($E340,'Recipients REF'!$B:$B,'Recipients REF'!E:E,"",0)</f>
        <v>0975-053-5117</v>
      </c>
      <c r="L340" s="43" t="str">
        <f t="array" ref="L340">XLOOKUP($A340,'Recipients REF'!$A:$A,'Recipients REF'!F:F,"",0)</f>
        <v>RCEF 23-09-21 Rebidding</v>
      </c>
      <c r="M340" s="43">
        <f t="array" ref="M340">XLOOKUP($A340,'Recipients REF'!$A:$A,'Recipients REF'!G:G,"",0)</f>
        <v>1</v>
      </c>
      <c r="N340" s="43">
        <f t="array" ref="N340">XLOOKUP($A340,'Recipients REF'!$A:$A,'Recipients REF'!H:H,"",0)</f>
        <v>18852</v>
      </c>
      <c r="O340" s="44" t="s">
        <v>25</v>
      </c>
      <c r="P340" s="45" t="s">
        <v>26</v>
      </c>
      <c r="Q340" s="46" t="str">
        <f t="array" ref="Q340">XLOOKUP($A340,'Recipients REF'!$A:$A,'Recipients REF'!I:I,"",0)</f>
        <v>KMC 5825ACRFPV0182</v>
      </c>
      <c r="R340" s="47" t="str">
        <f t="array" ref="R340">XLOOKUP($A340,'Recipients REF'!$A:$A,'Recipients REF'!J:J,"",0)</f>
        <v>RTS100017</v>
      </c>
      <c r="S340" s="45" t="s">
        <v>27</v>
      </c>
      <c r="T340" s="45" t="s">
        <v>28</v>
      </c>
      <c r="U340" s="46" t="str">
        <f t="array" ref="U340">XLOOKUP($A340,'Recipients REF'!$A:$A,'Recipients REF'!K:K,"",0)</f>
        <v>RSERIES276PH</v>
      </c>
      <c r="V340" s="44" t="s">
        <v>29</v>
      </c>
      <c r="W340" s="45" t="s">
        <v>30</v>
      </c>
      <c r="X340" s="47" t="str">
        <f t="array" ref="X340">XLOOKUP($A340,'Recipients REF'!$A:$A,'Recipients REF'!L:L,"",0)</f>
        <v>LSGW1750-RMP-24010061</v>
      </c>
      <c r="Y340" s="48" t="s">
        <v>29</v>
      </c>
      <c r="Z340" s="48" t="s">
        <v>31</v>
      </c>
      <c r="AA340" s="46" t="str">
        <f t="array" ref="AA340">XLOOKUP($A340,'Recipients REF'!$A:$A,'Recipients REF'!M:M,"",0)</f>
        <v>WDP-40-RMP-24010061</v>
      </c>
      <c r="AB340" s="49"/>
      <c r="AC340" s="42"/>
      <c r="AD340" s="42"/>
      <c r="AE340" s="50"/>
      <c r="AF340" s="42"/>
      <c r="AG340" s="42"/>
      <c r="AH340" s="42"/>
      <c r="AI340" s="42">
        <f t="array" ref="AI340">XLOOKUP($E340,Sheet11!$D:$D,Sheet11!$X:$X,"",0)</f>
        <v>869066060246510</v>
      </c>
      <c r="AJ340" s="42">
        <f t="array" ref="AJ340">XLOOKUP($E340,Sheet11!$D:$D,Sheet11!$Y:$Y,"",0)</f>
        <v>9624247761</v>
      </c>
    </row>
    <row r="341">
      <c r="A341" s="41">
        <v>292.0</v>
      </c>
      <c r="B341" s="42" t="s">
        <v>672</v>
      </c>
      <c r="C341" s="42" t="s">
        <v>673</v>
      </c>
      <c r="D341" s="42"/>
      <c r="E341" s="42" t="str">
        <f t="shared" ref="E341:F341" si="342">PROPER(B341)</f>
        <v>Solid Alliance Of Neighbors For Development Through Irrigatos Association And Technology (Sandiat) Council Of Irrigators Association, Inc.</v>
      </c>
      <c r="F341" s="42" t="str">
        <f t="shared" si="342"/>
        <v>District 1 (Pob.), San Manuel (Callang), Isabela</v>
      </c>
      <c r="G341" s="42" t="str">
        <f t="shared" si="3"/>
        <v>District 1 (Pob.)</v>
      </c>
      <c r="H341" s="42" t="str">
        <f t="shared" si="4"/>
        <v>San Manuel (Callang)</v>
      </c>
      <c r="I341" s="42" t="str">
        <f t="shared" si="5"/>
        <v>Isabela</v>
      </c>
      <c r="J341" s="42" t="str">
        <f t="array" ref="J341">XLOOKUP($E341,'Recipients REF'!$B:$B,'Recipients REF'!D:D,"",0)</f>
        <v>Guillermo P. Ignacio</v>
      </c>
      <c r="K341" s="42">
        <f t="array" ref="K341">XLOOKUP($E341,'Recipients REF'!$B:$B,'Recipients REF'!E:E,"",0)</f>
        <v>9156339108</v>
      </c>
      <c r="L341" s="43" t="str">
        <f t="array" ref="L341">XLOOKUP($A341,'Recipients REF'!$A:$A,'Recipients REF'!F:F,"",0)</f>
        <v>RCEF 23-09-21 Rebidding</v>
      </c>
      <c r="M341" s="43">
        <f t="array" ref="M341">XLOOKUP($A341,'Recipients REF'!$A:$A,'Recipients REF'!G:G,"",0)</f>
        <v>1</v>
      </c>
      <c r="N341" s="43">
        <f t="array" ref="N341">XLOOKUP($A341,'Recipients REF'!$A:$A,'Recipients REF'!H:H,"",0)</f>
        <v>18853</v>
      </c>
      <c r="O341" s="44" t="s">
        <v>25</v>
      </c>
      <c r="P341" s="45" t="s">
        <v>26</v>
      </c>
      <c r="Q341" s="46" t="str">
        <f t="array" ref="Q341">XLOOKUP($A341,'Recipients REF'!$A:$A,'Recipients REF'!I:I,"",0)</f>
        <v>KMC5825 ALRFPV0168</v>
      </c>
      <c r="R341" s="47" t="str">
        <f t="array" ref="R341">XLOOKUP($A341,'Recipients REF'!$A:$A,'Recipients REF'!J:J,"",0)</f>
        <v>RTS100109</v>
      </c>
      <c r="S341" s="45" t="s">
        <v>27</v>
      </c>
      <c r="T341" s="45" t="s">
        <v>28</v>
      </c>
      <c r="U341" s="46" t="str">
        <f t="array" ref="U341">XLOOKUP($A341,'Recipients REF'!$A:$A,'Recipients REF'!K:K,"",0)</f>
        <v>R-SERIES 279 PH</v>
      </c>
      <c r="V341" s="44" t="s">
        <v>29</v>
      </c>
      <c r="W341" s="45" t="s">
        <v>30</v>
      </c>
      <c r="X341" s="47" t="str">
        <f t="array" ref="X341">XLOOKUP($A341,'Recipients REF'!$A:$A,'Recipients REF'!L:L,"",0)</f>
        <v>LSGW1750 RMP 24010129</v>
      </c>
      <c r="Y341" s="48" t="s">
        <v>29</v>
      </c>
      <c r="Z341" s="48" t="s">
        <v>31</v>
      </c>
      <c r="AA341" s="46" t="str">
        <f t="array" ref="AA341">XLOOKUP($A341,'Recipients REF'!$A:$A,'Recipients REF'!M:M,"",0)</f>
        <v>WDP40 RMP 24010149</v>
      </c>
      <c r="AB341" s="49"/>
      <c r="AC341" s="42"/>
      <c r="AD341" s="42"/>
      <c r="AE341" s="50"/>
      <c r="AF341" s="42"/>
      <c r="AG341" s="42"/>
      <c r="AH341" s="42"/>
      <c r="AI341" s="42" t="str">
        <f t="array" ref="AI341">XLOOKUP($E341,Sheet11!$D:$D,Sheet11!$X:$X,"",0)</f>
        <v/>
      </c>
      <c r="AJ341" s="42" t="str">
        <f t="array" ref="AJ341">XLOOKUP($E341,Sheet11!$D:$D,Sheet11!$Y:$Y,"",0)</f>
        <v/>
      </c>
    </row>
    <row r="342">
      <c r="A342" s="41">
        <v>293.0</v>
      </c>
      <c r="B342" s="42" t="s">
        <v>674</v>
      </c>
      <c r="C342" s="42" t="s">
        <v>675</v>
      </c>
      <c r="D342" s="42"/>
      <c r="E342" s="42" t="str">
        <f t="shared" ref="E342:F342" si="343">PROPER(B342)</f>
        <v>Villa Dy Irrigators Association, Inc.</v>
      </c>
      <c r="F342" s="42" t="str">
        <f t="shared" si="343"/>
        <v>Alinam, Cauayan City, Isabela</v>
      </c>
      <c r="G342" s="42" t="str">
        <f t="shared" si="3"/>
        <v>Alinam</v>
      </c>
      <c r="H342" s="42" t="str">
        <f t="shared" si="4"/>
        <v>Cauayan City</v>
      </c>
      <c r="I342" s="42" t="str">
        <f t="shared" si="5"/>
        <v>Isabela</v>
      </c>
      <c r="J342" s="42" t="str">
        <f t="array" ref="J342">XLOOKUP($E342,'Recipients REF'!$B:$B,'Recipients REF'!D:D,"",0)</f>
        <v>Antonio G. Ramos</v>
      </c>
      <c r="K342" s="42">
        <f t="array" ref="K342">XLOOKUP($E342,'Recipients REF'!$B:$B,'Recipients REF'!E:E,"",0)</f>
        <v>9752000043</v>
      </c>
      <c r="L342" s="43" t="str">
        <f t="array" ref="L342">XLOOKUP($A342,'Recipients REF'!$A:$A,'Recipients REF'!F:F,"",0)</f>
        <v>RCEF 23-09-21 Rebidding</v>
      </c>
      <c r="M342" s="43">
        <f t="array" ref="M342">XLOOKUP($A342,'Recipients REF'!$A:$A,'Recipients REF'!G:G,"",0)</f>
        <v>1</v>
      </c>
      <c r="N342" s="43">
        <f t="array" ref="N342">XLOOKUP($A342,'Recipients REF'!$A:$A,'Recipients REF'!H:H,"",0)</f>
        <v>18854</v>
      </c>
      <c r="O342" s="44" t="s">
        <v>25</v>
      </c>
      <c r="P342" s="45" t="s">
        <v>26</v>
      </c>
      <c r="Q342" s="46" t="str">
        <f t="array" ref="Q342">XLOOKUP($A342,'Recipients REF'!$A:$A,'Recipients REF'!I:I,"",0)</f>
        <v>KMC5825 AARFPV0203</v>
      </c>
      <c r="R342" s="47" t="str">
        <f t="array" ref="R342">XLOOKUP($A342,'Recipients REF'!$A:$A,'Recipients REF'!J:J,"",0)</f>
        <v>RTS100137</v>
      </c>
      <c r="S342" s="45" t="s">
        <v>27</v>
      </c>
      <c r="T342" s="45" t="s">
        <v>28</v>
      </c>
      <c r="U342" s="46" t="str">
        <f t="array" ref="U342">XLOOKUP($A342,'Recipients REF'!$A:$A,'Recipients REF'!K:K,"",0)</f>
        <v>R-SERIES 290 PH</v>
      </c>
      <c r="V342" s="44" t="s">
        <v>29</v>
      </c>
      <c r="W342" s="45" t="s">
        <v>30</v>
      </c>
      <c r="X342" s="47" t="str">
        <f t="array" ref="X342">XLOOKUP($A342,'Recipients REF'!$A:$A,'Recipients REF'!L:L,"",0)</f>
        <v>LSGW1750 RMP 240010102</v>
      </c>
      <c r="Y342" s="48" t="s">
        <v>29</v>
      </c>
      <c r="Z342" s="48" t="s">
        <v>31</v>
      </c>
      <c r="AA342" s="46" t="str">
        <f t="array" ref="AA342">XLOOKUP($A342,'Recipients REF'!$A:$A,'Recipients REF'!M:M,"",0)</f>
        <v>WDP40 RMP 24010111</v>
      </c>
      <c r="AB342" s="49"/>
      <c r="AC342" s="42"/>
      <c r="AD342" s="42"/>
      <c r="AE342" s="50"/>
      <c r="AF342" s="42"/>
      <c r="AG342" s="42"/>
      <c r="AH342" s="42"/>
      <c r="AI342" s="42">
        <f t="array" ref="AI342">XLOOKUP($E342,Sheet11!$D:$D,Sheet11!$X:$X,"",0)</f>
        <v>869066060246452</v>
      </c>
      <c r="AJ342" s="42">
        <f t="array" ref="AJ342">XLOOKUP($E342,Sheet11!$D:$D,Sheet11!$Y:$Y,"",0)</f>
        <v>9624245398</v>
      </c>
    </row>
    <row r="343">
      <c r="A343" s="41">
        <v>294.0</v>
      </c>
      <c r="B343" s="42" t="s">
        <v>676</v>
      </c>
      <c r="C343" s="42" t="s">
        <v>677</v>
      </c>
      <c r="D343" s="42"/>
      <c r="E343" s="42" t="str">
        <f t="shared" ref="E343:F343" si="344">PROPER(B343)</f>
        <v>Echague Development Cooperative</v>
      </c>
      <c r="F343" s="42" t="str">
        <f t="shared" si="344"/>
        <v>Silauan Norte (Pob.), Echague, Isabela</v>
      </c>
      <c r="G343" s="42" t="str">
        <f t="shared" si="3"/>
        <v>Silauan Norte (Pob.)</v>
      </c>
      <c r="H343" s="42" t="str">
        <f t="shared" si="4"/>
        <v>Echague</v>
      </c>
      <c r="I343" s="42" t="str">
        <f t="shared" si="5"/>
        <v>Isabela</v>
      </c>
      <c r="J343" s="42" t="str">
        <f t="array" ref="J343">XLOOKUP($E343,'Recipients REF'!$B:$B,'Recipients REF'!D:D,"",0)</f>
        <v>Lily B. Dumaliang</v>
      </c>
      <c r="K343" s="42">
        <f t="array" ref="K343">XLOOKUP($E343,'Recipients REF'!$B:$B,'Recipients REF'!E:E,"",0)</f>
        <v>9178828339</v>
      </c>
      <c r="L343" s="43" t="str">
        <f t="array" ref="L343">XLOOKUP($A343,'Recipients REF'!$A:$A,'Recipients REF'!F:F,"",0)</f>
        <v>RCEF 23-09-21 Rebidding</v>
      </c>
      <c r="M343" s="43">
        <f t="array" ref="M343">XLOOKUP($A343,'Recipients REF'!$A:$A,'Recipients REF'!G:G,"",0)</f>
        <v>1</v>
      </c>
      <c r="N343" s="43">
        <f t="array" ref="N343">XLOOKUP($A343,'Recipients REF'!$A:$A,'Recipients REF'!H:H,"",0)</f>
        <v>18855</v>
      </c>
      <c r="O343" s="44" t="s">
        <v>25</v>
      </c>
      <c r="P343" s="45" t="s">
        <v>26</v>
      </c>
      <c r="Q343" s="46" t="str">
        <f t="array" ref="Q343">XLOOKUP($A343,'Recipients REF'!$A:$A,'Recipients REF'!I:I,"",0)</f>
        <v>KMC825AKRFPV0194</v>
      </c>
      <c r="R343" s="47" t="str">
        <f t="array" ref="R343">XLOOKUP($A343,'Recipients REF'!$A:$A,'Recipients REF'!J:J,"",0)</f>
        <v>RTS100075</v>
      </c>
      <c r="S343" s="45" t="s">
        <v>27</v>
      </c>
      <c r="T343" s="45" t="s">
        <v>28</v>
      </c>
      <c r="U343" s="46" t="str">
        <f t="array" ref="U343">XLOOKUP($A343,'Recipients REF'!$A:$A,'Recipients REF'!K:K,"",0)</f>
        <v>R SERIES 100075</v>
      </c>
      <c r="V343" s="44" t="s">
        <v>29</v>
      </c>
      <c r="W343" s="45" t="s">
        <v>30</v>
      </c>
      <c r="X343" s="47" t="str">
        <f t="array" ref="X343">XLOOKUP($A343,'Recipients REF'!$A:$A,'Recipients REF'!L:L,"",0)</f>
        <v>LSGW WDP40 24010092</v>
      </c>
      <c r="Y343" s="48" t="s">
        <v>29</v>
      </c>
      <c r="Z343" s="48" t="s">
        <v>31</v>
      </c>
      <c r="AA343" s="46" t="str">
        <f t="array" ref="AA343">XLOOKUP($A343,'Recipients REF'!$A:$A,'Recipients REF'!M:M,"",0)</f>
        <v>WDP40 RMP 24010092</v>
      </c>
      <c r="AB343" s="49"/>
      <c r="AC343" s="42"/>
      <c r="AD343" s="42"/>
      <c r="AE343" s="50"/>
      <c r="AF343" s="42"/>
      <c r="AG343" s="42"/>
      <c r="AH343" s="42"/>
      <c r="AI343" s="42" t="str">
        <f t="array" ref="AI343">XLOOKUP($E343,Sheet11!$D:$D,Sheet11!$X:$X,"",0)</f>
        <v/>
      </c>
      <c r="AJ343" s="42" t="str">
        <f t="array" ref="AJ343">XLOOKUP($E343,Sheet11!$D:$D,Sheet11!$Y:$Y,"",0)</f>
        <v/>
      </c>
    </row>
    <row r="344">
      <c r="A344" s="41">
        <v>503.0</v>
      </c>
      <c r="B344" s="42" t="s">
        <v>678</v>
      </c>
      <c r="C344" s="42" t="s">
        <v>679</v>
      </c>
      <c r="D344" s="42"/>
      <c r="E344" s="42" t="str">
        <f t="shared" ref="E344:F344" si="345">PROPER(B344)</f>
        <v>Baluarte-Aurora Irrigators Association, Inc.</v>
      </c>
      <c r="F344" s="42" t="str">
        <f t="shared" si="345"/>
        <v>Ballesteros, Aurora, Isabela</v>
      </c>
      <c r="G344" s="42" t="str">
        <f t="shared" si="3"/>
        <v>Ballesteros</v>
      </c>
      <c r="H344" s="42" t="str">
        <f t="shared" si="4"/>
        <v>Aurora</v>
      </c>
      <c r="I344" s="42" t="str">
        <f t="shared" si="5"/>
        <v>Isabela</v>
      </c>
      <c r="J344" s="42" t="str">
        <f t="array" ref="J344">XLOOKUP($E344,'Recipients REF'!$B:$B,'Recipients REF'!D:D,"",0)</f>
        <v>Francisco D. Nitura</v>
      </c>
      <c r="K344" s="42">
        <f t="array" ref="K344">XLOOKUP($E344,'Recipients REF'!$B:$B,'Recipients REF'!E:E,"",0)</f>
        <v>9179961616</v>
      </c>
      <c r="L344" s="43" t="str">
        <f t="array" ref="L344">XLOOKUP($A344,'Recipients REF'!$A:$A,'Recipients REF'!F:F,"",0)</f>
        <v>RCEF 24-04-15</v>
      </c>
      <c r="M344" s="43">
        <f t="array" ref="M344">XLOOKUP($A344,'Recipients REF'!$A:$A,'Recipients REF'!G:G,"",0)</f>
        <v>6</v>
      </c>
      <c r="N344" s="43">
        <f t="array" ref="N344">XLOOKUP($A344,'Recipients REF'!$A:$A,'Recipients REF'!H:H,"",0)</f>
        <v>19977</v>
      </c>
      <c r="O344" s="44" t="s">
        <v>25</v>
      </c>
      <c r="P344" s="45" t="s">
        <v>26</v>
      </c>
      <c r="Q344" s="46" t="str">
        <f t="array" ref="Q344">XLOOKUP($A344,'Recipients REF'!$A:$A,'Recipients REF'!I:I,"",0)</f>
        <v>KMC5825APRFPV0940</v>
      </c>
      <c r="R344" s="47" t="str">
        <f t="array" ref="R344">XLOOKUP($A344,'Recipients REF'!$A:$A,'Recipients REF'!J:J,"",0)</f>
        <v>RTS100808</v>
      </c>
      <c r="S344" s="45" t="s">
        <v>27</v>
      </c>
      <c r="T344" s="45" t="s">
        <v>28</v>
      </c>
      <c r="U344" s="46" t="str">
        <f t="array" ref="U344">XLOOKUP($A344,'Recipients REF'!$A:$A,'Recipients REF'!K:K,"",0)</f>
        <v>LSGW170-RMP-24101008</v>
      </c>
      <c r="V344" s="44" t="s">
        <v>29</v>
      </c>
      <c r="W344" s="45" t="s">
        <v>30</v>
      </c>
      <c r="X344" s="47" t="str">
        <f t="array" ref="X344">XLOOKUP($A344,'Recipients REF'!$A:$A,'Recipients REF'!L:L,"",0)</f>
        <v>WDP40-RMP-24121475</v>
      </c>
      <c r="Y344" s="48" t="s">
        <v>29</v>
      </c>
      <c r="Z344" s="48" t="s">
        <v>31</v>
      </c>
      <c r="AA344" s="46" t="str">
        <f t="array" ref="AA344">XLOOKUP($A344,'Recipients REF'!$A:$A,'Recipients REF'!M:M,"",0)</f>
        <v>WR-SERIES-1015PH</v>
      </c>
      <c r="AB344" s="49"/>
      <c r="AC344" s="42"/>
      <c r="AD344" s="42"/>
      <c r="AE344" s="50"/>
      <c r="AF344" s="42"/>
      <c r="AG344" s="42"/>
      <c r="AH344" s="42"/>
      <c r="AI344" s="42" t="str">
        <f t="array" ref="AI344">XLOOKUP($E344,Sheet11!$D:$D,Sheet11!$X:$X,"",0)</f>
        <v/>
      </c>
      <c r="AJ344" s="42" t="str">
        <f t="array" ref="AJ344">XLOOKUP($E344,Sheet11!$D:$D,Sheet11!$Y:$Y,"",0)</f>
        <v/>
      </c>
    </row>
    <row r="345">
      <c r="A345" s="41">
        <v>504.0</v>
      </c>
      <c r="B345" s="42" t="s">
        <v>680</v>
      </c>
      <c r="C345" s="42" t="s">
        <v>675</v>
      </c>
      <c r="D345" s="42"/>
      <c r="E345" s="42" t="str">
        <f t="shared" ref="E345:F345" si="346">PROPER(B345)</f>
        <v>Isabela Seeds Growers Multi-Purpose Cooperative</v>
      </c>
      <c r="F345" s="42" t="str">
        <f t="shared" si="346"/>
        <v>Alinam, Cauayan City, Isabela</v>
      </c>
      <c r="G345" s="42" t="str">
        <f t="shared" si="3"/>
        <v>Alinam</v>
      </c>
      <c r="H345" s="42" t="str">
        <f t="shared" si="4"/>
        <v>Cauayan City</v>
      </c>
      <c r="I345" s="42" t="str">
        <f t="shared" si="5"/>
        <v>Isabela</v>
      </c>
      <c r="J345" s="42" t="str">
        <f t="array" ref="J345">XLOOKUP($E345,'Recipients REF'!$B:$B,'Recipients REF'!D:D,"",0)</f>
        <v>Alfredo R. Paguila</v>
      </c>
      <c r="K345" s="42">
        <f t="array" ref="K345">XLOOKUP($E345,'Recipients REF'!$B:$B,'Recipients REF'!E:E,"",0)</f>
        <v>9273856756</v>
      </c>
      <c r="L345" s="43" t="str">
        <f t="array" ref="L345">XLOOKUP($A345,'Recipients REF'!$A:$A,'Recipients REF'!F:F,"",0)</f>
        <v>RCEF 24-04-15</v>
      </c>
      <c r="M345" s="43">
        <f t="array" ref="M345">XLOOKUP($A345,'Recipients REF'!$A:$A,'Recipients REF'!G:G,"",0)</f>
        <v>6</v>
      </c>
      <c r="N345" s="43">
        <f t="array" ref="N345">XLOOKUP($A345,'Recipients REF'!$A:$A,'Recipients REF'!H:H,"",0)</f>
        <v>19978</v>
      </c>
      <c r="O345" s="44" t="s">
        <v>25</v>
      </c>
      <c r="P345" s="45" t="s">
        <v>26</v>
      </c>
      <c r="Q345" s="46" t="str">
        <f t="array" ref="Q345">XLOOKUP($A345,'Recipients REF'!$A:$A,'Recipients REF'!I:I,"",0)</f>
        <v>KMC5825AKRFPV0910</v>
      </c>
      <c r="R345" s="47" t="str">
        <f t="array" ref="R345">XLOOKUP($A345,'Recipients REF'!$A:$A,'Recipients REF'!J:J,"",0)</f>
        <v>RTS100789</v>
      </c>
      <c r="S345" s="45" t="s">
        <v>27</v>
      </c>
      <c r="T345" s="45" t="s">
        <v>28</v>
      </c>
      <c r="U345" s="46" t="str">
        <f t="array" ref="U345">XLOOKUP($A345,'Recipients REF'!$A:$A,'Recipients REF'!K:K,"",0)</f>
        <v>LSGW170-RMP-24101077</v>
      </c>
      <c r="V345" s="44" t="s">
        <v>29</v>
      </c>
      <c r="W345" s="45" t="s">
        <v>30</v>
      </c>
      <c r="X345" s="47" t="str">
        <f t="array" ref="X345">XLOOKUP($A345,'Recipients REF'!$A:$A,'Recipients REF'!L:L,"",0)</f>
        <v>WDP40-RMP-24121492</v>
      </c>
      <c r="Y345" s="48" t="s">
        <v>29</v>
      </c>
      <c r="Z345" s="48" t="s">
        <v>31</v>
      </c>
      <c r="AA345" s="46" t="str">
        <f t="array" ref="AA345">XLOOKUP($A345,'Recipients REF'!$A:$A,'Recipients REF'!M:M,"",0)</f>
        <v>WR-SERIES-1102PH</v>
      </c>
      <c r="AB345" s="49"/>
      <c r="AC345" s="42"/>
      <c r="AD345" s="42"/>
      <c r="AE345" s="50"/>
      <c r="AF345" s="42"/>
      <c r="AG345" s="42"/>
      <c r="AH345" s="42"/>
      <c r="AI345" s="42" t="str">
        <f t="array" ref="AI345">XLOOKUP($E345,Sheet11!$D:$D,Sheet11!$X:$X,"",0)</f>
        <v/>
      </c>
      <c r="AJ345" s="42" t="str">
        <f t="array" ref="AJ345">XLOOKUP($E345,Sheet11!$D:$D,Sheet11!$Y:$Y,"",0)</f>
        <v/>
      </c>
    </row>
    <row r="346">
      <c r="A346" s="41">
        <v>505.0</v>
      </c>
      <c r="B346" s="42" t="s">
        <v>681</v>
      </c>
      <c r="C346" s="42" t="s">
        <v>682</v>
      </c>
      <c r="D346" s="42"/>
      <c r="E346" s="42" t="str">
        <f t="shared" ref="E346:F346" si="347">PROPER(B346)</f>
        <v>Grupo Mannalon Agriculture Cooperative</v>
      </c>
      <c r="F346" s="42" t="str">
        <f t="shared" si="347"/>
        <v>Rosario, Santiago City, Isabela</v>
      </c>
      <c r="G346" s="42" t="str">
        <f t="shared" si="3"/>
        <v>Rosario</v>
      </c>
      <c r="H346" s="42" t="str">
        <f t="shared" si="4"/>
        <v>Santiago City</v>
      </c>
      <c r="I346" s="42" t="str">
        <f t="shared" si="5"/>
        <v>Isabela</v>
      </c>
      <c r="J346" s="42" t="str">
        <f t="array" ref="J346">XLOOKUP($E346,'Recipients REF'!$B:$B,'Recipients REF'!D:D,"",0)</f>
        <v>#N/A</v>
      </c>
      <c r="K346" s="42" t="str">
        <f t="array" ref="K346">XLOOKUP($E346,'Recipients REF'!$B:$B,'Recipients REF'!E:E,"",0)</f>
        <v>#N/A</v>
      </c>
      <c r="L346" s="43" t="str">
        <f t="array" ref="L346">XLOOKUP($A346,'Recipients REF'!$A:$A,'Recipients REF'!F:F,"",0)</f>
        <v>RCEF 24-04-15</v>
      </c>
      <c r="M346" s="43">
        <f t="array" ref="M346">XLOOKUP($A346,'Recipients REF'!$A:$A,'Recipients REF'!G:G,"",0)</f>
        <v>6</v>
      </c>
      <c r="N346" s="43">
        <f t="array" ref="N346">XLOOKUP($A346,'Recipients REF'!$A:$A,'Recipients REF'!H:H,"",0)</f>
        <v>19979</v>
      </c>
      <c r="O346" s="44" t="s">
        <v>25</v>
      </c>
      <c r="P346" s="45" t="s">
        <v>26</v>
      </c>
      <c r="Q346" s="46" t="str">
        <f t="array" ref="Q346">XLOOKUP($A346,'Recipients REF'!$A:$A,'Recipients REF'!I:I,"",0)</f>
        <v>KMC5825AVRFPV0927</v>
      </c>
      <c r="R346" s="47" t="str">
        <f t="array" ref="R346">XLOOKUP($A346,'Recipients REF'!$A:$A,'Recipients REF'!J:J,"",0)</f>
        <v>RTS100763</v>
      </c>
      <c r="S346" s="45" t="s">
        <v>27</v>
      </c>
      <c r="T346" s="45" t="s">
        <v>28</v>
      </c>
      <c r="U346" s="46" t="str">
        <f t="array" ref="U346">XLOOKUP($A346,'Recipients REF'!$A:$A,'Recipients REF'!K:K,"",0)</f>
        <v>LSGW170-RMP-24101078</v>
      </c>
      <c r="V346" s="44" t="s">
        <v>29</v>
      </c>
      <c r="W346" s="45" t="s">
        <v>30</v>
      </c>
      <c r="X346" s="47" t="str">
        <f t="array" ref="X346">XLOOKUP($A346,'Recipients REF'!$A:$A,'Recipients REF'!L:L,"",0)</f>
        <v>WDP40-RMP-24121477</v>
      </c>
      <c r="Y346" s="48" t="s">
        <v>29</v>
      </c>
      <c r="Z346" s="48" t="s">
        <v>31</v>
      </c>
      <c r="AA346" s="46" t="str">
        <f t="array" ref="AA346">XLOOKUP($A346,'Recipients REF'!$A:$A,'Recipients REF'!M:M,"",0)</f>
        <v>WR-SERIES-1005PH</v>
      </c>
      <c r="AB346" s="49"/>
      <c r="AC346" s="42"/>
      <c r="AD346" s="42"/>
      <c r="AE346" s="50"/>
      <c r="AF346" s="42"/>
      <c r="AG346" s="42"/>
      <c r="AH346" s="42"/>
      <c r="AI346" s="42" t="str">
        <f t="array" ref="AI346">XLOOKUP($E346,Sheet11!$D:$D,Sheet11!$X:$X,"",0)</f>
        <v/>
      </c>
      <c r="AJ346" s="42" t="str">
        <f t="array" ref="AJ346">XLOOKUP($E346,Sheet11!$D:$D,Sheet11!$Y:$Y,"",0)</f>
        <v/>
      </c>
    </row>
    <row r="347">
      <c r="A347" s="41">
        <v>570.0</v>
      </c>
      <c r="B347" s="42" t="s">
        <v>683</v>
      </c>
      <c r="C347" s="42" t="s">
        <v>684</v>
      </c>
      <c r="D347" s="42"/>
      <c r="E347" s="42" t="str">
        <f t="shared" ref="E347:F347" si="348">PROPER(B347)</f>
        <v>Tumauini Ammianan Farmers Irrigators' Association Inc.</v>
      </c>
      <c r="F347" s="42" t="str">
        <f t="shared" si="348"/>
        <v>, San Vicente, Isabela</v>
      </c>
      <c r="G347" s="42" t="str">
        <f t="shared" si="3"/>
        <v/>
      </c>
      <c r="H347" s="42" t="str">
        <f t="shared" si="4"/>
        <v>San Vicente</v>
      </c>
      <c r="I347" s="42" t="str">
        <f t="shared" si="5"/>
        <v>Isabela</v>
      </c>
      <c r="J347" s="42" t="str">
        <f t="array" ref="J347">XLOOKUP($E347,'Recipients REF'!$B:$B,'Recipients REF'!D:D,"",0)</f>
        <v>Roldan B. Acierto</v>
      </c>
      <c r="K347" s="42">
        <f t="array" ref="K347">XLOOKUP($E347,'Recipients REF'!$B:$B,'Recipients REF'!E:E,"",0)</f>
        <v>9813230453</v>
      </c>
      <c r="L347" s="43" t="str">
        <f t="array" ref="L347">XLOOKUP($A347,'Recipients REF'!$A:$A,'Recipients REF'!F:F,"",0)</f>
        <v>RCEF 24-04-15</v>
      </c>
      <c r="M347" s="43">
        <f t="array" ref="M347">XLOOKUP($A347,'Recipients REF'!$A:$A,'Recipients REF'!G:G,"",0)</f>
        <v>6</v>
      </c>
      <c r="N347" s="43">
        <f t="array" ref="N347">XLOOKUP($A347,'Recipients REF'!$A:$A,'Recipients REF'!H:H,"",0)</f>
        <v>20046</v>
      </c>
      <c r="O347" s="44" t="s">
        <v>25</v>
      </c>
      <c r="P347" s="45" t="s">
        <v>26</v>
      </c>
      <c r="Q347" s="46" t="str">
        <f t="array" ref="Q347">XLOOKUP($A347,'Recipients REF'!$A:$A,'Recipients REF'!I:I,"",0)</f>
        <v>KMC5825ALRFPV0879</v>
      </c>
      <c r="R347" s="47" t="str">
        <f t="array" ref="R347">XLOOKUP($A347,'Recipients REF'!$A:$A,'Recipients REF'!J:J,"",0)</f>
        <v>RTS100768</v>
      </c>
      <c r="S347" s="45" t="s">
        <v>27</v>
      </c>
      <c r="T347" s="45" t="s">
        <v>28</v>
      </c>
      <c r="U347" s="46" t="str">
        <f t="array" ref="U347">XLOOKUP($A347,'Recipients REF'!$A:$A,'Recipients REF'!K:K,"",0)</f>
        <v>LSGW170-RMP-24101032</v>
      </c>
      <c r="V347" s="44" t="s">
        <v>29</v>
      </c>
      <c r="W347" s="45" t="s">
        <v>30</v>
      </c>
      <c r="X347" s="47" t="str">
        <f t="array" ref="X347">XLOOKUP($A347,'Recipients REF'!$A:$A,'Recipients REF'!L:L,"",0)</f>
        <v>WDP40-RMP-24121464</v>
      </c>
      <c r="Y347" s="48" t="s">
        <v>29</v>
      </c>
      <c r="Z347" s="48" t="s">
        <v>31</v>
      </c>
      <c r="AA347" s="46" t="str">
        <f t="array" ref="AA347">XLOOKUP($A347,'Recipients REF'!$A:$A,'Recipients REF'!M:M,"",0)</f>
        <v>WR-SERIES-1021PH</v>
      </c>
      <c r="AB347" s="49"/>
      <c r="AC347" s="42"/>
      <c r="AD347" s="42"/>
      <c r="AE347" s="50"/>
      <c r="AF347" s="42"/>
      <c r="AG347" s="42"/>
      <c r="AH347" s="42"/>
      <c r="AI347" s="42" t="str">
        <f t="array" ref="AI347">XLOOKUP($E347,Sheet11!$D:$D,Sheet11!$X:$X,"",0)</f>
        <v/>
      </c>
      <c r="AJ347" s="42" t="str">
        <f t="array" ref="AJ347">XLOOKUP($E347,Sheet11!$D:$D,Sheet11!$Y:$Y,"",0)</f>
        <v/>
      </c>
    </row>
    <row r="348">
      <c r="A348" s="41">
        <v>979.0</v>
      </c>
      <c r="B348" s="42" t="s">
        <v>685</v>
      </c>
      <c r="C348" s="42" t="s">
        <v>686</v>
      </c>
      <c r="D348" s="42"/>
      <c r="E348" s="42" t="str">
        <f t="shared" ref="E348:F348" si="349">PROPER(B348)</f>
        <v>Casilagan-Balacong Irrigators' Association, Inc.</v>
      </c>
      <c r="F348" s="42" t="str">
        <f t="shared" si="349"/>
        <v>Cabeseria 14 And 16 (Casilagan), Ilagan City, Isabela</v>
      </c>
      <c r="G348" s="42" t="str">
        <f t="shared" si="3"/>
        <v>Cabeseria 14 And 16 (Casilagan)</v>
      </c>
      <c r="H348" s="42" t="str">
        <f t="shared" si="4"/>
        <v>Ilagan City</v>
      </c>
      <c r="I348" s="42" t="str">
        <f t="shared" si="5"/>
        <v>Isabela</v>
      </c>
      <c r="J348" s="42" t="str">
        <f t="array" ref="J348">XLOOKUP($E348,'Recipients REF'!$B:$B,'Recipients REF'!D:D,"",0)</f>
        <v>Joel E. Bueno</v>
      </c>
      <c r="K348" s="42" t="str">
        <f t="array" ref="K348">XLOOKUP($E348,'Recipients REF'!$B:$B,'Recipients REF'!E:E,"",0)</f>
        <v>0906-155-3332</v>
      </c>
      <c r="L348" s="43" t="str">
        <f t="array" ref="L348">XLOOKUP($A348,'Recipients REF'!$A:$A,'Recipients REF'!F:F,"",0)</f>
        <v>Repeat Order</v>
      </c>
      <c r="M348" s="43">
        <f t="array" ref="M348">XLOOKUP($A348,'Recipients REF'!$A:$A,'Recipients REF'!G:G,"",0)</f>
        <v>6</v>
      </c>
      <c r="N348" s="43">
        <f t="array" ref="N348">XLOOKUP($A348,'Recipients REF'!$A:$A,'Recipients REF'!H:H,"",0)</f>
        <v>23115</v>
      </c>
      <c r="O348" s="44" t="s">
        <v>25</v>
      </c>
      <c r="P348" s="45" t="s">
        <v>26</v>
      </c>
      <c r="Q348" s="46" t="str">
        <f t="array" ref="Q348">XLOOKUP($A348,'Recipients REF'!$A:$A,'Recipients REF'!I:I,"",0)</f>
        <v>KMC5825AKRFPV0924</v>
      </c>
      <c r="R348" s="47" t="str">
        <f t="array" ref="R348">XLOOKUP($A348,'Recipients REF'!$A:$A,'Recipients REF'!J:J,"",0)</f>
        <v>RTS100750</v>
      </c>
      <c r="S348" s="45" t="s">
        <v>27</v>
      </c>
      <c r="T348" s="45" t="s">
        <v>28</v>
      </c>
      <c r="U348" s="46" t="str">
        <f t="array" ref="U348">XLOOKUP($A348,'Recipients REF'!$A:$A,'Recipients REF'!K:K,"",0)</f>
        <v>LSGW1750-RMP-24090786</v>
      </c>
      <c r="V348" s="44" t="s">
        <v>29</v>
      </c>
      <c r="W348" s="45" t="s">
        <v>30</v>
      </c>
      <c r="X348" s="47" t="str">
        <f t="array" ref="X348">XLOOKUP($A348,'Recipients REF'!$A:$A,'Recipients REF'!L:L,"",0)</f>
        <v>WDP40-RMP-25030413</v>
      </c>
      <c r="Y348" s="48" t="s">
        <v>29</v>
      </c>
      <c r="Z348" s="48" t="s">
        <v>31</v>
      </c>
      <c r="AA348" s="46" t="str">
        <f t="array" ref="AA348">XLOOKUP($A348,'Recipients REF'!$A:$A,'Recipients REF'!M:M,"",0)</f>
        <v>WR-SERIES-1305PH</v>
      </c>
      <c r="AB348" s="49"/>
      <c r="AC348" s="42"/>
      <c r="AD348" s="42"/>
      <c r="AE348" s="50"/>
      <c r="AF348" s="42"/>
      <c r="AG348" s="42"/>
      <c r="AH348" s="42"/>
      <c r="AI348" s="42" t="str">
        <f t="array" ref="AI348">XLOOKUP($E348,Sheet11!$D:$D,Sheet11!$X:$X,"",0)</f>
        <v/>
      </c>
      <c r="AJ348" s="42" t="str">
        <f t="array" ref="AJ348">XLOOKUP($E348,Sheet11!$D:$D,Sheet11!$Y:$Y,"",0)</f>
        <v/>
      </c>
    </row>
    <row r="349">
      <c r="A349" s="41">
        <v>980.0</v>
      </c>
      <c r="B349" s="42" t="s">
        <v>687</v>
      </c>
      <c r="C349" s="42" t="s">
        <v>688</v>
      </c>
      <c r="D349" s="42"/>
      <c r="E349" s="42" t="str">
        <f t="shared" ref="E349:F349" si="350">PROPER(B349)</f>
        <v>Marcos Ventures Masaganang Ani Isabela Agriculture Cooperative (Mvmaiac)</v>
      </c>
      <c r="F349" s="42" t="str">
        <f t="shared" si="350"/>
        <v>Arellano (Pob.), Quezon, Isabela</v>
      </c>
      <c r="G349" s="42" t="str">
        <f t="shared" si="3"/>
        <v>Arellano (Pob.)</v>
      </c>
      <c r="H349" s="42" t="str">
        <f t="shared" si="4"/>
        <v>Quezon</v>
      </c>
      <c r="I349" s="42" t="str">
        <f t="shared" si="5"/>
        <v>Isabela</v>
      </c>
      <c r="J349" s="42" t="str">
        <f t="array" ref="J349">XLOOKUP($E349,'Recipients REF'!$B:$B,'Recipients REF'!D:D,"",0)</f>
        <v>Avelino N. Maribojo</v>
      </c>
      <c r="K349" s="42" t="str">
        <f t="array" ref="K349">XLOOKUP($E349,'Recipients REF'!$B:$B,'Recipients REF'!E:E,"",0)</f>
        <v>0992-547-7015</v>
      </c>
      <c r="L349" s="43" t="str">
        <f t="array" ref="L349">XLOOKUP($A349,'Recipients REF'!$A:$A,'Recipients REF'!F:F,"",0)</f>
        <v>Repeat Order</v>
      </c>
      <c r="M349" s="43">
        <f t="array" ref="M349">XLOOKUP($A349,'Recipients REF'!$A:$A,'Recipients REF'!G:G,"",0)</f>
        <v>6</v>
      </c>
      <c r="N349" s="43">
        <f t="array" ref="N349">XLOOKUP($A349,'Recipients REF'!$A:$A,'Recipients REF'!H:H,"",0)</f>
        <v>23116</v>
      </c>
      <c r="O349" s="44" t="s">
        <v>25</v>
      </c>
      <c r="P349" s="45" t="s">
        <v>26</v>
      </c>
      <c r="Q349" s="46" t="str">
        <f t="array" ref="Q349">XLOOKUP($A349,'Recipients REF'!$A:$A,'Recipients REF'!I:I,"",0)</f>
        <v>KMC5825AERFPV1095</v>
      </c>
      <c r="R349" s="47" t="str">
        <f t="array" ref="R349">XLOOKUP($A349,'Recipients REF'!$A:$A,'Recipients REF'!J:J,"",0)</f>
        <v>RTS100845</v>
      </c>
      <c r="S349" s="45" t="s">
        <v>27</v>
      </c>
      <c r="T349" s="45" t="s">
        <v>28</v>
      </c>
      <c r="U349" s="46" t="str">
        <f t="array" ref="U349">XLOOKUP($A349,'Recipients REF'!$A:$A,'Recipients REF'!K:K,"",0)</f>
        <v>LSGW1750-RMP-24090777</v>
      </c>
      <c r="V349" s="44" t="s">
        <v>29</v>
      </c>
      <c r="W349" s="45" t="s">
        <v>30</v>
      </c>
      <c r="X349" s="47" t="str">
        <f t="array" ref="X349">XLOOKUP($A349,'Recipients REF'!$A:$A,'Recipients REF'!L:L,"",0)</f>
        <v>WDP40-RMP-25030380</v>
      </c>
      <c r="Y349" s="48" t="s">
        <v>29</v>
      </c>
      <c r="Z349" s="48" t="s">
        <v>31</v>
      </c>
      <c r="AA349" s="46" t="str">
        <f t="array" ref="AA349">XLOOKUP($A349,'Recipients REF'!$A:$A,'Recipients REF'!M:M,"",0)</f>
        <v>WR-SERIES-1307PH</v>
      </c>
      <c r="AB349" s="49"/>
      <c r="AC349" s="42"/>
      <c r="AD349" s="42"/>
      <c r="AE349" s="50"/>
      <c r="AF349" s="42"/>
      <c r="AG349" s="42"/>
      <c r="AH349" s="42"/>
      <c r="AI349" s="42" t="str">
        <f t="array" ref="AI349">XLOOKUP($E349,Sheet11!$D:$D,Sheet11!$X:$X,"",0)</f>
        <v/>
      </c>
      <c r="AJ349" s="42" t="str">
        <f t="array" ref="AJ349">XLOOKUP($E349,Sheet11!$D:$D,Sheet11!$Y:$Y,"",0)</f>
        <v/>
      </c>
    </row>
    <row r="350">
      <c r="A350" s="41">
        <v>192.0</v>
      </c>
      <c r="B350" s="42" t="s">
        <v>689</v>
      </c>
      <c r="C350" s="42" t="s">
        <v>690</v>
      </c>
      <c r="D350" s="42"/>
      <c r="E350" s="42" t="str">
        <f t="shared" ref="E350:F350" si="351">PROPER(B350)</f>
        <v>Gumawisan Mapaco Farmers Association</v>
      </c>
      <c r="F350" s="42" t="str">
        <f t="shared" si="351"/>
        <v>Mapaco, Pinukpuk, Kalinga</v>
      </c>
      <c r="G350" s="42" t="str">
        <f t="shared" si="3"/>
        <v>Mapaco</v>
      </c>
      <c r="H350" s="42" t="str">
        <f t="shared" si="4"/>
        <v>Pinukpuk</v>
      </c>
      <c r="I350" s="42" t="str">
        <f t="shared" si="5"/>
        <v>Kalinga</v>
      </c>
      <c r="J350" s="42" t="str">
        <f t="array" ref="J350">XLOOKUP($E350,'Recipients REF'!$B:$B,'Recipients REF'!D:D,"",0)</f>
        <v>MELVIN-LEE R. MANGWAG</v>
      </c>
      <c r="K350" s="42">
        <f t="array" ref="K350">XLOOKUP($E350,'Recipients REF'!$B:$B,'Recipients REF'!E:E,"",0)</f>
        <v>9069310401</v>
      </c>
      <c r="L350" s="43" t="str">
        <f t="array" ref="L350">XLOOKUP($A350,'Recipients REF'!$A:$A,'Recipients REF'!F:F,"",0)</f>
        <v>RCEF 23-09-21 Rebidding</v>
      </c>
      <c r="M350" s="43">
        <f t="array" ref="M350">XLOOKUP($A350,'Recipients REF'!$A:$A,'Recipients REF'!G:G,"",0)</f>
        <v>1</v>
      </c>
      <c r="N350" s="43">
        <f t="array" ref="N350">XLOOKUP($A350,'Recipients REF'!$A:$A,'Recipients REF'!H:H,"",0)</f>
        <v>18357</v>
      </c>
      <c r="O350" s="44" t="s">
        <v>25</v>
      </c>
      <c r="P350" s="45" t="s">
        <v>26</v>
      </c>
      <c r="Q350" s="46" t="str">
        <f t="array" ref="Q350">XLOOKUP($A350,'Recipients REF'!$A:$A,'Recipients REF'!I:I,"",0)</f>
        <v>KMC5825 RMP ATRFPV0614</v>
      </c>
      <c r="R350" s="47" t="str">
        <f t="array" ref="R350">XLOOKUP($A350,'Recipients REF'!$A:$A,'Recipients REF'!J:J,"",0)</f>
        <v>RTS 100580</v>
      </c>
      <c r="S350" s="45" t="s">
        <v>27</v>
      </c>
      <c r="T350" s="45" t="s">
        <v>28</v>
      </c>
      <c r="U350" s="46" t="str">
        <f t="array" ref="U350">XLOOKUP($A350,'Recipients REF'!$A:$A,'Recipients REF'!K:K,"",0)</f>
        <v>WR-SERIES 944 PH</v>
      </c>
      <c r="V350" s="44" t="s">
        <v>29</v>
      </c>
      <c r="W350" s="45" t="s">
        <v>30</v>
      </c>
      <c r="X350" s="47" t="str">
        <f t="array" ref="X350">XLOOKUP($A350,'Recipients REF'!$A:$A,'Recipients REF'!L:L,"",0)</f>
        <v>LSGW1750 RMP 24010207</v>
      </c>
      <c r="Y350" s="48" t="s">
        <v>29</v>
      </c>
      <c r="Z350" s="48" t="s">
        <v>31</v>
      </c>
      <c r="AA350" s="46" t="str">
        <f t="array" ref="AA350">XLOOKUP($A350,'Recipients REF'!$A:$A,'Recipients REF'!M:M,"",0)</f>
        <v>WDP40 RMP 24050551</v>
      </c>
      <c r="AB350" s="49"/>
      <c r="AC350" s="42"/>
      <c r="AD350" s="42"/>
      <c r="AE350" s="50"/>
      <c r="AF350" s="42"/>
      <c r="AG350" s="42"/>
      <c r="AH350" s="42"/>
      <c r="AI350" s="42">
        <f t="array" ref="AI350">XLOOKUP($E350,Sheet11!$D:$D,Sheet11!$X:$X,"",0)</f>
        <v>869066060237667</v>
      </c>
      <c r="AJ350" s="42">
        <f t="array" ref="AJ350">XLOOKUP($E350,Sheet11!$D:$D,Sheet11!$Y:$Y,"",0)</f>
        <v>9622800976</v>
      </c>
    </row>
    <row r="351">
      <c r="A351" s="41">
        <v>193.0</v>
      </c>
      <c r="B351" s="42" t="s">
        <v>691</v>
      </c>
      <c r="C351" s="42" t="s">
        <v>692</v>
      </c>
      <c r="D351" s="42"/>
      <c r="E351" s="42" t="str">
        <f t="shared" ref="E351:F351" si="352">PROPER(B351)</f>
        <v>Mannalon Ti Babalag West Farmers Association</v>
      </c>
      <c r="F351" s="42" t="str">
        <f t="shared" si="352"/>
        <v>Babalag West (Pob.), Rizal (Liwan), Kalinga</v>
      </c>
      <c r="G351" s="42" t="str">
        <f t="shared" si="3"/>
        <v>Babalag West (Pob.)</v>
      </c>
      <c r="H351" s="42" t="str">
        <f t="shared" si="4"/>
        <v>Rizal (Liwan)</v>
      </c>
      <c r="I351" s="42" t="str">
        <f t="shared" si="5"/>
        <v>Kalinga</v>
      </c>
      <c r="J351" s="42" t="str">
        <f t="array" ref="J351">XLOOKUP($E351,'Recipients REF'!$B:$B,'Recipients REF'!D:D,"",0)</f>
        <v>Frederick L. Licupa</v>
      </c>
      <c r="K351" s="42">
        <f t="array" ref="K351">XLOOKUP($E351,'Recipients REF'!$B:$B,'Recipients REF'!E:E,"",0)</f>
        <v>9059734095</v>
      </c>
      <c r="L351" s="43" t="str">
        <f t="array" ref="L351">XLOOKUP($A351,'Recipients REF'!$A:$A,'Recipients REF'!F:F,"",0)</f>
        <v>RCEF 23-09-21 Rebidding</v>
      </c>
      <c r="M351" s="43">
        <f t="array" ref="M351">XLOOKUP($A351,'Recipients REF'!$A:$A,'Recipients REF'!G:G,"",0)</f>
        <v>1</v>
      </c>
      <c r="N351" s="43">
        <f t="array" ref="N351">XLOOKUP($A351,'Recipients REF'!$A:$A,'Recipients REF'!H:H,"",0)</f>
        <v>18358</v>
      </c>
      <c r="O351" s="44" t="s">
        <v>25</v>
      </c>
      <c r="P351" s="45" t="s">
        <v>26</v>
      </c>
      <c r="Q351" s="46" t="str">
        <f t="array" ref="Q351">XLOOKUP($A351,'Recipients REF'!$A:$A,'Recipients REF'!I:I,"",0)</f>
        <v>KMC5825 AHRFPV0592</v>
      </c>
      <c r="R351" s="47" t="str">
        <f t="array" ref="R351">XLOOKUP($A351,'Recipients REF'!$A:$A,'Recipients REF'!J:J,"",0)</f>
        <v>RTS 100548</v>
      </c>
      <c r="S351" s="45" t="s">
        <v>27</v>
      </c>
      <c r="T351" s="45" t="s">
        <v>28</v>
      </c>
      <c r="U351" s="46" t="str">
        <f t="array" ref="U351">XLOOKUP($A351,'Recipients REF'!$A:$A,'Recipients REF'!K:K,"",0)</f>
        <v>WR SERIES 800PH</v>
      </c>
      <c r="V351" s="44" t="s">
        <v>29</v>
      </c>
      <c r="W351" s="45" t="s">
        <v>30</v>
      </c>
      <c r="X351" s="47" t="str">
        <f t="array" ref="X351">XLOOKUP($A351,'Recipients REF'!$A:$A,'Recipients REF'!L:L,"",0)</f>
        <v>LSGW1750 RMP 24010218</v>
      </c>
      <c r="Y351" s="48" t="s">
        <v>29</v>
      </c>
      <c r="Z351" s="48" t="s">
        <v>31</v>
      </c>
      <c r="AA351" s="46" t="str">
        <f t="array" ref="AA351">XLOOKUP($A351,'Recipients REF'!$A:$A,'Recipients REF'!M:M,"",0)</f>
        <v>WDP40 RMP 24050547</v>
      </c>
      <c r="AB351" s="49"/>
      <c r="AC351" s="42"/>
      <c r="AD351" s="42"/>
      <c r="AE351" s="50"/>
      <c r="AF351" s="42"/>
      <c r="AG351" s="42"/>
      <c r="AH351" s="42"/>
      <c r="AI351" s="42" t="str">
        <f t="array" ref="AI351">XLOOKUP($E351,Sheet11!$D:$D,Sheet11!$X:$X,"",0)</f>
        <v/>
      </c>
      <c r="AJ351" s="42" t="str">
        <f t="array" ref="AJ351">XLOOKUP($E351,Sheet11!$D:$D,Sheet11!$Y:$Y,"",0)</f>
        <v/>
      </c>
    </row>
    <row r="352">
      <c r="A352" s="41">
        <v>194.0</v>
      </c>
      <c r="B352" s="42" t="s">
        <v>693</v>
      </c>
      <c r="C352" s="42" t="s">
        <v>694</v>
      </c>
      <c r="D352" s="42"/>
      <c r="E352" s="42" t="str">
        <f t="shared" ref="E352:F352" si="353">PROPER(B352)</f>
        <v>Liwan East Farmers Association</v>
      </c>
      <c r="F352" s="42" t="str">
        <f t="shared" si="353"/>
        <v>Liwan East, Rizal (Liwan), Kalinga</v>
      </c>
      <c r="G352" s="42" t="str">
        <f t="shared" si="3"/>
        <v>Liwan East</v>
      </c>
      <c r="H352" s="42" t="str">
        <f t="shared" si="4"/>
        <v>Rizal (Liwan)</v>
      </c>
      <c r="I352" s="42" t="str">
        <f t="shared" si="5"/>
        <v>Kalinga</v>
      </c>
      <c r="J352" s="42" t="str">
        <f t="array" ref="J352">XLOOKUP($E352,'Recipients REF'!$B:$B,'Recipients REF'!D:D,"",0)</f>
        <v>Carmen G. Coteng</v>
      </c>
      <c r="K352" s="42">
        <f t="array" ref="K352">XLOOKUP($E352,'Recipients REF'!$B:$B,'Recipients REF'!E:E,"",0)</f>
        <v>9566606933</v>
      </c>
      <c r="L352" s="43" t="str">
        <f t="array" ref="L352">XLOOKUP($A352,'Recipients REF'!$A:$A,'Recipients REF'!F:F,"",0)</f>
        <v>RCEF 23-09-21 Rebidding</v>
      </c>
      <c r="M352" s="43">
        <f t="array" ref="M352">XLOOKUP($A352,'Recipients REF'!$A:$A,'Recipients REF'!G:G,"",0)</f>
        <v>1</v>
      </c>
      <c r="N352" s="43">
        <f t="array" ref="N352">XLOOKUP($A352,'Recipients REF'!$A:$A,'Recipients REF'!H:H,"",0)</f>
        <v>18359</v>
      </c>
      <c r="O352" s="44" t="s">
        <v>25</v>
      </c>
      <c r="P352" s="45" t="s">
        <v>26</v>
      </c>
      <c r="Q352" s="46" t="str">
        <f t="array" ref="Q352">XLOOKUP($A352,'Recipients REF'!$A:$A,'Recipients REF'!I:I,"",0)</f>
        <v>KMC5825 AHRFPV0558</v>
      </c>
      <c r="R352" s="47" t="str">
        <f t="array" ref="R352">XLOOKUP($A352,'Recipients REF'!$A:$A,'Recipients REF'!J:J,"",0)</f>
        <v>RTS 100438</v>
      </c>
      <c r="S352" s="45" t="s">
        <v>27</v>
      </c>
      <c r="T352" s="45" t="s">
        <v>28</v>
      </c>
      <c r="U352" s="46" t="str">
        <f t="array" ref="U352">XLOOKUP($A352,'Recipients REF'!$A:$A,'Recipients REF'!K:K,"",0)</f>
        <v>WR SERIES 969 PH</v>
      </c>
      <c r="V352" s="44" t="s">
        <v>29</v>
      </c>
      <c r="W352" s="45" t="s">
        <v>30</v>
      </c>
      <c r="X352" s="47" t="str">
        <f t="array" ref="X352">XLOOKUP($A352,'Recipients REF'!$A:$A,'Recipients REF'!L:L,"",0)</f>
        <v>LSGW1750 RMP 24010197</v>
      </c>
      <c r="Y352" s="48" t="s">
        <v>29</v>
      </c>
      <c r="Z352" s="48" t="s">
        <v>31</v>
      </c>
      <c r="AA352" s="46" t="str">
        <f t="array" ref="AA352">XLOOKUP($A352,'Recipients REF'!$A:$A,'Recipients REF'!M:M,"",0)</f>
        <v>WDP40 RMP 24050543</v>
      </c>
      <c r="AB352" s="49"/>
      <c r="AC352" s="42"/>
      <c r="AD352" s="42"/>
      <c r="AE352" s="50"/>
      <c r="AF352" s="42"/>
      <c r="AG352" s="42"/>
      <c r="AH352" s="42"/>
      <c r="AI352" s="42" t="str">
        <f t="array" ref="AI352">XLOOKUP($E352,Sheet11!$D:$D,Sheet11!$X:$X,"",0)</f>
        <v/>
      </c>
      <c r="AJ352" s="42" t="str">
        <f t="array" ref="AJ352">XLOOKUP($E352,Sheet11!$D:$D,Sheet11!$Y:$Y,"",0)</f>
        <v/>
      </c>
    </row>
    <row r="353">
      <c r="A353" s="41">
        <v>195.0</v>
      </c>
      <c r="B353" s="42" t="s">
        <v>695</v>
      </c>
      <c r="C353" s="42" t="s">
        <v>696</v>
      </c>
      <c r="D353" s="42"/>
      <c r="E353" s="42" t="str">
        <f t="shared" ref="E353:F353" si="354">PROPER(B353)</f>
        <v>Holy Trinity Cathedral Multipurpose Cooperative</v>
      </c>
      <c r="F353" s="42" t="str">
        <f t="shared" si="354"/>
        <v>Bulanao, Tabuk City, Kalinga</v>
      </c>
      <c r="G353" s="42" t="str">
        <f t="shared" si="3"/>
        <v>Bulanao</v>
      </c>
      <c r="H353" s="42" t="str">
        <f t="shared" si="4"/>
        <v>Tabuk City</v>
      </c>
      <c r="I353" s="42" t="str">
        <f t="shared" si="5"/>
        <v>Kalinga</v>
      </c>
      <c r="J353" s="42" t="str">
        <f t="array" ref="J353">XLOOKUP($E353,'Recipients REF'!$B:$B,'Recipients REF'!D:D,"",0)</f>
        <v>Graciana D. Tombaga</v>
      </c>
      <c r="K353" s="42">
        <f t="array" ref="K353">XLOOKUP($E353,'Recipients REF'!$B:$B,'Recipients REF'!E:E,"",0)</f>
        <v>9204818554</v>
      </c>
      <c r="L353" s="43" t="str">
        <f t="array" ref="L353">XLOOKUP($A353,'Recipients REF'!$A:$A,'Recipients REF'!F:F,"",0)</f>
        <v>RCEF 23-09-21 Rebidding</v>
      </c>
      <c r="M353" s="43">
        <f t="array" ref="M353">XLOOKUP($A353,'Recipients REF'!$A:$A,'Recipients REF'!G:G,"",0)</f>
        <v>1</v>
      </c>
      <c r="N353" s="43">
        <f t="array" ref="N353">XLOOKUP($A353,'Recipients REF'!$A:$A,'Recipients REF'!H:H,"",0)</f>
        <v>18360</v>
      </c>
      <c r="O353" s="44" t="s">
        <v>25</v>
      </c>
      <c r="P353" s="45" t="s">
        <v>26</v>
      </c>
      <c r="Q353" s="46" t="str">
        <f t="array" ref="Q353">XLOOKUP($A353,'Recipients REF'!$A:$A,'Recipients REF'!I:I,"",0)</f>
        <v>KMC5825 AJRFPV0570</v>
      </c>
      <c r="R353" s="47" t="str">
        <f t="array" ref="R353">XLOOKUP($A353,'Recipients REF'!$A:$A,'Recipients REF'!J:J,"",0)</f>
        <v>RTS 100487</v>
      </c>
      <c r="S353" s="45" t="s">
        <v>27</v>
      </c>
      <c r="T353" s="45" t="s">
        <v>28</v>
      </c>
      <c r="U353" s="46" t="str">
        <f t="array" ref="U353">XLOOKUP($A353,'Recipients REF'!$A:$A,'Recipients REF'!K:K,"",0)</f>
        <v>WR-SERIES 962 PH</v>
      </c>
      <c r="V353" s="44" t="s">
        <v>29</v>
      </c>
      <c r="W353" s="45" t="s">
        <v>30</v>
      </c>
      <c r="X353" s="47" t="str">
        <f t="array" ref="X353">XLOOKUP($A353,'Recipients REF'!$A:$A,'Recipients REF'!L:L,"",0)</f>
        <v>LSGW1750 RMP 24010194</v>
      </c>
      <c r="Y353" s="48" t="s">
        <v>29</v>
      </c>
      <c r="Z353" s="48" t="s">
        <v>31</v>
      </c>
      <c r="AA353" s="46" t="str">
        <f t="array" ref="AA353">XLOOKUP($A353,'Recipients REF'!$A:$A,'Recipients REF'!M:M,"",0)</f>
        <v>WDP40 RMP 24050541</v>
      </c>
      <c r="AB353" s="49"/>
      <c r="AC353" s="42"/>
      <c r="AD353" s="42"/>
      <c r="AE353" s="50"/>
      <c r="AF353" s="42"/>
      <c r="AG353" s="42"/>
      <c r="AH353" s="42"/>
      <c r="AI353" s="42" t="str">
        <f t="array" ref="AI353">XLOOKUP($E353,Sheet11!$D:$D,Sheet11!$X:$X,"",0)</f>
        <v/>
      </c>
      <c r="AJ353" s="42" t="str">
        <f t="array" ref="AJ353">XLOOKUP($E353,Sheet11!$D:$D,Sheet11!$Y:$Y,"",0)</f>
        <v/>
      </c>
    </row>
    <row r="354">
      <c r="A354" s="41">
        <v>196.0</v>
      </c>
      <c r="B354" s="42" t="s">
        <v>697</v>
      </c>
      <c r="C354" s="42" t="s">
        <v>698</v>
      </c>
      <c r="D354" s="42"/>
      <c r="E354" s="42" t="str">
        <f t="shared" ref="E354:F354" si="355">PROPER(B354)</f>
        <v>Manggawa Farmers Environmental Development Association</v>
      </c>
      <c r="F354" s="42" t="str">
        <f t="shared" si="355"/>
        <v>New Tanglag, Tabuk City, Kalinga</v>
      </c>
      <c r="G354" s="42" t="str">
        <f t="shared" si="3"/>
        <v>New Tanglag</v>
      </c>
      <c r="H354" s="42" t="str">
        <f t="shared" si="4"/>
        <v>Tabuk City</v>
      </c>
      <c r="I354" s="42" t="str">
        <f t="shared" si="5"/>
        <v>Kalinga</v>
      </c>
      <c r="J354" s="42" t="str">
        <f t="array" ref="J354">XLOOKUP($E354,'Recipients REF'!$B:$B,'Recipients REF'!D:D,"",0)</f>
        <v>Wilma C. Alvester</v>
      </c>
      <c r="K354" s="42">
        <f t="array" ref="K354">XLOOKUP($E354,'Recipients REF'!$B:$B,'Recipients REF'!E:E,"",0)</f>
        <v>9557995356</v>
      </c>
      <c r="L354" s="43" t="str">
        <f t="array" ref="L354">XLOOKUP($A354,'Recipients REF'!$A:$A,'Recipients REF'!F:F,"",0)</f>
        <v>RCEF 23-09-21 Rebidding</v>
      </c>
      <c r="M354" s="43">
        <f t="array" ref="M354">XLOOKUP($A354,'Recipients REF'!$A:$A,'Recipients REF'!G:G,"",0)</f>
        <v>1</v>
      </c>
      <c r="N354" s="43">
        <f t="array" ref="N354">XLOOKUP($A354,'Recipients REF'!$A:$A,'Recipients REF'!H:H,"",0)</f>
        <v>18361</v>
      </c>
      <c r="O354" s="44" t="s">
        <v>25</v>
      </c>
      <c r="P354" s="45" t="s">
        <v>26</v>
      </c>
      <c r="Q354" s="46" t="str">
        <f t="array" ref="Q354">XLOOKUP($A354,'Recipients REF'!$A:$A,'Recipients REF'!I:I,"",0)</f>
        <v>KMC5825 AKRFPV0051</v>
      </c>
      <c r="R354" s="47" t="str">
        <f t="array" ref="R354">XLOOKUP($A354,'Recipients REF'!$A:$A,'Recipients REF'!J:J,"",0)</f>
        <v>PTS 100196</v>
      </c>
      <c r="S354" s="45" t="s">
        <v>27</v>
      </c>
      <c r="T354" s="45" t="s">
        <v>28</v>
      </c>
      <c r="U354" s="46" t="str">
        <f t="array" ref="U354">XLOOKUP($A354,'Recipients REF'!$A:$A,'Recipients REF'!K:K,"",0)</f>
        <v>R-SERIES 043 PH</v>
      </c>
      <c r="V354" s="44" t="s">
        <v>29</v>
      </c>
      <c r="W354" s="45" t="s">
        <v>30</v>
      </c>
      <c r="X354" s="47" t="str">
        <f t="array" ref="X354">XLOOKUP($A354,'Recipients REF'!$A:$A,'Recipients REF'!L:L,"",0)</f>
        <v>LSGW1750 RMP 24010043</v>
      </c>
      <c r="Y354" s="48" t="s">
        <v>29</v>
      </c>
      <c r="Z354" s="48" t="s">
        <v>31</v>
      </c>
      <c r="AA354" s="46" t="str">
        <f t="array" ref="AA354">XLOOKUP($A354,'Recipients REF'!$A:$A,'Recipients REF'!M:M,"",0)</f>
        <v>WDP40 RMP 24010016</v>
      </c>
      <c r="AB354" s="49"/>
      <c r="AC354" s="42"/>
      <c r="AD354" s="42"/>
      <c r="AE354" s="50"/>
      <c r="AF354" s="42"/>
      <c r="AG354" s="42"/>
      <c r="AH354" s="42"/>
      <c r="AI354" s="42">
        <f t="array" ref="AI354">XLOOKUP($E354,Sheet11!$D:$D,Sheet11!$X:$X,"",0)</f>
        <v>869066060236644</v>
      </c>
      <c r="AJ354" s="42">
        <f t="array" ref="AJ354">XLOOKUP($E354,Sheet11!$D:$D,Sheet11!$Y:$Y,"",0)</f>
        <v>9082337898</v>
      </c>
    </row>
    <row r="355">
      <c r="A355" s="41">
        <v>197.0</v>
      </c>
      <c r="B355" s="42" t="s">
        <v>699</v>
      </c>
      <c r="C355" s="42" t="s">
        <v>700</v>
      </c>
      <c r="D355" s="42"/>
      <c r="E355" s="42" t="str">
        <f t="shared" ref="E355:F355" si="356">PROPER(B355)</f>
        <v>Marapi-Abaggoy Credit Cooperative</v>
      </c>
      <c r="F355" s="42" t="str">
        <f t="shared" si="356"/>
        <v>Bulo, Tabuk City, Kalinga</v>
      </c>
      <c r="G355" s="42" t="str">
        <f t="shared" si="3"/>
        <v>Bulo</v>
      </c>
      <c r="H355" s="42" t="str">
        <f t="shared" si="4"/>
        <v>Tabuk City</v>
      </c>
      <c r="I355" s="42" t="str">
        <f t="shared" si="5"/>
        <v>Kalinga</v>
      </c>
      <c r="J355" s="42" t="str">
        <f t="array" ref="J355">XLOOKUP($E355,'Recipients REF'!$B:$B,'Recipients REF'!D:D,"",0)</f>
        <v>JOSEPH A. PAGA</v>
      </c>
      <c r="K355" s="42">
        <f t="array" ref="K355">XLOOKUP($E355,'Recipients REF'!$B:$B,'Recipients REF'!E:E,"",0)</f>
        <v>9465307130</v>
      </c>
      <c r="L355" s="43" t="str">
        <f t="array" ref="L355">XLOOKUP($A355,'Recipients REF'!$A:$A,'Recipients REF'!F:F,"",0)</f>
        <v>RCEF 23-09-21 Rebidding</v>
      </c>
      <c r="M355" s="43">
        <f t="array" ref="M355">XLOOKUP($A355,'Recipients REF'!$A:$A,'Recipients REF'!G:G,"",0)</f>
        <v>1</v>
      </c>
      <c r="N355" s="43">
        <f t="array" ref="N355">XLOOKUP($A355,'Recipients REF'!$A:$A,'Recipients REF'!H:H,"",0)</f>
        <v>18362</v>
      </c>
      <c r="O355" s="44" t="s">
        <v>25</v>
      </c>
      <c r="P355" s="45" t="s">
        <v>26</v>
      </c>
      <c r="Q355" s="46" t="str">
        <f t="array" ref="Q355">XLOOKUP($A355,'Recipients REF'!$A:$A,'Recipients REF'!I:I,"",0)</f>
        <v>KMC5825 APRFPV0078</v>
      </c>
      <c r="R355" s="47" t="str">
        <f t="array" ref="R355">XLOOKUP($A355,'Recipients REF'!$A:$A,'Recipients REF'!J:J,"",0)</f>
        <v>PTS 100164</v>
      </c>
      <c r="S355" s="45" t="s">
        <v>27</v>
      </c>
      <c r="T355" s="45" t="s">
        <v>28</v>
      </c>
      <c r="U355" s="46" t="str">
        <f t="array" ref="U355">XLOOKUP($A355,'Recipients REF'!$A:$A,'Recipients REF'!K:K,"",0)</f>
        <v>R-SERIES 039 PH</v>
      </c>
      <c r="V355" s="44" t="s">
        <v>29</v>
      </c>
      <c r="W355" s="45" t="s">
        <v>30</v>
      </c>
      <c r="X355" s="47" t="str">
        <f t="array" ref="X355">XLOOKUP($A355,'Recipients REF'!$A:$A,'Recipients REF'!L:L,"",0)</f>
        <v>LSGW1750 RMP 24010045</v>
      </c>
      <c r="Y355" s="48" t="s">
        <v>29</v>
      </c>
      <c r="Z355" s="48" t="s">
        <v>31</v>
      </c>
      <c r="AA355" s="46" t="str">
        <f t="array" ref="AA355">XLOOKUP($A355,'Recipients REF'!$A:$A,'Recipients REF'!M:M,"",0)</f>
        <v>WDP40 RMP 24010035</v>
      </c>
      <c r="AB355" s="49"/>
      <c r="AC355" s="42"/>
      <c r="AD355" s="42"/>
      <c r="AE355" s="50"/>
      <c r="AF355" s="42"/>
      <c r="AG355" s="42"/>
      <c r="AH355" s="42"/>
      <c r="AI355" s="42">
        <f t="array" ref="AI355">XLOOKUP($E355,Sheet11!$D:$D,Sheet11!$X:$X,"",0)</f>
        <v>869066060245918</v>
      </c>
      <c r="AJ355" s="42">
        <f t="array" ref="AJ355">XLOOKUP($E355,Sheet11!$D:$D,Sheet11!$Y:$Y,"",0)</f>
        <v>9086445563</v>
      </c>
    </row>
    <row r="356">
      <c r="A356" s="41">
        <v>198.0</v>
      </c>
      <c r="B356" s="42" t="s">
        <v>701</v>
      </c>
      <c r="C356" s="42" t="s">
        <v>702</v>
      </c>
      <c r="D356" s="42"/>
      <c r="E356" s="42" t="str">
        <f t="shared" ref="E356:F356" si="357">PROPER(B356)</f>
        <v>Pur Credit Cooperative</v>
      </c>
      <c r="F356" s="42" t="str">
        <f t="shared" si="357"/>
        <v>Dilag, Tabuk City, Kalinga</v>
      </c>
      <c r="G356" s="42" t="str">
        <f t="shared" si="3"/>
        <v>Dilag</v>
      </c>
      <c r="H356" s="42" t="str">
        <f t="shared" si="4"/>
        <v>Tabuk City</v>
      </c>
      <c r="I356" s="42" t="str">
        <f t="shared" si="5"/>
        <v>Kalinga</v>
      </c>
      <c r="J356" s="42" t="str">
        <f t="array" ref="J356">XLOOKUP($E356,'Recipients REF'!$B:$B,'Recipients REF'!D:D,"",0)</f>
        <v>FELIPE P. WASSIG</v>
      </c>
      <c r="K356" s="42">
        <f t="array" ref="K356">XLOOKUP($E356,'Recipients REF'!$B:$B,'Recipients REF'!E:E,"",0)</f>
        <v>9550278254</v>
      </c>
      <c r="L356" s="43" t="str">
        <f t="array" ref="L356">XLOOKUP($A356,'Recipients REF'!$A:$A,'Recipients REF'!F:F,"",0)</f>
        <v>RCEF 23-09-21 Rebidding</v>
      </c>
      <c r="M356" s="43">
        <f t="array" ref="M356">XLOOKUP($A356,'Recipients REF'!$A:$A,'Recipients REF'!G:G,"",0)</f>
        <v>1</v>
      </c>
      <c r="N356" s="43">
        <f t="array" ref="N356">XLOOKUP($A356,'Recipients REF'!$A:$A,'Recipients REF'!H:H,"",0)</f>
        <v>18363</v>
      </c>
      <c r="O356" s="44" t="s">
        <v>25</v>
      </c>
      <c r="P356" s="45" t="s">
        <v>26</v>
      </c>
      <c r="Q356" s="46" t="str">
        <f t="array" ref="Q356">XLOOKUP($A356,'Recipients REF'!$A:$A,'Recipients REF'!I:I,"",0)</f>
        <v>KMC5825 ALRFPV0087</v>
      </c>
      <c r="R356" s="47" t="str">
        <f t="array" ref="R356">XLOOKUP($A356,'Recipients REF'!$A:$A,'Recipients REF'!J:J,"",0)</f>
        <v>PTS 100277</v>
      </c>
      <c r="S356" s="45" t="s">
        <v>27</v>
      </c>
      <c r="T356" s="45" t="s">
        <v>28</v>
      </c>
      <c r="U356" s="46" t="str">
        <f t="array" ref="U356">XLOOKUP($A356,'Recipients REF'!$A:$A,'Recipients REF'!K:K,"",0)</f>
        <v>R-SERIES 037 PH</v>
      </c>
      <c r="V356" s="44" t="s">
        <v>29</v>
      </c>
      <c r="W356" s="45" t="s">
        <v>30</v>
      </c>
      <c r="X356" s="47" t="str">
        <f t="array" ref="X356">XLOOKUP($A356,'Recipients REF'!$A:$A,'Recipients REF'!L:L,"",0)</f>
        <v>LSGW1750 RMP 24010010</v>
      </c>
      <c r="Y356" s="48" t="s">
        <v>29</v>
      </c>
      <c r="Z356" s="48" t="s">
        <v>31</v>
      </c>
      <c r="AA356" s="46" t="str">
        <f t="array" ref="AA356">XLOOKUP($A356,'Recipients REF'!$A:$A,'Recipients REF'!M:M,"",0)</f>
        <v>WDP40 RMP 24010009</v>
      </c>
      <c r="AB356" s="49"/>
      <c r="AC356" s="42"/>
      <c r="AD356" s="42"/>
      <c r="AE356" s="50"/>
      <c r="AF356" s="42"/>
      <c r="AG356" s="42"/>
      <c r="AH356" s="42"/>
      <c r="AI356" s="42">
        <f t="array" ref="AI356">XLOOKUP($E356,Sheet11!$D:$D,Sheet11!$X:$X,"",0)</f>
        <v>869066060236982</v>
      </c>
      <c r="AJ356" s="42">
        <f t="array" ref="AJ356">XLOOKUP($E356,Sheet11!$D:$D,Sheet11!$Y:$Y,"",0)</f>
        <v>9087889887</v>
      </c>
    </row>
    <row r="357">
      <c r="A357" s="41">
        <v>199.0</v>
      </c>
      <c r="B357" s="42" t="s">
        <v>703</v>
      </c>
      <c r="C357" s="42" t="s">
        <v>704</v>
      </c>
      <c r="D357" s="42"/>
      <c r="E357" s="42" t="str">
        <f t="shared" ref="E357:F357" si="358">PROPER(B357)</f>
        <v>Sagpat Farmers Association</v>
      </c>
      <c r="F357" s="42" t="str">
        <f t="shared" si="358"/>
        <v>Appas, Tabuk City, Kalinga</v>
      </c>
      <c r="G357" s="42" t="str">
        <f t="shared" si="3"/>
        <v>Appas</v>
      </c>
      <c r="H357" s="42" t="str">
        <f t="shared" si="4"/>
        <v>Tabuk City</v>
      </c>
      <c r="I357" s="42" t="str">
        <f t="shared" si="5"/>
        <v>Kalinga</v>
      </c>
      <c r="J357" s="42" t="str">
        <f t="array" ref="J357">XLOOKUP($E357,'Recipients REF'!$B:$B,'Recipients REF'!D:D,"",0)</f>
        <v>MARVIN B. APITA</v>
      </c>
      <c r="K357" s="42">
        <f t="array" ref="K357">XLOOKUP($E357,'Recipients REF'!$B:$B,'Recipients REF'!E:E,"",0)</f>
        <v>9293368533</v>
      </c>
      <c r="L357" s="43" t="str">
        <f t="array" ref="L357">XLOOKUP($A357,'Recipients REF'!$A:$A,'Recipients REF'!F:F,"",0)</f>
        <v>RCEF 23-09-21 Rebidding</v>
      </c>
      <c r="M357" s="43">
        <f t="array" ref="M357">XLOOKUP($A357,'Recipients REF'!$A:$A,'Recipients REF'!G:G,"",0)</f>
        <v>1</v>
      </c>
      <c r="N357" s="43">
        <f t="array" ref="N357">XLOOKUP($A357,'Recipients REF'!$A:$A,'Recipients REF'!H:H,"",0)</f>
        <v>18364</v>
      </c>
      <c r="O357" s="44" t="s">
        <v>25</v>
      </c>
      <c r="P357" s="45" t="s">
        <v>26</v>
      </c>
      <c r="Q357" s="46" t="str">
        <f t="array" ref="Q357">XLOOKUP($A357,'Recipients REF'!$A:$A,'Recipients REF'!I:I,"",0)</f>
        <v>KMC5825 ACRFPV0084</v>
      </c>
      <c r="R357" s="47" t="str">
        <f t="array" ref="R357">XLOOKUP($A357,'Recipients REF'!$A:$A,'Recipients REF'!J:J,"",0)</f>
        <v>PTS 100185</v>
      </c>
      <c r="S357" s="45" t="s">
        <v>27</v>
      </c>
      <c r="T357" s="45" t="s">
        <v>28</v>
      </c>
      <c r="U357" s="46" t="str">
        <f t="array" ref="U357">XLOOKUP($A357,'Recipients REF'!$A:$A,'Recipients REF'!K:K,"",0)</f>
        <v>R-SERIES 050 PH</v>
      </c>
      <c r="V357" s="44" t="s">
        <v>29</v>
      </c>
      <c r="W357" s="45" t="s">
        <v>30</v>
      </c>
      <c r="X357" s="47" t="str">
        <f t="array" ref="X357">XLOOKUP($A357,'Recipients REF'!$A:$A,'Recipients REF'!L:L,"",0)</f>
        <v>LSGW1750 RMP 24010044</v>
      </c>
      <c r="Y357" s="48" t="s">
        <v>29</v>
      </c>
      <c r="Z357" s="48" t="s">
        <v>31</v>
      </c>
      <c r="AA357" s="46" t="str">
        <f t="array" ref="AA357">XLOOKUP($A357,'Recipients REF'!$A:$A,'Recipients REF'!M:M,"",0)</f>
        <v>WDP40 RMP 24010008</v>
      </c>
      <c r="AB357" s="49"/>
      <c r="AC357" s="42"/>
      <c r="AD357" s="42"/>
      <c r="AE357" s="50"/>
      <c r="AF357" s="42"/>
      <c r="AG357" s="42"/>
      <c r="AH357" s="42"/>
      <c r="AI357" s="42">
        <f t="array" ref="AI357">XLOOKUP($E357,Sheet11!$D:$D,Sheet11!$X:$X,"",0)</f>
        <v>869066060237857</v>
      </c>
      <c r="AJ357" s="42">
        <f t="array" ref="AJ357">XLOOKUP($E357,Sheet11!$D:$D,Sheet11!$Y:$Y,"",0)</f>
        <v>9087141125</v>
      </c>
    </row>
    <row r="358">
      <c r="A358" s="41">
        <v>200.0</v>
      </c>
      <c r="B358" s="42" t="s">
        <v>705</v>
      </c>
      <c r="C358" s="42" t="s">
        <v>706</v>
      </c>
      <c r="D358" s="42"/>
      <c r="E358" s="42" t="str">
        <f t="shared" ref="E358:F358" si="359">PROPER(B358)</f>
        <v>Andarayan Cantor Small Water Irrigation System Association</v>
      </c>
      <c r="F358" s="42" t="str">
        <f t="shared" si="359"/>
        <v>Santor, Rizal., Kalinga</v>
      </c>
      <c r="G358" s="42" t="str">
        <f t="shared" si="3"/>
        <v>Santor</v>
      </c>
      <c r="H358" s="42" t="str">
        <f t="shared" si="4"/>
        <v>Rizal.</v>
      </c>
      <c r="I358" s="42" t="str">
        <f t="shared" si="5"/>
        <v>Kalinga</v>
      </c>
      <c r="J358" s="42" t="str">
        <f t="array" ref="J358">XLOOKUP($E358,'Recipients REF'!$B:$B,'Recipients REF'!D:D,"",0)</f>
        <v>#N/A</v>
      </c>
      <c r="K358" s="42" t="str">
        <f t="array" ref="K358">XLOOKUP($E358,'Recipients REF'!$B:$B,'Recipients REF'!E:E,"",0)</f>
        <v>#N/A</v>
      </c>
      <c r="L358" s="43" t="str">
        <f t="array" ref="L358">XLOOKUP($A358,'Recipients REF'!$A:$A,'Recipients REF'!F:F,"",0)</f>
        <v>RCEF 23-09-21 Rebidding</v>
      </c>
      <c r="M358" s="43">
        <f t="array" ref="M358">XLOOKUP($A358,'Recipients REF'!$A:$A,'Recipients REF'!G:G,"",0)</f>
        <v>1</v>
      </c>
      <c r="N358" s="43">
        <f t="array" ref="N358">XLOOKUP($A358,'Recipients REF'!$A:$A,'Recipients REF'!H:H,"",0)</f>
        <v>18365</v>
      </c>
      <c r="O358" s="44" t="s">
        <v>25</v>
      </c>
      <c r="P358" s="45" t="s">
        <v>26</v>
      </c>
      <c r="Q358" s="46" t="str">
        <f t="array" ref="Q358">XLOOKUP($A358,'Recipients REF'!$A:$A,'Recipients REF'!I:I,"",0)</f>
        <v>KMC5825ALRFPV0302</v>
      </c>
      <c r="R358" s="47" t="str">
        <f t="array" ref="R358">XLOOKUP($A358,'Recipients REF'!$A:$A,'Recipients REF'!J:J,"",0)</f>
        <v>RTS100186</v>
      </c>
      <c r="S358" s="45" t="s">
        <v>27</v>
      </c>
      <c r="T358" s="45" t="s">
        <v>28</v>
      </c>
      <c r="U358" s="46" t="str">
        <f t="array" ref="U358">XLOOKUP($A358,'Recipients REF'!$A:$A,'Recipients REF'!K:K,"",0)</f>
        <v>R-SERIES 813PH</v>
      </c>
      <c r="V358" s="44" t="s">
        <v>29</v>
      </c>
      <c r="W358" s="45" t="s">
        <v>30</v>
      </c>
      <c r="X358" s="47" t="str">
        <f t="array" ref="X358">XLOOKUP($A358,'Recipients REF'!$A:$A,'Recipients REF'!L:L,"",0)</f>
        <v>LSGW 1750 RMP 24010203</v>
      </c>
      <c r="Y358" s="48" t="s">
        <v>29</v>
      </c>
      <c r="Z358" s="48" t="s">
        <v>31</v>
      </c>
      <c r="AA358" s="46" t="str">
        <f t="array" ref="AA358">XLOOKUP($A358,'Recipients REF'!$A:$A,'Recipients REF'!M:M,"",0)</f>
        <v>WDP40-24050572</v>
      </c>
      <c r="AB358" s="49"/>
      <c r="AC358" s="42"/>
      <c r="AD358" s="42"/>
      <c r="AE358" s="50"/>
      <c r="AF358" s="42"/>
      <c r="AG358" s="42"/>
      <c r="AH358" s="42"/>
      <c r="AI358" s="42" t="str">
        <f t="array" ref="AI358">XLOOKUP($E358,Sheet11!$D:$D,Sheet11!$X:$X,"",0)</f>
        <v/>
      </c>
      <c r="AJ358" s="42" t="str">
        <f t="array" ref="AJ358">XLOOKUP($E358,Sheet11!$D:$D,Sheet11!$Y:$Y,"",0)</f>
        <v/>
      </c>
    </row>
    <row r="359">
      <c r="A359" s="41">
        <v>201.0</v>
      </c>
      <c r="B359" s="42" t="s">
        <v>707</v>
      </c>
      <c r="C359" s="42" t="s">
        <v>708</v>
      </c>
      <c r="D359" s="42"/>
      <c r="E359" s="42" t="str">
        <f t="shared" ref="E359:F359" si="360">PROPER(B359)</f>
        <v>Tabesuma Cha Association</v>
      </c>
      <c r="F359" s="42" t="str">
        <f t="shared" si="360"/>
        <v>Lacnog West, Tabuk City, Kalinga</v>
      </c>
      <c r="G359" s="42" t="str">
        <f t="shared" si="3"/>
        <v>Lacnog West</v>
      </c>
      <c r="H359" s="42" t="str">
        <f t="shared" si="4"/>
        <v>Tabuk City</v>
      </c>
      <c r="I359" s="42" t="str">
        <f t="shared" si="5"/>
        <v>Kalinga</v>
      </c>
      <c r="J359" s="42" t="str">
        <f t="array" ref="J359">XLOOKUP($E359,'Recipients REF'!$B:$B,'Recipients REF'!D:D,"",0)</f>
        <v>Antonio T. Angli</v>
      </c>
      <c r="K359" s="42">
        <f t="array" ref="K359">XLOOKUP($E359,'Recipients REF'!$B:$B,'Recipients REF'!E:E,"",0)</f>
        <v>9061767990</v>
      </c>
      <c r="L359" s="43" t="str">
        <f t="array" ref="L359">XLOOKUP($A359,'Recipients REF'!$A:$A,'Recipients REF'!F:F,"",0)</f>
        <v>RCEF 23-09-21 Rebidding</v>
      </c>
      <c r="M359" s="43">
        <f t="array" ref="M359">XLOOKUP($A359,'Recipients REF'!$A:$A,'Recipients REF'!G:G,"",0)</f>
        <v>1</v>
      </c>
      <c r="N359" s="43">
        <f t="array" ref="N359">XLOOKUP($A359,'Recipients REF'!$A:$A,'Recipients REF'!H:H,"",0)</f>
        <v>18366</v>
      </c>
      <c r="O359" s="44" t="s">
        <v>25</v>
      </c>
      <c r="P359" s="45" t="s">
        <v>26</v>
      </c>
      <c r="Q359" s="46" t="str">
        <f t="array" ref="Q359">XLOOKUP($A359,'Recipients REF'!$A:$A,'Recipients REF'!I:I,"",0)</f>
        <v>KMC5825 AKRFPV0129</v>
      </c>
      <c r="R359" s="47" t="str">
        <f t="array" ref="R359">XLOOKUP($A359,'Recipients REF'!$A:$A,'Recipients REF'!J:J,"",0)</f>
        <v>PTS 100261</v>
      </c>
      <c r="S359" s="45" t="s">
        <v>27</v>
      </c>
      <c r="T359" s="45" t="s">
        <v>28</v>
      </c>
      <c r="U359" s="46" t="str">
        <f t="array" ref="U359">XLOOKUP($A359,'Recipients REF'!$A:$A,'Recipients REF'!K:K,"",0)</f>
        <v>R-SERIES 041 PH</v>
      </c>
      <c r="V359" s="44" t="s">
        <v>29</v>
      </c>
      <c r="W359" s="45" t="s">
        <v>30</v>
      </c>
      <c r="X359" s="47" t="str">
        <f t="array" ref="X359">XLOOKUP($A359,'Recipients REF'!$A:$A,'Recipients REF'!L:L,"",0)</f>
        <v>LSGW1750 RMP 24010041</v>
      </c>
      <c r="Y359" s="48" t="s">
        <v>29</v>
      </c>
      <c r="Z359" s="48" t="s">
        <v>31</v>
      </c>
      <c r="AA359" s="46" t="str">
        <f t="array" ref="AA359">XLOOKUP($A359,'Recipients REF'!$A:$A,'Recipients REF'!M:M,"",0)</f>
        <v>WDP40 RMP 24010017</v>
      </c>
      <c r="AB359" s="49"/>
      <c r="AC359" s="42"/>
      <c r="AD359" s="42"/>
      <c r="AE359" s="50"/>
      <c r="AF359" s="42"/>
      <c r="AG359" s="42"/>
      <c r="AH359" s="42"/>
      <c r="AI359" s="42">
        <f t="array" ref="AI359">XLOOKUP($E359,Sheet11!$D:$D,Sheet11!$X:$X,"",0)</f>
        <v>869066060237808</v>
      </c>
      <c r="AJ359" s="42">
        <f t="array" ref="AJ359">XLOOKUP($E359,Sheet11!$D:$D,Sheet11!$Y:$Y,"",0)</f>
        <v>9087468130</v>
      </c>
    </row>
    <row r="360">
      <c r="A360" s="41">
        <v>202.0</v>
      </c>
      <c r="B360" s="42" t="s">
        <v>709</v>
      </c>
      <c r="C360" s="42" t="s">
        <v>710</v>
      </c>
      <c r="D360" s="42"/>
      <c r="E360" s="42" t="str">
        <f t="shared" ref="E360:F360" si="361">PROPER(B360)</f>
        <v>Tabuk Farmers Multipurpose Cooperative</v>
      </c>
      <c r="F360" s="42" t="str">
        <f t="shared" si="361"/>
        <v>Casigayan, Tabuk City, Kalinga</v>
      </c>
      <c r="G360" s="42" t="str">
        <f t="shared" si="3"/>
        <v>Casigayan</v>
      </c>
      <c r="H360" s="42" t="str">
        <f t="shared" si="4"/>
        <v>Tabuk City</v>
      </c>
      <c r="I360" s="42" t="str">
        <f t="shared" si="5"/>
        <v>Kalinga</v>
      </c>
      <c r="J360" s="42" t="str">
        <f t="array" ref="J360">XLOOKUP($E360,'Recipients REF'!$B:$B,'Recipients REF'!D:D,"",0)</f>
        <v>Mary Jean Ella</v>
      </c>
      <c r="K360" s="42">
        <f t="array" ref="K360">XLOOKUP($E360,'Recipients REF'!$B:$B,'Recipients REF'!E:E,"",0)</f>
        <v>9168978026</v>
      </c>
      <c r="L360" s="43" t="str">
        <f t="array" ref="L360">XLOOKUP($A360,'Recipients REF'!$A:$A,'Recipients REF'!F:F,"",0)</f>
        <v>RCEF 23-09-21 Rebidding</v>
      </c>
      <c r="M360" s="43">
        <f t="array" ref="M360">XLOOKUP($A360,'Recipients REF'!$A:$A,'Recipients REF'!G:G,"",0)</f>
        <v>1</v>
      </c>
      <c r="N360" s="43">
        <f t="array" ref="N360">XLOOKUP($A360,'Recipients REF'!$A:$A,'Recipients REF'!H:H,"",0)</f>
        <v>18367</v>
      </c>
      <c r="O360" s="44" t="s">
        <v>25</v>
      </c>
      <c r="P360" s="45" t="s">
        <v>26</v>
      </c>
      <c r="Q360" s="46" t="str">
        <f t="array" ref="Q360">XLOOKUP($A360,'Recipients REF'!$A:$A,'Recipients REF'!I:I,"",0)</f>
        <v>KMC5825 ARRFPV0044</v>
      </c>
      <c r="R360" s="47" t="str">
        <f t="array" ref="R360">XLOOKUP($A360,'Recipients REF'!$A:$A,'Recipients REF'!J:J,"",0)</f>
        <v>PTS 100199</v>
      </c>
      <c r="S360" s="45" t="s">
        <v>27</v>
      </c>
      <c r="T360" s="45" t="s">
        <v>28</v>
      </c>
      <c r="U360" s="46" t="str">
        <f t="array" ref="U360">XLOOKUP($A360,'Recipients REF'!$A:$A,'Recipients REF'!K:K,"",0)</f>
        <v>R-SERIES 049 PH</v>
      </c>
      <c r="V360" s="44" t="s">
        <v>29</v>
      </c>
      <c r="W360" s="45" t="s">
        <v>30</v>
      </c>
      <c r="X360" s="47" t="str">
        <f t="array" ref="X360">XLOOKUP($A360,'Recipients REF'!$A:$A,'Recipients REF'!L:L,"",0)</f>
        <v>LSGW1750 RMP 24010009</v>
      </c>
      <c r="Y360" s="48" t="s">
        <v>29</v>
      </c>
      <c r="Z360" s="48" t="s">
        <v>31</v>
      </c>
      <c r="AA360" s="46" t="str">
        <f t="array" ref="AA360">XLOOKUP($A360,'Recipients REF'!$A:$A,'Recipients REF'!M:M,"",0)</f>
        <v>WDP40 RMP 24010015</v>
      </c>
      <c r="AB360" s="49"/>
      <c r="AC360" s="42"/>
      <c r="AD360" s="42"/>
      <c r="AE360" s="50"/>
      <c r="AF360" s="42"/>
      <c r="AG360" s="42"/>
      <c r="AH360" s="42"/>
      <c r="AI360" s="42">
        <f t="array" ref="AI360">XLOOKUP($E360,Sheet11!$D:$D,Sheet11!$X:$X,"",0)</f>
        <v>869066060237287</v>
      </c>
      <c r="AJ360" s="42">
        <f t="array" ref="AJ360">XLOOKUP($E360,Sheet11!$D:$D,Sheet11!$Y:$Y,"",0)</f>
        <v>9085761737</v>
      </c>
    </row>
    <row r="361">
      <c r="A361" s="41">
        <v>483.0</v>
      </c>
      <c r="B361" s="42" t="s">
        <v>711</v>
      </c>
      <c r="C361" s="42" t="s">
        <v>712</v>
      </c>
      <c r="D361" s="42"/>
      <c r="E361" s="42" t="str">
        <f t="shared" ref="E361:F361" si="362">PROPER(B361)</f>
        <v>Aluminit-Santor Farmers Irrigators Association Inc. (Asfia)</v>
      </c>
      <c r="F361" s="42" t="str">
        <f t="shared" si="362"/>
        <v>Santor, Rizal (Liwan), Kalinga</v>
      </c>
      <c r="G361" s="42" t="str">
        <f t="shared" si="3"/>
        <v>Santor</v>
      </c>
      <c r="H361" s="42" t="str">
        <f t="shared" si="4"/>
        <v>Rizal (Liwan)</v>
      </c>
      <c r="I361" s="42" t="str">
        <f t="shared" si="5"/>
        <v>Kalinga</v>
      </c>
      <c r="J361" s="42" t="str">
        <f t="array" ref="J361">XLOOKUP($E361,'Recipients REF'!$B:$B,'Recipients REF'!D:D,"",0)</f>
        <v>Ben G. Gazzingan</v>
      </c>
      <c r="K361" s="42">
        <f t="array" ref="K361">XLOOKUP($E361,'Recipients REF'!$B:$B,'Recipients REF'!E:E,"",0)</f>
        <v>9357791495</v>
      </c>
      <c r="L361" s="43" t="str">
        <f t="array" ref="L361">XLOOKUP($A361,'Recipients REF'!$A:$A,'Recipients REF'!F:F,"",0)</f>
        <v>RCEF 24-04-15</v>
      </c>
      <c r="M361" s="43">
        <f t="array" ref="M361">XLOOKUP($A361,'Recipients REF'!$A:$A,'Recipients REF'!G:G,"",0)</f>
        <v>6</v>
      </c>
      <c r="N361" s="43">
        <f t="array" ref="N361">XLOOKUP($A361,'Recipients REF'!$A:$A,'Recipients REF'!H:H,"",0)</f>
        <v>19957</v>
      </c>
      <c r="O361" s="44" t="s">
        <v>25</v>
      </c>
      <c r="P361" s="45" t="s">
        <v>26</v>
      </c>
      <c r="Q361" s="46" t="str">
        <f t="array" ref="Q361">XLOOKUP($A361,'Recipients REF'!$A:$A,'Recipients REF'!I:I,"",0)</f>
        <v>KMC5825AARFPV0900</v>
      </c>
      <c r="R361" s="47" t="str">
        <f t="array" ref="R361">XLOOKUP($A361,'Recipients REF'!$A:$A,'Recipients REF'!J:J,"",0)</f>
        <v>RTS100816</v>
      </c>
      <c r="S361" s="45" t="s">
        <v>27</v>
      </c>
      <c r="T361" s="45" t="s">
        <v>28</v>
      </c>
      <c r="U361" s="46" t="str">
        <f t="array" ref="U361">XLOOKUP($A361,'Recipients REF'!$A:$A,'Recipients REF'!K:K,"",0)</f>
        <v>LSGW170-RMP-24101062</v>
      </c>
      <c r="V361" s="44" t="s">
        <v>29</v>
      </c>
      <c r="W361" s="45" t="s">
        <v>30</v>
      </c>
      <c r="X361" s="47" t="str">
        <f t="array" ref="X361">XLOOKUP($A361,'Recipients REF'!$A:$A,'Recipients REF'!L:L,"",0)</f>
        <v>WDP40-RMP-24121446</v>
      </c>
      <c r="Y361" s="48" t="s">
        <v>29</v>
      </c>
      <c r="Z361" s="48" t="s">
        <v>31</v>
      </c>
      <c r="AA361" s="46" t="str">
        <f t="array" ref="AA361">XLOOKUP($A361,'Recipients REF'!$A:$A,'Recipients REF'!M:M,"",0)</f>
        <v>WR-SERIES-1009PH</v>
      </c>
      <c r="AB361" s="49"/>
      <c r="AC361" s="42"/>
      <c r="AD361" s="42"/>
      <c r="AE361" s="50"/>
      <c r="AF361" s="42"/>
      <c r="AG361" s="42"/>
      <c r="AH361" s="42"/>
      <c r="AI361" s="42" t="str">
        <f t="array" ref="AI361">XLOOKUP($E361,Sheet11!$D:$D,Sheet11!$X:$X,"",0)</f>
        <v/>
      </c>
      <c r="AJ361" s="42" t="str">
        <f t="array" ref="AJ361">XLOOKUP($E361,Sheet11!$D:$D,Sheet11!$Y:$Y,"",0)</f>
        <v/>
      </c>
    </row>
    <row r="362">
      <c r="A362" s="41">
        <v>484.0</v>
      </c>
      <c r="B362" s="42" t="s">
        <v>713</v>
      </c>
      <c r="C362" s="42" t="s">
        <v>714</v>
      </c>
      <c r="D362" s="42"/>
      <c r="E362" s="42" t="str">
        <f t="shared" ref="E362:F362" si="363">PROPER(B362)</f>
        <v>Rang-Ay San Quintin Farmers Association</v>
      </c>
      <c r="F362" s="42" t="str">
        <f t="shared" si="363"/>
        <v>San Quintin, Rizal (Liwan), Kalinga</v>
      </c>
      <c r="G362" s="42" t="str">
        <f t="shared" si="3"/>
        <v>San Quintin</v>
      </c>
      <c r="H362" s="42" t="str">
        <f t="shared" si="4"/>
        <v>Rizal (Liwan)</v>
      </c>
      <c r="I362" s="42" t="str">
        <f t="shared" si="5"/>
        <v>Kalinga</v>
      </c>
      <c r="J362" s="42" t="str">
        <f t="array" ref="J362">XLOOKUP($E362,'Recipients REF'!$B:$B,'Recipients REF'!D:D,"",0)</f>
        <v>Augusto D. Bayed</v>
      </c>
      <c r="K362" s="42">
        <f t="array" ref="K362">XLOOKUP($E362,'Recipients REF'!$B:$B,'Recipients REF'!E:E,"",0)</f>
        <v>9058083099</v>
      </c>
      <c r="L362" s="43" t="str">
        <f t="array" ref="L362">XLOOKUP($A362,'Recipients REF'!$A:$A,'Recipients REF'!F:F,"",0)</f>
        <v>RCEF 24-04-15</v>
      </c>
      <c r="M362" s="43">
        <f t="array" ref="M362">XLOOKUP($A362,'Recipients REF'!$A:$A,'Recipients REF'!G:G,"",0)</f>
        <v>6</v>
      </c>
      <c r="N362" s="43">
        <f t="array" ref="N362">XLOOKUP($A362,'Recipients REF'!$A:$A,'Recipients REF'!H:H,"",0)</f>
        <v>19958</v>
      </c>
      <c r="O362" s="44" t="s">
        <v>25</v>
      </c>
      <c r="P362" s="45" t="s">
        <v>26</v>
      </c>
      <c r="Q362" s="46" t="str">
        <f t="array" ref="Q362">XLOOKUP($A362,'Recipients REF'!$A:$A,'Recipients REF'!I:I,"",0)</f>
        <v>KMC5825ALRFPV0915</v>
      </c>
      <c r="R362" s="47" t="str">
        <f t="array" ref="R362">XLOOKUP($A362,'Recipients REF'!$A:$A,'Recipients REF'!J:J,"",0)</f>
        <v>RTS100653</v>
      </c>
      <c r="S362" s="45" t="s">
        <v>27</v>
      </c>
      <c r="T362" s="45" t="s">
        <v>28</v>
      </c>
      <c r="U362" s="46" t="str">
        <f t="array" ref="U362">XLOOKUP($A362,'Recipients REF'!$A:$A,'Recipients REF'!K:K,"",0)</f>
        <v>LSGW170-RMP-24100081</v>
      </c>
      <c r="V362" s="44" t="s">
        <v>29</v>
      </c>
      <c r="W362" s="45" t="s">
        <v>30</v>
      </c>
      <c r="X362" s="47" t="str">
        <f t="array" ref="X362">XLOOKUP($A362,'Recipients REF'!$A:$A,'Recipients REF'!L:L,"",0)</f>
        <v>WDP40-RMP-2411473</v>
      </c>
      <c r="Y362" s="48" t="s">
        <v>29</v>
      </c>
      <c r="Z362" s="48" t="s">
        <v>31</v>
      </c>
      <c r="AA362" s="46" t="str">
        <f t="array" ref="AA362">XLOOKUP($A362,'Recipients REF'!$A:$A,'Recipients REF'!M:M,"",0)</f>
        <v>WR-SERIES-1011PH</v>
      </c>
      <c r="AB362" s="49"/>
      <c r="AC362" s="42"/>
      <c r="AD362" s="42"/>
      <c r="AE362" s="50"/>
      <c r="AF362" s="42"/>
      <c r="AG362" s="42"/>
      <c r="AH362" s="42"/>
      <c r="AI362" s="42" t="str">
        <f t="array" ref="AI362">XLOOKUP($E362,Sheet11!$D:$D,Sheet11!$X:$X,"",0)</f>
        <v/>
      </c>
      <c r="AJ362" s="42" t="str">
        <f t="array" ref="AJ362">XLOOKUP($E362,Sheet11!$D:$D,Sheet11!$Y:$Y,"",0)</f>
        <v/>
      </c>
    </row>
    <row r="363">
      <c r="A363" s="41">
        <v>485.0</v>
      </c>
      <c r="B363" s="42" t="s">
        <v>715</v>
      </c>
      <c r="C363" s="42" t="s">
        <v>716</v>
      </c>
      <c r="D363" s="42"/>
      <c r="E363" s="42" t="str">
        <f t="shared" ref="E363:F363" si="364">PROPER(B363)</f>
        <v>Agriing Kayu Farmers Irrigators Association</v>
      </c>
      <c r="F363" s="42" t="str">
        <f t="shared" si="364"/>
        <v>Laya West, Tabuk City, Kalinga</v>
      </c>
      <c r="G363" s="42" t="str">
        <f t="shared" si="3"/>
        <v>Laya West</v>
      </c>
      <c r="H363" s="42" t="str">
        <f t="shared" si="4"/>
        <v>Tabuk City</v>
      </c>
      <c r="I363" s="42" t="str">
        <f t="shared" si="5"/>
        <v>Kalinga</v>
      </c>
      <c r="J363" s="42" t="str">
        <f t="array" ref="J363">XLOOKUP($E363,'Recipients REF'!$B:$B,'Recipients REF'!D:D,"",0)</f>
        <v>Druso Linmipao</v>
      </c>
      <c r="K363" s="42">
        <f t="array" ref="K363">XLOOKUP($E363,'Recipients REF'!$B:$B,'Recipients REF'!E:E,"",0)</f>
        <v>9631727497</v>
      </c>
      <c r="L363" s="43" t="str">
        <f t="array" ref="L363">XLOOKUP($A363,'Recipients REF'!$A:$A,'Recipients REF'!F:F,"",0)</f>
        <v>RCEF 24-04-15</v>
      </c>
      <c r="M363" s="43">
        <f t="array" ref="M363">XLOOKUP($A363,'Recipients REF'!$A:$A,'Recipients REF'!G:G,"",0)</f>
        <v>6</v>
      </c>
      <c r="N363" s="43">
        <f t="array" ref="N363">XLOOKUP($A363,'Recipients REF'!$A:$A,'Recipients REF'!H:H,"",0)</f>
        <v>19959</v>
      </c>
      <c r="O363" s="44" t="s">
        <v>25</v>
      </c>
      <c r="P363" s="45" t="s">
        <v>26</v>
      </c>
      <c r="Q363" s="46" t="str">
        <f t="array" ref="Q363">XLOOKUP($A363,'Recipients REF'!$A:$A,'Recipients REF'!I:I,"",0)</f>
        <v>KMC5825ALRFPV0929</v>
      </c>
      <c r="R363" s="47" t="str">
        <f t="array" ref="R363">XLOOKUP($A363,'Recipients REF'!$A:$A,'Recipients REF'!J:J,"",0)</f>
        <v>RTS100759</v>
      </c>
      <c r="S363" s="45" t="s">
        <v>27</v>
      </c>
      <c r="T363" s="45" t="s">
        <v>28</v>
      </c>
      <c r="U363" s="46" t="str">
        <f t="array" ref="U363">XLOOKUP($A363,'Recipients REF'!$A:$A,'Recipients REF'!K:K,"",0)</f>
        <v>LSGW170-RMP-24100963</v>
      </c>
      <c r="V363" s="44" t="s">
        <v>29</v>
      </c>
      <c r="W363" s="45" t="s">
        <v>30</v>
      </c>
      <c r="X363" s="47" t="str">
        <f t="array" ref="X363">XLOOKUP($A363,'Recipients REF'!$A:$A,'Recipients REF'!L:L,"",0)</f>
        <v>WDP40-RMP-24121450</v>
      </c>
      <c r="Y363" s="48" t="s">
        <v>29</v>
      </c>
      <c r="Z363" s="48" t="s">
        <v>31</v>
      </c>
      <c r="AA363" s="46" t="str">
        <f t="array" ref="AA363">XLOOKUP($A363,'Recipients REF'!$A:$A,'Recipients REF'!M:M,"",0)</f>
        <v>WR-SERIES-1018PH</v>
      </c>
      <c r="AB363" s="49"/>
      <c r="AC363" s="42"/>
      <c r="AD363" s="42"/>
      <c r="AE363" s="50"/>
      <c r="AF363" s="42"/>
      <c r="AG363" s="42"/>
      <c r="AH363" s="42"/>
      <c r="AI363" s="42" t="str">
        <f t="array" ref="AI363">XLOOKUP($E363,Sheet11!$D:$D,Sheet11!$X:$X,"",0)</f>
        <v/>
      </c>
      <c r="AJ363" s="42" t="str">
        <f t="array" ref="AJ363">XLOOKUP($E363,Sheet11!$D:$D,Sheet11!$Y:$Y,"",0)</f>
        <v/>
      </c>
    </row>
    <row r="364">
      <c r="A364" s="41">
        <v>486.0</v>
      </c>
      <c r="B364" s="42" t="s">
        <v>717</v>
      </c>
      <c r="C364" s="42" t="s">
        <v>718</v>
      </c>
      <c r="D364" s="42"/>
      <c r="E364" s="42" t="str">
        <f t="shared" ref="E364:F364" si="365">PROPER(B364)</f>
        <v>Catao Pagbiagan Association For Development</v>
      </c>
      <c r="F364" s="42" t="str">
        <f t="shared" si="365"/>
        <v>Laya East, Tabuk City, Kalinga</v>
      </c>
      <c r="G364" s="42" t="str">
        <f t="shared" si="3"/>
        <v>Laya East</v>
      </c>
      <c r="H364" s="42" t="str">
        <f t="shared" si="4"/>
        <v>Tabuk City</v>
      </c>
      <c r="I364" s="42" t="str">
        <f t="shared" si="5"/>
        <v>Kalinga</v>
      </c>
      <c r="J364" s="42" t="str">
        <f t="array" ref="J364">XLOOKUP($E364,'Recipients REF'!$B:$B,'Recipients REF'!D:D,"",0)</f>
        <v>Robert L. Liab</v>
      </c>
      <c r="K364" s="42">
        <f t="array" ref="K364">XLOOKUP($E364,'Recipients REF'!$B:$B,'Recipients REF'!E:E,"",0)</f>
        <v>9556683409</v>
      </c>
      <c r="L364" s="43" t="str">
        <f t="array" ref="L364">XLOOKUP($A364,'Recipients REF'!$A:$A,'Recipients REF'!F:F,"",0)</f>
        <v>RCEF 24-04-15</v>
      </c>
      <c r="M364" s="43">
        <f t="array" ref="M364">XLOOKUP($A364,'Recipients REF'!$A:$A,'Recipients REF'!G:G,"",0)</f>
        <v>6</v>
      </c>
      <c r="N364" s="43">
        <f t="array" ref="N364">XLOOKUP($A364,'Recipients REF'!$A:$A,'Recipients REF'!H:H,"",0)</f>
        <v>19960</v>
      </c>
      <c r="O364" s="44" t="s">
        <v>25</v>
      </c>
      <c r="P364" s="45" t="s">
        <v>26</v>
      </c>
      <c r="Q364" s="46" t="str">
        <f t="array" ref="Q364">XLOOKUP($A364,'Recipients REF'!$A:$A,'Recipients REF'!I:I,"",0)</f>
        <v>KMC5825APRFPV0906</v>
      </c>
      <c r="R364" s="47" t="str">
        <f t="array" ref="R364">XLOOKUP($A364,'Recipients REF'!$A:$A,'Recipients REF'!J:J,"",0)</f>
        <v>RTS100805</v>
      </c>
      <c r="S364" s="45" t="s">
        <v>27</v>
      </c>
      <c r="T364" s="45" t="s">
        <v>28</v>
      </c>
      <c r="U364" s="46" t="str">
        <f t="array" ref="U364">XLOOKUP($A364,'Recipients REF'!$A:$A,'Recipients REF'!K:K,"",0)</f>
        <v>LSGW170-RMP-24101061</v>
      </c>
      <c r="V364" s="44" t="s">
        <v>29</v>
      </c>
      <c r="W364" s="45" t="s">
        <v>30</v>
      </c>
      <c r="X364" s="47" t="str">
        <f t="array" ref="X364">XLOOKUP($A364,'Recipients REF'!$A:$A,'Recipients REF'!L:L,"",0)</f>
        <v>WDP40-RMP-24121481</v>
      </c>
      <c r="Y364" s="48" t="s">
        <v>29</v>
      </c>
      <c r="Z364" s="48" t="s">
        <v>31</v>
      </c>
      <c r="AA364" s="46" t="str">
        <f t="array" ref="AA364">XLOOKUP($A364,'Recipients REF'!$A:$A,'Recipients REF'!M:M,"",0)</f>
        <v>WR-SERIES-1027PH</v>
      </c>
      <c r="AB364" s="49"/>
      <c r="AC364" s="42"/>
      <c r="AD364" s="42"/>
      <c r="AE364" s="50"/>
      <c r="AF364" s="42"/>
      <c r="AG364" s="42"/>
      <c r="AH364" s="42"/>
      <c r="AI364" s="42" t="str">
        <f t="array" ref="AI364">XLOOKUP($E364,Sheet11!$D:$D,Sheet11!$X:$X,"",0)</f>
        <v/>
      </c>
      <c r="AJ364" s="42" t="str">
        <f t="array" ref="AJ364">XLOOKUP($E364,Sheet11!$D:$D,Sheet11!$Y:$Y,"",0)</f>
        <v/>
      </c>
    </row>
    <row r="365">
      <c r="A365" s="41">
        <v>487.0</v>
      </c>
      <c r="B365" s="42" t="s">
        <v>719</v>
      </c>
      <c r="C365" s="42" t="s">
        <v>720</v>
      </c>
      <c r="D365" s="42"/>
      <c r="E365" s="42" t="str">
        <f t="shared" ref="E365:F365" si="366">PROPER(B365)</f>
        <v>Catao-Nambaran Farmers Irrigators
  Association Inc.</v>
      </c>
      <c r="F365" s="42" t="str">
        <f t="shared" si="366"/>
        <v>Nambaran, Tabuk City, Kalinga</v>
      </c>
      <c r="G365" s="42" t="str">
        <f t="shared" si="3"/>
        <v>Nambaran</v>
      </c>
      <c r="H365" s="42" t="str">
        <f t="shared" si="4"/>
        <v>Tabuk City</v>
      </c>
      <c r="I365" s="42" t="str">
        <f t="shared" si="5"/>
        <v>Kalinga</v>
      </c>
      <c r="J365" s="42" t="str">
        <f t="array" ref="J365">XLOOKUP($E365,'Recipients REF'!$B:$B,'Recipients REF'!D:D,"",0)</f>
        <v>#N/A</v>
      </c>
      <c r="K365" s="42" t="str">
        <f t="array" ref="K365">XLOOKUP($E365,'Recipients REF'!$B:$B,'Recipients REF'!E:E,"",0)</f>
        <v>#N/A</v>
      </c>
      <c r="L365" s="43" t="str">
        <f t="array" ref="L365">XLOOKUP($A365,'Recipients REF'!$A:$A,'Recipients REF'!F:F,"",0)</f>
        <v>RCEF 24-04-15</v>
      </c>
      <c r="M365" s="43">
        <f t="array" ref="M365">XLOOKUP($A365,'Recipients REF'!$A:$A,'Recipients REF'!G:G,"",0)</f>
        <v>6</v>
      </c>
      <c r="N365" s="43">
        <f t="array" ref="N365">XLOOKUP($A365,'Recipients REF'!$A:$A,'Recipients REF'!H:H,"",0)</f>
        <v>19961</v>
      </c>
      <c r="O365" s="44" t="s">
        <v>25</v>
      </c>
      <c r="P365" s="45" t="s">
        <v>26</v>
      </c>
      <c r="Q365" s="46" t="str">
        <f t="array" ref="Q365">XLOOKUP($A365,'Recipients REF'!$A:$A,'Recipients REF'!I:I,"",0)</f>
        <v>KMC5825AVRFPV0829</v>
      </c>
      <c r="R365" s="47" t="str">
        <f t="array" ref="R365">XLOOKUP($A365,'Recipients REF'!$A:$A,'Recipients REF'!J:J,"",0)</f>
        <v>RTS100731</v>
      </c>
      <c r="S365" s="45" t="s">
        <v>27</v>
      </c>
      <c r="T365" s="45" t="s">
        <v>28</v>
      </c>
      <c r="U365" s="46" t="str">
        <f t="array" ref="U365">XLOOKUP($A365,'Recipients REF'!$A:$A,'Recipients REF'!K:K,"",0)</f>
        <v>LSGW170-RMP-24100987</v>
      </c>
      <c r="V365" s="44" t="s">
        <v>29</v>
      </c>
      <c r="W365" s="45" t="s">
        <v>30</v>
      </c>
      <c r="X365" s="47" t="str">
        <f t="array" ref="X365">XLOOKUP($A365,'Recipients REF'!$A:$A,'Recipients REF'!L:L,"",0)</f>
        <v>WDP40-RMP-24111414</v>
      </c>
      <c r="Y365" s="48" t="s">
        <v>29</v>
      </c>
      <c r="Z365" s="48" t="s">
        <v>31</v>
      </c>
      <c r="AA365" s="46" t="str">
        <f t="array" ref="AA365">XLOOKUP($A365,'Recipients REF'!$A:$A,'Recipients REF'!M:M,"",0)</f>
        <v>WR-SERIES-1061PH</v>
      </c>
      <c r="AB365" s="49"/>
      <c r="AC365" s="42"/>
      <c r="AD365" s="42"/>
      <c r="AE365" s="50"/>
      <c r="AF365" s="42"/>
      <c r="AG365" s="42"/>
      <c r="AH365" s="42"/>
      <c r="AI365" s="42" t="str">
        <f t="array" ref="AI365">XLOOKUP($E365,Sheet11!$D:$D,Sheet11!$X:$X,"",0)</f>
        <v/>
      </c>
      <c r="AJ365" s="42" t="str">
        <f t="array" ref="AJ365">XLOOKUP($E365,Sheet11!$D:$D,Sheet11!$Y:$Y,"",0)</f>
        <v/>
      </c>
    </row>
    <row r="366">
      <c r="A366" s="41">
        <v>488.0</v>
      </c>
      <c r="B366" s="42" t="s">
        <v>721</v>
      </c>
      <c r="C366" s="42" t="s">
        <v>722</v>
      </c>
      <c r="D366" s="42"/>
      <c r="E366" s="42" t="str">
        <f t="shared" ref="E366:F366" si="367">PROPER(B366)</f>
        <v>Men Gawisan Nan Igorot Ed Calaligan Farmers Association</v>
      </c>
      <c r="F366" s="42" t="str">
        <f t="shared" si="367"/>
        <v>Masablang, Tabuk City, Kalinga</v>
      </c>
      <c r="G366" s="42" t="str">
        <f t="shared" si="3"/>
        <v>Masablang</v>
      </c>
      <c r="H366" s="42" t="str">
        <f t="shared" si="4"/>
        <v>Tabuk City</v>
      </c>
      <c r="I366" s="42" t="str">
        <f t="shared" si="5"/>
        <v>Kalinga</v>
      </c>
      <c r="J366" s="42" t="str">
        <f t="array" ref="J366">XLOOKUP($E366,'Recipients REF'!$B:$B,'Recipients REF'!D:D,"",0)</f>
        <v>Angelita D. Lumas-e</v>
      </c>
      <c r="K366" s="42">
        <f t="array" ref="K366">XLOOKUP($E366,'Recipients REF'!$B:$B,'Recipients REF'!E:E,"",0)</f>
        <v>9353940653</v>
      </c>
      <c r="L366" s="43" t="str">
        <f t="array" ref="L366">XLOOKUP($A366,'Recipients REF'!$A:$A,'Recipients REF'!F:F,"",0)</f>
        <v>RCEF 24-04-15</v>
      </c>
      <c r="M366" s="43">
        <f t="array" ref="M366">XLOOKUP($A366,'Recipients REF'!$A:$A,'Recipients REF'!G:G,"",0)</f>
        <v>6</v>
      </c>
      <c r="N366" s="43">
        <f t="array" ref="N366">XLOOKUP($A366,'Recipients REF'!$A:$A,'Recipients REF'!H:H,"",0)</f>
        <v>19962</v>
      </c>
      <c r="O366" s="44" t="s">
        <v>25</v>
      </c>
      <c r="P366" s="45" t="s">
        <v>26</v>
      </c>
      <c r="Q366" s="46" t="str">
        <f t="array" ref="Q366">XLOOKUP($A366,'Recipients REF'!$A:$A,'Recipients REF'!I:I,"",0)</f>
        <v>KMC5825AJRFPV0892</v>
      </c>
      <c r="R366" s="47" t="str">
        <f t="array" ref="R366">XLOOKUP($A366,'Recipients REF'!$A:$A,'Recipients REF'!J:J,"",0)</f>
        <v>RTS100793</v>
      </c>
      <c r="S366" s="45" t="s">
        <v>27</v>
      </c>
      <c r="T366" s="45" t="s">
        <v>28</v>
      </c>
      <c r="U366" s="46" t="str">
        <f t="array" ref="U366">XLOOKUP($A366,'Recipients REF'!$A:$A,'Recipients REF'!K:K,"",0)</f>
        <v>LSGW170-RMP-24100960</v>
      </c>
      <c r="V366" s="44" t="s">
        <v>29</v>
      </c>
      <c r="W366" s="45" t="s">
        <v>30</v>
      </c>
      <c r="X366" s="47" t="str">
        <f t="array" ref="X366">XLOOKUP($A366,'Recipients REF'!$A:$A,'Recipients REF'!L:L,"",0)</f>
        <v>WDP40-RMP-24111409</v>
      </c>
      <c r="Y366" s="48" t="s">
        <v>29</v>
      </c>
      <c r="Z366" s="48" t="s">
        <v>31</v>
      </c>
      <c r="AA366" s="46" t="str">
        <f t="array" ref="AA366">XLOOKUP($A366,'Recipients REF'!$A:$A,'Recipients REF'!M:M,"",0)</f>
        <v>WR-SERIES-1065PH</v>
      </c>
      <c r="AB366" s="49"/>
      <c r="AC366" s="42"/>
      <c r="AD366" s="42"/>
      <c r="AE366" s="50"/>
      <c r="AF366" s="42"/>
      <c r="AG366" s="42"/>
      <c r="AH366" s="42"/>
      <c r="AI366" s="42" t="str">
        <f t="array" ref="AI366">XLOOKUP($E366,Sheet11!$D:$D,Sheet11!$X:$X,"",0)</f>
        <v/>
      </c>
      <c r="AJ366" s="42" t="str">
        <f t="array" ref="AJ366">XLOOKUP($E366,Sheet11!$D:$D,Sheet11!$Y:$Y,"",0)</f>
        <v/>
      </c>
    </row>
    <row r="367">
      <c r="A367" s="41">
        <v>328.0</v>
      </c>
      <c r="B367" s="42" t="s">
        <v>723</v>
      </c>
      <c r="C367" s="42" t="s">
        <v>724</v>
      </c>
      <c r="D367" s="42"/>
      <c r="E367" s="42" t="str">
        <f t="shared" ref="E367:F367" si="368">PROPER(B367)</f>
        <v>Sucoc Sur Farmers And Fisherfolks Association Inc.</v>
      </c>
      <c r="F367" s="42" t="str">
        <f t="shared" si="368"/>
        <v>Sucoc Sur, Luna, La Union</v>
      </c>
      <c r="G367" s="42" t="str">
        <f t="shared" si="3"/>
        <v>Sucoc Sur</v>
      </c>
      <c r="H367" s="42" t="str">
        <f t="shared" si="4"/>
        <v>Luna</v>
      </c>
      <c r="I367" s="42" t="str">
        <f t="shared" si="5"/>
        <v>La Union</v>
      </c>
      <c r="J367" s="42" t="str">
        <f t="array" ref="J367">XLOOKUP($E367,'Recipients REF'!$B:$B,'Recipients REF'!D:D,"",0)</f>
        <v>Amante S. Reyes</v>
      </c>
      <c r="K367" s="42" t="str">
        <f t="array" ref="K367">XLOOKUP($E367,'Recipients REF'!$B:$B,'Recipients REF'!E:E,"",0)</f>
        <v>0948-591-0076</v>
      </c>
      <c r="L367" s="43" t="str">
        <f t="array" ref="L367">XLOOKUP($A367,'Recipients REF'!$A:$A,'Recipients REF'!F:F,"",0)</f>
        <v>RCEF 23-09-21 Rebidding</v>
      </c>
      <c r="M367" s="43">
        <f t="array" ref="M367">XLOOKUP($A367,'Recipients REF'!$A:$A,'Recipients REF'!G:G,"",0)</f>
        <v>9</v>
      </c>
      <c r="N367" s="43">
        <f t="array" ref="N367">XLOOKUP($A367,'Recipients REF'!$A:$A,'Recipients REF'!H:H,"",0)</f>
        <v>18967</v>
      </c>
      <c r="O367" s="44" t="s">
        <v>25</v>
      </c>
      <c r="P367" s="45" t="s">
        <v>26</v>
      </c>
      <c r="Q367" s="46" t="str">
        <f t="array" ref="Q367">XLOOKUP($A367,'Recipients REF'!$A:$A,'Recipients REF'!I:I,"",0)</f>
        <v>KMC5825 AJ RFPV0052</v>
      </c>
      <c r="R367" s="47" t="str">
        <f t="array" ref="R367">XLOOKUP($A367,'Recipients REF'!$A:$A,'Recipients REF'!J:J,"",0)</f>
        <v>RTS100173</v>
      </c>
      <c r="S367" s="45" t="s">
        <v>27</v>
      </c>
      <c r="T367" s="45" t="s">
        <v>28</v>
      </c>
      <c r="U367" s="46" t="str">
        <f t="array" ref="U367">XLOOKUP($A367,'Recipients REF'!$A:$A,'Recipients REF'!K:K,"",0)</f>
        <v>WR R-SERIES 723 PH</v>
      </c>
      <c r="V367" s="44" t="s">
        <v>29</v>
      </c>
      <c r="W367" s="45" t="s">
        <v>30</v>
      </c>
      <c r="X367" s="47" t="str">
        <f t="array" ref="X367">XLOOKUP($A367,'Recipients REF'!$A:$A,'Recipients REF'!L:L,"",0)</f>
        <v>LSGW1750 RMP 24020466</v>
      </c>
      <c r="Y367" s="48" t="s">
        <v>29</v>
      </c>
      <c r="Z367" s="48" t="s">
        <v>31</v>
      </c>
      <c r="AA367" s="46" t="str">
        <f t="array" ref="AA367">XLOOKUP($A367,'Recipients REF'!$A:$A,'Recipients REF'!M:M,"",0)</f>
        <v>WDP40 RMP 24030344</v>
      </c>
      <c r="AB367" s="49"/>
      <c r="AC367" s="42"/>
      <c r="AD367" s="42"/>
      <c r="AE367" s="50"/>
      <c r="AF367" s="42"/>
      <c r="AG367" s="42"/>
      <c r="AH367" s="42"/>
      <c r="AI367" s="42" t="str">
        <f t="array" ref="AI367">XLOOKUP($E367,Sheet11!$D:$D,Sheet11!$X:$X,"",0)</f>
        <v/>
      </c>
      <c r="AJ367" s="42" t="str">
        <f t="array" ref="AJ367">XLOOKUP($E367,Sheet11!$D:$D,Sheet11!$Y:$Y,"",0)</f>
        <v/>
      </c>
    </row>
    <row r="368">
      <c r="A368" s="41">
        <v>329.0</v>
      </c>
      <c r="B368" s="42" t="s">
        <v>725</v>
      </c>
      <c r="C368" s="42" t="s">
        <v>726</v>
      </c>
      <c r="D368" s="42"/>
      <c r="E368" s="42" t="str">
        <f t="shared" ref="E368:F368" si="369">PROPER(B368)</f>
        <v>Panagdur-As Ti Mannalon Ken Mangangalap Ti Baraoas Norte Association Inc.</v>
      </c>
      <c r="F368" s="42" t="str">
        <f t="shared" si="369"/>
        <v>Lioac Sur, Naguilian, La Union</v>
      </c>
      <c r="G368" s="42" t="str">
        <f t="shared" si="3"/>
        <v>Lioac Sur</v>
      </c>
      <c r="H368" s="42" t="str">
        <f t="shared" si="4"/>
        <v>Naguilian</v>
      </c>
      <c r="I368" s="42" t="str">
        <f t="shared" si="5"/>
        <v>La Union</v>
      </c>
      <c r="J368" s="42" t="str">
        <f t="array" ref="J368">XLOOKUP($E368,'Recipients REF'!$B:$B,'Recipients REF'!D:D,"",0)</f>
        <v>Marcial S. Florendo</v>
      </c>
      <c r="K368" s="42" t="str">
        <f t="array" ref="K368">XLOOKUP($E368,'Recipients REF'!$B:$B,'Recipients REF'!E:E,"",0)</f>
        <v>0929-965-7623</v>
      </c>
      <c r="L368" s="43" t="str">
        <f t="array" ref="L368">XLOOKUP($A368,'Recipients REF'!$A:$A,'Recipients REF'!F:F,"",0)</f>
        <v>RCEF 23-09-21 Rebidding</v>
      </c>
      <c r="M368" s="43">
        <f t="array" ref="M368">XLOOKUP($A368,'Recipients REF'!$A:$A,'Recipients REF'!G:G,"",0)</f>
        <v>9</v>
      </c>
      <c r="N368" s="43">
        <f t="array" ref="N368">XLOOKUP($A368,'Recipients REF'!$A:$A,'Recipients REF'!H:H,"",0)</f>
        <v>18968</v>
      </c>
      <c r="O368" s="44" t="s">
        <v>25</v>
      </c>
      <c r="P368" s="45" t="s">
        <v>26</v>
      </c>
      <c r="Q368" s="46" t="str">
        <f t="array" ref="Q368">XLOOKUP($A368,'Recipients REF'!$A:$A,'Recipients REF'!I:I,"",0)</f>
        <v>KMC5825 AHRFPV0236</v>
      </c>
      <c r="R368" s="47" t="str">
        <f t="array" ref="R368">XLOOKUP($A368,'Recipients REF'!$A:$A,'Recipients REF'!J:J,"",0)</f>
        <v>RTS100141</v>
      </c>
      <c r="S368" s="45" t="s">
        <v>27</v>
      </c>
      <c r="T368" s="45" t="s">
        <v>28</v>
      </c>
      <c r="U368" s="46" t="str">
        <f t="array" ref="U368">XLOOKUP($A368,'Recipients REF'!$A:$A,'Recipients REF'!K:K,"",0)</f>
        <v>WR R-SERIES 709 PH</v>
      </c>
      <c r="V368" s="44" t="s">
        <v>29</v>
      </c>
      <c r="W368" s="45" t="s">
        <v>30</v>
      </c>
      <c r="X368" s="47" t="str">
        <f t="array" ref="X368">XLOOKUP($A368,'Recipients REF'!$A:$A,'Recipients REF'!L:L,"",0)</f>
        <v>LSGW1750 RMP 24010214</v>
      </c>
      <c r="Y368" s="48" t="s">
        <v>29</v>
      </c>
      <c r="Z368" s="48" t="s">
        <v>31</v>
      </c>
      <c r="AA368" s="46" t="str">
        <f t="array" ref="AA368">XLOOKUP($A368,'Recipients REF'!$A:$A,'Recipients REF'!M:M,"",0)</f>
        <v>WDP40 RMP 24030382</v>
      </c>
      <c r="AB368" s="49"/>
      <c r="AC368" s="42"/>
      <c r="AD368" s="42"/>
      <c r="AE368" s="50"/>
      <c r="AF368" s="42"/>
      <c r="AG368" s="42"/>
      <c r="AH368" s="42"/>
      <c r="AI368" s="42" t="str">
        <f t="array" ref="AI368">XLOOKUP($E368,Sheet11!$D:$D,Sheet11!$X:$X,"",0)</f>
        <v/>
      </c>
      <c r="AJ368" s="42" t="str">
        <f t="array" ref="AJ368">XLOOKUP($E368,Sheet11!$D:$D,Sheet11!$Y:$Y,"",0)</f>
        <v/>
      </c>
    </row>
    <row r="369">
      <c r="A369" s="41">
        <v>330.0</v>
      </c>
      <c r="B369" s="42" t="s">
        <v>727</v>
      </c>
      <c r="C369" s="42" t="s">
        <v>728</v>
      </c>
      <c r="D369" s="42"/>
      <c r="E369" s="42" t="str">
        <f t="shared" ref="E369:F369" si="370">PROPER(B369)</f>
        <v>Cabaroan Agricultural Multi Purpose Cooperative</v>
      </c>
      <c r="F369" s="42" t="str">
        <f t="shared" si="370"/>
        <v>Cabaroan, Bacnotan, La Union</v>
      </c>
      <c r="G369" s="42" t="str">
        <f t="shared" si="3"/>
        <v>Cabaroan</v>
      </c>
      <c r="H369" s="42" t="str">
        <f t="shared" si="4"/>
        <v>Bacnotan</v>
      </c>
      <c r="I369" s="42" t="str">
        <f t="shared" si="5"/>
        <v>La Union</v>
      </c>
      <c r="J369" s="42" t="str">
        <f t="array" ref="J369">XLOOKUP($E369,'Recipients REF'!$B:$B,'Recipients REF'!D:D,"",0)</f>
        <v>Cresencio B. Suriben</v>
      </c>
      <c r="K369" s="42" t="str">
        <f t="array" ref="K369">XLOOKUP($E369,'Recipients REF'!$B:$B,'Recipients REF'!E:E,"",0)</f>
        <v>0939-415-9990</v>
      </c>
      <c r="L369" s="43" t="str">
        <f t="array" ref="L369">XLOOKUP($A369,'Recipients REF'!$A:$A,'Recipients REF'!F:F,"",0)</f>
        <v>RCEF 23-09-21 Rebidding</v>
      </c>
      <c r="M369" s="43">
        <f t="array" ref="M369">XLOOKUP($A369,'Recipients REF'!$A:$A,'Recipients REF'!G:G,"",0)</f>
        <v>2</v>
      </c>
      <c r="N369" s="43">
        <f t="array" ref="N369">XLOOKUP($A369,'Recipients REF'!$A:$A,'Recipients REF'!H:H,"",0)</f>
        <v>18969</v>
      </c>
      <c r="O369" s="44" t="s">
        <v>25</v>
      </c>
      <c r="P369" s="45" t="s">
        <v>26</v>
      </c>
      <c r="Q369" s="46" t="str">
        <f t="array" ref="Q369">XLOOKUP($A369,'Recipients REF'!$A:$A,'Recipients REF'!I:I,"",0)</f>
        <v>KMC5825 ATRFPV0211</v>
      </c>
      <c r="R369" s="47" t="str">
        <f t="array" ref="R369">XLOOKUP($A369,'Recipients REF'!$A:$A,'Recipients REF'!J:J,"",0)</f>
        <v>RTS 100146</v>
      </c>
      <c r="S369" s="45" t="s">
        <v>27</v>
      </c>
      <c r="T369" s="45" t="s">
        <v>28</v>
      </c>
      <c r="U369" s="46" t="str">
        <f t="array" ref="U369">XLOOKUP($A369,'Recipients REF'!$A:$A,'Recipients REF'!K:K,"",0)</f>
        <v>WR SERIES 718 PH</v>
      </c>
      <c r="V369" s="44" t="s">
        <v>29</v>
      </c>
      <c r="W369" s="45" t="s">
        <v>30</v>
      </c>
      <c r="X369" s="47" t="str">
        <f t="array" ref="X369">XLOOKUP($A369,'Recipients REF'!$A:$A,'Recipients REF'!L:L,"",0)</f>
        <v>LSGW1750 RMP 24020434</v>
      </c>
      <c r="Y369" s="48" t="s">
        <v>29</v>
      </c>
      <c r="Z369" s="48" t="s">
        <v>31</v>
      </c>
      <c r="AA369" s="46" t="str">
        <f t="array" ref="AA369">XLOOKUP($A369,'Recipients REF'!$A:$A,'Recipients REF'!M:M,"",0)</f>
        <v>WDP40 RMP 24030383</v>
      </c>
      <c r="AB369" s="49"/>
      <c r="AC369" s="42"/>
      <c r="AD369" s="42"/>
      <c r="AE369" s="50"/>
      <c r="AF369" s="42"/>
      <c r="AG369" s="42"/>
      <c r="AH369" s="42"/>
      <c r="AI369" s="42" t="str">
        <f t="array" ref="AI369">XLOOKUP($E369,Sheet11!$D:$D,Sheet11!$X:$X,"",0)</f>
        <v/>
      </c>
      <c r="AJ369" s="42" t="str">
        <f t="array" ref="AJ369">XLOOKUP($E369,Sheet11!$D:$D,Sheet11!$Y:$Y,"",0)</f>
        <v/>
      </c>
    </row>
    <row r="370">
      <c r="A370" s="41">
        <v>331.0</v>
      </c>
      <c r="B370" s="42" t="s">
        <v>729</v>
      </c>
      <c r="C370" s="42" t="s">
        <v>730</v>
      </c>
      <c r="D370" s="42"/>
      <c r="E370" s="42" t="str">
        <f t="shared" ref="E370:F370" si="371">PROPER(B370)</f>
        <v>Nangalisan Multi Purpose Cooperative Inc.</v>
      </c>
      <c r="F370" s="42" t="str">
        <f t="shared" si="371"/>
        <v>Nangalisan, Bacnotan, La Union</v>
      </c>
      <c r="G370" s="42" t="str">
        <f t="shared" si="3"/>
        <v>Nangalisan</v>
      </c>
      <c r="H370" s="42" t="str">
        <f t="shared" si="4"/>
        <v>Bacnotan</v>
      </c>
      <c r="I370" s="42" t="str">
        <f t="shared" si="5"/>
        <v>La Union</v>
      </c>
      <c r="J370" s="42" t="str">
        <f t="array" ref="J370">XLOOKUP($E370,'Recipients REF'!$B:$B,'Recipients REF'!D:D,"",0)</f>
        <v>Rogelio R. Rinon</v>
      </c>
      <c r="K370" s="42" t="str">
        <f t="array" ref="K370">XLOOKUP($E370,'Recipients REF'!$B:$B,'Recipients REF'!E:E,"",0)</f>
        <v>0910-977-9348</v>
      </c>
      <c r="L370" s="43" t="str">
        <f t="array" ref="L370">XLOOKUP($A370,'Recipients REF'!$A:$A,'Recipients REF'!F:F,"",0)</f>
        <v>RCEF 23-09-21 Rebidding</v>
      </c>
      <c r="M370" s="43">
        <f t="array" ref="M370">XLOOKUP($A370,'Recipients REF'!$A:$A,'Recipients REF'!G:G,"",0)</f>
        <v>2</v>
      </c>
      <c r="N370" s="43">
        <f t="array" ref="N370">XLOOKUP($A370,'Recipients REF'!$A:$A,'Recipients REF'!H:H,"",0)</f>
        <v>18970</v>
      </c>
      <c r="O370" s="44" t="s">
        <v>25</v>
      </c>
      <c r="P370" s="45" t="s">
        <v>26</v>
      </c>
      <c r="Q370" s="46" t="str">
        <f t="array" ref="Q370">XLOOKUP($A370,'Recipients REF'!$A:$A,'Recipients REF'!I:I,"",0)</f>
        <v>KMC5825 AJRFPV0066</v>
      </c>
      <c r="R370" s="47" t="str">
        <f t="array" ref="R370">XLOOKUP($A370,'Recipients REF'!$A:$A,'Recipients REF'!J:J,"",0)</f>
        <v>PTS 100276</v>
      </c>
      <c r="S370" s="45" t="s">
        <v>27</v>
      </c>
      <c r="T370" s="45" t="s">
        <v>28</v>
      </c>
      <c r="U370" s="46" t="str">
        <f t="array" ref="U370">XLOOKUP($A370,'Recipients REF'!$A:$A,'Recipients REF'!K:K,"",0)</f>
        <v>WR SERIES 706 PH</v>
      </c>
      <c r="V370" s="44" t="s">
        <v>29</v>
      </c>
      <c r="W370" s="45" t="s">
        <v>30</v>
      </c>
      <c r="X370" s="47" t="str">
        <f t="array" ref="X370">XLOOKUP($A370,'Recipients REF'!$A:$A,'Recipients REF'!L:L,"",0)</f>
        <v>LSGW1750 RMP 24020438</v>
      </c>
      <c r="Y370" s="48" t="s">
        <v>29</v>
      </c>
      <c r="Z370" s="48" t="s">
        <v>31</v>
      </c>
      <c r="AA370" s="46" t="str">
        <f t="array" ref="AA370">XLOOKUP($A370,'Recipients REF'!$A:$A,'Recipients REF'!M:M,"",0)</f>
        <v>WDP40 RMP 24030378</v>
      </c>
      <c r="AB370" s="49"/>
      <c r="AC370" s="42"/>
      <c r="AD370" s="42"/>
      <c r="AE370" s="50"/>
      <c r="AF370" s="42"/>
      <c r="AG370" s="42"/>
      <c r="AH370" s="42"/>
      <c r="AI370" s="42" t="str">
        <f t="array" ref="AI370">XLOOKUP($E370,Sheet11!$D:$D,Sheet11!$X:$X,"",0)</f>
        <v/>
      </c>
      <c r="AJ370" s="42" t="str">
        <f t="array" ref="AJ370">XLOOKUP($E370,Sheet11!$D:$D,Sheet11!$Y:$Y,"",0)</f>
        <v/>
      </c>
    </row>
    <row r="371">
      <c r="A371" s="41">
        <v>332.0</v>
      </c>
      <c r="B371" s="42" t="s">
        <v>731</v>
      </c>
      <c r="C371" s="42" t="s">
        <v>732</v>
      </c>
      <c r="D371" s="42"/>
      <c r="E371" s="42" t="str">
        <f t="shared" ref="E371:F371" si="372">PROPER(B371)</f>
        <v>Pagbennecan Agriculture And Fisheries Association (Pafa)</v>
      </c>
      <c r="F371" s="42" t="str">
        <f t="shared" si="372"/>
        <v>Pagbennecan, Balaoan, La Union</v>
      </c>
      <c r="G371" s="42" t="str">
        <f t="shared" si="3"/>
        <v>Pagbennecan</v>
      </c>
      <c r="H371" s="42" t="str">
        <f t="shared" si="4"/>
        <v>Balaoan</v>
      </c>
      <c r="I371" s="42" t="str">
        <f t="shared" si="5"/>
        <v>La Union</v>
      </c>
      <c r="J371" s="42" t="str">
        <f t="array" ref="J371">XLOOKUP($E371,'Recipients REF'!$B:$B,'Recipients REF'!D:D,"",0)</f>
        <v>#N/A</v>
      </c>
      <c r="K371" s="42" t="str">
        <f t="array" ref="K371">XLOOKUP($E371,'Recipients REF'!$B:$B,'Recipients REF'!E:E,"",0)</f>
        <v>#N/A</v>
      </c>
      <c r="L371" s="43" t="str">
        <f t="array" ref="L371">XLOOKUP($A371,'Recipients REF'!$A:$A,'Recipients REF'!F:F,"",0)</f>
        <v>RCEF 23-09-21 Rebidding</v>
      </c>
      <c r="M371" s="43">
        <f t="array" ref="M371">XLOOKUP($A371,'Recipients REF'!$A:$A,'Recipients REF'!G:G,"",0)</f>
        <v>2</v>
      </c>
      <c r="N371" s="43">
        <f t="array" ref="N371">XLOOKUP($A371,'Recipients REF'!$A:$A,'Recipients REF'!H:H,"",0)</f>
        <v>18971</v>
      </c>
      <c r="O371" s="44" t="s">
        <v>25</v>
      </c>
      <c r="P371" s="45" t="s">
        <v>26</v>
      </c>
      <c r="Q371" s="46" t="str">
        <f t="array" ref="Q371">XLOOKUP($A371,'Recipients REF'!$A:$A,'Recipients REF'!I:I,"",0)</f>
        <v>KMC5825 APRFPV0310</v>
      </c>
      <c r="R371" s="47" t="str">
        <f t="array" ref="R371">XLOOKUP($A371,'Recipients REF'!$A:$A,'Recipients REF'!J:J,"",0)</f>
        <v>RTS 100196</v>
      </c>
      <c r="S371" s="45" t="s">
        <v>27</v>
      </c>
      <c r="T371" s="45" t="s">
        <v>28</v>
      </c>
      <c r="U371" s="46" t="str">
        <f t="array" ref="U371">XLOOKUP($A371,'Recipients REF'!$A:$A,'Recipients REF'!K:K,"",0)</f>
        <v>WR SERIES 702 PH</v>
      </c>
      <c r="V371" s="44" t="s">
        <v>29</v>
      </c>
      <c r="W371" s="45" t="s">
        <v>30</v>
      </c>
      <c r="X371" s="47" t="str">
        <f t="array" ref="X371">XLOOKUP($A371,'Recipients REF'!$A:$A,'Recipients REF'!L:L,"",0)</f>
        <v>LSGW1750 RMP 24020470</v>
      </c>
      <c r="Y371" s="48" t="s">
        <v>29</v>
      </c>
      <c r="Z371" s="48" t="s">
        <v>31</v>
      </c>
      <c r="AA371" s="46" t="str">
        <f t="array" ref="AA371">XLOOKUP($A371,'Recipients REF'!$A:$A,'Recipients REF'!M:M,"",0)</f>
        <v>WDP40 RMP 24030386</v>
      </c>
      <c r="AB371" s="49"/>
      <c r="AC371" s="42"/>
      <c r="AD371" s="42"/>
      <c r="AE371" s="50"/>
      <c r="AF371" s="42"/>
      <c r="AG371" s="42"/>
      <c r="AH371" s="42"/>
      <c r="AI371" s="42" t="str">
        <f t="array" ref="AI371">XLOOKUP($E371,Sheet11!$D:$D,Sheet11!$X:$X,"",0)</f>
        <v/>
      </c>
      <c r="AJ371" s="42" t="str">
        <f t="array" ref="AJ371">XLOOKUP($E371,Sheet11!$D:$D,Sheet11!$Y:$Y,"",0)</f>
        <v/>
      </c>
    </row>
    <row r="372">
      <c r="A372" s="41">
        <v>333.0</v>
      </c>
      <c r="B372" s="42" t="s">
        <v>733</v>
      </c>
      <c r="C372" s="42" t="s">
        <v>734</v>
      </c>
      <c r="D372" s="42"/>
      <c r="E372" s="42" t="str">
        <f t="shared" ref="E372:F372" si="373">PROPER(B372)</f>
        <v>Sinapangan Farmers Irrigators Association Of Balaoan, La Union, Inc.</v>
      </c>
      <c r="F372" s="42" t="str">
        <f t="shared" si="373"/>
        <v>Sinapangan Norte, Balaoan, La Union</v>
      </c>
      <c r="G372" s="42" t="str">
        <f t="shared" si="3"/>
        <v>Sinapangan Norte</v>
      </c>
      <c r="H372" s="42" t="str">
        <f t="shared" si="4"/>
        <v>Balaoan</v>
      </c>
      <c r="I372" s="42" t="str">
        <f t="shared" si="5"/>
        <v>La Union</v>
      </c>
      <c r="J372" s="42" t="str">
        <f t="array" ref="J372">XLOOKUP($E372,'Recipients REF'!$B:$B,'Recipients REF'!D:D,"",0)</f>
        <v>Menardo O. Ordinario</v>
      </c>
      <c r="K372" s="42">
        <f t="array" ref="K372">XLOOKUP($E372,'Recipients REF'!$B:$B,'Recipients REF'!E:E,"",0)</f>
        <v>9359992556</v>
      </c>
      <c r="L372" s="43" t="str">
        <f t="array" ref="L372">XLOOKUP($A372,'Recipients REF'!$A:$A,'Recipients REF'!F:F,"",0)</f>
        <v>RCEF 23-09-21 Rebidding</v>
      </c>
      <c r="M372" s="43">
        <f t="array" ref="M372">XLOOKUP($A372,'Recipients REF'!$A:$A,'Recipients REF'!G:G,"",0)</f>
        <v>2</v>
      </c>
      <c r="N372" s="43">
        <f t="array" ref="N372">XLOOKUP($A372,'Recipients REF'!$A:$A,'Recipients REF'!H:H,"",0)</f>
        <v>18972</v>
      </c>
      <c r="O372" s="44" t="s">
        <v>25</v>
      </c>
      <c r="P372" s="45" t="s">
        <v>26</v>
      </c>
      <c r="Q372" s="46" t="str">
        <f t="array" ref="Q372">XLOOKUP($A372,'Recipients REF'!$A:$A,'Recipients REF'!I:I,"",0)</f>
        <v>KMC5825 AKRFPV0311</v>
      </c>
      <c r="R372" s="47" t="str">
        <f t="array" ref="R372">XLOOKUP($A372,'Recipients REF'!$A:$A,'Recipients REF'!J:J,"",0)</f>
        <v>PTS 100192</v>
      </c>
      <c r="S372" s="45" t="s">
        <v>27</v>
      </c>
      <c r="T372" s="45" t="s">
        <v>28</v>
      </c>
      <c r="U372" s="46" t="str">
        <f t="array" ref="U372">XLOOKUP($A372,'Recipients REF'!$A:$A,'Recipients REF'!K:K,"",0)</f>
        <v>WR SERIES 705 PH</v>
      </c>
      <c r="V372" s="44" t="s">
        <v>29</v>
      </c>
      <c r="W372" s="45" t="s">
        <v>30</v>
      </c>
      <c r="X372" s="47" t="str">
        <f t="array" ref="X372">XLOOKUP($A372,'Recipients REF'!$A:$A,'Recipients REF'!L:L,"",0)</f>
        <v>LSGW1750 RMP 24020439</v>
      </c>
      <c r="Y372" s="48" t="s">
        <v>29</v>
      </c>
      <c r="Z372" s="48" t="s">
        <v>31</v>
      </c>
      <c r="AA372" s="46" t="str">
        <f t="array" ref="AA372">XLOOKUP($A372,'Recipients REF'!$A:$A,'Recipients REF'!M:M,"",0)</f>
        <v>WDP40 RMP 24030384</v>
      </c>
      <c r="AB372" s="49"/>
      <c r="AC372" s="42"/>
      <c r="AD372" s="42"/>
      <c r="AE372" s="50"/>
      <c r="AF372" s="42"/>
      <c r="AG372" s="42"/>
      <c r="AH372" s="42"/>
      <c r="AI372" s="42" t="str">
        <f t="array" ref="AI372">XLOOKUP($E372,Sheet11!$D:$D,Sheet11!$X:$X,"",0)</f>
        <v/>
      </c>
      <c r="AJ372" s="42" t="str">
        <f t="array" ref="AJ372">XLOOKUP($E372,Sheet11!$D:$D,Sheet11!$Y:$Y,"",0)</f>
        <v/>
      </c>
    </row>
    <row r="373">
      <c r="A373" s="41">
        <v>334.0</v>
      </c>
      <c r="B373" s="42" t="s">
        <v>735</v>
      </c>
      <c r="C373" s="42" t="s">
        <v>736</v>
      </c>
      <c r="D373" s="42"/>
      <c r="E373" s="42" t="str">
        <f t="shared" ref="E373:F373" si="374">PROPER(B373)</f>
        <v>Luzong Norte Tobacco And Rice Farmers Association Inc.</v>
      </c>
      <c r="F373" s="42" t="str">
        <f t="shared" si="374"/>
        <v>Luzong Norte, Bangar, La Union</v>
      </c>
      <c r="G373" s="42" t="str">
        <f t="shared" si="3"/>
        <v>Luzong Norte</v>
      </c>
      <c r="H373" s="42" t="str">
        <f t="shared" si="4"/>
        <v>Bangar</v>
      </c>
      <c r="I373" s="42" t="str">
        <f t="shared" si="5"/>
        <v>La Union</v>
      </c>
      <c r="J373" s="42" t="str">
        <f t="array" ref="J373">XLOOKUP($E373,'Recipients REF'!$B:$B,'Recipients REF'!D:D,"",0)</f>
        <v>Silvestre M. Merin Jr.</v>
      </c>
      <c r="K373" s="42" t="str">
        <f t="array" ref="K373">XLOOKUP($E373,'Recipients REF'!$B:$B,'Recipients REF'!E:E,"",0)</f>
        <v>0930-815-8489</v>
      </c>
      <c r="L373" s="43" t="str">
        <f t="array" ref="L373">XLOOKUP($A373,'Recipients REF'!$A:$A,'Recipients REF'!F:F,"",0)</f>
        <v>RCEF 23-09-21 Rebidding</v>
      </c>
      <c r="M373" s="43">
        <f t="array" ref="M373">XLOOKUP($A373,'Recipients REF'!$A:$A,'Recipients REF'!G:G,"",0)</f>
        <v>2</v>
      </c>
      <c r="N373" s="43">
        <f t="array" ref="N373">XLOOKUP($A373,'Recipients REF'!$A:$A,'Recipients REF'!H:H,"",0)</f>
        <v>18973</v>
      </c>
      <c r="O373" s="44" t="s">
        <v>25</v>
      </c>
      <c r="P373" s="45" t="s">
        <v>26</v>
      </c>
      <c r="Q373" s="46" t="str">
        <f t="array" ref="Q373">XLOOKUP($A373,'Recipients REF'!$A:$A,'Recipients REF'!I:I,"",0)</f>
        <v>KMC5825 ACRFPV0280</v>
      </c>
      <c r="R373" s="47" t="str">
        <f t="array" ref="R373">XLOOKUP($A373,'Recipients REF'!$A:$A,'Recipients REF'!J:J,"",0)</f>
        <v>RTS 100032</v>
      </c>
      <c r="S373" s="45" t="s">
        <v>27</v>
      </c>
      <c r="T373" s="45" t="s">
        <v>28</v>
      </c>
      <c r="U373" s="46" t="str">
        <f t="array" ref="U373">XLOOKUP($A373,'Recipients REF'!$A:$A,'Recipients REF'!K:K,"",0)</f>
        <v>WR SERIES 717 PH</v>
      </c>
      <c r="V373" s="44" t="s">
        <v>29</v>
      </c>
      <c r="W373" s="45" t="s">
        <v>30</v>
      </c>
      <c r="X373" s="47" t="str">
        <f t="array" ref="X373">XLOOKUP($A373,'Recipients REF'!$A:$A,'Recipients REF'!L:L,"",0)</f>
        <v>LSGW1750 RMP 24020463</v>
      </c>
      <c r="Y373" s="48" t="s">
        <v>29</v>
      </c>
      <c r="Z373" s="48" t="s">
        <v>31</v>
      </c>
      <c r="AA373" s="46" t="str">
        <f t="array" ref="AA373">XLOOKUP($A373,'Recipients REF'!$A:$A,'Recipients REF'!M:M,"",0)</f>
        <v>WDP40 RMP 24030347</v>
      </c>
      <c r="AB373" s="49"/>
      <c r="AC373" s="42"/>
      <c r="AD373" s="42"/>
      <c r="AE373" s="50"/>
      <c r="AF373" s="42"/>
      <c r="AG373" s="42"/>
      <c r="AH373" s="42"/>
      <c r="AI373" s="42" t="str">
        <f t="array" ref="AI373">XLOOKUP($E373,Sheet11!$D:$D,Sheet11!$X:$X,"",0)</f>
        <v/>
      </c>
      <c r="AJ373" s="42" t="str">
        <f t="array" ref="AJ373">XLOOKUP($E373,Sheet11!$D:$D,Sheet11!$Y:$Y,"",0)</f>
        <v/>
      </c>
    </row>
    <row r="374">
      <c r="A374" s="41">
        <v>335.0</v>
      </c>
      <c r="B374" s="42" t="s">
        <v>737</v>
      </c>
      <c r="C374" s="42" t="s">
        <v>738</v>
      </c>
      <c r="D374" s="42"/>
      <c r="E374" s="42" t="str">
        <f t="shared" ref="E374:F374" si="375">PROPER(B374)</f>
        <v>Barangay Buselbusel Farmers Association Inc.</v>
      </c>
      <c r="F374" s="42" t="str">
        <f t="shared" si="375"/>
        <v>Buselbusel, Luna, La Union</v>
      </c>
      <c r="G374" s="42" t="str">
        <f t="shared" si="3"/>
        <v>Buselbusel</v>
      </c>
      <c r="H374" s="42" t="str">
        <f t="shared" si="4"/>
        <v>Luna</v>
      </c>
      <c r="I374" s="42" t="str">
        <f t="shared" si="5"/>
        <v>La Union</v>
      </c>
      <c r="J374" s="42" t="str">
        <f t="array" ref="J374">XLOOKUP($E374,'Recipients REF'!$B:$B,'Recipients REF'!D:D,"",0)</f>
        <v>Jaime N. Napeñas</v>
      </c>
      <c r="K374" s="42" t="str">
        <f t="array" ref="K374">XLOOKUP($E374,'Recipients REF'!$B:$B,'Recipients REF'!E:E,"",0)</f>
        <v>0912-936-8814</v>
      </c>
      <c r="L374" s="43" t="str">
        <f t="array" ref="L374">XLOOKUP($A374,'Recipients REF'!$A:$A,'Recipients REF'!F:F,"",0)</f>
        <v>RCEF 23-09-21 Rebidding</v>
      </c>
      <c r="M374" s="43">
        <f t="array" ref="M374">XLOOKUP($A374,'Recipients REF'!$A:$A,'Recipients REF'!G:G,"",0)</f>
        <v>2</v>
      </c>
      <c r="N374" s="43">
        <f t="array" ref="N374">XLOOKUP($A374,'Recipients REF'!$A:$A,'Recipients REF'!H:H,"",0)</f>
        <v>18974</v>
      </c>
      <c r="O374" s="44" t="s">
        <v>25</v>
      </c>
      <c r="P374" s="45" t="s">
        <v>26</v>
      </c>
      <c r="Q374" s="46" t="str">
        <f t="array" ref="Q374">XLOOKUP($A374,'Recipients REF'!$A:$A,'Recipients REF'!I:I,"",0)</f>
        <v>KMC5825 ALRFPV0235</v>
      </c>
      <c r="R374" s="47" t="str">
        <f t="array" ref="R374">XLOOKUP($A374,'Recipients REF'!$A:$A,'Recipients REF'!J:J,"",0)</f>
        <v>RTS 100087</v>
      </c>
      <c r="S374" s="45" t="s">
        <v>27</v>
      </c>
      <c r="T374" s="45" t="s">
        <v>28</v>
      </c>
      <c r="U374" s="46" t="str">
        <f t="array" ref="U374">XLOOKUP($A374,'Recipients REF'!$A:$A,'Recipients REF'!K:K,"",0)</f>
        <v>WR SERIES 704 PH</v>
      </c>
      <c r="V374" s="44" t="s">
        <v>29</v>
      </c>
      <c r="W374" s="45" t="s">
        <v>30</v>
      </c>
      <c r="X374" s="47" t="str">
        <f t="array" ref="X374">XLOOKUP($A374,'Recipients REF'!$A:$A,'Recipients REF'!L:L,"",0)</f>
        <v>LSGW1750 RMP 24020468</v>
      </c>
      <c r="Y374" s="48" t="s">
        <v>29</v>
      </c>
      <c r="Z374" s="48" t="s">
        <v>31</v>
      </c>
      <c r="AA374" s="46" t="str">
        <f t="array" ref="AA374">XLOOKUP($A374,'Recipients REF'!$A:$A,'Recipients REF'!M:M,"",0)</f>
        <v>WDP40 RMP 24030389</v>
      </c>
      <c r="AB374" s="49"/>
      <c r="AC374" s="42"/>
      <c r="AD374" s="42"/>
      <c r="AE374" s="50"/>
      <c r="AF374" s="42"/>
      <c r="AG374" s="42"/>
      <c r="AH374" s="42"/>
      <c r="AI374" s="42" t="str">
        <f t="array" ref="AI374">XLOOKUP($E374,Sheet11!$D:$D,Sheet11!$X:$X,"",0)</f>
        <v/>
      </c>
      <c r="AJ374" s="42" t="str">
        <f t="array" ref="AJ374">XLOOKUP($E374,Sheet11!$D:$D,Sheet11!$Y:$Y,"",0)</f>
        <v/>
      </c>
    </row>
    <row r="375">
      <c r="A375" s="41">
        <v>336.0</v>
      </c>
      <c r="B375" s="42" t="s">
        <v>739</v>
      </c>
      <c r="C375" s="42" t="s">
        <v>740</v>
      </c>
      <c r="D375" s="42"/>
      <c r="E375" s="42" t="str">
        <f t="shared" ref="E375:F375" si="376">PROPER(B375)</f>
        <v>Bancagan Naguilian Irrigators Asociation Inc.</v>
      </c>
      <c r="F375" s="42" t="str">
        <f t="shared" si="376"/>
        <v>Bancagan, Naguilian, La Union</v>
      </c>
      <c r="G375" s="42" t="str">
        <f t="shared" si="3"/>
        <v>Bancagan</v>
      </c>
      <c r="H375" s="42" t="str">
        <f t="shared" si="4"/>
        <v>Naguilian</v>
      </c>
      <c r="I375" s="42" t="str">
        <f t="shared" si="5"/>
        <v>La Union</v>
      </c>
      <c r="J375" s="42" t="str">
        <f t="array" ref="J375">XLOOKUP($E375,'Recipients REF'!$B:$B,'Recipients REF'!D:D,"",0)</f>
        <v>Edgar G. Espinueva</v>
      </c>
      <c r="K375" s="42" t="str">
        <f t="array" ref="K375">XLOOKUP($E375,'Recipients REF'!$B:$B,'Recipients REF'!E:E,"",0)</f>
        <v>0905-590-2082</v>
      </c>
      <c r="L375" s="43" t="str">
        <f t="array" ref="L375">XLOOKUP($A375,'Recipients REF'!$A:$A,'Recipients REF'!F:F,"",0)</f>
        <v>RCEF 23-09-21 Rebidding</v>
      </c>
      <c r="M375" s="43">
        <f t="array" ref="M375">XLOOKUP($A375,'Recipients REF'!$A:$A,'Recipients REF'!G:G,"",0)</f>
        <v>2</v>
      </c>
      <c r="N375" s="43">
        <f t="array" ref="N375">XLOOKUP($A375,'Recipients REF'!$A:$A,'Recipients REF'!H:H,"",0)</f>
        <v>18975</v>
      </c>
      <c r="O375" s="44" t="s">
        <v>25</v>
      </c>
      <c r="P375" s="45" t="s">
        <v>26</v>
      </c>
      <c r="Q375" s="46" t="str">
        <f t="array" ref="Q375">XLOOKUP($A375,'Recipients REF'!$A:$A,'Recipients REF'!I:I,"",0)</f>
        <v>KMC5825 AVRFPV0135</v>
      </c>
      <c r="R375" s="47" t="str">
        <f t="array" ref="R375">XLOOKUP($A375,'Recipients REF'!$A:$A,'Recipients REF'!J:J,"",0)</f>
        <v>RTS 100218</v>
      </c>
      <c r="S375" s="45" t="s">
        <v>27</v>
      </c>
      <c r="T375" s="45" t="s">
        <v>28</v>
      </c>
      <c r="U375" s="46" t="str">
        <f t="array" ref="U375">XLOOKUP($A375,'Recipients REF'!$A:$A,'Recipients REF'!K:K,"",0)</f>
        <v>WR SERIES 701 PH</v>
      </c>
      <c r="V375" s="44" t="s">
        <v>29</v>
      </c>
      <c r="W375" s="45" t="s">
        <v>30</v>
      </c>
      <c r="X375" s="47" t="str">
        <f t="array" ref="X375">XLOOKUP($A375,'Recipients REF'!$A:$A,'Recipients REF'!L:L,"",0)</f>
        <v>LSGW1750 RMP 24010211</v>
      </c>
      <c r="Y375" s="48" t="s">
        <v>29</v>
      </c>
      <c r="Z375" s="48" t="s">
        <v>31</v>
      </c>
      <c r="AA375" s="46" t="str">
        <f t="array" ref="AA375">XLOOKUP($A375,'Recipients REF'!$A:$A,'Recipients REF'!M:M,"",0)</f>
        <v>WDP40 RMP 24030381</v>
      </c>
      <c r="AB375" s="49"/>
      <c r="AC375" s="42"/>
      <c r="AD375" s="42"/>
      <c r="AE375" s="50"/>
      <c r="AF375" s="42"/>
      <c r="AG375" s="42"/>
      <c r="AH375" s="42"/>
      <c r="AI375" s="42" t="str">
        <f t="array" ref="AI375">XLOOKUP($E375,Sheet11!$D:$D,Sheet11!$X:$X,"",0)</f>
        <v/>
      </c>
      <c r="AJ375" s="42" t="str">
        <f t="array" ref="AJ375">XLOOKUP($E375,Sheet11!$D:$D,Sheet11!$Y:$Y,"",0)</f>
        <v/>
      </c>
    </row>
    <row r="376">
      <c r="A376" s="41">
        <v>337.0</v>
      </c>
      <c r="B376" s="42" t="s">
        <v>741</v>
      </c>
      <c r="C376" s="42" t="s">
        <v>742</v>
      </c>
      <c r="D376" s="42"/>
      <c r="E376" s="42" t="str">
        <f t="shared" ref="E376:F376" si="377">PROPER(B376)</f>
        <v>Carunoan West Rosario La Union Irrigators Association Inc.</v>
      </c>
      <c r="F376" s="42" t="str">
        <f t="shared" si="377"/>
        <v>Carunuan West, Rosario, La Union</v>
      </c>
      <c r="G376" s="42" t="str">
        <f t="shared" si="3"/>
        <v>Carunuan West</v>
      </c>
      <c r="H376" s="42" t="str">
        <f t="shared" si="4"/>
        <v>Rosario</v>
      </c>
      <c r="I376" s="42" t="str">
        <f t="shared" si="5"/>
        <v>La Union</v>
      </c>
      <c r="J376" s="42" t="str">
        <f t="array" ref="J376">XLOOKUP($E376,'Recipients REF'!$B:$B,'Recipients REF'!D:D,"",0)</f>
        <v>Gregorio M. Laron</v>
      </c>
      <c r="K376" s="42" t="str">
        <f t="array" ref="K376">XLOOKUP($E376,'Recipients REF'!$B:$B,'Recipients REF'!E:E,"",0)</f>
        <v>0938-146-4570</v>
      </c>
      <c r="L376" s="43" t="str">
        <f t="array" ref="L376">XLOOKUP($A376,'Recipients REF'!$A:$A,'Recipients REF'!F:F,"",0)</f>
        <v>RCEF 23-09-21 Rebidding</v>
      </c>
      <c r="M376" s="43">
        <f t="array" ref="M376">XLOOKUP($A376,'Recipients REF'!$A:$A,'Recipients REF'!G:G,"",0)</f>
        <v>2</v>
      </c>
      <c r="N376" s="43">
        <f t="array" ref="N376">XLOOKUP($A376,'Recipients REF'!$A:$A,'Recipients REF'!H:H,"",0)</f>
        <v>18976</v>
      </c>
      <c r="O376" s="44" t="s">
        <v>25</v>
      </c>
      <c r="P376" s="45" t="s">
        <v>26</v>
      </c>
      <c r="Q376" s="46" t="str">
        <f t="array" ref="Q376">XLOOKUP($A376,'Recipients REF'!$A:$A,'Recipients REF'!I:I,"",0)</f>
        <v>KMC5825 AKRFPV0244</v>
      </c>
      <c r="R376" s="47" t="str">
        <f t="array" ref="R376">XLOOKUP($A376,'Recipients REF'!$A:$A,'Recipients REF'!J:J,"",0)</f>
        <v>RTS 100128</v>
      </c>
      <c r="S376" s="45" t="s">
        <v>27</v>
      </c>
      <c r="T376" s="45" t="s">
        <v>28</v>
      </c>
      <c r="U376" s="46" t="str">
        <f t="array" ref="U376">XLOOKUP($A376,'Recipients REF'!$A:$A,'Recipients REF'!K:K,"",0)</f>
        <v>WR SERIES 726 PH</v>
      </c>
      <c r="V376" s="44" t="s">
        <v>29</v>
      </c>
      <c r="W376" s="45" t="s">
        <v>30</v>
      </c>
      <c r="X376" s="47" t="str">
        <f t="array" ref="X376">XLOOKUP($A376,'Recipients REF'!$A:$A,'Recipients REF'!L:L,"",0)</f>
        <v>LSGW1750 RMP 24010213</v>
      </c>
      <c r="Y376" s="48" t="s">
        <v>29</v>
      </c>
      <c r="Z376" s="48" t="s">
        <v>31</v>
      </c>
      <c r="AA376" s="46" t="str">
        <f t="array" ref="AA376">XLOOKUP($A376,'Recipients REF'!$A:$A,'Recipients REF'!M:M,"",0)</f>
        <v>WDP40 RMP 24030888</v>
      </c>
      <c r="AB376" s="49"/>
      <c r="AC376" s="42"/>
      <c r="AD376" s="42"/>
      <c r="AE376" s="50"/>
      <c r="AF376" s="42"/>
      <c r="AG376" s="42"/>
      <c r="AH376" s="42"/>
      <c r="AI376" s="42" t="str">
        <f t="array" ref="AI376">XLOOKUP($E376,Sheet11!$D:$D,Sheet11!$X:$X,"",0)</f>
        <v/>
      </c>
      <c r="AJ376" s="42" t="str">
        <f t="array" ref="AJ376">XLOOKUP($E376,Sheet11!$D:$D,Sheet11!$Y:$Y,"",0)</f>
        <v/>
      </c>
    </row>
    <row r="377">
      <c r="A377" s="41">
        <v>338.0</v>
      </c>
      <c r="B377" s="42" t="s">
        <v>743</v>
      </c>
      <c r="C377" s="42" t="s">
        <v>744</v>
      </c>
      <c r="D377" s="42"/>
      <c r="E377" s="42" t="str">
        <f t="shared" ref="E377:F377" si="378">PROPER(B377)</f>
        <v>Swisa Vila Rosario La Union Inc.</v>
      </c>
      <c r="F377" s="42" t="str">
        <f t="shared" si="378"/>
        <v>Vila, Rosario, La Union</v>
      </c>
      <c r="G377" s="42" t="str">
        <f t="shared" si="3"/>
        <v>Vila</v>
      </c>
      <c r="H377" s="42" t="str">
        <f t="shared" si="4"/>
        <v>Rosario</v>
      </c>
      <c r="I377" s="42" t="str">
        <f t="shared" si="5"/>
        <v>La Union</v>
      </c>
      <c r="J377" s="42" t="str">
        <f t="array" ref="J377">XLOOKUP($E377,'Recipients REF'!$B:$B,'Recipients REF'!D:D,"",0)</f>
        <v>Mario A. Paneda</v>
      </c>
      <c r="K377" s="42" t="str">
        <f t="array" ref="K377">XLOOKUP($E377,'Recipients REF'!$B:$B,'Recipients REF'!E:E,"",0)</f>
        <v>0909-114-8840</v>
      </c>
      <c r="L377" s="43" t="str">
        <f t="array" ref="L377">XLOOKUP($A377,'Recipients REF'!$A:$A,'Recipients REF'!F:F,"",0)</f>
        <v>RCEF 23-09-21 Rebidding</v>
      </c>
      <c r="M377" s="43">
        <f t="array" ref="M377">XLOOKUP($A377,'Recipients REF'!$A:$A,'Recipients REF'!G:G,"",0)</f>
        <v>2</v>
      </c>
      <c r="N377" s="43">
        <f t="array" ref="N377">XLOOKUP($A377,'Recipients REF'!$A:$A,'Recipients REF'!H:H,"",0)</f>
        <v>18977</v>
      </c>
      <c r="O377" s="44" t="s">
        <v>25</v>
      </c>
      <c r="P377" s="45" t="s">
        <v>26</v>
      </c>
      <c r="Q377" s="46" t="str">
        <f t="array" ref="Q377">XLOOKUP($A377,'Recipients REF'!$A:$A,'Recipients REF'!I:I,"",0)</f>
        <v>KMC5825 ACRFPV0238</v>
      </c>
      <c r="R377" s="47" t="str">
        <f t="array" ref="R377">XLOOKUP($A377,'Recipients REF'!$A:$A,'Recipients REF'!J:J,"",0)</f>
        <v>RTS 100086</v>
      </c>
      <c r="S377" s="45" t="s">
        <v>27</v>
      </c>
      <c r="T377" s="45" t="s">
        <v>28</v>
      </c>
      <c r="U377" s="46" t="str">
        <f t="array" ref="U377">XLOOKUP($A377,'Recipients REF'!$A:$A,'Recipients REF'!K:K,"",0)</f>
        <v>WR SERIES 707 PH</v>
      </c>
      <c r="V377" s="44" t="s">
        <v>29</v>
      </c>
      <c r="W377" s="45" t="s">
        <v>30</v>
      </c>
      <c r="X377" s="47" t="str">
        <f t="array" ref="X377">XLOOKUP($A377,'Recipients REF'!$A:$A,'Recipients REF'!L:L,"",0)</f>
        <v>LSGW1750 RMP 24020465</v>
      </c>
      <c r="Y377" s="48" t="s">
        <v>29</v>
      </c>
      <c r="Z377" s="48" t="s">
        <v>31</v>
      </c>
      <c r="AA377" s="46" t="str">
        <f t="array" ref="AA377">XLOOKUP($A377,'Recipients REF'!$A:$A,'Recipients REF'!M:M,"",0)</f>
        <v>WDP40 RMP 24030392</v>
      </c>
      <c r="AB377" s="49"/>
      <c r="AC377" s="42"/>
      <c r="AD377" s="42"/>
      <c r="AE377" s="50"/>
      <c r="AF377" s="42"/>
      <c r="AG377" s="42"/>
      <c r="AH377" s="42"/>
      <c r="AI377" s="42" t="str">
        <f t="array" ref="AI377">XLOOKUP($E377,Sheet11!$D:$D,Sheet11!$X:$X,"",0)</f>
        <v/>
      </c>
      <c r="AJ377" s="42" t="str">
        <f t="array" ref="AJ377">XLOOKUP($E377,Sheet11!$D:$D,Sheet11!$Y:$Y,"",0)</f>
        <v/>
      </c>
    </row>
    <row r="378">
      <c r="A378" s="41">
        <v>339.0</v>
      </c>
      <c r="B378" s="42" t="s">
        <v>745</v>
      </c>
      <c r="C378" s="42" t="s">
        <v>746</v>
      </c>
      <c r="D378" s="42"/>
      <c r="E378" s="42" t="str">
        <f t="shared" ref="E378:F378" si="379">PROPER(B378)</f>
        <v>Anduyan Multipurpose Cooperative</v>
      </c>
      <c r="F378" s="42" t="str">
        <f t="shared" si="379"/>
        <v>Anduyan, Tubao, La Union</v>
      </c>
      <c r="G378" s="42" t="str">
        <f t="shared" si="3"/>
        <v>Anduyan</v>
      </c>
      <c r="H378" s="42" t="str">
        <f t="shared" si="4"/>
        <v>Tubao</v>
      </c>
      <c r="I378" s="42" t="str">
        <f t="shared" si="5"/>
        <v>La Union</v>
      </c>
      <c r="J378" s="42" t="str">
        <f t="array" ref="J378">XLOOKUP($E378,'Recipients REF'!$B:$B,'Recipients REF'!D:D,"",0)</f>
        <v>Gina L. Boac</v>
      </c>
      <c r="K378" s="42" t="str">
        <f t="array" ref="K378">XLOOKUP($E378,'Recipients REF'!$B:$B,'Recipients REF'!E:E,"",0)</f>
        <v>0912-712-5735 / 0918-269-2147</v>
      </c>
      <c r="L378" s="43" t="str">
        <f t="array" ref="L378">XLOOKUP($A378,'Recipients REF'!$A:$A,'Recipients REF'!F:F,"",0)</f>
        <v>RCEF 23-09-21 Rebidding</v>
      </c>
      <c r="M378" s="43">
        <f t="array" ref="M378">XLOOKUP($A378,'Recipients REF'!$A:$A,'Recipients REF'!G:G,"",0)</f>
        <v>2</v>
      </c>
      <c r="N378" s="43">
        <f t="array" ref="N378">XLOOKUP($A378,'Recipients REF'!$A:$A,'Recipients REF'!H:H,"",0)</f>
        <v>18978</v>
      </c>
      <c r="O378" s="44" t="s">
        <v>25</v>
      </c>
      <c r="P378" s="45" t="s">
        <v>26</v>
      </c>
      <c r="Q378" s="46" t="str">
        <f t="array" ref="Q378">XLOOKUP($A378,'Recipients REF'!$A:$A,'Recipients REF'!I:I,"",0)</f>
        <v>KMC5825 ACRFPV0294</v>
      </c>
      <c r="R378" s="47" t="str">
        <f t="array" ref="R378">XLOOKUP($A378,'Recipients REF'!$A:$A,'Recipients REF'!J:J,"",0)</f>
        <v>RTS100025</v>
      </c>
      <c r="S378" s="45" t="s">
        <v>27</v>
      </c>
      <c r="T378" s="45" t="s">
        <v>28</v>
      </c>
      <c r="U378" s="46" t="str">
        <f t="array" ref="U378">XLOOKUP($A378,'Recipients REF'!$A:$A,'Recipients REF'!K:K,"",0)</f>
        <v>WR SERIES 716 PH</v>
      </c>
      <c r="V378" s="44" t="s">
        <v>29</v>
      </c>
      <c r="W378" s="45" t="s">
        <v>30</v>
      </c>
      <c r="X378" s="47" t="str">
        <f t="array" ref="X378">XLOOKUP($A378,'Recipients REF'!$A:$A,'Recipients REF'!L:L,"",0)</f>
        <v>LSGW1750 RMP 24010186</v>
      </c>
      <c r="Y378" s="48" t="s">
        <v>29</v>
      </c>
      <c r="Z378" s="48" t="s">
        <v>31</v>
      </c>
      <c r="AA378" s="46" t="str">
        <f t="array" ref="AA378">XLOOKUP($A378,'Recipients REF'!$A:$A,'Recipients REF'!M:M,"",0)</f>
        <v>WDP40 RMP 24030395</v>
      </c>
      <c r="AB378" s="49"/>
      <c r="AC378" s="42"/>
      <c r="AD378" s="42"/>
      <c r="AE378" s="50"/>
      <c r="AF378" s="42"/>
      <c r="AG378" s="42"/>
      <c r="AH378" s="42"/>
      <c r="AI378" s="42" t="str">
        <f t="array" ref="AI378">XLOOKUP($E378,Sheet11!$D:$D,Sheet11!$X:$X,"",0)</f>
        <v/>
      </c>
      <c r="AJ378" s="42" t="str">
        <f t="array" ref="AJ378">XLOOKUP($E378,Sheet11!$D:$D,Sheet11!$Y:$Y,"",0)</f>
        <v/>
      </c>
    </row>
    <row r="379">
      <c r="A379" s="41">
        <v>478.0</v>
      </c>
      <c r="B379" s="42" t="s">
        <v>747</v>
      </c>
      <c r="C379" s="42" t="s">
        <v>748</v>
      </c>
      <c r="D379" s="42"/>
      <c r="E379" s="42" t="str">
        <f t="shared" ref="E379:F379" si="380">PROPER(B379)</f>
        <v>Bugbugcao Irrigators Association Inc.</v>
      </c>
      <c r="F379" s="42" t="str">
        <f t="shared" si="380"/>
        <v>Bugbugcao, San Juan, La Union</v>
      </c>
      <c r="G379" s="42" t="str">
        <f t="shared" si="3"/>
        <v>Bugbugcao</v>
      </c>
      <c r="H379" s="42" t="str">
        <f t="shared" si="4"/>
        <v>San Juan</v>
      </c>
      <c r="I379" s="42" t="str">
        <f t="shared" si="5"/>
        <v>La Union</v>
      </c>
      <c r="J379" s="42" t="str">
        <f t="array" ref="J379">XLOOKUP($E379,'Recipients REF'!$B:$B,'Recipients REF'!D:D,"",0)</f>
        <v>Nestor R. Ducusin</v>
      </c>
      <c r="K379" s="42" t="str">
        <f t="array" ref="K379">XLOOKUP($E379,'Recipients REF'!$B:$B,'Recipients REF'!E:E,"",0)</f>
        <v>0947 790 7258</v>
      </c>
      <c r="L379" s="43" t="str">
        <f t="array" ref="L379">XLOOKUP($A379,'Recipients REF'!$A:$A,'Recipients REF'!F:F,"",0)</f>
        <v>RCEF 23-09-21 Rebidding</v>
      </c>
      <c r="M379" s="43">
        <f t="array" ref="M379">XLOOKUP($A379,'Recipients REF'!$A:$A,'Recipients REF'!G:G,"",0)</f>
        <v>2</v>
      </c>
      <c r="N379" s="43">
        <f t="array" ref="N379">XLOOKUP($A379,'Recipients REF'!$A:$A,'Recipients REF'!H:H,"",0)</f>
        <v>19629</v>
      </c>
      <c r="O379" s="44" t="s">
        <v>25</v>
      </c>
      <c r="P379" s="45" t="s">
        <v>26</v>
      </c>
      <c r="Q379" s="46" t="str">
        <f t="array" ref="Q379">XLOOKUP($A379,'Recipients REF'!$A:$A,'Recipients REF'!I:I,"",0)</f>
        <v>KMC5825AERFPV0237</v>
      </c>
      <c r="R379" s="47" t="str">
        <f t="array" ref="R379">XLOOKUP($A379,'Recipients REF'!$A:$A,'Recipients REF'!J:J,"",0)</f>
        <v>RTS100140</v>
      </c>
      <c r="S379" s="45" t="s">
        <v>27</v>
      </c>
      <c r="T379" s="45" t="s">
        <v>28</v>
      </c>
      <c r="U379" s="46" t="str">
        <f t="array" ref="U379">XLOOKUP($A379,'Recipients REF'!$A:$A,'Recipients REF'!K:K,"",0)</f>
        <v>R-SERIES 809</v>
      </c>
      <c r="V379" s="44" t="s">
        <v>29</v>
      </c>
      <c r="W379" s="45" t="s">
        <v>30</v>
      </c>
      <c r="X379" s="47" t="str">
        <f t="array" ref="X379">XLOOKUP($A379,'Recipients REF'!$A:$A,'Recipients REF'!L:L,"",0)</f>
        <v>LSGW1750-RMP-24010114</v>
      </c>
      <c r="Y379" s="48" t="s">
        <v>29</v>
      </c>
      <c r="Z379" s="48" t="s">
        <v>31</v>
      </c>
      <c r="AA379" s="46" t="str">
        <f t="array" ref="AA379">XLOOKUP($A379,'Recipients REF'!$A:$A,'Recipients REF'!M:M,"",0)</f>
        <v>WDP40-RMP-24050574</v>
      </c>
      <c r="AB379" s="49"/>
      <c r="AC379" s="42"/>
      <c r="AD379" s="42"/>
      <c r="AE379" s="50"/>
      <c r="AF379" s="42"/>
      <c r="AG379" s="42"/>
      <c r="AH379" s="42"/>
      <c r="AI379" s="42" t="str">
        <f t="array" ref="AI379">XLOOKUP($E379,Sheet11!$D:$D,Sheet11!$X:$X,"",0)</f>
        <v/>
      </c>
      <c r="AJ379" s="42" t="str">
        <f t="array" ref="AJ379">XLOOKUP($E379,Sheet11!$D:$D,Sheet11!$Y:$Y,"",0)</f>
        <v/>
      </c>
    </row>
    <row r="380">
      <c r="A380" s="41">
        <v>1.0</v>
      </c>
      <c r="B380" s="42" t="s">
        <v>749</v>
      </c>
      <c r="C380" s="42" t="s">
        <v>750</v>
      </c>
      <c r="D380" s="42"/>
      <c r="E380" s="42" t="str">
        <f t="shared" ref="E380:F380" si="381">PROPER(B380)</f>
        <v>Tubuan-Tanza Irrigators Association, Inc.</v>
      </c>
      <c r="F380" s="42" t="str">
        <f t="shared" si="381"/>
        <v>Tubuan, Pila, Laguna</v>
      </c>
      <c r="G380" s="42" t="str">
        <f t="shared" si="3"/>
        <v>Tubuan</v>
      </c>
      <c r="H380" s="42" t="str">
        <f t="shared" si="4"/>
        <v>Pila</v>
      </c>
      <c r="I380" s="42" t="str">
        <f t="shared" si="5"/>
        <v>Laguna</v>
      </c>
      <c r="J380" s="42" t="str">
        <f t="array" ref="J380">XLOOKUP($E380,'Recipients REF'!$B:$B,'Recipients REF'!D:D,"",0)</f>
        <v>Virgilio Cortes</v>
      </c>
      <c r="K380" s="42" t="str">
        <f t="array" ref="K380">XLOOKUP($E380,'Recipients REF'!$B:$B,'Recipients REF'!E:E,"",0)</f>
        <v>0935 4386 214</v>
      </c>
      <c r="L380" s="43" t="str">
        <f t="array" ref="L380">XLOOKUP($A380,'Recipients REF'!$A:$A,'Recipients REF'!F:F,"",0)</f>
        <v>RCEF 23-08-20 Rebidding</v>
      </c>
      <c r="M380" s="43">
        <f t="array" ref="M380">XLOOKUP($A380,'Recipients REF'!$A:$A,'Recipients REF'!G:G,"",0)</f>
        <v>1</v>
      </c>
      <c r="N380" s="43">
        <f t="array" ref="N380">XLOOKUP($A380,'Recipients REF'!$A:$A,'Recipients REF'!H:H,"",0)</f>
        <v>16765</v>
      </c>
      <c r="O380" s="44" t="s">
        <v>25</v>
      </c>
      <c r="P380" s="45" t="s">
        <v>26</v>
      </c>
      <c r="Q380" s="46" t="str">
        <f t="array" ref="Q380">XLOOKUP($A380,'Recipients REF'!$A:$A,'Recipients REF'!I:I,"",0)</f>
        <v>KMC5825AAPFPV0036</v>
      </c>
      <c r="R380" s="47" t="str">
        <f t="array" ref="R380">XLOOKUP($A380,'Recipients REF'!$A:$A,'Recipients REF'!J:J,"",0)</f>
        <v>PTS100033</v>
      </c>
      <c r="S380" s="45" t="s">
        <v>27</v>
      </c>
      <c r="T380" s="45" t="s">
        <v>28</v>
      </c>
      <c r="U380" s="46" t="str">
        <f t="array" ref="U380">XLOOKUP($A380,'Recipients REF'!$A:$A,'Recipients REF'!K:K,"",0)</f>
        <v>R-SERIES 001 PH</v>
      </c>
      <c r="V380" s="44" t="s">
        <v>29</v>
      </c>
      <c r="W380" s="45" t="s">
        <v>30</v>
      </c>
      <c r="X380" s="47" t="str">
        <f t="array" ref="X380">XLOOKUP($A380,'Recipients REF'!$A:$A,'Recipients REF'!L:L,"",0)</f>
        <v>WR LSGW 0001</v>
      </c>
      <c r="Y380" s="48" t="s">
        <v>29</v>
      </c>
      <c r="Z380" s="48" t="s">
        <v>31</v>
      </c>
      <c r="AA380" s="46" t="str">
        <f t="array" ref="AA380">XLOOKUP($A380,'Recipients REF'!$A:$A,'Recipients REF'!M:M,"",0)</f>
        <v>WR WDP 0001</v>
      </c>
      <c r="AB380" s="49"/>
      <c r="AC380" s="42"/>
      <c r="AD380" s="42"/>
      <c r="AE380" s="51"/>
      <c r="AF380" s="52"/>
      <c r="AG380" s="42"/>
      <c r="AH380" s="42"/>
      <c r="AI380" s="42" t="str">
        <f t="array" ref="AI380">XLOOKUP($E380,Sheet11!$D:$D,Sheet11!$X:$X,"",0)</f>
        <v>8690660600245363</v>
      </c>
      <c r="AJ380" s="42">
        <f t="array" ref="AJ380">XLOOKUP($E380,Sheet11!$D:$D,Sheet11!$Y:$Y,"",0)</f>
        <v>9624244958</v>
      </c>
    </row>
    <row r="381">
      <c r="A381" s="41">
        <v>2.0</v>
      </c>
      <c r="B381" s="42" t="s">
        <v>751</v>
      </c>
      <c r="C381" s="42" t="s">
        <v>752</v>
      </c>
      <c r="D381" s="42"/>
      <c r="E381" s="42" t="str">
        <f t="shared" ref="E381:F381" si="382">PROPER(B381)</f>
        <v>Pila Laguna Agriculture Cooperative (Pilac)</v>
      </c>
      <c r="F381" s="42" t="str">
        <f t="shared" si="382"/>
        <v>Pansol, Pila, Laguna</v>
      </c>
      <c r="G381" s="42" t="str">
        <f t="shared" si="3"/>
        <v>Pansol</v>
      </c>
      <c r="H381" s="42" t="str">
        <f t="shared" si="4"/>
        <v>Pila</v>
      </c>
      <c r="I381" s="42" t="str">
        <f t="shared" si="5"/>
        <v>Laguna</v>
      </c>
      <c r="J381" s="42" t="str">
        <f t="array" ref="J381">XLOOKUP($E381,'Recipients REF'!$B:$B,'Recipients REF'!D:D,"",0)</f>
        <v>BENJAMIN MANUAL</v>
      </c>
      <c r="K381" s="42">
        <f t="array" ref="K381">XLOOKUP($E381,'Recipients REF'!$B:$B,'Recipients REF'!E:E,"",0)</f>
        <v>9750884823</v>
      </c>
      <c r="L381" s="43" t="str">
        <f t="array" ref="L381">XLOOKUP($A381,'Recipients REF'!$A:$A,'Recipients REF'!F:F,"",0)</f>
        <v>RCEF 23-08-20 Rebidding</v>
      </c>
      <c r="M381" s="43">
        <f t="array" ref="M381">XLOOKUP($A381,'Recipients REF'!$A:$A,'Recipients REF'!G:G,"",0)</f>
        <v>1</v>
      </c>
      <c r="N381" s="43">
        <f t="array" ref="N381">XLOOKUP($A381,'Recipients REF'!$A:$A,'Recipients REF'!H:H,"",0)</f>
        <v>16767</v>
      </c>
      <c r="O381" s="44" t="s">
        <v>25</v>
      </c>
      <c r="P381" s="45" t="s">
        <v>26</v>
      </c>
      <c r="Q381" s="46" t="str">
        <f t="array" ref="Q381">XLOOKUP($A381,'Recipients REF'!$A:$A,'Recipients REF'!I:I,"",0)</f>
        <v>KMC5825ALPFPV0037</v>
      </c>
      <c r="R381" s="47" t="str">
        <f t="array" ref="R381">XLOOKUP($A381,'Recipients REF'!$A:$A,'Recipients REF'!J:J,"",0)</f>
        <v>PTS100030</v>
      </c>
      <c r="S381" s="45" t="s">
        <v>27</v>
      </c>
      <c r="T381" s="45" t="s">
        <v>28</v>
      </c>
      <c r="U381" s="46" t="str">
        <f t="array" ref="U381">XLOOKUP($A381,'Recipients REF'!$A:$A,'Recipients REF'!K:K,"",0)</f>
        <v>R-SERIES 005 PH</v>
      </c>
      <c r="V381" s="44" t="s">
        <v>29</v>
      </c>
      <c r="W381" s="45" t="s">
        <v>30</v>
      </c>
      <c r="X381" s="47" t="str">
        <f t="array" ref="X381">XLOOKUP($A381,'Recipients REF'!$A:$A,'Recipients REF'!L:L,"",0)</f>
        <v>WR LSGW 0003</v>
      </c>
      <c r="Y381" s="48" t="s">
        <v>29</v>
      </c>
      <c r="Z381" s="48" t="s">
        <v>31</v>
      </c>
      <c r="AA381" s="46" t="str">
        <f t="array" ref="AA381">XLOOKUP($A381,'Recipients REF'!$A:$A,'Recipients REF'!M:M,"",0)</f>
        <v>WR WDP 0003</v>
      </c>
      <c r="AB381" s="49"/>
      <c r="AC381" s="42"/>
      <c r="AD381" s="42"/>
      <c r="AE381" s="55">
        <v>8.69066060236685E14</v>
      </c>
      <c r="AF381" s="56">
        <v>9.624247288E9</v>
      </c>
      <c r="AG381" s="42"/>
      <c r="AH381" s="42"/>
      <c r="AI381" s="42" t="str">
        <f t="array" ref="AI381">XLOOKUP($E381,Sheet11!$D:$D,Sheet11!$X:$X,"",0)</f>
        <v>8690660600236685</v>
      </c>
      <c r="AJ381" s="42">
        <f t="array" ref="AJ381">XLOOKUP($E381,Sheet11!$D:$D,Sheet11!$Y:$Y,"",0)</f>
        <v>9627247288</v>
      </c>
    </row>
    <row r="382">
      <c r="A382" s="41">
        <v>3.0</v>
      </c>
      <c r="B382" s="42" t="s">
        <v>753</v>
      </c>
      <c r="C382" s="42" t="s">
        <v>754</v>
      </c>
      <c r="D382" s="42"/>
      <c r="E382" s="42" t="str">
        <f t="shared" ref="E382:F382" si="383">PROPER(B382)</f>
        <v>Sto. Domingo-Maitim Irrigators Association, Inc.</v>
      </c>
      <c r="F382" s="42" t="str">
        <f t="shared" si="383"/>
        <v>Maitim, Bay, Laguna</v>
      </c>
      <c r="G382" s="42" t="str">
        <f t="shared" si="3"/>
        <v>Maitim</v>
      </c>
      <c r="H382" s="42" t="str">
        <f t="shared" si="4"/>
        <v>Bay</v>
      </c>
      <c r="I382" s="42" t="str">
        <f t="shared" si="5"/>
        <v>Laguna</v>
      </c>
      <c r="J382" s="42" t="str">
        <f t="array" ref="J382">XLOOKUP($E382,'Recipients REF'!$B:$B,'Recipients REF'!D:D,"",0)</f>
        <v>#N/A</v>
      </c>
      <c r="K382" s="42" t="str">
        <f t="array" ref="K382">XLOOKUP($E382,'Recipients REF'!$B:$B,'Recipients REF'!E:E,"",0)</f>
        <v>#N/A</v>
      </c>
      <c r="L382" s="43" t="str">
        <f t="array" ref="L382">XLOOKUP($A382,'Recipients REF'!$A:$A,'Recipients REF'!F:F,"",0)</f>
        <v>RCEF 23-08-20 Rebidding</v>
      </c>
      <c r="M382" s="43">
        <f t="array" ref="M382">XLOOKUP($A382,'Recipients REF'!$A:$A,'Recipients REF'!G:G,"",0)</f>
        <v>1</v>
      </c>
      <c r="N382" s="43">
        <f t="array" ref="N382">XLOOKUP($A382,'Recipients REF'!$A:$A,'Recipients REF'!H:H,"",0)</f>
        <v>16768</v>
      </c>
      <c r="O382" s="44" t="s">
        <v>25</v>
      </c>
      <c r="P382" s="45" t="s">
        <v>26</v>
      </c>
      <c r="Q382" s="46" t="str">
        <f t="array" ref="Q382">XLOOKUP($A382,'Recipients REF'!$A:$A,'Recipients REF'!I:I,"",0)</f>
        <v>KMC5825AEPFPV0039</v>
      </c>
      <c r="R382" s="47" t="str">
        <f t="array" ref="R382">XLOOKUP($A382,'Recipients REF'!$A:$A,'Recipients REF'!J:J,"",0)</f>
        <v>PTS100001</v>
      </c>
      <c r="S382" s="45" t="s">
        <v>27</v>
      </c>
      <c r="T382" s="45" t="s">
        <v>28</v>
      </c>
      <c r="U382" s="46" t="str">
        <f t="array" ref="U382">XLOOKUP($A382,'Recipients REF'!$A:$A,'Recipients REF'!K:K,"",0)</f>
        <v>R-SERIES 019 PH</v>
      </c>
      <c r="V382" s="44" t="s">
        <v>29</v>
      </c>
      <c r="W382" s="45" t="s">
        <v>30</v>
      </c>
      <c r="X382" s="47" t="str">
        <f t="array" ref="X382">XLOOKUP($A382,'Recipients REF'!$A:$A,'Recipients REF'!L:L,"",0)</f>
        <v>WR LSGW 0002</v>
      </c>
      <c r="Y382" s="48" t="s">
        <v>29</v>
      </c>
      <c r="Z382" s="48" t="s">
        <v>31</v>
      </c>
      <c r="AA382" s="48">
        <v>0.0</v>
      </c>
      <c r="AB382" s="49"/>
      <c r="AC382" s="42"/>
      <c r="AD382" s="42"/>
      <c r="AE382" s="50"/>
      <c r="AF382" s="42"/>
      <c r="AG382" s="42"/>
      <c r="AH382" s="42"/>
      <c r="AI382" s="42" t="str">
        <f t="array" ref="AI382">XLOOKUP($E382,Sheet11!$D:$D,Sheet11!$X:$X,"",0)</f>
        <v>8690660600239416</v>
      </c>
      <c r="AJ382" s="42">
        <f t="array" ref="AJ382">XLOOKUP($E382,Sheet11!$D:$D,Sheet11!$Y:$Y,"",0)</f>
        <v>9624247286</v>
      </c>
    </row>
    <row r="383">
      <c r="A383" s="41">
        <v>4.0</v>
      </c>
      <c r="B383" s="42" t="s">
        <v>755</v>
      </c>
      <c r="C383" s="42" t="s">
        <v>756</v>
      </c>
      <c r="D383" s="42"/>
      <c r="E383" s="42" t="str">
        <f t="shared" ref="E383:F383" si="384">PROPER(B383)</f>
        <v>Bagong Samahan Ng Magsasaka Ng Pila, Laguna, Inc.</v>
      </c>
      <c r="F383" s="42" t="str">
        <f t="shared" si="384"/>
        <v>Sta Clara Sur, Pila, Laguna</v>
      </c>
      <c r="G383" s="42" t="str">
        <f t="shared" si="3"/>
        <v>Sta Clara Sur</v>
      </c>
      <c r="H383" s="42" t="str">
        <f t="shared" si="4"/>
        <v>Pila</v>
      </c>
      <c r="I383" s="42" t="str">
        <f t="shared" si="5"/>
        <v>Laguna</v>
      </c>
      <c r="J383" s="42" t="str">
        <f t="array" ref="J383">XLOOKUP($E383,'Recipients REF'!$B:$B,'Recipients REF'!D:D,"",0)</f>
        <v>Ernesto S. Napao</v>
      </c>
      <c r="K383" s="42">
        <f t="array" ref="K383">XLOOKUP($E383,'Recipients REF'!$B:$B,'Recipients REF'!E:E,"",0)</f>
        <v>9338124621</v>
      </c>
      <c r="L383" s="43" t="str">
        <f t="array" ref="L383">XLOOKUP($A383,'Recipients REF'!$A:$A,'Recipients REF'!F:F,"",0)</f>
        <v>RCEF 23-08-20 Rebidding</v>
      </c>
      <c r="M383" s="43">
        <f t="array" ref="M383">XLOOKUP($A383,'Recipients REF'!$A:$A,'Recipients REF'!G:G,"",0)</f>
        <v>1</v>
      </c>
      <c r="N383" s="43">
        <f t="array" ref="N383">XLOOKUP($A383,'Recipients REF'!$A:$A,'Recipients REF'!H:H,"",0)</f>
        <v>16769</v>
      </c>
      <c r="O383" s="44" t="s">
        <v>25</v>
      </c>
      <c r="P383" s="45" t="s">
        <v>26</v>
      </c>
      <c r="Q383" s="46" t="str">
        <f t="array" ref="Q383">XLOOKUP($A383,'Recipients REF'!$A:$A,'Recipients REF'!I:I,"",0)</f>
        <v>KMC5825AJPFPV0016</v>
      </c>
      <c r="R383" s="47" t="str">
        <f t="array" ref="R383">XLOOKUP($A383,'Recipients REF'!$A:$A,'Recipients REF'!J:J,"",0)</f>
        <v>PTS100028</v>
      </c>
      <c r="S383" s="45" t="s">
        <v>27</v>
      </c>
      <c r="T383" s="45" t="s">
        <v>28</v>
      </c>
      <c r="U383" s="46" t="str">
        <f t="array" ref="U383">XLOOKUP($A383,'Recipients REF'!$A:$A,'Recipients REF'!K:K,"",0)</f>
        <v>R-SERIES 010 PH</v>
      </c>
      <c r="V383" s="44" t="s">
        <v>29</v>
      </c>
      <c r="W383" s="45" t="s">
        <v>30</v>
      </c>
      <c r="X383" s="47" t="str">
        <f t="array" ref="X383">XLOOKUP($A383,'Recipients REF'!$A:$A,'Recipients REF'!L:L,"",0)</f>
        <v>WR LSGW 0004</v>
      </c>
      <c r="Y383" s="48" t="s">
        <v>29</v>
      </c>
      <c r="Z383" s="48" t="s">
        <v>31</v>
      </c>
      <c r="AA383" s="46" t="str">
        <f t="array" ref="AA383">XLOOKUP($A383,'Recipients REF'!$A:$A,'Recipients REF'!M:M,"",0)</f>
        <v>WR WDP 0004</v>
      </c>
      <c r="AB383" s="49"/>
      <c r="AC383" s="42"/>
      <c r="AD383" s="42"/>
      <c r="AE383" s="51"/>
      <c r="AF383" s="52"/>
      <c r="AG383" s="42"/>
      <c r="AH383" s="42"/>
      <c r="AI383" s="42" t="str">
        <f t="array" ref="AI383">XLOOKUP($E383,Sheet11!$D:$D,Sheet11!$X:$X,"",0)</f>
        <v>8690660600241453</v>
      </c>
      <c r="AJ383" s="42">
        <f t="array" ref="AJ383">XLOOKUP($E383,Sheet11!$D:$D,Sheet11!$Y:$Y,"",0)</f>
        <v>9624245410</v>
      </c>
    </row>
    <row r="384">
      <c r="A384" s="41">
        <v>5.0</v>
      </c>
      <c r="B384" s="42" t="s">
        <v>757</v>
      </c>
      <c r="C384" s="42" t="s">
        <v>758</v>
      </c>
      <c r="D384" s="42"/>
      <c r="E384" s="42" t="str">
        <f t="shared" ref="E384:F384" si="385">PROPER(B384)</f>
        <v>Banca-Banca, San Francisco, San Felix, San Roque Irrigators Association, Inc.</v>
      </c>
      <c r="F384" s="42" t="str">
        <f t="shared" si="385"/>
        <v>San Francisco, Victoria, Laguna</v>
      </c>
      <c r="G384" s="42" t="str">
        <f t="shared" si="3"/>
        <v>San Francisco</v>
      </c>
      <c r="H384" s="42" t="str">
        <f t="shared" si="4"/>
        <v>Victoria</v>
      </c>
      <c r="I384" s="42" t="str">
        <f t="shared" si="5"/>
        <v>Laguna</v>
      </c>
      <c r="J384" s="42" t="str">
        <f t="array" ref="J384">XLOOKUP($E384,'Recipients REF'!$B:$B,'Recipients REF'!D:D,"",0)</f>
        <v>Francisco Gonzales</v>
      </c>
      <c r="K384" s="42" t="str">
        <f t="array" ref="K384">XLOOKUP($E384,'Recipients REF'!$B:$B,'Recipients REF'!E:E,"",0)</f>
        <v>0968 664 7688</v>
      </c>
      <c r="L384" s="43" t="str">
        <f t="array" ref="L384">XLOOKUP($A384,'Recipients REF'!$A:$A,'Recipients REF'!F:F,"",0)</f>
        <v>RCEF 23-08-20 Rebidding</v>
      </c>
      <c r="M384" s="43">
        <f t="array" ref="M384">XLOOKUP($A384,'Recipients REF'!$A:$A,'Recipients REF'!G:G,"",0)</f>
        <v>1</v>
      </c>
      <c r="N384" s="43">
        <f t="array" ref="N384">XLOOKUP($A384,'Recipients REF'!$A:$A,'Recipients REF'!H:H,"",0)</f>
        <v>16770</v>
      </c>
      <c r="O384" s="44" t="s">
        <v>25</v>
      </c>
      <c r="P384" s="45" t="s">
        <v>26</v>
      </c>
      <c r="Q384" s="46" t="str">
        <f t="array" ref="Q384">XLOOKUP($A384,'Recipients REF'!$A:$A,'Recipients REF'!I:I,"",0)</f>
        <v>KMC5825AHPFPV0010</v>
      </c>
      <c r="R384" s="47" t="str">
        <f t="array" ref="R384">XLOOKUP($A384,'Recipients REF'!$A:$A,'Recipients REF'!J:J,"",0)</f>
        <v>PTS100002</v>
      </c>
      <c r="S384" s="45" t="s">
        <v>27</v>
      </c>
      <c r="T384" s="45" t="s">
        <v>28</v>
      </c>
      <c r="U384" s="46" t="str">
        <f t="array" ref="U384">XLOOKUP($A384,'Recipients REF'!$A:$A,'Recipients REF'!K:K,"",0)</f>
        <v>R-SERIES 008 PH</v>
      </c>
      <c r="V384" s="44" t="s">
        <v>29</v>
      </c>
      <c r="W384" s="45" t="s">
        <v>30</v>
      </c>
      <c r="X384" s="47" t="str">
        <f t="array" ref="X384">XLOOKUP($A384,'Recipients REF'!$A:$A,'Recipients REF'!L:L,"",0)</f>
        <v>WR LSGW 0005</v>
      </c>
      <c r="Y384" s="48" t="s">
        <v>29</v>
      </c>
      <c r="Z384" s="48" t="s">
        <v>31</v>
      </c>
      <c r="AA384" s="46" t="str">
        <f t="array" ref="AA384">XLOOKUP($A384,'Recipients REF'!$A:$A,'Recipients REF'!M:M,"",0)</f>
        <v>WR WDP 0005</v>
      </c>
      <c r="AB384" s="49"/>
      <c r="AC384" s="42"/>
      <c r="AD384" s="42"/>
      <c r="AE384" s="50"/>
      <c r="AF384" s="42"/>
      <c r="AG384" s="42"/>
      <c r="AH384" s="42"/>
      <c r="AI384" s="42" t="str">
        <f t="array" ref="AI384">XLOOKUP($E384,Sheet11!$D:$D,Sheet11!$X:$X,"",0)</f>
        <v>8690660600241461</v>
      </c>
      <c r="AJ384" s="42">
        <f t="array" ref="AJ384">XLOOKUP($E384,Sheet11!$D:$D,Sheet11!$Y:$Y,"",0)</f>
        <v>9624243404</v>
      </c>
    </row>
    <row r="385">
      <c r="A385" s="41">
        <v>33.0</v>
      </c>
      <c r="B385" s="42" t="s">
        <v>759</v>
      </c>
      <c r="C385" s="42" t="s">
        <v>760</v>
      </c>
      <c r="D385" s="42"/>
      <c r="E385" s="42" t="str">
        <f t="shared" ref="E385:F385" si="386">PROPER(B385)</f>
        <v>Municipal Local Government Unit Of Cavinti</v>
      </c>
      <c r="F385" s="42" t="str">
        <f t="shared" si="386"/>
        <v>Poblacion, Cavinti, Laguna</v>
      </c>
      <c r="G385" s="42" t="str">
        <f t="shared" si="3"/>
        <v>Poblacion</v>
      </c>
      <c r="H385" s="42" t="str">
        <f t="shared" si="4"/>
        <v>Cavinti</v>
      </c>
      <c r="I385" s="42" t="str">
        <f t="shared" si="5"/>
        <v>Laguna</v>
      </c>
      <c r="J385" s="42" t="str">
        <f t="array" ref="J385">XLOOKUP($E385,'Recipients REF'!$B:$B,'Recipients REF'!D:D,"",0)</f>
        <v>Hon. Milbert L. Olivares</v>
      </c>
      <c r="K385" s="42" t="str">
        <f t="array" ref="K385">XLOOKUP($E385,'Recipients REF'!$B:$B,'Recipients REF'!E:E,"",0)</f>
        <v>0919 002 7529</v>
      </c>
      <c r="L385" s="43" t="str">
        <f t="array" ref="L385">XLOOKUP($A385,'Recipients REF'!$A:$A,'Recipients REF'!F:F,"",0)</f>
        <v>RCEF 23-08-20 Rebidding</v>
      </c>
      <c r="M385" s="43">
        <f t="array" ref="M385">XLOOKUP($A385,'Recipients REF'!$A:$A,'Recipients REF'!G:G,"",0)</f>
        <v>1</v>
      </c>
      <c r="N385" s="43">
        <f t="array" ref="N385">XLOOKUP($A385,'Recipients REF'!$A:$A,'Recipients REF'!H:H,"",0)</f>
        <v>17706</v>
      </c>
      <c r="O385" s="44" t="s">
        <v>25</v>
      </c>
      <c r="P385" s="45" t="s">
        <v>26</v>
      </c>
      <c r="Q385" s="46" t="str">
        <f t="array" ref="Q385">XLOOKUP($A385,'Recipients REF'!$A:$A,'Recipients REF'!I:I,"",0)</f>
        <v>KMC 5825 ACPFPV0141</v>
      </c>
      <c r="R385" s="47" t="str">
        <f t="array" ref="R385">XLOOKUP($A385,'Recipients REF'!$A:$A,'Recipients REF'!J:J,"",0)</f>
        <v>PTS100076</v>
      </c>
      <c r="S385" s="45" t="s">
        <v>27</v>
      </c>
      <c r="T385" s="45" t="s">
        <v>28</v>
      </c>
      <c r="U385" s="46" t="str">
        <f t="array" ref="U385">XLOOKUP($A385,'Recipients REF'!$A:$A,'Recipients REF'!K:K,"",0)</f>
        <v>R-SERIES 002 PH</v>
      </c>
      <c r="V385" s="44" t="s">
        <v>29</v>
      </c>
      <c r="W385" s="45" t="s">
        <v>30</v>
      </c>
      <c r="X385" s="47" t="str">
        <f t="array" ref="X385">XLOOKUP($A385,'Recipients REF'!$A:$A,'Recipients REF'!L:L,"",0)</f>
        <v>LSGW1750-RMP-2312177</v>
      </c>
      <c r="Y385" s="48" t="s">
        <v>29</v>
      </c>
      <c r="Z385" s="48" t="s">
        <v>31</v>
      </c>
      <c r="AA385" s="46" t="str">
        <f t="array" ref="AA385">XLOOKUP($A385,'Recipients REF'!$A:$A,'Recipients REF'!M:M,"",0)</f>
        <v>WDP40-RMP-2312113</v>
      </c>
      <c r="AB385" s="49"/>
      <c r="AC385" s="42"/>
      <c r="AD385" s="42"/>
      <c r="AE385" s="56">
        <v>8.69066060241057E14</v>
      </c>
      <c r="AF385" s="42"/>
      <c r="AG385" s="42"/>
      <c r="AH385" s="42"/>
      <c r="AI385" s="42">
        <f t="array" ref="AI385">XLOOKUP($E385,Sheet11!$D:$D,Sheet11!$X:$X,"",0)</f>
        <v>869066060241057</v>
      </c>
      <c r="AJ385" s="42">
        <f t="array" ref="AJ385">XLOOKUP($E385,Sheet11!$D:$D,Sheet11!$Y:$Y,"",0)</f>
        <v>9081501004</v>
      </c>
    </row>
    <row r="386">
      <c r="A386" s="41">
        <v>34.0</v>
      </c>
      <c r="B386" s="42" t="s">
        <v>761</v>
      </c>
      <c r="C386" s="42" t="s">
        <v>762</v>
      </c>
      <c r="D386" s="42"/>
      <c r="E386" s="42" t="str">
        <f t="shared" ref="E386:F386" si="387">PROPER(B386)</f>
        <v>Municipal Local Government Unit Of Kalayaan</v>
      </c>
      <c r="F386" s="42" t="str">
        <f t="shared" si="387"/>
        <v>San Juan, Kalayaan, Laguna</v>
      </c>
      <c r="G386" s="42" t="str">
        <f t="shared" si="3"/>
        <v>San Juan</v>
      </c>
      <c r="H386" s="42" t="str">
        <f t="shared" si="4"/>
        <v>Kalayaan</v>
      </c>
      <c r="I386" s="42" t="str">
        <f t="shared" si="5"/>
        <v>Laguna</v>
      </c>
      <c r="J386" s="42" t="str">
        <f t="array" ref="J386">XLOOKUP($E386,'Recipients REF'!$B:$B,'Recipients REF'!D:D,"",0)</f>
        <v>Hon. Sandy P. Laganapan</v>
      </c>
      <c r="K386" s="42" t="str">
        <f t="array" ref="K386">XLOOKUP($E386,'Recipients REF'!$B:$B,'Recipients REF'!E:E,"",0)</f>
        <v>0926 242 9624</v>
      </c>
      <c r="L386" s="43" t="str">
        <f t="array" ref="L386">XLOOKUP($A386,'Recipients REF'!$A:$A,'Recipients REF'!F:F,"",0)</f>
        <v>RCEF 23-08-20 Rebidding</v>
      </c>
      <c r="M386" s="43">
        <f t="array" ref="M386">XLOOKUP($A386,'Recipients REF'!$A:$A,'Recipients REF'!G:G,"",0)</f>
        <v>1</v>
      </c>
      <c r="N386" s="43">
        <f t="array" ref="N386">XLOOKUP($A386,'Recipients REF'!$A:$A,'Recipients REF'!H:H,"",0)</f>
        <v>17707</v>
      </c>
      <c r="O386" s="44" t="s">
        <v>25</v>
      </c>
      <c r="P386" s="45" t="s">
        <v>26</v>
      </c>
      <c r="Q386" s="46" t="str">
        <f t="array" ref="Q386">XLOOKUP($A386,'Recipients REF'!$A:$A,'Recipients REF'!I:I,"",0)</f>
        <v>KMC 5825 AAPFPV0067</v>
      </c>
      <c r="R386" s="47" t="str">
        <f t="array" ref="R386">XLOOKUP($A386,'Recipients REF'!$A:$A,'Recipients REF'!J:J,"",0)</f>
        <v>PTS100150</v>
      </c>
      <c r="S386" s="45" t="s">
        <v>27</v>
      </c>
      <c r="T386" s="45" t="s">
        <v>28</v>
      </c>
      <c r="U386" s="46" t="str">
        <f t="array" ref="U386">XLOOKUP($A386,'Recipients REF'!$A:$A,'Recipients REF'!K:K,"",0)</f>
        <v>R-SERIES 008 PH</v>
      </c>
      <c r="V386" s="44" t="s">
        <v>29</v>
      </c>
      <c r="W386" s="45" t="s">
        <v>30</v>
      </c>
      <c r="X386" s="47" t="str">
        <f t="array" ref="X386">XLOOKUP($A386,'Recipients REF'!$A:$A,'Recipients REF'!L:L,"",0)</f>
        <v>LSGW1750-RMP-2312079</v>
      </c>
      <c r="Y386" s="48" t="s">
        <v>29</v>
      </c>
      <c r="Z386" s="48" t="s">
        <v>31</v>
      </c>
      <c r="AA386" s="46" t="str">
        <f t="array" ref="AA386">XLOOKUP($A386,'Recipients REF'!$A:$A,'Recipients REF'!M:M,"",0)</f>
        <v>WDP40-RMP-2312074</v>
      </c>
      <c r="AB386" s="49"/>
      <c r="AC386" s="42"/>
      <c r="AD386" s="42"/>
      <c r="AE386" s="56">
        <v>8.69066060245892E14</v>
      </c>
      <c r="AF386" s="56">
        <v>9.087563512E9</v>
      </c>
      <c r="AG386" s="42"/>
      <c r="AH386" s="42"/>
      <c r="AI386" s="42">
        <f t="array" ref="AI386">XLOOKUP($E386,Sheet11!$D:$D,Sheet11!$X:$X,"",0)</f>
        <v>869066060245892</v>
      </c>
      <c r="AJ386" s="42">
        <f t="array" ref="AJ386">XLOOKUP($E386,Sheet11!$D:$D,Sheet11!$Y:$Y,"",0)</f>
        <v>9087563512</v>
      </c>
    </row>
    <row r="387">
      <c r="A387" s="41">
        <v>35.0</v>
      </c>
      <c r="B387" s="42" t="s">
        <v>763</v>
      </c>
      <c r="C387" s="42" t="s">
        <v>764</v>
      </c>
      <c r="D387" s="42"/>
      <c r="E387" s="42" t="str">
        <f t="shared" ref="E387:F387" si="388">PROPER(B387)</f>
        <v>Samahan Ng Magsasaka Ng Barangay Nanguma (Samabana)</v>
      </c>
      <c r="F387" s="42" t="str">
        <f t="shared" si="388"/>
        <v>Nanguma, Mabitac, Laguna</v>
      </c>
      <c r="G387" s="42" t="str">
        <f t="shared" si="3"/>
        <v>Nanguma</v>
      </c>
      <c r="H387" s="42" t="str">
        <f t="shared" si="4"/>
        <v>Mabitac</v>
      </c>
      <c r="I387" s="42" t="str">
        <f t="shared" si="5"/>
        <v>Laguna</v>
      </c>
      <c r="J387" s="42" t="str">
        <f t="array" ref="J387">XLOOKUP($E387,'Recipients REF'!$B:$B,'Recipients REF'!D:D,"",0)</f>
        <v>LORETO D. PEREZ</v>
      </c>
      <c r="K387" s="42" t="str">
        <f t="array" ref="K387">XLOOKUP($E387,'Recipients REF'!$B:$B,'Recipients REF'!E:E,"",0)</f>
        <v>0927-910-0483</v>
      </c>
      <c r="L387" s="43" t="str">
        <f t="array" ref="L387">XLOOKUP($A387,'Recipients REF'!$A:$A,'Recipients REF'!F:F,"",0)</f>
        <v>RCEF 23-08-20 Rebidding</v>
      </c>
      <c r="M387" s="43">
        <f t="array" ref="M387">XLOOKUP($A387,'Recipients REF'!$A:$A,'Recipients REF'!G:G,"",0)</f>
        <v>1</v>
      </c>
      <c r="N387" s="43">
        <f t="array" ref="N387">XLOOKUP($A387,'Recipients REF'!$A:$A,'Recipients REF'!H:H,"",0)</f>
        <v>17708</v>
      </c>
      <c r="O387" s="44" t="s">
        <v>25</v>
      </c>
      <c r="P387" s="45" t="s">
        <v>26</v>
      </c>
      <c r="Q387" s="46" t="str">
        <f t="array" ref="Q387">XLOOKUP($A387,'Recipients REF'!$A:$A,'Recipients REF'!I:I,"",0)</f>
        <v>KMC 5825 ATPFPV0111</v>
      </c>
      <c r="R387" s="47" t="str">
        <f t="array" ref="R387">XLOOKUP($A387,'Recipients REF'!$A:$A,'Recipients REF'!J:J,"",0)</f>
        <v>PTS100093</v>
      </c>
      <c r="S387" s="45" t="s">
        <v>27</v>
      </c>
      <c r="T387" s="45" t="s">
        <v>28</v>
      </c>
      <c r="U387" s="46" t="str">
        <f t="array" ref="U387">XLOOKUP($A387,'Recipients REF'!$A:$A,'Recipients REF'!K:K,"",0)</f>
        <v>R-SERIES 017 PH</v>
      </c>
      <c r="V387" s="44" t="s">
        <v>29</v>
      </c>
      <c r="W387" s="45" t="s">
        <v>30</v>
      </c>
      <c r="X387" s="47" t="str">
        <f t="array" ref="X387">XLOOKUP($A387,'Recipients REF'!$A:$A,'Recipients REF'!L:L,"",0)</f>
        <v>LSGW1750-RMP-2312161</v>
      </c>
      <c r="Y387" s="48" t="s">
        <v>29</v>
      </c>
      <c r="Z387" s="48" t="s">
        <v>31</v>
      </c>
      <c r="AA387" s="46" t="str">
        <f t="array" ref="AA387">XLOOKUP($A387,'Recipients REF'!$A:$A,'Recipients REF'!M:M,"",0)</f>
        <v>WDP40-RMP-2401005</v>
      </c>
      <c r="AB387" s="49"/>
      <c r="AC387" s="42"/>
      <c r="AD387" s="42"/>
      <c r="AE387" s="55">
        <v>8.69066060246197E14</v>
      </c>
      <c r="AF387" s="42"/>
      <c r="AG387" s="42"/>
      <c r="AH387" s="42"/>
      <c r="AI387" s="42">
        <f t="array" ref="AI387">XLOOKUP($E387,Sheet11!$D:$D,Sheet11!$X:$X,"",0)</f>
        <v>869066060237428</v>
      </c>
      <c r="AJ387" s="42">
        <f t="array" ref="AJ387">XLOOKUP($E387,Sheet11!$D:$D,Sheet11!$Y:$Y,"",0)</f>
        <v>9083023340</v>
      </c>
    </row>
    <row r="388">
      <c r="A388" s="41">
        <v>36.0</v>
      </c>
      <c r="B388" s="42" t="s">
        <v>765</v>
      </c>
      <c r="C388" s="42" t="s">
        <v>766</v>
      </c>
      <c r="D388" s="42"/>
      <c r="E388" s="42" t="str">
        <f t="shared" ref="E388:F388" si="389">PROPER(B388)</f>
        <v>Samahang Magpapatubig Ng Dambo-Asufre Pangil, Laguna Inc.</v>
      </c>
      <c r="F388" s="42" t="str">
        <f t="shared" si="389"/>
        <v>Dambo, Pangil, Laguna</v>
      </c>
      <c r="G388" s="42" t="str">
        <f t="shared" si="3"/>
        <v>Dambo</v>
      </c>
      <c r="H388" s="42" t="str">
        <f t="shared" si="4"/>
        <v>Pangil</v>
      </c>
      <c r="I388" s="42" t="str">
        <f t="shared" si="5"/>
        <v>Laguna</v>
      </c>
      <c r="J388" s="42" t="str">
        <f t="array" ref="J388">XLOOKUP($E388,'Recipients REF'!$B:$B,'Recipients REF'!D:D,"",0)</f>
        <v>Jonathan B. De Guia</v>
      </c>
      <c r="K388" s="42" t="str">
        <f t="array" ref="K388">XLOOKUP($E388,'Recipients REF'!$B:$B,'Recipients REF'!E:E,"",0)</f>
        <v>0935-519-1312</v>
      </c>
      <c r="L388" s="43" t="str">
        <f t="array" ref="L388">XLOOKUP($A388,'Recipients REF'!$A:$A,'Recipients REF'!F:F,"",0)</f>
        <v>RCEF 23-08-20 Rebidding</v>
      </c>
      <c r="M388" s="43">
        <f t="array" ref="M388">XLOOKUP($A388,'Recipients REF'!$A:$A,'Recipients REF'!G:G,"",0)</f>
        <v>1</v>
      </c>
      <c r="N388" s="43">
        <f t="array" ref="N388">XLOOKUP($A388,'Recipients REF'!$A:$A,'Recipients REF'!H:H,"",0)</f>
        <v>17709</v>
      </c>
      <c r="O388" s="44" t="s">
        <v>25</v>
      </c>
      <c r="P388" s="45" t="s">
        <v>26</v>
      </c>
      <c r="Q388" s="46" t="str">
        <f t="array" ref="Q388">XLOOKUP($A388,'Recipients REF'!$A:$A,'Recipients REF'!I:I,"",0)</f>
        <v>KMC 5825 ALRFPV0011</v>
      </c>
      <c r="R388" s="47" t="str">
        <f t="array" ref="R388">XLOOKUP($A388,'Recipients REF'!$A:$A,'Recipients REF'!J:J,"",0)</f>
        <v>PTS100182</v>
      </c>
      <c r="S388" s="45" t="s">
        <v>27</v>
      </c>
      <c r="T388" s="45" t="s">
        <v>28</v>
      </c>
      <c r="U388" s="46" t="str">
        <f t="array" ref="U388">XLOOKUP($A388,'Recipients REF'!$A:$A,'Recipients REF'!K:K,"",0)</f>
        <v>R-SERIES 038 PH</v>
      </c>
      <c r="V388" s="44" t="s">
        <v>29</v>
      </c>
      <c r="W388" s="45" t="s">
        <v>30</v>
      </c>
      <c r="X388" s="47" t="str">
        <f t="array" ref="X388">XLOOKUP($A388,'Recipients REF'!$A:$A,'Recipients REF'!L:L,"",0)</f>
        <v>LSGW1750-RMP-2312074</v>
      </c>
      <c r="Y388" s="48" t="s">
        <v>29</v>
      </c>
      <c r="Z388" s="48" t="s">
        <v>31</v>
      </c>
      <c r="AA388" s="46" t="str">
        <f t="array" ref="AA388">XLOOKUP($A388,'Recipients REF'!$A:$A,'Recipients REF'!M:M,"",0)</f>
        <v>WDP40-RMP-2312077</v>
      </c>
      <c r="AB388" s="49"/>
      <c r="AC388" s="42"/>
      <c r="AD388" s="42"/>
      <c r="AE388" s="55">
        <v>8.69066060244606E14</v>
      </c>
      <c r="AF388" s="57">
        <v>9.083959063E9</v>
      </c>
      <c r="AG388" s="42"/>
      <c r="AH388" s="42"/>
      <c r="AI388" s="42">
        <f t="array" ref="AI388">XLOOKUP($E388,Sheet11!$D:$D,Sheet11!$X:$X,"",0)</f>
        <v>869066060244606</v>
      </c>
      <c r="AJ388" s="42">
        <f t="array" ref="AJ388">XLOOKUP($E388,Sheet11!$D:$D,Sheet11!$Y:$Y,"",0)</f>
        <v>9083959063</v>
      </c>
    </row>
    <row r="389">
      <c r="A389" s="41">
        <v>37.0</v>
      </c>
      <c r="B389" s="42" t="s">
        <v>767</v>
      </c>
      <c r="C389" s="42" t="s">
        <v>768</v>
      </c>
      <c r="D389" s="42"/>
      <c r="E389" s="42" t="str">
        <f t="shared" ref="E389:F389" si="390">PROPER(B389)</f>
        <v>Sta. Cruz River Irrigation System Irrigators Association, Inc.</v>
      </c>
      <c r="F389" s="42" t="str">
        <f t="shared" si="390"/>
        <v>Gatid, Santa Cruz, Laguna</v>
      </c>
      <c r="G389" s="42" t="str">
        <f t="shared" si="3"/>
        <v>Gatid</v>
      </c>
      <c r="H389" s="42" t="str">
        <f t="shared" si="4"/>
        <v>Santa Cruz</v>
      </c>
      <c r="I389" s="42" t="str">
        <f t="shared" si="5"/>
        <v>Laguna</v>
      </c>
      <c r="J389" s="42" t="str">
        <f t="array" ref="J389">XLOOKUP($E389,'Recipients REF'!$B:$B,'Recipients REF'!D:D,"",0)</f>
        <v>Roberto Ramos</v>
      </c>
      <c r="K389" s="42" t="str">
        <f t="array" ref="K389">XLOOKUP($E389,'Recipients REF'!$B:$B,'Recipients REF'!E:E,"",0)</f>
        <v>0968 606 0896</v>
      </c>
      <c r="L389" s="43" t="str">
        <f t="array" ref="L389">XLOOKUP($A389,'Recipients REF'!$A:$A,'Recipients REF'!F:F,"",0)</f>
        <v>RCEF 23-08-20 Rebidding</v>
      </c>
      <c r="M389" s="43">
        <f t="array" ref="M389">XLOOKUP($A389,'Recipients REF'!$A:$A,'Recipients REF'!G:G,"",0)</f>
        <v>1</v>
      </c>
      <c r="N389" s="43">
        <f t="array" ref="N389">XLOOKUP($A389,'Recipients REF'!$A:$A,'Recipients REF'!H:H,"",0)</f>
        <v>17710</v>
      </c>
      <c r="O389" s="44" t="s">
        <v>25</v>
      </c>
      <c r="P389" s="45" t="s">
        <v>26</v>
      </c>
      <c r="Q389" s="46" t="str">
        <f t="array" ref="Q389">XLOOKUP($A389,'Recipients REF'!$A:$A,'Recipients REF'!I:I,"",0)</f>
        <v>KMC 5825 AHPFPV0012</v>
      </c>
      <c r="R389" s="47" t="str">
        <f t="array" ref="R389">XLOOKUP($A389,'Recipients REF'!$A:$A,'Recipients REF'!J:J,"",0)</f>
        <v>PTS100169</v>
      </c>
      <c r="S389" s="45" t="s">
        <v>27</v>
      </c>
      <c r="T389" s="45" t="s">
        <v>28</v>
      </c>
      <c r="U389" s="46" t="str">
        <f t="array" ref="U389">XLOOKUP($A389,'Recipients REF'!$A:$A,'Recipients REF'!K:K,"",0)</f>
        <v>R-SERIES 147 PH</v>
      </c>
      <c r="V389" s="44" t="s">
        <v>29</v>
      </c>
      <c r="W389" s="45" t="s">
        <v>30</v>
      </c>
      <c r="X389" s="47" t="str">
        <f t="array" ref="X389">XLOOKUP($A389,'Recipients REF'!$A:$A,'Recipients REF'!L:L,"",0)</f>
        <v>LSGW1750-RMP-2312162</v>
      </c>
      <c r="Y389" s="48" t="s">
        <v>29</v>
      </c>
      <c r="Z389" s="48" t="s">
        <v>31</v>
      </c>
      <c r="AA389" s="46" t="str">
        <f t="array" ref="AA389">XLOOKUP($A389,'Recipients REF'!$A:$A,'Recipients REF'!M:M,"",0)</f>
        <v>WDP40-RMP-2312108</v>
      </c>
      <c r="AB389" s="49"/>
      <c r="AC389" s="42"/>
      <c r="AD389" s="42"/>
      <c r="AE389" s="50"/>
      <c r="AF389" s="42"/>
      <c r="AG389" s="42"/>
      <c r="AH389" s="42"/>
      <c r="AI389" s="42">
        <f t="array" ref="AI389">XLOOKUP($E389,Sheet11!$D:$D,Sheet11!$X:$X,"",0)</f>
        <v>869066060238285</v>
      </c>
      <c r="AJ389" s="42">
        <f t="array" ref="AJ389">XLOOKUP($E389,Sheet11!$D:$D,Sheet11!$Y:$Y,"",0)</f>
        <v>9085385091</v>
      </c>
    </row>
    <row r="390">
      <c r="A390" s="41">
        <v>38.0</v>
      </c>
      <c r="B390" s="42" t="s">
        <v>769</v>
      </c>
      <c r="C390" s="42" t="s">
        <v>770</v>
      </c>
      <c r="D390" s="42"/>
      <c r="E390" s="42" t="str">
        <f t="shared" ref="E390:F390" si="391">PROPER(B390)</f>
        <v>Bagumbayan Organic Farmer’S Association</v>
      </c>
      <c r="F390" s="42" t="str">
        <f t="shared" si="391"/>
        <v>Bagumbayan, Santa Maria, Laguna</v>
      </c>
      <c r="G390" s="42" t="str">
        <f t="shared" si="3"/>
        <v>Bagumbayan</v>
      </c>
      <c r="H390" s="42" t="str">
        <f t="shared" si="4"/>
        <v>Santa Maria</v>
      </c>
      <c r="I390" s="42" t="str">
        <f t="shared" si="5"/>
        <v>Laguna</v>
      </c>
      <c r="J390" s="42" t="str">
        <f t="array" ref="J390">XLOOKUP($E390,'Recipients REF'!$B:$B,'Recipients REF'!D:D,"",0)</f>
        <v/>
      </c>
      <c r="K390" s="42">
        <f t="array" ref="K390">XLOOKUP($E390,'Recipients REF'!$B:$B,'Recipients REF'!E:E,"",0)</f>
        <v>9672085261</v>
      </c>
      <c r="L390" s="43" t="str">
        <f t="array" ref="L390">XLOOKUP($A390,'Recipients REF'!$A:$A,'Recipients REF'!F:F,"",0)</f>
        <v>RCEF 23-08-20 Rebidding</v>
      </c>
      <c r="M390" s="43">
        <f t="array" ref="M390">XLOOKUP($A390,'Recipients REF'!$A:$A,'Recipients REF'!G:G,"",0)</f>
        <v>1</v>
      </c>
      <c r="N390" s="43">
        <f t="array" ref="N390">XLOOKUP($A390,'Recipients REF'!$A:$A,'Recipients REF'!H:H,"",0)</f>
        <v>17711</v>
      </c>
      <c r="O390" s="44" t="s">
        <v>25</v>
      </c>
      <c r="P390" s="45" t="s">
        <v>26</v>
      </c>
      <c r="Q390" s="46" t="str">
        <f t="array" ref="Q390">XLOOKUP($A390,'Recipients REF'!$A:$A,'Recipients REF'!I:I,"",0)</f>
        <v>KMC 5825 AAKFPV0007</v>
      </c>
      <c r="R390" s="47" t="str">
        <f t="array" ref="R390">XLOOKUP($A390,'Recipients REF'!$A:$A,'Recipients REF'!J:J,"",0)</f>
        <v>PTS100274</v>
      </c>
      <c r="S390" s="45" t="s">
        <v>27</v>
      </c>
      <c r="T390" s="45" t="s">
        <v>28</v>
      </c>
      <c r="U390" s="46" t="str">
        <f t="array" ref="U390">XLOOKUP($A390,'Recipients REF'!$A:$A,'Recipients REF'!K:K,"",0)</f>
        <v>R-SERIES 013 PH</v>
      </c>
      <c r="V390" s="44" t="s">
        <v>29</v>
      </c>
      <c r="W390" s="45" t="s">
        <v>30</v>
      </c>
      <c r="X390" s="47" t="str">
        <f t="array" ref="X390">XLOOKUP($A390,'Recipients REF'!$A:$A,'Recipients REF'!L:L,"",0)</f>
        <v>LSGW1750-RMP-2312175</v>
      </c>
      <c r="Y390" s="48" t="s">
        <v>29</v>
      </c>
      <c r="Z390" s="48" t="s">
        <v>31</v>
      </c>
      <c r="AA390" s="46" t="str">
        <f t="array" ref="AA390">XLOOKUP($A390,'Recipients REF'!$A:$A,'Recipients REF'!M:M,"",0)</f>
        <v>WDP40-RMP-2312136</v>
      </c>
      <c r="AB390" s="49"/>
      <c r="AC390" s="42"/>
      <c r="AD390" s="42"/>
      <c r="AE390" s="56">
        <v>8.69066060243541E14</v>
      </c>
      <c r="AF390" s="42"/>
      <c r="AG390" s="42"/>
      <c r="AH390" s="42"/>
      <c r="AI390" s="42">
        <f t="array" ref="AI390">XLOOKUP($E390,Sheet11!$D:$D,Sheet11!$X:$X,"",0)</f>
        <v>869066060243541</v>
      </c>
      <c r="AJ390" s="42">
        <f t="array" ref="AJ390">XLOOKUP($E390,Sheet11!$D:$D,Sheet11!$Y:$Y,"",0)</f>
        <v>9087671028</v>
      </c>
    </row>
    <row r="391">
      <c r="A391" s="41">
        <v>514.0</v>
      </c>
      <c r="B391" s="42" t="s">
        <v>771</v>
      </c>
      <c r="C391" s="42" t="s">
        <v>772</v>
      </c>
      <c r="D391" s="42"/>
      <c r="E391" s="42" t="str">
        <f t="shared" ref="E391:F391" si="392">PROPER(B391)</f>
        <v>Bangyas-Santol Irrigators' Association, Inc.</v>
      </c>
      <c r="F391" s="42" t="str">
        <f t="shared" si="392"/>
        <v>Bangyas, Calauan, Laguna</v>
      </c>
      <c r="G391" s="42" t="str">
        <f t="shared" si="3"/>
        <v>Bangyas</v>
      </c>
      <c r="H391" s="42" t="str">
        <f t="shared" si="4"/>
        <v>Calauan</v>
      </c>
      <c r="I391" s="42" t="str">
        <f t="shared" si="5"/>
        <v>Laguna</v>
      </c>
      <c r="J391" s="42" t="str">
        <f t="array" ref="J391">XLOOKUP($E391,'Recipients REF'!$B:$B,'Recipients REF'!D:D,"",0)</f>
        <v>EDUARDO S. VALENDIA</v>
      </c>
      <c r="K391" s="42" t="str">
        <f t="array" ref="K391">XLOOKUP($E391,'Recipients REF'!$B:$B,'Recipients REF'!E:E,"",0)</f>
        <v>0928 385 5150</v>
      </c>
      <c r="L391" s="43" t="str">
        <f t="array" ref="L391">XLOOKUP($A391,'Recipients REF'!$A:$A,'Recipients REF'!F:F,"",0)</f>
        <v>RCEF 24-04-15</v>
      </c>
      <c r="M391" s="43">
        <f t="array" ref="M391">XLOOKUP($A391,'Recipients REF'!$A:$A,'Recipients REF'!G:G,"",0)</f>
        <v>7</v>
      </c>
      <c r="N391" s="43">
        <f t="array" ref="N391">XLOOKUP($A391,'Recipients REF'!$A:$A,'Recipients REF'!H:H,"",0)</f>
        <v>19988</v>
      </c>
      <c r="O391" s="44" t="s">
        <v>25</v>
      </c>
      <c r="P391" s="45" t="s">
        <v>26</v>
      </c>
      <c r="Q391" s="46" t="str">
        <f t="array" ref="Q391">XLOOKUP($A391,'Recipients REF'!$A:$A,'Recipients REF'!I:I,"",0)</f>
        <v>KMC5825ALRFPV0963</v>
      </c>
      <c r="R391" s="47" t="str">
        <f t="array" ref="R391">XLOOKUP($A391,'Recipients REF'!$A:$A,'Recipients REF'!J:J,"",0)</f>
        <v>RTS100674</v>
      </c>
      <c r="S391" s="45" t="s">
        <v>27</v>
      </c>
      <c r="T391" s="45" t="s">
        <v>28</v>
      </c>
      <c r="U391" s="46" t="str">
        <f t="array" ref="U391">XLOOKUP($A391,'Recipients REF'!$A:$A,'Recipients REF'!K:K,"",0)</f>
        <v>LSGW1750-RMP-24101057</v>
      </c>
      <c r="V391" s="44" t="s">
        <v>29</v>
      </c>
      <c r="W391" s="45" t="s">
        <v>30</v>
      </c>
      <c r="X391" s="47" t="str">
        <f t="array" ref="X391">XLOOKUP($A391,'Recipients REF'!$A:$A,'Recipients REF'!L:L,"",0)</f>
        <v>WDP40-RMP-24121493</v>
      </c>
      <c r="Y391" s="48" t="s">
        <v>29</v>
      </c>
      <c r="Z391" s="48" t="s">
        <v>31</v>
      </c>
      <c r="AA391" s="46" t="str">
        <f t="array" ref="AA391">XLOOKUP($A391,'Recipients REF'!$A:$A,'Recipients REF'!M:M,"",0)</f>
        <v>WR-SERIES-1080PH</v>
      </c>
      <c r="AB391" s="49"/>
      <c r="AC391" s="42"/>
      <c r="AD391" s="42"/>
      <c r="AE391" s="56">
        <v>8.69066062203519E14</v>
      </c>
      <c r="AF391" s="56">
        <v>9.629042447E9</v>
      </c>
      <c r="AG391" s="42"/>
      <c r="AH391" s="42"/>
      <c r="AI391" s="42" t="str">
        <f t="array" ref="AI391">XLOOKUP($E391,Sheet11!$D:$D,Sheet11!$X:$X,"",0)</f>
        <v/>
      </c>
      <c r="AJ391" s="42" t="str">
        <f t="array" ref="AJ391">XLOOKUP($E391,Sheet11!$D:$D,Sheet11!$Y:$Y,"",0)</f>
        <v/>
      </c>
    </row>
    <row r="392">
      <c r="A392" s="41">
        <v>515.0</v>
      </c>
      <c r="B392" s="42" t="s">
        <v>773</v>
      </c>
      <c r="C392" s="42" t="s">
        <v>774</v>
      </c>
      <c r="D392" s="42"/>
      <c r="E392" s="42" t="str">
        <f t="shared" ref="E392:F392" si="393">PROPER(B392)</f>
        <v>Municipal Local Government Of Mabitac</v>
      </c>
      <c r="F392" s="42" t="str">
        <f t="shared" si="393"/>
        <v>Nanguma, Mabitac, Laguna</v>
      </c>
      <c r="G392" s="42" t="str">
        <f t="shared" si="3"/>
        <v>Nanguma</v>
      </c>
      <c r="H392" s="42" t="str">
        <f t="shared" si="4"/>
        <v>Mabitac</v>
      </c>
      <c r="I392" s="42" t="str">
        <f t="shared" si="5"/>
        <v>Laguna</v>
      </c>
      <c r="J392" s="42" t="str">
        <f t="array" ref="J392">XLOOKUP($E392,'Recipients REF'!$B:$B,'Recipients REF'!D:D,"",0)</f>
        <v>Hon. Alberto S. Reyes</v>
      </c>
      <c r="K392" s="42" t="str">
        <f t="array" ref="K392">XLOOKUP($E392,'Recipients REF'!$B:$B,'Recipients REF'!E:E,"",0)</f>
        <v>0977 774 6751</v>
      </c>
      <c r="L392" s="43" t="str">
        <f t="array" ref="L392">XLOOKUP($A392,'Recipients REF'!$A:$A,'Recipients REF'!F:F,"",0)</f>
        <v>RCEF 24-04-15</v>
      </c>
      <c r="M392" s="43">
        <f t="array" ref="M392">XLOOKUP($A392,'Recipients REF'!$A:$A,'Recipients REF'!G:G,"",0)</f>
        <v>7</v>
      </c>
      <c r="N392" s="43">
        <f t="array" ref="N392">XLOOKUP($A392,'Recipients REF'!$A:$A,'Recipients REF'!H:H,"",0)</f>
        <v>19989</v>
      </c>
      <c r="O392" s="44" t="s">
        <v>25</v>
      </c>
      <c r="P392" s="45" t="s">
        <v>26</v>
      </c>
      <c r="Q392" s="46" t="str">
        <f t="array" ref="Q392">XLOOKUP($A392,'Recipients REF'!$A:$A,'Recipients REF'!I:I,"",0)</f>
        <v>KMC5825AJRFPV089</v>
      </c>
      <c r="R392" s="47" t="str">
        <f t="array" ref="R392">XLOOKUP($A392,'Recipients REF'!$A:$A,'Recipients REF'!J:J,"",0)</f>
        <v>RTS100796</v>
      </c>
      <c r="S392" s="45" t="s">
        <v>27</v>
      </c>
      <c r="T392" s="45" t="s">
        <v>28</v>
      </c>
      <c r="U392" s="46" t="str">
        <f t="array" ref="U392">XLOOKUP($A392,'Recipients REF'!$A:$A,'Recipients REF'!K:K,"",0)</f>
        <v>LSGW1750-RMP-24101063</v>
      </c>
      <c r="V392" s="44" t="s">
        <v>29</v>
      </c>
      <c r="W392" s="45" t="s">
        <v>30</v>
      </c>
      <c r="X392" s="47" t="str">
        <f t="array" ref="X392">XLOOKUP($A392,'Recipients REF'!$A:$A,'Recipients REF'!L:L,"",0)</f>
        <v>WDP40-RMP-24121467</v>
      </c>
      <c r="Y392" s="48" t="s">
        <v>29</v>
      </c>
      <c r="Z392" s="48" t="s">
        <v>31</v>
      </c>
      <c r="AA392" s="46" t="str">
        <f t="array" ref="AA392">XLOOKUP($A392,'Recipients REF'!$A:$A,'Recipients REF'!M:M,"",0)</f>
        <v>WR-SERIES-1110PH</v>
      </c>
      <c r="AB392" s="49"/>
      <c r="AC392" s="42"/>
      <c r="AD392" s="42"/>
      <c r="AE392" s="56">
        <v>8.69066062192845E14</v>
      </c>
      <c r="AF392" s="42"/>
      <c r="AG392" s="42"/>
      <c r="AH392" s="42"/>
      <c r="AI392" s="42" t="str">
        <f t="array" ref="AI392">XLOOKUP($E392,Sheet11!$D:$D,Sheet11!$X:$X,"",0)</f>
        <v/>
      </c>
      <c r="AJ392" s="42" t="str">
        <f t="array" ref="AJ392">XLOOKUP($E392,Sheet11!$D:$D,Sheet11!$Y:$Y,"",0)</f>
        <v/>
      </c>
    </row>
    <row r="393">
      <c r="A393" s="41">
        <v>516.0</v>
      </c>
      <c r="B393" s="42" t="s">
        <v>775</v>
      </c>
      <c r="C393" s="42" t="s">
        <v>776</v>
      </c>
      <c r="D393" s="42"/>
      <c r="E393" s="42" t="str">
        <f t="shared" ref="E393:F393" si="394">PROPER(B393)</f>
        <v>Paagahan Farmers Irrigators Association, Inc.</v>
      </c>
      <c r="F393" s="42" t="str">
        <f t="shared" si="394"/>
        <v>Paagahan, Mabitac, Laguna</v>
      </c>
      <c r="G393" s="42" t="str">
        <f t="shared" si="3"/>
        <v>Paagahan</v>
      </c>
      <c r="H393" s="42" t="str">
        <f t="shared" si="4"/>
        <v>Mabitac</v>
      </c>
      <c r="I393" s="42" t="str">
        <f t="shared" si="5"/>
        <v>Laguna</v>
      </c>
      <c r="J393" s="42" t="str">
        <f t="array" ref="J393">XLOOKUP($E393,'Recipients REF'!$B:$B,'Recipients REF'!D:D,"",0)</f>
        <v>Jaime Pagola</v>
      </c>
      <c r="K393" s="42">
        <f t="array" ref="K393">XLOOKUP($E393,'Recipients REF'!$B:$B,'Recipients REF'!E:E,"",0)</f>
        <v>9264126389</v>
      </c>
      <c r="L393" s="43" t="str">
        <f t="array" ref="L393">XLOOKUP($A393,'Recipients REF'!$A:$A,'Recipients REF'!F:F,"",0)</f>
        <v>RCEF 24-04-15</v>
      </c>
      <c r="M393" s="43">
        <f t="array" ref="M393">XLOOKUP($A393,'Recipients REF'!$A:$A,'Recipients REF'!G:G,"",0)</f>
        <v>7</v>
      </c>
      <c r="N393" s="43">
        <f t="array" ref="N393">XLOOKUP($A393,'Recipients REF'!$A:$A,'Recipients REF'!H:H,"",0)</f>
        <v>19990</v>
      </c>
      <c r="O393" s="44" t="s">
        <v>25</v>
      </c>
      <c r="P393" s="45" t="s">
        <v>26</v>
      </c>
      <c r="Q393" s="46" t="str">
        <f t="array" ref="Q393">XLOOKUP($A393,'Recipients REF'!$A:$A,'Recipients REF'!I:I,"",0)</f>
        <v>KMC5825AKRFPV0888</v>
      </c>
      <c r="R393" s="47" t="str">
        <f t="array" ref="R393">XLOOKUP($A393,'Recipients REF'!$A:$A,'Recipients REF'!J:J,"",0)</f>
        <v>RTS100799</v>
      </c>
      <c r="S393" s="45" t="s">
        <v>27</v>
      </c>
      <c r="T393" s="45" t="s">
        <v>28</v>
      </c>
      <c r="U393" s="46" t="str">
        <f t="array" ref="U393">XLOOKUP($A393,'Recipients REF'!$A:$A,'Recipients REF'!K:K,"",0)</f>
        <v>LSGW1750-RMP-24101001</v>
      </c>
      <c r="V393" s="44" t="s">
        <v>29</v>
      </c>
      <c r="W393" s="45" t="s">
        <v>30</v>
      </c>
      <c r="X393" s="47" t="str">
        <f t="array" ref="X393">XLOOKUP($A393,'Recipients REF'!$A:$A,'Recipients REF'!L:L,"",0)</f>
        <v>WDP40-RMP-24121480</v>
      </c>
      <c r="Y393" s="48" t="s">
        <v>29</v>
      </c>
      <c r="Z393" s="48" t="s">
        <v>31</v>
      </c>
      <c r="AA393" s="46" t="str">
        <f t="array" ref="AA393">XLOOKUP($A393,'Recipients REF'!$A:$A,'Recipients REF'!M:M,"",0)</f>
        <v>WR-SERIES-1119PH</v>
      </c>
      <c r="AB393" s="49"/>
      <c r="AC393" s="42"/>
      <c r="AD393" s="42"/>
      <c r="AE393" s="55">
        <v>8.69066062191201E14</v>
      </c>
      <c r="AF393" s="42"/>
      <c r="AG393" s="42"/>
      <c r="AH393" s="42"/>
      <c r="AI393" s="42" t="str">
        <f t="array" ref="AI393">XLOOKUP($E393,Sheet11!$D:$D,Sheet11!$X:$X,"",0)</f>
        <v/>
      </c>
      <c r="AJ393" s="42" t="str">
        <f t="array" ref="AJ393">XLOOKUP($E393,Sheet11!$D:$D,Sheet11!$Y:$Y,"",0)</f>
        <v/>
      </c>
    </row>
    <row r="394">
      <c r="A394" s="41">
        <v>517.0</v>
      </c>
      <c r="B394" s="42" t="s">
        <v>777</v>
      </c>
      <c r="C394" s="42" t="s">
        <v>778</v>
      </c>
      <c r="D394" s="42"/>
      <c r="E394" s="42" t="str">
        <f t="shared" ref="E394:F394" si="395">PROPER(B394)</f>
        <v>Municipal Local Government Of Pagsanjan</v>
      </c>
      <c r="F394" s="42" t="str">
        <f t="shared" si="395"/>
        <v>Barangay I (Pob.), Pagsanjan, Laguna</v>
      </c>
      <c r="G394" s="42" t="str">
        <f t="shared" si="3"/>
        <v>Barangay I (Pob.)</v>
      </c>
      <c r="H394" s="42" t="str">
        <f t="shared" si="4"/>
        <v>Pagsanjan</v>
      </c>
      <c r="I394" s="42" t="str">
        <f t="shared" si="5"/>
        <v>Laguna</v>
      </c>
      <c r="J394" s="42" t="str">
        <f t="array" ref="J394">XLOOKUP($E394,'Recipients REF'!$B:$B,'Recipients REF'!D:D,"",0)</f>
        <v>Hon. Cesar V. Areza</v>
      </c>
      <c r="K394" s="42">
        <f t="array" ref="K394">XLOOKUP($E394,'Recipients REF'!$B:$B,'Recipients REF'!E:E,"",0)</f>
        <v>9773313550</v>
      </c>
      <c r="L394" s="43" t="str">
        <f t="array" ref="L394">XLOOKUP($A394,'Recipients REF'!$A:$A,'Recipients REF'!F:F,"",0)</f>
        <v>RCEF 24-04-15</v>
      </c>
      <c r="M394" s="43">
        <f t="array" ref="M394">XLOOKUP($A394,'Recipients REF'!$A:$A,'Recipients REF'!G:G,"",0)</f>
        <v>7</v>
      </c>
      <c r="N394" s="43">
        <f t="array" ref="N394">XLOOKUP($A394,'Recipients REF'!$A:$A,'Recipients REF'!H:H,"",0)</f>
        <v>19991</v>
      </c>
      <c r="O394" s="44" t="s">
        <v>25</v>
      </c>
      <c r="P394" s="45" t="s">
        <v>26</v>
      </c>
      <c r="Q394" s="46" t="str">
        <f t="array" ref="Q394">XLOOKUP($A394,'Recipients REF'!$A:$A,'Recipients REF'!I:I,"",0)</f>
        <v>KMC5825ALRFPV0946</v>
      </c>
      <c r="R394" s="47" t="str">
        <f t="array" ref="R394">XLOOKUP($A394,'Recipients REF'!$A:$A,'Recipients REF'!J:J,"",0)</f>
        <v>RTS100833</v>
      </c>
      <c r="S394" s="45" t="s">
        <v>27</v>
      </c>
      <c r="T394" s="45" t="s">
        <v>28</v>
      </c>
      <c r="U394" s="46" t="str">
        <f t="array" ref="U394">XLOOKUP($A394,'Recipients REF'!$A:$A,'Recipients REF'!K:K,"",0)</f>
        <v>LSGW1750-RMP-24100868</v>
      </c>
      <c r="V394" s="44" t="s">
        <v>29</v>
      </c>
      <c r="W394" s="45" t="s">
        <v>30</v>
      </c>
      <c r="X394" s="47" t="str">
        <f t="array" ref="X394">XLOOKUP($A394,'Recipients REF'!$A:$A,'Recipients REF'!L:L,"",0)</f>
        <v>WDP40-RMP-24121462</v>
      </c>
      <c r="Y394" s="48" t="s">
        <v>29</v>
      </c>
      <c r="Z394" s="48" t="s">
        <v>31</v>
      </c>
      <c r="AA394" s="46" t="str">
        <f t="array" ref="AA394">XLOOKUP($A394,'Recipients REF'!$A:$A,'Recipients REF'!M:M,"",0)</f>
        <v>WR-SERIES-1025PH</v>
      </c>
      <c r="AB394" s="49"/>
      <c r="AC394" s="42"/>
      <c r="AD394" s="42"/>
      <c r="AE394" s="56">
        <v>8.69066062183935E14</v>
      </c>
      <c r="AF394" s="42"/>
      <c r="AG394" s="42"/>
      <c r="AH394" s="42"/>
      <c r="AI394" s="42" t="str">
        <f t="array" ref="AI394">XLOOKUP($E394,Sheet11!$D:$D,Sheet11!$X:$X,"",0)</f>
        <v/>
      </c>
      <c r="AJ394" s="42" t="str">
        <f t="array" ref="AJ394">XLOOKUP($E394,Sheet11!$D:$D,Sheet11!$Y:$Y,"",0)</f>
        <v/>
      </c>
    </row>
    <row r="395">
      <c r="A395" s="41">
        <v>519.0</v>
      </c>
      <c r="B395" s="42" t="s">
        <v>779</v>
      </c>
      <c r="C395" s="42" t="s">
        <v>780</v>
      </c>
      <c r="D395" s="42"/>
      <c r="E395" s="42" t="str">
        <f t="shared" ref="E395:F395" si="396">PROPER(B395)</f>
        <v>Duhat Farmers Association</v>
      </c>
      <c r="F395" s="42" t="str">
        <f t="shared" si="396"/>
        <v>Duhat, Santa Cruz, Laguna</v>
      </c>
      <c r="G395" s="42" t="str">
        <f t="shared" si="3"/>
        <v>Duhat</v>
      </c>
      <c r="H395" s="42" t="str">
        <f t="shared" si="4"/>
        <v>Santa Cruz</v>
      </c>
      <c r="I395" s="42" t="str">
        <f t="shared" si="5"/>
        <v>Laguna</v>
      </c>
      <c r="J395" s="42" t="str">
        <f t="array" ref="J395">XLOOKUP($E395,'Recipients REF'!$B:$B,'Recipients REF'!D:D,"",0)</f>
        <v>Guillermo Sta Maria</v>
      </c>
      <c r="K395" s="42">
        <f t="array" ref="K395">XLOOKUP($E395,'Recipients REF'!$B:$B,'Recipients REF'!E:E,"",0)</f>
        <v>9305805418</v>
      </c>
      <c r="L395" s="43" t="str">
        <f t="array" ref="L395">XLOOKUP($A395,'Recipients REF'!$A:$A,'Recipients REF'!F:F,"",0)</f>
        <v>RCEF 24-04-15</v>
      </c>
      <c r="M395" s="43">
        <f t="array" ref="M395">XLOOKUP($A395,'Recipients REF'!$A:$A,'Recipients REF'!G:G,"",0)</f>
        <v>7</v>
      </c>
      <c r="N395" s="43">
        <f t="array" ref="N395">XLOOKUP($A395,'Recipients REF'!$A:$A,'Recipients REF'!H:H,"",0)</f>
        <v>19993</v>
      </c>
      <c r="O395" s="44" t="s">
        <v>25</v>
      </c>
      <c r="P395" s="45" t="s">
        <v>26</v>
      </c>
      <c r="Q395" s="46" t="str">
        <f t="array" ref="Q395">XLOOKUP($A395,'Recipients REF'!$A:$A,'Recipients REF'!I:I,"",0)</f>
        <v>KMC5825AVRFPV0944</v>
      </c>
      <c r="R395" s="47" t="str">
        <f t="array" ref="R395">XLOOKUP($A395,'Recipients REF'!$A:$A,'Recipients REF'!J:J,"",0)</f>
        <v>RTS100836</v>
      </c>
      <c r="S395" s="45" t="s">
        <v>27</v>
      </c>
      <c r="T395" s="45" t="s">
        <v>28</v>
      </c>
      <c r="U395" s="46" t="str">
        <f t="array" ref="U395">XLOOKUP($A395,'Recipients REF'!$A:$A,'Recipients REF'!K:K,"",0)</f>
        <v>LSGW1750-RMP-24100980</v>
      </c>
      <c r="V395" s="44" t="s">
        <v>29</v>
      </c>
      <c r="W395" s="45" t="s">
        <v>30</v>
      </c>
      <c r="X395" s="47" t="str">
        <f t="array" ref="X395">XLOOKUP($A395,'Recipients REF'!$A:$A,'Recipients REF'!L:L,"",0)</f>
        <v>WDP40-RMP-24121468</v>
      </c>
      <c r="Y395" s="48" t="s">
        <v>29</v>
      </c>
      <c r="Z395" s="48" t="s">
        <v>31</v>
      </c>
      <c r="AA395" s="46" t="str">
        <f t="array" ref="AA395">XLOOKUP($A395,'Recipients REF'!$A:$A,'Recipients REF'!M:M,"",0)</f>
        <v>WR-SERIES-1117PH</v>
      </c>
      <c r="AB395" s="49"/>
      <c r="AC395" s="42"/>
      <c r="AD395" s="42"/>
      <c r="AE395" s="56">
        <v>8.69066062185054E14</v>
      </c>
      <c r="AF395" s="56">
        <v>9.629042005E9</v>
      </c>
      <c r="AG395" s="42"/>
      <c r="AH395" s="42"/>
      <c r="AI395" s="42" t="str">
        <f t="array" ref="AI395">XLOOKUP($E395,Sheet11!$D:$D,Sheet11!$X:$X,"",0)</f>
        <v/>
      </c>
      <c r="AJ395" s="42" t="str">
        <f t="array" ref="AJ395">XLOOKUP($E395,Sheet11!$D:$D,Sheet11!$Y:$Y,"",0)</f>
        <v/>
      </c>
    </row>
    <row r="396">
      <c r="A396" s="41">
        <v>520.0</v>
      </c>
      <c r="B396" s="42" t="s">
        <v>781</v>
      </c>
      <c r="C396" s="42" t="s">
        <v>782</v>
      </c>
      <c r="D396" s="42"/>
      <c r="E396" s="42" t="str">
        <f t="shared" ref="E396:F396" si="397">PROPER(B396)</f>
        <v>Malinao Farmer Association</v>
      </c>
      <c r="F396" s="42" t="str">
        <f t="shared" si="397"/>
        <v>Malinao, Santa Cruz, Laguna</v>
      </c>
      <c r="G396" s="42" t="str">
        <f t="shared" si="3"/>
        <v>Malinao</v>
      </c>
      <c r="H396" s="42" t="str">
        <f t="shared" si="4"/>
        <v>Santa Cruz</v>
      </c>
      <c r="I396" s="42" t="str">
        <f t="shared" si="5"/>
        <v>Laguna</v>
      </c>
      <c r="J396" s="42" t="str">
        <f t="array" ref="J396">XLOOKUP($E396,'Recipients REF'!$B:$B,'Recipients REF'!D:D,"",0)</f>
        <v>Henry Cabrera</v>
      </c>
      <c r="K396" s="42">
        <f t="array" ref="K396">XLOOKUP($E396,'Recipients REF'!$B:$B,'Recipients REF'!E:E,"",0)</f>
        <v>9465255452</v>
      </c>
      <c r="L396" s="43" t="str">
        <f t="array" ref="L396">XLOOKUP($A396,'Recipients REF'!$A:$A,'Recipients REF'!F:F,"",0)</f>
        <v>RCEF 24-04-15</v>
      </c>
      <c r="M396" s="43">
        <f t="array" ref="M396">XLOOKUP($A396,'Recipients REF'!$A:$A,'Recipients REF'!G:G,"",0)</f>
        <v>7</v>
      </c>
      <c r="N396" s="43">
        <f t="array" ref="N396">XLOOKUP($A396,'Recipients REF'!$A:$A,'Recipients REF'!H:H,"",0)</f>
        <v>19994</v>
      </c>
      <c r="O396" s="44" t="s">
        <v>25</v>
      </c>
      <c r="P396" s="45" t="s">
        <v>26</v>
      </c>
      <c r="Q396" s="46" t="str">
        <f t="array" ref="Q396">XLOOKUP($A396,'Recipients REF'!$A:$A,'Recipients REF'!I:I,"",0)</f>
        <v>KMC5825AHRFPV0897</v>
      </c>
      <c r="R396" s="47" t="str">
        <f t="array" ref="R396">XLOOKUP($A396,'Recipients REF'!$A:$A,'Recipients REF'!J:J,"",0)</f>
        <v>RTS100817</v>
      </c>
      <c r="S396" s="45" t="s">
        <v>27</v>
      </c>
      <c r="T396" s="45" t="s">
        <v>28</v>
      </c>
      <c r="U396" s="46" t="str">
        <f t="array" ref="U396">XLOOKUP($A396,'Recipients REF'!$A:$A,'Recipients REF'!K:K,"",0)</f>
        <v>LSGW1750-RMP-24100954</v>
      </c>
      <c r="V396" s="44" t="s">
        <v>29</v>
      </c>
      <c r="W396" s="45" t="s">
        <v>30</v>
      </c>
      <c r="X396" s="47" t="str">
        <f t="array" ref="X396">XLOOKUP($A396,'Recipients REF'!$A:$A,'Recipients REF'!L:L,"",0)</f>
        <v>WDP40-RMP-24121483</v>
      </c>
      <c r="Y396" s="48" t="s">
        <v>29</v>
      </c>
      <c r="Z396" s="48" t="s">
        <v>31</v>
      </c>
      <c r="AA396" s="46" t="str">
        <f t="array" ref="AA396">XLOOKUP($A396,'Recipients REF'!$A:$A,'Recipients REF'!M:M,"",0)</f>
        <v>WR-SERIES-1091PH</v>
      </c>
      <c r="AB396" s="49"/>
      <c r="AC396" s="42"/>
      <c r="AD396" s="42"/>
      <c r="AE396" s="50"/>
      <c r="AF396" s="42"/>
      <c r="AG396" s="42"/>
      <c r="AH396" s="42"/>
      <c r="AI396" s="42" t="str">
        <f t="array" ref="AI396">XLOOKUP($E396,Sheet11!$D:$D,Sheet11!$X:$X,"",0)</f>
        <v/>
      </c>
      <c r="AJ396" s="42" t="str">
        <f t="array" ref="AJ396">XLOOKUP($E396,Sheet11!$D:$D,Sheet11!$Y:$Y,"",0)</f>
        <v/>
      </c>
    </row>
    <row r="397">
      <c r="A397" s="41">
        <v>521.0</v>
      </c>
      <c r="B397" s="42" t="s">
        <v>783</v>
      </c>
      <c r="C397" s="42" t="s">
        <v>784</v>
      </c>
      <c r="D397" s="42"/>
      <c r="E397" s="42" t="str">
        <f t="shared" ref="E397:F397" si="398">PROPER(B397)</f>
        <v>Coralan Agrarian Reform Cooperative (Carc)</v>
      </c>
      <c r="F397" s="42" t="str">
        <f t="shared" si="398"/>
        <v>Coralan, Santa Maria, Laguna</v>
      </c>
      <c r="G397" s="42" t="str">
        <f t="shared" si="3"/>
        <v>Coralan</v>
      </c>
      <c r="H397" s="42" t="str">
        <f t="shared" si="4"/>
        <v>Santa Maria</v>
      </c>
      <c r="I397" s="42" t="str">
        <f t="shared" si="5"/>
        <v>Laguna</v>
      </c>
      <c r="J397" s="42" t="str">
        <f t="array" ref="J397">XLOOKUP($E397,'Recipients REF'!$B:$B,'Recipients REF'!D:D,"",0)</f>
        <v>Mila Layos</v>
      </c>
      <c r="K397" s="42" t="str">
        <f t="array" ref="K397">XLOOKUP($E397,'Recipients REF'!$B:$B,'Recipients REF'!E:E,"",0)</f>
        <v>0951-714-5161</v>
      </c>
      <c r="L397" s="43" t="str">
        <f t="array" ref="L397">XLOOKUP($A397,'Recipients REF'!$A:$A,'Recipients REF'!F:F,"",0)</f>
        <v>RCEF 24-04-15</v>
      </c>
      <c r="M397" s="43">
        <f t="array" ref="M397">XLOOKUP($A397,'Recipients REF'!$A:$A,'Recipients REF'!G:G,"",0)</f>
        <v>7</v>
      </c>
      <c r="N397" s="43">
        <f t="array" ref="N397">XLOOKUP($A397,'Recipients REF'!$A:$A,'Recipients REF'!H:H,"",0)</f>
        <v>19995</v>
      </c>
      <c r="O397" s="44" t="s">
        <v>25</v>
      </c>
      <c r="P397" s="45" t="s">
        <v>26</v>
      </c>
      <c r="Q397" s="46" t="str">
        <f t="array" ref="Q397">XLOOKUP($A397,'Recipients REF'!$A:$A,'Recipients REF'!I:I,"",0)</f>
        <v>KMC5825ACRFPV0909</v>
      </c>
      <c r="R397" s="47" t="str">
        <f t="array" ref="R397">XLOOKUP($A397,'Recipients REF'!$A:$A,'Recipients REF'!J:J,"",0)</f>
        <v>RTS100822</v>
      </c>
      <c r="S397" s="45" t="s">
        <v>27</v>
      </c>
      <c r="T397" s="45" t="s">
        <v>28</v>
      </c>
      <c r="U397" s="46" t="str">
        <f t="array" ref="U397">XLOOKUP($A397,'Recipients REF'!$A:$A,'Recipients REF'!K:K,"",0)</f>
        <v>LSGW1750-RMP-24101070</v>
      </c>
      <c r="V397" s="44" t="s">
        <v>29</v>
      </c>
      <c r="W397" s="45" t="s">
        <v>30</v>
      </c>
      <c r="X397" s="47" t="str">
        <f t="array" ref="X397">XLOOKUP($A397,'Recipients REF'!$A:$A,'Recipients REF'!L:L,"",0)</f>
        <v>WDP40-RMP-24121472</v>
      </c>
      <c r="Y397" s="48" t="s">
        <v>29</v>
      </c>
      <c r="Z397" s="48" t="s">
        <v>31</v>
      </c>
      <c r="AA397" s="46" t="str">
        <f t="array" ref="AA397">XLOOKUP($A397,'Recipients REF'!$A:$A,'Recipients REF'!M:M,"",0)</f>
        <v>WR-SERIES-1114PH</v>
      </c>
      <c r="AB397" s="49"/>
      <c r="AC397" s="42"/>
      <c r="AD397" s="42"/>
      <c r="AE397" s="56">
        <v>8.69066062208336E14</v>
      </c>
      <c r="AF397" s="42"/>
      <c r="AG397" s="42"/>
      <c r="AH397" s="42"/>
      <c r="AI397" s="42" t="str">
        <f t="array" ref="AI397">XLOOKUP($E397,Sheet11!$D:$D,Sheet11!$X:$X,"",0)</f>
        <v/>
      </c>
      <c r="AJ397" s="42" t="str">
        <f t="array" ref="AJ397">XLOOKUP($E397,Sheet11!$D:$D,Sheet11!$Y:$Y,"",0)</f>
        <v/>
      </c>
    </row>
    <row r="398">
      <c r="A398" s="41">
        <v>522.0</v>
      </c>
      <c r="B398" s="42" t="s">
        <v>785</v>
      </c>
      <c r="C398" s="42" t="s">
        <v>786</v>
      </c>
      <c r="D398" s="42"/>
      <c r="E398" s="42" t="str">
        <f t="shared" ref="E398:F398" si="399">PROPER(B398)</f>
        <v>Municipal Local Government Unit Of Siniloan</v>
      </c>
      <c r="F398" s="42" t="str">
        <f t="shared" si="399"/>
        <v>Wawa, Siniloan, Laguna</v>
      </c>
      <c r="G398" s="42" t="str">
        <f t="shared" si="3"/>
        <v>Wawa</v>
      </c>
      <c r="H398" s="42" t="str">
        <f t="shared" si="4"/>
        <v>Siniloan</v>
      </c>
      <c r="I398" s="42" t="str">
        <f t="shared" si="5"/>
        <v>Laguna</v>
      </c>
      <c r="J398" s="42" t="str">
        <f t="array" ref="J398">XLOOKUP($E398,'Recipients REF'!$B:$B,'Recipients REF'!D:D,"",0)</f>
        <v>Hon. Patrick Ellis Z. Go</v>
      </c>
      <c r="K398" s="42" t="str">
        <f t="array" ref="K398">XLOOKUP($E398,'Recipients REF'!$B:$B,'Recipients REF'!E:E,"",0)</f>
        <v>0917-831-4573</v>
      </c>
      <c r="L398" s="43" t="str">
        <f t="array" ref="L398">XLOOKUP($A398,'Recipients REF'!$A:$A,'Recipients REF'!F:F,"",0)</f>
        <v>RCEF 24-04-15</v>
      </c>
      <c r="M398" s="43">
        <f t="array" ref="M398">XLOOKUP($A398,'Recipients REF'!$A:$A,'Recipients REF'!G:G,"",0)</f>
        <v>7</v>
      </c>
      <c r="N398" s="43">
        <f t="array" ref="N398">XLOOKUP($A398,'Recipients REF'!$A:$A,'Recipients REF'!H:H,"",0)</f>
        <v>19996</v>
      </c>
      <c r="O398" s="44" t="s">
        <v>25</v>
      </c>
      <c r="P398" s="45" t="s">
        <v>26</v>
      </c>
      <c r="Q398" s="46" t="str">
        <f t="array" ref="Q398">XLOOKUP($A398,'Recipients REF'!$A:$A,'Recipients REF'!I:I,"",0)</f>
        <v>KMC5825ACRFPV0943</v>
      </c>
      <c r="R398" s="47" t="str">
        <f t="array" ref="R398">XLOOKUP($A398,'Recipients REF'!$A:$A,'Recipients REF'!J:J,"",0)</f>
        <v>RTS100834</v>
      </c>
      <c r="S398" s="45" t="s">
        <v>27</v>
      </c>
      <c r="T398" s="45" t="s">
        <v>28</v>
      </c>
      <c r="U398" s="46" t="str">
        <f t="array" ref="U398">XLOOKUP($A398,'Recipients REF'!$A:$A,'Recipients REF'!K:K,"",0)</f>
        <v>LSGW1750-RMP-24101060</v>
      </c>
      <c r="V398" s="44" t="s">
        <v>29</v>
      </c>
      <c r="W398" s="45" t="s">
        <v>30</v>
      </c>
      <c r="X398" s="47" t="str">
        <f t="array" ref="X398">XLOOKUP($A398,'Recipients REF'!$A:$A,'Recipients REF'!L:L,"",0)</f>
        <v>WDP40-RMP-24121482</v>
      </c>
      <c r="Y398" s="48" t="s">
        <v>29</v>
      </c>
      <c r="Z398" s="48" t="s">
        <v>31</v>
      </c>
      <c r="AA398" s="46" t="str">
        <f t="array" ref="AA398">XLOOKUP($A398,'Recipients REF'!$A:$A,'Recipients REF'!M:M,"",0)</f>
        <v>WR-SERIES-1112PH</v>
      </c>
      <c r="AB398" s="49"/>
      <c r="AC398" s="42"/>
      <c r="AD398" s="42"/>
      <c r="AE398" s="55">
        <v>8.69066062216834E14</v>
      </c>
      <c r="AF398" s="42"/>
      <c r="AG398" s="42"/>
      <c r="AH398" s="42"/>
      <c r="AI398" s="42" t="str">
        <f t="array" ref="AI398">XLOOKUP($E398,Sheet11!$D:$D,Sheet11!$X:$X,"",0)</f>
        <v/>
      </c>
      <c r="AJ398" s="42" t="str">
        <f t="array" ref="AJ398">XLOOKUP($E398,Sheet11!$D:$D,Sheet11!$Y:$Y,"",0)</f>
        <v/>
      </c>
    </row>
    <row r="399">
      <c r="A399" s="41">
        <v>951.0</v>
      </c>
      <c r="B399" s="42" t="s">
        <v>787</v>
      </c>
      <c r="C399" s="42" t="s">
        <v>788</v>
      </c>
      <c r="D399" s="42"/>
      <c r="E399" s="42" t="str">
        <f t="shared" ref="E399:F399" si="400">PROPER(B399)</f>
        <v>Brgy. Lamot Ii Irrigators' Service Association, Inc.</v>
      </c>
      <c r="F399" s="42" t="str">
        <f t="shared" si="400"/>
        <v>Lamot 2, Calauan, Laguna</v>
      </c>
      <c r="G399" s="42" t="str">
        <f t="shared" si="3"/>
        <v>Lamot 2</v>
      </c>
      <c r="H399" s="42" t="str">
        <f t="shared" si="4"/>
        <v>Calauan</v>
      </c>
      <c r="I399" s="42" t="str">
        <f t="shared" si="5"/>
        <v>Laguna</v>
      </c>
      <c r="J399" s="42" t="str">
        <f t="array" ref="J399">XLOOKUP($E399,'Recipients REF'!$B:$B,'Recipients REF'!D:D,"",0)</f>
        <v>Rohmel Latayan</v>
      </c>
      <c r="K399" s="42" t="str">
        <f t="array" ref="K399">XLOOKUP($E399,'Recipients REF'!$B:$B,'Recipients REF'!E:E,"",0)</f>
        <v>0927 567 2114</v>
      </c>
      <c r="L399" s="43" t="str">
        <f t="array" ref="L399">XLOOKUP($A399,'Recipients REF'!$A:$A,'Recipients REF'!F:F,"",0)</f>
        <v>RCEF 25-03-05</v>
      </c>
      <c r="M399" s="43">
        <f t="array" ref="M399">XLOOKUP($A399,'Recipients REF'!$A:$A,'Recipients REF'!G:G,"",0)</f>
        <v>7</v>
      </c>
      <c r="N399" s="43" t="str">
        <f t="array" ref="N399">XLOOKUP($A399,'Recipients REF'!$A:$A,'Recipients REF'!H:H,"",0)</f>
        <v>27281 &amp; 27994</v>
      </c>
      <c r="O399" s="44" t="s">
        <v>25</v>
      </c>
      <c r="P399" s="45" t="s">
        <v>26</v>
      </c>
      <c r="Q399" s="46" t="str">
        <f t="array" ref="Q399">XLOOKUP($A399,'Recipients REF'!$A:$A,'Recipients REF'!I:I,"",0)</f>
        <v>KMC525 AASFPV0286</v>
      </c>
      <c r="R399" s="53" t="str">
        <f t="array" ref="R399">XLOOKUP($A399,'Recipients REF'!$A:$A,'Recipients REF'!J:J,"",0)</f>
        <v>STS100299</v>
      </c>
      <c r="S399" s="45" t="s">
        <v>27</v>
      </c>
      <c r="T399" s="45" t="s">
        <v>28</v>
      </c>
      <c r="U399" s="46" t="str">
        <f t="array" ref="U399">XLOOKUP($A399,'Recipients REF'!$A:$A,'Recipients REF'!K:K,"",0)</f>
        <v>WR-SERIES 1393PH</v>
      </c>
      <c r="V399" s="44" t="s">
        <v>29</v>
      </c>
      <c r="W399" s="45" t="s">
        <v>30</v>
      </c>
      <c r="X399" s="53">
        <f t="array" ref="X399">XLOOKUP($A399,'Recipients REF'!$A:$A,'Recipients REF'!L:L,"",0)</f>
        <v>25120912</v>
      </c>
      <c r="Y399" s="48" t="s">
        <v>29</v>
      </c>
      <c r="Z399" s="48" t="s">
        <v>31</v>
      </c>
      <c r="AA399" s="54">
        <f t="array" ref="AA399">XLOOKUP($A399,'Recipients REF'!$A:$A,'Recipients REF'!M:M,"",0)</f>
        <v>25121442</v>
      </c>
      <c r="AB399" s="49"/>
      <c r="AC399" s="42"/>
      <c r="AD399" s="42"/>
      <c r="AE399" s="56">
        <v>8.69066063773759E14</v>
      </c>
      <c r="AF399" s="42"/>
      <c r="AG399" s="42"/>
      <c r="AH399" s="42"/>
      <c r="AI399" s="42" t="str">
        <f t="array" ref="AI399">XLOOKUP($E399,Sheet11!$D:$D,Sheet11!$X:$X,"",0)</f>
        <v/>
      </c>
      <c r="AJ399" s="42" t="str">
        <f t="array" ref="AJ399">XLOOKUP($E399,Sheet11!$D:$D,Sheet11!$Y:$Y,"",0)</f>
        <v/>
      </c>
    </row>
    <row r="400">
      <c r="A400" s="41">
        <v>952.0</v>
      </c>
      <c r="B400" s="42" t="s">
        <v>789</v>
      </c>
      <c r="C400" s="42" t="s">
        <v>790</v>
      </c>
      <c r="D400" s="42"/>
      <c r="E400" s="42" t="str">
        <f t="shared" ref="E400:F400" si="401">PROPER(B400)</f>
        <v>Barangay Biñan Multi-Crops And Livestock Farmers Association (Bbmclfa)</v>
      </c>
      <c r="F400" s="42" t="str">
        <f t="shared" si="401"/>
        <v>Biñan, Pagsanjan, Laguna</v>
      </c>
      <c r="G400" s="42" t="str">
        <f t="shared" si="3"/>
        <v>Biñan</v>
      </c>
      <c r="H400" s="42" t="str">
        <f t="shared" si="4"/>
        <v>Pagsanjan</v>
      </c>
      <c r="I400" s="42" t="str">
        <f t="shared" si="5"/>
        <v>Laguna</v>
      </c>
      <c r="J400" s="42" t="str">
        <f t="array" ref="J400">XLOOKUP($E400,'Recipients REF'!$B:$B,'Recipients REF'!D:D,"",0)</f>
        <v>Raymundo Dacdac</v>
      </c>
      <c r="K400" s="42" t="str">
        <f t="array" ref="K400">XLOOKUP($E400,'Recipients REF'!$B:$B,'Recipients REF'!E:E,"",0)</f>
        <v>0908 537 7344</v>
      </c>
      <c r="L400" s="43" t="str">
        <f t="array" ref="L400">XLOOKUP($A400,'Recipients REF'!$A:$A,'Recipients REF'!F:F,"",0)</f>
        <v>RCEF 25-03-05</v>
      </c>
      <c r="M400" s="43">
        <f t="array" ref="M400">XLOOKUP($A400,'Recipients REF'!$A:$A,'Recipients REF'!G:G,"",0)</f>
        <v>7</v>
      </c>
      <c r="N400" s="43" t="str">
        <f t="array" ref="N400">XLOOKUP($A400,'Recipients REF'!$A:$A,'Recipients REF'!H:H,"",0)</f>
        <v>27282 &amp; 27995</v>
      </c>
      <c r="O400" s="44" t="s">
        <v>25</v>
      </c>
      <c r="P400" s="45" t="s">
        <v>26</v>
      </c>
      <c r="Q400" s="46" t="str">
        <f t="array" ref="Q400">XLOOKUP($A400,'Recipients REF'!$A:$A,'Recipients REF'!I:I,"",0)</f>
        <v>KMC525 AESFPV0261</v>
      </c>
      <c r="R400" s="53" t="str">
        <f t="array" ref="R400">XLOOKUP($A400,'Recipients REF'!$A:$A,'Recipients REF'!J:J,"",0)</f>
        <v>STS100281</v>
      </c>
      <c r="S400" s="45" t="s">
        <v>27</v>
      </c>
      <c r="T400" s="45" t="s">
        <v>28</v>
      </c>
      <c r="U400" s="46" t="str">
        <f t="array" ref="U400">XLOOKUP($A400,'Recipients REF'!$A:$A,'Recipients REF'!K:K,"",0)</f>
        <v>WR-SERIES 1394PH</v>
      </c>
      <c r="V400" s="44" t="s">
        <v>29</v>
      </c>
      <c r="W400" s="45" t="s">
        <v>30</v>
      </c>
      <c r="X400" s="53">
        <f t="array" ref="X400">XLOOKUP($A400,'Recipients REF'!$A:$A,'Recipients REF'!L:L,"",0)</f>
        <v>25120913</v>
      </c>
      <c r="Y400" s="48" t="s">
        <v>29</v>
      </c>
      <c r="Z400" s="48" t="s">
        <v>31</v>
      </c>
      <c r="AA400" s="54">
        <f t="array" ref="AA400">XLOOKUP($A400,'Recipients REF'!$A:$A,'Recipients REF'!M:M,"",0)</f>
        <v>25121443</v>
      </c>
      <c r="AB400" s="49"/>
      <c r="AC400" s="42"/>
      <c r="AD400" s="42"/>
      <c r="AE400" s="56">
        <v>8.69066063785019E14</v>
      </c>
      <c r="AF400" s="42"/>
      <c r="AG400" s="42"/>
      <c r="AH400" s="42"/>
      <c r="AI400" s="42" t="str">
        <f t="array" ref="AI400">XLOOKUP($E400,Sheet11!$D:$D,Sheet11!$X:$X,"",0)</f>
        <v/>
      </c>
      <c r="AJ400" s="42" t="str">
        <f t="array" ref="AJ400">XLOOKUP($E400,Sheet11!$D:$D,Sheet11!$Y:$Y,"",0)</f>
        <v/>
      </c>
    </row>
    <row r="401">
      <c r="A401" s="41">
        <v>953.0</v>
      </c>
      <c r="B401" s="42" t="s">
        <v>791</v>
      </c>
      <c r="C401" s="42" t="s">
        <v>792</v>
      </c>
      <c r="D401" s="42"/>
      <c r="E401" s="42" t="str">
        <f t="shared" ref="E401:F401" si="402">PROPER(B401)</f>
        <v>Top Herbalist Agriculture Cooperative</v>
      </c>
      <c r="F401" s="42" t="str">
        <f t="shared" si="402"/>
        <v>Cabanbanan, Pagsanjan, Laguna</v>
      </c>
      <c r="G401" s="42" t="str">
        <f t="shared" si="3"/>
        <v>Cabanbanan</v>
      </c>
      <c r="H401" s="42" t="str">
        <f t="shared" si="4"/>
        <v>Pagsanjan</v>
      </c>
      <c r="I401" s="42" t="str">
        <f t="shared" si="5"/>
        <v>Laguna</v>
      </c>
      <c r="J401" s="42" t="str">
        <f t="array" ref="J401">XLOOKUP($E401,'Recipients REF'!$B:$B,'Recipients REF'!D:D,"",0)</f>
        <v>Lilibeth D. Javilinar</v>
      </c>
      <c r="K401" s="42" t="str">
        <f t="array" ref="K401">XLOOKUP($E401,'Recipients REF'!$B:$B,'Recipients REF'!E:E,"",0)</f>
        <v>0905 628 1568</v>
      </c>
      <c r="L401" s="43" t="str">
        <f t="array" ref="L401">XLOOKUP($A401,'Recipients REF'!$A:$A,'Recipients REF'!F:F,"",0)</f>
        <v>RCEF 25-03-05</v>
      </c>
      <c r="M401" s="43">
        <f t="array" ref="M401">XLOOKUP($A401,'Recipients REF'!$A:$A,'Recipients REF'!G:G,"",0)</f>
        <v>7</v>
      </c>
      <c r="N401" s="43" t="str">
        <f t="array" ref="N401">XLOOKUP($A401,'Recipients REF'!$A:$A,'Recipients REF'!H:H,"",0)</f>
        <v>27283 &amp; 27996</v>
      </c>
      <c r="O401" s="44" t="s">
        <v>25</v>
      </c>
      <c r="P401" s="45" t="s">
        <v>26</v>
      </c>
      <c r="Q401" s="46" t="str">
        <f t="array" ref="Q401">XLOOKUP($A401,'Recipients REF'!$A:$A,'Recipients REF'!I:I,"",0)</f>
        <v>KMC525 AJSFPV0199</v>
      </c>
      <c r="R401" s="53" t="str">
        <f t="array" ref="R401">XLOOKUP($A401,'Recipients REF'!$A:$A,'Recipients REF'!J:J,"",0)</f>
        <v>STS100237</v>
      </c>
      <c r="S401" s="45" t="s">
        <v>27</v>
      </c>
      <c r="T401" s="45" t="s">
        <v>28</v>
      </c>
      <c r="U401" s="46" t="str">
        <f t="array" ref="U401">XLOOKUP($A401,'Recipients REF'!$A:$A,'Recipients REF'!K:K,"",0)</f>
        <v>WR-SERIES 1395PH</v>
      </c>
      <c r="V401" s="44" t="s">
        <v>29</v>
      </c>
      <c r="W401" s="45" t="s">
        <v>30</v>
      </c>
      <c r="X401" s="53">
        <f t="array" ref="X401">XLOOKUP($A401,'Recipients REF'!$A:$A,'Recipients REF'!L:L,"",0)</f>
        <v>25120914</v>
      </c>
      <c r="Y401" s="48" t="s">
        <v>29</v>
      </c>
      <c r="Z401" s="48" t="s">
        <v>31</v>
      </c>
      <c r="AA401" s="54">
        <f t="array" ref="AA401">XLOOKUP($A401,'Recipients REF'!$A:$A,'Recipients REF'!M:M,"",0)</f>
        <v>25121444</v>
      </c>
      <c r="AB401" s="49"/>
      <c r="AC401" s="42"/>
      <c r="AD401" s="42"/>
      <c r="AE401" s="55">
        <v>8.69066063765557E14</v>
      </c>
      <c r="AF401" s="42"/>
      <c r="AG401" s="42"/>
      <c r="AH401" s="42"/>
      <c r="AI401" s="42" t="str">
        <f t="array" ref="AI401">XLOOKUP($E401,Sheet11!$D:$D,Sheet11!$X:$X,"",0)</f>
        <v/>
      </c>
      <c r="AJ401" s="42" t="str">
        <f t="array" ref="AJ401">XLOOKUP($E401,Sheet11!$D:$D,Sheet11!$Y:$Y,"",0)</f>
        <v/>
      </c>
    </row>
    <row r="402">
      <c r="A402" s="41">
        <v>954.0</v>
      </c>
      <c r="B402" s="42" t="s">
        <v>793</v>
      </c>
      <c r="C402" s="42" t="s">
        <v>794</v>
      </c>
      <c r="D402" s="42"/>
      <c r="E402" s="42" t="str">
        <f t="shared" ref="E402:F402" si="403">PROPER(B402)</f>
        <v>Asosasyon Ng Magbubukid Ng Gatid, Inc.</v>
      </c>
      <c r="F402" s="42" t="str">
        <f t="shared" si="403"/>
        <v>Gatid, Santa Cruz, Laguna</v>
      </c>
      <c r="G402" s="42" t="str">
        <f t="shared" si="3"/>
        <v>Gatid</v>
      </c>
      <c r="H402" s="42" t="str">
        <f t="shared" si="4"/>
        <v>Santa Cruz</v>
      </c>
      <c r="I402" s="42" t="str">
        <f t="shared" si="5"/>
        <v>Laguna</v>
      </c>
      <c r="J402" s="42" t="str">
        <f t="array" ref="J402">XLOOKUP($E402,'Recipients REF'!$B:$B,'Recipients REF'!D:D,"",0)</f>
        <v>Luisito Jacob</v>
      </c>
      <c r="K402" s="42" t="str">
        <f t="array" ref="K402">XLOOKUP($E402,'Recipients REF'!$B:$B,'Recipients REF'!E:E,"",0)</f>
        <v>0909 132 4307</v>
      </c>
      <c r="L402" s="43" t="str">
        <f t="array" ref="L402">XLOOKUP($A402,'Recipients REF'!$A:$A,'Recipients REF'!F:F,"",0)</f>
        <v>RCEF 25-03-05</v>
      </c>
      <c r="M402" s="43">
        <f t="array" ref="M402">XLOOKUP($A402,'Recipients REF'!$A:$A,'Recipients REF'!G:G,"",0)</f>
        <v>7</v>
      </c>
      <c r="N402" s="43" t="str">
        <f t="array" ref="N402">XLOOKUP($A402,'Recipients REF'!$A:$A,'Recipients REF'!H:H,"",0)</f>
        <v>27284 &amp; 27997</v>
      </c>
      <c r="O402" s="44" t="s">
        <v>25</v>
      </c>
      <c r="P402" s="45" t="s">
        <v>26</v>
      </c>
      <c r="Q402" s="46" t="str">
        <f t="array" ref="Q402">XLOOKUP($A402,'Recipients REF'!$A:$A,'Recipients REF'!I:I,"",0)</f>
        <v>KMC525 AVSFPV0240</v>
      </c>
      <c r="R402" s="53" t="str">
        <f t="array" ref="R402">XLOOKUP($A402,'Recipients REF'!$A:$A,'Recipients REF'!J:J,"",0)</f>
        <v>STS100245</v>
      </c>
      <c r="S402" s="45" t="s">
        <v>27</v>
      </c>
      <c r="T402" s="45" t="s">
        <v>28</v>
      </c>
      <c r="U402" s="46" t="str">
        <f t="array" ref="U402">XLOOKUP($A402,'Recipients REF'!$A:$A,'Recipients REF'!K:K,"",0)</f>
        <v>WR-SERIES 1396PH</v>
      </c>
      <c r="V402" s="44" t="s">
        <v>29</v>
      </c>
      <c r="W402" s="45" t="s">
        <v>30</v>
      </c>
      <c r="X402" s="53">
        <f t="array" ref="X402">XLOOKUP($A402,'Recipients REF'!$A:$A,'Recipients REF'!L:L,"",0)</f>
        <v>25120915</v>
      </c>
      <c r="Y402" s="48" t="s">
        <v>29</v>
      </c>
      <c r="Z402" s="48" t="s">
        <v>31</v>
      </c>
      <c r="AA402" s="54">
        <f t="array" ref="AA402">XLOOKUP($A402,'Recipients REF'!$A:$A,'Recipients REF'!M:M,"",0)</f>
        <v>25121445</v>
      </c>
      <c r="AB402" s="49"/>
      <c r="AC402" s="42"/>
      <c r="AD402" s="42"/>
      <c r="AE402" s="56">
        <v>8.69066063764188E14</v>
      </c>
      <c r="AF402" s="42"/>
      <c r="AG402" s="42"/>
      <c r="AH402" s="42"/>
      <c r="AI402" s="42" t="str">
        <f t="array" ref="AI402">XLOOKUP($E402,Sheet11!$D:$D,Sheet11!$X:$X,"",0)</f>
        <v/>
      </c>
      <c r="AJ402" s="42" t="str">
        <f t="array" ref="AJ402">XLOOKUP($E402,Sheet11!$D:$D,Sheet11!$Y:$Y,"",0)</f>
        <v/>
      </c>
    </row>
    <row r="403">
      <c r="A403" s="41">
        <v>955.0</v>
      </c>
      <c r="B403" s="42" t="s">
        <v>795</v>
      </c>
      <c r="C403" s="42" t="s">
        <v>796</v>
      </c>
      <c r="D403" s="42"/>
      <c r="E403" s="42" t="str">
        <f t="shared" ref="E403:F403" si="404">PROPER(B403)</f>
        <v>Balikatan</v>
      </c>
      <c r="F403" s="42" t="str">
        <f t="shared" si="404"/>
        <v>San Pablo Sur, Santa Cruz, Laguna</v>
      </c>
      <c r="G403" s="42" t="str">
        <f t="shared" si="3"/>
        <v>San Pablo Sur</v>
      </c>
      <c r="H403" s="42" t="str">
        <f t="shared" si="4"/>
        <v>Santa Cruz</v>
      </c>
      <c r="I403" s="42" t="str">
        <f t="shared" si="5"/>
        <v>Laguna</v>
      </c>
      <c r="J403" s="42" t="str">
        <f t="array" ref="J403">XLOOKUP($E403,'Recipients REF'!$B:$B,'Recipients REF'!D:D,"",0)</f>
        <v>Fernando Dael</v>
      </c>
      <c r="K403" s="42" t="str">
        <f t="array" ref="K403">XLOOKUP($E403,'Recipients REF'!$B:$B,'Recipients REF'!E:E,"",0)</f>
        <v>0920 490 9415</v>
      </c>
      <c r="L403" s="43" t="str">
        <f t="array" ref="L403">XLOOKUP($A403,'Recipients REF'!$A:$A,'Recipients REF'!F:F,"",0)</f>
        <v>RCEF 25-03-05</v>
      </c>
      <c r="M403" s="43">
        <f t="array" ref="M403">XLOOKUP($A403,'Recipients REF'!$A:$A,'Recipients REF'!G:G,"",0)</f>
        <v>7</v>
      </c>
      <c r="N403" s="43" t="str">
        <f t="array" ref="N403">XLOOKUP($A403,'Recipients REF'!$A:$A,'Recipients REF'!H:H,"",0)</f>
        <v>27285 &amp; 27998</v>
      </c>
      <c r="O403" s="44" t="s">
        <v>25</v>
      </c>
      <c r="P403" s="45" t="s">
        <v>26</v>
      </c>
      <c r="Q403" s="46" t="str">
        <f t="array" ref="Q403">XLOOKUP($A403,'Recipients REF'!$A:$A,'Recipients REF'!I:I,"",0)</f>
        <v>KMC5825 AVRFPV0913</v>
      </c>
      <c r="R403" s="53" t="str">
        <f t="array" ref="R403">XLOOKUP($A403,'Recipients REF'!$A:$A,'Recipients REF'!J:J,"",0)</f>
        <v>RTS100767</v>
      </c>
      <c r="S403" s="45" t="s">
        <v>27</v>
      </c>
      <c r="T403" s="45" t="s">
        <v>28</v>
      </c>
      <c r="U403" s="46" t="str">
        <f t="array" ref="U403">XLOOKUP($A403,'Recipients REF'!$A:$A,'Recipients REF'!K:K,"",0)</f>
        <v>WR-SERIES 997</v>
      </c>
      <c r="V403" s="44" t="s">
        <v>29</v>
      </c>
      <c r="W403" s="45" t="s">
        <v>30</v>
      </c>
      <c r="X403" s="53" t="str">
        <f t="array" ref="X403">XLOOKUP($A403,'Recipients REF'!$A:$A,'Recipients REF'!L:L,"",0)</f>
        <v>25040061</v>
      </c>
      <c r="Y403" s="48" t="s">
        <v>29</v>
      </c>
      <c r="Z403" s="48" t="s">
        <v>31</v>
      </c>
      <c r="AA403" s="54" t="str">
        <f t="array" ref="AA403">XLOOKUP($A403,'Recipients REF'!$A:$A,'Recipients REF'!M:M,"",0)</f>
        <v>25030557</v>
      </c>
      <c r="AB403" s="49"/>
      <c r="AC403" s="42"/>
      <c r="AD403" s="42"/>
      <c r="AE403" s="50"/>
      <c r="AF403" s="42"/>
      <c r="AG403" s="42"/>
      <c r="AH403" s="42"/>
      <c r="AI403" s="42" t="str">
        <f t="array" ref="AI403">XLOOKUP($E403,Sheet11!$D:$D,Sheet11!$X:$X,"",0)</f>
        <v/>
      </c>
      <c r="AJ403" s="42" t="str">
        <f t="array" ref="AJ403">XLOOKUP($E403,Sheet11!$D:$D,Sheet11!$Y:$Y,"",0)</f>
        <v/>
      </c>
    </row>
    <row r="404">
      <c r="A404" s="41">
        <v>956.0</v>
      </c>
      <c r="B404" s="42" t="s">
        <v>797</v>
      </c>
      <c r="C404" s="42" t="s">
        <v>798</v>
      </c>
      <c r="D404" s="42"/>
      <c r="E404" s="42" t="str">
        <f t="shared" ref="E404:F404" si="405">PROPER(B404)</f>
        <v>Patimbao-Palasan Farmers Association</v>
      </c>
      <c r="F404" s="42" t="str">
        <f t="shared" si="405"/>
        <v>Patimbao, Santa Cruz, Laguna</v>
      </c>
      <c r="G404" s="42" t="str">
        <f t="shared" si="3"/>
        <v>Patimbao</v>
      </c>
      <c r="H404" s="42" t="str">
        <f t="shared" si="4"/>
        <v>Santa Cruz</v>
      </c>
      <c r="I404" s="42" t="str">
        <f t="shared" si="5"/>
        <v>Laguna</v>
      </c>
      <c r="J404" s="42" t="str">
        <f t="array" ref="J404">XLOOKUP($E404,'Recipients REF'!$B:$B,'Recipients REF'!D:D,"",0)</f>
        <v>Amado P. Villanueva Jr.</v>
      </c>
      <c r="K404" s="42" t="str">
        <f t="array" ref="K404">XLOOKUP($E404,'Recipients REF'!$B:$B,'Recipients REF'!E:E,"",0)</f>
        <v>0928 949 1385</v>
      </c>
      <c r="L404" s="43" t="str">
        <f t="array" ref="L404">XLOOKUP($A404,'Recipients REF'!$A:$A,'Recipients REF'!F:F,"",0)</f>
        <v>RCEF 25-03-05</v>
      </c>
      <c r="M404" s="43">
        <f t="array" ref="M404">XLOOKUP($A404,'Recipients REF'!$A:$A,'Recipients REF'!G:G,"",0)</f>
        <v>7</v>
      </c>
      <c r="N404" s="43" t="str">
        <f t="array" ref="N404">XLOOKUP($A404,'Recipients REF'!$A:$A,'Recipients REF'!H:H,"",0)</f>
        <v>27286 &amp; 27999</v>
      </c>
      <c r="O404" s="44" t="s">
        <v>25</v>
      </c>
      <c r="P404" s="45" t="s">
        <v>26</v>
      </c>
      <c r="Q404" s="46" t="str">
        <f t="array" ref="Q404">XLOOKUP($A404,'Recipients REF'!$A:$A,'Recipients REF'!I:I,"",0)</f>
        <v>KMC5825 ACRFPV0845</v>
      </c>
      <c r="R404" s="53" t="str">
        <f t="array" ref="R404">XLOOKUP($A404,'Recipients REF'!$A:$A,'Recipients REF'!J:J,"",0)</f>
        <v>RTS100741</v>
      </c>
      <c r="S404" s="45" t="s">
        <v>27</v>
      </c>
      <c r="T404" s="45" t="s">
        <v>28</v>
      </c>
      <c r="U404" s="46" t="str">
        <f t="array" ref="U404">XLOOKUP($A404,'Recipients REF'!$A:$A,'Recipients REF'!K:K,"",0)</f>
        <v>WR-SERIES 1328</v>
      </c>
      <c r="V404" s="44" t="s">
        <v>29</v>
      </c>
      <c r="W404" s="45" t="s">
        <v>30</v>
      </c>
      <c r="X404" s="53" t="str">
        <f t="array" ref="X404">XLOOKUP($A404,'Recipients REF'!$A:$A,'Recipients REF'!L:L,"",0)</f>
        <v>25040064</v>
      </c>
      <c r="Y404" s="48" t="s">
        <v>29</v>
      </c>
      <c r="Z404" s="48" t="s">
        <v>31</v>
      </c>
      <c r="AA404" s="54" t="str">
        <f t="array" ref="AA404">XLOOKUP($A404,'Recipients REF'!$A:$A,'Recipients REF'!M:M,"",0)</f>
        <v>25020313</v>
      </c>
      <c r="AB404" s="49"/>
      <c r="AC404" s="42"/>
      <c r="AD404" s="42"/>
      <c r="AE404" s="50"/>
      <c r="AF404" s="42"/>
      <c r="AG404" s="42"/>
      <c r="AH404" s="42"/>
      <c r="AI404" s="42" t="str">
        <f t="array" ref="AI404">XLOOKUP($E404,Sheet11!$D:$D,Sheet11!$X:$X,"",0)</f>
        <v/>
      </c>
      <c r="AJ404" s="42" t="str">
        <f t="array" ref="AJ404">XLOOKUP($E404,Sheet11!$D:$D,Sheet11!$Y:$Y,"",0)</f>
        <v/>
      </c>
    </row>
    <row r="405">
      <c r="A405" s="41">
        <v>957.0</v>
      </c>
      <c r="B405" s="42" t="s">
        <v>799</v>
      </c>
      <c r="C405" s="42" t="s">
        <v>800</v>
      </c>
      <c r="D405" s="42"/>
      <c r="E405" s="42" t="str">
        <f t="shared" ref="E405:F405" si="406">PROPER(B405)</f>
        <v>Inayapan Farmers Association</v>
      </c>
      <c r="F405" s="42" t="str">
        <f t="shared" si="406"/>
        <v>Inayapan, Santa Maria, Laguna</v>
      </c>
      <c r="G405" s="42" t="str">
        <f t="shared" si="3"/>
        <v>Inayapan</v>
      </c>
      <c r="H405" s="42" t="str">
        <f t="shared" si="4"/>
        <v>Santa Maria</v>
      </c>
      <c r="I405" s="42" t="str">
        <f t="shared" si="5"/>
        <v>Laguna</v>
      </c>
      <c r="J405" s="42" t="str">
        <f t="array" ref="J405">XLOOKUP($E405,'Recipients REF'!$B:$B,'Recipients REF'!D:D,"",0)</f>
        <v>Ruben Panaligan</v>
      </c>
      <c r="K405" s="42" t="str">
        <f t="array" ref="K405">XLOOKUP($E405,'Recipients REF'!$B:$B,'Recipients REF'!E:E,"",0)</f>
        <v>0994 922 7328</v>
      </c>
      <c r="L405" s="43" t="str">
        <f t="array" ref="L405">XLOOKUP($A405,'Recipients REF'!$A:$A,'Recipients REF'!F:F,"",0)</f>
        <v>RCEF 25-03-05</v>
      </c>
      <c r="M405" s="43">
        <f t="array" ref="M405">XLOOKUP($A405,'Recipients REF'!$A:$A,'Recipients REF'!G:G,"",0)</f>
        <v>7</v>
      </c>
      <c r="N405" s="43" t="str">
        <f t="array" ref="N405">XLOOKUP($A405,'Recipients REF'!$A:$A,'Recipients REF'!H:H,"",0)</f>
        <v>27287 &amp; 28000</v>
      </c>
      <c r="O405" s="44" t="s">
        <v>25</v>
      </c>
      <c r="P405" s="45" t="s">
        <v>26</v>
      </c>
      <c r="Q405" s="46" t="str">
        <f t="array" ref="Q405">XLOOKUP($A405,'Recipients REF'!$A:$A,'Recipients REF'!I:I,"",0)</f>
        <v>KMC525 ALSFPV0192</v>
      </c>
      <c r="R405" s="53" t="str">
        <f t="array" ref="R405">XLOOKUP($A405,'Recipients REF'!$A:$A,'Recipients REF'!J:J,"",0)</f>
        <v>STS100208</v>
      </c>
      <c r="S405" s="45" t="s">
        <v>27</v>
      </c>
      <c r="T405" s="45" t="s">
        <v>28</v>
      </c>
      <c r="U405" s="46" t="str">
        <f t="array" ref="U405">XLOOKUP($A405,'Recipients REF'!$A:$A,'Recipients REF'!K:K,"",0)</f>
        <v>WR-SERIES 1397PH</v>
      </c>
      <c r="V405" s="44" t="s">
        <v>29</v>
      </c>
      <c r="W405" s="45" t="s">
        <v>30</v>
      </c>
      <c r="X405" s="53">
        <f t="array" ref="X405">XLOOKUP($A405,'Recipients REF'!$A:$A,'Recipients REF'!L:L,"",0)</f>
        <v>25120916</v>
      </c>
      <c r="Y405" s="48" t="s">
        <v>29</v>
      </c>
      <c r="Z405" s="48" t="s">
        <v>31</v>
      </c>
      <c r="AA405" s="54">
        <f t="array" ref="AA405">XLOOKUP($A405,'Recipients REF'!$A:$A,'Recipients REF'!M:M,"",0)</f>
        <v>25121446</v>
      </c>
      <c r="AB405" s="49"/>
      <c r="AC405" s="42"/>
      <c r="AD405" s="42"/>
      <c r="AE405" s="50"/>
      <c r="AF405" s="42"/>
      <c r="AG405" s="42"/>
      <c r="AH405" s="42"/>
      <c r="AI405" s="42" t="str">
        <f t="array" ref="AI405">XLOOKUP($E405,Sheet11!$D:$D,Sheet11!$X:$X,"",0)</f>
        <v/>
      </c>
      <c r="AJ405" s="42" t="str">
        <f t="array" ref="AJ405">XLOOKUP($E405,Sheet11!$D:$D,Sheet11!$Y:$Y,"",0)</f>
        <v/>
      </c>
    </row>
    <row r="406">
      <c r="A406" s="41">
        <v>958.0</v>
      </c>
      <c r="B406" s="42" t="s">
        <v>801</v>
      </c>
      <c r="C406" s="42" t="s">
        <v>802</v>
      </c>
      <c r="D406" s="42"/>
      <c r="E406" s="42" t="str">
        <f t="shared" ref="E406:F406" si="407">PROPER(B406)</f>
        <v>Masinao Farmers Association</v>
      </c>
      <c r="F406" s="42" t="str">
        <f t="shared" si="407"/>
        <v>Masinao, Santa Maria, Laguna</v>
      </c>
      <c r="G406" s="42" t="str">
        <f t="shared" si="3"/>
        <v>Masinao</v>
      </c>
      <c r="H406" s="42" t="str">
        <f t="shared" si="4"/>
        <v>Santa Maria</v>
      </c>
      <c r="I406" s="42" t="str">
        <f t="shared" si="5"/>
        <v>Laguna</v>
      </c>
      <c r="J406" s="42" t="str">
        <f t="array" ref="J406">XLOOKUP($E406,'Recipients REF'!$B:$B,'Recipients REF'!D:D,"",0)</f>
        <v>Aurora Pascua</v>
      </c>
      <c r="K406" s="42" t="str">
        <f t="array" ref="K406">XLOOKUP($E406,'Recipients REF'!$B:$B,'Recipients REF'!E:E,"",0)</f>
        <v>0951 731 8690</v>
      </c>
      <c r="L406" s="43" t="str">
        <f t="array" ref="L406">XLOOKUP($A406,'Recipients REF'!$A:$A,'Recipients REF'!F:F,"",0)</f>
        <v>RCEF 25-03-05</v>
      </c>
      <c r="M406" s="43">
        <f t="array" ref="M406">XLOOKUP($A406,'Recipients REF'!$A:$A,'Recipients REF'!G:G,"",0)</f>
        <v>7</v>
      </c>
      <c r="N406" s="43" t="str">
        <f t="array" ref="N406">XLOOKUP($A406,'Recipients REF'!$A:$A,'Recipients REF'!H:H,"",0)</f>
        <v>27288 &amp; 27578</v>
      </c>
      <c r="O406" s="44" t="s">
        <v>25</v>
      </c>
      <c r="P406" s="45" t="s">
        <v>26</v>
      </c>
      <c r="Q406" s="46" t="str">
        <f t="array" ref="Q406">XLOOKUP($A406,'Recipients REF'!$A:$A,'Recipients REF'!I:I,"",0)</f>
        <v>KMC525 AESFPV0390</v>
      </c>
      <c r="R406" s="53" t="str">
        <f t="array" ref="R406">XLOOKUP($A406,'Recipients REF'!$A:$A,'Recipients REF'!J:J,"",0)</f>
        <v>STS100245</v>
      </c>
      <c r="S406" s="45" t="s">
        <v>27</v>
      </c>
      <c r="T406" s="45" t="s">
        <v>28</v>
      </c>
      <c r="U406" s="46" t="str">
        <f t="array" ref="U406">XLOOKUP($A406,'Recipients REF'!$A:$A,'Recipients REF'!K:K,"",0)</f>
        <v>WR-SERIES 1398PH</v>
      </c>
      <c r="V406" s="44" t="s">
        <v>29</v>
      </c>
      <c r="W406" s="45" t="s">
        <v>30</v>
      </c>
      <c r="X406" s="53">
        <f t="array" ref="X406">XLOOKUP($A406,'Recipients REF'!$A:$A,'Recipients REF'!L:L,"",0)</f>
        <v>25120917</v>
      </c>
      <c r="Y406" s="48" t="s">
        <v>29</v>
      </c>
      <c r="Z406" s="48" t="s">
        <v>31</v>
      </c>
      <c r="AA406" s="54">
        <f t="array" ref="AA406">XLOOKUP($A406,'Recipients REF'!$A:$A,'Recipients REF'!M:M,"",0)</f>
        <v>25121447</v>
      </c>
      <c r="AB406" s="49"/>
      <c r="AC406" s="42"/>
      <c r="AD406" s="42"/>
      <c r="AE406" s="56">
        <v>8.69066063778113E14</v>
      </c>
      <c r="AF406" s="42"/>
      <c r="AG406" s="42"/>
      <c r="AH406" s="42"/>
      <c r="AI406" s="42" t="str">
        <f t="array" ref="AI406">XLOOKUP($E406,Sheet11!$D:$D,Sheet11!$X:$X,"",0)</f>
        <v/>
      </c>
      <c r="AJ406" s="42" t="str">
        <f t="array" ref="AJ406">XLOOKUP($E406,Sheet11!$D:$D,Sheet11!$Y:$Y,"",0)</f>
        <v/>
      </c>
    </row>
    <row r="407">
      <c r="A407" s="41">
        <v>988.0</v>
      </c>
      <c r="B407" s="42" t="s">
        <v>803</v>
      </c>
      <c r="C407" s="42" t="s">
        <v>804</v>
      </c>
      <c r="D407" s="42"/>
      <c r="E407" s="42" t="str">
        <f t="shared" ref="E407:F407" si="408">PROPER(B407)</f>
        <v>Samahan Ng Magsasaka Ng Calios(Samaca)</v>
      </c>
      <c r="F407" s="42" t="str">
        <f t="shared" si="408"/>
        <v>Calios, Santa Cruz, Laguna</v>
      </c>
      <c r="G407" s="42" t="str">
        <f t="shared" si="3"/>
        <v>Calios</v>
      </c>
      <c r="H407" s="42" t="str">
        <f t="shared" si="4"/>
        <v>Santa Cruz</v>
      </c>
      <c r="I407" s="42" t="str">
        <f t="shared" si="5"/>
        <v>Laguna</v>
      </c>
      <c r="J407" s="42" t="str">
        <f t="array" ref="J407">XLOOKUP($E407,'Recipients REF'!$B:$B,'Recipients REF'!D:D,"",0)</f>
        <v>Neriza D. Garcia</v>
      </c>
      <c r="K407" s="42">
        <f t="array" ref="K407">XLOOKUP($E407,'Recipients REF'!$B:$B,'Recipients REF'!E:E,"",0)</f>
        <v>9985973024</v>
      </c>
      <c r="L407" s="43" t="str">
        <f t="array" ref="L407">XLOOKUP($A407,'Recipients REF'!$A:$A,'Recipients REF'!F:F,"",0)</f>
        <v>Repeat Order</v>
      </c>
      <c r="M407" s="43">
        <f t="array" ref="M407">XLOOKUP($A407,'Recipients REF'!$A:$A,'Recipients REF'!G:G,"",0)</f>
        <v>7</v>
      </c>
      <c r="N407" s="43">
        <f t="array" ref="N407">XLOOKUP($A407,'Recipients REF'!$A:$A,'Recipients REF'!H:H,"",0)</f>
        <v>23124</v>
      </c>
      <c r="O407" s="44" t="s">
        <v>25</v>
      </c>
      <c r="P407" s="45" t="s">
        <v>26</v>
      </c>
      <c r="Q407" s="46" t="str">
        <f t="array" ref="Q407">XLOOKUP($A407,'Recipients REF'!$A:$A,'Recipients REF'!I:I,"",0)</f>
        <v>KMC5825AHRFPV1046</v>
      </c>
      <c r="R407" s="47" t="str">
        <f t="array" ref="R407">XLOOKUP($A407,'Recipients REF'!$A:$A,'Recipients REF'!J:J,"",0)</f>
        <v>RTS100946</v>
      </c>
      <c r="S407" s="45" t="s">
        <v>27</v>
      </c>
      <c r="T407" s="45" t="s">
        <v>28</v>
      </c>
      <c r="U407" s="46" t="str">
        <f t="array" ref="U407">XLOOKUP($A407,'Recipients REF'!$A:$A,'Recipients REF'!K:K,"",0)</f>
        <v>WECAN-04015A0630624</v>
      </c>
      <c r="V407" s="44" t="s">
        <v>29</v>
      </c>
      <c r="W407" s="45" t="s">
        <v>30</v>
      </c>
      <c r="X407" s="47" t="str">
        <f t="array" ref="X407">XLOOKUP($A407,'Recipients REF'!$A:$A,'Recipients REF'!L:L,"",0)</f>
        <v>WDP40-RMP-25020345</v>
      </c>
      <c r="Y407" s="48" t="s">
        <v>29</v>
      </c>
      <c r="Z407" s="48" t="s">
        <v>31</v>
      </c>
      <c r="AA407" s="46" t="str">
        <f t="array" ref="AA407">XLOOKUP($A407,'Recipients REF'!$A:$A,'Recipients REF'!M:M,"",0)</f>
        <v>WR-SERIES-1290PH</v>
      </c>
      <c r="AB407" s="49"/>
      <c r="AC407" s="42"/>
      <c r="AD407" s="42"/>
      <c r="AE407" s="50"/>
      <c r="AF407" s="42"/>
      <c r="AG407" s="42"/>
      <c r="AH407" s="42"/>
      <c r="AI407" s="42" t="str">
        <f t="array" ref="AI407">XLOOKUP($E407,Sheet11!$D:$D,Sheet11!$X:$X,"",0)</f>
        <v/>
      </c>
      <c r="AJ407" s="42" t="str">
        <f t="array" ref="AJ407">XLOOKUP($E407,Sheet11!$D:$D,Sheet11!$Y:$Y,"",0)</f>
        <v/>
      </c>
    </row>
    <row r="408">
      <c r="A408" s="41">
        <v>936.0</v>
      </c>
      <c r="B408" s="42" t="s">
        <v>805</v>
      </c>
      <c r="C408" s="42" t="s">
        <v>806</v>
      </c>
      <c r="D408" s="42"/>
      <c r="E408" s="42" t="str">
        <f t="shared" ref="E408:F408" si="409">PROPER(B408)</f>
        <v>Bugho Farmers Association</v>
      </c>
      <c r="F408" s="42" t="str">
        <f t="shared" si="409"/>
        <v>Bugho, Alangalang, Leyte</v>
      </c>
      <c r="G408" s="42" t="str">
        <f t="shared" si="3"/>
        <v>Bugho</v>
      </c>
      <c r="H408" s="42" t="str">
        <f t="shared" si="4"/>
        <v>Alangalang</v>
      </c>
      <c r="I408" s="42" t="str">
        <f t="shared" si="5"/>
        <v>Leyte</v>
      </c>
      <c r="J408" s="42" t="str">
        <f t="array" ref="J408">XLOOKUP($E408,'Recipients REF'!$B:$B,'Recipients REF'!D:D,"",0)</f>
        <v>ANALYN A. GASPAY</v>
      </c>
      <c r="K408" s="42" t="str">
        <f t="array" ref="K408">XLOOKUP($E408,'Recipients REF'!$B:$B,'Recipients REF'!E:E,"",0)</f>
        <v>0905-249-6113</v>
      </c>
      <c r="L408" s="43" t="str">
        <f t="array" ref="L408">XLOOKUP($A408,'Recipients REF'!$A:$A,'Recipients REF'!F:F,"",0)</f>
        <v>RCEF 25-03-05</v>
      </c>
      <c r="M408" s="43">
        <f t="array" ref="M408">XLOOKUP($A408,'Recipients REF'!$A:$A,'Recipients REF'!G:G,"",0)</f>
        <v>7</v>
      </c>
      <c r="N408" s="43" t="str">
        <f t="array" ref="N408">XLOOKUP($A408,'Recipients REF'!$A:$A,'Recipients REF'!H:H,"",0)</f>
        <v>26937 &amp; 27979</v>
      </c>
      <c r="O408" s="44" t="s">
        <v>25</v>
      </c>
      <c r="P408" s="45" t="s">
        <v>26</v>
      </c>
      <c r="Q408" s="46" t="str">
        <f t="array" ref="Q408">XLOOKUP($A408,'Recipients REF'!$A:$A,'Recipients REF'!I:I,"",0)</f>
        <v>KMC5825 AKSFPV0301</v>
      </c>
      <c r="R408" s="53" t="str">
        <f t="array" ref="R408">XLOOKUP($A408,'Recipients REF'!$A:$A,'Recipients REF'!J:J,"",0)</f>
        <v>STS100264</v>
      </c>
      <c r="S408" s="45" t="s">
        <v>27</v>
      </c>
      <c r="T408" s="45" t="s">
        <v>28</v>
      </c>
      <c r="U408" s="46" t="str">
        <f t="array" ref="U408">XLOOKUP($A408,'Recipients REF'!$A:$A,'Recipients REF'!K:K,"",0)</f>
        <v>R-SERIES 191PH</v>
      </c>
      <c r="V408" s="44" t="s">
        <v>29</v>
      </c>
      <c r="W408" s="45" t="s">
        <v>30</v>
      </c>
      <c r="X408" s="53" t="str">
        <f t="array" ref="X408">XLOOKUP($A408,'Recipients REF'!$A:$A,'Recipients REF'!L:L,"",0)</f>
        <v>25080300</v>
      </c>
      <c r="Y408" s="48" t="s">
        <v>29</v>
      </c>
      <c r="Z408" s="48" t="s">
        <v>31</v>
      </c>
      <c r="AA408" s="54">
        <f t="array" ref="AA408">XLOOKUP($A408,'Recipients REF'!$A:$A,'Recipients REF'!M:M,"",0)</f>
        <v>25121362</v>
      </c>
      <c r="AB408" s="49"/>
      <c r="AC408" s="42"/>
      <c r="AD408" s="42"/>
      <c r="AE408" s="50"/>
      <c r="AF408" s="42"/>
      <c r="AG408" s="42"/>
      <c r="AH408" s="42"/>
      <c r="AI408" s="42" t="str">
        <f t="array" ref="AI408">XLOOKUP($E408,Sheet11!$D:$D,Sheet11!$X:$X,"",0)</f>
        <v/>
      </c>
      <c r="AJ408" s="42" t="str">
        <f t="array" ref="AJ408">XLOOKUP($E408,Sheet11!$D:$D,Sheet11!$Y:$Y,"",0)</f>
        <v/>
      </c>
    </row>
    <row r="409">
      <c r="A409" s="41">
        <v>937.0</v>
      </c>
      <c r="B409" s="42" t="s">
        <v>807</v>
      </c>
      <c r="C409" s="42" t="s">
        <v>808</v>
      </c>
      <c r="D409" s="42"/>
      <c r="E409" s="42" t="str">
        <f t="shared" ref="E409:F409" si="410">PROPER(B409)</f>
        <v>Municipal Local Government Unit Of Alangalang</v>
      </c>
      <c r="F409" s="42" t="str">
        <f t="shared" si="410"/>
        <v>Santo Niño (Pob.), Alangalang, Leyte</v>
      </c>
      <c r="G409" s="42" t="str">
        <f t="shared" si="3"/>
        <v>Santo Niño (Pob.)</v>
      </c>
      <c r="H409" s="42" t="str">
        <f t="shared" si="4"/>
        <v>Alangalang</v>
      </c>
      <c r="I409" s="42" t="str">
        <f t="shared" si="5"/>
        <v>Leyte</v>
      </c>
      <c r="J409" s="42" t="str">
        <f t="array" ref="J409">XLOOKUP($E409,'Recipients REF'!$B:$B,'Recipients REF'!D:D,"",0)</f>
        <v>CESAR D. ANADE - MA</v>
      </c>
      <c r="K409" s="42" t="str">
        <f t="array" ref="K409">XLOOKUP($E409,'Recipients REF'!$B:$B,'Recipients REF'!E:E,"",0)</f>
        <v>0998-330-0944</v>
      </c>
      <c r="L409" s="43" t="str">
        <f t="array" ref="L409">XLOOKUP($A409,'Recipients REF'!$A:$A,'Recipients REF'!F:F,"",0)</f>
        <v>RCEF 25-03-05</v>
      </c>
      <c r="M409" s="43">
        <f t="array" ref="M409">XLOOKUP($A409,'Recipients REF'!$A:$A,'Recipients REF'!G:G,"",0)</f>
        <v>7</v>
      </c>
      <c r="N409" s="43" t="str">
        <f t="array" ref="N409">XLOOKUP($A409,'Recipients REF'!$A:$A,'Recipients REF'!H:H,"",0)</f>
        <v>26938 &amp; 27980</v>
      </c>
      <c r="O409" s="44" t="s">
        <v>25</v>
      </c>
      <c r="P409" s="45" t="s">
        <v>26</v>
      </c>
      <c r="Q409" s="46" t="str">
        <f t="array" ref="Q409">XLOOKUP($A409,'Recipients REF'!$A:$A,'Recipients REF'!I:I,"",0)</f>
        <v>KMC5825 AVSFPV0626</v>
      </c>
      <c r="R409" s="53" t="str">
        <f t="array" ref="R409">XLOOKUP($A409,'Recipients REF'!$A:$A,'Recipients REF'!J:J,"",0)</f>
        <v>STS100427</v>
      </c>
      <c r="S409" s="45" t="s">
        <v>27</v>
      </c>
      <c r="T409" s="45" t="s">
        <v>28</v>
      </c>
      <c r="U409" s="46" t="str">
        <f t="array" ref="U409">XLOOKUP($A409,'Recipients REF'!$A:$A,'Recipients REF'!K:K,"",0)</f>
        <v>R-SERIES 161PH</v>
      </c>
      <c r="V409" s="44" t="s">
        <v>29</v>
      </c>
      <c r="W409" s="45" t="s">
        <v>30</v>
      </c>
      <c r="X409" s="53" t="str">
        <f t="array" ref="X409">XLOOKUP($A409,'Recipients REF'!$A:$A,'Recipients REF'!L:L,"",0)</f>
        <v>25040034</v>
      </c>
      <c r="Y409" s="48" t="s">
        <v>29</v>
      </c>
      <c r="Z409" s="48" t="s">
        <v>31</v>
      </c>
      <c r="AA409" s="54">
        <f t="array" ref="AA409">XLOOKUP($A409,'Recipients REF'!$A:$A,'Recipients REF'!M:M,"",0)</f>
        <v>25121363</v>
      </c>
      <c r="AB409" s="49"/>
      <c r="AC409" s="42"/>
      <c r="AD409" s="42"/>
      <c r="AE409" s="50"/>
      <c r="AF409" s="42"/>
      <c r="AG409" s="42"/>
      <c r="AH409" s="42"/>
      <c r="AI409" s="42" t="str">
        <f t="array" ref="AI409">XLOOKUP($E409,Sheet11!$D:$D,Sheet11!$X:$X,"",0)</f>
        <v/>
      </c>
      <c r="AJ409" s="42" t="str">
        <f t="array" ref="AJ409">XLOOKUP($E409,Sheet11!$D:$D,Sheet11!$Y:$Y,"",0)</f>
        <v/>
      </c>
    </row>
    <row r="410">
      <c r="A410" s="41">
        <v>938.0</v>
      </c>
      <c r="B410" s="42" t="s">
        <v>809</v>
      </c>
      <c r="C410" s="42" t="s">
        <v>810</v>
      </c>
      <c r="D410" s="42"/>
      <c r="E410" s="42" t="str">
        <f t="shared" ref="E410:F410" si="411">PROPER(B410)</f>
        <v>Sanmagba Irrigator'S Association</v>
      </c>
      <c r="F410" s="42" t="str">
        <f t="shared" si="411"/>
        <v>San Diego, Alangalang, Leyte</v>
      </c>
      <c r="G410" s="42" t="str">
        <f t="shared" si="3"/>
        <v>San Diego</v>
      </c>
      <c r="H410" s="42" t="str">
        <f t="shared" si="4"/>
        <v>Alangalang</v>
      </c>
      <c r="I410" s="42" t="str">
        <f t="shared" si="5"/>
        <v>Leyte</v>
      </c>
      <c r="J410" s="42" t="str">
        <f t="array" ref="J410">XLOOKUP($E410,'Recipients REF'!$B:$B,'Recipients REF'!D:D,"",0)</f>
        <v>JANITO J. SABELA</v>
      </c>
      <c r="K410" s="42" t="str">
        <f t="array" ref="K410">XLOOKUP($E410,'Recipients REF'!$B:$B,'Recipients REF'!E:E,"",0)</f>
        <v>0997-405-2054</v>
      </c>
      <c r="L410" s="43" t="str">
        <f t="array" ref="L410">XLOOKUP($A410,'Recipients REF'!$A:$A,'Recipients REF'!F:F,"",0)</f>
        <v>RCEF 25-03-05</v>
      </c>
      <c r="M410" s="43">
        <f t="array" ref="M410">XLOOKUP($A410,'Recipients REF'!$A:$A,'Recipients REF'!G:G,"",0)</f>
        <v>7</v>
      </c>
      <c r="N410" s="43" t="str">
        <f t="array" ref="N410">XLOOKUP($A410,'Recipients REF'!$A:$A,'Recipients REF'!H:H,"",0)</f>
        <v>26939 &amp; 27981</v>
      </c>
      <c r="O410" s="44" t="s">
        <v>25</v>
      </c>
      <c r="P410" s="45" t="s">
        <v>26</v>
      </c>
      <c r="Q410" s="46" t="str">
        <f t="array" ref="Q410">XLOOKUP($A410,'Recipients REF'!$A:$A,'Recipients REF'!I:I,"",0)</f>
        <v>KMC5825 AASFPV0420</v>
      </c>
      <c r="R410" s="53" t="str">
        <f t="array" ref="R410">XLOOKUP($A410,'Recipients REF'!$A:$A,'Recipients REF'!J:J,"",0)</f>
        <v>STS100474</v>
      </c>
      <c r="S410" s="45" t="s">
        <v>27</v>
      </c>
      <c r="T410" s="45" t="s">
        <v>28</v>
      </c>
      <c r="U410" s="46" t="str">
        <f t="array" ref="U410">XLOOKUP($A410,'Recipients REF'!$A:$A,'Recipients REF'!K:K,"",0)</f>
        <v>R-SERIES 211PH</v>
      </c>
      <c r="V410" s="44" t="s">
        <v>29</v>
      </c>
      <c r="W410" s="45" t="s">
        <v>30</v>
      </c>
      <c r="X410" s="53" t="str">
        <f t="array" ref="X410">XLOOKUP($A410,'Recipients REF'!$A:$A,'Recipients REF'!L:L,"",0)</f>
        <v>25080322</v>
      </c>
      <c r="Y410" s="48" t="s">
        <v>29</v>
      </c>
      <c r="Z410" s="48" t="s">
        <v>31</v>
      </c>
      <c r="AA410" s="54">
        <f t="array" ref="AA410">XLOOKUP($A410,'Recipients REF'!$A:$A,'Recipients REF'!M:M,"",0)</f>
        <v>25121364</v>
      </c>
      <c r="AB410" s="49"/>
      <c r="AC410" s="42"/>
      <c r="AD410" s="42"/>
      <c r="AE410" s="50"/>
      <c r="AF410" s="42"/>
      <c r="AG410" s="42"/>
      <c r="AH410" s="42"/>
      <c r="AI410" s="42" t="str">
        <f t="array" ref="AI410">XLOOKUP($E410,Sheet11!$D:$D,Sheet11!$X:$X,"",0)</f>
        <v/>
      </c>
      <c r="AJ410" s="42" t="str">
        <f t="array" ref="AJ410">XLOOKUP($E410,Sheet11!$D:$D,Sheet11!$Y:$Y,"",0)</f>
        <v/>
      </c>
    </row>
    <row r="411">
      <c r="A411" s="41">
        <v>939.0</v>
      </c>
      <c r="B411" s="42" t="s">
        <v>811</v>
      </c>
      <c r="C411" s="42" t="s">
        <v>812</v>
      </c>
      <c r="D411" s="42"/>
      <c r="E411" s="42" t="str">
        <f t="shared" ref="E411:F411" si="412">PROPER(B411)</f>
        <v>Integrated Barangays Of Tolosa Leyte Irrigators Association Inc.</v>
      </c>
      <c r="F411" s="42" t="str">
        <f t="shared" si="412"/>
        <v>Telegrafo, Tolosa, Leyte</v>
      </c>
      <c r="G411" s="42" t="str">
        <f t="shared" si="3"/>
        <v>Telegrafo</v>
      </c>
      <c r="H411" s="42" t="str">
        <f t="shared" si="4"/>
        <v>Tolosa</v>
      </c>
      <c r="I411" s="42" t="str">
        <f t="shared" si="5"/>
        <v>Leyte</v>
      </c>
      <c r="J411" s="42" t="str">
        <f t="array" ref="J411">XLOOKUP($E411,'Recipients REF'!$B:$B,'Recipients REF'!D:D,"",0)</f>
        <v>REMEDIOS V. CINCO</v>
      </c>
      <c r="K411" s="42" t="str">
        <f t="array" ref="K411">XLOOKUP($E411,'Recipients REF'!$B:$B,'Recipients REF'!E:E,"",0)</f>
        <v>0912-195-0965</v>
      </c>
      <c r="L411" s="43" t="str">
        <f t="array" ref="L411">XLOOKUP($A411,'Recipients REF'!$A:$A,'Recipients REF'!F:F,"",0)</f>
        <v>RCEF 25-03-05</v>
      </c>
      <c r="M411" s="43">
        <f t="array" ref="M411">XLOOKUP($A411,'Recipients REF'!$A:$A,'Recipients REF'!G:G,"",0)</f>
        <v>7</v>
      </c>
      <c r="N411" s="43" t="str">
        <f t="array" ref="N411">XLOOKUP($A411,'Recipients REF'!$A:$A,'Recipients REF'!H:H,"",0)</f>
        <v>26940 &amp; 27982</v>
      </c>
      <c r="O411" s="44" t="s">
        <v>25</v>
      </c>
      <c r="P411" s="45" t="s">
        <v>26</v>
      </c>
      <c r="Q411" s="46" t="str">
        <f t="array" ref="Q411">XLOOKUP($A411,'Recipients REF'!$A:$A,'Recipients REF'!I:I,"",0)</f>
        <v>KMC5825 ALSFPV0435</v>
      </c>
      <c r="R411" s="53" t="str">
        <f t="array" ref="R411">XLOOKUP($A411,'Recipients REF'!$A:$A,'Recipients REF'!J:J,"",0)</f>
        <v>STS100437</v>
      </c>
      <c r="S411" s="45" t="s">
        <v>27</v>
      </c>
      <c r="T411" s="45" t="s">
        <v>28</v>
      </c>
      <c r="U411" s="46" t="str">
        <f t="array" ref="U411">XLOOKUP($A411,'Recipients REF'!$A:$A,'Recipients REF'!K:K,"",0)</f>
        <v>R-SERIES 158PH</v>
      </c>
      <c r="V411" s="44" t="s">
        <v>29</v>
      </c>
      <c r="W411" s="45" t="s">
        <v>30</v>
      </c>
      <c r="X411" s="53" t="str">
        <f t="array" ref="X411">XLOOKUP($A411,'Recipients REF'!$A:$A,'Recipients REF'!L:L,"",0)</f>
        <v>25090458</v>
      </c>
      <c r="Y411" s="48" t="s">
        <v>29</v>
      </c>
      <c r="Z411" s="48" t="s">
        <v>31</v>
      </c>
      <c r="AA411" s="54">
        <f t="array" ref="AA411">XLOOKUP($A411,'Recipients REF'!$A:$A,'Recipients REF'!M:M,"",0)</f>
        <v>25121365</v>
      </c>
      <c r="AB411" s="49"/>
      <c r="AC411" s="42"/>
      <c r="AD411" s="42"/>
      <c r="AE411" s="50"/>
      <c r="AF411" s="42"/>
      <c r="AG411" s="42"/>
      <c r="AH411" s="42"/>
      <c r="AI411" s="42" t="str">
        <f t="array" ref="AI411">XLOOKUP($E411,Sheet11!$D:$D,Sheet11!$X:$X,"",0)</f>
        <v/>
      </c>
      <c r="AJ411" s="42" t="str">
        <f t="array" ref="AJ411">XLOOKUP($E411,Sheet11!$D:$D,Sheet11!$Y:$Y,"",0)</f>
        <v/>
      </c>
    </row>
    <row r="412">
      <c r="A412" s="41">
        <v>940.0</v>
      </c>
      <c r="B412" s="42" t="s">
        <v>813</v>
      </c>
      <c r="C412" s="42" t="s">
        <v>814</v>
      </c>
      <c r="D412" s="42"/>
      <c r="E412" s="42" t="str">
        <f t="shared" ref="E412:F412" si="413">PROPER(B412)</f>
        <v>Newcd45 Irrigators' Association, Inc.</v>
      </c>
      <c r="F412" s="42" t="str">
        <f t="shared" si="413"/>
        <v>Poblacion Dist. Vi (New Road), Barugo, Leyte</v>
      </c>
      <c r="G412" s="42" t="str">
        <f t="shared" si="3"/>
        <v>Poblacion Dist. Vi (New Road)</v>
      </c>
      <c r="H412" s="42" t="str">
        <f t="shared" si="4"/>
        <v>Barugo</v>
      </c>
      <c r="I412" s="42" t="str">
        <f t="shared" si="5"/>
        <v>Leyte</v>
      </c>
      <c r="J412" s="42" t="str">
        <f t="array" ref="J412">XLOOKUP($E412,'Recipients REF'!$B:$B,'Recipients REF'!D:D,"",0)</f>
        <v>GIL A. ACUIN, SR.</v>
      </c>
      <c r="K412" s="42" t="str">
        <f t="array" ref="K412">XLOOKUP($E412,'Recipients REF'!$B:$B,'Recipients REF'!E:E,"",0)</f>
        <v>0912-193-9532</v>
      </c>
      <c r="L412" s="43" t="str">
        <f t="array" ref="L412">XLOOKUP($A412,'Recipients REF'!$A:$A,'Recipients REF'!F:F,"",0)</f>
        <v>RCEF 25-03-05</v>
      </c>
      <c r="M412" s="43">
        <f t="array" ref="M412">XLOOKUP($A412,'Recipients REF'!$A:$A,'Recipients REF'!G:G,"",0)</f>
        <v>7</v>
      </c>
      <c r="N412" s="43" t="str">
        <f t="array" ref="N412">XLOOKUP($A412,'Recipients REF'!$A:$A,'Recipients REF'!H:H,"",0)</f>
        <v>26941 &amp; 27983</v>
      </c>
      <c r="O412" s="44" t="s">
        <v>25</v>
      </c>
      <c r="P412" s="45" t="s">
        <v>26</v>
      </c>
      <c r="Q412" s="46" t="str">
        <f t="array" ref="Q412">XLOOKUP($A412,'Recipients REF'!$A:$A,'Recipients REF'!I:I,"",0)</f>
        <v>KMC5825 AKSFPV0282</v>
      </c>
      <c r="R412" s="53" t="str">
        <f t="array" ref="R412">XLOOKUP($A412,'Recipients REF'!$A:$A,'Recipients REF'!J:J,"",0)</f>
        <v>STS100292</v>
      </c>
      <c r="S412" s="45" t="s">
        <v>27</v>
      </c>
      <c r="T412" s="45" t="s">
        <v>28</v>
      </c>
      <c r="U412" s="46" t="str">
        <f t="array" ref="U412">XLOOKUP($A412,'Recipients REF'!$A:$A,'Recipients REF'!K:K,"",0)</f>
        <v>R-SERIES 162PH</v>
      </c>
      <c r="V412" s="44" t="s">
        <v>29</v>
      </c>
      <c r="W412" s="45" t="s">
        <v>30</v>
      </c>
      <c r="X412" s="53" t="str">
        <f t="array" ref="X412">XLOOKUP($A412,'Recipients REF'!$A:$A,'Recipients REF'!L:L,"",0)</f>
        <v>25080324</v>
      </c>
      <c r="Y412" s="48" t="s">
        <v>29</v>
      </c>
      <c r="Z412" s="48" t="s">
        <v>31</v>
      </c>
      <c r="AA412" s="54">
        <f t="array" ref="AA412">XLOOKUP($A412,'Recipients REF'!$A:$A,'Recipients REF'!M:M,"",0)</f>
        <v>25121366</v>
      </c>
      <c r="AB412" s="49"/>
      <c r="AC412" s="42"/>
      <c r="AD412" s="42"/>
      <c r="AE412" s="50"/>
      <c r="AF412" s="42"/>
      <c r="AG412" s="42"/>
      <c r="AH412" s="42"/>
      <c r="AI412" s="42" t="str">
        <f t="array" ref="AI412">XLOOKUP($E412,Sheet11!$D:$D,Sheet11!$X:$X,"",0)</f>
        <v/>
      </c>
      <c r="AJ412" s="42" t="str">
        <f t="array" ref="AJ412">XLOOKUP($E412,Sheet11!$D:$D,Sheet11!$Y:$Y,"",0)</f>
        <v/>
      </c>
    </row>
    <row r="413">
      <c r="A413" s="41">
        <v>941.0</v>
      </c>
      <c r="B413" s="42" t="s">
        <v>815</v>
      </c>
      <c r="C413" s="42" t="s">
        <v>816</v>
      </c>
      <c r="D413" s="42"/>
      <c r="E413" s="42" t="str">
        <f t="shared" ref="E413:F413" si="414">PROPER(B413)</f>
        <v>Municipal Local Government Unit Of Dulag</v>
      </c>
      <c r="F413" s="42" t="str">
        <f t="shared" si="414"/>
        <v>Buntay (Pob.), Dulag, Leyte</v>
      </c>
      <c r="G413" s="42" t="str">
        <f t="shared" si="3"/>
        <v>Buntay (Pob.)</v>
      </c>
      <c r="H413" s="42" t="str">
        <f t="shared" si="4"/>
        <v>Dulag</v>
      </c>
      <c r="I413" s="42" t="str">
        <f t="shared" si="5"/>
        <v>Leyte</v>
      </c>
      <c r="J413" s="42" t="str">
        <f t="array" ref="J413">XLOOKUP($E413,'Recipients REF'!$B:$B,'Recipients REF'!D:D,"",0)</f>
        <v>ALONITA M. BAUTISTA - MA</v>
      </c>
      <c r="K413" s="42" t="str">
        <f t="array" ref="K413">XLOOKUP($E413,'Recipients REF'!$B:$B,'Recipients REF'!E:E,"",0)</f>
        <v>0927-796-1198</v>
      </c>
      <c r="L413" s="43" t="str">
        <f t="array" ref="L413">XLOOKUP($A413,'Recipients REF'!$A:$A,'Recipients REF'!F:F,"",0)</f>
        <v>RCEF 25-03-05</v>
      </c>
      <c r="M413" s="43">
        <f t="array" ref="M413">XLOOKUP($A413,'Recipients REF'!$A:$A,'Recipients REF'!G:G,"",0)</f>
        <v>7</v>
      </c>
      <c r="N413" s="43" t="str">
        <f t="array" ref="N413">XLOOKUP($A413,'Recipients REF'!$A:$A,'Recipients REF'!H:H,"",0)</f>
        <v>26942 &amp; 27984</v>
      </c>
      <c r="O413" s="44" t="s">
        <v>25</v>
      </c>
      <c r="P413" s="45" t="s">
        <v>26</v>
      </c>
      <c r="Q413" s="46" t="str">
        <f t="array" ref="Q413">XLOOKUP($A413,'Recipients REF'!$A:$A,'Recipients REF'!I:I,"",0)</f>
        <v>KMC5825 ALSFPV0435</v>
      </c>
      <c r="R413" s="53" t="str">
        <f t="array" ref="R413">XLOOKUP($A413,'Recipients REF'!$A:$A,'Recipients REF'!J:J,"",0)</f>
        <v>STS100437</v>
      </c>
      <c r="S413" s="45" t="s">
        <v>27</v>
      </c>
      <c r="T413" s="45" t="s">
        <v>28</v>
      </c>
      <c r="U413" s="46" t="str">
        <f t="array" ref="U413">XLOOKUP($A413,'Recipients REF'!$A:$A,'Recipients REF'!K:K,"",0)</f>
        <v>R-SERIES 158PH</v>
      </c>
      <c r="V413" s="44" t="s">
        <v>29</v>
      </c>
      <c r="W413" s="45" t="s">
        <v>30</v>
      </c>
      <c r="X413" s="53" t="str">
        <f t="array" ref="X413">XLOOKUP($A413,'Recipients REF'!$A:$A,'Recipients REF'!L:L,"",0)</f>
        <v>25090458</v>
      </c>
      <c r="Y413" s="48" t="s">
        <v>29</v>
      </c>
      <c r="Z413" s="48" t="s">
        <v>31</v>
      </c>
      <c r="AA413" s="54">
        <f t="array" ref="AA413">XLOOKUP($A413,'Recipients REF'!$A:$A,'Recipients REF'!M:M,"",0)</f>
        <v>25121367</v>
      </c>
      <c r="AB413" s="49"/>
      <c r="AC413" s="42"/>
      <c r="AD413" s="42"/>
      <c r="AE413" s="50"/>
      <c r="AF413" s="42"/>
      <c r="AG413" s="42"/>
      <c r="AH413" s="42"/>
      <c r="AI413" s="42" t="str">
        <f t="array" ref="AI413">XLOOKUP($E413,Sheet11!$D:$D,Sheet11!$X:$X,"",0)</f>
        <v/>
      </c>
      <c r="AJ413" s="42" t="str">
        <f t="array" ref="AJ413">XLOOKUP($E413,Sheet11!$D:$D,Sheet11!$Y:$Y,"",0)</f>
        <v/>
      </c>
    </row>
    <row r="414">
      <c r="A414" s="41">
        <v>942.0</v>
      </c>
      <c r="B414" s="42" t="s">
        <v>817</v>
      </c>
      <c r="C414" s="42" t="s">
        <v>818</v>
      </c>
      <c r="D414" s="42"/>
      <c r="E414" s="42" t="str">
        <f t="shared" ref="E414:F414" si="415">PROPER(B414)</f>
        <v>Sitio Bagang United Farmers Association</v>
      </c>
      <c r="F414" s="42" t="str">
        <f t="shared" si="415"/>
        <v>Cabacungan, Dulag, Leyte</v>
      </c>
      <c r="G414" s="42" t="str">
        <f t="shared" si="3"/>
        <v>Cabacungan</v>
      </c>
      <c r="H414" s="42" t="str">
        <f t="shared" si="4"/>
        <v>Dulag</v>
      </c>
      <c r="I414" s="42" t="str">
        <f t="shared" si="5"/>
        <v>Leyte</v>
      </c>
      <c r="J414" s="42" t="str">
        <f t="array" ref="J414">XLOOKUP($E414,'Recipients REF'!$B:$B,'Recipients REF'!D:D,"",0)</f>
        <v>AGAPITO V. ADONIS</v>
      </c>
      <c r="K414" s="42" t="str">
        <f t="array" ref="K414">XLOOKUP($E414,'Recipients REF'!$B:$B,'Recipients REF'!E:E,"",0)</f>
        <v>0930-838-4008</v>
      </c>
      <c r="L414" s="43" t="str">
        <f t="array" ref="L414">XLOOKUP($A414,'Recipients REF'!$A:$A,'Recipients REF'!F:F,"",0)</f>
        <v>RCEF 25-03-05</v>
      </c>
      <c r="M414" s="43">
        <f t="array" ref="M414">XLOOKUP($A414,'Recipients REF'!$A:$A,'Recipients REF'!G:G,"",0)</f>
        <v>7</v>
      </c>
      <c r="N414" s="43" t="str">
        <f t="array" ref="N414">XLOOKUP($A414,'Recipients REF'!$A:$A,'Recipients REF'!H:H,"",0)</f>
        <v>26943 &amp; 27985</v>
      </c>
      <c r="O414" s="44" t="s">
        <v>25</v>
      </c>
      <c r="P414" s="45" t="s">
        <v>26</v>
      </c>
      <c r="Q414" s="46" t="str">
        <f t="array" ref="Q414">XLOOKUP($A414,'Recipients REF'!$A:$A,'Recipients REF'!I:I,"",0)</f>
        <v>KMC5825 AESFPV0406</v>
      </c>
      <c r="R414" s="53" t="str">
        <f t="array" ref="R414">XLOOKUP($A414,'Recipients REF'!$A:$A,'Recipients REF'!J:J,"",0)</f>
        <v>STS100470</v>
      </c>
      <c r="S414" s="45" t="s">
        <v>27</v>
      </c>
      <c r="T414" s="45" t="s">
        <v>28</v>
      </c>
      <c r="U414" s="46" t="str">
        <f t="array" ref="U414">XLOOKUP($A414,'Recipients REF'!$A:$A,'Recipients REF'!K:K,"",0)</f>
        <v>R-SERIES 175PH</v>
      </c>
      <c r="V414" s="44" t="s">
        <v>29</v>
      </c>
      <c r="W414" s="45" t="s">
        <v>30</v>
      </c>
      <c r="X414" s="53" t="str">
        <f t="array" ref="X414">XLOOKUP($A414,'Recipients REF'!$A:$A,'Recipients REF'!L:L,"",0)</f>
        <v>25090477</v>
      </c>
      <c r="Y414" s="48" t="s">
        <v>29</v>
      </c>
      <c r="Z414" s="48" t="s">
        <v>31</v>
      </c>
      <c r="AA414" s="54">
        <f t="array" ref="AA414">XLOOKUP($A414,'Recipients REF'!$A:$A,'Recipients REF'!M:M,"",0)</f>
        <v>25121368</v>
      </c>
      <c r="AB414" s="49"/>
      <c r="AC414" s="42"/>
      <c r="AD414" s="42"/>
      <c r="AE414" s="50"/>
      <c r="AF414" s="42"/>
      <c r="AG414" s="42"/>
      <c r="AH414" s="42"/>
      <c r="AI414" s="42" t="str">
        <f t="array" ref="AI414">XLOOKUP($E414,Sheet11!$D:$D,Sheet11!$X:$X,"",0)</f>
        <v/>
      </c>
      <c r="AJ414" s="42" t="str">
        <f t="array" ref="AJ414">XLOOKUP($E414,Sheet11!$D:$D,Sheet11!$Y:$Y,"",0)</f>
        <v/>
      </c>
    </row>
    <row r="415">
      <c r="A415" s="41">
        <v>943.0</v>
      </c>
      <c r="B415" s="42" t="s">
        <v>819</v>
      </c>
      <c r="C415" s="42" t="s">
        <v>820</v>
      </c>
      <c r="D415" s="42"/>
      <c r="E415" s="42" t="str">
        <f t="shared" ref="E415:F415" si="416">PROPER(B415)</f>
        <v>Tigbao-Bolongtohan Irrigators' Association, Inc.</v>
      </c>
      <c r="F415" s="42" t="str">
        <f t="shared" si="416"/>
        <v>Tigbao, Dulag, Leyte</v>
      </c>
      <c r="G415" s="42" t="str">
        <f t="shared" si="3"/>
        <v>Tigbao</v>
      </c>
      <c r="H415" s="42" t="str">
        <f t="shared" si="4"/>
        <v>Dulag</v>
      </c>
      <c r="I415" s="42" t="str">
        <f t="shared" si="5"/>
        <v>Leyte</v>
      </c>
      <c r="J415" s="42" t="str">
        <f t="array" ref="J415">XLOOKUP($E415,'Recipients REF'!$B:$B,'Recipients REF'!D:D,"",0)</f>
        <v>BRAULIO L. DUNGZAL, JR.</v>
      </c>
      <c r="K415" s="42" t="str">
        <f t="array" ref="K415">XLOOKUP($E415,'Recipients REF'!$B:$B,'Recipients REF'!E:E,"",0)</f>
        <v>0916-885-6989</v>
      </c>
      <c r="L415" s="43" t="str">
        <f t="array" ref="L415">XLOOKUP($A415,'Recipients REF'!$A:$A,'Recipients REF'!F:F,"",0)</f>
        <v>RCEF 25-03-05</v>
      </c>
      <c r="M415" s="43">
        <f t="array" ref="M415">XLOOKUP($A415,'Recipients REF'!$A:$A,'Recipients REF'!G:G,"",0)</f>
        <v>7</v>
      </c>
      <c r="N415" s="43" t="str">
        <f t="array" ref="N415">XLOOKUP($A415,'Recipients REF'!$A:$A,'Recipients REF'!H:H,"",0)</f>
        <v>26944 &amp; 27986</v>
      </c>
      <c r="O415" s="44" t="s">
        <v>25</v>
      </c>
      <c r="P415" s="45" t="s">
        <v>26</v>
      </c>
      <c r="Q415" s="46" t="str">
        <f t="array" ref="Q415">XLOOKUP($A415,'Recipients REF'!$A:$A,'Recipients REF'!I:I,"",0)</f>
        <v>KMC5825 ALSFPV0418</v>
      </c>
      <c r="R415" s="53" t="str">
        <f t="array" ref="R415">XLOOKUP($A415,'Recipients REF'!$A:$A,'Recipients REF'!J:J,"",0)</f>
        <v>STS100476</v>
      </c>
      <c r="S415" s="45" t="s">
        <v>27</v>
      </c>
      <c r="T415" s="45" t="s">
        <v>28</v>
      </c>
      <c r="U415" s="46" t="str">
        <f t="array" ref="U415">XLOOKUP($A415,'Recipients REF'!$A:$A,'Recipients REF'!K:K,"",0)</f>
        <v>R-SERIES 156PH</v>
      </c>
      <c r="V415" s="44" t="s">
        <v>29</v>
      </c>
      <c r="W415" s="45" t="s">
        <v>30</v>
      </c>
      <c r="X415" s="53" t="str">
        <f t="array" ref="X415">XLOOKUP($A415,'Recipients REF'!$A:$A,'Recipients REF'!L:L,"",0)</f>
        <v>25080329</v>
      </c>
      <c r="Y415" s="48" t="s">
        <v>29</v>
      </c>
      <c r="Z415" s="48" t="s">
        <v>31</v>
      </c>
      <c r="AA415" s="54">
        <f t="array" ref="AA415">XLOOKUP($A415,'Recipients REF'!$A:$A,'Recipients REF'!M:M,"",0)</f>
        <v>25121369</v>
      </c>
      <c r="AB415" s="49"/>
      <c r="AC415" s="42"/>
      <c r="AD415" s="42"/>
      <c r="AE415" s="50"/>
      <c r="AF415" s="42"/>
      <c r="AG415" s="42"/>
      <c r="AH415" s="42"/>
      <c r="AI415" s="42" t="str">
        <f t="array" ref="AI415">XLOOKUP($E415,Sheet11!$D:$D,Sheet11!$X:$X,"",0)</f>
        <v/>
      </c>
      <c r="AJ415" s="42" t="str">
        <f t="array" ref="AJ415">XLOOKUP($E415,Sheet11!$D:$D,Sheet11!$Y:$Y,"",0)</f>
        <v/>
      </c>
    </row>
    <row r="416">
      <c r="A416" s="41">
        <v>944.0</v>
      </c>
      <c r="B416" s="42" t="s">
        <v>821</v>
      </c>
      <c r="C416" s="42" t="s">
        <v>822</v>
      </c>
      <c r="D416" s="42"/>
      <c r="E416" s="42" t="str">
        <f t="shared" ref="E416:F416" si="417">PROPER(B416)</f>
        <v>San Roque-Gitabla Irrigators' Association, Inc.</v>
      </c>
      <c r="F416" s="42" t="str">
        <f t="shared" si="417"/>
        <v>Gitabla, Julita, Leyte</v>
      </c>
      <c r="G416" s="42" t="str">
        <f t="shared" si="3"/>
        <v>Gitabla</v>
      </c>
      <c r="H416" s="42" t="str">
        <f t="shared" si="4"/>
        <v>Julita</v>
      </c>
      <c r="I416" s="42" t="str">
        <f t="shared" si="5"/>
        <v>Leyte</v>
      </c>
      <c r="J416" s="42" t="str">
        <f t="array" ref="J416">XLOOKUP($E416,'Recipients REF'!$B:$B,'Recipients REF'!D:D,"",0)</f>
        <v>ROMY C. MAGAYANO</v>
      </c>
      <c r="K416" s="42" t="str">
        <f t="array" ref="K416">XLOOKUP($E416,'Recipients REF'!$B:$B,'Recipients REF'!E:E,"",0)</f>
        <v>0948-303-1634</v>
      </c>
      <c r="L416" s="43" t="str">
        <f t="array" ref="L416">XLOOKUP($A416,'Recipients REF'!$A:$A,'Recipients REF'!F:F,"",0)</f>
        <v>RCEF 25-03-05</v>
      </c>
      <c r="M416" s="43">
        <f t="array" ref="M416">XLOOKUP($A416,'Recipients REF'!$A:$A,'Recipients REF'!G:G,"",0)</f>
        <v>7</v>
      </c>
      <c r="N416" s="43" t="str">
        <f t="array" ref="N416">XLOOKUP($A416,'Recipients REF'!$A:$A,'Recipients REF'!H:H,"",0)</f>
        <v>26945 &amp; 27987</v>
      </c>
      <c r="O416" s="44" t="s">
        <v>25</v>
      </c>
      <c r="P416" s="45" t="s">
        <v>26</v>
      </c>
      <c r="Q416" s="46" t="str">
        <f t="array" ref="Q416">XLOOKUP($A416,'Recipients REF'!$A:$A,'Recipients REF'!I:I,"",0)</f>
        <v>KMC5825 ATSFPV0408</v>
      </c>
      <c r="R416" s="53" t="str">
        <f t="array" ref="R416">XLOOKUP($A416,'Recipients REF'!$A:$A,'Recipients REF'!J:J,"",0)</f>
        <v>STS100468</v>
      </c>
      <c r="S416" s="45" t="s">
        <v>27</v>
      </c>
      <c r="T416" s="45" t="s">
        <v>28</v>
      </c>
      <c r="U416" s="46" t="str">
        <f t="array" ref="U416">XLOOKUP($A416,'Recipients REF'!$A:$A,'Recipients REF'!K:K,"",0)</f>
        <v>R-SERIES 214PH</v>
      </c>
      <c r="V416" s="44" t="s">
        <v>29</v>
      </c>
      <c r="W416" s="45" t="s">
        <v>30</v>
      </c>
      <c r="X416" s="53" t="str">
        <f t="array" ref="X416">XLOOKUP($A416,'Recipients REF'!$A:$A,'Recipients REF'!L:L,"",0)</f>
        <v>25080321</v>
      </c>
      <c r="Y416" s="48" t="s">
        <v>29</v>
      </c>
      <c r="Z416" s="48" t="s">
        <v>31</v>
      </c>
      <c r="AA416" s="54">
        <f t="array" ref="AA416">XLOOKUP($A416,'Recipients REF'!$A:$A,'Recipients REF'!M:M,"",0)</f>
        <v>25121370</v>
      </c>
      <c r="AB416" s="49"/>
      <c r="AC416" s="42"/>
      <c r="AD416" s="42"/>
      <c r="AE416" s="50"/>
      <c r="AF416" s="42"/>
      <c r="AG416" s="42"/>
      <c r="AH416" s="42"/>
      <c r="AI416" s="42" t="str">
        <f t="array" ref="AI416">XLOOKUP($E416,Sheet11!$D:$D,Sheet11!$X:$X,"",0)</f>
        <v/>
      </c>
      <c r="AJ416" s="42" t="str">
        <f t="array" ref="AJ416">XLOOKUP($E416,Sheet11!$D:$D,Sheet11!$Y:$Y,"",0)</f>
        <v/>
      </c>
    </row>
    <row r="417">
      <c r="A417" s="41">
        <v>945.0</v>
      </c>
      <c r="B417" s="42" t="s">
        <v>823</v>
      </c>
      <c r="C417" s="42" t="s">
        <v>824</v>
      </c>
      <c r="D417" s="42"/>
      <c r="E417" s="42" t="str">
        <f t="shared" ref="E417:F417" si="418">PROPER(B417)</f>
        <v>Pasakay-Astorga-San Pedro-Amahit-Can-Isak Irrigators Association (Pasaca Ia), Inc.</v>
      </c>
      <c r="F417" s="42" t="str">
        <f t="shared" si="418"/>
        <v>San Pedro, Tunga, Leyte</v>
      </c>
      <c r="G417" s="42" t="str">
        <f t="shared" si="3"/>
        <v>San Pedro</v>
      </c>
      <c r="H417" s="42" t="str">
        <f t="shared" si="4"/>
        <v>Tunga</v>
      </c>
      <c r="I417" s="42" t="str">
        <f t="shared" si="5"/>
        <v>Leyte</v>
      </c>
      <c r="J417" s="42" t="str">
        <f t="array" ref="J417">XLOOKUP($E417,'Recipients REF'!$B:$B,'Recipients REF'!D:D,"",0)</f>
        <v>NESTOR A. ESQUIBEL</v>
      </c>
      <c r="K417" s="42" t="str">
        <f t="array" ref="K417">XLOOKUP($E417,'Recipients REF'!$B:$B,'Recipients REF'!E:E,"",0)</f>
        <v>0950-166-6096</v>
      </c>
      <c r="L417" s="43" t="str">
        <f t="array" ref="L417">XLOOKUP($A417,'Recipients REF'!$A:$A,'Recipients REF'!F:F,"",0)</f>
        <v>RCEF 25-03-05</v>
      </c>
      <c r="M417" s="43">
        <f t="array" ref="M417">XLOOKUP($A417,'Recipients REF'!$A:$A,'Recipients REF'!G:G,"",0)</f>
        <v>7</v>
      </c>
      <c r="N417" s="43" t="str">
        <f t="array" ref="N417">XLOOKUP($A417,'Recipients REF'!$A:$A,'Recipients REF'!H:H,"",0)</f>
        <v>26946 &amp; 27988</v>
      </c>
      <c r="O417" s="44" t="s">
        <v>25</v>
      </c>
      <c r="P417" s="45" t="s">
        <v>26</v>
      </c>
      <c r="Q417" s="46" t="str">
        <f t="array" ref="Q417">XLOOKUP($A417,'Recipients REF'!$A:$A,'Recipients REF'!I:I,"",0)</f>
        <v>KMC5825 ATSFPV0389</v>
      </c>
      <c r="R417" s="53" t="str">
        <f t="array" ref="R417">XLOOKUP($A417,'Recipients REF'!$A:$A,'Recipients REF'!J:J,"",0)</f>
        <v>STS100459</v>
      </c>
      <c r="S417" s="45" t="s">
        <v>27</v>
      </c>
      <c r="T417" s="45" t="s">
        <v>28</v>
      </c>
      <c r="U417" s="46" t="str">
        <f t="array" ref="U417">XLOOKUP($A417,'Recipients REF'!$A:$A,'Recipients REF'!K:K,"",0)</f>
        <v>R-SERIES 161PH</v>
      </c>
      <c r="V417" s="44" t="s">
        <v>29</v>
      </c>
      <c r="W417" s="45" t="s">
        <v>30</v>
      </c>
      <c r="X417" s="53" t="str">
        <f t="array" ref="X417">XLOOKUP($A417,'Recipients REF'!$A:$A,'Recipients REF'!L:L,"",0)</f>
        <v>25040034</v>
      </c>
      <c r="Y417" s="48" t="s">
        <v>29</v>
      </c>
      <c r="Z417" s="48" t="s">
        <v>31</v>
      </c>
      <c r="AA417" s="54">
        <f t="array" ref="AA417">XLOOKUP($A417,'Recipients REF'!$A:$A,'Recipients REF'!M:M,"",0)</f>
        <v>25121371</v>
      </c>
      <c r="AB417" s="49"/>
      <c r="AC417" s="42"/>
      <c r="AD417" s="42"/>
      <c r="AE417" s="50"/>
      <c r="AF417" s="42"/>
      <c r="AG417" s="42"/>
      <c r="AH417" s="42"/>
      <c r="AI417" s="42" t="str">
        <f t="array" ref="AI417">XLOOKUP($E417,Sheet11!$D:$D,Sheet11!$X:$X,"",0)</f>
        <v/>
      </c>
      <c r="AJ417" s="42" t="str">
        <f t="array" ref="AJ417">XLOOKUP($E417,Sheet11!$D:$D,Sheet11!$Y:$Y,"",0)</f>
        <v/>
      </c>
    </row>
    <row r="418">
      <c r="A418" s="41">
        <v>946.0</v>
      </c>
      <c r="B418" s="42" t="s">
        <v>825</v>
      </c>
      <c r="C418" s="42" t="s">
        <v>826</v>
      </c>
      <c r="D418" s="42"/>
      <c r="E418" s="42" t="str">
        <f t="shared" ref="E418:F418" si="419">PROPER(B418)</f>
        <v>Calaguise Agriculture Cooperative</v>
      </c>
      <c r="F418" s="42" t="str">
        <f t="shared" si="419"/>
        <v>Calaguise, Leyte, Leyte</v>
      </c>
      <c r="G418" s="42" t="str">
        <f t="shared" si="3"/>
        <v>Calaguise</v>
      </c>
      <c r="H418" s="42" t="str">
        <f t="shared" si="4"/>
        <v>Leyte</v>
      </c>
      <c r="I418" s="42" t="str">
        <f t="shared" si="5"/>
        <v>Leyte</v>
      </c>
      <c r="J418" s="42" t="str">
        <f t="array" ref="J418">XLOOKUP($E418,'Recipients REF'!$B:$B,'Recipients REF'!D:D,"",0)</f>
        <v>Jeremias S. Medalla</v>
      </c>
      <c r="K418" s="42" t="str">
        <f t="array" ref="K418">XLOOKUP($E418,'Recipients REF'!$B:$B,'Recipients REF'!E:E,"",0)</f>
        <v>0909-830-0110</v>
      </c>
      <c r="L418" s="43" t="str">
        <f t="array" ref="L418">XLOOKUP($A418,'Recipients REF'!$A:$A,'Recipients REF'!F:F,"",0)</f>
        <v>RCEF 25-03-05</v>
      </c>
      <c r="M418" s="43">
        <f t="array" ref="M418">XLOOKUP($A418,'Recipients REF'!$A:$A,'Recipients REF'!G:G,"",0)</f>
        <v>7</v>
      </c>
      <c r="N418" s="43" t="str">
        <f t="array" ref="N418">XLOOKUP($A418,'Recipients REF'!$A:$A,'Recipients REF'!H:H,"",0)</f>
        <v>26947 &amp; 27989</v>
      </c>
      <c r="O418" s="44" t="s">
        <v>25</v>
      </c>
      <c r="P418" s="45" t="s">
        <v>26</v>
      </c>
      <c r="Q418" s="46" t="str">
        <f t="array" ref="Q418">XLOOKUP($A418,'Recipients REF'!$A:$A,'Recipients REF'!I:I,"",0)</f>
        <v>KMC5825 AKSFPV0220</v>
      </c>
      <c r="R418" s="53" t="str">
        <f t="array" ref="R418">XLOOKUP($A418,'Recipients REF'!$A:$A,'Recipients REF'!J:J,"",0)</f>
        <v>STS100192</v>
      </c>
      <c r="S418" s="45" t="s">
        <v>27</v>
      </c>
      <c r="T418" s="45" t="s">
        <v>28</v>
      </c>
      <c r="U418" s="46" t="str">
        <f t="array" ref="U418">XLOOKUP($A418,'Recipients REF'!$A:$A,'Recipients REF'!K:K,"",0)</f>
        <v>R-SERIES 072PH</v>
      </c>
      <c r="V418" s="44" t="s">
        <v>29</v>
      </c>
      <c r="W418" s="45" t="s">
        <v>30</v>
      </c>
      <c r="X418" s="53" t="str">
        <f t="array" ref="X418">XLOOKUP($A418,'Recipients REF'!$A:$A,'Recipients REF'!L:L,"",0)</f>
        <v>25090463</v>
      </c>
      <c r="Y418" s="48" t="s">
        <v>29</v>
      </c>
      <c r="Z418" s="48" t="s">
        <v>31</v>
      </c>
      <c r="AA418" s="54">
        <f t="array" ref="AA418">XLOOKUP($A418,'Recipients REF'!$A:$A,'Recipients REF'!M:M,"",0)</f>
        <v>25121372</v>
      </c>
      <c r="AB418" s="49"/>
      <c r="AC418" s="42"/>
      <c r="AD418" s="42"/>
      <c r="AE418" s="50"/>
      <c r="AF418" s="42"/>
      <c r="AG418" s="42"/>
      <c r="AH418" s="42"/>
      <c r="AI418" s="42" t="str">
        <f t="array" ref="AI418">XLOOKUP($E418,Sheet11!$D:$D,Sheet11!$X:$X,"",0)</f>
        <v/>
      </c>
      <c r="AJ418" s="42" t="str">
        <f t="array" ref="AJ418">XLOOKUP($E418,Sheet11!$D:$D,Sheet11!$Y:$Y,"",0)</f>
        <v/>
      </c>
    </row>
    <row r="419">
      <c r="A419" s="41">
        <v>947.0</v>
      </c>
      <c r="B419" s="42" t="s">
        <v>827</v>
      </c>
      <c r="C419" s="42" t="s">
        <v>828</v>
      </c>
      <c r="D419" s="42"/>
      <c r="E419" s="42" t="str">
        <f t="shared" ref="E419:F419" si="420">PROPER(B419)</f>
        <v>Guintagbucan Farmers Association</v>
      </c>
      <c r="F419" s="42" t="str">
        <f t="shared" si="420"/>
        <v>Guintagbucan (Pob.), Abuyog, Leyte</v>
      </c>
      <c r="G419" s="42" t="str">
        <f t="shared" si="3"/>
        <v>Guintagbucan (Pob.)</v>
      </c>
      <c r="H419" s="42" t="str">
        <f t="shared" si="4"/>
        <v>Abuyog</v>
      </c>
      <c r="I419" s="42" t="str">
        <f t="shared" si="5"/>
        <v>Leyte</v>
      </c>
      <c r="J419" s="42" t="str">
        <f t="array" ref="J419">XLOOKUP($E419,'Recipients REF'!$B:$B,'Recipients REF'!D:D,"",0)</f>
        <v>Francisca P. Cinco</v>
      </c>
      <c r="K419" s="42" t="str">
        <f t="array" ref="K419">XLOOKUP($E419,'Recipients REF'!$B:$B,'Recipients REF'!E:E,"",0)</f>
        <v>0953-986-5263</v>
      </c>
      <c r="L419" s="43" t="str">
        <f t="array" ref="L419">XLOOKUP($A419,'Recipients REF'!$A:$A,'Recipients REF'!F:F,"",0)</f>
        <v>RCEF 25-03-05</v>
      </c>
      <c r="M419" s="43">
        <f t="array" ref="M419">XLOOKUP($A419,'Recipients REF'!$A:$A,'Recipients REF'!G:G,"",0)</f>
        <v>7</v>
      </c>
      <c r="N419" s="43" t="str">
        <f t="array" ref="N419">XLOOKUP($A419,'Recipients REF'!$A:$A,'Recipients REF'!H:H,"",0)</f>
        <v>26948 &amp; 27990</v>
      </c>
      <c r="O419" s="44" t="s">
        <v>25</v>
      </c>
      <c r="P419" s="45" t="s">
        <v>26</v>
      </c>
      <c r="Q419" s="46" t="str">
        <f t="array" ref="Q419">XLOOKUP($A419,'Recipients REF'!$A:$A,'Recipients REF'!I:I,"",0)</f>
        <v>KMC5825 AHSFPV0274</v>
      </c>
      <c r="R419" s="53" t="str">
        <f t="array" ref="R419">XLOOKUP($A419,'Recipients REF'!$A:$A,'Recipients REF'!J:J,"",0)</f>
        <v>STS100280</v>
      </c>
      <c r="S419" s="45" t="s">
        <v>27</v>
      </c>
      <c r="T419" s="45" t="s">
        <v>28</v>
      </c>
      <c r="U419" s="46" t="str">
        <f t="array" ref="U419">XLOOKUP($A419,'Recipients REF'!$A:$A,'Recipients REF'!K:K,"",0)</f>
        <v>R-SERIES 065PH</v>
      </c>
      <c r="V419" s="44" t="s">
        <v>29</v>
      </c>
      <c r="W419" s="45" t="s">
        <v>30</v>
      </c>
      <c r="X419" s="53" t="str">
        <f t="array" ref="X419">XLOOKUP($A419,'Recipients REF'!$A:$A,'Recipients REF'!L:L,"",0)</f>
        <v>25080284</v>
      </c>
      <c r="Y419" s="48" t="s">
        <v>29</v>
      </c>
      <c r="Z419" s="48" t="s">
        <v>31</v>
      </c>
      <c r="AA419" s="54">
        <f t="array" ref="AA419">XLOOKUP($A419,'Recipients REF'!$A:$A,'Recipients REF'!M:M,"",0)</f>
        <v>25121373</v>
      </c>
      <c r="AB419" s="49"/>
      <c r="AC419" s="42"/>
      <c r="AD419" s="42"/>
      <c r="AE419" s="50"/>
      <c r="AF419" s="42"/>
      <c r="AG419" s="42"/>
      <c r="AH419" s="42"/>
      <c r="AI419" s="42" t="str">
        <f t="array" ref="AI419">XLOOKUP($E419,Sheet11!$D:$D,Sheet11!$X:$X,"",0)</f>
        <v/>
      </c>
      <c r="AJ419" s="42" t="str">
        <f t="array" ref="AJ419">XLOOKUP($E419,Sheet11!$D:$D,Sheet11!$Y:$Y,"",0)</f>
        <v/>
      </c>
    </row>
    <row r="420">
      <c r="A420" s="41">
        <v>948.0</v>
      </c>
      <c r="B420" s="42" t="s">
        <v>829</v>
      </c>
      <c r="C420" s="42" t="s">
        <v>830</v>
      </c>
      <c r="D420" s="42"/>
      <c r="E420" s="42" t="str">
        <f t="shared" ref="E420:F420" si="421">PROPER(B420)</f>
        <v>Libertad Progressive Agricultural Farmers Association (Lpafa)</v>
      </c>
      <c r="F420" s="42" t="str">
        <f t="shared" si="421"/>
        <v>Libertad, Abuyog, Leyte</v>
      </c>
      <c r="G420" s="42" t="str">
        <f t="shared" si="3"/>
        <v>Libertad</v>
      </c>
      <c r="H420" s="42" t="str">
        <f t="shared" si="4"/>
        <v>Abuyog</v>
      </c>
      <c r="I420" s="42" t="str">
        <f t="shared" si="5"/>
        <v>Leyte</v>
      </c>
      <c r="J420" s="42" t="str">
        <f t="array" ref="J420">XLOOKUP($E420,'Recipients REF'!$B:$B,'Recipients REF'!D:D,"",0)</f>
        <v>Esterlita D. Reas</v>
      </c>
      <c r="K420" s="42" t="str">
        <f t="array" ref="K420">XLOOKUP($E420,'Recipients REF'!$B:$B,'Recipients REF'!E:E,"",0)</f>
        <v>0967-916-3392</v>
      </c>
      <c r="L420" s="43" t="str">
        <f t="array" ref="L420">XLOOKUP($A420,'Recipients REF'!$A:$A,'Recipients REF'!F:F,"",0)</f>
        <v>RCEF 25-03-05</v>
      </c>
      <c r="M420" s="43">
        <f t="array" ref="M420">XLOOKUP($A420,'Recipients REF'!$A:$A,'Recipients REF'!G:G,"",0)</f>
        <v>7</v>
      </c>
      <c r="N420" s="43" t="str">
        <f t="array" ref="N420">XLOOKUP($A420,'Recipients REF'!$A:$A,'Recipients REF'!H:H,"",0)</f>
        <v>26949 &amp; 27991</v>
      </c>
      <c r="O420" s="44" t="s">
        <v>25</v>
      </c>
      <c r="P420" s="45" t="s">
        <v>26</v>
      </c>
      <c r="Q420" s="46" t="str">
        <f t="array" ref="Q420">XLOOKUP($A420,'Recipients REF'!$A:$A,'Recipients REF'!I:I,"",0)</f>
        <v>KMC5825 AJSFPV0221</v>
      </c>
      <c r="R420" s="53" t="str">
        <f t="array" ref="R420">XLOOKUP($A420,'Recipients REF'!$A:$A,'Recipients REF'!J:J,"",0)</f>
        <v>STS100193</v>
      </c>
      <c r="S420" s="45" t="s">
        <v>27</v>
      </c>
      <c r="T420" s="45" t="s">
        <v>28</v>
      </c>
      <c r="U420" s="46" t="str">
        <f t="array" ref="U420">XLOOKUP($A420,'Recipients REF'!$A:$A,'Recipients REF'!K:K,"",0)</f>
        <v>R-SERIES 014PH</v>
      </c>
      <c r="V420" s="44" t="s">
        <v>29</v>
      </c>
      <c r="W420" s="45" t="s">
        <v>30</v>
      </c>
      <c r="X420" s="53" t="str">
        <f t="array" ref="X420">XLOOKUP($A420,'Recipients REF'!$A:$A,'Recipients REF'!L:L,"",0)</f>
        <v>25040030</v>
      </c>
      <c r="Y420" s="48" t="s">
        <v>29</v>
      </c>
      <c r="Z420" s="48" t="s">
        <v>31</v>
      </c>
      <c r="AA420" s="54">
        <f t="array" ref="AA420">XLOOKUP($A420,'Recipients REF'!$A:$A,'Recipients REF'!M:M,"",0)</f>
        <v>25121374</v>
      </c>
      <c r="AB420" s="49"/>
      <c r="AC420" s="42"/>
      <c r="AD420" s="42"/>
      <c r="AE420" s="50"/>
      <c r="AF420" s="42"/>
      <c r="AG420" s="42"/>
      <c r="AH420" s="42"/>
      <c r="AI420" s="42" t="str">
        <f t="array" ref="AI420">XLOOKUP($E420,Sheet11!$D:$D,Sheet11!$X:$X,"",0)</f>
        <v/>
      </c>
      <c r="AJ420" s="42" t="str">
        <f t="array" ref="AJ420">XLOOKUP($E420,Sheet11!$D:$D,Sheet11!$Y:$Y,"",0)</f>
        <v/>
      </c>
    </row>
    <row r="421">
      <c r="A421" s="41">
        <v>949.0</v>
      </c>
      <c r="B421" s="42" t="s">
        <v>831</v>
      </c>
      <c r="C421" s="42" t="s">
        <v>832</v>
      </c>
      <c r="D421" s="42"/>
      <c r="E421" s="42" t="str">
        <f t="shared" ref="E421:F421" si="422">PROPER(B421)</f>
        <v>Magkanta Irrigators' Association, Inc.</v>
      </c>
      <c r="F421" s="42" t="str">
        <f t="shared" si="422"/>
        <v>Magnangoy, Hilongos, Leyte</v>
      </c>
      <c r="G421" s="42" t="str">
        <f t="shared" si="3"/>
        <v>Magnangoy</v>
      </c>
      <c r="H421" s="42" t="str">
        <f t="shared" si="4"/>
        <v>Hilongos</v>
      </c>
      <c r="I421" s="42" t="str">
        <f t="shared" si="5"/>
        <v>Leyte</v>
      </c>
      <c r="J421" s="42" t="str">
        <f t="array" ref="J421">XLOOKUP($E421,'Recipients REF'!$B:$B,'Recipients REF'!D:D,"",0)</f>
        <v>Roberto Ma. B. Reyes</v>
      </c>
      <c r="K421" s="42" t="str">
        <f t="array" ref="K421">XLOOKUP($E421,'Recipients REF'!$B:$B,'Recipients REF'!E:E,"",0)</f>
        <v>0927-769-7279</v>
      </c>
      <c r="L421" s="43" t="str">
        <f t="array" ref="L421">XLOOKUP($A421,'Recipients REF'!$A:$A,'Recipients REF'!F:F,"",0)</f>
        <v>RCEF 25-03-05</v>
      </c>
      <c r="M421" s="43">
        <f t="array" ref="M421">XLOOKUP($A421,'Recipients REF'!$A:$A,'Recipients REF'!G:G,"",0)</f>
        <v>7</v>
      </c>
      <c r="N421" s="43" t="str">
        <f t="array" ref="N421">XLOOKUP($A421,'Recipients REF'!$A:$A,'Recipients REF'!H:H,"",0)</f>
        <v>26950 &amp; 27992</v>
      </c>
      <c r="O421" s="44" t="s">
        <v>25</v>
      </c>
      <c r="P421" s="45" t="s">
        <v>26</v>
      </c>
      <c r="Q421" s="46" t="str">
        <f t="array" ref="Q421">XLOOKUP($A421,'Recipients REF'!$A:$A,'Recipients REF'!I:I,"",0)</f>
        <v>KMC5825 AASFPV0384</v>
      </c>
      <c r="R421" s="53" t="str">
        <f t="array" ref="R421">XLOOKUP($A421,'Recipients REF'!$A:$A,'Recipients REF'!J:J,"",0)</f>
        <v>STS100464</v>
      </c>
      <c r="S421" s="45" t="s">
        <v>27</v>
      </c>
      <c r="T421" s="45" t="s">
        <v>28</v>
      </c>
      <c r="U421" s="46" t="str">
        <f t="array" ref="U421">XLOOKUP($A421,'Recipients REF'!$A:$A,'Recipients REF'!K:K,"",0)</f>
        <v>R-SERIES 162PH</v>
      </c>
      <c r="V421" s="44" t="s">
        <v>29</v>
      </c>
      <c r="W421" s="45" t="s">
        <v>30</v>
      </c>
      <c r="X421" s="53" t="str">
        <f t="array" ref="X421">XLOOKUP($A421,'Recipients REF'!$A:$A,'Recipients REF'!L:L,"",0)</f>
        <v>25080319</v>
      </c>
      <c r="Y421" s="48" t="s">
        <v>29</v>
      </c>
      <c r="Z421" s="48" t="s">
        <v>31</v>
      </c>
      <c r="AA421" s="54">
        <f t="array" ref="AA421">XLOOKUP($A421,'Recipients REF'!$A:$A,'Recipients REF'!M:M,"",0)</f>
        <v>25121375</v>
      </c>
      <c r="AB421" s="49"/>
      <c r="AC421" s="42"/>
      <c r="AD421" s="42"/>
      <c r="AE421" s="50"/>
      <c r="AF421" s="42"/>
      <c r="AG421" s="42"/>
      <c r="AH421" s="42"/>
      <c r="AI421" s="42" t="str">
        <f t="array" ref="AI421">XLOOKUP($E421,Sheet11!$D:$D,Sheet11!$X:$X,"",0)</f>
        <v/>
      </c>
      <c r="AJ421" s="42" t="str">
        <f t="array" ref="AJ421">XLOOKUP($E421,Sheet11!$D:$D,Sheet11!$Y:$Y,"",0)</f>
        <v/>
      </c>
    </row>
    <row r="422">
      <c r="A422" s="41">
        <v>950.0</v>
      </c>
      <c r="B422" s="42" t="s">
        <v>833</v>
      </c>
      <c r="C422" s="42" t="s">
        <v>834</v>
      </c>
      <c r="D422" s="42"/>
      <c r="E422" s="42" t="str">
        <f t="shared" ref="E422:F422" si="423">PROPER(B422)</f>
        <v>Municipal Local Government Unit Of Matalom</v>
      </c>
      <c r="F422" s="42" t="str">
        <f t="shared" si="423"/>
        <v>Santo Niño (Pob.), Matalom, Leyte</v>
      </c>
      <c r="G422" s="42" t="str">
        <f t="shared" si="3"/>
        <v>Santo Niño (Pob.)</v>
      </c>
      <c r="H422" s="42" t="str">
        <f t="shared" si="4"/>
        <v>Matalom</v>
      </c>
      <c r="I422" s="42" t="str">
        <f t="shared" si="5"/>
        <v>Leyte</v>
      </c>
      <c r="J422" s="42" t="str">
        <f t="array" ref="J422">XLOOKUP($E422,'Recipients REF'!$B:$B,'Recipients REF'!D:D,"",0)</f>
        <v>Bonifacio O. Gono</v>
      </c>
      <c r="K422" s="42">
        <f t="array" ref="K422">XLOOKUP($E422,'Recipients REF'!$B:$B,'Recipients REF'!E:E,"",0)</f>
        <v>9564326187</v>
      </c>
      <c r="L422" s="43" t="str">
        <f t="array" ref="L422">XLOOKUP($A422,'Recipients REF'!$A:$A,'Recipients REF'!F:F,"",0)</f>
        <v>RCEF 25-03-05</v>
      </c>
      <c r="M422" s="43">
        <f t="array" ref="M422">XLOOKUP($A422,'Recipients REF'!$A:$A,'Recipients REF'!G:G,"",0)</f>
        <v>7</v>
      </c>
      <c r="N422" s="43" t="str">
        <f t="array" ref="N422">XLOOKUP($A422,'Recipients REF'!$A:$A,'Recipients REF'!H:H,"",0)</f>
        <v>27280 &amp; 27993</v>
      </c>
      <c r="O422" s="44" t="s">
        <v>25</v>
      </c>
      <c r="P422" s="45" t="s">
        <v>26</v>
      </c>
      <c r="Q422" s="46" t="str">
        <f t="array" ref="Q422">XLOOKUP($A422,'Recipients REF'!$A:$A,'Recipients REF'!I:I,"",0)</f>
        <v>KMC5825 APSFPV0300</v>
      </c>
      <c r="R422" s="53" t="str">
        <f t="array" ref="R422">XLOOKUP($A422,'Recipients REF'!$A:$A,'Recipients REF'!J:J,"",0)</f>
        <v>STS100271</v>
      </c>
      <c r="S422" s="45" t="s">
        <v>27</v>
      </c>
      <c r="T422" s="45" t="s">
        <v>28</v>
      </c>
      <c r="U422" s="46" t="str">
        <f t="array" ref="U422">XLOOKUP($A422,'Recipients REF'!$A:$A,'Recipients REF'!K:K,"",0)</f>
        <v>R-SERIES 159PH</v>
      </c>
      <c r="V422" s="44" t="s">
        <v>29</v>
      </c>
      <c r="W422" s="45" t="s">
        <v>30</v>
      </c>
      <c r="X422" s="53" t="str">
        <f t="array" ref="X422">XLOOKUP($A422,'Recipients REF'!$A:$A,'Recipients REF'!L:L,"",0)</f>
        <v>25090478</v>
      </c>
      <c r="Y422" s="48" t="s">
        <v>29</v>
      </c>
      <c r="Z422" s="48" t="s">
        <v>31</v>
      </c>
      <c r="AA422" s="54">
        <f t="array" ref="AA422">XLOOKUP($A422,'Recipients REF'!$A:$A,'Recipients REF'!M:M,"",0)</f>
        <v>25121376</v>
      </c>
      <c r="AB422" s="49"/>
      <c r="AC422" s="42"/>
      <c r="AD422" s="42"/>
      <c r="AE422" s="50"/>
      <c r="AF422" s="42"/>
      <c r="AG422" s="42"/>
      <c r="AH422" s="42"/>
      <c r="AI422" s="42" t="str">
        <f t="array" ref="AI422">XLOOKUP($E422,Sheet11!$D:$D,Sheet11!$X:$X,"",0)</f>
        <v/>
      </c>
      <c r="AJ422" s="42" t="str">
        <f t="array" ref="AJ422">XLOOKUP($E422,Sheet11!$D:$D,Sheet11!$Y:$Y,"",0)</f>
        <v/>
      </c>
    </row>
    <row r="423">
      <c r="A423" s="41">
        <v>782.0</v>
      </c>
      <c r="B423" s="42" t="s">
        <v>835</v>
      </c>
      <c r="C423" s="42" t="s">
        <v>836</v>
      </c>
      <c r="D423" s="42"/>
      <c r="E423" s="42" t="str">
        <f t="shared" ref="E423:F423" si="424">PROPER(B423)</f>
        <v>Balud Farmers And Fisherfolks Association Inc</v>
      </c>
      <c r="F423" s="42" t="str">
        <f t="shared" si="424"/>
        <v>Ilaya, Balud, Masbate</v>
      </c>
      <c r="G423" s="42" t="str">
        <f t="shared" si="3"/>
        <v>Ilaya</v>
      </c>
      <c r="H423" s="42" t="str">
        <f t="shared" si="4"/>
        <v>Balud</v>
      </c>
      <c r="I423" s="42" t="str">
        <f t="shared" si="5"/>
        <v>Masbate</v>
      </c>
      <c r="J423" s="42" t="str">
        <f t="array" ref="J423">XLOOKUP($E423,'Recipients REF'!$B:$B,'Recipients REF'!D:D,"",0)</f>
        <v>EDGARDO S. LOPEZ JR.</v>
      </c>
      <c r="K423" s="42" t="str">
        <f t="array" ref="K423">XLOOKUP($E423,'Recipients REF'!$B:$B,'Recipients REF'!E:E,"",0)</f>
        <v>0938-927-6482</v>
      </c>
      <c r="L423" s="43" t="str">
        <f t="array" ref="L423">XLOOKUP($A423,'Recipients REF'!$A:$A,'Recipients REF'!F:F,"",0)</f>
        <v>RCEF 25-03-05</v>
      </c>
      <c r="M423" s="43">
        <f t="array" ref="M423">XLOOKUP($A423,'Recipients REF'!$A:$A,'Recipients REF'!G:G,"",0)</f>
        <v>6</v>
      </c>
      <c r="N423" s="43" t="str">
        <f t="array" ref="N423">XLOOKUP($A423,'Recipients REF'!$A:$A,'Recipients REF'!H:H,"",0)</f>
        <v>26614 &amp; 27885</v>
      </c>
      <c r="O423" s="44" t="s">
        <v>25</v>
      </c>
      <c r="P423" s="45" t="s">
        <v>26</v>
      </c>
      <c r="Q423" s="46" t="str">
        <f t="array" ref="Q423">XLOOKUP($A423,'Recipients REF'!$A:$A,'Recipients REF'!I:I,"",0)</f>
        <v>KMC5825 ATSFPV0635</v>
      </c>
      <c r="R423" s="53" t="str">
        <f t="array" ref="R423">XLOOKUP($A423,'Recipients REF'!$A:$A,'Recipients REF'!J:J,"",0)</f>
        <v>STS100381</v>
      </c>
      <c r="S423" s="45" t="s">
        <v>27</v>
      </c>
      <c r="T423" s="45" t="s">
        <v>28</v>
      </c>
      <c r="U423" s="46" t="str">
        <f t="array" ref="U423">XLOOKUP($A423,'Recipients REF'!$A:$A,'Recipients REF'!K:K,"",0)</f>
        <v>WR-SERIES 1338PH</v>
      </c>
      <c r="V423" s="44" t="s">
        <v>29</v>
      </c>
      <c r="W423" s="45" t="s">
        <v>30</v>
      </c>
      <c r="X423" s="53" t="str">
        <f t="array" ref="X423">XLOOKUP($A423,'Recipients REF'!$A:$A,'Recipients REF'!L:L,"",0)</f>
        <v>2510772</v>
      </c>
      <c r="Y423" s="48" t="s">
        <v>29</v>
      </c>
      <c r="Z423" s="48" t="s">
        <v>31</v>
      </c>
      <c r="AA423" s="54">
        <f t="array" ref="AA423">XLOOKUP($A423,'Recipients REF'!$A:$A,'Recipients REF'!M:M,"",0)</f>
        <v>25121404</v>
      </c>
      <c r="AB423" s="49"/>
      <c r="AC423" s="42"/>
      <c r="AD423" s="42"/>
      <c r="AE423" s="56">
        <v>8.6906606380339E14</v>
      </c>
      <c r="AF423" s="42"/>
      <c r="AG423" s="42"/>
      <c r="AH423" s="42"/>
      <c r="AI423" s="42" t="str">
        <f t="array" ref="AI423">XLOOKUP($E423,Sheet11!$D:$D,Sheet11!$X:$X,"",0)</f>
        <v/>
      </c>
      <c r="AJ423" s="42" t="str">
        <f t="array" ref="AJ423">XLOOKUP($E423,Sheet11!$D:$D,Sheet11!$Y:$Y,"",0)</f>
        <v/>
      </c>
    </row>
    <row r="424">
      <c r="A424" s="41">
        <v>783.0</v>
      </c>
      <c r="B424" s="42" t="s">
        <v>837</v>
      </c>
      <c r="C424" s="42" t="s">
        <v>838</v>
      </c>
      <c r="D424" s="42"/>
      <c r="E424" s="42" t="str">
        <f t="shared" ref="E424:F424" si="425">PROPER(B424)</f>
        <v>San Andres Farmers Association Inc</v>
      </c>
      <c r="F424" s="42" t="str">
        <f t="shared" si="425"/>
        <v>San Andres (Quinayangan Dacu), Balud, Masbate</v>
      </c>
      <c r="G424" s="42" t="str">
        <f t="shared" si="3"/>
        <v>San Andres (Quinayangan Dacu)</v>
      </c>
      <c r="H424" s="42" t="str">
        <f t="shared" si="4"/>
        <v>Balud</v>
      </c>
      <c r="I424" s="42" t="str">
        <f t="shared" si="5"/>
        <v>Masbate</v>
      </c>
      <c r="J424" s="42" t="str">
        <f t="array" ref="J424">XLOOKUP($E424,'Recipients REF'!$B:$B,'Recipients REF'!D:D,"",0)</f>
        <v>KAREN L. ZAFRA</v>
      </c>
      <c r="K424" s="42" t="str">
        <f t="array" ref="K424">XLOOKUP($E424,'Recipients REF'!$B:$B,'Recipients REF'!E:E,"",0)</f>
        <v>0930 982 7397</v>
      </c>
      <c r="L424" s="43" t="str">
        <f t="array" ref="L424">XLOOKUP($A424,'Recipients REF'!$A:$A,'Recipients REF'!F:F,"",0)</f>
        <v>RCEF 25-03-05</v>
      </c>
      <c r="M424" s="43">
        <f t="array" ref="M424">XLOOKUP($A424,'Recipients REF'!$A:$A,'Recipients REF'!G:G,"",0)</f>
        <v>6</v>
      </c>
      <c r="N424" s="43" t="str">
        <f t="array" ref="N424">XLOOKUP($A424,'Recipients REF'!$A:$A,'Recipients REF'!H:H,"",0)</f>
        <v>26615 &amp; 27886</v>
      </c>
      <c r="O424" s="44" t="s">
        <v>25</v>
      </c>
      <c r="P424" s="45" t="s">
        <v>26</v>
      </c>
      <c r="Q424" s="46" t="str">
        <f t="array" ref="Q424">XLOOKUP($A424,'Recipients REF'!$A:$A,'Recipients REF'!I:I,"",0)</f>
        <v>KMC5825 ALSFPV0645</v>
      </c>
      <c r="R424" s="53" t="str">
        <f t="array" ref="R424">XLOOKUP($A424,'Recipients REF'!$A:$A,'Recipients REF'!J:J,"",0)</f>
        <v>STS100388</v>
      </c>
      <c r="S424" s="45" t="s">
        <v>27</v>
      </c>
      <c r="T424" s="45" t="s">
        <v>28</v>
      </c>
      <c r="U424" s="46" t="str">
        <f t="array" ref="U424">XLOOKUP($A424,'Recipients REF'!$A:$A,'Recipients REF'!K:K,"",0)</f>
        <v>WR-SERIES 1339PH</v>
      </c>
      <c r="V424" s="44" t="s">
        <v>29</v>
      </c>
      <c r="W424" s="45" t="s">
        <v>30</v>
      </c>
      <c r="X424" s="53" t="str">
        <f t="array" ref="X424">XLOOKUP($A424,'Recipients REF'!$A:$A,'Recipients REF'!L:L,"",0)</f>
        <v>25080335</v>
      </c>
      <c r="Y424" s="48" t="s">
        <v>29</v>
      </c>
      <c r="Z424" s="48" t="s">
        <v>31</v>
      </c>
      <c r="AA424" s="54">
        <f t="array" ref="AA424">XLOOKUP($A424,'Recipients REF'!$A:$A,'Recipients REF'!M:M,"",0)</f>
        <v>25121405</v>
      </c>
      <c r="AB424" s="49"/>
      <c r="AC424" s="42"/>
      <c r="AD424" s="42"/>
      <c r="AE424" s="50"/>
      <c r="AF424" s="42"/>
      <c r="AG424" s="42"/>
      <c r="AH424" s="42"/>
      <c r="AI424" s="42" t="str">
        <f t="array" ref="AI424">XLOOKUP($E424,Sheet11!$D:$D,Sheet11!$X:$X,"",0)</f>
        <v/>
      </c>
      <c r="AJ424" s="42" t="str">
        <f t="array" ref="AJ424">XLOOKUP($E424,Sheet11!$D:$D,Sheet11!$Y:$Y,"",0)</f>
        <v/>
      </c>
    </row>
    <row r="425">
      <c r="A425" s="41">
        <v>784.0</v>
      </c>
      <c r="B425" s="42" t="s">
        <v>839</v>
      </c>
      <c r="C425" s="42" t="s">
        <v>840</v>
      </c>
      <c r="D425" s="42"/>
      <c r="E425" s="42" t="str">
        <f t="shared" ref="E425:F425" si="426">PROPER(B425)</f>
        <v>Municipal Local Government Unit Of Mandaon</v>
      </c>
      <c r="F425" s="42" t="str">
        <f t="shared" si="426"/>
        <v>Poblacion, Mandaon, Masbate</v>
      </c>
      <c r="G425" s="42" t="str">
        <f t="shared" si="3"/>
        <v>Poblacion</v>
      </c>
      <c r="H425" s="42" t="str">
        <f t="shared" si="4"/>
        <v>Mandaon</v>
      </c>
      <c r="I425" s="42" t="str">
        <f t="shared" si="5"/>
        <v>Masbate</v>
      </c>
      <c r="J425" s="42" t="str">
        <f t="array" ref="J425">XLOOKUP($E425,'Recipients REF'!$B:$B,'Recipients REF'!D:D,"",0)</f>
        <v>HON. KRISTINE SALVE E. HAO-KHO</v>
      </c>
      <c r="K425" s="42" t="str">
        <f t="array" ref="K425">XLOOKUP($E425,'Recipients REF'!$B:$B,'Recipients REF'!E:E,"",0)</f>
        <v>0908-915-6365</v>
      </c>
      <c r="L425" s="43" t="str">
        <f t="array" ref="L425">XLOOKUP($A425,'Recipients REF'!$A:$A,'Recipients REF'!F:F,"",0)</f>
        <v>RCEF 25-03-05</v>
      </c>
      <c r="M425" s="43">
        <f t="array" ref="M425">XLOOKUP($A425,'Recipients REF'!$A:$A,'Recipients REF'!G:G,"",0)</f>
        <v>6</v>
      </c>
      <c r="N425" s="43" t="str">
        <f t="array" ref="N425">XLOOKUP($A425,'Recipients REF'!$A:$A,'Recipients REF'!H:H,"",0)</f>
        <v>26616 &amp; 27887</v>
      </c>
      <c r="O425" s="44" t="s">
        <v>25</v>
      </c>
      <c r="P425" s="45" t="s">
        <v>26</v>
      </c>
      <c r="Q425" s="46" t="str">
        <f t="array" ref="Q425">XLOOKUP($A425,'Recipients REF'!$A:$A,'Recipients REF'!I:I,"",0)</f>
        <v>KMC5825 AHSFPV0632</v>
      </c>
      <c r="R425" s="53" t="str">
        <f t="array" ref="R425">XLOOKUP($A425,'Recipients REF'!$A:$A,'Recipients REF'!J:J,"",0)</f>
        <v>STS100378</v>
      </c>
      <c r="S425" s="45" t="s">
        <v>27</v>
      </c>
      <c r="T425" s="45" t="s">
        <v>28</v>
      </c>
      <c r="U425" s="46" t="str">
        <f t="array" ref="U425">XLOOKUP($A425,'Recipients REF'!$A:$A,'Recipients REF'!K:K,"",0)</f>
        <v>WR-SERIES 1340PH</v>
      </c>
      <c r="V425" s="44" t="s">
        <v>29</v>
      </c>
      <c r="W425" s="45" t="s">
        <v>30</v>
      </c>
      <c r="X425" s="53" t="str">
        <f t="array" ref="X425">XLOOKUP($A425,'Recipients REF'!$A:$A,'Recipients REF'!L:L,"",0)</f>
        <v>2510767</v>
      </c>
      <c r="Y425" s="48" t="s">
        <v>29</v>
      </c>
      <c r="Z425" s="48" t="s">
        <v>31</v>
      </c>
      <c r="AA425" s="54">
        <f t="array" ref="AA425">XLOOKUP($A425,'Recipients REF'!$A:$A,'Recipients REF'!M:M,"",0)</f>
        <v>25121406</v>
      </c>
      <c r="AB425" s="49"/>
      <c r="AC425" s="42"/>
      <c r="AD425" s="42"/>
      <c r="AE425" s="50"/>
      <c r="AF425" s="42"/>
      <c r="AG425" s="42"/>
      <c r="AH425" s="42"/>
      <c r="AI425" s="42" t="str">
        <f t="array" ref="AI425">XLOOKUP($E425,Sheet11!$D:$D,Sheet11!$X:$X,"",0)</f>
        <v/>
      </c>
      <c r="AJ425" s="42" t="str">
        <f t="array" ref="AJ425">XLOOKUP($E425,Sheet11!$D:$D,Sheet11!$Y:$Y,"",0)</f>
        <v/>
      </c>
    </row>
    <row r="426">
      <c r="A426" s="41">
        <v>785.0</v>
      </c>
      <c r="B426" s="42" t="s">
        <v>841</v>
      </c>
      <c r="C426" s="42" t="s">
        <v>842</v>
      </c>
      <c r="D426" s="42"/>
      <c r="E426" s="42" t="str">
        <f t="shared" ref="E426:F426" si="427">PROPER(B426)</f>
        <v>Pawa Rice Farmers Association</v>
      </c>
      <c r="F426" s="42" t="str">
        <f t="shared" si="427"/>
        <v>Pawa, Masbate City, Masbate</v>
      </c>
      <c r="G426" s="42" t="str">
        <f t="shared" si="3"/>
        <v>Pawa</v>
      </c>
      <c r="H426" s="42" t="str">
        <f t="shared" si="4"/>
        <v>Masbate City</v>
      </c>
      <c r="I426" s="42" t="str">
        <f t="shared" si="5"/>
        <v>Masbate</v>
      </c>
      <c r="J426" s="42" t="str">
        <f t="array" ref="J426">XLOOKUP($E426,'Recipients REF'!$B:$B,'Recipients REF'!D:D,"",0)</f>
        <v>Edilo C. Torres</v>
      </c>
      <c r="K426" s="42" t="str">
        <f t="array" ref="K426">XLOOKUP($E426,'Recipients REF'!$B:$B,'Recipients REF'!E:E,"",0)</f>
        <v>0961 606 7409</v>
      </c>
      <c r="L426" s="43" t="str">
        <f t="array" ref="L426">XLOOKUP($A426,'Recipients REF'!$A:$A,'Recipients REF'!F:F,"",0)</f>
        <v>RCEF 25-03-05</v>
      </c>
      <c r="M426" s="43">
        <f t="array" ref="M426">XLOOKUP($A426,'Recipients REF'!$A:$A,'Recipients REF'!G:G,"",0)</f>
        <v>6</v>
      </c>
      <c r="N426" s="43" t="str">
        <f t="array" ref="N426">XLOOKUP($A426,'Recipients REF'!$A:$A,'Recipients REF'!H:H,"",0)</f>
        <v>26617 &amp; 27888</v>
      </c>
      <c r="O426" s="44" t="s">
        <v>25</v>
      </c>
      <c r="P426" s="45" t="s">
        <v>26</v>
      </c>
      <c r="Q426" s="46" t="str">
        <f t="array" ref="Q426">XLOOKUP($A426,'Recipients REF'!$A:$A,'Recipients REF'!I:I,"",0)</f>
        <v>KMC5825 AESFPV0650</v>
      </c>
      <c r="R426" s="53" t="str">
        <f t="array" ref="R426">XLOOKUP($A426,'Recipients REF'!$A:$A,'Recipients REF'!J:J,"",0)</f>
        <v>STS100407</v>
      </c>
      <c r="S426" s="45" t="s">
        <v>27</v>
      </c>
      <c r="T426" s="45" t="s">
        <v>28</v>
      </c>
      <c r="U426" s="46" t="str">
        <f t="array" ref="U426">XLOOKUP($A426,'Recipients REF'!$A:$A,'Recipients REF'!K:K,"",0)</f>
        <v>WR-SERIES 1341PH</v>
      </c>
      <c r="V426" s="44" t="s">
        <v>29</v>
      </c>
      <c r="W426" s="45" t="s">
        <v>30</v>
      </c>
      <c r="X426" s="53" t="str">
        <f t="array" ref="X426">XLOOKUP($A426,'Recipients REF'!$A:$A,'Recipients REF'!L:L,"",0)</f>
        <v>2510766</v>
      </c>
      <c r="Y426" s="48" t="s">
        <v>29</v>
      </c>
      <c r="Z426" s="48" t="s">
        <v>31</v>
      </c>
      <c r="AA426" s="54">
        <f t="array" ref="AA426">XLOOKUP($A426,'Recipients REF'!$A:$A,'Recipients REF'!M:M,"",0)</f>
        <v>25121407</v>
      </c>
      <c r="AB426" s="49"/>
      <c r="AC426" s="42"/>
      <c r="AD426" s="42"/>
      <c r="AE426" s="50"/>
      <c r="AF426" s="42"/>
      <c r="AG426" s="42"/>
      <c r="AH426" s="42"/>
      <c r="AI426" s="42" t="str">
        <f t="array" ref="AI426">XLOOKUP($E426,Sheet11!$D:$D,Sheet11!$X:$X,"",0)</f>
        <v/>
      </c>
      <c r="AJ426" s="42" t="str">
        <f t="array" ref="AJ426">XLOOKUP($E426,Sheet11!$D:$D,Sheet11!$Y:$Y,"",0)</f>
        <v/>
      </c>
    </row>
    <row r="427">
      <c r="A427" s="41">
        <v>786.0</v>
      </c>
      <c r="B427" s="42" t="s">
        <v>843</v>
      </c>
      <c r="C427" s="42" t="s">
        <v>844</v>
      </c>
      <c r="D427" s="42"/>
      <c r="E427" s="42" t="str">
        <f t="shared" ref="E427:F427" si="428">PROPER(B427)</f>
        <v>Municipal Local Government Unit Of Mobo</v>
      </c>
      <c r="F427" s="42" t="str">
        <f t="shared" si="428"/>
        <v>Poblacion Dist. I, Mobo, Masbate</v>
      </c>
      <c r="G427" s="42" t="str">
        <f t="shared" si="3"/>
        <v>Poblacion Dist. I</v>
      </c>
      <c r="H427" s="42" t="str">
        <f t="shared" si="4"/>
        <v>Mobo</v>
      </c>
      <c r="I427" s="42" t="str">
        <f t="shared" si="5"/>
        <v>Masbate</v>
      </c>
      <c r="J427" s="42" t="str">
        <f t="array" ref="J427">XLOOKUP($E427,'Recipients REF'!$B:$B,'Recipients REF'!D:D,"",0)</f>
        <v>Hon. Raymund Osmundo N. Salvacion</v>
      </c>
      <c r="K427" s="42" t="str">
        <f t="array" ref="K427">XLOOKUP($E427,'Recipients REF'!$B:$B,'Recipients REF'!E:E,"",0)</f>
        <v>0921 636 7788</v>
      </c>
      <c r="L427" s="43" t="str">
        <f t="array" ref="L427">XLOOKUP($A427,'Recipients REF'!$A:$A,'Recipients REF'!F:F,"",0)</f>
        <v>RCEF 25-03-05</v>
      </c>
      <c r="M427" s="43">
        <f t="array" ref="M427">XLOOKUP($A427,'Recipients REF'!$A:$A,'Recipients REF'!G:G,"",0)</f>
        <v>6</v>
      </c>
      <c r="N427" s="43" t="str">
        <f t="array" ref="N427">XLOOKUP($A427,'Recipients REF'!$A:$A,'Recipients REF'!H:H,"",0)</f>
        <v>26618 &amp; 27889</v>
      </c>
      <c r="O427" s="44" t="s">
        <v>25</v>
      </c>
      <c r="P427" s="45" t="s">
        <v>26</v>
      </c>
      <c r="Q427" s="46" t="str">
        <f t="array" ref="Q427">XLOOKUP($A427,'Recipients REF'!$A:$A,'Recipients REF'!I:I,"",0)</f>
        <v>KMC5825 AVSFPV0450</v>
      </c>
      <c r="R427" s="53" t="str">
        <f t="array" ref="R427">XLOOKUP($A427,'Recipients REF'!$A:$A,'Recipients REF'!J:J,"",0)</f>
        <v>STS100382</v>
      </c>
      <c r="S427" s="45" t="s">
        <v>27</v>
      </c>
      <c r="T427" s="45" t="s">
        <v>28</v>
      </c>
      <c r="U427" s="46" t="str">
        <f t="array" ref="U427">XLOOKUP($A427,'Recipients REF'!$A:$A,'Recipients REF'!K:K,"",0)</f>
        <v>WR-SERIES 1342PH</v>
      </c>
      <c r="V427" s="44" t="s">
        <v>29</v>
      </c>
      <c r="W427" s="45" t="s">
        <v>30</v>
      </c>
      <c r="X427" s="53" t="str">
        <f t="array" ref="X427">XLOOKUP($A427,'Recipients REF'!$A:$A,'Recipients REF'!L:L,"",0)</f>
        <v>25080325</v>
      </c>
      <c r="Y427" s="48" t="s">
        <v>29</v>
      </c>
      <c r="Z427" s="48" t="s">
        <v>31</v>
      </c>
      <c r="AA427" s="54">
        <f t="array" ref="AA427">XLOOKUP($A427,'Recipients REF'!$A:$A,'Recipients REF'!M:M,"",0)</f>
        <v>25121408</v>
      </c>
      <c r="AB427" s="49"/>
      <c r="AC427" s="42"/>
      <c r="AD427" s="42"/>
      <c r="AE427" s="55">
        <v>8.69066063804398E14</v>
      </c>
      <c r="AF427" s="42"/>
      <c r="AG427" s="42"/>
      <c r="AH427" s="42"/>
      <c r="AI427" s="42" t="str">
        <f t="array" ref="AI427">XLOOKUP($E427,Sheet11!$D:$D,Sheet11!$X:$X,"",0)</f>
        <v/>
      </c>
      <c r="AJ427" s="42" t="str">
        <f t="array" ref="AJ427">XLOOKUP($E427,Sheet11!$D:$D,Sheet11!$Y:$Y,"",0)</f>
        <v/>
      </c>
    </row>
    <row r="428">
      <c r="A428" s="41">
        <v>787.0</v>
      </c>
      <c r="B428" s="42" t="s">
        <v>845</v>
      </c>
      <c r="C428" s="42" t="s">
        <v>846</v>
      </c>
      <c r="D428" s="42"/>
      <c r="E428" s="42" t="str">
        <f t="shared" ref="E428:F428" si="429">PROPER(B428)</f>
        <v>Associated Cawayan Farmers For Rice Commercialization Enhancement (Acaf-Rice)</v>
      </c>
      <c r="F428" s="42" t="str">
        <f t="shared" si="429"/>
        <v>Malbug, Cawayan, Masbate</v>
      </c>
      <c r="G428" s="42" t="str">
        <f t="shared" si="3"/>
        <v>Malbug</v>
      </c>
      <c r="H428" s="42" t="str">
        <f t="shared" si="4"/>
        <v>Cawayan</v>
      </c>
      <c r="I428" s="42" t="str">
        <f t="shared" si="5"/>
        <v>Masbate</v>
      </c>
      <c r="J428" s="42" t="str">
        <f t="array" ref="J428">XLOOKUP($E428,'Recipients REF'!$B:$B,'Recipients REF'!D:D,"",0)</f>
        <v>CHITO B. MERCADER JR.</v>
      </c>
      <c r="K428" s="42" t="str">
        <f t="array" ref="K428">XLOOKUP($E428,'Recipients REF'!$B:$B,'Recipients REF'!E:E,"",0)</f>
        <v>0938 452 3132</v>
      </c>
      <c r="L428" s="43" t="str">
        <f t="array" ref="L428">XLOOKUP($A428,'Recipients REF'!$A:$A,'Recipients REF'!F:F,"",0)</f>
        <v>RCEF 25-03-05</v>
      </c>
      <c r="M428" s="43">
        <f t="array" ref="M428">XLOOKUP($A428,'Recipients REF'!$A:$A,'Recipients REF'!G:G,"",0)</f>
        <v>6</v>
      </c>
      <c r="N428" s="43" t="str">
        <f t="array" ref="N428">XLOOKUP($A428,'Recipients REF'!$A:$A,'Recipients REF'!H:H,"",0)</f>
        <v>26619 &amp; 27890</v>
      </c>
      <c r="O428" s="44" t="s">
        <v>25</v>
      </c>
      <c r="P428" s="45" t="s">
        <v>26</v>
      </c>
      <c r="Q428" s="46" t="str">
        <f t="array" ref="Q428">XLOOKUP($A428,'Recipients REF'!$A:$A,'Recipients REF'!I:I,"",0)</f>
        <v>KMC5825 APSFPV0586</v>
      </c>
      <c r="R428" s="53" t="str">
        <f t="array" ref="R428">XLOOKUP($A428,'Recipients REF'!$A:$A,'Recipients REF'!J:J,"",0)</f>
        <v>STS100644</v>
      </c>
      <c r="S428" s="45" t="s">
        <v>27</v>
      </c>
      <c r="T428" s="45" t="s">
        <v>28</v>
      </c>
      <c r="U428" s="46" t="str">
        <f t="array" ref="U428">XLOOKUP($A428,'Recipients REF'!$A:$A,'Recipients REF'!K:K,"",0)</f>
        <v>WR-SERIES 1343PH</v>
      </c>
      <c r="V428" s="44" t="s">
        <v>29</v>
      </c>
      <c r="W428" s="45" t="s">
        <v>30</v>
      </c>
      <c r="X428" s="53" t="str">
        <f t="array" ref="X428">XLOOKUP($A428,'Recipients REF'!$A:$A,'Recipients REF'!L:L,"",0)</f>
        <v>2510791</v>
      </c>
      <c r="Y428" s="48" t="s">
        <v>29</v>
      </c>
      <c r="Z428" s="48" t="s">
        <v>31</v>
      </c>
      <c r="AA428" s="54">
        <f t="array" ref="AA428">XLOOKUP($A428,'Recipients REF'!$A:$A,'Recipients REF'!M:M,"",0)</f>
        <v>25121409</v>
      </c>
      <c r="AB428" s="49"/>
      <c r="AC428" s="42"/>
      <c r="AD428" s="42"/>
      <c r="AE428" s="56">
        <v>8.69066063800362E14</v>
      </c>
      <c r="AF428" s="42"/>
      <c r="AG428" s="42"/>
      <c r="AH428" s="42"/>
      <c r="AI428" s="42" t="str">
        <f t="array" ref="AI428">XLOOKUP($E428,Sheet11!$D:$D,Sheet11!$X:$X,"",0)</f>
        <v/>
      </c>
      <c r="AJ428" s="42" t="str">
        <f t="array" ref="AJ428">XLOOKUP($E428,Sheet11!$D:$D,Sheet11!$Y:$Y,"",0)</f>
        <v/>
      </c>
    </row>
    <row r="429">
      <c r="A429" s="41">
        <v>788.0</v>
      </c>
      <c r="B429" s="42" t="s">
        <v>847</v>
      </c>
      <c r="C429" s="42" t="s">
        <v>848</v>
      </c>
      <c r="D429" s="42"/>
      <c r="E429" s="42" t="str">
        <f t="shared" ref="E429:F429" si="430">PROPER(B429)</f>
        <v>Cabayugan Farmers Association</v>
      </c>
      <c r="F429" s="42" t="str">
        <f t="shared" si="430"/>
        <v>Cabayugan, Cawayan, Masbate</v>
      </c>
      <c r="G429" s="42" t="str">
        <f t="shared" si="3"/>
        <v>Cabayugan</v>
      </c>
      <c r="H429" s="42" t="str">
        <f t="shared" si="4"/>
        <v>Cawayan</v>
      </c>
      <c r="I429" s="42" t="str">
        <f t="shared" si="5"/>
        <v>Masbate</v>
      </c>
      <c r="J429" s="42" t="str">
        <f t="array" ref="J429">XLOOKUP($E429,'Recipients REF'!$B:$B,'Recipients REF'!D:D,"",0)</f>
        <v>Louie Joy A. Aungon</v>
      </c>
      <c r="K429" s="42" t="str">
        <f t="array" ref="K429">XLOOKUP($E429,'Recipients REF'!$B:$B,'Recipients REF'!E:E,"",0)</f>
        <v>0905 096 0839</v>
      </c>
      <c r="L429" s="43" t="str">
        <f t="array" ref="L429">XLOOKUP($A429,'Recipients REF'!$A:$A,'Recipients REF'!F:F,"",0)</f>
        <v>RCEF 25-03-05</v>
      </c>
      <c r="M429" s="43">
        <f t="array" ref="M429">XLOOKUP($A429,'Recipients REF'!$A:$A,'Recipients REF'!G:G,"",0)</f>
        <v>6</v>
      </c>
      <c r="N429" s="43" t="str">
        <f t="array" ref="N429">XLOOKUP($A429,'Recipients REF'!$A:$A,'Recipients REF'!H:H,"",0)</f>
        <v>26620 &amp; 27891</v>
      </c>
      <c r="O429" s="44" t="s">
        <v>25</v>
      </c>
      <c r="P429" s="45" t="s">
        <v>26</v>
      </c>
      <c r="Q429" s="46" t="str">
        <f t="array" ref="Q429">XLOOKUP($A429,'Recipients REF'!$A:$A,'Recipients REF'!I:I,"",0)</f>
        <v>KMC5825 AVSFPV0447</v>
      </c>
      <c r="R429" s="53" t="str">
        <f t="array" ref="R429">XLOOKUP($A429,'Recipients REF'!$A:$A,'Recipients REF'!J:J,"",0)</f>
        <v>STS100387</v>
      </c>
      <c r="S429" s="45" t="s">
        <v>27</v>
      </c>
      <c r="T429" s="45" t="s">
        <v>28</v>
      </c>
      <c r="U429" s="46" t="str">
        <f t="array" ref="U429">XLOOKUP($A429,'Recipients REF'!$A:$A,'Recipients REF'!K:K,"",0)</f>
        <v>WR-SERIES 1344PH</v>
      </c>
      <c r="V429" s="44" t="s">
        <v>29</v>
      </c>
      <c r="W429" s="45" t="s">
        <v>30</v>
      </c>
      <c r="X429" s="53" t="str">
        <f t="array" ref="X429">XLOOKUP($A429,'Recipients REF'!$A:$A,'Recipients REF'!L:L,"",0)</f>
        <v>2510785</v>
      </c>
      <c r="Y429" s="48" t="s">
        <v>29</v>
      </c>
      <c r="Z429" s="48" t="s">
        <v>31</v>
      </c>
      <c r="AA429" s="54">
        <f t="array" ref="AA429">XLOOKUP($A429,'Recipients REF'!$A:$A,'Recipients REF'!M:M,"",0)</f>
        <v>25121410</v>
      </c>
      <c r="AB429" s="49"/>
      <c r="AC429" s="42"/>
      <c r="AD429" s="42"/>
      <c r="AE429" s="50"/>
      <c r="AF429" s="42"/>
      <c r="AG429" s="42"/>
      <c r="AH429" s="42"/>
      <c r="AI429" s="42">
        <f t="array" ref="AI429">XLOOKUP($E429,Sheet11!$D:$D,Sheet11!$X:$X,"",0)</f>
        <v>869066060240380</v>
      </c>
      <c r="AJ429" s="42">
        <f t="array" ref="AJ429">XLOOKUP($E429,Sheet11!$D:$D,Sheet11!$Y:$Y,"",0)</f>
        <v>9082234572</v>
      </c>
    </row>
    <row r="430">
      <c r="A430" s="41">
        <v>789.0</v>
      </c>
      <c r="B430" s="42" t="s">
        <v>849</v>
      </c>
      <c r="C430" s="42" t="s">
        <v>850</v>
      </c>
      <c r="D430" s="42"/>
      <c r="E430" s="42" t="str">
        <f t="shared" ref="E430:F430" si="431">PROPER(B430)</f>
        <v>Calumpang Farmer'S Organization (Cafo)</v>
      </c>
      <c r="F430" s="42" t="str">
        <f t="shared" si="431"/>
        <v>Calumpang, Cawayan, Masbate</v>
      </c>
      <c r="G430" s="42" t="str">
        <f t="shared" si="3"/>
        <v>Calumpang</v>
      </c>
      <c r="H430" s="42" t="str">
        <f t="shared" si="4"/>
        <v>Cawayan</v>
      </c>
      <c r="I430" s="42" t="str">
        <f t="shared" si="5"/>
        <v>Masbate</v>
      </c>
      <c r="J430" s="42" t="str">
        <f t="array" ref="J430">XLOOKUP($E430,'Recipients REF'!$B:$B,'Recipients REF'!D:D,"",0)</f>
        <v>Ferdinand C. Ylaran</v>
      </c>
      <c r="K430" s="42" t="str">
        <f t="array" ref="K430">XLOOKUP($E430,'Recipients REF'!$B:$B,'Recipients REF'!E:E,"",0)</f>
        <v>0936 429 6162</v>
      </c>
      <c r="L430" s="43" t="str">
        <f t="array" ref="L430">XLOOKUP($A430,'Recipients REF'!$A:$A,'Recipients REF'!F:F,"",0)</f>
        <v>RCEF 25-03-05</v>
      </c>
      <c r="M430" s="43">
        <f t="array" ref="M430">XLOOKUP($A430,'Recipients REF'!$A:$A,'Recipients REF'!G:G,"",0)</f>
        <v>6</v>
      </c>
      <c r="N430" s="43" t="str">
        <f t="array" ref="N430">XLOOKUP($A430,'Recipients REF'!$A:$A,'Recipients REF'!H:H,"",0)</f>
        <v>26621 &amp; 27892</v>
      </c>
      <c r="O430" s="44" t="s">
        <v>25</v>
      </c>
      <c r="P430" s="45" t="s">
        <v>26</v>
      </c>
      <c r="Q430" s="46" t="str">
        <f t="array" ref="Q430">XLOOKUP($A430,'Recipients REF'!$A:$A,'Recipients REF'!I:I,"",0)</f>
        <v>KMC5825 ATSFPV0585</v>
      </c>
      <c r="R430" s="53" t="str">
        <f t="array" ref="R430">XLOOKUP($A430,'Recipients REF'!$A:$A,'Recipients REF'!J:J,"",0)</f>
        <v>STS100643</v>
      </c>
      <c r="S430" s="45" t="s">
        <v>27</v>
      </c>
      <c r="T430" s="45" t="s">
        <v>28</v>
      </c>
      <c r="U430" s="46" t="str">
        <f t="array" ref="U430">XLOOKUP($A430,'Recipients REF'!$A:$A,'Recipients REF'!K:K,"",0)</f>
        <v>WR-SERIES 1345PH</v>
      </c>
      <c r="V430" s="44" t="s">
        <v>29</v>
      </c>
      <c r="W430" s="45" t="s">
        <v>30</v>
      </c>
      <c r="X430" s="53" t="str">
        <f t="array" ref="X430">XLOOKUP($A430,'Recipients REF'!$A:$A,'Recipients REF'!L:L,"",0)</f>
        <v>25080338</v>
      </c>
      <c r="Y430" s="48" t="s">
        <v>29</v>
      </c>
      <c r="Z430" s="48" t="s">
        <v>31</v>
      </c>
      <c r="AA430" s="54">
        <f t="array" ref="AA430">XLOOKUP($A430,'Recipients REF'!$A:$A,'Recipients REF'!M:M,"",0)</f>
        <v>25121411</v>
      </c>
      <c r="AB430" s="49"/>
      <c r="AC430" s="42"/>
      <c r="AD430" s="42"/>
      <c r="AE430" s="50"/>
      <c r="AF430" s="42"/>
      <c r="AG430" s="42"/>
      <c r="AH430" s="42"/>
      <c r="AI430" s="42" t="str">
        <f t="array" ref="AI430">XLOOKUP($E430,Sheet11!$D:$D,Sheet11!$X:$X,"",0)</f>
        <v/>
      </c>
      <c r="AJ430" s="42" t="str">
        <f t="array" ref="AJ430">XLOOKUP($E430,Sheet11!$D:$D,Sheet11!$Y:$Y,"",0)</f>
        <v/>
      </c>
    </row>
    <row r="431">
      <c r="A431" s="41">
        <v>790.0</v>
      </c>
      <c r="B431" s="42" t="s">
        <v>851</v>
      </c>
      <c r="C431" s="42" t="s">
        <v>852</v>
      </c>
      <c r="D431" s="42"/>
      <c r="E431" s="42" t="str">
        <f t="shared" ref="E431:F431" si="432">PROPER(B431)</f>
        <v>Libertad Cawayan Agrarian Reform Cooperative</v>
      </c>
      <c r="F431" s="42" t="str">
        <f t="shared" si="432"/>
        <v>Libertad, Cawayan, Masbate</v>
      </c>
      <c r="G431" s="42" t="str">
        <f t="shared" si="3"/>
        <v>Libertad</v>
      </c>
      <c r="H431" s="42" t="str">
        <f t="shared" si="4"/>
        <v>Cawayan</v>
      </c>
      <c r="I431" s="42" t="str">
        <f t="shared" si="5"/>
        <v>Masbate</v>
      </c>
      <c r="J431" s="42" t="str">
        <f t="array" ref="J431">XLOOKUP($E431,'Recipients REF'!$B:$B,'Recipients REF'!D:D,"",0)</f>
        <v>CHARLON Y. LIPAR</v>
      </c>
      <c r="K431" s="42" t="str">
        <f t="array" ref="K431">XLOOKUP($E431,'Recipients REF'!$B:$B,'Recipients REF'!E:E,"",0)</f>
        <v>0916-679-6787</v>
      </c>
      <c r="L431" s="43" t="str">
        <f t="array" ref="L431">XLOOKUP($A431,'Recipients REF'!$A:$A,'Recipients REF'!F:F,"",0)</f>
        <v>RCEF 25-03-05</v>
      </c>
      <c r="M431" s="43">
        <f t="array" ref="M431">XLOOKUP($A431,'Recipients REF'!$A:$A,'Recipients REF'!G:G,"",0)</f>
        <v>6</v>
      </c>
      <c r="N431" s="43" t="str">
        <f t="array" ref="N431">XLOOKUP($A431,'Recipients REF'!$A:$A,'Recipients REF'!H:H,"",0)</f>
        <v>26622 &amp; 27893</v>
      </c>
      <c r="O431" s="44" t="s">
        <v>25</v>
      </c>
      <c r="P431" s="45" t="s">
        <v>26</v>
      </c>
      <c r="Q431" s="46" t="str">
        <f t="array" ref="Q431">XLOOKUP($A431,'Recipients REF'!$A:$A,'Recipients REF'!I:I,"",0)</f>
        <v>KMC5825 AVSFPV0612</v>
      </c>
      <c r="R431" s="53" t="str">
        <f t="array" ref="R431">XLOOKUP($A431,'Recipients REF'!$A:$A,'Recipients REF'!J:J,"",0)</f>
        <v>STS100497</v>
      </c>
      <c r="S431" s="45" t="s">
        <v>27</v>
      </c>
      <c r="T431" s="45" t="s">
        <v>28</v>
      </c>
      <c r="U431" s="46" t="str">
        <f t="array" ref="U431">XLOOKUP($A431,'Recipients REF'!$A:$A,'Recipients REF'!K:K,"",0)</f>
        <v>WR-SERIES 1346PH</v>
      </c>
      <c r="V431" s="44" t="s">
        <v>29</v>
      </c>
      <c r="W431" s="45" t="s">
        <v>30</v>
      </c>
      <c r="X431" s="53" t="str">
        <f t="array" ref="X431">XLOOKUP($A431,'Recipients REF'!$A:$A,'Recipients REF'!L:L,"",0)</f>
        <v>2510804</v>
      </c>
      <c r="Y431" s="48" t="s">
        <v>29</v>
      </c>
      <c r="Z431" s="48" t="s">
        <v>31</v>
      </c>
      <c r="AA431" s="54">
        <f t="array" ref="AA431">XLOOKUP($A431,'Recipients REF'!$A:$A,'Recipients REF'!M:M,"",0)</f>
        <v>25121412</v>
      </c>
      <c r="AB431" s="49"/>
      <c r="AC431" s="42"/>
      <c r="AD431" s="42"/>
      <c r="AE431" s="56">
        <v>8.69066063800271E14</v>
      </c>
      <c r="AF431" s="42"/>
      <c r="AG431" s="42"/>
      <c r="AH431" s="42"/>
      <c r="AI431" s="42" t="str">
        <f t="array" ref="AI431">XLOOKUP($E431,Sheet11!$D:$D,Sheet11!$X:$X,"",0)</f>
        <v/>
      </c>
      <c r="AJ431" s="42" t="str">
        <f t="array" ref="AJ431">XLOOKUP($E431,Sheet11!$D:$D,Sheet11!$Y:$Y,"",0)</f>
        <v/>
      </c>
    </row>
    <row r="432">
      <c r="A432" s="41">
        <v>791.0</v>
      </c>
      <c r="B432" s="42" t="s">
        <v>853</v>
      </c>
      <c r="C432" s="42" t="s">
        <v>854</v>
      </c>
      <c r="D432" s="42"/>
      <c r="E432" s="42" t="str">
        <f t="shared" ref="E432:F432" si="433">PROPER(B432)</f>
        <v>Panan-Awan Farmers Association</v>
      </c>
      <c r="F432" s="42" t="str">
        <f t="shared" si="433"/>
        <v>Pananawan, Cawayan, Masbate</v>
      </c>
      <c r="G432" s="42" t="str">
        <f t="shared" si="3"/>
        <v>Pananawan</v>
      </c>
      <c r="H432" s="42" t="str">
        <f t="shared" si="4"/>
        <v>Cawayan</v>
      </c>
      <c r="I432" s="42" t="str">
        <f t="shared" si="5"/>
        <v>Masbate</v>
      </c>
      <c r="J432" s="42" t="str">
        <f t="array" ref="J432">XLOOKUP($E432,'Recipients REF'!$B:$B,'Recipients REF'!D:D,"",0)</f>
        <v>HERMES M. LOCAYLOCAY</v>
      </c>
      <c r="K432" s="42" t="str">
        <f t="array" ref="K432">XLOOKUP($E432,'Recipients REF'!$B:$B,'Recipients REF'!E:E,"",0)</f>
        <v>0956 -58-3650</v>
      </c>
      <c r="L432" s="43" t="str">
        <f t="array" ref="L432">XLOOKUP($A432,'Recipients REF'!$A:$A,'Recipients REF'!F:F,"",0)</f>
        <v>RCEF 25-03-05</v>
      </c>
      <c r="M432" s="43">
        <f t="array" ref="M432">XLOOKUP($A432,'Recipients REF'!$A:$A,'Recipients REF'!G:G,"",0)</f>
        <v>6</v>
      </c>
      <c r="N432" s="43" t="str">
        <f t="array" ref="N432">XLOOKUP($A432,'Recipients REF'!$A:$A,'Recipients REF'!H:H,"",0)</f>
        <v>26623 &amp; 27894</v>
      </c>
      <c r="O432" s="44" t="s">
        <v>25</v>
      </c>
      <c r="P432" s="45" t="s">
        <v>26</v>
      </c>
      <c r="Q432" s="46" t="str">
        <f t="array" ref="Q432">XLOOKUP($A432,'Recipients REF'!$A:$A,'Recipients REF'!I:I,"",0)</f>
        <v>KMC5825 ACSFPV0388</v>
      </c>
      <c r="R432" s="53" t="str">
        <f t="array" ref="R432">XLOOKUP($A432,'Recipients REF'!$A:$A,'Recipients REF'!J:J,"",0)</f>
        <v>STS100458</v>
      </c>
      <c r="S432" s="45" t="s">
        <v>27</v>
      </c>
      <c r="T432" s="45" t="s">
        <v>28</v>
      </c>
      <c r="U432" s="46" t="str">
        <f t="array" ref="U432">XLOOKUP($A432,'Recipients REF'!$A:$A,'Recipients REF'!K:K,"",0)</f>
        <v>WR-SERIES 1347PH</v>
      </c>
      <c r="V432" s="44" t="s">
        <v>29</v>
      </c>
      <c r="W432" s="45" t="s">
        <v>30</v>
      </c>
      <c r="X432" s="53" t="str">
        <f t="array" ref="X432">XLOOKUP($A432,'Recipients REF'!$A:$A,'Recipients REF'!L:L,"",0)</f>
        <v>2510840</v>
      </c>
      <c r="Y432" s="48" t="s">
        <v>29</v>
      </c>
      <c r="Z432" s="48" t="s">
        <v>31</v>
      </c>
      <c r="AA432" s="54">
        <f t="array" ref="AA432">XLOOKUP($A432,'Recipients REF'!$A:$A,'Recipients REF'!M:M,"",0)</f>
        <v>25121413</v>
      </c>
      <c r="AB432" s="49"/>
      <c r="AC432" s="42"/>
      <c r="AD432" s="42"/>
      <c r="AE432" s="55">
        <v>8.6906606380443E14</v>
      </c>
      <c r="AF432" s="42"/>
      <c r="AG432" s="42"/>
      <c r="AH432" s="42"/>
      <c r="AI432" s="42" t="str">
        <f t="array" ref="AI432">XLOOKUP($E432,Sheet11!$D:$D,Sheet11!$X:$X,"",0)</f>
        <v/>
      </c>
      <c r="AJ432" s="42" t="str">
        <f t="array" ref="AJ432">XLOOKUP($E432,Sheet11!$D:$D,Sheet11!$Y:$Y,"",0)</f>
        <v/>
      </c>
    </row>
    <row r="433">
      <c r="A433" s="41">
        <v>792.0</v>
      </c>
      <c r="B433" s="42" t="s">
        <v>855</v>
      </c>
      <c r="C433" s="42" t="s">
        <v>856</v>
      </c>
      <c r="D433" s="42"/>
      <c r="E433" s="42" t="str">
        <f t="shared" ref="E433:F433" si="434">PROPER(B433)</f>
        <v>Pin-As Farmers Association</v>
      </c>
      <c r="F433" s="42" t="str">
        <f t="shared" si="434"/>
        <v>Pin-As, Cawayan, Masbate</v>
      </c>
      <c r="G433" s="42" t="str">
        <f t="shared" si="3"/>
        <v>Pin-As</v>
      </c>
      <c r="H433" s="42" t="str">
        <f t="shared" si="4"/>
        <v>Cawayan</v>
      </c>
      <c r="I433" s="42" t="str">
        <f t="shared" si="5"/>
        <v>Masbate</v>
      </c>
      <c r="J433" s="42" t="str">
        <f t="array" ref="J433">XLOOKUP($E433,'Recipients REF'!$B:$B,'Recipients REF'!D:D,"",0)</f>
        <v>JOEL B. VILLOSILLO</v>
      </c>
      <c r="K433" s="42" t="str">
        <f t="array" ref="K433">XLOOKUP($E433,'Recipients REF'!$B:$B,'Recipients REF'!E:E,"",0)</f>
        <v>0955-604-6054</v>
      </c>
      <c r="L433" s="43" t="str">
        <f t="array" ref="L433">XLOOKUP($A433,'Recipients REF'!$A:$A,'Recipients REF'!F:F,"",0)</f>
        <v>RCEF 25-03-05</v>
      </c>
      <c r="M433" s="43">
        <f t="array" ref="M433">XLOOKUP($A433,'Recipients REF'!$A:$A,'Recipients REF'!G:G,"",0)</f>
        <v>6</v>
      </c>
      <c r="N433" s="43" t="str">
        <f t="array" ref="N433">XLOOKUP($A433,'Recipients REF'!$A:$A,'Recipients REF'!H:H,"",0)</f>
        <v>26624 &amp; 27895</v>
      </c>
      <c r="O433" s="44" t="s">
        <v>25</v>
      </c>
      <c r="P433" s="45" t="s">
        <v>26</v>
      </c>
      <c r="Q433" s="46" t="str">
        <f t="array" ref="Q433">XLOOKUP($A433,'Recipients REF'!$A:$A,'Recipients REF'!I:I,"",0)</f>
        <v>KMC5825 AJSFPV0414</v>
      </c>
      <c r="R433" s="53" t="str">
        <f t="array" ref="R433">XLOOKUP($A433,'Recipients REF'!$A:$A,'Recipients REF'!J:J,"",0)</f>
        <v>STS100480</v>
      </c>
      <c r="S433" s="45" t="s">
        <v>27</v>
      </c>
      <c r="T433" s="45" t="s">
        <v>28</v>
      </c>
      <c r="U433" s="46" t="str">
        <f t="array" ref="U433">XLOOKUP($A433,'Recipients REF'!$A:$A,'Recipients REF'!K:K,"",0)</f>
        <v>WR-SERIES 1348PH</v>
      </c>
      <c r="V433" s="44" t="s">
        <v>29</v>
      </c>
      <c r="W433" s="45" t="s">
        <v>30</v>
      </c>
      <c r="X433" s="53" t="str">
        <f t="array" ref="X433">XLOOKUP($A433,'Recipients REF'!$A:$A,'Recipients REF'!L:L,"",0)</f>
        <v>2510766</v>
      </c>
      <c r="Y433" s="48" t="s">
        <v>29</v>
      </c>
      <c r="Z433" s="48" t="s">
        <v>31</v>
      </c>
      <c r="AA433" s="54">
        <f t="array" ref="AA433">XLOOKUP($A433,'Recipients REF'!$A:$A,'Recipients REF'!M:M,"",0)</f>
        <v>25121414</v>
      </c>
      <c r="AB433" s="49"/>
      <c r="AC433" s="42"/>
      <c r="AD433" s="42"/>
      <c r="AE433" s="55">
        <v>8.69066063797014E14</v>
      </c>
      <c r="AF433" s="42"/>
      <c r="AG433" s="42"/>
      <c r="AH433" s="42"/>
      <c r="AI433" s="42" t="str">
        <f t="array" ref="AI433">XLOOKUP($E433,Sheet11!$D:$D,Sheet11!$X:$X,"",0)</f>
        <v/>
      </c>
      <c r="AJ433" s="42" t="str">
        <f t="array" ref="AJ433">XLOOKUP($E433,Sheet11!$D:$D,Sheet11!$Y:$Y,"",0)</f>
        <v/>
      </c>
    </row>
    <row r="434">
      <c r="A434" s="41">
        <v>793.0</v>
      </c>
      <c r="B434" s="42" t="s">
        <v>857</v>
      </c>
      <c r="C434" s="42" t="s">
        <v>858</v>
      </c>
      <c r="D434" s="42"/>
      <c r="E434" s="42" t="str">
        <f t="shared" ref="E434:F434" si="435">PROPER(B434)</f>
        <v>Pulot Active Livelihood Organization (Paflo)</v>
      </c>
      <c r="F434" s="42" t="str">
        <f t="shared" si="435"/>
        <v>Pulot, Cawayan, Masbate</v>
      </c>
      <c r="G434" s="42" t="str">
        <f t="shared" si="3"/>
        <v>Pulot</v>
      </c>
      <c r="H434" s="42" t="str">
        <f t="shared" si="4"/>
        <v>Cawayan</v>
      </c>
      <c r="I434" s="42" t="str">
        <f t="shared" si="5"/>
        <v>Masbate</v>
      </c>
      <c r="J434" s="42" t="str">
        <f t="array" ref="J434">XLOOKUP($E434,'Recipients REF'!$B:$B,'Recipients REF'!D:D,"",0)</f>
        <v>JOEY M. VERDIDA</v>
      </c>
      <c r="K434" s="42" t="str">
        <f t="array" ref="K434">XLOOKUP($E434,'Recipients REF'!$B:$B,'Recipients REF'!E:E,"",0)</f>
        <v>0909-170-8951</v>
      </c>
      <c r="L434" s="43" t="str">
        <f t="array" ref="L434">XLOOKUP($A434,'Recipients REF'!$A:$A,'Recipients REF'!F:F,"",0)</f>
        <v>RCEF 25-03-05</v>
      </c>
      <c r="M434" s="43">
        <f t="array" ref="M434">XLOOKUP($A434,'Recipients REF'!$A:$A,'Recipients REF'!G:G,"",0)</f>
        <v>6</v>
      </c>
      <c r="N434" s="43" t="str">
        <f t="array" ref="N434">XLOOKUP($A434,'Recipients REF'!$A:$A,'Recipients REF'!H:H,"",0)</f>
        <v>26625 &amp; 27896</v>
      </c>
      <c r="O434" s="44" t="s">
        <v>25</v>
      </c>
      <c r="P434" s="45" t="s">
        <v>26</v>
      </c>
      <c r="Q434" s="46" t="str">
        <f t="array" ref="Q434">XLOOKUP($A434,'Recipients REF'!$A:$A,'Recipients REF'!I:I,"",0)</f>
        <v>KMC5825 AASFPV0613</v>
      </c>
      <c r="R434" s="53" t="str">
        <f t="array" ref="R434">XLOOKUP($A434,'Recipients REF'!$A:$A,'Recipients REF'!J:J,"",0)</f>
        <v>STS100529</v>
      </c>
      <c r="S434" s="45" t="s">
        <v>27</v>
      </c>
      <c r="T434" s="45" t="s">
        <v>28</v>
      </c>
      <c r="U434" s="46" t="str">
        <f t="array" ref="U434">XLOOKUP($A434,'Recipients REF'!$A:$A,'Recipients REF'!K:K,"",0)</f>
        <v>WR-SERIES 1349PH</v>
      </c>
      <c r="V434" s="44" t="s">
        <v>29</v>
      </c>
      <c r="W434" s="45" t="s">
        <v>30</v>
      </c>
      <c r="X434" s="53" t="str">
        <f t="array" ref="X434">XLOOKUP($A434,'Recipients REF'!$A:$A,'Recipients REF'!L:L,"",0)</f>
        <v>2510838</v>
      </c>
      <c r="Y434" s="48" t="s">
        <v>29</v>
      </c>
      <c r="Z434" s="48" t="s">
        <v>31</v>
      </c>
      <c r="AA434" s="54">
        <f t="array" ref="AA434">XLOOKUP($A434,'Recipients REF'!$A:$A,'Recipients REF'!M:M,"",0)</f>
        <v>25121415</v>
      </c>
      <c r="AB434" s="49"/>
      <c r="AC434" s="42"/>
      <c r="AD434" s="42"/>
      <c r="AE434" s="50"/>
      <c r="AF434" s="42"/>
      <c r="AG434" s="42"/>
      <c r="AH434" s="42"/>
      <c r="AI434" s="42" t="str">
        <f t="array" ref="AI434">XLOOKUP($E434,Sheet11!$D:$D,Sheet11!$X:$X,"",0)</f>
        <v/>
      </c>
      <c r="AJ434" s="42" t="str">
        <f t="array" ref="AJ434">XLOOKUP($E434,Sheet11!$D:$D,Sheet11!$Y:$Y,"",0)</f>
        <v/>
      </c>
    </row>
    <row r="435">
      <c r="A435" s="41">
        <v>794.0</v>
      </c>
      <c r="B435" s="42" t="s">
        <v>859</v>
      </c>
      <c r="C435" s="42" t="s">
        <v>860</v>
      </c>
      <c r="D435" s="42"/>
      <c r="E435" s="42" t="str">
        <f t="shared" ref="E435:F435" si="436">PROPER(B435)</f>
        <v>R.M Magbalon Farmers Association</v>
      </c>
      <c r="F435" s="42" t="str">
        <f t="shared" si="436"/>
        <v>R.M. Magbalon (Bebinan), Cawayan, Masbate</v>
      </c>
      <c r="G435" s="42" t="str">
        <f t="shared" si="3"/>
        <v>R.M. Magbalon (Bebinan)</v>
      </c>
      <c r="H435" s="42" t="str">
        <f t="shared" si="4"/>
        <v>Cawayan</v>
      </c>
      <c r="I435" s="42" t="str">
        <f t="shared" si="5"/>
        <v>Masbate</v>
      </c>
      <c r="J435" s="42" t="str">
        <f t="array" ref="J435">XLOOKUP($E435,'Recipients REF'!$B:$B,'Recipients REF'!D:D,"",0)</f>
        <v>Jerson O. Maribojoc</v>
      </c>
      <c r="K435" s="42" t="str">
        <f t="array" ref="K435">XLOOKUP($E435,'Recipients REF'!$B:$B,'Recipients REF'!E:E,"",0)</f>
        <v>0960 554 0643</v>
      </c>
      <c r="L435" s="43" t="str">
        <f t="array" ref="L435">XLOOKUP($A435,'Recipients REF'!$A:$A,'Recipients REF'!F:F,"",0)</f>
        <v>RCEF 25-03-05</v>
      </c>
      <c r="M435" s="43">
        <f t="array" ref="M435">XLOOKUP($A435,'Recipients REF'!$A:$A,'Recipients REF'!G:G,"",0)</f>
        <v>6</v>
      </c>
      <c r="N435" s="43" t="str">
        <f t="array" ref="N435">XLOOKUP($A435,'Recipients REF'!$A:$A,'Recipients REF'!H:H,"",0)</f>
        <v>26626 &amp; 27897</v>
      </c>
      <c r="O435" s="44" t="s">
        <v>25</v>
      </c>
      <c r="P435" s="45" t="s">
        <v>26</v>
      </c>
      <c r="Q435" s="46" t="str">
        <f t="array" ref="Q435">XLOOKUP($A435,'Recipients REF'!$A:$A,'Recipients REF'!I:I,"",0)</f>
        <v>KMC5825 APSFPV0409</v>
      </c>
      <c r="R435" s="53" t="str">
        <f t="array" ref="R435">XLOOKUP($A435,'Recipients REF'!$A:$A,'Recipients REF'!J:J,"",0)</f>
        <v>STS100467</v>
      </c>
      <c r="S435" s="45" t="s">
        <v>27</v>
      </c>
      <c r="T435" s="45" t="s">
        <v>28</v>
      </c>
      <c r="U435" s="46" t="str">
        <f t="array" ref="U435">XLOOKUP($A435,'Recipients REF'!$A:$A,'Recipients REF'!K:K,"",0)</f>
        <v>WR-SERIES 1350PH</v>
      </c>
      <c r="V435" s="44" t="s">
        <v>29</v>
      </c>
      <c r="W435" s="45" t="s">
        <v>30</v>
      </c>
      <c r="X435" s="53" t="str">
        <f t="array" ref="X435">XLOOKUP($A435,'Recipients REF'!$A:$A,'Recipients REF'!L:L,"",0)</f>
        <v>2510777</v>
      </c>
      <c r="Y435" s="48" t="s">
        <v>29</v>
      </c>
      <c r="Z435" s="48" t="s">
        <v>31</v>
      </c>
      <c r="AA435" s="54">
        <f t="array" ref="AA435">XLOOKUP($A435,'Recipients REF'!$A:$A,'Recipients REF'!M:M,"",0)</f>
        <v>25121416</v>
      </c>
      <c r="AB435" s="49"/>
      <c r="AC435" s="42"/>
      <c r="AD435" s="42"/>
      <c r="AE435" s="50"/>
      <c r="AF435" s="42"/>
      <c r="AG435" s="42"/>
      <c r="AH435" s="42"/>
      <c r="AI435" s="42" t="str">
        <f t="array" ref="AI435">XLOOKUP($E435,Sheet11!$D:$D,Sheet11!$X:$X,"",0)</f>
        <v/>
      </c>
      <c r="AJ435" s="42" t="str">
        <f t="array" ref="AJ435">XLOOKUP($E435,Sheet11!$D:$D,Sheet11!$Y:$Y,"",0)</f>
        <v/>
      </c>
    </row>
    <row r="436">
      <c r="A436" s="41">
        <v>795.0</v>
      </c>
      <c r="B436" s="42" t="s">
        <v>861</v>
      </c>
      <c r="C436" s="42" t="s">
        <v>862</v>
      </c>
      <c r="D436" s="42"/>
      <c r="E436" s="42" t="str">
        <f t="shared" ref="E436:F436" si="437">PROPER(B436)</f>
        <v>Taberna Rice Farmers Association</v>
      </c>
      <c r="F436" s="42" t="str">
        <f t="shared" si="437"/>
        <v>Taberna, Cawayan, Masbate</v>
      </c>
      <c r="G436" s="42" t="str">
        <f t="shared" si="3"/>
        <v>Taberna</v>
      </c>
      <c r="H436" s="42" t="str">
        <f t="shared" si="4"/>
        <v>Cawayan</v>
      </c>
      <c r="I436" s="42" t="str">
        <f t="shared" si="5"/>
        <v>Masbate</v>
      </c>
      <c r="J436" s="42" t="str">
        <f t="array" ref="J436">XLOOKUP($E436,'Recipients REF'!$B:$B,'Recipients REF'!D:D,"",0)</f>
        <v>Leopoldo B. Barcinas</v>
      </c>
      <c r="K436" s="42" t="str">
        <f t="array" ref="K436">XLOOKUP($E436,'Recipients REF'!$B:$B,'Recipients REF'!E:E,"",0)</f>
        <v>0968 281 0216</v>
      </c>
      <c r="L436" s="43" t="str">
        <f t="array" ref="L436">XLOOKUP($A436,'Recipients REF'!$A:$A,'Recipients REF'!F:F,"",0)</f>
        <v>RCEF 25-03-05</v>
      </c>
      <c r="M436" s="43">
        <f t="array" ref="M436">XLOOKUP($A436,'Recipients REF'!$A:$A,'Recipients REF'!G:G,"",0)</f>
        <v>6</v>
      </c>
      <c r="N436" s="43" t="str">
        <f t="array" ref="N436">XLOOKUP($A436,'Recipients REF'!$A:$A,'Recipients REF'!H:H,"",0)</f>
        <v>26627 &amp; 27898</v>
      </c>
      <c r="O436" s="44" t="s">
        <v>25</v>
      </c>
      <c r="P436" s="45" t="s">
        <v>26</v>
      </c>
      <c r="Q436" s="46" t="str">
        <f t="array" ref="Q436">XLOOKUP($A436,'Recipients REF'!$A:$A,'Recipients REF'!I:I,"",0)</f>
        <v>KMC5825 ACSFPV0407</v>
      </c>
      <c r="R436" s="53" t="str">
        <f t="array" ref="R436">XLOOKUP($A436,'Recipients REF'!$A:$A,'Recipients REF'!J:J,"",0)</f>
        <v>STS100472</v>
      </c>
      <c r="S436" s="45" t="s">
        <v>27</v>
      </c>
      <c r="T436" s="45" t="s">
        <v>28</v>
      </c>
      <c r="U436" s="46" t="str">
        <f t="array" ref="U436">XLOOKUP($A436,'Recipients REF'!$A:$A,'Recipients REF'!K:K,"",0)</f>
        <v>WR-SERIES 1351PH</v>
      </c>
      <c r="V436" s="44" t="s">
        <v>29</v>
      </c>
      <c r="W436" s="45" t="s">
        <v>30</v>
      </c>
      <c r="X436" s="53" t="str">
        <f t="array" ref="X436">XLOOKUP($A436,'Recipients REF'!$A:$A,'Recipients REF'!L:L,"",0)</f>
        <v>2510774</v>
      </c>
      <c r="Y436" s="48" t="s">
        <v>29</v>
      </c>
      <c r="Z436" s="48" t="s">
        <v>31</v>
      </c>
      <c r="AA436" s="54">
        <f t="array" ref="AA436">XLOOKUP($A436,'Recipients REF'!$A:$A,'Recipients REF'!M:M,"",0)</f>
        <v>25121417</v>
      </c>
      <c r="AB436" s="49"/>
      <c r="AC436" s="42"/>
      <c r="AD436" s="42"/>
      <c r="AE436" s="50"/>
      <c r="AF436" s="42"/>
      <c r="AG436" s="42"/>
      <c r="AH436" s="42"/>
      <c r="AI436" s="42" t="str">
        <f t="array" ref="AI436">XLOOKUP($E436,Sheet11!$D:$D,Sheet11!$X:$X,"",0)</f>
        <v/>
      </c>
      <c r="AJ436" s="42" t="str">
        <f t="array" ref="AJ436">XLOOKUP($E436,Sheet11!$D:$D,Sheet11!$Y:$Y,"",0)</f>
        <v/>
      </c>
    </row>
    <row r="437">
      <c r="A437" s="41">
        <v>796.0</v>
      </c>
      <c r="B437" s="42" t="s">
        <v>863</v>
      </c>
      <c r="C437" s="42" t="s">
        <v>864</v>
      </c>
      <c r="D437" s="42"/>
      <c r="E437" s="42" t="str">
        <f t="shared" ref="E437:F437" si="438">PROPER(B437)</f>
        <v>Municipal Local Government Unit Of Dimasalang</v>
      </c>
      <c r="F437" s="42" t="str">
        <f t="shared" si="438"/>
        <v>Gregorio Alino (Pia-Ong), Dimasalang, Masbate</v>
      </c>
      <c r="G437" s="42" t="str">
        <f t="shared" si="3"/>
        <v>Gregorio Alino (Pia-Ong)</v>
      </c>
      <c r="H437" s="42" t="str">
        <f t="shared" si="4"/>
        <v>Dimasalang</v>
      </c>
      <c r="I437" s="42" t="str">
        <f t="shared" si="5"/>
        <v>Masbate</v>
      </c>
      <c r="J437" s="42" t="str">
        <f t="array" ref="J437">XLOOKUP($E437,'Recipients REF'!$B:$B,'Recipients REF'!D:D,"",0)</f>
        <v>Hon. Michael Demph Du Naga</v>
      </c>
      <c r="K437" s="42" t="str">
        <f t="array" ref="K437">XLOOKUP($E437,'Recipients REF'!$B:$B,'Recipients REF'!E:E,"",0)</f>
        <v>0947 376 6373</v>
      </c>
      <c r="L437" s="43" t="str">
        <f t="array" ref="L437">XLOOKUP($A437,'Recipients REF'!$A:$A,'Recipients REF'!F:F,"",0)</f>
        <v>RCEF 25-03-05</v>
      </c>
      <c r="M437" s="43">
        <f t="array" ref="M437">XLOOKUP($A437,'Recipients REF'!$A:$A,'Recipients REF'!G:G,"",0)</f>
        <v>6</v>
      </c>
      <c r="N437" s="43" t="str">
        <f t="array" ref="N437">XLOOKUP($A437,'Recipients REF'!$A:$A,'Recipients REF'!H:H,"",0)</f>
        <v>26628 &amp; 27899</v>
      </c>
      <c r="O437" s="44" t="s">
        <v>25</v>
      </c>
      <c r="P437" s="45" t="s">
        <v>26</v>
      </c>
      <c r="Q437" s="46" t="str">
        <f t="array" ref="Q437">XLOOKUP($A437,'Recipients REF'!$A:$A,'Recipients REF'!I:I,"",0)</f>
        <v>KMC5825 APSFPV0376</v>
      </c>
      <c r="R437" s="53" t="str">
        <f t="array" ref="R437">XLOOKUP($A437,'Recipients REF'!$A:$A,'Recipients REF'!J:J,"",0)</f>
        <v>STS100443</v>
      </c>
      <c r="S437" s="45" t="s">
        <v>27</v>
      </c>
      <c r="T437" s="45" t="s">
        <v>28</v>
      </c>
      <c r="U437" s="46" t="str">
        <f t="array" ref="U437">XLOOKUP($A437,'Recipients REF'!$A:$A,'Recipients REF'!K:K,"",0)</f>
        <v>WR-SERIES 1352PH</v>
      </c>
      <c r="V437" s="44" t="s">
        <v>29</v>
      </c>
      <c r="W437" s="45" t="s">
        <v>30</v>
      </c>
      <c r="X437" s="53" t="str">
        <f t="array" ref="X437">XLOOKUP($A437,'Recipients REF'!$A:$A,'Recipients REF'!L:L,"",0)</f>
        <v>2510787</v>
      </c>
      <c r="Y437" s="48" t="s">
        <v>29</v>
      </c>
      <c r="Z437" s="48" t="s">
        <v>31</v>
      </c>
      <c r="AA437" s="54">
        <f t="array" ref="AA437">XLOOKUP($A437,'Recipients REF'!$A:$A,'Recipients REF'!M:M,"",0)</f>
        <v>25121418</v>
      </c>
      <c r="AB437" s="49"/>
      <c r="AC437" s="42"/>
      <c r="AD437" s="42"/>
      <c r="AE437" s="50"/>
      <c r="AF437" s="42"/>
      <c r="AG437" s="42"/>
      <c r="AH437" s="42"/>
      <c r="AI437" s="42" t="str">
        <f t="array" ref="AI437">XLOOKUP($E437,Sheet11!$D:$D,Sheet11!$X:$X,"",0)</f>
        <v/>
      </c>
      <c r="AJ437" s="42" t="str">
        <f t="array" ref="AJ437">XLOOKUP($E437,Sheet11!$D:$D,Sheet11!$Y:$Y,"",0)</f>
        <v/>
      </c>
    </row>
    <row r="438">
      <c r="A438" s="41">
        <v>797.0</v>
      </c>
      <c r="B438" s="42" t="s">
        <v>865</v>
      </c>
      <c r="C438" s="42" t="s">
        <v>866</v>
      </c>
      <c r="D438" s="42"/>
      <c r="E438" s="42" t="str">
        <f t="shared" ref="E438:F438" si="439">PROPER(B438)</f>
        <v>Candelaria Uson Farmers Agrarian Reform Cooperative</v>
      </c>
      <c r="F438" s="42" t="str">
        <f t="shared" si="439"/>
        <v>Candelaria, Uson, Masbate</v>
      </c>
      <c r="G438" s="42" t="str">
        <f t="shared" si="3"/>
        <v>Candelaria</v>
      </c>
      <c r="H438" s="42" t="str">
        <f t="shared" si="4"/>
        <v>Uson</v>
      </c>
      <c r="I438" s="42" t="str">
        <f t="shared" si="5"/>
        <v>Masbate</v>
      </c>
      <c r="J438" s="42" t="str">
        <f t="array" ref="J438">XLOOKUP($E438,'Recipients REF'!$B:$B,'Recipients REF'!D:D,"",0)</f>
        <v>ROY C. VILLAMOR</v>
      </c>
      <c r="K438" s="42" t="str">
        <f t="array" ref="K438">XLOOKUP($E438,'Recipients REF'!$B:$B,'Recipients REF'!E:E,"",0)</f>
        <v>0931-918-0496</v>
      </c>
      <c r="L438" s="43" t="str">
        <f t="array" ref="L438">XLOOKUP($A438,'Recipients REF'!$A:$A,'Recipients REF'!F:F,"",0)</f>
        <v>RCEF 25-03-05</v>
      </c>
      <c r="M438" s="43">
        <f t="array" ref="M438">XLOOKUP($A438,'Recipients REF'!$A:$A,'Recipients REF'!G:G,"",0)</f>
        <v>6</v>
      </c>
      <c r="N438" s="43" t="str">
        <f t="array" ref="N438">XLOOKUP($A438,'Recipients REF'!$A:$A,'Recipients REF'!H:H,"",0)</f>
        <v>26629 &amp; 27900</v>
      </c>
      <c r="O438" s="44" t="s">
        <v>25</v>
      </c>
      <c r="P438" s="45" t="s">
        <v>26</v>
      </c>
      <c r="Q438" s="46" t="str">
        <f t="array" ref="Q438">XLOOKUP($A438,'Recipients REF'!$A:$A,'Recipients REF'!I:I,"",0)</f>
        <v>KMC5825 ACSFPV0410</v>
      </c>
      <c r="R438" s="53" t="str">
        <f t="array" ref="R438">XLOOKUP($A438,'Recipients REF'!$A:$A,'Recipients REF'!J:J,"",0)</f>
        <v>STS100466</v>
      </c>
      <c r="S438" s="45" t="s">
        <v>27</v>
      </c>
      <c r="T438" s="45" t="s">
        <v>28</v>
      </c>
      <c r="U438" s="46" t="str">
        <f t="array" ref="U438">XLOOKUP($A438,'Recipients REF'!$A:$A,'Recipients REF'!K:K,"",0)</f>
        <v>WR-SERIES 1353PH</v>
      </c>
      <c r="V438" s="44" t="s">
        <v>29</v>
      </c>
      <c r="W438" s="45" t="s">
        <v>30</v>
      </c>
      <c r="X438" s="53" t="str">
        <f t="array" ref="X438">XLOOKUP($A438,'Recipients REF'!$A:$A,'Recipients REF'!L:L,"",0)</f>
        <v>2510782</v>
      </c>
      <c r="Y438" s="48" t="s">
        <v>29</v>
      </c>
      <c r="Z438" s="48" t="s">
        <v>31</v>
      </c>
      <c r="AA438" s="54">
        <f t="array" ref="AA438">XLOOKUP($A438,'Recipients REF'!$A:$A,'Recipients REF'!M:M,"",0)</f>
        <v>25121419</v>
      </c>
      <c r="AB438" s="49"/>
      <c r="AC438" s="42"/>
      <c r="AD438" s="42"/>
      <c r="AE438" s="50"/>
      <c r="AF438" s="42"/>
      <c r="AG438" s="42"/>
      <c r="AH438" s="42"/>
      <c r="AI438" s="42" t="str">
        <f t="array" ref="AI438">XLOOKUP($E438,Sheet11!$D:$D,Sheet11!$X:$X,"",0)</f>
        <v/>
      </c>
      <c r="AJ438" s="42" t="str">
        <f t="array" ref="AJ438">XLOOKUP($E438,Sheet11!$D:$D,Sheet11!$Y:$Y,"",0)</f>
        <v/>
      </c>
    </row>
    <row r="439">
      <c r="A439" s="41">
        <v>455.0</v>
      </c>
      <c r="B439" s="42" t="s">
        <v>867</v>
      </c>
      <c r="C439" s="42" t="s">
        <v>868</v>
      </c>
      <c r="D439" s="42"/>
      <c r="E439" s="42" t="str">
        <f t="shared" ref="E439:F439" si="440">PROPER(B439)</f>
        <v>Hacienderos Agrarian Reform Cooperative</v>
      </c>
      <c r="F439" s="42" t="str">
        <f t="shared" si="440"/>
        <v>Tabunan, Bago City, Negros Occidental</v>
      </c>
      <c r="G439" s="42" t="str">
        <f t="shared" si="3"/>
        <v>Tabunan</v>
      </c>
      <c r="H439" s="42" t="str">
        <f t="shared" si="4"/>
        <v>Bago City</v>
      </c>
      <c r="I439" s="42" t="str">
        <f t="shared" si="5"/>
        <v>Negros Occidental</v>
      </c>
      <c r="J439" s="42" t="str">
        <f t="array" ref="J439">XLOOKUP($E439,'Recipients REF'!$B:$B,'Recipients REF'!D:D,"",0)</f>
        <v>NOEL L. BENJAMIN</v>
      </c>
      <c r="K439" s="42">
        <f t="array" ref="K439">XLOOKUP($E439,'Recipients REF'!$B:$B,'Recipients REF'!E:E,"",0)</f>
        <v>9275748995</v>
      </c>
      <c r="L439" s="43" t="str">
        <f t="array" ref="L439">XLOOKUP($A439,'Recipients REF'!$A:$A,'Recipients REF'!F:F,"",0)</f>
        <v>RCEF 23-09-21 Rebidding</v>
      </c>
      <c r="M439" s="43">
        <f t="array" ref="M439">XLOOKUP($A439,'Recipients REF'!$A:$A,'Recipients REF'!G:G,"",0)</f>
        <v>4</v>
      </c>
      <c r="N439" s="43">
        <f t="array" ref="N439">XLOOKUP($A439,'Recipients REF'!$A:$A,'Recipients REF'!H:H,"",0)</f>
        <v>19113</v>
      </c>
      <c r="O439" s="44" t="s">
        <v>25</v>
      </c>
      <c r="P439" s="45" t="s">
        <v>26</v>
      </c>
      <c r="Q439" s="46" t="str">
        <f t="array" ref="Q439">XLOOKUP($A439,'Recipients REF'!$A:$A,'Recipients REF'!I:I,"",0)</f>
        <v>KMC5825 AARFPV0718</v>
      </c>
      <c r="R439" s="47" t="str">
        <f t="array" ref="R439">XLOOKUP($A439,'Recipients REF'!$A:$A,'Recipients REF'!J:J,"",0)</f>
        <v>RTS 100302</v>
      </c>
      <c r="S439" s="45" t="s">
        <v>27</v>
      </c>
      <c r="T439" s="45" t="s">
        <v>28</v>
      </c>
      <c r="U439" s="46" t="str">
        <f t="array" ref="U439">XLOOKUP($A439,'Recipients REF'!$A:$A,'Recipients REF'!K:K,"",0)</f>
        <v>WR-SERIES 814 PH</v>
      </c>
      <c r="V439" s="44" t="s">
        <v>29</v>
      </c>
      <c r="W439" s="45" t="s">
        <v>30</v>
      </c>
      <c r="X439" s="47" t="str">
        <f t="array" ref="X439">XLOOKUP($A439,'Recipients REF'!$A:$A,'Recipients REF'!L:L,"",0)</f>
        <v>LSGW1750 RMP 24010107</v>
      </c>
      <c r="Y439" s="48" t="s">
        <v>29</v>
      </c>
      <c r="Z439" s="48" t="s">
        <v>31</v>
      </c>
      <c r="AA439" s="46" t="str">
        <f t="array" ref="AA439">XLOOKUP($A439,'Recipients REF'!$A:$A,'Recipients REF'!M:M,"",0)</f>
        <v>WDP40 RMP 24050583</v>
      </c>
      <c r="AB439" s="49"/>
      <c r="AC439" s="42"/>
      <c r="AD439" s="42"/>
      <c r="AE439" s="50"/>
      <c r="AF439" s="42"/>
      <c r="AG439" s="42"/>
      <c r="AH439" s="42"/>
      <c r="AI439" s="42" t="str">
        <f t="array" ref="AI439">XLOOKUP($E439,Sheet11!$D:$D,Sheet11!$X:$X,"",0)</f>
        <v/>
      </c>
      <c r="AJ439" s="42" t="str">
        <f t="array" ref="AJ439">XLOOKUP($E439,Sheet11!$D:$D,Sheet11!$Y:$Y,"",0)</f>
        <v/>
      </c>
    </row>
    <row r="440">
      <c r="A440" s="41">
        <v>456.0</v>
      </c>
      <c r="B440" s="42" t="s">
        <v>869</v>
      </c>
      <c r="C440" s="42" t="s">
        <v>870</v>
      </c>
      <c r="D440" s="42"/>
      <c r="E440" s="42" t="str">
        <f t="shared" ref="E440:F440" si="441">PROPER(B440)</f>
        <v>Katilingban Dulao Irrigators' Association, Inc.</v>
      </c>
      <c r="F440" s="42" t="str">
        <f t="shared" si="441"/>
        <v>Dulao, Bago City, Negros Occidental</v>
      </c>
      <c r="G440" s="42" t="str">
        <f t="shared" si="3"/>
        <v>Dulao</v>
      </c>
      <c r="H440" s="42" t="str">
        <f t="shared" si="4"/>
        <v>Bago City</v>
      </c>
      <c r="I440" s="42" t="str">
        <f t="shared" si="5"/>
        <v>Negros Occidental</v>
      </c>
      <c r="J440" s="42" t="str">
        <f t="array" ref="J440">XLOOKUP($E440,'Recipients REF'!$B:$B,'Recipients REF'!D:D,"",0)</f>
        <v>JIMMY S. GUZON</v>
      </c>
      <c r="K440" s="42">
        <f t="array" ref="K440">XLOOKUP($E440,'Recipients REF'!$B:$B,'Recipients REF'!E:E,"",0)</f>
        <v>9096144575</v>
      </c>
      <c r="L440" s="43" t="str">
        <f t="array" ref="L440">XLOOKUP($A440,'Recipients REF'!$A:$A,'Recipients REF'!F:F,"",0)</f>
        <v>RCEF 23-09-21 Rebidding</v>
      </c>
      <c r="M440" s="43">
        <f t="array" ref="M440">XLOOKUP($A440,'Recipients REF'!$A:$A,'Recipients REF'!G:G,"",0)</f>
        <v>4</v>
      </c>
      <c r="N440" s="43">
        <f t="array" ref="N440">XLOOKUP($A440,'Recipients REF'!$A:$A,'Recipients REF'!H:H,"",0)</f>
        <v>19114</v>
      </c>
      <c r="O440" s="44" t="s">
        <v>25</v>
      </c>
      <c r="P440" s="45" t="s">
        <v>26</v>
      </c>
      <c r="Q440" s="46" t="str">
        <f t="array" ref="Q440">XLOOKUP($A440,'Recipients REF'!$A:$A,'Recipients REF'!I:I,"",0)</f>
        <v>KMC5825 AVRFPV0717</v>
      </c>
      <c r="R440" s="47" t="str">
        <f t="array" ref="R440">XLOOKUP($A440,'Recipients REF'!$A:$A,'Recipients REF'!J:J,"",0)</f>
        <v>RTS 100598</v>
      </c>
      <c r="S440" s="45" t="s">
        <v>27</v>
      </c>
      <c r="T440" s="45" t="s">
        <v>28</v>
      </c>
      <c r="U440" s="46" t="str">
        <f t="array" ref="U440">XLOOKUP($A440,'Recipients REF'!$A:$A,'Recipients REF'!K:K,"",0)</f>
        <v>WR-SERIES 994 PH</v>
      </c>
      <c r="V440" s="44" t="s">
        <v>29</v>
      </c>
      <c r="W440" s="45" t="s">
        <v>30</v>
      </c>
      <c r="X440" s="47" t="str">
        <f t="array" ref="X440">XLOOKUP($A440,'Recipients REF'!$A:$A,'Recipients REF'!L:L,"",0)</f>
        <v>LSGW1750 RMP 24010108</v>
      </c>
      <c r="Y440" s="48" t="s">
        <v>29</v>
      </c>
      <c r="Z440" s="48" t="s">
        <v>31</v>
      </c>
      <c r="AA440" s="46" t="str">
        <f t="array" ref="AA440">XLOOKUP($A440,'Recipients REF'!$A:$A,'Recipients REF'!M:M,"",0)</f>
        <v>WDP40 RMP 24050608</v>
      </c>
      <c r="AB440" s="49"/>
      <c r="AC440" s="42"/>
      <c r="AD440" s="42"/>
      <c r="AE440" s="50"/>
      <c r="AF440" s="42"/>
      <c r="AG440" s="42"/>
      <c r="AH440" s="42"/>
      <c r="AI440" s="42" t="str">
        <f t="array" ref="AI440">XLOOKUP($E440,Sheet11!$D:$D,Sheet11!$X:$X,"",0)</f>
        <v/>
      </c>
      <c r="AJ440" s="42" t="str">
        <f t="array" ref="AJ440">XLOOKUP($E440,Sheet11!$D:$D,Sheet11!$Y:$Y,"",0)</f>
        <v/>
      </c>
    </row>
    <row r="441">
      <c r="A441" s="41">
        <v>457.0</v>
      </c>
      <c r="B441" s="42" t="s">
        <v>871</v>
      </c>
      <c r="C441" s="42" t="s">
        <v>872</v>
      </c>
      <c r="D441" s="42"/>
      <c r="E441" s="42" t="str">
        <f t="shared" ref="E441:F441" si="442">PROPER(B441)</f>
        <v>Marcel Del Pilar Farmers Association (Mdpilfa)</v>
      </c>
      <c r="F441" s="42" t="str">
        <f t="shared" si="442"/>
        <v>M. H. Del Pilar, Pontevedra, Negros Occidental</v>
      </c>
      <c r="G441" s="42" t="str">
        <f t="shared" si="3"/>
        <v>M. H. Del Pilar</v>
      </c>
      <c r="H441" s="42" t="str">
        <f t="shared" si="4"/>
        <v>Pontevedra</v>
      </c>
      <c r="I441" s="42" t="str">
        <f t="shared" si="5"/>
        <v>Negros Occidental</v>
      </c>
      <c r="J441" s="42" t="str">
        <f t="array" ref="J441">XLOOKUP($E441,'Recipients REF'!$B:$B,'Recipients REF'!D:D,"",0)</f>
        <v>JENNY E. SALIDARES</v>
      </c>
      <c r="K441" s="42">
        <f t="array" ref="K441">XLOOKUP($E441,'Recipients REF'!$B:$B,'Recipients REF'!E:E,"",0)</f>
        <v>9338192826</v>
      </c>
      <c r="L441" s="43" t="str">
        <f t="array" ref="L441">XLOOKUP($A441,'Recipients REF'!$A:$A,'Recipients REF'!F:F,"",0)</f>
        <v>RCEF 23-09-21 Rebidding</v>
      </c>
      <c r="M441" s="43">
        <f t="array" ref="M441">XLOOKUP($A441,'Recipients REF'!$A:$A,'Recipients REF'!G:G,"",0)</f>
        <v>4</v>
      </c>
      <c r="N441" s="43">
        <f t="array" ref="N441">XLOOKUP($A441,'Recipients REF'!$A:$A,'Recipients REF'!H:H,"",0)</f>
        <v>19115</v>
      </c>
      <c r="O441" s="44" t="s">
        <v>25</v>
      </c>
      <c r="P441" s="45" t="s">
        <v>26</v>
      </c>
      <c r="Q441" s="46" t="str">
        <f t="array" ref="Q441">XLOOKUP($A441,'Recipients REF'!$A:$A,'Recipients REF'!I:I,"",0)</f>
        <v>KMC5825 AHRFPV0771</v>
      </c>
      <c r="R441" s="47" t="str">
        <f t="array" ref="R441">XLOOKUP($A441,'Recipients REF'!$A:$A,'Recipients REF'!J:J,"",0)</f>
        <v>RTS 100627</v>
      </c>
      <c r="S441" s="45" t="s">
        <v>27</v>
      </c>
      <c r="T441" s="45" t="s">
        <v>28</v>
      </c>
      <c r="U441" s="46" t="str">
        <f t="array" ref="U441">XLOOKUP($A441,'Recipients REF'!$A:$A,'Recipients REF'!K:K,"",0)</f>
        <v>WR-SERIES 995 PH</v>
      </c>
      <c r="V441" s="44" t="s">
        <v>29</v>
      </c>
      <c r="W441" s="45" t="s">
        <v>30</v>
      </c>
      <c r="X441" s="47" t="str">
        <f t="array" ref="X441">XLOOKUP($A441,'Recipients REF'!$A:$A,'Recipients REF'!L:L,"",0)</f>
        <v>LSGW1750 RMP 24040667</v>
      </c>
      <c r="Y441" s="48" t="s">
        <v>29</v>
      </c>
      <c r="Z441" s="48" t="s">
        <v>31</v>
      </c>
      <c r="AA441" s="46" t="str">
        <f t="array" ref="AA441">XLOOKUP($A441,'Recipients REF'!$A:$A,'Recipients REF'!M:M,"",0)</f>
        <v>WP40 RMP 24050646</v>
      </c>
      <c r="AB441" s="49"/>
      <c r="AC441" s="42"/>
      <c r="AD441" s="42"/>
      <c r="AE441" s="50"/>
      <c r="AF441" s="42"/>
      <c r="AG441" s="42"/>
      <c r="AH441" s="42"/>
      <c r="AI441" s="42" t="str">
        <f t="array" ref="AI441">XLOOKUP($E441,Sheet11!$D:$D,Sheet11!$X:$X,"",0)</f>
        <v/>
      </c>
      <c r="AJ441" s="42" t="str">
        <f t="array" ref="AJ441">XLOOKUP($E441,Sheet11!$D:$D,Sheet11!$Y:$Y,"",0)</f>
        <v/>
      </c>
    </row>
    <row r="442">
      <c r="A442" s="41">
        <v>458.0</v>
      </c>
      <c r="B442" s="42" t="s">
        <v>873</v>
      </c>
      <c r="C442" s="42" t="s">
        <v>874</v>
      </c>
      <c r="D442" s="42"/>
      <c r="E442" s="42" t="str">
        <f t="shared" ref="E442:F442" si="443">PROPER(B442)</f>
        <v>Calubang Farmers Cluster Association</v>
      </c>
      <c r="F442" s="42" t="str">
        <f t="shared" si="443"/>
        <v>Calubang, Ilog, Negros Occidental</v>
      </c>
      <c r="G442" s="42" t="str">
        <f t="shared" si="3"/>
        <v>Calubang</v>
      </c>
      <c r="H442" s="42" t="str">
        <f t="shared" si="4"/>
        <v>Ilog</v>
      </c>
      <c r="I442" s="42" t="str">
        <f t="shared" si="5"/>
        <v>Negros Occidental</v>
      </c>
      <c r="J442" s="42" t="str">
        <f t="array" ref="J442">XLOOKUP($E442,'Recipients REF'!$B:$B,'Recipients REF'!D:D,"",0)</f>
        <v>DANDY V. BALINAS, SR.</v>
      </c>
      <c r="K442" s="42" t="str">
        <f t="array" ref="K442">XLOOKUP($E442,'Recipients REF'!$B:$B,'Recipients REF'!E:E,"",0)</f>
        <v>9484431137  /   0993-117-0613</v>
      </c>
      <c r="L442" s="43" t="str">
        <f t="array" ref="L442">XLOOKUP($A442,'Recipients REF'!$A:$A,'Recipients REF'!F:F,"",0)</f>
        <v>RCEF 23-09-21 Rebidding</v>
      </c>
      <c r="M442" s="43">
        <f t="array" ref="M442">XLOOKUP($A442,'Recipients REF'!$A:$A,'Recipients REF'!G:G,"",0)</f>
        <v>4</v>
      </c>
      <c r="N442" s="43">
        <f t="array" ref="N442">XLOOKUP($A442,'Recipients REF'!$A:$A,'Recipients REF'!H:H,"",0)</f>
        <v>19116</v>
      </c>
      <c r="O442" s="44" t="s">
        <v>25</v>
      </c>
      <c r="P442" s="45" t="s">
        <v>26</v>
      </c>
      <c r="Q442" s="46" t="str">
        <f t="array" ref="Q442">XLOOKUP($A442,'Recipients REF'!$A:$A,'Recipients REF'!I:I,"",0)</f>
        <v>KMC5825 ALRFPV0770</v>
      </c>
      <c r="R442" s="47" t="str">
        <f t="array" ref="R442">XLOOKUP($A442,'Recipients REF'!$A:$A,'Recipients REF'!J:J,"",0)</f>
        <v>RTS 100630</v>
      </c>
      <c r="S442" s="45" t="s">
        <v>27</v>
      </c>
      <c r="T442" s="45" t="s">
        <v>28</v>
      </c>
      <c r="U442" s="46" t="str">
        <f t="array" ref="U442">XLOOKUP($A442,'Recipients REF'!$A:$A,'Recipients REF'!K:K,"",0)</f>
        <v>WR-SERIES 778 PH</v>
      </c>
      <c r="V442" s="44" t="s">
        <v>29</v>
      </c>
      <c r="W442" s="45" t="s">
        <v>30</v>
      </c>
      <c r="X442" s="47" t="str">
        <f t="array" ref="X442">XLOOKUP($A442,'Recipients REF'!$A:$A,'Recipients REF'!L:L,"",0)</f>
        <v>LSGW1750 RMP 24010110</v>
      </c>
      <c r="Y442" s="48" t="s">
        <v>29</v>
      </c>
      <c r="Z442" s="48" t="s">
        <v>31</v>
      </c>
      <c r="AA442" s="46" t="str">
        <f t="array" ref="AA442">XLOOKUP($A442,'Recipients REF'!$A:$A,'Recipients REF'!M:M,"",0)</f>
        <v>WDP40 RMP 24050645</v>
      </c>
      <c r="AB442" s="49"/>
      <c r="AC442" s="42"/>
      <c r="AD442" s="42"/>
      <c r="AE442" s="50"/>
      <c r="AF442" s="42"/>
      <c r="AG442" s="42"/>
      <c r="AH442" s="42"/>
      <c r="AI442" s="42" t="str">
        <f t="array" ref="AI442">XLOOKUP($E442,Sheet11!$D:$D,Sheet11!$X:$X,"",0)</f>
        <v/>
      </c>
      <c r="AJ442" s="42" t="str">
        <f t="array" ref="AJ442">XLOOKUP($E442,Sheet11!$D:$D,Sheet11!$Y:$Y,"",0)</f>
        <v/>
      </c>
    </row>
    <row r="443">
      <c r="A443" s="41">
        <v>459.0</v>
      </c>
      <c r="B443" s="42" t="s">
        <v>875</v>
      </c>
      <c r="C443" s="42" t="s">
        <v>876</v>
      </c>
      <c r="D443" s="42"/>
      <c r="E443" s="42" t="str">
        <f t="shared" ref="E443:F443" si="444">PROPER(B443)</f>
        <v>Kabankalan City, Brgy. Linao Farmers Irrigators' Association, Inc</v>
      </c>
      <c r="F443" s="42" t="str">
        <f t="shared" si="444"/>
        <v>Linao, Kabankalan City, Negros Occidental</v>
      </c>
      <c r="G443" s="42" t="str">
        <f t="shared" si="3"/>
        <v>Linao</v>
      </c>
      <c r="H443" s="42" t="str">
        <f t="shared" si="4"/>
        <v>Kabankalan City</v>
      </c>
      <c r="I443" s="42" t="str">
        <f t="shared" si="5"/>
        <v>Negros Occidental</v>
      </c>
      <c r="J443" s="42" t="str">
        <f t="array" ref="J443">XLOOKUP($E443,'Recipients REF'!$B:$B,'Recipients REF'!D:D,"",0)</f>
        <v>JOSE S. SU-AY</v>
      </c>
      <c r="K443" s="42">
        <f t="array" ref="K443">XLOOKUP($E443,'Recipients REF'!$B:$B,'Recipients REF'!E:E,"",0)</f>
        <v>9096800897</v>
      </c>
      <c r="L443" s="43" t="str">
        <f t="array" ref="L443">XLOOKUP($A443,'Recipients REF'!$A:$A,'Recipients REF'!F:F,"",0)</f>
        <v>RCEF 23-09-21 Rebidding</v>
      </c>
      <c r="M443" s="43">
        <f t="array" ref="M443">XLOOKUP($A443,'Recipients REF'!$A:$A,'Recipients REF'!G:G,"",0)</f>
        <v>4</v>
      </c>
      <c r="N443" s="43">
        <f t="array" ref="N443">XLOOKUP($A443,'Recipients REF'!$A:$A,'Recipients REF'!H:H,"",0)</f>
        <v>19117</v>
      </c>
      <c r="O443" s="44" t="s">
        <v>25</v>
      </c>
      <c r="P443" s="45" t="s">
        <v>26</v>
      </c>
      <c r="Q443" s="46" t="str">
        <f t="array" ref="Q443">XLOOKUP($A443,'Recipients REF'!$A:$A,'Recipients REF'!I:I,"",0)</f>
        <v>KMC5825 ACRFPV0725</v>
      </c>
      <c r="R443" s="47" t="str">
        <f t="array" ref="R443">XLOOKUP($A443,'Recipients REF'!$A:$A,'Recipients REF'!J:J,"",0)</f>
        <v>RTS 100607</v>
      </c>
      <c r="S443" s="45" t="s">
        <v>27</v>
      </c>
      <c r="T443" s="45" t="s">
        <v>28</v>
      </c>
      <c r="U443" s="46" t="str">
        <f t="array" ref="U443">XLOOKUP($A443,'Recipients REF'!$A:$A,'Recipients REF'!K:K,"",0)</f>
        <v>WR-SERIES 769 PH</v>
      </c>
      <c r="V443" s="44" t="s">
        <v>29</v>
      </c>
      <c r="W443" s="45" t="s">
        <v>30</v>
      </c>
      <c r="X443" s="47" t="str">
        <f t="array" ref="X443">XLOOKUP($A443,'Recipients REF'!$A:$A,'Recipients REF'!L:L,"",0)</f>
        <v>LSGW1750 RMP 24040669</v>
      </c>
      <c r="Y443" s="48" t="s">
        <v>29</v>
      </c>
      <c r="Z443" s="48" t="s">
        <v>31</v>
      </c>
      <c r="AA443" s="46" t="str">
        <f t="array" ref="AA443">XLOOKUP($A443,'Recipients REF'!$A:$A,'Recipients REF'!M:M,"",0)</f>
        <v>WDP40 RMP 24050594</v>
      </c>
      <c r="AB443" s="49"/>
      <c r="AC443" s="42"/>
      <c r="AD443" s="42"/>
      <c r="AE443" s="50"/>
      <c r="AF443" s="42"/>
      <c r="AG443" s="42"/>
      <c r="AH443" s="42"/>
      <c r="AI443" s="42" t="str">
        <f t="array" ref="AI443">XLOOKUP($E443,Sheet11!$D:$D,Sheet11!$X:$X,"",0)</f>
        <v/>
      </c>
      <c r="AJ443" s="42" t="str">
        <f t="array" ref="AJ443">XLOOKUP($E443,Sheet11!$D:$D,Sheet11!$Y:$Y,"",0)</f>
        <v/>
      </c>
    </row>
    <row r="444">
      <c r="A444" s="41">
        <v>964.0</v>
      </c>
      <c r="B444" s="42" t="s">
        <v>877</v>
      </c>
      <c r="C444" s="42" t="s">
        <v>878</v>
      </c>
      <c r="D444" s="42"/>
      <c r="E444" s="42" t="str">
        <f t="shared" ref="E444:F444" si="445">PROPER(B444)</f>
        <v>Alianza-Rufina Farmers Irrigators' Association, Inc.</v>
      </c>
      <c r="F444" s="42" t="str">
        <f t="shared" si="445"/>
        <v>Alianza, Bago City, Negros Occidental</v>
      </c>
      <c r="G444" s="42" t="str">
        <f t="shared" si="3"/>
        <v>Alianza</v>
      </c>
      <c r="H444" s="42" t="str">
        <f t="shared" si="4"/>
        <v>Bago City</v>
      </c>
      <c r="I444" s="42" t="str">
        <f t="shared" si="5"/>
        <v>Negros Occidental</v>
      </c>
      <c r="J444" s="42" t="str">
        <f t="array" ref="J444">XLOOKUP($E444,'Recipients REF'!$B:$B,'Recipients REF'!D:D,"",0)</f>
        <v>Corazon Rocero</v>
      </c>
      <c r="K444" s="42">
        <f t="array" ref="K444">XLOOKUP($E444,'Recipients REF'!$B:$B,'Recipients REF'!E:E,"",0)</f>
        <v>9098217868</v>
      </c>
      <c r="L444" s="43" t="str">
        <f t="array" ref="L444">XLOOKUP($A444,'Recipients REF'!$A:$A,'Recipients REF'!F:F,"",0)</f>
        <v>RCEF 25-03-05</v>
      </c>
      <c r="M444" s="43">
        <f t="array" ref="M444">XLOOKUP($A444,'Recipients REF'!$A:$A,'Recipients REF'!G:G,"",0)</f>
        <v>7</v>
      </c>
      <c r="N444" s="43" t="str">
        <f t="array" ref="N444">XLOOKUP($A444,'Recipients REF'!$A:$A,'Recipients REF'!H:H,"",0)</f>
        <v>27294 &amp; 27584</v>
      </c>
      <c r="O444" s="44" t="s">
        <v>25</v>
      </c>
      <c r="P444" s="45" t="s">
        <v>26</v>
      </c>
      <c r="Q444" s="46" t="str">
        <f t="array" ref="Q444">XLOOKUP($A444,'Recipients REF'!$A:$A,'Recipients REF'!I:I,"",0)</f>
        <v>KMC5825 AESFPV0373</v>
      </c>
      <c r="R444" s="53" t="str">
        <f t="array" ref="R444">XLOOKUP($A444,'Recipients REF'!$A:$A,'Recipients REF'!J:J,"",0)</f>
        <v>STS100416</v>
      </c>
      <c r="S444" s="45" t="s">
        <v>27</v>
      </c>
      <c r="T444" s="45" t="s">
        <v>28</v>
      </c>
      <c r="U444" s="46" t="str">
        <f t="array" ref="U444">XLOOKUP($A444,'Recipients REF'!$A:$A,'Recipients REF'!K:K,"",0)</f>
        <v>R- SERIES 257</v>
      </c>
      <c r="V444" s="44" t="s">
        <v>29</v>
      </c>
      <c r="W444" s="45" t="s">
        <v>30</v>
      </c>
      <c r="X444" s="53" t="str">
        <f t="array" ref="X444">XLOOKUP($A444,'Recipients REF'!$A:$A,'Recipients REF'!L:L,"",0)</f>
        <v>25090612</v>
      </c>
      <c r="Y444" s="48" t="s">
        <v>29</v>
      </c>
      <c r="Z444" s="48" t="s">
        <v>31</v>
      </c>
      <c r="AA444" s="54">
        <f t="array" ref="AA444">XLOOKUP($A444,'Recipients REF'!$A:$A,'Recipients REF'!M:M,"",0)</f>
        <v>25121328</v>
      </c>
      <c r="AB444" s="49"/>
      <c r="AC444" s="42"/>
      <c r="AD444" s="42"/>
      <c r="AE444" s="50"/>
      <c r="AF444" s="42"/>
      <c r="AG444" s="42"/>
      <c r="AH444" s="42"/>
      <c r="AI444" s="42" t="str">
        <f t="array" ref="AI444">XLOOKUP($E444,Sheet11!$D:$D,Sheet11!$X:$X,"",0)</f>
        <v/>
      </c>
      <c r="AJ444" s="42" t="str">
        <f t="array" ref="AJ444">XLOOKUP($E444,Sheet11!$D:$D,Sheet11!$Y:$Y,"",0)</f>
        <v/>
      </c>
    </row>
    <row r="445">
      <c r="A445" s="41">
        <v>965.0</v>
      </c>
      <c r="B445" s="42" t="s">
        <v>879</v>
      </c>
      <c r="C445" s="42" t="s">
        <v>880</v>
      </c>
      <c r="D445" s="42"/>
      <c r="E445" s="42" t="str">
        <f t="shared" ref="E445:F445" si="446">PROPER(B445)</f>
        <v>Brgy. Bagroy Farmers Irrigators' Association, Inc.</v>
      </c>
      <c r="F445" s="42" t="str">
        <f t="shared" si="446"/>
        <v>Bagroy, Bago City, Negros Occidental</v>
      </c>
      <c r="G445" s="42" t="str">
        <f t="shared" si="3"/>
        <v>Bagroy</v>
      </c>
      <c r="H445" s="42" t="str">
        <f t="shared" si="4"/>
        <v>Bago City</v>
      </c>
      <c r="I445" s="42" t="str">
        <f t="shared" si="5"/>
        <v>Negros Occidental</v>
      </c>
      <c r="J445" s="42" t="str">
        <f t="array" ref="J445">XLOOKUP($E445,'Recipients REF'!$B:$B,'Recipients REF'!D:D,"",0)</f>
        <v>Rhoda Y. Manoso</v>
      </c>
      <c r="K445" s="42">
        <f t="array" ref="K445">XLOOKUP($E445,'Recipients REF'!$B:$B,'Recipients REF'!E:E,"",0)</f>
        <v>9171239734</v>
      </c>
      <c r="L445" s="43" t="str">
        <f t="array" ref="L445">XLOOKUP($A445,'Recipients REF'!$A:$A,'Recipients REF'!F:F,"",0)</f>
        <v>RCEF 25-03-05</v>
      </c>
      <c r="M445" s="43">
        <f t="array" ref="M445">XLOOKUP($A445,'Recipients REF'!$A:$A,'Recipients REF'!G:G,"",0)</f>
        <v>7</v>
      </c>
      <c r="N445" s="43" t="str">
        <f t="array" ref="N445">XLOOKUP($A445,'Recipients REF'!$A:$A,'Recipients REF'!H:H,"",0)</f>
        <v>27295 &amp; 27585</v>
      </c>
      <c r="O445" s="44" t="s">
        <v>25</v>
      </c>
      <c r="P445" s="45" t="s">
        <v>26</v>
      </c>
      <c r="Q445" s="46" t="str">
        <f t="array" ref="Q445">XLOOKUP($A445,'Recipients REF'!$A:$A,'Recipients REF'!I:I,"",0)</f>
        <v>KMC5825 ACSFPV0262</v>
      </c>
      <c r="R445" s="53" t="str">
        <f t="array" ref="R445">XLOOKUP($A445,'Recipients REF'!$A:$A,'Recipients REF'!J:J,"",0)</f>
        <v>STS100284</v>
      </c>
      <c r="S445" s="45" t="s">
        <v>27</v>
      </c>
      <c r="T445" s="45" t="s">
        <v>28</v>
      </c>
      <c r="U445" s="46" t="str">
        <f t="array" ref="U445">XLOOKUP($A445,'Recipients REF'!$A:$A,'Recipients REF'!K:K,"",0)</f>
        <v>R- SERIES 105</v>
      </c>
      <c r="V445" s="44" t="s">
        <v>29</v>
      </c>
      <c r="W445" s="45" t="s">
        <v>30</v>
      </c>
      <c r="X445" s="53" t="str">
        <f t="array" ref="X445">XLOOKUP($A445,'Recipients REF'!$A:$A,'Recipients REF'!L:L,"",0)</f>
        <v>25090610</v>
      </c>
      <c r="Y445" s="48" t="s">
        <v>29</v>
      </c>
      <c r="Z445" s="48" t="s">
        <v>31</v>
      </c>
      <c r="AA445" s="54">
        <f t="array" ref="AA445">XLOOKUP($A445,'Recipients REF'!$A:$A,'Recipients REF'!M:M,"",0)</f>
        <v>25121329</v>
      </c>
      <c r="AB445" s="49"/>
      <c r="AC445" s="42"/>
      <c r="AD445" s="42"/>
      <c r="AE445" s="50"/>
      <c r="AF445" s="42"/>
      <c r="AG445" s="42"/>
      <c r="AH445" s="42"/>
      <c r="AI445" s="42" t="str">
        <f t="array" ref="AI445">XLOOKUP($E445,Sheet11!$D:$D,Sheet11!$X:$X,"",0)</f>
        <v/>
      </c>
      <c r="AJ445" s="42" t="str">
        <f t="array" ref="AJ445">XLOOKUP($E445,Sheet11!$D:$D,Sheet11!$Y:$Y,"",0)</f>
        <v/>
      </c>
    </row>
    <row r="446">
      <c r="A446" s="41">
        <v>966.0</v>
      </c>
      <c r="B446" s="42" t="s">
        <v>881</v>
      </c>
      <c r="C446" s="42" t="s">
        <v>882</v>
      </c>
      <c r="D446" s="42"/>
      <c r="E446" s="42" t="str">
        <f t="shared" ref="E446:F446" si="447">PROPER(B446)</f>
        <v>Calumangan Integrated Farmers And Farm Workers Association (Califwa)</v>
      </c>
      <c r="F446" s="42" t="str">
        <f t="shared" si="447"/>
        <v>Calumangan, Bago City, Negros Occidental</v>
      </c>
      <c r="G446" s="42" t="str">
        <f t="shared" si="3"/>
        <v>Calumangan</v>
      </c>
      <c r="H446" s="42" t="str">
        <f t="shared" si="4"/>
        <v>Bago City</v>
      </c>
      <c r="I446" s="42" t="str">
        <f t="shared" si="5"/>
        <v>Negros Occidental</v>
      </c>
      <c r="J446" s="42" t="str">
        <f t="array" ref="J446">XLOOKUP($E446,'Recipients REF'!$B:$B,'Recipients REF'!D:D,"",0)</f>
        <v>Susan M. Petallana</v>
      </c>
      <c r="K446" s="42">
        <f t="array" ref="K446">XLOOKUP($E446,'Recipients REF'!$B:$B,'Recipients REF'!E:E,"",0)</f>
        <v>9471508430</v>
      </c>
      <c r="L446" s="43" t="str">
        <f t="array" ref="L446">XLOOKUP($A446,'Recipients REF'!$A:$A,'Recipients REF'!F:F,"",0)</f>
        <v>RCEF 25-03-05</v>
      </c>
      <c r="M446" s="43">
        <f t="array" ref="M446">XLOOKUP($A446,'Recipients REF'!$A:$A,'Recipients REF'!G:G,"",0)</f>
        <v>7</v>
      </c>
      <c r="N446" s="43" t="str">
        <f t="array" ref="N446">XLOOKUP($A446,'Recipients REF'!$A:$A,'Recipients REF'!H:H,"",0)</f>
        <v>27296 &amp; 27586</v>
      </c>
      <c r="O446" s="44" t="s">
        <v>25</v>
      </c>
      <c r="P446" s="45" t="s">
        <v>26</v>
      </c>
      <c r="Q446" s="46" t="str">
        <f t="array" ref="Q446">XLOOKUP($A446,'Recipients REF'!$A:$A,'Recipients REF'!I:I,"",0)</f>
        <v>KMC5825 ACSFPV0374</v>
      </c>
      <c r="R446" s="53" t="str">
        <f t="array" ref="R446">XLOOKUP($A446,'Recipients REF'!$A:$A,'Recipients REF'!J:J,"",0)</f>
        <v>STS100414</v>
      </c>
      <c r="S446" s="45" t="s">
        <v>27</v>
      </c>
      <c r="T446" s="45" t="s">
        <v>28</v>
      </c>
      <c r="U446" s="46" t="str">
        <f t="array" ref="U446">XLOOKUP($A446,'Recipients REF'!$A:$A,'Recipients REF'!K:K,"",0)</f>
        <v>R- SERIES 104</v>
      </c>
      <c r="V446" s="44" t="s">
        <v>29</v>
      </c>
      <c r="W446" s="45" t="s">
        <v>30</v>
      </c>
      <c r="X446" s="53" t="str">
        <f t="array" ref="X446">XLOOKUP($A446,'Recipients REF'!$A:$A,'Recipients REF'!L:L,"",0)</f>
        <v>25090588</v>
      </c>
      <c r="Y446" s="48" t="s">
        <v>29</v>
      </c>
      <c r="Z446" s="48" t="s">
        <v>31</v>
      </c>
      <c r="AA446" s="54">
        <f t="array" ref="AA446">XLOOKUP($A446,'Recipients REF'!$A:$A,'Recipients REF'!M:M,"",0)</f>
        <v>25121330</v>
      </c>
      <c r="AB446" s="49"/>
      <c r="AC446" s="42"/>
      <c r="AD446" s="42"/>
      <c r="AE446" s="50"/>
      <c r="AF446" s="42"/>
      <c r="AG446" s="42"/>
      <c r="AH446" s="42"/>
      <c r="AI446" s="42" t="str">
        <f t="array" ref="AI446">XLOOKUP($E446,Sheet11!$D:$D,Sheet11!$X:$X,"",0)</f>
        <v/>
      </c>
      <c r="AJ446" s="42" t="str">
        <f t="array" ref="AJ446">XLOOKUP($E446,Sheet11!$D:$D,Sheet11!$Y:$Y,"",0)</f>
        <v/>
      </c>
    </row>
    <row r="447">
      <c r="A447" s="41">
        <v>967.0</v>
      </c>
      <c r="B447" s="42" t="s">
        <v>883</v>
      </c>
      <c r="C447" s="42" t="s">
        <v>870</v>
      </c>
      <c r="D447" s="42"/>
      <c r="E447" s="42" t="str">
        <f t="shared" ref="E447:F447" si="448">PROPER(B447)</f>
        <v>Lacbama Hills Irrigators' Association, Inc.</v>
      </c>
      <c r="F447" s="42" t="str">
        <f t="shared" si="448"/>
        <v>Dulao, Bago City, Negros Occidental</v>
      </c>
      <c r="G447" s="42" t="str">
        <f t="shared" si="3"/>
        <v>Dulao</v>
      </c>
      <c r="H447" s="42" t="str">
        <f t="shared" si="4"/>
        <v>Bago City</v>
      </c>
      <c r="I447" s="42" t="str">
        <f t="shared" si="5"/>
        <v>Negros Occidental</v>
      </c>
      <c r="J447" s="42" t="str">
        <f t="array" ref="J447">XLOOKUP($E447,'Recipients REF'!$B:$B,'Recipients REF'!D:D,"",0)</f>
        <v>Joelito A. Consas</v>
      </c>
      <c r="K447" s="42">
        <f t="array" ref="K447">XLOOKUP($E447,'Recipients REF'!$B:$B,'Recipients REF'!E:E,"",0)</f>
        <v>9165080964</v>
      </c>
      <c r="L447" s="43" t="str">
        <f t="array" ref="L447">XLOOKUP($A447,'Recipients REF'!$A:$A,'Recipients REF'!F:F,"",0)</f>
        <v>RCEF 25-03-05</v>
      </c>
      <c r="M447" s="43">
        <f t="array" ref="M447">XLOOKUP($A447,'Recipients REF'!$A:$A,'Recipients REF'!G:G,"",0)</f>
        <v>7</v>
      </c>
      <c r="N447" s="43" t="str">
        <f t="array" ref="N447">XLOOKUP($A447,'Recipients REF'!$A:$A,'Recipients REF'!H:H,"",0)</f>
        <v>27297 &amp; 27587</v>
      </c>
      <c r="O447" s="44" t="s">
        <v>25</v>
      </c>
      <c r="P447" s="45" t="s">
        <v>26</v>
      </c>
      <c r="Q447" s="46" t="str">
        <f t="array" ref="Q447">XLOOKUP($A447,'Recipients REF'!$A:$A,'Recipients REF'!I:I,"",0)</f>
        <v>KMC5825 ALSFPV0354</v>
      </c>
      <c r="R447" s="53" t="str">
        <f t="array" ref="R447">XLOOKUP($A447,'Recipients REF'!$A:$A,'Recipients REF'!J:J,"",0)</f>
        <v>STS100371</v>
      </c>
      <c r="S447" s="45" t="s">
        <v>27</v>
      </c>
      <c r="T447" s="45" t="s">
        <v>28</v>
      </c>
      <c r="U447" s="46" t="str">
        <f t="array" ref="U447">XLOOKUP($A447,'Recipients REF'!$A:$A,'Recipients REF'!K:K,"",0)</f>
        <v>R- SERIES 103</v>
      </c>
      <c r="V447" s="44" t="s">
        <v>29</v>
      </c>
      <c r="W447" s="45" t="s">
        <v>30</v>
      </c>
      <c r="X447" s="53" t="str">
        <f t="array" ref="X447">XLOOKUP($A447,'Recipients REF'!$A:$A,'Recipients REF'!L:L,"",0)</f>
        <v>2509595</v>
      </c>
      <c r="Y447" s="48" t="s">
        <v>29</v>
      </c>
      <c r="Z447" s="48" t="s">
        <v>31</v>
      </c>
      <c r="AA447" s="54">
        <f t="array" ref="AA447">XLOOKUP($A447,'Recipients REF'!$A:$A,'Recipients REF'!M:M,"",0)</f>
        <v>25121331</v>
      </c>
      <c r="AB447" s="49"/>
      <c r="AC447" s="42"/>
      <c r="AD447" s="42"/>
      <c r="AE447" s="50"/>
      <c r="AF447" s="42"/>
      <c r="AG447" s="42"/>
      <c r="AH447" s="42"/>
      <c r="AI447" s="42" t="str">
        <f t="array" ref="AI447">XLOOKUP($E447,Sheet11!$D:$D,Sheet11!$X:$X,"",0)</f>
        <v/>
      </c>
      <c r="AJ447" s="42" t="str">
        <f t="array" ref="AJ447">XLOOKUP($E447,Sheet11!$D:$D,Sheet11!$Y:$Y,"",0)</f>
        <v/>
      </c>
    </row>
    <row r="448">
      <c r="A448" s="41">
        <v>968.0</v>
      </c>
      <c r="B448" s="42" t="s">
        <v>884</v>
      </c>
      <c r="C448" s="42" t="s">
        <v>885</v>
      </c>
      <c r="D448" s="42"/>
      <c r="E448" s="42" t="str">
        <f t="shared" ref="E448:F448" si="449">PROPER(B448)</f>
        <v>Tabao Rizal Farmers Association</v>
      </c>
      <c r="F448" s="42" t="str">
        <f t="shared" si="449"/>
        <v>Tabao Rizal, San Enrique, Negros Occidental</v>
      </c>
      <c r="G448" s="42" t="str">
        <f t="shared" si="3"/>
        <v>Tabao Rizal</v>
      </c>
      <c r="H448" s="42" t="str">
        <f t="shared" si="4"/>
        <v>San Enrique</v>
      </c>
      <c r="I448" s="42" t="str">
        <f t="shared" si="5"/>
        <v>Negros Occidental</v>
      </c>
      <c r="J448" s="42" t="str">
        <f t="array" ref="J448">XLOOKUP($E448,'Recipients REF'!$B:$B,'Recipients REF'!D:D,"",0)</f>
        <v>Josie Bacolina, Jr.</v>
      </c>
      <c r="K448" s="42">
        <f t="array" ref="K448">XLOOKUP($E448,'Recipients REF'!$B:$B,'Recipients REF'!E:E,"",0)</f>
        <v>9810054575</v>
      </c>
      <c r="L448" s="43" t="str">
        <f t="array" ref="L448">XLOOKUP($A448,'Recipients REF'!$A:$A,'Recipients REF'!F:F,"",0)</f>
        <v>RCEF 25-03-05</v>
      </c>
      <c r="M448" s="43">
        <f t="array" ref="M448">XLOOKUP($A448,'Recipients REF'!$A:$A,'Recipients REF'!G:G,"",0)</f>
        <v>7</v>
      </c>
      <c r="N448" s="43" t="str">
        <f t="array" ref="N448">XLOOKUP($A448,'Recipients REF'!$A:$A,'Recipients REF'!H:H,"",0)</f>
        <v>27298 &amp; 27588</v>
      </c>
      <c r="O448" s="44" t="s">
        <v>25</v>
      </c>
      <c r="P448" s="45" t="s">
        <v>26</v>
      </c>
      <c r="Q448" s="46" t="str">
        <f t="array" ref="Q448">XLOOKUP($A448,'Recipients REF'!$A:$A,'Recipients REF'!I:I,"",0)</f>
        <v>KMC5825 ATSFPV0344</v>
      </c>
      <c r="R448" s="53" t="str">
        <f t="array" ref="R448">XLOOKUP($A448,'Recipients REF'!$A:$A,'Recipients REF'!J:J,"",0)</f>
        <v>STS100365</v>
      </c>
      <c r="S448" s="45" t="s">
        <v>27</v>
      </c>
      <c r="T448" s="45" t="s">
        <v>28</v>
      </c>
      <c r="U448" s="46" t="str">
        <f t="array" ref="U448">XLOOKUP($A448,'Recipients REF'!$A:$A,'Recipients REF'!K:K,"",0)</f>
        <v>R- SERIES 77</v>
      </c>
      <c r="V448" s="44" t="s">
        <v>29</v>
      </c>
      <c r="W448" s="45" t="s">
        <v>30</v>
      </c>
      <c r="X448" s="53" t="str">
        <f t="array" ref="X448">XLOOKUP($A448,'Recipients REF'!$A:$A,'Recipients REF'!L:L,"",0)</f>
        <v>25090614</v>
      </c>
      <c r="Y448" s="48" t="s">
        <v>29</v>
      </c>
      <c r="Z448" s="48" t="s">
        <v>31</v>
      </c>
      <c r="AA448" s="54">
        <f t="array" ref="AA448">XLOOKUP($A448,'Recipients REF'!$A:$A,'Recipients REF'!M:M,"",0)</f>
        <v>25121332</v>
      </c>
      <c r="AB448" s="49"/>
      <c r="AC448" s="42"/>
      <c r="AD448" s="42"/>
      <c r="AE448" s="50"/>
      <c r="AF448" s="42"/>
      <c r="AG448" s="42"/>
      <c r="AH448" s="42"/>
      <c r="AI448" s="42" t="str">
        <f t="array" ref="AI448">XLOOKUP($E448,Sheet11!$D:$D,Sheet11!$X:$X,"",0)</f>
        <v/>
      </c>
      <c r="AJ448" s="42" t="str">
        <f t="array" ref="AJ448">XLOOKUP($E448,Sheet11!$D:$D,Sheet11!$Y:$Y,"",0)</f>
        <v/>
      </c>
    </row>
    <row r="449">
      <c r="A449" s="41">
        <v>969.0</v>
      </c>
      <c r="B449" s="42" t="s">
        <v>886</v>
      </c>
      <c r="C449" s="42" t="s">
        <v>887</v>
      </c>
      <c r="D449" s="42"/>
      <c r="E449" s="42" t="str">
        <f t="shared" ref="E449:F449" si="450">PROPER(B449)</f>
        <v>Lacapa Irrigators' Association, Inc.</v>
      </c>
      <c r="F449" s="42" t="str">
        <f t="shared" si="450"/>
        <v>Lacaron, Valladolid, Negros Occidental</v>
      </c>
      <c r="G449" s="42" t="str">
        <f t="shared" si="3"/>
        <v>Lacaron</v>
      </c>
      <c r="H449" s="42" t="str">
        <f t="shared" si="4"/>
        <v>Valladolid</v>
      </c>
      <c r="I449" s="42" t="str">
        <f t="shared" si="5"/>
        <v>Negros Occidental</v>
      </c>
      <c r="J449" s="42" t="str">
        <f t="array" ref="J449">XLOOKUP($E449,'Recipients REF'!$B:$B,'Recipients REF'!D:D,"",0)</f>
        <v>Joseph Octiva</v>
      </c>
      <c r="K449" s="42">
        <f t="array" ref="K449">XLOOKUP($E449,'Recipients REF'!$B:$B,'Recipients REF'!E:E,"",0)</f>
        <v>9630830532</v>
      </c>
      <c r="L449" s="43" t="str">
        <f t="array" ref="L449">XLOOKUP($A449,'Recipients REF'!$A:$A,'Recipients REF'!F:F,"",0)</f>
        <v>RCEF 25-03-05</v>
      </c>
      <c r="M449" s="43">
        <f t="array" ref="M449">XLOOKUP($A449,'Recipients REF'!$A:$A,'Recipients REF'!G:G,"",0)</f>
        <v>7</v>
      </c>
      <c r="N449" s="43" t="str">
        <f t="array" ref="N449">XLOOKUP($A449,'Recipients REF'!$A:$A,'Recipients REF'!H:H,"",0)</f>
        <v>27299 &amp; 27589</v>
      </c>
      <c r="O449" s="44" t="s">
        <v>25</v>
      </c>
      <c r="P449" s="45" t="s">
        <v>26</v>
      </c>
      <c r="Q449" s="46" t="str">
        <f t="array" ref="Q449">XLOOKUP($A449,'Recipients REF'!$A:$A,'Recipients REF'!I:I,"",0)</f>
        <v>KMC5825 AESFPV0342</v>
      </c>
      <c r="R449" s="53" t="str">
        <f t="array" ref="R449">XLOOKUP($A449,'Recipients REF'!$A:$A,'Recipients REF'!J:J,"",0)</f>
        <v>STS100343</v>
      </c>
      <c r="S449" s="45" t="s">
        <v>27</v>
      </c>
      <c r="T449" s="45" t="s">
        <v>28</v>
      </c>
      <c r="U449" s="46" t="str">
        <f t="array" ref="U449">XLOOKUP($A449,'Recipients REF'!$A:$A,'Recipients REF'!K:K,"",0)</f>
        <v>R- SERIES 81</v>
      </c>
      <c r="V449" s="44" t="s">
        <v>29</v>
      </c>
      <c r="W449" s="45" t="s">
        <v>30</v>
      </c>
      <c r="X449" s="53" t="str">
        <f t="array" ref="X449">XLOOKUP($A449,'Recipients REF'!$A:$A,'Recipients REF'!L:L,"",0)</f>
        <v>25090607</v>
      </c>
      <c r="Y449" s="48" t="s">
        <v>29</v>
      </c>
      <c r="Z449" s="48" t="s">
        <v>31</v>
      </c>
      <c r="AA449" s="54">
        <f t="array" ref="AA449">XLOOKUP($A449,'Recipients REF'!$A:$A,'Recipients REF'!M:M,"",0)</f>
        <v>25121333</v>
      </c>
      <c r="AB449" s="49"/>
      <c r="AC449" s="42"/>
      <c r="AD449" s="42"/>
      <c r="AE449" s="50"/>
      <c r="AF449" s="42"/>
      <c r="AG449" s="42"/>
      <c r="AH449" s="42"/>
      <c r="AI449" s="42" t="str">
        <f t="array" ref="AI449">XLOOKUP($E449,Sheet11!$D:$D,Sheet11!$X:$X,"",0)</f>
        <v/>
      </c>
      <c r="AJ449" s="42" t="str">
        <f t="array" ref="AJ449">XLOOKUP($E449,Sheet11!$D:$D,Sheet11!$Y:$Y,"",0)</f>
        <v/>
      </c>
    </row>
    <row r="450">
      <c r="A450" s="41">
        <v>970.0</v>
      </c>
      <c r="B450" s="42" t="s">
        <v>888</v>
      </c>
      <c r="C450" s="42" t="s">
        <v>889</v>
      </c>
      <c r="D450" s="42"/>
      <c r="E450" s="42" t="str">
        <f t="shared" ref="E450:F450" si="451">PROPER(B450)</f>
        <v>Mag-Inugyon Farmers Irrigators' Association, Inc.</v>
      </c>
      <c r="F450" s="42" t="str">
        <f t="shared" si="451"/>
        <v>Mabini, Valladolid, Negros Occidental</v>
      </c>
      <c r="G450" s="42" t="str">
        <f t="shared" si="3"/>
        <v>Mabini</v>
      </c>
      <c r="H450" s="42" t="str">
        <f t="shared" si="4"/>
        <v>Valladolid</v>
      </c>
      <c r="I450" s="42" t="str">
        <f t="shared" si="5"/>
        <v>Negros Occidental</v>
      </c>
      <c r="J450" s="42" t="str">
        <f t="array" ref="J450">XLOOKUP($E450,'Recipients REF'!$B:$B,'Recipients REF'!D:D,"",0)</f>
        <v>Eduardo Salcedo</v>
      </c>
      <c r="K450" s="42">
        <f t="array" ref="K450">XLOOKUP($E450,'Recipients REF'!$B:$B,'Recipients REF'!E:E,"",0)</f>
        <v>9468852404</v>
      </c>
      <c r="L450" s="43" t="str">
        <f t="array" ref="L450">XLOOKUP($A450,'Recipients REF'!$A:$A,'Recipients REF'!F:F,"",0)</f>
        <v>RCEF 25-03-05</v>
      </c>
      <c r="M450" s="43">
        <f t="array" ref="M450">XLOOKUP($A450,'Recipients REF'!$A:$A,'Recipients REF'!G:G,"",0)</f>
        <v>7</v>
      </c>
      <c r="N450" s="43" t="str">
        <f t="array" ref="N450">XLOOKUP($A450,'Recipients REF'!$A:$A,'Recipients REF'!H:H,"",0)</f>
        <v>27300 &amp; 27591</v>
      </c>
      <c r="O450" s="44" t="s">
        <v>25</v>
      </c>
      <c r="P450" s="45" t="s">
        <v>26</v>
      </c>
      <c r="Q450" s="46" t="str">
        <f t="array" ref="Q450">XLOOKUP($A450,'Recipients REF'!$A:$A,'Recipients REF'!I:I,"",0)</f>
        <v>KMC5825 AVSFPV0352</v>
      </c>
      <c r="R450" s="53" t="str">
        <f t="array" ref="R450">XLOOKUP($A450,'Recipients REF'!$A:$A,'Recipients REF'!J:J,"",0)</f>
        <v>STS100374</v>
      </c>
      <c r="S450" s="45" t="s">
        <v>27</v>
      </c>
      <c r="T450" s="45" t="s">
        <v>28</v>
      </c>
      <c r="U450" s="46" t="str">
        <f t="array" ref="U450">XLOOKUP($A450,'Recipients REF'!$A:$A,'Recipients REF'!K:K,"",0)</f>
        <v>R- SERIES 74</v>
      </c>
      <c r="V450" s="44" t="s">
        <v>29</v>
      </c>
      <c r="W450" s="45" t="s">
        <v>30</v>
      </c>
      <c r="X450" s="53" t="str">
        <f t="array" ref="X450">XLOOKUP($A450,'Recipients REF'!$A:$A,'Recipients REF'!L:L,"",0)</f>
        <v>25090596</v>
      </c>
      <c r="Y450" s="48" t="s">
        <v>29</v>
      </c>
      <c r="Z450" s="48" t="s">
        <v>31</v>
      </c>
      <c r="AA450" s="54">
        <f t="array" ref="AA450">XLOOKUP($A450,'Recipients REF'!$A:$A,'Recipients REF'!M:M,"",0)</f>
        <v>25121334</v>
      </c>
      <c r="AB450" s="49"/>
      <c r="AC450" s="42"/>
      <c r="AD450" s="42"/>
      <c r="AE450" s="50"/>
      <c r="AF450" s="42"/>
      <c r="AG450" s="42"/>
      <c r="AH450" s="42"/>
      <c r="AI450" s="42" t="str">
        <f t="array" ref="AI450">XLOOKUP($E450,Sheet11!$D:$D,Sheet11!$X:$X,"",0)</f>
        <v/>
      </c>
      <c r="AJ450" s="42" t="str">
        <f t="array" ref="AJ450">XLOOKUP($E450,Sheet11!$D:$D,Sheet11!$Y:$Y,"",0)</f>
        <v/>
      </c>
    </row>
    <row r="451">
      <c r="A451" s="41">
        <v>971.0</v>
      </c>
      <c r="B451" s="42" t="s">
        <v>890</v>
      </c>
      <c r="C451" s="42" t="s">
        <v>891</v>
      </c>
      <c r="D451" s="42"/>
      <c r="E451" s="42" t="str">
        <f t="shared" ref="E451:F451" si="452">PROPER(B451)</f>
        <v>Pacol Himaya Irrigators' Association, Inc.</v>
      </c>
      <c r="F451" s="42" t="str">
        <f t="shared" si="452"/>
        <v>Alijis, Valladolid, Negros Occidental</v>
      </c>
      <c r="G451" s="42" t="str">
        <f t="shared" si="3"/>
        <v>Alijis</v>
      </c>
      <c r="H451" s="42" t="str">
        <f t="shared" si="4"/>
        <v>Valladolid</v>
      </c>
      <c r="I451" s="42" t="str">
        <f t="shared" si="5"/>
        <v>Negros Occidental</v>
      </c>
      <c r="J451" s="42" t="str">
        <f t="array" ref="J451">XLOOKUP($E451,'Recipients REF'!$B:$B,'Recipients REF'!D:D,"",0)</f>
        <v>Joey Belarmino</v>
      </c>
      <c r="K451" s="42">
        <f t="array" ref="K451">XLOOKUP($E451,'Recipients REF'!$B:$B,'Recipients REF'!E:E,"",0)</f>
        <v>9701975411</v>
      </c>
      <c r="L451" s="43" t="str">
        <f t="array" ref="L451">XLOOKUP($A451,'Recipients REF'!$A:$A,'Recipients REF'!F:F,"",0)</f>
        <v>RCEF 25-03-05</v>
      </c>
      <c r="M451" s="43">
        <f t="array" ref="M451">XLOOKUP($A451,'Recipients REF'!$A:$A,'Recipients REF'!G:G,"",0)</f>
        <v>7</v>
      </c>
      <c r="N451" s="43" t="str">
        <f t="array" ref="N451">XLOOKUP($A451,'Recipients REF'!$A:$A,'Recipients REF'!H:H,"",0)</f>
        <v>27301 &amp; 27590</v>
      </c>
      <c r="O451" s="44" t="s">
        <v>25</v>
      </c>
      <c r="P451" s="45" t="s">
        <v>26</v>
      </c>
      <c r="Q451" s="46" t="str">
        <f t="array" ref="Q451">XLOOKUP($A451,'Recipients REF'!$A:$A,'Recipients REF'!I:I,"",0)</f>
        <v>KMC5825 AHSFPV0372</v>
      </c>
      <c r="R451" s="53" t="str">
        <f t="array" ref="R451">XLOOKUP($A451,'Recipients REF'!$A:$A,'Recipients REF'!J:J,"",0)</f>
        <v>STS100423</v>
      </c>
      <c r="S451" s="45" t="s">
        <v>27</v>
      </c>
      <c r="T451" s="45" t="s">
        <v>28</v>
      </c>
      <c r="U451" s="46" t="str">
        <f t="array" ref="U451">XLOOKUP($A451,'Recipients REF'!$A:$A,'Recipients REF'!K:K,"",0)</f>
        <v>R- SERIES 099 PH</v>
      </c>
      <c r="V451" s="44" t="s">
        <v>29</v>
      </c>
      <c r="W451" s="45" t="s">
        <v>30</v>
      </c>
      <c r="X451" s="53" t="str">
        <f t="array" ref="X451">XLOOKUP($A451,'Recipients REF'!$A:$A,'Recipients REF'!L:L,"",0)</f>
        <v>25090578</v>
      </c>
      <c r="Y451" s="48" t="s">
        <v>29</v>
      </c>
      <c r="Z451" s="48" t="s">
        <v>31</v>
      </c>
      <c r="AA451" s="54">
        <f t="array" ref="AA451">XLOOKUP($A451,'Recipients REF'!$A:$A,'Recipients REF'!M:M,"",0)</f>
        <v>25121335</v>
      </c>
      <c r="AB451" s="49"/>
      <c r="AC451" s="42"/>
      <c r="AD451" s="42"/>
      <c r="AE451" s="50"/>
      <c r="AF451" s="42"/>
      <c r="AG451" s="42"/>
      <c r="AH451" s="42"/>
      <c r="AI451" s="42" t="str">
        <f t="array" ref="AI451">XLOOKUP($E451,Sheet11!$D:$D,Sheet11!$X:$X,"",0)</f>
        <v/>
      </c>
      <c r="AJ451" s="42" t="str">
        <f t="array" ref="AJ451">XLOOKUP($E451,Sheet11!$D:$D,Sheet11!$Y:$Y,"",0)</f>
        <v/>
      </c>
    </row>
    <row r="452">
      <c r="A452" s="41">
        <v>972.0</v>
      </c>
      <c r="B452" s="42" t="s">
        <v>892</v>
      </c>
      <c r="C452" s="42" t="s">
        <v>893</v>
      </c>
      <c r="D452" s="42"/>
      <c r="E452" s="42" t="str">
        <f t="shared" ref="E452:F452" si="453">PROPER(B452)</f>
        <v>Pukawabi Irrigators' Association, Inc.</v>
      </c>
      <c r="F452" s="42" t="str">
        <f t="shared" si="453"/>
        <v>Batuan, Valladolid, Negros Occidental</v>
      </c>
      <c r="G452" s="42" t="str">
        <f t="shared" si="3"/>
        <v>Batuan</v>
      </c>
      <c r="H452" s="42" t="str">
        <f t="shared" si="4"/>
        <v>Valladolid</v>
      </c>
      <c r="I452" s="42" t="str">
        <f t="shared" si="5"/>
        <v>Negros Occidental</v>
      </c>
      <c r="J452" s="42" t="str">
        <f t="array" ref="J452">XLOOKUP($E452,'Recipients REF'!$B:$B,'Recipients REF'!D:D,"",0)</f>
        <v>Joel Samera</v>
      </c>
      <c r="K452" s="42">
        <f t="array" ref="K452">XLOOKUP($E452,'Recipients REF'!$B:$B,'Recipients REF'!E:E,"",0)</f>
        <v>9274001838</v>
      </c>
      <c r="L452" s="43" t="str">
        <f t="array" ref="L452">XLOOKUP($A452,'Recipients REF'!$A:$A,'Recipients REF'!F:F,"",0)</f>
        <v>RCEF 25-03-05</v>
      </c>
      <c r="M452" s="43">
        <f t="array" ref="M452">XLOOKUP($A452,'Recipients REF'!$A:$A,'Recipients REF'!G:G,"",0)</f>
        <v>7</v>
      </c>
      <c r="N452" s="43" t="str">
        <f t="array" ref="N452">XLOOKUP($A452,'Recipients REF'!$A:$A,'Recipients REF'!H:H,"",0)</f>
        <v>27302 &amp; 27592</v>
      </c>
      <c r="O452" s="44" t="s">
        <v>25</v>
      </c>
      <c r="P452" s="45" t="s">
        <v>26</v>
      </c>
      <c r="Q452" s="46" t="str">
        <f t="array" ref="Q452">XLOOKUP($A452,'Recipients REF'!$A:$A,'Recipients REF'!I:I,"",0)</f>
        <v>KMC5825 ATSFPV0263</v>
      </c>
      <c r="R452" s="53" t="str">
        <f t="array" ref="R452">XLOOKUP($A452,'Recipients REF'!$A:$A,'Recipients REF'!J:J,"",0)</f>
        <v>STS100290</v>
      </c>
      <c r="S452" s="45" t="s">
        <v>27</v>
      </c>
      <c r="T452" s="45" t="s">
        <v>28</v>
      </c>
      <c r="U452" s="46" t="str">
        <f t="array" ref="U452">XLOOKUP($A452,'Recipients REF'!$A:$A,'Recipients REF'!K:K,"",0)</f>
        <v>R- SERIES 78</v>
      </c>
      <c r="V452" s="44" t="s">
        <v>29</v>
      </c>
      <c r="W452" s="45" t="s">
        <v>30</v>
      </c>
      <c r="X452" s="53" t="str">
        <f t="array" ref="X452">XLOOKUP($A452,'Recipients REF'!$A:$A,'Recipients REF'!L:L,"",0)</f>
        <v>25090588</v>
      </c>
      <c r="Y452" s="48" t="s">
        <v>29</v>
      </c>
      <c r="Z452" s="48" t="s">
        <v>31</v>
      </c>
      <c r="AA452" s="54">
        <f t="array" ref="AA452">XLOOKUP($A452,'Recipients REF'!$A:$A,'Recipients REF'!M:M,"",0)</f>
        <v>25121336</v>
      </c>
      <c r="AB452" s="49"/>
      <c r="AC452" s="42"/>
      <c r="AD452" s="42"/>
      <c r="AE452" s="50"/>
      <c r="AF452" s="42"/>
      <c r="AG452" s="42"/>
      <c r="AH452" s="42"/>
      <c r="AI452" s="42" t="str">
        <f t="array" ref="AI452">XLOOKUP($E452,Sheet11!$D:$D,Sheet11!$X:$X,"",0)</f>
        <v/>
      </c>
      <c r="AJ452" s="42" t="str">
        <f t="array" ref="AJ452">XLOOKUP($E452,Sheet11!$D:$D,Sheet11!$Y:$Y,"",0)</f>
        <v/>
      </c>
    </row>
    <row r="453">
      <c r="A453" s="41">
        <v>973.0</v>
      </c>
      <c r="B453" s="42" t="s">
        <v>894</v>
      </c>
      <c r="C453" s="42" t="s">
        <v>895</v>
      </c>
      <c r="D453" s="42"/>
      <c r="E453" s="42" t="str">
        <f t="shared" ref="E453:F453" si="454">PROPER(B453)</f>
        <v>Municipal Local Government Unit Of Binalbagan</v>
      </c>
      <c r="F453" s="42" t="str">
        <f t="shared" si="454"/>
        <v>San Pedro (Pob.), Binalbagan, Negros Occidental</v>
      </c>
      <c r="G453" s="42" t="str">
        <f t="shared" si="3"/>
        <v>San Pedro (Pob.)</v>
      </c>
      <c r="H453" s="42" t="str">
        <f t="shared" si="4"/>
        <v>Binalbagan</v>
      </c>
      <c r="I453" s="42" t="str">
        <f t="shared" si="5"/>
        <v>Negros Occidental</v>
      </c>
      <c r="J453" s="42" t="str">
        <f t="array" ref="J453">XLOOKUP($E453,'Recipients REF'!$B:$B,'Recipients REF'!D:D,"",0)</f>
        <v>Hon. Alejandro Y. Mirasol</v>
      </c>
      <c r="K453" s="42" t="str">
        <f t="array" ref="K453">XLOOKUP($E453,'Recipients REF'!$B:$B,'Recipients REF'!E:E,"",0)</f>
        <v>MA:Kenny Zamora 09977886865</v>
      </c>
      <c r="L453" s="43" t="str">
        <f t="array" ref="L453">XLOOKUP($A453,'Recipients REF'!$A:$A,'Recipients REF'!F:F,"",0)</f>
        <v>RCEF 25-03-05</v>
      </c>
      <c r="M453" s="43">
        <f t="array" ref="M453">XLOOKUP($A453,'Recipients REF'!$A:$A,'Recipients REF'!G:G,"",0)</f>
        <v>7</v>
      </c>
      <c r="N453" s="43" t="str">
        <f t="array" ref="N453">XLOOKUP($A453,'Recipients REF'!$A:$A,'Recipients REF'!H:H,"",0)</f>
        <v>27303 &amp; 27593</v>
      </c>
      <c r="O453" s="44" t="s">
        <v>25</v>
      </c>
      <c r="P453" s="45" t="s">
        <v>26</v>
      </c>
      <c r="Q453" s="46" t="str">
        <f t="array" ref="Q453">XLOOKUP($A453,'Recipients REF'!$A:$A,'Recipients REF'!I:I,"",0)</f>
        <v>KMC5825 AVSFPV0206</v>
      </c>
      <c r="R453" s="53" t="str">
        <f t="array" ref="R453">XLOOKUP($A453,'Recipients REF'!$A:$A,'Recipients REF'!J:J,"",0)</f>
        <v>STS100228</v>
      </c>
      <c r="S453" s="45" t="s">
        <v>27</v>
      </c>
      <c r="T453" s="45" t="s">
        <v>28</v>
      </c>
      <c r="U453" s="46" t="str">
        <f t="array" ref="U453">XLOOKUP($A453,'Recipients REF'!$A:$A,'Recipients REF'!K:K,"",0)</f>
        <v>R-SERIES 1078PH</v>
      </c>
      <c r="V453" s="44" t="s">
        <v>29</v>
      </c>
      <c r="W453" s="45" t="s">
        <v>30</v>
      </c>
      <c r="X453" s="53" t="str">
        <f t="array" ref="X453">XLOOKUP($A453,'Recipients REF'!$A:$A,'Recipients REF'!L:L,"",0)</f>
        <v>25090604</v>
      </c>
      <c r="Y453" s="48" t="s">
        <v>29</v>
      </c>
      <c r="Z453" s="48" t="s">
        <v>31</v>
      </c>
      <c r="AA453" s="54">
        <f t="array" ref="AA453">XLOOKUP($A453,'Recipients REF'!$A:$A,'Recipients REF'!M:M,"",0)</f>
        <v>25121337</v>
      </c>
      <c r="AB453" s="49"/>
      <c r="AC453" s="42"/>
      <c r="AD453" s="42"/>
      <c r="AE453" s="50"/>
      <c r="AF453" s="42"/>
      <c r="AG453" s="42"/>
      <c r="AH453" s="42"/>
      <c r="AI453" s="42" t="str">
        <f t="array" ref="AI453">XLOOKUP($E453,Sheet11!$D:$D,Sheet11!$X:$X,"",0)</f>
        <v/>
      </c>
      <c r="AJ453" s="42" t="str">
        <f t="array" ref="AJ453">XLOOKUP($E453,Sheet11!$D:$D,Sheet11!$Y:$Y,"",0)</f>
        <v/>
      </c>
    </row>
    <row r="454">
      <c r="A454" s="41">
        <v>212.0</v>
      </c>
      <c r="B454" s="42" t="s">
        <v>896</v>
      </c>
      <c r="C454" s="42" t="s">
        <v>897</v>
      </c>
      <c r="D454" s="42"/>
      <c r="E454" s="42" t="str">
        <f t="shared" ref="E454:F454" si="455">PROPER(B454)</f>
        <v>Rajal-Sto.Tomas Irrigators' Association, Inc.</v>
      </c>
      <c r="F454" s="42" t="str">
        <f t="shared" si="455"/>
        <v>Santo Tomas, Aliaga, Nueva Ecija</v>
      </c>
      <c r="G454" s="42" t="str">
        <f t="shared" si="3"/>
        <v>Santo Tomas</v>
      </c>
      <c r="H454" s="42" t="str">
        <f t="shared" si="4"/>
        <v>Aliaga</v>
      </c>
      <c r="I454" s="42" t="str">
        <f t="shared" si="5"/>
        <v>Nueva Ecija</v>
      </c>
      <c r="J454" s="42" t="str">
        <f t="array" ref="J454">XLOOKUP($E454,'Recipients REF'!$B:$B,'Recipients REF'!D:D,"",0)</f>
        <v>Mascardo Diaz</v>
      </c>
      <c r="K454" s="42" t="str">
        <f t="array" ref="K454">XLOOKUP($E454,'Recipients REF'!$B:$B,'Recipients REF'!E:E,"",0)</f>
        <v>0922-901-2873</v>
      </c>
      <c r="L454" s="43" t="str">
        <f t="array" ref="L454">XLOOKUP($A454,'Recipients REF'!$A:$A,'Recipients REF'!F:F,"",0)</f>
        <v>RCEF 23-09-21 Rebidding</v>
      </c>
      <c r="M454" s="43">
        <f t="array" ref="M454">XLOOKUP($A454,'Recipients REF'!$A:$A,'Recipients REF'!G:G,"",0)</f>
        <v>3</v>
      </c>
      <c r="N454" s="43">
        <f t="array" ref="N454">XLOOKUP($A454,'Recipients REF'!$A:$A,'Recipients REF'!H:H,"",0)</f>
        <v>18764</v>
      </c>
      <c r="O454" s="44" t="s">
        <v>25</v>
      </c>
      <c r="P454" s="45" t="s">
        <v>26</v>
      </c>
      <c r="Q454" s="46" t="str">
        <f t="array" ref="Q454">XLOOKUP($A454,'Recipients REF'!$A:$A,'Recipients REF'!I:I,"",0)</f>
        <v>KMC5825 AJRFPV0505</v>
      </c>
      <c r="R454" s="47" t="str">
        <f t="array" ref="R454">XLOOKUP($A454,'Recipients REF'!$A:$A,'Recipients REF'!J:J,"",0)</f>
        <v>RTS 100401</v>
      </c>
      <c r="S454" s="45" t="s">
        <v>27</v>
      </c>
      <c r="T454" s="45" t="s">
        <v>28</v>
      </c>
      <c r="U454" s="46" t="str">
        <f t="array" ref="U454">XLOOKUP($A454,'Recipients REF'!$A:$A,'Recipients REF'!K:K,"",0)</f>
        <v>R-SERIES 129 PH</v>
      </c>
      <c r="V454" s="44" t="s">
        <v>29</v>
      </c>
      <c r="W454" s="45" t="s">
        <v>30</v>
      </c>
      <c r="X454" s="47" t="str">
        <f t="array" ref="X454">XLOOKUP($A454,'Recipients REF'!$A:$A,'Recipients REF'!L:L,"",0)</f>
        <v>LSGW1750 RMP 2312154</v>
      </c>
      <c r="Y454" s="48" t="s">
        <v>29</v>
      </c>
      <c r="Z454" s="48" t="s">
        <v>31</v>
      </c>
      <c r="AA454" s="46" t="str">
        <f t="array" ref="AA454">XLOOKUP($A454,'Recipients REF'!$A:$A,'Recipients REF'!M:M,"",0)</f>
        <v>WDP40 RMP 24020191</v>
      </c>
      <c r="AB454" s="49"/>
      <c r="AC454" s="42"/>
      <c r="AD454" s="42"/>
      <c r="AE454" s="55">
        <v>8.69066060245009E14</v>
      </c>
      <c r="AF454" s="56">
        <v>9.623759856E9</v>
      </c>
      <c r="AG454" s="42"/>
      <c r="AH454" s="42"/>
      <c r="AI454" s="42">
        <f t="array" ref="AI454">XLOOKUP($E454,Sheet11!$D:$D,Sheet11!$X:$X,"",0)</f>
        <v>869066060245009</v>
      </c>
      <c r="AJ454" s="42">
        <f t="array" ref="AJ454">XLOOKUP($E454,Sheet11!$D:$D,Sheet11!$Y:$Y,"",0)</f>
        <v>9623759856</v>
      </c>
    </row>
    <row r="455">
      <c r="A455" s="41">
        <v>639.0</v>
      </c>
      <c r="B455" s="42" t="s">
        <v>898</v>
      </c>
      <c r="C455" s="42" t="s">
        <v>899</v>
      </c>
      <c r="D455" s="42"/>
      <c r="E455" s="42" t="str">
        <f t="shared" ref="E455:F455" si="456">PROPER(B455)</f>
        <v>Bagong Silang Bagong Pag-Asa Irrigators Association</v>
      </c>
      <c r="F455" s="42" t="str">
        <f t="shared" si="456"/>
        <v>San Pablo Bata, Aliaga, Nueva Ecija</v>
      </c>
      <c r="G455" s="42" t="str">
        <f t="shared" si="3"/>
        <v>San Pablo Bata</v>
      </c>
      <c r="H455" s="42" t="str">
        <f t="shared" si="4"/>
        <v>Aliaga</v>
      </c>
      <c r="I455" s="42" t="str">
        <f t="shared" si="5"/>
        <v>Nueva Ecija</v>
      </c>
      <c r="J455" s="42" t="str">
        <f t="array" ref="J455">XLOOKUP($E455,'Recipients REF'!$B:$B,'Recipients REF'!D:D,"",0)</f>
        <v>Miguelito B. Cabacungan</v>
      </c>
      <c r="K455" s="42" t="str">
        <f t="array" ref="K455">XLOOKUP($E455,'Recipients REF'!$B:$B,'Recipients REF'!E:E,"",0)</f>
        <v>0966-651-3922</v>
      </c>
      <c r="L455" s="43" t="str">
        <f t="array" ref="L455">XLOOKUP($A455,'Recipients REF'!$A:$A,'Recipients REF'!F:F,"",0)</f>
        <v>RCEF 25-03-05</v>
      </c>
      <c r="M455" s="43">
        <f t="array" ref="M455">XLOOKUP($A455,'Recipients REF'!$A:$A,'Recipients REF'!G:G,"",0)</f>
        <v>5</v>
      </c>
      <c r="N455" s="43" t="str">
        <f t="array" ref="N455">XLOOKUP($A455,'Recipients REF'!$A:$A,'Recipients REF'!H:H,"",0)</f>
        <v>26229 &amp; 27730</v>
      </c>
      <c r="O455" s="44" t="s">
        <v>25</v>
      </c>
      <c r="P455" s="45" t="s">
        <v>26</v>
      </c>
      <c r="Q455" s="46" t="str">
        <f t="array" ref="Q455">XLOOKUP($A455,'Recipients REF'!$A:$A,'Recipients REF'!I:I,"",0)</f>
        <v>KMC5825 AASFPV0336</v>
      </c>
      <c r="R455" s="53" t="str">
        <f t="array" ref="R455">XLOOKUP($A455,'Recipients REF'!$A:$A,'Recipients REF'!J:J,"",0)</f>
        <v>STS100355</v>
      </c>
      <c r="S455" s="45" t="s">
        <v>27</v>
      </c>
      <c r="T455" s="45" t="s">
        <v>28</v>
      </c>
      <c r="U455" s="46" t="str">
        <f t="array" ref="U455">XLOOKUP($A455,'Recipients REF'!$A:$A,'Recipients REF'!K:K,"",0)</f>
        <v>WR-SERIES 01330PH</v>
      </c>
      <c r="V455" s="44" t="s">
        <v>29</v>
      </c>
      <c r="W455" s="45" t="s">
        <v>30</v>
      </c>
      <c r="X455" s="53" t="str">
        <f t="array" ref="X455">XLOOKUP($A455,'Recipients REF'!$A:$A,'Recipients REF'!L:L,"",0)</f>
        <v>25100829</v>
      </c>
      <c r="Y455" s="48" t="s">
        <v>29</v>
      </c>
      <c r="Z455" s="48" t="s">
        <v>31</v>
      </c>
      <c r="AA455" s="54" t="str">
        <f t="array" ref="AA455">XLOOKUP($A455,'Recipients REF'!$A:$A,'Recipients REF'!M:M,"",0)</f>
        <v>25101183</v>
      </c>
      <c r="AB455" s="49"/>
      <c r="AC455" s="42"/>
      <c r="AD455" s="42"/>
      <c r="AE455" s="56">
        <v>8.6906606380061E14</v>
      </c>
      <c r="AF455" s="56">
        <v>4.25230021017715E15</v>
      </c>
      <c r="AG455" s="42"/>
      <c r="AH455" s="42"/>
      <c r="AI455" s="42" t="str">
        <f t="array" ref="AI455">XLOOKUP($E455,Sheet11!$D:$D,Sheet11!$X:$X,"",0)</f>
        <v/>
      </c>
      <c r="AJ455" s="42" t="str">
        <f t="array" ref="AJ455">XLOOKUP($E455,Sheet11!$D:$D,Sheet11!$Y:$Y,"",0)</f>
        <v/>
      </c>
    </row>
    <row r="456">
      <c r="A456" s="41">
        <v>211.0</v>
      </c>
      <c r="B456" s="42" t="s">
        <v>900</v>
      </c>
      <c r="C456" s="42" t="s">
        <v>901</v>
      </c>
      <c r="D456" s="42"/>
      <c r="E456" s="42" t="str">
        <f t="shared" ref="E456:F456" si="457">PROPER(B456)</f>
        <v>Apo Senyong Farmers Association</v>
      </c>
      <c r="F456" s="42" t="str">
        <f t="shared" si="457"/>
        <v>Vega, Bongabon, Nueva Ecija</v>
      </c>
      <c r="G456" s="42" t="str">
        <f t="shared" si="3"/>
        <v>Vega</v>
      </c>
      <c r="H456" s="42" t="str">
        <f t="shared" si="4"/>
        <v>Bongabon</v>
      </c>
      <c r="I456" s="42" t="str">
        <f t="shared" si="5"/>
        <v>Nueva Ecija</v>
      </c>
      <c r="J456" s="42" t="str">
        <f t="array" ref="J456">XLOOKUP($E456,'Recipients REF'!$B:$B,'Recipients REF'!D:D,"",0)</f>
        <v>Rogelio G. Almera</v>
      </c>
      <c r="K456" s="42" t="str">
        <f t="array" ref="K456">XLOOKUP($E456,'Recipients REF'!$B:$B,'Recipients REF'!E:E,"",0)</f>
        <v>0997-531-0433</v>
      </c>
      <c r="L456" s="43" t="str">
        <f t="array" ref="L456">XLOOKUP($A456,'Recipients REF'!$A:$A,'Recipients REF'!F:F,"",0)</f>
        <v>RCEF 23-09-21 Rebidding</v>
      </c>
      <c r="M456" s="43">
        <f t="array" ref="M456">XLOOKUP($A456,'Recipients REF'!$A:$A,'Recipients REF'!G:G,"",0)</f>
        <v>9</v>
      </c>
      <c r="N456" s="43">
        <f t="array" ref="N456">XLOOKUP($A456,'Recipients REF'!$A:$A,'Recipients REF'!H:H,"",0)</f>
        <v>18763</v>
      </c>
      <c r="O456" s="44" t="s">
        <v>25</v>
      </c>
      <c r="P456" s="45" t="s">
        <v>26</v>
      </c>
      <c r="Q456" s="46" t="str">
        <f t="array" ref="Q456">XLOOKUP($A456,'Recipients REF'!$A:$A,'Recipients REF'!I:I,"",0)</f>
        <v>KMC5825 ACRFPV0417</v>
      </c>
      <c r="R456" s="47" t="str">
        <f t="array" ref="R456">XLOOKUP($A456,'Recipients REF'!$A:$A,'Recipients REF'!J:J,"",0)</f>
        <v>RTS 100330</v>
      </c>
      <c r="S456" s="45" t="s">
        <v>27</v>
      </c>
      <c r="T456" s="45" t="s">
        <v>28</v>
      </c>
      <c r="U456" s="46" t="str">
        <f t="array" ref="U456">XLOOKUP($A456,'Recipients REF'!$A:$A,'Recipients REF'!K:K,"",0)</f>
        <v>R SERIES 387 PH</v>
      </c>
      <c r="V456" s="44" t="s">
        <v>29</v>
      </c>
      <c r="W456" s="45" t="s">
        <v>30</v>
      </c>
      <c r="X456" s="47" t="str">
        <f t="array" ref="X456">XLOOKUP($A456,'Recipients REF'!$A:$A,'Recipients REF'!L:L,"",0)</f>
        <v>LSGW1750 RMP 2312148</v>
      </c>
      <c r="Y456" s="48" t="s">
        <v>29</v>
      </c>
      <c r="Z456" s="48" t="s">
        <v>31</v>
      </c>
      <c r="AA456" s="46" t="str">
        <f t="array" ref="AA456">XLOOKUP($A456,'Recipients REF'!$A:$A,'Recipients REF'!M:M,"",0)</f>
        <v>WDP 40 RMP 24020193</v>
      </c>
      <c r="AB456" s="49"/>
      <c r="AC456" s="42"/>
      <c r="AD456" s="42"/>
      <c r="AE456" s="50"/>
      <c r="AF456" s="42"/>
      <c r="AG456" s="42"/>
      <c r="AH456" s="42"/>
      <c r="AI456" s="42">
        <f t="array" ref="AI456">XLOOKUP($E456,Sheet11!$D:$D,Sheet11!$X:$X,"",0)</f>
        <v>869066060241495</v>
      </c>
      <c r="AJ456" s="42">
        <f t="array" ref="AJ456">XLOOKUP($E456,Sheet11!$D:$D,Sheet11!$Y:$Y,"",0)</f>
        <v>9624531328</v>
      </c>
    </row>
    <row r="457">
      <c r="A457" s="41">
        <v>235.0</v>
      </c>
      <c r="B457" s="42" t="s">
        <v>902</v>
      </c>
      <c r="C457" s="42" t="s">
        <v>903</v>
      </c>
      <c r="D457" s="42"/>
      <c r="E457" s="42" t="str">
        <f t="shared" ref="E457:F457" si="458">PROPER(B457)</f>
        <v>Magsasaka Ng Brgy. Santor Irrigators Association Inc</v>
      </c>
      <c r="F457" s="42" t="str">
        <f t="shared" si="458"/>
        <v>Santor, Bongabon, Nueva Ecija</v>
      </c>
      <c r="G457" s="42" t="str">
        <f t="shared" si="3"/>
        <v>Santor</v>
      </c>
      <c r="H457" s="42" t="str">
        <f t="shared" si="4"/>
        <v>Bongabon</v>
      </c>
      <c r="I457" s="42" t="str">
        <f t="shared" si="5"/>
        <v>Nueva Ecija</v>
      </c>
      <c r="J457" s="42" t="str">
        <f t="array" ref="J457">XLOOKUP($E457,'Recipients REF'!$B:$B,'Recipients REF'!D:D,"",0)</f>
        <v>Francisco Morales</v>
      </c>
      <c r="K457" s="42" t="str">
        <f t="array" ref="K457">XLOOKUP($E457,'Recipients REF'!$B:$B,'Recipients REF'!E:E,"",0)</f>
        <v>0997-543-7006 </v>
      </c>
      <c r="L457" s="43" t="str">
        <f t="array" ref="L457">XLOOKUP($A457,'Recipients REF'!$A:$A,'Recipients REF'!F:F,"",0)</f>
        <v>RCEF 23-09-21 Rebidding</v>
      </c>
      <c r="M457" s="43">
        <f t="array" ref="M457">XLOOKUP($A457,'Recipients REF'!$A:$A,'Recipients REF'!G:G,"",0)</f>
        <v>3</v>
      </c>
      <c r="N457" s="43">
        <f t="array" ref="N457">XLOOKUP($A457,'Recipients REF'!$A:$A,'Recipients REF'!H:H,"",0)</f>
        <v>18789</v>
      </c>
      <c r="O457" s="44" t="s">
        <v>25</v>
      </c>
      <c r="P457" s="45" t="s">
        <v>26</v>
      </c>
      <c r="Q457" s="46" t="str">
        <f t="array" ref="Q457">XLOOKUP($A457,'Recipients REF'!$A:$A,'Recipients REF'!I:I,"",0)</f>
        <v>KMC 5825 AFRFPV0402</v>
      </c>
      <c r="R457" s="47" t="str">
        <f t="array" ref="R457">XLOOKUP($A457,'Recipients REF'!$A:$A,'Recipients REF'!J:J,"",0)</f>
        <v>RTS100309</v>
      </c>
      <c r="S457" s="45" t="s">
        <v>27</v>
      </c>
      <c r="T457" s="45" t="s">
        <v>28</v>
      </c>
      <c r="U457" s="46" t="str">
        <f t="array" ref="U457">XLOOKUP($A457,'Recipients REF'!$A:$A,'Recipients REF'!K:K,"",0)</f>
        <v>R SERIES 388 PH</v>
      </c>
      <c r="V457" s="44" t="s">
        <v>29</v>
      </c>
      <c r="W457" s="45" t="s">
        <v>30</v>
      </c>
      <c r="X457" s="47" t="str">
        <f t="array" ref="X457">XLOOKUP($A457,'Recipients REF'!$A:$A,'Recipients REF'!L:L,"",0)</f>
        <v>LSGW1750 RMP 24020487</v>
      </c>
      <c r="Y457" s="48" t="s">
        <v>29</v>
      </c>
      <c r="Z457" s="48" t="s">
        <v>31</v>
      </c>
      <c r="AA457" s="46" t="str">
        <f t="array" ref="AA457">XLOOKUP($A457,'Recipients REF'!$A:$A,'Recipients REF'!M:M,"",0)</f>
        <v>WDP40 RMP 24020214</v>
      </c>
      <c r="AB457" s="49"/>
      <c r="AC457" s="42"/>
      <c r="AD457" s="42"/>
      <c r="AE457" s="50"/>
      <c r="AF457" s="42"/>
      <c r="AG457" s="42"/>
      <c r="AH457" s="42"/>
      <c r="AI457" s="42">
        <f t="array" ref="AI457">XLOOKUP($E457,Sheet11!$D:$D,Sheet11!$X:$X,"",0)</f>
        <v>869066060241312</v>
      </c>
      <c r="AJ457" s="42">
        <f t="array" ref="AJ457">XLOOKUP($E457,Sheet11!$D:$D,Sheet11!$Y:$Y,"",0)</f>
        <v>9626237590</v>
      </c>
    </row>
    <row r="458">
      <c r="A458" s="41">
        <v>480.0</v>
      </c>
      <c r="B458" s="42" t="s">
        <v>904</v>
      </c>
      <c r="C458" s="42" t="s">
        <v>905</v>
      </c>
      <c r="D458" s="42"/>
      <c r="E458" s="42" t="str">
        <f t="shared" ref="E458:F458" si="459">PROPER(B458)</f>
        <v>Bagong Pag-Asa Larcon Farmers Association</v>
      </c>
      <c r="F458" s="42" t="str">
        <f t="shared" si="459"/>
        <v>Larcon, Bongabon, Nueva Ecija</v>
      </c>
      <c r="G458" s="42" t="str">
        <f t="shared" si="3"/>
        <v>Larcon</v>
      </c>
      <c r="H458" s="42" t="str">
        <f t="shared" si="4"/>
        <v>Bongabon</v>
      </c>
      <c r="I458" s="42" t="str">
        <f t="shared" si="5"/>
        <v>Nueva Ecija</v>
      </c>
      <c r="J458" s="42" t="str">
        <f t="array" ref="J458">XLOOKUP($E458,'Recipients REF'!$B:$B,'Recipients REF'!D:D,"",0)</f>
        <v>Marlon T. Lorenzo</v>
      </c>
      <c r="K458" s="42" t="str">
        <f t="array" ref="K458">XLOOKUP($E458,'Recipients REF'!$B:$B,'Recipients REF'!E:E,"",0)</f>
        <v>0936-180-2825</v>
      </c>
      <c r="L458" s="43" t="str">
        <f t="array" ref="L458">XLOOKUP($A458,'Recipients REF'!$A:$A,'Recipients REF'!F:F,"",0)</f>
        <v>RCEF 23-09-21 Rebidding</v>
      </c>
      <c r="M458" s="43">
        <f t="array" ref="M458">XLOOKUP($A458,'Recipients REF'!$A:$A,'Recipients REF'!G:G,"",0)</f>
        <v>3</v>
      </c>
      <c r="N458" s="43" t="str">
        <f t="array" ref="N458">XLOOKUP($A458,'Recipients REF'!$A:$A,'Recipients REF'!H:H,"",0)</f>
        <v/>
      </c>
      <c r="O458" s="44" t="s">
        <v>25</v>
      </c>
      <c r="P458" s="45" t="s">
        <v>26</v>
      </c>
      <c r="Q458" s="46" t="str">
        <f t="array" ref="Q458">XLOOKUP($A458,'Recipients REF'!$A:$A,'Recipients REF'!I:I,"",0)</f>
        <v>KMC 5825 AAR FPV0380</v>
      </c>
      <c r="R458" s="47" t="str">
        <f t="array" ref="R458">XLOOKUP($A458,'Recipients REF'!$A:$A,'Recipients REF'!J:J,"",0)</f>
        <v>RTS 100264</v>
      </c>
      <c r="S458" s="45" t="s">
        <v>27</v>
      </c>
      <c r="T458" s="45" t="s">
        <v>28</v>
      </c>
      <c r="U458" s="46" t="str">
        <f t="array" ref="U458">XLOOKUP($A458,'Recipients REF'!$A:$A,'Recipients REF'!K:K,"",0)</f>
        <v>R SERIES 024 PH</v>
      </c>
      <c r="V458" s="44" t="s">
        <v>29</v>
      </c>
      <c r="W458" s="45" t="s">
        <v>30</v>
      </c>
      <c r="X458" s="47" t="str">
        <f t="array" ref="X458">XLOOKUP($A458,'Recipients REF'!$A:$A,'Recipients REF'!L:L,"",0)</f>
        <v>LSGW1750 RMP 24020462</v>
      </c>
      <c r="Y458" s="48" t="s">
        <v>29</v>
      </c>
      <c r="Z458" s="48" t="s">
        <v>31</v>
      </c>
      <c r="AA458" s="46" t="str">
        <f t="array" ref="AA458">XLOOKUP($A458,'Recipients REF'!$A:$A,'Recipients REF'!M:M,"",0)</f>
        <v>WDP40 RMP 24020212</v>
      </c>
      <c r="AB458" s="49"/>
      <c r="AC458" s="42"/>
      <c r="AD458" s="42"/>
      <c r="AE458" s="50"/>
      <c r="AF458" s="42"/>
      <c r="AG458" s="42"/>
      <c r="AH458" s="42"/>
      <c r="AI458" s="42">
        <f t="array" ref="AI458">XLOOKUP($E458,Sheet11!$D:$D,Sheet11!$X:$X,"",0)</f>
        <v>869066060239556</v>
      </c>
      <c r="AJ458" s="42">
        <f t="array" ref="AJ458">XLOOKUP($E458,Sheet11!$D:$D,Sheet11!$Y:$Y,"",0)</f>
        <v>9624531329</v>
      </c>
    </row>
    <row r="459">
      <c r="A459" s="41">
        <v>236.0</v>
      </c>
      <c r="B459" s="42" t="s">
        <v>906</v>
      </c>
      <c r="C459" s="42" t="s">
        <v>907</v>
      </c>
      <c r="D459" s="42"/>
      <c r="E459" s="42" t="str">
        <f t="shared" ref="E459:F459" si="460">PROPER(B459)</f>
        <v>Barangay Bagong Sikat Farmers Association</v>
      </c>
      <c r="F459" s="42" t="str">
        <f t="shared" si="460"/>
        <v>Bagong Sikat, Cabanatuan City, Nueva Ecija</v>
      </c>
      <c r="G459" s="42" t="str">
        <f t="shared" si="3"/>
        <v>Bagong Sikat</v>
      </c>
      <c r="H459" s="42" t="str">
        <f t="shared" si="4"/>
        <v>Cabanatuan City</v>
      </c>
      <c r="I459" s="42" t="str">
        <f t="shared" si="5"/>
        <v>Nueva Ecija</v>
      </c>
      <c r="J459" s="42" t="str">
        <f t="array" ref="J459">XLOOKUP($E459,'Recipients REF'!$B:$B,'Recipients REF'!D:D,"",0)</f>
        <v>Manolito P. Delos Reyes</v>
      </c>
      <c r="K459" s="42" t="str">
        <f t="array" ref="K459">XLOOKUP($E459,'Recipients REF'!$B:$B,'Recipients REF'!E:E,"",0)</f>
        <v>0970-711-0096</v>
      </c>
      <c r="L459" s="43" t="str">
        <f t="array" ref="L459">XLOOKUP($A459,'Recipients REF'!$A:$A,'Recipients REF'!F:F,"",0)</f>
        <v>RCEF 23-09-21 Rebidding</v>
      </c>
      <c r="M459" s="43">
        <f t="array" ref="M459">XLOOKUP($A459,'Recipients REF'!$A:$A,'Recipients REF'!G:G,"",0)</f>
        <v>3</v>
      </c>
      <c r="N459" s="43">
        <f t="array" ref="N459">XLOOKUP($A459,'Recipients REF'!$A:$A,'Recipients REF'!H:H,"",0)</f>
        <v>18790</v>
      </c>
      <c r="O459" s="44" t="s">
        <v>25</v>
      </c>
      <c r="P459" s="45" t="s">
        <v>26</v>
      </c>
      <c r="Q459" s="46" t="str">
        <f t="array" ref="Q459">XLOOKUP($A459,'Recipients REF'!$A:$A,'Recipients REF'!I:I,"",0)</f>
        <v>KMC 5825 AIR FPV 0502</v>
      </c>
      <c r="R459" s="47" t="str">
        <f t="array" ref="R459">XLOOKUP($A459,'Recipients REF'!$A:$A,'Recipients REF'!J:J,"",0)</f>
        <v>RTS 100420</v>
      </c>
      <c r="S459" s="45" t="s">
        <v>27</v>
      </c>
      <c r="T459" s="45" t="s">
        <v>28</v>
      </c>
      <c r="U459" s="46" t="str">
        <f t="array" ref="U459">XLOOKUP($A459,'Recipients REF'!$A:$A,'Recipients REF'!K:K,"",0)</f>
        <v>R SERIES 031 PH</v>
      </c>
      <c r="V459" s="44" t="s">
        <v>29</v>
      </c>
      <c r="W459" s="45" t="s">
        <v>30</v>
      </c>
      <c r="X459" s="47" t="str">
        <f t="array" ref="X459">XLOOKUP($A459,'Recipients REF'!$A:$A,'Recipients REF'!L:L,"",0)</f>
        <v>LSGW1750 RMP 2312159</v>
      </c>
      <c r="Y459" s="48" t="s">
        <v>29</v>
      </c>
      <c r="Z459" s="48" t="s">
        <v>31</v>
      </c>
      <c r="AA459" s="46" t="str">
        <f t="array" ref="AA459">XLOOKUP($A459,'Recipients REF'!$A:$A,'Recipients REF'!M:M,"",0)</f>
        <v>WDP40 RMP 24020204</v>
      </c>
      <c r="AB459" s="49"/>
      <c r="AC459" s="42"/>
      <c r="AD459" s="42"/>
      <c r="AE459" s="50"/>
      <c r="AF459" s="42"/>
      <c r="AG459" s="42"/>
      <c r="AH459" s="42"/>
      <c r="AI459" s="42">
        <f t="array" ref="AI459">XLOOKUP($E459,Sheet11!$D:$D,Sheet11!$X:$X,"",0)</f>
        <v>869066060243707</v>
      </c>
      <c r="AJ459" s="42">
        <f t="array" ref="AJ459">XLOOKUP($E459,Sheet11!$D:$D,Sheet11!$Y:$Y,"",0)</f>
        <v>9624531327</v>
      </c>
    </row>
    <row r="460">
      <c r="A460" s="41">
        <v>237.0</v>
      </c>
      <c r="B460" s="42" t="s">
        <v>908</v>
      </c>
      <c r="C460" s="42" t="s">
        <v>909</v>
      </c>
      <c r="D460" s="42"/>
      <c r="E460" s="42" t="str">
        <f t="shared" ref="E460:F460" si="461">PROPER(B460)</f>
        <v>Bagong Buhay, Farmers Association, Inc.</v>
      </c>
      <c r="F460" s="42" t="str">
        <f t="shared" si="461"/>
        <v>Bagong Buhay, Cabanatuan City, Nueva Ecija</v>
      </c>
      <c r="G460" s="42" t="str">
        <f t="shared" si="3"/>
        <v>Bagong Buhay</v>
      </c>
      <c r="H460" s="42" t="str">
        <f t="shared" si="4"/>
        <v>Cabanatuan City</v>
      </c>
      <c r="I460" s="42" t="str">
        <f t="shared" si="5"/>
        <v>Nueva Ecija</v>
      </c>
      <c r="J460" s="42" t="str">
        <f t="array" ref="J460">XLOOKUP($E460,'Recipients REF'!$B:$B,'Recipients REF'!D:D,"",0)</f>
        <v>LITO P. PADANON</v>
      </c>
      <c r="K460" s="42" t="str">
        <f t="array" ref="K460">XLOOKUP($E460,'Recipients REF'!$B:$B,'Recipients REF'!E:E,"",0)</f>
        <v>09776048249</v>
      </c>
      <c r="L460" s="43" t="str">
        <f t="array" ref="L460">XLOOKUP($A460,'Recipients REF'!$A:$A,'Recipients REF'!F:F,"",0)</f>
        <v>RCEF 23-09-21 Rebidding</v>
      </c>
      <c r="M460" s="43">
        <f t="array" ref="M460">XLOOKUP($A460,'Recipients REF'!$A:$A,'Recipients REF'!G:G,"",0)</f>
        <v>3</v>
      </c>
      <c r="N460" s="43">
        <f t="array" ref="N460">XLOOKUP($A460,'Recipients REF'!$A:$A,'Recipients REF'!H:H,"",0)</f>
        <v>18791</v>
      </c>
      <c r="O460" s="44" t="s">
        <v>25</v>
      </c>
      <c r="P460" s="45" t="s">
        <v>26</v>
      </c>
      <c r="Q460" s="46" t="str">
        <f t="array" ref="Q460">XLOOKUP($A460,'Recipients REF'!$A:$A,'Recipients REF'!I:I,"",0)</f>
        <v>KMC 5825 ALRFPV 0400</v>
      </c>
      <c r="R460" s="47" t="str">
        <f t="array" ref="R460">XLOOKUP($A460,'Recipients REF'!$A:$A,'Recipients REF'!J:J,"",0)</f>
        <v>RTS 100298</v>
      </c>
      <c r="S460" s="45" t="s">
        <v>27</v>
      </c>
      <c r="T460" s="45" t="s">
        <v>28</v>
      </c>
      <c r="U460" s="46" t="str">
        <f t="array" ref="U460">XLOOKUP($A460,'Recipients REF'!$A:$A,'Recipients REF'!K:K,"",0)</f>
        <v>R SERIES 018 PH</v>
      </c>
      <c r="V460" s="44" t="s">
        <v>29</v>
      </c>
      <c r="W460" s="45" t="s">
        <v>30</v>
      </c>
      <c r="X460" s="47" t="str">
        <f t="array" ref="X460">XLOOKUP($A460,'Recipients REF'!$A:$A,'Recipients REF'!L:L,"",0)</f>
        <v>LSGW1750 RMP 2312051</v>
      </c>
      <c r="Y460" s="48" t="s">
        <v>29</v>
      </c>
      <c r="Z460" s="48" t="s">
        <v>31</v>
      </c>
      <c r="AA460" s="46" t="str">
        <f t="array" ref="AA460">XLOOKUP($A460,'Recipients REF'!$A:$A,'Recipients REF'!M:M,"",0)</f>
        <v>WDP40 RMP 24020195</v>
      </c>
      <c r="AB460" s="49"/>
      <c r="AC460" s="42"/>
      <c r="AD460" s="42"/>
      <c r="AE460" s="50"/>
      <c r="AF460" s="42"/>
      <c r="AG460" s="42"/>
      <c r="AH460" s="42"/>
      <c r="AI460" s="42">
        <f t="array" ref="AI460">XLOOKUP($E460,Sheet11!$D:$D,Sheet11!$X:$X,"",0)</f>
        <v>869066060244846</v>
      </c>
      <c r="AJ460" s="42" t="str">
        <f t="array" ref="AJ460">XLOOKUP($E460,Sheet11!$D:$D,Sheet11!$Y:$Y,"",0)</f>
        <v>09691191299</v>
      </c>
    </row>
    <row r="461">
      <c r="A461" s="41">
        <v>571.0</v>
      </c>
      <c r="B461" s="42" t="s">
        <v>910</v>
      </c>
      <c r="C461" s="42" t="s">
        <v>911</v>
      </c>
      <c r="D461" s="42"/>
      <c r="E461" s="42" t="str">
        <f t="shared" ref="E461:F461" si="462">PROPER(B461)</f>
        <v>Magandang Buhay Ng Samon Agriculture Cooperative</v>
      </c>
      <c r="F461" s="42" t="str">
        <f t="shared" si="462"/>
        <v>Samon, Cabanatuan City, Nueva Ecija</v>
      </c>
      <c r="G461" s="42" t="str">
        <f t="shared" si="3"/>
        <v>Samon</v>
      </c>
      <c r="H461" s="42" t="str">
        <f t="shared" si="4"/>
        <v>Cabanatuan City</v>
      </c>
      <c r="I461" s="42" t="str">
        <f t="shared" si="5"/>
        <v>Nueva Ecija</v>
      </c>
      <c r="J461" s="42" t="str">
        <f t="array" ref="J461">XLOOKUP($E461,'Recipients REF'!$B:$B,'Recipients REF'!D:D,"",0)</f>
        <v>Eulalia M. Laureano</v>
      </c>
      <c r="K461" s="42" t="str">
        <f t="array" ref="K461">XLOOKUP($E461,'Recipients REF'!$B:$B,'Recipients REF'!E:E,"",0)</f>
        <v>0956-683-6683</v>
      </c>
      <c r="L461" s="43" t="str">
        <f t="array" ref="L461">XLOOKUP($A461,'Recipients REF'!$A:$A,'Recipients REF'!F:F,"",0)</f>
        <v>RCEF 24-04-15</v>
      </c>
      <c r="M461" s="43">
        <f t="array" ref="M461">XLOOKUP($A461,'Recipients REF'!$A:$A,'Recipients REF'!G:G,"",0)</f>
        <v>6</v>
      </c>
      <c r="N461" s="43">
        <f t="array" ref="N461">XLOOKUP($A461,'Recipients REF'!$A:$A,'Recipients REF'!H:H,"",0)</f>
        <v>20661</v>
      </c>
      <c r="O461" s="44" t="s">
        <v>25</v>
      </c>
      <c r="P461" s="45" t="s">
        <v>26</v>
      </c>
      <c r="Q461" s="46" t="str">
        <f t="array" ref="Q461">XLOOKUP($A461,'Recipients REF'!$A:$A,'Recipients REF'!I:I,"",0)</f>
        <v>KMC5825AHRFPV0589</v>
      </c>
      <c r="R461" s="47" t="str">
        <f t="array" ref="R461">XLOOKUP($A461,'Recipients REF'!$A:$A,'Recipients REF'!J:J,"",0)</f>
        <v>RTS100159</v>
      </c>
      <c r="S461" s="45" t="s">
        <v>27</v>
      </c>
      <c r="T461" s="45" t="s">
        <v>28</v>
      </c>
      <c r="U461" s="46" t="str">
        <f t="array" ref="U461">XLOOKUP($A461,'Recipients REF'!$A:$A,'Recipients REF'!K:K,"",0)</f>
        <v>LSGW170-RMP-24080735</v>
      </c>
      <c r="V461" s="44" t="s">
        <v>29</v>
      </c>
      <c r="W461" s="45" t="s">
        <v>30</v>
      </c>
      <c r="X461" s="47" t="str">
        <f t="array" ref="X461">XLOOKUP($A461,'Recipients REF'!$A:$A,'Recipients REF'!L:L,"",0)</f>
        <v>WDP40-RMP-24040440</v>
      </c>
      <c r="Y461" s="48" t="s">
        <v>29</v>
      </c>
      <c r="Z461" s="48" t="s">
        <v>31</v>
      </c>
      <c r="AA461" s="46" t="str">
        <f t="array" ref="AA461">XLOOKUP($A461,'Recipients REF'!$A:$A,'Recipients REF'!M:M,"",0)</f>
        <v>WR-SERIES-960PH</v>
      </c>
      <c r="AB461" s="49"/>
      <c r="AC461" s="42"/>
      <c r="AD461" s="42"/>
      <c r="AE461" s="50"/>
      <c r="AF461" s="42"/>
      <c r="AG461" s="42"/>
      <c r="AH461" s="42"/>
      <c r="AI461" s="42" t="str">
        <f t="array" ref="AI461">XLOOKUP($E461,Sheet11!$D:$D,Sheet11!$X:$X,"",0)</f>
        <v/>
      </c>
      <c r="AJ461" s="42" t="str">
        <f t="array" ref="AJ461">XLOOKUP($E461,Sheet11!$D:$D,Sheet11!$Y:$Y,"",0)</f>
        <v/>
      </c>
    </row>
    <row r="462">
      <c r="A462" s="41">
        <v>573.0</v>
      </c>
      <c r="B462" s="42" t="s">
        <v>912</v>
      </c>
      <c r="C462" s="42" t="s">
        <v>913</v>
      </c>
      <c r="D462" s="42"/>
      <c r="E462" s="42" t="str">
        <f t="shared" ref="E462:F462" si="463">PROPER(B462)</f>
        <v>City Local Government Unit Of Cabanatuan</v>
      </c>
      <c r="F462" s="42" t="str">
        <f t="shared" si="463"/>
        <v>Kapitan Pepe (Pob.), Cabanatuan City, Nueva Ecija</v>
      </c>
      <c r="G462" s="42" t="str">
        <f t="shared" si="3"/>
        <v>Kapitan Pepe (Pob.)</v>
      </c>
      <c r="H462" s="42" t="str">
        <f t="shared" si="4"/>
        <v>Cabanatuan City</v>
      </c>
      <c r="I462" s="42" t="str">
        <f t="shared" si="5"/>
        <v>Nueva Ecija</v>
      </c>
      <c r="J462" s="42" t="str">
        <f t="array" ref="J462">XLOOKUP($E462,'Recipients REF'!$B:$B,'Recipients REF'!D:D,"",0)</f>
        <v>Myca Elizabeth Vergara</v>
      </c>
      <c r="K462" s="42" t="str">
        <f t="array" ref="K462">XLOOKUP($E462,'Recipients REF'!$B:$B,'Recipients REF'!E:E,"",0)</f>
        <v>0926-179-9866</v>
      </c>
      <c r="L462" s="43" t="str">
        <f t="array" ref="L462">XLOOKUP($A462,'Recipients REF'!$A:$A,'Recipients REF'!F:F,"",0)</f>
        <v>RCEF 24-04-15</v>
      </c>
      <c r="M462" s="43">
        <f t="array" ref="M462">XLOOKUP($A462,'Recipients REF'!$A:$A,'Recipients REF'!G:G,"",0)</f>
        <v>6</v>
      </c>
      <c r="N462" s="43">
        <f t="array" ref="N462">XLOOKUP($A462,'Recipients REF'!$A:$A,'Recipients REF'!H:H,"",0)</f>
        <v>21756</v>
      </c>
      <c r="O462" s="44" t="s">
        <v>25</v>
      </c>
      <c r="P462" s="45" t="s">
        <v>26</v>
      </c>
      <c r="Q462" s="46" t="str">
        <f t="array" ref="Q462">XLOOKUP($A462,'Recipients REF'!$A:$A,'Recipients REF'!I:I,"",0)</f>
        <v>KMC5825AERFPV0528</v>
      </c>
      <c r="R462" s="47" t="str">
        <f t="array" ref="R462">XLOOKUP($A462,'Recipients REF'!$A:$A,'Recipients REF'!J:J,"",0)</f>
        <v>RTS100200</v>
      </c>
      <c r="S462" s="45" t="s">
        <v>27</v>
      </c>
      <c r="T462" s="45" t="s">
        <v>28</v>
      </c>
      <c r="U462" s="46" t="str">
        <f t="array" ref="U462">XLOOKUP($A462,'Recipients REF'!$A:$A,'Recipients REF'!K:K,"",0)</f>
        <v>LSGW170-RMP-24100875</v>
      </c>
      <c r="V462" s="44" t="s">
        <v>29</v>
      </c>
      <c r="W462" s="45" t="s">
        <v>30</v>
      </c>
      <c r="X462" s="47" t="str">
        <f t="array" ref="X462">XLOOKUP($A462,'Recipients REF'!$A:$A,'Recipients REF'!L:L,"",0)</f>
        <v>WDP40-RMP-24101269</v>
      </c>
      <c r="Y462" s="48" t="s">
        <v>29</v>
      </c>
      <c r="Z462" s="48" t="s">
        <v>31</v>
      </c>
      <c r="AA462" s="46" t="str">
        <f t="array" ref="AA462">XLOOKUP($A462,'Recipients REF'!$A:$A,'Recipients REF'!M:M,"",0)</f>
        <v>WR-SERIES-973PH</v>
      </c>
      <c r="AB462" s="49"/>
      <c r="AC462" s="42"/>
      <c r="AD462" s="42"/>
      <c r="AE462" s="50"/>
      <c r="AF462" s="42"/>
      <c r="AG462" s="42"/>
      <c r="AH462" s="42"/>
      <c r="AI462" s="42" t="str">
        <f t="array" ref="AI462">XLOOKUP($E462,Sheet11!$D:$D,Sheet11!$X:$X,"",0)</f>
        <v/>
      </c>
      <c r="AJ462" s="42" t="str">
        <f t="array" ref="AJ462">XLOOKUP($E462,Sheet11!$D:$D,Sheet11!$Y:$Y,"",0)</f>
        <v/>
      </c>
    </row>
    <row r="463">
      <c r="A463" s="41">
        <v>669.0</v>
      </c>
      <c r="B463" s="42" t="s">
        <v>914</v>
      </c>
      <c r="C463" s="42" t="s">
        <v>915</v>
      </c>
      <c r="D463" s="42"/>
      <c r="E463" s="42" t="str">
        <f t="shared" ref="E463:F463" si="464">PROPER(B463)</f>
        <v>Barangay Local Government Unit Of Communal</v>
      </c>
      <c r="F463" s="42" t="str">
        <f t="shared" si="464"/>
        <v>Communal, Cabanatuan City, Nueva Ecija</v>
      </c>
      <c r="G463" s="42" t="str">
        <f t="shared" si="3"/>
        <v>Communal</v>
      </c>
      <c r="H463" s="42" t="str">
        <f t="shared" si="4"/>
        <v>Cabanatuan City</v>
      </c>
      <c r="I463" s="42" t="str">
        <f t="shared" si="5"/>
        <v>Nueva Ecija</v>
      </c>
      <c r="J463" s="42" t="str">
        <f t="array" ref="J463">XLOOKUP($E463,'Recipients REF'!$B:$B,'Recipients REF'!D:D,"",0)</f>
        <v>Raymond B. Flores</v>
      </c>
      <c r="K463" s="42" t="str">
        <f t="array" ref="K463">XLOOKUP($E463,'Recipients REF'!$B:$B,'Recipients REF'!E:E,"",0)</f>
        <v>0928-716-1294</v>
      </c>
      <c r="L463" s="43" t="str">
        <f t="array" ref="L463">XLOOKUP($A463,'Recipients REF'!$A:$A,'Recipients REF'!F:F,"",0)</f>
        <v>RCEF 25-03-05</v>
      </c>
      <c r="M463" s="43">
        <f t="array" ref="M463">XLOOKUP($A463,'Recipients REF'!$A:$A,'Recipients REF'!G:G,"",0)</f>
        <v>5</v>
      </c>
      <c r="N463" s="43" t="str">
        <f t="array" ref="N463">XLOOKUP($A463,'Recipients REF'!$A:$A,'Recipients REF'!H:H,"",0)</f>
        <v>26486 &amp; 27733</v>
      </c>
      <c r="O463" s="44" t="s">
        <v>25</v>
      </c>
      <c r="P463" s="45" t="s">
        <v>26</v>
      </c>
      <c r="Q463" s="46" t="str">
        <f t="array" ref="Q463">XLOOKUP($A463,'Recipients REF'!$A:$A,'Recipients REF'!I:I,"",0)</f>
        <v>KMC5825 ATSFPV0649</v>
      </c>
      <c r="R463" s="53" t="str">
        <f t="array" ref="R463">XLOOKUP($A463,'Recipients REF'!$A:$A,'Recipients REF'!J:J,"",0)</f>
        <v>STS100409</v>
      </c>
      <c r="S463" s="45" t="s">
        <v>27</v>
      </c>
      <c r="T463" s="45" t="s">
        <v>28</v>
      </c>
      <c r="U463" s="46" t="str">
        <f t="array" ref="U463">XLOOKUP($A463,'Recipients REF'!$A:$A,'Recipients REF'!K:K,"",0)</f>
        <v>WR-SERIES 01326PH</v>
      </c>
      <c r="V463" s="44" t="s">
        <v>29</v>
      </c>
      <c r="W463" s="45" t="s">
        <v>30</v>
      </c>
      <c r="X463" s="53" t="str">
        <f t="array" ref="X463">XLOOKUP($A463,'Recipients REF'!$A:$A,'Recipients REF'!L:L,"",0)</f>
        <v>25100807</v>
      </c>
      <c r="Y463" s="48" t="s">
        <v>29</v>
      </c>
      <c r="Z463" s="48" t="s">
        <v>31</v>
      </c>
      <c r="AA463" s="54" t="str">
        <f t="array" ref="AA463">XLOOKUP($A463,'Recipients REF'!$A:$A,'Recipients REF'!M:M,"",0)</f>
        <v>25101184</v>
      </c>
      <c r="AB463" s="49"/>
      <c r="AC463" s="42"/>
      <c r="AD463" s="42"/>
      <c r="AE463" s="50"/>
      <c r="AF463" s="42"/>
      <c r="AG463" s="42"/>
      <c r="AH463" s="42"/>
      <c r="AI463" s="42" t="str">
        <f t="array" ref="AI463">XLOOKUP($E463,Sheet11!$D:$D,Sheet11!$X:$X,"",0)</f>
        <v/>
      </c>
      <c r="AJ463" s="42" t="str">
        <f t="array" ref="AJ463">XLOOKUP($E463,Sheet11!$D:$D,Sheet11!$Y:$Y,"",0)</f>
        <v/>
      </c>
    </row>
    <row r="464">
      <c r="A464" s="41">
        <v>670.0</v>
      </c>
      <c r="B464" s="42" t="s">
        <v>916</v>
      </c>
      <c r="C464" s="42" t="s">
        <v>917</v>
      </c>
      <c r="D464" s="42"/>
      <c r="E464" s="42" t="str">
        <f t="shared" ref="E464:F464" si="465">PROPER(B464)</f>
        <v>Kapatiran Farmers Association</v>
      </c>
      <c r="F464" s="42" t="str">
        <f t="shared" si="465"/>
        <v>Pangatian, Cabanatuan City, Nueva Ecija</v>
      </c>
      <c r="G464" s="42" t="str">
        <f t="shared" si="3"/>
        <v>Pangatian</v>
      </c>
      <c r="H464" s="42" t="str">
        <f t="shared" si="4"/>
        <v>Cabanatuan City</v>
      </c>
      <c r="I464" s="42" t="str">
        <f t="shared" si="5"/>
        <v>Nueva Ecija</v>
      </c>
      <c r="J464" s="42" t="str">
        <f t="array" ref="J464">XLOOKUP($E464,'Recipients REF'!$B:$B,'Recipients REF'!D:D,"",0)</f>
        <v>Renato Alcantara</v>
      </c>
      <c r="K464" s="42" t="str">
        <f t="array" ref="K464">XLOOKUP($E464,'Recipients REF'!$B:$B,'Recipients REF'!E:E,"",0)</f>
        <v>0950-299-0291</v>
      </c>
      <c r="L464" s="43" t="str">
        <f t="array" ref="L464">XLOOKUP($A464,'Recipients REF'!$A:$A,'Recipients REF'!F:F,"",0)</f>
        <v>RCEF 25-03-05</v>
      </c>
      <c r="M464" s="43">
        <f t="array" ref="M464">XLOOKUP($A464,'Recipients REF'!$A:$A,'Recipients REF'!G:G,"",0)</f>
        <v>5</v>
      </c>
      <c r="N464" s="43" t="str">
        <f t="array" ref="N464">XLOOKUP($A464,'Recipients REF'!$A:$A,'Recipients REF'!H:H,"",0)</f>
        <v>26487 &amp; 27734</v>
      </c>
      <c r="O464" s="44" t="s">
        <v>25</v>
      </c>
      <c r="P464" s="45" t="s">
        <v>26</v>
      </c>
      <c r="Q464" s="46" t="str">
        <f t="array" ref="Q464">XLOOKUP($A464,'Recipients REF'!$A:$A,'Recipients REF'!I:I,"",0)</f>
        <v>KMC5825 ALSFPV0256</v>
      </c>
      <c r="R464" s="53" t="str">
        <f t="array" ref="R464">XLOOKUP($A464,'Recipients REF'!$A:$A,'Recipients REF'!J:J,"",0)</f>
        <v>STS100254</v>
      </c>
      <c r="S464" s="45" t="s">
        <v>27</v>
      </c>
      <c r="T464" s="45" t="s">
        <v>28</v>
      </c>
      <c r="U464" s="46" t="str">
        <f t="array" ref="U464">XLOOKUP($A464,'Recipients REF'!$A:$A,'Recipients REF'!K:K,"",0)</f>
        <v>WR-SERIES 01327PH</v>
      </c>
      <c r="V464" s="44" t="s">
        <v>29</v>
      </c>
      <c r="W464" s="45" t="s">
        <v>30</v>
      </c>
      <c r="X464" s="53" t="str">
        <f t="array" ref="X464">XLOOKUP($A464,'Recipients REF'!$A:$A,'Recipients REF'!L:L,"",0)</f>
        <v>25100832</v>
      </c>
      <c r="Y464" s="48" t="s">
        <v>29</v>
      </c>
      <c r="Z464" s="48" t="s">
        <v>31</v>
      </c>
      <c r="AA464" s="54" t="str">
        <f t="array" ref="AA464">XLOOKUP($A464,'Recipients REF'!$A:$A,'Recipients REF'!M:M,"",0)</f>
        <v>25101176</v>
      </c>
      <c r="AB464" s="49"/>
      <c r="AC464" s="42"/>
      <c r="AD464" s="42"/>
      <c r="AE464" s="50"/>
      <c r="AF464" s="42"/>
      <c r="AG464" s="42"/>
      <c r="AH464" s="42"/>
      <c r="AI464" s="42" t="str">
        <f t="array" ref="AI464">XLOOKUP($E464,Sheet11!$D:$D,Sheet11!$X:$X,"",0)</f>
        <v/>
      </c>
      <c r="AJ464" s="42" t="str">
        <f t="array" ref="AJ464">XLOOKUP($E464,Sheet11!$D:$D,Sheet11!$Y:$Y,"",0)</f>
        <v/>
      </c>
    </row>
    <row r="465">
      <c r="A465" s="41">
        <v>984.0</v>
      </c>
      <c r="B465" s="42" t="s">
        <v>918</v>
      </c>
      <c r="C465" s="42" t="s">
        <v>919</v>
      </c>
      <c r="D465" s="42"/>
      <c r="E465" s="42" t="str">
        <f t="shared" ref="E465:F465" si="466">PROPER(B465)</f>
        <v>Nueva Ecija Maunlad Na Pinas Agriculture Cooperative</v>
      </c>
      <c r="F465" s="42" t="str">
        <f t="shared" si="466"/>
        <v>Dicarma (Pob.), Cabanatuan City, Nueva Ecija</v>
      </c>
      <c r="G465" s="42" t="str">
        <f t="shared" si="3"/>
        <v>Dicarma (Pob.)</v>
      </c>
      <c r="H465" s="42" t="str">
        <f t="shared" si="4"/>
        <v>Cabanatuan City</v>
      </c>
      <c r="I465" s="42" t="str">
        <f t="shared" si="5"/>
        <v>Nueva Ecija</v>
      </c>
      <c r="J465" s="42" t="str">
        <f t="array" ref="J465">XLOOKUP($E465,'Recipients REF'!$B:$B,'Recipients REF'!D:D,"",0)</f>
        <v>Edgar C. Amores</v>
      </c>
      <c r="K465" s="42" t="str">
        <f t="array" ref="K465">XLOOKUP($E465,'Recipients REF'!$B:$B,'Recipients REF'!E:E,"",0)</f>
        <v>0926-771-3374</v>
      </c>
      <c r="L465" s="43" t="str">
        <f t="array" ref="L465">XLOOKUP($A465,'Recipients REF'!$A:$A,'Recipients REF'!F:F,"",0)</f>
        <v>Repeat Order</v>
      </c>
      <c r="M465" s="43">
        <f t="array" ref="M465">XLOOKUP($A465,'Recipients REF'!$A:$A,'Recipients REF'!G:G,"",0)</f>
        <v>6</v>
      </c>
      <c r="N465" s="43">
        <f t="array" ref="N465">XLOOKUP($A465,'Recipients REF'!$A:$A,'Recipients REF'!H:H,"",0)</f>
        <v>23120</v>
      </c>
      <c r="O465" s="44" t="s">
        <v>25</v>
      </c>
      <c r="P465" s="45" t="s">
        <v>26</v>
      </c>
      <c r="Q465" s="46" t="str">
        <f t="array" ref="Q465">XLOOKUP($A465,'Recipients REF'!$A:$A,'Recipients REF'!I:I,"",0)</f>
        <v>KMC5825AARFPV1092</v>
      </c>
      <c r="R465" s="47" t="str">
        <f t="array" ref="R465">XLOOKUP($A465,'Recipients REF'!$A:$A,'Recipients REF'!J:J,"",0)</f>
        <v>RTS100857</v>
      </c>
      <c r="S465" s="45" t="s">
        <v>27</v>
      </c>
      <c r="T465" s="45" t="s">
        <v>28</v>
      </c>
      <c r="U465" s="46" t="str">
        <f t="array" ref="U465">XLOOKUP($A465,'Recipients REF'!$A:$A,'Recipients REF'!K:K,"",0)</f>
        <v>LSGW170-RMP-24111138</v>
      </c>
      <c r="V465" s="44" t="s">
        <v>29</v>
      </c>
      <c r="W465" s="45" t="s">
        <v>30</v>
      </c>
      <c r="X465" s="47" t="str">
        <f t="array" ref="X465">XLOOKUP($A465,'Recipients REF'!$A:$A,'Recipients REF'!L:L,"",0)</f>
        <v>WDP40-RMP-25030385</v>
      </c>
      <c r="Y465" s="48" t="s">
        <v>29</v>
      </c>
      <c r="Z465" s="48" t="s">
        <v>31</v>
      </c>
      <c r="AA465" s="46" t="str">
        <f t="array" ref="AA465">XLOOKUP($A465,'Recipients REF'!$A:$A,'Recipients REF'!M:M,"",0)</f>
        <v>WR-SERIES-1318PH</v>
      </c>
      <c r="AB465" s="49"/>
      <c r="AC465" s="42"/>
      <c r="AD465" s="42"/>
      <c r="AE465" s="50"/>
      <c r="AF465" s="42"/>
      <c r="AG465" s="42"/>
      <c r="AH465" s="42"/>
      <c r="AI465" s="42" t="str">
        <f t="array" ref="AI465">XLOOKUP($E465,Sheet11!$D:$D,Sheet11!$X:$X,"",0)</f>
        <v/>
      </c>
      <c r="AJ465" s="42" t="str">
        <f t="array" ref="AJ465">XLOOKUP($E465,Sheet11!$D:$D,Sheet11!$Y:$Y,"",0)</f>
        <v/>
      </c>
    </row>
    <row r="466">
      <c r="A466" s="41">
        <v>248.0</v>
      </c>
      <c r="B466" s="42" t="s">
        <v>920</v>
      </c>
      <c r="C466" s="42" t="s">
        <v>921</v>
      </c>
      <c r="D466" s="42"/>
      <c r="E466" s="42" t="str">
        <f t="shared" ref="E466:F466" si="467">PROPER(B466)</f>
        <v>Kandampol Farmers Irrigators Association, Inc.</v>
      </c>
      <c r="F466" s="42" t="str">
        <f t="shared" si="467"/>
        <v>Santa Isabel, Cabiao, Nueva Ecija</v>
      </c>
      <c r="G466" s="42" t="str">
        <f t="shared" si="3"/>
        <v>Santa Isabel</v>
      </c>
      <c r="H466" s="42" t="str">
        <f t="shared" si="4"/>
        <v>Cabiao</v>
      </c>
      <c r="I466" s="42" t="str">
        <f t="shared" si="5"/>
        <v>Nueva Ecija</v>
      </c>
      <c r="J466" s="42" t="str">
        <f t="array" ref="J466">XLOOKUP($E466,'Recipients REF'!$B:$B,'Recipients REF'!D:D,"",0)</f>
        <v>Alejandro Q. Mangilit</v>
      </c>
      <c r="K466" s="42" t="str">
        <f t="array" ref="K466">XLOOKUP($E466,'Recipients REF'!$B:$B,'Recipients REF'!E:E,"",0)</f>
        <v>0936-271-5143</v>
      </c>
      <c r="L466" s="43" t="str">
        <f t="array" ref="L466">XLOOKUP($A466,'Recipients REF'!$A:$A,'Recipients REF'!F:F,"",0)</f>
        <v>RCEF 23-09-21 Rebidding</v>
      </c>
      <c r="M466" s="43">
        <f t="array" ref="M466">XLOOKUP($A466,'Recipients REF'!$A:$A,'Recipients REF'!G:G,"",0)</f>
        <v>3</v>
      </c>
      <c r="N466" s="43">
        <f t="array" ref="N466">XLOOKUP($A466,'Recipients REF'!$A:$A,'Recipients REF'!H:H,"",0)</f>
        <v>18807</v>
      </c>
      <c r="O466" s="44" t="s">
        <v>25</v>
      </c>
      <c r="P466" s="45" t="s">
        <v>26</v>
      </c>
      <c r="Q466" s="46" t="str">
        <f t="array" ref="Q466">XLOOKUP($A466,'Recipients REF'!$A:$A,'Recipients REF'!I:I,"",0)</f>
        <v>KMC5825 ACRFPV0398</v>
      </c>
      <c r="R466" s="47" t="str">
        <f t="array" ref="R466">XLOOKUP($A466,'Recipients REF'!$A:$A,'Recipients REF'!J:J,"",0)</f>
        <v>RTS100288</v>
      </c>
      <c r="S466" s="45" t="s">
        <v>27</v>
      </c>
      <c r="T466" s="45" t="s">
        <v>28</v>
      </c>
      <c r="U466" s="46" t="str">
        <f t="array" ref="U466">XLOOKUP($A466,'Recipients REF'!$A:$A,'Recipients REF'!K:K,"",0)</f>
        <v>R-SERIES 160 PH</v>
      </c>
      <c r="V466" s="44" t="s">
        <v>29</v>
      </c>
      <c r="W466" s="45" t="s">
        <v>30</v>
      </c>
      <c r="X466" s="47" t="str">
        <f t="array" ref="X466">XLOOKUP($A466,'Recipients REF'!$A:$A,'Recipients REF'!L:L,"",0)</f>
        <v>LSGW1750 RMP 24020498</v>
      </c>
      <c r="Y466" s="48" t="s">
        <v>29</v>
      </c>
      <c r="Z466" s="48" t="s">
        <v>31</v>
      </c>
      <c r="AA466" s="46" t="str">
        <f t="array" ref="AA466">XLOOKUP($A466,'Recipients REF'!$A:$A,'Recipients REF'!M:M,"",0)</f>
        <v>WDP40 RMP 24050622</v>
      </c>
      <c r="AB466" s="49"/>
      <c r="AC466" s="42"/>
      <c r="AD466" s="42"/>
      <c r="AE466" s="50"/>
      <c r="AF466" s="42"/>
      <c r="AG466" s="42"/>
      <c r="AH466" s="42"/>
      <c r="AI466" s="42">
        <f t="array" ref="AI466">XLOOKUP($E466,Sheet11!$D:$D,Sheet11!$X:$X,"",0)</f>
        <v>869066060244739</v>
      </c>
      <c r="AJ466" s="42">
        <f t="array" ref="AJ466">XLOOKUP($E466,Sheet11!$D:$D,Sheet11!$Y:$Y,"",0)</f>
        <v>9624635424</v>
      </c>
    </row>
    <row r="467">
      <c r="A467" s="41">
        <v>250.0</v>
      </c>
      <c r="B467" s="42" t="s">
        <v>922</v>
      </c>
      <c r="C467" s="42" t="s">
        <v>923</v>
      </c>
      <c r="D467" s="42"/>
      <c r="E467" s="42" t="str">
        <f t="shared" ref="E467:F467" si="468">PROPER(B467)</f>
        <v>Pinagpala Irrigators' Association, Inc.</v>
      </c>
      <c r="F467" s="42" t="str">
        <f t="shared" si="468"/>
        <v>San Fernando Norte, Cabiao, Nueva Ecija</v>
      </c>
      <c r="G467" s="42" t="str">
        <f t="shared" si="3"/>
        <v>San Fernando Norte</v>
      </c>
      <c r="H467" s="42" t="str">
        <f t="shared" si="4"/>
        <v>Cabiao</v>
      </c>
      <c r="I467" s="42" t="str">
        <f t="shared" si="5"/>
        <v>Nueva Ecija</v>
      </c>
      <c r="J467" s="42" t="str">
        <f t="array" ref="J467">XLOOKUP($E467,'Recipients REF'!$B:$B,'Recipients REF'!D:D,"",0)</f>
        <v>Bonifacio Cunanan Sr.</v>
      </c>
      <c r="K467" s="42" t="str">
        <f t="array" ref="K467">XLOOKUP($E467,'Recipients REF'!$B:$B,'Recipients REF'!E:E,"",0)</f>
        <v>0923-367-1053</v>
      </c>
      <c r="L467" s="43" t="str">
        <f t="array" ref="L467">XLOOKUP($A467,'Recipients REF'!$A:$A,'Recipients REF'!F:F,"",0)</f>
        <v>RCEF 23-09-21 Rebidding</v>
      </c>
      <c r="M467" s="43">
        <f t="array" ref="M467">XLOOKUP($A467,'Recipients REF'!$A:$A,'Recipients REF'!G:G,"",0)</f>
        <v>3</v>
      </c>
      <c r="N467" s="43">
        <f t="array" ref="N467">XLOOKUP($A467,'Recipients REF'!$A:$A,'Recipients REF'!H:H,"",0)</f>
        <v>18809</v>
      </c>
      <c r="O467" s="44" t="s">
        <v>25</v>
      </c>
      <c r="P467" s="45" t="s">
        <v>26</v>
      </c>
      <c r="Q467" s="46" t="str">
        <f t="array" ref="Q467">XLOOKUP($A467,'Recipients REF'!$A:$A,'Recipients REF'!I:I,"",0)</f>
        <v>KMC5825 ATRFPV0497</v>
      </c>
      <c r="R467" s="47" t="str">
        <f t="array" ref="R467">XLOOKUP($A467,'Recipients REF'!$A:$A,'Recipients REF'!J:J,"",0)</f>
        <v>RTS100411</v>
      </c>
      <c r="S467" s="45" t="s">
        <v>27</v>
      </c>
      <c r="T467" s="45" t="s">
        <v>28</v>
      </c>
      <c r="U467" s="46" t="str">
        <f t="array" ref="U467">XLOOKUP($A467,'Recipients REF'!$A:$A,'Recipients REF'!K:K,"",0)</f>
        <v>R-SERIES 416 PH</v>
      </c>
      <c r="V467" s="44" t="s">
        <v>29</v>
      </c>
      <c r="W467" s="45" t="s">
        <v>30</v>
      </c>
      <c r="X467" s="47" t="str">
        <f t="array" ref="X467">XLOOKUP($A467,'Recipients REF'!$A:$A,'Recipients REF'!L:L,"",0)</f>
        <v>LSGW1750 RMP 24020453</v>
      </c>
      <c r="Y467" s="48" t="s">
        <v>29</v>
      </c>
      <c r="Z467" s="48" t="s">
        <v>31</v>
      </c>
      <c r="AA467" s="46" t="str">
        <f t="array" ref="AA467">XLOOKUP($A467,'Recipients REF'!$A:$A,'Recipients REF'!M:M,"",0)</f>
        <v>WDP40 RMP 24050624</v>
      </c>
      <c r="AB467" s="49"/>
      <c r="AC467" s="42"/>
      <c r="AD467" s="42"/>
      <c r="AE467" s="50"/>
      <c r="AF467" s="42"/>
      <c r="AG467" s="42"/>
      <c r="AH467" s="42"/>
      <c r="AI467" s="42">
        <f t="array" ref="AI467">XLOOKUP($E467,Sheet11!$D:$D,Sheet11!$X:$X,"",0)</f>
        <v>869066060241172</v>
      </c>
      <c r="AJ467" s="42">
        <f t="array" ref="AJ467">XLOOKUP($E467,Sheet11!$D:$D,Sheet11!$Y:$Y,"",0)</f>
        <v>9087214096</v>
      </c>
    </row>
    <row r="468">
      <c r="A468" s="41">
        <v>600.0</v>
      </c>
      <c r="B468" s="42" t="s">
        <v>924</v>
      </c>
      <c r="C468" s="42" t="s">
        <v>925</v>
      </c>
      <c r="D468" s="42"/>
      <c r="E468" s="42" t="str">
        <f t="shared" ref="E468:F468" si="469">PROPER(B468)</f>
        <v>Masikap Farmers And Farm Workers Association</v>
      </c>
      <c r="F468" s="42" t="str">
        <f t="shared" si="469"/>
        <v>San Fernando Norte, Cabiao, Nueva Ecija</v>
      </c>
      <c r="G468" s="42" t="str">
        <f t="shared" si="3"/>
        <v>San Fernando Norte</v>
      </c>
      <c r="H468" s="42" t="str">
        <f t="shared" si="4"/>
        <v>Cabiao</v>
      </c>
      <c r="I468" s="42" t="str">
        <f t="shared" si="5"/>
        <v>Nueva Ecija</v>
      </c>
      <c r="J468" s="42" t="str">
        <f t="array" ref="J468">XLOOKUP($E468,'Recipients REF'!$B:$B,'Recipients REF'!D:D,"",0)</f>
        <v>#N/A</v>
      </c>
      <c r="K468" s="42" t="str">
        <f t="array" ref="K468">XLOOKUP($E468,'Recipients REF'!$B:$B,'Recipients REF'!E:E,"",0)</f>
        <v>#N/A</v>
      </c>
      <c r="L468" s="43" t="str">
        <f t="array" ref="L468">XLOOKUP($A468,'Recipients REF'!$A:$A,'Recipients REF'!F:F,"",0)</f>
        <v>RCEF 24-04-15</v>
      </c>
      <c r="M468" s="43">
        <f t="array" ref="M468">XLOOKUP($A468,'Recipients REF'!$A:$A,'Recipients REF'!G:G,"",0)</f>
        <v>6</v>
      </c>
      <c r="N468" s="43">
        <f t="array" ref="N468">XLOOKUP($A468,'Recipients REF'!$A:$A,'Recipients REF'!H:H,"",0)</f>
        <v>22353</v>
      </c>
      <c r="O468" s="44" t="s">
        <v>25</v>
      </c>
      <c r="P468" s="45" t="s">
        <v>26</v>
      </c>
      <c r="Q468" s="46" t="str">
        <f t="array" ref="Q468">XLOOKUP($A468,'Recipients REF'!$A:$A,'Recipients REF'!I:I,"",0)</f>
        <v>KMC5825APRFPV0887</v>
      </c>
      <c r="R468" s="47" t="str">
        <f t="array" ref="R468">XLOOKUP($A468,'Recipients REF'!$A:$A,'Recipients REF'!J:J,"",0)</f>
        <v>RTS100801</v>
      </c>
      <c r="S468" s="45" t="s">
        <v>27</v>
      </c>
      <c r="T468" s="45" t="s">
        <v>28</v>
      </c>
      <c r="U468" s="46" t="str">
        <f t="array" ref="U468">XLOOKUP($A468,'Recipients REF'!$A:$A,'Recipients REF'!K:K,"",0)</f>
        <v>LSGW170-RMP-24100975</v>
      </c>
      <c r="V468" s="44" t="s">
        <v>29</v>
      </c>
      <c r="W468" s="45" t="s">
        <v>30</v>
      </c>
      <c r="X468" s="47" t="str">
        <f t="array" ref="X468">XLOOKUP($A468,'Recipients REF'!$A:$A,'Recipients REF'!L:L,"",0)</f>
        <v>WDP40-RMP-24111366</v>
      </c>
      <c r="Y468" s="48" t="s">
        <v>29</v>
      </c>
      <c r="Z468" s="48" t="s">
        <v>31</v>
      </c>
      <c r="AA468" s="46" t="str">
        <f t="array" ref="AA468">XLOOKUP($A468,'Recipients REF'!$A:$A,'Recipients REF'!M:M,"",0)</f>
        <v>WR-SERIES-1068PH</v>
      </c>
      <c r="AB468" s="49"/>
      <c r="AC468" s="42"/>
      <c r="AD468" s="42"/>
      <c r="AE468" s="50"/>
      <c r="AF468" s="42"/>
      <c r="AG468" s="42"/>
      <c r="AH468" s="42"/>
      <c r="AI468" s="42" t="str">
        <f t="array" ref="AI468">XLOOKUP($E468,Sheet11!$D:$D,Sheet11!$X:$X,"",0)</f>
        <v/>
      </c>
      <c r="AJ468" s="42" t="str">
        <f t="array" ref="AJ468">XLOOKUP($E468,Sheet11!$D:$D,Sheet11!$Y:$Y,"",0)</f>
        <v/>
      </c>
    </row>
    <row r="469">
      <c r="A469" s="41">
        <v>223.0</v>
      </c>
      <c r="B469" s="42" t="s">
        <v>926</v>
      </c>
      <c r="C469" s="42" t="s">
        <v>927</v>
      </c>
      <c r="D469" s="42"/>
      <c r="E469" s="42" t="str">
        <f t="shared" ref="E469:F469" si="470">PROPER(B469)</f>
        <v>Sitio Tubong Upland Farmers Association Inc.</v>
      </c>
      <c r="F469" s="42" t="str">
        <f t="shared" si="470"/>
        <v>Bunga, Carranglan, Nueva Ecija</v>
      </c>
      <c r="G469" s="42" t="str">
        <f t="shared" si="3"/>
        <v>Bunga</v>
      </c>
      <c r="H469" s="42" t="str">
        <f t="shared" si="4"/>
        <v>Carranglan</v>
      </c>
      <c r="I469" s="42" t="str">
        <f t="shared" si="5"/>
        <v>Nueva Ecija</v>
      </c>
      <c r="J469" s="42" t="str">
        <f t="array" ref="J469">XLOOKUP($E469,'Recipients REF'!$B:$B,'Recipients REF'!D:D,"",0)</f>
        <v>Nenildo C. Nantes</v>
      </c>
      <c r="K469" s="42" t="str">
        <f t="array" ref="K469">XLOOKUP($E469,'Recipients REF'!$B:$B,'Recipients REF'!E:E,"",0)</f>
        <v>0965-274-6082</v>
      </c>
      <c r="L469" s="43" t="str">
        <f t="array" ref="L469">XLOOKUP($A469,'Recipients REF'!$A:$A,'Recipients REF'!F:F,"",0)</f>
        <v>RCEF 23-09-21 Rebidding</v>
      </c>
      <c r="M469" s="43">
        <f t="array" ref="M469">XLOOKUP($A469,'Recipients REF'!$A:$A,'Recipients REF'!G:G,"",0)</f>
        <v>3</v>
      </c>
      <c r="N469" s="43">
        <f t="array" ref="N469">XLOOKUP($A469,'Recipients REF'!$A:$A,'Recipients REF'!H:H,"",0)</f>
        <v>18776</v>
      </c>
      <c r="O469" s="44" t="s">
        <v>25</v>
      </c>
      <c r="P469" s="45" t="s">
        <v>26</v>
      </c>
      <c r="Q469" s="46" t="str">
        <f t="array" ref="Q469">XLOOKUP($A469,'Recipients REF'!$A:$A,'Recipients REF'!I:I,"",0)</f>
        <v>KMC 5825 AARFPV0346</v>
      </c>
      <c r="R469" s="47" t="str">
        <f t="array" ref="R469">XLOOKUP($A469,'Recipients REF'!$A:$A,'Recipients REF'!J:J,"",0)</f>
        <v>RTS 100244</v>
      </c>
      <c r="S469" s="45" t="s">
        <v>27</v>
      </c>
      <c r="T469" s="45" t="s">
        <v>28</v>
      </c>
      <c r="U469" s="46" t="str">
        <f t="array" ref="U469">XLOOKUP($A469,'Recipients REF'!$A:$A,'Recipients REF'!K:K,"",0)</f>
        <v>R SERIES 028 PH</v>
      </c>
      <c r="V469" s="44" t="s">
        <v>29</v>
      </c>
      <c r="W469" s="45" t="s">
        <v>30</v>
      </c>
      <c r="X469" s="47" t="str">
        <f t="array" ref="X469">XLOOKUP($A469,'Recipients REF'!$A:$A,'Recipients REF'!L:L,"",0)</f>
        <v>LSGW1750 RMP 24020451</v>
      </c>
      <c r="Y469" s="48" t="s">
        <v>29</v>
      </c>
      <c r="Z469" s="48" t="s">
        <v>31</v>
      </c>
      <c r="AA469" s="46" t="str">
        <f t="array" ref="AA469">XLOOKUP($A469,'Recipients REF'!$A:$A,'Recipients REF'!M:M,"",0)</f>
        <v>WDP40 RMP 24020228</v>
      </c>
      <c r="AB469" s="49"/>
      <c r="AC469" s="42"/>
      <c r="AD469" s="42"/>
      <c r="AE469" s="50"/>
      <c r="AF469" s="42"/>
      <c r="AG469" s="42"/>
      <c r="AH469" s="42"/>
      <c r="AI469" s="42">
        <f t="array" ref="AI469">XLOOKUP($E469,Sheet11!$D:$D,Sheet11!$X:$X,"",0)</f>
        <v>869066060244754</v>
      </c>
      <c r="AJ469" s="42">
        <f t="array" ref="AJ469">XLOOKUP($E469,Sheet11!$D:$D,Sheet11!$Y:$Y,"",0)</f>
        <v>9624396940</v>
      </c>
    </row>
    <row r="470">
      <c r="A470" s="41">
        <v>652.0</v>
      </c>
      <c r="B470" s="42" t="s">
        <v>928</v>
      </c>
      <c r="C470" s="42" t="s">
        <v>929</v>
      </c>
      <c r="D470" s="42"/>
      <c r="E470" s="42" t="str">
        <f t="shared" ref="E470:F470" si="471">PROPER(B470)</f>
        <v>Kadangdanglaan Farmers Association, Inc.</v>
      </c>
      <c r="F470" s="42" t="str">
        <f t="shared" si="471"/>
        <v>General Luna, Carranglan, Nueva Ecija</v>
      </c>
      <c r="G470" s="42" t="str">
        <f t="shared" si="3"/>
        <v>General Luna</v>
      </c>
      <c r="H470" s="42" t="str">
        <f t="shared" si="4"/>
        <v>Carranglan</v>
      </c>
      <c r="I470" s="42" t="str">
        <f t="shared" si="5"/>
        <v>Nueva Ecija</v>
      </c>
      <c r="J470" s="42" t="str">
        <f t="array" ref="J470">XLOOKUP($E470,'Recipients REF'!$B:$B,'Recipients REF'!D:D,"",0)</f>
        <v>Rodrigo F. Manzano</v>
      </c>
      <c r="K470" s="42" t="str">
        <f t="array" ref="K470">XLOOKUP($E470,'Recipients REF'!$B:$B,'Recipients REF'!E:E,"",0)</f>
        <v>0955-548-3107</v>
      </c>
      <c r="L470" s="43" t="str">
        <f t="array" ref="L470">XLOOKUP($A470,'Recipients REF'!$A:$A,'Recipients REF'!F:F,"",0)</f>
        <v>RCEF 25-03-05</v>
      </c>
      <c r="M470" s="43">
        <f t="array" ref="M470">XLOOKUP($A470,'Recipients REF'!$A:$A,'Recipients REF'!G:G,"",0)</f>
        <v>5</v>
      </c>
      <c r="N470" s="43" t="str">
        <f t="array" ref="N470">XLOOKUP($A470,'Recipients REF'!$A:$A,'Recipients REF'!H:H,"",0)</f>
        <v>26242 &amp; 27831</v>
      </c>
      <c r="O470" s="44" t="s">
        <v>25</v>
      </c>
      <c r="P470" s="45" t="s">
        <v>26</v>
      </c>
      <c r="Q470" s="46" t="str">
        <f t="array" ref="Q470">XLOOKUP($A470,'Recipients REF'!$A:$A,'Recipients REF'!I:I,"",0)</f>
        <v>KMC5825 ACSFPV0648</v>
      </c>
      <c r="R470" s="53" t="str">
        <f t="array" ref="R470">XLOOKUP($A470,'Recipients REF'!$A:$A,'Recipients REF'!J:J,"",0)</f>
        <v>STS100411</v>
      </c>
      <c r="S470" s="45" t="s">
        <v>27</v>
      </c>
      <c r="T470" s="45" t="s">
        <v>28</v>
      </c>
      <c r="U470" s="46" t="str">
        <f t="array" ref="U470">XLOOKUP($A470,'Recipients REF'!$A:$A,'Recipients REF'!K:K,"",0)</f>
        <v>WR-SERIES 1445PH</v>
      </c>
      <c r="V470" s="44" t="s">
        <v>29</v>
      </c>
      <c r="W470" s="45" t="s">
        <v>30</v>
      </c>
      <c r="X470" s="53" t="str">
        <f t="array" ref="X470">XLOOKUP($A470,'Recipients REF'!$A:$A,'Recipients REF'!L:L,"",0)</f>
        <v>25100803</v>
      </c>
      <c r="Y470" s="48" t="s">
        <v>29</v>
      </c>
      <c r="Z470" s="48" t="s">
        <v>31</v>
      </c>
      <c r="AA470" s="54" t="str">
        <f t="array" ref="AA470">XLOOKUP($A470,'Recipients REF'!$A:$A,'Recipients REF'!M:M,"",0)</f>
        <v>25101170</v>
      </c>
      <c r="AB470" s="49"/>
      <c r="AC470" s="42"/>
      <c r="AD470" s="42"/>
      <c r="AE470" s="50"/>
      <c r="AF470" s="42"/>
      <c r="AG470" s="42"/>
      <c r="AH470" s="42"/>
      <c r="AI470" s="42" t="str">
        <f t="array" ref="AI470">XLOOKUP($E470,Sheet11!$D:$D,Sheet11!$X:$X,"",0)</f>
        <v/>
      </c>
      <c r="AJ470" s="42" t="str">
        <f t="array" ref="AJ470">XLOOKUP($E470,Sheet11!$D:$D,Sheet11!$Y:$Y,"",0)</f>
        <v/>
      </c>
    </row>
    <row r="471">
      <c r="A471" s="41">
        <v>207.0</v>
      </c>
      <c r="B471" s="42" t="s">
        <v>930</v>
      </c>
      <c r="C471" s="42" t="s">
        <v>931</v>
      </c>
      <c r="D471" s="42"/>
      <c r="E471" s="42" t="str">
        <f t="shared" ref="E471:F471" si="472">PROPER(B471)</f>
        <v>Farmers League Agriculture Cooperative</v>
      </c>
      <c r="F471" s="42" t="str">
        <f t="shared" si="472"/>
        <v>Nagmisahan, Cuyapo, Nueva Ecija</v>
      </c>
      <c r="G471" s="42" t="str">
        <f t="shared" si="3"/>
        <v>Nagmisahan</v>
      </c>
      <c r="H471" s="42" t="str">
        <f t="shared" si="4"/>
        <v>Cuyapo</v>
      </c>
      <c r="I471" s="42" t="str">
        <f t="shared" si="5"/>
        <v>Nueva Ecija</v>
      </c>
      <c r="J471" s="42" t="str">
        <f t="array" ref="J471">XLOOKUP($E471,'Recipients REF'!$B:$B,'Recipients REF'!D:D,"",0)</f>
        <v>Crispin A. Carino</v>
      </c>
      <c r="K471" s="42" t="str">
        <f t="array" ref="K471">XLOOKUP($E471,'Recipients REF'!$B:$B,'Recipients REF'!E:E,"",0)</f>
        <v>0917-717-1446/ 0955-675-6655</v>
      </c>
      <c r="L471" s="43" t="str">
        <f t="array" ref="L471">XLOOKUP($A471,'Recipients REF'!$A:$A,'Recipients REF'!F:F,"",0)</f>
        <v>RCEF 23-09-21 Rebidding</v>
      </c>
      <c r="M471" s="43">
        <f t="array" ref="M471">XLOOKUP($A471,'Recipients REF'!$A:$A,'Recipients REF'!G:G,"",0)</f>
        <v>9</v>
      </c>
      <c r="N471" s="43">
        <f t="array" ref="N471">XLOOKUP($A471,'Recipients REF'!$A:$A,'Recipients REF'!H:H,"",0)</f>
        <v>18759</v>
      </c>
      <c r="O471" s="44" t="s">
        <v>25</v>
      </c>
      <c r="P471" s="45" t="s">
        <v>26</v>
      </c>
      <c r="Q471" s="46" t="str">
        <f t="array" ref="Q471">XLOOKUP($A471,'Recipients REF'!$A:$A,'Recipients REF'!I:I,"",0)</f>
        <v>KMC5825 AARFPV0461</v>
      </c>
      <c r="R471" s="47" t="str">
        <f t="array" ref="R471">XLOOKUP($A471,'Recipients REF'!$A:$A,'Recipients REF'!J:J,"",0)</f>
        <v>RTS100377</v>
      </c>
      <c r="S471" s="45" t="s">
        <v>27</v>
      </c>
      <c r="T471" s="45" t="s">
        <v>28</v>
      </c>
      <c r="U471" s="46" t="str">
        <f t="array" ref="U471">XLOOKUP($A471,'Recipients REF'!$A:$A,'Recipients REF'!K:K,"",0)</f>
        <v>R-SERIES 392 PH</v>
      </c>
      <c r="V471" s="44" t="s">
        <v>29</v>
      </c>
      <c r="W471" s="45" t="s">
        <v>30</v>
      </c>
      <c r="X471" s="47" t="str">
        <f t="array" ref="X471">XLOOKUP($A471,'Recipients REF'!$A:$A,'Recipients REF'!L:L,"",0)</f>
        <v>LSGW1750 RMP 2312150</v>
      </c>
      <c r="Y471" s="48" t="s">
        <v>29</v>
      </c>
      <c r="Z471" s="48" t="s">
        <v>31</v>
      </c>
      <c r="AA471" s="46" t="str">
        <f t="array" ref="AA471">XLOOKUP($A471,'Recipients REF'!$A:$A,'Recipients REF'!M:M,"",0)</f>
        <v>WDP40 WR 24020185</v>
      </c>
      <c r="AB471" s="49"/>
      <c r="AC471" s="42"/>
      <c r="AD471" s="42"/>
      <c r="AE471" s="50"/>
      <c r="AF471" s="42"/>
      <c r="AG471" s="42"/>
      <c r="AH471" s="42"/>
      <c r="AI471" s="42">
        <f t="array" ref="AI471">XLOOKUP($E471,Sheet11!$D:$D,Sheet11!$X:$X,"",0)</f>
        <v>869066060244366</v>
      </c>
      <c r="AJ471" s="42">
        <f t="array" ref="AJ471">XLOOKUP($E471,Sheet11!$D:$D,Sheet11!$Y:$Y,"",0)</f>
        <v>9624607592</v>
      </c>
    </row>
    <row r="472">
      <c r="A472" s="41">
        <v>213.0</v>
      </c>
      <c r="B472" s="42" t="s">
        <v>932</v>
      </c>
      <c r="C472" s="42" t="s">
        <v>931</v>
      </c>
      <c r="D472" s="42"/>
      <c r="E472" s="42" t="str">
        <f t="shared" ref="E472:F472" si="473">PROPER(B472)</f>
        <v>Nagmisahan Farmers Association</v>
      </c>
      <c r="F472" s="42" t="str">
        <f t="shared" si="473"/>
        <v>Nagmisahan, Cuyapo, Nueva Ecija</v>
      </c>
      <c r="G472" s="42" t="str">
        <f t="shared" si="3"/>
        <v>Nagmisahan</v>
      </c>
      <c r="H472" s="42" t="str">
        <f t="shared" si="4"/>
        <v>Cuyapo</v>
      </c>
      <c r="I472" s="42" t="str">
        <f t="shared" si="5"/>
        <v>Nueva Ecija</v>
      </c>
      <c r="J472" s="42" t="str">
        <f t="array" ref="J472">XLOOKUP($E472,'Recipients REF'!$B:$B,'Recipients REF'!D:D,"",0)</f>
        <v>Dyna F. Castillo</v>
      </c>
      <c r="K472" s="42" t="str">
        <f t="array" ref="K472">XLOOKUP($E472,'Recipients REF'!$B:$B,'Recipients REF'!E:E,"",0)</f>
        <v>0915 976 2051</v>
      </c>
      <c r="L472" s="43" t="str">
        <f t="array" ref="L472">XLOOKUP($A472,'Recipients REF'!$A:$A,'Recipients REF'!F:F,"",0)</f>
        <v>RCEF 23-09-21 Rebidding</v>
      </c>
      <c r="M472" s="43">
        <f t="array" ref="M472">XLOOKUP($A472,'Recipients REF'!$A:$A,'Recipients REF'!G:G,"",0)</f>
        <v>3</v>
      </c>
      <c r="N472" s="43">
        <f t="array" ref="N472">XLOOKUP($A472,'Recipients REF'!$A:$A,'Recipients REF'!H:H,"",0)</f>
        <v>18765</v>
      </c>
      <c r="O472" s="44" t="s">
        <v>25</v>
      </c>
      <c r="P472" s="45" t="s">
        <v>26</v>
      </c>
      <c r="Q472" s="46" t="str">
        <f t="array" ref="Q472">XLOOKUP($A472,'Recipients REF'!$A:$A,'Recipients REF'!I:I,"",0)</f>
        <v>KMC5825 ACRFPV0411</v>
      </c>
      <c r="R472" s="47" t="str">
        <f t="array" ref="R472">XLOOKUP($A472,'Recipients REF'!$A:$A,'Recipients REF'!J:J,"",0)</f>
        <v>RTS 100312</v>
      </c>
      <c r="S472" s="45" t="s">
        <v>27</v>
      </c>
      <c r="T472" s="45" t="s">
        <v>28</v>
      </c>
      <c r="U472" s="46" t="str">
        <f t="array" ref="U472">XLOOKUP($A472,'Recipients REF'!$A:$A,'Recipients REF'!K:K,"",0)</f>
        <v>R-SERIES 044 PH</v>
      </c>
      <c r="V472" s="44" t="s">
        <v>29</v>
      </c>
      <c r="W472" s="45" t="s">
        <v>30</v>
      </c>
      <c r="X472" s="47" t="str">
        <f t="array" ref="X472">XLOOKUP($A472,'Recipients REF'!$A:$A,'Recipients REF'!L:L,"",0)</f>
        <v>LSGW1750 RMP 2312147</v>
      </c>
      <c r="Y472" s="48" t="s">
        <v>29</v>
      </c>
      <c r="Z472" s="48" t="s">
        <v>31</v>
      </c>
      <c r="AA472" s="46" t="str">
        <f t="array" ref="AA472">XLOOKUP($A472,'Recipients REF'!$A:$A,'Recipients REF'!M:M,"",0)</f>
        <v>WDP40 WR 24020206</v>
      </c>
      <c r="AB472" s="49"/>
      <c r="AC472" s="42"/>
      <c r="AD472" s="42"/>
      <c r="AE472" s="50"/>
      <c r="AF472" s="42"/>
      <c r="AG472" s="42"/>
      <c r="AH472" s="42"/>
      <c r="AI472" s="42">
        <f t="array" ref="AI472">XLOOKUP($E472,Sheet11!$D:$D,Sheet11!$X:$X,"",0)</f>
        <v>869066060243699</v>
      </c>
      <c r="AJ472" s="42">
        <f t="array" ref="AJ472">XLOOKUP($E472,Sheet11!$D:$D,Sheet11!$Y:$Y,"",0)</f>
        <v>9623583910</v>
      </c>
    </row>
    <row r="473">
      <c r="A473" s="41">
        <v>214.0</v>
      </c>
      <c r="B473" s="42" t="s">
        <v>933</v>
      </c>
      <c r="C473" s="42" t="s">
        <v>934</v>
      </c>
      <c r="D473" s="42"/>
      <c r="E473" s="42" t="str">
        <f t="shared" ref="E473:F473" si="474">PROPER(B473)</f>
        <v>Sabit Agricultural Cooperative (Saco)</v>
      </c>
      <c r="F473" s="42" t="str">
        <f t="shared" si="474"/>
        <v>, Cuyapo, Nueva Ecija</v>
      </c>
      <c r="G473" s="42" t="str">
        <f t="shared" si="3"/>
        <v/>
      </c>
      <c r="H473" s="42" t="str">
        <f t="shared" si="4"/>
        <v>Cuyapo</v>
      </c>
      <c r="I473" s="42" t="str">
        <f t="shared" si="5"/>
        <v>Nueva Ecija</v>
      </c>
      <c r="J473" s="42" t="str">
        <f t="array" ref="J473">XLOOKUP($E473,'Recipients REF'!$B:$B,'Recipients REF'!D:D,"",0)</f>
        <v>Antonio M. Esteban</v>
      </c>
      <c r="K473" s="42" t="str">
        <f t="array" ref="K473">XLOOKUP($E473,'Recipients REF'!$B:$B,'Recipients REF'!E:E,"",0)</f>
        <v>0925-552-8584</v>
      </c>
      <c r="L473" s="43" t="str">
        <f t="array" ref="L473">XLOOKUP($A473,'Recipients REF'!$A:$A,'Recipients REF'!F:F,"",0)</f>
        <v>RCEF 23-09-21 Rebidding</v>
      </c>
      <c r="M473" s="43">
        <f t="array" ref="M473">XLOOKUP($A473,'Recipients REF'!$A:$A,'Recipients REF'!G:G,"",0)</f>
        <v>3</v>
      </c>
      <c r="N473" s="43">
        <f t="array" ref="N473">XLOOKUP($A473,'Recipients REF'!$A:$A,'Recipients REF'!H:H,"",0)</f>
        <v>18766</v>
      </c>
      <c r="O473" s="44" t="s">
        <v>25</v>
      </c>
      <c r="P473" s="45" t="s">
        <v>26</v>
      </c>
      <c r="Q473" s="46" t="str">
        <f t="array" ref="Q473">XLOOKUP($A473,'Recipients REF'!$A:$A,'Recipients REF'!I:I,"",0)</f>
        <v>KMC5825 AKRFPV0504</v>
      </c>
      <c r="R473" s="47" t="str">
        <f t="array" ref="R473">XLOOKUP($A473,'Recipients REF'!$A:$A,'Recipients REF'!J:J,"",0)</f>
        <v>RTS 100421</v>
      </c>
      <c r="S473" s="45" t="s">
        <v>27</v>
      </c>
      <c r="T473" s="45" t="s">
        <v>28</v>
      </c>
      <c r="U473" s="46" t="str">
        <f t="array" ref="U473">XLOOKUP($A473,'Recipients REF'!$A:$A,'Recipients REF'!K:K,"",0)</f>
        <v>R-SERIES 014 PH</v>
      </c>
      <c r="V473" s="44" t="s">
        <v>29</v>
      </c>
      <c r="W473" s="45" t="s">
        <v>30</v>
      </c>
      <c r="X473" s="47" t="str">
        <f t="array" ref="X473">XLOOKUP($A473,'Recipients REF'!$A:$A,'Recipients REF'!L:L,"",0)</f>
        <v>LSGW1750 RMP 2321 055</v>
      </c>
      <c r="Y473" s="48" t="s">
        <v>29</v>
      </c>
      <c r="Z473" s="48" t="s">
        <v>31</v>
      </c>
      <c r="AA473" s="46" t="str">
        <f t="array" ref="AA473">XLOOKUP($A473,'Recipients REF'!$A:$A,'Recipients REF'!M:M,"",0)</f>
        <v>WDP40 RMP 24020224</v>
      </c>
      <c r="AB473" s="49"/>
      <c r="AC473" s="42"/>
      <c r="AD473" s="42"/>
      <c r="AE473" s="50"/>
      <c r="AF473" s="42"/>
      <c r="AG473" s="42"/>
      <c r="AH473" s="42"/>
      <c r="AI473" s="42">
        <f t="array" ref="AI473">XLOOKUP($E473,Sheet11!$D:$D,Sheet11!$X:$X,"",0)</f>
        <v>869066060244465</v>
      </c>
      <c r="AJ473" s="42">
        <f t="array" ref="AJ473">XLOOKUP($E473,Sheet11!$D:$D,Sheet11!$Y:$Y,"",0)</f>
        <v>9624607594</v>
      </c>
    </row>
    <row r="474">
      <c r="A474" s="41">
        <v>640.0</v>
      </c>
      <c r="B474" s="42" t="s">
        <v>935</v>
      </c>
      <c r="C474" s="42" t="s">
        <v>936</v>
      </c>
      <c r="D474" s="42"/>
      <c r="E474" s="42" t="str">
        <f t="shared" ref="E474:F474" si="475">PROPER(B474)</f>
        <v>Baloy Agriculture Cooperative (Bac)</v>
      </c>
      <c r="F474" s="42" t="str">
        <f t="shared" si="475"/>
        <v>Baloy, Cuyapo, Nueva Ecija</v>
      </c>
      <c r="G474" s="42" t="str">
        <f t="shared" si="3"/>
        <v>Baloy</v>
      </c>
      <c r="H474" s="42" t="str">
        <f t="shared" si="4"/>
        <v>Cuyapo</v>
      </c>
      <c r="I474" s="42" t="str">
        <f t="shared" si="5"/>
        <v>Nueva Ecija</v>
      </c>
      <c r="J474" s="42" t="str">
        <f t="array" ref="J474">XLOOKUP($E474,'Recipients REF'!$B:$B,'Recipients REF'!D:D,"",0)</f>
        <v>Emmanuel R. Gragarin, Jr.</v>
      </c>
      <c r="K474" s="42" t="str">
        <f t="array" ref="K474">XLOOKUP($E474,'Recipients REF'!$B:$B,'Recipients REF'!E:E,"",0)</f>
        <v>0949-394-5718</v>
      </c>
      <c r="L474" s="43" t="str">
        <f t="array" ref="L474">XLOOKUP($A474,'Recipients REF'!$A:$A,'Recipients REF'!F:F,"",0)</f>
        <v>RCEF 25-03-05</v>
      </c>
      <c r="M474" s="43">
        <f t="array" ref="M474">XLOOKUP($A474,'Recipients REF'!$A:$A,'Recipients REF'!G:G,"",0)</f>
        <v>5</v>
      </c>
      <c r="N474" s="43" t="str">
        <f t="array" ref="N474">XLOOKUP($A474,'Recipients REF'!$A:$A,'Recipients REF'!H:H,"",0)</f>
        <v>26230 &amp; 27670</v>
      </c>
      <c r="O474" s="44" t="s">
        <v>25</v>
      </c>
      <c r="P474" s="45" t="s">
        <v>26</v>
      </c>
      <c r="Q474" s="46" t="str">
        <f t="array" ref="Q474">XLOOKUP($A474,'Recipients REF'!$A:$A,'Recipients REF'!I:I,"",0)</f>
        <v>KMC5825 AASFPV0353</v>
      </c>
      <c r="R474" s="53" t="str">
        <f t="array" ref="R474">XLOOKUP($A474,'Recipients REF'!$A:$A,'Recipients REF'!J:J,"",0)</f>
        <v>STS100341</v>
      </c>
      <c r="S474" s="45" t="s">
        <v>27</v>
      </c>
      <c r="T474" s="45" t="s">
        <v>28</v>
      </c>
      <c r="U474" s="46" t="str">
        <f t="array" ref="U474">XLOOKUP($A474,'Recipients REF'!$A:$A,'Recipients REF'!K:K,"",0)</f>
        <v>R-SERIES 309PH</v>
      </c>
      <c r="V474" s="44" t="s">
        <v>29</v>
      </c>
      <c r="W474" s="45" t="s">
        <v>30</v>
      </c>
      <c r="X474" s="53" t="str">
        <f t="array" ref="X474">XLOOKUP($A474,'Recipients REF'!$A:$A,'Recipients REF'!L:L,"",0)</f>
        <v>25090595</v>
      </c>
      <c r="Y474" s="48" t="s">
        <v>29</v>
      </c>
      <c r="Z474" s="48" t="s">
        <v>31</v>
      </c>
      <c r="AA474" s="54" t="str">
        <f t="array" ref="AA474">XLOOKUP($A474,'Recipients REF'!$A:$A,'Recipients REF'!M:M,"",0)</f>
        <v>25080886</v>
      </c>
      <c r="AB474" s="49"/>
      <c r="AC474" s="42"/>
      <c r="AD474" s="42"/>
      <c r="AE474" s="50"/>
      <c r="AF474" s="42"/>
      <c r="AG474" s="42"/>
      <c r="AH474" s="42"/>
      <c r="AI474" s="42" t="str">
        <f t="array" ref="AI474">XLOOKUP($E474,Sheet11!$D:$D,Sheet11!$X:$X,"",0)</f>
        <v/>
      </c>
      <c r="AJ474" s="42" t="str">
        <f t="array" ref="AJ474">XLOOKUP($E474,Sheet11!$D:$D,Sheet11!$Y:$Y,"",0)</f>
        <v/>
      </c>
    </row>
    <row r="475">
      <c r="A475" s="41">
        <v>641.0</v>
      </c>
      <c r="B475" s="42" t="s">
        <v>937</v>
      </c>
      <c r="C475" s="42" t="s">
        <v>938</v>
      </c>
      <c r="D475" s="42"/>
      <c r="E475" s="42" t="str">
        <f t="shared" ref="E475:F475" si="476">PROPER(B475)</f>
        <v>Novaliches Development Cooperative (Novadeci)</v>
      </c>
      <c r="F475" s="42" t="str">
        <f t="shared" si="476"/>
        <v>Tagtagumbao, Cuyapo, Nueva Ecija</v>
      </c>
      <c r="G475" s="42" t="str">
        <f t="shared" si="3"/>
        <v>Tagtagumbao</v>
      </c>
      <c r="H475" s="42" t="str">
        <f t="shared" si="4"/>
        <v>Cuyapo</v>
      </c>
      <c r="I475" s="42" t="str">
        <f t="shared" si="5"/>
        <v>Nueva Ecija</v>
      </c>
      <c r="J475" s="42" t="str">
        <f t="array" ref="J475">XLOOKUP($E475,'Recipients REF'!$B:$B,'Recipients REF'!D:D,"",0)</f>
        <v>Ma. Theresa G. Drueco</v>
      </c>
      <c r="K475" s="42" t="str">
        <f t="array" ref="K475">XLOOKUP($E475,'Recipients REF'!$B:$B,'Recipients REF'!E:E,"",0)</f>
        <v>0917-625-8299</v>
      </c>
      <c r="L475" s="43" t="str">
        <f t="array" ref="L475">XLOOKUP($A475,'Recipients REF'!$A:$A,'Recipients REF'!F:F,"",0)</f>
        <v>RCEF 25-03-05</v>
      </c>
      <c r="M475" s="43">
        <f t="array" ref="M475">XLOOKUP($A475,'Recipients REF'!$A:$A,'Recipients REF'!G:G,"",0)</f>
        <v>5</v>
      </c>
      <c r="N475" s="43" t="str">
        <f t="array" ref="N475">XLOOKUP($A475,'Recipients REF'!$A:$A,'Recipients REF'!H:H,"",0)</f>
        <v>26231 &amp; 27671</v>
      </c>
      <c r="O475" s="44" t="s">
        <v>25</v>
      </c>
      <c r="P475" s="45" t="s">
        <v>26</v>
      </c>
      <c r="Q475" s="46" t="str">
        <f t="array" ref="Q475">XLOOKUP($A475,'Recipients REF'!$A:$A,'Recipients REF'!I:I,"",0)</f>
        <v>KMC5825 AJSFPV0364</v>
      </c>
      <c r="R475" s="53" t="str">
        <f t="array" ref="R475">XLOOKUP($A475,'Recipients REF'!$A:$A,'Recipients REF'!J:J,"",0)</f>
        <v>STS100426</v>
      </c>
      <c r="S475" s="45" t="s">
        <v>27</v>
      </c>
      <c r="T475" s="45" t="s">
        <v>28</v>
      </c>
      <c r="U475" s="46" t="str">
        <f t="array" ref="U475">XLOOKUP($A475,'Recipients REF'!$A:$A,'Recipients REF'!K:K,"",0)</f>
        <v>R-SERIES 052PH</v>
      </c>
      <c r="V475" s="44" t="s">
        <v>29</v>
      </c>
      <c r="W475" s="45" t="s">
        <v>30</v>
      </c>
      <c r="X475" s="53" t="str">
        <f t="array" ref="X475">XLOOKUP($A475,'Recipients REF'!$A:$A,'Recipients REF'!L:L,"",0)</f>
        <v>25090599</v>
      </c>
      <c r="Y475" s="48" t="s">
        <v>29</v>
      </c>
      <c r="Z475" s="48" t="s">
        <v>31</v>
      </c>
      <c r="AA475" s="54" t="str">
        <f t="array" ref="AA475">XLOOKUP($A475,'Recipients REF'!$A:$A,'Recipients REF'!M:M,"",0)</f>
        <v>25080823</v>
      </c>
      <c r="AB475" s="49"/>
      <c r="AC475" s="42"/>
      <c r="AD475" s="42"/>
      <c r="AE475" s="51"/>
      <c r="AF475" s="52"/>
      <c r="AG475" s="42"/>
      <c r="AH475" s="42"/>
      <c r="AI475" s="42" t="str">
        <f t="array" ref="AI475">XLOOKUP($E475,Sheet11!$D:$D,Sheet11!$X:$X,"",0)</f>
        <v/>
      </c>
      <c r="AJ475" s="42" t="str">
        <f t="array" ref="AJ475">XLOOKUP($E475,Sheet11!$D:$D,Sheet11!$Y:$Y,"",0)</f>
        <v/>
      </c>
    </row>
    <row r="476">
      <c r="A476" s="41">
        <v>238.0</v>
      </c>
      <c r="B476" s="42" t="s">
        <v>939</v>
      </c>
      <c r="C476" s="42" t="s">
        <v>940</v>
      </c>
      <c r="D476" s="42"/>
      <c r="E476" s="42" t="str">
        <f t="shared" ref="E476:F476" si="477">PROPER(B476)</f>
        <v>Pantoc Farmer'S Association</v>
      </c>
      <c r="F476" s="42" t="str">
        <f t="shared" si="477"/>
        <v>Pantoc, Gabaldon, Nueva Ecija</v>
      </c>
      <c r="G476" s="42" t="str">
        <f t="shared" si="3"/>
        <v>Pantoc</v>
      </c>
      <c r="H476" s="42" t="str">
        <f t="shared" si="4"/>
        <v>Gabaldon</v>
      </c>
      <c r="I476" s="42" t="str">
        <f t="shared" si="5"/>
        <v>Nueva Ecija</v>
      </c>
      <c r="J476" s="42" t="str">
        <f t="array" ref="J476">XLOOKUP($E476,'Recipients REF'!$B:$B,'Recipients REF'!D:D,"",0)</f>
        <v>Victor D. Dacumos</v>
      </c>
      <c r="K476" s="42" t="str">
        <f t="array" ref="K476">XLOOKUP($E476,'Recipients REF'!$B:$B,'Recipients REF'!E:E,"",0)</f>
        <v>0956-968-8856</v>
      </c>
      <c r="L476" s="43" t="str">
        <f t="array" ref="L476">XLOOKUP($A476,'Recipients REF'!$A:$A,'Recipients REF'!F:F,"",0)</f>
        <v>RCEF 23-09-21 Rebidding</v>
      </c>
      <c r="M476" s="43">
        <f t="array" ref="M476">XLOOKUP($A476,'Recipients REF'!$A:$A,'Recipients REF'!G:G,"",0)</f>
        <v>3</v>
      </c>
      <c r="N476" s="43">
        <f t="array" ref="N476">XLOOKUP($A476,'Recipients REF'!$A:$A,'Recipients REF'!H:H,"",0)</f>
        <v>18792</v>
      </c>
      <c r="O476" s="44" t="s">
        <v>25</v>
      </c>
      <c r="P476" s="45" t="s">
        <v>26</v>
      </c>
      <c r="Q476" s="46" t="str">
        <f t="array" ref="Q476">XLOOKUP($A476,'Recipients REF'!$A:$A,'Recipients REF'!I:I,"",0)</f>
        <v>KMC 5825 AIRFPV0418</v>
      </c>
      <c r="R476" s="47" t="str">
        <f t="array" ref="R476">XLOOKUP($A476,'Recipients REF'!$A:$A,'Recipients REF'!J:J,"",0)</f>
        <v>RTS 100326</v>
      </c>
      <c r="S476" s="45" t="s">
        <v>27</v>
      </c>
      <c r="T476" s="45" t="s">
        <v>28</v>
      </c>
      <c r="U476" s="46" t="str">
        <f t="array" ref="U476">XLOOKUP($A476,'Recipients REF'!$A:$A,'Recipients REF'!K:K,"",0)</f>
        <v>R SERIES 425 PH</v>
      </c>
      <c r="V476" s="44" t="s">
        <v>29</v>
      </c>
      <c r="W476" s="45" t="s">
        <v>30</v>
      </c>
      <c r="X476" s="47" t="str">
        <f t="array" ref="X476">XLOOKUP($A476,'Recipients REF'!$A:$A,'Recipients REF'!L:L,"",0)</f>
        <v>LSGW1750 RMP 24020484</v>
      </c>
      <c r="Y476" s="48" t="s">
        <v>29</v>
      </c>
      <c r="Z476" s="48" t="s">
        <v>31</v>
      </c>
      <c r="AA476" s="46" t="str">
        <f t="array" ref="AA476">XLOOKUP($A476,'Recipients REF'!$A:$A,'Recipients REF'!M:M,"",0)</f>
        <v>WDP40 RMP 22020189</v>
      </c>
      <c r="AB476" s="49"/>
      <c r="AC476" s="42"/>
      <c r="AD476" s="42"/>
      <c r="AE476" s="50"/>
      <c r="AF476" s="42"/>
      <c r="AG476" s="42"/>
      <c r="AH476" s="42"/>
      <c r="AI476" s="42">
        <f t="array" ref="AI476">XLOOKUP($E476,Sheet11!$D:$D,Sheet11!$X:$X,"",0)</f>
        <v>869066060237592</v>
      </c>
      <c r="AJ476" s="42">
        <f t="array" ref="AJ476">XLOOKUP($E476,Sheet11!$D:$D,Sheet11!$Y:$Y,"",0)</f>
        <v>9624607595</v>
      </c>
    </row>
    <row r="477">
      <c r="A477" s="41">
        <v>239.0</v>
      </c>
      <c r="B477" s="42" t="s">
        <v>941</v>
      </c>
      <c r="C477" s="42" t="s">
        <v>942</v>
      </c>
      <c r="D477" s="42"/>
      <c r="E477" s="42" t="str">
        <f t="shared" ref="E477:F477" si="478">PROPER(B477)</f>
        <v>Samahang Magsasaka Na May Iisang Layunin At Adhikain</v>
      </c>
      <c r="F477" s="42" t="str">
        <f t="shared" si="478"/>
        <v>Bugnan, Gabaldon, Nueva Ecija</v>
      </c>
      <c r="G477" s="42" t="str">
        <f t="shared" si="3"/>
        <v>Bugnan</v>
      </c>
      <c r="H477" s="42" t="str">
        <f t="shared" si="4"/>
        <v>Gabaldon</v>
      </c>
      <c r="I477" s="42" t="str">
        <f t="shared" si="5"/>
        <v>Nueva Ecija</v>
      </c>
      <c r="J477" s="42" t="str">
        <f t="array" ref="J477">XLOOKUP($E477,'Recipients REF'!$B:$B,'Recipients REF'!D:D,"",0)</f>
        <v>Joselyn R. Anuran</v>
      </c>
      <c r="K477" s="42" t="str">
        <f t="array" ref="K477">XLOOKUP($E477,'Recipients REF'!$B:$B,'Recipients REF'!E:E,"",0)</f>
        <v>Joselyn R. Anuran</v>
      </c>
      <c r="L477" s="43" t="str">
        <f t="array" ref="L477">XLOOKUP($A477,'Recipients REF'!$A:$A,'Recipients REF'!F:F,"",0)</f>
        <v>RCEF 23-09-21 Rebidding</v>
      </c>
      <c r="M477" s="43">
        <f t="array" ref="M477">XLOOKUP($A477,'Recipients REF'!$A:$A,'Recipients REF'!G:G,"",0)</f>
        <v>3</v>
      </c>
      <c r="N477" s="43">
        <f t="array" ref="N477">XLOOKUP($A477,'Recipients REF'!$A:$A,'Recipients REF'!H:H,"",0)</f>
        <v>18793</v>
      </c>
      <c r="O477" s="44" t="s">
        <v>25</v>
      </c>
      <c r="P477" s="45" t="s">
        <v>26</v>
      </c>
      <c r="Q477" s="46" t="str">
        <f t="array" ref="Q477">XLOOKUP($A477,'Recipients REF'!$A:$A,'Recipients REF'!I:I,"",0)</f>
        <v>KMC 5825 ALRFPV0459</v>
      </c>
      <c r="R477" s="47" t="str">
        <f t="array" ref="R477">XLOOKUP($A477,'Recipients REF'!$A:$A,'Recipients REF'!J:J,"",0)</f>
        <v>RTS 100365</v>
      </c>
      <c r="S477" s="45" t="s">
        <v>27</v>
      </c>
      <c r="T477" s="45" t="s">
        <v>28</v>
      </c>
      <c r="U477" s="46" t="str">
        <f t="array" ref="U477">XLOOKUP($A477,'Recipients REF'!$A:$A,'Recipients REF'!K:K,"",0)</f>
        <v>R SERIES 389 PH</v>
      </c>
      <c r="V477" s="44" t="s">
        <v>29</v>
      </c>
      <c r="W477" s="45" t="s">
        <v>30</v>
      </c>
      <c r="X477" s="47" t="str">
        <f t="array" ref="X477">XLOOKUP($A477,'Recipients REF'!$A:$A,'Recipients REF'!L:L,"",0)</f>
        <v>LSGW1750 RMP 24020485</v>
      </c>
      <c r="Y477" s="48" t="s">
        <v>29</v>
      </c>
      <c r="Z477" s="48" t="s">
        <v>31</v>
      </c>
      <c r="AA477" s="46" t="str">
        <f t="array" ref="AA477">XLOOKUP($A477,'Recipients REF'!$A:$A,'Recipients REF'!M:M,"",0)</f>
        <v>WDP40 RMP 24020186</v>
      </c>
      <c r="AB477" s="49"/>
      <c r="AC477" s="42"/>
      <c r="AD477" s="42"/>
      <c r="AE477" s="50"/>
      <c r="AF477" s="42"/>
      <c r="AG477" s="42"/>
      <c r="AH477" s="42"/>
      <c r="AI477" s="42">
        <f t="array" ref="AI477">XLOOKUP($E477,Sheet11!$D:$D,Sheet11!$X:$X,"",0)</f>
        <v>869066060244382</v>
      </c>
      <c r="AJ477" s="42">
        <f t="array" ref="AJ477">XLOOKUP($E477,Sheet11!$D:$D,Sheet11!$Y:$Y,"",0)</f>
        <v>9626237590</v>
      </c>
    </row>
    <row r="478">
      <c r="A478" s="41">
        <v>671.0</v>
      </c>
      <c r="B478" s="42" t="s">
        <v>943</v>
      </c>
      <c r="C478" s="42" t="s">
        <v>944</v>
      </c>
      <c r="D478" s="42"/>
      <c r="E478" s="42" t="str">
        <f t="shared" ref="E478:F478" si="479">PROPER(B478)</f>
        <v>Barangay Local Government Unit Of Camachile</v>
      </c>
      <c r="F478" s="42" t="str">
        <f t="shared" si="479"/>
        <v>Camachile, Gabaldon, Nueva Ecija</v>
      </c>
      <c r="G478" s="42" t="str">
        <f t="shared" si="3"/>
        <v>Camachile</v>
      </c>
      <c r="H478" s="42" t="str">
        <f t="shared" si="4"/>
        <v>Gabaldon</v>
      </c>
      <c r="I478" s="42" t="str">
        <f t="shared" si="5"/>
        <v>Nueva Ecija</v>
      </c>
      <c r="J478" s="42" t="str">
        <f t="array" ref="J478">XLOOKUP($E478,'Recipients REF'!$B:$B,'Recipients REF'!D:D,"",0)</f>
        <v>ARMANDY G. COLORADO</v>
      </c>
      <c r="K478" s="42" t="str">
        <f t="array" ref="K478">XLOOKUP($E478,'Recipients REF'!$B:$B,'Recipients REF'!E:E,"",0)</f>
        <v>0936-441-5176</v>
      </c>
      <c r="L478" s="43" t="str">
        <f t="array" ref="L478">XLOOKUP($A478,'Recipients REF'!$A:$A,'Recipients REF'!F:F,"",0)</f>
        <v>RCEF 25-03-05</v>
      </c>
      <c r="M478" s="43">
        <f t="array" ref="M478">XLOOKUP($A478,'Recipients REF'!$A:$A,'Recipients REF'!G:G,"",0)</f>
        <v>5</v>
      </c>
      <c r="N478" s="43" t="str">
        <f t="array" ref="N478">XLOOKUP($A478,'Recipients REF'!$A:$A,'Recipients REF'!H:H,"",0)</f>
        <v>26488 &amp; 27844</v>
      </c>
      <c r="O478" s="44" t="s">
        <v>25</v>
      </c>
      <c r="P478" s="45" t="s">
        <v>26</v>
      </c>
      <c r="Q478" s="46" t="str">
        <f t="array" ref="Q478">XLOOKUP($A478,'Recipients REF'!$A:$A,'Recipients REF'!I:I,"",0)</f>
        <v>KMC5825 ACSFPV0102</v>
      </c>
      <c r="R478" s="53" t="str">
        <f t="array" ref="R478">XLOOKUP($A478,'Recipients REF'!$A:$A,'Recipients REF'!J:J,"",0)</f>
        <v>STS100130</v>
      </c>
      <c r="S478" s="45" t="s">
        <v>27</v>
      </c>
      <c r="T478" s="45" t="s">
        <v>28</v>
      </c>
      <c r="U478" s="46" t="str">
        <f t="array" ref="U478">XLOOKUP($A478,'Recipients REF'!$A:$A,'Recipients REF'!K:K,"",0)</f>
        <v>WR-SERIES 1458PH</v>
      </c>
      <c r="V478" s="44" t="s">
        <v>29</v>
      </c>
      <c r="W478" s="45" t="s">
        <v>30</v>
      </c>
      <c r="X478" s="53" t="str">
        <f t="array" ref="X478">XLOOKUP($A478,'Recipients REF'!$A:$A,'Recipients REF'!L:L,"",0)</f>
        <v>25100815</v>
      </c>
      <c r="Y478" s="48" t="s">
        <v>29</v>
      </c>
      <c r="Z478" s="48" t="s">
        <v>31</v>
      </c>
      <c r="AA478" s="54" t="str">
        <f t="array" ref="AA478">XLOOKUP($A478,'Recipients REF'!$A:$A,'Recipients REF'!M:M,"",0)</f>
        <v>25101186</v>
      </c>
      <c r="AB478" s="49"/>
      <c r="AC478" s="42"/>
      <c r="AD478" s="42"/>
      <c r="AE478" s="51"/>
      <c r="AF478" s="52"/>
      <c r="AG478" s="42"/>
      <c r="AH478" s="42"/>
      <c r="AI478" s="42" t="str">
        <f t="array" ref="AI478">XLOOKUP($E478,Sheet11!$D:$D,Sheet11!$X:$X,"",0)</f>
        <v/>
      </c>
      <c r="AJ478" s="42" t="str">
        <f t="array" ref="AJ478">XLOOKUP($E478,Sheet11!$D:$D,Sheet11!$Y:$Y,"",0)</f>
        <v/>
      </c>
    </row>
    <row r="479">
      <c r="A479" s="41">
        <v>672.0</v>
      </c>
      <c r="B479" s="42" t="s">
        <v>945</v>
      </c>
      <c r="C479" s="42" t="s">
        <v>946</v>
      </c>
      <c r="D479" s="42"/>
      <c r="E479" s="42" t="str">
        <f t="shared" ref="E479:F479" si="480">PROPER(B479)</f>
        <v>Rice, Vegetable, Corn &amp; Onion Farmers Association</v>
      </c>
      <c r="F479" s="42" t="str">
        <f t="shared" si="480"/>
        <v>Bitulok (North Pob.), Gabaldon, Nueva Ecija</v>
      </c>
      <c r="G479" s="42" t="str">
        <f t="shared" si="3"/>
        <v>Bitulok (North Pob.)</v>
      </c>
      <c r="H479" s="42" t="str">
        <f t="shared" si="4"/>
        <v>Gabaldon</v>
      </c>
      <c r="I479" s="42" t="str">
        <f t="shared" si="5"/>
        <v>Nueva Ecija</v>
      </c>
      <c r="J479" s="42" t="str">
        <f t="array" ref="J479">XLOOKUP($E479,'Recipients REF'!$B:$B,'Recipients REF'!D:D,"",0)</f>
        <v>Rogelio V. Figuracion</v>
      </c>
      <c r="K479" s="42" t="str">
        <f t="array" ref="K479">XLOOKUP($E479,'Recipients REF'!$B:$B,'Recipients REF'!E:E,"",0)</f>
        <v>0955-037-5844</v>
      </c>
      <c r="L479" s="43" t="str">
        <f t="array" ref="L479">XLOOKUP($A479,'Recipients REF'!$A:$A,'Recipients REF'!F:F,"",0)</f>
        <v>RCEF 25-03-05</v>
      </c>
      <c r="M479" s="43">
        <f t="array" ref="M479">XLOOKUP($A479,'Recipients REF'!$A:$A,'Recipients REF'!G:G,"",0)</f>
        <v>5</v>
      </c>
      <c r="N479" s="43" t="str">
        <f t="array" ref="N479">XLOOKUP($A479,'Recipients REF'!$A:$A,'Recipients REF'!H:H,"",0)</f>
        <v>26489 &amp; 27735</v>
      </c>
      <c r="O479" s="44" t="s">
        <v>25</v>
      </c>
      <c r="P479" s="45" t="s">
        <v>26</v>
      </c>
      <c r="Q479" s="46" t="str">
        <f t="array" ref="Q479">XLOOKUP($A479,'Recipients REF'!$A:$A,'Recipients REF'!I:I,"",0)</f>
        <v>KMC5825 AASFPV0594</v>
      </c>
      <c r="R479" s="53" t="str">
        <f t="array" ref="R479">XLOOKUP($A479,'Recipients REF'!$A:$A,'Recipients REF'!J:J,"",0)</f>
        <v>STS100642</v>
      </c>
      <c r="S479" s="45" t="s">
        <v>27</v>
      </c>
      <c r="T479" s="45" t="s">
        <v>28</v>
      </c>
      <c r="U479" s="46" t="str">
        <f t="array" ref="U479">XLOOKUP($A479,'Recipients REF'!$A:$A,'Recipients REF'!K:K,"",0)</f>
        <v>WR-SERIES 01325PH</v>
      </c>
      <c r="V479" s="44" t="s">
        <v>29</v>
      </c>
      <c r="W479" s="45" t="s">
        <v>30</v>
      </c>
      <c r="X479" s="53" t="str">
        <f t="array" ref="X479">XLOOKUP($A479,'Recipients REF'!$A:$A,'Recipients REF'!L:L,"",0)</f>
        <v>25100825</v>
      </c>
      <c r="Y479" s="48" t="s">
        <v>29</v>
      </c>
      <c r="Z479" s="48" t="s">
        <v>31</v>
      </c>
      <c r="AA479" s="54" t="str">
        <f t="array" ref="AA479">XLOOKUP($A479,'Recipients REF'!$A:$A,'Recipients REF'!M:M,"",0)</f>
        <v>25101229</v>
      </c>
      <c r="AB479" s="49"/>
      <c r="AC479" s="42"/>
      <c r="AD479" s="42"/>
      <c r="AE479" s="50"/>
      <c r="AF479" s="42"/>
      <c r="AG479" s="42"/>
      <c r="AH479" s="42"/>
      <c r="AI479" s="42" t="str">
        <f t="array" ref="AI479">XLOOKUP($E479,Sheet11!$D:$D,Sheet11!$X:$X,"",0)</f>
        <v/>
      </c>
      <c r="AJ479" s="42" t="str">
        <f t="array" ref="AJ479">XLOOKUP($E479,Sheet11!$D:$D,Sheet11!$Y:$Y,"",0)</f>
        <v/>
      </c>
    </row>
    <row r="480">
      <c r="A480" s="41">
        <v>249.0</v>
      </c>
      <c r="B480" s="42" t="s">
        <v>947</v>
      </c>
      <c r="C480" s="42" t="s">
        <v>948</v>
      </c>
      <c r="D480" s="42"/>
      <c r="E480" s="42" t="str">
        <f t="shared" ref="E480:F480" si="481">PROPER(B480)</f>
        <v>Marelo Farmers Irrigators Association Inc.</v>
      </c>
      <c r="F480" s="42" t="str">
        <f t="shared" si="481"/>
        <v>Marelo, Gapan City, Nueva Ecija</v>
      </c>
      <c r="G480" s="42" t="str">
        <f t="shared" si="3"/>
        <v>Marelo</v>
      </c>
      <c r="H480" s="42" t="str">
        <f t="shared" si="4"/>
        <v>Gapan City</v>
      </c>
      <c r="I480" s="42" t="str">
        <f t="shared" si="5"/>
        <v>Nueva Ecija</v>
      </c>
      <c r="J480" s="42" t="str">
        <f t="array" ref="J480">XLOOKUP($E480,'Recipients REF'!$B:$B,'Recipients REF'!D:D,"",0)</f>
        <v>Leoncio DG. Dela Cruz</v>
      </c>
      <c r="K480" s="42" t="str">
        <f t="array" ref="K480">XLOOKUP($E480,'Recipients REF'!$B:$B,'Recipients REF'!E:E,"",0)</f>
        <v>0997-833-9241</v>
      </c>
      <c r="L480" s="43" t="str">
        <f t="array" ref="L480">XLOOKUP($A480,'Recipients REF'!$A:$A,'Recipients REF'!F:F,"",0)</f>
        <v>RCEF 23-09-21 Rebidding</v>
      </c>
      <c r="M480" s="43">
        <f t="array" ref="M480">XLOOKUP($A480,'Recipients REF'!$A:$A,'Recipients REF'!G:G,"",0)</f>
        <v>3</v>
      </c>
      <c r="N480" s="43">
        <f t="array" ref="N480">XLOOKUP($A480,'Recipients REF'!$A:$A,'Recipients REF'!H:H,"",0)</f>
        <v>18808</v>
      </c>
      <c r="O480" s="44" t="s">
        <v>25</v>
      </c>
      <c r="P480" s="45" t="s">
        <v>26</v>
      </c>
      <c r="Q480" s="46" t="str">
        <f t="array" ref="Q480">XLOOKUP($A480,'Recipients REF'!$A:$A,'Recipients REF'!I:I,"",0)</f>
        <v>KMC5825 APRFPV0503</v>
      </c>
      <c r="R480" s="47" t="str">
        <f t="array" ref="R480">XLOOKUP($A480,'Recipients REF'!$A:$A,'Recipients REF'!J:J,"",0)</f>
        <v>RTS100418</v>
      </c>
      <c r="S480" s="45" t="s">
        <v>27</v>
      </c>
      <c r="T480" s="45" t="s">
        <v>28</v>
      </c>
      <c r="U480" s="46" t="str">
        <f t="array" ref="U480">XLOOKUP($A480,'Recipients REF'!$A:$A,'Recipients REF'!K:K,"",0)</f>
        <v>R-SERIES 418 PH</v>
      </c>
      <c r="V480" s="44" t="s">
        <v>29</v>
      </c>
      <c r="W480" s="45" t="s">
        <v>30</v>
      </c>
      <c r="X480" s="47" t="str">
        <f t="array" ref="X480">XLOOKUP($A480,'Recipients REF'!$A:$A,'Recipients REF'!L:L,"",0)</f>
        <v>LSGW1750 RMP 24020482</v>
      </c>
      <c r="Y480" s="48" t="s">
        <v>29</v>
      </c>
      <c r="Z480" s="48" t="s">
        <v>31</v>
      </c>
      <c r="AA480" s="46" t="str">
        <f t="array" ref="AA480">XLOOKUP($A480,'Recipients REF'!$A:$A,'Recipients REF'!M:M,"",0)</f>
        <v>WDP40 RMP 24050617</v>
      </c>
      <c r="AB480" s="49"/>
      <c r="AC480" s="42"/>
      <c r="AD480" s="42"/>
      <c r="AE480" s="50"/>
      <c r="AF480" s="42"/>
      <c r="AG480" s="42"/>
      <c r="AH480" s="42"/>
      <c r="AI480" s="42">
        <f t="array" ref="AI480">XLOOKUP($E480,Sheet11!$D:$D,Sheet11!$X:$X,"",0)</f>
        <v>869066060244721</v>
      </c>
      <c r="AJ480" s="42">
        <f t="array" ref="AJ480">XLOOKUP($E480,Sheet11!$D:$D,Sheet11!$Y:$Y,"",0)</f>
        <v>9626441885</v>
      </c>
    </row>
    <row r="481">
      <c r="A481" s="41">
        <v>240.0</v>
      </c>
      <c r="B481" s="42" t="s">
        <v>949</v>
      </c>
      <c r="C481" s="42" t="s">
        <v>950</v>
      </c>
      <c r="D481" s="42"/>
      <c r="E481" s="42" t="str">
        <f t="shared" ref="E481:F481" si="482">PROPER(B481)</f>
        <v>Nag-Iisang Masikap Primary Multipurpose Cooperative</v>
      </c>
      <c r="F481" s="42" t="str">
        <f t="shared" si="482"/>
        <v>Balangkare Sur, General Mamerto Natividad, Nueva Ecija</v>
      </c>
      <c r="G481" s="42" t="str">
        <f t="shared" si="3"/>
        <v>Balangkare Sur</v>
      </c>
      <c r="H481" s="42" t="str">
        <f t="shared" si="4"/>
        <v>General Mamerto Natividad</v>
      </c>
      <c r="I481" s="42" t="str">
        <f t="shared" si="5"/>
        <v>Nueva Ecija</v>
      </c>
      <c r="J481" s="42" t="str">
        <f t="array" ref="J481">XLOOKUP($E481,'Recipients REF'!$B:$B,'Recipients REF'!D:D,"",0)</f>
        <v>Crispin T. Barcancel</v>
      </c>
      <c r="K481" s="42" t="str">
        <f t="array" ref="K481">XLOOKUP($E481,'Recipients REF'!$B:$B,'Recipients REF'!E:E,"",0)</f>
        <v>0932-4789-927</v>
      </c>
      <c r="L481" s="43" t="str">
        <f t="array" ref="L481">XLOOKUP($A481,'Recipients REF'!$A:$A,'Recipients REF'!F:F,"",0)</f>
        <v>RCEF 23-09-21 Rebidding</v>
      </c>
      <c r="M481" s="43">
        <f t="array" ref="M481">XLOOKUP($A481,'Recipients REF'!$A:$A,'Recipients REF'!G:G,"",0)</f>
        <v>3</v>
      </c>
      <c r="N481" s="43">
        <f t="array" ref="N481">XLOOKUP($A481,'Recipients REF'!$A:$A,'Recipients REF'!H:H,"",0)</f>
        <v>18794</v>
      </c>
      <c r="O481" s="44" t="s">
        <v>25</v>
      </c>
      <c r="P481" s="45" t="s">
        <v>26</v>
      </c>
      <c r="Q481" s="46" t="str">
        <f t="array" ref="Q481">XLOOKUP($A481,'Recipients REF'!$A:$A,'Recipients REF'!I:I,"",0)</f>
        <v>KMC 5825 ACRFPV0465</v>
      </c>
      <c r="R481" s="47" t="str">
        <f t="array" ref="R481">XLOOKUP($A481,'Recipients REF'!$A:$A,'Recipients REF'!J:J,"",0)</f>
        <v>RTS100374</v>
      </c>
      <c r="S481" s="45" t="s">
        <v>27</v>
      </c>
      <c r="T481" s="45" t="s">
        <v>28</v>
      </c>
      <c r="U481" s="46" t="str">
        <f t="array" ref="U481">XLOOKUP($A481,'Recipients REF'!$A:$A,'Recipients REF'!K:K,"",0)</f>
        <v>R SERIES 035</v>
      </c>
      <c r="V481" s="44" t="s">
        <v>29</v>
      </c>
      <c r="W481" s="45" t="s">
        <v>30</v>
      </c>
      <c r="X481" s="47" t="str">
        <f t="array" ref="X481">XLOOKUP($A481,'Recipients REF'!$A:$A,'Recipients REF'!L:L,"",0)</f>
        <v>LSGW1750 RMP 2312139</v>
      </c>
      <c r="Y481" s="48" t="s">
        <v>29</v>
      </c>
      <c r="Z481" s="48" t="s">
        <v>31</v>
      </c>
      <c r="AA481" s="46" t="str">
        <f t="array" ref="AA481">XLOOKUP($A481,'Recipients REF'!$A:$A,'Recipients REF'!M:M,"",0)</f>
        <v>WDP40 RMP 24020245</v>
      </c>
      <c r="AB481" s="49"/>
      <c r="AC481" s="42"/>
      <c r="AD481" s="42"/>
      <c r="AE481" s="50"/>
      <c r="AF481" s="42"/>
      <c r="AG481" s="42"/>
      <c r="AH481" s="42"/>
      <c r="AI481" s="42">
        <f t="array" ref="AI481">XLOOKUP($E481,Sheet11!$D:$D,Sheet11!$X:$X,"",0)</f>
        <v>869066060237725</v>
      </c>
      <c r="AJ481" s="42">
        <f t="array" ref="AJ481">XLOOKUP($E481,Sheet11!$D:$D,Sheet11!$Y:$Y,"",0)</f>
        <v>9626463702</v>
      </c>
    </row>
    <row r="482">
      <c r="A482" s="41">
        <v>241.0</v>
      </c>
      <c r="B482" s="42" t="s">
        <v>951</v>
      </c>
      <c r="C482" s="42" t="s">
        <v>952</v>
      </c>
      <c r="D482" s="42"/>
      <c r="E482" s="42" t="str">
        <f t="shared" ref="E482:F482" si="483">PROPER(B482)</f>
        <v>Pitanor Farmers Irrigators Association, Inc.</v>
      </c>
      <c r="F482" s="42" t="str">
        <f t="shared" si="483"/>
        <v>Poblacion, General Mamerto Natividad, Nueva Ecija</v>
      </c>
      <c r="G482" s="42" t="str">
        <f t="shared" si="3"/>
        <v>Poblacion</v>
      </c>
      <c r="H482" s="42" t="str">
        <f t="shared" si="4"/>
        <v>General Mamerto Natividad</v>
      </c>
      <c r="I482" s="42" t="str">
        <f t="shared" si="5"/>
        <v>Nueva Ecija</v>
      </c>
      <c r="J482" s="42" t="str">
        <f t="array" ref="J482">XLOOKUP($E482,'Recipients REF'!$B:$B,'Recipients REF'!D:D,"",0)</f>
        <v>Eliseo G. Carlos</v>
      </c>
      <c r="K482" s="42" t="str">
        <f t="array" ref="K482">XLOOKUP($E482,'Recipients REF'!$B:$B,'Recipients REF'!E:E,"",0)</f>
        <v>0926-506-4144</v>
      </c>
      <c r="L482" s="43" t="str">
        <f t="array" ref="L482">XLOOKUP($A482,'Recipients REF'!$A:$A,'Recipients REF'!F:F,"",0)</f>
        <v>RCEF 23-09-21 Rebidding</v>
      </c>
      <c r="M482" s="43">
        <f t="array" ref="M482">XLOOKUP($A482,'Recipients REF'!$A:$A,'Recipients REF'!G:G,"",0)</f>
        <v>3</v>
      </c>
      <c r="N482" s="43">
        <f t="array" ref="N482">XLOOKUP($A482,'Recipients REF'!$A:$A,'Recipients REF'!H:H,"",0)</f>
        <v>18795</v>
      </c>
      <c r="O482" s="44" t="s">
        <v>25</v>
      </c>
      <c r="P482" s="45" t="s">
        <v>26</v>
      </c>
      <c r="Q482" s="46" t="str">
        <f t="array" ref="Q482">XLOOKUP($A482,'Recipients REF'!$A:$A,'Recipients REF'!I:I,"",0)</f>
        <v>KMC 5825 AARFPV0301</v>
      </c>
      <c r="R482" s="47" t="str">
        <f t="array" ref="R482">XLOOKUP($A482,'Recipients REF'!$A:$A,'Recipients REF'!J:J,"",0)</f>
        <v>RTS 100170</v>
      </c>
      <c r="S482" s="45" t="s">
        <v>27</v>
      </c>
      <c r="T482" s="45" t="s">
        <v>28</v>
      </c>
      <c r="U482" s="46" t="str">
        <f t="array" ref="U482">XLOOKUP($A482,'Recipients REF'!$A:$A,'Recipients REF'!K:K,"",0)</f>
        <v>R SERIES 128 PH</v>
      </c>
      <c r="V482" s="44" t="s">
        <v>29</v>
      </c>
      <c r="W482" s="45" t="s">
        <v>30</v>
      </c>
      <c r="X482" s="47" t="str">
        <f t="array" ref="X482">XLOOKUP($A482,'Recipients REF'!$A:$A,'Recipients REF'!L:L,"",0)</f>
        <v>LSGW1750 RMP 2312158</v>
      </c>
      <c r="Y482" s="48" t="s">
        <v>29</v>
      </c>
      <c r="Z482" s="48" t="s">
        <v>31</v>
      </c>
      <c r="AA482" s="46" t="str">
        <f t="array" ref="AA482">XLOOKUP($A482,'Recipients REF'!$A:$A,'Recipients REF'!M:M,"",0)</f>
        <v>WDP40 RMP 2402010</v>
      </c>
      <c r="AB482" s="49"/>
      <c r="AC482" s="42"/>
      <c r="AD482" s="42"/>
      <c r="AE482" s="50"/>
      <c r="AF482" s="42"/>
      <c r="AG482" s="42"/>
      <c r="AH482" s="42"/>
      <c r="AI482" s="42">
        <f t="array" ref="AI482">XLOOKUP($E482,Sheet11!$D:$D,Sheet11!$X:$X,"",0)</f>
        <v>869066060241982</v>
      </c>
      <c r="AJ482" s="42">
        <f t="array" ref="AJ482">XLOOKUP($E482,Sheet11!$D:$D,Sheet11!$Y:$Y,"",0)</f>
        <v>9624530859</v>
      </c>
    </row>
    <row r="483">
      <c r="A483" s="41">
        <v>242.0</v>
      </c>
      <c r="B483" s="42" t="s">
        <v>953</v>
      </c>
      <c r="C483" s="42" t="s">
        <v>954</v>
      </c>
      <c r="D483" s="42"/>
      <c r="E483" s="42" t="str">
        <f t="shared" ref="E483:F483" si="484">PROPER(B483)</f>
        <v>Municipal Local Government Unit Of General Mamerto Natividad</v>
      </c>
      <c r="F483" s="42" t="str">
        <f t="shared" si="484"/>
        <v>Poblacion, General Mamerto Natividad, Nueva Ecija</v>
      </c>
      <c r="G483" s="42" t="str">
        <f t="shared" si="3"/>
        <v>Poblacion</v>
      </c>
      <c r="H483" s="42" t="str">
        <f t="shared" si="4"/>
        <v>General Mamerto Natividad</v>
      </c>
      <c r="I483" s="42" t="str">
        <f t="shared" si="5"/>
        <v>Nueva Ecija</v>
      </c>
      <c r="J483" s="42" t="str">
        <f t="array" ref="J483">XLOOKUP($E483,'Recipients REF'!$B:$B,'Recipients REF'!D:D,"",0)</f>
        <v>HON. ANITA M. AROCENA</v>
      </c>
      <c r="K483" s="42" t="str">
        <f t="array" ref="K483">XLOOKUP($E483,'Recipients REF'!$B:$B,'Recipients REF'!E:E,"",0)</f>
        <v>0917-1561074</v>
      </c>
      <c r="L483" s="43" t="str">
        <f t="array" ref="L483">XLOOKUP($A483,'Recipients REF'!$A:$A,'Recipients REF'!F:F,"",0)</f>
        <v>RCEF 23-09-21 Rebidding</v>
      </c>
      <c r="M483" s="43">
        <f t="array" ref="M483">XLOOKUP($A483,'Recipients REF'!$A:$A,'Recipients REF'!G:G,"",0)</f>
        <v>3</v>
      </c>
      <c r="N483" s="43">
        <f t="array" ref="N483">XLOOKUP($A483,'Recipients REF'!$A:$A,'Recipients REF'!H:H,"",0)</f>
        <v>18796</v>
      </c>
      <c r="O483" s="44" t="s">
        <v>25</v>
      </c>
      <c r="P483" s="45" t="s">
        <v>26</v>
      </c>
      <c r="Q483" s="46" t="str">
        <f t="array" ref="Q483">XLOOKUP($A483,'Recipients REF'!$A:$A,'Recipients REF'!I:I,"",0)</f>
        <v>KMC 5825 ALRFPV0462</v>
      </c>
      <c r="R483" s="47" t="str">
        <f t="array" ref="R483">XLOOKUP($A483,'Recipients REF'!$A:$A,'Recipients REF'!J:J,"",0)</f>
        <v>RTS 100366</v>
      </c>
      <c r="S483" s="45" t="s">
        <v>27</v>
      </c>
      <c r="T483" s="45" t="s">
        <v>28</v>
      </c>
      <c r="U483" s="46" t="str">
        <f t="array" ref="U483">XLOOKUP($A483,'Recipients REF'!$A:$A,'Recipients REF'!K:K,"",0)</f>
        <v>R SERIES 166 PH</v>
      </c>
      <c r="V483" s="44" t="s">
        <v>29</v>
      </c>
      <c r="W483" s="45" t="s">
        <v>30</v>
      </c>
      <c r="X483" s="47" t="str">
        <f t="array" ref="X483">XLOOKUP($A483,'Recipients REF'!$A:$A,'Recipients REF'!L:L,"",0)</f>
        <v>LSGW1750 RMP 2312159</v>
      </c>
      <c r="Y483" s="48" t="s">
        <v>29</v>
      </c>
      <c r="Z483" s="48" t="s">
        <v>31</v>
      </c>
      <c r="AA483" s="46" t="str">
        <f t="array" ref="AA483">XLOOKUP($A483,'Recipients REF'!$A:$A,'Recipients REF'!M:M,"",0)</f>
        <v>WDP40 RMP 24020209</v>
      </c>
      <c r="AB483" s="49"/>
      <c r="AC483" s="42"/>
      <c r="AD483" s="42"/>
      <c r="AE483" s="50"/>
      <c r="AF483" s="42"/>
      <c r="AG483" s="42"/>
      <c r="AH483" s="42"/>
      <c r="AI483" s="42">
        <f t="array" ref="AI483">XLOOKUP($E483,Sheet11!$D:$D,Sheet11!$X:$X,"",0)</f>
        <v>869066060241933</v>
      </c>
      <c r="AJ483" s="42">
        <f t="array" ref="AJ483">XLOOKUP($E483,Sheet11!$D:$D,Sheet11!$Y:$Y,"",0)</f>
        <v>9624530863</v>
      </c>
    </row>
    <row r="484">
      <c r="A484" s="41">
        <v>673.0</v>
      </c>
      <c r="B484" s="42" t="s">
        <v>955</v>
      </c>
      <c r="C484" s="42" t="s">
        <v>956</v>
      </c>
      <c r="D484" s="42"/>
      <c r="E484" s="42" t="str">
        <f t="shared" ref="E484:F484" si="485">PROPER(B484)</f>
        <v>Tilipatio-Gulod Irrigators Association Inc.,</v>
      </c>
      <c r="F484" s="42" t="str">
        <f t="shared" si="485"/>
        <v>Burol, General Mamerto Natividad, Nueva Ecija</v>
      </c>
      <c r="G484" s="42" t="str">
        <f t="shared" si="3"/>
        <v>Burol</v>
      </c>
      <c r="H484" s="42" t="str">
        <f t="shared" si="4"/>
        <v>General Mamerto Natividad</v>
      </c>
      <c r="I484" s="42" t="str">
        <f t="shared" si="5"/>
        <v>Nueva Ecija</v>
      </c>
      <c r="J484" s="42" t="str">
        <f t="array" ref="J484">XLOOKUP($E484,'Recipients REF'!$B:$B,'Recipients REF'!D:D,"",0)</f>
        <v>Nicanor P. Santos</v>
      </c>
      <c r="K484" s="42" t="str">
        <f t="array" ref="K484">XLOOKUP($E484,'Recipients REF'!$B:$B,'Recipients REF'!E:E,"",0)</f>
        <v>0905-594-8597</v>
      </c>
      <c r="L484" s="43" t="str">
        <f t="array" ref="L484">XLOOKUP($A484,'Recipients REF'!$A:$A,'Recipients REF'!F:F,"",0)</f>
        <v>RCEF 25-03-05</v>
      </c>
      <c r="M484" s="43">
        <f t="array" ref="M484">XLOOKUP($A484,'Recipients REF'!$A:$A,'Recipients REF'!G:G,"",0)</f>
        <v>5</v>
      </c>
      <c r="N484" s="43" t="str">
        <f t="array" ref="N484">XLOOKUP($A484,'Recipients REF'!$A:$A,'Recipients REF'!H:H,"",0)</f>
        <v>26490 &amp; 27845</v>
      </c>
      <c r="O484" s="44" t="s">
        <v>25</v>
      </c>
      <c r="P484" s="45" t="s">
        <v>26</v>
      </c>
      <c r="Q484" s="46" t="str">
        <f t="array" ref="Q484">XLOOKUP($A484,'Recipients REF'!$A:$A,'Recipients REF'!I:I,"",0)</f>
        <v>KMC5825 AASFPV0644</v>
      </c>
      <c r="R484" s="53" t="str">
        <f t="array" ref="R484">XLOOKUP($A484,'Recipients REF'!$A:$A,'Recipients REF'!J:J,"",0)</f>
        <v>STS100325</v>
      </c>
      <c r="S484" s="45" t="s">
        <v>27</v>
      </c>
      <c r="T484" s="45" t="s">
        <v>28</v>
      </c>
      <c r="U484" s="46" t="str">
        <f t="array" ref="U484">XLOOKUP($A484,'Recipients REF'!$A:$A,'Recipients REF'!K:K,"",0)</f>
        <v>WR-SERIES 1459PH</v>
      </c>
      <c r="V484" s="44" t="s">
        <v>29</v>
      </c>
      <c r="W484" s="45" t="s">
        <v>30</v>
      </c>
      <c r="X484" s="53" t="str">
        <f t="array" ref="X484">XLOOKUP($A484,'Recipients REF'!$A:$A,'Recipients REF'!L:L,"",0)</f>
        <v>25100819</v>
      </c>
      <c r="Y484" s="48" t="s">
        <v>29</v>
      </c>
      <c r="Z484" s="48" t="s">
        <v>31</v>
      </c>
      <c r="AA484" s="54" t="str">
        <f t="array" ref="AA484">XLOOKUP($A484,'Recipients REF'!$A:$A,'Recipients REF'!M:M,"",0)</f>
        <v>25101198</v>
      </c>
      <c r="AB484" s="49"/>
      <c r="AC484" s="42"/>
      <c r="AD484" s="42"/>
      <c r="AE484" s="50"/>
      <c r="AF484" s="42"/>
      <c r="AG484" s="42"/>
      <c r="AH484" s="42"/>
      <c r="AI484" s="42" t="str">
        <f t="array" ref="AI484">XLOOKUP($E484,Sheet11!$D:$D,Sheet11!$X:$X,"",0)</f>
        <v/>
      </c>
      <c r="AJ484" s="42" t="str">
        <f t="array" ref="AJ484">XLOOKUP($E484,Sheet11!$D:$D,Sheet11!$Y:$Y,"",0)</f>
        <v/>
      </c>
    </row>
    <row r="485">
      <c r="A485" s="41">
        <v>251.0</v>
      </c>
      <c r="B485" s="42" t="s">
        <v>957</v>
      </c>
      <c r="C485" s="42" t="s">
        <v>958</v>
      </c>
      <c r="D485" s="42"/>
      <c r="E485" s="42" t="str">
        <f t="shared" ref="E485:F485" si="486">PROPER(B485)</f>
        <v>Santuyo Water Pump Irrigators Association Inc.</v>
      </c>
      <c r="F485" s="42" t="str">
        <f t="shared" si="486"/>
        <v>Rio Chico, General Tinio, Nueva Ecija</v>
      </c>
      <c r="G485" s="42" t="str">
        <f t="shared" si="3"/>
        <v>Rio Chico</v>
      </c>
      <c r="H485" s="42" t="str">
        <f t="shared" si="4"/>
        <v>General Tinio</v>
      </c>
      <c r="I485" s="42" t="str">
        <f t="shared" si="5"/>
        <v>Nueva Ecija</v>
      </c>
      <c r="J485" s="42" t="str">
        <f t="array" ref="J485">XLOOKUP($E485,'Recipients REF'!$B:$B,'Recipients REF'!D:D,"",0)</f>
        <v>Eddie C. Corpuz</v>
      </c>
      <c r="K485" s="42" t="str">
        <f t="array" ref="K485">XLOOKUP($E485,'Recipients REF'!$B:$B,'Recipients REF'!E:E,"",0)</f>
        <v>0967-849-4299</v>
      </c>
      <c r="L485" s="43" t="str">
        <f t="array" ref="L485">XLOOKUP($A485,'Recipients REF'!$A:$A,'Recipients REF'!F:F,"",0)</f>
        <v>RCEF 23-09-21 Rebidding</v>
      </c>
      <c r="M485" s="43">
        <f t="array" ref="M485">XLOOKUP($A485,'Recipients REF'!$A:$A,'Recipients REF'!G:G,"",0)</f>
        <v>3</v>
      </c>
      <c r="N485" s="43">
        <f t="array" ref="N485">XLOOKUP($A485,'Recipients REF'!$A:$A,'Recipients REF'!H:H,"",0)</f>
        <v>18810</v>
      </c>
      <c r="O485" s="44" t="s">
        <v>25</v>
      </c>
      <c r="P485" s="45" t="s">
        <v>26</v>
      </c>
      <c r="Q485" s="46" t="str">
        <f t="array" ref="Q485">XLOOKUP($A485,'Recipients REF'!$A:$A,'Recipients REF'!I:I,"",0)</f>
        <v>KMC5825 AHRFPV0320</v>
      </c>
      <c r="R485" s="47" t="str">
        <f t="array" ref="R485">XLOOKUP($A485,'Recipients REF'!$A:$A,'Recipients REF'!J:J,"",0)</f>
        <v>RTS100204</v>
      </c>
      <c r="S485" s="45" t="s">
        <v>27</v>
      </c>
      <c r="T485" s="45" t="s">
        <v>28</v>
      </c>
      <c r="U485" s="46" t="str">
        <f t="array" ref="U485">XLOOKUP($A485,'Recipients REF'!$A:$A,'Recipients REF'!K:K,"",0)</f>
        <v>R-SERIES 420 PH</v>
      </c>
      <c r="V485" s="44" t="s">
        <v>29</v>
      </c>
      <c r="W485" s="45" t="s">
        <v>30</v>
      </c>
      <c r="X485" s="47" t="str">
        <f t="array" ref="X485">XLOOKUP($A485,'Recipients REF'!$A:$A,'Recipients REF'!L:L,"",0)</f>
        <v>LSGW1750 RMP 24020452</v>
      </c>
      <c r="Y485" s="48" t="s">
        <v>29</v>
      </c>
      <c r="Z485" s="48" t="s">
        <v>31</v>
      </c>
      <c r="AA485" s="46" t="str">
        <f t="array" ref="AA485">XLOOKUP($A485,'Recipients REF'!$A:$A,'Recipients REF'!M:M,"",0)</f>
        <v>WDP40 RMP 24030348</v>
      </c>
      <c r="AB485" s="49"/>
      <c r="AC485" s="42"/>
      <c r="AD485" s="42"/>
      <c r="AE485" s="50"/>
      <c r="AF485" s="42"/>
      <c r="AG485" s="42"/>
      <c r="AH485" s="42"/>
      <c r="AI485" s="42">
        <f t="array" ref="AI485">XLOOKUP($E485,Sheet11!$D:$D,Sheet11!$X:$X,"",0)</f>
        <v>869066060240349</v>
      </c>
      <c r="AJ485" s="42">
        <f t="array" ref="AJ485">XLOOKUP($E485,Sheet11!$D:$D,Sheet11!$Y:$Y,"",0)</f>
        <v>9626441875</v>
      </c>
    </row>
    <row r="486">
      <c r="A486" s="41">
        <v>572.0</v>
      </c>
      <c r="B486" s="42" t="s">
        <v>959</v>
      </c>
      <c r="C486" s="42" t="s">
        <v>958</v>
      </c>
      <c r="D486" s="42"/>
      <c r="E486" s="42" t="str">
        <f t="shared" ref="E486:F486" si="487">PROPER(B486)</f>
        <v>Pl West Irrigators Association Inc.</v>
      </c>
      <c r="F486" s="42" t="str">
        <f t="shared" si="487"/>
        <v>Rio Chico, General Tinio, Nueva Ecija</v>
      </c>
      <c r="G486" s="42" t="str">
        <f t="shared" si="3"/>
        <v>Rio Chico</v>
      </c>
      <c r="H486" s="42" t="str">
        <f t="shared" si="4"/>
        <v>General Tinio</v>
      </c>
      <c r="I486" s="42" t="str">
        <f t="shared" si="5"/>
        <v>Nueva Ecija</v>
      </c>
      <c r="J486" s="42" t="str">
        <f t="array" ref="J486">XLOOKUP($E486,'Recipients REF'!$B:$B,'Recipients REF'!D:D,"",0)</f>
        <v>Primo B. Concepcion</v>
      </c>
      <c r="K486" s="42">
        <f t="array" ref="K486">XLOOKUP($E486,'Recipients REF'!$B:$B,'Recipients REF'!E:E,"",0)</f>
        <v>9268563470</v>
      </c>
      <c r="L486" s="43" t="str">
        <f t="array" ref="L486">XLOOKUP($A486,'Recipients REF'!$A:$A,'Recipients REF'!F:F,"",0)</f>
        <v>RCEF 24-04-15</v>
      </c>
      <c r="M486" s="43">
        <f t="array" ref="M486">XLOOKUP($A486,'Recipients REF'!$A:$A,'Recipients REF'!G:G,"",0)</f>
        <v>6</v>
      </c>
      <c r="N486" s="43">
        <f t="array" ref="N486">XLOOKUP($A486,'Recipients REF'!$A:$A,'Recipients REF'!H:H,"",0)</f>
        <v>20663</v>
      </c>
      <c r="O486" s="44" t="s">
        <v>25</v>
      </c>
      <c r="P486" s="45" t="s">
        <v>26</v>
      </c>
      <c r="Q486" s="46" t="str">
        <f t="array" ref="Q486">XLOOKUP($A486,'Recipients REF'!$A:$A,'Recipients REF'!I:I,"",0)</f>
        <v>KMC5825AARFPV0590</v>
      </c>
      <c r="R486" s="47" t="str">
        <f t="array" ref="R486">XLOOKUP($A486,'Recipients REF'!$A:$A,'Recipients REF'!J:J,"",0)</f>
        <v>RTS100545</v>
      </c>
      <c r="S486" s="45" t="s">
        <v>27</v>
      </c>
      <c r="T486" s="45" t="s">
        <v>28</v>
      </c>
      <c r="U486" s="46" t="str">
        <f t="array" ref="U486">XLOOKUP($A486,'Recipients REF'!$A:$A,'Recipients REF'!K:K,"",0)</f>
        <v>LSGW170-RMP-24080751</v>
      </c>
      <c r="V486" s="44" t="s">
        <v>29</v>
      </c>
      <c r="W486" s="45" t="s">
        <v>30</v>
      </c>
      <c r="X486" s="47" t="str">
        <f t="array" ref="X486">XLOOKUP($A486,'Recipients REF'!$A:$A,'Recipients REF'!L:L,"",0)</f>
        <v>WDP40-RMP-24040463</v>
      </c>
      <c r="Y486" s="48" t="s">
        <v>29</v>
      </c>
      <c r="Z486" s="48" t="s">
        <v>31</v>
      </c>
      <c r="AA486" s="46" t="str">
        <f t="array" ref="AA486">XLOOKUP($A486,'Recipients REF'!$A:$A,'Recipients REF'!M:M,"",0)</f>
        <v>WR-SERIES-953PH</v>
      </c>
      <c r="AB486" s="49"/>
      <c r="AC486" s="42"/>
      <c r="AD486" s="42"/>
      <c r="AE486" s="50"/>
      <c r="AF486" s="42"/>
      <c r="AG486" s="42"/>
      <c r="AH486" s="42"/>
      <c r="AI486" s="42" t="str">
        <f t="array" ref="AI486">XLOOKUP($E486,Sheet11!$D:$D,Sheet11!$X:$X,"",0)</f>
        <v/>
      </c>
      <c r="AJ486" s="42" t="str">
        <f t="array" ref="AJ486">XLOOKUP($E486,Sheet11!$D:$D,Sheet11!$Y:$Y,"",0)</f>
        <v/>
      </c>
    </row>
    <row r="487">
      <c r="A487" s="41">
        <v>607.0</v>
      </c>
      <c r="B487" s="42" t="s">
        <v>960</v>
      </c>
      <c r="C487" s="42" t="s">
        <v>958</v>
      </c>
      <c r="D487" s="42"/>
      <c r="E487" s="42" t="str">
        <f t="shared" ref="E487:F487" si="488">PROPER(B487)</f>
        <v>Batog Irrrigators Association Inc.</v>
      </c>
      <c r="F487" s="42" t="str">
        <f t="shared" si="488"/>
        <v>Rio Chico, General Tinio, Nueva Ecija</v>
      </c>
      <c r="G487" s="42" t="str">
        <f t="shared" si="3"/>
        <v>Rio Chico</v>
      </c>
      <c r="H487" s="42" t="str">
        <f t="shared" si="4"/>
        <v>General Tinio</v>
      </c>
      <c r="I487" s="42" t="str">
        <f t="shared" si="5"/>
        <v>Nueva Ecija</v>
      </c>
      <c r="J487" s="42" t="str">
        <f t="array" ref="J487">XLOOKUP($E487,'Recipients REF'!$B:$B,'Recipients REF'!D:D,"",0)</f>
        <v>Edwin G. Mangahas</v>
      </c>
      <c r="K487" s="42" t="str">
        <f t="array" ref="K487">XLOOKUP($E487,'Recipients REF'!$B:$B,'Recipients REF'!E:E,"",0)</f>
        <v>0929-545-5655</v>
      </c>
      <c r="L487" s="43" t="str">
        <f t="array" ref="L487">XLOOKUP($A487,'Recipients REF'!$A:$A,'Recipients REF'!F:F,"",0)</f>
        <v>RCEF 24-04-15</v>
      </c>
      <c r="M487" s="43">
        <f t="array" ref="M487">XLOOKUP($A487,'Recipients REF'!$A:$A,'Recipients REF'!G:G,"",0)</f>
        <v>6</v>
      </c>
      <c r="N487" s="43" t="str">
        <f t="array" ref="N487">XLOOKUP($A487,'Recipients REF'!$A:$A,'Recipients REF'!H:H,"",0)</f>
        <v>20662/21093</v>
      </c>
      <c r="O487" s="44" t="s">
        <v>25</v>
      </c>
      <c r="P487" s="45" t="s">
        <v>26</v>
      </c>
      <c r="Q487" s="46" t="str">
        <f t="array" ref="Q487">XLOOKUP($A487,'Recipients REF'!$A:$A,'Recipients REF'!I:I,"",0)</f>
        <v>KMC5825AHRFPV0494</v>
      </c>
      <c r="R487" s="47" t="str">
        <f t="array" ref="R487">XLOOKUP($A487,'Recipients REF'!$A:$A,'Recipients REF'!J:J,"",0)</f>
        <v>RTS100412</v>
      </c>
      <c r="S487" s="45" t="s">
        <v>27</v>
      </c>
      <c r="T487" s="45" t="s">
        <v>28</v>
      </c>
      <c r="U487" s="46" t="str">
        <f t="array" ref="U487">XLOOKUP($A487,'Recipients REF'!$A:$A,'Recipients REF'!K:K,"",0)</f>
        <v>LSGW170-RMP-24080742</v>
      </c>
      <c r="V487" s="44" t="s">
        <v>29</v>
      </c>
      <c r="W487" s="45" t="s">
        <v>30</v>
      </c>
      <c r="X487" s="47" t="str">
        <f t="array" ref="X487">XLOOKUP($A487,'Recipients REF'!$A:$A,'Recipients REF'!L:L,"",0)</f>
        <v>WDP40-RMP-24040458</v>
      </c>
      <c r="Y487" s="48" t="s">
        <v>29</v>
      </c>
      <c r="Z487" s="48" t="s">
        <v>31</v>
      </c>
      <c r="AA487" s="46" t="str">
        <f t="array" ref="AA487">XLOOKUP($A487,'Recipients REF'!$A:$A,'Recipients REF'!M:M,"",0)</f>
        <v>WR-SERIES-981PH</v>
      </c>
      <c r="AB487" s="49"/>
      <c r="AC487" s="42"/>
      <c r="AD487" s="42"/>
      <c r="AE487" s="50"/>
      <c r="AF487" s="42"/>
      <c r="AG487" s="42"/>
      <c r="AH487" s="42"/>
      <c r="AI487" s="42" t="str">
        <f t="array" ref="AI487">XLOOKUP($E487,Sheet11!$D:$D,Sheet11!$X:$X,"",0)</f>
        <v/>
      </c>
      <c r="AJ487" s="42" t="str">
        <f t="array" ref="AJ487">XLOOKUP($E487,Sheet11!$D:$D,Sheet11!$Y:$Y,"",0)</f>
        <v/>
      </c>
    </row>
    <row r="488">
      <c r="A488" s="41">
        <v>675.0</v>
      </c>
      <c r="B488" s="42" t="s">
        <v>961</v>
      </c>
      <c r="C488" s="42" t="s">
        <v>962</v>
      </c>
      <c r="D488" s="42"/>
      <c r="E488" s="42" t="str">
        <f t="shared" ref="E488:F488" si="489">PROPER(B488)</f>
        <v>Pinagbuklod Ng Samahan Ng Sapang Buo</v>
      </c>
      <c r="F488" s="42" t="str">
        <f t="shared" si="489"/>
        <v>Concepcion, General Tinio, Nueva Ecija</v>
      </c>
      <c r="G488" s="42" t="str">
        <f t="shared" si="3"/>
        <v>Concepcion</v>
      </c>
      <c r="H488" s="42" t="str">
        <f t="shared" si="4"/>
        <v>General Tinio</v>
      </c>
      <c r="I488" s="42" t="str">
        <f t="shared" si="5"/>
        <v>Nueva Ecija</v>
      </c>
      <c r="J488" s="42" t="str">
        <f t="array" ref="J488">XLOOKUP($E488,'Recipients REF'!$B:$B,'Recipients REF'!D:D,"",0)</f>
        <v>Pantaleon Factor</v>
      </c>
      <c r="K488" s="42" t="str">
        <f t="array" ref="K488">XLOOKUP($E488,'Recipients REF'!$B:$B,'Recipients REF'!E:E,"",0)</f>
        <v>0908-411-4672</v>
      </c>
      <c r="L488" s="43" t="str">
        <f t="array" ref="L488">XLOOKUP($A488,'Recipients REF'!$A:$A,'Recipients REF'!F:F,"",0)</f>
        <v>RCEF 25-03-05</v>
      </c>
      <c r="M488" s="43">
        <f t="array" ref="M488">XLOOKUP($A488,'Recipients REF'!$A:$A,'Recipients REF'!G:G,"",0)</f>
        <v>5</v>
      </c>
      <c r="N488" s="43" t="str">
        <f t="array" ref="N488">XLOOKUP($A488,'Recipients REF'!$A:$A,'Recipients REF'!H:H,"",0)</f>
        <v>26492 &amp; 27847</v>
      </c>
      <c r="O488" s="44" t="s">
        <v>25</v>
      </c>
      <c r="P488" s="45" t="s">
        <v>26</v>
      </c>
      <c r="Q488" s="46" t="str">
        <f t="array" ref="Q488">XLOOKUP($A488,'Recipients REF'!$A:$A,'Recipients REF'!I:I,"",0)</f>
        <v>KMC5825 ALSFPV0502</v>
      </c>
      <c r="R488" s="53" t="str">
        <f t="array" ref="R488">XLOOKUP($A488,'Recipients REF'!$A:$A,'Recipients REF'!J:J,"",0)</f>
        <v>STS100565</v>
      </c>
      <c r="S488" s="45" t="s">
        <v>27</v>
      </c>
      <c r="T488" s="45" t="s">
        <v>28</v>
      </c>
      <c r="U488" s="46" t="str">
        <f t="array" ref="U488">XLOOKUP($A488,'Recipients REF'!$A:$A,'Recipients REF'!K:K,"",0)</f>
        <v>WR-SERIES 1461PH</v>
      </c>
      <c r="V488" s="44" t="s">
        <v>29</v>
      </c>
      <c r="W488" s="45" t="s">
        <v>30</v>
      </c>
      <c r="X488" s="53" t="str">
        <f t="array" ref="X488">XLOOKUP($A488,'Recipients REF'!$A:$A,'Recipients REF'!L:L,"",0)</f>
        <v>2510795</v>
      </c>
      <c r="Y488" s="48" t="s">
        <v>29</v>
      </c>
      <c r="Z488" s="48" t="s">
        <v>31</v>
      </c>
      <c r="AA488" s="54" t="str">
        <f t="array" ref="AA488">XLOOKUP($A488,'Recipients REF'!$A:$A,'Recipients REF'!M:M,"",0)</f>
        <v>25101180</v>
      </c>
      <c r="AB488" s="49"/>
      <c r="AC488" s="42"/>
      <c r="AD488" s="42"/>
      <c r="AE488" s="50"/>
      <c r="AF488" s="42"/>
      <c r="AG488" s="42"/>
      <c r="AH488" s="42"/>
      <c r="AI488" s="42" t="str">
        <f t="array" ref="AI488">XLOOKUP($E488,Sheet11!$D:$D,Sheet11!$X:$X,"",0)</f>
        <v/>
      </c>
      <c r="AJ488" s="42" t="str">
        <f t="array" ref="AJ488">XLOOKUP($E488,Sheet11!$D:$D,Sheet11!$Y:$Y,"",0)</f>
        <v/>
      </c>
    </row>
    <row r="489">
      <c r="A489" s="41">
        <v>208.0</v>
      </c>
      <c r="B489" s="42" t="s">
        <v>963</v>
      </c>
      <c r="C489" s="42" t="s">
        <v>964</v>
      </c>
      <c r="D489" s="42"/>
      <c r="E489" s="42" t="str">
        <f t="shared" ref="E489:F489" si="490">PROPER(B489)</f>
        <v>Samahang Magsasaka Ng Barangay Lennec</v>
      </c>
      <c r="F489" s="42" t="str">
        <f t="shared" si="490"/>
        <v>Lennec, Guimba, Nueva Ecija</v>
      </c>
      <c r="G489" s="42" t="str">
        <f t="shared" si="3"/>
        <v>Lennec</v>
      </c>
      <c r="H489" s="42" t="str">
        <f t="shared" si="4"/>
        <v>Guimba</v>
      </c>
      <c r="I489" s="42" t="str">
        <f t="shared" si="5"/>
        <v>Nueva Ecija</v>
      </c>
      <c r="J489" s="42" t="str">
        <f t="array" ref="J489">XLOOKUP($E489,'Recipients REF'!$B:$B,'Recipients REF'!D:D,"",0)</f>
        <v>Avelino T. Matamis</v>
      </c>
      <c r="K489" s="42" t="str">
        <f t="array" ref="K489">XLOOKUP($E489,'Recipients REF'!$B:$B,'Recipients REF'!E:E,"",0)</f>
        <v>0905-278-8533</v>
      </c>
      <c r="L489" s="43" t="str">
        <f t="array" ref="L489">XLOOKUP($A489,'Recipients REF'!$A:$A,'Recipients REF'!F:F,"",0)</f>
        <v>RCEF 23-09-21 Rebidding</v>
      </c>
      <c r="M489" s="43">
        <f t="array" ref="M489">XLOOKUP($A489,'Recipients REF'!$A:$A,'Recipients REF'!G:G,"",0)</f>
        <v>9</v>
      </c>
      <c r="N489" s="43">
        <f t="array" ref="N489">XLOOKUP($A489,'Recipients REF'!$A:$A,'Recipients REF'!H:H,"",0)</f>
        <v>18760</v>
      </c>
      <c r="O489" s="44" t="s">
        <v>25</v>
      </c>
      <c r="P489" s="45" t="s">
        <v>26</v>
      </c>
      <c r="Q489" s="46" t="str">
        <f t="array" ref="Q489">XLOOKUP($A489,'Recipients REF'!$A:$A,'Recipients REF'!I:I,"",0)</f>
        <v>KMC5825 AVRFPV0488</v>
      </c>
      <c r="R489" s="47" t="str">
        <f t="array" ref="R489">XLOOKUP($A489,'Recipients REF'!$A:$A,'Recipients REF'!J:J,"",0)</f>
        <v>RTS 100389</v>
      </c>
      <c r="S489" s="45" t="s">
        <v>27</v>
      </c>
      <c r="T489" s="45" t="s">
        <v>28</v>
      </c>
      <c r="U489" s="46" t="str">
        <f t="array" ref="U489">XLOOKUP($A489,'Recipients REF'!$A:$A,'Recipients REF'!K:K,"",0)</f>
        <v>R SERIES 025 PH</v>
      </c>
      <c r="V489" s="44" t="s">
        <v>29</v>
      </c>
      <c r="W489" s="45" t="s">
        <v>30</v>
      </c>
      <c r="X489" s="47" t="str">
        <f t="array" ref="X489">XLOOKUP($A489,'Recipients REF'!$A:$A,'Recipients REF'!L:L,"",0)</f>
        <v>LSGW1750 RMP 2312163</v>
      </c>
      <c r="Y489" s="48" t="s">
        <v>29</v>
      </c>
      <c r="Z489" s="48" t="s">
        <v>31</v>
      </c>
      <c r="AA489" s="46" t="str">
        <f t="array" ref="AA489">XLOOKUP($A489,'Recipients REF'!$A:$A,'Recipients REF'!M:M,"",0)</f>
        <v>WDP 40 RMP 24020219</v>
      </c>
      <c r="AB489" s="49"/>
      <c r="AC489" s="42"/>
      <c r="AD489" s="42"/>
      <c r="AE489" s="50"/>
      <c r="AF489" s="42"/>
      <c r="AG489" s="42"/>
      <c r="AH489" s="42"/>
      <c r="AI489" s="42" t="str">
        <f t="array" ref="AI489">XLOOKUP($E489,Sheet11!$D:$D,Sheet11!$X:$X,"",0)</f>
        <v/>
      </c>
      <c r="AJ489" s="42" t="str">
        <f t="array" ref="AJ489">XLOOKUP($E489,Sheet11!$D:$D,Sheet11!$Y:$Y,"",0)</f>
        <v/>
      </c>
    </row>
    <row r="490">
      <c r="A490" s="41">
        <v>209.0</v>
      </c>
      <c r="B490" s="42" t="s">
        <v>965</v>
      </c>
      <c r="C490" s="42" t="s">
        <v>966</v>
      </c>
      <c r="D490" s="42"/>
      <c r="E490" s="42" t="str">
        <f t="shared" ref="E490:F490" si="491">PROPER(B490)</f>
        <v>Yeshua Rice And Vegetables Growers Association Of Sta. Cruz</v>
      </c>
      <c r="F490" s="42" t="str">
        <f t="shared" si="491"/>
        <v>Santa Cruz, Guimba, Nueva Ecija</v>
      </c>
      <c r="G490" s="42" t="str">
        <f t="shared" si="3"/>
        <v>Santa Cruz</v>
      </c>
      <c r="H490" s="42" t="str">
        <f t="shared" si="4"/>
        <v>Guimba</v>
      </c>
      <c r="I490" s="42" t="str">
        <f t="shared" si="5"/>
        <v>Nueva Ecija</v>
      </c>
      <c r="J490" s="42" t="str">
        <f t="array" ref="J490">XLOOKUP($E490,'Recipients REF'!$B:$B,'Recipients REF'!D:D,"",0)</f>
        <v>Maura Ocampo</v>
      </c>
      <c r="K490" s="42" t="str">
        <f t="array" ref="K490">XLOOKUP($E490,'Recipients REF'!$B:$B,'Recipients REF'!E:E,"",0)</f>
        <v>0991-497-1562</v>
      </c>
      <c r="L490" s="43" t="str">
        <f t="array" ref="L490">XLOOKUP($A490,'Recipients REF'!$A:$A,'Recipients REF'!F:F,"",0)</f>
        <v>RCEF 23-09-21 Rebidding</v>
      </c>
      <c r="M490" s="43">
        <f t="array" ref="M490">XLOOKUP($A490,'Recipients REF'!$A:$A,'Recipients REF'!G:G,"",0)</f>
        <v>9</v>
      </c>
      <c r="N490" s="43">
        <f t="array" ref="N490">XLOOKUP($A490,'Recipients REF'!$A:$A,'Recipients REF'!H:H,"",0)</f>
        <v>18761</v>
      </c>
      <c r="O490" s="44" t="s">
        <v>25</v>
      </c>
      <c r="P490" s="45" t="s">
        <v>26</v>
      </c>
      <c r="Q490" s="46" t="str">
        <f t="array" ref="Q490">XLOOKUP($A490,'Recipients REF'!$A:$A,'Recipients REF'!I:I,"",0)</f>
        <v>KMC5825 ACRFPV0501</v>
      </c>
      <c r="R490" s="47" t="str">
        <f t="array" ref="R490">XLOOKUP($A490,'Recipients REF'!$A:$A,'Recipients REF'!J:J,"",0)</f>
        <v>RTS 100422</v>
      </c>
      <c r="S490" s="45" t="s">
        <v>27</v>
      </c>
      <c r="T490" s="45" t="s">
        <v>28</v>
      </c>
      <c r="U490" s="46" t="str">
        <f t="array" ref="U490">XLOOKUP($A490,'Recipients REF'!$A:$A,'Recipients REF'!K:K,"",0)</f>
        <v>R SERIES 125 PH</v>
      </c>
      <c r="V490" s="44" t="s">
        <v>29</v>
      </c>
      <c r="W490" s="45" t="s">
        <v>30</v>
      </c>
      <c r="X490" s="47" t="str">
        <f t="array" ref="X490">XLOOKUP($A490,'Recipients REF'!$A:$A,'Recipients REF'!L:L,"",0)</f>
        <v>LSGW1750 RMP 2312179</v>
      </c>
      <c r="Y490" s="48" t="s">
        <v>29</v>
      </c>
      <c r="Z490" s="48" t="s">
        <v>31</v>
      </c>
      <c r="AA490" s="46" t="str">
        <f t="array" ref="AA490">XLOOKUP($A490,'Recipients REF'!$A:$A,'Recipients REF'!M:M,"",0)</f>
        <v>WDP 40 RMP 24020219</v>
      </c>
      <c r="AB490" s="49"/>
      <c r="AC490" s="42"/>
      <c r="AD490" s="42"/>
      <c r="AE490" s="50"/>
      <c r="AF490" s="42"/>
      <c r="AG490" s="42"/>
      <c r="AH490" s="42"/>
      <c r="AI490" s="42">
        <f t="array" ref="AI490">XLOOKUP($E490,Sheet11!$D:$D,Sheet11!$X:$X,"",0)</f>
        <v>869066060240810</v>
      </c>
      <c r="AJ490" s="42">
        <f t="array" ref="AJ490">XLOOKUP($E490,Sheet11!$D:$D,Sheet11!$Y:$Y,"",0)</f>
        <v>9460153447</v>
      </c>
    </row>
    <row r="491">
      <c r="A491" s="41">
        <v>215.0</v>
      </c>
      <c r="B491" s="42" t="s">
        <v>967</v>
      </c>
      <c r="C491" s="42" t="s">
        <v>968</v>
      </c>
      <c r="D491" s="42"/>
      <c r="E491" s="42" t="str">
        <f t="shared" ref="E491:F491" si="492">PROPER(B491)</f>
        <v>Baragay San Miguel Farmers Association</v>
      </c>
      <c r="F491" s="42" t="str">
        <f t="shared" si="492"/>
        <v>San Miguel, Guimba, Nueva Ecija</v>
      </c>
      <c r="G491" s="42" t="str">
        <f t="shared" si="3"/>
        <v>San Miguel</v>
      </c>
      <c r="H491" s="42" t="str">
        <f t="shared" si="4"/>
        <v>Guimba</v>
      </c>
      <c r="I491" s="42" t="str">
        <f t="shared" si="5"/>
        <v>Nueva Ecija</v>
      </c>
      <c r="J491" s="42" t="str">
        <f t="array" ref="J491">XLOOKUP($E491,'Recipients REF'!$B:$B,'Recipients REF'!D:D,"",0)</f>
        <v>Teresito G. Aguinaldo</v>
      </c>
      <c r="K491" s="42" t="str">
        <f t="array" ref="K491">XLOOKUP($E491,'Recipients REF'!$B:$B,'Recipients REF'!E:E,"",0)</f>
        <v>0918-918-6750</v>
      </c>
      <c r="L491" s="43" t="str">
        <f t="array" ref="L491">XLOOKUP($A491,'Recipients REF'!$A:$A,'Recipients REF'!F:F,"",0)</f>
        <v>RCEF 23-09-21 Rebidding</v>
      </c>
      <c r="M491" s="43">
        <f t="array" ref="M491">XLOOKUP($A491,'Recipients REF'!$A:$A,'Recipients REF'!G:G,"",0)</f>
        <v>3</v>
      </c>
      <c r="N491" s="43">
        <f t="array" ref="N491">XLOOKUP($A491,'Recipients REF'!$A:$A,'Recipients REF'!H:H,"",0)</f>
        <v>18767</v>
      </c>
      <c r="O491" s="44" t="s">
        <v>25</v>
      </c>
      <c r="P491" s="45" t="s">
        <v>26</v>
      </c>
      <c r="Q491" s="46" t="str">
        <f t="array" ref="Q491">XLOOKUP($A491,'Recipients REF'!$A:$A,'Recipients REF'!I:I,"",0)</f>
        <v>KMC5825 APRFPV0498</v>
      </c>
      <c r="R491" s="47" t="str">
        <f t="array" ref="R491">XLOOKUP($A491,'Recipients REF'!$A:$A,'Recipients REF'!J:J,"",0)</f>
        <v>RTS 100323</v>
      </c>
      <c r="S491" s="45" t="s">
        <v>27</v>
      </c>
      <c r="T491" s="45" t="s">
        <v>28</v>
      </c>
      <c r="U491" s="46" t="str">
        <f t="array" ref="U491">XLOOKUP($A491,'Recipients REF'!$A:$A,'Recipients REF'!K:K,"",0)</f>
        <v>R-SERIES 137 PH</v>
      </c>
      <c r="V491" s="44" t="s">
        <v>29</v>
      </c>
      <c r="W491" s="45" t="s">
        <v>30</v>
      </c>
      <c r="X491" s="47" t="str">
        <f t="array" ref="X491">XLOOKUP($A491,'Recipients REF'!$A:$A,'Recipients REF'!L:L,"",0)</f>
        <v>LSGW1750 WR 2312156</v>
      </c>
      <c r="Y491" s="48" t="s">
        <v>29</v>
      </c>
      <c r="Z491" s="48" t="s">
        <v>31</v>
      </c>
      <c r="AA491" s="46" t="str">
        <f t="array" ref="AA491">XLOOKUP($A491,'Recipients REF'!$A:$A,'Recipients REF'!M:M,"",0)</f>
        <v>WDP40 WR 24020196</v>
      </c>
      <c r="AB491" s="49"/>
      <c r="AC491" s="42"/>
      <c r="AD491" s="42"/>
      <c r="AE491" s="50"/>
      <c r="AF491" s="42"/>
      <c r="AG491" s="42"/>
      <c r="AH491" s="42"/>
      <c r="AI491" s="42">
        <f t="array" ref="AI491">XLOOKUP($E491,Sheet11!$D:$D,Sheet11!$X:$X,"",0)</f>
        <v>869066060241834</v>
      </c>
      <c r="AJ491" s="42">
        <f t="array" ref="AJ491">XLOOKUP($E491,Sheet11!$D:$D,Sheet11!$Y:$Y,"",0)</f>
        <v>9623759858</v>
      </c>
    </row>
    <row r="492">
      <c r="A492" s="41">
        <v>642.0</v>
      </c>
      <c r="B492" s="42" t="s">
        <v>969</v>
      </c>
      <c r="C492" s="42" t="s">
        <v>970</v>
      </c>
      <c r="D492" s="42"/>
      <c r="E492" s="42" t="str">
        <f t="shared" ref="E492:F492" si="493">PROPER(B492)</f>
        <v>Bunol United Farmers In Advance Livelihood Organization (Bufalo)</v>
      </c>
      <c r="F492" s="42" t="str">
        <f t="shared" si="493"/>
        <v>Bunol, Guimba, Nueva Ecija</v>
      </c>
      <c r="G492" s="42" t="str">
        <f t="shared" si="3"/>
        <v>Bunol</v>
      </c>
      <c r="H492" s="42" t="str">
        <f t="shared" si="4"/>
        <v>Guimba</v>
      </c>
      <c r="I492" s="42" t="str">
        <f t="shared" si="5"/>
        <v>Nueva Ecija</v>
      </c>
      <c r="J492" s="42" t="str">
        <f t="array" ref="J492">XLOOKUP($E492,'Recipients REF'!$B:$B,'Recipients REF'!D:D,"",0)</f>
        <v>Norberto A. Carlos</v>
      </c>
      <c r="K492" s="42" t="str">
        <f t="array" ref="K492">XLOOKUP($E492,'Recipients REF'!$B:$B,'Recipients REF'!E:E,"",0)</f>
        <v>0954-143-6329</v>
      </c>
      <c r="L492" s="43" t="str">
        <f t="array" ref="L492">XLOOKUP($A492,'Recipients REF'!$A:$A,'Recipients REF'!F:F,"",0)</f>
        <v>RCEF 25-03-05</v>
      </c>
      <c r="M492" s="43">
        <f t="array" ref="M492">XLOOKUP($A492,'Recipients REF'!$A:$A,'Recipients REF'!G:G,"",0)</f>
        <v>5</v>
      </c>
      <c r="N492" s="43" t="str">
        <f t="array" ref="N492">XLOOKUP($A492,'Recipients REF'!$A:$A,'Recipients REF'!H:H,"",0)</f>
        <v>26232 &amp; 27823</v>
      </c>
      <c r="O492" s="44" t="s">
        <v>25</v>
      </c>
      <c r="P492" s="45" t="s">
        <v>26</v>
      </c>
      <c r="Q492" s="46" t="str">
        <f t="array" ref="Q492">XLOOKUP($A492,'Recipients REF'!$A:$A,'Recipients REF'!I:I,"",0)</f>
        <v>KMC5825 APSFPV0233</v>
      </c>
      <c r="R492" s="53" t="str">
        <f t="array" ref="R492">XLOOKUP($A492,'Recipients REF'!$A:$A,'Recipients REF'!J:J,"",0)</f>
        <v>STS100172</v>
      </c>
      <c r="S492" s="45" t="s">
        <v>27</v>
      </c>
      <c r="T492" s="45" t="s">
        <v>28</v>
      </c>
      <c r="U492" s="46" t="str">
        <f t="array" ref="U492">XLOOKUP($A492,'Recipients REF'!$A:$A,'Recipients REF'!K:K,"",0)</f>
        <v>WR-SERIES 1388PH</v>
      </c>
      <c r="V492" s="44" t="s">
        <v>29</v>
      </c>
      <c r="W492" s="45" t="s">
        <v>30</v>
      </c>
      <c r="X492" s="53" t="str">
        <f t="array" ref="X492">XLOOKUP($A492,'Recipients REF'!$A:$A,'Recipients REF'!L:L,"",0)</f>
        <v>25100833</v>
      </c>
      <c r="Y492" s="48" t="s">
        <v>29</v>
      </c>
      <c r="Z492" s="48" t="s">
        <v>31</v>
      </c>
      <c r="AA492" s="54" t="str">
        <f t="array" ref="AA492">XLOOKUP($A492,'Recipients REF'!$A:$A,'Recipients REF'!M:M,"",0)</f>
        <v>25101173</v>
      </c>
      <c r="AB492" s="49"/>
      <c r="AC492" s="42"/>
      <c r="AD492" s="42"/>
      <c r="AE492" s="56">
        <v>8.69066063797063E14</v>
      </c>
      <c r="AF492" s="56" t="s">
        <v>971</v>
      </c>
      <c r="AG492" s="42"/>
      <c r="AH492" s="42"/>
      <c r="AI492" s="42" t="str">
        <f t="array" ref="AI492">XLOOKUP($E492,Sheet11!$D:$D,Sheet11!$X:$X,"",0)</f>
        <v/>
      </c>
      <c r="AJ492" s="42" t="str">
        <f t="array" ref="AJ492">XLOOKUP($E492,Sheet11!$D:$D,Sheet11!$Y:$Y,"",0)</f>
        <v/>
      </c>
    </row>
    <row r="493">
      <c r="A493" s="41">
        <v>643.0</v>
      </c>
      <c r="B493" s="42" t="s">
        <v>972</v>
      </c>
      <c r="C493" s="42" t="s">
        <v>973</v>
      </c>
      <c r="D493" s="42"/>
      <c r="E493" s="42" t="str">
        <f t="shared" ref="E493:F493" si="494">PROPER(B493)</f>
        <v>Casongsong Farmers Association</v>
      </c>
      <c r="F493" s="42" t="str">
        <f t="shared" si="494"/>
        <v>Casongsong, Guimba, Nueva Ecija</v>
      </c>
      <c r="G493" s="42" t="str">
        <f t="shared" si="3"/>
        <v>Casongsong</v>
      </c>
      <c r="H493" s="42" t="str">
        <f t="shared" si="4"/>
        <v>Guimba</v>
      </c>
      <c r="I493" s="42" t="str">
        <f t="shared" si="5"/>
        <v>Nueva Ecija</v>
      </c>
      <c r="J493" s="42" t="str">
        <f t="array" ref="J493">XLOOKUP($E493,'Recipients REF'!$B:$B,'Recipients REF'!D:D,"",0)</f>
        <v>Virginia DC. Rihad</v>
      </c>
      <c r="K493" s="42" t="str">
        <f t="array" ref="K493">XLOOKUP($E493,'Recipients REF'!$B:$B,'Recipients REF'!E:E,"",0)</f>
        <v>0949-796-8628</v>
      </c>
      <c r="L493" s="43" t="str">
        <f t="array" ref="L493">XLOOKUP($A493,'Recipients REF'!$A:$A,'Recipients REF'!F:F,"",0)</f>
        <v>RCEF 25-03-05</v>
      </c>
      <c r="M493" s="43">
        <f t="array" ref="M493">XLOOKUP($A493,'Recipients REF'!$A:$A,'Recipients REF'!G:G,"",0)</f>
        <v>5</v>
      </c>
      <c r="N493" s="43" t="str">
        <f t="array" ref="N493">XLOOKUP($A493,'Recipients REF'!$A:$A,'Recipients REF'!H:H,"",0)</f>
        <v>26233 &amp; 27731</v>
      </c>
      <c r="O493" s="44" t="s">
        <v>25</v>
      </c>
      <c r="P493" s="45" t="s">
        <v>26</v>
      </c>
      <c r="Q493" s="46" t="str">
        <f t="array" ref="Q493">XLOOKUP($A493,'Recipients REF'!$A:$A,'Recipients REF'!I:I,"",0)</f>
        <v>KMC5825 APSFPV0183</v>
      </c>
      <c r="R493" s="53" t="str">
        <f t="array" ref="R493">XLOOKUP($A493,'Recipients REF'!$A:$A,'Recipients REF'!J:J,"",0)</f>
        <v>STS100191</v>
      </c>
      <c r="S493" s="45" t="s">
        <v>27</v>
      </c>
      <c r="T493" s="45" t="s">
        <v>28</v>
      </c>
      <c r="U493" s="46" t="str">
        <f t="array" ref="U493">XLOOKUP($A493,'Recipients REF'!$A:$A,'Recipients REF'!K:K,"",0)</f>
        <v>WR-SERIES 01323PH</v>
      </c>
      <c r="V493" s="44" t="s">
        <v>29</v>
      </c>
      <c r="W493" s="45" t="s">
        <v>30</v>
      </c>
      <c r="X493" s="53" t="str">
        <f t="array" ref="X493">XLOOKUP($A493,'Recipients REF'!$A:$A,'Recipients REF'!L:L,"",0)</f>
        <v>25100806</v>
      </c>
      <c r="Y493" s="48" t="s">
        <v>29</v>
      </c>
      <c r="Z493" s="48" t="s">
        <v>31</v>
      </c>
      <c r="AA493" s="54" t="str">
        <f t="array" ref="AA493">XLOOKUP($A493,'Recipients REF'!$A:$A,'Recipients REF'!M:M,"",0)</f>
        <v>25101171</v>
      </c>
      <c r="AB493" s="49"/>
      <c r="AC493" s="42"/>
      <c r="AD493" s="42"/>
      <c r="AE493" s="50"/>
      <c r="AF493" s="42"/>
      <c r="AG493" s="42"/>
      <c r="AH493" s="42"/>
      <c r="AI493" s="42" t="str">
        <f t="array" ref="AI493">XLOOKUP($E493,Sheet11!$D:$D,Sheet11!$X:$X,"",0)</f>
        <v/>
      </c>
      <c r="AJ493" s="42" t="str">
        <f t="array" ref="AJ493">XLOOKUP($E493,Sheet11!$D:$D,Sheet11!$Y:$Y,"",0)</f>
        <v/>
      </c>
    </row>
    <row r="494">
      <c r="A494" s="41">
        <v>644.0</v>
      </c>
      <c r="B494" s="42" t="s">
        <v>974</v>
      </c>
      <c r="C494" s="42" t="s">
        <v>975</v>
      </c>
      <c r="D494" s="42"/>
      <c r="E494" s="42" t="str">
        <f t="shared" ref="E494:F494" si="495">PROPER(B494)</f>
        <v>Cooperative Enterprise For True Economic Reform</v>
      </c>
      <c r="F494" s="42" t="str">
        <f t="shared" si="495"/>
        <v>Cabaruan, Guimba, Nueva Ecija</v>
      </c>
      <c r="G494" s="42" t="str">
        <f t="shared" si="3"/>
        <v>Cabaruan</v>
      </c>
      <c r="H494" s="42" t="str">
        <f t="shared" si="4"/>
        <v>Guimba</v>
      </c>
      <c r="I494" s="42" t="str">
        <f t="shared" si="5"/>
        <v>Nueva Ecija</v>
      </c>
      <c r="J494" s="42" t="str">
        <f t="array" ref="J494">XLOOKUP($E494,'Recipients REF'!$B:$B,'Recipients REF'!D:D,"",0)</f>
        <v>Catalino R. Obinario, Jr.</v>
      </c>
      <c r="K494" s="42" t="str">
        <f t="array" ref="K494">XLOOKUP($E494,'Recipients REF'!$B:$B,'Recipients REF'!E:E,"",0)</f>
        <v>0943-522-1936</v>
      </c>
      <c r="L494" s="43" t="str">
        <f t="array" ref="L494">XLOOKUP($A494,'Recipients REF'!$A:$A,'Recipients REF'!F:F,"",0)</f>
        <v>RCEF 25-03-05</v>
      </c>
      <c r="M494" s="43">
        <f t="array" ref="M494">XLOOKUP($A494,'Recipients REF'!$A:$A,'Recipients REF'!G:G,"",0)</f>
        <v>5</v>
      </c>
      <c r="N494" s="43" t="str">
        <f t="array" ref="N494">XLOOKUP($A494,'Recipients REF'!$A:$A,'Recipients REF'!H:H,"",0)</f>
        <v>26234 &amp; 27824</v>
      </c>
      <c r="O494" s="44" t="s">
        <v>25</v>
      </c>
      <c r="P494" s="45" t="s">
        <v>26</v>
      </c>
      <c r="Q494" s="46" t="str">
        <f t="array" ref="Q494">XLOOKUP($A494,'Recipients REF'!$A:$A,'Recipients REF'!I:I,"",0)</f>
        <v>KMC5825 AASFPV0627</v>
      </c>
      <c r="R494" s="53" t="str">
        <f t="array" ref="R494">XLOOKUP($A494,'Recipients REF'!$A:$A,'Recipients REF'!J:J,"",0)</f>
        <v>STS100346</v>
      </c>
      <c r="S494" s="45" t="s">
        <v>27</v>
      </c>
      <c r="T494" s="45" t="s">
        <v>28</v>
      </c>
      <c r="U494" s="46" t="str">
        <f t="array" ref="U494">XLOOKUP($A494,'Recipients REF'!$A:$A,'Recipients REF'!K:K,"",0)</f>
        <v>WR-SERIES 1389PH</v>
      </c>
      <c r="V494" s="44" t="s">
        <v>29</v>
      </c>
      <c r="W494" s="45" t="s">
        <v>30</v>
      </c>
      <c r="X494" s="53" t="str">
        <f t="array" ref="X494">XLOOKUP($A494,'Recipients REF'!$A:$A,'Recipients REF'!L:L,"",0)</f>
        <v>25100830</v>
      </c>
      <c r="Y494" s="48" t="s">
        <v>29</v>
      </c>
      <c r="Z494" s="48" t="s">
        <v>31</v>
      </c>
      <c r="AA494" s="54" t="str">
        <f t="array" ref="AA494">XLOOKUP($A494,'Recipients REF'!$A:$A,'Recipients REF'!M:M,"",0)</f>
        <v>25101175</v>
      </c>
      <c r="AB494" s="49"/>
      <c r="AC494" s="42"/>
      <c r="AD494" s="42"/>
      <c r="AE494" s="50"/>
      <c r="AF494" s="42"/>
      <c r="AG494" s="42"/>
      <c r="AH494" s="42"/>
      <c r="AI494" s="42" t="str">
        <f t="array" ref="AI494">XLOOKUP($E494,Sheet11!$D:$D,Sheet11!$X:$X,"",0)</f>
        <v/>
      </c>
      <c r="AJ494" s="42" t="str">
        <f t="array" ref="AJ494">XLOOKUP($E494,Sheet11!$D:$D,Sheet11!$Y:$Y,"",0)</f>
        <v/>
      </c>
    </row>
    <row r="495">
      <c r="A495" s="41">
        <v>645.0</v>
      </c>
      <c r="B495" s="42" t="s">
        <v>976</v>
      </c>
      <c r="C495" s="42" t="s">
        <v>977</v>
      </c>
      <c r="D495" s="42"/>
      <c r="E495" s="42" t="str">
        <f t="shared" ref="E495:F495" si="496">PROPER(B495)</f>
        <v>Guimba Seed Growers Agriculture Cooperative</v>
      </c>
      <c r="F495" s="42" t="str">
        <f t="shared" si="496"/>
        <v>Cavite, Guimba, Nueva Ecija</v>
      </c>
      <c r="G495" s="42" t="str">
        <f t="shared" si="3"/>
        <v>Cavite</v>
      </c>
      <c r="H495" s="42" t="str">
        <f t="shared" si="4"/>
        <v>Guimba</v>
      </c>
      <c r="I495" s="42" t="str">
        <f t="shared" si="5"/>
        <v>Nueva Ecija</v>
      </c>
      <c r="J495" s="42" t="str">
        <f t="array" ref="J495">XLOOKUP($E495,'Recipients REF'!$B:$B,'Recipients REF'!D:D,"",0)</f>
        <v>Rodolfo B. Payog</v>
      </c>
      <c r="K495" s="42" t="str">
        <f t="array" ref="K495">XLOOKUP($E495,'Recipients REF'!$B:$B,'Recipients REF'!E:E,"",0)</f>
        <v>0998-953-7060</v>
      </c>
      <c r="L495" s="43" t="str">
        <f t="array" ref="L495">XLOOKUP($A495,'Recipients REF'!$A:$A,'Recipients REF'!F:F,"",0)</f>
        <v>RCEF 25-03-05</v>
      </c>
      <c r="M495" s="43">
        <f t="array" ref="M495">XLOOKUP($A495,'Recipients REF'!$A:$A,'Recipients REF'!G:G,"",0)</f>
        <v>5</v>
      </c>
      <c r="N495" s="43" t="str">
        <f t="array" ref="N495">XLOOKUP($A495,'Recipients REF'!$A:$A,'Recipients REF'!H:H,"",0)</f>
        <v>26235 &amp; 27825</v>
      </c>
      <c r="O495" s="44" t="s">
        <v>25</v>
      </c>
      <c r="P495" s="45" t="s">
        <v>26</v>
      </c>
      <c r="Q495" s="46" t="str">
        <f t="array" ref="Q495">XLOOKUP($A495,'Recipients REF'!$A:$A,'Recipients REF'!I:I,"",0)</f>
        <v>KMC5825 ACSFPV0608</v>
      </c>
      <c r="R495" s="53" t="str">
        <f t="array" ref="R495">XLOOKUP($A495,'Recipients REF'!$A:$A,'Recipients REF'!J:J,"",0)</f>
        <v>STS100502</v>
      </c>
      <c r="S495" s="45" t="s">
        <v>27</v>
      </c>
      <c r="T495" s="45" t="s">
        <v>28</v>
      </c>
      <c r="U495" s="46" t="str">
        <f t="array" ref="U495">XLOOKUP($A495,'Recipients REF'!$A:$A,'Recipients REF'!K:K,"",0)</f>
        <v>WR-SERIES 1439PH</v>
      </c>
      <c r="V495" s="44" t="s">
        <v>29</v>
      </c>
      <c r="W495" s="45" t="s">
        <v>30</v>
      </c>
      <c r="X495" s="53" t="str">
        <f t="array" ref="X495">XLOOKUP($A495,'Recipients REF'!$A:$A,'Recipients REF'!L:L,"",0)</f>
        <v>25100790</v>
      </c>
      <c r="Y495" s="48" t="s">
        <v>29</v>
      </c>
      <c r="Z495" s="48" t="s">
        <v>31</v>
      </c>
      <c r="AA495" s="54" t="str">
        <f t="array" ref="AA495">XLOOKUP($A495,'Recipients REF'!$A:$A,'Recipients REF'!M:M,"",0)</f>
        <v>25101169</v>
      </c>
      <c r="AB495" s="49"/>
      <c r="AC495" s="42"/>
      <c r="AD495" s="42"/>
      <c r="AE495" s="58">
        <v>8.69066063800693E14</v>
      </c>
      <c r="AF495" s="58" t="s">
        <v>978</v>
      </c>
      <c r="AG495" s="42"/>
      <c r="AH495" s="42"/>
      <c r="AI495" s="42" t="str">
        <f t="array" ref="AI495">XLOOKUP($E495,Sheet11!$D:$D,Sheet11!$X:$X,"",0)</f>
        <v/>
      </c>
      <c r="AJ495" s="42" t="str">
        <f t="array" ref="AJ495">XLOOKUP($E495,Sheet11!$D:$D,Sheet11!$Y:$Y,"",0)</f>
        <v/>
      </c>
    </row>
    <row r="496">
      <c r="A496" s="41">
        <v>646.0</v>
      </c>
      <c r="B496" s="42" t="s">
        <v>979</v>
      </c>
      <c r="C496" s="42" t="s">
        <v>980</v>
      </c>
      <c r="D496" s="42"/>
      <c r="E496" s="42" t="str">
        <f t="shared" ref="E496:F496" si="497">PROPER(B496)</f>
        <v>Narvacan 1 Farmers Association</v>
      </c>
      <c r="F496" s="42" t="str">
        <f t="shared" si="497"/>
        <v>Narvacan I, Guimba, Nueva Ecija</v>
      </c>
      <c r="G496" s="42" t="str">
        <f t="shared" si="3"/>
        <v>Narvacan I</v>
      </c>
      <c r="H496" s="42" t="str">
        <f t="shared" si="4"/>
        <v>Guimba</v>
      </c>
      <c r="I496" s="42" t="str">
        <f t="shared" si="5"/>
        <v>Nueva Ecija</v>
      </c>
      <c r="J496" s="42" t="str">
        <f t="array" ref="J496">XLOOKUP($E496,'Recipients REF'!$B:$B,'Recipients REF'!D:D,"",0)</f>
        <v>Harold C. Soriano</v>
      </c>
      <c r="K496" s="42" t="str">
        <f t="array" ref="K496">XLOOKUP($E496,'Recipients REF'!$B:$B,'Recipients REF'!E:E,"",0)</f>
        <v>0916-688-6917</v>
      </c>
      <c r="L496" s="43" t="str">
        <f t="array" ref="L496">XLOOKUP($A496,'Recipients REF'!$A:$A,'Recipients REF'!F:F,"",0)</f>
        <v>RCEF 25-03-05</v>
      </c>
      <c r="M496" s="43">
        <f t="array" ref="M496">XLOOKUP($A496,'Recipients REF'!$A:$A,'Recipients REF'!G:G,"",0)</f>
        <v>5</v>
      </c>
      <c r="N496" s="43" t="str">
        <f t="array" ref="N496">XLOOKUP($A496,'Recipients REF'!$A:$A,'Recipients REF'!H:H,"",0)</f>
        <v>26236 &amp; 27826</v>
      </c>
      <c r="O496" s="44" t="s">
        <v>25</v>
      </c>
      <c r="P496" s="45" t="s">
        <v>26</v>
      </c>
      <c r="Q496" s="46" t="str">
        <f t="array" ref="Q496">XLOOKUP($A496,'Recipients REF'!$A:$A,'Recipients REF'!I:I,"",0)</f>
        <v>KMC5825 ALSFPV0225</v>
      </c>
      <c r="R496" s="53" t="str">
        <f t="array" ref="R496">XLOOKUP($A496,'Recipients REF'!$A:$A,'Recipients REF'!J:J,"",0)</f>
        <v>STS100185</v>
      </c>
      <c r="S496" s="45" t="s">
        <v>27</v>
      </c>
      <c r="T496" s="45" t="s">
        <v>28</v>
      </c>
      <c r="U496" s="46" t="str">
        <f t="array" ref="U496">XLOOKUP($A496,'Recipients REF'!$A:$A,'Recipients REF'!K:K,"",0)</f>
        <v>WR-SERIES 1440PH</v>
      </c>
      <c r="V496" s="44" t="s">
        <v>29</v>
      </c>
      <c r="W496" s="45" t="s">
        <v>30</v>
      </c>
      <c r="X496" s="53" t="str">
        <f t="array" ref="X496">XLOOKUP($A496,'Recipients REF'!$A:$A,'Recipients REF'!L:L,"",0)</f>
        <v>25100813</v>
      </c>
      <c r="Y496" s="48" t="s">
        <v>29</v>
      </c>
      <c r="Z496" s="48" t="s">
        <v>31</v>
      </c>
      <c r="AA496" s="54" t="str">
        <f t="array" ref="AA496">XLOOKUP($A496,'Recipients REF'!$A:$A,'Recipients REF'!M:M,"",0)</f>
        <v>25101187</v>
      </c>
      <c r="AB496" s="49"/>
      <c r="AC496" s="42"/>
      <c r="AD496" s="42"/>
      <c r="AE496" s="50"/>
      <c r="AF496" s="42"/>
      <c r="AG496" s="42"/>
      <c r="AH496" s="42"/>
      <c r="AI496" s="42" t="str">
        <f t="array" ref="AI496">XLOOKUP($E496,Sheet11!$D:$D,Sheet11!$X:$X,"",0)</f>
        <v/>
      </c>
      <c r="AJ496" s="42" t="str">
        <f t="array" ref="AJ496">XLOOKUP($E496,Sheet11!$D:$D,Sheet11!$Y:$Y,"",0)</f>
        <v/>
      </c>
    </row>
    <row r="497">
      <c r="A497" s="41">
        <v>252.0</v>
      </c>
      <c r="B497" s="42" t="s">
        <v>981</v>
      </c>
      <c r="C497" s="42" t="s">
        <v>982</v>
      </c>
      <c r="D497" s="42"/>
      <c r="E497" s="42" t="str">
        <f t="shared" ref="E497:F497" si="498">PROPER(B497)</f>
        <v>Impamacor Irrigators' Association, Inc.</v>
      </c>
      <c r="F497" s="42" t="str">
        <f t="shared" si="498"/>
        <v>Imbunia, Jaen, Nueva Ecija</v>
      </c>
      <c r="G497" s="42" t="str">
        <f t="shared" si="3"/>
        <v>Imbunia</v>
      </c>
      <c r="H497" s="42" t="str">
        <f t="shared" si="4"/>
        <v>Jaen</v>
      </c>
      <c r="I497" s="42" t="str">
        <f t="shared" si="5"/>
        <v>Nueva Ecija</v>
      </c>
      <c r="J497" s="42" t="str">
        <f t="array" ref="J497">XLOOKUP($E497,'Recipients REF'!$B:$B,'Recipients REF'!D:D,"",0)</f>
        <v>Cornelio Pradez</v>
      </c>
      <c r="K497" s="42" t="str">
        <f t="array" ref="K497">XLOOKUP($E497,'Recipients REF'!$B:$B,'Recipients REF'!E:E,"",0)</f>
        <v>0936-675-7196</v>
      </c>
      <c r="L497" s="43" t="str">
        <f t="array" ref="L497">XLOOKUP($A497,'Recipients REF'!$A:$A,'Recipients REF'!F:F,"",0)</f>
        <v>RCEF 23-09-21 Rebidding</v>
      </c>
      <c r="M497" s="43">
        <f t="array" ref="M497">XLOOKUP($A497,'Recipients REF'!$A:$A,'Recipients REF'!G:G,"",0)</f>
        <v>3</v>
      </c>
      <c r="N497" s="43">
        <f t="array" ref="N497">XLOOKUP($A497,'Recipients REF'!$A:$A,'Recipients REF'!H:H,"",0)</f>
        <v>18811</v>
      </c>
      <c r="O497" s="44" t="s">
        <v>25</v>
      </c>
      <c r="P497" s="45" t="s">
        <v>26</v>
      </c>
      <c r="Q497" s="46" t="str">
        <f t="array" ref="Q497">XLOOKUP($A497,'Recipients REF'!$A:$A,'Recipients REF'!I:I,"",0)</f>
        <v>KMC5825 AERFPV0433</v>
      </c>
      <c r="R497" s="47" t="str">
        <f t="array" ref="R497">XLOOKUP($A497,'Recipients REF'!$A:$A,'Recipients REF'!J:J,"",0)</f>
        <v>RTS100335</v>
      </c>
      <c r="S497" s="45" t="s">
        <v>27</v>
      </c>
      <c r="T497" s="45" t="s">
        <v>28</v>
      </c>
      <c r="U497" s="46" t="str">
        <f t="array" ref="U497">XLOOKUP($A497,'Recipients REF'!$A:$A,'Recipients REF'!K:K,"",0)</f>
        <v>R-SERIES 159 PH</v>
      </c>
      <c r="V497" s="44" t="s">
        <v>29</v>
      </c>
      <c r="W497" s="45" t="s">
        <v>30</v>
      </c>
      <c r="X497" s="47" t="str">
        <f t="array" ref="X497">XLOOKUP($A497,'Recipients REF'!$A:$A,'Recipients REF'!L:L,"",0)</f>
        <v>LSGW1750 RMP 24020447</v>
      </c>
      <c r="Y497" s="48" t="s">
        <v>29</v>
      </c>
      <c r="Z497" s="48" t="s">
        <v>31</v>
      </c>
      <c r="AA497" s="46" t="str">
        <f t="array" ref="AA497">XLOOKUP($A497,'Recipients REF'!$A:$A,'Recipients REF'!M:M,"",0)</f>
        <v>WDP40 RMP 24050598</v>
      </c>
      <c r="AB497" s="49"/>
      <c r="AC497" s="42"/>
      <c r="AD497" s="42"/>
      <c r="AE497" s="56">
        <v>8.6906606024095E14</v>
      </c>
      <c r="AF497" s="56">
        <v>3.23255001248622E14</v>
      </c>
      <c r="AG497" s="42"/>
      <c r="AH497" s="42"/>
      <c r="AI497" s="42">
        <f t="array" ref="AI497">XLOOKUP($E497,Sheet11!$D:$D,Sheet11!$X:$X,"",0)</f>
        <v>869066060240950</v>
      </c>
      <c r="AJ497" s="42">
        <f t="array" ref="AJ497">XLOOKUP($E497,Sheet11!$D:$D,Sheet11!$Y:$Y,"",0)</f>
        <v>9624396959</v>
      </c>
    </row>
    <row r="498">
      <c r="A498" s="41">
        <v>253.0</v>
      </c>
      <c r="B498" s="42" t="s">
        <v>983</v>
      </c>
      <c r="C498" s="42" t="s">
        <v>984</v>
      </c>
      <c r="D498" s="42"/>
      <c r="E498" s="42" t="str">
        <f t="shared" ref="E498:F498" si="499">PROPER(B498)</f>
        <v>Kalamba Irrigators Association, Inc.</v>
      </c>
      <c r="F498" s="42" t="str">
        <f t="shared" si="499"/>
        <v>Calabasa, Jaen, Nueva Ecija</v>
      </c>
      <c r="G498" s="42" t="str">
        <f t="shared" si="3"/>
        <v>Calabasa</v>
      </c>
      <c r="H498" s="42" t="str">
        <f t="shared" si="4"/>
        <v>Jaen</v>
      </c>
      <c r="I498" s="42" t="str">
        <f t="shared" si="5"/>
        <v>Nueva Ecija</v>
      </c>
      <c r="J498" s="42" t="str">
        <f t="array" ref="J498">XLOOKUP($E498,'Recipients REF'!$B:$B,'Recipients REF'!D:D,"",0)</f>
        <v>Leonides G. Esguerra</v>
      </c>
      <c r="K498" s="42" t="str">
        <f t="array" ref="K498">XLOOKUP($E498,'Recipients REF'!$B:$B,'Recipients REF'!E:E,"",0)</f>
        <v>0936-675-7196</v>
      </c>
      <c r="L498" s="43" t="str">
        <f t="array" ref="L498">XLOOKUP($A498,'Recipients REF'!$A:$A,'Recipients REF'!F:F,"",0)</f>
        <v>RCEF 23-09-21 Rebidding</v>
      </c>
      <c r="M498" s="43">
        <f t="array" ref="M498">XLOOKUP($A498,'Recipients REF'!$A:$A,'Recipients REF'!G:G,"",0)</f>
        <v>3</v>
      </c>
      <c r="N498" s="43">
        <f t="array" ref="N498">XLOOKUP($A498,'Recipients REF'!$A:$A,'Recipients REF'!H:H,"",0)</f>
        <v>18812</v>
      </c>
      <c r="O498" s="44" t="s">
        <v>25</v>
      </c>
      <c r="P498" s="45" t="s">
        <v>26</v>
      </c>
      <c r="Q498" s="46" t="str">
        <f t="array" ref="Q498">XLOOKUP($A498,'Recipients REF'!$A:$A,'Recipients REF'!I:I,"",0)</f>
        <v>KMC5825 ATRFPV0435</v>
      </c>
      <c r="R498" s="47" t="str">
        <f t="array" ref="R498">XLOOKUP($A498,'Recipients REF'!$A:$A,'Recipients REF'!J:J,"",0)</f>
        <v>RTS100346</v>
      </c>
      <c r="S498" s="45" t="s">
        <v>27</v>
      </c>
      <c r="T498" s="45" t="s">
        <v>28</v>
      </c>
      <c r="U498" s="46" t="str">
        <f t="array" ref="U498">XLOOKUP($A498,'Recipients REF'!$A:$A,'Recipients REF'!K:K,"",0)</f>
        <v>R-SERIES 409 PH</v>
      </c>
      <c r="V498" s="44" t="s">
        <v>29</v>
      </c>
      <c r="W498" s="45" t="s">
        <v>30</v>
      </c>
      <c r="X498" s="47" t="str">
        <f t="array" ref="X498">XLOOKUP($A498,'Recipients REF'!$A:$A,'Recipients REF'!L:L,"",0)</f>
        <v>LSGW1750 RMP 24020458</v>
      </c>
      <c r="Y498" s="48" t="s">
        <v>29</v>
      </c>
      <c r="Z498" s="48" t="s">
        <v>31</v>
      </c>
      <c r="AA498" s="46" t="str">
        <f t="array" ref="AA498">XLOOKUP($A498,'Recipients REF'!$A:$A,'Recipients REF'!M:M,"",0)</f>
        <v>WDP40 RMP 24050623</v>
      </c>
      <c r="AB498" s="49"/>
      <c r="AC498" s="42"/>
      <c r="AD498" s="42"/>
      <c r="AE498" s="50"/>
      <c r="AF498" s="42"/>
      <c r="AG498" s="42"/>
      <c r="AH498" s="42"/>
      <c r="AI498" s="42">
        <f t="array" ref="AI498">XLOOKUP($E498,Sheet11!$D:$D,Sheet11!$X:$X,"",0)</f>
        <v>869066060241354</v>
      </c>
      <c r="AJ498" s="42">
        <f t="array" ref="AJ498">XLOOKUP($E498,Sheet11!$D:$D,Sheet11!$Y:$Y,"",0)</f>
        <v>9624396920</v>
      </c>
    </row>
    <row r="499">
      <c r="A499" s="41">
        <v>580.0</v>
      </c>
      <c r="B499" s="42" t="s">
        <v>985</v>
      </c>
      <c r="C499" s="42" t="s">
        <v>986</v>
      </c>
      <c r="D499" s="42"/>
      <c r="E499" s="42" t="str">
        <f t="shared" ref="E499:F499" si="500">PROPER(B499)</f>
        <v>Sta. Rita Farmers Irrigators Association, Inc.</v>
      </c>
      <c r="F499" s="42" t="str">
        <f t="shared" si="500"/>
        <v>Santa Rita, Jaen, Nueva Ecija</v>
      </c>
      <c r="G499" s="42" t="str">
        <f t="shared" si="3"/>
        <v>Santa Rita</v>
      </c>
      <c r="H499" s="42" t="str">
        <f t="shared" si="4"/>
        <v>Jaen</v>
      </c>
      <c r="I499" s="42" t="str">
        <f t="shared" si="5"/>
        <v>Nueva Ecija</v>
      </c>
      <c r="J499" s="42" t="str">
        <f t="array" ref="J499">XLOOKUP($E499,'Recipients REF'!$B:$B,'Recipients REF'!D:D,"",0)</f>
        <v>MACARIO P. BAUTISTA</v>
      </c>
      <c r="K499" s="42" t="str">
        <f t="array" ref="K499">XLOOKUP($E499,'Recipients REF'!$B:$B,'Recipients REF'!E:E,"",0)</f>
        <v>0935-731-2690</v>
      </c>
      <c r="L499" s="43" t="str">
        <f t="array" ref="L499">XLOOKUP($A499,'Recipients REF'!$A:$A,'Recipients REF'!F:F,"",0)</f>
        <v>RCEF 24-04-15</v>
      </c>
      <c r="M499" s="43">
        <f t="array" ref="M499">XLOOKUP($A499,'Recipients REF'!$A:$A,'Recipients REF'!G:G,"",0)</f>
        <v>6</v>
      </c>
      <c r="N499" s="43">
        <f t="array" ref="N499">XLOOKUP($A499,'Recipients REF'!$A:$A,'Recipients REF'!H:H,"",0)</f>
        <v>22333</v>
      </c>
      <c r="O499" s="44" t="s">
        <v>25</v>
      </c>
      <c r="P499" s="45" t="s">
        <v>26</v>
      </c>
      <c r="Q499" s="46" t="str">
        <f t="array" ref="Q499">XLOOKUP($A499,'Recipients REF'!$A:$A,'Recipients REF'!I:I,"",0)</f>
        <v>KMC5825ACRFPV0893</v>
      </c>
      <c r="R499" s="47" t="str">
        <f t="array" ref="R499">XLOOKUP($A499,'Recipients REF'!$A:$A,'Recipients REF'!J:J,"",0)</f>
        <v>RTS100792</v>
      </c>
      <c r="S499" s="45" t="s">
        <v>27</v>
      </c>
      <c r="T499" s="45" t="s">
        <v>28</v>
      </c>
      <c r="U499" s="46" t="str">
        <f t="array" ref="U499">XLOOKUP($A499,'Recipients REF'!$A:$A,'Recipients REF'!K:K,"",0)</f>
        <v>LSGW170-RMP-24100978</v>
      </c>
      <c r="V499" s="44" t="s">
        <v>29</v>
      </c>
      <c r="W499" s="45" t="s">
        <v>30</v>
      </c>
      <c r="X499" s="47" t="str">
        <f t="array" ref="X499">XLOOKUP($A499,'Recipients REF'!$A:$A,'Recipients REF'!L:L,"",0)</f>
        <v>WDP40-RMP-24101289</v>
      </c>
      <c r="Y499" s="48" t="s">
        <v>29</v>
      </c>
      <c r="Z499" s="48" t="s">
        <v>31</v>
      </c>
      <c r="AA499" s="46" t="str">
        <f t="array" ref="AA499">XLOOKUP($A499,'Recipients REF'!$A:$A,'Recipients REF'!M:M,"",0)</f>
        <v>WR-SERIES-1070PH</v>
      </c>
      <c r="AB499" s="49"/>
      <c r="AC499" s="42"/>
      <c r="AD499" s="42"/>
      <c r="AE499" s="55">
        <v>8.69066060246163E14</v>
      </c>
      <c r="AF499" s="56">
        <v>3.23255001225257E14</v>
      </c>
      <c r="AG499" s="42"/>
      <c r="AH499" s="42"/>
      <c r="AI499" s="42" t="str">
        <f t="array" ref="AI499">XLOOKUP($E499,Sheet11!$D:$D,Sheet11!$X:$X,"",0)</f>
        <v/>
      </c>
      <c r="AJ499" s="42" t="str">
        <f t="array" ref="AJ499">XLOOKUP($E499,Sheet11!$D:$D,Sheet11!$Y:$Y,"",0)</f>
        <v/>
      </c>
    </row>
    <row r="500">
      <c r="A500" s="41">
        <v>601.0</v>
      </c>
      <c r="B500" s="42" t="s">
        <v>987</v>
      </c>
      <c r="C500" s="42" t="s">
        <v>988</v>
      </c>
      <c r="D500" s="42"/>
      <c r="E500" s="42" t="str">
        <f t="shared" ref="E500:F500" si="501">PROPER(B500)</f>
        <v>Samahang Magsasaka Ng Imbunia Agriculture Cooperative (Sm Imbunia Agri. Coop)</v>
      </c>
      <c r="F500" s="42" t="str">
        <f t="shared" si="501"/>
        <v>Imbunia, Jaen, Nueva Ecija</v>
      </c>
      <c r="G500" s="42" t="str">
        <f t="shared" si="3"/>
        <v>Imbunia</v>
      </c>
      <c r="H500" s="42" t="str">
        <f t="shared" si="4"/>
        <v>Jaen</v>
      </c>
      <c r="I500" s="42" t="str">
        <f t="shared" si="5"/>
        <v>Nueva Ecija</v>
      </c>
      <c r="J500" s="42" t="str">
        <f t="array" ref="J500">XLOOKUP($E500,'Recipients REF'!$B:$B,'Recipients REF'!D:D,"",0)</f>
        <v>#N/A</v>
      </c>
      <c r="K500" s="42" t="str">
        <f t="array" ref="K500">XLOOKUP($E500,'Recipients REF'!$B:$B,'Recipients REF'!E:E,"",0)</f>
        <v>#N/A</v>
      </c>
      <c r="L500" s="43" t="str">
        <f t="array" ref="L500">XLOOKUP($A500,'Recipients REF'!$A:$A,'Recipients REF'!F:F,"",0)</f>
        <v>RCEF 24-04-15</v>
      </c>
      <c r="M500" s="43">
        <f t="array" ref="M500">XLOOKUP($A500,'Recipients REF'!$A:$A,'Recipients REF'!G:G,"",0)</f>
        <v>6</v>
      </c>
      <c r="N500" s="43">
        <f t="array" ref="N500">XLOOKUP($A500,'Recipients REF'!$A:$A,'Recipients REF'!H:H,"",0)</f>
        <v>22354</v>
      </c>
      <c r="O500" s="44" t="s">
        <v>25</v>
      </c>
      <c r="P500" s="45" t="s">
        <v>26</v>
      </c>
      <c r="Q500" s="46" t="str">
        <f t="array" ref="Q500">XLOOKUP($A500,'Recipients REF'!$A:$A,'Recipients REF'!I:I,"",0)</f>
        <v>KMC5825ATRFPV0905</v>
      </c>
      <c r="R500" s="47" t="str">
        <f t="array" ref="R500">XLOOKUP($A500,'Recipients REF'!$A:$A,'Recipients REF'!J:J,"",0)</f>
        <v>RTS100809</v>
      </c>
      <c r="S500" s="45" t="s">
        <v>27</v>
      </c>
      <c r="T500" s="45" t="s">
        <v>28</v>
      </c>
      <c r="U500" s="46" t="str">
        <f t="array" ref="U500">XLOOKUP($A500,'Recipients REF'!$A:$A,'Recipients REF'!K:K,"",0)</f>
        <v>LSGW170-RMP-24101067</v>
      </c>
      <c r="V500" s="44" t="s">
        <v>29</v>
      </c>
      <c r="W500" s="45" t="s">
        <v>30</v>
      </c>
      <c r="X500" s="47" t="str">
        <f t="array" ref="X500">XLOOKUP($A500,'Recipients REF'!$A:$A,'Recipients REF'!L:L,"",0)</f>
        <v>WDP40-RMP-24111361</v>
      </c>
      <c r="Y500" s="48" t="s">
        <v>29</v>
      </c>
      <c r="Z500" s="48" t="s">
        <v>31</v>
      </c>
      <c r="AA500" s="46" t="str">
        <f t="array" ref="AA500">XLOOKUP($A500,'Recipients REF'!$A:$A,'Recipients REF'!M:M,"",0)</f>
        <v>WR-SERIES-1001PH</v>
      </c>
      <c r="AB500" s="49"/>
      <c r="AC500" s="42"/>
      <c r="AD500" s="42"/>
      <c r="AE500" s="50"/>
      <c r="AF500" s="42"/>
      <c r="AG500" s="42"/>
      <c r="AH500" s="42"/>
      <c r="AI500" s="42" t="str">
        <f t="array" ref="AI500">XLOOKUP($E500,Sheet11!$D:$D,Sheet11!$X:$X,"",0)</f>
        <v/>
      </c>
      <c r="AJ500" s="42" t="str">
        <f t="array" ref="AJ500">XLOOKUP($E500,Sheet11!$D:$D,Sheet11!$Y:$Y,"",0)</f>
        <v/>
      </c>
    </row>
    <row r="501">
      <c r="A501" s="41">
        <v>243.0</v>
      </c>
      <c r="B501" s="42" t="s">
        <v>989</v>
      </c>
      <c r="C501" s="42" t="s">
        <v>990</v>
      </c>
      <c r="D501" s="42"/>
      <c r="E501" s="42" t="str">
        <f t="shared" ref="E501:F501" si="502">PROPER(B501)</f>
        <v>Casa Real Primary Multipurpose Cooperative</v>
      </c>
      <c r="F501" s="42" t="str">
        <f t="shared" si="502"/>
        <v>San Isidro, Laur, Nueva Ecija</v>
      </c>
      <c r="G501" s="42" t="str">
        <f t="shared" si="3"/>
        <v>San Isidro</v>
      </c>
      <c r="H501" s="42" t="str">
        <f t="shared" si="4"/>
        <v>Laur</v>
      </c>
      <c r="I501" s="42" t="str">
        <f t="shared" si="5"/>
        <v>Nueva Ecija</v>
      </c>
      <c r="J501" s="42" t="str">
        <f t="array" ref="J501">XLOOKUP($E501,'Recipients REF'!$B:$B,'Recipients REF'!D:D,"",0)</f>
        <v>Romeo Ambag</v>
      </c>
      <c r="K501" s="42" t="str">
        <f t="array" ref="K501">XLOOKUP($E501,'Recipients REF'!$B:$B,'Recipients REF'!E:E,"",0)</f>
        <v>0918-412-7469</v>
      </c>
      <c r="L501" s="43" t="str">
        <f t="array" ref="L501">XLOOKUP($A501,'Recipients REF'!$A:$A,'Recipients REF'!F:F,"",0)</f>
        <v>RCEF 23-09-21 Rebidding</v>
      </c>
      <c r="M501" s="43">
        <f t="array" ref="M501">XLOOKUP($A501,'Recipients REF'!$A:$A,'Recipients REF'!G:G,"",0)</f>
        <v>3</v>
      </c>
      <c r="N501" s="43">
        <f t="array" ref="N501">XLOOKUP($A501,'Recipients REF'!$A:$A,'Recipients REF'!H:H,"",0)</f>
        <v>18798</v>
      </c>
      <c r="O501" s="44" t="s">
        <v>25</v>
      </c>
      <c r="P501" s="45" t="s">
        <v>26</v>
      </c>
      <c r="Q501" s="46" t="str">
        <f t="array" ref="Q501">XLOOKUP($A501,'Recipients REF'!$A:$A,'Recipients REF'!I:I,"",0)</f>
        <v>KMC 5825 APR FPV0386</v>
      </c>
      <c r="R501" s="47" t="str">
        <f t="array" ref="R501">XLOOKUP($A501,'Recipients REF'!$A:$A,'Recipients REF'!J:J,"",0)</f>
        <v>RTS 100281</v>
      </c>
      <c r="S501" s="45" t="s">
        <v>27</v>
      </c>
      <c r="T501" s="45" t="s">
        <v>28</v>
      </c>
      <c r="U501" s="46" t="str">
        <f t="array" ref="U501">XLOOKUP($A501,'Recipients REF'!$A:$A,'Recipients REF'!K:K,"",0)</f>
        <v>R SERIES 001PH</v>
      </c>
      <c r="V501" s="44" t="s">
        <v>29</v>
      </c>
      <c r="W501" s="45" t="s">
        <v>30</v>
      </c>
      <c r="X501" s="47" t="str">
        <f t="array" ref="X501">XLOOKUP($A501,'Recipients REF'!$A:$A,'Recipients REF'!L:L,"",0)</f>
        <v>LSGW1750 RMP 2312157</v>
      </c>
      <c r="Y501" s="48" t="s">
        <v>29</v>
      </c>
      <c r="Z501" s="48" t="s">
        <v>31</v>
      </c>
      <c r="AA501" s="46" t="str">
        <f t="array" ref="AA501">XLOOKUP($A501,'Recipients REF'!$A:$A,'Recipients REF'!M:M,"",0)</f>
        <v>WDP40 RMP 24020208</v>
      </c>
      <c r="AB501" s="49"/>
      <c r="AC501" s="42"/>
      <c r="AD501" s="42"/>
      <c r="AE501" s="50"/>
      <c r="AF501" s="42"/>
      <c r="AG501" s="42"/>
      <c r="AH501" s="42"/>
      <c r="AI501" s="42">
        <f t="array" ref="AI501">XLOOKUP($E501,Sheet11!$D:$D,Sheet11!$X:$X,"",0)</f>
        <v>869066060239507</v>
      </c>
      <c r="AJ501" s="42">
        <f t="array" ref="AJ501">XLOOKUP($E501,Sheet11!$D:$D,Sheet11!$Y:$Y,"",0)</f>
        <v>9624530866</v>
      </c>
    </row>
    <row r="502">
      <c r="A502" s="41">
        <v>244.0</v>
      </c>
      <c r="B502" s="42" t="s">
        <v>991</v>
      </c>
      <c r="C502" s="42" t="s">
        <v>992</v>
      </c>
      <c r="D502" s="42"/>
      <c r="E502" s="42" t="str">
        <f t="shared" ref="E502:F502" si="503">PROPER(B502)</f>
        <v>San Vicente-Alintutuan Irrigators Association Inc.</v>
      </c>
      <c r="F502" s="42" t="str">
        <f t="shared" si="503"/>
        <v>San Vicente, Laur, Nueva Ecija</v>
      </c>
      <c r="G502" s="42" t="str">
        <f t="shared" si="3"/>
        <v>San Vicente</v>
      </c>
      <c r="H502" s="42" t="str">
        <f t="shared" si="4"/>
        <v>Laur</v>
      </c>
      <c r="I502" s="42" t="str">
        <f t="shared" si="5"/>
        <v>Nueva Ecija</v>
      </c>
      <c r="J502" s="42" t="str">
        <f t="array" ref="J502">XLOOKUP($E502,'Recipients REF'!$B:$B,'Recipients REF'!D:D,"",0)</f>
        <v>Erwin De Guzman</v>
      </c>
      <c r="K502" s="42" t="str">
        <f t="array" ref="K502">XLOOKUP($E502,'Recipients REF'!$B:$B,'Recipients REF'!E:E,"",0)</f>
        <v>0929-318-5220 / 0920-837-6120</v>
      </c>
      <c r="L502" s="43" t="str">
        <f t="array" ref="L502">XLOOKUP($A502,'Recipients REF'!$A:$A,'Recipients REF'!F:F,"",0)</f>
        <v>RCEF 23-09-21 Rebidding</v>
      </c>
      <c r="M502" s="43">
        <f t="array" ref="M502">XLOOKUP($A502,'Recipients REF'!$A:$A,'Recipients REF'!G:G,"",0)</f>
        <v>3</v>
      </c>
      <c r="N502" s="43">
        <f t="array" ref="N502">XLOOKUP($A502,'Recipients REF'!$A:$A,'Recipients REF'!H:H,"",0)</f>
        <v>18799</v>
      </c>
      <c r="O502" s="44" t="s">
        <v>25</v>
      </c>
      <c r="P502" s="45" t="s">
        <v>26</v>
      </c>
      <c r="Q502" s="46" t="str">
        <f t="array" ref="Q502">XLOOKUP($A502,'Recipients REF'!$A:$A,'Recipients REF'!I:I,"",0)</f>
        <v>KMC 5825 AARFPV0539</v>
      </c>
      <c r="R502" s="47" t="str">
        <f t="array" ref="R502">XLOOKUP($A502,'Recipients REF'!$A:$A,'Recipients REF'!J:J,"",0)</f>
        <v>RTS 100448</v>
      </c>
      <c r="S502" s="45" t="s">
        <v>27</v>
      </c>
      <c r="T502" s="45" t="s">
        <v>28</v>
      </c>
      <c r="U502" s="46" t="str">
        <f t="array" ref="U502">XLOOKUP($A502,'Recipients REF'!$A:$A,'Recipients REF'!K:K,"",0)</f>
        <v>R SERIES 386</v>
      </c>
      <c r="V502" s="44" t="s">
        <v>29</v>
      </c>
      <c r="W502" s="45" t="s">
        <v>30</v>
      </c>
      <c r="X502" s="47" t="str">
        <f t="array" ref="X502">XLOOKUP($A502,'Recipients REF'!$A:$A,'Recipients REF'!L:L,"",0)</f>
        <v>LSGW1750 RMP 2312166</v>
      </c>
      <c r="Y502" s="48" t="s">
        <v>29</v>
      </c>
      <c r="Z502" s="48" t="s">
        <v>31</v>
      </c>
      <c r="AA502" s="46" t="str">
        <f t="array" ref="AA502">XLOOKUP($A502,'Recipients REF'!$A:$A,'Recipients REF'!M:M,"",0)</f>
        <v>WDP40 RMP 24020205</v>
      </c>
      <c r="AB502" s="49"/>
      <c r="AC502" s="42"/>
      <c r="AD502" s="42"/>
      <c r="AE502" s="50"/>
      <c r="AF502" s="42"/>
      <c r="AG502" s="42"/>
      <c r="AH502" s="42"/>
      <c r="AI502" s="42">
        <f t="array" ref="AI502">XLOOKUP($E502,Sheet11!$D:$D,Sheet11!$X:$X,"",0)</f>
        <v>869066060241123</v>
      </c>
      <c r="AJ502" s="42">
        <f t="array" ref="AJ502">XLOOKUP($E502,Sheet11!$D:$D,Sheet11!$Y:$Y,"",0)</f>
        <v>9624530864</v>
      </c>
    </row>
    <row r="503">
      <c r="A503" s="41">
        <v>574.0</v>
      </c>
      <c r="B503" s="42" t="s">
        <v>993</v>
      </c>
      <c r="C503" s="42" t="s">
        <v>994</v>
      </c>
      <c r="D503" s="42"/>
      <c r="E503" s="42" t="str">
        <f t="shared" ref="E503:F503" si="504">PROPER(B503)</f>
        <v>Municipal Local Government Of Laur</v>
      </c>
      <c r="F503" s="42" t="str">
        <f t="shared" si="504"/>
        <v>Barangay Iii (Pob.), Laur, Nueva Ecija</v>
      </c>
      <c r="G503" s="42" t="str">
        <f t="shared" si="3"/>
        <v>Barangay Iii (Pob.)</v>
      </c>
      <c r="H503" s="42" t="str">
        <f t="shared" si="4"/>
        <v>Laur</v>
      </c>
      <c r="I503" s="42" t="str">
        <f t="shared" si="5"/>
        <v>Nueva Ecija</v>
      </c>
      <c r="J503" s="42" t="str">
        <f t="array" ref="J503">XLOOKUP($E503,'Recipients REF'!$B:$B,'Recipients REF'!D:D,"",0)</f>
        <v>Cristopher B. Daus</v>
      </c>
      <c r="K503" s="42" t="str">
        <f t="array" ref="K503">XLOOKUP($E503,'Recipients REF'!$B:$B,'Recipients REF'!E:E,"",0)</f>
        <v>0917-117-1541</v>
      </c>
      <c r="L503" s="43" t="str">
        <f t="array" ref="L503">XLOOKUP($A503,'Recipients REF'!$A:$A,'Recipients REF'!F:F,"",0)</f>
        <v>RCEF 24-04-15</v>
      </c>
      <c r="M503" s="43">
        <f t="array" ref="M503">XLOOKUP($A503,'Recipients REF'!$A:$A,'Recipients REF'!G:G,"",0)</f>
        <v>6</v>
      </c>
      <c r="N503" s="43">
        <f t="array" ref="N503">XLOOKUP($A503,'Recipients REF'!$A:$A,'Recipients REF'!H:H,"",0)</f>
        <v>21757</v>
      </c>
      <c r="O503" s="44" t="s">
        <v>25</v>
      </c>
      <c r="P503" s="45" t="s">
        <v>26</v>
      </c>
      <c r="Q503" s="46" t="str">
        <f t="array" ref="Q503">XLOOKUP($A503,'Recipients REF'!$A:$A,'Recipients REF'!I:I,"",0)</f>
        <v>KMC5825AERFPV0562</v>
      </c>
      <c r="R503" s="47" t="str">
        <f t="array" ref="R503">XLOOKUP($A503,'Recipients REF'!$A:$A,'Recipients REF'!J:J,"",0)</f>
        <v>RTS100465</v>
      </c>
      <c r="S503" s="45" t="s">
        <v>27</v>
      </c>
      <c r="T503" s="45" t="s">
        <v>28</v>
      </c>
      <c r="U503" s="46" t="str">
        <f t="array" ref="U503">XLOOKUP($A503,'Recipients REF'!$A:$A,'Recipients REF'!K:K,"",0)</f>
        <v>LSGW170-RMP-24100873</v>
      </c>
      <c r="V503" s="44" t="s">
        <v>29</v>
      </c>
      <c r="W503" s="45" t="s">
        <v>30</v>
      </c>
      <c r="X503" s="47" t="str">
        <f t="array" ref="X503">XLOOKUP($A503,'Recipients REF'!$A:$A,'Recipients REF'!L:L,"",0)</f>
        <v>WDP40-RMP-24101254</v>
      </c>
      <c r="Y503" s="48" t="s">
        <v>29</v>
      </c>
      <c r="Z503" s="48" t="s">
        <v>31</v>
      </c>
      <c r="AA503" s="46" t="str">
        <f t="array" ref="AA503">XLOOKUP($A503,'Recipients REF'!$A:$A,'Recipients REF'!M:M,"",0)</f>
        <v>WR-SERIES-868PH</v>
      </c>
      <c r="AB503" s="49"/>
      <c r="AC503" s="42"/>
      <c r="AD503" s="42"/>
      <c r="AE503" s="50"/>
      <c r="AF503" s="42"/>
      <c r="AG503" s="42"/>
      <c r="AH503" s="42"/>
      <c r="AI503" s="42" t="str">
        <f t="array" ref="AI503">XLOOKUP($E503,Sheet11!$D:$D,Sheet11!$X:$X,"",0)</f>
        <v/>
      </c>
      <c r="AJ503" s="42" t="str">
        <f t="array" ref="AJ503">XLOOKUP($E503,Sheet11!$D:$D,Sheet11!$Y:$Y,"",0)</f>
        <v/>
      </c>
    </row>
    <row r="504">
      <c r="A504" s="41">
        <v>674.0</v>
      </c>
      <c r="B504" s="42" t="s">
        <v>995</v>
      </c>
      <c r="C504" s="42" t="s">
        <v>994</v>
      </c>
      <c r="D504" s="42"/>
      <c r="E504" s="42" t="str">
        <f t="shared" ref="E504:F504" si="505">PROPER(B504)</f>
        <v>Golden Valley Agriculture Cooperative</v>
      </c>
      <c r="F504" s="42" t="str">
        <f t="shared" si="505"/>
        <v>Barangay Iii (Pob.), Laur, Nueva Ecija</v>
      </c>
      <c r="G504" s="42" t="str">
        <f t="shared" si="3"/>
        <v>Barangay Iii (Pob.)</v>
      </c>
      <c r="H504" s="42" t="str">
        <f t="shared" si="4"/>
        <v>Laur</v>
      </c>
      <c r="I504" s="42" t="str">
        <f t="shared" si="5"/>
        <v>Nueva Ecija</v>
      </c>
      <c r="J504" s="42" t="str">
        <f t="array" ref="J504">XLOOKUP($E504,'Recipients REF'!$B:$B,'Recipients REF'!D:D,"",0)</f>
        <v>Frederick R. Narne</v>
      </c>
      <c r="K504" s="42" t="str">
        <f t="array" ref="K504">XLOOKUP($E504,'Recipients REF'!$B:$B,'Recipients REF'!E:E,"",0)</f>
        <v>0928-072-4858</v>
      </c>
      <c r="L504" s="43" t="str">
        <f t="array" ref="L504">XLOOKUP($A504,'Recipients REF'!$A:$A,'Recipients REF'!F:F,"",0)</f>
        <v>RCEF 25-03-05</v>
      </c>
      <c r="M504" s="43">
        <f t="array" ref="M504">XLOOKUP($A504,'Recipients REF'!$A:$A,'Recipients REF'!G:G,"",0)</f>
        <v>5</v>
      </c>
      <c r="N504" s="43" t="str">
        <f t="array" ref="N504">XLOOKUP($A504,'Recipients REF'!$A:$A,'Recipients REF'!H:H,"",0)</f>
        <v>26491 &amp; 27846</v>
      </c>
      <c r="O504" s="44" t="s">
        <v>25</v>
      </c>
      <c r="P504" s="45" t="s">
        <v>26</v>
      </c>
      <c r="Q504" s="46" t="str">
        <f t="array" ref="Q504">XLOOKUP($A504,'Recipients REF'!$A:$A,'Recipients REF'!I:I,"",0)</f>
        <v>KMC5825 AESFPV0227</v>
      </c>
      <c r="R504" s="53" t="str">
        <f t="array" ref="R504">XLOOKUP($A504,'Recipients REF'!$A:$A,'Recipients REF'!J:J,"",0)</f>
        <v>STS100212</v>
      </c>
      <c r="S504" s="45" t="s">
        <v>27</v>
      </c>
      <c r="T504" s="45" t="s">
        <v>28</v>
      </c>
      <c r="U504" s="46" t="str">
        <f t="array" ref="U504">XLOOKUP($A504,'Recipients REF'!$A:$A,'Recipients REF'!K:K,"",0)</f>
        <v>WR-SERIES 1460PH</v>
      </c>
      <c r="V504" s="44" t="s">
        <v>29</v>
      </c>
      <c r="W504" s="45" t="s">
        <v>30</v>
      </c>
      <c r="X504" s="53" t="str">
        <f t="array" ref="X504">XLOOKUP($A504,'Recipients REF'!$A:$A,'Recipients REF'!L:L,"",0)</f>
        <v>25100828</v>
      </c>
      <c r="Y504" s="48" t="s">
        <v>29</v>
      </c>
      <c r="Z504" s="48" t="s">
        <v>31</v>
      </c>
      <c r="AA504" s="54" t="str">
        <f t="array" ref="AA504">XLOOKUP($A504,'Recipients REF'!$A:$A,'Recipients REF'!M:M,"",0)</f>
        <v>25101197</v>
      </c>
      <c r="AB504" s="49"/>
      <c r="AC504" s="42"/>
      <c r="AD504" s="42"/>
      <c r="AE504" s="50"/>
      <c r="AF504" s="42"/>
      <c r="AG504" s="42"/>
      <c r="AH504" s="42"/>
      <c r="AI504" s="42" t="str">
        <f t="array" ref="AI504">XLOOKUP($E504,Sheet11!$D:$D,Sheet11!$X:$X,"",0)</f>
        <v/>
      </c>
      <c r="AJ504" s="42" t="str">
        <f t="array" ref="AJ504">XLOOKUP($E504,Sheet11!$D:$D,Sheet11!$Y:$Y,"",0)</f>
        <v/>
      </c>
    </row>
    <row r="505">
      <c r="A505" s="41">
        <v>216.0</v>
      </c>
      <c r="B505" s="42" t="s">
        <v>996</v>
      </c>
      <c r="C505" s="42" t="s">
        <v>997</v>
      </c>
      <c r="D505" s="42"/>
      <c r="E505" s="42" t="str">
        <f t="shared" ref="E505:F505" si="506">PROPER(B505)</f>
        <v>San Cristobal Farmers Irrigators' Association, Inc.</v>
      </c>
      <c r="F505" s="42" t="str">
        <f t="shared" si="506"/>
        <v>San Cristobal, Licab, Nueva Ecija</v>
      </c>
      <c r="G505" s="42" t="str">
        <f t="shared" si="3"/>
        <v>San Cristobal</v>
      </c>
      <c r="H505" s="42" t="str">
        <f t="shared" si="4"/>
        <v>Licab</v>
      </c>
      <c r="I505" s="42" t="str">
        <f t="shared" si="5"/>
        <v>Nueva Ecija</v>
      </c>
      <c r="J505" s="42" t="str">
        <f t="array" ref="J505">XLOOKUP($E505,'Recipients REF'!$B:$B,'Recipients REF'!D:D,"",0)</f>
        <v>Alfredo M. Lozano</v>
      </c>
      <c r="K505" s="42" t="str">
        <f t="array" ref="K505">XLOOKUP($E505,'Recipients REF'!$B:$B,'Recipients REF'!E:E,"",0)</f>
        <v>0906-733-2025</v>
      </c>
      <c r="L505" s="43" t="str">
        <f t="array" ref="L505">XLOOKUP($A505,'Recipients REF'!$A:$A,'Recipients REF'!F:F,"",0)</f>
        <v>RCEF 23-09-21 Rebidding</v>
      </c>
      <c r="M505" s="43">
        <f t="array" ref="M505">XLOOKUP($A505,'Recipients REF'!$A:$A,'Recipients REF'!G:G,"",0)</f>
        <v>3</v>
      </c>
      <c r="N505" s="43">
        <f t="array" ref="N505">XLOOKUP($A505,'Recipients REF'!$A:$A,'Recipients REF'!H:H,"",0)</f>
        <v>18768</v>
      </c>
      <c r="O505" s="44" t="s">
        <v>25</v>
      </c>
      <c r="P505" s="45" t="s">
        <v>26</v>
      </c>
      <c r="Q505" s="46" t="str">
        <f t="array" ref="Q505">XLOOKUP($A505,'Recipients REF'!$A:$A,'Recipients REF'!I:I,"",0)</f>
        <v>KMC5825 ATRPFV0404</v>
      </c>
      <c r="R505" s="47" t="str">
        <f t="array" ref="R505">XLOOKUP($A505,'Recipients REF'!$A:$A,'Recipients REF'!J:J,"",0)</f>
        <v>RTS 100318</v>
      </c>
      <c r="S505" s="45" t="s">
        <v>27</v>
      </c>
      <c r="T505" s="45" t="s">
        <v>28</v>
      </c>
      <c r="U505" s="46" t="str">
        <f t="array" ref="U505">XLOOKUP($A505,'Recipients REF'!$A:$A,'Recipients REF'!K:K,"",0)</f>
        <v>R-SERIES 048 PH</v>
      </c>
      <c r="V505" s="44" t="s">
        <v>29</v>
      </c>
      <c r="W505" s="45" t="s">
        <v>30</v>
      </c>
      <c r="X505" s="47" t="str">
        <f t="array" ref="X505">XLOOKUP($A505,'Recipients REF'!$A:$A,'Recipients REF'!L:L,"",0)</f>
        <v>LSGW1750 WR 2312138</v>
      </c>
      <c r="Y505" s="48" t="s">
        <v>29</v>
      </c>
      <c r="Z505" s="48" t="s">
        <v>31</v>
      </c>
      <c r="AA505" s="46" t="str">
        <f t="array" ref="AA505">XLOOKUP($A505,'Recipients REF'!$A:$A,'Recipients REF'!M:M,"",0)</f>
        <v>WDP40 WR 2402094</v>
      </c>
      <c r="AB505" s="49"/>
      <c r="AC505" s="42"/>
      <c r="AD505" s="42"/>
      <c r="AE505" s="50"/>
      <c r="AF505" s="42"/>
      <c r="AG505" s="42"/>
      <c r="AH505" s="42"/>
      <c r="AI505" s="42" t="str">
        <f t="array" ref="AI505">XLOOKUP($E505,Sheet11!$D:$D,Sheet11!$X:$X,"",0)</f>
        <v/>
      </c>
      <c r="AJ505" s="42" t="str">
        <f t="array" ref="AJ505">XLOOKUP($E505,Sheet11!$D:$D,Sheet11!$Y:$Y,"",0)</f>
        <v/>
      </c>
    </row>
    <row r="506">
      <c r="A506" s="41">
        <v>210.0</v>
      </c>
      <c r="B506" s="42" t="s">
        <v>998</v>
      </c>
      <c r="C506" s="42" t="s">
        <v>999</v>
      </c>
      <c r="D506" s="42"/>
      <c r="E506" s="42" t="str">
        <f t="shared" ref="E506:F506" si="507">PROPER(B506)</f>
        <v>Casminalun Irrigators' Association, Inc.</v>
      </c>
      <c r="F506" s="42" t="str">
        <f t="shared" si="507"/>
        <v>Casile, Llanera, Nueva Ecija</v>
      </c>
      <c r="G506" s="42" t="str">
        <f t="shared" si="3"/>
        <v>Casile</v>
      </c>
      <c r="H506" s="42" t="str">
        <f t="shared" si="4"/>
        <v>Llanera</v>
      </c>
      <c r="I506" s="42" t="str">
        <f t="shared" si="5"/>
        <v>Nueva Ecija</v>
      </c>
      <c r="J506" s="42" t="str">
        <f t="array" ref="J506">XLOOKUP($E506,'Recipients REF'!$B:$B,'Recipients REF'!D:D,"",0)</f>
        <v>Leoncio Victoria</v>
      </c>
      <c r="K506" s="42" t="str">
        <f t="array" ref="K506">XLOOKUP($E506,'Recipients REF'!$B:$B,'Recipients REF'!E:E,"",0)</f>
        <v>0933-951-2647</v>
      </c>
      <c r="L506" s="43" t="str">
        <f t="array" ref="L506">XLOOKUP($A506,'Recipients REF'!$A:$A,'Recipients REF'!F:F,"",0)</f>
        <v>RCEF 23-09-21 Rebidding</v>
      </c>
      <c r="M506" s="43">
        <f t="array" ref="M506">XLOOKUP($A506,'Recipients REF'!$A:$A,'Recipients REF'!G:G,"",0)</f>
        <v>9</v>
      </c>
      <c r="N506" s="43">
        <f t="array" ref="N506">XLOOKUP($A506,'Recipients REF'!$A:$A,'Recipients REF'!H:H,"",0)</f>
        <v>18762</v>
      </c>
      <c r="O506" s="44" t="s">
        <v>25</v>
      </c>
      <c r="P506" s="45" t="s">
        <v>26</v>
      </c>
      <c r="Q506" s="46" t="str">
        <f t="array" ref="Q506">XLOOKUP($A506,'Recipients REF'!$A:$A,'Recipients REF'!I:I,"",0)</f>
        <v>KMC5825 AKRFPV0468</v>
      </c>
      <c r="R506" s="47" t="str">
        <f t="array" ref="R506">XLOOKUP($A506,'Recipients REF'!$A:$A,'Recipients REF'!J:J,"",0)</f>
        <v>RTS 100368</v>
      </c>
      <c r="S506" s="45" t="s">
        <v>27</v>
      </c>
      <c r="T506" s="45" t="s">
        <v>28</v>
      </c>
      <c r="U506" s="46" t="str">
        <f t="array" ref="U506">XLOOKUP($A506,'Recipients REF'!$A:$A,'Recipients REF'!K:K,"",0)</f>
        <v>R SERIES 396PH</v>
      </c>
      <c r="V506" s="44" t="s">
        <v>29</v>
      </c>
      <c r="W506" s="45" t="s">
        <v>30</v>
      </c>
      <c r="X506" s="47" t="str">
        <f t="array" ref="X506">XLOOKUP($A506,'Recipients REF'!$A:$A,'Recipients REF'!L:L,"",0)</f>
        <v>LSGW1750 RMP 2312170</v>
      </c>
      <c r="Y506" s="48" t="s">
        <v>29</v>
      </c>
      <c r="Z506" s="48" t="s">
        <v>31</v>
      </c>
      <c r="AA506" s="46" t="str">
        <f t="array" ref="AA506">XLOOKUP($A506,'Recipients REF'!$A:$A,'Recipients REF'!M:M,"",0)</f>
        <v>WDP 40 RMP 24020201</v>
      </c>
      <c r="AB506" s="49"/>
      <c r="AC506" s="42"/>
      <c r="AD506" s="42"/>
      <c r="AE506" s="50"/>
      <c r="AF506" s="42"/>
      <c r="AG506" s="42"/>
      <c r="AH506" s="42"/>
      <c r="AI506" s="42" t="str">
        <f t="array" ref="AI506">XLOOKUP($E506,Sheet11!$D:$D,Sheet11!$X:$X,"",0)</f>
        <v/>
      </c>
      <c r="AJ506" s="42" t="str">
        <f t="array" ref="AJ506">XLOOKUP($E506,Sheet11!$D:$D,Sheet11!$Y:$Y,"",0)</f>
        <v/>
      </c>
    </row>
    <row r="507">
      <c r="A507" s="41">
        <v>224.0</v>
      </c>
      <c r="B507" s="42" t="s">
        <v>1000</v>
      </c>
      <c r="C507" s="42" t="s">
        <v>1001</v>
      </c>
      <c r="D507" s="42"/>
      <c r="E507" s="42" t="str">
        <f t="shared" ref="E507:F507" si="508">PROPER(B507)</f>
        <v>Lurimadel Irrigators' Association, Inc.</v>
      </c>
      <c r="F507" s="42" t="str">
        <f t="shared" si="508"/>
        <v>General Ricarte, Llanera, Nueva Ecija</v>
      </c>
      <c r="G507" s="42" t="str">
        <f t="shared" si="3"/>
        <v>General Ricarte</v>
      </c>
      <c r="H507" s="42" t="str">
        <f t="shared" si="4"/>
        <v>Llanera</v>
      </c>
      <c r="I507" s="42" t="str">
        <f t="shared" si="5"/>
        <v>Nueva Ecija</v>
      </c>
      <c r="J507" s="42" t="str">
        <f t="array" ref="J507">XLOOKUP($E507,'Recipients REF'!$B:$B,'Recipients REF'!D:D,"",0)</f>
        <v>Nick M. Cara</v>
      </c>
      <c r="K507" s="42" t="str">
        <f t="array" ref="K507">XLOOKUP($E507,'Recipients REF'!$B:$B,'Recipients REF'!E:E,"",0)</f>
        <v>0926-811-5331</v>
      </c>
      <c r="L507" s="43" t="str">
        <f t="array" ref="L507">XLOOKUP($A507,'Recipients REF'!$A:$A,'Recipients REF'!F:F,"",0)</f>
        <v>RCEF 23-09-21 Rebidding</v>
      </c>
      <c r="M507" s="43">
        <f t="array" ref="M507">XLOOKUP($A507,'Recipients REF'!$A:$A,'Recipients REF'!G:G,"",0)</f>
        <v>3</v>
      </c>
      <c r="N507" s="43">
        <f t="array" ref="N507">XLOOKUP($A507,'Recipients REF'!$A:$A,'Recipients REF'!H:H,"",0)</f>
        <v>18777</v>
      </c>
      <c r="O507" s="44" t="s">
        <v>25</v>
      </c>
      <c r="P507" s="45" t="s">
        <v>26</v>
      </c>
      <c r="Q507" s="46" t="str">
        <f t="array" ref="Q507">XLOOKUP($A507,'Recipients REF'!$A:$A,'Recipients REF'!I:I,"",0)</f>
        <v>KMC 5825ACRFPV0336</v>
      </c>
      <c r="R507" s="47" t="str">
        <f t="array" ref="R507">XLOOKUP($A507,'Recipients REF'!$A:$A,'Recipients REF'!J:J,"",0)</f>
        <v>RTS 100234</v>
      </c>
      <c r="S507" s="45" t="s">
        <v>27</v>
      </c>
      <c r="T507" s="45" t="s">
        <v>28</v>
      </c>
      <c r="U507" s="46" t="str">
        <f t="array" ref="U507">XLOOKUP($A507,'Recipients REF'!$A:$A,'Recipients REF'!K:K,"",0)</f>
        <v>R SERIES 143 PH</v>
      </c>
      <c r="V507" s="44" t="s">
        <v>29</v>
      </c>
      <c r="W507" s="45" t="s">
        <v>30</v>
      </c>
      <c r="X507" s="47" t="str">
        <f t="array" ref="X507">XLOOKUP($A507,'Recipients REF'!$A:$A,'Recipients REF'!L:L,"",0)</f>
        <v>LSGW1750 RMP 24020494</v>
      </c>
      <c r="Y507" s="48" t="s">
        <v>29</v>
      </c>
      <c r="Z507" s="48" t="s">
        <v>31</v>
      </c>
      <c r="AA507" s="46" t="str">
        <f t="array" ref="AA507">XLOOKUP($A507,'Recipients REF'!$A:$A,'Recipients REF'!M:M,"",0)</f>
        <v>WDP40 RMP 24020240</v>
      </c>
      <c r="AB507" s="49"/>
      <c r="AC507" s="42"/>
      <c r="AD507" s="42"/>
      <c r="AE507" s="56">
        <v>8.69066060245017E14</v>
      </c>
      <c r="AF507" s="56" t="s">
        <v>1002</v>
      </c>
      <c r="AG507" s="42"/>
      <c r="AH507" s="42"/>
      <c r="AI507" s="42">
        <f t="array" ref="AI507">XLOOKUP($E507,Sheet11!$D:$D,Sheet11!$X:$X,"",0)</f>
        <v>869066060245017</v>
      </c>
      <c r="AJ507" s="42">
        <f t="array" ref="AJ507">XLOOKUP($E507,Sheet11!$D:$D,Sheet11!$Y:$Y,"",0)</f>
        <v>9624396944</v>
      </c>
    </row>
    <row r="508">
      <c r="A508" s="41">
        <v>225.0</v>
      </c>
      <c r="B508" s="42" t="s">
        <v>1003</v>
      </c>
      <c r="C508" s="42" t="s">
        <v>1004</v>
      </c>
      <c r="D508" s="42"/>
      <c r="E508" s="42" t="str">
        <f t="shared" ref="E508:F508" si="509">PROPER(B508)</f>
        <v>Municipal Local Government Unit Of Llanera</v>
      </c>
      <c r="F508" s="42" t="str">
        <f t="shared" si="509"/>
        <v>Victoria, Llanera, Nueva Ecija</v>
      </c>
      <c r="G508" s="42" t="str">
        <f t="shared" si="3"/>
        <v>Victoria</v>
      </c>
      <c r="H508" s="42" t="str">
        <f t="shared" si="4"/>
        <v>Llanera</v>
      </c>
      <c r="I508" s="42" t="str">
        <f t="shared" si="5"/>
        <v>Nueva Ecija</v>
      </c>
      <c r="J508" s="42" t="str">
        <f t="array" ref="J508">XLOOKUP($E508,'Recipients REF'!$B:$B,'Recipients REF'!D:D,"",0)</f>
        <v>Hon. Ronnie Roy G. Pascual</v>
      </c>
      <c r="K508" s="42" t="str">
        <f t="array" ref="K508">XLOOKUP($E508,'Recipients REF'!$B:$B,'Recipients REF'!E:E,"",0)</f>
        <v>0920-563-6206</v>
      </c>
      <c r="L508" s="43" t="str">
        <f t="array" ref="L508">XLOOKUP($A508,'Recipients REF'!$A:$A,'Recipients REF'!F:F,"",0)</f>
        <v>RCEF 23-09-21 Rebidding</v>
      </c>
      <c r="M508" s="43">
        <f t="array" ref="M508">XLOOKUP($A508,'Recipients REF'!$A:$A,'Recipients REF'!G:G,"",0)</f>
        <v>3</v>
      </c>
      <c r="N508" s="43">
        <f t="array" ref="N508">XLOOKUP($A508,'Recipients REF'!$A:$A,'Recipients REF'!H:H,"",0)</f>
        <v>18778</v>
      </c>
      <c r="O508" s="44" t="s">
        <v>25</v>
      </c>
      <c r="P508" s="45" t="s">
        <v>26</v>
      </c>
      <c r="Q508" s="46" t="str">
        <f t="array" ref="Q508">XLOOKUP($A508,'Recipients REF'!$A:$A,'Recipients REF'!I:I,"",0)</f>
        <v>KMC5825 AVRFPV0250</v>
      </c>
      <c r="R508" s="47" t="str">
        <f t="array" ref="R508">XLOOKUP($A508,'Recipients REF'!$A:$A,'Recipients REF'!J:J,"",0)</f>
        <v>RTS 100052</v>
      </c>
      <c r="S508" s="45" t="s">
        <v>27</v>
      </c>
      <c r="T508" s="45" t="s">
        <v>28</v>
      </c>
      <c r="U508" s="46" t="str">
        <f t="array" ref="U508">XLOOKUP($A508,'Recipients REF'!$A:$A,'Recipients REF'!K:K,"",0)</f>
        <v>R SERIES 067</v>
      </c>
      <c r="V508" s="44" t="s">
        <v>29</v>
      </c>
      <c r="W508" s="45" t="s">
        <v>30</v>
      </c>
      <c r="X508" s="47" t="str">
        <f t="array" ref="X508">XLOOKUP($A508,'Recipients REF'!$A:$A,'Recipients REF'!L:L,"",0)</f>
        <v>LSGW1750 RMP 24020493</v>
      </c>
      <c r="Y508" s="48" t="s">
        <v>29</v>
      </c>
      <c r="Z508" s="48" t="s">
        <v>31</v>
      </c>
      <c r="AA508" s="46" t="str">
        <f t="array" ref="AA508">XLOOKUP($A508,'Recipients REF'!$A:$A,'Recipients REF'!M:M,"",0)</f>
        <v>WDP40 RMP 24020229</v>
      </c>
      <c r="AB508" s="49"/>
      <c r="AC508" s="42"/>
      <c r="AD508" s="42"/>
      <c r="AE508" s="50"/>
      <c r="AF508" s="42"/>
      <c r="AG508" s="42"/>
      <c r="AH508" s="42"/>
      <c r="AI508" s="42">
        <f t="array" ref="AI508">XLOOKUP($E508,Sheet11!$D:$D,Sheet11!$X:$X,"",0)</f>
        <v>869066060242238</v>
      </c>
      <c r="AJ508" s="42">
        <f t="array" ref="AJ508">XLOOKUP($E508,Sheet11!$D:$D,Sheet11!$Y:$Y,"",0)</f>
        <v>9624396956</v>
      </c>
    </row>
    <row r="509">
      <c r="A509" s="41">
        <v>226.0</v>
      </c>
      <c r="B509" s="42" t="s">
        <v>1005</v>
      </c>
      <c r="C509" s="42" t="s">
        <v>1006</v>
      </c>
      <c r="D509" s="42"/>
      <c r="E509" s="42" t="str">
        <f t="shared" ref="E509:F509" si="510">PROPER(B509)</f>
        <v>Sanfelbiag Irrigators Association, Inc.</v>
      </c>
      <c r="F509" s="42" t="str">
        <f t="shared" si="510"/>
        <v>Bagumbayan (Pob.), Llanera, Nueva Ecija</v>
      </c>
      <c r="G509" s="42" t="str">
        <f t="shared" si="3"/>
        <v>Bagumbayan (Pob.)</v>
      </c>
      <c r="H509" s="42" t="str">
        <f t="shared" si="4"/>
        <v>Llanera</v>
      </c>
      <c r="I509" s="42" t="str">
        <f t="shared" si="5"/>
        <v>Nueva Ecija</v>
      </c>
      <c r="J509" s="42" t="str">
        <f t="array" ref="J509">XLOOKUP($E509,'Recipients REF'!$B:$B,'Recipients REF'!D:D,"",0)</f>
        <v>Reynaldo M. Bustamante</v>
      </c>
      <c r="K509" s="42" t="str">
        <f t="array" ref="K509">XLOOKUP($E509,'Recipients REF'!$B:$B,'Recipients REF'!E:E,"",0)</f>
        <v>0909-998-8557</v>
      </c>
      <c r="L509" s="43" t="str">
        <f t="array" ref="L509">XLOOKUP($A509,'Recipients REF'!$A:$A,'Recipients REF'!F:F,"",0)</f>
        <v>RCEF 23-09-21 Rebidding</v>
      </c>
      <c r="M509" s="43">
        <f t="array" ref="M509">XLOOKUP($A509,'Recipients REF'!$A:$A,'Recipients REF'!G:G,"",0)</f>
        <v>3</v>
      </c>
      <c r="N509" s="43">
        <f t="array" ref="N509">XLOOKUP($A509,'Recipients REF'!$A:$A,'Recipients REF'!H:H,"",0)</f>
        <v>18779</v>
      </c>
      <c r="O509" s="44" t="s">
        <v>25</v>
      </c>
      <c r="P509" s="45" t="s">
        <v>26</v>
      </c>
      <c r="Q509" s="46" t="str">
        <f t="array" ref="Q509">XLOOKUP($A509,'Recipients REF'!$A:$A,'Recipients REF'!I:I,"",0)</f>
        <v>KMC 5825 ATRFPV0273</v>
      </c>
      <c r="R509" s="47" t="str">
        <f t="array" ref="R509">XLOOKUP($A509,'Recipients REF'!$A:$A,'Recipients REF'!J:J,"",0)</f>
        <v>RTS 100115</v>
      </c>
      <c r="S509" s="45" t="s">
        <v>27</v>
      </c>
      <c r="T509" s="45" t="s">
        <v>28</v>
      </c>
      <c r="U509" s="46" t="str">
        <f t="array" ref="U509">XLOOKUP($A509,'Recipients REF'!$A:$A,'Recipients REF'!K:K,"",0)</f>
        <v>R SERIES 089 PH</v>
      </c>
      <c r="V509" s="44" t="s">
        <v>29</v>
      </c>
      <c r="W509" s="45" t="s">
        <v>30</v>
      </c>
      <c r="X509" s="47" t="str">
        <f t="array" ref="X509">XLOOKUP($A509,'Recipients REF'!$A:$A,'Recipients REF'!L:L,"",0)</f>
        <v>LSGW1750 RMP 24020488</v>
      </c>
      <c r="Y509" s="48" t="s">
        <v>29</v>
      </c>
      <c r="Z509" s="48" t="s">
        <v>31</v>
      </c>
      <c r="AA509" s="46" t="str">
        <f t="array" ref="AA509">XLOOKUP($A509,'Recipients REF'!$A:$A,'Recipients REF'!M:M,"",0)</f>
        <v>WDP40 RMP 24020221</v>
      </c>
      <c r="AB509" s="49"/>
      <c r="AC509" s="42"/>
      <c r="AD509" s="42"/>
      <c r="AE509" s="55" t="s">
        <v>1007</v>
      </c>
      <c r="AF509" s="56" t="s">
        <v>1008</v>
      </c>
      <c r="AG509" s="42"/>
      <c r="AH509" s="42"/>
      <c r="AI509" s="42">
        <f t="array" ref="AI509">XLOOKUP($E509,Sheet11!$D:$D,Sheet11!$X:$X,"",0)</f>
        <v>869066060242519</v>
      </c>
      <c r="AJ509" s="42">
        <f t="array" ref="AJ509">XLOOKUP($E509,Sheet11!$D:$D,Sheet11!$Y:$Y,"",0)</f>
        <v>9624396954</v>
      </c>
    </row>
    <row r="510">
      <c r="A510" s="41">
        <v>477.0</v>
      </c>
      <c r="B510" s="42" t="s">
        <v>1003</v>
      </c>
      <c r="C510" s="42" t="s">
        <v>1004</v>
      </c>
      <c r="D510" s="42"/>
      <c r="E510" s="42" t="str">
        <f t="shared" ref="E510:F510" si="511">PROPER(B510)</f>
        <v>Municipal Local Government Unit Of Llanera</v>
      </c>
      <c r="F510" s="42" t="str">
        <f t="shared" si="511"/>
        <v>Victoria, Llanera, Nueva Ecija</v>
      </c>
      <c r="G510" s="42" t="str">
        <f t="shared" si="3"/>
        <v>Victoria</v>
      </c>
      <c r="H510" s="42" t="str">
        <f t="shared" si="4"/>
        <v>Llanera</v>
      </c>
      <c r="I510" s="42" t="str">
        <f t="shared" si="5"/>
        <v>Nueva Ecija</v>
      </c>
      <c r="J510" s="42" t="str">
        <f t="array" ref="J510">XLOOKUP($E510,'Recipients REF'!$B:$B,'Recipients REF'!D:D,"",0)</f>
        <v>Hon. Ronnie Roy G. Pascual</v>
      </c>
      <c r="K510" s="42" t="str">
        <f t="array" ref="K510">XLOOKUP($E510,'Recipients REF'!$B:$B,'Recipients REF'!E:E,"",0)</f>
        <v>0920-563-6206</v>
      </c>
      <c r="L510" s="43" t="str">
        <f t="array" ref="L510">XLOOKUP($A510,'Recipients REF'!$A:$A,'Recipients REF'!F:F,"",0)</f>
        <v>RCEF 23-09-21 Rebidding</v>
      </c>
      <c r="M510" s="43">
        <f t="array" ref="M510">XLOOKUP($A510,'Recipients REF'!$A:$A,'Recipients REF'!G:G,"",0)</f>
        <v>3</v>
      </c>
      <c r="N510" s="43">
        <f t="array" ref="N510">XLOOKUP($A510,'Recipients REF'!$A:$A,'Recipients REF'!H:H,"",0)</f>
        <v>19560</v>
      </c>
      <c r="O510" s="44" t="s">
        <v>25</v>
      </c>
      <c r="P510" s="45" t="s">
        <v>26</v>
      </c>
      <c r="Q510" s="46" t="str">
        <f t="array" ref="Q510">XLOOKUP($A510,'Recipients REF'!$A:$A,'Recipients REF'!I:I,"",0)</f>
        <v>KMC 5825 AHRFPV0155</v>
      </c>
      <c r="R510" s="47" t="str">
        <f t="array" ref="R510">XLOOKUP($A510,'Recipients REF'!$A:$A,'Recipients REF'!J:J,"",0)</f>
        <v>RTS 100120</v>
      </c>
      <c r="S510" s="45" t="s">
        <v>27</v>
      </c>
      <c r="T510" s="45" t="s">
        <v>28</v>
      </c>
      <c r="U510" s="46" t="str">
        <f t="array" ref="U510">XLOOKUP($A510,'Recipients REF'!$A:$A,'Recipients REF'!K:K,"",0)</f>
        <v>R SERIES 068 PH</v>
      </c>
      <c r="V510" s="44" t="s">
        <v>29</v>
      </c>
      <c r="W510" s="45" t="s">
        <v>30</v>
      </c>
      <c r="X510" s="47" t="str">
        <f t="array" ref="X510">XLOOKUP($A510,'Recipients REF'!$A:$A,'Recipients REF'!L:L,"",0)</f>
        <v>LSGW1750 RMP 231264</v>
      </c>
      <c r="Y510" s="48" t="s">
        <v>29</v>
      </c>
      <c r="Z510" s="48" t="s">
        <v>31</v>
      </c>
      <c r="AA510" s="46" t="str">
        <f t="array" ref="AA510">XLOOKUP($A510,'Recipients REF'!$A:$A,'Recipients REF'!M:M,"",0)</f>
        <v>WDP40 RMP 24020241</v>
      </c>
      <c r="AB510" s="49"/>
      <c r="AC510" s="42"/>
      <c r="AD510" s="42"/>
      <c r="AE510" s="50"/>
      <c r="AF510" s="42"/>
      <c r="AG510" s="42"/>
      <c r="AH510" s="42"/>
      <c r="AI510" s="42">
        <f t="array" ref="AI510">XLOOKUP($E510,Sheet11!$D:$D,Sheet11!$X:$X,"",0)</f>
        <v>869066060242238</v>
      </c>
      <c r="AJ510" s="42">
        <f t="array" ref="AJ510">XLOOKUP($E510,Sheet11!$D:$D,Sheet11!$Y:$Y,"",0)</f>
        <v>9624396956</v>
      </c>
    </row>
    <row r="511">
      <c r="A511" s="41">
        <v>653.0</v>
      </c>
      <c r="B511" s="42" t="s">
        <v>1009</v>
      </c>
      <c r="C511" s="42" t="s">
        <v>1010</v>
      </c>
      <c r="D511" s="42"/>
      <c r="E511" s="42" t="str">
        <f t="shared" ref="E511:F511" si="512">PROPER(B511)</f>
        <v>Balangay Of San Fracisco Farmers Association</v>
      </c>
      <c r="F511" s="42" t="str">
        <f t="shared" si="512"/>
        <v>San Francisco, Llanera, Nueva Ecija</v>
      </c>
      <c r="G511" s="42" t="str">
        <f t="shared" si="3"/>
        <v>San Francisco</v>
      </c>
      <c r="H511" s="42" t="str">
        <f t="shared" si="4"/>
        <v>Llanera</v>
      </c>
      <c r="I511" s="42" t="str">
        <f t="shared" si="5"/>
        <v>Nueva Ecija</v>
      </c>
      <c r="J511" s="42" t="str">
        <f t="array" ref="J511">XLOOKUP($E511,'Recipients REF'!$B:$B,'Recipients REF'!D:D,"",0)</f>
        <v>Cecilia G. Quibrantos</v>
      </c>
      <c r="K511" s="42" t="str">
        <f t="array" ref="K511">XLOOKUP($E511,'Recipients REF'!$B:$B,'Recipients REF'!E:E,"",0)</f>
        <v>0908-475-7218</v>
      </c>
      <c r="L511" s="43" t="str">
        <f t="array" ref="L511">XLOOKUP($A511,'Recipients REF'!$A:$A,'Recipients REF'!F:F,"",0)</f>
        <v>RCEF 25-03-05</v>
      </c>
      <c r="M511" s="43">
        <f t="array" ref="M511">XLOOKUP($A511,'Recipients REF'!$A:$A,'Recipients REF'!G:G,"",0)</f>
        <v>5</v>
      </c>
      <c r="N511" s="43" t="str">
        <f t="array" ref="N511">XLOOKUP($A511,'Recipients REF'!$A:$A,'Recipients REF'!H:H,"",0)</f>
        <v>26243 &amp; 27832</v>
      </c>
      <c r="O511" s="44" t="s">
        <v>25</v>
      </c>
      <c r="P511" s="45" t="s">
        <v>26</v>
      </c>
      <c r="Q511" s="46" t="str">
        <f t="array" ref="Q511">XLOOKUP($A511,'Recipients REF'!$A:$A,'Recipients REF'!I:I,"",0)</f>
        <v>KMC5825 AJSFPV0283</v>
      </c>
      <c r="R511" s="53" t="str">
        <f t="array" ref="R511">XLOOKUP($A511,'Recipients REF'!$A:$A,'Recipients REF'!J:J,"",0)</f>
        <v>STS100242</v>
      </c>
      <c r="S511" s="45" t="s">
        <v>27</v>
      </c>
      <c r="T511" s="45" t="s">
        <v>28</v>
      </c>
      <c r="U511" s="46" t="str">
        <f t="array" ref="U511">XLOOKUP($A511,'Recipients REF'!$A:$A,'Recipients REF'!K:K,"",0)</f>
        <v>WR-SERIES 1446PH</v>
      </c>
      <c r="V511" s="44" t="s">
        <v>29</v>
      </c>
      <c r="W511" s="45" t="s">
        <v>30</v>
      </c>
      <c r="X511" s="53" t="str">
        <f t="array" ref="X511">XLOOKUP($A511,'Recipients REF'!$A:$A,'Recipients REF'!L:L,"",0)</f>
        <v>25100802</v>
      </c>
      <c r="Y511" s="48" t="s">
        <v>29</v>
      </c>
      <c r="Z511" s="48" t="s">
        <v>31</v>
      </c>
      <c r="AA511" s="54" t="str">
        <f t="array" ref="AA511">XLOOKUP($A511,'Recipients REF'!$A:$A,'Recipients REF'!M:M,"",0)</f>
        <v>25101165</v>
      </c>
      <c r="AB511" s="49"/>
      <c r="AC511" s="42"/>
      <c r="AD511" s="42"/>
      <c r="AE511" s="50"/>
      <c r="AF511" s="42"/>
      <c r="AG511" s="42"/>
      <c r="AH511" s="42"/>
      <c r="AI511" s="42" t="str">
        <f t="array" ref="AI511">XLOOKUP($E511,Sheet11!$D:$D,Sheet11!$X:$X,"",0)</f>
        <v/>
      </c>
      <c r="AJ511" s="42" t="str">
        <f t="array" ref="AJ511">XLOOKUP($E511,Sheet11!$D:$D,Sheet11!$Y:$Y,"",0)</f>
        <v/>
      </c>
    </row>
    <row r="512">
      <c r="A512" s="41">
        <v>227.0</v>
      </c>
      <c r="B512" s="42" t="s">
        <v>1011</v>
      </c>
      <c r="C512" s="42" t="s">
        <v>1012</v>
      </c>
      <c r="D512" s="42"/>
      <c r="E512" s="42" t="str">
        <f t="shared" ref="E512:F512" si="513">PROPER(B512)</f>
        <v>Alalay Grande Farmers Irrigator Association Inc.</v>
      </c>
      <c r="F512" s="42" t="str">
        <f t="shared" si="513"/>
        <v>Alalay Grande, Lupao, Nueva Ecija</v>
      </c>
      <c r="G512" s="42" t="str">
        <f t="shared" si="3"/>
        <v>Alalay Grande</v>
      </c>
      <c r="H512" s="42" t="str">
        <f t="shared" si="4"/>
        <v>Lupao</v>
      </c>
      <c r="I512" s="42" t="str">
        <f t="shared" si="5"/>
        <v>Nueva Ecija</v>
      </c>
      <c r="J512" s="42" t="str">
        <f t="array" ref="J512">XLOOKUP($E512,'Recipients REF'!$B:$B,'Recipients REF'!D:D,"",0)</f>
        <v>Celso C. Aduca</v>
      </c>
      <c r="K512" s="42" t="str">
        <f t="array" ref="K512">XLOOKUP($E512,'Recipients REF'!$B:$B,'Recipients REF'!E:E,"",0)</f>
        <v>0906-224-9292/ 0927-968-0232</v>
      </c>
      <c r="L512" s="43" t="str">
        <f t="array" ref="L512">XLOOKUP($A512,'Recipients REF'!$A:$A,'Recipients REF'!F:F,"",0)</f>
        <v>RCEF 23-09-21 Rebidding</v>
      </c>
      <c r="M512" s="43">
        <f t="array" ref="M512">XLOOKUP($A512,'Recipients REF'!$A:$A,'Recipients REF'!G:G,"",0)</f>
        <v>3</v>
      </c>
      <c r="N512" s="43">
        <f t="array" ref="N512">XLOOKUP($A512,'Recipients REF'!$A:$A,'Recipients REF'!H:H,"",0)</f>
        <v>18780</v>
      </c>
      <c r="O512" s="44" t="s">
        <v>25</v>
      </c>
      <c r="P512" s="45" t="s">
        <v>26</v>
      </c>
      <c r="Q512" s="46" t="str">
        <f t="array" ref="Q512">XLOOKUP($A512,'Recipients REF'!$A:$A,'Recipients REF'!I:I,"",0)</f>
        <v>KMC 5825 AKRFPV0454</v>
      </c>
      <c r="R512" s="47" t="str">
        <f t="array" ref="R512">XLOOKUP($A512,'Recipients REF'!$A:$A,'Recipients REF'!J:J,"",0)</f>
        <v>RTS 100356</v>
      </c>
      <c r="S512" s="45" t="s">
        <v>27</v>
      </c>
      <c r="T512" s="45" t="s">
        <v>28</v>
      </c>
      <c r="U512" s="46" t="str">
        <f t="array" ref="U512">XLOOKUP($A512,'Recipients REF'!$A:$A,'Recipients REF'!K:K,"",0)</f>
        <v>R SERIES 141 PH</v>
      </c>
      <c r="V512" s="44" t="s">
        <v>29</v>
      </c>
      <c r="W512" s="45" t="s">
        <v>30</v>
      </c>
      <c r="X512" s="47" t="str">
        <f t="array" ref="X512">XLOOKUP($A512,'Recipients REF'!$A:$A,'Recipients REF'!L:L,"",0)</f>
        <v>LSGW1750 RMP 2312169</v>
      </c>
      <c r="Y512" s="48" t="s">
        <v>29</v>
      </c>
      <c r="Z512" s="48" t="s">
        <v>31</v>
      </c>
      <c r="AA512" s="46" t="str">
        <f t="array" ref="AA512">XLOOKUP($A512,'Recipients REF'!$A:$A,'Recipients REF'!M:M,"",0)</f>
        <v>WDP40 RMP 24020238</v>
      </c>
      <c r="AB512" s="49"/>
      <c r="AC512" s="42"/>
      <c r="AD512" s="42"/>
      <c r="AE512" s="56">
        <v>8.69066060013555E14</v>
      </c>
      <c r="AF512" s="56">
        <v>3.23250006123532E14</v>
      </c>
      <c r="AG512" s="42"/>
      <c r="AH512" s="42"/>
      <c r="AI512" s="42">
        <f t="array" ref="AI512">XLOOKUP($E512,Sheet11!$D:$D,Sheet11!$X:$X,"",0)</f>
        <v>869066060242584</v>
      </c>
      <c r="AJ512" s="42">
        <f t="array" ref="AJ512">XLOOKUP($E512,Sheet11!$D:$D,Sheet11!$Y:$Y,"",0)</f>
        <v>9624396935</v>
      </c>
    </row>
    <row r="513">
      <c r="A513" s="41">
        <v>578.0</v>
      </c>
      <c r="B513" s="42" t="s">
        <v>1013</v>
      </c>
      <c r="C513" s="42" t="s">
        <v>1014</v>
      </c>
      <c r="D513" s="42"/>
      <c r="E513" s="42" t="str">
        <f t="shared" ref="E513:F513" si="514">PROPER(B513)</f>
        <v>Lupao Pag-Ahon Agriculture Cooperative (Lpac)</v>
      </c>
      <c r="F513" s="42" t="str">
        <f t="shared" si="514"/>
        <v>San Antonio Este, Lupao, Nueva Ecija</v>
      </c>
      <c r="G513" s="42" t="str">
        <f t="shared" si="3"/>
        <v>San Antonio Este</v>
      </c>
      <c r="H513" s="42" t="str">
        <f t="shared" si="4"/>
        <v>Lupao</v>
      </c>
      <c r="I513" s="42" t="str">
        <f t="shared" si="5"/>
        <v>Nueva Ecija</v>
      </c>
      <c r="J513" s="42" t="str">
        <f t="array" ref="J513">XLOOKUP($E513,'Recipients REF'!$B:$B,'Recipients REF'!D:D,"",0)</f>
        <v>Henry V. Ramos</v>
      </c>
      <c r="K513" s="42" t="str">
        <f t="array" ref="K513">XLOOKUP($E513,'Recipients REF'!$B:$B,'Recipients REF'!E:E,"",0)</f>
        <v>0995-264-9470</v>
      </c>
      <c r="L513" s="43" t="str">
        <f t="array" ref="L513">XLOOKUP($A513,'Recipients REF'!$A:$A,'Recipients REF'!F:F,"",0)</f>
        <v>RCEF 24-04-15</v>
      </c>
      <c r="M513" s="43">
        <f t="array" ref="M513">XLOOKUP($A513,'Recipients REF'!$A:$A,'Recipients REF'!G:G,"",0)</f>
        <v>6</v>
      </c>
      <c r="N513" s="43">
        <f t="array" ref="N513">XLOOKUP($A513,'Recipients REF'!$A:$A,'Recipients REF'!H:H,"",0)</f>
        <v>22331</v>
      </c>
      <c r="O513" s="44" t="s">
        <v>25</v>
      </c>
      <c r="P513" s="45" t="s">
        <v>26</v>
      </c>
      <c r="Q513" s="46" t="str">
        <f t="array" ref="Q513">XLOOKUP($A513,'Recipients REF'!$A:$A,'Recipients REF'!I:I,"",0)</f>
        <v>KMC5825ACRFPV0828</v>
      </c>
      <c r="R513" s="47" t="str">
        <f t="array" ref="R513">XLOOKUP($A513,'Recipients REF'!$A:$A,'Recipients REF'!J:J,"",0)</f>
        <v>RTS100733</v>
      </c>
      <c r="S513" s="45" t="s">
        <v>27</v>
      </c>
      <c r="T513" s="45" t="s">
        <v>28</v>
      </c>
      <c r="U513" s="46" t="str">
        <f t="array" ref="U513">XLOOKUP($A513,'Recipients REF'!$A:$A,'Recipients REF'!K:K,"",0)</f>
        <v>LSGW170-RMP-24101038</v>
      </c>
      <c r="V513" s="44" t="s">
        <v>29</v>
      </c>
      <c r="W513" s="45" t="s">
        <v>30</v>
      </c>
      <c r="X513" s="47" t="str">
        <f t="array" ref="X513">XLOOKUP($A513,'Recipients REF'!$A:$A,'Recipients REF'!L:L,"",0)</f>
        <v>WDP40-RMP-24111401</v>
      </c>
      <c r="Y513" s="48" t="s">
        <v>29</v>
      </c>
      <c r="Z513" s="48" t="s">
        <v>31</v>
      </c>
      <c r="AA513" s="46" t="str">
        <f t="array" ref="AA513">XLOOKUP($A513,'Recipients REF'!$A:$A,'Recipients REF'!M:M,"",0)</f>
        <v>WR-SERIES-1002PH</v>
      </c>
      <c r="AB513" s="49"/>
      <c r="AC513" s="42"/>
      <c r="AD513" s="42"/>
      <c r="AE513" s="56">
        <v>8.69066060013555E14</v>
      </c>
      <c r="AF513" s="56">
        <v>3.23250006123532E14</v>
      </c>
      <c r="AG513" s="42"/>
      <c r="AH513" s="42"/>
      <c r="AI513" s="42" t="str">
        <f t="array" ref="AI513">XLOOKUP($E513,Sheet11!$D:$D,Sheet11!$X:$X,"",0)</f>
        <v/>
      </c>
      <c r="AJ513" s="42" t="str">
        <f t="array" ref="AJ513">XLOOKUP($E513,Sheet11!$D:$D,Sheet11!$Y:$Y,"",0)</f>
        <v/>
      </c>
    </row>
    <row r="514">
      <c r="A514" s="41">
        <v>654.0</v>
      </c>
      <c r="B514" s="42" t="s">
        <v>1015</v>
      </c>
      <c r="C514" s="42" t="s">
        <v>1016</v>
      </c>
      <c r="D514" s="42"/>
      <c r="E514" s="42" t="str">
        <f t="shared" ref="E514:F514" si="515">PROPER(B514)</f>
        <v>Asosasyon Ng Magsasaka Para Sa Kalikasan At Kabuhayan</v>
      </c>
      <c r="F514" s="42" t="str">
        <f t="shared" si="515"/>
        <v>J. U. Tienzo (Arimal), Lupao, Nueva Ecija</v>
      </c>
      <c r="G514" s="42" t="str">
        <f t="shared" si="3"/>
        <v>J. U. Tienzo (Arimal)</v>
      </c>
      <c r="H514" s="42" t="str">
        <f t="shared" si="4"/>
        <v>Lupao</v>
      </c>
      <c r="I514" s="42" t="str">
        <f t="shared" si="5"/>
        <v>Nueva Ecija</v>
      </c>
      <c r="J514" s="42" t="str">
        <f t="array" ref="J514">XLOOKUP($E514,'Recipients REF'!$B:$B,'Recipients REF'!D:D,"",0)</f>
        <v>Perfeto Pagaduan</v>
      </c>
      <c r="K514" s="42" t="str">
        <f t="array" ref="K514">XLOOKUP($E514,'Recipients REF'!$B:$B,'Recipients REF'!E:E,"",0)</f>
        <v>0936-796-0003</v>
      </c>
      <c r="L514" s="43" t="str">
        <f t="array" ref="L514">XLOOKUP($A514,'Recipients REF'!$A:$A,'Recipients REF'!F:F,"",0)</f>
        <v>RCEF 25-03-05</v>
      </c>
      <c r="M514" s="43">
        <f t="array" ref="M514">XLOOKUP($A514,'Recipients REF'!$A:$A,'Recipients REF'!G:G,"",0)</f>
        <v>5</v>
      </c>
      <c r="N514" s="43" t="str">
        <f t="array" ref="N514">XLOOKUP($A514,'Recipients REF'!$A:$A,'Recipients REF'!H:H,"",0)</f>
        <v>26244 &amp; 27833</v>
      </c>
      <c r="O514" s="44" t="s">
        <v>25</v>
      </c>
      <c r="P514" s="45" t="s">
        <v>26</v>
      </c>
      <c r="Q514" s="46" t="str">
        <f t="array" ref="Q514">XLOOKUP($A514,'Recipients REF'!$A:$A,'Recipients REF'!I:I,"",0)</f>
        <v>KMC5825 AJSFPV0445</v>
      </c>
      <c r="R514" s="53" t="str">
        <f t="array" ref="R514">XLOOKUP($A514,'Recipients REF'!$A:$A,'Recipients REF'!J:J,"",0)</f>
        <v>STS100390</v>
      </c>
      <c r="S514" s="45" t="s">
        <v>27</v>
      </c>
      <c r="T514" s="45" t="s">
        <v>28</v>
      </c>
      <c r="U514" s="46" t="str">
        <f t="array" ref="U514">XLOOKUP($A514,'Recipients REF'!$A:$A,'Recipients REF'!K:K,"",0)</f>
        <v>WR-SERIES 1447PH</v>
      </c>
      <c r="V514" s="44" t="s">
        <v>29</v>
      </c>
      <c r="W514" s="45" t="s">
        <v>30</v>
      </c>
      <c r="X514" s="53" t="str">
        <f t="array" ref="X514">XLOOKUP($A514,'Recipients REF'!$A:$A,'Recipients REF'!L:L,"",0)</f>
        <v>25100816</v>
      </c>
      <c r="Y514" s="48" t="s">
        <v>29</v>
      </c>
      <c r="Z514" s="48" t="s">
        <v>31</v>
      </c>
      <c r="AA514" s="54" t="str">
        <f t="array" ref="AA514">XLOOKUP($A514,'Recipients REF'!$A:$A,'Recipients REF'!M:M,"",0)</f>
        <v>25101161</v>
      </c>
      <c r="AB514" s="49"/>
      <c r="AC514" s="42"/>
      <c r="AD514" s="42"/>
      <c r="AE514" s="56">
        <v>8.69066063800693E14</v>
      </c>
      <c r="AF514" s="56" t="s">
        <v>1017</v>
      </c>
      <c r="AG514" s="42"/>
      <c r="AH514" s="42"/>
      <c r="AI514" s="42" t="str">
        <f t="array" ref="AI514">XLOOKUP($E514,Sheet11!$D:$D,Sheet11!$X:$X,"",0)</f>
        <v/>
      </c>
      <c r="AJ514" s="42" t="str">
        <f t="array" ref="AJ514">XLOOKUP($E514,Sheet11!$D:$D,Sheet11!$Y:$Y,"",0)</f>
        <v/>
      </c>
    </row>
    <row r="515">
      <c r="A515" s="41">
        <v>655.0</v>
      </c>
      <c r="B515" s="42" t="s">
        <v>1018</v>
      </c>
      <c r="C515" s="42" t="s">
        <v>1019</v>
      </c>
      <c r="D515" s="42"/>
      <c r="E515" s="42" t="str">
        <f t="shared" ref="E515:F515" si="516">PROPER(B515)</f>
        <v>San Isidro - Balbalungao Irrigators Association Inc.</v>
      </c>
      <c r="F515" s="42" t="str">
        <f t="shared" si="516"/>
        <v>Balbalungao, Lupao, Nueva Ecija</v>
      </c>
      <c r="G515" s="42" t="str">
        <f t="shared" si="3"/>
        <v>Balbalungao</v>
      </c>
      <c r="H515" s="42" t="str">
        <f t="shared" si="4"/>
        <v>Lupao</v>
      </c>
      <c r="I515" s="42" t="str">
        <f t="shared" si="5"/>
        <v>Nueva Ecija</v>
      </c>
      <c r="J515" s="42" t="str">
        <f t="array" ref="J515">XLOOKUP($E515,'Recipients REF'!$B:$B,'Recipients REF'!D:D,"",0)</f>
        <v>John R. Gonzales</v>
      </c>
      <c r="K515" s="42" t="str">
        <f t="array" ref="K515">XLOOKUP($E515,'Recipients REF'!$B:$B,'Recipients REF'!E:E,"",0)</f>
        <v>0950-605-6189</v>
      </c>
      <c r="L515" s="43" t="str">
        <f t="array" ref="L515">XLOOKUP($A515,'Recipients REF'!$A:$A,'Recipients REF'!F:F,"",0)</f>
        <v>RCEF 25-03-05</v>
      </c>
      <c r="M515" s="43">
        <f t="array" ref="M515">XLOOKUP($A515,'Recipients REF'!$A:$A,'Recipients REF'!G:G,"",0)</f>
        <v>5</v>
      </c>
      <c r="N515" s="43" t="str">
        <f t="array" ref="N515">XLOOKUP($A515,'Recipients REF'!$A:$A,'Recipients REF'!H:H,"",0)</f>
        <v>26245 &amp; 27834</v>
      </c>
      <c r="O515" s="44" t="s">
        <v>25</v>
      </c>
      <c r="P515" s="45" t="s">
        <v>26</v>
      </c>
      <c r="Q515" s="46" t="str">
        <f t="array" ref="Q515">XLOOKUP($A515,'Recipients REF'!$A:$A,'Recipients REF'!I:I,"",0)</f>
        <v>KMC5825 AKSFPV0444</v>
      </c>
      <c r="R515" s="53" t="str">
        <f t="array" ref="R515">XLOOKUP($A515,'Recipients REF'!$A:$A,'Recipients REF'!J:J,"",0)</f>
        <v>STS100401</v>
      </c>
      <c r="S515" s="45" t="s">
        <v>27</v>
      </c>
      <c r="T515" s="45" t="s">
        <v>28</v>
      </c>
      <c r="U515" s="46" t="str">
        <f t="array" ref="U515">XLOOKUP($A515,'Recipients REF'!$A:$A,'Recipients REF'!K:K,"",0)</f>
        <v>WR-SERIES 1448PH</v>
      </c>
      <c r="V515" s="44" t="s">
        <v>29</v>
      </c>
      <c r="W515" s="45" t="s">
        <v>30</v>
      </c>
      <c r="X515" s="53" t="str">
        <f t="array" ref="X515">XLOOKUP($A515,'Recipients REF'!$A:$A,'Recipients REF'!L:L,"",0)</f>
        <v>25100846</v>
      </c>
      <c r="Y515" s="48" t="s">
        <v>29</v>
      </c>
      <c r="Z515" s="48" t="s">
        <v>31</v>
      </c>
      <c r="AA515" s="54" t="str">
        <f t="array" ref="AA515">XLOOKUP($A515,'Recipients REF'!$A:$A,'Recipients REF'!M:M,"",0)</f>
        <v>25101203</v>
      </c>
      <c r="AB515" s="49"/>
      <c r="AC515" s="42"/>
      <c r="AD515" s="42"/>
      <c r="AE515" s="55" t="s">
        <v>1020</v>
      </c>
      <c r="AF515" s="56" t="s">
        <v>1021</v>
      </c>
      <c r="AG515" s="42"/>
      <c r="AH515" s="42"/>
      <c r="AI515" s="42" t="str">
        <f t="array" ref="AI515">XLOOKUP($E515,Sheet11!$D:$D,Sheet11!$X:$X,"",0)</f>
        <v/>
      </c>
      <c r="AJ515" s="42" t="str">
        <f t="array" ref="AJ515">XLOOKUP($E515,Sheet11!$D:$D,Sheet11!$Y:$Y,"",0)</f>
        <v/>
      </c>
    </row>
    <row r="516">
      <c r="A516" s="41">
        <v>656.0</v>
      </c>
      <c r="B516" s="42" t="s">
        <v>1022</v>
      </c>
      <c r="C516" s="42" t="s">
        <v>1023</v>
      </c>
      <c r="D516" s="42"/>
      <c r="E516" s="42" t="str">
        <f t="shared" ref="E516:F516" si="517">PROPER(B516)</f>
        <v>The Believers Farmers Association</v>
      </c>
      <c r="F516" s="42" t="str">
        <f t="shared" si="517"/>
        <v>Agupalo Este, Lupao, Nueva Ecija</v>
      </c>
      <c r="G516" s="42" t="str">
        <f t="shared" si="3"/>
        <v>Agupalo Este</v>
      </c>
      <c r="H516" s="42" t="str">
        <f t="shared" si="4"/>
        <v>Lupao</v>
      </c>
      <c r="I516" s="42" t="str">
        <f t="shared" si="5"/>
        <v>Nueva Ecija</v>
      </c>
      <c r="J516" s="42" t="str">
        <f t="array" ref="J516">XLOOKUP($E516,'Recipients REF'!$B:$B,'Recipients REF'!D:D,"",0)</f>
        <v>Eugenio Raganta</v>
      </c>
      <c r="K516" s="42" t="str">
        <f t="array" ref="K516">XLOOKUP($E516,'Recipients REF'!$B:$B,'Recipients REF'!E:E,"",0)</f>
        <v>0965-092-9340</v>
      </c>
      <c r="L516" s="43" t="str">
        <f t="array" ref="L516">XLOOKUP($A516,'Recipients REF'!$A:$A,'Recipients REF'!F:F,"",0)</f>
        <v>RCEF 25-03-05</v>
      </c>
      <c r="M516" s="43">
        <f t="array" ref="M516">XLOOKUP($A516,'Recipients REF'!$A:$A,'Recipients REF'!G:G,"",0)</f>
        <v>5</v>
      </c>
      <c r="N516" s="43" t="str">
        <f t="array" ref="N516">XLOOKUP($A516,'Recipients REF'!$A:$A,'Recipients REF'!H:H,"",0)</f>
        <v>26246 &amp; 27835</v>
      </c>
      <c r="O516" s="44" t="s">
        <v>25</v>
      </c>
      <c r="P516" s="45" t="s">
        <v>26</v>
      </c>
      <c r="Q516" s="46" t="str">
        <f t="array" ref="Q516">XLOOKUP($A516,'Recipients REF'!$A:$A,'Recipients REF'!I:I,"",0)</f>
        <v>KMC5825 ALSFPV0394</v>
      </c>
      <c r="R516" s="53" t="str">
        <f t="array" ref="R516">XLOOKUP($A516,'Recipients REF'!$A:$A,'Recipients REF'!J:J,"",0)</f>
        <v>STS100434</v>
      </c>
      <c r="S516" s="45" t="s">
        <v>27</v>
      </c>
      <c r="T516" s="45" t="s">
        <v>28</v>
      </c>
      <c r="U516" s="46" t="str">
        <f t="array" ref="U516">XLOOKUP($A516,'Recipients REF'!$A:$A,'Recipients REF'!K:K,"",0)</f>
        <v>WR-SERIES 1449PH</v>
      </c>
      <c r="V516" s="44" t="s">
        <v>29</v>
      </c>
      <c r="W516" s="45" t="s">
        <v>30</v>
      </c>
      <c r="X516" s="53" t="str">
        <f t="array" ref="X516">XLOOKUP($A516,'Recipients REF'!$A:$A,'Recipients REF'!L:L,"",0)</f>
        <v>25100801</v>
      </c>
      <c r="Y516" s="48" t="s">
        <v>29</v>
      </c>
      <c r="Z516" s="48" t="s">
        <v>31</v>
      </c>
      <c r="AA516" s="54" t="str">
        <f t="array" ref="AA516">XLOOKUP($A516,'Recipients REF'!$A:$A,'Recipients REF'!M:M,"",0)</f>
        <v>25101162</v>
      </c>
      <c r="AB516" s="49"/>
      <c r="AC516" s="42"/>
      <c r="AD516" s="42"/>
      <c r="AE516" s="51"/>
      <c r="AF516" s="52"/>
      <c r="AG516" s="42"/>
      <c r="AH516" s="42"/>
      <c r="AI516" s="42" t="str">
        <f t="array" ref="AI516">XLOOKUP($E516,Sheet11!$D:$D,Sheet11!$X:$X,"",0)</f>
        <v/>
      </c>
      <c r="AJ516" s="42" t="str">
        <f t="array" ref="AJ516">XLOOKUP($E516,Sheet11!$D:$D,Sheet11!$Y:$Y,"",0)</f>
        <v/>
      </c>
    </row>
    <row r="517">
      <c r="A517" s="41">
        <v>217.0</v>
      </c>
      <c r="B517" s="42" t="s">
        <v>1024</v>
      </c>
      <c r="C517" s="42" t="s">
        <v>1025</v>
      </c>
      <c r="D517" s="42"/>
      <c r="E517" s="42" t="str">
        <f t="shared" ref="E517:F517" si="518">PROPER(B517)</f>
        <v>Municipal Local Government Unit Of Nampicuan</v>
      </c>
      <c r="F517" s="42" t="str">
        <f t="shared" si="518"/>
        <v>North Poblacion, Nampicuan, Nueva Ecija</v>
      </c>
      <c r="G517" s="42" t="str">
        <f t="shared" si="3"/>
        <v>North Poblacion</v>
      </c>
      <c r="H517" s="42" t="str">
        <f t="shared" si="4"/>
        <v>Nampicuan</v>
      </c>
      <c r="I517" s="42" t="str">
        <f t="shared" si="5"/>
        <v>Nueva Ecija</v>
      </c>
      <c r="J517" s="42" t="str">
        <f t="array" ref="J517">XLOOKUP($E517,'Recipients REF'!$B:$B,'Recipients REF'!D:D,"",0)</f>
        <v>Hon. Victor M. Badar</v>
      </c>
      <c r="K517" s="42" t="str">
        <f t="array" ref="K517">XLOOKUP($E517,'Recipients REF'!$B:$B,'Recipients REF'!E:E,"",0)</f>
        <v>0919-792-2884</v>
      </c>
      <c r="L517" s="43" t="str">
        <f t="array" ref="L517">XLOOKUP($A517,'Recipients REF'!$A:$A,'Recipients REF'!F:F,"",0)</f>
        <v>RCEF 23-09-21 Rebidding</v>
      </c>
      <c r="M517" s="43">
        <f t="array" ref="M517">XLOOKUP($A517,'Recipients REF'!$A:$A,'Recipients REF'!G:G,"",0)</f>
        <v>3</v>
      </c>
      <c r="N517" s="43">
        <f t="array" ref="N517">XLOOKUP($A517,'Recipients REF'!$A:$A,'Recipients REF'!H:H,"",0)</f>
        <v>18769</v>
      </c>
      <c r="O517" s="44" t="s">
        <v>25</v>
      </c>
      <c r="P517" s="45" t="s">
        <v>26</v>
      </c>
      <c r="Q517" s="46" t="str">
        <f t="array" ref="Q517">XLOOKUP($A517,'Recipients REF'!$A:$A,'Recipients REF'!I:I,"",0)</f>
        <v>KMC5825 AHRFPV0477</v>
      </c>
      <c r="R517" s="47" t="str">
        <f t="array" ref="R517">XLOOKUP($A517,'Recipients REF'!$A:$A,'Recipients REF'!J:J,"",0)</f>
        <v>RTS 100392</v>
      </c>
      <c r="S517" s="45" t="s">
        <v>27</v>
      </c>
      <c r="T517" s="45" t="s">
        <v>28</v>
      </c>
      <c r="U517" s="46" t="str">
        <f t="array" ref="U517">XLOOKUP($A517,'Recipients REF'!$A:$A,'Recipients REF'!K:K,"",0)</f>
        <v>R-SERIES 394 PH</v>
      </c>
      <c r="V517" s="44" t="s">
        <v>29</v>
      </c>
      <c r="W517" s="45" t="s">
        <v>30</v>
      </c>
      <c r="X517" s="47" t="str">
        <f t="array" ref="X517">XLOOKUP($A517,'Recipients REF'!$A:$A,'Recipients REF'!L:L,"",0)</f>
        <v>LSGW1750 RMP 2312172</v>
      </c>
      <c r="Y517" s="48" t="s">
        <v>29</v>
      </c>
      <c r="Z517" s="48" t="s">
        <v>31</v>
      </c>
      <c r="AA517" s="46" t="str">
        <f t="array" ref="AA517">XLOOKUP($A517,'Recipients REF'!$A:$A,'Recipients REF'!M:M,"",0)</f>
        <v>WDP40 RMP 24020246</v>
      </c>
      <c r="AB517" s="49"/>
      <c r="AC517" s="42"/>
      <c r="AD517" s="42"/>
      <c r="AE517" s="51"/>
      <c r="AF517" s="42"/>
      <c r="AG517" s="42"/>
      <c r="AH517" s="42"/>
      <c r="AI517" s="42" t="str">
        <f t="array" ref="AI517">XLOOKUP($E517,Sheet11!$D:$D,Sheet11!$X:$X,"",0)</f>
        <v/>
      </c>
      <c r="AJ517" s="42" t="str">
        <f t="array" ref="AJ517">XLOOKUP($E517,Sheet11!$D:$D,Sheet11!$Y:$Y,"",0)</f>
        <v/>
      </c>
    </row>
    <row r="518">
      <c r="A518" s="41">
        <v>576.0</v>
      </c>
      <c r="B518" s="42" t="s">
        <v>1024</v>
      </c>
      <c r="C518" s="42" t="s">
        <v>1025</v>
      </c>
      <c r="D518" s="42"/>
      <c r="E518" s="42" t="str">
        <f t="shared" ref="E518:F518" si="519">PROPER(B518)</f>
        <v>Municipal Local Government Unit Of Nampicuan</v>
      </c>
      <c r="F518" s="42" t="str">
        <f t="shared" si="519"/>
        <v>North Poblacion, Nampicuan, Nueva Ecija</v>
      </c>
      <c r="G518" s="42" t="str">
        <f t="shared" si="3"/>
        <v>North Poblacion</v>
      </c>
      <c r="H518" s="42" t="str">
        <f t="shared" si="4"/>
        <v>Nampicuan</v>
      </c>
      <c r="I518" s="42" t="str">
        <f t="shared" si="5"/>
        <v>Nueva Ecija</v>
      </c>
      <c r="J518" s="42" t="str">
        <f t="array" ref="J518">XLOOKUP($E518,'Recipients REF'!$B:$B,'Recipients REF'!D:D,"",0)</f>
        <v>Hon. Victor M. Badar</v>
      </c>
      <c r="K518" s="42" t="str">
        <f t="array" ref="K518">XLOOKUP($E518,'Recipients REF'!$B:$B,'Recipients REF'!E:E,"",0)</f>
        <v>0919-792-2884</v>
      </c>
      <c r="L518" s="43" t="str">
        <f t="array" ref="L518">XLOOKUP($A518,'Recipients REF'!$A:$A,'Recipients REF'!F:F,"",0)</f>
        <v>RCEF 24-04-15</v>
      </c>
      <c r="M518" s="43">
        <f t="array" ref="M518">XLOOKUP($A518,'Recipients REF'!$A:$A,'Recipients REF'!G:G,"",0)</f>
        <v>6</v>
      </c>
      <c r="N518" s="43">
        <f t="array" ref="N518">XLOOKUP($A518,'Recipients REF'!$A:$A,'Recipients REF'!H:H,"",0)</f>
        <v>22329</v>
      </c>
      <c r="O518" s="44" t="s">
        <v>25</v>
      </c>
      <c r="P518" s="45" t="s">
        <v>26</v>
      </c>
      <c r="Q518" s="46" t="str">
        <f t="array" ref="Q518">XLOOKUP($A518,'Recipients REF'!$A:$A,'Recipients REF'!I:I,"",0)</f>
        <v>KMC5825ATRFPV0886</v>
      </c>
      <c r="R518" s="47" t="str">
        <f t="array" ref="R518">XLOOKUP($A518,'Recipients REF'!$A:$A,'Recipients REF'!J:J,"",0)</f>
        <v>RTS100800</v>
      </c>
      <c r="S518" s="45" t="s">
        <v>27</v>
      </c>
      <c r="T518" s="45" t="s">
        <v>28</v>
      </c>
      <c r="U518" s="46" t="str">
        <f t="array" ref="U518">XLOOKUP($A518,'Recipients REF'!$A:$A,'Recipients REF'!K:K,"",0)</f>
        <v>LSGW170-RMP-24101051</v>
      </c>
      <c r="V518" s="44" t="s">
        <v>29</v>
      </c>
      <c r="W518" s="45" t="s">
        <v>30</v>
      </c>
      <c r="X518" s="47" t="str">
        <f t="array" ref="X518">XLOOKUP($A518,'Recipients REF'!$A:$A,'Recipients REF'!L:L,"",0)</f>
        <v>WDP40-RMP-24111407</v>
      </c>
      <c r="Y518" s="48" t="s">
        <v>29</v>
      </c>
      <c r="Z518" s="48" t="s">
        <v>31</v>
      </c>
      <c r="AA518" s="46" t="str">
        <f t="array" ref="AA518">XLOOKUP($A518,'Recipients REF'!$A:$A,'Recipients REF'!M:M,"",0)</f>
        <v>WR-SERIES-1016PH</v>
      </c>
      <c r="AB518" s="49"/>
      <c r="AC518" s="42"/>
      <c r="AD518" s="42"/>
      <c r="AE518" s="51"/>
      <c r="AF518" s="42"/>
      <c r="AG518" s="42"/>
      <c r="AH518" s="42"/>
      <c r="AI518" s="42" t="str">
        <f t="array" ref="AI518">XLOOKUP($E518,Sheet11!$D:$D,Sheet11!$X:$X,"",0)</f>
        <v/>
      </c>
      <c r="AJ518" s="42" t="str">
        <f t="array" ref="AJ518">XLOOKUP($E518,Sheet11!$D:$D,Sheet11!$Y:$Y,"",0)</f>
        <v/>
      </c>
    </row>
    <row r="519">
      <c r="A519" s="41">
        <v>245.0</v>
      </c>
      <c r="B519" s="42" t="s">
        <v>1026</v>
      </c>
      <c r="C519" s="42" t="s">
        <v>1027</v>
      </c>
      <c r="D519" s="42"/>
      <c r="E519" s="42" t="str">
        <f t="shared" ref="E519:F519" si="520">PROPER(B519)</f>
        <v>Popolon Farmers Association, Palayan City</v>
      </c>
      <c r="F519" s="42" t="str">
        <f t="shared" si="520"/>
        <v>Popolon Pagas, Palayan City, Nueva Ecija</v>
      </c>
      <c r="G519" s="42" t="str">
        <f t="shared" si="3"/>
        <v>Popolon Pagas</v>
      </c>
      <c r="H519" s="42" t="str">
        <f t="shared" si="4"/>
        <v>Palayan City</v>
      </c>
      <c r="I519" s="42" t="str">
        <f t="shared" si="5"/>
        <v>Nueva Ecija</v>
      </c>
      <c r="J519" s="42" t="str">
        <f t="array" ref="J519">XLOOKUP($E519,'Recipients REF'!$B:$B,'Recipients REF'!D:D,"",0)</f>
        <v>Maria Theresa Bernabe</v>
      </c>
      <c r="K519" s="42" t="str">
        <f t="array" ref="K519">XLOOKUP($E519,'Recipients REF'!$B:$B,'Recipients REF'!E:E,"",0)</f>
        <v>0946-426-3647</v>
      </c>
      <c r="L519" s="43" t="str">
        <f t="array" ref="L519">XLOOKUP($A519,'Recipients REF'!$A:$A,'Recipients REF'!F:F,"",0)</f>
        <v>RCEF 23-09-21 Rebidding</v>
      </c>
      <c r="M519" s="43">
        <f t="array" ref="M519">XLOOKUP($A519,'Recipients REF'!$A:$A,'Recipients REF'!G:G,"",0)</f>
        <v>3</v>
      </c>
      <c r="N519" s="43">
        <f t="array" ref="N519">XLOOKUP($A519,'Recipients REF'!$A:$A,'Recipients REF'!H:H,"",0)</f>
        <v>18800</v>
      </c>
      <c r="O519" s="44" t="s">
        <v>25</v>
      </c>
      <c r="P519" s="45" t="s">
        <v>26</v>
      </c>
      <c r="Q519" s="46" t="str">
        <f t="array" ref="Q519">XLOOKUP($A519,'Recipients REF'!$A:$A,'Recipients REF'!I:I,"",0)</f>
        <v>KMC 5825 AIRFPVV0399</v>
      </c>
      <c r="R519" s="47" t="str">
        <f t="array" ref="R519">XLOOKUP($A519,'Recipients REF'!$A:$A,'Recipients REF'!J:J,"",0)</f>
        <v>RTS 100297</v>
      </c>
      <c r="S519" s="45" t="s">
        <v>27</v>
      </c>
      <c r="T519" s="45" t="s">
        <v>28</v>
      </c>
      <c r="U519" s="46" t="str">
        <f t="array" ref="U519">XLOOKUP($A519,'Recipients REF'!$A:$A,'Recipients REF'!K:K,"",0)</f>
        <v>R SERIES 020 PH</v>
      </c>
      <c r="V519" s="44" t="s">
        <v>29</v>
      </c>
      <c r="W519" s="45" t="s">
        <v>30</v>
      </c>
      <c r="X519" s="47" t="str">
        <f t="array" ref="X519">XLOOKUP($A519,'Recipients REF'!$A:$A,'Recipients REF'!L:L,"",0)</f>
        <v>LSGW1750 RMP 2312145</v>
      </c>
      <c r="Y519" s="48" t="s">
        <v>29</v>
      </c>
      <c r="Z519" s="48" t="s">
        <v>31</v>
      </c>
      <c r="AA519" s="46" t="str">
        <f t="array" ref="AA519">XLOOKUP($A519,'Recipients REF'!$A:$A,'Recipients REF'!M:M,"",0)</f>
        <v>WDP40 RMP 24020197</v>
      </c>
      <c r="AB519" s="49"/>
      <c r="AC519" s="42"/>
      <c r="AD519" s="42"/>
      <c r="AE519" s="51"/>
      <c r="AF519" s="42"/>
      <c r="AG519" s="42"/>
      <c r="AH519" s="42"/>
      <c r="AI519" s="42">
        <f t="array" ref="AI519">XLOOKUP($E519,Sheet11!$D:$D,Sheet11!$X:$X,"",0)</f>
        <v>869066060241503</v>
      </c>
      <c r="AJ519" s="42">
        <f t="array" ref="AJ519">XLOOKUP($E519,Sheet11!$D:$D,Sheet11!$Y:$Y,"",0)</f>
        <v>9624531335</v>
      </c>
    </row>
    <row r="520">
      <c r="A520" s="41">
        <v>481.0</v>
      </c>
      <c r="B520" s="42" t="s">
        <v>1028</v>
      </c>
      <c r="C520" s="42" t="s">
        <v>1029</v>
      </c>
      <c r="D520" s="42"/>
      <c r="E520" s="42" t="str">
        <f t="shared" ref="E520:F520" si="521">PROPER(B520)</f>
        <v>Provincial Local Government Unit Of Nueva Ecija</v>
      </c>
      <c r="F520" s="42" t="str">
        <f t="shared" si="521"/>
        <v>Singalat, Palayan City, Nueva Ecija</v>
      </c>
      <c r="G520" s="42" t="str">
        <f t="shared" si="3"/>
        <v>Singalat</v>
      </c>
      <c r="H520" s="42" t="str">
        <f t="shared" si="4"/>
        <v>Palayan City</v>
      </c>
      <c r="I520" s="42" t="str">
        <f t="shared" si="5"/>
        <v>Nueva Ecija</v>
      </c>
      <c r="J520" s="42" t="str">
        <f t="array" ref="J520">XLOOKUP($E520,'Recipients REF'!$B:$B,'Recipients REF'!D:D,"",0)</f>
        <v>Hon. Aurelio M. Umali</v>
      </c>
      <c r="K520" s="42" t="str">
        <f t="array" ref="K520">XLOOKUP($E520,'Recipients REF'!$B:$B,'Recipients REF'!E:E,"",0)</f>
        <v>63 917 826 4814</v>
      </c>
      <c r="L520" s="43" t="str">
        <f t="array" ref="L520">XLOOKUP($A520,'Recipients REF'!$A:$A,'Recipients REF'!F:F,"",0)</f>
        <v>RCEF 23-09-21 Rebidding</v>
      </c>
      <c r="M520" s="43">
        <f t="array" ref="M520">XLOOKUP($A520,'Recipients REF'!$A:$A,'Recipients REF'!G:G,"",0)</f>
        <v>3</v>
      </c>
      <c r="N520" s="43" t="str">
        <f t="array" ref="N520">XLOOKUP($A520,'Recipients REF'!$A:$A,'Recipients REF'!H:H,"",0)</f>
        <v/>
      </c>
      <c r="O520" s="44" t="s">
        <v>25</v>
      </c>
      <c r="P520" s="45" t="s">
        <v>26</v>
      </c>
      <c r="Q520" s="46" t="str">
        <f t="array" ref="Q520">XLOOKUP($A520,'Recipients REF'!$A:$A,'Recipients REF'!I:I,"",0)</f>
        <v>KMC 5825 ACRFPV0201</v>
      </c>
      <c r="R520" s="47" t="str">
        <f t="array" ref="R520">XLOOKUP($A520,'Recipients REF'!$A:$A,'Recipients REF'!J:J,"",0)</f>
        <v>RTS 100068</v>
      </c>
      <c r="S520" s="45" t="s">
        <v>27</v>
      </c>
      <c r="T520" s="45" t="s">
        <v>28</v>
      </c>
      <c r="U520" s="46" t="str">
        <f t="array" ref="U520">XLOOKUP($A520,'Recipients REF'!$A:$A,'Recipients REF'!K:K,"",0)</f>
        <v>R SERIES 391 PH</v>
      </c>
      <c r="V520" s="44" t="s">
        <v>29</v>
      </c>
      <c r="W520" s="45" t="s">
        <v>30</v>
      </c>
      <c r="X520" s="47" t="str">
        <f t="array" ref="X520">XLOOKUP($A520,'Recipients REF'!$A:$A,'Recipients REF'!L:L,"",0)</f>
        <v>LSGW1750 RMP 2312142</v>
      </c>
      <c r="Y520" s="48" t="s">
        <v>29</v>
      </c>
      <c r="Z520" s="48" t="s">
        <v>31</v>
      </c>
      <c r="AA520" s="46" t="str">
        <f t="array" ref="AA520">XLOOKUP($A520,'Recipients REF'!$A:$A,'Recipients REF'!M:M,"",0)</f>
        <v>WDP40 RMP 24020215</v>
      </c>
      <c r="AB520" s="49"/>
      <c r="AC520" s="42"/>
      <c r="AD520" s="42"/>
      <c r="AE520" s="50"/>
      <c r="AF520" s="42"/>
      <c r="AG520" s="42"/>
      <c r="AH520" s="42"/>
      <c r="AI520" s="42" t="str">
        <f t="array" ref="AI520">XLOOKUP($E520,Sheet11!$D:$D,Sheet11!$X:$X,"",0)</f>
        <v/>
      </c>
      <c r="AJ520" s="42" t="str">
        <f t="array" ref="AJ520">XLOOKUP($E520,Sheet11!$D:$D,Sheet11!$Y:$Y,"",0)</f>
        <v/>
      </c>
    </row>
    <row r="521">
      <c r="A521" s="41">
        <v>482.0</v>
      </c>
      <c r="B521" s="42" t="s">
        <v>1028</v>
      </c>
      <c r="C521" s="42" t="s">
        <v>1029</v>
      </c>
      <c r="D521" s="42"/>
      <c r="E521" s="42" t="str">
        <f t="shared" ref="E521:F521" si="522">PROPER(B521)</f>
        <v>Provincial Local Government Unit Of Nueva Ecija</v>
      </c>
      <c r="F521" s="42" t="str">
        <f t="shared" si="522"/>
        <v>Singalat, Palayan City, Nueva Ecija</v>
      </c>
      <c r="G521" s="42" t="str">
        <f t="shared" si="3"/>
        <v>Singalat</v>
      </c>
      <c r="H521" s="42" t="str">
        <f t="shared" si="4"/>
        <v>Palayan City</v>
      </c>
      <c r="I521" s="42" t="str">
        <f t="shared" si="5"/>
        <v>Nueva Ecija</v>
      </c>
      <c r="J521" s="42" t="str">
        <f t="array" ref="J521">XLOOKUP($E521,'Recipients REF'!$B:$B,'Recipients REF'!D:D,"",0)</f>
        <v>Hon. Aurelio M. Umali</v>
      </c>
      <c r="K521" s="42" t="str">
        <f t="array" ref="K521">XLOOKUP($E521,'Recipients REF'!$B:$B,'Recipients REF'!E:E,"",0)</f>
        <v>63 917 826 4814</v>
      </c>
      <c r="L521" s="43" t="str">
        <f t="array" ref="L521">XLOOKUP($A521,'Recipients REF'!$A:$A,'Recipients REF'!F:F,"",0)</f>
        <v>RCEF 23-09-21 Rebidding</v>
      </c>
      <c r="M521" s="43">
        <f t="array" ref="M521">XLOOKUP($A521,'Recipients REF'!$A:$A,'Recipients REF'!G:G,"",0)</f>
        <v>3</v>
      </c>
      <c r="N521" s="43" t="str">
        <f t="array" ref="N521">XLOOKUP($A521,'Recipients REF'!$A:$A,'Recipients REF'!H:H,"",0)</f>
        <v/>
      </c>
      <c r="O521" s="44" t="s">
        <v>25</v>
      </c>
      <c r="P521" s="45" t="s">
        <v>26</v>
      </c>
      <c r="Q521" s="46" t="str">
        <f t="array" ref="Q521">XLOOKUP($A521,'Recipients REF'!$A:$A,'Recipients REF'!I:I,"",0)</f>
        <v>KMC 5825</v>
      </c>
      <c r="R521" s="47" t="str">
        <f t="array" ref="R521">XLOOKUP($A521,'Recipients REF'!$A:$A,'Recipients REF'!J:J,"",0)</f>
        <v>RTS</v>
      </c>
      <c r="S521" s="45" t="s">
        <v>27</v>
      </c>
      <c r="T521" s="45" t="s">
        <v>28</v>
      </c>
      <c r="U521" s="46" t="str">
        <f t="array" ref="U521">XLOOKUP($A521,'Recipients REF'!$A:$A,'Recipients REF'!K:K,"",0)</f>
        <v>R SERIES</v>
      </c>
      <c r="V521" s="44" t="s">
        <v>29</v>
      </c>
      <c r="W521" s="45" t="s">
        <v>30</v>
      </c>
      <c r="X521" s="47" t="str">
        <f t="array" ref="X521">XLOOKUP($A521,'Recipients REF'!$A:$A,'Recipients REF'!L:L,"",0)</f>
        <v>LSGW1750 RMP</v>
      </c>
      <c r="Y521" s="48" t="s">
        <v>29</v>
      </c>
      <c r="Z521" s="48" t="s">
        <v>31</v>
      </c>
      <c r="AA521" s="46" t="str">
        <f t="array" ref="AA521">XLOOKUP($A521,'Recipients REF'!$A:$A,'Recipients REF'!M:M,"",0)</f>
        <v>WDP40 RMP</v>
      </c>
      <c r="AB521" s="49"/>
      <c r="AC521" s="42"/>
      <c r="AD521" s="42"/>
      <c r="AE521" s="51"/>
      <c r="AF521" s="52"/>
      <c r="AG521" s="42"/>
      <c r="AH521" s="42"/>
      <c r="AI521" s="42" t="str">
        <f t="array" ref="AI521">XLOOKUP($E521,Sheet11!$D:$D,Sheet11!$X:$X,"",0)</f>
        <v/>
      </c>
      <c r="AJ521" s="42" t="str">
        <f t="array" ref="AJ521">XLOOKUP($E521,Sheet11!$D:$D,Sheet11!$Y:$Y,"",0)</f>
        <v/>
      </c>
    </row>
    <row r="522">
      <c r="A522" s="41">
        <v>228.0</v>
      </c>
      <c r="B522" s="42" t="s">
        <v>1030</v>
      </c>
      <c r="C522" s="42" t="s">
        <v>1031</v>
      </c>
      <c r="D522" s="42"/>
      <c r="E522" s="42" t="str">
        <f t="shared" ref="E522:F522" si="523">PROPER(B522)</f>
        <v>Dilakay Irrigators Association Inc.</v>
      </c>
      <c r="F522" s="42" t="str">
        <f t="shared" si="523"/>
        <v>Cadaclan, Pantabangan, Nueva Ecija</v>
      </c>
      <c r="G522" s="42" t="str">
        <f t="shared" si="3"/>
        <v>Cadaclan</v>
      </c>
      <c r="H522" s="42" t="str">
        <f t="shared" si="4"/>
        <v>Pantabangan</v>
      </c>
      <c r="I522" s="42" t="str">
        <f t="shared" si="5"/>
        <v>Nueva Ecija</v>
      </c>
      <c r="J522" s="42" t="str">
        <f t="array" ref="J522">XLOOKUP($E522,'Recipients REF'!$B:$B,'Recipients REF'!D:D,"",0)</f>
        <v>Dante DM. Ormilon</v>
      </c>
      <c r="K522" s="42" t="str">
        <f t="array" ref="K522">XLOOKUP($E522,'Recipients REF'!$B:$B,'Recipients REF'!E:E,"",0)</f>
        <v>0997-733-1755</v>
      </c>
      <c r="L522" s="43" t="str">
        <f t="array" ref="L522">XLOOKUP($A522,'Recipients REF'!$A:$A,'Recipients REF'!F:F,"",0)</f>
        <v>RCEF 23-09-21 Rebidding</v>
      </c>
      <c r="M522" s="43">
        <f t="array" ref="M522">XLOOKUP($A522,'Recipients REF'!$A:$A,'Recipients REF'!G:G,"",0)</f>
        <v>3</v>
      </c>
      <c r="N522" s="43">
        <f t="array" ref="N522">XLOOKUP($A522,'Recipients REF'!$A:$A,'Recipients REF'!H:H,"",0)</f>
        <v>18781</v>
      </c>
      <c r="O522" s="44" t="s">
        <v>25</v>
      </c>
      <c r="P522" s="45" t="s">
        <v>26</v>
      </c>
      <c r="Q522" s="46" t="str">
        <f t="array" ref="Q522">XLOOKUP($A522,'Recipients REF'!$A:$A,'Recipients REF'!I:I,"",0)</f>
        <v>KMC 5825 ALRFPV0171</v>
      </c>
      <c r="R522" s="47" t="str">
        <f t="array" ref="R522">XLOOKUP($A522,'Recipients REF'!$A:$A,'Recipients REF'!J:J,"",0)</f>
        <v>RTS 100016</v>
      </c>
      <c r="S522" s="45" t="s">
        <v>27</v>
      </c>
      <c r="T522" s="45" t="s">
        <v>28</v>
      </c>
      <c r="U522" s="46" t="str">
        <f t="array" ref="U522">XLOOKUP($A522,'Recipients REF'!$A:$A,'Recipients REF'!K:K,"",0)</f>
        <v>R SERIES 026</v>
      </c>
      <c r="V522" s="44" t="s">
        <v>29</v>
      </c>
      <c r="W522" s="45" t="s">
        <v>30</v>
      </c>
      <c r="X522" s="47" t="str">
        <f t="array" ref="X522">XLOOKUP($A522,'Recipients REF'!$A:$A,'Recipients REF'!L:L,"",0)</f>
        <v>LSGW1750 RMP 24020490</v>
      </c>
      <c r="Y522" s="48" t="s">
        <v>29</v>
      </c>
      <c r="Z522" s="48" t="s">
        <v>31</v>
      </c>
      <c r="AA522" s="46" t="str">
        <f t="array" ref="AA522">XLOOKUP($A522,'Recipients REF'!$A:$A,'Recipients REF'!M:M,"",0)</f>
        <v>WDP40 RMP 24020251</v>
      </c>
      <c r="AB522" s="49"/>
      <c r="AC522" s="42"/>
      <c r="AD522" s="42"/>
      <c r="AE522" s="50"/>
      <c r="AF522" s="42"/>
      <c r="AG522" s="42"/>
      <c r="AH522" s="42"/>
      <c r="AI522" s="42">
        <f t="array" ref="AI522">XLOOKUP($E522,Sheet11!$D:$D,Sheet11!$X:$X,"",0)</f>
        <v>689066060241081</v>
      </c>
      <c r="AJ522" s="42">
        <f t="array" ref="AJ522">XLOOKUP($E522,Sheet11!$D:$D,Sheet11!$Y:$Y,"",0)</f>
        <v>9626441880</v>
      </c>
    </row>
    <row r="523">
      <c r="A523" s="41">
        <v>229.0</v>
      </c>
      <c r="B523" s="42" t="s">
        <v>1032</v>
      </c>
      <c r="C523" s="42" t="s">
        <v>1033</v>
      </c>
      <c r="D523" s="42"/>
      <c r="E523" s="42" t="str">
        <f t="shared" ref="E523:F523" si="524">PROPER(B523)</f>
        <v>Saranay Ganduz Farmers Association</v>
      </c>
      <c r="F523" s="42" t="str">
        <f t="shared" si="524"/>
        <v>Ganduz, Pantabangan, Nueva Ecija</v>
      </c>
      <c r="G523" s="42" t="str">
        <f t="shared" si="3"/>
        <v>Ganduz</v>
      </c>
      <c r="H523" s="42" t="str">
        <f t="shared" si="4"/>
        <v>Pantabangan</v>
      </c>
      <c r="I523" s="42" t="str">
        <f t="shared" si="5"/>
        <v>Nueva Ecija</v>
      </c>
      <c r="J523" s="42" t="str">
        <f t="array" ref="J523">XLOOKUP($E523,'Recipients REF'!$B:$B,'Recipients REF'!D:D,"",0)</f>
        <v>Francisco N. Tangca, Sr.</v>
      </c>
      <c r="K523" s="42" t="str">
        <f t="array" ref="K523">XLOOKUP($E523,'Recipients REF'!$B:$B,'Recipients REF'!E:E,"",0)</f>
        <v>0927-551-8449</v>
      </c>
      <c r="L523" s="43" t="str">
        <f t="array" ref="L523">XLOOKUP($A523,'Recipients REF'!$A:$A,'Recipients REF'!F:F,"",0)</f>
        <v>RCEF 23-09-21 Rebidding</v>
      </c>
      <c r="M523" s="43">
        <f t="array" ref="M523">XLOOKUP($A523,'Recipients REF'!$A:$A,'Recipients REF'!G:G,"",0)</f>
        <v>3</v>
      </c>
      <c r="N523" s="43">
        <f t="array" ref="N523">XLOOKUP($A523,'Recipients REF'!$A:$A,'Recipients REF'!H:H,"",0)</f>
        <v>18782</v>
      </c>
      <c r="O523" s="44" t="s">
        <v>25</v>
      </c>
      <c r="P523" s="45" t="s">
        <v>26</v>
      </c>
      <c r="Q523" s="46" t="str">
        <f t="array" ref="Q523">XLOOKUP($A523,'Recipients REF'!$A:$A,'Recipients REF'!I:I,"",0)</f>
        <v>KMC 5825 APRFPV0260</v>
      </c>
      <c r="R523" s="47" t="str">
        <f t="array" ref="R523">XLOOKUP($A523,'Recipients REF'!$A:$A,'Recipients REF'!J:J,"",0)</f>
        <v>RTS 10004</v>
      </c>
      <c r="S523" s="45" t="s">
        <v>27</v>
      </c>
      <c r="T523" s="45" t="s">
        <v>28</v>
      </c>
      <c r="U523" s="46" t="str">
        <f t="array" ref="U523">XLOOKUP($A523,'Recipients REF'!$A:$A,'Recipients REF'!K:K,"",0)</f>
        <v>R SERIES 292 PH</v>
      </c>
      <c r="V523" s="44" t="s">
        <v>29</v>
      </c>
      <c r="W523" s="45" t="s">
        <v>30</v>
      </c>
      <c r="X523" s="47" t="str">
        <f t="array" ref="X523">XLOOKUP($A523,'Recipients REF'!$A:$A,'Recipients REF'!L:L,"",0)</f>
        <v>LSGW1750 RMP 24020480</v>
      </c>
      <c r="Y523" s="48" t="s">
        <v>29</v>
      </c>
      <c r="Z523" s="48" t="s">
        <v>31</v>
      </c>
      <c r="AA523" s="46" t="str">
        <f t="array" ref="AA523">XLOOKUP($A523,'Recipients REF'!$A:$A,'Recipients REF'!M:M,"",0)</f>
        <v>WDP40 RMP24020231</v>
      </c>
      <c r="AB523" s="49"/>
      <c r="AC523" s="42"/>
      <c r="AD523" s="42"/>
      <c r="AE523" s="51"/>
      <c r="AF523" s="42"/>
      <c r="AG523" s="42"/>
      <c r="AH523" s="42"/>
      <c r="AI523" s="42">
        <f t="array" ref="AI523">XLOOKUP($E523,Sheet11!$D:$D,Sheet11!$X:$X,"",0)</f>
        <v>869066060241156</v>
      </c>
      <c r="AJ523" s="42" t="str">
        <f t="array" ref="AJ523">XLOOKUP($E523,Sheet11!$D:$D,Sheet11!$Y:$Y,"",0)</f>
        <v/>
      </c>
    </row>
    <row r="524">
      <c r="A524" s="41">
        <v>246.0</v>
      </c>
      <c r="B524" s="42" t="s">
        <v>1034</v>
      </c>
      <c r="C524" s="42" t="s">
        <v>1035</v>
      </c>
      <c r="D524" s="42"/>
      <c r="E524" s="42" t="str">
        <f t="shared" ref="E524:F524" si="525">PROPER(B524)</f>
        <v>Binhing Butil Agricultural Maker Association (Bbama)</v>
      </c>
      <c r="F524" s="42" t="str">
        <f t="shared" si="525"/>
        <v>, Penaranda, Nueva Ecija</v>
      </c>
      <c r="G524" s="42" t="str">
        <f t="shared" si="3"/>
        <v/>
      </c>
      <c r="H524" s="42" t="str">
        <f t="shared" si="4"/>
        <v>Penaranda</v>
      </c>
      <c r="I524" s="42" t="str">
        <f t="shared" si="5"/>
        <v>Nueva Ecija</v>
      </c>
      <c r="J524" s="42" t="str">
        <f t="array" ref="J524">XLOOKUP($E524,'Recipients REF'!$B:$B,'Recipients REF'!D:D,"",0)</f>
        <v>ROGELIO RAMOS</v>
      </c>
      <c r="K524" s="42">
        <f t="array" ref="K524">XLOOKUP($E524,'Recipients REF'!$B:$B,'Recipients REF'!E:E,"",0)</f>
        <v>9614554945</v>
      </c>
      <c r="L524" s="43" t="str">
        <f t="array" ref="L524">XLOOKUP($A524,'Recipients REF'!$A:$A,'Recipients REF'!F:F,"",0)</f>
        <v>RCEF 23-09-21 Rebidding</v>
      </c>
      <c r="M524" s="43">
        <f t="array" ref="M524">XLOOKUP($A524,'Recipients REF'!$A:$A,'Recipients REF'!G:G,"",0)</f>
        <v>3</v>
      </c>
      <c r="N524" s="43">
        <f t="array" ref="N524">XLOOKUP($A524,'Recipients REF'!$A:$A,'Recipients REF'!H:H,"",0)</f>
        <v>18803</v>
      </c>
      <c r="O524" s="44" t="s">
        <v>25</v>
      </c>
      <c r="P524" s="45" t="s">
        <v>26</v>
      </c>
      <c r="Q524" s="46" t="str">
        <f t="array" ref="Q524">XLOOKUP($A524,'Recipients REF'!$A:$A,'Recipients REF'!I:I,"",0)</f>
        <v>KMC 5825</v>
      </c>
      <c r="R524" s="47" t="str">
        <f t="array" ref="R524">XLOOKUP($A524,'Recipients REF'!$A:$A,'Recipients REF'!J:J,"",0)</f>
        <v>RTS 100226</v>
      </c>
      <c r="S524" s="45" t="s">
        <v>27</v>
      </c>
      <c r="T524" s="45" t="s">
        <v>28</v>
      </c>
      <c r="U524" s="46" t="str">
        <f t="array" ref="U524">XLOOKUP($A524,'Recipients REF'!$A:$A,'Recipients REF'!K:K,"",0)</f>
        <v>R SERIES 040 PH</v>
      </c>
      <c r="V524" s="44" t="s">
        <v>29</v>
      </c>
      <c r="W524" s="45" t="s">
        <v>30</v>
      </c>
      <c r="X524" s="47" t="str">
        <f t="array" ref="X524">XLOOKUP($A524,'Recipients REF'!$A:$A,'Recipients REF'!L:L,"",0)</f>
        <v>LSGW1750 RMP 2312151</v>
      </c>
      <c r="Y524" s="48" t="s">
        <v>29</v>
      </c>
      <c r="Z524" s="48" t="s">
        <v>31</v>
      </c>
      <c r="AA524" s="46" t="str">
        <f t="array" ref="AA524">XLOOKUP($A524,'Recipients REF'!$A:$A,'Recipients REF'!M:M,"",0)</f>
        <v>WDP40 RMP 24020236</v>
      </c>
      <c r="AB524" s="49"/>
      <c r="AC524" s="42"/>
      <c r="AD524" s="42"/>
      <c r="AE524" s="51"/>
      <c r="AF524" s="42"/>
      <c r="AG524" s="42"/>
      <c r="AH524" s="42"/>
      <c r="AI524" s="42">
        <f t="array" ref="AI524">XLOOKUP($E524,Sheet11!$D:$D,Sheet11!$X:$X,"",0)</f>
        <v>869066060237972</v>
      </c>
      <c r="AJ524" s="42">
        <f t="array" ref="AJ524">XLOOKUP($E524,Sheet11!$D:$D,Sheet11!$Y:$Y,"",0)</f>
        <v>9624247764</v>
      </c>
    </row>
    <row r="525">
      <c r="A525" s="41">
        <v>476.0</v>
      </c>
      <c r="B525" s="42" t="s">
        <v>1036</v>
      </c>
      <c r="C525" s="42" t="s">
        <v>1035</v>
      </c>
      <c r="D525" s="42"/>
      <c r="E525" s="42" t="str">
        <f t="shared" ref="E525:F525" si="526">PROPER(B525)</f>
        <v>Munting Nayon Agricultural Producers Association (Mnapa))</v>
      </c>
      <c r="F525" s="42" t="str">
        <f t="shared" si="526"/>
        <v>, Penaranda, Nueva Ecija</v>
      </c>
      <c r="G525" s="42" t="str">
        <f t="shared" si="3"/>
        <v/>
      </c>
      <c r="H525" s="42" t="str">
        <f t="shared" si="4"/>
        <v>Penaranda</v>
      </c>
      <c r="I525" s="42" t="str">
        <f t="shared" si="5"/>
        <v>Nueva Ecija</v>
      </c>
      <c r="J525" s="42" t="str">
        <f t="array" ref="J525">XLOOKUP($E525,'Recipients REF'!$B:$B,'Recipients REF'!D:D,"",0)</f>
        <v>Reymond Leabres</v>
      </c>
      <c r="K525" s="42">
        <f t="array" ref="K525">XLOOKUP($E525,'Recipients REF'!$B:$B,'Recipients REF'!E:E,"",0)</f>
        <v>639229299627</v>
      </c>
      <c r="L525" s="43" t="str">
        <f t="array" ref="L525">XLOOKUP($A525,'Recipients REF'!$A:$A,'Recipients REF'!F:F,"",0)</f>
        <v>RCEF 23-09-21 Rebidding</v>
      </c>
      <c r="M525" s="43">
        <f t="array" ref="M525">XLOOKUP($A525,'Recipients REF'!$A:$A,'Recipients REF'!G:G,"",0)</f>
        <v>3</v>
      </c>
      <c r="N525" s="43">
        <f t="array" ref="N525">XLOOKUP($A525,'Recipients REF'!$A:$A,'Recipients REF'!H:H,"",0)</f>
        <v>19558</v>
      </c>
      <c r="O525" s="44" t="s">
        <v>25</v>
      </c>
      <c r="P525" s="45" t="s">
        <v>26</v>
      </c>
      <c r="Q525" s="46" t="str">
        <f t="array" ref="Q525">XLOOKUP($A525,'Recipients REF'!$A:$A,'Recipients REF'!I:I,"",0)</f>
        <v>KMC 5825 AJRFPV0357</v>
      </c>
      <c r="R525" s="47" t="str">
        <f t="array" ref="R525">XLOOKUP($A525,'Recipients REF'!$A:$A,'Recipients REF'!J:J,"",0)</f>
        <v>RTS 100254</v>
      </c>
      <c r="S525" s="45" t="s">
        <v>27</v>
      </c>
      <c r="T525" s="45" t="s">
        <v>28</v>
      </c>
      <c r="U525" s="46" t="str">
        <f t="array" ref="U525">XLOOKUP($A525,'Recipients REF'!$A:$A,'Recipients REF'!K:K,"",0)</f>
        <v>R SERIES 133 PH</v>
      </c>
      <c r="V525" s="44" t="s">
        <v>29</v>
      </c>
      <c r="W525" s="45" t="s">
        <v>30</v>
      </c>
      <c r="X525" s="47" t="str">
        <f t="array" ref="X525">XLOOKUP($A525,'Recipients REF'!$A:$A,'Recipients REF'!L:L,"",0)</f>
        <v>LSGW1750 RMP 24020495</v>
      </c>
      <c r="Y525" s="48" t="s">
        <v>29</v>
      </c>
      <c r="Z525" s="48" t="s">
        <v>31</v>
      </c>
      <c r="AA525" s="46" t="str">
        <f t="array" ref="AA525">XLOOKUP($A525,'Recipients REF'!$A:$A,'Recipients REF'!M:M,"",0)</f>
        <v>WDP40 RMP 24020226</v>
      </c>
      <c r="AB525" s="49"/>
      <c r="AC525" s="42"/>
      <c r="AD525" s="42"/>
      <c r="AE525" s="50"/>
      <c r="AF525" s="42"/>
      <c r="AG525" s="42"/>
      <c r="AH525" s="42"/>
      <c r="AI525" s="42" t="str">
        <f t="array" ref="AI525">XLOOKUP($E525,Sheet11!$D:$D,Sheet11!$X:$X,"",0)</f>
        <v/>
      </c>
      <c r="AJ525" s="42" t="str">
        <f t="array" ref="AJ525">XLOOKUP($E525,Sheet11!$D:$D,Sheet11!$Y:$Y,"",0)</f>
        <v/>
      </c>
    </row>
    <row r="526">
      <c r="A526" s="41">
        <v>676.0</v>
      </c>
      <c r="B526" s="42" t="s">
        <v>1037</v>
      </c>
      <c r="C526" s="42" t="s">
        <v>1038</v>
      </c>
      <c r="D526" s="42"/>
      <c r="E526" s="42" t="str">
        <f t="shared" ref="E526:F526" si="527">PROPER(B526)</f>
        <v>Peñaranda Organic Agriculture Farmers Association</v>
      </c>
      <c r="F526" s="42" t="str">
        <f t="shared" si="527"/>
        <v>San Josef, Penaranda, Nueva Ecija</v>
      </c>
      <c r="G526" s="42" t="str">
        <f t="shared" si="3"/>
        <v>San Josef</v>
      </c>
      <c r="H526" s="42" t="str">
        <f t="shared" si="4"/>
        <v>Penaranda</v>
      </c>
      <c r="I526" s="42" t="str">
        <f t="shared" si="5"/>
        <v>Nueva Ecija</v>
      </c>
      <c r="J526" s="42" t="str">
        <f t="array" ref="J526">XLOOKUP($E526,'Recipients REF'!$B:$B,'Recipients REF'!D:D,"",0)</f>
        <v>Isidro L. Ison</v>
      </c>
      <c r="K526" s="42" t="str">
        <f t="array" ref="K526">XLOOKUP($E526,'Recipients REF'!$B:$B,'Recipients REF'!E:E,"",0)</f>
        <v>0969-261-7926</v>
      </c>
      <c r="L526" s="43" t="str">
        <f t="array" ref="L526">XLOOKUP($A526,'Recipients REF'!$A:$A,'Recipients REF'!F:F,"",0)</f>
        <v>RCEF 25-03-05</v>
      </c>
      <c r="M526" s="43">
        <f t="array" ref="M526">XLOOKUP($A526,'Recipients REF'!$A:$A,'Recipients REF'!G:G,"",0)</f>
        <v>5</v>
      </c>
      <c r="N526" s="43" t="str">
        <f t="array" ref="N526">XLOOKUP($A526,'Recipients REF'!$A:$A,'Recipients REF'!H:H,"",0)</f>
        <v>26493 &amp; 27848</v>
      </c>
      <c r="O526" s="44" t="s">
        <v>25</v>
      </c>
      <c r="P526" s="45" t="s">
        <v>26</v>
      </c>
      <c r="Q526" s="46" t="str">
        <f t="array" ref="Q526">XLOOKUP($A526,'Recipients REF'!$A:$A,'Recipients REF'!I:I,"",0)</f>
        <v>KMC5825 AKSFPV0640</v>
      </c>
      <c r="R526" s="53" t="str">
        <f t="array" ref="R526">XLOOKUP($A526,'Recipients REF'!$A:$A,'Recipients REF'!J:J,"",0)</f>
        <v>STS100324</v>
      </c>
      <c r="S526" s="45" t="s">
        <v>27</v>
      </c>
      <c r="T526" s="45" t="s">
        <v>28</v>
      </c>
      <c r="U526" s="46" t="str">
        <f t="array" ref="U526">XLOOKUP($A526,'Recipients REF'!$A:$A,'Recipients REF'!K:K,"",0)</f>
        <v>WR-SERIES 1462PH</v>
      </c>
      <c r="V526" s="44" t="s">
        <v>29</v>
      </c>
      <c r="W526" s="45" t="s">
        <v>30</v>
      </c>
      <c r="X526" s="53" t="str">
        <f t="array" ref="X526">XLOOKUP($A526,'Recipients REF'!$A:$A,'Recipients REF'!L:L,"",0)</f>
        <v>25100805</v>
      </c>
      <c r="Y526" s="48" t="s">
        <v>29</v>
      </c>
      <c r="Z526" s="48" t="s">
        <v>31</v>
      </c>
      <c r="AA526" s="54" t="str">
        <f t="array" ref="AA526">XLOOKUP($A526,'Recipients REF'!$A:$A,'Recipients REF'!M:M,"",0)</f>
        <v>25101168</v>
      </c>
      <c r="AB526" s="49"/>
      <c r="AC526" s="42"/>
      <c r="AD526" s="42"/>
      <c r="AE526" s="50"/>
      <c r="AF526" s="42"/>
      <c r="AG526" s="42"/>
      <c r="AH526" s="42"/>
      <c r="AI526" s="42" t="str">
        <f t="array" ref="AI526">XLOOKUP($E526,Sheet11!$D:$D,Sheet11!$X:$X,"",0)</f>
        <v/>
      </c>
      <c r="AJ526" s="42" t="str">
        <f t="array" ref="AJ526">XLOOKUP($E526,Sheet11!$D:$D,Sheet11!$Y:$Y,"",0)</f>
        <v/>
      </c>
    </row>
    <row r="527">
      <c r="A527" s="41">
        <v>677.0</v>
      </c>
      <c r="B527" s="42" t="s">
        <v>1039</v>
      </c>
      <c r="C527" s="42" t="s">
        <v>1040</v>
      </c>
      <c r="D527" s="42"/>
      <c r="E527" s="42" t="str">
        <f t="shared" ref="E527:F527" si="528">PROPER(B527)</f>
        <v>United Livestock Workers And Agricultural Producers' Association Of Peñaranda (Ulwapap)</v>
      </c>
      <c r="F527" s="42" t="str">
        <f t="shared" si="528"/>
        <v>Poblacion Iv, Penaranda, Nueva Ecija</v>
      </c>
      <c r="G527" s="42" t="str">
        <f t="shared" si="3"/>
        <v>Poblacion Iv</v>
      </c>
      <c r="H527" s="42" t="str">
        <f t="shared" si="4"/>
        <v>Penaranda</v>
      </c>
      <c r="I527" s="42" t="str">
        <f t="shared" si="5"/>
        <v>Nueva Ecija</v>
      </c>
      <c r="J527" s="42" t="str">
        <f t="array" ref="J527">XLOOKUP($E527,'Recipients REF'!$B:$B,'Recipients REF'!D:D,"",0)</f>
        <v>German L. Del Rosario</v>
      </c>
      <c r="K527" s="42" t="str">
        <f t="array" ref="K527">XLOOKUP($E527,'Recipients REF'!$B:$B,'Recipients REF'!E:E,"",0)</f>
        <v>0928-966-4530/0969-269-9364</v>
      </c>
      <c r="L527" s="43" t="str">
        <f t="array" ref="L527">XLOOKUP($A527,'Recipients REF'!$A:$A,'Recipients REF'!F:F,"",0)</f>
        <v>RCEF 25-03-05</v>
      </c>
      <c r="M527" s="43">
        <f t="array" ref="M527">XLOOKUP($A527,'Recipients REF'!$A:$A,'Recipients REF'!G:G,"",0)</f>
        <v>5</v>
      </c>
      <c r="N527" s="43" t="str">
        <f t="array" ref="N527">XLOOKUP($A527,'Recipients REF'!$A:$A,'Recipients REF'!H:H,"",0)</f>
        <v>26494 &amp; 27849</v>
      </c>
      <c r="O527" s="44" t="s">
        <v>25</v>
      </c>
      <c r="P527" s="45" t="s">
        <v>26</v>
      </c>
      <c r="Q527" s="46" t="str">
        <f t="array" ref="Q527">XLOOKUP($A527,'Recipients REF'!$A:$A,'Recipients REF'!I:I,"",0)</f>
        <v>KMC5825 ATSFPV0232</v>
      </c>
      <c r="R527" s="53" t="str">
        <f t="array" ref="R527">XLOOKUP($A527,'Recipients REF'!$A:$A,'Recipients REF'!J:J,"",0)</f>
        <v>STS100174</v>
      </c>
      <c r="S527" s="45" t="s">
        <v>27</v>
      </c>
      <c r="T527" s="45" t="s">
        <v>28</v>
      </c>
      <c r="U527" s="46" t="str">
        <f t="array" ref="U527">XLOOKUP($A527,'Recipients REF'!$A:$A,'Recipients REF'!K:K,"",0)</f>
        <v>WR-SERIES 1463PH</v>
      </c>
      <c r="V527" s="44" t="s">
        <v>29</v>
      </c>
      <c r="W527" s="45" t="s">
        <v>30</v>
      </c>
      <c r="X527" s="53" t="str">
        <f t="array" ref="X527">XLOOKUP($A527,'Recipients REF'!$A:$A,'Recipients REF'!L:L,"",0)</f>
        <v>2510836</v>
      </c>
      <c r="Y527" s="48" t="s">
        <v>29</v>
      </c>
      <c r="Z527" s="48" t="s">
        <v>31</v>
      </c>
      <c r="AA527" s="54" t="str">
        <f t="array" ref="AA527">XLOOKUP($A527,'Recipients REF'!$A:$A,'Recipients REF'!M:M,"",0)</f>
        <v>25101202</v>
      </c>
      <c r="AB527" s="49"/>
      <c r="AC527" s="42"/>
      <c r="AD527" s="42"/>
      <c r="AE527" s="50"/>
      <c r="AF527" s="42"/>
      <c r="AG527" s="42"/>
      <c r="AH527" s="42"/>
      <c r="AI527" s="42" t="str">
        <f t="array" ref="AI527">XLOOKUP($E527,Sheet11!$D:$D,Sheet11!$X:$X,"",0)</f>
        <v/>
      </c>
      <c r="AJ527" s="42" t="str">
        <f t="array" ref="AJ527">XLOOKUP($E527,Sheet11!$D:$D,Sheet11!$Y:$Y,"",0)</f>
        <v/>
      </c>
    </row>
    <row r="528">
      <c r="A528" s="41">
        <v>143.0</v>
      </c>
      <c r="B528" s="42" t="s">
        <v>1041</v>
      </c>
      <c r="C528" s="42" t="s">
        <v>1042</v>
      </c>
      <c r="D528" s="42"/>
      <c r="E528" s="42" t="str">
        <f t="shared" ref="E528:F528" si="529">PROPER(B528)</f>
        <v>Good Farmers Agriculture Cooperative</v>
      </c>
      <c r="F528" s="42" t="str">
        <f t="shared" si="529"/>
        <v>Santa Rita, Quezon, Nueva Ecija</v>
      </c>
      <c r="G528" s="42" t="str">
        <f t="shared" si="3"/>
        <v>Santa Rita</v>
      </c>
      <c r="H528" s="42" t="str">
        <f t="shared" si="4"/>
        <v>Quezon</v>
      </c>
      <c r="I528" s="42" t="str">
        <f t="shared" si="5"/>
        <v>Nueva Ecija</v>
      </c>
      <c r="J528" s="42" t="str">
        <f t="array" ref="J528">XLOOKUP($E528,'Recipients REF'!$B:$B,'Recipients REF'!D:D,"",0)</f>
        <v>Narciso U. Julian</v>
      </c>
      <c r="K528" s="42" t="str">
        <f t="array" ref="K528">XLOOKUP($E528,'Recipients REF'!$B:$B,'Recipients REF'!E:E,"",0)</f>
        <v>0907-114-2587</v>
      </c>
      <c r="L528" s="43" t="str">
        <f t="array" ref="L528">XLOOKUP($A528,'Recipients REF'!$A:$A,'Recipients REF'!F:F,"",0)</f>
        <v>RCEF 23-09-21 Rebidding</v>
      </c>
      <c r="M528" s="43">
        <f t="array" ref="M528">XLOOKUP($A528,'Recipients REF'!$A:$A,'Recipients REF'!G:G,"",0)</f>
        <v>3</v>
      </c>
      <c r="N528" s="43">
        <f t="array" ref="N528">XLOOKUP($A528,'Recipients REF'!$A:$A,'Recipients REF'!H:H,"",0)</f>
        <v>17879</v>
      </c>
      <c r="O528" s="44" t="s">
        <v>25</v>
      </c>
      <c r="P528" s="45" t="s">
        <v>26</v>
      </c>
      <c r="Q528" s="46" t="str">
        <f t="array" ref="Q528">XLOOKUP($A528,'Recipients REF'!$A:$A,'Recipients REF'!I:I,"",0)</f>
        <v>KMC5825 AKPFPV0100</v>
      </c>
      <c r="R528" s="47" t="str">
        <f t="array" ref="R528">XLOOKUP($A528,'Recipients REF'!$A:$A,'Recipients REF'!J:J,"",0)</f>
        <v>PTS 100115</v>
      </c>
      <c r="S528" s="45" t="s">
        <v>27</v>
      </c>
      <c r="T528" s="45" t="s">
        <v>28</v>
      </c>
      <c r="U528" s="46" t="str">
        <f t="array" ref="U528">XLOOKUP($A528,'Recipients REF'!$A:$A,'Recipients REF'!K:K,"",0)</f>
        <v>R-SERIES 114 PH</v>
      </c>
      <c r="V528" s="44" t="s">
        <v>29</v>
      </c>
      <c r="W528" s="45" t="s">
        <v>30</v>
      </c>
      <c r="X528" s="47" t="str">
        <f t="array" ref="X528">XLOOKUP($A528,'Recipients REF'!$A:$A,'Recipients REF'!L:L,"",0)</f>
        <v>LSGW1750-RMP-2312130</v>
      </c>
      <c r="Y528" s="48" t="s">
        <v>29</v>
      </c>
      <c r="Z528" s="48" t="s">
        <v>31</v>
      </c>
      <c r="AA528" s="46" t="str">
        <f t="array" ref="AA528">XLOOKUP($A528,'Recipients REF'!$A:$A,'Recipients REF'!M:M,"",0)</f>
        <v>WDP40-RMP-2312031</v>
      </c>
      <c r="AB528" s="49"/>
      <c r="AC528" s="42"/>
      <c r="AD528" s="42"/>
      <c r="AE528" s="50"/>
      <c r="AF528" s="42"/>
      <c r="AG528" s="42"/>
      <c r="AH528" s="42"/>
      <c r="AI528" s="42">
        <f t="array" ref="AI528">XLOOKUP($E528,Sheet11!$D:$D,Sheet11!$X:$X,"",0)</f>
        <v>869066060244655</v>
      </c>
      <c r="AJ528" s="42" t="str">
        <f t="array" ref="AJ528">XLOOKUP($E528,Sheet11!$D:$D,Sheet11!$Y:$Y,"",0)</f>
        <v/>
      </c>
    </row>
    <row r="529">
      <c r="A529" s="41">
        <v>144.0</v>
      </c>
      <c r="B529" s="42" t="s">
        <v>1041</v>
      </c>
      <c r="C529" s="42" t="s">
        <v>1042</v>
      </c>
      <c r="D529" s="42"/>
      <c r="E529" s="42" t="str">
        <f t="shared" ref="E529:F529" si="530">PROPER(B529)</f>
        <v>Good Farmers Agriculture Cooperative</v>
      </c>
      <c r="F529" s="42" t="str">
        <f t="shared" si="530"/>
        <v>Santa Rita, Quezon, Nueva Ecija</v>
      </c>
      <c r="G529" s="42" t="str">
        <f t="shared" si="3"/>
        <v>Santa Rita</v>
      </c>
      <c r="H529" s="42" t="str">
        <f t="shared" si="4"/>
        <v>Quezon</v>
      </c>
      <c r="I529" s="42" t="str">
        <f t="shared" si="5"/>
        <v>Nueva Ecija</v>
      </c>
      <c r="J529" s="42" t="str">
        <f t="array" ref="J529">XLOOKUP($E529,'Recipients REF'!$B:$B,'Recipients REF'!D:D,"",0)</f>
        <v>Narciso U. Julian</v>
      </c>
      <c r="K529" s="42" t="str">
        <f t="array" ref="K529">XLOOKUP($E529,'Recipients REF'!$B:$B,'Recipients REF'!E:E,"",0)</f>
        <v>0907-114-2587</v>
      </c>
      <c r="L529" s="43" t="str">
        <f t="array" ref="L529">XLOOKUP($A529,'Recipients REF'!$A:$A,'Recipients REF'!F:F,"",0)</f>
        <v>RCEF 23-09-21 Rebidding</v>
      </c>
      <c r="M529" s="43">
        <f t="array" ref="M529">XLOOKUP($A529,'Recipients REF'!$A:$A,'Recipients REF'!G:G,"",0)</f>
        <v>3</v>
      </c>
      <c r="N529" s="43">
        <f t="array" ref="N529">XLOOKUP($A529,'Recipients REF'!$A:$A,'Recipients REF'!H:H,"",0)</f>
        <v>17880</v>
      </c>
      <c r="O529" s="44" t="s">
        <v>25</v>
      </c>
      <c r="P529" s="45" t="s">
        <v>26</v>
      </c>
      <c r="Q529" s="46" t="str">
        <f t="array" ref="Q529">XLOOKUP($A529,'Recipients REF'!$A:$A,'Recipients REF'!I:I,"",0)</f>
        <v>KMC5825 AEPFPV0011</v>
      </c>
      <c r="R529" s="47" t="str">
        <f t="array" ref="R529">XLOOKUP($A529,'Recipients REF'!$A:$A,'Recipients REF'!J:J,"",0)</f>
        <v>PTS 100029</v>
      </c>
      <c r="S529" s="45" t="s">
        <v>27</v>
      </c>
      <c r="T529" s="45" t="s">
        <v>28</v>
      </c>
      <c r="U529" s="46" t="str">
        <f t="array" ref="U529">XLOOKUP($A529,'Recipients REF'!$A:$A,'Recipients REF'!K:K,"",0)</f>
        <v>R-SERIES 105 PH</v>
      </c>
      <c r="V529" s="44" t="s">
        <v>29</v>
      </c>
      <c r="W529" s="45" t="s">
        <v>30</v>
      </c>
      <c r="X529" s="47" t="str">
        <f t="array" ref="X529">XLOOKUP($A529,'Recipients REF'!$A:$A,'Recipients REF'!L:L,"",0)</f>
        <v>LSGW1750-RMP-2312122</v>
      </c>
      <c r="Y529" s="48" t="s">
        <v>29</v>
      </c>
      <c r="Z529" s="48" t="s">
        <v>31</v>
      </c>
      <c r="AA529" s="46" t="str">
        <f t="array" ref="AA529">XLOOKUP($A529,'Recipients REF'!$A:$A,'Recipients REF'!M:M,"",0)</f>
        <v>WDP40-RMP-2312004</v>
      </c>
      <c r="AB529" s="49"/>
      <c r="AC529" s="42"/>
      <c r="AD529" s="42"/>
      <c r="AE529" s="50"/>
      <c r="AF529" s="42"/>
      <c r="AG529" s="42"/>
      <c r="AH529" s="42"/>
      <c r="AI529" s="42">
        <f t="array" ref="AI529">XLOOKUP($E529,Sheet11!$D:$D,Sheet11!$X:$X,"",0)</f>
        <v>869066060244655</v>
      </c>
      <c r="AJ529" s="42" t="str">
        <f t="array" ref="AJ529">XLOOKUP($E529,Sheet11!$D:$D,Sheet11!$Y:$Y,"",0)</f>
        <v/>
      </c>
    </row>
    <row r="530">
      <c r="A530" s="41">
        <v>218.0</v>
      </c>
      <c r="B530" s="42" t="s">
        <v>1043</v>
      </c>
      <c r="C530" s="42" t="s">
        <v>1042</v>
      </c>
      <c r="D530" s="42"/>
      <c r="E530" s="42" t="str">
        <f t="shared" ref="E530:F530" si="531">PROPER(B530)</f>
        <v>Siason Farmers Irrigator'S Association, Inc.</v>
      </c>
      <c r="F530" s="42" t="str">
        <f t="shared" si="531"/>
        <v>Santa Rita, Quezon, Nueva Ecija</v>
      </c>
      <c r="G530" s="42" t="str">
        <f t="shared" si="3"/>
        <v>Santa Rita</v>
      </c>
      <c r="H530" s="42" t="str">
        <f t="shared" si="4"/>
        <v>Quezon</v>
      </c>
      <c r="I530" s="42" t="str">
        <f t="shared" si="5"/>
        <v>Nueva Ecija</v>
      </c>
      <c r="J530" s="42" t="str">
        <f t="array" ref="J530">XLOOKUP($E530,'Recipients REF'!$B:$B,'Recipients REF'!D:D,"",0)</f>
        <v>Feliciano C. Doronio</v>
      </c>
      <c r="K530" s="42" t="str">
        <f t="array" ref="K530">XLOOKUP($E530,'Recipients REF'!$B:$B,'Recipients REF'!E:E,"",0)</f>
        <v>0938-564-2182</v>
      </c>
      <c r="L530" s="43" t="str">
        <f t="array" ref="L530">XLOOKUP($A530,'Recipients REF'!$A:$A,'Recipients REF'!F:F,"",0)</f>
        <v>RCEF 23-09-21 Rebidding</v>
      </c>
      <c r="M530" s="43">
        <f t="array" ref="M530">XLOOKUP($A530,'Recipients REF'!$A:$A,'Recipients REF'!G:G,"",0)</f>
        <v>3</v>
      </c>
      <c r="N530" s="43">
        <f t="array" ref="N530">XLOOKUP($A530,'Recipients REF'!$A:$A,'Recipients REF'!H:H,"",0)</f>
        <v>18771</v>
      </c>
      <c r="O530" s="44" t="s">
        <v>25</v>
      </c>
      <c r="P530" s="45" t="s">
        <v>26</v>
      </c>
      <c r="Q530" s="46" t="str">
        <f t="array" ref="Q530">XLOOKUP($A530,'Recipients REF'!$A:$A,'Recipients REF'!I:I,"",0)</f>
        <v>KMC5825 AJRFPV0391</v>
      </c>
      <c r="R530" s="47" t="str">
        <f t="array" ref="R530">XLOOKUP($A530,'Recipients REF'!$A:$A,'Recipients REF'!J:J,"",0)</f>
        <v>RTS 100258</v>
      </c>
      <c r="S530" s="45" t="s">
        <v>27</v>
      </c>
      <c r="T530" s="45" t="s">
        <v>28</v>
      </c>
      <c r="U530" s="46" t="str">
        <f t="array" ref="U530">XLOOKUP($A530,'Recipients REF'!$A:$A,'Recipients REF'!K:K,"",0)</f>
        <v>R-SERIES 138 PH</v>
      </c>
      <c r="V530" s="44" t="s">
        <v>29</v>
      </c>
      <c r="W530" s="45" t="s">
        <v>30</v>
      </c>
      <c r="X530" s="47" t="str">
        <f t="array" ref="X530">XLOOKUP($A530,'Recipients REF'!$A:$A,'Recipients REF'!L:L,"",0)</f>
        <v>LSGW1750 WR 2312080</v>
      </c>
      <c r="Y530" s="48" t="s">
        <v>29</v>
      </c>
      <c r="Z530" s="48" t="s">
        <v>31</v>
      </c>
      <c r="AA530" s="46" t="str">
        <f t="array" ref="AA530">XLOOKUP($A530,'Recipients REF'!$A:$A,'Recipients REF'!M:M,"",0)</f>
        <v>WDP40 WR 24020200</v>
      </c>
      <c r="AB530" s="49"/>
      <c r="AC530" s="42"/>
      <c r="AD530" s="42"/>
      <c r="AE530" s="50"/>
      <c r="AF530" s="42"/>
      <c r="AG530" s="42"/>
      <c r="AH530" s="42"/>
      <c r="AI530" s="42" t="str">
        <f t="array" ref="AI530">XLOOKUP($E530,Sheet11!$D:$D,Sheet11!$X:$X,"",0)</f>
        <v/>
      </c>
      <c r="AJ530" s="42" t="str">
        <f t="array" ref="AJ530">XLOOKUP($E530,Sheet11!$D:$D,Sheet11!$Y:$Y,"",0)</f>
        <v/>
      </c>
    </row>
    <row r="531">
      <c r="A531" s="41">
        <v>473.0</v>
      </c>
      <c r="B531" s="42" t="s">
        <v>1044</v>
      </c>
      <c r="C531" s="42" t="s">
        <v>1045</v>
      </c>
      <c r="D531" s="42"/>
      <c r="E531" s="42" t="str">
        <f t="shared" ref="E531:F531" si="532">PROPER(B531)</f>
        <v>Municipal Local Government Unit Of Quezon</v>
      </c>
      <c r="F531" s="42" t="str">
        <f t="shared" si="532"/>
        <v>Dulong Bayan, Quezon, Nueva Ecija</v>
      </c>
      <c r="G531" s="42" t="str">
        <f t="shared" si="3"/>
        <v>Dulong Bayan</v>
      </c>
      <c r="H531" s="42" t="str">
        <f t="shared" si="4"/>
        <v>Quezon</v>
      </c>
      <c r="I531" s="42" t="str">
        <f t="shared" si="5"/>
        <v>Nueva Ecija</v>
      </c>
      <c r="J531" s="42" t="str">
        <f t="array" ref="J531">XLOOKUP($E531,'Recipients REF'!$B:$B,'Recipients REF'!D:D,"",0)</f>
        <v/>
      </c>
      <c r="K531" s="42" t="str">
        <f t="array" ref="K531">XLOOKUP($E531,'Recipients REF'!$B:$B,'Recipients REF'!E:E,"",0)</f>
        <v/>
      </c>
      <c r="L531" s="43" t="str">
        <f t="array" ref="L531">XLOOKUP($A531,'Recipients REF'!$A:$A,'Recipients REF'!F:F,"",0)</f>
        <v>RCEF 23-09-21 Rebidding</v>
      </c>
      <c r="M531" s="43">
        <f t="array" ref="M531">XLOOKUP($A531,'Recipients REF'!$A:$A,'Recipients REF'!G:G,"",0)</f>
        <v>3</v>
      </c>
      <c r="N531" s="43">
        <f t="array" ref="N531">XLOOKUP($A531,'Recipients REF'!$A:$A,'Recipients REF'!H:H,"",0)</f>
        <v>19555</v>
      </c>
      <c r="O531" s="44" t="s">
        <v>25</v>
      </c>
      <c r="P531" s="45" t="s">
        <v>26</v>
      </c>
      <c r="Q531" s="46" t="str">
        <f t="array" ref="Q531">XLOOKUP($A531,'Recipients REF'!$A:$A,'Recipients REF'!I:I,"",0)</f>
        <v>KMC 5825 AVRFPU0541</v>
      </c>
      <c r="R531" s="47" t="str">
        <f t="array" ref="R531">XLOOKUP($A531,'Recipients REF'!$A:$A,'Recipients REF'!J:J,"",0)</f>
        <v>RTS 100440</v>
      </c>
      <c r="S531" s="45" t="s">
        <v>27</v>
      </c>
      <c r="T531" s="45" t="s">
        <v>28</v>
      </c>
      <c r="U531" s="46" t="str">
        <f t="array" ref="U531">XLOOKUP($A531,'Recipients REF'!$A:$A,'Recipients REF'!K:K,"",0)</f>
        <v>R SERIES 946 PH</v>
      </c>
      <c r="V531" s="44" t="s">
        <v>29</v>
      </c>
      <c r="W531" s="45" t="s">
        <v>30</v>
      </c>
      <c r="X531" s="47" t="str">
        <f t="array" ref="X531">XLOOKUP($A531,'Recipients REF'!$A:$A,'Recipients REF'!L:L,"",0)</f>
        <v>LSGW1750 RMP 24010189</v>
      </c>
      <c r="Y531" s="48" t="s">
        <v>29</v>
      </c>
      <c r="Z531" s="48" t="s">
        <v>31</v>
      </c>
      <c r="AA531" s="46" t="str">
        <f t="array" ref="AA531">XLOOKUP($A531,'Recipients REF'!$A:$A,'Recipients REF'!M:M,"",0)</f>
        <v>WDP40 RMP 24050548</v>
      </c>
      <c r="AB531" s="49"/>
      <c r="AC531" s="42"/>
      <c r="AD531" s="42"/>
      <c r="AE531" s="50"/>
      <c r="AF531" s="42"/>
      <c r="AG531" s="42"/>
      <c r="AH531" s="42"/>
      <c r="AI531" s="42" t="str">
        <f t="array" ref="AI531">XLOOKUP($E531,Sheet11!$D:$D,Sheet11!$X:$X,"",0)</f>
        <v/>
      </c>
      <c r="AJ531" s="42" t="str">
        <f t="array" ref="AJ531">XLOOKUP($E531,Sheet11!$D:$D,Sheet11!$Y:$Y,"",0)</f>
        <v/>
      </c>
    </row>
    <row r="532">
      <c r="A532" s="41">
        <v>608.0</v>
      </c>
      <c r="B532" s="42" t="s">
        <v>1046</v>
      </c>
      <c r="C532" s="42" t="s">
        <v>1047</v>
      </c>
      <c r="D532" s="42"/>
      <c r="E532" s="42" t="str">
        <f t="shared" ref="E532:F532" si="533">PROPER(B532)</f>
        <v>Ilog Baliwag-San Miguel Farmers Association (Isfa)</v>
      </c>
      <c r="F532" s="42" t="str">
        <f t="shared" si="533"/>
        <v>Ilog Baliwag, Quezon, Nueva Ecija</v>
      </c>
      <c r="G532" s="42" t="str">
        <f t="shared" si="3"/>
        <v>Ilog Baliwag</v>
      </c>
      <c r="H532" s="42" t="str">
        <f t="shared" si="4"/>
        <v>Quezon</v>
      </c>
      <c r="I532" s="42" t="str">
        <f t="shared" si="5"/>
        <v>Nueva Ecija</v>
      </c>
      <c r="J532" s="42" t="str">
        <f t="array" ref="J532">XLOOKUP($E532,'Recipients REF'!$B:$B,'Recipients REF'!D:D,"",0)</f>
        <v>Bernie A. Melendez</v>
      </c>
      <c r="K532" s="42" t="str">
        <f t="array" ref="K532">XLOOKUP($E532,'Recipients REF'!$B:$B,'Recipients REF'!E:E,"",0)</f>
        <v>0927-518-0179</v>
      </c>
      <c r="L532" s="43" t="str">
        <f t="array" ref="L532">XLOOKUP($A532,'Recipients REF'!$A:$A,'Recipients REF'!F:F,"",0)</f>
        <v>RCEF 24-04-15</v>
      </c>
      <c r="M532" s="43">
        <f t="array" ref="M532">XLOOKUP($A532,'Recipients REF'!$A:$A,'Recipients REF'!G:G,"",0)</f>
        <v>6</v>
      </c>
      <c r="N532" s="43" t="str">
        <f t="array" ref="N532">XLOOKUP($A532,'Recipients REF'!$A:$A,'Recipients REF'!H:H,"",0)</f>
        <v>21087/19953</v>
      </c>
      <c r="O532" s="44" t="s">
        <v>25</v>
      </c>
      <c r="P532" s="45" t="s">
        <v>26</v>
      </c>
      <c r="Q532" s="46" t="str">
        <f t="array" ref="Q532">XLOOKUP($A532,'Recipients REF'!$A:$A,'Recipients REF'!I:I,"",0)</f>
        <v>KMC5825AERFPV0576</v>
      </c>
      <c r="R532" s="47" t="str">
        <f t="array" ref="R532">XLOOKUP($A532,'Recipients REF'!$A:$A,'Recipients REF'!J:J,"",0)</f>
        <v>RTS100468</v>
      </c>
      <c r="S532" s="45" t="s">
        <v>27</v>
      </c>
      <c r="T532" s="45" t="s">
        <v>28</v>
      </c>
      <c r="U532" s="46" t="str">
        <f t="array" ref="U532">XLOOKUP($A532,'Recipients REF'!$A:$A,'Recipients REF'!K:K,"",0)</f>
        <v>LSGW170-RMP-24040644</v>
      </c>
      <c r="V532" s="44" t="s">
        <v>29</v>
      </c>
      <c r="W532" s="45" t="s">
        <v>30</v>
      </c>
      <c r="X532" s="47" t="str">
        <f t="array" ref="X532">XLOOKUP($A532,'Recipients REF'!$A:$A,'Recipients REF'!L:L,"",0)</f>
        <v>WDP40-RMP-24111422</v>
      </c>
      <c r="Y532" s="48" t="s">
        <v>29</v>
      </c>
      <c r="Z532" s="48" t="s">
        <v>31</v>
      </c>
      <c r="AA532" s="46" t="str">
        <f t="array" ref="AA532">XLOOKUP($A532,'Recipients REF'!$A:$A,'Recipients REF'!M:M,"",0)</f>
        <v>WR-SERIES-866PH</v>
      </c>
      <c r="AB532" s="49"/>
      <c r="AC532" s="42"/>
      <c r="AD532" s="42"/>
      <c r="AE532" s="56">
        <v>3.23250001271039E14</v>
      </c>
      <c r="AF532" s="56">
        <v>9.085371189E9</v>
      </c>
      <c r="AG532" s="42"/>
      <c r="AH532" s="42"/>
      <c r="AI532" s="42" t="str">
        <f t="array" ref="AI532">XLOOKUP($E532,Sheet11!$D:$D,Sheet11!$X:$X,"",0)</f>
        <v/>
      </c>
      <c r="AJ532" s="42" t="str">
        <f t="array" ref="AJ532">XLOOKUP($E532,Sheet11!$D:$D,Sheet11!$Y:$Y,"",0)</f>
        <v/>
      </c>
    </row>
    <row r="533">
      <c r="A533" s="41">
        <v>609.0</v>
      </c>
      <c r="B533" s="42" t="s">
        <v>1048</v>
      </c>
      <c r="C533" s="42" t="s">
        <v>1049</v>
      </c>
      <c r="D533" s="42"/>
      <c r="E533" s="42" t="str">
        <f t="shared" ref="E533:F533" si="534">PROPER(B533)</f>
        <v>Kaagapay Sa Kaunlaran Sa Bayan Ng Quezon</v>
      </c>
      <c r="F533" s="42" t="str">
        <f t="shared" si="534"/>
        <v>Doña Lucia, Quezon, Nueva Ecija</v>
      </c>
      <c r="G533" s="42" t="str">
        <f t="shared" si="3"/>
        <v>Doña Lucia</v>
      </c>
      <c r="H533" s="42" t="str">
        <f t="shared" si="4"/>
        <v>Quezon</v>
      </c>
      <c r="I533" s="42" t="str">
        <f t="shared" si="5"/>
        <v>Nueva Ecija</v>
      </c>
      <c r="J533" s="42" t="str">
        <f t="array" ref="J533">XLOOKUP($E533,'Recipients REF'!$B:$B,'Recipients REF'!D:D,"",0)</f>
        <v>Marcelo S. Esguerra</v>
      </c>
      <c r="K533" s="42" t="str">
        <f t="array" ref="K533">XLOOKUP($E533,'Recipients REF'!$B:$B,'Recipients REF'!E:E,"",0)</f>
        <v>0949-827-2504</v>
      </c>
      <c r="L533" s="43" t="str">
        <f t="array" ref="L533">XLOOKUP($A533,'Recipients REF'!$A:$A,'Recipients REF'!F:F,"",0)</f>
        <v>RCEF 24-04-15</v>
      </c>
      <c r="M533" s="43">
        <f t="array" ref="M533">XLOOKUP($A533,'Recipients REF'!$A:$A,'Recipients REF'!G:G,"",0)</f>
        <v>6</v>
      </c>
      <c r="N533" s="43" t="str">
        <f t="array" ref="N533">XLOOKUP($A533,'Recipients REF'!$A:$A,'Recipients REF'!H:H,"",0)</f>
        <v>21088/19954</v>
      </c>
      <c r="O533" s="44" t="s">
        <v>25</v>
      </c>
      <c r="P533" s="45" t="s">
        <v>26</v>
      </c>
      <c r="Q533" s="46" t="str">
        <f t="array" ref="Q533">XLOOKUP($A533,'Recipients REF'!$A:$A,'Recipients REF'!I:I,"",0)</f>
        <v>KMC5825AHRFPV0575</v>
      </c>
      <c r="R533" s="47" t="str">
        <f t="array" ref="R533">XLOOKUP($A533,'Recipients REF'!$A:$A,'Recipients REF'!J:J,"",0)</f>
        <v>RTS100473</v>
      </c>
      <c r="S533" s="45" t="s">
        <v>27</v>
      </c>
      <c r="T533" s="45" t="s">
        <v>28</v>
      </c>
      <c r="U533" s="46" t="str">
        <f t="array" ref="U533">XLOOKUP($A533,'Recipients REF'!$A:$A,'Recipients REF'!K:K,"",0)</f>
        <v>LSGW170-RMP-24040662</v>
      </c>
      <c r="V533" s="44" t="s">
        <v>29</v>
      </c>
      <c r="W533" s="45" t="s">
        <v>30</v>
      </c>
      <c r="X533" s="47" t="str">
        <f t="array" ref="X533">XLOOKUP($A533,'Recipients REF'!$A:$A,'Recipients REF'!L:L,"",0)</f>
        <v>WDP40-RMP-24111386</v>
      </c>
      <c r="Y533" s="48" t="s">
        <v>29</v>
      </c>
      <c r="Z533" s="48" t="s">
        <v>31</v>
      </c>
      <c r="AA533" s="46" t="str">
        <f t="array" ref="AA533">XLOOKUP($A533,'Recipients REF'!$A:$A,'Recipients REF'!M:M,"",0)</f>
        <v>WR-SERIES-867PH</v>
      </c>
      <c r="AB533" s="49"/>
      <c r="AC533" s="42"/>
      <c r="AD533" s="42"/>
      <c r="AE533" s="50"/>
      <c r="AF533" s="42"/>
      <c r="AG533" s="42"/>
      <c r="AH533" s="42"/>
      <c r="AI533" s="42" t="str">
        <f t="array" ref="AI533">XLOOKUP($E533,Sheet11!$D:$D,Sheet11!$X:$X,"",0)</f>
        <v/>
      </c>
      <c r="AJ533" s="42" t="str">
        <f t="array" ref="AJ533">XLOOKUP($E533,Sheet11!$D:$D,Sheet11!$Y:$Y,"",0)</f>
        <v/>
      </c>
    </row>
    <row r="534">
      <c r="A534" s="41">
        <v>661.0</v>
      </c>
      <c r="B534" s="42" t="s">
        <v>1050</v>
      </c>
      <c r="C534" s="42" t="s">
        <v>1051</v>
      </c>
      <c r="D534" s="42"/>
      <c r="E534" s="42" t="str">
        <f t="shared" ref="E534:F534" si="535">PROPER(B534)</f>
        <v>Municipal Local Government Unit Of Quezon</v>
      </c>
      <c r="F534" s="42" t="str">
        <f t="shared" si="535"/>
        <v>, Quezon, Nueva Ecija</v>
      </c>
      <c r="G534" s="42" t="str">
        <f t="shared" si="3"/>
        <v/>
      </c>
      <c r="H534" s="42" t="str">
        <f t="shared" si="4"/>
        <v>Quezon</v>
      </c>
      <c r="I534" s="42" t="str">
        <f t="shared" si="5"/>
        <v>Nueva Ecija</v>
      </c>
      <c r="J534" s="42" t="str">
        <f t="array" ref="J534">XLOOKUP($E534,'Recipients REF'!$B:$B,'Recipients REF'!D:D,"",0)</f>
        <v/>
      </c>
      <c r="K534" s="42" t="str">
        <f t="array" ref="K534">XLOOKUP($E534,'Recipients REF'!$B:$B,'Recipients REF'!E:E,"",0)</f>
        <v/>
      </c>
      <c r="L534" s="43" t="str">
        <f t="array" ref="L534">XLOOKUP($A534,'Recipients REF'!$A:$A,'Recipients REF'!F:F,"",0)</f>
        <v>RCEF 25-03-05</v>
      </c>
      <c r="M534" s="43">
        <f t="array" ref="M534">XLOOKUP($A534,'Recipients REF'!$A:$A,'Recipients REF'!G:G,"",0)</f>
        <v>5</v>
      </c>
      <c r="N534" s="43" t="str">
        <f t="array" ref="N534">XLOOKUP($A534,'Recipients REF'!$A:$A,'Recipients REF'!H:H,"",0)</f>
        <v>26478 &amp; 27672</v>
      </c>
      <c r="O534" s="44" t="s">
        <v>25</v>
      </c>
      <c r="P534" s="45" t="s">
        <v>26</v>
      </c>
      <c r="Q534" s="46" t="str">
        <f t="array" ref="Q534">XLOOKUP($A534,'Recipients REF'!$A:$A,'Recipients REF'!I:I,"",0)</f>
        <v>KMC5825 AKSFPV0122</v>
      </c>
      <c r="R534" s="53" t="str">
        <f t="array" ref="R534">XLOOKUP($A534,'Recipients REF'!$A:$A,'Recipients REF'!J:J,"",0)</f>
        <v>STS100102</v>
      </c>
      <c r="S534" s="45" t="s">
        <v>27</v>
      </c>
      <c r="T534" s="45" t="s">
        <v>28</v>
      </c>
      <c r="U534" s="46" t="str">
        <f t="array" ref="U534">XLOOKUP($A534,'Recipients REF'!$A:$A,'Recipients REF'!K:K,"",0)</f>
        <v>R-SERIES 319PH</v>
      </c>
      <c r="V534" s="44" t="s">
        <v>29</v>
      </c>
      <c r="W534" s="45" t="s">
        <v>30</v>
      </c>
      <c r="X534" s="53" t="str">
        <f t="array" ref="X534">XLOOKUP($A534,'Recipients REF'!$A:$A,'Recipients REF'!L:L,"",0)</f>
        <v>25080795</v>
      </c>
      <c r="Y534" s="48" t="s">
        <v>29</v>
      </c>
      <c r="Z534" s="48" t="s">
        <v>31</v>
      </c>
      <c r="AA534" s="54" t="str">
        <f t="array" ref="AA534">XLOOKUP($A534,'Recipients REF'!$A:$A,'Recipients REF'!M:M,"",0)</f>
        <v>25080802</v>
      </c>
      <c r="AB534" s="49"/>
      <c r="AC534" s="42"/>
      <c r="AD534" s="42"/>
      <c r="AE534" s="50"/>
      <c r="AF534" s="42"/>
      <c r="AG534" s="42"/>
      <c r="AH534" s="42"/>
      <c r="AI534" s="42" t="str">
        <f t="array" ref="AI534">XLOOKUP($E534,Sheet11!$D:$D,Sheet11!$X:$X,"",0)</f>
        <v/>
      </c>
      <c r="AJ534" s="42" t="str">
        <f t="array" ref="AJ534">XLOOKUP($E534,Sheet11!$D:$D,Sheet11!$Y:$Y,"",0)</f>
        <v/>
      </c>
    </row>
    <row r="535">
      <c r="A535" s="41">
        <v>983.0</v>
      </c>
      <c r="B535" s="42" t="s">
        <v>1052</v>
      </c>
      <c r="C535" s="42" t="s">
        <v>1042</v>
      </c>
      <c r="D535" s="42"/>
      <c r="E535" s="42" t="str">
        <f t="shared" ref="E535:F535" si="536">PROPER(B535)</f>
        <v>Municipal Local Government Unit Of Quezon</v>
      </c>
      <c r="F535" s="42" t="str">
        <f t="shared" si="536"/>
        <v>Santa Rita, Quezon, Nueva Ecija</v>
      </c>
      <c r="G535" s="42" t="str">
        <f t="shared" si="3"/>
        <v>Santa Rita</v>
      </c>
      <c r="H535" s="42" t="str">
        <f t="shared" si="4"/>
        <v>Quezon</v>
      </c>
      <c r="I535" s="42" t="str">
        <f t="shared" si="5"/>
        <v>Nueva Ecija</v>
      </c>
      <c r="J535" s="42" t="str">
        <f t="array" ref="J535">XLOOKUP($E535,'Recipients REF'!$B:$B,'Recipients REF'!D:D,"",0)</f>
        <v/>
      </c>
      <c r="K535" s="42" t="str">
        <f t="array" ref="K535">XLOOKUP($E535,'Recipients REF'!$B:$B,'Recipients REF'!E:E,"",0)</f>
        <v/>
      </c>
      <c r="L535" s="43" t="str">
        <f t="array" ref="L535">XLOOKUP($A535,'Recipients REF'!$A:$A,'Recipients REF'!F:F,"",0)</f>
        <v>Repeat Order</v>
      </c>
      <c r="M535" s="43">
        <f t="array" ref="M535">XLOOKUP($A535,'Recipients REF'!$A:$A,'Recipients REF'!G:G,"",0)</f>
        <v>6</v>
      </c>
      <c r="N535" s="43">
        <f t="array" ref="N535">XLOOKUP($A535,'Recipients REF'!$A:$A,'Recipients REF'!H:H,"",0)</f>
        <v>23119</v>
      </c>
      <c r="O535" s="44" t="s">
        <v>25</v>
      </c>
      <c r="P535" s="45" t="s">
        <v>26</v>
      </c>
      <c r="Q535" s="46" t="str">
        <f t="array" ref="Q535">XLOOKUP($A535,'Recipients REF'!$A:$A,'Recipients REF'!I:I,"",0)</f>
        <v>KMC5825AKRFPV1099</v>
      </c>
      <c r="R535" s="47" t="str">
        <f t="array" ref="R535">XLOOKUP($A535,'Recipients REF'!$A:$A,'Recipients REF'!J:J,"",0)</f>
        <v>RTS100849</v>
      </c>
      <c r="S535" s="45" t="s">
        <v>27</v>
      </c>
      <c r="T535" s="45" t="s">
        <v>28</v>
      </c>
      <c r="U535" s="46" t="str">
        <f t="array" ref="U535">XLOOKUP($A535,'Recipients REF'!$A:$A,'Recipients REF'!K:K,"",0)</f>
        <v>LSGW170-RMP-24111157</v>
      </c>
      <c r="V535" s="44" t="s">
        <v>29</v>
      </c>
      <c r="W535" s="45" t="s">
        <v>30</v>
      </c>
      <c r="X535" s="47" t="str">
        <f t="array" ref="X535">XLOOKUP($A535,'Recipients REF'!$A:$A,'Recipients REF'!L:L,"",0)</f>
        <v>WDP40-RMP-25030351</v>
      </c>
      <c r="Y535" s="48" t="s">
        <v>29</v>
      </c>
      <c r="Z535" s="48" t="s">
        <v>31</v>
      </c>
      <c r="AA535" s="46" t="str">
        <f t="array" ref="AA535">XLOOKUP($A535,'Recipients REF'!$A:$A,'Recipients REF'!M:M,"",0)</f>
        <v>WR-SERIES-1302PH</v>
      </c>
      <c r="AB535" s="49"/>
      <c r="AC535" s="42"/>
      <c r="AD535" s="42"/>
      <c r="AE535" s="50"/>
      <c r="AF535" s="42"/>
      <c r="AG535" s="42"/>
      <c r="AH535" s="42"/>
      <c r="AI535" s="42" t="str">
        <f t="array" ref="AI535">XLOOKUP($E535,Sheet11!$D:$D,Sheet11!$X:$X,"",0)</f>
        <v/>
      </c>
      <c r="AJ535" s="42" t="str">
        <f t="array" ref="AJ535">XLOOKUP($E535,Sheet11!$D:$D,Sheet11!$Y:$Y,"",0)</f>
        <v/>
      </c>
    </row>
    <row r="536">
      <c r="A536" s="41">
        <v>657.0</v>
      </c>
      <c r="B536" s="42" t="s">
        <v>1053</v>
      </c>
      <c r="C536" s="42" t="s">
        <v>1054</v>
      </c>
      <c r="D536" s="42"/>
      <c r="E536" s="42" t="str">
        <f t="shared" ref="E536:F536" si="537">PROPER(B536)</f>
        <v>Agbannawag Irrigators Association, Inc</v>
      </c>
      <c r="F536" s="42" t="str">
        <f t="shared" si="537"/>
        <v>Agbannawag, Rizal, Nueva Ecija</v>
      </c>
      <c r="G536" s="42" t="str">
        <f t="shared" si="3"/>
        <v>Agbannawag</v>
      </c>
      <c r="H536" s="42" t="str">
        <f t="shared" si="4"/>
        <v>Rizal</v>
      </c>
      <c r="I536" s="42" t="str">
        <f t="shared" si="5"/>
        <v>Nueva Ecija</v>
      </c>
      <c r="J536" s="42" t="str">
        <f t="array" ref="J536">XLOOKUP($E536,'Recipients REF'!$B:$B,'Recipients REF'!D:D,"",0)</f>
        <v>Quirino E. Tabangay Jr.</v>
      </c>
      <c r="K536" s="42" t="str">
        <f t="array" ref="K536">XLOOKUP($E536,'Recipients REF'!$B:$B,'Recipients REF'!E:E,"",0)</f>
        <v>0935-997-2118/ 0965-637-5439</v>
      </c>
      <c r="L536" s="43" t="str">
        <f t="array" ref="L536">XLOOKUP($A536,'Recipients REF'!$A:$A,'Recipients REF'!F:F,"",0)</f>
        <v>RCEF 25-03-05</v>
      </c>
      <c r="M536" s="43">
        <f t="array" ref="M536">XLOOKUP($A536,'Recipients REF'!$A:$A,'Recipients REF'!G:G,"",0)</f>
        <v>5</v>
      </c>
      <c r="N536" s="43" t="str">
        <f t="array" ref="N536">XLOOKUP($A536,'Recipients REF'!$A:$A,'Recipients REF'!H:H,"",0)</f>
        <v>26247 &amp; 27836</v>
      </c>
      <c r="O536" s="44" t="s">
        <v>25</v>
      </c>
      <c r="P536" s="45" t="s">
        <v>26</v>
      </c>
      <c r="Q536" s="46" t="str">
        <f t="array" ref="Q536">XLOOKUP($A536,'Recipients REF'!$A:$A,'Recipients REF'!I:I,"",0)</f>
        <v>KMC5825 ACSFPV0124</v>
      </c>
      <c r="R536" s="53" t="str">
        <f t="array" ref="R536">XLOOKUP($A536,'Recipients REF'!$A:$A,'Recipients REF'!J:J,"",0)</f>
        <v>STS100105</v>
      </c>
      <c r="S536" s="45" t="s">
        <v>27</v>
      </c>
      <c r="T536" s="45" t="s">
        <v>28</v>
      </c>
      <c r="U536" s="46" t="str">
        <f t="array" ref="U536">XLOOKUP($A536,'Recipients REF'!$A:$A,'Recipients REF'!K:K,"",0)</f>
        <v>WR-SERIES 1450PH</v>
      </c>
      <c r="V536" s="44" t="s">
        <v>29</v>
      </c>
      <c r="W536" s="45" t="s">
        <v>30</v>
      </c>
      <c r="X536" s="53" t="str">
        <f t="array" ref="X536">XLOOKUP($A536,'Recipients REF'!$A:$A,'Recipients REF'!L:L,"",0)</f>
        <v>25100831</v>
      </c>
      <c r="Y536" s="48" t="s">
        <v>29</v>
      </c>
      <c r="Z536" s="48" t="s">
        <v>31</v>
      </c>
      <c r="AA536" s="54" t="str">
        <f t="array" ref="AA536">XLOOKUP($A536,'Recipients REF'!$A:$A,'Recipients REF'!M:M,"",0)</f>
        <v>25101163</v>
      </c>
      <c r="AB536" s="49"/>
      <c r="AC536" s="42"/>
      <c r="AD536" s="42"/>
      <c r="AE536" s="56">
        <v>8.69066063800164E14</v>
      </c>
      <c r="AF536" s="56">
        <v>4.25230021017913E15</v>
      </c>
      <c r="AG536" s="42"/>
      <c r="AH536" s="42"/>
      <c r="AI536" s="42" t="str">
        <f t="array" ref="AI536">XLOOKUP($E536,Sheet11!$D:$D,Sheet11!$X:$X,"",0)</f>
        <v/>
      </c>
      <c r="AJ536" s="42" t="str">
        <f t="array" ref="AJ536">XLOOKUP($E536,Sheet11!$D:$D,Sheet11!$Y:$Y,"",0)</f>
        <v/>
      </c>
    </row>
    <row r="537">
      <c r="A537" s="41">
        <v>658.0</v>
      </c>
      <c r="B537" s="42" t="s">
        <v>1055</v>
      </c>
      <c r="C537" s="42" t="s">
        <v>1056</v>
      </c>
      <c r="D537" s="42"/>
      <c r="E537" s="42" t="str">
        <f t="shared" ref="E537:F537" si="538">PROPER(B537)</f>
        <v>Caloocan Paraiso Agriculture Cooperative</v>
      </c>
      <c r="F537" s="42" t="str">
        <f t="shared" si="538"/>
        <v>Calaocan District, Rizal, Nueva Ecija</v>
      </c>
      <c r="G537" s="42" t="str">
        <f t="shared" si="3"/>
        <v>Calaocan District</v>
      </c>
      <c r="H537" s="42" t="str">
        <f t="shared" si="4"/>
        <v>Rizal</v>
      </c>
      <c r="I537" s="42" t="str">
        <f t="shared" si="5"/>
        <v>Nueva Ecija</v>
      </c>
      <c r="J537" s="42" t="str">
        <f t="array" ref="J537">XLOOKUP($E537,'Recipients REF'!$B:$B,'Recipients REF'!D:D,"",0)</f>
        <v>Rodrigo Camangeg</v>
      </c>
      <c r="K537" s="42" t="str">
        <f t="array" ref="K537">XLOOKUP($E537,'Recipients REF'!$B:$B,'Recipients REF'!E:E,"",0)</f>
        <v>0929-812-4087</v>
      </c>
      <c r="L537" s="43" t="str">
        <f t="array" ref="L537">XLOOKUP($A537,'Recipients REF'!$A:$A,'Recipients REF'!F:F,"",0)</f>
        <v>RCEF 25-03-05</v>
      </c>
      <c r="M537" s="43">
        <f t="array" ref="M537">XLOOKUP($A537,'Recipients REF'!$A:$A,'Recipients REF'!G:G,"",0)</f>
        <v>5</v>
      </c>
      <c r="N537" s="43" t="str">
        <f t="array" ref="N537">XLOOKUP($A537,'Recipients REF'!$A:$A,'Recipients REF'!H:H,"",0)</f>
        <v>26248 &amp; 27837</v>
      </c>
      <c r="O537" s="44" t="s">
        <v>25</v>
      </c>
      <c r="P537" s="45" t="s">
        <v>26</v>
      </c>
      <c r="Q537" s="46" t="str">
        <f t="array" ref="Q537">XLOOKUP($A537,'Recipients REF'!$A:$A,'Recipients REF'!I:I,"",0)</f>
        <v>KMC5825 AHSFPV0498</v>
      </c>
      <c r="R537" s="53" t="str">
        <f t="array" ref="R537">XLOOKUP($A537,'Recipients REF'!$A:$A,'Recipients REF'!J:J,"",0)</f>
        <v>STS100521</v>
      </c>
      <c r="S537" s="45" t="s">
        <v>27</v>
      </c>
      <c r="T537" s="45" t="s">
        <v>28</v>
      </c>
      <c r="U537" s="46" t="str">
        <f t="array" ref="U537">XLOOKUP($A537,'Recipients REF'!$A:$A,'Recipients REF'!K:K,"",0)</f>
        <v>WR-SERIES 1451PH</v>
      </c>
      <c r="V537" s="44" t="s">
        <v>29</v>
      </c>
      <c r="W537" s="45" t="s">
        <v>30</v>
      </c>
      <c r="X537" s="53" t="str">
        <f t="array" ref="X537">XLOOKUP($A537,'Recipients REF'!$A:$A,'Recipients REF'!L:L,"",0)</f>
        <v>25100814</v>
      </c>
      <c r="Y537" s="48" t="s">
        <v>29</v>
      </c>
      <c r="Z537" s="48" t="s">
        <v>31</v>
      </c>
      <c r="AA537" s="54" t="str">
        <f t="array" ref="AA537">XLOOKUP($A537,'Recipients REF'!$A:$A,'Recipients REF'!M:M,"",0)</f>
        <v>25101188</v>
      </c>
      <c r="AB537" s="49"/>
      <c r="AC537" s="42"/>
      <c r="AD537" s="42"/>
      <c r="AE537" s="56">
        <v>8.69066063796917E14</v>
      </c>
      <c r="AF537" s="56" t="s">
        <v>1057</v>
      </c>
      <c r="AG537" s="42"/>
      <c r="AH537" s="42"/>
      <c r="AI537" s="42" t="str">
        <f t="array" ref="AI537">XLOOKUP($E537,Sheet11!$D:$D,Sheet11!$X:$X,"",0)</f>
        <v/>
      </c>
      <c r="AJ537" s="42" t="str">
        <f t="array" ref="AJ537">XLOOKUP($E537,Sheet11!$D:$D,Sheet11!$Y:$Y,"",0)</f>
        <v/>
      </c>
    </row>
    <row r="538">
      <c r="A538" s="41">
        <v>659.0</v>
      </c>
      <c r="B538" s="42" t="s">
        <v>1058</v>
      </c>
      <c r="C538" s="42" t="s">
        <v>1059</v>
      </c>
      <c r="D538" s="42"/>
      <c r="E538" s="42" t="str">
        <f t="shared" ref="E538:F538" si="539">PROPER(B538)</f>
        <v>Canaan West Farmers Association</v>
      </c>
      <c r="F538" s="42" t="str">
        <f t="shared" si="539"/>
        <v>Canaan West, Rizal, Nueva Ecija</v>
      </c>
      <c r="G538" s="42" t="str">
        <f t="shared" si="3"/>
        <v>Canaan West</v>
      </c>
      <c r="H538" s="42" t="str">
        <f t="shared" si="4"/>
        <v>Rizal</v>
      </c>
      <c r="I538" s="42" t="str">
        <f t="shared" si="5"/>
        <v>Nueva Ecija</v>
      </c>
      <c r="J538" s="42" t="str">
        <f t="array" ref="J538">XLOOKUP($E538,'Recipients REF'!$B:$B,'Recipients REF'!D:D,"",0)</f>
        <v>Israel W. Sindong Jr</v>
      </c>
      <c r="K538" s="42" t="str">
        <f t="array" ref="K538">XLOOKUP($E538,'Recipients REF'!$B:$B,'Recipients REF'!E:E,"",0)</f>
        <v>0907-089-3887</v>
      </c>
      <c r="L538" s="43" t="str">
        <f t="array" ref="L538">XLOOKUP($A538,'Recipients REF'!$A:$A,'Recipients REF'!F:F,"",0)</f>
        <v>RCEF 25-03-05</v>
      </c>
      <c r="M538" s="43">
        <f t="array" ref="M538">XLOOKUP($A538,'Recipients REF'!$A:$A,'Recipients REF'!G:G,"",0)</f>
        <v>5</v>
      </c>
      <c r="N538" s="43" t="str">
        <f t="array" ref="N538">XLOOKUP($A538,'Recipients REF'!$A:$A,'Recipients REF'!H:H,"",0)</f>
        <v>26249 &amp; 27838</v>
      </c>
      <c r="O538" s="44" t="s">
        <v>25</v>
      </c>
      <c r="P538" s="45" t="s">
        <v>26</v>
      </c>
      <c r="Q538" s="46" t="str">
        <f t="array" ref="Q538">XLOOKUP($A538,'Recipients REF'!$A:$A,'Recipients REF'!I:I,"",0)</f>
        <v>KMC5825 ALSFPV0189</v>
      </c>
      <c r="R538" s="53" t="str">
        <f t="array" ref="R538">XLOOKUP($A538,'Recipients REF'!$A:$A,'Recipients REF'!J:J,"",0)</f>
        <v>STS100220</v>
      </c>
      <c r="S538" s="45" t="s">
        <v>27</v>
      </c>
      <c r="T538" s="45" t="s">
        <v>28</v>
      </c>
      <c r="U538" s="46" t="str">
        <f t="array" ref="U538">XLOOKUP($A538,'Recipients REF'!$A:$A,'Recipients REF'!K:K,"",0)</f>
        <v>WR-SERIES 1452PH</v>
      </c>
      <c r="V538" s="44" t="s">
        <v>29</v>
      </c>
      <c r="W538" s="45" t="s">
        <v>30</v>
      </c>
      <c r="X538" s="53" t="str">
        <f t="array" ref="X538">XLOOKUP($A538,'Recipients REF'!$A:$A,'Recipients REF'!L:L,"",0)</f>
        <v>25100808</v>
      </c>
      <c r="Y538" s="48" t="s">
        <v>29</v>
      </c>
      <c r="Z538" s="48" t="s">
        <v>31</v>
      </c>
      <c r="AA538" s="54" t="str">
        <f t="array" ref="AA538">XLOOKUP($A538,'Recipients REF'!$A:$A,'Recipients REF'!M:M,"",0)</f>
        <v>25101169</v>
      </c>
      <c r="AB538" s="49"/>
      <c r="AC538" s="42"/>
      <c r="AD538" s="42"/>
      <c r="AE538" s="50"/>
      <c r="AF538" s="42"/>
      <c r="AG538" s="42"/>
      <c r="AH538" s="42"/>
      <c r="AI538" s="42" t="str">
        <f t="array" ref="AI538">XLOOKUP($E538,Sheet11!$D:$D,Sheet11!$X:$X,"",0)</f>
        <v/>
      </c>
      <c r="AJ538" s="42" t="str">
        <f t="array" ref="AJ538">XLOOKUP($E538,Sheet11!$D:$D,Sheet11!$Y:$Y,"",0)</f>
        <v/>
      </c>
    </row>
    <row r="539">
      <c r="A539" s="41">
        <v>660.0</v>
      </c>
      <c r="B539" s="42" t="s">
        <v>1060</v>
      </c>
      <c r="C539" s="42" t="s">
        <v>1061</v>
      </c>
      <c r="D539" s="42"/>
      <c r="E539" s="42" t="str">
        <f t="shared" ref="E539:F539" si="540">PROPER(B539)</f>
        <v>Sgrne Farmers Association Incorporated</v>
      </c>
      <c r="F539" s="42" t="str">
        <f t="shared" si="540"/>
        <v>San Gregorio, Rizal, Nueva Ecija</v>
      </c>
      <c r="G539" s="42" t="str">
        <f t="shared" si="3"/>
        <v>San Gregorio</v>
      </c>
      <c r="H539" s="42" t="str">
        <f t="shared" si="4"/>
        <v>Rizal</v>
      </c>
      <c r="I539" s="42" t="str">
        <f t="shared" si="5"/>
        <v>Nueva Ecija</v>
      </c>
      <c r="J539" s="42" t="str">
        <f t="array" ref="J539">XLOOKUP($E539,'Recipients REF'!$B:$B,'Recipients REF'!D:D,"",0)</f>
        <v>Haydee P. Cabuslay</v>
      </c>
      <c r="K539" s="42" t="str">
        <f t="array" ref="K539">XLOOKUP($E539,'Recipients REF'!$B:$B,'Recipients REF'!E:E,"",0)</f>
        <v>0975-373-5467</v>
      </c>
      <c r="L539" s="43" t="str">
        <f t="array" ref="L539">XLOOKUP($A539,'Recipients REF'!$A:$A,'Recipients REF'!F:F,"",0)</f>
        <v>RCEF 25-03-05</v>
      </c>
      <c r="M539" s="43">
        <f t="array" ref="M539">XLOOKUP($A539,'Recipients REF'!$A:$A,'Recipients REF'!G:G,"",0)</f>
        <v>5</v>
      </c>
      <c r="N539" s="43" t="str">
        <f t="array" ref="N539">XLOOKUP($A539,'Recipients REF'!$A:$A,'Recipients REF'!H:H,"",0)</f>
        <v>26250 &amp; 27839</v>
      </c>
      <c r="O539" s="44" t="s">
        <v>25</v>
      </c>
      <c r="P539" s="45" t="s">
        <v>26</v>
      </c>
      <c r="Q539" s="46" t="str">
        <f t="array" ref="Q539">XLOOKUP($A539,'Recipients REF'!$A:$A,'Recipients REF'!I:I,"",0)</f>
        <v>KMC5825 ALSFPV0385</v>
      </c>
      <c r="R539" s="53" t="str">
        <f t="array" ref="R539">XLOOKUP($A539,'Recipients REF'!$A:$A,'Recipients REF'!J:J,"",0)</f>
        <v>STS100465</v>
      </c>
      <c r="S539" s="45" t="s">
        <v>27</v>
      </c>
      <c r="T539" s="45" t="s">
        <v>28</v>
      </c>
      <c r="U539" s="46" t="str">
        <f t="array" ref="U539">XLOOKUP($A539,'Recipients REF'!$A:$A,'Recipients REF'!K:K,"",0)</f>
        <v>WR-SERIES 1453PH</v>
      </c>
      <c r="V539" s="44" t="s">
        <v>29</v>
      </c>
      <c r="W539" s="45" t="s">
        <v>30</v>
      </c>
      <c r="X539" s="53" t="str">
        <f t="array" ref="X539">XLOOKUP($A539,'Recipients REF'!$A:$A,'Recipients REF'!L:L,"",0)</f>
        <v>25100843</v>
      </c>
      <c r="Y539" s="48" t="s">
        <v>29</v>
      </c>
      <c r="Z539" s="48" t="s">
        <v>31</v>
      </c>
      <c r="AA539" s="54" t="str">
        <f t="array" ref="AA539">XLOOKUP($A539,'Recipients REF'!$A:$A,'Recipients REF'!M:M,"",0)</f>
        <v>25101178</v>
      </c>
      <c r="AB539" s="49"/>
      <c r="AC539" s="42"/>
      <c r="AD539" s="42"/>
      <c r="AE539" s="55">
        <v>8.69066063796339E14</v>
      </c>
      <c r="AF539" s="56" t="s">
        <v>1062</v>
      </c>
      <c r="AG539" s="42"/>
      <c r="AH539" s="42"/>
      <c r="AI539" s="42" t="str">
        <f t="array" ref="AI539">XLOOKUP($E539,Sheet11!$D:$D,Sheet11!$X:$X,"",0)</f>
        <v/>
      </c>
      <c r="AJ539" s="42" t="str">
        <f t="array" ref="AJ539">XLOOKUP($E539,Sheet11!$D:$D,Sheet11!$Y:$Y,"",0)</f>
        <v/>
      </c>
    </row>
    <row r="540">
      <c r="A540" s="41">
        <v>254.0</v>
      </c>
      <c r="B540" s="42" t="s">
        <v>1063</v>
      </c>
      <c r="C540" s="42" t="s">
        <v>1064</v>
      </c>
      <c r="D540" s="42"/>
      <c r="E540" s="42" t="str">
        <f t="shared" ref="E540:F540" si="541">PROPER(B540)</f>
        <v>Mataladtad Farmers Irrigators Association Inc.</v>
      </c>
      <c r="F540" s="42" t="str">
        <f t="shared" si="541"/>
        <v>Papaya, San Antonio, Nueva Ecija</v>
      </c>
      <c r="G540" s="42" t="str">
        <f t="shared" si="3"/>
        <v>Papaya</v>
      </c>
      <c r="H540" s="42" t="str">
        <f t="shared" si="4"/>
        <v>San Antonio</v>
      </c>
      <c r="I540" s="42" t="str">
        <f t="shared" si="5"/>
        <v>Nueva Ecija</v>
      </c>
      <c r="J540" s="42" t="str">
        <f t="array" ref="J540">XLOOKUP($E540,'Recipients REF'!$B:$B,'Recipients REF'!D:D,"",0)</f>
        <v>Raymundo S. Sulit</v>
      </c>
      <c r="K540" s="42" t="str">
        <f t="array" ref="K540">XLOOKUP($E540,'Recipients REF'!$B:$B,'Recipients REF'!E:E,"",0)</f>
        <v>0965-716-9673</v>
      </c>
      <c r="L540" s="43" t="str">
        <f t="array" ref="L540">XLOOKUP($A540,'Recipients REF'!$A:$A,'Recipients REF'!F:F,"",0)</f>
        <v>RCEF 23-09-21 Rebidding</v>
      </c>
      <c r="M540" s="43">
        <f t="array" ref="M540">XLOOKUP($A540,'Recipients REF'!$A:$A,'Recipients REF'!G:G,"",0)</f>
        <v>3</v>
      </c>
      <c r="N540" s="43">
        <f t="array" ref="N540">XLOOKUP($A540,'Recipients REF'!$A:$A,'Recipients REF'!H:H,"",0)</f>
        <v>18813</v>
      </c>
      <c r="O540" s="44" t="s">
        <v>25</v>
      </c>
      <c r="P540" s="45" t="s">
        <v>26</v>
      </c>
      <c r="Q540" s="46" t="str">
        <f t="array" ref="Q540">XLOOKUP($A540,'Recipients REF'!$A:$A,'Recipients REF'!I:I,"",0)</f>
        <v>KMC5825 AKRFPV0423</v>
      </c>
      <c r="R540" s="47" t="str">
        <f t="array" ref="R540">XLOOKUP($A540,'Recipients REF'!$A:$A,'Recipients REF'!J:J,"",0)</f>
        <v>RTS100324</v>
      </c>
      <c r="S540" s="45" t="s">
        <v>27</v>
      </c>
      <c r="T540" s="45" t="s">
        <v>28</v>
      </c>
      <c r="U540" s="46" t="str">
        <f t="array" ref="U540">XLOOKUP($A540,'Recipients REF'!$A:$A,'Recipients REF'!K:K,"",0)</f>
        <v>R-SERIES 173 PH</v>
      </c>
      <c r="V540" s="44" t="s">
        <v>29</v>
      </c>
      <c r="W540" s="45" t="s">
        <v>30</v>
      </c>
      <c r="X540" s="47" t="str">
        <f t="array" ref="X540">XLOOKUP($A540,'Recipients REF'!$A:$A,'Recipients REF'!L:L,"",0)</f>
        <v>LSGW1750 RMP 24020492</v>
      </c>
      <c r="Y540" s="48" t="s">
        <v>29</v>
      </c>
      <c r="Z540" s="48" t="s">
        <v>31</v>
      </c>
      <c r="AA540" s="46" t="str">
        <f t="array" ref="AA540">XLOOKUP($A540,'Recipients REF'!$A:$A,'Recipients REF'!M:M,"",0)</f>
        <v>WDP40 RMP 24050628</v>
      </c>
      <c r="AB540" s="49"/>
      <c r="AC540" s="42"/>
      <c r="AD540" s="42"/>
      <c r="AE540" s="50"/>
      <c r="AF540" s="42"/>
      <c r="AG540" s="42"/>
      <c r="AH540" s="42"/>
      <c r="AI540" s="42">
        <f t="array" ref="AI540">XLOOKUP($E540,Sheet11!$D:$D,Sheet11!$X:$X,"",0)</f>
        <v>869066060242618</v>
      </c>
      <c r="AJ540" s="42">
        <f t="array" ref="AJ540">XLOOKUP($E540,Sheet11!$D:$D,Sheet11!$Y:$Y,"",0)</f>
        <v>9087860878</v>
      </c>
    </row>
    <row r="541">
      <c r="A541" s="41">
        <v>255.0</v>
      </c>
      <c r="B541" s="42" t="s">
        <v>1065</v>
      </c>
      <c r="C541" s="42" t="s">
        <v>1066</v>
      </c>
      <c r="D541" s="42"/>
      <c r="E541" s="42" t="str">
        <f t="shared" ref="E541:F541" si="542">PROPER(B541)</f>
        <v>Talaheben Irrigators Assn. Inc.</v>
      </c>
      <c r="F541" s="42" t="str">
        <f t="shared" si="542"/>
        <v>San Francisco, San Antonio, Nueva Ecija</v>
      </c>
      <c r="G541" s="42" t="str">
        <f t="shared" si="3"/>
        <v>San Francisco</v>
      </c>
      <c r="H541" s="42" t="str">
        <f t="shared" si="4"/>
        <v>San Antonio</v>
      </c>
      <c r="I541" s="42" t="str">
        <f t="shared" si="5"/>
        <v>Nueva Ecija</v>
      </c>
      <c r="J541" s="42" t="str">
        <f t="array" ref="J541">XLOOKUP($E541,'Recipients REF'!$B:$B,'Recipients REF'!D:D,"",0)</f>
        <v>Normeniano E. Rivera</v>
      </c>
      <c r="K541" s="42" t="str">
        <f t="array" ref="K541">XLOOKUP($E541,'Recipients REF'!$B:$B,'Recipients REF'!E:E,"",0)</f>
        <v>0916-196-7526</v>
      </c>
      <c r="L541" s="43" t="str">
        <f t="array" ref="L541">XLOOKUP($A541,'Recipients REF'!$A:$A,'Recipients REF'!F:F,"",0)</f>
        <v>RCEF 23-09-21 Rebidding</v>
      </c>
      <c r="M541" s="43">
        <f t="array" ref="M541">XLOOKUP($A541,'Recipients REF'!$A:$A,'Recipients REF'!G:G,"",0)</f>
        <v>3</v>
      </c>
      <c r="N541" s="43">
        <f t="array" ref="N541">XLOOKUP($A541,'Recipients REF'!$A:$A,'Recipients REF'!H:H,"",0)</f>
        <v>18815</v>
      </c>
      <c r="O541" s="44" t="s">
        <v>25</v>
      </c>
      <c r="P541" s="45" t="s">
        <v>26</v>
      </c>
      <c r="Q541" s="46" t="str">
        <f t="array" ref="Q541">XLOOKUP($A541,'Recipients REF'!$A:$A,'Recipients REF'!I:I,"",0)</f>
        <v>KMC5825 AKRFPV0339</v>
      </c>
      <c r="R541" s="47" t="str">
        <f t="array" ref="R541">XLOOKUP($A541,'Recipients REF'!$A:$A,'Recipients REF'!J:J,"",0)</f>
        <v>RTS100233</v>
      </c>
      <c r="S541" s="45" t="s">
        <v>27</v>
      </c>
      <c r="T541" s="45" t="s">
        <v>28</v>
      </c>
      <c r="U541" s="46" t="str">
        <f t="array" ref="U541">XLOOKUP($A541,'Recipients REF'!$A:$A,'Recipients REF'!K:K,"",0)</f>
        <v>R-SERIES 243 PH</v>
      </c>
      <c r="V541" s="44" t="s">
        <v>29</v>
      </c>
      <c r="W541" s="45" t="s">
        <v>30</v>
      </c>
      <c r="X541" s="47" t="str">
        <f t="array" ref="X541">XLOOKUP($A541,'Recipients REF'!$A:$A,'Recipients REF'!L:L,"",0)</f>
        <v>LSGW1750 RMP 24020412</v>
      </c>
      <c r="Y541" s="48" t="s">
        <v>29</v>
      </c>
      <c r="Z541" s="48" t="s">
        <v>31</v>
      </c>
      <c r="AA541" s="46" t="str">
        <f t="array" ref="AA541">XLOOKUP($A541,'Recipients REF'!$A:$A,'Recipients REF'!M:M,"",0)</f>
        <v>WDP40 RMP 24050632</v>
      </c>
      <c r="AB541" s="49"/>
      <c r="AC541" s="42"/>
      <c r="AD541" s="42"/>
      <c r="AE541" s="50"/>
      <c r="AF541" s="42"/>
      <c r="AG541" s="42"/>
      <c r="AH541" s="42"/>
      <c r="AI541" s="42" t="str">
        <f t="array" ref="AI541">XLOOKUP($E541,Sheet11!$D:$D,Sheet11!$X:$X,"",0)</f>
        <v/>
      </c>
      <c r="AJ541" s="42" t="str">
        <f t="array" ref="AJ541">XLOOKUP($E541,Sheet11!$D:$D,Sheet11!$Y:$Y,"",0)</f>
        <v/>
      </c>
    </row>
    <row r="542">
      <c r="A542" s="41">
        <v>256.0</v>
      </c>
      <c r="B542" s="42" t="s">
        <v>1067</v>
      </c>
      <c r="C542" s="42" t="s">
        <v>1068</v>
      </c>
      <c r="D542" s="42"/>
      <c r="E542" s="42" t="str">
        <f t="shared" ref="E542:F542" si="543">PROPER(B542)</f>
        <v>Bigayan Sa Pagpapatubig Irrigators' Association, Inc.</v>
      </c>
      <c r="F542" s="42" t="str">
        <f t="shared" si="543"/>
        <v>Pulo, San Isidro, Nueva Ecija</v>
      </c>
      <c r="G542" s="42" t="str">
        <f t="shared" si="3"/>
        <v>Pulo</v>
      </c>
      <c r="H542" s="42" t="str">
        <f t="shared" si="4"/>
        <v>San Isidro</v>
      </c>
      <c r="I542" s="42" t="str">
        <f t="shared" si="5"/>
        <v>Nueva Ecija</v>
      </c>
      <c r="J542" s="42" t="str">
        <f t="array" ref="J542">XLOOKUP($E542,'Recipients REF'!$B:$B,'Recipients REF'!D:D,"",0)</f>
        <v>Joselito Lopez</v>
      </c>
      <c r="K542" s="42" t="str">
        <f t="array" ref="K542">XLOOKUP($E542,'Recipients REF'!$B:$B,'Recipients REF'!E:E,"",0)</f>
        <v>0939-421-0958</v>
      </c>
      <c r="L542" s="43" t="str">
        <f t="array" ref="L542">XLOOKUP($A542,'Recipients REF'!$A:$A,'Recipients REF'!F:F,"",0)</f>
        <v>RCEF 23-09-21 Rebidding</v>
      </c>
      <c r="M542" s="43">
        <f t="array" ref="M542">XLOOKUP($A542,'Recipients REF'!$A:$A,'Recipients REF'!G:G,"",0)</f>
        <v>3</v>
      </c>
      <c r="N542" s="43">
        <f t="array" ref="N542">XLOOKUP($A542,'Recipients REF'!$A:$A,'Recipients REF'!H:H,"",0)</f>
        <v>18816</v>
      </c>
      <c r="O542" s="44" t="s">
        <v>25</v>
      </c>
      <c r="P542" s="45" t="s">
        <v>26</v>
      </c>
      <c r="Q542" s="46" t="str">
        <f t="array" ref="Q542">XLOOKUP($A542,'Recipients REF'!$A:$A,'Recipients REF'!I:I,"",0)</f>
        <v>KMC5825 ALRFPV0204</v>
      </c>
      <c r="R542" s="47" t="str">
        <f t="array" ref="R542">XLOOKUP($A542,'Recipients REF'!$A:$A,'Recipients REF'!J:J,"",0)</f>
        <v>RTS100051</v>
      </c>
      <c r="S542" s="45" t="s">
        <v>27</v>
      </c>
      <c r="T542" s="45" t="s">
        <v>28</v>
      </c>
      <c r="U542" s="46" t="str">
        <f t="array" ref="U542">XLOOKUP($A542,'Recipients REF'!$A:$A,'Recipients REF'!K:K,"",0)</f>
        <v>R-SERIES 122 PH</v>
      </c>
      <c r="V542" s="44" t="s">
        <v>29</v>
      </c>
      <c r="W542" s="45" t="s">
        <v>30</v>
      </c>
      <c r="X542" s="47" t="str">
        <f t="array" ref="X542">XLOOKUP($A542,'Recipients REF'!$A:$A,'Recipients REF'!L:L,"",0)</f>
        <v>LSGW1750 RMP 24020455</v>
      </c>
      <c r="Y542" s="48" t="s">
        <v>29</v>
      </c>
      <c r="Z542" s="48" t="s">
        <v>31</v>
      </c>
      <c r="AA542" s="46" t="str">
        <f t="array" ref="AA542">XLOOKUP($A542,'Recipients REF'!$A:$A,'Recipients REF'!M:M,"",0)</f>
        <v>WDP40 RMP 24050625</v>
      </c>
      <c r="AB542" s="49"/>
      <c r="AC542" s="42"/>
      <c r="AD542" s="42"/>
      <c r="AE542" s="50"/>
      <c r="AF542" s="42"/>
      <c r="AG542" s="42"/>
      <c r="AH542" s="42"/>
      <c r="AI542" s="42">
        <f t="array" ref="AI542">XLOOKUP($E542,Sheet11!$D:$D,Sheet11!$X:$X,"",0)</f>
        <v>869066060241404</v>
      </c>
      <c r="AJ542" s="42">
        <f t="array" ref="AJ542">XLOOKUP($E542,Sheet11!$D:$D,Sheet11!$Y:$Y,"",0)</f>
        <v>9622460296</v>
      </c>
    </row>
    <row r="543">
      <c r="A543" s="41">
        <v>257.0</v>
      </c>
      <c r="B543" s="42" t="s">
        <v>1069</v>
      </c>
      <c r="C543" s="42" t="s">
        <v>1068</v>
      </c>
      <c r="D543" s="42"/>
      <c r="E543" s="42" t="str">
        <f t="shared" ref="E543:F543" si="544">PROPER(B543)</f>
        <v>Sampalucan Irrigators Association Inc.</v>
      </c>
      <c r="F543" s="42" t="str">
        <f t="shared" si="544"/>
        <v>Pulo, San Isidro, Nueva Ecija</v>
      </c>
      <c r="G543" s="42" t="str">
        <f t="shared" si="3"/>
        <v>Pulo</v>
      </c>
      <c r="H543" s="42" t="str">
        <f t="shared" si="4"/>
        <v>San Isidro</v>
      </c>
      <c r="I543" s="42" t="str">
        <f t="shared" si="5"/>
        <v>Nueva Ecija</v>
      </c>
      <c r="J543" s="42" t="str">
        <f t="array" ref="J543">XLOOKUP($E543,'Recipients REF'!$B:$B,'Recipients REF'!D:D,"",0)</f>
        <v>Fernando Magbitang</v>
      </c>
      <c r="K543" s="42" t="str">
        <f t="array" ref="K543">XLOOKUP($E543,'Recipients REF'!$B:$B,'Recipients REF'!E:E,"",0)</f>
        <v>0997-502-5628</v>
      </c>
      <c r="L543" s="43" t="str">
        <f t="array" ref="L543">XLOOKUP($A543,'Recipients REF'!$A:$A,'Recipients REF'!F:F,"",0)</f>
        <v>RCEF 23-09-21 Rebidding</v>
      </c>
      <c r="M543" s="43">
        <f t="array" ref="M543">XLOOKUP($A543,'Recipients REF'!$A:$A,'Recipients REF'!G:G,"",0)</f>
        <v>3</v>
      </c>
      <c r="N543" s="43">
        <f t="array" ref="N543">XLOOKUP($A543,'Recipients REF'!$A:$A,'Recipients REF'!H:H,"",0)</f>
        <v>18817</v>
      </c>
      <c r="O543" s="44" t="s">
        <v>25</v>
      </c>
      <c r="P543" s="45" t="s">
        <v>26</v>
      </c>
      <c r="Q543" s="46" t="str">
        <f t="array" ref="Q543">XLOOKUP($A543,'Recipients REF'!$A:$A,'Recipients REF'!I:I,"",0)</f>
        <v>KMC5825 AARFPV0430</v>
      </c>
      <c r="R543" s="47" t="str">
        <f t="array" ref="R543">XLOOKUP($A543,'Recipients REF'!$A:$A,'Recipients REF'!J:J,"",0)</f>
        <v>RTS100332</v>
      </c>
      <c r="S543" s="45" t="s">
        <v>27</v>
      </c>
      <c r="T543" s="45" t="s">
        <v>28</v>
      </c>
      <c r="U543" s="46" t="str">
        <f t="array" ref="U543">XLOOKUP($A543,'Recipients REF'!$A:$A,'Recipients REF'!K:K,"",0)</f>
        <v>R-SERIES 147 PH</v>
      </c>
      <c r="V543" s="44" t="s">
        <v>29</v>
      </c>
      <c r="W543" s="45" t="s">
        <v>30</v>
      </c>
      <c r="X543" s="47" t="str">
        <f t="array" ref="X543">XLOOKUP($A543,'Recipients REF'!$A:$A,'Recipients REF'!L:L,"",0)</f>
        <v>LSGW1750 RMP 24020449</v>
      </c>
      <c r="Y543" s="48" t="s">
        <v>29</v>
      </c>
      <c r="Z543" s="48" t="s">
        <v>31</v>
      </c>
      <c r="AA543" s="46" t="str">
        <f t="array" ref="AA543">XLOOKUP($A543,'Recipients REF'!$A:$A,'Recipients REF'!M:M,"",0)</f>
        <v>WDP40 RMP 24050620</v>
      </c>
      <c r="AB543" s="49"/>
      <c r="AC543" s="42"/>
      <c r="AD543" s="42"/>
      <c r="AE543" s="50"/>
      <c r="AF543" s="42"/>
      <c r="AG543" s="42"/>
      <c r="AH543" s="42"/>
      <c r="AI543" s="42">
        <f t="array" ref="AI543">XLOOKUP($E543,Sheet11!$D:$D,Sheet11!$X:$X,"",0)</f>
        <v>869066060239283</v>
      </c>
      <c r="AJ543" s="42">
        <f t="array" ref="AJ543">XLOOKUP($E543,Sheet11!$D:$D,Sheet11!$Y:$Y,"",0)</f>
        <v>9624396927</v>
      </c>
    </row>
    <row r="544">
      <c r="A544" s="41">
        <v>258.0</v>
      </c>
      <c r="B544" s="42" t="s">
        <v>1070</v>
      </c>
      <c r="C544" s="42" t="s">
        <v>1071</v>
      </c>
      <c r="D544" s="42"/>
      <c r="E544" s="42" t="str">
        <f t="shared" ref="E544:F544" si="545">PROPER(B544)</f>
        <v>South Nueva Ecija Seed Growers Multipurpose Cooperative</v>
      </c>
      <c r="F544" s="42" t="str">
        <f t="shared" si="545"/>
        <v>Poblacion, San Isidro, Nueva Ecija</v>
      </c>
      <c r="G544" s="42" t="str">
        <f t="shared" si="3"/>
        <v>Poblacion</v>
      </c>
      <c r="H544" s="42" t="str">
        <f t="shared" si="4"/>
        <v>San Isidro</v>
      </c>
      <c r="I544" s="42" t="str">
        <f t="shared" si="5"/>
        <v>Nueva Ecija</v>
      </c>
      <c r="J544" s="42" t="str">
        <f t="array" ref="J544">XLOOKUP($E544,'Recipients REF'!$B:$B,'Recipients REF'!D:D,"",0)</f>
        <v>Leonardo DJ. Guinto</v>
      </c>
      <c r="K544" s="42" t="str">
        <f t="array" ref="K544">XLOOKUP($E544,'Recipients REF'!$B:$B,'Recipients REF'!E:E,"",0)</f>
        <v>0916-464-8758</v>
      </c>
      <c r="L544" s="43" t="str">
        <f t="array" ref="L544">XLOOKUP($A544,'Recipients REF'!$A:$A,'Recipients REF'!F:F,"",0)</f>
        <v>RCEF 23-09-21 Rebidding</v>
      </c>
      <c r="M544" s="43">
        <f t="array" ref="M544">XLOOKUP($A544,'Recipients REF'!$A:$A,'Recipients REF'!G:G,"",0)</f>
        <v>3</v>
      </c>
      <c r="N544" s="43">
        <f t="array" ref="N544">XLOOKUP($A544,'Recipients REF'!$A:$A,'Recipients REF'!H:H,"",0)</f>
        <v>18818</v>
      </c>
      <c r="O544" s="44" t="s">
        <v>25</v>
      </c>
      <c r="P544" s="45" t="s">
        <v>26</v>
      </c>
      <c r="Q544" s="46" t="str">
        <f t="array" ref="Q544">XLOOKUP($A544,'Recipients REF'!$A:$A,'Recipients REF'!I:I,"",0)</f>
        <v>KMC5825 AJRFPV0309</v>
      </c>
      <c r="R544" s="47" t="str">
        <f t="array" ref="R544">XLOOKUP($A544,'Recipients REF'!$A:$A,'Recipients REF'!J:J,"",0)</f>
        <v>RTS100199</v>
      </c>
      <c r="S544" s="45" t="s">
        <v>27</v>
      </c>
      <c r="T544" s="45" t="s">
        <v>28</v>
      </c>
      <c r="U544" s="46" t="str">
        <f t="array" ref="U544">XLOOKUP($A544,'Recipients REF'!$A:$A,'Recipients REF'!K:K,"",0)</f>
        <v>R-SERIES 165 PH</v>
      </c>
      <c r="V544" s="44" t="s">
        <v>29</v>
      </c>
      <c r="W544" s="45" t="s">
        <v>30</v>
      </c>
      <c r="X544" s="47" t="str">
        <f t="array" ref="X544">XLOOKUP($A544,'Recipients REF'!$A:$A,'Recipients REF'!L:L,"",0)</f>
        <v>LSGW1750 RMP 24020436</v>
      </c>
      <c r="Y544" s="48" t="s">
        <v>29</v>
      </c>
      <c r="Z544" s="48" t="s">
        <v>31</v>
      </c>
      <c r="AA544" s="46" t="str">
        <f t="array" ref="AA544">XLOOKUP($A544,'Recipients REF'!$A:$A,'Recipients REF'!M:M,"",0)</f>
        <v>WDP40 RMP 24050618</v>
      </c>
      <c r="AB544" s="49"/>
      <c r="AC544" s="42"/>
      <c r="AD544" s="42"/>
      <c r="AE544" s="50"/>
      <c r="AF544" s="42"/>
      <c r="AG544" s="42"/>
      <c r="AH544" s="42"/>
      <c r="AI544" s="42">
        <f t="array" ref="AI544">XLOOKUP($E544,Sheet11!$D:$D,Sheet11!$X:$X,"",0)</f>
        <v>869066060241222</v>
      </c>
      <c r="AJ544" s="42">
        <f t="array" ref="AJ544">XLOOKUP($E544,Sheet11!$D:$D,Sheet11!$Y:$Y,"",0)</f>
        <v>9624396953</v>
      </c>
    </row>
    <row r="545">
      <c r="A545" s="41">
        <v>598.0</v>
      </c>
      <c r="B545" s="42" t="s">
        <v>1072</v>
      </c>
      <c r="C545" s="42" t="s">
        <v>1073</v>
      </c>
      <c r="D545" s="42"/>
      <c r="E545" s="42" t="str">
        <f t="shared" ref="E545:F545" si="546">PROPER(B545)</f>
        <v>Masikap Farmers Association</v>
      </c>
      <c r="F545" s="42" t="str">
        <f t="shared" si="546"/>
        <v>Tayabo, San Jose, Nueva Ecija</v>
      </c>
      <c r="G545" s="42" t="str">
        <f t="shared" si="3"/>
        <v>Tayabo</v>
      </c>
      <c r="H545" s="42" t="str">
        <f t="shared" si="4"/>
        <v>San Jose</v>
      </c>
      <c r="I545" s="42" t="str">
        <f t="shared" si="5"/>
        <v>Nueva Ecija</v>
      </c>
      <c r="J545" s="42" t="str">
        <f t="array" ref="J545">XLOOKUP($E545,'Recipients REF'!$B:$B,'Recipients REF'!D:D,"",0)</f>
        <v>Rolando Gonzales</v>
      </c>
      <c r="K545" s="42">
        <f t="array" ref="K545">XLOOKUP($E545,'Recipients REF'!$B:$B,'Recipients REF'!E:E,"",0)</f>
        <v>9150078166</v>
      </c>
      <c r="L545" s="43" t="str">
        <f t="array" ref="L545">XLOOKUP($A545,'Recipients REF'!$A:$A,'Recipients REF'!F:F,"",0)</f>
        <v>RCEF 24-04-15</v>
      </c>
      <c r="M545" s="43">
        <f t="array" ref="M545">XLOOKUP($A545,'Recipients REF'!$A:$A,'Recipients REF'!G:G,"",0)</f>
        <v>6</v>
      </c>
      <c r="N545" s="43">
        <f t="array" ref="N545">XLOOKUP($A545,'Recipients REF'!$A:$A,'Recipients REF'!H:H,"",0)</f>
        <v>22351</v>
      </c>
      <c r="O545" s="44" t="s">
        <v>25</v>
      </c>
      <c r="P545" s="45" t="s">
        <v>26</v>
      </c>
      <c r="Q545" s="46" t="str">
        <f t="array" ref="Q545">XLOOKUP($A545,'Recipients REF'!$A:$A,'Recipients REF'!I:I,"",0)</f>
        <v>KMC5825AERFPV0898</v>
      </c>
      <c r="R545" s="47" t="str">
        <f t="array" ref="R545">XLOOKUP($A545,'Recipients REF'!$A:$A,'Recipients REF'!J:J,"",0)</f>
        <v>RTS100819</v>
      </c>
      <c r="S545" s="45" t="s">
        <v>27</v>
      </c>
      <c r="T545" s="45" t="s">
        <v>28</v>
      </c>
      <c r="U545" s="46" t="str">
        <f t="array" ref="U545">XLOOKUP($A545,'Recipients REF'!$A:$A,'Recipients REF'!K:K,"",0)</f>
        <v>LSGW170-RMP-24100988</v>
      </c>
      <c r="V545" s="44" t="s">
        <v>29</v>
      </c>
      <c r="W545" s="45" t="s">
        <v>30</v>
      </c>
      <c r="X545" s="47" t="str">
        <f t="array" ref="X545">XLOOKUP($A545,'Recipients REF'!$A:$A,'Recipients REF'!L:L,"",0)</f>
        <v>WDP40-RMP-24111418</v>
      </c>
      <c r="Y545" s="48" t="s">
        <v>29</v>
      </c>
      <c r="Z545" s="48" t="s">
        <v>31</v>
      </c>
      <c r="AA545" s="46" t="str">
        <f t="array" ref="AA545">XLOOKUP($A545,'Recipients REF'!$A:$A,'Recipients REF'!M:M,"",0)</f>
        <v>WR-SERIES-1003PH</v>
      </c>
      <c r="AB545" s="49"/>
      <c r="AC545" s="42"/>
      <c r="AD545" s="42"/>
      <c r="AE545" s="50"/>
      <c r="AF545" s="42"/>
      <c r="AG545" s="42"/>
      <c r="AH545" s="42"/>
      <c r="AI545" s="42" t="str">
        <f t="array" ref="AI545">XLOOKUP($E545,Sheet11!$D:$D,Sheet11!$X:$X,"",0)</f>
        <v/>
      </c>
      <c r="AJ545" s="42" t="str">
        <f t="array" ref="AJ545">XLOOKUP($E545,Sheet11!$D:$D,Sheet11!$Y:$Y,"",0)</f>
        <v/>
      </c>
    </row>
    <row r="546">
      <c r="A546" s="41">
        <v>230.0</v>
      </c>
      <c r="B546" s="42" t="s">
        <v>1074</v>
      </c>
      <c r="C546" s="42" t="s">
        <v>1075</v>
      </c>
      <c r="D546" s="42"/>
      <c r="E546" s="42" t="str">
        <f t="shared" ref="E546:F546" si="547">PROPER(B546)</f>
        <v>Cristamakita Farmers Irrigators' Association, Inc</v>
      </c>
      <c r="F546" s="42" t="str">
        <f t="shared" si="547"/>
        <v>Malasin, San Jose City, Nueva Ecija</v>
      </c>
      <c r="G546" s="42" t="str">
        <f t="shared" si="3"/>
        <v>Malasin</v>
      </c>
      <c r="H546" s="42" t="str">
        <f t="shared" si="4"/>
        <v>San Jose City</v>
      </c>
      <c r="I546" s="42" t="str">
        <f t="shared" si="5"/>
        <v>Nueva Ecija</v>
      </c>
      <c r="J546" s="42" t="str">
        <f t="array" ref="J546">XLOOKUP($E546,'Recipients REF'!$B:$B,'Recipients REF'!D:D,"",0)</f>
        <v>Danilo R. Salvador</v>
      </c>
      <c r="K546" s="42" t="str">
        <f t="array" ref="K546">XLOOKUP($E546,'Recipients REF'!$B:$B,'Recipients REF'!E:E,"",0)</f>
        <v>0926-485-1014</v>
      </c>
      <c r="L546" s="43" t="str">
        <f t="array" ref="L546">XLOOKUP($A546,'Recipients REF'!$A:$A,'Recipients REF'!F:F,"",0)</f>
        <v>RCEF 23-09-21 Rebidding</v>
      </c>
      <c r="M546" s="43">
        <f t="array" ref="M546">XLOOKUP($A546,'Recipients REF'!$A:$A,'Recipients REF'!G:G,"",0)</f>
        <v>3</v>
      </c>
      <c r="N546" s="43">
        <f t="array" ref="N546">XLOOKUP($A546,'Recipients REF'!$A:$A,'Recipients REF'!H:H,"",0)</f>
        <v>18783</v>
      </c>
      <c r="O546" s="44" t="s">
        <v>25</v>
      </c>
      <c r="P546" s="45" t="s">
        <v>26</v>
      </c>
      <c r="Q546" s="46" t="str">
        <f t="array" ref="Q546">XLOOKUP($A546,'Recipients REF'!$A:$A,'Recipients REF'!I:I,"",0)</f>
        <v>KMC 5825 AKRFPV0342</v>
      </c>
      <c r="R546" s="47" t="str">
        <f t="array" ref="R546">XLOOKUP($A546,'Recipients REF'!$A:$A,'Recipients REF'!J:J,"",0)</f>
        <v>RTS 100228</v>
      </c>
      <c r="S546" s="45" t="s">
        <v>27</v>
      </c>
      <c r="T546" s="45" t="s">
        <v>28</v>
      </c>
      <c r="U546" s="46" t="str">
        <f t="array" ref="U546">XLOOKUP($A546,'Recipients REF'!$A:$A,'Recipients REF'!K:K,"",0)</f>
        <v>R SERIES 123 PH</v>
      </c>
      <c r="V546" s="44" t="s">
        <v>29</v>
      </c>
      <c r="W546" s="45" t="s">
        <v>30</v>
      </c>
      <c r="X546" s="47" t="str">
        <f t="array" ref="X546">XLOOKUP($A546,'Recipients REF'!$A:$A,'Recipients REF'!L:L,"",0)</f>
        <v>LSGW1750 RMP 2312152</v>
      </c>
      <c r="Y546" s="48" t="s">
        <v>29</v>
      </c>
      <c r="Z546" s="48" t="s">
        <v>31</v>
      </c>
      <c r="AA546" s="46" t="str">
        <f t="array" ref="AA546">XLOOKUP($A546,'Recipients REF'!$A:$A,'Recipients REF'!M:M,"",0)</f>
        <v>WDP40 RMP 24020230</v>
      </c>
      <c r="AB546" s="49"/>
      <c r="AC546" s="42"/>
      <c r="AD546" s="42"/>
      <c r="AE546" s="50"/>
      <c r="AF546" s="42"/>
      <c r="AG546" s="42"/>
      <c r="AH546" s="42"/>
      <c r="AI546" s="42">
        <f t="array" ref="AI546">XLOOKUP($E546,Sheet11!$D:$D,Sheet11!$X:$X,"",0)</f>
        <v>869066060242246</v>
      </c>
      <c r="AJ546" s="42">
        <f t="array" ref="AJ546">XLOOKUP($E546,Sheet11!$D:$D,Sheet11!$Y:$Y,"",0)</f>
        <v>9624635438</v>
      </c>
    </row>
    <row r="547">
      <c r="A547" s="41">
        <v>231.0</v>
      </c>
      <c r="B547" s="42" t="s">
        <v>1076</v>
      </c>
      <c r="C547" s="42" t="s">
        <v>1077</v>
      </c>
      <c r="D547" s="42"/>
      <c r="E547" s="42" t="str">
        <f t="shared" ref="E547:F547" si="548">PROPER(B547)</f>
        <v>Samahang Ng Lehitimong Magsasaka</v>
      </c>
      <c r="F547" s="42" t="str">
        <f t="shared" si="548"/>
        <v>Santo Niño 3Rd, San Jose City, Nueva Ecija</v>
      </c>
      <c r="G547" s="42" t="str">
        <f t="shared" si="3"/>
        <v>Santo Niño 3Rd</v>
      </c>
      <c r="H547" s="42" t="str">
        <f t="shared" si="4"/>
        <v>San Jose City</v>
      </c>
      <c r="I547" s="42" t="str">
        <f t="shared" si="5"/>
        <v>Nueva Ecija</v>
      </c>
      <c r="J547" s="42" t="str">
        <f t="array" ref="J547">XLOOKUP($E547,'Recipients REF'!$B:$B,'Recipients REF'!D:D,"",0)</f>
        <v>Apolinario C. Aguilar</v>
      </c>
      <c r="K547" s="42" t="str">
        <f t="array" ref="K547">XLOOKUP($E547,'Recipients REF'!$B:$B,'Recipients REF'!E:E,"",0)</f>
        <v>0935-261-9291</v>
      </c>
      <c r="L547" s="43" t="str">
        <f t="array" ref="L547">XLOOKUP($A547,'Recipients REF'!$A:$A,'Recipients REF'!F:F,"",0)</f>
        <v>RCEF 23-09-21 Rebidding</v>
      </c>
      <c r="M547" s="43">
        <f t="array" ref="M547">XLOOKUP($A547,'Recipients REF'!$A:$A,'Recipients REF'!G:G,"",0)</f>
        <v>3</v>
      </c>
      <c r="N547" s="43">
        <f t="array" ref="N547">XLOOKUP($A547,'Recipients REF'!$A:$A,'Recipients REF'!H:H,"",0)</f>
        <v>18784</v>
      </c>
      <c r="O547" s="44" t="s">
        <v>25</v>
      </c>
      <c r="P547" s="45" t="s">
        <v>26</v>
      </c>
      <c r="Q547" s="46" t="str">
        <f t="array" ref="Q547">XLOOKUP($A547,'Recipients REF'!$A:$A,'Recipients REF'!I:I,"",0)</f>
        <v>KMC 5825 AJRFPV0455</v>
      </c>
      <c r="R547" s="47" t="str">
        <f t="array" ref="R547">XLOOKUP($A547,'Recipients REF'!$A:$A,'Recipients REF'!J:J,"",0)</f>
        <v>RTS 100358</v>
      </c>
      <c r="S547" s="45" t="s">
        <v>27</v>
      </c>
      <c r="T547" s="45" t="s">
        <v>28</v>
      </c>
      <c r="U547" s="46" t="str">
        <f t="array" ref="U547">XLOOKUP($A547,'Recipients REF'!$A:$A,'Recipients REF'!K:K,"",0)</f>
        <v>R SERIES 163 PH</v>
      </c>
      <c r="V547" s="44" t="s">
        <v>29</v>
      </c>
      <c r="W547" s="45" t="s">
        <v>30</v>
      </c>
      <c r="X547" s="47" t="str">
        <f t="array" ref="X547">XLOOKUP($A547,'Recipients REF'!$A:$A,'Recipients REF'!L:L,"",0)</f>
        <v>LSGW1750 RMP 24020540</v>
      </c>
      <c r="Y547" s="48" t="s">
        <v>29</v>
      </c>
      <c r="Z547" s="48" t="s">
        <v>31</v>
      </c>
      <c r="AA547" s="46" t="str">
        <f t="array" ref="AA547">XLOOKUP($A547,'Recipients REF'!$A:$A,'Recipients REF'!M:M,"",0)</f>
        <v>WDP40 RMP 24020225</v>
      </c>
      <c r="AB547" s="49"/>
      <c r="AC547" s="42"/>
      <c r="AD547" s="42"/>
      <c r="AE547" s="50"/>
      <c r="AF547" s="42"/>
      <c r="AG547" s="42"/>
      <c r="AH547" s="42"/>
      <c r="AI547" s="42">
        <f t="array" ref="AI547">XLOOKUP($E547,Sheet11!$D:$D,Sheet11!$X:$X,"",0)</f>
        <v>869066060244812</v>
      </c>
      <c r="AJ547" s="42">
        <f t="array" ref="AJ547">XLOOKUP($E547,Sheet11!$D:$D,Sheet11!$Y:$Y,"",0)</f>
        <v>9626441873</v>
      </c>
    </row>
    <row r="548">
      <c r="A548" s="41">
        <v>662.0</v>
      </c>
      <c r="B548" s="42" t="s">
        <v>1078</v>
      </c>
      <c r="C548" s="42" t="s">
        <v>1079</v>
      </c>
      <c r="D548" s="42"/>
      <c r="E548" s="42" t="str">
        <f t="shared" ref="E548:F548" si="549">PROPER(B548)</f>
        <v>Kabuhayan Unlad Sa Agrikultura(Kusa)</v>
      </c>
      <c r="F548" s="42" t="str">
        <f t="shared" si="549"/>
        <v>San Agustin, San Jose City, Nueva Ecija</v>
      </c>
      <c r="G548" s="42" t="str">
        <f t="shared" si="3"/>
        <v>San Agustin</v>
      </c>
      <c r="H548" s="42" t="str">
        <f t="shared" si="4"/>
        <v>San Jose City</v>
      </c>
      <c r="I548" s="42" t="str">
        <f t="shared" si="5"/>
        <v>Nueva Ecija</v>
      </c>
      <c r="J548" s="42" t="str">
        <f t="array" ref="J548">XLOOKUP($E548,'Recipients REF'!$B:$B,'Recipients REF'!D:D,"",0)</f>
        <v>Benigno C. Mico</v>
      </c>
      <c r="K548" s="42" t="str">
        <f t="array" ref="K548">XLOOKUP($E548,'Recipients REF'!$B:$B,'Recipients REF'!E:E,"",0)</f>
        <v>0955-725-8501</v>
      </c>
      <c r="L548" s="43" t="str">
        <f t="array" ref="L548">XLOOKUP($A548,'Recipients REF'!$A:$A,'Recipients REF'!F:F,"",0)</f>
        <v>RCEF 25-03-05</v>
      </c>
      <c r="M548" s="43">
        <f t="array" ref="M548">XLOOKUP($A548,'Recipients REF'!$A:$A,'Recipients REF'!G:G,"",0)</f>
        <v>5</v>
      </c>
      <c r="N548" s="43" t="str">
        <f t="array" ref="N548">XLOOKUP($A548,'Recipients REF'!$A:$A,'Recipients REF'!H:H,"",0)</f>
        <v>26479 &amp; 27840</v>
      </c>
      <c r="O548" s="44" t="s">
        <v>25</v>
      </c>
      <c r="P548" s="45" t="s">
        <v>26</v>
      </c>
      <c r="Q548" s="46" t="str">
        <f t="array" ref="Q548">XLOOKUP($A548,'Recipients REF'!$A:$A,'Recipients REF'!I:I,"",0)</f>
        <v>KMC5825 AASFPV0191</v>
      </c>
      <c r="R548" s="53" t="str">
        <f t="array" ref="R548">XLOOKUP($A548,'Recipients REF'!$A:$A,'Recipients REF'!J:J,"",0)</f>
        <v>STS100218</v>
      </c>
      <c r="S548" s="45" t="s">
        <v>27</v>
      </c>
      <c r="T548" s="45" t="s">
        <v>28</v>
      </c>
      <c r="U548" s="46" t="str">
        <f t="array" ref="U548">XLOOKUP($A548,'Recipients REF'!$A:$A,'Recipients REF'!K:K,"",0)</f>
        <v>WR-SERIES 1454PH</v>
      </c>
      <c r="V548" s="44" t="s">
        <v>29</v>
      </c>
      <c r="W548" s="45" t="s">
        <v>30</v>
      </c>
      <c r="X548" s="53" t="str">
        <f t="array" ref="X548">XLOOKUP($A548,'Recipients REF'!$A:$A,'Recipients REF'!L:L,"",0)</f>
        <v>2510826</v>
      </c>
      <c r="Y548" s="48" t="s">
        <v>29</v>
      </c>
      <c r="Z548" s="48" t="s">
        <v>31</v>
      </c>
      <c r="AA548" s="54" t="str">
        <f t="array" ref="AA548">XLOOKUP($A548,'Recipients REF'!$A:$A,'Recipients REF'!M:M,"",0)</f>
        <v>25101181</v>
      </c>
      <c r="AB548" s="49"/>
      <c r="AC548" s="42"/>
      <c r="AD548" s="42"/>
      <c r="AE548" s="50"/>
      <c r="AF548" s="42"/>
      <c r="AG548" s="42"/>
      <c r="AH548" s="42"/>
      <c r="AI548" s="42" t="str">
        <f t="array" ref="AI548">XLOOKUP($E548,Sheet11!$D:$D,Sheet11!$X:$X,"",0)</f>
        <v/>
      </c>
      <c r="AJ548" s="42" t="str">
        <f t="array" ref="AJ548">XLOOKUP($E548,Sheet11!$D:$D,Sheet11!$Y:$Y,"",0)</f>
        <v/>
      </c>
    </row>
    <row r="549">
      <c r="A549" s="41">
        <v>663.0</v>
      </c>
      <c r="B549" s="42" t="s">
        <v>1080</v>
      </c>
      <c r="C549" s="42" t="s">
        <v>1079</v>
      </c>
      <c r="D549" s="42"/>
      <c r="E549" s="42" t="str">
        <f t="shared" ref="E549:F549" si="550">PROPER(B549)</f>
        <v>Kalasag Multipurpose Cooperative</v>
      </c>
      <c r="F549" s="42" t="str">
        <f t="shared" si="550"/>
        <v>San Agustin, San Jose City, Nueva Ecija</v>
      </c>
      <c r="G549" s="42" t="str">
        <f t="shared" si="3"/>
        <v>San Agustin</v>
      </c>
      <c r="H549" s="42" t="str">
        <f t="shared" si="4"/>
        <v>San Jose City</v>
      </c>
      <c r="I549" s="42" t="str">
        <f t="shared" si="5"/>
        <v>Nueva Ecija</v>
      </c>
      <c r="J549" s="42" t="str">
        <f t="array" ref="J549">XLOOKUP($E549,'Recipients REF'!$B:$B,'Recipients REF'!D:D,"",0)</f>
        <v>Arnold V. Dizon</v>
      </c>
      <c r="K549" s="42" t="str">
        <f t="array" ref="K549">XLOOKUP($E549,'Recipients REF'!$B:$B,'Recipients REF'!E:E,"",0)</f>
        <v>0928-254-9849</v>
      </c>
      <c r="L549" s="43" t="str">
        <f t="array" ref="L549">XLOOKUP($A549,'Recipients REF'!$A:$A,'Recipients REF'!F:F,"",0)</f>
        <v>RCEF 25-03-05</v>
      </c>
      <c r="M549" s="43">
        <f t="array" ref="M549">XLOOKUP($A549,'Recipients REF'!$A:$A,'Recipients REF'!G:G,"",0)</f>
        <v>5</v>
      </c>
      <c r="N549" s="43" t="str">
        <f t="array" ref="N549">XLOOKUP($A549,'Recipients REF'!$A:$A,'Recipients REF'!H:H,"",0)</f>
        <v>26480 &amp; 27841</v>
      </c>
      <c r="O549" s="44" t="s">
        <v>25</v>
      </c>
      <c r="P549" s="45" t="s">
        <v>26</v>
      </c>
      <c r="Q549" s="46" t="str">
        <f t="array" ref="Q549">XLOOKUP($A549,'Recipients REF'!$A:$A,'Recipients REF'!I:I,"",0)</f>
        <v>KMC5825 AESFPV0635</v>
      </c>
      <c r="R549" s="53" t="str">
        <f t="array" ref="R549">XLOOKUP($A549,'Recipients REF'!$A:$A,'Recipients REF'!J:J,"",0)</f>
        <v>STS100366</v>
      </c>
      <c r="S549" s="45" t="s">
        <v>27</v>
      </c>
      <c r="T549" s="45" t="s">
        <v>28</v>
      </c>
      <c r="U549" s="46" t="str">
        <f t="array" ref="U549">XLOOKUP($A549,'Recipients REF'!$A:$A,'Recipients REF'!K:K,"",0)</f>
        <v>WR-SERIES 1455PH</v>
      </c>
      <c r="V549" s="44" t="s">
        <v>29</v>
      </c>
      <c r="W549" s="45" t="s">
        <v>30</v>
      </c>
      <c r="X549" s="53" t="str">
        <f t="array" ref="X549">XLOOKUP($A549,'Recipients REF'!$A:$A,'Recipients REF'!L:L,"",0)</f>
        <v>25100847</v>
      </c>
      <c r="Y549" s="48" t="s">
        <v>29</v>
      </c>
      <c r="Z549" s="48" t="s">
        <v>31</v>
      </c>
      <c r="AA549" s="54" t="str">
        <f t="array" ref="AA549">XLOOKUP($A549,'Recipients REF'!$A:$A,'Recipients REF'!M:M,"",0)</f>
        <v>25101164</v>
      </c>
      <c r="AB549" s="49"/>
      <c r="AC549" s="42"/>
      <c r="AD549" s="42"/>
      <c r="AE549" s="50"/>
      <c r="AF549" s="42"/>
      <c r="AG549" s="42"/>
      <c r="AH549" s="42"/>
      <c r="AI549" s="42" t="str">
        <f t="array" ref="AI549">XLOOKUP($E549,Sheet11!$D:$D,Sheet11!$X:$X,"",0)</f>
        <v/>
      </c>
      <c r="AJ549" s="42" t="str">
        <f t="array" ref="AJ549">XLOOKUP($E549,Sheet11!$D:$D,Sheet11!$Y:$Y,"",0)</f>
        <v/>
      </c>
    </row>
    <row r="550">
      <c r="A550" s="41">
        <v>259.0</v>
      </c>
      <c r="B550" s="42" t="s">
        <v>1081</v>
      </c>
      <c r="C550" s="42" t="s">
        <v>1082</v>
      </c>
      <c r="D550" s="42"/>
      <c r="E550" s="42" t="str">
        <f t="shared" ref="E550:F550" si="551">PROPER(B550)</f>
        <v>Pangbiyernes Irrigators Association, Inc.</v>
      </c>
      <c r="F550" s="42" t="str">
        <f t="shared" si="551"/>
        <v>Tabuating, San Leonardo, Nueva Ecija</v>
      </c>
      <c r="G550" s="42" t="str">
        <f t="shared" si="3"/>
        <v>Tabuating</v>
      </c>
      <c r="H550" s="42" t="str">
        <f t="shared" si="4"/>
        <v>San Leonardo</v>
      </c>
      <c r="I550" s="42" t="str">
        <f t="shared" si="5"/>
        <v>Nueva Ecija</v>
      </c>
      <c r="J550" s="42" t="str">
        <f t="array" ref="J550">XLOOKUP($E550,'Recipients REF'!$B:$B,'Recipients REF'!D:D,"",0)</f>
        <v>Roy Domingo</v>
      </c>
      <c r="K550" s="42" t="str">
        <f t="array" ref="K550">XLOOKUP($E550,'Recipients REF'!$B:$B,'Recipients REF'!E:E,"",0)</f>
        <v>0906-865-0612</v>
      </c>
      <c r="L550" s="43" t="str">
        <f t="array" ref="L550">XLOOKUP($A550,'Recipients REF'!$A:$A,'Recipients REF'!F:F,"",0)</f>
        <v>RCEF 23-09-21 Rebidding</v>
      </c>
      <c r="M550" s="43">
        <f t="array" ref="M550">XLOOKUP($A550,'Recipients REF'!$A:$A,'Recipients REF'!G:G,"",0)</f>
        <v>3</v>
      </c>
      <c r="N550" s="43">
        <f t="array" ref="N550">XLOOKUP($A550,'Recipients REF'!$A:$A,'Recipients REF'!H:H,"",0)</f>
        <v>18819</v>
      </c>
      <c r="O550" s="44" t="s">
        <v>25</v>
      </c>
      <c r="P550" s="45" t="s">
        <v>26</v>
      </c>
      <c r="Q550" s="46" t="str">
        <f t="array" ref="Q550">XLOOKUP($A550,'Recipients REF'!$A:$A,'Recipients REF'!I:I,"",0)</f>
        <v>KMC5825 APRFPV0355</v>
      </c>
      <c r="R550" s="47" t="str">
        <f t="array" ref="R550">XLOOKUP($A550,'Recipients REF'!$A:$A,'Recipients REF'!J:J,"",0)</f>
        <v>RTS100260</v>
      </c>
      <c r="S550" s="45" t="s">
        <v>27</v>
      </c>
      <c r="T550" s="45" t="s">
        <v>28</v>
      </c>
      <c r="U550" s="46" t="str">
        <f t="array" ref="U550">XLOOKUP($A550,'Recipients REF'!$A:$A,'Recipients REF'!K:K,"",0)</f>
        <v>R-SERIES 156 PH</v>
      </c>
      <c r="V550" s="44" t="s">
        <v>29</v>
      </c>
      <c r="W550" s="45" t="s">
        <v>30</v>
      </c>
      <c r="X550" s="47" t="str">
        <f t="array" ref="X550">XLOOKUP($A550,'Recipients REF'!$A:$A,'Recipients REF'!L:L,"",0)</f>
        <v>LSGW1750 RMP 24020444</v>
      </c>
      <c r="Y550" s="48" t="s">
        <v>29</v>
      </c>
      <c r="Z550" s="48" t="s">
        <v>31</v>
      </c>
      <c r="AA550" s="46" t="str">
        <f t="array" ref="AA550">XLOOKUP($A550,'Recipients REF'!$A:$A,'Recipients REF'!M:M,"",0)</f>
        <v>WDP40 RMP 24050601</v>
      </c>
      <c r="AB550" s="49"/>
      <c r="AC550" s="42"/>
      <c r="AD550" s="42"/>
      <c r="AE550" s="50"/>
      <c r="AF550" s="42"/>
      <c r="AG550" s="42"/>
      <c r="AH550" s="42"/>
      <c r="AI550" s="42">
        <f t="array" ref="AI550">XLOOKUP($E550,Sheet11!$D:$D,Sheet11!$X:$X,"",0)</f>
        <v>869066060241289</v>
      </c>
      <c r="AJ550" s="42">
        <f t="array" ref="AJ550">XLOOKUP($E550,Sheet11!$D:$D,Sheet11!$Y:$Y,"",0)</f>
        <v>9624635421</v>
      </c>
    </row>
    <row r="551">
      <c r="A551" s="41">
        <v>724.0</v>
      </c>
      <c r="B551" s="42" t="s">
        <v>1083</v>
      </c>
      <c r="C551" s="42" t="s">
        <v>1084</v>
      </c>
      <c r="D551" s="42"/>
      <c r="E551" s="42" t="str">
        <f t="shared" ref="E551:F551" si="552">PROPER(B551)</f>
        <v>Municipal Local Government Unit Of San Leonardo</v>
      </c>
      <c r="F551" s="42" t="str">
        <f t="shared" si="552"/>
        <v>, San Leonardo, Nueva Ecija</v>
      </c>
      <c r="G551" s="42" t="str">
        <f t="shared" si="3"/>
        <v/>
      </c>
      <c r="H551" s="42" t="str">
        <f t="shared" si="4"/>
        <v>San Leonardo</v>
      </c>
      <c r="I551" s="42" t="str">
        <f t="shared" si="5"/>
        <v>Nueva Ecija</v>
      </c>
      <c r="J551" s="42" t="str">
        <f t="array" ref="J551">XLOOKUP($E551,'Recipients REF'!$B:$B,'Recipients REF'!D:D,"",0)</f>
        <v/>
      </c>
      <c r="K551" s="42" t="str">
        <f t="array" ref="K551">XLOOKUP($E551,'Recipients REF'!$B:$B,'Recipients REF'!E:E,"",0)</f>
        <v/>
      </c>
      <c r="L551" s="43" t="str">
        <f t="array" ref="L551">XLOOKUP($A551,'Recipients REF'!$A:$A,'Recipients REF'!F:F,"",0)</f>
        <v>RCEF 25-03-05</v>
      </c>
      <c r="M551" s="43">
        <f t="array" ref="M551">XLOOKUP($A551,'Recipients REF'!$A:$A,'Recipients REF'!G:G,"",0)</f>
        <v>5</v>
      </c>
      <c r="N551" s="43" t="str">
        <f t="array" ref="N551">XLOOKUP($A551,'Recipients REF'!$A:$A,'Recipients REF'!H:H,"",0)</f>
        <v>26541 &amp; 27722</v>
      </c>
      <c r="O551" s="44" t="s">
        <v>25</v>
      </c>
      <c r="P551" s="45" t="s">
        <v>26</v>
      </c>
      <c r="Q551" s="46" t="str">
        <f t="array" ref="Q551">XLOOKUP($A551,'Recipients REF'!$A:$A,'Recipients REF'!I:I,"",0)</f>
        <v>KMC5825 AJSFPV0333</v>
      </c>
      <c r="R551" s="53" t="str">
        <f t="array" ref="R551">XLOOKUP($A551,'Recipients REF'!$A:$A,'Recipients REF'!J:J,"",0)</f>
        <v>STS100352</v>
      </c>
      <c r="S551" s="45" t="s">
        <v>27</v>
      </c>
      <c r="T551" s="45" t="s">
        <v>28</v>
      </c>
      <c r="U551" s="46" t="str">
        <f t="array" ref="U551">XLOOKUP($A551,'Recipients REF'!$A:$A,'Recipients REF'!K:K,"",0)</f>
        <v>R-SERIES 037PH</v>
      </c>
      <c r="V551" s="44" t="s">
        <v>29</v>
      </c>
      <c r="W551" s="45" t="s">
        <v>30</v>
      </c>
      <c r="X551" s="53" t="str">
        <f t="array" ref="X551">XLOOKUP($A551,'Recipients REF'!$A:$A,'Recipients REF'!L:L,"",0)</f>
        <v>25090452</v>
      </c>
      <c r="Y551" s="48" t="s">
        <v>29</v>
      </c>
      <c r="Z551" s="48" t="s">
        <v>31</v>
      </c>
      <c r="AA551" s="54" t="str">
        <f t="array" ref="AA551">XLOOKUP($A551,'Recipients REF'!$A:$A,'Recipients REF'!M:M,"",0)</f>
        <v>25080840</v>
      </c>
      <c r="AB551" s="49"/>
      <c r="AC551" s="42"/>
      <c r="AD551" s="42"/>
      <c r="AE551" s="50"/>
      <c r="AF551" s="42"/>
      <c r="AG551" s="42"/>
      <c r="AH551" s="42"/>
      <c r="AI551" s="42" t="str">
        <f t="array" ref="AI551">XLOOKUP($E551,Sheet11!$D:$D,Sheet11!$X:$X,"",0)</f>
        <v/>
      </c>
      <c r="AJ551" s="42" t="str">
        <f t="array" ref="AJ551">XLOOKUP($E551,Sheet11!$D:$D,Sheet11!$Y:$Y,"",0)</f>
        <v/>
      </c>
    </row>
    <row r="552">
      <c r="A552" s="41">
        <v>985.0</v>
      </c>
      <c r="B552" s="42" t="s">
        <v>1085</v>
      </c>
      <c r="C552" s="42" t="s">
        <v>1086</v>
      </c>
      <c r="D552" s="42"/>
      <c r="E552" s="42" t="str">
        <f t="shared" ref="E552:F552" si="553">PROPER(B552)</f>
        <v>Bukluran Ng Makabagong Masasasaka Ng San Anton</v>
      </c>
      <c r="F552" s="42" t="str">
        <f t="shared" si="553"/>
        <v>San Anton, San Leonardo, Nueva Ecija</v>
      </c>
      <c r="G552" s="42" t="str">
        <f t="shared" si="3"/>
        <v>San Anton</v>
      </c>
      <c r="H552" s="42" t="str">
        <f t="shared" si="4"/>
        <v>San Leonardo</v>
      </c>
      <c r="I552" s="42" t="str">
        <f t="shared" si="5"/>
        <v>Nueva Ecija</v>
      </c>
      <c r="J552" s="42" t="str">
        <f t="array" ref="J552">XLOOKUP($E552,'Recipients REF'!$B:$B,'Recipients REF'!D:D,"",0)</f>
        <v>Perlita M. De Leon</v>
      </c>
      <c r="K552" s="42" t="str">
        <f t="array" ref="K552">XLOOKUP($E552,'Recipients REF'!$B:$B,'Recipients REF'!E:E,"",0)</f>
        <v>0977-247-0304</v>
      </c>
      <c r="L552" s="43" t="str">
        <f t="array" ref="L552">XLOOKUP($A552,'Recipients REF'!$A:$A,'Recipients REF'!F:F,"",0)</f>
        <v>Repeat Order</v>
      </c>
      <c r="M552" s="43">
        <f t="array" ref="M552">XLOOKUP($A552,'Recipients REF'!$A:$A,'Recipients REF'!G:G,"",0)</f>
        <v>6</v>
      </c>
      <c r="N552" s="43">
        <f t="array" ref="N552">XLOOKUP($A552,'Recipients REF'!$A:$A,'Recipients REF'!H:H,"",0)</f>
        <v>23121</v>
      </c>
      <c r="O552" s="44" t="s">
        <v>25</v>
      </c>
      <c r="P552" s="45" t="s">
        <v>26</v>
      </c>
      <c r="Q552" s="46" t="str">
        <f t="array" ref="Q552">XLOOKUP($A552,'Recipients REF'!$A:$A,'Recipients REF'!I:I,"",0)</f>
        <v>KMC5825AVRFPV1088</v>
      </c>
      <c r="R552" s="47" t="str">
        <f t="array" ref="R552">XLOOKUP($A552,'Recipients REF'!$A:$A,'Recipients REF'!J:J,"",0)</f>
        <v>RTS100892</v>
      </c>
      <c r="S552" s="45" t="s">
        <v>27</v>
      </c>
      <c r="T552" s="45" t="s">
        <v>28</v>
      </c>
      <c r="U552" s="46" t="str">
        <f t="array" ref="U552">XLOOKUP($A552,'Recipients REF'!$A:$A,'Recipients REF'!K:K,"",0)</f>
        <v>WECAN-04215A0630624</v>
      </c>
      <c r="V552" s="44" t="s">
        <v>29</v>
      </c>
      <c r="W552" s="45" t="s">
        <v>30</v>
      </c>
      <c r="X552" s="47" t="str">
        <f t="array" ref="X552">XLOOKUP($A552,'Recipients REF'!$A:$A,'Recipients REF'!L:L,"",0)</f>
        <v>WDP40-RMP-25030390</v>
      </c>
      <c r="Y552" s="48" t="s">
        <v>29</v>
      </c>
      <c r="Z552" s="48" t="s">
        <v>31</v>
      </c>
      <c r="AA552" s="46" t="str">
        <f t="array" ref="AA552">XLOOKUP($A552,'Recipients REF'!$A:$A,'Recipients REF'!M:M,"",0)</f>
        <v>WR-SERIES-1284PH</v>
      </c>
      <c r="AB552" s="49"/>
      <c r="AC552" s="42"/>
      <c r="AD552" s="42"/>
      <c r="AE552" s="50"/>
      <c r="AF552" s="42"/>
      <c r="AG552" s="42"/>
      <c r="AH552" s="42"/>
      <c r="AI552" s="42" t="str">
        <f t="array" ref="AI552">XLOOKUP($E552,Sheet11!$D:$D,Sheet11!$X:$X,"",0)</f>
        <v/>
      </c>
      <c r="AJ552" s="42" t="str">
        <f t="array" ref="AJ552">XLOOKUP($E552,Sheet11!$D:$D,Sheet11!$Y:$Y,"",0)</f>
        <v/>
      </c>
    </row>
    <row r="553">
      <c r="A553" s="41">
        <v>247.0</v>
      </c>
      <c r="B553" s="42" t="s">
        <v>1087</v>
      </c>
      <c r="C553" s="42" t="s">
        <v>1088</v>
      </c>
      <c r="D553" s="42"/>
      <c r="E553" s="42" t="str">
        <f t="shared" ref="E553:F553" si="554">PROPER(B553)</f>
        <v>Rajal Centro Irrigators Association, Inc.</v>
      </c>
      <c r="F553" s="42" t="str">
        <f t="shared" si="554"/>
        <v>Rajal Centro, Santa Rosa, Nueva Ecija</v>
      </c>
      <c r="G553" s="42" t="str">
        <f t="shared" si="3"/>
        <v>Rajal Centro</v>
      </c>
      <c r="H553" s="42" t="str">
        <f t="shared" si="4"/>
        <v>Santa Rosa</v>
      </c>
      <c r="I553" s="42" t="str">
        <f t="shared" si="5"/>
        <v>Nueva Ecija</v>
      </c>
      <c r="J553" s="42" t="str">
        <f t="array" ref="J553">XLOOKUP($E553,'Recipients REF'!$B:$B,'Recipients REF'!D:D,"",0)</f>
        <v>Victor Hernandez</v>
      </c>
      <c r="K553" s="42" t="str">
        <f t="array" ref="K553">XLOOKUP($E553,'Recipients REF'!$B:$B,'Recipients REF'!E:E,"",0)</f>
        <v>0927-470-8816</v>
      </c>
      <c r="L553" s="43" t="str">
        <f t="array" ref="L553">XLOOKUP($A553,'Recipients REF'!$A:$A,'Recipients REF'!F:F,"",0)</f>
        <v>RCEF 23-09-21 Rebidding</v>
      </c>
      <c r="M553" s="43">
        <f t="array" ref="M553">XLOOKUP($A553,'Recipients REF'!$A:$A,'Recipients REF'!G:G,"",0)</f>
        <v>3</v>
      </c>
      <c r="N553" s="43">
        <f t="array" ref="N553">XLOOKUP($A553,'Recipients REF'!$A:$A,'Recipients REF'!H:H,"",0)</f>
        <v>18805</v>
      </c>
      <c r="O553" s="44" t="s">
        <v>25</v>
      </c>
      <c r="P553" s="45" t="s">
        <v>26</v>
      </c>
      <c r="Q553" s="46" t="str">
        <f t="array" ref="Q553">XLOOKUP($A553,'Recipients REF'!$A:$A,'Recipients REF'!I:I,"",0)</f>
        <v>KMC 5825 AJRFPV0536</v>
      </c>
      <c r="R553" s="47" t="str">
        <f t="array" ref="R553">XLOOKUP($A553,'Recipients REF'!$A:$A,'Recipients REF'!J:J,"",0)</f>
        <v>RTS 100202</v>
      </c>
      <c r="S553" s="45" t="s">
        <v>27</v>
      </c>
      <c r="T553" s="45" t="s">
        <v>28</v>
      </c>
      <c r="U553" s="46" t="str">
        <f t="array" ref="U553">XLOOKUP($A553,'Recipients REF'!$A:$A,'Recipients REF'!K:K,"",0)</f>
        <v>R SERIES 390 PH</v>
      </c>
      <c r="V553" s="44" t="s">
        <v>29</v>
      </c>
      <c r="W553" s="45" t="s">
        <v>30</v>
      </c>
      <c r="X553" s="47" t="str">
        <f t="array" ref="X553">XLOOKUP($A553,'Recipients REF'!$A:$A,'Recipients REF'!L:L,"",0)</f>
        <v>LSGW1750 RMP 24020461</v>
      </c>
      <c r="Y553" s="48" t="s">
        <v>29</v>
      </c>
      <c r="Z553" s="48" t="s">
        <v>31</v>
      </c>
      <c r="AA553" s="46" t="str">
        <f t="array" ref="AA553">XLOOKUP($A553,'Recipients REF'!$A:$A,'Recipients REF'!M:M,"",0)</f>
        <v>WDP40 RMP 24020182</v>
      </c>
      <c r="AB553" s="49"/>
      <c r="AC553" s="42"/>
      <c r="AD553" s="42"/>
      <c r="AE553" s="50"/>
      <c r="AF553" s="42"/>
      <c r="AG553" s="42"/>
      <c r="AH553" s="42"/>
      <c r="AI553" s="42">
        <f t="array" ref="AI553">XLOOKUP($E553,Sheet11!$D:$D,Sheet11!$X:$X,"",0)</f>
        <v>869066060244473</v>
      </c>
      <c r="AJ553" s="42">
        <f t="array" ref="AJ553">XLOOKUP($E553,Sheet11!$D:$D,Sheet11!$Y:$Y,"",0)</f>
        <v>9624531330</v>
      </c>
    </row>
    <row r="554">
      <c r="A554" s="41">
        <v>260.0</v>
      </c>
      <c r="B554" s="42" t="s">
        <v>1089</v>
      </c>
      <c r="C554" s="42" t="s">
        <v>1090</v>
      </c>
      <c r="D554" s="42"/>
      <c r="E554" s="42" t="str">
        <f t="shared" ref="E554:F554" si="555">PROPER(B554)</f>
        <v>Sapang Buhay Agriculture Cooperative</v>
      </c>
      <c r="F554" s="42" t="str">
        <f t="shared" si="555"/>
        <v>Tagpos, Santa Rosa, Nueva Ecija</v>
      </c>
      <c r="G554" s="42" t="str">
        <f t="shared" si="3"/>
        <v>Tagpos</v>
      </c>
      <c r="H554" s="42" t="str">
        <f t="shared" si="4"/>
        <v>Santa Rosa</v>
      </c>
      <c r="I554" s="42" t="str">
        <f t="shared" si="5"/>
        <v>Nueva Ecija</v>
      </c>
      <c r="J554" s="42" t="str">
        <f t="array" ref="J554">XLOOKUP($E554,'Recipients REF'!$B:$B,'Recipients REF'!D:D,"",0)</f>
        <v>Heraclio Roberto T. Diaz Jr. Turn on screen reader support</v>
      </c>
      <c r="K554" s="42" t="str">
        <f t="array" ref="K554">XLOOKUP($E554,'Recipients REF'!$B:$B,'Recipients REF'!E:E,"",0)</f>
        <v>0995-291-9405</v>
      </c>
      <c r="L554" s="43" t="str">
        <f t="array" ref="L554">XLOOKUP($A554,'Recipients REF'!$A:$A,'Recipients REF'!F:F,"",0)</f>
        <v>RCEF 23-09-21 Rebidding</v>
      </c>
      <c r="M554" s="43">
        <f t="array" ref="M554">XLOOKUP($A554,'Recipients REF'!$A:$A,'Recipients REF'!G:G,"",0)</f>
        <v>3</v>
      </c>
      <c r="N554" s="43">
        <f t="array" ref="N554">XLOOKUP($A554,'Recipients REF'!$A:$A,'Recipients REF'!H:H,"",0)</f>
        <v>18820</v>
      </c>
      <c r="O554" s="44" t="s">
        <v>25</v>
      </c>
      <c r="P554" s="45" t="s">
        <v>26</v>
      </c>
      <c r="Q554" s="46" t="str">
        <f t="array" ref="Q554">XLOOKUP($A554,'Recipients REF'!$A:$A,'Recipients REF'!I:I,"",0)</f>
        <v>KMC 5825 AARFPV0458</v>
      </c>
      <c r="R554" s="47" t="str">
        <f t="array" ref="R554">XLOOKUP($A554,'Recipients REF'!$A:$A,'Recipients REF'!J:J,"",0)</f>
        <v>RTS 100290</v>
      </c>
      <c r="S554" s="45" t="s">
        <v>27</v>
      </c>
      <c r="T554" s="45" t="s">
        <v>28</v>
      </c>
      <c r="U554" s="46" t="str">
        <f t="array" ref="U554">XLOOKUP($A554,'Recipients REF'!$A:$A,'Recipients REF'!K:K,"",0)</f>
        <v>R SERIES 385</v>
      </c>
      <c r="V554" s="44" t="s">
        <v>29</v>
      </c>
      <c r="W554" s="45" t="s">
        <v>30</v>
      </c>
      <c r="X554" s="47" t="str">
        <f t="array" ref="X554">XLOOKUP($A554,'Recipients REF'!$A:$A,'Recipients REF'!L:L,"",0)</f>
        <v>LSGW1750 RMP 2312146</v>
      </c>
      <c r="Y554" s="48" t="s">
        <v>29</v>
      </c>
      <c r="Z554" s="48" t="s">
        <v>31</v>
      </c>
      <c r="AA554" s="46" t="str">
        <f t="array" ref="AA554">XLOOKUP($A554,'Recipients REF'!$A:$A,'Recipients REF'!M:M,"",0)</f>
        <v>WDP40 RMP 24020207</v>
      </c>
      <c r="AB554" s="49"/>
      <c r="AC554" s="42"/>
      <c r="AD554" s="42"/>
      <c r="AE554" s="50"/>
      <c r="AF554" s="42"/>
      <c r="AG554" s="42"/>
      <c r="AH554" s="42"/>
      <c r="AI554" s="42">
        <f t="array" ref="AI554">XLOOKUP($E554,Sheet11!$D:$D,Sheet11!$X:$X,"",0)</f>
        <v>869066060243673</v>
      </c>
      <c r="AJ554" s="42">
        <f t="array" ref="AJ554">XLOOKUP($E554,Sheet11!$D:$D,Sheet11!$Y:$Y,"",0)</f>
        <v>9624531326</v>
      </c>
    </row>
    <row r="555">
      <c r="A555" s="41">
        <v>206.0</v>
      </c>
      <c r="B555" s="42" t="s">
        <v>1091</v>
      </c>
      <c r="C555" s="42" t="s">
        <v>1092</v>
      </c>
      <c r="D555" s="42"/>
      <c r="E555" s="42" t="str">
        <f t="shared" ref="E555:F555" si="556">PROPER(B555)</f>
        <v>Kaisahan Irrigator'S Association Inc.</v>
      </c>
      <c r="F555" s="42" t="str">
        <f t="shared" si="556"/>
        <v>San Fabian, Santo Domingo, Nueva Ecija</v>
      </c>
      <c r="G555" s="42" t="str">
        <f t="shared" si="3"/>
        <v>San Fabian</v>
      </c>
      <c r="H555" s="42" t="str">
        <f t="shared" si="4"/>
        <v>Santo Domingo</v>
      </c>
      <c r="I555" s="42" t="str">
        <f t="shared" si="5"/>
        <v>Nueva Ecija</v>
      </c>
      <c r="J555" s="42" t="str">
        <f t="array" ref="J555">XLOOKUP($E555,'Recipients REF'!$B:$B,'Recipients REF'!D:D,"",0)</f>
        <v>Darwin D. Cacal</v>
      </c>
      <c r="K555" s="42" t="str">
        <f t="array" ref="K555">XLOOKUP($E555,'Recipients REF'!$B:$B,'Recipients REF'!E:E,"",0)</f>
        <v>0975-721-2437</v>
      </c>
      <c r="L555" s="43" t="str">
        <f t="array" ref="L555">XLOOKUP($A555,'Recipients REF'!$A:$A,'Recipients REF'!F:F,"",0)</f>
        <v>RCEF 23-09-21 Rebidding</v>
      </c>
      <c r="M555" s="43">
        <f t="array" ref="M555">XLOOKUP($A555,'Recipients REF'!$A:$A,'Recipients REF'!G:G,"",0)</f>
        <v>3</v>
      </c>
      <c r="N555" s="43">
        <f t="array" ref="N555">XLOOKUP($A555,'Recipients REF'!$A:$A,'Recipients REF'!H:H,"",0)</f>
        <v>18662</v>
      </c>
      <c r="O555" s="44" t="s">
        <v>25</v>
      </c>
      <c r="P555" s="45" t="s">
        <v>26</v>
      </c>
      <c r="Q555" s="46" t="str">
        <f t="array" ref="Q555">XLOOKUP($A555,'Recipients REF'!$A:$A,'Recipients REF'!I:I,"",0)</f>
        <v>KMC5825 AERFPV0092</v>
      </c>
      <c r="R555" s="47" t="str">
        <f t="array" ref="R555">XLOOKUP($A555,'Recipients REF'!$A:$A,'Recipients REF'!J:J,"",0)</f>
        <v>PTS 100216</v>
      </c>
      <c r="S555" s="45" t="s">
        <v>27</v>
      </c>
      <c r="T555" s="45" t="s">
        <v>28</v>
      </c>
      <c r="U555" s="46" t="str">
        <f t="array" ref="U555">XLOOKUP($A555,'Recipients REF'!$A:$A,'Recipients REF'!K:K,"",0)</f>
        <v>R-SERIES 252 PH</v>
      </c>
      <c r="V555" s="44" t="s">
        <v>29</v>
      </c>
      <c r="W555" s="45" t="s">
        <v>30</v>
      </c>
      <c r="X555" s="47" t="str">
        <f t="array" ref="X555">XLOOKUP($A555,'Recipients REF'!$A:$A,'Recipients REF'!L:L,"",0)</f>
        <v>LSGW1750 RMP 24010087</v>
      </c>
      <c r="Y555" s="48" t="s">
        <v>29</v>
      </c>
      <c r="Z555" s="48" t="s">
        <v>31</v>
      </c>
      <c r="AA555" s="46" t="str">
        <f t="array" ref="AA555">XLOOKUP($A555,'Recipients REF'!$A:$A,'Recipients REF'!M:M,"",0)</f>
        <v>WDP40 RMP 24010160</v>
      </c>
      <c r="AB555" s="49"/>
      <c r="AC555" s="42"/>
      <c r="AD555" s="42"/>
      <c r="AE555" s="56">
        <v>8.69066060237113E14</v>
      </c>
      <c r="AF555" s="56">
        <v>3.23250006120785E14</v>
      </c>
      <c r="AG555" s="42"/>
      <c r="AH555" s="42"/>
      <c r="AI555" s="42">
        <f t="array" ref="AI555">XLOOKUP($E555,Sheet11!$D:$D,Sheet11!$X:$X,"",0)</f>
        <v>869066060237113</v>
      </c>
      <c r="AJ555" s="42">
        <f t="array" ref="AJ555">XLOOKUP($E555,Sheet11!$D:$D,Sheet11!$Y:$Y,"",0)</f>
        <v>9087671035</v>
      </c>
    </row>
    <row r="556">
      <c r="A556" s="41">
        <v>647.0</v>
      </c>
      <c r="B556" s="42" t="s">
        <v>1093</v>
      </c>
      <c r="C556" s="42" t="s">
        <v>1094</v>
      </c>
      <c r="D556" s="42"/>
      <c r="E556" s="42" t="str">
        <f t="shared" ref="E556:F556" si="557">PROPER(B556)</f>
        <v>Municipal Local Government Unit Of Sto. Domingo</v>
      </c>
      <c r="F556" s="42" t="str">
        <f t="shared" si="557"/>
        <v>Sagaba, Santo Domingo, Nueva Ecija</v>
      </c>
      <c r="G556" s="42" t="str">
        <f t="shared" si="3"/>
        <v>Sagaba</v>
      </c>
      <c r="H556" s="42" t="str">
        <f t="shared" si="4"/>
        <v>Santo Domingo</v>
      </c>
      <c r="I556" s="42" t="str">
        <f t="shared" si="5"/>
        <v>Nueva Ecija</v>
      </c>
      <c r="J556" s="42" t="str">
        <f t="array" ref="J556">XLOOKUP($E556,'Recipients REF'!$B:$B,'Recipients REF'!D:D,"",0)</f>
        <v>Bryan Dexter V. Tadena</v>
      </c>
      <c r="K556" s="42" t="str">
        <f t="array" ref="K556">XLOOKUP($E556,'Recipients REF'!$B:$B,'Recipients REF'!E:E,"",0)</f>
        <v>0927-431-5144 (MA - Randy Reburon)</v>
      </c>
      <c r="L556" s="43" t="str">
        <f t="array" ref="L556">XLOOKUP($A556,'Recipients REF'!$A:$A,'Recipients REF'!F:F,"",0)</f>
        <v>RCEF 25-03-05</v>
      </c>
      <c r="M556" s="43">
        <f t="array" ref="M556">XLOOKUP($A556,'Recipients REF'!$A:$A,'Recipients REF'!G:G,"",0)</f>
        <v>5</v>
      </c>
      <c r="N556" s="43" t="str">
        <f t="array" ref="N556">XLOOKUP($A556,'Recipients REF'!$A:$A,'Recipients REF'!H:H,"",0)</f>
        <v>26237 &amp; 27827</v>
      </c>
      <c r="O556" s="44" t="s">
        <v>25</v>
      </c>
      <c r="P556" s="45" t="s">
        <v>26</v>
      </c>
      <c r="Q556" s="46" t="str">
        <f t="array" ref="Q556">XLOOKUP($A556,'Recipients REF'!$A:$A,'Recipients REF'!I:I,"",0)</f>
        <v>KMC5825 AHSFPV0922</v>
      </c>
      <c r="R556" s="53" t="str">
        <f t="array" ref="R556">XLOOKUP($A556,'Recipients REF'!$A:$A,'Recipients REF'!J:J,"",0)</f>
        <v>STS100405</v>
      </c>
      <c r="S556" s="45" t="s">
        <v>27</v>
      </c>
      <c r="T556" s="45" t="s">
        <v>28</v>
      </c>
      <c r="U556" s="46" t="str">
        <f t="array" ref="U556">XLOOKUP($A556,'Recipients REF'!$A:$A,'Recipients REF'!K:K,"",0)</f>
        <v>WR-SERIES 1441PH</v>
      </c>
      <c r="V556" s="44" t="s">
        <v>29</v>
      </c>
      <c r="W556" s="45" t="s">
        <v>30</v>
      </c>
      <c r="X556" s="53" t="str">
        <f t="array" ref="X556">XLOOKUP($A556,'Recipients REF'!$A:$A,'Recipients REF'!L:L,"",0)</f>
        <v>25100823</v>
      </c>
      <c r="Y556" s="48" t="s">
        <v>29</v>
      </c>
      <c r="Z556" s="48" t="s">
        <v>31</v>
      </c>
      <c r="AA556" s="54" t="str">
        <f t="array" ref="AA556">XLOOKUP($A556,'Recipients REF'!$A:$A,'Recipients REF'!M:M,"",0)</f>
        <v>25101185</v>
      </c>
      <c r="AB556" s="49"/>
      <c r="AC556" s="42"/>
      <c r="AD556" s="42"/>
      <c r="AE556" s="50"/>
      <c r="AF556" s="42"/>
      <c r="AG556" s="42"/>
      <c r="AH556" s="42"/>
      <c r="AI556" s="42" t="str">
        <f t="array" ref="AI556">XLOOKUP($E556,Sheet11!$D:$D,Sheet11!$X:$X,"",0)</f>
        <v/>
      </c>
      <c r="AJ556" s="42" t="str">
        <f t="array" ref="AJ556">XLOOKUP($E556,Sheet11!$D:$D,Sheet11!$Y:$Y,"",0)</f>
        <v/>
      </c>
    </row>
    <row r="557">
      <c r="A557" s="41">
        <v>95.0</v>
      </c>
      <c r="B557" s="42" t="s">
        <v>1095</v>
      </c>
      <c r="C557" s="42" t="s">
        <v>1096</v>
      </c>
      <c r="D557" s="42"/>
      <c r="E557" s="42" t="str">
        <f t="shared" ref="E557:F557" si="558">PROPER(B557)</f>
        <v>Makaligaya Irrigators Association Inc.</v>
      </c>
      <c r="F557" s="42" t="str">
        <f t="shared" si="558"/>
        <v>Maligaya, Science City Of Munoz, Nueva Ecija</v>
      </c>
      <c r="G557" s="42" t="str">
        <f t="shared" si="3"/>
        <v>Maligaya</v>
      </c>
      <c r="H557" s="42" t="str">
        <f t="shared" si="4"/>
        <v>Science City Of Munoz</v>
      </c>
      <c r="I557" s="42" t="str">
        <f t="shared" si="5"/>
        <v>Nueva Ecija</v>
      </c>
      <c r="J557" s="42" t="str">
        <f t="array" ref="J557">XLOOKUP($E557,'Recipients REF'!$B:$B,'Recipients REF'!D:D,"",0)</f>
        <v>Ben Gagelonia</v>
      </c>
      <c r="K557" s="42" t="str">
        <f t="array" ref="K557">XLOOKUP($E557,'Recipients REF'!$B:$B,'Recipients REF'!E:E,"",0)</f>
        <v>0995-945-0742</v>
      </c>
      <c r="L557" s="43" t="str">
        <f t="array" ref="L557">XLOOKUP($A557,'Recipients REF'!$A:$A,'Recipients REF'!F:F,"",0)</f>
        <v>RCEF 23-09-21 Rebidding</v>
      </c>
      <c r="M557" s="43">
        <f t="array" ref="M557">XLOOKUP($A557,'Recipients REF'!$A:$A,'Recipients REF'!G:G,"",0)</f>
        <v>3</v>
      </c>
      <c r="N557" s="43">
        <f t="array" ref="N557">XLOOKUP($A557,'Recipients REF'!$A:$A,'Recipients REF'!H:H,"",0)</f>
        <v>17524</v>
      </c>
      <c r="O557" s="44" t="s">
        <v>25</v>
      </c>
      <c r="P557" s="45" t="s">
        <v>26</v>
      </c>
      <c r="Q557" s="46" t="str">
        <f t="array" ref="Q557">XLOOKUP($A557,'Recipients REF'!$A:$A,'Recipients REF'!I:I,"",0)</f>
        <v>KMC 5825 AKPFPV0001</v>
      </c>
      <c r="R557" s="47" t="str">
        <f t="array" ref="R557">XLOOKUP($A557,'Recipients REF'!$A:$A,'Recipients REF'!J:J,"",0)</f>
        <v>PTS100001</v>
      </c>
      <c r="S557" s="45" t="s">
        <v>27</v>
      </c>
      <c r="T557" s="45" t="s">
        <v>28</v>
      </c>
      <c r="U557" s="46" t="str">
        <f t="array" ref="U557">XLOOKUP($A557,'Recipients REF'!$A:$A,'Recipients REF'!K:K,"",0)</f>
        <v>R-SERIES 002PH</v>
      </c>
      <c r="V557" s="44" t="s">
        <v>29</v>
      </c>
      <c r="W557" s="45" t="s">
        <v>30</v>
      </c>
      <c r="X557" s="47" t="str">
        <f t="array" ref="X557">XLOOKUP($A557,'Recipients REF'!$A:$A,'Recipients REF'!L:L,"",0)</f>
        <v>LSGW-RMP-2312174</v>
      </c>
      <c r="Y557" s="48" t="s">
        <v>29</v>
      </c>
      <c r="Z557" s="48" t="s">
        <v>31</v>
      </c>
      <c r="AA557" s="46" t="str">
        <f t="array" ref="AA557">XLOOKUP($A557,'Recipients REF'!$A:$A,'Recipients REF'!M:M,"",0)</f>
        <v>WDP-40-RMP-24010031</v>
      </c>
      <c r="AB557" s="49"/>
      <c r="AC557" s="42"/>
      <c r="AD557" s="42"/>
      <c r="AE557" s="50"/>
      <c r="AF557" s="42"/>
      <c r="AG557" s="42"/>
      <c r="AH557" s="42"/>
      <c r="AI557" s="42">
        <f t="array" ref="AI557">XLOOKUP($E557,Sheet11!$D:$D,Sheet11!$X:$X,"",0)</f>
        <v>869066060244655</v>
      </c>
      <c r="AJ557" s="42">
        <f t="array" ref="AJ557">XLOOKUP($E557,Sheet11!$D:$D,Sheet11!$Y:$Y,"",0)</f>
        <v>9690217481</v>
      </c>
    </row>
    <row r="558">
      <c r="A558" s="41">
        <v>96.0</v>
      </c>
      <c r="B558" s="42" t="s">
        <v>1097</v>
      </c>
      <c r="C558" s="42" t="s">
        <v>1098</v>
      </c>
      <c r="D558" s="42"/>
      <c r="E558" s="42" t="str">
        <f t="shared" ref="E558:F558" si="559">PROPER(B558)</f>
        <v>Maragol Irrigators Association Inc.</v>
      </c>
      <c r="F558" s="42" t="str">
        <f t="shared" si="559"/>
        <v>Maragol, Science City Of Munoz, Nueva Ecija</v>
      </c>
      <c r="G558" s="42" t="str">
        <f t="shared" si="3"/>
        <v>Maragol</v>
      </c>
      <c r="H558" s="42" t="str">
        <f t="shared" si="4"/>
        <v>Science City Of Munoz</v>
      </c>
      <c r="I558" s="42" t="str">
        <f t="shared" si="5"/>
        <v>Nueva Ecija</v>
      </c>
      <c r="J558" s="42" t="str">
        <f t="array" ref="J558">XLOOKUP($E558,'Recipients REF'!$B:$B,'Recipients REF'!D:D,"",0)</f>
        <v>Romulo Baustista</v>
      </c>
      <c r="K558" s="42" t="str">
        <f t="array" ref="K558">XLOOKUP($E558,'Recipients REF'!$B:$B,'Recipients REF'!E:E,"",0)</f>
        <v>0929-468-5455</v>
      </c>
      <c r="L558" s="43" t="str">
        <f t="array" ref="L558">XLOOKUP($A558,'Recipients REF'!$A:$A,'Recipients REF'!F:F,"",0)</f>
        <v>RCEF 23-09-21 Rebidding</v>
      </c>
      <c r="M558" s="43">
        <f t="array" ref="M558">XLOOKUP($A558,'Recipients REF'!$A:$A,'Recipients REF'!G:G,"",0)</f>
        <v>3</v>
      </c>
      <c r="N558" s="43">
        <f t="array" ref="N558">XLOOKUP($A558,'Recipients REF'!$A:$A,'Recipients REF'!H:H,"",0)</f>
        <v>17525</v>
      </c>
      <c r="O558" s="44" t="s">
        <v>25</v>
      </c>
      <c r="P558" s="45" t="s">
        <v>26</v>
      </c>
      <c r="Q558" s="46" t="str">
        <f t="array" ref="Q558">XLOOKUP($A558,'Recipients REF'!$A:$A,'Recipients REF'!I:I,"",0)</f>
        <v>KMC 5825 AEPFPV0011</v>
      </c>
      <c r="R558" s="47" t="str">
        <f t="array" ref="R558">XLOOKUP($A558,'Recipients REF'!$A:$A,'Recipients REF'!J:J,"",0)</f>
        <v>PTS100029</v>
      </c>
      <c r="S558" s="45" t="s">
        <v>27</v>
      </c>
      <c r="T558" s="45" t="s">
        <v>28</v>
      </c>
      <c r="U558" s="46" t="str">
        <f t="array" ref="U558">XLOOKUP($A558,'Recipients REF'!$A:$A,'Recipients REF'!K:K,"",0)</f>
        <v>R-SERIES 021PH</v>
      </c>
      <c r="V558" s="44" t="s">
        <v>29</v>
      </c>
      <c r="W558" s="45" t="s">
        <v>30</v>
      </c>
      <c r="X558" s="47" t="str">
        <f t="array" ref="X558">XLOOKUP($A558,'Recipients REF'!$A:$A,'Recipients REF'!L:L,"",0)</f>
        <v>LSGW1750 RMP 24010225</v>
      </c>
      <c r="Y558" s="48" t="s">
        <v>29</v>
      </c>
      <c r="Z558" s="48" t="s">
        <v>31</v>
      </c>
      <c r="AA558" s="46" t="str">
        <f t="array" ref="AA558">XLOOKUP($A558,'Recipients REF'!$A:$A,'Recipients REF'!M:M,"",0)</f>
        <v>WDP40 RMP 24050626</v>
      </c>
      <c r="AB558" s="49"/>
      <c r="AC558" s="42"/>
      <c r="AD558" s="42"/>
      <c r="AE558" s="50"/>
      <c r="AF558" s="42"/>
      <c r="AG558" s="42"/>
      <c r="AH558" s="42"/>
      <c r="AI558" s="42">
        <f t="array" ref="AI558">XLOOKUP($E558,Sheet11!$D:$D,Sheet11!$X:$X,"",0)</f>
        <v>869066060238541</v>
      </c>
      <c r="AJ558" s="42">
        <f t="array" ref="AJ558">XLOOKUP($E558,Sheet11!$D:$D,Sheet11!$Y:$Y,"",0)</f>
        <v>9690315944</v>
      </c>
    </row>
    <row r="559">
      <c r="A559" s="41">
        <v>97.0</v>
      </c>
      <c r="B559" s="42" t="s">
        <v>1099</v>
      </c>
      <c r="C559" s="42" t="s">
        <v>1100</v>
      </c>
      <c r="D559" s="42"/>
      <c r="E559" s="42" t="str">
        <f t="shared" ref="E559:F559" si="560">PROPER(B559)</f>
        <v>Try Me Agriculture Cooperative (Tmac)</v>
      </c>
      <c r="F559" s="42" t="str">
        <f t="shared" si="560"/>
        <v>Poblacion West, Science City Of Munoz, Nueva Ecija</v>
      </c>
      <c r="G559" s="42" t="str">
        <f t="shared" si="3"/>
        <v>Poblacion West</v>
      </c>
      <c r="H559" s="42" t="str">
        <f t="shared" si="4"/>
        <v>Science City Of Munoz</v>
      </c>
      <c r="I559" s="42" t="str">
        <f t="shared" si="5"/>
        <v>Nueva Ecija</v>
      </c>
      <c r="J559" s="42" t="str">
        <f t="array" ref="J559">XLOOKUP($E559,'Recipients REF'!$B:$B,'Recipients REF'!D:D,"",0)</f>
        <v>Sofronio G. Padua</v>
      </c>
      <c r="K559" s="42" t="str">
        <f t="array" ref="K559">XLOOKUP($E559,'Recipients REF'!$B:$B,'Recipients REF'!E:E,"",0)</f>
        <v>0917-988-2079</v>
      </c>
      <c r="L559" s="43" t="str">
        <f t="array" ref="L559">XLOOKUP($A559,'Recipients REF'!$A:$A,'Recipients REF'!F:F,"",0)</f>
        <v>RCEF 23-09-21 Rebidding</v>
      </c>
      <c r="M559" s="43">
        <f t="array" ref="M559">XLOOKUP($A559,'Recipients REF'!$A:$A,'Recipients REF'!G:G,"",0)</f>
        <v>3</v>
      </c>
      <c r="N559" s="43">
        <f t="array" ref="N559">XLOOKUP($A559,'Recipients REF'!$A:$A,'Recipients REF'!H:H,"",0)</f>
        <v>17526</v>
      </c>
      <c r="O559" s="44" t="s">
        <v>25</v>
      </c>
      <c r="P559" s="45" t="s">
        <v>26</v>
      </c>
      <c r="Q559" s="46" t="str">
        <f t="array" ref="Q559">XLOOKUP($A559,'Recipients REF'!$A:$A,'Recipients REF'!I:I,"",0)</f>
        <v>KMC 5825 ATPFPV0027</v>
      </c>
      <c r="R559" s="47" t="str">
        <f t="array" ref="R559">XLOOKUP($A559,'Recipients REF'!$A:$A,'Recipients REF'!J:J,"",0)</f>
        <v>PTS100024</v>
      </c>
      <c r="S559" s="45" t="s">
        <v>27</v>
      </c>
      <c r="T559" s="45" t="s">
        <v>28</v>
      </c>
      <c r="U559" s="46" t="str">
        <f t="array" ref="U559">XLOOKUP($A559,'Recipients REF'!$A:$A,'Recipients REF'!K:K,"",0)</f>
        <v>R-SERIES 004PH</v>
      </c>
      <c r="V559" s="44" t="s">
        <v>29</v>
      </c>
      <c r="W559" s="45" t="s">
        <v>30</v>
      </c>
      <c r="X559" s="47" t="str">
        <f t="array" ref="X559">XLOOKUP($A559,'Recipients REF'!$A:$A,'Recipients REF'!L:L,"",0)</f>
        <v>LSGW1750 RMP 24020416</v>
      </c>
      <c r="Y559" s="48" t="s">
        <v>29</v>
      </c>
      <c r="Z559" s="48" t="s">
        <v>31</v>
      </c>
      <c r="AA559" s="46" t="str">
        <f t="array" ref="AA559">XLOOKUP($A559,'Recipients REF'!$A:$A,'Recipients REF'!M:M,"",0)</f>
        <v>WDP40 RMP 24050633</v>
      </c>
      <c r="AB559" s="49"/>
      <c r="AC559" s="42"/>
      <c r="AD559" s="42"/>
      <c r="AE559" s="50"/>
      <c r="AF559" s="42"/>
      <c r="AG559" s="42"/>
      <c r="AH559" s="42"/>
      <c r="AI559" s="42">
        <f t="array" ref="AI559">XLOOKUP($E559,Sheet11!$D:$D,Sheet11!$X:$X,"",0)</f>
        <v>869066060242915</v>
      </c>
      <c r="AJ559" s="42">
        <f t="array" ref="AJ559">XLOOKUP($E559,Sheet11!$D:$D,Sheet11!$Y:$Y,"",0)</f>
        <v>9690177938</v>
      </c>
    </row>
    <row r="560">
      <c r="A560" s="41">
        <v>232.0</v>
      </c>
      <c r="B560" s="42" t="s">
        <v>1101</v>
      </c>
      <c r="C560" s="42" t="s">
        <v>1102</v>
      </c>
      <c r="D560" s="42"/>
      <c r="E560" s="42" t="str">
        <f t="shared" ref="E560:F560" si="561">PROPER(B560)</f>
        <v>Farmers Joint Venture Agriculture Cooperative</v>
      </c>
      <c r="F560" s="42" t="str">
        <f t="shared" si="561"/>
        <v>Linglingay, Science City Of Munoz, Nueva Ecija</v>
      </c>
      <c r="G560" s="42" t="str">
        <f t="shared" si="3"/>
        <v>Linglingay</v>
      </c>
      <c r="H560" s="42" t="str">
        <f t="shared" si="4"/>
        <v>Science City Of Munoz</v>
      </c>
      <c r="I560" s="42" t="str">
        <f t="shared" si="5"/>
        <v>Nueva Ecija</v>
      </c>
      <c r="J560" s="42" t="str">
        <f t="array" ref="J560">XLOOKUP($E560,'Recipients REF'!$B:$B,'Recipients REF'!D:D,"",0)</f>
        <v>Avelino De Guzman</v>
      </c>
      <c r="K560" s="42" t="str">
        <f t="array" ref="K560">XLOOKUP($E560,'Recipients REF'!$B:$B,'Recipients REF'!E:E,"",0)</f>
        <v>0965-522-0202</v>
      </c>
      <c r="L560" s="43" t="str">
        <f t="array" ref="L560">XLOOKUP($A560,'Recipients REF'!$A:$A,'Recipients REF'!F:F,"",0)</f>
        <v>RCEF 23-09-21 Rebidding</v>
      </c>
      <c r="M560" s="43">
        <f t="array" ref="M560">XLOOKUP($A560,'Recipients REF'!$A:$A,'Recipients REF'!G:G,"",0)</f>
        <v>3</v>
      </c>
      <c r="N560" s="43">
        <f t="array" ref="N560">XLOOKUP($A560,'Recipients REF'!$A:$A,'Recipients REF'!H:H,"",0)</f>
        <v>18785</v>
      </c>
      <c r="O560" s="44" t="s">
        <v>25</v>
      </c>
      <c r="P560" s="45" t="s">
        <v>26</v>
      </c>
      <c r="Q560" s="46" t="str">
        <f t="array" ref="Q560">XLOOKUP($A560,'Recipients REF'!$A:$A,'Recipients REF'!I:I,"",0)</f>
        <v>KMC 5825 AHRFDV0401</v>
      </c>
      <c r="R560" s="47" t="str">
        <f t="array" ref="R560">XLOOKUP($A560,'Recipients REF'!$A:$A,'Recipients REF'!J:J,"",0)</f>
        <v>RTS 100296</v>
      </c>
      <c r="S560" s="45" t="s">
        <v>27</v>
      </c>
      <c r="T560" s="45" t="s">
        <v>28</v>
      </c>
      <c r="U560" s="46" t="str">
        <f t="array" ref="U560">XLOOKUP($A560,'Recipients REF'!$A:$A,'Recipients REF'!K:K,"",0)</f>
        <v>R SERIES 027 PH</v>
      </c>
      <c r="V560" s="44" t="s">
        <v>29</v>
      </c>
      <c r="W560" s="45" t="s">
        <v>30</v>
      </c>
      <c r="X560" s="47" t="str">
        <f t="array" ref="X560">XLOOKUP($A560,'Recipients REF'!$A:$A,'Recipients REF'!L:L,"",0)</f>
        <v>LSGW1750 RMP 2312165</v>
      </c>
      <c r="Y560" s="48" t="s">
        <v>29</v>
      </c>
      <c r="Z560" s="48" t="s">
        <v>31</v>
      </c>
      <c r="AA560" s="46" t="str">
        <f t="array" ref="AA560">XLOOKUP($A560,'Recipients REF'!$A:$A,'Recipients REF'!M:M,"",0)</f>
        <v>WDP40 RMP 24020187</v>
      </c>
      <c r="AB560" s="49"/>
      <c r="AC560" s="42"/>
      <c r="AD560" s="42"/>
      <c r="AE560" s="50"/>
      <c r="AF560" s="42"/>
      <c r="AG560" s="42"/>
      <c r="AH560" s="42"/>
      <c r="AI560" s="42">
        <f t="array" ref="AI560">XLOOKUP($E560,Sheet11!$D:$D,Sheet11!$X:$X,"",0)</f>
        <v>869066060244762</v>
      </c>
      <c r="AJ560" s="42">
        <f t="array" ref="AJ560">XLOOKUP($E560,Sheet11!$D:$D,Sheet11!$Y:$Y,"",0)</f>
        <v>9624396925</v>
      </c>
    </row>
    <row r="561">
      <c r="A561" s="41">
        <v>579.0</v>
      </c>
      <c r="B561" s="42" t="s">
        <v>1103</v>
      </c>
      <c r="C561" s="42" t="s">
        <v>1104</v>
      </c>
      <c r="D561" s="42"/>
      <c r="E561" s="42" t="str">
        <f t="shared" ref="E561:F561" si="562">PROPER(B561)</f>
        <v>Local Government Unit Of Science City Of Muñoz</v>
      </c>
      <c r="F561" s="42" t="str">
        <f t="shared" si="562"/>
        <v>Poblacion West, Science City Of Munoz, Nueva Ecija</v>
      </c>
      <c r="G561" s="42" t="str">
        <f t="shared" si="3"/>
        <v>Poblacion West</v>
      </c>
      <c r="H561" s="42" t="str">
        <f t="shared" si="4"/>
        <v>Science City Of Munoz</v>
      </c>
      <c r="I561" s="42" t="str">
        <f t="shared" si="5"/>
        <v>Nueva Ecija</v>
      </c>
      <c r="J561" s="42" t="str">
        <f t="array" ref="J561">XLOOKUP($E561,'Recipients REF'!$B:$B,'Recipients REF'!D:D,"",0)</f>
        <v>Baby Armi M. Alvarez</v>
      </c>
      <c r="K561" s="42" t="str">
        <f t="array" ref="K561">XLOOKUP($E561,'Recipients REF'!$B:$B,'Recipients REF'!E:E,"",0)</f>
        <v>0917-559-7584</v>
      </c>
      <c r="L561" s="43" t="str">
        <f t="array" ref="L561">XLOOKUP($A561,'Recipients REF'!$A:$A,'Recipients REF'!F:F,"",0)</f>
        <v>RCEF 24-04-15</v>
      </c>
      <c r="M561" s="43">
        <f t="array" ref="M561">XLOOKUP($A561,'Recipients REF'!$A:$A,'Recipients REF'!G:G,"",0)</f>
        <v>6</v>
      </c>
      <c r="N561" s="43">
        <f t="array" ref="N561">XLOOKUP($A561,'Recipients REF'!$A:$A,'Recipients REF'!H:H,"",0)</f>
        <v>22332</v>
      </c>
      <c r="O561" s="44" t="s">
        <v>25</v>
      </c>
      <c r="P561" s="45" t="s">
        <v>26</v>
      </c>
      <c r="Q561" s="46" t="str">
        <f t="array" ref="Q561">XLOOKUP($A561,'Recipients REF'!$A:$A,'Recipients REF'!I:I,"",0)</f>
        <v>KMC5825AARFPV0959</v>
      </c>
      <c r="R561" s="47" t="str">
        <f t="array" ref="R561">XLOOKUP($A561,'Recipients REF'!$A:$A,'Recipients REF'!J:J,"",0)</f>
        <v>RTS100671</v>
      </c>
      <c r="S561" s="45" t="s">
        <v>27</v>
      </c>
      <c r="T561" s="45" t="s">
        <v>28</v>
      </c>
      <c r="U561" s="46" t="str">
        <f t="array" ref="U561">XLOOKUP($A561,'Recipients REF'!$A:$A,'Recipients REF'!K:K,"",0)</f>
        <v>LSGW170-RMP-24101044</v>
      </c>
      <c r="V561" s="44" t="s">
        <v>29</v>
      </c>
      <c r="W561" s="45" t="s">
        <v>30</v>
      </c>
      <c r="X561" s="47" t="str">
        <f t="array" ref="X561">XLOOKUP($A561,'Recipients REF'!$A:$A,'Recipients REF'!L:L,"",0)</f>
        <v>WDP40-RMP-24111412</v>
      </c>
      <c r="Y561" s="48" t="s">
        <v>29</v>
      </c>
      <c r="Z561" s="48" t="s">
        <v>31</v>
      </c>
      <c r="AA561" s="46" t="str">
        <f t="array" ref="AA561">XLOOKUP($A561,'Recipients REF'!$A:$A,'Recipients REF'!M:M,"",0)</f>
        <v>WR-SERIES-1023PH</v>
      </c>
      <c r="AB561" s="49"/>
      <c r="AC561" s="42"/>
      <c r="AD561" s="42"/>
      <c r="AE561" s="50"/>
      <c r="AF561" s="42"/>
      <c r="AG561" s="42"/>
      <c r="AH561" s="42"/>
      <c r="AI561" s="42" t="str">
        <f t="array" ref="AI561">XLOOKUP($E561,Sheet11!$D:$D,Sheet11!$X:$X,"",0)</f>
        <v/>
      </c>
      <c r="AJ561" s="42" t="str">
        <f t="array" ref="AJ561">XLOOKUP($E561,Sheet11!$D:$D,Sheet11!$Y:$Y,"",0)</f>
        <v/>
      </c>
    </row>
    <row r="562">
      <c r="A562" s="41">
        <v>664.0</v>
      </c>
      <c r="B562" s="42" t="s">
        <v>1105</v>
      </c>
      <c r="C562" s="42" t="s">
        <v>1106</v>
      </c>
      <c r="D562" s="42"/>
      <c r="E562" s="42" t="str">
        <f t="shared" ref="E562:F562" si="563">PROPER(B562)</f>
        <v>Barangay Local Government Unit Of Sapang Cauayan</v>
      </c>
      <c r="F562" s="42" t="str">
        <f t="shared" si="563"/>
        <v>Sapang Cawayan, Science City Of Munoz, Nueva Ecija</v>
      </c>
      <c r="G562" s="42" t="str">
        <f t="shared" si="3"/>
        <v>Sapang Cawayan</v>
      </c>
      <c r="H562" s="42" t="str">
        <f t="shared" si="4"/>
        <v>Science City Of Munoz</v>
      </c>
      <c r="I562" s="42" t="str">
        <f t="shared" si="5"/>
        <v>Nueva Ecija</v>
      </c>
      <c r="J562" s="42" t="str">
        <f t="array" ref="J562">XLOOKUP($E562,'Recipients REF'!$B:$B,'Recipients REF'!D:D,"",0)</f>
        <v>Arnel Sibulburo</v>
      </c>
      <c r="K562" s="42">
        <f t="array" ref="K562">XLOOKUP($E562,'Recipients REF'!$B:$B,'Recipients REF'!E:E,"",0)</f>
        <v>9265308679</v>
      </c>
      <c r="L562" s="43" t="str">
        <f t="array" ref="L562">XLOOKUP($A562,'Recipients REF'!$A:$A,'Recipients REF'!F:F,"",0)</f>
        <v>RCEF 25-03-05</v>
      </c>
      <c r="M562" s="43">
        <f t="array" ref="M562">XLOOKUP($A562,'Recipients REF'!$A:$A,'Recipients REF'!G:G,"",0)</f>
        <v>5</v>
      </c>
      <c r="N562" s="43" t="str">
        <f t="array" ref="N562">XLOOKUP($A562,'Recipients REF'!$A:$A,'Recipients REF'!H:H,"",0)</f>
        <v>26481 &amp; 27673</v>
      </c>
      <c r="O562" s="44" t="s">
        <v>25</v>
      </c>
      <c r="P562" s="45" t="s">
        <v>26</v>
      </c>
      <c r="Q562" s="46" t="str">
        <f t="array" ref="Q562">XLOOKUP($A562,'Recipients REF'!$A:$A,'Recipients REF'!I:I,"",0)</f>
        <v>KMC5825 AVSFPV0318</v>
      </c>
      <c r="R562" s="53" t="str">
        <f t="array" ref="R562">XLOOKUP($A562,'Recipients REF'!$A:$A,'Recipients REF'!J:J,"",0)</f>
        <v>STS100327</v>
      </c>
      <c r="S562" s="45" t="s">
        <v>27</v>
      </c>
      <c r="T562" s="45" t="s">
        <v>28</v>
      </c>
      <c r="U562" s="46" t="str">
        <f t="array" ref="U562">XLOOKUP($A562,'Recipients REF'!$A:$A,'Recipients REF'!K:K,"",0)</f>
        <v>WR-SERIES</v>
      </c>
      <c r="V562" s="44" t="s">
        <v>29</v>
      </c>
      <c r="W562" s="45" t="s">
        <v>30</v>
      </c>
      <c r="X562" s="53">
        <f t="array" ref="X562">XLOOKUP($A562,'Recipients REF'!$A:$A,'Recipients REF'!L:L,"",0)</f>
        <v>25101174</v>
      </c>
      <c r="Y562" s="48" t="s">
        <v>29</v>
      </c>
      <c r="Z562" s="48" t="s">
        <v>31</v>
      </c>
      <c r="AA562" s="54">
        <f t="array" ref="AA562">XLOOKUP($A562,'Recipients REF'!$A:$A,'Recipients REF'!M:M,"",0)</f>
        <v>25101174</v>
      </c>
      <c r="AB562" s="49"/>
      <c r="AC562" s="42"/>
      <c r="AD562" s="42"/>
      <c r="AE562" s="50"/>
      <c r="AF562" s="42"/>
      <c r="AG562" s="42"/>
      <c r="AH562" s="42"/>
      <c r="AI562" s="42" t="str">
        <f t="array" ref="AI562">XLOOKUP($E562,Sheet11!$D:$D,Sheet11!$X:$X,"",0)</f>
        <v/>
      </c>
      <c r="AJ562" s="42" t="str">
        <f t="array" ref="AJ562">XLOOKUP($E562,Sheet11!$D:$D,Sheet11!$Y:$Y,"",0)</f>
        <v/>
      </c>
    </row>
    <row r="563">
      <c r="A563" s="41">
        <v>665.0</v>
      </c>
      <c r="B563" s="42" t="s">
        <v>1107</v>
      </c>
      <c r="C563" s="42" t="s">
        <v>1108</v>
      </c>
      <c r="D563" s="42"/>
      <c r="E563" s="42" t="str">
        <f t="shared" ref="E563:F563" si="564">PROPER(B563)</f>
        <v>Brgy. Villa Isla-Muñoz Water Impounding Irrigators Association, Inc</v>
      </c>
      <c r="F563" s="42" t="str">
        <f t="shared" si="564"/>
        <v>Villa Isla, Science City Of Munoz, Nueva Ecija</v>
      </c>
      <c r="G563" s="42" t="str">
        <f t="shared" si="3"/>
        <v>Villa Isla</v>
      </c>
      <c r="H563" s="42" t="str">
        <f t="shared" si="4"/>
        <v>Science City Of Munoz</v>
      </c>
      <c r="I563" s="42" t="str">
        <f t="shared" si="5"/>
        <v>Nueva Ecija</v>
      </c>
      <c r="J563" s="42" t="str">
        <f t="array" ref="J563">XLOOKUP($E563,'Recipients REF'!$B:$B,'Recipients REF'!D:D,"",0)</f>
        <v>DARWIN F. PACLIBARE</v>
      </c>
      <c r="K563" s="42" t="str">
        <f t="array" ref="K563">XLOOKUP($E563,'Recipients REF'!$B:$B,'Recipients REF'!E:E,"",0)</f>
        <v>0965-571-7350</v>
      </c>
      <c r="L563" s="43" t="str">
        <f t="array" ref="L563">XLOOKUP($A563,'Recipients REF'!$A:$A,'Recipients REF'!F:F,"",0)</f>
        <v>RCEF 25-03-05</v>
      </c>
      <c r="M563" s="43">
        <f t="array" ref="M563">XLOOKUP($A563,'Recipients REF'!$A:$A,'Recipients REF'!G:G,"",0)</f>
        <v>5</v>
      </c>
      <c r="N563" s="43" t="str">
        <f t="array" ref="N563">XLOOKUP($A563,'Recipients REF'!$A:$A,'Recipients REF'!H:H,"",0)</f>
        <v>26482 &amp; 27674</v>
      </c>
      <c r="O563" s="44" t="s">
        <v>25</v>
      </c>
      <c r="P563" s="45" t="s">
        <v>26</v>
      </c>
      <c r="Q563" s="46" t="str">
        <f t="array" ref="Q563">XLOOKUP($A563,'Recipients REF'!$A:$A,'Recipients REF'!I:I,"",0)</f>
        <v>KMC5825 ACRFPV1065</v>
      </c>
      <c r="R563" s="53" t="str">
        <f t="array" ref="R563">XLOOKUP($A563,'Recipients REF'!$A:$A,'Recipients REF'!J:J,"",0)</f>
        <v>RTS100956</v>
      </c>
      <c r="S563" s="45" t="s">
        <v>27</v>
      </c>
      <c r="T563" s="45" t="s">
        <v>28</v>
      </c>
      <c r="U563" s="46" t="str">
        <f t="array" ref="U563">XLOOKUP($A563,'Recipients REF'!$A:$A,'Recipients REF'!K:K,"",0)</f>
        <v>WR-SERIES 1060</v>
      </c>
      <c r="V563" s="44" t="s">
        <v>29</v>
      </c>
      <c r="W563" s="45" t="s">
        <v>30</v>
      </c>
      <c r="X563" s="53">
        <f t="array" ref="X563">XLOOKUP($A563,'Recipients REF'!$A:$A,'Recipients REF'!L:L,"",0)</f>
        <v>24090783</v>
      </c>
      <c r="Y563" s="48" t="s">
        <v>29</v>
      </c>
      <c r="Z563" s="48" t="s">
        <v>31</v>
      </c>
      <c r="AA563" s="54">
        <f t="array" ref="AA563">XLOOKUP($A563,'Recipients REF'!$A:$A,'Recipients REF'!M:M,"",0)</f>
        <v>25030555</v>
      </c>
      <c r="AB563" s="49"/>
      <c r="AC563" s="42"/>
      <c r="AD563" s="42"/>
      <c r="AE563" s="50"/>
      <c r="AF563" s="42"/>
      <c r="AG563" s="42"/>
      <c r="AH563" s="42"/>
      <c r="AI563" s="42" t="str">
        <f t="array" ref="AI563">XLOOKUP($E563,Sheet11!$D:$D,Sheet11!$X:$X,"",0)</f>
        <v/>
      </c>
      <c r="AJ563" s="42" t="str">
        <f t="array" ref="AJ563">XLOOKUP($E563,Sheet11!$D:$D,Sheet11!$Y:$Y,"",0)</f>
        <v/>
      </c>
    </row>
    <row r="564">
      <c r="A564" s="41">
        <v>666.0</v>
      </c>
      <c r="B564" s="42" t="s">
        <v>1109</v>
      </c>
      <c r="C564" s="42" t="s">
        <v>1110</v>
      </c>
      <c r="D564" s="42"/>
      <c r="E564" s="42" t="str">
        <f t="shared" ref="E564:F564" si="565">PROPER(B564)</f>
        <v>M.T.G Pliviriscaf Irrigators' Association Inc.</v>
      </c>
      <c r="F564" s="42" t="str">
        <f t="shared" si="565"/>
        <v>Pandalla, Science City Of Munoz, Nueva Ecija</v>
      </c>
      <c r="G564" s="42" t="str">
        <f t="shared" si="3"/>
        <v>Pandalla</v>
      </c>
      <c r="H564" s="42" t="str">
        <f t="shared" si="4"/>
        <v>Science City Of Munoz</v>
      </c>
      <c r="I564" s="42" t="str">
        <f t="shared" si="5"/>
        <v>Nueva Ecija</v>
      </c>
      <c r="J564" s="42" t="str">
        <f t="array" ref="J564">XLOOKUP($E564,'Recipients REF'!$B:$B,'Recipients REF'!D:D,"",0)</f>
        <v>Nilo Gaston</v>
      </c>
      <c r="K564" s="42" t="str">
        <f t="array" ref="K564">XLOOKUP($E564,'Recipients REF'!$B:$B,'Recipients REF'!E:E,"",0)</f>
        <v>0991-392-5596</v>
      </c>
      <c r="L564" s="43" t="str">
        <f t="array" ref="L564">XLOOKUP($A564,'Recipients REF'!$A:$A,'Recipients REF'!F:F,"",0)</f>
        <v>RCEF 25-03-05</v>
      </c>
      <c r="M564" s="43">
        <f t="array" ref="M564">XLOOKUP($A564,'Recipients REF'!$A:$A,'Recipients REF'!G:G,"",0)</f>
        <v>5</v>
      </c>
      <c r="N564" s="43" t="str">
        <f t="array" ref="N564">XLOOKUP($A564,'Recipients REF'!$A:$A,'Recipients REF'!H:H,"",0)</f>
        <v>26483 &amp; 27842</v>
      </c>
      <c r="O564" s="44" t="s">
        <v>25</v>
      </c>
      <c r="P564" s="45" t="s">
        <v>26</v>
      </c>
      <c r="Q564" s="46" t="str">
        <f t="array" ref="Q564">XLOOKUP($A564,'Recipients REF'!$A:$A,'Recipients REF'!I:I,"",0)</f>
        <v>KMC5825 AESFPV0647</v>
      </c>
      <c r="R564" s="53" t="str">
        <f t="array" ref="R564">XLOOKUP($A564,'Recipients REF'!$A:$A,'Recipients REF'!J:J,"",0)</f>
        <v>STS100370</v>
      </c>
      <c r="S564" s="45" t="s">
        <v>27</v>
      </c>
      <c r="T564" s="45" t="s">
        <v>28</v>
      </c>
      <c r="U564" s="46" t="str">
        <f t="array" ref="U564">XLOOKUP($A564,'Recipients REF'!$A:$A,'Recipients REF'!K:K,"",0)</f>
        <v>WR-SERIES 1456PH</v>
      </c>
      <c r="V564" s="44" t="s">
        <v>29</v>
      </c>
      <c r="W564" s="45" t="s">
        <v>30</v>
      </c>
      <c r="X564" s="53" t="str">
        <f t="array" ref="X564">XLOOKUP($A564,'Recipients REF'!$A:$A,'Recipients REF'!L:L,"",0)</f>
        <v>25100821</v>
      </c>
      <c r="Y564" s="48" t="s">
        <v>29</v>
      </c>
      <c r="Z564" s="48" t="s">
        <v>31</v>
      </c>
      <c r="AA564" s="54" t="str">
        <f t="array" ref="AA564">XLOOKUP($A564,'Recipients REF'!$A:$A,'Recipients REF'!M:M,"",0)</f>
        <v>25101199</v>
      </c>
      <c r="AB564" s="49"/>
      <c r="AC564" s="42"/>
      <c r="AD564" s="42"/>
      <c r="AE564" s="50"/>
      <c r="AF564" s="42"/>
      <c r="AG564" s="42"/>
      <c r="AH564" s="42"/>
      <c r="AI564" s="42" t="str">
        <f t="array" ref="AI564">XLOOKUP($E564,Sheet11!$D:$D,Sheet11!$X:$X,"",0)</f>
        <v/>
      </c>
      <c r="AJ564" s="42" t="str">
        <f t="array" ref="AJ564">XLOOKUP($E564,Sheet11!$D:$D,Sheet11!$Y:$Y,"",0)</f>
        <v/>
      </c>
    </row>
    <row r="565">
      <c r="A565" s="41">
        <v>667.0</v>
      </c>
      <c r="B565" s="42" t="s">
        <v>1111</v>
      </c>
      <c r="C565" s="42" t="s">
        <v>1112</v>
      </c>
      <c r="D565" s="42"/>
      <c r="E565" s="42" t="str">
        <f t="shared" ref="E565:F565" si="566">PROPER(B565)</f>
        <v>Network Of Responsible Citizens Of Munoz Agriculture Cooperative (Nrcmac)</v>
      </c>
      <c r="F565" s="42" t="str">
        <f t="shared" si="566"/>
        <v>Poblacion East, Science City Of Munoz, Nueva Ecija</v>
      </c>
      <c r="G565" s="42" t="str">
        <f t="shared" si="3"/>
        <v>Poblacion East</v>
      </c>
      <c r="H565" s="42" t="str">
        <f t="shared" si="4"/>
        <v>Science City Of Munoz</v>
      </c>
      <c r="I565" s="42" t="str">
        <f t="shared" si="5"/>
        <v>Nueva Ecija</v>
      </c>
      <c r="J565" s="42" t="str">
        <f t="array" ref="J565">XLOOKUP($E565,'Recipients REF'!$B:$B,'Recipients REF'!D:D,"",0)</f>
        <v>Zenaida B. Pasardan</v>
      </c>
      <c r="K565" s="42">
        <f t="array" ref="K565">XLOOKUP($E565,'Recipients REF'!$B:$B,'Recipients REF'!E:E,"",0)</f>
        <v>9350919480</v>
      </c>
      <c r="L565" s="43" t="str">
        <f t="array" ref="L565">XLOOKUP($A565,'Recipients REF'!$A:$A,'Recipients REF'!F:F,"",0)</f>
        <v>RCEF 25-03-05</v>
      </c>
      <c r="M565" s="43">
        <f t="array" ref="M565">XLOOKUP($A565,'Recipients REF'!$A:$A,'Recipients REF'!G:G,"",0)</f>
        <v>5</v>
      </c>
      <c r="N565" s="43" t="str">
        <f t="array" ref="N565">XLOOKUP($A565,'Recipients REF'!$A:$A,'Recipients REF'!H:H,"",0)</f>
        <v>26484 &amp; 27675</v>
      </c>
      <c r="O565" s="44" t="s">
        <v>25</v>
      </c>
      <c r="P565" s="45" t="s">
        <v>26</v>
      </c>
      <c r="Q565" s="46" t="str">
        <f t="array" ref="Q565">XLOOKUP($A565,'Recipients REF'!$A:$A,'Recipients REF'!I:I,"",0)</f>
        <v>KMC5825 ATRFPV0831</v>
      </c>
      <c r="R565" s="53" t="str">
        <f t="array" ref="R565">XLOOKUP($A565,'Recipients REF'!$A:$A,'Recipients REF'!J:J,"",0)</f>
        <v>RTS100729</v>
      </c>
      <c r="S565" s="45" t="s">
        <v>27</v>
      </c>
      <c r="T565" s="45" t="s">
        <v>28</v>
      </c>
      <c r="U565" s="46" t="str">
        <f t="array" ref="U565">XLOOKUP($A565,'Recipients REF'!$A:$A,'Recipients REF'!K:K,"",0)</f>
        <v>WR-SERIES 1054</v>
      </c>
      <c r="V565" s="44" t="s">
        <v>29</v>
      </c>
      <c r="W565" s="45" t="s">
        <v>30</v>
      </c>
      <c r="X565" s="53" t="str">
        <f t="array" ref="X565">XLOOKUP($A565,'Recipients REF'!$A:$A,'Recipients REF'!L:L,"",0)</f>
        <v>24090784</v>
      </c>
      <c r="Y565" s="48" t="s">
        <v>29</v>
      </c>
      <c r="Z565" s="48" t="s">
        <v>31</v>
      </c>
      <c r="AA565" s="54" t="str">
        <f t="array" ref="AA565">XLOOKUP($A565,'Recipients REF'!$A:$A,'Recipients REF'!M:M,"",0)</f>
        <v>25030496</v>
      </c>
      <c r="AB565" s="49"/>
      <c r="AC565" s="42"/>
      <c r="AD565" s="42"/>
      <c r="AE565" s="50"/>
      <c r="AF565" s="42"/>
      <c r="AG565" s="42"/>
      <c r="AH565" s="42"/>
      <c r="AI565" s="42" t="str">
        <f t="array" ref="AI565">XLOOKUP($E565,Sheet11!$D:$D,Sheet11!$X:$X,"",0)</f>
        <v/>
      </c>
      <c r="AJ565" s="42" t="str">
        <f t="array" ref="AJ565">XLOOKUP($E565,Sheet11!$D:$D,Sheet11!$Y:$Y,"",0)</f>
        <v/>
      </c>
    </row>
    <row r="566">
      <c r="A566" s="41">
        <v>668.0</v>
      </c>
      <c r="B566" s="42" t="s">
        <v>1113</v>
      </c>
      <c r="C566" s="42" t="s">
        <v>1114</v>
      </c>
      <c r="D566" s="42"/>
      <c r="E566" s="42" t="str">
        <f t="shared" ref="E566:F566" si="567">PROPER(B566)</f>
        <v>Rizal Primary Multipurpose Cooperative</v>
      </c>
      <c r="F566" s="42" t="str">
        <f t="shared" si="567"/>
        <v>Rizal, Science City Of Munoz, Nueva Ecija</v>
      </c>
      <c r="G566" s="42" t="str">
        <f t="shared" si="3"/>
        <v>Rizal</v>
      </c>
      <c r="H566" s="42" t="str">
        <f t="shared" si="4"/>
        <v>Science City Of Munoz</v>
      </c>
      <c r="I566" s="42" t="str">
        <f t="shared" si="5"/>
        <v>Nueva Ecija</v>
      </c>
      <c r="J566" s="42" t="str">
        <f t="array" ref="J566">XLOOKUP($E566,'Recipients REF'!$B:$B,'Recipients REF'!D:D,"",0)</f>
        <v>Villamor Baddi</v>
      </c>
      <c r="K566" s="42" t="str">
        <f t="array" ref="K566">XLOOKUP($E566,'Recipients REF'!$B:$B,'Recipients REF'!E:E,"",0)</f>
        <v>0927-505-8277</v>
      </c>
      <c r="L566" s="43" t="str">
        <f t="array" ref="L566">XLOOKUP($A566,'Recipients REF'!$A:$A,'Recipients REF'!F:F,"",0)</f>
        <v>RCEF 25-03-05</v>
      </c>
      <c r="M566" s="43">
        <f t="array" ref="M566">XLOOKUP($A566,'Recipients REF'!$A:$A,'Recipients REF'!G:G,"",0)</f>
        <v>5</v>
      </c>
      <c r="N566" s="43" t="str">
        <f t="array" ref="N566">XLOOKUP($A566,'Recipients REF'!$A:$A,'Recipients REF'!H:H,"",0)</f>
        <v>26485 &amp; 27843</v>
      </c>
      <c r="O566" s="44" t="s">
        <v>25</v>
      </c>
      <c r="P566" s="45" t="s">
        <v>26</v>
      </c>
      <c r="Q566" s="46" t="str">
        <f t="array" ref="Q566">XLOOKUP($A566,'Recipients REF'!$A:$A,'Recipients REF'!I:I,"",0)</f>
        <v>KMC5825 APSFPV0636</v>
      </c>
      <c r="R566" s="53" t="str">
        <f t="array" ref="R566">XLOOKUP($A566,'Recipients REF'!$A:$A,'Recipients REF'!J:J,"",0)</f>
        <v>STS100428</v>
      </c>
      <c r="S566" s="45" t="s">
        <v>27</v>
      </c>
      <c r="T566" s="45" t="s">
        <v>28</v>
      </c>
      <c r="U566" s="46" t="str">
        <f t="array" ref="U566">XLOOKUP($A566,'Recipients REF'!$A:$A,'Recipients REF'!K:K,"",0)</f>
        <v>WR-SERIES 1457PH</v>
      </c>
      <c r="V566" s="44" t="s">
        <v>29</v>
      </c>
      <c r="W566" s="45" t="s">
        <v>30</v>
      </c>
      <c r="X566" s="53" t="str">
        <f t="array" ref="X566">XLOOKUP($A566,'Recipients REF'!$A:$A,'Recipients REF'!L:L,"",0)</f>
        <v>25100818</v>
      </c>
      <c r="Y566" s="48" t="s">
        <v>29</v>
      </c>
      <c r="Z566" s="48" t="s">
        <v>31</v>
      </c>
      <c r="AA566" s="54" t="str">
        <f t="array" ref="AA566">XLOOKUP($A566,'Recipients REF'!$A:$A,'Recipients REF'!M:M,"",0)</f>
        <v>25101196</v>
      </c>
      <c r="AB566" s="49"/>
      <c r="AC566" s="42"/>
      <c r="AD566" s="42"/>
      <c r="AE566" s="50"/>
      <c r="AF566" s="42"/>
      <c r="AG566" s="42"/>
      <c r="AH566" s="42"/>
      <c r="AI566" s="42" t="str">
        <f t="array" ref="AI566">XLOOKUP($E566,Sheet11!$D:$D,Sheet11!$X:$X,"",0)</f>
        <v/>
      </c>
      <c r="AJ566" s="42" t="str">
        <f t="array" ref="AJ566">XLOOKUP($E566,Sheet11!$D:$D,Sheet11!$Y:$Y,"",0)</f>
        <v/>
      </c>
    </row>
    <row r="567">
      <c r="A567" s="41">
        <v>219.0</v>
      </c>
      <c r="B567" s="42" t="s">
        <v>1115</v>
      </c>
      <c r="C567" s="42" t="s">
        <v>1116</v>
      </c>
      <c r="D567" s="42"/>
      <c r="E567" s="42" t="str">
        <f t="shared" ref="E567:F567" si="568">PROPER(B567)</f>
        <v>Collado Irrigators' Association, Inc.</v>
      </c>
      <c r="F567" s="42" t="str">
        <f t="shared" si="568"/>
        <v>Collado, Talavera, Nueva Ecija</v>
      </c>
      <c r="G567" s="42" t="str">
        <f t="shared" si="3"/>
        <v>Collado</v>
      </c>
      <c r="H567" s="42" t="str">
        <f t="shared" si="4"/>
        <v>Talavera</v>
      </c>
      <c r="I567" s="42" t="str">
        <f t="shared" si="5"/>
        <v>Nueva Ecija</v>
      </c>
      <c r="J567" s="42" t="str">
        <f t="array" ref="J567">XLOOKUP($E567,'Recipients REF'!$B:$B,'Recipients REF'!D:D,"",0)</f>
        <v>Godofredo M. Sabate</v>
      </c>
      <c r="K567" s="42" t="str">
        <f t="array" ref="K567">XLOOKUP($E567,'Recipients REF'!$B:$B,'Recipients REF'!E:E,"",0)</f>
        <v>0907-617-6814</v>
      </c>
      <c r="L567" s="43" t="str">
        <f t="array" ref="L567">XLOOKUP($A567,'Recipients REF'!$A:$A,'Recipients REF'!F:F,"",0)</f>
        <v>RCEF 23-09-21 Rebidding</v>
      </c>
      <c r="M567" s="43">
        <f t="array" ref="M567">XLOOKUP($A567,'Recipients REF'!$A:$A,'Recipients REF'!G:G,"",0)</f>
        <v>3</v>
      </c>
      <c r="N567" s="43">
        <f t="array" ref="N567">XLOOKUP($A567,'Recipients REF'!$A:$A,'Recipients REF'!H:H,"",0)</f>
        <v>18772</v>
      </c>
      <c r="O567" s="44" t="s">
        <v>25</v>
      </c>
      <c r="P567" s="45" t="s">
        <v>26</v>
      </c>
      <c r="Q567" s="46" t="str">
        <f t="array" ref="Q567">XLOOKUP($A567,'Recipients REF'!$A:$A,'Recipients REF'!I:I,"",0)</f>
        <v>KMC5825 APRFPV0405</v>
      </c>
      <c r="R567" s="47" t="str">
        <f t="array" ref="R567">XLOOKUP($A567,'Recipients REF'!$A:$A,'Recipients REF'!J:J,"",0)</f>
        <v>RTS 100316</v>
      </c>
      <c r="S567" s="45" t="s">
        <v>27</v>
      </c>
      <c r="T567" s="45" t="s">
        <v>28</v>
      </c>
      <c r="U567" s="46" t="str">
        <f t="array" ref="U567">XLOOKUP($A567,'Recipients REF'!$A:$A,'Recipients REF'!K:K,"",0)</f>
        <v>R-SERIES 393 PH</v>
      </c>
      <c r="V567" s="44" t="s">
        <v>29</v>
      </c>
      <c r="W567" s="45" t="s">
        <v>30</v>
      </c>
      <c r="X567" s="47" t="str">
        <f t="array" ref="X567">XLOOKUP($A567,'Recipients REF'!$A:$A,'Recipients REF'!L:L,"",0)</f>
        <v>LSGW1750 RMP 2312173</v>
      </c>
      <c r="Y567" s="48" t="s">
        <v>29</v>
      </c>
      <c r="Z567" s="48" t="s">
        <v>31</v>
      </c>
      <c r="AA567" s="46" t="str">
        <f t="array" ref="AA567">XLOOKUP($A567,'Recipients REF'!$A:$A,'Recipients REF'!M:M,"",0)</f>
        <v>WDP40 RMP 24020199</v>
      </c>
      <c r="AB567" s="49"/>
      <c r="AC567" s="42"/>
      <c r="AD567" s="42"/>
      <c r="AE567" s="56">
        <v>8.69066063799721E14</v>
      </c>
      <c r="AF567" s="56" t="s">
        <v>1117</v>
      </c>
      <c r="AG567" s="42"/>
      <c r="AH567" s="42"/>
      <c r="AI567" s="42" t="str">
        <f t="array" ref="AI567">XLOOKUP($E567,Sheet11!$D:$D,Sheet11!$X:$X,"",0)</f>
        <v/>
      </c>
      <c r="AJ567" s="42" t="str">
        <f t="array" ref="AJ567">XLOOKUP($E567,Sheet11!$D:$D,Sheet11!$Y:$Y,"",0)</f>
        <v/>
      </c>
    </row>
    <row r="568">
      <c r="A568" s="41">
        <v>220.0</v>
      </c>
      <c r="B568" s="42" t="s">
        <v>1118</v>
      </c>
      <c r="C568" s="42" t="s">
        <v>1119</v>
      </c>
      <c r="D568" s="42"/>
      <c r="E568" s="42" t="str">
        <f t="shared" ref="E568:F568" si="569">PROPER(B568)</f>
        <v>Tagabasa Irrigators' Association, Inc.</v>
      </c>
      <c r="F568" s="42" t="str">
        <f t="shared" si="569"/>
        <v>Tagaytay, Talavera, Nueva Ecija</v>
      </c>
      <c r="G568" s="42" t="str">
        <f t="shared" si="3"/>
        <v>Tagaytay</v>
      </c>
      <c r="H568" s="42" t="str">
        <f t="shared" si="4"/>
        <v>Talavera</v>
      </c>
      <c r="I568" s="42" t="str">
        <f t="shared" si="5"/>
        <v>Nueva Ecija</v>
      </c>
      <c r="J568" s="42" t="str">
        <f t="array" ref="J568">XLOOKUP($E568,'Recipients REF'!$B:$B,'Recipients REF'!D:D,"",0)</f>
        <v>Rogelio C. Laugo</v>
      </c>
      <c r="K568" s="42" t="str">
        <f t="array" ref="K568">XLOOKUP($E568,'Recipients REF'!$B:$B,'Recipients REF'!E:E,"",0)</f>
        <v>0951-099-0098</v>
      </c>
      <c r="L568" s="43" t="str">
        <f t="array" ref="L568">XLOOKUP($A568,'Recipients REF'!$A:$A,'Recipients REF'!F:F,"",0)</f>
        <v>RCEF 23-09-21 Rebidding</v>
      </c>
      <c r="M568" s="43">
        <f t="array" ref="M568">XLOOKUP($A568,'Recipients REF'!$A:$A,'Recipients REF'!G:G,"",0)</f>
        <v>3</v>
      </c>
      <c r="N568" s="43">
        <f t="array" ref="N568">XLOOKUP($A568,'Recipients REF'!$A:$A,'Recipients REF'!H:H,"",0)</f>
        <v>18773</v>
      </c>
      <c r="O568" s="44" t="s">
        <v>25</v>
      </c>
      <c r="P568" s="45" t="s">
        <v>26</v>
      </c>
      <c r="Q568" s="46" t="str">
        <f t="array" ref="Q568">XLOOKUP($A568,'Recipients REF'!$A:$A,'Recipients REF'!I:I,"",0)</f>
        <v>KMC5825 AHRFPV0222</v>
      </c>
      <c r="R568" s="47" t="str">
        <f t="array" ref="R568">XLOOKUP($A568,'Recipients REF'!$A:$A,'Recipients REF'!J:J,"",0)</f>
        <v>RTS100102</v>
      </c>
      <c r="S568" s="45" t="s">
        <v>27</v>
      </c>
      <c r="T568" s="45" t="s">
        <v>28</v>
      </c>
      <c r="U568" s="46" t="str">
        <f t="array" ref="U568">XLOOKUP($A568,'Recipients REF'!$A:$A,'Recipients REF'!K:K,"",0)</f>
        <v>R-SERIES 032 PH</v>
      </c>
      <c r="V568" s="44" t="s">
        <v>29</v>
      </c>
      <c r="W568" s="45" t="s">
        <v>30</v>
      </c>
      <c r="X568" s="47" t="str">
        <f t="array" ref="X568">XLOOKUP($A568,'Recipients REF'!$A:$A,'Recipients REF'!L:L,"",0)</f>
        <v>LSGW1750 RMP 2312173</v>
      </c>
      <c r="Y568" s="48" t="s">
        <v>29</v>
      </c>
      <c r="Z568" s="48" t="s">
        <v>31</v>
      </c>
      <c r="AA568" s="46" t="str">
        <f t="array" ref="AA568">XLOOKUP($A568,'Recipients REF'!$A:$A,'Recipients REF'!M:M,"",0)</f>
        <v>WDP40 RMP 24020203</v>
      </c>
      <c r="AB568" s="49"/>
      <c r="AC568" s="42"/>
      <c r="AD568" s="42"/>
      <c r="AE568" s="50"/>
      <c r="AF568" s="42"/>
      <c r="AG568" s="42"/>
      <c r="AH568" s="42"/>
      <c r="AI568" s="42" t="str">
        <f t="array" ref="AI568">XLOOKUP($E568,Sheet11!$D:$D,Sheet11!$X:$X,"",0)</f>
        <v/>
      </c>
      <c r="AJ568" s="42" t="str">
        <f t="array" ref="AJ568">XLOOKUP($E568,Sheet11!$D:$D,Sheet11!$Y:$Y,"",0)</f>
        <v/>
      </c>
    </row>
    <row r="569">
      <c r="A569" s="41">
        <v>577.0</v>
      </c>
      <c r="B569" s="42" t="s">
        <v>1120</v>
      </c>
      <c r="C569" s="42" t="s">
        <v>1121</v>
      </c>
      <c r="D569" s="42"/>
      <c r="E569" s="42" t="str">
        <f t="shared" ref="E569:F569" si="570">PROPER(B569)</f>
        <v>Pinagpanaan Ang Kilusang Samahang Magsasaka (Pakisama)</v>
      </c>
      <c r="F569" s="42" t="str">
        <f t="shared" si="570"/>
        <v>Pinagpanaan, Talavera, Nueva Ecija</v>
      </c>
      <c r="G569" s="42" t="str">
        <f t="shared" si="3"/>
        <v>Pinagpanaan</v>
      </c>
      <c r="H569" s="42" t="str">
        <f t="shared" si="4"/>
        <v>Talavera</v>
      </c>
      <c r="I569" s="42" t="str">
        <f t="shared" si="5"/>
        <v>Nueva Ecija</v>
      </c>
      <c r="J569" s="42" t="str">
        <f t="array" ref="J569">XLOOKUP($E569,'Recipients REF'!$B:$B,'Recipients REF'!D:D,"",0)</f>
        <v>Cipriano M. Buco</v>
      </c>
      <c r="K569" s="42" t="str">
        <f t="array" ref="K569">XLOOKUP($E569,'Recipients REF'!$B:$B,'Recipients REF'!E:E,"",0)</f>
        <v>0920-591-5484</v>
      </c>
      <c r="L569" s="43" t="str">
        <f t="array" ref="L569">XLOOKUP($A569,'Recipients REF'!$A:$A,'Recipients REF'!F:F,"",0)</f>
        <v>RCEF 24-04-15</v>
      </c>
      <c r="M569" s="43">
        <f t="array" ref="M569">XLOOKUP($A569,'Recipients REF'!$A:$A,'Recipients REF'!G:G,"",0)</f>
        <v>6</v>
      </c>
      <c r="N569" s="43">
        <f t="array" ref="N569">XLOOKUP($A569,'Recipients REF'!$A:$A,'Recipients REF'!H:H,"",0)</f>
        <v>22330</v>
      </c>
      <c r="O569" s="44" t="s">
        <v>25</v>
      </c>
      <c r="P569" s="45" t="s">
        <v>26</v>
      </c>
      <c r="Q569" s="46" t="str">
        <f t="array" ref="Q569">XLOOKUP($A569,'Recipients REF'!$A:$A,'Recipients REF'!I:I,"",0)</f>
        <v>KMC5825ACRFPV0918</v>
      </c>
      <c r="R569" s="47" t="str">
        <f t="array" ref="R569">XLOOKUP($A569,'Recipients REF'!$A:$A,'Recipients REF'!J:J,"",0)</f>
        <v>RTS100652</v>
      </c>
      <c r="S569" s="45" t="s">
        <v>27</v>
      </c>
      <c r="T569" s="45" t="s">
        <v>28</v>
      </c>
      <c r="U569" s="46" t="str">
        <f t="array" ref="U569">XLOOKUP($A569,'Recipients REF'!$A:$A,'Recipients REF'!K:K,"",0)</f>
        <v>LSGW170-RMP-24100974</v>
      </c>
      <c r="V569" s="44" t="s">
        <v>29</v>
      </c>
      <c r="W569" s="45" t="s">
        <v>30</v>
      </c>
      <c r="X569" s="47" t="str">
        <f t="array" ref="X569">XLOOKUP($A569,'Recipients REF'!$A:$A,'Recipients REF'!L:L,"",0)</f>
        <v>WDP40-RMP-24111403</v>
      </c>
      <c r="Y569" s="48" t="s">
        <v>29</v>
      </c>
      <c r="Z569" s="48" t="s">
        <v>31</v>
      </c>
      <c r="AA569" s="46" t="str">
        <f t="array" ref="AA569">XLOOKUP($A569,'Recipients REF'!$A:$A,'Recipients REF'!M:M,"",0)</f>
        <v>WR-SERIES-1079PH</v>
      </c>
      <c r="AB569" s="49"/>
      <c r="AC569" s="42"/>
      <c r="AD569" s="42"/>
      <c r="AE569" s="50"/>
      <c r="AF569" s="42"/>
      <c r="AG569" s="42"/>
      <c r="AH569" s="42"/>
      <c r="AI569" s="42" t="str">
        <f t="array" ref="AI569">XLOOKUP($E569,Sheet11!$D:$D,Sheet11!$X:$X,"",0)</f>
        <v/>
      </c>
      <c r="AJ569" s="42" t="str">
        <f t="array" ref="AJ569">XLOOKUP($E569,Sheet11!$D:$D,Sheet11!$Y:$Y,"",0)</f>
        <v/>
      </c>
    </row>
    <row r="570">
      <c r="A570" s="41">
        <v>599.0</v>
      </c>
      <c r="B570" s="42" t="s">
        <v>1122</v>
      </c>
      <c r="C570" s="42" t="s">
        <v>1123</v>
      </c>
      <c r="D570" s="42"/>
      <c r="E570" s="42" t="str">
        <f t="shared" ref="E570:F570" si="571">PROPER(B570)</f>
        <v>Municipal Local Government Unit Of Talavera</v>
      </c>
      <c r="F570" s="42" t="str">
        <f t="shared" si="571"/>
        <v>Poblacion West, Talavera, Nueva Ecija</v>
      </c>
      <c r="G570" s="42" t="str">
        <f t="shared" si="3"/>
        <v>Poblacion West</v>
      </c>
      <c r="H570" s="42" t="str">
        <f t="shared" si="4"/>
        <v>Talavera</v>
      </c>
      <c r="I570" s="42" t="str">
        <f t="shared" si="5"/>
        <v>Nueva Ecija</v>
      </c>
      <c r="J570" s="42" t="str">
        <f t="array" ref="J570">XLOOKUP($E570,'Recipients REF'!$B:$B,'Recipients REF'!D:D,"",0)</f>
        <v>#N/A</v>
      </c>
      <c r="K570" s="42" t="str">
        <f t="array" ref="K570">XLOOKUP($E570,'Recipients REF'!$B:$B,'Recipients REF'!E:E,"",0)</f>
        <v>#N/A</v>
      </c>
      <c r="L570" s="43" t="str">
        <f t="array" ref="L570">XLOOKUP($A570,'Recipients REF'!$A:$A,'Recipients REF'!F:F,"",0)</f>
        <v>RCEF 24-04-15</v>
      </c>
      <c r="M570" s="43">
        <f t="array" ref="M570">XLOOKUP($A570,'Recipients REF'!$A:$A,'Recipients REF'!G:G,"",0)</f>
        <v>6</v>
      </c>
      <c r="N570" s="43">
        <f t="array" ref="N570">XLOOKUP($A570,'Recipients REF'!$A:$A,'Recipients REF'!H:H,"",0)</f>
        <v>22352</v>
      </c>
      <c r="O570" s="44" t="s">
        <v>25</v>
      </c>
      <c r="P570" s="45" t="s">
        <v>26</v>
      </c>
      <c r="Q570" s="46" t="str">
        <f t="array" ref="Q570">XLOOKUP($A570,'Recipients REF'!$A:$A,'Recipients REF'!I:I,"",0)</f>
        <v>KMC5825APRFPV0954</v>
      </c>
      <c r="R570" s="47" t="str">
        <f t="array" ref="R570">XLOOKUP($A570,'Recipients REF'!$A:$A,'Recipients REF'!J:J,"",0)</f>
        <v>RTS100825</v>
      </c>
      <c r="S570" s="45" t="s">
        <v>27</v>
      </c>
      <c r="T570" s="45" t="s">
        <v>28</v>
      </c>
      <c r="U570" s="46" t="str">
        <f t="array" ref="U570">XLOOKUP($A570,'Recipients REF'!$A:$A,'Recipients REF'!K:K,"",0)</f>
        <v>LSGW170-RMP-24101066</v>
      </c>
      <c r="V570" s="44" t="s">
        <v>29</v>
      </c>
      <c r="W570" s="45" t="s">
        <v>30</v>
      </c>
      <c r="X570" s="47" t="str">
        <f t="array" ref="X570">XLOOKUP($A570,'Recipients REF'!$A:$A,'Recipients REF'!L:L,"",0)</f>
        <v>WDP40-RMP-24111404</v>
      </c>
      <c r="Y570" s="48" t="s">
        <v>29</v>
      </c>
      <c r="Z570" s="48" t="s">
        <v>31</v>
      </c>
      <c r="AA570" s="46" t="str">
        <f t="array" ref="AA570">XLOOKUP($A570,'Recipients REF'!$A:$A,'Recipients REF'!M:M,"",0)</f>
        <v>WR-SERIES-1014PH</v>
      </c>
      <c r="AB570" s="49"/>
      <c r="AC570" s="42"/>
      <c r="AD570" s="42"/>
      <c r="AE570" s="50"/>
      <c r="AF570" s="42"/>
      <c r="AG570" s="42"/>
      <c r="AH570" s="42"/>
      <c r="AI570" s="42" t="str">
        <f t="array" ref="AI570">XLOOKUP($E570,Sheet11!$D:$D,Sheet11!$X:$X,"",0)</f>
        <v/>
      </c>
      <c r="AJ570" s="42" t="str">
        <f t="array" ref="AJ570">XLOOKUP($E570,Sheet11!$D:$D,Sheet11!$Y:$Y,"",0)</f>
        <v/>
      </c>
    </row>
    <row r="571">
      <c r="A571" s="41">
        <v>648.0</v>
      </c>
      <c r="B571" s="42" t="s">
        <v>1124</v>
      </c>
      <c r="C571" s="42" t="s">
        <v>1125</v>
      </c>
      <c r="D571" s="42"/>
      <c r="E571" s="42" t="str">
        <f t="shared" ref="E571:F571" si="572">PROPER(B571)</f>
        <v>Bantug Agricultural Multipurpose Cooperative, Inc.</v>
      </c>
      <c r="F571" s="42" t="str">
        <f t="shared" si="572"/>
        <v>Bantug, Talavera, Nueva Ecija</v>
      </c>
      <c r="G571" s="42" t="str">
        <f t="shared" si="3"/>
        <v>Bantug</v>
      </c>
      <c r="H571" s="42" t="str">
        <f t="shared" si="4"/>
        <v>Talavera</v>
      </c>
      <c r="I571" s="42" t="str">
        <f t="shared" si="5"/>
        <v>Nueva Ecija</v>
      </c>
      <c r="J571" s="42" t="str">
        <f t="array" ref="J571">XLOOKUP($E571,'Recipients REF'!$B:$B,'Recipients REF'!D:D,"",0)</f>
        <v>Nora Angeles</v>
      </c>
      <c r="K571" s="42" t="str">
        <f t="array" ref="K571">XLOOKUP($E571,'Recipients REF'!$B:$B,'Recipients REF'!E:E,"",0)</f>
        <v>0917-500-0740</v>
      </c>
      <c r="L571" s="43" t="str">
        <f t="array" ref="L571">XLOOKUP($A571,'Recipients REF'!$A:$A,'Recipients REF'!F:F,"",0)</f>
        <v>RCEF 25-03-05</v>
      </c>
      <c r="M571" s="43">
        <f t="array" ref="M571">XLOOKUP($A571,'Recipients REF'!$A:$A,'Recipients REF'!G:G,"",0)</f>
        <v>5</v>
      </c>
      <c r="N571" s="43" t="str">
        <f t="array" ref="N571">XLOOKUP($A571,'Recipients REF'!$A:$A,'Recipients REF'!H:H,"",0)</f>
        <v>26238 &amp; 27828</v>
      </c>
      <c r="O571" s="44" t="s">
        <v>25</v>
      </c>
      <c r="P571" s="45" t="s">
        <v>26</v>
      </c>
      <c r="Q571" s="46" t="str">
        <f t="array" ref="Q571">XLOOKUP($A571,'Recipients REF'!$A:$A,'Recipients REF'!I:I,"",0)</f>
        <v>KMC5825 ATSFPV0132</v>
      </c>
      <c r="R571" s="53" t="str">
        <f t="array" ref="R571">XLOOKUP($A571,'Recipients REF'!$A:$A,'Recipients REF'!J:J,"",0)</f>
        <v>STS100175</v>
      </c>
      <c r="S571" s="45" t="s">
        <v>27</v>
      </c>
      <c r="T571" s="45" t="s">
        <v>28</v>
      </c>
      <c r="U571" s="46" t="str">
        <f t="array" ref="U571">XLOOKUP($A571,'Recipients REF'!$A:$A,'Recipients REF'!K:K,"",0)</f>
        <v>WR-SERIES 1442PH</v>
      </c>
      <c r="V571" s="44" t="s">
        <v>29</v>
      </c>
      <c r="W571" s="45" t="s">
        <v>30</v>
      </c>
      <c r="X571" s="53" t="str">
        <f t="array" ref="X571">XLOOKUP($A571,'Recipients REF'!$A:$A,'Recipients REF'!L:L,"",0)</f>
        <v>25100842</v>
      </c>
      <c r="Y571" s="48" t="s">
        <v>29</v>
      </c>
      <c r="Z571" s="48" t="s">
        <v>31</v>
      </c>
      <c r="AA571" s="54" t="str">
        <f t="array" ref="AA571">XLOOKUP($A571,'Recipients REF'!$A:$A,'Recipients REF'!M:M,"",0)</f>
        <v>25101179</v>
      </c>
      <c r="AB571" s="49"/>
      <c r="AC571" s="42"/>
      <c r="AD571" s="42"/>
      <c r="AE571" s="50"/>
      <c r="AF571" s="42"/>
      <c r="AG571" s="42"/>
      <c r="AH571" s="42"/>
      <c r="AI571" s="42" t="str">
        <f t="array" ref="AI571">XLOOKUP($E571,Sheet11!$D:$D,Sheet11!$X:$X,"",0)</f>
        <v/>
      </c>
      <c r="AJ571" s="42" t="str">
        <f t="array" ref="AJ571">XLOOKUP($E571,Sheet11!$D:$D,Sheet11!$Y:$Y,"",0)</f>
        <v/>
      </c>
    </row>
    <row r="572">
      <c r="A572" s="41">
        <v>649.0</v>
      </c>
      <c r="B572" s="42" t="s">
        <v>1126</v>
      </c>
      <c r="C572" s="42" t="s">
        <v>1127</v>
      </c>
      <c r="D572" s="42"/>
      <c r="E572" s="42" t="str">
        <f t="shared" ref="E572:F572" si="573">PROPER(B572)</f>
        <v>Kaagapay Agrarian Reform Cooperative (Karc)</v>
      </c>
      <c r="F572" s="42" t="str">
        <f t="shared" si="573"/>
        <v>Bantug Hacienda, Talavera, Nueva Ecija</v>
      </c>
      <c r="G572" s="42" t="str">
        <f t="shared" si="3"/>
        <v>Bantug Hacienda</v>
      </c>
      <c r="H572" s="42" t="str">
        <f t="shared" si="4"/>
        <v>Talavera</v>
      </c>
      <c r="I572" s="42" t="str">
        <f t="shared" si="5"/>
        <v>Nueva Ecija</v>
      </c>
      <c r="J572" s="42" t="str">
        <f t="array" ref="J572">XLOOKUP($E572,'Recipients REF'!$B:$B,'Recipients REF'!D:D,"",0)</f>
        <v>Arnel Jayson D. Baldedara</v>
      </c>
      <c r="K572" s="42" t="str">
        <f t="array" ref="K572">XLOOKUP($E572,'Recipients REF'!$B:$B,'Recipients REF'!E:E,"",0)</f>
        <v>0905-187-2955</v>
      </c>
      <c r="L572" s="43" t="str">
        <f t="array" ref="L572">XLOOKUP($A572,'Recipients REF'!$A:$A,'Recipients REF'!F:F,"",0)</f>
        <v>RCEF 25-03-05</v>
      </c>
      <c r="M572" s="43">
        <f t="array" ref="M572">XLOOKUP($A572,'Recipients REF'!$A:$A,'Recipients REF'!G:G,"",0)</f>
        <v>5</v>
      </c>
      <c r="N572" s="43" t="str">
        <f t="array" ref="N572">XLOOKUP($A572,'Recipients REF'!$A:$A,'Recipients REF'!H:H,"",0)</f>
        <v>26239 &amp; 27829</v>
      </c>
      <c r="O572" s="44" t="s">
        <v>25</v>
      </c>
      <c r="P572" s="45" t="s">
        <v>26</v>
      </c>
      <c r="Q572" s="46" t="str">
        <f t="array" ref="Q572">XLOOKUP($A572,'Recipients REF'!$A:$A,'Recipients REF'!I:I,"",0)</f>
        <v>KMC5825 AESFPV0423</v>
      </c>
      <c r="R572" s="53" t="str">
        <f t="array" ref="R572">XLOOKUP($A572,'Recipients REF'!$A:$A,'Recipients REF'!J:J,"",0)</f>
        <v>STS100413</v>
      </c>
      <c r="S572" s="45" t="s">
        <v>27</v>
      </c>
      <c r="T572" s="45" t="s">
        <v>28</v>
      </c>
      <c r="U572" s="46" t="str">
        <f t="array" ref="U572">XLOOKUP($A572,'Recipients REF'!$A:$A,'Recipients REF'!K:K,"",0)</f>
        <v>WR-SERIES 1443PH</v>
      </c>
      <c r="V572" s="44" t="s">
        <v>29</v>
      </c>
      <c r="W572" s="45" t="s">
        <v>30</v>
      </c>
      <c r="X572" s="53" t="str">
        <f t="array" ref="X572">XLOOKUP($A572,'Recipients REF'!$A:$A,'Recipients REF'!L:L,"",0)</f>
        <v>25100822</v>
      </c>
      <c r="Y572" s="48" t="s">
        <v>29</v>
      </c>
      <c r="Z572" s="48" t="s">
        <v>31</v>
      </c>
      <c r="AA572" s="54" t="str">
        <f t="array" ref="AA572">XLOOKUP($A572,'Recipients REF'!$A:$A,'Recipients REF'!M:M,"",0)</f>
        <v>25101215</v>
      </c>
      <c r="AB572" s="49"/>
      <c r="AC572" s="42"/>
      <c r="AD572" s="42"/>
      <c r="AE572" s="56">
        <v>8.69063806005E11</v>
      </c>
      <c r="AF572" s="56" t="s">
        <v>1128</v>
      </c>
      <c r="AG572" s="42"/>
      <c r="AH572" s="42"/>
      <c r="AI572" s="42" t="str">
        <f t="array" ref="AI572">XLOOKUP($E572,Sheet11!$D:$D,Sheet11!$X:$X,"",0)</f>
        <v/>
      </c>
      <c r="AJ572" s="42" t="str">
        <f t="array" ref="AJ572">XLOOKUP($E572,Sheet11!$D:$D,Sheet11!$Y:$Y,"",0)</f>
        <v/>
      </c>
    </row>
    <row r="573">
      <c r="A573" s="41">
        <v>233.0</v>
      </c>
      <c r="B573" s="42" t="s">
        <v>1129</v>
      </c>
      <c r="C573" s="42" t="s">
        <v>1130</v>
      </c>
      <c r="D573" s="42"/>
      <c r="E573" s="42" t="str">
        <f t="shared" ref="E573:F573" si="574">PROPER(B573)</f>
        <v>Municipal Local Government Unit Of Talugtug</v>
      </c>
      <c r="F573" s="42" t="str">
        <f t="shared" si="574"/>
        <v>, Talugtug, Nueva Ecija</v>
      </c>
      <c r="G573" s="42" t="str">
        <f t="shared" si="3"/>
        <v/>
      </c>
      <c r="H573" s="42" t="str">
        <f t="shared" si="4"/>
        <v>Talugtug</v>
      </c>
      <c r="I573" s="42" t="str">
        <f t="shared" si="5"/>
        <v>Nueva Ecija</v>
      </c>
      <c r="J573" s="42" t="str">
        <f t="array" ref="J573">XLOOKUP($E573,'Recipients REF'!$B:$B,'Recipients REF'!D:D,"",0)</f>
        <v>Pacifico B. Monta</v>
      </c>
      <c r="K573" s="42" t="str">
        <f t="array" ref="K573">XLOOKUP($E573,'Recipients REF'!$B:$B,'Recipients REF'!E:E,"",0)</f>
        <v>0917-565-3351</v>
      </c>
      <c r="L573" s="43" t="str">
        <f t="array" ref="L573">XLOOKUP($A573,'Recipients REF'!$A:$A,'Recipients REF'!F:F,"",0)</f>
        <v>RCEF 23-09-21 Rebidding</v>
      </c>
      <c r="M573" s="43">
        <f t="array" ref="M573">XLOOKUP($A573,'Recipients REF'!$A:$A,'Recipients REF'!G:G,"",0)</f>
        <v>3</v>
      </c>
      <c r="N573" s="43">
        <f t="array" ref="N573">XLOOKUP($A573,'Recipients REF'!$A:$A,'Recipients REF'!H:H,"",0)</f>
        <v>18786</v>
      </c>
      <c r="O573" s="44" t="s">
        <v>25</v>
      </c>
      <c r="P573" s="45" t="s">
        <v>26</v>
      </c>
      <c r="Q573" s="46" t="str">
        <f t="array" ref="Q573">XLOOKUP($A573,'Recipients REF'!$A:$A,'Recipients REF'!I:I,"",0)</f>
        <v>KMC 5825 APRFPV0274</v>
      </c>
      <c r="R573" s="47" t="str">
        <f t="array" ref="R573">XLOOKUP($A573,'Recipients REF'!$A:$A,'Recipients REF'!J:J,"",0)</f>
        <v>RTS 100065</v>
      </c>
      <c r="S573" s="45" t="s">
        <v>27</v>
      </c>
      <c r="T573" s="45" t="s">
        <v>28</v>
      </c>
      <c r="U573" s="46" t="str">
        <f t="array" ref="U573">XLOOKUP($A573,'Recipients REF'!$A:$A,'Recipients REF'!K:K,"",0)</f>
        <v>R SERIES 162</v>
      </c>
      <c r="V573" s="44" t="s">
        <v>29</v>
      </c>
      <c r="W573" s="45" t="s">
        <v>30</v>
      </c>
      <c r="X573" s="47" t="str">
        <f t="array" ref="X573">XLOOKUP($A573,'Recipients REF'!$A:$A,'Recipients REF'!L:L,"",0)</f>
        <v>LSGW1750 RMP 2312153</v>
      </c>
      <c r="Y573" s="48" t="s">
        <v>29</v>
      </c>
      <c r="Z573" s="48" t="s">
        <v>31</v>
      </c>
      <c r="AA573" s="46" t="str">
        <f t="array" ref="AA573">XLOOKUP($A573,'Recipients REF'!$A:$A,'Recipients REF'!M:M,"",0)</f>
        <v>WDP40 RMP 24020249</v>
      </c>
      <c r="AB573" s="49"/>
      <c r="AC573" s="42"/>
      <c r="AD573" s="42"/>
      <c r="AE573" s="50"/>
      <c r="AF573" s="42"/>
      <c r="AG573" s="42"/>
      <c r="AH573" s="42"/>
      <c r="AI573" s="42">
        <f t="array" ref="AI573">XLOOKUP($E573,Sheet11!$D:$D,Sheet11!$X:$X,"",0)</f>
        <v>869066060242220</v>
      </c>
      <c r="AJ573" s="42">
        <f t="array" ref="AJ573">XLOOKUP($E573,Sheet11!$D:$D,Sheet11!$Y:$Y,"",0)</f>
        <v>9624396931</v>
      </c>
    </row>
    <row r="574">
      <c r="A574" s="41">
        <v>234.0</v>
      </c>
      <c r="B574" s="42" t="s">
        <v>1131</v>
      </c>
      <c r="C574" s="42" t="s">
        <v>1132</v>
      </c>
      <c r="D574" s="42"/>
      <c r="E574" s="42" t="str">
        <f t="shared" ref="E574:F574" si="575">PROPER(B574)</f>
        <v>Savers Farmers Association, Inc.</v>
      </c>
      <c r="F574" s="42" t="str">
        <f t="shared" si="575"/>
        <v>Saverona, Talugtug, Nueva Ecija</v>
      </c>
      <c r="G574" s="42" t="str">
        <f t="shared" si="3"/>
        <v>Saverona</v>
      </c>
      <c r="H574" s="42" t="str">
        <f t="shared" si="4"/>
        <v>Talugtug</v>
      </c>
      <c r="I574" s="42" t="str">
        <f t="shared" si="5"/>
        <v>Nueva Ecija</v>
      </c>
      <c r="J574" s="42" t="str">
        <f t="array" ref="J574">XLOOKUP($E574,'Recipients REF'!$B:$B,'Recipients REF'!D:D,"",0)</f>
        <v>Rudy M. Boado</v>
      </c>
      <c r="K574" s="42" t="str">
        <f t="array" ref="K574">XLOOKUP($E574,'Recipients REF'!$B:$B,'Recipients REF'!E:E,"",0)</f>
        <v>0936-239-0565</v>
      </c>
      <c r="L574" s="43" t="str">
        <f t="array" ref="L574">XLOOKUP($A574,'Recipients REF'!$A:$A,'Recipients REF'!F:F,"",0)</f>
        <v>RCEF 23-09-21 Rebidding</v>
      </c>
      <c r="M574" s="43">
        <f t="array" ref="M574">XLOOKUP($A574,'Recipients REF'!$A:$A,'Recipients REF'!G:G,"",0)</f>
        <v>3</v>
      </c>
      <c r="N574" s="43">
        <f t="array" ref="N574">XLOOKUP($A574,'Recipients REF'!$A:$A,'Recipients REF'!H:H,"",0)</f>
        <v>18787</v>
      </c>
      <c r="O574" s="44" t="s">
        <v>25</v>
      </c>
      <c r="P574" s="45" t="s">
        <v>26</v>
      </c>
      <c r="Q574" s="46" t="str">
        <f t="array" ref="Q574">XLOOKUP($A574,'Recipients REF'!$A:$A,'Recipients REF'!I:I,"",0)</f>
        <v>KMC 5825 ACRFDV0434</v>
      </c>
      <c r="R574" s="47" t="str">
        <f t="array" ref="R574">XLOOKUP($A574,'Recipients REF'!$A:$A,'Recipients REF'!J:J,"",0)</f>
        <v>RTS 100295</v>
      </c>
      <c r="S574" s="45" t="s">
        <v>27</v>
      </c>
      <c r="T574" s="45" t="s">
        <v>28</v>
      </c>
      <c r="U574" s="46" t="str">
        <f t="array" ref="U574">XLOOKUP($A574,'Recipients REF'!$A:$A,'Recipients REF'!K:K,"",0)</f>
        <v>R SERIES 122 PH</v>
      </c>
      <c r="V574" s="44" t="s">
        <v>29</v>
      </c>
      <c r="W574" s="45" t="s">
        <v>30</v>
      </c>
      <c r="X574" s="47" t="str">
        <f t="array" ref="X574">XLOOKUP($A574,'Recipients REF'!$A:$A,'Recipients REF'!L:L,"",0)</f>
        <v>LSGW1750 RMP 24020491</v>
      </c>
      <c r="Y574" s="48" t="s">
        <v>29</v>
      </c>
      <c r="Z574" s="48" t="s">
        <v>31</v>
      </c>
      <c r="AA574" s="46" t="str">
        <f t="array" ref="AA574">XLOOKUP($A574,'Recipients REF'!$A:$A,'Recipients REF'!M:M,"",0)</f>
        <v>WDP40 RMP 24020232</v>
      </c>
      <c r="AB574" s="49"/>
      <c r="AC574" s="42"/>
      <c r="AD574" s="42"/>
      <c r="AE574" s="50"/>
      <c r="AF574" s="42"/>
      <c r="AG574" s="42"/>
      <c r="AH574" s="42"/>
      <c r="AI574" s="42">
        <f t="array" ref="AI574">XLOOKUP($E574,Sheet11!$D:$D,Sheet11!$X:$X,"",0)</f>
        <v>869066060242535</v>
      </c>
      <c r="AJ574" s="42">
        <f t="array" ref="AJ574">XLOOKUP($E574,Sheet11!$D:$D,Sheet11!$Y:$Y,"",0)</f>
        <v>9624396923</v>
      </c>
    </row>
    <row r="575">
      <c r="A575" s="41">
        <v>221.0</v>
      </c>
      <c r="B575" s="42" t="s">
        <v>1133</v>
      </c>
      <c r="C575" s="42" t="s">
        <v>1134</v>
      </c>
      <c r="D575" s="42"/>
      <c r="E575" s="42" t="str">
        <f t="shared" ref="E575:F575" si="576">PROPER(B575)</f>
        <v>Brgy. Sta. Lucia Old Zaragoza Farmers Irrigators' Assn. Inc.</v>
      </c>
      <c r="F575" s="42" t="str">
        <f t="shared" si="576"/>
        <v>Santa Lucia Young, Zaragosa, Nueva Ecija</v>
      </c>
      <c r="G575" s="42" t="str">
        <f t="shared" si="3"/>
        <v>Santa Lucia Young</v>
      </c>
      <c r="H575" s="42" t="str">
        <f t="shared" si="4"/>
        <v>Zaragosa</v>
      </c>
      <c r="I575" s="42" t="str">
        <f t="shared" si="5"/>
        <v>Nueva Ecija</v>
      </c>
      <c r="J575" s="42" t="str">
        <f t="array" ref="J575">XLOOKUP($E575,'Recipients REF'!$B:$B,'Recipients REF'!D:D,"",0)</f>
        <v>Norberto F. Paladan</v>
      </c>
      <c r="K575" s="42" t="str">
        <f t="array" ref="K575">XLOOKUP($E575,'Recipients REF'!$B:$B,'Recipients REF'!E:E,"",0)</f>
        <v>0920-432-8685</v>
      </c>
      <c r="L575" s="43" t="str">
        <f t="array" ref="L575">XLOOKUP($A575,'Recipients REF'!$A:$A,'Recipients REF'!F:F,"",0)</f>
        <v>RCEF 23-09-21 Rebidding</v>
      </c>
      <c r="M575" s="43">
        <f t="array" ref="M575">XLOOKUP($A575,'Recipients REF'!$A:$A,'Recipients REF'!G:G,"",0)</f>
        <v>3</v>
      </c>
      <c r="N575" s="43">
        <f t="array" ref="N575">XLOOKUP($A575,'Recipients REF'!$A:$A,'Recipients REF'!H:H,"",0)</f>
        <v>18774</v>
      </c>
      <c r="O575" s="44" t="s">
        <v>25</v>
      </c>
      <c r="P575" s="45" t="s">
        <v>26</v>
      </c>
      <c r="Q575" s="46" t="str">
        <f t="array" ref="Q575">XLOOKUP($A575,'Recipients REF'!$A:$A,'Recipients REF'!I:I,"",0)</f>
        <v>KMC5825 AERFPV0500</v>
      </c>
      <c r="R575" s="47" t="str">
        <f t="array" ref="R575">XLOOKUP($A575,'Recipients REF'!$A:$A,'Recipients REF'!J:J,"",0)</f>
        <v>RTS100419</v>
      </c>
      <c r="S575" s="45" t="s">
        <v>27</v>
      </c>
      <c r="T575" s="45" t="s">
        <v>28</v>
      </c>
      <c r="U575" s="46" t="str">
        <f t="array" ref="U575">XLOOKUP($A575,'Recipients REF'!$A:$A,'Recipients REF'!K:K,"",0)</f>
        <v>R-SERIES 395 PH</v>
      </c>
      <c r="V575" s="44" t="s">
        <v>29</v>
      </c>
      <c r="W575" s="45" t="s">
        <v>30</v>
      </c>
      <c r="X575" s="47" t="str">
        <f t="array" ref="X575">XLOOKUP($A575,'Recipients REF'!$A:$A,'Recipients REF'!L:L,"",0)</f>
        <v>LSGW1750 RMP 2312140</v>
      </c>
      <c r="Y575" s="48" t="s">
        <v>29</v>
      </c>
      <c r="Z575" s="48" t="s">
        <v>31</v>
      </c>
      <c r="AA575" s="46" t="str">
        <f t="array" ref="AA575">XLOOKUP($A575,'Recipients REF'!$A:$A,'Recipients REF'!M:M,"",0)</f>
        <v>WDP40 RMP 24020233</v>
      </c>
      <c r="AB575" s="49"/>
      <c r="AC575" s="42"/>
      <c r="AD575" s="42"/>
      <c r="AE575" s="50"/>
      <c r="AF575" s="42"/>
      <c r="AG575" s="42"/>
      <c r="AH575" s="42"/>
      <c r="AI575" s="42" t="str">
        <f t="array" ref="AI575">XLOOKUP($E575,Sheet11!$D:$D,Sheet11!$X:$X,"",0)</f>
        <v/>
      </c>
      <c r="AJ575" s="42" t="str">
        <f t="array" ref="AJ575">XLOOKUP($E575,Sheet11!$D:$D,Sheet11!$Y:$Y,"",0)</f>
        <v/>
      </c>
    </row>
    <row r="576">
      <c r="A576" s="41">
        <v>222.0</v>
      </c>
      <c r="B576" s="42" t="s">
        <v>1135</v>
      </c>
      <c r="C576" s="42" t="s">
        <v>1136</v>
      </c>
      <c r="D576" s="42"/>
      <c r="E576" s="42" t="str">
        <f t="shared" ref="E576:F576" si="577">PROPER(B576)</f>
        <v>Sagingan East And West Farmers Association</v>
      </c>
      <c r="F576" s="42" t="str">
        <f t="shared" si="577"/>
        <v>Concepcion, Zaragosa, Nueva Ecija</v>
      </c>
      <c r="G576" s="42" t="str">
        <f t="shared" si="3"/>
        <v>Concepcion</v>
      </c>
      <c r="H576" s="42" t="str">
        <f t="shared" si="4"/>
        <v>Zaragosa</v>
      </c>
      <c r="I576" s="42" t="str">
        <f t="shared" si="5"/>
        <v>Nueva Ecija</v>
      </c>
      <c r="J576" s="42" t="str">
        <f t="array" ref="J576">XLOOKUP($E576,'Recipients REF'!$B:$B,'Recipients REF'!D:D,"",0)</f>
        <v>Eddie S. Ramos</v>
      </c>
      <c r="K576" s="42" t="str">
        <f t="array" ref="K576">XLOOKUP($E576,'Recipients REF'!$B:$B,'Recipients REF'!E:E,"",0)</f>
        <v>0977-824-1191</v>
      </c>
      <c r="L576" s="43" t="str">
        <f t="array" ref="L576">XLOOKUP($A576,'Recipients REF'!$A:$A,'Recipients REF'!F:F,"",0)</f>
        <v>RCEF 23-09-21 Rebidding</v>
      </c>
      <c r="M576" s="43">
        <f t="array" ref="M576">XLOOKUP($A576,'Recipients REF'!$A:$A,'Recipients REF'!G:G,"",0)</f>
        <v>3</v>
      </c>
      <c r="N576" s="43">
        <f t="array" ref="N576">XLOOKUP($A576,'Recipients REF'!$A:$A,'Recipients REF'!H:H,"",0)</f>
        <v>18775</v>
      </c>
      <c r="O576" s="44" t="s">
        <v>25</v>
      </c>
      <c r="P576" s="45" t="s">
        <v>26</v>
      </c>
      <c r="Q576" s="46" t="str">
        <f t="array" ref="Q576">XLOOKUP($A576,'Recipients REF'!$A:$A,'Recipients REF'!I:I,"",0)</f>
        <v>KMC5825 ALRFPV0476</v>
      </c>
      <c r="R576" s="47" t="str">
        <f t="array" ref="R576">XLOOKUP($A576,'Recipients REF'!$A:$A,'Recipients REF'!J:J,"",0)</f>
        <v>RTS 100385</v>
      </c>
      <c r="S576" s="45" t="s">
        <v>27</v>
      </c>
      <c r="T576" s="45" t="s">
        <v>28</v>
      </c>
      <c r="U576" s="46" t="str">
        <f t="array" ref="U576">XLOOKUP($A576,'Recipients REF'!$A:$A,'Recipients REF'!K:K,"",0)</f>
        <v>R-SERIES 096 PH</v>
      </c>
      <c r="V576" s="44" t="s">
        <v>29</v>
      </c>
      <c r="W576" s="45" t="s">
        <v>30</v>
      </c>
      <c r="X576" s="47" t="str">
        <f t="array" ref="X576">XLOOKUP($A576,'Recipients REF'!$A:$A,'Recipients REF'!L:L,"",0)</f>
        <v>LSGW1750 RMP 2312180</v>
      </c>
      <c r="Y576" s="48" t="s">
        <v>29</v>
      </c>
      <c r="Z576" s="48" t="s">
        <v>31</v>
      </c>
      <c r="AA576" s="46" t="str">
        <f t="array" ref="AA576">XLOOKUP($A576,'Recipients REF'!$A:$A,'Recipients REF'!M:M,"",0)</f>
        <v>WDP40 RMP 24020181</v>
      </c>
      <c r="AB576" s="49"/>
      <c r="AC576" s="42"/>
      <c r="AD576" s="42"/>
      <c r="AE576" s="50"/>
      <c r="AF576" s="42"/>
      <c r="AG576" s="42"/>
      <c r="AH576" s="42"/>
      <c r="AI576" s="42" t="str">
        <f t="array" ref="AI576">XLOOKUP($E576,Sheet11!$D:$D,Sheet11!$X:$X,"",0)</f>
        <v/>
      </c>
      <c r="AJ576" s="42" t="str">
        <f t="array" ref="AJ576">XLOOKUP($E576,Sheet11!$D:$D,Sheet11!$Y:$Y,"",0)</f>
        <v/>
      </c>
    </row>
    <row r="577">
      <c r="A577" s="41">
        <v>606.0</v>
      </c>
      <c r="B577" s="42" t="s">
        <v>1137</v>
      </c>
      <c r="C577" s="42" t="s">
        <v>1138</v>
      </c>
      <c r="D577" s="42"/>
      <c r="E577" s="42" t="str">
        <f t="shared" ref="E577:F577" si="578">PROPER(B577)</f>
        <v>Zaragoza People'S Agriculture Cooperative</v>
      </c>
      <c r="F577" s="42" t="str">
        <f t="shared" si="578"/>
        <v>Santo Rosario Old, Zaragosa, Nueva Ecija</v>
      </c>
      <c r="G577" s="42" t="str">
        <f t="shared" si="3"/>
        <v>Santo Rosario Old</v>
      </c>
      <c r="H577" s="42" t="str">
        <f t="shared" si="4"/>
        <v>Zaragosa</v>
      </c>
      <c r="I577" s="42" t="str">
        <f t="shared" si="5"/>
        <v>Nueva Ecija</v>
      </c>
      <c r="J577" s="42" t="str">
        <f t="array" ref="J577">XLOOKUP($E577,'Recipients REF'!$B:$B,'Recipients REF'!D:D,"",0)</f>
        <v>Vic T. Octaviano</v>
      </c>
      <c r="K577" s="42" t="str">
        <f t="array" ref="K577">XLOOKUP($E577,'Recipients REF'!$B:$B,'Recipients REF'!E:E,"",0)</f>
        <v>0961-094-4094</v>
      </c>
      <c r="L577" s="43" t="str">
        <f t="array" ref="L577">XLOOKUP($A577,'Recipients REF'!$A:$A,'Recipients REF'!F:F,"",0)</f>
        <v>RCEF 24-04-15</v>
      </c>
      <c r="M577" s="43">
        <f t="array" ref="M577">XLOOKUP($A577,'Recipients REF'!$A:$A,'Recipients REF'!G:G,"",0)</f>
        <v>6</v>
      </c>
      <c r="N577" s="43" t="str">
        <f t="array" ref="N577">XLOOKUP($A577,'Recipients REF'!$A:$A,'Recipients REF'!H:H,"",0)</f>
        <v>20660/21091</v>
      </c>
      <c r="O577" s="44" t="s">
        <v>25</v>
      </c>
      <c r="P577" s="45" t="s">
        <v>26</v>
      </c>
      <c r="Q577" s="46" t="str">
        <f t="array" ref="Q577">XLOOKUP($A577,'Recipients REF'!$A:$A,'Recipients REF'!I:I,"",0)</f>
        <v>KMC5825ACRFPV0496</v>
      </c>
      <c r="R577" s="47" t="str">
        <f t="array" ref="R577">XLOOKUP($A577,'Recipients REF'!$A:$A,'Recipients REF'!J:J,"",0)</f>
        <v>RTS100410</v>
      </c>
      <c r="S577" s="45" t="s">
        <v>27</v>
      </c>
      <c r="T577" s="45" t="s">
        <v>28</v>
      </c>
      <c r="U577" s="46" t="str">
        <f t="array" ref="U577">XLOOKUP($A577,'Recipients REF'!$A:$A,'Recipients REF'!K:K,"",0)</f>
        <v>LSGW170-RMP-24080733</v>
      </c>
      <c r="V577" s="44" t="s">
        <v>29</v>
      </c>
      <c r="W577" s="45" t="s">
        <v>30</v>
      </c>
      <c r="X577" s="47" t="str">
        <f t="array" ref="X577">XLOOKUP($A577,'Recipients REF'!$A:$A,'Recipients REF'!L:L,"",0)</f>
        <v>WDP40-RMP-24040445</v>
      </c>
      <c r="Y577" s="48" t="s">
        <v>29</v>
      </c>
      <c r="Z577" s="48" t="s">
        <v>31</v>
      </c>
      <c r="AA577" s="46" t="str">
        <f t="array" ref="AA577">XLOOKUP($A577,'Recipients REF'!$A:$A,'Recipients REF'!M:M,"",0)</f>
        <v>WR-SERIES-968PH</v>
      </c>
      <c r="AB577" s="49"/>
      <c r="AC577" s="42"/>
      <c r="AD577" s="42"/>
      <c r="AE577" s="51"/>
      <c r="AF577" s="52"/>
      <c r="AG577" s="42"/>
      <c r="AH577" s="42"/>
      <c r="AI577" s="42" t="str">
        <f t="array" ref="AI577">XLOOKUP($E577,Sheet11!$D:$D,Sheet11!$X:$X,"",0)</f>
        <v/>
      </c>
      <c r="AJ577" s="42" t="str">
        <f t="array" ref="AJ577">XLOOKUP($E577,Sheet11!$D:$D,Sheet11!$Y:$Y,"",0)</f>
        <v/>
      </c>
    </row>
    <row r="578">
      <c r="A578" s="41">
        <v>650.0</v>
      </c>
      <c r="B578" s="42" t="s">
        <v>1139</v>
      </c>
      <c r="C578" s="42" t="s">
        <v>1140</v>
      </c>
      <c r="D578" s="42"/>
      <c r="E578" s="42" t="str">
        <f t="shared" ref="E578:F578" si="579">PROPER(B578)</f>
        <v>Kasaka Manaol Agriculture Cooperative</v>
      </c>
      <c r="F578" s="42" t="str">
        <f t="shared" si="579"/>
        <v>Manaul, Zaragosa, Nueva Ecija</v>
      </c>
      <c r="G578" s="42" t="str">
        <f t="shared" si="3"/>
        <v>Manaul</v>
      </c>
      <c r="H578" s="42" t="str">
        <f t="shared" si="4"/>
        <v>Zaragosa</v>
      </c>
      <c r="I578" s="42" t="str">
        <f t="shared" si="5"/>
        <v>Nueva Ecija</v>
      </c>
      <c r="J578" s="42" t="str">
        <f t="array" ref="J578">XLOOKUP($E578,'Recipients REF'!$B:$B,'Recipients REF'!D:D,"",0)</f>
        <v>Sarnie R. Esteban</v>
      </c>
      <c r="K578" s="42" t="str">
        <f t="array" ref="K578">XLOOKUP($E578,'Recipients REF'!$B:$B,'Recipients REF'!E:E,"",0)</f>
        <v>0935-997-2118/ 0965-637-5439</v>
      </c>
      <c r="L578" s="43" t="str">
        <f t="array" ref="L578">XLOOKUP($A578,'Recipients REF'!$A:$A,'Recipients REF'!F:F,"",0)</f>
        <v>RCEF 25-03-05</v>
      </c>
      <c r="M578" s="43">
        <f t="array" ref="M578">XLOOKUP($A578,'Recipients REF'!$A:$A,'Recipients REF'!G:G,"",0)</f>
        <v>5</v>
      </c>
      <c r="N578" s="43" t="str">
        <f t="array" ref="N578">XLOOKUP($A578,'Recipients REF'!$A:$A,'Recipients REF'!H:H,"",0)</f>
        <v>26240 &amp; 27830</v>
      </c>
      <c r="O578" s="44" t="s">
        <v>25</v>
      </c>
      <c r="P578" s="45" t="s">
        <v>26</v>
      </c>
      <c r="Q578" s="46" t="str">
        <f t="array" ref="Q578">XLOOKUP($A578,'Recipients REF'!$A:$A,'Recipients REF'!I:I,"",0)</f>
        <v>KMC5825 AJSFPV0610</v>
      </c>
      <c r="R578" s="53" t="str">
        <f t="array" ref="R578">XLOOKUP($A578,'Recipients REF'!$A:$A,'Recipients REF'!J:J,"",0)</f>
        <v>STS100615</v>
      </c>
      <c r="S578" s="45" t="s">
        <v>27</v>
      </c>
      <c r="T578" s="45" t="s">
        <v>28</v>
      </c>
      <c r="U578" s="46" t="str">
        <f t="array" ref="U578">XLOOKUP($A578,'Recipients REF'!$A:$A,'Recipients REF'!K:K,"",0)</f>
        <v>WR-SERIES 1444PH</v>
      </c>
      <c r="V578" s="44" t="s">
        <v>29</v>
      </c>
      <c r="W578" s="45" t="s">
        <v>30</v>
      </c>
      <c r="X578" s="53" t="str">
        <f t="array" ref="X578">XLOOKUP($A578,'Recipients REF'!$A:$A,'Recipients REF'!L:L,"",0)</f>
        <v>25100812</v>
      </c>
      <c r="Y578" s="48" t="s">
        <v>29</v>
      </c>
      <c r="Z578" s="48" t="s">
        <v>31</v>
      </c>
      <c r="AA578" s="54" t="str">
        <f t="array" ref="AA578">XLOOKUP($A578,'Recipients REF'!$A:$A,'Recipients REF'!M:M,"",0)</f>
        <v>25101172</v>
      </c>
      <c r="AB578" s="49"/>
      <c r="AC578" s="42"/>
      <c r="AD578" s="42"/>
      <c r="AE578" s="50"/>
      <c r="AF578" s="42"/>
      <c r="AG578" s="42"/>
      <c r="AH578" s="42"/>
      <c r="AI578" s="42" t="str">
        <f t="array" ref="AI578">XLOOKUP($E578,Sheet11!$D:$D,Sheet11!$X:$X,"",0)</f>
        <v/>
      </c>
      <c r="AJ578" s="42" t="str">
        <f t="array" ref="AJ578">XLOOKUP($E578,Sheet11!$D:$D,Sheet11!$Y:$Y,"",0)</f>
        <v/>
      </c>
    </row>
    <row r="579">
      <c r="A579" s="41">
        <v>651.0</v>
      </c>
      <c r="B579" s="42" t="s">
        <v>1141</v>
      </c>
      <c r="C579" s="42" t="s">
        <v>1142</v>
      </c>
      <c r="D579" s="42"/>
      <c r="E579" s="42" t="str">
        <f t="shared" ref="E579:F579" si="580">PROPER(B579)</f>
        <v>Zaralica Farmers Association Inc.</v>
      </c>
      <c r="F579" s="42" t="str">
        <f t="shared" si="580"/>
        <v>Santa Lucia Old, Zaragosa, Nueva Ecija</v>
      </c>
      <c r="G579" s="42" t="str">
        <f t="shared" si="3"/>
        <v>Santa Lucia Old</v>
      </c>
      <c r="H579" s="42" t="str">
        <f t="shared" si="4"/>
        <v>Zaragosa</v>
      </c>
      <c r="I579" s="42" t="str">
        <f t="shared" si="5"/>
        <v>Nueva Ecija</v>
      </c>
      <c r="J579" s="42" t="str">
        <f t="array" ref="J579">XLOOKUP($E579,'Recipients REF'!$B:$B,'Recipients REF'!D:D,"",0)</f>
        <v>Ricky G. Gaitan</v>
      </c>
      <c r="K579" s="42" t="str">
        <f t="array" ref="K579">XLOOKUP($E579,'Recipients REF'!$B:$B,'Recipients REF'!E:E,"",0)</f>
        <v>0907-018-7913</v>
      </c>
      <c r="L579" s="43" t="str">
        <f t="array" ref="L579">XLOOKUP($A579,'Recipients REF'!$A:$A,'Recipients REF'!F:F,"",0)</f>
        <v>RCEF 25-03-05</v>
      </c>
      <c r="M579" s="43">
        <f t="array" ref="M579">XLOOKUP($A579,'Recipients REF'!$A:$A,'Recipients REF'!G:G,"",0)</f>
        <v>5</v>
      </c>
      <c r="N579" s="43" t="str">
        <f t="array" ref="N579">XLOOKUP($A579,'Recipients REF'!$A:$A,'Recipients REF'!H:H,"",0)</f>
        <v>26241 &amp; 27732</v>
      </c>
      <c r="O579" s="44" t="s">
        <v>25</v>
      </c>
      <c r="P579" s="45" t="s">
        <v>26</v>
      </c>
      <c r="Q579" s="46" t="str">
        <f t="array" ref="Q579">XLOOKUP($A579,'Recipients REF'!$A:$A,'Recipients REF'!I:I,"",0)</f>
        <v>KMC5825 AHSFPV0646</v>
      </c>
      <c r="R579" s="53" t="str">
        <f t="array" ref="R579">XLOOKUP($A579,'Recipients REF'!$A:$A,'Recipients REF'!J:J,"",0)</f>
        <v>STS100336</v>
      </c>
      <c r="S579" s="45" t="s">
        <v>27</v>
      </c>
      <c r="T579" s="45" t="s">
        <v>28</v>
      </c>
      <c r="U579" s="46" t="str">
        <f t="array" ref="U579">XLOOKUP($A579,'Recipients REF'!$A:$A,'Recipients REF'!K:K,"",0)</f>
        <v>WR-SERIES 01329PH</v>
      </c>
      <c r="V579" s="44" t="s">
        <v>29</v>
      </c>
      <c r="W579" s="45" t="s">
        <v>30</v>
      </c>
      <c r="X579" s="53" t="str">
        <f t="array" ref="X579">XLOOKUP($A579,'Recipients REF'!$A:$A,'Recipients REF'!L:L,"",0)</f>
        <v>25100824</v>
      </c>
      <c r="Y579" s="48" t="s">
        <v>29</v>
      </c>
      <c r="Z579" s="48" t="s">
        <v>31</v>
      </c>
      <c r="AA579" s="54" t="str">
        <f t="array" ref="AA579">XLOOKUP($A579,'Recipients REF'!$A:$A,'Recipients REF'!M:M,"",0)</f>
        <v>25101177</v>
      </c>
      <c r="AB579" s="49"/>
      <c r="AC579" s="42"/>
      <c r="AD579" s="42"/>
      <c r="AE579" s="50"/>
      <c r="AF579" s="42"/>
      <c r="AG579" s="42"/>
      <c r="AH579" s="42"/>
      <c r="AI579" s="42" t="str">
        <f t="array" ref="AI579">XLOOKUP($E579,Sheet11!$D:$D,Sheet11!$X:$X,"",0)</f>
        <v/>
      </c>
      <c r="AJ579" s="42" t="str">
        <f t="array" ref="AJ579">XLOOKUP($E579,Sheet11!$D:$D,Sheet11!$Y:$Y,"",0)</f>
        <v/>
      </c>
    </row>
    <row r="580">
      <c r="A580" s="41">
        <v>203.0</v>
      </c>
      <c r="B580" s="42" t="s">
        <v>1143</v>
      </c>
      <c r="C580" s="42" t="s">
        <v>1144</v>
      </c>
      <c r="D580" s="42"/>
      <c r="E580" s="42" t="str">
        <f t="shared" ref="E580:F580" si="581">PROPER(B580)</f>
        <v>Saint Jerome'S Parish Multi-Purpose Cooperative</v>
      </c>
      <c r="F580" s="42" t="str">
        <f t="shared" si="581"/>
        <v>San Geronimo (Pob.), Bagabag, Nueva Vizcaya</v>
      </c>
      <c r="G580" s="42" t="str">
        <f t="shared" si="3"/>
        <v>San Geronimo (Pob.)</v>
      </c>
      <c r="H580" s="42" t="str">
        <f t="shared" si="4"/>
        <v>Bagabag</v>
      </c>
      <c r="I580" s="42" t="str">
        <f t="shared" si="5"/>
        <v>Nueva Vizcaya</v>
      </c>
      <c r="J580" s="42" t="str">
        <f t="array" ref="J580">XLOOKUP($E580,'Recipients REF'!$B:$B,'Recipients REF'!D:D,"",0)</f>
        <v>Benedicta D. Dela Peña</v>
      </c>
      <c r="K580" s="42">
        <f t="array" ref="K580">XLOOKUP($E580,'Recipients REF'!$B:$B,'Recipients REF'!E:E,"",0)</f>
        <v>9171600264</v>
      </c>
      <c r="L580" s="43" t="str">
        <f t="array" ref="L580">XLOOKUP($A580,'Recipients REF'!$A:$A,'Recipients REF'!F:F,"",0)</f>
        <v>RCEF 23-09-21 Rebidding</v>
      </c>
      <c r="M580" s="43">
        <f t="array" ref="M580">XLOOKUP($A580,'Recipients REF'!$A:$A,'Recipients REF'!G:G,"",0)</f>
        <v>9</v>
      </c>
      <c r="N580" s="43">
        <f t="array" ref="N580">XLOOKUP($A580,'Recipients REF'!$A:$A,'Recipients REF'!H:H,"",0)</f>
        <v>18504</v>
      </c>
      <c r="O580" s="44" t="s">
        <v>25</v>
      </c>
      <c r="P580" s="45" t="s">
        <v>26</v>
      </c>
      <c r="Q580" s="46" t="str">
        <f t="array" ref="Q580">XLOOKUP($A580,'Recipients REF'!$A:$A,'Recipients REF'!I:I,"",0)</f>
        <v>KMC5825 AHRFPV0026</v>
      </c>
      <c r="R580" s="47" t="str">
        <f t="array" ref="R580">XLOOKUP($A580,'Recipients REF'!$A:$A,'Recipients REF'!J:J,"",0)</f>
        <v>PTS 100264</v>
      </c>
      <c r="S580" s="45" t="s">
        <v>27</v>
      </c>
      <c r="T580" s="45" t="s">
        <v>28</v>
      </c>
      <c r="U580" s="46" t="str">
        <f t="array" ref="U580">XLOOKUP($A580,'Recipients REF'!$A:$A,'Recipients REF'!K:K,"",0)</f>
        <v>R-SERIES 178 PH</v>
      </c>
      <c r="V580" s="44" t="s">
        <v>29</v>
      </c>
      <c r="W580" s="45" t="s">
        <v>30</v>
      </c>
      <c r="X580" s="47" t="str">
        <f t="array" ref="X580">XLOOKUP($A580,'Recipients REF'!$A:$A,'Recipients REF'!L:L,"",0)</f>
        <v>LSGW1750 RMP 24010039</v>
      </c>
      <c r="Y580" s="48" t="s">
        <v>29</v>
      </c>
      <c r="Z580" s="48" t="s">
        <v>31</v>
      </c>
      <c r="AA580" s="46" t="str">
        <f t="array" ref="AA580">XLOOKUP($A580,'Recipients REF'!$A:$A,'Recipients REF'!M:M,"",0)</f>
        <v>WDP40 RMP 24010045</v>
      </c>
      <c r="AB580" s="49"/>
      <c r="AC580" s="42"/>
      <c r="AD580" s="42"/>
      <c r="AE580" s="50"/>
      <c r="AF580" s="42"/>
      <c r="AG580" s="42"/>
      <c r="AH580" s="42"/>
      <c r="AI580" s="42">
        <f t="array" ref="AI580">XLOOKUP($E580,Sheet11!$D:$D,Sheet11!$X:$X,"",0)</f>
        <v>869066060010239</v>
      </c>
      <c r="AJ580" s="42">
        <f t="array" ref="AJ580">XLOOKUP($E580,Sheet11!$D:$D,Sheet11!$Y:$Y,"",0)</f>
        <v>9085848902</v>
      </c>
    </row>
    <row r="581">
      <c r="A581" s="41">
        <v>204.0</v>
      </c>
      <c r="B581" s="42" t="s">
        <v>1145</v>
      </c>
      <c r="C581" s="42" t="s">
        <v>1146</v>
      </c>
      <c r="D581" s="42"/>
      <c r="E581" s="42" t="str">
        <f t="shared" ref="E581:F581" si="582">PROPER(B581)</f>
        <v>Lower Bangaan Solano Irrigators Association, Inc.</v>
      </c>
      <c r="F581" s="42" t="str">
        <f t="shared" si="582"/>
        <v>Bangaan, Solano, Nueva Vizcaya</v>
      </c>
      <c r="G581" s="42" t="str">
        <f t="shared" si="3"/>
        <v>Bangaan</v>
      </c>
      <c r="H581" s="42" t="str">
        <f t="shared" si="4"/>
        <v>Solano</v>
      </c>
      <c r="I581" s="42" t="str">
        <f t="shared" si="5"/>
        <v>Nueva Vizcaya</v>
      </c>
      <c r="J581" s="42" t="str">
        <f t="array" ref="J581">XLOOKUP($E581,'Recipients REF'!$B:$B,'Recipients REF'!D:D,"",0)</f>
        <v>Freddie G. Bacud</v>
      </c>
      <c r="K581" s="42">
        <f t="array" ref="K581">XLOOKUP($E581,'Recipients REF'!$B:$B,'Recipients REF'!E:E,"",0)</f>
        <v>9650826661</v>
      </c>
      <c r="L581" s="43" t="str">
        <f t="array" ref="L581">XLOOKUP($A581,'Recipients REF'!$A:$A,'Recipients REF'!F:F,"",0)</f>
        <v>RCEF 23-09-21 Rebidding</v>
      </c>
      <c r="M581" s="43">
        <f t="array" ref="M581">XLOOKUP($A581,'Recipients REF'!$A:$A,'Recipients REF'!G:G,"",0)</f>
        <v>9</v>
      </c>
      <c r="N581" s="43">
        <f t="array" ref="N581">XLOOKUP($A581,'Recipients REF'!$A:$A,'Recipients REF'!H:H,"",0)</f>
        <v>18505</v>
      </c>
      <c r="O581" s="44" t="s">
        <v>25</v>
      </c>
      <c r="P581" s="45" t="s">
        <v>26</v>
      </c>
      <c r="Q581" s="46" t="str">
        <f t="array" ref="Q581">XLOOKUP($A581,'Recipients REF'!$A:$A,'Recipients REF'!I:I,"",0)</f>
        <v>KMC5825 ALRFPV0090</v>
      </c>
      <c r="R581" s="47" t="str">
        <f t="array" ref="R581">XLOOKUP($A581,'Recipients REF'!$A:$A,'Recipients REF'!J:J,"",0)</f>
        <v>PTS 100209</v>
      </c>
      <c r="S581" s="45" t="s">
        <v>27</v>
      </c>
      <c r="T581" s="45" t="s">
        <v>28</v>
      </c>
      <c r="U581" s="46" t="str">
        <f t="array" ref="U581">XLOOKUP($A581,'Recipients REF'!$A:$A,'Recipients REF'!K:K,"",0)</f>
        <v>R-SERIES 176 PH</v>
      </c>
      <c r="V581" s="44" t="s">
        <v>29</v>
      </c>
      <c r="W581" s="45" t="s">
        <v>30</v>
      </c>
      <c r="X581" s="47" t="str">
        <f t="array" ref="X581">XLOOKUP($A581,'Recipients REF'!$A:$A,'Recipients REF'!L:L,"",0)</f>
        <v>LSGW1750 RMP 24010090</v>
      </c>
      <c r="Y581" s="48" t="s">
        <v>29</v>
      </c>
      <c r="Z581" s="48" t="s">
        <v>31</v>
      </c>
      <c r="AA581" s="46" t="str">
        <f t="array" ref="AA581">XLOOKUP($A581,'Recipients REF'!$A:$A,'Recipients REF'!M:M,"",0)</f>
        <v>WDP40 RMP 24010059</v>
      </c>
      <c r="AB581" s="49"/>
      <c r="AC581" s="42"/>
      <c r="AD581" s="42"/>
      <c r="AE581" s="50"/>
      <c r="AF581" s="42"/>
      <c r="AG581" s="42"/>
      <c r="AH581" s="42"/>
      <c r="AI581" s="42">
        <f t="array" ref="AI581">XLOOKUP($E581,Sheet11!$D:$D,Sheet11!$X:$X,"",0)</f>
        <v>869066060243202</v>
      </c>
      <c r="AJ581" s="42">
        <f t="array" ref="AJ581">XLOOKUP($E581,Sheet11!$D:$D,Sheet11!$Y:$Y,"",0)</f>
        <v>9087537454</v>
      </c>
    </row>
    <row r="582">
      <c r="A582" s="41">
        <v>205.0</v>
      </c>
      <c r="B582" s="42" t="s">
        <v>1147</v>
      </c>
      <c r="C582" s="42" t="s">
        <v>1148</v>
      </c>
      <c r="D582" s="42"/>
      <c r="E582" s="42" t="str">
        <f t="shared" ref="E582:F582" si="583">PROPER(B582)</f>
        <v>Magarang Bagahabag Lower Moton Irrigators Association Inc.</v>
      </c>
      <c r="F582" s="42" t="str">
        <f t="shared" si="583"/>
        <v>Bagahabag, Solano, Nueva Vizcaya</v>
      </c>
      <c r="G582" s="42" t="str">
        <f t="shared" si="3"/>
        <v>Bagahabag</v>
      </c>
      <c r="H582" s="42" t="str">
        <f t="shared" si="4"/>
        <v>Solano</v>
      </c>
      <c r="I582" s="42" t="str">
        <f t="shared" si="5"/>
        <v>Nueva Vizcaya</v>
      </c>
      <c r="J582" s="42" t="str">
        <f t="array" ref="J582">XLOOKUP($E582,'Recipients REF'!$B:$B,'Recipients REF'!D:D,"",0)</f>
        <v>Nestor P. Nicolas</v>
      </c>
      <c r="K582" s="42">
        <f t="array" ref="K582">XLOOKUP($E582,'Recipients REF'!$B:$B,'Recipients REF'!E:E,"",0)</f>
        <v>9062689966</v>
      </c>
      <c r="L582" s="43" t="str">
        <f t="array" ref="L582">XLOOKUP($A582,'Recipients REF'!$A:$A,'Recipients REF'!F:F,"",0)</f>
        <v>RCEF 23-09-21 Rebidding</v>
      </c>
      <c r="M582" s="43">
        <f t="array" ref="M582">XLOOKUP($A582,'Recipients REF'!$A:$A,'Recipients REF'!G:G,"",0)</f>
        <v>9</v>
      </c>
      <c r="N582" s="43">
        <f t="array" ref="N582">XLOOKUP($A582,'Recipients REF'!$A:$A,'Recipients REF'!H:H,"",0)</f>
        <v>18506</v>
      </c>
      <c r="O582" s="44" t="s">
        <v>25</v>
      </c>
      <c r="P582" s="45" t="s">
        <v>26</v>
      </c>
      <c r="Q582" s="46" t="str">
        <f t="array" ref="Q582">XLOOKUP($A582,'Recipients REF'!$A:$A,'Recipients REF'!I:I,"",0)</f>
        <v>KMC5825 ALRFPV0025</v>
      </c>
      <c r="R582" s="47" t="str">
        <f t="array" ref="R582">XLOOKUP($A582,'Recipients REF'!$A:$A,'Recipients REF'!J:J,"",0)</f>
        <v>PTS 100292</v>
      </c>
      <c r="S582" s="45" t="s">
        <v>27</v>
      </c>
      <c r="T582" s="45" t="s">
        <v>28</v>
      </c>
      <c r="U582" s="46" t="str">
        <f t="array" ref="U582">XLOOKUP($A582,'Recipients REF'!$A:$A,'Recipients REF'!K:K,"",0)</f>
        <v>R-SERIES 175 PH</v>
      </c>
      <c r="V582" s="44" t="s">
        <v>29</v>
      </c>
      <c r="W582" s="45" t="s">
        <v>30</v>
      </c>
      <c r="X582" s="47" t="str">
        <f t="array" ref="X582">XLOOKUP($A582,'Recipients REF'!$A:$A,'Recipients REF'!L:L,"",0)</f>
        <v>LSGW1750 RMP 24010058</v>
      </c>
      <c r="Y582" s="48" t="s">
        <v>29</v>
      </c>
      <c r="Z582" s="48" t="s">
        <v>31</v>
      </c>
      <c r="AA582" s="46" t="str">
        <f t="array" ref="AA582">XLOOKUP($A582,'Recipients REF'!$A:$A,'Recipients REF'!M:M,"",0)</f>
        <v>WDP40 RMP 24010048</v>
      </c>
      <c r="AB582" s="49"/>
      <c r="AC582" s="42"/>
      <c r="AD582" s="42"/>
      <c r="AE582" s="50"/>
      <c r="AF582" s="42"/>
      <c r="AG582" s="42"/>
      <c r="AH582" s="42"/>
      <c r="AI582" s="42">
        <f t="array" ref="AI582">XLOOKUP($E582,Sheet11!$D:$D,Sheet11!$X:$X,"",0)</f>
        <v>869066060010205</v>
      </c>
      <c r="AJ582" s="42">
        <f t="array" ref="AJ582">XLOOKUP($E582,Sheet11!$D:$D,Sheet11!$Y:$Y,"",0)</f>
        <v>9087601825</v>
      </c>
    </row>
    <row r="583">
      <c r="A583" s="41">
        <v>370.0</v>
      </c>
      <c r="B583" s="42" t="s">
        <v>1149</v>
      </c>
      <c r="C583" s="42" t="s">
        <v>1150</v>
      </c>
      <c r="D583" s="42"/>
      <c r="E583" s="42" t="str">
        <f t="shared" ref="E583:F583" si="584">PROPER(B583)</f>
        <v>Kirang Impounding Aritao Irrigators Association Inc.,</v>
      </c>
      <c r="F583" s="42" t="str">
        <f t="shared" si="584"/>
        <v>, Aritao, Nueva Vizcaya</v>
      </c>
      <c r="G583" s="42" t="str">
        <f t="shared" si="3"/>
        <v/>
      </c>
      <c r="H583" s="42" t="str">
        <f t="shared" si="4"/>
        <v>Aritao</v>
      </c>
      <c r="I583" s="42" t="str">
        <f t="shared" si="5"/>
        <v>Nueva Vizcaya</v>
      </c>
      <c r="J583" s="42" t="str">
        <f t="array" ref="J583">XLOOKUP($E583,'Recipients REF'!$B:$B,'Recipients REF'!D:D,"",0)</f>
        <v>#N/A</v>
      </c>
      <c r="K583" s="42" t="str">
        <f t="array" ref="K583">XLOOKUP($E583,'Recipients REF'!$B:$B,'Recipients REF'!E:E,"",0)</f>
        <v>#N/A</v>
      </c>
      <c r="L583" s="43" t="str">
        <f t="array" ref="L583">XLOOKUP($A583,'Recipients REF'!$A:$A,'Recipients REF'!F:F,"",0)</f>
        <v>RCEF 23-09-21 Rebidding</v>
      </c>
      <c r="M583" s="43">
        <f t="array" ref="M583">XLOOKUP($A583,'Recipients REF'!$A:$A,'Recipients REF'!G:G,"",0)</f>
        <v>9</v>
      </c>
      <c r="N583" s="43">
        <f t="array" ref="N583">XLOOKUP($A583,'Recipients REF'!$A:$A,'Recipients REF'!H:H,"",0)</f>
        <v>19025</v>
      </c>
      <c r="O583" s="44" t="s">
        <v>25</v>
      </c>
      <c r="P583" s="45" t="s">
        <v>26</v>
      </c>
      <c r="Q583" s="46" t="str">
        <f t="array" ref="Q583">XLOOKUP($A583,'Recipients REF'!$A:$A,'Recipients REF'!I:I,"",0)</f>
        <v>KMC5825 ATRFPV0550</v>
      </c>
      <c r="R583" s="47" t="str">
        <f t="array" ref="R583">XLOOKUP($A583,'Recipients REF'!$A:$A,'Recipients REF'!J:J,"",0)</f>
        <v>RTS 100454</v>
      </c>
      <c r="S583" s="45" t="s">
        <v>27</v>
      </c>
      <c r="T583" s="45" t="s">
        <v>28</v>
      </c>
      <c r="U583" s="46" t="str">
        <f t="array" ref="U583">XLOOKUP($A583,'Recipients REF'!$A:$A,'Recipients REF'!K:K,"",0)</f>
        <v>RSERIES 817 PH</v>
      </c>
      <c r="V583" s="44" t="s">
        <v>29</v>
      </c>
      <c r="W583" s="45" t="s">
        <v>30</v>
      </c>
      <c r="X583" s="47" t="str">
        <f t="array" ref="X583">XLOOKUP($A583,'Recipients REF'!$A:$A,'Recipients REF'!L:L,"",0)</f>
        <v>LSGW1750 RMP 24010208</v>
      </c>
      <c r="Y583" s="48" t="s">
        <v>29</v>
      </c>
      <c r="Z583" s="48" t="s">
        <v>31</v>
      </c>
      <c r="AA583" s="46" t="str">
        <f t="array" ref="AA583">XLOOKUP($A583,'Recipients REF'!$A:$A,'Recipients REF'!M:M,"",0)</f>
        <v>WDP 40 RMP 24010208</v>
      </c>
      <c r="AB583" s="49"/>
      <c r="AC583" s="42"/>
      <c r="AD583" s="42"/>
      <c r="AE583" s="51"/>
      <c r="AF583" s="52"/>
      <c r="AG583" s="42"/>
      <c r="AH583" s="42"/>
      <c r="AI583" s="42" t="str">
        <f t="array" ref="AI583">XLOOKUP($E583,Sheet11!$D:$D,Sheet11!$X:$X,"",0)</f>
        <v/>
      </c>
      <c r="AJ583" s="42" t="str">
        <f t="array" ref="AJ583">XLOOKUP($E583,Sheet11!$D:$D,Sheet11!$Y:$Y,"",0)</f>
        <v/>
      </c>
    </row>
    <row r="584">
      <c r="A584" s="41">
        <v>371.0</v>
      </c>
      <c r="B584" s="42" t="s">
        <v>1151</v>
      </c>
      <c r="C584" s="42" t="s">
        <v>1152</v>
      </c>
      <c r="D584" s="42"/>
      <c r="E584" s="42" t="str">
        <f t="shared" ref="E584:F584" si="585">PROPER(B584)</f>
        <v>West Dullao Farmers Associatin In.,</v>
      </c>
      <c r="F584" s="42" t="str">
        <f t="shared" si="585"/>
        <v>Dullao, Bambang, Nueva Vizcaya</v>
      </c>
      <c r="G584" s="42" t="str">
        <f t="shared" si="3"/>
        <v>Dullao</v>
      </c>
      <c r="H584" s="42" t="str">
        <f t="shared" si="4"/>
        <v>Bambang</v>
      </c>
      <c r="I584" s="42" t="str">
        <f t="shared" si="5"/>
        <v>Nueva Vizcaya</v>
      </c>
      <c r="J584" s="42" t="str">
        <f t="array" ref="J584">XLOOKUP($E584,'Recipients REF'!$B:$B,'Recipients REF'!D:D,"",0)</f>
        <v>#N/A</v>
      </c>
      <c r="K584" s="42" t="str">
        <f t="array" ref="K584">XLOOKUP($E584,'Recipients REF'!$B:$B,'Recipients REF'!E:E,"",0)</f>
        <v>#N/A</v>
      </c>
      <c r="L584" s="43" t="str">
        <f t="array" ref="L584">XLOOKUP($A584,'Recipients REF'!$A:$A,'Recipients REF'!F:F,"",0)</f>
        <v>RCEF 23-09-21 Rebidding</v>
      </c>
      <c r="M584" s="43">
        <f t="array" ref="M584">XLOOKUP($A584,'Recipients REF'!$A:$A,'Recipients REF'!G:G,"",0)</f>
        <v>9</v>
      </c>
      <c r="N584" s="43">
        <f t="array" ref="N584">XLOOKUP($A584,'Recipients REF'!$A:$A,'Recipients REF'!H:H,"",0)</f>
        <v>19027</v>
      </c>
      <c r="O584" s="44" t="s">
        <v>25</v>
      </c>
      <c r="P584" s="45" t="s">
        <v>26</v>
      </c>
      <c r="Q584" s="46" t="str">
        <f t="array" ref="Q584">XLOOKUP($A584,'Recipients REF'!$A:$A,'Recipients REF'!I:I,"",0)</f>
        <v>KMC5825 ACRFPV0563</v>
      </c>
      <c r="R584" s="47" t="str">
        <f t="array" ref="R584">XLOOKUP($A584,'Recipients REF'!$A:$A,'Recipients REF'!J:J,"",0)</f>
        <v>RTS 100462</v>
      </c>
      <c r="S584" s="45" t="s">
        <v>27</v>
      </c>
      <c r="T584" s="45" t="s">
        <v>28</v>
      </c>
      <c r="U584" s="46" t="str">
        <f t="array" ref="U584">XLOOKUP($A584,'Recipients REF'!$A:$A,'Recipients REF'!K:K,"",0)</f>
        <v>RSERIES 818 PH</v>
      </c>
      <c r="V584" s="44" t="s">
        <v>29</v>
      </c>
      <c r="W584" s="45" t="s">
        <v>30</v>
      </c>
      <c r="X584" s="47" t="str">
        <f t="array" ref="X584">XLOOKUP($A584,'Recipients REF'!$A:$A,'Recipients REF'!L:L,"",0)</f>
        <v>LSGW1750 RMP 24020504</v>
      </c>
      <c r="Y584" s="48" t="s">
        <v>29</v>
      </c>
      <c r="Z584" s="48" t="s">
        <v>31</v>
      </c>
      <c r="AA584" s="46" t="str">
        <f t="array" ref="AA584">XLOOKUP($A584,'Recipients REF'!$A:$A,'Recipients REF'!M:M,"",0)</f>
        <v>WDP 40 RMP 24050561</v>
      </c>
      <c r="AB584" s="49"/>
      <c r="AC584" s="42"/>
      <c r="AD584" s="42"/>
      <c r="AE584" s="51"/>
      <c r="AF584" s="52"/>
      <c r="AG584" s="42"/>
      <c r="AH584" s="42"/>
      <c r="AI584" s="42" t="str">
        <f t="array" ref="AI584">XLOOKUP($E584,Sheet11!$D:$D,Sheet11!$X:$X,"",0)</f>
        <v/>
      </c>
      <c r="AJ584" s="42" t="str">
        <f t="array" ref="AJ584">XLOOKUP($E584,Sheet11!$D:$D,Sheet11!$Y:$Y,"",0)</f>
        <v/>
      </c>
    </row>
    <row r="585">
      <c r="A585" s="41">
        <v>372.0</v>
      </c>
      <c r="B585" s="42" t="s">
        <v>1153</v>
      </c>
      <c r="C585" s="42" t="s">
        <v>1154</v>
      </c>
      <c r="D585" s="42"/>
      <c r="E585" s="42" t="str">
        <f t="shared" ref="E585:F585" si="586">PROPER(B585)</f>
        <v>Busilac Green Land Agro Industrial Farmers And Irrigators Association</v>
      </c>
      <c r="F585" s="42" t="str">
        <f t="shared" si="586"/>
        <v>, Bayombong, Nueva Vizcaya</v>
      </c>
      <c r="G585" s="42" t="str">
        <f t="shared" si="3"/>
        <v/>
      </c>
      <c r="H585" s="42" t="str">
        <f t="shared" si="4"/>
        <v>Bayombong</v>
      </c>
      <c r="I585" s="42" t="str">
        <f t="shared" si="5"/>
        <v>Nueva Vizcaya</v>
      </c>
      <c r="J585" s="42" t="str">
        <f t="array" ref="J585">XLOOKUP($E585,'Recipients REF'!$B:$B,'Recipients REF'!D:D,"",0)</f>
        <v>#N/A</v>
      </c>
      <c r="K585" s="42" t="str">
        <f t="array" ref="K585">XLOOKUP($E585,'Recipients REF'!$B:$B,'Recipients REF'!E:E,"",0)</f>
        <v>#N/A</v>
      </c>
      <c r="L585" s="43" t="str">
        <f t="array" ref="L585">XLOOKUP($A585,'Recipients REF'!$A:$A,'Recipients REF'!F:F,"",0)</f>
        <v>RCEF 23-09-21 Rebidding</v>
      </c>
      <c r="M585" s="43">
        <f t="array" ref="M585">XLOOKUP($A585,'Recipients REF'!$A:$A,'Recipients REF'!G:G,"",0)</f>
        <v>9</v>
      </c>
      <c r="N585" s="43">
        <f t="array" ref="N585">XLOOKUP($A585,'Recipients REF'!$A:$A,'Recipients REF'!H:H,"",0)</f>
        <v>19028</v>
      </c>
      <c r="O585" s="44" t="s">
        <v>25</v>
      </c>
      <c r="P585" s="45" t="s">
        <v>26</v>
      </c>
      <c r="Q585" s="46" t="str">
        <f t="array" ref="Q585">XLOOKUP($A585,'Recipients REF'!$A:$A,'Recipients REF'!I:I,"",0)</f>
        <v>KMC5825 AARFPV0573</v>
      </c>
      <c r="R585" s="47" t="str">
        <f t="array" ref="R585">XLOOKUP($A585,'Recipients REF'!$A:$A,'Recipients REF'!J:J,"",0)</f>
        <v>RTS 100474</v>
      </c>
      <c r="S585" s="45" t="s">
        <v>27</v>
      </c>
      <c r="T585" s="45" t="s">
        <v>28</v>
      </c>
      <c r="U585" s="46" t="str">
        <f t="array" ref="U585">XLOOKUP($A585,'Recipients REF'!$A:$A,'Recipients REF'!K:K,"",0)</f>
        <v>RSERIES 808 PH</v>
      </c>
      <c r="V585" s="44" t="s">
        <v>29</v>
      </c>
      <c r="W585" s="45" t="s">
        <v>30</v>
      </c>
      <c r="X585" s="47" t="str">
        <f t="array" ref="X585">XLOOKUP($A585,'Recipients REF'!$A:$A,'Recipients REF'!L:L,"",0)</f>
        <v>LSGW1750 RMP 24020502</v>
      </c>
      <c r="Y585" s="48" t="s">
        <v>29</v>
      </c>
      <c r="Z585" s="48" t="s">
        <v>31</v>
      </c>
      <c r="AA585" s="46" t="str">
        <f t="array" ref="AA585">XLOOKUP($A585,'Recipients REF'!$A:$A,'Recipients REF'!M:M,"",0)</f>
        <v>WDP 40 RMP 24050546</v>
      </c>
      <c r="AB585" s="49"/>
      <c r="AC585" s="42"/>
      <c r="AD585" s="42"/>
      <c r="AE585" s="50"/>
      <c r="AF585" s="42"/>
      <c r="AG585" s="42"/>
      <c r="AH585" s="42"/>
      <c r="AI585" s="42" t="str">
        <f t="array" ref="AI585">XLOOKUP($E585,Sheet11!$D:$D,Sheet11!$X:$X,"",0)</f>
        <v/>
      </c>
      <c r="AJ585" s="42" t="str">
        <f t="array" ref="AJ585">XLOOKUP($E585,Sheet11!$D:$D,Sheet11!$Y:$Y,"",0)</f>
        <v/>
      </c>
    </row>
    <row r="586">
      <c r="A586" s="41">
        <v>373.0</v>
      </c>
      <c r="B586" s="42" t="s">
        <v>1155</v>
      </c>
      <c r="C586" s="42" t="s">
        <v>1156</v>
      </c>
      <c r="D586" s="42"/>
      <c r="E586" s="42" t="str">
        <f t="shared" ref="E586:F586" si="587">PROPER(B586)</f>
        <v>Banfla, Dupax Sur Irrigators Inc.,</v>
      </c>
      <c r="F586" s="42" t="str">
        <f t="shared" si="587"/>
        <v>, Dupax Del Sur, Nueva Vizcaya</v>
      </c>
      <c r="G586" s="42" t="str">
        <f t="shared" si="3"/>
        <v/>
      </c>
      <c r="H586" s="42" t="str">
        <f t="shared" si="4"/>
        <v>Dupax Del Sur</v>
      </c>
      <c r="I586" s="42" t="str">
        <f t="shared" si="5"/>
        <v>Nueva Vizcaya</v>
      </c>
      <c r="J586" s="42" t="str">
        <f t="array" ref="J586">XLOOKUP($E586,'Recipients REF'!$B:$B,'Recipients REF'!D:D,"",0)</f>
        <v>#N/A</v>
      </c>
      <c r="K586" s="42" t="str">
        <f t="array" ref="K586">XLOOKUP($E586,'Recipients REF'!$B:$B,'Recipients REF'!E:E,"",0)</f>
        <v>#N/A</v>
      </c>
      <c r="L586" s="43" t="str">
        <f t="array" ref="L586">XLOOKUP($A586,'Recipients REF'!$A:$A,'Recipients REF'!F:F,"",0)</f>
        <v>RCEF 23-09-21 Rebidding</v>
      </c>
      <c r="M586" s="43">
        <f t="array" ref="M586">XLOOKUP($A586,'Recipients REF'!$A:$A,'Recipients REF'!G:G,"",0)</f>
        <v>9</v>
      </c>
      <c r="N586" s="43">
        <f t="array" ref="N586">XLOOKUP($A586,'Recipients REF'!$A:$A,'Recipients REF'!H:H,"",0)</f>
        <v>19029</v>
      </c>
      <c r="O586" s="44" t="s">
        <v>25</v>
      </c>
      <c r="P586" s="45" t="s">
        <v>26</v>
      </c>
      <c r="Q586" s="46" t="str">
        <f t="array" ref="Q586">XLOOKUP($A586,'Recipients REF'!$A:$A,'Recipients REF'!I:I,"",0)</f>
        <v>KMC5825 ACRFPV0613</v>
      </c>
      <c r="R586" s="47" t="str">
        <f t="array" ref="R586">XLOOKUP($A586,'Recipients REF'!$A:$A,'Recipients REF'!J:J,"",0)</f>
        <v>RTS 100588</v>
      </c>
      <c r="S586" s="45" t="s">
        <v>27</v>
      </c>
      <c r="T586" s="45" t="s">
        <v>28</v>
      </c>
      <c r="U586" s="46" t="str">
        <f t="array" ref="U586">XLOOKUP($A586,'Recipients REF'!$A:$A,'Recipients REF'!K:K,"",0)</f>
        <v>RSERIES 819 PH</v>
      </c>
      <c r="V586" s="44" t="s">
        <v>29</v>
      </c>
      <c r="W586" s="45" t="s">
        <v>30</v>
      </c>
      <c r="X586" s="47" t="str">
        <f t="array" ref="X586">XLOOKUP($A586,'Recipients REF'!$A:$A,'Recipients REF'!L:L,"",0)</f>
        <v>LSGW1750 RMP 24010216</v>
      </c>
      <c r="Y586" s="48" t="s">
        <v>29</v>
      </c>
      <c r="Z586" s="48" t="s">
        <v>31</v>
      </c>
      <c r="AA586" s="46" t="str">
        <f t="array" ref="AA586">XLOOKUP($A586,'Recipients REF'!$A:$A,'Recipients REF'!M:M,"",0)</f>
        <v>WDP 40 RMP 24040526</v>
      </c>
      <c r="AB586" s="49"/>
      <c r="AC586" s="42"/>
      <c r="AD586" s="42"/>
      <c r="AE586" s="50"/>
      <c r="AF586" s="42"/>
      <c r="AG586" s="42"/>
      <c r="AH586" s="42"/>
      <c r="AI586" s="42" t="str">
        <f t="array" ref="AI586">XLOOKUP($E586,Sheet11!$D:$D,Sheet11!$X:$X,"",0)</f>
        <v/>
      </c>
      <c r="AJ586" s="42" t="str">
        <f t="array" ref="AJ586">XLOOKUP($E586,Sheet11!$D:$D,Sheet11!$Y:$Y,"",0)</f>
        <v/>
      </c>
    </row>
    <row r="587">
      <c r="A587" s="41">
        <v>374.0</v>
      </c>
      <c r="B587" s="42" t="s">
        <v>1157</v>
      </c>
      <c r="C587" s="42" t="s">
        <v>1158</v>
      </c>
      <c r="D587" s="42"/>
      <c r="E587" s="42" t="str">
        <f t="shared" ref="E587:F587" si="588">PROPER(B587)</f>
        <v>Kasibu Farmers Development Cooperative</v>
      </c>
      <c r="F587" s="42" t="str">
        <f t="shared" si="588"/>
        <v>Poblacion, Kasibu, Nueva Vizcaya</v>
      </c>
      <c r="G587" s="42" t="str">
        <f t="shared" si="3"/>
        <v>Poblacion</v>
      </c>
      <c r="H587" s="42" t="str">
        <f t="shared" si="4"/>
        <v>Kasibu</v>
      </c>
      <c r="I587" s="42" t="str">
        <f t="shared" si="5"/>
        <v>Nueva Vizcaya</v>
      </c>
      <c r="J587" s="42" t="str">
        <f t="array" ref="J587">XLOOKUP($E587,'Recipients REF'!$B:$B,'Recipients REF'!D:D,"",0)</f>
        <v>Jomar E. Calibuso</v>
      </c>
      <c r="K587" s="42">
        <f t="array" ref="K587">XLOOKUP($E587,'Recipients REF'!$B:$B,'Recipients REF'!E:E,"",0)</f>
        <v>9356838934</v>
      </c>
      <c r="L587" s="43" t="str">
        <f t="array" ref="L587">XLOOKUP($A587,'Recipients REF'!$A:$A,'Recipients REF'!F:F,"",0)</f>
        <v>RCEF 23-09-21 Rebidding</v>
      </c>
      <c r="M587" s="43">
        <f t="array" ref="M587">XLOOKUP($A587,'Recipients REF'!$A:$A,'Recipients REF'!G:G,"",0)</f>
        <v>9</v>
      </c>
      <c r="N587" s="43">
        <f t="array" ref="N587">XLOOKUP($A587,'Recipients REF'!$A:$A,'Recipients REF'!H:H,"",0)</f>
        <v>19030</v>
      </c>
      <c r="O587" s="44" t="s">
        <v>25</v>
      </c>
      <c r="P587" s="45" t="s">
        <v>26</v>
      </c>
      <c r="Q587" s="46" t="str">
        <f t="array" ref="Q587">XLOOKUP($A587,'Recipients REF'!$A:$A,'Recipients REF'!I:I,"",0)</f>
        <v>KMC5825 AKRFPV0616</v>
      </c>
      <c r="R587" s="47" t="str">
        <f t="array" ref="R587">XLOOKUP($A587,'Recipients REF'!$A:$A,'Recipients REF'!J:J,"",0)</f>
        <v>RTS 100585</v>
      </c>
      <c r="S587" s="45" t="s">
        <v>27</v>
      </c>
      <c r="T587" s="45" t="s">
        <v>28</v>
      </c>
      <c r="U587" s="46" t="str">
        <f t="array" ref="U587">XLOOKUP($A587,'Recipients REF'!$A:$A,'Recipients REF'!K:K,"",0)</f>
        <v>RSERIES 797</v>
      </c>
      <c r="V587" s="44" t="s">
        <v>29</v>
      </c>
      <c r="W587" s="45" t="s">
        <v>30</v>
      </c>
      <c r="X587" s="47" t="str">
        <f t="array" ref="X587">XLOOKUP($A587,'Recipients REF'!$A:$A,'Recipients REF'!L:L,"",0)</f>
        <v>LSGW1750 RMP 24020518</v>
      </c>
      <c r="Y587" s="48" t="s">
        <v>29</v>
      </c>
      <c r="Z587" s="48" t="s">
        <v>31</v>
      </c>
      <c r="AA587" s="46" t="str">
        <f t="array" ref="AA587">XLOOKUP($A587,'Recipients REF'!$A:$A,'Recipients REF'!M:M,"",0)</f>
        <v>WDP 40 RMP 24050553</v>
      </c>
      <c r="AB587" s="49"/>
      <c r="AC587" s="42"/>
      <c r="AD587" s="42"/>
      <c r="AE587" s="50"/>
      <c r="AF587" s="42"/>
      <c r="AG587" s="42"/>
      <c r="AH587" s="42"/>
      <c r="AI587" s="42" t="str">
        <f t="array" ref="AI587">XLOOKUP($E587,Sheet11!$D:$D,Sheet11!$X:$X,"",0)</f>
        <v/>
      </c>
      <c r="AJ587" s="42" t="str">
        <f t="array" ref="AJ587">XLOOKUP($E587,Sheet11!$D:$D,Sheet11!$Y:$Y,"",0)</f>
        <v/>
      </c>
    </row>
    <row r="588">
      <c r="A588" s="41">
        <v>375.0</v>
      </c>
      <c r="B588" s="42" t="s">
        <v>1159</v>
      </c>
      <c r="C588" s="42" t="s">
        <v>1160</v>
      </c>
      <c r="D588" s="42"/>
      <c r="E588" s="42" t="str">
        <f t="shared" ref="E588:F588" si="589">PROPER(B588)</f>
        <v>Lumannap Aurora Irrigators Association Inc.</v>
      </c>
      <c r="F588" s="42" t="str">
        <f t="shared" si="589"/>
        <v>Aurora, Quezon, Nueva Vizcaya</v>
      </c>
      <c r="G588" s="42" t="str">
        <f t="shared" si="3"/>
        <v>Aurora</v>
      </c>
      <c r="H588" s="42" t="str">
        <f t="shared" si="4"/>
        <v>Quezon</v>
      </c>
      <c r="I588" s="42" t="str">
        <f t="shared" si="5"/>
        <v>Nueva Vizcaya</v>
      </c>
      <c r="J588" s="42" t="str">
        <f t="array" ref="J588">XLOOKUP($E588,'Recipients REF'!$B:$B,'Recipients REF'!D:D,"",0)</f>
        <v>Ernesto E. Lizada</v>
      </c>
      <c r="K588" s="42">
        <f t="array" ref="K588">XLOOKUP($E588,'Recipients REF'!$B:$B,'Recipients REF'!E:E,"",0)</f>
        <v>9976870982</v>
      </c>
      <c r="L588" s="43" t="str">
        <f t="array" ref="L588">XLOOKUP($A588,'Recipients REF'!$A:$A,'Recipients REF'!F:F,"",0)</f>
        <v>RCEF 23-09-21 Rebidding</v>
      </c>
      <c r="M588" s="43">
        <f t="array" ref="M588">XLOOKUP($A588,'Recipients REF'!$A:$A,'Recipients REF'!G:G,"",0)</f>
        <v>9</v>
      </c>
      <c r="N588" s="43">
        <f t="array" ref="N588">XLOOKUP($A588,'Recipients REF'!$A:$A,'Recipients REF'!H:H,"",0)</f>
        <v>19031</v>
      </c>
      <c r="O588" s="44" t="s">
        <v>25</v>
      </c>
      <c r="P588" s="45" t="s">
        <v>26</v>
      </c>
      <c r="Q588" s="46" t="str">
        <f t="array" ref="Q588">XLOOKUP($A588,'Recipients REF'!$A:$A,'Recipients REF'!I:I,"",0)</f>
        <v>KMC5825 ACRFPV0568</v>
      </c>
      <c r="R588" s="47" t="str">
        <f t="array" ref="R588">XLOOKUP($A588,'Recipients REF'!$A:$A,'Recipients REF'!J:J,"",0)</f>
        <v>RTS 100472</v>
      </c>
      <c r="S588" s="45" t="s">
        <v>27</v>
      </c>
      <c r="T588" s="45" t="s">
        <v>28</v>
      </c>
      <c r="U588" s="46" t="str">
        <f t="array" ref="U588">XLOOKUP($A588,'Recipients REF'!$A:$A,'Recipients REF'!K:K,"",0)</f>
        <v>RSERIES 967 PH</v>
      </c>
      <c r="V588" s="44" t="s">
        <v>29</v>
      </c>
      <c r="W588" s="45" t="s">
        <v>30</v>
      </c>
      <c r="X588" s="47" t="str">
        <f t="array" ref="X588">XLOOKUP($A588,'Recipients REF'!$A:$A,'Recipients REF'!L:L,"",0)</f>
        <v>LSGW1750 RMP 24010223</v>
      </c>
      <c r="Y588" s="48" t="s">
        <v>29</v>
      </c>
      <c r="Z588" s="48" t="s">
        <v>31</v>
      </c>
      <c r="AA588" s="46" t="str">
        <f t="array" ref="AA588">XLOOKUP($A588,'Recipients REF'!$A:$A,'Recipients REF'!M:M,"",0)</f>
        <v>WDP 40 RMP 24050562</v>
      </c>
      <c r="AB588" s="49"/>
      <c r="AC588" s="42"/>
      <c r="AD588" s="42"/>
      <c r="AE588" s="50"/>
      <c r="AF588" s="42"/>
      <c r="AG588" s="42"/>
      <c r="AH588" s="42"/>
      <c r="AI588" s="42" t="str">
        <f t="array" ref="AI588">XLOOKUP($E588,Sheet11!$D:$D,Sheet11!$X:$X,"",0)</f>
        <v/>
      </c>
      <c r="AJ588" s="42" t="str">
        <f t="array" ref="AJ588">XLOOKUP($E588,Sheet11!$D:$D,Sheet11!$Y:$Y,"",0)</f>
        <v/>
      </c>
    </row>
    <row r="589">
      <c r="A589" s="41">
        <v>376.0</v>
      </c>
      <c r="B589" s="42" t="s">
        <v>1161</v>
      </c>
      <c r="C589" s="42" t="s">
        <v>1162</v>
      </c>
      <c r="D589" s="42"/>
      <c r="E589" s="42" t="str">
        <f t="shared" ref="E589:F589" si="590">PROPER(B589)</f>
        <v>Nalubbunan Communal Irrigators Association Inc.</v>
      </c>
      <c r="F589" s="42" t="str">
        <f t="shared" si="590"/>
        <v>Nalubbunan, Quezon, Nueva Vizcaya</v>
      </c>
      <c r="G589" s="42" t="str">
        <f t="shared" si="3"/>
        <v>Nalubbunan</v>
      </c>
      <c r="H589" s="42" t="str">
        <f t="shared" si="4"/>
        <v>Quezon</v>
      </c>
      <c r="I589" s="42" t="str">
        <f t="shared" si="5"/>
        <v>Nueva Vizcaya</v>
      </c>
      <c r="J589" s="42" t="str">
        <f t="array" ref="J589">XLOOKUP($E589,'Recipients REF'!$B:$B,'Recipients REF'!D:D,"",0)</f>
        <v>Edyzer Viernes</v>
      </c>
      <c r="K589" s="42">
        <f t="array" ref="K589">XLOOKUP($E589,'Recipients REF'!$B:$B,'Recipients REF'!E:E,"",0)</f>
        <v>9065719924</v>
      </c>
      <c r="L589" s="43" t="str">
        <f t="array" ref="L589">XLOOKUP($A589,'Recipients REF'!$A:$A,'Recipients REF'!F:F,"",0)</f>
        <v>RCEF 23-09-21 Rebidding</v>
      </c>
      <c r="M589" s="43">
        <f t="array" ref="M589">XLOOKUP($A589,'Recipients REF'!$A:$A,'Recipients REF'!G:G,"",0)</f>
        <v>9</v>
      </c>
      <c r="N589" s="43">
        <f t="array" ref="N589">XLOOKUP($A589,'Recipients REF'!$A:$A,'Recipients REF'!H:H,"",0)</f>
        <v>19032</v>
      </c>
      <c r="O589" s="44" t="s">
        <v>25</v>
      </c>
      <c r="P589" s="45" t="s">
        <v>26</v>
      </c>
      <c r="Q589" s="46" t="str">
        <f t="array" ref="Q589">XLOOKUP($A589,'Recipients REF'!$A:$A,'Recipients REF'!I:I,"",0)</f>
        <v>KMC5825 ACRFPV0635</v>
      </c>
      <c r="R589" s="47" t="str">
        <f t="array" ref="R589">XLOOKUP($A589,'Recipients REF'!$A:$A,'Recipients REF'!J:J,"",0)</f>
        <v>RTS 100507</v>
      </c>
      <c r="S589" s="45" t="s">
        <v>27</v>
      </c>
      <c r="T589" s="45" t="s">
        <v>28</v>
      </c>
      <c r="U589" s="46" t="str">
        <f t="array" ref="U589">XLOOKUP($A589,'Recipients REF'!$A:$A,'Recipients REF'!K:K,"",0)</f>
        <v>RSERIES 791 PH</v>
      </c>
      <c r="V589" s="44" t="s">
        <v>29</v>
      </c>
      <c r="W589" s="45" t="s">
        <v>30</v>
      </c>
      <c r="X589" s="47" t="str">
        <f t="array" ref="X589">XLOOKUP($A589,'Recipients REF'!$A:$A,'Recipients REF'!L:L,"",0)</f>
        <v>LSGW1750 RMP 24010222</v>
      </c>
      <c r="Y589" s="48" t="s">
        <v>29</v>
      </c>
      <c r="Z589" s="48" t="s">
        <v>31</v>
      </c>
      <c r="AA589" s="46" t="str">
        <f t="array" ref="AA589">XLOOKUP($A589,'Recipients REF'!$A:$A,'Recipients REF'!M:M,"",0)</f>
        <v>WDP 40 RMP 24050570</v>
      </c>
      <c r="AB589" s="49"/>
      <c r="AC589" s="42"/>
      <c r="AD589" s="42"/>
      <c r="AE589" s="50"/>
      <c r="AF589" s="42"/>
      <c r="AG589" s="42"/>
      <c r="AH589" s="42"/>
      <c r="AI589" s="42" t="str">
        <f t="array" ref="AI589">XLOOKUP($E589,Sheet11!$D:$D,Sheet11!$X:$X,"",0)</f>
        <v/>
      </c>
      <c r="AJ589" s="42" t="str">
        <f t="array" ref="AJ589">XLOOKUP($E589,Sheet11!$D:$D,Sheet11!$Y:$Y,"",0)</f>
        <v/>
      </c>
    </row>
    <row r="590">
      <c r="A590" s="41">
        <v>377.0</v>
      </c>
      <c r="B590" s="42" t="s">
        <v>1163</v>
      </c>
      <c r="C590" s="42" t="s">
        <v>1164</v>
      </c>
      <c r="D590" s="42"/>
      <c r="E590" s="42" t="str">
        <f t="shared" ref="E590:F590" si="591">PROPER(B590)</f>
        <v>Solano Camcam West Apad Ii Farmers Association Inc.,</v>
      </c>
      <c r="F590" s="42" t="str">
        <f t="shared" si="591"/>
        <v>, Solano, Nueva Vizcaya</v>
      </c>
      <c r="G590" s="42" t="str">
        <f t="shared" si="3"/>
        <v/>
      </c>
      <c r="H590" s="42" t="str">
        <f t="shared" si="4"/>
        <v>Solano</v>
      </c>
      <c r="I590" s="42" t="str">
        <f t="shared" si="5"/>
        <v>Nueva Vizcaya</v>
      </c>
      <c r="J590" s="42" t="str">
        <f t="array" ref="J590">XLOOKUP($E590,'Recipients REF'!$B:$B,'Recipients REF'!D:D,"",0)</f>
        <v>#N/A</v>
      </c>
      <c r="K590" s="42" t="str">
        <f t="array" ref="K590">XLOOKUP($E590,'Recipients REF'!$B:$B,'Recipients REF'!E:E,"",0)</f>
        <v>#N/A</v>
      </c>
      <c r="L590" s="43" t="str">
        <f t="array" ref="L590">XLOOKUP($A590,'Recipients REF'!$A:$A,'Recipients REF'!F:F,"",0)</f>
        <v>RCEF 23-09-21 Rebidding</v>
      </c>
      <c r="M590" s="43">
        <f t="array" ref="M590">XLOOKUP($A590,'Recipients REF'!$A:$A,'Recipients REF'!G:G,"",0)</f>
        <v>9</v>
      </c>
      <c r="N590" s="43">
        <f t="array" ref="N590">XLOOKUP($A590,'Recipients REF'!$A:$A,'Recipients REF'!H:H,"",0)</f>
        <v>19033</v>
      </c>
      <c r="O590" s="44" t="s">
        <v>25</v>
      </c>
      <c r="P590" s="45" t="s">
        <v>26</v>
      </c>
      <c r="Q590" s="46" t="str">
        <f t="array" ref="Q590">XLOOKUP($A590,'Recipients REF'!$A:$A,'Recipients REF'!I:I,"",0)</f>
        <v>KMC5825 ATRFPV0726</v>
      </c>
      <c r="R590" s="47" t="str">
        <f t="array" ref="R590">XLOOKUP($A590,'Recipients REF'!$A:$A,'Recipients REF'!J:J,"",0)</f>
        <v>RTS 100599</v>
      </c>
      <c r="S590" s="45" t="s">
        <v>27</v>
      </c>
      <c r="T590" s="45" t="s">
        <v>28</v>
      </c>
      <c r="U590" s="46" t="str">
        <f t="array" ref="U590">XLOOKUP($A590,'Recipients REF'!$A:$A,'Recipients REF'!K:K,"",0)</f>
        <v>RSERIES 976 PH</v>
      </c>
      <c r="V590" s="44" t="s">
        <v>29</v>
      </c>
      <c r="W590" s="45" t="s">
        <v>30</v>
      </c>
      <c r="X590" s="47" t="str">
        <f t="array" ref="X590">XLOOKUP($A590,'Recipients REF'!$A:$A,'Recipients REF'!L:L,"",0)</f>
        <v>LSGW1750 RMP 24040673</v>
      </c>
      <c r="Y590" s="48" t="s">
        <v>29</v>
      </c>
      <c r="Z590" s="48" t="s">
        <v>31</v>
      </c>
      <c r="AA590" s="46" t="str">
        <f t="array" ref="AA590">XLOOKUP($A590,'Recipients REF'!$A:$A,'Recipients REF'!M:M,"",0)</f>
        <v>WDP 40 RMP 24050581</v>
      </c>
      <c r="AB590" s="49"/>
      <c r="AC590" s="42"/>
      <c r="AD590" s="42"/>
      <c r="AE590" s="50"/>
      <c r="AF590" s="42"/>
      <c r="AG590" s="42"/>
      <c r="AH590" s="42"/>
      <c r="AI590" s="42" t="str">
        <f t="array" ref="AI590">XLOOKUP($E590,Sheet11!$D:$D,Sheet11!$X:$X,"",0)</f>
        <v/>
      </c>
      <c r="AJ590" s="42" t="str">
        <f t="array" ref="AJ590">XLOOKUP($E590,Sheet11!$D:$D,Sheet11!$Y:$Y,"",0)</f>
        <v/>
      </c>
    </row>
    <row r="591">
      <c r="A591" s="41">
        <v>474.0</v>
      </c>
      <c r="B591" s="42" t="s">
        <v>1165</v>
      </c>
      <c r="C591" s="42" t="s">
        <v>1166</v>
      </c>
      <c r="D591" s="42"/>
      <c r="E591" s="42" t="str">
        <f t="shared" ref="E591:F591" si="592">PROPER(B591)</f>
        <v>Dupax Del Sur Farmers Agriculture Cooperative (Dfarco)</v>
      </c>
      <c r="F591" s="42" t="str">
        <f t="shared" si="592"/>
        <v>Domang, Dupax Del Sur, Nueva Vizcaya</v>
      </c>
      <c r="G591" s="42" t="str">
        <f t="shared" si="3"/>
        <v>Domang</v>
      </c>
      <c r="H591" s="42" t="str">
        <f t="shared" si="4"/>
        <v>Dupax Del Sur</v>
      </c>
      <c r="I591" s="42" t="str">
        <f t="shared" si="5"/>
        <v>Nueva Vizcaya</v>
      </c>
      <c r="J591" s="42" t="str">
        <f t="array" ref="J591">XLOOKUP($E591,'Recipients REF'!$B:$B,'Recipients REF'!D:D,"",0)</f>
        <v>Jesuelito Guzma</v>
      </c>
      <c r="K591" s="42">
        <f t="array" ref="K591">XLOOKUP($E591,'Recipients REF'!$B:$B,'Recipients REF'!E:E,"",0)</f>
        <v>9753468102</v>
      </c>
      <c r="L591" s="43" t="str">
        <f t="array" ref="L591">XLOOKUP($A591,'Recipients REF'!$A:$A,'Recipients REF'!F:F,"",0)</f>
        <v>RCEF 23-09-21 Rebidding</v>
      </c>
      <c r="M591" s="43">
        <f t="array" ref="M591">XLOOKUP($A591,'Recipients REF'!$A:$A,'Recipients REF'!G:G,"",0)</f>
        <v>1</v>
      </c>
      <c r="N591" s="43">
        <f t="array" ref="N591">XLOOKUP($A591,'Recipients REF'!$A:$A,'Recipients REF'!H:H,"",0)</f>
        <v>19556</v>
      </c>
      <c r="O591" s="44" t="s">
        <v>25</v>
      </c>
      <c r="P591" s="45" t="s">
        <v>26</v>
      </c>
      <c r="Q591" s="46" t="str">
        <f t="array" ref="Q591">XLOOKUP($A591,'Recipients REF'!$A:$A,'Recipients REF'!I:I,"",0)</f>
        <v>KMC5825AKRFPV0597</v>
      </c>
      <c r="R591" s="47" t="str">
        <f t="array" ref="R591">XLOOKUP($A591,'Recipients REF'!$A:$A,'Recipients REF'!J:J,"",0)</f>
        <v>RTS100574</v>
      </c>
      <c r="S591" s="45" t="s">
        <v>27</v>
      </c>
      <c r="T591" s="45" t="s">
        <v>28</v>
      </c>
      <c r="U591" s="46" t="str">
        <f t="array" ref="U591">XLOOKUP($A591,'Recipients REF'!$A:$A,'Recipients REF'!K:K,"",0)</f>
        <v>R SERIES 770 PH</v>
      </c>
      <c r="V591" s="44" t="s">
        <v>29</v>
      </c>
      <c r="W591" s="45" t="s">
        <v>30</v>
      </c>
      <c r="X591" s="47" t="str">
        <f t="array" ref="X591">XLOOKUP($A591,'Recipients REF'!$A:$A,'Recipients REF'!L:L,"",0)</f>
        <v>LSGW 1750 RMP 24020519</v>
      </c>
      <c r="Y591" s="48" t="s">
        <v>29</v>
      </c>
      <c r="Z591" s="48" t="s">
        <v>31</v>
      </c>
      <c r="AA591" s="46" t="str">
        <f t="array" ref="AA591">XLOOKUP($A591,'Recipients REF'!$A:$A,'Recipients REF'!M:M,"",0)</f>
        <v>WDP40 RMP 24050557</v>
      </c>
      <c r="AB591" s="49"/>
      <c r="AC591" s="42"/>
      <c r="AD591" s="42"/>
      <c r="AE591" s="50"/>
      <c r="AF591" s="42"/>
      <c r="AG591" s="42"/>
      <c r="AH591" s="42"/>
      <c r="AI591" s="42" t="str">
        <f t="array" ref="AI591">XLOOKUP($E591,Sheet11!$D:$D,Sheet11!$X:$X,"",0)</f>
        <v/>
      </c>
      <c r="AJ591" s="42" t="str">
        <f t="array" ref="AJ591">XLOOKUP($E591,Sheet11!$D:$D,Sheet11!$Y:$Y,"",0)</f>
        <v/>
      </c>
    </row>
    <row r="592">
      <c r="A592" s="41">
        <v>506.0</v>
      </c>
      <c r="B592" s="42" t="s">
        <v>1167</v>
      </c>
      <c r="C592" s="42" t="s">
        <v>1168</v>
      </c>
      <c r="D592" s="42"/>
      <c r="E592" s="42" t="str">
        <f t="shared" ref="E592:F592" si="593">PROPER(B592)</f>
        <v>Dumayop Tabban Irrigators Association Inc.</v>
      </c>
      <c r="F592" s="42" t="str">
        <f t="shared" si="593"/>
        <v>Pogonsino, Bagabag, Nueva Vizcaya</v>
      </c>
      <c r="G592" s="42" t="str">
        <f t="shared" si="3"/>
        <v>Pogonsino</v>
      </c>
      <c r="H592" s="42" t="str">
        <f t="shared" si="4"/>
        <v>Bagabag</v>
      </c>
      <c r="I592" s="42" t="str">
        <f t="shared" si="5"/>
        <v>Nueva Vizcaya</v>
      </c>
      <c r="J592" s="42" t="str">
        <f t="array" ref="J592">XLOOKUP($E592,'Recipients REF'!$B:$B,'Recipients REF'!D:D,"",0)</f>
        <v>Merlito Cleto</v>
      </c>
      <c r="K592" s="42">
        <f t="array" ref="K592">XLOOKUP($E592,'Recipients REF'!$B:$B,'Recipients REF'!E:E,"",0)</f>
        <v>9059787219</v>
      </c>
      <c r="L592" s="43" t="str">
        <f t="array" ref="L592">XLOOKUP($A592,'Recipients REF'!$A:$A,'Recipients REF'!F:F,"",0)</f>
        <v>RCEF 24-04-15</v>
      </c>
      <c r="M592" s="43">
        <f t="array" ref="M592">XLOOKUP($A592,'Recipients REF'!$A:$A,'Recipients REF'!G:G,"",0)</f>
        <v>6</v>
      </c>
      <c r="N592" s="43">
        <f t="array" ref="N592">XLOOKUP($A592,'Recipients REF'!$A:$A,'Recipients REF'!H:H,"",0)</f>
        <v>19980</v>
      </c>
      <c r="O592" s="44" t="s">
        <v>25</v>
      </c>
      <c r="P592" s="45" t="s">
        <v>26</v>
      </c>
      <c r="Q592" s="46" t="str">
        <f t="array" ref="Q592">XLOOKUP($A592,'Recipients REF'!$A:$A,'Recipients REF'!I:I,"",0)</f>
        <v>KMC5825AJRFPV0911</v>
      </c>
      <c r="R592" s="47" t="str">
        <f t="array" ref="R592">XLOOKUP($A592,'Recipients REF'!$A:$A,'Recipients REF'!J:J,"",0)</f>
        <v>RTS100813</v>
      </c>
      <c r="S592" s="45" t="s">
        <v>27</v>
      </c>
      <c r="T592" s="45" t="s">
        <v>28</v>
      </c>
      <c r="U592" s="46" t="str">
        <f t="array" ref="U592">XLOOKUP($A592,'Recipients REF'!$A:$A,'Recipients REF'!K:K,"",0)</f>
        <v>LSGW170-RMP-24101065</v>
      </c>
      <c r="V592" s="44" t="s">
        <v>29</v>
      </c>
      <c r="W592" s="45" t="s">
        <v>30</v>
      </c>
      <c r="X592" s="47" t="str">
        <f t="array" ref="X592">XLOOKUP($A592,'Recipients REF'!$A:$A,'Recipients REF'!L:L,"",0)</f>
        <v>WDP40-RMP-24111319</v>
      </c>
      <c r="Y592" s="48" t="s">
        <v>29</v>
      </c>
      <c r="Z592" s="48" t="s">
        <v>31</v>
      </c>
      <c r="AA592" s="46" t="str">
        <f t="array" ref="AA592">XLOOKUP($A592,'Recipients REF'!$A:$A,'Recipients REF'!M:M,"",0)</f>
        <v>WR-SERIES-1067PH</v>
      </c>
      <c r="AB592" s="49"/>
      <c r="AC592" s="42"/>
      <c r="AD592" s="42"/>
      <c r="AE592" s="50"/>
      <c r="AF592" s="42"/>
      <c r="AG592" s="42"/>
      <c r="AH592" s="42"/>
      <c r="AI592" s="42" t="str">
        <f t="array" ref="AI592">XLOOKUP($E592,Sheet11!$D:$D,Sheet11!$X:$X,"",0)</f>
        <v/>
      </c>
      <c r="AJ592" s="42" t="str">
        <f t="array" ref="AJ592">XLOOKUP($E592,Sheet11!$D:$D,Sheet11!$Y:$Y,"",0)</f>
        <v/>
      </c>
    </row>
    <row r="593">
      <c r="A593" s="41">
        <v>507.0</v>
      </c>
      <c r="B593" s="42" t="s">
        <v>1169</v>
      </c>
      <c r="C593" s="42" t="s">
        <v>1170</v>
      </c>
      <c r="D593" s="42"/>
      <c r="E593" s="42" t="str">
        <f t="shared" ref="E593:F593" si="594">PROPER(B593)</f>
        <v>La Torre Casat Irrigators Association Inc.</v>
      </c>
      <c r="F593" s="42" t="str">
        <f t="shared" si="594"/>
        <v>La Torre North, Bayombong, Nueva Vizcaya</v>
      </c>
      <c r="G593" s="42" t="str">
        <f t="shared" si="3"/>
        <v>La Torre North</v>
      </c>
      <c r="H593" s="42" t="str">
        <f t="shared" si="4"/>
        <v>Bayombong</v>
      </c>
      <c r="I593" s="42" t="str">
        <f t="shared" si="5"/>
        <v>Nueva Vizcaya</v>
      </c>
      <c r="J593" s="42" t="str">
        <f t="array" ref="J593">XLOOKUP($E593,'Recipients REF'!$B:$B,'Recipients REF'!D:D,"",0)</f>
        <v>Albemar Mateo</v>
      </c>
      <c r="K593" s="42">
        <f t="array" ref="K593">XLOOKUP($E593,'Recipients REF'!$B:$B,'Recipients REF'!E:E,"",0)</f>
        <v>9175997233</v>
      </c>
      <c r="L593" s="43" t="str">
        <f t="array" ref="L593">XLOOKUP($A593,'Recipients REF'!$A:$A,'Recipients REF'!F:F,"",0)</f>
        <v>RCEF 24-04-15</v>
      </c>
      <c r="M593" s="43">
        <f t="array" ref="M593">XLOOKUP($A593,'Recipients REF'!$A:$A,'Recipients REF'!G:G,"",0)</f>
        <v>6</v>
      </c>
      <c r="N593" s="43">
        <f t="array" ref="N593">XLOOKUP($A593,'Recipients REF'!$A:$A,'Recipients REF'!H:H,"",0)</f>
        <v>19981</v>
      </c>
      <c r="O593" s="44" t="s">
        <v>25</v>
      </c>
      <c r="P593" s="45" t="s">
        <v>26</v>
      </c>
      <c r="Q593" s="46" t="str">
        <f t="array" ref="Q593">XLOOKUP($A593,'Recipients REF'!$A:$A,'Recipients REF'!I:I,"",0)</f>
        <v>KMC5825AERFPV0948</v>
      </c>
      <c r="R593" s="47" t="str">
        <f t="array" ref="R593">XLOOKUP($A593,'Recipients REF'!$A:$A,'Recipients REF'!J:J,"",0)</f>
        <v>RTS100830</v>
      </c>
      <c r="S593" s="45" t="s">
        <v>27</v>
      </c>
      <c r="T593" s="45" t="s">
        <v>28</v>
      </c>
      <c r="U593" s="46" t="str">
        <f t="array" ref="U593">XLOOKUP($A593,'Recipients REF'!$A:$A,'Recipients REF'!K:K,"",0)</f>
        <v>LSGW170-RMP-24101050</v>
      </c>
      <c r="V593" s="44" t="s">
        <v>29</v>
      </c>
      <c r="W593" s="45" t="s">
        <v>30</v>
      </c>
      <c r="X593" s="47" t="str">
        <f t="array" ref="X593">XLOOKUP($A593,'Recipients REF'!$A:$A,'Recipients REF'!L:L,"",0)</f>
        <v>WDP40-RMP-24121478</v>
      </c>
      <c r="Y593" s="48" t="s">
        <v>29</v>
      </c>
      <c r="Z593" s="48" t="s">
        <v>31</v>
      </c>
      <c r="AA593" s="46" t="str">
        <f t="array" ref="AA593">XLOOKUP($A593,'Recipients REF'!$A:$A,'Recipients REF'!M:M,"",0)</f>
        <v>WR-SERIES-1099PH</v>
      </c>
      <c r="AB593" s="49"/>
      <c r="AC593" s="42"/>
      <c r="AD593" s="42"/>
      <c r="AE593" s="50"/>
      <c r="AF593" s="42"/>
      <c r="AG593" s="42"/>
      <c r="AH593" s="42"/>
      <c r="AI593" s="42" t="str">
        <f t="array" ref="AI593">XLOOKUP($E593,Sheet11!$D:$D,Sheet11!$X:$X,"",0)</f>
        <v/>
      </c>
      <c r="AJ593" s="42" t="str">
        <f t="array" ref="AJ593">XLOOKUP($E593,Sheet11!$D:$D,Sheet11!$Y:$Y,"",0)</f>
        <v/>
      </c>
    </row>
    <row r="594">
      <c r="A594" s="41">
        <v>508.0</v>
      </c>
      <c r="B594" s="42" t="s">
        <v>1171</v>
      </c>
      <c r="C594" s="42" t="s">
        <v>1172</v>
      </c>
      <c r="D594" s="42"/>
      <c r="E594" s="42" t="str">
        <f t="shared" ref="E594:F594" si="595">PROPER(B594)</f>
        <v>Lingay Estern Farmers Association Inc.</v>
      </c>
      <c r="F594" s="42" t="str">
        <f t="shared" si="595"/>
        <v>Bonfal East, Bayombong, Nueva Vizcaya</v>
      </c>
      <c r="G594" s="42" t="str">
        <f t="shared" si="3"/>
        <v>Bonfal East</v>
      </c>
      <c r="H594" s="42" t="str">
        <f t="shared" si="4"/>
        <v>Bayombong</v>
      </c>
      <c r="I594" s="42" t="str">
        <f t="shared" si="5"/>
        <v>Nueva Vizcaya</v>
      </c>
      <c r="J594" s="42" t="str">
        <f t="array" ref="J594">XLOOKUP($E594,'Recipients REF'!$B:$B,'Recipients REF'!D:D,"",0)</f>
        <v>Alfredo M. Baliton</v>
      </c>
      <c r="K594" s="42">
        <f t="array" ref="K594">XLOOKUP($E594,'Recipients REF'!$B:$B,'Recipients REF'!E:E,"",0)</f>
        <v>9951795403</v>
      </c>
      <c r="L594" s="43" t="str">
        <f t="array" ref="L594">XLOOKUP($A594,'Recipients REF'!$A:$A,'Recipients REF'!F:F,"",0)</f>
        <v>RCEF 24-04-15</v>
      </c>
      <c r="M594" s="43">
        <f t="array" ref="M594">XLOOKUP($A594,'Recipients REF'!$A:$A,'Recipients REF'!G:G,"",0)</f>
        <v>6</v>
      </c>
      <c r="N594" s="43">
        <f t="array" ref="N594">XLOOKUP($A594,'Recipients REF'!$A:$A,'Recipients REF'!H:H,"",0)</f>
        <v>19982</v>
      </c>
      <c r="O594" s="44" t="s">
        <v>25</v>
      </c>
      <c r="P594" s="45" t="s">
        <v>26</v>
      </c>
      <c r="Q594" s="46" t="str">
        <f t="array" ref="Q594">XLOOKUP($A594,'Recipients REF'!$A:$A,'Recipients REF'!I:I,"",0)</f>
        <v>KMC5825AERFPV0951</v>
      </c>
      <c r="R594" s="47" t="str">
        <f t="array" ref="R594">XLOOKUP($A594,'Recipients REF'!$A:$A,'Recipients REF'!J:J,"",0)</f>
        <v>RTS100827</v>
      </c>
      <c r="S594" s="45" t="s">
        <v>27</v>
      </c>
      <c r="T594" s="45" t="s">
        <v>28</v>
      </c>
      <c r="U594" s="46" t="str">
        <f t="array" ref="U594">XLOOKUP($A594,'Recipients REF'!$A:$A,'Recipients REF'!K:K,"",0)</f>
        <v>LSGW170-RMP-24101064</v>
      </c>
      <c r="V594" s="44" t="s">
        <v>29</v>
      </c>
      <c r="W594" s="45" t="s">
        <v>30</v>
      </c>
      <c r="X594" s="47" t="str">
        <f t="array" ref="X594">XLOOKUP($A594,'Recipients REF'!$A:$A,'Recipients REF'!L:L,"",0)</f>
        <v>WDP40-RMP-24121491</v>
      </c>
      <c r="Y594" s="48" t="s">
        <v>29</v>
      </c>
      <c r="Z594" s="48" t="s">
        <v>31</v>
      </c>
      <c r="AA594" s="46" t="str">
        <f t="array" ref="AA594">XLOOKUP($A594,'Recipients REF'!$A:$A,'Recipients REF'!M:M,"",0)</f>
        <v>WR-SERIES-1100PH</v>
      </c>
      <c r="AB594" s="49"/>
      <c r="AC594" s="42"/>
      <c r="AD594" s="42"/>
      <c r="AE594" s="50"/>
      <c r="AF594" s="42"/>
      <c r="AG594" s="42"/>
      <c r="AH594" s="42"/>
      <c r="AI594" s="42" t="str">
        <f t="array" ref="AI594">XLOOKUP($E594,Sheet11!$D:$D,Sheet11!$X:$X,"",0)</f>
        <v/>
      </c>
      <c r="AJ594" s="42" t="str">
        <f t="array" ref="AJ594">XLOOKUP($E594,Sheet11!$D:$D,Sheet11!$Y:$Y,"",0)</f>
        <v/>
      </c>
    </row>
    <row r="595">
      <c r="A595" s="41">
        <v>509.0</v>
      </c>
      <c r="B595" s="42" t="s">
        <v>1173</v>
      </c>
      <c r="C595" s="42" t="s">
        <v>1174</v>
      </c>
      <c r="D595" s="42"/>
      <c r="E595" s="42" t="str">
        <f t="shared" ref="E595:F595" si="596">PROPER(B595)</f>
        <v>Benay Wangeon Dupax Del Norte Irrigators Association Inc.</v>
      </c>
      <c r="F595" s="42" t="str">
        <f t="shared" si="596"/>
        <v>Malasin (Pob.), Dupax Del Norte, Nueva Vizcaya</v>
      </c>
      <c r="G595" s="42" t="str">
        <f t="shared" si="3"/>
        <v>Malasin (Pob.)</v>
      </c>
      <c r="H595" s="42" t="str">
        <f t="shared" si="4"/>
        <v>Dupax Del Norte</v>
      </c>
      <c r="I595" s="42" t="str">
        <f t="shared" si="5"/>
        <v>Nueva Vizcaya</v>
      </c>
      <c r="J595" s="42" t="str">
        <f t="array" ref="J595">XLOOKUP($E595,'Recipients REF'!$B:$B,'Recipients REF'!D:D,"",0)</f>
        <v>Celso Aguada</v>
      </c>
      <c r="K595" s="42">
        <f t="array" ref="K595">XLOOKUP($E595,'Recipients REF'!$B:$B,'Recipients REF'!E:E,"",0)</f>
        <v>9662583752</v>
      </c>
      <c r="L595" s="43" t="str">
        <f t="array" ref="L595">XLOOKUP($A595,'Recipients REF'!$A:$A,'Recipients REF'!F:F,"",0)</f>
        <v>RCEF 24-04-15</v>
      </c>
      <c r="M595" s="43">
        <f t="array" ref="M595">XLOOKUP($A595,'Recipients REF'!$A:$A,'Recipients REF'!G:G,"",0)</f>
        <v>6</v>
      </c>
      <c r="N595" s="43">
        <f t="array" ref="N595">XLOOKUP($A595,'Recipients REF'!$A:$A,'Recipients REF'!H:H,"",0)</f>
        <v>19983</v>
      </c>
      <c r="O595" s="44" t="s">
        <v>25</v>
      </c>
      <c r="P595" s="45" t="s">
        <v>26</v>
      </c>
      <c r="Q595" s="46" t="str">
        <f t="array" ref="Q595">XLOOKUP($A595,'Recipients REF'!$A:$A,'Recipients REF'!I:I,"",0)</f>
        <v>KMC5825ACRFPV0904</v>
      </c>
      <c r="R595" s="47" t="str">
        <f t="array" ref="R595">XLOOKUP($A595,'Recipients REF'!$A:$A,'Recipients REF'!J:J,"",0)</f>
        <v>RTS100807</v>
      </c>
      <c r="S595" s="45" t="s">
        <v>27</v>
      </c>
      <c r="T595" s="45" t="s">
        <v>28</v>
      </c>
      <c r="U595" s="46" t="str">
        <f t="array" ref="U595">XLOOKUP($A595,'Recipients REF'!$A:$A,'Recipients REF'!K:K,"",0)</f>
        <v>LSGW170-RMP-24100876</v>
      </c>
      <c r="V595" s="44" t="s">
        <v>29</v>
      </c>
      <c r="W595" s="45" t="s">
        <v>30</v>
      </c>
      <c r="X595" s="47" t="str">
        <f t="array" ref="X595">XLOOKUP($A595,'Recipients REF'!$A:$A,'Recipients REF'!L:L,"",0)</f>
        <v>WDP40-RMP-24121474</v>
      </c>
      <c r="Y595" s="48" t="s">
        <v>29</v>
      </c>
      <c r="Z595" s="48" t="s">
        <v>31</v>
      </c>
      <c r="AA595" s="46" t="str">
        <f t="array" ref="AA595">XLOOKUP($A595,'Recipients REF'!$A:$A,'Recipients REF'!M:M,"",0)</f>
        <v>WR-SERIES-1101PH</v>
      </c>
      <c r="AB595" s="49"/>
      <c r="AC595" s="42"/>
      <c r="AD595" s="42"/>
      <c r="AE595" s="50"/>
      <c r="AF595" s="42"/>
      <c r="AG595" s="42"/>
      <c r="AH595" s="42"/>
      <c r="AI595" s="42" t="str">
        <f t="array" ref="AI595">XLOOKUP($E595,Sheet11!$D:$D,Sheet11!$X:$X,"",0)</f>
        <v/>
      </c>
      <c r="AJ595" s="42" t="str">
        <f t="array" ref="AJ595">XLOOKUP($E595,Sheet11!$D:$D,Sheet11!$Y:$Y,"",0)</f>
        <v/>
      </c>
    </row>
    <row r="596">
      <c r="A596" s="41">
        <v>510.0</v>
      </c>
      <c r="B596" s="42" t="s">
        <v>1175</v>
      </c>
      <c r="C596" s="42" t="s">
        <v>1176</v>
      </c>
      <c r="D596" s="42"/>
      <c r="E596" s="42" t="str">
        <f t="shared" ref="E596:F596" si="597">PROPER(B596)</f>
        <v>Kinalo Logpon Irrigators Association Inc.</v>
      </c>
      <c r="F596" s="42" t="str">
        <f t="shared" si="597"/>
        <v>Kongkong, Kasibu, Nueva Vizcaya</v>
      </c>
      <c r="G596" s="42" t="str">
        <f t="shared" si="3"/>
        <v>Kongkong</v>
      </c>
      <c r="H596" s="42" t="str">
        <f t="shared" si="4"/>
        <v>Kasibu</v>
      </c>
      <c r="I596" s="42" t="str">
        <f t="shared" si="5"/>
        <v>Nueva Vizcaya</v>
      </c>
      <c r="J596" s="42" t="str">
        <f t="array" ref="J596">XLOOKUP($E596,'Recipients REF'!$B:$B,'Recipients REF'!D:D,"",0)</f>
        <v>Vic M. Peneranda</v>
      </c>
      <c r="K596" s="42">
        <f t="array" ref="K596">XLOOKUP($E596,'Recipients REF'!$B:$B,'Recipients REF'!E:E,"",0)</f>
        <v>9062568615</v>
      </c>
      <c r="L596" s="43" t="str">
        <f t="array" ref="L596">XLOOKUP($A596,'Recipients REF'!$A:$A,'Recipients REF'!F:F,"",0)</f>
        <v>RCEF 24-04-15</v>
      </c>
      <c r="M596" s="43">
        <f t="array" ref="M596">XLOOKUP($A596,'Recipients REF'!$A:$A,'Recipients REF'!G:G,"",0)</f>
        <v>6</v>
      </c>
      <c r="N596" s="43">
        <f t="array" ref="N596">XLOOKUP($A596,'Recipients REF'!$A:$A,'Recipients REF'!H:H,"",0)</f>
        <v>19984</v>
      </c>
      <c r="O596" s="44" t="s">
        <v>25</v>
      </c>
      <c r="P596" s="45" t="s">
        <v>26</v>
      </c>
      <c r="Q596" s="46" t="str">
        <f t="array" ref="Q596">XLOOKUP($A596,'Recipients REF'!$A:$A,'Recipients REF'!I:I,"",0)</f>
        <v>KMC5825AARFPV0914</v>
      </c>
      <c r="R596" s="47" t="str">
        <f t="array" ref="R596">XLOOKUP($A596,'Recipients REF'!$A:$A,'Recipients REF'!J:J,"",0)</f>
        <v>RTS100770</v>
      </c>
      <c r="S596" s="45" t="s">
        <v>27</v>
      </c>
      <c r="T596" s="45" t="s">
        <v>28</v>
      </c>
      <c r="U596" s="46" t="str">
        <f t="array" ref="U596">XLOOKUP($A596,'Recipients REF'!$A:$A,'Recipients REF'!K:K,"",0)</f>
        <v>LSGW170-RMP-24101003</v>
      </c>
      <c r="V596" s="44" t="s">
        <v>29</v>
      </c>
      <c r="W596" s="45" t="s">
        <v>30</v>
      </c>
      <c r="X596" s="47" t="str">
        <f t="array" ref="X596">XLOOKUP($A596,'Recipients REF'!$A:$A,'Recipients REF'!L:L,"",0)</f>
        <v>WDP40-RMP-24111377</v>
      </c>
      <c r="Y596" s="48" t="s">
        <v>29</v>
      </c>
      <c r="Z596" s="48" t="s">
        <v>31</v>
      </c>
      <c r="AA596" s="46" t="str">
        <f t="array" ref="AA596">XLOOKUP($A596,'Recipients REF'!$A:$A,'Recipients REF'!M:M,"",0)</f>
        <v>WR-SERIES-1013PH</v>
      </c>
      <c r="AB596" s="49"/>
      <c r="AC596" s="42"/>
      <c r="AD596" s="42"/>
      <c r="AE596" s="50"/>
      <c r="AF596" s="42"/>
      <c r="AG596" s="42"/>
      <c r="AH596" s="42"/>
      <c r="AI596" s="42" t="str">
        <f t="array" ref="AI596">XLOOKUP($E596,Sheet11!$D:$D,Sheet11!$X:$X,"",0)</f>
        <v/>
      </c>
      <c r="AJ596" s="42" t="str">
        <f t="array" ref="AJ596">XLOOKUP($E596,Sheet11!$D:$D,Sheet11!$Y:$Y,"",0)</f>
        <v/>
      </c>
    </row>
    <row r="597">
      <c r="A597" s="41">
        <v>511.0</v>
      </c>
      <c r="B597" s="42" t="s">
        <v>1177</v>
      </c>
      <c r="C597" s="42" t="s">
        <v>1178</v>
      </c>
      <c r="D597" s="42"/>
      <c r="E597" s="42" t="str">
        <f t="shared" ref="E597:F597" si="598">PROPER(B597)</f>
        <v>Lower Dekel Irrigators Associatin Inc.</v>
      </c>
      <c r="F597" s="42" t="str">
        <f t="shared" si="598"/>
        <v>Pacquet (Ilongot Res.), Kasibu, Nueva Vizcaya</v>
      </c>
      <c r="G597" s="42" t="str">
        <f t="shared" si="3"/>
        <v>Pacquet (Ilongot Res.)</v>
      </c>
      <c r="H597" s="42" t="str">
        <f t="shared" si="4"/>
        <v>Kasibu</v>
      </c>
      <c r="I597" s="42" t="str">
        <f t="shared" si="5"/>
        <v>Nueva Vizcaya</v>
      </c>
      <c r="J597" s="42" t="str">
        <f t="array" ref="J597">XLOOKUP($E597,'Recipients REF'!$B:$B,'Recipients REF'!D:D,"",0)</f>
        <v>Dindo I. Gatding</v>
      </c>
      <c r="K597" s="42">
        <f t="array" ref="K597">XLOOKUP($E597,'Recipients REF'!$B:$B,'Recipients REF'!E:E,"",0)</f>
        <v>9361579236</v>
      </c>
      <c r="L597" s="43" t="str">
        <f t="array" ref="L597">XLOOKUP($A597,'Recipients REF'!$A:$A,'Recipients REF'!F:F,"",0)</f>
        <v>RCEF 24-04-15</v>
      </c>
      <c r="M597" s="43">
        <f t="array" ref="M597">XLOOKUP($A597,'Recipients REF'!$A:$A,'Recipients REF'!G:G,"",0)</f>
        <v>6</v>
      </c>
      <c r="N597" s="43">
        <f t="array" ref="N597">XLOOKUP($A597,'Recipients REF'!$A:$A,'Recipients REF'!H:H,"",0)</f>
        <v>19985</v>
      </c>
      <c r="O597" s="44" t="s">
        <v>25</v>
      </c>
      <c r="P597" s="45" t="s">
        <v>26</v>
      </c>
      <c r="Q597" s="46" t="str">
        <f t="array" ref="Q597">XLOOKUP($A597,'Recipients REF'!$A:$A,'Recipients REF'!I:I,"",0)</f>
        <v>KMC5825AERFPV0920</v>
      </c>
      <c r="R597" s="47" t="str">
        <f t="array" ref="R597">XLOOKUP($A597,'Recipients REF'!$A:$A,'Recipients REF'!J:J,"",0)</f>
        <v>RTS100766</v>
      </c>
      <c r="S597" s="45" t="s">
        <v>27</v>
      </c>
      <c r="T597" s="45" t="s">
        <v>28</v>
      </c>
      <c r="U597" s="46" t="str">
        <f t="array" ref="U597">XLOOKUP($A597,'Recipients REF'!$A:$A,'Recipients REF'!K:K,"",0)</f>
        <v>LSGW170-RMP-24100959</v>
      </c>
      <c r="V597" s="44" t="s">
        <v>29</v>
      </c>
      <c r="W597" s="45" t="s">
        <v>30</v>
      </c>
      <c r="X597" s="47" t="str">
        <f t="array" ref="X597">XLOOKUP($A597,'Recipients REF'!$A:$A,'Recipients REF'!L:L,"",0)</f>
        <v>WDP40-RMP-24111405</v>
      </c>
      <c r="Y597" s="48" t="s">
        <v>29</v>
      </c>
      <c r="Z597" s="48" t="s">
        <v>31</v>
      </c>
      <c r="AA597" s="46" t="str">
        <f t="array" ref="AA597">XLOOKUP($A597,'Recipients REF'!$A:$A,'Recipients REF'!M:M,"",0)</f>
        <v>WR-SERIES-1024PH</v>
      </c>
      <c r="AB597" s="49"/>
      <c r="AC597" s="42"/>
      <c r="AD597" s="42"/>
      <c r="AE597" s="51"/>
      <c r="AF597" s="52"/>
      <c r="AG597" s="42"/>
      <c r="AH597" s="42"/>
      <c r="AI597" s="42" t="str">
        <f t="array" ref="AI597">XLOOKUP($E597,Sheet11!$D:$D,Sheet11!$X:$X,"",0)</f>
        <v/>
      </c>
      <c r="AJ597" s="42" t="str">
        <f t="array" ref="AJ597">XLOOKUP($E597,Sheet11!$D:$D,Sheet11!$Y:$Y,"",0)</f>
        <v/>
      </c>
    </row>
    <row r="598">
      <c r="A598" s="41">
        <v>512.0</v>
      </c>
      <c r="B598" s="42" t="s">
        <v>1179</v>
      </c>
      <c r="C598" s="42" t="s">
        <v>1180</v>
      </c>
      <c r="D598" s="42"/>
      <c r="E598" s="42" t="str">
        <f t="shared" ref="E598:F598" si="599">PROPER(B598)</f>
        <v>Bokod Sulfur Spring Multi-Purpose Cooperative</v>
      </c>
      <c r="F598" s="42" t="str">
        <f t="shared" si="599"/>
        <v>Tucal, Solano, Nueva Vizcaya</v>
      </c>
      <c r="G598" s="42" t="str">
        <f t="shared" si="3"/>
        <v>Tucal</v>
      </c>
      <c r="H598" s="42" t="str">
        <f t="shared" si="4"/>
        <v>Solano</v>
      </c>
      <c r="I598" s="42" t="str">
        <f t="shared" si="5"/>
        <v>Nueva Vizcaya</v>
      </c>
      <c r="J598" s="42" t="str">
        <f t="array" ref="J598">XLOOKUP($E598,'Recipients REF'!$B:$B,'Recipients REF'!D:D,"",0)</f>
        <v>Isabelo O. Anselmo</v>
      </c>
      <c r="K598" s="42">
        <f t="array" ref="K598">XLOOKUP($E598,'Recipients REF'!$B:$B,'Recipients REF'!E:E,"",0)</f>
        <v>9070885712</v>
      </c>
      <c r="L598" s="43" t="str">
        <f t="array" ref="L598">XLOOKUP($A598,'Recipients REF'!$A:$A,'Recipients REF'!F:F,"",0)</f>
        <v>RCEF 24-04-15</v>
      </c>
      <c r="M598" s="43">
        <f t="array" ref="M598">XLOOKUP($A598,'Recipients REF'!$A:$A,'Recipients REF'!G:G,"",0)</f>
        <v>6</v>
      </c>
      <c r="N598" s="43">
        <f t="array" ref="N598">XLOOKUP($A598,'Recipients REF'!$A:$A,'Recipients REF'!H:H,"",0)</f>
        <v>19986</v>
      </c>
      <c r="O598" s="44" t="s">
        <v>25</v>
      </c>
      <c r="P598" s="45" t="s">
        <v>26</v>
      </c>
      <c r="Q598" s="46" t="str">
        <f t="array" ref="Q598">XLOOKUP($A598,'Recipients REF'!$A:$A,'Recipients REF'!I:I,"",0)</f>
        <v>KMC5825AJRFPV0908</v>
      </c>
      <c r="R598" s="47" t="str">
        <f t="array" ref="R598">XLOOKUP($A598,'Recipients REF'!$A:$A,'Recipients REF'!J:J,"",0)</f>
        <v>RTS100824</v>
      </c>
      <c r="S598" s="45" t="s">
        <v>27</v>
      </c>
      <c r="T598" s="45" t="s">
        <v>28</v>
      </c>
      <c r="U598" s="46" t="str">
        <f t="array" ref="U598">XLOOKUP($A598,'Recipients REF'!$A:$A,'Recipients REF'!K:K,"",0)</f>
        <v>LSGW170-RMP-24101072</v>
      </c>
      <c r="V598" s="44" t="s">
        <v>29</v>
      </c>
      <c r="W598" s="45" t="s">
        <v>30</v>
      </c>
      <c r="X598" s="47" t="str">
        <f t="array" ref="X598">XLOOKUP($A598,'Recipients REF'!$A:$A,'Recipients REF'!L:L,"",0)</f>
        <v>WDP40-RMP-24121466</v>
      </c>
      <c r="Y598" s="48" t="s">
        <v>29</v>
      </c>
      <c r="Z598" s="48" t="s">
        <v>31</v>
      </c>
      <c r="AA598" s="46" t="str">
        <f t="array" ref="AA598">XLOOKUP($A598,'Recipients REF'!$A:$A,'Recipients REF'!M:M,"",0)</f>
        <v>WR-SERIES-1032PH</v>
      </c>
      <c r="AB598" s="49"/>
      <c r="AC598" s="42"/>
      <c r="AD598" s="42"/>
      <c r="AE598" s="51"/>
      <c r="AF598" s="52"/>
      <c r="AG598" s="42"/>
      <c r="AH598" s="42"/>
      <c r="AI598" s="42" t="str">
        <f t="array" ref="AI598">XLOOKUP($E598,Sheet11!$D:$D,Sheet11!$X:$X,"",0)</f>
        <v/>
      </c>
      <c r="AJ598" s="42" t="str">
        <f t="array" ref="AJ598">XLOOKUP($E598,Sheet11!$D:$D,Sheet11!$Y:$Y,"",0)</f>
        <v/>
      </c>
    </row>
    <row r="599">
      <c r="A599" s="41">
        <v>6.0</v>
      </c>
      <c r="B599" s="42" t="s">
        <v>1181</v>
      </c>
      <c r="C599" s="42" t="s">
        <v>1182</v>
      </c>
      <c r="D599" s="42"/>
      <c r="E599" s="42" t="str">
        <f t="shared" ref="E599:F599" si="600">PROPER(B599)</f>
        <v>Poblacion-New Dagupan Farmer-Irrigators' Association (Pondafia) Inc.</v>
      </c>
      <c r="F599" s="42" t="str">
        <f t="shared" si="600"/>
        <v>Poblacion, Calintaan, Occidental Mindoro</v>
      </c>
      <c r="G599" s="42" t="str">
        <f t="shared" si="3"/>
        <v>Poblacion</v>
      </c>
      <c r="H599" s="42" t="str">
        <f t="shared" si="4"/>
        <v>Calintaan</v>
      </c>
      <c r="I599" s="42" t="str">
        <f t="shared" si="5"/>
        <v>Occidental Mindoro</v>
      </c>
      <c r="J599" s="42" t="str">
        <f t="array" ref="J599">XLOOKUP($E599,'Recipients REF'!$B:$B,'Recipients REF'!D:D,"",0)</f>
        <v>Manuel A. Francisco</v>
      </c>
      <c r="K599" s="42" t="str">
        <f t="array" ref="K599">XLOOKUP($E599,'Recipients REF'!$B:$B,'Recipients REF'!E:E,"",0)</f>
        <v>0935 417 5163</v>
      </c>
      <c r="L599" s="43" t="str">
        <f t="array" ref="L599">XLOOKUP($A599,'Recipients REF'!$A:$A,'Recipients REF'!F:F,"",0)</f>
        <v>RCEF 23-08-20 Rebidding</v>
      </c>
      <c r="M599" s="43">
        <f t="array" ref="M599">XLOOKUP($A599,'Recipients REF'!$A:$A,'Recipients REF'!G:G,"",0)</f>
        <v>1</v>
      </c>
      <c r="N599" s="43">
        <f t="array" ref="N599">XLOOKUP($A599,'Recipients REF'!$A:$A,'Recipients REF'!H:H,"",0)</f>
        <v>16771</v>
      </c>
      <c r="O599" s="44" t="s">
        <v>25</v>
      </c>
      <c r="P599" s="45" t="s">
        <v>26</v>
      </c>
      <c r="Q599" s="46" t="str">
        <f t="array" ref="Q599">XLOOKUP($A599,'Recipients REF'!$A:$A,'Recipients REF'!I:I,"",0)</f>
        <v>KMC 5825 ACPFPV0003</v>
      </c>
      <c r="R599" s="47" t="str">
        <f t="array" ref="R599">XLOOKUP($A599,'Recipients REF'!$A:$A,'Recipients REF'!J:J,"",0)</f>
        <v>PTS100013</v>
      </c>
      <c r="S599" s="45" t="s">
        <v>27</v>
      </c>
      <c r="T599" s="45" t="s">
        <v>28</v>
      </c>
      <c r="U599" s="46" t="str">
        <f t="array" ref="U599">XLOOKUP($A599,'Recipients REF'!$A:$A,'Recipients REF'!K:K,"",0)</f>
        <v>R-SERIES 009 PH</v>
      </c>
      <c r="V599" s="44" t="s">
        <v>29</v>
      </c>
      <c r="W599" s="45" t="s">
        <v>30</v>
      </c>
      <c r="X599" s="47" t="str">
        <f t="array" ref="X599">XLOOKUP($A599,'Recipients REF'!$A:$A,'Recipients REF'!L:L,"",0)</f>
        <v>WR LSGW 0006</v>
      </c>
      <c r="Y599" s="48" t="s">
        <v>29</v>
      </c>
      <c r="Z599" s="48" t="s">
        <v>31</v>
      </c>
      <c r="AA599" s="46" t="str">
        <f t="array" ref="AA599">XLOOKUP($A599,'Recipients REF'!$A:$A,'Recipients REF'!M:M,"",0)</f>
        <v>WR WDP 0006</v>
      </c>
      <c r="AB599" s="49"/>
      <c r="AC599" s="42"/>
      <c r="AD599" s="42"/>
      <c r="AE599" s="51"/>
      <c r="AF599" s="52"/>
      <c r="AG599" s="42"/>
      <c r="AH599" s="42"/>
      <c r="AI599" s="42">
        <f t="array" ref="AI599">XLOOKUP($E599,Sheet11!$D:$D,Sheet11!$X:$X,"",0)</f>
        <v>869066060236876</v>
      </c>
      <c r="AJ599" s="42">
        <f t="array" ref="AJ599">XLOOKUP($E599,Sheet11!$D:$D,Sheet11!$Y:$Y,"",0)</f>
        <v>9690457895</v>
      </c>
    </row>
    <row r="600">
      <c r="A600" s="41">
        <v>7.0</v>
      </c>
      <c r="B600" s="42" t="s">
        <v>1183</v>
      </c>
      <c r="C600" s="42" t="s">
        <v>1184</v>
      </c>
      <c r="D600" s="42"/>
      <c r="E600" s="42" t="str">
        <f t="shared" ref="E600:F600" si="601">PROPER(B600)</f>
        <v>Bugtong Buri Farmers Association, Inc.</v>
      </c>
      <c r="F600" s="42" t="str">
        <f t="shared" si="601"/>
        <v>Poblacion, Magsaysay, Occidental Mindoro</v>
      </c>
      <c r="G600" s="42" t="str">
        <f t="shared" si="3"/>
        <v>Poblacion</v>
      </c>
      <c r="H600" s="42" t="str">
        <f t="shared" si="4"/>
        <v>Magsaysay</v>
      </c>
      <c r="I600" s="42" t="str">
        <f t="shared" si="5"/>
        <v>Occidental Mindoro</v>
      </c>
      <c r="J600" s="42" t="str">
        <f t="array" ref="J600">XLOOKUP($E600,'Recipients REF'!$B:$B,'Recipients REF'!D:D,"",0)</f>
        <v>Gloria G. Operio</v>
      </c>
      <c r="K600" s="42" t="str">
        <f t="array" ref="K600">XLOOKUP($E600,'Recipients REF'!$B:$B,'Recipients REF'!E:E,"",0)</f>
        <v>0930 925 4686</v>
      </c>
      <c r="L600" s="43" t="str">
        <f t="array" ref="L600">XLOOKUP($A600,'Recipients REF'!$A:$A,'Recipients REF'!F:F,"",0)</f>
        <v>RCEF 23-08-20 Rebidding</v>
      </c>
      <c r="M600" s="43">
        <f t="array" ref="M600">XLOOKUP($A600,'Recipients REF'!$A:$A,'Recipients REF'!G:G,"",0)</f>
        <v>1</v>
      </c>
      <c r="N600" s="43">
        <f t="array" ref="N600">XLOOKUP($A600,'Recipients REF'!$A:$A,'Recipients REF'!H:H,"",0)</f>
        <v>16772</v>
      </c>
      <c r="O600" s="44" t="s">
        <v>25</v>
      </c>
      <c r="P600" s="45" t="s">
        <v>26</v>
      </c>
      <c r="Q600" s="46" t="str">
        <f t="array" ref="Q600">XLOOKUP($A600,'Recipients REF'!$A:$A,'Recipients REF'!I:I,"",0)</f>
        <v>KMC 5825 APPFPV0014</v>
      </c>
      <c r="R600" s="47" t="str">
        <f t="array" ref="R600">XLOOKUP($A600,'Recipients REF'!$A:$A,'Recipients REF'!J:J,"",0)</f>
        <v>PTS100016</v>
      </c>
      <c r="S600" s="45" t="s">
        <v>27</v>
      </c>
      <c r="T600" s="45" t="s">
        <v>28</v>
      </c>
      <c r="U600" s="46" t="str">
        <f t="array" ref="U600">XLOOKUP($A600,'Recipients REF'!$A:$A,'Recipients REF'!K:K,"",0)</f>
        <v>R-SERIES 006 PH</v>
      </c>
      <c r="V600" s="44" t="s">
        <v>29</v>
      </c>
      <c r="W600" s="45" t="s">
        <v>30</v>
      </c>
      <c r="X600" s="47" t="str">
        <f t="array" ref="X600">XLOOKUP($A600,'Recipients REF'!$A:$A,'Recipients REF'!L:L,"",0)</f>
        <v>WR LSGW 0007</v>
      </c>
      <c r="Y600" s="48" t="s">
        <v>29</v>
      </c>
      <c r="Z600" s="48" t="s">
        <v>31</v>
      </c>
      <c r="AA600" s="46" t="str">
        <f t="array" ref="AA600">XLOOKUP($A600,'Recipients REF'!$A:$A,'Recipients REF'!M:M,"",0)</f>
        <v>WR WDP 0007</v>
      </c>
      <c r="AB600" s="49"/>
      <c r="AC600" s="42"/>
      <c r="AD600" s="42"/>
      <c r="AE600" s="50"/>
      <c r="AF600" s="42"/>
      <c r="AG600" s="42"/>
      <c r="AH600" s="42"/>
      <c r="AI600" s="42">
        <f t="array" ref="AI600">XLOOKUP($E600,Sheet11!$D:$D,Sheet11!$X:$X,"",0)</f>
        <v>869066060237154</v>
      </c>
      <c r="AJ600" s="42">
        <f t="array" ref="AJ600">XLOOKUP($E600,Sheet11!$D:$D,Sheet11!$Y:$Y,"",0)</f>
        <v>9691048516</v>
      </c>
    </row>
    <row r="601">
      <c r="A601" s="41">
        <v>8.0</v>
      </c>
      <c r="B601" s="42" t="s">
        <v>1185</v>
      </c>
      <c r="C601" s="42" t="s">
        <v>1186</v>
      </c>
      <c r="D601" s="42"/>
      <c r="E601" s="42" t="str">
        <f t="shared" ref="E601:F601" si="602">PROPER(B601)</f>
        <v>Samarica Occidental Mindoro Farmers Association Inc.</v>
      </c>
      <c r="F601" s="42" t="str">
        <f t="shared" si="602"/>
        <v>Adela, Rizal, Occidental Mindoro</v>
      </c>
      <c r="G601" s="42" t="str">
        <f t="shared" si="3"/>
        <v>Adela</v>
      </c>
      <c r="H601" s="42" t="str">
        <f t="shared" si="4"/>
        <v>Rizal</v>
      </c>
      <c r="I601" s="42" t="str">
        <f t="shared" si="5"/>
        <v>Occidental Mindoro</v>
      </c>
      <c r="J601" s="42" t="str">
        <f t="array" ref="J601">XLOOKUP($E601,'Recipients REF'!$B:$B,'Recipients REF'!D:D,"",0)</f>
        <v>Josie M. Maramot</v>
      </c>
      <c r="K601" s="42" t="str">
        <f t="array" ref="K601">XLOOKUP($E601,'Recipients REF'!$B:$B,'Recipients REF'!E:E,"",0)</f>
        <v>0949 933 1443</v>
      </c>
      <c r="L601" s="43" t="str">
        <f t="array" ref="L601">XLOOKUP($A601,'Recipients REF'!$A:$A,'Recipients REF'!F:F,"",0)</f>
        <v>RCEF 23-08-20 Rebidding</v>
      </c>
      <c r="M601" s="43">
        <f t="array" ref="M601">XLOOKUP($A601,'Recipients REF'!$A:$A,'Recipients REF'!G:G,"",0)</f>
        <v>1</v>
      </c>
      <c r="N601" s="43">
        <f t="array" ref="N601">XLOOKUP($A601,'Recipients REF'!$A:$A,'Recipients REF'!H:H,"",0)</f>
        <v>16774</v>
      </c>
      <c r="O601" s="44" t="s">
        <v>25</v>
      </c>
      <c r="P601" s="45" t="s">
        <v>26</v>
      </c>
      <c r="Q601" s="46" t="str">
        <f t="array" ref="Q601">XLOOKUP($A601,'Recipients REF'!$A:$A,'Recipients REF'!I:I,"",0)</f>
        <v>KMC 5825 AVPFPV0004</v>
      </c>
      <c r="R601" s="47" t="str">
        <f t="array" ref="R601">XLOOKUP($A601,'Recipients REF'!$A:$A,'Recipients REF'!J:J,"",0)</f>
        <v>PTS100020</v>
      </c>
      <c r="S601" s="45" t="s">
        <v>27</v>
      </c>
      <c r="T601" s="45" t="s">
        <v>28</v>
      </c>
      <c r="U601" s="46" t="str">
        <f t="array" ref="U601">XLOOKUP($A601,'Recipients REF'!$A:$A,'Recipients REF'!K:K,"",0)</f>
        <v>R-SERIES 018 PH</v>
      </c>
      <c r="V601" s="44" t="s">
        <v>29</v>
      </c>
      <c r="W601" s="45" t="s">
        <v>30</v>
      </c>
      <c r="X601" s="47" t="str">
        <f t="array" ref="X601">XLOOKUP($A601,'Recipients REF'!$A:$A,'Recipients REF'!L:L,"",0)</f>
        <v>WR LSGW 0009</v>
      </c>
      <c r="Y601" s="48" t="s">
        <v>29</v>
      </c>
      <c r="Z601" s="48" t="s">
        <v>31</v>
      </c>
      <c r="AA601" s="46" t="str">
        <f t="array" ref="AA601">XLOOKUP($A601,'Recipients REF'!$A:$A,'Recipients REF'!M:M,"",0)</f>
        <v>WR WDP 0009</v>
      </c>
      <c r="AB601" s="49"/>
      <c r="AC601" s="42"/>
      <c r="AD601" s="42"/>
      <c r="AE601" s="50"/>
      <c r="AF601" s="42"/>
      <c r="AG601" s="42"/>
      <c r="AH601" s="42"/>
      <c r="AI601" s="42">
        <f t="array" ref="AI601">XLOOKUP($E601,Sheet11!$D:$D,Sheet11!$X:$X,"",0)</f>
        <v>869066060239457</v>
      </c>
      <c r="AJ601" s="42">
        <f t="array" ref="AJ601">XLOOKUP($E601,Sheet11!$D:$D,Sheet11!$Y:$Y,"",0)</f>
        <v>9690318859</v>
      </c>
    </row>
    <row r="602">
      <c r="A602" s="41">
        <v>9.0</v>
      </c>
      <c r="B602" s="42" t="s">
        <v>1187</v>
      </c>
      <c r="C602" s="42" t="s">
        <v>1188</v>
      </c>
      <c r="D602" s="42"/>
      <c r="E602" s="42" t="str">
        <f t="shared" ref="E602:F602" si="603">PROPER(B602)</f>
        <v>Salvacion United Farmers Multi-Purpose Cooperative</v>
      </c>
      <c r="F602" s="42" t="str">
        <f t="shared" si="603"/>
        <v>Salvacion, Rizal, Occidental Mindoro</v>
      </c>
      <c r="G602" s="42" t="str">
        <f t="shared" si="3"/>
        <v>Salvacion</v>
      </c>
      <c r="H602" s="42" t="str">
        <f t="shared" si="4"/>
        <v>Rizal</v>
      </c>
      <c r="I602" s="42" t="str">
        <f t="shared" si="5"/>
        <v>Occidental Mindoro</v>
      </c>
      <c r="J602" s="42" t="str">
        <f t="array" ref="J602">XLOOKUP($E602,'Recipients REF'!$B:$B,'Recipients REF'!D:D,"",0)</f>
        <v>Birtsan A. Montales</v>
      </c>
      <c r="K602" s="42" t="str">
        <f t="array" ref="K602">XLOOKUP($E602,'Recipients REF'!$B:$B,'Recipients REF'!E:E,"",0)</f>
        <v>0930 838 7003</v>
      </c>
      <c r="L602" s="43" t="str">
        <f t="array" ref="L602">XLOOKUP($A602,'Recipients REF'!$A:$A,'Recipients REF'!F:F,"",0)</f>
        <v>RCEF 23-08-20 Rebidding</v>
      </c>
      <c r="M602" s="43">
        <f t="array" ref="M602">XLOOKUP($A602,'Recipients REF'!$A:$A,'Recipients REF'!G:G,"",0)</f>
        <v>1</v>
      </c>
      <c r="N602" s="43">
        <f t="array" ref="N602">XLOOKUP($A602,'Recipients REF'!$A:$A,'Recipients REF'!H:H,"",0)</f>
        <v>16775</v>
      </c>
      <c r="O602" s="44" t="s">
        <v>25</v>
      </c>
      <c r="P602" s="45" t="s">
        <v>26</v>
      </c>
      <c r="Q602" s="46" t="str">
        <f t="array" ref="Q602">XLOOKUP($A602,'Recipients REF'!$A:$A,'Recipients REF'!I:I,"",0)</f>
        <v>KMC 5825 AJPFPV0033</v>
      </c>
      <c r="R602" s="47" t="str">
        <f t="array" ref="R602">XLOOKUP($A602,'Recipients REF'!$A:$A,'Recipients REF'!J:J,"",0)</f>
        <v>PTS100031</v>
      </c>
      <c r="S602" s="45" t="s">
        <v>27</v>
      </c>
      <c r="T602" s="45" t="s">
        <v>28</v>
      </c>
      <c r="U602" s="46" t="str">
        <f t="array" ref="U602">XLOOKUP($A602,'Recipients REF'!$A:$A,'Recipients REF'!K:K,"",0)</f>
        <v>R-SERIES 023 PH</v>
      </c>
      <c r="V602" s="44" t="s">
        <v>29</v>
      </c>
      <c r="W602" s="45" t="s">
        <v>30</v>
      </c>
      <c r="X602" s="47" t="str">
        <f t="array" ref="X602">XLOOKUP($A602,'Recipients REF'!$A:$A,'Recipients REF'!L:L,"",0)</f>
        <v>WR LSGW 0010</v>
      </c>
      <c r="Y602" s="48" t="s">
        <v>29</v>
      </c>
      <c r="Z602" s="48" t="s">
        <v>31</v>
      </c>
      <c r="AA602" s="46" t="str">
        <f t="array" ref="AA602">XLOOKUP($A602,'Recipients REF'!$A:$A,'Recipients REF'!M:M,"",0)</f>
        <v>WR WDP 0010</v>
      </c>
      <c r="AB602" s="49"/>
      <c r="AC602" s="42"/>
      <c r="AD602" s="42"/>
      <c r="AE602" s="50"/>
      <c r="AF602" s="42"/>
      <c r="AG602" s="42"/>
      <c r="AH602" s="42"/>
      <c r="AI602" s="42">
        <f t="array" ref="AI602">XLOOKUP($E602,Sheet11!$D:$D,Sheet11!$X:$X,"",0)</f>
        <v>869066060245538</v>
      </c>
      <c r="AJ602" s="42">
        <f t="array" ref="AJ602">XLOOKUP($E602,Sheet11!$D:$D,Sheet11!$Y:$Y,"",0)</f>
        <v>9690318909</v>
      </c>
    </row>
    <row r="603">
      <c r="A603" s="41">
        <v>10.0</v>
      </c>
      <c r="B603" s="42" t="s">
        <v>1189</v>
      </c>
      <c r="C603" s="42" t="s">
        <v>1190</v>
      </c>
      <c r="D603" s="42"/>
      <c r="E603" s="42" t="str">
        <f t="shared" ref="E603:F603" si="604">PROPER(B603)</f>
        <v>Matabiaga Malawaan Irrigators Association, Inc.</v>
      </c>
      <c r="F603" s="42" t="str">
        <f t="shared" si="604"/>
        <v>Malawaan, Rizal, Occidental Mindoro</v>
      </c>
      <c r="G603" s="42" t="str">
        <f t="shared" si="3"/>
        <v>Malawaan</v>
      </c>
      <c r="H603" s="42" t="str">
        <f t="shared" si="4"/>
        <v>Rizal</v>
      </c>
      <c r="I603" s="42" t="str">
        <f t="shared" si="5"/>
        <v>Occidental Mindoro</v>
      </c>
      <c r="J603" s="42" t="str">
        <f t="array" ref="J603">XLOOKUP($E603,'Recipients REF'!$B:$B,'Recipients REF'!D:D,"",0)</f>
        <v>Ernie Urbina</v>
      </c>
      <c r="K603" s="42" t="str">
        <f t="array" ref="K603">XLOOKUP($E603,'Recipients REF'!$B:$B,'Recipients REF'!E:E,"",0)</f>
        <v>0909 354 0587</v>
      </c>
      <c r="L603" s="43" t="str">
        <f t="array" ref="L603">XLOOKUP($A603,'Recipients REF'!$A:$A,'Recipients REF'!F:F,"",0)</f>
        <v>RCEF 23-08-20 Rebidding</v>
      </c>
      <c r="M603" s="43">
        <f t="array" ref="M603">XLOOKUP($A603,'Recipients REF'!$A:$A,'Recipients REF'!G:G,"",0)</f>
        <v>1</v>
      </c>
      <c r="N603" s="43">
        <f t="array" ref="N603">XLOOKUP($A603,'Recipients REF'!$A:$A,'Recipients REF'!H:H,"",0)</f>
        <v>16776</v>
      </c>
      <c r="O603" s="44" t="s">
        <v>25</v>
      </c>
      <c r="P603" s="45" t="s">
        <v>26</v>
      </c>
      <c r="Q603" s="46" t="str">
        <f t="array" ref="Q603">XLOOKUP($A603,'Recipients REF'!$A:$A,'Recipients REF'!I:I,"",0)</f>
        <v>KMC 5825 AEPFPV0008</v>
      </c>
      <c r="R603" s="47" t="str">
        <f t="array" ref="R603">XLOOKUP($A603,'Recipients REF'!$A:$A,'Recipients REF'!J:J,"",0)</f>
        <v>PTS100005</v>
      </c>
      <c r="S603" s="45" t="s">
        <v>27</v>
      </c>
      <c r="T603" s="45" t="s">
        <v>28</v>
      </c>
      <c r="U603" s="46" t="str">
        <f t="array" ref="U603">XLOOKUP($A603,'Recipients REF'!$A:$A,'Recipients REF'!K:K,"",0)</f>
        <v>R-SERIES 015 PH</v>
      </c>
      <c r="V603" s="44" t="s">
        <v>29</v>
      </c>
      <c r="W603" s="45" t="s">
        <v>30</v>
      </c>
      <c r="X603" s="47" t="str">
        <f t="array" ref="X603">XLOOKUP($A603,'Recipients REF'!$A:$A,'Recipients REF'!L:L,"",0)</f>
        <v>WR LSGW 0011</v>
      </c>
      <c r="Y603" s="48" t="s">
        <v>29</v>
      </c>
      <c r="Z603" s="48" t="s">
        <v>31</v>
      </c>
      <c r="AA603" s="46" t="str">
        <f t="array" ref="AA603">XLOOKUP($A603,'Recipients REF'!$A:$A,'Recipients REF'!M:M,"",0)</f>
        <v>WR WDP 0011</v>
      </c>
      <c r="AB603" s="49"/>
      <c r="AC603" s="42"/>
      <c r="AD603" s="42"/>
      <c r="AE603" s="51"/>
      <c r="AF603" s="52"/>
      <c r="AG603" s="42"/>
      <c r="AH603" s="42"/>
      <c r="AI603" s="42">
        <f t="array" ref="AI603">XLOOKUP($E603,Sheet11!$D:$D,Sheet11!$X:$X,"",0)</f>
        <v>869066060244937</v>
      </c>
      <c r="AJ603" s="42">
        <f t="array" ref="AJ603">XLOOKUP($E603,Sheet11!$D:$D,Sheet11!$Y:$Y,"",0)</f>
        <v>9690451896</v>
      </c>
    </row>
    <row r="604">
      <c r="A604" s="41">
        <v>11.0</v>
      </c>
      <c r="B604" s="42" t="s">
        <v>1191</v>
      </c>
      <c r="C604" s="42" t="s">
        <v>1192</v>
      </c>
      <c r="D604" s="42"/>
      <c r="E604" s="42" t="str">
        <f t="shared" ref="E604:F604" si="605">PROPER(B604)</f>
        <v>Barangay Batong Buhay Farmer'S Association</v>
      </c>
      <c r="F604" s="42" t="str">
        <f t="shared" si="605"/>
        <v>Batong Buhay, Sablayan, Occidental Mindoro</v>
      </c>
      <c r="G604" s="42" t="str">
        <f t="shared" si="3"/>
        <v>Batong Buhay</v>
      </c>
      <c r="H604" s="42" t="str">
        <f t="shared" si="4"/>
        <v>Sablayan</v>
      </c>
      <c r="I604" s="42" t="str">
        <f t="shared" si="5"/>
        <v>Occidental Mindoro</v>
      </c>
      <c r="J604" s="42" t="str">
        <f t="array" ref="J604">XLOOKUP($E604,'Recipients REF'!$B:$B,'Recipients REF'!D:D,"",0)</f>
        <v>Mark Anthony Silao</v>
      </c>
      <c r="K604" s="42" t="str">
        <f t="array" ref="K604">XLOOKUP($E604,'Recipients REF'!$B:$B,'Recipients REF'!E:E,"",0)</f>
        <v>0966 359 5285</v>
      </c>
      <c r="L604" s="43" t="str">
        <f t="array" ref="L604">XLOOKUP($A604,'Recipients REF'!$A:$A,'Recipients REF'!F:F,"",0)</f>
        <v>RCEF 23-08-20 Rebidding</v>
      </c>
      <c r="M604" s="43">
        <f t="array" ref="M604">XLOOKUP($A604,'Recipients REF'!$A:$A,'Recipients REF'!G:G,"",0)</f>
        <v>1</v>
      </c>
      <c r="N604" s="43">
        <f t="array" ref="N604">XLOOKUP($A604,'Recipients REF'!$A:$A,'Recipients REF'!H:H,"",0)</f>
        <v>16777</v>
      </c>
      <c r="O604" s="44" t="s">
        <v>25</v>
      </c>
      <c r="P604" s="45" t="s">
        <v>26</v>
      </c>
      <c r="Q604" s="46" t="str">
        <f t="array" ref="Q604">XLOOKUP($A604,'Recipients REF'!$A:$A,'Recipients REF'!I:I,"",0)</f>
        <v>KMC 5825 ATPFPV0013</v>
      </c>
      <c r="R604" s="47" t="str">
        <f t="array" ref="R604">XLOOKUP($A604,'Recipients REF'!$A:$A,'Recipients REF'!J:J,"",0)</f>
        <v>PTS100027</v>
      </c>
      <c r="S604" s="45" t="s">
        <v>27</v>
      </c>
      <c r="T604" s="45" t="s">
        <v>28</v>
      </c>
      <c r="U604" s="46" t="str">
        <f t="array" ref="U604">XLOOKUP($A604,'Recipients REF'!$A:$A,'Recipients REF'!K:K,"",0)</f>
        <v>R-SERIES 022 PH</v>
      </c>
      <c r="V604" s="44" t="s">
        <v>29</v>
      </c>
      <c r="W604" s="45" t="s">
        <v>30</v>
      </c>
      <c r="X604" s="47" t="str">
        <f t="array" ref="X604">XLOOKUP($A604,'Recipients REF'!$A:$A,'Recipients REF'!L:L,"",0)</f>
        <v>WR LSGW 0012</v>
      </c>
      <c r="Y604" s="48" t="s">
        <v>29</v>
      </c>
      <c r="Z604" s="48" t="s">
        <v>31</v>
      </c>
      <c r="AA604" s="46" t="str">
        <f t="array" ref="AA604">XLOOKUP($A604,'Recipients REF'!$A:$A,'Recipients REF'!M:M,"",0)</f>
        <v>WR WDP 0012</v>
      </c>
      <c r="AB604" s="49"/>
      <c r="AC604" s="42"/>
      <c r="AD604" s="42"/>
      <c r="AE604" s="50"/>
      <c r="AF604" s="42"/>
      <c r="AG604" s="42"/>
      <c r="AH604" s="42"/>
      <c r="AI604" s="42" t="str">
        <f t="array" ref="AI604">XLOOKUP($E604,Sheet11!$D:$D,Sheet11!$X:$X,"",0)</f>
        <v/>
      </c>
      <c r="AJ604" s="42" t="str">
        <f t="array" ref="AJ604">XLOOKUP($E604,Sheet11!$D:$D,Sheet11!$Y:$Y,"",0)</f>
        <v/>
      </c>
    </row>
    <row r="605">
      <c r="A605" s="41">
        <v>12.0</v>
      </c>
      <c r="B605" s="42" t="s">
        <v>1193</v>
      </c>
      <c r="C605" s="42" t="s">
        <v>1194</v>
      </c>
      <c r="D605" s="42"/>
      <c r="E605" s="42" t="str">
        <f t="shared" ref="E605:F605" si="606">PROPER(B605)</f>
        <v>Kaingin Tagumpay Farmers And Irrigators Association (Katfaia)</v>
      </c>
      <c r="F605" s="42" t="str">
        <f t="shared" si="606"/>
        <v>Tagumpay, Sablayan, Occidental Mindoro</v>
      </c>
      <c r="G605" s="42" t="str">
        <f t="shared" si="3"/>
        <v>Tagumpay</v>
      </c>
      <c r="H605" s="42" t="str">
        <f t="shared" si="4"/>
        <v>Sablayan</v>
      </c>
      <c r="I605" s="42" t="str">
        <f t="shared" si="5"/>
        <v>Occidental Mindoro</v>
      </c>
      <c r="J605" s="42" t="str">
        <f t="array" ref="J605">XLOOKUP($E605,'Recipients REF'!$B:$B,'Recipients REF'!D:D,"",0)</f>
        <v>Robert Navalta</v>
      </c>
      <c r="K605" s="42" t="str">
        <f t="array" ref="K605">XLOOKUP($E605,'Recipients REF'!$B:$B,'Recipients REF'!E:E,"",0)</f>
        <v>0975 537 0138</v>
      </c>
      <c r="L605" s="43" t="str">
        <f t="array" ref="L605">XLOOKUP($A605,'Recipients REF'!$A:$A,'Recipients REF'!F:F,"",0)</f>
        <v>RCEF 23-08-20 Rebidding</v>
      </c>
      <c r="M605" s="43">
        <f t="array" ref="M605">XLOOKUP($A605,'Recipients REF'!$A:$A,'Recipients REF'!G:G,"",0)</f>
        <v>1</v>
      </c>
      <c r="N605" s="43">
        <f t="array" ref="N605">XLOOKUP($A605,'Recipients REF'!$A:$A,'Recipients REF'!H:H,"",0)</f>
        <v>16778</v>
      </c>
      <c r="O605" s="44" t="s">
        <v>25</v>
      </c>
      <c r="P605" s="45" t="s">
        <v>26</v>
      </c>
      <c r="Q605" s="46" t="str">
        <f t="array" ref="Q605">XLOOKUP($A605,'Recipients REF'!$A:$A,'Recipients REF'!I:I,"",0)</f>
        <v>KMC 5825 AVPFPV0021</v>
      </c>
      <c r="R605" s="47" t="str">
        <f t="array" ref="R605">XLOOKUP($A605,'Recipients REF'!$A:$A,'Recipients REF'!J:J,"",0)</f>
        <v>PTS100025</v>
      </c>
      <c r="S605" s="45" t="s">
        <v>27</v>
      </c>
      <c r="T605" s="45" t="s">
        <v>28</v>
      </c>
      <c r="U605" s="46" t="str">
        <f t="array" ref="U605">XLOOKUP($A605,'Recipients REF'!$A:$A,'Recipients REF'!K:K,"",0)</f>
        <v>R-SERIES016 PH</v>
      </c>
      <c r="V605" s="44" t="s">
        <v>29</v>
      </c>
      <c r="W605" s="45" t="s">
        <v>30</v>
      </c>
      <c r="X605" s="47" t="str">
        <f t="array" ref="X605">XLOOKUP($A605,'Recipients REF'!$A:$A,'Recipients REF'!L:L,"",0)</f>
        <v>WR LSGW 0013</v>
      </c>
      <c r="Y605" s="48" t="s">
        <v>29</v>
      </c>
      <c r="Z605" s="48" t="s">
        <v>31</v>
      </c>
      <c r="AA605" s="46" t="str">
        <f t="array" ref="AA605">XLOOKUP($A605,'Recipients REF'!$A:$A,'Recipients REF'!M:M,"",0)</f>
        <v>WR WDP 0013</v>
      </c>
      <c r="AB605" s="49"/>
      <c r="AC605" s="42"/>
      <c r="AD605" s="42"/>
      <c r="AE605" s="50"/>
      <c r="AF605" s="42"/>
      <c r="AG605" s="42"/>
      <c r="AH605" s="42"/>
      <c r="AI605" s="42">
        <f t="array" ref="AI605">XLOOKUP($E605,Sheet11!$D:$D,Sheet11!$X:$X,"",0)</f>
        <v>869066060242816</v>
      </c>
      <c r="AJ605" s="42">
        <f t="array" ref="AJ605">XLOOKUP($E605,Sheet11!$D:$D,Sheet11!$Y:$Y,"",0)</f>
        <v>9690384471</v>
      </c>
    </row>
    <row r="606">
      <c r="A606" s="41">
        <v>13.0</v>
      </c>
      <c r="B606" s="42" t="s">
        <v>1195</v>
      </c>
      <c r="C606" s="42" t="s">
        <v>1196</v>
      </c>
      <c r="D606" s="42"/>
      <c r="E606" s="42" t="str">
        <f t="shared" ref="E606:F606" si="607">PROPER(B606)</f>
        <v>Sitio Esperanza San Isidro Farmers Association</v>
      </c>
      <c r="F606" s="42" t="str">
        <f t="shared" si="607"/>
        <v>San Isidro, San Jose, Occidental Mindoro</v>
      </c>
      <c r="G606" s="42" t="str">
        <f t="shared" si="3"/>
        <v>San Isidro</v>
      </c>
      <c r="H606" s="42" t="str">
        <f t="shared" si="4"/>
        <v>San Jose</v>
      </c>
      <c r="I606" s="42" t="str">
        <f t="shared" si="5"/>
        <v>Occidental Mindoro</v>
      </c>
      <c r="J606" s="42" t="str">
        <f t="array" ref="J606">XLOOKUP($E606,'Recipients REF'!$B:$B,'Recipients REF'!D:D,"",0)</f>
        <v>Catalina Monterola</v>
      </c>
      <c r="K606" s="42" t="str">
        <f t="array" ref="K606">XLOOKUP($E606,'Recipients REF'!$B:$B,'Recipients REF'!E:E,"",0)</f>
        <v>0929 367 9563</v>
      </c>
      <c r="L606" s="43" t="str">
        <f t="array" ref="L606">XLOOKUP($A606,'Recipients REF'!$A:$A,'Recipients REF'!F:F,"",0)</f>
        <v>RCEF 23-08-20 Rebidding</v>
      </c>
      <c r="M606" s="43">
        <f t="array" ref="M606">XLOOKUP($A606,'Recipients REF'!$A:$A,'Recipients REF'!G:G,"",0)</f>
        <v>1</v>
      </c>
      <c r="N606" s="43">
        <f t="array" ref="N606">XLOOKUP($A606,'Recipients REF'!$A:$A,'Recipients REF'!H:H,"",0)</f>
        <v>16779</v>
      </c>
      <c r="O606" s="44" t="s">
        <v>25</v>
      </c>
      <c r="P606" s="45" t="s">
        <v>26</v>
      </c>
      <c r="Q606" s="46" t="str">
        <f t="array" ref="Q606">XLOOKUP($A606,'Recipients REF'!$A:$A,'Recipients REF'!I:I,"",0)</f>
        <v>KMC 5825 ALPFPV0023</v>
      </c>
      <c r="R606" s="47" t="str">
        <f t="array" ref="R606">XLOOKUP($A606,'Recipients REF'!$A:$A,'Recipients REF'!J:J,"",0)</f>
        <v>PTS100010</v>
      </c>
      <c r="S606" s="45" t="s">
        <v>27</v>
      </c>
      <c r="T606" s="45" t="s">
        <v>28</v>
      </c>
      <c r="U606" s="46" t="str">
        <f t="array" ref="U606">XLOOKUP($A606,'Recipients REF'!$A:$A,'Recipients REF'!K:K,"",0)</f>
        <v>R-SERIES 013 PH</v>
      </c>
      <c r="V606" s="44" t="s">
        <v>29</v>
      </c>
      <c r="W606" s="45" t="s">
        <v>30</v>
      </c>
      <c r="X606" s="47" t="str">
        <f t="array" ref="X606">XLOOKUP($A606,'Recipients REF'!$A:$A,'Recipients REF'!L:L,"",0)</f>
        <v>WR LSGW 0014</v>
      </c>
      <c r="Y606" s="48" t="s">
        <v>29</v>
      </c>
      <c r="Z606" s="48" t="s">
        <v>31</v>
      </c>
      <c r="AA606" s="46" t="str">
        <f t="array" ref="AA606">XLOOKUP($A606,'Recipients REF'!$A:$A,'Recipients REF'!M:M,"",0)</f>
        <v>WR WDP 0014</v>
      </c>
      <c r="AB606" s="49"/>
      <c r="AC606" s="42"/>
      <c r="AD606" s="42"/>
      <c r="AE606" s="50"/>
      <c r="AF606" s="42"/>
      <c r="AG606" s="42"/>
      <c r="AH606" s="42"/>
      <c r="AI606" s="42">
        <f t="array" ref="AI606">XLOOKUP($E606,Sheet11!$D:$D,Sheet11!$X:$X,"",0)</f>
        <v>869066060244994</v>
      </c>
      <c r="AJ606" s="42">
        <f t="array" ref="AJ606">XLOOKUP($E606,Sheet11!$D:$D,Sheet11!$Y:$Y,"",0)</f>
        <v>9690147148</v>
      </c>
    </row>
    <row r="607">
      <c r="A607" s="41">
        <v>14.0</v>
      </c>
      <c r="B607" s="42" t="s">
        <v>1197</v>
      </c>
      <c r="C607" s="42" t="s">
        <v>1198</v>
      </c>
      <c r="D607" s="42"/>
      <c r="E607" s="42" t="str">
        <f t="shared" ref="E607:F607" si="608">PROPER(B607)</f>
        <v>Camandang Irrigators Association</v>
      </c>
      <c r="F607" s="42" t="str">
        <f t="shared" si="608"/>
        <v>Monteclaro, San Jose, Occidental Mindoro</v>
      </c>
      <c r="G607" s="42" t="str">
        <f t="shared" si="3"/>
        <v>Monteclaro</v>
      </c>
      <c r="H607" s="42" t="str">
        <f t="shared" si="4"/>
        <v>San Jose</v>
      </c>
      <c r="I607" s="42" t="str">
        <f t="shared" si="5"/>
        <v>Occidental Mindoro</v>
      </c>
      <c r="J607" s="42" t="str">
        <f t="array" ref="J607">XLOOKUP($E607,'Recipients REF'!$B:$B,'Recipients REF'!D:D,"",0)</f>
        <v>Eduardo Toquero Jr.</v>
      </c>
      <c r="K607" s="42" t="str">
        <f t="array" ref="K607">XLOOKUP($E607,'Recipients REF'!$B:$B,'Recipients REF'!E:E,"",0)</f>
        <v>0965 897 7577</v>
      </c>
      <c r="L607" s="43" t="str">
        <f t="array" ref="L607">XLOOKUP($A607,'Recipients REF'!$A:$A,'Recipients REF'!F:F,"",0)</f>
        <v>RCEF 23-08-20 Rebidding</v>
      </c>
      <c r="M607" s="43">
        <f t="array" ref="M607">XLOOKUP($A607,'Recipients REF'!$A:$A,'Recipients REF'!G:G,"",0)</f>
        <v>1</v>
      </c>
      <c r="N607" s="43">
        <f t="array" ref="N607">XLOOKUP($A607,'Recipients REF'!$A:$A,'Recipients REF'!H:H,"",0)</f>
        <v>16780</v>
      </c>
      <c r="O607" s="44" t="s">
        <v>25</v>
      </c>
      <c r="P607" s="45" t="s">
        <v>26</v>
      </c>
      <c r="Q607" s="46" t="str">
        <f t="array" ref="Q607">XLOOKUP($A607,'Recipients REF'!$A:$A,'Recipients REF'!I:I,"",0)</f>
        <v>KMC 5825 ATPFPV0030</v>
      </c>
      <c r="R607" s="47" t="str">
        <f t="array" ref="R607">XLOOKUP($A607,'Recipients REF'!$A:$A,'Recipients REF'!J:J,"",0)</f>
        <v>PTS100014</v>
      </c>
      <c r="S607" s="45" t="s">
        <v>27</v>
      </c>
      <c r="T607" s="45" t="s">
        <v>28</v>
      </c>
      <c r="U607" s="46" t="str">
        <f t="array" ref="U607">XLOOKUP($A607,'Recipients REF'!$A:$A,'Recipients REF'!K:K,"",0)</f>
        <v>R-SERIES 024 PH</v>
      </c>
      <c r="V607" s="44" t="s">
        <v>29</v>
      </c>
      <c r="W607" s="45" t="s">
        <v>30</v>
      </c>
      <c r="X607" s="47" t="str">
        <f t="array" ref="X607">XLOOKUP($A607,'Recipients REF'!$A:$A,'Recipients REF'!L:L,"",0)</f>
        <v>WR LSGW 0015</v>
      </c>
      <c r="Y607" s="48" t="s">
        <v>29</v>
      </c>
      <c r="Z607" s="48" t="s">
        <v>31</v>
      </c>
      <c r="AA607" s="46" t="str">
        <f t="array" ref="AA607">XLOOKUP($A607,'Recipients REF'!$A:$A,'Recipients REF'!M:M,"",0)</f>
        <v>WR WDP 0015</v>
      </c>
      <c r="AB607" s="49"/>
      <c r="AC607" s="42"/>
      <c r="AD607" s="42"/>
      <c r="AE607" s="50"/>
      <c r="AF607" s="42"/>
      <c r="AG607" s="42"/>
      <c r="AH607" s="42"/>
      <c r="AI607" s="42">
        <f t="array" ref="AI607">XLOOKUP($E607,Sheet11!$D:$D,Sheet11!$X:$X,"",0)</f>
        <v>869066060244598</v>
      </c>
      <c r="AJ607" s="42">
        <f t="array" ref="AJ607">XLOOKUP($E607,Sheet11!$D:$D,Sheet11!$Y:$Y,"",0)</f>
        <v>9690123176</v>
      </c>
    </row>
    <row r="608">
      <c r="A608" s="41">
        <v>15.0</v>
      </c>
      <c r="B608" s="42" t="s">
        <v>1199</v>
      </c>
      <c r="C608" s="42" t="s">
        <v>1200</v>
      </c>
      <c r="D608" s="42"/>
      <c r="E608" s="42" t="str">
        <f t="shared" ref="E608:F608" si="609">PROPER(B608)</f>
        <v>Samahan Ng Magsasaka Sa Palanghiran</v>
      </c>
      <c r="F608" s="42" t="str">
        <f t="shared" si="609"/>
        <v>Mapaya, San Jose, Occidental Mindoro</v>
      </c>
      <c r="G608" s="42" t="str">
        <f t="shared" si="3"/>
        <v>Mapaya</v>
      </c>
      <c r="H608" s="42" t="str">
        <f t="shared" si="4"/>
        <v>San Jose</v>
      </c>
      <c r="I608" s="42" t="str">
        <f t="shared" si="5"/>
        <v>Occidental Mindoro</v>
      </c>
      <c r="J608" s="42" t="str">
        <f t="array" ref="J608">XLOOKUP($E608,'Recipients REF'!$B:$B,'Recipients REF'!D:D,"",0)</f>
        <v>Ricardo E. Dela Cruz</v>
      </c>
      <c r="K608" s="42" t="str">
        <f t="array" ref="K608">XLOOKUP($E608,'Recipients REF'!$B:$B,'Recipients REF'!E:E,"",0)</f>
        <v>0912 631 8700</v>
      </c>
      <c r="L608" s="43" t="str">
        <f t="array" ref="L608">XLOOKUP($A608,'Recipients REF'!$A:$A,'Recipients REF'!F:F,"",0)</f>
        <v>RCEF 23-08-20 Rebidding</v>
      </c>
      <c r="M608" s="43">
        <f t="array" ref="M608">XLOOKUP($A608,'Recipients REF'!$A:$A,'Recipients REF'!G:G,"",0)</f>
        <v>1</v>
      </c>
      <c r="N608" s="43">
        <f t="array" ref="N608">XLOOKUP($A608,'Recipients REF'!$A:$A,'Recipients REF'!H:H,"",0)</f>
        <v>16781</v>
      </c>
      <c r="O608" s="44" t="s">
        <v>25</v>
      </c>
      <c r="P608" s="45" t="s">
        <v>26</v>
      </c>
      <c r="Q608" s="46" t="str">
        <f t="array" ref="Q608">XLOOKUP($A608,'Recipients REF'!$A:$A,'Recipients REF'!I:I,"",0)</f>
        <v>KMC 5825 AKPFPV0032</v>
      </c>
      <c r="R608" s="47" t="str">
        <f t="array" ref="R608">XLOOKUP($A608,'Recipients REF'!$A:$A,'Recipients REF'!J:J,"",0)</f>
        <v>PTS100039</v>
      </c>
      <c r="S608" s="45" t="s">
        <v>27</v>
      </c>
      <c r="T608" s="45" t="s">
        <v>28</v>
      </c>
      <c r="U608" s="46" t="str">
        <f t="array" ref="U608">XLOOKUP($A608,'Recipients REF'!$A:$A,'Recipients REF'!K:K,"",0)</f>
        <v>R-SERIES 007 PH</v>
      </c>
      <c r="V608" s="44" t="s">
        <v>29</v>
      </c>
      <c r="W608" s="45" t="s">
        <v>30</v>
      </c>
      <c r="X608" s="47" t="str">
        <f t="array" ref="X608">XLOOKUP($A608,'Recipients REF'!$A:$A,'Recipients REF'!L:L,"",0)</f>
        <v>WR LSGW 0016</v>
      </c>
      <c r="Y608" s="48" t="s">
        <v>29</v>
      </c>
      <c r="Z608" s="48" t="s">
        <v>31</v>
      </c>
      <c r="AA608" s="46" t="str">
        <f t="array" ref="AA608">XLOOKUP($A608,'Recipients REF'!$A:$A,'Recipients REF'!M:M,"",0)</f>
        <v>WR WDP 0016</v>
      </c>
      <c r="AB608" s="49"/>
      <c r="AC608" s="42"/>
      <c r="AD608" s="42"/>
      <c r="AE608" s="50"/>
      <c r="AF608" s="42"/>
      <c r="AG608" s="42"/>
      <c r="AH608" s="42"/>
      <c r="AI608" s="42">
        <f t="array" ref="AI608">XLOOKUP($E608,Sheet11!$D:$D,Sheet11!$X:$X,"",0)</f>
        <v>869066060242766</v>
      </c>
      <c r="AJ608" s="42">
        <f t="array" ref="AJ608">XLOOKUP($E608,Sheet11!$D:$D,Sheet11!$Y:$Y,"",0)</f>
        <v>9690123172</v>
      </c>
    </row>
    <row r="609">
      <c r="A609" s="41">
        <v>16.0</v>
      </c>
      <c r="B609" s="42" t="s">
        <v>1201</v>
      </c>
      <c r="C609" s="42" t="s">
        <v>1202</v>
      </c>
      <c r="D609" s="42"/>
      <c r="E609" s="42" t="str">
        <f t="shared" ref="E609:F609" si="610">PROPER(B609)</f>
        <v>Nagkakaisang Lakas Multi-Purpose Cooperative</v>
      </c>
      <c r="F609" s="42" t="str">
        <f t="shared" si="610"/>
        <v>Labangan Poblacion, San Jose, Occidental Mindoro</v>
      </c>
      <c r="G609" s="42" t="str">
        <f t="shared" si="3"/>
        <v>Labangan Poblacion</v>
      </c>
      <c r="H609" s="42" t="str">
        <f t="shared" si="4"/>
        <v>San Jose</v>
      </c>
      <c r="I609" s="42" t="str">
        <f t="shared" si="5"/>
        <v>Occidental Mindoro</v>
      </c>
      <c r="J609" s="42" t="str">
        <f t="array" ref="J609">XLOOKUP($E609,'Recipients REF'!$B:$B,'Recipients REF'!D:D,"",0)</f>
        <v>Josephine Mallari</v>
      </c>
      <c r="K609" s="42" t="str">
        <f t="array" ref="K609">XLOOKUP($E609,'Recipients REF'!$B:$B,'Recipients REF'!E:E,"",0)</f>
        <v>(0917) 839 4280</v>
      </c>
      <c r="L609" s="43" t="str">
        <f t="array" ref="L609">XLOOKUP($A609,'Recipients REF'!$A:$A,'Recipients REF'!F:F,"",0)</f>
        <v>RCEF 23-08-20 Rebidding</v>
      </c>
      <c r="M609" s="43">
        <f t="array" ref="M609">XLOOKUP($A609,'Recipients REF'!$A:$A,'Recipients REF'!G:G,"",0)</f>
        <v>1</v>
      </c>
      <c r="N609" s="43">
        <f t="array" ref="N609">XLOOKUP($A609,'Recipients REF'!$A:$A,'Recipients REF'!H:H,"",0)</f>
        <v>16782</v>
      </c>
      <c r="O609" s="44" t="s">
        <v>25</v>
      </c>
      <c r="P609" s="45" t="s">
        <v>26</v>
      </c>
      <c r="Q609" s="46" t="str">
        <f t="array" ref="Q609">XLOOKUP($A609,'Recipients REF'!$A:$A,'Recipients REF'!I:I,"",0)</f>
        <v>KMC 5825 AKPFPV0029</v>
      </c>
      <c r="R609" s="47" t="str">
        <f t="array" ref="R609">XLOOKUP($A609,'Recipients REF'!$A:$A,'Recipients REF'!J:J,"",0)</f>
        <v>PTS100022</v>
      </c>
      <c r="S609" s="45" t="s">
        <v>27</v>
      </c>
      <c r="T609" s="45" t="s">
        <v>28</v>
      </c>
      <c r="U609" s="46" t="str">
        <f t="array" ref="U609">XLOOKUP($A609,'Recipients REF'!$A:$A,'Recipients REF'!K:K,"",0)</f>
        <v>R-SERIES 025 PH</v>
      </c>
      <c r="V609" s="44" t="s">
        <v>29</v>
      </c>
      <c r="W609" s="45" t="s">
        <v>30</v>
      </c>
      <c r="X609" s="47" t="str">
        <f t="array" ref="X609">XLOOKUP($A609,'Recipients REF'!$A:$A,'Recipients REF'!L:L,"",0)</f>
        <v>WR LSGW 0017</v>
      </c>
      <c r="Y609" s="48" t="s">
        <v>29</v>
      </c>
      <c r="Z609" s="48" t="s">
        <v>31</v>
      </c>
      <c r="AA609" s="46" t="str">
        <f t="array" ref="AA609">XLOOKUP($A609,'Recipients REF'!$A:$A,'Recipients REF'!M:M,"",0)</f>
        <v>WR WDP 0017</v>
      </c>
      <c r="AB609" s="49"/>
      <c r="AC609" s="42"/>
      <c r="AD609" s="42"/>
      <c r="AE609" s="50"/>
      <c r="AF609" s="42"/>
      <c r="AG609" s="42"/>
      <c r="AH609" s="42"/>
      <c r="AI609" s="42">
        <f t="array" ref="AI609">XLOOKUP($E609,Sheet11!$D:$D,Sheet11!$X:$X,"",0)</f>
        <v>869066060244903</v>
      </c>
      <c r="AJ609" s="42">
        <f t="array" ref="AJ609">XLOOKUP($E609,Sheet11!$D:$D,Sheet11!$Y:$Y,"",0)</f>
        <v>9690147139</v>
      </c>
    </row>
    <row r="610">
      <c r="A610" s="41">
        <v>17.0</v>
      </c>
      <c r="B610" s="42" t="s">
        <v>1203</v>
      </c>
      <c r="C610" s="42" t="s">
        <v>1204</v>
      </c>
      <c r="D610" s="42"/>
      <c r="E610" s="42" t="str">
        <f t="shared" ref="E610:F610" si="611">PROPER(B610)</f>
        <v>Gintong Butil Farmers Association</v>
      </c>
      <c r="F610" s="42" t="str">
        <f t="shared" si="611"/>
        <v>Pinagturihan, Santa Cruz, Occidental Mindoro</v>
      </c>
      <c r="G610" s="42" t="str">
        <f t="shared" si="3"/>
        <v>Pinagturihan</v>
      </c>
      <c r="H610" s="42" t="str">
        <f t="shared" si="4"/>
        <v>Santa Cruz</v>
      </c>
      <c r="I610" s="42" t="str">
        <f t="shared" si="5"/>
        <v>Occidental Mindoro</v>
      </c>
      <c r="J610" s="42" t="str">
        <f t="array" ref="J610">XLOOKUP($E610,'Recipients REF'!$B:$B,'Recipients REF'!D:D,"",0)</f>
        <v>Rodolfo Patal, Jr.</v>
      </c>
      <c r="K610" s="42" t="str">
        <f t="array" ref="K610">XLOOKUP($E610,'Recipients REF'!$B:$B,'Recipients REF'!E:E,"",0)</f>
        <v>0935-879-0354</v>
      </c>
      <c r="L610" s="43" t="str">
        <f t="array" ref="L610">XLOOKUP($A610,'Recipients REF'!$A:$A,'Recipients REF'!F:F,"",0)</f>
        <v>RCEF 23-08-20 Rebidding</v>
      </c>
      <c r="M610" s="43">
        <f t="array" ref="M610">XLOOKUP($A610,'Recipients REF'!$A:$A,'Recipients REF'!G:G,"",0)</f>
        <v>1</v>
      </c>
      <c r="N610" s="43">
        <f t="array" ref="N610">XLOOKUP($A610,'Recipients REF'!$A:$A,'Recipients REF'!H:H,"",0)</f>
        <v>16783</v>
      </c>
      <c r="O610" s="44" t="s">
        <v>25</v>
      </c>
      <c r="P610" s="45" t="s">
        <v>26</v>
      </c>
      <c r="Q610" s="46" t="str">
        <f t="array" ref="Q610">XLOOKUP($A610,'Recipients REF'!$A:$A,'Recipients REF'!I:I,"",0)</f>
        <v>KMC 5825 AEPFPV0019</v>
      </c>
      <c r="R610" s="47" t="str">
        <f t="array" ref="R610">XLOOKUP($A610,'Recipients REF'!$A:$A,'Recipients REF'!J:J,"",0)</f>
        <v>PTS100040</v>
      </c>
      <c r="S610" s="45" t="s">
        <v>27</v>
      </c>
      <c r="T610" s="45" t="s">
        <v>28</v>
      </c>
      <c r="U610" s="46" t="str">
        <f t="array" ref="U610">XLOOKUP($A610,'Recipients REF'!$A:$A,'Recipients REF'!K:K,"",0)</f>
        <v>R-SERIES 011 PH</v>
      </c>
      <c r="V610" s="44" t="s">
        <v>29</v>
      </c>
      <c r="W610" s="45" t="s">
        <v>30</v>
      </c>
      <c r="X610" s="47" t="str">
        <f t="array" ref="X610">XLOOKUP($A610,'Recipients REF'!$A:$A,'Recipients REF'!L:L,"",0)</f>
        <v>WR LSGW 0018</v>
      </c>
      <c r="Y610" s="48" t="s">
        <v>29</v>
      </c>
      <c r="Z610" s="48" t="s">
        <v>31</v>
      </c>
      <c r="AA610" s="46" t="str">
        <f t="array" ref="AA610">XLOOKUP($A610,'Recipients REF'!$A:$A,'Recipients REF'!M:M,"",0)</f>
        <v>WR WDP 0018</v>
      </c>
      <c r="AB610" s="49"/>
      <c r="AC610" s="42"/>
      <c r="AD610" s="42"/>
      <c r="AE610" s="50"/>
      <c r="AF610" s="42"/>
      <c r="AG610" s="42"/>
      <c r="AH610" s="42"/>
      <c r="AI610" s="42">
        <f t="array" ref="AI610">XLOOKUP($E610,Sheet11!$D:$D,Sheet11!$X:$X,"",0)</f>
        <v>869066060236958</v>
      </c>
      <c r="AJ610" s="42">
        <f t="array" ref="AJ610">XLOOKUP($E610,Sheet11!$D:$D,Sheet11!$Y:$Y,"",0)</f>
        <v>9690163512</v>
      </c>
    </row>
    <row r="611">
      <c r="A611" s="41">
        <v>18.0</v>
      </c>
      <c r="B611" s="42" t="s">
        <v>1205</v>
      </c>
      <c r="C611" s="42" t="s">
        <v>1206</v>
      </c>
      <c r="D611" s="42"/>
      <c r="E611" s="42" t="str">
        <f t="shared" ref="E611:F611" si="612">PROPER(B611)</f>
        <v>Municipal Local Government Unit Of Rizal</v>
      </c>
      <c r="F611" s="42" t="str">
        <f t="shared" si="612"/>
        <v>Rumbang, Rizal, Occidental Mindoro</v>
      </c>
      <c r="G611" s="42" t="str">
        <f t="shared" si="3"/>
        <v>Rumbang</v>
      </c>
      <c r="H611" s="42" t="str">
        <f t="shared" si="4"/>
        <v>Rizal</v>
      </c>
      <c r="I611" s="42" t="str">
        <f t="shared" si="5"/>
        <v>Occidental Mindoro</v>
      </c>
      <c r="J611" s="42" t="str">
        <f t="array" ref="J611">XLOOKUP($E611,'Recipients REF'!$B:$B,'Recipients REF'!D:D,"",0)</f>
        <v>#N/A</v>
      </c>
      <c r="K611" s="42" t="str">
        <f t="array" ref="K611">XLOOKUP($E611,'Recipients REF'!$B:$B,'Recipients REF'!E:E,"",0)</f>
        <v>#N/A</v>
      </c>
      <c r="L611" s="43" t="str">
        <f t="array" ref="L611">XLOOKUP($A611,'Recipients REF'!$A:$A,'Recipients REF'!F:F,"",0)</f>
        <v>RCEF 23-08-20 Rebidding</v>
      </c>
      <c r="M611" s="43">
        <f t="array" ref="M611">XLOOKUP($A611,'Recipients REF'!$A:$A,'Recipients REF'!G:G,"",0)</f>
        <v>1</v>
      </c>
      <c r="N611" s="43">
        <f t="array" ref="N611">XLOOKUP($A611,'Recipients REF'!$A:$A,'Recipients REF'!H:H,"",0)</f>
        <v>16786</v>
      </c>
      <c r="O611" s="44" t="s">
        <v>25</v>
      </c>
      <c r="P611" s="45" t="s">
        <v>26</v>
      </c>
      <c r="Q611" s="46" t="str">
        <f t="array" ref="Q611">XLOOKUP($A611,'Recipients REF'!$A:$A,'Recipients REF'!I:I,"",0)</f>
        <v>KMC 5825 AJPFPV0002</v>
      </c>
      <c r="R611" s="47" t="str">
        <f t="array" ref="R611">XLOOKUP($A611,'Recipients REF'!$A:$A,'Recipients REF'!J:J,"",0)</f>
        <v>PTS100018</v>
      </c>
      <c r="S611" s="45" t="s">
        <v>27</v>
      </c>
      <c r="T611" s="45" t="s">
        <v>28</v>
      </c>
      <c r="U611" s="46" t="str">
        <f t="array" ref="U611">XLOOKUP($A611,'Recipients REF'!$A:$A,'Recipients REF'!K:K,"",0)</f>
        <v>R-SERIES 003 PH</v>
      </c>
      <c r="V611" s="44" t="s">
        <v>29</v>
      </c>
      <c r="W611" s="45" t="s">
        <v>30</v>
      </c>
      <c r="X611" s="47" t="str">
        <f t="array" ref="X611">XLOOKUP($A611,'Recipients REF'!$A:$A,'Recipients REF'!L:L,"",0)</f>
        <v>WR LSGW 0008</v>
      </c>
      <c r="Y611" s="48" t="s">
        <v>29</v>
      </c>
      <c r="Z611" s="48" t="s">
        <v>31</v>
      </c>
      <c r="AA611" s="46" t="str">
        <f t="array" ref="AA611">XLOOKUP($A611,'Recipients REF'!$A:$A,'Recipients REF'!M:M,"",0)</f>
        <v>WR WDP 0008</v>
      </c>
      <c r="AB611" s="49"/>
      <c r="AC611" s="42"/>
      <c r="AD611" s="42"/>
      <c r="AE611" s="51"/>
      <c r="AF611" s="52"/>
      <c r="AG611" s="42"/>
      <c r="AH611" s="42"/>
      <c r="AI611" s="42">
        <f t="array" ref="AI611">XLOOKUP($E611,Sheet11!$D:$D,Sheet11!$X:$X,"",0)</f>
        <v>869066060239739</v>
      </c>
      <c r="AJ611" s="42">
        <f t="array" ref="AJ611">XLOOKUP($E611,Sheet11!$D:$D,Sheet11!$Y:$Y,"",0)</f>
        <v>9690318840</v>
      </c>
    </row>
    <row r="612">
      <c r="A612" s="41">
        <v>86.0</v>
      </c>
      <c r="B612" s="42" t="s">
        <v>1207</v>
      </c>
      <c r="C612" s="42" t="s">
        <v>1208</v>
      </c>
      <c r="D612" s="42"/>
      <c r="E612" s="42" t="str">
        <f t="shared" ref="E612:F612" si="613">PROPER(B612)</f>
        <v>Municipal Local Government Unit Of Looc</v>
      </c>
      <c r="F612" s="42" t="str">
        <f t="shared" si="613"/>
        <v>Poblacion Guitna, Looc, Occidental Mindoro</v>
      </c>
      <c r="G612" s="42" t="str">
        <f t="shared" si="3"/>
        <v>Poblacion Guitna</v>
      </c>
      <c r="H612" s="42" t="str">
        <f t="shared" si="4"/>
        <v>Looc</v>
      </c>
      <c r="I612" s="42" t="str">
        <f t="shared" si="5"/>
        <v>Occidental Mindoro</v>
      </c>
      <c r="J612" s="42" t="str">
        <f t="array" ref="J612">XLOOKUP($E612,'Recipients REF'!$B:$B,'Recipients REF'!D:D,"",0)</f>
        <v>Hon. Marlon Dela Torre</v>
      </c>
      <c r="K612" s="42" t="str">
        <f t="array" ref="K612">XLOOKUP($E612,'Recipients REF'!$B:$B,'Recipients REF'!E:E,"",0)</f>
        <v>0999 758 7240</v>
      </c>
      <c r="L612" s="43" t="str">
        <f t="array" ref="L612">XLOOKUP($A612,'Recipients REF'!$A:$A,'Recipients REF'!F:F,"",0)</f>
        <v>RCEF 23-08-20 Rebidding</v>
      </c>
      <c r="M612" s="43">
        <f t="array" ref="M612">XLOOKUP($A612,'Recipients REF'!$A:$A,'Recipients REF'!G:G,"",0)</f>
        <v>1</v>
      </c>
      <c r="N612" s="43">
        <f t="array" ref="N612">XLOOKUP($A612,'Recipients REF'!$A:$A,'Recipients REF'!H:H,"",0)</f>
        <v>18891</v>
      </c>
      <c r="O612" s="44" t="s">
        <v>25</v>
      </c>
      <c r="P612" s="45" t="s">
        <v>26</v>
      </c>
      <c r="Q612" s="46" t="str">
        <f t="array" ref="Q612">XLOOKUP($A612,'Recipients REF'!$A:$A,'Recipients REF'!I:I,"",0)</f>
        <v>KMC5825AVRFPV0345</v>
      </c>
      <c r="R612" s="47" t="str">
        <f t="array" ref="R612">XLOOKUP($A612,'Recipients REF'!$A:$A,'Recipients REF'!J:J,"",0)</f>
        <v>RTS100238</v>
      </c>
      <c r="S612" s="45" t="s">
        <v>27</v>
      </c>
      <c r="T612" s="45" t="s">
        <v>28</v>
      </c>
      <c r="U612" s="46" t="str">
        <f t="array" ref="U612">XLOOKUP($A612,'Recipients REF'!$A:$A,'Recipients REF'!K:K,"",0)</f>
        <v>R-SERIES-022PH</v>
      </c>
      <c r="V612" s="44" t="s">
        <v>29</v>
      </c>
      <c r="W612" s="45" t="s">
        <v>30</v>
      </c>
      <c r="X612" s="47" t="str">
        <f t="array" ref="X612">XLOOKUP($A612,'Recipients REF'!$A:$A,'Recipients REF'!L:L,"",0)</f>
        <v>LSGW 1750 RMP 24020431</v>
      </c>
      <c r="Y612" s="48" t="s">
        <v>29</v>
      </c>
      <c r="Z612" s="48" t="s">
        <v>31</v>
      </c>
      <c r="AA612" s="46" t="str">
        <f t="array" ref="AA612">XLOOKUP($A612,'Recipients REF'!$A:$A,'Recipients REF'!M:M,"",0)</f>
        <v>WDP40 RMP 24020222</v>
      </c>
      <c r="AB612" s="49"/>
      <c r="AC612" s="42"/>
      <c r="AD612" s="42"/>
      <c r="AE612" s="50"/>
      <c r="AF612" s="42"/>
      <c r="AG612" s="42"/>
      <c r="AH612" s="42"/>
      <c r="AI612" s="42" t="str">
        <f t="array" ref="AI612">XLOOKUP($E612,Sheet11!$D:$D,Sheet11!$X:$X,"",0)</f>
        <v/>
      </c>
      <c r="AJ612" s="42" t="str">
        <f t="array" ref="AJ612">XLOOKUP($E612,Sheet11!$D:$D,Sheet11!$Y:$Y,"",0)</f>
        <v/>
      </c>
    </row>
    <row r="613">
      <c r="A613" s="41">
        <v>87.0</v>
      </c>
      <c r="B613" s="42" t="s">
        <v>1209</v>
      </c>
      <c r="C613" s="42" t="s">
        <v>1210</v>
      </c>
      <c r="D613" s="42"/>
      <c r="E613" s="42" t="str">
        <f t="shared" ref="E613:F613" si="614">PROPER(B613)</f>
        <v>Brgy. Vigo-Dangay Farmers Irrigators Association Inc.</v>
      </c>
      <c r="F613" s="42" t="str">
        <f t="shared" si="614"/>
        <v>Vigo, Lubang, Occidental Mindoro</v>
      </c>
      <c r="G613" s="42" t="str">
        <f t="shared" si="3"/>
        <v>Vigo</v>
      </c>
      <c r="H613" s="42" t="str">
        <f t="shared" si="4"/>
        <v>Lubang</v>
      </c>
      <c r="I613" s="42" t="str">
        <f t="shared" si="5"/>
        <v>Occidental Mindoro</v>
      </c>
      <c r="J613" s="42" t="str">
        <f t="array" ref="J613">XLOOKUP($E613,'Recipients REF'!$B:$B,'Recipients REF'!D:D,"",0)</f>
        <v>Abelardo P. De Lemos, Jr.</v>
      </c>
      <c r="K613" s="42" t="str">
        <f t="array" ref="K613">XLOOKUP($E613,'Recipients REF'!$B:$B,'Recipients REF'!E:E,"",0)</f>
        <v>0999 423 2211</v>
      </c>
      <c r="L613" s="43" t="str">
        <f t="array" ref="L613">XLOOKUP($A613,'Recipients REF'!$A:$A,'Recipients REF'!F:F,"",0)</f>
        <v>RCEF 23-08-20 Rebidding</v>
      </c>
      <c r="M613" s="43">
        <f t="array" ref="M613">XLOOKUP($A613,'Recipients REF'!$A:$A,'Recipients REF'!G:G,"",0)</f>
        <v>1</v>
      </c>
      <c r="N613" s="43">
        <f t="array" ref="N613">XLOOKUP($A613,'Recipients REF'!$A:$A,'Recipients REF'!H:H,"",0)</f>
        <v>18892</v>
      </c>
      <c r="O613" s="44" t="s">
        <v>25</v>
      </c>
      <c r="P613" s="45" t="s">
        <v>26</v>
      </c>
      <c r="Q613" s="46" t="str">
        <f t="array" ref="Q613">XLOOKUP($A613,'Recipients REF'!$A:$A,'Recipients REF'!I:I,"",0)</f>
        <v>KMC5825AJRFPV0438</v>
      </c>
      <c r="R613" s="47" t="str">
        <f t="array" ref="R613">XLOOKUP($A613,'Recipients REF'!$A:$A,'Recipients REF'!J:J,"",0)</f>
        <v>RTS100221</v>
      </c>
      <c r="S613" s="45" t="s">
        <v>27</v>
      </c>
      <c r="T613" s="45" t="s">
        <v>28</v>
      </c>
      <c r="U613" s="46" t="str">
        <f t="array" ref="U613">XLOOKUP($A613,'Recipients REF'!$A:$A,'Recipients REF'!K:K,"",0)</f>
        <v>R SERIES 133PH</v>
      </c>
      <c r="V613" s="44" t="s">
        <v>29</v>
      </c>
      <c r="W613" s="45" t="s">
        <v>30</v>
      </c>
      <c r="X613" s="47" t="str">
        <f t="array" ref="X613">XLOOKUP($A613,'Recipients REF'!$A:$A,'Recipients REF'!L:L,"",0)</f>
        <v>LSGW 1750 RMP 24020411</v>
      </c>
      <c r="Y613" s="48" t="s">
        <v>29</v>
      </c>
      <c r="Z613" s="48" t="s">
        <v>31</v>
      </c>
      <c r="AA613" s="46" t="str">
        <f t="array" ref="AA613">XLOOKUP($A613,'Recipients REF'!$A:$A,'Recipients REF'!M:M,"",0)</f>
        <v>WDP40 RMP 24020223</v>
      </c>
      <c r="AB613" s="49"/>
      <c r="AC613" s="42"/>
      <c r="AD613" s="42"/>
      <c r="AE613" s="50"/>
      <c r="AF613" s="42"/>
      <c r="AG613" s="42"/>
      <c r="AH613" s="42"/>
      <c r="AI613" s="42" t="str">
        <f t="array" ref="AI613">XLOOKUP($E613,Sheet11!$D:$D,Sheet11!$X:$X,"",0)</f>
        <v/>
      </c>
      <c r="AJ613" s="42" t="str">
        <f t="array" ref="AJ613">XLOOKUP($E613,Sheet11!$D:$D,Sheet11!$Y:$Y,"",0)</f>
        <v/>
      </c>
    </row>
    <row r="614">
      <c r="A614" s="41">
        <v>523.0</v>
      </c>
      <c r="B614" s="42" t="s">
        <v>1211</v>
      </c>
      <c r="C614" s="42" t="s">
        <v>1212</v>
      </c>
      <c r="D614" s="42"/>
      <c r="E614" s="42" t="str">
        <f t="shared" ref="E614:F614" si="615">PROPER(B614)</f>
        <v>Tuay Abra De Ilog Irrigators Association, Inc.</v>
      </c>
      <c r="F614" s="42" t="str">
        <f t="shared" si="615"/>
        <v>San Vicente, Abra De Ilog, Occidental Mindoro</v>
      </c>
      <c r="G614" s="42" t="str">
        <f t="shared" si="3"/>
        <v>San Vicente</v>
      </c>
      <c r="H614" s="42" t="str">
        <f t="shared" si="4"/>
        <v>Abra De Ilog</v>
      </c>
      <c r="I614" s="42" t="str">
        <f t="shared" si="5"/>
        <v>Occidental Mindoro</v>
      </c>
      <c r="J614" s="42" t="str">
        <f t="array" ref="J614">XLOOKUP($E614,'Recipients REF'!$B:$B,'Recipients REF'!D:D,"",0)</f>
        <v>FELIX HERNANDEZ</v>
      </c>
      <c r="K614" s="42" t="str">
        <f t="array" ref="K614">XLOOKUP($E614,'Recipients REF'!$B:$B,'Recipients REF'!E:E,"",0)</f>
        <v>0918 937 3725</v>
      </c>
      <c r="L614" s="43" t="str">
        <f t="array" ref="L614">XLOOKUP($A614,'Recipients REF'!$A:$A,'Recipients REF'!F:F,"",0)</f>
        <v>RCEF 24-04-15</v>
      </c>
      <c r="M614" s="43">
        <f t="array" ref="M614">XLOOKUP($A614,'Recipients REF'!$A:$A,'Recipients REF'!G:G,"",0)</f>
        <v>7</v>
      </c>
      <c r="N614" s="43">
        <f t="array" ref="N614">XLOOKUP($A614,'Recipients REF'!$A:$A,'Recipients REF'!H:H,"",0)</f>
        <v>19997</v>
      </c>
      <c r="O614" s="44" t="s">
        <v>25</v>
      </c>
      <c r="P614" s="45" t="s">
        <v>26</v>
      </c>
      <c r="Q614" s="46" t="str">
        <f t="array" ref="Q614">XLOOKUP($A614,'Recipients REF'!$A:$A,'Recipients REF'!I:I,"",0)</f>
        <v>KMC5825AERFPV0853</v>
      </c>
      <c r="R614" s="47" t="str">
        <f t="array" ref="R614">XLOOKUP($A614,'Recipients REF'!$A:$A,'Recipients REF'!J:J,"",0)</f>
        <v>RTS100757</v>
      </c>
      <c r="S614" s="45" t="s">
        <v>27</v>
      </c>
      <c r="T614" s="45" t="s">
        <v>28</v>
      </c>
      <c r="U614" s="46" t="str">
        <f t="array" ref="U614">XLOOKUP($A614,'Recipients REF'!$A:$A,'Recipients REF'!K:K,"",0)</f>
        <v>LSGW170-RMP-24101053</v>
      </c>
      <c r="V614" s="44" t="s">
        <v>29</v>
      </c>
      <c r="W614" s="45" t="s">
        <v>30</v>
      </c>
      <c r="X614" s="47" t="str">
        <f t="array" ref="X614">XLOOKUP($A614,'Recipients REF'!$A:$A,'Recipients REF'!L:L,"",0)</f>
        <v>WDP40-RMP-25010132</v>
      </c>
      <c r="Y614" s="48" t="s">
        <v>29</v>
      </c>
      <c r="Z614" s="48" t="s">
        <v>31</v>
      </c>
      <c r="AA614" s="46" t="str">
        <f t="array" ref="AA614">XLOOKUP($A614,'Recipients REF'!$A:$A,'Recipients REF'!M:M,"",0)</f>
        <v>WR-SERIES-1104PH</v>
      </c>
      <c r="AB614" s="49"/>
      <c r="AC614" s="42"/>
      <c r="AD614" s="42"/>
      <c r="AE614" s="50"/>
      <c r="AF614" s="42"/>
      <c r="AG614" s="42"/>
      <c r="AH614" s="42"/>
      <c r="AI614" s="42" t="str">
        <f t="array" ref="AI614">XLOOKUP($E614,Sheet11!$D:$D,Sheet11!$X:$X,"",0)</f>
        <v/>
      </c>
      <c r="AJ614" s="42" t="str">
        <f t="array" ref="AJ614">XLOOKUP($E614,Sheet11!$D:$D,Sheet11!$Y:$Y,"",0)</f>
        <v/>
      </c>
    </row>
    <row r="615">
      <c r="A615" s="41">
        <v>524.0</v>
      </c>
      <c r="B615" s="42" t="s">
        <v>1213</v>
      </c>
      <c r="C615" s="42" t="s">
        <v>1214</v>
      </c>
      <c r="D615" s="42"/>
      <c r="E615" s="42" t="str">
        <f t="shared" ref="E615:F615" si="616">PROPER(B615)</f>
        <v>Anahawin Bombongan Irrigators' Association, Inc.</v>
      </c>
      <c r="F615" s="42" t="str">
        <f t="shared" si="616"/>
        <v>Iriron, Calintaan, Occidental Mindoro</v>
      </c>
      <c r="G615" s="42" t="str">
        <f t="shared" si="3"/>
        <v>Iriron</v>
      </c>
      <c r="H615" s="42" t="str">
        <f t="shared" si="4"/>
        <v>Calintaan</v>
      </c>
      <c r="I615" s="42" t="str">
        <f t="shared" si="5"/>
        <v>Occidental Mindoro</v>
      </c>
      <c r="J615" s="42" t="str">
        <f t="array" ref="J615">XLOOKUP($E615,'Recipients REF'!$B:$B,'Recipients REF'!D:D,"",0)</f>
        <v>LIMUEL ANDRADE</v>
      </c>
      <c r="K615" s="42" t="str">
        <f t="array" ref="K615">XLOOKUP($E615,'Recipients REF'!$B:$B,'Recipients REF'!E:E,"",0)</f>
        <v>0938 472 9227</v>
      </c>
      <c r="L615" s="43" t="str">
        <f t="array" ref="L615">XLOOKUP($A615,'Recipients REF'!$A:$A,'Recipients REF'!F:F,"",0)</f>
        <v>RCEF 24-04-15</v>
      </c>
      <c r="M615" s="43">
        <f t="array" ref="M615">XLOOKUP($A615,'Recipients REF'!$A:$A,'Recipients REF'!G:G,"",0)</f>
        <v>7</v>
      </c>
      <c r="N615" s="43">
        <f t="array" ref="N615">XLOOKUP($A615,'Recipients REF'!$A:$A,'Recipients REF'!H:H,"",0)</f>
        <v>19998</v>
      </c>
      <c r="O615" s="44" t="s">
        <v>25</v>
      </c>
      <c r="P615" s="45" t="s">
        <v>26</v>
      </c>
      <c r="Q615" s="46" t="str">
        <f t="array" ref="Q615">XLOOKUP($A615,'Recipients REF'!$A:$A,'Recipients REF'!I:I,"",0)</f>
        <v>KMC5825AARFPV0850</v>
      </c>
      <c r="R615" s="47" t="str">
        <f t="array" ref="R615">XLOOKUP($A615,'Recipients REF'!$A:$A,'Recipients REF'!J:J,"",0)</f>
        <v>RTS100765</v>
      </c>
      <c r="S615" s="45" t="s">
        <v>27</v>
      </c>
      <c r="T615" s="45" t="s">
        <v>28</v>
      </c>
      <c r="U615" s="46" t="str">
        <f t="array" ref="U615">XLOOKUP($A615,'Recipients REF'!$A:$A,'Recipients REF'!K:K,"",0)</f>
        <v>LSGW170-RMP-24100983</v>
      </c>
      <c r="V615" s="44" t="s">
        <v>29</v>
      </c>
      <c r="W615" s="45" t="s">
        <v>30</v>
      </c>
      <c r="X615" s="47" t="str">
        <f t="array" ref="X615">XLOOKUP($A615,'Recipients REF'!$A:$A,'Recipients REF'!L:L,"",0)</f>
        <v>WDP40-RMP-25010123</v>
      </c>
      <c r="Y615" s="48" t="s">
        <v>29</v>
      </c>
      <c r="Z615" s="48" t="s">
        <v>31</v>
      </c>
      <c r="AA615" s="46" t="str">
        <f t="array" ref="AA615">XLOOKUP($A615,'Recipients REF'!$A:$A,'Recipients REF'!M:M,"",0)</f>
        <v>WR-SERIES-1207PH</v>
      </c>
      <c r="AB615" s="49"/>
      <c r="AC615" s="42"/>
      <c r="AD615" s="42"/>
      <c r="AE615" s="50"/>
      <c r="AF615" s="42"/>
      <c r="AG615" s="42"/>
      <c r="AH615" s="42"/>
      <c r="AI615" s="42" t="str">
        <f t="array" ref="AI615">XLOOKUP($E615,Sheet11!$D:$D,Sheet11!$X:$X,"",0)</f>
        <v/>
      </c>
      <c r="AJ615" s="42" t="str">
        <f t="array" ref="AJ615">XLOOKUP($E615,Sheet11!$D:$D,Sheet11!$Y:$Y,"",0)</f>
        <v/>
      </c>
    </row>
    <row r="616">
      <c r="A616" s="41">
        <v>525.0</v>
      </c>
      <c r="B616" s="42" t="s">
        <v>1215</v>
      </c>
      <c r="C616" s="42" t="s">
        <v>1216</v>
      </c>
      <c r="D616" s="42"/>
      <c r="E616" s="42" t="str">
        <f t="shared" ref="E616:F616" si="617">PROPER(B616)</f>
        <v>Calintaan Seed Growers Cooperative (Caseedco)</v>
      </c>
      <c r="F616" s="42" t="str">
        <f t="shared" si="617"/>
        <v>New Dagupan, Calintaan, Occidental Mindoro</v>
      </c>
      <c r="G616" s="42" t="str">
        <f t="shared" si="3"/>
        <v>New Dagupan</v>
      </c>
      <c r="H616" s="42" t="str">
        <f t="shared" si="4"/>
        <v>Calintaan</v>
      </c>
      <c r="I616" s="42" t="str">
        <f t="shared" si="5"/>
        <v>Occidental Mindoro</v>
      </c>
      <c r="J616" s="42" t="str">
        <f t="array" ref="J616">XLOOKUP($E616,'Recipients REF'!$B:$B,'Recipients REF'!D:D,"",0)</f>
        <v>ESTELITA JARAVATA</v>
      </c>
      <c r="K616" s="42" t="str">
        <f t="array" ref="K616">XLOOKUP($E616,'Recipients REF'!$B:$B,'Recipients REF'!E:E,"",0)</f>
        <v>0906 937 9929</v>
      </c>
      <c r="L616" s="43" t="str">
        <f t="array" ref="L616">XLOOKUP($A616,'Recipients REF'!$A:$A,'Recipients REF'!F:F,"",0)</f>
        <v>RCEF 24-04-15</v>
      </c>
      <c r="M616" s="43">
        <f t="array" ref="M616">XLOOKUP($A616,'Recipients REF'!$A:$A,'Recipients REF'!G:G,"",0)</f>
        <v>7</v>
      </c>
      <c r="N616" s="43">
        <f t="array" ref="N616">XLOOKUP($A616,'Recipients REF'!$A:$A,'Recipients REF'!H:H,"",0)</f>
        <v>19999</v>
      </c>
      <c r="O616" s="44" t="s">
        <v>25</v>
      </c>
      <c r="P616" s="45" t="s">
        <v>26</v>
      </c>
      <c r="Q616" s="46" t="str">
        <f t="array" ref="Q616">XLOOKUP($A616,'Recipients REF'!$A:$A,'Recipients REF'!I:I,"",0)</f>
        <v>KMC5825AJRFPV0875</v>
      </c>
      <c r="R616" s="47" t="str">
        <f t="array" ref="R616">XLOOKUP($A616,'Recipients REF'!$A:$A,'Recipients REF'!J:J,"",0)</f>
        <v>RTS100774</v>
      </c>
      <c r="S616" s="45" t="s">
        <v>27</v>
      </c>
      <c r="T616" s="45" t="s">
        <v>28</v>
      </c>
      <c r="U616" s="46" t="str">
        <f t="array" ref="U616">XLOOKUP($A616,'Recipients REF'!$A:$A,'Recipients REF'!K:K,"",0)</f>
        <v>LSGW170-RMP-24101069</v>
      </c>
      <c r="V616" s="44" t="s">
        <v>29</v>
      </c>
      <c r="W616" s="45" t="s">
        <v>30</v>
      </c>
      <c r="X616" s="47" t="str">
        <f t="array" ref="X616">XLOOKUP($A616,'Recipients REF'!$A:$A,'Recipients REF'!L:L,"",0)</f>
        <v>WDP40-RMP-25010121</v>
      </c>
      <c r="Y616" s="48" t="s">
        <v>29</v>
      </c>
      <c r="Z616" s="48" t="s">
        <v>31</v>
      </c>
      <c r="AA616" s="46" t="str">
        <f t="array" ref="AA616">XLOOKUP($A616,'Recipients REF'!$A:$A,'Recipients REF'!M:M,"",0)</f>
        <v>WR-SERIES-1195PH</v>
      </c>
      <c r="AB616" s="49"/>
      <c r="AC616" s="42"/>
      <c r="AD616" s="42"/>
      <c r="AE616" s="50"/>
      <c r="AF616" s="42"/>
      <c r="AG616" s="42"/>
      <c r="AH616" s="42"/>
      <c r="AI616" s="42" t="str">
        <f t="array" ref="AI616">XLOOKUP($E616,Sheet11!$D:$D,Sheet11!$X:$X,"",0)</f>
        <v/>
      </c>
      <c r="AJ616" s="42" t="str">
        <f t="array" ref="AJ616">XLOOKUP($E616,Sheet11!$D:$D,Sheet11!$Y:$Y,"",0)</f>
        <v/>
      </c>
    </row>
    <row r="617">
      <c r="A617" s="41">
        <v>526.0</v>
      </c>
      <c r="B617" s="42" t="s">
        <v>1217</v>
      </c>
      <c r="C617" s="42" t="s">
        <v>1218</v>
      </c>
      <c r="D617" s="42"/>
      <c r="E617" s="42" t="str">
        <f t="shared" ref="E617:F617" si="618">PROPER(B617)</f>
        <v>Gutad Farmers Irrigators Association Incorporated</v>
      </c>
      <c r="F617" s="42" t="str">
        <f t="shared" si="618"/>
        <v>Tanyag, Calintaan, Occidental Mindoro</v>
      </c>
      <c r="G617" s="42" t="str">
        <f t="shared" si="3"/>
        <v>Tanyag</v>
      </c>
      <c r="H617" s="42" t="str">
        <f t="shared" si="4"/>
        <v>Calintaan</v>
      </c>
      <c r="I617" s="42" t="str">
        <f t="shared" si="5"/>
        <v>Occidental Mindoro</v>
      </c>
      <c r="J617" s="42" t="str">
        <f t="array" ref="J617">XLOOKUP($E617,'Recipients REF'!$B:$B,'Recipients REF'!D:D,"",0)</f>
        <v>JUAN ESTEBAN, JR.</v>
      </c>
      <c r="K617" s="42" t="str">
        <f t="array" ref="K617">XLOOKUP($E617,'Recipients REF'!$B:$B,'Recipients REF'!E:E,"",0)</f>
        <v>0905 195 2181</v>
      </c>
      <c r="L617" s="43" t="str">
        <f t="array" ref="L617">XLOOKUP($A617,'Recipients REF'!$A:$A,'Recipients REF'!F:F,"",0)</f>
        <v>RCEF 24-04-15</v>
      </c>
      <c r="M617" s="43">
        <f t="array" ref="M617">XLOOKUP($A617,'Recipients REF'!$A:$A,'Recipients REF'!G:G,"",0)</f>
        <v>7</v>
      </c>
      <c r="N617" s="43">
        <f t="array" ref="N617">XLOOKUP($A617,'Recipients REF'!$A:$A,'Recipients REF'!H:H,"",0)</f>
        <v>20000</v>
      </c>
      <c r="O617" s="44" t="s">
        <v>25</v>
      </c>
      <c r="P617" s="45" t="s">
        <v>26</v>
      </c>
      <c r="Q617" s="46" t="str">
        <f t="array" ref="Q617">XLOOKUP($A617,'Recipients REF'!$A:$A,'Recipients REF'!I:I,"",0)</f>
        <v>KMC5825ACRFPV0884</v>
      </c>
      <c r="R617" s="47" t="str">
        <f t="array" ref="R617">XLOOKUP($A617,'Recipients REF'!$A:$A,'Recipients REF'!J:J,"",0)</f>
        <v>RTS100802</v>
      </c>
      <c r="S617" s="45" t="s">
        <v>27</v>
      </c>
      <c r="T617" s="45" t="s">
        <v>28</v>
      </c>
      <c r="U617" s="46" t="str">
        <f t="array" ref="U617">XLOOKUP($A617,'Recipients REF'!$A:$A,'Recipients REF'!K:K,"",0)</f>
        <v>LSGW170-RMP-24100958</v>
      </c>
      <c r="V617" s="44" t="s">
        <v>29</v>
      </c>
      <c r="W617" s="45" t="s">
        <v>30</v>
      </c>
      <c r="X617" s="47" t="str">
        <f t="array" ref="X617">XLOOKUP($A617,'Recipients REF'!$A:$A,'Recipients REF'!L:L,"",0)</f>
        <v>WDP40-RMP-25010079</v>
      </c>
      <c r="Y617" s="48" t="s">
        <v>29</v>
      </c>
      <c r="Z617" s="48" t="s">
        <v>31</v>
      </c>
      <c r="AA617" s="46" t="str">
        <f t="array" ref="AA617">XLOOKUP($A617,'Recipients REF'!$A:$A,'Recipients REF'!M:M,"",0)</f>
        <v>WR-SERIES-1069PH</v>
      </c>
      <c r="AB617" s="49"/>
      <c r="AC617" s="42"/>
      <c r="AD617" s="42"/>
      <c r="AE617" s="50"/>
      <c r="AF617" s="42"/>
      <c r="AG617" s="42"/>
      <c r="AH617" s="42"/>
      <c r="AI617" s="42" t="str">
        <f t="array" ref="AI617">XLOOKUP($E617,Sheet11!$D:$D,Sheet11!$X:$X,"",0)</f>
        <v/>
      </c>
      <c r="AJ617" s="42" t="str">
        <f t="array" ref="AJ617">XLOOKUP($E617,Sheet11!$D:$D,Sheet11!$Y:$Y,"",0)</f>
        <v/>
      </c>
    </row>
    <row r="618">
      <c r="A618" s="41">
        <v>527.0</v>
      </c>
      <c r="B618" s="42" t="s">
        <v>1219</v>
      </c>
      <c r="C618" s="42" t="s">
        <v>1220</v>
      </c>
      <c r="D618" s="42"/>
      <c r="E618" s="42" t="str">
        <f t="shared" ref="E618:F618" si="619">PROPER(B618)</f>
        <v>Lourdes Multi-Purpose Cooperative</v>
      </c>
      <c r="F618" s="42" t="str">
        <f t="shared" si="619"/>
        <v>Poblacion, Magsaysay, Occidental Mindoro</v>
      </c>
      <c r="G618" s="42" t="str">
        <f t="shared" si="3"/>
        <v>Poblacion</v>
      </c>
      <c r="H618" s="42" t="str">
        <f t="shared" si="4"/>
        <v>Magsaysay</v>
      </c>
      <c r="I618" s="42" t="str">
        <f t="shared" si="5"/>
        <v>Occidental Mindoro</v>
      </c>
      <c r="J618" s="42" t="str">
        <f t="array" ref="J618">XLOOKUP($E618,'Recipients REF'!$B:$B,'Recipients REF'!D:D,"",0)</f>
        <v>ROSALIE ANTONIO</v>
      </c>
      <c r="K618" s="42" t="str">
        <f t="array" ref="K618">XLOOKUP($E618,'Recipients REF'!$B:$B,'Recipients REF'!E:E,"",0)</f>
        <v>0908 885 4332</v>
      </c>
      <c r="L618" s="43" t="str">
        <f t="array" ref="L618">XLOOKUP($A618,'Recipients REF'!$A:$A,'Recipients REF'!F:F,"",0)</f>
        <v>RCEF 24-04-15</v>
      </c>
      <c r="M618" s="43">
        <f t="array" ref="M618">XLOOKUP($A618,'Recipients REF'!$A:$A,'Recipients REF'!G:G,"",0)</f>
        <v>7</v>
      </c>
      <c r="N618" s="43">
        <f t="array" ref="N618">XLOOKUP($A618,'Recipients REF'!$A:$A,'Recipients REF'!H:H,"",0)</f>
        <v>20001</v>
      </c>
      <c r="O618" s="44" t="s">
        <v>25</v>
      </c>
      <c r="P618" s="45" t="s">
        <v>26</v>
      </c>
      <c r="Q618" s="46" t="str">
        <f t="array" ref="Q618">XLOOKUP($A618,'Recipients REF'!$A:$A,'Recipients REF'!I:I,"",0)</f>
        <v>KMC5825AVRFPV0877</v>
      </c>
      <c r="R618" s="47" t="str">
        <f t="array" ref="R618">XLOOKUP($A618,'Recipients REF'!$A:$A,'Recipients REF'!J:J,"",0)</f>
        <v>RTS100772</v>
      </c>
      <c r="S618" s="45" t="s">
        <v>27</v>
      </c>
      <c r="T618" s="45" t="s">
        <v>28</v>
      </c>
      <c r="U618" s="46" t="str">
        <f t="array" ref="U618">XLOOKUP($A618,'Recipients REF'!$A:$A,'Recipients REF'!K:K,"",0)</f>
        <v>LSGW170-RMP-24101075</v>
      </c>
      <c r="V618" s="44" t="s">
        <v>29</v>
      </c>
      <c r="W618" s="45" t="s">
        <v>30</v>
      </c>
      <c r="X618" s="47" t="str">
        <f t="array" ref="X618">XLOOKUP($A618,'Recipients REF'!$A:$A,'Recipients REF'!L:L,"",0)</f>
        <v>WDP40-RMP-25010116</v>
      </c>
      <c r="Y618" s="48" t="s">
        <v>29</v>
      </c>
      <c r="Z618" s="48" t="s">
        <v>31</v>
      </c>
      <c r="AA618" s="46" t="str">
        <f t="array" ref="AA618">XLOOKUP($A618,'Recipients REF'!$A:$A,'Recipients REF'!M:M,"",0)</f>
        <v>WR-SERIES-1190PH</v>
      </c>
      <c r="AB618" s="49"/>
      <c r="AC618" s="42"/>
      <c r="AD618" s="42"/>
      <c r="AE618" s="50"/>
      <c r="AF618" s="42"/>
      <c r="AG618" s="42"/>
      <c r="AH618" s="42"/>
      <c r="AI618" s="42" t="str">
        <f t="array" ref="AI618">XLOOKUP($E618,Sheet11!$D:$D,Sheet11!$X:$X,"",0)</f>
        <v/>
      </c>
      <c r="AJ618" s="42" t="str">
        <f t="array" ref="AJ618">XLOOKUP($E618,Sheet11!$D:$D,Sheet11!$Y:$Y,"",0)</f>
        <v/>
      </c>
    </row>
    <row r="619">
      <c r="A619" s="41">
        <v>528.0</v>
      </c>
      <c r="B619" s="42" t="s">
        <v>1221</v>
      </c>
      <c r="C619" s="42" t="s">
        <v>1222</v>
      </c>
      <c r="D619" s="42"/>
      <c r="E619" s="42" t="str">
        <f t="shared" ref="E619:F619" si="620">PROPER(B619)</f>
        <v>Malawaan 4Th Intake Farmers Irrigators Association, Inc.</v>
      </c>
      <c r="F619" s="42" t="str">
        <f t="shared" si="620"/>
        <v>Malawaan, Rizal, Occidental Mindoro</v>
      </c>
      <c r="G619" s="42" t="str">
        <f t="shared" si="3"/>
        <v>Malawaan</v>
      </c>
      <c r="H619" s="42" t="str">
        <f t="shared" si="4"/>
        <v>Rizal</v>
      </c>
      <c r="I619" s="42" t="str">
        <f t="shared" si="5"/>
        <v>Occidental Mindoro</v>
      </c>
      <c r="J619" s="42" t="str">
        <f t="array" ref="J619">XLOOKUP($E619,'Recipients REF'!$B:$B,'Recipients REF'!D:D,"",0)</f>
        <v>MAXIMO LAREDO</v>
      </c>
      <c r="K619" s="42" t="str">
        <f t="array" ref="K619">XLOOKUP($E619,'Recipients REF'!$B:$B,'Recipients REF'!E:E,"",0)</f>
        <v>0948 657 7789</v>
      </c>
      <c r="L619" s="43" t="str">
        <f t="array" ref="L619">XLOOKUP($A619,'Recipients REF'!$A:$A,'Recipients REF'!F:F,"",0)</f>
        <v>RCEF 24-04-15</v>
      </c>
      <c r="M619" s="43">
        <f t="array" ref="M619">XLOOKUP($A619,'Recipients REF'!$A:$A,'Recipients REF'!G:G,"",0)</f>
        <v>7</v>
      </c>
      <c r="N619" s="43">
        <f t="array" ref="N619">XLOOKUP($A619,'Recipients REF'!$A:$A,'Recipients REF'!H:H,"",0)</f>
        <v>20002</v>
      </c>
      <c r="O619" s="44" t="s">
        <v>25</v>
      </c>
      <c r="P619" s="45" t="s">
        <v>26</v>
      </c>
      <c r="Q619" s="46" t="str">
        <f t="array" ref="Q619">XLOOKUP($A619,'Recipients REF'!$A:$A,'Recipients REF'!I:I,"",0)</f>
        <v>KMC5825AHRFPV0950</v>
      </c>
      <c r="R619" s="47" t="str">
        <f t="array" ref="R619">XLOOKUP($A619,'Recipients REF'!$A:$A,'Recipients REF'!J:J,"",0)</f>
        <v>RTS100829</v>
      </c>
      <c r="S619" s="45" t="s">
        <v>27</v>
      </c>
      <c r="T619" s="45" t="s">
        <v>28</v>
      </c>
      <c r="U619" s="46" t="str">
        <f t="array" ref="U619">XLOOKUP($A619,'Recipients REF'!$A:$A,'Recipients REF'!K:K,"",0)</f>
        <v>LSGW170-RMP-24100990</v>
      </c>
      <c r="V619" s="44" t="s">
        <v>29</v>
      </c>
      <c r="W619" s="45" t="s">
        <v>30</v>
      </c>
      <c r="X619" s="47" t="str">
        <f t="array" ref="X619">XLOOKUP($A619,'Recipients REF'!$A:$A,'Recipients REF'!L:L,"",0)</f>
        <v>WDP40-RMP-25010076</v>
      </c>
      <c r="Y619" s="48" t="s">
        <v>29</v>
      </c>
      <c r="Z619" s="48" t="s">
        <v>31</v>
      </c>
      <c r="AA619" s="46" t="str">
        <f t="array" ref="AA619">XLOOKUP($A619,'Recipients REF'!$A:$A,'Recipients REF'!M:M,"",0)</f>
        <v>WR-SERIES-1194PH</v>
      </c>
      <c r="AB619" s="49"/>
      <c r="AC619" s="42"/>
      <c r="AD619" s="42"/>
      <c r="AE619" s="50"/>
      <c r="AF619" s="42"/>
      <c r="AG619" s="42"/>
      <c r="AH619" s="42"/>
      <c r="AI619" s="42" t="str">
        <f t="array" ref="AI619">XLOOKUP($E619,Sheet11!$D:$D,Sheet11!$X:$X,"",0)</f>
        <v/>
      </c>
      <c r="AJ619" s="42" t="str">
        <f t="array" ref="AJ619">XLOOKUP($E619,Sheet11!$D:$D,Sheet11!$Y:$Y,"",0)</f>
        <v/>
      </c>
    </row>
    <row r="620">
      <c r="A620" s="41">
        <v>529.0</v>
      </c>
      <c r="B620" s="42" t="s">
        <v>1223</v>
      </c>
      <c r="C620" s="42" t="s">
        <v>1224</v>
      </c>
      <c r="D620" s="42"/>
      <c r="E620" s="42" t="str">
        <f t="shared" ref="E620:F620" si="621">PROPER(B620)</f>
        <v>Pinagbuklod Farmers' Association</v>
      </c>
      <c r="F620" s="42" t="str">
        <f t="shared" si="621"/>
        <v>San Nicolas, Sablayan, Occidental Mindoro</v>
      </c>
      <c r="G620" s="42" t="str">
        <f t="shared" si="3"/>
        <v>San Nicolas</v>
      </c>
      <c r="H620" s="42" t="str">
        <f t="shared" si="4"/>
        <v>Sablayan</v>
      </c>
      <c r="I620" s="42" t="str">
        <f t="shared" si="5"/>
        <v>Occidental Mindoro</v>
      </c>
      <c r="J620" s="42" t="str">
        <f t="array" ref="J620">XLOOKUP($E620,'Recipients REF'!$B:$B,'Recipients REF'!D:D,"",0)</f>
        <v>SIXTO DELA FUENTE</v>
      </c>
      <c r="K620" s="42" t="str">
        <f t="array" ref="K620">XLOOKUP($E620,'Recipients REF'!$B:$B,'Recipients REF'!E:E,"",0)</f>
        <v>0935 029 7782</v>
      </c>
      <c r="L620" s="43" t="str">
        <f t="array" ref="L620">XLOOKUP($A620,'Recipients REF'!$A:$A,'Recipients REF'!F:F,"",0)</f>
        <v>RCEF 24-04-15</v>
      </c>
      <c r="M620" s="43">
        <f t="array" ref="M620">XLOOKUP($A620,'Recipients REF'!$A:$A,'Recipients REF'!G:G,"",0)</f>
        <v>7</v>
      </c>
      <c r="N620" s="43">
        <f t="array" ref="N620">XLOOKUP($A620,'Recipients REF'!$A:$A,'Recipients REF'!H:H,"",0)</f>
        <v>20003</v>
      </c>
      <c r="O620" s="44" t="s">
        <v>25</v>
      </c>
      <c r="P620" s="45" t="s">
        <v>26</v>
      </c>
      <c r="Q620" s="46" t="str">
        <f t="array" ref="Q620">XLOOKUP($A620,'Recipients REF'!$A:$A,'Recipients REF'!I:I,"",0)</f>
        <v>KMC5825APRFPV0809</v>
      </c>
      <c r="R620" s="47" t="str">
        <f t="array" ref="R620">XLOOKUP($A620,'Recipients REF'!$A:$A,'Recipients REF'!J:J,"",0)</f>
        <v>RTS100720</v>
      </c>
      <c r="S620" s="45" t="s">
        <v>27</v>
      </c>
      <c r="T620" s="45" t="s">
        <v>28</v>
      </c>
      <c r="U620" s="46" t="str">
        <f t="array" ref="U620">XLOOKUP($A620,'Recipients REF'!$A:$A,'Recipients REF'!K:K,"",0)</f>
        <v>LSGW170-RMP-24101010</v>
      </c>
      <c r="V620" s="44" t="s">
        <v>29</v>
      </c>
      <c r="W620" s="45" t="s">
        <v>30</v>
      </c>
      <c r="X620" s="47" t="str">
        <f t="array" ref="X620">XLOOKUP($A620,'Recipients REF'!$A:$A,'Recipients REF'!L:L,"",0)</f>
        <v>WDP40-RMP-25010128</v>
      </c>
      <c r="Y620" s="48" t="s">
        <v>29</v>
      </c>
      <c r="Z620" s="48" t="s">
        <v>31</v>
      </c>
      <c r="AA620" s="46" t="str">
        <f t="array" ref="AA620">XLOOKUP($A620,'Recipients REF'!$A:$A,'Recipients REF'!M:M,"",0)</f>
        <v>WR-SERIES-1197PH</v>
      </c>
      <c r="AB620" s="49"/>
      <c r="AC620" s="42"/>
      <c r="AD620" s="42"/>
      <c r="AE620" s="50"/>
      <c r="AF620" s="42"/>
      <c r="AG620" s="42"/>
      <c r="AH620" s="42"/>
      <c r="AI620" s="42" t="str">
        <f t="array" ref="AI620">XLOOKUP($E620,Sheet11!$D:$D,Sheet11!$X:$X,"",0)</f>
        <v/>
      </c>
      <c r="AJ620" s="42" t="str">
        <f t="array" ref="AJ620">XLOOKUP($E620,Sheet11!$D:$D,Sheet11!$Y:$Y,"",0)</f>
        <v/>
      </c>
    </row>
    <row r="621">
      <c r="A621" s="41">
        <v>530.0</v>
      </c>
      <c r="B621" s="42" t="s">
        <v>1225</v>
      </c>
      <c r="C621" s="42" t="s">
        <v>1226</v>
      </c>
      <c r="D621" s="42"/>
      <c r="E621" s="42" t="str">
        <f t="shared" ref="E621:F621" si="622">PROPER(B621)</f>
        <v>Samahang Gumagawa Tungong Tagumpay Multi-Purpose Cooperative (Sagutt)</v>
      </c>
      <c r="F621" s="42" t="str">
        <f t="shared" si="622"/>
        <v>Paetan, Sablayan, Occidental Mindoro</v>
      </c>
      <c r="G621" s="42" t="str">
        <f t="shared" si="3"/>
        <v>Paetan</v>
      </c>
      <c r="H621" s="42" t="str">
        <f t="shared" si="4"/>
        <v>Sablayan</v>
      </c>
      <c r="I621" s="42" t="str">
        <f t="shared" si="5"/>
        <v>Occidental Mindoro</v>
      </c>
      <c r="J621" s="42" t="str">
        <f t="array" ref="J621">XLOOKUP($E621,'Recipients REF'!$B:$B,'Recipients REF'!D:D,"",0)</f>
        <v>LIVELYN CASTILLO</v>
      </c>
      <c r="K621" s="42" t="str">
        <f t="array" ref="K621">XLOOKUP($E621,'Recipients REF'!$B:$B,'Recipients REF'!E:E,"",0)</f>
        <v>0930 414 4915</v>
      </c>
      <c r="L621" s="43" t="str">
        <f t="array" ref="L621">XLOOKUP($A621,'Recipients REF'!$A:$A,'Recipients REF'!F:F,"",0)</f>
        <v>RCEF 24-04-15</v>
      </c>
      <c r="M621" s="43">
        <f t="array" ref="M621">XLOOKUP($A621,'Recipients REF'!$A:$A,'Recipients REF'!G:G,"",0)</f>
        <v>7</v>
      </c>
      <c r="N621" s="43">
        <f t="array" ref="N621">XLOOKUP($A621,'Recipients REF'!$A:$A,'Recipients REF'!H:H,"",0)</f>
        <v>20004</v>
      </c>
      <c r="O621" s="44" t="s">
        <v>25</v>
      </c>
      <c r="P621" s="45" t="s">
        <v>26</v>
      </c>
      <c r="Q621" s="46" t="str">
        <f t="array" ref="Q621">XLOOKUP($A621,'Recipients REF'!$A:$A,'Recipients REF'!I:I,"",0)</f>
        <v>KMC5825AERFPV0965</v>
      </c>
      <c r="R621" s="47" t="str">
        <f t="array" ref="R621">XLOOKUP($A621,'Recipients REF'!$A:$A,'Recipients REF'!J:J,"",0)</f>
        <v>RTS100665</v>
      </c>
      <c r="S621" s="45" t="s">
        <v>27</v>
      </c>
      <c r="T621" s="45" t="s">
        <v>28</v>
      </c>
      <c r="U621" s="46" t="str">
        <f t="array" ref="U621">XLOOKUP($A621,'Recipients REF'!$A:$A,'Recipients REF'!K:K,"",0)</f>
        <v>LSGW170-RMP-24100957</v>
      </c>
      <c r="V621" s="44" t="s">
        <v>29</v>
      </c>
      <c r="W621" s="45" t="s">
        <v>30</v>
      </c>
      <c r="X621" s="47" t="str">
        <f t="array" ref="X621">XLOOKUP($A621,'Recipients REF'!$A:$A,'Recipients REF'!L:L,"",0)</f>
        <v>WDP40-RMP-25010125</v>
      </c>
      <c r="Y621" s="48" t="s">
        <v>29</v>
      </c>
      <c r="Z621" s="48" t="s">
        <v>31</v>
      </c>
      <c r="AA621" s="46" t="str">
        <f t="array" ref="AA621">XLOOKUP($A621,'Recipients REF'!$A:$A,'Recipients REF'!M:M,"",0)</f>
        <v>WR-SERIES-1062PH</v>
      </c>
      <c r="AB621" s="49"/>
      <c r="AC621" s="42"/>
      <c r="AD621" s="42"/>
      <c r="AE621" s="50"/>
      <c r="AF621" s="42"/>
      <c r="AG621" s="42"/>
      <c r="AH621" s="42"/>
      <c r="AI621" s="42" t="str">
        <f t="array" ref="AI621">XLOOKUP($E621,Sheet11!$D:$D,Sheet11!$X:$X,"",0)</f>
        <v/>
      </c>
      <c r="AJ621" s="42" t="str">
        <f t="array" ref="AJ621">XLOOKUP($E621,Sheet11!$D:$D,Sheet11!$Y:$Y,"",0)</f>
        <v/>
      </c>
    </row>
    <row r="622">
      <c r="A622" s="41">
        <v>531.0</v>
      </c>
      <c r="B622" s="42" t="s">
        <v>1227</v>
      </c>
      <c r="C622" s="42" t="s">
        <v>1228</v>
      </c>
      <c r="D622" s="42"/>
      <c r="E622" s="42" t="str">
        <f t="shared" ref="E622:F622" si="623">PROPER(B622)</f>
        <v>Samahang Matagumpay Na Magsasaka</v>
      </c>
      <c r="F622" s="42" t="str">
        <f t="shared" si="623"/>
        <v>Ilvita, Sablayan, Occidental Mindoro</v>
      </c>
      <c r="G622" s="42" t="str">
        <f t="shared" si="3"/>
        <v>Ilvita</v>
      </c>
      <c r="H622" s="42" t="str">
        <f t="shared" si="4"/>
        <v>Sablayan</v>
      </c>
      <c r="I622" s="42" t="str">
        <f t="shared" si="5"/>
        <v>Occidental Mindoro</v>
      </c>
      <c r="J622" s="42" t="str">
        <f t="array" ref="J622">XLOOKUP($E622,'Recipients REF'!$B:$B,'Recipients REF'!D:D,"",0)</f>
        <v>AQUILINO BICERA</v>
      </c>
      <c r="K622" s="42" t="str">
        <f t="array" ref="K622">XLOOKUP($E622,'Recipients REF'!$B:$B,'Recipients REF'!E:E,"",0)</f>
        <v>0975 603 4418</v>
      </c>
      <c r="L622" s="43" t="str">
        <f t="array" ref="L622">XLOOKUP($A622,'Recipients REF'!$A:$A,'Recipients REF'!F:F,"",0)</f>
        <v>RCEF 24-04-15</v>
      </c>
      <c r="M622" s="43">
        <f t="array" ref="M622">XLOOKUP($A622,'Recipients REF'!$A:$A,'Recipients REF'!G:G,"",0)</f>
        <v>7</v>
      </c>
      <c r="N622" s="43">
        <f t="array" ref="N622">XLOOKUP($A622,'Recipients REF'!$A:$A,'Recipients REF'!H:H,"",0)</f>
        <v>20005</v>
      </c>
      <c r="O622" s="44" t="s">
        <v>25</v>
      </c>
      <c r="P622" s="45" t="s">
        <v>26</v>
      </c>
      <c r="Q622" s="46" t="str">
        <f t="array" ref="Q622">XLOOKUP($A622,'Recipients REF'!$A:$A,'Recipients REF'!I:I,"",0)</f>
        <v>KMC5825ACRFPV0848</v>
      </c>
      <c r="R622" s="47" t="str">
        <f t="array" ref="R622">XLOOKUP($A622,'Recipients REF'!$A:$A,'Recipients REF'!J:J,"",0)</f>
        <v>RTS100756</v>
      </c>
      <c r="S622" s="45" t="s">
        <v>27</v>
      </c>
      <c r="T622" s="45" t="s">
        <v>28</v>
      </c>
      <c r="U622" s="46" t="str">
        <f t="array" ref="U622">XLOOKUP($A622,'Recipients REF'!$A:$A,'Recipients REF'!K:K,"",0)</f>
        <v>LSGW170-RMP-2408749</v>
      </c>
      <c r="V622" s="44" t="s">
        <v>29</v>
      </c>
      <c r="W622" s="45" t="s">
        <v>30</v>
      </c>
      <c r="X622" s="47" t="str">
        <f t="array" ref="X622">XLOOKUP($A622,'Recipients REF'!$A:$A,'Recipients REF'!L:L,"",0)</f>
        <v>WDP40-RMP-25010114</v>
      </c>
      <c r="Y622" s="48" t="s">
        <v>29</v>
      </c>
      <c r="Z622" s="48" t="s">
        <v>31</v>
      </c>
      <c r="AA622" s="46" t="str">
        <f t="array" ref="AA622">XLOOKUP($A622,'Recipients REF'!$A:$A,'Recipients REF'!M:M,"",0)</f>
        <v>WR-SERIES-1225PH</v>
      </c>
      <c r="AB622" s="49"/>
      <c r="AC622" s="42"/>
      <c r="AD622" s="42"/>
      <c r="AE622" s="50"/>
      <c r="AF622" s="42"/>
      <c r="AG622" s="42"/>
      <c r="AH622" s="42"/>
      <c r="AI622" s="42" t="str">
        <f t="array" ref="AI622">XLOOKUP($E622,Sheet11!$D:$D,Sheet11!$X:$X,"",0)</f>
        <v/>
      </c>
      <c r="AJ622" s="42" t="str">
        <f t="array" ref="AJ622">XLOOKUP($E622,Sheet11!$D:$D,Sheet11!$Y:$Y,"",0)</f>
        <v/>
      </c>
    </row>
    <row r="623">
      <c r="A623" s="41">
        <v>532.0</v>
      </c>
      <c r="B623" s="42" t="s">
        <v>1229</v>
      </c>
      <c r="C623" s="42" t="s">
        <v>1230</v>
      </c>
      <c r="D623" s="42"/>
      <c r="E623" s="42" t="str">
        <f t="shared" ref="E623:F623" si="624">PROPER(B623)</f>
        <v>Kaagapay Kilusang Bayang Tagapagpaunlad Multi-Purpose Coopertive (Kaakibat Mpc)</v>
      </c>
      <c r="F623" s="42" t="str">
        <f t="shared" si="624"/>
        <v>Labangan Poblacion, San Jose, Occidental Mindoro</v>
      </c>
      <c r="G623" s="42" t="str">
        <f t="shared" si="3"/>
        <v>Labangan Poblacion</v>
      </c>
      <c r="H623" s="42" t="str">
        <f t="shared" si="4"/>
        <v>San Jose</v>
      </c>
      <c r="I623" s="42" t="str">
        <f t="shared" si="5"/>
        <v>Occidental Mindoro</v>
      </c>
      <c r="J623" s="42" t="str">
        <f t="array" ref="J623">XLOOKUP($E623,'Recipients REF'!$B:$B,'Recipients REF'!D:D,"",0)</f>
        <v>RAMON SILVERIO</v>
      </c>
      <c r="K623" s="42" t="str">
        <f t="array" ref="K623">XLOOKUP($E623,'Recipients REF'!$B:$B,'Recipients REF'!E:E,"",0)</f>
        <v>0950 642 0584</v>
      </c>
      <c r="L623" s="43" t="str">
        <f t="array" ref="L623">XLOOKUP($A623,'Recipients REF'!$A:$A,'Recipients REF'!F:F,"",0)</f>
        <v>RCEF 24-04-15</v>
      </c>
      <c r="M623" s="43">
        <f t="array" ref="M623">XLOOKUP($A623,'Recipients REF'!$A:$A,'Recipients REF'!G:G,"",0)</f>
        <v>7</v>
      </c>
      <c r="N623" s="43">
        <f t="array" ref="N623">XLOOKUP($A623,'Recipients REF'!$A:$A,'Recipients REF'!H:H,"",0)</f>
        <v>20006</v>
      </c>
      <c r="O623" s="44" t="s">
        <v>25</v>
      </c>
      <c r="P623" s="45" t="s">
        <v>26</v>
      </c>
      <c r="Q623" s="46" t="str">
        <f t="array" ref="Q623">XLOOKUP($A623,'Recipients REF'!$A:$A,'Recipients REF'!I:I,"",0)</f>
        <v>KMC5825AHRFPV0849</v>
      </c>
      <c r="R623" s="47" t="str">
        <f t="array" ref="R623">XLOOKUP($A623,'Recipients REF'!$A:$A,'Recipients REF'!J:J,"",0)</f>
        <v>RTS100764</v>
      </c>
      <c r="S623" s="45" t="s">
        <v>27</v>
      </c>
      <c r="T623" s="45" t="s">
        <v>28</v>
      </c>
      <c r="U623" s="46" t="str">
        <f t="array" ref="U623">XLOOKUP($A623,'Recipients REF'!$A:$A,'Recipients REF'!K:K,"",0)</f>
        <v>LSGW170-RMP-24101054</v>
      </c>
      <c r="V623" s="44" t="s">
        <v>29</v>
      </c>
      <c r="W623" s="45" t="s">
        <v>30</v>
      </c>
      <c r="X623" s="47" t="str">
        <f t="array" ref="X623">XLOOKUP($A623,'Recipients REF'!$A:$A,'Recipients REF'!L:L,"",0)</f>
        <v>WDP40-RMP-25010119</v>
      </c>
      <c r="Y623" s="48" t="s">
        <v>29</v>
      </c>
      <c r="Z623" s="48" t="s">
        <v>31</v>
      </c>
      <c r="AA623" s="46" t="str">
        <f t="array" ref="AA623">XLOOKUP($A623,'Recipients REF'!$A:$A,'Recipients REF'!M:M,"",0)</f>
        <v>WR-SERIES-1217PH</v>
      </c>
      <c r="AB623" s="49"/>
      <c r="AC623" s="42"/>
      <c r="AD623" s="42"/>
      <c r="AE623" s="50"/>
      <c r="AF623" s="42"/>
      <c r="AG623" s="42"/>
      <c r="AH623" s="42"/>
      <c r="AI623" s="42" t="str">
        <f t="array" ref="AI623">XLOOKUP($E623,Sheet11!$D:$D,Sheet11!$X:$X,"",0)</f>
        <v/>
      </c>
      <c r="AJ623" s="42" t="str">
        <f t="array" ref="AJ623">XLOOKUP($E623,Sheet11!$D:$D,Sheet11!$Y:$Y,"",0)</f>
        <v/>
      </c>
    </row>
    <row r="624">
      <c r="A624" s="41">
        <v>533.0</v>
      </c>
      <c r="B624" s="42" t="s">
        <v>1231</v>
      </c>
      <c r="C624" s="42" t="s">
        <v>1230</v>
      </c>
      <c r="D624" s="42"/>
      <c r="E624" s="42" t="str">
        <f t="shared" ref="E624:F624" si="625">PROPER(B624)</f>
        <v>Mindoro Occidental Womens Rotary Corps Multipurpose Cooperative (Mowrcco Mpc)</v>
      </c>
      <c r="F624" s="42" t="str">
        <f t="shared" si="625"/>
        <v>Labangan Poblacion, San Jose, Occidental Mindoro</v>
      </c>
      <c r="G624" s="42" t="str">
        <f t="shared" si="3"/>
        <v>Labangan Poblacion</v>
      </c>
      <c r="H624" s="42" t="str">
        <f t="shared" si="4"/>
        <v>San Jose</v>
      </c>
      <c r="I624" s="42" t="str">
        <f t="shared" si="5"/>
        <v>Occidental Mindoro</v>
      </c>
      <c r="J624" s="42" t="str">
        <f t="array" ref="J624">XLOOKUP($E624,'Recipients REF'!$B:$B,'Recipients REF'!D:D,"",0)</f>
        <v>PACIENCIA ADVINCULA</v>
      </c>
      <c r="K624" s="42" t="str">
        <f t="array" ref="K624">XLOOKUP($E624,'Recipients REF'!$B:$B,'Recipients REF'!E:E,"",0)</f>
        <v>0965 749 5049</v>
      </c>
      <c r="L624" s="43" t="str">
        <f t="array" ref="L624">XLOOKUP($A624,'Recipients REF'!$A:$A,'Recipients REF'!F:F,"",0)</f>
        <v>RCEF 24-04-15</v>
      </c>
      <c r="M624" s="43">
        <f t="array" ref="M624">XLOOKUP($A624,'Recipients REF'!$A:$A,'Recipients REF'!G:G,"",0)</f>
        <v>7</v>
      </c>
      <c r="N624" s="43">
        <f t="array" ref="N624">XLOOKUP($A624,'Recipients REF'!$A:$A,'Recipients REF'!H:H,"",0)</f>
        <v>20007</v>
      </c>
      <c r="O624" s="44" t="s">
        <v>25</v>
      </c>
      <c r="P624" s="45" t="s">
        <v>26</v>
      </c>
      <c r="Q624" s="46" t="str">
        <f t="array" ref="Q624">XLOOKUP($A624,'Recipients REF'!$A:$A,'Recipients REF'!I:I,"",0)</f>
        <v>KMC5825ACRFPV0862</v>
      </c>
      <c r="R624" s="47" t="str">
        <f t="array" ref="R624">XLOOKUP($A624,'Recipients REF'!$A:$A,'Recipients REF'!J:J,"",0)</f>
        <v>RTS100786</v>
      </c>
      <c r="S624" s="45" t="s">
        <v>27</v>
      </c>
      <c r="T624" s="45" t="s">
        <v>28</v>
      </c>
      <c r="U624" s="46" t="str">
        <f t="array" ref="U624">XLOOKUP($A624,'Recipients REF'!$A:$A,'Recipients REF'!K:K,"",0)</f>
        <v>LSGW170-RMP-24080726</v>
      </c>
      <c r="V624" s="44" t="s">
        <v>29</v>
      </c>
      <c r="W624" s="45" t="s">
        <v>30</v>
      </c>
      <c r="X624" s="47" t="str">
        <f t="array" ref="X624">XLOOKUP($A624,'Recipients REF'!$A:$A,'Recipients REF'!L:L,"",0)</f>
        <v>WDP40-RMP-25010129</v>
      </c>
      <c r="Y624" s="48" t="s">
        <v>29</v>
      </c>
      <c r="Z624" s="48" t="s">
        <v>31</v>
      </c>
      <c r="AA624" s="46" t="str">
        <f t="array" ref="AA624">XLOOKUP($A624,'Recipients REF'!$A:$A,'Recipients REF'!M:M,"",0)</f>
        <v>WR-SERIES-1066PH</v>
      </c>
      <c r="AB624" s="49"/>
      <c r="AC624" s="42"/>
      <c r="AD624" s="42"/>
      <c r="AE624" s="50"/>
      <c r="AF624" s="42"/>
      <c r="AG624" s="42"/>
      <c r="AH624" s="42"/>
      <c r="AI624" s="42" t="str">
        <f t="array" ref="AI624">XLOOKUP($E624,Sheet11!$D:$D,Sheet11!$X:$X,"",0)</f>
        <v/>
      </c>
      <c r="AJ624" s="42" t="str">
        <f t="array" ref="AJ624">XLOOKUP($E624,Sheet11!$D:$D,Sheet11!$Y:$Y,"",0)</f>
        <v/>
      </c>
    </row>
    <row r="625">
      <c r="A625" s="41">
        <v>534.0</v>
      </c>
      <c r="B625" s="42" t="s">
        <v>1232</v>
      </c>
      <c r="C625" s="42" t="s">
        <v>1233</v>
      </c>
      <c r="D625" s="42"/>
      <c r="E625" s="42" t="str">
        <f t="shared" ref="E625:F625" si="626">PROPER(B625)</f>
        <v>Samahang Magpapatubig Ng Batasan, Inc.</v>
      </c>
      <c r="F625" s="42" t="str">
        <f t="shared" si="626"/>
        <v>, San Jose, Occidental Mindoro</v>
      </c>
      <c r="G625" s="42" t="str">
        <f t="shared" si="3"/>
        <v/>
      </c>
      <c r="H625" s="42" t="str">
        <f t="shared" si="4"/>
        <v>San Jose</v>
      </c>
      <c r="I625" s="42" t="str">
        <f t="shared" si="5"/>
        <v>Occidental Mindoro</v>
      </c>
      <c r="J625" s="42" t="str">
        <f t="array" ref="J625">XLOOKUP($E625,'Recipients REF'!$B:$B,'Recipients REF'!D:D,"",0)</f>
        <v>DOMINADOR BERNABE</v>
      </c>
      <c r="K625" s="42" t="str">
        <f t="array" ref="K625">XLOOKUP($E625,'Recipients REF'!$B:$B,'Recipients REF'!E:E,"",0)</f>
        <v>0945 731 5509</v>
      </c>
      <c r="L625" s="43" t="str">
        <f t="array" ref="L625">XLOOKUP($A625,'Recipients REF'!$A:$A,'Recipients REF'!F:F,"",0)</f>
        <v>RCEF 24-04-15</v>
      </c>
      <c r="M625" s="43">
        <f t="array" ref="M625">XLOOKUP($A625,'Recipients REF'!$A:$A,'Recipients REF'!G:G,"",0)</f>
        <v>7</v>
      </c>
      <c r="N625" s="43">
        <f t="array" ref="N625">XLOOKUP($A625,'Recipients REF'!$A:$A,'Recipients REF'!H:H,"",0)</f>
        <v>20008</v>
      </c>
      <c r="O625" s="44" t="s">
        <v>25</v>
      </c>
      <c r="P625" s="45" t="s">
        <v>26</v>
      </c>
      <c r="Q625" s="46" t="str">
        <f t="array" ref="Q625">XLOOKUP($A625,'Recipients REF'!$A:$A,'Recipients REF'!I:I,"",0)</f>
        <v>KMC5825AKRFPV0857</v>
      </c>
      <c r="R625" s="47" t="str">
        <f t="array" ref="R625">XLOOKUP($A625,'Recipients REF'!$A:$A,'Recipients REF'!J:J,"",0)</f>
        <v>RTS100745</v>
      </c>
      <c r="S625" s="45" t="s">
        <v>27</v>
      </c>
      <c r="T625" s="45" t="s">
        <v>28</v>
      </c>
      <c r="U625" s="46" t="str">
        <f t="array" ref="U625">XLOOKUP($A625,'Recipients REF'!$A:$A,'Recipients REF'!K:K,"",0)</f>
        <v>LSGW170-RMP-24100946</v>
      </c>
      <c r="V625" s="44" t="s">
        <v>29</v>
      </c>
      <c r="W625" s="45" t="s">
        <v>30</v>
      </c>
      <c r="X625" s="47" t="str">
        <f t="array" ref="X625">XLOOKUP($A625,'Recipients REF'!$A:$A,'Recipients REF'!L:L,"",0)</f>
        <v>WDP40-RMP-25010124</v>
      </c>
      <c r="Y625" s="48" t="s">
        <v>29</v>
      </c>
      <c r="Z625" s="48" t="s">
        <v>31</v>
      </c>
      <c r="AA625" s="46" t="str">
        <f t="array" ref="AA625">XLOOKUP($A625,'Recipients REF'!$A:$A,'Recipients REF'!M:M,"",0)</f>
        <v>WR-SERIES-1230PH</v>
      </c>
      <c r="AB625" s="49"/>
      <c r="AC625" s="42"/>
      <c r="AD625" s="42"/>
      <c r="AE625" s="50"/>
      <c r="AF625" s="42"/>
      <c r="AG625" s="42"/>
      <c r="AH625" s="42"/>
      <c r="AI625" s="42" t="str">
        <f t="array" ref="AI625">XLOOKUP($E625,Sheet11!$D:$D,Sheet11!$X:$X,"",0)</f>
        <v/>
      </c>
      <c r="AJ625" s="42" t="str">
        <f t="array" ref="AJ625">XLOOKUP($E625,Sheet11!$D:$D,Sheet11!$Y:$Y,"",0)</f>
        <v/>
      </c>
    </row>
    <row r="626">
      <c r="A626" s="41">
        <v>535.0</v>
      </c>
      <c r="B626" s="42" t="s">
        <v>1234</v>
      </c>
      <c r="C626" s="42" t="s">
        <v>1235</v>
      </c>
      <c r="D626" s="42"/>
      <c r="E626" s="42" t="str">
        <f t="shared" ref="E626:F626" si="627">PROPER(B626)</f>
        <v>Tagumpay Ng Curanta Free Farmers Cooperative (Tacuffco)</v>
      </c>
      <c r="F626" s="42" t="str">
        <f t="shared" si="627"/>
        <v>San Agustin, San Jose, Occidental Mindoro</v>
      </c>
      <c r="G626" s="42" t="str">
        <f t="shared" si="3"/>
        <v>San Agustin</v>
      </c>
      <c r="H626" s="42" t="str">
        <f t="shared" si="4"/>
        <v>San Jose</v>
      </c>
      <c r="I626" s="42" t="str">
        <f t="shared" si="5"/>
        <v>Occidental Mindoro</v>
      </c>
      <c r="J626" s="42" t="str">
        <f t="array" ref="J626">XLOOKUP($E626,'Recipients REF'!$B:$B,'Recipients REF'!D:D,"",0)</f>
        <v>CRISALDO FALLARIA</v>
      </c>
      <c r="K626" s="42" t="str">
        <f t="array" ref="K626">XLOOKUP($E626,'Recipients REF'!$B:$B,'Recipients REF'!E:E,"",0)</f>
        <v>0906 676 7922</v>
      </c>
      <c r="L626" s="43" t="str">
        <f t="array" ref="L626">XLOOKUP($A626,'Recipients REF'!$A:$A,'Recipients REF'!F:F,"",0)</f>
        <v>RCEF 24-04-15</v>
      </c>
      <c r="M626" s="43">
        <f t="array" ref="M626">XLOOKUP($A626,'Recipients REF'!$A:$A,'Recipients REF'!G:G,"",0)</f>
        <v>7</v>
      </c>
      <c r="N626" s="43">
        <f t="array" ref="N626">XLOOKUP($A626,'Recipients REF'!$A:$A,'Recipients REF'!H:H,"",0)</f>
        <v>20009</v>
      </c>
      <c r="O626" s="44" t="s">
        <v>25</v>
      </c>
      <c r="P626" s="45" t="s">
        <v>26</v>
      </c>
      <c r="Q626" s="46" t="str">
        <f t="array" ref="Q626">XLOOKUP($A626,'Recipients REF'!$A:$A,'Recipients REF'!I:I,"",0)</f>
        <v>KMC5825ALRFPV0865</v>
      </c>
      <c r="R626" s="47" t="str">
        <f t="array" ref="R626">XLOOKUP($A626,'Recipients REF'!$A:$A,'Recipients REF'!J:J,"",0)</f>
        <v>RTS100790</v>
      </c>
      <c r="S626" s="45" t="s">
        <v>27</v>
      </c>
      <c r="T626" s="45" t="s">
        <v>28</v>
      </c>
      <c r="U626" s="46" t="str">
        <f t="array" ref="U626">XLOOKUP($A626,'Recipients REF'!$A:$A,'Recipients REF'!K:K,"",0)</f>
        <v>LSGW170-RMP-24100948</v>
      </c>
      <c r="V626" s="44" t="s">
        <v>29</v>
      </c>
      <c r="W626" s="45" t="s">
        <v>30</v>
      </c>
      <c r="X626" s="47" t="str">
        <f t="array" ref="X626">XLOOKUP($A626,'Recipients REF'!$A:$A,'Recipients REF'!L:L,"",0)</f>
        <v>WDP40-RMP-24121494</v>
      </c>
      <c r="Y626" s="48" t="s">
        <v>29</v>
      </c>
      <c r="Z626" s="48" t="s">
        <v>31</v>
      </c>
      <c r="AA626" s="46" t="str">
        <f t="array" ref="AA626">XLOOKUP($A626,'Recipients REF'!$A:$A,'Recipients REF'!M:M,"",0)</f>
        <v>WR-SERIES-1083PH</v>
      </c>
      <c r="AB626" s="49"/>
      <c r="AC626" s="42"/>
      <c r="AD626" s="42"/>
      <c r="AE626" s="50"/>
      <c r="AF626" s="42"/>
      <c r="AG626" s="42"/>
      <c r="AH626" s="42"/>
      <c r="AI626" s="42" t="str">
        <f t="array" ref="AI626">XLOOKUP($E626,Sheet11!$D:$D,Sheet11!$X:$X,"",0)</f>
        <v/>
      </c>
      <c r="AJ626" s="42" t="str">
        <f t="array" ref="AJ626">XLOOKUP($E626,Sheet11!$D:$D,Sheet11!$Y:$Y,"",0)</f>
        <v/>
      </c>
    </row>
    <row r="627">
      <c r="A627" s="41">
        <v>536.0</v>
      </c>
      <c r="B627" s="42" t="s">
        <v>1236</v>
      </c>
      <c r="C627" s="42" t="s">
        <v>1237</v>
      </c>
      <c r="D627" s="42"/>
      <c r="E627" s="42" t="str">
        <f t="shared" ref="E627:F627" si="628">PROPER(B627)</f>
        <v>Amnay Cabagan Irrigators And Farmers Agriculture Cooperative</v>
      </c>
      <c r="F627" s="42" t="str">
        <f t="shared" si="628"/>
        <v>Barahan, Santa Cruz, Occidental Mindoro</v>
      </c>
      <c r="G627" s="42" t="str">
        <f t="shared" si="3"/>
        <v>Barahan</v>
      </c>
      <c r="H627" s="42" t="str">
        <f t="shared" si="4"/>
        <v>Santa Cruz</v>
      </c>
      <c r="I627" s="42" t="str">
        <f t="shared" si="5"/>
        <v>Occidental Mindoro</v>
      </c>
      <c r="J627" s="42" t="str">
        <f t="array" ref="J627">XLOOKUP($E627,'Recipients REF'!$B:$B,'Recipients REF'!D:D,"",0)</f>
        <v>JHONIFFER APAN</v>
      </c>
      <c r="K627" s="42" t="str">
        <f t="array" ref="K627">XLOOKUP($E627,'Recipients REF'!$B:$B,'Recipients REF'!E:E,"",0)</f>
        <v>0955 773 3522</v>
      </c>
      <c r="L627" s="43" t="str">
        <f t="array" ref="L627">XLOOKUP($A627,'Recipients REF'!$A:$A,'Recipients REF'!F:F,"",0)</f>
        <v>RCEF 24-04-15</v>
      </c>
      <c r="M627" s="43">
        <f t="array" ref="M627">XLOOKUP($A627,'Recipients REF'!$A:$A,'Recipients REF'!G:G,"",0)</f>
        <v>7</v>
      </c>
      <c r="N627" s="43">
        <f t="array" ref="N627">XLOOKUP($A627,'Recipients REF'!$A:$A,'Recipients REF'!H:H,"",0)</f>
        <v>20010</v>
      </c>
      <c r="O627" s="44" t="s">
        <v>25</v>
      </c>
      <c r="P627" s="45" t="s">
        <v>26</v>
      </c>
      <c r="Q627" s="46" t="str">
        <f t="array" ref="Q627">XLOOKUP($A627,'Recipients REF'!$A:$A,'Recipients REF'!I:I,"",0)</f>
        <v>KMC5825AARFPV0962</v>
      </c>
      <c r="R627" s="47" t="str">
        <f t="array" ref="R627">XLOOKUP($A627,'Recipients REF'!$A:$A,'Recipients REF'!J:J,"",0)</f>
        <v>RTS100676</v>
      </c>
      <c r="S627" s="45" t="s">
        <v>27</v>
      </c>
      <c r="T627" s="45" t="s">
        <v>28</v>
      </c>
      <c r="U627" s="46" t="str">
        <f t="array" ref="U627">XLOOKUP($A627,'Recipients REF'!$A:$A,'Recipients REF'!K:K,"",0)</f>
        <v>LSGW170-RMP-24100949</v>
      </c>
      <c r="V627" s="44" t="s">
        <v>29</v>
      </c>
      <c r="W627" s="45" t="s">
        <v>30</v>
      </c>
      <c r="X627" s="47" t="str">
        <f t="array" ref="X627">XLOOKUP($A627,'Recipients REF'!$A:$A,'Recipients REF'!L:L,"",0)</f>
        <v>WDP40-RMP-25010127</v>
      </c>
      <c r="Y627" s="48" t="s">
        <v>29</v>
      </c>
      <c r="Z627" s="48" t="s">
        <v>31</v>
      </c>
      <c r="AA627" s="46" t="str">
        <f t="array" ref="AA627">XLOOKUP($A627,'Recipients REF'!$A:$A,'Recipients REF'!M:M,"",0)</f>
        <v>WR-SERIES-1200PH</v>
      </c>
      <c r="AB627" s="49"/>
      <c r="AC627" s="42"/>
      <c r="AD627" s="42"/>
      <c r="AE627" s="50"/>
      <c r="AF627" s="42"/>
      <c r="AG627" s="42"/>
      <c r="AH627" s="42"/>
      <c r="AI627" s="42" t="str">
        <f t="array" ref="AI627">XLOOKUP($E627,Sheet11!$D:$D,Sheet11!$X:$X,"",0)</f>
        <v/>
      </c>
      <c r="AJ627" s="42" t="str">
        <f t="array" ref="AJ627">XLOOKUP($E627,Sheet11!$D:$D,Sheet11!$Y:$Y,"",0)</f>
        <v/>
      </c>
    </row>
    <row r="628">
      <c r="A628" s="41">
        <v>810.0</v>
      </c>
      <c r="B628" s="42" t="s">
        <v>1238</v>
      </c>
      <c r="C628" s="42" t="s">
        <v>1239</v>
      </c>
      <c r="D628" s="42"/>
      <c r="E628" s="42" t="str">
        <f t="shared" ref="E628:F628" si="629">PROPER(B628)</f>
        <v>Dauhan-Alatin Irrigators Association, Inc.</v>
      </c>
      <c r="F628" s="42" t="str">
        <f t="shared" si="629"/>
        <v>Lumangbayan, Abra De Ilog, Occidental Mindoro</v>
      </c>
      <c r="G628" s="42" t="str">
        <f t="shared" si="3"/>
        <v>Lumangbayan</v>
      </c>
      <c r="H628" s="42" t="str">
        <f t="shared" si="4"/>
        <v>Abra De Ilog</v>
      </c>
      <c r="I628" s="42" t="str">
        <f t="shared" si="5"/>
        <v>Occidental Mindoro</v>
      </c>
      <c r="J628" s="42" t="str">
        <f t="array" ref="J628">XLOOKUP($E628,'Recipients REF'!$B:$B,'Recipients REF'!D:D,"",0)</f>
        <v>Anastacia De Guzman</v>
      </c>
      <c r="K628" s="42" t="str">
        <f t="array" ref="K628">XLOOKUP($E628,'Recipients REF'!$B:$B,'Recipients REF'!E:E,"",0)</f>
        <v>0998 573 9960 (MAO)</v>
      </c>
      <c r="L628" s="43" t="str">
        <f t="array" ref="L628">XLOOKUP($A628,'Recipients REF'!$A:$A,'Recipients REF'!F:F,"",0)</f>
        <v>RCEF 25-03-05</v>
      </c>
      <c r="M628" s="43">
        <f t="array" ref="M628">XLOOKUP($A628,'Recipients REF'!$A:$A,'Recipients REF'!G:G,"",0)</f>
        <v>6</v>
      </c>
      <c r="N628" s="43" t="str">
        <f t="array" ref="N628">XLOOKUP($A628,'Recipients REF'!$A:$A,'Recipients REF'!H:H,"",0)</f>
        <v>26642 &amp; 27765</v>
      </c>
      <c r="O628" s="44" t="s">
        <v>25</v>
      </c>
      <c r="P628" s="45" t="s">
        <v>26</v>
      </c>
      <c r="Q628" s="46" t="str">
        <f t="array" ref="Q628">XLOOKUP($A628,'Recipients REF'!$A:$A,'Recipients REF'!I:I,"",0)</f>
        <v>KMC5825 AHSFPV0095</v>
      </c>
      <c r="R628" s="53" t="str">
        <f t="array" ref="R628">XLOOKUP($A628,'Recipients REF'!$A:$A,'Recipients REF'!J:J,"",0)</f>
        <v>STS100147</v>
      </c>
      <c r="S628" s="45" t="s">
        <v>27</v>
      </c>
      <c r="T628" s="45" t="s">
        <v>28</v>
      </c>
      <c r="U628" s="46" t="str">
        <f t="array" ref="U628">XLOOKUP($A628,'Recipients REF'!$A:$A,'Recipients REF'!K:K,"",0)</f>
        <v>WR-SERIES 048</v>
      </c>
      <c r="V628" s="44" t="s">
        <v>29</v>
      </c>
      <c r="W628" s="45" t="s">
        <v>30</v>
      </c>
      <c r="X628" s="53" t="str">
        <f t="array" ref="X628">XLOOKUP($A628,'Recipients REF'!$A:$A,'Recipients REF'!L:L,"",0)</f>
        <v>25090601</v>
      </c>
      <c r="Y628" s="48" t="s">
        <v>29</v>
      </c>
      <c r="Z628" s="48" t="s">
        <v>31</v>
      </c>
      <c r="AA628" s="54" t="str">
        <f t="array" ref="AA628">XLOOKUP($A628,'Recipients REF'!$A:$A,'Recipients REF'!M:M,"",0)</f>
        <v>25080834</v>
      </c>
      <c r="AB628" s="49"/>
      <c r="AC628" s="42"/>
      <c r="AD628" s="42"/>
      <c r="AE628" s="50"/>
      <c r="AF628" s="42"/>
      <c r="AG628" s="42"/>
      <c r="AH628" s="42"/>
      <c r="AI628" s="42" t="str">
        <f t="array" ref="AI628">XLOOKUP($E628,Sheet11!$D:$D,Sheet11!$X:$X,"",0)</f>
        <v/>
      </c>
      <c r="AJ628" s="42" t="str">
        <f t="array" ref="AJ628">XLOOKUP($E628,Sheet11!$D:$D,Sheet11!$Y:$Y,"",0)</f>
        <v/>
      </c>
    </row>
    <row r="629">
      <c r="A629" s="41">
        <v>811.0</v>
      </c>
      <c r="B629" s="42" t="s">
        <v>1240</v>
      </c>
      <c r="C629" s="42" t="s">
        <v>1241</v>
      </c>
      <c r="D629" s="42"/>
      <c r="E629" s="42" t="str">
        <f t="shared" ref="E629:F629" si="630">PROPER(B629)</f>
        <v>Inipitan Calawag Irrigators Association, Inc.</v>
      </c>
      <c r="F629" s="42" t="str">
        <f t="shared" si="630"/>
        <v>, Magsaysay, Occidental Mindoro</v>
      </c>
      <c r="G629" s="42" t="str">
        <f t="shared" si="3"/>
        <v/>
      </c>
      <c r="H629" s="42" t="str">
        <f t="shared" si="4"/>
        <v>Magsaysay</v>
      </c>
      <c r="I629" s="42" t="str">
        <f t="shared" si="5"/>
        <v>Occidental Mindoro</v>
      </c>
      <c r="J629" s="42" t="str">
        <f t="array" ref="J629">XLOOKUP($E629,'Recipients REF'!$B:$B,'Recipients REF'!D:D,"",0)</f>
        <v>Benito Graganta</v>
      </c>
      <c r="K629" s="42" t="str">
        <f t="array" ref="K629">XLOOKUP($E629,'Recipients REF'!$B:$B,'Recipients REF'!E:E,"",0)</f>
        <v>0946 259 1994</v>
      </c>
      <c r="L629" s="43" t="str">
        <f t="array" ref="L629">XLOOKUP($A629,'Recipients REF'!$A:$A,'Recipients REF'!F:F,"",0)</f>
        <v>RCEF 25-03-05</v>
      </c>
      <c r="M629" s="43">
        <f t="array" ref="M629">XLOOKUP($A629,'Recipients REF'!$A:$A,'Recipients REF'!G:G,"",0)</f>
        <v>6</v>
      </c>
      <c r="N629" s="43" t="str">
        <f t="array" ref="N629">XLOOKUP($A629,'Recipients REF'!$A:$A,'Recipients REF'!H:H,"",0)</f>
        <v>26643 &amp; 27766</v>
      </c>
      <c r="O629" s="44" t="s">
        <v>25</v>
      </c>
      <c r="P629" s="45" t="s">
        <v>26</v>
      </c>
      <c r="Q629" s="46" t="str">
        <f t="array" ref="Q629">XLOOKUP($A629,'Recipients REF'!$A:$A,'Recipients REF'!I:I,"",0)</f>
        <v>KMC5825 AJSFPV0011</v>
      </c>
      <c r="R629" s="53" t="str">
        <f t="array" ref="R629">XLOOKUP($A629,'Recipients REF'!$A:$A,'Recipients REF'!J:J,"",0)</f>
        <v>STS100020</v>
      </c>
      <c r="S629" s="45" t="s">
        <v>27</v>
      </c>
      <c r="T629" s="45" t="s">
        <v>28</v>
      </c>
      <c r="U629" s="46" t="str">
        <f t="array" ref="U629">XLOOKUP($A629,'Recipients REF'!$A:$A,'Recipients REF'!K:K,"",0)</f>
        <v>WR-SERIES 007</v>
      </c>
      <c r="V629" s="44" t="s">
        <v>29</v>
      </c>
      <c r="W629" s="45" t="s">
        <v>30</v>
      </c>
      <c r="X629" s="53" t="str">
        <f t="array" ref="X629">XLOOKUP($A629,'Recipients REF'!$A:$A,'Recipients REF'!L:L,"",0)</f>
        <v>25080301</v>
      </c>
      <c r="Y629" s="48" t="s">
        <v>29</v>
      </c>
      <c r="Z629" s="48" t="s">
        <v>31</v>
      </c>
      <c r="AA629" s="54" t="str">
        <f t="array" ref="AA629">XLOOKUP($A629,'Recipients REF'!$A:$A,'Recipients REF'!M:M,"",0)</f>
        <v>25080758</v>
      </c>
      <c r="AB629" s="49"/>
      <c r="AC629" s="42"/>
      <c r="AD629" s="42"/>
      <c r="AE629" s="50"/>
      <c r="AF629" s="42"/>
      <c r="AG629" s="42"/>
      <c r="AH629" s="42"/>
      <c r="AI629" s="42" t="str">
        <f t="array" ref="AI629">XLOOKUP($E629,Sheet11!$D:$D,Sheet11!$X:$X,"",0)</f>
        <v/>
      </c>
      <c r="AJ629" s="42" t="str">
        <f t="array" ref="AJ629">XLOOKUP($E629,Sheet11!$D:$D,Sheet11!$Y:$Y,"",0)</f>
        <v/>
      </c>
    </row>
    <row r="630">
      <c r="A630" s="41">
        <v>812.0</v>
      </c>
      <c r="B630" s="42" t="s">
        <v>1242</v>
      </c>
      <c r="C630" s="42" t="s">
        <v>1243</v>
      </c>
      <c r="D630" s="42"/>
      <c r="E630" s="42" t="str">
        <f t="shared" ref="E630:F630" si="631">PROPER(B630)</f>
        <v>Calamansian Poypoy Irrigators' Association, Inc.</v>
      </c>
      <c r="F630" s="42" t="str">
        <f t="shared" si="631"/>
        <v>, Calintaan, Occidental Mindoro</v>
      </c>
      <c r="G630" s="42" t="str">
        <f t="shared" si="3"/>
        <v/>
      </c>
      <c r="H630" s="42" t="str">
        <f t="shared" si="4"/>
        <v>Calintaan</v>
      </c>
      <c r="I630" s="42" t="str">
        <f t="shared" si="5"/>
        <v>Occidental Mindoro</v>
      </c>
      <c r="J630" s="42" t="str">
        <f t="array" ref="J630">XLOOKUP($E630,'Recipients REF'!$B:$B,'Recipients REF'!D:D,"",0)</f>
        <v/>
      </c>
      <c r="K630" s="42" t="str">
        <f t="array" ref="K630">XLOOKUP($E630,'Recipients REF'!$B:$B,'Recipients REF'!E:E,"",0)</f>
        <v/>
      </c>
      <c r="L630" s="43" t="str">
        <f t="array" ref="L630">XLOOKUP($A630,'Recipients REF'!$A:$A,'Recipients REF'!F:F,"",0)</f>
        <v>RCEF 25-03-05</v>
      </c>
      <c r="M630" s="43">
        <f t="array" ref="M630">XLOOKUP($A630,'Recipients REF'!$A:$A,'Recipients REF'!G:G,"",0)</f>
        <v>6</v>
      </c>
      <c r="N630" s="43" t="str">
        <f t="array" ref="N630">XLOOKUP($A630,'Recipients REF'!$A:$A,'Recipients REF'!H:H,"",0)</f>
        <v>26644 &amp; 27767</v>
      </c>
      <c r="O630" s="44" t="s">
        <v>25</v>
      </c>
      <c r="P630" s="45" t="s">
        <v>26</v>
      </c>
      <c r="Q630" s="46" t="str">
        <f t="array" ref="Q630">XLOOKUP($A630,'Recipients REF'!$A:$A,'Recipients REF'!I:I,"",0)</f>
        <v>KMC5825 APSFPV0345</v>
      </c>
      <c r="R630" s="53" t="str">
        <f t="array" ref="R630">XLOOKUP($A630,'Recipients REF'!$A:$A,'Recipients REF'!J:J,"",0)</f>
        <v>STS100356</v>
      </c>
      <c r="S630" s="45" t="s">
        <v>27</v>
      </c>
      <c r="T630" s="45" t="s">
        <v>28</v>
      </c>
      <c r="U630" s="46" t="str">
        <f t="array" ref="U630">XLOOKUP($A630,'Recipients REF'!$A:$A,'Recipients REF'!K:K,"",0)</f>
        <v>WR-SERIES 244</v>
      </c>
      <c r="V630" s="44" t="s">
        <v>29</v>
      </c>
      <c r="W630" s="45" t="s">
        <v>30</v>
      </c>
      <c r="X630" s="53" t="str">
        <f t="array" ref="X630">XLOOKUP($A630,'Recipients REF'!$A:$A,'Recipients REF'!L:L,"",0)</f>
        <v>25090598</v>
      </c>
      <c r="Y630" s="48" t="s">
        <v>29</v>
      </c>
      <c r="Z630" s="48" t="s">
        <v>31</v>
      </c>
      <c r="AA630" s="54" t="str">
        <f t="array" ref="AA630">XLOOKUP($A630,'Recipients REF'!$A:$A,'Recipients REF'!M:M,"",0)</f>
        <v>25080848</v>
      </c>
      <c r="AB630" s="49"/>
      <c r="AC630" s="42"/>
      <c r="AD630" s="42"/>
      <c r="AE630" s="50"/>
      <c r="AF630" s="42"/>
      <c r="AG630" s="42"/>
      <c r="AH630" s="42"/>
      <c r="AI630" s="42" t="str">
        <f t="array" ref="AI630">XLOOKUP($E630,Sheet11!$D:$D,Sheet11!$X:$X,"",0)</f>
        <v/>
      </c>
      <c r="AJ630" s="42" t="str">
        <f t="array" ref="AJ630">XLOOKUP($E630,Sheet11!$D:$D,Sheet11!$Y:$Y,"",0)</f>
        <v/>
      </c>
    </row>
    <row r="631">
      <c r="A631" s="41">
        <v>813.0</v>
      </c>
      <c r="B631" s="42" t="s">
        <v>1244</v>
      </c>
      <c r="C631" s="42" t="s">
        <v>1243</v>
      </c>
      <c r="D631" s="42"/>
      <c r="E631" s="42" t="str">
        <f t="shared" ref="E631:F631" si="632">PROPER(B631)</f>
        <v>Calintaan Young Blood Farmers And Fishermen Multi-Purpose Cooperative</v>
      </c>
      <c r="F631" s="42" t="str">
        <f t="shared" si="632"/>
        <v>, Calintaan, Occidental Mindoro</v>
      </c>
      <c r="G631" s="42" t="str">
        <f t="shared" si="3"/>
        <v/>
      </c>
      <c r="H631" s="42" t="str">
        <f t="shared" si="4"/>
        <v>Calintaan</v>
      </c>
      <c r="I631" s="42" t="str">
        <f t="shared" si="5"/>
        <v>Occidental Mindoro</v>
      </c>
      <c r="J631" s="42" t="str">
        <f t="array" ref="J631">XLOOKUP($E631,'Recipients REF'!$B:$B,'Recipients REF'!D:D,"",0)</f>
        <v>Edson Del Rosario</v>
      </c>
      <c r="K631" s="42" t="str">
        <f t="array" ref="K631">XLOOKUP($E631,'Recipients REF'!$B:$B,'Recipients REF'!E:E,"",0)</f>
        <v>0966 931 6474</v>
      </c>
      <c r="L631" s="43" t="str">
        <f t="array" ref="L631">XLOOKUP($A631,'Recipients REF'!$A:$A,'Recipients REF'!F:F,"",0)</f>
        <v>RCEF 25-03-05</v>
      </c>
      <c r="M631" s="43">
        <f t="array" ref="M631">XLOOKUP($A631,'Recipients REF'!$A:$A,'Recipients REF'!G:G,"",0)</f>
        <v>6</v>
      </c>
      <c r="N631" s="43" t="str">
        <f t="array" ref="N631">XLOOKUP($A631,'Recipients REF'!$A:$A,'Recipients REF'!H:H,"",0)</f>
        <v>26645 &amp; 27768</v>
      </c>
      <c r="O631" s="44" t="s">
        <v>25</v>
      </c>
      <c r="P631" s="45" t="s">
        <v>26</v>
      </c>
      <c r="Q631" s="46" t="str">
        <f t="array" ref="Q631">XLOOKUP($A631,'Recipients REF'!$A:$A,'Recipients REF'!I:I,"",0)</f>
        <v>KMC5825 AHSFPV0291</v>
      </c>
      <c r="R631" s="53" t="str">
        <f t="array" ref="R631">XLOOKUP($A631,'Recipients REF'!$A:$A,'Recipients REF'!J:J,"",0)</f>
        <v>STS100294</v>
      </c>
      <c r="S631" s="45" t="s">
        <v>27</v>
      </c>
      <c r="T631" s="45" t="s">
        <v>28</v>
      </c>
      <c r="U631" s="46" t="str">
        <f t="array" ref="U631">XLOOKUP($A631,'Recipients REF'!$A:$A,'Recipients REF'!K:K,"",0)</f>
        <v>WR-SERIES 273</v>
      </c>
      <c r="V631" s="44" t="s">
        <v>29</v>
      </c>
      <c r="W631" s="45" t="s">
        <v>30</v>
      </c>
      <c r="X631" s="53" t="str">
        <f t="array" ref="X631">XLOOKUP($A631,'Recipients REF'!$A:$A,'Recipients REF'!L:L,"",0)</f>
        <v>25090577</v>
      </c>
      <c r="Y631" s="48" t="s">
        <v>29</v>
      </c>
      <c r="Z631" s="48" t="s">
        <v>31</v>
      </c>
      <c r="AA631" s="54" t="str">
        <f t="array" ref="AA631">XLOOKUP($A631,'Recipients REF'!$A:$A,'Recipients REF'!M:M,"",0)</f>
        <v>25080882</v>
      </c>
      <c r="AB631" s="49"/>
      <c r="AC631" s="42"/>
      <c r="AD631" s="42"/>
      <c r="AE631" s="50"/>
      <c r="AF631" s="42"/>
      <c r="AG631" s="42"/>
      <c r="AH631" s="42"/>
      <c r="AI631" s="42" t="str">
        <f t="array" ref="AI631">XLOOKUP($E631,Sheet11!$D:$D,Sheet11!$X:$X,"",0)</f>
        <v/>
      </c>
      <c r="AJ631" s="42" t="str">
        <f t="array" ref="AJ631">XLOOKUP($E631,Sheet11!$D:$D,Sheet11!$Y:$Y,"",0)</f>
        <v/>
      </c>
    </row>
    <row r="632">
      <c r="A632" s="41">
        <v>814.0</v>
      </c>
      <c r="B632" s="42" t="s">
        <v>1245</v>
      </c>
      <c r="C632" s="42" t="s">
        <v>1243</v>
      </c>
      <c r="D632" s="42"/>
      <c r="E632" s="42" t="str">
        <f t="shared" ref="E632:F632" si="633">PROPER(B632)</f>
        <v>Concepcion Farmers Multi-Purpose Cooperative</v>
      </c>
      <c r="F632" s="42" t="str">
        <f t="shared" si="633"/>
        <v>, Calintaan, Occidental Mindoro</v>
      </c>
      <c r="G632" s="42" t="str">
        <f t="shared" si="3"/>
        <v/>
      </c>
      <c r="H632" s="42" t="str">
        <f t="shared" si="4"/>
        <v>Calintaan</v>
      </c>
      <c r="I632" s="42" t="str">
        <f t="shared" si="5"/>
        <v>Occidental Mindoro</v>
      </c>
      <c r="J632" s="42" t="str">
        <f t="array" ref="J632">XLOOKUP($E632,'Recipients REF'!$B:$B,'Recipients REF'!D:D,"",0)</f>
        <v>Leido Isidro</v>
      </c>
      <c r="K632" s="42" t="str">
        <f t="array" ref="K632">XLOOKUP($E632,'Recipients REF'!$B:$B,'Recipients REF'!E:E,"",0)</f>
        <v>0955 347 7897</v>
      </c>
      <c r="L632" s="43" t="str">
        <f t="array" ref="L632">XLOOKUP($A632,'Recipients REF'!$A:$A,'Recipients REF'!F:F,"",0)</f>
        <v>RCEF 25-03-05</v>
      </c>
      <c r="M632" s="43">
        <f t="array" ref="M632">XLOOKUP($A632,'Recipients REF'!$A:$A,'Recipients REF'!G:G,"",0)</f>
        <v>6</v>
      </c>
      <c r="N632" s="43" t="str">
        <f t="array" ref="N632">XLOOKUP($A632,'Recipients REF'!$A:$A,'Recipients REF'!H:H,"",0)</f>
        <v>26646 &amp; 27769</v>
      </c>
      <c r="O632" s="44" t="s">
        <v>25</v>
      </c>
      <c r="P632" s="45" t="s">
        <v>26</v>
      </c>
      <c r="Q632" s="46" t="str">
        <f t="array" ref="Q632">XLOOKUP($A632,'Recipients REF'!$A:$A,'Recipients REF'!I:I,"",0)</f>
        <v>KMC5825 AKSFPV0363</v>
      </c>
      <c r="R632" s="53" t="str">
        <f t="array" ref="R632">XLOOKUP($A632,'Recipients REF'!$A:$A,'Recipients REF'!J:J,"",0)</f>
        <v>STS100415</v>
      </c>
      <c r="S632" s="45" t="s">
        <v>27</v>
      </c>
      <c r="T632" s="45" t="s">
        <v>28</v>
      </c>
      <c r="U632" s="46" t="str">
        <f t="array" ref="U632">XLOOKUP($A632,'Recipients REF'!$A:$A,'Recipients REF'!K:K,"",0)</f>
        <v>WR-SERIES 279</v>
      </c>
      <c r="V632" s="44" t="s">
        <v>29</v>
      </c>
      <c r="W632" s="45" t="s">
        <v>30</v>
      </c>
      <c r="X632" s="53" t="str">
        <f t="array" ref="X632">XLOOKUP($A632,'Recipients REF'!$A:$A,'Recipients REF'!L:L,"",0)</f>
        <v>25090558</v>
      </c>
      <c r="Y632" s="48" t="s">
        <v>29</v>
      </c>
      <c r="Z632" s="48" t="s">
        <v>31</v>
      </c>
      <c r="AA632" s="54" t="str">
        <f t="array" ref="AA632">XLOOKUP($A632,'Recipients REF'!$A:$A,'Recipients REF'!M:M,"",0)</f>
        <v>25080838</v>
      </c>
      <c r="AB632" s="49"/>
      <c r="AC632" s="42"/>
      <c r="AD632" s="42"/>
      <c r="AE632" s="50"/>
      <c r="AF632" s="42"/>
      <c r="AG632" s="42"/>
      <c r="AH632" s="42"/>
      <c r="AI632" s="42" t="str">
        <f t="array" ref="AI632">XLOOKUP($E632,Sheet11!$D:$D,Sheet11!$X:$X,"",0)</f>
        <v/>
      </c>
      <c r="AJ632" s="42" t="str">
        <f t="array" ref="AJ632">XLOOKUP($E632,Sheet11!$D:$D,Sheet11!$Y:$Y,"",0)</f>
        <v/>
      </c>
    </row>
    <row r="633">
      <c r="A633" s="41">
        <v>815.0</v>
      </c>
      <c r="B633" s="42" t="s">
        <v>1246</v>
      </c>
      <c r="C633" s="42" t="s">
        <v>1247</v>
      </c>
      <c r="D633" s="42"/>
      <c r="E633" s="42" t="str">
        <f t="shared" ref="E633:F633" si="634">PROPER(B633)</f>
        <v>Binakas Agri Association</v>
      </c>
      <c r="F633" s="42" t="str">
        <f t="shared" si="634"/>
        <v>Binakas, Lubang, Occidental Mindoro</v>
      </c>
      <c r="G633" s="42" t="str">
        <f t="shared" si="3"/>
        <v>Binakas</v>
      </c>
      <c r="H633" s="42" t="str">
        <f t="shared" si="4"/>
        <v>Lubang</v>
      </c>
      <c r="I633" s="42" t="str">
        <f t="shared" si="5"/>
        <v>Occidental Mindoro</v>
      </c>
      <c r="J633" s="42" t="str">
        <f t="array" ref="J633">XLOOKUP($E633,'Recipients REF'!$B:$B,'Recipients REF'!D:D,"",0)</f>
        <v>Roseller Tardio</v>
      </c>
      <c r="K633" s="42" t="str">
        <f t="array" ref="K633">XLOOKUP($E633,'Recipients REF'!$B:$B,'Recipients REF'!E:E,"",0)</f>
        <v>0928 554 2592</v>
      </c>
      <c r="L633" s="43" t="str">
        <f t="array" ref="L633">XLOOKUP($A633,'Recipients REF'!$A:$A,'Recipients REF'!F:F,"",0)</f>
        <v>RCEF 25-03-05</v>
      </c>
      <c r="M633" s="43">
        <f t="array" ref="M633">XLOOKUP($A633,'Recipients REF'!$A:$A,'Recipients REF'!G:G,"",0)</f>
        <v>6</v>
      </c>
      <c r="N633" s="43" t="str">
        <f t="array" ref="N633">XLOOKUP($A633,'Recipients REF'!$A:$A,'Recipients REF'!H:H,"",0)</f>
        <v>26647 &amp; 27901</v>
      </c>
      <c r="O633" s="44" t="s">
        <v>25</v>
      </c>
      <c r="P633" s="45" t="s">
        <v>26</v>
      </c>
      <c r="Q633" s="46" t="str">
        <f t="array" ref="Q633">XLOOKUP($A633,'Recipients REF'!$A:$A,'Recipients REF'!I:I,"",0)</f>
        <v>KMC5825 ACSFPV0639</v>
      </c>
      <c r="R633" s="53" t="str">
        <f t="array" ref="R633">XLOOKUP($A633,'Recipients REF'!$A:$A,'Recipients REF'!J:J,"",0)</f>
        <v>STS100351</v>
      </c>
      <c r="S633" s="45" t="s">
        <v>27</v>
      </c>
      <c r="T633" s="45" t="s">
        <v>28</v>
      </c>
      <c r="U633" s="46" t="str">
        <f t="array" ref="U633">XLOOKUP($A633,'Recipients REF'!$A:$A,'Recipients REF'!K:K,"",0)</f>
        <v>WR-SERIES 1354PH</v>
      </c>
      <c r="V633" s="44" t="s">
        <v>29</v>
      </c>
      <c r="W633" s="45" t="s">
        <v>30</v>
      </c>
      <c r="X633" s="53" t="str">
        <f t="array" ref="X633">XLOOKUP($A633,'Recipients REF'!$A:$A,'Recipients REF'!L:L,"",0)</f>
        <v>2510839</v>
      </c>
      <c r="Y633" s="48" t="s">
        <v>29</v>
      </c>
      <c r="Z633" s="48" t="s">
        <v>31</v>
      </c>
      <c r="AA633" s="54">
        <f t="array" ref="AA633">XLOOKUP($A633,'Recipients REF'!$A:$A,'Recipients REF'!M:M,"",0)</f>
        <v>25121420</v>
      </c>
      <c r="AB633" s="49"/>
      <c r="AC633" s="42"/>
      <c r="AD633" s="42"/>
      <c r="AE633" s="50"/>
      <c r="AF633" s="42"/>
      <c r="AG633" s="42"/>
      <c r="AH633" s="42"/>
      <c r="AI633" s="42" t="str">
        <f t="array" ref="AI633">XLOOKUP($E633,Sheet11!$D:$D,Sheet11!$X:$X,"",0)</f>
        <v/>
      </c>
      <c r="AJ633" s="42" t="str">
        <f t="array" ref="AJ633">XLOOKUP($E633,Sheet11!$D:$D,Sheet11!$Y:$Y,"",0)</f>
        <v/>
      </c>
    </row>
    <row r="634">
      <c r="A634" s="41">
        <v>816.0</v>
      </c>
      <c r="B634" s="42" t="s">
        <v>1248</v>
      </c>
      <c r="C634" s="42" t="s">
        <v>1241</v>
      </c>
      <c r="D634" s="42"/>
      <c r="E634" s="42" t="str">
        <f t="shared" ref="E634:F634" si="635">PROPER(B634)</f>
        <v>Mabuting Pastol Ng Kanlurang Mindoro Multi-Purpose Cooperative</v>
      </c>
      <c r="F634" s="42" t="str">
        <f t="shared" si="635"/>
        <v>, Magsaysay, Occidental Mindoro</v>
      </c>
      <c r="G634" s="42" t="str">
        <f t="shared" si="3"/>
        <v/>
      </c>
      <c r="H634" s="42" t="str">
        <f t="shared" si="4"/>
        <v>Magsaysay</v>
      </c>
      <c r="I634" s="42" t="str">
        <f t="shared" si="5"/>
        <v>Occidental Mindoro</v>
      </c>
      <c r="J634" s="42" t="str">
        <f t="array" ref="J634">XLOOKUP($E634,'Recipients REF'!$B:$B,'Recipients REF'!D:D,"",0)</f>
        <v>Imelda Reguyal</v>
      </c>
      <c r="K634" s="42" t="str">
        <f t="array" ref="K634">XLOOKUP($E634,'Recipients REF'!$B:$B,'Recipients REF'!E:E,"",0)</f>
        <v>0920 981 7356</v>
      </c>
      <c r="L634" s="43" t="str">
        <f t="array" ref="L634">XLOOKUP($A634,'Recipients REF'!$A:$A,'Recipients REF'!F:F,"",0)</f>
        <v>RCEF 25-03-05</v>
      </c>
      <c r="M634" s="43">
        <f t="array" ref="M634">XLOOKUP($A634,'Recipients REF'!$A:$A,'Recipients REF'!G:G,"",0)</f>
        <v>6</v>
      </c>
      <c r="N634" s="43" t="str">
        <f t="array" ref="N634">XLOOKUP($A634,'Recipients REF'!$A:$A,'Recipients REF'!H:H,"",0)</f>
        <v>26648 &amp; 27770</v>
      </c>
      <c r="O634" s="44" t="s">
        <v>25</v>
      </c>
      <c r="P634" s="45" t="s">
        <v>26</v>
      </c>
      <c r="Q634" s="46" t="str">
        <f t="array" ref="Q634">XLOOKUP($A634,'Recipients REF'!$A:$A,'Recipients REF'!I:I,"",0)</f>
        <v>KMC5825 ATSFPV0022</v>
      </c>
      <c r="R634" s="53" t="str">
        <f t="array" ref="R634">XLOOKUP($A634,'Recipients REF'!$A:$A,'Recipients REF'!J:J,"",0)</f>
        <v>STS100023</v>
      </c>
      <c r="S634" s="45" t="s">
        <v>27</v>
      </c>
      <c r="T634" s="45" t="s">
        <v>28</v>
      </c>
      <c r="U634" s="46" t="str">
        <f t="array" ref="U634">XLOOKUP($A634,'Recipients REF'!$A:$A,'Recipients REF'!K:K,"",0)</f>
        <v>WR-SERIES 042</v>
      </c>
      <c r="V634" s="44" t="s">
        <v>29</v>
      </c>
      <c r="W634" s="45" t="s">
        <v>30</v>
      </c>
      <c r="X634" s="53" t="str">
        <f t="array" ref="X634">XLOOKUP($A634,'Recipients REF'!$A:$A,'Recipients REF'!L:L,"",0)</f>
        <v>25070132</v>
      </c>
      <c r="Y634" s="48" t="s">
        <v>29</v>
      </c>
      <c r="Z634" s="48" t="s">
        <v>31</v>
      </c>
      <c r="AA634" s="54" t="str">
        <f t="array" ref="AA634">XLOOKUP($A634,'Recipients REF'!$A:$A,'Recipients REF'!M:M,"",0)</f>
        <v>25080769</v>
      </c>
      <c r="AB634" s="49"/>
      <c r="AC634" s="42"/>
      <c r="AD634" s="42"/>
      <c r="AE634" s="50"/>
      <c r="AF634" s="42"/>
      <c r="AG634" s="42"/>
      <c r="AH634" s="42"/>
      <c r="AI634" s="42" t="str">
        <f t="array" ref="AI634">XLOOKUP($E634,Sheet11!$D:$D,Sheet11!$X:$X,"",0)</f>
        <v/>
      </c>
      <c r="AJ634" s="42" t="str">
        <f t="array" ref="AJ634">XLOOKUP($E634,Sheet11!$D:$D,Sheet11!$Y:$Y,"",0)</f>
        <v/>
      </c>
    </row>
    <row r="635">
      <c r="A635" s="41">
        <v>817.0</v>
      </c>
      <c r="B635" s="42" t="s">
        <v>1249</v>
      </c>
      <c r="C635" s="42" t="s">
        <v>1241</v>
      </c>
      <c r="D635" s="42"/>
      <c r="E635" s="42" t="str">
        <f t="shared" ref="E635:F635" si="636">PROPER(B635)</f>
        <v>Municipal Local Government Unit Of Magsaysay</v>
      </c>
      <c r="F635" s="42" t="str">
        <f t="shared" si="636"/>
        <v>, Magsaysay, Occidental Mindoro</v>
      </c>
      <c r="G635" s="42" t="str">
        <f t="shared" si="3"/>
        <v/>
      </c>
      <c r="H635" s="42" t="str">
        <f t="shared" si="4"/>
        <v>Magsaysay</v>
      </c>
      <c r="I635" s="42" t="str">
        <f t="shared" si="5"/>
        <v>Occidental Mindoro</v>
      </c>
      <c r="J635" s="42" t="str">
        <f t="array" ref="J635">XLOOKUP($E635,'Recipients REF'!$B:$B,'Recipients REF'!D:D,"",0)</f>
        <v>Hon. Cesar M. Tria Jr.</v>
      </c>
      <c r="K635" s="42" t="str">
        <f t="array" ref="K635">XLOOKUP($E635,'Recipients REF'!$B:$B,'Recipients REF'!E:E,"",0)</f>
        <v>0948 501 3446 (MA)</v>
      </c>
      <c r="L635" s="43" t="str">
        <f t="array" ref="L635">XLOOKUP($A635,'Recipients REF'!$A:$A,'Recipients REF'!F:F,"",0)</f>
        <v>RCEF 25-03-05</v>
      </c>
      <c r="M635" s="43">
        <f t="array" ref="M635">XLOOKUP($A635,'Recipients REF'!$A:$A,'Recipients REF'!G:G,"",0)</f>
        <v>6</v>
      </c>
      <c r="N635" s="43" t="str">
        <f t="array" ref="N635">XLOOKUP($A635,'Recipients REF'!$A:$A,'Recipients REF'!H:H,"",0)</f>
        <v>26649 &amp; 27771</v>
      </c>
      <c r="O635" s="44" t="s">
        <v>25</v>
      </c>
      <c r="P635" s="45" t="s">
        <v>26</v>
      </c>
      <c r="Q635" s="46" t="str">
        <f t="array" ref="Q635">XLOOKUP($A635,'Recipients REF'!$A:$A,'Recipients REF'!I:I,"",0)</f>
        <v>KMC5825 ATSFPV0005</v>
      </c>
      <c r="R635" s="53" t="str">
        <f t="array" ref="R635">XLOOKUP($A635,'Recipients REF'!$A:$A,'Recipients REF'!J:J,"",0)</f>
        <v>STS100026</v>
      </c>
      <c r="S635" s="45" t="s">
        <v>27</v>
      </c>
      <c r="T635" s="45" t="s">
        <v>28</v>
      </c>
      <c r="U635" s="46" t="str">
        <f t="array" ref="U635">XLOOKUP($A635,'Recipients REF'!$A:$A,'Recipients REF'!K:K,"",0)</f>
        <v>WR-SERIES 084</v>
      </c>
      <c r="V635" s="44" t="s">
        <v>29</v>
      </c>
      <c r="W635" s="45" t="s">
        <v>30</v>
      </c>
      <c r="X635" s="53" t="str">
        <f t="array" ref="X635">XLOOKUP($A635,'Recipients REF'!$A:$A,'Recipients REF'!L:L,"",0)</f>
        <v>25070096</v>
      </c>
      <c r="Y635" s="48" t="s">
        <v>29</v>
      </c>
      <c r="Z635" s="48" t="s">
        <v>31</v>
      </c>
      <c r="AA635" s="54" t="str">
        <f t="array" ref="AA635">XLOOKUP($A635,'Recipients REF'!$A:$A,'Recipients REF'!M:M,"",0)</f>
        <v>25080767</v>
      </c>
      <c r="AB635" s="49"/>
      <c r="AC635" s="42"/>
      <c r="AD635" s="42"/>
      <c r="AE635" s="50"/>
      <c r="AF635" s="42"/>
      <c r="AG635" s="42"/>
      <c r="AH635" s="42"/>
      <c r="AI635" s="42" t="str">
        <f t="array" ref="AI635">XLOOKUP($E635,Sheet11!$D:$D,Sheet11!$X:$X,"",0)</f>
        <v/>
      </c>
      <c r="AJ635" s="42" t="str">
        <f t="array" ref="AJ635">XLOOKUP($E635,Sheet11!$D:$D,Sheet11!$Y:$Y,"",0)</f>
        <v/>
      </c>
    </row>
    <row r="636">
      <c r="A636" s="41">
        <v>818.0</v>
      </c>
      <c r="B636" s="42" t="s">
        <v>1250</v>
      </c>
      <c r="C636" s="42" t="s">
        <v>1251</v>
      </c>
      <c r="D636" s="42"/>
      <c r="E636" s="42" t="str">
        <f t="shared" ref="E636:F636" si="637">PROPER(B636)</f>
        <v>Purnaga Farmers Association, Inc.</v>
      </c>
      <c r="F636" s="42" t="str">
        <f t="shared" si="637"/>
        <v>Purnaga, Magsaysay, Occidental Mindoro</v>
      </c>
      <c r="G636" s="42" t="str">
        <f t="shared" si="3"/>
        <v>Purnaga</v>
      </c>
      <c r="H636" s="42" t="str">
        <f t="shared" si="4"/>
        <v>Magsaysay</v>
      </c>
      <c r="I636" s="42" t="str">
        <f t="shared" si="5"/>
        <v>Occidental Mindoro</v>
      </c>
      <c r="J636" s="42" t="str">
        <f t="array" ref="J636">XLOOKUP($E636,'Recipients REF'!$B:$B,'Recipients REF'!D:D,"",0)</f>
        <v>Eddie Borce</v>
      </c>
      <c r="K636" s="42" t="str">
        <f t="array" ref="K636">XLOOKUP($E636,'Recipients REF'!$B:$B,'Recipients REF'!E:E,"",0)</f>
        <v>0951 104 2877</v>
      </c>
      <c r="L636" s="43" t="str">
        <f t="array" ref="L636">XLOOKUP($A636,'Recipients REF'!$A:$A,'Recipients REF'!F:F,"",0)</f>
        <v>RCEF 25-03-05</v>
      </c>
      <c r="M636" s="43">
        <f t="array" ref="M636">XLOOKUP($A636,'Recipients REF'!$A:$A,'Recipients REF'!G:G,"",0)</f>
        <v>6</v>
      </c>
      <c r="N636" s="43" t="str">
        <f t="array" ref="N636">XLOOKUP($A636,'Recipients REF'!$A:$A,'Recipients REF'!H:H,"",0)</f>
        <v>26650 &amp; 27772</v>
      </c>
      <c r="O636" s="44" t="s">
        <v>25</v>
      </c>
      <c r="P636" s="45" t="s">
        <v>26</v>
      </c>
      <c r="Q636" s="46" t="str">
        <f t="array" ref="Q636">XLOOKUP($A636,'Recipients REF'!$A:$A,'Recipients REF'!I:I,"",0)</f>
        <v>KMC5825 ATSFPV0019</v>
      </c>
      <c r="R636" s="53" t="str">
        <f t="array" ref="R636">XLOOKUP($A636,'Recipients REF'!$A:$A,'Recipients REF'!J:J,"",0)</f>
        <v>STS100009</v>
      </c>
      <c r="S636" s="45" t="s">
        <v>27</v>
      </c>
      <c r="T636" s="45" t="s">
        <v>28</v>
      </c>
      <c r="U636" s="46" t="str">
        <f t="array" ref="U636">XLOOKUP($A636,'Recipients REF'!$A:$A,'Recipients REF'!K:K,"",0)</f>
        <v>WR-SERIES 041</v>
      </c>
      <c r="V636" s="44" t="s">
        <v>29</v>
      </c>
      <c r="W636" s="45" t="s">
        <v>30</v>
      </c>
      <c r="X636" s="53" t="str">
        <f t="array" ref="X636">XLOOKUP($A636,'Recipients REF'!$A:$A,'Recipients REF'!L:L,"",0)</f>
        <v>25070126</v>
      </c>
      <c r="Y636" s="48" t="s">
        <v>29</v>
      </c>
      <c r="Z636" s="48" t="s">
        <v>31</v>
      </c>
      <c r="AA636" s="54" t="str">
        <f t="array" ref="AA636">XLOOKUP($A636,'Recipients REF'!$A:$A,'Recipients REF'!M:M,"",0)</f>
        <v>25080752</v>
      </c>
      <c r="AB636" s="49"/>
      <c r="AC636" s="42"/>
      <c r="AD636" s="42"/>
      <c r="AE636" s="50"/>
      <c r="AF636" s="42"/>
      <c r="AG636" s="42"/>
      <c r="AH636" s="42"/>
      <c r="AI636" s="42" t="str">
        <f t="array" ref="AI636">XLOOKUP($E636,Sheet11!$D:$D,Sheet11!$X:$X,"",0)</f>
        <v/>
      </c>
      <c r="AJ636" s="42" t="str">
        <f t="array" ref="AJ636">XLOOKUP($E636,Sheet11!$D:$D,Sheet11!$Y:$Y,"",0)</f>
        <v/>
      </c>
    </row>
    <row r="637">
      <c r="A637" s="41">
        <v>819.0</v>
      </c>
      <c r="B637" s="42" t="s">
        <v>1252</v>
      </c>
      <c r="C637" s="42" t="s">
        <v>1241</v>
      </c>
      <c r="D637" s="42"/>
      <c r="E637" s="42" t="str">
        <f t="shared" ref="E637:F637" si="638">PROPER(B637)</f>
        <v>Riveco Farmers Associaton</v>
      </c>
      <c r="F637" s="42" t="str">
        <f t="shared" si="638"/>
        <v>, Magsaysay, Occidental Mindoro</v>
      </c>
      <c r="G637" s="42" t="str">
        <f t="shared" si="3"/>
        <v/>
      </c>
      <c r="H637" s="42" t="str">
        <f t="shared" si="4"/>
        <v>Magsaysay</v>
      </c>
      <c r="I637" s="42" t="str">
        <f t="shared" si="5"/>
        <v>Occidental Mindoro</v>
      </c>
      <c r="J637" s="42" t="str">
        <f t="array" ref="J637">XLOOKUP($E637,'Recipients REF'!$B:$B,'Recipients REF'!D:D,"",0)</f>
        <v>Victor Tejoso</v>
      </c>
      <c r="K637" s="42" t="str">
        <f t="array" ref="K637">XLOOKUP($E637,'Recipients REF'!$B:$B,'Recipients REF'!E:E,"",0)</f>
        <v>0930 101 9437</v>
      </c>
      <c r="L637" s="43" t="str">
        <f t="array" ref="L637">XLOOKUP($A637,'Recipients REF'!$A:$A,'Recipients REF'!F:F,"",0)</f>
        <v>RCEF 25-03-05</v>
      </c>
      <c r="M637" s="43">
        <f t="array" ref="M637">XLOOKUP($A637,'Recipients REF'!$A:$A,'Recipients REF'!G:G,"",0)</f>
        <v>6</v>
      </c>
      <c r="N637" s="43" t="str">
        <f t="array" ref="N637">XLOOKUP($A637,'Recipients REF'!$A:$A,'Recipients REF'!H:H,"",0)</f>
        <v>26819 &amp; 27773</v>
      </c>
      <c r="O637" s="44" t="s">
        <v>25</v>
      </c>
      <c r="P637" s="45" t="s">
        <v>26</v>
      </c>
      <c r="Q637" s="46" t="str">
        <f t="array" ref="Q637">XLOOKUP($A637,'Recipients REF'!$A:$A,'Recipients REF'!I:I,"",0)</f>
        <v>KMC5825 ALSFPV0001</v>
      </c>
      <c r="R637" s="53" t="str">
        <f t="array" ref="R637">XLOOKUP($A637,'Recipients REF'!$A:$A,'Recipients REF'!J:J,"",0)</f>
        <v>STS100017</v>
      </c>
      <c r="S637" s="45" t="s">
        <v>27</v>
      </c>
      <c r="T637" s="45" t="s">
        <v>28</v>
      </c>
      <c r="U637" s="46" t="str">
        <f t="array" ref="U637">XLOOKUP($A637,'Recipients REF'!$A:$A,'Recipients REF'!K:K,"",0)</f>
        <v>WR-SERIES 015</v>
      </c>
      <c r="V637" s="44" t="s">
        <v>29</v>
      </c>
      <c r="W637" s="45" t="s">
        <v>30</v>
      </c>
      <c r="X637" s="53" t="str">
        <f t="array" ref="X637">XLOOKUP($A637,'Recipients REF'!$A:$A,'Recipients REF'!L:L,"",0)</f>
        <v>25070098</v>
      </c>
      <c r="Y637" s="48" t="s">
        <v>29</v>
      </c>
      <c r="Z637" s="48" t="s">
        <v>31</v>
      </c>
      <c r="AA637" s="54" t="str">
        <f t="array" ref="AA637">XLOOKUP($A637,'Recipients REF'!$A:$A,'Recipients REF'!M:M,"",0)</f>
        <v>25080773</v>
      </c>
      <c r="AB637" s="49"/>
      <c r="AC637" s="42"/>
      <c r="AD637" s="42"/>
      <c r="AE637" s="50"/>
      <c r="AF637" s="42"/>
      <c r="AG637" s="42"/>
      <c r="AH637" s="42"/>
      <c r="AI637" s="42" t="str">
        <f t="array" ref="AI637">XLOOKUP($E637,Sheet11!$D:$D,Sheet11!$X:$X,"",0)</f>
        <v/>
      </c>
      <c r="AJ637" s="42" t="str">
        <f t="array" ref="AJ637">XLOOKUP($E637,Sheet11!$D:$D,Sheet11!$Y:$Y,"",0)</f>
        <v/>
      </c>
    </row>
    <row r="638">
      <c r="A638" s="41">
        <v>820.0</v>
      </c>
      <c r="B638" s="42" t="s">
        <v>1253</v>
      </c>
      <c r="C638" s="42" t="s">
        <v>1254</v>
      </c>
      <c r="D638" s="42"/>
      <c r="E638" s="42" t="str">
        <f t="shared" ref="E638:F638" si="639">PROPER(B638)</f>
        <v>Samahan Ng Pagpapatubig Ng Paclolo, Inc.</v>
      </c>
      <c r="F638" s="42" t="str">
        <f t="shared" si="639"/>
        <v>Paclolo, Magsaysay, Occidental Mindoro</v>
      </c>
      <c r="G638" s="42" t="str">
        <f t="shared" si="3"/>
        <v>Paclolo</v>
      </c>
      <c r="H638" s="42" t="str">
        <f t="shared" si="4"/>
        <v>Magsaysay</v>
      </c>
      <c r="I638" s="42" t="str">
        <f t="shared" si="5"/>
        <v>Occidental Mindoro</v>
      </c>
      <c r="J638" s="42" t="str">
        <f t="array" ref="J638">XLOOKUP($E638,'Recipients REF'!$B:$B,'Recipients REF'!D:D,"",0)</f>
        <v>Rodelio Bagoy</v>
      </c>
      <c r="K638" s="42" t="str">
        <f t="array" ref="K638">XLOOKUP($E638,'Recipients REF'!$B:$B,'Recipients REF'!E:E,"",0)</f>
        <v>0967 804 7780</v>
      </c>
      <c r="L638" s="43" t="str">
        <f t="array" ref="L638">XLOOKUP($A638,'Recipients REF'!$A:$A,'Recipients REF'!F:F,"",0)</f>
        <v>RCEF 25-03-05</v>
      </c>
      <c r="M638" s="43">
        <f t="array" ref="M638">XLOOKUP($A638,'Recipients REF'!$A:$A,'Recipients REF'!G:G,"",0)</f>
        <v>6</v>
      </c>
      <c r="N638" s="43" t="str">
        <f t="array" ref="N638">XLOOKUP($A638,'Recipients REF'!$A:$A,'Recipients REF'!H:H,"",0)</f>
        <v>26820 &amp; 27774</v>
      </c>
      <c r="O638" s="44" t="s">
        <v>25</v>
      </c>
      <c r="P638" s="45" t="s">
        <v>26</v>
      </c>
      <c r="Q638" s="46" t="str">
        <f t="array" ref="Q638">XLOOKUP($A638,'Recipients REF'!$A:$A,'Recipients REF'!I:I,"",0)</f>
        <v>KMC5825 AESFPV0003</v>
      </c>
      <c r="R638" s="53" t="str">
        <f t="array" ref="R638">XLOOKUP($A638,'Recipients REF'!$A:$A,'Recipients REF'!J:J,"",0)</f>
        <v>STS100018</v>
      </c>
      <c r="S638" s="45" t="s">
        <v>27</v>
      </c>
      <c r="T638" s="45" t="s">
        <v>28</v>
      </c>
      <c r="U638" s="46" t="str">
        <f t="array" ref="U638">XLOOKUP($A638,'Recipients REF'!$A:$A,'Recipients REF'!K:K,"",0)</f>
        <v>WR-SERIES 034</v>
      </c>
      <c r="V638" s="44" t="s">
        <v>29</v>
      </c>
      <c r="W638" s="45" t="s">
        <v>30</v>
      </c>
      <c r="X638" s="53" t="str">
        <f t="array" ref="X638">XLOOKUP($A638,'Recipients REF'!$A:$A,'Recipients REF'!L:L,"",0)</f>
        <v>25070120</v>
      </c>
      <c r="Y638" s="48" t="s">
        <v>29</v>
      </c>
      <c r="Z638" s="48" t="s">
        <v>31</v>
      </c>
      <c r="AA638" s="54" t="str">
        <f t="array" ref="AA638">XLOOKUP($A638,'Recipients REF'!$A:$A,'Recipients REF'!M:M,"",0)</f>
        <v>25080764</v>
      </c>
      <c r="AB638" s="49"/>
      <c r="AC638" s="42"/>
      <c r="AD638" s="42"/>
      <c r="AE638" s="50"/>
      <c r="AF638" s="42"/>
      <c r="AG638" s="42"/>
      <c r="AH638" s="42"/>
      <c r="AI638" s="42" t="str">
        <f t="array" ref="AI638">XLOOKUP($E638,Sheet11!$D:$D,Sheet11!$X:$X,"",0)</f>
        <v/>
      </c>
      <c r="AJ638" s="42" t="str">
        <f t="array" ref="AJ638">XLOOKUP($E638,Sheet11!$D:$D,Sheet11!$Y:$Y,"",0)</f>
        <v/>
      </c>
    </row>
    <row r="639">
      <c r="A639" s="41">
        <v>821.0</v>
      </c>
      <c r="B639" s="42" t="s">
        <v>1255</v>
      </c>
      <c r="C639" s="42" t="s">
        <v>1256</v>
      </c>
      <c r="D639" s="42"/>
      <c r="E639" s="42" t="str">
        <f t="shared" ref="E639:F639" si="640">PROPER(B639)</f>
        <v>Mindoro Progressive Multi-Purpose Cooperative</v>
      </c>
      <c r="F639" s="42" t="str">
        <f t="shared" si="640"/>
        <v>Tangkalan, Mamburao, Occidental Mindoro</v>
      </c>
      <c r="G639" s="42" t="str">
        <f t="shared" si="3"/>
        <v>Tangkalan</v>
      </c>
      <c r="H639" s="42" t="str">
        <f t="shared" si="4"/>
        <v>Mamburao</v>
      </c>
      <c r="I639" s="42" t="str">
        <f t="shared" si="5"/>
        <v>Occidental Mindoro</v>
      </c>
      <c r="J639" s="42" t="str">
        <f t="array" ref="J639">XLOOKUP($E639,'Recipients REF'!$B:$B,'Recipients REF'!D:D,"",0)</f>
        <v>Jenny Buay</v>
      </c>
      <c r="K639" s="42" t="str">
        <f t="array" ref="K639">XLOOKUP($E639,'Recipients REF'!$B:$B,'Recipients REF'!E:E,"",0)</f>
        <v>0917 551 0572</v>
      </c>
      <c r="L639" s="43" t="str">
        <f t="array" ref="L639">XLOOKUP($A639,'Recipients REF'!$A:$A,'Recipients REF'!F:F,"",0)</f>
        <v>RCEF 25-03-05</v>
      </c>
      <c r="M639" s="43">
        <f t="array" ref="M639">XLOOKUP($A639,'Recipients REF'!$A:$A,'Recipients REF'!G:G,"",0)</f>
        <v>6</v>
      </c>
      <c r="N639" s="43" t="str">
        <f t="array" ref="N639">XLOOKUP($A639,'Recipients REF'!$A:$A,'Recipients REF'!H:H,"",0)</f>
        <v>26821 &amp; 27775</v>
      </c>
      <c r="O639" s="44" t="s">
        <v>25</v>
      </c>
      <c r="P639" s="45" t="s">
        <v>26</v>
      </c>
      <c r="Q639" s="46" t="str">
        <f t="array" ref="Q639">XLOOKUP($A639,'Recipients REF'!$A:$A,'Recipients REF'!I:I,"",0)</f>
        <v>KMC5825 AKSFPV0234</v>
      </c>
      <c r="R639" s="53" t="str">
        <f t="array" ref="R639">XLOOKUP($A639,'Recipients REF'!$A:$A,'Recipients REF'!J:J,"",0)</f>
        <v>STS100176</v>
      </c>
      <c r="S639" s="45" t="s">
        <v>27</v>
      </c>
      <c r="T639" s="45" t="s">
        <v>28</v>
      </c>
      <c r="U639" s="46" t="str">
        <f t="array" ref="U639">XLOOKUP($A639,'Recipients REF'!$A:$A,'Recipients REF'!K:K,"",0)</f>
        <v>WR-SERIES 049</v>
      </c>
      <c r="V639" s="44" t="s">
        <v>29</v>
      </c>
      <c r="W639" s="45" t="s">
        <v>30</v>
      </c>
      <c r="X639" s="53" t="str">
        <f t="array" ref="X639">XLOOKUP($A639,'Recipients REF'!$A:$A,'Recipients REF'!L:L,"",0)</f>
        <v>25090587</v>
      </c>
      <c r="Y639" s="48" t="s">
        <v>29</v>
      </c>
      <c r="Z639" s="48" t="s">
        <v>31</v>
      </c>
      <c r="AA639" s="54" t="str">
        <f t="array" ref="AA639">XLOOKUP($A639,'Recipients REF'!$A:$A,'Recipients REF'!M:M,"",0)</f>
        <v>25080847</v>
      </c>
      <c r="AB639" s="49"/>
      <c r="AC639" s="42"/>
      <c r="AD639" s="42"/>
      <c r="AE639" s="50"/>
      <c r="AF639" s="42"/>
      <c r="AG639" s="42"/>
      <c r="AH639" s="42"/>
      <c r="AI639" s="42" t="str">
        <f t="array" ref="AI639">XLOOKUP($E639,Sheet11!$D:$D,Sheet11!$X:$X,"",0)</f>
        <v/>
      </c>
      <c r="AJ639" s="42" t="str">
        <f t="array" ref="AJ639">XLOOKUP($E639,Sheet11!$D:$D,Sheet11!$Y:$Y,"",0)</f>
        <v/>
      </c>
    </row>
    <row r="640">
      <c r="A640" s="41">
        <v>822.0</v>
      </c>
      <c r="B640" s="42" t="s">
        <v>1257</v>
      </c>
      <c r="C640" s="42" t="s">
        <v>1258</v>
      </c>
      <c r="D640" s="42"/>
      <c r="E640" s="42" t="str">
        <f t="shared" ref="E640:F640" si="641">PROPER(B640)</f>
        <v>Provincial Local Government Unit Of Occidental Mindoro</v>
      </c>
      <c r="F640" s="42" t="str">
        <f t="shared" si="641"/>
        <v>Poblacion 1 (Barangay 1), Mamburao, Occidental Mindoro</v>
      </c>
      <c r="G640" s="42" t="str">
        <f t="shared" si="3"/>
        <v>Poblacion 1 (Barangay 1)</v>
      </c>
      <c r="H640" s="42" t="str">
        <f t="shared" si="4"/>
        <v>Mamburao</v>
      </c>
      <c r="I640" s="42" t="str">
        <f t="shared" si="5"/>
        <v>Occidental Mindoro</v>
      </c>
      <c r="J640" s="42" t="str">
        <f t="array" ref="J640">XLOOKUP($E640,'Recipients REF'!$B:$B,'Recipients REF'!D:D,"",0)</f>
        <v>Hon. Eduardo B. Gadiano</v>
      </c>
      <c r="K640" s="42" t="str">
        <f t="array" ref="K640">XLOOKUP($E640,'Recipients REF'!$B:$B,'Recipients REF'!E:E,"",0)</f>
        <v>0915 452 0188</v>
      </c>
      <c r="L640" s="43" t="str">
        <f t="array" ref="L640">XLOOKUP($A640,'Recipients REF'!$A:$A,'Recipients REF'!F:F,"",0)</f>
        <v>RCEF 25-03-05</v>
      </c>
      <c r="M640" s="43">
        <f t="array" ref="M640">XLOOKUP($A640,'Recipients REF'!$A:$A,'Recipients REF'!G:G,"",0)</f>
        <v>6</v>
      </c>
      <c r="N640" s="43" t="str">
        <f t="array" ref="N640">XLOOKUP($A640,'Recipients REF'!$A:$A,'Recipients REF'!H:H,"",0)</f>
        <v>26822 &amp; 27902</v>
      </c>
      <c r="O640" s="44" t="s">
        <v>25</v>
      </c>
      <c r="P640" s="45" t="s">
        <v>26</v>
      </c>
      <c r="Q640" s="46" t="str">
        <f t="array" ref="Q640">XLOOKUP($A640,'Recipients REF'!$A:$A,'Recipients REF'!I:I,"",0)</f>
        <v>KMC5825 ALSFPV0631</v>
      </c>
      <c r="R640" s="53" t="str">
        <f t="array" ref="R640">XLOOKUP($A640,'Recipients REF'!$A:$A,'Recipients REF'!J:J,"",0)</f>
        <v>STS100346</v>
      </c>
      <c r="S640" s="45" t="s">
        <v>27</v>
      </c>
      <c r="T640" s="45" t="s">
        <v>28</v>
      </c>
      <c r="U640" s="46" t="str">
        <f t="array" ref="U640">XLOOKUP($A640,'Recipients REF'!$A:$A,'Recipients REF'!K:K,"",0)</f>
        <v>WR-SERIES 1355PH</v>
      </c>
      <c r="V640" s="44" t="s">
        <v>29</v>
      </c>
      <c r="W640" s="45" t="s">
        <v>30</v>
      </c>
      <c r="X640" s="53" t="str">
        <f t="array" ref="X640">XLOOKUP($A640,'Recipients REF'!$A:$A,'Recipients REF'!L:L,"",0)</f>
        <v>2510851</v>
      </c>
      <c r="Y640" s="48" t="s">
        <v>29</v>
      </c>
      <c r="Z640" s="48" t="s">
        <v>31</v>
      </c>
      <c r="AA640" s="54">
        <f t="array" ref="AA640">XLOOKUP($A640,'Recipients REF'!$A:$A,'Recipients REF'!M:M,"",0)</f>
        <v>25121421</v>
      </c>
      <c r="AB640" s="49"/>
      <c r="AC640" s="42"/>
      <c r="AD640" s="42"/>
      <c r="AE640" s="50"/>
      <c r="AF640" s="42"/>
      <c r="AG640" s="42"/>
      <c r="AH640" s="42"/>
      <c r="AI640" s="42" t="str">
        <f t="array" ref="AI640">XLOOKUP($E640,Sheet11!$D:$D,Sheet11!$X:$X,"",0)</f>
        <v/>
      </c>
      <c r="AJ640" s="42" t="str">
        <f t="array" ref="AJ640">XLOOKUP($E640,Sheet11!$D:$D,Sheet11!$Y:$Y,"",0)</f>
        <v/>
      </c>
    </row>
    <row r="641">
      <c r="A641" s="41">
        <v>823.0</v>
      </c>
      <c r="B641" s="42" t="s">
        <v>1259</v>
      </c>
      <c r="C641" s="42" t="s">
        <v>1260</v>
      </c>
      <c r="D641" s="42"/>
      <c r="E641" s="42" t="str">
        <f t="shared" ref="E641:F641" si="642">PROPER(B641)</f>
        <v>Lanaban Farmers Irrigators, Inc.</v>
      </c>
      <c r="F641" s="42" t="str">
        <f t="shared" si="642"/>
        <v>Rizal, Rizal, Occidental Mindoro</v>
      </c>
      <c r="G641" s="42" t="str">
        <f t="shared" si="3"/>
        <v>Rizal</v>
      </c>
      <c r="H641" s="42" t="str">
        <f t="shared" si="4"/>
        <v>Rizal</v>
      </c>
      <c r="I641" s="42" t="str">
        <f t="shared" si="5"/>
        <v>Occidental Mindoro</v>
      </c>
      <c r="J641" s="42" t="str">
        <f t="array" ref="J641">XLOOKUP($E641,'Recipients REF'!$B:$B,'Recipients REF'!D:D,"",0)</f>
        <v>Hermenia Rodriguez</v>
      </c>
      <c r="K641" s="42" t="str">
        <f t="array" ref="K641">XLOOKUP($E641,'Recipients REF'!$B:$B,'Recipients REF'!E:E,"",0)</f>
        <v>0936 210 7203</v>
      </c>
      <c r="L641" s="43" t="str">
        <f t="array" ref="L641">XLOOKUP($A641,'Recipients REF'!$A:$A,'Recipients REF'!F:F,"",0)</f>
        <v>RCEF 25-03-05</v>
      </c>
      <c r="M641" s="43">
        <f t="array" ref="M641">XLOOKUP($A641,'Recipients REF'!$A:$A,'Recipients REF'!G:G,"",0)</f>
        <v>6</v>
      </c>
      <c r="N641" s="43" t="str">
        <f t="array" ref="N641">XLOOKUP($A641,'Recipients REF'!$A:$A,'Recipients REF'!H:H,"",0)</f>
        <v>26823 &amp; 27776</v>
      </c>
      <c r="O641" s="44" t="s">
        <v>25</v>
      </c>
      <c r="P641" s="45" t="s">
        <v>26</v>
      </c>
      <c r="Q641" s="46" t="str">
        <f t="array" ref="Q641">XLOOKUP($A641,'Recipients REF'!$A:$A,'Recipients REF'!I:I,"",0)</f>
        <v>KMC5825 AJSFPV0008</v>
      </c>
      <c r="R641" s="53" t="str">
        <f t="array" ref="R641">XLOOKUP($A641,'Recipients REF'!$A:$A,'Recipients REF'!J:J,"",0)</f>
        <v>STS100024</v>
      </c>
      <c r="S641" s="45" t="s">
        <v>27</v>
      </c>
      <c r="T641" s="45" t="s">
        <v>28</v>
      </c>
      <c r="U641" s="46" t="str">
        <f t="array" ref="U641">XLOOKUP($A641,'Recipients REF'!$A:$A,'Recipients REF'!K:K,"",0)</f>
        <v>WR-SERIES 031</v>
      </c>
      <c r="V641" s="44" t="s">
        <v>29</v>
      </c>
      <c r="W641" s="45" t="s">
        <v>30</v>
      </c>
      <c r="X641" s="53" t="str">
        <f t="array" ref="X641">XLOOKUP($A641,'Recipients REF'!$A:$A,'Recipients REF'!L:L,"",0)</f>
        <v>25070128</v>
      </c>
      <c r="Y641" s="48" t="s">
        <v>29</v>
      </c>
      <c r="Z641" s="48" t="s">
        <v>31</v>
      </c>
      <c r="AA641" s="54" t="str">
        <f t="array" ref="AA641">XLOOKUP($A641,'Recipients REF'!$A:$A,'Recipients REF'!M:M,"",0)</f>
        <v>25080746</v>
      </c>
      <c r="AB641" s="49"/>
      <c r="AC641" s="42"/>
      <c r="AD641" s="42"/>
      <c r="AE641" s="51"/>
      <c r="AF641" s="52"/>
      <c r="AG641" s="42"/>
      <c r="AH641" s="42"/>
      <c r="AI641" s="42" t="str">
        <f t="array" ref="AI641">XLOOKUP($E641,Sheet11!$D:$D,Sheet11!$X:$X,"",0)</f>
        <v/>
      </c>
      <c r="AJ641" s="42" t="str">
        <f t="array" ref="AJ641">XLOOKUP($E641,Sheet11!$D:$D,Sheet11!$Y:$Y,"",0)</f>
        <v/>
      </c>
    </row>
    <row r="642">
      <c r="A642" s="41">
        <v>824.0</v>
      </c>
      <c r="B642" s="42" t="s">
        <v>1261</v>
      </c>
      <c r="C642" s="42" t="s">
        <v>1222</v>
      </c>
      <c r="D642" s="42"/>
      <c r="E642" s="42" t="str">
        <f t="shared" ref="E642:F642" si="643">PROPER(B642)</f>
        <v>Malawaan Farmers And Fisherfolk Agriculture Cooperative (Mafafico)</v>
      </c>
      <c r="F642" s="42" t="str">
        <f t="shared" si="643"/>
        <v>Malawaan, Rizal, Occidental Mindoro</v>
      </c>
      <c r="G642" s="42" t="str">
        <f t="shared" si="3"/>
        <v>Malawaan</v>
      </c>
      <c r="H642" s="42" t="str">
        <f t="shared" si="4"/>
        <v>Rizal</v>
      </c>
      <c r="I642" s="42" t="str">
        <f t="shared" si="5"/>
        <v>Occidental Mindoro</v>
      </c>
      <c r="J642" s="42" t="str">
        <f t="array" ref="J642">XLOOKUP($E642,'Recipients REF'!$B:$B,'Recipients REF'!D:D,"",0)</f>
        <v>Efifanio Magbanua II</v>
      </c>
      <c r="K642" s="42" t="str">
        <f t="array" ref="K642">XLOOKUP($E642,'Recipients REF'!$B:$B,'Recipients REF'!E:E,"",0)</f>
        <v>0963 780 1958</v>
      </c>
      <c r="L642" s="43" t="str">
        <f t="array" ref="L642">XLOOKUP($A642,'Recipients REF'!$A:$A,'Recipients REF'!F:F,"",0)</f>
        <v>RCEF 25-03-05</v>
      </c>
      <c r="M642" s="43">
        <f t="array" ref="M642">XLOOKUP($A642,'Recipients REF'!$A:$A,'Recipients REF'!G:G,"",0)</f>
        <v>6</v>
      </c>
      <c r="N642" s="43" t="str">
        <f t="array" ref="N642">XLOOKUP($A642,'Recipients REF'!$A:$A,'Recipients REF'!H:H,"",0)</f>
        <v>26824 &amp; 27777</v>
      </c>
      <c r="O642" s="44" t="s">
        <v>25</v>
      </c>
      <c r="P642" s="45" t="s">
        <v>26</v>
      </c>
      <c r="Q642" s="46" t="str">
        <f t="array" ref="Q642">XLOOKUP($A642,'Recipients REF'!$A:$A,'Recipients REF'!I:I,"",0)</f>
        <v>KMC5825 AKSFPV0024</v>
      </c>
      <c r="R642" s="53" t="str">
        <f t="array" ref="R642">XLOOKUP($A642,'Recipients REF'!$A:$A,'Recipients REF'!J:J,"",0)</f>
        <v>STS100019</v>
      </c>
      <c r="S642" s="45" t="s">
        <v>27</v>
      </c>
      <c r="T642" s="45" t="s">
        <v>28</v>
      </c>
      <c r="U642" s="46" t="str">
        <f t="array" ref="U642">XLOOKUP($A642,'Recipients REF'!$A:$A,'Recipients REF'!K:K,"",0)</f>
        <v>WR-SERIES 002</v>
      </c>
      <c r="V642" s="44" t="s">
        <v>29</v>
      </c>
      <c r="W642" s="45" t="s">
        <v>30</v>
      </c>
      <c r="X642" s="53" t="str">
        <f t="array" ref="X642">XLOOKUP($A642,'Recipients REF'!$A:$A,'Recipients REF'!L:L,"",0)</f>
        <v>25070124</v>
      </c>
      <c r="Y642" s="48" t="s">
        <v>29</v>
      </c>
      <c r="Z642" s="48" t="s">
        <v>31</v>
      </c>
      <c r="AA642" s="54" t="str">
        <f t="array" ref="AA642">XLOOKUP($A642,'Recipients REF'!$A:$A,'Recipients REF'!M:M,"",0)</f>
        <v>25080757</v>
      </c>
      <c r="AB642" s="49"/>
      <c r="AC642" s="42"/>
      <c r="AD642" s="42"/>
      <c r="AE642" s="50"/>
      <c r="AF642" s="42"/>
      <c r="AG642" s="42"/>
      <c r="AH642" s="42"/>
      <c r="AI642" s="42" t="str">
        <f t="array" ref="AI642">XLOOKUP($E642,Sheet11!$D:$D,Sheet11!$X:$X,"",0)</f>
        <v/>
      </c>
      <c r="AJ642" s="42" t="str">
        <f t="array" ref="AJ642">XLOOKUP($E642,Sheet11!$D:$D,Sheet11!$Y:$Y,"",0)</f>
        <v/>
      </c>
    </row>
    <row r="643">
      <c r="A643" s="41">
        <v>825.0</v>
      </c>
      <c r="B643" s="42" t="s">
        <v>1262</v>
      </c>
      <c r="C643" s="42" t="s">
        <v>1263</v>
      </c>
      <c r="D643" s="42"/>
      <c r="E643" s="42" t="str">
        <f t="shared" ref="E643:F643" si="644">PROPER(B643)</f>
        <v>Manoot Rizal Women'S Farmers Association (Marwofa) Inc.</v>
      </c>
      <c r="F643" s="42" t="str">
        <f t="shared" si="644"/>
        <v>Manoot, Rizal, Occidental Mindoro</v>
      </c>
      <c r="G643" s="42" t="str">
        <f t="shared" si="3"/>
        <v>Manoot</v>
      </c>
      <c r="H643" s="42" t="str">
        <f t="shared" si="4"/>
        <v>Rizal</v>
      </c>
      <c r="I643" s="42" t="str">
        <f t="shared" si="5"/>
        <v>Occidental Mindoro</v>
      </c>
      <c r="J643" s="42" t="str">
        <f t="array" ref="J643">XLOOKUP($E643,'Recipients REF'!$B:$B,'Recipients REF'!D:D,"",0)</f>
        <v>Leolyn Cabuntocan</v>
      </c>
      <c r="K643" s="42" t="str">
        <f t="array" ref="K643">XLOOKUP($E643,'Recipients REF'!$B:$B,'Recipients REF'!E:E,"",0)</f>
        <v>0906 490 7397</v>
      </c>
      <c r="L643" s="43" t="str">
        <f t="array" ref="L643">XLOOKUP($A643,'Recipients REF'!$A:$A,'Recipients REF'!F:F,"",0)</f>
        <v>RCEF 25-03-05</v>
      </c>
      <c r="M643" s="43">
        <f t="array" ref="M643">XLOOKUP($A643,'Recipients REF'!$A:$A,'Recipients REF'!G:G,"",0)</f>
        <v>6</v>
      </c>
      <c r="N643" s="43" t="str">
        <f t="array" ref="N643">XLOOKUP($A643,'Recipients REF'!$A:$A,'Recipients REF'!H:H,"",0)</f>
        <v>26825 &amp; 27778</v>
      </c>
      <c r="O643" s="44" t="s">
        <v>25</v>
      </c>
      <c r="P643" s="45" t="s">
        <v>26</v>
      </c>
      <c r="Q643" s="46" t="str">
        <f t="array" ref="Q643">XLOOKUP($A643,'Recipients REF'!$A:$A,'Recipients REF'!I:I,"",0)</f>
        <v>KMC5825 AESFPV0020</v>
      </c>
      <c r="R643" s="53" t="str">
        <f t="array" ref="R643">XLOOKUP($A643,'Recipients REF'!$A:$A,'Recipients REF'!J:J,"",0)</f>
        <v>STS100007</v>
      </c>
      <c r="S643" s="45" t="s">
        <v>27</v>
      </c>
      <c r="T643" s="45" t="s">
        <v>28</v>
      </c>
      <c r="U643" s="46" t="str">
        <f t="array" ref="U643">XLOOKUP($A643,'Recipients REF'!$A:$A,'Recipients REF'!K:K,"",0)</f>
        <v>WR-SERIES 033</v>
      </c>
      <c r="V643" s="44" t="s">
        <v>29</v>
      </c>
      <c r="W643" s="45" t="s">
        <v>30</v>
      </c>
      <c r="X643" s="53" t="str">
        <f t="array" ref="X643">XLOOKUP($A643,'Recipients REF'!$A:$A,'Recipients REF'!L:L,"",0)</f>
        <v>25080289</v>
      </c>
      <c r="Y643" s="48" t="s">
        <v>29</v>
      </c>
      <c r="Z643" s="48" t="s">
        <v>31</v>
      </c>
      <c r="AA643" s="54" t="str">
        <f t="array" ref="AA643">XLOOKUP($A643,'Recipients REF'!$A:$A,'Recipients REF'!M:M,"",0)</f>
        <v>25080755</v>
      </c>
      <c r="AB643" s="49"/>
      <c r="AC643" s="42"/>
      <c r="AD643" s="42"/>
      <c r="AE643" s="51"/>
      <c r="AF643" s="52"/>
      <c r="AG643" s="42"/>
      <c r="AH643" s="42"/>
      <c r="AI643" s="42" t="str">
        <f t="array" ref="AI643">XLOOKUP($E643,Sheet11!$D:$D,Sheet11!$X:$X,"",0)</f>
        <v/>
      </c>
      <c r="AJ643" s="42" t="str">
        <f t="array" ref="AJ643">XLOOKUP($E643,Sheet11!$D:$D,Sheet11!$Y:$Y,"",0)</f>
        <v/>
      </c>
    </row>
    <row r="644">
      <c r="A644" s="41">
        <v>826.0</v>
      </c>
      <c r="B644" s="42" t="s">
        <v>1264</v>
      </c>
      <c r="C644" s="42" t="s">
        <v>1265</v>
      </c>
      <c r="D644" s="42"/>
      <c r="E644" s="42" t="str">
        <f t="shared" ref="E644:F644" si="645">PROPER(B644)</f>
        <v>Buenavista Farmers Association</v>
      </c>
      <c r="F644" s="42" t="str">
        <f t="shared" si="645"/>
        <v>Buenavista, Sablayan, Occidental Mindoro</v>
      </c>
      <c r="G644" s="42" t="str">
        <f t="shared" si="3"/>
        <v>Buenavista</v>
      </c>
      <c r="H644" s="42" t="str">
        <f t="shared" si="4"/>
        <v>Sablayan</v>
      </c>
      <c r="I644" s="42" t="str">
        <f t="shared" si="5"/>
        <v>Occidental Mindoro</v>
      </c>
      <c r="J644" s="42" t="str">
        <f t="array" ref="J644">XLOOKUP($E644,'Recipients REF'!$B:$B,'Recipients REF'!D:D,"",0)</f>
        <v>Simplicio Castro</v>
      </c>
      <c r="K644" s="42" t="str">
        <f t="array" ref="K644">XLOOKUP($E644,'Recipients REF'!$B:$B,'Recipients REF'!E:E,"",0)</f>
        <v>0955 3160909</v>
      </c>
      <c r="L644" s="43" t="str">
        <f t="array" ref="L644">XLOOKUP($A644,'Recipients REF'!$A:$A,'Recipients REF'!F:F,"",0)</f>
        <v>RCEF 25-03-05</v>
      </c>
      <c r="M644" s="43">
        <f t="array" ref="M644">XLOOKUP($A644,'Recipients REF'!$A:$A,'Recipients REF'!G:G,"",0)</f>
        <v>6</v>
      </c>
      <c r="N644" s="43" t="str">
        <f t="array" ref="N644">XLOOKUP($A644,'Recipients REF'!$A:$A,'Recipients REF'!H:H,"",0)</f>
        <v>26826 &amp; 27779</v>
      </c>
      <c r="O644" s="44" t="s">
        <v>25</v>
      </c>
      <c r="P644" s="45" t="s">
        <v>26</v>
      </c>
      <c r="Q644" s="46" t="str">
        <f t="array" ref="Q644">XLOOKUP($A644,'Recipients REF'!$A:$A,'Recipients REF'!I:I,"",0)</f>
        <v>KMC5825 APSFPV0314</v>
      </c>
      <c r="R644" s="53" t="str">
        <f t="array" ref="R644">XLOOKUP($A644,'Recipients REF'!$A:$A,'Recipients REF'!J:J,"",0)</f>
        <v>STS100317</v>
      </c>
      <c r="S644" s="45" t="s">
        <v>27</v>
      </c>
      <c r="T644" s="45" t="s">
        <v>28</v>
      </c>
      <c r="U644" s="46" t="str">
        <f t="array" ref="U644">XLOOKUP($A644,'Recipients REF'!$A:$A,'Recipients REF'!K:K,"",0)</f>
        <v>WR-SERIES 276</v>
      </c>
      <c r="V644" s="44" t="s">
        <v>29</v>
      </c>
      <c r="W644" s="45" t="s">
        <v>30</v>
      </c>
      <c r="X644" s="53" t="str">
        <f t="array" ref="X644">XLOOKUP($A644,'Recipients REF'!$A:$A,'Recipients REF'!L:L,"",0)</f>
        <v>25090586</v>
      </c>
      <c r="Y644" s="48" t="s">
        <v>29</v>
      </c>
      <c r="Z644" s="48" t="s">
        <v>31</v>
      </c>
      <c r="AA644" s="54" t="str">
        <f t="array" ref="AA644">XLOOKUP($A644,'Recipients REF'!$A:$A,'Recipients REF'!M:M,"",0)</f>
        <v>25080831</v>
      </c>
      <c r="AB644" s="49"/>
      <c r="AC644" s="42"/>
      <c r="AD644" s="42"/>
      <c r="AE644" s="50"/>
      <c r="AF644" s="42"/>
      <c r="AG644" s="42"/>
      <c r="AH644" s="42"/>
      <c r="AI644" s="42" t="str">
        <f t="array" ref="AI644">XLOOKUP($E644,Sheet11!$D:$D,Sheet11!$X:$X,"",0)</f>
        <v/>
      </c>
      <c r="AJ644" s="42" t="str">
        <f t="array" ref="AJ644">XLOOKUP($E644,Sheet11!$D:$D,Sheet11!$Y:$Y,"",0)</f>
        <v/>
      </c>
    </row>
    <row r="645">
      <c r="A645" s="41">
        <v>827.0</v>
      </c>
      <c r="B645" s="42" t="s">
        <v>1266</v>
      </c>
      <c r="C645" s="42" t="s">
        <v>1267</v>
      </c>
      <c r="D645" s="42"/>
      <c r="E645" s="42" t="str">
        <f t="shared" ref="E645:F645" si="646">PROPER(B645)</f>
        <v>Kalumpit Malapaga Ibud Irrigators Association, Inc.</v>
      </c>
      <c r="F645" s="42" t="str">
        <f t="shared" si="646"/>
        <v>San Vicente, Sablayan, Occidental Mindoro</v>
      </c>
      <c r="G645" s="42" t="str">
        <f t="shared" si="3"/>
        <v>San Vicente</v>
      </c>
      <c r="H645" s="42" t="str">
        <f t="shared" si="4"/>
        <v>Sablayan</v>
      </c>
      <c r="I645" s="42" t="str">
        <f t="shared" si="5"/>
        <v>Occidental Mindoro</v>
      </c>
      <c r="J645" s="42" t="str">
        <f t="array" ref="J645">XLOOKUP($E645,'Recipients REF'!$B:$B,'Recipients REF'!D:D,"",0)</f>
        <v>Romulo D. Dauran</v>
      </c>
      <c r="K645" s="42" t="str">
        <f t="array" ref="K645">XLOOKUP($E645,'Recipients REF'!$B:$B,'Recipients REF'!E:E,"",0)</f>
        <v>0917 103 9295</v>
      </c>
      <c r="L645" s="43" t="str">
        <f t="array" ref="L645">XLOOKUP($A645,'Recipients REF'!$A:$A,'Recipients REF'!F:F,"",0)</f>
        <v>RCEF 25-03-05</v>
      </c>
      <c r="M645" s="43">
        <f t="array" ref="M645">XLOOKUP($A645,'Recipients REF'!$A:$A,'Recipients REF'!G:G,"",0)</f>
        <v>6</v>
      </c>
      <c r="N645" s="43" t="str">
        <f t="array" ref="N645">XLOOKUP($A645,'Recipients REF'!$A:$A,'Recipients REF'!H:H,"",0)</f>
        <v>26827 &amp; 27780</v>
      </c>
      <c r="O645" s="44" t="s">
        <v>25</v>
      </c>
      <c r="P645" s="45" t="s">
        <v>26</v>
      </c>
      <c r="Q645" s="46" t="str">
        <f t="array" ref="Q645">XLOOKUP($A645,'Recipients REF'!$A:$A,'Recipients REF'!I:I,"",0)</f>
        <v>KMC5825 AVRFPV0782</v>
      </c>
      <c r="R645" s="53" t="str">
        <f t="array" ref="R645">XLOOKUP($A645,'Recipients REF'!$A:$A,'Recipients REF'!J:J,"",0)</f>
        <v>RTS100659</v>
      </c>
      <c r="S645" s="45" t="s">
        <v>27</v>
      </c>
      <c r="T645" s="45" t="s">
        <v>28</v>
      </c>
      <c r="U645" s="46" t="str">
        <f t="array" ref="U645">XLOOKUP($A645,'Recipients REF'!$A:$A,'Recipients REF'!K:K,"",0)</f>
        <v>WR-SERIES 1042</v>
      </c>
      <c r="V645" s="44" t="s">
        <v>29</v>
      </c>
      <c r="W645" s="45" t="s">
        <v>30</v>
      </c>
      <c r="X645" s="53" t="str">
        <f t="array" ref="X645">XLOOKUP($A645,'Recipients REF'!$A:$A,'Recipients REF'!L:L,"",0)</f>
        <v>24090796</v>
      </c>
      <c r="Y645" s="48" t="s">
        <v>29</v>
      </c>
      <c r="Z645" s="48" t="s">
        <v>31</v>
      </c>
      <c r="AA645" s="54" t="str">
        <f t="array" ref="AA645">XLOOKUP($A645,'Recipients REF'!$A:$A,'Recipients REF'!M:M,"",0)</f>
        <v>25030522</v>
      </c>
      <c r="AB645" s="49"/>
      <c r="AC645" s="42"/>
      <c r="AD645" s="42"/>
      <c r="AE645" s="50"/>
      <c r="AF645" s="42"/>
      <c r="AG645" s="42"/>
      <c r="AH645" s="42"/>
      <c r="AI645" s="42" t="str">
        <f t="array" ref="AI645">XLOOKUP($E645,Sheet11!$D:$D,Sheet11!$X:$X,"",0)</f>
        <v/>
      </c>
      <c r="AJ645" s="42" t="str">
        <f t="array" ref="AJ645">XLOOKUP($E645,Sheet11!$D:$D,Sheet11!$Y:$Y,"",0)</f>
        <v/>
      </c>
    </row>
    <row r="646">
      <c r="A646" s="41">
        <v>828.0</v>
      </c>
      <c r="B646" s="42" t="s">
        <v>1268</v>
      </c>
      <c r="C646" s="42" t="s">
        <v>1269</v>
      </c>
      <c r="D646" s="42"/>
      <c r="E646" s="42" t="str">
        <f t="shared" ref="E646:F646" si="647">PROPER(B646)</f>
        <v>Pandan Dike Farmers Agriculture Cooperative</v>
      </c>
      <c r="F646" s="42" t="str">
        <f t="shared" si="647"/>
        <v>Claudio Salgado, Sablayan, Occidental Mindoro</v>
      </c>
      <c r="G646" s="42" t="str">
        <f t="shared" si="3"/>
        <v>Claudio Salgado</v>
      </c>
      <c r="H646" s="42" t="str">
        <f t="shared" si="4"/>
        <v>Sablayan</v>
      </c>
      <c r="I646" s="42" t="str">
        <f t="shared" si="5"/>
        <v>Occidental Mindoro</v>
      </c>
      <c r="J646" s="42" t="str">
        <f t="array" ref="J646">XLOOKUP($E646,'Recipients REF'!$B:$B,'Recipients REF'!D:D,"",0)</f>
        <v>Reynaldo Advincula</v>
      </c>
      <c r="K646" s="42" t="str">
        <f t="array" ref="K646">XLOOKUP($E646,'Recipients REF'!$B:$B,'Recipients REF'!E:E,"",0)</f>
        <v>0938 572 9312</v>
      </c>
      <c r="L646" s="43" t="str">
        <f t="array" ref="L646">XLOOKUP($A646,'Recipients REF'!$A:$A,'Recipients REF'!F:F,"",0)</f>
        <v>RCEF 25-03-05</v>
      </c>
      <c r="M646" s="43">
        <f t="array" ref="M646">XLOOKUP($A646,'Recipients REF'!$A:$A,'Recipients REF'!G:G,"",0)</f>
        <v>6</v>
      </c>
      <c r="N646" s="43" t="str">
        <f t="array" ref="N646">XLOOKUP($A646,'Recipients REF'!$A:$A,'Recipients REF'!H:H,"",0)</f>
        <v>26829 &amp; 27781</v>
      </c>
      <c r="O646" s="44" t="s">
        <v>25</v>
      </c>
      <c r="P646" s="45" t="s">
        <v>26</v>
      </c>
      <c r="Q646" s="46" t="str">
        <f t="array" ref="Q646">XLOOKUP($A646,'Recipients REF'!$A:$A,'Recipients REF'!I:I,"",0)</f>
        <v>KMC5825 AHSFPV0257</v>
      </c>
      <c r="R646" s="53" t="str">
        <f t="array" ref="R646">XLOOKUP($A646,'Recipients REF'!$A:$A,'Recipients REF'!J:J,"",0)</f>
        <v>STS100266</v>
      </c>
      <c r="S646" s="45" t="s">
        <v>27</v>
      </c>
      <c r="T646" s="45" t="s">
        <v>28</v>
      </c>
      <c r="U646" s="46" t="str">
        <f t="array" ref="U646">XLOOKUP($A646,'Recipients REF'!$A:$A,'Recipients REF'!K:K,"",0)</f>
        <v>WR-SERIES 046</v>
      </c>
      <c r="V646" s="44" t="s">
        <v>29</v>
      </c>
      <c r="W646" s="45" t="s">
        <v>30</v>
      </c>
      <c r="X646" s="53" t="str">
        <f t="array" ref="X646">XLOOKUP($A646,'Recipients REF'!$A:$A,'Recipients REF'!L:L,"",0)</f>
        <v>25080358</v>
      </c>
      <c r="Y646" s="48" t="s">
        <v>29</v>
      </c>
      <c r="Z646" s="48" t="s">
        <v>31</v>
      </c>
      <c r="AA646" s="54" t="str">
        <f t="array" ref="AA646">XLOOKUP($A646,'Recipients REF'!$A:$A,'Recipients REF'!M:M,"",0)</f>
        <v>25080860</v>
      </c>
      <c r="AB646" s="49"/>
      <c r="AC646" s="42"/>
      <c r="AD646" s="42"/>
      <c r="AE646" s="50"/>
      <c r="AF646" s="42"/>
      <c r="AG646" s="42"/>
      <c r="AH646" s="42"/>
      <c r="AI646" s="42" t="str">
        <f t="array" ref="AI646">XLOOKUP($E646,Sheet11!$D:$D,Sheet11!$X:$X,"",0)</f>
        <v/>
      </c>
      <c r="AJ646" s="42" t="str">
        <f t="array" ref="AJ646">XLOOKUP($E646,Sheet11!$D:$D,Sheet11!$Y:$Y,"",0)</f>
        <v/>
      </c>
    </row>
    <row r="647">
      <c r="A647" s="41">
        <v>829.0</v>
      </c>
      <c r="B647" s="42" t="s">
        <v>1270</v>
      </c>
      <c r="C647" s="42" t="s">
        <v>1271</v>
      </c>
      <c r="D647" s="42"/>
      <c r="E647" s="42" t="str">
        <f t="shared" ref="E647:F647" si="648">PROPER(B647)</f>
        <v>Samahan Ng Mga Magbibinhi Ng Sablayan Agriculture Cooperative (Samasaco)</v>
      </c>
      <c r="F647" s="42" t="str">
        <f t="shared" si="648"/>
        <v>San Francisco, Sablayan, Occidental Mindoro</v>
      </c>
      <c r="G647" s="42" t="str">
        <f t="shared" si="3"/>
        <v>San Francisco</v>
      </c>
      <c r="H647" s="42" t="str">
        <f t="shared" si="4"/>
        <v>Sablayan</v>
      </c>
      <c r="I647" s="42" t="str">
        <f t="shared" si="5"/>
        <v>Occidental Mindoro</v>
      </c>
      <c r="J647" s="42" t="str">
        <f t="array" ref="J647">XLOOKUP($E647,'Recipients REF'!$B:$B,'Recipients REF'!D:D,"",0)</f>
        <v>Cesar P. Pascual, Sr.</v>
      </c>
      <c r="K647" s="42" t="str">
        <f t="array" ref="K647">XLOOKUP($E647,'Recipients REF'!$B:$B,'Recipients REF'!E:E,"",0)</f>
        <v>0916 5952812</v>
      </c>
      <c r="L647" s="43" t="str">
        <f t="array" ref="L647">XLOOKUP($A647,'Recipients REF'!$A:$A,'Recipients REF'!F:F,"",0)</f>
        <v>RCEF 25-03-05</v>
      </c>
      <c r="M647" s="43">
        <f t="array" ref="M647">XLOOKUP($A647,'Recipients REF'!$A:$A,'Recipients REF'!G:G,"",0)</f>
        <v>6</v>
      </c>
      <c r="N647" s="43" t="str">
        <f t="array" ref="N647">XLOOKUP($A647,'Recipients REF'!$A:$A,'Recipients REF'!H:H,"",0)</f>
        <v>26830 &amp; 27782</v>
      </c>
      <c r="O647" s="44" t="s">
        <v>25</v>
      </c>
      <c r="P647" s="45" t="s">
        <v>26</v>
      </c>
      <c r="Q647" s="46" t="str">
        <f t="array" ref="Q647">XLOOKUP($A647,'Recipients REF'!$A:$A,'Recipients REF'!I:I,"",0)</f>
        <v>KMC5825 ATSFPV0201</v>
      </c>
      <c r="R647" s="53" t="str">
        <f t="array" ref="R647">XLOOKUP($A647,'Recipients REF'!$A:$A,'Recipients REF'!J:J,"",0)</f>
        <v>STS100231</v>
      </c>
      <c r="S647" s="45" t="s">
        <v>27</v>
      </c>
      <c r="T647" s="45" t="s">
        <v>28</v>
      </c>
      <c r="U647" s="46" t="str">
        <f t="array" ref="U647">XLOOKUP($A647,'Recipients REF'!$A:$A,'Recipients REF'!K:K,"",0)</f>
        <v>WR-SERIES 044</v>
      </c>
      <c r="V647" s="44" t="s">
        <v>29</v>
      </c>
      <c r="W647" s="45" t="s">
        <v>30</v>
      </c>
      <c r="X647" s="53" t="str">
        <f t="array" ref="X647">XLOOKUP($A647,'Recipients REF'!$A:$A,'Recipients REF'!L:L,"",0)</f>
        <v>25080393</v>
      </c>
      <c r="Y647" s="48" t="s">
        <v>29</v>
      </c>
      <c r="Z647" s="48" t="s">
        <v>31</v>
      </c>
      <c r="AA647" s="54" t="str">
        <f t="array" ref="AA647">XLOOKUP($A647,'Recipients REF'!$A:$A,'Recipients REF'!M:M,"",0)</f>
        <v>25080855</v>
      </c>
      <c r="AB647" s="49"/>
      <c r="AC647" s="42"/>
      <c r="AD647" s="42"/>
      <c r="AE647" s="50"/>
      <c r="AF647" s="42"/>
      <c r="AG647" s="42"/>
      <c r="AH647" s="42"/>
      <c r="AI647" s="42" t="str">
        <f t="array" ref="AI647">XLOOKUP($E647,Sheet11!$D:$D,Sheet11!$X:$X,"",0)</f>
        <v/>
      </c>
      <c r="AJ647" s="42" t="str">
        <f t="array" ref="AJ647">XLOOKUP($E647,Sheet11!$D:$D,Sheet11!$Y:$Y,"",0)</f>
        <v/>
      </c>
    </row>
    <row r="648">
      <c r="A648" s="41">
        <v>830.0</v>
      </c>
      <c r="B648" s="42" t="s">
        <v>1272</v>
      </c>
      <c r="C648" s="42" t="s">
        <v>1271</v>
      </c>
      <c r="D648" s="42"/>
      <c r="E648" s="42" t="str">
        <f t="shared" ref="E648:F648" si="649">PROPER(B648)</f>
        <v>San Carlos Multi-Purpose Cooperative</v>
      </c>
      <c r="F648" s="42" t="str">
        <f t="shared" si="649"/>
        <v>San Francisco, Sablayan, Occidental Mindoro</v>
      </c>
      <c r="G648" s="42" t="str">
        <f t="shared" si="3"/>
        <v>San Francisco</v>
      </c>
      <c r="H648" s="42" t="str">
        <f t="shared" si="4"/>
        <v>Sablayan</v>
      </c>
      <c r="I648" s="42" t="str">
        <f t="shared" si="5"/>
        <v>Occidental Mindoro</v>
      </c>
      <c r="J648" s="42" t="str">
        <f t="array" ref="J648">XLOOKUP($E648,'Recipients REF'!$B:$B,'Recipients REF'!D:D,"",0)</f>
        <v>Marivic Canillo</v>
      </c>
      <c r="K648" s="42" t="str">
        <f t="array" ref="K648">XLOOKUP($E648,'Recipients REF'!$B:$B,'Recipients REF'!E:E,"",0)</f>
        <v>0926 436 5271</v>
      </c>
      <c r="L648" s="43" t="str">
        <f t="array" ref="L648">XLOOKUP($A648,'Recipients REF'!$A:$A,'Recipients REF'!F:F,"",0)</f>
        <v>RCEF 25-03-05</v>
      </c>
      <c r="M648" s="43">
        <f t="array" ref="M648">XLOOKUP($A648,'Recipients REF'!$A:$A,'Recipients REF'!G:G,"",0)</f>
        <v>6</v>
      </c>
      <c r="N648" s="43" t="str">
        <f t="array" ref="N648">XLOOKUP($A648,'Recipients REF'!$A:$A,'Recipients REF'!H:H,"",0)</f>
        <v>26831 &amp; 27783</v>
      </c>
      <c r="O648" s="44" t="s">
        <v>25</v>
      </c>
      <c r="P648" s="45" t="s">
        <v>26</v>
      </c>
      <c r="Q648" s="46" t="str">
        <f t="array" ref="Q648">XLOOKUP($A648,'Recipients REF'!$A:$A,'Recipients REF'!I:I,"",0)</f>
        <v>KMC5825 AESFPV0258</v>
      </c>
      <c r="R648" s="53" t="str">
        <f t="array" ref="R648">XLOOKUP($A648,'Recipients REF'!$A:$A,'Recipients REF'!J:J,"",0)</f>
        <v>STS100243</v>
      </c>
      <c r="S648" s="45" t="s">
        <v>27</v>
      </c>
      <c r="T648" s="45" t="s">
        <v>28</v>
      </c>
      <c r="U648" s="46" t="str">
        <f t="array" ref="U648">XLOOKUP($A648,'Recipients REF'!$A:$A,'Recipients REF'!K:K,"",0)</f>
        <v>R-SERIES 056PH</v>
      </c>
      <c r="V648" s="44" t="s">
        <v>29</v>
      </c>
      <c r="W648" s="45" t="s">
        <v>30</v>
      </c>
      <c r="X648" s="53" t="str">
        <f t="array" ref="X648">XLOOKUP($A648,'Recipients REF'!$A:$A,'Recipients REF'!L:L,"",0)</f>
        <v>25090599</v>
      </c>
      <c r="Y648" s="48" t="s">
        <v>29</v>
      </c>
      <c r="Z648" s="48" t="s">
        <v>31</v>
      </c>
      <c r="AA648" s="54" t="str">
        <f t="array" ref="AA648">XLOOKUP($A648,'Recipients REF'!$A:$A,'Recipients REF'!M:M,"",0)</f>
        <v>25080876</v>
      </c>
      <c r="AB648" s="49"/>
      <c r="AC648" s="42"/>
      <c r="AD648" s="42"/>
      <c r="AE648" s="50"/>
      <c r="AF648" s="42"/>
      <c r="AG648" s="42"/>
      <c r="AH648" s="42"/>
      <c r="AI648" s="42" t="str">
        <f t="array" ref="AI648">XLOOKUP($E648,Sheet11!$D:$D,Sheet11!$X:$X,"",0)</f>
        <v/>
      </c>
      <c r="AJ648" s="42" t="str">
        <f t="array" ref="AJ648">XLOOKUP($E648,Sheet11!$D:$D,Sheet11!$Y:$Y,"",0)</f>
        <v/>
      </c>
    </row>
    <row r="649">
      <c r="A649" s="41">
        <v>831.0</v>
      </c>
      <c r="B649" s="42" t="s">
        <v>1273</v>
      </c>
      <c r="C649" s="42" t="s">
        <v>1269</v>
      </c>
      <c r="D649" s="42"/>
      <c r="E649" s="42" t="str">
        <f t="shared" ref="E649:F649" si="650">PROPER(B649)</f>
        <v>San Miguel Multi-Purpose Cooperative (Sammuco)</v>
      </c>
      <c r="F649" s="42" t="str">
        <f t="shared" si="650"/>
        <v>Claudio Salgado, Sablayan, Occidental Mindoro</v>
      </c>
      <c r="G649" s="42" t="str">
        <f t="shared" si="3"/>
        <v>Claudio Salgado</v>
      </c>
      <c r="H649" s="42" t="str">
        <f t="shared" si="4"/>
        <v>Sablayan</v>
      </c>
      <c r="I649" s="42" t="str">
        <f t="shared" si="5"/>
        <v>Occidental Mindoro</v>
      </c>
      <c r="J649" s="42" t="str">
        <f t="array" ref="J649">XLOOKUP($E649,'Recipients REF'!$B:$B,'Recipients REF'!D:D,"",0)</f>
        <v>Rev. Ariel Gonzales</v>
      </c>
      <c r="K649" s="42" t="str">
        <f t="array" ref="K649">XLOOKUP($E649,'Recipients REF'!$B:$B,'Recipients REF'!E:E,"",0)</f>
        <v>0906 327 1633</v>
      </c>
      <c r="L649" s="43" t="str">
        <f t="array" ref="L649">XLOOKUP($A649,'Recipients REF'!$A:$A,'Recipients REF'!F:F,"",0)</f>
        <v>RCEF 25-03-05</v>
      </c>
      <c r="M649" s="43">
        <f t="array" ref="M649">XLOOKUP($A649,'Recipients REF'!$A:$A,'Recipients REF'!G:G,"",0)</f>
        <v>6</v>
      </c>
      <c r="N649" s="43" t="str">
        <f t="array" ref="N649">XLOOKUP($A649,'Recipients REF'!$A:$A,'Recipients REF'!H:H,"",0)</f>
        <v>26832 &amp; 27784</v>
      </c>
      <c r="O649" s="44" t="s">
        <v>25</v>
      </c>
      <c r="P649" s="45" t="s">
        <v>26</v>
      </c>
      <c r="Q649" s="46" t="str">
        <f t="array" ref="Q649">XLOOKUP($A649,'Recipients REF'!$A:$A,'Recipients REF'!I:I,"",0)</f>
        <v>KMC5825 AJSFPV0297</v>
      </c>
      <c r="R649" s="53" t="str">
        <f t="array" ref="R649">XLOOKUP($A649,'Recipients REF'!$A:$A,'Recipients REF'!J:J,"",0)</f>
        <v>STS100273</v>
      </c>
      <c r="S649" s="45" t="s">
        <v>27</v>
      </c>
      <c r="T649" s="45" t="s">
        <v>28</v>
      </c>
      <c r="U649" s="46" t="str">
        <f t="array" ref="U649">XLOOKUP($A649,'Recipients REF'!$A:$A,'Recipients REF'!K:K,"",0)</f>
        <v>R-SERIES 148PH</v>
      </c>
      <c r="V649" s="44" t="s">
        <v>29</v>
      </c>
      <c r="W649" s="45" t="s">
        <v>30</v>
      </c>
      <c r="X649" s="53" t="str">
        <f t="array" ref="X649">XLOOKUP($A649,'Recipients REF'!$A:$A,'Recipients REF'!L:L,"",0)</f>
        <v>25080367</v>
      </c>
      <c r="Y649" s="48" t="s">
        <v>29</v>
      </c>
      <c r="Z649" s="48" t="s">
        <v>31</v>
      </c>
      <c r="AA649" s="54" t="str">
        <f t="array" ref="AA649">XLOOKUP($A649,'Recipients REF'!$A:$A,'Recipients REF'!M:M,"",0)</f>
        <v>25080864</v>
      </c>
      <c r="AB649" s="49"/>
      <c r="AC649" s="42"/>
      <c r="AD649" s="42"/>
      <c r="AE649" s="50"/>
      <c r="AF649" s="42"/>
      <c r="AG649" s="42"/>
      <c r="AH649" s="42"/>
      <c r="AI649" s="42" t="str">
        <f t="array" ref="AI649">XLOOKUP($E649,Sheet11!$D:$D,Sheet11!$X:$X,"",0)</f>
        <v/>
      </c>
      <c r="AJ649" s="42" t="str">
        <f t="array" ref="AJ649">XLOOKUP($E649,Sheet11!$D:$D,Sheet11!$Y:$Y,"",0)</f>
        <v/>
      </c>
    </row>
    <row r="650">
      <c r="A650" s="41">
        <v>832.0</v>
      </c>
      <c r="B650" s="42" t="s">
        <v>1274</v>
      </c>
      <c r="C650" s="42" t="s">
        <v>1275</v>
      </c>
      <c r="D650" s="42"/>
      <c r="E650" s="42" t="str">
        <f t="shared" ref="E650:F650" si="651">PROPER(B650)</f>
        <v>Tuban Blessed Farmers Multi-Purpose Cooperative (Tubfarmco)</v>
      </c>
      <c r="F650" s="42" t="str">
        <f t="shared" si="651"/>
        <v>Tuban, Sablayan, Occidental Mindoro</v>
      </c>
      <c r="G650" s="42" t="str">
        <f t="shared" si="3"/>
        <v>Tuban</v>
      </c>
      <c r="H650" s="42" t="str">
        <f t="shared" si="4"/>
        <v>Sablayan</v>
      </c>
      <c r="I650" s="42" t="str">
        <f t="shared" si="5"/>
        <v>Occidental Mindoro</v>
      </c>
      <c r="J650" s="42" t="str">
        <f t="array" ref="J650">XLOOKUP($E650,'Recipients REF'!$B:$B,'Recipients REF'!D:D,"",0)</f>
        <v>Abel S. Perlas</v>
      </c>
      <c r="K650" s="42" t="str">
        <f t="array" ref="K650">XLOOKUP($E650,'Recipients REF'!$B:$B,'Recipients REF'!E:E,"",0)</f>
        <v>0930 204 5550</v>
      </c>
      <c r="L650" s="43" t="str">
        <f t="array" ref="L650">XLOOKUP($A650,'Recipients REF'!$A:$A,'Recipients REF'!F:F,"",0)</f>
        <v>RCEF 25-03-05</v>
      </c>
      <c r="M650" s="43">
        <f t="array" ref="M650">XLOOKUP($A650,'Recipients REF'!$A:$A,'Recipients REF'!G:G,"",0)</f>
        <v>6</v>
      </c>
      <c r="N650" s="43" t="str">
        <f t="array" ref="N650">XLOOKUP($A650,'Recipients REF'!$A:$A,'Recipients REF'!H:H,"",0)</f>
        <v>26833 &amp; 27785</v>
      </c>
      <c r="O650" s="44" t="s">
        <v>25</v>
      </c>
      <c r="P650" s="45" t="s">
        <v>26</v>
      </c>
      <c r="Q650" s="46" t="str">
        <f t="array" ref="Q650">XLOOKUP($A650,'Recipients REF'!$A:$A,'Recipients REF'!I:I,"",0)</f>
        <v>KMC5825 AVSFPV0402</v>
      </c>
      <c r="R650" s="53" t="str">
        <f t="array" ref="R650">XLOOKUP($A650,'Recipients REF'!$A:$A,'Recipients REF'!J:J,"",0)</f>
        <v>STS100410</v>
      </c>
      <c r="S650" s="45" t="s">
        <v>27</v>
      </c>
      <c r="T650" s="45" t="s">
        <v>28</v>
      </c>
      <c r="U650" s="46" t="str">
        <f t="array" ref="U650">XLOOKUP($A650,'Recipients REF'!$A:$A,'Recipients REF'!K:K,"",0)</f>
        <v>WR-SERIES 270</v>
      </c>
      <c r="V650" s="44" t="s">
        <v>29</v>
      </c>
      <c r="W650" s="45" t="s">
        <v>30</v>
      </c>
      <c r="X650" s="53" t="str">
        <f t="array" ref="X650">XLOOKUP($A650,'Recipients REF'!$A:$A,'Recipients REF'!L:L,"",0)</f>
        <v>25080388</v>
      </c>
      <c r="Y650" s="48" t="s">
        <v>29</v>
      </c>
      <c r="Z650" s="48" t="s">
        <v>31</v>
      </c>
      <c r="AA650" s="54" t="str">
        <f t="array" ref="AA650">XLOOKUP($A650,'Recipients REF'!$A:$A,'Recipients REF'!M:M,"",0)</f>
        <v>25080843</v>
      </c>
      <c r="AB650" s="49"/>
      <c r="AC650" s="42"/>
      <c r="AD650" s="42"/>
      <c r="AE650" s="50"/>
      <c r="AF650" s="42"/>
      <c r="AG650" s="42"/>
      <c r="AH650" s="42"/>
      <c r="AI650" s="42" t="str">
        <f t="array" ref="AI650">XLOOKUP($E650,Sheet11!$D:$D,Sheet11!$X:$X,"",0)</f>
        <v/>
      </c>
      <c r="AJ650" s="42" t="str">
        <f t="array" ref="AJ650">XLOOKUP($E650,Sheet11!$D:$D,Sheet11!$Y:$Y,"",0)</f>
        <v/>
      </c>
    </row>
    <row r="651">
      <c r="A651" s="41">
        <v>833.0</v>
      </c>
      <c r="B651" s="42" t="s">
        <v>1276</v>
      </c>
      <c r="C651" s="42" t="s">
        <v>1228</v>
      </c>
      <c r="D651" s="42"/>
      <c r="E651" s="42" t="str">
        <f t="shared" ref="E651:F651" si="652">PROPER(B651)</f>
        <v>Upper Tiloy Farmers Association</v>
      </c>
      <c r="F651" s="42" t="str">
        <f t="shared" si="652"/>
        <v>Ilvita, Sablayan, Occidental Mindoro</v>
      </c>
      <c r="G651" s="42" t="str">
        <f t="shared" si="3"/>
        <v>Ilvita</v>
      </c>
      <c r="H651" s="42" t="str">
        <f t="shared" si="4"/>
        <v>Sablayan</v>
      </c>
      <c r="I651" s="42" t="str">
        <f t="shared" si="5"/>
        <v>Occidental Mindoro</v>
      </c>
      <c r="J651" s="42" t="str">
        <f t="array" ref="J651">XLOOKUP($E651,'Recipients REF'!$B:$B,'Recipients REF'!D:D,"",0)</f>
        <v>Artemio Lopez</v>
      </c>
      <c r="K651" s="42" t="str">
        <f t="array" ref="K651">XLOOKUP($E651,'Recipients REF'!$B:$B,'Recipients REF'!E:E,"",0)</f>
        <v>0965-729-9277/ 0917 253 8780</v>
      </c>
      <c r="L651" s="43" t="str">
        <f t="array" ref="L651">XLOOKUP($A651,'Recipients REF'!$A:$A,'Recipients REF'!F:F,"",0)</f>
        <v>RCEF 25-03-05</v>
      </c>
      <c r="M651" s="43">
        <f t="array" ref="M651">XLOOKUP($A651,'Recipients REF'!$A:$A,'Recipients REF'!G:G,"",0)</f>
        <v>6</v>
      </c>
      <c r="N651" s="43" t="str">
        <f t="array" ref="N651">XLOOKUP($A651,'Recipients REF'!$A:$A,'Recipients REF'!H:H,"",0)</f>
        <v>26834 &amp; 27786</v>
      </c>
      <c r="O651" s="44" t="s">
        <v>25</v>
      </c>
      <c r="P651" s="45" t="s">
        <v>26</v>
      </c>
      <c r="Q651" s="46" t="str">
        <f t="array" ref="Q651">XLOOKUP($A651,'Recipients REF'!$A:$A,'Recipients REF'!I:I,"",0)</f>
        <v>KMC5825 AARFPV0993</v>
      </c>
      <c r="R651" s="53" t="str">
        <f t="array" ref="R651">XLOOKUP($A651,'Recipients REF'!$A:$A,'Recipients REF'!J:J,"",0)</f>
        <v>RTS100887</v>
      </c>
      <c r="S651" s="45" t="s">
        <v>27</v>
      </c>
      <c r="T651" s="45" t="s">
        <v>28</v>
      </c>
      <c r="U651" s="46" t="str">
        <f t="array" ref="U651">XLOOKUP($A651,'Recipients REF'!$A:$A,'Recipients REF'!K:K,"",0)</f>
        <v>WR-SERIES 1044</v>
      </c>
      <c r="V651" s="44" t="s">
        <v>29</v>
      </c>
      <c r="W651" s="45" t="s">
        <v>30</v>
      </c>
      <c r="X651" s="53" t="str">
        <f t="array" ref="X651">XLOOKUP($A651,'Recipients REF'!$A:$A,'Recipients REF'!L:L,"",0)</f>
        <v>24090798</v>
      </c>
      <c r="Y651" s="48" t="s">
        <v>29</v>
      </c>
      <c r="Z651" s="48" t="s">
        <v>31</v>
      </c>
      <c r="AA651" s="54" t="str">
        <f t="array" ref="AA651">XLOOKUP($A651,'Recipients REF'!$A:$A,'Recipients REF'!M:M,"",0)</f>
        <v>25030526</v>
      </c>
      <c r="AB651" s="49"/>
      <c r="AC651" s="42"/>
      <c r="AD651" s="42"/>
      <c r="AE651" s="50"/>
      <c r="AF651" s="42"/>
      <c r="AG651" s="42"/>
      <c r="AH651" s="42"/>
      <c r="AI651" s="42" t="str">
        <f t="array" ref="AI651">XLOOKUP($E651,Sheet11!$D:$D,Sheet11!$X:$X,"",0)</f>
        <v/>
      </c>
      <c r="AJ651" s="42" t="str">
        <f t="array" ref="AJ651">XLOOKUP($E651,Sheet11!$D:$D,Sheet11!$Y:$Y,"",0)</f>
        <v/>
      </c>
    </row>
    <row r="652">
      <c r="A652" s="41">
        <v>834.0</v>
      </c>
      <c r="B652" s="42" t="s">
        <v>1277</v>
      </c>
      <c r="C652" s="42" t="s">
        <v>1278</v>
      </c>
      <c r="D652" s="42"/>
      <c r="E652" s="42" t="str">
        <f t="shared" ref="E652:F652" si="653">PROPER(B652)</f>
        <v>Antipolo Rice And Vegetable Farmers Association (Arvefa)</v>
      </c>
      <c r="F652" s="42" t="str">
        <f t="shared" si="653"/>
        <v>Mangarin, San Jose, Occidental Mindoro</v>
      </c>
      <c r="G652" s="42" t="str">
        <f t="shared" si="3"/>
        <v>Mangarin</v>
      </c>
      <c r="H652" s="42" t="str">
        <f t="shared" si="4"/>
        <v>San Jose</v>
      </c>
      <c r="I652" s="42" t="str">
        <f t="shared" si="5"/>
        <v>Occidental Mindoro</v>
      </c>
      <c r="J652" s="42" t="str">
        <f t="array" ref="J652">XLOOKUP($E652,'Recipients REF'!$B:$B,'Recipients REF'!D:D,"",0)</f>
        <v>Bella Erodias</v>
      </c>
      <c r="K652" s="42" t="str">
        <f t="array" ref="K652">XLOOKUP($E652,'Recipients REF'!$B:$B,'Recipients REF'!E:E,"",0)</f>
        <v>0948 696 6560</v>
      </c>
      <c r="L652" s="43" t="str">
        <f t="array" ref="L652">XLOOKUP($A652,'Recipients REF'!$A:$A,'Recipients REF'!F:F,"",0)</f>
        <v>RCEF 25-03-05</v>
      </c>
      <c r="M652" s="43">
        <f t="array" ref="M652">XLOOKUP($A652,'Recipients REF'!$A:$A,'Recipients REF'!G:G,"",0)</f>
        <v>6</v>
      </c>
      <c r="N652" s="43" t="str">
        <f t="array" ref="N652">XLOOKUP($A652,'Recipients REF'!$A:$A,'Recipients REF'!H:H,"",0)</f>
        <v>26835 &amp; 27787</v>
      </c>
      <c r="O652" s="44" t="s">
        <v>25</v>
      </c>
      <c r="P652" s="45" t="s">
        <v>26</v>
      </c>
      <c r="Q652" s="46" t="str">
        <f t="array" ref="Q652">XLOOKUP($A652,'Recipients REF'!$A:$A,'Recipients REF'!I:I,"",0)</f>
        <v>KMC5825 AHSFPV0355</v>
      </c>
      <c r="R652" s="53" t="str">
        <f t="array" ref="R652">XLOOKUP($A652,'Recipients REF'!$A:$A,'Recipients REF'!J:J,"",0)</f>
        <v>STS100386</v>
      </c>
      <c r="S652" s="45" t="s">
        <v>27</v>
      </c>
      <c r="T652" s="45" t="s">
        <v>28</v>
      </c>
      <c r="U652" s="46" t="str">
        <f t="array" ref="U652">XLOOKUP($A652,'Recipients REF'!$A:$A,'Recipients REF'!K:K,"",0)</f>
        <v>WR-SERIES 258</v>
      </c>
      <c r="V652" s="44" t="s">
        <v>29</v>
      </c>
      <c r="W652" s="45" t="s">
        <v>30</v>
      </c>
      <c r="X652" s="53" t="str">
        <f t="array" ref="X652">XLOOKUP($A652,'Recipients REF'!$A:$A,'Recipients REF'!L:L,"",0)</f>
        <v>25080421</v>
      </c>
      <c r="Y652" s="48" t="s">
        <v>29</v>
      </c>
      <c r="Z652" s="48" t="s">
        <v>31</v>
      </c>
      <c r="AA652" s="54" t="str">
        <f t="array" ref="AA652">XLOOKUP($A652,'Recipients REF'!$A:$A,'Recipients REF'!M:M,"",0)</f>
        <v>20580817</v>
      </c>
      <c r="AB652" s="49"/>
      <c r="AC652" s="42"/>
      <c r="AD652" s="42"/>
      <c r="AE652" s="50"/>
      <c r="AF652" s="42"/>
      <c r="AG652" s="42"/>
      <c r="AH652" s="42"/>
      <c r="AI652" s="42" t="str">
        <f t="array" ref="AI652">XLOOKUP($E652,Sheet11!$D:$D,Sheet11!$X:$X,"",0)</f>
        <v/>
      </c>
      <c r="AJ652" s="42" t="str">
        <f t="array" ref="AJ652">XLOOKUP($E652,Sheet11!$D:$D,Sheet11!$Y:$Y,"",0)</f>
        <v/>
      </c>
    </row>
    <row r="653">
      <c r="A653" s="41">
        <v>835.0</v>
      </c>
      <c r="B653" s="42" t="s">
        <v>1279</v>
      </c>
      <c r="C653" s="42" t="s">
        <v>1280</v>
      </c>
      <c r="D653" s="42"/>
      <c r="E653" s="42" t="str">
        <f t="shared" ref="E653:F653" si="654">PROPER(B653)</f>
        <v>Bayotbot San Isidro Farmers Association Inc.</v>
      </c>
      <c r="F653" s="42" t="str">
        <f t="shared" si="654"/>
        <v>Bayotbot, San Jose, Occidental Mindoro</v>
      </c>
      <c r="G653" s="42" t="str">
        <f t="shared" si="3"/>
        <v>Bayotbot</v>
      </c>
      <c r="H653" s="42" t="str">
        <f t="shared" si="4"/>
        <v>San Jose</v>
      </c>
      <c r="I653" s="42" t="str">
        <f t="shared" si="5"/>
        <v>Occidental Mindoro</v>
      </c>
      <c r="J653" s="42" t="str">
        <f t="array" ref="J653">XLOOKUP($E653,'Recipients REF'!$B:$B,'Recipients REF'!D:D,"",0)</f>
        <v>Bernardo Fernando, Sr.</v>
      </c>
      <c r="K653" s="42" t="str">
        <f t="array" ref="K653">XLOOKUP($E653,'Recipients REF'!$B:$B,'Recipients REF'!E:E,"",0)</f>
        <v>0905 420 2049</v>
      </c>
      <c r="L653" s="43" t="str">
        <f t="array" ref="L653">XLOOKUP($A653,'Recipients REF'!$A:$A,'Recipients REF'!F:F,"",0)</f>
        <v>RCEF 25-03-05</v>
      </c>
      <c r="M653" s="43">
        <f t="array" ref="M653">XLOOKUP($A653,'Recipients REF'!$A:$A,'Recipients REF'!G:G,"",0)</f>
        <v>6</v>
      </c>
      <c r="N653" s="43" t="str">
        <f t="array" ref="N653">XLOOKUP($A653,'Recipients REF'!$A:$A,'Recipients REF'!H:H,"",0)</f>
        <v>26836 &amp; 27788</v>
      </c>
      <c r="O653" s="44" t="s">
        <v>25</v>
      </c>
      <c r="P653" s="45" t="s">
        <v>26</v>
      </c>
      <c r="Q653" s="46" t="str">
        <f t="array" ref="Q653">XLOOKUP($A653,'Recipients REF'!$A:$A,'Recipients REF'!I:I,"",0)</f>
        <v>KMC5825 AHSFPV0310</v>
      </c>
      <c r="R653" s="53" t="str">
        <f t="array" ref="R653">XLOOKUP($A653,'Recipients REF'!$A:$A,'Recipients REF'!J:J,"",0)</f>
        <v>STS100315</v>
      </c>
      <c r="S653" s="45" t="s">
        <v>27</v>
      </c>
      <c r="T653" s="45" t="s">
        <v>28</v>
      </c>
      <c r="U653" s="46" t="str">
        <f t="array" ref="U653">XLOOKUP($A653,'Recipients REF'!$A:$A,'Recipients REF'!K:K,"",0)</f>
        <v>R-SERIES 047PH</v>
      </c>
      <c r="V653" s="44" t="s">
        <v>29</v>
      </c>
      <c r="W653" s="45" t="s">
        <v>30</v>
      </c>
      <c r="X653" s="53" t="str">
        <f t="array" ref="X653">XLOOKUP($A653,'Recipients REF'!$A:$A,'Recipients REF'!L:L,"",0)</f>
        <v>25080370</v>
      </c>
      <c r="Y653" s="48" t="s">
        <v>29</v>
      </c>
      <c r="Z653" s="48" t="s">
        <v>31</v>
      </c>
      <c r="AA653" s="54" t="str">
        <f t="array" ref="AA653">XLOOKUP($A653,'Recipients REF'!$A:$A,'Recipients REF'!M:M,"",0)</f>
        <v>25080853</v>
      </c>
      <c r="AB653" s="49"/>
      <c r="AC653" s="42"/>
      <c r="AD653" s="42"/>
      <c r="AE653" s="50"/>
      <c r="AF653" s="42"/>
      <c r="AG653" s="42"/>
      <c r="AH653" s="42"/>
      <c r="AI653" s="42" t="str">
        <f t="array" ref="AI653">XLOOKUP($E653,Sheet11!$D:$D,Sheet11!$X:$X,"",0)</f>
        <v/>
      </c>
      <c r="AJ653" s="42" t="str">
        <f t="array" ref="AJ653">XLOOKUP($E653,Sheet11!$D:$D,Sheet11!$Y:$Y,"",0)</f>
        <v/>
      </c>
    </row>
    <row r="654">
      <c r="A654" s="41">
        <v>836.0</v>
      </c>
      <c r="B654" s="42" t="s">
        <v>1281</v>
      </c>
      <c r="C654" s="42" t="s">
        <v>1282</v>
      </c>
      <c r="D654" s="42"/>
      <c r="E654" s="42" t="str">
        <f t="shared" ref="E654:F654" si="655">PROPER(B654)</f>
        <v>Bubog Development Cooperative</v>
      </c>
      <c r="F654" s="42" t="str">
        <f t="shared" si="655"/>
        <v>Bubog, San Jose, Occidental Mindoro</v>
      </c>
      <c r="G654" s="42" t="str">
        <f t="shared" si="3"/>
        <v>Bubog</v>
      </c>
      <c r="H654" s="42" t="str">
        <f t="shared" si="4"/>
        <v>San Jose</v>
      </c>
      <c r="I654" s="42" t="str">
        <f t="shared" si="5"/>
        <v>Occidental Mindoro</v>
      </c>
      <c r="J654" s="42" t="str">
        <f t="array" ref="J654">XLOOKUP($E654,'Recipients REF'!$B:$B,'Recipients REF'!D:D,"",0)</f>
        <v>LEONILO PANAGSAGAN</v>
      </c>
      <c r="K654" s="42" t="str">
        <f t="array" ref="K654">XLOOKUP($E654,'Recipients REF'!$B:$B,'Recipients REF'!E:E,"",0)</f>
        <v>0968 882 5923</v>
      </c>
      <c r="L654" s="43" t="str">
        <f t="array" ref="L654">XLOOKUP($A654,'Recipients REF'!$A:$A,'Recipients REF'!F:F,"",0)</f>
        <v>RCEF 25-03-05</v>
      </c>
      <c r="M654" s="43">
        <f t="array" ref="M654">XLOOKUP($A654,'Recipients REF'!$A:$A,'Recipients REF'!G:G,"",0)</f>
        <v>6</v>
      </c>
      <c r="N654" s="43" t="str">
        <f t="array" ref="N654">XLOOKUP($A654,'Recipients REF'!$A:$A,'Recipients REF'!H:H,"",0)</f>
        <v>26837 &amp; 27789</v>
      </c>
      <c r="O654" s="44" t="s">
        <v>25</v>
      </c>
      <c r="P654" s="45" t="s">
        <v>26</v>
      </c>
      <c r="Q654" s="46" t="str">
        <f t="array" ref="Q654">XLOOKUP($A654,'Recipients REF'!$A:$A,'Recipients REF'!I:I,"",0)</f>
        <v>KMC5825 AHSFPV0260</v>
      </c>
      <c r="R654" s="53" t="str">
        <f t="array" ref="R654">XLOOKUP($A654,'Recipients REF'!$A:$A,'Recipients REF'!J:J,"",0)</f>
        <v>STS100268</v>
      </c>
      <c r="S654" s="45" t="s">
        <v>27</v>
      </c>
      <c r="T654" s="45" t="s">
        <v>28</v>
      </c>
      <c r="U654" s="46" t="str">
        <f t="array" ref="U654">XLOOKUP($A654,'Recipients REF'!$A:$A,'Recipients REF'!K:K,"",0)</f>
        <v>WR-SERIES 259</v>
      </c>
      <c r="V654" s="44" t="s">
        <v>29</v>
      </c>
      <c r="W654" s="45" t="s">
        <v>30</v>
      </c>
      <c r="X654" s="53" t="str">
        <f t="array" ref="X654">XLOOKUP($A654,'Recipients REF'!$A:$A,'Recipients REF'!L:L,"",0)</f>
        <v>25080427</v>
      </c>
      <c r="Y654" s="48" t="s">
        <v>29</v>
      </c>
      <c r="Z654" s="48" t="s">
        <v>31</v>
      </c>
      <c r="AA654" s="54" t="str">
        <f t="array" ref="AA654">XLOOKUP($A654,'Recipients REF'!$A:$A,'Recipients REF'!M:M,"",0)</f>
        <v>25080856</v>
      </c>
      <c r="AB654" s="49"/>
      <c r="AC654" s="42"/>
      <c r="AD654" s="42"/>
      <c r="AE654" s="50"/>
      <c r="AF654" s="42"/>
      <c r="AG654" s="42"/>
      <c r="AH654" s="42"/>
      <c r="AI654" s="42" t="str">
        <f t="array" ref="AI654">XLOOKUP($E654,Sheet11!$D:$D,Sheet11!$X:$X,"",0)</f>
        <v/>
      </c>
      <c r="AJ654" s="42" t="str">
        <f t="array" ref="AJ654">XLOOKUP($E654,Sheet11!$D:$D,Sheet11!$Y:$Y,"",0)</f>
        <v/>
      </c>
    </row>
    <row r="655">
      <c r="A655" s="41">
        <v>837.0</v>
      </c>
      <c r="B655" s="42" t="s">
        <v>1283</v>
      </c>
      <c r="C655" s="42" t="s">
        <v>1284</v>
      </c>
      <c r="D655" s="42"/>
      <c r="E655" s="42" t="str">
        <f t="shared" ref="E655:F655" si="656">PROPER(B655)</f>
        <v>Calamansian Irrigators Balud Farmers Association</v>
      </c>
      <c r="F655" s="42" t="str">
        <f t="shared" si="656"/>
        <v>Batasan, San Jose, Occidental Mindoro</v>
      </c>
      <c r="G655" s="42" t="str">
        <f t="shared" si="3"/>
        <v>Batasan</v>
      </c>
      <c r="H655" s="42" t="str">
        <f t="shared" si="4"/>
        <v>San Jose</v>
      </c>
      <c r="I655" s="42" t="str">
        <f t="shared" si="5"/>
        <v>Occidental Mindoro</v>
      </c>
      <c r="J655" s="42" t="str">
        <f t="array" ref="J655">XLOOKUP($E655,'Recipients REF'!$B:$B,'Recipients REF'!D:D,"",0)</f>
        <v>Renato Siodo</v>
      </c>
      <c r="K655" s="42" t="str">
        <f t="array" ref="K655">XLOOKUP($E655,'Recipients REF'!$B:$B,'Recipients REF'!E:E,"",0)</f>
        <v>0997 560 4900</v>
      </c>
      <c r="L655" s="43" t="str">
        <f t="array" ref="L655">XLOOKUP($A655,'Recipients REF'!$A:$A,'Recipients REF'!F:F,"",0)</f>
        <v>RCEF 25-03-05</v>
      </c>
      <c r="M655" s="43">
        <f t="array" ref="M655">XLOOKUP($A655,'Recipients REF'!$A:$A,'Recipients REF'!G:G,"",0)</f>
        <v>6</v>
      </c>
      <c r="N655" s="43" t="str">
        <f t="array" ref="N655">XLOOKUP($A655,'Recipients REF'!$A:$A,'Recipients REF'!H:H,"",0)</f>
        <v>26838 &amp; 27790</v>
      </c>
      <c r="O655" s="44" t="s">
        <v>25</v>
      </c>
      <c r="P655" s="45" t="s">
        <v>26</v>
      </c>
      <c r="Q655" s="46" t="str">
        <f t="array" ref="Q655">XLOOKUP($A655,'Recipients REF'!$A:$A,'Recipients REF'!I:I,"",0)</f>
        <v>KMC5825 AJSFPV0431</v>
      </c>
      <c r="R655" s="53" t="str">
        <f t="array" ref="R655">XLOOKUP($A655,'Recipients REF'!$A:$A,'Recipients REF'!J:J,"",0)</f>
        <v>STS100482</v>
      </c>
      <c r="S655" s="45" t="s">
        <v>27</v>
      </c>
      <c r="T655" s="45" t="s">
        <v>28</v>
      </c>
      <c r="U655" s="46" t="str">
        <f t="array" ref="U655">XLOOKUP($A655,'Recipients REF'!$A:$A,'Recipients REF'!K:K,"",0)</f>
        <v>WR-SERIES 242</v>
      </c>
      <c r="V655" s="44" t="s">
        <v>29</v>
      </c>
      <c r="W655" s="45" t="s">
        <v>30</v>
      </c>
      <c r="X655" s="53" t="str">
        <f t="array" ref="X655">XLOOKUP($A655,'Recipients REF'!$A:$A,'Recipients REF'!L:L,"",0)</f>
        <v>25080515</v>
      </c>
      <c r="Y655" s="48" t="s">
        <v>29</v>
      </c>
      <c r="Z655" s="48" t="s">
        <v>31</v>
      </c>
      <c r="AA655" s="54" t="str">
        <f t="array" ref="AA655">XLOOKUP($A655,'Recipients REF'!$A:$A,'Recipients REF'!M:M,"",0)</f>
        <v>25080854</v>
      </c>
      <c r="AB655" s="49"/>
      <c r="AC655" s="42"/>
      <c r="AD655" s="42"/>
      <c r="AE655" s="50"/>
      <c r="AF655" s="42"/>
      <c r="AG655" s="42"/>
      <c r="AH655" s="42"/>
      <c r="AI655" s="42" t="str">
        <f t="array" ref="AI655">XLOOKUP($E655,Sheet11!$D:$D,Sheet11!$X:$X,"",0)</f>
        <v/>
      </c>
      <c r="AJ655" s="42" t="str">
        <f t="array" ref="AJ655">XLOOKUP($E655,Sheet11!$D:$D,Sheet11!$Y:$Y,"",0)</f>
        <v/>
      </c>
    </row>
    <row r="656">
      <c r="A656" s="41">
        <v>838.0</v>
      </c>
      <c r="B656" s="42" t="s">
        <v>1285</v>
      </c>
      <c r="C656" s="42" t="s">
        <v>1286</v>
      </c>
      <c r="D656" s="42"/>
      <c r="E656" s="42" t="str">
        <f t="shared" ref="E656:F656" si="657">PROPER(B656)</f>
        <v>Central D Multi-Purpose Cooperative</v>
      </c>
      <c r="F656" s="42" t="str">
        <f t="shared" si="657"/>
        <v>Central, San Jose, Occidental Mindoro</v>
      </c>
      <c r="G656" s="42" t="str">
        <f t="shared" si="3"/>
        <v>Central</v>
      </c>
      <c r="H656" s="42" t="str">
        <f t="shared" si="4"/>
        <v>San Jose</v>
      </c>
      <c r="I656" s="42" t="str">
        <f t="shared" si="5"/>
        <v>Occidental Mindoro</v>
      </c>
      <c r="J656" s="42" t="str">
        <f t="array" ref="J656">XLOOKUP($E656,'Recipients REF'!$B:$B,'Recipients REF'!D:D,"",0)</f>
        <v>Vernie Adrian Salazar</v>
      </c>
      <c r="K656" s="42" t="str">
        <f t="array" ref="K656">XLOOKUP($E656,'Recipients REF'!$B:$B,'Recipients REF'!E:E,"",0)</f>
        <v>0929 7039961</v>
      </c>
      <c r="L656" s="43" t="str">
        <f t="array" ref="L656">XLOOKUP($A656,'Recipients REF'!$A:$A,'Recipients REF'!F:F,"",0)</f>
        <v>RCEF 25-03-05</v>
      </c>
      <c r="M656" s="43">
        <f t="array" ref="M656">XLOOKUP($A656,'Recipients REF'!$A:$A,'Recipients REF'!G:G,"",0)</f>
        <v>6</v>
      </c>
      <c r="N656" s="43" t="str">
        <f t="array" ref="N656">XLOOKUP($A656,'Recipients REF'!$A:$A,'Recipients REF'!H:H,"",0)</f>
        <v>26839 &amp; 27791</v>
      </c>
      <c r="O656" s="44" t="s">
        <v>25</v>
      </c>
      <c r="P656" s="45" t="s">
        <v>26</v>
      </c>
      <c r="Q656" s="46" t="str">
        <f t="array" ref="Q656">XLOOKUP($A656,'Recipients REF'!$A:$A,'Recipients REF'!I:I,"",0)</f>
        <v>KMC5825 ACSFPV0401</v>
      </c>
      <c r="R656" s="53" t="str">
        <f t="array" ref="R656">XLOOKUP($A656,'Recipients REF'!$A:$A,'Recipients REF'!J:J,"",0)</f>
        <v>STS100421</v>
      </c>
      <c r="S656" s="45" t="s">
        <v>27</v>
      </c>
      <c r="T656" s="45" t="s">
        <v>28</v>
      </c>
      <c r="U656" s="46" t="str">
        <f t="array" ref="U656">XLOOKUP($A656,'Recipients REF'!$A:$A,'Recipients REF'!K:K,"",0)</f>
        <v>WR-SERIES 117</v>
      </c>
      <c r="V656" s="44" t="s">
        <v>29</v>
      </c>
      <c r="W656" s="45" t="s">
        <v>30</v>
      </c>
      <c r="X656" s="53" t="str">
        <f t="array" ref="X656">XLOOKUP($A656,'Recipients REF'!$A:$A,'Recipients REF'!L:L,"",0)</f>
        <v>25080415</v>
      </c>
      <c r="Y656" s="48" t="s">
        <v>29</v>
      </c>
      <c r="Z656" s="48" t="s">
        <v>31</v>
      </c>
      <c r="AA656" s="54" t="str">
        <f t="array" ref="AA656">XLOOKUP($A656,'Recipients REF'!$A:$A,'Recipients REF'!M:M,"",0)</f>
        <v>25080852</v>
      </c>
      <c r="AB656" s="49"/>
      <c r="AC656" s="42"/>
      <c r="AD656" s="42"/>
      <c r="AE656" s="50"/>
      <c r="AF656" s="42"/>
      <c r="AG656" s="42"/>
      <c r="AH656" s="42"/>
      <c r="AI656" s="42" t="str">
        <f t="array" ref="AI656">XLOOKUP($E656,Sheet11!$D:$D,Sheet11!$X:$X,"",0)</f>
        <v/>
      </c>
      <c r="AJ656" s="42" t="str">
        <f t="array" ref="AJ656">XLOOKUP($E656,Sheet11!$D:$D,Sheet11!$Y:$Y,"",0)</f>
        <v/>
      </c>
    </row>
    <row r="657">
      <c r="A657" s="41">
        <v>839.0</v>
      </c>
      <c r="B657" s="42" t="s">
        <v>1287</v>
      </c>
      <c r="C657" s="42" t="s">
        <v>1288</v>
      </c>
      <c r="D657" s="42"/>
      <c r="E657" s="42" t="str">
        <f t="shared" ref="E657:F657" si="658">PROPER(B657)</f>
        <v>Delta Squad Guardian Farmers Association</v>
      </c>
      <c r="F657" s="42" t="str">
        <f t="shared" si="658"/>
        <v>Mapaya, San Jose, Occidental Mindoro</v>
      </c>
      <c r="G657" s="42" t="str">
        <f t="shared" si="3"/>
        <v>Mapaya</v>
      </c>
      <c r="H657" s="42" t="str">
        <f t="shared" si="4"/>
        <v>San Jose</v>
      </c>
      <c r="I657" s="42" t="str">
        <f t="shared" si="5"/>
        <v>Occidental Mindoro</v>
      </c>
      <c r="J657" s="42" t="str">
        <f t="array" ref="J657">XLOOKUP($E657,'Recipients REF'!$B:$B,'Recipients REF'!D:D,"",0)</f>
        <v>Eddie Boy Garcia</v>
      </c>
      <c r="K657" s="42" t="str">
        <f t="array" ref="K657">XLOOKUP($E657,'Recipients REF'!$B:$B,'Recipients REF'!E:E,"",0)</f>
        <v>0950 8692448</v>
      </c>
      <c r="L657" s="43" t="str">
        <f t="array" ref="L657">XLOOKUP($A657,'Recipients REF'!$A:$A,'Recipients REF'!F:F,"",0)</f>
        <v>RCEF 25-03-05</v>
      </c>
      <c r="M657" s="43">
        <f t="array" ref="M657">XLOOKUP($A657,'Recipients REF'!$A:$A,'Recipients REF'!G:G,"",0)</f>
        <v>6</v>
      </c>
      <c r="N657" s="43" t="str">
        <f t="array" ref="N657">XLOOKUP($A657,'Recipients REF'!$A:$A,'Recipients REF'!H:H,"",0)</f>
        <v>26840 &amp; 27792</v>
      </c>
      <c r="O657" s="44" t="s">
        <v>25</v>
      </c>
      <c r="P657" s="45" t="s">
        <v>26</v>
      </c>
      <c r="Q657" s="46" t="str">
        <f t="array" ref="Q657">XLOOKUP($A657,'Recipients REF'!$A:$A,'Recipients REF'!I:I,"",0)</f>
        <v>KMC5825 AASFPV0403</v>
      </c>
      <c r="R657" s="53" t="str">
        <f t="array" ref="R657">XLOOKUP($A657,'Recipients REF'!$A:$A,'Recipients REF'!J:J,"",0)</f>
        <v>STS100439</v>
      </c>
      <c r="S657" s="45" t="s">
        <v>27</v>
      </c>
      <c r="T657" s="45" t="s">
        <v>28</v>
      </c>
      <c r="U657" s="46" t="str">
        <f t="array" ref="U657">XLOOKUP($A657,'Recipients REF'!$A:$A,'Recipients REF'!K:K,"",0)</f>
        <v>R-SERIES 053PH</v>
      </c>
      <c r="V657" s="44" t="s">
        <v>29</v>
      </c>
      <c r="W657" s="45" t="s">
        <v>30</v>
      </c>
      <c r="X657" s="53" t="str">
        <f t="array" ref="X657">XLOOKUP($A657,'Recipients REF'!$A:$A,'Recipients REF'!L:L,"",0)</f>
        <v>25080403</v>
      </c>
      <c r="Y657" s="48" t="s">
        <v>29</v>
      </c>
      <c r="Z657" s="48" t="s">
        <v>31</v>
      </c>
      <c r="AA657" s="54" t="str">
        <f t="array" ref="AA657">XLOOKUP($A657,'Recipients REF'!$A:$A,'Recipients REF'!M:M,"",0)</f>
        <v>25080870</v>
      </c>
      <c r="AB657" s="49"/>
      <c r="AC657" s="42"/>
      <c r="AD657" s="42"/>
      <c r="AE657" s="50"/>
      <c r="AF657" s="42"/>
      <c r="AG657" s="42"/>
      <c r="AH657" s="42"/>
      <c r="AI657" s="42" t="str">
        <f t="array" ref="AI657">XLOOKUP($E657,Sheet11!$D:$D,Sheet11!$X:$X,"",0)</f>
        <v/>
      </c>
      <c r="AJ657" s="42" t="str">
        <f t="array" ref="AJ657">XLOOKUP($E657,Sheet11!$D:$D,Sheet11!$Y:$Y,"",0)</f>
        <v/>
      </c>
    </row>
    <row r="658">
      <c r="A658" s="41">
        <v>840.0</v>
      </c>
      <c r="B658" s="42" t="s">
        <v>1289</v>
      </c>
      <c r="C658" s="42" t="s">
        <v>1290</v>
      </c>
      <c r="D658" s="42"/>
      <c r="E658" s="42" t="str">
        <f t="shared" ref="E658:F658" si="659">PROPER(B658)</f>
        <v>Mabini Main Farmer'S Association</v>
      </c>
      <c r="F658" s="42" t="str">
        <f t="shared" si="659"/>
        <v>Mabini, San Jose, Occidental Mindoro</v>
      </c>
      <c r="G658" s="42" t="str">
        <f t="shared" si="3"/>
        <v>Mabini</v>
      </c>
      <c r="H658" s="42" t="str">
        <f t="shared" si="4"/>
        <v>San Jose</v>
      </c>
      <c r="I658" s="42" t="str">
        <f t="shared" si="5"/>
        <v>Occidental Mindoro</v>
      </c>
      <c r="J658" s="42" t="str">
        <f t="array" ref="J658">XLOOKUP($E658,'Recipients REF'!$B:$B,'Recipients REF'!D:D,"",0)</f>
        <v>Michael Custodio</v>
      </c>
      <c r="K658" s="42" t="str">
        <f t="array" ref="K658">XLOOKUP($E658,'Recipients REF'!$B:$B,'Recipients REF'!E:E,"",0)</f>
        <v>0965 410 1547</v>
      </c>
      <c r="L658" s="43" t="str">
        <f t="array" ref="L658">XLOOKUP($A658,'Recipients REF'!$A:$A,'Recipients REF'!F:F,"",0)</f>
        <v>RCEF 25-03-05</v>
      </c>
      <c r="M658" s="43">
        <f t="array" ref="M658">XLOOKUP($A658,'Recipients REF'!$A:$A,'Recipients REF'!G:G,"",0)</f>
        <v>6</v>
      </c>
      <c r="N658" s="43" t="str">
        <f t="array" ref="N658">XLOOKUP($A658,'Recipients REF'!$A:$A,'Recipients REF'!H:H,"",0)</f>
        <v>26841 &amp; 27793</v>
      </c>
      <c r="O658" s="44" t="s">
        <v>25</v>
      </c>
      <c r="P658" s="45" t="s">
        <v>26</v>
      </c>
      <c r="Q658" s="46" t="str">
        <f t="array" ref="Q658">XLOOKUP($A658,'Recipients REF'!$A:$A,'Recipients REF'!I:I,"",0)</f>
        <v>KMC5825 ATSFPV0313</v>
      </c>
      <c r="R658" s="53" t="str">
        <f t="array" ref="R658">XLOOKUP($A658,'Recipients REF'!$A:$A,'Recipients REF'!J:J,"",0)</f>
        <v>STS100319</v>
      </c>
      <c r="S658" s="45" t="s">
        <v>27</v>
      </c>
      <c r="T658" s="45" t="s">
        <v>28</v>
      </c>
      <c r="U658" s="46" t="str">
        <f t="array" ref="U658">XLOOKUP($A658,'Recipients REF'!$A:$A,'Recipients REF'!K:K,"",0)</f>
        <v>WR-SERIES 040</v>
      </c>
      <c r="V658" s="44" t="s">
        <v>29</v>
      </c>
      <c r="W658" s="45" t="s">
        <v>30</v>
      </c>
      <c r="X658" s="53" t="str">
        <f t="array" ref="X658">XLOOKUP($A658,'Recipients REF'!$A:$A,'Recipients REF'!L:L,"",0)</f>
        <v>25080356</v>
      </c>
      <c r="Y658" s="48" t="s">
        <v>29</v>
      </c>
      <c r="Z658" s="48" t="s">
        <v>31</v>
      </c>
      <c r="AA658" s="54" t="str">
        <f t="array" ref="AA658">XLOOKUP($A658,'Recipients REF'!$A:$A,'Recipients REF'!M:M,"",0)</f>
        <v>25080885</v>
      </c>
      <c r="AB658" s="49"/>
      <c r="AC658" s="42"/>
      <c r="AD658" s="42"/>
      <c r="AE658" s="50"/>
      <c r="AF658" s="42"/>
      <c r="AG658" s="42"/>
      <c r="AH658" s="42"/>
      <c r="AI658" s="42" t="str">
        <f t="array" ref="AI658">XLOOKUP($E658,Sheet11!$D:$D,Sheet11!$X:$X,"",0)</f>
        <v/>
      </c>
      <c r="AJ658" s="42" t="str">
        <f t="array" ref="AJ658">XLOOKUP($E658,Sheet11!$D:$D,Sheet11!$Y:$Y,"",0)</f>
        <v/>
      </c>
    </row>
    <row r="659">
      <c r="A659" s="41">
        <v>841.0</v>
      </c>
      <c r="B659" s="42" t="s">
        <v>1291</v>
      </c>
      <c r="C659" s="42" t="s">
        <v>1288</v>
      </c>
      <c r="D659" s="42"/>
      <c r="E659" s="42" t="str">
        <f t="shared" ref="E659:F659" si="660">PROPER(B659)</f>
        <v>Monteclaro Irrigators Association, Incorporated</v>
      </c>
      <c r="F659" s="42" t="str">
        <f t="shared" si="660"/>
        <v>Mapaya, San Jose, Occidental Mindoro</v>
      </c>
      <c r="G659" s="42" t="str">
        <f t="shared" si="3"/>
        <v>Mapaya</v>
      </c>
      <c r="H659" s="42" t="str">
        <f t="shared" si="4"/>
        <v>San Jose</v>
      </c>
      <c r="I659" s="42" t="str">
        <f t="shared" si="5"/>
        <v>Occidental Mindoro</v>
      </c>
      <c r="J659" s="42" t="str">
        <f t="array" ref="J659">XLOOKUP($E659,'Recipients REF'!$B:$B,'Recipients REF'!D:D,"",0)</f>
        <v>Fernando Ramos</v>
      </c>
      <c r="K659" s="42">
        <f t="array" ref="K659">XLOOKUP($E659,'Recipients REF'!$B:$B,'Recipients REF'!E:E,"",0)</f>
        <v>9154522277</v>
      </c>
      <c r="L659" s="43" t="str">
        <f t="array" ref="L659">XLOOKUP($A659,'Recipients REF'!$A:$A,'Recipients REF'!F:F,"",0)</f>
        <v>RCEF 25-03-05</v>
      </c>
      <c r="M659" s="43">
        <f t="array" ref="M659">XLOOKUP($A659,'Recipients REF'!$A:$A,'Recipients REF'!G:G,"",0)</f>
        <v>6</v>
      </c>
      <c r="N659" s="43" t="str">
        <f t="array" ref="N659">XLOOKUP($A659,'Recipients REF'!$A:$A,'Recipients REF'!H:H,"",0)</f>
        <v>26842 &amp; 27794</v>
      </c>
      <c r="O659" s="44" t="s">
        <v>25</v>
      </c>
      <c r="P659" s="45" t="s">
        <v>26</v>
      </c>
      <c r="Q659" s="46" t="str">
        <f t="array" ref="Q659">XLOOKUP($A659,'Recipients REF'!$A:$A,'Recipients REF'!I:I,"",0)</f>
        <v>KMC5825 AHSFPV0162</v>
      </c>
      <c r="R659" s="53" t="str">
        <f t="array" ref="R659">XLOOKUP($A659,'Recipients REF'!$A:$A,'Recipients REF'!J:J,"",0)</f>
        <v>STS100110</v>
      </c>
      <c r="S659" s="45" t="s">
        <v>27</v>
      </c>
      <c r="T659" s="45" t="s">
        <v>28</v>
      </c>
      <c r="U659" s="46" t="str">
        <f t="array" ref="U659">XLOOKUP($A659,'Recipients REF'!$A:$A,'Recipients REF'!K:K,"",0)</f>
        <v>R-SERIES 321PH</v>
      </c>
      <c r="V659" s="44" t="s">
        <v>29</v>
      </c>
      <c r="W659" s="45" t="s">
        <v>30</v>
      </c>
      <c r="X659" s="53" t="str">
        <f t="array" ref="X659">XLOOKUP($A659,'Recipients REF'!$A:$A,'Recipients REF'!L:L,"",0)</f>
        <v>25080404</v>
      </c>
      <c r="Y659" s="48" t="s">
        <v>29</v>
      </c>
      <c r="Z659" s="48" t="s">
        <v>31</v>
      </c>
      <c r="AA659" s="54" t="str">
        <f t="array" ref="AA659">XLOOKUP($A659,'Recipients REF'!$A:$A,'Recipients REF'!M:M,"",0)</f>
        <v>25080879</v>
      </c>
      <c r="AB659" s="49"/>
      <c r="AC659" s="42"/>
      <c r="AD659" s="42"/>
      <c r="AE659" s="51"/>
      <c r="AF659" s="52"/>
      <c r="AG659" s="42"/>
      <c r="AH659" s="42"/>
      <c r="AI659" s="42" t="str">
        <f t="array" ref="AI659">XLOOKUP($E659,Sheet11!$D:$D,Sheet11!$X:$X,"",0)</f>
        <v/>
      </c>
      <c r="AJ659" s="42" t="str">
        <f t="array" ref="AJ659">XLOOKUP($E659,Sheet11!$D:$D,Sheet11!$Y:$Y,"",0)</f>
        <v/>
      </c>
    </row>
    <row r="660">
      <c r="A660" s="41">
        <v>842.0</v>
      </c>
      <c r="B660" s="42" t="s">
        <v>1292</v>
      </c>
      <c r="C660" s="42" t="s">
        <v>1293</v>
      </c>
      <c r="D660" s="42"/>
      <c r="E660" s="42" t="str">
        <f t="shared" ref="E660:F660" si="661">PROPER(B660)</f>
        <v>Murtha Agriculture Cooperative</v>
      </c>
      <c r="F660" s="42" t="str">
        <f t="shared" si="661"/>
        <v>Murtha, San Jose, Occidental Mindoro</v>
      </c>
      <c r="G660" s="42" t="str">
        <f t="shared" si="3"/>
        <v>Murtha</v>
      </c>
      <c r="H660" s="42" t="str">
        <f t="shared" si="4"/>
        <v>San Jose</v>
      </c>
      <c r="I660" s="42" t="str">
        <f t="shared" si="5"/>
        <v>Occidental Mindoro</v>
      </c>
      <c r="J660" s="42" t="str">
        <f t="array" ref="J660">XLOOKUP($E660,'Recipients REF'!$B:$B,'Recipients REF'!D:D,"",0)</f>
        <v>Ricardo Gimeno</v>
      </c>
      <c r="K660" s="42" t="str">
        <f t="array" ref="K660">XLOOKUP($E660,'Recipients REF'!$B:$B,'Recipients REF'!E:E,"",0)</f>
        <v>0977 619 1251</v>
      </c>
      <c r="L660" s="43" t="str">
        <f t="array" ref="L660">XLOOKUP($A660,'Recipients REF'!$A:$A,'Recipients REF'!F:F,"",0)</f>
        <v>RCEF 25-03-05</v>
      </c>
      <c r="M660" s="43">
        <f t="array" ref="M660">XLOOKUP($A660,'Recipients REF'!$A:$A,'Recipients REF'!G:G,"",0)</f>
        <v>6</v>
      </c>
      <c r="N660" s="43" t="str">
        <f t="array" ref="N660">XLOOKUP($A660,'Recipients REF'!$A:$A,'Recipients REF'!H:H,"",0)</f>
        <v>26843 &amp; 27795</v>
      </c>
      <c r="O660" s="44" t="s">
        <v>25</v>
      </c>
      <c r="P660" s="45" t="s">
        <v>26</v>
      </c>
      <c r="Q660" s="46" t="str">
        <f t="array" ref="Q660">XLOOKUP($A660,'Recipients REF'!$A:$A,'Recipients REF'!I:I,"",0)</f>
        <v>KMC5825 AKSFPV0430</v>
      </c>
      <c r="R660" s="53" t="str">
        <f t="array" ref="R660">XLOOKUP($A660,'Recipients REF'!$A:$A,'Recipients REF'!J:J,"",0)</f>
        <v>STS100473</v>
      </c>
      <c r="S660" s="45" t="s">
        <v>27</v>
      </c>
      <c r="T660" s="45" t="s">
        <v>28</v>
      </c>
      <c r="U660" s="46" t="str">
        <f t="array" ref="U660">XLOOKUP($A660,'Recipients REF'!$A:$A,'Recipients REF'!K:K,"",0)</f>
        <v>WR-SERIES 303</v>
      </c>
      <c r="V660" s="44" t="s">
        <v>29</v>
      </c>
      <c r="W660" s="45" t="s">
        <v>30</v>
      </c>
      <c r="X660" s="53" t="str">
        <f t="array" ref="X660">XLOOKUP($A660,'Recipients REF'!$A:$A,'Recipients REF'!L:L,"",0)</f>
        <v>25080406</v>
      </c>
      <c r="Y660" s="48" t="s">
        <v>29</v>
      </c>
      <c r="Z660" s="48" t="s">
        <v>31</v>
      </c>
      <c r="AA660" s="54" t="str">
        <f t="array" ref="AA660">XLOOKUP($A660,'Recipients REF'!$A:$A,'Recipients REF'!M:M,"",0)</f>
        <v>25080865</v>
      </c>
      <c r="AB660" s="49"/>
      <c r="AC660" s="42"/>
      <c r="AD660" s="42"/>
      <c r="AE660" s="50"/>
      <c r="AF660" s="42"/>
      <c r="AG660" s="42"/>
      <c r="AH660" s="42"/>
      <c r="AI660" s="42" t="str">
        <f t="array" ref="AI660">XLOOKUP($E660,Sheet11!$D:$D,Sheet11!$X:$X,"",0)</f>
        <v/>
      </c>
      <c r="AJ660" s="42" t="str">
        <f t="array" ref="AJ660">XLOOKUP($E660,Sheet11!$D:$D,Sheet11!$Y:$Y,"",0)</f>
        <v/>
      </c>
    </row>
    <row r="661">
      <c r="A661" s="41">
        <v>843.0</v>
      </c>
      <c r="B661" s="42" t="s">
        <v>1294</v>
      </c>
      <c r="C661" s="42" t="s">
        <v>1293</v>
      </c>
      <c r="D661" s="42"/>
      <c r="E661" s="42" t="str">
        <f t="shared" ref="E661:F661" si="662">PROPER(B661)</f>
        <v>Murtha Development Multi-Purpose Cooperative</v>
      </c>
      <c r="F661" s="42" t="str">
        <f t="shared" si="662"/>
        <v>Murtha, San Jose, Occidental Mindoro</v>
      </c>
      <c r="G661" s="42" t="str">
        <f t="shared" si="3"/>
        <v>Murtha</v>
      </c>
      <c r="H661" s="42" t="str">
        <f t="shared" si="4"/>
        <v>San Jose</v>
      </c>
      <c r="I661" s="42" t="str">
        <f t="shared" si="5"/>
        <v>Occidental Mindoro</v>
      </c>
      <c r="J661" s="42" t="str">
        <f t="array" ref="J661">XLOOKUP($E661,'Recipients REF'!$B:$B,'Recipients REF'!D:D,"",0)</f>
        <v>Jocelyn Jarabata</v>
      </c>
      <c r="K661" s="42" t="str">
        <f t="array" ref="K661">XLOOKUP($E661,'Recipients REF'!$B:$B,'Recipients REF'!E:E,"",0)</f>
        <v>0935 934 3446</v>
      </c>
      <c r="L661" s="43" t="str">
        <f t="array" ref="L661">XLOOKUP($A661,'Recipients REF'!$A:$A,'Recipients REF'!F:F,"",0)</f>
        <v>RCEF 25-03-05</v>
      </c>
      <c r="M661" s="43">
        <f t="array" ref="M661">XLOOKUP($A661,'Recipients REF'!$A:$A,'Recipients REF'!G:G,"",0)</f>
        <v>6</v>
      </c>
      <c r="N661" s="43" t="str">
        <f t="array" ref="N661">XLOOKUP($A661,'Recipients REF'!$A:$A,'Recipients REF'!H:H,"",0)</f>
        <v>26844 &amp; 27796</v>
      </c>
      <c r="O661" s="44" t="s">
        <v>25</v>
      </c>
      <c r="P661" s="45" t="s">
        <v>26</v>
      </c>
      <c r="Q661" s="46" t="str">
        <f t="array" ref="Q661">XLOOKUP($A661,'Recipients REF'!$A:$A,'Recipients REF'!I:I,"",0)</f>
        <v>KMC5825 ATSFPV0392</v>
      </c>
      <c r="R661" s="53" t="str">
        <f t="array" ref="R661">XLOOKUP($A661,'Recipients REF'!$A:$A,'Recipients REF'!J:J,"",0)</f>
        <v>STS100455</v>
      </c>
      <c r="S661" s="45" t="s">
        <v>27</v>
      </c>
      <c r="T661" s="45" t="s">
        <v>28</v>
      </c>
      <c r="U661" s="46" t="str">
        <f t="array" ref="U661">XLOOKUP($A661,'Recipients REF'!$A:$A,'Recipients REF'!K:K,"",0)</f>
        <v>R-SERIES 113PH</v>
      </c>
      <c r="V661" s="44" t="s">
        <v>29</v>
      </c>
      <c r="W661" s="45" t="s">
        <v>30</v>
      </c>
      <c r="X661" s="53" t="str">
        <f t="array" ref="X661">XLOOKUP($A661,'Recipients REF'!$A:$A,'Recipients REF'!L:L,"",0)</f>
        <v>25080414</v>
      </c>
      <c r="Y661" s="48" t="s">
        <v>29</v>
      </c>
      <c r="Z661" s="48" t="s">
        <v>31</v>
      </c>
      <c r="AA661" s="54" t="str">
        <f t="array" ref="AA661">XLOOKUP($A661,'Recipients REF'!$A:$A,'Recipients REF'!M:M,"",0)</f>
        <v>25080869</v>
      </c>
      <c r="AB661" s="49"/>
      <c r="AC661" s="42"/>
      <c r="AD661" s="42"/>
      <c r="AE661" s="50"/>
      <c r="AF661" s="42"/>
      <c r="AG661" s="42"/>
      <c r="AH661" s="42"/>
      <c r="AI661" s="42" t="str">
        <f t="array" ref="AI661">XLOOKUP($E661,Sheet11!$D:$D,Sheet11!$X:$X,"",0)</f>
        <v/>
      </c>
      <c r="AJ661" s="42" t="str">
        <f t="array" ref="AJ661">XLOOKUP($E661,Sheet11!$D:$D,Sheet11!$Y:$Y,"",0)</f>
        <v/>
      </c>
    </row>
    <row r="662">
      <c r="A662" s="41">
        <v>844.0</v>
      </c>
      <c r="B662" s="42" t="s">
        <v>1295</v>
      </c>
      <c r="C662" s="42" t="s">
        <v>1296</v>
      </c>
      <c r="D662" s="42"/>
      <c r="E662" s="42" t="str">
        <f t="shared" ref="E662:F662" si="663">PROPER(B662)</f>
        <v>Occ. Mdo. Mannalon Farmers Assn. Inc.</v>
      </c>
      <c r="F662" s="42" t="str">
        <f t="shared" si="663"/>
        <v>La Curva, San Jose, Occidental Mindoro</v>
      </c>
      <c r="G662" s="42" t="str">
        <f t="shared" si="3"/>
        <v>La Curva</v>
      </c>
      <c r="H662" s="42" t="str">
        <f t="shared" si="4"/>
        <v>San Jose</v>
      </c>
      <c r="I662" s="42" t="str">
        <f t="shared" si="5"/>
        <v>Occidental Mindoro</v>
      </c>
      <c r="J662" s="42" t="str">
        <f t="array" ref="J662">XLOOKUP($E662,'Recipients REF'!$B:$B,'Recipients REF'!D:D,"",0)</f>
        <v>Yolanda Espeleta</v>
      </c>
      <c r="K662" s="42" t="str">
        <f t="array" ref="K662">XLOOKUP($E662,'Recipients REF'!$B:$B,'Recipients REF'!E:E,"",0)</f>
        <v>0998 541 8984</v>
      </c>
      <c r="L662" s="43" t="str">
        <f t="array" ref="L662">XLOOKUP($A662,'Recipients REF'!$A:$A,'Recipients REF'!F:F,"",0)</f>
        <v>RCEF 25-03-05</v>
      </c>
      <c r="M662" s="43">
        <f t="array" ref="M662">XLOOKUP($A662,'Recipients REF'!$A:$A,'Recipients REF'!G:G,"",0)</f>
        <v>6</v>
      </c>
      <c r="N662" s="43" t="str">
        <f t="array" ref="N662">XLOOKUP($A662,'Recipients REF'!$A:$A,'Recipients REF'!H:H,"",0)</f>
        <v>26845 &amp; 27797</v>
      </c>
      <c r="O662" s="44" t="s">
        <v>25</v>
      </c>
      <c r="P662" s="45" t="s">
        <v>26</v>
      </c>
      <c r="Q662" s="46" t="str">
        <f t="array" ref="Q662">XLOOKUP($A662,'Recipients REF'!$A:$A,'Recipients REF'!I:I,"",0)</f>
        <v>KMC5825 AASFPV0143</v>
      </c>
      <c r="R662" s="53" t="str">
        <f t="array" ref="R662">XLOOKUP($A662,'Recipients REF'!$A:$A,'Recipients REF'!J:J,"",0)</f>
        <v>STS100084</v>
      </c>
      <c r="S662" s="45" t="s">
        <v>27</v>
      </c>
      <c r="T662" s="45" t="s">
        <v>28</v>
      </c>
      <c r="U662" s="46" t="str">
        <f t="array" ref="U662">XLOOKUP($A662,'Recipients REF'!$A:$A,'Recipients REF'!K:K,"",0)</f>
        <v>R-SERIES 313PH</v>
      </c>
      <c r="V662" s="44" t="s">
        <v>29</v>
      </c>
      <c r="W662" s="45" t="s">
        <v>30</v>
      </c>
      <c r="X662" s="53" t="str">
        <f t="array" ref="X662">XLOOKUP($A662,'Recipients REF'!$A:$A,'Recipients REF'!L:L,"",0)</f>
        <v>25080379</v>
      </c>
      <c r="Y662" s="48" t="s">
        <v>29</v>
      </c>
      <c r="Z662" s="48" t="s">
        <v>31</v>
      </c>
      <c r="AA662" s="54" t="str">
        <f t="array" ref="AA662">XLOOKUP($A662,'Recipients REF'!$A:$A,'Recipients REF'!M:M,"",0)</f>
        <v>25080858</v>
      </c>
      <c r="AB662" s="49"/>
      <c r="AC662" s="42"/>
      <c r="AD662" s="42"/>
      <c r="AE662" s="50"/>
      <c r="AF662" s="42"/>
      <c r="AG662" s="42"/>
      <c r="AH662" s="42"/>
      <c r="AI662" s="42" t="str">
        <f t="array" ref="AI662">XLOOKUP($E662,Sheet11!$D:$D,Sheet11!$X:$X,"",0)</f>
        <v/>
      </c>
      <c r="AJ662" s="42" t="str">
        <f t="array" ref="AJ662">XLOOKUP($E662,Sheet11!$D:$D,Sheet11!$Y:$Y,"",0)</f>
        <v/>
      </c>
    </row>
    <row r="663">
      <c r="A663" s="41">
        <v>845.0</v>
      </c>
      <c r="B663" s="42" t="s">
        <v>1297</v>
      </c>
      <c r="C663" s="42" t="s">
        <v>1235</v>
      </c>
      <c r="D663" s="42"/>
      <c r="E663" s="42" t="str">
        <f t="shared" ref="E663:F663" si="664">PROPER(B663)</f>
        <v>Pilipino Demokratiko Mpc San Agustin Chapter</v>
      </c>
      <c r="F663" s="42" t="str">
        <f t="shared" si="664"/>
        <v>San Agustin, San Jose, Occidental Mindoro</v>
      </c>
      <c r="G663" s="42" t="str">
        <f t="shared" si="3"/>
        <v>San Agustin</v>
      </c>
      <c r="H663" s="42" t="str">
        <f t="shared" si="4"/>
        <v>San Jose</v>
      </c>
      <c r="I663" s="42" t="str">
        <f t="shared" si="5"/>
        <v>Occidental Mindoro</v>
      </c>
      <c r="J663" s="42" t="str">
        <f t="array" ref="J663">XLOOKUP($E663,'Recipients REF'!$B:$B,'Recipients REF'!D:D,"",0)</f>
        <v>Ramil Prado</v>
      </c>
      <c r="K663" s="42" t="str">
        <f t="array" ref="K663">XLOOKUP($E663,'Recipients REF'!$B:$B,'Recipients REF'!E:E,"",0)</f>
        <v>0909 861 7392</v>
      </c>
      <c r="L663" s="43" t="str">
        <f t="array" ref="L663">XLOOKUP($A663,'Recipients REF'!$A:$A,'Recipients REF'!F:F,"",0)</f>
        <v>RCEF 25-03-05</v>
      </c>
      <c r="M663" s="43">
        <f t="array" ref="M663">XLOOKUP($A663,'Recipients REF'!$A:$A,'Recipients REF'!G:G,"",0)</f>
        <v>6</v>
      </c>
      <c r="N663" s="43" t="str">
        <f t="array" ref="N663">XLOOKUP($A663,'Recipients REF'!$A:$A,'Recipients REF'!H:H,"",0)</f>
        <v>26846 &amp; 27799</v>
      </c>
      <c r="O663" s="44" t="s">
        <v>25</v>
      </c>
      <c r="P663" s="45" t="s">
        <v>26</v>
      </c>
      <c r="Q663" s="46" t="str">
        <f t="array" ref="Q663">XLOOKUP($A663,'Recipients REF'!$A:$A,'Recipients REF'!I:I,"",0)</f>
        <v>KMC5825 ATSFPV0120</v>
      </c>
      <c r="R663" s="53" t="str">
        <f t="array" ref="R663">XLOOKUP($A663,'Recipients REF'!$A:$A,'Recipients REF'!J:J,"",0)</f>
        <v>STS100090</v>
      </c>
      <c r="S663" s="45" t="s">
        <v>27</v>
      </c>
      <c r="T663" s="45" t="s">
        <v>28</v>
      </c>
      <c r="U663" s="46" t="str">
        <f t="array" ref="U663">XLOOKUP($A663,'Recipients REF'!$A:$A,'Recipients REF'!K:K,"",0)</f>
        <v>R-SERIES 265PH</v>
      </c>
      <c r="V663" s="44" t="s">
        <v>29</v>
      </c>
      <c r="W663" s="45" t="s">
        <v>30</v>
      </c>
      <c r="X663" s="53" t="str">
        <f t="array" ref="X663">XLOOKUP($A663,'Recipients REF'!$A:$A,'Recipients REF'!L:L,"",0)</f>
        <v>25080396</v>
      </c>
      <c r="Y663" s="48" t="s">
        <v>29</v>
      </c>
      <c r="Z663" s="48" t="s">
        <v>31</v>
      </c>
      <c r="AA663" s="54" t="str">
        <f t="array" ref="AA663">XLOOKUP($A663,'Recipients REF'!$A:$A,'Recipients REF'!M:M,"",0)</f>
        <v>25080863</v>
      </c>
      <c r="AB663" s="49"/>
      <c r="AC663" s="42"/>
      <c r="AD663" s="42"/>
      <c r="AE663" s="50"/>
      <c r="AF663" s="42"/>
      <c r="AG663" s="42"/>
      <c r="AH663" s="42"/>
      <c r="AI663" s="42" t="str">
        <f t="array" ref="AI663">XLOOKUP($E663,Sheet11!$D:$D,Sheet11!$X:$X,"",0)</f>
        <v/>
      </c>
      <c r="AJ663" s="42" t="str">
        <f t="array" ref="AJ663">XLOOKUP($E663,Sheet11!$D:$D,Sheet11!$Y:$Y,"",0)</f>
        <v/>
      </c>
    </row>
    <row r="664">
      <c r="A664" s="41">
        <v>846.0</v>
      </c>
      <c r="B664" s="42" t="s">
        <v>1298</v>
      </c>
      <c r="C664" s="42" t="s">
        <v>1286</v>
      </c>
      <c r="D664" s="42"/>
      <c r="E664" s="42" t="str">
        <f t="shared" ref="E664:F664" si="665">PROPER(B664)</f>
        <v>Samahan Ng Manggagawang Bukid Ng Central</v>
      </c>
      <c r="F664" s="42" t="str">
        <f t="shared" si="665"/>
        <v>Central, San Jose, Occidental Mindoro</v>
      </c>
      <c r="G664" s="42" t="str">
        <f t="shared" si="3"/>
        <v>Central</v>
      </c>
      <c r="H664" s="42" t="str">
        <f t="shared" si="4"/>
        <v>San Jose</v>
      </c>
      <c r="I664" s="42" t="str">
        <f t="shared" si="5"/>
        <v>Occidental Mindoro</v>
      </c>
      <c r="J664" s="42" t="str">
        <f t="array" ref="J664">XLOOKUP($E664,'Recipients REF'!$B:$B,'Recipients REF'!D:D,"",0)</f>
        <v>Emelyn Dioniso</v>
      </c>
      <c r="K664" s="42" t="str">
        <f t="array" ref="K664">XLOOKUP($E664,'Recipients REF'!$B:$B,'Recipients REF'!E:E,"",0)</f>
        <v>0916 3860341</v>
      </c>
      <c r="L664" s="43" t="str">
        <f t="array" ref="L664">XLOOKUP($A664,'Recipients REF'!$A:$A,'Recipients REF'!F:F,"",0)</f>
        <v>RCEF 25-03-05</v>
      </c>
      <c r="M664" s="43">
        <f t="array" ref="M664">XLOOKUP($A664,'Recipients REF'!$A:$A,'Recipients REF'!G:G,"",0)</f>
        <v>6</v>
      </c>
      <c r="N664" s="43" t="str">
        <f t="array" ref="N664">XLOOKUP($A664,'Recipients REF'!$A:$A,'Recipients REF'!H:H,"",0)</f>
        <v>26847 &amp; 27800</v>
      </c>
      <c r="O664" s="44" t="s">
        <v>25</v>
      </c>
      <c r="P664" s="45" t="s">
        <v>26</v>
      </c>
      <c r="Q664" s="46" t="str">
        <f t="array" ref="Q664">XLOOKUP($A664,'Recipients REF'!$A:$A,'Recipients REF'!I:I,"",0)</f>
        <v>KMC5825 ATSFPV0361</v>
      </c>
      <c r="R664" s="53" t="str">
        <f t="array" ref="R664">XLOOKUP($A664,'Recipients REF'!$A:$A,'Recipients REF'!J:J,"",0)</f>
        <v>STS100394</v>
      </c>
      <c r="S664" s="45" t="s">
        <v>27</v>
      </c>
      <c r="T664" s="45" t="s">
        <v>28</v>
      </c>
      <c r="U664" s="46" t="str">
        <f t="array" ref="U664">XLOOKUP($A664,'Recipients REF'!$A:$A,'Recipients REF'!K:K,"",0)</f>
        <v>R-SERIES 312PH</v>
      </c>
      <c r="V664" s="44" t="s">
        <v>29</v>
      </c>
      <c r="W664" s="45" t="s">
        <v>30</v>
      </c>
      <c r="X664" s="53" t="str">
        <f t="array" ref="X664">XLOOKUP($A664,'Recipients REF'!$A:$A,'Recipients REF'!L:L,"",0)</f>
        <v>25080424</v>
      </c>
      <c r="Y664" s="48" t="s">
        <v>29</v>
      </c>
      <c r="Z664" s="48" t="s">
        <v>31</v>
      </c>
      <c r="AA664" s="54" t="str">
        <f t="array" ref="AA664">XLOOKUP($A664,'Recipients REF'!$A:$A,'Recipients REF'!M:M,"",0)</f>
        <v>25080872</v>
      </c>
      <c r="AB664" s="49"/>
      <c r="AC664" s="42"/>
      <c r="AD664" s="42"/>
      <c r="AE664" s="50"/>
      <c r="AF664" s="42"/>
      <c r="AG664" s="42"/>
      <c r="AH664" s="42"/>
      <c r="AI664" s="42" t="str">
        <f t="array" ref="AI664">XLOOKUP($E664,Sheet11!$D:$D,Sheet11!$X:$X,"",0)</f>
        <v/>
      </c>
      <c r="AJ664" s="42" t="str">
        <f t="array" ref="AJ664">XLOOKUP($E664,Sheet11!$D:$D,Sheet11!$Y:$Y,"",0)</f>
        <v/>
      </c>
    </row>
    <row r="665">
      <c r="A665" s="41">
        <v>847.0</v>
      </c>
      <c r="B665" s="42" t="s">
        <v>1299</v>
      </c>
      <c r="C665" s="42" t="s">
        <v>1300</v>
      </c>
      <c r="D665" s="42"/>
      <c r="E665" s="42" t="str">
        <f t="shared" ref="E665:F665" si="666">PROPER(B665)</f>
        <v>Samahang Ng Manggagawang Mindoreño Agriculture Cooperative (Sammagrico)</v>
      </c>
      <c r="F665" s="42" t="str">
        <f t="shared" si="666"/>
        <v>Magbay, San Jose, Occidental Mindoro</v>
      </c>
      <c r="G665" s="42" t="str">
        <f t="shared" si="3"/>
        <v>Magbay</v>
      </c>
      <c r="H665" s="42" t="str">
        <f t="shared" si="4"/>
        <v>San Jose</v>
      </c>
      <c r="I665" s="42" t="str">
        <f t="shared" si="5"/>
        <v>Occidental Mindoro</v>
      </c>
      <c r="J665" s="42" t="str">
        <f t="array" ref="J665">XLOOKUP($E665,'Recipients REF'!$B:$B,'Recipients REF'!D:D,"",0)</f>
        <v>Gerrywin S. Oquindo</v>
      </c>
      <c r="K665" s="42" t="str">
        <f t="array" ref="K665">XLOOKUP($E665,'Recipients REF'!$B:$B,'Recipients REF'!E:E,"",0)</f>
        <v>0966 2635401</v>
      </c>
      <c r="L665" s="43" t="str">
        <f t="array" ref="L665">XLOOKUP($A665,'Recipients REF'!$A:$A,'Recipients REF'!F:F,"",0)</f>
        <v>RCEF 25-03-05</v>
      </c>
      <c r="M665" s="43">
        <f t="array" ref="M665">XLOOKUP($A665,'Recipients REF'!$A:$A,'Recipients REF'!G:G,"",0)</f>
        <v>6</v>
      </c>
      <c r="N665" s="43" t="str">
        <f t="array" ref="N665">XLOOKUP($A665,'Recipients REF'!$A:$A,'Recipients REF'!H:H,"",0)</f>
        <v>26848 &amp; 27801</v>
      </c>
      <c r="O665" s="44" t="s">
        <v>25</v>
      </c>
      <c r="P665" s="45" t="s">
        <v>26</v>
      </c>
      <c r="Q665" s="46" t="str">
        <f t="array" ref="Q665">XLOOKUP($A665,'Recipients REF'!$A:$A,'Recipients REF'!I:I,"",0)</f>
        <v>KMC5825 AKSFPV0072</v>
      </c>
      <c r="R665" s="53" t="str">
        <f t="array" ref="R665">XLOOKUP($A665,'Recipients REF'!$A:$A,'Recipients REF'!J:J,"",0)</f>
        <v>STS100063</v>
      </c>
      <c r="S665" s="45" t="s">
        <v>27</v>
      </c>
      <c r="T665" s="45" t="s">
        <v>28</v>
      </c>
      <c r="U665" s="46" t="str">
        <f t="array" ref="U665">XLOOKUP($A665,'Recipients REF'!$A:$A,'Recipients REF'!K:K,"",0)</f>
        <v>R-SERIES 320PH</v>
      </c>
      <c r="V665" s="44" t="s">
        <v>29</v>
      </c>
      <c r="W665" s="45" t="s">
        <v>30</v>
      </c>
      <c r="X665" s="53" t="str">
        <f t="array" ref="X665">XLOOKUP($A665,'Recipients REF'!$A:$A,'Recipients REF'!L:L,"",0)</f>
        <v>25080407</v>
      </c>
      <c r="Y665" s="48" t="s">
        <v>29</v>
      </c>
      <c r="Z665" s="48" t="s">
        <v>31</v>
      </c>
      <c r="AA665" s="54" t="str">
        <f t="array" ref="AA665">XLOOKUP($A665,'Recipients REF'!$A:$A,'Recipients REF'!M:M,"",0)</f>
        <v>25080798</v>
      </c>
      <c r="AB665" s="49"/>
      <c r="AC665" s="42"/>
      <c r="AD665" s="42"/>
      <c r="AE665" s="50"/>
      <c r="AF665" s="42"/>
      <c r="AG665" s="42"/>
      <c r="AH665" s="42"/>
      <c r="AI665" s="42" t="str">
        <f t="array" ref="AI665">XLOOKUP($E665,Sheet11!$D:$D,Sheet11!$X:$X,"",0)</f>
        <v/>
      </c>
      <c r="AJ665" s="42" t="str">
        <f t="array" ref="AJ665">XLOOKUP($E665,Sheet11!$D:$D,Sheet11!$Y:$Y,"",0)</f>
        <v/>
      </c>
    </row>
    <row r="666">
      <c r="A666" s="41">
        <v>848.0</v>
      </c>
      <c r="B666" s="42" t="s">
        <v>1301</v>
      </c>
      <c r="C666" s="42" t="s">
        <v>1296</v>
      </c>
      <c r="D666" s="42"/>
      <c r="E666" s="42" t="str">
        <f t="shared" ref="E666:F666" si="667">PROPER(B666)</f>
        <v>Tamaraw Development Cooperative (Tadeco)</v>
      </c>
      <c r="F666" s="42" t="str">
        <f t="shared" si="667"/>
        <v>La Curva, San Jose, Occidental Mindoro</v>
      </c>
      <c r="G666" s="42" t="str">
        <f t="shared" si="3"/>
        <v>La Curva</v>
      </c>
      <c r="H666" s="42" t="str">
        <f t="shared" si="4"/>
        <v>San Jose</v>
      </c>
      <c r="I666" s="42" t="str">
        <f t="shared" si="5"/>
        <v>Occidental Mindoro</v>
      </c>
      <c r="J666" s="42" t="str">
        <f t="array" ref="J666">XLOOKUP($E666,'Recipients REF'!$B:$B,'Recipients REF'!D:D,"",0)</f>
        <v>Reynaldo Yalong</v>
      </c>
      <c r="K666" s="42" t="str">
        <f t="array" ref="K666">XLOOKUP($E666,'Recipients REF'!$B:$B,'Recipients REF'!E:E,"",0)</f>
        <v>0916 745 6894</v>
      </c>
      <c r="L666" s="43" t="str">
        <f t="array" ref="L666">XLOOKUP($A666,'Recipients REF'!$A:$A,'Recipients REF'!F:F,"",0)</f>
        <v>RCEF 25-03-05</v>
      </c>
      <c r="M666" s="43">
        <f t="array" ref="M666">XLOOKUP($A666,'Recipients REF'!$A:$A,'Recipients REF'!G:G,"",0)</f>
        <v>6</v>
      </c>
      <c r="N666" s="43" t="str">
        <f t="array" ref="N666">XLOOKUP($A666,'Recipients REF'!$A:$A,'Recipients REF'!H:H,"",0)</f>
        <v>26849 &amp; 27802</v>
      </c>
      <c r="O666" s="44" t="s">
        <v>25</v>
      </c>
      <c r="P666" s="45" t="s">
        <v>26</v>
      </c>
      <c r="Q666" s="46" t="str">
        <f t="array" ref="Q666">XLOOKUP($A666,'Recipients REF'!$A:$A,'Recipients REF'!I:I,"",0)</f>
        <v>KMC5825 ALSFPV0161</v>
      </c>
      <c r="R666" s="53" t="str">
        <f t="array" ref="R666">XLOOKUP($A666,'Recipients REF'!$A:$A,'Recipients REF'!J:J,"",0)</f>
        <v>STS100094</v>
      </c>
      <c r="S666" s="45" t="s">
        <v>27</v>
      </c>
      <c r="T666" s="45" t="s">
        <v>28</v>
      </c>
      <c r="U666" s="46" t="str">
        <f t="array" ref="U666">XLOOKUP($A666,'Recipients REF'!$A:$A,'Recipients REF'!K:K,"",0)</f>
        <v>R-SERIES 318PH</v>
      </c>
      <c r="V666" s="44" t="s">
        <v>29</v>
      </c>
      <c r="W666" s="45" t="s">
        <v>30</v>
      </c>
      <c r="X666" s="53" t="str">
        <f t="array" ref="X666">XLOOKUP($A666,'Recipients REF'!$A:$A,'Recipients REF'!L:L,"",0)</f>
        <v>25080425</v>
      </c>
      <c r="Y666" s="48" t="s">
        <v>29</v>
      </c>
      <c r="Z666" s="48" t="s">
        <v>31</v>
      </c>
      <c r="AA666" s="54" t="str">
        <f t="array" ref="AA666">XLOOKUP($A666,'Recipients REF'!$A:$A,'Recipients REF'!M:M,"",0)</f>
        <v>25080819</v>
      </c>
      <c r="AB666" s="49"/>
      <c r="AC666" s="42"/>
      <c r="AD666" s="42"/>
      <c r="AE666" s="50"/>
      <c r="AF666" s="42"/>
      <c r="AG666" s="42"/>
      <c r="AH666" s="42"/>
      <c r="AI666" s="42" t="str">
        <f t="array" ref="AI666">XLOOKUP($E666,Sheet11!$D:$D,Sheet11!$X:$X,"",0)</f>
        <v/>
      </c>
      <c r="AJ666" s="42" t="str">
        <f t="array" ref="AJ666">XLOOKUP($E666,Sheet11!$D:$D,Sheet11!$Y:$Y,"",0)</f>
        <v/>
      </c>
    </row>
    <row r="667">
      <c r="A667" s="41">
        <v>849.0</v>
      </c>
      <c r="B667" s="42" t="s">
        <v>1302</v>
      </c>
      <c r="C667" s="42" t="s">
        <v>1230</v>
      </c>
      <c r="D667" s="42"/>
      <c r="E667" s="42" t="str">
        <f t="shared" ref="E667:F667" si="668">PROPER(B667)</f>
        <v>Watchers Multi-Purpose Cooperative</v>
      </c>
      <c r="F667" s="42" t="str">
        <f t="shared" si="668"/>
        <v>Labangan Poblacion, San Jose, Occidental Mindoro</v>
      </c>
      <c r="G667" s="42" t="str">
        <f t="shared" si="3"/>
        <v>Labangan Poblacion</v>
      </c>
      <c r="H667" s="42" t="str">
        <f t="shared" si="4"/>
        <v>San Jose</v>
      </c>
      <c r="I667" s="42" t="str">
        <f t="shared" si="5"/>
        <v>Occidental Mindoro</v>
      </c>
      <c r="J667" s="42" t="str">
        <f t="array" ref="J667">XLOOKUP($E667,'Recipients REF'!$B:$B,'Recipients REF'!D:D,"",0)</f>
        <v>Herbert S. Cortez</v>
      </c>
      <c r="K667" s="42" t="str">
        <f t="array" ref="K667">XLOOKUP($E667,'Recipients REF'!$B:$B,'Recipients REF'!E:E,"",0)</f>
        <v>0948 657 7789</v>
      </c>
      <c r="L667" s="43" t="str">
        <f t="array" ref="L667">XLOOKUP($A667,'Recipients REF'!$A:$A,'Recipients REF'!F:F,"",0)</f>
        <v>RCEF 25-03-05</v>
      </c>
      <c r="M667" s="43">
        <f t="array" ref="M667">XLOOKUP($A667,'Recipients REF'!$A:$A,'Recipients REF'!G:G,"",0)</f>
        <v>6</v>
      </c>
      <c r="N667" s="43" t="str">
        <f t="array" ref="N667">XLOOKUP($A667,'Recipients REF'!$A:$A,'Recipients REF'!H:H,"",0)</f>
        <v>26850 &amp; 27803</v>
      </c>
      <c r="O667" s="44" t="s">
        <v>25</v>
      </c>
      <c r="P667" s="45" t="s">
        <v>26</v>
      </c>
      <c r="Q667" s="46" t="str">
        <f t="array" ref="Q667">XLOOKUP($A667,'Recipients REF'!$A:$A,'Recipients REF'!I:I,"",0)</f>
        <v>KMC5825 AESFPV0292</v>
      </c>
      <c r="R667" s="53" t="str">
        <f t="array" ref="R667">XLOOKUP($A667,'Recipients REF'!$A:$A,'Recipients REF'!J:J,"",0)</f>
        <v>STS100275</v>
      </c>
      <c r="S667" s="45" t="s">
        <v>27</v>
      </c>
      <c r="T667" s="45" t="s">
        <v>28</v>
      </c>
      <c r="U667" s="46" t="str">
        <f t="array" ref="U667">XLOOKUP($A667,'Recipients REF'!$A:$A,'Recipients REF'!K:K,"",0)</f>
        <v>WR-SERIES 120</v>
      </c>
      <c r="V667" s="44" t="s">
        <v>29</v>
      </c>
      <c r="W667" s="45" t="s">
        <v>30</v>
      </c>
      <c r="X667" s="53" t="str">
        <f t="array" ref="X667">XLOOKUP($A667,'Recipients REF'!$A:$A,'Recipients REF'!L:L,"",0)</f>
        <v>25080431</v>
      </c>
      <c r="Y667" s="48" t="s">
        <v>29</v>
      </c>
      <c r="Z667" s="48" t="s">
        <v>31</v>
      </c>
      <c r="AA667" s="54" t="str">
        <f t="array" ref="AA667">XLOOKUP($A667,'Recipients REF'!$A:$A,'Recipients REF'!M:M,"",0)</f>
        <v>25080877</v>
      </c>
      <c r="AB667" s="49"/>
      <c r="AC667" s="42"/>
      <c r="AD667" s="42"/>
      <c r="AE667" s="50"/>
      <c r="AF667" s="42"/>
      <c r="AG667" s="42"/>
      <c r="AH667" s="42"/>
      <c r="AI667" s="42" t="str">
        <f t="array" ref="AI667">XLOOKUP($E667,Sheet11!$D:$D,Sheet11!$X:$X,"",0)</f>
        <v/>
      </c>
      <c r="AJ667" s="42" t="str">
        <f t="array" ref="AJ667">XLOOKUP($E667,Sheet11!$D:$D,Sheet11!$Y:$Y,"",0)</f>
        <v/>
      </c>
    </row>
    <row r="668">
      <c r="A668" s="41">
        <v>850.0</v>
      </c>
      <c r="B668" s="42" t="s">
        <v>1303</v>
      </c>
      <c r="C668" s="42" t="s">
        <v>1304</v>
      </c>
      <c r="D668" s="42"/>
      <c r="E668" s="42" t="str">
        <f t="shared" ref="E668:F668" si="669">PROPER(B668)</f>
        <v>Paunlarin Ang Kabataan Sa Pagsasaka Farmers Association</v>
      </c>
      <c r="F668" s="42" t="str">
        <f t="shared" si="669"/>
        <v>Mulawin, Santa Cruz, Occidental Mindoro</v>
      </c>
      <c r="G668" s="42" t="str">
        <f t="shared" si="3"/>
        <v>Mulawin</v>
      </c>
      <c r="H668" s="42" t="str">
        <f t="shared" si="4"/>
        <v>Santa Cruz</v>
      </c>
      <c r="I668" s="42" t="str">
        <f t="shared" si="5"/>
        <v>Occidental Mindoro</v>
      </c>
      <c r="J668" s="42" t="str">
        <f t="array" ref="J668">XLOOKUP($E668,'Recipients REF'!$B:$B,'Recipients REF'!D:D,"",0)</f>
        <v>Fernando Tuscano</v>
      </c>
      <c r="K668" s="42" t="str">
        <f t="array" ref="K668">XLOOKUP($E668,'Recipients REF'!$B:$B,'Recipients REF'!E:E,"",0)</f>
        <v>0997 485 1055</v>
      </c>
      <c r="L668" s="43" t="str">
        <f t="array" ref="L668">XLOOKUP($A668,'Recipients REF'!$A:$A,'Recipients REF'!F:F,"",0)</f>
        <v>RCEF 25-03-05</v>
      </c>
      <c r="M668" s="43">
        <f t="array" ref="M668">XLOOKUP($A668,'Recipients REF'!$A:$A,'Recipients REF'!G:G,"",0)</f>
        <v>6</v>
      </c>
      <c r="N668" s="43" t="str">
        <f t="array" ref="N668">XLOOKUP($A668,'Recipients REF'!$A:$A,'Recipients REF'!H:H,"",0)</f>
        <v>26851 &amp; 27804</v>
      </c>
      <c r="O668" s="44" t="s">
        <v>25</v>
      </c>
      <c r="P668" s="45" t="s">
        <v>26</v>
      </c>
      <c r="Q668" s="46" t="str">
        <f t="array" ref="Q668">XLOOKUP($A668,'Recipients REF'!$A:$A,'Recipients REF'!I:I,"",0)</f>
        <v>KMC5825 AESFPV0096</v>
      </c>
      <c r="R668" s="53" t="str">
        <f t="array" ref="R668">XLOOKUP($A668,'Recipients REF'!$A:$A,'Recipients REF'!J:J,"",0)</f>
        <v>STS100124</v>
      </c>
      <c r="S668" s="45" t="s">
        <v>27</v>
      </c>
      <c r="T668" s="45" t="s">
        <v>28</v>
      </c>
      <c r="U668" s="46" t="str">
        <f t="array" ref="U668">XLOOKUP($A668,'Recipients REF'!$A:$A,'Recipients REF'!K:K,"",0)</f>
        <v>R-SERIES 129PH</v>
      </c>
      <c r="V668" s="44" t="s">
        <v>29</v>
      </c>
      <c r="W668" s="45" t="s">
        <v>30</v>
      </c>
      <c r="X668" s="53" t="str">
        <f t="array" ref="X668">XLOOKUP($A668,'Recipients REF'!$A:$A,'Recipients REF'!L:L,"",0)</f>
        <v>25080429</v>
      </c>
      <c r="Y668" s="48" t="s">
        <v>29</v>
      </c>
      <c r="Z668" s="48" t="s">
        <v>31</v>
      </c>
      <c r="AA668" s="54" t="str">
        <f t="array" ref="AA668">XLOOKUP($A668,'Recipients REF'!$A:$A,'Recipients REF'!M:M,"",0)</f>
        <v>25080867</v>
      </c>
      <c r="AB668" s="49"/>
      <c r="AC668" s="42"/>
      <c r="AD668" s="42"/>
      <c r="AE668" s="50"/>
      <c r="AF668" s="42"/>
      <c r="AG668" s="42"/>
      <c r="AH668" s="42"/>
      <c r="AI668" s="42" t="str">
        <f t="array" ref="AI668">XLOOKUP($E668,Sheet11!$D:$D,Sheet11!$X:$X,"",0)</f>
        <v/>
      </c>
      <c r="AJ668" s="42" t="str">
        <f t="array" ref="AJ668">XLOOKUP($E668,Sheet11!$D:$D,Sheet11!$Y:$Y,"",0)</f>
        <v/>
      </c>
    </row>
    <row r="669">
      <c r="A669" s="41">
        <v>851.0</v>
      </c>
      <c r="B669" s="42" t="s">
        <v>1305</v>
      </c>
      <c r="C669" s="42" t="s">
        <v>1306</v>
      </c>
      <c r="D669" s="42"/>
      <c r="E669" s="42" t="str">
        <f t="shared" ref="E669:F669" si="670">PROPER(B669)</f>
        <v>Samahan Sa Ikauunlad Ng Pagsasaka</v>
      </c>
      <c r="F669" s="42" t="str">
        <f t="shared" si="670"/>
        <v>San Vicente, Santa Cruz, Occidental Mindoro</v>
      </c>
      <c r="G669" s="42" t="str">
        <f t="shared" si="3"/>
        <v>San Vicente</v>
      </c>
      <c r="H669" s="42" t="str">
        <f t="shared" si="4"/>
        <v>Santa Cruz</v>
      </c>
      <c r="I669" s="42" t="str">
        <f t="shared" si="5"/>
        <v>Occidental Mindoro</v>
      </c>
      <c r="J669" s="42" t="str">
        <f t="array" ref="J669">XLOOKUP($E669,'Recipients REF'!$B:$B,'Recipients REF'!D:D,"",0)</f>
        <v>Fe A. Legaspi</v>
      </c>
      <c r="K669" s="42" t="str">
        <f t="array" ref="K669">XLOOKUP($E669,'Recipients REF'!$B:$B,'Recipients REF'!E:E,"",0)</f>
        <v>0919 991 5084</v>
      </c>
      <c r="L669" s="43" t="str">
        <f t="array" ref="L669">XLOOKUP($A669,'Recipients REF'!$A:$A,'Recipients REF'!F:F,"",0)</f>
        <v>RCEF 25-03-05</v>
      </c>
      <c r="M669" s="43">
        <f t="array" ref="M669">XLOOKUP($A669,'Recipients REF'!$A:$A,'Recipients REF'!G:G,"",0)</f>
        <v>6</v>
      </c>
      <c r="N669" s="43" t="str">
        <f t="array" ref="N669">XLOOKUP($A669,'Recipients REF'!$A:$A,'Recipients REF'!H:H,"",0)</f>
        <v>26852 &amp; 27805</v>
      </c>
      <c r="O669" s="44" t="s">
        <v>25</v>
      </c>
      <c r="P669" s="45" t="s">
        <v>26</v>
      </c>
      <c r="Q669" s="46" t="str">
        <f t="array" ref="Q669">XLOOKUP($A669,'Recipients REF'!$A:$A,'Recipients REF'!I:I,"",0)</f>
        <v>KMC5825 AESFPV0308</v>
      </c>
      <c r="R669" s="53" t="str">
        <f t="array" ref="R669">XLOOKUP($A669,'Recipients REF'!$A:$A,'Recipients REF'!J:J,"",0)</f>
        <v>STS100316</v>
      </c>
      <c r="S669" s="45" t="s">
        <v>27</v>
      </c>
      <c r="T669" s="45" t="s">
        <v>28</v>
      </c>
      <c r="U669" s="46" t="str">
        <f t="array" ref="U669">XLOOKUP($A669,'Recipients REF'!$A:$A,'Recipients REF'!K:K,"",0)</f>
        <v>WR-SERIES 111</v>
      </c>
      <c r="V669" s="44" t="s">
        <v>29</v>
      </c>
      <c r="W669" s="45" t="s">
        <v>30</v>
      </c>
      <c r="X669" s="53" t="str">
        <f t="array" ref="X669">XLOOKUP($A669,'Recipients REF'!$A:$A,'Recipients REF'!L:L,"",0)</f>
        <v>25090585</v>
      </c>
      <c r="Y669" s="48" t="s">
        <v>29</v>
      </c>
      <c r="Z669" s="48" t="s">
        <v>31</v>
      </c>
      <c r="AA669" s="54" t="str">
        <f t="array" ref="AA669">XLOOKUP($A669,'Recipients REF'!$A:$A,'Recipients REF'!M:M,"",0)</f>
        <v>25080821</v>
      </c>
      <c r="AB669" s="49"/>
      <c r="AC669" s="42"/>
      <c r="AD669" s="42"/>
      <c r="AE669" s="50"/>
      <c r="AF669" s="42"/>
      <c r="AG669" s="42"/>
      <c r="AH669" s="42"/>
      <c r="AI669" s="42" t="str">
        <f t="array" ref="AI669">XLOOKUP($E669,Sheet11!$D:$D,Sheet11!$X:$X,"",0)</f>
        <v/>
      </c>
      <c r="AJ669" s="42" t="str">
        <f t="array" ref="AJ669">XLOOKUP($E669,Sheet11!$D:$D,Sheet11!$Y:$Y,"",0)</f>
        <v/>
      </c>
    </row>
    <row r="670">
      <c r="A670" s="41">
        <v>990.0</v>
      </c>
      <c r="B670" s="42" t="s">
        <v>1257</v>
      </c>
      <c r="C670" s="42" t="s">
        <v>1258</v>
      </c>
      <c r="D670" s="42"/>
      <c r="E670" s="42" t="str">
        <f t="shared" ref="E670:F670" si="671">PROPER(B670)</f>
        <v>Provincial Local Government Unit Of Occidental Mindoro</v>
      </c>
      <c r="F670" s="42" t="str">
        <f t="shared" si="671"/>
        <v>Poblacion 1 (Barangay 1), Mamburao, Occidental Mindoro</v>
      </c>
      <c r="G670" s="42" t="str">
        <f t="shared" si="3"/>
        <v>Poblacion 1 (Barangay 1)</v>
      </c>
      <c r="H670" s="42" t="str">
        <f t="shared" si="4"/>
        <v>Mamburao</v>
      </c>
      <c r="I670" s="42" t="str">
        <f t="shared" si="5"/>
        <v>Occidental Mindoro</v>
      </c>
      <c r="J670" s="42" t="str">
        <f t="array" ref="J670">XLOOKUP($E670,'Recipients REF'!$B:$B,'Recipients REF'!D:D,"",0)</f>
        <v>Hon. Eduardo B. Gadiano</v>
      </c>
      <c r="K670" s="42" t="str">
        <f t="array" ref="K670">XLOOKUP($E670,'Recipients REF'!$B:$B,'Recipients REF'!E:E,"",0)</f>
        <v>0915 452 0188</v>
      </c>
      <c r="L670" s="43" t="str">
        <f t="array" ref="L670">XLOOKUP($A670,'Recipients REF'!$A:$A,'Recipients REF'!F:F,"",0)</f>
        <v>Repeat Order</v>
      </c>
      <c r="M670" s="43">
        <f t="array" ref="M670">XLOOKUP($A670,'Recipients REF'!$A:$A,'Recipients REF'!G:G,"",0)</f>
        <v>7</v>
      </c>
      <c r="N670" s="43">
        <f t="array" ref="N670">XLOOKUP($A670,'Recipients REF'!$A:$A,'Recipients REF'!H:H,"",0)</f>
        <v>23126</v>
      </c>
      <c r="O670" s="44" t="s">
        <v>25</v>
      </c>
      <c r="P670" s="45" t="s">
        <v>26</v>
      </c>
      <c r="Q670" s="46" t="str">
        <f t="array" ref="Q670">XLOOKUP($A670,'Recipients REF'!$A:$A,'Recipients REF'!I:I,"",0)</f>
        <v>KMC5825ATRFPV1083</v>
      </c>
      <c r="R670" s="47" t="str">
        <f t="array" ref="R670">XLOOKUP($A670,'Recipients REF'!$A:$A,'Recipients REF'!J:J,"",0)</f>
        <v>RTS100918</v>
      </c>
      <c r="S670" s="45" t="s">
        <v>27</v>
      </c>
      <c r="T670" s="45" t="s">
        <v>28</v>
      </c>
      <c r="U670" s="46" t="str">
        <f t="array" ref="U670">XLOOKUP($A670,'Recipients REF'!$A:$A,'Recipients REF'!K:K,"",0)</f>
        <v>LSGW1750-RMP-24111164</v>
      </c>
      <c r="V670" s="44" t="s">
        <v>29</v>
      </c>
      <c r="W670" s="45" t="s">
        <v>30</v>
      </c>
      <c r="X670" s="47" t="str">
        <f t="array" ref="X670">XLOOKUP($A670,'Recipients REF'!$A:$A,'Recipients REF'!L:L,"",0)</f>
        <v>WDP40-RMP-25020277</v>
      </c>
      <c r="Y670" s="48" t="s">
        <v>29</v>
      </c>
      <c r="Z670" s="48" t="s">
        <v>31</v>
      </c>
      <c r="AA670" s="46" t="str">
        <f t="array" ref="AA670">XLOOKUP($A670,'Recipients REF'!$A:$A,'Recipients REF'!M:M,"",0)</f>
        <v>WR-SERIES-1301PH</v>
      </c>
      <c r="AB670" s="49"/>
      <c r="AC670" s="42"/>
      <c r="AD670" s="42"/>
      <c r="AE670" s="50"/>
      <c r="AF670" s="42"/>
      <c r="AG670" s="42"/>
      <c r="AH670" s="42"/>
      <c r="AI670" s="42" t="str">
        <f t="array" ref="AI670">XLOOKUP($E670,Sheet11!$D:$D,Sheet11!$X:$X,"",0)</f>
        <v/>
      </c>
      <c r="AJ670" s="42" t="str">
        <f t="array" ref="AJ670">XLOOKUP($E670,Sheet11!$D:$D,Sheet11!$Y:$Y,"",0)</f>
        <v/>
      </c>
    </row>
    <row r="671">
      <c r="A671" s="41">
        <v>991.0</v>
      </c>
      <c r="B671" s="42" t="s">
        <v>1307</v>
      </c>
      <c r="C671" s="42" t="s">
        <v>1265</v>
      </c>
      <c r="D671" s="42"/>
      <c r="E671" s="42" t="str">
        <f t="shared" ref="E671:F671" si="672">PROPER(B671)</f>
        <v>Sablayan Farmers And Market Vendors Multi-Purpose Cooperative</v>
      </c>
      <c r="F671" s="42" t="str">
        <f t="shared" si="672"/>
        <v>Buenavista, Sablayan, Occidental Mindoro</v>
      </c>
      <c r="G671" s="42" t="str">
        <f t="shared" si="3"/>
        <v>Buenavista</v>
      </c>
      <c r="H671" s="42" t="str">
        <f t="shared" si="4"/>
        <v>Sablayan</v>
      </c>
      <c r="I671" s="42" t="str">
        <f t="shared" si="5"/>
        <v>Occidental Mindoro</v>
      </c>
      <c r="J671" s="42" t="str">
        <f t="array" ref="J671">XLOOKUP($E671,'Recipients REF'!$B:$B,'Recipients REF'!D:D,"",0)</f>
        <v>Ley G. Balsamo</v>
      </c>
      <c r="K671" s="42" t="str">
        <f t="array" ref="K671">XLOOKUP($E671,'Recipients REF'!$B:$B,'Recipients REF'!E:E,"",0)</f>
        <v>0955 378 9283</v>
      </c>
      <c r="L671" s="43" t="str">
        <f t="array" ref="L671">XLOOKUP($A671,'Recipients REF'!$A:$A,'Recipients REF'!F:F,"",0)</f>
        <v>Repeat Order</v>
      </c>
      <c r="M671" s="43">
        <f t="array" ref="M671">XLOOKUP($A671,'Recipients REF'!$A:$A,'Recipients REF'!G:G,"",0)</f>
        <v>7</v>
      </c>
      <c r="N671" s="43">
        <f t="array" ref="N671">XLOOKUP($A671,'Recipients REF'!$A:$A,'Recipients REF'!H:H,"",0)</f>
        <v>23127</v>
      </c>
      <c r="O671" s="44" t="s">
        <v>25</v>
      </c>
      <c r="P671" s="45" t="s">
        <v>26</v>
      </c>
      <c r="Q671" s="46" t="str">
        <f t="array" ref="Q671">XLOOKUP($A671,'Recipients REF'!$A:$A,'Recipients REF'!I:I,"",0)</f>
        <v>KMC5825ACRFPV1096</v>
      </c>
      <c r="R671" s="47" t="str">
        <f t="array" ref="R671">XLOOKUP($A671,'Recipients REF'!$A:$A,'Recipients REF'!J:J,"",0)</f>
        <v>RTS100846</v>
      </c>
      <c r="S671" s="45" t="s">
        <v>27</v>
      </c>
      <c r="T671" s="45" t="s">
        <v>28</v>
      </c>
      <c r="U671" s="46" t="str">
        <f t="array" ref="U671">XLOOKUP($A671,'Recipients REF'!$A:$A,'Recipients REF'!K:K,"",0)</f>
        <v>LSGW1750-RMP-24111132</v>
      </c>
      <c r="V671" s="44" t="s">
        <v>29</v>
      </c>
      <c r="W671" s="45" t="s">
        <v>30</v>
      </c>
      <c r="X671" s="47" t="str">
        <f t="array" ref="X671">XLOOKUP($A671,'Recipients REF'!$A:$A,'Recipients REF'!L:L,"",0)</f>
        <v>WDP40-RMP-25020309</v>
      </c>
      <c r="Y671" s="48" t="s">
        <v>29</v>
      </c>
      <c r="Z671" s="48" t="s">
        <v>31</v>
      </c>
      <c r="AA671" s="46" t="str">
        <f t="array" ref="AA671">XLOOKUP($A671,'Recipients REF'!$A:$A,'Recipients REF'!M:M,"",0)</f>
        <v>WR-SERIES-1306PH</v>
      </c>
      <c r="AB671" s="49"/>
      <c r="AC671" s="42"/>
      <c r="AD671" s="42"/>
      <c r="AE671" s="51"/>
      <c r="AF671" s="52"/>
      <c r="AG671" s="42"/>
      <c r="AH671" s="42"/>
      <c r="AI671" s="42" t="str">
        <f t="array" ref="AI671">XLOOKUP($E671,Sheet11!$D:$D,Sheet11!$X:$X,"",0)</f>
        <v/>
      </c>
      <c r="AJ671" s="42" t="str">
        <f t="array" ref="AJ671">XLOOKUP($E671,Sheet11!$D:$D,Sheet11!$Y:$Y,"",0)</f>
        <v/>
      </c>
    </row>
    <row r="672">
      <c r="A672" s="41">
        <v>19.0</v>
      </c>
      <c r="B672" s="42" t="s">
        <v>1308</v>
      </c>
      <c r="C672" s="42" t="s">
        <v>1309</v>
      </c>
      <c r="D672" s="42"/>
      <c r="E672" s="42" t="str">
        <f t="shared" ref="E672:F672" si="673">PROPER(B672)</f>
        <v>Malapad Farmers Association</v>
      </c>
      <c r="F672" s="42" t="str">
        <f t="shared" si="673"/>
        <v>Malapad, Baco, Oriental Mindoro</v>
      </c>
      <c r="G672" s="42" t="str">
        <f t="shared" si="3"/>
        <v>Malapad</v>
      </c>
      <c r="H672" s="42" t="str">
        <f t="shared" si="4"/>
        <v>Baco</v>
      </c>
      <c r="I672" s="42" t="str">
        <f t="shared" si="5"/>
        <v>Oriental Mindoro</v>
      </c>
      <c r="J672" s="42" t="str">
        <f t="array" ref="J672">XLOOKUP($E672,'Recipients REF'!$B:$B,'Recipients REF'!D:D,"",0)</f>
        <v>ROLANDO MANDITA</v>
      </c>
      <c r="K672" s="42" t="str">
        <f t="array" ref="K672">XLOOKUP($E672,'Recipients REF'!$B:$B,'Recipients REF'!E:E,"",0)</f>
        <v>0955 378 7221</v>
      </c>
      <c r="L672" s="43" t="str">
        <f t="array" ref="L672">XLOOKUP($A672,'Recipients REF'!$A:$A,'Recipients REF'!F:F,"",0)</f>
        <v>RCEF 23-08-20 Rebidding</v>
      </c>
      <c r="M672" s="43">
        <f t="array" ref="M672">XLOOKUP($A672,'Recipients REF'!$A:$A,'Recipients REF'!G:G,"",0)</f>
        <v>1</v>
      </c>
      <c r="N672" s="43">
        <f t="array" ref="N672">XLOOKUP($A672,'Recipients REF'!$A:$A,'Recipients REF'!H:H,"",0)</f>
        <v>17379</v>
      </c>
      <c r="O672" s="44" t="s">
        <v>25</v>
      </c>
      <c r="P672" s="45" t="s">
        <v>26</v>
      </c>
      <c r="Q672" s="46" t="str">
        <f t="array" ref="Q672">XLOOKUP($A672,'Recipients REF'!$A:$A,'Recipients REF'!I:I,"",0)</f>
        <v>KMC 5825 AAPFPV0005</v>
      </c>
      <c r="R672" s="47" t="str">
        <f t="array" ref="R672">XLOOKUP($A672,'Recipients REF'!$A:$A,'Recipients REF'!J:J,"",0)</f>
        <v>PTS100012</v>
      </c>
      <c r="S672" s="45" t="s">
        <v>27</v>
      </c>
      <c r="T672" s="45" t="s">
        <v>28</v>
      </c>
      <c r="U672" s="46" t="str">
        <f t="array" ref="U672">XLOOKUP($A672,'Recipients REF'!$A:$A,'Recipients REF'!K:K,"",0)</f>
        <v>R-SERIES 028 PH</v>
      </c>
      <c r="V672" s="44" t="s">
        <v>29</v>
      </c>
      <c r="W672" s="45" t="s">
        <v>30</v>
      </c>
      <c r="X672" s="47" t="str">
        <f t="array" ref="X672">XLOOKUP($A672,'Recipients REF'!$A:$A,'Recipients REF'!L:L,"",0)</f>
        <v>LSGW1750-RMP-2312036</v>
      </c>
      <c r="Y672" s="48" t="s">
        <v>29</v>
      </c>
      <c r="Z672" s="48" t="s">
        <v>31</v>
      </c>
      <c r="AA672" s="46" t="str">
        <f t="array" ref="AA672">XLOOKUP($A672,'Recipients REF'!$A:$A,'Recipients REF'!M:M,"",0)</f>
        <v>WDP40-RMP-2312069</v>
      </c>
      <c r="AB672" s="49"/>
      <c r="AC672" s="42"/>
      <c r="AD672" s="42"/>
      <c r="AE672" s="50"/>
      <c r="AF672" s="42"/>
      <c r="AG672" s="42"/>
      <c r="AH672" s="42"/>
      <c r="AI672" s="42">
        <f t="array" ref="AI672">XLOOKUP($E672,Sheet11!$D:$D,Sheet11!$X:$X,"",0)</f>
        <v>869066060239697</v>
      </c>
      <c r="AJ672" s="42">
        <f t="array" ref="AJ672">XLOOKUP($E672,Sheet11!$D:$D,Sheet11!$Y:$Y,"",0)</f>
        <v>9690408964</v>
      </c>
    </row>
    <row r="673">
      <c r="A673" s="41">
        <v>20.0</v>
      </c>
      <c r="B673" s="42" t="s">
        <v>1310</v>
      </c>
      <c r="C673" s="42" t="s">
        <v>1311</v>
      </c>
      <c r="D673" s="42"/>
      <c r="E673" s="42" t="str">
        <f t="shared" ref="E673:F673" si="674">PROPER(B673)</f>
        <v>Samahan Ng Mga Magsasaka Ng Barangay Bayanan Ii</v>
      </c>
      <c r="F673" s="42" t="str">
        <f t="shared" si="674"/>
        <v>Bayanan Ii, Calapan City, Oriental Mindoro</v>
      </c>
      <c r="G673" s="42" t="str">
        <f t="shared" si="3"/>
        <v>Bayanan Ii</v>
      </c>
      <c r="H673" s="42" t="str">
        <f t="shared" si="4"/>
        <v>Calapan City</v>
      </c>
      <c r="I673" s="42" t="str">
        <f t="shared" si="5"/>
        <v>Oriental Mindoro</v>
      </c>
      <c r="J673" s="42" t="str">
        <f t="array" ref="J673">XLOOKUP($E673,'Recipients REF'!$B:$B,'Recipients REF'!D:D,"",0)</f>
        <v>EDGAR C. BALMES</v>
      </c>
      <c r="K673" s="42" t="str">
        <f t="array" ref="K673">XLOOKUP($E673,'Recipients REF'!$B:$B,'Recipients REF'!E:E,"",0)</f>
        <v>0936 940 1320</v>
      </c>
      <c r="L673" s="43" t="str">
        <f t="array" ref="L673">XLOOKUP($A673,'Recipients REF'!$A:$A,'Recipients REF'!F:F,"",0)</f>
        <v>RCEF 23-08-20 Rebidding</v>
      </c>
      <c r="M673" s="43">
        <f t="array" ref="M673">XLOOKUP($A673,'Recipients REF'!$A:$A,'Recipients REF'!G:G,"",0)</f>
        <v>1</v>
      </c>
      <c r="N673" s="43">
        <f t="array" ref="N673">XLOOKUP($A673,'Recipients REF'!$A:$A,'Recipients REF'!H:H,"",0)</f>
        <v>17380</v>
      </c>
      <c r="O673" s="44" t="s">
        <v>25</v>
      </c>
      <c r="P673" s="45" t="s">
        <v>26</v>
      </c>
      <c r="Q673" s="46" t="str">
        <f t="array" ref="Q673">XLOOKUP($A673,'Recipients REF'!$A:$A,'Recipients REF'!I:I,"",0)</f>
        <v>KMC 5825 AVPFPV0035</v>
      </c>
      <c r="R673" s="47" t="str">
        <f t="array" ref="R673">XLOOKUP($A673,'Recipients REF'!$A:$A,'Recipients REF'!J:J,"",0)</f>
        <v>PTS100034</v>
      </c>
      <c r="S673" s="45" t="s">
        <v>27</v>
      </c>
      <c r="T673" s="45" t="s">
        <v>28</v>
      </c>
      <c r="U673" s="46" t="str">
        <f t="array" ref="U673">XLOOKUP($A673,'Recipients REF'!$A:$A,'Recipients REF'!K:K,"",0)</f>
        <v>R-SERIES 013 PH</v>
      </c>
      <c r="V673" s="44" t="s">
        <v>29</v>
      </c>
      <c r="W673" s="45" t="s">
        <v>30</v>
      </c>
      <c r="X673" s="47" t="str">
        <f t="array" ref="X673">XLOOKUP($A673,'Recipients REF'!$A:$A,'Recipients REF'!L:L,"",0)</f>
        <v>LSGW1750-RMP-2312024</v>
      </c>
      <c r="Y673" s="48" t="s">
        <v>29</v>
      </c>
      <c r="Z673" s="48" t="s">
        <v>31</v>
      </c>
      <c r="AA673" s="46" t="str">
        <f t="array" ref="AA673">XLOOKUP($A673,'Recipients REF'!$A:$A,'Recipients REF'!M:M,"",0)</f>
        <v>WDP40-RMP-2312072</v>
      </c>
      <c r="AB673" s="49"/>
      <c r="AC673" s="42"/>
      <c r="AD673" s="42"/>
      <c r="AE673" s="50"/>
      <c r="AF673" s="42"/>
      <c r="AG673" s="42"/>
      <c r="AH673" s="42"/>
      <c r="AI673" s="42">
        <f t="array" ref="AI673">XLOOKUP($E673,Sheet11!$D:$D,Sheet11!$X:$X,"",0)</f>
        <v>869066060239853</v>
      </c>
      <c r="AJ673" s="42">
        <f t="array" ref="AJ673">XLOOKUP($E673,Sheet11!$D:$D,Sheet11!$Y:$Y,"",0)</f>
        <v>9690349831</v>
      </c>
    </row>
    <row r="674">
      <c r="A674" s="41">
        <v>21.0</v>
      </c>
      <c r="B674" s="42" t="s">
        <v>1312</v>
      </c>
      <c r="C674" s="42" t="s">
        <v>1313</v>
      </c>
      <c r="D674" s="42"/>
      <c r="E674" s="42" t="str">
        <f t="shared" ref="E674:F674" si="675">PROPER(B674)</f>
        <v>Gulod Farmers Association</v>
      </c>
      <c r="F674" s="42" t="str">
        <f t="shared" si="675"/>
        <v>Gulod, Calapan City, Oriental Mindoro</v>
      </c>
      <c r="G674" s="42" t="str">
        <f t="shared" si="3"/>
        <v>Gulod</v>
      </c>
      <c r="H674" s="42" t="str">
        <f t="shared" si="4"/>
        <v>Calapan City</v>
      </c>
      <c r="I674" s="42" t="str">
        <f t="shared" si="5"/>
        <v>Oriental Mindoro</v>
      </c>
      <c r="J674" s="42" t="str">
        <f t="array" ref="J674">XLOOKUP($E674,'Recipients REF'!$B:$B,'Recipients REF'!D:D,"",0)</f>
        <v>CELEDONIO GONZALES</v>
      </c>
      <c r="K674" s="42" t="str">
        <f t="array" ref="K674">XLOOKUP($E674,'Recipients REF'!$B:$B,'Recipients REF'!E:E,"",0)</f>
        <v>0960 919 4546
 0915 389 7698</v>
      </c>
      <c r="L674" s="43" t="str">
        <f t="array" ref="L674">XLOOKUP($A674,'Recipients REF'!$A:$A,'Recipients REF'!F:F,"",0)</f>
        <v>RCEF 23-08-20 Rebidding</v>
      </c>
      <c r="M674" s="43">
        <f t="array" ref="M674">XLOOKUP($A674,'Recipients REF'!$A:$A,'Recipients REF'!G:G,"",0)</f>
        <v>1</v>
      </c>
      <c r="N674" s="43">
        <f t="array" ref="N674">XLOOKUP($A674,'Recipients REF'!$A:$A,'Recipients REF'!H:H,"",0)</f>
        <v>17381</v>
      </c>
      <c r="O674" s="44" t="s">
        <v>25</v>
      </c>
      <c r="P674" s="45" t="s">
        <v>26</v>
      </c>
      <c r="Q674" s="46" t="str">
        <f t="array" ref="Q674">XLOOKUP($A674,'Recipients REF'!$A:$A,'Recipients REF'!I:I,"",0)</f>
        <v>KMC 5825 ACPFPV0009</v>
      </c>
      <c r="R674" s="47" t="str">
        <f t="array" ref="R674">XLOOKUP($A674,'Recipients REF'!$A:$A,'Recipients REF'!J:J,"",0)</f>
        <v>PTS100006</v>
      </c>
      <c r="S674" s="45" t="s">
        <v>27</v>
      </c>
      <c r="T674" s="45" t="s">
        <v>28</v>
      </c>
      <c r="U674" s="46" t="str">
        <f t="array" ref="U674">XLOOKUP($A674,'Recipients REF'!$A:$A,'Recipients REF'!K:K,"",0)</f>
        <v>R-SERIES 042 PH</v>
      </c>
      <c r="V674" s="44" t="s">
        <v>29</v>
      </c>
      <c r="W674" s="45" t="s">
        <v>30</v>
      </c>
      <c r="X674" s="47" t="str">
        <f t="array" ref="X674">XLOOKUP($A674,'Recipients REF'!$A:$A,'Recipients REF'!L:L,"",0)</f>
        <v>LSGW1750-RMP-2312016</v>
      </c>
      <c r="Y674" s="48" t="s">
        <v>29</v>
      </c>
      <c r="Z674" s="48" t="s">
        <v>31</v>
      </c>
      <c r="AA674" s="46" t="str">
        <f t="array" ref="AA674">XLOOKUP($A674,'Recipients REF'!$A:$A,'Recipients REF'!M:M,"",0)</f>
        <v>WDP40-RMP-2312053</v>
      </c>
      <c r="AB674" s="49"/>
      <c r="AC674" s="42"/>
      <c r="AD674" s="42"/>
      <c r="AE674" s="50"/>
      <c r="AF674" s="42"/>
      <c r="AG674" s="42"/>
      <c r="AH674" s="42"/>
      <c r="AI674" s="42">
        <f t="array" ref="AI674">XLOOKUP($E674,Sheet11!$D:$D,Sheet11!$X:$X,"",0)</f>
        <v>869066060239481</v>
      </c>
      <c r="AJ674" s="42">
        <f t="array" ref="AJ674">XLOOKUP($E674,Sheet11!$D:$D,Sheet11!$Y:$Y,"",0)</f>
        <v>9690266981</v>
      </c>
    </row>
    <row r="675">
      <c r="A675" s="41">
        <v>22.0</v>
      </c>
      <c r="B675" s="42" t="s">
        <v>1314</v>
      </c>
      <c r="C675" s="42" t="s">
        <v>1315</v>
      </c>
      <c r="D675" s="42"/>
      <c r="E675" s="42" t="str">
        <f t="shared" ref="E675:F675" si="676">PROPER(B675)</f>
        <v>Balingayan Farmers Association</v>
      </c>
      <c r="F675" s="42" t="str">
        <f t="shared" si="676"/>
        <v>Balingayan, Calapan City, Oriental Mindoro</v>
      </c>
      <c r="G675" s="42" t="str">
        <f t="shared" si="3"/>
        <v>Balingayan</v>
      </c>
      <c r="H675" s="42" t="str">
        <f t="shared" si="4"/>
        <v>Calapan City</v>
      </c>
      <c r="I675" s="42" t="str">
        <f t="shared" si="5"/>
        <v>Oriental Mindoro</v>
      </c>
      <c r="J675" s="42" t="str">
        <f t="array" ref="J675">XLOOKUP($E675,'Recipients REF'!$B:$B,'Recipients REF'!D:D,"",0)</f>
        <v>C ROBERTO S. BRUCAL</v>
      </c>
      <c r="K675" s="42" t="str">
        <f t="array" ref="K675">XLOOKUP($E675,'Recipients REF'!$B:$B,'Recipients REF'!E:E,"",0)</f>
        <v>0917 270 7772
 0968 622 4404</v>
      </c>
      <c r="L675" s="43" t="str">
        <f t="array" ref="L675">XLOOKUP($A675,'Recipients REF'!$A:$A,'Recipients REF'!F:F,"",0)</f>
        <v>RCEF 23-08-20 Rebidding</v>
      </c>
      <c r="M675" s="43">
        <f t="array" ref="M675">XLOOKUP($A675,'Recipients REF'!$A:$A,'Recipients REF'!G:G,"",0)</f>
        <v>1</v>
      </c>
      <c r="N675" s="43">
        <f t="array" ref="N675">XLOOKUP($A675,'Recipients REF'!$A:$A,'Recipients REF'!H:H,"",0)</f>
        <v>17382</v>
      </c>
      <c r="O675" s="44" t="s">
        <v>25</v>
      </c>
      <c r="P675" s="45" t="s">
        <v>26</v>
      </c>
      <c r="Q675" s="46" t="str">
        <f t="array" ref="Q675">XLOOKUP($A675,'Recipients REF'!$A:$A,'Recipients REF'!I:I,"",0)</f>
        <v>KMC 5825 AHPFPV0007</v>
      </c>
      <c r="R675" s="47" t="str">
        <f t="array" ref="R675">XLOOKUP($A675,'Recipients REF'!$A:$A,'Recipients REF'!J:J,"",0)</f>
        <v>PTS100008</v>
      </c>
      <c r="S675" s="45" t="s">
        <v>27</v>
      </c>
      <c r="T675" s="45" t="s">
        <v>28</v>
      </c>
      <c r="U675" s="46" t="str">
        <f t="array" ref="U675">XLOOKUP($A675,'Recipients REF'!$A:$A,'Recipients REF'!K:K,"",0)</f>
        <v>R-SERIES 021 PH</v>
      </c>
      <c r="V675" s="44" t="s">
        <v>29</v>
      </c>
      <c r="W675" s="45" t="s">
        <v>30</v>
      </c>
      <c r="X675" s="47" t="str">
        <f t="array" ref="X675">XLOOKUP($A675,'Recipients REF'!$A:$A,'Recipients REF'!L:L,"",0)</f>
        <v>LSGW1750-RMP-2312014</v>
      </c>
      <c r="Y675" s="48" t="s">
        <v>29</v>
      </c>
      <c r="Z675" s="48" t="s">
        <v>31</v>
      </c>
      <c r="AA675" s="46" t="str">
        <f t="array" ref="AA675">XLOOKUP($A675,'Recipients REF'!$A:$A,'Recipients REF'!M:M,"",0)</f>
        <v>WDP40-RMP-2312056</v>
      </c>
      <c r="AB675" s="49"/>
      <c r="AC675" s="42"/>
      <c r="AD675" s="42"/>
      <c r="AE675" s="50"/>
      <c r="AF675" s="42"/>
      <c r="AG675" s="42"/>
      <c r="AH675" s="42"/>
      <c r="AI675" s="42">
        <f t="array" ref="AI675">XLOOKUP($E675,Sheet11!$D:$D,Sheet11!$X:$X,"",0)</f>
        <v>869066060239028</v>
      </c>
      <c r="AJ675" s="42">
        <f t="array" ref="AJ675">XLOOKUP($E675,Sheet11!$D:$D,Sheet11!$Y:$Y,"",0)</f>
        <v>9690217386</v>
      </c>
    </row>
    <row r="676">
      <c r="A676" s="41">
        <v>23.0</v>
      </c>
      <c r="B676" s="42" t="s">
        <v>1316</v>
      </c>
      <c r="C676" s="42" t="s">
        <v>1317</v>
      </c>
      <c r="D676" s="42"/>
      <c r="E676" s="42" t="str">
        <f t="shared" ref="E676:F676" si="677">PROPER(B676)</f>
        <v>Barangay Malinao Farmers' Association</v>
      </c>
      <c r="F676" s="42" t="str">
        <f t="shared" si="677"/>
        <v>Malinao, Naujan, Oriental Mindoro</v>
      </c>
      <c r="G676" s="42" t="str">
        <f t="shared" si="3"/>
        <v>Malinao</v>
      </c>
      <c r="H676" s="42" t="str">
        <f t="shared" si="4"/>
        <v>Naujan</v>
      </c>
      <c r="I676" s="42" t="str">
        <f t="shared" si="5"/>
        <v>Oriental Mindoro</v>
      </c>
      <c r="J676" s="42" t="str">
        <f t="array" ref="J676">XLOOKUP($E676,'Recipients REF'!$B:$B,'Recipients REF'!D:D,"",0)</f>
        <v>ERVIN D. GARILLO</v>
      </c>
      <c r="K676" s="42" t="str">
        <f t="array" ref="K676">XLOOKUP($E676,'Recipients REF'!$B:$B,'Recipients REF'!E:E,"",0)</f>
        <v>0956 911 1213</v>
      </c>
      <c r="L676" s="43" t="str">
        <f t="array" ref="L676">XLOOKUP($A676,'Recipients REF'!$A:$A,'Recipients REF'!F:F,"",0)</f>
        <v>RCEF 23-08-20 Rebidding</v>
      </c>
      <c r="M676" s="43">
        <f t="array" ref="M676">XLOOKUP($A676,'Recipients REF'!$A:$A,'Recipients REF'!G:G,"",0)</f>
        <v>1</v>
      </c>
      <c r="N676" s="43">
        <f t="array" ref="N676">XLOOKUP($A676,'Recipients REF'!$A:$A,'Recipients REF'!H:H,"",0)</f>
        <v>17383</v>
      </c>
      <c r="O676" s="44" t="s">
        <v>25</v>
      </c>
      <c r="P676" s="45" t="s">
        <v>26</v>
      </c>
      <c r="Q676" s="46" t="str">
        <f t="array" ref="Q676">XLOOKUP($A676,'Recipients REF'!$A:$A,'Recipients REF'!I:I,"",0)</f>
        <v>KMC 5825 ACPFPV0012</v>
      </c>
      <c r="R676" s="47" t="str">
        <f t="array" ref="R676">XLOOKUP($A676,'Recipients REF'!$A:$A,'Recipients REF'!J:J,"",0)</f>
        <v>PTS100019</v>
      </c>
      <c r="S676" s="45" t="s">
        <v>27</v>
      </c>
      <c r="T676" s="45" t="s">
        <v>28</v>
      </c>
      <c r="U676" s="46" t="str">
        <f t="array" ref="U676">XLOOKUP($A676,'Recipients REF'!$A:$A,'Recipients REF'!K:K,"",0)</f>
        <v>R-SERIES 049 PH</v>
      </c>
      <c r="V676" s="44" t="s">
        <v>29</v>
      </c>
      <c r="W676" s="45" t="s">
        <v>30</v>
      </c>
      <c r="X676" s="47" t="str">
        <f t="array" ref="X676">XLOOKUP($A676,'Recipients REF'!$A:$A,'Recipients REF'!L:L,"",0)</f>
        <v>LSGW1750-RMP-2312003</v>
      </c>
      <c r="Y676" s="48" t="s">
        <v>29</v>
      </c>
      <c r="Z676" s="48" t="s">
        <v>31</v>
      </c>
      <c r="AA676" s="46" t="str">
        <f t="array" ref="AA676">XLOOKUP($A676,'Recipients REF'!$A:$A,'Recipients REF'!M:M,"",0)</f>
        <v>WDP40-RMP-2312063</v>
      </c>
      <c r="AB676" s="49"/>
      <c r="AC676" s="42"/>
      <c r="AD676" s="42"/>
      <c r="AE676" s="51"/>
      <c r="AF676" s="52"/>
      <c r="AG676" s="42"/>
      <c r="AH676" s="42"/>
      <c r="AI676" s="42">
        <f t="array" ref="AI676">XLOOKUP($E676,Sheet11!$D:$D,Sheet11!$X:$X,"",0)</f>
        <v>869066060243749</v>
      </c>
      <c r="AJ676" s="42">
        <f t="array" ref="AJ676">XLOOKUP($E676,Sheet11!$D:$D,Sheet11!$Y:$Y,"",0)</f>
        <v>9086899321</v>
      </c>
    </row>
    <row r="677">
      <c r="A677" s="41">
        <v>24.0</v>
      </c>
      <c r="B677" s="42" t="s">
        <v>1318</v>
      </c>
      <c r="C677" s="42" t="s">
        <v>1319</v>
      </c>
      <c r="D677" s="42"/>
      <c r="E677" s="42" t="str">
        <f t="shared" ref="E677:F677" si="678">PROPER(B677)</f>
        <v>Bagong Buhay Farmers Association</v>
      </c>
      <c r="F677" s="42" t="str">
        <f t="shared" si="678"/>
        <v>Bagong Buhay, Naujan, Oriental Mindoro</v>
      </c>
      <c r="G677" s="42" t="str">
        <f t="shared" si="3"/>
        <v>Bagong Buhay</v>
      </c>
      <c r="H677" s="42" t="str">
        <f t="shared" si="4"/>
        <v>Naujan</v>
      </c>
      <c r="I677" s="42" t="str">
        <f t="shared" si="5"/>
        <v>Oriental Mindoro</v>
      </c>
      <c r="J677" s="42" t="str">
        <f t="array" ref="J677">XLOOKUP($E677,'Recipients REF'!$B:$B,'Recipients REF'!D:D,"",0)</f>
        <v>ERLIN G. PARAY</v>
      </c>
      <c r="K677" s="42" t="str">
        <f t="array" ref="K677">XLOOKUP($E677,'Recipients REF'!$B:$B,'Recipients REF'!E:E,"",0)</f>
        <v>0907 645 9942</v>
      </c>
      <c r="L677" s="43" t="str">
        <f t="array" ref="L677">XLOOKUP($A677,'Recipients REF'!$A:$A,'Recipients REF'!F:F,"",0)</f>
        <v>RCEF 23-08-20 Rebidding</v>
      </c>
      <c r="M677" s="43">
        <f t="array" ref="M677">XLOOKUP($A677,'Recipients REF'!$A:$A,'Recipients REF'!G:G,"",0)</f>
        <v>1</v>
      </c>
      <c r="N677" s="43">
        <f t="array" ref="N677">XLOOKUP($A677,'Recipients REF'!$A:$A,'Recipients REF'!H:H,"",0)</f>
        <v>17384</v>
      </c>
      <c r="O677" s="44" t="s">
        <v>25</v>
      </c>
      <c r="P677" s="45" t="s">
        <v>26</v>
      </c>
      <c r="Q677" s="46" t="str">
        <f t="array" ref="Q677">XLOOKUP($A677,'Recipients REF'!$A:$A,'Recipients REF'!I:I,"",0)</f>
        <v>KMC 5825 AHPFPV0038</v>
      </c>
      <c r="R677" s="47" t="str">
        <f t="array" ref="R677">XLOOKUP($A677,'Recipients REF'!$A:$A,'Recipients REF'!J:J,"",0)</f>
        <v>PTS100003</v>
      </c>
      <c r="S677" s="45" t="s">
        <v>27</v>
      </c>
      <c r="T677" s="45" t="s">
        <v>28</v>
      </c>
      <c r="U677" s="46" t="str">
        <f t="array" ref="U677">XLOOKUP($A677,'Recipients REF'!$A:$A,'Recipients REF'!K:K,"",0)</f>
        <v>R-SERIES 034 PH</v>
      </c>
      <c r="V677" s="44" t="s">
        <v>29</v>
      </c>
      <c r="W677" s="45" t="s">
        <v>30</v>
      </c>
      <c r="X677" s="47" t="str">
        <f t="array" ref="X677">XLOOKUP($A677,'Recipients REF'!$A:$A,'Recipients REF'!L:L,"",0)</f>
        <v>LSGW1750-RMP-2312034</v>
      </c>
      <c r="Y677" s="48" t="s">
        <v>29</v>
      </c>
      <c r="Z677" s="48" t="s">
        <v>31</v>
      </c>
      <c r="AA677" s="46" t="str">
        <f t="array" ref="AA677">XLOOKUP($A677,'Recipients REF'!$A:$A,'Recipients REF'!M:M,"",0)</f>
        <v>WDP40-RMP-2312062</v>
      </c>
      <c r="AB677" s="49"/>
      <c r="AC677" s="42"/>
      <c r="AD677" s="42"/>
      <c r="AE677" s="50"/>
      <c r="AF677" s="42"/>
      <c r="AG677" s="42"/>
      <c r="AH677" s="42"/>
      <c r="AI677" s="42">
        <f t="array" ref="AI677">XLOOKUP($E677,Sheet11!$D:$D,Sheet11!$X:$X,"",0)</f>
        <v>869066060245967</v>
      </c>
      <c r="AJ677" s="42">
        <f t="array" ref="AJ677">XLOOKUP($E677,Sheet11!$D:$D,Sheet11!$Y:$Y,"",0)</f>
        <v>9626237592</v>
      </c>
    </row>
    <row r="678">
      <c r="A678" s="41">
        <v>25.0</v>
      </c>
      <c r="B678" s="42" t="s">
        <v>1320</v>
      </c>
      <c r="C678" s="42" t="s">
        <v>1321</v>
      </c>
      <c r="D678" s="42"/>
      <c r="E678" s="42" t="str">
        <f t="shared" ref="E678:F678" si="679">PROPER(B678)</f>
        <v>Sandigan Ng Mga Manggagawa Sa Agrikultura Sa Kanayunan (Samaka)</v>
      </c>
      <c r="F678" s="42" t="str">
        <f t="shared" si="679"/>
        <v>Calucmoy, Socorro, Oriental Mindoro</v>
      </c>
      <c r="G678" s="42" t="str">
        <f t="shared" si="3"/>
        <v>Calucmoy</v>
      </c>
      <c r="H678" s="42" t="str">
        <f t="shared" si="4"/>
        <v>Socorro</v>
      </c>
      <c r="I678" s="42" t="str">
        <f t="shared" si="5"/>
        <v>Oriental Mindoro</v>
      </c>
      <c r="J678" s="42" t="str">
        <f t="array" ref="J678">XLOOKUP($E678,'Recipients REF'!$B:$B,'Recipients REF'!D:D,"",0)</f>
        <v>Edilberto Saez</v>
      </c>
      <c r="K678" s="42" t="str">
        <f t="array" ref="K678">XLOOKUP($E678,'Recipients REF'!$B:$B,'Recipients REF'!E:E,"",0)</f>
        <v>0948 412 7045</v>
      </c>
      <c r="L678" s="43" t="str">
        <f t="array" ref="L678">XLOOKUP($A678,'Recipients REF'!$A:$A,'Recipients REF'!F:F,"",0)</f>
        <v>RCEF 23-08-20 Rebidding</v>
      </c>
      <c r="M678" s="43">
        <f t="array" ref="M678">XLOOKUP($A678,'Recipients REF'!$A:$A,'Recipients REF'!G:G,"",0)</f>
        <v>1</v>
      </c>
      <c r="N678" s="43">
        <f t="array" ref="N678">XLOOKUP($A678,'Recipients REF'!$A:$A,'Recipients REF'!H:H,"",0)</f>
        <v>17385</v>
      </c>
      <c r="O678" s="44" t="s">
        <v>25</v>
      </c>
      <c r="P678" s="45" t="s">
        <v>26</v>
      </c>
      <c r="Q678" s="46" t="str">
        <f t="array" ref="Q678">XLOOKUP($A678,'Recipients REF'!$A:$A,'Recipients REF'!I:I,"",0)</f>
        <v>KMC 5825 AVPFPV0018</v>
      </c>
      <c r="R678" s="47" t="str">
        <f t="array" ref="R678">XLOOKUP($A678,'Recipients REF'!$A:$A,'Recipients REF'!J:J,"",0)</f>
        <v>PTS100037</v>
      </c>
      <c r="S678" s="45" t="s">
        <v>27</v>
      </c>
      <c r="T678" s="45" t="s">
        <v>28</v>
      </c>
      <c r="U678" s="46" t="str">
        <f t="array" ref="U678">XLOOKUP($A678,'Recipients REF'!$A:$A,'Recipients REF'!K:K,"",0)</f>
        <v>R-SERIES 005 PH</v>
      </c>
      <c r="V678" s="44" t="s">
        <v>29</v>
      </c>
      <c r="W678" s="45" t="s">
        <v>30</v>
      </c>
      <c r="X678" s="47" t="str">
        <f t="array" ref="X678">XLOOKUP($A678,'Recipients REF'!$A:$A,'Recipients REF'!L:L,"",0)</f>
        <v>LSGW1750-RMP-2312012</v>
      </c>
      <c r="Y678" s="48" t="s">
        <v>29</v>
      </c>
      <c r="Z678" s="48" t="s">
        <v>31</v>
      </c>
      <c r="AA678" s="46" t="str">
        <f t="array" ref="AA678">XLOOKUP($A678,'Recipients REF'!$A:$A,'Recipients REF'!M:M,"",0)</f>
        <v>WDP40-RMP-2312057</v>
      </c>
      <c r="AB678" s="49"/>
      <c r="AC678" s="42"/>
      <c r="AD678" s="42"/>
      <c r="AE678" s="50"/>
      <c r="AF678" s="42"/>
      <c r="AG678" s="42"/>
      <c r="AH678" s="42"/>
      <c r="AI678" s="42">
        <f t="array" ref="AI678">XLOOKUP($E678,Sheet11!$D:$D,Sheet11!$X:$X,"",0)</f>
        <v>869066060237055</v>
      </c>
      <c r="AJ678" s="42">
        <f t="array" ref="AJ678">XLOOKUP($E678,Sheet11!$D:$D,Sheet11!$Y:$Y,"",0)</f>
        <v>9690482048</v>
      </c>
    </row>
    <row r="679">
      <c r="A679" s="41">
        <v>26.0</v>
      </c>
      <c r="B679" s="42" t="s">
        <v>1322</v>
      </c>
      <c r="C679" s="42" t="s">
        <v>1323</v>
      </c>
      <c r="D679" s="42"/>
      <c r="E679" s="42" t="str">
        <f t="shared" ref="E679:F679" si="680">PROPER(B679)</f>
        <v>Macatoc Farmers Association</v>
      </c>
      <c r="F679" s="42" t="str">
        <f t="shared" si="680"/>
        <v>Macatoc, Victoria, Oriental Mindoro</v>
      </c>
      <c r="G679" s="42" t="str">
        <f t="shared" si="3"/>
        <v>Macatoc</v>
      </c>
      <c r="H679" s="42" t="str">
        <f t="shared" si="4"/>
        <v>Victoria</v>
      </c>
      <c r="I679" s="42" t="str">
        <f t="shared" si="5"/>
        <v>Oriental Mindoro</v>
      </c>
      <c r="J679" s="42" t="str">
        <f t="array" ref="J679">XLOOKUP($E679,'Recipients REF'!$B:$B,'Recipients REF'!D:D,"",0)</f>
        <v>DENVER J. PERICO</v>
      </c>
      <c r="K679" s="42" t="str">
        <f t="array" ref="K679">XLOOKUP($E679,'Recipients REF'!$B:$B,'Recipients REF'!E:E,"",0)</f>
        <v>0909 489 2967</v>
      </c>
      <c r="L679" s="43" t="str">
        <f t="array" ref="L679">XLOOKUP($A679,'Recipients REF'!$A:$A,'Recipients REF'!F:F,"",0)</f>
        <v>RCEF 23-08-20 Rebidding</v>
      </c>
      <c r="M679" s="43">
        <f t="array" ref="M679">XLOOKUP($A679,'Recipients REF'!$A:$A,'Recipients REF'!G:G,"",0)</f>
        <v>1</v>
      </c>
      <c r="N679" s="43">
        <f t="array" ref="N679">XLOOKUP($A679,'Recipients REF'!$A:$A,'Recipients REF'!H:H,"",0)</f>
        <v>17386</v>
      </c>
      <c r="O679" s="44" t="s">
        <v>25</v>
      </c>
      <c r="P679" s="45" t="s">
        <v>26</v>
      </c>
      <c r="Q679" s="46" t="str">
        <f t="array" ref="Q679">XLOOKUP($A679,'Recipients REF'!$A:$A,'Recipients REF'!I:I,"",0)</f>
        <v>KMC 5825 ALPFPV0040</v>
      </c>
      <c r="R679" s="47" t="str">
        <f t="array" ref="R679">XLOOKUP($A679,'Recipients REF'!$A:$A,'Recipients REF'!J:J,"",0)</f>
        <v>PTS100011</v>
      </c>
      <c r="S679" s="45" t="s">
        <v>27</v>
      </c>
      <c r="T679" s="45" t="s">
        <v>28</v>
      </c>
      <c r="U679" s="46" t="str">
        <f t="array" ref="U679">XLOOKUP($A679,'Recipients REF'!$A:$A,'Recipients REF'!K:K,"",0)</f>
        <v>R-SERIES 018 PH</v>
      </c>
      <c r="V679" s="44" t="s">
        <v>29</v>
      </c>
      <c r="W679" s="45" t="s">
        <v>30</v>
      </c>
      <c r="X679" s="47" t="str">
        <f t="array" ref="X679">XLOOKUP($A679,'Recipients REF'!$A:$A,'Recipients REF'!L:L,"",0)</f>
        <v>LSGW1750-RMP-2312002</v>
      </c>
      <c r="Y679" s="48" t="s">
        <v>29</v>
      </c>
      <c r="Z679" s="48" t="s">
        <v>31</v>
      </c>
      <c r="AA679" s="46" t="str">
        <f t="array" ref="AA679">XLOOKUP($A679,'Recipients REF'!$A:$A,'Recipients REF'!M:M,"",0)</f>
        <v>WDP40-RMP-2312058</v>
      </c>
      <c r="AB679" s="49"/>
      <c r="AC679" s="42"/>
      <c r="AD679" s="42"/>
      <c r="AE679" s="50"/>
      <c r="AF679" s="42"/>
      <c r="AG679" s="42"/>
      <c r="AH679" s="42"/>
      <c r="AI679" s="42">
        <f t="array" ref="AI679">XLOOKUP($E679,Sheet11!$D:$D,Sheet11!$X:$X,"",0)</f>
        <v>869066060241875</v>
      </c>
      <c r="AJ679" s="42">
        <f t="array" ref="AJ679">XLOOKUP($E679,Sheet11!$D:$D,Sheet11!$Y:$Y,"",0)</f>
        <v>9690103472</v>
      </c>
    </row>
    <row r="680">
      <c r="A680" s="41">
        <v>27.0</v>
      </c>
      <c r="B680" s="42" t="s">
        <v>1324</v>
      </c>
      <c r="C680" s="42" t="s">
        <v>1325</v>
      </c>
      <c r="D680" s="42"/>
      <c r="E680" s="42" t="str">
        <f t="shared" ref="E680:F680" si="681">PROPER(B680)</f>
        <v>San Nicolas Small Water Irrigation System Association</v>
      </c>
      <c r="F680" s="42" t="str">
        <f t="shared" si="681"/>
        <v>Rosacara, Bansud, Oriental Mindoro</v>
      </c>
      <c r="G680" s="42" t="str">
        <f t="shared" si="3"/>
        <v>Rosacara</v>
      </c>
      <c r="H680" s="42" t="str">
        <f t="shared" si="4"/>
        <v>Bansud</v>
      </c>
      <c r="I680" s="42" t="str">
        <f t="shared" si="5"/>
        <v>Oriental Mindoro</v>
      </c>
      <c r="J680" s="42" t="str">
        <f t="array" ref="J680">XLOOKUP($E680,'Recipients REF'!$B:$B,'Recipients REF'!D:D,"",0)</f>
        <v>EDGARDO M. CASAPAO</v>
      </c>
      <c r="K680" s="42">
        <f t="array" ref="K680">XLOOKUP($E680,'Recipients REF'!$B:$B,'Recipients REF'!E:E,"",0)</f>
        <v>9071476723</v>
      </c>
      <c r="L680" s="43" t="str">
        <f t="array" ref="L680">XLOOKUP($A680,'Recipients REF'!$A:$A,'Recipients REF'!F:F,"",0)</f>
        <v>RCEF 23-08-20 Rebidding</v>
      </c>
      <c r="M680" s="43">
        <f t="array" ref="M680">XLOOKUP($A680,'Recipients REF'!$A:$A,'Recipients REF'!G:G,"",0)</f>
        <v>1</v>
      </c>
      <c r="N680" s="43">
        <f t="array" ref="N680">XLOOKUP($A680,'Recipients REF'!$A:$A,'Recipients REF'!H:H,"",0)</f>
        <v>17387</v>
      </c>
      <c r="O680" s="44" t="s">
        <v>25</v>
      </c>
      <c r="P680" s="45" t="s">
        <v>26</v>
      </c>
      <c r="Q680" s="46" t="str">
        <f t="array" ref="Q680">XLOOKUP($A680,'Recipients REF'!$A:$A,'Recipients REF'!I:I,"",0)</f>
        <v>KMC 5825 APPFPV0028</v>
      </c>
      <c r="R680" s="47" t="str">
        <f t="array" ref="R680">XLOOKUP($A680,'Recipients REF'!$A:$A,'Recipients REF'!J:J,"",0)</f>
        <v>PTS100021</v>
      </c>
      <c r="S680" s="45" t="s">
        <v>27</v>
      </c>
      <c r="T680" s="45" t="s">
        <v>28</v>
      </c>
      <c r="U680" s="46" t="str">
        <f t="array" ref="U680">XLOOKUP($A680,'Recipients REF'!$A:$A,'Recipients REF'!K:K,"",0)</f>
        <v>R-SERIES 025 PH</v>
      </c>
      <c r="V680" s="44" t="s">
        <v>29</v>
      </c>
      <c r="W680" s="45" t="s">
        <v>30</v>
      </c>
      <c r="X680" s="47" t="str">
        <f t="array" ref="X680">XLOOKUP($A680,'Recipients REF'!$A:$A,'Recipients REF'!L:L,"",0)</f>
        <v>LSGW1750-RMP-2312027</v>
      </c>
      <c r="Y680" s="48" t="s">
        <v>29</v>
      </c>
      <c r="Z680" s="48" t="s">
        <v>31</v>
      </c>
      <c r="AA680" s="46" t="str">
        <f t="array" ref="AA680">XLOOKUP($A680,'Recipients REF'!$A:$A,'Recipients REF'!M:M,"",0)</f>
        <v>WDP40-RMP-2312038</v>
      </c>
      <c r="AB680" s="49"/>
      <c r="AC680" s="42"/>
      <c r="AD680" s="42"/>
      <c r="AE680" s="50"/>
      <c r="AF680" s="42"/>
      <c r="AG680" s="42"/>
      <c r="AH680" s="42"/>
      <c r="AI680" s="42">
        <f t="array" ref="AI680">XLOOKUP($E680,Sheet11!$D:$D,Sheet11!$X:$X,"",0)</f>
        <v>869066060239440</v>
      </c>
      <c r="AJ680" s="42">
        <f t="array" ref="AJ680">XLOOKUP($E680,Sheet11!$D:$D,Sheet11!$Y:$Y,"",0)</f>
        <v>9690178125</v>
      </c>
    </row>
    <row r="681">
      <c r="A681" s="41">
        <v>28.0</v>
      </c>
      <c r="B681" s="42" t="s">
        <v>1326</v>
      </c>
      <c r="C681" s="42" t="s">
        <v>1327</v>
      </c>
      <c r="D681" s="42"/>
      <c r="E681" s="42" t="str">
        <f t="shared" ref="E681:F681" si="682">PROPER(B681)</f>
        <v>Alcadesma Group Of Farmers Association(Agfa)</v>
      </c>
      <c r="F681" s="42" t="str">
        <f t="shared" si="682"/>
        <v>Alcadesma, Bansud, Oriental Mindoro</v>
      </c>
      <c r="G681" s="42" t="str">
        <f t="shared" si="3"/>
        <v>Alcadesma</v>
      </c>
      <c r="H681" s="42" t="str">
        <f t="shared" si="4"/>
        <v>Bansud</v>
      </c>
      <c r="I681" s="42" t="str">
        <f t="shared" si="5"/>
        <v>Oriental Mindoro</v>
      </c>
      <c r="J681" s="42" t="str">
        <f t="array" ref="J681">XLOOKUP($E681,'Recipients REF'!$B:$B,'Recipients REF'!D:D,"",0)</f>
        <v>ROMEO R. YAP</v>
      </c>
      <c r="K681" s="42" t="str">
        <f t="array" ref="K681">XLOOKUP($E681,'Recipients REF'!$B:$B,'Recipients REF'!E:E,"",0)</f>
        <v>0920 540 2742</v>
      </c>
      <c r="L681" s="43" t="str">
        <f t="array" ref="L681">XLOOKUP($A681,'Recipients REF'!$A:$A,'Recipients REF'!F:F,"",0)</f>
        <v>RCEF 23-08-20 Rebidding</v>
      </c>
      <c r="M681" s="43">
        <f t="array" ref="M681">XLOOKUP($A681,'Recipients REF'!$A:$A,'Recipients REF'!G:G,"",0)</f>
        <v>1</v>
      </c>
      <c r="N681" s="43">
        <f t="array" ref="N681">XLOOKUP($A681,'Recipients REF'!$A:$A,'Recipients REF'!H:H,"",0)</f>
        <v>17388</v>
      </c>
      <c r="O681" s="44" t="s">
        <v>25</v>
      </c>
      <c r="P681" s="45" t="s">
        <v>26</v>
      </c>
      <c r="Q681" s="46" t="str">
        <f t="array" ref="Q681">XLOOKUP($A681,'Recipients REF'!$A:$A,'Recipients REF'!I:I,"",0)</f>
        <v>KMC 5825 ACPFPV0020</v>
      </c>
      <c r="R681" s="47" t="str">
        <f t="array" ref="R681">XLOOKUP($A681,'Recipients REF'!$A:$A,'Recipients REF'!J:J,"",0)</f>
        <v>PTS100036</v>
      </c>
      <c r="S681" s="45" t="s">
        <v>27</v>
      </c>
      <c r="T681" s="45" t="s">
        <v>28</v>
      </c>
      <c r="U681" s="46" t="str">
        <f t="array" ref="U681">XLOOKUP($A681,'Recipients REF'!$A:$A,'Recipients REF'!K:K,"",0)</f>
        <v>R-SERIES 012 PH</v>
      </c>
      <c r="V681" s="44" t="s">
        <v>29</v>
      </c>
      <c r="W681" s="45" t="s">
        <v>30</v>
      </c>
      <c r="X681" s="47" t="str">
        <f t="array" ref="X681">XLOOKUP($A681,'Recipients REF'!$A:$A,'Recipients REF'!L:L,"",0)</f>
        <v>LSGW1750-RMP-2312013</v>
      </c>
      <c r="Y681" s="48" t="s">
        <v>29</v>
      </c>
      <c r="Z681" s="48" t="s">
        <v>31</v>
      </c>
      <c r="AA681" s="46" t="str">
        <f t="array" ref="AA681">XLOOKUP($A681,'Recipients REF'!$A:$A,'Recipients REF'!M:M,"",0)</f>
        <v>WDP40-RMP-2312049</v>
      </c>
      <c r="AB681" s="49"/>
      <c r="AC681" s="42"/>
      <c r="AD681" s="42"/>
      <c r="AE681" s="50"/>
      <c r="AF681" s="42"/>
      <c r="AG681" s="42"/>
      <c r="AH681" s="42"/>
      <c r="AI681" s="42">
        <f t="array" ref="AI681">XLOOKUP($E681,Sheet11!$D:$D,Sheet11!$X:$X,"",0)</f>
        <v>869066060236883</v>
      </c>
      <c r="AJ681" s="42">
        <f t="array" ref="AJ681">XLOOKUP($E681,Sheet11!$D:$D,Sheet11!$Y:$Y,"",0)</f>
        <v>9690433762</v>
      </c>
    </row>
    <row r="682">
      <c r="A682" s="41">
        <v>29.0</v>
      </c>
      <c r="B682" s="42" t="s">
        <v>1328</v>
      </c>
      <c r="C682" s="42" t="s">
        <v>1329</v>
      </c>
      <c r="D682" s="42"/>
      <c r="E682" s="42" t="str">
        <f t="shared" ref="E682:F682" si="683">PROPER(B682)</f>
        <v>A. Bonifacio Farmers Association</v>
      </c>
      <c r="F682" s="42" t="str">
        <f t="shared" si="683"/>
        <v>A. Bonifacio, Gloria, Oriental Mindoro</v>
      </c>
      <c r="G682" s="42" t="str">
        <f t="shared" si="3"/>
        <v>A. Bonifacio</v>
      </c>
      <c r="H682" s="42" t="str">
        <f t="shared" si="4"/>
        <v>Gloria</v>
      </c>
      <c r="I682" s="42" t="str">
        <f t="shared" si="5"/>
        <v>Oriental Mindoro</v>
      </c>
      <c r="J682" s="42" t="str">
        <f t="array" ref="J682">XLOOKUP($E682,'Recipients REF'!$B:$B,'Recipients REF'!D:D,"",0)</f>
        <v>GILBERT R. MALANOG</v>
      </c>
      <c r="K682" s="42" t="str">
        <f t="array" ref="K682">XLOOKUP($E682,'Recipients REF'!$B:$B,'Recipients REF'!E:E,"",0)</f>
        <v>0912 838 9639</v>
      </c>
      <c r="L682" s="43" t="str">
        <f t="array" ref="L682">XLOOKUP($A682,'Recipients REF'!$A:$A,'Recipients REF'!F:F,"",0)</f>
        <v>RCEF 23-08-20 Rebidding</v>
      </c>
      <c r="M682" s="43">
        <f t="array" ref="M682">XLOOKUP($A682,'Recipients REF'!$A:$A,'Recipients REF'!G:G,"",0)</f>
        <v>1</v>
      </c>
      <c r="N682" s="43">
        <f t="array" ref="N682">XLOOKUP($A682,'Recipients REF'!$A:$A,'Recipients REF'!H:H,"",0)</f>
        <v>17389</v>
      </c>
      <c r="O682" s="44" t="s">
        <v>25</v>
      </c>
      <c r="P682" s="45" t="s">
        <v>26</v>
      </c>
      <c r="Q682" s="46" t="str">
        <f t="array" ref="Q682">XLOOKUP($A682,'Recipients REF'!$A:$A,'Recipients REF'!I:I,"",0)</f>
        <v>KMC 5825 ACPFPV0079</v>
      </c>
      <c r="R682" s="47" t="str">
        <f t="array" ref="R682">XLOOKUP($A682,'Recipients REF'!$A:$A,'Recipients REF'!J:J,"",0)</f>
        <v>PTS100081</v>
      </c>
      <c r="S682" s="45" t="s">
        <v>27</v>
      </c>
      <c r="T682" s="45" t="s">
        <v>28</v>
      </c>
      <c r="U682" s="46" t="str">
        <f t="array" ref="U682">XLOOKUP($A682,'Recipients REF'!$A:$A,'Recipients REF'!K:K,"",0)</f>
        <v>R-SERIES 020 PH</v>
      </c>
      <c r="V682" s="44" t="s">
        <v>29</v>
      </c>
      <c r="W682" s="45" t="s">
        <v>30</v>
      </c>
      <c r="X682" s="47" t="str">
        <f t="array" ref="X682">XLOOKUP($A682,'Recipients REF'!$A:$A,'Recipients REF'!L:L,"",0)</f>
        <v>LSGW1750-RMP-2312001</v>
      </c>
      <c r="Y682" s="48" t="s">
        <v>29</v>
      </c>
      <c r="Z682" s="48" t="s">
        <v>31</v>
      </c>
      <c r="AA682" s="46" t="str">
        <f t="array" ref="AA682">XLOOKUP($A682,'Recipients REF'!$A:$A,'Recipients REF'!M:M,"",0)</f>
        <v>WDP40-RMP-2312065</v>
      </c>
      <c r="AB682" s="49"/>
      <c r="AC682" s="42"/>
      <c r="AD682" s="42"/>
      <c r="AE682" s="50"/>
      <c r="AF682" s="42"/>
      <c r="AG682" s="42"/>
      <c r="AH682" s="42"/>
      <c r="AI682" s="42">
        <f t="array" ref="AI682">XLOOKUP($E682,Sheet11!$D:$D,Sheet11!$X:$X,"",0)</f>
        <v>869066060242501</v>
      </c>
      <c r="AJ682" s="42">
        <f t="array" ref="AJ682">XLOOKUP($E682,Sheet11!$D:$D,Sheet11!$Y:$Y,"",0)</f>
        <v>9691070856</v>
      </c>
    </row>
    <row r="683">
      <c r="A683" s="41">
        <v>30.0</v>
      </c>
      <c r="B683" s="42" t="s">
        <v>1330</v>
      </c>
      <c r="C683" s="42" t="s">
        <v>1331</v>
      </c>
      <c r="D683" s="42"/>
      <c r="E683" s="42" t="str">
        <f t="shared" ref="E683:F683" si="684">PROPER(B683)</f>
        <v>Barangay Nabuslot Pinamalayan Farmers Association Inc.</v>
      </c>
      <c r="F683" s="42" t="str">
        <f t="shared" si="684"/>
        <v>Nabuslot, Pinamalayan, Oriental Mindoro</v>
      </c>
      <c r="G683" s="42" t="str">
        <f t="shared" si="3"/>
        <v>Nabuslot</v>
      </c>
      <c r="H683" s="42" t="str">
        <f t="shared" si="4"/>
        <v>Pinamalayan</v>
      </c>
      <c r="I683" s="42" t="str">
        <f t="shared" si="5"/>
        <v>Oriental Mindoro</v>
      </c>
      <c r="J683" s="42" t="str">
        <f t="array" ref="J683">XLOOKUP($E683,'Recipients REF'!$B:$B,'Recipients REF'!D:D,"",0)</f>
        <v>NICANOR J. LUMALANG</v>
      </c>
      <c r="K683" s="42" t="str">
        <f t="array" ref="K683">XLOOKUP($E683,'Recipients REF'!$B:$B,'Recipients REF'!E:E,"",0)</f>
        <v>0917 563 3431</v>
      </c>
      <c r="L683" s="43" t="str">
        <f t="array" ref="L683">XLOOKUP($A683,'Recipients REF'!$A:$A,'Recipients REF'!F:F,"",0)</f>
        <v>RCEF 23-08-20 Rebidding</v>
      </c>
      <c r="M683" s="43">
        <f t="array" ref="M683">XLOOKUP($A683,'Recipients REF'!$A:$A,'Recipients REF'!G:G,"",0)</f>
        <v>1</v>
      </c>
      <c r="N683" s="43">
        <f t="array" ref="N683">XLOOKUP($A683,'Recipients REF'!$A:$A,'Recipients REF'!H:H,"",0)</f>
        <v>17390</v>
      </c>
      <c r="O683" s="44" t="s">
        <v>25</v>
      </c>
      <c r="P683" s="45" t="s">
        <v>26</v>
      </c>
      <c r="Q683" s="46" t="str">
        <f t="array" ref="Q683">XLOOKUP($A683,'Recipients REF'!$A:$A,'Recipients REF'!I:I,"",0)</f>
        <v>KMC 5825 AHPFPV0024</v>
      </c>
      <c r="R683" s="47" t="str">
        <f t="array" ref="R683">XLOOKUP($A683,'Recipients REF'!$A:$A,'Recipients REF'!J:J,"",0)</f>
        <v>PTS100035</v>
      </c>
      <c r="S683" s="45" t="s">
        <v>27</v>
      </c>
      <c r="T683" s="45" t="s">
        <v>28</v>
      </c>
      <c r="U683" s="46" t="str">
        <f t="array" ref="U683">XLOOKUP($A683,'Recipients REF'!$A:$A,'Recipients REF'!K:K,"",0)</f>
        <v>R-SERIES 017 PH</v>
      </c>
      <c r="V683" s="44" t="s">
        <v>29</v>
      </c>
      <c r="W683" s="45" t="s">
        <v>30</v>
      </c>
      <c r="X683" s="47" t="str">
        <f t="array" ref="X683">XLOOKUP($A683,'Recipients REF'!$A:$A,'Recipients REF'!L:L,"",0)</f>
        <v>LSGW1750-RMP-2312026</v>
      </c>
      <c r="Y683" s="48" t="s">
        <v>29</v>
      </c>
      <c r="Z683" s="48" t="s">
        <v>31</v>
      </c>
      <c r="AA683" s="46" t="str">
        <f t="array" ref="AA683">XLOOKUP($A683,'Recipients REF'!$A:$A,'Recipients REF'!M:M,"",0)</f>
        <v>WDP40-RMP-2312061</v>
      </c>
      <c r="AB683" s="49"/>
      <c r="AC683" s="42"/>
      <c r="AD683" s="42"/>
      <c r="AE683" s="50"/>
      <c r="AF683" s="42"/>
      <c r="AG683" s="42"/>
      <c r="AH683" s="42"/>
      <c r="AI683" s="42">
        <f t="array" ref="AI683">XLOOKUP($E683,Sheet11!$D:$D,Sheet11!$X:$X,"",0)</f>
        <v>869066060244457</v>
      </c>
      <c r="AJ683" s="42">
        <f t="array" ref="AJ683">XLOOKUP($E683,Sheet11!$D:$D,Sheet11!$Y:$Y,"",0)</f>
        <v>9690236146</v>
      </c>
    </row>
    <row r="684">
      <c r="A684" s="41">
        <v>31.0</v>
      </c>
      <c r="B684" s="42" t="s">
        <v>1332</v>
      </c>
      <c r="C684" s="42" t="s">
        <v>1333</v>
      </c>
      <c r="D684" s="42"/>
      <c r="E684" s="42" t="str">
        <f t="shared" ref="E684:F684" si="685">PROPER(B684)</f>
        <v>Cantil Farmers Association</v>
      </c>
      <c r="F684" s="42" t="str">
        <f t="shared" si="685"/>
        <v>Cantil, Roxas, Oriental Mindoro</v>
      </c>
      <c r="G684" s="42" t="str">
        <f t="shared" si="3"/>
        <v>Cantil</v>
      </c>
      <c r="H684" s="42" t="str">
        <f t="shared" si="4"/>
        <v>Roxas</v>
      </c>
      <c r="I684" s="42" t="str">
        <f t="shared" si="5"/>
        <v>Oriental Mindoro</v>
      </c>
      <c r="J684" s="42" t="str">
        <f t="array" ref="J684">XLOOKUP($E684,'Recipients REF'!$B:$B,'Recipients REF'!D:D,"",0)</f>
        <v>ANGELO S. ANDRES</v>
      </c>
      <c r="K684" s="42" t="str">
        <f t="array" ref="K684">XLOOKUP($E684,'Recipients REF'!$B:$B,'Recipients REF'!E:E,"",0)</f>
        <v>0938 348 2989</v>
      </c>
      <c r="L684" s="43" t="str">
        <f t="array" ref="L684">XLOOKUP($A684,'Recipients REF'!$A:$A,'Recipients REF'!F:F,"",0)</f>
        <v>RCEF 23-08-20 Rebidding</v>
      </c>
      <c r="M684" s="43">
        <f t="array" ref="M684">XLOOKUP($A684,'Recipients REF'!$A:$A,'Recipients REF'!G:G,"",0)</f>
        <v>1</v>
      </c>
      <c r="N684" s="43">
        <f t="array" ref="N684">XLOOKUP($A684,'Recipients REF'!$A:$A,'Recipients REF'!H:H,"",0)</f>
        <v>17391</v>
      </c>
      <c r="O684" s="44" t="s">
        <v>25</v>
      </c>
      <c r="P684" s="45" t="s">
        <v>26</v>
      </c>
      <c r="Q684" s="46" t="str">
        <f t="array" ref="Q684">XLOOKUP($A684,'Recipients REF'!$A:$A,'Recipients REF'!I:I,"",0)</f>
        <v>KMC 5825 AAPFPV0022</v>
      </c>
      <c r="R684" s="47" t="str">
        <f t="array" ref="R684">XLOOKUP($A684,'Recipients REF'!$A:$A,'Recipients REF'!J:J,"",0)</f>
        <v>PTS100026</v>
      </c>
      <c r="S684" s="45" t="s">
        <v>27</v>
      </c>
      <c r="T684" s="45" t="s">
        <v>28</v>
      </c>
      <c r="U684" s="46" t="str">
        <f t="array" ref="U684">XLOOKUP($A684,'Recipients REF'!$A:$A,'Recipients REF'!K:K,"",0)</f>
        <v>R-SERIES 024 PH</v>
      </c>
      <c r="V684" s="44" t="s">
        <v>29</v>
      </c>
      <c r="W684" s="45" t="s">
        <v>30</v>
      </c>
      <c r="X684" s="47" t="str">
        <f t="array" ref="X684">XLOOKUP($A684,'Recipients REF'!$A:$A,'Recipients REF'!L:L,"",0)</f>
        <v>LSGW1750-RMP-2312025</v>
      </c>
      <c r="Y684" s="48" t="s">
        <v>29</v>
      </c>
      <c r="Z684" s="48" t="s">
        <v>31</v>
      </c>
      <c r="AA684" s="46" t="str">
        <f t="array" ref="AA684">XLOOKUP($A684,'Recipients REF'!$A:$A,'Recipients REF'!M:M,"",0)</f>
        <v>WDP40-RMP-2312066</v>
      </c>
      <c r="AB684" s="49"/>
      <c r="AC684" s="42"/>
      <c r="AD684" s="42"/>
      <c r="AE684" s="51"/>
      <c r="AF684" s="52"/>
      <c r="AG684" s="42"/>
      <c r="AH684" s="42"/>
      <c r="AI684" s="42">
        <f t="array" ref="AI684">XLOOKUP($E684,Sheet11!$D:$D,Sheet11!$X:$X,"",0)</f>
        <v>869066060242022</v>
      </c>
      <c r="AJ684" s="42">
        <f t="array" ref="AJ684">XLOOKUP($E684,Sheet11!$D:$D,Sheet11!$Y:$Y,"",0)</f>
        <v>9690374163</v>
      </c>
    </row>
    <row r="685">
      <c r="A685" s="41">
        <v>32.0</v>
      </c>
      <c r="B685" s="42" t="s">
        <v>1334</v>
      </c>
      <c r="C685" s="42" t="s">
        <v>1335</v>
      </c>
      <c r="D685" s="42"/>
      <c r="E685" s="42" t="str">
        <f t="shared" ref="E685:F685" si="686">PROPER(B685)</f>
        <v>Bagumbayan Roxas Oriental Mindoro Farmers Association</v>
      </c>
      <c r="F685" s="42" t="str">
        <f t="shared" si="686"/>
        <v>Bagumbayan, Roxas, Oriental Mindoro</v>
      </c>
      <c r="G685" s="42" t="str">
        <f t="shared" si="3"/>
        <v>Bagumbayan</v>
      </c>
      <c r="H685" s="42" t="str">
        <f t="shared" si="4"/>
        <v>Roxas</v>
      </c>
      <c r="I685" s="42" t="str">
        <f t="shared" si="5"/>
        <v>Oriental Mindoro</v>
      </c>
      <c r="J685" s="42" t="str">
        <f t="array" ref="J685">XLOOKUP($E685,'Recipients REF'!$B:$B,'Recipients REF'!D:D,"",0)</f>
        <v>GIOVANI A. GAA</v>
      </c>
      <c r="K685" s="42" t="str">
        <f t="array" ref="K685">XLOOKUP($E685,'Recipients REF'!$B:$B,'Recipients REF'!E:E,"",0)</f>
        <v>0930 479 0163</v>
      </c>
      <c r="L685" s="43" t="str">
        <f t="array" ref="L685">XLOOKUP($A685,'Recipients REF'!$A:$A,'Recipients REF'!F:F,"",0)</f>
        <v>RCEF 23-08-20 Rebidding</v>
      </c>
      <c r="M685" s="43">
        <f t="array" ref="M685">XLOOKUP($A685,'Recipients REF'!$A:$A,'Recipients REF'!G:G,"",0)</f>
        <v>1</v>
      </c>
      <c r="N685" s="43">
        <f t="array" ref="N685">XLOOKUP($A685,'Recipients REF'!$A:$A,'Recipients REF'!H:H,"",0)</f>
        <v>17392</v>
      </c>
      <c r="O685" s="44" t="s">
        <v>25</v>
      </c>
      <c r="P685" s="45" t="s">
        <v>26</v>
      </c>
      <c r="Q685" s="46" t="str">
        <f t="array" ref="Q685">XLOOKUP($A685,'Recipients REF'!$A:$A,'Recipients REF'!I:I,"",0)</f>
        <v>KMC 5825 ACPFPV0017</v>
      </c>
      <c r="R685" s="47" t="str">
        <f t="array" ref="R685">XLOOKUP($A685,'Recipients REF'!$A:$A,'Recipients REF'!J:J,"",0)</f>
        <v>PTS100032</v>
      </c>
      <c r="S685" s="45" t="s">
        <v>27</v>
      </c>
      <c r="T685" s="45" t="s">
        <v>28</v>
      </c>
      <c r="U685" s="46" t="str">
        <f t="array" ref="U685">XLOOKUP($A685,'Recipients REF'!$A:$A,'Recipients REF'!K:K,"",0)</f>
        <v>R-SERIES 001 PH</v>
      </c>
      <c r="V685" s="44" t="s">
        <v>29</v>
      </c>
      <c r="W685" s="45" t="s">
        <v>30</v>
      </c>
      <c r="X685" s="47" t="str">
        <f t="array" ref="X685">XLOOKUP($A685,'Recipients REF'!$A:$A,'Recipients REF'!L:L,"",0)</f>
        <v>LSGW1750-RMP-2312015</v>
      </c>
      <c r="Y685" s="48" t="s">
        <v>29</v>
      </c>
      <c r="Z685" s="48" t="s">
        <v>31</v>
      </c>
      <c r="AA685" s="46" t="str">
        <f t="array" ref="AA685">XLOOKUP($A685,'Recipients REF'!$A:$A,'Recipients REF'!M:M,"",0)</f>
        <v>WDP40-RMP-2312059</v>
      </c>
      <c r="AB685" s="49"/>
      <c r="AC685" s="42"/>
      <c r="AD685" s="42"/>
      <c r="AE685" s="50"/>
      <c r="AF685" s="42"/>
      <c r="AG685" s="42"/>
      <c r="AH685" s="42"/>
      <c r="AI685" s="42">
        <f t="array" ref="AI685">XLOOKUP($E685,Sheet11!$D:$D,Sheet11!$X:$X,"",0)</f>
        <v>869066060239432</v>
      </c>
      <c r="AJ685" s="42">
        <f t="array" ref="AJ685">XLOOKUP($E685,Sheet11!$D:$D,Sheet11!$Y:$Y,"",0)</f>
        <v>9690374160</v>
      </c>
    </row>
    <row r="686">
      <c r="A686" s="41">
        <v>63.0</v>
      </c>
      <c r="B686" s="42" t="s">
        <v>1336</v>
      </c>
      <c r="C686" s="42" t="s">
        <v>1337</v>
      </c>
      <c r="D686" s="42"/>
      <c r="E686" s="42" t="str">
        <f t="shared" ref="E686:F686" si="687">PROPER(B686)</f>
        <v>Alliance Of Farmers Association Of Orconuma (Afao)</v>
      </c>
      <c r="F686" s="42" t="str">
        <f t="shared" si="687"/>
        <v>Orconuma, Bongabong, Oriental Mindoro</v>
      </c>
      <c r="G686" s="42" t="str">
        <f t="shared" si="3"/>
        <v>Orconuma</v>
      </c>
      <c r="H686" s="42" t="str">
        <f t="shared" si="4"/>
        <v>Bongabong</v>
      </c>
      <c r="I686" s="42" t="str">
        <f t="shared" si="5"/>
        <v>Oriental Mindoro</v>
      </c>
      <c r="J686" s="42" t="str">
        <f t="array" ref="J686">XLOOKUP($E686,'Recipients REF'!$B:$B,'Recipients REF'!D:D,"",0)</f>
        <v>MAJELINE F. ARENILLO</v>
      </c>
      <c r="K686" s="42" t="str">
        <f t="array" ref="K686">XLOOKUP($E686,'Recipients REF'!$B:$B,'Recipients REF'!E:E,"",0)</f>
        <v>0905 141 0014</v>
      </c>
      <c r="L686" s="43" t="str">
        <f t="array" ref="L686">XLOOKUP($A686,'Recipients REF'!$A:$A,'Recipients REF'!F:F,"",0)</f>
        <v>RCEF 23-08-20 Rebidding</v>
      </c>
      <c r="M686" s="43">
        <f t="array" ref="M686">XLOOKUP($A686,'Recipients REF'!$A:$A,'Recipients REF'!G:G,"",0)</f>
        <v>1</v>
      </c>
      <c r="N686" s="43">
        <f t="array" ref="N686">XLOOKUP($A686,'Recipients REF'!$A:$A,'Recipients REF'!H:H,"",0)</f>
        <v>17779</v>
      </c>
      <c r="O686" s="44" t="s">
        <v>25</v>
      </c>
      <c r="P686" s="45" t="s">
        <v>26</v>
      </c>
      <c r="Q686" s="46" t="str">
        <f t="array" ref="Q686">XLOOKUP($A686,'Recipients REF'!$A:$A,'Recipients REF'!I:I,"",0)</f>
        <v>KMC 5825 APPFPV0093</v>
      </c>
      <c r="R686" s="47" t="str">
        <f t="array" ref="R686">XLOOKUP($A686,'Recipients REF'!$A:$A,'Recipients REF'!J:J,"",0)</f>
        <v>PTS100080</v>
      </c>
      <c r="S686" s="45" t="s">
        <v>27</v>
      </c>
      <c r="T686" s="45" t="s">
        <v>28</v>
      </c>
      <c r="U686" s="46" t="str">
        <f t="array" ref="U686">XLOOKUP($A686,'Recipients REF'!$A:$A,'Recipients REF'!K:K,"",0)</f>
        <v>R-SERIES 087 PH</v>
      </c>
      <c r="V686" s="44" t="s">
        <v>29</v>
      </c>
      <c r="W686" s="45" t="s">
        <v>30</v>
      </c>
      <c r="X686" s="47" t="str">
        <f t="array" ref="X686">XLOOKUP($A686,'Recipients REF'!$A:$A,'Recipients REF'!L:L,"",0)</f>
        <v>LSGW1750-RMP-2312126</v>
      </c>
      <c r="Y686" s="48" t="s">
        <v>29</v>
      </c>
      <c r="Z686" s="48" t="s">
        <v>31</v>
      </c>
      <c r="AA686" s="46" t="str">
        <f t="array" ref="AA686">XLOOKUP($A686,'Recipients REF'!$A:$A,'Recipients REF'!M:M,"",0)</f>
        <v>WDP40-RMP-2312032</v>
      </c>
      <c r="AB686" s="49"/>
      <c r="AC686" s="42"/>
      <c r="AD686" s="42"/>
      <c r="AE686" s="50"/>
      <c r="AF686" s="42"/>
      <c r="AG686" s="42"/>
      <c r="AH686" s="42"/>
      <c r="AI686" s="42">
        <f t="array" ref="AI686">XLOOKUP($E686,Sheet11!$D:$D,Sheet11!$X:$X,"",0)</f>
        <v>869066060241073</v>
      </c>
      <c r="AJ686" s="42">
        <f t="array" ref="AJ686">XLOOKUP($E686,Sheet11!$D:$D,Sheet11!$Y:$Y,"",0)</f>
        <v>9691452243</v>
      </c>
    </row>
    <row r="687">
      <c r="A687" s="41">
        <v>64.0</v>
      </c>
      <c r="B687" s="42" t="s">
        <v>1338</v>
      </c>
      <c r="C687" s="42" t="s">
        <v>1339</v>
      </c>
      <c r="D687" s="42"/>
      <c r="E687" s="42" t="str">
        <f t="shared" ref="E687:F687" si="688">PROPER(B687)</f>
        <v>Nagkakaisang Samahan Ng Magpapatubig Ng Cambunang, Inc.</v>
      </c>
      <c r="F687" s="42" t="str">
        <f t="shared" si="688"/>
        <v>Cambunang, Bulalacao, Oriental Mindoro</v>
      </c>
      <c r="G687" s="42" t="str">
        <f t="shared" si="3"/>
        <v>Cambunang</v>
      </c>
      <c r="H687" s="42" t="str">
        <f t="shared" si="4"/>
        <v>Bulalacao</v>
      </c>
      <c r="I687" s="42" t="str">
        <f t="shared" si="5"/>
        <v>Oriental Mindoro</v>
      </c>
      <c r="J687" s="42" t="str">
        <f t="array" ref="J687">XLOOKUP($E687,'Recipients REF'!$B:$B,'Recipients REF'!D:D,"",0)</f>
        <v>RICHARD D. FABILA</v>
      </c>
      <c r="K687" s="42" t="str">
        <f t="array" ref="K687">XLOOKUP($E687,'Recipients REF'!$B:$B,'Recipients REF'!E:E,"",0)</f>
        <v>0948 028 7733</v>
      </c>
      <c r="L687" s="43" t="str">
        <f t="array" ref="L687">XLOOKUP($A687,'Recipients REF'!$A:$A,'Recipients REF'!F:F,"",0)</f>
        <v>RCEF 23-08-20 Rebidding</v>
      </c>
      <c r="M687" s="43">
        <f t="array" ref="M687">XLOOKUP($A687,'Recipients REF'!$A:$A,'Recipients REF'!G:G,"",0)</f>
        <v>1</v>
      </c>
      <c r="N687" s="43">
        <f t="array" ref="N687">XLOOKUP($A687,'Recipients REF'!$A:$A,'Recipients REF'!H:H,"",0)</f>
        <v>17780</v>
      </c>
      <c r="O687" s="44" t="s">
        <v>25</v>
      </c>
      <c r="P687" s="45" t="s">
        <v>26</v>
      </c>
      <c r="Q687" s="46" t="str">
        <f t="array" ref="Q687">XLOOKUP($A687,'Recipients REF'!$A:$A,'Recipients REF'!I:I,"",0)</f>
        <v>KMC5825APPFPV0092</v>
      </c>
      <c r="R687" s="47" t="str">
        <f t="array" ref="R687">XLOOKUP($A687,'Recipients REF'!$A:$A,'Recipients REF'!J:J,"",0)</f>
        <v>PTS100120</v>
      </c>
      <c r="S687" s="45" t="s">
        <v>27</v>
      </c>
      <c r="T687" s="45" t="s">
        <v>28</v>
      </c>
      <c r="U687" s="46" t="str">
        <f t="array" ref="U687">XLOOKUP($A687,'Recipients REF'!$A:$A,'Recipients REF'!K:K,"",0)</f>
        <v>R-SERIES 106 PH</v>
      </c>
      <c r="V687" s="44" t="s">
        <v>29</v>
      </c>
      <c r="W687" s="45" t="s">
        <v>30</v>
      </c>
      <c r="X687" s="47" t="str">
        <f t="array" ref="X687">XLOOKUP($A687,'Recipients REF'!$A:$A,'Recipients REF'!L:L,"",0)</f>
        <v>LSGW1750-RMP-2312121</v>
      </c>
      <c r="Y687" s="48" t="s">
        <v>29</v>
      </c>
      <c r="Z687" s="48" t="s">
        <v>31</v>
      </c>
      <c r="AA687" s="46" t="str">
        <f t="array" ref="AA687">XLOOKUP($A687,'Recipients REF'!$A:$A,'Recipients REF'!M:M,"",0)</f>
        <v>WDP40-RMP-2312001</v>
      </c>
      <c r="AB687" s="49"/>
      <c r="AC687" s="42"/>
      <c r="AD687" s="42"/>
      <c r="AE687" s="51"/>
      <c r="AF687" s="52"/>
      <c r="AG687" s="42"/>
      <c r="AH687" s="42"/>
      <c r="AI687" s="42">
        <f t="array" ref="AI687">XLOOKUP($E687,Sheet11!$D:$D,Sheet11!$X:$X,"",0)</f>
        <v>869066060242691</v>
      </c>
      <c r="AJ687" s="42">
        <f t="array" ref="AJ687">XLOOKUP($E687,Sheet11!$D:$D,Sheet11!$Y:$Y,"",0)</f>
        <v>9691319054</v>
      </c>
    </row>
    <row r="688">
      <c r="A688" s="41">
        <v>65.0</v>
      </c>
      <c r="B688" s="42" t="s">
        <v>1340</v>
      </c>
      <c r="C688" s="42" t="s">
        <v>1341</v>
      </c>
      <c r="D688" s="42"/>
      <c r="E688" s="42" t="str">
        <f t="shared" ref="E688:F688" si="689">PROPER(B688)</f>
        <v>Samahang Magpapatubig Ng Balugo Sta. Maria At Villa Celestial Inc.</v>
      </c>
      <c r="F688" s="42" t="str">
        <f t="shared" si="689"/>
        <v>Balugo, Mansalay, Oriental Mindoro</v>
      </c>
      <c r="G688" s="42" t="str">
        <f t="shared" si="3"/>
        <v>Balugo</v>
      </c>
      <c r="H688" s="42" t="str">
        <f t="shared" si="4"/>
        <v>Mansalay</v>
      </c>
      <c r="I688" s="42" t="str">
        <f t="shared" si="5"/>
        <v>Oriental Mindoro</v>
      </c>
      <c r="J688" s="42" t="str">
        <f t="array" ref="J688">XLOOKUP($E688,'Recipients REF'!$B:$B,'Recipients REF'!D:D,"",0)</f>
        <v>MARIVIC V. DIONISIO</v>
      </c>
      <c r="K688" s="42" t="str">
        <f t="array" ref="K688">XLOOKUP($E688,'Recipients REF'!$B:$B,'Recipients REF'!E:E,"",0)</f>
        <v>0975 658 0836</v>
      </c>
      <c r="L688" s="43" t="str">
        <f t="array" ref="L688">XLOOKUP($A688,'Recipients REF'!$A:$A,'Recipients REF'!F:F,"",0)</f>
        <v>RCEF 23-08-20 Rebidding</v>
      </c>
      <c r="M688" s="43">
        <f t="array" ref="M688">XLOOKUP($A688,'Recipients REF'!$A:$A,'Recipients REF'!G:G,"",0)</f>
        <v>1</v>
      </c>
      <c r="N688" s="43">
        <f t="array" ref="N688">XLOOKUP($A688,'Recipients REF'!$A:$A,'Recipients REF'!H:H,"",0)</f>
        <v>17781</v>
      </c>
      <c r="O688" s="44" t="s">
        <v>25</v>
      </c>
      <c r="P688" s="45" t="s">
        <v>26</v>
      </c>
      <c r="Q688" s="46" t="str">
        <f t="array" ref="Q688">XLOOKUP($A688,'Recipients REF'!$A:$A,'Recipients REF'!I:I,"",0)</f>
        <v>KMC 5825 AJPFPV0159</v>
      </c>
      <c r="R688" s="47" t="str">
        <f t="array" ref="R688">XLOOKUP($A688,'Recipients REF'!$A:$A,'Recipients REF'!J:J,"",0)</f>
        <v>PTS100136</v>
      </c>
      <c r="S688" s="45" t="s">
        <v>27</v>
      </c>
      <c r="T688" s="45" t="s">
        <v>28</v>
      </c>
      <c r="U688" s="46" t="str">
        <f t="array" ref="U688">XLOOKUP($A688,'Recipients REF'!$A:$A,'Recipients REF'!K:K,"",0)</f>
        <v>R-SERIES 095 PH</v>
      </c>
      <c r="V688" s="44" t="s">
        <v>29</v>
      </c>
      <c r="W688" s="45" t="s">
        <v>30</v>
      </c>
      <c r="X688" s="47" t="str">
        <f t="array" ref="X688">XLOOKUP($A688,'Recipients REF'!$A:$A,'Recipients REF'!L:L,"",0)</f>
        <v>LSGW1750-RMP-2312095</v>
      </c>
      <c r="Y688" s="48" t="s">
        <v>29</v>
      </c>
      <c r="Z688" s="48" t="s">
        <v>31</v>
      </c>
      <c r="AA688" s="46" t="str">
        <f t="array" ref="AA688">XLOOKUP($A688,'Recipients REF'!$A:$A,'Recipients REF'!M:M,"",0)</f>
        <v>WDP40-RMP-2312002</v>
      </c>
      <c r="AB688" s="49"/>
      <c r="AC688" s="42"/>
      <c r="AD688" s="42"/>
      <c r="AE688" s="50"/>
      <c r="AF688" s="42"/>
      <c r="AG688" s="42"/>
      <c r="AH688" s="42"/>
      <c r="AI688" s="42">
        <f t="array" ref="AI688">XLOOKUP($E688,Sheet11!$D:$D,Sheet11!$X:$X,"",0)</f>
        <v>869066060240463</v>
      </c>
      <c r="AJ688" s="42">
        <f t="array" ref="AJ688">XLOOKUP($E688,Sheet11!$D:$D,Sheet11!$Y:$Y,"",0)</f>
        <v>9692356523</v>
      </c>
    </row>
    <row r="689">
      <c r="A689" s="41">
        <v>537.0</v>
      </c>
      <c r="B689" s="42" t="s">
        <v>1342</v>
      </c>
      <c r="C689" s="42" t="s">
        <v>1343</v>
      </c>
      <c r="D689" s="42"/>
      <c r="E689" s="42" t="str">
        <f t="shared" ref="E689:F689" si="690">PROPER(B689)</f>
        <v>Centro Dulangan 2 Farmers Association</v>
      </c>
      <c r="F689" s="42" t="str">
        <f t="shared" si="690"/>
        <v>Dulangan Ii, Baco, Oriental Mindoro</v>
      </c>
      <c r="G689" s="42" t="str">
        <f t="shared" si="3"/>
        <v>Dulangan Ii</v>
      </c>
      <c r="H689" s="42" t="str">
        <f t="shared" si="4"/>
        <v>Baco</v>
      </c>
      <c r="I689" s="42" t="str">
        <f t="shared" si="5"/>
        <v>Oriental Mindoro</v>
      </c>
      <c r="J689" s="42" t="str">
        <f t="array" ref="J689">XLOOKUP($E689,'Recipients REF'!$B:$B,'Recipients REF'!D:D,"",0)</f>
        <v>Generoso H. Ebora</v>
      </c>
      <c r="K689" s="42" t="str">
        <f t="array" ref="K689">XLOOKUP($E689,'Recipients REF'!$B:$B,'Recipients REF'!E:E,"",0)</f>
        <v>0906 927 0571</v>
      </c>
      <c r="L689" s="43" t="str">
        <f t="array" ref="L689">XLOOKUP($A689,'Recipients REF'!$A:$A,'Recipients REF'!F:F,"",0)</f>
        <v>RCEF 24-04-15</v>
      </c>
      <c r="M689" s="43">
        <f t="array" ref="M689">XLOOKUP($A689,'Recipients REF'!$A:$A,'Recipients REF'!G:G,"",0)</f>
        <v>7</v>
      </c>
      <c r="N689" s="43">
        <f t="array" ref="N689">XLOOKUP($A689,'Recipients REF'!$A:$A,'Recipients REF'!H:H,"",0)</f>
        <v>20011</v>
      </c>
      <c r="O689" s="44" t="s">
        <v>25</v>
      </c>
      <c r="P689" s="45" t="s">
        <v>26</v>
      </c>
      <c r="Q689" s="46" t="str">
        <f t="array" ref="Q689">XLOOKUP($A689,'Recipients REF'!$A:$A,'Recipients REF'!I:I,"",0)</f>
        <v>KMC5825AARFPV0864</v>
      </c>
      <c r="R689" s="47" t="str">
        <f t="array" ref="R689">XLOOKUP($A689,'Recipients REF'!$A:$A,'Recipients REF'!J:J,"",0)</f>
        <v>RTS100788</v>
      </c>
      <c r="S689" s="45" t="s">
        <v>27</v>
      </c>
      <c r="T689" s="45" t="s">
        <v>28</v>
      </c>
      <c r="U689" s="46" t="str">
        <f t="array" ref="U689">XLOOKUP($A689,'Recipients REF'!$A:$A,'Recipients REF'!K:K,"",0)</f>
        <v>LSGW170-RMP-24101074</v>
      </c>
      <c r="V689" s="44" t="s">
        <v>29</v>
      </c>
      <c r="W689" s="45" t="s">
        <v>30</v>
      </c>
      <c r="X689" s="47" t="str">
        <f t="array" ref="X689">XLOOKUP($A689,'Recipients REF'!$A:$A,'Recipients REF'!L:L,"",0)</f>
        <v>WDP40-RMP-25010125</v>
      </c>
      <c r="Y689" s="48" t="s">
        <v>29</v>
      </c>
      <c r="Z689" s="48" t="s">
        <v>31</v>
      </c>
      <c r="AA689" s="46" t="str">
        <f t="array" ref="AA689">XLOOKUP($A689,'Recipients REF'!$A:$A,'Recipients REF'!M:M,"",0)</f>
        <v>WR-SERIES-1076PH</v>
      </c>
      <c r="AB689" s="49"/>
      <c r="AC689" s="42"/>
      <c r="AD689" s="42"/>
      <c r="AE689" s="50"/>
      <c r="AF689" s="42"/>
      <c r="AG689" s="42"/>
      <c r="AH689" s="42"/>
      <c r="AI689" s="42" t="str">
        <f t="array" ref="AI689">XLOOKUP($E689,Sheet11!$D:$D,Sheet11!$X:$X,"",0)</f>
        <v/>
      </c>
      <c r="AJ689" s="42" t="str">
        <f t="array" ref="AJ689">XLOOKUP($E689,Sheet11!$D:$D,Sheet11!$Y:$Y,"",0)</f>
        <v/>
      </c>
    </row>
    <row r="690">
      <c r="A690" s="41">
        <v>538.0</v>
      </c>
      <c r="B690" s="42" t="s">
        <v>1344</v>
      </c>
      <c r="C690" s="42" t="s">
        <v>1345</v>
      </c>
      <c r="D690" s="42"/>
      <c r="E690" s="42" t="str">
        <f t="shared" ref="E690:F690" si="691">PROPER(B690)</f>
        <v>Katwiran 2 Farmers Association</v>
      </c>
      <c r="F690" s="42" t="str">
        <f t="shared" si="691"/>
        <v>Catwiran Ii, Baco, Oriental Mindoro</v>
      </c>
      <c r="G690" s="42" t="str">
        <f t="shared" si="3"/>
        <v>Catwiran Ii</v>
      </c>
      <c r="H690" s="42" t="str">
        <f t="shared" si="4"/>
        <v>Baco</v>
      </c>
      <c r="I690" s="42" t="str">
        <f t="shared" si="5"/>
        <v>Oriental Mindoro</v>
      </c>
      <c r="J690" s="42" t="str">
        <f t="array" ref="J690">XLOOKUP($E690,'Recipients REF'!$B:$B,'Recipients REF'!D:D,"",0)</f>
        <v>Crispulo H. Mutiangpili</v>
      </c>
      <c r="K690" s="42" t="str">
        <f t="array" ref="K690">XLOOKUP($E690,'Recipients REF'!$B:$B,'Recipients REF'!E:E,"",0)</f>
        <v>0920 202 2191</v>
      </c>
      <c r="L690" s="43" t="str">
        <f t="array" ref="L690">XLOOKUP($A690,'Recipients REF'!$A:$A,'Recipients REF'!F:F,"",0)</f>
        <v>RCEF 24-04-15</v>
      </c>
      <c r="M690" s="43">
        <f t="array" ref="M690">XLOOKUP($A690,'Recipients REF'!$A:$A,'Recipients REF'!G:G,"",0)</f>
        <v>7</v>
      </c>
      <c r="N690" s="43">
        <f t="array" ref="N690">XLOOKUP($A690,'Recipients REF'!$A:$A,'Recipients REF'!H:H,"",0)</f>
        <v>20012</v>
      </c>
      <c r="O690" s="44" t="s">
        <v>25</v>
      </c>
      <c r="P690" s="45" t="s">
        <v>26</v>
      </c>
      <c r="Q690" s="46" t="str">
        <f t="array" ref="Q690">XLOOKUP($A690,'Recipients REF'!$A:$A,'Recipients REF'!I:I,"",0)</f>
        <v>KMC5825AKRFPV0860</v>
      </c>
      <c r="R690" s="47" t="str">
        <f t="array" ref="R690">XLOOKUP($A690,'Recipients REF'!$A:$A,'Recipients REF'!J:J,"",0)</f>
        <v>RTS100743</v>
      </c>
      <c r="S690" s="45" t="s">
        <v>27</v>
      </c>
      <c r="T690" s="45" t="s">
        <v>28</v>
      </c>
      <c r="U690" s="46" t="str">
        <f t="array" ref="U690">XLOOKUP($A690,'Recipients REF'!$A:$A,'Recipients REF'!K:K,"",0)</f>
        <v>LSGW170-RMP-24101073</v>
      </c>
      <c r="V690" s="44" t="s">
        <v>29</v>
      </c>
      <c r="W690" s="45" t="s">
        <v>30</v>
      </c>
      <c r="X690" s="47" t="str">
        <f t="array" ref="X690">XLOOKUP($A690,'Recipients REF'!$A:$A,'Recipients REF'!L:L,"",0)</f>
        <v>WDP40-RMP-25010109</v>
      </c>
      <c r="Y690" s="48" t="s">
        <v>29</v>
      </c>
      <c r="Z690" s="48" t="s">
        <v>31</v>
      </c>
      <c r="AA690" s="46" t="str">
        <f t="array" ref="AA690">XLOOKUP($A690,'Recipients REF'!$A:$A,'Recipients REF'!M:M,"",0)</f>
        <v>WR-SERIES-1071PH</v>
      </c>
      <c r="AB690" s="49"/>
      <c r="AC690" s="42"/>
      <c r="AD690" s="42"/>
      <c r="AE690" s="50"/>
      <c r="AF690" s="42"/>
      <c r="AG690" s="42"/>
      <c r="AH690" s="42"/>
      <c r="AI690" s="42" t="str">
        <f t="array" ref="AI690">XLOOKUP($E690,Sheet11!$D:$D,Sheet11!$X:$X,"",0)</f>
        <v/>
      </c>
      <c r="AJ690" s="42" t="str">
        <f t="array" ref="AJ690">XLOOKUP($E690,Sheet11!$D:$D,Sheet11!$Y:$Y,"",0)</f>
        <v/>
      </c>
    </row>
    <row r="691">
      <c r="A691" s="41">
        <v>539.0</v>
      </c>
      <c r="B691" s="42" t="s">
        <v>1346</v>
      </c>
      <c r="C691" s="42" t="s">
        <v>1347</v>
      </c>
      <c r="D691" s="42"/>
      <c r="E691" s="42" t="str">
        <f t="shared" ref="E691:F691" si="692">PROPER(B691)</f>
        <v>Bayanan I Farmers Association</v>
      </c>
      <c r="F691" s="42" t="str">
        <f t="shared" si="692"/>
        <v>Bayanan I, Calapan City, Oriental Mindoro</v>
      </c>
      <c r="G691" s="42" t="str">
        <f t="shared" si="3"/>
        <v>Bayanan I</v>
      </c>
      <c r="H691" s="42" t="str">
        <f t="shared" si="4"/>
        <v>Calapan City</v>
      </c>
      <c r="I691" s="42" t="str">
        <f t="shared" si="5"/>
        <v>Oriental Mindoro</v>
      </c>
      <c r="J691" s="42" t="str">
        <f t="array" ref="J691">XLOOKUP($E691,'Recipients REF'!$B:$B,'Recipients REF'!D:D,"",0)</f>
        <v>Danilo S. Granil</v>
      </c>
      <c r="K691" s="42" t="str">
        <f t="array" ref="K691">XLOOKUP($E691,'Recipients REF'!$B:$B,'Recipients REF'!E:E,"",0)</f>
        <v>0946 087 6310</v>
      </c>
      <c r="L691" s="43" t="str">
        <f t="array" ref="L691">XLOOKUP($A691,'Recipients REF'!$A:$A,'Recipients REF'!F:F,"",0)</f>
        <v>RCEF 24-04-15</v>
      </c>
      <c r="M691" s="43">
        <f t="array" ref="M691">XLOOKUP($A691,'Recipients REF'!$A:$A,'Recipients REF'!G:G,"",0)</f>
        <v>7</v>
      </c>
      <c r="N691" s="43">
        <f t="array" ref="N691">XLOOKUP($A691,'Recipients REF'!$A:$A,'Recipients REF'!H:H,"",0)</f>
        <v>20013</v>
      </c>
      <c r="O691" s="44" t="s">
        <v>25</v>
      </c>
      <c r="P691" s="45" t="s">
        <v>26</v>
      </c>
      <c r="Q691" s="46" t="str">
        <f t="array" ref="Q691">XLOOKUP($A691,'Recipients REF'!$A:$A,'Recipients REF'!I:I,"",0)</f>
        <v>KMC5825AHRFPV0902</v>
      </c>
      <c r="R691" s="47" t="str">
        <f t="array" ref="R691">XLOOKUP($A691,'Recipients REF'!$A:$A,'Recipients REF'!J:J,"",0)</f>
        <v>RTS100814</v>
      </c>
      <c r="S691" s="45" t="s">
        <v>27</v>
      </c>
      <c r="T691" s="45" t="s">
        <v>28</v>
      </c>
      <c r="U691" s="46" t="str">
        <f t="array" ref="U691">XLOOKUP($A691,'Recipients REF'!$A:$A,'Recipients REF'!K:K,"",0)</f>
        <v>LSGW170-RMP-24101079</v>
      </c>
      <c r="V691" s="44" t="s">
        <v>29</v>
      </c>
      <c r="W691" s="45" t="s">
        <v>30</v>
      </c>
      <c r="X691" s="47" t="str">
        <f t="array" ref="X691">XLOOKUP($A691,'Recipients REF'!$A:$A,'Recipients REF'!L:L,"",0)</f>
        <v>WDP40-RMP-24121487</v>
      </c>
      <c r="Y691" s="48" t="s">
        <v>29</v>
      </c>
      <c r="Z691" s="48" t="s">
        <v>31</v>
      </c>
      <c r="AA691" s="46" t="str">
        <f t="array" ref="AA691">XLOOKUP($A691,'Recipients REF'!$A:$A,'Recipients REF'!M:M,"",0)</f>
        <v>WR-SERIES-1012PH</v>
      </c>
      <c r="AB691" s="49"/>
      <c r="AC691" s="42"/>
      <c r="AD691" s="42"/>
      <c r="AE691" s="50"/>
      <c r="AF691" s="42"/>
      <c r="AG691" s="42"/>
      <c r="AH691" s="42"/>
      <c r="AI691" s="42" t="str">
        <f t="array" ref="AI691">XLOOKUP($E691,Sheet11!$D:$D,Sheet11!$X:$X,"",0)</f>
        <v/>
      </c>
      <c r="AJ691" s="42" t="str">
        <f t="array" ref="AJ691">XLOOKUP($E691,Sheet11!$D:$D,Sheet11!$Y:$Y,"",0)</f>
        <v/>
      </c>
    </row>
    <row r="692">
      <c r="A692" s="41">
        <v>540.0</v>
      </c>
      <c r="B692" s="42" t="s">
        <v>1348</v>
      </c>
      <c r="C692" s="42" t="s">
        <v>1349</v>
      </c>
      <c r="D692" s="42"/>
      <c r="E692" s="42" t="str">
        <f t="shared" ref="E692:F692" si="693">PROPER(B692)</f>
        <v>Managpi Farmers Association</v>
      </c>
      <c r="F692" s="42" t="str">
        <f t="shared" si="693"/>
        <v>Managpi, Calapan City, Oriental Mindoro</v>
      </c>
      <c r="G692" s="42" t="str">
        <f t="shared" si="3"/>
        <v>Managpi</v>
      </c>
      <c r="H692" s="42" t="str">
        <f t="shared" si="4"/>
        <v>Calapan City</v>
      </c>
      <c r="I692" s="42" t="str">
        <f t="shared" si="5"/>
        <v>Oriental Mindoro</v>
      </c>
      <c r="J692" s="42" t="str">
        <f t="array" ref="J692">XLOOKUP($E692,'Recipients REF'!$B:$B,'Recipients REF'!D:D,"",0)</f>
        <v>Teodulo A. Macaraig</v>
      </c>
      <c r="K692" s="42" t="str">
        <f t="array" ref="K692">XLOOKUP($E692,'Recipients REF'!$B:$B,'Recipients REF'!E:E,"",0)</f>
        <v>0955 067 7374</v>
      </c>
      <c r="L692" s="43" t="str">
        <f t="array" ref="L692">XLOOKUP($A692,'Recipients REF'!$A:$A,'Recipients REF'!F:F,"",0)</f>
        <v>RCEF 24-04-15</v>
      </c>
      <c r="M692" s="43">
        <f t="array" ref="M692">XLOOKUP($A692,'Recipients REF'!$A:$A,'Recipients REF'!G:G,"",0)</f>
        <v>7</v>
      </c>
      <c r="N692" s="43">
        <f t="array" ref="N692">XLOOKUP($A692,'Recipients REF'!$A:$A,'Recipients REF'!H:H,"",0)</f>
        <v>20014</v>
      </c>
      <c r="O692" s="44" t="s">
        <v>25</v>
      </c>
      <c r="P692" s="45" t="s">
        <v>26</v>
      </c>
      <c r="Q692" s="46" t="str">
        <f t="array" ref="Q692">XLOOKUP($A692,'Recipients REF'!$A:$A,'Recipients REF'!I:I,"",0)</f>
        <v>KMC5825AKRFPV0826</v>
      </c>
      <c r="R692" s="47" t="str">
        <f t="array" ref="R692">XLOOKUP($A692,'Recipients REF'!$A:$A,'Recipients REF'!J:J,"",0)</f>
        <v>RTS100734</v>
      </c>
      <c r="S692" s="45" t="s">
        <v>27</v>
      </c>
      <c r="T692" s="45" t="s">
        <v>28</v>
      </c>
      <c r="U692" s="46" t="str">
        <f t="array" ref="U692">XLOOKUP($A692,'Recipients REF'!$A:$A,'Recipients REF'!K:K,"",0)</f>
        <v>LSGW170-RMP-24080737</v>
      </c>
      <c r="V692" s="44" t="s">
        <v>29</v>
      </c>
      <c r="W692" s="45" t="s">
        <v>30</v>
      </c>
      <c r="X692" s="47" t="str">
        <f t="array" ref="X692">XLOOKUP($A692,'Recipients REF'!$A:$A,'Recipients REF'!L:L,"",0)</f>
        <v>WDP40-RMP-25010130</v>
      </c>
      <c r="Y692" s="48" t="s">
        <v>29</v>
      </c>
      <c r="Z692" s="48" t="s">
        <v>31</v>
      </c>
      <c r="AA692" s="46" t="str">
        <f t="array" ref="AA692">XLOOKUP($A692,'Recipients REF'!$A:$A,'Recipients REF'!M:M,"",0)</f>
        <v>WR-SERIES-1072PH</v>
      </c>
      <c r="AB692" s="49"/>
      <c r="AC692" s="42"/>
      <c r="AD692" s="42"/>
      <c r="AE692" s="50"/>
      <c r="AF692" s="42"/>
      <c r="AG692" s="42"/>
      <c r="AH692" s="42"/>
      <c r="AI692" s="42" t="str">
        <f t="array" ref="AI692">XLOOKUP($E692,Sheet11!$D:$D,Sheet11!$X:$X,"",0)</f>
        <v/>
      </c>
      <c r="AJ692" s="42" t="str">
        <f t="array" ref="AJ692">XLOOKUP($E692,Sheet11!$D:$D,Sheet11!$Y:$Y,"",0)</f>
        <v/>
      </c>
    </row>
    <row r="693">
      <c r="A693" s="41">
        <v>541.0</v>
      </c>
      <c r="B693" s="42" t="s">
        <v>1350</v>
      </c>
      <c r="C693" s="42" t="s">
        <v>1351</v>
      </c>
      <c r="D693" s="42"/>
      <c r="E693" s="42" t="str">
        <f t="shared" ref="E693:F693" si="694">PROPER(B693)</f>
        <v>San Agustin Ii Farmers Association</v>
      </c>
      <c r="F693" s="42" t="str">
        <f t="shared" si="694"/>
        <v>San Agustin, Naujan, Oriental Mindoro</v>
      </c>
      <c r="G693" s="42" t="str">
        <f t="shared" si="3"/>
        <v>San Agustin</v>
      </c>
      <c r="H693" s="42" t="str">
        <f t="shared" si="4"/>
        <v>Naujan</v>
      </c>
      <c r="I693" s="42" t="str">
        <f t="shared" si="5"/>
        <v>Oriental Mindoro</v>
      </c>
      <c r="J693" s="42" t="str">
        <f t="array" ref="J693">XLOOKUP($E693,'Recipients REF'!$B:$B,'Recipients REF'!D:D,"",0)</f>
        <v>#N/A</v>
      </c>
      <c r="K693" s="42" t="str">
        <f t="array" ref="K693">XLOOKUP($E693,'Recipients REF'!$B:$B,'Recipients REF'!E:E,"",0)</f>
        <v>#N/A</v>
      </c>
      <c r="L693" s="43" t="str">
        <f t="array" ref="L693">XLOOKUP($A693,'Recipients REF'!$A:$A,'Recipients REF'!F:F,"",0)</f>
        <v>RCEF 24-04-15</v>
      </c>
      <c r="M693" s="43">
        <f t="array" ref="M693">XLOOKUP($A693,'Recipients REF'!$A:$A,'Recipients REF'!G:G,"",0)</f>
        <v>7</v>
      </c>
      <c r="N693" s="43">
        <f t="array" ref="N693">XLOOKUP($A693,'Recipients REF'!$A:$A,'Recipients REF'!H:H,"",0)</f>
        <v>20015</v>
      </c>
      <c r="O693" s="44" t="s">
        <v>25</v>
      </c>
      <c r="P693" s="45" t="s">
        <v>26</v>
      </c>
      <c r="Q693" s="46" t="str">
        <f t="array" ref="Q693">XLOOKUP($A693,'Recipients REF'!$A:$A,'Recipients REF'!I:I,"",0)</f>
        <v>KMC5825AJRFPV0827</v>
      </c>
      <c r="R693" s="47" t="str">
        <f t="array" ref="R693">XLOOKUP($A693,'Recipients REF'!$A:$A,'Recipients REF'!J:J,"",0)</f>
        <v>RTS100737</v>
      </c>
      <c r="S693" s="45" t="s">
        <v>27</v>
      </c>
      <c r="T693" s="45" t="s">
        <v>28</v>
      </c>
      <c r="U693" s="46" t="str">
        <f t="array" ref="U693">XLOOKUP($A693,'Recipients REF'!$A:$A,'Recipients REF'!K:K,"",0)</f>
        <v>LSGW170-RMP-24080724</v>
      </c>
      <c r="V693" s="44" t="s">
        <v>29</v>
      </c>
      <c r="W693" s="45" t="s">
        <v>30</v>
      </c>
      <c r="X693" s="47" t="str">
        <f t="array" ref="X693">XLOOKUP($A693,'Recipients REF'!$A:$A,'Recipients REF'!L:L,"",0)</f>
        <v>WDP40-RMP-25010113</v>
      </c>
      <c r="Y693" s="48" t="s">
        <v>29</v>
      </c>
      <c r="Z693" s="48" t="s">
        <v>31</v>
      </c>
      <c r="AA693" s="46" t="str">
        <f t="array" ref="AA693">XLOOKUP($A693,'Recipients REF'!$A:$A,'Recipients REF'!M:M,"",0)</f>
        <v>WR-SERIES-1077PH</v>
      </c>
      <c r="AB693" s="49"/>
      <c r="AC693" s="42"/>
      <c r="AD693" s="42"/>
      <c r="AE693" s="50"/>
      <c r="AF693" s="42"/>
      <c r="AG693" s="42"/>
      <c r="AH693" s="42"/>
      <c r="AI693" s="42" t="str">
        <f t="array" ref="AI693">XLOOKUP($E693,Sheet11!$D:$D,Sheet11!$X:$X,"",0)</f>
        <v/>
      </c>
      <c r="AJ693" s="42" t="str">
        <f t="array" ref="AJ693">XLOOKUP($E693,Sheet11!$D:$D,Sheet11!$Y:$Y,"",0)</f>
        <v/>
      </c>
    </row>
    <row r="694">
      <c r="A694" s="41">
        <v>542.0</v>
      </c>
      <c r="B694" s="42" t="s">
        <v>1352</v>
      </c>
      <c r="C694" s="42" t="s">
        <v>1353</v>
      </c>
      <c r="D694" s="42"/>
      <c r="E694" s="42" t="str">
        <f t="shared" ref="E694:F694" si="695">PROPER(B694)</f>
        <v>Pagkakaisa Farmers Association</v>
      </c>
      <c r="F694" s="42" t="str">
        <f t="shared" si="695"/>
        <v>Pagkakaisa, Naujan, Oriental Mindoro</v>
      </c>
      <c r="G694" s="42" t="str">
        <f t="shared" si="3"/>
        <v>Pagkakaisa</v>
      </c>
      <c r="H694" s="42" t="str">
        <f t="shared" si="4"/>
        <v>Naujan</v>
      </c>
      <c r="I694" s="42" t="str">
        <f t="shared" si="5"/>
        <v>Oriental Mindoro</v>
      </c>
      <c r="J694" s="42" t="str">
        <f t="array" ref="J694">XLOOKUP($E694,'Recipients REF'!$B:$B,'Recipients REF'!D:D,"",0)</f>
        <v>Emelinda L. Valdepeña</v>
      </c>
      <c r="K694" s="42" t="str">
        <f t="array" ref="K694">XLOOKUP($E694,'Recipients REF'!$B:$B,'Recipients REF'!E:E,"",0)</f>
        <v>0966 751 5287</v>
      </c>
      <c r="L694" s="43" t="str">
        <f t="array" ref="L694">XLOOKUP($A694,'Recipients REF'!$A:$A,'Recipients REF'!F:F,"",0)</f>
        <v>RCEF 24-04-15</v>
      </c>
      <c r="M694" s="43">
        <f t="array" ref="M694">XLOOKUP($A694,'Recipients REF'!$A:$A,'Recipients REF'!G:G,"",0)</f>
        <v>7</v>
      </c>
      <c r="N694" s="43">
        <f t="array" ref="N694">XLOOKUP($A694,'Recipients REF'!$A:$A,'Recipients REF'!H:H,"",0)</f>
        <v>20016</v>
      </c>
      <c r="O694" s="44" t="s">
        <v>25</v>
      </c>
      <c r="P694" s="45" t="s">
        <v>26</v>
      </c>
      <c r="Q694" s="46" t="str">
        <f t="array" ref="Q694">XLOOKUP($A694,'Recipients REF'!$A:$A,'Recipients REF'!I:I,"",0)</f>
        <v>KMC5825APRFPV0856</v>
      </c>
      <c r="R694" s="47" t="str">
        <f t="array" ref="R694">XLOOKUP($A694,'Recipients REF'!$A:$A,'Recipients REF'!J:J,"",0)</f>
        <v>RTS100747</v>
      </c>
      <c r="S694" s="45" t="s">
        <v>27</v>
      </c>
      <c r="T694" s="45" t="s">
        <v>28</v>
      </c>
      <c r="U694" s="46" t="str">
        <f t="array" ref="U694">XLOOKUP($A694,'Recipients REF'!$A:$A,'Recipients REF'!K:K,"",0)</f>
        <v>LSGW170-RMP-24100984</v>
      </c>
      <c r="V694" s="44" t="s">
        <v>29</v>
      </c>
      <c r="W694" s="45" t="s">
        <v>30</v>
      </c>
      <c r="X694" s="47" t="str">
        <f t="array" ref="X694">XLOOKUP($A694,'Recipients REF'!$A:$A,'Recipients REF'!L:L,"",0)</f>
        <v>WDP40-RMP-25010122</v>
      </c>
      <c r="Y694" s="48" t="s">
        <v>29</v>
      </c>
      <c r="Z694" s="48" t="s">
        <v>31</v>
      </c>
      <c r="AA694" s="46" t="str">
        <f t="array" ref="AA694">XLOOKUP($A694,'Recipients REF'!$A:$A,'Recipients REF'!M:M,"",0)</f>
        <v>WR-SERIES-1063PH</v>
      </c>
      <c r="AB694" s="49"/>
      <c r="AC694" s="42"/>
      <c r="AD694" s="42"/>
      <c r="AE694" s="50"/>
      <c r="AF694" s="42"/>
      <c r="AG694" s="42"/>
      <c r="AH694" s="42"/>
      <c r="AI694" s="42" t="str">
        <f t="array" ref="AI694">XLOOKUP($E694,Sheet11!$D:$D,Sheet11!$X:$X,"",0)</f>
        <v/>
      </c>
      <c r="AJ694" s="42" t="str">
        <f t="array" ref="AJ694">XLOOKUP($E694,Sheet11!$D:$D,Sheet11!$Y:$Y,"",0)</f>
        <v/>
      </c>
    </row>
    <row r="695">
      <c r="A695" s="41">
        <v>543.0</v>
      </c>
      <c r="B695" s="42" t="s">
        <v>1354</v>
      </c>
      <c r="C695" s="42" t="s">
        <v>1355</v>
      </c>
      <c r="D695" s="42"/>
      <c r="E695" s="42" t="str">
        <f t="shared" ref="E695:F695" si="696">PROPER(B695)</f>
        <v>Barangay Malibago Pola Irrigators' Association Inc.</v>
      </c>
      <c r="F695" s="42" t="str">
        <f t="shared" si="696"/>
        <v>Malibago, Pola, Oriental Mindoro</v>
      </c>
      <c r="G695" s="42" t="str">
        <f t="shared" si="3"/>
        <v>Malibago</v>
      </c>
      <c r="H695" s="42" t="str">
        <f t="shared" si="4"/>
        <v>Pola</v>
      </c>
      <c r="I695" s="42" t="str">
        <f t="shared" si="5"/>
        <v>Oriental Mindoro</v>
      </c>
      <c r="J695" s="42" t="str">
        <f t="array" ref="J695">XLOOKUP($E695,'Recipients REF'!$B:$B,'Recipients REF'!D:D,"",0)</f>
        <v>Romeo P. Loberiano</v>
      </c>
      <c r="K695" s="42" t="str">
        <f t="array" ref="K695">XLOOKUP($E695,'Recipients REF'!$B:$B,'Recipients REF'!E:E,"",0)</f>
        <v>0977 418 6773</v>
      </c>
      <c r="L695" s="43" t="str">
        <f t="array" ref="L695">XLOOKUP($A695,'Recipients REF'!$A:$A,'Recipients REF'!F:F,"",0)</f>
        <v>RCEF 24-04-15</v>
      </c>
      <c r="M695" s="43">
        <f t="array" ref="M695">XLOOKUP($A695,'Recipients REF'!$A:$A,'Recipients REF'!G:G,"",0)</f>
        <v>7</v>
      </c>
      <c r="N695" s="43">
        <f t="array" ref="N695">XLOOKUP($A695,'Recipients REF'!$A:$A,'Recipients REF'!H:H,"",0)</f>
        <v>20017</v>
      </c>
      <c r="O695" s="44" t="s">
        <v>25</v>
      </c>
      <c r="P695" s="45" t="s">
        <v>26</v>
      </c>
      <c r="Q695" s="46" t="str">
        <f t="array" ref="Q695">XLOOKUP($A695,'Recipients REF'!$A:$A,'Recipients REF'!I:I,"",0)</f>
        <v>KMC5825ATRFPV0953</v>
      </c>
      <c r="R695" s="47" t="str">
        <f t="array" ref="R695">XLOOKUP($A695,'Recipients REF'!$A:$A,'Recipients REF'!J:J,"",0)</f>
        <v>RTS100781</v>
      </c>
      <c r="S695" s="45" t="s">
        <v>27</v>
      </c>
      <c r="T695" s="45" t="s">
        <v>28</v>
      </c>
      <c r="U695" s="46" t="str">
        <f t="array" ref="U695">XLOOKUP($A695,'Recipients REF'!$A:$A,'Recipients REF'!K:K,"",0)</f>
        <v>LSGW170-RMP-24101048</v>
      </c>
      <c r="V695" s="44" t="s">
        <v>29</v>
      </c>
      <c r="W695" s="45" t="s">
        <v>30</v>
      </c>
      <c r="X695" s="47" t="str">
        <f t="array" ref="X695">XLOOKUP($A695,'Recipients REF'!$A:$A,'Recipients REF'!L:L,"",0)</f>
        <v>WDP40-RMP-25010027</v>
      </c>
      <c r="Y695" s="48" t="s">
        <v>29</v>
      </c>
      <c r="Z695" s="48" t="s">
        <v>31</v>
      </c>
      <c r="AA695" s="46" t="str">
        <f t="array" ref="AA695">XLOOKUP($A695,'Recipients REF'!$A:$A,'Recipients REF'!M:M,"",0)</f>
        <v>WR-SERIES-1231PH</v>
      </c>
      <c r="AB695" s="49"/>
      <c r="AC695" s="42"/>
      <c r="AD695" s="42"/>
      <c r="AE695" s="50"/>
      <c r="AF695" s="42"/>
      <c r="AG695" s="42"/>
      <c r="AH695" s="42"/>
      <c r="AI695" s="42" t="str">
        <f t="array" ref="AI695">XLOOKUP($E695,Sheet11!$D:$D,Sheet11!$X:$X,"",0)</f>
        <v/>
      </c>
      <c r="AJ695" s="42" t="str">
        <f t="array" ref="AJ695">XLOOKUP($E695,Sheet11!$D:$D,Sheet11!$Y:$Y,"",0)</f>
        <v/>
      </c>
    </row>
    <row r="696">
      <c r="A696" s="41">
        <v>544.0</v>
      </c>
      <c r="B696" s="42" t="s">
        <v>1356</v>
      </c>
      <c r="C696" s="42" t="s">
        <v>1357</v>
      </c>
      <c r="D696" s="42"/>
      <c r="E696" s="42" t="str">
        <f t="shared" ref="E696:F696" si="697">PROPER(B696)</f>
        <v>Taywanak Farmers Association</v>
      </c>
      <c r="F696" s="42" t="str">
        <f t="shared" si="697"/>
        <v>, Pola, Oriental Mindoro</v>
      </c>
      <c r="G696" s="42" t="str">
        <f t="shared" si="3"/>
        <v/>
      </c>
      <c r="H696" s="42" t="str">
        <f t="shared" si="4"/>
        <v>Pola</v>
      </c>
      <c r="I696" s="42" t="str">
        <f t="shared" si="5"/>
        <v>Oriental Mindoro</v>
      </c>
      <c r="J696" s="42" t="str">
        <f t="array" ref="J696">XLOOKUP($E696,'Recipients REF'!$B:$B,'Recipients REF'!D:D,"",0)</f>
        <v>Aldrin V. Escobio</v>
      </c>
      <c r="K696" s="42" t="str">
        <f t="array" ref="K696">XLOOKUP($E696,'Recipients REF'!$B:$B,'Recipients REF'!E:E,"",0)</f>
        <v>0909 268 4012</v>
      </c>
      <c r="L696" s="43" t="str">
        <f t="array" ref="L696">XLOOKUP($A696,'Recipients REF'!$A:$A,'Recipients REF'!F:F,"",0)</f>
        <v>RCEF 24-04-15</v>
      </c>
      <c r="M696" s="43">
        <f t="array" ref="M696">XLOOKUP($A696,'Recipients REF'!$A:$A,'Recipients REF'!G:G,"",0)</f>
        <v>7</v>
      </c>
      <c r="N696" s="43">
        <f t="array" ref="N696">XLOOKUP($A696,'Recipients REF'!$A:$A,'Recipients REF'!H:H,"",0)</f>
        <v>20018</v>
      </c>
      <c r="O696" s="44" t="s">
        <v>25</v>
      </c>
      <c r="P696" s="45" t="s">
        <v>26</v>
      </c>
      <c r="Q696" s="46" t="str">
        <f t="array" ref="Q696">XLOOKUP($A696,'Recipients REF'!$A:$A,'Recipients REF'!I:I,"",0)</f>
        <v>KMC5825AERFPV0870</v>
      </c>
      <c r="R696" s="47" t="str">
        <f t="array" ref="R696">XLOOKUP($A696,'Recipients REF'!$A:$A,'Recipients REF'!J:J,"",0)</f>
        <v>RTS100780</v>
      </c>
      <c r="S696" s="45" t="s">
        <v>27</v>
      </c>
      <c r="T696" s="45" t="s">
        <v>28</v>
      </c>
      <c r="U696" s="46" t="str">
        <f t="array" ref="U696">XLOOKUP($A696,'Recipients REF'!$A:$A,'Recipients REF'!K:K,"",0)</f>
        <v>LSGW170-RMP-24100952</v>
      </c>
      <c r="V696" s="44" t="s">
        <v>29</v>
      </c>
      <c r="W696" s="45" t="s">
        <v>30</v>
      </c>
      <c r="X696" s="47" t="str">
        <f t="array" ref="X696">XLOOKUP($A696,'Recipients REF'!$A:$A,'Recipients REF'!L:L,"",0)</f>
        <v>WDP40-RMP-25010082</v>
      </c>
      <c r="Y696" s="48" t="s">
        <v>29</v>
      </c>
      <c r="Z696" s="48" t="s">
        <v>31</v>
      </c>
      <c r="AA696" s="46" t="str">
        <f t="array" ref="AA696">XLOOKUP($A696,'Recipients REF'!$A:$A,'Recipients REF'!M:M,"",0)</f>
        <v>WR-SERIES-1206PH</v>
      </c>
      <c r="AB696" s="49"/>
      <c r="AC696" s="42"/>
      <c r="AD696" s="42"/>
      <c r="AE696" s="50"/>
      <c r="AF696" s="42"/>
      <c r="AG696" s="42"/>
      <c r="AH696" s="42"/>
      <c r="AI696" s="42" t="str">
        <f t="array" ref="AI696">XLOOKUP($E696,Sheet11!$D:$D,Sheet11!$X:$X,"",0)</f>
        <v/>
      </c>
      <c r="AJ696" s="42" t="str">
        <f t="array" ref="AJ696">XLOOKUP($E696,Sheet11!$D:$D,Sheet11!$Y:$Y,"",0)</f>
        <v/>
      </c>
    </row>
    <row r="697">
      <c r="A697" s="41">
        <v>545.0</v>
      </c>
      <c r="B697" s="42" t="s">
        <v>1358</v>
      </c>
      <c r="C697" s="42" t="s">
        <v>1359</v>
      </c>
      <c r="D697" s="42"/>
      <c r="E697" s="42" t="str">
        <f t="shared" ref="E697:F697" si="698">PROPER(B697)</f>
        <v>Monteverde Farmers &amp; Irrigators Association</v>
      </c>
      <c r="F697" s="42" t="str">
        <f t="shared" si="698"/>
        <v>Monteverde, Socorro, Oriental Mindoro</v>
      </c>
      <c r="G697" s="42" t="str">
        <f t="shared" si="3"/>
        <v>Monteverde</v>
      </c>
      <c r="H697" s="42" t="str">
        <f t="shared" si="4"/>
        <v>Socorro</v>
      </c>
      <c r="I697" s="42" t="str">
        <f t="shared" si="5"/>
        <v>Oriental Mindoro</v>
      </c>
      <c r="J697" s="42" t="str">
        <f t="array" ref="J697">XLOOKUP($E697,'Recipients REF'!$B:$B,'Recipients REF'!D:D,"",0)</f>
        <v>Diasmer M. Fabregar</v>
      </c>
      <c r="K697" s="42" t="str">
        <f t="array" ref="K697">XLOOKUP($E697,'Recipients REF'!$B:$B,'Recipients REF'!E:E,"",0)</f>
        <v>0951 739 2096</v>
      </c>
      <c r="L697" s="43" t="str">
        <f t="array" ref="L697">XLOOKUP($A697,'Recipients REF'!$A:$A,'Recipients REF'!F:F,"",0)</f>
        <v>RCEF 24-04-15</v>
      </c>
      <c r="M697" s="43">
        <f t="array" ref="M697">XLOOKUP($A697,'Recipients REF'!$A:$A,'Recipients REF'!G:G,"",0)</f>
        <v>7</v>
      </c>
      <c r="N697" s="43">
        <f t="array" ref="N697">XLOOKUP($A697,'Recipients REF'!$A:$A,'Recipients REF'!H:H,"",0)</f>
        <v>20019</v>
      </c>
      <c r="O697" s="44" t="s">
        <v>25</v>
      </c>
      <c r="P697" s="45" t="s">
        <v>26</v>
      </c>
      <c r="Q697" s="46" t="str">
        <f t="array" ref="Q697">XLOOKUP($A697,'Recipients REF'!$A:$A,'Recipients REF'!I:I,"",0)</f>
        <v>KMC5825AJRFPV0858</v>
      </c>
      <c r="R697" s="47" t="str">
        <f t="array" ref="R697">XLOOKUP($A697,'Recipients REF'!$A:$A,'Recipients REF'!J:J,"",0)</f>
        <v>RTS100758</v>
      </c>
      <c r="S697" s="45" t="s">
        <v>27</v>
      </c>
      <c r="T697" s="45" t="s">
        <v>28</v>
      </c>
      <c r="U697" s="46" t="str">
        <f t="array" ref="U697">XLOOKUP($A697,'Recipients REF'!$A:$A,'Recipients REF'!K:K,"",0)</f>
        <v>LSGW170-RMP-24090844</v>
      </c>
      <c r="V697" s="44" t="s">
        <v>29</v>
      </c>
      <c r="W697" s="45" t="s">
        <v>30</v>
      </c>
      <c r="X697" s="47" t="str">
        <f t="array" ref="X697">XLOOKUP($A697,'Recipients REF'!$A:$A,'Recipients REF'!L:L,"",0)</f>
        <v>WDP40-RMP-25010026</v>
      </c>
      <c r="Y697" s="48" t="s">
        <v>29</v>
      </c>
      <c r="Z697" s="48" t="s">
        <v>31</v>
      </c>
      <c r="AA697" s="46" t="str">
        <f t="array" ref="AA697">XLOOKUP($A697,'Recipients REF'!$A:$A,'Recipients REF'!M:M,"",0)</f>
        <v>WR-SERIES-1073PH</v>
      </c>
      <c r="AB697" s="49"/>
      <c r="AC697" s="42"/>
      <c r="AD697" s="42"/>
      <c r="AE697" s="50"/>
      <c r="AF697" s="42"/>
      <c r="AG697" s="42"/>
      <c r="AH697" s="42"/>
      <c r="AI697" s="42" t="str">
        <f t="array" ref="AI697">XLOOKUP($E697,Sheet11!$D:$D,Sheet11!$X:$X,"",0)</f>
        <v/>
      </c>
      <c r="AJ697" s="42" t="str">
        <f t="array" ref="AJ697">XLOOKUP($E697,Sheet11!$D:$D,Sheet11!$Y:$Y,"",0)</f>
        <v/>
      </c>
    </row>
    <row r="698">
      <c r="A698" s="41">
        <v>546.0</v>
      </c>
      <c r="B698" s="42" t="s">
        <v>1360</v>
      </c>
      <c r="C698" s="42" t="s">
        <v>1361</v>
      </c>
      <c r="D698" s="42"/>
      <c r="E698" s="42" t="str">
        <f t="shared" ref="E698:F698" si="699">PROPER(B698)</f>
        <v>Mabini Farmers Association</v>
      </c>
      <c r="F698" s="42" t="str">
        <f t="shared" si="699"/>
        <v>Mabini, Victoria, Oriental Mindoro</v>
      </c>
      <c r="G698" s="42" t="str">
        <f t="shared" si="3"/>
        <v>Mabini</v>
      </c>
      <c r="H698" s="42" t="str">
        <f t="shared" si="4"/>
        <v>Victoria</v>
      </c>
      <c r="I698" s="42" t="str">
        <f t="shared" si="5"/>
        <v>Oriental Mindoro</v>
      </c>
      <c r="J698" s="42" t="str">
        <f t="array" ref="J698">XLOOKUP($E698,'Recipients REF'!$B:$B,'Recipients REF'!D:D,"",0)</f>
        <v>Dionisia D. Bas</v>
      </c>
      <c r="K698" s="42" t="str">
        <f t="array" ref="K698">XLOOKUP($E698,'Recipients REF'!$B:$B,'Recipients REF'!E:E,"",0)</f>
        <v>0965 346 6645</v>
      </c>
      <c r="L698" s="43" t="str">
        <f t="array" ref="L698">XLOOKUP($A698,'Recipients REF'!$A:$A,'Recipients REF'!F:F,"",0)</f>
        <v>RCEF 24-04-15</v>
      </c>
      <c r="M698" s="43">
        <f t="array" ref="M698">XLOOKUP($A698,'Recipients REF'!$A:$A,'Recipients REF'!G:G,"",0)</f>
        <v>7</v>
      </c>
      <c r="N698" s="43">
        <f t="array" ref="N698">XLOOKUP($A698,'Recipients REF'!$A:$A,'Recipients REF'!H:H,"",0)</f>
        <v>20020</v>
      </c>
      <c r="O698" s="44" t="s">
        <v>25</v>
      </c>
      <c r="P698" s="45" t="s">
        <v>26</v>
      </c>
      <c r="Q698" s="46" t="str">
        <f t="array" ref="Q698">XLOOKUP($A698,'Recipients REF'!$A:$A,'Recipients REF'!I:I,"",0)</f>
        <v>KMC5825APRFPV0811</v>
      </c>
      <c r="R698" s="47" t="str">
        <f t="array" ref="R698">XLOOKUP($A698,'Recipients REF'!$A:$A,'Recipients REF'!J:J,"",0)</f>
        <v>RTS100718</v>
      </c>
      <c r="S698" s="45" t="s">
        <v>27</v>
      </c>
      <c r="T698" s="45" t="s">
        <v>28</v>
      </c>
      <c r="U698" s="46" t="str">
        <f t="array" ref="U698">XLOOKUP($A698,'Recipients REF'!$A:$A,'Recipients REF'!K:K,"",0)</f>
        <v>LSGW170-RMP-24101046</v>
      </c>
      <c r="V698" s="44" t="s">
        <v>29</v>
      </c>
      <c r="W698" s="45" t="s">
        <v>30</v>
      </c>
      <c r="X698" s="47" t="str">
        <f t="array" ref="X698">XLOOKUP($A698,'Recipients REF'!$A:$A,'Recipients REF'!L:L,"",0)</f>
        <v>WDP40-RMP-25010111</v>
      </c>
      <c r="Y698" s="48" t="s">
        <v>29</v>
      </c>
      <c r="Z698" s="48" t="s">
        <v>31</v>
      </c>
      <c r="AA698" s="46" t="str">
        <f t="array" ref="AA698">XLOOKUP($A698,'Recipients REF'!$A:$A,'Recipients REF'!M:M,"",0)</f>
        <v>WR-SERIES-1082PH</v>
      </c>
      <c r="AB698" s="49"/>
      <c r="AC698" s="42"/>
      <c r="AD698" s="42"/>
      <c r="AE698" s="51"/>
      <c r="AF698" s="52"/>
      <c r="AG698" s="42"/>
      <c r="AH698" s="42"/>
      <c r="AI698" s="42" t="str">
        <f t="array" ref="AI698">XLOOKUP($E698,Sheet11!$D:$D,Sheet11!$X:$X,"",0)</f>
        <v/>
      </c>
      <c r="AJ698" s="42" t="str">
        <f t="array" ref="AJ698">XLOOKUP($E698,Sheet11!$D:$D,Sheet11!$Y:$Y,"",0)</f>
        <v/>
      </c>
    </row>
    <row r="699">
      <c r="A699" s="41">
        <v>547.0</v>
      </c>
      <c r="B699" s="42" t="s">
        <v>1362</v>
      </c>
      <c r="C699" s="42" t="s">
        <v>1363</v>
      </c>
      <c r="D699" s="42"/>
      <c r="E699" s="42" t="str">
        <f t="shared" ref="E699:F699" si="700">PROPER(B699)</f>
        <v>Aklejo Farmers Irrigators' Association, Inc.</v>
      </c>
      <c r="F699" s="42" t="str">
        <f t="shared" si="700"/>
        <v>, Bansud, Oriental Mindoro</v>
      </c>
      <c r="G699" s="42" t="str">
        <f t="shared" si="3"/>
        <v/>
      </c>
      <c r="H699" s="42" t="str">
        <f t="shared" si="4"/>
        <v>Bansud</v>
      </c>
      <c r="I699" s="42" t="str">
        <f t="shared" si="5"/>
        <v>Oriental Mindoro</v>
      </c>
      <c r="J699" s="42" t="str">
        <f t="array" ref="J699">XLOOKUP($E699,'Recipients REF'!$B:$B,'Recipients REF'!D:D,"",0)</f>
        <v>Victor F. Reano</v>
      </c>
      <c r="K699" s="42" t="str">
        <f t="array" ref="K699">XLOOKUP($E699,'Recipients REF'!$B:$B,'Recipients REF'!E:E,"",0)</f>
        <v>0918 723 7470</v>
      </c>
      <c r="L699" s="43" t="str">
        <f t="array" ref="L699">XLOOKUP($A699,'Recipients REF'!$A:$A,'Recipients REF'!F:F,"",0)</f>
        <v>RCEF 24-04-15</v>
      </c>
      <c r="M699" s="43">
        <f t="array" ref="M699">XLOOKUP($A699,'Recipients REF'!$A:$A,'Recipients REF'!G:G,"",0)</f>
        <v>7</v>
      </c>
      <c r="N699" s="43">
        <f t="array" ref="N699">XLOOKUP($A699,'Recipients REF'!$A:$A,'Recipients REF'!H:H,"",0)</f>
        <v>20021</v>
      </c>
      <c r="O699" s="44" t="s">
        <v>25</v>
      </c>
      <c r="P699" s="45" t="s">
        <v>26</v>
      </c>
      <c r="Q699" s="46" t="str">
        <f t="array" ref="Q699">XLOOKUP($A699,'Recipients REF'!$A:$A,'Recipients REF'!I:I,"",0)</f>
        <v>KMC5825AVRFPV0894</v>
      </c>
      <c r="R699" s="47" t="str">
        <f t="array" ref="R699">XLOOKUP($A699,'Recipients REF'!$A:$A,'Recipients REF'!J:J,"",0)</f>
        <v>RTS100811</v>
      </c>
      <c r="S699" s="45" t="s">
        <v>27</v>
      </c>
      <c r="T699" s="45" t="s">
        <v>28</v>
      </c>
      <c r="U699" s="46" t="str">
        <f t="array" ref="U699">XLOOKUP($A699,'Recipients REF'!$A:$A,'Recipients REF'!K:K,"",0)</f>
        <v>LSGW170-RMP-24101042</v>
      </c>
      <c r="V699" s="44" t="s">
        <v>29</v>
      </c>
      <c r="W699" s="45" t="s">
        <v>30</v>
      </c>
      <c r="X699" s="47" t="str">
        <f t="array" ref="X699">XLOOKUP($A699,'Recipients REF'!$A:$A,'Recipients REF'!L:L,"",0)</f>
        <v>WDP40-RMP-25010077</v>
      </c>
      <c r="Y699" s="48" t="s">
        <v>29</v>
      </c>
      <c r="Z699" s="48" t="s">
        <v>31</v>
      </c>
      <c r="AA699" s="46" t="str">
        <f t="array" ref="AA699">XLOOKUP($A699,'Recipients REF'!$A:$A,'Recipients REF'!M:M,"",0)</f>
        <v>WR-SERIES-1210PH</v>
      </c>
      <c r="AB699" s="49"/>
      <c r="AC699" s="42"/>
      <c r="AD699" s="42"/>
      <c r="AE699" s="51"/>
      <c r="AF699" s="52"/>
      <c r="AG699" s="42"/>
      <c r="AH699" s="42"/>
      <c r="AI699" s="42" t="str">
        <f t="array" ref="AI699">XLOOKUP($E699,Sheet11!$D:$D,Sheet11!$X:$X,"",0)</f>
        <v/>
      </c>
      <c r="AJ699" s="42" t="str">
        <f t="array" ref="AJ699">XLOOKUP($E699,Sheet11!$D:$D,Sheet11!$Y:$Y,"",0)</f>
        <v/>
      </c>
    </row>
    <row r="700">
      <c r="A700" s="41">
        <v>548.0</v>
      </c>
      <c r="B700" s="42" t="s">
        <v>1364</v>
      </c>
      <c r="C700" s="42" t="s">
        <v>1365</v>
      </c>
      <c r="D700" s="42"/>
      <c r="E700" s="42" t="str">
        <f t="shared" ref="E700:F700" si="701">PROPER(B700)</f>
        <v>Municipal Local Governement Unit Of Bulalacao</v>
      </c>
      <c r="F700" s="42" t="str">
        <f t="shared" si="701"/>
        <v>Poblacion, Bulalacao, Oriental Mindoro</v>
      </c>
      <c r="G700" s="42" t="str">
        <f t="shared" si="3"/>
        <v>Poblacion</v>
      </c>
      <c r="H700" s="42" t="str">
        <f t="shared" si="4"/>
        <v>Bulalacao</v>
      </c>
      <c r="I700" s="42" t="str">
        <f t="shared" si="5"/>
        <v>Oriental Mindoro</v>
      </c>
      <c r="J700" s="42" t="str">
        <f t="array" ref="J700">XLOOKUP($E700,'Recipients REF'!$B:$B,'Recipients REF'!D:D,"",0)</f>
        <v>Hon. Ernilo C. Villas</v>
      </c>
      <c r="K700" s="42" t="str">
        <f t="array" ref="K700">XLOOKUP($E700,'Recipients REF'!$B:$B,'Recipients REF'!E:E,"",0)</f>
        <v>0947 997 5147</v>
      </c>
      <c r="L700" s="43" t="str">
        <f t="array" ref="L700">XLOOKUP($A700,'Recipients REF'!$A:$A,'Recipients REF'!F:F,"",0)</f>
        <v>RCEF 24-04-15</v>
      </c>
      <c r="M700" s="43">
        <f t="array" ref="M700">XLOOKUP($A700,'Recipients REF'!$A:$A,'Recipients REF'!G:G,"",0)</f>
        <v>7</v>
      </c>
      <c r="N700" s="43">
        <f t="array" ref="N700">XLOOKUP($A700,'Recipients REF'!$A:$A,'Recipients REF'!H:H,"",0)</f>
        <v>20022</v>
      </c>
      <c r="O700" s="44" t="s">
        <v>25</v>
      </c>
      <c r="P700" s="45" t="s">
        <v>26</v>
      </c>
      <c r="Q700" s="46" t="str">
        <f t="array" ref="Q700">XLOOKUP($A700,'Recipients REF'!$A:$A,'Recipients REF'!I:I,"",0)</f>
        <v>KMC5825ATRFPV0791</v>
      </c>
      <c r="R700" s="47" t="str">
        <f t="array" ref="R700">XLOOKUP($A700,'Recipients REF'!$A:$A,'Recipients REF'!J:J,"",0)</f>
        <v>RTS100679</v>
      </c>
      <c r="S700" s="45" t="s">
        <v>27</v>
      </c>
      <c r="T700" s="45" t="s">
        <v>28</v>
      </c>
      <c r="U700" s="46" t="str">
        <f t="array" ref="U700">XLOOKUP($A700,'Recipients REF'!$A:$A,'Recipients REF'!K:K,"",0)</f>
        <v>LSGW170-RMP-24100968</v>
      </c>
      <c r="V700" s="44" t="s">
        <v>29</v>
      </c>
      <c r="W700" s="45" t="s">
        <v>30</v>
      </c>
      <c r="X700" s="47" t="str">
        <f t="array" ref="X700">XLOOKUP($A700,'Recipients REF'!$A:$A,'Recipients REF'!L:L,"",0)</f>
        <v>WDP40-RMP-25010115</v>
      </c>
      <c r="Y700" s="48" t="s">
        <v>29</v>
      </c>
      <c r="Z700" s="48" t="s">
        <v>31</v>
      </c>
      <c r="AA700" s="46" t="str">
        <f t="array" ref="AA700">XLOOKUP($A700,'Recipients REF'!$A:$A,'Recipients REF'!M:M,"",0)</f>
        <v>WR-SERIES-1085PH</v>
      </c>
      <c r="AB700" s="49"/>
      <c r="AC700" s="42"/>
      <c r="AD700" s="42"/>
      <c r="AE700" s="51"/>
      <c r="AF700" s="52"/>
      <c r="AG700" s="42"/>
      <c r="AH700" s="42"/>
      <c r="AI700" s="42" t="str">
        <f t="array" ref="AI700">XLOOKUP($E700,Sheet11!$D:$D,Sheet11!$X:$X,"",0)</f>
        <v/>
      </c>
      <c r="AJ700" s="42" t="str">
        <f t="array" ref="AJ700">XLOOKUP($E700,Sheet11!$D:$D,Sheet11!$Y:$Y,"",0)</f>
        <v/>
      </c>
    </row>
    <row r="701">
      <c r="A701" s="41">
        <v>549.0</v>
      </c>
      <c r="B701" s="42" t="s">
        <v>1366</v>
      </c>
      <c r="C701" s="42" t="s">
        <v>1367</v>
      </c>
      <c r="D701" s="42"/>
      <c r="E701" s="42" t="str">
        <f t="shared" ref="E701:F701" si="702">PROPER(B701)</f>
        <v>Banutan Farmers Association</v>
      </c>
      <c r="F701" s="42" t="str">
        <f t="shared" si="702"/>
        <v>Banutan, Gloria, Oriental Mindoro</v>
      </c>
      <c r="G701" s="42" t="str">
        <f t="shared" si="3"/>
        <v>Banutan</v>
      </c>
      <c r="H701" s="42" t="str">
        <f t="shared" si="4"/>
        <v>Gloria</v>
      </c>
      <c r="I701" s="42" t="str">
        <f t="shared" si="5"/>
        <v>Oriental Mindoro</v>
      </c>
      <c r="J701" s="42" t="str">
        <f t="array" ref="J701">XLOOKUP($E701,'Recipients REF'!$B:$B,'Recipients REF'!D:D,"",0)</f>
        <v>Manuel V. Yap</v>
      </c>
      <c r="K701" s="42" t="str">
        <f t="array" ref="K701">XLOOKUP($E701,'Recipients REF'!$B:$B,'Recipients REF'!E:E,"",0)</f>
        <v>0976 381 6414(officer)</v>
      </c>
      <c r="L701" s="43" t="str">
        <f t="array" ref="L701">XLOOKUP($A701,'Recipients REF'!$A:$A,'Recipients REF'!F:F,"",0)</f>
        <v>RCEF 24-04-15</v>
      </c>
      <c r="M701" s="43">
        <f t="array" ref="M701">XLOOKUP($A701,'Recipients REF'!$A:$A,'Recipients REF'!G:G,"",0)</f>
        <v>7</v>
      </c>
      <c r="N701" s="43">
        <f t="array" ref="N701">XLOOKUP($A701,'Recipients REF'!$A:$A,'Recipients REF'!H:H,"",0)</f>
        <v>20023</v>
      </c>
      <c r="O701" s="44" t="s">
        <v>25</v>
      </c>
      <c r="P701" s="45" t="s">
        <v>26</v>
      </c>
      <c r="Q701" s="46" t="str">
        <f t="array" ref="Q701">XLOOKUP($A701,'Recipients REF'!$A:$A,'Recipients REF'!I:I,"",0)</f>
        <v>KMC5825AVRFPV0961</v>
      </c>
      <c r="R701" s="47" t="str">
        <f t="array" ref="R701">XLOOKUP($A701,'Recipients REF'!$A:$A,'Recipients REF'!J:J,"",0)</f>
        <v>RTS100667</v>
      </c>
      <c r="S701" s="45" t="s">
        <v>27</v>
      </c>
      <c r="T701" s="45" t="s">
        <v>28</v>
      </c>
      <c r="U701" s="46" t="str">
        <f t="array" ref="U701">XLOOKUP($A701,'Recipients REF'!$A:$A,'Recipients REF'!K:K,"",0)</f>
        <v>LSGW170-RMP-24080760</v>
      </c>
      <c r="V701" s="44" t="s">
        <v>29</v>
      </c>
      <c r="W701" s="45" t="s">
        <v>30</v>
      </c>
      <c r="X701" s="47" t="str">
        <f t="array" ref="X701">XLOOKUP($A701,'Recipients REF'!$A:$A,'Recipients REF'!L:L,"",0)</f>
        <v>WDP40-RMP-25010126</v>
      </c>
      <c r="Y701" s="48" t="s">
        <v>29</v>
      </c>
      <c r="Z701" s="48" t="s">
        <v>31</v>
      </c>
      <c r="AA701" s="46" t="str">
        <f t="array" ref="AA701">XLOOKUP($A701,'Recipients REF'!$A:$A,'Recipients REF'!M:M,"",0)</f>
        <v>WR-SERIES-1224PH</v>
      </c>
      <c r="AB701" s="49"/>
      <c r="AC701" s="42"/>
      <c r="AD701" s="42"/>
      <c r="AE701" s="51"/>
      <c r="AF701" s="52"/>
      <c r="AG701" s="42"/>
      <c r="AH701" s="42"/>
      <c r="AI701" s="42" t="str">
        <f t="array" ref="AI701">XLOOKUP($E701,Sheet11!$D:$D,Sheet11!$X:$X,"",0)</f>
        <v/>
      </c>
      <c r="AJ701" s="42" t="str">
        <f t="array" ref="AJ701">XLOOKUP($E701,Sheet11!$D:$D,Sheet11!$Y:$Y,"",0)</f>
        <v/>
      </c>
    </row>
    <row r="702">
      <c r="A702" s="41">
        <v>550.0</v>
      </c>
      <c r="B702" s="42" t="s">
        <v>1368</v>
      </c>
      <c r="C702" s="42" t="s">
        <v>1369</v>
      </c>
      <c r="D702" s="42"/>
      <c r="E702" s="42" t="str">
        <f t="shared" ref="E702:F702" si="703">PROPER(B702)</f>
        <v>Guimbonan Farmers Association</v>
      </c>
      <c r="F702" s="42" t="str">
        <f t="shared" si="703"/>
        <v>Guimbonan, Gloria, Oriental Mindoro</v>
      </c>
      <c r="G702" s="42" t="str">
        <f t="shared" si="3"/>
        <v>Guimbonan</v>
      </c>
      <c r="H702" s="42" t="str">
        <f t="shared" si="4"/>
        <v>Gloria</v>
      </c>
      <c r="I702" s="42" t="str">
        <f t="shared" si="5"/>
        <v>Oriental Mindoro</v>
      </c>
      <c r="J702" s="42" t="str">
        <f t="array" ref="J702">XLOOKUP($E702,'Recipients REF'!$B:$B,'Recipients REF'!D:D,"",0)</f>
        <v>Randy S. Mampusti</v>
      </c>
      <c r="K702" s="42" t="str">
        <f t="array" ref="K702">XLOOKUP($E702,'Recipients REF'!$B:$B,'Recipients REF'!E:E,"",0)</f>
        <v>0949 670 4178</v>
      </c>
      <c r="L702" s="43" t="str">
        <f t="array" ref="L702">XLOOKUP($A702,'Recipients REF'!$A:$A,'Recipients REF'!F:F,"",0)</f>
        <v>RCEF 24-04-15</v>
      </c>
      <c r="M702" s="43">
        <f t="array" ref="M702">XLOOKUP($A702,'Recipients REF'!$A:$A,'Recipients REF'!G:G,"",0)</f>
        <v>7</v>
      </c>
      <c r="N702" s="43">
        <f t="array" ref="N702">XLOOKUP($A702,'Recipients REF'!$A:$A,'Recipients REF'!H:H,"",0)</f>
        <v>20024</v>
      </c>
      <c r="O702" s="44" t="s">
        <v>25</v>
      </c>
      <c r="P702" s="45" t="s">
        <v>26</v>
      </c>
      <c r="Q702" s="46" t="str">
        <f t="array" ref="Q702">XLOOKUP($A702,'Recipients REF'!$A:$A,'Recipients REF'!I:I,"",0)</f>
        <v>KMC5825AKRFPV0874</v>
      </c>
      <c r="R702" s="47" t="str">
        <f t="array" ref="R702">XLOOKUP($A702,'Recipients REF'!$A:$A,'Recipients REF'!J:J,"",0)</f>
        <v>RTS100778</v>
      </c>
      <c r="S702" s="45" t="s">
        <v>27</v>
      </c>
      <c r="T702" s="45" t="s">
        <v>28</v>
      </c>
      <c r="U702" s="46" t="str">
        <f t="array" ref="U702">XLOOKUP($A702,'Recipients REF'!$A:$A,'Recipients REF'!K:K,"",0)</f>
        <v>LSGW170-RMP-24101040</v>
      </c>
      <c r="V702" s="44" t="s">
        <v>29</v>
      </c>
      <c r="W702" s="45" t="s">
        <v>30</v>
      </c>
      <c r="X702" s="47" t="str">
        <f t="array" ref="X702">XLOOKUP($A702,'Recipients REF'!$A:$A,'Recipients REF'!L:L,"",0)</f>
        <v>WDP40-RMP-25010080</v>
      </c>
      <c r="Y702" s="48" t="s">
        <v>29</v>
      </c>
      <c r="Z702" s="48" t="s">
        <v>31</v>
      </c>
      <c r="AA702" s="46" t="str">
        <f t="array" ref="AA702">XLOOKUP($A702,'Recipients REF'!$A:$A,'Recipients REF'!M:M,"",0)</f>
        <v>WR-SERIES-1113PH</v>
      </c>
      <c r="AB702" s="49"/>
      <c r="AC702" s="42"/>
      <c r="AD702" s="42"/>
      <c r="AE702" s="51"/>
      <c r="AF702" s="52"/>
      <c r="AG702" s="42"/>
      <c r="AH702" s="42"/>
      <c r="AI702" s="42" t="str">
        <f t="array" ref="AI702">XLOOKUP($E702,Sheet11!$D:$D,Sheet11!$X:$X,"",0)</f>
        <v/>
      </c>
      <c r="AJ702" s="42" t="str">
        <f t="array" ref="AJ702">XLOOKUP($E702,Sheet11!$D:$D,Sheet11!$Y:$Y,"",0)</f>
        <v/>
      </c>
    </row>
    <row r="703">
      <c r="A703" s="41">
        <v>551.0</v>
      </c>
      <c r="B703" s="42" t="s">
        <v>1370</v>
      </c>
      <c r="C703" s="42" t="s">
        <v>1371</v>
      </c>
      <c r="D703" s="42"/>
      <c r="E703" s="42" t="str">
        <f t="shared" ref="E703:F703" si="704">PROPER(B703)</f>
        <v>Palayan (Pinamalayan) Farmer'S Association, Inc.</v>
      </c>
      <c r="F703" s="42" t="str">
        <f t="shared" si="704"/>
        <v>Palayan, Pinamalayan, Oriental Mindoro</v>
      </c>
      <c r="G703" s="42" t="str">
        <f t="shared" si="3"/>
        <v>Palayan</v>
      </c>
      <c r="H703" s="42" t="str">
        <f t="shared" si="4"/>
        <v>Pinamalayan</v>
      </c>
      <c r="I703" s="42" t="str">
        <f t="shared" si="5"/>
        <v>Oriental Mindoro</v>
      </c>
      <c r="J703" s="42" t="str">
        <f t="array" ref="J703">XLOOKUP($E703,'Recipients REF'!$B:$B,'Recipients REF'!D:D,"",0)</f>
        <v>Pedrito M. Mercene</v>
      </c>
      <c r="K703" s="42" t="str">
        <f t="array" ref="K703">XLOOKUP($E703,'Recipients REF'!$B:$B,'Recipients REF'!E:E,"",0)</f>
        <v>0920 610 3514</v>
      </c>
      <c r="L703" s="43" t="str">
        <f t="array" ref="L703">XLOOKUP($A703,'Recipients REF'!$A:$A,'Recipients REF'!F:F,"",0)</f>
        <v>RCEF 24-04-15</v>
      </c>
      <c r="M703" s="43">
        <f t="array" ref="M703">XLOOKUP($A703,'Recipients REF'!$A:$A,'Recipients REF'!G:G,"",0)</f>
        <v>7</v>
      </c>
      <c r="N703" s="43">
        <f t="array" ref="N703">XLOOKUP($A703,'Recipients REF'!$A:$A,'Recipients REF'!H:H,"",0)</f>
        <v>20025</v>
      </c>
      <c r="O703" s="44" t="s">
        <v>25</v>
      </c>
      <c r="P703" s="45" t="s">
        <v>26</v>
      </c>
      <c r="Q703" s="46" t="str">
        <f t="array" ref="Q703">XLOOKUP($A703,'Recipients REF'!$A:$A,'Recipients REF'!I:I,"",0)</f>
        <v>KMC5825AARFPV0895</v>
      </c>
      <c r="R703" s="47" t="str">
        <f t="array" ref="R703">XLOOKUP($A703,'Recipients REF'!$A:$A,'Recipients REF'!J:J,"",0)</f>
        <v>RTS100820</v>
      </c>
      <c r="S703" s="45" t="s">
        <v>27</v>
      </c>
      <c r="T703" s="45" t="s">
        <v>28</v>
      </c>
      <c r="U703" s="46" t="str">
        <f t="array" ref="U703">XLOOKUP($A703,'Recipients REF'!$A:$A,'Recipients REF'!K:K,"",0)</f>
        <v>LSGW170-RMP-2408759</v>
      </c>
      <c r="V703" s="44" t="s">
        <v>29</v>
      </c>
      <c r="W703" s="45" t="s">
        <v>30</v>
      </c>
      <c r="X703" s="47" t="str">
        <f t="array" ref="X703">XLOOKUP($A703,'Recipients REF'!$A:$A,'Recipients REF'!L:L,"",0)</f>
        <v>WDP40-RMP-25010117</v>
      </c>
      <c r="Y703" s="48" t="s">
        <v>29</v>
      </c>
      <c r="Z703" s="48" t="s">
        <v>31</v>
      </c>
      <c r="AA703" s="46" t="str">
        <f t="array" ref="AA703">XLOOKUP($A703,'Recipients REF'!$A:$A,'Recipients REF'!M:M,"",0)</f>
        <v>WR-SERIES-1074PH</v>
      </c>
      <c r="AB703" s="49"/>
      <c r="AC703" s="42"/>
      <c r="AD703" s="42"/>
      <c r="AE703" s="50"/>
      <c r="AF703" s="42"/>
      <c r="AG703" s="42"/>
      <c r="AH703" s="42"/>
      <c r="AI703" s="42" t="str">
        <f t="array" ref="AI703">XLOOKUP($E703,Sheet11!$D:$D,Sheet11!$X:$X,"",0)</f>
        <v/>
      </c>
      <c r="AJ703" s="42" t="str">
        <f t="array" ref="AJ703">XLOOKUP($E703,Sheet11!$D:$D,Sheet11!$Y:$Y,"",0)</f>
        <v/>
      </c>
    </row>
    <row r="704">
      <c r="A704" s="41">
        <v>852.0</v>
      </c>
      <c r="B704" s="42" t="s">
        <v>1372</v>
      </c>
      <c r="C704" s="42" t="s">
        <v>1373</v>
      </c>
      <c r="D704" s="42"/>
      <c r="E704" s="42" t="str">
        <f t="shared" ref="E704:F704" si="705">PROPER(B704)</f>
        <v>Provincial Local Government Unit Of Oriental Mindoro</v>
      </c>
      <c r="F704" s="42" t="str">
        <f t="shared" si="705"/>
        <v>Camilmil, Calapan City, Oriental Mindoro</v>
      </c>
      <c r="G704" s="42" t="str">
        <f t="shared" si="3"/>
        <v>Camilmil</v>
      </c>
      <c r="H704" s="42" t="str">
        <f t="shared" si="4"/>
        <v>Calapan City</v>
      </c>
      <c r="I704" s="42" t="str">
        <f t="shared" si="5"/>
        <v>Oriental Mindoro</v>
      </c>
      <c r="J704" s="42" t="str">
        <f t="array" ref="J704">XLOOKUP($E704,'Recipients REF'!$B:$B,'Recipients REF'!D:D,"",0)</f>
        <v>Hon. Humerlito A. Dolor</v>
      </c>
      <c r="K704" s="42" t="str">
        <f t="array" ref="K704">XLOOKUP($E704,'Recipients REF'!$B:$B,'Recipients REF'!E:E,"",0)</f>
        <v>0917 679 3714(PA) /  0948 680 4259</v>
      </c>
      <c r="L704" s="43" t="str">
        <f t="array" ref="L704">XLOOKUP($A704,'Recipients REF'!$A:$A,'Recipients REF'!F:F,"",0)</f>
        <v>RCEF 25-03-05</v>
      </c>
      <c r="M704" s="43">
        <f t="array" ref="M704">XLOOKUP($A704,'Recipients REF'!$A:$A,'Recipients REF'!G:G,"",0)</f>
        <v>6</v>
      </c>
      <c r="N704" s="43" t="str">
        <f t="array" ref="N704">XLOOKUP($A704,'Recipients REF'!$A:$A,'Recipients REF'!H:H,"",0)</f>
        <v>26853 &amp; 27806</v>
      </c>
      <c r="O704" s="44" t="s">
        <v>25</v>
      </c>
      <c r="P704" s="45" t="s">
        <v>26</v>
      </c>
      <c r="Q704" s="46" t="str">
        <f t="array" ref="Q704">XLOOKUP($A704,'Recipients REF'!$A:$A,'Recipients REF'!I:I,"",0)</f>
        <v>KMC5825 ALSFPV0001</v>
      </c>
      <c r="R704" s="53" t="str">
        <f t="array" ref="R704">XLOOKUP($A704,'Recipients REF'!$A:$A,'Recipients REF'!J:J,"",0)</f>
        <v>STS100017</v>
      </c>
      <c r="S704" s="45" t="s">
        <v>27</v>
      </c>
      <c r="T704" s="45" t="s">
        <v>28</v>
      </c>
      <c r="U704" s="46" t="str">
        <f t="array" ref="U704">XLOOKUP($A704,'Recipients REF'!$A:$A,'Recipients REF'!K:K,"",0)</f>
        <v>WR-SERIES 015</v>
      </c>
      <c r="V704" s="44" t="s">
        <v>29</v>
      </c>
      <c r="W704" s="45" t="s">
        <v>30</v>
      </c>
      <c r="X704" s="53" t="str">
        <f t="array" ref="X704">XLOOKUP($A704,'Recipients REF'!$A:$A,'Recipients REF'!L:L,"",0)</f>
        <v>25080303</v>
      </c>
      <c r="Y704" s="48" t="s">
        <v>29</v>
      </c>
      <c r="Z704" s="48" t="s">
        <v>31</v>
      </c>
      <c r="AA704" s="54" t="str">
        <f t="array" ref="AA704">XLOOKUP($A704,'Recipients REF'!$A:$A,'Recipients REF'!M:M,"",0)</f>
        <v>25080775</v>
      </c>
      <c r="AB704" s="49"/>
      <c r="AC704" s="42"/>
      <c r="AD704" s="42"/>
      <c r="AE704" s="51"/>
      <c r="AF704" s="52"/>
      <c r="AG704" s="42"/>
      <c r="AH704" s="42"/>
      <c r="AI704" s="42" t="str">
        <f t="array" ref="AI704">XLOOKUP($E704,Sheet11!$D:$D,Sheet11!$X:$X,"",0)</f>
        <v/>
      </c>
      <c r="AJ704" s="42" t="str">
        <f t="array" ref="AJ704">XLOOKUP($E704,Sheet11!$D:$D,Sheet11!$Y:$Y,"",0)</f>
        <v/>
      </c>
    </row>
    <row r="705">
      <c r="A705" s="41">
        <v>853.0</v>
      </c>
      <c r="B705" s="42" t="s">
        <v>1372</v>
      </c>
      <c r="C705" s="42" t="s">
        <v>1373</v>
      </c>
      <c r="D705" s="42"/>
      <c r="E705" s="42" t="str">
        <f t="shared" ref="E705:F705" si="706">PROPER(B705)</f>
        <v>Provincial Local Government Unit Of Oriental Mindoro</v>
      </c>
      <c r="F705" s="42" t="str">
        <f t="shared" si="706"/>
        <v>Camilmil, Calapan City, Oriental Mindoro</v>
      </c>
      <c r="G705" s="42" t="str">
        <f t="shared" si="3"/>
        <v>Camilmil</v>
      </c>
      <c r="H705" s="42" t="str">
        <f t="shared" si="4"/>
        <v>Calapan City</v>
      </c>
      <c r="I705" s="42" t="str">
        <f t="shared" si="5"/>
        <v>Oriental Mindoro</v>
      </c>
      <c r="J705" s="42" t="str">
        <f t="array" ref="J705">XLOOKUP($E705,'Recipients REF'!$B:$B,'Recipients REF'!D:D,"",0)</f>
        <v>Hon. Humerlito A. Dolor</v>
      </c>
      <c r="K705" s="42" t="str">
        <f t="array" ref="K705">XLOOKUP($E705,'Recipients REF'!$B:$B,'Recipients REF'!E:E,"",0)</f>
        <v>0917 679 3714(PA) /  0948 680 4259</v>
      </c>
      <c r="L705" s="43" t="str">
        <f t="array" ref="L705">XLOOKUP($A705,'Recipients REF'!$A:$A,'Recipients REF'!F:F,"",0)</f>
        <v>RCEF 25-03-05</v>
      </c>
      <c r="M705" s="43">
        <f t="array" ref="M705">XLOOKUP($A705,'Recipients REF'!$A:$A,'Recipients REF'!G:G,"",0)</f>
        <v>6</v>
      </c>
      <c r="N705" s="43" t="str">
        <f t="array" ref="N705">XLOOKUP($A705,'Recipients REF'!$A:$A,'Recipients REF'!H:H,"",0)</f>
        <v>26853 &amp; 27806</v>
      </c>
      <c r="O705" s="44" t="s">
        <v>25</v>
      </c>
      <c r="P705" s="45" t="s">
        <v>26</v>
      </c>
      <c r="Q705" s="46" t="str">
        <f t="array" ref="Q705">XLOOKUP($A705,'Recipients REF'!$A:$A,'Recipients REF'!I:I,"",0)</f>
        <v>KMC5825 ALSFPV0001</v>
      </c>
      <c r="R705" s="53" t="str">
        <f t="array" ref="R705">XLOOKUP($A705,'Recipients REF'!$A:$A,'Recipients REF'!J:J,"",0)</f>
        <v>STS100017</v>
      </c>
      <c r="S705" s="45" t="s">
        <v>27</v>
      </c>
      <c r="T705" s="45" t="s">
        <v>28</v>
      </c>
      <c r="U705" s="46" t="str">
        <f t="array" ref="U705">XLOOKUP($A705,'Recipients REF'!$A:$A,'Recipients REF'!K:K,"",0)</f>
        <v>WR-SERIES 015</v>
      </c>
      <c r="V705" s="44" t="s">
        <v>29</v>
      </c>
      <c r="W705" s="45" t="s">
        <v>30</v>
      </c>
      <c r="X705" s="53" t="str">
        <f t="array" ref="X705">XLOOKUP($A705,'Recipients REF'!$A:$A,'Recipients REF'!L:L,"",0)</f>
        <v>25080303</v>
      </c>
      <c r="Y705" s="48" t="s">
        <v>29</v>
      </c>
      <c r="Z705" s="48" t="s">
        <v>31</v>
      </c>
      <c r="AA705" s="54" t="str">
        <f t="array" ref="AA705">XLOOKUP($A705,'Recipients REF'!$A:$A,'Recipients REF'!M:M,"",0)</f>
        <v>25080775</v>
      </c>
      <c r="AB705" s="49"/>
      <c r="AC705" s="42"/>
      <c r="AD705" s="42"/>
      <c r="AE705" s="51"/>
      <c r="AF705" s="52"/>
      <c r="AG705" s="42"/>
      <c r="AH705" s="42"/>
      <c r="AI705" s="42" t="str">
        <f t="array" ref="AI705">XLOOKUP($E705,Sheet11!$D:$D,Sheet11!$X:$X,"",0)</f>
        <v/>
      </c>
      <c r="AJ705" s="42" t="str">
        <f t="array" ref="AJ705">XLOOKUP($E705,Sheet11!$D:$D,Sheet11!$Y:$Y,"",0)</f>
        <v/>
      </c>
    </row>
    <row r="706">
      <c r="A706" s="41">
        <v>854.0</v>
      </c>
      <c r="B706" s="42" t="s">
        <v>1374</v>
      </c>
      <c r="C706" s="42" t="s">
        <v>1375</v>
      </c>
      <c r="D706" s="42"/>
      <c r="E706" s="42" t="str">
        <f t="shared" ref="E706:F706" si="707">PROPER(B706)</f>
        <v>Municipal Local Government Unit Of San Teodoro</v>
      </c>
      <c r="F706" s="42" t="str">
        <f t="shared" si="707"/>
        <v>Poblacion, San Teodoro, Oriental Mindoro</v>
      </c>
      <c r="G706" s="42" t="str">
        <f t="shared" si="3"/>
        <v>Poblacion</v>
      </c>
      <c r="H706" s="42" t="str">
        <f t="shared" si="4"/>
        <v>San Teodoro</v>
      </c>
      <c r="I706" s="42" t="str">
        <f t="shared" si="5"/>
        <v>Oriental Mindoro</v>
      </c>
      <c r="J706" s="42" t="str">
        <f t="array" ref="J706">XLOOKUP($E706,'Recipients REF'!$B:$B,'Recipients REF'!D:D,"",0)</f>
        <v>Hon. Salvador R. Py</v>
      </c>
      <c r="K706" s="42" t="str">
        <f t="array" ref="K706">XLOOKUP($E706,'Recipients REF'!$B:$B,'Recipients REF'!E:E,"",0)</f>
        <v>0927 697 4479</v>
      </c>
      <c r="L706" s="43" t="str">
        <f t="array" ref="L706">XLOOKUP($A706,'Recipients REF'!$A:$A,'Recipients REF'!F:F,"",0)</f>
        <v>RCEF 25-03-05</v>
      </c>
      <c r="M706" s="43">
        <f t="array" ref="M706">XLOOKUP($A706,'Recipients REF'!$A:$A,'Recipients REF'!G:G,"",0)</f>
        <v>6</v>
      </c>
      <c r="N706" s="43" t="str">
        <f t="array" ref="N706">XLOOKUP($A706,'Recipients REF'!$A:$A,'Recipients REF'!H:H,"",0)</f>
        <v>26855 &amp; 27808</v>
      </c>
      <c r="O706" s="44" t="s">
        <v>25</v>
      </c>
      <c r="P706" s="45" t="s">
        <v>26</v>
      </c>
      <c r="Q706" s="46" t="str">
        <f t="array" ref="Q706">XLOOKUP($A706,'Recipients REF'!$A:$A,'Recipients REF'!I:I,"",0)</f>
        <v>KMC5825 ACSFPV0009</v>
      </c>
      <c r="R706" s="53" t="str">
        <f t="array" ref="R706">XLOOKUP($A706,'Recipients REF'!$A:$A,'Recipients REF'!J:J,"",0)</f>
        <v>STS100025</v>
      </c>
      <c r="S706" s="45" t="s">
        <v>27</v>
      </c>
      <c r="T706" s="45" t="s">
        <v>28</v>
      </c>
      <c r="U706" s="46" t="str">
        <f t="array" ref="U706">XLOOKUP($A706,'Recipients REF'!$A:$A,'Recipients REF'!K:K,"",0)</f>
        <v>WR-SERIES 039</v>
      </c>
      <c r="V706" s="44" t="s">
        <v>29</v>
      </c>
      <c r="W706" s="45" t="s">
        <v>30</v>
      </c>
      <c r="X706" s="53" t="str">
        <f t="array" ref="X706">XLOOKUP($A706,'Recipients REF'!$A:$A,'Recipients REF'!L:L,"",0)</f>
        <v>25070115</v>
      </c>
      <c r="Y706" s="48" t="s">
        <v>29</v>
      </c>
      <c r="Z706" s="48" t="s">
        <v>31</v>
      </c>
      <c r="AA706" s="54" t="str">
        <f t="array" ref="AA706">XLOOKUP($A706,'Recipients REF'!$A:$A,'Recipients REF'!M:M,"",0)</f>
        <v>25080771</v>
      </c>
      <c r="AB706" s="49"/>
      <c r="AC706" s="42"/>
      <c r="AD706" s="42"/>
      <c r="AE706" s="51"/>
      <c r="AF706" s="52"/>
      <c r="AG706" s="42"/>
      <c r="AH706" s="42"/>
      <c r="AI706" s="42" t="str">
        <f t="array" ref="AI706">XLOOKUP($E706,Sheet11!$D:$D,Sheet11!$X:$X,"",0)</f>
        <v/>
      </c>
      <c r="AJ706" s="42" t="str">
        <f t="array" ref="AJ706">XLOOKUP($E706,Sheet11!$D:$D,Sheet11!$Y:$Y,"",0)</f>
        <v/>
      </c>
    </row>
    <row r="707">
      <c r="A707" s="41">
        <v>855.0</v>
      </c>
      <c r="B707" s="42" t="s">
        <v>1376</v>
      </c>
      <c r="C707" s="42" t="s">
        <v>1377</v>
      </c>
      <c r="D707" s="42"/>
      <c r="E707" s="42" t="str">
        <f t="shared" ref="E707:F707" si="708">PROPER(B707)</f>
        <v>New Life Lowland Farmers Association</v>
      </c>
      <c r="F707" s="42" t="str">
        <f t="shared" si="708"/>
        <v>Bagong Buhay, Victoria, Oriental Mindoro</v>
      </c>
      <c r="G707" s="42" t="str">
        <f t="shared" si="3"/>
        <v>Bagong Buhay</v>
      </c>
      <c r="H707" s="42" t="str">
        <f t="shared" si="4"/>
        <v>Victoria</v>
      </c>
      <c r="I707" s="42" t="str">
        <f t="shared" si="5"/>
        <v>Oriental Mindoro</v>
      </c>
      <c r="J707" s="42" t="str">
        <f t="array" ref="J707">XLOOKUP($E707,'Recipients REF'!$B:$B,'Recipients REF'!D:D,"",0)</f>
        <v>Loreto C. Pascual</v>
      </c>
      <c r="K707" s="42" t="str">
        <f t="array" ref="K707">XLOOKUP($E707,'Recipients REF'!$B:$B,'Recipients REF'!E:E,"",0)</f>
        <v>0945 528 6418/0949 311 9812</v>
      </c>
      <c r="L707" s="43" t="str">
        <f t="array" ref="L707">XLOOKUP($A707,'Recipients REF'!$A:$A,'Recipients REF'!F:F,"",0)</f>
        <v>RCEF 25-03-05</v>
      </c>
      <c r="M707" s="43">
        <f t="array" ref="M707">XLOOKUP($A707,'Recipients REF'!$A:$A,'Recipients REF'!G:G,"",0)</f>
        <v>6</v>
      </c>
      <c r="N707" s="43" t="str">
        <f t="array" ref="N707">XLOOKUP($A707,'Recipients REF'!$A:$A,'Recipients REF'!H:H,"",0)</f>
        <v>26856 &amp; 27809</v>
      </c>
      <c r="O707" s="44" t="s">
        <v>25</v>
      </c>
      <c r="P707" s="45" t="s">
        <v>26</v>
      </c>
      <c r="Q707" s="46" t="str">
        <f t="array" ref="Q707">XLOOKUP($A707,'Recipients REF'!$A:$A,'Recipients REF'!I:I,"",0)</f>
        <v>KMC5825 APSFPV0006</v>
      </c>
      <c r="R707" s="53" t="str">
        <f t="array" ref="R707">XLOOKUP($A707,'Recipients REF'!$A:$A,'Recipients REF'!J:J,"",0)</f>
        <v>STS100027</v>
      </c>
      <c r="S707" s="45" t="s">
        <v>27</v>
      </c>
      <c r="T707" s="45" t="s">
        <v>28</v>
      </c>
      <c r="U707" s="46" t="str">
        <f t="array" ref="U707">XLOOKUP($A707,'Recipients REF'!$A:$A,'Recipients REF'!K:K,"",0)</f>
        <v>WR-SERIES 082</v>
      </c>
      <c r="V707" s="44" t="s">
        <v>29</v>
      </c>
      <c r="W707" s="45" t="s">
        <v>30</v>
      </c>
      <c r="X707" s="53" t="str">
        <f t="array" ref="X707">XLOOKUP($A707,'Recipients REF'!$A:$A,'Recipients REF'!L:L,"",0)</f>
        <v>25070116</v>
      </c>
      <c r="Y707" s="48" t="s">
        <v>29</v>
      </c>
      <c r="Z707" s="48" t="s">
        <v>31</v>
      </c>
      <c r="AA707" s="54" t="str">
        <f t="array" ref="AA707">XLOOKUP($A707,'Recipients REF'!$A:$A,'Recipients REF'!M:M,"",0)</f>
        <v>25080766</v>
      </c>
      <c r="AB707" s="49"/>
      <c r="AC707" s="42"/>
      <c r="AD707" s="42"/>
      <c r="AE707" s="51"/>
      <c r="AF707" s="52"/>
      <c r="AG707" s="42"/>
      <c r="AH707" s="42"/>
      <c r="AI707" s="42" t="str">
        <f t="array" ref="AI707">XLOOKUP($E707,Sheet11!$D:$D,Sheet11!$X:$X,"",0)</f>
        <v/>
      </c>
      <c r="AJ707" s="42" t="str">
        <f t="array" ref="AJ707">XLOOKUP($E707,Sheet11!$D:$D,Sheet11!$Y:$Y,"",0)</f>
        <v/>
      </c>
    </row>
    <row r="708">
      <c r="A708" s="41">
        <v>856.0</v>
      </c>
      <c r="B708" s="42" t="s">
        <v>1378</v>
      </c>
      <c r="C708" s="42" t="s">
        <v>1379</v>
      </c>
      <c r="D708" s="42"/>
      <c r="E708" s="42" t="str">
        <f t="shared" ref="E708:F708" si="709">PROPER(B708)</f>
        <v>Bagacay Farmers Ang Livestock Raisers Association</v>
      </c>
      <c r="F708" s="42" t="str">
        <f t="shared" si="709"/>
        <v>Nasukob (Pob.), Bulalacao, Oriental Mindoro</v>
      </c>
      <c r="G708" s="42" t="str">
        <f t="shared" si="3"/>
        <v>Nasukob (Pob.)</v>
      </c>
      <c r="H708" s="42" t="str">
        <f t="shared" si="4"/>
        <v>Bulalacao</v>
      </c>
      <c r="I708" s="42" t="str">
        <f t="shared" si="5"/>
        <v>Oriental Mindoro</v>
      </c>
      <c r="J708" s="42" t="str">
        <f t="array" ref="J708">XLOOKUP($E708,'Recipients REF'!$B:$B,'Recipients REF'!D:D,"",0)</f>
        <v>Pepito M. Cantos</v>
      </c>
      <c r="K708" s="42" t="str">
        <f t="array" ref="K708">XLOOKUP($E708,'Recipients REF'!$B:$B,'Recipients REF'!E:E,"",0)</f>
        <v>0935 251 5123</v>
      </c>
      <c r="L708" s="43" t="str">
        <f t="array" ref="L708">XLOOKUP($A708,'Recipients REF'!$A:$A,'Recipients REF'!F:F,"",0)</f>
        <v>RCEF 25-03-05</v>
      </c>
      <c r="M708" s="43">
        <f t="array" ref="M708">XLOOKUP($A708,'Recipients REF'!$A:$A,'Recipients REF'!G:G,"",0)</f>
        <v>6</v>
      </c>
      <c r="N708" s="43" t="str">
        <f t="array" ref="N708">XLOOKUP($A708,'Recipients REF'!$A:$A,'Recipients REF'!H:H,"",0)</f>
        <v>26857 &amp; 27810</v>
      </c>
      <c r="O708" s="44" t="s">
        <v>25</v>
      </c>
      <c r="P708" s="45" t="s">
        <v>26</v>
      </c>
      <c r="Q708" s="46" t="str">
        <f t="array" ref="Q708">XLOOKUP($A708,'Recipients REF'!$A:$A,'Recipients REF'!I:I,"",0)</f>
        <v>KMC5825 ACSFPV0018</v>
      </c>
      <c r="R708" s="53" t="str">
        <f t="array" ref="R708">XLOOKUP($A708,'Recipients REF'!$A:$A,'Recipients REF'!J:J,"",0)</f>
        <v>STS100008</v>
      </c>
      <c r="S708" s="45" t="s">
        <v>27</v>
      </c>
      <c r="T708" s="45" t="s">
        <v>28</v>
      </c>
      <c r="U708" s="46" t="str">
        <f t="array" ref="U708">XLOOKUP($A708,'Recipients REF'!$A:$A,'Recipients REF'!K:K,"",0)</f>
        <v>WR-SERIES 035</v>
      </c>
      <c r="V708" s="44" t="s">
        <v>29</v>
      </c>
      <c r="W708" s="45" t="s">
        <v>30</v>
      </c>
      <c r="X708" s="53" t="str">
        <f t="array" ref="X708">XLOOKUP($A708,'Recipients REF'!$A:$A,'Recipients REF'!L:L,"",0)</f>
        <v>25070117</v>
      </c>
      <c r="Y708" s="48" t="s">
        <v>29</v>
      </c>
      <c r="Z708" s="48" t="s">
        <v>31</v>
      </c>
      <c r="AA708" s="54" t="str">
        <f t="array" ref="AA708">XLOOKUP($A708,'Recipients REF'!$A:$A,'Recipients REF'!M:M,"",0)</f>
        <v>25080762</v>
      </c>
      <c r="AB708" s="49"/>
      <c r="AC708" s="42"/>
      <c r="AD708" s="42"/>
      <c r="AE708" s="51"/>
      <c r="AF708" s="52"/>
      <c r="AG708" s="42"/>
      <c r="AH708" s="42"/>
      <c r="AI708" s="42" t="str">
        <f t="array" ref="AI708">XLOOKUP($E708,Sheet11!$D:$D,Sheet11!$X:$X,"",0)</f>
        <v/>
      </c>
      <c r="AJ708" s="42" t="str">
        <f t="array" ref="AJ708">XLOOKUP($E708,Sheet11!$D:$D,Sheet11!$Y:$Y,"",0)</f>
        <v/>
      </c>
    </row>
    <row r="709">
      <c r="A709" s="41">
        <v>857.0</v>
      </c>
      <c r="B709" s="42" t="s">
        <v>1380</v>
      </c>
      <c r="C709" s="42" t="s">
        <v>1365</v>
      </c>
      <c r="D709" s="42"/>
      <c r="E709" s="42" t="str">
        <f t="shared" ref="E709:F709" si="710">PROPER(B709)</f>
        <v>Bulalacao Development Cooperative</v>
      </c>
      <c r="F709" s="42" t="str">
        <f t="shared" si="710"/>
        <v>Poblacion, Bulalacao, Oriental Mindoro</v>
      </c>
      <c r="G709" s="42" t="str">
        <f t="shared" si="3"/>
        <v>Poblacion</v>
      </c>
      <c r="H709" s="42" t="str">
        <f t="shared" si="4"/>
        <v>Bulalacao</v>
      </c>
      <c r="I709" s="42" t="str">
        <f t="shared" si="5"/>
        <v>Oriental Mindoro</v>
      </c>
      <c r="J709" s="42" t="str">
        <f t="array" ref="J709">XLOOKUP($E709,'Recipients REF'!$B:$B,'Recipients REF'!D:D,"",0)</f>
        <v>DANNY FESTIN</v>
      </c>
      <c r="K709" s="42" t="str">
        <f t="array" ref="K709">XLOOKUP($E709,'Recipients REF'!$B:$B,'Recipients REF'!E:E,"",0)</f>
        <v>0917 856 0379</v>
      </c>
      <c r="L709" s="43" t="str">
        <f t="array" ref="L709">XLOOKUP($A709,'Recipients REF'!$A:$A,'Recipients REF'!F:F,"",0)</f>
        <v>RCEF 25-03-05</v>
      </c>
      <c r="M709" s="43">
        <f t="array" ref="M709">XLOOKUP($A709,'Recipients REF'!$A:$A,'Recipients REF'!G:G,"",0)</f>
        <v>6</v>
      </c>
      <c r="N709" s="43" t="str">
        <f t="array" ref="N709">XLOOKUP($A709,'Recipients REF'!$A:$A,'Recipients REF'!H:H,"",0)</f>
        <v>26858 &amp; 27811</v>
      </c>
      <c r="O709" s="44" t="s">
        <v>25</v>
      </c>
      <c r="P709" s="45" t="s">
        <v>26</v>
      </c>
      <c r="Q709" s="46" t="str">
        <f t="array" ref="Q709">XLOOKUP($A709,'Recipients REF'!$A:$A,'Recipients REF'!I:I,"",0)</f>
        <v>KMC5825 ALSFPV0015</v>
      </c>
      <c r="R709" s="53" t="str">
        <f t="array" ref="R709">XLOOKUP($A709,'Recipients REF'!$A:$A,'Recipients REF'!J:J,"",0)</f>
        <v>STS100011</v>
      </c>
      <c r="S709" s="45" t="s">
        <v>27</v>
      </c>
      <c r="T709" s="45" t="s">
        <v>28</v>
      </c>
      <c r="U709" s="46" t="str">
        <f t="array" ref="U709">XLOOKUP($A709,'Recipients REF'!$A:$A,'Recipients REF'!K:K,"",0)</f>
        <v>WR-SERIES 038</v>
      </c>
      <c r="V709" s="44" t="s">
        <v>29</v>
      </c>
      <c r="W709" s="45" t="s">
        <v>30</v>
      </c>
      <c r="X709" s="53" t="str">
        <f t="array" ref="X709">XLOOKUP($A709,'Recipients REF'!$A:$A,'Recipients REF'!L:L,"",0)</f>
        <v>25070123</v>
      </c>
      <c r="Y709" s="48" t="s">
        <v>29</v>
      </c>
      <c r="Z709" s="48" t="s">
        <v>31</v>
      </c>
      <c r="AA709" s="54" t="str">
        <f t="array" ref="AA709">XLOOKUP($A709,'Recipients REF'!$A:$A,'Recipients REF'!M:M,"",0)</f>
        <v>25080760</v>
      </c>
      <c r="AB709" s="49"/>
      <c r="AC709" s="42"/>
      <c r="AD709" s="42"/>
      <c r="AE709" s="51"/>
      <c r="AF709" s="52"/>
      <c r="AG709" s="42"/>
      <c r="AH709" s="42"/>
      <c r="AI709" s="42" t="str">
        <f t="array" ref="AI709">XLOOKUP($E709,Sheet11!$D:$D,Sheet11!$X:$X,"",0)</f>
        <v/>
      </c>
      <c r="AJ709" s="42" t="str">
        <f t="array" ref="AJ709">XLOOKUP($E709,Sheet11!$D:$D,Sheet11!$Y:$Y,"",0)</f>
        <v/>
      </c>
    </row>
    <row r="710">
      <c r="A710" s="41">
        <v>858.0</v>
      </c>
      <c r="B710" s="42" t="s">
        <v>1381</v>
      </c>
      <c r="C710" s="42" t="s">
        <v>1379</v>
      </c>
      <c r="D710" s="42"/>
      <c r="E710" s="42" t="str">
        <f t="shared" ref="E710:F710" si="711">PROPER(B710)</f>
        <v>Imbuyungan Greenfields Livestock Raisers And Farmers Association</v>
      </c>
      <c r="F710" s="42" t="str">
        <f t="shared" si="711"/>
        <v>Nasukob (Pob.), Bulalacao, Oriental Mindoro</v>
      </c>
      <c r="G710" s="42" t="str">
        <f t="shared" si="3"/>
        <v>Nasukob (Pob.)</v>
      </c>
      <c r="H710" s="42" t="str">
        <f t="shared" si="4"/>
        <v>Bulalacao</v>
      </c>
      <c r="I710" s="42" t="str">
        <f t="shared" si="5"/>
        <v>Oriental Mindoro</v>
      </c>
      <c r="J710" s="42" t="str">
        <f t="array" ref="J710">XLOOKUP($E710,'Recipients REF'!$B:$B,'Recipients REF'!D:D,"",0)</f>
        <v>Ronaldo O. Contreras</v>
      </c>
      <c r="K710" s="42" t="str">
        <f t="array" ref="K710">XLOOKUP($E710,'Recipients REF'!$B:$B,'Recipients REF'!E:E,"",0)</f>
        <v>0929230 2314</v>
      </c>
      <c r="L710" s="43" t="str">
        <f t="array" ref="L710">XLOOKUP($A710,'Recipients REF'!$A:$A,'Recipients REF'!F:F,"",0)</f>
        <v>RCEF 25-03-05</v>
      </c>
      <c r="M710" s="43">
        <f t="array" ref="M710">XLOOKUP($A710,'Recipients REF'!$A:$A,'Recipients REF'!G:G,"",0)</f>
        <v>6</v>
      </c>
      <c r="N710" s="43" t="str">
        <f t="array" ref="N710">XLOOKUP($A710,'Recipients REF'!$A:$A,'Recipients REF'!H:H,"",0)</f>
        <v>26859 &amp; 27812</v>
      </c>
      <c r="O710" s="44" t="s">
        <v>25</v>
      </c>
      <c r="P710" s="45" t="s">
        <v>26</v>
      </c>
      <c r="Q710" s="46" t="str">
        <f t="array" ref="Q710">XLOOKUP($A710,'Recipients REF'!$A:$A,'Recipients REF'!I:I,"",0)</f>
        <v>KMC5825 APSFPV0023</v>
      </c>
      <c r="R710" s="53" t="str">
        <f t="array" ref="R710">XLOOKUP($A710,'Recipients REF'!$A:$A,'Recipients REF'!J:J,"",0)</f>
        <v>STS100018</v>
      </c>
      <c r="S710" s="45" t="s">
        <v>27</v>
      </c>
      <c r="T710" s="45" t="s">
        <v>28</v>
      </c>
      <c r="U710" s="46" t="str">
        <f t="array" ref="U710">XLOOKUP($A710,'Recipients REF'!$A:$A,'Recipients REF'!K:K,"",0)</f>
        <v>WR-SERIES 032</v>
      </c>
      <c r="V710" s="44" t="s">
        <v>29</v>
      </c>
      <c r="W710" s="45" t="s">
        <v>30</v>
      </c>
      <c r="X710" s="53" t="str">
        <f t="array" ref="X710">XLOOKUP($A710,'Recipients REF'!$A:$A,'Recipients REF'!L:L,"",0)</f>
        <v>25070093</v>
      </c>
      <c r="Y710" s="48" t="s">
        <v>29</v>
      </c>
      <c r="Z710" s="48" t="s">
        <v>31</v>
      </c>
      <c r="AA710" s="54" t="str">
        <f t="array" ref="AA710">XLOOKUP($A710,'Recipients REF'!$A:$A,'Recipients REF'!M:M,"",0)</f>
        <v>25080753</v>
      </c>
      <c r="AB710" s="49"/>
      <c r="AC710" s="42"/>
      <c r="AD710" s="42"/>
      <c r="AE710" s="51"/>
      <c r="AF710" s="52"/>
      <c r="AG710" s="42"/>
      <c r="AH710" s="42"/>
      <c r="AI710" s="42" t="str">
        <f t="array" ref="AI710">XLOOKUP($E710,Sheet11!$D:$D,Sheet11!$X:$X,"",0)</f>
        <v/>
      </c>
      <c r="AJ710" s="42" t="str">
        <f t="array" ref="AJ710">XLOOKUP($E710,Sheet11!$D:$D,Sheet11!$Y:$Y,"",0)</f>
        <v/>
      </c>
    </row>
    <row r="711">
      <c r="A711" s="41">
        <v>992.0</v>
      </c>
      <c r="B711" s="42" t="s">
        <v>1382</v>
      </c>
      <c r="C711" s="42" t="s">
        <v>1383</v>
      </c>
      <c r="D711" s="42"/>
      <c r="E711" s="42" t="str">
        <f t="shared" ref="E711:F711" si="712">PROPER(B711)</f>
        <v>Municipal Local Government Unit Of Mansalay</v>
      </c>
      <c r="F711" s="42" t="str">
        <f t="shared" si="712"/>
        <v>Poblacion, Mansalay, Oriental Mindoro</v>
      </c>
      <c r="G711" s="42" t="str">
        <f t="shared" si="3"/>
        <v>Poblacion</v>
      </c>
      <c r="H711" s="42" t="str">
        <f t="shared" si="4"/>
        <v>Mansalay</v>
      </c>
      <c r="I711" s="42" t="str">
        <f t="shared" si="5"/>
        <v>Oriental Mindoro</v>
      </c>
      <c r="J711" s="42" t="str">
        <f t="array" ref="J711">XLOOKUP($E711,'Recipients REF'!$B:$B,'Recipients REF'!D:D,"",0)</f>
        <v>Hon. Ferdinand M. Maliwanag</v>
      </c>
      <c r="K711" s="42" t="str">
        <f t="array" ref="K711">XLOOKUP($E711,'Recipients REF'!$B:$B,'Recipients REF'!E:E,"",0)</f>
        <v>0919 004 6814</v>
      </c>
      <c r="L711" s="43" t="str">
        <f t="array" ref="L711">XLOOKUP($A711,'Recipients REF'!$A:$A,'Recipients REF'!F:F,"",0)</f>
        <v>Repeat Order</v>
      </c>
      <c r="M711" s="43">
        <f t="array" ref="M711">XLOOKUP($A711,'Recipients REF'!$A:$A,'Recipients REF'!G:G,"",0)</f>
        <v>7</v>
      </c>
      <c r="N711" s="43">
        <f t="array" ref="N711">XLOOKUP($A711,'Recipients REF'!$A:$A,'Recipients REF'!H:H,"",0)</f>
        <v>23128</v>
      </c>
      <c r="O711" s="44" t="s">
        <v>25</v>
      </c>
      <c r="P711" s="45" t="s">
        <v>26</v>
      </c>
      <c r="Q711" s="46" t="str">
        <f t="array" ref="Q711">XLOOKUP($A711,'Recipients REF'!$A:$A,'Recipients REF'!I:I,"",0)</f>
        <v>KMC5825ACRFPV1073</v>
      </c>
      <c r="R711" s="47" t="str">
        <f t="array" ref="R711">XLOOKUP($A711,'Recipients REF'!$A:$A,'Recipients REF'!J:J,"",0)</f>
        <v>RTS100966</v>
      </c>
      <c r="S711" s="45" t="s">
        <v>27</v>
      </c>
      <c r="T711" s="45" t="s">
        <v>28</v>
      </c>
      <c r="U711" s="46" t="str">
        <f t="array" ref="U711">XLOOKUP($A711,'Recipients REF'!$A:$A,'Recipients REF'!K:K,"",0)</f>
        <v>LSGW1750-RMP-24111163</v>
      </c>
      <c r="V711" s="44" t="s">
        <v>29</v>
      </c>
      <c r="W711" s="45" t="s">
        <v>30</v>
      </c>
      <c r="X711" s="47" t="str">
        <f t="array" ref="X711">XLOOKUP($A711,'Recipients REF'!$A:$A,'Recipients REF'!L:L,"",0)</f>
        <v>WDP40-RMP-25020340</v>
      </c>
      <c r="Y711" s="48" t="s">
        <v>29</v>
      </c>
      <c r="Z711" s="48" t="s">
        <v>31</v>
      </c>
      <c r="AA711" s="46" t="str">
        <f t="array" ref="AA711">XLOOKUP($A711,'Recipients REF'!$A:$A,'Recipients REF'!M:M,"",0)</f>
        <v>WR-SERIES-1273PH</v>
      </c>
      <c r="AB711" s="49"/>
      <c r="AC711" s="42"/>
      <c r="AD711" s="42"/>
      <c r="AE711" s="51"/>
      <c r="AF711" s="52"/>
      <c r="AG711" s="42"/>
      <c r="AH711" s="42"/>
      <c r="AI711" s="42" t="str">
        <f t="array" ref="AI711">XLOOKUP($E711,Sheet11!$D:$D,Sheet11!$X:$X,"",0)</f>
        <v/>
      </c>
      <c r="AJ711" s="42" t="str">
        <f t="array" ref="AJ711">XLOOKUP($E711,Sheet11!$D:$D,Sheet11!$Y:$Y,"",0)</f>
        <v/>
      </c>
    </row>
    <row r="712">
      <c r="A712" s="41">
        <v>66.0</v>
      </c>
      <c r="B712" s="42" t="s">
        <v>1384</v>
      </c>
      <c r="C712" s="42" t="s">
        <v>1385</v>
      </c>
      <c r="D712" s="42"/>
      <c r="E712" s="42" t="str">
        <f t="shared" ref="E712:F712" si="713">PROPER(B712)</f>
        <v>Tanatanaen Farmers Irrigator'S Association, Inc.</v>
      </c>
      <c r="F712" s="42" t="str">
        <f t="shared" si="713"/>
        <v>Tanatanaon (Mainland), Dumaran, Palawan</v>
      </c>
      <c r="G712" s="42" t="str">
        <f t="shared" si="3"/>
        <v>Tanatanaon (Mainland)</v>
      </c>
      <c r="H712" s="42" t="str">
        <f t="shared" si="4"/>
        <v>Dumaran</v>
      </c>
      <c r="I712" s="42" t="str">
        <f t="shared" si="5"/>
        <v>Palawan</v>
      </c>
      <c r="J712" s="42" t="str">
        <f t="array" ref="J712">XLOOKUP($E712,'Recipients REF'!$B:$B,'Recipients REF'!D:D,"",0)</f>
        <v>Reden Mark S. Pineda</v>
      </c>
      <c r="K712" s="42" t="str">
        <f t="array" ref="K712">XLOOKUP($E712,'Recipients REF'!$B:$B,'Recipients REF'!E:E,"",0)</f>
        <v>0950 608 7527</v>
      </c>
      <c r="L712" s="43" t="str">
        <f t="array" ref="L712">XLOOKUP($A712,'Recipients REF'!$A:$A,'Recipients REF'!F:F,"",0)</f>
        <v>RCEF 23-08-20 Rebidding</v>
      </c>
      <c r="M712" s="43">
        <f t="array" ref="M712">XLOOKUP($A712,'Recipients REF'!$A:$A,'Recipients REF'!G:G,"",0)</f>
        <v>1</v>
      </c>
      <c r="N712" s="43">
        <f t="array" ref="N712">XLOOKUP($A712,'Recipients REF'!$A:$A,'Recipients REF'!H:H,"",0)</f>
        <v>17941</v>
      </c>
      <c r="O712" s="44" t="s">
        <v>25</v>
      </c>
      <c r="P712" s="45" t="s">
        <v>26</v>
      </c>
      <c r="Q712" s="46" t="str">
        <f t="array" ref="Q712">XLOOKUP($A712,'Recipients REF'!$A:$A,'Recipients REF'!I:I,"",0)</f>
        <v>KMC 5825 ALPFPV0149</v>
      </c>
      <c r="R712" s="47" t="str">
        <f t="array" ref="R712">XLOOKUP($A712,'Recipients REF'!$A:$A,'Recipients REF'!J:J,"",0)</f>
        <v>PTS 100146</v>
      </c>
      <c r="S712" s="45" t="s">
        <v>27</v>
      </c>
      <c r="T712" s="45" t="s">
        <v>28</v>
      </c>
      <c r="U712" s="46" t="str">
        <f t="array" ref="U712">XLOOKUP($A712,'Recipients REF'!$A:$A,'Recipients REF'!K:K,"",0)</f>
        <v>R-SERIES 136 PH</v>
      </c>
      <c r="V712" s="44" t="s">
        <v>29</v>
      </c>
      <c r="W712" s="45" t="s">
        <v>30</v>
      </c>
      <c r="X712" s="47" t="str">
        <f t="array" ref="X712">XLOOKUP($A712,'Recipients REF'!$A:$A,'Recipients REF'!L:L,"",0)</f>
        <v>LSGW1750 RMP 2312054</v>
      </c>
      <c r="Y712" s="48" t="s">
        <v>29</v>
      </c>
      <c r="Z712" s="48" t="s">
        <v>31</v>
      </c>
      <c r="AA712" s="46" t="str">
        <f t="array" ref="AA712">XLOOKUP($A712,'Recipients REF'!$A:$A,'Recipients REF'!M:M,"",0)</f>
        <v>WDP40 RMP 2312084</v>
      </c>
      <c r="AB712" s="49"/>
      <c r="AC712" s="42"/>
      <c r="AD712" s="42"/>
      <c r="AE712" s="51"/>
      <c r="AF712" s="52"/>
      <c r="AG712" s="42"/>
      <c r="AH712" s="42"/>
      <c r="AI712" s="42">
        <f t="array" ref="AI712">XLOOKUP($E712,Sheet11!$D:$D,Sheet11!$X:$X,"",0)</f>
        <v>869066060237774</v>
      </c>
      <c r="AJ712" s="42">
        <f t="array" ref="AJ712">XLOOKUP($E712,Sheet11!$D:$D,Sheet11!$Y:$Y,"",0)</f>
        <v>9691074388</v>
      </c>
    </row>
    <row r="713">
      <c r="A713" s="41">
        <v>67.0</v>
      </c>
      <c r="B713" s="42" t="s">
        <v>1386</v>
      </c>
      <c r="C713" s="42" t="s">
        <v>1387</v>
      </c>
      <c r="D713" s="42"/>
      <c r="E713" s="42" t="str">
        <f t="shared" ref="E713:F713" si="714">PROPER(B713)</f>
        <v>Purok Calaparan Magsaysay Farmers Association</v>
      </c>
      <c r="F713" s="42" t="str">
        <f t="shared" si="714"/>
        <v>Magsaysay, Dumaran, Palawan</v>
      </c>
      <c r="G713" s="42" t="str">
        <f t="shared" si="3"/>
        <v>Magsaysay</v>
      </c>
      <c r="H713" s="42" t="str">
        <f t="shared" si="4"/>
        <v>Dumaran</v>
      </c>
      <c r="I713" s="42" t="str">
        <f t="shared" si="5"/>
        <v>Palawan</v>
      </c>
      <c r="J713" s="42" t="str">
        <f t="array" ref="J713">XLOOKUP($E713,'Recipients REF'!$B:$B,'Recipients REF'!D:D,"",0)</f>
        <v>Mecheil Mangalao</v>
      </c>
      <c r="K713" s="42">
        <f t="array" ref="K713">XLOOKUP($E713,'Recipients REF'!$B:$B,'Recipients REF'!E:E,"",0)</f>
        <v>9128337112</v>
      </c>
      <c r="L713" s="43" t="str">
        <f t="array" ref="L713">XLOOKUP($A713,'Recipients REF'!$A:$A,'Recipients REF'!F:F,"",0)</f>
        <v>RCEF 23-08-20 Rebidding</v>
      </c>
      <c r="M713" s="43">
        <f t="array" ref="M713">XLOOKUP($A713,'Recipients REF'!$A:$A,'Recipients REF'!G:G,"",0)</f>
        <v>1</v>
      </c>
      <c r="N713" s="43">
        <f t="array" ref="N713">XLOOKUP($A713,'Recipients REF'!$A:$A,'Recipients REF'!H:H,"",0)</f>
        <v>17942</v>
      </c>
      <c r="O713" s="44" t="s">
        <v>25</v>
      </c>
      <c r="P713" s="45" t="s">
        <v>26</v>
      </c>
      <c r="Q713" s="46" t="str">
        <f t="array" ref="Q713">XLOOKUP($A713,'Recipients REF'!$A:$A,'Recipients REF'!I:I,"",0)</f>
        <v>KMC 5825 AEPFPV0140</v>
      </c>
      <c r="R713" s="47" t="str">
        <f t="array" ref="R713">XLOOKUP($A713,'Recipients REF'!$A:$A,'Recipients REF'!J:J,"",0)</f>
        <v>PTS 100118</v>
      </c>
      <c r="S713" s="45" t="s">
        <v>27</v>
      </c>
      <c r="T713" s="45" t="s">
        <v>28</v>
      </c>
      <c r="U713" s="46" t="str">
        <f t="array" ref="U713">XLOOKUP($A713,'Recipients REF'!$A:$A,'Recipients REF'!K:K,"",0)</f>
        <v>R-SERIES 141 PH</v>
      </c>
      <c r="V713" s="44" t="s">
        <v>29</v>
      </c>
      <c r="W713" s="45" t="s">
        <v>30</v>
      </c>
      <c r="X713" s="47" t="str">
        <f t="array" ref="X713">XLOOKUP($A713,'Recipients REF'!$A:$A,'Recipients REF'!L:L,"",0)</f>
        <v>LSGW1750 RMP 2312057</v>
      </c>
      <c r="Y713" s="48" t="s">
        <v>29</v>
      </c>
      <c r="Z713" s="48" t="s">
        <v>31</v>
      </c>
      <c r="AA713" s="46" t="str">
        <f t="array" ref="AA713">XLOOKUP($A713,'Recipients REF'!$A:$A,'Recipients REF'!M:M,"",0)</f>
        <v>WDP40 RMP 2312093</v>
      </c>
      <c r="AB713" s="49"/>
      <c r="AC713" s="42"/>
      <c r="AD713" s="42"/>
      <c r="AE713" s="51"/>
      <c r="AF713" s="52"/>
      <c r="AG713" s="42"/>
      <c r="AH713" s="42"/>
      <c r="AI713" s="42">
        <f t="array" ref="AI713">XLOOKUP($E713,Sheet11!$D:$D,Sheet11!$X:$X,"",0)</f>
        <v>869066060240273</v>
      </c>
      <c r="AJ713" s="42">
        <f t="array" ref="AJ713">XLOOKUP($E713,Sheet11!$D:$D,Sheet11!$Y:$Y,"",0)</f>
        <v>9690404833</v>
      </c>
    </row>
    <row r="714">
      <c r="A714" s="41">
        <v>68.0</v>
      </c>
      <c r="B714" s="42" t="s">
        <v>1388</v>
      </c>
      <c r="C714" s="42" t="s">
        <v>1389</v>
      </c>
      <c r="D714" s="42"/>
      <c r="E714" s="42" t="str">
        <f t="shared" ref="E714:F714" si="715">PROPER(B714)</f>
        <v>Aberawan Farmer'S Association (Afa)</v>
      </c>
      <c r="F714" s="42" t="str">
        <f t="shared" si="715"/>
        <v>Aberawan, El Nido, Palawan</v>
      </c>
      <c r="G714" s="42" t="str">
        <f t="shared" si="3"/>
        <v>Aberawan</v>
      </c>
      <c r="H714" s="42" t="str">
        <f t="shared" si="4"/>
        <v>El Nido</v>
      </c>
      <c r="I714" s="42" t="str">
        <f t="shared" si="5"/>
        <v>Palawan</v>
      </c>
      <c r="J714" s="42" t="str">
        <f t="array" ref="J714">XLOOKUP($E714,'Recipients REF'!$B:$B,'Recipients REF'!D:D,"",0)</f>
        <v>Marlon R. Panoncio</v>
      </c>
      <c r="K714" s="42" t="str">
        <f t="array" ref="K714">XLOOKUP($E714,'Recipients REF'!$B:$B,'Recipients REF'!E:E,"",0)</f>
        <v>0975 55570164</v>
      </c>
      <c r="L714" s="43" t="str">
        <f t="array" ref="L714">XLOOKUP($A714,'Recipients REF'!$A:$A,'Recipients REF'!F:F,"",0)</f>
        <v>RCEF 23-08-20 Rebidding</v>
      </c>
      <c r="M714" s="43">
        <f t="array" ref="M714">XLOOKUP($A714,'Recipients REF'!$A:$A,'Recipients REF'!G:G,"",0)</f>
        <v>1</v>
      </c>
      <c r="N714" s="43">
        <f t="array" ref="N714">XLOOKUP($A714,'Recipients REF'!$A:$A,'Recipients REF'!H:H,"",0)</f>
        <v>17943</v>
      </c>
      <c r="O714" s="44" t="s">
        <v>25</v>
      </c>
      <c r="P714" s="45" t="s">
        <v>26</v>
      </c>
      <c r="Q714" s="46" t="str">
        <f t="array" ref="Q714">XLOOKUP($A714,'Recipients REF'!$A:$A,'Recipients REF'!I:I,"",0)</f>
        <v>KMC 5825 AHPFPV00055</v>
      </c>
      <c r="R714" s="47" t="str">
        <f t="array" ref="R714">XLOOKUP($A714,'Recipients REF'!$A:$A,'Recipients REF'!J:J,"",0)</f>
        <v>PTS 100133</v>
      </c>
      <c r="S714" s="45" t="s">
        <v>27</v>
      </c>
      <c r="T714" s="45" t="s">
        <v>28</v>
      </c>
      <c r="U714" s="46" t="str">
        <f t="array" ref="U714">XLOOKUP($A714,'Recipients REF'!$A:$A,'Recipients REF'!K:K,"",0)</f>
        <v>R-SERIES 150 PH</v>
      </c>
      <c r="V714" s="44" t="s">
        <v>29</v>
      </c>
      <c r="W714" s="45" t="s">
        <v>30</v>
      </c>
      <c r="X714" s="47" t="str">
        <f t="array" ref="X714">XLOOKUP($A714,'Recipients REF'!$A:$A,'Recipients REF'!L:L,"",0)</f>
        <v>LSGW1750 RMP 2312087</v>
      </c>
      <c r="Y714" s="48" t="s">
        <v>29</v>
      </c>
      <c r="Z714" s="48" t="s">
        <v>31</v>
      </c>
      <c r="AA714" s="46" t="str">
        <f t="array" ref="AA714">XLOOKUP($A714,'Recipients REF'!$A:$A,'Recipients REF'!M:M,"",0)</f>
        <v>WDP40 RMP 2312094</v>
      </c>
      <c r="AB714" s="49"/>
      <c r="AC714" s="42"/>
      <c r="AD714" s="42"/>
      <c r="AE714" s="51"/>
      <c r="AF714" s="52"/>
      <c r="AG714" s="42"/>
      <c r="AH714" s="42"/>
      <c r="AI714" s="42">
        <f t="array" ref="AI714">XLOOKUP($E714,Sheet11!$D:$D,Sheet11!$X:$X,"",0)</f>
        <v>869066060237816</v>
      </c>
      <c r="AJ714" s="42">
        <f t="array" ref="AJ714">XLOOKUP($E714,Sheet11!$D:$D,Sheet11!$Y:$Y,"",0)</f>
        <v>9690909206</v>
      </c>
    </row>
    <row r="715">
      <c r="A715" s="41">
        <v>69.0</v>
      </c>
      <c r="B715" s="42" t="s">
        <v>1390</v>
      </c>
      <c r="C715" s="42" t="s">
        <v>1391</v>
      </c>
      <c r="D715" s="42"/>
      <c r="E715" s="42" t="str">
        <f t="shared" ref="E715:F715" si="716">PROPER(B715)</f>
        <v>Sandoval Farmers Association</v>
      </c>
      <c r="F715" s="42" t="str">
        <f t="shared" si="716"/>
        <v>Sandoval, Roxas, Palawan</v>
      </c>
      <c r="G715" s="42" t="str">
        <f t="shared" si="3"/>
        <v>Sandoval</v>
      </c>
      <c r="H715" s="42" t="str">
        <f t="shared" si="4"/>
        <v>Roxas</v>
      </c>
      <c r="I715" s="42" t="str">
        <f t="shared" si="5"/>
        <v>Palawan</v>
      </c>
      <c r="J715" s="42" t="str">
        <f t="array" ref="J715">XLOOKUP($E715,'Recipients REF'!$B:$B,'Recipients REF'!D:D,"",0)</f>
        <v>Philip G. Flores</v>
      </c>
      <c r="K715" s="42">
        <f t="array" ref="K715">XLOOKUP($E715,'Recipients REF'!$B:$B,'Recipients REF'!E:E,"",0)</f>
        <v>9261966722</v>
      </c>
      <c r="L715" s="43" t="str">
        <f t="array" ref="L715">XLOOKUP($A715,'Recipients REF'!$A:$A,'Recipients REF'!F:F,"",0)</f>
        <v>RCEF 23-08-20 Rebidding</v>
      </c>
      <c r="M715" s="43">
        <f t="array" ref="M715">XLOOKUP($A715,'Recipients REF'!$A:$A,'Recipients REF'!G:G,"",0)</f>
        <v>1</v>
      </c>
      <c r="N715" s="43">
        <f t="array" ref="N715">XLOOKUP($A715,'Recipients REF'!$A:$A,'Recipients REF'!H:H,"",0)</f>
        <v>17944</v>
      </c>
      <c r="O715" s="44" t="s">
        <v>25</v>
      </c>
      <c r="P715" s="45" t="s">
        <v>26</v>
      </c>
      <c r="Q715" s="46" t="str">
        <f t="array" ref="Q715">XLOOKUP($A715,'Recipients REF'!$A:$A,'Recipients REF'!I:I,"",0)</f>
        <v>KMC 5825 AEPFPV0090</v>
      </c>
      <c r="R715" s="47" t="str">
        <f t="array" ref="R715">XLOOKUP($A715,'Recipients REF'!$A:$A,'Recipients REF'!J:J,"",0)</f>
        <v>PTS 100122</v>
      </c>
      <c r="S715" s="45" t="s">
        <v>27</v>
      </c>
      <c r="T715" s="45" t="s">
        <v>28</v>
      </c>
      <c r="U715" s="46" t="str">
        <f t="array" ref="U715">XLOOKUP($A715,'Recipients REF'!$A:$A,'Recipients REF'!K:K,"",0)</f>
        <v>R-SERIES 135 PH</v>
      </c>
      <c r="V715" s="44" t="s">
        <v>29</v>
      </c>
      <c r="W715" s="45" t="s">
        <v>30</v>
      </c>
      <c r="X715" s="47" t="str">
        <f t="array" ref="X715">XLOOKUP($A715,'Recipients REF'!$A:$A,'Recipients REF'!L:L,"",0)</f>
        <v>LSGW1750 RMP 2312065</v>
      </c>
      <c r="Y715" s="48" t="s">
        <v>29</v>
      </c>
      <c r="Z715" s="48" t="s">
        <v>31</v>
      </c>
      <c r="AA715" s="46" t="str">
        <f t="array" ref="AA715">XLOOKUP($A715,'Recipients REF'!$A:$A,'Recipients REF'!M:M,"",0)</f>
        <v>WDP40 RMP 2312098</v>
      </c>
      <c r="AB715" s="49"/>
      <c r="AC715" s="42"/>
      <c r="AD715" s="42"/>
      <c r="AE715" s="51"/>
      <c r="AF715" s="52"/>
      <c r="AG715" s="42"/>
      <c r="AH715" s="42"/>
      <c r="AI715" s="42">
        <f t="array" ref="AI715">XLOOKUP($E715,Sheet11!$D:$D,Sheet11!$X:$X,"",0)</f>
        <v>869066060237782</v>
      </c>
      <c r="AJ715" s="42">
        <f t="array" ref="AJ715">XLOOKUP($E715,Sheet11!$D:$D,Sheet11!$Y:$Y,"",0)</f>
        <v>9691136907</v>
      </c>
    </row>
    <row r="716">
      <c r="A716" s="41">
        <v>70.0</v>
      </c>
      <c r="B716" s="42" t="s">
        <v>1392</v>
      </c>
      <c r="C716" s="42" t="s">
        <v>1393</v>
      </c>
      <c r="D716" s="42"/>
      <c r="E716" s="42" t="str">
        <f t="shared" ref="E716:F716" si="717">PROPER(B716)</f>
        <v>Pamuayan Farmers Association</v>
      </c>
      <c r="F716" s="42" t="str">
        <f t="shared" si="717"/>
        <v>Barton, San Vicente, Palawan</v>
      </c>
      <c r="G716" s="42" t="str">
        <f t="shared" si="3"/>
        <v>Barton</v>
      </c>
      <c r="H716" s="42" t="str">
        <f t="shared" si="4"/>
        <v>San Vicente</v>
      </c>
      <c r="I716" s="42" t="str">
        <f t="shared" si="5"/>
        <v>Palawan</v>
      </c>
      <c r="J716" s="42" t="str">
        <f t="array" ref="J716">XLOOKUP($E716,'Recipients REF'!$B:$B,'Recipients REF'!D:D,"",0)</f>
        <v>Joel C. Capindo</v>
      </c>
      <c r="K716" s="42">
        <f t="array" ref="K716">XLOOKUP($E716,'Recipients REF'!$B:$B,'Recipients REF'!E:E,"",0)</f>
        <v>9309127724</v>
      </c>
      <c r="L716" s="43" t="str">
        <f t="array" ref="L716">XLOOKUP($A716,'Recipients REF'!$A:$A,'Recipients REF'!F:F,"",0)</f>
        <v>RCEF 23-08-20 Rebidding</v>
      </c>
      <c r="M716" s="43">
        <f t="array" ref="M716">XLOOKUP($A716,'Recipients REF'!$A:$A,'Recipients REF'!G:G,"",0)</f>
        <v>1</v>
      </c>
      <c r="N716" s="43">
        <f t="array" ref="N716">XLOOKUP($A716,'Recipients REF'!$A:$A,'Recipients REF'!H:H,"",0)</f>
        <v>17945</v>
      </c>
      <c r="O716" s="44" t="s">
        <v>25</v>
      </c>
      <c r="P716" s="45" t="s">
        <v>26</v>
      </c>
      <c r="Q716" s="46" t="str">
        <f t="array" ref="Q716">XLOOKUP($A716,'Recipients REF'!$A:$A,'Recipients REF'!I:I,"",0)</f>
        <v>KMC 5825 ATPFPV0061</v>
      </c>
      <c r="R716" s="47" t="str">
        <f t="array" ref="R716">XLOOKUP($A716,'Recipients REF'!$A:$A,'Recipients REF'!J:J,"",0)</f>
        <v>PTS 100149</v>
      </c>
      <c r="S716" s="45" t="s">
        <v>27</v>
      </c>
      <c r="T716" s="45" t="s">
        <v>28</v>
      </c>
      <c r="U716" s="46" t="str">
        <f t="array" ref="U716">XLOOKUP($A716,'Recipients REF'!$A:$A,'Recipients REF'!K:K,"",0)</f>
        <v>R-SERIES 129 PH</v>
      </c>
      <c r="V716" s="44" t="s">
        <v>29</v>
      </c>
      <c r="W716" s="45" t="s">
        <v>30</v>
      </c>
      <c r="X716" s="47" t="str">
        <f t="array" ref="X716">XLOOKUP($A716,'Recipients REF'!$A:$A,'Recipients REF'!L:L,"",0)</f>
        <v>LSGW1750 RMP 2312069</v>
      </c>
      <c r="Y716" s="48" t="s">
        <v>29</v>
      </c>
      <c r="Z716" s="48" t="s">
        <v>31</v>
      </c>
      <c r="AA716" s="46" t="str">
        <f t="array" ref="AA716">XLOOKUP($A716,'Recipients REF'!$A:$A,'Recipients REF'!M:M,"",0)</f>
        <v>WDP40 RMP 2312104</v>
      </c>
      <c r="AB716" s="49"/>
      <c r="AC716" s="42"/>
      <c r="AD716" s="42"/>
      <c r="AE716" s="50"/>
      <c r="AF716" s="42"/>
      <c r="AG716" s="42"/>
      <c r="AH716" s="42"/>
      <c r="AI716" s="42">
        <f t="array" ref="AI716">XLOOKUP($E716,Sheet11!$D:$D,Sheet11!$X:$X,"",0)</f>
        <v>869066060240356</v>
      </c>
      <c r="AJ716" s="42">
        <f t="array" ref="AJ716">XLOOKUP($E716,Sheet11!$D:$D,Sheet11!$Y:$Y,"",0)</f>
        <v>9086828602</v>
      </c>
    </row>
    <row r="717">
      <c r="A717" s="41">
        <v>71.0</v>
      </c>
      <c r="B717" s="42" t="s">
        <v>1394</v>
      </c>
      <c r="C717" s="42" t="s">
        <v>1395</v>
      </c>
      <c r="D717" s="42"/>
      <c r="E717" s="42" t="str">
        <f t="shared" ref="E717:F717" si="718">PROPER(B717)</f>
        <v>Sandoval Farmers Associaton</v>
      </c>
      <c r="F717" s="42" t="str">
        <f t="shared" si="718"/>
        <v>Sandoval, Taytay, Palawan</v>
      </c>
      <c r="G717" s="42" t="str">
        <f t="shared" si="3"/>
        <v>Sandoval</v>
      </c>
      <c r="H717" s="42" t="str">
        <f t="shared" si="4"/>
        <v>Taytay</v>
      </c>
      <c r="I717" s="42" t="str">
        <f t="shared" si="5"/>
        <v>Palawan</v>
      </c>
      <c r="J717" s="42" t="str">
        <f t="array" ref="J717">XLOOKUP($E717,'Recipients REF'!$B:$B,'Recipients REF'!D:D,"",0)</f>
        <v>Isagani L. Repe</v>
      </c>
      <c r="K717" s="42">
        <f t="array" ref="K717">XLOOKUP($E717,'Recipients REF'!$B:$B,'Recipients REF'!E:E,"",0)</f>
        <v>9466248004</v>
      </c>
      <c r="L717" s="43" t="str">
        <f t="array" ref="L717">XLOOKUP($A717,'Recipients REF'!$A:$A,'Recipients REF'!F:F,"",0)</f>
        <v>RCEF 23-08-20 Rebidding</v>
      </c>
      <c r="M717" s="43">
        <f t="array" ref="M717">XLOOKUP($A717,'Recipients REF'!$A:$A,'Recipients REF'!G:G,"",0)</f>
        <v>1</v>
      </c>
      <c r="N717" s="43">
        <f t="array" ref="N717">XLOOKUP($A717,'Recipients REF'!$A:$A,'Recipients REF'!H:H,"",0)</f>
        <v>17946</v>
      </c>
      <c r="O717" s="44" t="s">
        <v>25</v>
      </c>
      <c r="P717" s="45" t="s">
        <v>26</v>
      </c>
      <c r="Q717" s="46" t="str">
        <f t="array" ref="Q717">XLOOKUP($A717,'Recipients REF'!$A:$A,'Recipients REF'!I:I,"",0)</f>
        <v>KMC 5825 APFPV0076</v>
      </c>
      <c r="R717" s="47" t="str">
        <f t="array" ref="R717">XLOOKUP($A717,'Recipients REF'!$A:$A,'Recipients REF'!J:J,"",0)</f>
        <v>PTS 100060</v>
      </c>
      <c r="S717" s="45" t="s">
        <v>27</v>
      </c>
      <c r="T717" s="45" t="s">
        <v>28</v>
      </c>
      <c r="U717" s="46" t="str">
        <f t="array" ref="U717">XLOOKUP($A717,'Recipients REF'!$A:$A,'Recipients REF'!K:K,"",0)</f>
        <v>R-SERIES 130 PH</v>
      </c>
      <c r="V717" s="44" t="s">
        <v>29</v>
      </c>
      <c r="W717" s="45" t="s">
        <v>30</v>
      </c>
      <c r="X717" s="47" t="str">
        <f t="array" ref="X717">XLOOKUP($A717,'Recipients REF'!$A:$A,'Recipients REF'!L:L,"",0)</f>
        <v>LSGW1750 RMP 2312052</v>
      </c>
      <c r="Y717" s="48" t="s">
        <v>29</v>
      </c>
      <c r="Z717" s="48" t="s">
        <v>31</v>
      </c>
      <c r="AA717" s="46" t="str">
        <f t="array" ref="AA717">XLOOKUP($A717,'Recipients REF'!$A:$A,'Recipients REF'!M:M,"",0)</f>
        <v>WDP40 RMP 2312081</v>
      </c>
      <c r="AB717" s="49"/>
      <c r="AC717" s="42"/>
      <c r="AD717" s="42"/>
      <c r="AE717" s="50"/>
      <c r="AF717" s="42"/>
      <c r="AG717" s="42"/>
      <c r="AH717" s="42"/>
      <c r="AI717" s="42">
        <f t="array" ref="AI717">XLOOKUP($E717,Sheet11!$D:$D,Sheet11!$X:$X,"",0)</f>
        <v>869066060245306</v>
      </c>
      <c r="AJ717" s="42">
        <f t="array" ref="AJ717">XLOOKUP($E717,Sheet11!$D:$D,Sheet11!$Y:$Y,"",0)</f>
        <v>9086607649</v>
      </c>
    </row>
    <row r="718">
      <c r="A718" s="41">
        <v>72.0</v>
      </c>
      <c r="B718" s="42" t="s">
        <v>1396</v>
      </c>
      <c r="C718" s="42" t="s">
        <v>1397</v>
      </c>
      <c r="D718" s="42"/>
      <c r="E718" s="42" t="str">
        <f t="shared" ref="E718:F718" si="719">PROPER(B718)</f>
        <v>Taysay Minahaw Farmer Irrigators Association, Inc.</v>
      </c>
      <c r="F718" s="42" t="str">
        <f t="shared" si="719"/>
        <v>Bono-Bono, Bataraza, Palawan</v>
      </c>
      <c r="G718" s="42" t="str">
        <f t="shared" si="3"/>
        <v>Bono-Bono</v>
      </c>
      <c r="H718" s="42" t="str">
        <f t="shared" si="4"/>
        <v>Bataraza</v>
      </c>
      <c r="I718" s="42" t="str">
        <f t="shared" si="5"/>
        <v>Palawan</v>
      </c>
      <c r="J718" s="42" t="str">
        <f t="array" ref="J718">XLOOKUP($E718,'Recipients REF'!$B:$B,'Recipients REF'!D:D,"",0)</f>
        <v>Eddie N. Sagun</v>
      </c>
      <c r="K718" s="42">
        <f t="array" ref="K718">XLOOKUP($E718,'Recipients REF'!$B:$B,'Recipients REF'!E:E,"",0)</f>
        <v>9985315419</v>
      </c>
      <c r="L718" s="43" t="str">
        <f t="array" ref="L718">XLOOKUP($A718,'Recipients REF'!$A:$A,'Recipients REF'!F:F,"",0)</f>
        <v>RCEF 23-08-20 Rebidding</v>
      </c>
      <c r="M718" s="43">
        <f t="array" ref="M718">XLOOKUP($A718,'Recipients REF'!$A:$A,'Recipients REF'!G:G,"",0)</f>
        <v>1</v>
      </c>
      <c r="N718" s="43">
        <f t="array" ref="N718">XLOOKUP($A718,'Recipients REF'!$A:$A,'Recipients REF'!H:H,"",0)</f>
        <v>17947</v>
      </c>
      <c r="O718" s="44" t="s">
        <v>25</v>
      </c>
      <c r="P718" s="45" t="s">
        <v>26</v>
      </c>
      <c r="Q718" s="46" t="str">
        <f t="array" ref="Q718">XLOOKUP($A718,'Recipients REF'!$A:$A,'Recipients REF'!I:I,"",0)</f>
        <v>KKC 5825 ALPFPV0104</v>
      </c>
      <c r="R718" s="47" t="str">
        <f t="array" ref="R718">XLOOKUP($A718,'Recipients REF'!$A:$A,'Recipients REF'!J:J,"",0)</f>
        <v>PTS 100072</v>
      </c>
      <c r="S718" s="45" t="s">
        <v>27</v>
      </c>
      <c r="T718" s="45" t="s">
        <v>28</v>
      </c>
      <c r="U718" s="46" t="str">
        <f t="array" ref="U718">XLOOKUP($A718,'Recipients REF'!$A:$A,'Recipients REF'!K:K,"",0)</f>
        <v>R-SERIES 146 PH</v>
      </c>
      <c r="V718" s="44" t="s">
        <v>29</v>
      </c>
      <c r="W718" s="45" t="s">
        <v>30</v>
      </c>
      <c r="X718" s="47" t="str">
        <f t="array" ref="X718">XLOOKUP($A718,'Recipients REF'!$A:$A,'Recipients REF'!L:L,"",0)</f>
        <v>LSGW1750 RMP 2312063</v>
      </c>
      <c r="Y718" s="48" t="s">
        <v>29</v>
      </c>
      <c r="Z718" s="48" t="s">
        <v>31</v>
      </c>
      <c r="AA718" s="46" t="str">
        <f t="array" ref="AA718">XLOOKUP($A718,'Recipients REF'!$A:$A,'Recipients REF'!M:M,"",0)</f>
        <v>WDP40 RMP 2312086</v>
      </c>
      <c r="AB718" s="49"/>
      <c r="AC718" s="42"/>
      <c r="AD718" s="42"/>
      <c r="AE718" s="51"/>
      <c r="AF718" s="52"/>
      <c r="AG718" s="42"/>
      <c r="AH718" s="42"/>
      <c r="AI718" s="42">
        <f t="array" ref="AI718">XLOOKUP($E718,Sheet11!$D:$D,Sheet11!$X:$X,"",0)</f>
        <v>869066060244705</v>
      </c>
      <c r="AJ718" s="42">
        <f t="array" ref="AJ718">XLOOKUP($E718,Sheet11!$D:$D,Sheet11!$Y:$Y,"",0)</f>
        <v>9081804171</v>
      </c>
    </row>
    <row r="719">
      <c r="A719" s="41">
        <v>73.0</v>
      </c>
      <c r="B719" s="42" t="s">
        <v>1398</v>
      </c>
      <c r="C719" s="42" t="s">
        <v>1399</v>
      </c>
      <c r="D719" s="42"/>
      <c r="E719" s="42" t="str">
        <f t="shared" ref="E719:F719" si="720">PROPER(B719)</f>
        <v>Calasaguen Division 4 Rice Producer'S Farmers Association</v>
      </c>
      <c r="F719" s="42" t="str">
        <f t="shared" si="720"/>
        <v>Calasaguen, Brooke'S Point, Palawan</v>
      </c>
      <c r="G719" s="42" t="str">
        <f t="shared" si="3"/>
        <v>Calasaguen</v>
      </c>
      <c r="H719" s="42" t="str">
        <f t="shared" si="4"/>
        <v>Brooke'S Point</v>
      </c>
      <c r="I719" s="42" t="str">
        <f t="shared" si="5"/>
        <v>Palawan</v>
      </c>
      <c r="J719" s="42" t="str">
        <f t="array" ref="J719">XLOOKUP($E719,'Recipients REF'!$B:$B,'Recipients REF'!D:D,"",0)</f>
        <v>Michael B. Buñag</v>
      </c>
      <c r="K719" s="42" t="str">
        <f t="array" ref="K719">XLOOKUP($E719,'Recipients REF'!$B:$B,'Recipients REF'!E:E,"",0)</f>
        <v>0963-397-1345</v>
      </c>
      <c r="L719" s="43" t="str">
        <f t="array" ref="L719">XLOOKUP($A719,'Recipients REF'!$A:$A,'Recipients REF'!F:F,"",0)</f>
        <v>RCEF 23-08-20 Rebidding</v>
      </c>
      <c r="M719" s="43">
        <f t="array" ref="M719">XLOOKUP($A719,'Recipients REF'!$A:$A,'Recipients REF'!G:G,"",0)</f>
        <v>1</v>
      </c>
      <c r="N719" s="43">
        <f t="array" ref="N719">XLOOKUP($A719,'Recipients REF'!$A:$A,'Recipients REF'!H:H,"",0)</f>
        <v>17948</v>
      </c>
      <c r="O719" s="44" t="s">
        <v>25</v>
      </c>
      <c r="P719" s="45" t="s">
        <v>26</v>
      </c>
      <c r="Q719" s="46" t="str">
        <f t="array" ref="Q719">XLOOKUP($A719,'Recipients REF'!$A:$A,'Recipients REF'!I:I,"",0)</f>
        <v>KMC 5825 ACPFPV0057</v>
      </c>
      <c r="R719" s="47" t="str">
        <f t="array" ref="R719">XLOOKUP($A719,'Recipients REF'!$A:$A,'Recipients REF'!J:J,"",0)</f>
        <v>PTS 100139</v>
      </c>
      <c r="S719" s="45" t="s">
        <v>27</v>
      </c>
      <c r="T719" s="45" t="s">
        <v>28</v>
      </c>
      <c r="U719" s="46" t="str">
        <f t="array" ref="U719">XLOOKUP($A719,'Recipients REF'!$A:$A,'Recipients REF'!K:K,"",0)</f>
        <v>R-SERIES 117 PH</v>
      </c>
      <c r="V719" s="44" t="s">
        <v>29</v>
      </c>
      <c r="W719" s="45" t="s">
        <v>30</v>
      </c>
      <c r="X719" s="47" t="str">
        <f t="array" ref="X719">XLOOKUP($A719,'Recipients REF'!$A:$A,'Recipients REF'!L:L,"",0)</f>
        <v>LSGW1750 RMP 2312068</v>
      </c>
      <c r="Y719" s="48" t="s">
        <v>29</v>
      </c>
      <c r="Z719" s="48" t="s">
        <v>31</v>
      </c>
      <c r="AA719" s="46" t="str">
        <f t="array" ref="AA719">XLOOKUP($A719,'Recipients REF'!$A:$A,'Recipients REF'!M:M,"",0)</f>
        <v>WDP40 RMP 2312073</v>
      </c>
      <c r="AB719" s="49"/>
      <c r="AC719" s="42"/>
      <c r="AD719" s="42"/>
      <c r="AE719" s="51"/>
      <c r="AF719" s="52"/>
      <c r="AG719" s="42"/>
      <c r="AH719" s="42"/>
      <c r="AI719" s="42">
        <f t="array" ref="AI719">XLOOKUP($E719,Sheet11!$D:$D,Sheet11!$X:$X,"",0)</f>
        <v>869066060237626</v>
      </c>
      <c r="AJ719" s="42">
        <f t="array" ref="AJ719">XLOOKUP($E719,Sheet11!$D:$D,Sheet11!$Y:$Y,"",0)</f>
        <v>9087518015</v>
      </c>
    </row>
    <row r="720">
      <c r="A720" s="41">
        <v>74.0</v>
      </c>
      <c r="B720" s="42" t="s">
        <v>1400</v>
      </c>
      <c r="C720" s="42" t="s">
        <v>1401</v>
      </c>
      <c r="D720" s="42"/>
      <c r="E720" s="42" t="str">
        <f t="shared" ref="E720:F720" si="721">PROPER(B720)</f>
        <v>Macagua Farmers Irrigators' Association Inc.</v>
      </c>
      <c r="F720" s="42" t="str">
        <f t="shared" si="721"/>
        <v>Macagua, Brooke'S Point, Palawan</v>
      </c>
      <c r="G720" s="42" t="str">
        <f t="shared" si="3"/>
        <v>Macagua</v>
      </c>
      <c r="H720" s="42" t="str">
        <f t="shared" si="4"/>
        <v>Brooke'S Point</v>
      </c>
      <c r="I720" s="42" t="str">
        <f t="shared" si="5"/>
        <v>Palawan</v>
      </c>
      <c r="J720" s="42" t="str">
        <f t="array" ref="J720">XLOOKUP($E720,'Recipients REF'!$B:$B,'Recipients REF'!D:D,"",0)</f>
        <v/>
      </c>
      <c r="K720" s="42" t="str">
        <f t="array" ref="K720">XLOOKUP($E720,'Recipients REF'!$B:$B,'Recipients REF'!E:E,"",0)</f>
        <v/>
      </c>
      <c r="L720" s="43" t="str">
        <f t="array" ref="L720">XLOOKUP($A720,'Recipients REF'!$A:$A,'Recipients REF'!F:F,"",0)</f>
        <v>RCEF 23-08-20 Rebidding</v>
      </c>
      <c r="M720" s="43">
        <f t="array" ref="M720">XLOOKUP($A720,'Recipients REF'!$A:$A,'Recipients REF'!G:G,"",0)</f>
        <v>1</v>
      </c>
      <c r="N720" s="43">
        <f t="array" ref="N720">XLOOKUP($A720,'Recipients REF'!$A:$A,'Recipients REF'!H:H,"",0)</f>
        <v>17949</v>
      </c>
      <c r="O720" s="44" t="s">
        <v>25</v>
      </c>
      <c r="P720" s="45" t="s">
        <v>26</v>
      </c>
      <c r="Q720" s="46" t="str">
        <f t="array" ref="Q720">XLOOKUP($A720,'Recipients REF'!$A:$A,'Recipients REF'!I:I,"",0)</f>
        <v>KMC 5825 AHPFPV0072</v>
      </c>
      <c r="R720" s="47" t="str">
        <f t="array" ref="R720">XLOOKUP($A720,'Recipients REF'!$A:$A,'Recipients REF'!J:J,"",0)</f>
        <v>PTS 100084</v>
      </c>
      <c r="S720" s="45" t="s">
        <v>27</v>
      </c>
      <c r="T720" s="45" t="s">
        <v>28</v>
      </c>
      <c r="U720" s="46" t="str">
        <f t="array" ref="U720">XLOOKUP($A720,'Recipients REF'!$A:$A,'Recipients REF'!K:K,"",0)</f>
        <v>R-SERIES 120 PH</v>
      </c>
      <c r="V720" s="44" t="s">
        <v>29</v>
      </c>
      <c r="W720" s="45" t="s">
        <v>30</v>
      </c>
      <c r="X720" s="47" t="str">
        <f t="array" ref="X720">XLOOKUP($A720,'Recipients REF'!$A:$A,'Recipients REF'!L:L,"",0)</f>
        <v>LSGW1750 RMP 2312048</v>
      </c>
      <c r="Y720" s="48" t="s">
        <v>29</v>
      </c>
      <c r="Z720" s="48" t="s">
        <v>31</v>
      </c>
      <c r="AA720" s="46" t="str">
        <f t="array" ref="AA720">XLOOKUP($A720,'Recipients REF'!$A:$A,'Recipients REF'!M:M,"",0)</f>
        <v>WDP40 RMP 2312088</v>
      </c>
      <c r="AB720" s="49"/>
      <c r="AC720" s="42"/>
      <c r="AD720" s="42"/>
      <c r="AE720" s="51"/>
      <c r="AF720" s="52"/>
      <c r="AG720" s="42"/>
      <c r="AH720" s="42"/>
      <c r="AI720" s="42">
        <f t="array" ref="AI720">XLOOKUP($E720,Sheet11!$D:$D,Sheet11!$X:$X,"",0)</f>
        <v>869066060245926</v>
      </c>
      <c r="AJ720" s="42">
        <f t="array" ref="AJ720">XLOOKUP($E720,Sheet11!$D:$D,Sheet11!$Y:$Y,"",0)</f>
        <v>9083521460</v>
      </c>
    </row>
    <row r="721">
      <c r="A721" s="41">
        <v>75.0</v>
      </c>
      <c r="B721" s="42" t="s">
        <v>1402</v>
      </c>
      <c r="C721" s="42" t="s">
        <v>1403</v>
      </c>
      <c r="D721" s="42"/>
      <c r="E721" s="42" t="str">
        <f t="shared" ref="E721:F721" si="722">PROPER(B721)</f>
        <v>Maligaya May Pag-Asa Irrigators Association Inc.</v>
      </c>
      <c r="F721" s="42" t="str">
        <f t="shared" si="722"/>
        <v>Sandoval, Narra, Palawan</v>
      </c>
      <c r="G721" s="42" t="str">
        <f t="shared" si="3"/>
        <v>Sandoval</v>
      </c>
      <c r="H721" s="42" t="str">
        <f t="shared" si="4"/>
        <v>Narra</v>
      </c>
      <c r="I721" s="42" t="str">
        <f t="shared" si="5"/>
        <v>Palawan</v>
      </c>
      <c r="J721" s="42" t="str">
        <f t="array" ref="J721">XLOOKUP($E721,'Recipients REF'!$B:$B,'Recipients REF'!D:D,"",0)</f>
        <v>Ruel B. Padilla</v>
      </c>
      <c r="K721" s="42" t="str">
        <f t="array" ref="K721">XLOOKUP($E721,'Recipients REF'!$B:$B,'Recipients REF'!E:E,"",0)</f>
        <v>0938 555 4077</v>
      </c>
      <c r="L721" s="43" t="str">
        <f t="array" ref="L721">XLOOKUP($A721,'Recipients REF'!$A:$A,'Recipients REF'!F:F,"",0)</f>
        <v>RCEF 23-08-20 Rebidding</v>
      </c>
      <c r="M721" s="43">
        <f t="array" ref="M721">XLOOKUP($A721,'Recipients REF'!$A:$A,'Recipients REF'!G:G,"",0)</f>
        <v>1</v>
      </c>
      <c r="N721" s="43">
        <f t="array" ref="N721">XLOOKUP($A721,'Recipients REF'!$A:$A,'Recipients REF'!H:H,"",0)</f>
        <v>17950</v>
      </c>
      <c r="O721" s="44" t="s">
        <v>25</v>
      </c>
      <c r="P721" s="45" t="s">
        <v>26</v>
      </c>
      <c r="Q721" s="46" t="str">
        <f t="array" ref="Q721">XLOOKUP($A721,'Recipients REF'!$A:$A,'Recipients REF'!I:I,"",0)</f>
        <v>KMC 5825 APPFPV0109</v>
      </c>
      <c r="R721" s="47" t="str">
        <f t="array" ref="R721">XLOOKUP($A721,'Recipients REF'!$A:$A,'Recipients REF'!J:J,"",0)</f>
        <v>PTS 100048</v>
      </c>
      <c r="S721" s="45" t="s">
        <v>27</v>
      </c>
      <c r="T721" s="45" t="s">
        <v>28</v>
      </c>
      <c r="U721" s="46" t="str">
        <f t="array" ref="U721">XLOOKUP($A721,'Recipients REF'!$A:$A,'Recipients REF'!K:K,"",0)</f>
        <v>R-SERIES 143 PH</v>
      </c>
      <c r="V721" s="44" t="s">
        <v>29</v>
      </c>
      <c r="W721" s="45" t="s">
        <v>30</v>
      </c>
      <c r="X721" s="47" t="str">
        <f t="array" ref="X721">XLOOKUP($A721,'Recipients REF'!$A:$A,'Recipients REF'!L:L,"",0)</f>
        <v>LSGW1750 RMP 2312062</v>
      </c>
      <c r="Y721" s="48" t="s">
        <v>29</v>
      </c>
      <c r="Z721" s="48" t="s">
        <v>31</v>
      </c>
      <c r="AA721" s="46" t="str">
        <f t="array" ref="AA721">XLOOKUP($A721,'Recipients REF'!$A:$A,'Recipients REF'!M:M,"",0)</f>
        <v>WDP40 RMP 2312096</v>
      </c>
      <c r="AB721" s="49"/>
      <c r="AC721" s="42"/>
      <c r="AD721" s="42"/>
      <c r="AE721" s="50"/>
      <c r="AF721" s="42"/>
      <c r="AG721" s="42"/>
      <c r="AH721" s="42"/>
      <c r="AI721" s="42">
        <f t="array" ref="AI721">XLOOKUP($E721,Sheet11!$D:$D,Sheet11!$X:$X,"",0)</f>
        <v>869066060240968</v>
      </c>
      <c r="AJ721" s="42">
        <f t="array" ref="AJ721">XLOOKUP($E721,Sheet11!$D:$D,Sheet11!$Y:$Y,"",0)</f>
        <v>9082503855</v>
      </c>
    </row>
    <row r="722">
      <c r="A722" s="41">
        <v>76.0</v>
      </c>
      <c r="B722" s="42" t="s">
        <v>1404</v>
      </c>
      <c r="C722" s="42" t="s">
        <v>1405</v>
      </c>
      <c r="D722" s="42"/>
      <c r="E722" s="42" t="str">
        <f t="shared" ref="E722:F722" si="723">PROPER(B722)</f>
        <v>Malatgao Quezon Farmers Irrigators' Association, Inc.</v>
      </c>
      <c r="F722" s="42" t="str">
        <f t="shared" si="723"/>
        <v>Malatgao, Quezon, Palawan</v>
      </c>
      <c r="G722" s="42" t="str">
        <f t="shared" si="3"/>
        <v>Malatgao</v>
      </c>
      <c r="H722" s="42" t="str">
        <f t="shared" si="4"/>
        <v>Quezon</v>
      </c>
      <c r="I722" s="42" t="str">
        <f t="shared" si="5"/>
        <v>Palawan</v>
      </c>
      <c r="J722" s="42" t="str">
        <f t="array" ref="J722">XLOOKUP($E722,'Recipients REF'!$B:$B,'Recipients REF'!D:D,"",0)</f>
        <v>Adelan M. Peñalosa</v>
      </c>
      <c r="K722" s="42">
        <f t="array" ref="K722">XLOOKUP($E722,'Recipients REF'!$B:$B,'Recipients REF'!E:E,"",0)</f>
        <v>9978206354</v>
      </c>
      <c r="L722" s="43" t="str">
        <f t="array" ref="L722">XLOOKUP($A722,'Recipients REF'!$A:$A,'Recipients REF'!F:F,"",0)</f>
        <v>RCEF 23-08-20 Rebidding</v>
      </c>
      <c r="M722" s="43">
        <f t="array" ref="M722">XLOOKUP($A722,'Recipients REF'!$A:$A,'Recipients REF'!G:G,"",0)</f>
        <v>1</v>
      </c>
      <c r="N722" s="43">
        <f t="array" ref="N722">XLOOKUP($A722,'Recipients REF'!$A:$A,'Recipients REF'!H:H,"",0)</f>
        <v>17951</v>
      </c>
      <c r="O722" s="44" t="s">
        <v>25</v>
      </c>
      <c r="P722" s="45" t="s">
        <v>26</v>
      </c>
      <c r="Q722" s="46" t="str">
        <f t="array" ref="Q722">XLOOKUP($A722,'Recipients REF'!$A:$A,'Recipients REF'!I:I,"",0)</f>
        <v>KMC 5825 ACPFPV0115</v>
      </c>
      <c r="R722" s="47" t="str">
        <f t="array" ref="R722">XLOOKUP($A722,'Recipients REF'!$A:$A,'Recipients REF'!J:J,"",0)</f>
        <v>PTS 100095</v>
      </c>
      <c r="S722" s="45" t="s">
        <v>27</v>
      </c>
      <c r="T722" s="45" t="s">
        <v>28</v>
      </c>
      <c r="U722" s="46" t="str">
        <f t="array" ref="U722">XLOOKUP($A722,'Recipients REF'!$A:$A,'Recipients REF'!K:K,"",0)</f>
        <v>R-SERIES 108 PH</v>
      </c>
      <c r="V722" s="44" t="s">
        <v>29</v>
      </c>
      <c r="W722" s="45" t="s">
        <v>30</v>
      </c>
      <c r="X722" s="47" t="str">
        <f t="array" ref="X722">XLOOKUP($A722,'Recipients REF'!$A:$A,'Recipients REF'!L:L,"",0)</f>
        <v>LSGW1750 RMP 2312055</v>
      </c>
      <c r="Y722" s="48" t="s">
        <v>29</v>
      </c>
      <c r="Z722" s="48" t="s">
        <v>31</v>
      </c>
      <c r="AA722" s="46" t="str">
        <f t="array" ref="AA722">XLOOKUP($A722,'Recipients REF'!$A:$A,'Recipients REF'!M:M,"",0)</f>
        <v>WDP40 RMP 2312090</v>
      </c>
      <c r="AB722" s="49"/>
      <c r="AC722" s="42"/>
      <c r="AD722" s="42"/>
      <c r="AE722" s="51"/>
      <c r="AF722" s="52"/>
      <c r="AG722" s="42"/>
      <c r="AH722" s="42"/>
      <c r="AI722" s="42">
        <f t="array" ref="AI722">XLOOKUP($E722,Sheet11!$D:$D,Sheet11!$X:$X,"",0)</f>
        <v>869066060245827</v>
      </c>
      <c r="AJ722" s="42">
        <f t="array" ref="AJ722">XLOOKUP($E722,Sheet11!$D:$D,Sheet11!$Y:$Y,"",0)</f>
        <v>9086606743</v>
      </c>
    </row>
    <row r="723">
      <c r="A723" s="41">
        <v>77.0</v>
      </c>
      <c r="B723" s="42" t="s">
        <v>1406</v>
      </c>
      <c r="C723" s="42" t="s">
        <v>1407</v>
      </c>
      <c r="D723" s="42"/>
      <c r="E723" s="42" t="str">
        <f t="shared" ref="E723:F723" si="724">PROPER(B723)</f>
        <v>Sowangan Farmers Irrigators ' Association Inc.</v>
      </c>
      <c r="F723" s="42" t="str">
        <f t="shared" si="724"/>
        <v>Sowangan, Quezon, Palawan</v>
      </c>
      <c r="G723" s="42" t="str">
        <f t="shared" si="3"/>
        <v>Sowangan</v>
      </c>
      <c r="H723" s="42" t="str">
        <f t="shared" si="4"/>
        <v>Quezon</v>
      </c>
      <c r="I723" s="42" t="str">
        <f t="shared" si="5"/>
        <v>Palawan</v>
      </c>
      <c r="J723" s="42" t="str">
        <f t="array" ref="J723">XLOOKUP($E723,'Recipients REF'!$B:$B,'Recipients REF'!D:D,"",0)</f>
        <v>Danilo M. Cezar</v>
      </c>
      <c r="K723" s="42" t="str">
        <f t="array" ref="K723">XLOOKUP($E723,'Recipients REF'!$B:$B,'Recipients REF'!E:E,"",0)</f>
        <v>0910 242 6209/ 0912 225 2230</v>
      </c>
      <c r="L723" s="43" t="str">
        <f t="array" ref="L723">XLOOKUP($A723,'Recipients REF'!$A:$A,'Recipients REF'!F:F,"",0)</f>
        <v>RCEF 23-08-20 Rebidding</v>
      </c>
      <c r="M723" s="43">
        <f t="array" ref="M723">XLOOKUP($A723,'Recipients REF'!$A:$A,'Recipients REF'!G:G,"",0)</f>
        <v>1</v>
      </c>
      <c r="N723" s="43">
        <f t="array" ref="N723">XLOOKUP($A723,'Recipients REF'!$A:$A,'Recipients REF'!H:H,"",0)</f>
        <v>17952</v>
      </c>
      <c r="O723" s="44" t="s">
        <v>25</v>
      </c>
      <c r="P723" s="45" t="s">
        <v>26</v>
      </c>
      <c r="Q723" s="46" t="str">
        <f t="array" ref="Q723">XLOOKUP($A723,'Recipients REF'!$A:$A,'Recipients REF'!I:I,"",0)</f>
        <v>KMC 5825 AJPFPV0114</v>
      </c>
      <c r="R723" s="47" t="str">
        <f t="array" ref="R723">XLOOKUP($A723,'Recipients REF'!$A:$A,'Recipients REF'!J:J,"",0)</f>
        <v>PTS 100094</v>
      </c>
      <c r="S723" s="45" t="s">
        <v>27</v>
      </c>
      <c r="T723" s="45" t="s">
        <v>28</v>
      </c>
      <c r="U723" s="46" t="str">
        <f t="array" ref="U723">XLOOKUP($A723,'Recipients REF'!$A:$A,'Recipients REF'!K:K,"",0)</f>
        <v>R-SERIES 119 PH</v>
      </c>
      <c r="V723" s="44" t="s">
        <v>29</v>
      </c>
      <c r="W723" s="45" t="s">
        <v>30</v>
      </c>
      <c r="X723" s="47" t="str">
        <f t="array" ref="X723">XLOOKUP($A723,'Recipients REF'!$A:$A,'Recipients REF'!L:L,"",0)</f>
        <v>LSGW1750 RMP 2312077</v>
      </c>
      <c r="Y723" s="48" t="s">
        <v>29</v>
      </c>
      <c r="Z723" s="48" t="s">
        <v>31</v>
      </c>
      <c r="AA723" s="46" t="str">
        <f t="array" ref="AA723">XLOOKUP($A723,'Recipients REF'!$A:$A,'Recipients REF'!M:M,"",0)</f>
        <v>WDP40 RMP 2312095</v>
      </c>
      <c r="AB723" s="49"/>
      <c r="AC723" s="42"/>
      <c r="AD723" s="42"/>
      <c r="AE723" s="51"/>
      <c r="AF723" s="52"/>
      <c r="AG723" s="42"/>
      <c r="AH723" s="42"/>
      <c r="AI723" s="42">
        <f t="array" ref="AI723">XLOOKUP($E723,Sheet11!$D:$D,Sheet11!$X:$X,"",0)</f>
        <v>869066060240992</v>
      </c>
      <c r="AJ723" s="42">
        <f t="array" ref="AJ723">XLOOKUP($E723,Sheet11!$D:$D,Sheet11!$Y:$Y,"",0)</f>
        <v>9084609708</v>
      </c>
    </row>
    <row r="724">
      <c r="A724" s="41">
        <v>78.0</v>
      </c>
      <c r="B724" s="42" t="s">
        <v>1408</v>
      </c>
      <c r="C724" s="42" t="s">
        <v>1409</v>
      </c>
      <c r="D724" s="42"/>
      <c r="E724" s="42" t="str">
        <f t="shared" ref="E724:F724" si="725">PROPER(B724)</f>
        <v>Sicud Farmers Association</v>
      </c>
      <c r="F724" s="42" t="str">
        <f t="shared" si="725"/>
        <v>Candawaga, Rizal, Palawan</v>
      </c>
      <c r="G724" s="42" t="str">
        <f t="shared" si="3"/>
        <v>Candawaga</v>
      </c>
      <c r="H724" s="42" t="str">
        <f t="shared" si="4"/>
        <v>Rizal</v>
      </c>
      <c r="I724" s="42" t="str">
        <f t="shared" si="5"/>
        <v>Palawan</v>
      </c>
      <c r="J724" s="42" t="str">
        <f t="array" ref="J724">XLOOKUP($E724,'Recipients REF'!$B:$B,'Recipients REF'!D:D,"",0)</f>
        <v>Rodrigo C. Quiocson</v>
      </c>
      <c r="K724" s="42" t="str">
        <f t="array" ref="K724">XLOOKUP($E724,'Recipients REF'!$B:$B,'Recipients REF'!E:E,"",0)</f>
        <v>0975 202 7209</v>
      </c>
      <c r="L724" s="43" t="str">
        <f t="array" ref="L724">XLOOKUP($A724,'Recipients REF'!$A:$A,'Recipients REF'!F:F,"",0)</f>
        <v>RCEF 23-08-20 Rebidding</v>
      </c>
      <c r="M724" s="43">
        <f t="array" ref="M724">XLOOKUP($A724,'Recipients REF'!$A:$A,'Recipients REF'!G:G,"",0)</f>
        <v>1</v>
      </c>
      <c r="N724" s="43">
        <f t="array" ref="N724">XLOOKUP($A724,'Recipients REF'!$A:$A,'Recipients REF'!H:H,"",0)</f>
        <v>17953</v>
      </c>
      <c r="O724" s="44" t="s">
        <v>25</v>
      </c>
      <c r="P724" s="45" t="s">
        <v>26</v>
      </c>
      <c r="Q724" s="46" t="str">
        <f t="array" ref="Q724">XLOOKUP($A724,'Recipients REF'!$A:$A,'Recipients REF'!I:I,"",0)</f>
        <v>KMC 5825 AHPFPV0105</v>
      </c>
      <c r="R724" s="47" t="str">
        <f t="array" ref="R724">XLOOKUP($A724,'Recipients REF'!$A:$A,'Recipients REF'!J:J,"",0)</f>
        <v>PTS 100073</v>
      </c>
      <c r="S724" s="45" t="s">
        <v>27</v>
      </c>
      <c r="T724" s="45" t="s">
        <v>28</v>
      </c>
      <c r="U724" s="46" t="str">
        <f t="array" ref="U724">XLOOKUP($A724,'Recipients REF'!$A:$A,'Recipients REF'!K:K,"",0)</f>
        <v>R-SERIES 107 PH</v>
      </c>
      <c r="V724" s="44" t="s">
        <v>29</v>
      </c>
      <c r="W724" s="45" t="s">
        <v>30</v>
      </c>
      <c r="X724" s="47" t="str">
        <f t="array" ref="X724">XLOOKUP($A724,'Recipients REF'!$A:$A,'Recipients REF'!L:L,"",0)</f>
        <v>LSGW1750 RMP 2312090</v>
      </c>
      <c r="Y724" s="48" t="s">
        <v>29</v>
      </c>
      <c r="Z724" s="48" t="s">
        <v>31</v>
      </c>
      <c r="AA724" s="46" t="str">
        <f t="array" ref="AA724">XLOOKUP($A724,'Recipients REF'!$A:$A,'Recipients REF'!M:M,"",0)</f>
        <v>WDP40 RMP 2312100</v>
      </c>
      <c r="AB724" s="49"/>
      <c r="AC724" s="42"/>
      <c r="AD724" s="42"/>
      <c r="AE724" s="51"/>
      <c r="AF724" s="52"/>
      <c r="AG724" s="42"/>
      <c r="AH724" s="42"/>
      <c r="AI724" s="42">
        <f t="array" ref="AI724">XLOOKUP($E724,Sheet11!$D:$D,Sheet11!$X:$X,"",0)</f>
        <v>869066060237089</v>
      </c>
      <c r="AJ724" s="42">
        <f t="array" ref="AJ724">XLOOKUP($E724,Sheet11!$D:$D,Sheet11!$Y:$Y,"",0)</f>
        <v>9085442710</v>
      </c>
    </row>
    <row r="725">
      <c r="A725" s="41">
        <v>79.0</v>
      </c>
      <c r="B725" s="42" t="s">
        <v>1410</v>
      </c>
      <c r="C725" s="42" t="s">
        <v>1411</v>
      </c>
      <c r="D725" s="42"/>
      <c r="E725" s="42" t="str">
        <f t="shared" ref="E725:F725" si="726">PROPER(B725)</f>
        <v>Taglop Bulikawa Farmers Association</v>
      </c>
      <c r="F725" s="42" t="str">
        <f t="shared" si="726"/>
        <v>Canipaan, Rizal, Palawan</v>
      </c>
      <c r="G725" s="42" t="str">
        <f t="shared" si="3"/>
        <v>Canipaan</v>
      </c>
      <c r="H725" s="42" t="str">
        <f t="shared" si="4"/>
        <v>Rizal</v>
      </c>
      <c r="I725" s="42" t="str">
        <f t="shared" si="5"/>
        <v>Palawan</v>
      </c>
      <c r="J725" s="42" t="str">
        <f t="array" ref="J725">XLOOKUP($E725,'Recipients REF'!$B:$B,'Recipients REF'!D:D,"",0)</f>
        <v>Elmer C. Abes</v>
      </c>
      <c r="K725" s="42" t="str">
        <f t="array" ref="K725">XLOOKUP($E725,'Recipients REF'!$B:$B,'Recipients REF'!E:E,"",0)</f>
        <v>0965 355 1181 (Rey Blando)</v>
      </c>
      <c r="L725" s="43" t="str">
        <f t="array" ref="L725">XLOOKUP($A725,'Recipients REF'!$A:$A,'Recipients REF'!F:F,"",0)</f>
        <v>RCEF 23-08-20 Rebidding</v>
      </c>
      <c r="M725" s="43">
        <f t="array" ref="M725">XLOOKUP($A725,'Recipients REF'!$A:$A,'Recipients REF'!G:G,"",0)</f>
        <v>1</v>
      </c>
      <c r="N725" s="43">
        <f t="array" ref="N725">XLOOKUP($A725,'Recipients REF'!$A:$A,'Recipients REF'!H:H,"",0)</f>
        <v>17954</v>
      </c>
      <c r="O725" s="44" t="s">
        <v>25</v>
      </c>
      <c r="P725" s="45" t="s">
        <v>26</v>
      </c>
      <c r="Q725" s="46" t="str">
        <f t="array" ref="Q725">XLOOKUP($A725,'Recipients REF'!$A:$A,'Recipients REF'!I:I,"",0)</f>
        <v>KMC 5825 AAPFPV0148</v>
      </c>
      <c r="R725" s="47" t="str">
        <f t="array" ref="R725">XLOOKUP($A725,'Recipients REF'!$A:$A,'Recipients REF'!J:J,"",0)</f>
        <v>PTS 100113</v>
      </c>
      <c r="S725" s="45" t="s">
        <v>27</v>
      </c>
      <c r="T725" s="45" t="s">
        <v>28</v>
      </c>
      <c r="U725" s="46" t="str">
        <f t="array" ref="U725">XLOOKUP($A725,'Recipients REF'!$A:$A,'Recipients REF'!K:K,"",0)</f>
        <v>R-SERIES 139 PH</v>
      </c>
      <c r="V725" s="44" t="s">
        <v>29</v>
      </c>
      <c r="W725" s="45" t="s">
        <v>30</v>
      </c>
      <c r="X725" s="47" t="str">
        <f t="array" ref="X725">XLOOKUP($A725,'Recipients REF'!$A:$A,'Recipients REF'!L:L,"",0)</f>
        <v>LSGW1750 RMP 2312066</v>
      </c>
      <c r="Y725" s="48" t="s">
        <v>29</v>
      </c>
      <c r="Z725" s="48" t="s">
        <v>31</v>
      </c>
      <c r="AA725" s="46" t="str">
        <f t="array" ref="AA725">XLOOKUP($A725,'Recipients REF'!$A:$A,'Recipients REF'!M:M,"",0)</f>
        <v>WDP40 RMP 2312092</v>
      </c>
      <c r="AB725" s="49"/>
      <c r="AC725" s="42"/>
      <c r="AD725" s="42"/>
      <c r="AE725" s="50"/>
      <c r="AF725" s="42"/>
      <c r="AG725" s="42"/>
      <c r="AH725" s="42"/>
      <c r="AI725" s="42">
        <f t="array" ref="AI725">XLOOKUP($E725,Sheet11!$D:$D,Sheet11!$X:$X,"",0)</f>
        <v>869066060240455</v>
      </c>
      <c r="AJ725" s="42">
        <f t="array" ref="AJ725">XLOOKUP($E725,Sheet11!$D:$D,Sheet11!$Y:$Y,"",0)</f>
        <v>9081775261</v>
      </c>
    </row>
    <row r="726">
      <c r="A726" s="41">
        <v>80.0</v>
      </c>
      <c r="B726" s="42" t="s">
        <v>1412</v>
      </c>
      <c r="C726" s="42" t="s">
        <v>1413</v>
      </c>
      <c r="D726" s="42"/>
      <c r="E726" s="42" t="str">
        <f t="shared" ref="E726:F726" si="727">PROPER(B726)</f>
        <v>Cabayugan Farmers Association</v>
      </c>
      <c r="F726" s="42" t="str">
        <f t="shared" si="727"/>
        <v>Cabayugan, Puerto Princesa City, Palawan</v>
      </c>
      <c r="G726" s="42" t="str">
        <f t="shared" si="3"/>
        <v>Cabayugan</v>
      </c>
      <c r="H726" s="42" t="str">
        <f t="shared" si="4"/>
        <v>Puerto Princesa City</v>
      </c>
      <c r="I726" s="42" t="str">
        <f t="shared" si="5"/>
        <v>Palawan</v>
      </c>
      <c r="J726" s="42" t="str">
        <f t="array" ref="J726">XLOOKUP($E726,'Recipients REF'!$B:$B,'Recipients REF'!D:D,"",0)</f>
        <v>Louie Joy A. Aungon</v>
      </c>
      <c r="K726" s="42" t="str">
        <f t="array" ref="K726">XLOOKUP($E726,'Recipients REF'!$B:$B,'Recipients REF'!E:E,"",0)</f>
        <v>0905 096 0839</v>
      </c>
      <c r="L726" s="43" t="str">
        <f t="array" ref="L726">XLOOKUP($A726,'Recipients REF'!$A:$A,'Recipients REF'!F:F,"",0)</f>
        <v>RCEF 23-08-20 Rebidding</v>
      </c>
      <c r="M726" s="43">
        <f t="array" ref="M726">XLOOKUP($A726,'Recipients REF'!$A:$A,'Recipients REF'!G:G,"",0)</f>
        <v>1</v>
      </c>
      <c r="N726" s="43">
        <f t="array" ref="N726">XLOOKUP($A726,'Recipients REF'!$A:$A,'Recipients REF'!H:H,"",0)</f>
        <v>17955</v>
      </c>
      <c r="O726" s="44" t="s">
        <v>25</v>
      </c>
      <c r="P726" s="45" t="s">
        <v>26</v>
      </c>
      <c r="Q726" s="46" t="str">
        <f t="array" ref="Q726">XLOOKUP($A726,'Recipients REF'!$A:$A,'Recipients REF'!I:I,"",0)</f>
        <v>KMC 5825 ACPFPV0110</v>
      </c>
      <c r="R726" s="47" t="str">
        <f t="array" ref="R726">XLOOKUP($A726,'Recipients REF'!$A:$A,'Recipients REF'!J:J,"",0)</f>
        <v>PTS 100090</v>
      </c>
      <c r="S726" s="45" t="s">
        <v>27</v>
      </c>
      <c r="T726" s="45" t="s">
        <v>28</v>
      </c>
      <c r="U726" s="46" t="str">
        <f t="array" ref="U726">XLOOKUP($A726,'Recipients REF'!$A:$A,'Recipients REF'!K:K,"",0)</f>
        <v>R-SERIES 142 PH</v>
      </c>
      <c r="V726" s="44" t="s">
        <v>29</v>
      </c>
      <c r="W726" s="45" t="s">
        <v>30</v>
      </c>
      <c r="X726" s="47" t="str">
        <f t="array" ref="X726">XLOOKUP($A726,'Recipients REF'!$A:$A,'Recipients REF'!L:L,"",0)</f>
        <v>LSGW1750 RMP 2312036</v>
      </c>
      <c r="Y726" s="48" t="s">
        <v>29</v>
      </c>
      <c r="Z726" s="48" t="s">
        <v>31</v>
      </c>
      <c r="AA726" s="46" t="str">
        <f t="array" ref="AA726">XLOOKUP($A726,'Recipients REF'!$A:$A,'Recipients REF'!M:M,"",0)</f>
        <v>WDP40 RMP 2312091</v>
      </c>
      <c r="AB726" s="49"/>
      <c r="AC726" s="42"/>
      <c r="AD726" s="42"/>
      <c r="AE726" s="50"/>
      <c r="AF726" s="42"/>
      <c r="AG726" s="42"/>
      <c r="AH726" s="42"/>
      <c r="AI726" s="42">
        <f t="array" ref="AI726">XLOOKUP($E726,Sheet11!$D:$D,Sheet11!$X:$X,"",0)</f>
        <v>869066060240380</v>
      </c>
      <c r="AJ726" s="42">
        <f t="array" ref="AJ726">XLOOKUP($E726,Sheet11!$D:$D,Sheet11!$Y:$Y,"",0)</f>
        <v>9082234572</v>
      </c>
    </row>
    <row r="727">
      <c r="A727" s="41">
        <v>81.0</v>
      </c>
      <c r="B727" s="42" t="s">
        <v>1414</v>
      </c>
      <c r="C727" s="42" t="s">
        <v>1415</v>
      </c>
      <c r="D727" s="42"/>
      <c r="E727" s="42" t="str">
        <f t="shared" ref="E727:F727" si="728">PROPER(B727)</f>
        <v>Samahang Manunubig Ng Culandanum Farmers, Aborlan, Palawan, Inc.</v>
      </c>
      <c r="F727" s="42" t="str">
        <f t="shared" si="728"/>
        <v>Culandanum, Aborlan, Palawan</v>
      </c>
      <c r="G727" s="42" t="str">
        <f t="shared" si="3"/>
        <v>Culandanum</v>
      </c>
      <c r="H727" s="42" t="str">
        <f t="shared" si="4"/>
        <v>Aborlan</v>
      </c>
      <c r="I727" s="42" t="str">
        <f t="shared" si="5"/>
        <v>Palawan</v>
      </c>
      <c r="J727" s="42" t="str">
        <f t="array" ref="J727">XLOOKUP($E727,'Recipients REF'!$B:$B,'Recipients REF'!D:D,"",0)</f>
        <v>Nestor C. Valmoria</v>
      </c>
      <c r="K727" s="42" t="str">
        <f t="array" ref="K727">XLOOKUP($E727,'Recipients REF'!$B:$B,'Recipients REF'!E:E,"",0)</f>
        <v>0912 145 7225</v>
      </c>
      <c r="L727" s="43" t="str">
        <f t="array" ref="L727">XLOOKUP($A727,'Recipients REF'!$A:$A,'Recipients REF'!F:F,"",0)</f>
        <v>RCEF 23-08-20 Rebidding</v>
      </c>
      <c r="M727" s="43">
        <f t="array" ref="M727">XLOOKUP($A727,'Recipients REF'!$A:$A,'Recipients REF'!G:G,"",0)</f>
        <v>1</v>
      </c>
      <c r="N727" s="43">
        <f t="array" ref="N727">XLOOKUP($A727,'Recipients REF'!$A:$A,'Recipients REF'!H:H,"",0)</f>
        <v>17956</v>
      </c>
      <c r="O727" s="44" t="s">
        <v>25</v>
      </c>
      <c r="P727" s="45" t="s">
        <v>26</v>
      </c>
      <c r="Q727" s="46" t="str">
        <f t="array" ref="Q727">XLOOKUP($A727,'Recipients REF'!$A:$A,'Recipients REF'!I:I,"",0)</f>
        <v>KMC 5825 APPFPV00112</v>
      </c>
      <c r="R727" s="47" t="str">
        <f t="array" ref="R727">XLOOKUP($A727,'Recipients REF'!$A:$A,'Recipients REF'!J:J,"",0)</f>
        <v>PTS 100055</v>
      </c>
      <c r="S727" s="45" t="s">
        <v>27</v>
      </c>
      <c r="T727" s="45" t="s">
        <v>28</v>
      </c>
      <c r="U727" s="46" t="str">
        <f t="array" ref="U727">XLOOKUP($A727,'Recipients REF'!$A:$A,'Recipients REF'!K:K,"",0)</f>
        <v>R-SERIES 118 PH</v>
      </c>
      <c r="V727" s="44" t="s">
        <v>29</v>
      </c>
      <c r="W727" s="45" t="s">
        <v>30</v>
      </c>
      <c r="X727" s="47" t="str">
        <f t="array" ref="X727">XLOOKUP($A727,'Recipients REF'!$A:$A,'Recipients REF'!L:L,"",0)</f>
        <v>LSGW1750 RMP 2312070</v>
      </c>
      <c r="Y727" s="48" t="s">
        <v>29</v>
      </c>
      <c r="Z727" s="48" t="s">
        <v>31</v>
      </c>
      <c r="AA727" s="46" t="str">
        <f t="array" ref="AA727">XLOOKUP($A727,'Recipients REF'!$A:$A,'Recipients REF'!M:M,"",0)</f>
        <v>WDP40 RMP 2312073</v>
      </c>
      <c r="AB727" s="49"/>
      <c r="AC727" s="42"/>
      <c r="AD727" s="42"/>
      <c r="AE727" s="50"/>
      <c r="AF727" s="42"/>
      <c r="AG727" s="42"/>
      <c r="AH727" s="42"/>
      <c r="AI727" s="42">
        <f t="array" ref="AI727">XLOOKUP($E727,Sheet11!$D:$D,Sheet11!$X:$X,"",0)</f>
        <v>869066060244788</v>
      </c>
      <c r="AJ727" s="42">
        <f t="array" ref="AJ727">XLOOKUP($E727,Sheet11!$D:$D,Sheet11!$Y:$Y,"",0)</f>
        <v>9081595004</v>
      </c>
    </row>
    <row r="728">
      <c r="A728" s="41">
        <v>82.0</v>
      </c>
      <c r="B728" s="42" t="s">
        <v>1416</v>
      </c>
      <c r="C728" s="42" t="s">
        <v>1417</v>
      </c>
      <c r="D728" s="42"/>
      <c r="E728" s="42" t="str">
        <f t="shared" ref="E728:F728" si="729">PROPER(B728)</f>
        <v>Agkakaruba Irrigators Association, Inc.</v>
      </c>
      <c r="F728" s="42" t="str">
        <f t="shared" si="729"/>
        <v>Plaridel, Aborlan, Palawan</v>
      </c>
      <c r="G728" s="42" t="str">
        <f t="shared" si="3"/>
        <v>Plaridel</v>
      </c>
      <c r="H728" s="42" t="str">
        <f t="shared" si="4"/>
        <v>Aborlan</v>
      </c>
      <c r="I728" s="42" t="str">
        <f t="shared" si="5"/>
        <v>Palawan</v>
      </c>
      <c r="J728" s="42" t="str">
        <f t="array" ref="J728">XLOOKUP($E728,'Recipients REF'!$B:$B,'Recipients REF'!D:D,"",0)</f>
        <v>Buenaventura L. Rosario</v>
      </c>
      <c r="K728" s="42" t="str">
        <f t="array" ref="K728">XLOOKUP($E728,'Recipients REF'!$B:$B,'Recipients REF'!E:E,"",0)</f>
        <v>0910 764 9489</v>
      </c>
      <c r="L728" s="43" t="str">
        <f t="array" ref="L728">XLOOKUP($A728,'Recipients REF'!$A:$A,'Recipients REF'!F:F,"",0)</f>
        <v>RCEF 23-08-20 Rebidding</v>
      </c>
      <c r="M728" s="43">
        <f t="array" ref="M728">XLOOKUP($A728,'Recipients REF'!$A:$A,'Recipients REF'!G:G,"",0)</f>
        <v>1</v>
      </c>
      <c r="N728" s="43">
        <f t="array" ref="N728">XLOOKUP($A728,'Recipients REF'!$A:$A,'Recipients REF'!H:H,"",0)</f>
        <v>17957</v>
      </c>
      <c r="O728" s="44" t="s">
        <v>25</v>
      </c>
      <c r="P728" s="45" t="s">
        <v>26</v>
      </c>
      <c r="Q728" s="46" t="str">
        <f t="array" ref="Q728">XLOOKUP($A728,'Recipients REF'!$A:$A,'Recipients REF'!I:I,"",0)</f>
        <v>KMC 5825 ALPFPV0118</v>
      </c>
      <c r="R728" s="47" t="str">
        <f t="array" ref="R728">XLOOKUP($A728,'Recipients REF'!$A:$A,'Recipients REF'!J:J,"",0)</f>
        <v>PTS 100103</v>
      </c>
      <c r="S728" s="45" t="s">
        <v>27</v>
      </c>
      <c r="T728" s="45" t="s">
        <v>28</v>
      </c>
      <c r="U728" s="46" t="str">
        <f t="array" ref="U728">XLOOKUP($A728,'Recipients REF'!$A:$A,'Recipients REF'!K:K,"",0)</f>
        <v>R-SERIES 149 PH</v>
      </c>
      <c r="V728" s="44" t="s">
        <v>29</v>
      </c>
      <c r="W728" s="45" t="s">
        <v>30</v>
      </c>
      <c r="X728" s="47" t="str">
        <f t="array" ref="X728">XLOOKUP($A728,'Recipients REF'!$A:$A,'Recipients REF'!L:L,"",0)</f>
        <v>LSGW1750 RMP 2312089</v>
      </c>
      <c r="Y728" s="48" t="s">
        <v>29</v>
      </c>
      <c r="Z728" s="48" t="s">
        <v>31</v>
      </c>
      <c r="AA728" s="46" t="str">
        <f t="array" ref="AA728">XLOOKUP($A728,'Recipients REF'!$A:$A,'Recipients REF'!M:M,"",0)</f>
        <v>WDP40 RMP 2312082</v>
      </c>
      <c r="AB728" s="49"/>
      <c r="AC728" s="42"/>
      <c r="AD728" s="42"/>
      <c r="AE728" s="50"/>
      <c r="AF728" s="42"/>
      <c r="AG728" s="42"/>
      <c r="AH728" s="42"/>
      <c r="AI728" s="42">
        <f t="array" ref="AI728">XLOOKUP($E728,Sheet11!$D:$D,Sheet11!$X:$X,"",0)</f>
        <v>869066060238087</v>
      </c>
      <c r="AJ728" s="42">
        <f t="array" ref="AJ728">XLOOKUP($E728,Sheet11!$D:$D,Sheet11!$Y:$Y,"",0)</f>
        <v>9082253596</v>
      </c>
    </row>
    <row r="729">
      <c r="A729" s="41">
        <v>83.0</v>
      </c>
      <c r="B729" s="42" t="s">
        <v>1418</v>
      </c>
      <c r="C729" s="42" t="s">
        <v>1419</v>
      </c>
      <c r="D729" s="42"/>
      <c r="E729" s="42" t="str">
        <f t="shared" ref="E729:F729" si="730">PROPER(B729)</f>
        <v>Ibato-Iraan Farmer'S Irrigators Association, Inc.</v>
      </c>
      <c r="F729" s="42" t="str">
        <f t="shared" si="730"/>
        <v>Sagpangan, Aborlan, Palawan</v>
      </c>
      <c r="G729" s="42" t="str">
        <f t="shared" si="3"/>
        <v>Sagpangan</v>
      </c>
      <c r="H729" s="42" t="str">
        <f t="shared" si="4"/>
        <v>Aborlan</v>
      </c>
      <c r="I729" s="42" t="str">
        <f t="shared" si="5"/>
        <v>Palawan</v>
      </c>
      <c r="J729" s="42" t="str">
        <f t="array" ref="J729">XLOOKUP($E729,'Recipients REF'!$B:$B,'Recipients REF'!D:D,"",0)</f>
        <v>Ronie G Baron</v>
      </c>
      <c r="K729" s="42" t="str">
        <f t="array" ref="K729">XLOOKUP($E729,'Recipients REF'!$B:$B,'Recipients REF'!E:E,"",0)</f>
        <v>0930-902-8777</v>
      </c>
      <c r="L729" s="43" t="str">
        <f t="array" ref="L729">XLOOKUP($A729,'Recipients REF'!$A:$A,'Recipients REF'!F:F,"",0)</f>
        <v>RCEF 23-08-20 Rebidding</v>
      </c>
      <c r="M729" s="43">
        <f t="array" ref="M729">XLOOKUP($A729,'Recipients REF'!$A:$A,'Recipients REF'!G:G,"",0)</f>
        <v>1</v>
      </c>
      <c r="N729" s="43">
        <f t="array" ref="N729">XLOOKUP($A729,'Recipients REF'!$A:$A,'Recipients REF'!H:H,"",0)</f>
        <v>17958</v>
      </c>
      <c r="O729" s="44" t="s">
        <v>25</v>
      </c>
      <c r="P729" s="45" t="s">
        <v>26</v>
      </c>
      <c r="Q729" s="46" t="str">
        <f t="array" ref="Q729">XLOOKUP($A729,'Recipients REF'!$A:$A,'Recipients REF'!I:I,"",0)</f>
        <v>KMC 5825 AHPFPV0086</v>
      </c>
      <c r="R729" s="47" t="str">
        <f t="array" ref="R729">XLOOKUP($A729,'Recipients REF'!$A:$A,'Recipients REF'!J:J,"",0)</f>
        <v>PTS 100075</v>
      </c>
      <c r="S729" s="45" t="s">
        <v>27</v>
      </c>
      <c r="T729" s="45" t="s">
        <v>28</v>
      </c>
      <c r="U729" s="46" t="str">
        <f t="array" ref="U729">XLOOKUP($A729,'Recipients REF'!$A:$A,'Recipients REF'!K:K,"",0)</f>
        <v>R-SERIES 144 PH</v>
      </c>
      <c r="V729" s="44" t="s">
        <v>29</v>
      </c>
      <c r="W729" s="45" t="s">
        <v>30</v>
      </c>
      <c r="X729" s="47" t="str">
        <f t="array" ref="X729">XLOOKUP($A729,'Recipients REF'!$A:$A,'Recipients REF'!L:L,"",0)</f>
        <v>LSGW1750 RMP 2312067</v>
      </c>
      <c r="Y729" s="48" t="s">
        <v>29</v>
      </c>
      <c r="Z729" s="48" t="s">
        <v>31</v>
      </c>
      <c r="AA729" s="46" t="str">
        <f t="array" ref="AA729">XLOOKUP($A729,'Recipients REF'!$A:$A,'Recipients REF'!M:M,"",0)</f>
        <v>WDP40 RMP 2312085</v>
      </c>
      <c r="AB729" s="49"/>
      <c r="AC729" s="42"/>
      <c r="AD729" s="42"/>
      <c r="AE729" s="50"/>
      <c r="AF729" s="42"/>
      <c r="AG729" s="42"/>
      <c r="AH729" s="42"/>
      <c r="AI729" s="42">
        <f t="array" ref="AI729">XLOOKUP($E729,Sheet11!$D:$D,Sheet11!$X:$X,"",0)</f>
        <v>869066060241115</v>
      </c>
      <c r="AJ729" s="42">
        <f t="array" ref="AJ729">XLOOKUP($E729,Sheet11!$D:$D,Sheet11!$Y:$Y,"",0)</f>
        <v>9087909277</v>
      </c>
    </row>
    <row r="730">
      <c r="A730" s="41">
        <v>84.0</v>
      </c>
      <c r="B730" s="42" t="s">
        <v>1420</v>
      </c>
      <c r="C730" s="42" t="s">
        <v>1421</v>
      </c>
      <c r="D730" s="42"/>
      <c r="E730" s="42" t="str">
        <f t="shared" ref="E730:F730" si="731">PROPER(B730)</f>
        <v>Paradise Teleng Farmers Irrigators Association Inc</v>
      </c>
      <c r="F730" s="42" t="str">
        <f t="shared" si="731"/>
        <v>Tigman, Aborlan, Palawan</v>
      </c>
      <c r="G730" s="42" t="str">
        <f t="shared" si="3"/>
        <v>Tigman</v>
      </c>
      <c r="H730" s="42" t="str">
        <f t="shared" si="4"/>
        <v>Aborlan</v>
      </c>
      <c r="I730" s="42" t="str">
        <f t="shared" si="5"/>
        <v>Palawan</v>
      </c>
      <c r="J730" s="42" t="str">
        <f t="array" ref="J730">XLOOKUP($E730,'Recipients REF'!$B:$B,'Recipients REF'!D:D,"",0)</f>
        <v>Lourdez C. Paduga</v>
      </c>
      <c r="K730" s="42">
        <f t="array" ref="K730">XLOOKUP($E730,'Recipients REF'!$B:$B,'Recipients REF'!E:E,"",0)</f>
        <v>9750285877</v>
      </c>
      <c r="L730" s="43" t="str">
        <f t="array" ref="L730">XLOOKUP($A730,'Recipients REF'!$A:$A,'Recipients REF'!F:F,"",0)</f>
        <v>RCEF 23-08-20 Rebidding</v>
      </c>
      <c r="M730" s="43">
        <f t="array" ref="M730">XLOOKUP($A730,'Recipients REF'!$A:$A,'Recipients REF'!G:G,"",0)</f>
        <v>1</v>
      </c>
      <c r="N730" s="43">
        <f t="array" ref="N730">XLOOKUP($A730,'Recipients REF'!$A:$A,'Recipients REF'!H:H,"",0)</f>
        <v>17959</v>
      </c>
      <c r="O730" s="44" t="s">
        <v>25</v>
      </c>
      <c r="P730" s="45" t="s">
        <v>26</v>
      </c>
      <c r="Q730" s="46" t="str">
        <f t="array" ref="Q730">XLOOKUP($A730,'Recipients REF'!$A:$A,'Recipients REF'!I:I,"",0)</f>
        <v>KMC 5825 ATPFPV0156</v>
      </c>
      <c r="R730" s="47" t="str">
        <f t="array" ref="R730">XLOOKUP($A730,'Recipients REF'!$A:$A,'Recipients REF'!J:J,"",0)</f>
        <v>PTS 100142</v>
      </c>
      <c r="S730" s="45" t="s">
        <v>27</v>
      </c>
      <c r="T730" s="45" t="s">
        <v>28</v>
      </c>
      <c r="U730" s="46" t="str">
        <f t="array" ref="U730">XLOOKUP($A730,'Recipients REF'!$A:$A,'Recipients REF'!K:K,"",0)</f>
        <v>R-SERIES 140 PH</v>
      </c>
      <c r="V730" s="44" t="s">
        <v>29</v>
      </c>
      <c r="W730" s="45" t="s">
        <v>30</v>
      </c>
      <c r="X730" s="47" t="str">
        <f t="array" ref="X730">XLOOKUP($A730,'Recipients REF'!$A:$A,'Recipients REF'!L:L,"",0)</f>
        <v>LSGW1750 RMP 2312083</v>
      </c>
      <c r="Y730" s="48" t="s">
        <v>29</v>
      </c>
      <c r="Z730" s="48" t="s">
        <v>31</v>
      </c>
      <c r="AA730" s="46" t="str">
        <f t="array" ref="AA730">XLOOKUP($A730,'Recipients REF'!$A:$A,'Recipients REF'!M:M,"",0)</f>
        <v>WDP40 RMP 2312083</v>
      </c>
      <c r="AB730" s="49"/>
      <c r="AC730" s="42"/>
      <c r="AD730" s="42"/>
      <c r="AE730" s="50"/>
      <c r="AF730" s="42"/>
      <c r="AG730" s="42"/>
      <c r="AH730" s="42"/>
      <c r="AI730" s="42">
        <f t="array" ref="AI730">XLOOKUP($E730,Sheet11!$D:$D,Sheet11!$X:$X,"",0)</f>
        <v>869066060245090</v>
      </c>
      <c r="AJ730" s="42">
        <f t="array" ref="AJ730">XLOOKUP($E730,Sheet11!$D:$D,Sheet11!$Y:$Y,"",0)</f>
        <v>9087515930</v>
      </c>
    </row>
    <row r="731">
      <c r="A731" s="41">
        <v>85.0</v>
      </c>
      <c r="B731" s="42" t="s">
        <v>1422</v>
      </c>
      <c r="C731" s="42" t="s">
        <v>1423</v>
      </c>
      <c r="D731" s="42"/>
      <c r="E731" s="42" t="str">
        <f t="shared" ref="E731:F731" si="732">PROPER(B731)</f>
        <v>Samahang Magsasaka Ng Aporawan At Paradahan Inc</v>
      </c>
      <c r="F731" s="42" t="str">
        <f t="shared" si="732"/>
        <v>Apo Aporawan, Aborlan, Palawan</v>
      </c>
      <c r="G731" s="42" t="str">
        <f t="shared" si="3"/>
        <v>Apo Aporawan</v>
      </c>
      <c r="H731" s="42" t="str">
        <f t="shared" si="4"/>
        <v>Aborlan</v>
      </c>
      <c r="I731" s="42" t="str">
        <f t="shared" si="5"/>
        <v>Palawan</v>
      </c>
      <c r="J731" s="42" t="str">
        <f t="array" ref="J731">XLOOKUP($E731,'Recipients REF'!$B:$B,'Recipients REF'!D:D,"",0)</f>
        <v>Renato T. Lopez</v>
      </c>
      <c r="K731" s="42">
        <f t="array" ref="K731">XLOOKUP($E731,'Recipients REF'!$B:$B,'Recipients REF'!E:E,"",0)</f>
        <v>9051981527</v>
      </c>
      <c r="L731" s="43" t="str">
        <f t="array" ref="L731">XLOOKUP($A731,'Recipients REF'!$A:$A,'Recipients REF'!F:F,"",0)</f>
        <v>RCEF 23-08-20 Rebidding</v>
      </c>
      <c r="M731" s="43">
        <f t="array" ref="M731">XLOOKUP($A731,'Recipients REF'!$A:$A,'Recipients REF'!G:G,"",0)</f>
        <v>1</v>
      </c>
      <c r="N731" s="43">
        <f t="array" ref="N731">XLOOKUP($A731,'Recipients REF'!$A:$A,'Recipients REF'!H:H,"",0)</f>
        <v>17960</v>
      </c>
      <c r="O731" s="44" t="s">
        <v>25</v>
      </c>
      <c r="P731" s="45" t="s">
        <v>26</v>
      </c>
      <c r="Q731" s="46" t="str">
        <f t="array" ref="Q731">XLOOKUP($A731,'Recipients REF'!$A:$A,'Recipients REF'!I:I,"",0)</f>
        <v>KMC 5825 ATPFPV0041</v>
      </c>
      <c r="R731" s="47" t="str">
        <f t="array" ref="R731">XLOOKUP($A731,'Recipients REF'!$A:$A,'Recipients REF'!J:J,"",0)</f>
        <v>PTS 100064</v>
      </c>
      <c r="S731" s="45" t="s">
        <v>27</v>
      </c>
      <c r="T731" s="45" t="s">
        <v>28</v>
      </c>
      <c r="U731" s="46" t="str">
        <f t="array" ref="U731">XLOOKUP($A731,'Recipients REF'!$A:$A,'Recipients REF'!K:K,"",0)</f>
        <v>R-SERIES 145 PH</v>
      </c>
      <c r="V731" s="44" t="s">
        <v>29</v>
      </c>
      <c r="W731" s="45" t="s">
        <v>30</v>
      </c>
      <c r="X731" s="47" t="str">
        <f t="array" ref="X731">XLOOKUP($A731,'Recipients REF'!$A:$A,'Recipients REF'!L:L,"",0)</f>
        <v>LSGW1750 RMP 2312049</v>
      </c>
      <c r="Y731" s="48" t="s">
        <v>29</v>
      </c>
      <c r="Z731" s="48" t="s">
        <v>31</v>
      </c>
      <c r="AA731" s="46" t="str">
        <f t="array" ref="AA731">XLOOKUP($A731,'Recipients REF'!$A:$A,'Recipients REF'!M:M,"",0)</f>
        <v>WDP40 RMP 2312080</v>
      </c>
      <c r="AB731" s="49"/>
      <c r="AC731" s="42"/>
      <c r="AD731" s="42"/>
      <c r="AE731" s="50"/>
      <c r="AF731" s="42"/>
      <c r="AG731" s="42"/>
      <c r="AH731" s="42"/>
      <c r="AI731" s="42">
        <f t="array" ref="AI731">XLOOKUP($E731,Sheet11!$D:$D,Sheet11!$X:$X,"",0)</f>
        <v>869066060237766</v>
      </c>
      <c r="AJ731" s="42">
        <f t="array" ref="AJ731">XLOOKUP($E731,Sheet11!$D:$D,Sheet11!$Y:$Y,"",0)</f>
        <v>9083230739</v>
      </c>
    </row>
    <row r="732">
      <c r="A732" s="41">
        <v>88.0</v>
      </c>
      <c r="B732" s="42" t="s">
        <v>1424</v>
      </c>
      <c r="C732" s="42" t="s">
        <v>1425</v>
      </c>
      <c r="D732" s="42"/>
      <c r="E732" s="42" t="str">
        <f t="shared" ref="E732:F732" si="733">PROPER(B732)</f>
        <v>Coron Farmer'S Federation</v>
      </c>
      <c r="F732" s="42" t="str">
        <f t="shared" si="733"/>
        <v>Borac, Coron, Palawan</v>
      </c>
      <c r="G732" s="42" t="str">
        <f t="shared" si="3"/>
        <v>Borac</v>
      </c>
      <c r="H732" s="42" t="str">
        <f t="shared" si="4"/>
        <v>Coron</v>
      </c>
      <c r="I732" s="42" t="str">
        <f t="shared" si="5"/>
        <v>Palawan</v>
      </c>
      <c r="J732" s="42" t="str">
        <f t="array" ref="J732">XLOOKUP($E732,'Recipients REF'!$B:$B,'Recipients REF'!D:D,"",0)</f>
        <v>Numeriano Echague</v>
      </c>
      <c r="K732" s="42" t="str">
        <f t="array" ref="K732">XLOOKUP($E732,'Recipients REF'!$B:$B,'Recipients REF'!E:E,"",0)</f>
        <v>0975 848 5785</v>
      </c>
      <c r="L732" s="43" t="str">
        <f t="array" ref="L732">XLOOKUP($A732,'Recipients REF'!$A:$A,'Recipients REF'!F:F,"",0)</f>
        <v>RCEF 23-08-20 Rebidding</v>
      </c>
      <c r="M732" s="43">
        <f t="array" ref="M732">XLOOKUP($A732,'Recipients REF'!$A:$A,'Recipients REF'!G:G,"",0)</f>
        <v>1</v>
      </c>
      <c r="N732" s="43" t="str">
        <f t="array" ref="N732">XLOOKUP($A732,'Recipients REF'!$A:$A,'Recipients REF'!H:H,"",0)</f>
        <v/>
      </c>
      <c r="O732" s="44" t="s">
        <v>25</v>
      </c>
      <c r="P732" s="45" t="s">
        <v>26</v>
      </c>
      <c r="Q732" s="46" t="str">
        <f t="array" ref="Q732">XLOOKUP($A732,'Recipients REF'!$A:$A,'Recipients REF'!I:I,"",0)</f>
        <v>KMC5825 AARFPY0394</v>
      </c>
      <c r="R732" s="47" t="str">
        <f t="array" ref="R732">XLOOKUP($A732,'Recipients REF'!$A:$A,'Recipients REF'!J:J,"",0)</f>
        <v>RTS100299</v>
      </c>
      <c r="S732" s="45" t="s">
        <v>27</v>
      </c>
      <c r="T732" s="45" t="s">
        <v>28</v>
      </c>
      <c r="U732" s="46" t="str">
        <f t="array" ref="U732">XLOOKUP($A732,'Recipients REF'!$A:$A,'Recipients REF'!K:K,"",0)</f>
        <v>R-SERIES 403 PH</v>
      </c>
      <c r="V732" s="44" t="s">
        <v>29</v>
      </c>
      <c r="W732" s="45" t="s">
        <v>30</v>
      </c>
      <c r="X732" s="47" t="str">
        <f t="array" ref="X732">XLOOKUP($A732,'Recipients REF'!$A:$A,'Recipients REF'!L:L,"",0)</f>
        <v>LSGW 1750 RMP 24020531</v>
      </c>
      <c r="Y732" s="48" t="s">
        <v>29</v>
      </c>
      <c r="Z732" s="48" t="s">
        <v>31</v>
      </c>
      <c r="AA732" s="46" t="str">
        <f t="array" ref="AA732">XLOOKUP($A732,'Recipients REF'!$A:$A,'Recipients REF'!M:M,"",0)</f>
        <v>WDP40 RMP 24020248</v>
      </c>
      <c r="AB732" s="49"/>
      <c r="AC732" s="42"/>
      <c r="AD732" s="42"/>
      <c r="AE732" s="50"/>
      <c r="AF732" s="42"/>
      <c r="AG732" s="42"/>
      <c r="AH732" s="42"/>
      <c r="AI732" s="42" t="str">
        <f t="array" ref="AI732">XLOOKUP($E732,Sheet11!$D:$D,Sheet11!$X:$X,"",0)</f>
        <v/>
      </c>
      <c r="AJ732" s="42" t="str">
        <f t="array" ref="AJ732">XLOOKUP($E732,Sheet11!$D:$D,Sheet11!$Y:$Y,"",0)</f>
        <v/>
      </c>
    </row>
    <row r="733">
      <c r="A733" s="41">
        <v>859.0</v>
      </c>
      <c r="B733" s="42" t="s">
        <v>1426</v>
      </c>
      <c r="C733" s="42" t="s">
        <v>1427</v>
      </c>
      <c r="D733" s="42"/>
      <c r="E733" s="42" t="str">
        <f t="shared" ref="E733:F733" si="734">PROPER(B733)</f>
        <v>Aramaywan Farmers Association</v>
      </c>
      <c r="F733" s="42" t="str">
        <f t="shared" si="734"/>
        <v>Aramaywan, Narra, Palawan</v>
      </c>
      <c r="G733" s="42" t="str">
        <f t="shared" si="3"/>
        <v>Aramaywan</v>
      </c>
      <c r="H733" s="42" t="str">
        <f t="shared" si="4"/>
        <v>Narra</v>
      </c>
      <c r="I733" s="42" t="str">
        <f t="shared" si="5"/>
        <v>Palawan</v>
      </c>
      <c r="J733" s="42" t="str">
        <f t="array" ref="J733">XLOOKUP($E733,'Recipients REF'!$B:$B,'Recipients REF'!D:D,"",0)</f>
        <v>FREDDIE TAMBA</v>
      </c>
      <c r="K733" s="42">
        <f t="array" ref="K733">XLOOKUP($E733,'Recipients REF'!$B:$B,'Recipients REF'!E:E,"",0)</f>
        <v>9754863416</v>
      </c>
      <c r="L733" s="43" t="str">
        <f t="array" ref="L733">XLOOKUP($A733,'Recipients REF'!$A:$A,'Recipients REF'!F:F,"",0)</f>
        <v>RCEF 25-03-05</v>
      </c>
      <c r="M733" s="43">
        <f t="array" ref="M733">XLOOKUP($A733,'Recipients REF'!$A:$A,'Recipients REF'!G:G,"",0)</f>
        <v>6</v>
      </c>
      <c r="N733" s="43" t="str">
        <f t="array" ref="N733">XLOOKUP($A733,'Recipients REF'!$A:$A,'Recipients REF'!H:H,"",0)</f>
        <v>26860 &amp; 27903</v>
      </c>
      <c r="O733" s="44" t="s">
        <v>25</v>
      </c>
      <c r="P733" s="45" t="s">
        <v>26</v>
      </c>
      <c r="Q733" s="46" t="str">
        <f t="array" ref="Q733">XLOOKUP($A733,'Recipients REF'!$A:$A,'Recipients REF'!I:I,"",0)</f>
        <v>KMC5825 AKS FPV0248</v>
      </c>
      <c r="R733" s="53" t="str">
        <f t="array" ref="R733">XLOOKUP($A733,'Recipients REF'!$A:$A,'Recipients REF'!J:J,"",0)</f>
        <v>STS 100244</v>
      </c>
      <c r="S733" s="45" t="s">
        <v>27</v>
      </c>
      <c r="T733" s="45" t="s">
        <v>28</v>
      </c>
      <c r="U733" s="46" t="str">
        <f t="array" ref="U733">XLOOKUP($A733,'Recipients REF'!$A:$A,'Recipients REF'!K:K,"",0)</f>
        <v>WR-SERIES 1356PH</v>
      </c>
      <c r="V733" s="44" t="s">
        <v>29</v>
      </c>
      <c r="W733" s="45" t="s">
        <v>30</v>
      </c>
      <c r="X733" s="53" t="str">
        <f t="array" ref="X733">XLOOKUP($A733,'Recipients REF'!$A:$A,'Recipients REF'!L:L,"",0)</f>
        <v>25090483</v>
      </c>
      <c r="Y733" s="48" t="s">
        <v>29</v>
      </c>
      <c r="Z733" s="48" t="s">
        <v>31</v>
      </c>
      <c r="AA733" s="54">
        <f t="array" ref="AA733">XLOOKUP($A733,'Recipients REF'!$A:$A,'Recipients REF'!M:M,"",0)</f>
        <v>25121422</v>
      </c>
      <c r="AB733" s="49"/>
      <c r="AC733" s="42"/>
      <c r="AD733" s="42"/>
      <c r="AE733" s="50"/>
      <c r="AF733" s="42"/>
      <c r="AG733" s="42"/>
      <c r="AH733" s="42"/>
      <c r="AI733" s="42" t="str">
        <f t="array" ref="AI733">XLOOKUP($E733,Sheet11!$D:$D,Sheet11!$X:$X,"",0)</f>
        <v/>
      </c>
      <c r="AJ733" s="42" t="str">
        <f t="array" ref="AJ733">XLOOKUP($E733,Sheet11!$D:$D,Sheet11!$Y:$Y,"",0)</f>
        <v/>
      </c>
    </row>
    <row r="734">
      <c r="A734" s="41">
        <v>860.0</v>
      </c>
      <c r="B734" s="42" t="s">
        <v>1428</v>
      </c>
      <c r="C734" s="42" t="s">
        <v>1429</v>
      </c>
      <c r="D734" s="42"/>
      <c r="E734" s="42" t="str">
        <f t="shared" ref="E734:F734" si="735">PROPER(B734)</f>
        <v>Barangay Antipuluan Farmers Irrigators' Association, Inc.</v>
      </c>
      <c r="F734" s="42" t="str">
        <f t="shared" si="735"/>
        <v>Antipuluan, Narra, Palawan</v>
      </c>
      <c r="G734" s="42" t="str">
        <f t="shared" si="3"/>
        <v>Antipuluan</v>
      </c>
      <c r="H734" s="42" t="str">
        <f t="shared" si="4"/>
        <v>Narra</v>
      </c>
      <c r="I734" s="42" t="str">
        <f t="shared" si="5"/>
        <v>Palawan</v>
      </c>
      <c r="J734" s="42" t="str">
        <f t="array" ref="J734">XLOOKUP($E734,'Recipients REF'!$B:$B,'Recipients REF'!D:D,"",0)</f>
        <v>Danilo M. Roque</v>
      </c>
      <c r="K734" s="42">
        <f t="array" ref="K734">XLOOKUP($E734,'Recipients REF'!$B:$B,'Recipients REF'!E:E,"",0)</f>
        <v>9103728115</v>
      </c>
      <c r="L734" s="43" t="str">
        <f t="array" ref="L734">XLOOKUP($A734,'Recipients REF'!$A:$A,'Recipients REF'!F:F,"",0)</f>
        <v>RCEF 25-03-05</v>
      </c>
      <c r="M734" s="43">
        <f t="array" ref="M734">XLOOKUP($A734,'Recipients REF'!$A:$A,'Recipients REF'!G:G,"",0)</f>
        <v>6</v>
      </c>
      <c r="N734" s="43" t="str">
        <f t="array" ref="N734">XLOOKUP($A734,'Recipients REF'!$A:$A,'Recipients REF'!H:H,"",0)</f>
        <v>26861 &amp; 27904</v>
      </c>
      <c r="O734" s="44" t="s">
        <v>25</v>
      </c>
      <c r="P734" s="45" t="s">
        <v>26</v>
      </c>
      <c r="Q734" s="46" t="str">
        <f t="array" ref="Q734">XLOOKUP($A734,'Recipients REF'!$A:$A,'Recipients REF'!I:I,"",0)</f>
        <v>KMC5825 AJS FPV0235</v>
      </c>
      <c r="R734" s="53" t="str">
        <f t="array" ref="R734">XLOOKUP($A734,'Recipients REF'!$A:$A,'Recipients REF'!J:J,"",0)</f>
        <v>STS 100246</v>
      </c>
      <c r="S734" s="45" t="s">
        <v>27</v>
      </c>
      <c r="T734" s="45" t="s">
        <v>28</v>
      </c>
      <c r="U734" s="46" t="str">
        <f t="array" ref="U734">XLOOKUP($A734,'Recipients REF'!$A:$A,'Recipients REF'!K:K,"",0)</f>
        <v>WR-SERIES 137PH</v>
      </c>
      <c r="V734" s="44" t="s">
        <v>29</v>
      </c>
      <c r="W734" s="45" t="s">
        <v>30</v>
      </c>
      <c r="X734" s="53" t="str">
        <f t="array" ref="X734">XLOOKUP($A734,'Recipients REF'!$A:$A,'Recipients REF'!L:L,"",0)</f>
        <v>2509474</v>
      </c>
      <c r="Y734" s="48" t="s">
        <v>29</v>
      </c>
      <c r="Z734" s="48" t="s">
        <v>31</v>
      </c>
      <c r="AA734" s="54">
        <f t="array" ref="AA734">XLOOKUP($A734,'Recipients REF'!$A:$A,'Recipients REF'!M:M,"",0)</f>
        <v>25121423</v>
      </c>
      <c r="AB734" s="49"/>
      <c r="AC734" s="42"/>
      <c r="AD734" s="42"/>
      <c r="AE734" s="50"/>
      <c r="AF734" s="42"/>
      <c r="AG734" s="42"/>
      <c r="AH734" s="42"/>
      <c r="AI734" s="42" t="str">
        <f t="array" ref="AI734">XLOOKUP($E734,Sheet11!$D:$D,Sheet11!$X:$X,"",0)</f>
        <v/>
      </c>
      <c r="AJ734" s="42" t="str">
        <f t="array" ref="AJ734">XLOOKUP($E734,Sheet11!$D:$D,Sheet11!$Y:$Y,"",0)</f>
        <v/>
      </c>
    </row>
    <row r="735">
      <c r="A735" s="41">
        <v>861.0</v>
      </c>
      <c r="B735" s="42" t="s">
        <v>1430</v>
      </c>
      <c r="C735" s="42" t="s">
        <v>1431</v>
      </c>
      <c r="D735" s="42"/>
      <c r="E735" s="42" t="str">
        <f t="shared" ref="E735:F735" si="736">PROPER(B735)</f>
        <v>Barangay Teresa Rice Farmers Association</v>
      </c>
      <c r="F735" s="42" t="str">
        <f t="shared" si="736"/>
        <v>Teresa, Narra, Palawan</v>
      </c>
      <c r="G735" s="42" t="str">
        <f t="shared" si="3"/>
        <v>Teresa</v>
      </c>
      <c r="H735" s="42" t="str">
        <f t="shared" si="4"/>
        <v>Narra</v>
      </c>
      <c r="I735" s="42" t="str">
        <f t="shared" si="5"/>
        <v>Palawan</v>
      </c>
      <c r="J735" s="42" t="str">
        <f t="array" ref="J735">XLOOKUP($E735,'Recipients REF'!$B:$B,'Recipients REF'!D:D,"",0)</f>
        <v>Teddy N. Estrada</v>
      </c>
      <c r="K735" s="42">
        <f t="array" ref="K735">XLOOKUP($E735,'Recipients REF'!$B:$B,'Recipients REF'!E:E,"",0)</f>
        <v>9178258522</v>
      </c>
      <c r="L735" s="43" t="str">
        <f t="array" ref="L735">XLOOKUP($A735,'Recipients REF'!$A:$A,'Recipients REF'!F:F,"",0)</f>
        <v>RCEF 25-03-05</v>
      </c>
      <c r="M735" s="43">
        <f t="array" ref="M735">XLOOKUP($A735,'Recipients REF'!$A:$A,'Recipients REF'!G:G,"",0)</f>
        <v>6</v>
      </c>
      <c r="N735" s="43" t="str">
        <f t="array" ref="N735">XLOOKUP($A735,'Recipients REF'!$A:$A,'Recipients REF'!H:H,"",0)</f>
        <v>26862 &amp; 27905</v>
      </c>
      <c r="O735" s="44" t="s">
        <v>25</v>
      </c>
      <c r="P735" s="45" t="s">
        <v>26</v>
      </c>
      <c r="Q735" s="46" t="str">
        <f t="array" ref="Q735">XLOOKUP($A735,'Recipients REF'!$A:$A,'Recipients REF'!I:I,"",0)</f>
        <v>KMC5825 ACS FPV0245</v>
      </c>
      <c r="R735" s="53" t="str">
        <f t="array" ref="R735">XLOOKUP($A735,'Recipients REF'!$A:$A,'Recipients REF'!J:J,"",0)</f>
        <v>STS 100262</v>
      </c>
      <c r="S735" s="45" t="s">
        <v>27</v>
      </c>
      <c r="T735" s="45" t="s">
        <v>28</v>
      </c>
      <c r="U735" s="46" t="str">
        <f t="array" ref="U735">XLOOKUP($A735,'Recipients REF'!$A:$A,'Recipients REF'!K:K,"",0)</f>
        <v>WR-SERIES 219PH</v>
      </c>
      <c r="V735" s="44" t="s">
        <v>29</v>
      </c>
      <c r="W735" s="45" t="s">
        <v>30</v>
      </c>
      <c r="X735" s="53" t="str">
        <f t="array" ref="X735">XLOOKUP($A735,'Recipients REF'!$A:$A,'Recipients REF'!L:L,"",0)</f>
        <v>2509473</v>
      </c>
      <c r="Y735" s="48" t="s">
        <v>29</v>
      </c>
      <c r="Z735" s="48" t="s">
        <v>31</v>
      </c>
      <c r="AA735" s="54">
        <f t="array" ref="AA735">XLOOKUP($A735,'Recipients REF'!$A:$A,'Recipients REF'!M:M,"",0)</f>
        <v>25121424</v>
      </c>
      <c r="AB735" s="49"/>
      <c r="AC735" s="42"/>
      <c r="AD735" s="42"/>
      <c r="AE735" s="50"/>
      <c r="AF735" s="42"/>
      <c r="AG735" s="42"/>
      <c r="AH735" s="42"/>
      <c r="AI735" s="42" t="str">
        <f t="array" ref="AI735">XLOOKUP($E735,Sheet11!$D:$D,Sheet11!$X:$X,"",0)</f>
        <v/>
      </c>
      <c r="AJ735" s="42" t="str">
        <f t="array" ref="AJ735">XLOOKUP($E735,Sheet11!$D:$D,Sheet11!$Y:$Y,"",0)</f>
        <v/>
      </c>
    </row>
    <row r="736">
      <c r="A736" s="41">
        <v>862.0</v>
      </c>
      <c r="B736" s="42" t="s">
        <v>1432</v>
      </c>
      <c r="C736" s="42" t="s">
        <v>1433</v>
      </c>
      <c r="D736" s="42"/>
      <c r="E736" s="42" t="str">
        <f t="shared" ref="E736:F736" si="737">PROPER(B736)</f>
        <v>Delta Falls Upper Lapu-Lapu Irrigators Association,Inc.</v>
      </c>
      <c r="F736" s="42" t="str">
        <f t="shared" si="737"/>
        <v>Narra (Pob.), Narra, Palawan</v>
      </c>
      <c r="G736" s="42" t="str">
        <f t="shared" si="3"/>
        <v>Narra (Pob.)</v>
      </c>
      <c r="H736" s="42" t="str">
        <f t="shared" si="4"/>
        <v>Narra</v>
      </c>
      <c r="I736" s="42" t="str">
        <f t="shared" si="5"/>
        <v>Palawan</v>
      </c>
      <c r="J736" s="42" t="str">
        <f t="array" ref="J736">XLOOKUP($E736,'Recipients REF'!$B:$B,'Recipients REF'!D:D,"",0)</f>
        <v>Loreto Briones Jr</v>
      </c>
      <c r="K736" s="42" t="str">
        <f t="array" ref="K736">XLOOKUP($E736,'Recipients REF'!$B:$B,'Recipients REF'!E:E,"",0)</f>
        <v>0916 573 7242</v>
      </c>
      <c r="L736" s="43" t="str">
        <f t="array" ref="L736">XLOOKUP($A736,'Recipients REF'!$A:$A,'Recipients REF'!F:F,"",0)</f>
        <v>RCEF 25-03-05</v>
      </c>
      <c r="M736" s="43">
        <f t="array" ref="M736">XLOOKUP($A736,'Recipients REF'!$A:$A,'Recipients REF'!G:G,"",0)</f>
        <v>6</v>
      </c>
      <c r="N736" s="43" t="str">
        <f t="array" ref="N736">XLOOKUP($A736,'Recipients REF'!$A:$A,'Recipients REF'!H:H,"",0)</f>
        <v>26863 &amp; 27906</v>
      </c>
      <c r="O736" s="44" t="s">
        <v>25</v>
      </c>
      <c r="P736" s="45" t="s">
        <v>26</v>
      </c>
      <c r="Q736" s="46" t="str">
        <f t="array" ref="Q736">XLOOKUP($A736,'Recipients REF'!$A:$A,'Recipients REF'!I:I,"",0)</f>
        <v>KMC5825 AES FPV0213</v>
      </c>
      <c r="R736" s="53" t="str">
        <f t="array" ref="R736">XLOOKUP($A736,'Recipients REF'!$A:$A,'Recipients REF'!J:J,"",0)</f>
        <v>STS 100238</v>
      </c>
      <c r="S736" s="45" t="s">
        <v>27</v>
      </c>
      <c r="T736" s="45" t="s">
        <v>28</v>
      </c>
      <c r="U736" s="46" t="str">
        <f t="array" ref="U736">XLOOKUP($A736,'Recipients REF'!$A:$A,'Recipients REF'!K:K,"",0)</f>
        <v>WR-SERIES 068PH</v>
      </c>
      <c r="V736" s="44" t="s">
        <v>29</v>
      </c>
      <c r="W736" s="45" t="s">
        <v>30</v>
      </c>
      <c r="X736" s="53" t="str">
        <f t="array" ref="X736">XLOOKUP($A736,'Recipients REF'!$A:$A,'Recipients REF'!L:L,"",0)</f>
        <v>25090451</v>
      </c>
      <c r="Y736" s="48" t="s">
        <v>29</v>
      </c>
      <c r="Z736" s="48" t="s">
        <v>31</v>
      </c>
      <c r="AA736" s="54">
        <f t="array" ref="AA736">XLOOKUP($A736,'Recipients REF'!$A:$A,'Recipients REF'!M:M,"",0)</f>
        <v>25121425</v>
      </c>
      <c r="AB736" s="49"/>
      <c r="AC736" s="42"/>
      <c r="AD736" s="42"/>
      <c r="AE736" s="50"/>
      <c r="AF736" s="42"/>
      <c r="AG736" s="42"/>
      <c r="AH736" s="42"/>
      <c r="AI736" s="42" t="str">
        <f t="array" ref="AI736">XLOOKUP($E736,Sheet11!$D:$D,Sheet11!$X:$X,"",0)</f>
        <v/>
      </c>
      <c r="AJ736" s="42" t="str">
        <f t="array" ref="AJ736">XLOOKUP($E736,Sheet11!$D:$D,Sheet11!$Y:$Y,"",0)</f>
        <v/>
      </c>
    </row>
    <row r="737">
      <c r="A737" s="41">
        <v>863.0</v>
      </c>
      <c r="B737" s="42" t="s">
        <v>1434</v>
      </c>
      <c r="C737" s="42" t="s">
        <v>1435</v>
      </c>
      <c r="D737" s="42"/>
      <c r="E737" s="42" t="str">
        <f t="shared" ref="E737:F737" si="738">PROPER(B737)</f>
        <v>Kabsat Ti Pagtatalon Irrigators Association Inc.</v>
      </c>
      <c r="F737" s="42" t="str">
        <f t="shared" si="738"/>
        <v>Bagong Sikat, Narra, Palawan</v>
      </c>
      <c r="G737" s="42" t="str">
        <f t="shared" si="3"/>
        <v>Bagong Sikat</v>
      </c>
      <c r="H737" s="42" t="str">
        <f t="shared" si="4"/>
        <v>Narra</v>
      </c>
      <c r="I737" s="42" t="str">
        <f t="shared" si="5"/>
        <v>Palawan</v>
      </c>
      <c r="J737" s="42" t="str">
        <f t="array" ref="J737">XLOOKUP($E737,'Recipients REF'!$B:$B,'Recipients REF'!D:D,"",0)</f>
        <v>JOHN OPENA</v>
      </c>
      <c r="K737" s="42" t="str">
        <f t="array" ref="K737">XLOOKUP($E737,'Recipients REF'!$B:$B,'Recipients REF'!E:E,"",0)</f>
        <v/>
      </c>
      <c r="L737" s="43" t="str">
        <f t="array" ref="L737">XLOOKUP($A737,'Recipients REF'!$A:$A,'Recipients REF'!F:F,"",0)</f>
        <v>RCEF 25-03-05</v>
      </c>
      <c r="M737" s="43">
        <f t="array" ref="M737">XLOOKUP($A737,'Recipients REF'!$A:$A,'Recipients REF'!G:G,"",0)</f>
        <v>6</v>
      </c>
      <c r="N737" s="43" t="str">
        <f t="array" ref="N737">XLOOKUP($A737,'Recipients REF'!$A:$A,'Recipients REF'!H:H,"",0)</f>
        <v>26864 &amp; 27907</v>
      </c>
      <c r="O737" s="44" t="s">
        <v>25</v>
      </c>
      <c r="P737" s="45" t="s">
        <v>26</v>
      </c>
      <c r="Q737" s="46" t="str">
        <f t="array" ref="Q737">XLOOKUP($A737,'Recipients REF'!$A:$A,'Recipients REF'!I:I,"",0)</f>
        <v>KMC5825 AHS FPV0212</v>
      </c>
      <c r="R737" s="53" t="str">
        <f t="array" ref="R737">XLOOKUP($A737,'Recipients REF'!$A:$A,'Recipients REF'!J:J,"",0)</f>
        <v>STS 100236</v>
      </c>
      <c r="S737" s="45" t="s">
        <v>27</v>
      </c>
      <c r="T737" s="45" t="s">
        <v>28</v>
      </c>
      <c r="U737" s="46" t="str">
        <f t="array" ref="U737">XLOOKUP($A737,'Recipients REF'!$A:$A,'Recipients REF'!K:K,"",0)</f>
        <v>WR-SERIES 069PH</v>
      </c>
      <c r="V737" s="44" t="s">
        <v>29</v>
      </c>
      <c r="W737" s="45" t="s">
        <v>30</v>
      </c>
      <c r="X737" s="53" t="str">
        <f t="array" ref="X737">XLOOKUP($A737,'Recipients REF'!$A:$A,'Recipients REF'!L:L,"",0)</f>
        <v>25090447</v>
      </c>
      <c r="Y737" s="48" t="s">
        <v>29</v>
      </c>
      <c r="Z737" s="48" t="s">
        <v>31</v>
      </c>
      <c r="AA737" s="54">
        <f t="array" ref="AA737">XLOOKUP($A737,'Recipients REF'!$A:$A,'Recipients REF'!M:M,"",0)</f>
        <v>25121426</v>
      </c>
      <c r="AB737" s="49"/>
      <c r="AC737" s="42"/>
      <c r="AD737" s="42"/>
      <c r="AE737" s="50"/>
      <c r="AF737" s="42"/>
      <c r="AG737" s="42"/>
      <c r="AH737" s="42"/>
      <c r="AI737" s="42" t="str">
        <f t="array" ref="AI737">XLOOKUP($E737,Sheet11!$D:$D,Sheet11!$X:$X,"",0)</f>
        <v/>
      </c>
      <c r="AJ737" s="42" t="str">
        <f t="array" ref="AJ737">XLOOKUP($E737,Sheet11!$D:$D,Sheet11!$Y:$Y,"",0)</f>
        <v/>
      </c>
    </row>
    <row r="738">
      <c r="A738" s="41">
        <v>864.0</v>
      </c>
      <c r="B738" s="42" t="s">
        <v>1436</v>
      </c>
      <c r="C738" s="42" t="s">
        <v>1437</v>
      </c>
      <c r="D738" s="42"/>
      <c r="E738" s="42" t="str">
        <f t="shared" ref="E738:F738" si="739">PROPER(B738)</f>
        <v>Kagandahan Irrigators Association Inc.</v>
      </c>
      <c r="F738" s="42" t="str">
        <f t="shared" si="739"/>
        <v>Taritien, Narra, Palawan</v>
      </c>
      <c r="G738" s="42" t="str">
        <f t="shared" si="3"/>
        <v>Taritien</v>
      </c>
      <c r="H738" s="42" t="str">
        <f t="shared" si="4"/>
        <v>Narra</v>
      </c>
      <c r="I738" s="42" t="str">
        <f t="shared" si="5"/>
        <v>Palawan</v>
      </c>
      <c r="J738" s="42" t="str">
        <f t="array" ref="J738">XLOOKUP($E738,'Recipients REF'!$B:$B,'Recipients REF'!D:D,"",0)</f>
        <v>MARCELINO A. YAMBAO</v>
      </c>
      <c r="K738" s="42">
        <f t="array" ref="K738">XLOOKUP($E738,'Recipients REF'!$B:$B,'Recipients REF'!E:E,"",0)</f>
        <v>9359132918</v>
      </c>
      <c r="L738" s="43" t="str">
        <f t="array" ref="L738">XLOOKUP($A738,'Recipients REF'!$A:$A,'Recipients REF'!F:F,"",0)</f>
        <v>RCEF 25-03-05</v>
      </c>
      <c r="M738" s="43">
        <f t="array" ref="M738">XLOOKUP($A738,'Recipients REF'!$A:$A,'Recipients REF'!G:G,"",0)</f>
        <v>6</v>
      </c>
      <c r="N738" s="43" t="str">
        <f t="array" ref="N738">XLOOKUP($A738,'Recipients REF'!$A:$A,'Recipients REF'!H:H,"",0)</f>
        <v>26865 &amp; 27908</v>
      </c>
      <c r="O738" s="44" t="s">
        <v>25</v>
      </c>
      <c r="P738" s="45" t="s">
        <v>26</v>
      </c>
      <c r="Q738" s="46" t="str">
        <f t="array" ref="Q738">XLOOKUP($A738,'Recipients REF'!$A:$A,'Recipients REF'!I:I,"",0)</f>
        <v>KMC5825 AAS FPV0241</v>
      </c>
      <c r="R738" s="53" t="str">
        <f t="array" ref="R738">XLOOKUP($A738,'Recipients REF'!$A:$A,'Recipients REF'!J:J,"",0)</f>
        <v>STS 100257</v>
      </c>
      <c r="S738" s="45" t="s">
        <v>27</v>
      </c>
      <c r="T738" s="45" t="s">
        <v>28</v>
      </c>
      <c r="U738" s="46" t="str">
        <f t="array" ref="U738">XLOOKUP($A738,'Recipients REF'!$A:$A,'Recipients REF'!K:K,"",0)</f>
        <v>WR-SERIES 220PH</v>
      </c>
      <c r="V738" s="44" t="s">
        <v>29</v>
      </c>
      <c r="W738" s="45" t="s">
        <v>30</v>
      </c>
      <c r="X738" s="53" t="str">
        <f t="array" ref="X738">XLOOKUP($A738,'Recipients REF'!$A:$A,'Recipients REF'!L:L,"",0)</f>
        <v>25090450</v>
      </c>
      <c r="Y738" s="48" t="s">
        <v>29</v>
      </c>
      <c r="Z738" s="48" t="s">
        <v>31</v>
      </c>
      <c r="AA738" s="54">
        <f t="array" ref="AA738">XLOOKUP($A738,'Recipients REF'!$A:$A,'Recipients REF'!M:M,"",0)</f>
        <v>25121427</v>
      </c>
      <c r="AB738" s="49"/>
      <c r="AC738" s="42"/>
      <c r="AD738" s="42"/>
      <c r="AE738" s="50"/>
      <c r="AF738" s="42"/>
      <c r="AG738" s="42"/>
      <c r="AH738" s="42"/>
      <c r="AI738" s="42" t="str">
        <f t="array" ref="AI738">XLOOKUP($E738,Sheet11!$D:$D,Sheet11!$X:$X,"",0)</f>
        <v/>
      </c>
      <c r="AJ738" s="42" t="str">
        <f t="array" ref="AJ738">XLOOKUP($E738,Sheet11!$D:$D,Sheet11!$Y:$Y,"",0)</f>
        <v/>
      </c>
    </row>
    <row r="739">
      <c r="A739" s="41">
        <v>865.0</v>
      </c>
      <c r="B739" s="42" t="s">
        <v>1438</v>
      </c>
      <c r="C739" s="42" t="s">
        <v>1439</v>
      </c>
      <c r="D739" s="42"/>
      <c r="E739" s="42" t="str">
        <f t="shared" ref="E739:F739" si="740">PROPER(B739)</f>
        <v>Malatgao Farmers Association</v>
      </c>
      <c r="F739" s="42" t="str">
        <f t="shared" si="740"/>
        <v>Malatgao, Narra, Palawan</v>
      </c>
      <c r="G739" s="42" t="str">
        <f t="shared" si="3"/>
        <v>Malatgao</v>
      </c>
      <c r="H739" s="42" t="str">
        <f t="shared" si="4"/>
        <v>Narra</v>
      </c>
      <c r="I739" s="42" t="str">
        <f t="shared" si="5"/>
        <v>Palawan</v>
      </c>
      <c r="J739" s="42" t="str">
        <f t="array" ref="J739">XLOOKUP($E739,'Recipients REF'!$B:$B,'Recipients REF'!D:D,"",0)</f>
        <v>ARNOLD CANTAGO</v>
      </c>
      <c r="K739" s="42">
        <f t="array" ref="K739">XLOOKUP($E739,'Recipients REF'!$B:$B,'Recipients REF'!E:E,"",0)</f>
        <v>9123442008</v>
      </c>
      <c r="L739" s="43" t="str">
        <f t="array" ref="L739">XLOOKUP($A739,'Recipients REF'!$A:$A,'Recipients REF'!F:F,"",0)</f>
        <v>RCEF 25-03-05</v>
      </c>
      <c r="M739" s="43">
        <f t="array" ref="M739">XLOOKUP($A739,'Recipients REF'!$A:$A,'Recipients REF'!G:G,"",0)</f>
        <v>6</v>
      </c>
      <c r="N739" s="43" t="str">
        <f t="array" ref="N739">XLOOKUP($A739,'Recipients REF'!$A:$A,'Recipients REF'!H:H,"",0)</f>
        <v>26866 &amp; 27909</v>
      </c>
      <c r="O739" s="44" t="s">
        <v>25</v>
      </c>
      <c r="P739" s="45" t="s">
        <v>26</v>
      </c>
      <c r="Q739" s="46" t="str">
        <f t="array" ref="Q739">XLOOKUP($A739,'Recipients REF'!$A:$A,'Recipients REF'!I:I,"",0)</f>
        <v>KMC5825 AAS FPV0188</v>
      </c>
      <c r="R739" s="53" t="str">
        <f t="array" ref="R739">XLOOKUP($A739,'Recipients REF'!$A:$A,'Recipients REF'!J:J,"",0)</f>
        <v>STS 100224</v>
      </c>
      <c r="S739" s="45" t="s">
        <v>27</v>
      </c>
      <c r="T739" s="45" t="s">
        <v>28</v>
      </c>
      <c r="U739" s="46" t="str">
        <f t="array" ref="U739">XLOOKUP($A739,'Recipients REF'!$A:$A,'Recipients REF'!K:K,"",0)</f>
        <v>WR-SERIES 153PH</v>
      </c>
      <c r="V739" s="44" t="s">
        <v>29</v>
      </c>
      <c r="W739" s="45" t="s">
        <v>30</v>
      </c>
      <c r="X739" s="53" t="str">
        <f t="array" ref="X739">XLOOKUP($A739,'Recipients REF'!$A:$A,'Recipients REF'!L:L,"",0)</f>
        <v>25090464</v>
      </c>
      <c r="Y739" s="48" t="s">
        <v>29</v>
      </c>
      <c r="Z739" s="48" t="s">
        <v>31</v>
      </c>
      <c r="AA739" s="54">
        <f t="array" ref="AA739">XLOOKUP($A739,'Recipients REF'!$A:$A,'Recipients REF'!M:M,"",0)</f>
        <v>25121428</v>
      </c>
      <c r="AB739" s="49"/>
      <c r="AC739" s="42"/>
      <c r="AD739" s="42"/>
      <c r="AE739" s="50"/>
      <c r="AF739" s="42"/>
      <c r="AG739" s="42"/>
      <c r="AH739" s="42"/>
      <c r="AI739" s="42" t="str">
        <f t="array" ref="AI739">XLOOKUP($E739,Sheet11!$D:$D,Sheet11!$X:$X,"",0)</f>
        <v/>
      </c>
      <c r="AJ739" s="42" t="str">
        <f t="array" ref="AJ739">XLOOKUP($E739,Sheet11!$D:$D,Sheet11!$Y:$Y,"",0)</f>
        <v/>
      </c>
    </row>
    <row r="740">
      <c r="A740" s="41">
        <v>866.0</v>
      </c>
      <c r="B740" s="42" t="s">
        <v>1440</v>
      </c>
      <c r="C740" s="42" t="s">
        <v>1441</v>
      </c>
      <c r="D740" s="42"/>
      <c r="E740" s="42" t="str">
        <f t="shared" ref="E740:F740" si="741">PROPER(B740)</f>
        <v>Nagkakaisang Lahi Irrigators Association Inc.</v>
      </c>
      <c r="F740" s="42" t="str">
        <f t="shared" si="741"/>
        <v>Malinao, Narra, Palawan</v>
      </c>
      <c r="G740" s="42" t="str">
        <f t="shared" si="3"/>
        <v>Malinao</v>
      </c>
      <c r="H740" s="42" t="str">
        <f t="shared" si="4"/>
        <v>Narra</v>
      </c>
      <c r="I740" s="42" t="str">
        <f t="shared" si="5"/>
        <v>Palawan</v>
      </c>
      <c r="J740" s="42" t="str">
        <f t="array" ref="J740">XLOOKUP($E740,'Recipients REF'!$B:$B,'Recipients REF'!D:D,"",0)</f>
        <v>Jesus D. Del Rosario</v>
      </c>
      <c r="K740" s="42">
        <f t="array" ref="K740">XLOOKUP($E740,'Recipients REF'!$B:$B,'Recipients REF'!E:E,"",0)</f>
        <v>9304356625</v>
      </c>
      <c r="L740" s="43" t="str">
        <f t="array" ref="L740">XLOOKUP($A740,'Recipients REF'!$A:$A,'Recipients REF'!F:F,"",0)</f>
        <v>RCEF 25-03-05</v>
      </c>
      <c r="M740" s="43">
        <f t="array" ref="M740">XLOOKUP($A740,'Recipients REF'!$A:$A,'Recipients REF'!G:G,"",0)</f>
        <v>6</v>
      </c>
      <c r="N740" s="43" t="str">
        <f t="array" ref="N740">XLOOKUP($A740,'Recipients REF'!$A:$A,'Recipients REF'!H:H,"",0)</f>
        <v>26867 &amp; 27910</v>
      </c>
      <c r="O740" s="44" t="s">
        <v>25</v>
      </c>
      <c r="P740" s="45" t="s">
        <v>26</v>
      </c>
      <c r="Q740" s="46" t="str">
        <f t="array" ref="Q740">XLOOKUP($A740,'Recipients REF'!$A:$A,'Recipients REF'!I:I,"",0)</f>
        <v>KMC5825 AVS FPV0187</v>
      </c>
      <c r="R740" s="53" t="str">
        <f t="array" ref="R740">XLOOKUP($A740,'Recipients REF'!$A:$A,'Recipients REF'!J:J,"",0)</f>
        <v>STS 100225</v>
      </c>
      <c r="S740" s="45" t="s">
        <v>27</v>
      </c>
      <c r="T740" s="45" t="s">
        <v>28</v>
      </c>
      <c r="U740" s="46" t="str">
        <f t="array" ref="U740">XLOOKUP($A740,'Recipients REF'!$A:$A,'Recipients REF'!K:K,"",0)</f>
        <v>WR-SERIES 152PH</v>
      </c>
      <c r="V740" s="44" t="s">
        <v>29</v>
      </c>
      <c r="W740" s="45" t="s">
        <v>30</v>
      </c>
      <c r="X740" s="53" t="str">
        <f t="array" ref="X740">XLOOKUP($A740,'Recipients REF'!$A:$A,'Recipients REF'!L:L,"",0)</f>
        <v>25090449</v>
      </c>
      <c r="Y740" s="48" t="s">
        <v>29</v>
      </c>
      <c r="Z740" s="48" t="s">
        <v>31</v>
      </c>
      <c r="AA740" s="54">
        <f t="array" ref="AA740">XLOOKUP($A740,'Recipients REF'!$A:$A,'Recipients REF'!M:M,"",0)</f>
        <v>25121429</v>
      </c>
      <c r="AB740" s="49"/>
      <c r="AC740" s="42"/>
      <c r="AD740" s="42"/>
      <c r="AE740" s="50"/>
      <c r="AF740" s="42"/>
      <c r="AG740" s="42"/>
      <c r="AH740" s="42"/>
      <c r="AI740" s="42" t="str">
        <f t="array" ref="AI740">XLOOKUP($E740,Sheet11!$D:$D,Sheet11!$X:$X,"",0)</f>
        <v/>
      </c>
      <c r="AJ740" s="42" t="str">
        <f t="array" ref="AJ740">XLOOKUP($E740,Sheet11!$D:$D,Sheet11!$Y:$Y,"",0)</f>
        <v/>
      </c>
    </row>
    <row r="741">
      <c r="A741" s="41">
        <v>867.0</v>
      </c>
      <c r="B741" s="42" t="s">
        <v>1442</v>
      </c>
      <c r="C741" s="42" t="s">
        <v>1433</v>
      </c>
      <c r="D741" s="42"/>
      <c r="E741" s="42" t="str">
        <f t="shared" ref="E741:F741" si="742">PROPER(B741)</f>
        <v>Palawan Arc Cooperative Federation (Parcofed)</v>
      </c>
      <c r="F741" s="42" t="str">
        <f t="shared" si="742"/>
        <v>Narra (Pob.), Narra, Palawan</v>
      </c>
      <c r="G741" s="42" t="str">
        <f t="shared" si="3"/>
        <v>Narra (Pob.)</v>
      </c>
      <c r="H741" s="42" t="str">
        <f t="shared" si="4"/>
        <v>Narra</v>
      </c>
      <c r="I741" s="42" t="str">
        <f t="shared" si="5"/>
        <v>Palawan</v>
      </c>
      <c r="J741" s="42" t="str">
        <f t="array" ref="J741">XLOOKUP($E741,'Recipients REF'!$B:$B,'Recipients REF'!D:D,"",0)</f>
        <v>LOVIMEN GALLEGO</v>
      </c>
      <c r="K741" s="42">
        <f t="array" ref="K741">XLOOKUP($E741,'Recipients REF'!$B:$B,'Recipients REF'!E:E,"",0)</f>
        <v>9099279544</v>
      </c>
      <c r="L741" s="43" t="str">
        <f t="array" ref="L741">XLOOKUP($A741,'Recipients REF'!$A:$A,'Recipients REF'!F:F,"",0)</f>
        <v>RCEF 25-03-05</v>
      </c>
      <c r="M741" s="43">
        <f t="array" ref="M741">XLOOKUP($A741,'Recipients REF'!$A:$A,'Recipients REF'!G:G,"",0)</f>
        <v>6</v>
      </c>
      <c r="N741" s="43" t="str">
        <f t="array" ref="N741">XLOOKUP($A741,'Recipients REF'!$A:$A,'Recipients REF'!H:H,"",0)</f>
        <v>26868 &amp; 27911</v>
      </c>
      <c r="O741" s="44" t="s">
        <v>25</v>
      </c>
      <c r="P741" s="45" t="s">
        <v>26</v>
      </c>
      <c r="Q741" s="46" t="str">
        <f t="array" ref="Q741">XLOOKUP($A741,'Recipients REF'!$A:$A,'Recipients REF'!I:I,"",0)</f>
        <v>KMC5825 ACS FPV0169</v>
      </c>
      <c r="R741" s="53" t="str">
        <f t="array" ref="R741">XLOOKUP($A741,'Recipients REF'!$A:$A,'Recipients REF'!J:J,"",0)</f>
        <v>STS 100177</v>
      </c>
      <c r="S741" s="45" t="s">
        <v>27</v>
      </c>
      <c r="T741" s="45" t="s">
        <v>28</v>
      </c>
      <c r="U741" s="46" t="str">
        <f t="array" ref="U741">XLOOKUP($A741,'Recipients REF'!$A:$A,'Recipients REF'!K:K,"",0)</f>
        <v>WR-SERIES 066PH</v>
      </c>
      <c r="V741" s="44" t="s">
        <v>29</v>
      </c>
      <c r="W741" s="45" t="s">
        <v>30</v>
      </c>
      <c r="X741" s="53" t="str">
        <f t="array" ref="X741">XLOOKUP($A741,'Recipients REF'!$A:$A,'Recipients REF'!L:L,"",0)</f>
        <v>25090445</v>
      </c>
      <c r="Y741" s="48" t="s">
        <v>29</v>
      </c>
      <c r="Z741" s="48" t="s">
        <v>31</v>
      </c>
      <c r="AA741" s="54">
        <f t="array" ref="AA741">XLOOKUP($A741,'Recipients REF'!$A:$A,'Recipients REF'!M:M,"",0)</f>
        <v>25121430</v>
      </c>
      <c r="AB741" s="49"/>
      <c r="AC741" s="42"/>
      <c r="AD741" s="42"/>
      <c r="AE741" s="50"/>
      <c r="AF741" s="42"/>
      <c r="AG741" s="42"/>
      <c r="AH741" s="42"/>
      <c r="AI741" s="42" t="str">
        <f t="array" ref="AI741">XLOOKUP($E741,Sheet11!$D:$D,Sheet11!$X:$X,"",0)</f>
        <v/>
      </c>
      <c r="AJ741" s="42" t="str">
        <f t="array" ref="AJ741">XLOOKUP($E741,Sheet11!$D:$D,Sheet11!$Y:$Y,"",0)</f>
        <v/>
      </c>
    </row>
    <row r="742">
      <c r="A742" s="41">
        <v>868.0</v>
      </c>
      <c r="B742" s="42" t="s">
        <v>1443</v>
      </c>
      <c r="C742" s="42" t="s">
        <v>1433</v>
      </c>
      <c r="D742" s="42"/>
      <c r="E742" s="42" t="str">
        <f t="shared" ref="E742:F742" si="743">PROPER(B742)</f>
        <v>Poblacion Centro Farmers Association (Pocefa)</v>
      </c>
      <c r="F742" s="42" t="str">
        <f t="shared" si="743"/>
        <v>Narra (Pob.), Narra, Palawan</v>
      </c>
      <c r="G742" s="42" t="str">
        <f t="shared" si="3"/>
        <v>Narra (Pob.)</v>
      </c>
      <c r="H742" s="42" t="str">
        <f t="shared" si="4"/>
        <v>Narra</v>
      </c>
      <c r="I742" s="42" t="str">
        <f t="shared" si="5"/>
        <v>Palawan</v>
      </c>
      <c r="J742" s="42" t="str">
        <f t="array" ref="J742">XLOOKUP($E742,'Recipients REF'!$B:$B,'Recipients REF'!D:D,"",0)</f>
        <v>Susana A. Acosta</v>
      </c>
      <c r="K742" s="42">
        <f t="array" ref="K742">XLOOKUP($E742,'Recipients REF'!$B:$B,'Recipients REF'!E:E,"",0)</f>
        <v>9708099335</v>
      </c>
      <c r="L742" s="43" t="str">
        <f t="array" ref="L742">XLOOKUP($A742,'Recipients REF'!$A:$A,'Recipients REF'!F:F,"",0)</f>
        <v>RCEF 25-03-05</v>
      </c>
      <c r="M742" s="43">
        <f t="array" ref="M742">XLOOKUP($A742,'Recipients REF'!$A:$A,'Recipients REF'!G:G,"",0)</f>
        <v>6</v>
      </c>
      <c r="N742" s="43" t="str">
        <f t="array" ref="N742">XLOOKUP($A742,'Recipients REF'!$A:$A,'Recipients REF'!H:H,"",0)</f>
        <v>26869 &amp; 27912</v>
      </c>
      <c r="O742" s="44" t="s">
        <v>25</v>
      </c>
      <c r="P742" s="45" t="s">
        <v>26</v>
      </c>
      <c r="Q742" s="46" t="str">
        <f t="array" ref="Q742">XLOOKUP($A742,'Recipients REF'!$A:$A,'Recipients REF'!I:I,"",0)</f>
        <v>KMC5825 AKS FPV0170</v>
      </c>
      <c r="R742" s="53" t="str">
        <f t="array" ref="R742">XLOOKUP($A742,'Recipients REF'!$A:$A,'Recipients REF'!J:J,"",0)</f>
        <v>STS 100187</v>
      </c>
      <c r="S742" s="45" t="s">
        <v>27</v>
      </c>
      <c r="T742" s="45" t="s">
        <v>28</v>
      </c>
      <c r="U742" s="46" t="str">
        <f t="array" ref="U742">XLOOKUP($A742,'Recipients REF'!$A:$A,'Recipients REF'!K:K,"",0)</f>
        <v>WR-SERIES 217PH</v>
      </c>
      <c r="V742" s="44" t="s">
        <v>29</v>
      </c>
      <c r="W742" s="45" t="s">
        <v>30</v>
      </c>
      <c r="X742" s="53" t="str">
        <f t="array" ref="X742">XLOOKUP($A742,'Recipients REF'!$A:$A,'Recipients REF'!L:L,"",0)</f>
        <v>25090461</v>
      </c>
      <c r="Y742" s="48" t="s">
        <v>29</v>
      </c>
      <c r="Z742" s="48" t="s">
        <v>31</v>
      </c>
      <c r="AA742" s="54">
        <f t="array" ref="AA742">XLOOKUP($A742,'Recipients REF'!$A:$A,'Recipients REF'!M:M,"",0)</f>
        <v>25121431</v>
      </c>
      <c r="AB742" s="49"/>
      <c r="AC742" s="42"/>
      <c r="AD742" s="42"/>
      <c r="AE742" s="50"/>
      <c r="AF742" s="42"/>
      <c r="AG742" s="42"/>
      <c r="AH742" s="42"/>
      <c r="AI742" s="42" t="str">
        <f t="array" ref="AI742">XLOOKUP($E742,Sheet11!$D:$D,Sheet11!$X:$X,"",0)</f>
        <v/>
      </c>
      <c r="AJ742" s="42" t="str">
        <f t="array" ref="AJ742">XLOOKUP($E742,Sheet11!$D:$D,Sheet11!$Y:$Y,"",0)</f>
        <v/>
      </c>
    </row>
    <row r="743">
      <c r="A743" s="41">
        <v>869.0</v>
      </c>
      <c r="B743" s="42" t="s">
        <v>1390</v>
      </c>
      <c r="C743" s="42" t="s">
        <v>1444</v>
      </c>
      <c r="D743" s="42"/>
      <c r="E743" s="42" t="str">
        <f t="shared" ref="E743:F743" si="744">PROPER(B743)</f>
        <v>Sandoval Farmers Association</v>
      </c>
      <c r="F743" s="42" t="str">
        <f t="shared" si="744"/>
        <v>Sandoval, Narra, Palawan</v>
      </c>
      <c r="G743" s="42" t="str">
        <f t="shared" si="3"/>
        <v>Sandoval</v>
      </c>
      <c r="H743" s="42" t="str">
        <f t="shared" si="4"/>
        <v>Narra</v>
      </c>
      <c r="I743" s="42" t="str">
        <f t="shared" si="5"/>
        <v>Palawan</v>
      </c>
      <c r="J743" s="42" t="str">
        <f t="array" ref="J743">XLOOKUP($E743,'Recipients REF'!$B:$B,'Recipients REF'!D:D,"",0)</f>
        <v>Philip G. Flores</v>
      </c>
      <c r="K743" s="42">
        <f t="array" ref="K743">XLOOKUP($E743,'Recipients REF'!$B:$B,'Recipients REF'!E:E,"",0)</f>
        <v>9261966722</v>
      </c>
      <c r="L743" s="43" t="str">
        <f t="array" ref="L743">XLOOKUP($A743,'Recipients REF'!$A:$A,'Recipients REF'!F:F,"",0)</f>
        <v>RCEF 25-03-05</v>
      </c>
      <c r="M743" s="43">
        <f t="array" ref="M743">XLOOKUP($A743,'Recipients REF'!$A:$A,'Recipients REF'!G:G,"",0)</f>
        <v>6</v>
      </c>
      <c r="N743" s="43" t="str">
        <f t="array" ref="N743">XLOOKUP($A743,'Recipients REF'!$A:$A,'Recipients REF'!H:H,"",0)</f>
        <v>26870 &amp; 27913</v>
      </c>
      <c r="O743" s="44" t="s">
        <v>25</v>
      </c>
      <c r="P743" s="45" t="s">
        <v>26</v>
      </c>
      <c r="Q743" s="46" t="str">
        <f t="array" ref="Q743">XLOOKUP($A743,'Recipients REF'!$A:$A,'Recipients REF'!I:I,"",0)</f>
        <v>KMC5825 ACS FPV0253</v>
      </c>
      <c r="R743" s="53" t="str">
        <f t="array" ref="R743">XLOOKUP($A743,'Recipients REF'!$A:$A,'Recipients REF'!J:J,"",0)</f>
        <v>STS 100263</v>
      </c>
      <c r="S743" s="45" t="s">
        <v>27</v>
      </c>
      <c r="T743" s="45" t="s">
        <v>28</v>
      </c>
      <c r="U743" s="46" t="str">
        <f t="array" ref="U743">XLOOKUP($A743,'Recipients REF'!$A:$A,'Recipients REF'!K:K,"",0)</f>
        <v>WR-SERIES 070PH</v>
      </c>
      <c r="V743" s="44" t="s">
        <v>29</v>
      </c>
      <c r="W743" s="45" t="s">
        <v>30</v>
      </c>
      <c r="X743" s="53" t="str">
        <f t="array" ref="X743">XLOOKUP($A743,'Recipients REF'!$A:$A,'Recipients REF'!L:L,"",0)</f>
        <v>25090475</v>
      </c>
      <c r="Y743" s="48" t="s">
        <v>29</v>
      </c>
      <c r="Z743" s="48" t="s">
        <v>31</v>
      </c>
      <c r="AA743" s="54">
        <f t="array" ref="AA743">XLOOKUP($A743,'Recipients REF'!$A:$A,'Recipients REF'!M:M,"",0)</f>
        <v>25121432</v>
      </c>
      <c r="AB743" s="49"/>
      <c r="AC743" s="42"/>
      <c r="AD743" s="42"/>
      <c r="AE743" s="50"/>
      <c r="AF743" s="42"/>
      <c r="AG743" s="42"/>
      <c r="AH743" s="42"/>
      <c r="AI743" s="42">
        <f t="array" ref="AI743">XLOOKUP($E743,Sheet11!$D:$D,Sheet11!$X:$X,"",0)</f>
        <v>869066060237782</v>
      </c>
      <c r="AJ743" s="42">
        <f t="array" ref="AJ743">XLOOKUP($E743,Sheet11!$D:$D,Sheet11!$Y:$Y,"",0)</f>
        <v>9691136907</v>
      </c>
    </row>
    <row r="744">
      <c r="A744" s="41">
        <v>870.0</v>
      </c>
      <c r="B744" s="42" t="s">
        <v>1445</v>
      </c>
      <c r="C744" s="42" t="s">
        <v>1441</v>
      </c>
      <c r="D744" s="42"/>
      <c r="E744" s="42" t="str">
        <f t="shared" ref="E744:F744" si="745">PROPER(B744)</f>
        <v>Upper Malinao Rice Farmers Irrigators Association Inc.</v>
      </c>
      <c r="F744" s="42" t="str">
        <f t="shared" si="745"/>
        <v>Malinao, Narra, Palawan</v>
      </c>
      <c r="G744" s="42" t="str">
        <f t="shared" si="3"/>
        <v>Malinao</v>
      </c>
      <c r="H744" s="42" t="str">
        <f t="shared" si="4"/>
        <v>Narra</v>
      </c>
      <c r="I744" s="42" t="str">
        <f t="shared" si="5"/>
        <v>Palawan</v>
      </c>
      <c r="J744" s="42" t="str">
        <f t="array" ref="J744">XLOOKUP($E744,'Recipients REF'!$B:$B,'Recipients REF'!D:D,"",0)</f>
        <v>EMILY T. ESMAN</v>
      </c>
      <c r="K744" s="42">
        <f t="array" ref="K744">XLOOKUP($E744,'Recipients REF'!$B:$B,'Recipients REF'!E:E,"",0)</f>
        <v>9386039579</v>
      </c>
      <c r="L744" s="43" t="str">
        <f t="array" ref="L744">XLOOKUP($A744,'Recipients REF'!$A:$A,'Recipients REF'!F:F,"",0)</f>
        <v>RCEF 25-03-05</v>
      </c>
      <c r="M744" s="43">
        <f t="array" ref="M744">XLOOKUP($A744,'Recipients REF'!$A:$A,'Recipients REF'!G:G,"",0)</f>
        <v>6</v>
      </c>
      <c r="N744" s="43" t="str">
        <f t="array" ref="N744">XLOOKUP($A744,'Recipients REF'!$A:$A,'Recipients REF'!H:H,"",0)</f>
        <v>26871 &amp; 27914</v>
      </c>
      <c r="O744" s="44" t="s">
        <v>25</v>
      </c>
      <c r="P744" s="45" t="s">
        <v>26</v>
      </c>
      <c r="Q744" s="46" t="str">
        <f t="array" ref="Q744">XLOOKUP($A744,'Recipients REF'!$A:$A,'Recipients REF'!I:I,"",0)</f>
        <v>KMC5825 AJS FPV0249</v>
      </c>
      <c r="R744" s="53" t="str">
        <f t="array" ref="R744">XLOOKUP($A744,'Recipients REF'!$A:$A,'Recipients REF'!J:J,"",0)</f>
        <v>STS 100255</v>
      </c>
      <c r="S744" s="45" t="s">
        <v>27</v>
      </c>
      <c r="T744" s="45" t="s">
        <v>28</v>
      </c>
      <c r="U744" s="46" t="str">
        <f t="array" ref="U744">XLOOKUP($A744,'Recipients REF'!$A:$A,'Recipients REF'!K:K,"",0)</f>
        <v>WR-SERIES 089PH</v>
      </c>
      <c r="V744" s="44" t="s">
        <v>29</v>
      </c>
      <c r="W744" s="45" t="s">
        <v>30</v>
      </c>
      <c r="X744" s="53" t="str">
        <f t="array" ref="X744">XLOOKUP($A744,'Recipients REF'!$A:$A,'Recipients REF'!L:L,"",0)</f>
        <v>25090470</v>
      </c>
      <c r="Y744" s="48" t="s">
        <v>29</v>
      </c>
      <c r="Z744" s="48" t="s">
        <v>31</v>
      </c>
      <c r="AA744" s="54">
        <f t="array" ref="AA744">XLOOKUP($A744,'Recipients REF'!$A:$A,'Recipients REF'!M:M,"",0)</f>
        <v>25121433</v>
      </c>
      <c r="AB744" s="49"/>
      <c r="AC744" s="42"/>
      <c r="AD744" s="42"/>
      <c r="AE744" s="50"/>
      <c r="AF744" s="42"/>
      <c r="AG744" s="42"/>
      <c r="AH744" s="42"/>
      <c r="AI744" s="42" t="str">
        <f t="array" ref="AI744">XLOOKUP($E744,Sheet11!$D:$D,Sheet11!$X:$X,"",0)</f>
        <v/>
      </c>
      <c r="AJ744" s="42" t="str">
        <f t="array" ref="AJ744">XLOOKUP($E744,Sheet11!$D:$D,Sheet11!$Y:$Y,"",0)</f>
        <v/>
      </c>
    </row>
    <row r="745">
      <c r="A745" s="41">
        <v>871.0</v>
      </c>
      <c r="B745" s="42" t="s">
        <v>1446</v>
      </c>
      <c r="C745" s="42" t="s">
        <v>1447</v>
      </c>
      <c r="D745" s="42"/>
      <c r="E745" s="42" t="str">
        <f t="shared" ref="E745:F745" si="746">PROPER(B745)</f>
        <v>Aramaywan Quezon Farmers Irrigators' Association, Inc</v>
      </c>
      <c r="F745" s="42" t="str">
        <f t="shared" si="746"/>
        <v>Aramaywan, Quezon, Palawan</v>
      </c>
      <c r="G745" s="42" t="str">
        <f t="shared" si="3"/>
        <v>Aramaywan</v>
      </c>
      <c r="H745" s="42" t="str">
        <f t="shared" si="4"/>
        <v>Quezon</v>
      </c>
      <c r="I745" s="42" t="str">
        <f t="shared" si="5"/>
        <v>Palawan</v>
      </c>
      <c r="J745" s="42" t="str">
        <f t="array" ref="J745">XLOOKUP($E745,'Recipients REF'!$B:$B,'Recipients REF'!D:D,"",0)</f>
        <v>Mildred T. Pacabis</v>
      </c>
      <c r="K745" s="42">
        <f t="array" ref="K745">XLOOKUP($E745,'Recipients REF'!$B:$B,'Recipients REF'!E:E,"",0)</f>
        <v>9204546137</v>
      </c>
      <c r="L745" s="43" t="str">
        <f t="array" ref="L745">XLOOKUP($A745,'Recipients REF'!$A:$A,'Recipients REF'!F:F,"",0)</f>
        <v>RCEF 25-03-05</v>
      </c>
      <c r="M745" s="43">
        <f t="array" ref="M745">XLOOKUP($A745,'Recipients REF'!$A:$A,'Recipients REF'!G:G,"",0)</f>
        <v>6</v>
      </c>
      <c r="N745" s="43" t="str">
        <f t="array" ref="N745">XLOOKUP($A745,'Recipients REF'!$A:$A,'Recipients REF'!H:H,"",0)</f>
        <v>26872 &amp; 27915</v>
      </c>
      <c r="O745" s="44" t="s">
        <v>25</v>
      </c>
      <c r="P745" s="45" t="s">
        <v>26</v>
      </c>
      <c r="Q745" s="46" t="str">
        <f t="array" ref="Q745">XLOOKUP($A745,'Recipients REF'!$A:$A,'Recipients REF'!I:I,"",0)</f>
        <v>KMC5825 AKS FPV0198</v>
      </c>
      <c r="R745" s="53" t="str">
        <f t="array" ref="R745">XLOOKUP($A745,'Recipients REF'!$A:$A,'Recipients REF'!J:J,"",0)</f>
        <v>STS 100236</v>
      </c>
      <c r="S745" s="45" t="s">
        <v>27</v>
      </c>
      <c r="T745" s="45" t="s">
        <v>28</v>
      </c>
      <c r="U745" s="46" t="str">
        <f t="array" ref="U745">XLOOKUP($A745,'Recipients REF'!$A:$A,'Recipients REF'!K:K,"",0)</f>
        <v>WR-SERIES 073PH</v>
      </c>
      <c r="V745" s="44" t="s">
        <v>29</v>
      </c>
      <c r="W745" s="45" t="s">
        <v>30</v>
      </c>
      <c r="X745" s="53" t="str">
        <f t="array" ref="X745">XLOOKUP($A745,'Recipients REF'!$A:$A,'Recipients REF'!L:L,"",0)</f>
        <v>25090446</v>
      </c>
      <c r="Y745" s="48" t="s">
        <v>29</v>
      </c>
      <c r="Z745" s="48" t="s">
        <v>31</v>
      </c>
      <c r="AA745" s="54">
        <f t="array" ref="AA745">XLOOKUP($A745,'Recipients REF'!$A:$A,'Recipients REF'!M:M,"",0)</f>
        <v>25121434</v>
      </c>
      <c r="AB745" s="49"/>
      <c r="AC745" s="42"/>
      <c r="AD745" s="42"/>
      <c r="AE745" s="50"/>
      <c r="AF745" s="42"/>
      <c r="AG745" s="42"/>
      <c r="AH745" s="42"/>
      <c r="AI745" s="42" t="str">
        <f t="array" ref="AI745">XLOOKUP($E745,Sheet11!$D:$D,Sheet11!$X:$X,"",0)</f>
        <v/>
      </c>
      <c r="AJ745" s="42" t="str">
        <f t="array" ref="AJ745">XLOOKUP($E745,Sheet11!$D:$D,Sheet11!$Y:$Y,"",0)</f>
        <v/>
      </c>
    </row>
    <row r="746">
      <c r="A746" s="41">
        <v>872.0</v>
      </c>
      <c r="B746" s="42" t="s">
        <v>1448</v>
      </c>
      <c r="C746" s="42" t="s">
        <v>1449</v>
      </c>
      <c r="D746" s="42"/>
      <c r="E746" s="42" t="str">
        <f t="shared" ref="E746:F746" si="747">PROPER(B746)</f>
        <v>Iluluway Farmer'S Association</v>
      </c>
      <c r="F746" s="42" t="str">
        <f t="shared" si="747"/>
        <v>Alfonso Xiii (Pob.), Quezon, Palawan</v>
      </c>
      <c r="G746" s="42" t="str">
        <f t="shared" si="3"/>
        <v>Alfonso Xiii (Pob.)</v>
      </c>
      <c r="H746" s="42" t="str">
        <f t="shared" si="4"/>
        <v>Quezon</v>
      </c>
      <c r="I746" s="42" t="str">
        <f t="shared" si="5"/>
        <v>Palawan</v>
      </c>
      <c r="J746" s="42" t="str">
        <f t="array" ref="J746">XLOOKUP($E746,'Recipients REF'!$B:$B,'Recipients REF'!D:D,"",0)</f>
        <v>Faiz D. Macari</v>
      </c>
      <c r="K746" s="42">
        <f t="array" ref="K746">XLOOKUP($E746,'Recipients REF'!$B:$B,'Recipients REF'!E:E,"",0)</f>
        <v>9750466892</v>
      </c>
      <c r="L746" s="43" t="str">
        <f t="array" ref="L746">XLOOKUP($A746,'Recipients REF'!$A:$A,'Recipients REF'!F:F,"",0)</f>
        <v>RCEF 25-03-05</v>
      </c>
      <c r="M746" s="43">
        <f t="array" ref="M746">XLOOKUP($A746,'Recipients REF'!$A:$A,'Recipients REF'!G:G,"",0)</f>
        <v>6</v>
      </c>
      <c r="N746" s="43" t="str">
        <f t="array" ref="N746">XLOOKUP($A746,'Recipients REF'!$A:$A,'Recipients REF'!H:H,"",0)</f>
        <v>26873 &amp; 27916</v>
      </c>
      <c r="O746" s="44" t="s">
        <v>25</v>
      </c>
      <c r="P746" s="45" t="s">
        <v>26</v>
      </c>
      <c r="Q746" s="46" t="str">
        <f t="array" ref="Q746">XLOOKUP($A746,'Recipients REF'!$A:$A,'Recipients REF'!I:I,"",0)</f>
        <v>KMC5825 AJS FPV0204</v>
      </c>
      <c r="R746" s="53" t="str">
        <f t="array" ref="R746">XLOOKUP($A746,'Recipients REF'!$A:$A,'Recipients REF'!J:J,"",0)</f>
        <v>STS 100232</v>
      </c>
      <c r="S746" s="45" t="s">
        <v>27</v>
      </c>
      <c r="T746" s="45" t="s">
        <v>28</v>
      </c>
      <c r="U746" s="46" t="str">
        <f t="array" ref="U746">XLOOKUP($A746,'Recipients REF'!$A:$A,'Recipients REF'!K:K,"",0)</f>
        <v>WR-SERIES 135PH</v>
      </c>
      <c r="V746" s="44" t="s">
        <v>29</v>
      </c>
      <c r="W746" s="45" t="s">
        <v>30</v>
      </c>
      <c r="X746" s="53" t="str">
        <f t="array" ref="X746">XLOOKUP($A746,'Recipients REF'!$A:$A,'Recipients REF'!L:L,"",0)</f>
        <v>25090488</v>
      </c>
      <c r="Y746" s="48" t="s">
        <v>29</v>
      </c>
      <c r="Z746" s="48" t="s">
        <v>31</v>
      </c>
      <c r="AA746" s="54">
        <f t="array" ref="AA746">XLOOKUP($A746,'Recipients REF'!$A:$A,'Recipients REF'!M:M,"",0)</f>
        <v>25121435</v>
      </c>
      <c r="AB746" s="49"/>
      <c r="AC746" s="42"/>
      <c r="AD746" s="42"/>
      <c r="AE746" s="50"/>
      <c r="AF746" s="42"/>
      <c r="AG746" s="42"/>
      <c r="AH746" s="42"/>
      <c r="AI746" s="42" t="str">
        <f t="array" ref="AI746">XLOOKUP($E746,Sheet11!$D:$D,Sheet11!$X:$X,"",0)</f>
        <v/>
      </c>
      <c r="AJ746" s="42" t="str">
        <f t="array" ref="AJ746">XLOOKUP($E746,Sheet11!$D:$D,Sheet11!$Y:$Y,"",0)</f>
        <v/>
      </c>
    </row>
    <row r="747">
      <c r="A747" s="41">
        <v>873.0</v>
      </c>
      <c r="B747" s="42" t="s">
        <v>1450</v>
      </c>
      <c r="C747" s="42" t="s">
        <v>1451</v>
      </c>
      <c r="D747" s="42"/>
      <c r="E747" s="42" t="str">
        <f t="shared" ref="E747:F747" si="748">PROPER(B747)</f>
        <v>Sitio Nali Irrigators' Association, Inc.</v>
      </c>
      <c r="F747" s="42" t="str">
        <f t="shared" si="748"/>
        <v>Panitian, Quezon, Palawan</v>
      </c>
      <c r="G747" s="42" t="str">
        <f t="shared" si="3"/>
        <v>Panitian</v>
      </c>
      <c r="H747" s="42" t="str">
        <f t="shared" si="4"/>
        <v>Quezon</v>
      </c>
      <c r="I747" s="42" t="str">
        <f t="shared" si="5"/>
        <v>Palawan</v>
      </c>
      <c r="J747" s="42" t="str">
        <f t="array" ref="J747">XLOOKUP($E747,'Recipients REF'!$B:$B,'Recipients REF'!D:D,"",0)</f>
        <v>OLEDARIO R. INVIERNO</v>
      </c>
      <c r="K747" s="42">
        <f t="array" ref="K747">XLOOKUP($E747,'Recipients REF'!$B:$B,'Recipients REF'!E:E,"",0)</f>
        <v>9366628202</v>
      </c>
      <c r="L747" s="43" t="str">
        <f t="array" ref="L747">XLOOKUP($A747,'Recipients REF'!$A:$A,'Recipients REF'!F:F,"",0)</f>
        <v>RCEF 25-03-05</v>
      </c>
      <c r="M747" s="43">
        <f t="array" ref="M747">XLOOKUP($A747,'Recipients REF'!$A:$A,'Recipients REF'!G:G,"",0)</f>
        <v>6</v>
      </c>
      <c r="N747" s="43" t="str">
        <f t="array" ref="N747">XLOOKUP($A747,'Recipients REF'!$A:$A,'Recipients REF'!H:H,"",0)</f>
        <v>26874 &amp; 27917</v>
      </c>
      <c r="O747" s="44" t="s">
        <v>25</v>
      </c>
      <c r="P747" s="45" t="s">
        <v>26</v>
      </c>
      <c r="Q747" s="46" t="str">
        <f t="array" ref="Q747">XLOOKUP($A747,'Recipients REF'!$A:$A,'Recipients REF'!I:I,"",0)</f>
        <v>KMC5825 AVS FPV0190</v>
      </c>
      <c r="R747" s="53" t="str">
        <f t="array" ref="R747">XLOOKUP($A747,'Recipients REF'!$A:$A,'Recipients REF'!J:J,"",0)</f>
        <v>STS 100219</v>
      </c>
      <c r="S747" s="45" t="s">
        <v>27</v>
      </c>
      <c r="T747" s="45" t="s">
        <v>28</v>
      </c>
      <c r="U747" s="46" t="str">
        <f t="array" ref="U747">XLOOKUP($A747,'Recipients REF'!$A:$A,'Recipients REF'!K:K,"",0)</f>
        <v>WR-SERIES 151PH</v>
      </c>
      <c r="V747" s="44" t="s">
        <v>29</v>
      </c>
      <c r="W747" s="45" t="s">
        <v>30</v>
      </c>
      <c r="X747" s="53" t="str">
        <f t="array" ref="X747">XLOOKUP($A747,'Recipients REF'!$A:$A,'Recipients REF'!L:L,"",0)</f>
        <v>2509460</v>
      </c>
      <c r="Y747" s="48" t="s">
        <v>29</v>
      </c>
      <c r="Z747" s="48" t="s">
        <v>31</v>
      </c>
      <c r="AA747" s="54">
        <f t="array" ref="AA747">XLOOKUP($A747,'Recipients REF'!$A:$A,'Recipients REF'!M:M,"",0)</f>
        <v>25121436</v>
      </c>
      <c r="AB747" s="49"/>
      <c r="AC747" s="42"/>
      <c r="AD747" s="42"/>
      <c r="AE747" s="50"/>
      <c r="AF747" s="42"/>
      <c r="AG747" s="42"/>
      <c r="AH747" s="42"/>
      <c r="AI747" s="42" t="str">
        <f t="array" ref="AI747">XLOOKUP($E747,Sheet11!$D:$D,Sheet11!$X:$X,"",0)</f>
        <v/>
      </c>
      <c r="AJ747" s="42" t="str">
        <f t="array" ref="AJ747">XLOOKUP($E747,Sheet11!$D:$D,Sheet11!$Y:$Y,"",0)</f>
        <v/>
      </c>
    </row>
    <row r="748">
      <c r="A748" s="41">
        <v>874.0</v>
      </c>
      <c r="B748" s="42" t="s">
        <v>1452</v>
      </c>
      <c r="C748" s="42" t="s">
        <v>1453</v>
      </c>
      <c r="D748" s="42"/>
      <c r="E748" s="42" t="str">
        <f t="shared" ref="E748:F748" si="749">PROPER(B748)</f>
        <v>United Farmer'S Irrigators Association Of Malatgao And Panitian Inc.</v>
      </c>
      <c r="F748" s="42" t="str">
        <f t="shared" si="749"/>
        <v>Malatgao, Quezon, Palawan</v>
      </c>
      <c r="G748" s="42" t="str">
        <f t="shared" si="3"/>
        <v>Malatgao</v>
      </c>
      <c r="H748" s="42" t="str">
        <f t="shared" si="4"/>
        <v>Quezon</v>
      </c>
      <c r="I748" s="42" t="str">
        <f t="shared" si="5"/>
        <v>Palawan</v>
      </c>
      <c r="J748" s="42" t="str">
        <f t="array" ref="J748">XLOOKUP($E748,'Recipients REF'!$B:$B,'Recipients REF'!D:D,"",0)</f>
        <v>Fortunato C. Abellana Jr</v>
      </c>
      <c r="K748" s="42">
        <f t="array" ref="K748">XLOOKUP($E748,'Recipients REF'!$B:$B,'Recipients REF'!E:E,"",0)</f>
        <v>9120352264</v>
      </c>
      <c r="L748" s="43" t="str">
        <f t="array" ref="L748">XLOOKUP($A748,'Recipients REF'!$A:$A,'Recipients REF'!F:F,"",0)</f>
        <v>RCEF 25-03-05</v>
      </c>
      <c r="M748" s="43">
        <f t="array" ref="M748">XLOOKUP($A748,'Recipients REF'!$A:$A,'Recipients REF'!G:G,"",0)</f>
        <v>6</v>
      </c>
      <c r="N748" s="43" t="str">
        <f t="array" ref="N748">XLOOKUP($A748,'Recipients REF'!$A:$A,'Recipients REF'!H:H,"",0)</f>
        <v>26875 &amp; 27918</v>
      </c>
      <c r="O748" s="44" t="s">
        <v>25</v>
      </c>
      <c r="P748" s="45" t="s">
        <v>26</v>
      </c>
      <c r="Q748" s="46" t="str">
        <f t="array" ref="Q748">XLOOKUP($A748,'Recipients REF'!$A:$A,'Recipients REF'!I:I,"",0)</f>
        <v>KMC5825 ACS FPV0178</v>
      </c>
      <c r="R748" s="53" t="str">
        <f t="array" ref="R748">XLOOKUP($A748,'Recipients REF'!$A:$A,'Recipients REF'!J:J,"",0)</f>
        <v>STS 100207</v>
      </c>
      <c r="S748" s="45" t="s">
        <v>27</v>
      </c>
      <c r="T748" s="45" t="s">
        <v>28</v>
      </c>
      <c r="U748" s="46" t="str">
        <f t="array" ref="U748">XLOOKUP($A748,'Recipients REF'!$A:$A,'Recipients REF'!K:K,"",0)</f>
        <v>WR-SERIES 064PH</v>
      </c>
      <c r="V748" s="44" t="s">
        <v>29</v>
      </c>
      <c r="W748" s="45" t="s">
        <v>30</v>
      </c>
      <c r="X748" s="53" t="str">
        <f t="array" ref="X748">XLOOKUP($A748,'Recipients REF'!$A:$A,'Recipients REF'!L:L,"",0)</f>
        <v>2509479</v>
      </c>
      <c r="Y748" s="48" t="s">
        <v>29</v>
      </c>
      <c r="Z748" s="48" t="s">
        <v>31</v>
      </c>
      <c r="AA748" s="54">
        <f t="array" ref="AA748">XLOOKUP($A748,'Recipients REF'!$A:$A,'Recipients REF'!M:M,"",0)</f>
        <v>25121437</v>
      </c>
      <c r="AB748" s="49"/>
      <c r="AC748" s="42"/>
      <c r="AD748" s="42"/>
      <c r="AE748" s="50"/>
      <c r="AF748" s="42"/>
      <c r="AG748" s="42"/>
      <c r="AH748" s="42"/>
      <c r="AI748" s="42" t="str">
        <f t="array" ref="AI748">XLOOKUP($E748,Sheet11!$D:$D,Sheet11!$X:$X,"",0)</f>
        <v/>
      </c>
      <c r="AJ748" s="42" t="str">
        <f t="array" ref="AJ748">XLOOKUP($E748,Sheet11!$D:$D,Sheet11!$Y:$Y,"",0)</f>
        <v/>
      </c>
    </row>
    <row r="749">
      <c r="A749" s="41">
        <v>875.0</v>
      </c>
      <c r="B749" s="42" t="s">
        <v>1454</v>
      </c>
      <c r="C749" s="42" t="s">
        <v>1455</v>
      </c>
      <c r="D749" s="42"/>
      <c r="E749" s="42" t="str">
        <f t="shared" ref="E749:F749" si="750">PROPER(B749)</f>
        <v>Labog Farmers Association</v>
      </c>
      <c r="F749" s="42" t="str">
        <f t="shared" si="750"/>
        <v>Labog, Sofronio Espanola, Palawan</v>
      </c>
      <c r="G749" s="42" t="str">
        <f t="shared" si="3"/>
        <v>Labog</v>
      </c>
      <c r="H749" s="42" t="str">
        <f t="shared" si="4"/>
        <v>Sofronio Espanola</v>
      </c>
      <c r="I749" s="42" t="str">
        <f t="shared" si="5"/>
        <v>Palawan</v>
      </c>
      <c r="J749" s="42" t="str">
        <f t="array" ref="J749">XLOOKUP($E749,'Recipients REF'!$B:$B,'Recipients REF'!D:D,"",0)</f>
        <v>Vicente M. Machon</v>
      </c>
      <c r="K749" s="42">
        <f t="array" ref="K749">XLOOKUP($E749,'Recipients REF'!$B:$B,'Recipients REF'!E:E,"",0)</f>
        <v>9067547046</v>
      </c>
      <c r="L749" s="43" t="str">
        <f t="array" ref="L749">XLOOKUP($A749,'Recipients REF'!$A:$A,'Recipients REF'!F:F,"",0)</f>
        <v>RCEF 25-03-05</v>
      </c>
      <c r="M749" s="43">
        <f t="array" ref="M749">XLOOKUP($A749,'Recipients REF'!$A:$A,'Recipients REF'!G:G,"",0)</f>
        <v>6</v>
      </c>
      <c r="N749" s="43" t="str">
        <f t="array" ref="N749">XLOOKUP($A749,'Recipients REF'!$A:$A,'Recipients REF'!H:H,"",0)</f>
        <v>26876 &amp; 27919</v>
      </c>
      <c r="O749" s="44" t="s">
        <v>25</v>
      </c>
      <c r="P749" s="45" t="s">
        <v>26</v>
      </c>
      <c r="Q749" s="46" t="str">
        <f t="array" ref="Q749">XLOOKUP($A749,'Recipients REF'!$A:$A,'Recipients REF'!I:I,"",0)</f>
        <v>KMC5825 AES FPV0616</v>
      </c>
      <c r="R749" s="53" t="str">
        <f t="array" ref="R749">XLOOKUP($A749,'Recipients REF'!$A:$A,'Recipients REF'!J:J,"",0)</f>
        <v>STS 100531</v>
      </c>
      <c r="S749" s="45" t="s">
        <v>27</v>
      </c>
      <c r="T749" s="45" t="s">
        <v>28</v>
      </c>
      <c r="U749" s="46" t="str">
        <f t="array" ref="U749">XLOOKUP($A749,'Recipients REF'!$A:$A,'Recipients REF'!K:K,"",0)</f>
        <v>WR-SERIES 071PH</v>
      </c>
      <c r="V749" s="44" t="s">
        <v>29</v>
      </c>
      <c r="W749" s="45" t="s">
        <v>30</v>
      </c>
      <c r="X749" s="53" t="str">
        <f t="array" ref="X749">XLOOKUP($A749,'Recipients REF'!$A:$A,'Recipients REF'!L:L,"",0)</f>
        <v>25090476</v>
      </c>
      <c r="Y749" s="48" t="s">
        <v>29</v>
      </c>
      <c r="Z749" s="48" t="s">
        <v>31</v>
      </c>
      <c r="AA749" s="54">
        <f t="array" ref="AA749">XLOOKUP($A749,'Recipients REF'!$A:$A,'Recipients REF'!M:M,"",0)</f>
        <v>25121438</v>
      </c>
      <c r="AB749" s="49"/>
      <c r="AC749" s="42"/>
      <c r="AD749" s="42"/>
      <c r="AE749" s="50"/>
      <c r="AF749" s="42"/>
      <c r="AG749" s="42"/>
      <c r="AH749" s="42"/>
      <c r="AI749" s="42" t="str">
        <f t="array" ref="AI749">XLOOKUP($E749,Sheet11!$D:$D,Sheet11!$X:$X,"",0)</f>
        <v/>
      </c>
      <c r="AJ749" s="42" t="str">
        <f t="array" ref="AJ749">XLOOKUP($E749,Sheet11!$D:$D,Sheet11!$Y:$Y,"",0)</f>
        <v/>
      </c>
    </row>
    <row r="750">
      <c r="A750" s="41">
        <v>876.0</v>
      </c>
      <c r="B750" s="42" t="s">
        <v>1456</v>
      </c>
      <c r="C750" s="42" t="s">
        <v>1457</v>
      </c>
      <c r="D750" s="42"/>
      <c r="E750" s="42" t="str">
        <f t="shared" ref="E750:F750" si="751">PROPER(B750)</f>
        <v>Pinataray, Agis Agis And Proper Farmers Association</v>
      </c>
      <c r="F750" s="42" t="str">
        <f t="shared" si="751"/>
        <v>Panitian, Sofronio Espanola, Palawan</v>
      </c>
      <c r="G750" s="42" t="str">
        <f t="shared" si="3"/>
        <v>Panitian</v>
      </c>
      <c r="H750" s="42" t="str">
        <f t="shared" si="4"/>
        <v>Sofronio Espanola</v>
      </c>
      <c r="I750" s="42" t="str">
        <f t="shared" si="5"/>
        <v>Palawan</v>
      </c>
      <c r="J750" s="42" t="str">
        <f t="array" ref="J750">XLOOKUP($E750,'Recipients REF'!$B:$B,'Recipients REF'!D:D,"",0)</f>
        <v>Retzald D. Rapista</v>
      </c>
      <c r="K750" s="42">
        <f t="array" ref="K750">XLOOKUP($E750,'Recipients REF'!$B:$B,'Recipients REF'!E:E,"",0)</f>
        <v>9267025796</v>
      </c>
      <c r="L750" s="43" t="str">
        <f t="array" ref="L750">XLOOKUP($A750,'Recipients REF'!$A:$A,'Recipients REF'!F:F,"",0)</f>
        <v>RCEF 25-03-05</v>
      </c>
      <c r="M750" s="43">
        <f t="array" ref="M750">XLOOKUP($A750,'Recipients REF'!$A:$A,'Recipients REF'!G:G,"",0)</f>
        <v>6</v>
      </c>
      <c r="N750" s="43" t="str">
        <f t="array" ref="N750">XLOOKUP($A750,'Recipients REF'!$A:$A,'Recipients REF'!H:H,"",0)</f>
        <v>26877 &amp; 27920</v>
      </c>
      <c r="O750" s="44" t="s">
        <v>25</v>
      </c>
      <c r="P750" s="45" t="s">
        <v>26</v>
      </c>
      <c r="Q750" s="46" t="str">
        <f t="array" ref="Q750">XLOOKUP($A750,'Recipients REF'!$A:$A,'Recipients REF'!I:I,"",0)</f>
        <v>KMC5825 ALS FPV0628</v>
      </c>
      <c r="R750" s="53" t="str">
        <f t="array" ref="R750">XLOOKUP($A750,'Recipients REF'!$A:$A,'Recipients REF'!J:J,"",0)</f>
        <v>STS 100400</v>
      </c>
      <c r="S750" s="45" t="s">
        <v>27</v>
      </c>
      <c r="T750" s="45" t="s">
        <v>28</v>
      </c>
      <c r="U750" s="46" t="str">
        <f t="array" ref="U750">XLOOKUP($A750,'Recipients REF'!$A:$A,'Recipients REF'!K:K,"",0)</f>
        <v>WR-SERIES 222PH</v>
      </c>
      <c r="V750" s="44" t="s">
        <v>29</v>
      </c>
      <c r="W750" s="45" t="s">
        <v>30</v>
      </c>
      <c r="X750" s="53" t="str">
        <f t="array" ref="X750">XLOOKUP($A750,'Recipients REF'!$A:$A,'Recipients REF'!L:L,"",0)</f>
        <v>25090462</v>
      </c>
      <c r="Y750" s="48" t="s">
        <v>29</v>
      </c>
      <c r="Z750" s="48" t="s">
        <v>31</v>
      </c>
      <c r="AA750" s="54">
        <f t="array" ref="AA750">XLOOKUP($A750,'Recipients REF'!$A:$A,'Recipients REF'!M:M,"",0)</f>
        <v>25121439</v>
      </c>
      <c r="AB750" s="49"/>
      <c r="AC750" s="42"/>
      <c r="AD750" s="42"/>
      <c r="AE750" s="50"/>
      <c r="AF750" s="42"/>
      <c r="AG750" s="42"/>
      <c r="AH750" s="42"/>
      <c r="AI750" s="42" t="str">
        <f t="array" ref="AI750">XLOOKUP($E750,Sheet11!$D:$D,Sheet11!$X:$X,"",0)</f>
        <v/>
      </c>
      <c r="AJ750" s="42" t="str">
        <f t="array" ref="AJ750">XLOOKUP($E750,Sheet11!$D:$D,Sheet11!$Y:$Y,"",0)</f>
        <v/>
      </c>
    </row>
    <row r="751">
      <c r="A751" s="41">
        <v>877.0</v>
      </c>
      <c r="B751" s="42" t="s">
        <v>1458</v>
      </c>
      <c r="C751" s="42" t="s">
        <v>1459</v>
      </c>
      <c r="D751" s="42"/>
      <c r="E751" s="42" t="str">
        <f t="shared" ref="E751:F751" si="752">PROPER(B751)</f>
        <v>Talakaigan-Apocapoc Irrigators' Association, Inc.</v>
      </c>
      <c r="F751" s="42" t="str">
        <f t="shared" si="752"/>
        <v>Apoc-Apoc, Aborlan, Palawan</v>
      </c>
      <c r="G751" s="42" t="str">
        <f t="shared" si="3"/>
        <v>Apoc-Apoc</v>
      </c>
      <c r="H751" s="42" t="str">
        <f t="shared" si="4"/>
        <v>Aborlan</v>
      </c>
      <c r="I751" s="42" t="str">
        <f t="shared" si="5"/>
        <v>Palawan</v>
      </c>
      <c r="J751" s="42" t="str">
        <f t="array" ref="J751">XLOOKUP($E751,'Recipients REF'!$B:$B,'Recipients REF'!D:D,"",0)</f>
        <v>Emmanuel B. Catague</v>
      </c>
      <c r="K751" s="42">
        <f t="array" ref="K751">XLOOKUP($E751,'Recipients REF'!$B:$B,'Recipients REF'!E:E,"",0)</f>
        <v>9517473731</v>
      </c>
      <c r="L751" s="43" t="str">
        <f t="array" ref="L751">XLOOKUP($A751,'Recipients REF'!$A:$A,'Recipients REF'!F:F,"",0)</f>
        <v>RCEF 25-03-05</v>
      </c>
      <c r="M751" s="43">
        <f t="array" ref="M751">XLOOKUP($A751,'Recipients REF'!$A:$A,'Recipients REF'!G:G,"",0)</f>
        <v>6</v>
      </c>
      <c r="N751" s="43" t="str">
        <f t="array" ref="N751">XLOOKUP($A751,'Recipients REF'!$A:$A,'Recipients REF'!H:H,"",0)</f>
        <v>26878 &amp; 27813</v>
      </c>
      <c r="O751" s="44" t="s">
        <v>25</v>
      </c>
      <c r="P751" s="45" t="s">
        <v>26</v>
      </c>
      <c r="Q751" s="46" t="str">
        <f t="array" ref="Q751">XLOOKUP($A751,'Recipients REF'!$A:$A,'Recipients REF'!I:I,"",0)</f>
        <v>KMC5825 AJS FPV0624</v>
      </c>
      <c r="R751" s="53" t="str">
        <f t="array" ref="R751">XLOOKUP($A751,'Recipients REF'!$A:$A,'Recipients REF'!J:J,"",0)</f>
        <v>STS100419</v>
      </c>
      <c r="S751" s="45" t="s">
        <v>27</v>
      </c>
      <c r="T751" s="45" t="s">
        <v>28</v>
      </c>
      <c r="U751" s="46" t="str">
        <f t="array" ref="U751">XLOOKUP($A751,'Recipients REF'!$A:$A,'Recipients REF'!K:K,"",0)</f>
        <v>WR-SERIES 067PH</v>
      </c>
      <c r="V751" s="44" t="s">
        <v>29</v>
      </c>
      <c r="W751" s="45" t="s">
        <v>30</v>
      </c>
      <c r="X751" s="53" t="str">
        <f t="array" ref="X751">XLOOKUP($A751,'Recipients REF'!$A:$A,'Recipients REF'!L:L,"",0)</f>
        <v>25090472</v>
      </c>
      <c r="Y751" s="48" t="s">
        <v>29</v>
      </c>
      <c r="Z751" s="48" t="s">
        <v>31</v>
      </c>
      <c r="AA751" s="54" t="str">
        <f t="array" ref="AA751">XLOOKUP($A751,'Recipients REF'!$A:$A,'Recipients REF'!M:M,"",0)</f>
        <v>25090911</v>
      </c>
      <c r="AB751" s="49"/>
      <c r="AC751" s="42"/>
      <c r="AD751" s="42"/>
      <c r="AE751" s="50"/>
      <c r="AF751" s="42"/>
      <c r="AG751" s="42"/>
      <c r="AH751" s="42"/>
      <c r="AI751" s="42" t="str">
        <f t="array" ref="AI751">XLOOKUP($E751,Sheet11!$D:$D,Sheet11!$X:$X,"",0)</f>
        <v/>
      </c>
      <c r="AJ751" s="42" t="str">
        <f t="array" ref="AJ751">XLOOKUP($E751,Sheet11!$D:$D,Sheet11!$Y:$Y,"",0)</f>
        <v/>
      </c>
    </row>
    <row r="752">
      <c r="A752" s="41">
        <v>993.0</v>
      </c>
      <c r="B752" s="42" t="s">
        <v>1460</v>
      </c>
      <c r="C752" s="42" t="s">
        <v>1461</v>
      </c>
      <c r="D752" s="42"/>
      <c r="E752" s="42" t="str">
        <f t="shared" ref="E752:F752" si="753">PROPER(B752)</f>
        <v>Provincial Local Government Unit Of Palawan</v>
      </c>
      <c r="F752" s="42" t="str">
        <f t="shared" si="753"/>
        <v>San Miguel, Puerto Princesa City, Palawan</v>
      </c>
      <c r="G752" s="42" t="str">
        <f t="shared" si="3"/>
        <v>San Miguel</v>
      </c>
      <c r="H752" s="42" t="str">
        <f t="shared" si="4"/>
        <v>Puerto Princesa City</v>
      </c>
      <c r="I752" s="42" t="str">
        <f t="shared" si="5"/>
        <v>Palawan</v>
      </c>
      <c r="J752" s="42" t="str">
        <f t="array" ref="J752">XLOOKUP($E752,'Recipients REF'!$B:$B,'Recipients REF'!D:D,"",0)</f>
        <v>Hon. Victorino Dennis M. Socrates</v>
      </c>
      <c r="K752" s="42" t="str">
        <f t="array" ref="K752">XLOOKUP($E752,'Recipients REF'!$B:$B,'Recipients REF'!E:E,"",0)</f>
        <v>09175327069 /BM Aris</v>
      </c>
      <c r="L752" s="43" t="str">
        <f t="array" ref="L752">XLOOKUP($A752,'Recipients REF'!$A:$A,'Recipients REF'!F:F,"",0)</f>
        <v>Repeat Order</v>
      </c>
      <c r="M752" s="43">
        <f t="array" ref="M752">XLOOKUP($A752,'Recipients REF'!$A:$A,'Recipients REF'!G:G,"",0)</f>
        <v>7</v>
      </c>
      <c r="N752" s="43">
        <f t="array" ref="N752">XLOOKUP($A752,'Recipients REF'!$A:$A,'Recipients REF'!H:H,"",0)</f>
        <v>23129</v>
      </c>
      <c r="O752" s="44" t="s">
        <v>25</v>
      </c>
      <c r="P752" s="45" t="s">
        <v>26</v>
      </c>
      <c r="Q752" s="46" t="str">
        <f t="array" ref="Q752">XLOOKUP($A752,'Recipients REF'!$A:$A,'Recipients REF'!I:I,"",0)</f>
        <v>KMC5825</v>
      </c>
      <c r="R752" s="47" t="str">
        <f t="array" ref="R752">XLOOKUP($A752,'Recipients REF'!$A:$A,'Recipients REF'!J:J,"",0)</f>
        <v>RTS100</v>
      </c>
      <c r="S752" s="45" t="s">
        <v>27</v>
      </c>
      <c r="T752" s="45" t="s">
        <v>28</v>
      </c>
      <c r="U752" s="46" t="str">
        <f t="array" ref="U752">XLOOKUP($A752,'Recipients REF'!$A:$A,'Recipients REF'!K:K,"",0)</f>
        <v>LSGW1750-RMP-2411</v>
      </c>
      <c r="V752" s="44" t="s">
        <v>29</v>
      </c>
      <c r="W752" s="45" t="s">
        <v>30</v>
      </c>
      <c r="X752" s="47" t="str">
        <f t="array" ref="X752">XLOOKUP($A752,'Recipients REF'!$A:$A,'Recipients REF'!L:L,"",0)</f>
        <v>WDP40-RMP-250</v>
      </c>
      <c r="Y752" s="48" t="s">
        <v>29</v>
      </c>
      <c r="Z752" s="48" t="s">
        <v>31</v>
      </c>
      <c r="AA752" s="46" t="str">
        <f t="array" ref="AA752">XLOOKUP($A752,'Recipients REF'!$A:$A,'Recipients REF'!M:M,"",0)</f>
        <v>WR-SERIES-</v>
      </c>
      <c r="AB752" s="49"/>
      <c r="AC752" s="42"/>
      <c r="AD752" s="42"/>
      <c r="AE752" s="50"/>
      <c r="AF752" s="42"/>
      <c r="AG752" s="42"/>
      <c r="AH752" s="42"/>
      <c r="AI752" s="42" t="str">
        <f t="array" ref="AI752">XLOOKUP($E752,Sheet11!$D:$D,Sheet11!$X:$X,"",0)</f>
        <v/>
      </c>
      <c r="AJ752" s="42" t="str">
        <f t="array" ref="AJ752">XLOOKUP($E752,Sheet11!$D:$D,Sheet11!$Y:$Y,"",0)</f>
        <v/>
      </c>
    </row>
    <row r="753">
      <c r="A753" s="41">
        <v>994.0</v>
      </c>
      <c r="B753" s="42" t="s">
        <v>1460</v>
      </c>
      <c r="C753" s="42" t="s">
        <v>1461</v>
      </c>
      <c r="D753" s="42"/>
      <c r="E753" s="42" t="str">
        <f t="shared" ref="E753:F753" si="754">PROPER(B753)</f>
        <v>Provincial Local Government Unit Of Palawan</v>
      </c>
      <c r="F753" s="42" t="str">
        <f t="shared" si="754"/>
        <v>San Miguel, Puerto Princesa City, Palawan</v>
      </c>
      <c r="G753" s="42" t="str">
        <f t="shared" si="3"/>
        <v>San Miguel</v>
      </c>
      <c r="H753" s="42" t="str">
        <f t="shared" si="4"/>
        <v>Puerto Princesa City</v>
      </c>
      <c r="I753" s="42" t="str">
        <f t="shared" si="5"/>
        <v>Palawan</v>
      </c>
      <c r="J753" s="42" t="str">
        <f t="array" ref="J753">XLOOKUP($E753,'Recipients REF'!$B:$B,'Recipients REF'!D:D,"",0)</f>
        <v>Hon. Victorino Dennis M. Socrates</v>
      </c>
      <c r="K753" s="42" t="str">
        <f t="array" ref="K753">XLOOKUP($E753,'Recipients REF'!$B:$B,'Recipients REF'!E:E,"",0)</f>
        <v>09175327069 /BM Aris</v>
      </c>
      <c r="L753" s="43" t="str">
        <f t="array" ref="L753">XLOOKUP($A753,'Recipients REF'!$A:$A,'Recipients REF'!F:F,"",0)</f>
        <v>Repeat Order</v>
      </c>
      <c r="M753" s="43">
        <f t="array" ref="M753">XLOOKUP($A753,'Recipients REF'!$A:$A,'Recipients REF'!G:G,"",0)</f>
        <v>7</v>
      </c>
      <c r="N753" s="43">
        <f t="array" ref="N753">XLOOKUP($A753,'Recipients REF'!$A:$A,'Recipients REF'!H:H,"",0)</f>
        <v>23130</v>
      </c>
      <c r="O753" s="44" t="s">
        <v>25</v>
      </c>
      <c r="P753" s="45" t="s">
        <v>26</v>
      </c>
      <c r="Q753" s="46" t="str">
        <f t="array" ref="Q753">XLOOKUP($A753,'Recipients REF'!$A:$A,'Recipients REF'!I:I,"",0)</f>
        <v>KMC5825</v>
      </c>
      <c r="R753" s="47" t="str">
        <f t="array" ref="R753">XLOOKUP($A753,'Recipients REF'!$A:$A,'Recipients REF'!J:J,"",0)</f>
        <v>RTS100</v>
      </c>
      <c r="S753" s="45" t="s">
        <v>27</v>
      </c>
      <c r="T753" s="45" t="s">
        <v>28</v>
      </c>
      <c r="U753" s="46" t="str">
        <f t="array" ref="U753">XLOOKUP($A753,'Recipients REF'!$A:$A,'Recipients REF'!K:K,"",0)</f>
        <v>LSGW1750-RMP-2411</v>
      </c>
      <c r="V753" s="44" t="s">
        <v>29</v>
      </c>
      <c r="W753" s="45" t="s">
        <v>30</v>
      </c>
      <c r="X753" s="47" t="str">
        <f t="array" ref="X753">XLOOKUP($A753,'Recipients REF'!$A:$A,'Recipients REF'!L:L,"",0)</f>
        <v>WDP40-RMP-250</v>
      </c>
      <c r="Y753" s="48" t="s">
        <v>29</v>
      </c>
      <c r="Z753" s="48" t="s">
        <v>31</v>
      </c>
      <c r="AA753" s="46" t="str">
        <f t="array" ref="AA753">XLOOKUP($A753,'Recipients REF'!$A:$A,'Recipients REF'!M:M,"",0)</f>
        <v>WR-SERIES-</v>
      </c>
      <c r="AB753" s="49"/>
      <c r="AC753" s="42"/>
      <c r="AD753" s="42"/>
      <c r="AE753" s="50"/>
      <c r="AF753" s="42"/>
      <c r="AG753" s="42"/>
      <c r="AH753" s="42"/>
      <c r="AI753" s="42" t="str">
        <f t="array" ref="AI753">XLOOKUP($E753,Sheet11!$D:$D,Sheet11!$X:$X,"",0)</f>
        <v/>
      </c>
      <c r="AJ753" s="42" t="str">
        <f t="array" ref="AJ753">XLOOKUP($E753,Sheet11!$D:$D,Sheet11!$Y:$Y,"",0)</f>
        <v/>
      </c>
    </row>
    <row r="754">
      <c r="A754" s="41">
        <v>112.0</v>
      </c>
      <c r="B754" s="42" t="s">
        <v>1462</v>
      </c>
      <c r="C754" s="42" t="s">
        <v>1463</v>
      </c>
      <c r="D754" s="42"/>
      <c r="E754" s="42" t="str">
        <f t="shared" ref="E754:F754" si="755">PROPER(B754)</f>
        <v>Santo Rosario Farmer'S And Irrigators Association Inc.</v>
      </c>
      <c r="F754" s="42" t="str">
        <f t="shared" si="755"/>
        <v>Tabuyuc (Santo Rosario), Apalit, Pampanga</v>
      </c>
      <c r="G754" s="42" t="str">
        <f t="shared" si="3"/>
        <v>Tabuyuc (Santo Rosario)</v>
      </c>
      <c r="H754" s="42" t="str">
        <f t="shared" si="4"/>
        <v>Apalit</v>
      </c>
      <c r="I754" s="42" t="str">
        <f t="shared" si="5"/>
        <v>Pampanga</v>
      </c>
      <c r="J754" s="42" t="str">
        <f t="array" ref="J754">XLOOKUP($E754,'Recipients REF'!$B:$B,'Recipients REF'!D:D,"",0)</f>
        <v>JAIME M. MANLAPAZ</v>
      </c>
      <c r="K754" s="42" t="str">
        <f t="array" ref="K754">XLOOKUP($E754,'Recipients REF'!$B:$B,'Recipients REF'!E:E,"",0)</f>
        <v>0917-179-9224</v>
      </c>
      <c r="L754" s="43" t="str">
        <f t="array" ref="L754">XLOOKUP($A754,'Recipients REF'!$A:$A,'Recipients REF'!F:F,"",0)</f>
        <v>RCEF 23-09-21 Rebidding</v>
      </c>
      <c r="M754" s="43">
        <f t="array" ref="M754">XLOOKUP($A754,'Recipients REF'!$A:$A,'Recipients REF'!G:G,"",0)</f>
        <v>3</v>
      </c>
      <c r="N754" s="43">
        <f t="array" ref="N754">XLOOKUP($A754,'Recipients REF'!$A:$A,'Recipients REF'!H:H,"",0)</f>
        <v>17796</v>
      </c>
      <c r="O754" s="44" t="s">
        <v>25</v>
      </c>
      <c r="P754" s="45" t="s">
        <v>26</v>
      </c>
      <c r="Q754" s="46" t="str">
        <f t="array" ref="Q754">XLOOKUP($A754,'Recipients REF'!$A:$A,'Recipients REF'!I:I,"",0)</f>
        <v>KMC5825 AAPFPV0053</v>
      </c>
      <c r="R754" s="47" t="str">
        <f t="array" ref="R754">XLOOKUP($A754,'Recipients REF'!$A:$A,'Recipients REF'!J:J,"",0)</f>
        <v>PTS100129</v>
      </c>
      <c r="S754" s="45" t="s">
        <v>27</v>
      </c>
      <c r="T754" s="45" t="s">
        <v>28</v>
      </c>
      <c r="U754" s="46" t="str">
        <f t="array" ref="U754">XLOOKUP($A754,'Recipients REF'!$A:$A,'Recipients REF'!K:K,"",0)</f>
        <v>R-SERIES 065PH</v>
      </c>
      <c r="V754" s="44" t="s">
        <v>29</v>
      </c>
      <c r="W754" s="45" t="s">
        <v>30</v>
      </c>
      <c r="X754" s="47" t="str">
        <f t="array" ref="X754">XLOOKUP($A754,'Recipients REF'!$A:$A,'Recipients REF'!L:L,"",0)</f>
        <v>LSGW1750-RMP-2312011</v>
      </c>
      <c r="Y754" s="48" t="s">
        <v>29</v>
      </c>
      <c r="Z754" s="48" t="s">
        <v>31</v>
      </c>
      <c r="AA754" s="46" t="str">
        <f t="array" ref="AA754">XLOOKUP($A754,'Recipients REF'!$A:$A,'Recipients REF'!M:M,"",0)</f>
        <v>WDP40-RMP-2312055</v>
      </c>
      <c r="AB754" s="49"/>
      <c r="AC754" s="42"/>
      <c r="AD754" s="42"/>
      <c r="AE754" s="50"/>
      <c r="AF754" s="42"/>
      <c r="AG754" s="42"/>
      <c r="AH754" s="42"/>
      <c r="AI754" s="42">
        <f t="array" ref="AI754">XLOOKUP($E754,Sheet11!$D:$D,Sheet11!$X:$X,"",0)</f>
        <v>869066060243558</v>
      </c>
      <c r="AJ754" s="42" t="str">
        <f t="array" ref="AJ754">XLOOKUP($E754,Sheet11!$D:$D,Sheet11!$Y:$Y,"",0)</f>
        <v>09694081235</v>
      </c>
    </row>
    <row r="755">
      <c r="A755" s="41">
        <v>591.0</v>
      </c>
      <c r="B755" s="42" t="s">
        <v>1464</v>
      </c>
      <c r="C755" s="42" t="s">
        <v>1465</v>
      </c>
      <c r="D755" s="42"/>
      <c r="E755" s="42" t="str">
        <f t="shared" ref="E755:F755" si="756">PROPER(B755)</f>
        <v>Mga Masigasig At Masisipag Na Magsasaka Sa Bayan Ng Apalit, Pampanga Farmer'S Association Inc.</v>
      </c>
      <c r="F755" s="42" t="str">
        <f t="shared" si="756"/>
        <v>Sulipan, Apalit, Pampanga</v>
      </c>
      <c r="G755" s="42" t="str">
        <f t="shared" si="3"/>
        <v>Sulipan</v>
      </c>
      <c r="H755" s="42" t="str">
        <f t="shared" si="4"/>
        <v>Apalit</v>
      </c>
      <c r="I755" s="42" t="str">
        <f t="shared" si="5"/>
        <v>Pampanga</v>
      </c>
      <c r="J755" s="42" t="str">
        <f t="array" ref="J755">XLOOKUP($E755,'Recipients REF'!$B:$B,'Recipients REF'!D:D,"",0)</f>
        <v>FERNANDO M. GONZALES</v>
      </c>
      <c r="K755" s="42" t="str">
        <f t="array" ref="K755">XLOOKUP($E755,'Recipients REF'!$B:$B,'Recipients REF'!E:E,"",0)</f>
        <v>0929-143-6206/ 0933-814-7647</v>
      </c>
      <c r="L755" s="43" t="str">
        <f t="array" ref="L755">XLOOKUP($A755,'Recipients REF'!$A:$A,'Recipients REF'!F:F,"",0)</f>
        <v>RCEF 24-04-15</v>
      </c>
      <c r="M755" s="43">
        <f t="array" ref="M755">XLOOKUP($A755,'Recipients REF'!$A:$A,'Recipients REF'!G:G,"",0)</f>
        <v>6</v>
      </c>
      <c r="N755" s="43">
        <f t="array" ref="N755">XLOOKUP($A755,'Recipients REF'!$A:$A,'Recipients REF'!H:H,"",0)</f>
        <v>22344</v>
      </c>
      <c r="O755" s="44" t="s">
        <v>25</v>
      </c>
      <c r="P755" s="45" t="s">
        <v>26</v>
      </c>
      <c r="Q755" s="46" t="str">
        <f t="array" ref="Q755">XLOOKUP($A755,'Recipients REF'!$A:$A,'Recipients REF'!I:I,"",0)</f>
        <v>KMC5825AVRFPV0930</v>
      </c>
      <c r="R755" s="47" t="str">
        <f t="array" ref="R755">XLOOKUP($A755,'Recipients REF'!$A:$A,'Recipients REF'!J:J,"",0)</f>
        <v>RTS100754</v>
      </c>
      <c r="S755" s="45" t="s">
        <v>27</v>
      </c>
      <c r="T755" s="45" t="s">
        <v>28</v>
      </c>
      <c r="U755" s="46" t="str">
        <f t="array" ref="U755">XLOOKUP($A755,'Recipients REF'!$A:$A,'Recipients REF'!K:K,"",0)</f>
        <v>LSGW170-RMP-24100979</v>
      </c>
      <c r="V755" s="44" t="s">
        <v>29</v>
      </c>
      <c r="W755" s="45" t="s">
        <v>30</v>
      </c>
      <c r="X755" s="47" t="str">
        <f t="array" ref="X755">XLOOKUP($A755,'Recipients REF'!$A:$A,'Recipients REF'!L:L,"",0)</f>
        <v>WDP40-RMP-24111325</v>
      </c>
      <c r="Y755" s="48" t="s">
        <v>29</v>
      </c>
      <c r="Z755" s="48" t="s">
        <v>31</v>
      </c>
      <c r="AA755" s="46" t="str">
        <f t="array" ref="AA755">XLOOKUP($A755,'Recipients REF'!$A:$A,'Recipients REF'!M:M,"",0)</f>
        <v>WR-SERIES-1066PH</v>
      </c>
      <c r="AB755" s="49"/>
      <c r="AC755" s="42"/>
      <c r="AD755" s="42"/>
      <c r="AE755" s="50"/>
      <c r="AF755" s="42"/>
      <c r="AG755" s="42"/>
      <c r="AH755" s="42"/>
      <c r="AI755" s="42" t="str">
        <f t="array" ref="AI755">XLOOKUP($E755,Sheet11!$D:$D,Sheet11!$X:$X,"",0)</f>
        <v/>
      </c>
      <c r="AJ755" s="42" t="str">
        <f t="array" ref="AJ755">XLOOKUP($E755,Sheet11!$D:$D,Sheet11!$Y:$Y,"",0)</f>
        <v/>
      </c>
    </row>
    <row r="756">
      <c r="A756" s="41">
        <v>102.0</v>
      </c>
      <c r="B756" s="42" t="s">
        <v>1466</v>
      </c>
      <c r="C756" s="42" t="s">
        <v>1467</v>
      </c>
      <c r="D756" s="42"/>
      <c r="E756" s="42" t="str">
        <f t="shared" ref="E756:F756" si="757">PROPER(B756)</f>
        <v>Arenas Grain Farmers Association</v>
      </c>
      <c r="F756" s="42" t="str">
        <f t="shared" si="757"/>
        <v>Arenas, Arayat, Pampanga</v>
      </c>
      <c r="G756" s="42" t="str">
        <f t="shared" si="3"/>
        <v>Arenas</v>
      </c>
      <c r="H756" s="42" t="str">
        <f t="shared" si="4"/>
        <v>Arayat</v>
      </c>
      <c r="I756" s="42" t="str">
        <f t="shared" si="5"/>
        <v>Pampanga</v>
      </c>
      <c r="J756" s="42" t="str">
        <f t="array" ref="J756">XLOOKUP($E756,'Recipients REF'!$B:$B,'Recipients REF'!D:D,"",0)</f>
        <v>DIOSDADO G. QUIZON</v>
      </c>
      <c r="K756" s="42" t="str">
        <f t="array" ref="K756">XLOOKUP($E756,'Recipients REF'!$B:$B,'Recipients REF'!E:E,"",0)</f>
        <v>0921-713-7513/ 0936-072-0513</v>
      </c>
      <c r="L756" s="43" t="str">
        <f t="array" ref="L756">XLOOKUP($A756,'Recipients REF'!$A:$A,'Recipients REF'!F:F,"",0)</f>
        <v>RCEF 23-09-21 Rebidding</v>
      </c>
      <c r="M756" s="43">
        <f t="array" ref="M756">XLOOKUP($A756,'Recipients REF'!$A:$A,'Recipients REF'!G:G,"",0)</f>
        <v>3</v>
      </c>
      <c r="N756" s="43">
        <f t="array" ref="N756">XLOOKUP($A756,'Recipients REF'!$A:$A,'Recipients REF'!H:H,"",0)</f>
        <v>17786</v>
      </c>
      <c r="O756" s="44" t="s">
        <v>25</v>
      </c>
      <c r="P756" s="45" t="s">
        <v>26</v>
      </c>
      <c r="Q756" s="46" t="str">
        <f t="array" ref="Q756">XLOOKUP($A756,'Recipients REF'!$A:$A,'Recipients REF'!I:I,"",0)</f>
        <v>KMC5825 ALPFPV0085</v>
      </c>
      <c r="R756" s="47" t="str">
        <f t="array" ref="R756">XLOOKUP($A756,'Recipients REF'!$A:$A,'Recipients REF'!J:J,"",0)</f>
        <v>PTS100158</v>
      </c>
      <c r="S756" s="45" t="s">
        <v>27</v>
      </c>
      <c r="T756" s="45" t="s">
        <v>28</v>
      </c>
      <c r="U756" s="46" t="str">
        <f t="array" ref="U756">XLOOKUP($A756,'Recipients REF'!$A:$A,'Recipients REF'!K:K,"",0)</f>
        <v>R-SERIES 094PH</v>
      </c>
      <c r="V756" s="44" t="s">
        <v>29</v>
      </c>
      <c r="W756" s="45" t="s">
        <v>30</v>
      </c>
      <c r="X756" s="47" t="str">
        <f t="array" ref="X756">XLOOKUP($A756,'Recipients REF'!$A:$A,'Recipients REF'!L:L,"",0)</f>
        <v>LSGW1750-RMP-2312007</v>
      </c>
      <c r="Y756" s="48" t="s">
        <v>29</v>
      </c>
      <c r="Z756" s="48" t="s">
        <v>31</v>
      </c>
      <c r="AA756" s="46" t="str">
        <f t="array" ref="AA756">XLOOKUP($A756,'Recipients REF'!$A:$A,'Recipients REF'!M:M,"",0)</f>
        <v>WDP40-RMP-2312034</v>
      </c>
      <c r="AB756" s="49"/>
      <c r="AC756" s="42"/>
      <c r="AD756" s="42"/>
      <c r="AE756" s="56">
        <v>8.69066060244796E14</v>
      </c>
      <c r="AF756" s="56" t="s">
        <v>1468</v>
      </c>
      <c r="AG756" s="42"/>
      <c r="AH756" s="42"/>
      <c r="AI756" s="42">
        <f t="array" ref="AI756">XLOOKUP($E756,Sheet11!$D:$D,Sheet11!$X:$X,"",0)</f>
        <v>869066060244796</v>
      </c>
      <c r="AJ756" s="42" t="str">
        <f t="array" ref="AJ756">XLOOKUP($E756,Sheet11!$D:$D,Sheet11!$Y:$Y,"",0)</f>
        <v>0969461592</v>
      </c>
    </row>
    <row r="757">
      <c r="A757" s="41">
        <v>103.0</v>
      </c>
      <c r="B757" s="42" t="s">
        <v>1469</v>
      </c>
      <c r="C757" s="42" t="s">
        <v>1470</v>
      </c>
      <c r="D757" s="42"/>
      <c r="E757" s="42" t="str">
        <f t="shared" ref="E757:F757" si="758">PROPER(B757)</f>
        <v>Asusasyon Ng Masisipag Na Magsasaka Ng Barangay Camba Inc.</v>
      </c>
      <c r="F757" s="42" t="str">
        <f t="shared" si="758"/>
        <v>Kaledian (Camba), Arayat, Pampanga</v>
      </c>
      <c r="G757" s="42" t="str">
        <f t="shared" si="3"/>
        <v>Kaledian (Camba)</v>
      </c>
      <c r="H757" s="42" t="str">
        <f t="shared" si="4"/>
        <v>Arayat</v>
      </c>
      <c r="I757" s="42" t="str">
        <f t="shared" si="5"/>
        <v>Pampanga</v>
      </c>
      <c r="J757" s="42" t="str">
        <f t="array" ref="J757">XLOOKUP($E757,'Recipients REF'!$B:$B,'Recipients REF'!D:D,"",0)</f>
        <v>MONICA E. BESCUER</v>
      </c>
      <c r="K757" s="42" t="str">
        <f t="array" ref="K757">XLOOKUP($E757,'Recipients REF'!$B:$B,'Recipients REF'!E:E,"",0)</f>
        <v>0965 138 9204</v>
      </c>
      <c r="L757" s="43" t="str">
        <f t="array" ref="L757">XLOOKUP($A757,'Recipients REF'!$A:$A,'Recipients REF'!F:F,"",0)</f>
        <v>RCEF 23-09-21 Rebidding</v>
      </c>
      <c r="M757" s="43">
        <f t="array" ref="M757">XLOOKUP($A757,'Recipients REF'!$A:$A,'Recipients REF'!G:G,"",0)</f>
        <v>3</v>
      </c>
      <c r="N757" s="43">
        <f t="array" ref="N757">XLOOKUP($A757,'Recipients REF'!$A:$A,'Recipients REF'!H:H,"",0)</f>
        <v>17787</v>
      </c>
      <c r="O757" s="44" t="s">
        <v>25</v>
      </c>
      <c r="P757" s="45" t="s">
        <v>26</v>
      </c>
      <c r="Q757" s="46" t="str">
        <f t="array" ref="Q757">XLOOKUP($A757,'Recipients REF'!$A:$A,'Recipients REF'!I:I,"",0)</f>
        <v>KMC5825 ATPFPV0044</v>
      </c>
      <c r="R757" s="47" t="str">
        <f t="array" ref="R757">XLOOKUP($A757,'Recipients REF'!$A:$A,'Recipients REF'!J:J,"",0)</f>
        <v>PTS100130</v>
      </c>
      <c r="S757" s="45" t="s">
        <v>27</v>
      </c>
      <c r="T757" s="45" t="s">
        <v>28</v>
      </c>
      <c r="U757" s="46" t="str">
        <f t="array" ref="U757">XLOOKUP($A757,'Recipients REF'!$A:$A,'Recipients REF'!K:K,"",0)</f>
        <v>R-SERIES 088PH</v>
      </c>
      <c r="V757" s="44" t="s">
        <v>29</v>
      </c>
      <c r="W757" s="45" t="s">
        <v>30</v>
      </c>
      <c r="X757" s="47" t="str">
        <f t="array" ref="X757">XLOOKUP($A757,'Recipients REF'!$A:$A,'Recipients REF'!L:L,"",0)</f>
        <v>LSGW1750-RMP-2312032</v>
      </c>
      <c r="Y757" s="48" t="s">
        <v>29</v>
      </c>
      <c r="Z757" s="48" t="s">
        <v>31</v>
      </c>
      <c r="AA757" s="46" t="str">
        <f t="array" ref="AA757">XLOOKUP($A757,'Recipients REF'!$A:$A,'Recipients REF'!M:M,"",0)</f>
        <v>WDP40-RMP-2312020</v>
      </c>
      <c r="AB757" s="49"/>
      <c r="AC757" s="42"/>
      <c r="AD757" s="42"/>
      <c r="AE757" s="50"/>
      <c r="AF757" s="42"/>
      <c r="AG757" s="42"/>
      <c r="AH757" s="42"/>
      <c r="AI757" s="42">
        <f t="array" ref="AI757">XLOOKUP($E757,Sheet11!$D:$D,Sheet11!$X:$X,"",0)</f>
        <v>869066060242667</v>
      </c>
      <c r="AJ757" s="42" t="str">
        <f t="array" ref="AJ757">XLOOKUP($E757,Sheet11!$D:$D,Sheet11!$Y:$Y,"",0)</f>
        <v>09690310967</v>
      </c>
    </row>
    <row r="758">
      <c r="A758" s="41">
        <v>104.0</v>
      </c>
      <c r="B758" s="42" t="s">
        <v>1471</v>
      </c>
      <c r="C758" s="42" t="s">
        <v>1472</v>
      </c>
      <c r="D758" s="42"/>
      <c r="E758" s="42" t="str">
        <f t="shared" ref="E758:F758" si="759">PROPER(B758)</f>
        <v>Gilas Bitas Farmers Association</v>
      </c>
      <c r="F758" s="42" t="str">
        <f t="shared" si="759"/>
        <v>San Roque Bitas, Arayat, Pampanga</v>
      </c>
      <c r="G758" s="42" t="str">
        <f t="shared" si="3"/>
        <v>San Roque Bitas</v>
      </c>
      <c r="H758" s="42" t="str">
        <f t="shared" si="4"/>
        <v>Arayat</v>
      </c>
      <c r="I758" s="42" t="str">
        <f t="shared" si="5"/>
        <v>Pampanga</v>
      </c>
      <c r="J758" s="42" t="str">
        <f t="array" ref="J758">XLOOKUP($E758,'Recipients REF'!$B:$B,'Recipients REF'!D:D,"",0)</f>
        <v>MANUEL M. PARAS</v>
      </c>
      <c r="K758" s="42" t="str">
        <f t="array" ref="K758">XLOOKUP($E758,'Recipients REF'!$B:$B,'Recipients REF'!E:E,"",0)</f>
        <v>0905-302-2814</v>
      </c>
      <c r="L758" s="43" t="str">
        <f t="array" ref="L758">XLOOKUP($A758,'Recipients REF'!$A:$A,'Recipients REF'!F:F,"",0)</f>
        <v>RCEF 23-09-21 Rebidding</v>
      </c>
      <c r="M758" s="43">
        <f t="array" ref="M758">XLOOKUP($A758,'Recipients REF'!$A:$A,'Recipients REF'!G:G,"",0)</f>
        <v>3</v>
      </c>
      <c r="N758" s="43">
        <f t="array" ref="N758">XLOOKUP($A758,'Recipients REF'!$A:$A,'Recipients REF'!H:H,"",0)</f>
        <v>17788</v>
      </c>
      <c r="O758" s="44" t="s">
        <v>25</v>
      </c>
      <c r="P758" s="45" t="s">
        <v>26</v>
      </c>
      <c r="Q758" s="46" t="str">
        <f t="array" ref="Q758">XLOOKUP($A758,'Recipients REF'!$A:$A,'Recipients REF'!I:I,"",0)</f>
        <v>KMC5825 ATPFPV0089</v>
      </c>
      <c r="R758" s="47" t="str">
        <f t="array" ref="R758">XLOOKUP($A758,'Recipients REF'!$A:$A,'Recipients REF'!J:J,"",0)</f>
        <v>PTS100121</v>
      </c>
      <c r="S758" s="45" t="s">
        <v>27</v>
      </c>
      <c r="T758" s="45" t="s">
        <v>28</v>
      </c>
      <c r="U758" s="46" t="str">
        <f t="array" ref="U758">XLOOKUP($A758,'Recipients REF'!$A:$A,'Recipients REF'!K:K,"",0)</f>
        <v>R-SERIES 029PH</v>
      </c>
      <c r="V758" s="44" t="s">
        <v>29</v>
      </c>
      <c r="W758" s="45" t="s">
        <v>30</v>
      </c>
      <c r="X758" s="47" t="str">
        <f t="array" ref="X758">XLOOKUP($A758,'Recipients REF'!$A:$A,'Recipients REF'!L:L,"",0)</f>
        <v>LSGW1750-RMP-2312028</v>
      </c>
      <c r="Y758" s="48" t="s">
        <v>29</v>
      </c>
      <c r="Z758" s="48" t="s">
        <v>31</v>
      </c>
      <c r="AA758" s="46" t="str">
        <f t="array" ref="AA758">XLOOKUP($A758,'Recipients REF'!$A:$A,'Recipients REF'!M:M,"",0)</f>
        <v>WDP40-RMP-2312015</v>
      </c>
      <c r="AB758" s="49"/>
      <c r="AC758" s="42"/>
      <c r="AD758" s="42"/>
      <c r="AE758" s="56">
        <v>8.6906606024043E14</v>
      </c>
      <c r="AF758" s="56" t="s">
        <v>1473</v>
      </c>
      <c r="AG758" s="42"/>
      <c r="AH758" s="42"/>
      <c r="AI758" s="42">
        <f t="array" ref="AI758">XLOOKUP($E758,Sheet11!$D:$D,Sheet11!$X:$X,"",0)</f>
        <v>869066060240430</v>
      </c>
      <c r="AJ758" s="42" t="str">
        <f t="array" ref="AJ758">XLOOKUP($E758,Sheet11!$D:$D,Sheet11!$Y:$Y,"",0)</f>
        <v>09690319302</v>
      </c>
    </row>
    <row r="759">
      <c r="A759" s="41">
        <v>586.0</v>
      </c>
      <c r="B759" s="42" t="s">
        <v>1474</v>
      </c>
      <c r="C759" s="42" t="s">
        <v>1475</v>
      </c>
      <c r="D759" s="42"/>
      <c r="E759" s="42" t="str">
        <f t="shared" ref="E759:F759" si="760">PROPER(B759)</f>
        <v>Mapalad Mamatad Irrigators Association Inc..</v>
      </c>
      <c r="F759" s="42" t="str">
        <f t="shared" si="760"/>
        <v>Mapalad, Arayat, Pampanga</v>
      </c>
      <c r="G759" s="42" t="str">
        <f t="shared" si="3"/>
        <v>Mapalad</v>
      </c>
      <c r="H759" s="42" t="str">
        <f t="shared" si="4"/>
        <v>Arayat</v>
      </c>
      <c r="I759" s="42" t="str">
        <f t="shared" si="5"/>
        <v>Pampanga</v>
      </c>
      <c r="J759" s="42" t="str">
        <f t="array" ref="J759">XLOOKUP($E759,'Recipients REF'!$B:$B,'Recipients REF'!D:D,"",0)</f>
        <v>NAZARIO G. VINUYA</v>
      </c>
      <c r="K759" s="42" t="str">
        <f t="array" ref="K759">XLOOKUP($E759,'Recipients REF'!$B:$B,'Recipients REF'!E:E,"",0)</f>
        <v>0917-523-8102</v>
      </c>
      <c r="L759" s="43" t="str">
        <f t="array" ref="L759">XLOOKUP($A759,'Recipients REF'!$A:$A,'Recipients REF'!F:F,"",0)</f>
        <v>RCEF 24-04-15</v>
      </c>
      <c r="M759" s="43">
        <f t="array" ref="M759">XLOOKUP($A759,'Recipients REF'!$A:$A,'Recipients REF'!G:G,"",0)</f>
        <v>6</v>
      </c>
      <c r="N759" s="43">
        <f t="array" ref="N759">XLOOKUP($A759,'Recipients REF'!$A:$A,'Recipients REF'!H:H,"",0)</f>
        <v>22339</v>
      </c>
      <c r="O759" s="44" t="s">
        <v>25</v>
      </c>
      <c r="P759" s="45" t="s">
        <v>26</v>
      </c>
      <c r="Q759" s="46" t="str">
        <f t="array" ref="Q759">XLOOKUP($A759,'Recipients REF'!$A:$A,'Recipients REF'!I:I,"",0)</f>
        <v>KMC5825ALRFPV0901</v>
      </c>
      <c r="R759" s="47" t="str">
        <f t="array" ref="R759">XLOOKUP($A759,'Recipients REF'!$A:$A,'Recipients REF'!J:J,"",0)</f>
        <v>RTS100812</v>
      </c>
      <c r="S759" s="45" t="s">
        <v>27</v>
      </c>
      <c r="T759" s="45" t="s">
        <v>28</v>
      </c>
      <c r="U759" s="46" t="str">
        <f t="array" ref="U759">XLOOKUP($A759,'Recipients REF'!$A:$A,'Recipients REF'!K:K,"",0)</f>
        <v>LSGW170-RMP-24101039</v>
      </c>
      <c r="V759" s="44" t="s">
        <v>29</v>
      </c>
      <c r="W759" s="45" t="s">
        <v>30</v>
      </c>
      <c r="X759" s="47" t="str">
        <f t="array" ref="X759">XLOOKUP($A759,'Recipients REF'!$A:$A,'Recipients REF'!L:L,"",0)</f>
        <v>WDP40-RMP-24111337</v>
      </c>
      <c r="Y759" s="48" t="s">
        <v>29</v>
      </c>
      <c r="Z759" s="48" t="s">
        <v>31</v>
      </c>
      <c r="AA759" s="46" t="str">
        <f t="array" ref="AA759">XLOOKUP($A759,'Recipients REF'!$A:$A,'Recipients REF'!M:M,"",0)</f>
        <v>WR-SERIES-1120PH</v>
      </c>
      <c r="AB759" s="49"/>
      <c r="AC759" s="42"/>
      <c r="AD759" s="42"/>
      <c r="AE759" s="50"/>
      <c r="AF759" s="42"/>
      <c r="AG759" s="42"/>
      <c r="AH759" s="42"/>
      <c r="AI759" s="42" t="str">
        <f t="array" ref="AI759">XLOOKUP($E759,Sheet11!$D:$D,Sheet11!$X:$X,"",0)</f>
        <v/>
      </c>
      <c r="AJ759" s="42" t="str">
        <f t="array" ref="AJ759">XLOOKUP($E759,Sheet11!$D:$D,Sheet11!$Y:$Y,"",0)</f>
        <v/>
      </c>
    </row>
    <row r="760">
      <c r="A760" s="41">
        <v>688.0</v>
      </c>
      <c r="B760" s="42" t="s">
        <v>1476</v>
      </c>
      <c r="C760" s="42" t="s">
        <v>1477</v>
      </c>
      <c r="D760" s="42"/>
      <c r="E760" s="42" t="str">
        <f t="shared" ref="E760:F760" si="761">PROPER(B760)</f>
        <v>Arayat Ecology And Agriculture Cooperative</v>
      </c>
      <c r="F760" s="42" t="str">
        <f t="shared" si="761"/>
        <v>San Nicolas, Arayat, Pampanga</v>
      </c>
      <c r="G760" s="42" t="str">
        <f t="shared" si="3"/>
        <v>San Nicolas</v>
      </c>
      <c r="H760" s="42" t="str">
        <f t="shared" si="4"/>
        <v>Arayat</v>
      </c>
      <c r="I760" s="42" t="str">
        <f t="shared" si="5"/>
        <v>Pampanga</v>
      </c>
      <c r="J760" s="42" t="str">
        <f t="array" ref="J760">XLOOKUP($E760,'Recipients REF'!$B:$B,'Recipients REF'!D:D,"",0)</f>
        <v>CRISPIN E. TUNGOL</v>
      </c>
      <c r="K760" s="42" t="str">
        <f t="array" ref="K760">XLOOKUP($E760,'Recipients REF'!$B:$B,'Recipients REF'!E:E,"",0)</f>
        <v>0927-586-0731</v>
      </c>
      <c r="L760" s="43" t="str">
        <f t="array" ref="L760">XLOOKUP($A760,'Recipients REF'!$A:$A,'Recipients REF'!F:F,"",0)</f>
        <v>RCEF 25-03-05</v>
      </c>
      <c r="M760" s="43">
        <f t="array" ref="M760">XLOOKUP($A760,'Recipients REF'!$A:$A,'Recipients REF'!G:G,"",0)</f>
        <v>5</v>
      </c>
      <c r="N760" s="43" t="str">
        <f t="array" ref="N760">XLOOKUP($A760,'Recipients REF'!$A:$A,'Recipients REF'!H:H,"",0)</f>
        <v>26505 &amp; 27686</v>
      </c>
      <c r="O760" s="44" t="s">
        <v>25</v>
      </c>
      <c r="P760" s="45" t="s">
        <v>26</v>
      </c>
      <c r="Q760" s="46" t="str">
        <f t="array" ref="Q760">XLOOKUP($A760,'Recipients REF'!$A:$A,'Recipients REF'!I:I,"",0)</f>
        <v>KMC5825 ACSFPV0382</v>
      </c>
      <c r="R760" s="53" t="str">
        <f t="array" ref="R760">XLOOKUP($A760,'Recipients REF'!$A:$A,'Recipients REF'!J:J,"",0)</f>
        <v>STS100449</v>
      </c>
      <c r="S760" s="45" t="s">
        <v>27</v>
      </c>
      <c r="T760" s="45" t="s">
        <v>28</v>
      </c>
      <c r="U760" s="46" t="str">
        <f t="array" ref="U760">XLOOKUP($A760,'Recipients REF'!$A:$A,'Recipients REF'!K:K,"",0)</f>
        <v>WR-SERIES 142</v>
      </c>
      <c r="V760" s="44" t="s">
        <v>29</v>
      </c>
      <c r="W760" s="45" t="s">
        <v>30</v>
      </c>
      <c r="X760" s="53" t="str">
        <f t="array" ref="X760">XLOOKUP($A760,'Recipients REF'!$A:$A,'Recipients REF'!L:L,"",0)</f>
        <v>25080332</v>
      </c>
      <c r="Y760" s="48" t="s">
        <v>29</v>
      </c>
      <c r="Z760" s="48" t="s">
        <v>31</v>
      </c>
      <c r="AA760" s="54" t="str">
        <f t="array" ref="AA760">XLOOKUP($A760,'Recipients REF'!$A:$A,'Recipients REF'!M:M,"",0)</f>
        <v>25090973</v>
      </c>
      <c r="AB760" s="49"/>
      <c r="AC760" s="42"/>
      <c r="AD760" s="42"/>
      <c r="AE760" s="56">
        <v>8.69066063782321E14</v>
      </c>
      <c r="AF760" s="56" t="s">
        <v>1478</v>
      </c>
      <c r="AG760" s="42"/>
      <c r="AH760" s="42"/>
      <c r="AI760" s="42" t="str">
        <f t="array" ref="AI760">XLOOKUP($E760,Sheet11!$D:$D,Sheet11!$X:$X,"",0)</f>
        <v/>
      </c>
      <c r="AJ760" s="42" t="str">
        <f t="array" ref="AJ760">XLOOKUP($E760,Sheet11!$D:$D,Sheet11!$Y:$Y,"",0)</f>
        <v/>
      </c>
    </row>
    <row r="761">
      <c r="A761" s="41">
        <v>689.0</v>
      </c>
      <c r="B761" s="42" t="s">
        <v>1479</v>
      </c>
      <c r="C761" s="42" t="s">
        <v>1480</v>
      </c>
      <c r="D761" s="42"/>
      <c r="E761" s="42" t="str">
        <f t="shared" ref="E761:F761" si="762">PROPER(B761)</f>
        <v>Batasan Sinukuan Farmers Association</v>
      </c>
      <c r="F761" s="42" t="str">
        <f t="shared" si="762"/>
        <v>Batasan, Arayat, Pampanga</v>
      </c>
      <c r="G761" s="42" t="str">
        <f t="shared" si="3"/>
        <v>Batasan</v>
      </c>
      <c r="H761" s="42" t="str">
        <f t="shared" si="4"/>
        <v>Arayat</v>
      </c>
      <c r="I761" s="42" t="str">
        <f t="shared" si="5"/>
        <v>Pampanga</v>
      </c>
      <c r="J761" s="42" t="str">
        <f t="array" ref="J761">XLOOKUP($E761,'Recipients REF'!$B:$B,'Recipients REF'!D:D,"",0)</f>
        <v>PRECY G. DOMINGO</v>
      </c>
      <c r="K761" s="42" t="str">
        <f t="array" ref="K761">XLOOKUP($E761,'Recipients REF'!$B:$B,'Recipients REF'!E:E,"",0)</f>
        <v>0905-204-4978</v>
      </c>
      <c r="L761" s="43" t="str">
        <f t="array" ref="L761">XLOOKUP($A761,'Recipients REF'!$A:$A,'Recipients REF'!F:F,"",0)</f>
        <v>RCEF 25-03-05</v>
      </c>
      <c r="M761" s="43">
        <f t="array" ref="M761">XLOOKUP($A761,'Recipients REF'!$A:$A,'Recipients REF'!G:G,"",0)</f>
        <v>5</v>
      </c>
      <c r="N761" s="43" t="str">
        <f t="array" ref="N761">XLOOKUP($A761,'Recipients REF'!$A:$A,'Recipients REF'!H:H,"",0)</f>
        <v>26506 &amp; 27687</v>
      </c>
      <c r="O761" s="44" t="s">
        <v>25</v>
      </c>
      <c r="P761" s="45" t="s">
        <v>26</v>
      </c>
      <c r="Q761" s="46" t="str">
        <f t="array" ref="Q761">XLOOKUP($A761,'Recipients REF'!$A:$A,'Recipients REF'!I:I,"",0)</f>
        <v>KMC5825 ALSFPV0287</v>
      </c>
      <c r="R761" s="53" t="str">
        <f t="array" ref="R761">XLOOKUP($A761,'Recipients REF'!$A:$A,'Recipients REF'!J:J,"",0)</f>
        <v>STS100303</v>
      </c>
      <c r="S761" s="45" t="s">
        <v>27</v>
      </c>
      <c r="T761" s="45" t="s">
        <v>28</v>
      </c>
      <c r="U761" s="46" t="str">
        <f t="array" ref="U761">XLOOKUP($A761,'Recipients REF'!$A:$A,'Recipients REF'!K:K,"",0)</f>
        <v>R-SERIES 126PH</v>
      </c>
      <c r="V761" s="44" t="s">
        <v>29</v>
      </c>
      <c r="W761" s="45" t="s">
        <v>30</v>
      </c>
      <c r="X761" s="53" t="str">
        <f t="array" ref="X761">XLOOKUP($A761,'Recipients REF'!$A:$A,'Recipients REF'!L:L,"",0)</f>
        <v>25080310</v>
      </c>
      <c r="Y761" s="48" t="s">
        <v>29</v>
      </c>
      <c r="Z761" s="48" t="s">
        <v>31</v>
      </c>
      <c r="AA761" s="54" t="str">
        <f t="array" ref="AA761">XLOOKUP($A761,'Recipients REF'!$A:$A,'Recipients REF'!M:M,"",0)</f>
        <v>25080884</v>
      </c>
      <c r="AB761" s="49"/>
      <c r="AC761" s="42"/>
      <c r="AD761" s="42"/>
      <c r="AE761" s="56">
        <v>8.6906606377049E14</v>
      </c>
      <c r="AF761" s="56" t="s">
        <v>1481</v>
      </c>
      <c r="AG761" s="42"/>
      <c r="AH761" s="42"/>
      <c r="AI761" s="42" t="str">
        <f t="array" ref="AI761">XLOOKUP($E761,Sheet11!$D:$D,Sheet11!$X:$X,"",0)</f>
        <v/>
      </c>
      <c r="AJ761" s="42" t="str">
        <f t="array" ref="AJ761">XLOOKUP($E761,Sheet11!$D:$D,Sheet11!$Y:$Y,"",0)</f>
        <v/>
      </c>
    </row>
    <row r="762">
      <c r="A762" s="41">
        <v>690.0</v>
      </c>
      <c r="B762" s="42" t="s">
        <v>1482</v>
      </c>
      <c r="C762" s="42" t="s">
        <v>1483</v>
      </c>
      <c r="D762" s="42"/>
      <c r="E762" s="42" t="str">
        <f t="shared" ref="E762:F762" si="763">PROPER(B762)</f>
        <v>Farmers Association Of Sto. Niño Tabuan</v>
      </c>
      <c r="F762" s="42" t="str">
        <f t="shared" si="763"/>
        <v>Santo Niño Tabuan, Arayat, Pampanga</v>
      </c>
      <c r="G762" s="42" t="str">
        <f t="shared" si="3"/>
        <v>Santo Niño Tabuan</v>
      </c>
      <c r="H762" s="42" t="str">
        <f t="shared" si="4"/>
        <v>Arayat</v>
      </c>
      <c r="I762" s="42" t="str">
        <f t="shared" si="5"/>
        <v>Pampanga</v>
      </c>
      <c r="J762" s="42" t="str">
        <f t="array" ref="J762">XLOOKUP($E762,'Recipients REF'!$B:$B,'Recipients REF'!D:D,"",0)</f>
        <v>Nestor Mejia</v>
      </c>
      <c r="K762" s="42" t="str">
        <f t="array" ref="K762">XLOOKUP($E762,'Recipients REF'!$B:$B,'Recipients REF'!E:E,"",0)</f>
        <v>0965-058-9364</v>
      </c>
      <c r="L762" s="43" t="str">
        <f t="array" ref="L762">XLOOKUP($A762,'Recipients REF'!$A:$A,'Recipients REF'!F:F,"",0)</f>
        <v>RCEF 25-03-05</v>
      </c>
      <c r="M762" s="43">
        <f t="array" ref="M762">XLOOKUP($A762,'Recipients REF'!$A:$A,'Recipients REF'!G:G,"",0)</f>
        <v>5</v>
      </c>
      <c r="N762" s="43" t="str">
        <f t="array" ref="N762">XLOOKUP($A762,'Recipients REF'!$A:$A,'Recipients REF'!H:H,"",0)</f>
        <v>26507 &amp; 27688</v>
      </c>
      <c r="O762" s="44" t="s">
        <v>25</v>
      </c>
      <c r="P762" s="45" t="s">
        <v>26</v>
      </c>
      <c r="Q762" s="46" t="str">
        <f t="array" ref="Q762">XLOOKUP($A762,'Recipients REF'!$A:$A,'Recipients REF'!I:I,"",0)</f>
        <v>KMC5825 AKSFPV0203</v>
      </c>
      <c r="R762" s="53" t="str">
        <f t="array" ref="R762">XLOOKUP($A762,'Recipients REF'!$A:$A,'Recipients REF'!J:J,"",0)</f>
        <v>STS100203</v>
      </c>
      <c r="S762" s="45" t="s">
        <v>27</v>
      </c>
      <c r="T762" s="45" t="s">
        <v>28</v>
      </c>
      <c r="U762" s="46" t="str">
        <f t="array" ref="U762">XLOOKUP($A762,'Recipients REF'!$A:$A,'Recipients REF'!K:K,"",0)</f>
        <v>WR-SERIES 141</v>
      </c>
      <c r="V762" s="44" t="s">
        <v>29</v>
      </c>
      <c r="W762" s="45" t="s">
        <v>30</v>
      </c>
      <c r="X762" s="53" t="str">
        <f t="array" ref="X762">XLOOKUP($A762,'Recipients REF'!$A:$A,'Recipients REF'!L:L,"",0)</f>
        <v>25080346</v>
      </c>
      <c r="Y762" s="48" t="s">
        <v>29</v>
      </c>
      <c r="Z762" s="48" t="s">
        <v>31</v>
      </c>
      <c r="AA762" s="54" t="str">
        <f t="array" ref="AA762">XLOOKUP($A762,'Recipients REF'!$A:$A,'Recipients REF'!M:M,"",0)</f>
        <v>25090998</v>
      </c>
      <c r="AB762" s="49"/>
      <c r="AC762" s="42"/>
      <c r="AD762" s="42"/>
      <c r="AE762" s="50"/>
      <c r="AF762" s="42"/>
      <c r="AG762" s="42"/>
      <c r="AH762" s="42"/>
      <c r="AI762" s="42" t="str">
        <f t="array" ref="AI762">XLOOKUP($E762,Sheet11!$D:$D,Sheet11!$X:$X,"",0)</f>
        <v/>
      </c>
      <c r="AJ762" s="42" t="str">
        <f t="array" ref="AJ762">XLOOKUP($E762,Sheet11!$D:$D,Sheet11!$Y:$Y,"",0)</f>
        <v/>
      </c>
    </row>
    <row r="763">
      <c r="A763" s="41">
        <v>691.0</v>
      </c>
      <c r="B763" s="42" t="s">
        <v>1484</v>
      </c>
      <c r="C763" s="42" t="s">
        <v>1485</v>
      </c>
      <c r="D763" s="42"/>
      <c r="E763" s="42" t="str">
        <f t="shared" ref="E763:F763" si="764">PROPER(B763)</f>
        <v>Lacmit Farmers Agriculture Cooperative</v>
      </c>
      <c r="F763" s="42" t="str">
        <f t="shared" si="764"/>
        <v>Lacmit, Arayat, Pampanga</v>
      </c>
      <c r="G763" s="42" t="str">
        <f t="shared" si="3"/>
        <v>Lacmit</v>
      </c>
      <c r="H763" s="42" t="str">
        <f t="shared" si="4"/>
        <v>Arayat</v>
      </c>
      <c r="I763" s="42" t="str">
        <f t="shared" si="5"/>
        <v>Pampanga</v>
      </c>
      <c r="J763" s="42" t="str">
        <f t="array" ref="J763">XLOOKUP($E763,'Recipients REF'!$B:$B,'Recipients REF'!D:D,"",0)</f>
        <v>EDUARDO BALATBAT</v>
      </c>
      <c r="K763" s="42" t="str">
        <f t="array" ref="K763">XLOOKUP($E763,'Recipients REF'!$B:$B,'Recipients REF'!E:E,"",0)</f>
        <v>0967-245-6859</v>
      </c>
      <c r="L763" s="43" t="str">
        <f t="array" ref="L763">XLOOKUP($A763,'Recipients REF'!$A:$A,'Recipients REF'!F:F,"",0)</f>
        <v>RCEF 25-03-05</v>
      </c>
      <c r="M763" s="43">
        <f t="array" ref="M763">XLOOKUP($A763,'Recipients REF'!$A:$A,'Recipients REF'!G:G,"",0)</f>
        <v>5</v>
      </c>
      <c r="N763" s="43" t="str">
        <f t="array" ref="N763">XLOOKUP($A763,'Recipients REF'!$A:$A,'Recipients REF'!H:H,"",0)</f>
        <v>26508 &amp; 27689</v>
      </c>
      <c r="O763" s="44" t="s">
        <v>25</v>
      </c>
      <c r="P763" s="45" t="s">
        <v>26</v>
      </c>
      <c r="Q763" s="46" t="str">
        <f t="array" ref="Q763">XLOOKUP($A763,'Recipients REF'!$A:$A,'Recipients REF'!I:I,"",0)</f>
        <v>KMC5825 AJSFPV0347</v>
      </c>
      <c r="R763" s="53" t="str">
        <f t="array" ref="R763">XLOOKUP($A763,'Recipients REF'!$A:$A,'Recipients REF'!J:J,"",0)</f>
        <v>STS100372</v>
      </c>
      <c r="S763" s="45" t="s">
        <v>27</v>
      </c>
      <c r="T763" s="45" t="s">
        <v>28</v>
      </c>
      <c r="U763" s="46" t="str">
        <f t="array" ref="U763">XLOOKUP($A763,'Recipients REF'!$A:$A,'Recipients REF'!K:K,"",0)</f>
        <v>WR-SERIES 088</v>
      </c>
      <c r="V763" s="44" t="s">
        <v>29</v>
      </c>
      <c r="W763" s="45" t="s">
        <v>30</v>
      </c>
      <c r="X763" s="53" t="str">
        <f t="array" ref="X763">XLOOKUP($A763,'Recipients REF'!$A:$A,'Recipients REF'!L:L,"",0)</f>
        <v>25080304</v>
      </c>
      <c r="Y763" s="48" t="s">
        <v>29</v>
      </c>
      <c r="Z763" s="48" t="s">
        <v>31</v>
      </c>
      <c r="AA763" s="54" t="str">
        <f t="array" ref="AA763">XLOOKUP($A763,'Recipients REF'!$A:$A,'Recipients REF'!M:M,"",0)</f>
        <v>25090975</v>
      </c>
      <c r="AB763" s="49"/>
      <c r="AC763" s="42"/>
      <c r="AD763" s="42"/>
      <c r="AE763" s="56">
        <v>8.69066063785514E14</v>
      </c>
      <c r="AF763" s="56" t="s">
        <v>1486</v>
      </c>
      <c r="AG763" s="42"/>
      <c r="AH763" s="42"/>
      <c r="AI763" s="42" t="str">
        <f t="array" ref="AI763">XLOOKUP($E763,Sheet11!$D:$D,Sheet11!$X:$X,"",0)</f>
        <v/>
      </c>
      <c r="AJ763" s="42" t="str">
        <f t="array" ref="AJ763">XLOOKUP($E763,Sheet11!$D:$D,Sheet11!$Y:$Y,"",0)</f>
        <v/>
      </c>
    </row>
    <row r="764">
      <c r="A764" s="41">
        <v>692.0</v>
      </c>
      <c r="B764" s="42" t="s">
        <v>1487</v>
      </c>
      <c r="C764" s="42" t="s">
        <v>1488</v>
      </c>
      <c r="D764" s="42"/>
      <c r="E764" s="42" t="str">
        <f t="shared" ref="E764:F764" si="765">PROPER(B764)</f>
        <v>Samahan Ng Magsasaka Kapampangan Ng Lapaz Turu (Samaka) Inc.</v>
      </c>
      <c r="F764" s="42" t="str">
        <f t="shared" si="765"/>
        <v>La Paz (Turu), Arayat, Pampanga</v>
      </c>
      <c r="G764" s="42" t="str">
        <f t="shared" si="3"/>
        <v>La Paz (Turu)</v>
      </c>
      <c r="H764" s="42" t="str">
        <f t="shared" si="4"/>
        <v>Arayat</v>
      </c>
      <c r="I764" s="42" t="str">
        <f t="shared" si="5"/>
        <v>Pampanga</v>
      </c>
      <c r="J764" s="42" t="str">
        <f t="array" ref="J764">XLOOKUP($E764,'Recipients REF'!$B:$B,'Recipients REF'!D:D,"",0)</f>
        <v>MARCELO M. LAXAMANA</v>
      </c>
      <c r="K764" s="42" t="str">
        <f t="array" ref="K764">XLOOKUP($E764,'Recipients REF'!$B:$B,'Recipients REF'!E:E,"",0)</f>
        <v>0906-855-9042</v>
      </c>
      <c r="L764" s="43" t="str">
        <f t="array" ref="L764">XLOOKUP($A764,'Recipients REF'!$A:$A,'Recipients REF'!F:F,"",0)</f>
        <v>RCEF 25-03-05</v>
      </c>
      <c r="M764" s="43">
        <f t="array" ref="M764">XLOOKUP($A764,'Recipients REF'!$A:$A,'Recipients REF'!G:G,"",0)</f>
        <v>5</v>
      </c>
      <c r="N764" s="43" t="str">
        <f t="array" ref="N764">XLOOKUP($A764,'Recipients REF'!$A:$A,'Recipients REF'!H:H,"",0)</f>
        <v>26509 &amp; 27690</v>
      </c>
      <c r="O764" s="44" t="s">
        <v>25</v>
      </c>
      <c r="P764" s="45" t="s">
        <v>26</v>
      </c>
      <c r="Q764" s="46" t="str">
        <f t="array" ref="Q764">XLOOKUP($A764,'Recipients REF'!$A:$A,'Recipients REF'!I:I,"",0)</f>
        <v>KMC5825 ACSFPV0343</v>
      </c>
      <c r="R764" s="53" t="str">
        <f t="array" ref="R764">XLOOKUP($A764,'Recipients REF'!$A:$A,'Recipients REF'!J:J,"",0)</f>
        <v>STS100360</v>
      </c>
      <c r="S764" s="45" t="s">
        <v>27</v>
      </c>
      <c r="T764" s="45" t="s">
        <v>28</v>
      </c>
      <c r="U764" s="46" t="str">
        <f t="array" ref="U764">XLOOKUP($A764,'Recipients REF'!$A:$A,'Recipients REF'!K:K,"",0)</f>
        <v>R-SERIES 150PH</v>
      </c>
      <c r="V764" s="44" t="s">
        <v>29</v>
      </c>
      <c r="W764" s="45" t="s">
        <v>30</v>
      </c>
      <c r="X764" s="53" t="str">
        <f t="array" ref="X764">XLOOKUP($A764,'Recipients REF'!$A:$A,'Recipients REF'!L:L,"",0)</f>
        <v>25090567</v>
      </c>
      <c r="Y764" s="48" t="s">
        <v>29</v>
      </c>
      <c r="Z764" s="48" t="s">
        <v>31</v>
      </c>
      <c r="AA764" s="54" t="str">
        <f t="array" ref="AA764">XLOOKUP($A764,'Recipients REF'!$A:$A,'Recipients REF'!M:M,"",0)</f>
        <v>25080824</v>
      </c>
      <c r="AB764" s="49"/>
      <c r="AC764" s="42"/>
      <c r="AD764" s="42"/>
      <c r="AE764" s="50"/>
      <c r="AF764" s="42"/>
      <c r="AG764" s="42"/>
      <c r="AH764" s="42"/>
      <c r="AI764" s="42" t="str">
        <f t="array" ref="AI764">XLOOKUP($E764,Sheet11!$D:$D,Sheet11!$X:$X,"",0)</f>
        <v/>
      </c>
      <c r="AJ764" s="42" t="str">
        <f t="array" ref="AJ764">XLOOKUP($E764,Sheet11!$D:$D,Sheet11!$Y:$Y,"",0)</f>
        <v/>
      </c>
    </row>
    <row r="765">
      <c r="A765" s="41">
        <v>105.0</v>
      </c>
      <c r="B765" s="42" t="s">
        <v>1489</v>
      </c>
      <c r="C765" s="42" t="s">
        <v>1490</v>
      </c>
      <c r="D765" s="42"/>
      <c r="E765" s="42" t="str">
        <f t="shared" ref="E765:F765" si="766">PROPER(B765)</f>
        <v>Abe-Abe Ortelanu Barangay Tinajero Association Inc.</v>
      </c>
      <c r="F765" s="42" t="str">
        <f t="shared" si="766"/>
        <v>Tinajero, Bacolor, Pampanga</v>
      </c>
      <c r="G765" s="42" t="str">
        <f t="shared" si="3"/>
        <v>Tinajero</v>
      </c>
      <c r="H765" s="42" t="str">
        <f t="shared" si="4"/>
        <v>Bacolor</v>
      </c>
      <c r="I765" s="42" t="str">
        <f t="shared" si="5"/>
        <v>Pampanga</v>
      </c>
      <c r="J765" s="42" t="str">
        <f t="array" ref="J765">XLOOKUP($E765,'Recipients REF'!$B:$B,'Recipients REF'!D:D,"",0)</f>
        <v>RUBILYN ALFONSO</v>
      </c>
      <c r="K765" s="42" t="str">
        <f t="array" ref="K765">XLOOKUP($E765,'Recipients REF'!$B:$B,'Recipients REF'!E:E,"",0)</f>
        <v>0951-641-4583</v>
      </c>
      <c r="L765" s="43" t="str">
        <f t="array" ref="L765">XLOOKUP($A765,'Recipients REF'!$A:$A,'Recipients REF'!F:F,"",0)</f>
        <v>RCEF 23-09-21 Rebidding</v>
      </c>
      <c r="M765" s="43">
        <f t="array" ref="M765">XLOOKUP($A765,'Recipients REF'!$A:$A,'Recipients REF'!G:G,"",0)</f>
        <v>3</v>
      </c>
      <c r="N765" s="43">
        <f t="array" ref="N765">XLOOKUP($A765,'Recipients REF'!$A:$A,'Recipients REF'!H:H,"",0)</f>
        <v>17789</v>
      </c>
      <c r="O765" s="44" t="s">
        <v>25</v>
      </c>
      <c r="P765" s="45" t="s">
        <v>26</v>
      </c>
      <c r="Q765" s="46" t="str">
        <f t="array" ref="Q765">XLOOKUP($A765,'Recipients REF'!$A:$A,'Recipients REF'!I:I,"",0)</f>
        <v>KMC5825 AEPFPV0087</v>
      </c>
      <c r="R765" s="47" t="str">
        <f t="array" ref="R765">XLOOKUP($A765,'Recipients REF'!$A:$A,'Recipients REF'!J:J,"",0)</f>
        <v>PTS100123</v>
      </c>
      <c r="S765" s="45" t="s">
        <v>27</v>
      </c>
      <c r="T765" s="45" t="s">
        <v>28</v>
      </c>
      <c r="U765" s="46" t="str">
        <f t="array" ref="U765">XLOOKUP($A765,'Recipients REF'!$A:$A,'Recipients REF'!K:K,"",0)</f>
        <v>R-SERIES 104PH</v>
      </c>
      <c r="V765" s="44" t="s">
        <v>29</v>
      </c>
      <c r="W765" s="45" t="s">
        <v>30</v>
      </c>
      <c r="X765" s="47" t="str">
        <f t="array" ref="X765">XLOOKUP($A765,'Recipients REF'!$A:$A,'Recipients REF'!L:L,"",0)</f>
        <v>LSGW1750-RMP-2312038</v>
      </c>
      <c r="Y765" s="48" t="s">
        <v>29</v>
      </c>
      <c r="Z765" s="48" t="s">
        <v>31</v>
      </c>
      <c r="AA765" s="46" t="str">
        <f t="array" ref="AA765">XLOOKUP($A765,'Recipients REF'!$A:$A,'Recipients REF'!M:M,"",0)</f>
        <v>WDP40-RMP-2312008</v>
      </c>
      <c r="AB765" s="49"/>
      <c r="AC765" s="42"/>
      <c r="AD765" s="42"/>
      <c r="AE765" s="56">
        <v>8.69066060241065E14</v>
      </c>
      <c r="AF765" s="56">
        <v>4.25230021017927E15</v>
      </c>
      <c r="AG765" s="42"/>
      <c r="AH765" s="42"/>
      <c r="AI765" s="42">
        <f t="array" ref="AI765">XLOOKUP($E765,Sheet11!$D:$D,Sheet11!$X:$X,"",0)</f>
        <v>869066060241065</v>
      </c>
      <c r="AJ765" s="42" t="str">
        <f t="array" ref="AJ765">XLOOKUP($E765,Sheet11!$D:$D,Sheet11!$Y:$Y,"",0)</f>
        <v>09690319303</v>
      </c>
    </row>
    <row r="766">
      <c r="A766" s="41">
        <v>587.0</v>
      </c>
      <c r="B766" s="42" t="s">
        <v>1491</v>
      </c>
      <c r="C766" s="42" t="s">
        <v>1492</v>
      </c>
      <c r="D766" s="42"/>
      <c r="E766" s="42" t="str">
        <f t="shared" ref="E766:F766" si="767">PROPER(B766)</f>
        <v>Buklud Kapampangan Farmers Association Inc.</v>
      </c>
      <c r="F766" s="42" t="str">
        <f t="shared" si="767"/>
        <v>Cabetican, Bacolor, Pampanga</v>
      </c>
      <c r="G766" s="42" t="str">
        <f t="shared" si="3"/>
        <v>Cabetican</v>
      </c>
      <c r="H766" s="42" t="str">
        <f t="shared" si="4"/>
        <v>Bacolor</v>
      </c>
      <c r="I766" s="42" t="str">
        <f t="shared" si="5"/>
        <v>Pampanga</v>
      </c>
      <c r="J766" s="42" t="str">
        <f t="array" ref="J766">XLOOKUP($E766,'Recipients REF'!$B:$B,'Recipients REF'!D:D,"",0)</f>
        <v>BIENVENIDO R. TALA</v>
      </c>
      <c r="K766" s="42" t="str">
        <f t="array" ref="K766">XLOOKUP($E766,'Recipients REF'!$B:$B,'Recipients REF'!E:E,"",0)</f>
        <v>0968-696-4152</v>
      </c>
      <c r="L766" s="43" t="str">
        <f t="array" ref="L766">XLOOKUP($A766,'Recipients REF'!$A:$A,'Recipients REF'!F:F,"",0)</f>
        <v>RCEF 24-04-15</v>
      </c>
      <c r="M766" s="43">
        <f t="array" ref="M766">XLOOKUP($A766,'Recipients REF'!$A:$A,'Recipients REF'!G:G,"",0)</f>
        <v>6</v>
      </c>
      <c r="N766" s="43">
        <f t="array" ref="N766">XLOOKUP($A766,'Recipients REF'!$A:$A,'Recipients REF'!H:H,"",0)</f>
        <v>22340</v>
      </c>
      <c r="O766" s="44" t="s">
        <v>25</v>
      </c>
      <c r="P766" s="45" t="s">
        <v>26</v>
      </c>
      <c r="Q766" s="46" t="str">
        <f t="array" ref="Q766">XLOOKUP($A766,'Recipients REF'!$A:$A,'Recipients REF'!I:I,"",0)</f>
        <v>KMC5825ACRFPV0952</v>
      </c>
      <c r="R766" s="47" t="str">
        <f t="array" ref="R766">XLOOKUP($A766,'Recipients REF'!$A:$A,'Recipients REF'!J:J,"",0)</f>
        <v>RTS100826</v>
      </c>
      <c r="S766" s="45" t="s">
        <v>27</v>
      </c>
      <c r="T766" s="45" t="s">
        <v>28</v>
      </c>
      <c r="U766" s="46" t="str">
        <f t="array" ref="U766">XLOOKUP($A766,'Recipients REF'!$A:$A,'Recipients REF'!K:K,"",0)</f>
        <v>LSGW170-RMP-24100981</v>
      </c>
      <c r="V766" s="44" t="s">
        <v>29</v>
      </c>
      <c r="W766" s="45" t="s">
        <v>30</v>
      </c>
      <c r="X766" s="47" t="str">
        <f t="array" ref="X766">XLOOKUP($A766,'Recipients REF'!$A:$A,'Recipients REF'!L:L,"",0)</f>
        <v>WDP40-RMP-24121439</v>
      </c>
      <c r="Y766" s="48" t="s">
        <v>29</v>
      </c>
      <c r="Z766" s="48" t="s">
        <v>31</v>
      </c>
      <c r="AA766" s="46" t="str">
        <f t="array" ref="AA766">XLOOKUP($A766,'Recipients REF'!$A:$A,'Recipients REF'!M:M,"",0)</f>
        <v>WR-SERIES-1089PH</v>
      </c>
      <c r="AB766" s="49"/>
      <c r="AC766" s="42"/>
      <c r="AD766" s="42"/>
      <c r="AE766" s="56">
        <v>8.69066062202289E14</v>
      </c>
      <c r="AF766" s="56" t="s">
        <v>1493</v>
      </c>
      <c r="AG766" s="42"/>
      <c r="AH766" s="42"/>
      <c r="AI766" s="42" t="str">
        <f t="array" ref="AI766">XLOOKUP($E766,Sheet11!$D:$D,Sheet11!$X:$X,"",0)</f>
        <v/>
      </c>
      <c r="AJ766" s="42" t="str">
        <f t="array" ref="AJ766">XLOOKUP($E766,Sheet11!$D:$D,Sheet11!$Y:$Y,"",0)</f>
        <v/>
      </c>
    </row>
    <row r="767">
      <c r="A767" s="41">
        <v>693.0</v>
      </c>
      <c r="B767" s="42" t="s">
        <v>1494</v>
      </c>
      <c r="C767" s="42" t="s">
        <v>1495</v>
      </c>
      <c r="D767" s="42"/>
      <c r="E767" s="42" t="str">
        <f t="shared" ref="E767:F767" si="768">PROPER(B767)</f>
        <v>Macabacle Farmers Association</v>
      </c>
      <c r="F767" s="42" t="str">
        <f t="shared" si="768"/>
        <v>Macabacle, Bacolor, Pampanga</v>
      </c>
      <c r="G767" s="42" t="str">
        <f t="shared" si="3"/>
        <v>Macabacle</v>
      </c>
      <c r="H767" s="42" t="str">
        <f t="shared" si="4"/>
        <v>Bacolor</v>
      </c>
      <c r="I767" s="42" t="str">
        <f t="shared" si="5"/>
        <v>Pampanga</v>
      </c>
      <c r="J767" s="42" t="str">
        <f t="array" ref="J767">XLOOKUP($E767,'Recipients REF'!$B:$B,'Recipients REF'!D:D,"",0)</f>
        <v>ARIEL OCAMPO</v>
      </c>
      <c r="K767" s="42" t="str">
        <f t="array" ref="K767">XLOOKUP($E767,'Recipients REF'!$B:$B,'Recipients REF'!E:E,"",0)</f>
        <v>0948-280-9193</v>
      </c>
      <c r="L767" s="43" t="str">
        <f t="array" ref="L767">XLOOKUP($A767,'Recipients REF'!$A:$A,'Recipients REF'!F:F,"",0)</f>
        <v>RCEF 25-03-05</v>
      </c>
      <c r="M767" s="43">
        <f t="array" ref="M767">XLOOKUP($A767,'Recipients REF'!$A:$A,'Recipients REF'!G:G,"",0)</f>
        <v>5</v>
      </c>
      <c r="N767" s="43" t="str">
        <f t="array" ref="N767">XLOOKUP($A767,'Recipients REF'!$A:$A,'Recipients REF'!H:H,"",0)</f>
        <v>26510 &amp; 27691</v>
      </c>
      <c r="O767" s="44" t="s">
        <v>25</v>
      </c>
      <c r="P767" s="45" t="s">
        <v>26</v>
      </c>
      <c r="Q767" s="46" t="str">
        <f t="array" ref="Q767">XLOOKUP($A767,'Recipients REF'!$A:$A,'Recipients REF'!I:I,"",0)</f>
        <v>KMC5825 ACSFPV0298</v>
      </c>
      <c r="R767" s="53" t="str">
        <f t="array" ref="R767">XLOOKUP($A767,'Recipients REF'!$A:$A,'Recipients REF'!J:J,"",0)</f>
        <v>STS100241</v>
      </c>
      <c r="S767" s="45" t="s">
        <v>27</v>
      </c>
      <c r="T767" s="45" t="s">
        <v>28</v>
      </c>
      <c r="U767" s="46" t="str">
        <f t="array" ref="U767">XLOOKUP($A767,'Recipients REF'!$A:$A,'Recipients REF'!K:K,"",0)</f>
        <v>R-SERIES 043PH</v>
      </c>
      <c r="V767" s="44" t="s">
        <v>29</v>
      </c>
      <c r="W767" s="45" t="s">
        <v>30</v>
      </c>
      <c r="X767" s="53" t="str">
        <f t="array" ref="X767">XLOOKUP($A767,'Recipients REF'!$A:$A,'Recipients REF'!L:L,"",0)</f>
        <v>25090576</v>
      </c>
      <c r="Y767" s="48" t="s">
        <v>29</v>
      </c>
      <c r="Z767" s="48" t="s">
        <v>31</v>
      </c>
      <c r="AA767" s="54" t="str">
        <f t="array" ref="AA767">XLOOKUP($A767,'Recipients REF'!$A:$A,'Recipients REF'!M:M,"",0)</f>
        <v>25090991</v>
      </c>
      <c r="AB767" s="49"/>
      <c r="AC767" s="42"/>
      <c r="AD767" s="42"/>
      <c r="AE767" s="56">
        <v>8.69066063766175E14</v>
      </c>
      <c r="AF767" s="56" t="s">
        <v>1496</v>
      </c>
      <c r="AG767" s="42"/>
      <c r="AH767" s="42"/>
      <c r="AI767" s="42" t="str">
        <f t="array" ref="AI767">XLOOKUP($E767,Sheet11!$D:$D,Sheet11!$X:$X,"",0)</f>
        <v/>
      </c>
      <c r="AJ767" s="42" t="str">
        <f t="array" ref="AJ767">XLOOKUP($E767,Sheet11!$D:$D,Sheet11!$Y:$Y,"",0)</f>
        <v/>
      </c>
    </row>
    <row r="768">
      <c r="A768" s="41">
        <v>694.0</v>
      </c>
      <c r="B768" s="42" t="s">
        <v>1497</v>
      </c>
      <c r="C768" s="42" t="s">
        <v>1498</v>
      </c>
      <c r="D768" s="42"/>
      <c r="E768" s="42" t="str">
        <f t="shared" ref="E768:F768" si="769">PROPER(B768)</f>
        <v>Samahang Magbubukid Ng Barangay Mesalipit</v>
      </c>
      <c r="F768" s="42" t="str">
        <f t="shared" si="769"/>
        <v>Mesalipit, Bacolor, Pampanga</v>
      </c>
      <c r="G768" s="42" t="str">
        <f t="shared" si="3"/>
        <v>Mesalipit</v>
      </c>
      <c r="H768" s="42" t="str">
        <f t="shared" si="4"/>
        <v>Bacolor</v>
      </c>
      <c r="I768" s="42" t="str">
        <f t="shared" si="5"/>
        <v>Pampanga</v>
      </c>
      <c r="J768" s="42" t="str">
        <f t="array" ref="J768">XLOOKUP($E768,'Recipients REF'!$B:$B,'Recipients REF'!D:D,"",0)</f>
        <v>REY D. NAGUIT</v>
      </c>
      <c r="K768" s="42" t="str">
        <f t="array" ref="K768">XLOOKUP($E768,'Recipients REF'!$B:$B,'Recipients REF'!E:E,"",0)</f>
        <v>0939-199-0546</v>
      </c>
      <c r="L768" s="43" t="str">
        <f t="array" ref="L768">XLOOKUP($A768,'Recipients REF'!$A:$A,'Recipients REF'!F:F,"",0)</f>
        <v>RCEF 25-03-05</v>
      </c>
      <c r="M768" s="43">
        <f t="array" ref="M768">XLOOKUP($A768,'Recipients REF'!$A:$A,'Recipients REF'!G:G,"",0)</f>
        <v>5</v>
      </c>
      <c r="N768" s="43" t="str">
        <f t="array" ref="N768">XLOOKUP($A768,'Recipients REF'!$A:$A,'Recipients REF'!H:H,"",0)</f>
        <v>26511 &amp; 27692</v>
      </c>
      <c r="O768" s="44" t="s">
        <v>25</v>
      </c>
      <c r="P768" s="45" t="s">
        <v>26</v>
      </c>
      <c r="Q768" s="46" t="str">
        <f t="array" ref="Q768">XLOOKUP($A768,'Recipients REF'!$A:$A,'Recipients REF'!I:I,"",0)</f>
        <v>KMC5825 AVSFPV0349</v>
      </c>
      <c r="R768" s="53" t="str">
        <f t="array" ref="R768">XLOOKUP($A768,'Recipients REF'!$A:$A,'Recipients REF'!J:J,"",0)</f>
        <v>STS100373</v>
      </c>
      <c r="S768" s="45" t="s">
        <v>27</v>
      </c>
      <c r="T768" s="45" t="s">
        <v>28</v>
      </c>
      <c r="U768" s="46" t="str">
        <f t="array" ref="U768">XLOOKUP($A768,'Recipients REF'!$A:$A,'Recipients REF'!K:K,"",0)</f>
        <v>R-SERIES 053PH</v>
      </c>
      <c r="V768" s="44" t="s">
        <v>29</v>
      </c>
      <c r="W768" s="45" t="s">
        <v>30</v>
      </c>
      <c r="X768" s="53" t="str">
        <f t="array" ref="X768">XLOOKUP($A768,'Recipients REF'!$A:$A,'Recipients REF'!L:L,"",0)</f>
        <v>25090536</v>
      </c>
      <c r="Y768" s="48" t="s">
        <v>29</v>
      </c>
      <c r="Z768" s="48" t="s">
        <v>31</v>
      </c>
      <c r="AA768" s="54" t="str">
        <f t="array" ref="AA768">XLOOKUP($A768,'Recipients REF'!$A:$A,'Recipients REF'!M:M,"",0)</f>
        <v>25091000</v>
      </c>
      <c r="AB768" s="49"/>
      <c r="AC768" s="42"/>
      <c r="AD768" s="42"/>
      <c r="AE768" s="55">
        <v>8.69066063803119E14</v>
      </c>
      <c r="AF768" s="56">
        <v>9.289409161E9</v>
      </c>
      <c r="AG768" s="56"/>
      <c r="AH768" s="42"/>
      <c r="AI768" s="42" t="str">
        <f t="array" ref="AI768">XLOOKUP($E768,Sheet11!$D:$D,Sheet11!$X:$X,"",0)</f>
        <v/>
      </c>
      <c r="AJ768" s="42" t="str">
        <f t="array" ref="AJ768">XLOOKUP($E768,Sheet11!$D:$D,Sheet11!$Y:$Y,"",0)</f>
        <v/>
      </c>
    </row>
    <row r="769">
      <c r="A769" s="41">
        <v>113.0</v>
      </c>
      <c r="B769" s="42" t="s">
        <v>1499</v>
      </c>
      <c r="C769" s="42" t="s">
        <v>1500</v>
      </c>
      <c r="D769" s="42"/>
      <c r="E769" s="42" t="str">
        <f t="shared" ref="E769:F769" si="770">PROPER(B769)</f>
        <v>Kadena Irrigators Association, Inc.</v>
      </c>
      <c r="F769" s="42" t="str">
        <f t="shared" si="770"/>
        <v>Paligui, Candaba, Pampanga</v>
      </c>
      <c r="G769" s="42" t="str">
        <f t="shared" si="3"/>
        <v>Paligui</v>
      </c>
      <c r="H769" s="42" t="str">
        <f t="shared" si="4"/>
        <v>Candaba</v>
      </c>
      <c r="I769" s="42" t="str">
        <f t="shared" si="5"/>
        <v>Pampanga</v>
      </c>
      <c r="J769" s="42" t="str">
        <f t="array" ref="J769">XLOOKUP($E769,'Recipients REF'!$B:$B,'Recipients REF'!D:D,"",0)</f>
        <v>GRACIANO R. MANIO</v>
      </c>
      <c r="K769" s="42" t="str">
        <f t="array" ref="K769">XLOOKUP($E769,'Recipients REF'!$B:$B,'Recipients REF'!E:E,"",0)</f>
        <v>0942-558-7043</v>
      </c>
      <c r="L769" s="43" t="str">
        <f t="array" ref="L769">XLOOKUP($A769,'Recipients REF'!$A:$A,'Recipients REF'!F:F,"",0)</f>
        <v>RCEF 23-09-21 Rebidding</v>
      </c>
      <c r="M769" s="43">
        <f t="array" ref="M769">XLOOKUP($A769,'Recipients REF'!$A:$A,'Recipients REF'!G:G,"",0)</f>
        <v>3</v>
      </c>
      <c r="N769" s="43">
        <f t="array" ref="N769">XLOOKUP($A769,'Recipients REF'!$A:$A,'Recipients REF'!H:H,"",0)</f>
        <v>17797</v>
      </c>
      <c r="O769" s="44" t="s">
        <v>25</v>
      </c>
      <c r="P769" s="45" t="s">
        <v>26</v>
      </c>
      <c r="Q769" s="46" t="str">
        <f t="array" ref="Q769">XLOOKUP($A769,'Recipients REF'!$A:$A,'Recipients REF'!I:I,"",0)</f>
        <v>KMC5825 ALPFPV0068</v>
      </c>
      <c r="R769" s="47" t="str">
        <f t="array" ref="R769">XLOOKUP($A769,'Recipients REF'!$A:$A,'Recipients REF'!J:J,"",0)</f>
        <v>PTS100160</v>
      </c>
      <c r="S769" s="45" t="s">
        <v>27</v>
      </c>
      <c r="T769" s="45" t="s">
        <v>28</v>
      </c>
      <c r="U769" s="46" t="str">
        <f t="array" ref="U769">XLOOKUP($A769,'Recipients REF'!$A:$A,'Recipients REF'!K:K,"",0)</f>
        <v>R-SERIES 032PH</v>
      </c>
      <c r="V769" s="44" t="s">
        <v>29</v>
      </c>
      <c r="W769" s="45" t="s">
        <v>30</v>
      </c>
      <c r="X769" s="47" t="str">
        <f t="array" ref="X769">XLOOKUP($A769,'Recipients REF'!$A:$A,'Recipients REF'!L:L,"",0)</f>
        <v>LSGW1750-RMP-2312043</v>
      </c>
      <c r="Y769" s="48" t="s">
        <v>29</v>
      </c>
      <c r="Z769" s="48" t="s">
        <v>31</v>
      </c>
      <c r="AA769" s="46" t="str">
        <f t="array" ref="AA769">XLOOKUP($A769,'Recipients REF'!$A:$A,'Recipients REF'!M:M,"",0)</f>
        <v>WDP40-RMP-2312047</v>
      </c>
      <c r="AB769" s="49"/>
      <c r="AC769" s="42"/>
      <c r="AD769" s="42"/>
      <c r="AE769" s="56">
        <v>8.69066060240414E14</v>
      </c>
      <c r="AF769" s="56" t="s">
        <v>1501</v>
      </c>
      <c r="AG769" s="42"/>
      <c r="AH769" s="42"/>
      <c r="AI769" s="42">
        <f t="array" ref="AI769">XLOOKUP($E769,Sheet11!$D:$D,Sheet11!$X:$X,"",0)</f>
        <v>869066060240414</v>
      </c>
      <c r="AJ769" s="42" t="str">
        <f t="array" ref="AJ769">XLOOKUP($E769,Sheet11!$D:$D,Sheet11!$Y:$Y,"",0)</f>
        <v>09694730729</v>
      </c>
    </row>
    <row r="770">
      <c r="A770" s="41">
        <v>592.0</v>
      </c>
      <c r="B770" s="42" t="s">
        <v>1502</v>
      </c>
      <c r="C770" s="42" t="s">
        <v>1503</v>
      </c>
      <c r="D770" s="42"/>
      <c r="E770" s="42" t="str">
        <f t="shared" ref="E770:F770" si="771">PROPER(B770)</f>
        <v>Vizal-San Pablo Irrigators Association, Inc.</v>
      </c>
      <c r="F770" s="42" t="str">
        <f t="shared" si="771"/>
        <v>Vizal San Pablo, Candaba, Pampanga</v>
      </c>
      <c r="G770" s="42" t="str">
        <f t="shared" si="3"/>
        <v>Vizal San Pablo</v>
      </c>
      <c r="H770" s="42" t="str">
        <f t="shared" si="4"/>
        <v>Candaba</v>
      </c>
      <c r="I770" s="42" t="str">
        <f t="shared" si="5"/>
        <v>Pampanga</v>
      </c>
      <c r="J770" s="42" t="str">
        <f t="array" ref="J770">XLOOKUP($E770,'Recipients REF'!$B:$B,'Recipients REF'!D:D,"",0)</f>
        <v>EDGARDO DG. CAO</v>
      </c>
      <c r="K770" s="42" t="str">
        <f t="array" ref="K770">XLOOKUP($E770,'Recipients REF'!$B:$B,'Recipients REF'!E:E,"",0)</f>
        <v>0916-658-9877</v>
      </c>
      <c r="L770" s="43" t="str">
        <f t="array" ref="L770">XLOOKUP($A770,'Recipients REF'!$A:$A,'Recipients REF'!F:F,"",0)</f>
        <v>RCEF 24-04-15</v>
      </c>
      <c r="M770" s="43">
        <f t="array" ref="M770">XLOOKUP($A770,'Recipients REF'!$A:$A,'Recipients REF'!G:G,"",0)</f>
        <v>6</v>
      </c>
      <c r="N770" s="43">
        <f t="array" ref="N770">XLOOKUP($A770,'Recipients REF'!$A:$A,'Recipients REF'!H:H,"",0)</f>
        <v>22345</v>
      </c>
      <c r="O770" s="44" t="s">
        <v>25</v>
      </c>
      <c r="P770" s="45" t="s">
        <v>26</v>
      </c>
      <c r="Q770" s="46" t="str">
        <f t="array" ref="Q770">XLOOKUP($A770,'Recipients REF'!$A:$A,'Recipients REF'!I:I,"",0)</f>
        <v>KMC5825AERFPV0917</v>
      </c>
      <c r="R770" s="47" t="str">
        <f t="array" ref="R770">XLOOKUP($A770,'Recipients REF'!$A:$A,'Recipients REF'!J:J,"",0)</f>
        <v>RTS100806</v>
      </c>
      <c r="S770" s="45" t="s">
        <v>27</v>
      </c>
      <c r="T770" s="45" t="s">
        <v>28</v>
      </c>
      <c r="U770" s="46" t="str">
        <f t="array" ref="U770">XLOOKUP($A770,'Recipients REF'!$A:$A,'Recipients REF'!K:K,"",0)</f>
        <v>LSGW170-RMP-24101059</v>
      </c>
      <c r="V770" s="44" t="s">
        <v>29</v>
      </c>
      <c r="W770" s="45" t="s">
        <v>30</v>
      </c>
      <c r="X770" s="47" t="str">
        <f t="array" ref="X770">XLOOKUP($A770,'Recipients REF'!$A:$A,'Recipients REF'!L:L,"",0)</f>
        <v>WDP40-RMP-24111413</v>
      </c>
      <c r="Y770" s="48" t="s">
        <v>29</v>
      </c>
      <c r="Z770" s="48" t="s">
        <v>31</v>
      </c>
      <c r="AA770" s="46" t="str">
        <f t="array" ref="AA770">XLOOKUP($A770,'Recipients REF'!$A:$A,'Recipients REF'!M:M,"",0)</f>
        <v>WR-SERIES-1093PH</v>
      </c>
      <c r="AB770" s="49"/>
      <c r="AC770" s="42"/>
      <c r="AD770" s="42"/>
      <c r="AE770" s="50"/>
      <c r="AF770" s="42"/>
      <c r="AG770" s="42"/>
      <c r="AH770" s="42"/>
      <c r="AI770" s="42" t="str">
        <f t="array" ref="AI770">XLOOKUP($E770,Sheet11!$D:$D,Sheet11!$X:$X,"",0)</f>
        <v/>
      </c>
      <c r="AJ770" s="42" t="str">
        <f t="array" ref="AJ770">XLOOKUP($E770,Sheet11!$D:$D,Sheet11!$Y:$Y,"",0)</f>
        <v/>
      </c>
    </row>
    <row r="771">
      <c r="A771" s="41">
        <v>699.0</v>
      </c>
      <c r="B771" s="42" t="s">
        <v>1504</v>
      </c>
      <c r="C771" s="42" t="s">
        <v>1505</v>
      </c>
      <c r="D771" s="42"/>
      <c r="E771" s="42" t="str">
        <f t="shared" ref="E771:F771" si="772">PROPER(B771)</f>
        <v>Rosarians Arbs And Farmers Association Inc.</v>
      </c>
      <c r="F771" s="42" t="str">
        <f t="shared" si="772"/>
        <v>Sto. Rosario, Candaba, Pampanga</v>
      </c>
      <c r="G771" s="42" t="str">
        <f t="shared" si="3"/>
        <v>Sto. Rosario</v>
      </c>
      <c r="H771" s="42" t="str">
        <f t="shared" si="4"/>
        <v>Candaba</v>
      </c>
      <c r="I771" s="42" t="str">
        <f t="shared" si="5"/>
        <v>Pampanga</v>
      </c>
      <c r="J771" s="42" t="str">
        <f t="array" ref="J771">XLOOKUP($E771,'Recipients REF'!$B:$B,'Recipients REF'!D:D,"",0)</f>
        <v>Rolando S. Carreon</v>
      </c>
      <c r="K771" s="42" t="str">
        <f t="array" ref="K771">XLOOKUP($E771,'Recipients REF'!$B:$B,'Recipients REF'!E:E,"",0)</f>
        <v>0905-946-4452</v>
      </c>
      <c r="L771" s="43" t="str">
        <f t="array" ref="L771">XLOOKUP($A771,'Recipients REF'!$A:$A,'Recipients REF'!F:F,"",0)</f>
        <v>RCEF 25-03-05</v>
      </c>
      <c r="M771" s="43">
        <f t="array" ref="M771">XLOOKUP($A771,'Recipients REF'!$A:$A,'Recipients REF'!G:G,"",0)</f>
        <v>5</v>
      </c>
      <c r="N771" s="43" t="str">
        <f t="array" ref="N771">XLOOKUP($A771,'Recipients REF'!$A:$A,'Recipients REF'!H:H,"",0)</f>
        <v>26516 &amp; 27697</v>
      </c>
      <c r="O771" s="44" t="s">
        <v>25</v>
      </c>
      <c r="P771" s="45" t="s">
        <v>26</v>
      </c>
      <c r="Q771" s="46" t="str">
        <f t="array" ref="Q771">XLOOKUP($A771,'Recipients REF'!$A:$A,'Recipients REF'!I:I,"",0)</f>
        <v>KMC5825 AASFPV0238</v>
      </c>
      <c r="R771" s="53" t="str">
        <f t="array" ref="R771">XLOOKUP($A771,'Recipients REF'!$A:$A,'Recipients REF'!J:J,"",0)</f>
        <v>STS100251</v>
      </c>
      <c r="S771" s="45" t="s">
        <v>27</v>
      </c>
      <c r="T771" s="45" t="s">
        <v>28</v>
      </c>
      <c r="U771" s="46" t="str">
        <f t="array" ref="U771">XLOOKUP($A771,'Recipients REF'!$A:$A,'Recipients REF'!K:K,"",0)</f>
        <v>WR-SERIES 055</v>
      </c>
      <c r="V771" s="44" t="s">
        <v>29</v>
      </c>
      <c r="W771" s="45" t="s">
        <v>30</v>
      </c>
      <c r="X771" s="53" t="str">
        <f t="array" ref="X771">XLOOKUP($A771,'Recipients REF'!$A:$A,'Recipients REF'!L:L,"",0)</f>
        <v>25080348</v>
      </c>
      <c r="Y771" s="48" t="s">
        <v>29</v>
      </c>
      <c r="Z771" s="48" t="s">
        <v>31</v>
      </c>
      <c r="AA771" s="54" t="str">
        <f t="array" ref="AA771">XLOOKUP($A771,'Recipients REF'!$A:$A,'Recipients REF'!M:M,"",0)</f>
        <v>25090971</v>
      </c>
      <c r="AB771" s="49"/>
      <c r="AC771" s="42"/>
      <c r="AD771" s="42"/>
      <c r="AE771" s="55">
        <v>8.6906606378398E14</v>
      </c>
      <c r="AF771" s="56" t="s">
        <v>1506</v>
      </c>
      <c r="AG771" s="42"/>
      <c r="AH771" s="42"/>
      <c r="AI771" s="42" t="str">
        <f t="array" ref="AI771">XLOOKUP($E771,Sheet11!$D:$D,Sheet11!$X:$X,"",0)</f>
        <v/>
      </c>
      <c r="AJ771" s="42" t="str">
        <f t="array" ref="AJ771">XLOOKUP($E771,Sheet11!$D:$D,Sheet11!$Y:$Y,"",0)</f>
        <v/>
      </c>
    </row>
    <row r="772">
      <c r="A772" s="41">
        <v>700.0</v>
      </c>
      <c r="B772" s="42" t="s">
        <v>1507</v>
      </c>
      <c r="C772" s="42" t="s">
        <v>1508</v>
      </c>
      <c r="D772" s="42"/>
      <c r="E772" s="42" t="str">
        <f t="shared" ref="E772:F772" si="773">PROPER(B772)</f>
        <v>Barit Farmers Irrigators Association Of Candaba Inc.</v>
      </c>
      <c r="F772" s="42" t="str">
        <f t="shared" si="773"/>
        <v>Barit, Candaba, Pampanga</v>
      </c>
      <c r="G772" s="42" t="str">
        <f t="shared" si="3"/>
        <v>Barit</v>
      </c>
      <c r="H772" s="42" t="str">
        <f t="shared" si="4"/>
        <v>Candaba</v>
      </c>
      <c r="I772" s="42" t="str">
        <f t="shared" si="5"/>
        <v>Pampanga</v>
      </c>
      <c r="J772" s="42" t="str">
        <f t="array" ref="J772">XLOOKUP($E772,'Recipients REF'!$B:$B,'Recipients REF'!D:D,"",0)</f>
        <v>GUILLERMO MANGALUS</v>
      </c>
      <c r="K772" s="42" t="str">
        <f t="array" ref="K772">XLOOKUP($E772,'Recipients REF'!$B:$B,'Recipients REF'!E:E,"",0)</f>
        <v>0915-893-6843</v>
      </c>
      <c r="L772" s="43" t="str">
        <f t="array" ref="L772">XLOOKUP($A772,'Recipients REF'!$A:$A,'Recipients REF'!F:F,"",0)</f>
        <v>RCEF 25-03-05</v>
      </c>
      <c r="M772" s="43">
        <f t="array" ref="M772">XLOOKUP($A772,'Recipients REF'!$A:$A,'Recipients REF'!G:G,"",0)</f>
        <v>5</v>
      </c>
      <c r="N772" s="43" t="str">
        <f t="array" ref="N772">XLOOKUP($A772,'Recipients REF'!$A:$A,'Recipients REF'!H:H,"",0)</f>
        <v>26517 &amp; 27698</v>
      </c>
      <c r="O772" s="44" t="s">
        <v>25</v>
      </c>
      <c r="P772" s="45" t="s">
        <v>26</v>
      </c>
      <c r="Q772" s="46" t="str">
        <f t="array" ref="Q772">XLOOKUP($A772,'Recipients REF'!$A:$A,'Recipients REF'!I:I,"",0)</f>
        <v>KMC5825 ATSFPV0196</v>
      </c>
      <c r="R772" s="53" t="str">
        <f t="array" ref="R772">XLOOKUP($A772,'Recipients REF'!$A:$A,'Recipients REF'!J:J,"",0)</f>
        <v>STS100233</v>
      </c>
      <c r="S772" s="45" t="s">
        <v>27</v>
      </c>
      <c r="T772" s="45" t="s">
        <v>28</v>
      </c>
      <c r="U772" s="46" t="str">
        <f t="array" ref="U772">XLOOKUP($A772,'Recipients REF'!$A:$A,'Recipients REF'!K:K,"",0)</f>
        <v>WR-SERIES 144</v>
      </c>
      <c r="V772" s="44" t="s">
        <v>29</v>
      </c>
      <c r="W772" s="45" t="s">
        <v>30</v>
      </c>
      <c r="X772" s="53" t="str">
        <f t="array" ref="X772">XLOOKUP($A772,'Recipients REF'!$A:$A,'Recipients REF'!L:L,"",0)</f>
        <v>25090616</v>
      </c>
      <c r="Y772" s="48" t="s">
        <v>29</v>
      </c>
      <c r="Z772" s="48" t="s">
        <v>31</v>
      </c>
      <c r="AA772" s="54" t="str">
        <f t="array" ref="AA772">XLOOKUP($A772,'Recipients REF'!$A:$A,'Recipients REF'!M:M,"",0)</f>
        <v>25090974</v>
      </c>
      <c r="AB772" s="49"/>
      <c r="AC772" s="42"/>
      <c r="AD772" s="42"/>
      <c r="AE772" s="56">
        <v>8.69066063772231E14</v>
      </c>
      <c r="AF772" s="56">
        <v>4.25230021017847E15</v>
      </c>
      <c r="AG772" s="42"/>
      <c r="AH772" s="42"/>
      <c r="AI772" s="42" t="str">
        <f t="array" ref="AI772">XLOOKUP($E772,Sheet11!$D:$D,Sheet11!$X:$X,"",0)</f>
        <v/>
      </c>
      <c r="AJ772" s="42" t="str">
        <f t="array" ref="AJ772">XLOOKUP($E772,Sheet11!$D:$D,Sheet11!$Y:$Y,"",0)</f>
        <v/>
      </c>
    </row>
    <row r="773">
      <c r="A773" s="41">
        <v>701.0</v>
      </c>
      <c r="B773" s="42" t="s">
        <v>1509</v>
      </c>
      <c r="C773" s="42" t="s">
        <v>1510</v>
      </c>
      <c r="D773" s="42"/>
      <c r="E773" s="42" t="str">
        <f t="shared" ref="E773:F773" si="774">PROPER(B773)</f>
        <v>Candaba Marketing Cooperative</v>
      </c>
      <c r="F773" s="42" t="str">
        <f t="shared" si="774"/>
        <v>Pasig, Candaba, Pampanga</v>
      </c>
      <c r="G773" s="42" t="str">
        <f t="shared" si="3"/>
        <v>Pasig</v>
      </c>
      <c r="H773" s="42" t="str">
        <f t="shared" si="4"/>
        <v>Candaba</v>
      </c>
      <c r="I773" s="42" t="str">
        <f t="shared" si="5"/>
        <v>Pampanga</v>
      </c>
      <c r="J773" s="42" t="str">
        <f t="array" ref="J773">XLOOKUP($E773,'Recipients REF'!$B:$B,'Recipients REF'!D:D,"",0)</f>
        <v>NORIE C. LUGTU</v>
      </c>
      <c r="K773" s="42" t="str">
        <f t="array" ref="K773">XLOOKUP($E773,'Recipients REF'!$B:$B,'Recipients REF'!E:E,"",0)</f>
        <v>0968-854-1348</v>
      </c>
      <c r="L773" s="43" t="str">
        <f t="array" ref="L773">XLOOKUP($A773,'Recipients REF'!$A:$A,'Recipients REF'!F:F,"",0)</f>
        <v>RCEF 25-03-05</v>
      </c>
      <c r="M773" s="43">
        <f t="array" ref="M773">XLOOKUP($A773,'Recipients REF'!$A:$A,'Recipients REF'!G:G,"",0)</f>
        <v>5</v>
      </c>
      <c r="N773" s="43" t="str">
        <f t="array" ref="N773">XLOOKUP($A773,'Recipients REF'!$A:$A,'Recipients REF'!H:H,"",0)</f>
        <v>26518 &amp; 27699</v>
      </c>
      <c r="O773" s="44" t="s">
        <v>25</v>
      </c>
      <c r="P773" s="45" t="s">
        <v>26</v>
      </c>
      <c r="Q773" s="46" t="str">
        <f t="array" ref="Q773">XLOOKUP($A773,'Recipients REF'!$A:$A,'Recipients REF'!I:I,"",0)</f>
        <v>KMC5825 AVSFPV0285</v>
      </c>
      <c r="R773" s="53" t="str">
        <f t="array" ref="R773">XLOOKUP($A773,'Recipients REF'!$A:$A,'Recipients REF'!J:J,"",0)</f>
        <v>STS100306</v>
      </c>
      <c r="S773" s="45" t="s">
        <v>27</v>
      </c>
      <c r="T773" s="45" t="s">
        <v>28</v>
      </c>
      <c r="U773" s="46" t="str">
        <f t="array" ref="U773">XLOOKUP($A773,'Recipients REF'!$A:$A,'Recipients REF'!K:K,"",0)</f>
        <v>WR-SERIES 243</v>
      </c>
      <c r="V773" s="44" t="s">
        <v>29</v>
      </c>
      <c r="W773" s="45" t="s">
        <v>30</v>
      </c>
      <c r="X773" s="53" t="str">
        <f t="array" ref="X773">XLOOKUP($A773,'Recipients REF'!$A:$A,'Recipients REF'!L:L,"",0)</f>
        <v>25080305</v>
      </c>
      <c r="Y773" s="48" t="s">
        <v>29</v>
      </c>
      <c r="Z773" s="48" t="s">
        <v>31</v>
      </c>
      <c r="AA773" s="54" t="str">
        <f t="array" ref="AA773">XLOOKUP($A773,'Recipients REF'!$A:$A,'Recipients REF'!M:M,"",0)</f>
        <v>25090990</v>
      </c>
      <c r="AB773" s="49"/>
      <c r="AC773" s="42"/>
      <c r="AD773" s="42"/>
      <c r="AE773" s="50"/>
      <c r="AF773" s="42"/>
      <c r="AG773" s="42"/>
      <c r="AH773" s="42"/>
      <c r="AI773" s="42" t="str">
        <f t="array" ref="AI773">XLOOKUP($E773,Sheet11!$D:$D,Sheet11!$X:$X,"",0)</f>
        <v/>
      </c>
      <c r="AJ773" s="42" t="str">
        <f t="array" ref="AJ773">XLOOKUP($E773,Sheet11!$D:$D,Sheet11!$Y:$Y,"",0)</f>
        <v/>
      </c>
    </row>
    <row r="774">
      <c r="A774" s="41">
        <v>702.0</v>
      </c>
      <c r="B774" s="42" t="s">
        <v>1511</v>
      </c>
      <c r="C774" s="42" t="s">
        <v>1512</v>
      </c>
      <c r="D774" s="42"/>
      <c r="E774" s="42" t="str">
        <f t="shared" ref="E774:F774" si="775">PROPER(B774)</f>
        <v>Virgen Farmers Irrigators Association, Inc.</v>
      </c>
      <c r="F774" s="42" t="str">
        <f t="shared" si="775"/>
        <v>Paralaya (Pob.), Candaba, Pampanga</v>
      </c>
      <c r="G774" s="42" t="str">
        <f t="shared" si="3"/>
        <v>Paralaya (Pob.)</v>
      </c>
      <c r="H774" s="42" t="str">
        <f t="shared" si="4"/>
        <v>Candaba</v>
      </c>
      <c r="I774" s="42" t="str">
        <f t="shared" si="5"/>
        <v>Pampanga</v>
      </c>
      <c r="J774" s="42" t="str">
        <f t="array" ref="J774">XLOOKUP($E774,'Recipients REF'!$B:$B,'Recipients REF'!D:D,"",0)</f>
        <v>MAMERTO GUEVARRA</v>
      </c>
      <c r="K774" s="42" t="str">
        <f t="array" ref="K774">XLOOKUP($E774,'Recipients REF'!$B:$B,'Recipients REF'!E:E,"",0)</f>
        <v>0916-607-6246</v>
      </c>
      <c r="L774" s="43" t="str">
        <f t="array" ref="L774">XLOOKUP($A774,'Recipients REF'!$A:$A,'Recipients REF'!F:F,"",0)</f>
        <v>RCEF 25-03-05</v>
      </c>
      <c r="M774" s="43">
        <f t="array" ref="M774">XLOOKUP($A774,'Recipients REF'!$A:$A,'Recipients REF'!G:G,"",0)</f>
        <v>5</v>
      </c>
      <c r="N774" s="43" t="str">
        <f t="array" ref="N774">XLOOKUP($A774,'Recipients REF'!$A:$A,'Recipients REF'!H:H,"",0)</f>
        <v>26519 &amp; 27700</v>
      </c>
      <c r="O774" s="44" t="s">
        <v>25</v>
      </c>
      <c r="P774" s="45" t="s">
        <v>26</v>
      </c>
      <c r="Q774" s="46" t="str">
        <f t="array" ref="Q774">XLOOKUP($A774,'Recipients REF'!$A:$A,'Recipients REF'!I:I,"",0)</f>
        <v>KMC5825 AHSFPV0386</v>
      </c>
      <c r="R774" s="53" t="str">
        <f t="array" ref="R774">XLOOKUP($A774,'Recipients REF'!$A:$A,'Recipients REF'!J:J,"",0)</f>
        <v>STS100460</v>
      </c>
      <c r="S774" s="45" t="s">
        <v>27</v>
      </c>
      <c r="T774" s="45" t="s">
        <v>28</v>
      </c>
      <c r="U774" s="46" t="str">
        <f t="array" ref="U774">XLOOKUP($A774,'Recipients REF'!$A:$A,'Recipients REF'!K:K,"",0)</f>
        <v>WR-SERIES 123</v>
      </c>
      <c r="V774" s="44" t="s">
        <v>29</v>
      </c>
      <c r="W774" s="45" t="s">
        <v>30</v>
      </c>
      <c r="X774" s="53" t="str">
        <f t="array" ref="X774">XLOOKUP($A774,'Recipients REF'!$A:$A,'Recipients REF'!L:L,"",0)</f>
        <v>25080827</v>
      </c>
      <c r="Y774" s="48" t="s">
        <v>29</v>
      </c>
      <c r="Z774" s="48" t="s">
        <v>31</v>
      </c>
      <c r="AA774" s="54" t="str">
        <f t="array" ref="AA774">XLOOKUP($A774,'Recipients REF'!$A:$A,'Recipients REF'!M:M,"",0)</f>
        <v>25080827</v>
      </c>
      <c r="AB774" s="49"/>
      <c r="AC774" s="42"/>
      <c r="AD774" s="42"/>
      <c r="AE774" s="55">
        <v>8.69066063764154E14</v>
      </c>
      <c r="AF774" s="56" t="s">
        <v>1513</v>
      </c>
      <c r="AG774" s="42"/>
      <c r="AH774" s="42"/>
      <c r="AI774" s="42" t="str">
        <f t="array" ref="AI774">XLOOKUP($E774,Sheet11!$D:$D,Sheet11!$X:$X,"",0)</f>
        <v/>
      </c>
      <c r="AJ774" s="42" t="str">
        <f t="array" ref="AJ774">XLOOKUP($E774,Sheet11!$D:$D,Sheet11!$Y:$Y,"",0)</f>
        <v/>
      </c>
    </row>
    <row r="775">
      <c r="A775" s="41">
        <v>703.0</v>
      </c>
      <c r="B775" s="42" t="s">
        <v>1514</v>
      </c>
      <c r="C775" s="42" t="s">
        <v>1515</v>
      </c>
      <c r="D775" s="42"/>
      <c r="E775" s="42" t="str">
        <f t="shared" ref="E775:F775" si="776">PROPER(B775)</f>
        <v>Vizal Sto. Niño Rice And Livestock Farmers Association</v>
      </c>
      <c r="F775" s="42" t="str">
        <f t="shared" si="776"/>
        <v>Vizal Santo Niño, Candaba, Pampanga</v>
      </c>
      <c r="G775" s="42" t="str">
        <f t="shared" si="3"/>
        <v>Vizal Santo Niño</v>
      </c>
      <c r="H775" s="42" t="str">
        <f t="shared" si="4"/>
        <v>Candaba</v>
      </c>
      <c r="I775" s="42" t="str">
        <f t="shared" si="5"/>
        <v>Pampanga</v>
      </c>
      <c r="J775" s="42" t="str">
        <f t="array" ref="J775">XLOOKUP($E775,'Recipients REF'!$B:$B,'Recipients REF'!D:D,"",0)</f>
        <v>CLARA S. ORTEGA</v>
      </c>
      <c r="K775" s="42" t="str">
        <f t="array" ref="K775">XLOOKUP($E775,'Recipients REF'!$B:$B,'Recipients REF'!E:E,"",0)</f>
        <v>0922-557-0218</v>
      </c>
      <c r="L775" s="43" t="str">
        <f t="array" ref="L775">XLOOKUP($A775,'Recipients REF'!$A:$A,'Recipients REF'!F:F,"",0)</f>
        <v>RCEF 25-03-05</v>
      </c>
      <c r="M775" s="43">
        <f t="array" ref="M775">XLOOKUP($A775,'Recipients REF'!$A:$A,'Recipients REF'!G:G,"",0)</f>
        <v>5</v>
      </c>
      <c r="N775" s="43" t="str">
        <f t="array" ref="N775">XLOOKUP($A775,'Recipients REF'!$A:$A,'Recipients REF'!H:H,"",0)</f>
        <v>26520 &amp; 27701</v>
      </c>
      <c r="O775" s="44" t="s">
        <v>25</v>
      </c>
      <c r="P775" s="45" t="s">
        <v>26</v>
      </c>
      <c r="Q775" s="46" t="str">
        <f t="array" ref="Q775">XLOOKUP($A775,'Recipients REF'!$A:$A,'Recipients REF'!I:I,"",0)</f>
        <v>KMC5825 ACSFPV0200</v>
      </c>
      <c r="R775" s="53" t="str">
        <f t="array" ref="R775">XLOOKUP($A775,'Recipients REF'!$A:$A,'Recipients REF'!J:J,"",0)</f>
        <v>STS100235</v>
      </c>
      <c r="S775" s="45" t="s">
        <v>27</v>
      </c>
      <c r="T775" s="45" t="s">
        <v>28</v>
      </c>
      <c r="U775" s="46" t="str">
        <f t="array" ref="U775">XLOOKUP($A775,'Recipients REF'!$A:$A,'Recipients REF'!K:K,"",0)</f>
        <v>WR-SERIES 061</v>
      </c>
      <c r="V775" s="44" t="s">
        <v>29</v>
      </c>
      <c r="W775" s="45" t="s">
        <v>30</v>
      </c>
      <c r="X775" s="53" t="str">
        <f t="array" ref="X775">XLOOKUP($A775,'Recipients REF'!$A:$A,'Recipients REF'!L:L,"",0)</f>
        <v>25090537</v>
      </c>
      <c r="Y775" s="48" t="s">
        <v>29</v>
      </c>
      <c r="Z775" s="48" t="s">
        <v>31</v>
      </c>
      <c r="AA775" s="54" t="str">
        <f t="array" ref="AA775">XLOOKUP($A775,'Recipients REF'!$A:$A,'Recipients REF'!M:M,"",0)</f>
        <v>25090983</v>
      </c>
      <c r="AB775" s="49"/>
      <c r="AC775" s="42"/>
      <c r="AD775" s="42"/>
      <c r="AE775" s="55">
        <v>8.69066063761374E14</v>
      </c>
      <c r="AF775" s="56" t="s">
        <v>1516</v>
      </c>
      <c r="AG775" s="42"/>
      <c r="AH775" s="42"/>
      <c r="AI775" s="42" t="str">
        <f t="array" ref="AI775">XLOOKUP($E775,Sheet11!$D:$D,Sheet11!$X:$X,"",0)</f>
        <v/>
      </c>
      <c r="AJ775" s="42" t="str">
        <f t="array" ref="AJ775">XLOOKUP($E775,Sheet11!$D:$D,Sheet11!$Y:$Y,"",0)</f>
        <v/>
      </c>
    </row>
    <row r="776">
      <c r="A776" s="41">
        <v>635.0</v>
      </c>
      <c r="B776" s="42" t="s">
        <v>1517</v>
      </c>
      <c r="C776" s="42" t="s">
        <v>1518</v>
      </c>
      <c r="D776" s="42"/>
      <c r="E776" s="42" t="str">
        <f t="shared" ref="E776:F776" si="777">PROPER(B776)</f>
        <v>Provincial Local Government Unit Of Pampanga</v>
      </c>
      <c r="F776" s="42" t="str">
        <f t="shared" si="777"/>
        <v>, City Of San Fernando, Pampanga</v>
      </c>
      <c r="G776" s="42" t="str">
        <f t="shared" si="3"/>
        <v/>
      </c>
      <c r="H776" s="42" t="str">
        <f t="shared" si="4"/>
        <v>City Of San Fernando</v>
      </c>
      <c r="I776" s="42" t="str">
        <f t="shared" si="5"/>
        <v>Pampanga</v>
      </c>
      <c r="J776" s="42" t="str">
        <f t="array" ref="J776">XLOOKUP($E776,'Recipients REF'!$B:$B,'Recipients REF'!D:D,"",0)</f>
        <v>DENNIS G. PINEDA</v>
      </c>
      <c r="K776" s="42" t="str">
        <f t="array" ref="K776">XLOOKUP($E776,'Recipients REF'!$B:$B,'Recipients REF'!E:E,"",0)</f>
        <v>0919-424-4737</v>
      </c>
      <c r="L776" s="43" t="str">
        <f t="array" ref="L776">XLOOKUP($A776,'Recipients REF'!$A:$A,'Recipients REF'!F:F,"",0)</f>
        <v>RCEF 25-03-05</v>
      </c>
      <c r="M776" s="43">
        <f t="array" ref="M776">XLOOKUP($A776,'Recipients REF'!$A:$A,'Recipients REF'!G:G,"",0)</f>
        <v>5</v>
      </c>
      <c r="N776" s="43" t="str">
        <f t="array" ref="N776">XLOOKUP($A776,'Recipients REF'!$A:$A,'Recipients REF'!H:H,"",0)</f>
        <v>26225 &amp; 27666</v>
      </c>
      <c r="O776" s="44" t="s">
        <v>25</v>
      </c>
      <c r="P776" s="45" t="s">
        <v>26</v>
      </c>
      <c r="Q776" s="46" t="str">
        <f t="array" ref="Q776">XLOOKUP($A776,'Recipients REF'!$A:$A,'Recipients REF'!I:I,"",0)</f>
        <v>KMC5825 ACSFPV0603</v>
      </c>
      <c r="R776" s="53" t="str">
        <f t="array" ref="R776">XLOOKUP($A776,'Recipients REF'!$A:$A,'Recipients REF'!J:J,"",0)</f>
        <v>STS100648</v>
      </c>
      <c r="S776" s="45" t="s">
        <v>27</v>
      </c>
      <c r="T776" s="45" t="s">
        <v>28</v>
      </c>
      <c r="U776" s="46" t="str">
        <f t="array" ref="U776">XLOOKUP($A776,'Recipients REF'!$A:$A,'Recipients REF'!K:K,"",0)</f>
        <v>R-SERIES 1034PH</v>
      </c>
      <c r="V776" s="44" t="s">
        <v>29</v>
      </c>
      <c r="W776" s="45" t="s">
        <v>30</v>
      </c>
      <c r="X776" s="53" t="str">
        <f t="array" ref="X776">XLOOKUP($A776,'Recipients REF'!$A:$A,'Recipients REF'!L:L,"",0)</f>
        <v>25080342</v>
      </c>
      <c r="Y776" s="48" t="s">
        <v>29</v>
      </c>
      <c r="Z776" s="48" t="s">
        <v>31</v>
      </c>
      <c r="AA776" s="54" t="str">
        <f t="array" ref="AA776">XLOOKUP($A776,'Recipients REF'!$A:$A,'Recipients REF'!M:M,"",0)</f>
        <v>25101224</v>
      </c>
      <c r="AB776" s="49"/>
      <c r="AC776" s="42"/>
      <c r="AD776" s="42"/>
      <c r="AE776" s="50"/>
      <c r="AF776" s="42"/>
      <c r="AG776" s="42"/>
      <c r="AH776" s="42"/>
      <c r="AI776" s="42">
        <f t="array" ref="AI776">XLOOKUP($E776,Sheet11!$D:$D,Sheet11!$X:$X,"",0)</f>
        <v>869066060241198</v>
      </c>
      <c r="AJ776" s="42" t="str">
        <f t="array" ref="AJ776">XLOOKUP($E776,Sheet11!$D:$D,Sheet11!$Y:$Y,"",0)</f>
        <v>09690315942</v>
      </c>
    </row>
    <row r="777">
      <c r="A777" s="41">
        <v>99.0</v>
      </c>
      <c r="B777" s="42" t="s">
        <v>1519</v>
      </c>
      <c r="C777" s="42" t="s">
        <v>1520</v>
      </c>
      <c r="D777" s="42"/>
      <c r="E777" s="42" t="str">
        <f t="shared" ref="E777:F777" si="778">PROPER(B777)</f>
        <v>Farmers Association Of San Jose Mabangkuang Inc.</v>
      </c>
      <c r="F777" s="42" t="str">
        <f t="shared" si="778"/>
        <v>San Jose, Floridablanca, Pampanga</v>
      </c>
      <c r="G777" s="42" t="str">
        <f t="shared" si="3"/>
        <v>San Jose</v>
      </c>
      <c r="H777" s="42" t="str">
        <f t="shared" si="4"/>
        <v>Floridablanca</v>
      </c>
      <c r="I777" s="42" t="str">
        <f t="shared" si="5"/>
        <v>Pampanga</v>
      </c>
      <c r="J777" s="42" t="str">
        <f t="array" ref="J777">XLOOKUP($E777,'Recipients REF'!$B:$B,'Recipients REF'!D:D,"",0)</f>
        <v>REMIGIO S. ICBAN</v>
      </c>
      <c r="K777" s="42" t="str">
        <f t="array" ref="K777">XLOOKUP($E777,'Recipients REF'!$B:$B,'Recipients REF'!E:E,"",0)</f>
        <v>0910-659-5825</v>
      </c>
      <c r="L777" s="43" t="str">
        <f t="array" ref="L777">XLOOKUP($A777,'Recipients REF'!$A:$A,'Recipients REF'!F:F,"",0)</f>
        <v>RCEF 23-09-21 Rebidding</v>
      </c>
      <c r="M777" s="43">
        <f t="array" ref="M777">XLOOKUP($A777,'Recipients REF'!$A:$A,'Recipients REF'!G:G,"",0)</f>
        <v>3</v>
      </c>
      <c r="N777" s="43">
        <f t="array" ref="N777">XLOOKUP($A777,'Recipients REF'!$A:$A,'Recipients REF'!H:H,"",0)</f>
        <v>17783</v>
      </c>
      <c r="O777" s="44" t="s">
        <v>25</v>
      </c>
      <c r="P777" s="45" t="s">
        <v>26</v>
      </c>
      <c r="Q777" s="46" t="str">
        <f t="array" ref="Q777">XLOOKUP($A777,'Recipients REF'!$A:$A,'Recipients REF'!I:I,"",0)</f>
        <v>KMC5825 ALPFPV0071</v>
      </c>
      <c r="R777" s="47" t="str">
        <f t="array" ref="R777">XLOOKUP($A777,'Recipients REF'!$A:$A,'Recipients REF'!J:J,"",0)</f>
        <v>PTS100082</v>
      </c>
      <c r="S777" s="45" t="s">
        <v>27</v>
      </c>
      <c r="T777" s="45" t="s">
        <v>28</v>
      </c>
      <c r="U777" s="46" t="str">
        <f t="array" ref="U777">XLOOKUP($A777,'Recipients REF'!$A:$A,'Recipients REF'!K:K,"",0)</f>
        <v>R-SERIES 097PH</v>
      </c>
      <c r="V777" s="44" t="s">
        <v>29</v>
      </c>
      <c r="W777" s="45" t="s">
        <v>30</v>
      </c>
      <c r="X777" s="47" t="str">
        <f t="array" ref="X777">XLOOKUP($A777,'Recipients REF'!$A:$A,'Recipients REF'!L:L,"",0)</f>
        <v>LSGW1750-RMP-2312029</v>
      </c>
      <c r="Y777" s="48" t="s">
        <v>29</v>
      </c>
      <c r="Z777" s="48" t="s">
        <v>31</v>
      </c>
      <c r="AA777" s="46" t="str">
        <f t="array" ref="AA777">XLOOKUP($A777,'Recipients REF'!$A:$A,'Recipients REF'!M:M,"",0)</f>
        <v>WDP40-RMP-2312014</v>
      </c>
      <c r="AB777" s="49"/>
      <c r="AC777" s="42"/>
      <c r="AD777" s="42"/>
      <c r="AE777" s="50"/>
      <c r="AF777" s="42"/>
      <c r="AG777" s="42"/>
      <c r="AH777" s="42"/>
      <c r="AI777" s="42">
        <f t="array" ref="AI777">XLOOKUP($E777,Sheet11!$D:$D,Sheet11!$X:$X,"",0)</f>
        <v>869066060243384</v>
      </c>
      <c r="AJ777" s="42" t="str">
        <f t="array" ref="AJ777">XLOOKUP($E777,Sheet11!$D:$D,Sheet11!$Y:$Y,"",0)</f>
        <v>09690294643</v>
      </c>
    </row>
    <row r="778">
      <c r="A778" s="41">
        <v>681.0</v>
      </c>
      <c r="B778" s="42" t="s">
        <v>1521</v>
      </c>
      <c r="C778" s="42" t="s">
        <v>1522</v>
      </c>
      <c r="D778" s="42"/>
      <c r="E778" s="42" t="str">
        <f t="shared" ref="E778:F778" si="779">PROPER(B778)</f>
        <v>Rice Up Fortuna Farmers Association</v>
      </c>
      <c r="F778" s="42" t="str">
        <f t="shared" si="779"/>
        <v>Fortuna, Floridablanca, Pampanga</v>
      </c>
      <c r="G778" s="42" t="str">
        <f t="shared" si="3"/>
        <v>Fortuna</v>
      </c>
      <c r="H778" s="42" t="str">
        <f t="shared" si="4"/>
        <v>Floridablanca</v>
      </c>
      <c r="I778" s="42" t="str">
        <f t="shared" si="5"/>
        <v>Pampanga</v>
      </c>
      <c r="J778" s="42" t="str">
        <f t="array" ref="J778">XLOOKUP($E778,'Recipients REF'!$B:$B,'Recipients REF'!D:D,"",0)</f>
        <v>FLORANTE BUERGO</v>
      </c>
      <c r="K778" s="42" t="str">
        <f t="array" ref="K778">XLOOKUP($E778,'Recipients REF'!$B:$B,'Recipients REF'!E:E,"",0)</f>
        <v>0956-692-8114</v>
      </c>
      <c r="L778" s="43" t="str">
        <f t="array" ref="L778">XLOOKUP($A778,'Recipients REF'!$A:$A,'Recipients REF'!F:F,"",0)</f>
        <v>RCEF 25-03-05</v>
      </c>
      <c r="M778" s="43">
        <f t="array" ref="M778">XLOOKUP($A778,'Recipients REF'!$A:$A,'Recipients REF'!G:G,"",0)</f>
        <v>5</v>
      </c>
      <c r="N778" s="43" t="str">
        <f t="array" ref="N778">XLOOKUP($A778,'Recipients REF'!$A:$A,'Recipients REF'!H:H,"",0)</f>
        <v>26498 &amp; 27679</v>
      </c>
      <c r="O778" s="44" t="s">
        <v>25</v>
      </c>
      <c r="P778" s="45" t="s">
        <v>26</v>
      </c>
      <c r="Q778" s="46" t="str">
        <f t="array" ref="Q778">XLOOKUP($A778,'Recipients REF'!$A:$A,'Recipients REF'!I:I,"",0)</f>
        <v>KMC5825 ALSFPV0323</v>
      </c>
      <c r="R778" s="53" t="str">
        <f t="array" ref="R778">XLOOKUP($A778,'Recipients REF'!$A:$A,'Recipients REF'!J:J,"",0)</f>
        <v>STS100335</v>
      </c>
      <c r="S778" s="45" t="s">
        <v>27</v>
      </c>
      <c r="T778" s="45" t="s">
        <v>28</v>
      </c>
      <c r="U778" s="46" t="str">
        <f t="array" ref="U778">XLOOKUP($A778,'Recipients REF'!$A:$A,'Recipients REF'!K:K,"",0)</f>
        <v>WR-SERIES 125</v>
      </c>
      <c r="V778" s="44" t="s">
        <v>29</v>
      </c>
      <c r="W778" s="45" t="s">
        <v>30</v>
      </c>
      <c r="X778" s="53" t="str">
        <f t="array" ref="X778">XLOOKUP($A778,'Recipients REF'!$A:$A,'Recipients REF'!L:L,"",0)</f>
        <v>25080416</v>
      </c>
      <c r="Y778" s="48" t="s">
        <v>29</v>
      </c>
      <c r="Z778" s="48" t="s">
        <v>31</v>
      </c>
      <c r="AA778" s="54" t="str">
        <f t="array" ref="AA778">XLOOKUP($A778,'Recipients REF'!$A:$A,'Recipients REF'!M:M,"",0)</f>
        <v>25080849</v>
      </c>
      <c r="AB778" s="49"/>
      <c r="AC778" s="42"/>
      <c r="AD778" s="42"/>
      <c r="AE778" s="50"/>
      <c r="AF778" s="42"/>
      <c r="AG778" s="42"/>
      <c r="AH778" s="42"/>
      <c r="AI778" s="42" t="str">
        <f t="array" ref="AI778">XLOOKUP($E778,Sheet11!$D:$D,Sheet11!$X:$X,"",0)</f>
        <v/>
      </c>
      <c r="AJ778" s="42" t="str">
        <f t="array" ref="AJ778">XLOOKUP($E778,Sheet11!$D:$D,Sheet11!$Y:$Y,"",0)</f>
        <v/>
      </c>
    </row>
    <row r="779">
      <c r="A779" s="41">
        <v>582.0</v>
      </c>
      <c r="B779" s="42" t="s">
        <v>1523</v>
      </c>
      <c r="C779" s="42" t="s">
        <v>1524</v>
      </c>
      <c r="D779" s="42"/>
      <c r="E779" s="42" t="str">
        <f t="shared" ref="E779:F779" si="780">PROPER(B779)</f>
        <v>Municipal Local Government Of Guagua</v>
      </c>
      <c r="F779" s="42" t="str">
        <f t="shared" si="780"/>
        <v>Plaza Burgos (Pob.), Guagua, Pampanga</v>
      </c>
      <c r="G779" s="42" t="str">
        <f t="shared" si="3"/>
        <v>Plaza Burgos (Pob.)</v>
      </c>
      <c r="H779" s="42" t="str">
        <f t="shared" si="4"/>
        <v>Guagua</v>
      </c>
      <c r="I779" s="42" t="str">
        <f t="shared" si="5"/>
        <v>Pampanga</v>
      </c>
      <c r="J779" s="42" t="str">
        <f t="array" ref="J779">XLOOKUP($E779,'Recipients REF'!$B:$B,'Recipients REF'!D:D,"",0)</f>
        <v>HON. ANTHONY JOSEPH S. TORRES / JE ANNETTE MESUG</v>
      </c>
      <c r="K779" s="42" t="str">
        <f t="array" ref="K779">XLOOKUP($E779,'Recipients REF'!$B:$B,'Recipients REF'!E:E,"",0)</f>
        <v>0933-857-1767</v>
      </c>
      <c r="L779" s="43" t="str">
        <f t="array" ref="L779">XLOOKUP($A779,'Recipients REF'!$A:$A,'Recipients REF'!F:F,"",0)</f>
        <v>RCEF 24-04-15</v>
      </c>
      <c r="M779" s="43">
        <f t="array" ref="M779">XLOOKUP($A779,'Recipients REF'!$A:$A,'Recipients REF'!G:G,"",0)</f>
        <v>6</v>
      </c>
      <c r="N779" s="43">
        <f t="array" ref="N779">XLOOKUP($A779,'Recipients REF'!$A:$A,'Recipients REF'!H:H,"",0)</f>
        <v>22335</v>
      </c>
      <c r="O779" s="44" t="s">
        <v>25</v>
      </c>
      <c r="P779" s="45" t="s">
        <v>26</v>
      </c>
      <c r="Q779" s="46" t="str">
        <f t="array" ref="Q779">XLOOKUP($A779,'Recipients REF'!$A:$A,'Recipients REF'!I:I,"",0)</f>
        <v>KMC5825ACRFPV0899</v>
      </c>
      <c r="R779" s="47" t="str">
        <f t="array" ref="R779">XLOOKUP($A779,'Recipients REF'!$A:$A,'Recipients REF'!J:J,"",0)</f>
        <v>RTS100815</v>
      </c>
      <c r="S779" s="45" t="s">
        <v>27</v>
      </c>
      <c r="T779" s="45" t="s">
        <v>28</v>
      </c>
      <c r="U779" s="46" t="str">
        <f t="array" ref="U779">XLOOKUP($A779,'Recipients REF'!$A:$A,'Recipients REF'!K:K,"",0)</f>
        <v>LSGW170-RMP-24100965</v>
      </c>
      <c r="V779" s="44" t="s">
        <v>29</v>
      </c>
      <c r="W779" s="45" t="s">
        <v>30</v>
      </c>
      <c r="X779" s="47" t="str">
        <f t="array" ref="X779">XLOOKUP($A779,'Recipients REF'!$A:$A,'Recipients REF'!L:L,"",0)</f>
        <v>WDP40-RMP-24111417</v>
      </c>
      <c r="Y779" s="48" t="s">
        <v>29</v>
      </c>
      <c r="Z779" s="48" t="s">
        <v>31</v>
      </c>
      <c r="AA779" s="46" t="str">
        <f t="array" ref="AA779">XLOOKUP($A779,'Recipients REF'!$A:$A,'Recipients REF'!M:M,"",0)</f>
        <v>WR-SERIES-1006PH</v>
      </c>
      <c r="AB779" s="49"/>
      <c r="AC779" s="42"/>
      <c r="AD779" s="42"/>
      <c r="AE779" s="50"/>
      <c r="AF779" s="42"/>
      <c r="AG779" s="42"/>
      <c r="AH779" s="42"/>
      <c r="AI779" s="42" t="str">
        <f t="array" ref="AI779">XLOOKUP($E779,Sheet11!$D:$D,Sheet11!$X:$X,"",0)</f>
        <v/>
      </c>
      <c r="AJ779" s="42" t="str">
        <f t="array" ref="AJ779">XLOOKUP($E779,Sheet11!$D:$D,Sheet11!$Y:$Y,"",0)</f>
        <v/>
      </c>
    </row>
    <row r="780">
      <c r="A780" s="41">
        <v>100.0</v>
      </c>
      <c r="B780" s="42" t="s">
        <v>1525</v>
      </c>
      <c r="C780" s="42" t="s">
        <v>1526</v>
      </c>
      <c r="D780" s="42"/>
      <c r="E780" s="42" t="str">
        <f t="shared" ref="E780:F780" si="781">PROPER(B780)</f>
        <v>Prado Siongco Rice &amp; Corn Farmers Association</v>
      </c>
      <c r="F780" s="42" t="str">
        <f t="shared" si="781"/>
        <v>Prado Siongco, Lubao, Pampanga</v>
      </c>
      <c r="G780" s="42" t="str">
        <f t="shared" si="3"/>
        <v>Prado Siongco</v>
      </c>
      <c r="H780" s="42" t="str">
        <f t="shared" si="4"/>
        <v>Lubao</v>
      </c>
      <c r="I780" s="42" t="str">
        <f t="shared" si="5"/>
        <v>Pampanga</v>
      </c>
      <c r="J780" s="42" t="str">
        <f t="array" ref="J780">XLOOKUP($E780,'Recipients REF'!$B:$B,'Recipients REF'!D:D,"",0)</f>
        <v>EDGAR M. ROQUE</v>
      </c>
      <c r="K780" s="42" t="str">
        <f t="array" ref="K780">XLOOKUP($E780,'Recipients REF'!$B:$B,'Recipients REF'!E:E,"",0)</f>
        <v>0950-939-3306/ 0946-838-3228</v>
      </c>
      <c r="L780" s="43" t="str">
        <f t="array" ref="L780">XLOOKUP($A780,'Recipients REF'!$A:$A,'Recipients REF'!F:F,"",0)</f>
        <v>RCEF 23-09-21 Rebidding</v>
      </c>
      <c r="M780" s="43">
        <f t="array" ref="M780">XLOOKUP($A780,'Recipients REF'!$A:$A,'Recipients REF'!G:G,"",0)</f>
        <v>3</v>
      </c>
      <c r="N780" s="43">
        <f t="array" ref="N780">XLOOKUP($A780,'Recipients REF'!$A:$A,'Recipients REF'!H:H,"",0)</f>
        <v>17784</v>
      </c>
      <c r="O780" s="44" t="s">
        <v>25</v>
      </c>
      <c r="P780" s="45" t="s">
        <v>26</v>
      </c>
      <c r="Q780" s="46" t="str">
        <f t="array" ref="Q780">XLOOKUP($A780,'Recipients REF'!$A:$A,'Recipients REF'!I:I,"",0)</f>
        <v>KMC5825 ATPFPV0075</v>
      </c>
      <c r="R780" s="47" t="str">
        <f t="array" ref="R780">XLOOKUP($A780,'Recipients REF'!$A:$A,'Recipients REF'!J:J,"",0)</f>
        <v>PTS100058</v>
      </c>
      <c r="S780" s="45" t="s">
        <v>27</v>
      </c>
      <c r="T780" s="45" t="s">
        <v>28</v>
      </c>
      <c r="U780" s="46" t="str">
        <f t="array" ref="U780">XLOOKUP($A780,'Recipients REF'!$A:$A,'Recipients REF'!K:K,"",0)</f>
        <v>R-SERIES 101PH</v>
      </c>
      <c r="V780" s="44" t="s">
        <v>29</v>
      </c>
      <c r="W780" s="45" t="s">
        <v>30</v>
      </c>
      <c r="X780" s="47" t="str">
        <f t="array" ref="X780">XLOOKUP($A780,'Recipients REF'!$A:$A,'Recipients REF'!L:L,"",0)</f>
        <v>LSGW1750-RMP-2312031</v>
      </c>
      <c r="Y780" s="48" t="s">
        <v>29</v>
      </c>
      <c r="Z780" s="48" t="s">
        <v>31</v>
      </c>
      <c r="AA780" s="46" t="str">
        <f t="array" ref="AA780">XLOOKUP($A780,'Recipients REF'!$A:$A,'Recipients REF'!M:M,"",0)</f>
        <v>WDP40-RMP-2312010</v>
      </c>
      <c r="AB780" s="49"/>
      <c r="AC780" s="42"/>
      <c r="AD780" s="42"/>
      <c r="AE780" s="50"/>
      <c r="AF780" s="42"/>
      <c r="AG780" s="42"/>
      <c r="AH780" s="42"/>
      <c r="AI780" s="42">
        <f t="array" ref="AI780">XLOOKUP($E780,Sheet11!$D:$D,Sheet11!$X:$X,"",0)</f>
        <v>869066060243467</v>
      </c>
      <c r="AJ780" s="42" t="str">
        <f t="array" ref="AJ780">XLOOKUP($E780,Sheet11!$D:$D,Sheet11!$Y:$Y,"",0)</f>
        <v>09690461595</v>
      </c>
    </row>
    <row r="781">
      <c r="A781" s="41">
        <v>378.0</v>
      </c>
      <c r="B781" s="42" t="s">
        <v>1527</v>
      </c>
      <c r="C781" s="42" t="s">
        <v>1528</v>
      </c>
      <c r="D781" s="42"/>
      <c r="E781" s="42" t="str">
        <f t="shared" ref="E781:F781" si="782">PROPER(B781)</f>
        <v>Sta. Rita Rice, Corn Hvcc And Livestock Farmers Association</v>
      </c>
      <c r="F781" s="42" t="str">
        <f t="shared" si="782"/>
        <v>Santa Rita, Lubao, Pampanga</v>
      </c>
      <c r="G781" s="42" t="str">
        <f t="shared" si="3"/>
        <v>Santa Rita</v>
      </c>
      <c r="H781" s="42" t="str">
        <f t="shared" si="4"/>
        <v>Lubao</v>
      </c>
      <c r="I781" s="42" t="str">
        <f t="shared" si="5"/>
        <v>Pampanga</v>
      </c>
      <c r="J781" s="42" t="str">
        <f t="array" ref="J781">XLOOKUP($E781,'Recipients REF'!$B:$B,'Recipients REF'!D:D,"",0)</f>
        <v>#N/A</v>
      </c>
      <c r="K781" s="42" t="str">
        <f t="array" ref="K781">XLOOKUP($E781,'Recipients REF'!$B:$B,'Recipients REF'!E:E,"",0)</f>
        <v>#N/A</v>
      </c>
      <c r="L781" s="43" t="str">
        <f t="array" ref="L781">XLOOKUP($A781,'Recipients REF'!$A:$A,'Recipients REF'!F:F,"",0)</f>
        <v>RCEF 23-09-21 Rebidding</v>
      </c>
      <c r="M781" s="43">
        <f t="array" ref="M781">XLOOKUP($A781,'Recipients REF'!$A:$A,'Recipients REF'!G:G,"",0)</f>
        <v>9</v>
      </c>
      <c r="N781" s="43">
        <f t="array" ref="N781">XLOOKUP($A781,'Recipients REF'!$A:$A,'Recipients REF'!H:H,"",0)</f>
        <v>19035</v>
      </c>
      <c r="O781" s="44" t="s">
        <v>25</v>
      </c>
      <c r="P781" s="45" t="s">
        <v>26</v>
      </c>
      <c r="Q781" s="46" t="str">
        <f t="array" ref="Q781">XLOOKUP($A781,'Recipients REF'!$A:$A,'Recipients REF'!I:I,"",0)</f>
        <v>KMC5825AP RFPV0615</v>
      </c>
      <c r="R781" s="47" t="str">
        <f t="array" ref="R781">XLOOKUP($A781,'Recipients REF'!$A:$A,'Recipients REF'!J:J,"",0)</f>
        <v/>
      </c>
      <c r="S781" s="45" t="s">
        <v>27</v>
      </c>
      <c r="T781" s="45" t="s">
        <v>28</v>
      </c>
      <c r="U781" s="46" t="str">
        <f t="array" ref="U781">XLOOKUP($A781,'Recipients REF'!$A:$A,'Recipients REF'!K:K,"",0)</f>
        <v>R-SERIES 793 PH</v>
      </c>
      <c r="V781" s="44" t="s">
        <v>29</v>
      </c>
      <c r="W781" s="45" t="s">
        <v>30</v>
      </c>
      <c r="X781" s="47" t="str">
        <f t="array" ref="X781">XLOOKUP($A781,'Recipients REF'!$A:$A,'Recipients REF'!L:L,"",0)</f>
        <v>LSGW1750 RMP 24020536</v>
      </c>
      <c r="Y781" s="48" t="s">
        <v>29</v>
      </c>
      <c r="Z781" s="48" t="s">
        <v>31</v>
      </c>
      <c r="AA781" s="46" t="str">
        <f t="array" ref="AA781">XLOOKUP($A781,'Recipients REF'!$A:$A,'Recipients REF'!M:M,"",0)</f>
        <v>WDP 40 RMP 24050569</v>
      </c>
      <c r="AB781" s="49"/>
      <c r="AC781" s="42"/>
      <c r="AD781" s="42"/>
      <c r="AE781" s="50"/>
      <c r="AF781" s="42"/>
      <c r="AG781" s="42"/>
      <c r="AH781" s="42"/>
      <c r="AI781" s="42" t="str">
        <f t="array" ref="AI781">XLOOKUP($E781,Sheet11!$D:$D,Sheet11!$X:$X,"",0)</f>
        <v/>
      </c>
      <c r="AJ781" s="42" t="str">
        <f t="array" ref="AJ781">XLOOKUP($E781,Sheet11!$D:$D,Sheet11!$Y:$Y,"",0)</f>
        <v/>
      </c>
    </row>
    <row r="782">
      <c r="A782" s="41">
        <v>583.0</v>
      </c>
      <c r="B782" s="42" t="s">
        <v>1529</v>
      </c>
      <c r="C782" s="42" t="s">
        <v>1530</v>
      </c>
      <c r="D782" s="42"/>
      <c r="E782" s="42" t="str">
        <f t="shared" ref="E782:F782" si="783">PROPER(B782)</f>
        <v>Santiago Riceup Farmers Association</v>
      </c>
      <c r="F782" s="42" t="str">
        <f t="shared" si="783"/>
        <v>Santiago, Lubao, Pampanga</v>
      </c>
      <c r="G782" s="42" t="str">
        <f t="shared" si="3"/>
        <v>Santiago</v>
      </c>
      <c r="H782" s="42" t="str">
        <f t="shared" si="4"/>
        <v>Lubao</v>
      </c>
      <c r="I782" s="42" t="str">
        <f t="shared" si="5"/>
        <v>Pampanga</v>
      </c>
      <c r="J782" s="42" t="str">
        <f t="array" ref="J782">XLOOKUP($E782,'Recipients REF'!$B:$B,'Recipients REF'!D:D,"",0)</f>
        <v>GEMMA GUITTIEREZ</v>
      </c>
      <c r="K782" s="42" t="str">
        <f t="array" ref="K782">XLOOKUP($E782,'Recipients REF'!$B:$B,'Recipients REF'!E:E,"",0)</f>
        <v>0919-851-2719</v>
      </c>
      <c r="L782" s="43" t="str">
        <f t="array" ref="L782">XLOOKUP($A782,'Recipients REF'!$A:$A,'Recipients REF'!F:F,"",0)</f>
        <v>RCEF 24-04-15</v>
      </c>
      <c r="M782" s="43">
        <f t="array" ref="M782">XLOOKUP($A782,'Recipients REF'!$A:$A,'Recipients REF'!G:G,"",0)</f>
        <v>6</v>
      </c>
      <c r="N782" s="43">
        <f t="array" ref="N782">XLOOKUP($A782,'Recipients REF'!$A:$A,'Recipients REF'!H:H,"",0)</f>
        <v>22336</v>
      </c>
      <c r="O782" s="44" t="s">
        <v>25</v>
      </c>
      <c r="P782" s="45" t="s">
        <v>26</v>
      </c>
      <c r="Q782" s="46" t="str">
        <f t="array" ref="Q782">XLOOKUP($A782,'Recipients REF'!$A:$A,'Recipients REF'!I:I,"",0)</f>
        <v>KMC5825AHRFPV0883</v>
      </c>
      <c r="R782" s="47" t="str">
        <f t="array" ref="R782">XLOOKUP($A782,'Recipients REF'!$A:$A,'Recipients REF'!J:J,"",0)</f>
        <v>RTS100798</v>
      </c>
      <c r="S782" s="45" t="s">
        <v>27</v>
      </c>
      <c r="T782" s="45" t="s">
        <v>28</v>
      </c>
      <c r="U782" s="46" t="str">
        <f t="array" ref="U782">XLOOKUP($A782,'Recipients REF'!$A:$A,'Recipients REF'!K:K,"",0)</f>
        <v>LSGW170-RMP-24101041</v>
      </c>
      <c r="V782" s="44" t="s">
        <v>29</v>
      </c>
      <c r="W782" s="45" t="s">
        <v>30</v>
      </c>
      <c r="X782" s="47" t="str">
        <f t="array" ref="X782">XLOOKUP($A782,'Recipients REF'!$A:$A,'Recipients REF'!L:L,"",0)</f>
        <v>WDP40-RMP-2411326</v>
      </c>
      <c r="Y782" s="48" t="s">
        <v>29</v>
      </c>
      <c r="Z782" s="48" t="s">
        <v>31</v>
      </c>
      <c r="AA782" s="46" t="str">
        <f t="array" ref="AA782">XLOOKUP($A782,'Recipients REF'!$A:$A,'Recipients REF'!M:M,"",0)</f>
        <v>WR-SERIES-1103PH</v>
      </c>
      <c r="AB782" s="49"/>
      <c r="AC782" s="42"/>
      <c r="AD782" s="42"/>
      <c r="AE782" s="50"/>
      <c r="AF782" s="42"/>
      <c r="AG782" s="42"/>
      <c r="AH782" s="42"/>
      <c r="AI782" s="42" t="str">
        <f t="array" ref="AI782">XLOOKUP($E782,Sheet11!$D:$D,Sheet11!$X:$X,"",0)</f>
        <v/>
      </c>
      <c r="AJ782" s="42" t="str">
        <f t="array" ref="AJ782">XLOOKUP($E782,Sheet11!$D:$D,Sheet11!$Y:$Y,"",0)</f>
        <v/>
      </c>
    </row>
    <row r="783">
      <c r="A783" s="41">
        <v>682.0</v>
      </c>
      <c r="B783" s="42" t="s">
        <v>1531</v>
      </c>
      <c r="C783" s="42" t="s">
        <v>1532</v>
      </c>
      <c r="D783" s="42"/>
      <c r="E783" s="42" t="str">
        <f t="shared" ref="E783:F783" si="784">PROPER(B783)</f>
        <v>Rice-Up Irrigators And Farmers Agriculture Cooperative</v>
      </c>
      <c r="F783" s="42" t="str">
        <f t="shared" si="784"/>
        <v>Concepcion, Lubao, Pampanga</v>
      </c>
      <c r="G783" s="42" t="str">
        <f t="shared" si="3"/>
        <v>Concepcion</v>
      </c>
      <c r="H783" s="42" t="str">
        <f t="shared" si="4"/>
        <v>Lubao</v>
      </c>
      <c r="I783" s="42" t="str">
        <f t="shared" si="5"/>
        <v>Pampanga</v>
      </c>
      <c r="J783" s="42" t="str">
        <f t="array" ref="J783">XLOOKUP($E783,'Recipients REF'!$B:$B,'Recipients REF'!D:D,"",0)</f>
        <v>Edwardo Cancio</v>
      </c>
      <c r="K783" s="42" t="str">
        <f t="array" ref="K783">XLOOKUP($E783,'Recipients REF'!$B:$B,'Recipients REF'!E:E,"",0)</f>
        <v>0919-628-0922 / 0919-825-3801</v>
      </c>
      <c r="L783" s="43" t="str">
        <f t="array" ref="L783">XLOOKUP($A783,'Recipients REF'!$A:$A,'Recipients REF'!F:F,"",0)</f>
        <v>RCEF 25-03-05</v>
      </c>
      <c r="M783" s="43">
        <f t="array" ref="M783">XLOOKUP($A783,'Recipients REF'!$A:$A,'Recipients REF'!G:G,"",0)</f>
        <v>5</v>
      </c>
      <c r="N783" s="43" t="str">
        <f t="array" ref="N783">XLOOKUP($A783,'Recipients REF'!$A:$A,'Recipients REF'!H:H,"",0)</f>
        <v>26499 &amp; 27680</v>
      </c>
      <c r="O783" s="44" t="s">
        <v>25</v>
      </c>
      <c r="P783" s="45" t="s">
        <v>26</v>
      </c>
      <c r="Q783" s="46" t="str">
        <f t="array" ref="Q783">XLOOKUP($A783,'Recipients REF'!$A:$A,'Recipients REF'!I:I,"",0)</f>
        <v>KMC5825 ACSFPV0270</v>
      </c>
      <c r="R783" s="53" t="str">
        <f t="array" ref="R783">XLOOKUP($A783,'Recipients REF'!$A:$A,'Recipients REF'!J:J,"",0)</f>
        <v>STS100286</v>
      </c>
      <c r="S783" s="45" t="s">
        <v>27</v>
      </c>
      <c r="T783" s="45" t="s">
        <v>28</v>
      </c>
      <c r="U783" s="46" t="str">
        <f t="array" ref="U783">XLOOKUP($A783,'Recipients REF'!$A:$A,'Recipients REF'!K:K,"",0)</f>
        <v>WR-SERIES 059</v>
      </c>
      <c r="V783" s="44" t="s">
        <v>29</v>
      </c>
      <c r="W783" s="45" t="s">
        <v>30</v>
      </c>
      <c r="X783" s="53" t="str">
        <f t="array" ref="X783">XLOOKUP($A783,'Recipients REF'!$A:$A,'Recipients REF'!L:L,"",0)</f>
        <v>25080307</v>
      </c>
      <c r="Y783" s="48" t="s">
        <v>29</v>
      </c>
      <c r="Z783" s="48" t="s">
        <v>31</v>
      </c>
      <c r="AA783" s="54" t="str">
        <f t="array" ref="AA783">XLOOKUP($A783,'Recipients REF'!$A:$A,'Recipients REF'!M:M,"",0)</f>
        <v>25090978</v>
      </c>
      <c r="AB783" s="49"/>
      <c r="AC783" s="42"/>
      <c r="AD783" s="42"/>
      <c r="AE783" s="50"/>
      <c r="AF783" s="42"/>
      <c r="AG783" s="42"/>
      <c r="AH783" s="42"/>
      <c r="AI783" s="42" t="str">
        <f t="array" ref="AI783">XLOOKUP($E783,Sheet11!$D:$D,Sheet11!$X:$X,"",0)</f>
        <v/>
      </c>
      <c r="AJ783" s="42" t="str">
        <f t="array" ref="AJ783">XLOOKUP($E783,Sheet11!$D:$D,Sheet11!$Y:$Y,"",0)</f>
        <v/>
      </c>
    </row>
    <row r="784">
      <c r="A784" s="41">
        <v>683.0</v>
      </c>
      <c r="B784" s="42" t="s">
        <v>1533</v>
      </c>
      <c r="C784" s="42" t="s">
        <v>1534</v>
      </c>
      <c r="D784" s="42"/>
      <c r="E784" s="42" t="str">
        <f t="shared" ref="E784:F784" si="785">PROPER(B784)</f>
        <v>San Pablo 2Nd Rice, Corn, Hvcc, Livestock And Fishery Farmer Association</v>
      </c>
      <c r="F784" s="42" t="str">
        <f t="shared" si="785"/>
        <v>San Pablo 2Nd, Lubao, Pampanga</v>
      </c>
      <c r="G784" s="42" t="str">
        <f t="shared" si="3"/>
        <v>San Pablo 2Nd</v>
      </c>
      <c r="H784" s="42" t="str">
        <f t="shared" si="4"/>
        <v>Lubao</v>
      </c>
      <c r="I784" s="42" t="str">
        <f t="shared" si="5"/>
        <v>Pampanga</v>
      </c>
      <c r="J784" s="42" t="str">
        <f t="array" ref="J784">XLOOKUP($E784,'Recipients REF'!$B:$B,'Recipients REF'!D:D,"",0)</f>
        <v>ALEX D. SABINO</v>
      </c>
      <c r="K784" s="42" t="str">
        <f t="array" ref="K784">XLOOKUP($E784,'Recipients REF'!$B:$B,'Recipients REF'!E:E,"",0)</f>
        <v>0918-446-7213</v>
      </c>
      <c r="L784" s="43" t="str">
        <f t="array" ref="L784">XLOOKUP($A784,'Recipients REF'!$A:$A,'Recipients REF'!F:F,"",0)</f>
        <v>RCEF 25-03-05</v>
      </c>
      <c r="M784" s="43">
        <f t="array" ref="M784">XLOOKUP($A784,'Recipients REF'!$A:$A,'Recipients REF'!G:G,"",0)</f>
        <v>5</v>
      </c>
      <c r="N784" s="43" t="str">
        <f t="array" ref="N784">XLOOKUP($A784,'Recipients REF'!$A:$A,'Recipients REF'!H:H,"",0)</f>
        <v>26500 &amp; 27681</v>
      </c>
      <c r="O784" s="44" t="s">
        <v>25</v>
      </c>
      <c r="P784" s="45" t="s">
        <v>26</v>
      </c>
      <c r="Q784" s="46" t="str">
        <f t="array" ref="Q784">XLOOKUP($A784,'Recipients REF'!$A:$A,'Recipients REF'!I:I,"",0)</f>
        <v>KMC5825 APSFPV0197</v>
      </c>
      <c r="R784" s="53" t="str">
        <f t="array" ref="R784">XLOOKUP($A784,'Recipients REF'!$A:$A,'Recipients REF'!J:J,"",0)</f>
        <v>STS100234</v>
      </c>
      <c r="S784" s="45" t="s">
        <v>27</v>
      </c>
      <c r="T784" s="45" t="s">
        <v>28</v>
      </c>
      <c r="U784" s="46" t="str">
        <f t="array" ref="U784">XLOOKUP($A784,'Recipients REF'!$A:$A,'Recipients REF'!K:K,"",0)</f>
        <v>WR-SERIES 063</v>
      </c>
      <c r="V784" s="44" t="s">
        <v>29</v>
      </c>
      <c r="W784" s="45" t="s">
        <v>30</v>
      </c>
      <c r="X784" s="53" t="str">
        <f t="array" ref="X784">XLOOKUP($A784,'Recipients REF'!$A:$A,'Recipients REF'!L:L,"",0)</f>
        <v>25080411</v>
      </c>
      <c r="Y784" s="48" t="s">
        <v>29</v>
      </c>
      <c r="Z784" s="48" t="s">
        <v>31</v>
      </c>
      <c r="AA784" s="54" t="str">
        <f t="array" ref="AA784">XLOOKUP($A784,'Recipients REF'!$A:$A,'Recipients REF'!M:M,"",0)</f>
        <v>25090986</v>
      </c>
      <c r="AB784" s="49"/>
      <c r="AC784" s="42"/>
      <c r="AD784" s="42"/>
      <c r="AE784" s="51"/>
      <c r="AF784" s="42"/>
      <c r="AG784" s="42"/>
      <c r="AH784" s="42"/>
      <c r="AI784" s="42" t="str">
        <f t="array" ref="AI784">XLOOKUP($E784,Sheet11!$D:$D,Sheet11!$X:$X,"",0)</f>
        <v/>
      </c>
      <c r="AJ784" s="42" t="str">
        <f t="array" ref="AJ784">XLOOKUP($E784,Sheet11!$D:$D,Sheet11!$Y:$Y,"",0)</f>
        <v/>
      </c>
    </row>
    <row r="785">
      <c r="A785" s="41">
        <v>684.0</v>
      </c>
      <c r="B785" s="42" t="s">
        <v>1535</v>
      </c>
      <c r="C785" s="42" t="s">
        <v>1530</v>
      </c>
      <c r="D785" s="42"/>
      <c r="E785" s="42" t="str">
        <f t="shared" ref="E785:F785" si="786">PROPER(B785)</f>
        <v>Santiago Lubao Farmers Rice &amp; Corn Association Inc.</v>
      </c>
      <c r="F785" s="42" t="str">
        <f t="shared" si="786"/>
        <v>Santiago, Lubao, Pampanga</v>
      </c>
      <c r="G785" s="42" t="str">
        <f t="shared" si="3"/>
        <v>Santiago</v>
      </c>
      <c r="H785" s="42" t="str">
        <f t="shared" si="4"/>
        <v>Lubao</v>
      </c>
      <c r="I785" s="42" t="str">
        <f t="shared" si="5"/>
        <v>Pampanga</v>
      </c>
      <c r="J785" s="42" t="str">
        <f t="array" ref="J785">XLOOKUP($E785,'Recipients REF'!$B:$B,'Recipients REF'!D:D,"",0)</f>
        <v>ALEJANDRO S. PANGAN</v>
      </c>
      <c r="K785" s="42" t="str">
        <f t="array" ref="K785">XLOOKUP($E785,'Recipients REF'!$B:$B,'Recipients REF'!E:E,"",0)</f>
        <v>0939-710-5630</v>
      </c>
      <c r="L785" s="43" t="str">
        <f t="array" ref="L785">XLOOKUP($A785,'Recipients REF'!$A:$A,'Recipients REF'!F:F,"",0)</f>
        <v>RCEF 25-03-05</v>
      </c>
      <c r="M785" s="43">
        <f t="array" ref="M785">XLOOKUP($A785,'Recipients REF'!$A:$A,'Recipients REF'!G:G,"",0)</f>
        <v>5</v>
      </c>
      <c r="N785" s="43" t="str">
        <f t="array" ref="N785">XLOOKUP($A785,'Recipients REF'!$A:$A,'Recipients REF'!H:H,"",0)</f>
        <v>26501 &amp; 27682</v>
      </c>
      <c r="O785" s="44" t="s">
        <v>25</v>
      </c>
      <c r="P785" s="45" t="s">
        <v>26</v>
      </c>
      <c r="Q785" s="46" t="str">
        <f t="array" ref="Q785">XLOOKUP($A785,'Recipients REF'!$A:$A,'Recipients REF'!I:I,"",0)</f>
        <v>KMC5825 AESFPV0311</v>
      </c>
      <c r="R785" s="53" t="str">
        <f t="array" ref="R785">XLOOKUP($A785,'Recipients REF'!$A:$A,'Recipients REF'!J:J,"",0)</f>
        <v>STS100314</v>
      </c>
      <c r="S785" s="45" t="s">
        <v>27</v>
      </c>
      <c r="T785" s="45" t="s">
        <v>28</v>
      </c>
      <c r="U785" s="46" t="str">
        <f t="array" ref="U785">XLOOKUP($A785,'Recipients REF'!$A:$A,'Recipients REF'!K:K,"",0)</f>
        <v>R-SERIES 136PH</v>
      </c>
      <c r="V785" s="44" t="s">
        <v>29</v>
      </c>
      <c r="W785" s="45" t="s">
        <v>30</v>
      </c>
      <c r="X785" s="53" t="str">
        <f t="array" ref="X785">XLOOKUP($A785,'Recipients REF'!$A:$A,'Recipients REF'!L:L,"",0)</f>
        <v>2508315</v>
      </c>
      <c r="Y785" s="48" t="s">
        <v>29</v>
      </c>
      <c r="Z785" s="48" t="s">
        <v>31</v>
      </c>
      <c r="AA785" s="54" t="str">
        <f t="array" ref="AA785">XLOOKUP($A785,'Recipients REF'!$A:$A,'Recipients REF'!M:M,"",0)</f>
        <v>25090997</v>
      </c>
      <c r="AB785" s="49"/>
      <c r="AC785" s="42"/>
      <c r="AD785" s="42"/>
      <c r="AE785" s="50"/>
      <c r="AF785" s="42"/>
      <c r="AG785" s="42"/>
      <c r="AH785" s="42"/>
      <c r="AI785" s="42" t="str">
        <f t="array" ref="AI785">XLOOKUP($E785,Sheet11!$D:$D,Sheet11!$X:$X,"",0)</f>
        <v/>
      </c>
      <c r="AJ785" s="42" t="str">
        <f t="array" ref="AJ785">XLOOKUP($E785,Sheet11!$D:$D,Sheet11!$Y:$Y,"",0)</f>
        <v/>
      </c>
    </row>
    <row r="786">
      <c r="A786" s="41">
        <v>685.0</v>
      </c>
      <c r="B786" s="42" t="s">
        <v>1536</v>
      </c>
      <c r="C786" s="42" t="s">
        <v>1537</v>
      </c>
      <c r="D786" s="42"/>
      <c r="E786" s="42" t="str">
        <f t="shared" ref="E786:F786" si="787">PROPER(B786)</f>
        <v>Sta. Teresa 1St., Rice, Corn, Hvcc And Livestock</v>
      </c>
      <c r="F786" s="42" t="str">
        <f t="shared" si="787"/>
        <v>Santa Teresa 1St, Lubao, Pampanga</v>
      </c>
      <c r="G786" s="42" t="str">
        <f t="shared" si="3"/>
        <v>Santa Teresa 1St</v>
      </c>
      <c r="H786" s="42" t="str">
        <f t="shared" si="4"/>
        <v>Lubao</v>
      </c>
      <c r="I786" s="42" t="str">
        <f t="shared" si="5"/>
        <v>Pampanga</v>
      </c>
      <c r="J786" s="42" t="str">
        <f t="array" ref="J786">XLOOKUP($E786,'Recipients REF'!$B:$B,'Recipients REF'!D:D,"",0)</f>
        <v>CRISANTO P. PANGILINAN</v>
      </c>
      <c r="K786" s="42" t="str">
        <f t="array" ref="K786">XLOOKUP($E786,'Recipients REF'!$B:$B,'Recipients REF'!E:E,"",0)</f>
        <v>0949-726-4024/ 0915-837-7649</v>
      </c>
      <c r="L786" s="43" t="str">
        <f t="array" ref="L786">XLOOKUP($A786,'Recipients REF'!$A:$A,'Recipients REF'!F:F,"",0)</f>
        <v>RCEF 25-03-05</v>
      </c>
      <c r="M786" s="43">
        <f t="array" ref="M786">XLOOKUP($A786,'Recipients REF'!$A:$A,'Recipients REF'!G:G,"",0)</f>
        <v>5</v>
      </c>
      <c r="N786" s="43" t="str">
        <f t="array" ref="N786">XLOOKUP($A786,'Recipients REF'!$A:$A,'Recipients REF'!H:H,"",0)</f>
        <v>26502 &amp; 27683</v>
      </c>
      <c r="O786" s="44" t="s">
        <v>25</v>
      </c>
      <c r="P786" s="45" t="s">
        <v>26</v>
      </c>
      <c r="Q786" s="46" t="str">
        <f t="array" ref="Q786">XLOOKUP($A786,'Recipients REF'!$A:$A,'Recipients REF'!I:I,"",0)</f>
        <v>KMC5825 AASFPV0269</v>
      </c>
      <c r="R786" s="53" t="str">
        <f t="array" ref="R786">XLOOKUP($A786,'Recipients REF'!$A:$A,'Recipients REF'!J:J,"",0)</f>
        <v>STS100304</v>
      </c>
      <c r="S786" s="45" t="s">
        <v>27</v>
      </c>
      <c r="T786" s="45" t="s">
        <v>28</v>
      </c>
      <c r="U786" s="46" t="str">
        <f t="array" ref="U786">XLOOKUP($A786,'Recipients REF'!$A:$A,'Recipients REF'!K:K,"",0)</f>
        <v>WR-SERIES 085</v>
      </c>
      <c r="V786" s="44" t="s">
        <v>29</v>
      </c>
      <c r="W786" s="45" t="s">
        <v>30</v>
      </c>
      <c r="X786" s="53" t="str">
        <f t="array" ref="X786">XLOOKUP($A786,'Recipients REF'!$A:$A,'Recipients REF'!L:L,"",0)</f>
        <v>25080308</v>
      </c>
      <c r="Y786" s="48" t="s">
        <v>29</v>
      </c>
      <c r="Z786" s="48" t="s">
        <v>31</v>
      </c>
      <c r="AA786" s="54" t="str">
        <f t="array" ref="AA786">XLOOKUP($A786,'Recipients REF'!$A:$A,'Recipients REF'!M:M,"",0)</f>
        <v>25090999</v>
      </c>
      <c r="AB786" s="49"/>
      <c r="AC786" s="42"/>
      <c r="AD786" s="42"/>
      <c r="AE786" s="50"/>
      <c r="AF786" s="42"/>
      <c r="AG786" s="42"/>
      <c r="AH786" s="42"/>
      <c r="AI786" s="42" t="str">
        <f t="array" ref="AI786">XLOOKUP($E786,Sheet11!$D:$D,Sheet11!$X:$X,"",0)</f>
        <v/>
      </c>
      <c r="AJ786" s="42" t="str">
        <f t="array" ref="AJ786">XLOOKUP($E786,Sheet11!$D:$D,Sheet11!$Y:$Y,"",0)</f>
        <v/>
      </c>
    </row>
    <row r="787">
      <c r="A787" s="41">
        <v>686.0</v>
      </c>
      <c r="B787" s="42" t="s">
        <v>1538</v>
      </c>
      <c r="C787" s="42" t="s">
        <v>1539</v>
      </c>
      <c r="D787" s="42"/>
      <c r="E787" s="42" t="str">
        <f t="shared" ref="E787:F787" si="788">PROPER(B787)</f>
        <v>Sto. Cristo Rice, Corn &amp; Hvcc Farmers Association</v>
      </c>
      <c r="F787" s="42" t="str">
        <f t="shared" si="788"/>
        <v>Santo Cristo, Lubao, Pampanga</v>
      </c>
      <c r="G787" s="42" t="str">
        <f t="shared" si="3"/>
        <v>Santo Cristo</v>
      </c>
      <c r="H787" s="42" t="str">
        <f t="shared" si="4"/>
        <v>Lubao</v>
      </c>
      <c r="I787" s="42" t="str">
        <f t="shared" si="5"/>
        <v>Pampanga</v>
      </c>
      <c r="J787" s="42" t="str">
        <f t="array" ref="J787">XLOOKUP($E787,'Recipients REF'!$B:$B,'Recipients REF'!D:D,"",0)</f>
        <v>ESTANISLAO M. MONTEMAYOR</v>
      </c>
      <c r="K787" s="42" t="str">
        <f t="array" ref="K787">XLOOKUP($E787,'Recipients REF'!$B:$B,'Recipients REF'!E:E,"",0)</f>
        <v>0906-575-1252</v>
      </c>
      <c r="L787" s="43" t="str">
        <f t="array" ref="L787">XLOOKUP($A787,'Recipients REF'!$A:$A,'Recipients REF'!F:F,"",0)</f>
        <v>RCEF 25-03-05</v>
      </c>
      <c r="M787" s="43">
        <f t="array" ref="M787">XLOOKUP($A787,'Recipients REF'!$A:$A,'Recipients REF'!G:G,"",0)</f>
        <v>5</v>
      </c>
      <c r="N787" s="43" t="str">
        <f t="array" ref="N787">XLOOKUP($A787,'Recipients REF'!$A:$A,'Recipients REF'!H:H,"",0)</f>
        <v>26503 &amp; 27684</v>
      </c>
      <c r="O787" s="44" t="s">
        <v>25</v>
      </c>
      <c r="P787" s="45" t="s">
        <v>26</v>
      </c>
      <c r="Q787" s="46" t="str">
        <f t="array" ref="Q787">XLOOKUP($A787,'Recipients REF'!$A:$A,'Recipients REF'!I:I,"",0)</f>
        <v>KMC5825 AHSFPV0405</v>
      </c>
      <c r="R787" s="53" t="str">
        <f t="array" ref="R787">XLOOKUP($A787,'Recipients REF'!$A:$A,'Recipients REF'!J:J,"",0)</f>
        <v>STS100469</v>
      </c>
      <c r="S787" s="45" t="s">
        <v>27</v>
      </c>
      <c r="T787" s="45" t="s">
        <v>28</v>
      </c>
      <c r="U787" s="46" t="str">
        <f t="array" ref="U787">XLOOKUP($A787,'Recipients REF'!$A:$A,'Recipients REF'!K:K,"",0)</f>
        <v>WR-SERIES 134</v>
      </c>
      <c r="V787" s="44" t="s">
        <v>29</v>
      </c>
      <c r="W787" s="45" t="s">
        <v>30</v>
      </c>
      <c r="X787" s="53" t="str">
        <f t="array" ref="X787">XLOOKUP($A787,'Recipients REF'!$A:$A,'Recipients REF'!L:L,"",0)</f>
        <v>2508426</v>
      </c>
      <c r="Y787" s="48" t="s">
        <v>29</v>
      </c>
      <c r="Z787" s="48" t="s">
        <v>31</v>
      </c>
      <c r="AA787" s="54" t="str">
        <f t="array" ref="AA787">XLOOKUP($A787,'Recipients REF'!$A:$A,'Recipients REF'!M:M,"",0)</f>
        <v>25090982</v>
      </c>
      <c r="AB787" s="49"/>
      <c r="AC787" s="42"/>
      <c r="AD787" s="42"/>
      <c r="AE787" s="50"/>
      <c r="AF787" s="42"/>
      <c r="AG787" s="42"/>
      <c r="AH787" s="42"/>
      <c r="AI787" s="42" t="str">
        <f t="array" ref="AI787">XLOOKUP($E787,Sheet11!$D:$D,Sheet11!$X:$X,"",0)</f>
        <v/>
      </c>
      <c r="AJ787" s="42" t="str">
        <f t="array" ref="AJ787">XLOOKUP($E787,Sheet11!$D:$D,Sheet11!$Y:$Y,"",0)</f>
        <v/>
      </c>
    </row>
    <row r="788">
      <c r="A788" s="41">
        <v>98.0</v>
      </c>
      <c r="B788" s="42" t="s">
        <v>1540</v>
      </c>
      <c r="C788" s="42" t="s">
        <v>1541</v>
      </c>
      <c r="D788" s="42"/>
      <c r="E788" s="42" t="str">
        <f t="shared" ref="E788:F788" si="789">PROPER(B788)</f>
        <v>La Paz Farmers Association</v>
      </c>
      <c r="F788" s="42" t="str">
        <f t="shared" si="789"/>
        <v>La Paz, Magalang, Pampanga</v>
      </c>
      <c r="G788" s="42" t="str">
        <f t="shared" si="3"/>
        <v>La Paz</v>
      </c>
      <c r="H788" s="42" t="str">
        <f t="shared" si="4"/>
        <v>Magalang</v>
      </c>
      <c r="I788" s="42" t="str">
        <f t="shared" si="5"/>
        <v>Pampanga</v>
      </c>
      <c r="J788" s="42" t="str">
        <f t="array" ref="J788">XLOOKUP($E788,'Recipients REF'!$B:$B,'Recipients REF'!D:D,"",0)</f>
        <v>ROLANDO P. BARTOLO</v>
      </c>
      <c r="K788" s="42" t="str">
        <f t="array" ref="K788">XLOOKUP($E788,'Recipients REF'!$B:$B,'Recipients REF'!E:E,"",0)</f>
        <v>0926-188-3530</v>
      </c>
      <c r="L788" s="43" t="str">
        <f t="array" ref="L788">XLOOKUP($A788,'Recipients REF'!$A:$A,'Recipients REF'!F:F,"",0)</f>
        <v>RCEF 23-09-21 Rebidding</v>
      </c>
      <c r="M788" s="43">
        <f t="array" ref="M788">XLOOKUP($A788,'Recipients REF'!$A:$A,'Recipients REF'!G:G,"",0)</f>
        <v>3</v>
      </c>
      <c r="N788" s="43">
        <f t="array" ref="N788">XLOOKUP($A788,'Recipients REF'!$A:$A,'Recipients REF'!H:H,"",0)</f>
        <v>17782</v>
      </c>
      <c r="O788" s="44" t="s">
        <v>25</v>
      </c>
      <c r="P788" s="45" t="s">
        <v>26</v>
      </c>
      <c r="Q788" s="46" t="str">
        <f t="array" ref="Q788">XLOOKUP($A788,'Recipients REF'!$A:$A,'Recipients REF'!I:I,"",0)</f>
        <v>KMC5825 AAPFPV0151</v>
      </c>
      <c r="R788" s="47" t="str">
        <f t="array" ref="R788">XLOOKUP($A788,'Recipients REF'!$A:$A,'Recipients REF'!J:J,"",0)</f>
        <v>PTS100089</v>
      </c>
      <c r="S788" s="45" t="s">
        <v>27</v>
      </c>
      <c r="T788" s="45" t="s">
        <v>28</v>
      </c>
      <c r="U788" s="46" t="str">
        <f t="array" ref="U788">XLOOKUP($A788,'Recipients REF'!$A:$A,'Recipients REF'!K:K,"",0)</f>
        <v>R-SERIES 090PH</v>
      </c>
      <c r="V788" s="44" t="s">
        <v>29</v>
      </c>
      <c r="W788" s="45" t="s">
        <v>30</v>
      </c>
      <c r="X788" s="47" t="str">
        <f t="array" ref="X788">XLOOKUP($A788,'Recipients REF'!$A:$A,'Recipients REF'!L:L,"",0)</f>
        <v>LSGW1750-RMP-2312030</v>
      </c>
      <c r="Y788" s="48" t="s">
        <v>29</v>
      </c>
      <c r="Z788" s="48" t="s">
        <v>31</v>
      </c>
      <c r="AA788" s="46" t="str">
        <f t="array" ref="AA788">XLOOKUP($A788,'Recipients REF'!$A:$A,'Recipients REF'!M:M,"",0)</f>
        <v>WDP40-RMP-2312013</v>
      </c>
      <c r="AB788" s="49"/>
      <c r="AC788" s="42"/>
      <c r="AD788" s="42"/>
      <c r="AE788" s="51"/>
      <c r="AF788" s="42"/>
      <c r="AG788" s="42"/>
      <c r="AH788" s="42"/>
      <c r="AI788" s="42">
        <f t="array" ref="AI788">XLOOKUP($E788,Sheet11!$D:$D,Sheet11!$X:$X,"",0)</f>
        <v>869066060244838</v>
      </c>
      <c r="AJ788" s="42" t="str">
        <f t="array" ref="AJ788">XLOOKUP($E788,Sheet11!$D:$D,Sheet11!$Y:$Y,"",0)</f>
        <v>09690232778</v>
      </c>
    </row>
    <row r="789">
      <c r="A789" s="41">
        <v>581.0</v>
      </c>
      <c r="B789" s="42" t="s">
        <v>1542</v>
      </c>
      <c r="C789" s="42" t="s">
        <v>1543</v>
      </c>
      <c r="D789" s="42"/>
      <c r="E789" s="42" t="str">
        <f t="shared" ref="E789:F789" si="790">PROPER(B789)</f>
        <v>Panayotti Irrigators Farmers Association Inc.</v>
      </c>
      <c r="F789" s="42" t="str">
        <f t="shared" si="790"/>
        <v>Escaler, Magalang, Pampanga</v>
      </c>
      <c r="G789" s="42" t="str">
        <f t="shared" si="3"/>
        <v>Escaler</v>
      </c>
      <c r="H789" s="42" t="str">
        <f t="shared" si="4"/>
        <v>Magalang</v>
      </c>
      <c r="I789" s="42" t="str">
        <f t="shared" si="5"/>
        <v>Pampanga</v>
      </c>
      <c r="J789" s="42" t="str">
        <f t="array" ref="J789">XLOOKUP($E789,'Recipients REF'!$B:$B,'Recipients REF'!D:D,"",0)</f>
        <v>CRISOSTOMO M. SORIANO</v>
      </c>
      <c r="K789" s="42" t="str">
        <f t="array" ref="K789">XLOOKUP($E789,'Recipients REF'!$B:$B,'Recipients REF'!E:E,"",0)</f>
        <v>0906-352-4803</v>
      </c>
      <c r="L789" s="43" t="str">
        <f t="array" ref="L789">XLOOKUP($A789,'Recipients REF'!$A:$A,'Recipients REF'!F:F,"",0)</f>
        <v>RCEF 24-04-15</v>
      </c>
      <c r="M789" s="43">
        <f t="array" ref="M789">XLOOKUP($A789,'Recipients REF'!$A:$A,'Recipients REF'!G:G,"",0)</f>
        <v>6</v>
      </c>
      <c r="N789" s="43">
        <f t="array" ref="N789">XLOOKUP($A789,'Recipients REF'!$A:$A,'Recipients REF'!H:H,"",0)</f>
        <v>22334</v>
      </c>
      <c r="O789" s="44" t="s">
        <v>25</v>
      </c>
      <c r="P789" s="45" t="s">
        <v>26</v>
      </c>
      <c r="Q789" s="46" t="str">
        <f t="array" ref="Q789">XLOOKUP($A789,'Recipients REF'!$A:$A,'Recipients REF'!I:I,"",0)</f>
        <v>KMC5825APRFPV0923</v>
      </c>
      <c r="R789" s="47" t="str">
        <f t="array" ref="R789">XLOOKUP($A789,'Recipients REF'!$A:$A,'Recipients REF'!J:J,"",0)</f>
        <v>RTS100655</v>
      </c>
      <c r="S789" s="45" t="s">
        <v>27</v>
      </c>
      <c r="T789" s="45" t="s">
        <v>28</v>
      </c>
      <c r="U789" s="46" t="str">
        <f t="array" ref="U789">XLOOKUP($A789,'Recipients REF'!$A:$A,'Recipients REF'!K:K,"",0)</f>
        <v>LSGW170-RMP-24101036</v>
      </c>
      <c r="V789" s="44" t="s">
        <v>29</v>
      </c>
      <c r="W789" s="45" t="s">
        <v>30</v>
      </c>
      <c r="X789" s="47" t="str">
        <f t="array" ref="X789">XLOOKUP($A789,'Recipients REF'!$A:$A,'Recipients REF'!L:L,"",0)</f>
        <v>WDP40-RMP-24111360</v>
      </c>
      <c r="Y789" s="48" t="s">
        <v>29</v>
      </c>
      <c r="Z789" s="48" t="s">
        <v>31</v>
      </c>
      <c r="AA789" s="46" t="str">
        <f t="array" ref="AA789">XLOOKUP($A789,'Recipients REF'!$A:$A,'Recipients REF'!M:M,"",0)</f>
        <v>WR-SERIES-1010PH</v>
      </c>
      <c r="AB789" s="49"/>
      <c r="AC789" s="42"/>
      <c r="AD789" s="42"/>
      <c r="AE789" s="51"/>
      <c r="AF789" s="42"/>
      <c r="AG789" s="42"/>
      <c r="AH789" s="42"/>
      <c r="AI789" s="42" t="str">
        <f t="array" ref="AI789">XLOOKUP($E789,Sheet11!$D:$D,Sheet11!$X:$X,"",0)</f>
        <v/>
      </c>
      <c r="AJ789" s="42" t="str">
        <f t="array" ref="AJ789">XLOOKUP($E789,Sheet11!$D:$D,Sheet11!$Y:$Y,"",0)</f>
        <v/>
      </c>
    </row>
    <row r="790">
      <c r="A790" s="41">
        <v>678.0</v>
      </c>
      <c r="B790" s="42" t="s">
        <v>1544</v>
      </c>
      <c r="C790" s="42" t="s">
        <v>1545</v>
      </c>
      <c r="D790" s="42"/>
      <c r="E790" s="42" t="str">
        <f t="shared" ref="E790:F790" si="791">PROPER(B790)</f>
        <v>Bucanan Farmer'S Association</v>
      </c>
      <c r="F790" s="42" t="str">
        <f t="shared" si="791"/>
        <v>Bucanan, Magalang, Pampanga</v>
      </c>
      <c r="G790" s="42" t="str">
        <f t="shared" si="3"/>
        <v>Bucanan</v>
      </c>
      <c r="H790" s="42" t="str">
        <f t="shared" si="4"/>
        <v>Magalang</v>
      </c>
      <c r="I790" s="42" t="str">
        <f t="shared" si="5"/>
        <v>Pampanga</v>
      </c>
      <c r="J790" s="42" t="str">
        <f t="array" ref="J790">XLOOKUP($E790,'Recipients REF'!$B:$B,'Recipients REF'!D:D,"",0)</f>
        <v>ARNEL G. VELASCO</v>
      </c>
      <c r="K790" s="42" t="str">
        <f t="array" ref="K790">XLOOKUP($E790,'Recipients REF'!$B:$B,'Recipients REF'!E:E,"",0)</f>
        <v>0906-607-2767</v>
      </c>
      <c r="L790" s="43" t="str">
        <f t="array" ref="L790">XLOOKUP($A790,'Recipients REF'!$A:$A,'Recipients REF'!F:F,"",0)</f>
        <v>RCEF 25-03-05</v>
      </c>
      <c r="M790" s="43">
        <f t="array" ref="M790">XLOOKUP($A790,'Recipients REF'!$A:$A,'Recipients REF'!G:G,"",0)</f>
        <v>5</v>
      </c>
      <c r="N790" s="43" t="str">
        <f t="array" ref="N790">XLOOKUP($A790,'Recipients REF'!$A:$A,'Recipients REF'!H:H,"",0)</f>
        <v>26495 &amp; 27676</v>
      </c>
      <c r="O790" s="44" t="s">
        <v>25</v>
      </c>
      <c r="P790" s="45" t="s">
        <v>26</v>
      </c>
      <c r="Q790" s="46" t="str">
        <f t="array" ref="Q790">XLOOKUP($A790,'Recipients REF'!$A:$A,'Recipients REF'!I:I,"",0)</f>
        <v>KMC5825 AESFPV0177</v>
      </c>
      <c r="R790" s="53" t="str">
        <f t="array" ref="R790">XLOOKUP($A790,'Recipients REF'!$A:$A,'Recipients REF'!J:J,"",0)</f>
        <v>STS100188</v>
      </c>
      <c r="S790" s="45" t="s">
        <v>27</v>
      </c>
      <c r="T790" s="45" t="s">
        <v>28</v>
      </c>
      <c r="U790" s="46" t="str">
        <f t="array" ref="U790">XLOOKUP($A790,'Recipients REF'!$A:$A,'Recipients REF'!K:K,"",0)</f>
        <v>R-SERIES 143PH</v>
      </c>
      <c r="V790" s="44" t="s">
        <v>29</v>
      </c>
      <c r="W790" s="45" t="s">
        <v>30</v>
      </c>
      <c r="X790" s="53" t="str">
        <f t="array" ref="X790">XLOOKUP($A790,'Recipients REF'!$A:$A,'Recipients REF'!L:L,"",0)</f>
        <v>25080344</v>
      </c>
      <c r="Y790" s="48" t="s">
        <v>29</v>
      </c>
      <c r="Z790" s="48" t="s">
        <v>31</v>
      </c>
      <c r="AA790" s="54" t="str">
        <f t="array" ref="AA790">XLOOKUP($A790,'Recipients REF'!$A:$A,'Recipients REF'!M:M,"",0)</f>
        <v>25090994</v>
      </c>
      <c r="AB790" s="49"/>
      <c r="AC790" s="42"/>
      <c r="AD790" s="42"/>
      <c r="AE790" s="50"/>
      <c r="AF790" s="42"/>
      <c r="AG790" s="42"/>
      <c r="AH790" s="42"/>
      <c r="AI790" s="42" t="str">
        <f t="array" ref="AI790">XLOOKUP($E790,Sheet11!$D:$D,Sheet11!$X:$X,"",0)</f>
        <v/>
      </c>
      <c r="AJ790" s="42" t="str">
        <f t="array" ref="AJ790">XLOOKUP($E790,Sheet11!$D:$D,Sheet11!$Y:$Y,"",0)</f>
        <v/>
      </c>
    </row>
    <row r="791">
      <c r="A791" s="41">
        <v>679.0</v>
      </c>
      <c r="B791" s="42" t="s">
        <v>1546</v>
      </c>
      <c r="C791" s="42" t="s">
        <v>1547</v>
      </c>
      <c r="D791" s="42"/>
      <c r="E791" s="42" t="str">
        <f t="shared" ref="E791:F791" si="792">PROPER(B791)</f>
        <v>Cruzian Multipurpose Cooperative</v>
      </c>
      <c r="F791" s="42" t="str">
        <f t="shared" si="792"/>
        <v>Santa Cruz (Pob.), Magalang, Pampanga</v>
      </c>
      <c r="G791" s="42" t="str">
        <f t="shared" si="3"/>
        <v>Santa Cruz (Pob.)</v>
      </c>
      <c r="H791" s="42" t="str">
        <f t="shared" si="4"/>
        <v>Magalang</v>
      </c>
      <c r="I791" s="42" t="str">
        <f t="shared" si="5"/>
        <v>Pampanga</v>
      </c>
      <c r="J791" s="42" t="str">
        <f t="array" ref="J791">XLOOKUP($E791,'Recipients REF'!$B:$B,'Recipients REF'!D:D,"",0)</f>
        <v>VICTORIO C. LACSON</v>
      </c>
      <c r="K791" s="42" t="str">
        <f t="array" ref="K791">XLOOKUP($E791,'Recipients REF'!$B:$B,'Recipients REF'!E:E,"",0)</f>
        <v>0917-895-1106</v>
      </c>
      <c r="L791" s="43" t="str">
        <f t="array" ref="L791">XLOOKUP($A791,'Recipients REF'!$A:$A,'Recipients REF'!F:F,"",0)</f>
        <v>RCEF 25-03-05</v>
      </c>
      <c r="M791" s="43">
        <f t="array" ref="M791">XLOOKUP($A791,'Recipients REF'!$A:$A,'Recipients REF'!G:G,"",0)</f>
        <v>5</v>
      </c>
      <c r="N791" s="43" t="str">
        <f t="array" ref="N791">XLOOKUP($A791,'Recipients REF'!$A:$A,'Recipients REF'!H:H,"",0)</f>
        <v>26496 &amp; 27677</v>
      </c>
      <c r="O791" s="44" t="s">
        <v>25</v>
      </c>
      <c r="P791" s="45" t="s">
        <v>26</v>
      </c>
      <c r="Q791" s="46" t="str">
        <f t="array" ref="Q791">XLOOKUP($A791,'Recipients REF'!$A:$A,'Recipients REF'!I:I,"",0)</f>
        <v>KMC5825 ACSFPV0309</v>
      </c>
      <c r="R791" s="53" t="str">
        <f t="array" ref="R791">XLOOKUP($A791,'Recipients REF'!$A:$A,'Recipients REF'!J:J,"",0)</f>
        <v>STS100312</v>
      </c>
      <c r="S791" s="45" t="s">
        <v>27</v>
      </c>
      <c r="T791" s="45" t="s">
        <v>28</v>
      </c>
      <c r="U791" s="46" t="str">
        <f t="array" ref="U791">XLOOKUP($A791,'Recipients REF'!$A:$A,'Recipients REF'!K:K,"",0)</f>
        <v>WR-SERIES 133</v>
      </c>
      <c r="V791" s="44" t="s">
        <v>29</v>
      </c>
      <c r="W791" s="45" t="s">
        <v>30</v>
      </c>
      <c r="X791" s="53" t="str">
        <f t="array" ref="X791">XLOOKUP($A791,'Recipients REF'!$A:$A,'Recipients REF'!L:L,"",0)</f>
        <v>25080436</v>
      </c>
      <c r="Y791" s="48" t="s">
        <v>29</v>
      </c>
      <c r="Z791" s="48" t="s">
        <v>31</v>
      </c>
      <c r="AA791" s="54" t="str">
        <f t="array" ref="AA791">XLOOKUP($A791,'Recipients REF'!$A:$A,'Recipients REF'!M:M,"",0)</f>
        <v>25090988</v>
      </c>
      <c r="AB791" s="49"/>
      <c r="AC791" s="42"/>
      <c r="AD791" s="42"/>
      <c r="AE791" s="50"/>
      <c r="AF791" s="42"/>
      <c r="AG791" s="42"/>
      <c r="AH791" s="42"/>
      <c r="AI791" s="42" t="str">
        <f t="array" ref="AI791">XLOOKUP($E791,Sheet11!$D:$D,Sheet11!$X:$X,"",0)</f>
        <v/>
      </c>
      <c r="AJ791" s="42" t="str">
        <f t="array" ref="AJ791">XLOOKUP($E791,Sheet11!$D:$D,Sheet11!$Y:$Y,"",0)</f>
        <v/>
      </c>
    </row>
    <row r="792">
      <c r="A792" s="41">
        <v>680.0</v>
      </c>
      <c r="B792" s="42" t="s">
        <v>1548</v>
      </c>
      <c r="C792" s="42" t="s">
        <v>1549</v>
      </c>
      <c r="D792" s="42"/>
      <c r="E792" s="42" t="str">
        <f t="shared" ref="E792:F792" si="793">PROPER(B792)</f>
        <v>Municipal Local Government Unit Of Magalang</v>
      </c>
      <c r="F792" s="42" t="str">
        <f t="shared" si="793"/>
        <v>, Magalang, Pampanga</v>
      </c>
      <c r="G792" s="42" t="str">
        <f t="shared" si="3"/>
        <v/>
      </c>
      <c r="H792" s="42" t="str">
        <f t="shared" si="4"/>
        <v>Magalang</v>
      </c>
      <c r="I792" s="42" t="str">
        <f t="shared" si="5"/>
        <v>Pampanga</v>
      </c>
      <c r="J792" s="42" t="str">
        <f t="array" ref="J792">XLOOKUP($E792,'Recipients REF'!$B:$B,'Recipients REF'!D:D,"",0)</f>
        <v>HON. MARIA LOURDES P. LACSON/ ROYCE LISING</v>
      </c>
      <c r="K792" s="42" t="str">
        <f t="array" ref="K792">XLOOKUP($E792,'Recipients REF'!$B:$B,'Recipients REF'!E:E,"",0)</f>
        <v>0935-901-2102</v>
      </c>
      <c r="L792" s="43" t="str">
        <f t="array" ref="L792">XLOOKUP($A792,'Recipients REF'!$A:$A,'Recipients REF'!F:F,"",0)</f>
        <v>RCEF 25-03-05</v>
      </c>
      <c r="M792" s="43">
        <f t="array" ref="M792">XLOOKUP($A792,'Recipients REF'!$A:$A,'Recipients REF'!G:G,"",0)</f>
        <v>5</v>
      </c>
      <c r="N792" s="43" t="str">
        <f t="array" ref="N792">XLOOKUP($A792,'Recipients REF'!$A:$A,'Recipients REF'!H:H,"",0)</f>
        <v>26497 &amp; 27678</v>
      </c>
      <c r="O792" s="44" t="s">
        <v>25</v>
      </c>
      <c r="P792" s="45" t="s">
        <v>26</v>
      </c>
      <c r="Q792" s="46" t="str">
        <f t="array" ref="Q792">XLOOKUP($A792,'Recipients REF'!$A:$A,'Recipients REF'!I:I,"",0)</f>
        <v>KMC5825 AVSFPV0266</v>
      </c>
      <c r="R792" s="53" t="str">
        <f t="array" ref="R792">XLOOKUP($A792,'Recipients REF'!$A:$A,'Recipients REF'!J:J,"",0)</f>
        <v>STS100277</v>
      </c>
      <c r="S792" s="45" t="s">
        <v>27</v>
      </c>
      <c r="T792" s="45" t="s">
        <v>28</v>
      </c>
      <c r="U792" s="46" t="str">
        <f t="array" ref="U792">XLOOKUP($A792,'Recipients REF'!$A:$A,'Recipients REF'!K:K,"",0)</f>
        <v>R-SERIES 037</v>
      </c>
      <c r="V792" s="44" t="s">
        <v>29</v>
      </c>
      <c r="W792" s="45" t="s">
        <v>30</v>
      </c>
      <c r="X792" s="53" t="str">
        <f t="array" ref="X792">XLOOKUP($A792,'Recipients REF'!$A:$A,'Recipients REF'!L:L,"",0)</f>
        <v>25080438</v>
      </c>
      <c r="Y792" s="48" t="s">
        <v>29</v>
      </c>
      <c r="Z792" s="48" t="s">
        <v>31</v>
      </c>
      <c r="AA792" s="54" t="str">
        <f t="array" ref="AA792">XLOOKUP($A792,'Recipients REF'!$A:$A,'Recipients REF'!M:M,"",0)</f>
        <v>25090984</v>
      </c>
      <c r="AB792" s="49"/>
      <c r="AC792" s="42"/>
      <c r="AD792" s="42"/>
      <c r="AE792" s="51"/>
      <c r="AF792" s="42"/>
      <c r="AG792" s="42"/>
      <c r="AH792" s="42"/>
      <c r="AI792" s="42" t="str">
        <f t="array" ref="AI792">XLOOKUP($E792,Sheet11!$D:$D,Sheet11!$X:$X,"",0)</f>
        <v/>
      </c>
      <c r="AJ792" s="42" t="str">
        <f t="array" ref="AJ792">XLOOKUP($E792,Sheet11!$D:$D,Sheet11!$Y:$Y,"",0)</f>
        <v/>
      </c>
    </row>
    <row r="793">
      <c r="A793" s="41">
        <v>106.0</v>
      </c>
      <c r="B793" s="42" t="s">
        <v>1550</v>
      </c>
      <c r="C793" s="42" t="s">
        <v>1551</v>
      </c>
      <c r="D793" s="42"/>
      <c r="E793" s="42" t="str">
        <f t="shared" ref="E793:F793" si="794">PROPER(B793)</f>
        <v>Svmex Farmers Association Inc.</v>
      </c>
      <c r="F793" s="42" t="str">
        <f t="shared" si="794"/>
        <v>San Vicente, Mexico, Pampanga</v>
      </c>
      <c r="G793" s="42" t="str">
        <f t="shared" si="3"/>
        <v>San Vicente</v>
      </c>
      <c r="H793" s="42" t="str">
        <f t="shared" si="4"/>
        <v>Mexico</v>
      </c>
      <c r="I793" s="42" t="str">
        <f t="shared" si="5"/>
        <v>Pampanga</v>
      </c>
      <c r="J793" s="42" t="str">
        <f t="array" ref="J793">XLOOKUP($E793,'Recipients REF'!$B:$B,'Recipients REF'!D:D,"",0)</f>
        <v>VALENTINO E. ALLAS</v>
      </c>
      <c r="K793" s="42" t="str">
        <f t="array" ref="K793">XLOOKUP($E793,'Recipients REF'!$B:$B,'Recipients REF'!E:E,"",0)</f>
        <v>0927-872-9371</v>
      </c>
      <c r="L793" s="43" t="str">
        <f t="array" ref="L793">XLOOKUP($A793,'Recipients REF'!$A:$A,'Recipients REF'!F:F,"",0)</f>
        <v>RCEF 23-09-21 Rebidding</v>
      </c>
      <c r="M793" s="43">
        <f t="array" ref="M793">XLOOKUP($A793,'Recipients REF'!$A:$A,'Recipients REF'!G:G,"",0)</f>
        <v>3</v>
      </c>
      <c r="N793" s="43">
        <f t="array" ref="N793">XLOOKUP($A793,'Recipients REF'!$A:$A,'Recipients REF'!H:H,"",0)</f>
        <v>17790</v>
      </c>
      <c r="O793" s="44" t="s">
        <v>25</v>
      </c>
      <c r="P793" s="45" t="s">
        <v>26</v>
      </c>
      <c r="Q793" s="46" t="str">
        <f t="array" ref="Q793">XLOOKUP($A793,'Recipients REF'!$A:$A,'Recipients REF'!I:I,"",0)</f>
        <v>KMC5825 AEPFPV0056</v>
      </c>
      <c r="R793" s="47" t="str">
        <f t="array" ref="R793">XLOOKUP($A793,'Recipients REF'!$A:$A,'Recipients REF'!J:J,"",0)</f>
        <v>PTS100131</v>
      </c>
      <c r="S793" s="45" t="s">
        <v>27</v>
      </c>
      <c r="T793" s="45" t="s">
        <v>28</v>
      </c>
      <c r="U793" s="46" t="str">
        <f t="array" ref="U793">XLOOKUP($A793,'Recipients REF'!$A:$A,'Recipients REF'!K:K,"",0)</f>
        <v>R-SERIES 098PH</v>
      </c>
      <c r="V793" s="44" t="s">
        <v>29</v>
      </c>
      <c r="W793" s="45" t="s">
        <v>30</v>
      </c>
      <c r="X793" s="47" t="str">
        <f t="array" ref="X793">XLOOKUP($A793,'Recipients REF'!$A:$A,'Recipients REF'!L:L,"",0)</f>
        <v>LSGW1750-RMP-2312009</v>
      </c>
      <c r="Y793" s="48" t="s">
        <v>29</v>
      </c>
      <c r="Z793" s="48" t="s">
        <v>31</v>
      </c>
      <c r="AA793" s="46" t="str">
        <f t="array" ref="AA793">XLOOKUP($A793,'Recipients REF'!$A:$A,'Recipients REF'!M:M,"",0)</f>
        <v>WDP40-RMP-2312030</v>
      </c>
      <c r="AB793" s="49"/>
      <c r="AC793" s="42"/>
      <c r="AD793" s="42"/>
      <c r="AE793" s="59">
        <v>8.6906606379703E14</v>
      </c>
      <c r="AF793" s="56" t="s">
        <v>1552</v>
      </c>
      <c r="AG793" s="42"/>
      <c r="AH793" s="42"/>
      <c r="AI793" s="42">
        <f t="array" ref="AI793">XLOOKUP($E793,Sheet11!$D:$D,Sheet11!$X:$X,"",0)</f>
        <v>869066060240422</v>
      </c>
      <c r="AJ793" s="42" t="str">
        <f t="array" ref="AJ793">XLOOKUP($E793,Sheet11!$D:$D,Sheet11!$Y:$Y,"",0)</f>
        <v>09690315931</v>
      </c>
    </row>
    <row r="794">
      <c r="A794" s="41">
        <v>588.0</v>
      </c>
      <c r="B794" s="42" t="s">
        <v>1553</v>
      </c>
      <c r="C794" s="42" t="s">
        <v>1554</v>
      </c>
      <c r="D794" s="42"/>
      <c r="E794" s="42" t="str">
        <f t="shared" ref="E794:F794" si="795">PROPER(B794)</f>
        <v>Bagong Pag-Asa Farmers Association</v>
      </c>
      <c r="F794" s="42" t="str">
        <f t="shared" si="795"/>
        <v>Divisoria, Mexico, Pampanga</v>
      </c>
      <c r="G794" s="42" t="str">
        <f t="shared" si="3"/>
        <v>Divisoria</v>
      </c>
      <c r="H794" s="42" t="str">
        <f t="shared" si="4"/>
        <v>Mexico</v>
      </c>
      <c r="I794" s="42" t="str">
        <f t="shared" si="5"/>
        <v>Pampanga</v>
      </c>
      <c r="J794" s="42" t="str">
        <f t="array" ref="J794">XLOOKUP($E794,'Recipients REF'!$B:$B,'Recipients REF'!D:D,"",0)</f>
        <v>NESTOR B. BAUTISTA</v>
      </c>
      <c r="K794" s="42" t="str">
        <f t="array" ref="K794">XLOOKUP($E794,'Recipients REF'!$B:$B,'Recipients REF'!E:E,"",0)</f>
        <v>0917-963-3626</v>
      </c>
      <c r="L794" s="43" t="str">
        <f t="array" ref="L794">XLOOKUP($A794,'Recipients REF'!$A:$A,'Recipients REF'!F:F,"",0)</f>
        <v>RCEF 24-04-15</v>
      </c>
      <c r="M794" s="43">
        <f t="array" ref="M794">XLOOKUP($A794,'Recipients REF'!$A:$A,'Recipients REF'!G:G,"",0)</f>
        <v>6</v>
      </c>
      <c r="N794" s="43">
        <f t="array" ref="N794">XLOOKUP($A794,'Recipients REF'!$A:$A,'Recipients REF'!H:H,"",0)</f>
        <v>22341</v>
      </c>
      <c r="O794" s="44" t="s">
        <v>25</v>
      </c>
      <c r="P794" s="45" t="s">
        <v>26</v>
      </c>
      <c r="Q794" s="46" t="str">
        <f t="array" ref="Q794">XLOOKUP($A794,'Recipients REF'!$A:$A,'Recipients REF'!I:I,"",0)</f>
        <v>KMC5825AVRFPV0880</v>
      </c>
      <c r="R794" s="47" t="str">
        <f t="array" ref="R794">XLOOKUP($A794,'Recipients REF'!$A:$A,'Recipients REF'!J:J,"",0)</f>
        <v>RTS100769</v>
      </c>
      <c r="S794" s="45" t="s">
        <v>27</v>
      </c>
      <c r="T794" s="45" t="s">
        <v>28</v>
      </c>
      <c r="U794" s="46" t="str">
        <f t="array" ref="U794">XLOOKUP($A794,'Recipients REF'!$A:$A,'Recipients REF'!K:K,"",0)</f>
        <v>LSGW170-RMP-24100982</v>
      </c>
      <c r="V794" s="44" t="s">
        <v>29</v>
      </c>
      <c r="W794" s="45" t="s">
        <v>30</v>
      </c>
      <c r="X794" s="47" t="str">
        <f t="array" ref="X794">XLOOKUP($A794,'Recipients REF'!$A:$A,'Recipients REF'!L:L,"",0)</f>
        <v>WDP40-RMP-24121486</v>
      </c>
      <c r="Y794" s="48" t="s">
        <v>29</v>
      </c>
      <c r="Z794" s="48" t="s">
        <v>31</v>
      </c>
      <c r="AA794" s="46" t="str">
        <f t="array" ref="AA794">XLOOKUP($A794,'Recipients REF'!$A:$A,'Recipients REF'!M:M,"",0)</f>
        <v>WR-SERIES-1095PH</v>
      </c>
      <c r="AB794" s="49"/>
      <c r="AC794" s="42"/>
      <c r="AD794" s="42"/>
      <c r="AE794" s="51"/>
      <c r="AF794" s="42"/>
      <c r="AG794" s="42"/>
      <c r="AH794" s="42"/>
      <c r="AI794" s="42" t="str">
        <f t="array" ref="AI794">XLOOKUP($E794,Sheet11!$D:$D,Sheet11!$X:$X,"",0)</f>
        <v/>
      </c>
      <c r="AJ794" s="42" t="str">
        <f t="array" ref="AJ794">XLOOKUP($E794,Sheet11!$D:$D,Sheet11!$Y:$Y,"",0)</f>
        <v/>
      </c>
    </row>
    <row r="795">
      <c r="A795" s="41">
        <v>695.0</v>
      </c>
      <c r="B795" s="42" t="s">
        <v>1555</v>
      </c>
      <c r="C795" s="42" t="s">
        <v>1556</v>
      </c>
      <c r="D795" s="42"/>
      <c r="E795" s="42" t="str">
        <f t="shared" ref="E795:F795" si="796">PROPER(B795)</f>
        <v>Eden Mexico People'S Organization And Farmer'S Association Inc.</v>
      </c>
      <c r="F795" s="42" t="str">
        <f t="shared" si="796"/>
        <v>Eden, Mexico, Pampanga</v>
      </c>
      <c r="G795" s="42" t="str">
        <f t="shared" si="3"/>
        <v>Eden</v>
      </c>
      <c r="H795" s="42" t="str">
        <f t="shared" si="4"/>
        <v>Mexico</v>
      </c>
      <c r="I795" s="42" t="str">
        <f t="shared" si="5"/>
        <v>Pampanga</v>
      </c>
      <c r="J795" s="42" t="str">
        <f t="array" ref="J795">XLOOKUP($E795,'Recipients REF'!$B:$B,'Recipients REF'!D:D,"",0)</f>
        <v>RONEL S. MALIG</v>
      </c>
      <c r="K795" s="42" t="str">
        <f t="array" ref="K795">XLOOKUP($E795,'Recipients REF'!$B:$B,'Recipients REF'!E:E,"",0)</f>
        <v>0975-860-5756</v>
      </c>
      <c r="L795" s="43" t="str">
        <f t="array" ref="L795">XLOOKUP($A795,'Recipients REF'!$A:$A,'Recipients REF'!F:F,"",0)</f>
        <v>RCEF 25-03-05</v>
      </c>
      <c r="M795" s="43">
        <f t="array" ref="M795">XLOOKUP($A795,'Recipients REF'!$A:$A,'Recipients REF'!G:G,"",0)</f>
        <v>5</v>
      </c>
      <c r="N795" s="43" t="str">
        <f t="array" ref="N795">XLOOKUP($A795,'Recipients REF'!$A:$A,'Recipients REF'!H:H,"",0)</f>
        <v>26512 &amp; 27693</v>
      </c>
      <c r="O795" s="44" t="s">
        <v>25</v>
      </c>
      <c r="P795" s="45" t="s">
        <v>26</v>
      </c>
      <c r="Q795" s="46" t="str">
        <f t="array" ref="Q795">XLOOKUP($A795,'Recipients REF'!$A:$A,'Recipients REF'!I:I,"",0)</f>
        <v>KMC5825 AESFPV0180</v>
      </c>
      <c r="R795" s="53" t="str">
        <f t="array" ref="R795">XLOOKUP($A795,'Recipients REF'!$A:$A,'Recipients REF'!J:J,"",0)</f>
        <v>STS100210</v>
      </c>
      <c r="S795" s="45" t="s">
        <v>27</v>
      </c>
      <c r="T795" s="45" t="s">
        <v>28</v>
      </c>
      <c r="U795" s="46" t="str">
        <f t="array" ref="U795">XLOOKUP($A795,'Recipients REF'!$A:$A,'Recipients REF'!K:K,"",0)</f>
        <v>R-SERIES 057PH</v>
      </c>
      <c r="V795" s="44" t="s">
        <v>29</v>
      </c>
      <c r="W795" s="45" t="s">
        <v>30</v>
      </c>
      <c r="X795" s="53" t="str">
        <f t="array" ref="X795">XLOOKUP($A795,'Recipients REF'!$A:$A,'Recipients REF'!L:L,"",0)</f>
        <v>25080311</v>
      </c>
      <c r="Y795" s="48" t="s">
        <v>29</v>
      </c>
      <c r="Z795" s="48" t="s">
        <v>31</v>
      </c>
      <c r="AA795" s="54" t="str">
        <f t="array" ref="AA795">XLOOKUP($A795,'Recipients REF'!$A:$A,'Recipients REF'!M:M,"",0)</f>
        <v>25080845</v>
      </c>
      <c r="AB795" s="49"/>
      <c r="AC795" s="42"/>
      <c r="AD795" s="42"/>
      <c r="AE795" s="50"/>
      <c r="AF795" s="42"/>
      <c r="AG795" s="42"/>
      <c r="AH795" s="42"/>
      <c r="AI795" s="42" t="str">
        <f t="array" ref="AI795">XLOOKUP($E795,Sheet11!$D:$D,Sheet11!$X:$X,"",0)</f>
        <v/>
      </c>
      <c r="AJ795" s="42" t="str">
        <f t="array" ref="AJ795">XLOOKUP($E795,Sheet11!$D:$D,Sheet11!$Y:$Y,"",0)</f>
        <v/>
      </c>
    </row>
    <row r="796">
      <c r="A796" s="41">
        <v>696.0</v>
      </c>
      <c r="B796" s="42" t="s">
        <v>1557</v>
      </c>
      <c r="C796" s="42" t="s">
        <v>1558</v>
      </c>
      <c r="D796" s="42"/>
      <c r="E796" s="42" t="str">
        <f t="shared" ref="E796:F796" si="797">PROPER(B796)</f>
        <v>San Carlos Mexico Farmers Association Inc.</v>
      </c>
      <c r="F796" s="42" t="str">
        <f t="shared" si="797"/>
        <v>San Carlos, Mexico, Pampanga</v>
      </c>
      <c r="G796" s="42" t="str">
        <f t="shared" si="3"/>
        <v>San Carlos</v>
      </c>
      <c r="H796" s="42" t="str">
        <f t="shared" si="4"/>
        <v>Mexico</v>
      </c>
      <c r="I796" s="42" t="str">
        <f t="shared" si="5"/>
        <v>Pampanga</v>
      </c>
      <c r="J796" s="42" t="str">
        <f t="array" ref="J796">XLOOKUP($E796,'Recipients REF'!$B:$B,'Recipients REF'!D:D,"",0)</f>
        <v>REMIGIO C. BUCAO</v>
      </c>
      <c r="K796" s="42" t="str">
        <f t="array" ref="K796">XLOOKUP($E796,'Recipients REF'!$B:$B,'Recipients REF'!E:E,"",0)</f>
        <v>0949-154-7796</v>
      </c>
      <c r="L796" s="43" t="str">
        <f t="array" ref="L796">XLOOKUP($A796,'Recipients REF'!$A:$A,'Recipients REF'!F:F,"",0)</f>
        <v>RCEF 25-03-05</v>
      </c>
      <c r="M796" s="43">
        <f t="array" ref="M796">XLOOKUP($A796,'Recipients REF'!$A:$A,'Recipients REF'!G:G,"",0)</f>
        <v>5</v>
      </c>
      <c r="N796" s="43" t="str">
        <f t="array" ref="N796">XLOOKUP($A796,'Recipients REF'!$A:$A,'Recipients REF'!H:H,"",0)</f>
        <v>26513 &amp; 27694</v>
      </c>
      <c r="O796" s="44" t="s">
        <v>25</v>
      </c>
      <c r="P796" s="45" t="s">
        <v>26</v>
      </c>
      <c r="Q796" s="46" t="str">
        <f t="array" ref="Q796">XLOOKUP($A796,'Recipients REF'!$A:$A,'Recipients REF'!I:I,"",0)</f>
        <v>KMC5825 AESFPV0194</v>
      </c>
      <c r="R796" s="53" t="str">
        <f t="array" ref="R796">XLOOKUP($A796,'Recipients REF'!$A:$A,'Recipients REF'!J:J,"",0)</f>
        <v>STS100204</v>
      </c>
      <c r="S796" s="45" t="s">
        <v>27</v>
      </c>
      <c r="T796" s="45" t="s">
        <v>28</v>
      </c>
      <c r="U796" s="46" t="str">
        <f t="array" ref="U796">XLOOKUP($A796,'Recipients REF'!$A:$A,'Recipients REF'!K:K,"",0)</f>
        <v>WR-SERIES 058</v>
      </c>
      <c r="V796" s="44" t="s">
        <v>29</v>
      </c>
      <c r="W796" s="45" t="s">
        <v>30</v>
      </c>
      <c r="X796" s="53" t="str">
        <f t="array" ref="X796">XLOOKUP($A796,'Recipients REF'!$A:$A,'Recipients REF'!L:L,"",0)</f>
        <v>25080417</v>
      </c>
      <c r="Y796" s="48" t="s">
        <v>29</v>
      </c>
      <c r="Z796" s="48" t="s">
        <v>31</v>
      </c>
      <c r="AA796" s="54" t="str">
        <f t="array" ref="AA796">XLOOKUP($A796,'Recipients REF'!$A:$A,'Recipients REF'!M:M,"",0)</f>
        <v>25090976</v>
      </c>
      <c r="AB796" s="49"/>
      <c r="AC796" s="42"/>
      <c r="AD796" s="42"/>
      <c r="AE796" s="55">
        <v>8.69066063767983E14</v>
      </c>
      <c r="AF796" s="56" t="s">
        <v>1559</v>
      </c>
      <c r="AG796" s="42"/>
      <c r="AH796" s="42"/>
      <c r="AI796" s="42" t="str">
        <f t="array" ref="AI796">XLOOKUP($E796,Sheet11!$D:$D,Sheet11!$X:$X,"",0)</f>
        <v/>
      </c>
      <c r="AJ796" s="42" t="str">
        <f t="array" ref="AJ796">XLOOKUP($E796,Sheet11!$D:$D,Sheet11!$Y:$Y,"",0)</f>
        <v/>
      </c>
    </row>
    <row r="797">
      <c r="A797" s="41">
        <v>986.0</v>
      </c>
      <c r="B797" s="42" t="s">
        <v>1560</v>
      </c>
      <c r="C797" s="42" t="s">
        <v>1561</v>
      </c>
      <c r="D797" s="42"/>
      <c r="E797" s="42" t="str">
        <f t="shared" ref="E797:F797" si="798">PROPER(B797)</f>
        <v>Municipal Local Government Unit Of Mexico</v>
      </c>
      <c r="F797" s="42" t="str">
        <f t="shared" si="798"/>
        <v>Parian (Pob.), Mexico, Pampanga</v>
      </c>
      <c r="G797" s="42" t="str">
        <f t="shared" si="3"/>
        <v>Parian (Pob.)</v>
      </c>
      <c r="H797" s="42" t="str">
        <f t="shared" si="4"/>
        <v>Mexico</v>
      </c>
      <c r="I797" s="42" t="str">
        <f t="shared" si="5"/>
        <v>Pampanga</v>
      </c>
      <c r="J797" s="42" t="str">
        <f t="array" ref="J797">XLOOKUP($E797,'Recipients REF'!$B:$B,'Recipients REF'!D:D,"",0)</f>
        <v>RODENCIO S. GONZALES</v>
      </c>
      <c r="K797" s="42" t="str">
        <f t="array" ref="K797">XLOOKUP($E797,'Recipients REF'!$B:$B,'Recipients REF'!E:E,"",0)</f>
        <v>0932-890-2020</v>
      </c>
      <c r="L797" s="43" t="str">
        <f t="array" ref="L797">XLOOKUP($A797,'Recipients REF'!$A:$A,'Recipients REF'!F:F,"",0)</f>
        <v>Repeat Order</v>
      </c>
      <c r="M797" s="43">
        <f t="array" ref="M797">XLOOKUP($A797,'Recipients REF'!$A:$A,'Recipients REF'!G:G,"",0)</f>
        <v>6</v>
      </c>
      <c r="N797" s="43">
        <f t="array" ref="N797">XLOOKUP($A797,'Recipients REF'!$A:$A,'Recipients REF'!H:H,"",0)</f>
        <v>23122</v>
      </c>
      <c r="O797" s="44" t="s">
        <v>25</v>
      </c>
      <c r="P797" s="45" t="s">
        <v>26</v>
      </c>
      <c r="Q797" s="46" t="str">
        <f t="array" ref="Q797">XLOOKUP($A797,'Recipients REF'!$A:$A,'Recipients REF'!I:I,"",0)</f>
        <v>KMC5825AERFPV1081</v>
      </c>
      <c r="R797" s="47" t="str">
        <f t="array" ref="R797">XLOOKUP($A797,'Recipients REF'!$A:$A,'Recipients REF'!J:J,"",0)</f>
        <v>RTS100930</v>
      </c>
      <c r="S797" s="45" t="s">
        <v>27</v>
      </c>
      <c r="T797" s="45" t="s">
        <v>28</v>
      </c>
      <c r="U797" s="46" t="str">
        <f t="array" ref="U797">XLOOKUP($A797,'Recipients REF'!$A:$A,'Recipients REF'!K:K,"",0)</f>
        <v>LSGW170-RMP-24111128</v>
      </c>
      <c r="V797" s="44" t="s">
        <v>29</v>
      </c>
      <c r="W797" s="45" t="s">
        <v>30</v>
      </c>
      <c r="X797" s="47" t="str">
        <f t="array" ref="X797">XLOOKUP($A797,'Recipients REF'!$A:$A,'Recipients REF'!L:L,"",0)</f>
        <v>WDP40-RMP-25020344</v>
      </c>
      <c r="Y797" s="48" t="s">
        <v>29</v>
      </c>
      <c r="Z797" s="48" t="s">
        <v>31</v>
      </c>
      <c r="AA797" s="46" t="str">
        <f t="array" ref="AA797">XLOOKUP($A797,'Recipients REF'!$A:$A,'Recipients REF'!M:M,"",0)</f>
        <v>WR-SERIES-1319PH</v>
      </c>
      <c r="AB797" s="49"/>
      <c r="AC797" s="42"/>
      <c r="AD797" s="42"/>
      <c r="AE797" s="50"/>
      <c r="AF797" s="42"/>
      <c r="AG797" s="42"/>
      <c r="AH797" s="42"/>
      <c r="AI797" s="42" t="str">
        <f t="array" ref="AI797">XLOOKUP($E797,Sheet11!$D:$D,Sheet11!$X:$X,"",0)</f>
        <v/>
      </c>
      <c r="AJ797" s="42" t="str">
        <f t="array" ref="AJ797">XLOOKUP($E797,Sheet11!$D:$D,Sheet11!$Y:$Y,"",0)</f>
        <v/>
      </c>
    </row>
    <row r="798">
      <c r="A798" s="41">
        <v>101.0</v>
      </c>
      <c r="B798" s="42" t="s">
        <v>1562</v>
      </c>
      <c r="C798" s="42" t="s">
        <v>1563</v>
      </c>
      <c r="D798" s="42"/>
      <c r="E798" s="42" t="str">
        <f t="shared" ref="E798:F798" si="799">PROPER(B798)</f>
        <v>San Roque Farmers Agriculture Cooperative</v>
      </c>
      <c r="F798" s="42" t="str">
        <f t="shared" si="799"/>
        <v>Sepung Bulaun, Porac, Pampanga</v>
      </c>
      <c r="G798" s="42" t="str">
        <f t="shared" si="3"/>
        <v>Sepung Bulaun</v>
      </c>
      <c r="H798" s="42" t="str">
        <f t="shared" si="4"/>
        <v>Porac</v>
      </c>
      <c r="I798" s="42" t="str">
        <f t="shared" si="5"/>
        <v>Pampanga</v>
      </c>
      <c r="J798" s="42" t="str">
        <f t="array" ref="J798">XLOOKUP($E798,'Recipients REF'!$B:$B,'Recipients REF'!D:D,"",0)</f>
        <v>GLEN OCAMPO</v>
      </c>
      <c r="K798" s="42" t="str">
        <f t="array" ref="K798">XLOOKUP($E798,'Recipients REF'!$B:$B,'Recipients REF'!E:E,"",0)</f>
        <v>0908-226-1441</v>
      </c>
      <c r="L798" s="43" t="str">
        <f t="array" ref="L798">XLOOKUP($A798,'Recipients REF'!$A:$A,'Recipients REF'!F:F,"",0)</f>
        <v>RCEF 23-09-21 Rebidding</v>
      </c>
      <c r="M798" s="43">
        <f t="array" ref="M798">XLOOKUP($A798,'Recipients REF'!$A:$A,'Recipients REF'!G:G,"",0)</f>
        <v>3</v>
      </c>
      <c r="N798" s="43">
        <f t="array" ref="N798">XLOOKUP($A798,'Recipients REF'!$A:$A,'Recipients REF'!H:H,"",0)</f>
        <v>17785</v>
      </c>
      <c r="O798" s="44" t="s">
        <v>25</v>
      </c>
      <c r="P798" s="45" t="s">
        <v>26</v>
      </c>
      <c r="Q798" s="46" t="str">
        <f t="array" ref="Q798">XLOOKUP($A798,'Recipients REF'!$A:$A,'Recipients REF'!I:I,"",0)</f>
        <v>KMC5825 APPFPV0059</v>
      </c>
      <c r="R798" s="47" t="str">
        <f t="array" ref="R798">XLOOKUP($A798,'Recipients REF'!$A:$A,'Recipients REF'!J:J,"",0)</f>
        <v>PTS100109</v>
      </c>
      <c r="S798" s="45" t="s">
        <v>27</v>
      </c>
      <c r="T798" s="45" t="s">
        <v>28</v>
      </c>
      <c r="U798" s="46" t="str">
        <f t="array" ref="U798">XLOOKUP($A798,'Recipients REF'!$A:$A,'Recipients REF'!K:K,"",0)</f>
        <v>R-SERIES 093PH</v>
      </c>
      <c r="V798" s="44" t="s">
        <v>29</v>
      </c>
      <c r="W798" s="45" t="s">
        <v>30</v>
      </c>
      <c r="X798" s="47" t="str">
        <f t="array" ref="X798">XLOOKUP($A798,'Recipients REF'!$A:$A,'Recipients REF'!L:L,"",0)</f>
        <v>LSGW1750-RMP-2312035</v>
      </c>
      <c r="Y798" s="48" t="s">
        <v>29</v>
      </c>
      <c r="Z798" s="48" t="s">
        <v>31</v>
      </c>
      <c r="AA798" s="46" t="str">
        <f t="array" ref="AA798">XLOOKUP($A798,'Recipients REF'!$A:$A,'Recipients REF'!M:M,"",0)</f>
        <v>WDP40-RMP-2312022</v>
      </c>
      <c r="AB798" s="49"/>
      <c r="AC798" s="42"/>
      <c r="AD798" s="42"/>
      <c r="AE798" s="50"/>
      <c r="AF798" s="42"/>
      <c r="AG798" s="42"/>
      <c r="AH798" s="42"/>
      <c r="AI798" s="42">
        <f t="array" ref="AI798">XLOOKUP($E798,Sheet11!$D:$D,Sheet11!$X:$X,"",0)</f>
        <v>869066060243434</v>
      </c>
      <c r="AJ798" s="42" t="str">
        <f t="array" ref="AJ798">XLOOKUP($E798,Sheet11!$D:$D,Sheet11!$Y:$Y,"",0)</f>
        <v>09690461594</v>
      </c>
    </row>
    <row r="799">
      <c r="A799" s="41">
        <v>379.0</v>
      </c>
      <c r="B799" s="42" t="s">
        <v>1564</v>
      </c>
      <c r="C799" s="42" t="s">
        <v>1565</v>
      </c>
      <c r="D799" s="42"/>
      <c r="E799" s="42" t="str">
        <f t="shared" ref="E799:F799" si="800">PROPER(B799)</f>
        <v>New Planas Agriculture</v>
      </c>
      <c r="F799" s="42" t="str">
        <f t="shared" si="800"/>
        <v>Planas, Porac, Pampanga</v>
      </c>
      <c r="G799" s="42" t="str">
        <f t="shared" si="3"/>
        <v>Planas</v>
      </c>
      <c r="H799" s="42" t="str">
        <f t="shared" si="4"/>
        <v>Porac</v>
      </c>
      <c r="I799" s="42" t="str">
        <f t="shared" si="5"/>
        <v>Pampanga</v>
      </c>
      <c r="J799" s="42" t="str">
        <f t="array" ref="J799">XLOOKUP($E799,'Recipients REF'!$B:$B,'Recipients REF'!D:D,"",0)</f>
        <v>#N/A</v>
      </c>
      <c r="K799" s="42" t="str">
        <f t="array" ref="K799">XLOOKUP($E799,'Recipients REF'!$B:$B,'Recipients REF'!E:E,"",0)</f>
        <v>#N/A</v>
      </c>
      <c r="L799" s="43" t="str">
        <f t="array" ref="L799">XLOOKUP($A799,'Recipients REF'!$A:$A,'Recipients REF'!F:F,"",0)</f>
        <v>RCEF 23-09-21 Rebidding</v>
      </c>
      <c r="M799" s="43">
        <f t="array" ref="M799">XLOOKUP($A799,'Recipients REF'!$A:$A,'Recipients REF'!G:G,"",0)</f>
        <v>9</v>
      </c>
      <c r="N799" s="43">
        <f t="array" ref="N799">XLOOKUP($A799,'Recipients REF'!$A:$A,'Recipients REF'!H:H,"",0)</f>
        <v>19036</v>
      </c>
      <c r="O799" s="44" t="s">
        <v>25</v>
      </c>
      <c r="P799" s="45" t="s">
        <v>26</v>
      </c>
      <c r="Q799" s="46" t="str">
        <f t="array" ref="Q799">XLOOKUP($A799,'Recipients REF'!$A:$A,'Recipients REF'!I:I,"",0)</f>
        <v>KMC5825 AJRFPV0620</v>
      </c>
      <c r="R799" s="47" t="str">
        <f t="array" ref="R799">XLOOKUP($A799,'Recipients REF'!$A:$A,'Recipients REF'!J:J,"",0)</f>
        <v>RTS</v>
      </c>
      <c r="S799" s="45" t="s">
        <v>27</v>
      </c>
      <c r="T799" s="45" t="s">
        <v>28</v>
      </c>
      <c r="U799" s="46" t="str">
        <f t="array" ref="U799">XLOOKUP($A799,'Recipients REF'!$A:$A,'Recipients REF'!K:K,"",0)</f>
        <v>RSERIES 802 PH</v>
      </c>
      <c r="V799" s="44" t="s">
        <v>29</v>
      </c>
      <c r="W799" s="45" t="s">
        <v>30</v>
      </c>
      <c r="X799" s="47" t="str">
        <f t="array" ref="X799">XLOOKUP($A799,'Recipients REF'!$A:$A,'Recipients REF'!L:L,"",0)</f>
        <v>LSGW1750 RMP 24020535</v>
      </c>
      <c r="Y799" s="48" t="s">
        <v>29</v>
      </c>
      <c r="Z799" s="48" t="s">
        <v>31</v>
      </c>
      <c r="AA799" s="46" t="str">
        <f t="array" ref="AA799">XLOOKUP($A799,'Recipients REF'!$A:$A,'Recipients REF'!M:M,"",0)</f>
        <v>WDP 40 RMP 24040539</v>
      </c>
      <c r="AB799" s="49"/>
      <c r="AC799" s="42"/>
      <c r="AD799" s="42"/>
      <c r="AE799" s="50"/>
      <c r="AF799" s="42"/>
      <c r="AG799" s="42"/>
      <c r="AH799" s="42"/>
      <c r="AI799" s="42" t="str">
        <f t="array" ref="AI799">XLOOKUP($E799,Sheet11!$D:$D,Sheet11!$X:$X,"",0)</f>
        <v/>
      </c>
      <c r="AJ799" s="42" t="str">
        <f t="array" ref="AJ799">XLOOKUP($E799,Sheet11!$D:$D,Sheet11!$Y:$Y,"",0)</f>
        <v/>
      </c>
    </row>
    <row r="800">
      <c r="A800" s="41">
        <v>584.0</v>
      </c>
      <c r="B800" s="42" t="s">
        <v>1566</v>
      </c>
      <c r="C800" s="42" t="s">
        <v>1567</v>
      </c>
      <c r="D800" s="42"/>
      <c r="E800" s="42" t="str">
        <f t="shared" ref="E800:F800" si="801">PROPER(B800)</f>
        <v>Pias Farmers Agriculture Cooperative</v>
      </c>
      <c r="F800" s="42" t="str">
        <f t="shared" si="801"/>
        <v>Pias, Porac, Pampanga</v>
      </c>
      <c r="G800" s="42" t="str">
        <f t="shared" si="3"/>
        <v>Pias</v>
      </c>
      <c r="H800" s="42" t="str">
        <f t="shared" si="4"/>
        <v>Porac</v>
      </c>
      <c r="I800" s="42" t="str">
        <f t="shared" si="5"/>
        <v>Pampanga</v>
      </c>
      <c r="J800" s="42" t="str">
        <f t="array" ref="J800">XLOOKUP($E800,'Recipients REF'!$B:$B,'Recipients REF'!D:D,"",0)</f>
        <v>HERMANDO S. SANTOS</v>
      </c>
      <c r="K800" s="42" t="str">
        <f t="array" ref="K800">XLOOKUP($E800,'Recipients REF'!$B:$B,'Recipients REF'!E:E,"",0)</f>
        <v>0938-693-9124</v>
      </c>
      <c r="L800" s="43" t="str">
        <f t="array" ref="L800">XLOOKUP($A800,'Recipients REF'!$A:$A,'Recipients REF'!F:F,"",0)</f>
        <v>RCEF 24-04-15</v>
      </c>
      <c r="M800" s="43">
        <f t="array" ref="M800">XLOOKUP($A800,'Recipients REF'!$A:$A,'Recipients REF'!G:G,"",0)</f>
        <v>6</v>
      </c>
      <c r="N800" s="43">
        <f t="array" ref="N800">XLOOKUP($A800,'Recipients REF'!$A:$A,'Recipients REF'!H:H,"",0)</f>
        <v>22337</v>
      </c>
      <c r="O800" s="44" t="s">
        <v>25</v>
      </c>
      <c r="P800" s="45" t="s">
        <v>26</v>
      </c>
      <c r="Q800" s="46" t="str">
        <f t="array" ref="Q800">XLOOKUP($A800,'Recipients REF'!$A:$A,'Recipients REF'!I:I,"",0)</f>
        <v>KMC5825ACRFPV0960</v>
      </c>
      <c r="R800" s="47" t="str">
        <f t="array" ref="R800">XLOOKUP($A800,'Recipients REF'!$A:$A,'Recipients REF'!J:J,"",0)</f>
        <v>RTS100672</v>
      </c>
      <c r="S800" s="45" t="s">
        <v>27</v>
      </c>
      <c r="T800" s="45" t="s">
        <v>28</v>
      </c>
      <c r="U800" s="46" t="str">
        <f t="array" ref="U800">XLOOKUP($A800,'Recipients REF'!$A:$A,'Recipients REF'!K:K,"",0)</f>
        <v>LSGW170-RMP-24100977</v>
      </c>
      <c r="V800" s="44" t="s">
        <v>29</v>
      </c>
      <c r="W800" s="45" t="s">
        <v>30</v>
      </c>
      <c r="X800" s="47" t="str">
        <f t="array" ref="X800">XLOOKUP($A800,'Recipients REF'!$A:$A,'Recipients REF'!L:L,"",0)</f>
        <v>WDP40-RMP-24111420</v>
      </c>
      <c r="Y800" s="48" t="s">
        <v>29</v>
      </c>
      <c r="Z800" s="48" t="s">
        <v>31</v>
      </c>
      <c r="AA800" s="46" t="str">
        <f t="array" ref="AA800">XLOOKUP($A800,'Recipients REF'!$A:$A,'Recipients REF'!M:M,"",0)</f>
        <v>WR-SERIES-1057PH</v>
      </c>
      <c r="AB800" s="49"/>
      <c r="AC800" s="42"/>
      <c r="AD800" s="42"/>
      <c r="AE800" s="50"/>
      <c r="AF800" s="42"/>
      <c r="AG800" s="42"/>
      <c r="AH800" s="42"/>
      <c r="AI800" s="42" t="str">
        <f t="array" ref="AI800">XLOOKUP($E800,Sheet11!$D:$D,Sheet11!$X:$X,"",0)</f>
        <v/>
      </c>
      <c r="AJ800" s="42" t="str">
        <f t="array" ref="AJ800">XLOOKUP($E800,Sheet11!$D:$D,Sheet11!$Y:$Y,"",0)</f>
        <v/>
      </c>
    </row>
    <row r="801">
      <c r="A801" s="41">
        <v>585.0</v>
      </c>
      <c r="B801" s="42" t="s">
        <v>1568</v>
      </c>
      <c r="C801" s="42" t="s">
        <v>1569</v>
      </c>
      <c r="D801" s="42"/>
      <c r="E801" s="42" t="str">
        <f t="shared" ref="E801:F801" si="802">PROPER(B801)</f>
        <v>San Isidro Balubad Farmers Association</v>
      </c>
      <c r="F801" s="42" t="str">
        <f t="shared" si="802"/>
        <v>Balubad, Porac, Pampanga</v>
      </c>
      <c r="G801" s="42" t="str">
        <f t="shared" si="3"/>
        <v>Balubad</v>
      </c>
      <c r="H801" s="42" t="str">
        <f t="shared" si="4"/>
        <v>Porac</v>
      </c>
      <c r="I801" s="42" t="str">
        <f t="shared" si="5"/>
        <v>Pampanga</v>
      </c>
      <c r="J801" s="42" t="str">
        <f t="array" ref="J801">XLOOKUP($E801,'Recipients REF'!$B:$B,'Recipients REF'!D:D,"",0)</f>
        <v>ROY A. BAUL</v>
      </c>
      <c r="K801" s="42" t="str">
        <f t="array" ref="K801">XLOOKUP($E801,'Recipients REF'!$B:$B,'Recipients REF'!E:E,"",0)</f>
        <v>0943-805-1101</v>
      </c>
      <c r="L801" s="43" t="str">
        <f t="array" ref="L801">XLOOKUP($A801,'Recipients REF'!$A:$A,'Recipients REF'!F:F,"",0)</f>
        <v>RCEF 24-04-15</v>
      </c>
      <c r="M801" s="43">
        <f t="array" ref="M801">XLOOKUP($A801,'Recipients REF'!$A:$A,'Recipients REF'!G:G,"",0)</f>
        <v>6</v>
      </c>
      <c r="N801" s="43">
        <f t="array" ref="N801">XLOOKUP($A801,'Recipients REF'!$A:$A,'Recipients REF'!H:H,"",0)</f>
        <v>22338</v>
      </c>
      <c r="O801" s="44" t="s">
        <v>25</v>
      </c>
      <c r="P801" s="45" t="s">
        <v>26</v>
      </c>
      <c r="Q801" s="46" t="str">
        <f t="array" ref="Q801">XLOOKUP($A801,'Recipients REF'!$A:$A,'Recipients REF'!I:I,"",0)</f>
        <v>KMC5825AHRFPV0916</v>
      </c>
      <c r="R801" s="47" t="str">
        <f t="array" ref="R801">XLOOKUP($A801,'Recipients REF'!$A:$A,'Recipients REF'!J:J,"",0)</f>
        <v>RTS100654</v>
      </c>
      <c r="S801" s="45" t="s">
        <v>27</v>
      </c>
      <c r="T801" s="45" t="s">
        <v>28</v>
      </c>
      <c r="U801" s="46" t="str">
        <f t="array" ref="U801">XLOOKUP($A801,'Recipients REF'!$A:$A,'Recipients REF'!K:K,"",0)</f>
        <v>LSGW170-RMP-24101068</v>
      </c>
      <c r="V801" s="44" t="s">
        <v>29</v>
      </c>
      <c r="W801" s="45" t="s">
        <v>30</v>
      </c>
      <c r="X801" s="47" t="str">
        <f t="array" ref="X801">XLOOKUP($A801,'Recipients REF'!$A:$A,'Recipients REF'!L:L,"",0)</f>
        <v>WDP40-RMP-24111421</v>
      </c>
      <c r="Y801" s="48" t="s">
        <v>29</v>
      </c>
      <c r="Z801" s="48" t="s">
        <v>31</v>
      </c>
      <c r="AA801" s="46" t="str">
        <f t="array" ref="AA801">XLOOKUP($A801,'Recipients REF'!$A:$A,'Recipients REF'!M:M,"",0)</f>
        <v>WR-SERIES-1007PH</v>
      </c>
      <c r="AB801" s="49"/>
      <c r="AC801" s="42"/>
      <c r="AD801" s="42"/>
      <c r="AE801" s="50"/>
      <c r="AF801" s="42"/>
      <c r="AG801" s="42"/>
      <c r="AH801" s="42"/>
      <c r="AI801" s="42" t="str">
        <f t="array" ref="AI801">XLOOKUP($E801,Sheet11!$D:$D,Sheet11!$X:$X,"",0)</f>
        <v/>
      </c>
      <c r="AJ801" s="42" t="str">
        <f t="array" ref="AJ801">XLOOKUP($E801,Sheet11!$D:$D,Sheet11!$Y:$Y,"",0)</f>
        <v/>
      </c>
    </row>
    <row r="802">
      <c r="A802" s="41">
        <v>687.0</v>
      </c>
      <c r="B802" s="42" t="s">
        <v>1570</v>
      </c>
      <c r="C802" s="42" t="s">
        <v>1571</v>
      </c>
      <c r="D802" s="42"/>
      <c r="E802" s="42" t="str">
        <f t="shared" ref="E802:F802" si="803">PROPER(B802)</f>
        <v>Salu Farmers Association</v>
      </c>
      <c r="F802" s="42" t="str">
        <f t="shared" si="803"/>
        <v>Salu, Porac, Pampanga</v>
      </c>
      <c r="G802" s="42" t="str">
        <f t="shared" si="3"/>
        <v>Salu</v>
      </c>
      <c r="H802" s="42" t="str">
        <f t="shared" si="4"/>
        <v>Porac</v>
      </c>
      <c r="I802" s="42" t="str">
        <f t="shared" si="5"/>
        <v>Pampanga</v>
      </c>
      <c r="J802" s="42" t="str">
        <f t="array" ref="J802">XLOOKUP($E802,'Recipients REF'!$B:$B,'Recipients REF'!D:D,"",0)</f>
        <v>ARNEL S. PONIO</v>
      </c>
      <c r="K802" s="42" t="str">
        <f t="array" ref="K802">XLOOKUP($E802,'Recipients REF'!$B:$B,'Recipients REF'!E:E,"",0)</f>
        <v>0997-455-4854</v>
      </c>
      <c r="L802" s="43" t="str">
        <f t="array" ref="L802">XLOOKUP($A802,'Recipients REF'!$A:$A,'Recipients REF'!F:F,"",0)</f>
        <v>RCEF 25-03-05</v>
      </c>
      <c r="M802" s="43">
        <f t="array" ref="M802">XLOOKUP($A802,'Recipients REF'!$A:$A,'Recipients REF'!G:G,"",0)</f>
        <v>5</v>
      </c>
      <c r="N802" s="43" t="str">
        <f t="array" ref="N802">XLOOKUP($A802,'Recipients REF'!$A:$A,'Recipients REF'!H:H,"",0)</f>
        <v>26504 &amp; 27685</v>
      </c>
      <c r="O802" s="44" t="s">
        <v>25</v>
      </c>
      <c r="P802" s="45" t="s">
        <v>26</v>
      </c>
      <c r="Q802" s="46" t="str">
        <f t="array" ref="Q802">XLOOKUP($A802,'Recipients REF'!$A:$A,'Recipients REF'!I:I,"",0)</f>
        <v>KMC5825 ALSFPV0208</v>
      </c>
      <c r="R802" s="53" t="str">
        <f t="array" ref="R802">XLOOKUP($A802,'Recipients REF'!$A:$A,'Recipients REF'!J:J,"",0)</f>
        <v>STS100226</v>
      </c>
      <c r="S802" s="45" t="s">
        <v>27</v>
      </c>
      <c r="T802" s="45" t="s">
        <v>28</v>
      </c>
      <c r="U802" s="46" t="str">
        <f t="array" ref="U802">XLOOKUP($A802,'Recipients REF'!$A:$A,'Recipients REF'!K:K,"",0)</f>
        <v>WR-SERIES 252</v>
      </c>
      <c r="V802" s="44" t="s">
        <v>29</v>
      </c>
      <c r="W802" s="45" t="s">
        <v>30</v>
      </c>
      <c r="X802" s="53" t="str">
        <f t="array" ref="X802">XLOOKUP($A802,'Recipients REF'!$A:$A,'Recipients REF'!L:L,"",0)</f>
        <v>25080413</v>
      </c>
      <c r="Y802" s="48" t="s">
        <v>29</v>
      </c>
      <c r="Z802" s="48" t="s">
        <v>31</v>
      </c>
      <c r="AA802" s="54" t="str">
        <f t="array" ref="AA802">XLOOKUP($A802,'Recipients REF'!$A:$A,'Recipients REF'!M:M,"",0)</f>
        <v>25090987</v>
      </c>
      <c r="AB802" s="49"/>
      <c r="AC802" s="42"/>
      <c r="AD802" s="42"/>
      <c r="AE802" s="50"/>
      <c r="AF802" s="42"/>
      <c r="AG802" s="42"/>
      <c r="AH802" s="42"/>
      <c r="AI802" s="42" t="str">
        <f t="array" ref="AI802">XLOOKUP($E802,Sheet11!$D:$D,Sheet11!$X:$X,"",0)</f>
        <v/>
      </c>
      <c r="AJ802" s="42" t="str">
        <f t="array" ref="AJ802">XLOOKUP($E802,Sheet11!$D:$D,Sheet11!$Y:$Y,"",0)</f>
        <v/>
      </c>
    </row>
    <row r="803">
      <c r="A803" s="41">
        <v>107.0</v>
      </c>
      <c r="B803" s="42" t="s">
        <v>1572</v>
      </c>
      <c r="C803" s="42" t="s">
        <v>1573</v>
      </c>
      <c r="D803" s="42"/>
      <c r="E803" s="42" t="str">
        <f t="shared" ref="E803:F803" si="804">PROPER(B803)</f>
        <v>Provincial Local Government Unit Of Pampanga</v>
      </c>
      <c r="F803" s="42" t="str">
        <f t="shared" si="804"/>
        <v>Santo Rosario (Pob.), San Fernando City, Pampanga</v>
      </c>
      <c r="G803" s="42" t="str">
        <f t="shared" si="3"/>
        <v>Santo Rosario (Pob.)</v>
      </c>
      <c r="H803" s="42" t="str">
        <f t="shared" si="4"/>
        <v>San Fernando City</v>
      </c>
      <c r="I803" s="42" t="str">
        <f t="shared" si="5"/>
        <v>Pampanga</v>
      </c>
      <c r="J803" s="42" t="str">
        <f t="array" ref="J803">XLOOKUP($E803,'Recipients REF'!$B:$B,'Recipients REF'!D:D,"",0)</f>
        <v>DENNIS G. PINEDA</v>
      </c>
      <c r="K803" s="42" t="str">
        <f t="array" ref="K803">XLOOKUP($E803,'Recipients REF'!$B:$B,'Recipients REF'!E:E,"",0)</f>
        <v>0919-424-4737</v>
      </c>
      <c r="L803" s="43" t="str">
        <f t="array" ref="L803">XLOOKUP($A803,'Recipients REF'!$A:$A,'Recipients REF'!F:F,"",0)</f>
        <v>RCEF 23-09-21 Rebidding</v>
      </c>
      <c r="M803" s="43">
        <f t="array" ref="M803">XLOOKUP($A803,'Recipients REF'!$A:$A,'Recipients REF'!G:G,"",0)</f>
        <v>3</v>
      </c>
      <c r="N803" s="43">
        <f t="array" ref="N803">XLOOKUP($A803,'Recipients REF'!$A:$A,'Recipients REF'!H:H,"",0)</f>
        <v>17791</v>
      </c>
      <c r="O803" s="44" t="s">
        <v>25</v>
      </c>
      <c r="P803" s="45" t="s">
        <v>26</v>
      </c>
      <c r="Q803" s="46" t="str">
        <f t="array" ref="Q803">XLOOKUP($A803,'Recipients REF'!$A:$A,'Recipients REF'!I:I,"",0)</f>
        <v>KMC5825 AAPFPV0070</v>
      </c>
      <c r="R803" s="47" t="str">
        <f t="array" ref="R803">XLOOKUP($A803,'Recipients REF'!$A:$A,'Recipients REF'!J:J,"",0)</f>
        <v>PTS100151</v>
      </c>
      <c r="S803" s="45" t="s">
        <v>27</v>
      </c>
      <c r="T803" s="45" t="s">
        <v>28</v>
      </c>
      <c r="U803" s="46" t="str">
        <f t="array" ref="U803">XLOOKUP($A803,'Recipients REF'!$A:$A,'Recipients REF'!K:K,"",0)</f>
        <v>R-SERIES 102PH</v>
      </c>
      <c r="V803" s="44" t="s">
        <v>29</v>
      </c>
      <c r="W803" s="45" t="s">
        <v>30</v>
      </c>
      <c r="X803" s="47" t="str">
        <f t="array" ref="X803">XLOOKUP($A803,'Recipients REF'!$A:$A,'Recipients REF'!L:L,"",0)</f>
        <v>LSGW1750-RMP-2312018</v>
      </c>
      <c r="Y803" s="48" t="s">
        <v>29</v>
      </c>
      <c r="Z803" s="48" t="s">
        <v>31</v>
      </c>
      <c r="AA803" s="46" t="str">
        <f t="array" ref="AA803">XLOOKUP($A803,'Recipients REF'!$A:$A,'Recipients REF'!M:M,"",0)</f>
        <v>WDP40-RMP-2312011</v>
      </c>
      <c r="AB803" s="49"/>
      <c r="AC803" s="42"/>
      <c r="AD803" s="42"/>
      <c r="AE803" s="50"/>
      <c r="AF803" s="42"/>
      <c r="AG803" s="42"/>
      <c r="AH803" s="42"/>
      <c r="AI803" s="42">
        <f t="array" ref="AI803">XLOOKUP($E803,Sheet11!$D:$D,Sheet11!$X:$X,"",0)</f>
        <v>869066060241198</v>
      </c>
      <c r="AJ803" s="42" t="str">
        <f t="array" ref="AJ803">XLOOKUP($E803,Sheet11!$D:$D,Sheet11!$Y:$Y,"",0)</f>
        <v>09690315942</v>
      </c>
    </row>
    <row r="804">
      <c r="A804" s="41">
        <v>108.0</v>
      </c>
      <c r="B804" s="42" t="s">
        <v>1572</v>
      </c>
      <c r="C804" s="42" t="s">
        <v>1573</v>
      </c>
      <c r="D804" s="42"/>
      <c r="E804" s="42" t="str">
        <f t="shared" ref="E804:F804" si="805">PROPER(B804)</f>
        <v>Provincial Local Government Unit Of Pampanga</v>
      </c>
      <c r="F804" s="42" t="str">
        <f t="shared" si="805"/>
        <v>Santo Rosario (Pob.), San Fernando City, Pampanga</v>
      </c>
      <c r="G804" s="42" t="str">
        <f t="shared" si="3"/>
        <v>Santo Rosario (Pob.)</v>
      </c>
      <c r="H804" s="42" t="str">
        <f t="shared" si="4"/>
        <v>San Fernando City</v>
      </c>
      <c r="I804" s="42" t="str">
        <f t="shared" si="5"/>
        <v>Pampanga</v>
      </c>
      <c r="J804" s="42" t="str">
        <f t="array" ref="J804">XLOOKUP($E804,'Recipients REF'!$B:$B,'Recipients REF'!D:D,"",0)</f>
        <v>DENNIS G. PINEDA</v>
      </c>
      <c r="K804" s="42" t="str">
        <f t="array" ref="K804">XLOOKUP($E804,'Recipients REF'!$B:$B,'Recipients REF'!E:E,"",0)</f>
        <v>0919-424-4737</v>
      </c>
      <c r="L804" s="43" t="str">
        <f t="array" ref="L804">XLOOKUP($A804,'Recipients REF'!$A:$A,'Recipients REF'!F:F,"",0)</f>
        <v>RCEF 23-09-21 Rebidding</v>
      </c>
      <c r="M804" s="43">
        <f t="array" ref="M804">XLOOKUP($A804,'Recipients REF'!$A:$A,'Recipients REF'!G:G,"",0)</f>
        <v>3</v>
      </c>
      <c r="N804" s="43">
        <f t="array" ref="N804">XLOOKUP($A804,'Recipients REF'!$A:$A,'Recipients REF'!H:H,"",0)</f>
        <v>17792</v>
      </c>
      <c r="O804" s="44" t="s">
        <v>25</v>
      </c>
      <c r="P804" s="45" t="s">
        <v>26</v>
      </c>
      <c r="Q804" s="46" t="str">
        <f t="array" ref="Q804">XLOOKUP($A804,'Recipients REF'!$A:$A,'Recipients REF'!I:I,"",0)</f>
        <v>KMC5825 AVPFPV0147</v>
      </c>
      <c r="R804" s="47" t="str">
        <f t="array" ref="R804">XLOOKUP($A804,'Recipients REF'!$A:$A,'Recipients REF'!J:J,"",0)</f>
        <v>PTS100046</v>
      </c>
      <c r="S804" s="45" t="s">
        <v>27</v>
      </c>
      <c r="T804" s="45" t="s">
        <v>28</v>
      </c>
      <c r="U804" s="46" t="str">
        <f t="array" ref="U804">XLOOKUP($A804,'Recipients REF'!$A:$A,'Recipients REF'!K:K,"",0)</f>
        <v>R-SERIES 055PH</v>
      </c>
      <c r="V804" s="44" t="s">
        <v>29</v>
      </c>
      <c r="W804" s="45" t="s">
        <v>30</v>
      </c>
      <c r="X804" s="47" t="str">
        <f t="array" ref="X804">XLOOKUP($A804,'Recipients REF'!$A:$A,'Recipients REF'!L:L,"",0)</f>
        <v>LSGW1750-RMP-2312033</v>
      </c>
      <c r="Y804" s="48" t="s">
        <v>29</v>
      </c>
      <c r="Z804" s="48" t="s">
        <v>31</v>
      </c>
      <c r="AA804" s="46" t="str">
        <f t="array" ref="AA804">XLOOKUP($A804,'Recipients REF'!$A:$A,'Recipients REF'!M:M,"",0)</f>
        <v>WDP40-RMP-2312037</v>
      </c>
      <c r="AB804" s="49"/>
      <c r="AC804" s="42"/>
      <c r="AD804" s="42"/>
      <c r="AE804" s="50"/>
      <c r="AF804" s="42"/>
      <c r="AG804" s="42"/>
      <c r="AH804" s="42"/>
      <c r="AI804" s="42">
        <f t="array" ref="AI804">XLOOKUP($E804,Sheet11!$D:$D,Sheet11!$X:$X,"",0)</f>
        <v>869066060241198</v>
      </c>
      <c r="AJ804" s="42" t="str">
        <f t="array" ref="AJ804">XLOOKUP($E804,Sheet11!$D:$D,Sheet11!$Y:$Y,"",0)</f>
        <v>09690315942</v>
      </c>
    </row>
    <row r="805">
      <c r="A805" s="41">
        <v>109.0</v>
      </c>
      <c r="B805" s="42" t="s">
        <v>1572</v>
      </c>
      <c r="C805" s="42" t="s">
        <v>1573</v>
      </c>
      <c r="D805" s="42"/>
      <c r="E805" s="42" t="str">
        <f t="shared" ref="E805:F805" si="806">PROPER(B805)</f>
        <v>Provincial Local Government Unit Of Pampanga</v>
      </c>
      <c r="F805" s="42" t="str">
        <f t="shared" si="806"/>
        <v>Santo Rosario (Pob.), San Fernando City, Pampanga</v>
      </c>
      <c r="G805" s="42" t="str">
        <f t="shared" si="3"/>
        <v>Santo Rosario (Pob.)</v>
      </c>
      <c r="H805" s="42" t="str">
        <f t="shared" si="4"/>
        <v>San Fernando City</v>
      </c>
      <c r="I805" s="42" t="str">
        <f t="shared" si="5"/>
        <v>Pampanga</v>
      </c>
      <c r="J805" s="42" t="str">
        <f t="array" ref="J805">XLOOKUP($E805,'Recipients REF'!$B:$B,'Recipients REF'!D:D,"",0)</f>
        <v>DENNIS G. PINEDA</v>
      </c>
      <c r="K805" s="42" t="str">
        <f t="array" ref="K805">XLOOKUP($E805,'Recipients REF'!$B:$B,'Recipients REF'!E:E,"",0)</f>
        <v>0919-424-4737</v>
      </c>
      <c r="L805" s="43" t="str">
        <f t="array" ref="L805">XLOOKUP($A805,'Recipients REF'!$A:$A,'Recipients REF'!F:F,"",0)</f>
        <v>RCEF 23-09-21 Rebidding</v>
      </c>
      <c r="M805" s="43">
        <f t="array" ref="M805">XLOOKUP($A805,'Recipients REF'!$A:$A,'Recipients REF'!G:G,"",0)</f>
        <v>3</v>
      </c>
      <c r="N805" s="43">
        <f t="array" ref="N805">XLOOKUP($A805,'Recipients REF'!$A:$A,'Recipients REF'!H:H,"",0)</f>
        <v>17793</v>
      </c>
      <c r="O805" s="44" t="s">
        <v>25</v>
      </c>
      <c r="P805" s="45" t="s">
        <v>26</v>
      </c>
      <c r="Q805" s="46" t="str">
        <f t="array" ref="Q805">XLOOKUP($A805,'Recipients REF'!$A:$A,'Recipients REF'!I:I,"",0)</f>
        <v>KMC5825 AVPFPV0052</v>
      </c>
      <c r="R805" s="47" t="str">
        <f t="array" ref="R805">XLOOKUP($A805,'Recipients REF'!$A:$A,'Recipients REF'!J:J,"",0)</f>
        <v>PTS100134</v>
      </c>
      <c r="S805" s="45" t="s">
        <v>27</v>
      </c>
      <c r="T805" s="45" t="s">
        <v>28</v>
      </c>
      <c r="U805" s="46" t="str">
        <f t="array" ref="U805">XLOOKUP($A805,'Recipients REF'!$A:$A,'Recipients REF'!K:K,"",0)</f>
        <v>R-SERIES 046PH</v>
      </c>
      <c r="V805" s="44" t="s">
        <v>29</v>
      </c>
      <c r="W805" s="45" t="s">
        <v>30</v>
      </c>
      <c r="X805" s="47" t="str">
        <f t="array" ref="X805">XLOOKUP($A805,'Recipients REF'!$A:$A,'Recipients REF'!L:L,"",0)</f>
        <v>LSGW1750-RMP-2312010</v>
      </c>
      <c r="Y805" s="48" t="s">
        <v>29</v>
      </c>
      <c r="Z805" s="48" t="s">
        <v>31</v>
      </c>
      <c r="AA805" s="46" t="str">
        <f t="array" ref="AA805">XLOOKUP($A805,'Recipients REF'!$A:$A,'Recipients REF'!M:M,"",0)</f>
        <v>WDP40-RMP-2312064</v>
      </c>
      <c r="AB805" s="49"/>
      <c r="AC805" s="42"/>
      <c r="AD805" s="42"/>
      <c r="AE805" s="50"/>
      <c r="AF805" s="42"/>
      <c r="AG805" s="42"/>
      <c r="AH805" s="42"/>
      <c r="AI805" s="42">
        <f t="array" ref="AI805">XLOOKUP($E805,Sheet11!$D:$D,Sheet11!$X:$X,"",0)</f>
        <v>869066060241198</v>
      </c>
      <c r="AJ805" s="42" t="str">
        <f t="array" ref="AJ805">XLOOKUP($E805,Sheet11!$D:$D,Sheet11!$Y:$Y,"",0)</f>
        <v>09690315942</v>
      </c>
    </row>
    <row r="806">
      <c r="A806" s="41">
        <v>110.0</v>
      </c>
      <c r="B806" s="42" t="s">
        <v>1572</v>
      </c>
      <c r="C806" s="42" t="s">
        <v>1573</v>
      </c>
      <c r="D806" s="42"/>
      <c r="E806" s="42" t="str">
        <f t="shared" ref="E806:F806" si="807">PROPER(B806)</f>
        <v>Provincial Local Government Unit Of Pampanga</v>
      </c>
      <c r="F806" s="42" t="str">
        <f t="shared" si="807"/>
        <v>Santo Rosario (Pob.), San Fernando City, Pampanga</v>
      </c>
      <c r="G806" s="42" t="str">
        <f t="shared" si="3"/>
        <v>Santo Rosario (Pob.)</v>
      </c>
      <c r="H806" s="42" t="str">
        <f t="shared" si="4"/>
        <v>San Fernando City</v>
      </c>
      <c r="I806" s="42" t="str">
        <f t="shared" si="5"/>
        <v>Pampanga</v>
      </c>
      <c r="J806" s="42" t="str">
        <f t="array" ref="J806">XLOOKUP($E806,'Recipients REF'!$B:$B,'Recipients REF'!D:D,"",0)</f>
        <v>DENNIS G. PINEDA</v>
      </c>
      <c r="K806" s="42" t="str">
        <f t="array" ref="K806">XLOOKUP($E806,'Recipients REF'!$B:$B,'Recipients REF'!E:E,"",0)</f>
        <v>0919-424-4737</v>
      </c>
      <c r="L806" s="43" t="str">
        <f t="array" ref="L806">XLOOKUP($A806,'Recipients REF'!$A:$A,'Recipients REF'!F:F,"",0)</f>
        <v>RCEF 23-09-21 Rebidding</v>
      </c>
      <c r="M806" s="43">
        <f t="array" ref="M806">XLOOKUP($A806,'Recipients REF'!$A:$A,'Recipients REF'!G:G,"",0)</f>
        <v>3</v>
      </c>
      <c r="N806" s="43">
        <f t="array" ref="N806">XLOOKUP($A806,'Recipients REF'!$A:$A,'Recipients REF'!H:H,"",0)</f>
        <v>17794</v>
      </c>
      <c r="O806" s="44" t="s">
        <v>25</v>
      </c>
      <c r="P806" s="45" t="s">
        <v>26</v>
      </c>
      <c r="Q806" s="46" t="str">
        <f t="array" ref="Q806">XLOOKUP($A806,'Recipients REF'!$A:$A,'Recipients REF'!I:I,"",0)</f>
        <v>KMC5825 APPFPV0160</v>
      </c>
      <c r="R806" s="47" t="str">
        <f t="array" ref="R806">XLOOKUP($A806,'Recipients REF'!$A:$A,'Recipients REF'!J:J,"",0)</f>
        <v>PTS100138</v>
      </c>
      <c r="S806" s="45" t="s">
        <v>27</v>
      </c>
      <c r="T806" s="45" t="s">
        <v>28</v>
      </c>
      <c r="U806" s="46" t="str">
        <f t="array" ref="U806">XLOOKUP($A806,'Recipients REF'!$A:$A,'Recipients REF'!K:K,"",0)</f>
        <v>R-SERIES 084PH</v>
      </c>
      <c r="V806" s="44" t="s">
        <v>29</v>
      </c>
      <c r="W806" s="45" t="s">
        <v>30</v>
      </c>
      <c r="X806" s="47" t="str">
        <f t="array" ref="X806">XLOOKUP($A806,'Recipients REF'!$A:$A,'Recipients REF'!L:L,"",0)</f>
        <v>LSGW1750-RMP-2312008</v>
      </c>
      <c r="Y806" s="48" t="s">
        <v>29</v>
      </c>
      <c r="Z806" s="48" t="s">
        <v>31</v>
      </c>
      <c r="AA806" s="46" t="str">
        <f t="array" ref="AA806">XLOOKUP($A806,'Recipients REF'!$A:$A,'Recipients REF'!M:M,"",0)</f>
        <v>WDP40-RMP-2312046</v>
      </c>
      <c r="AB806" s="49"/>
      <c r="AC806" s="42"/>
      <c r="AD806" s="42"/>
      <c r="AE806" s="50"/>
      <c r="AF806" s="42"/>
      <c r="AG806" s="42"/>
      <c r="AH806" s="42"/>
      <c r="AI806" s="42">
        <f t="array" ref="AI806">XLOOKUP($E806,Sheet11!$D:$D,Sheet11!$X:$X,"",0)</f>
        <v>869066060241198</v>
      </c>
      <c r="AJ806" s="42" t="str">
        <f t="array" ref="AJ806">XLOOKUP($E806,Sheet11!$D:$D,Sheet11!$Y:$Y,"",0)</f>
        <v>09690315942</v>
      </c>
    </row>
    <row r="807">
      <c r="A807" s="41">
        <v>114.0</v>
      </c>
      <c r="B807" s="42" t="s">
        <v>1574</v>
      </c>
      <c r="C807" s="42" t="s">
        <v>1575</v>
      </c>
      <c r="D807" s="42"/>
      <c r="E807" s="42" t="str">
        <f t="shared" ref="E807:F807" si="808">PROPER(B807)</f>
        <v>Golden Harvest Farmers Association</v>
      </c>
      <c r="F807" s="42" t="str">
        <f t="shared" si="808"/>
        <v>San Jose, San Luis, Pampanga</v>
      </c>
      <c r="G807" s="42" t="str">
        <f t="shared" si="3"/>
        <v>San Jose</v>
      </c>
      <c r="H807" s="42" t="str">
        <f t="shared" si="4"/>
        <v>San Luis</v>
      </c>
      <c r="I807" s="42" t="str">
        <f t="shared" si="5"/>
        <v>Pampanga</v>
      </c>
      <c r="J807" s="42" t="str">
        <f t="array" ref="J807">XLOOKUP($E807,'Recipients REF'!$B:$B,'Recipients REF'!D:D,"",0)</f>
        <v>DIOSDADO R. CRUZ</v>
      </c>
      <c r="K807" s="42" t="str">
        <f t="array" ref="K807">XLOOKUP($E807,'Recipients REF'!$B:$B,'Recipients REF'!E:E,"",0)</f>
        <v>0917-924-7663</v>
      </c>
      <c r="L807" s="43" t="str">
        <f t="array" ref="L807">XLOOKUP($A807,'Recipients REF'!$A:$A,'Recipients REF'!F:F,"",0)</f>
        <v>RCEF 23-09-21 Rebidding</v>
      </c>
      <c r="M807" s="43">
        <f t="array" ref="M807">XLOOKUP($A807,'Recipients REF'!$A:$A,'Recipients REF'!G:G,"",0)</f>
        <v>3</v>
      </c>
      <c r="N807" s="43">
        <f t="array" ref="N807">XLOOKUP($A807,'Recipients REF'!$A:$A,'Recipients REF'!H:H,"",0)</f>
        <v>17798</v>
      </c>
      <c r="O807" s="44" t="s">
        <v>25</v>
      </c>
      <c r="P807" s="45" t="s">
        <v>26</v>
      </c>
      <c r="Q807" s="46" t="str">
        <f t="array" ref="Q807">XLOOKUP($A807,'Recipients REF'!$A:$A,'Recipients REF'!I:I,"",0)</f>
        <v>KMC5825 ACPFPV0060</v>
      </c>
      <c r="R807" s="47" t="str">
        <f t="array" ref="R807">XLOOKUP($A807,'Recipients REF'!$A:$A,'Recipients REF'!J:J,"",0)</f>
        <v>PTS100144</v>
      </c>
      <c r="S807" s="45" t="s">
        <v>27</v>
      </c>
      <c r="T807" s="45" t="s">
        <v>28</v>
      </c>
      <c r="U807" s="46" t="str">
        <f t="array" ref="U807">XLOOKUP($A807,'Recipients REF'!$A:$A,'Recipients REF'!K:K,"",0)</f>
        <v>R-SERIES 056PH</v>
      </c>
      <c r="V807" s="44" t="s">
        <v>29</v>
      </c>
      <c r="W807" s="45" t="s">
        <v>30</v>
      </c>
      <c r="X807" s="47" t="str">
        <f t="array" ref="X807">XLOOKUP($A807,'Recipients REF'!$A:$A,'Recipients REF'!L:L,"",0)</f>
        <v>LSGW1750-RMP-2312042</v>
      </c>
      <c r="Y807" s="48" t="s">
        <v>29</v>
      </c>
      <c r="Z807" s="48" t="s">
        <v>31</v>
      </c>
      <c r="AA807" s="46" t="str">
        <f t="array" ref="AA807">XLOOKUP($A807,'Recipients REF'!$A:$A,'Recipients REF'!M:M,"",0)</f>
        <v>WDP40-RMP-2312068</v>
      </c>
      <c r="AB807" s="49"/>
      <c r="AC807" s="42"/>
      <c r="AD807" s="42"/>
      <c r="AE807" s="56">
        <v>8.690660602434E14</v>
      </c>
      <c r="AF807" s="56" t="s">
        <v>1576</v>
      </c>
      <c r="AG807" s="42"/>
      <c r="AH807" s="42"/>
      <c r="AI807" s="42">
        <f t="array" ref="AI807">XLOOKUP($E807,Sheet11!$D:$D,Sheet11!$X:$X,"",0)</f>
        <v>869066060243400</v>
      </c>
      <c r="AJ807" s="42" t="str">
        <f t="array" ref="AJ807">XLOOKUP($E807,Sheet11!$D:$D,Sheet11!$Y:$Y,"",0)</f>
        <v>09691918006</v>
      </c>
    </row>
    <row r="808">
      <c r="A808" s="41">
        <v>593.0</v>
      </c>
      <c r="B808" s="42" t="s">
        <v>1577</v>
      </c>
      <c r="C808" s="42" t="s">
        <v>1578</v>
      </c>
      <c r="D808" s="42"/>
      <c r="E808" s="42" t="str">
        <f t="shared" ref="E808:F808" si="809">PROPER(B808)</f>
        <v>Buhay Pag-Asa Irrigators' Association, Inc.</v>
      </c>
      <c r="F808" s="42" t="str">
        <f t="shared" si="809"/>
        <v>San Roque, San Luis, Pampanga</v>
      </c>
      <c r="G808" s="42" t="str">
        <f t="shared" si="3"/>
        <v>San Roque</v>
      </c>
      <c r="H808" s="42" t="str">
        <f t="shared" si="4"/>
        <v>San Luis</v>
      </c>
      <c r="I808" s="42" t="str">
        <f t="shared" si="5"/>
        <v>Pampanga</v>
      </c>
      <c r="J808" s="42" t="str">
        <f t="array" ref="J808">XLOOKUP($E808,'Recipients REF'!$B:$B,'Recipients REF'!D:D,"",0)</f>
        <v>MAXIMIANO BINGCANG</v>
      </c>
      <c r="K808" s="42" t="str">
        <f t="array" ref="K808">XLOOKUP($E808,'Recipients REF'!$B:$B,'Recipients REF'!E:E,"",0)</f>
        <v>0905-282-0848</v>
      </c>
      <c r="L808" s="43" t="str">
        <f t="array" ref="L808">XLOOKUP($A808,'Recipients REF'!$A:$A,'Recipients REF'!F:F,"",0)</f>
        <v>RCEF 24-04-15</v>
      </c>
      <c r="M808" s="43">
        <f t="array" ref="M808">XLOOKUP($A808,'Recipients REF'!$A:$A,'Recipients REF'!G:G,"",0)</f>
        <v>6</v>
      </c>
      <c r="N808" s="43">
        <f t="array" ref="N808">XLOOKUP($A808,'Recipients REF'!$A:$A,'Recipients REF'!H:H,"",0)</f>
        <v>22346</v>
      </c>
      <c r="O808" s="44" t="s">
        <v>25</v>
      </c>
      <c r="P808" s="45" t="s">
        <v>26</v>
      </c>
      <c r="Q808" s="46" t="str">
        <f t="array" ref="Q808">XLOOKUP($A808,'Recipients REF'!$A:$A,'Recipients REF'!I:I,"",0)</f>
        <v>KMC5825ATRFPV0967</v>
      </c>
      <c r="R808" s="47" t="str">
        <f t="array" ref="R808">XLOOKUP($A808,'Recipients REF'!$A:$A,'Recipients REF'!J:J,"",0)</f>
        <v>RTS100655</v>
      </c>
      <c r="S808" s="45" t="s">
        <v>27</v>
      </c>
      <c r="T808" s="45" t="s">
        <v>28</v>
      </c>
      <c r="U808" s="46" t="str">
        <f t="array" ref="U808">XLOOKUP($A808,'Recipients REF'!$A:$A,'Recipients REF'!K:K,"",0)</f>
        <v>LSGW170-RMP-24101056</v>
      </c>
      <c r="V808" s="44" t="s">
        <v>29</v>
      </c>
      <c r="W808" s="45" t="s">
        <v>30</v>
      </c>
      <c r="X808" s="47" t="str">
        <f t="array" ref="X808">XLOOKUP($A808,'Recipients REF'!$A:$A,'Recipients REF'!L:L,"",0)</f>
        <v>WDP40-RMP-24121438</v>
      </c>
      <c r="Y808" s="48" t="s">
        <v>29</v>
      </c>
      <c r="Z808" s="48" t="s">
        <v>31</v>
      </c>
      <c r="AA808" s="46" t="str">
        <f t="array" ref="AA808">XLOOKUP($A808,'Recipients REF'!$A:$A,'Recipients REF'!M:M,"",0)</f>
        <v>WR-SERIES-1094PH</v>
      </c>
      <c r="AB808" s="49"/>
      <c r="AC808" s="42"/>
      <c r="AD808" s="42"/>
      <c r="AE808" s="56">
        <v>8.69066062184875E14</v>
      </c>
      <c r="AF808" s="56" t="s">
        <v>1579</v>
      </c>
      <c r="AG808" s="42"/>
      <c r="AH808" s="42"/>
      <c r="AI808" s="42" t="str">
        <f t="array" ref="AI808">XLOOKUP($E808,Sheet11!$D:$D,Sheet11!$X:$X,"",0)</f>
        <v/>
      </c>
      <c r="AJ808" s="42" t="str">
        <f t="array" ref="AJ808">XLOOKUP($E808,Sheet11!$D:$D,Sheet11!$Y:$Y,"",0)</f>
        <v/>
      </c>
    </row>
    <row r="809">
      <c r="A809" s="41">
        <v>594.0</v>
      </c>
      <c r="B809" s="42" t="s">
        <v>1580</v>
      </c>
      <c r="C809" s="42" t="s">
        <v>1581</v>
      </c>
      <c r="D809" s="42"/>
      <c r="E809" s="42" t="str">
        <f t="shared" ref="E809:F809" si="810">PROPER(B809)</f>
        <v>United Arbs Agriculture Cooperative</v>
      </c>
      <c r="F809" s="42" t="str">
        <f t="shared" si="810"/>
        <v>Santo Rosario, San Luis, Pampanga</v>
      </c>
      <c r="G809" s="42" t="str">
        <f t="shared" si="3"/>
        <v>Santo Rosario</v>
      </c>
      <c r="H809" s="42" t="str">
        <f t="shared" si="4"/>
        <v>San Luis</v>
      </c>
      <c r="I809" s="42" t="str">
        <f t="shared" si="5"/>
        <v>Pampanga</v>
      </c>
      <c r="J809" s="42" t="str">
        <f t="array" ref="J809">XLOOKUP($E809,'Recipients REF'!$B:$B,'Recipients REF'!D:D,"",0)</f>
        <v>RODELIO M. PEREZ</v>
      </c>
      <c r="K809" s="42" t="str">
        <f t="array" ref="K809">XLOOKUP($E809,'Recipients REF'!$B:$B,'Recipients REF'!E:E,"",0)</f>
        <v>0926-2747-612</v>
      </c>
      <c r="L809" s="43" t="str">
        <f t="array" ref="L809">XLOOKUP($A809,'Recipients REF'!$A:$A,'Recipients REF'!F:F,"",0)</f>
        <v>RCEF 24-04-15</v>
      </c>
      <c r="M809" s="43">
        <f t="array" ref="M809">XLOOKUP($A809,'Recipients REF'!$A:$A,'Recipients REF'!G:G,"",0)</f>
        <v>6</v>
      </c>
      <c r="N809" s="43">
        <f t="array" ref="N809">XLOOKUP($A809,'Recipients REF'!$A:$A,'Recipients REF'!H:H,"",0)</f>
        <v>22347</v>
      </c>
      <c r="O809" s="44" t="s">
        <v>25</v>
      </c>
      <c r="P809" s="45" t="s">
        <v>26</v>
      </c>
      <c r="Q809" s="46" t="str">
        <f t="array" ref="Q809">XLOOKUP($A809,'Recipients REF'!$A:$A,'Recipients REF'!I:I,"",0)</f>
        <v>KMC5825ALRFPV0882</v>
      </c>
      <c r="R809" s="47" t="str">
        <f t="array" ref="R809">XLOOKUP($A809,'Recipients REF'!$A:$A,'Recipients REF'!J:J,"",0)</f>
        <v>RTS100797</v>
      </c>
      <c r="S809" s="45" t="s">
        <v>27</v>
      </c>
      <c r="T809" s="45" t="s">
        <v>28</v>
      </c>
      <c r="U809" s="46" t="str">
        <f t="array" ref="U809">XLOOKUP($A809,'Recipients REF'!$A:$A,'Recipients REF'!K:K,"",0)</f>
        <v>LSGW170-RMP-24100986</v>
      </c>
      <c r="V809" s="44" t="s">
        <v>29</v>
      </c>
      <c r="W809" s="45" t="s">
        <v>30</v>
      </c>
      <c r="X809" s="47" t="str">
        <f t="array" ref="X809">XLOOKUP($A809,'Recipients REF'!$A:$A,'Recipients REF'!L:L,"",0)</f>
        <v>WDP40-RMP-24111402</v>
      </c>
      <c r="Y809" s="48" t="s">
        <v>29</v>
      </c>
      <c r="Z809" s="48" t="s">
        <v>31</v>
      </c>
      <c r="AA809" s="46" t="str">
        <f t="array" ref="AA809">XLOOKUP($A809,'Recipients REF'!$A:$A,'Recipients REF'!M:M,"",0)</f>
        <v>WR-SERIES-1026PH</v>
      </c>
      <c r="AB809" s="49"/>
      <c r="AC809" s="42"/>
      <c r="AD809" s="42"/>
      <c r="AE809" s="55">
        <v>8.69066062192852E14</v>
      </c>
      <c r="AF809" s="56" t="s">
        <v>1582</v>
      </c>
      <c r="AG809" s="42"/>
      <c r="AH809" s="42"/>
      <c r="AI809" s="42" t="str">
        <f t="array" ref="AI809">XLOOKUP($E809,Sheet11!$D:$D,Sheet11!$X:$X,"",0)</f>
        <v/>
      </c>
      <c r="AJ809" s="42" t="str">
        <f t="array" ref="AJ809">XLOOKUP($E809,Sheet11!$D:$D,Sheet11!$Y:$Y,"",0)</f>
        <v/>
      </c>
    </row>
    <row r="810">
      <c r="A810" s="41">
        <v>704.0</v>
      </c>
      <c r="B810" s="42" t="s">
        <v>1583</v>
      </c>
      <c r="C810" s="42" t="s">
        <v>1584</v>
      </c>
      <c r="D810" s="42"/>
      <c r="E810" s="42" t="str">
        <f t="shared" ref="E810:F810" si="811">PROPER(B810)</f>
        <v>Bepacal Irrigators Association, Inc.</v>
      </c>
      <c r="F810" s="42" t="str">
        <f t="shared" si="811"/>
        <v>San Isidro, San Luis, Pampanga</v>
      </c>
      <c r="G810" s="42" t="str">
        <f t="shared" si="3"/>
        <v>San Isidro</v>
      </c>
      <c r="H810" s="42" t="str">
        <f t="shared" si="4"/>
        <v>San Luis</v>
      </c>
      <c r="I810" s="42" t="str">
        <f t="shared" si="5"/>
        <v>Pampanga</v>
      </c>
      <c r="J810" s="42" t="str">
        <f t="array" ref="J810">XLOOKUP($E810,'Recipients REF'!$B:$B,'Recipients REF'!D:D,"",0)</f>
        <v>ARMIN R. TARUC</v>
      </c>
      <c r="K810" s="42" t="str">
        <f t="array" ref="K810">XLOOKUP($E810,'Recipients REF'!$B:$B,'Recipients REF'!E:E,"",0)</f>
        <v>0998-552-8202</v>
      </c>
      <c r="L810" s="43" t="str">
        <f t="array" ref="L810">XLOOKUP($A810,'Recipients REF'!$A:$A,'Recipients REF'!F:F,"",0)</f>
        <v>RCEF 25-03-05</v>
      </c>
      <c r="M810" s="43">
        <f t="array" ref="M810">XLOOKUP($A810,'Recipients REF'!$A:$A,'Recipients REF'!G:G,"",0)</f>
        <v>5</v>
      </c>
      <c r="N810" s="43" t="str">
        <f t="array" ref="N810">XLOOKUP($A810,'Recipients REF'!$A:$A,'Recipients REF'!H:H,"",0)</f>
        <v>26521 &amp; 27702</v>
      </c>
      <c r="O810" s="44" t="s">
        <v>25</v>
      </c>
      <c r="P810" s="45" t="s">
        <v>26</v>
      </c>
      <c r="Q810" s="46" t="str">
        <f t="array" ref="Q810">XLOOKUP($A810,'Recipients REF'!$A:$A,'Recipients REF'!I:I,"",0)</f>
        <v>KMC5825 AVSFPV0237</v>
      </c>
      <c r="R810" s="53" t="str">
        <f t="array" ref="R810">XLOOKUP($A810,'Recipients REF'!$A:$A,'Recipients REF'!J:J,"",0)</f>
        <v>STS100253</v>
      </c>
      <c r="S810" s="45" t="s">
        <v>27</v>
      </c>
      <c r="T810" s="45" t="s">
        <v>28</v>
      </c>
      <c r="U810" s="46" t="str">
        <f t="array" ref="U810">XLOOKUP($A810,'Recipients REF'!$A:$A,'Recipients REF'!K:K,"",0)</f>
        <v>WR-SERIES 051</v>
      </c>
      <c r="V810" s="44" t="s">
        <v>29</v>
      </c>
      <c r="W810" s="45" t="s">
        <v>30</v>
      </c>
      <c r="X810" s="53" t="str">
        <f t="array" ref="X810">XLOOKUP($A810,'Recipients REF'!$A:$A,'Recipients REF'!L:L,"",0)</f>
        <v>25080313</v>
      </c>
      <c r="Y810" s="48" t="s">
        <v>29</v>
      </c>
      <c r="Z810" s="48" t="s">
        <v>31</v>
      </c>
      <c r="AA810" s="54" t="str">
        <f t="array" ref="AA810">XLOOKUP($A810,'Recipients REF'!$A:$A,'Recipients REF'!M:M,"",0)</f>
        <v>25091002</v>
      </c>
      <c r="AB810" s="49"/>
      <c r="AC810" s="42"/>
      <c r="AD810" s="42"/>
      <c r="AE810" s="56">
        <v>8.69066063784798E14</v>
      </c>
      <c r="AF810" s="56" t="s">
        <v>1585</v>
      </c>
      <c r="AG810" s="42"/>
      <c r="AH810" s="42"/>
      <c r="AI810" s="42" t="str">
        <f t="array" ref="AI810">XLOOKUP($E810,Sheet11!$D:$D,Sheet11!$X:$X,"",0)</f>
        <v/>
      </c>
      <c r="AJ810" s="42" t="str">
        <f t="array" ref="AJ810">XLOOKUP($E810,Sheet11!$D:$D,Sheet11!$Y:$Y,"",0)</f>
        <v/>
      </c>
    </row>
    <row r="811">
      <c r="A811" s="41">
        <v>705.0</v>
      </c>
      <c r="B811" s="42" t="s">
        <v>1586</v>
      </c>
      <c r="C811" s="42" t="s">
        <v>1587</v>
      </c>
      <c r="D811" s="42"/>
      <c r="E811" s="42" t="str">
        <f t="shared" ref="E811:F811" si="812">PROPER(B811)</f>
        <v>Sta. Rita San Luis Arbs Farmers Association Incorporated</v>
      </c>
      <c r="F811" s="42" t="str">
        <f t="shared" si="812"/>
        <v>Santa Rita, San Luis, Pampanga</v>
      </c>
      <c r="G811" s="42" t="str">
        <f t="shared" si="3"/>
        <v>Santa Rita</v>
      </c>
      <c r="H811" s="42" t="str">
        <f t="shared" si="4"/>
        <v>San Luis</v>
      </c>
      <c r="I811" s="42" t="str">
        <f t="shared" si="5"/>
        <v>Pampanga</v>
      </c>
      <c r="J811" s="42" t="str">
        <f t="array" ref="J811">XLOOKUP($E811,'Recipients REF'!$B:$B,'Recipients REF'!D:D,"",0)</f>
        <v>ALVIN A. SANTOS</v>
      </c>
      <c r="K811" s="42" t="str">
        <f t="array" ref="K811">XLOOKUP($E811,'Recipients REF'!$B:$B,'Recipients REF'!E:E,"",0)</f>
        <v>0942-417-2660</v>
      </c>
      <c r="L811" s="43" t="str">
        <f t="array" ref="L811">XLOOKUP($A811,'Recipients REF'!$A:$A,'Recipients REF'!F:F,"",0)</f>
        <v>RCEF 25-03-05</v>
      </c>
      <c r="M811" s="43">
        <f t="array" ref="M811">XLOOKUP($A811,'Recipients REF'!$A:$A,'Recipients REF'!G:G,"",0)</f>
        <v>5</v>
      </c>
      <c r="N811" s="43" t="str">
        <f t="array" ref="N811">XLOOKUP($A811,'Recipients REF'!$A:$A,'Recipients REF'!H:H,"",0)</f>
        <v>26522 &amp; 27703</v>
      </c>
      <c r="O811" s="44" t="s">
        <v>25</v>
      </c>
      <c r="P811" s="45" t="s">
        <v>26</v>
      </c>
      <c r="Q811" s="46" t="str">
        <f t="array" ref="Q811">XLOOKUP($A811,'Recipients REF'!$A:$A,'Recipients REF'!I:I,"",0)</f>
        <v>KMC5825 APSFPV0393</v>
      </c>
      <c r="R811" s="53" t="str">
        <f t="array" ref="R811">XLOOKUP($A811,'Recipients REF'!$A:$A,'Recipients REF'!J:J,"",0)</f>
        <v>STS100447</v>
      </c>
      <c r="S811" s="45" t="s">
        <v>27</v>
      </c>
      <c r="T811" s="45" t="s">
        <v>28</v>
      </c>
      <c r="U811" s="46" t="str">
        <f t="array" ref="U811">XLOOKUP($A811,'Recipients REF'!$A:$A,'Recipients REF'!K:K,"",0)</f>
        <v>WR-SERIES 097</v>
      </c>
      <c r="V811" s="44" t="s">
        <v>29</v>
      </c>
      <c r="W811" s="45" t="s">
        <v>30</v>
      </c>
      <c r="X811" s="53" t="str">
        <f t="array" ref="X811">XLOOKUP($A811,'Recipients REF'!$A:$A,'Recipients REF'!L:L,"",0)</f>
        <v>25080331</v>
      </c>
      <c r="Y811" s="48" t="s">
        <v>29</v>
      </c>
      <c r="Z811" s="48" t="s">
        <v>31</v>
      </c>
      <c r="AA811" s="54" t="str">
        <f t="array" ref="AA811">XLOOKUP($A811,'Recipients REF'!$A:$A,'Recipients REF'!M:M,"",0)</f>
        <v>25080816</v>
      </c>
      <c r="AB811" s="49"/>
      <c r="AC811" s="42"/>
      <c r="AD811" s="42"/>
      <c r="AE811" s="55">
        <v>8.69066063766696E14</v>
      </c>
      <c r="AF811" s="56" t="s">
        <v>1588</v>
      </c>
      <c r="AG811" s="42"/>
      <c r="AH811" s="42"/>
      <c r="AI811" s="42" t="str">
        <f t="array" ref="AI811">XLOOKUP($E811,Sheet11!$D:$D,Sheet11!$X:$X,"",0)</f>
        <v/>
      </c>
      <c r="AJ811" s="42" t="str">
        <f t="array" ref="AJ811">XLOOKUP($E811,Sheet11!$D:$D,Sheet11!$Y:$Y,"",0)</f>
        <v/>
      </c>
    </row>
    <row r="812">
      <c r="A812" s="41">
        <v>115.0</v>
      </c>
      <c r="B812" s="42" t="s">
        <v>908</v>
      </c>
      <c r="C812" s="42" t="s">
        <v>1589</v>
      </c>
      <c r="D812" s="42"/>
      <c r="E812" s="42" t="str">
        <f t="shared" ref="E812:F812" si="813">PROPER(B812)</f>
        <v>Bagong Buhay, Farmers Association, Inc.</v>
      </c>
      <c r="F812" s="42" t="str">
        <f t="shared" si="813"/>
        <v>Concepcion, San Simon, Pampanga</v>
      </c>
      <c r="G812" s="42" t="str">
        <f t="shared" si="3"/>
        <v>Concepcion</v>
      </c>
      <c r="H812" s="42" t="str">
        <f t="shared" si="4"/>
        <v>San Simon</v>
      </c>
      <c r="I812" s="42" t="str">
        <f t="shared" si="5"/>
        <v>Pampanga</v>
      </c>
      <c r="J812" s="42" t="str">
        <f t="array" ref="J812">XLOOKUP($E812,'Recipients REF'!$B:$B,'Recipients REF'!D:D,"",0)</f>
        <v>LITO P. PADANON</v>
      </c>
      <c r="K812" s="42" t="str">
        <f t="array" ref="K812">XLOOKUP($E812,'Recipients REF'!$B:$B,'Recipients REF'!E:E,"",0)</f>
        <v>09776048249</v>
      </c>
      <c r="L812" s="43" t="str">
        <f t="array" ref="L812">XLOOKUP($A812,'Recipients REF'!$A:$A,'Recipients REF'!F:F,"",0)</f>
        <v>RCEF 23-09-21 Rebidding</v>
      </c>
      <c r="M812" s="43">
        <f t="array" ref="M812">XLOOKUP($A812,'Recipients REF'!$A:$A,'Recipients REF'!G:G,"",0)</f>
        <v>3</v>
      </c>
      <c r="N812" s="43">
        <f t="array" ref="N812">XLOOKUP($A812,'Recipients REF'!$A:$A,'Recipients REF'!H:H,"",0)</f>
        <v>17799</v>
      </c>
      <c r="O812" s="44" t="s">
        <v>25</v>
      </c>
      <c r="P812" s="45" t="s">
        <v>26</v>
      </c>
      <c r="Q812" s="46" t="str">
        <f t="array" ref="Q812">XLOOKUP($A812,'Recipients REF'!$A:$A,'Recipients REF'!I:I,"",0)</f>
        <v>KMC5825 ATPFPV0125</v>
      </c>
      <c r="R812" s="47" t="str">
        <f t="array" ref="R812">XLOOKUP($A812,'Recipients REF'!$A:$A,'Recipients REF'!J:J,"",0)</f>
        <v>PTS100050</v>
      </c>
      <c r="S812" s="45" t="s">
        <v>27</v>
      </c>
      <c r="T812" s="45" t="s">
        <v>28</v>
      </c>
      <c r="U812" s="46" t="str">
        <f t="array" ref="U812">XLOOKUP($A812,'Recipients REF'!$A:$A,'Recipients REF'!K:K,"",0)</f>
        <v>R-SERIES 074PH</v>
      </c>
      <c r="V812" s="44" t="s">
        <v>29</v>
      </c>
      <c r="W812" s="45" t="s">
        <v>30</v>
      </c>
      <c r="X812" s="47" t="str">
        <f t="array" ref="X812">XLOOKUP($A812,'Recipients REF'!$A:$A,'Recipients REF'!L:L,"",0)</f>
        <v>LSGW1750-RMP-2312041</v>
      </c>
      <c r="Y812" s="48" t="s">
        <v>29</v>
      </c>
      <c r="Z812" s="48" t="s">
        <v>31</v>
      </c>
      <c r="AA812" s="46" t="str">
        <f t="array" ref="AA812">XLOOKUP($A812,'Recipients REF'!$A:$A,'Recipients REF'!M:M,"",0)</f>
        <v>WDP40-RMP-2312070</v>
      </c>
      <c r="AB812" s="49"/>
      <c r="AC812" s="42"/>
      <c r="AD812" s="42"/>
      <c r="AE812" s="50"/>
      <c r="AF812" s="42"/>
      <c r="AG812" s="42"/>
      <c r="AH812" s="42"/>
      <c r="AI812" s="42">
        <f t="array" ref="AI812">XLOOKUP($E812,Sheet11!$D:$D,Sheet11!$X:$X,"",0)</f>
        <v>869066060244846</v>
      </c>
      <c r="AJ812" s="42" t="str">
        <f t="array" ref="AJ812">XLOOKUP($E812,Sheet11!$D:$D,Sheet11!$Y:$Y,"",0)</f>
        <v>09691191299</v>
      </c>
    </row>
    <row r="813">
      <c r="A813" s="41">
        <v>111.0</v>
      </c>
      <c r="B813" s="42" t="s">
        <v>1590</v>
      </c>
      <c r="C813" s="42" t="s">
        <v>1591</v>
      </c>
      <c r="D813" s="42"/>
      <c r="E813" s="42" t="str">
        <f t="shared" ref="E813:F813" si="814">PROPER(B813)</f>
        <v>Barangay Sepung Ilog Farmers Irrigators Assocoation Inc.</v>
      </c>
      <c r="F813" s="42" t="str">
        <f t="shared" si="814"/>
        <v>San Nicolas, Santa Ana, Pampanga</v>
      </c>
      <c r="G813" s="42" t="str">
        <f t="shared" si="3"/>
        <v>San Nicolas</v>
      </c>
      <c r="H813" s="42" t="str">
        <f t="shared" si="4"/>
        <v>Santa Ana</v>
      </c>
      <c r="I813" s="42" t="str">
        <f t="shared" si="5"/>
        <v>Pampanga</v>
      </c>
      <c r="J813" s="42" t="str">
        <f t="array" ref="J813">XLOOKUP($E813,'Recipients REF'!$B:$B,'Recipients REF'!D:D,"",0)</f>
        <v>LODAVICO T. MANIAGO</v>
      </c>
      <c r="K813" s="42" t="str">
        <f t="array" ref="K813">XLOOKUP($E813,'Recipients REF'!$B:$B,'Recipients REF'!E:E,"",0)</f>
        <v>0997-370-4756</v>
      </c>
      <c r="L813" s="43" t="str">
        <f t="array" ref="L813">XLOOKUP($A813,'Recipients REF'!$A:$A,'Recipients REF'!F:F,"",0)</f>
        <v>RCEF 23-09-21 Rebidding</v>
      </c>
      <c r="M813" s="43">
        <f t="array" ref="M813">XLOOKUP($A813,'Recipients REF'!$A:$A,'Recipients REF'!G:G,"",0)</f>
        <v>3</v>
      </c>
      <c r="N813" s="43">
        <f t="array" ref="N813">XLOOKUP($A813,'Recipients REF'!$A:$A,'Recipients REF'!H:H,"",0)</f>
        <v>17795</v>
      </c>
      <c r="O813" s="44" t="s">
        <v>25</v>
      </c>
      <c r="P813" s="45" t="s">
        <v>26</v>
      </c>
      <c r="Q813" s="46" t="str">
        <f t="array" ref="Q813">XLOOKUP($A813,'Recipients REF'!$A:$A,'Recipients REF'!I:I,"",0)</f>
        <v>KMC5825 ACPFPV0082</v>
      </c>
      <c r="R813" s="47" t="str">
        <f t="array" ref="R813">XLOOKUP($A813,'Recipients REF'!$A:$A,'Recipients REF'!J:J,"",0)</f>
        <v>PTS100083</v>
      </c>
      <c r="S813" s="45" t="s">
        <v>27</v>
      </c>
      <c r="T813" s="45" t="s">
        <v>28</v>
      </c>
      <c r="U813" s="46" t="str">
        <f t="array" ref="U813">XLOOKUP($A813,'Recipients REF'!$A:$A,'Recipients REF'!K:K,"",0)</f>
        <v>R-SERIES 096PH</v>
      </c>
      <c r="V813" s="44" t="s">
        <v>29</v>
      </c>
      <c r="W813" s="45" t="s">
        <v>30</v>
      </c>
      <c r="X813" s="47" t="str">
        <f t="array" ref="X813">XLOOKUP($A813,'Recipients REF'!$A:$A,'Recipients REF'!L:L,"",0)</f>
        <v>LSGW1750-RMP-2312006</v>
      </c>
      <c r="Y813" s="48" t="s">
        <v>29</v>
      </c>
      <c r="Z813" s="48" t="s">
        <v>31</v>
      </c>
      <c r="AA813" s="46" t="str">
        <f t="array" ref="AA813">XLOOKUP($A813,'Recipients REF'!$A:$A,'Recipients REF'!M:M,"",0)</f>
        <v>WDP40-RMP-2312054</v>
      </c>
      <c r="AB813" s="49"/>
      <c r="AC813" s="42"/>
      <c r="AD813" s="42"/>
      <c r="AE813" s="56">
        <v>8.69066060242824E14</v>
      </c>
      <c r="AF813" s="56">
        <v>4.25230021017852E15</v>
      </c>
      <c r="AG813" s="42"/>
      <c r="AH813" s="42"/>
      <c r="AI813" s="42">
        <f t="array" ref="AI813">XLOOKUP($E813,Sheet11!$D:$D,Sheet11!$X:$X,"",0)</f>
        <v>869066060242824</v>
      </c>
      <c r="AJ813" s="42" t="str">
        <f t="array" ref="AJ813">XLOOKUP($E813,Sheet11!$D:$D,Sheet11!$Y:$Y,"",0)</f>
        <v>09692405852</v>
      </c>
    </row>
    <row r="814">
      <c r="A814" s="41">
        <v>589.0</v>
      </c>
      <c r="B814" s="42" t="s">
        <v>1592</v>
      </c>
      <c r="C814" s="42" t="s">
        <v>1593</v>
      </c>
      <c r="D814" s="42"/>
      <c r="E814" s="42" t="str">
        <f t="shared" ref="E814:F814" si="815">PROPER(B814)</f>
        <v>Abe-Abeng Mag-Papale At Mag-Mamangga Farmer'S Association Inc.</v>
      </c>
      <c r="F814" s="42" t="str">
        <f t="shared" si="815"/>
        <v>Santa Maria, Santa Ana, Pampanga</v>
      </c>
      <c r="G814" s="42" t="str">
        <f t="shared" si="3"/>
        <v>Santa Maria</v>
      </c>
      <c r="H814" s="42" t="str">
        <f t="shared" si="4"/>
        <v>Santa Ana</v>
      </c>
      <c r="I814" s="42" t="str">
        <f t="shared" si="5"/>
        <v>Pampanga</v>
      </c>
      <c r="J814" s="42" t="str">
        <f t="array" ref="J814">XLOOKUP($E814,'Recipients REF'!$B:$B,'Recipients REF'!D:D,"",0)</f>
        <v>RODELO L. PALMA</v>
      </c>
      <c r="K814" s="42" t="str">
        <f t="array" ref="K814">XLOOKUP($E814,'Recipients REF'!$B:$B,'Recipients REF'!E:E,"",0)</f>
        <v>0936-554-2780</v>
      </c>
      <c r="L814" s="43" t="str">
        <f t="array" ref="L814">XLOOKUP($A814,'Recipients REF'!$A:$A,'Recipients REF'!F:F,"",0)</f>
        <v>RCEF 24-04-15</v>
      </c>
      <c r="M814" s="43">
        <f t="array" ref="M814">XLOOKUP($A814,'Recipients REF'!$A:$A,'Recipients REF'!G:G,"",0)</f>
        <v>6</v>
      </c>
      <c r="N814" s="43">
        <f t="array" ref="N814">XLOOKUP($A814,'Recipients REF'!$A:$A,'Recipients REF'!H:H,"",0)</f>
        <v>22342</v>
      </c>
      <c r="O814" s="44" t="s">
        <v>25</v>
      </c>
      <c r="P814" s="45" t="s">
        <v>26</v>
      </c>
      <c r="Q814" s="46" t="str">
        <f t="array" ref="Q814">XLOOKUP($A814,'Recipients REF'!$A:$A,'Recipients REF'!I:I,"",0)</f>
        <v>KMC5825APRFPV0890</v>
      </c>
      <c r="R814" s="47" t="str">
        <f t="array" ref="R814">XLOOKUP($A814,'Recipients REF'!$A:$A,'Recipients REF'!J:J,"",0)</f>
        <v>RTS100794</v>
      </c>
      <c r="S814" s="45" t="s">
        <v>27</v>
      </c>
      <c r="T814" s="45" t="s">
        <v>28</v>
      </c>
      <c r="U814" s="46" t="str">
        <f t="array" ref="U814">XLOOKUP($A814,'Recipients REF'!$A:$A,'Recipients REF'!K:K,"",0)</f>
        <v>LSGW170-RMP-24100964</v>
      </c>
      <c r="V814" s="44" t="s">
        <v>29</v>
      </c>
      <c r="W814" s="45" t="s">
        <v>30</v>
      </c>
      <c r="X814" s="47" t="str">
        <f t="array" ref="X814">XLOOKUP($A814,'Recipients REF'!$A:$A,'Recipients REF'!L:L,"",0)</f>
        <v>WDP40-RMP-24121443</v>
      </c>
      <c r="Y814" s="48" t="s">
        <v>29</v>
      </c>
      <c r="Z814" s="48" t="s">
        <v>31</v>
      </c>
      <c r="AA814" s="46" t="str">
        <f t="array" ref="AA814">XLOOKUP($A814,'Recipients REF'!$A:$A,'Recipients REF'!M:M,"",0)</f>
        <v>WR-SERIES-1029PH</v>
      </c>
      <c r="AB814" s="49"/>
      <c r="AC814" s="42"/>
      <c r="AD814" s="42"/>
      <c r="AE814" s="56">
        <v>8.69066062216958E14</v>
      </c>
      <c r="AF814" s="56" t="s">
        <v>1594</v>
      </c>
      <c r="AG814" s="42"/>
      <c r="AH814" s="42"/>
      <c r="AI814" s="42" t="str">
        <f t="array" ref="AI814">XLOOKUP($E814,Sheet11!$D:$D,Sheet11!$X:$X,"",0)</f>
        <v/>
      </c>
      <c r="AJ814" s="42" t="str">
        <f t="array" ref="AJ814">XLOOKUP($E814,Sheet11!$D:$D,Sheet11!$Y:$Y,"",0)</f>
        <v/>
      </c>
    </row>
    <row r="815">
      <c r="A815" s="41">
        <v>590.0</v>
      </c>
      <c r="B815" s="42" t="s">
        <v>1595</v>
      </c>
      <c r="C815" s="42" t="s">
        <v>1596</v>
      </c>
      <c r="D815" s="42"/>
      <c r="E815" s="42" t="str">
        <f t="shared" ref="E815:F815" si="816">PROPER(B815)</f>
        <v>Aguman Ortelano And Workers' Association</v>
      </c>
      <c r="F815" s="42" t="str">
        <f t="shared" si="816"/>
        <v>San Isidro, Santa Ana, Pampanga</v>
      </c>
      <c r="G815" s="42" t="str">
        <f t="shared" si="3"/>
        <v>San Isidro</v>
      </c>
      <c r="H815" s="42" t="str">
        <f t="shared" si="4"/>
        <v>Santa Ana</v>
      </c>
      <c r="I815" s="42" t="str">
        <f t="shared" si="5"/>
        <v>Pampanga</v>
      </c>
      <c r="J815" s="42" t="str">
        <f t="array" ref="J815">XLOOKUP($E815,'Recipients REF'!$B:$B,'Recipients REF'!D:D,"",0)</f>
        <v>EDUARDO M. MALATBAT</v>
      </c>
      <c r="K815" s="42" t="str">
        <f t="array" ref="K815">XLOOKUP($E815,'Recipients REF'!$B:$B,'Recipients REF'!E:E,"",0)</f>
        <v>0916-606-4335/ 0926-681-2622</v>
      </c>
      <c r="L815" s="43" t="str">
        <f t="array" ref="L815">XLOOKUP($A815,'Recipients REF'!$A:$A,'Recipients REF'!F:F,"",0)</f>
        <v>RCEF 24-04-15</v>
      </c>
      <c r="M815" s="43">
        <f t="array" ref="M815">XLOOKUP($A815,'Recipients REF'!$A:$A,'Recipients REF'!G:G,"",0)</f>
        <v>6</v>
      </c>
      <c r="N815" s="43">
        <f t="array" ref="N815">XLOOKUP($A815,'Recipients REF'!$A:$A,'Recipients REF'!H:H,"",0)</f>
        <v>22343</v>
      </c>
      <c r="O815" s="44" t="s">
        <v>25</v>
      </c>
      <c r="P815" s="45" t="s">
        <v>26</v>
      </c>
      <c r="Q815" s="46" t="str">
        <f t="array" ref="Q815">XLOOKUP($A815,'Recipients REF'!$A:$A,'Recipients REF'!I:I,"",0)</f>
        <v>KMC5825AARFPV0878</v>
      </c>
      <c r="R815" s="47" t="str">
        <f t="array" ref="R815">XLOOKUP($A815,'Recipients REF'!$A:$A,'Recipients REF'!J:J,"",0)</f>
        <v>RTS100773</v>
      </c>
      <c r="S815" s="45" t="s">
        <v>27</v>
      </c>
      <c r="T815" s="45" t="s">
        <v>28</v>
      </c>
      <c r="U815" s="46" t="str">
        <f t="array" ref="U815">XLOOKUP($A815,'Recipients REF'!$A:$A,'Recipients REF'!K:K,"",0)</f>
        <v>LSGW170-RMP-24101076</v>
      </c>
      <c r="V815" s="44" t="s">
        <v>29</v>
      </c>
      <c r="W815" s="45" t="s">
        <v>30</v>
      </c>
      <c r="X815" s="47" t="str">
        <f t="array" ref="X815">XLOOKUP($A815,'Recipients REF'!$A:$A,'Recipients REF'!L:L,"",0)</f>
        <v>WDP40-RMP-24111415</v>
      </c>
      <c r="Y815" s="48" t="s">
        <v>29</v>
      </c>
      <c r="Z815" s="48" t="s">
        <v>31</v>
      </c>
      <c r="AA815" s="46" t="str">
        <f t="array" ref="AA815">XLOOKUP($A815,'Recipients REF'!$A:$A,'Recipients REF'!M:M,"",0)</f>
        <v>WR-SERIES-1008PH</v>
      </c>
      <c r="AB815" s="49"/>
      <c r="AC815" s="42"/>
      <c r="AD815" s="42"/>
      <c r="AE815" s="56">
        <v>8.69066063766696E14</v>
      </c>
      <c r="AF815" s="56" t="s">
        <v>1588</v>
      </c>
      <c r="AG815" s="42"/>
      <c r="AH815" s="42"/>
      <c r="AI815" s="42" t="str">
        <f t="array" ref="AI815">XLOOKUP($E815,Sheet11!$D:$D,Sheet11!$X:$X,"",0)</f>
        <v/>
      </c>
      <c r="AJ815" s="42" t="str">
        <f t="array" ref="AJ815">XLOOKUP($E815,Sheet11!$D:$D,Sheet11!$Y:$Y,"",0)</f>
        <v/>
      </c>
    </row>
    <row r="816">
      <c r="A816" s="41">
        <v>697.0</v>
      </c>
      <c r="B816" s="42" t="s">
        <v>1597</v>
      </c>
      <c r="C816" s="42" t="s">
        <v>1598</v>
      </c>
      <c r="D816" s="42"/>
      <c r="E816" s="42" t="str">
        <f t="shared" ref="E816:F816" si="817">PROPER(B816)</f>
        <v>Guran-Sapa Multipurpose Cooperative</v>
      </c>
      <c r="F816" s="42" t="str">
        <f t="shared" si="817"/>
        <v>San Pablo, Santa Ana, Pampanga</v>
      </c>
      <c r="G816" s="42" t="str">
        <f t="shared" si="3"/>
        <v>San Pablo</v>
      </c>
      <c r="H816" s="42" t="str">
        <f t="shared" si="4"/>
        <v>Santa Ana</v>
      </c>
      <c r="I816" s="42" t="str">
        <f t="shared" si="5"/>
        <v>Pampanga</v>
      </c>
      <c r="J816" s="42" t="str">
        <f t="array" ref="J816">XLOOKUP($E816,'Recipients REF'!$B:$B,'Recipients REF'!D:D,"",0)</f>
        <v>Atty. MAMERTO S. VILLANUEVA</v>
      </c>
      <c r="K816" s="42" t="str">
        <f t="array" ref="K816">XLOOKUP($E816,'Recipients REF'!$B:$B,'Recipients REF'!E:E,"",0)</f>
        <v>0927-691-5987</v>
      </c>
      <c r="L816" s="43" t="str">
        <f t="array" ref="L816">XLOOKUP($A816,'Recipients REF'!$A:$A,'Recipients REF'!F:F,"",0)</f>
        <v>RCEF 25-03-05</v>
      </c>
      <c r="M816" s="43">
        <f t="array" ref="M816">XLOOKUP($A816,'Recipients REF'!$A:$A,'Recipients REF'!G:G,"",0)</f>
        <v>5</v>
      </c>
      <c r="N816" s="43" t="str">
        <f t="array" ref="N816">XLOOKUP($A816,'Recipients REF'!$A:$A,'Recipients REF'!H:H,"",0)</f>
        <v>26514 &amp; 27695</v>
      </c>
      <c r="O816" s="44" t="s">
        <v>25</v>
      </c>
      <c r="P816" s="45" t="s">
        <v>26</v>
      </c>
      <c r="Q816" s="46" t="str">
        <f t="array" ref="Q816">XLOOKUP($A816,'Recipients REF'!$A:$A,'Recipients REF'!I:I,"",0)</f>
        <v>KMC5825 AJSFPV0350</v>
      </c>
      <c r="R816" s="53" t="str">
        <f t="array" ref="R816">XLOOKUP($A816,'Recipients REF'!$A:$A,'Recipients REF'!J:J,"",0)</f>
        <v>STS100330</v>
      </c>
      <c r="S816" s="45" t="s">
        <v>27</v>
      </c>
      <c r="T816" s="45" t="s">
        <v>28</v>
      </c>
      <c r="U816" s="46" t="str">
        <f t="array" ref="U816">XLOOKUP($A816,'Recipients REF'!$A:$A,'Recipients REF'!K:K,"",0)</f>
        <v>WR-SERIES 275</v>
      </c>
      <c r="V816" s="44" t="s">
        <v>29</v>
      </c>
      <c r="W816" s="45" t="s">
        <v>30</v>
      </c>
      <c r="X816" s="53" t="str">
        <f t="array" ref="X816">XLOOKUP($A816,'Recipients REF'!$A:$A,'Recipients REF'!L:L,"",0)</f>
        <v>25080405</v>
      </c>
      <c r="Y816" s="48" t="s">
        <v>29</v>
      </c>
      <c r="Z816" s="48" t="s">
        <v>31</v>
      </c>
      <c r="AA816" s="54" t="str">
        <f t="array" ref="AA816">XLOOKUP($A816,'Recipients REF'!$A:$A,'Recipients REF'!M:M,"",0)</f>
        <v>25080820</v>
      </c>
      <c r="AB816" s="49"/>
      <c r="AC816" s="42"/>
      <c r="AD816" s="42"/>
      <c r="AE816" s="56">
        <v>8.69066063761903E14</v>
      </c>
      <c r="AF816" s="56" t="s">
        <v>1599</v>
      </c>
      <c r="AG816" s="42"/>
      <c r="AH816" s="42"/>
      <c r="AI816" s="42" t="str">
        <f t="array" ref="AI816">XLOOKUP($E816,Sheet11!$D:$D,Sheet11!$X:$X,"",0)</f>
        <v/>
      </c>
      <c r="AJ816" s="42" t="str">
        <f t="array" ref="AJ816">XLOOKUP($E816,Sheet11!$D:$D,Sheet11!$Y:$Y,"",0)</f>
        <v/>
      </c>
    </row>
    <row r="817">
      <c r="A817" s="41">
        <v>698.0</v>
      </c>
      <c r="B817" s="42" t="s">
        <v>1600</v>
      </c>
      <c r="C817" s="42" t="s">
        <v>1601</v>
      </c>
      <c r="D817" s="42"/>
      <c r="E817" s="42" t="str">
        <f t="shared" ref="E817:F817" si="818">PROPER(B817)</f>
        <v>Sta. Ana Agricultural Multipurpose Cooperative</v>
      </c>
      <c r="F817" s="42" t="str">
        <f t="shared" si="818"/>
        <v>Santa Lucia, Santa Ana, Pampanga</v>
      </c>
      <c r="G817" s="42" t="str">
        <f t="shared" si="3"/>
        <v>Santa Lucia</v>
      </c>
      <c r="H817" s="42" t="str">
        <f t="shared" si="4"/>
        <v>Santa Ana</v>
      </c>
      <c r="I817" s="42" t="str">
        <f t="shared" si="5"/>
        <v>Pampanga</v>
      </c>
      <c r="J817" s="42" t="str">
        <f t="array" ref="J817">XLOOKUP($E817,'Recipients REF'!$B:$B,'Recipients REF'!D:D,"",0)</f>
        <v>DANILO S. LANDAYAN</v>
      </c>
      <c r="K817" s="42" t="str">
        <f t="array" ref="K817">XLOOKUP($E817,'Recipients REF'!$B:$B,'Recipients REF'!E:E,"",0)</f>
        <v>0955-118-3985</v>
      </c>
      <c r="L817" s="43" t="str">
        <f t="array" ref="L817">XLOOKUP($A817,'Recipients REF'!$A:$A,'Recipients REF'!F:F,"",0)</f>
        <v>RCEF 25-03-05</v>
      </c>
      <c r="M817" s="43">
        <f t="array" ref="M817">XLOOKUP($A817,'Recipients REF'!$A:$A,'Recipients REF'!G:G,"",0)</f>
        <v>5</v>
      </c>
      <c r="N817" s="43" t="str">
        <f t="array" ref="N817">XLOOKUP($A817,'Recipients REF'!$A:$A,'Recipients REF'!H:H,"",0)</f>
        <v>26515 &amp; 27696</v>
      </c>
      <c r="O817" s="44" t="s">
        <v>25</v>
      </c>
      <c r="P817" s="45" t="s">
        <v>26</v>
      </c>
      <c r="Q817" s="46" t="str">
        <f t="array" ref="Q817">XLOOKUP($A817,'Recipients REF'!$A:$A,'Recipients REF'!I:I,"",0)</f>
        <v>KMC5825 AHSFPV0324</v>
      </c>
      <c r="R817" s="53" t="str">
        <f t="array" ref="R817">XLOOKUP($A817,'Recipients REF'!$A:$A,'Recipients REF'!J:J,"",0)</f>
        <v>STS100332</v>
      </c>
      <c r="S817" s="45" t="s">
        <v>27</v>
      </c>
      <c r="T817" s="45" t="s">
        <v>28</v>
      </c>
      <c r="U817" s="46" t="str">
        <f t="array" ref="U817">XLOOKUP($A817,'Recipients REF'!$A:$A,'Recipients REF'!K:K,"",0)</f>
        <v>WR-SERIES 145</v>
      </c>
      <c r="V817" s="44" t="s">
        <v>29</v>
      </c>
      <c r="W817" s="45" t="s">
        <v>30</v>
      </c>
      <c r="X817" s="53" t="str">
        <f t="array" ref="X817">XLOOKUP($A817,'Recipients REF'!$A:$A,'Recipients REF'!L:L,"",0)</f>
        <v>25080399</v>
      </c>
      <c r="Y817" s="48" t="s">
        <v>29</v>
      </c>
      <c r="Z817" s="48" t="s">
        <v>31</v>
      </c>
      <c r="AA817" s="54" t="str">
        <f t="array" ref="AA817">XLOOKUP($A817,'Recipients REF'!$A:$A,'Recipients REF'!M:M,"",0)</f>
        <v>25080871</v>
      </c>
      <c r="AB817" s="49"/>
      <c r="AC817" s="42"/>
      <c r="AD817" s="42"/>
      <c r="AE817" s="55">
        <v>8.69066063759592E14</v>
      </c>
      <c r="AF817" s="56" t="s">
        <v>1602</v>
      </c>
      <c r="AG817" s="42"/>
      <c r="AH817" s="42"/>
      <c r="AI817" s="42" t="str">
        <f t="array" ref="AI817">XLOOKUP($E817,Sheet11!$D:$D,Sheet11!$X:$X,"",0)</f>
        <v/>
      </c>
      <c r="AJ817" s="42" t="str">
        <f t="array" ref="AJ817">XLOOKUP($E817,Sheet11!$D:$D,Sheet11!$Y:$Y,"",0)</f>
        <v/>
      </c>
    </row>
    <row r="818">
      <c r="A818" s="41">
        <v>340.0</v>
      </c>
      <c r="B818" s="42" t="s">
        <v>1603</v>
      </c>
      <c r="C818" s="42" t="s">
        <v>1604</v>
      </c>
      <c r="D818" s="42"/>
      <c r="E818" s="42" t="str">
        <f t="shared" ref="E818:F818" si="819">PROPER(B818)</f>
        <v>Alaminos City Agriculture Cooperative</v>
      </c>
      <c r="F818" s="42" t="str">
        <f t="shared" si="819"/>
        <v>San Antonio (R. Magsaysay), Alaminos City, Pangasinan</v>
      </c>
      <c r="G818" s="42" t="str">
        <f t="shared" si="3"/>
        <v>San Antonio (R. Magsaysay)</v>
      </c>
      <c r="H818" s="42" t="str">
        <f t="shared" si="4"/>
        <v>Alaminos City</v>
      </c>
      <c r="I818" s="42" t="str">
        <f t="shared" si="5"/>
        <v>Pangasinan</v>
      </c>
      <c r="J818" s="42" t="str">
        <f t="array" ref="J818">XLOOKUP($E818,'Recipients REF'!$B:$B,'Recipients REF'!D:D,"",0)</f>
        <v>Letecia T. Dela Cruz</v>
      </c>
      <c r="K818" s="42" t="str">
        <f t="array" ref="K818">XLOOKUP($E818,'Recipients REF'!$B:$B,'Recipients REF'!E:E,"",0)</f>
        <v>0915-748-9034</v>
      </c>
      <c r="L818" s="43" t="str">
        <f t="array" ref="L818">XLOOKUP($A818,'Recipients REF'!$A:$A,'Recipients REF'!F:F,"",0)</f>
        <v>RCEF 23-09-21 Rebidding</v>
      </c>
      <c r="M818" s="43">
        <f t="array" ref="M818">XLOOKUP($A818,'Recipients REF'!$A:$A,'Recipients REF'!G:G,"",0)</f>
        <v>9</v>
      </c>
      <c r="N818" s="43">
        <f t="array" ref="N818">XLOOKUP($A818,'Recipients REF'!$A:$A,'Recipients REF'!H:H,"",0)</f>
        <v>18979</v>
      </c>
      <c r="O818" s="44" t="s">
        <v>25</v>
      </c>
      <c r="P818" s="45" t="s">
        <v>26</v>
      </c>
      <c r="Q818" s="46" t="str">
        <f t="array" ref="Q818">XLOOKUP($A818,'Recipients REF'!$A:$A,'Recipients REF'!I:I,"",0)</f>
        <v>KMC5825 AARFPV0332</v>
      </c>
      <c r="R818" s="47" t="str">
        <f t="array" ref="R818">XLOOKUP($A818,'Recipients REF'!$A:$A,'Recipients REF'!J:J,"",0)</f>
        <v>RTS100177</v>
      </c>
      <c r="S818" s="45" t="s">
        <v>27</v>
      </c>
      <c r="T818" s="45" t="s">
        <v>28</v>
      </c>
      <c r="U818" s="46" t="str">
        <f t="array" ref="U818">XLOOKUP($A818,'Recipients REF'!$A:$A,'Recipients REF'!K:K,"",0)</f>
        <v>R-SERIES 375 PH</v>
      </c>
      <c r="V818" s="44" t="s">
        <v>29</v>
      </c>
      <c r="W818" s="45" t="s">
        <v>30</v>
      </c>
      <c r="X818" s="47" t="str">
        <f t="array" ref="X818">XLOOKUP($A818,'Recipients REF'!$A:$A,'Recipients REF'!L:L,"",0)</f>
        <v>LSGW1750 RMP 24020422</v>
      </c>
      <c r="Y818" s="48" t="s">
        <v>29</v>
      </c>
      <c r="Z818" s="48" t="s">
        <v>31</v>
      </c>
      <c r="AA818" s="46" t="str">
        <f t="array" ref="AA818">XLOOKUP($A818,'Recipients REF'!$A:$A,'Recipients REF'!M:M,"",0)</f>
        <v>WDP40-RMP-24040509</v>
      </c>
      <c r="AB818" s="49"/>
      <c r="AC818" s="42"/>
      <c r="AD818" s="42"/>
      <c r="AE818" s="50"/>
      <c r="AF818" s="42"/>
      <c r="AG818" s="42"/>
      <c r="AH818" s="42"/>
      <c r="AI818" s="42" t="str">
        <f t="array" ref="AI818">XLOOKUP($E818,Sheet11!$D:$D,Sheet11!$X:$X,"",0)</f>
        <v/>
      </c>
      <c r="AJ818" s="42" t="str">
        <f t="array" ref="AJ818">XLOOKUP($E818,Sheet11!$D:$D,Sheet11!$Y:$Y,"",0)</f>
        <v/>
      </c>
    </row>
    <row r="819">
      <c r="A819" s="41">
        <v>341.0</v>
      </c>
      <c r="B819" s="42" t="s">
        <v>1605</v>
      </c>
      <c r="C819" s="42" t="s">
        <v>1606</v>
      </c>
      <c r="D819" s="42"/>
      <c r="E819" s="42" t="str">
        <f t="shared" ref="E819:F819" si="820">PROPER(B819)</f>
        <v>Sitanglab Irrigators Association, Inc</v>
      </c>
      <c r="F819" s="42" t="str">
        <f t="shared" si="820"/>
        <v>Tanggal Sawang, Umingan, Pangasinan</v>
      </c>
      <c r="G819" s="42" t="str">
        <f t="shared" si="3"/>
        <v>Tanggal Sawang</v>
      </c>
      <c r="H819" s="42" t="str">
        <f t="shared" si="4"/>
        <v>Umingan</v>
      </c>
      <c r="I819" s="42" t="str">
        <f t="shared" si="5"/>
        <v>Pangasinan</v>
      </c>
      <c r="J819" s="42" t="str">
        <f t="array" ref="J819">XLOOKUP($E819,'Recipients REF'!$B:$B,'Recipients REF'!D:D,"",0)</f>
        <v>Reynaldo M. Escobar</v>
      </c>
      <c r="K819" s="42" t="str">
        <f t="array" ref="K819">XLOOKUP($E819,'Recipients REF'!$B:$B,'Recipients REF'!E:E,"",0)</f>
        <v>0931-840-2147</v>
      </c>
      <c r="L819" s="43" t="str">
        <f t="array" ref="L819">XLOOKUP($A819,'Recipients REF'!$A:$A,'Recipients REF'!F:F,"",0)</f>
        <v>RCEF 23-09-21 Rebidding</v>
      </c>
      <c r="M819" s="43">
        <f t="array" ref="M819">XLOOKUP($A819,'Recipients REF'!$A:$A,'Recipients REF'!G:G,"",0)</f>
        <v>9</v>
      </c>
      <c r="N819" s="43">
        <f t="array" ref="N819">XLOOKUP($A819,'Recipients REF'!$A:$A,'Recipients REF'!H:H,"",0)</f>
        <v>18980</v>
      </c>
      <c r="O819" s="44" t="s">
        <v>25</v>
      </c>
      <c r="P819" s="45" t="s">
        <v>26</v>
      </c>
      <c r="Q819" s="46" t="str">
        <f t="array" ref="Q819">XLOOKUP($A819,'Recipients REF'!$A:$A,'Recipients REF'!I:I,"",0)</f>
        <v>KMC5825 APRFPV0372</v>
      </c>
      <c r="R819" s="47" t="str">
        <f t="array" ref="R819">XLOOKUP($A819,'Recipients REF'!$A:$A,'Recipients REF'!J:J,"",0)</f>
        <v>RTS100282</v>
      </c>
      <c r="S819" s="45" t="s">
        <v>27</v>
      </c>
      <c r="T819" s="45" t="s">
        <v>28</v>
      </c>
      <c r="U819" s="46" t="str">
        <f t="array" ref="U819">XLOOKUP($A819,'Recipients REF'!$A:$A,'Recipients REF'!K:K,"",0)</f>
        <v>R-SERIES 383 PH</v>
      </c>
      <c r="V819" s="44" t="s">
        <v>29</v>
      </c>
      <c r="W819" s="45" t="s">
        <v>30</v>
      </c>
      <c r="X819" s="47" t="str">
        <f t="array" ref="X819">XLOOKUP($A819,'Recipients REF'!$A:$A,'Recipients REF'!L:L,"",0)</f>
        <v>LSGW1750 RMP 24020532</v>
      </c>
      <c r="Y819" s="48" t="s">
        <v>29</v>
      </c>
      <c r="Z819" s="48" t="s">
        <v>31</v>
      </c>
      <c r="AA819" s="46" t="str">
        <f t="array" ref="AA819">XLOOKUP($A819,'Recipients REF'!$A:$A,'Recipients REF'!M:M,"",0)</f>
        <v>WDP40-RMP-24040540</v>
      </c>
      <c r="AB819" s="49"/>
      <c r="AC819" s="42"/>
      <c r="AD819" s="42"/>
      <c r="AE819" s="50"/>
      <c r="AF819" s="42"/>
      <c r="AG819" s="42"/>
      <c r="AH819" s="42"/>
      <c r="AI819" s="42" t="str">
        <f t="array" ref="AI819">XLOOKUP($E819,Sheet11!$D:$D,Sheet11!$X:$X,"",0)</f>
        <v/>
      </c>
      <c r="AJ819" s="42" t="str">
        <f t="array" ref="AJ819">XLOOKUP($E819,Sheet11!$D:$D,Sheet11!$Y:$Y,"",0)</f>
        <v/>
      </c>
    </row>
    <row r="820">
      <c r="A820" s="41">
        <v>342.0</v>
      </c>
      <c r="B820" s="42" t="s">
        <v>1607</v>
      </c>
      <c r="C820" s="42" t="s">
        <v>1608</v>
      </c>
      <c r="D820" s="42"/>
      <c r="E820" s="42" t="str">
        <f t="shared" ref="E820:F820" si="821">PROPER(B820)</f>
        <v>Layunin Ng Mapayapang Pag-Unlad Association, Incorporated</v>
      </c>
      <c r="F820" s="42" t="str">
        <f t="shared" si="821"/>
        <v>Boboy, Agno, Pangasinan</v>
      </c>
      <c r="G820" s="42" t="str">
        <f t="shared" si="3"/>
        <v>Boboy</v>
      </c>
      <c r="H820" s="42" t="str">
        <f t="shared" si="4"/>
        <v>Agno</v>
      </c>
      <c r="I820" s="42" t="str">
        <f t="shared" si="5"/>
        <v>Pangasinan</v>
      </c>
      <c r="J820" s="42" t="str">
        <f t="array" ref="J820">XLOOKUP($E820,'Recipients REF'!$B:$B,'Recipients REF'!D:D,"",0)</f>
        <v>Noly V. Oiga</v>
      </c>
      <c r="K820" s="42" t="str">
        <f t="array" ref="K820">XLOOKUP($E820,'Recipients REF'!$B:$B,'Recipients REF'!E:E,"",0)</f>
        <v>09978409821 / 09556935118</v>
      </c>
      <c r="L820" s="43" t="str">
        <f t="array" ref="L820">XLOOKUP($A820,'Recipients REF'!$A:$A,'Recipients REF'!F:F,"",0)</f>
        <v>RCEF 23-09-21 Rebidding</v>
      </c>
      <c r="M820" s="43">
        <f t="array" ref="M820">XLOOKUP($A820,'Recipients REF'!$A:$A,'Recipients REF'!G:G,"",0)</f>
        <v>2</v>
      </c>
      <c r="N820" s="43">
        <f t="array" ref="N820">XLOOKUP($A820,'Recipients REF'!$A:$A,'Recipients REF'!H:H,"",0)</f>
        <v>18981</v>
      </c>
      <c r="O820" s="44" t="s">
        <v>25</v>
      </c>
      <c r="P820" s="45" t="s">
        <v>26</v>
      </c>
      <c r="Q820" s="46" t="str">
        <f t="array" ref="Q820">XLOOKUP($A820,'Recipients REF'!$A:$A,'Recipients REF'!I:I,"",0)</f>
        <v>KMC5825AVRFPVO376</v>
      </c>
      <c r="R820" s="47" t="str">
        <f t="array" ref="R820">XLOOKUP($A820,'Recipients REF'!$A:$A,'Recipients REF'!J:J,"",0)</f>
        <v>RTS100267</v>
      </c>
      <c r="S820" s="45" t="s">
        <v>27</v>
      </c>
      <c r="T820" s="45" t="s">
        <v>28</v>
      </c>
      <c r="U820" s="46" t="str">
        <f t="array" ref="U820">XLOOKUP($A820,'Recipients REF'!$A:$A,'Recipients REF'!K:K,"",0)</f>
        <v>R-SERIES 366 PH</v>
      </c>
      <c r="V820" s="44" t="s">
        <v>29</v>
      </c>
      <c r="W820" s="45" t="s">
        <v>30</v>
      </c>
      <c r="X820" s="47" t="str">
        <f t="array" ref="X820">XLOOKUP($A820,'Recipients REF'!$A:$A,'Recipients REF'!L:L,"",0)</f>
        <v>LSGW1750 RMP 24020515</v>
      </c>
      <c r="Y820" s="48" t="s">
        <v>29</v>
      </c>
      <c r="Z820" s="48" t="s">
        <v>31</v>
      </c>
      <c r="AA820" s="46" t="str">
        <f t="array" ref="AA820">XLOOKUP($A820,'Recipients REF'!$A:$A,'Recipients REF'!M:M,"",0)</f>
        <v>WDP40-RMP-24030395</v>
      </c>
      <c r="AB820" s="49"/>
      <c r="AC820" s="42"/>
      <c r="AD820" s="42"/>
      <c r="AE820" s="50"/>
      <c r="AF820" s="42"/>
      <c r="AG820" s="42"/>
      <c r="AH820" s="42"/>
      <c r="AI820" s="42" t="str">
        <f t="array" ref="AI820">XLOOKUP($E820,Sheet11!$D:$D,Sheet11!$X:$X,"",0)</f>
        <v/>
      </c>
      <c r="AJ820" s="42" t="str">
        <f t="array" ref="AJ820">XLOOKUP($E820,Sheet11!$D:$D,Sheet11!$Y:$Y,"",0)</f>
        <v/>
      </c>
    </row>
    <row r="821">
      <c r="A821" s="41">
        <v>343.0</v>
      </c>
      <c r="B821" s="42" t="s">
        <v>1609</v>
      </c>
      <c r="C821" s="42" t="s">
        <v>1610</v>
      </c>
      <c r="D821" s="42"/>
      <c r="E821" s="42" t="str">
        <f t="shared" ref="E821:F821" si="822">PROPER(B821)</f>
        <v>Lambes Farmers Agriculture Cooperative</v>
      </c>
      <c r="F821" s="42" t="str">
        <f t="shared" si="822"/>
        <v>Lambes, Bolinao, Pangasinan</v>
      </c>
      <c r="G821" s="42" t="str">
        <f t="shared" si="3"/>
        <v>Lambes</v>
      </c>
      <c r="H821" s="42" t="str">
        <f t="shared" si="4"/>
        <v>Bolinao</v>
      </c>
      <c r="I821" s="42" t="str">
        <f t="shared" si="5"/>
        <v>Pangasinan</v>
      </c>
      <c r="J821" s="42" t="str">
        <f t="array" ref="J821">XLOOKUP($E821,'Recipients REF'!$B:$B,'Recipients REF'!D:D,"",0)</f>
        <v>Romeo G. Gabor</v>
      </c>
      <c r="K821" s="42" t="str">
        <f t="array" ref="K821">XLOOKUP($E821,'Recipients REF'!$B:$B,'Recipients REF'!E:E,"",0)</f>
        <v>0949 987 0897</v>
      </c>
      <c r="L821" s="43" t="str">
        <f t="array" ref="L821">XLOOKUP($A821,'Recipients REF'!$A:$A,'Recipients REF'!F:F,"",0)</f>
        <v>RCEF 23-09-21 Rebidding</v>
      </c>
      <c r="M821" s="43">
        <f t="array" ref="M821">XLOOKUP($A821,'Recipients REF'!$A:$A,'Recipients REF'!G:G,"",0)</f>
        <v>2</v>
      </c>
      <c r="N821" s="43">
        <f t="array" ref="N821">XLOOKUP($A821,'Recipients REF'!$A:$A,'Recipients REF'!H:H,"",0)</f>
        <v>18982</v>
      </c>
      <c r="O821" s="44" t="s">
        <v>25</v>
      </c>
      <c r="P821" s="45" t="s">
        <v>26</v>
      </c>
      <c r="Q821" s="46" t="str">
        <f t="array" ref="Q821">XLOOKUP($A821,'Recipients REF'!$A:$A,'Recipients REF'!I:I,"",0)</f>
        <v>KMC5825ACRFPV0627</v>
      </c>
      <c r="R821" s="47" t="str">
        <f t="array" ref="R821">XLOOKUP($A821,'Recipients REF'!$A:$A,'Recipients REF'!J:J,"",0)</f>
        <v>RTS100522</v>
      </c>
      <c r="S821" s="45" t="s">
        <v>27</v>
      </c>
      <c r="T821" s="45" t="s">
        <v>28</v>
      </c>
      <c r="U821" s="46" t="str">
        <f t="array" ref="U821">XLOOKUP($A821,'Recipients REF'!$A:$A,'Recipients REF'!K:K,"",0)</f>
        <v>R-SERIES-945</v>
      </c>
      <c r="V821" s="44" t="s">
        <v>29</v>
      </c>
      <c r="W821" s="45" t="s">
        <v>30</v>
      </c>
      <c r="X821" s="47" t="str">
        <f t="array" ref="X821">XLOOKUP($A821,'Recipients REF'!$A:$A,'Recipients REF'!L:L,"",0)</f>
        <v>LSGW1750-RMP-24010219</v>
      </c>
      <c r="Y821" s="48" t="s">
        <v>29</v>
      </c>
      <c r="Z821" s="48" t="s">
        <v>31</v>
      </c>
      <c r="AA821" s="46" t="str">
        <f t="array" ref="AA821">XLOOKUP($A821,'Recipients REF'!$A:$A,'Recipients REF'!M:M,"",0)</f>
        <v>WDP40-RMP-24050563</v>
      </c>
      <c r="AB821" s="49"/>
      <c r="AC821" s="42"/>
      <c r="AD821" s="42"/>
      <c r="AE821" s="50"/>
      <c r="AF821" s="42"/>
      <c r="AG821" s="42"/>
      <c r="AH821" s="42"/>
      <c r="AI821" s="42">
        <f t="array" ref="AI821">XLOOKUP($E821,Sheet11!$D:$D,Sheet11!$X:$X,"",0)</f>
        <v>869066060246593</v>
      </c>
      <c r="AJ821" s="42">
        <f t="array" ref="AJ821">XLOOKUP($E821,Sheet11!$D:$D,Sheet11!$Y:$Y,"",0)</f>
        <v>9624805242</v>
      </c>
    </row>
    <row r="822">
      <c r="A822" s="41">
        <v>344.0</v>
      </c>
      <c r="B822" s="42" t="s">
        <v>1611</v>
      </c>
      <c r="C822" s="42" t="s">
        <v>1612</v>
      </c>
      <c r="D822" s="42"/>
      <c r="E822" s="42" t="str">
        <f t="shared" ref="E822:F822" si="823">PROPER(B822)</f>
        <v>Malimpin P4Mp Inc.</v>
      </c>
      <c r="F822" s="42" t="str">
        <f t="shared" si="823"/>
        <v>Malimpin, Dasol, Pangasinan</v>
      </c>
      <c r="G822" s="42" t="str">
        <f t="shared" si="3"/>
        <v>Malimpin</v>
      </c>
      <c r="H822" s="42" t="str">
        <f t="shared" si="4"/>
        <v>Dasol</v>
      </c>
      <c r="I822" s="42" t="str">
        <f t="shared" si="5"/>
        <v>Pangasinan</v>
      </c>
      <c r="J822" s="42" t="str">
        <f t="array" ref="J822">XLOOKUP($E822,'Recipients REF'!$B:$B,'Recipients REF'!D:D,"",0)</f>
        <v>Joseph E. Dela Cruz</v>
      </c>
      <c r="K822" s="42" t="str">
        <f t="array" ref="K822">XLOOKUP($E822,'Recipients REF'!$B:$B,'Recipients REF'!E:E,"",0)</f>
        <v>0935-071-2242</v>
      </c>
      <c r="L822" s="43" t="str">
        <f t="array" ref="L822">XLOOKUP($A822,'Recipients REF'!$A:$A,'Recipients REF'!F:F,"",0)</f>
        <v>RCEF 23-09-21 Rebidding</v>
      </c>
      <c r="M822" s="43">
        <f t="array" ref="M822">XLOOKUP($A822,'Recipients REF'!$A:$A,'Recipients REF'!G:G,"",0)</f>
        <v>2</v>
      </c>
      <c r="N822" s="43">
        <f t="array" ref="N822">XLOOKUP($A822,'Recipients REF'!$A:$A,'Recipients REF'!H:H,"",0)</f>
        <v>18983</v>
      </c>
      <c r="O822" s="44" t="s">
        <v>25</v>
      </c>
      <c r="P822" s="45" t="s">
        <v>26</v>
      </c>
      <c r="Q822" s="46" t="str">
        <f t="array" ref="Q822">XLOOKUP($A822,'Recipients REF'!$A:$A,'Recipients REF'!I:I,"",0)</f>
        <v>KMC5825APRFPV0629</v>
      </c>
      <c r="R822" s="47" t="str">
        <f t="array" ref="R822">XLOOKUP($A822,'Recipients REF'!$A:$A,'Recipients REF'!J:J,"",0)</f>
        <v>RTS100514</v>
      </c>
      <c r="S822" s="45" t="s">
        <v>27</v>
      </c>
      <c r="T822" s="45" t="s">
        <v>28</v>
      </c>
      <c r="U822" s="46" t="str">
        <f t="array" ref="U822">XLOOKUP($A822,'Recipients REF'!$A:$A,'Recipients REF'!K:K,"",0)</f>
        <v>R-SERIES-841PH</v>
      </c>
      <c r="V822" s="44" t="s">
        <v>29</v>
      </c>
      <c r="W822" s="45" t="s">
        <v>30</v>
      </c>
      <c r="X822" s="47" t="str">
        <f t="array" ref="X822">XLOOKUP($A822,'Recipients REF'!$A:$A,'Recipients REF'!L:L,"",0)</f>
        <v>LSGW1750-RMP-24020469</v>
      </c>
      <c r="Y822" s="48" t="s">
        <v>29</v>
      </c>
      <c r="Z822" s="48" t="s">
        <v>31</v>
      </c>
      <c r="AA822" s="46" t="str">
        <f t="array" ref="AA822">XLOOKUP($A822,'Recipients REF'!$A:$A,'Recipients REF'!M:M,"",0)</f>
        <v>WDP40-RMP-24050542</v>
      </c>
      <c r="AB822" s="49"/>
      <c r="AC822" s="42"/>
      <c r="AD822" s="42"/>
      <c r="AE822" s="50"/>
      <c r="AF822" s="42"/>
      <c r="AG822" s="42"/>
      <c r="AH822" s="42"/>
      <c r="AI822" s="42" t="str">
        <f t="array" ref="AI822">XLOOKUP($E822,Sheet11!$D:$D,Sheet11!$X:$X,"",0)</f>
        <v/>
      </c>
      <c r="AJ822" s="42" t="str">
        <f t="array" ref="AJ822">XLOOKUP($E822,Sheet11!$D:$D,Sheet11!$Y:$Y,"",0)</f>
        <v/>
      </c>
    </row>
    <row r="823">
      <c r="A823" s="41">
        <v>345.0</v>
      </c>
      <c r="B823" s="42" t="s">
        <v>1613</v>
      </c>
      <c r="C823" s="42" t="s">
        <v>1614</v>
      </c>
      <c r="D823" s="42"/>
      <c r="E823" s="42" t="str">
        <f t="shared" ref="E823:F823" si="824">PROPER(B823)</f>
        <v>Mabilay Danum Farmers Irrigators Association</v>
      </c>
      <c r="F823" s="42" t="str">
        <f t="shared" si="824"/>
        <v>Pangascasan, Sual, Pangasinan</v>
      </c>
      <c r="G823" s="42" t="str">
        <f t="shared" si="3"/>
        <v>Pangascasan</v>
      </c>
      <c r="H823" s="42" t="str">
        <f t="shared" si="4"/>
        <v>Sual</v>
      </c>
      <c r="I823" s="42" t="str">
        <f t="shared" si="5"/>
        <v>Pangasinan</v>
      </c>
      <c r="J823" s="42" t="str">
        <f t="array" ref="J823">XLOOKUP($E823,'Recipients REF'!$B:$B,'Recipients REF'!D:D,"",0)</f>
        <v>Benjamin Reynaldo </v>
      </c>
      <c r="K823" s="42">
        <f t="array" ref="K823">XLOOKUP($E823,'Recipients REF'!$B:$B,'Recipients REF'!E:E,"",0)</f>
        <v>9503925103</v>
      </c>
      <c r="L823" s="43" t="str">
        <f t="array" ref="L823">XLOOKUP($A823,'Recipients REF'!$A:$A,'Recipients REF'!F:F,"",0)</f>
        <v>RCEF 23-09-21 Rebidding</v>
      </c>
      <c r="M823" s="43">
        <f t="array" ref="M823">XLOOKUP($A823,'Recipients REF'!$A:$A,'Recipients REF'!G:G,"",0)</f>
        <v>2</v>
      </c>
      <c r="N823" s="43">
        <f t="array" ref="N823">XLOOKUP($A823,'Recipients REF'!$A:$A,'Recipients REF'!H:H,"",0)</f>
        <v>18984</v>
      </c>
      <c r="O823" s="44" t="s">
        <v>25</v>
      </c>
      <c r="P823" s="45" t="s">
        <v>26</v>
      </c>
      <c r="Q823" s="46" t="str">
        <f t="array" ref="Q823">XLOOKUP($A823,'Recipients REF'!$A:$A,'Recipients REF'!I:I,"",0)</f>
        <v>KMC5825ACRFPVO322</v>
      </c>
      <c r="R823" s="47" t="str">
        <f t="array" ref="R823">XLOOKUP($A823,'Recipients REF'!$A:$A,'Recipients REF'!J:J,"",0)</f>
        <v>RTS100198</v>
      </c>
      <c r="S823" s="45" t="s">
        <v>27</v>
      </c>
      <c r="T823" s="45" t="s">
        <v>28</v>
      </c>
      <c r="U823" s="46" t="str">
        <f t="array" ref="U823">XLOOKUP($A823,'Recipients REF'!$A:$A,'Recipients REF'!K:K,"",0)</f>
        <v>R-SERIES 434 PH</v>
      </c>
      <c r="V823" s="44" t="s">
        <v>29</v>
      </c>
      <c r="W823" s="45" t="s">
        <v>30</v>
      </c>
      <c r="X823" s="47" t="str">
        <f t="array" ref="X823">XLOOKUP($A823,'Recipients REF'!$A:$A,'Recipients REF'!L:L,"",0)</f>
        <v>LSGW1750 RMP 24020503</v>
      </c>
      <c r="Y823" s="48" t="s">
        <v>29</v>
      </c>
      <c r="Z823" s="48" t="s">
        <v>31</v>
      </c>
      <c r="AA823" s="46" t="str">
        <f t="array" ref="AA823">XLOOKUP($A823,'Recipients REF'!$A:$A,'Recipients REF'!M:M,"",0)</f>
        <v>WDP-40-RMP-24040829</v>
      </c>
      <c r="AB823" s="49"/>
      <c r="AC823" s="42"/>
      <c r="AD823" s="42"/>
      <c r="AE823" s="50"/>
      <c r="AF823" s="42"/>
      <c r="AG823" s="42"/>
      <c r="AH823" s="42"/>
      <c r="AI823" s="42" t="str">
        <f t="array" ref="AI823">XLOOKUP($E823,Sheet11!$D:$D,Sheet11!$X:$X,"",0)</f>
        <v/>
      </c>
      <c r="AJ823" s="42" t="str">
        <f t="array" ref="AJ823">XLOOKUP($E823,Sheet11!$D:$D,Sheet11!$Y:$Y,"",0)</f>
        <v/>
      </c>
    </row>
    <row r="824">
      <c r="A824" s="41">
        <v>346.0</v>
      </c>
      <c r="B824" s="42" t="s">
        <v>1615</v>
      </c>
      <c r="C824" s="42" t="s">
        <v>1616</v>
      </c>
      <c r="D824" s="42"/>
      <c r="E824" s="42" t="str">
        <f t="shared" ref="E824:F824" si="825">PROPER(B824)</f>
        <v>Bugallon Cabigaan Irrigators Association, Inc.</v>
      </c>
      <c r="F824" s="42" t="str">
        <f t="shared" si="825"/>
        <v>Poblacion, Bugallon, Pangasinan</v>
      </c>
      <c r="G824" s="42" t="str">
        <f t="shared" si="3"/>
        <v>Poblacion</v>
      </c>
      <c r="H824" s="42" t="str">
        <f t="shared" si="4"/>
        <v>Bugallon</v>
      </c>
      <c r="I824" s="42" t="str">
        <f t="shared" si="5"/>
        <v>Pangasinan</v>
      </c>
      <c r="J824" s="42" t="str">
        <f t="array" ref="J824">XLOOKUP($E824,'Recipients REF'!$B:$B,'Recipients REF'!D:D,"",0)</f>
        <v>Cesar B. Boquiren</v>
      </c>
      <c r="K824" s="42" t="str">
        <f t="array" ref="K824">XLOOKUP($E824,'Recipients REF'!$B:$B,'Recipients REF'!E:E,"",0)</f>
        <v>0929-556-1116</v>
      </c>
      <c r="L824" s="43" t="str">
        <f t="array" ref="L824">XLOOKUP($A824,'Recipients REF'!$A:$A,'Recipients REF'!F:F,"",0)</f>
        <v>RCEF 23-09-21 Rebidding</v>
      </c>
      <c r="M824" s="43">
        <f t="array" ref="M824">XLOOKUP($A824,'Recipients REF'!$A:$A,'Recipients REF'!G:G,"",0)</f>
        <v>2</v>
      </c>
      <c r="N824" s="43">
        <f t="array" ref="N824">XLOOKUP($A824,'Recipients REF'!$A:$A,'Recipients REF'!H:H,"",0)</f>
        <v>18985</v>
      </c>
      <c r="O824" s="44" t="s">
        <v>25</v>
      </c>
      <c r="P824" s="45" t="s">
        <v>26</v>
      </c>
      <c r="Q824" s="46" t="str">
        <f t="array" ref="Q824">XLOOKUP($A824,'Recipients REF'!$A:$A,'Recipients REF'!I:I,"",0)</f>
        <v>KMC5825AERFPVO383</v>
      </c>
      <c r="R824" s="47" t="str">
        <f t="array" ref="R824">XLOOKUP($A824,'Recipients REF'!$A:$A,'Recipients REF'!J:J,"",0)</f>
        <v>RTS100242</v>
      </c>
      <c r="S824" s="45" t="s">
        <v>27</v>
      </c>
      <c r="T824" s="45" t="s">
        <v>28</v>
      </c>
      <c r="U824" s="46" t="str">
        <f t="array" ref="U824">XLOOKUP($A824,'Recipients REF'!$A:$A,'Recipients REF'!K:K,"",0)</f>
        <v>R-SERIES 398 PH</v>
      </c>
      <c r="V824" s="44" t="s">
        <v>29</v>
      </c>
      <c r="W824" s="45" t="s">
        <v>30</v>
      </c>
      <c r="X824" s="47" t="str">
        <f t="array" ref="X824">XLOOKUP($A824,'Recipients REF'!$A:$A,'Recipients REF'!L:L,"",0)</f>
        <v>LSGW1750 RMP 24020442</v>
      </c>
      <c r="Y824" s="48" t="s">
        <v>29</v>
      </c>
      <c r="Z824" s="48" t="s">
        <v>31</v>
      </c>
      <c r="AA824" s="46" t="str">
        <f t="array" ref="AA824">XLOOKUP($A824,'Recipients REF'!$A:$A,'Recipients REF'!M:M,"",0)</f>
        <v>WDP40-RMP-24040533</v>
      </c>
      <c r="AB824" s="49"/>
      <c r="AC824" s="42"/>
      <c r="AD824" s="42"/>
      <c r="AE824" s="50"/>
      <c r="AF824" s="42"/>
      <c r="AG824" s="42"/>
      <c r="AH824" s="42"/>
      <c r="AI824" s="42" t="str">
        <f t="array" ref="AI824">XLOOKUP($E824,Sheet11!$D:$D,Sheet11!$X:$X,"",0)</f>
        <v/>
      </c>
      <c r="AJ824" s="42" t="str">
        <f t="array" ref="AJ824">XLOOKUP($E824,Sheet11!$D:$D,Sheet11!$Y:$Y,"",0)</f>
        <v/>
      </c>
    </row>
    <row r="825">
      <c r="A825" s="41">
        <v>347.0</v>
      </c>
      <c r="B825" s="42" t="s">
        <v>1617</v>
      </c>
      <c r="C825" s="42" t="s">
        <v>1618</v>
      </c>
      <c r="D825" s="42"/>
      <c r="E825" s="42" t="str">
        <f t="shared" ref="E825:F825" si="826">PROPER(B825)</f>
        <v>Tandoc Silag Kalungkong Farmers Irrigators Association</v>
      </c>
      <c r="F825" s="42" t="str">
        <f t="shared" si="826"/>
        <v>Uyong, Labrador, Pangasinan</v>
      </c>
      <c r="G825" s="42" t="str">
        <f t="shared" si="3"/>
        <v>Uyong</v>
      </c>
      <c r="H825" s="42" t="str">
        <f t="shared" si="4"/>
        <v>Labrador</v>
      </c>
      <c r="I825" s="42" t="str">
        <f t="shared" si="5"/>
        <v>Pangasinan</v>
      </c>
      <c r="J825" s="42" t="str">
        <f t="array" ref="J825">XLOOKUP($E825,'Recipients REF'!$B:$B,'Recipients REF'!D:D,"",0)</f>
        <v>Rogelio R. Doton</v>
      </c>
      <c r="K825" s="42" t="str">
        <f t="array" ref="K825">XLOOKUP($E825,'Recipients REF'!$B:$B,'Recipients REF'!E:E,"",0)</f>
        <v>0921-947-8838</v>
      </c>
      <c r="L825" s="43" t="str">
        <f t="array" ref="L825">XLOOKUP($A825,'Recipients REF'!$A:$A,'Recipients REF'!F:F,"",0)</f>
        <v>RCEF 23-09-21 Rebidding</v>
      </c>
      <c r="M825" s="43">
        <f t="array" ref="M825">XLOOKUP($A825,'Recipients REF'!$A:$A,'Recipients REF'!G:G,"",0)</f>
        <v>2</v>
      </c>
      <c r="N825" s="43">
        <f t="array" ref="N825">XLOOKUP($A825,'Recipients REF'!$A:$A,'Recipients REF'!H:H,"",0)</f>
        <v>18986</v>
      </c>
      <c r="O825" s="44" t="s">
        <v>25</v>
      </c>
      <c r="P825" s="45" t="s">
        <v>26</v>
      </c>
      <c r="Q825" s="46" t="str">
        <f t="array" ref="Q825">XLOOKUP($A825,'Recipients REF'!$A:$A,'Recipients REF'!I:I,"",0)</f>
        <v>KMC5825AERFPVO424</v>
      </c>
      <c r="R825" s="47" t="str">
        <f t="array" ref="R825">XLOOKUP($A825,'Recipients REF'!$A:$A,'Recipients REF'!J:J,"",0)</f>
        <v>RTS100373</v>
      </c>
      <c r="S825" s="45" t="s">
        <v>27</v>
      </c>
      <c r="T825" s="45" t="s">
        <v>28</v>
      </c>
      <c r="U825" s="46" t="str">
        <f t="array" ref="U825">XLOOKUP($A825,'Recipients REF'!$A:$A,'Recipients REF'!K:K,"",0)</f>
        <v>R-SERIES 363 PH</v>
      </c>
      <c r="V825" s="44" t="s">
        <v>29</v>
      </c>
      <c r="W825" s="45" t="s">
        <v>30</v>
      </c>
      <c r="X825" s="47" t="str">
        <f t="array" ref="X825">XLOOKUP($A825,'Recipients REF'!$A:$A,'Recipients REF'!L:L,"",0)</f>
        <v>LSGW1750 RMP 24020437</v>
      </c>
      <c r="Y825" s="48" t="s">
        <v>29</v>
      </c>
      <c r="Z825" s="48" t="s">
        <v>31</v>
      </c>
      <c r="AA825" s="46" t="str">
        <f t="array" ref="AA825">XLOOKUP($A825,'Recipients REF'!$A:$A,'Recipients REF'!M:M,"",0)</f>
        <v>WDP40-RMP-24040517</v>
      </c>
      <c r="AB825" s="49"/>
      <c r="AC825" s="42"/>
      <c r="AD825" s="42"/>
      <c r="AE825" s="50"/>
      <c r="AF825" s="42"/>
      <c r="AG825" s="42"/>
      <c r="AH825" s="42"/>
      <c r="AI825" s="42" t="str">
        <f t="array" ref="AI825">XLOOKUP($E825,Sheet11!$D:$D,Sheet11!$X:$X,"",0)</f>
        <v/>
      </c>
      <c r="AJ825" s="42" t="str">
        <f t="array" ref="AJ825">XLOOKUP($E825,Sheet11!$D:$D,Sheet11!$Y:$Y,"",0)</f>
        <v/>
      </c>
    </row>
    <row r="826">
      <c r="A826" s="41">
        <v>348.0</v>
      </c>
      <c r="B826" s="42" t="s">
        <v>1619</v>
      </c>
      <c r="C826" s="42" t="s">
        <v>1620</v>
      </c>
      <c r="D826" s="42"/>
      <c r="E826" s="42" t="str">
        <f t="shared" ref="E826:F826" si="827">PROPER(B826)</f>
        <v>Malabobo Farmers Association, Inc.</v>
      </c>
      <c r="F826" s="42" t="str">
        <f t="shared" si="827"/>
        <v>Malabobo, Mangatarem, Pangasinan</v>
      </c>
      <c r="G826" s="42" t="str">
        <f t="shared" si="3"/>
        <v>Malabobo</v>
      </c>
      <c r="H826" s="42" t="str">
        <f t="shared" si="4"/>
        <v>Mangatarem</v>
      </c>
      <c r="I826" s="42" t="str">
        <f t="shared" si="5"/>
        <v>Pangasinan</v>
      </c>
      <c r="J826" s="42" t="str">
        <f t="array" ref="J826">XLOOKUP($E826,'Recipients REF'!$B:$B,'Recipients REF'!D:D,"",0)</f>
        <v>Adriano B. Laruta</v>
      </c>
      <c r="K826" s="42" t="str">
        <f t="array" ref="K826">XLOOKUP($E826,'Recipients REF'!$B:$B,'Recipients REF'!E:E,"",0)</f>
        <v>0999-752-2510</v>
      </c>
      <c r="L826" s="43" t="str">
        <f t="array" ref="L826">XLOOKUP($A826,'Recipients REF'!$A:$A,'Recipients REF'!F:F,"",0)</f>
        <v>RCEF 23-09-21 Rebidding</v>
      </c>
      <c r="M826" s="43">
        <f t="array" ref="M826">XLOOKUP($A826,'Recipients REF'!$A:$A,'Recipients REF'!G:G,"",0)</f>
        <v>2</v>
      </c>
      <c r="N826" s="43">
        <f t="array" ref="N826">XLOOKUP($A826,'Recipients REF'!$A:$A,'Recipients REF'!H:H,"",0)</f>
        <v>18987</v>
      </c>
      <c r="O826" s="44" t="s">
        <v>25</v>
      </c>
      <c r="P826" s="45" t="s">
        <v>26</v>
      </c>
      <c r="Q826" s="46" t="str">
        <f t="array" ref="Q826">XLOOKUP($A826,'Recipients REF'!$A:$A,'Recipients REF'!I:I,"",0)</f>
        <v>KMC5825AJREPV0388</v>
      </c>
      <c r="R826" s="47" t="str">
        <f t="array" ref="R826">XLOOKUP($A826,'Recipients REF'!$A:$A,'Recipients REF'!J:J,"",0)</f>
        <v>RTS100270</v>
      </c>
      <c r="S826" s="45" t="s">
        <v>27</v>
      </c>
      <c r="T826" s="45" t="s">
        <v>28</v>
      </c>
      <c r="U826" s="46" t="str">
        <f t="array" ref="U826">XLOOKUP($A826,'Recipients REF'!$A:$A,'Recipients REF'!K:K,"",0)</f>
        <v>R-SERIES 4247 PH</v>
      </c>
      <c r="V826" s="44" t="s">
        <v>29</v>
      </c>
      <c r="W826" s="45" t="s">
        <v>30</v>
      </c>
      <c r="X826" s="47" t="str">
        <f t="array" ref="X826">XLOOKUP($A826,'Recipients REF'!$A:$A,'Recipients REF'!L:L,"",0)</f>
        <v>LSGW RMP 24020441</v>
      </c>
      <c r="Y826" s="48" t="s">
        <v>29</v>
      </c>
      <c r="Z826" s="48" t="s">
        <v>31</v>
      </c>
      <c r="AA826" s="46" t="str">
        <f t="array" ref="AA826">XLOOKUP($A826,'Recipients REF'!$A:$A,'Recipients REF'!M:M,"",0)</f>
        <v>WDP40-RMP-24040510</v>
      </c>
      <c r="AB826" s="49"/>
      <c r="AC826" s="42"/>
      <c r="AD826" s="42"/>
      <c r="AE826" s="50"/>
      <c r="AF826" s="42"/>
      <c r="AG826" s="42"/>
      <c r="AH826" s="42"/>
      <c r="AI826" s="42" t="str">
        <f t="array" ref="AI826">XLOOKUP($E826,Sheet11!$D:$D,Sheet11!$X:$X,"",0)</f>
        <v/>
      </c>
      <c r="AJ826" s="42" t="str">
        <f t="array" ref="AJ826">XLOOKUP($E826,Sheet11!$D:$D,Sheet11!$Y:$Y,"",0)</f>
        <v/>
      </c>
    </row>
    <row r="827">
      <c r="A827" s="41">
        <v>349.0</v>
      </c>
      <c r="B827" s="42" t="s">
        <v>1621</v>
      </c>
      <c r="C827" s="42" t="s">
        <v>1622</v>
      </c>
      <c r="D827" s="42"/>
      <c r="E827" s="42" t="str">
        <f t="shared" ref="E827:F827" si="828">PROPER(B827)</f>
        <v>Brgy. Malimpec, Bayambang, Pangasinan Farmers Association</v>
      </c>
      <c r="F827" s="42" t="str">
        <f t="shared" si="828"/>
        <v>Malimpec, Bayambang, Pangasinan</v>
      </c>
      <c r="G827" s="42" t="str">
        <f t="shared" si="3"/>
        <v>Malimpec</v>
      </c>
      <c r="H827" s="42" t="str">
        <f t="shared" si="4"/>
        <v>Bayambang</v>
      </c>
      <c r="I827" s="42" t="str">
        <f t="shared" si="5"/>
        <v>Pangasinan</v>
      </c>
      <c r="J827" s="42" t="str">
        <f t="array" ref="J827">XLOOKUP($E827,'Recipients REF'!$B:$B,'Recipients REF'!D:D,"",0)</f>
        <v>Wally C. Saygo</v>
      </c>
      <c r="K827" s="42">
        <f t="array" ref="K827">XLOOKUP($E827,'Recipients REF'!$B:$B,'Recipients REF'!E:E,"",0)</f>
        <v>9097159536</v>
      </c>
      <c r="L827" s="43" t="str">
        <f t="array" ref="L827">XLOOKUP($A827,'Recipients REF'!$A:$A,'Recipients REF'!F:F,"",0)</f>
        <v>RCEF 23-09-21 Rebidding</v>
      </c>
      <c r="M827" s="43">
        <f t="array" ref="M827">XLOOKUP($A827,'Recipients REF'!$A:$A,'Recipients REF'!G:G,"",0)</f>
        <v>2</v>
      </c>
      <c r="N827" s="43">
        <f t="array" ref="N827">XLOOKUP($A827,'Recipients REF'!$A:$A,'Recipients REF'!H:H,"",0)</f>
        <v>18988</v>
      </c>
      <c r="O827" s="44" t="s">
        <v>25</v>
      </c>
      <c r="P827" s="45" t="s">
        <v>26</v>
      </c>
      <c r="Q827" s="46" t="str">
        <f t="array" ref="Q827">XLOOKUP($A827,'Recipients REF'!$A:$A,'Recipients REF'!I:I,"",0)</f>
        <v>KMC5825AERPFU0349</v>
      </c>
      <c r="R827" s="47" t="str">
        <f t="array" ref="R827">XLOOKUP($A827,'Recipients REF'!$A:$A,'Recipients REF'!J:J,"",0)</f>
        <v>RTS100240</v>
      </c>
      <c r="S827" s="45" t="s">
        <v>27</v>
      </c>
      <c r="T827" s="45" t="s">
        <v>28</v>
      </c>
      <c r="U827" s="46" t="str">
        <f t="array" ref="U827">XLOOKUP($A827,'Recipients REF'!$A:$A,'Recipients REF'!K:K,"",0)</f>
        <v>R-SERIES 364 PH</v>
      </c>
      <c r="V827" s="44" t="s">
        <v>29</v>
      </c>
      <c r="W827" s="45" t="s">
        <v>30</v>
      </c>
      <c r="X827" s="47" t="str">
        <f t="array" ref="X827">XLOOKUP($A827,'Recipients REF'!$A:$A,'Recipients REF'!L:L,"",0)</f>
        <v>LSGW 1750 RMP 24020433</v>
      </c>
      <c r="Y827" s="48" t="s">
        <v>29</v>
      </c>
      <c r="Z827" s="48" t="s">
        <v>31</v>
      </c>
      <c r="AA827" s="46" t="str">
        <f t="array" ref="AA827">XLOOKUP($A827,'Recipients REF'!$A:$A,'Recipients REF'!M:M,"",0)</f>
        <v>WDP40-RMP-24030341</v>
      </c>
      <c r="AB827" s="49"/>
      <c r="AC827" s="42"/>
      <c r="AD827" s="42"/>
      <c r="AE827" s="50"/>
      <c r="AF827" s="42"/>
      <c r="AG827" s="42"/>
      <c r="AH827" s="42"/>
      <c r="AI827" s="42" t="str">
        <f t="array" ref="AI827">XLOOKUP($E827,Sheet11!$D:$D,Sheet11!$X:$X,"",0)</f>
        <v/>
      </c>
      <c r="AJ827" s="42" t="str">
        <f t="array" ref="AJ827">XLOOKUP($E827,Sheet11!$D:$D,Sheet11!$Y:$Y,"",0)</f>
        <v/>
      </c>
    </row>
    <row r="828">
      <c r="A828" s="41">
        <v>350.0</v>
      </c>
      <c r="B828" s="42" t="s">
        <v>1623</v>
      </c>
      <c r="C828" s="42" t="s">
        <v>1624</v>
      </c>
      <c r="D828" s="42"/>
      <c r="E828" s="42" t="str">
        <f t="shared" ref="E828:F828" si="829">PROPER(B828)</f>
        <v>Pasima Multi-Purpose Cooperative</v>
      </c>
      <c r="F828" s="42" t="str">
        <f t="shared" si="829"/>
        <v>Pasima, Malasiqui, Pangasinan</v>
      </c>
      <c r="G828" s="42" t="str">
        <f t="shared" si="3"/>
        <v>Pasima</v>
      </c>
      <c r="H828" s="42" t="str">
        <f t="shared" si="4"/>
        <v>Malasiqui</v>
      </c>
      <c r="I828" s="42" t="str">
        <f t="shared" si="5"/>
        <v>Pangasinan</v>
      </c>
      <c r="J828" s="42" t="str">
        <f t="array" ref="J828">XLOOKUP($E828,'Recipients REF'!$B:$B,'Recipients REF'!D:D,"",0)</f>
        <v>Jonathan A. Rangel</v>
      </c>
      <c r="K828" s="42">
        <f t="array" ref="K828">XLOOKUP($E828,'Recipients REF'!$B:$B,'Recipients REF'!E:E,"",0)</f>
        <v>9228842049</v>
      </c>
      <c r="L828" s="43" t="str">
        <f t="array" ref="L828">XLOOKUP($A828,'Recipients REF'!$A:$A,'Recipients REF'!F:F,"",0)</f>
        <v>RCEF 23-09-21 Rebidding</v>
      </c>
      <c r="M828" s="43">
        <f t="array" ref="M828">XLOOKUP($A828,'Recipients REF'!$A:$A,'Recipients REF'!G:G,"",0)</f>
        <v>2</v>
      </c>
      <c r="N828" s="43">
        <f t="array" ref="N828">XLOOKUP($A828,'Recipients REF'!$A:$A,'Recipients REF'!H:H,"",0)</f>
        <v>18989</v>
      </c>
      <c r="O828" s="44" t="s">
        <v>25</v>
      </c>
      <c r="P828" s="45" t="s">
        <v>26</v>
      </c>
      <c r="Q828" s="46" t="str">
        <f t="array" ref="Q828">XLOOKUP($A828,'Recipients REF'!$A:$A,'Recipients REF'!I:I,"",0)</f>
        <v>KMC825AKRFPVO387</v>
      </c>
      <c r="R828" s="47" t="str">
        <f t="array" ref="R828">XLOOKUP($A828,'Recipients REF'!$A:$A,'Recipients REF'!J:J,"",0)</f>
        <v>RTS100276</v>
      </c>
      <c r="S828" s="45" t="s">
        <v>27</v>
      </c>
      <c r="T828" s="45" t="s">
        <v>28</v>
      </c>
      <c r="U828" s="46" t="str">
        <f t="array" ref="U828">XLOOKUP($A828,'Recipients REF'!$A:$A,'Recipients REF'!K:K,"",0)</f>
        <v>R-SERIES 406 PH</v>
      </c>
      <c r="V828" s="44" t="s">
        <v>29</v>
      </c>
      <c r="W828" s="45" t="s">
        <v>30</v>
      </c>
      <c r="X828" s="47" t="str">
        <f t="array" ref="X828">XLOOKUP($A828,'Recipients REF'!$A:$A,'Recipients REF'!L:L,"",0)</f>
        <v>LSGW 1750 RMP 24020419</v>
      </c>
      <c r="Y828" s="48" t="s">
        <v>29</v>
      </c>
      <c r="Z828" s="48" t="s">
        <v>31</v>
      </c>
      <c r="AA828" s="46" t="str">
        <f t="array" ref="AA828">XLOOKUP($A828,'Recipients REF'!$A:$A,'Recipients REF'!M:M,"",0)</f>
        <v>WDP40-RMP-24040512</v>
      </c>
      <c r="AB828" s="49"/>
      <c r="AC828" s="42"/>
      <c r="AD828" s="42"/>
      <c r="AE828" s="50"/>
      <c r="AF828" s="42"/>
      <c r="AG828" s="42"/>
      <c r="AH828" s="42"/>
      <c r="AI828" s="42" t="str">
        <f t="array" ref="AI828">XLOOKUP($E828,Sheet11!$D:$D,Sheet11!$X:$X,"",0)</f>
        <v/>
      </c>
      <c r="AJ828" s="42" t="str">
        <f t="array" ref="AJ828">XLOOKUP($E828,Sheet11!$D:$D,Sheet11!$Y:$Y,"",0)</f>
        <v/>
      </c>
    </row>
    <row r="829">
      <c r="A829" s="41">
        <v>351.0</v>
      </c>
      <c r="B829" s="42" t="s">
        <v>1625</v>
      </c>
      <c r="C829" s="42" t="s">
        <v>1626</v>
      </c>
      <c r="D829" s="42"/>
      <c r="E829" s="42" t="str">
        <f t="shared" ref="E829:F829" si="830">PROPER(B829)</f>
        <v>Primicias Masipag Farmers Association, Inc.</v>
      </c>
      <c r="F829" s="42" t="str">
        <f t="shared" si="830"/>
        <v>Primicias, Mapandan, Pangasinan</v>
      </c>
      <c r="G829" s="42" t="str">
        <f t="shared" si="3"/>
        <v>Primicias</v>
      </c>
      <c r="H829" s="42" t="str">
        <f t="shared" si="4"/>
        <v>Mapandan</v>
      </c>
      <c r="I829" s="42" t="str">
        <f t="shared" si="5"/>
        <v>Pangasinan</v>
      </c>
      <c r="J829" s="42" t="str">
        <f t="array" ref="J829">XLOOKUP($E829,'Recipients REF'!$B:$B,'Recipients REF'!D:D,"",0)</f>
        <v>German S. Valenzuela</v>
      </c>
      <c r="K829" s="42" t="str">
        <f t="array" ref="K829">XLOOKUP($E829,'Recipients REF'!$B:$B,'Recipients REF'!E:E,"",0)</f>
        <v>0922-866-9364</v>
      </c>
      <c r="L829" s="43" t="str">
        <f t="array" ref="L829">XLOOKUP($A829,'Recipients REF'!$A:$A,'Recipients REF'!F:F,"",0)</f>
        <v>RCEF 23-09-21 Rebidding</v>
      </c>
      <c r="M829" s="43">
        <f t="array" ref="M829">XLOOKUP($A829,'Recipients REF'!$A:$A,'Recipients REF'!G:G,"",0)</f>
        <v>2</v>
      </c>
      <c r="N829" s="43">
        <f t="array" ref="N829">XLOOKUP($A829,'Recipients REF'!$A:$A,'Recipients REF'!H:H,"",0)</f>
        <v>18990</v>
      </c>
      <c r="O829" s="44" t="s">
        <v>25</v>
      </c>
      <c r="P829" s="45" t="s">
        <v>26</v>
      </c>
      <c r="Q829" s="46" t="str">
        <f t="array" ref="Q829">XLOOKUP($A829,'Recipients REF'!$A:$A,'Recipients REF'!I:I,"",0)</f>
        <v>KMC5825ACRFVO420</v>
      </c>
      <c r="R829" s="47" t="str">
        <f t="array" ref="R829">XLOOKUP($A829,'Recipients REF'!$A:$A,'Recipients REF'!J:J,"",0)</f>
        <v>RTS100325</v>
      </c>
      <c r="S829" s="45" t="s">
        <v>27</v>
      </c>
      <c r="T829" s="45" t="s">
        <v>28</v>
      </c>
      <c r="U829" s="46" t="str">
        <f t="array" ref="U829">XLOOKUP($A829,'Recipients REF'!$A:$A,'Recipients REF'!K:K,"",0)</f>
        <v>R-SERIES 369 PH</v>
      </c>
      <c r="V829" s="44" t="s">
        <v>29</v>
      </c>
      <c r="W829" s="45" t="s">
        <v>30</v>
      </c>
      <c r="X829" s="47" t="str">
        <f t="array" ref="X829">XLOOKUP($A829,'Recipients REF'!$A:$A,'Recipients REF'!L:L,"",0)</f>
        <v>LSGW 1750 RMP 24020436</v>
      </c>
      <c r="Y829" s="48" t="s">
        <v>29</v>
      </c>
      <c r="Z829" s="48" t="s">
        <v>31</v>
      </c>
      <c r="AA829" s="46" t="str">
        <f t="array" ref="AA829">XLOOKUP($A829,'Recipients REF'!$A:$A,'Recipients REF'!M:M,"",0)</f>
        <v>WDP-40-RMP-24040515</v>
      </c>
      <c r="AB829" s="49"/>
      <c r="AC829" s="42"/>
      <c r="AD829" s="42"/>
      <c r="AE829" s="50"/>
      <c r="AF829" s="42"/>
      <c r="AG829" s="42"/>
      <c r="AH829" s="42"/>
      <c r="AI829" s="42" t="str">
        <f t="array" ref="AI829">XLOOKUP($E829,Sheet11!$D:$D,Sheet11!$X:$X,"",0)</f>
        <v/>
      </c>
      <c r="AJ829" s="42" t="str">
        <f t="array" ref="AJ829">XLOOKUP($E829,Sheet11!$D:$D,Sheet11!$Y:$Y,"",0)</f>
        <v/>
      </c>
    </row>
    <row r="830">
      <c r="A830" s="41">
        <v>352.0</v>
      </c>
      <c r="B830" s="42" t="s">
        <v>1627</v>
      </c>
      <c r="C830" s="42" t="s">
        <v>1628</v>
      </c>
      <c r="D830" s="42"/>
      <c r="E830" s="42" t="str">
        <f t="shared" ref="E830:F830" si="831">PROPER(B830)</f>
        <v>Maningding Kadaralusan Farmers Association Incorporated</v>
      </c>
      <c r="F830" s="42" t="str">
        <f t="shared" si="831"/>
        <v>Maningding, Santa Barbara, Pangasinan</v>
      </c>
      <c r="G830" s="42" t="str">
        <f t="shared" si="3"/>
        <v>Maningding</v>
      </c>
      <c r="H830" s="42" t="str">
        <f t="shared" si="4"/>
        <v>Santa Barbara</v>
      </c>
      <c r="I830" s="42" t="str">
        <f t="shared" si="5"/>
        <v>Pangasinan</v>
      </c>
      <c r="J830" s="42" t="str">
        <f t="array" ref="J830">XLOOKUP($E830,'Recipients REF'!$B:$B,'Recipients REF'!D:D,"",0)</f>
        <v>Cirila R. Capua</v>
      </c>
      <c r="K830" s="42" t="str">
        <f t="array" ref="K830">XLOOKUP($E830,'Recipients REF'!$B:$B,'Recipients REF'!E:E,"",0)</f>
        <v>0917-960-2998/0928-107-7504</v>
      </c>
      <c r="L830" s="43" t="str">
        <f t="array" ref="L830">XLOOKUP($A830,'Recipients REF'!$A:$A,'Recipients REF'!F:F,"",0)</f>
        <v>RCEF 23-09-21 Rebidding</v>
      </c>
      <c r="M830" s="43">
        <f t="array" ref="M830">XLOOKUP($A830,'Recipients REF'!$A:$A,'Recipients REF'!G:G,"",0)</f>
        <v>2</v>
      </c>
      <c r="N830" s="43">
        <f t="array" ref="N830">XLOOKUP($A830,'Recipients REF'!$A:$A,'Recipients REF'!H:H,"",0)</f>
        <v>18991</v>
      </c>
      <c r="O830" s="44" t="s">
        <v>25</v>
      </c>
      <c r="P830" s="45" t="s">
        <v>26</v>
      </c>
      <c r="Q830" s="46" t="str">
        <f t="array" ref="Q830">XLOOKUP($A830,'Recipients REF'!$A:$A,'Recipients REF'!I:I,"",0)</f>
        <v>KMC5825AARFPV0377</v>
      </c>
      <c r="R830" s="47" t="str">
        <f t="array" ref="R830">XLOOKUP($A830,'Recipients REF'!$A:$A,'Recipients REF'!J:J,"",0)</f>
        <v>RTS100268</v>
      </c>
      <c r="S830" s="45" t="s">
        <v>27</v>
      </c>
      <c r="T830" s="45" t="s">
        <v>28</v>
      </c>
      <c r="U830" s="46" t="str">
        <f t="array" ref="U830">XLOOKUP($A830,'Recipients REF'!$A:$A,'Recipients REF'!K:K,"",0)</f>
        <v>R-SERIES 379 PH</v>
      </c>
      <c r="V830" s="44" t="s">
        <v>29</v>
      </c>
      <c r="W830" s="45" t="s">
        <v>30</v>
      </c>
      <c r="X830" s="47" t="str">
        <f t="array" ref="X830">XLOOKUP($A830,'Recipients REF'!$A:$A,'Recipients REF'!L:L,"",0)</f>
        <v>LSGW 1750 RMP 24020426</v>
      </c>
      <c r="Y830" s="48" t="s">
        <v>29</v>
      </c>
      <c r="Z830" s="48" t="s">
        <v>31</v>
      </c>
      <c r="AA830" s="46" t="str">
        <f t="array" ref="AA830">XLOOKUP($A830,'Recipients REF'!$A:$A,'Recipients REF'!M:M,"",0)</f>
        <v>WDP40-RMP-24040515</v>
      </c>
      <c r="AB830" s="49"/>
      <c r="AC830" s="42"/>
      <c r="AD830" s="42"/>
      <c r="AE830" s="50"/>
      <c r="AF830" s="42"/>
      <c r="AG830" s="42"/>
      <c r="AH830" s="42"/>
      <c r="AI830" s="42" t="str">
        <f t="array" ref="AI830">XLOOKUP($E830,Sheet11!$D:$D,Sheet11!$X:$X,"",0)</f>
        <v/>
      </c>
      <c r="AJ830" s="42" t="str">
        <f t="array" ref="AJ830">XLOOKUP($E830,Sheet11!$D:$D,Sheet11!$Y:$Y,"",0)</f>
        <v/>
      </c>
    </row>
    <row r="831">
      <c r="A831" s="41">
        <v>353.0</v>
      </c>
      <c r="B831" s="42" t="s">
        <v>1629</v>
      </c>
      <c r="C831" s="42" t="s">
        <v>1630</v>
      </c>
      <c r="D831" s="42"/>
      <c r="E831" s="42" t="str">
        <f t="shared" ref="E831:F831" si="832">PROPER(B831)</f>
        <v>Makabagong Magsasaka Irrigators Association Inc.</v>
      </c>
      <c r="F831" s="42" t="str">
        <f t="shared" si="832"/>
        <v>Angio, San Fabian, Pangasinan</v>
      </c>
      <c r="G831" s="42" t="str">
        <f t="shared" si="3"/>
        <v>Angio</v>
      </c>
      <c r="H831" s="42" t="str">
        <f t="shared" si="4"/>
        <v>San Fabian</v>
      </c>
      <c r="I831" s="42" t="str">
        <f t="shared" si="5"/>
        <v>Pangasinan</v>
      </c>
      <c r="J831" s="42" t="str">
        <f t="array" ref="J831">XLOOKUP($E831,'Recipients REF'!$B:$B,'Recipients REF'!D:D,"",0)</f>
        <v>Bernie Dispo</v>
      </c>
      <c r="K831" s="42" t="str">
        <f t="array" ref="K831">XLOOKUP($E831,'Recipients REF'!$B:$B,'Recipients REF'!E:E,"",0)</f>
        <v>0932-769-0717</v>
      </c>
      <c r="L831" s="43" t="str">
        <f t="array" ref="L831">XLOOKUP($A831,'Recipients REF'!$A:$A,'Recipients REF'!F:F,"",0)</f>
        <v>RCEF 23-09-21 Rebidding</v>
      </c>
      <c r="M831" s="43">
        <f t="array" ref="M831">XLOOKUP($A831,'Recipients REF'!$A:$A,'Recipients REF'!G:G,"",0)</f>
        <v>2</v>
      </c>
      <c r="N831" s="43">
        <f t="array" ref="N831">XLOOKUP($A831,'Recipients REF'!$A:$A,'Recipients REF'!H:H,"",0)</f>
        <v>18992</v>
      </c>
      <c r="O831" s="44" t="s">
        <v>25</v>
      </c>
      <c r="P831" s="45" t="s">
        <v>26</v>
      </c>
      <c r="Q831" s="46" t="str">
        <f t="array" ref="Q831">XLOOKUP($A831,'Recipients REF'!$A:$A,'Recipients REF'!I:I,"",0)</f>
        <v>KMC5825AKRFPV0373</v>
      </c>
      <c r="R831" s="47" t="str">
        <f t="array" ref="R831">XLOOKUP($A831,'Recipients REF'!$A:$A,'Recipients REF'!J:J,"",0)</f>
        <v>RTS100274</v>
      </c>
      <c r="S831" s="45" t="s">
        <v>27</v>
      </c>
      <c r="T831" s="45" t="s">
        <v>28</v>
      </c>
      <c r="U831" s="46" t="str">
        <f t="array" ref="U831">XLOOKUP($A831,'Recipients REF'!$A:$A,'Recipients REF'!K:K,"",0)</f>
        <v>R-SERIES 407 PH</v>
      </c>
      <c r="V831" s="44" t="s">
        <v>29</v>
      </c>
      <c r="W831" s="45" t="s">
        <v>30</v>
      </c>
      <c r="X831" s="47" t="str">
        <f t="array" ref="X831">XLOOKUP($A831,'Recipients REF'!$A:$A,'Recipients REF'!L:L,"",0)</f>
        <v>LSGW 1750 RMP 24020410</v>
      </c>
      <c r="Y831" s="48" t="s">
        <v>29</v>
      </c>
      <c r="Z831" s="48" t="s">
        <v>31</v>
      </c>
      <c r="AA831" s="46" t="str">
        <f t="array" ref="AA831">XLOOKUP($A831,'Recipients REF'!$A:$A,'Recipients REF'!M:M,"",0)</f>
        <v>WDP40-RMP-24040508</v>
      </c>
      <c r="AB831" s="49"/>
      <c r="AC831" s="42"/>
      <c r="AD831" s="42"/>
      <c r="AE831" s="50"/>
      <c r="AF831" s="42"/>
      <c r="AG831" s="42"/>
      <c r="AH831" s="42"/>
      <c r="AI831" s="42" t="str">
        <f t="array" ref="AI831">XLOOKUP($E831,Sheet11!$D:$D,Sheet11!$X:$X,"",0)</f>
        <v/>
      </c>
      <c r="AJ831" s="42" t="str">
        <f t="array" ref="AJ831">XLOOKUP($E831,Sheet11!$D:$D,Sheet11!$Y:$Y,"",0)</f>
        <v/>
      </c>
    </row>
    <row r="832">
      <c r="A832" s="41">
        <v>354.0</v>
      </c>
      <c r="B832" s="42" t="s">
        <v>1631</v>
      </c>
      <c r="C832" s="42" t="s">
        <v>1632</v>
      </c>
      <c r="D832" s="42"/>
      <c r="E832" s="42" t="str">
        <f t="shared" ref="E832:F832" si="833">PROPER(B832)</f>
        <v>Villanueva Farmers Association</v>
      </c>
      <c r="F832" s="42" t="str">
        <f t="shared" si="833"/>
        <v>Villanueva, Bautista, Pangasinan</v>
      </c>
      <c r="G832" s="42" t="str">
        <f t="shared" si="3"/>
        <v>Villanueva</v>
      </c>
      <c r="H832" s="42" t="str">
        <f t="shared" si="4"/>
        <v>Bautista</v>
      </c>
      <c r="I832" s="42" t="str">
        <f t="shared" si="5"/>
        <v>Pangasinan</v>
      </c>
      <c r="J832" s="42" t="str">
        <f t="array" ref="J832">XLOOKUP($E832,'Recipients REF'!$B:$B,'Recipients REF'!D:D,"",0)</f>
        <v>Marietes P. Maregmen</v>
      </c>
      <c r="K832" s="42" t="str">
        <f t="array" ref="K832">XLOOKUP($E832,'Recipients REF'!$B:$B,'Recipients REF'!E:E,"",0)</f>
        <v>0926-261-8681</v>
      </c>
      <c r="L832" s="43" t="str">
        <f t="array" ref="L832">XLOOKUP($A832,'Recipients REF'!$A:$A,'Recipients REF'!F:F,"",0)</f>
        <v>RCEF 23-09-21 Rebidding</v>
      </c>
      <c r="M832" s="43">
        <f t="array" ref="M832">XLOOKUP($A832,'Recipients REF'!$A:$A,'Recipients REF'!G:G,"",0)</f>
        <v>2</v>
      </c>
      <c r="N832" s="43">
        <f t="array" ref="N832">XLOOKUP($A832,'Recipients REF'!$A:$A,'Recipients REF'!H:H,"",0)</f>
        <v>18993</v>
      </c>
      <c r="O832" s="44" t="s">
        <v>25</v>
      </c>
      <c r="P832" s="45" t="s">
        <v>26</v>
      </c>
      <c r="Q832" s="46" t="str">
        <f t="array" ref="Q832">XLOOKUP($A832,'Recipients REF'!$A:$A,'Recipients REF'!I:I,"",0)</f>
        <v>KMC5825ACRFPV0375</v>
      </c>
      <c r="R832" s="47" t="str">
        <f t="array" ref="R832">XLOOKUP($A832,'Recipients REF'!$A:$A,'Recipients REF'!J:J,"",0)</f>
        <v>RTS100269</v>
      </c>
      <c r="S832" s="45" t="s">
        <v>27</v>
      </c>
      <c r="T832" s="45" t="s">
        <v>28</v>
      </c>
      <c r="U832" s="46" t="str">
        <f t="array" ref="U832">XLOOKUP($A832,'Recipients REF'!$A:$A,'Recipients REF'!K:K,"",0)</f>
        <v>R-SERIES 403 PH</v>
      </c>
      <c r="V832" s="44" t="s">
        <v>29</v>
      </c>
      <c r="W832" s="45" t="s">
        <v>30</v>
      </c>
      <c r="X832" s="47" t="str">
        <f t="array" ref="X832">XLOOKUP($A832,'Recipients REF'!$A:$A,'Recipients REF'!L:L,"",0)</f>
        <v>LSGW1750 RMP 24020443</v>
      </c>
      <c r="Y832" s="48" t="s">
        <v>29</v>
      </c>
      <c r="Z832" s="48" t="s">
        <v>31</v>
      </c>
      <c r="AA832" s="46" t="str">
        <f t="array" ref="AA832">XLOOKUP($A832,'Recipients REF'!$A:$A,'Recipients REF'!M:M,"",0)</f>
        <v>WDP-40-RMP-24040535</v>
      </c>
      <c r="AB832" s="49"/>
      <c r="AC832" s="42"/>
      <c r="AD832" s="42"/>
      <c r="AE832" s="50"/>
      <c r="AF832" s="42"/>
      <c r="AG832" s="42"/>
      <c r="AH832" s="42"/>
      <c r="AI832" s="42" t="str">
        <f t="array" ref="AI832">XLOOKUP($E832,Sheet11!$D:$D,Sheet11!$X:$X,"",0)</f>
        <v/>
      </c>
      <c r="AJ832" s="42" t="str">
        <f t="array" ref="AJ832">XLOOKUP($E832,Sheet11!$D:$D,Sheet11!$Y:$Y,"",0)</f>
        <v/>
      </c>
    </row>
    <row r="833">
      <c r="A833" s="41">
        <v>355.0</v>
      </c>
      <c r="B833" s="42" t="s">
        <v>1633</v>
      </c>
      <c r="C833" s="42" t="s">
        <v>1634</v>
      </c>
      <c r="D833" s="42"/>
      <c r="E833" s="42" t="str">
        <f t="shared" ref="E833:F833" si="834">PROPER(B833)</f>
        <v>Alisto Sto. Nino Farmers Association Inc.</v>
      </c>
      <c r="F833" s="42" t="str">
        <f t="shared" si="834"/>
        <v>Santo Niño, Binalonan, Pangasinan</v>
      </c>
      <c r="G833" s="42" t="str">
        <f t="shared" si="3"/>
        <v>Santo Niño</v>
      </c>
      <c r="H833" s="42" t="str">
        <f t="shared" si="4"/>
        <v>Binalonan</v>
      </c>
      <c r="I833" s="42" t="str">
        <f t="shared" si="5"/>
        <v>Pangasinan</v>
      </c>
      <c r="J833" s="42" t="str">
        <f t="array" ref="J833">XLOOKUP($E833,'Recipients REF'!$B:$B,'Recipients REF'!D:D,"",0)</f>
        <v>Jericho U. Gabot</v>
      </c>
      <c r="K833" s="42" t="str">
        <f t="array" ref="K833">XLOOKUP($E833,'Recipients REF'!$B:$B,'Recipients REF'!E:E,"",0)</f>
        <v>0919-447-8358</v>
      </c>
      <c r="L833" s="43" t="str">
        <f t="array" ref="L833">XLOOKUP($A833,'Recipients REF'!$A:$A,'Recipients REF'!F:F,"",0)</f>
        <v>RCEF 23-09-21 Rebidding</v>
      </c>
      <c r="M833" s="43">
        <f t="array" ref="M833">XLOOKUP($A833,'Recipients REF'!$A:$A,'Recipients REF'!G:G,"",0)</f>
        <v>2</v>
      </c>
      <c r="N833" s="43">
        <f t="array" ref="N833">XLOOKUP($A833,'Recipients REF'!$A:$A,'Recipients REF'!H:H,"",0)</f>
        <v>18994</v>
      </c>
      <c r="O833" s="44" t="s">
        <v>25</v>
      </c>
      <c r="P833" s="45" t="s">
        <v>26</v>
      </c>
      <c r="Q833" s="46" t="str">
        <f t="array" ref="Q833">XLOOKUP($A833,'Recipients REF'!$A:$A,'Recipients REF'!I:I,"",0)</f>
        <v>KMC5825ALRFPVO428</v>
      </c>
      <c r="R833" s="47" t="str">
        <f t="array" ref="R833">XLOOKUP($A833,'Recipients REF'!$A:$A,'Recipients REF'!J:J,"",0)</f>
        <v>RTS100339</v>
      </c>
      <c r="S833" s="45" t="s">
        <v>27</v>
      </c>
      <c r="T833" s="45" t="s">
        <v>28</v>
      </c>
      <c r="U833" s="46" t="str">
        <f t="array" ref="U833">XLOOKUP($A833,'Recipients REF'!$A:$A,'Recipients REF'!K:K,"",0)</f>
        <v>R-SERIES 371 PH</v>
      </c>
      <c r="V833" s="44" t="s">
        <v>29</v>
      </c>
      <c r="W833" s="45" t="s">
        <v>30</v>
      </c>
      <c r="X833" s="47" t="str">
        <f t="array" ref="X833">XLOOKUP($A833,'Recipients REF'!$A:$A,'Recipients REF'!L:L,"",0)</f>
        <v>LSGW1750 RMP 24020479</v>
      </c>
      <c r="Y833" s="48" t="s">
        <v>29</v>
      </c>
      <c r="Z833" s="48" t="s">
        <v>31</v>
      </c>
      <c r="AA833" s="46" t="str">
        <f t="array" ref="AA833">XLOOKUP($A833,'Recipients REF'!$A:$A,'Recipients REF'!M:M,"",0)</f>
        <v>WDP40-RMP-24040530</v>
      </c>
      <c r="AB833" s="49"/>
      <c r="AC833" s="42"/>
      <c r="AD833" s="42"/>
      <c r="AE833" s="50"/>
      <c r="AF833" s="42"/>
      <c r="AG833" s="42"/>
      <c r="AH833" s="42"/>
      <c r="AI833" s="42" t="str">
        <f t="array" ref="AI833">XLOOKUP($E833,Sheet11!$D:$D,Sheet11!$X:$X,"",0)</f>
        <v/>
      </c>
      <c r="AJ833" s="42" t="str">
        <f t="array" ref="AJ833">XLOOKUP($E833,Sheet11!$D:$D,Sheet11!$Y:$Y,"",0)</f>
        <v/>
      </c>
    </row>
    <row r="834">
      <c r="A834" s="41">
        <v>356.0</v>
      </c>
      <c r="B834" s="42" t="s">
        <v>1635</v>
      </c>
      <c r="C834" s="42" t="s">
        <v>1636</v>
      </c>
      <c r="D834" s="42"/>
      <c r="E834" s="42" t="str">
        <f t="shared" ref="E834:F834" si="835">PROPER(B834)</f>
        <v>Pardas Lubas Binalonan Farmers Association Inc.</v>
      </c>
      <c r="F834" s="42" t="str">
        <f t="shared" si="835"/>
        <v>Santa Catalina, Binalonan, Pangasinan</v>
      </c>
      <c r="G834" s="42" t="str">
        <f t="shared" si="3"/>
        <v>Santa Catalina</v>
      </c>
      <c r="H834" s="42" t="str">
        <f t="shared" si="4"/>
        <v>Binalonan</v>
      </c>
      <c r="I834" s="42" t="str">
        <f t="shared" si="5"/>
        <v>Pangasinan</v>
      </c>
      <c r="J834" s="42" t="str">
        <f t="array" ref="J834">XLOOKUP($E834,'Recipients REF'!$B:$B,'Recipients REF'!D:D,"",0)</f>
        <v>REYLY M. NAVARRO</v>
      </c>
      <c r="K834" s="42" t="str">
        <f t="array" ref="K834">XLOOKUP($E834,'Recipients REF'!$B:$B,'Recipients REF'!E:E,"",0)</f>
        <v>0915 431 3160</v>
      </c>
      <c r="L834" s="43" t="str">
        <f t="array" ref="L834">XLOOKUP($A834,'Recipients REF'!$A:$A,'Recipients REF'!F:F,"",0)</f>
        <v>RCEF 23-09-21 Rebidding</v>
      </c>
      <c r="M834" s="43">
        <f t="array" ref="M834">XLOOKUP($A834,'Recipients REF'!$A:$A,'Recipients REF'!G:G,"",0)</f>
        <v>2</v>
      </c>
      <c r="N834" s="43">
        <f t="array" ref="N834">XLOOKUP($A834,'Recipients REF'!$A:$A,'Recipients REF'!H:H,"",0)</f>
        <v>18995</v>
      </c>
      <c r="O834" s="44" t="s">
        <v>25</v>
      </c>
      <c r="P834" s="45" t="s">
        <v>26</v>
      </c>
      <c r="Q834" s="46" t="str">
        <f t="array" ref="Q834">XLOOKUP($A834,'Recipients REF'!$A:$A,'Recipients REF'!I:I,"",0)</f>
        <v>KMC5825AJRFPV0424</v>
      </c>
      <c r="R834" s="47" t="str">
        <f t="array" ref="R834">XLOOKUP($A834,'Recipients REF'!$A:$A,'Recipients REF'!J:J,"",0)</f>
        <v>RTS100322</v>
      </c>
      <c r="S834" s="45" t="s">
        <v>27</v>
      </c>
      <c r="T834" s="45" t="s">
        <v>28</v>
      </c>
      <c r="U834" s="46" t="str">
        <f t="array" ref="U834">XLOOKUP($A834,'Recipients REF'!$A:$A,'Recipients REF'!K:K,"",0)</f>
        <v>R-SERIES 362 PH</v>
      </c>
      <c r="V834" s="44" t="s">
        <v>29</v>
      </c>
      <c r="W834" s="45" t="s">
        <v>30</v>
      </c>
      <c r="X834" s="47" t="str">
        <f t="array" ref="X834">XLOOKUP($A834,'Recipients REF'!$A:$A,'Recipients REF'!L:L,"",0)</f>
        <v>LSGW1750 RMP 24020409</v>
      </c>
      <c r="Y834" s="48" t="s">
        <v>29</v>
      </c>
      <c r="Z834" s="48" t="s">
        <v>31</v>
      </c>
      <c r="AA834" s="46" t="str">
        <f t="array" ref="AA834">XLOOKUP($A834,'Recipients REF'!$A:$A,'Recipients REF'!M:M,"",0)</f>
        <v>WDP-40-RMP-24050554</v>
      </c>
      <c r="AB834" s="49"/>
      <c r="AC834" s="42"/>
      <c r="AD834" s="42"/>
      <c r="AE834" s="50"/>
      <c r="AF834" s="42"/>
      <c r="AG834" s="42"/>
      <c r="AH834" s="42"/>
      <c r="AI834" s="42" t="str">
        <f t="array" ref="AI834">XLOOKUP($E834,Sheet11!$D:$D,Sheet11!$X:$X,"",0)</f>
        <v/>
      </c>
      <c r="AJ834" s="42" t="str">
        <f t="array" ref="AJ834">XLOOKUP($E834,Sheet11!$D:$D,Sheet11!$Y:$Y,"",0)</f>
        <v/>
      </c>
    </row>
    <row r="835">
      <c r="A835" s="41">
        <v>357.0</v>
      </c>
      <c r="B835" s="42" t="s">
        <v>1637</v>
      </c>
      <c r="C835" s="42" t="s">
        <v>1638</v>
      </c>
      <c r="D835" s="42"/>
      <c r="E835" s="42" t="str">
        <f t="shared" ref="E835:F835" si="836">PROPER(B835)</f>
        <v>Rang-Ay Dumayat Binalonan Farmers Association Inc.</v>
      </c>
      <c r="F835" s="42" t="str">
        <f t="shared" si="836"/>
        <v>Dumayat, Binalonan, Pangasinan</v>
      </c>
      <c r="G835" s="42" t="str">
        <f t="shared" si="3"/>
        <v>Dumayat</v>
      </c>
      <c r="H835" s="42" t="str">
        <f t="shared" si="4"/>
        <v>Binalonan</v>
      </c>
      <c r="I835" s="42" t="str">
        <f t="shared" si="5"/>
        <v>Pangasinan</v>
      </c>
      <c r="J835" s="42" t="str">
        <f t="array" ref="J835">XLOOKUP($E835,'Recipients REF'!$B:$B,'Recipients REF'!D:D,"",0)</f>
        <v>Arnel Alibuyog</v>
      </c>
      <c r="K835" s="42" t="str">
        <f t="array" ref="K835">XLOOKUP($E835,'Recipients REF'!$B:$B,'Recipients REF'!E:E,"",0)</f>
        <v>0935 864 6123</v>
      </c>
      <c r="L835" s="43" t="str">
        <f t="array" ref="L835">XLOOKUP($A835,'Recipients REF'!$A:$A,'Recipients REF'!F:F,"",0)</f>
        <v>RCEF 23-09-21 Rebidding</v>
      </c>
      <c r="M835" s="43">
        <f t="array" ref="M835">XLOOKUP($A835,'Recipients REF'!$A:$A,'Recipients REF'!G:G,"",0)</f>
        <v>2</v>
      </c>
      <c r="N835" s="43">
        <f t="array" ref="N835">XLOOKUP($A835,'Recipients REF'!$A:$A,'Recipients REF'!H:H,"",0)</f>
        <v>18996</v>
      </c>
      <c r="O835" s="44" t="s">
        <v>25</v>
      </c>
      <c r="P835" s="45" t="s">
        <v>26</v>
      </c>
      <c r="Q835" s="46" t="str">
        <f t="array" ref="Q835">XLOOKUP($A835,'Recipients REF'!$A:$A,'Recipients REF'!I:I,"",0)</f>
        <v>KMC5825ACRFBVO305</v>
      </c>
      <c r="R835" s="47" t="str">
        <f t="array" ref="R835">XLOOKUP($A835,'Recipients REF'!$A:$A,'Recipients REF'!J:J,"",0)</f>
        <v>RTS100187</v>
      </c>
      <c r="S835" s="45" t="s">
        <v>27</v>
      </c>
      <c r="T835" s="45" t="s">
        <v>28</v>
      </c>
      <c r="U835" s="46" t="str">
        <f t="array" ref="U835">XLOOKUP($A835,'Recipients REF'!$A:$A,'Recipients REF'!K:K,"",0)</f>
        <v>R-SERIES 410 PH</v>
      </c>
      <c r="V835" s="44" t="s">
        <v>29</v>
      </c>
      <c r="W835" s="45" t="s">
        <v>30</v>
      </c>
      <c r="X835" s="47" t="str">
        <f t="array" ref="X835">XLOOKUP($A835,'Recipients REF'!$A:$A,'Recipients REF'!L:L,"",0)</f>
        <v>LSGW1750 RMP 24020511</v>
      </c>
      <c r="Y835" s="48" t="s">
        <v>29</v>
      </c>
      <c r="Z835" s="48" t="s">
        <v>31</v>
      </c>
      <c r="AA835" s="46" t="str">
        <f t="array" ref="AA835">XLOOKUP($A835,'Recipients REF'!$A:$A,'Recipients REF'!M:M,"",0)</f>
        <v>WDP-40-RMP-24040518</v>
      </c>
      <c r="AB835" s="49"/>
      <c r="AC835" s="42"/>
      <c r="AD835" s="42"/>
      <c r="AE835" s="50"/>
      <c r="AF835" s="42"/>
      <c r="AG835" s="42"/>
      <c r="AH835" s="42"/>
      <c r="AI835" s="42" t="str">
        <f t="array" ref="AI835">XLOOKUP($E835,Sheet11!$D:$D,Sheet11!$X:$X,"",0)</f>
        <v/>
      </c>
      <c r="AJ835" s="42" t="str">
        <f t="array" ref="AJ835">XLOOKUP($E835,Sheet11!$D:$D,Sheet11!$Y:$Y,"",0)</f>
        <v/>
      </c>
    </row>
    <row r="836">
      <c r="A836" s="41">
        <v>358.0</v>
      </c>
      <c r="B836" s="42" t="s">
        <v>1639</v>
      </c>
      <c r="C836" s="42" t="s">
        <v>1640</v>
      </c>
      <c r="D836" s="42"/>
      <c r="E836" s="42" t="str">
        <f t="shared" ref="E836:F836" si="837">PROPER(B836)</f>
        <v>Solid Panaganian Farmers Association Inc.</v>
      </c>
      <c r="F836" s="42" t="str">
        <f t="shared" si="837"/>
        <v>Panaga, Laoac, Pangasinan</v>
      </c>
      <c r="G836" s="42" t="str">
        <f t="shared" si="3"/>
        <v>Panaga</v>
      </c>
      <c r="H836" s="42" t="str">
        <f t="shared" si="4"/>
        <v>Laoac</v>
      </c>
      <c r="I836" s="42" t="str">
        <f t="shared" si="5"/>
        <v>Pangasinan</v>
      </c>
      <c r="J836" s="42" t="str">
        <f t="array" ref="J836">XLOOKUP($E836,'Recipients REF'!$B:$B,'Recipients REF'!D:D,"",0)</f>
        <v>Mario B. Barlolong</v>
      </c>
      <c r="K836" s="42" t="str">
        <f t="array" ref="K836">XLOOKUP($E836,'Recipients REF'!$B:$B,'Recipients REF'!E:E,"",0)</f>
        <v>0945 328 4125</v>
      </c>
      <c r="L836" s="43" t="str">
        <f t="array" ref="L836">XLOOKUP($A836,'Recipients REF'!$A:$A,'Recipients REF'!F:F,"",0)</f>
        <v>RCEF 23-09-21 Rebidding</v>
      </c>
      <c r="M836" s="43">
        <f t="array" ref="M836">XLOOKUP($A836,'Recipients REF'!$A:$A,'Recipients REF'!G:G,"",0)</f>
        <v>2</v>
      </c>
      <c r="N836" s="43">
        <f t="array" ref="N836">XLOOKUP($A836,'Recipients REF'!$A:$A,'Recipients REF'!H:H,"",0)</f>
        <v>18997</v>
      </c>
      <c r="O836" s="44" t="s">
        <v>25</v>
      </c>
      <c r="P836" s="45" t="s">
        <v>26</v>
      </c>
      <c r="Q836" s="46" t="str">
        <f t="array" ref="Q836">XLOOKUP($A836,'Recipients REF'!$A:$A,'Recipients REF'!I:I,"",0)</f>
        <v>KMC5825ACRFPV0319</v>
      </c>
      <c r="R836" s="47" t="str">
        <f t="array" ref="R836">XLOOKUP($A836,'Recipients REF'!$A:$A,'Recipients REF'!J:J,"",0)</f>
        <v>RTS100203</v>
      </c>
      <c r="S836" s="45" t="s">
        <v>27</v>
      </c>
      <c r="T836" s="45" t="s">
        <v>28</v>
      </c>
      <c r="U836" s="46" t="str">
        <f t="array" ref="U836">XLOOKUP($A836,'Recipients REF'!$A:$A,'Recipients REF'!K:K,"",0)</f>
        <v>R-SERIES 404</v>
      </c>
      <c r="V836" s="44" t="s">
        <v>29</v>
      </c>
      <c r="W836" s="45" t="s">
        <v>30</v>
      </c>
      <c r="X836" s="47" t="str">
        <f t="array" ref="X836">XLOOKUP($A836,'Recipients REF'!$A:$A,'Recipients REF'!L:L,"",0)</f>
        <v>LSGW1750-RMP-24020448</v>
      </c>
      <c r="Y836" s="48" t="s">
        <v>29</v>
      </c>
      <c r="Z836" s="48" t="s">
        <v>31</v>
      </c>
      <c r="AA836" s="46" t="str">
        <f t="array" ref="AA836">XLOOKUP($A836,'Recipients REF'!$A:$A,'Recipients REF'!M:M,"",0)</f>
        <v>WDP40-RMP-24040528</v>
      </c>
      <c r="AB836" s="49"/>
      <c r="AC836" s="42"/>
      <c r="AD836" s="42"/>
      <c r="AE836" s="50"/>
      <c r="AF836" s="42"/>
      <c r="AG836" s="42"/>
      <c r="AH836" s="42"/>
      <c r="AI836" s="42" t="str">
        <f t="array" ref="AI836">XLOOKUP($E836,Sheet11!$D:$D,Sheet11!$X:$X,"",0)</f>
        <v/>
      </c>
      <c r="AJ836" s="42" t="str">
        <f t="array" ref="AJ836">XLOOKUP($E836,Sheet11!$D:$D,Sheet11!$Y:$Y,"",0)</f>
        <v/>
      </c>
    </row>
    <row r="837">
      <c r="A837" s="41">
        <v>359.0</v>
      </c>
      <c r="B837" s="42" t="s">
        <v>1641</v>
      </c>
      <c r="C837" s="42" t="s">
        <v>1642</v>
      </c>
      <c r="D837" s="42"/>
      <c r="E837" s="42" t="str">
        <f t="shared" ref="E837:F837" si="838">PROPER(B837)</f>
        <v>Cauringan Asan Farmers Irrigators' Association, Inc.</v>
      </c>
      <c r="F837" s="42" t="str">
        <f t="shared" si="838"/>
        <v>Poblacion Central, Sison, Pangasinan</v>
      </c>
      <c r="G837" s="42" t="str">
        <f t="shared" si="3"/>
        <v>Poblacion Central</v>
      </c>
      <c r="H837" s="42" t="str">
        <f t="shared" si="4"/>
        <v>Sison</v>
      </c>
      <c r="I837" s="42" t="str">
        <f t="shared" si="5"/>
        <v>Pangasinan</v>
      </c>
      <c r="J837" s="42" t="str">
        <f t="array" ref="J837">XLOOKUP($E837,'Recipients REF'!$B:$B,'Recipients REF'!D:D,"",0)</f>
        <v>Johnny N. Ellana</v>
      </c>
      <c r="K837" s="42" t="str">
        <f t="array" ref="K837">XLOOKUP($E837,'Recipients REF'!$B:$B,'Recipients REF'!E:E,"",0)</f>
        <v>0912-621-2047</v>
      </c>
      <c r="L837" s="43" t="str">
        <f t="array" ref="L837">XLOOKUP($A837,'Recipients REF'!$A:$A,'Recipients REF'!F:F,"",0)</f>
        <v>RCEF 23-09-21 Rebidding</v>
      </c>
      <c r="M837" s="43">
        <f t="array" ref="M837">XLOOKUP($A837,'Recipients REF'!$A:$A,'Recipients REF'!G:G,"",0)</f>
        <v>2</v>
      </c>
      <c r="N837" s="43">
        <f t="array" ref="N837">XLOOKUP($A837,'Recipients REF'!$A:$A,'Recipients REF'!H:H,"",0)</f>
        <v>18998</v>
      </c>
      <c r="O837" s="44" t="s">
        <v>25</v>
      </c>
      <c r="P837" s="45" t="s">
        <v>26</v>
      </c>
      <c r="Q837" s="46" t="str">
        <f t="array" ref="Q837">XLOOKUP($A837,'Recipients REF'!$A:$A,'Recipients REF'!I:I,"",0)</f>
        <v>KMC5825ACRFPV0319</v>
      </c>
      <c r="R837" s="47" t="str">
        <f t="array" ref="R837">XLOOKUP($A837,'Recipients REF'!$A:$A,'Recipients REF'!J:J,"",0)</f>
        <v>RTS100203</v>
      </c>
      <c r="S837" s="45" t="s">
        <v>27</v>
      </c>
      <c r="T837" s="45" t="s">
        <v>28</v>
      </c>
      <c r="U837" s="46" t="str">
        <f t="array" ref="U837">XLOOKUP($A837,'Recipients REF'!$A:$A,'Recipients REF'!K:K,"",0)</f>
        <v>R-SERIES 404</v>
      </c>
      <c r="V837" s="44" t="s">
        <v>29</v>
      </c>
      <c r="W837" s="45" t="s">
        <v>30</v>
      </c>
      <c r="X837" s="47" t="str">
        <f t="array" ref="X837">XLOOKUP($A837,'Recipients REF'!$A:$A,'Recipients REF'!L:L,"",0)</f>
        <v>LSGW1750-RMP-24020448</v>
      </c>
      <c r="Y837" s="48" t="s">
        <v>29</v>
      </c>
      <c r="Z837" s="48" t="s">
        <v>31</v>
      </c>
      <c r="AA837" s="46" t="str">
        <f t="array" ref="AA837">XLOOKUP($A837,'Recipients REF'!$A:$A,'Recipients REF'!M:M,"",0)</f>
        <v>WDP40-RMP-24040528</v>
      </c>
      <c r="AB837" s="49"/>
      <c r="AC837" s="42"/>
      <c r="AD837" s="42"/>
      <c r="AE837" s="50"/>
      <c r="AF837" s="42"/>
      <c r="AG837" s="42"/>
      <c r="AH837" s="42"/>
      <c r="AI837" s="42" t="str">
        <f t="array" ref="AI837">XLOOKUP($E837,Sheet11!$D:$D,Sheet11!$X:$X,"",0)</f>
        <v/>
      </c>
      <c r="AJ837" s="42" t="str">
        <f t="array" ref="AJ837">XLOOKUP($E837,Sheet11!$D:$D,Sheet11!$Y:$Y,"",0)</f>
        <v/>
      </c>
    </row>
    <row r="838">
      <c r="A838" s="41">
        <v>360.0</v>
      </c>
      <c r="B838" s="42" t="s">
        <v>1643</v>
      </c>
      <c r="C838" s="42" t="s">
        <v>1644</v>
      </c>
      <c r="D838" s="42"/>
      <c r="E838" s="42" t="str">
        <f t="shared" ref="E838:F838" si="839">PROPER(B838)</f>
        <v>Nancamaliran West Biskeg Farmers Association</v>
      </c>
      <c r="F838" s="42" t="str">
        <f t="shared" si="839"/>
        <v>Nancamaliran West, Urdaneta City, Pangasinan</v>
      </c>
      <c r="G838" s="42" t="str">
        <f t="shared" si="3"/>
        <v>Nancamaliran West</v>
      </c>
      <c r="H838" s="42" t="str">
        <f t="shared" si="4"/>
        <v>Urdaneta City</v>
      </c>
      <c r="I838" s="42" t="str">
        <f t="shared" si="5"/>
        <v>Pangasinan</v>
      </c>
      <c r="J838" s="42" t="str">
        <f t="array" ref="J838">XLOOKUP($E838,'Recipients REF'!$B:$B,'Recipients REF'!D:D,"",0)</f>
        <v>Felix M. Cudiamat</v>
      </c>
      <c r="K838" s="42" t="str">
        <f t="array" ref="K838">XLOOKUP($E838,'Recipients REF'!$B:$B,'Recipients REF'!E:E,"",0)</f>
        <v>0909 034 0851</v>
      </c>
      <c r="L838" s="43" t="str">
        <f t="array" ref="L838">XLOOKUP($A838,'Recipients REF'!$A:$A,'Recipients REF'!F:F,"",0)</f>
        <v>RCEF 23-09-21 Rebidding</v>
      </c>
      <c r="M838" s="43">
        <f t="array" ref="M838">XLOOKUP($A838,'Recipients REF'!$A:$A,'Recipients REF'!G:G,"",0)</f>
        <v>2</v>
      </c>
      <c r="N838" s="43">
        <f t="array" ref="N838">XLOOKUP($A838,'Recipients REF'!$A:$A,'Recipients REF'!H:H,"",0)</f>
        <v>18999</v>
      </c>
      <c r="O838" s="44" t="s">
        <v>25</v>
      </c>
      <c r="P838" s="45" t="s">
        <v>26</v>
      </c>
      <c r="Q838" s="46" t="str">
        <f t="array" ref="Q838">XLOOKUP($A838,'Recipients REF'!$A:$A,'Recipients REF'!I:I,"",0)</f>
        <v>KMC5825ATRFPV0368</v>
      </c>
      <c r="R838" s="47" t="str">
        <f t="array" ref="R838">XLOOKUP($A838,'Recipients REF'!$A:$A,'Recipients REF'!J:J,"",0)</f>
        <v>RTS100273</v>
      </c>
      <c r="S838" s="45" t="s">
        <v>27</v>
      </c>
      <c r="T838" s="45" t="s">
        <v>28</v>
      </c>
      <c r="U838" s="46" t="str">
        <f t="array" ref="U838">XLOOKUP($A838,'Recipients REF'!$A:$A,'Recipients REF'!K:K,"",0)</f>
        <v>R-SERIES 378</v>
      </c>
      <c r="V838" s="44" t="s">
        <v>29</v>
      </c>
      <c r="W838" s="45" t="s">
        <v>30</v>
      </c>
      <c r="X838" s="47" t="str">
        <f t="array" ref="X838">XLOOKUP($A838,'Recipients REF'!$A:$A,'Recipients REF'!L:L,"",0)</f>
        <v>LSGW1750-RMP-24020445</v>
      </c>
      <c r="Y838" s="48" t="s">
        <v>29</v>
      </c>
      <c r="Z838" s="48" t="s">
        <v>31</v>
      </c>
      <c r="AA838" s="46" t="str">
        <f t="array" ref="AA838">XLOOKUP($A838,'Recipients REF'!$A:$A,'Recipients REF'!M:M,"",0)</f>
        <v>WDP40-RMP-24040538</v>
      </c>
      <c r="AB838" s="49"/>
      <c r="AC838" s="42"/>
      <c r="AD838" s="42"/>
      <c r="AE838" s="50"/>
      <c r="AF838" s="42"/>
      <c r="AG838" s="42"/>
      <c r="AH838" s="42"/>
      <c r="AI838" s="42" t="str">
        <f t="array" ref="AI838">XLOOKUP($E838,Sheet11!$D:$D,Sheet11!$X:$X,"",0)</f>
        <v/>
      </c>
      <c r="AJ838" s="42" t="str">
        <f t="array" ref="AJ838">XLOOKUP($E838,Sheet11!$D:$D,Sheet11!$Y:$Y,"",0)</f>
        <v/>
      </c>
    </row>
    <row r="839">
      <c r="A839" s="41">
        <v>361.0</v>
      </c>
      <c r="B839" s="42" t="s">
        <v>1645</v>
      </c>
      <c r="C839" s="42" t="s">
        <v>1646</v>
      </c>
      <c r="D839" s="42"/>
      <c r="E839" s="42" t="str">
        <f t="shared" ref="E839:F839" si="840">PROPER(B839)</f>
        <v>Sanmigueluna Rice And Corn Farmers Assn. Inc.</v>
      </c>
      <c r="F839" s="42" t="str">
        <f t="shared" si="840"/>
        <v>San Miguel, Natividad, Pangasinan</v>
      </c>
      <c r="G839" s="42" t="str">
        <f t="shared" si="3"/>
        <v>San Miguel</v>
      </c>
      <c r="H839" s="42" t="str">
        <f t="shared" si="4"/>
        <v>Natividad</v>
      </c>
      <c r="I839" s="42" t="str">
        <f t="shared" si="5"/>
        <v>Pangasinan</v>
      </c>
      <c r="J839" s="42" t="str">
        <f t="array" ref="J839">XLOOKUP($E839,'Recipients REF'!$B:$B,'Recipients REF'!D:D,"",0)</f>
        <v>Pablo R. Estillore</v>
      </c>
      <c r="K839" s="42">
        <f t="array" ref="K839">XLOOKUP($E839,'Recipients REF'!$B:$B,'Recipients REF'!E:E,"",0)</f>
        <v>1</v>
      </c>
      <c r="L839" s="43" t="str">
        <f t="array" ref="L839">XLOOKUP($A839,'Recipients REF'!$A:$A,'Recipients REF'!F:F,"",0)</f>
        <v>RCEF 23-09-21 Rebidding</v>
      </c>
      <c r="M839" s="43">
        <f t="array" ref="M839">XLOOKUP($A839,'Recipients REF'!$A:$A,'Recipients REF'!G:G,"",0)</f>
        <v>2</v>
      </c>
      <c r="N839" s="43">
        <f t="array" ref="N839">XLOOKUP($A839,'Recipients REF'!$A:$A,'Recipients REF'!H:H,"",0)</f>
        <v>19000</v>
      </c>
      <c r="O839" s="44" t="s">
        <v>25</v>
      </c>
      <c r="P839" s="45" t="s">
        <v>26</v>
      </c>
      <c r="Q839" s="46" t="str">
        <f t="array" ref="Q839">XLOOKUP($A839,'Recipients REF'!$A:$A,'Recipients REF'!I:I,"",0)</f>
        <v>KMC5825ALRFPV0378</v>
      </c>
      <c r="R839" s="47" t="str">
        <f t="array" ref="R839">XLOOKUP($A839,'Recipients REF'!$A:$A,'Recipients REF'!J:J,"",0)</f>
        <v>RTS100266</v>
      </c>
      <c r="S839" s="45" t="s">
        <v>27</v>
      </c>
      <c r="T839" s="45" t="s">
        <v>28</v>
      </c>
      <c r="U839" s="46" t="str">
        <f t="array" ref="U839">XLOOKUP($A839,'Recipients REF'!$A:$A,'Recipients REF'!K:K,"",0)</f>
        <v>R-SERIES 402</v>
      </c>
      <c r="V839" s="44" t="s">
        <v>29</v>
      </c>
      <c r="W839" s="45" t="s">
        <v>30</v>
      </c>
      <c r="X839" s="47" t="str">
        <f t="array" ref="X839">XLOOKUP($A839,'Recipients REF'!$A:$A,'Recipients REF'!L:L,"",0)</f>
        <v>LSGW1750-RMP-24020527</v>
      </c>
      <c r="Y839" s="48" t="s">
        <v>29</v>
      </c>
      <c r="Z839" s="48" t="s">
        <v>31</v>
      </c>
      <c r="AA839" s="46" t="str">
        <f t="array" ref="AA839">XLOOKUP($A839,'Recipients REF'!$A:$A,'Recipients REF'!M:M,"",0)</f>
        <v>WDP40-RMP-24040520</v>
      </c>
      <c r="AB839" s="49"/>
      <c r="AC839" s="42"/>
      <c r="AD839" s="42"/>
      <c r="AE839" s="50"/>
      <c r="AF839" s="42"/>
      <c r="AG839" s="42"/>
      <c r="AH839" s="42"/>
      <c r="AI839" s="42" t="str">
        <f t="array" ref="AI839">XLOOKUP($E839,Sheet11!$D:$D,Sheet11!$X:$X,"",0)</f>
        <v/>
      </c>
      <c r="AJ839" s="42" t="str">
        <f t="array" ref="AJ839">XLOOKUP($E839,Sheet11!$D:$D,Sheet11!$Y:$Y,"",0)</f>
        <v/>
      </c>
    </row>
    <row r="840">
      <c r="A840" s="41">
        <v>362.0</v>
      </c>
      <c r="B840" s="42" t="s">
        <v>1647</v>
      </c>
      <c r="C840" s="42" t="s">
        <v>1648</v>
      </c>
      <c r="D840" s="42"/>
      <c r="E840" s="42" t="str">
        <f t="shared" ref="E840:F840" si="841">PROPER(B840)</f>
        <v>Timpuyog Ti Mannalon Iti Rosales Inc.</v>
      </c>
      <c r="F840" s="42" t="str">
        <f t="shared" si="841"/>
        <v>Zone V (Pob.), Rosales, Pangasinan</v>
      </c>
      <c r="G840" s="42" t="str">
        <f t="shared" si="3"/>
        <v>Zone V (Pob.)</v>
      </c>
      <c r="H840" s="42" t="str">
        <f t="shared" si="4"/>
        <v>Rosales</v>
      </c>
      <c r="I840" s="42" t="str">
        <f t="shared" si="5"/>
        <v>Pangasinan</v>
      </c>
      <c r="J840" s="42" t="str">
        <f t="array" ref="J840">XLOOKUP($E840,'Recipients REF'!$B:$B,'Recipients REF'!D:D,"",0)</f>
        <v>Romeo L. Lilagan Sr.</v>
      </c>
      <c r="K840" s="42" t="str">
        <f t="array" ref="K840">XLOOKUP($E840,'Recipients REF'!$B:$B,'Recipients REF'!E:E,"",0)</f>
        <v>0945-509-5214</v>
      </c>
      <c r="L840" s="43" t="str">
        <f t="array" ref="L840">XLOOKUP($A840,'Recipients REF'!$A:$A,'Recipients REF'!F:F,"",0)</f>
        <v>RCEF 23-09-21 Rebidding</v>
      </c>
      <c r="M840" s="43">
        <f t="array" ref="M840">XLOOKUP($A840,'Recipients REF'!$A:$A,'Recipients REF'!G:G,"",0)</f>
        <v>2</v>
      </c>
      <c r="N840" s="43">
        <f t="array" ref="N840">XLOOKUP($A840,'Recipients REF'!$A:$A,'Recipients REF'!H:H,"",0)</f>
        <v>19001</v>
      </c>
      <c r="O840" s="44" t="s">
        <v>25</v>
      </c>
      <c r="P840" s="45" t="s">
        <v>26</v>
      </c>
      <c r="Q840" s="46" t="str">
        <f t="array" ref="Q840">XLOOKUP($A840,'Recipients REF'!$A:$A,'Recipients REF'!I:I,"",0)</f>
        <v>KMC5825AHRFPV0382</v>
      </c>
      <c r="R840" s="47" t="str">
        <f t="array" ref="R840">XLOOKUP($A840,'Recipients REF'!$A:$A,'Recipients REF'!J:J,"",0)</f>
        <v>RTS100259</v>
      </c>
      <c r="S840" s="45" t="s">
        <v>27</v>
      </c>
      <c r="T840" s="45" t="s">
        <v>28</v>
      </c>
      <c r="U840" s="46" t="str">
        <f t="array" ref="U840">XLOOKUP($A840,'Recipients REF'!$A:$A,'Recipients REF'!K:K,"",0)</f>
        <v>R-SERIES 400</v>
      </c>
      <c r="V840" s="44" t="s">
        <v>29</v>
      </c>
      <c r="W840" s="45" t="s">
        <v>30</v>
      </c>
      <c r="X840" s="47" t="str">
        <f t="array" ref="X840">XLOOKUP($A840,'Recipients REF'!$A:$A,'Recipients REF'!L:L,"",0)</f>
        <v>LSGW1750 -RMP-24020521</v>
      </c>
      <c r="Y840" s="48" t="s">
        <v>29</v>
      </c>
      <c r="Z840" s="48" t="s">
        <v>31</v>
      </c>
      <c r="AA840" s="46" t="str">
        <f t="array" ref="AA840">XLOOKUP($A840,'Recipients REF'!$A:$A,'Recipients REF'!M:M,"",0)</f>
        <v>WDP-40-RMP-24040524</v>
      </c>
      <c r="AB840" s="49"/>
      <c r="AC840" s="42"/>
      <c r="AD840" s="42"/>
      <c r="AE840" s="50"/>
      <c r="AF840" s="42"/>
      <c r="AG840" s="42"/>
      <c r="AH840" s="42"/>
      <c r="AI840" s="42" t="str">
        <f t="array" ref="AI840">XLOOKUP($E840,Sheet11!$D:$D,Sheet11!$X:$X,"",0)</f>
        <v/>
      </c>
      <c r="AJ840" s="42" t="str">
        <f t="array" ref="AJ840">XLOOKUP($E840,Sheet11!$D:$D,Sheet11!$Y:$Y,"",0)</f>
        <v/>
      </c>
    </row>
    <row r="841">
      <c r="A841" s="41">
        <v>363.0</v>
      </c>
      <c r="B841" s="42" t="s">
        <v>1649</v>
      </c>
      <c r="C841" s="42" t="s">
        <v>1650</v>
      </c>
      <c r="D841" s="42"/>
      <c r="E841" s="42" t="str">
        <f t="shared" ref="E841:F841" si="842">PROPER(B841)</f>
        <v>Alola San Jose Roque Irrigators Association Inc.</v>
      </c>
      <c r="F841" s="42" t="str">
        <f t="shared" si="842"/>
        <v>San Jose, San Nicolas, Pangasinan</v>
      </c>
      <c r="G841" s="42" t="str">
        <f t="shared" si="3"/>
        <v>San Jose</v>
      </c>
      <c r="H841" s="42" t="str">
        <f t="shared" si="4"/>
        <v>San Nicolas</v>
      </c>
      <c r="I841" s="42" t="str">
        <f t="shared" si="5"/>
        <v>Pangasinan</v>
      </c>
      <c r="J841" s="42" t="str">
        <f t="array" ref="J841">XLOOKUP($E841,'Recipients REF'!$B:$B,'Recipients REF'!D:D,"",0)</f>
        <v>Gregorio L. Belmoro</v>
      </c>
      <c r="K841" s="42" t="str">
        <f t="array" ref="K841">XLOOKUP($E841,'Recipients REF'!$B:$B,'Recipients REF'!E:E,"",0)</f>
        <v>0999-332-5063</v>
      </c>
      <c r="L841" s="43" t="str">
        <f t="array" ref="L841">XLOOKUP($A841,'Recipients REF'!$A:$A,'Recipients REF'!F:F,"",0)</f>
        <v>RCEF 23-09-21 Rebidding</v>
      </c>
      <c r="M841" s="43">
        <f t="array" ref="M841">XLOOKUP($A841,'Recipients REF'!$A:$A,'Recipients REF'!G:G,"",0)</f>
        <v>2</v>
      </c>
      <c r="N841" s="43">
        <f t="array" ref="N841">XLOOKUP($A841,'Recipients REF'!$A:$A,'Recipients REF'!H:H,"",0)</f>
        <v>19002</v>
      </c>
      <c r="O841" s="44" t="s">
        <v>25</v>
      </c>
      <c r="P841" s="45" t="s">
        <v>26</v>
      </c>
      <c r="Q841" s="46" t="str">
        <f t="array" ref="Q841">XLOOKUP($A841,'Recipients REF'!$A:$A,'Recipients REF'!I:I,"",0)</f>
        <v>KMC5825AJRFPV0374</v>
      </c>
      <c r="R841" s="47" t="str">
        <f t="array" ref="R841">XLOOKUP($A841,'Recipients REF'!$A:$A,'Recipients REF'!J:J,"",0)</f>
        <v>RTS100271</v>
      </c>
      <c r="S841" s="45" t="s">
        <v>27</v>
      </c>
      <c r="T841" s="45" t="s">
        <v>28</v>
      </c>
      <c r="U841" s="46" t="str">
        <f t="array" ref="U841">XLOOKUP($A841,'Recipients REF'!$A:$A,'Recipients REF'!K:K,"",0)</f>
        <v>R-SERIES 436</v>
      </c>
      <c r="V841" s="44" t="s">
        <v>29</v>
      </c>
      <c r="W841" s="45" t="s">
        <v>30</v>
      </c>
      <c r="X841" s="47" t="str">
        <f t="array" ref="X841">XLOOKUP($A841,'Recipients REF'!$A:$A,'Recipients REF'!L:L,"",0)</f>
        <v>LSGW1750-RMP-24020528</v>
      </c>
      <c r="Y841" s="48" t="s">
        <v>29</v>
      </c>
      <c r="Z841" s="48" t="s">
        <v>31</v>
      </c>
      <c r="AA841" s="46" t="str">
        <f t="array" ref="AA841">XLOOKUP($A841,'Recipients REF'!$A:$A,'Recipients REF'!M:M,"",0)</f>
        <v>WDP40-RMP-24040532</v>
      </c>
      <c r="AB841" s="49"/>
      <c r="AC841" s="42"/>
      <c r="AD841" s="42"/>
      <c r="AE841" s="50"/>
      <c r="AF841" s="42"/>
      <c r="AG841" s="42"/>
      <c r="AH841" s="42"/>
      <c r="AI841" s="42" t="str">
        <f t="array" ref="AI841">XLOOKUP($E841,Sheet11!$D:$D,Sheet11!$X:$X,"",0)</f>
        <v/>
      </c>
      <c r="AJ841" s="42" t="str">
        <f t="array" ref="AJ841">XLOOKUP($E841,Sheet11!$D:$D,Sheet11!$Y:$Y,"",0)</f>
        <v/>
      </c>
    </row>
    <row r="842">
      <c r="A842" s="41">
        <v>364.0</v>
      </c>
      <c r="B842" s="42" t="s">
        <v>1651</v>
      </c>
      <c r="C842" s="42" t="s">
        <v>1652</v>
      </c>
      <c r="D842" s="42"/>
      <c r="E842" s="42" t="str">
        <f t="shared" ref="E842:F842" si="843">PROPER(B842)</f>
        <v>Salben Farmers Association Inc.</v>
      </c>
      <c r="F842" s="42" t="str">
        <f t="shared" si="843"/>
        <v>Bensican, San Nicolas, Pangasinan</v>
      </c>
      <c r="G842" s="42" t="str">
        <f t="shared" si="3"/>
        <v>Bensican</v>
      </c>
      <c r="H842" s="42" t="str">
        <f t="shared" si="4"/>
        <v>San Nicolas</v>
      </c>
      <c r="I842" s="42" t="str">
        <f t="shared" si="5"/>
        <v>Pangasinan</v>
      </c>
      <c r="J842" s="42" t="str">
        <f t="array" ref="J842">XLOOKUP($E842,'Recipients REF'!$B:$B,'Recipients REF'!D:D,"",0)</f>
        <v>#N/A</v>
      </c>
      <c r="K842" s="42" t="str">
        <f t="array" ref="K842">XLOOKUP($E842,'Recipients REF'!$B:$B,'Recipients REF'!E:E,"",0)</f>
        <v>#N/A</v>
      </c>
      <c r="L842" s="43" t="str">
        <f t="array" ref="L842">XLOOKUP($A842,'Recipients REF'!$A:$A,'Recipients REF'!F:F,"",0)</f>
        <v>RCEF 23-09-21 Rebidding</v>
      </c>
      <c r="M842" s="43">
        <f t="array" ref="M842">XLOOKUP($A842,'Recipients REF'!$A:$A,'Recipients REF'!G:G,"",0)</f>
        <v>2</v>
      </c>
      <c r="N842" s="43">
        <f t="array" ref="N842">XLOOKUP($A842,'Recipients REF'!$A:$A,'Recipients REF'!H:H,"",0)</f>
        <v>19003</v>
      </c>
      <c r="O842" s="44" t="s">
        <v>25</v>
      </c>
      <c r="P842" s="45" t="s">
        <v>26</v>
      </c>
      <c r="Q842" s="46" t="str">
        <f t="array" ref="Q842">XLOOKUP($A842,'Recipients REF'!$A:$A,'Recipients REF'!I:I,"",0)</f>
        <v>KMC5825 ACRFPV0456</v>
      </c>
      <c r="R842" s="47" t="str">
        <f t="array" ref="R842">XLOOKUP($A842,'Recipients REF'!$A:$A,'Recipients REF'!J:J,"",0)</f>
        <v>RTS100354</v>
      </c>
      <c r="S842" s="45" t="s">
        <v>27</v>
      </c>
      <c r="T842" s="45" t="s">
        <v>28</v>
      </c>
      <c r="U842" s="46" t="str">
        <f t="array" ref="U842">XLOOKUP($A842,'Recipients REF'!$A:$A,'Recipients REF'!K:K,"",0)</f>
        <v>R-SERIES 373</v>
      </c>
      <c r="V842" s="44" t="s">
        <v>29</v>
      </c>
      <c r="W842" s="45" t="s">
        <v>30</v>
      </c>
      <c r="X842" s="47" t="str">
        <f t="array" ref="X842">XLOOKUP($A842,'Recipients REF'!$A:$A,'Recipients REF'!L:L,"",0)</f>
        <v>LSGW1750-RMP-24020474</v>
      </c>
      <c r="Y842" s="48" t="s">
        <v>29</v>
      </c>
      <c r="Z842" s="48" t="s">
        <v>31</v>
      </c>
      <c r="AA842" s="46" t="str">
        <f t="array" ref="AA842">XLOOKUP($A842,'Recipients REF'!$A:$A,'Recipients REF'!M:M,"",0)</f>
        <v>WDP40-RMP-24050544</v>
      </c>
      <c r="AB842" s="49"/>
      <c r="AC842" s="42"/>
      <c r="AD842" s="42"/>
      <c r="AE842" s="50"/>
      <c r="AF842" s="42"/>
      <c r="AG842" s="42"/>
      <c r="AH842" s="42"/>
      <c r="AI842" s="42" t="str">
        <f t="array" ref="AI842">XLOOKUP($E842,Sheet11!$D:$D,Sheet11!$X:$X,"",0)</f>
        <v/>
      </c>
      <c r="AJ842" s="42" t="str">
        <f t="array" ref="AJ842">XLOOKUP($E842,Sheet11!$D:$D,Sheet11!$Y:$Y,"",0)</f>
        <v/>
      </c>
    </row>
    <row r="843">
      <c r="A843" s="41">
        <v>365.0</v>
      </c>
      <c r="B843" s="42" t="s">
        <v>1653</v>
      </c>
      <c r="C843" s="42" t="s">
        <v>1654</v>
      </c>
      <c r="D843" s="42"/>
      <c r="E843" s="42" t="str">
        <f t="shared" ref="E843:F843" si="844">PROPER(B843)</f>
        <v>Lccc-Lagasit Irrigators Association</v>
      </c>
      <c r="F843" s="42" t="str">
        <f t="shared" si="844"/>
        <v>Lagasit, San Quintin, Pangasinan</v>
      </c>
      <c r="G843" s="42" t="str">
        <f t="shared" si="3"/>
        <v>Lagasit</v>
      </c>
      <c r="H843" s="42" t="str">
        <f t="shared" si="4"/>
        <v>San Quintin</v>
      </c>
      <c r="I843" s="42" t="str">
        <f t="shared" si="5"/>
        <v>Pangasinan</v>
      </c>
      <c r="J843" s="42" t="str">
        <f t="array" ref="J843">XLOOKUP($E843,'Recipients REF'!$B:$B,'Recipients REF'!D:D,"",0)</f>
        <v>Benito H. Obra</v>
      </c>
      <c r="K843" s="42" t="str">
        <f t="array" ref="K843">XLOOKUP($E843,'Recipients REF'!$B:$B,'Recipients REF'!E:E,"",0)</f>
        <v>0930-779-4454</v>
      </c>
      <c r="L843" s="43" t="str">
        <f t="array" ref="L843">XLOOKUP($A843,'Recipients REF'!$A:$A,'Recipients REF'!F:F,"",0)</f>
        <v>RCEF 23-09-21 Rebidding</v>
      </c>
      <c r="M843" s="43">
        <f t="array" ref="M843">XLOOKUP($A843,'Recipients REF'!$A:$A,'Recipients REF'!G:G,"",0)</f>
        <v>2</v>
      </c>
      <c r="N843" s="43">
        <f t="array" ref="N843">XLOOKUP($A843,'Recipients REF'!$A:$A,'Recipients REF'!H:H,"",0)</f>
        <v>19004</v>
      </c>
      <c r="O843" s="44" t="s">
        <v>25</v>
      </c>
      <c r="P843" s="45" t="s">
        <v>26</v>
      </c>
      <c r="Q843" s="46" t="str">
        <f t="array" ref="Q843">XLOOKUP($A843,'Recipients REF'!$A:$A,'Recipients REF'!I:I,"",0)</f>
        <v>KMC5825AVRFPV0328</v>
      </c>
      <c r="R843" s="47" t="str">
        <f t="array" ref="R843">XLOOKUP($A843,'Recipients REF'!$A:$A,'Recipients REF'!J:J,"",0)</f>
        <v>RTS100178</v>
      </c>
      <c r="S843" s="45" t="s">
        <v>27</v>
      </c>
      <c r="T843" s="45" t="s">
        <v>28</v>
      </c>
      <c r="U843" s="46" t="str">
        <f t="array" ref="U843">XLOOKUP($A843,'Recipients REF'!$A:$A,'Recipients REF'!K:K,"",0)</f>
        <v>R-SERIES 367</v>
      </c>
      <c r="V843" s="44" t="s">
        <v>29</v>
      </c>
      <c r="W843" s="45" t="s">
        <v>30</v>
      </c>
      <c r="X843" s="47" t="str">
        <f t="array" ref="X843">XLOOKUP($A843,'Recipients REF'!$A:$A,'Recipients REF'!L:L,"",0)</f>
        <v>LSGW1750-RMP-24020533</v>
      </c>
      <c r="Y843" s="48" t="s">
        <v>29</v>
      </c>
      <c r="Z843" s="48" t="s">
        <v>31</v>
      </c>
      <c r="AA843" s="46" t="str">
        <f t="array" ref="AA843">XLOOKUP($A843,'Recipients REF'!$A:$A,'Recipients REF'!M:M,"",0)</f>
        <v>WDP40-RMP-24040531</v>
      </c>
      <c r="AB843" s="49"/>
      <c r="AC843" s="42"/>
      <c r="AD843" s="42"/>
      <c r="AE843" s="50"/>
      <c r="AF843" s="42"/>
      <c r="AG843" s="42"/>
      <c r="AH843" s="42"/>
      <c r="AI843" s="42" t="str">
        <f t="array" ref="AI843">XLOOKUP($E843,Sheet11!$D:$D,Sheet11!$X:$X,"",0)</f>
        <v/>
      </c>
      <c r="AJ843" s="42" t="str">
        <f t="array" ref="AJ843">XLOOKUP($E843,Sheet11!$D:$D,Sheet11!$Y:$Y,"",0)</f>
        <v/>
      </c>
    </row>
    <row r="844">
      <c r="A844" s="41">
        <v>366.0</v>
      </c>
      <c r="B844" s="42" t="s">
        <v>1655</v>
      </c>
      <c r="C844" s="42" t="s">
        <v>1656</v>
      </c>
      <c r="D844" s="42"/>
      <c r="E844" s="42" t="str">
        <f t="shared" ref="E844:F844" si="845">PROPER(B844)</f>
        <v>Cpcl Alisto Irrigators Association Inc.</v>
      </c>
      <c r="F844" s="42" t="str">
        <f t="shared" si="845"/>
        <v>Pataquid, Santa Maria, Pangasinan</v>
      </c>
      <c r="G844" s="42" t="str">
        <f t="shared" si="3"/>
        <v>Pataquid</v>
      </c>
      <c r="H844" s="42" t="str">
        <f t="shared" si="4"/>
        <v>Santa Maria</v>
      </c>
      <c r="I844" s="42" t="str">
        <f t="shared" si="5"/>
        <v>Pangasinan</v>
      </c>
      <c r="J844" s="42" t="str">
        <f t="array" ref="J844">XLOOKUP($E844,'Recipients REF'!$B:$B,'Recipients REF'!D:D,"",0)</f>
        <v>Jonathan E. Murla</v>
      </c>
      <c r="K844" s="42" t="str">
        <f t="array" ref="K844">XLOOKUP($E844,'Recipients REF'!$B:$B,'Recipients REF'!E:E,"",0)</f>
        <v>0929-785-4909</v>
      </c>
      <c r="L844" s="43" t="str">
        <f t="array" ref="L844">XLOOKUP($A844,'Recipients REF'!$A:$A,'Recipients REF'!F:F,"",0)</f>
        <v>RCEF 23-09-21 Rebidding</v>
      </c>
      <c r="M844" s="43">
        <f t="array" ref="M844">XLOOKUP($A844,'Recipients REF'!$A:$A,'Recipients REF'!G:G,"",0)</f>
        <v>2</v>
      </c>
      <c r="N844" s="43">
        <f t="array" ref="N844">XLOOKUP($A844,'Recipients REF'!$A:$A,'Recipients REF'!H:H,"",0)</f>
        <v>19005</v>
      </c>
      <c r="O844" s="44" t="s">
        <v>25</v>
      </c>
      <c r="P844" s="45" t="s">
        <v>26</v>
      </c>
      <c r="Q844" s="46" t="str">
        <f t="array" ref="Q844">XLOOKUP($A844,'Recipients REF'!$A:$A,'Recipients REF'!I:I,"",0)</f>
        <v>KMC5825AERFPV0397</v>
      </c>
      <c r="R844" s="47" t="str">
        <f t="array" ref="R844">XLOOKUP($A844,'Recipients REF'!$A:$A,'Recipients REF'!J:J,"",0)</f>
        <v>RTS100300</v>
      </c>
      <c r="S844" s="45" t="s">
        <v>27</v>
      </c>
      <c r="T844" s="45" t="s">
        <v>28</v>
      </c>
      <c r="U844" s="46" t="str">
        <f t="array" ref="U844">XLOOKUP($A844,'Recipients REF'!$A:$A,'Recipients REF'!K:K,"",0)</f>
        <v>R-SERIES 382</v>
      </c>
      <c r="V844" s="44" t="s">
        <v>29</v>
      </c>
      <c r="W844" s="45" t="s">
        <v>30</v>
      </c>
      <c r="X844" s="47" t="str">
        <f t="array" ref="X844">XLOOKUP($A844,'Recipients REF'!$A:$A,'Recipients REF'!L:L,"",0)</f>
        <v>LSGW1750-RMP-24020471</v>
      </c>
      <c r="Y844" s="48" t="s">
        <v>29</v>
      </c>
      <c r="Z844" s="48" t="s">
        <v>31</v>
      </c>
      <c r="AA844" s="46" t="str">
        <f t="array" ref="AA844">XLOOKUP($A844,'Recipients REF'!$A:$A,'Recipients REF'!M:M,"",0)</f>
        <v>WDP40-RMP-24040525</v>
      </c>
      <c r="AB844" s="49"/>
      <c r="AC844" s="42"/>
      <c r="AD844" s="42"/>
      <c r="AE844" s="50"/>
      <c r="AF844" s="42"/>
      <c r="AG844" s="42"/>
      <c r="AH844" s="42"/>
      <c r="AI844" s="42" t="str">
        <f t="array" ref="AI844">XLOOKUP($E844,Sheet11!$D:$D,Sheet11!$X:$X,"",0)</f>
        <v/>
      </c>
      <c r="AJ844" s="42" t="str">
        <f t="array" ref="AJ844">XLOOKUP($E844,Sheet11!$D:$D,Sheet11!$Y:$Y,"",0)</f>
        <v/>
      </c>
    </row>
    <row r="845">
      <c r="A845" s="41">
        <v>367.0</v>
      </c>
      <c r="B845" s="42" t="s">
        <v>1657</v>
      </c>
      <c r="C845" s="42" t="s">
        <v>1658</v>
      </c>
      <c r="D845" s="42"/>
      <c r="E845" s="42" t="str">
        <f t="shared" ref="E845:F845" si="846">PROPER(B845)</f>
        <v>Golden Rising Sun Irrigators Association</v>
      </c>
      <c r="F845" s="42" t="str">
        <f t="shared" si="846"/>
        <v>Panganiban, Tayug, Pangasinan</v>
      </c>
      <c r="G845" s="42" t="str">
        <f t="shared" si="3"/>
        <v>Panganiban</v>
      </c>
      <c r="H845" s="42" t="str">
        <f t="shared" si="4"/>
        <v>Tayug</v>
      </c>
      <c r="I845" s="42" t="str">
        <f t="shared" si="5"/>
        <v>Pangasinan</v>
      </c>
      <c r="J845" s="42" t="str">
        <f t="array" ref="J845">XLOOKUP($E845,'Recipients REF'!$B:$B,'Recipients REF'!D:D,"",0)</f>
        <v>Celedenio E. Lopez</v>
      </c>
      <c r="K845" s="42" t="str">
        <f t="array" ref="K845">XLOOKUP($E845,'Recipients REF'!$B:$B,'Recipients REF'!E:E,"",0)</f>
        <v>0963-998-8853</v>
      </c>
      <c r="L845" s="43" t="str">
        <f t="array" ref="L845">XLOOKUP($A845,'Recipients REF'!$A:$A,'Recipients REF'!F:F,"",0)</f>
        <v>RCEF 23-09-21 Rebidding</v>
      </c>
      <c r="M845" s="43">
        <f t="array" ref="M845">XLOOKUP($A845,'Recipients REF'!$A:$A,'Recipients REF'!G:G,"",0)</f>
        <v>2</v>
      </c>
      <c r="N845" s="43">
        <f t="array" ref="N845">XLOOKUP($A845,'Recipients REF'!$A:$A,'Recipients REF'!H:H,"",0)</f>
        <v>19006</v>
      </c>
      <c r="O845" s="44" t="s">
        <v>25</v>
      </c>
      <c r="P845" s="45" t="s">
        <v>26</v>
      </c>
      <c r="Q845" s="46" t="str">
        <f t="array" ref="Q845">XLOOKUP($A845,'Recipients REF'!$A:$A,'Recipients REF'!I:I,"",0)</f>
        <v>KMC5825ALRFPV0378</v>
      </c>
      <c r="R845" s="47" t="str">
        <f t="array" ref="R845">XLOOKUP($A845,'Recipients REF'!$A:$A,'Recipients REF'!J:J,"",0)</f>
        <v>RTS100266</v>
      </c>
      <c r="S845" s="45" t="s">
        <v>27</v>
      </c>
      <c r="T845" s="45" t="s">
        <v>28</v>
      </c>
      <c r="U845" s="46" t="str">
        <f t="array" ref="U845">XLOOKUP($A845,'Recipients REF'!$A:$A,'Recipients REF'!K:K,"",0)</f>
        <v>R-SERIES 402</v>
      </c>
      <c r="V845" s="44" t="s">
        <v>29</v>
      </c>
      <c r="W845" s="45" t="s">
        <v>30</v>
      </c>
      <c r="X845" s="47" t="str">
        <f t="array" ref="X845">XLOOKUP($A845,'Recipients REF'!$A:$A,'Recipients REF'!L:L,"",0)</f>
        <v>LSGW1750-RMP-24020527</v>
      </c>
      <c r="Y845" s="48" t="s">
        <v>29</v>
      </c>
      <c r="Z845" s="48" t="s">
        <v>31</v>
      </c>
      <c r="AA845" s="46" t="str">
        <f t="array" ref="AA845">XLOOKUP($A845,'Recipients REF'!$A:$A,'Recipients REF'!M:M,"",0)</f>
        <v>WDP40-RMP-24040511</v>
      </c>
      <c r="AB845" s="49"/>
      <c r="AC845" s="42"/>
      <c r="AD845" s="42"/>
      <c r="AE845" s="50"/>
      <c r="AF845" s="42"/>
      <c r="AG845" s="42"/>
      <c r="AH845" s="42"/>
      <c r="AI845" s="42" t="str">
        <f t="array" ref="AI845">XLOOKUP($E845,Sheet11!$D:$D,Sheet11!$X:$X,"",0)</f>
        <v/>
      </c>
      <c r="AJ845" s="42" t="str">
        <f t="array" ref="AJ845">XLOOKUP($E845,Sheet11!$D:$D,Sheet11!$Y:$Y,"",0)</f>
        <v/>
      </c>
    </row>
    <row r="846">
      <c r="A846" s="41">
        <v>368.0</v>
      </c>
      <c r="B846" s="42" t="s">
        <v>1659</v>
      </c>
      <c r="C846" s="42" t="s">
        <v>1660</v>
      </c>
      <c r="D846" s="42"/>
      <c r="E846" s="42" t="str">
        <f t="shared" ref="E846:F846" si="847">PROPER(B846)</f>
        <v>Grupo Ti Nagagaget Nga Mannalon Inc.</v>
      </c>
      <c r="F846" s="42" t="str">
        <f t="shared" si="847"/>
        <v>Abot Molina, Umingan, Pangasinan</v>
      </c>
      <c r="G846" s="42" t="str">
        <f t="shared" si="3"/>
        <v>Abot Molina</v>
      </c>
      <c r="H846" s="42" t="str">
        <f t="shared" si="4"/>
        <v>Umingan</v>
      </c>
      <c r="I846" s="42" t="str">
        <f t="shared" si="5"/>
        <v>Pangasinan</v>
      </c>
      <c r="J846" s="42" t="str">
        <f t="array" ref="J846">XLOOKUP($E846,'Recipients REF'!$B:$B,'Recipients REF'!D:D,"",0)</f>
        <v>#N/A</v>
      </c>
      <c r="K846" s="42" t="str">
        <f t="array" ref="K846">XLOOKUP($E846,'Recipients REF'!$B:$B,'Recipients REF'!E:E,"",0)</f>
        <v>#N/A</v>
      </c>
      <c r="L846" s="43" t="str">
        <f t="array" ref="L846">XLOOKUP($A846,'Recipients REF'!$A:$A,'Recipients REF'!F:F,"",0)</f>
        <v>RCEF 23-09-21 Rebidding</v>
      </c>
      <c r="M846" s="43">
        <f t="array" ref="M846">XLOOKUP($A846,'Recipients REF'!$A:$A,'Recipients REF'!G:G,"",0)</f>
        <v>2</v>
      </c>
      <c r="N846" s="43">
        <f t="array" ref="N846">XLOOKUP($A846,'Recipients REF'!$A:$A,'Recipients REF'!H:H,"",0)</f>
        <v>19007</v>
      </c>
      <c r="O846" s="44" t="s">
        <v>25</v>
      </c>
      <c r="P846" s="45" t="s">
        <v>26</v>
      </c>
      <c r="Q846" s="46" t="str">
        <f t="array" ref="Q846">XLOOKUP($A846,'Recipients REF'!$A:$A,'Recipients REF'!I:I,"",0)</f>
        <v>KMC5825AVRFPV0457</v>
      </c>
      <c r="R846" s="47" t="str">
        <f t="array" ref="R846">XLOOKUP($A846,'Recipients REF'!$A:$A,'Recipients REF'!J:J,"",0)</f>
        <v>RTS100355</v>
      </c>
      <c r="S846" s="45" t="s">
        <v>27</v>
      </c>
      <c r="T846" s="45" t="s">
        <v>28</v>
      </c>
      <c r="U846" s="46" t="str">
        <f t="array" ref="U846">XLOOKUP($A846,'Recipients REF'!$A:$A,'Recipients REF'!K:K,"",0)</f>
        <v>R-SERIES 401</v>
      </c>
      <c r="V846" s="44" t="s">
        <v>29</v>
      </c>
      <c r="W846" s="45" t="s">
        <v>30</v>
      </c>
      <c r="X846" s="47" t="str">
        <f t="array" ref="X846">XLOOKUP($A846,'Recipients REF'!$A:$A,'Recipients REF'!L:L,"",0)</f>
        <v>LSGW1750-RMP-24020537</v>
      </c>
      <c r="Y846" s="48" t="s">
        <v>29</v>
      </c>
      <c r="Z846" s="48" t="s">
        <v>31</v>
      </c>
      <c r="AA846" s="46" t="str">
        <f t="array" ref="AA846">XLOOKUP($A846,'Recipients REF'!$A:$A,'Recipients REF'!M:M,"",0)</f>
        <v>WDP40-RMP-24040523</v>
      </c>
      <c r="AB846" s="49"/>
      <c r="AC846" s="42"/>
      <c r="AD846" s="42"/>
      <c r="AE846" s="50"/>
      <c r="AF846" s="42"/>
      <c r="AG846" s="42"/>
      <c r="AH846" s="42"/>
      <c r="AI846" s="42" t="str">
        <f t="array" ref="AI846">XLOOKUP($E846,Sheet11!$D:$D,Sheet11!$X:$X,"",0)</f>
        <v/>
      </c>
      <c r="AJ846" s="42" t="str">
        <f t="array" ref="AJ846">XLOOKUP($E846,Sheet11!$D:$D,Sheet11!$Y:$Y,"",0)</f>
        <v/>
      </c>
    </row>
    <row r="847">
      <c r="A847" s="41">
        <v>369.0</v>
      </c>
      <c r="B847" s="42" t="s">
        <v>1661</v>
      </c>
      <c r="C847" s="42" t="s">
        <v>1662</v>
      </c>
      <c r="D847" s="42"/>
      <c r="E847" s="42" t="str">
        <f t="shared" ref="E847:F847" si="848">PROPER(B847)</f>
        <v>Baracbac Arb And Farmers Association Inc.</v>
      </c>
      <c r="F847" s="42" t="str">
        <f t="shared" si="848"/>
        <v>Baracbac, Umingan, Pangasinan</v>
      </c>
      <c r="G847" s="42" t="str">
        <f t="shared" si="3"/>
        <v>Baracbac</v>
      </c>
      <c r="H847" s="42" t="str">
        <f t="shared" si="4"/>
        <v>Umingan</v>
      </c>
      <c r="I847" s="42" t="str">
        <f t="shared" si="5"/>
        <v>Pangasinan</v>
      </c>
      <c r="J847" s="42" t="str">
        <f t="array" ref="J847">XLOOKUP($E847,'Recipients REF'!$B:$B,'Recipients REF'!D:D,"",0)</f>
        <v>#N/A</v>
      </c>
      <c r="K847" s="42" t="str">
        <f t="array" ref="K847">XLOOKUP($E847,'Recipients REF'!$B:$B,'Recipients REF'!E:E,"",0)</f>
        <v>#N/A</v>
      </c>
      <c r="L847" s="43" t="str">
        <f t="array" ref="L847">XLOOKUP($A847,'Recipients REF'!$A:$A,'Recipients REF'!F:F,"",0)</f>
        <v>RCEF 23-09-21 Rebidding</v>
      </c>
      <c r="M847" s="43">
        <f t="array" ref="M847">XLOOKUP($A847,'Recipients REF'!$A:$A,'Recipients REF'!G:G,"",0)</f>
        <v>2</v>
      </c>
      <c r="N847" s="43">
        <f t="array" ref="N847">XLOOKUP($A847,'Recipients REF'!$A:$A,'Recipients REF'!H:H,"",0)</f>
        <v>19008</v>
      </c>
      <c r="O847" s="44" t="s">
        <v>25</v>
      </c>
      <c r="P847" s="45" t="s">
        <v>26</v>
      </c>
      <c r="Q847" s="46" t="str">
        <f t="array" ref="Q847">XLOOKUP($A847,'Recipients REF'!$A:$A,'Recipients REF'!I:I,"",0)</f>
        <v>KMC5825ATRFPV0371</v>
      </c>
      <c r="R847" s="47" t="str">
        <f t="array" ref="R847">XLOOKUP($A847,'Recipients REF'!$A:$A,'Recipients REF'!J:J,"",0)</f>
        <v>RTS100283</v>
      </c>
      <c r="S847" s="45" t="s">
        <v>27</v>
      </c>
      <c r="T847" s="45" t="s">
        <v>28</v>
      </c>
      <c r="U847" s="46" t="str">
        <f t="array" ref="U847">XLOOKUP($A847,'Recipients REF'!$A:$A,'Recipients REF'!K:K,"",0)</f>
        <v>R-SERIES 370 PH</v>
      </c>
      <c r="V847" s="44" t="s">
        <v>29</v>
      </c>
      <c r="W847" s="45" t="s">
        <v>30</v>
      </c>
      <c r="X847" s="47" t="str">
        <f t="array" ref="X847">XLOOKUP($A847,'Recipients REF'!$A:$A,'Recipients REF'!L:L,"",0)</f>
        <v>LSGW1750-RMP-24020505</v>
      </c>
      <c r="Y847" s="48" t="s">
        <v>29</v>
      </c>
      <c r="Z847" s="48" t="s">
        <v>31</v>
      </c>
      <c r="AA847" s="46" t="str">
        <f t="array" ref="AA847">XLOOKUP($A847,'Recipients REF'!$A:$A,'Recipients REF'!M:M,"",0)</f>
        <v>WDP-40-RMP-24040537</v>
      </c>
      <c r="AB847" s="49"/>
      <c r="AC847" s="42"/>
      <c r="AD847" s="42"/>
      <c r="AE847" s="50"/>
      <c r="AF847" s="42"/>
      <c r="AG847" s="42"/>
      <c r="AH847" s="42"/>
      <c r="AI847" s="42" t="str">
        <f t="array" ref="AI847">XLOOKUP($E847,Sheet11!$D:$D,Sheet11!$X:$X,"",0)</f>
        <v/>
      </c>
      <c r="AJ847" s="42" t="str">
        <f t="array" ref="AJ847">XLOOKUP($E847,Sheet11!$D:$D,Sheet11!$Y:$Y,"",0)</f>
        <v/>
      </c>
    </row>
    <row r="848">
      <c r="A848" s="41">
        <v>460.0</v>
      </c>
      <c r="B848" s="42" t="s">
        <v>1663</v>
      </c>
      <c r="C848" s="42" t="s">
        <v>1664</v>
      </c>
      <c r="D848" s="42"/>
      <c r="E848" s="42" t="str">
        <f t="shared" ref="E848:F848" si="849">PROPER(B848)</f>
        <v>Asingan Mitura Farmers Irrigators Association</v>
      </c>
      <c r="F848" s="42" t="str">
        <f t="shared" si="849"/>
        <v>Sobol, Asingan, Pangasinan</v>
      </c>
      <c r="G848" s="42" t="str">
        <f t="shared" si="3"/>
        <v>Sobol</v>
      </c>
      <c r="H848" s="42" t="str">
        <f t="shared" si="4"/>
        <v>Asingan</v>
      </c>
      <c r="I848" s="42" t="str">
        <f t="shared" si="5"/>
        <v>Pangasinan</v>
      </c>
      <c r="J848" s="42" t="str">
        <f t="array" ref="J848">XLOOKUP($E848,'Recipients REF'!$B:$B,'Recipients REF'!D:D,"",0)</f>
        <v>#N/A</v>
      </c>
      <c r="K848" s="42" t="str">
        <f t="array" ref="K848">XLOOKUP($E848,'Recipients REF'!$B:$B,'Recipients REF'!E:E,"",0)</f>
        <v>#N/A</v>
      </c>
      <c r="L848" s="43" t="str">
        <f t="array" ref="L848">XLOOKUP($A848,'Recipients REF'!$A:$A,'Recipients REF'!F:F,"",0)</f>
        <v>RCEF 23-09-21 Rebidding</v>
      </c>
      <c r="M848" s="43">
        <f t="array" ref="M848">XLOOKUP($A848,'Recipients REF'!$A:$A,'Recipients REF'!G:G,"",0)</f>
        <v>2</v>
      </c>
      <c r="N848" s="43">
        <f t="array" ref="N848">XLOOKUP($A848,'Recipients REF'!$A:$A,'Recipients REF'!H:H,"",0)</f>
        <v>19467</v>
      </c>
      <c r="O848" s="44" t="s">
        <v>25</v>
      </c>
      <c r="P848" s="45" t="s">
        <v>26</v>
      </c>
      <c r="Q848" s="46" t="str">
        <f t="array" ref="Q848">XLOOKUP($A848,'Recipients REF'!$A:$A,'Recipients REF'!I:I,"",0)</f>
        <v>KMC5825AHRFPV0561</v>
      </c>
      <c r="R848" s="47" t="str">
        <f t="array" ref="R848">XLOOKUP($A848,'Recipients REF'!$A:$A,'Recipients REF'!J:J,"",0)</f>
        <v>RTS100464</v>
      </c>
      <c r="S848" s="45" t="s">
        <v>27</v>
      </c>
      <c r="T848" s="45" t="s">
        <v>28</v>
      </c>
      <c r="U848" s="46" t="str">
        <f t="array" ref="U848">XLOOKUP($A848,'Recipients REF'!$A:$A,'Recipients REF'!K:K,"",0)</f>
        <v>R-SERIES 765PH</v>
      </c>
      <c r="V848" s="44" t="s">
        <v>29</v>
      </c>
      <c r="W848" s="45" t="s">
        <v>30</v>
      </c>
      <c r="X848" s="47" t="str">
        <f t="array" ref="X848">XLOOKUP($A848,'Recipients REF'!$A:$A,'Recipients REF'!L:L,"",0)</f>
        <v>LSGW1750-RMP-24020538</v>
      </c>
      <c r="Y848" s="48" t="s">
        <v>29</v>
      </c>
      <c r="Z848" s="48" t="s">
        <v>31</v>
      </c>
      <c r="AA848" s="46" t="str">
        <f t="array" ref="AA848">XLOOKUP($A848,'Recipients REF'!$A:$A,'Recipients REF'!M:M,"",0)</f>
        <v>WDP40-RMP-24050550</v>
      </c>
      <c r="AB848" s="49"/>
      <c r="AC848" s="42"/>
      <c r="AD848" s="42"/>
      <c r="AE848" s="50"/>
      <c r="AF848" s="42"/>
      <c r="AG848" s="42"/>
      <c r="AH848" s="42"/>
      <c r="AI848" s="42" t="str">
        <f t="array" ref="AI848">XLOOKUP($E848,Sheet11!$D:$D,Sheet11!$X:$X,"",0)</f>
        <v/>
      </c>
      <c r="AJ848" s="42" t="str">
        <f t="array" ref="AJ848">XLOOKUP($E848,Sheet11!$D:$D,Sheet11!$Y:$Y,"",0)</f>
        <v/>
      </c>
    </row>
    <row r="849">
      <c r="A849" s="41">
        <v>461.0</v>
      </c>
      <c r="B849" s="42" t="s">
        <v>1665</v>
      </c>
      <c r="C849" s="42" t="s">
        <v>1666</v>
      </c>
      <c r="D849" s="42"/>
      <c r="E849" s="42" t="str">
        <f t="shared" ref="E849:F849" si="850">PROPER(B849)</f>
        <v>Seven Barangays Of Mangatarem Irrigators Association, Inc.</v>
      </c>
      <c r="F849" s="42" t="str">
        <f t="shared" si="850"/>
        <v>, Mangatarem, Pangasinan</v>
      </c>
      <c r="G849" s="42" t="str">
        <f t="shared" si="3"/>
        <v/>
      </c>
      <c r="H849" s="42" t="str">
        <f t="shared" si="4"/>
        <v>Mangatarem</v>
      </c>
      <c r="I849" s="42" t="str">
        <f t="shared" si="5"/>
        <v>Pangasinan</v>
      </c>
      <c r="J849" s="42" t="str">
        <f t="array" ref="J849">XLOOKUP($E849,'Recipients REF'!$B:$B,'Recipients REF'!D:D,"",0)</f>
        <v>#N/A</v>
      </c>
      <c r="K849" s="42" t="str">
        <f t="array" ref="K849">XLOOKUP($E849,'Recipients REF'!$B:$B,'Recipients REF'!E:E,"",0)</f>
        <v>#N/A</v>
      </c>
      <c r="L849" s="43" t="str">
        <f t="array" ref="L849">XLOOKUP($A849,'Recipients REF'!$A:$A,'Recipients REF'!F:F,"",0)</f>
        <v>RCEF 23-09-21 Rebidding</v>
      </c>
      <c r="M849" s="43">
        <f t="array" ref="M849">XLOOKUP($A849,'Recipients REF'!$A:$A,'Recipients REF'!G:G,"",0)</f>
        <v>2</v>
      </c>
      <c r="N849" s="43">
        <f t="array" ref="N849">XLOOKUP($A849,'Recipients REF'!$A:$A,'Recipients REF'!H:H,"",0)</f>
        <v>19468</v>
      </c>
      <c r="O849" s="44" t="s">
        <v>25</v>
      </c>
      <c r="P849" s="45" t="s">
        <v>26</v>
      </c>
      <c r="Q849" s="46" t="str">
        <f t="array" ref="Q849">XLOOKUP($A849,'Recipients REF'!$A:$A,'Recipients REF'!I:I,"",0)</f>
        <v>KMC5825APRFPV0565</v>
      </c>
      <c r="R849" s="47" t="str">
        <f t="array" ref="R849">XLOOKUP($A849,'Recipients REF'!$A:$A,'Recipients REF'!J:J,"",0)</f>
        <v>RTS100460</v>
      </c>
      <c r="S849" s="45" t="s">
        <v>27</v>
      </c>
      <c r="T849" s="45" t="s">
        <v>28</v>
      </c>
      <c r="U849" s="46" t="str">
        <f t="array" ref="U849">XLOOKUP($A849,'Recipients REF'!$A:$A,'Recipients REF'!K:K,"",0)</f>
        <v>R-SERIES 863PH</v>
      </c>
      <c r="V849" s="44" t="s">
        <v>29</v>
      </c>
      <c r="W849" s="45" t="s">
        <v>30</v>
      </c>
      <c r="X849" s="47" t="str">
        <f t="array" ref="X849">XLOOKUP($A849,'Recipients REF'!$A:$A,'Recipients REF'!L:L,"",0)</f>
        <v>LSGW1750-RMP-24020524</v>
      </c>
      <c r="Y849" s="48" t="s">
        <v>29</v>
      </c>
      <c r="Z849" s="48" t="s">
        <v>31</v>
      </c>
      <c r="AA849" s="46" t="str">
        <f t="array" ref="AA849">XLOOKUP($A849,'Recipients REF'!$A:$A,'Recipients REF'!M:M,"",0)</f>
        <v>WDP40-RMP-24050552</v>
      </c>
      <c r="AB849" s="49"/>
      <c r="AC849" s="42"/>
      <c r="AD849" s="42"/>
      <c r="AE849" s="50"/>
      <c r="AF849" s="42"/>
      <c r="AG849" s="42"/>
      <c r="AH849" s="42"/>
      <c r="AI849" s="42" t="str">
        <f t="array" ref="AI849">XLOOKUP($E849,Sheet11!$D:$D,Sheet11!$X:$X,"",0)</f>
        <v/>
      </c>
      <c r="AJ849" s="42" t="str">
        <f t="array" ref="AJ849">XLOOKUP($E849,Sheet11!$D:$D,Sheet11!$Y:$Y,"",0)</f>
        <v/>
      </c>
    </row>
    <row r="850">
      <c r="A850" s="41">
        <v>462.0</v>
      </c>
      <c r="B850" s="42" t="s">
        <v>1667</v>
      </c>
      <c r="C850" s="42" t="s">
        <v>1668</v>
      </c>
      <c r="D850" s="42"/>
      <c r="E850" s="42" t="str">
        <f t="shared" ref="E850:F850" si="851">PROPER(B850)</f>
        <v>Kabagis Farmers Agriculture Cooperative</v>
      </c>
      <c r="F850" s="42" t="str">
        <f t="shared" si="851"/>
        <v>, Natividad, Pangasinan</v>
      </c>
      <c r="G850" s="42" t="str">
        <f t="shared" si="3"/>
        <v/>
      </c>
      <c r="H850" s="42" t="str">
        <f t="shared" si="4"/>
        <v>Natividad</v>
      </c>
      <c r="I850" s="42" t="str">
        <f t="shared" si="5"/>
        <v>Pangasinan</v>
      </c>
      <c r="J850" s="42" t="str">
        <f t="array" ref="J850">XLOOKUP($E850,'Recipients REF'!$B:$B,'Recipients REF'!D:D,"",0)</f>
        <v>Lemuel P. Lampa</v>
      </c>
      <c r="K850" s="42" t="str">
        <f t="array" ref="K850">XLOOKUP($E850,'Recipients REF'!$B:$B,'Recipients REF'!E:E,"",0)</f>
        <v>0927-587-4044</v>
      </c>
      <c r="L850" s="43" t="str">
        <f t="array" ref="L850">XLOOKUP($A850,'Recipients REF'!$A:$A,'Recipients REF'!F:F,"",0)</f>
        <v>RCEF 23-09-21 Rebidding</v>
      </c>
      <c r="M850" s="43">
        <f t="array" ref="M850">XLOOKUP($A850,'Recipients REF'!$A:$A,'Recipients REF'!G:G,"",0)</f>
        <v>2</v>
      </c>
      <c r="N850" s="43">
        <f t="array" ref="N850">XLOOKUP($A850,'Recipients REF'!$A:$A,'Recipients REF'!H:H,"",0)</f>
        <v>19469</v>
      </c>
      <c r="O850" s="44" t="s">
        <v>25</v>
      </c>
      <c r="P850" s="45" t="s">
        <v>26</v>
      </c>
      <c r="Q850" s="46" t="str">
        <f t="array" ref="Q850">XLOOKUP($A850,'Recipients REF'!$A:$A,'Recipients REF'!I:I,"",0)</f>
        <v>KMC5825AERFPV0545</v>
      </c>
      <c r="R850" s="47" t="str">
        <f t="array" ref="R850">XLOOKUP($A850,'Recipients REF'!$A:$A,'Recipients REF'!J:J,"",0)</f>
        <v>RTS100444</v>
      </c>
      <c r="S850" s="45" t="s">
        <v>27</v>
      </c>
      <c r="T850" s="45" t="s">
        <v>28</v>
      </c>
      <c r="U850" s="46" t="str">
        <f t="array" ref="U850">XLOOKUP($A850,'Recipients REF'!$A:$A,'Recipients REF'!K:K,"",0)</f>
        <v>R-SERIES 869PH</v>
      </c>
      <c r="V850" s="44" t="s">
        <v>29</v>
      </c>
      <c r="W850" s="45" t="s">
        <v>30</v>
      </c>
      <c r="X850" s="47" t="str">
        <f t="array" ref="X850">XLOOKUP($A850,'Recipients REF'!$A:$A,'Recipients REF'!L:L,"",0)</f>
        <v>LSGW1750-RMP-24020507</v>
      </c>
      <c r="Y850" s="48" t="s">
        <v>29</v>
      </c>
      <c r="Z850" s="48" t="s">
        <v>31</v>
      </c>
      <c r="AA850" s="46" t="str">
        <f t="array" ref="AA850">XLOOKUP($A850,'Recipients REF'!$A:$A,'Recipients REF'!M:M,"",0)</f>
        <v>WDP40-RMP-24050545</v>
      </c>
      <c r="AB850" s="49"/>
      <c r="AC850" s="42"/>
      <c r="AD850" s="42"/>
      <c r="AE850" s="50"/>
      <c r="AF850" s="42"/>
      <c r="AG850" s="42"/>
      <c r="AH850" s="42"/>
      <c r="AI850" s="42" t="str">
        <f t="array" ref="AI850">XLOOKUP($E850,Sheet11!$D:$D,Sheet11!$X:$X,"",0)</f>
        <v/>
      </c>
      <c r="AJ850" s="42" t="str">
        <f t="array" ref="AJ850">XLOOKUP($E850,Sheet11!$D:$D,Sheet11!$Y:$Y,"",0)</f>
        <v/>
      </c>
    </row>
    <row r="851">
      <c r="A851" s="41">
        <v>463.0</v>
      </c>
      <c r="B851" s="42" t="s">
        <v>1669</v>
      </c>
      <c r="C851" s="42" t="s">
        <v>1670</v>
      </c>
      <c r="D851" s="42"/>
      <c r="E851" s="42" t="str">
        <f t="shared" ref="E851:F851" si="852">PROPER(B851)</f>
        <v>Pangasinan Farmers Agriculture Cooperative</v>
      </c>
      <c r="F851" s="42" t="str">
        <f t="shared" si="852"/>
        <v>, Umingan, Pangasinan</v>
      </c>
      <c r="G851" s="42" t="str">
        <f t="shared" si="3"/>
        <v/>
      </c>
      <c r="H851" s="42" t="str">
        <f t="shared" si="4"/>
        <v>Umingan</v>
      </c>
      <c r="I851" s="42" t="str">
        <f t="shared" si="5"/>
        <v>Pangasinan</v>
      </c>
      <c r="J851" s="42" t="str">
        <f t="array" ref="J851">XLOOKUP($E851,'Recipients REF'!$B:$B,'Recipients REF'!D:D,"",0)</f>
        <v>Gregorio L. Belmoro</v>
      </c>
      <c r="K851" s="42" t="str">
        <f t="array" ref="K851">XLOOKUP($E851,'Recipients REF'!$B:$B,'Recipients REF'!E:E,"",0)</f>
        <v>0999-332-5063</v>
      </c>
      <c r="L851" s="43" t="str">
        <f t="array" ref="L851">XLOOKUP($A851,'Recipients REF'!$A:$A,'Recipients REF'!F:F,"",0)</f>
        <v>RCEF 23-09-21 Rebidding</v>
      </c>
      <c r="M851" s="43">
        <f t="array" ref="M851">XLOOKUP($A851,'Recipients REF'!$A:$A,'Recipients REF'!G:G,"",0)</f>
        <v>2</v>
      </c>
      <c r="N851" s="43">
        <f t="array" ref="N851">XLOOKUP($A851,'Recipients REF'!$A:$A,'Recipients REF'!H:H,"",0)</f>
        <v>19470</v>
      </c>
      <c r="O851" s="44" t="s">
        <v>25</v>
      </c>
      <c r="P851" s="45" t="s">
        <v>26</v>
      </c>
      <c r="Q851" s="46" t="str">
        <f t="array" ref="Q851">XLOOKUP($A851,'Recipients REF'!$A:$A,'Recipients REF'!I:I,"",0)</f>
        <v>KMC5825APRFPV0579</v>
      </c>
      <c r="R851" s="47" t="str">
        <f t="array" ref="R851">XLOOKUP($A851,'Recipients REF'!$A:$A,'Recipients REF'!J:J,"",0)</f>
        <v>RTS100495</v>
      </c>
      <c r="S851" s="45" t="s">
        <v>27</v>
      </c>
      <c r="T851" s="45" t="s">
        <v>28</v>
      </c>
      <c r="U851" s="46" t="str">
        <f t="array" ref="U851">XLOOKUP($A851,'Recipients REF'!$A:$A,'Recipients REF'!K:K,"",0)</f>
        <v>R-SERIES 963PH</v>
      </c>
      <c r="V851" s="44" t="s">
        <v>29</v>
      </c>
      <c r="W851" s="45" t="s">
        <v>30</v>
      </c>
      <c r="X851" s="47" t="str">
        <f t="array" ref="X851">XLOOKUP($A851,'Recipients REF'!$A:$A,'Recipients REF'!L:L,"",0)</f>
        <v>LSGW1750-RMP-24020516</v>
      </c>
      <c r="Y851" s="48" t="s">
        <v>29</v>
      </c>
      <c r="Z851" s="48" t="s">
        <v>31</v>
      </c>
      <c r="AA851" s="46" t="str">
        <f t="array" ref="AA851">XLOOKUP($A851,'Recipients REF'!$A:$A,'Recipients REF'!M:M,"",0)</f>
        <v>WDP40-RMP-24040507</v>
      </c>
      <c r="AB851" s="49"/>
      <c r="AC851" s="42"/>
      <c r="AD851" s="42"/>
      <c r="AE851" s="50"/>
      <c r="AF851" s="42"/>
      <c r="AG851" s="42"/>
      <c r="AH851" s="42"/>
      <c r="AI851" s="42" t="str">
        <f t="array" ref="AI851">XLOOKUP($E851,Sheet11!$D:$D,Sheet11!$X:$X,"",0)</f>
        <v/>
      </c>
      <c r="AJ851" s="42" t="str">
        <f t="array" ref="AJ851">XLOOKUP($E851,Sheet11!$D:$D,Sheet11!$Y:$Y,"",0)</f>
        <v/>
      </c>
    </row>
    <row r="852">
      <c r="A852" s="41">
        <v>464.0</v>
      </c>
      <c r="B852" s="42" t="s">
        <v>1671</v>
      </c>
      <c r="C852" s="42" t="s">
        <v>1672</v>
      </c>
      <c r="D852" s="42"/>
      <c r="E852" s="42" t="str">
        <f t="shared" ref="E852:F852" si="853">PROPER(B852)</f>
        <v>Anolid Guantang Farmers Association Inc</v>
      </c>
      <c r="F852" s="42" t="str">
        <f t="shared" si="853"/>
        <v>Anolid, Mangaldan, Pangasinan</v>
      </c>
      <c r="G852" s="42" t="str">
        <f t="shared" si="3"/>
        <v>Anolid</v>
      </c>
      <c r="H852" s="42" t="str">
        <f t="shared" si="4"/>
        <v>Mangaldan</v>
      </c>
      <c r="I852" s="42" t="str">
        <f t="shared" si="5"/>
        <v>Pangasinan</v>
      </c>
      <c r="J852" s="42" t="str">
        <f t="array" ref="J852">XLOOKUP($E852,'Recipients REF'!$B:$B,'Recipients REF'!D:D,"",0)</f>
        <v>Mario A. Flores</v>
      </c>
      <c r="K852" s="42" t="str">
        <f t="array" ref="K852">XLOOKUP($E852,'Recipients REF'!$B:$B,'Recipients REF'!E:E,"",0)</f>
        <v>0928 163 9958</v>
      </c>
      <c r="L852" s="43" t="str">
        <f t="array" ref="L852">XLOOKUP($A852,'Recipients REF'!$A:$A,'Recipients REF'!F:F,"",0)</f>
        <v>RCEF 23-09-21 Rebidding</v>
      </c>
      <c r="M852" s="43">
        <f t="array" ref="M852">XLOOKUP($A852,'Recipients REF'!$A:$A,'Recipients REF'!G:G,"",0)</f>
        <v>2</v>
      </c>
      <c r="N852" s="43">
        <f t="array" ref="N852">XLOOKUP($A852,'Recipients REF'!$A:$A,'Recipients REF'!H:H,"",0)</f>
        <v>19471</v>
      </c>
      <c r="O852" s="44" t="s">
        <v>25</v>
      </c>
      <c r="P852" s="45" t="s">
        <v>26</v>
      </c>
      <c r="Q852" s="46" t="str">
        <f t="array" ref="Q852">XLOOKUP($A852,'Recipients REF'!$A:$A,'Recipients REF'!I:I,"",0)</f>
        <v>KMC5825ACRFPV0384</v>
      </c>
      <c r="R852" s="47" t="str">
        <f t="array" ref="R852">XLOOKUP($A852,'Recipients REF'!$A:$A,'Recipients REF'!J:J,"",0)</f>
        <v>RTS100227</v>
      </c>
      <c r="S852" s="45" t="s">
        <v>27</v>
      </c>
      <c r="T852" s="45" t="s">
        <v>28</v>
      </c>
      <c r="U852" s="46" t="str">
        <f t="array" ref="U852">XLOOKUP($A852,'Recipients REF'!$A:$A,'Recipients REF'!K:K,"",0)</f>
        <v>R-SERIES 397</v>
      </c>
      <c r="V852" s="44" t="s">
        <v>29</v>
      </c>
      <c r="W852" s="45" t="s">
        <v>30</v>
      </c>
      <c r="X852" s="47" t="str">
        <f t="array" ref="X852">XLOOKUP($A852,'Recipients REF'!$A:$A,'Recipients REF'!L:L,"",0)</f>
        <v>LSGW1750-RMP-24020499</v>
      </c>
      <c r="Y852" s="48" t="s">
        <v>29</v>
      </c>
      <c r="Z852" s="48" t="s">
        <v>31</v>
      </c>
      <c r="AA852" s="46" t="str">
        <f t="array" ref="AA852">XLOOKUP($A852,'Recipients REF'!$A:$A,'Recipients REF'!M:M,"",0)</f>
        <v>WDP40-RMP-24040521</v>
      </c>
      <c r="AB852" s="49"/>
      <c r="AC852" s="42"/>
      <c r="AD852" s="42"/>
      <c r="AE852" s="50"/>
      <c r="AF852" s="42"/>
      <c r="AG852" s="42"/>
      <c r="AH852" s="42"/>
      <c r="AI852" s="42" t="str">
        <f t="array" ref="AI852">XLOOKUP($E852,Sheet11!$D:$D,Sheet11!$X:$X,"",0)</f>
        <v/>
      </c>
      <c r="AJ852" s="42" t="str">
        <f t="array" ref="AJ852">XLOOKUP($E852,Sheet11!$D:$D,Sheet11!$Y:$Y,"",0)</f>
        <v/>
      </c>
    </row>
    <row r="853">
      <c r="A853" s="41">
        <v>465.0</v>
      </c>
      <c r="B853" s="42" t="s">
        <v>1673</v>
      </c>
      <c r="C853" s="42" t="s">
        <v>1674</v>
      </c>
      <c r="D853" s="42"/>
      <c r="E853" s="42" t="str">
        <f t="shared" ref="E853:F853" si="854">PROPER(B853)</f>
        <v>Bued-Cabilocaan Irrigators Association, Inc.</v>
      </c>
      <c r="F853" s="42" t="str">
        <f t="shared" si="854"/>
        <v>Cabilocaan, Calasiao, Pangasinan</v>
      </c>
      <c r="G853" s="42" t="str">
        <f t="shared" si="3"/>
        <v>Cabilocaan</v>
      </c>
      <c r="H853" s="42" t="str">
        <f t="shared" si="4"/>
        <v>Calasiao</v>
      </c>
      <c r="I853" s="42" t="str">
        <f t="shared" si="5"/>
        <v>Pangasinan</v>
      </c>
      <c r="J853" s="42" t="str">
        <f t="array" ref="J853">XLOOKUP($E853,'Recipients REF'!$B:$B,'Recipients REF'!D:D,"",0)</f>
        <v>Ronnie G. Gabrillo</v>
      </c>
      <c r="K853" s="42">
        <f t="array" ref="K853">XLOOKUP($E853,'Recipients REF'!$B:$B,'Recipients REF'!E:E,"",0)</f>
        <v>9232175006</v>
      </c>
      <c r="L853" s="43" t="str">
        <f t="array" ref="L853">XLOOKUP($A853,'Recipients REF'!$A:$A,'Recipients REF'!F:F,"",0)</f>
        <v>RCEF 23-09-21 Rebidding</v>
      </c>
      <c r="M853" s="43">
        <f t="array" ref="M853">XLOOKUP($A853,'Recipients REF'!$A:$A,'Recipients REF'!G:G,"",0)</f>
        <v>2</v>
      </c>
      <c r="N853" s="43">
        <f t="array" ref="N853">XLOOKUP($A853,'Recipients REF'!$A:$A,'Recipients REF'!H:H,"",0)</f>
        <v>19472</v>
      </c>
      <c r="O853" s="44" t="s">
        <v>25</v>
      </c>
      <c r="P853" s="45" t="s">
        <v>26</v>
      </c>
      <c r="Q853" s="46" t="str">
        <f t="array" ref="Q853">XLOOKUP($A853,'Recipients REF'!$A:$A,'Recipients REF'!I:I,"",0)</f>
        <v>KMC5825AVRFPV0393</v>
      </c>
      <c r="R853" s="47" t="str">
        <f t="array" ref="R853">XLOOKUP($A853,'Recipients REF'!$A:$A,'Recipients REF'!J:J,"",0)</f>
        <v>RTS100294</v>
      </c>
      <c r="S853" s="45" t="s">
        <v>27</v>
      </c>
      <c r="T853" s="45" t="s">
        <v>28</v>
      </c>
      <c r="U853" s="46" t="str">
        <f t="array" ref="U853">XLOOKUP($A853,'Recipients REF'!$A:$A,'Recipients REF'!K:K,"",0)</f>
        <v>R-SERIES 376</v>
      </c>
      <c r="V853" s="44" t="s">
        <v>29</v>
      </c>
      <c r="W853" s="45" t="s">
        <v>30</v>
      </c>
      <c r="X853" s="47" t="str">
        <f t="array" ref="X853">XLOOKUP($A853,'Recipients REF'!$A:$A,'Recipients REF'!L:L,"",0)</f>
        <v>LSGW1750-RMP-24020435</v>
      </c>
      <c r="Y853" s="48" t="s">
        <v>29</v>
      </c>
      <c r="Z853" s="48" t="s">
        <v>31</v>
      </c>
      <c r="AA853" s="46" t="str">
        <f t="array" ref="AA853">XLOOKUP($A853,'Recipients REF'!$A:$A,'Recipients REF'!M:M,"",0)</f>
        <v>WDP40-RMP-24040505</v>
      </c>
      <c r="AB853" s="49"/>
      <c r="AC853" s="42"/>
      <c r="AD853" s="42"/>
      <c r="AE853" s="50"/>
      <c r="AF853" s="42"/>
      <c r="AG853" s="42"/>
      <c r="AH853" s="42"/>
      <c r="AI853" s="42" t="str">
        <f t="array" ref="AI853">XLOOKUP($E853,Sheet11!$D:$D,Sheet11!$X:$X,"",0)</f>
        <v/>
      </c>
      <c r="AJ853" s="42" t="str">
        <f t="array" ref="AJ853">XLOOKUP($E853,Sheet11!$D:$D,Sheet11!$Y:$Y,"",0)</f>
        <v/>
      </c>
    </row>
    <row r="854">
      <c r="A854" s="41">
        <v>466.0</v>
      </c>
      <c r="B854" s="42" t="s">
        <v>1675</v>
      </c>
      <c r="C854" s="42" t="s">
        <v>1676</v>
      </c>
      <c r="D854" s="42"/>
      <c r="E854" s="42" t="str">
        <f t="shared" ref="E854:F854" si="855">PROPER(B854)</f>
        <v>Buyan, Centro I-Ii Lobong San Jacinto Farmers Association Inc</v>
      </c>
      <c r="F854" s="42" t="str">
        <f t="shared" si="855"/>
        <v>Lobong, San Jacinto, Pangasinan</v>
      </c>
      <c r="G854" s="42" t="str">
        <f t="shared" si="3"/>
        <v>Lobong</v>
      </c>
      <c r="H854" s="42" t="str">
        <f t="shared" si="4"/>
        <v>San Jacinto</v>
      </c>
      <c r="I854" s="42" t="str">
        <f t="shared" si="5"/>
        <v>Pangasinan</v>
      </c>
      <c r="J854" s="42" t="str">
        <f t="array" ref="J854">XLOOKUP($E854,'Recipients REF'!$B:$B,'Recipients REF'!D:D,"",0)</f>
        <v>Felicitas L. Quezon</v>
      </c>
      <c r="K854" s="42" t="str">
        <f t="array" ref="K854">XLOOKUP($E854,'Recipients REF'!$B:$B,'Recipients REF'!E:E,"",0)</f>
        <v>0907-365-3620</v>
      </c>
      <c r="L854" s="43" t="str">
        <f t="array" ref="L854">XLOOKUP($A854,'Recipients REF'!$A:$A,'Recipients REF'!F:F,"",0)</f>
        <v>RCEF 23-09-21 Rebidding</v>
      </c>
      <c r="M854" s="43">
        <f t="array" ref="M854">XLOOKUP($A854,'Recipients REF'!$A:$A,'Recipients REF'!G:G,"",0)</f>
        <v>2</v>
      </c>
      <c r="N854" s="43">
        <f t="array" ref="N854">XLOOKUP($A854,'Recipients REF'!$A:$A,'Recipients REF'!H:H,"",0)</f>
        <v>19473</v>
      </c>
      <c r="O854" s="44" t="s">
        <v>25</v>
      </c>
      <c r="P854" s="45" t="s">
        <v>26</v>
      </c>
      <c r="Q854" s="46" t="str">
        <f t="array" ref="Q854">XLOOKUP($A854,'Recipients REF'!$A:$A,'Recipients REF'!I:I,"",0)</f>
        <v>KMC5825AHRFPV0365</v>
      </c>
      <c r="R854" s="47" t="str">
        <f t="array" ref="R854">XLOOKUP($A854,'Recipients REF'!$A:$A,'Recipients REF'!J:J,"",0)</f>
        <v>RTS100217</v>
      </c>
      <c r="S854" s="45" t="s">
        <v>27</v>
      </c>
      <c r="T854" s="45" t="s">
        <v>28</v>
      </c>
      <c r="U854" s="46" t="str">
        <f t="array" ref="U854">XLOOKUP($A854,'Recipients REF'!$A:$A,'Recipients REF'!K:K,"",0)</f>
        <v>R-SERIES 399</v>
      </c>
      <c r="V854" s="44" t="s">
        <v>29</v>
      </c>
      <c r="W854" s="45" t="s">
        <v>30</v>
      </c>
      <c r="X854" s="47" t="str">
        <f t="array" ref="X854">XLOOKUP($A854,'Recipients REF'!$A:$A,'Recipients REF'!L:L,"",0)</f>
        <v>LSGW1750-RMP-24020418</v>
      </c>
      <c r="Y854" s="48" t="s">
        <v>29</v>
      </c>
      <c r="Z854" s="48" t="s">
        <v>31</v>
      </c>
      <c r="AA854" s="46" t="str">
        <f t="array" ref="AA854">XLOOKUP($A854,'Recipients REF'!$A:$A,'Recipients REF'!M:M,"",0)</f>
        <v>WDP40-RMP-24040537</v>
      </c>
      <c r="AB854" s="49"/>
      <c r="AC854" s="42"/>
      <c r="AD854" s="42"/>
      <c r="AE854" s="50"/>
      <c r="AF854" s="42"/>
      <c r="AG854" s="42"/>
      <c r="AH854" s="42"/>
      <c r="AI854" s="42" t="str">
        <f t="array" ref="AI854">XLOOKUP($E854,Sheet11!$D:$D,Sheet11!$X:$X,"",0)</f>
        <v/>
      </c>
      <c r="AJ854" s="42" t="str">
        <f t="array" ref="AJ854">XLOOKUP($E854,Sheet11!$D:$D,Sheet11!$Y:$Y,"",0)</f>
        <v/>
      </c>
    </row>
    <row r="855">
      <c r="A855" s="41">
        <v>467.0</v>
      </c>
      <c r="B855" s="42" t="s">
        <v>1677</v>
      </c>
      <c r="C855" s="42" t="s">
        <v>1678</v>
      </c>
      <c r="D855" s="42"/>
      <c r="E855" s="42" t="str">
        <f t="shared" ref="E855:F855" si="856">PROPER(B855)</f>
        <v>Lomboy Farmers And Farmworkers Association</v>
      </c>
      <c r="F855" s="42" t="str">
        <f t="shared" si="856"/>
        <v>Labit, Villasis, Pangasinan</v>
      </c>
      <c r="G855" s="42" t="str">
        <f t="shared" si="3"/>
        <v>Labit</v>
      </c>
      <c r="H855" s="42" t="str">
        <f t="shared" si="4"/>
        <v>Villasis</v>
      </c>
      <c r="I855" s="42" t="str">
        <f t="shared" si="5"/>
        <v>Pangasinan</v>
      </c>
      <c r="J855" s="42" t="str">
        <f t="array" ref="J855">XLOOKUP($E855,'Recipients REF'!$B:$B,'Recipients REF'!D:D,"",0)</f>
        <v>Gregorio B. Nebres</v>
      </c>
      <c r="K855" s="42">
        <f t="array" ref="K855">XLOOKUP($E855,'Recipients REF'!$B:$B,'Recipients REF'!E:E,"",0)</f>
        <v>9179187543</v>
      </c>
      <c r="L855" s="43" t="str">
        <f t="array" ref="L855">XLOOKUP($A855,'Recipients REF'!$A:$A,'Recipients REF'!F:F,"",0)</f>
        <v>RCEF 23-09-21 Rebidding</v>
      </c>
      <c r="M855" s="43">
        <f t="array" ref="M855">XLOOKUP($A855,'Recipients REF'!$A:$A,'Recipients REF'!G:G,"",0)</f>
        <v>2</v>
      </c>
      <c r="N855" s="43">
        <f t="array" ref="N855">XLOOKUP($A855,'Recipients REF'!$A:$A,'Recipients REF'!H:H,"",0)</f>
        <v>19474</v>
      </c>
      <c r="O855" s="44" t="s">
        <v>25</v>
      </c>
      <c r="P855" s="45" t="s">
        <v>26</v>
      </c>
      <c r="Q855" s="46" t="str">
        <f t="array" ref="Q855">XLOOKUP($A855,'Recipients REF'!$A:$A,'Recipients REF'!I:I,"",0)</f>
        <v>KMC5825APRFPV0369</v>
      </c>
      <c r="R855" s="47" t="str">
        <f t="array" ref="R855">XLOOKUP($A855,'Recipients REF'!$A:$A,'Recipients REF'!J:J,"",0)</f>
        <v>RTS100268</v>
      </c>
      <c r="S855" s="45" t="s">
        <v>27</v>
      </c>
      <c r="T855" s="45" t="s">
        <v>28</v>
      </c>
      <c r="U855" s="46" t="str">
        <f t="array" ref="U855">XLOOKUP($A855,'Recipients REF'!$A:$A,'Recipients REF'!K:K,"",0)</f>
        <v>R-SERIES 365</v>
      </c>
      <c r="V855" s="44" t="s">
        <v>29</v>
      </c>
      <c r="W855" s="45" t="s">
        <v>30</v>
      </c>
      <c r="X855" s="47" t="str">
        <f t="array" ref="X855">XLOOKUP($A855,'Recipients REF'!$A:$A,'Recipients REF'!L:L,"",0)</f>
        <v>LSGW1750-RMP-24020428</v>
      </c>
      <c r="Y855" s="48" t="s">
        <v>29</v>
      </c>
      <c r="Z855" s="48" t="s">
        <v>31</v>
      </c>
      <c r="AA855" s="46" t="str">
        <f t="array" ref="AA855">XLOOKUP($A855,'Recipients REF'!$A:$A,'Recipients REF'!M:M,"",0)</f>
        <v>WDP40-RMP-24040513</v>
      </c>
      <c r="AB855" s="49"/>
      <c r="AC855" s="42"/>
      <c r="AD855" s="42"/>
      <c r="AE855" s="50"/>
      <c r="AF855" s="42"/>
      <c r="AG855" s="42"/>
      <c r="AH855" s="42"/>
      <c r="AI855" s="42" t="str">
        <f t="array" ref="AI855">XLOOKUP($E855,Sheet11!$D:$D,Sheet11!$X:$X,"",0)</f>
        <v/>
      </c>
      <c r="AJ855" s="42" t="str">
        <f t="array" ref="AJ855">XLOOKUP($E855,Sheet11!$D:$D,Sheet11!$Y:$Y,"",0)</f>
        <v/>
      </c>
    </row>
    <row r="856">
      <c r="A856" s="41">
        <v>468.0</v>
      </c>
      <c r="B856" s="42" t="s">
        <v>1679</v>
      </c>
      <c r="C856" s="42" t="s">
        <v>1680</v>
      </c>
      <c r="D856" s="42"/>
      <c r="E856" s="42" t="str">
        <f t="shared" ref="E856:F856" si="857">PROPER(B856)</f>
        <v>Maayos Farmers Association Of Tamayo, San Carlos City, Pangasinan Inc.</v>
      </c>
      <c r="F856" s="42" t="str">
        <f t="shared" si="857"/>
        <v>Tamayo, San Carlos City, Pangasinan</v>
      </c>
      <c r="G856" s="42" t="str">
        <f t="shared" si="3"/>
        <v>Tamayo</v>
      </c>
      <c r="H856" s="42" t="str">
        <f t="shared" si="4"/>
        <v>San Carlos City</v>
      </c>
      <c r="I856" s="42" t="str">
        <f t="shared" si="5"/>
        <v>Pangasinan</v>
      </c>
      <c r="J856" s="42" t="str">
        <f t="array" ref="J856">XLOOKUP($E856,'Recipients REF'!$B:$B,'Recipients REF'!D:D,"",0)</f>
        <v>Rodrigo Bulatao</v>
      </c>
      <c r="K856" s="42" t="str">
        <f t="array" ref="K856">XLOOKUP($E856,'Recipients REF'!$B:$B,'Recipients REF'!E:E,"",0)</f>
        <v>0922-547-0429</v>
      </c>
      <c r="L856" s="43" t="str">
        <f t="array" ref="L856">XLOOKUP($A856,'Recipients REF'!$A:$A,'Recipients REF'!F:F,"",0)</f>
        <v>RCEF 23-09-21 Rebidding</v>
      </c>
      <c r="M856" s="43">
        <f t="array" ref="M856">XLOOKUP($A856,'Recipients REF'!$A:$A,'Recipients REF'!G:G,"",0)</f>
        <v>2</v>
      </c>
      <c r="N856" s="43">
        <f t="array" ref="N856">XLOOKUP($A856,'Recipients REF'!$A:$A,'Recipients REF'!H:H,"",0)</f>
        <v>19475</v>
      </c>
      <c r="O856" s="44" t="s">
        <v>25</v>
      </c>
      <c r="P856" s="45" t="s">
        <v>26</v>
      </c>
      <c r="Q856" s="46" t="str">
        <f t="array" ref="Q856">XLOOKUP($A856,'Recipients REF'!$A:$A,'Recipients REF'!I:I,"",0)</f>
        <v>KMC5825ATRFPV0385</v>
      </c>
      <c r="R856" s="47" t="str">
        <f t="array" ref="R856">XLOOKUP($A856,'Recipients REF'!$A:$A,'Recipients REF'!J:J,"",0)</f>
        <v>RTS100275</v>
      </c>
      <c r="S856" s="45" t="s">
        <v>27</v>
      </c>
      <c r="T856" s="45" t="s">
        <v>28</v>
      </c>
      <c r="U856" s="46" t="str">
        <f t="array" ref="U856">XLOOKUP($A856,'Recipients REF'!$A:$A,'Recipients REF'!K:K,"",0)</f>
        <v>R-SERIES 377</v>
      </c>
      <c r="V856" s="44" t="s">
        <v>29</v>
      </c>
      <c r="W856" s="45" t="s">
        <v>30</v>
      </c>
      <c r="X856" s="47" t="str">
        <f t="array" ref="X856">XLOOKUP($A856,'Recipients REF'!$A:$A,'Recipients REF'!L:L,"",0)</f>
        <v>LSGW1750-RMP-24020497</v>
      </c>
      <c r="Y856" s="48" t="s">
        <v>29</v>
      </c>
      <c r="Z856" s="48" t="s">
        <v>31</v>
      </c>
      <c r="AA856" s="46" t="str">
        <f t="array" ref="AA856">XLOOKUP($A856,'Recipients REF'!$A:$A,'Recipients REF'!M:M,"",0)</f>
        <v>WDP40-RMP-24040506</v>
      </c>
      <c r="AB856" s="49"/>
      <c r="AC856" s="42"/>
      <c r="AD856" s="42"/>
      <c r="AE856" s="50"/>
      <c r="AF856" s="42"/>
      <c r="AG856" s="42"/>
      <c r="AH856" s="42"/>
      <c r="AI856" s="42" t="str">
        <f t="array" ref="AI856">XLOOKUP($E856,Sheet11!$D:$D,Sheet11!$X:$X,"",0)</f>
        <v/>
      </c>
      <c r="AJ856" s="42" t="str">
        <f t="array" ref="AJ856">XLOOKUP($E856,Sheet11!$D:$D,Sheet11!$Y:$Y,"",0)</f>
        <v/>
      </c>
    </row>
    <row r="857">
      <c r="A857" s="41">
        <v>475.0</v>
      </c>
      <c r="B857" s="42" t="s">
        <v>1681</v>
      </c>
      <c r="C857" s="42" t="s">
        <v>1682</v>
      </c>
      <c r="D857" s="42"/>
      <c r="E857" s="42" t="str">
        <f t="shared" ref="E857:F857" si="858">PROPER(B857)</f>
        <v>Balococ Cacayasen Farmer'S Group, Inc.</v>
      </c>
      <c r="F857" s="42" t="str">
        <f t="shared" si="858"/>
        <v>Cacayasen, Burgos, Pangasinan</v>
      </c>
      <c r="G857" s="42" t="str">
        <f t="shared" si="3"/>
        <v>Cacayasen</v>
      </c>
      <c r="H857" s="42" t="str">
        <f t="shared" si="4"/>
        <v>Burgos</v>
      </c>
      <c r="I857" s="42" t="str">
        <f t="shared" si="5"/>
        <v>Pangasinan</v>
      </c>
      <c r="J857" s="42" t="str">
        <f t="array" ref="J857">XLOOKUP($E857,'Recipients REF'!$B:$B,'Recipients REF'!D:D,"",0)</f>
        <v>Arlyn A. Cuaresma</v>
      </c>
      <c r="K857" s="42" t="str">
        <f t="array" ref="K857">XLOOKUP($E857,'Recipients REF'!$B:$B,'Recipients REF'!E:E,"",0)</f>
        <v>0905-522-7452</v>
      </c>
      <c r="L857" s="43" t="str">
        <f t="array" ref="L857">XLOOKUP($A857,'Recipients REF'!$A:$A,'Recipients REF'!F:F,"",0)</f>
        <v>RCEF 23-09-21 Rebidding</v>
      </c>
      <c r="M857" s="43">
        <f t="array" ref="M857">XLOOKUP($A857,'Recipients REF'!$A:$A,'Recipients REF'!G:G,"",0)</f>
        <v>2</v>
      </c>
      <c r="N857" s="43">
        <f t="array" ref="N857">XLOOKUP($A857,'Recipients REF'!$A:$A,'Recipients REF'!H:H,"",0)</f>
        <v>19557</v>
      </c>
      <c r="O857" s="44" t="s">
        <v>25</v>
      </c>
      <c r="P857" s="45" t="s">
        <v>26</v>
      </c>
      <c r="Q857" s="46" t="str">
        <f t="array" ref="Q857">XLOOKUP($A857,'Recipients REF'!$A:$A,'Recipients REF'!I:I,"",0)</f>
        <v>KMC5825ACRFPV0599</v>
      </c>
      <c r="R857" s="47" t="str">
        <f t="array" ref="R857">XLOOKUP($A857,'Recipients REF'!$A:$A,'Recipients REF'!J:J,"",0)</f>
        <v>RTS100506</v>
      </c>
      <c r="S857" s="45" t="s">
        <v>27</v>
      </c>
      <c r="T857" s="45" t="s">
        <v>28</v>
      </c>
      <c r="U857" s="46" t="str">
        <f t="array" ref="U857">XLOOKUP($A857,'Recipients REF'!$A:$A,'Recipients REF'!K:K,"",0)</f>
        <v>R-SERIES-862PH</v>
      </c>
      <c r="V857" s="44" t="s">
        <v>29</v>
      </c>
      <c r="W857" s="45" t="s">
        <v>30</v>
      </c>
      <c r="X857" s="47" t="str">
        <f t="array" ref="X857">XLOOKUP($A857,'Recipients REF'!$A:$A,'Recipients REF'!L:L,"",0)</f>
        <v>LSGW1750-RMP-24020517</v>
      </c>
      <c r="Y857" s="48" t="s">
        <v>29</v>
      </c>
      <c r="Z857" s="48" t="s">
        <v>31</v>
      </c>
      <c r="AA857" s="46" t="str">
        <f t="array" ref="AA857">XLOOKUP($A857,'Recipients REF'!$A:$A,'Recipients REF'!M:M,"",0)</f>
        <v>WDP40-RMP-24050565</v>
      </c>
      <c r="AB857" s="49"/>
      <c r="AC857" s="42"/>
      <c r="AD857" s="42"/>
      <c r="AE857" s="50"/>
      <c r="AF857" s="42"/>
      <c r="AG857" s="42"/>
      <c r="AH857" s="42"/>
      <c r="AI857" s="42" t="str">
        <f t="array" ref="AI857">XLOOKUP($E857,Sheet11!$D:$D,Sheet11!$X:$X,"",0)</f>
        <v/>
      </c>
      <c r="AJ857" s="42" t="str">
        <f t="array" ref="AJ857">XLOOKUP($E857,Sheet11!$D:$D,Sheet11!$Y:$Y,"",0)</f>
        <v/>
      </c>
    </row>
    <row r="858">
      <c r="A858" s="41">
        <v>489.0</v>
      </c>
      <c r="B858" s="42" t="s">
        <v>1683</v>
      </c>
      <c r="C858" s="42" t="s">
        <v>1684</v>
      </c>
      <c r="D858" s="42"/>
      <c r="E858" s="42" t="str">
        <f t="shared" ref="E858:F858" si="859">PROPER(B858)</f>
        <v>Barangay San Vicente Farmers And Irrigators Association</v>
      </c>
      <c r="F858" s="42" t="str">
        <f t="shared" si="859"/>
        <v>San Vicente, Alaminos City, Pangasinan</v>
      </c>
      <c r="G858" s="42" t="str">
        <f t="shared" si="3"/>
        <v>San Vicente</v>
      </c>
      <c r="H858" s="42" t="str">
        <f t="shared" si="4"/>
        <v>Alaminos City</v>
      </c>
      <c r="I858" s="42" t="str">
        <f t="shared" si="5"/>
        <v>Pangasinan</v>
      </c>
      <c r="J858" s="42" t="str">
        <f t="array" ref="J858">XLOOKUP($E858,'Recipients REF'!$B:$B,'Recipients REF'!D:D,"",0)</f>
        <v>Lilia P. Gregorio</v>
      </c>
      <c r="K858" s="42">
        <f t="array" ref="K858">XLOOKUP($E858,'Recipients REF'!$B:$B,'Recipients REF'!E:E,"",0)</f>
        <v>96148554340</v>
      </c>
      <c r="L858" s="43" t="str">
        <f t="array" ref="L858">XLOOKUP($A858,'Recipients REF'!$A:$A,'Recipients REF'!F:F,"",0)</f>
        <v>RCEF 24-04-15</v>
      </c>
      <c r="M858" s="43">
        <f t="array" ref="M858">XLOOKUP($A858,'Recipients REF'!$A:$A,'Recipients REF'!G:G,"",0)</f>
        <v>6</v>
      </c>
      <c r="N858" s="43">
        <f t="array" ref="N858">XLOOKUP($A858,'Recipients REF'!$A:$A,'Recipients REF'!H:H,"",0)</f>
        <v>19963</v>
      </c>
      <c r="O858" s="44" t="s">
        <v>25</v>
      </c>
      <c r="P858" s="45" t="s">
        <v>26</v>
      </c>
      <c r="Q858" s="46" t="str">
        <f t="array" ref="Q858">XLOOKUP($A858,'Recipients REF'!$A:$A,'Recipients REF'!I:I,"",0)</f>
        <v>KMC5825AHRFPV0852</v>
      </c>
      <c r="R858" s="47" t="str">
        <f t="array" ref="R858">XLOOKUP($A858,'Recipients REF'!$A:$A,'Recipients REF'!J:J,"",0)</f>
        <v>RTS100762</v>
      </c>
      <c r="S858" s="45" t="s">
        <v>27</v>
      </c>
      <c r="T858" s="45" t="s">
        <v>28</v>
      </c>
      <c r="U858" s="46" t="str">
        <f t="array" ref="U858">XLOOKUP($A858,'Recipients REF'!$A:$A,'Recipients REF'!K:K,"",0)</f>
        <v>LSGW170-RMP-24101047</v>
      </c>
      <c r="V858" s="44" t="s">
        <v>29</v>
      </c>
      <c r="W858" s="45" t="s">
        <v>30</v>
      </c>
      <c r="X858" s="47" t="str">
        <f t="array" ref="X858">XLOOKUP($A858,'Recipients REF'!$A:$A,'Recipients REF'!L:L,"",0)</f>
        <v>WDP40-RMP-24121453</v>
      </c>
      <c r="Y858" s="48" t="s">
        <v>29</v>
      </c>
      <c r="Z858" s="48" t="s">
        <v>31</v>
      </c>
      <c r="AA858" s="46" t="str">
        <f t="array" ref="AA858">XLOOKUP($A858,'Recipients REF'!$A:$A,'Recipients REF'!M:M,"",0)</f>
        <v>WR-SERIES-1106PH</v>
      </c>
      <c r="AB858" s="49"/>
      <c r="AC858" s="42"/>
      <c r="AD858" s="42"/>
      <c r="AE858" s="50"/>
      <c r="AF858" s="42"/>
      <c r="AG858" s="42"/>
      <c r="AH858" s="42"/>
      <c r="AI858" s="42" t="str">
        <f t="array" ref="AI858">XLOOKUP($E858,Sheet11!$D:$D,Sheet11!$X:$X,"",0)</f>
        <v/>
      </c>
      <c r="AJ858" s="42" t="str">
        <f t="array" ref="AJ858">XLOOKUP($E858,Sheet11!$D:$D,Sheet11!$Y:$Y,"",0)</f>
        <v/>
      </c>
    </row>
    <row r="859">
      <c r="A859" s="41">
        <v>490.0</v>
      </c>
      <c r="B859" s="42" t="s">
        <v>1685</v>
      </c>
      <c r="C859" s="42" t="s">
        <v>1686</v>
      </c>
      <c r="D859" s="42"/>
      <c r="E859" s="42" t="str">
        <f t="shared" ref="E859:F859" si="860">PROPER(B859)</f>
        <v>Sobol Sioasio West Farmer Irrigators Association Inc.</v>
      </c>
      <c r="F859" s="42" t="str">
        <f t="shared" si="860"/>
        <v>Sioasio West, Sual, Pangasinan</v>
      </c>
      <c r="G859" s="42" t="str">
        <f t="shared" si="3"/>
        <v>Sioasio West</v>
      </c>
      <c r="H859" s="42" t="str">
        <f t="shared" si="4"/>
        <v>Sual</v>
      </c>
      <c r="I859" s="42" t="str">
        <f t="shared" si="5"/>
        <v>Pangasinan</v>
      </c>
      <c r="J859" s="42" t="str">
        <f t="array" ref="J859">XLOOKUP($E859,'Recipients REF'!$B:$B,'Recipients REF'!D:D,"",0)</f>
        <v>Mark Darren R. Villar</v>
      </c>
      <c r="K859" s="42">
        <f t="array" ref="K859">XLOOKUP($E859,'Recipients REF'!$B:$B,'Recipients REF'!E:E,"",0)</f>
        <v>9703378227</v>
      </c>
      <c r="L859" s="43" t="str">
        <f t="array" ref="L859">XLOOKUP($A859,'Recipients REF'!$A:$A,'Recipients REF'!F:F,"",0)</f>
        <v>RCEF 24-04-15</v>
      </c>
      <c r="M859" s="43">
        <f t="array" ref="M859">XLOOKUP($A859,'Recipients REF'!$A:$A,'Recipients REF'!G:G,"",0)</f>
        <v>6</v>
      </c>
      <c r="N859" s="43">
        <f t="array" ref="N859">XLOOKUP($A859,'Recipients REF'!$A:$A,'Recipients REF'!H:H,"",0)</f>
        <v>19964</v>
      </c>
      <c r="O859" s="44" t="s">
        <v>25</v>
      </c>
      <c r="P859" s="45" t="s">
        <v>26</v>
      </c>
      <c r="Q859" s="46" t="str">
        <f t="array" ref="Q859">XLOOKUP($A859,'Recipients REF'!$A:$A,'Recipients REF'!I:I,"",0)</f>
        <v>KMC5825AHRFPV0799</v>
      </c>
      <c r="R859" s="47" t="str">
        <f t="array" ref="R859">XLOOKUP($A859,'Recipients REF'!$A:$A,'Recipients REF'!J:J,"",0)</f>
        <v>RTS100673</v>
      </c>
      <c r="S859" s="45" t="s">
        <v>27</v>
      </c>
      <c r="T859" s="45" t="s">
        <v>28</v>
      </c>
      <c r="U859" s="46" t="str">
        <f t="array" ref="U859">XLOOKUP($A859,'Recipients REF'!$A:$A,'Recipients REF'!K:K,"",0)</f>
        <v>LSGW170-RMP-24101080</v>
      </c>
      <c r="V859" s="44" t="s">
        <v>29</v>
      </c>
      <c r="W859" s="45" t="s">
        <v>30</v>
      </c>
      <c r="X859" s="47" t="str">
        <f t="array" ref="X859">XLOOKUP($A859,'Recipients REF'!$A:$A,'Recipients REF'!L:L,"",0)</f>
        <v>WDP40-RMP-24121451</v>
      </c>
      <c r="Y859" s="48" t="s">
        <v>29</v>
      </c>
      <c r="Z859" s="48" t="s">
        <v>31</v>
      </c>
      <c r="AA859" s="46" t="str">
        <f t="array" ref="AA859">XLOOKUP($A859,'Recipients REF'!$A:$A,'Recipients REF'!M:M,"",0)</f>
        <v>WR-SERIES-1232PH</v>
      </c>
      <c r="AB859" s="49"/>
      <c r="AC859" s="42"/>
      <c r="AD859" s="42"/>
      <c r="AE859" s="50"/>
      <c r="AF859" s="42"/>
      <c r="AG859" s="42"/>
      <c r="AH859" s="42"/>
      <c r="AI859" s="42" t="str">
        <f t="array" ref="AI859">XLOOKUP($E859,Sheet11!$D:$D,Sheet11!$X:$X,"",0)</f>
        <v/>
      </c>
      <c r="AJ859" s="42" t="str">
        <f t="array" ref="AJ859">XLOOKUP($E859,Sheet11!$D:$D,Sheet11!$Y:$Y,"",0)</f>
        <v/>
      </c>
    </row>
    <row r="860">
      <c r="A860" s="41">
        <v>491.0</v>
      </c>
      <c r="B860" s="42" t="s">
        <v>1687</v>
      </c>
      <c r="C860" s="42" t="s">
        <v>1688</v>
      </c>
      <c r="D860" s="42"/>
      <c r="E860" s="42" t="str">
        <f t="shared" ref="E860:F860" si="861">PROPER(B860)</f>
        <v>Cayanga Bsb Irrigators Association Inc</v>
      </c>
      <c r="F860" s="42" t="str">
        <f t="shared" si="861"/>
        <v>, Bugallon, Pangasinan</v>
      </c>
      <c r="G860" s="42" t="str">
        <f t="shared" si="3"/>
        <v/>
      </c>
      <c r="H860" s="42" t="str">
        <f t="shared" si="4"/>
        <v>Bugallon</v>
      </c>
      <c r="I860" s="42" t="str">
        <f t="shared" si="5"/>
        <v>Pangasinan</v>
      </c>
      <c r="J860" s="42" t="str">
        <f t="array" ref="J860">XLOOKUP($E860,'Recipients REF'!$B:$B,'Recipients REF'!D:D,"",0)</f>
        <v>Rufino Aquino</v>
      </c>
      <c r="K860" s="42" t="str">
        <f t="array" ref="K860">XLOOKUP($E860,'Recipients REF'!$B:$B,'Recipients REF'!E:E,"",0)</f>
        <v>0977-059-1611</v>
      </c>
      <c r="L860" s="43" t="str">
        <f t="array" ref="L860">XLOOKUP($A860,'Recipients REF'!$A:$A,'Recipients REF'!F:F,"",0)</f>
        <v>RCEF 24-04-15</v>
      </c>
      <c r="M860" s="43">
        <f t="array" ref="M860">XLOOKUP($A860,'Recipients REF'!$A:$A,'Recipients REF'!G:G,"",0)</f>
        <v>6</v>
      </c>
      <c r="N860" s="43">
        <f t="array" ref="N860">XLOOKUP($A860,'Recipients REF'!$A:$A,'Recipients REF'!H:H,"",0)</f>
        <v>19965</v>
      </c>
      <c r="O860" s="44" t="s">
        <v>25</v>
      </c>
      <c r="P860" s="45" t="s">
        <v>26</v>
      </c>
      <c r="Q860" s="46" t="str">
        <f t="array" ref="Q860">XLOOKUP($A860,'Recipients REF'!$A:$A,'Recipients REF'!I:I,"",0)</f>
        <v>KMC5825ACRFPV0966</v>
      </c>
      <c r="R860" s="47" t="str">
        <f t="array" ref="R860">XLOOKUP($A860,'Recipients REF'!$A:$A,'Recipients REF'!J:J,"",0)</f>
        <v>RTS100666</v>
      </c>
      <c r="S860" s="45" t="s">
        <v>27</v>
      </c>
      <c r="T860" s="45" t="s">
        <v>28</v>
      </c>
      <c r="U860" s="46" t="str">
        <f t="array" ref="U860">XLOOKUP($A860,'Recipients REF'!$A:$A,'Recipients REF'!K:K,"",0)</f>
        <v>LSGW170-RMP-24101058</v>
      </c>
      <c r="V860" s="44" t="s">
        <v>29</v>
      </c>
      <c r="W860" s="45" t="s">
        <v>30</v>
      </c>
      <c r="X860" s="47" t="str">
        <f t="array" ref="X860">XLOOKUP($A860,'Recipients REF'!$A:$A,'Recipients REF'!L:L,"",0)</f>
        <v>WDP40-RMP-24121461</v>
      </c>
      <c r="Y860" s="48" t="s">
        <v>29</v>
      </c>
      <c r="Z860" s="48" t="s">
        <v>31</v>
      </c>
      <c r="AA860" s="46" t="str">
        <f t="array" ref="AA860">XLOOKUP($A860,'Recipients REF'!$A:$A,'Recipients REF'!M:M,"",0)</f>
        <v>WR-SERIES-1040PH</v>
      </c>
      <c r="AB860" s="49"/>
      <c r="AC860" s="42"/>
      <c r="AD860" s="42"/>
      <c r="AE860" s="50"/>
      <c r="AF860" s="42"/>
      <c r="AG860" s="42"/>
      <c r="AH860" s="42"/>
      <c r="AI860" s="42" t="str">
        <f t="array" ref="AI860">XLOOKUP($E860,Sheet11!$D:$D,Sheet11!$X:$X,"",0)</f>
        <v/>
      </c>
      <c r="AJ860" s="42" t="str">
        <f t="array" ref="AJ860">XLOOKUP($E860,Sheet11!$D:$D,Sheet11!$Y:$Y,"",0)</f>
        <v/>
      </c>
    </row>
    <row r="861">
      <c r="A861" s="41">
        <v>492.0</v>
      </c>
      <c r="B861" s="42" t="s">
        <v>1689</v>
      </c>
      <c r="C861" s="42" t="s">
        <v>1690</v>
      </c>
      <c r="D861" s="42"/>
      <c r="E861" s="42" t="str">
        <f t="shared" ref="E861:F861" si="862">PROPER(B861)</f>
        <v>Provincial Local Goverment Unit Of Pangasinan</v>
      </c>
      <c r="F861" s="42" t="str">
        <f t="shared" si="862"/>
        <v>Rosario, Lingayen, Pangasinan</v>
      </c>
      <c r="G861" s="42" t="str">
        <f t="shared" si="3"/>
        <v>Rosario</v>
      </c>
      <c r="H861" s="42" t="str">
        <f t="shared" si="4"/>
        <v>Lingayen</v>
      </c>
      <c r="I861" s="42" t="str">
        <f t="shared" si="5"/>
        <v>Pangasinan</v>
      </c>
      <c r="J861" s="42" t="str">
        <f t="array" ref="J861">XLOOKUP($E861,'Recipients REF'!$B:$B,'Recipients REF'!D:D,"",0)</f>
        <v>RAMON GUICO III</v>
      </c>
      <c r="K861" s="42" t="str">
        <f t="array" ref="K861">XLOOKUP($E861,'Recipients REF'!$B:$B,'Recipients REF'!E:E,"",0)</f>
        <v>09399358565 (P.A)</v>
      </c>
      <c r="L861" s="43" t="str">
        <f t="array" ref="L861">XLOOKUP($A861,'Recipients REF'!$A:$A,'Recipients REF'!F:F,"",0)</f>
        <v>RCEF 24-04-15</v>
      </c>
      <c r="M861" s="43">
        <f t="array" ref="M861">XLOOKUP($A861,'Recipients REF'!$A:$A,'Recipients REF'!G:G,"",0)</f>
        <v>6</v>
      </c>
      <c r="N861" s="43">
        <f t="array" ref="N861">XLOOKUP($A861,'Recipients REF'!$A:$A,'Recipients REF'!H:H,"",0)</f>
        <v>19966</v>
      </c>
      <c r="O861" s="44" t="s">
        <v>25</v>
      </c>
      <c r="P861" s="45" t="s">
        <v>26</v>
      </c>
      <c r="Q861" s="46" t="str">
        <f t="array" ref="Q861">XLOOKUP($A861,'Recipients REF'!$A:$A,'Recipients REF'!I:I,"",0)</f>
        <v>KMC5825ACRFPV0859</v>
      </c>
      <c r="R861" s="47" t="str">
        <f t="array" ref="R861">XLOOKUP($A861,'Recipients REF'!$A:$A,'Recipients REF'!J:J,"",0)</f>
        <v>RTS100746</v>
      </c>
      <c r="S861" s="45" t="s">
        <v>27</v>
      </c>
      <c r="T861" s="45" t="s">
        <v>28</v>
      </c>
      <c r="U861" s="46" t="str">
        <f t="array" ref="U861">XLOOKUP($A861,'Recipients REF'!$A:$A,'Recipients REF'!K:K,"",0)</f>
        <v>LSGW170-RMP-24080736</v>
      </c>
      <c r="V861" s="44" t="s">
        <v>29</v>
      </c>
      <c r="W861" s="45" t="s">
        <v>30</v>
      </c>
      <c r="X861" s="47" t="str">
        <f t="array" ref="X861">XLOOKUP($A861,'Recipients REF'!$A:$A,'Recipients REF'!L:L,"",0)</f>
        <v>WDP40-RMP-24121465</v>
      </c>
      <c r="Y861" s="48" t="s">
        <v>29</v>
      </c>
      <c r="Z861" s="48" t="s">
        <v>31</v>
      </c>
      <c r="AA861" s="46" t="str">
        <f t="array" ref="AA861">XLOOKUP($A861,'Recipients REF'!$A:$A,'Recipients REF'!M:M,"",0)</f>
        <v>WR-SERIES-1107PH</v>
      </c>
      <c r="AB861" s="49"/>
      <c r="AC861" s="42"/>
      <c r="AD861" s="42"/>
      <c r="AE861" s="50"/>
      <c r="AF861" s="42"/>
      <c r="AG861" s="42"/>
      <c r="AH861" s="42"/>
      <c r="AI861" s="42" t="str">
        <f t="array" ref="AI861">XLOOKUP($E861,Sheet11!$D:$D,Sheet11!$X:$X,"",0)</f>
        <v/>
      </c>
      <c r="AJ861" s="42" t="str">
        <f t="array" ref="AJ861">XLOOKUP($E861,Sheet11!$D:$D,Sheet11!$Y:$Y,"",0)</f>
        <v/>
      </c>
    </row>
    <row r="862">
      <c r="A862" s="41">
        <v>493.0</v>
      </c>
      <c r="B862" s="42" t="s">
        <v>1691</v>
      </c>
      <c r="C862" s="42" t="s">
        <v>1692</v>
      </c>
      <c r="D862" s="42"/>
      <c r="E862" s="42" t="str">
        <f t="shared" ref="E862:F862" si="863">PROPER(B862)</f>
        <v>Abante Balite United Farmers Association Inc.</v>
      </c>
      <c r="F862" s="42" t="str">
        <f t="shared" si="863"/>
        <v>Balite, Malasiqui, Pangasinan</v>
      </c>
      <c r="G862" s="42" t="str">
        <f t="shared" si="3"/>
        <v>Balite</v>
      </c>
      <c r="H862" s="42" t="str">
        <f t="shared" si="4"/>
        <v>Malasiqui</v>
      </c>
      <c r="I862" s="42" t="str">
        <f t="shared" si="5"/>
        <v>Pangasinan</v>
      </c>
      <c r="J862" s="42" t="str">
        <f t="array" ref="J862">XLOOKUP($E862,'Recipients REF'!$B:$B,'Recipients REF'!D:D,"",0)</f>
        <v>Alfonso L. Parayno</v>
      </c>
      <c r="K862" s="42">
        <f t="array" ref="K862">XLOOKUP($E862,'Recipients REF'!$B:$B,'Recipients REF'!E:E,"",0)</f>
        <v>9486127964</v>
      </c>
      <c r="L862" s="43" t="str">
        <f t="array" ref="L862">XLOOKUP($A862,'Recipients REF'!$A:$A,'Recipients REF'!F:F,"",0)</f>
        <v>RCEF 24-04-15</v>
      </c>
      <c r="M862" s="43">
        <f t="array" ref="M862">XLOOKUP($A862,'Recipients REF'!$A:$A,'Recipients REF'!G:G,"",0)</f>
        <v>6</v>
      </c>
      <c r="N862" s="43">
        <f t="array" ref="N862">XLOOKUP($A862,'Recipients REF'!$A:$A,'Recipients REF'!H:H,"",0)</f>
        <v>19967</v>
      </c>
      <c r="O862" s="44" t="s">
        <v>25</v>
      </c>
      <c r="P862" s="45" t="s">
        <v>26</v>
      </c>
      <c r="Q862" s="46" t="str">
        <f t="array" ref="Q862">XLOOKUP($A862,'Recipients REF'!$A:$A,'Recipients REF'!I:I,"",0)</f>
        <v>KMC5825AARFPV0797</v>
      </c>
      <c r="R862" s="47" t="str">
        <f t="array" ref="R862">XLOOKUP($A862,'Recipients REF'!$A:$A,'Recipients REF'!J:J,"",0)</f>
        <v>RTS100680</v>
      </c>
      <c r="S862" s="45" t="s">
        <v>27</v>
      </c>
      <c r="T862" s="45" t="s">
        <v>28</v>
      </c>
      <c r="U862" s="46" t="str">
        <f t="array" ref="U862">XLOOKUP($A862,'Recipients REF'!$A:$A,'Recipients REF'!K:K,"",0)</f>
        <v>LSGW170-RMP-24100976</v>
      </c>
      <c r="V862" s="44" t="s">
        <v>29</v>
      </c>
      <c r="W862" s="45" t="s">
        <v>30</v>
      </c>
      <c r="X862" s="47" t="str">
        <f t="array" ref="X862">XLOOKUP($A862,'Recipients REF'!$A:$A,'Recipients REF'!L:L,"",0)</f>
        <v>WDP40-RMP-24121448</v>
      </c>
      <c r="Y862" s="48" t="s">
        <v>29</v>
      </c>
      <c r="Z862" s="48" t="s">
        <v>31</v>
      </c>
      <c r="AA862" s="46" t="str">
        <f t="array" ref="AA862">XLOOKUP($A862,'Recipients REF'!$A:$A,'Recipients REF'!M:M,"",0)</f>
        <v>WR-SERIES-1096PH</v>
      </c>
      <c r="AB862" s="49"/>
      <c r="AC862" s="42"/>
      <c r="AD862" s="42"/>
      <c r="AE862" s="50"/>
      <c r="AF862" s="42"/>
      <c r="AG862" s="42"/>
      <c r="AH862" s="42"/>
      <c r="AI862" s="42" t="str">
        <f t="array" ref="AI862">XLOOKUP($E862,Sheet11!$D:$D,Sheet11!$X:$X,"",0)</f>
        <v/>
      </c>
      <c r="AJ862" s="42" t="str">
        <f t="array" ref="AJ862">XLOOKUP($E862,Sheet11!$D:$D,Sheet11!$Y:$Y,"",0)</f>
        <v/>
      </c>
    </row>
    <row r="863">
      <c r="A863" s="41">
        <v>494.0</v>
      </c>
      <c r="B863" s="42" t="s">
        <v>1693</v>
      </c>
      <c r="C863" s="42" t="s">
        <v>1694</v>
      </c>
      <c r="D863" s="42"/>
      <c r="E863" s="42" t="str">
        <f t="shared" ref="E863:F863" si="864">PROPER(B863)</f>
        <v>Asosasyon Na Masanting Ya Dumaralos</v>
      </c>
      <c r="F863" s="42" t="str">
        <f t="shared" si="864"/>
        <v>Macayug, Mangaldan, Pangasinan</v>
      </c>
      <c r="G863" s="42" t="str">
        <f t="shared" si="3"/>
        <v>Macayug</v>
      </c>
      <c r="H863" s="42" t="str">
        <f t="shared" si="4"/>
        <v>Mangaldan</v>
      </c>
      <c r="I863" s="42" t="str">
        <f t="shared" si="5"/>
        <v>Pangasinan</v>
      </c>
      <c r="J863" s="42" t="str">
        <f t="array" ref="J863">XLOOKUP($E863,'Recipients REF'!$B:$B,'Recipients REF'!D:D,"",0)</f>
        <v>Tito Revilla</v>
      </c>
      <c r="K863" s="42" t="str">
        <f t="array" ref="K863">XLOOKUP($E863,'Recipients REF'!$B:$B,'Recipients REF'!E:E,"",0)</f>
        <v>0919-523-4743</v>
      </c>
      <c r="L863" s="43" t="str">
        <f t="array" ref="L863">XLOOKUP($A863,'Recipients REF'!$A:$A,'Recipients REF'!F:F,"",0)</f>
        <v>RCEF 24-04-15</v>
      </c>
      <c r="M863" s="43">
        <f t="array" ref="M863">XLOOKUP($A863,'Recipients REF'!$A:$A,'Recipients REF'!G:G,"",0)</f>
        <v>6</v>
      </c>
      <c r="N863" s="43">
        <f t="array" ref="N863">XLOOKUP($A863,'Recipients REF'!$A:$A,'Recipients REF'!H:H,"",0)</f>
        <v>19968</v>
      </c>
      <c r="O863" s="44" t="s">
        <v>25</v>
      </c>
      <c r="P863" s="45" t="s">
        <v>26</v>
      </c>
      <c r="Q863" s="46" t="str">
        <f t="array" ref="Q863">XLOOKUP($A863,'Recipients REF'!$A:$A,'Recipients REF'!I:I,"",0)</f>
        <v>KMC5825ATRFPV0922</v>
      </c>
      <c r="R863" s="47" t="str">
        <f t="array" ref="R863">XLOOKUP($A863,'Recipients REF'!$A:$A,'Recipients REF'!J:J,"",0)</f>
        <v>RTS100740</v>
      </c>
      <c r="S863" s="45" t="s">
        <v>27</v>
      </c>
      <c r="T863" s="45" t="s">
        <v>28</v>
      </c>
      <c r="U863" s="46" t="str">
        <f t="array" ref="U863">XLOOKUP($A863,'Recipients REF'!$A:$A,'Recipients REF'!K:K,"",0)</f>
        <v>LSGW170-RMP-24100947</v>
      </c>
      <c r="V863" s="44" t="s">
        <v>29</v>
      </c>
      <c r="W863" s="45" t="s">
        <v>30</v>
      </c>
      <c r="X863" s="47" t="str">
        <f t="array" ref="X863">XLOOKUP($A863,'Recipients REF'!$A:$A,'Recipients REF'!L:L,"",0)</f>
        <v>WDP40-RMP-24121447</v>
      </c>
      <c r="Y863" s="48" t="s">
        <v>29</v>
      </c>
      <c r="Z863" s="48" t="s">
        <v>31</v>
      </c>
      <c r="AA863" s="46" t="str">
        <f t="array" ref="AA863">XLOOKUP($A863,'Recipients REF'!$A:$A,'Recipients REF'!M:M,"",0)</f>
        <v>WR-SERIES-1116PH</v>
      </c>
      <c r="AB863" s="49"/>
      <c r="AC863" s="42"/>
      <c r="AD863" s="42"/>
      <c r="AE863" s="50"/>
      <c r="AF863" s="42"/>
      <c r="AG863" s="42"/>
      <c r="AH863" s="42"/>
      <c r="AI863" s="42" t="str">
        <f t="array" ref="AI863">XLOOKUP($E863,Sheet11!$D:$D,Sheet11!$X:$X,"",0)</f>
        <v/>
      </c>
      <c r="AJ863" s="42" t="str">
        <f t="array" ref="AJ863">XLOOKUP($E863,Sheet11!$D:$D,Sheet11!$Y:$Y,"",0)</f>
        <v/>
      </c>
    </row>
    <row r="864">
      <c r="A864" s="41">
        <v>495.0</v>
      </c>
      <c r="B864" s="42" t="s">
        <v>1695</v>
      </c>
      <c r="C864" s="42" t="s">
        <v>1696</v>
      </c>
      <c r="D864" s="42"/>
      <c r="E864" s="42" t="str">
        <f t="shared" ref="E864:F864" si="865">PROPER(B864)</f>
        <v>Brgy. San Jose San Jacinto Pangasinan Farmers Association Inc.</v>
      </c>
      <c r="F864" s="42" t="str">
        <f t="shared" si="865"/>
        <v>San Jose, San Jacinto, Pangasinan</v>
      </c>
      <c r="G864" s="42" t="str">
        <f t="shared" si="3"/>
        <v>San Jose</v>
      </c>
      <c r="H864" s="42" t="str">
        <f t="shared" si="4"/>
        <v>San Jacinto</v>
      </c>
      <c r="I864" s="42" t="str">
        <f t="shared" si="5"/>
        <v>Pangasinan</v>
      </c>
      <c r="J864" s="42" t="str">
        <f t="array" ref="J864">XLOOKUP($E864,'Recipients REF'!$B:$B,'Recipients REF'!D:D,"",0)</f>
        <v>Jerwin F. Nicomedez</v>
      </c>
      <c r="K864" s="42" t="str">
        <f t="array" ref="K864">XLOOKUP($E864,'Recipients REF'!$B:$B,'Recipients REF'!E:E,"",0)</f>
        <v>0948-484-4039</v>
      </c>
      <c r="L864" s="43" t="str">
        <f t="array" ref="L864">XLOOKUP($A864,'Recipients REF'!$A:$A,'Recipients REF'!F:F,"",0)</f>
        <v>RCEF 24-04-15</v>
      </c>
      <c r="M864" s="43">
        <f t="array" ref="M864">XLOOKUP($A864,'Recipients REF'!$A:$A,'Recipients REF'!G:G,"",0)</f>
        <v>6</v>
      </c>
      <c r="N864" s="43">
        <f t="array" ref="N864">XLOOKUP($A864,'Recipients REF'!$A:$A,'Recipients REF'!H:H,"",0)</f>
        <v>19969</v>
      </c>
      <c r="O864" s="44" t="s">
        <v>25</v>
      </c>
      <c r="P864" s="45" t="s">
        <v>26</v>
      </c>
      <c r="Q864" s="46" t="str">
        <f t="array" ref="Q864">XLOOKUP($A864,'Recipients REF'!$A:$A,'Recipients REF'!I:I,"",0)</f>
        <v>KMC5825ACRFPV0781</v>
      </c>
      <c r="R864" s="47" t="str">
        <f t="array" ref="R864">XLOOKUP($A864,'Recipients REF'!$A:$A,'Recipients REF'!J:J,"",0)</f>
        <v>RTS100662</v>
      </c>
      <c r="S864" s="45" t="s">
        <v>27</v>
      </c>
      <c r="T864" s="45" t="s">
        <v>28</v>
      </c>
      <c r="U864" s="46" t="str">
        <f t="array" ref="U864">XLOOKUP($A864,'Recipients REF'!$A:$A,'Recipients REF'!K:K,"",0)</f>
        <v>LSGW170-RMP-24100961</v>
      </c>
      <c r="V864" s="44" t="s">
        <v>29</v>
      </c>
      <c r="W864" s="45" t="s">
        <v>30</v>
      </c>
      <c r="X864" s="47" t="str">
        <f t="array" ref="X864">XLOOKUP($A864,'Recipients REF'!$A:$A,'Recipients REF'!L:L,"",0)</f>
        <v>WDP40-RMP-24121471</v>
      </c>
      <c r="Y864" s="48" t="s">
        <v>29</v>
      </c>
      <c r="Z864" s="48" t="s">
        <v>31</v>
      </c>
      <c r="AA864" s="46" t="str">
        <f t="array" ref="AA864">XLOOKUP($A864,'Recipients REF'!$A:$A,'Recipients REF'!M:M,"",0)</f>
        <v>WR-SERIES-1106PH</v>
      </c>
      <c r="AB864" s="49"/>
      <c r="AC864" s="42"/>
      <c r="AD864" s="42"/>
      <c r="AE864" s="50"/>
      <c r="AF864" s="42"/>
      <c r="AG864" s="42"/>
      <c r="AH864" s="42"/>
      <c r="AI864" s="42" t="str">
        <f t="array" ref="AI864">XLOOKUP($E864,Sheet11!$D:$D,Sheet11!$X:$X,"",0)</f>
        <v/>
      </c>
      <c r="AJ864" s="42" t="str">
        <f t="array" ref="AJ864">XLOOKUP($E864,Sheet11!$D:$D,Sheet11!$Y:$Y,"",0)</f>
        <v/>
      </c>
    </row>
    <row r="865">
      <c r="A865" s="41">
        <v>496.0</v>
      </c>
      <c r="B865" s="42" t="s">
        <v>1697</v>
      </c>
      <c r="C865" s="42" t="s">
        <v>1698</v>
      </c>
      <c r="D865" s="42"/>
      <c r="E865" s="42" t="str">
        <f t="shared" ref="E865:F865" si="866">PROPER(B865)</f>
        <v>Canlubatog Farmers Association Inc.</v>
      </c>
      <c r="F865" s="42" t="str">
        <f t="shared" si="866"/>
        <v>Amagbagan, Pozorrubio, Pangasinan</v>
      </c>
      <c r="G865" s="42" t="str">
        <f t="shared" si="3"/>
        <v>Amagbagan</v>
      </c>
      <c r="H865" s="42" t="str">
        <f t="shared" si="4"/>
        <v>Pozorrubio</v>
      </c>
      <c r="I865" s="42" t="str">
        <f t="shared" si="5"/>
        <v>Pangasinan</v>
      </c>
      <c r="J865" s="42" t="str">
        <f t="array" ref="J865">XLOOKUP($E865,'Recipients REF'!$B:$B,'Recipients REF'!D:D,"",0)</f>
        <v>Juan B. Calpotura Jr.</v>
      </c>
      <c r="K865" s="42">
        <f t="array" ref="K865">XLOOKUP($E865,'Recipients REF'!$B:$B,'Recipients REF'!E:E,"",0)</f>
        <v>9955164969</v>
      </c>
      <c r="L865" s="43" t="str">
        <f t="array" ref="L865">XLOOKUP($A865,'Recipients REF'!$A:$A,'Recipients REF'!F:F,"",0)</f>
        <v>RCEF 24-04-15</v>
      </c>
      <c r="M865" s="43">
        <f t="array" ref="M865">XLOOKUP($A865,'Recipients REF'!$A:$A,'Recipients REF'!G:G,"",0)</f>
        <v>6</v>
      </c>
      <c r="N865" s="43">
        <f t="array" ref="N865">XLOOKUP($A865,'Recipients REF'!$A:$A,'Recipients REF'!H:H,"",0)</f>
        <v>19970</v>
      </c>
      <c r="O865" s="44" t="s">
        <v>25</v>
      </c>
      <c r="P865" s="45" t="s">
        <v>26</v>
      </c>
      <c r="Q865" s="46" t="str">
        <f t="array" ref="Q865">XLOOKUP($A865,'Recipients REF'!$A:$A,'Recipients REF'!I:I,"",0)</f>
        <v>KMC5825AKRFPV0941</v>
      </c>
      <c r="R865" s="47" t="str">
        <f t="array" ref="R865">XLOOKUP($A865,'Recipients REF'!$A:$A,'Recipients REF'!J:J,"",0)</f>
        <v>RTS100838</v>
      </c>
      <c r="S865" s="45" t="s">
        <v>27</v>
      </c>
      <c r="T865" s="45" t="s">
        <v>28</v>
      </c>
      <c r="U865" s="46" t="str">
        <f t="array" ref="U865">XLOOKUP($A865,'Recipients REF'!$A:$A,'Recipients REF'!K:K,"",0)</f>
        <v>LSGW170-RMP-24100950</v>
      </c>
      <c r="V865" s="44" t="s">
        <v>29</v>
      </c>
      <c r="W865" s="45" t="s">
        <v>30</v>
      </c>
      <c r="X865" s="47" t="str">
        <f t="array" ref="X865">XLOOKUP($A865,'Recipients REF'!$A:$A,'Recipients REF'!L:L,"",0)</f>
        <v>WDP40-RMP-24121457</v>
      </c>
      <c r="Y865" s="48" t="s">
        <v>29</v>
      </c>
      <c r="Z865" s="48" t="s">
        <v>31</v>
      </c>
      <c r="AA865" s="46" t="str">
        <f t="array" ref="AA865">XLOOKUP($A865,'Recipients REF'!$A:$A,'Recipients REF'!M:M,"",0)</f>
        <v>WR-SERIES-1098PH</v>
      </c>
      <c r="AB865" s="49"/>
      <c r="AC865" s="42"/>
      <c r="AD865" s="42"/>
      <c r="AE865" s="50"/>
      <c r="AF865" s="42"/>
      <c r="AG865" s="42"/>
      <c r="AH865" s="42"/>
      <c r="AI865" s="42" t="str">
        <f t="array" ref="AI865">XLOOKUP($E865,Sheet11!$D:$D,Sheet11!$X:$X,"",0)</f>
        <v/>
      </c>
      <c r="AJ865" s="42" t="str">
        <f t="array" ref="AJ865">XLOOKUP($E865,Sheet11!$D:$D,Sheet11!$Y:$Y,"",0)</f>
        <v/>
      </c>
    </row>
    <row r="866">
      <c r="A866" s="41">
        <v>497.0</v>
      </c>
      <c r="B866" s="42" t="s">
        <v>1699</v>
      </c>
      <c r="C866" s="42" t="s">
        <v>1700</v>
      </c>
      <c r="D866" s="42"/>
      <c r="E866" s="42" t="str">
        <f t="shared" ref="E866:F866" si="867">PROPER(B866)</f>
        <v>Naragsak Dmd Farmers Irrigators Association Inc.</v>
      </c>
      <c r="F866" s="42" t="str">
        <f t="shared" si="867"/>
        <v>Domanpot, Asingan, Pangasinan</v>
      </c>
      <c r="G866" s="42" t="str">
        <f t="shared" si="3"/>
        <v>Domanpot</v>
      </c>
      <c r="H866" s="42" t="str">
        <f t="shared" si="4"/>
        <v>Asingan</v>
      </c>
      <c r="I866" s="42" t="str">
        <f t="shared" si="5"/>
        <v>Pangasinan</v>
      </c>
      <c r="J866" s="42" t="str">
        <f t="array" ref="J866">XLOOKUP($E866,'Recipients REF'!$B:$B,'Recipients REF'!D:D,"",0)</f>
        <v>Alfredo P. Ranot</v>
      </c>
      <c r="K866" s="42" t="str">
        <f t="array" ref="K866">XLOOKUP($E866,'Recipients REF'!$B:$B,'Recipients REF'!E:E,"",0)</f>
        <v>0943 133 9838</v>
      </c>
      <c r="L866" s="43" t="str">
        <f t="array" ref="L866">XLOOKUP($A866,'Recipients REF'!$A:$A,'Recipients REF'!F:F,"",0)</f>
        <v>RCEF 24-04-15</v>
      </c>
      <c r="M866" s="43">
        <f t="array" ref="M866">XLOOKUP($A866,'Recipients REF'!$A:$A,'Recipients REF'!G:G,"",0)</f>
        <v>6</v>
      </c>
      <c r="N866" s="43">
        <f t="array" ref="N866">XLOOKUP($A866,'Recipients REF'!$A:$A,'Recipients REF'!H:H,"",0)</f>
        <v>19971</v>
      </c>
      <c r="O866" s="44" t="s">
        <v>25</v>
      </c>
      <c r="P866" s="45" t="s">
        <v>26</v>
      </c>
      <c r="Q866" s="46" t="str">
        <f t="array" ref="Q866">XLOOKUP($A866,'Recipients REF'!$A:$A,'Recipients REF'!I:I,"",0)</f>
        <v>KMC5825AERFPV0903</v>
      </c>
      <c r="R866" s="47" t="str">
        <f t="array" ref="R866">XLOOKUP($A866,'Recipients REF'!$A:$A,'Recipients REF'!J:J,"",0)</f>
        <v>RTS100810</v>
      </c>
      <c r="S866" s="45" t="s">
        <v>27</v>
      </c>
      <c r="T866" s="45" t="s">
        <v>28</v>
      </c>
      <c r="U866" s="46" t="str">
        <f t="array" ref="U866">XLOOKUP($A866,'Recipients REF'!$A:$A,'Recipients REF'!K:K,"",0)</f>
        <v>LSGW170-RMP-24101043</v>
      </c>
      <c r="V866" s="44" t="s">
        <v>29</v>
      </c>
      <c r="W866" s="45" t="s">
        <v>30</v>
      </c>
      <c r="X866" s="47" t="str">
        <f t="array" ref="X866">XLOOKUP($A866,'Recipients REF'!$A:$A,'Recipients REF'!L:L,"",0)</f>
        <v>WDP40-RMP-24121469</v>
      </c>
      <c r="Y866" s="48" t="s">
        <v>29</v>
      </c>
      <c r="Z866" s="48" t="s">
        <v>31</v>
      </c>
      <c r="AA866" s="46" t="str">
        <f t="array" ref="AA866">XLOOKUP($A866,'Recipients REF'!$A:$A,'Recipients REF'!M:M,"",0)</f>
        <v>WR-SERIES-1226PH</v>
      </c>
      <c r="AB866" s="49"/>
      <c r="AC866" s="42"/>
      <c r="AD866" s="42"/>
      <c r="AE866" s="50"/>
      <c r="AF866" s="42"/>
      <c r="AG866" s="42"/>
      <c r="AH866" s="42"/>
      <c r="AI866" s="42" t="str">
        <f t="array" ref="AI866">XLOOKUP($E866,Sheet11!$D:$D,Sheet11!$X:$X,"",0)</f>
        <v/>
      </c>
      <c r="AJ866" s="42" t="str">
        <f t="array" ref="AJ866">XLOOKUP($E866,Sheet11!$D:$D,Sheet11!$Y:$Y,"",0)</f>
        <v/>
      </c>
    </row>
    <row r="867">
      <c r="A867" s="41">
        <v>498.0</v>
      </c>
      <c r="B867" s="42" t="s">
        <v>1701</v>
      </c>
      <c r="C867" s="42" t="s">
        <v>1702</v>
      </c>
      <c r="D867" s="42"/>
      <c r="E867" s="42" t="str">
        <f t="shared" ref="E867:F867" si="868">PROPER(B867)</f>
        <v>Bless Multipurpose Cooperative</v>
      </c>
      <c r="F867" s="42" t="str">
        <f t="shared" si="868"/>
        <v>San Pedro West, Rosales, Pangasinan</v>
      </c>
      <c r="G867" s="42" t="str">
        <f t="shared" si="3"/>
        <v>San Pedro West</v>
      </c>
      <c r="H867" s="42" t="str">
        <f t="shared" si="4"/>
        <v>Rosales</v>
      </c>
      <c r="I867" s="42" t="str">
        <f t="shared" si="5"/>
        <v>Pangasinan</v>
      </c>
      <c r="J867" s="42" t="str">
        <f t="array" ref="J867">XLOOKUP($E867,'Recipients REF'!$B:$B,'Recipients REF'!D:D,"",0)</f>
        <v>MANUEL S. BALAGSO</v>
      </c>
      <c r="K867" s="42" t="str">
        <f t="array" ref="K867">XLOOKUP($E867,'Recipients REF'!$B:$B,'Recipients REF'!E:E,"",0)</f>
        <v>0995-980-7880</v>
      </c>
      <c r="L867" s="43" t="str">
        <f t="array" ref="L867">XLOOKUP($A867,'Recipients REF'!$A:$A,'Recipients REF'!F:F,"",0)</f>
        <v>RCEF 24-04-15</v>
      </c>
      <c r="M867" s="43">
        <f t="array" ref="M867">XLOOKUP($A867,'Recipients REF'!$A:$A,'Recipients REF'!G:G,"",0)</f>
        <v>6</v>
      </c>
      <c r="N867" s="43">
        <f t="array" ref="N867">XLOOKUP($A867,'Recipients REF'!$A:$A,'Recipients REF'!H:H,"",0)</f>
        <v>19972</v>
      </c>
      <c r="O867" s="44" t="s">
        <v>25</v>
      </c>
      <c r="P867" s="45" t="s">
        <v>26</v>
      </c>
      <c r="Q867" s="46" t="str">
        <f t="array" ref="Q867">XLOOKUP($A867,'Recipients REF'!$A:$A,'Recipients REF'!I:I,"",0)</f>
        <v>KMC5825ACRFPV0885</v>
      </c>
      <c r="R867" s="47" t="str">
        <f t="array" ref="R867">XLOOKUP($A867,'Recipients REF'!$A:$A,'Recipients REF'!J:J,"",0)</f>
        <v>RTS100803</v>
      </c>
      <c r="S867" s="45" t="s">
        <v>27</v>
      </c>
      <c r="T867" s="45" t="s">
        <v>28</v>
      </c>
      <c r="U867" s="46" t="str">
        <f t="array" ref="U867">XLOOKUP($A867,'Recipients REF'!$A:$A,'Recipients REF'!K:K,"",0)</f>
        <v>LSGW170-RMP-24100985</v>
      </c>
      <c r="V867" s="44" t="s">
        <v>29</v>
      </c>
      <c r="W867" s="45" t="s">
        <v>30</v>
      </c>
      <c r="X867" s="47" t="str">
        <f t="array" ref="X867">XLOOKUP($A867,'Recipients REF'!$A:$A,'Recipients REF'!L:L,"",0)</f>
        <v>WDP40-RMP-24121470</v>
      </c>
      <c r="Y867" s="48" t="s">
        <v>29</v>
      </c>
      <c r="Z867" s="48" t="s">
        <v>31</v>
      </c>
      <c r="AA867" s="46" t="str">
        <f t="array" ref="AA867">XLOOKUP($A867,'Recipients REF'!$A:$A,'Recipients REF'!M:M,"",0)</f>
        <v>WR-SERIES-1235PH</v>
      </c>
      <c r="AB867" s="49"/>
      <c r="AC867" s="42"/>
      <c r="AD867" s="42"/>
      <c r="AE867" s="50"/>
      <c r="AF867" s="42"/>
      <c r="AG867" s="42"/>
      <c r="AH867" s="42"/>
      <c r="AI867" s="42" t="str">
        <f t="array" ref="AI867">XLOOKUP($E867,Sheet11!$D:$D,Sheet11!$X:$X,"",0)</f>
        <v/>
      </c>
      <c r="AJ867" s="42" t="str">
        <f t="array" ref="AJ867">XLOOKUP($E867,Sheet11!$D:$D,Sheet11!$Y:$Y,"",0)</f>
        <v/>
      </c>
    </row>
    <row r="868">
      <c r="A868" s="41">
        <v>499.0</v>
      </c>
      <c r="B868" s="42" t="s">
        <v>1703</v>
      </c>
      <c r="C868" s="42" t="s">
        <v>1704</v>
      </c>
      <c r="D868" s="42"/>
      <c r="E868" s="42" t="str">
        <f t="shared" ref="E868:F868" si="869">PROPER(B868)</f>
        <v>Naevam Irrigators Association, Inc.</v>
      </c>
      <c r="F868" s="42" t="str">
        <f t="shared" si="869"/>
        <v>Nangapugan, San Quintin, Pangasinan</v>
      </c>
      <c r="G868" s="42" t="str">
        <f t="shared" si="3"/>
        <v>Nangapugan</v>
      </c>
      <c r="H868" s="42" t="str">
        <f t="shared" si="4"/>
        <v>San Quintin</v>
      </c>
      <c r="I868" s="42" t="str">
        <f t="shared" si="5"/>
        <v>Pangasinan</v>
      </c>
      <c r="J868" s="42" t="str">
        <f t="array" ref="J868">XLOOKUP($E868,'Recipients REF'!$B:$B,'Recipients REF'!D:D,"",0)</f>
        <v>Armando O. Paluyo</v>
      </c>
      <c r="K868" s="42" t="str">
        <f t="array" ref="K868">XLOOKUP($E868,'Recipients REF'!$B:$B,'Recipients REF'!E:E,"",0)</f>
        <v>0956-941-5510</v>
      </c>
      <c r="L868" s="43" t="str">
        <f t="array" ref="L868">XLOOKUP($A868,'Recipients REF'!$A:$A,'Recipients REF'!F:F,"",0)</f>
        <v>RCEF 24-04-15</v>
      </c>
      <c r="M868" s="43">
        <f t="array" ref="M868">XLOOKUP($A868,'Recipients REF'!$A:$A,'Recipients REF'!G:G,"",0)</f>
        <v>6</v>
      </c>
      <c r="N868" s="43">
        <f t="array" ref="N868">XLOOKUP($A868,'Recipients REF'!$A:$A,'Recipients REF'!H:H,"",0)</f>
        <v>19973</v>
      </c>
      <c r="O868" s="44" t="s">
        <v>25</v>
      </c>
      <c r="P868" s="45" t="s">
        <v>26</v>
      </c>
      <c r="Q868" s="46" t="str">
        <f t="array" ref="Q868">XLOOKUP($A868,'Recipients REF'!$A:$A,'Recipients REF'!I:I,"",0)</f>
        <v>KMC5825AVRFPV0830</v>
      </c>
      <c r="R868" s="47" t="str">
        <f t="array" ref="R868">XLOOKUP($A868,'Recipients REF'!$A:$A,'Recipients REF'!J:J,"",0)</f>
        <v>RTS100732</v>
      </c>
      <c r="S868" s="45" t="s">
        <v>27</v>
      </c>
      <c r="T868" s="45" t="s">
        <v>28</v>
      </c>
      <c r="U868" s="46" t="str">
        <f t="array" ref="U868">XLOOKUP($A868,'Recipients REF'!$A:$A,'Recipients REF'!K:K,"",0)</f>
        <v>LSGW170-RMP-24100951</v>
      </c>
      <c r="V868" s="44" t="s">
        <v>29</v>
      </c>
      <c r="W868" s="45" t="s">
        <v>30</v>
      </c>
      <c r="X868" s="47" t="str">
        <f t="array" ref="X868">XLOOKUP($A868,'Recipients REF'!$A:$A,'Recipients REF'!L:L,"",0)</f>
        <v>WDP40-RMP-24121445</v>
      </c>
      <c r="Y868" s="48" t="s">
        <v>29</v>
      </c>
      <c r="Z868" s="48" t="s">
        <v>31</v>
      </c>
      <c r="AA868" s="46" t="str">
        <f t="array" ref="AA868">XLOOKUP($A868,'Recipients REF'!$A:$A,'Recipients REF'!M:M,"",0)</f>
        <v>WR-SERIES-1092PH</v>
      </c>
      <c r="AB868" s="49"/>
      <c r="AC868" s="42"/>
      <c r="AD868" s="42"/>
      <c r="AE868" s="50"/>
      <c r="AF868" s="42"/>
      <c r="AG868" s="42"/>
      <c r="AH868" s="42"/>
      <c r="AI868" s="42" t="str">
        <f t="array" ref="AI868">XLOOKUP($E868,Sheet11!$D:$D,Sheet11!$X:$X,"",0)</f>
        <v/>
      </c>
      <c r="AJ868" s="42" t="str">
        <f t="array" ref="AJ868">XLOOKUP($E868,Sheet11!$D:$D,Sheet11!$Y:$Y,"",0)</f>
        <v/>
      </c>
    </row>
    <row r="869">
      <c r="A869" s="41">
        <v>500.0</v>
      </c>
      <c r="B869" s="42" t="s">
        <v>1705</v>
      </c>
      <c r="C869" s="42" t="s">
        <v>1706</v>
      </c>
      <c r="D869" s="42"/>
      <c r="E869" s="42" t="str">
        <f t="shared" ref="E869:F869" si="870">PROPER(B869)</f>
        <v>Santa Maria Pangasinan Integrated Farming Association, Inc.</v>
      </c>
      <c r="F869" s="42" t="str">
        <f t="shared" si="870"/>
        <v>Poblacion West, Santa Maria, Pangasinan</v>
      </c>
      <c r="G869" s="42" t="str">
        <f t="shared" si="3"/>
        <v>Poblacion West</v>
      </c>
      <c r="H869" s="42" t="str">
        <f t="shared" si="4"/>
        <v>Santa Maria</v>
      </c>
      <c r="I869" s="42" t="str">
        <f t="shared" si="5"/>
        <v>Pangasinan</v>
      </c>
      <c r="J869" s="42" t="str">
        <f t="array" ref="J869">XLOOKUP($E869,'Recipients REF'!$B:$B,'Recipients REF'!D:D,"",0)</f>
        <v>Noli V. Ganaden</v>
      </c>
      <c r="K869" s="42">
        <f t="array" ref="K869">XLOOKUP($E869,'Recipients REF'!$B:$B,'Recipients REF'!E:E,"",0)</f>
        <v>9165797602</v>
      </c>
      <c r="L869" s="43" t="str">
        <f t="array" ref="L869">XLOOKUP($A869,'Recipients REF'!$A:$A,'Recipients REF'!F:F,"",0)</f>
        <v>RCEF 24-04-15</v>
      </c>
      <c r="M869" s="43">
        <f t="array" ref="M869">XLOOKUP($A869,'Recipients REF'!$A:$A,'Recipients REF'!G:G,"",0)</f>
        <v>6</v>
      </c>
      <c r="N869" s="43">
        <f t="array" ref="N869">XLOOKUP($A869,'Recipients REF'!$A:$A,'Recipients REF'!H:H,"",0)</f>
        <v>19974</v>
      </c>
      <c r="O869" s="44" t="s">
        <v>25</v>
      </c>
      <c r="P869" s="45" t="s">
        <v>26</v>
      </c>
      <c r="Q869" s="46" t="str">
        <f t="array" ref="Q869">XLOOKUP($A869,'Recipients REF'!$A:$A,'Recipients REF'!I:I,"",0)</f>
        <v>KMC5825AHRFPV0933</v>
      </c>
      <c r="R869" s="47" t="str">
        <f t="array" ref="R869">XLOOKUP($A869,'Recipients REF'!$A:$A,'Recipients REF'!J:J,"",0)</f>
        <v>RTS100749</v>
      </c>
      <c r="S869" s="45" t="s">
        <v>27</v>
      </c>
      <c r="T869" s="45" t="s">
        <v>28</v>
      </c>
      <c r="U869" s="46" t="str">
        <f t="array" ref="U869">XLOOKUP($A869,'Recipients REF'!$A:$A,'Recipients REF'!K:K,"",0)</f>
        <v>LSGW170-RMP-24080762</v>
      </c>
      <c r="V869" s="44" t="s">
        <v>29</v>
      </c>
      <c r="W869" s="45" t="s">
        <v>30</v>
      </c>
      <c r="X869" s="47" t="str">
        <f t="array" ref="X869">XLOOKUP($A869,'Recipients REF'!$A:$A,'Recipients REF'!L:L,"",0)</f>
        <v>WDP40-RMP-24121476</v>
      </c>
      <c r="Y869" s="48" t="s">
        <v>29</v>
      </c>
      <c r="Z869" s="48" t="s">
        <v>31</v>
      </c>
      <c r="AA869" s="46" t="str">
        <f t="array" ref="AA869">XLOOKUP($A869,'Recipients REF'!$A:$A,'Recipients REF'!M:M,"",0)</f>
        <v>WR-SERIES-1090PH</v>
      </c>
      <c r="AB869" s="49"/>
      <c r="AC869" s="42"/>
      <c r="AD869" s="42"/>
      <c r="AE869" s="50"/>
      <c r="AF869" s="42"/>
      <c r="AG869" s="42"/>
      <c r="AH869" s="42"/>
      <c r="AI869" s="42" t="str">
        <f t="array" ref="AI869">XLOOKUP($E869,Sheet11!$D:$D,Sheet11!$X:$X,"",0)</f>
        <v/>
      </c>
      <c r="AJ869" s="42" t="str">
        <f t="array" ref="AJ869">XLOOKUP($E869,Sheet11!$D:$D,Sheet11!$Y:$Y,"",0)</f>
        <v/>
      </c>
    </row>
    <row r="870">
      <c r="A870" s="41">
        <v>974.0</v>
      </c>
      <c r="B870" s="42" t="s">
        <v>1707</v>
      </c>
      <c r="C870" s="42" t="s">
        <v>1644</v>
      </c>
      <c r="D870" s="42"/>
      <c r="E870" s="42" t="str">
        <f t="shared" ref="E870:F870" si="871">PROPER(B870)</f>
        <v>Bliss Buenlag Group Of Small Farmers Association Inc.</v>
      </c>
      <c r="F870" s="42" t="str">
        <f t="shared" si="871"/>
        <v>Nancamaliran West, Urdaneta City, Pangasinan</v>
      </c>
      <c r="G870" s="42" t="str">
        <f t="shared" si="3"/>
        <v>Nancamaliran West</v>
      </c>
      <c r="H870" s="42" t="str">
        <f t="shared" si="4"/>
        <v>Urdaneta City</v>
      </c>
      <c r="I870" s="42" t="str">
        <f t="shared" si="5"/>
        <v>Pangasinan</v>
      </c>
      <c r="J870" s="42" t="str">
        <f t="array" ref="J870">XLOOKUP($E870,'Recipients REF'!$B:$B,'Recipients REF'!D:D,"",0)</f>
        <v>Jimmy B. Mines</v>
      </c>
      <c r="K870" s="42" t="str">
        <f t="array" ref="K870">XLOOKUP($E870,'Recipients REF'!$B:$B,'Recipients REF'!E:E,"",0)</f>
        <v>0906 521 8910</v>
      </c>
      <c r="L870" s="43" t="str">
        <f t="array" ref="L870">XLOOKUP($A870,'Recipients REF'!$A:$A,'Recipients REF'!F:F,"",0)</f>
        <v>Repeat Order</v>
      </c>
      <c r="M870" s="43">
        <f t="array" ref="M870">XLOOKUP($A870,'Recipients REF'!$A:$A,'Recipients REF'!G:G,"",0)</f>
        <v>6</v>
      </c>
      <c r="N870" s="43">
        <f t="array" ref="N870">XLOOKUP($A870,'Recipients REF'!$A:$A,'Recipients REF'!H:H,"",0)</f>
        <v>23110</v>
      </c>
      <c r="O870" s="44" t="s">
        <v>25</v>
      </c>
      <c r="P870" s="45" t="s">
        <v>26</v>
      </c>
      <c r="Q870" s="46" t="str">
        <f t="array" ref="Q870">XLOOKUP($A870,'Recipients REF'!$A:$A,'Recipients REF'!I:I,"",0)</f>
        <v>KMC5825ACRFPV1079</v>
      </c>
      <c r="R870" s="47" t="str">
        <f t="array" ref="R870">XLOOKUP($A870,'Recipients REF'!$A:$A,'Recipients REF'!J:J,"",0)</f>
        <v>RTS100933</v>
      </c>
      <c r="S870" s="45" t="s">
        <v>27</v>
      </c>
      <c r="T870" s="45" t="s">
        <v>28</v>
      </c>
      <c r="U870" s="46" t="str">
        <f t="array" ref="U870">XLOOKUP($A870,'Recipients REF'!$A:$A,'Recipients REF'!K:K,"",0)</f>
        <v>LSGW1750-RMP-24111129</v>
      </c>
      <c r="V870" s="44" t="s">
        <v>29</v>
      </c>
      <c r="W870" s="45" t="s">
        <v>30</v>
      </c>
      <c r="X870" s="47" t="str">
        <f t="array" ref="X870">XLOOKUP($A870,'Recipients REF'!$A:$A,'Recipients REF'!L:L,"",0)</f>
        <v>WDP40-RMP-25030417</v>
      </c>
      <c r="Y870" s="48" t="s">
        <v>29</v>
      </c>
      <c r="Z870" s="48" t="s">
        <v>31</v>
      </c>
      <c r="AA870" s="46" t="str">
        <f t="array" ref="AA870">XLOOKUP($A870,'Recipients REF'!$A:$A,'Recipients REF'!M:M,"",0)</f>
        <v>WR-SERIES-1320PH</v>
      </c>
      <c r="AB870" s="49"/>
      <c r="AC870" s="42"/>
      <c r="AD870" s="42"/>
      <c r="AE870" s="50"/>
      <c r="AF870" s="42"/>
      <c r="AG870" s="42"/>
      <c r="AH870" s="42"/>
      <c r="AI870" s="42" t="str">
        <f t="array" ref="AI870">XLOOKUP($E870,Sheet11!$D:$D,Sheet11!$X:$X,"",0)</f>
        <v/>
      </c>
      <c r="AJ870" s="42" t="str">
        <f t="array" ref="AJ870">XLOOKUP($E870,Sheet11!$D:$D,Sheet11!$Y:$Y,"",0)</f>
        <v/>
      </c>
    </row>
    <row r="871">
      <c r="A871" s="41">
        <v>975.0</v>
      </c>
      <c r="B871" s="42" t="s">
        <v>1708</v>
      </c>
      <c r="C871" s="42" t="s">
        <v>1709</v>
      </c>
      <c r="D871" s="42"/>
      <c r="E871" s="42" t="str">
        <f t="shared" ref="E871:F871" si="872">PROPER(B871)</f>
        <v>Alacsan Sq Irrigators Association, Inc</v>
      </c>
      <c r="F871" s="42" t="str">
        <f t="shared" si="872"/>
        <v>Alac, San Quintin, Pangasinan</v>
      </c>
      <c r="G871" s="42" t="str">
        <f t="shared" si="3"/>
        <v>Alac</v>
      </c>
      <c r="H871" s="42" t="str">
        <f t="shared" si="4"/>
        <v>San Quintin</v>
      </c>
      <c r="I871" s="42" t="str">
        <f t="shared" si="5"/>
        <v>Pangasinan</v>
      </c>
      <c r="J871" s="42" t="str">
        <f t="array" ref="J871">XLOOKUP($E871,'Recipients REF'!$B:$B,'Recipients REF'!D:D,"",0)</f>
        <v>Leodegario M. Fariñas</v>
      </c>
      <c r="K871" s="42" t="str">
        <f t="array" ref="K871">XLOOKUP($E871,'Recipients REF'!$B:$B,'Recipients REF'!E:E,"",0)</f>
        <v>0995-378-5021</v>
      </c>
      <c r="L871" s="43" t="str">
        <f t="array" ref="L871">XLOOKUP($A871,'Recipients REF'!$A:$A,'Recipients REF'!F:F,"",0)</f>
        <v>Repeat Order</v>
      </c>
      <c r="M871" s="43">
        <f t="array" ref="M871">XLOOKUP($A871,'Recipients REF'!$A:$A,'Recipients REF'!G:G,"",0)</f>
        <v>6</v>
      </c>
      <c r="N871" s="43">
        <f t="array" ref="N871">XLOOKUP($A871,'Recipients REF'!$A:$A,'Recipients REF'!H:H,"",0)</f>
        <v>23111</v>
      </c>
      <c r="O871" s="44" t="s">
        <v>25</v>
      </c>
      <c r="P871" s="45" t="s">
        <v>26</v>
      </c>
      <c r="Q871" s="46" t="str">
        <f t="array" ref="Q871">XLOOKUP($A871,'Recipients REF'!$A:$A,'Recipients REF'!I:I,"",0)</f>
        <v>KMC5825AERFPV1078</v>
      </c>
      <c r="R871" s="47" t="str">
        <f t="array" ref="R871">XLOOKUP($A871,'Recipients REF'!$A:$A,'Recipients REF'!J:J,"",0)</f>
        <v>RTS100957</v>
      </c>
      <c r="S871" s="45" t="s">
        <v>27</v>
      </c>
      <c r="T871" s="45" t="s">
        <v>28</v>
      </c>
      <c r="U871" s="46" t="str">
        <f t="array" ref="U871">XLOOKUP($A871,'Recipients REF'!$A:$A,'Recipients REF'!K:K,"",0)</f>
        <v>LSGW1750-RMP-24111131</v>
      </c>
      <c r="V871" s="44" t="s">
        <v>29</v>
      </c>
      <c r="W871" s="45" t="s">
        <v>30</v>
      </c>
      <c r="X871" s="47" t="str">
        <f t="array" ref="X871">XLOOKUP($A871,'Recipients REF'!$A:$A,'Recipients REF'!L:L,"",0)</f>
        <v>WDP40-RMP-25030368</v>
      </c>
      <c r="Y871" s="48" t="s">
        <v>29</v>
      </c>
      <c r="Z871" s="48" t="s">
        <v>31</v>
      </c>
      <c r="AA871" s="46" t="str">
        <f t="array" ref="AA871">XLOOKUP($A871,'Recipients REF'!$A:$A,'Recipients REF'!M:M,"",0)</f>
        <v>WR-SERIES-1310PH</v>
      </c>
      <c r="AB871" s="49"/>
      <c r="AC871" s="42"/>
      <c r="AD871" s="42"/>
      <c r="AE871" s="50"/>
      <c r="AF871" s="42"/>
      <c r="AG871" s="42"/>
      <c r="AH871" s="42"/>
      <c r="AI871" s="42" t="str">
        <f t="array" ref="AI871">XLOOKUP($E871,Sheet11!$D:$D,Sheet11!$X:$X,"",0)</f>
        <v/>
      </c>
      <c r="AJ871" s="42" t="str">
        <f t="array" ref="AJ871">XLOOKUP($E871,Sheet11!$D:$D,Sheet11!$Y:$Y,"",0)</f>
        <v/>
      </c>
    </row>
    <row r="872">
      <c r="A872" s="41">
        <v>976.0</v>
      </c>
      <c r="B872" s="42" t="s">
        <v>1710</v>
      </c>
      <c r="C872" s="42" t="s">
        <v>1711</v>
      </c>
      <c r="D872" s="42"/>
      <c r="E872" s="42" t="str">
        <f t="shared" ref="E872:F872" si="873">PROPER(B872)</f>
        <v>Cabalin Dipalo Irrigators Association, Inc.</v>
      </c>
      <c r="F872" s="42" t="str">
        <f t="shared" si="873"/>
        <v>Cabangaran, San Quintin, Pangasinan</v>
      </c>
      <c r="G872" s="42" t="str">
        <f t="shared" si="3"/>
        <v>Cabangaran</v>
      </c>
      <c r="H872" s="42" t="str">
        <f t="shared" si="4"/>
        <v>San Quintin</v>
      </c>
      <c r="I872" s="42" t="str">
        <f t="shared" si="5"/>
        <v>Pangasinan</v>
      </c>
      <c r="J872" s="42" t="str">
        <f t="array" ref="J872">XLOOKUP($E872,'Recipients REF'!$B:$B,'Recipients REF'!D:D,"",0)</f>
        <v>Ronnie A. Cornel</v>
      </c>
      <c r="K872" s="42" t="str">
        <f t="array" ref="K872">XLOOKUP($E872,'Recipients REF'!$B:$B,'Recipients REF'!E:E,"",0)</f>
        <v>0927-567-2835</v>
      </c>
      <c r="L872" s="43" t="str">
        <f t="array" ref="L872">XLOOKUP($A872,'Recipients REF'!$A:$A,'Recipients REF'!F:F,"",0)</f>
        <v>Repeat Order</v>
      </c>
      <c r="M872" s="43">
        <f t="array" ref="M872">XLOOKUP($A872,'Recipients REF'!$A:$A,'Recipients REF'!G:G,"",0)</f>
        <v>6</v>
      </c>
      <c r="N872" s="43">
        <f t="array" ref="N872">XLOOKUP($A872,'Recipients REF'!$A:$A,'Recipients REF'!H:H,"",0)</f>
        <v>23112</v>
      </c>
      <c r="O872" s="44" t="s">
        <v>25</v>
      </c>
      <c r="P872" s="45" t="s">
        <v>26</v>
      </c>
      <c r="Q872" s="46" t="str">
        <f t="array" ref="Q872">XLOOKUP($A872,'Recipients REF'!$A:$A,'Recipients REF'!I:I,"",0)</f>
        <v>KMC5825ACRFPV1048</v>
      </c>
      <c r="R872" s="47" t="str">
        <f t="array" ref="R872">XLOOKUP($A872,'Recipients REF'!$A:$A,'Recipients REF'!J:J,"",0)</f>
        <v>RTS100947</v>
      </c>
      <c r="S872" s="45" t="s">
        <v>27</v>
      </c>
      <c r="T872" s="45" t="s">
        <v>28</v>
      </c>
      <c r="U872" s="46" t="str">
        <f t="array" ref="U872">XLOOKUP($A872,'Recipients REF'!$A:$A,'Recipients REF'!K:K,"",0)</f>
        <v>LSGW1750-RMP-24090776</v>
      </c>
      <c r="V872" s="44" t="s">
        <v>29</v>
      </c>
      <c r="W872" s="45" t="s">
        <v>30</v>
      </c>
      <c r="X872" s="47" t="str">
        <f t="array" ref="X872">XLOOKUP($A872,'Recipients REF'!$A:$A,'Recipients REF'!L:L,"",0)</f>
        <v>WDP40-RMP-25030396</v>
      </c>
      <c r="Y872" s="48" t="s">
        <v>29</v>
      </c>
      <c r="Z872" s="48" t="s">
        <v>31</v>
      </c>
      <c r="AA872" s="46" t="str">
        <f t="array" ref="AA872">XLOOKUP($A872,'Recipients REF'!$A:$A,'Recipients REF'!M:M,"",0)</f>
        <v>WR-SERIES-1299PH</v>
      </c>
      <c r="AB872" s="49"/>
      <c r="AC872" s="42"/>
      <c r="AD872" s="42"/>
      <c r="AE872" s="50"/>
      <c r="AF872" s="42"/>
      <c r="AG872" s="42"/>
      <c r="AH872" s="42"/>
      <c r="AI872" s="42" t="str">
        <f t="array" ref="AI872">XLOOKUP($E872,Sheet11!$D:$D,Sheet11!$X:$X,"",0)</f>
        <v/>
      </c>
      <c r="AJ872" s="42" t="str">
        <f t="array" ref="AJ872">XLOOKUP($E872,Sheet11!$D:$D,Sheet11!$Y:$Y,"",0)</f>
        <v/>
      </c>
    </row>
    <row r="873">
      <c r="A873" s="41">
        <v>39.0</v>
      </c>
      <c r="B873" s="42" t="s">
        <v>1712</v>
      </c>
      <c r="C873" s="42" t="s">
        <v>1713</v>
      </c>
      <c r="D873" s="42"/>
      <c r="E873" s="42" t="str">
        <f t="shared" ref="E873:F873" si="874">PROPER(B873)</f>
        <v>Barangay Banugao Farmers Association</v>
      </c>
      <c r="F873" s="42" t="str">
        <f t="shared" si="874"/>
        <v>Banugao, Infanta, Quezon</v>
      </c>
      <c r="G873" s="42" t="str">
        <f t="shared" si="3"/>
        <v>Banugao</v>
      </c>
      <c r="H873" s="42" t="str">
        <f t="shared" si="4"/>
        <v>Infanta</v>
      </c>
      <c r="I873" s="42" t="str">
        <f t="shared" si="5"/>
        <v>Quezon</v>
      </c>
      <c r="J873" s="42" t="str">
        <f t="array" ref="J873">XLOOKUP($E873,'Recipients REF'!$B:$B,'Recipients REF'!D:D,"",0)</f>
        <v>Catalino Mostoles</v>
      </c>
      <c r="K873" s="42" t="str">
        <f t="array" ref="K873">XLOOKUP($E873,'Recipients REF'!$B:$B,'Recipients REF'!E:E,"",0)</f>
        <v>0920 733 8911</v>
      </c>
      <c r="L873" s="43" t="str">
        <f t="array" ref="L873">XLOOKUP($A873,'Recipients REF'!$A:$A,'Recipients REF'!F:F,"",0)</f>
        <v>RCEF 23-08-20 Rebidding</v>
      </c>
      <c r="M873" s="43">
        <f t="array" ref="M873">XLOOKUP($A873,'Recipients REF'!$A:$A,'Recipients REF'!G:G,"",0)</f>
        <v>1</v>
      </c>
      <c r="N873" s="43">
        <f t="array" ref="N873">XLOOKUP($A873,'Recipients REF'!$A:$A,'Recipients REF'!H:H,"",0)</f>
        <v>17712</v>
      </c>
      <c r="O873" s="44" t="s">
        <v>25</v>
      </c>
      <c r="P873" s="45" t="s">
        <v>26</v>
      </c>
      <c r="Q873" s="46" t="str">
        <f t="array" ref="Q873">XLOOKUP($A873,'Recipients REF'!$A:$A,'Recipients REF'!I:I,"",0)</f>
        <v>KMC5825 ACRFPV0392</v>
      </c>
      <c r="R873" s="47" t="str">
        <f t="array" ref="R873">XLOOKUP($A873,'Recipients REF'!$A:$A,'Recipients REF'!J:J,"",0)</f>
        <v>RTS100157</v>
      </c>
      <c r="S873" s="45" t="s">
        <v>27</v>
      </c>
      <c r="T873" s="45" t="s">
        <v>28</v>
      </c>
      <c r="U873" s="46" t="str">
        <f t="array" ref="U873">XLOOKUP($A873,'Recipients REF'!$A:$A,'Recipients REF'!K:K,"",0)</f>
        <v>R-SERIES 132 PH</v>
      </c>
      <c r="V873" s="44" t="s">
        <v>29</v>
      </c>
      <c r="W873" s="45" t="s">
        <v>30</v>
      </c>
      <c r="X873" s="47" t="str">
        <f t="array" ref="X873">XLOOKUP($A873,'Recipients REF'!$A:$A,'Recipients REF'!L:L,"",0)</f>
        <v>LSGW1750 RMP 2312149</v>
      </c>
      <c r="Y873" s="48" t="s">
        <v>29</v>
      </c>
      <c r="Z873" s="48" t="s">
        <v>31</v>
      </c>
      <c r="AA873" s="46" t="str">
        <f t="array" ref="AA873">XLOOKUP($A873,'Recipients REF'!$A:$A,'Recipients REF'!M:M,"",0)</f>
        <v>WDP40 RMP 24020188</v>
      </c>
      <c r="AB873" s="49"/>
      <c r="AC873" s="42"/>
      <c r="AD873" s="42"/>
      <c r="AE873" s="56">
        <v>8.69066060246346E14</v>
      </c>
      <c r="AF873" s="42"/>
      <c r="AG873" s="42"/>
      <c r="AH873" s="42"/>
      <c r="AI873" s="42" t="str">
        <f t="array" ref="AI873">XLOOKUP($E873,Sheet11!$D:$D,Sheet11!$X:$X,"",0)</f>
        <v/>
      </c>
      <c r="AJ873" s="42" t="str">
        <f t="array" ref="AJ873">XLOOKUP($E873,Sheet11!$D:$D,Sheet11!$Y:$Y,"",0)</f>
        <v/>
      </c>
    </row>
    <row r="874">
      <c r="A874" s="41">
        <v>40.0</v>
      </c>
      <c r="B874" s="42" t="s">
        <v>1714</v>
      </c>
      <c r="C874" s="42" t="s">
        <v>1715</v>
      </c>
      <c r="D874" s="42"/>
      <c r="E874" s="42" t="str">
        <f t="shared" ref="E874:F874" si="875">PROPER(B874)</f>
        <v>Mauban Farmers Association</v>
      </c>
      <c r="F874" s="42" t="str">
        <f t="shared" si="875"/>
        <v>Rizaliana, Mauban, Quezon</v>
      </c>
      <c r="G874" s="42" t="str">
        <f t="shared" si="3"/>
        <v>Rizaliana</v>
      </c>
      <c r="H874" s="42" t="str">
        <f t="shared" si="4"/>
        <v>Mauban</v>
      </c>
      <c r="I874" s="42" t="str">
        <f t="shared" si="5"/>
        <v>Quezon</v>
      </c>
      <c r="J874" s="42" t="str">
        <f t="array" ref="J874">XLOOKUP($E874,'Recipients REF'!$B:$B,'Recipients REF'!D:D,"",0)</f>
        <v>Sergio D. Conchada Jr.</v>
      </c>
      <c r="K874" s="42" t="str">
        <f t="array" ref="K874">XLOOKUP($E874,'Recipients REF'!$B:$B,'Recipients REF'!E:E,"",0)</f>
        <v>0908-872-9939</v>
      </c>
      <c r="L874" s="43" t="str">
        <f t="array" ref="L874">XLOOKUP($A874,'Recipients REF'!$A:$A,'Recipients REF'!F:F,"",0)</f>
        <v>RCEF 23-08-20 Rebidding</v>
      </c>
      <c r="M874" s="43">
        <f t="array" ref="M874">XLOOKUP($A874,'Recipients REF'!$A:$A,'Recipients REF'!G:G,"",0)</f>
        <v>1</v>
      </c>
      <c r="N874" s="43">
        <f t="array" ref="N874">XLOOKUP($A874,'Recipients REF'!$A:$A,'Recipients REF'!H:H,"",0)</f>
        <v>17713</v>
      </c>
      <c r="O874" s="44" t="s">
        <v>25</v>
      </c>
      <c r="P874" s="45" t="s">
        <v>26</v>
      </c>
      <c r="Q874" s="46" t="str">
        <f t="array" ref="Q874">XLOOKUP($A874,'Recipients REF'!$A:$A,'Recipients REF'!I:I,"",0)</f>
        <v>KMC 5825 ACPFPV0129</v>
      </c>
      <c r="R874" s="47" t="str">
        <f t="array" ref="R874">XLOOKUP($A874,'Recipients REF'!$A:$A,'Recipients REF'!J:J,"",0)</f>
        <v>PTS100117</v>
      </c>
      <c r="S874" s="45" t="s">
        <v>27</v>
      </c>
      <c r="T874" s="45" t="s">
        <v>28</v>
      </c>
      <c r="U874" s="46" t="str">
        <f t="array" ref="U874">XLOOKUP($A874,'Recipients REF'!$A:$A,'Recipients REF'!K:K,"",0)</f>
        <v>R-SERIES 110 PH</v>
      </c>
      <c r="V874" s="44" t="s">
        <v>29</v>
      </c>
      <c r="W874" s="45" t="s">
        <v>30</v>
      </c>
      <c r="X874" s="47" t="str">
        <f t="array" ref="X874">XLOOKUP($A874,'Recipients REF'!$A:$A,'Recipients REF'!L:L,"",0)</f>
        <v>LSGW1750-RMP-2312135</v>
      </c>
      <c r="Y874" s="48" t="s">
        <v>29</v>
      </c>
      <c r="Z874" s="48" t="s">
        <v>31</v>
      </c>
      <c r="AA874" s="46" t="str">
        <f t="array" ref="AA874">XLOOKUP($A874,'Recipients REF'!$A:$A,'Recipients REF'!M:M,"",0)</f>
        <v>WDP40-RMP-2312012</v>
      </c>
      <c r="AB874" s="49"/>
      <c r="AC874" s="42"/>
      <c r="AD874" s="42"/>
      <c r="AE874" s="56">
        <v>8.69066060244713E14</v>
      </c>
      <c r="AF874" s="42"/>
      <c r="AG874" s="42"/>
      <c r="AH874" s="42"/>
      <c r="AI874" s="42">
        <f t="array" ref="AI874">XLOOKUP($E874,Sheet11!$D:$D,Sheet11!$X:$X,"",0)</f>
        <v>869066060244713</v>
      </c>
      <c r="AJ874" s="42" t="str">
        <f t="array" ref="AJ874">XLOOKUP($E874,Sheet11!$D:$D,Sheet11!$Y:$Y,"",0)</f>
        <v/>
      </c>
    </row>
    <row r="875">
      <c r="A875" s="41">
        <v>41.0</v>
      </c>
      <c r="B875" s="42" t="s">
        <v>1716</v>
      </c>
      <c r="C875" s="42" t="s">
        <v>1717</v>
      </c>
      <c r="D875" s="42"/>
      <c r="E875" s="42" t="str">
        <f t="shared" ref="E875:F875" si="876">PROPER(B875)</f>
        <v>Nagkakaisang Magsasaka Ng Bantigue Irrigators Assn., Inc.</v>
      </c>
      <c r="F875" s="42" t="str">
        <f t="shared" si="876"/>
        <v>Bantigue, Pagbilao, Quezon</v>
      </c>
      <c r="G875" s="42" t="str">
        <f t="shared" si="3"/>
        <v>Bantigue</v>
      </c>
      <c r="H875" s="42" t="str">
        <f t="shared" si="4"/>
        <v>Pagbilao</v>
      </c>
      <c r="I875" s="42" t="str">
        <f t="shared" si="5"/>
        <v>Quezon</v>
      </c>
      <c r="J875" s="42" t="str">
        <f t="array" ref="J875">XLOOKUP($E875,'Recipients REF'!$B:$B,'Recipients REF'!D:D,"",0)</f>
        <v>Juanito L. Gutierrez</v>
      </c>
      <c r="K875" s="42" t="str">
        <f t="array" ref="K875">XLOOKUP($E875,'Recipients REF'!$B:$B,'Recipients REF'!E:E,"",0)</f>
        <v>0951 235 8285</v>
      </c>
      <c r="L875" s="43" t="str">
        <f t="array" ref="L875">XLOOKUP($A875,'Recipients REF'!$A:$A,'Recipients REF'!F:F,"",0)</f>
        <v>RCEF 23-08-20 Rebidding</v>
      </c>
      <c r="M875" s="43">
        <f t="array" ref="M875">XLOOKUP($A875,'Recipients REF'!$A:$A,'Recipients REF'!G:G,"",0)</f>
        <v>1</v>
      </c>
      <c r="N875" s="43">
        <f t="array" ref="N875">XLOOKUP($A875,'Recipients REF'!$A:$A,'Recipients REF'!H:H,"",0)</f>
        <v>17714</v>
      </c>
      <c r="O875" s="44" t="s">
        <v>25</v>
      </c>
      <c r="P875" s="45" t="s">
        <v>26</v>
      </c>
      <c r="Q875" s="46" t="str">
        <f t="array" ref="Q875">XLOOKUP($A875,'Recipients REF'!$A:$A,'Recipients REF'!I:I,"",0)</f>
        <v>KMC 5825 ACPFPV0043</v>
      </c>
      <c r="R875" s="47" t="str">
        <f t="array" ref="R875">XLOOKUP($A875,'Recipients REF'!$A:$A,'Recipients REF'!J:J,"",0)</f>
        <v>PTS100126</v>
      </c>
      <c r="S875" s="45" t="s">
        <v>27</v>
      </c>
      <c r="T875" s="45" t="s">
        <v>28</v>
      </c>
      <c r="U875" s="46" t="str">
        <f t="array" ref="U875">XLOOKUP($A875,'Recipients REF'!$A:$A,'Recipients REF'!K:K,"",0)</f>
        <v>R-SERIES 109 PH</v>
      </c>
      <c r="V875" s="44" t="s">
        <v>29</v>
      </c>
      <c r="W875" s="45" t="s">
        <v>30</v>
      </c>
      <c r="X875" s="47" t="str">
        <f t="array" ref="X875">XLOOKUP($A875,'Recipients REF'!$A:$A,'Recipients REF'!L:L,"",0)</f>
        <v>LSGW1750-RMP-2312127</v>
      </c>
      <c r="Y875" s="48" t="s">
        <v>29</v>
      </c>
      <c r="Z875" s="48" t="s">
        <v>31</v>
      </c>
      <c r="AA875" s="46" t="str">
        <f t="array" ref="AA875">XLOOKUP($A875,'Recipients REF'!$A:$A,'Recipients REF'!M:M,"",0)</f>
        <v>WDP40-RMP-2312021</v>
      </c>
      <c r="AB875" s="49"/>
      <c r="AC875" s="42"/>
      <c r="AD875" s="42"/>
      <c r="AE875" s="55">
        <v>8.69066060239762E14</v>
      </c>
      <c r="AF875" s="42"/>
      <c r="AG875" s="42"/>
      <c r="AH875" s="42"/>
      <c r="AI875" s="42">
        <f t="array" ref="AI875">XLOOKUP($E875,Sheet11!$D:$D,Sheet11!$X:$X,"",0)</f>
        <v>869066060241024</v>
      </c>
      <c r="AJ875" s="42" t="str">
        <f t="array" ref="AJ875">XLOOKUP($E875,Sheet11!$D:$D,Sheet11!$Y:$Y,"",0)</f>
        <v/>
      </c>
    </row>
    <row r="876">
      <c r="A876" s="41">
        <v>42.0</v>
      </c>
      <c r="B876" s="42" t="s">
        <v>1718</v>
      </c>
      <c r="C876" s="42" t="s">
        <v>1719</v>
      </c>
      <c r="D876" s="42"/>
      <c r="E876" s="42" t="str">
        <f t="shared" ref="E876:F876" si="877">PROPER(B876)</f>
        <v>Alupaye Farmers Central Irrigators Association, Inc.</v>
      </c>
      <c r="F876" s="42" t="str">
        <f t="shared" si="877"/>
        <v>Alupaye, Pagbilao, Quezon</v>
      </c>
      <c r="G876" s="42" t="str">
        <f t="shared" si="3"/>
        <v>Alupaye</v>
      </c>
      <c r="H876" s="42" t="str">
        <f t="shared" si="4"/>
        <v>Pagbilao</v>
      </c>
      <c r="I876" s="42" t="str">
        <f t="shared" si="5"/>
        <v>Quezon</v>
      </c>
      <c r="J876" s="42" t="str">
        <f t="array" ref="J876">XLOOKUP($E876,'Recipients REF'!$B:$B,'Recipients REF'!D:D,"",0)</f>
        <v>Clarence Gatus</v>
      </c>
      <c r="K876" s="42" t="str">
        <f t="array" ref="K876">XLOOKUP($E876,'Recipients REF'!$B:$B,'Recipients REF'!E:E,"",0)</f>
        <v>0939 763 5038</v>
      </c>
      <c r="L876" s="43" t="str">
        <f t="array" ref="L876">XLOOKUP($A876,'Recipients REF'!$A:$A,'Recipients REF'!F:F,"",0)</f>
        <v>RCEF 23-08-20 Rebidding</v>
      </c>
      <c r="M876" s="43">
        <f t="array" ref="M876">XLOOKUP($A876,'Recipients REF'!$A:$A,'Recipients REF'!G:G,"",0)</f>
        <v>1</v>
      </c>
      <c r="N876" s="43">
        <f t="array" ref="N876">XLOOKUP($A876,'Recipients REF'!$A:$A,'Recipients REF'!H:H,"",0)</f>
        <v>17715</v>
      </c>
      <c r="O876" s="44" t="s">
        <v>25</v>
      </c>
      <c r="P876" s="45" t="s">
        <v>26</v>
      </c>
      <c r="Q876" s="46" t="str">
        <f t="array" ref="Q876">XLOOKUP($A876,'Recipients REF'!$A:$A,'Recipients REF'!I:I,"",0)</f>
        <v>KMC 5825 ATPFPV0058</v>
      </c>
      <c r="R876" s="47" t="str">
        <f t="array" ref="R876">XLOOKUP($A876,'Recipients REF'!$A:$A,'Recipients REF'!J:J,"",0)</f>
        <v>PTS100137</v>
      </c>
      <c r="S876" s="45" t="s">
        <v>27</v>
      </c>
      <c r="T876" s="45" t="s">
        <v>28</v>
      </c>
      <c r="U876" s="46" t="str">
        <f t="array" ref="U876">XLOOKUP($A876,'Recipients REF'!$A:$A,'Recipients REF'!K:K,"",0)</f>
        <v>R-SERIES 023 PH</v>
      </c>
      <c r="V876" s="44" t="s">
        <v>29</v>
      </c>
      <c r="W876" s="45" t="s">
        <v>30</v>
      </c>
      <c r="X876" s="47" t="str">
        <f t="array" ref="X876">XLOOKUP($A876,'Recipients REF'!$A:$A,'Recipients REF'!L:L,"",0)</f>
        <v>LSGW1750-RMP-2312131</v>
      </c>
      <c r="Y876" s="48" t="s">
        <v>29</v>
      </c>
      <c r="Z876" s="48" t="s">
        <v>31</v>
      </c>
      <c r="AA876" s="46" t="str">
        <f t="array" ref="AA876">XLOOKUP($A876,'Recipients REF'!$A:$A,'Recipients REF'!M:M,"",0)</f>
        <v>WDP40-RMP-2312033</v>
      </c>
      <c r="AB876" s="49"/>
      <c r="AC876" s="42"/>
      <c r="AD876" s="42"/>
      <c r="AE876" s="56">
        <v>8.69066060238376E14</v>
      </c>
      <c r="AF876" s="42"/>
      <c r="AG876" s="42"/>
      <c r="AH876" s="42"/>
      <c r="AI876" s="42" t="str">
        <f t="array" ref="AI876">XLOOKUP($E876,Sheet11!$D:$D,Sheet11!$X:$X,"",0)</f>
        <v/>
      </c>
      <c r="AJ876" s="42" t="str">
        <f t="array" ref="AJ876">XLOOKUP($E876,Sheet11!$D:$D,Sheet11!$Y:$Y,"",0)</f>
        <v/>
      </c>
    </row>
    <row r="877">
      <c r="A877" s="41">
        <v>43.0</v>
      </c>
      <c r="B877" s="42" t="s">
        <v>1720</v>
      </c>
      <c r="C877" s="42" t="s">
        <v>1721</v>
      </c>
      <c r="D877" s="42"/>
      <c r="E877" s="42" t="str">
        <f t="shared" ref="E877:F877" si="878">PROPER(B877)</f>
        <v>Mapagong Farmers Irrogators Assn. Inc.</v>
      </c>
      <c r="F877" s="42" t="str">
        <f t="shared" si="878"/>
        <v>Mapagong, Pagbilao, Quezon</v>
      </c>
      <c r="G877" s="42" t="str">
        <f t="shared" si="3"/>
        <v>Mapagong</v>
      </c>
      <c r="H877" s="42" t="str">
        <f t="shared" si="4"/>
        <v>Pagbilao</v>
      </c>
      <c r="I877" s="42" t="str">
        <f t="shared" si="5"/>
        <v>Quezon</v>
      </c>
      <c r="J877" s="42" t="str">
        <f t="array" ref="J877">XLOOKUP($E877,'Recipients REF'!$B:$B,'Recipients REF'!D:D,"",0)</f>
        <v>Renato D. De Rama</v>
      </c>
      <c r="K877" s="42" t="str">
        <f t="array" ref="K877">XLOOKUP($E877,'Recipients REF'!$B:$B,'Recipients REF'!E:E,"",0)</f>
        <v>0912 525 4000</v>
      </c>
      <c r="L877" s="43" t="str">
        <f t="array" ref="L877">XLOOKUP($A877,'Recipients REF'!$A:$A,'Recipients REF'!F:F,"",0)</f>
        <v>RCEF 23-08-20 Rebidding</v>
      </c>
      <c r="M877" s="43">
        <f t="array" ref="M877">XLOOKUP($A877,'Recipients REF'!$A:$A,'Recipients REF'!G:G,"",0)</f>
        <v>1</v>
      </c>
      <c r="N877" s="43">
        <f t="array" ref="N877">XLOOKUP($A877,'Recipients REF'!$A:$A,'Recipients REF'!H:H,"",0)</f>
        <v>17716</v>
      </c>
      <c r="O877" s="44" t="s">
        <v>25</v>
      </c>
      <c r="P877" s="45" t="s">
        <v>26</v>
      </c>
      <c r="Q877" s="46" t="str">
        <f t="array" ref="Q877">XLOOKUP($A877,'Recipients REF'!$A:$A,'Recipients REF'!I:I,"",0)</f>
        <v>KMC 5825 AHPFPV0069</v>
      </c>
      <c r="R877" s="47" t="str">
        <f t="array" ref="R877">XLOOKUP($A877,'Recipients REF'!$A:$A,'Recipients REF'!J:J,"",0)</f>
        <v>PTS100159</v>
      </c>
      <c r="S877" s="45" t="s">
        <v>27</v>
      </c>
      <c r="T877" s="45" t="s">
        <v>28</v>
      </c>
      <c r="U877" s="46" t="str">
        <f t="array" ref="U877">XLOOKUP($A877,'Recipients REF'!$A:$A,'Recipients REF'!K:K,"",0)</f>
        <v>R-SERIES 113 PH</v>
      </c>
      <c r="V877" s="44" t="s">
        <v>29</v>
      </c>
      <c r="W877" s="45" t="s">
        <v>30</v>
      </c>
      <c r="X877" s="47" t="str">
        <f t="array" ref="X877">XLOOKUP($A877,'Recipients REF'!$A:$A,'Recipients REF'!L:L,"",0)</f>
        <v>LSGW1750-RMP-2312118</v>
      </c>
      <c r="Y877" s="48" t="s">
        <v>29</v>
      </c>
      <c r="Z877" s="48" t="s">
        <v>31</v>
      </c>
      <c r="AA877" s="46" t="str">
        <f t="array" ref="AA877">XLOOKUP($A877,'Recipients REF'!$A:$A,'Recipients REF'!M:M,"",0)</f>
        <v>WDP40-RMP-2312019</v>
      </c>
      <c r="AB877" s="49"/>
      <c r="AC877" s="42"/>
      <c r="AD877" s="42"/>
      <c r="AE877" s="56">
        <v>8.69066060241024E14</v>
      </c>
      <c r="AF877" s="42"/>
      <c r="AG877" s="42"/>
      <c r="AH877" s="42"/>
      <c r="AI877" s="42" t="str">
        <f t="array" ref="AI877">XLOOKUP($E877,Sheet11!$D:$D,Sheet11!$X:$X,"",0)</f>
        <v/>
      </c>
      <c r="AJ877" s="42" t="str">
        <f t="array" ref="AJ877">XLOOKUP($E877,Sheet11!$D:$D,Sheet11!$Y:$Y,"",0)</f>
        <v/>
      </c>
    </row>
    <row r="878">
      <c r="A878" s="41">
        <v>44.0</v>
      </c>
      <c r="B878" s="42" t="s">
        <v>1722</v>
      </c>
      <c r="C878" s="42" t="s">
        <v>1723</v>
      </c>
      <c r="D878" s="42"/>
      <c r="E878" s="42" t="str">
        <f t="shared" ref="E878:F878" si="879">PROPER(B878)</f>
        <v>Tubig Biyaya Irrigators' Association, Inc.</v>
      </c>
      <c r="F878" s="42" t="str">
        <f t="shared" si="879"/>
        <v>Binahaan, Pagbilao, Quezon</v>
      </c>
      <c r="G878" s="42" t="str">
        <f t="shared" si="3"/>
        <v>Binahaan</v>
      </c>
      <c r="H878" s="42" t="str">
        <f t="shared" si="4"/>
        <v>Pagbilao</v>
      </c>
      <c r="I878" s="42" t="str">
        <f t="shared" si="5"/>
        <v>Quezon</v>
      </c>
      <c r="J878" s="42" t="str">
        <f t="array" ref="J878">XLOOKUP($E878,'Recipients REF'!$B:$B,'Recipients REF'!D:D,"",0)</f>
        <v>Primitiva C. Memorando</v>
      </c>
      <c r="K878" s="42" t="str">
        <f t="array" ref="K878">XLOOKUP($E878,'Recipients REF'!$B:$B,'Recipients REF'!E:E,"",0)</f>
        <v>0998-881-3869</v>
      </c>
      <c r="L878" s="43" t="str">
        <f t="array" ref="L878">XLOOKUP($A878,'Recipients REF'!$A:$A,'Recipients REF'!F:F,"",0)</f>
        <v>RCEF 23-08-20 Rebidding</v>
      </c>
      <c r="M878" s="43">
        <f t="array" ref="M878">XLOOKUP($A878,'Recipients REF'!$A:$A,'Recipients REF'!G:G,"",0)</f>
        <v>1</v>
      </c>
      <c r="N878" s="43">
        <f t="array" ref="N878">XLOOKUP($A878,'Recipients REF'!$A:$A,'Recipients REF'!H:H,"",0)</f>
        <v>17717</v>
      </c>
      <c r="O878" s="44" t="s">
        <v>25</v>
      </c>
      <c r="P878" s="45" t="s">
        <v>26</v>
      </c>
      <c r="Q878" s="46" t="str">
        <f t="array" ref="Q878">XLOOKUP($A878,'Recipients REF'!$A:$A,'Recipients REF'!I:I,"",0)</f>
        <v>KMC 5825 ATPFPV0108</v>
      </c>
      <c r="R878" s="47" t="str">
        <f t="array" ref="R878">XLOOKUP($A878,'Recipients REF'!$A:$A,'Recipients REF'!J:J,"",0)</f>
        <v>PTS100086</v>
      </c>
      <c r="S878" s="45" t="s">
        <v>27</v>
      </c>
      <c r="T878" s="45" t="s">
        <v>28</v>
      </c>
      <c r="U878" s="46" t="str">
        <f t="array" ref="U878">XLOOKUP($A878,'Recipients REF'!$A:$A,'Recipients REF'!K:K,"",0)</f>
        <v>R-SERIES 085 PH</v>
      </c>
      <c r="V878" s="44" t="s">
        <v>29</v>
      </c>
      <c r="W878" s="45" t="s">
        <v>30</v>
      </c>
      <c r="X878" s="47" t="str">
        <f t="array" ref="X878">XLOOKUP($A878,'Recipients REF'!$A:$A,'Recipients REF'!L:L,"",0)</f>
        <v>LSGW1750-RMP-2312134</v>
      </c>
      <c r="Y878" s="48" t="s">
        <v>29</v>
      </c>
      <c r="Z878" s="48" t="s">
        <v>31</v>
      </c>
      <c r="AA878" s="46" t="str">
        <f t="array" ref="AA878">XLOOKUP($A878,'Recipients REF'!$A:$A,'Recipients REF'!M:M,"",0)</f>
        <v>WDP40-RMP-2312029</v>
      </c>
      <c r="AB878" s="49"/>
      <c r="AC878" s="42"/>
      <c r="AD878" s="42"/>
      <c r="AE878" s="55">
        <v>8.69066060242907E14</v>
      </c>
      <c r="AF878" s="42"/>
      <c r="AG878" s="42"/>
      <c r="AH878" s="42"/>
      <c r="AI878" s="42">
        <f t="array" ref="AI878">XLOOKUP($E878,Sheet11!$D:$D,Sheet11!$X:$X,"",0)</f>
        <v>869066060242907</v>
      </c>
      <c r="AJ878" s="42" t="str">
        <f t="array" ref="AJ878">XLOOKUP($E878,Sheet11!$D:$D,Sheet11!$Y:$Y,"",0)</f>
        <v/>
      </c>
    </row>
    <row r="879">
      <c r="A879" s="41">
        <v>45.0</v>
      </c>
      <c r="B879" s="42" t="s">
        <v>1724</v>
      </c>
      <c r="C879" s="42" t="s">
        <v>1725</v>
      </c>
      <c r="D879" s="42"/>
      <c r="E879" s="42" t="str">
        <f t="shared" ref="E879:F879" si="880">PROPER(B879)</f>
        <v>Taluong -Quedanom Irrigators Association</v>
      </c>
      <c r="F879" s="42" t="str">
        <f t="shared" si="880"/>
        <v>Taluong, Polillo, Quezon</v>
      </c>
      <c r="G879" s="42" t="str">
        <f t="shared" si="3"/>
        <v>Taluong</v>
      </c>
      <c r="H879" s="42" t="str">
        <f t="shared" si="4"/>
        <v>Polillo</v>
      </c>
      <c r="I879" s="42" t="str">
        <f t="shared" si="5"/>
        <v>Quezon</v>
      </c>
      <c r="J879" s="42" t="str">
        <f t="array" ref="J879">XLOOKUP($E879,'Recipients REF'!$B:$B,'Recipients REF'!D:D,"",0)</f>
        <v>Joanamel G. Azarias</v>
      </c>
      <c r="K879" s="42" t="str">
        <f t="array" ref="K879">XLOOKUP($E879,'Recipients REF'!$B:$B,'Recipients REF'!E:E,"",0)</f>
        <v>0908 538 6020</v>
      </c>
      <c r="L879" s="43" t="str">
        <f t="array" ref="L879">XLOOKUP($A879,'Recipients REF'!$A:$A,'Recipients REF'!F:F,"",0)</f>
        <v>RCEF 23-08-20 Rebidding</v>
      </c>
      <c r="M879" s="43">
        <f t="array" ref="M879">XLOOKUP($A879,'Recipients REF'!$A:$A,'Recipients REF'!G:G,"",0)</f>
        <v>1</v>
      </c>
      <c r="N879" s="43">
        <f t="array" ref="N879">XLOOKUP($A879,'Recipients REF'!$A:$A,'Recipients REF'!H:H,"",0)</f>
        <v>17718</v>
      </c>
      <c r="O879" s="44" t="s">
        <v>25</v>
      </c>
      <c r="P879" s="45" t="s">
        <v>26</v>
      </c>
      <c r="Q879" s="46" t="str">
        <f t="array" ref="Q879">XLOOKUP($A879,'Recipients REF'!$A:$A,'Recipients REF'!I:I,"",0)</f>
        <v>KMC5825 AVRFPV0412</v>
      </c>
      <c r="R879" s="47" t="str">
        <f t="array" ref="R879">XLOOKUP($A879,'Recipients REF'!$A:$A,'Recipients REF'!J:J,"",0)</f>
        <v>RTS100292</v>
      </c>
      <c r="S879" s="45" t="s">
        <v>27</v>
      </c>
      <c r="T879" s="45" t="s">
        <v>28</v>
      </c>
      <c r="U879" s="46" t="str">
        <f t="array" ref="U879">XLOOKUP($A879,'Recipients REF'!$A:$A,'Recipients REF'!K:K,"",0)</f>
        <v>R-SERIES 047 PH</v>
      </c>
      <c r="V879" s="44" t="s">
        <v>29</v>
      </c>
      <c r="W879" s="45" t="s">
        <v>30</v>
      </c>
      <c r="X879" s="47" t="str">
        <f t="array" ref="X879">XLOOKUP($A879,'Recipients REF'!$A:$A,'Recipients REF'!L:L,"",0)</f>
        <v>LSGW1750 RMP 2312168</v>
      </c>
      <c r="Y879" s="48" t="s">
        <v>29</v>
      </c>
      <c r="Z879" s="48" t="s">
        <v>31</v>
      </c>
      <c r="AA879" s="46" t="str">
        <f t="array" ref="AA879">XLOOKUP($A879,'Recipients REF'!$A:$A,'Recipients REF'!M:M,"",0)</f>
        <v>WDP40 RMP 24020202</v>
      </c>
      <c r="AB879" s="49"/>
      <c r="AC879" s="42"/>
      <c r="AD879" s="42"/>
      <c r="AE879" s="50"/>
      <c r="AF879" s="42"/>
      <c r="AG879" s="42"/>
      <c r="AH879" s="42"/>
      <c r="AI879" s="42" t="str">
        <f t="array" ref="AI879">XLOOKUP($E879,Sheet11!$D:$D,Sheet11!$X:$X,"",0)</f>
        <v/>
      </c>
      <c r="AJ879" s="42" t="str">
        <f t="array" ref="AJ879">XLOOKUP($E879,Sheet11!$D:$D,Sheet11!$Y:$Y,"",0)</f>
        <v/>
      </c>
    </row>
    <row r="880">
      <c r="A880" s="41">
        <v>46.0</v>
      </c>
      <c r="B880" s="42" t="s">
        <v>1726</v>
      </c>
      <c r="C880" s="42" t="s">
        <v>1727</v>
      </c>
      <c r="D880" s="42"/>
      <c r="E880" s="42" t="str">
        <f t="shared" ref="E880:F880" si="881">PROPER(B880)</f>
        <v>Samahan Ng Mga Magsasaka Ng Pahinga Norte</v>
      </c>
      <c r="F880" s="42" t="str">
        <f t="shared" si="881"/>
        <v>Pahinga Norte, Candelaria, Quezon</v>
      </c>
      <c r="G880" s="42" t="str">
        <f t="shared" si="3"/>
        <v>Pahinga Norte</v>
      </c>
      <c r="H880" s="42" t="str">
        <f t="shared" si="4"/>
        <v>Candelaria</v>
      </c>
      <c r="I880" s="42" t="str">
        <f t="shared" si="5"/>
        <v>Quezon</v>
      </c>
      <c r="J880" s="42" t="str">
        <f t="array" ref="J880">XLOOKUP($E880,'Recipients REF'!$B:$B,'Recipients REF'!D:D,"",0)</f>
        <v>Roberto Ebora</v>
      </c>
      <c r="K880" s="42" t="str">
        <f t="array" ref="K880">XLOOKUP($E880,'Recipients REF'!$B:$B,'Recipients REF'!E:E,"",0)</f>
        <v>0936-915-6875</v>
      </c>
      <c r="L880" s="43" t="str">
        <f t="array" ref="L880">XLOOKUP($A880,'Recipients REF'!$A:$A,'Recipients REF'!F:F,"",0)</f>
        <v>RCEF 23-08-20 Rebidding</v>
      </c>
      <c r="M880" s="43">
        <f t="array" ref="M880">XLOOKUP($A880,'Recipients REF'!$A:$A,'Recipients REF'!G:G,"",0)</f>
        <v>1</v>
      </c>
      <c r="N880" s="43">
        <f t="array" ref="N880">XLOOKUP($A880,'Recipients REF'!$A:$A,'Recipients REF'!H:H,"",0)</f>
        <v>17719</v>
      </c>
      <c r="O880" s="44" t="s">
        <v>25</v>
      </c>
      <c r="P880" s="45" t="s">
        <v>26</v>
      </c>
      <c r="Q880" s="46" t="str">
        <f t="array" ref="Q880">XLOOKUP($A880,'Recipients REF'!$A:$A,'Recipients REF'!I:I,"",0)</f>
        <v>KMC5825 AKRFPV0390</v>
      </c>
      <c r="R880" s="47" t="str">
        <f t="array" ref="R880">XLOOKUP($A880,'Recipients REF'!$A:$A,'Recipients REF'!J:J,"",0)</f>
        <v>RTS100257</v>
      </c>
      <c r="S880" s="45" t="s">
        <v>27</v>
      </c>
      <c r="T880" s="45" t="s">
        <v>28</v>
      </c>
      <c r="U880" s="46" t="str">
        <f t="array" ref="U880">XLOOKUP($A880,'Recipients REF'!$A:$A,'Recipients REF'!K:K,"",0)</f>
        <v>R-SERIES 439 PH</v>
      </c>
      <c r="V880" s="44" t="s">
        <v>29</v>
      </c>
      <c r="W880" s="45" t="s">
        <v>30</v>
      </c>
      <c r="X880" s="47" t="str">
        <f t="array" ref="X880">XLOOKUP($A880,'Recipients REF'!$A:$A,'Recipients REF'!L:L,"",0)</f>
        <v>LSGW1750 RMP 24020456</v>
      </c>
      <c r="Y880" s="48" t="s">
        <v>29</v>
      </c>
      <c r="Z880" s="48" t="s">
        <v>31</v>
      </c>
      <c r="AA880" s="46" t="str">
        <f t="array" ref="AA880">XLOOKUP($A880,'Recipients REF'!$A:$A,'Recipients REF'!M:M,"",0)</f>
        <v>WDP40 RMP 24020239</v>
      </c>
      <c r="AB880" s="49"/>
      <c r="AC880" s="42"/>
      <c r="AD880" s="42"/>
      <c r="AE880" s="51"/>
      <c r="AF880" s="52"/>
      <c r="AG880" s="42"/>
      <c r="AH880" s="42"/>
      <c r="AI880" s="42" t="str">
        <f t="array" ref="AI880">XLOOKUP($E880,Sheet11!$D:$D,Sheet11!$X:$X,"",0)</f>
        <v/>
      </c>
      <c r="AJ880" s="42" t="str">
        <f t="array" ref="AJ880">XLOOKUP($E880,Sheet11!$D:$D,Sheet11!$Y:$Y,"",0)</f>
        <v/>
      </c>
    </row>
    <row r="881">
      <c r="A881" s="41">
        <v>47.0</v>
      </c>
      <c r="B881" s="42" t="s">
        <v>1728</v>
      </c>
      <c r="C881" s="42" t="s">
        <v>1729</v>
      </c>
      <c r="D881" s="42"/>
      <c r="E881" s="42" t="str">
        <f t="shared" ref="E881:F881" si="882">PROPER(B881)</f>
        <v>San Isidro-Candelaria Farmers Association</v>
      </c>
      <c r="F881" s="42" t="str">
        <f t="shared" si="882"/>
        <v>San Isidro, Candelaria, Quezon</v>
      </c>
      <c r="G881" s="42" t="str">
        <f t="shared" si="3"/>
        <v>San Isidro</v>
      </c>
      <c r="H881" s="42" t="str">
        <f t="shared" si="4"/>
        <v>Candelaria</v>
      </c>
      <c r="I881" s="42" t="str">
        <f t="shared" si="5"/>
        <v>Quezon</v>
      </c>
      <c r="J881" s="42" t="str">
        <f t="array" ref="J881">XLOOKUP($E881,'Recipients REF'!$B:$B,'Recipients REF'!D:D,"",0)</f>
        <v>Dante D. Florante</v>
      </c>
      <c r="K881" s="42" t="str">
        <f t="array" ref="K881">XLOOKUP($E881,'Recipients REF'!$B:$B,'Recipients REF'!E:E,"",0)</f>
        <v>0912 127 6601</v>
      </c>
      <c r="L881" s="43" t="str">
        <f t="array" ref="L881">XLOOKUP($A881,'Recipients REF'!$A:$A,'Recipients REF'!F:F,"",0)</f>
        <v>RCEF 23-08-20 Rebidding</v>
      </c>
      <c r="M881" s="43">
        <f t="array" ref="M881">XLOOKUP($A881,'Recipients REF'!$A:$A,'Recipients REF'!G:G,"",0)</f>
        <v>1</v>
      </c>
      <c r="N881" s="43">
        <f t="array" ref="N881">XLOOKUP($A881,'Recipients REF'!$A:$A,'Recipients REF'!H:H,"",0)</f>
        <v>17720</v>
      </c>
      <c r="O881" s="44" t="s">
        <v>25</v>
      </c>
      <c r="P881" s="45" t="s">
        <v>26</v>
      </c>
      <c r="Q881" s="46" t="str">
        <f t="array" ref="Q881">XLOOKUP($A881,'Recipients REF'!$A:$A,'Recipients REF'!I:I,"",0)</f>
        <v>KMC5825 APRFPV0307</v>
      </c>
      <c r="R881" s="47" t="str">
        <f t="array" ref="R881">XLOOKUP($A881,'Recipients REF'!$A:$A,'Recipients REF'!J:J,"",0)</f>
        <v>RTS100205</v>
      </c>
      <c r="S881" s="45" t="s">
        <v>27</v>
      </c>
      <c r="T881" s="45" t="s">
        <v>28</v>
      </c>
      <c r="U881" s="46" t="str">
        <f t="array" ref="U881">XLOOKUP($A881,'Recipients REF'!$A:$A,'Recipients REF'!K:K,"",0)</f>
        <v>R-SERIES 405 PH</v>
      </c>
      <c r="V881" s="44" t="s">
        <v>29</v>
      </c>
      <c r="W881" s="45" t="s">
        <v>30</v>
      </c>
      <c r="X881" s="47" t="str">
        <f t="array" ref="X881">XLOOKUP($A881,'Recipients REF'!$A:$A,'Recipients REF'!L:L,"",0)</f>
        <v>LSGW1750 RMP 24020450</v>
      </c>
      <c r="Y881" s="48" t="s">
        <v>29</v>
      </c>
      <c r="Z881" s="48" t="s">
        <v>31</v>
      </c>
      <c r="AA881" s="46" t="str">
        <f t="array" ref="AA881">XLOOKUP($A881,'Recipients REF'!$A:$A,'Recipients REF'!M:M,"",0)</f>
        <v>WDP40 RMP 24020218</v>
      </c>
      <c r="AB881" s="49"/>
      <c r="AC881" s="42"/>
      <c r="AD881" s="42"/>
      <c r="AE881" s="51"/>
      <c r="AF881" s="52"/>
      <c r="AG881" s="42"/>
      <c r="AH881" s="42"/>
      <c r="AI881" s="42" t="str">
        <f t="array" ref="AI881">XLOOKUP($E881,Sheet11!$D:$D,Sheet11!$X:$X,"",0)</f>
        <v/>
      </c>
      <c r="AJ881" s="42" t="str">
        <f t="array" ref="AJ881">XLOOKUP($E881,Sheet11!$D:$D,Sheet11!$Y:$Y,"",0)</f>
        <v/>
      </c>
    </row>
    <row r="882">
      <c r="A882" s="41">
        <v>48.0</v>
      </c>
      <c r="B882" s="42" t="s">
        <v>1730</v>
      </c>
      <c r="C882" s="42" t="s">
        <v>1731</v>
      </c>
      <c r="D882" s="42"/>
      <c r="E882" s="42" t="str">
        <f t="shared" ref="E882:F882" si="883">PROPER(B882)</f>
        <v>Yakap At Halik Multi-Purpose Cooperative Quezon 1 (Yhmpcq1)</v>
      </c>
      <c r="F882" s="42" t="str">
        <f t="shared" si="883"/>
        <v>Poblacion, Candelaria, Quezon</v>
      </c>
      <c r="G882" s="42" t="str">
        <f t="shared" si="3"/>
        <v>Poblacion</v>
      </c>
      <c r="H882" s="42" t="str">
        <f t="shared" si="4"/>
        <v>Candelaria</v>
      </c>
      <c r="I882" s="42" t="str">
        <f t="shared" si="5"/>
        <v>Quezon</v>
      </c>
      <c r="J882" s="42" t="str">
        <f t="array" ref="J882">XLOOKUP($E882,'Recipients REF'!$B:$B,'Recipients REF'!D:D,"",0)</f>
        <v>Robert Diala</v>
      </c>
      <c r="K882" s="42" t="str">
        <f t="array" ref="K882">XLOOKUP($E882,'Recipients REF'!$B:$B,'Recipients REF'!E:E,"",0)</f>
        <v>0923 027 0837</v>
      </c>
      <c r="L882" s="43" t="str">
        <f t="array" ref="L882">XLOOKUP($A882,'Recipients REF'!$A:$A,'Recipients REF'!F:F,"",0)</f>
        <v>RCEF 23-08-20 Rebidding</v>
      </c>
      <c r="M882" s="43">
        <f t="array" ref="M882">XLOOKUP($A882,'Recipients REF'!$A:$A,'Recipients REF'!G:G,"",0)</f>
        <v>1</v>
      </c>
      <c r="N882" s="43">
        <f t="array" ref="N882">XLOOKUP($A882,'Recipients REF'!$A:$A,'Recipients REF'!H:H,"",0)</f>
        <v>17722</v>
      </c>
      <c r="O882" s="44" t="s">
        <v>25</v>
      </c>
      <c r="P882" s="45" t="s">
        <v>26</v>
      </c>
      <c r="Q882" s="46" t="str">
        <f t="array" ref="Q882">XLOOKUP($A882,'Recipients REF'!$A:$A,'Recipients REF'!I:I,"",0)</f>
        <v>KMC5825 ACRFPV0389</v>
      </c>
      <c r="R882" s="47" t="str">
        <f t="array" ref="R882">XLOOKUP($A882,'Recipients REF'!$A:$A,'Recipients REF'!J:J,"",0)</f>
        <v>RTS100272</v>
      </c>
      <c r="S882" s="45" t="s">
        <v>27</v>
      </c>
      <c r="T882" s="45" t="s">
        <v>28</v>
      </c>
      <c r="U882" s="46" t="str">
        <f t="array" ref="U882">XLOOKUP($A882,'Recipients REF'!$A:$A,'Recipients REF'!K:K,"",0)</f>
        <v>R-SERIES 411 PH</v>
      </c>
      <c r="V882" s="44" t="s">
        <v>29</v>
      </c>
      <c r="W882" s="45" t="s">
        <v>30</v>
      </c>
      <c r="X882" s="47" t="str">
        <f t="array" ref="X882">XLOOKUP($A882,'Recipients REF'!$A:$A,'Recipients REF'!L:L,"",0)</f>
        <v>LSGW1750 RMP 24020454</v>
      </c>
      <c r="Y882" s="48" t="s">
        <v>29</v>
      </c>
      <c r="Z882" s="48" t="s">
        <v>31</v>
      </c>
      <c r="AA882" s="46" t="str">
        <f t="array" ref="AA882">XLOOKUP($A882,'Recipients REF'!$A:$A,'Recipients REF'!M:M,"",0)</f>
        <v>WDP40 RMP 24020244</v>
      </c>
      <c r="AB882" s="49"/>
      <c r="AC882" s="42"/>
      <c r="AD882" s="42"/>
      <c r="AE882" s="50"/>
      <c r="AF882" s="42"/>
      <c r="AG882" s="42"/>
      <c r="AH882" s="42"/>
      <c r="AI882" s="42" t="str">
        <f t="array" ref="AI882">XLOOKUP($E882,Sheet11!$D:$D,Sheet11!$X:$X,"",0)</f>
        <v/>
      </c>
      <c r="AJ882" s="42" t="str">
        <f t="array" ref="AJ882">XLOOKUP($E882,Sheet11!$D:$D,Sheet11!$Y:$Y,"",0)</f>
        <v/>
      </c>
    </row>
    <row r="883">
      <c r="A883" s="41">
        <v>49.0</v>
      </c>
      <c r="B883" s="42" t="s">
        <v>1732</v>
      </c>
      <c r="C883" s="42" t="s">
        <v>1733</v>
      </c>
      <c r="D883" s="42"/>
      <c r="E883" s="42" t="str">
        <f t="shared" ref="E883:F883" si="884">PROPER(B883)</f>
        <v>Dakilang Sulok Farmers' Association, Inc.</v>
      </c>
      <c r="F883" s="42" t="str">
        <f t="shared" si="884"/>
        <v>Mayao Castillo, Lucena City, Quezon</v>
      </c>
      <c r="G883" s="42" t="str">
        <f t="shared" si="3"/>
        <v>Mayao Castillo</v>
      </c>
      <c r="H883" s="42" t="str">
        <f t="shared" si="4"/>
        <v>Lucena City</v>
      </c>
      <c r="I883" s="42" t="str">
        <f t="shared" si="5"/>
        <v>Quezon</v>
      </c>
      <c r="J883" s="42" t="str">
        <f t="array" ref="J883">XLOOKUP($E883,'Recipients REF'!$B:$B,'Recipients REF'!D:D,"",0)</f>
        <v>Dominador Pornasdoro</v>
      </c>
      <c r="K883" s="42" t="str">
        <f t="array" ref="K883">XLOOKUP($E883,'Recipients REF'!$B:$B,'Recipients REF'!E:E,"",0)</f>
        <v>0933 869 5027</v>
      </c>
      <c r="L883" s="43" t="str">
        <f t="array" ref="L883">XLOOKUP($A883,'Recipients REF'!$A:$A,'Recipients REF'!F:F,"",0)</f>
        <v>RCEF 23-08-20 Rebidding</v>
      </c>
      <c r="M883" s="43">
        <f t="array" ref="M883">XLOOKUP($A883,'Recipients REF'!$A:$A,'Recipients REF'!G:G,"",0)</f>
        <v>1</v>
      </c>
      <c r="N883" s="43">
        <f t="array" ref="N883">XLOOKUP($A883,'Recipients REF'!$A:$A,'Recipients REF'!H:H,"",0)</f>
        <v>17723</v>
      </c>
      <c r="O883" s="44" t="s">
        <v>25</v>
      </c>
      <c r="P883" s="45" t="s">
        <v>26</v>
      </c>
      <c r="Q883" s="46" t="str">
        <f t="array" ref="Q883">XLOOKUP($A883,'Recipients REF'!$A:$A,'Recipients REF'!I:I,"",0)</f>
        <v>KMC5825 AERDV0321</v>
      </c>
      <c r="R883" s="47" t="str">
        <f t="array" ref="R883">XLOOKUP($A883,'Recipients REF'!$A:$A,'Recipients REF'!J:J,"",0)</f>
        <v>RTS100197</v>
      </c>
      <c r="S883" s="45" t="s">
        <v>27</v>
      </c>
      <c r="T883" s="45" t="s">
        <v>28</v>
      </c>
      <c r="U883" s="46" t="str">
        <f t="array" ref="U883">XLOOKUP($A883,'Recipients REF'!$A:$A,'Recipients REF'!K:K,"",0)</f>
        <v>R-SERIES 412 PH</v>
      </c>
      <c r="V883" s="44" t="s">
        <v>29</v>
      </c>
      <c r="W883" s="45" t="s">
        <v>30</v>
      </c>
      <c r="X883" s="47" t="str">
        <f t="array" ref="X883">XLOOKUP($A883,'Recipients REF'!$A:$A,'Recipients REF'!L:L,"",0)</f>
        <v>LSGW1750 RMP 24020427</v>
      </c>
      <c r="Y883" s="48" t="s">
        <v>29</v>
      </c>
      <c r="Z883" s="48" t="s">
        <v>31</v>
      </c>
      <c r="AA883" s="46" t="str">
        <f t="array" ref="AA883">XLOOKUP($A883,'Recipients REF'!$A:$A,'Recipients REF'!M:M,"",0)</f>
        <v>WDP40 RMP 24020227</v>
      </c>
      <c r="AB883" s="49"/>
      <c r="AC883" s="42"/>
      <c r="AD883" s="42"/>
      <c r="AE883" s="56">
        <v>8.6906606023779E14</v>
      </c>
      <c r="AF883" s="42"/>
      <c r="AG883" s="42"/>
      <c r="AH883" s="42"/>
      <c r="AI883" s="42" t="str">
        <f t="array" ref="AI883">XLOOKUP($E883,Sheet11!$D:$D,Sheet11!$X:$X,"",0)</f>
        <v/>
      </c>
      <c r="AJ883" s="42" t="str">
        <f t="array" ref="AJ883">XLOOKUP($E883,Sheet11!$D:$D,Sheet11!$Y:$Y,"",0)</f>
        <v/>
      </c>
    </row>
    <row r="884">
      <c r="A884" s="41">
        <v>50.0</v>
      </c>
      <c r="B884" s="42" t="s">
        <v>1734</v>
      </c>
      <c r="C884" s="42" t="s">
        <v>1735</v>
      </c>
      <c r="D884" s="42"/>
      <c r="E884" s="42" t="str">
        <f t="shared" ref="E884:F884" si="885">PROPER(B884)</f>
        <v>Lucena City Farmers Federation Multi-Purpose Cooperative</v>
      </c>
      <c r="F884" s="42" t="str">
        <f t="shared" si="885"/>
        <v>Salinas, Lucena City, Quezon</v>
      </c>
      <c r="G884" s="42" t="str">
        <f t="shared" si="3"/>
        <v>Salinas</v>
      </c>
      <c r="H884" s="42" t="str">
        <f t="shared" si="4"/>
        <v>Lucena City</v>
      </c>
      <c r="I884" s="42" t="str">
        <f t="shared" si="5"/>
        <v>Quezon</v>
      </c>
      <c r="J884" s="42" t="str">
        <f t="array" ref="J884">XLOOKUP($E884,'Recipients REF'!$B:$B,'Recipients REF'!D:D,"",0)</f>
        <v>Gregorio S. Vecinal</v>
      </c>
      <c r="K884" s="42" t="str">
        <f t="array" ref="K884">XLOOKUP($E884,'Recipients REF'!$B:$B,'Recipients REF'!E:E,"",0)</f>
        <v>0998 322 8339</v>
      </c>
      <c r="L884" s="43" t="str">
        <f t="array" ref="L884">XLOOKUP($A884,'Recipients REF'!$A:$A,'Recipients REF'!F:F,"",0)</f>
        <v>RCEF 23-08-20 Rebidding</v>
      </c>
      <c r="M884" s="43">
        <f t="array" ref="M884">XLOOKUP($A884,'Recipients REF'!$A:$A,'Recipients REF'!G:G,"",0)</f>
        <v>1</v>
      </c>
      <c r="N884" s="43">
        <f t="array" ref="N884">XLOOKUP($A884,'Recipients REF'!$A:$A,'Recipients REF'!H:H,"",0)</f>
        <v>17724</v>
      </c>
      <c r="O884" s="44" t="s">
        <v>25</v>
      </c>
      <c r="P884" s="45" t="s">
        <v>26</v>
      </c>
      <c r="Q884" s="46" t="str">
        <f t="array" ref="Q884">XLOOKUP($A884,'Recipients REF'!$A:$A,'Recipients REF'!I:I,"",0)</f>
        <v>KMC5825 AARFPV0329</v>
      </c>
      <c r="R884" s="47" t="str">
        <f t="array" ref="R884">XLOOKUP($A884,'Recipients REF'!$A:$A,'Recipients REF'!J:J,"",0)</f>
        <v>RTS100179</v>
      </c>
      <c r="S884" s="45" t="s">
        <v>27</v>
      </c>
      <c r="T884" s="45" t="s">
        <v>28</v>
      </c>
      <c r="U884" s="46" t="str">
        <f t="array" ref="U884">XLOOKUP($A884,'Recipients REF'!$A:$A,'Recipients REF'!K:K,"",0)</f>
        <v>R-SERIES 154 PH</v>
      </c>
      <c r="V884" s="44" t="s">
        <v>29</v>
      </c>
      <c r="W884" s="45" t="s">
        <v>30</v>
      </c>
      <c r="X884" s="47" t="str">
        <f t="array" ref="X884">XLOOKUP($A884,'Recipients REF'!$A:$A,'Recipients REF'!L:L,"",0)</f>
        <v>LSGW1750 RMP 24020415</v>
      </c>
      <c r="Y884" s="48" t="s">
        <v>29</v>
      </c>
      <c r="Z884" s="48" t="s">
        <v>31</v>
      </c>
      <c r="AA884" s="46" t="str">
        <f t="array" ref="AA884">XLOOKUP($A884,'Recipients REF'!$A:$A,'Recipients REF'!M:M,"",0)</f>
        <v>WDP40 RMP 24020217</v>
      </c>
      <c r="AB884" s="49"/>
      <c r="AC884" s="42"/>
      <c r="AD884" s="42"/>
      <c r="AE884" s="50"/>
      <c r="AF884" s="42"/>
      <c r="AG884" s="42"/>
      <c r="AH884" s="42"/>
      <c r="AI884" s="42" t="str">
        <f t="array" ref="AI884">XLOOKUP($E884,Sheet11!$D:$D,Sheet11!$X:$X,"",0)</f>
        <v/>
      </c>
      <c r="AJ884" s="42" t="str">
        <f t="array" ref="AJ884">XLOOKUP($E884,Sheet11!$D:$D,Sheet11!$Y:$Y,"",0)</f>
        <v/>
      </c>
    </row>
    <row r="885">
      <c r="A885" s="41">
        <v>51.0</v>
      </c>
      <c r="B885" s="42" t="s">
        <v>1736</v>
      </c>
      <c r="C885" s="42" t="s">
        <v>1737</v>
      </c>
      <c r="D885" s="42"/>
      <c r="E885" s="42" t="str">
        <f t="shared" ref="E885:F885" si="886">PROPER(B885)</f>
        <v>Tumbaga I Bucal Irrigators Association, Inc.</v>
      </c>
      <c r="F885" s="42" t="str">
        <f t="shared" si="886"/>
        <v>Tumbaga I, Sariaya, Quezon</v>
      </c>
      <c r="G885" s="42" t="str">
        <f t="shared" si="3"/>
        <v>Tumbaga I</v>
      </c>
      <c r="H885" s="42" t="str">
        <f t="shared" si="4"/>
        <v>Sariaya</v>
      </c>
      <c r="I885" s="42" t="str">
        <f t="shared" si="5"/>
        <v>Quezon</v>
      </c>
      <c r="J885" s="42" t="str">
        <f t="array" ref="J885">XLOOKUP($E885,'Recipients REF'!$B:$B,'Recipients REF'!D:D,"",0)</f>
        <v>Rogelio D. Mendoza</v>
      </c>
      <c r="K885" s="42" t="str">
        <f t="array" ref="K885">XLOOKUP($E885,'Recipients REF'!$B:$B,'Recipients REF'!E:E,"",0)</f>
        <v>0917 597 5537</v>
      </c>
      <c r="L885" s="43" t="str">
        <f t="array" ref="L885">XLOOKUP($A885,'Recipients REF'!$A:$A,'Recipients REF'!F:F,"",0)</f>
        <v>RCEF 23-08-20 Rebidding</v>
      </c>
      <c r="M885" s="43">
        <f t="array" ref="M885">XLOOKUP($A885,'Recipients REF'!$A:$A,'Recipients REF'!G:G,"",0)</f>
        <v>1</v>
      </c>
      <c r="N885" s="43">
        <f t="array" ref="N885">XLOOKUP($A885,'Recipients REF'!$A:$A,'Recipients REF'!H:H,"",0)</f>
        <v>17725</v>
      </c>
      <c r="O885" s="44" t="s">
        <v>25</v>
      </c>
      <c r="P885" s="45" t="s">
        <v>26</v>
      </c>
      <c r="Q885" s="46" t="str">
        <f t="array" ref="Q885">XLOOKUP($A885,'Recipients REF'!$A:$A,'Recipients REF'!I:I,"",0)</f>
        <v>KMC5825 ACRFPV0448</v>
      </c>
      <c r="R885" s="47" t="str">
        <f t="array" ref="R885">XLOOKUP($A885,'Recipients REF'!$A:$A,'Recipients REF'!J:J,"",0)</f>
        <v>RTS100364</v>
      </c>
      <c r="S885" s="45" t="s">
        <v>27</v>
      </c>
      <c r="T885" s="45" t="s">
        <v>28</v>
      </c>
      <c r="U885" s="46" t="str">
        <f t="array" ref="U885">XLOOKUP($A885,'Recipients REF'!$A:$A,'Recipients REF'!K:K,"",0)</f>
        <v>R-SERIES 415 PH</v>
      </c>
      <c r="V885" s="44" t="s">
        <v>29</v>
      </c>
      <c r="W885" s="45" t="s">
        <v>30</v>
      </c>
      <c r="X885" s="47" t="str">
        <f t="array" ref="X885">XLOOKUP($A885,'Recipients REF'!$A:$A,'Recipients REF'!L:L,"",0)</f>
        <v>LSGW1750 RMP 24020457</v>
      </c>
      <c r="Y885" s="48" t="s">
        <v>29</v>
      </c>
      <c r="Z885" s="48" t="s">
        <v>31</v>
      </c>
      <c r="AA885" s="46" t="str">
        <f t="array" ref="AA885">XLOOKUP($A885,'Recipients REF'!$A:$A,'Recipients REF'!M:M,"",0)</f>
        <v>WDP40 RMP 24020142</v>
      </c>
      <c r="AB885" s="49"/>
      <c r="AC885" s="42"/>
      <c r="AD885" s="42"/>
      <c r="AE885" s="55">
        <v>8.6906606024203E14</v>
      </c>
      <c r="AF885" s="42"/>
      <c r="AG885" s="42"/>
      <c r="AH885" s="42"/>
      <c r="AI885" s="42" t="str">
        <f t="array" ref="AI885">XLOOKUP($E885,Sheet11!$D:$D,Sheet11!$X:$X,"",0)</f>
        <v/>
      </c>
      <c r="AJ885" s="42" t="str">
        <f t="array" ref="AJ885">XLOOKUP($E885,Sheet11!$D:$D,Sheet11!$Y:$Y,"",0)</f>
        <v/>
      </c>
    </row>
    <row r="886">
      <c r="A886" s="41">
        <v>52.0</v>
      </c>
      <c r="B886" s="42" t="s">
        <v>1738</v>
      </c>
      <c r="C886" s="42" t="s">
        <v>1739</v>
      </c>
      <c r="D886" s="42"/>
      <c r="E886" s="42" t="str">
        <f t="shared" ref="E886:F886" si="887">PROPER(B886)</f>
        <v>San Isidro Farmer'S Association</v>
      </c>
      <c r="F886" s="42" t="str">
        <f t="shared" si="887"/>
        <v>San Isidro, Tiaong, Quezon</v>
      </c>
      <c r="G886" s="42" t="str">
        <f t="shared" si="3"/>
        <v>San Isidro</v>
      </c>
      <c r="H886" s="42" t="str">
        <f t="shared" si="4"/>
        <v>Tiaong</v>
      </c>
      <c r="I886" s="42" t="str">
        <f t="shared" si="5"/>
        <v>Quezon</v>
      </c>
      <c r="J886" s="42" t="str">
        <f t="array" ref="J886">XLOOKUP($E886,'Recipients REF'!$B:$B,'Recipients REF'!D:D,"",0)</f>
        <v>Eusebio I. Silang Sr.</v>
      </c>
      <c r="K886" s="42" t="str">
        <f t="array" ref="K886">XLOOKUP($E886,'Recipients REF'!$B:$B,'Recipients REF'!E:E,"",0)</f>
        <v>0946 230 0989 (AT)</v>
      </c>
      <c r="L886" s="43" t="str">
        <f t="array" ref="L886">XLOOKUP($A886,'Recipients REF'!$A:$A,'Recipients REF'!F:F,"",0)</f>
        <v>RCEF 23-08-20 Rebidding</v>
      </c>
      <c r="M886" s="43">
        <f t="array" ref="M886">XLOOKUP($A886,'Recipients REF'!$A:$A,'Recipients REF'!G:G,"",0)</f>
        <v>1</v>
      </c>
      <c r="N886" s="43">
        <f t="array" ref="N886">XLOOKUP($A886,'Recipients REF'!$A:$A,'Recipients REF'!H:H,"",0)</f>
        <v>17726</v>
      </c>
      <c r="O886" s="44" t="s">
        <v>25</v>
      </c>
      <c r="P886" s="45" t="s">
        <v>26</v>
      </c>
      <c r="Q886" s="46" t="str">
        <f t="array" ref="Q886">XLOOKUP($A886,'Recipients REF'!$A:$A,'Recipients REF'!I:I,"",0)</f>
        <v>KMC5825 ATRFPV0323</v>
      </c>
      <c r="R886" s="47" t="str">
        <f t="array" ref="R886">XLOOKUP($A886,'Recipients REF'!$A:$A,'Recipients REF'!J:J,"",0)</f>
        <v>RTS100191</v>
      </c>
      <c r="S886" s="45" t="s">
        <v>27</v>
      </c>
      <c r="T886" s="45" t="s">
        <v>28</v>
      </c>
      <c r="U886" s="46" t="str">
        <f t="array" ref="U886">XLOOKUP($A886,'Recipients REF'!$A:$A,'Recipients REF'!K:K,"",0)</f>
        <v>R-SERIES 414 PH</v>
      </c>
      <c r="V886" s="44" t="s">
        <v>29</v>
      </c>
      <c r="W886" s="45" t="s">
        <v>30</v>
      </c>
      <c r="X886" s="47" t="str">
        <f t="array" ref="X886">XLOOKUP($A886,'Recipients REF'!$A:$A,'Recipients REF'!L:L,"",0)</f>
        <v>LSGW1750 RMP 24020413</v>
      </c>
      <c r="Y886" s="48" t="s">
        <v>29</v>
      </c>
      <c r="Z886" s="48" t="s">
        <v>31</v>
      </c>
      <c r="AA886" s="46" t="str">
        <f t="array" ref="AA886">XLOOKUP($A886,'Recipients REF'!$A:$A,'Recipients REF'!M:M,"",0)</f>
        <v>WDP40 RMP 24020237</v>
      </c>
      <c r="AB886" s="49"/>
      <c r="AC886" s="42"/>
      <c r="AD886" s="42"/>
      <c r="AE886" s="55">
        <v>8.6906606246221E13</v>
      </c>
      <c r="AF886" s="42"/>
      <c r="AG886" s="42"/>
      <c r="AH886" s="42"/>
      <c r="AI886" s="42" t="str">
        <f t="array" ref="AI886">XLOOKUP($E886,Sheet11!$D:$D,Sheet11!$X:$X,"",0)</f>
        <v/>
      </c>
      <c r="AJ886" s="42" t="str">
        <f t="array" ref="AJ886">XLOOKUP($E886,Sheet11!$D:$D,Sheet11!$Y:$Y,"",0)</f>
        <v/>
      </c>
    </row>
    <row r="887">
      <c r="A887" s="41">
        <v>53.0</v>
      </c>
      <c r="B887" s="42" t="s">
        <v>1740</v>
      </c>
      <c r="C887" s="42" t="s">
        <v>1741</v>
      </c>
      <c r="D887" s="42"/>
      <c r="E887" s="42" t="str">
        <f t="shared" ref="E887:F887" si="888">PROPER(B887)</f>
        <v>Lalig Farmers Association</v>
      </c>
      <c r="F887" s="42" t="str">
        <f t="shared" si="888"/>
        <v>Lalig, Tiaong, Quezon</v>
      </c>
      <c r="G887" s="42" t="str">
        <f t="shared" si="3"/>
        <v>Lalig</v>
      </c>
      <c r="H887" s="42" t="str">
        <f t="shared" si="4"/>
        <v>Tiaong</v>
      </c>
      <c r="I887" s="42" t="str">
        <f t="shared" si="5"/>
        <v>Quezon</v>
      </c>
      <c r="J887" s="42" t="str">
        <f t="array" ref="J887">XLOOKUP($E887,'Recipients REF'!$B:$B,'Recipients REF'!D:D,"",0)</f>
        <v>Danilo L. Guevara</v>
      </c>
      <c r="K887" s="42" t="str">
        <f t="array" ref="K887">XLOOKUP($E887,'Recipients REF'!$B:$B,'Recipients REF'!E:E,"",0)</f>
        <v>0928 255 9507</v>
      </c>
      <c r="L887" s="43" t="str">
        <f t="array" ref="L887">XLOOKUP($A887,'Recipients REF'!$A:$A,'Recipients REF'!F:F,"",0)</f>
        <v>RCEF 23-08-20 Rebidding</v>
      </c>
      <c r="M887" s="43">
        <f t="array" ref="M887">XLOOKUP($A887,'Recipients REF'!$A:$A,'Recipients REF'!G:G,"",0)</f>
        <v>1</v>
      </c>
      <c r="N887" s="43">
        <f t="array" ref="N887">XLOOKUP($A887,'Recipients REF'!$A:$A,'Recipients REF'!H:H,"",0)</f>
        <v>17727</v>
      </c>
      <c r="O887" s="44" t="s">
        <v>25</v>
      </c>
      <c r="P887" s="45" t="s">
        <v>26</v>
      </c>
      <c r="Q887" s="46" t="str">
        <f t="array" ref="Q887">XLOOKUP($A887,'Recipients REF'!$A:$A,'Recipients REF'!I:I,"",0)</f>
        <v>KMC5825 ACRFPV0353</v>
      </c>
      <c r="R887" s="47" t="str">
        <f t="array" ref="R887">XLOOKUP($A887,'Recipients REF'!$A:$A,'Recipients REF'!J:J,"",0)</f>
        <v>RTS100245</v>
      </c>
      <c r="S887" s="45" t="s">
        <v>27</v>
      </c>
      <c r="T887" s="45" t="s">
        <v>28</v>
      </c>
      <c r="U887" s="46" t="str">
        <f t="array" ref="U887">XLOOKUP($A887,'Recipients REF'!$A:$A,'Recipients REF'!K:K,"",0)</f>
        <v>R-SERIES 417 PH</v>
      </c>
      <c r="V887" s="44" t="s">
        <v>29</v>
      </c>
      <c r="W887" s="45" t="s">
        <v>30</v>
      </c>
      <c r="X887" s="47" t="str">
        <f t="array" ref="X887">XLOOKUP($A887,'Recipients REF'!$A:$A,'Recipients REF'!L:L,"",0)</f>
        <v>LSGW1750 RMP 24020510</v>
      </c>
      <c r="Y887" s="48" t="s">
        <v>29</v>
      </c>
      <c r="Z887" s="48" t="s">
        <v>31</v>
      </c>
      <c r="AA887" s="46" t="str">
        <f t="array" ref="AA887">XLOOKUP($A887,'Recipients REF'!$A:$A,'Recipients REF'!M:M,"",0)</f>
        <v>WDP40 RMP 24020190</v>
      </c>
      <c r="AB887" s="49"/>
      <c r="AC887" s="42"/>
      <c r="AD887" s="42"/>
      <c r="AE887" s="56">
        <v>8.6906606246171E13</v>
      </c>
      <c r="AF887" s="42"/>
      <c r="AG887" s="42"/>
      <c r="AH887" s="42"/>
      <c r="AI887" s="42" t="str">
        <f t="array" ref="AI887">XLOOKUP($E887,Sheet11!$D:$D,Sheet11!$X:$X,"",0)</f>
        <v/>
      </c>
      <c r="AJ887" s="42" t="str">
        <f t="array" ref="AJ887">XLOOKUP($E887,Sheet11!$D:$D,Sheet11!$Y:$Y,"",0)</f>
        <v/>
      </c>
    </row>
    <row r="888">
      <c r="A888" s="41">
        <v>54.0</v>
      </c>
      <c r="B888" s="42" t="s">
        <v>1742</v>
      </c>
      <c r="C888" s="42" t="s">
        <v>1743</v>
      </c>
      <c r="D888" s="42"/>
      <c r="E888" s="42" t="str">
        <f t="shared" ref="E888:F888" si="889">PROPER(B888)</f>
        <v>Pederasyon Ng Mga Samahan Ng Magsasaka Ng Tiaong, Quezon</v>
      </c>
      <c r="F888" s="42" t="str">
        <f t="shared" si="889"/>
        <v>Poblacion 3, Tiaong, Quezon</v>
      </c>
      <c r="G888" s="42" t="str">
        <f t="shared" si="3"/>
        <v>Poblacion 3</v>
      </c>
      <c r="H888" s="42" t="str">
        <f t="shared" si="4"/>
        <v>Tiaong</v>
      </c>
      <c r="I888" s="42" t="str">
        <f t="shared" si="5"/>
        <v>Quezon</v>
      </c>
      <c r="J888" s="42" t="str">
        <f t="array" ref="J888">XLOOKUP($E888,'Recipients REF'!$B:$B,'Recipients REF'!D:D,"",0)</f>
        <v>Danilo l. Guevarra</v>
      </c>
      <c r="K888" s="42" t="str">
        <f t="array" ref="K888">XLOOKUP($E888,'Recipients REF'!$B:$B,'Recipients REF'!E:E,"",0)</f>
        <v>00908 889 1622 (MA)</v>
      </c>
      <c r="L888" s="43" t="str">
        <f t="array" ref="L888">XLOOKUP($A888,'Recipients REF'!$A:$A,'Recipients REF'!F:F,"",0)</f>
        <v>RCEF 23-08-20 Rebidding</v>
      </c>
      <c r="M888" s="43">
        <f t="array" ref="M888">XLOOKUP($A888,'Recipients REF'!$A:$A,'Recipients REF'!G:G,"",0)</f>
        <v>1</v>
      </c>
      <c r="N888" s="43">
        <f t="array" ref="N888">XLOOKUP($A888,'Recipients REF'!$A:$A,'Recipients REF'!H:H,"",0)</f>
        <v>17728</v>
      </c>
      <c r="O888" s="44" t="s">
        <v>25</v>
      </c>
      <c r="P888" s="45" t="s">
        <v>26</v>
      </c>
      <c r="Q888" s="46" t="str">
        <f t="array" ref="Q888">XLOOKUP($A888,'Recipients REF'!$A:$A,'Recipients REF'!I:I,"",0)</f>
        <v>KMC5825 AHRFPV0432</v>
      </c>
      <c r="R888" s="47" t="str">
        <f t="array" ref="R888">XLOOKUP($A888,'Recipients REF'!$A:$A,'Recipients REF'!J:J,"",0)</f>
        <v>RTS100334</v>
      </c>
      <c r="S888" s="45" t="s">
        <v>27</v>
      </c>
      <c r="T888" s="45" t="s">
        <v>28</v>
      </c>
      <c r="U888" s="46" t="str">
        <f t="array" ref="U888">XLOOKUP($A888,'Recipients REF'!$A:$A,'Recipients REF'!K:K,"",0)</f>
        <v>R-SERIES 419 PH</v>
      </c>
      <c r="V888" s="44" t="s">
        <v>29</v>
      </c>
      <c r="W888" s="45" t="s">
        <v>30</v>
      </c>
      <c r="X888" s="47" t="str">
        <f t="array" ref="X888">XLOOKUP($A888,'Recipients REF'!$A:$A,'Recipients REF'!L:L,"",0)</f>
        <v>LSGW1750 RMP 24020420</v>
      </c>
      <c r="Y888" s="48" t="s">
        <v>29</v>
      </c>
      <c r="Z888" s="48" t="s">
        <v>31</v>
      </c>
      <c r="AA888" s="46" t="str">
        <f t="array" ref="AA888">XLOOKUP($A888,'Recipients REF'!$A:$A,'Recipients REF'!M:M,"",0)</f>
        <v>WDP40 RMP 24020220</v>
      </c>
      <c r="AB888" s="49"/>
      <c r="AC888" s="42"/>
      <c r="AD888" s="42"/>
      <c r="AE888" s="55">
        <v>8.6906606240117E13</v>
      </c>
      <c r="AF888" s="42"/>
      <c r="AG888" s="42"/>
      <c r="AH888" s="42"/>
      <c r="AI888" s="42" t="str">
        <f t="array" ref="AI888">XLOOKUP($E888,Sheet11!$D:$D,Sheet11!$X:$X,"",0)</f>
        <v/>
      </c>
      <c r="AJ888" s="42" t="str">
        <f t="array" ref="AJ888">XLOOKUP($E888,Sheet11!$D:$D,Sheet11!$Y:$Y,"",0)</f>
        <v/>
      </c>
    </row>
    <row r="889">
      <c r="A889" s="41">
        <v>55.0</v>
      </c>
      <c r="B889" s="42" t="s">
        <v>1744</v>
      </c>
      <c r="C889" s="42" t="s">
        <v>1745</v>
      </c>
      <c r="D889" s="42"/>
      <c r="E889" s="42" t="str">
        <f t="shared" ref="E889:F889" si="890">PROPER(B889)</f>
        <v>Mulanay Rice Farmers Federation</v>
      </c>
      <c r="F889" s="42" t="str">
        <f t="shared" si="890"/>
        <v>Barangay 1, Malunay, Quezon</v>
      </c>
      <c r="G889" s="42" t="str">
        <f t="shared" si="3"/>
        <v>Barangay 1</v>
      </c>
      <c r="H889" s="42" t="str">
        <f t="shared" si="4"/>
        <v>Malunay</v>
      </c>
      <c r="I889" s="42" t="str">
        <f t="shared" si="5"/>
        <v>Quezon</v>
      </c>
      <c r="J889" s="42" t="str">
        <f t="array" ref="J889">XLOOKUP($E889,'Recipients REF'!$B:$B,'Recipients REF'!D:D,"",0)</f>
        <v>Anacleto G. Palmero</v>
      </c>
      <c r="K889" s="42" t="str">
        <f t="array" ref="K889">XLOOKUP($E889,'Recipients REF'!$B:$B,'Recipients REF'!E:E,"",0)</f>
        <v>0930 990 4933</v>
      </c>
      <c r="L889" s="43" t="str">
        <f t="array" ref="L889">XLOOKUP($A889,'Recipients REF'!$A:$A,'Recipients REF'!F:F,"",0)</f>
        <v>RCEF 23-08-20 Rebidding</v>
      </c>
      <c r="M889" s="43">
        <f t="array" ref="M889">XLOOKUP($A889,'Recipients REF'!$A:$A,'Recipients REF'!G:G,"",0)</f>
        <v>1</v>
      </c>
      <c r="N889" s="43">
        <f t="array" ref="N889">XLOOKUP($A889,'Recipients REF'!$A:$A,'Recipients REF'!H:H,"",0)</f>
        <v>17729</v>
      </c>
      <c r="O889" s="44" t="s">
        <v>25</v>
      </c>
      <c r="P889" s="45" t="s">
        <v>26</v>
      </c>
      <c r="Q889" s="46" t="str">
        <f t="array" ref="Q889">XLOOKUP($A889,'Recipients REF'!$A:$A,'Recipients REF'!I:I,"",0)</f>
        <v>KMC5825 AVRFPV0023</v>
      </c>
      <c r="R889" s="47" t="str">
        <f t="array" ref="R889">XLOOKUP($A889,'Recipients REF'!$A:$A,'Recipients REF'!J:J,"",0)</f>
        <v>PTS100263</v>
      </c>
      <c r="S889" s="45" t="s">
        <v>27</v>
      </c>
      <c r="T889" s="45" t="s">
        <v>28</v>
      </c>
      <c r="U889" s="46" t="str">
        <f t="array" ref="U889">XLOOKUP($A889,'Recipients REF'!$A:$A,'Recipients REF'!K:K,"",0)</f>
        <v>R-SERIES 242 PH</v>
      </c>
      <c r="V889" s="44" t="s">
        <v>29</v>
      </c>
      <c r="W889" s="45" t="s">
        <v>30</v>
      </c>
      <c r="X889" s="47" t="str">
        <f t="array" ref="X889">XLOOKUP($A889,'Recipients REF'!$A:$A,'Recipients REF'!L:L,"",0)</f>
        <v>LSGW1750 RMP 24020429</v>
      </c>
      <c r="Y889" s="48" t="s">
        <v>29</v>
      </c>
      <c r="Z889" s="48" t="s">
        <v>31</v>
      </c>
      <c r="AA889" s="46" t="str">
        <f t="array" ref="AA889">XLOOKUP($A889,'Recipients REF'!$A:$A,'Recipients REF'!M:M,"",0)</f>
        <v>WDP40 RMP 24020250</v>
      </c>
      <c r="AB889" s="49"/>
      <c r="AC889" s="42"/>
      <c r="AD889" s="42"/>
      <c r="AE889" s="56">
        <v>8.69066060246585E14</v>
      </c>
      <c r="AF889" s="42"/>
      <c r="AG889" s="42"/>
      <c r="AH889" s="42"/>
      <c r="AI889" s="42" t="str">
        <f t="array" ref="AI889">XLOOKUP($E889,Sheet11!$D:$D,Sheet11!$X:$X,"",0)</f>
        <v/>
      </c>
      <c r="AJ889" s="42" t="str">
        <f t="array" ref="AJ889">XLOOKUP($E889,Sheet11!$D:$D,Sheet11!$Y:$Y,"",0)</f>
        <v/>
      </c>
    </row>
    <row r="890">
      <c r="A890" s="41">
        <v>56.0</v>
      </c>
      <c r="B890" s="42" t="s">
        <v>1746</v>
      </c>
      <c r="C890" s="42" t="s">
        <v>1747</v>
      </c>
      <c r="D890" s="42"/>
      <c r="E890" s="42" t="str">
        <f t="shared" ref="E890:F890" si="891">PROPER(B890)</f>
        <v>Barangay San Luis 1 Healthy Farming Association</v>
      </c>
      <c r="F890" s="42" t="str">
        <f t="shared" si="891"/>
        <v>San Luis 1, Guinayangan, Quezon</v>
      </c>
      <c r="G890" s="42" t="str">
        <f t="shared" si="3"/>
        <v>San Luis 1</v>
      </c>
      <c r="H890" s="42" t="str">
        <f t="shared" si="4"/>
        <v>Guinayangan</v>
      </c>
      <c r="I890" s="42" t="str">
        <f t="shared" si="5"/>
        <v>Quezon</v>
      </c>
      <c r="J890" s="42" t="str">
        <f t="array" ref="J890">XLOOKUP($E890,'Recipients REF'!$B:$B,'Recipients REF'!D:D,"",0)</f>
        <v>Avelino A. Tolentino</v>
      </c>
      <c r="K890" s="42" t="str">
        <f t="array" ref="K890">XLOOKUP($E890,'Recipients REF'!$B:$B,'Recipients REF'!E:E,"",0)</f>
        <v>0930 704 3885</v>
      </c>
      <c r="L890" s="43" t="str">
        <f t="array" ref="L890">XLOOKUP($A890,'Recipients REF'!$A:$A,'Recipients REF'!F:F,"",0)</f>
        <v>RCEF 23-08-20 Rebidding</v>
      </c>
      <c r="M890" s="43">
        <f t="array" ref="M890">XLOOKUP($A890,'Recipients REF'!$A:$A,'Recipients REF'!G:G,"",0)</f>
        <v>1</v>
      </c>
      <c r="N890" s="43">
        <f t="array" ref="N890">XLOOKUP($A890,'Recipients REF'!$A:$A,'Recipients REF'!H:H,"",0)</f>
        <v>17730</v>
      </c>
      <c r="O890" s="44" t="s">
        <v>25</v>
      </c>
      <c r="P890" s="45" t="s">
        <v>26</v>
      </c>
      <c r="Q890" s="46" t="str">
        <f t="array" ref="Q890">XLOOKUP($A890,'Recipients REF'!$A:$A,'Recipients REF'!I:I,"",0)</f>
        <v>KMC5825 AKRFPV0308</v>
      </c>
      <c r="R890" s="47" t="str">
        <f t="array" ref="R890">XLOOKUP($A890,'Recipients REF'!$A:$A,'Recipients REF'!J:J,"",0)</f>
        <v>RTS100206</v>
      </c>
      <c r="S890" s="45" t="s">
        <v>27</v>
      </c>
      <c r="T890" s="45" t="s">
        <v>28</v>
      </c>
      <c r="U890" s="46" t="str">
        <f t="array" ref="U890">XLOOKUP($A890,'Recipients REF'!$A:$A,'Recipients REF'!K:K,"",0)</f>
        <v>R-SERIES 153 PH</v>
      </c>
      <c r="V890" s="44" t="s">
        <v>29</v>
      </c>
      <c r="W890" s="45" t="s">
        <v>30</v>
      </c>
      <c r="X890" s="47" t="str">
        <f t="array" ref="X890">XLOOKUP($A890,'Recipients REF'!$A:$A,'Recipients REF'!L:L,"",0)</f>
        <v>LSGW1750 RMP 24010188</v>
      </c>
      <c r="Y890" s="48" t="s">
        <v>29</v>
      </c>
      <c r="Z890" s="48" t="s">
        <v>31</v>
      </c>
      <c r="AA890" s="46" t="str">
        <f t="array" ref="AA890">XLOOKUP($A890,'Recipients REF'!$A:$A,'Recipients REF'!M:M,"",0)</f>
        <v>WDP40 RMP 24020247</v>
      </c>
      <c r="AB890" s="49"/>
      <c r="AC890" s="42"/>
      <c r="AD890" s="42"/>
      <c r="AE890" s="50"/>
      <c r="AF890" s="42"/>
      <c r="AG890" s="42"/>
      <c r="AH890" s="42"/>
      <c r="AI890" s="42" t="str">
        <f t="array" ref="AI890">XLOOKUP($E890,Sheet11!$D:$D,Sheet11!$X:$X,"",0)</f>
        <v/>
      </c>
      <c r="AJ890" s="42" t="str">
        <f t="array" ref="AJ890">XLOOKUP($E890,Sheet11!$D:$D,Sheet11!$Y:$Y,"",0)</f>
        <v/>
      </c>
    </row>
    <row r="891">
      <c r="A891" s="41">
        <v>57.0</v>
      </c>
      <c r="B891" s="42" t="s">
        <v>1748</v>
      </c>
      <c r="C891" s="42" t="s">
        <v>1749</v>
      </c>
      <c r="D891" s="42"/>
      <c r="E891" s="42" t="str">
        <f t="shared" ref="E891:F891" si="892">PROPER(B891)</f>
        <v>Barangay Buenavista Farmers Association</v>
      </c>
      <c r="F891" s="42" t="str">
        <f t="shared" si="892"/>
        <v>Buenavista, Lopez, Quezon</v>
      </c>
      <c r="G891" s="42" t="str">
        <f t="shared" si="3"/>
        <v>Buenavista</v>
      </c>
      <c r="H891" s="42" t="str">
        <f t="shared" si="4"/>
        <v>Lopez</v>
      </c>
      <c r="I891" s="42" t="str">
        <f t="shared" si="5"/>
        <v>Quezon</v>
      </c>
      <c r="J891" s="42" t="str">
        <f t="array" ref="J891">XLOOKUP($E891,'Recipients REF'!$B:$B,'Recipients REF'!D:D,"",0)</f>
        <v>Victor S. Pilarca</v>
      </c>
      <c r="K891" s="42" t="str">
        <f t="array" ref="K891">XLOOKUP($E891,'Recipients REF'!$B:$B,'Recipients REF'!E:E,"",0)</f>
        <v>0906 616 3414</v>
      </c>
      <c r="L891" s="43" t="str">
        <f t="array" ref="L891">XLOOKUP($A891,'Recipients REF'!$A:$A,'Recipients REF'!F:F,"",0)</f>
        <v>RCEF 23-08-20 Rebidding</v>
      </c>
      <c r="M891" s="43">
        <f t="array" ref="M891">XLOOKUP($A891,'Recipients REF'!$A:$A,'Recipients REF'!G:G,"",0)</f>
        <v>1</v>
      </c>
      <c r="N891" s="43">
        <f t="array" ref="N891">XLOOKUP($A891,'Recipients REF'!$A:$A,'Recipients REF'!H:H,"",0)</f>
        <v>17731</v>
      </c>
      <c r="O891" s="44" t="s">
        <v>25</v>
      </c>
      <c r="P891" s="45" t="s">
        <v>26</v>
      </c>
      <c r="Q891" s="46" t="str">
        <f t="array" ref="Q891">XLOOKUP($A891,'Recipients REF'!$A:$A,'Recipients REF'!I:I,"",0)</f>
        <v>KMC5825 AERFPV0271</v>
      </c>
      <c r="R891" s="47" t="str">
        <f t="array" ref="R891">XLOOKUP($A891,'Recipients REF'!$A:$A,'Recipients REF'!J:J,"",0)</f>
        <v>RTS100110</v>
      </c>
      <c r="S891" s="45" t="s">
        <v>27</v>
      </c>
      <c r="T891" s="45" t="s">
        <v>28</v>
      </c>
      <c r="U891" s="46" t="str">
        <f t="array" ref="U891">XLOOKUP($A891,'Recipients REF'!$A:$A,'Recipients REF'!K:K,"",0)</f>
        <v>R-SERIES 063 PH</v>
      </c>
      <c r="V891" s="44" t="s">
        <v>29</v>
      </c>
      <c r="W891" s="45" t="s">
        <v>30</v>
      </c>
      <c r="X891" s="47" t="str">
        <f t="array" ref="X891">XLOOKUP($A891,'Recipients REF'!$A:$A,'Recipients REF'!L:L,"",0)</f>
        <v>LSGW1750 RMP 24010181</v>
      </c>
      <c r="Y891" s="48" t="s">
        <v>29</v>
      </c>
      <c r="Z891" s="48" t="s">
        <v>31</v>
      </c>
      <c r="AA891" s="46" t="str">
        <f t="array" ref="AA891">XLOOKUP($A891,'Recipients REF'!$A:$A,'Recipients REF'!M:M,"",0)</f>
        <v>WDP40 RMP 24010112</v>
      </c>
      <c r="AB891" s="49"/>
      <c r="AC891" s="42"/>
      <c r="AD891" s="42"/>
      <c r="AE891" s="50"/>
      <c r="AF891" s="42"/>
      <c r="AG891" s="42"/>
      <c r="AH891" s="42"/>
      <c r="AI891" s="42" t="str">
        <f t="array" ref="AI891">XLOOKUP($E891,Sheet11!$D:$D,Sheet11!$X:$X,"",0)</f>
        <v/>
      </c>
      <c r="AJ891" s="42" t="str">
        <f t="array" ref="AJ891">XLOOKUP($E891,Sheet11!$D:$D,Sheet11!$Y:$Y,"",0)</f>
        <v/>
      </c>
    </row>
    <row r="892">
      <c r="A892" s="41">
        <v>58.0</v>
      </c>
      <c r="B892" s="42" t="s">
        <v>1750</v>
      </c>
      <c r="C892" s="42" t="s">
        <v>1751</v>
      </c>
      <c r="D892" s="42"/>
      <c r="E892" s="42" t="str">
        <f t="shared" ref="E892:F892" si="893">PROPER(B892)</f>
        <v>San Roque Farmers Association</v>
      </c>
      <c r="F892" s="42" t="str">
        <f t="shared" si="893"/>
        <v>San Roque, Lopez, Quezon</v>
      </c>
      <c r="G892" s="42" t="str">
        <f t="shared" si="3"/>
        <v>San Roque</v>
      </c>
      <c r="H892" s="42" t="str">
        <f t="shared" si="4"/>
        <v>Lopez</v>
      </c>
      <c r="I892" s="42" t="str">
        <f t="shared" si="5"/>
        <v>Quezon</v>
      </c>
      <c r="J892" s="42" t="str">
        <f t="array" ref="J892">XLOOKUP($E892,'Recipients REF'!$B:$B,'Recipients REF'!D:D,"",0)</f>
        <v>Rodelito I. Abella</v>
      </c>
      <c r="K892" s="42" t="str">
        <f t="array" ref="K892">XLOOKUP($E892,'Recipients REF'!$B:$B,'Recipients REF'!E:E,"",0)</f>
        <v>0948 038 7844</v>
      </c>
      <c r="L892" s="43" t="str">
        <f t="array" ref="L892">XLOOKUP($A892,'Recipients REF'!$A:$A,'Recipients REF'!F:F,"",0)</f>
        <v>RCEF 23-08-20 Rebidding</v>
      </c>
      <c r="M892" s="43">
        <f t="array" ref="M892">XLOOKUP($A892,'Recipients REF'!$A:$A,'Recipients REF'!G:G,"",0)</f>
        <v>1</v>
      </c>
      <c r="N892" s="43">
        <f t="array" ref="N892">XLOOKUP($A892,'Recipients REF'!$A:$A,'Recipients REF'!H:H,"",0)</f>
        <v>17732</v>
      </c>
      <c r="O892" s="44" t="s">
        <v>25</v>
      </c>
      <c r="P892" s="45" t="s">
        <v>26</v>
      </c>
      <c r="Q892" s="46" t="str">
        <f t="array" ref="Q892">XLOOKUP($A892,'Recipients REF'!$A:$A,'Recipients REF'!I:I,"",0)</f>
        <v>KMC5825 AARFPV0220</v>
      </c>
      <c r="R892" s="47" t="str">
        <f t="array" ref="R892">XLOOKUP($A892,'Recipients REF'!$A:$A,'Recipients REF'!J:J,"",0)</f>
        <v>RTS100119</v>
      </c>
      <c r="S892" s="45" t="s">
        <v>27</v>
      </c>
      <c r="T892" s="45" t="s">
        <v>28</v>
      </c>
      <c r="U892" s="46" t="str">
        <f t="array" ref="U892">XLOOKUP($A892,'Recipients REF'!$A:$A,'Recipients REF'!K:K,"",0)</f>
        <v>R-SERIES275 PH</v>
      </c>
      <c r="V892" s="44" t="s">
        <v>29</v>
      </c>
      <c r="W892" s="45" t="s">
        <v>30</v>
      </c>
      <c r="X892" s="47" t="str">
        <f t="array" ref="X892">XLOOKUP($A892,'Recipients REF'!$A:$A,'Recipients REF'!L:L,"",0)</f>
        <v>LSGW1750 RMP 24010183</v>
      </c>
      <c r="Y892" s="48" t="s">
        <v>29</v>
      </c>
      <c r="Z892" s="48" t="s">
        <v>31</v>
      </c>
      <c r="AA892" s="46" t="str">
        <f t="array" ref="AA892">XLOOKUP($A892,'Recipients REF'!$A:$A,'Recipients REF'!M:M,"",0)</f>
        <v>WDP40 RMP 24010109</v>
      </c>
      <c r="AB892" s="49"/>
      <c r="AC892" s="42"/>
      <c r="AD892" s="42"/>
      <c r="AE892" s="55">
        <v>8.69066060246403E14</v>
      </c>
      <c r="AF892" s="42"/>
      <c r="AG892" s="42"/>
      <c r="AH892" s="42"/>
      <c r="AI892" s="42" t="str">
        <f t="array" ref="AI892">XLOOKUP($E892,Sheet11!$D:$D,Sheet11!$X:$X,"",0)</f>
        <v/>
      </c>
      <c r="AJ892" s="42" t="str">
        <f t="array" ref="AJ892">XLOOKUP($E892,Sheet11!$D:$D,Sheet11!$Y:$Y,"",0)</f>
        <v/>
      </c>
    </row>
    <row r="893">
      <c r="A893" s="41">
        <v>59.0</v>
      </c>
      <c r="B893" s="42" t="s">
        <v>1752</v>
      </c>
      <c r="C893" s="42" t="s">
        <v>1753</v>
      </c>
      <c r="D893" s="42"/>
      <c r="E893" s="42" t="str">
        <f t="shared" ref="E893:F893" si="894">PROPER(B893)</f>
        <v>Rimapi Farmers Association</v>
      </c>
      <c r="F893" s="42" t="str">
        <f t="shared" si="894"/>
        <v>Mainit Sur, Perez, Quezon</v>
      </c>
      <c r="G893" s="42" t="str">
        <f t="shared" si="3"/>
        <v>Mainit Sur</v>
      </c>
      <c r="H893" s="42" t="str">
        <f t="shared" si="4"/>
        <v>Perez</v>
      </c>
      <c r="I893" s="42" t="str">
        <f t="shared" si="5"/>
        <v>Quezon</v>
      </c>
      <c r="J893" s="42" t="str">
        <f t="array" ref="J893">XLOOKUP($E893,'Recipients REF'!$B:$B,'Recipients REF'!D:D,"",0)</f>
        <v>Antonio S. Regodon</v>
      </c>
      <c r="K893" s="42" t="str">
        <f t="array" ref="K893">XLOOKUP($E893,'Recipients REF'!$B:$B,'Recipients REF'!E:E,"",0)</f>
        <v>0917 325 8937 (MAO)</v>
      </c>
      <c r="L893" s="43" t="str">
        <f t="array" ref="L893">XLOOKUP($A893,'Recipients REF'!$A:$A,'Recipients REF'!F:F,"",0)</f>
        <v>RCEF 23-08-20 Rebidding</v>
      </c>
      <c r="M893" s="43">
        <f t="array" ref="M893">XLOOKUP($A893,'Recipients REF'!$A:$A,'Recipients REF'!G:G,"",0)</f>
        <v>1</v>
      </c>
      <c r="N893" s="43">
        <f t="array" ref="N893">XLOOKUP($A893,'Recipients REF'!$A:$A,'Recipients REF'!H:H,"",0)</f>
        <v>17733</v>
      </c>
      <c r="O893" s="44" t="s">
        <v>25</v>
      </c>
      <c r="P893" s="45" t="s">
        <v>26</v>
      </c>
      <c r="Q893" s="46" t="str">
        <f t="array" ref="Q893">XLOOKUP($A893,'Recipients REF'!$A:$A,'Recipients REF'!I:I,"",0)</f>
        <v>KMC5825 ACRFPV0330</v>
      </c>
      <c r="R893" s="47" t="str">
        <f t="array" ref="R893">XLOOKUP($A893,'Recipients REF'!$A:$A,'Recipients REF'!J:J,"",0)</f>
        <v>RTS100176</v>
      </c>
      <c r="S893" s="45" t="s">
        <v>27</v>
      </c>
      <c r="T893" s="45" t="s">
        <v>28</v>
      </c>
      <c r="U893" s="46" t="str">
        <f t="array" ref="U893">XLOOKUP($A893,'Recipients REF'!$A:$A,'Recipients REF'!K:K,"",0)</f>
        <v>R-SERIES 155 PH</v>
      </c>
      <c r="V893" s="44" t="s">
        <v>29</v>
      </c>
      <c r="W893" s="45" t="s">
        <v>30</v>
      </c>
      <c r="X893" s="47" t="str">
        <f t="array" ref="X893">XLOOKUP($A893,'Recipients REF'!$A:$A,'Recipients REF'!L:L,"",0)</f>
        <v>LSGW1750 RMP 24020430</v>
      </c>
      <c r="Y893" s="48" t="s">
        <v>29</v>
      </c>
      <c r="Z893" s="48" t="s">
        <v>31</v>
      </c>
      <c r="AA893" s="46" t="str">
        <f t="array" ref="AA893">XLOOKUP($A893,'Recipients REF'!$A:$A,'Recipients REF'!M:M,"",0)</f>
        <v>WDP40 RMP 24020252</v>
      </c>
      <c r="AB893" s="49"/>
      <c r="AC893" s="42"/>
      <c r="AD893" s="42"/>
      <c r="AE893" s="50"/>
      <c r="AF893" s="42"/>
      <c r="AG893" s="42"/>
      <c r="AH893" s="42"/>
      <c r="AI893" s="42" t="str">
        <f t="array" ref="AI893">XLOOKUP($E893,Sheet11!$D:$D,Sheet11!$X:$X,"",0)</f>
        <v/>
      </c>
      <c r="AJ893" s="42" t="str">
        <f t="array" ref="AJ893">XLOOKUP($E893,Sheet11!$D:$D,Sheet11!$Y:$Y,"",0)</f>
        <v/>
      </c>
    </row>
    <row r="894">
      <c r="A894" s="41">
        <v>60.0</v>
      </c>
      <c r="B894" s="42" t="s">
        <v>1754</v>
      </c>
      <c r="C894" s="42" t="s">
        <v>1755</v>
      </c>
      <c r="D894" s="42"/>
      <c r="E894" s="42" t="str">
        <f t="shared" ref="E894:F894" si="895">PROPER(B894)</f>
        <v>Bukal Farmers Association</v>
      </c>
      <c r="F894" s="42" t="str">
        <f t="shared" si="895"/>
        <v>Bukal, Tagkawayan, Quezon</v>
      </c>
      <c r="G894" s="42" t="str">
        <f t="shared" si="3"/>
        <v>Bukal</v>
      </c>
      <c r="H894" s="42" t="str">
        <f t="shared" si="4"/>
        <v>Tagkawayan</v>
      </c>
      <c r="I894" s="42" t="str">
        <f t="shared" si="5"/>
        <v>Quezon</v>
      </c>
      <c r="J894" s="42" t="str">
        <f t="array" ref="J894">XLOOKUP($E894,'Recipients REF'!$B:$B,'Recipients REF'!D:D,"",0)</f>
        <v>Sergio G. Macaraig Jr.</v>
      </c>
      <c r="K894" s="42" t="str">
        <f t="array" ref="K894">XLOOKUP($E894,'Recipients REF'!$B:$B,'Recipients REF'!E:E,"",0)</f>
        <v>0909 050 0561</v>
      </c>
      <c r="L894" s="43" t="str">
        <f t="array" ref="L894">XLOOKUP($A894,'Recipients REF'!$A:$A,'Recipients REF'!F:F,"",0)</f>
        <v>RCEF 23-08-20 Rebidding</v>
      </c>
      <c r="M894" s="43">
        <f t="array" ref="M894">XLOOKUP($A894,'Recipients REF'!$A:$A,'Recipients REF'!G:G,"",0)</f>
        <v>1</v>
      </c>
      <c r="N894" s="43">
        <f t="array" ref="N894">XLOOKUP($A894,'Recipients REF'!$A:$A,'Recipients REF'!H:H,"",0)</f>
        <v>17734</v>
      </c>
      <c r="O894" s="44" t="s">
        <v>25</v>
      </c>
      <c r="P894" s="45" t="s">
        <v>26</v>
      </c>
      <c r="Q894" s="46" t="str">
        <f t="array" ref="Q894">XLOOKUP($A894,'Recipients REF'!$A:$A,'Recipients REF'!I:I,"",0)</f>
        <v>KMC5825 ATRFPV0337</v>
      </c>
      <c r="R894" s="47" t="str">
        <f t="array" ref="R894">XLOOKUP($A894,'Recipients REF'!$A:$A,'Recipients REF'!J:J,"",0)</f>
        <v>RTS100175</v>
      </c>
      <c r="S894" s="45" t="s">
        <v>27</v>
      </c>
      <c r="T894" s="45" t="s">
        <v>28</v>
      </c>
      <c r="U894" s="46" t="str">
        <f t="array" ref="U894">XLOOKUP($A894,'Recipients REF'!$A:$A,'Recipients REF'!K:K,"",0)</f>
        <v>R-SERIES 273 PH</v>
      </c>
      <c r="V894" s="44" t="s">
        <v>29</v>
      </c>
      <c r="W894" s="45" t="s">
        <v>30</v>
      </c>
      <c r="X894" s="47" t="str">
        <f t="array" ref="X894">XLOOKUP($A894,'Recipients REF'!$A:$A,'Recipients REF'!L:L,"",0)</f>
        <v>LSGW1750 RMP 24020417</v>
      </c>
      <c r="Y894" s="48" t="s">
        <v>29</v>
      </c>
      <c r="Z894" s="48" t="s">
        <v>31</v>
      </c>
      <c r="AA894" s="46" t="str">
        <f t="array" ref="AA894">XLOOKUP($A894,'Recipients REF'!$A:$A,'Recipients REF'!M:M,"",0)</f>
        <v>WDP40 RMP 24010135</v>
      </c>
      <c r="AB894" s="49"/>
      <c r="AC894" s="42"/>
      <c r="AD894" s="42"/>
      <c r="AE894" s="56">
        <v>8.69066060246205E14</v>
      </c>
      <c r="AF894" s="42"/>
      <c r="AG894" s="42"/>
      <c r="AH894" s="42"/>
      <c r="AI894" s="42" t="str">
        <f t="array" ref="AI894">XLOOKUP($E894,Sheet11!$D:$D,Sheet11!$X:$X,"",0)</f>
        <v/>
      </c>
      <c r="AJ894" s="42" t="str">
        <f t="array" ref="AJ894">XLOOKUP($E894,Sheet11!$D:$D,Sheet11!$Y:$Y,"",0)</f>
        <v/>
      </c>
    </row>
    <row r="895">
      <c r="A895" s="41">
        <v>61.0</v>
      </c>
      <c r="B895" s="42" t="s">
        <v>1756</v>
      </c>
      <c r="C895" s="42" t="s">
        <v>1757</v>
      </c>
      <c r="D895" s="42"/>
      <c r="E895" s="42" t="str">
        <f t="shared" ref="E895:F895" si="896">PROPER(B895)</f>
        <v>Agos Ng Pag-Asa Katakian Irrigators' Association Incorporated</v>
      </c>
      <c r="F895" s="42" t="str">
        <f t="shared" si="896"/>
        <v>Landing, Tagkawayan, Quezon</v>
      </c>
      <c r="G895" s="42" t="str">
        <f t="shared" si="3"/>
        <v>Landing</v>
      </c>
      <c r="H895" s="42" t="str">
        <f t="shared" si="4"/>
        <v>Tagkawayan</v>
      </c>
      <c r="I895" s="42" t="str">
        <f t="shared" si="5"/>
        <v>Quezon</v>
      </c>
      <c r="J895" s="42" t="str">
        <f t="array" ref="J895">XLOOKUP($E895,'Recipients REF'!$B:$B,'Recipients REF'!D:D,"",0)</f>
        <v>Leonora T. Mangubat</v>
      </c>
      <c r="K895" s="42" t="str">
        <f t="array" ref="K895">XLOOKUP($E895,'Recipients REF'!$B:$B,'Recipients REF'!E:E,"",0)</f>
        <v>0998 333 6165</v>
      </c>
      <c r="L895" s="43" t="str">
        <f t="array" ref="L895">XLOOKUP($A895,'Recipients REF'!$A:$A,'Recipients REF'!F:F,"",0)</f>
        <v>RCEF 23-08-20 Rebidding</v>
      </c>
      <c r="M895" s="43">
        <f t="array" ref="M895">XLOOKUP($A895,'Recipients REF'!$A:$A,'Recipients REF'!G:G,"",0)</f>
        <v>1</v>
      </c>
      <c r="N895" s="43">
        <f t="array" ref="N895">XLOOKUP($A895,'Recipients REF'!$A:$A,'Recipients REF'!H:H,"",0)</f>
        <v>17735</v>
      </c>
      <c r="O895" s="44" t="s">
        <v>25</v>
      </c>
      <c r="P895" s="45" t="s">
        <v>26</v>
      </c>
      <c r="Q895" s="46" t="str">
        <f t="array" ref="Q895">XLOOKUP($A895,'Recipients REF'!$A:$A,'Recipients REF'!I:I,"",0)</f>
        <v>KMC5825 ALRFPV0283</v>
      </c>
      <c r="R895" s="47" t="str">
        <f t="array" ref="R895">XLOOKUP($A895,'Recipients REF'!$A:$A,'Recipients REF'!J:J,"",0)</f>
        <v>RTS100130</v>
      </c>
      <c r="S895" s="45" t="s">
        <v>27</v>
      </c>
      <c r="T895" s="45" t="s">
        <v>28</v>
      </c>
      <c r="U895" s="46" t="str">
        <f t="array" ref="U895">XLOOKUP($A895,'Recipients REF'!$A:$A,'Recipients REF'!K:K,"",0)</f>
        <v>R-SERIES 061 PH</v>
      </c>
      <c r="V895" s="44" t="s">
        <v>29</v>
      </c>
      <c r="W895" s="45" t="s">
        <v>30</v>
      </c>
      <c r="X895" s="47" t="str">
        <f t="array" ref="X895">XLOOKUP($A895,'Recipients REF'!$A:$A,'Recipients REF'!L:L,"",0)</f>
        <v>LSGW1750 RMP 24010182</v>
      </c>
      <c r="Y895" s="48" t="s">
        <v>29</v>
      </c>
      <c r="Z895" s="48" t="s">
        <v>31</v>
      </c>
      <c r="AA895" s="46" t="str">
        <f t="array" ref="AA895">XLOOKUP($A895,'Recipients REF'!$A:$A,'Recipients REF'!M:M,"",0)</f>
        <v>WDP40 RMP 24030294</v>
      </c>
      <c r="AB895" s="49"/>
      <c r="AC895" s="42"/>
      <c r="AD895" s="42"/>
      <c r="AE895" s="56">
        <v>8.69066060246155E14</v>
      </c>
      <c r="AF895" s="42"/>
      <c r="AG895" s="42"/>
      <c r="AH895" s="42"/>
      <c r="AI895" s="42" t="str">
        <f t="array" ref="AI895">XLOOKUP($E895,Sheet11!$D:$D,Sheet11!$X:$X,"",0)</f>
        <v/>
      </c>
      <c r="AJ895" s="42" t="str">
        <f t="array" ref="AJ895">XLOOKUP($E895,Sheet11!$D:$D,Sheet11!$Y:$Y,"",0)</f>
        <v/>
      </c>
    </row>
    <row r="896">
      <c r="A896" s="41">
        <v>62.0</v>
      </c>
      <c r="B896" s="42" t="s">
        <v>1758</v>
      </c>
      <c r="C896" s="42" t="s">
        <v>1759</v>
      </c>
      <c r="D896" s="42"/>
      <c r="E896" s="42" t="str">
        <f t="shared" ref="E896:F896" si="897">PROPER(B896)</f>
        <v>Barangay Payapa Farmers Association</v>
      </c>
      <c r="F896" s="42" t="str">
        <f t="shared" si="897"/>
        <v>Payapa, Tagkawayan, Quezon</v>
      </c>
      <c r="G896" s="42" t="str">
        <f t="shared" si="3"/>
        <v>Payapa</v>
      </c>
      <c r="H896" s="42" t="str">
        <f t="shared" si="4"/>
        <v>Tagkawayan</v>
      </c>
      <c r="I896" s="42" t="str">
        <f t="shared" si="5"/>
        <v>Quezon</v>
      </c>
      <c r="J896" s="42" t="str">
        <f t="array" ref="J896">XLOOKUP($E896,'Recipients REF'!$B:$B,'Recipients REF'!D:D,"",0)</f>
        <v>Ferdinand R. Aguda</v>
      </c>
      <c r="K896" s="42" t="str">
        <f t="array" ref="K896">XLOOKUP($E896,'Recipients REF'!$B:$B,'Recipients REF'!E:E,"",0)</f>
        <v>0939 140 1908
 0951 864 2466</v>
      </c>
      <c r="L896" s="43" t="str">
        <f t="array" ref="L896">XLOOKUP($A896,'Recipients REF'!$A:$A,'Recipients REF'!F:F,"",0)</f>
        <v>RCEF 23-08-20 Rebidding</v>
      </c>
      <c r="M896" s="43">
        <f t="array" ref="M896">XLOOKUP($A896,'Recipients REF'!$A:$A,'Recipients REF'!G:G,"",0)</f>
        <v>1</v>
      </c>
      <c r="N896" s="43">
        <f t="array" ref="N896">XLOOKUP($A896,'Recipients REF'!$A:$A,'Recipients REF'!H:H,"",0)</f>
        <v>17736</v>
      </c>
      <c r="O896" s="44" t="s">
        <v>25</v>
      </c>
      <c r="P896" s="45" t="s">
        <v>26</v>
      </c>
      <c r="Q896" s="46" t="str">
        <f t="array" ref="Q896">XLOOKUP($A896,'Recipients REF'!$A:$A,'Recipients REF'!I:I,"",0)</f>
        <v>KMC5825 AHRFPV0205</v>
      </c>
      <c r="R896" s="47" t="str">
        <f t="array" ref="R896">XLOOKUP($A896,'Recipients REF'!$A:$A,'Recipients REF'!J:J,"",0)</f>
        <v>RTS100148</v>
      </c>
      <c r="S896" s="45" t="s">
        <v>27</v>
      </c>
      <c r="T896" s="45" t="s">
        <v>28</v>
      </c>
      <c r="U896" s="46" t="str">
        <f t="array" ref="U896">XLOOKUP($A896,'Recipients REF'!$A:$A,'Recipients REF'!K:K,"",0)</f>
        <v>R-SERIES 171 PH</v>
      </c>
      <c r="V896" s="44" t="s">
        <v>29</v>
      </c>
      <c r="W896" s="45" t="s">
        <v>30</v>
      </c>
      <c r="X896" s="47" t="str">
        <f t="array" ref="X896">XLOOKUP($A896,'Recipients REF'!$A:$A,'Recipients REF'!L:L,"",0)</f>
        <v>LSGW1750 RMP 24020414</v>
      </c>
      <c r="Y896" s="48" t="s">
        <v>29</v>
      </c>
      <c r="Z896" s="48" t="s">
        <v>31</v>
      </c>
      <c r="AA896" s="46" t="str">
        <f t="array" ref="AA896">XLOOKUP($A896,'Recipients REF'!$A:$A,'Recipients REF'!M:M,"",0)</f>
        <v>WDP40 RMP 24020243</v>
      </c>
      <c r="AB896" s="49"/>
      <c r="AC896" s="42"/>
      <c r="AD896" s="42"/>
      <c r="AE896" s="50"/>
      <c r="AF896" s="42"/>
      <c r="AG896" s="42"/>
      <c r="AH896" s="42"/>
      <c r="AI896" s="42" t="str">
        <f t="array" ref="AI896">XLOOKUP($E896,Sheet11!$D:$D,Sheet11!$X:$X,"",0)</f>
        <v/>
      </c>
      <c r="AJ896" s="42" t="str">
        <f t="array" ref="AJ896">XLOOKUP($E896,Sheet11!$D:$D,Sheet11!$Y:$Y,"",0)</f>
        <v/>
      </c>
    </row>
    <row r="897">
      <c r="A897" s="41">
        <v>89.0</v>
      </c>
      <c r="B897" s="42" t="s">
        <v>1760</v>
      </c>
      <c r="C897" s="42" t="s">
        <v>1761</v>
      </c>
      <c r="D897" s="42"/>
      <c r="E897" s="42" t="str">
        <f t="shared" ref="E897:F897" si="898">PROPER(B897)</f>
        <v>Kultihan-Kampuklo-Tubuhan-Pook (Kttp) Farmers Association</v>
      </c>
      <c r="F897" s="42" t="str">
        <f t="shared" si="898"/>
        <v>Buenavista West, Candelaria, Quezon</v>
      </c>
      <c r="G897" s="42" t="str">
        <f t="shared" si="3"/>
        <v>Buenavista West</v>
      </c>
      <c r="H897" s="42" t="str">
        <f t="shared" si="4"/>
        <v>Candelaria</v>
      </c>
      <c r="I897" s="42" t="str">
        <f t="shared" si="5"/>
        <v>Quezon</v>
      </c>
      <c r="J897" s="42" t="str">
        <f t="array" ref="J897">XLOOKUP($E897,'Recipients REF'!$B:$B,'Recipients REF'!D:D,"",0)</f>
        <v>Eladio C. Mercado</v>
      </c>
      <c r="K897" s="42" t="str">
        <f t="array" ref="K897">XLOOKUP($E897,'Recipients REF'!$B:$B,'Recipients REF'!E:E,"",0)</f>
        <v>0951 731 5092</v>
      </c>
      <c r="L897" s="43" t="str">
        <f t="array" ref="L897">XLOOKUP($A897,'Recipients REF'!$A:$A,'Recipients REF'!F:F,"",0)</f>
        <v>RCEF 23-08-20 Rebidding</v>
      </c>
      <c r="M897" s="43">
        <f t="array" ref="M897">XLOOKUP($A897,'Recipients REF'!$A:$A,'Recipients REF'!G:G,"",0)</f>
        <v>1</v>
      </c>
      <c r="N897" s="43" t="str">
        <f t="array" ref="N897">XLOOKUP($A897,'Recipients REF'!$A:$A,'Recipients REF'!H:H,"",0)</f>
        <v/>
      </c>
      <c r="O897" s="44" t="s">
        <v>25</v>
      </c>
      <c r="P897" s="45" t="s">
        <v>26</v>
      </c>
      <c r="Q897" s="46" t="str">
        <f t="array" ref="Q897">XLOOKUP($A897,'Recipients REF'!$A:$A,'Recipients REF'!I:I,"",0)</f>
        <v>KMC5825AERFPV0352</v>
      </c>
      <c r="R897" s="47" t="str">
        <f t="array" ref="R897">XLOOKUP($A897,'Recipients REF'!$A:$A,'Recipients REF'!J:J,"",0)</f>
        <v>RTS100232</v>
      </c>
      <c r="S897" s="45" t="s">
        <v>27</v>
      </c>
      <c r="T897" s="45" t="s">
        <v>28</v>
      </c>
      <c r="U897" s="46" t="str">
        <f t="array" ref="U897">XLOOKUP($A897,'Recipients REF'!$A:$A,'Recipients REF'!K:K,"",0)</f>
        <v>R SERIES 439 PH</v>
      </c>
      <c r="V897" s="44" t="s">
        <v>29</v>
      </c>
      <c r="W897" s="45" t="s">
        <v>30</v>
      </c>
      <c r="X897" s="47" t="str">
        <f t="array" ref="X897">XLOOKUP($A897,'Recipients REF'!$A:$A,'Recipients REF'!L:L,"",0)</f>
        <v>LSGW 1750 RMP 24020481</v>
      </c>
      <c r="Y897" s="48" t="s">
        <v>29</v>
      </c>
      <c r="Z897" s="48" t="s">
        <v>31</v>
      </c>
      <c r="AA897" s="46" t="str">
        <f t="array" ref="AA897">XLOOKUP($A897,'Recipients REF'!$A:$A,'Recipients REF'!M:M,"",0)</f>
        <v>WDP 40 RMP 24020239</v>
      </c>
      <c r="AB897" s="49"/>
      <c r="AC897" s="42"/>
      <c r="AD897" s="42"/>
      <c r="AE897" s="50"/>
      <c r="AF897" s="42"/>
      <c r="AG897" s="42"/>
      <c r="AH897" s="42"/>
      <c r="AI897" s="42" t="str">
        <f t="array" ref="AI897">XLOOKUP($E897,Sheet11!$D:$D,Sheet11!$X:$X,"",0)</f>
        <v/>
      </c>
      <c r="AJ897" s="42" t="str">
        <f t="array" ref="AJ897">XLOOKUP($E897,Sheet11!$D:$D,Sheet11!$Y:$Y,"",0)</f>
        <v/>
      </c>
    </row>
    <row r="898">
      <c r="A898" s="41">
        <v>959.0</v>
      </c>
      <c r="B898" s="42" t="s">
        <v>1762</v>
      </c>
      <c r="C898" s="42" t="s">
        <v>1763</v>
      </c>
      <c r="D898" s="42"/>
      <c r="E898" s="42" t="str">
        <f t="shared" ref="E898:F898" si="899">PROPER(B898)</f>
        <v>Quezon Palay Seedgrowers Association Inc.</v>
      </c>
      <c r="F898" s="42" t="str">
        <f t="shared" si="899"/>
        <v>Santa Catalina Sur, Candelaria, Quezon</v>
      </c>
      <c r="G898" s="42" t="str">
        <f t="shared" si="3"/>
        <v>Santa Catalina Sur</v>
      </c>
      <c r="H898" s="42" t="str">
        <f t="shared" si="4"/>
        <v>Candelaria</v>
      </c>
      <c r="I898" s="42" t="str">
        <f t="shared" si="5"/>
        <v>Quezon</v>
      </c>
      <c r="J898" s="42" t="str">
        <f t="array" ref="J898">XLOOKUP($E898,'Recipients REF'!$B:$B,'Recipients REF'!D:D,"",0)</f>
        <v>Domingo A. Brion Jr.</v>
      </c>
      <c r="K898" s="42">
        <f t="array" ref="K898">XLOOKUP($E898,'Recipients REF'!$B:$B,'Recipients REF'!E:E,"",0)</f>
        <v>9178246179</v>
      </c>
      <c r="L898" s="43" t="str">
        <f t="array" ref="L898">XLOOKUP($A898,'Recipients REF'!$A:$A,'Recipients REF'!F:F,"",0)</f>
        <v>RCEF 25-03-05</v>
      </c>
      <c r="M898" s="43">
        <f t="array" ref="M898">XLOOKUP($A898,'Recipients REF'!$A:$A,'Recipients REF'!G:G,"",0)</f>
        <v>7</v>
      </c>
      <c r="N898" s="43" t="str">
        <f t="array" ref="N898">XLOOKUP($A898,'Recipients REF'!$A:$A,'Recipients REF'!H:H,"",0)</f>
        <v>27289 &amp; 27579</v>
      </c>
      <c r="O898" s="44" t="s">
        <v>25</v>
      </c>
      <c r="P898" s="45" t="s">
        <v>26</v>
      </c>
      <c r="Q898" s="46" t="str">
        <f t="array" ref="Q898">XLOOKUP($A898,'Recipients REF'!$A:$A,'Recipients REF'!I:I,"",0)</f>
        <v>KMC5825 ATSFPV0599</v>
      </c>
      <c r="R898" s="53" t="str">
        <f t="array" ref="R898">XLOOKUP($A898,'Recipients REF'!$A:$A,'Recipients REF'!J:J,"",0)</f>
        <v>STS100627</v>
      </c>
      <c r="S898" s="45" t="s">
        <v>27</v>
      </c>
      <c r="T898" s="45" t="s">
        <v>28</v>
      </c>
      <c r="U898" s="46" t="str">
        <f t="array" ref="U898">XLOOKUP($A898,'Recipients REF'!$A:$A,'Recipients REF'!K:K,"",0)</f>
        <v>WR-SERIES 1399PH</v>
      </c>
      <c r="V898" s="44" t="s">
        <v>29</v>
      </c>
      <c r="W898" s="45" t="s">
        <v>30</v>
      </c>
      <c r="X898" s="53" t="str">
        <f t="array" ref="X898">XLOOKUP($A898,'Recipients REF'!$A:$A,'Recipients REF'!L:L,"",0)</f>
        <v>2510800</v>
      </c>
      <c r="Y898" s="48" t="s">
        <v>29</v>
      </c>
      <c r="Z898" s="48" t="s">
        <v>31</v>
      </c>
      <c r="AA898" s="54" t="str">
        <f t="array" ref="AA898">XLOOKUP($A898,'Recipients REF'!$A:$A,'Recipients REF'!M:M,"",0)</f>
        <v>25101228</v>
      </c>
      <c r="AB898" s="49"/>
      <c r="AC898" s="42"/>
      <c r="AD898" s="42"/>
      <c r="AE898" s="50"/>
      <c r="AF898" s="42"/>
      <c r="AG898" s="42"/>
      <c r="AH898" s="42"/>
      <c r="AI898" s="42" t="str">
        <f t="array" ref="AI898">XLOOKUP($E898,Sheet11!$D:$D,Sheet11!$X:$X,"",0)</f>
        <v/>
      </c>
      <c r="AJ898" s="42" t="str">
        <f t="array" ref="AJ898">XLOOKUP($E898,Sheet11!$D:$D,Sheet11!$Y:$Y,"",0)</f>
        <v/>
      </c>
    </row>
    <row r="899">
      <c r="A899" s="41">
        <v>960.0</v>
      </c>
      <c r="B899" s="42" t="s">
        <v>1764</v>
      </c>
      <c r="C899" s="42" t="s">
        <v>1765</v>
      </c>
      <c r="D899" s="42"/>
      <c r="E899" s="42" t="str">
        <f t="shared" ref="E899:F899" si="900">PROPER(B899)</f>
        <v>Lumingon Farmers Association</v>
      </c>
      <c r="F899" s="42" t="str">
        <f t="shared" si="900"/>
        <v>Lumingon, Tiaong, Quezon</v>
      </c>
      <c r="G899" s="42" t="str">
        <f t="shared" si="3"/>
        <v>Lumingon</v>
      </c>
      <c r="H899" s="42" t="str">
        <f t="shared" si="4"/>
        <v>Tiaong</v>
      </c>
      <c r="I899" s="42" t="str">
        <f t="shared" si="5"/>
        <v>Quezon</v>
      </c>
      <c r="J899" s="42" t="str">
        <f t="array" ref="J899">XLOOKUP($E899,'Recipients REF'!$B:$B,'Recipients REF'!D:D,"",0)</f>
        <v>Jesus Andrae Torano</v>
      </c>
      <c r="K899" s="42" t="str">
        <f t="array" ref="K899">XLOOKUP($E899,'Recipients REF'!$B:$B,'Recipients REF'!E:E,"",0)</f>
        <v>0905 942 0457</v>
      </c>
      <c r="L899" s="43" t="str">
        <f t="array" ref="L899">XLOOKUP($A899,'Recipients REF'!$A:$A,'Recipients REF'!F:F,"",0)</f>
        <v>RCEF 25-03-05</v>
      </c>
      <c r="M899" s="43">
        <f t="array" ref="M899">XLOOKUP($A899,'Recipients REF'!$A:$A,'Recipients REF'!G:G,"",0)</f>
        <v>7</v>
      </c>
      <c r="N899" s="43" t="str">
        <f t="array" ref="N899">XLOOKUP($A899,'Recipients REF'!$A:$A,'Recipients REF'!H:H,"",0)</f>
        <v>27290 &amp; 27580</v>
      </c>
      <c r="O899" s="44" t="s">
        <v>25</v>
      </c>
      <c r="P899" s="45" t="s">
        <v>26</v>
      </c>
      <c r="Q899" s="46" t="str">
        <f t="array" ref="Q899">XLOOKUP($A899,'Recipients REF'!$A:$A,'Recipients REF'!I:I,"",0)</f>
        <v>KMC5825 ACSFPV0617</v>
      </c>
      <c r="R899" s="53" t="str">
        <f t="array" ref="R899">XLOOKUP($A899,'Recipients REF'!$A:$A,'Recipients REF'!J:J,"",0)</f>
        <v>STS100623</v>
      </c>
      <c r="S899" s="45" t="s">
        <v>27</v>
      </c>
      <c r="T899" s="45" t="s">
        <v>28</v>
      </c>
      <c r="U899" s="46" t="str">
        <f t="array" ref="U899">XLOOKUP($A899,'Recipients REF'!$A:$A,'Recipients REF'!K:K,"",0)</f>
        <v>WR-SERIES 1400PH</v>
      </c>
      <c r="V899" s="44" t="s">
        <v>29</v>
      </c>
      <c r="W899" s="45" t="s">
        <v>30</v>
      </c>
      <c r="X899" s="53" t="str">
        <f t="array" ref="X899">XLOOKUP($A899,'Recipients REF'!$A:$A,'Recipients REF'!L:L,"",0)</f>
        <v>2510793</v>
      </c>
      <c r="Y899" s="48" t="s">
        <v>29</v>
      </c>
      <c r="Z899" s="48" t="s">
        <v>31</v>
      </c>
      <c r="AA899" s="54" t="str">
        <f t="array" ref="AA899">XLOOKUP($A899,'Recipients REF'!$A:$A,'Recipients REF'!M:M,"",0)</f>
        <v>25101217</v>
      </c>
      <c r="AB899" s="49"/>
      <c r="AC899" s="42"/>
      <c r="AD899" s="42"/>
      <c r="AE899" s="56">
        <v>8.6906606246171E13</v>
      </c>
      <c r="AF899" s="42"/>
      <c r="AG899" s="42"/>
      <c r="AH899" s="42"/>
      <c r="AI899" s="42" t="str">
        <f t="array" ref="AI899">XLOOKUP($E899,Sheet11!$D:$D,Sheet11!$X:$X,"",0)</f>
        <v/>
      </c>
      <c r="AJ899" s="42" t="str">
        <f t="array" ref="AJ899">XLOOKUP($E899,Sheet11!$D:$D,Sheet11!$Y:$Y,"",0)</f>
        <v/>
      </c>
    </row>
    <row r="900">
      <c r="A900" s="41">
        <v>961.0</v>
      </c>
      <c r="B900" s="42" t="s">
        <v>1766</v>
      </c>
      <c r="C900" s="42" t="s">
        <v>1767</v>
      </c>
      <c r="D900" s="42"/>
      <c r="E900" s="42" t="str">
        <f t="shared" ref="E900:F900" si="901">PROPER(B900)</f>
        <v>Sintorisan-Behia Swisa Inc.</v>
      </c>
      <c r="F900" s="42" t="str">
        <f t="shared" si="901"/>
        <v>Behia, Tiaong, Quezon</v>
      </c>
      <c r="G900" s="42" t="str">
        <f t="shared" si="3"/>
        <v>Behia</v>
      </c>
      <c r="H900" s="42" t="str">
        <f t="shared" si="4"/>
        <v>Tiaong</v>
      </c>
      <c r="I900" s="42" t="str">
        <f t="shared" si="5"/>
        <v>Quezon</v>
      </c>
      <c r="J900" s="42" t="str">
        <f t="array" ref="J900">XLOOKUP($E900,'Recipients REF'!$B:$B,'Recipients REF'!D:D,"",0)</f>
        <v>Gregorio T. Garde</v>
      </c>
      <c r="K900" s="42" t="str">
        <f t="array" ref="K900">XLOOKUP($E900,'Recipients REF'!$B:$B,'Recipients REF'!E:E,"",0)</f>
        <v>0920-614-2592</v>
      </c>
      <c r="L900" s="43" t="str">
        <f t="array" ref="L900">XLOOKUP($A900,'Recipients REF'!$A:$A,'Recipients REF'!F:F,"",0)</f>
        <v>RCEF 25-03-05</v>
      </c>
      <c r="M900" s="43">
        <f t="array" ref="M900">XLOOKUP($A900,'Recipients REF'!$A:$A,'Recipients REF'!G:G,"",0)</f>
        <v>7</v>
      </c>
      <c r="N900" s="43" t="str">
        <f t="array" ref="N900">XLOOKUP($A900,'Recipients REF'!$A:$A,'Recipients REF'!H:H,"",0)</f>
        <v>27291 &amp; 27581</v>
      </c>
      <c r="O900" s="44" t="s">
        <v>25</v>
      </c>
      <c r="P900" s="45" t="s">
        <v>26</v>
      </c>
      <c r="Q900" s="46" t="str">
        <f t="array" ref="Q900">XLOOKUP($A900,'Recipients REF'!$A:$A,'Recipients REF'!I:I,"",0)</f>
        <v>KMC5825 AASFPV0515</v>
      </c>
      <c r="R900" s="53" t="str">
        <f t="array" ref="R900">XLOOKUP($A900,'Recipients REF'!$A:$A,'Recipients REF'!J:J,"",0)</f>
        <v>STS100588</v>
      </c>
      <c r="S900" s="45" t="s">
        <v>27</v>
      </c>
      <c r="T900" s="45" t="s">
        <v>28</v>
      </c>
      <c r="U900" s="46" t="str">
        <f t="array" ref="U900">XLOOKUP($A900,'Recipients REF'!$A:$A,'Recipients REF'!K:K,"",0)</f>
        <v>WR-SERIES 1401PH</v>
      </c>
      <c r="V900" s="44" t="s">
        <v>29</v>
      </c>
      <c r="W900" s="45" t="s">
        <v>30</v>
      </c>
      <c r="X900" s="53" t="str">
        <f t="array" ref="X900">XLOOKUP($A900,'Recipients REF'!$A:$A,'Recipients REF'!L:L,"",0)</f>
        <v>2510799</v>
      </c>
      <c r="Y900" s="48" t="s">
        <v>29</v>
      </c>
      <c r="Z900" s="48" t="s">
        <v>31</v>
      </c>
      <c r="AA900" s="54" t="str">
        <f t="array" ref="AA900">XLOOKUP($A900,'Recipients REF'!$A:$A,'Recipients REF'!M:M,"",0)</f>
        <v>25101207</v>
      </c>
      <c r="AB900" s="49"/>
      <c r="AC900" s="42"/>
      <c r="AD900" s="42"/>
      <c r="AE900" s="50"/>
      <c r="AF900" s="42"/>
      <c r="AG900" s="42"/>
      <c r="AH900" s="42"/>
      <c r="AI900" s="42" t="str">
        <f t="array" ref="AI900">XLOOKUP($E900,Sheet11!$D:$D,Sheet11!$X:$X,"",0)</f>
        <v/>
      </c>
      <c r="AJ900" s="42" t="str">
        <f t="array" ref="AJ900">XLOOKUP($E900,Sheet11!$D:$D,Sheet11!$Y:$Y,"",0)</f>
        <v/>
      </c>
    </row>
    <row r="901">
      <c r="A901" s="41">
        <v>989.0</v>
      </c>
      <c r="B901" s="42" t="s">
        <v>1768</v>
      </c>
      <c r="C901" s="42" t="s">
        <v>1769</v>
      </c>
      <c r="D901" s="42"/>
      <c r="E901" s="42" t="str">
        <f t="shared" ref="E901:F901" si="902">PROPER(B901)</f>
        <v>Ugnayan Ng Magsasaka Farmers Association</v>
      </c>
      <c r="F901" s="42" t="str">
        <f t="shared" si="902"/>
        <v>Lusacan, Tiaong, Quezon</v>
      </c>
      <c r="G901" s="42" t="str">
        <f t="shared" si="3"/>
        <v>Lusacan</v>
      </c>
      <c r="H901" s="42" t="str">
        <f t="shared" si="4"/>
        <v>Tiaong</v>
      </c>
      <c r="I901" s="42" t="str">
        <f t="shared" si="5"/>
        <v>Quezon</v>
      </c>
      <c r="J901" s="42" t="str">
        <f t="array" ref="J901">XLOOKUP($E901,'Recipients REF'!$B:$B,'Recipients REF'!D:D,"",0)</f>
        <v>Benito E. Mitra</v>
      </c>
      <c r="K901" s="42" t="str">
        <f t="array" ref="K901">XLOOKUP($E901,'Recipients REF'!$B:$B,'Recipients REF'!E:E,"",0)</f>
        <v>0921 468 0930</v>
      </c>
      <c r="L901" s="43" t="str">
        <f t="array" ref="L901">XLOOKUP($A901,'Recipients REF'!$A:$A,'Recipients REF'!F:F,"",0)</f>
        <v>Repeat Order</v>
      </c>
      <c r="M901" s="43">
        <f t="array" ref="M901">XLOOKUP($A901,'Recipients REF'!$A:$A,'Recipients REF'!G:G,"",0)</f>
        <v>7</v>
      </c>
      <c r="N901" s="43">
        <f t="array" ref="N901">XLOOKUP($A901,'Recipients REF'!$A:$A,'Recipients REF'!H:H,"",0)</f>
        <v>23125</v>
      </c>
      <c r="O901" s="44" t="s">
        <v>25</v>
      </c>
      <c r="P901" s="45" t="s">
        <v>26</v>
      </c>
      <c r="Q901" s="46" t="str">
        <f t="array" ref="Q901">XLOOKUP($A901,'Recipients REF'!$A:$A,'Recipients REF'!I:I,"",0)</f>
        <v>KMC5825ATRFPV1049</v>
      </c>
      <c r="R901" s="47" t="str">
        <f t="array" ref="R901">XLOOKUP($A901,'Recipients REF'!$A:$A,'Recipients REF'!J:J,"",0)</f>
        <v>RTS100944</v>
      </c>
      <c r="S901" s="45" t="s">
        <v>27</v>
      </c>
      <c r="T901" s="45" t="s">
        <v>28</v>
      </c>
      <c r="U901" s="46" t="str">
        <f t="array" ref="U901">XLOOKUP($A901,'Recipients REF'!$A:$A,'Recipients REF'!K:K,"",0)</f>
        <v>LSGW1750-RMP-24111148</v>
      </c>
      <c r="V901" s="44" t="s">
        <v>29</v>
      </c>
      <c r="W901" s="45" t="s">
        <v>30</v>
      </c>
      <c r="X901" s="47" t="str">
        <f t="array" ref="X901">XLOOKUP($A901,'Recipients REF'!$A:$A,'Recipients REF'!L:L,"",0)</f>
        <v>WDP40-RMP-25020339</v>
      </c>
      <c r="Y901" s="48" t="s">
        <v>29</v>
      </c>
      <c r="Z901" s="48" t="s">
        <v>31</v>
      </c>
      <c r="AA901" s="46" t="str">
        <f t="array" ref="AA901">XLOOKUP($A901,'Recipients REF'!$A:$A,'Recipients REF'!M:M,"",0)</f>
        <v>WR-SERIES-1276PH</v>
      </c>
      <c r="AB901" s="49"/>
      <c r="AC901" s="42"/>
      <c r="AD901" s="42"/>
      <c r="AE901" s="55">
        <v>8.69066062212825E14</v>
      </c>
      <c r="AF901" s="42"/>
      <c r="AG901" s="42"/>
      <c r="AH901" s="42"/>
      <c r="AI901" s="42" t="str">
        <f t="array" ref="AI901">XLOOKUP($E901,Sheet11!$D:$D,Sheet11!$X:$X,"",0)</f>
        <v/>
      </c>
      <c r="AJ901" s="42" t="str">
        <f t="array" ref="AJ901">XLOOKUP($E901,Sheet11!$D:$D,Sheet11!$Y:$Y,"",0)</f>
        <v/>
      </c>
    </row>
    <row r="902">
      <c r="A902" s="41">
        <v>261.0</v>
      </c>
      <c r="B902" s="42" t="s">
        <v>1770</v>
      </c>
      <c r="C902" s="42" t="s">
        <v>1771</v>
      </c>
      <c r="D902" s="42"/>
      <c r="E902" s="42" t="str">
        <f t="shared" ref="E902:F902" si="903">PROPER(B902)</f>
        <v>Taga San Marcos Irrigators' Association, Inc.</v>
      </c>
      <c r="F902" s="42" t="str">
        <f t="shared" si="903"/>
        <v>San Marcos, Cabarroguis, Quirino</v>
      </c>
      <c r="G902" s="42" t="str">
        <f t="shared" si="3"/>
        <v>San Marcos</v>
      </c>
      <c r="H902" s="42" t="str">
        <f t="shared" si="4"/>
        <v>Cabarroguis</v>
      </c>
      <c r="I902" s="42" t="str">
        <f t="shared" si="5"/>
        <v>Quirino</v>
      </c>
      <c r="J902" s="42" t="str">
        <f t="array" ref="J902">XLOOKUP($E902,'Recipients REF'!$B:$B,'Recipients REF'!D:D,"",0)</f>
        <v>Rolando M. Pagarigan</v>
      </c>
      <c r="K902" s="42">
        <f t="array" ref="K902">XLOOKUP($E902,'Recipients REF'!$B:$B,'Recipients REF'!E:E,"",0)</f>
        <v>9161785010</v>
      </c>
      <c r="L902" s="43" t="str">
        <f t="array" ref="L902">XLOOKUP($A902,'Recipients REF'!$A:$A,'Recipients REF'!F:F,"",0)</f>
        <v>RCEF 23-09-21 Rebidding</v>
      </c>
      <c r="M902" s="43">
        <f t="array" ref="M902">XLOOKUP($A902,'Recipients REF'!$A:$A,'Recipients REF'!G:G,"",0)</f>
        <v>9</v>
      </c>
      <c r="N902" s="43">
        <f t="array" ref="N902">XLOOKUP($A902,'Recipients REF'!$A:$A,'Recipients REF'!H:H,"",0)</f>
        <v>18822</v>
      </c>
      <c r="O902" s="44" t="s">
        <v>25</v>
      </c>
      <c r="P902" s="45" t="s">
        <v>26</v>
      </c>
      <c r="Q902" s="46" t="str">
        <f t="array" ref="Q902">XLOOKUP($A902,'Recipients REF'!$A:$A,'Recipients REF'!I:I,"",0)</f>
        <v>KMC5825 ACRFPV0255</v>
      </c>
      <c r="R902" s="47" t="str">
        <f t="array" ref="R902">XLOOKUP($A902,'Recipients REF'!$A:$A,'Recipients REF'!J:J,"",0)</f>
        <v>RTS100023</v>
      </c>
      <c r="S902" s="45" t="s">
        <v>27</v>
      </c>
      <c r="T902" s="45" t="s">
        <v>28</v>
      </c>
      <c r="U902" s="46" t="str">
        <f t="array" ref="U902">XLOOKUP($A902,'Recipients REF'!$A:$A,'Recipients REF'!K:K,"",0)</f>
        <v>R-SERIES 125 PH</v>
      </c>
      <c r="V902" s="44" t="s">
        <v>29</v>
      </c>
      <c r="W902" s="45" t="s">
        <v>30</v>
      </c>
      <c r="X902" s="47" t="str">
        <f t="array" ref="X902">XLOOKUP($A902,'Recipients REF'!$A:$A,'Recipients REF'!L:L,"",0)</f>
        <v>LSGW1750 RMP 24010193</v>
      </c>
      <c r="Y902" s="48" t="s">
        <v>29</v>
      </c>
      <c r="Z902" s="48" t="s">
        <v>31</v>
      </c>
      <c r="AA902" s="46" t="str">
        <f t="array" ref="AA902">XLOOKUP($A902,'Recipients REF'!$A:$A,'Recipients REF'!M:M,"",0)</f>
        <v>WDP40 RMP 24010131</v>
      </c>
      <c r="AB902" s="49"/>
      <c r="AC902" s="42"/>
      <c r="AD902" s="42"/>
      <c r="AE902" s="50"/>
      <c r="AF902" s="42"/>
      <c r="AG902" s="42"/>
      <c r="AH902" s="42"/>
      <c r="AI902" s="42">
        <f t="array" ref="AI902">XLOOKUP($E902,Sheet11!$D:$D,Sheet11!$X:$X,"",0)</f>
        <v>869066060241818</v>
      </c>
      <c r="AJ902" s="42">
        <f t="array" ref="AJ902">XLOOKUP($E902,Sheet11!$D:$D,Sheet11!$Y:$Y,"",0)</f>
        <v>9081100685</v>
      </c>
    </row>
    <row r="903">
      <c r="A903" s="41">
        <v>262.0</v>
      </c>
      <c r="B903" s="42" t="s">
        <v>1772</v>
      </c>
      <c r="C903" s="42" t="s">
        <v>1773</v>
      </c>
      <c r="D903" s="42"/>
      <c r="E903" s="42" t="str">
        <f t="shared" ref="E903:F903" si="904">PROPER(B903)</f>
        <v>Villagunda Irrigators Association Inc.</v>
      </c>
      <c r="F903" s="42" t="str">
        <f t="shared" si="904"/>
        <v>Gundaway (Pob.), Cabarroguis, Quirino</v>
      </c>
      <c r="G903" s="42" t="str">
        <f t="shared" si="3"/>
        <v>Gundaway (Pob.)</v>
      </c>
      <c r="H903" s="42" t="str">
        <f t="shared" si="4"/>
        <v>Cabarroguis</v>
      </c>
      <c r="I903" s="42" t="str">
        <f t="shared" si="5"/>
        <v>Quirino</v>
      </c>
      <c r="J903" s="42" t="str">
        <f t="array" ref="J903">XLOOKUP($E903,'Recipients REF'!$B:$B,'Recipients REF'!D:D,"",0)</f>
        <v>Eduardo A. Abad Jr.</v>
      </c>
      <c r="K903" s="42">
        <f t="array" ref="K903">XLOOKUP($E903,'Recipients REF'!$B:$B,'Recipients REF'!E:E,"",0)</f>
        <v>9369684918</v>
      </c>
      <c r="L903" s="43" t="str">
        <f t="array" ref="L903">XLOOKUP($A903,'Recipients REF'!$A:$A,'Recipients REF'!F:F,"",0)</f>
        <v>RCEF 23-09-21 Rebidding</v>
      </c>
      <c r="M903" s="43">
        <f t="array" ref="M903">XLOOKUP($A903,'Recipients REF'!$A:$A,'Recipients REF'!G:G,"",0)</f>
        <v>9</v>
      </c>
      <c r="N903" s="43">
        <f t="array" ref="N903">XLOOKUP($A903,'Recipients REF'!$A:$A,'Recipients REF'!H:H,"",0)</f>
        <v>18823</v>
      </c>
      <c r="O903" s="44" t="s">
        <v>25</v>
      </c>
      <c r="P903" s="45" t="s">
        <v>26</v>
      </c>
      <c r="Q903" s="46" t="str">
        <f t="array" ref="Q903">XLOOKUP($A903,'Recipients REF'!$A:$A,'Recipients REF'!I:I,"",0)</f>
        <v>KMC5825 APRFPV0159</v>
      </c>
      <c r="R903" s="47" t="str">
        <f t="array" ref="R903">XLOOKUP($A903,'Recipients REF'!$A:$A,'Recipients REF'!J:J,"",0)</f>
        <v>RTS100015</v>
      </c>
      <c r="S903" s="45" t="s">
        <v>27</v>
      </c>
      <c r="T903" s="45" t="s">
        <v>28</v>
      </c>
      <c r="U903" s="46" t="str">
        <f t="array" ref="U903">XLOOKUP($A903,'Recipients REF'!$A:$A,'Recipients REF'!K:K,"",0)</f>
        <v>R-SERIES 272 PH</v>
      </c>
      <c r="V903" s="44" t="s">
        <v>29</v>
      </c>
      <c r="W903" s="45" t="s">
        <v>30</v>
      </c>
      <c r="X903" s="47" t="str">
        <f t="array" ref="X903">XLOOKUP($A903,'Recipients REF'!$A:$A,'Recipients REF'!L:L,"",0)</f>
        <v>LSGW1750 RMP 24010112</v>
      </c>
      <c r="Y903" s="48" t="s">
        <v>29</v>
      </c>
      <c r="Z903" s="48" t="s">
        <v>31</v>
      </c>
      <c r="AA903" s="46" t="str">
        <f t="array" ref="AA903">XLOOKUP($A903,'Recipients REF'!$A:$A,'Recipients REF'!M:M,"",0)</f>
        <v>WDP40 RMP 24010169</v>
      </c>
      <c r="AB903" s="49"/>
      <c r="AC903" s="42"/>
      <c r="AD903" s="42"/>
      <c r="AE903" s="50"/>
      <c r="AF903" s="42"/>
      <c r="AG903" s="42"/>
      <c r="AH903" s="42"/>
      <c r="AI903" s="42">
        <f t="array" ref="AI903">XLOOKUP($E903,Sheet11!$D:$D,Sheet11!$X:$X,"",0)</f>
        <v>869066060236917</v>
      </c>
      <c r="AJ903" s="42">
        <f t="array" ref="AJ903">XLOOKUP($E903,Sheet11!$D:$D,Sheet11!$Y:$Y,"",0)</f>
        <v>9087198846</v>
      </c>
    </row>
    <row r="904">
      <c r="A904" s="41">
        <v>263.0</v>
      </c>
      <c r="B904" s="42" t="s">
        <v>1774</v>
      </c>
      <c r="C904" s="42" t="s">
        <v>1775</v>
      </c>
      <c r="D904" s="42"/>
      <c r="E904" s="42" t="str">
        <f t="shared" ref="E904:F904" si="905">PROPER(B904)</f>
        <v>Balagbag Farmers Association</v>
      </c>
      <c r="F904" s="42" t="str">
        <f t="shared" si="905"/>
        <v>Balagbag, Diffun, Quirino</v>
      </c>
      <c r="G904" s="42" t="str">
        <f t="shared" si="3"/>
        <v>Balagbag</v>
      </c>
      <c r="H904" s="42" t="str">
        <f t="shared" si="4"/>
        <v>Diffun</v>
      </c>
      <c r="I904" s="42" t="str">
        <f t="shared" si="5"/>
        <v>Quirino</v>
      </c>
      <c r="J904" s="42" t="str">
        <f t="array" ref="J904">XLOOKUP($E904,'Recipients REF'!$B:$B,'Recipients REF'!D:D,"",0)</f>
        <v>Richard G. Macapillar</v>
      </c>
      <c r="K904" s="42">
        <f t="array" ref="K904">XLOOKUP($E904,'Recipients REF'!$B:$B,'Recipients REF'!E:E,"",0)</f>
        <v>9755572180</v>
      </c>
      <c r="L904" s="43" t="str">
        <f t="array" ref="L904">XLOOKUP($A904,'Recipients REF'!$A:$A,'Recipients REF'!F:F,"",0)</f>
        <v>RCEF 23-09-21 Rebidding</v>
      </c>
      <c r="M904" s="43">
        <f t="array" ref="M904">XLOOKUP($A904,'Recipients REF'!$A:$A,'Recipients REF'!G:G,"",0)</f>
        <v>9</v>
      </c>
      <c r="N904" s="43">
        <f t="array" ref="N904">XLOOKUP($A904,'Recipients REF'!$A:$A,'Recipients REF'!H:H,"",0)</f>
        <v>18824</v>
      </c>
      <c r="O904" s="44" t="s">
        <v>25</v>
      </c>
      <c r="P904" s="45" t="s">
        <v>26</v>
      </c>
      <c r="Q904" s="46" t="str">
        <f t="array" ref="Q904">XLOOKUP($A904,'Recipients REF'!$A:$A,'Recipients REF'!I:I,"",0)</f>
        <v>KMC5825 ATRFPV0225</v>
      </c>
      <c r="R904" s="47" t="str">
        <f t="array" ref="R904">XLOOKUP($A904,'Recipients REF'!$A:$A,'Recipients REF'!J:J,"",0)</f>
        <v>RTS100042</v>
      </c>
      <c r="S904" s="45" t="s">
        <v>27</v>
      </c>
      <c r="T904" s="45" t="s">
        <v>28</v>
      </c>
      <c r="U904" s="46" t="str">
        <f t="array" ref="U904">XLOOKUP($A904,'Recipients REF'!$A:$A,'Recipients REF'!K:K,"",0)</f>
        <v>R-SERIES 161 PH</v>
      </c>
      <c r="V904" s="44" t="s">
        <v>29</v>
      </c>
      <c r="W904" s="45" t="s">
        <v>30</v>
      </c>
      <c r="X904" s="47" t="str">
        <f t="array" ref="X904">XLOOKUP($A904,'Recipients REF'!$A:$A,'Recipients REF'!L:L,"",0)</f>
        <v>LSGW1750 RMP 24010127</v>
      </c>
      <c r="Y904" s="48" t="s">
        <v>29</v>
      </c>
      <c r="Z904" s="48" t="s">
        <v>31</v>
      </c>
      <c r="AA904" s="46" t="str">
        <f t="array" ref="AA904">XLOOKUP($A904,'Recipients REF'!$A:$A,'Recipients REF'!M:M,"",0)</f>
        <v>WDP40 RMP 24010068</v>
      </c>
      <c r="AB904" s="49"/>
      <c r="AC904" s="42"/>
      <c r="AD904" s="42"/>
      <c r="AE904" s="50"/>
      <c r="AF904" s="42"/>
      <c r="AG904" s="42"/>
      <c r="AH904" s="42"/>
      <c r="AI904" s="42">
        <f t="array" ref="AI904">XLOOKUP($E904,Sheet11!$D:$D,Sheet11!$X:$X,"",0)</f>
        <v>869066060243475</v>
      </c>
      <c r="AJ904" s="42">
        <f t="array" ref="AJ904">XLOOKUP($E904,Sheet11!$D:$D,Sheet11!$Y:$Y,"",0)</f>
        <v>9087671025</v>
      </c>
    </row>
    <row r="905">
      <c r="A905" s="41">
        <v>264.0</v>
      </c>
      <c r="B905" s="42" t="s">
        <v>1776</v>
      </c>
      <c r="C905" s="42" t="s">
        <v>1777</v>
      </c>
      <c r="D905" s="42"/>
      <c r="E905" s="42" t="str">
        <f t="shared" ref="E905:F905" si="906">PROPER(B905)</f>
        <v>Lucban-Gabriela Irrigators Association Inc.</v>
      </c>
      <c r="F905" s="42" t="str">
        <f t="shared" si="906"/>
        <v>Gabriela Silang, Diffun, Quirino</v>
      </c>
      <c r="G905" s="42" t="str">
        <f t="shared" si="3"/>
        <v>Gabriela Silang</v>
      </c>
      <c r="H905" s="42" t="str">
        <f t="shared" si="4"/>
        <v>Diffun</v>
      </c>
      <c r="I905" s="42" t="str">
        <f t="shared" si="5"/>
        <v>Quirino</v>
      </c>
      <c r="J905" s="42" t="str">
        <f t="array" ref="J905">XLOOKUP($E905,'Recipients REF'!$B:$B,'Recipients REF'!D:D,"",0)</f>
        <v>Joseph F. Pascual</v>
      </c>
      <c r="K905" s="42">
        <f t="array" ref="K905">XLOOKUP($E905,'Recipients REF'!$B:$B,'Recipients REF'!E:E,"",0)</f>
        <v>9261079972</v>
      </c>
      <c r="L905" s="43" t="str">
        <f t="array" ref="L905">XLOOKUP($A905,'Recipients REF'!$A:$A,'Recipients REF'!F:F,"",0)</f>
        <v>RCEF 23-09-21 Rebidding</v>
      </c>
      <c r="M905" s="43">
        <f t="array" ref="M905">XLOOKUP($A905,'Recipients REF'!$A:$A,'Recipients REF'!G:G,"",0)</f>
        <v>9</v>
      </c>
      <c r="N905" s="43">
        <f t="array" ref="N905">XLOOKUP($A905,'Recipients REF'!$A:$A,'Recipients REF'!H:H,"",0)</f>
        <v>18825</v>
      </c>
      <c r="O905" s="44" t="s">
        <v>25</v>
      </c>
      <c r="P905" s="45" t="s">
        <v>26</v>
      </c>
      <c r="Q905" s="46" t="str">
        <f t="array" ref="Q905">XLOOKUP($A905,'Recipients REF'!$A:$A,'Recipients REF'!I:I,"",0)</f>
        <v>KMC5825 ACRFPV0215</v>
      </c>
      <c r="R905" s="47" t="str">
        <f t="array" ref="R905">XLOOKUP($A905,'Recipients REF'!$A:$A,'Recipients REF'!J:J,"",0)</f>
        <v>PTS100153</v>
      </c>
      <c r="S905" s="45" t="s">
        <v>27</v>
      </c>
      <c r="T905" s="45" t="s">
        <v>28</v>
      </c>
      <c r="U905" s="46" t="str">
        <f t="array" ref="U905">XLOOKUP($A905,'Recipients REF'!$A:$A,'Recipients REF'!K:K,"",0)</f>
        <v>R-SERIES 297 PH</v>
      </c>
      <c r="V905" s="44" t="s">
        <v>29</v>
      </c>
      <c r="W905" s="45" t="s">
        <v>30</v>
      </c>
      <c r="X905" s="47" t="str">
        <f t="array" ref="X905">XLOOKUP($A905,'Recipients REF'!$A:$A,'Recipients REF'!L:L,"",0)</f>
        <v>LSGW1750 RMP 24010130</v>
      </c>
      <c r="Y905" s="48" t="s">
        <v>29</v>
      </c>
      <c r="Z905" s="48" t="s">
        <v>31</v>
      </c>
      <c r="AA905" s="46" t="str">
        <f t="array" ref="AA905">XLOOKUP($A905,'Recipients REF'!$A:$A,'Recipients REF'!M:M,"",0)</f>
        <v>WDP40 RMP 24010157</v>
      </c>
      <c r="AB905" s="49"/>
      <c r="AC905" s="42"/>
      <c r="AD905" s="42"/>
      <c r="AE905" s="50"/>
      <c r="AF905" s="42"/>
      <c r="AG905" s="42"/>
      <c r="AH905" s="42"/>
      <c r="AI905" s="42">
        <f t="array" ref="AI905">XLOOKUP($E905,Sheet11!$D:$D,Sheet11!$X:$X,"",0)</f>
        <v>869066060237410</v>
      </c>
      <c r="AJ905" s="42">
        <f t="array" ref="AJ905">XLOOKUP($E905,Sheet11!$D:$D,Sheet11!$Y:$Y,"",0)</f>
        <v>9087601842</v>
      </c>
    </row>
    <row r="906">
      <c r="A906" s="41">
        <v>265.0</v>
      </c>
      <c r="B906" s="42" t="s">
        <v>1778</v>
      </c>
      <c r="C906" s="42" t="s">
        <v>1779</v>
      </c>
      <c r="D906" s="42"/>
      <c r="E906" s="42" t="str">
        <f t="shared" ref="E906:F906" si="907">PROPER(B906)</f>
        <v>Villa Pascua Multi-Purpose Cooperative</v>
      </c>
      <c r="F906" s="42" t="str">
        <f t="shared" si="907"/>
        <v>Villa Pascua, Diffun, Quirino</v>
      </c>
      <c r="G906" s="42" t="str">
        <f t="shared" si="3"/>
        <v>Villa Pascua</v>
      </c>
      <c r="H906" s="42" t="str">
        <f t="shared" si="4"/>
        <v>Diffun</v>
      </c>
      <c r="I906" s="42" t="str">
        <f t="shared" si="5"/>
        <v>Quirino</v>
      </c>
      <c r="J906" s="42" t="str">
        <f t="array" ref="J906">XLOOKUP($E906,'Recipients REF'!$B:$B,'Recipients REF'!D:D,"",0)</f>
        <v>Winnie R. Baclig</v>
      </c>
      <c r="K906" s="42">
        <f t="array" ref="K906">XLOOKUP($E906,'Recipients REF'!$B:$B,'Recipients REF'!E:E,"",0)</f>
        <v>9263910536</v>
      </c>
      <c r="L906" s="43" t="str">
        <f t="array" ref="L906">XLOOKUP($A906,'Recipients REF'!$A:$A,'Recipients REF'!F:F,"",0)</f>
        <v>RCEF 23-09-21 Rebidding</v>
      </c>
      <c r="M906" s="43">
        <f t="array" ref="M906">XLOOKUP($A906,'Recipients REF'!$A:$A,'Recipients REF'!G:G,"",0)</f>
        <v>9</v>
      </c>
      <c r="N906" s="43">
        <f t="array" ref="N906">XLOOKUP($A906,'Recipients REF'!$A:$A,'Recipients REF'!H:H,"",0)</f>
        <v>18826</v>
      </c>
      <c r="O906" s="44" t="s">
        <v>25</v>
      </c>
      <c r="P906" s="45" t="s">
        <v>26</v>
      </c>
      <c r="Q906" s="46" t="str">
        <f t="array" ref="Q906">XLOOKUP($A906,'Recipients REF'!$A:$A,'Recipients REF'!I:I,"",0)</f>
        <v>KMC5825 AHRFPV0298</v>
      </c>
      <c r="R906" s="47" t="str">
        <f t="array" ref="R906">XLOOKUP($A906,'Recipients REF'!$A:$A,'Recipients REF'!J:J,"",0)</f>
        <v>RTS100043</v>
      </c>
      <c r="S906" s="45" t="s">
        <v>27</v>
      </c>
      <c r="T906" s="45" t="s">
        <v>28</v>
      </c>
      <c r="U906" s="46" t="str">
        <f t="array" ref="U906">XLOOKUP($A906,'Recipients REF'!$A:$A,'Recipients REF'!K:K,"",0)</f>
        <v>R-SERIES 246 PH</v>
      </c>
      <c r="V906" s="44" t="s">
        <v>29</v>
      </c>
      <c r="W906" s="45" t="s">
        <v>30</v>
      </c>
      <c r="X906" s="47" t="str">
        <f t="array" ref="X906">XLOOKUP($A906,'Recipients REF'!$A:$A,'Recipients REF'!L:L,"",0)</f>
        <v>LSGW1750 RMP 24010096</v>
      </c>
      <c r="Y906" s="48" t="s">
        <v>29</v>
      </c>
      <c r="Z906" s="48" t="s">
        <v>31</v>
      </c>
      <c r="AA906" s="46" t="str">
        <f t="array" ref="AA906">XLOOKUP($A906,'Recipients REF'!$A:$A,'Recipients REF'!M:M,"",0)</f>
        <v>WDP40 RMP 24010114</v>
      </c>
      <c r="AB906" s="49"/>
      <c r="AC906" s="42"/>
      <c r="AD906" s="42"/>
      <c r="AE906" s="50"/>
      <c r="AF906" s="42"/>
      <c r="AG906" s="42"/>
      <c r="AH906" s="42"/>
      <c r="AI906" s="42">
        <f t="array" ref="AI906">XLOOKUP($E906,Sheet11!$D:$D,Sheet11!$X:$X,"",0)</f>
        <v>869066060243517</v>
      </c>
      <c r="AJ906" s="42">
        <f t="array" ref="AJ906">XLOOKUP($E906,Sheet11!$D:$D,Sheet11!$Y:$Y,"",0)</f>
        <v>9086606612</v>
      </c>
    </row>
    <row r="907">
      <c r="A907" s="41">
        <v>266.0</v>
      </c>
      <c r="B907" s="42" t="s">
        <v>1780</v>
      </c>
      <c r="C907" s="42" t="s">
        <v>1781</v>
      </c>
      <c r="D907" s="42"/>
      <c r="E907" s="42" t="str">
        <f t="shared" ref="E907:F907" si="908">PROPER(B907)</f>
        <v>Cabaruan Main Extension Irrigators Association, Inc.</v>
      </c>
      <c r="F907" s="42" t="str">
        <f t="shared" si="908"/>
        <v>Cabaruan, Maddela, Quirino</v>
      </c>
      <c r="G907" s="42" t="str">
        <f t="shared" si="3"/>
        <v>Cabaruan</v>
      </c>
      <c r="H907" s="42" t="str">
        <f t="shared" si="4"/>
        <v>Maddela</v>
      </c>
      <c r="I907" s="42" t="str">
        <f t="shared" si="5"/>
        <v>Quirino</v>
      </c>
      <c r="J907" s="42" t="str">
        <f t="array" ref="J907">XLOOKUP($E907,'Recipients REF'!$B:$B,'Recipients REF'!D:D,"",0)</f>
        <v>Domingo O. Dangkeo</v>
      </c>
      <c r="K907" s="42" t="str">
        <f t="array" ref="K907">XLOOKUP($E907,'Recipients REF'!$B:$B,'Recipients REF'!E:E,"",0)</f>
        <v>0935-725-5563</v>
      </c>
      <c r="L907" s="43" t="str">
        <f t="array" ref="L907">XLOOKUP($A907,'Recipients REF'!$A:$A,'Recipients REF'!F:F,"",0)</f>
        <v>RCEF 23-09-21 Rebidding</v>
      </c>
      <c r="M907" s="43">
        <f t="array" ref="M907">XLOOKUP($A907,'Recipients REF'!$A:$A,'Recipients REF'!G:G,"",0)</f>
        <v>9</v>
      </c>
      <c r="N907" s="43">
        <f t="array" ref="N907">XLOOKUP($A907,'Recipients REF'!$A:$A,'Recipients REF'!H:H,"",0)</f>
        <v>18827</v>
      </c>
      <c r="O907" s="44" t="s">
        <v>25</v>
      </c>
      <c r="P907" s="45" t="s">
        <v>26</v>
      </c>
      <c r="Q907" s="46" t="str">
        <f t="array" ref="Q907">XLOOKUP($A907,'Recipients REF'!$A:$A,'Recipients REF'!I:I,"",0)</f>
        <v>KMC5825 AKRFPV0289</v>
      </c>
      <c r="R907" s="47" t="str">
        <f t="array" ref="R907">XLOOKUP($A907,'Recipients REF'!$A:$A,'Recipients REF'!J:J,"",0)</f>
        <v>RTS100022</v>
      </c>
      <c r="S907" s="45" t="s">
        <v>27</v>
      </c>
      <c r="T907" s="45" t="s">
        <v>28</v>
      </c>
      <c r="U907" s="46" t="str">
        <f t="array" ref="U907">XLOOKUP($A907,'Recipients REF'!$A:$A,'Recipients REF'!K:K,"",0)</f>
        <v>R-SERIES 280 PH</v>
      </c>
      <c r="V907" s="44" t="s">
        <v>29</v>
      </c>
      <c r="W907" s="45" t="s">
        <v>30</v>
      </c>
      <c r="X907" s="47" t="str">
        <f t="array" ref="X907">XLOOKUP($A907,'Recipients REF'!$A:$A,'Recipients REF'!L:L,"",0)</f>
        <v>LSGW1750 RMP 24010125</v>
      </c>
      <c r="Y907" s="48" t="s">
        <v>29</v>
      </c>
      <c r="Z907" s="48" t="s">
        <v>31</v>
      </c>
      <c r="AA907" s="46" t="str">
        <f t="array" ref="AA907">XLOOKUP($A907,'Recipients REF'!$A:$A,'Recipients REF'!M:M,"",0)</f>
        <v>WDP40 RMP 24010127</v>
      </c>
      <c r="AB907" s="49"/>
      <c r="AC907" s="42"/>
      <c r="AD907" s="42"/>
      <c r="AE907" s="50"/>
      <c r="AF907" s="42"/>
      <c r="AG907" s="42"/>
      <c r="AH907" s="42"/>
      <c r="AI907" s="42">
        <f t="array" ref="AI907">XLOOKUP($E907,Sheet11!$D:$D,Sheet11!$X:$X,"",0)</f>
        <v>869066060241552</v>
      </c>
      <c r="AJ907" s="42">
        <f t="array" ref="AJ907">XLOOKUP($E907,Sheet11!$D:$D,Sheet11!$Y:$Y,"",0)</f>
        <v>9086634996</v>
      </c>
    </row>
    <row r="908">
      <c r="A908" s="41">
        <v>267.0</v>
      </c>
      <c r="B908" s="42" t="s">
        <v>1782</v>
      </c>
      <c r="C908" s="42" t="s">
        <v>1783</v>
      </c>
      <c r="D908" s="42"/>
      <c r="E908" s="42" t="str">
        <f t="shared" ref="E908:F908" si="909">PROPER(B908)</f>
        <v>Dinait Capillangan Irrigators' Association, Inc.</v>
      </c>
      <c r="F908" s="42" t="str">
        <f t="shared" si="909"/>
        <v>Villamor, Cabarroguis, Quirino</v>
      </c>
      <c r="G908" s="42" t="str">
        <f t="shared" si="3"/>
        <v>Villamor</v>
      </c>
      <c r="H908" s="42" t="str">
        <f t="shared" si="4"/>
        <v>Cabarroguis</v>
      </c>
      <c r="I908" s="42" t="str">
        <f t="shared" si="5"/>
        <v>Quirino</v>
      </c>
      <c r="J908" s="42" t="str">
        <f t="array" ref="J908">XLOOKUP($E908,'Recipients REF'!$B:$B,'Recipients REF'!D:D,"",0)</f>
        <v>Rodrigo C. De Jesus</v>
      </c>
      <c r="K908" s="42">
        <f t="array" ref="K908">XLOOKUP($E908,'Recipients REF'!$B:$B,'Recipients REF'!E:E,"",0)</f>
        <v>9161864604</v>
      </c>
      <c r="L908" s="43" t="str">
        <f t="array" ref="L908">XLOOKUP($A908,'Recipients REF'!$A:$A,'Recipients REF'!F:F,"",0)</f>
        <v>RCEF 23-09-21 Rebidding</v>
      </c>
      <c r="M908" s="43">
        <f t="array" ref="M908">XLOOKUP($A908,'Recipients REF'!$A:$A,'Recipients REF'!G:G,"",0)</f>
        <v>1</v>
      </c>
      <c r="N908" s="43">
        <f t="array" ref="N908">XLOOKUP($A908,'Recipients REF'!$A:$A,'Recipients REF'!H:H,"",0)</f>
        <v>18828</v>
      </c>
      <c r="O908" s="44" t="s">
        <v>25</v>
      </c>
      <c r="P908" s="45" t="s">
        <v>26</v>
      </c>
      <c r="Q908" s="46" t="str">
        <f t="array" ref="Q908">XLOOKUP($A908,'Recipients REF'!$A:$A,'Recipients REF'!I:I,"",0)</f>
        <v>KMC5825 AKRFPV0096</v>
      </c>
      <c r="R908" s="47" t="str">
        <f t="array" ref="R908">XLOOKUP($A908,'Recipients REF'!$A:$A,'Recipients REF'!J:J,"",0)</f>
        <v>PTS100217</v>
      </c>
      <c r="S908" s="45" t="s">
        <v>27</v>
      </c>
      <c r="T908" s="45" t="s">
        <v>28</v>
      </c>
      <c r="U908" s="46" t="str">
        <f t="array" ref="U908">XLOOKUP($A908,'Recipients REF'!$A:$A,'Recipients REF'!K:K,"",0)</f>
        <v>R-SERIES 245 PH</v>
      </c>
      <c r="V908" s="44" t="s">
        <v>29</v>
      </c>
      <c r="W908" s="45" t="s">
        <v>30</v>
      </c>
      <c r="X908" s="47" t="str">
        <f t="array" ref="X908">XLOOKUP($A908,'Recipients REF'!$A:$A,'Recipients REF'!L:L,"",0)</f>
        <v>LSGW1750 RMP24010123</v>
      </c>
      <c r="Y908" s="48" t="s">
        <v>29</v>
      </c>
      <c r="Z908" s="48" t="s">
        <v>31</v>
      </c>
      <c r="AA908" s="46" t="str">
        <f t="array" ref="AA908">XLOOKUP($A908,'Recipients REF'!$A:$A,'Recipients REF'!M:M,"",0)</f>
        <v>WDP40 RMP 24010039</v>
      </c>
      <c r="AB908" s="49"/>
      <c r="AC908" s="42"/>
      <c r="AD908" s="42"/>
      <c r="AE908" s="50"/>
      <c r="AF908" s="42"/>
      <c r="AG908" s="42"/>
      <c r="AH908" s="42"/>
      <c r="AI908" s="42">
        <f t="array" ref="AI908">XLOOKUP($E908,Sheet11!$D:$D,Sheet11!$X:$X,"",0)</f>
        <v>869066060237212</v>
      </c>
      <c r="AJ908" s="42">
        <f t="array" ref="AJ908">XLOOKUP($E908,Sheet11!$D:$D,Sheet11!$Y:$Y,"",0)</f>
        <v>9087671010</v>
      </c>
    </row>
    <row r="909">
      <c r="A909" s="41">
        <v>268.0</v>
      </c>
      <c r="B909" s="42" t="s">
        <v>1784</v>
      </c>
      <c r="C909" s="42" t="s">
        <v>1785</v>
      </c>
      <c r="D909" s="42"/>
      <c r="E909" s="42" t="str">
        <f t="shared" ref="E909:F909" si="910">PROPER(B909)</f>
        <v>Diffun Saranay And Development Cooperative (Disadeco)</v>
      </c>
      <c r="F909" s="42" t="str">
        <f t="shared" si="910"/>
        <v>Andres Bonifacio (Pob.), Diffun, Quirino</v>
      </c>
      <c r="G909" s="42" t="str">
        <f t="shared" si="3"/>
        <v>Andres Bonifacio (Pob.)</v>
      </c>
      <c r="H909" s="42" t="str">
        <f t="shared" si="4"/>
        <v>Diffun</v>
      </c>
      <c r="I909" s="42" t="str">
        <f t="shared" si="5"/>
        <v>Quirino</v>
      </c>
      <c r="J909" s="42" t="str">
        <f t="array" ref="J909">XLOOKUP($E909,'Recipients REF'!$B:$B,'Recipients REF'!D:D,"",0)</f>
        <v>MARCIANA D. FORYASEN</v>
      </c>
      <c r="K909" s="42" t="str">
        <f t="array" ref="K909">XLOOKUP($E909,'Recipients REF'!$B:$B,'Recipients REF'!E:E,"",0)</f>
        <v>0927 987 7213</v>
      </c>
      <c r="L909" s="43" t="str">
        <f t="array" ref="L909">XLOOKUP($A909,'Recipients REF'!$A:$A,'Recipients REF'!F:F,"",0)</f>
        <v>RCEF 23-09-21 Rebidding</v>
      </c>
      <c r="M909" s="43">
        <f t="array" ref="M909">XLOOKUP($A909,'Recipients REF'!$A:$A,'Recipients REF'!G:G,"",0)</f>
        <v>1</v>
      </c>
      <c r="N909" s="43">
        <f t="array" ref="N909">XLOOKUP($A909,'Recipients REF'!$A:$A,'Recipients REF'!H:H,"",0)</f>
        <v>18829</v>
      </c>
      <c r="O909" s="44" t="s">
        <v>25</v>
      </c>
      <c r="P909" s="45" t="s">
        <v>26</v>
      </c>
      <c r="Q909" s="46" t="str">
        <f t="array" ref="Q909">XLOOKUP($A909,'Recipients REF'!$A:$A,'Recipients REF'!I:I,"",0)</f>
        <v>KMC5825 AERFPV0156</v>
      </c>
      <c r="R909" s="47" t="str">
        <f t="array" ref="R909">XLOOKUP($A909,'Recipients REF'!$A:$A,'Recipients REF'!J:J,"",0)</f>
        <v>RTS100133</v>
      </c>
      <c r="S909" s="45" t="s">
        <v>27</v>
      </c>
      <c r="T909" s="45" t="s">
        <v>28</v>
      </c>
      <c r="U909" s="46" t="str">
        <f t="array" ref="U909">XLOOKUP($A909,'Recipients REF'!$A:$A,'Recipients REF'!K:K,"",0)</f>
        <v>R-SERIES 151 PH</v>
      </c>
      <c r="V909" s="44" t="s">
        <v>29</v>
      </c>
      <c r="W909" s="45" t="s">
        <v>30</v>
      </c>
      <c r="X909" s="47" t="str">
        <f t="array" ref="X909">XLOOKUP($A909,'Recipients REF'!$A:$A,'Recipients REF'!L:L,"",0)</f>
        <v>LSGW1750 RMP 24010195</v>
      </c>
      <c r="Y909" s="48" t="s">
        <v>29</v>
      </c>
      <c r="Z909" s="48" t="s">
        <v>31</v>
      </c>
      <c r="AA909" s="46" t="str">
        <f t="array" ref="AA909">XLOOKUP($A909,'Recipients REF'!$A:$A,'Recipients REF'!M:M,"",0)</f>
        <v>WDP40 RMP 24010164</v>
      </c>
      <c r="AB909" s="49"/>
      <c r="AC909" s="42"/>
      <c r="AD909" s="42"/>
      <c r="AE909" s="50"/>
      <c r="AF909" s="42"/>
      <c r="AG909" s="42"/>
      <c r="AH909" s="42"/>
      <c r="AI909" s="42">
        <f t="array" ref="AI909">XLOOKUP($E909,Sheet11!$D:$D,Sheet11!$X:$X,"",0)</f>
        <v>869066060240323</v>
      </c>
      <c r="AJ909" s="42">
        <f t="array" ref="AJ909">XLOOKUP($E909,Sheet11!$D:$D,Sheet11!$Y:$Y,"",0)</f>
        <v>9083021851</v>
      </c>
    </row>
    <row r="910">
      <c r="A910" s="41">
        <v>269.0</v>
      </c>
      <c r="B910" s="42" t="s">
        <v>1786</v>
      </c>
      <c r="C910" s="42" t="s">
        <v>1787</v>
      </c>
      <c r="D910" s="42"/>
      <c r="E910" s="42" t="str">
        <f t="shared" ref="E910:F910" si="911">PROPER(B910)</f>
        <v>Maria Clara Irrigators Agriculture Cooperative</v>
      </c>
      <c r="F910" s="42" t="str">
        <f t="shared" si="911"/>
        <v>Maria Clara, Diffun, Quirino</v>
      </c>
      <c r="G910" s="42" t="str">
        <f t="shared" si="3"/>
        <v>Maria Clara</v>
      </c>
      <c r="H910" s="42" t="str">
        <f t="shared" si="4"/>
        <v>Diffun</v>
      </c>
      <c r="I910" s="42" t="str">
        <f t="shared" si="5"/>
        <v>Quirino</v>
      </c>
      <c r="J910" s="42" t="str">
        <f t="array" ref="J910">XLOOKUP($E910,'Recipients REF'!$B:$B,'Recipients REF'!D:D,"",0)</f>
        <v>Lopito E. Draman</v>
      </c>
      <c r="K910" s="42">
        <f t="array" ref="K910">XLOOKUP($E910,'Recipients REF'!$B:$B,'Recipients REF'!E:E,"",0)</f>
        <v>9177897744</v>
      </c>
      <c r="L910" s="43" t="str">
        <f t="array" ref="L910">XLOOKUP($A910,'Recipients REF'!$A:$A,'Recipients REF'!F:F,"",0)</f>
        <v>RCEF 23-09-21 Rebidding</v>
      </c>
      <c r="M910" s="43">
        <f t="array" ref="M910">XLOOKUP($A910,'Recipients REF'!$A:$A,'Recipients REF'!G:G,"",0)</f>
        <v>1</v>
      </c>
      <c r="N910" s="43">
        <f t="array" ref="N910">XLOOKUP($A910,'Recipients REF'!$A:$A,'Recipients REF'!H:H,"",0)</f>
        <v>18830</v>
      </c>
      <c r="O910" s="44" t="s">
        <v>25</v>
      </c>
      <c r="P910" s="45" t="s">
        <v>26</v>
      </c>
      <c r="Q910" s="46" t="str">
        <f t="array" ref="Q910">XLOOKUP($A910,'Recipients REF'!$A:$A,'Recipients REF'!I:I,"",0)</f>
        <v>KMC5825 ACRFPV0191</v>
      </c>
      <c r="R910" s="47" t="str">
        <f t="array" ref="R910">XLOOKUP($A910,'Recipients REF'!$A:$A,'Recipients REF'!J:J,"",0)</f>
        <v>RTS100073</v>
      </c>
      <c r="S910" s="45" t="s">
        <v>27</v>
      </c>
      <c r="T910" s="45" t="s">
        <v>28</v>
      </c>
      <c r="U910" s="46" t="str">
        <f t="array" ref="U910">XLOOKUP($A910,'Recipients REF'!$A:$A,'Recipients REF'!K:K,"",0)</f>
        <v>R-SERIES 277 PH</v>
      </c>
      <c r="V910" s="44" t="s">
        <v>29</v>
      </c>
      <c r="W910" s="45" t="s">
        <v>30</v>
      </c>
      <c r="X910" s="47" t="str">
        <f t="array" ref="X910">XLOOKUP($A910,'Recipients REF'!$A:$A,'Recipients REF'!L:L,"",0)</f>
        <v>LSGW1750 RMP 24010196</v>
      </c>
      <c r="Y910" s="48" t="s">
        <v>29</v>
      </c>
      <c r="Z910" s="48" t="s">
        <v>31</v>
      </c>
      <c r="AA910" s="46" t="str">
        <f t="array" ref="AA910">XLOOKUP($A910,'Recipients REF'!$A:$A,'Recipients REF'!M:M,"",0)</f>
        <v>WDP40 RMP 24010124</v>
      </c>
      <c r="AB910" s="49"/>
      <c r="AC910" s="42"/>
      <c r="AD910" s="42"/>
      <c r="AE910" s="50"/>
      <c r="AF910" s="42"/>
      <c r="AG910" s="42"/>
      <c r="AH910" s="42"/>
      <c r="AI910" s="42">
        <f t="array" ref="AI910">XLOOKUP($E910,Sheet11!$D:$D,Sheet11!$X:$X,"",0)</f>
        <v>869066060238368</v>
      </c>
      <c r="AJ910" s="42">
        <f t="array" ref="AJ910">XLOOKUP($E910,Sheet11!$D:$D,Sheet11!$Y:$Y,"",0)</f>
        <v>9081607637</v>
      </c>
    </row>
    <row r="911">
      <c r="A911" s="41">
        <v>270.0</v>
      </c>
      <c r="B911" s="42" t="s">
        <v>1788</v>
      </c>
      <c r="C911" s="42" t="s">
        <v>1785</v>
      </c>
      <c r="D911" s="42"/>
      <c r="E911" s="42" t="str">
        <f t="shared" ref="E911:F911" si="912">PROPER(B911)</f>
        <v>Pusuac Multi-Purpose Cooperative</v>
      </c>
      <c r="F911" s="42" t="str">
        <f t="shared" si="912"/>
        <v>Andres Bonifacio (Pob.), Diffun, Quirino</v>
      </c>
      <c r="G911" s="42" t="str">
        <f t="shared" si="3"/>
        <v>Andres Bonifacio (Pob.)</v>
      </c>
      <c r="H911" s="42" t="str">
        <f t="shared" si="4"/>
        <v>Diffun</v>
      </c>
      <c r="I911" s="42" t="str">
        <f t="shared" si="5"/>
        <v>Quirino</v>
      </c>
      <c r="J911" s="42" t="str">
        <f t="array" ref="J911">XLOOKUP($E911,'Recipients REF'!$B:$B,'Recipients REF'!D:D,"",0)</f>
        <v>Ronald M. Abenoja</v>
      </c>
      <c r="K911" s="42" t="str">
        <f t="array" ref="K911">XLOOKUP($E911,'Recipients REF'!$B:$B,'Recipients REF'!E:E,"",0)</f>
        <v>0917 830 8667</v>
      </c>
      <c r="L911" s="43" t="str">
        <f t="array" ref="L911">XLOOKUP($A911,'Recipients REF'!$A:$A,'Recipients REF'!F:F,"",0)</f>
        <v>RCEF 23-09-21 Rebidding</v>
      </c>
      <c r="M911" s="43">
        <f t="array" ref="M911">XLOOKUP($A911,'Recipients REF'!$A:$A,'Recipients REF'!G:G,"",0)</f>
        <v>1</v>
      </c>
      <c r="N911" s="43">
        <f t="array" ref="N911">XLOOKUP($A911,'Recipients REF'!$A:$A,'Recipients REF'!H:H,"",0)</f>
        <v>18831</v>
      </c>
      <c r="O911" s="44" t="s">
        <v>25</v>
      </c>
      <c r="P911" s="45" t="s">
        <v>26</v>
      </c>
      <c r="Q911" s="46" t="str">
        <f t="array" ref="Q911">XLOOKUP($A911,'Recipients REF'!$A:$A,'Recipients REF'!I:I,"",0)</f>
        <v>KMC5825 ACRFPV0196</v>
      </c>
      <c r="R911" s="47" t="str">
        <f t="array" ref="R911">XLOOKUP($A911,'Recipients REF'!$A:$A,'Recipients REF'!J:J,"",0)</f>
        <v>RTS100139</v>
      </c>
      <c r="S911" s="45" t="s">
        <v>27</v>
      </c>
      <c r="T911" s="45" t="s">
        <v>28</v>
      </c>
      <c r="U911" s="46" t="str">
        <f t="array" ref="U911">XLOOKUP($A911,'Recipients REF'!$A:$A,'Recipients REF'!K:K,"",0)</f>
        <v>R-SERIES 282 PH</v>
      </c>
      <c r="V911" s="44" t="s">
        <v>29</v>
      </c>
      <c r="W911" s="45" t="s">
        <v>30</v>
      </c>
      <c r="X911" s="47" t="str">
        <f t="array" ref="X911">XLOOKUP($A911,'Recipients REF'!$A:$A,'Recipients REF'!L:L,"",0)</f>
        <v>LSGW1750 RMP 24010187</v>
      </c>
      <c r="Y911" s="48" t="s">
        <v>29</v>
      </c>
      <c r="Z911" s="48" t="s">
        <v>31</v>
      </c>
      <c r="AA911" s="46" t="str">
        <f t="array" ref="AA911">XLOOKUP($A911,'Recipients REF'!$A:$A,'Recipients REF'!M:M,"",0)</f>
        <v>WDP40 RMP 24010056</v>
      </c>
      <c r="AB911" s="49"/>
      <c r="AC911" s="42"/>
      <c r="AD911" s="42"/>
      <c r="AE911" s="50"/>
      <c r="AF911" s="42"/>
      <c r="AG911" s="42"/>
      <c r="AH911" s="42"/>
      <c r="AI911" s="42">
        <f t="array" ref="AI911">XLOOKUP($E911,Sheet11!$D:$D,Sheet11!$X:$X,"",0)</f>
        <v>869066060244424</v>
      </c>
      <c r="AJ911" s="42">
        <f t="array" ref="AJ911">XLOOKUP($E911,Sheet11!$D:$D,Sheet11!$Y:$Y,"",0)</f>
        <v>9087870947</v>
      </c>
    </row>
    <row r="912">
      <c r="A912" s="41">
        <v>271.0</v>
      </c>
      <c r="B912" s="42" t="s">
        <v>1789</v>
      </c>
      <c r="C912" s="42" t="s">
        <v>1790</v>
      </c>
      <c r="D912" s="42"/>
      <c r="E912" s="42" t="str">
        <f t="shared" ref="E912:F912" si="913">PROPER(B912)</f>
        <v>Tagad - Dibul Irrigators' Association, Inc.</v>
      </c>
      <c r="F912" s="42" t="str">
        <f t="shared" si="913"/>
        <v>Dibul, Saguday, Quirino</v>
      </c>
      <c r="G912" s="42" t="str">
        <f t="shared" si="3"/>
        <v>Dibul</v>
      </c>
      <c r="H912" s="42" t="str">
        <f t="shared" si="4"/>
        <v>Saguday</v>
      </c>
      <c r="I912" s="42" t="str">
        <f t="shared" si="5"/>
        <v>Quirino</v>
      </c>
      <c r="J912" s="42" t="str">
        <f t="array" ref="J912">XLOOKUP($E912,'Recipients REF'!$B:$B,'Recipients REF'!D:D,"",0)</f>
        <v>Ben Betriolo</v>
      </c>
      <c r="K912" s="42">
        <f t="array" ref="K912">XLOOKUP($E912,'Recipients REF'!$B:$B,'Recipients REF'!E:E,"",0)</f>
        <v>9557684078</v>
      </c>
      <c r="L912" s="43" t="str">
        <f t="array" ref="L912">XLOOKUP($A912,'Recipients REF'!$A:$A,'Recipients REF'!F:F,"",0)</f>
        <v>RCEF 23-09-21 Rebidding</v>
      </c>
      <c r="M912" s="43">
        <f t="array" ref="M912">XLOOKUP($A912,'Recipients REF'!$A:$A,'Recipients REF'!G:G,"",0)</f>
        <v>1</v>
      </c>
      <c r="N912" s="43">
        <f t="array" ref="N912">XLOOKUP($A912,'Recipients REF'!$A:$A,'Recipients REF'!H:H,"",0)</f>
        <v>18832</v>
      </c>
      <c r="O912" s="44" t="s">
        <v>25</v>
      </c>
      <c r="P912" s="45" t="s">
        <v>26</v>
      </c>
      <c r="Q912" s="46" t="str">
        <f t="array" ref="Q912">XLOOKUP($A912,'Recipients REF'!$A:$A,'Recipients REF'!I:I,"",0)</f>
        <v>KMC5825 AVRFPV0149</v>
      </c>
      <c r="R912" s="47" t="str">
        <f t="array" ref="R912">XLOOKUP($A912,'Recipients REF'!$A:$A,'Recipients REF'!J:J,"",0)</f>
        <v>RTS100064</v>
      </c>
      <c r="S912" s="45" t="s">
        <v>27</v>
      </c>
      <c r="T912" s="45" t="s">
        <v>28</v>
      </c>
      <c r="U912" s="46" t="str">
        <f t="array" ref="U912">XLOOKUP($A912,'Recipients REF'!$A:$A,'Recipients REF'!K:K,"",0)</f>
        <v>R-SERIES 285 PH</v>
      </c>
      <c r="V912" s="44" t="s">
        <v>29</v>
      </c>
      <c r="W912" s="45" t="s">
        <v>30</v>
      </c>
      <c r="X912" s="47" t="str">
        <f t="array" ref="X912">XLOOKUP($A912,'Recipients REF'!$A:$A,'Recipients REF'!L:L,"",0)</f>
        <v>LSGW1750 RMP 24010191</v>
      </c>
      <c r="Y912" s="48" t="s">
        <v>29</v>
      </c>
      <c r="Z912" s="48" t="s">
        <v>31</v>
      </c>
      <c r="AA912" s="46" t="str">
        <f t="array" ref="AA912">XLOOKUP($A912,'Recipients REF'!$A:$A,'Recipients REF'!M:M,"",0)</f>
        <v>WDP40 RMP 24010140</v>
      </c>
      <c r="AB912" s="49"/>
      <c r="AC912" s="42"/>
      <c r="AD912" s="42"/>
      <c r="AE912" s="50"/>
      <c r="AF912" s="42"/>
      <c r="AG912" s="42"/>
      <c r="AH912" s="42"/>
      <c r="AI912" s="42">
        <f t="array" ref="AI912">XLOOKUP($E912,Sheet11!$D:$D,Sheet11!$X:$X,"",0)</f>
        <v>869066060238533</v>
      </c>
      <c r="AJ912" s="42">
        <f t="array" ref="AJ912">XLOOKUP($E912,Sheet11!$D:$D,Sheet11!$Y:$Y,"",0)</f>
        <v>9087573044</v>
      </c>
    </row>
    <row r="913">
      <c r="A913" s="41">
        <v>513.0</v>
      </c>
      <c r="B913" s="42" t="s">
        <v>1791</v>
      </c>
      <c r="C913" s="42" t="s">
        <v>1785</v>
      </c>
      <c r="D913" s="42"/>
      <c r="E913" s="42" t="str">
        <f t="shared" ref="E913:F913" si="914">PROPER(B913)</f>
        <v>Abrasa Multi-Purpose Cooperative</v>
      </c>
      <c r="F913" s="42" t="str">
        <f t="shared" si="914"/>
        <v>Andres Bonifacio (Pob.), Diffun, Quirino</v>
      </c>
      <c r="G913" s="42" t="str">
        <f t="shared" si="3"/>
        <v>Andres Bonifacio (Pob.)</v>
      </c>
      <c r="H913" s="42" t="str">
        <f t="shared" si="4"/>
        <v>Diffun</v>
      </c>
      <c r="I913" s="42" t="str">
        <f t="shared" si="5"/>
        <v>Quirino</v>
      </c>
      <c r="J913" s="42" t="str">
        <f t="array" ref="J913">XLOOKUP($E913,'Recipients REF'!$B:$B,'Recipients REF'!D:D,"",0)</f>
        <v>Gliceria R. Basco</v>
      </c>
      <c r="K913" s="42" t="str">
        <f t="array" ref="K913">XLOOKUP($E913,'Recipients REF'!$B:$B,'Recipients REF'!E:E,"",0)</f>
        <v>0917-843-9612</v>
      </c>
      <c r="L913" s="43" t="str">
        <f t="array" ref="L913">XLOOKUP($A913,'Recipients REF'!$A:$A,'Recipients REF'!F:F,"",0)</f>
        <v>RCEF 24-04-15</v>
      </c>
      <c r="M913" s="43">
        <f t="array" ref="M913">XLOOKUP($A913,'Recipients REF'!$A:$A,'Recipients REF'!G:G,"",0)</f>
        <v>6</v>
      </c>
      <c r="N913" s="43">
        <f t="array" ref="N913">XLOOKUP($A913,'Recipients REF'!$A:$A,'Recipients REF'!H:H,"",0)</f>
        <v>19987</v>
      </c>
      <c r="O913" s="44" t="s">
        <v>25</v>
      </c>
      <c r="P913" s="45" t="s">
        <v>26</v>
      </c>
      <c r="Q913" s="46" t="str">
        <f t="array" ref="Q913">XLOOKUP($A913,'Recipients REF'!$A:$A,'Recipients REF'!I:I,"",0)</f>
        <v>KMC5825AARFPV0945</v>
      </c>
      <c r="R913" s="47" t="str">
        <f t="array" ref="R913">XLOOKUP($A913,'Recipients REF'!$A:$A,'Recipients REF'!J:J,"",0)</f>
        <v>RTS100835</v>
      </c>
      <c r="S913" s="45" t="s">
        <v>27</v>
      </c>
      <c r="T913" s="45" t="s">
        <v>28</v>
      </c>
      <c r="U913" s="46" t="str">
        <f t="array" ref="U913">XLOOKUP($A913,'Recipients REF'!$A:$A,'Recipients REF'!K:K,"",0)</f>
        <v>LSGW170-RMP-24101045</v>
      </c>
      <c r="V913" s="44" t="s">
        <v>29</v>
      </c>
      <c r="W913" s="45" t="s">
        <v>30</v>
      </c>
      <c r="X913" s="47" t="str">
        <f t="array" ref="X913">XLOOKUP($A913,'Recipients REF'!$A:$A,'Recipients REF'!L:L,"",0)</f>
        <v>WDP40-RMP-24111321</v>
      </c>
      <c r="Y913" s="48" t="s">
        <v>29</v>
      </c>
      <c r="Z913" s="48" t="s">
        <v>31</v>
      </c>
      <c r="AA913" s="46" t="str">
        <f t="array" ref="AA913">XLOOKUP($A913,'Recipients REF'!$A:$A,'Recipients REF'!M:M,"",0)</f>
        <v>WR-SERIES-1019PH</v>
      </c>
      <c r="AB913" s="49"/>
      <c r="AC913" s="42"/>
      <c r="AD913" s="42"/>
      <c r="AE913" s="50"/>
      <c r="AF913" s="42"/>
      <c r="AG913" s="42"/>
      <c r="AH913" s="42"/>
      <c r="AI913" s="42" t="str">
        <f t="array" ref="AI913">XLOOKUP($E913,Sheet11!$D:$D,Sheet11!$X:$X,"",0)</f>
        <v/>
      </c>
      <c r="AJ913" s="42" t="str">
        <f t="array" ref="AJ913">XLOOKUP($E913,Sheet11!$D:$D,Sheet11!$Y:$Y,"",0)</f>
        <v/>
      </c>
    </row>
    <row r="914">
      <c r="A914" s="41">
        <v>602.0</v>
      </c>
      <c r="B914" s="42" t="s">
        <v>1792</v>
      </c>
      <c r="C914" s="42" t="s">
        <v>1793</v>
      </c>
      <c r="D914" s="42"/>
      <c r="E914" s="42" t="str">
        <f t="shared" ref="E914:F914" si="915">PROPER(B914)</f>
        <v>Villa Santiago Farmers Association</v>
      </c>
      <c r="F914" s="42" t="str">
        <f t="shared" si="915"/>
        <v>Villa Santiago, Aglipay, Quirino</v>
      </c>
      <c r="G914" s="42" t="str">
        <f t="shared" si="3"/>
        <v>Villa Santiago</v>
      </c>
      <c r="H914" s="42" t="str">
        <f t="shared" si="4"/>
        <v>Aglipay</v>
      </c>
      <c r="I914" s="42" t="str">
        <f t="shared" si="5"/>
        <v>Quirino</v>
      </c>
      <c r="J914" s="42" t="str">
        <f t="array" ref="J914">XLOOKUP($E914,'Recipients REF'!$B:$B,'Recipients REF'!D:D,"",0)</f>
        <v>GEMMA R. TAPAOAN</v>
      </c>
      <c r="K914" s="42" t="str">
        <f t="array" ref="K914">XLOOKUP($E914,'Recipients REF'!$B:$B,'Recipients REF'!E:E,"",0)</f>
        <v>0905-694-4272</v>
      </c>
      <c r="L914" s="43" t="str">
        <f t="array" ref="L914">XLOOKUP($A914,'Recipients REF'!$A:$A,'Recipients REF'!F:F,"",0)</f>
        <v>RCEF 24-04-15</v>
      </c>
      <c r="M914" s="43">
        <f t="array" ref="M914">XLOOKUP($A914,'Recipients REF'!$A:$A,'Recipients REF'!G:G,"",0)</f>
        <v>6</v>
      </c>
      <c r="N914" s="43" t="str">
        <f t="array" ref="N914">XLOOKUP($A914,'Recipients REF'!$A:$A,'Recipients REF'!H:H,"",0)</f>
        <v>19951/21085</v>
      </c>
      <c r="O914" s="44" t="s">
        <v>25</v>
      </c>
      <c r="P914" s="45" t="s">
        <v>26</v>
      </c>
      <c r="Q914" s="46" t="str">
        <f t="array" ref="Q914">XLOOKUP($A914,'Recipients REF'!$A:$A,'Recipients REF'!I:I,"",0)</f>
        <v>KMC5825AJRFPV0651</v>
      </c>
      <c r="R914" s="47" t="str">
        <f t="array" ref="R914">XLOOKUP($A914,'Recipients REF'!$A:$A,'Recipients REF'!J:J,"",0)</f>
        <v>RTS100542</v>
      </c>
      <c r="S914" s="45" t="s">
        <v>27</v>
      </c>
      <c r="T914" s="45" t="s">
        <v>28</v>
      </c>
      <c r="U914" s="46" t="str">
        <f t="array" ref="U914">XLOOKUP($A914,'Recipients REF'!$A:$A,'Recipients REF'!K:K,"",0)</f>
        <v>LSGW170-RMP-24040635</v>
      </c>
      <c r="V914" s="44" t="s">
        <v>29</v>
      </c>
      <c r="W914" s="45" t="s">
        <v>30</v>
      </c>
      <c r="X914" s="47" t="str">
        <f t="array" ref="X914">XLOOKUP($A914,'Recipients REF'!$A:$A,'Recipients REF'!L:L,"",0)</f>
        <v>WDP40-RMP-24121441</v>
      </c>
      <c r="Y914" s="48" t="s">
        <v>29</v>
      </c>
      <c r="Z914" s="48" t="s">
        <v>31</v>
      </c>
      <c r="AA914" s="46" t="str">
        <f t="array" ref="AA914">XLOOKUP($A914,'Recipients REF'!$A:$A,'Recipients REF'!M:M,"",0)</f>
        <v>WR-SERIES-986PH</v>
      </c>
      <c r="AB914" s="49"/>
      <c r="AC914" s="42"/>
      <c r="AD914" s="42"/>
      <c r="AE914" s="50"/>
      <c r="AF914" s="42"/>
      <c r="AG914" s="42"/>
      <c r="AH914" s="42"/>
      <c r="AI914" s="42" t="str">
        <f t="array" ref="AI914">XLOOKUP($E914,Sheet11!$D:$D,Sheet11!$X:$X,"",0)</f>
        <v/>
      </c>
      <c r="AJ914" s="42" t="str">
        <f t="array" ref="AJ914">XLOOKUP($E914,Sheet11!$D:$D,Sheet11!$Y:$Y,"",0)</f>
        <v/>
      </c>
    </row>
    <row r="915">
      <c r="A915" s="41">
        <v>603.0</v>
      </c>
      <c r="B915" s="42" t="s">
        <v>1794</v>
      </c>
      <c r="C915" s="42" t="s">
        <v>1795</v>
      </c>
      <c r="D915" s="42"/>
      <c r="E915" s="42" t="str">
        <f t="shared" ref="E915:F915" si="916">PROPER(B915)</f>
        <v>Maddela Auto Savings Multi-Purpose Cooperative</v>
      </c>
      <c r="F915" s="42" t="str">
        <f t="shared" si="916"/>
        <v>Poblacion Norte, Maddela, Quirino</v>
      </c>
      <c r="G915" s="42" t="str">
        <f t="shared" si="3"/>
        <v>Poblacion Norte</v>
      </c>
      <c r="H915" s="42" t="str">
        <f t="shared" si="4"/>
        <v>Maddela</v>
      </c>
      <c r="I915" s="42" t="str">
        <f t="shared" si="5"/>
        <v>Quirino</v>
      </c>
      <c r="J915" s="42" t="str">
        <f t="array" ref="J915">XLOOKUP($E915,'Recipients REF'!$B:$B,'Recipients REF'!D:D,"",0)</f>
        <v>BONIFACIO B. KINDIPAN</v>
      </c>
      <c r="K915" s="42" t="str">
        <f t="array" ref="K915">XLOOKUP($E915,'Recipients REF'!$B:$B,'Recipients REF'!E:E,"",0)</f>
        <v>0966-362-8133</v>
      </c>
      <c r="L915" s="43" t="str">
        <f t="array" ref="L915">XLOOKUP($A915,'Recipients REF'!$A:$A,'Recipients REF'!F:F,"",0)</f>
        <v>RCEF 24-04-15</v>
      </c>
      <c r="M915" s="43">
        <f t="array" ref="M915">XLOOKUP($A915,'Recipients REF'!$A:$A,'Recipients REF'!G:G,"",0)</f>
        <v>6</v>
      </c>
      <c r="N915" s="43" t="str">
        <f t="array" ref="N915">XLOOKUP($A915,'Recipients REF'!$A:$A,'Recipients REF'!H:H,"",0)</f>
        <v>19952/21086</v>
      </c>
      <c r="O915" s="44" t="s">
        <v>25</v>
      </c>
      <c r="P915" s="45" t="s">
        <v>26</v>
      </c>
      <c r="Q915" s="46" t="str">
        <f t="array" ref="Q915">XLOOKUP($A915,'Recipients REF'!$A:$A,'Recipients REF'!I:I,"",0)</f>
        <v>KMC5825ACRFPV0649</v>
      </c>
      <c r="R915" s="47" t="str">
        <f t="array" ref="R915">XLOOKUP($A915,'Recipients REF'!$A:$A,'Recipients REF'!J:J,"",0)</f>
        <v>RTS100547</v>
      </c>
      <c r="S915" s="45" t="s">
        <v>27</v>
      </c>
      <c r="T915" s="45" t="s">
        <v>28</v>
      </c>
      <c r="U915" s="46" t="str">
        <f t="array" ref="U915">XLOOKUP($A915,'Recipients REF'!$A:$A,'Recipients REF'!K:K,"",0)</f>
        <v>LSGW170-RMP-24040648</v>
      </c>
      <c r="V915" s="44" t="s">
        <v>29</v>
      </c>
      <c r="W915" s="45" t="s">
        <v>30</v>
      </c>
      <c r="X915" s="47" t="str">
        <f t="array" ref="X915">XLOOKUP($A915,'Recipients REF'!$A:$A,'Recipients REF'!L:L,"",0)</f>
        <v>WDP40-RMP-24121488</v>
      </c>
      <c r="Y915" s="48" t="s">
        <v>29</v>
      </c>
      <c r="Z915" s="48" t="s">
        <v>31</v>
      </c>
      <c r="AA915" s="46" t="str">
        <f t="array" ref="AA915">XLOOKUP($A915,'Recipients REF'!$A:$A,'Recipients REF'!M:M,"",0)</f>
        <v>WR-SERIES-997PH</v>
      </c>
      <c r="AB915" s="49"/>
      <c r="AC915" s="42"/>
      <c r="AD915" s="42"/>
      <c r="AE915" s="50"/>
      <c r="AF915" s="42"/>
      <c r="AG915" s="42"/>
      <c r="AH915" s="42"/>
      <c r="AI915" s="42" t="str">
        <f t="array" ref="AI915">XLOOKUP($E915,Sheet11!$D:$D,Sheet11!$X:$X,"",0)</f>
        <v/>
      </c>
      <c r="AJ915" s="42" t="str">
        <f t="array" ref="AJ915">XLOOKUP($E915,Sheet11!$D:$D,Sheet11!$Y:$Y,"",0)</f>
        <v/>
      </c>
    </row>
    <row r="916">
      <c r="A916" s="41">
        <v>604.0</v>
      </c>
      <c r="B916" s="42" t="s">
        <v>1796</v>
      </c>
      <c r="C916" s="42" t="s">
        <v>1797</v>
      </c>
      <c r="D916" s="42"/>
      <c r="E916" s="42" t="str">
        <f t="shared" ref="E916:F916" si="917">PROPER(B916)</f>
        <v>Dumanisi Arb Multipurpose Cooperative (Darbenco Mpc)</v>
      </c>
      <c r="F916" s="42" t="str">
        <f t="shared" si="917"/>
        <v>Dumanisi, Diffun, Quirino</v>
      </c>
      <c r="G916" s="42" t="str">
        <f t="shared" si="3"/>
        <v>Dumanisi</v>
      </c>
      <c r="H916" s="42" t="str">
        <f t="shared" si="4"/>
        <v>Diffun</v>
      </c>
      <c r="I916" s="42" t="str">
        <f t="shared" si="5"/>
        <v>Quirino</v>
      </c>
      <c r="J916" s="42" t="str">
        <f t="array" ref="J916">XLOOKUP($E916,'Recipients REF'!$B:$B,'Recipients REF'!D:D,"",0)</f>
        <v>Mario M.. Dichoso</v>
      </c>
      <c r="K916" s="42">
        <f t="array" ref="K916">XLOOKUP($E916,'Recipients REF'!$B:$B,'Recipients REF'!E:E,"",0)</f>
        <v>9759033170</v>
      </c>
      <c r="L916" s="43" t="str">
        <f t="array" ref="L916">XLOOKUP($A916,'Recipients REF'!$A:$A,'Recipients REF'!F:F,"",0)</f>
        <v>RCEF 24-04-15</v>
      </c>
      <c r="M916" s="43">
        <f t="array" ref="M916">XLOOKUP($A916,'Recipients REF'!$A:$A,'Recipients REF'!G:G,"",0)</f>
        <v>6</v>
      </c>
      <c r="N916" s="43" t="str">
        <f t="array" ref="N916">XLOOKUP($A916,'Recipients REF'!$A:$A,'Recipients REF'!H:H,"",0)</f>
        <v>19955/21089</v>
      </c>
      <c r="O916" s="44" t="s">
        <v>25</v>
      </c>
      <c r="P916" s="45" t="s">
        <v>26</v>
      </c>
      <c r="Q916" s="46" t="str">
        <f t="array" ref="Q916">XLOOKUP($A916,'Recipients REF'!$A:$A,'Recipients REF'!I:I,"",0)</f>
        <v>KMC5825AARFPV0556</v>
      </c>
      <c r="R916" s="47" t="str">
        <f t="array" ref="R916">XLOOKUP($A916,'Recipients REF'!$A:$A,'Recipients REF'!J:J,"",0)</f>
        <v>RTS100453</v>
      </c>
      <c r="S916" s="45" t="s">
        <v>27</v>
      </c>
      <c r="T916" s="45" t="s">
        <v>28</v>
      </c>
      <c r="U916" s="46" t="str">
        <f t="array" ref="U916">XLOOKUP($A916,'Recipients REF'!$A:$A,'Recipients REF'!K:K,"",0)</f>
        <v>LSGW170-RMP-24040654</v>
      </c>
      <c r="V916" s="44" t="s">
        <v>29</v>
      </c>
      <c r="W916" s="45" t="s">
        <v>30</v>
      </c>
      <c r="X916" s="47" t="str">
        <f t="array" ref="X916">XLOOKUP($A916,'Recipients REF'!$A:$A,'Recipients REF'!L:L,"",0)</f>
        <v>WDP40-RMP-24121490</v>
      </c>
      <c r="Y916" s="48" t="s">
        <v>29</v>
      </c>
      <c r="Z916" s="48" t="s">
        <v>31</v>
      </c>
      <c r="AA916" s="46" t="str">
        <f t="array" ref="AA916">XLOOKUP($A916,'Recipients REF'!$A:$A,'Recipients REF'!M:M,"",0)</f>
        <v>WR-SERIES-972PH</v>
      </c>
      <c r="AB916" s="49"/>
      <c r="AC916" s="42"/>
      <c r="AD916" s="42"/>
      <c r="AE916" s="50"/>
      <c r="AF916" s="42"/>
      <c r="AG916" s="42"/>
      <c r="AH916" s="42"/>
      <c r="AI916" s="42" t="str">
        <f t="array" ref="AI916">XLOOKUP($E916,Sheet11!$D:$D,Sheet11!$X:$X,"",0)</f>
        <v/>
      </c>
      <c r="AJ916" s="42" t="str">
        <f t="array" ref="AJ916">XLOOKUP($E916,Sheet11!$D:$D,Sheet11!$Y:$Y,"",0)</f>
        <v/>
      </c>
    </row>
    <row r="917">
      <c r="A917" s="41">
        <v>605.0</v>
      </c>
      <c r="B917" s="42" t="s">
        <v>1798</v>
      </c>
      <c r="C917" s="42" t="s">
        <v>1799</v>
      </c>
      <c r="D917" s="42"/>
      <c r="E917" s="42" t="str">
        <f t="shared" ref="E917:F917" si="918">PROPER(B917)</f>
        <v>Povilus Farmers And Entrepreneurs Association Inc.</v>
      </c>
      <c r="F917" s="42" t="str">
        <f t="shared" si="918"/>
        <v>Poblacion Norte,Maddela, Quirino</v>
      </c>
      <c r="G917" s="42" t="str">
        <f t="shared" si="3"/>
        <v>Poblacion Norte</v>
      </c>
      <c r="H917" s="42" t="str">
        <f t="shared" si="4"/>
        <v>Maddela</v>
      </c>
      <c r="I917" s="42" t="str">
        <f t="shared" si="5"/>
        <v>Quirino</v>
      </c>
      <c r="J917" s="42" t="str">
        <f t="array" ref="J917">XLOOKUP($E917,'Recipients REF'!$B:$B,'Recipients REF'!D:D,"",0)</f>
        <v>Edgar B. Gonzaga</v>
      </c>
      <c r="K917" s="42">
        <f t="array" ref="K917">XLOOKUP($E917,'Recipients REF'!$B:$B,'Recipients REF'!E:E,"",0)</f>
        <v>9079393000</v>
      </c>
      <c r="L917" s="43" t="str">
        <f t="array" ref="L917">XLOOKUP($A917,'Recipients REF'!$A:$A,'Recipients REF'!F:F,"",0)</f>
        <v>RCEF 24-04-15</v>
      </c>
      <c r="M917" s="43">
        <f t="array" ref="M917">XLOOKUP($A917,'Recipients REF'!$A:$A,'Recipients REF'!G:G,"",0)</f>
        <v>6</v>
      </c>
      <c r="N917" s="43" t="str">
        <f t="array" ref="N917">XLOOKUP($A917,'Recipients REF'!$A:$A,'Recipients REF'!H:H,"",0)</f>
        <v>19956/21090</v>
      </c>
      <c r="O917" s="44" t="s">
        <v>25</v>
      </c>
      <c r="P917" s="45" t="s">
        <v>26</v>
      </c>
      <c r="Q917" s="46" t="str">
        <f t="array" ref="Q917">XLOOKUP($A917,'Recipients REF'!$A:$A,'Recipients REF'!I:I,"",0)</f>
        <v>KMC5825ALRFPV0557</v>
      </c>
      <c r="R917" s="47" t="str">
        <f t="array" ref="R917">XLOOKUP($A917,'Recipients REF'!$A:$A,'Recipients REF'!J:J,"",0)</f>
        <v>RTS100441</v>
      </c>
      <c r="S917" s="45" t="s">
        <v>27</v>
      </c>
      <c r="T917" s="45" t="s">
        <v>28</v>
      </c>
      <c r="U917" s="46" t="str">
        <f t="array" ref="U917">XLOOKUP($A917,'Recipients REF'!$A:$A,'Recipients REF'!K:K,"",0)</f>
        <v>LSGW170-RMP-24040666</v>
      </c>
      <c r="V917" s="44" t="s">
        <v>29</v>
      </c>
      <c r="W917" s="45" t="s">
        <v>30</v>
      </c>
      <c r="X917" s="47" t="str">
        <f t="array" ref="X917">XLOOKUP($A917,'Recipients REF'!$A:$A,'Recipients REF'!L:L,"",0)</f>
        <v>WDP40-RMP-24121442</v>
      </c>
      <c r="Y917" s="48" t="s">
        <v>29</v>
      </c>
      <c r="Z917" s="48" t="s">
        <v>31</v>
      </c>
      <c r="AA917" s="46" t="str">
        <f t="array" ref="AA917">XLOOKUP($A917,'Recipients REF'!$A:$A,'Recipients REF'!M:M,"",0)</f>
        <v>WR-SERIES-970PH</v>
      </c>
      <c r="AB917" s="49"/>
      <c r="AC917" s="42"/>
      <c r="AD917" s="42"/>
      <c r="AE917" s="50"/>
      <c r="AF917" s="42"/>
      <c r="AG917" s="42"/>
      <c r="AH917" s="42"/>
      <c r="AI917" s="42" t="str">
        <f t="array" ref="AI917">XLOOKUP($E917,Sheet11!$D:$D,Sheet11!$X:$X,"",0)</f>
        <v/>
      </c>
      <c r="AJ917" s="42" t="str">
        <f t="array" ref="AJ917">XLOOKUP($E917,Sheet11!$D:$D,Sheet11!$Y:$Y,"",0)</f>
        <v/>
      </c>
    </row>
    <row r="918">
      <c r="A918" s="41">
        <v>962.0</v>
      </c>
      <c r="B918" s="42" t="s">
        <v>1800</v>
      </c>
      <c r="C918" s="42" t="s">
        <v>1801</v>
      </c>
      <c r="D918" s="42"/>
      <c r="E918" s="42" t="str">
        <f t="shared" ref="E918:F918" si="919">PROPER(B918)</f>
        <v>Salang Bata Farmers Irrigators Association Inc.</v>
      </c>
      <c r="F918" s="42" t="str">
        <f t="shared" si="919"/>
        <v>Kaybuto (Pob.), Tanay, Rizal</v>
      </c>
      <c r="G918" s="42" t="str">
        <f t="shared" si="3"/>
        <v>Kaybuto (Pob.)</v>
      </c>
      <c r="H918" s="42" t="str">
        <f t="shared" si="4"/>
        <v>Tanay</v>
      </c>
      <c r="I918" s="42" t="str">
        <f t="shared" si="5"/>
        <v>Rizal</v>
      </c>
      <c r="J918" s="42" t="str">
        <f t="array" ref="J918">XLOOKUP($E918,'Recipients REF'!$B:$B,'Recipients REF'!D:D,"",0)</f>
        <v>Jimson P. Fernandez</v>
      </c>
      <c r="K918" s="42">
        <f t="array" ref="K918">XLOOKUP($E918,'Recipients REF'!$B:$B,'Recipients REF'!E:E,"",0)</f>
        <v>9355700708</v>
      </c>
      <c r="L918" s="43" t="str">
        <f t="array" ref="L918">XLOOKUP($A918,'Recipients REF'!$A:$A,'Recipients REF'!F:F,"",0)</f>
        <v>RCEF 25-03-05</v>
      </c>
      <c r="M918" s="43">
        <f t="array" ref="M918">XLOOKUP($A918,'Recipients REF'!$A:$A,'Recipients REF'!G:G,"",0)</f>
        <v>7</v>
      </c>
      <c r="N918" s="43" t="str">
        <f t="array" ref="N918">XLOOKUP($A918,'Recipients REF'!$A:$A,'Recipients REF'!H:H,"",0)</f>
        <v>27292 &amp; 27582</v>
      </c>
      <c r="O918" s="44" t="s">
        <v>25</v>
      </c>
      <c r="P918" s="45" t="s">
        <v>26</v>
      </c>
      <c r="Q918" s="46" t="str">
        <f t="array" ref="Q918">XLOOKUP($A918,'Recipients REF'!$A:$A,'Recipients REF'!I:I,"",0)</f>
        <v>KMC5825 ALSFPV0516</v>
      </c>
      <c r="R918" s="53" t="str">
        <f t="array" ref="R918">XLOOKUP($A918,'Recipients REF'!$A:$A,'Recipients REF'!J:J,"",0)</f>
        <v>STS100593</v>
      </c>
      <c r="S918" s="45" t="s">
        <v>27</v>
      </c>
      <c r="T918" s="45" t="s">
        <v>28</v>
      </c>
      <c r="U918" s="46" t="str">
        <f t="array" ref="U918">XLOOKUP($A918,'Recipients REF'!$A:$A,'Recipients REF'!K:K,"",0)</f>
        <v>WR-SERIES 1402PH</v>
      </c>
      <c r="V918" s="44" t="s">
        <v>29</v>
      </c>
      <c r="W918" s="45" t="s">
        <v>30</v>
      </c>
      <c r="X918" s="53">
        <f t="array" ref="X918">XLOOKUP($A918,'Recipients REF'!$A:$A,'Recipients REF'!L:L,"",0)</f>
        <v>2510769</v>
      </c>
      <c r="Y918" s="48" t="s">
        <v>29</v>
      </c>
      <c r="Z918" s="48" t="s">
        <v>31</v>
      </c>
      <c r="AA918" s="54" t="str">
        <f t="array" ref="AA918">XLOOKUP($A918,'Recipients REF'!$A:$A,'Recipients REF'!M:M,"",0)</f>
        <v>25101166</v>
      </c>
      <c r="AB918" s="49"/>
      <c r="AC918" s="42"/>
      <c r="AD918" s="42"/>
      <c r="AE918" s="55">
        <v>8.69066063802467E14</v>
      </c>
      <c r="AF918" s="42"/>
      <c r="AG918" s="42"/>
      <c r="AH918" s="42"/>
      <c r="AI918" s="42" t="str">
        <f t="array" ref="AI918">XLOOKUP($E918,Sheet11!$D:$D,Sheet11!$X:$X,"",0)</f>
        <v/>
      </c>
      <c r="AJ918" s="42" t="str">
        <f t="array" ref="AJ918">XLOOKUP($E918,Sheet11!$D:$D,Sheet11!$Y:$Y,"",0)</f>
        <v/>
      </c>
    </row>
    <row r="919">
      <c r="A919" s="41">
        <v>963.0</v>
      </c>
      <c r="B919" s="42" t="s">
        <v>1802</v>
      </c>
      <c r="C919" s="42" t="s">
        <v>1803</v>
      </c>
      <c r="D919" s="42"/>
      <c r="E919" s="42" t="str">
        <f t="shared" ref="E919:F919" si="920">PROPER(B919)</f>
        <v>Salang Matanda Farmers Association Of Tanay Inc.</v>
      </c>
      <c r="F919" s="42" t="str">
        <f t="shared" si="920"/>
        <v>Plaza Aldea (Pob.), Tanay, Rizal</v>
      </c>
      <c r="G919" s="42" t="str">
        <f t="shared" si="3"/>
        <v>Plaza Aldea (Pob.)</v>
      </c>
      <c r="H919" s="42" t="str">
        <f t="shared" si="4"/>
        <v>Tanay</v>
      </c>
      <c r="I919" s="42" t="str">
        <f t="shared" si="5"/>
        <v>Rizal</v>
      </c>
      <c r="J919" s="42" t="str">
        <f t="array" ref="J919">XLOOKUP($E919,'Recipients REF'!$B:$B,'Recipients REF'!D:D,"",0)</f>
        <v>Rolando T. Catahimican</v>
      </c>
      <c r="K919" s="42">
        <f t="array" ref="K919">XLOOKUP($E919,'Recipients REF'!$B:$B,'Recipients REF'!E:E,"",0)</f>
        <v>9368006021</v>
      </c>
      <c r="L919" s="43" t="str">
        <f t="array" ref="L919">XLOOKUP($A919,'Recipients REF'!$A:$A,'Recipients REF'!F:F,"",0)</f>
        <v>RCEF 25-03-05</v>
      </c>
      <c r="M919" s="43">
        <f t="array" ref="M919">XLOOKUP($A919,'Recipients REF'!$A:$A,'Recipients REF'!G:G,"",0)</f>
        <v>7</v>
      </c>
      <c r="N919" s="43" t="str">
        <f t="array" ref="N919">XLOOKUP($A919,'Recipients REF'!$A:$A,'Recipients REF'!H:H,"",0)</f>
        <v>27293 &amp; 27583</v>
      </c>
      <c r="O919" s="44" t="s">
        <v>25</v>
      </c>
      <c r="P919" s="45" t="s">
        <v>26</v>
      </c>
      <c r="Q919" s="46" t="str">
        <f t="array" ref="Q919">XLOOKUP($A919,'Recipients REF'!$A:$A,'Recipients REF'!I:I,"",0)</f>
        <v>KMC5825 APSFPV0510</v>
      </c>
      <c r="R919" s="53" t="str">
        <f t="array" ref="R919">XLOOKUP($A919,'Recipients REF'!$A:$A,'Recipients REF'!J:J,"",0)</f>
        <v>STS100548</v>
      </c>
      <c r="S919" s="45" t="s">
        <v>27</v>
      </c>
      <c r="T919" s="45" t="s">
        <v>28</v>
      </c>
      <c r="U919" s="46" t="str">
        <f t="array" ref="U919">XLOOKUP($A919,'Recipients REF'!$A:$A,'Recipients REF'!K:K,"",0)</f>
        <v>WR-SERIES 1403PH</v>
      </c>
      <c r="V919" s="44" t="s">
        <v>29</v>
      </c>
      <c r="W919" s="45" t="s">
        <v>30</v>
      </c>
      <c r="X919" s="53">
        <f t="array" ref="X919">XLOOKUP($A919,'Recipients REF'!$A:$A,'Recipients REF'!L:L,"",0)</f>
        <v>2510765</v>
      </c>
      <c r="Y919" s="48" t="s">
        <v>29</v>
      </c>
      <c r="Z919" s="48" t="s">
        <v>31</v>
      </c>
      <c r="AA919" s="54" t="str">
        <f t="array" ref="AA919">XLOOKUP($A919,'Recipients REF'!$A:$A,'Recipients REF'!M:M,"",0)</f>
        <v>25101232</v>
      </c>
      <c r="AB919" s="49"/>
      <c r="AC919" s="42"/>
      <c r="AD919" s="42"/>
      <c r="AE919" s="55">
        <v>8.69066063798764E14</v>
      </c>
      <c r="AF919" s="42"/>
      <c r="AG919" s="42"/>
      <c r="AH919" s="42"/>
      <c r="AI919" s="42" t="str">
        <f t="array" ref="AI919">XLOOKUP($E919,Sheet11!$D:$D,Sheet11!$X:$X,"",0)</f>
        <v/>
      </c>
      <c r="AJ919" s="42" t="str">
        <f t="array" ref="AJ919">XLOOKUP($E919,Sheet11!$D:$D,Sheet11!$Y:$Y,"",0)</f>
        <v/>
      </c>
    </row>
    <row r="920">
      <c r="A920" s="41">
        <v>798.0</v>
      </c>
      <c r="B920" s="42" t="s">
        <v>1804</v>
      </c>
      <c r="C920" s="42" t="s">
        <v>1805</v>
      </c>
      <c r="D920" s="42"/>
      <c r="E920" s="42" t="str">
        <f t="shared" ref="E920:F920" si="921">PROPER(B920)</f>
        <v>Lictin Uswag Irrigators Association Inc.</v>
      </c>
      <c r="F920" s="42" t="str">
        <f t="shared" si="921"/>
        <v>Trece Martirez, Casiguran, Sorsogon</v>
      </c>
      <c r="G920" s="42" t="str">
        <f t="shared" si="3"/>
        <v>Trece Martirez</v>
      </c>
      <c r="H920" s="42" t="str">
        <f t="shared" si="4"/>
        <v>Casiguran</v>
      </c>
      <c r="I920" s="42" t="str">
        <f t="shared" si="5"/>
        <v>Sorsogon</v>
      </c>
      <c r="J920" s="42" t="str">
        <f t="array" ref="J920">XLOOKUP($E920,'Recipients REF'!$B:$B,'Recipients REF'!D:D,"",0)</f>
        <v>Virgilio H. Destreza</v>
      </c>
      <c r="K920" s="42" t="str">
        <f t="array" ref="K920">XLOOKUP($E920,'Recipients REF'!$B:$B,'Recipients REF'!E:E,"",0)</f>
        <v>0910 464 0068</v>
      </c>
      <c r="L920" s="43" t="str">
        <f t="array" ref="L920">XLOOKUP($A920,'Recipients REF'!$A:$A,'Recipients REF'!F:F,"",0)</f>
        <v>RCEF 25-03-05</v>
      </c>
      <c r="M920" s="43">
        <f t="array" ref="M920">XLOOKUP($A920,'Recipients REF'!$A:$A,'Recipients REF'!G:G,"",0)</f>
        <v>6</v>
      </c>
      <c r="N920" s="43" t="str">
        <f t="array" ref="N920">XLOOKUP($A920,'Recipients REF'!$A:$A,'Recipients REF'!H:H,"",0)</f>
        <v>26630 &amp; 27753</v>
      </c>
      <c r="O920" s="44" t="s">
        <v>25</v>
      </c>
      <c r="P920" s="45" t="s">
        <v>26</v>
      </c>
      <c r="Q920" s="46" t="str">
        <f t="array" ref="Q920">XLOOKUP($A920,'Recipients REF'!$A:$A,'Recipients REF'!I:I,"",0)</f>
        <v>KMC5825 AJSFPV0106</v>
      </c>
      <c r="R920" s="53" t="str">
        <f t="array" ref="R920">XLOOKUP($A920,'Recipients REF'!$A:$A,'Recipients REF'!J:J,"",0)</f>
        <v>STS100163</v>
      </c>
      <c r="S920" s="45" t="s">
        <v>27</v>
      </c>
      <c r="T920" s="45" t="s">
        <v>28</v>
      </c>
      <c r="U920" s="46" t="str">
        <f t="array" ref="U920">XLOOKUP($A920,'Recipients REF'!$A:$A,'Recipients REF'!K:K,"",0)</f>
        <v>WR-SERIES 323</v>
      </c>
      <c r="V920" s="44" t="s">
        <v>29</v>
      </c>
      <c r="W920" s="45" t="s">
        <v>30</v>
      </c>
      <c r="X920" s="53" t="str">
        <f t="array" ref="X920">XLOOKUP($A920,'Recipients REF'!$A:$A,'Recipients REF'!L:L,"",0)</f>
        <v>2580383</v>
      </c>
      <c r="Y920" s="48" t="s">
        <v>29</v>
      </c>
      <c r="Z920" s="48" t="s">
        <v>31</v>
      </c>
      <c r="AA920" s="54" t="str">
        <f t="array" ref="AA920">XLOOKUP($A920,'Recipients REF'!$A:$A,'Recipients REF'!M:M,"",0)</f>
        <v>25080801</v>
      </c>
      <c r="AB920" s="49"/>
      <c r="AC920" s="42"/>
      <c r="AD920" s="42"/>
      <c r="AE920" s="50"/>
      <c r="AF920" s="42"/>
      <c r="AG920" s="42"/>
      <c r="AH920" s="42"/>
      <c r="AI920" s="42" t="str">
        <f t="array" ref="AI920">XLOOKUP($E920,Sheet11!$D:$D,Sheet11!$X:$X,"",0)</f>
        <v/>
      </c>
      <c r="AJ920" s="42" t="str">
        <f t="array" ref="AJ920">XLOOKUP($E920,Sheet11!$D:$D,Sheet11!$Y:$Y,"",0)</f>
        <v/>
      </c>
    </row>
    <row r="921">
      <c r="A921" s="41">
        <v>799.0</v>
      </c>
      <c r="B921" s="42" t="s">
        <v>1806</v>
      </c>
      <c r="C921" s="42" t="s">
        <v>1807</v>
      </c>
      <c r="D921" s="42"/>
      <c r="E921" s="42" t="str">
        <f t="shared" ref="E921:F921" si="922">PROPER(B921)</f>
        <v>Purok Palayan Amia Village Dinapa Farmers Association</v>
      </c>
      <c r="F921" s="42" t="str">
        <f t="shared" si="922"/>
        <v>Dinapa, Castilla, Sorsogon</v>
      </c>
      <c r="G921" s="42" t="str">
        <f t="shared" si="3"/>
        <v>Dinapa</v>
      </c>
      <c r="H921" s="42" t="str">
        <f t="shared" si="4"/>
        <v>Castilla</v>
      </c>
      <c r="I921" s="42" t="str">
        <f t="shared" si="5"/>
        <v>Sorsogon</v>
      </c>
      <c r="J921" s="42" t="str">
        <f t="array" ref="J921">XLOOKUP($E921,'Recipients REF'!$B:$B,'Recipients REF'!D:D,"",0)</f>
        <v>Benjie B. Lotino</v>
      </c>
      <c r="K921" s="42" t="str">
        <f t="array" ref="K921">XLOOKUP($E921,'Recipients REF'!$B:$B,'Recipients REF'!E:E,"",0)</f>
        <v>0992 728 7126</v>
      </c>
      <c r="L921" s="43" t="str">
        <f t="array" ref="L921">XLOOKUP($A921,'Recipients REF'!$A:$A,'Recipients REF'!F:F,"",0)</f>
        <v>RCEF 25-03-05</v>
      </c>
      <c r="M921" s="43">
        <f t="array" ref="M921">XLOOKUP($A921,'Recipients REF'!$A:$A,'Recipients REF'!G:G,"",0)</f>
        <v>6</v>
      </c>
      <c r="N921" s="43" t="str">
        <f t="array" ref="N921">XLOOKUP($A921,'Recipients REF'!$A:$A,'Recipients REF'!H:H,"",0)</f>
        <v>26631 &amp; 27754</v>
      </c>
      <c r="O921" s="44" t="s">
        <v>25</v>
      </c>
      <c r="P921" s="45" t="s">
        <v>26</v>
      </c>
      <c r="Q921" s="46" t="str">
        <f t="array" ref="Q921">XLOOKUP($A921,'Recipients REF'!$A:$A,'Recipients REF'!I:I,"",0)</f>
        <v>KMC5825 AESFPV0129</v>
      </c>
      <c r="R921" s="53" t="str">
        <f t="array" ref="R921">XLOOKUP($A921,'Recipients REF'!$A:$A,'Recipients REF'!J:J,"",0)</f>
        <v>STS100099</v>
      </c>
      <c r="S921" s="45" t="s">
        <v>27</v>
      </c>
      <c r="T921" s="45" t="s">
        <v>28</v>
      </c>
      <c r="U921" s="46" t="str">
        <f t="array" ref="U921">XLOOKUP($A921,'Recipients REF'!$A:$A,'Recipients REF'!K:K,"",0)</f>
        <v>WR-SERIES 298</v>
      </c>
      <c r="V921" s="44" t="s">
        <v>29</v>
      </c>
      <c r="W921" s="45" t="s">
        <v>30</v>
      </c>
      <c r="X921" s="53" t="str">
        <f t="array" ref="X921">XLOOKUP($A921,'Recipients REF'!$A:$A,'Recipients REF'!L:L,"",0)</f>
        <v>25080350</v>
      </c>
      <c r="Y921" s="48" t="s">
        <v>29</v>
      </c>
      <c r="Z921" s="48" t="s">
        <v>31</v>
      </c>
      <c r="AA921" s="54" t="str">
        <f t="array" ref="AA921">XLOOKUP($A921,'Recipients REF'!$A:$A,'Recipients REF'!M:M,"",0)</f>
        <v>25080807</v>
      </c>
      <c r="AB921" s="49"/>
      <c r="AC921" s="42"/>
      <c r="AD921" s="42"/>
      <c r="AE921" s="50"/>
      <c r="AF921" s="42"/>
      <c r="AG921" s="42"/>
      <c r="AH921" s="42"/>
      <c r="AI921" s="42" t="str">
        <f t="array" ref="AI921">XLOOKUP($E921,Sheet11!$D:$D,Sheet11!$X:$X,"",0)</f>
        <v/>
      </c>
      <c r="AJ921" s="42" t="str">
        <f t="array" ref="AJ921">XLOOKUP($E921,Sheet11!$D:$D,Sheet11!$Y:$Y,"",0)</f>
        <v/>
      </c>
    </row>
    <row r="922">
      <c r="A922" s="41">
        <v>800.0</v>
      </c>
      <c r="B922" s="42" t="s">
        <v>1808</v>
      </c>
      <c r="C922" s="42" t="s">
        <v>1809</v>
      </c>
      <c r="D922" s="42"/>
      <c r="E922" s="42" t="str">
        <f t="shared" ref="E922:F922" si="923">PROPER(B922)</f>
        <v>Municipal Local Government Unit Of Donsol</v>
      </c>
      <c r="F922" s="42" t="str">
        <f t="shared" si="923"/>
        <v>Awai, Donsol, Sorsogon</v>
      </c>
      <c r="G922" s="42" t="str">
        <f t="shared" si="3"/>
        <v>Awai</v>
      </c>
      <c r="H922" s="42" t="str">
        <f t="shared" si="4"/>
        <v>Donsol</v>
      </c>
      <c r="I922" s="42" t="str">
        <f t="shared" si="5"/>
        <v>Sorsogon</v>
      </c>
      <c r="J922" s="42" t="str">
        <f t="array" ref="J922">XLOOKUP($E922,'Recipients REF'!$B:$B,'Recipients REF'!D:D,"",0)</f>
        <v>Hon. TEODORO B. DE GUZMAN</v>
      </c>
      <c r="K922" s="42" t="str">
        <f t="array" ref="K922">XLOOKUP($E922,'Recipients REF'!$B:$B,'Recipients REF'!E:E,"",0)</f>
        <v>0968 414 6735</v>
      </c>
      <c r="L922" s="43" t="str">
        <f t="array" ref="L922">XLOOKUP($A922,'Recipients REF'!$A:$A,'Recipients REF'!F:F,"",0)</f>
        <v>RCEF 25-03-05</v>
      </c>
      <c r="M922" s="43">
        <f t="array" ref="M922">XLOOKUP($A922,'Recipients REF'!$A:$A,'Recipients REF'!G:G,"",0)</f>
        <v>6</v>
      </c>
      <c r="N922" s="43" t="str">
        <f t="array" ref="N922">XLOOKUP($A922,'Recipients REF'!$A:$A,'Recipients REF'!H:H,"",0)</f>
        <v>26632 &amp; 27755</v>
      </c>
      <c r="O922" s="44" t="s">
        <v>25</v>
      </c>
      <c r="P922" s="45" t="s">
        <v>26</v>
      </c>
      <c r="Q922" s="46" t="str">
        <f t="array" ref="Q922">XLOOKUP($A922,'Recipients REF'!$A:$A,'Recipients REF'!I:I,"",0)</f>
        <v>KMC5825 AASFPV0157</v>
      </c>
      <c r="R922" s="53" t="str">
        <f t="array" ref="R922">XLOOKUP($A922,'Recipients REF'!$A:$A,'Recipients REF'!J:J,"",0)</f>
        <v>STS 100135</v>
      </c>
      <c r="S922" s="45" t="s">
        <v>27</v>
      </c>
      <c r="T922" s="45" t="s">
        <v>28</v>
      </c>
      <c r="U922" s="46" t="str">
        <f t="array" ref="U922">XLOOKUP($A922,'Recipients REF'!$A:$A,'Recipients REF'!K:K,"",0)</f>
        <v>WR-SERIES 299</v>
      </c>
      <c r="V922" s="44" t="s">
        <v>29</v>
      </c>
      <c r="W922" s="45" t="s">
        <v>30</v>
      </c>
      <c r="X922" s="53" t="str">
        <f t="array" ref="X922">XLOOKUP($A922,'Recipients REF'!$A:$A,'Recipients REF'!L:L,"",0)</f>
        <v>24090785</v>
      </c>
      <c r="Y922" s="48" t="s">
        <v>29</v>
      </c>
      <c r="Z922" s="48" t="s">
        <v>31</v>
      </c>
      <c r="AA922" s="54" t="str">
        <f t="array" ref="AA922">XLOOKUP($A922,'Recipients REF'!$A:$A,'Recipients REF'!M:M,"",0)</f>
        <v>25080811</v>
      </c>
      <c r="AB922" s="49"/>
      <c r="AC922" s="42"/>
      <c r="AD922" s="42"/>
      <c r="AE922" s="50"/>
      <c r="AF922" s="42"/>
      <c r="AG922" s="42"/>
      <c r="AH922" s="42"/>
      <c r="AI922" s="42" t="str">
        <f t="array" ref="AI922">XLOOKUP($E922,Sheet11!$D:$D,Sheet11!$X:$X,"",0)</f>
        <v/>
      </c>
      <c r="AJ922" s="42" t="str">
        <f t="array" ref="AJ922">XLOOKUP($E922,Sheet11!$D:$D,Sheet11!$Y:$Y,"",0)</f>
        <v/>
      </c>
    </row>
    <row r="923">
      <c r="A923" s="41">
        <v>801.0</v>
      </c>
      <c r="B923" s="42" t="s">
        <v>1810</v>
      </c>
      <c r="C923" s="42" t="s">
        <v>1811</v>
      </c>
      <c r="D923" s="42"/>
      <c r="E923" s="42" t="str">
        <f t="shared" ref="E923:F923" si="924">PROPER(B923)</f>
        <v>Alinao Irrigators' Association, Inc.</v>
      </c>
      <c r="F923" s="42" t="str">
        <f t="shared" si="924"/>
        <v>Bibincahan, Sorsogon City, Sorsogon</v>
      </c>
      <c r="G923" s="42" t="str">
        <f t="shared" si="3"/>
        <v>Bibincahan</v>
      </c>
      <c r="H923" s="42" t="str">
        <f t="shared" si="4"/>
        <v>Sorsogon City</v>
      </c>
      <c r="I923" s="42" t="str">
        <f t="shared" si="5"/>
        <v>Sorsogon</v>
      </c>
      <c r="J923" s="42" t="str">
        <f t="array" ref="J923">XLOOKUP($E923,'Recipients REF'!$B:$B,'Recipients REF'!D:D,"",0)</f>
        <v>Dianne H. Desquitado</v>
      </c>
      <c r="K923" s="42" t="str">
        <f t="array" ref="K923">XLOOKUP($E923,'Recipients REF'!$B:$B,'Recipients REF'!E:E,"",0)</f>
        <v>0966-457-7599</v>
      </c>
      <c r="L923" s="43" t="str">
        <f t="array" ref="L923">XLOOKUP($A923,'Recipients REF'!$A:$A,'Recipients REF'!F:F,"",0)</f>
        <v>RCEF 25-03-05</v>
      </c>
      <c r="M923" s="43">
        <f t="array" ref="M923">XLOOKUP($A923,'Recipients REF'!$A:$A,'Recipients REF'!G:G,"",0)</f>
        <v>6</v>
      </c>
      <c r="N923" s="43" t="str">
        <f t="array" ref="N923">XLOOKUP($A923,'Recipients REF'!$A:$A,'Recipients REF'!H:H,"",0)</f>
        <v>26633 &amp; 27756</v>
      </c>
      <c r="O923" s="44" t="s">
        <v>25</v>
      </c>
      <c r="P923" s="45" t="s">
        <v>26</v>
      </c>
      <c r="Q923" s="46" t="str">
        <f t="array" ref="Q923">XLOOKUP($A923,'Recipients REF'!$A:$A,'Recipients REF'!I:I,"",0)</f>
        <v>KMC5825 AASFPV0126</v>
      </c>
      <c r="R923" s="53" t="str">
        <f t="array" ref="R923">XLOOKUP($A923,'Recipients REF'!$A:$A,'Recipients REF'!J:J,"",0)</f>
        <v>STS100100</v>
      </c>
      <c r="S923" s="45" t="s">
        <v>27</v>
      </c>
      <c r="T923" s="45" t="s">
        <v>28</v>
      </c>
      <c r="U923" s="46" t="str">
        <f t="array" ref="U923">XLOOKUP($A923,'Recipients REF'!$A:$A,'Recipients REF'!K:K,"",0)</f>
        <v>WR-SERIES 290</v>
      </c>
      <c r="V923" s="44" t="s">
        <v>29</v>
      </c>
      <c r="W923" s="45" t="s">
        <v>30</v>
      </c>
      <c r="X923" s="53" t="str">
        <f t="array" ref="X923">XLOOKUP($A923,'Recipients REF'!$A:$A,'Recipients REF'!L:L,"",0)</f>
        <v>25080387</v>
      </c>
      <c r="Y923" s="48" t="s">
        <v>29</v>
      </c>
      <c r="Z923" s="48" t="s">
        <v>31</v>
      </c>
      <c r="AA923" s="54" t="str">
        <f t="array" ref="AA923">XLOOKUP($A923,'Recipients REF'!$A:$A,'Recipients REF'!M:M,"",0)</f>
        <v>25080812</v>
      </c>
      <c r="AB923" s="49"/>
      <c r="AC923" s="42"/>
      <c r="AD923" s="42"/>
      <c r="AE923" s="50"/>
      <c r="AF923" s="42"/>
      <c r="AG923" s="42"/>
      <c r="AH923" s="42"/>
      <c r="AI923" s="42" t="str">
        <f t="array" ref="AI923">XLOOKUP($E923,Sheet11!$D:$D,Sheet11!$X:$X,"",0)</f>
        <v/>
      </c>
      <c r="AJ923" s="42" t="str">
        <f t="array" ref="AJ923">XLOOKUP($E923,Sheet11!$D:$D,Sheet11!$Y:$Y,"",0)</f>
        <v/>
      </c>
    </row>
    <row r="924">
      <c r="A924" s="41">
        <v>802.0</v>
      </c>
      <c r="B924" s="42" t="s">
        <v>1812</v>
      </c>
      <c r="C924" s="42" t="s">
        <v>1813</v>
      </c>
      <c r="D924" s="42"/>
      <c r="E924" s="42" t="str">
        <f t="shared" ref="E924:F924" si="925">PROPER(B924)</f>
        <v>City Local Government Unit Of Sorsogon</v>
      </c>
      <c r="F924" s="42" t="str">
        <f t="shared" si="925"/>
        <v>Cabid-An, Sorsogon City, Sorsogon</v>
      </c>
      <c r="G924" s="42" t="str">
        <f t="shared" si="3"/>
        <v>Cabid-An</v>
      </c>
      <c r="H924" s="42" t="str">
        <f t="shared" si="4"/>
        <v>Sorsogon City</v>
      </c>
      <c r="I924" s="42" t="str">
        <f t="shared" si="5"/>
        <v>Sorsogon</v>
      </c>
      <c r="J924" s="42" t="str">
        <f t="array" ref="J924">XLOOKUP($E924,'Recipients REF'!$B:$B,'Recipients REF'!D:D,"",0)</f>
        <v>Hon. Ma Ester E. Hamor</v>
      </c>
      <c r="K924" s="42" t="str">
        <f t="array" ref="K924">XLOOKUP($E924,'Recipients REF'!$B:$B,'Recipients REF'!E:E,"",0)</f>
        <v>0950 979 6058 (Adeline Detera - CA)</v>
      </c>
      <c r="L924" s="43" t="str">
        <f t="array" ref="L924">XLOOKUP($A924,'Recipients REF'!$A:$A,'Recipients REF'!F:F,"",0)</f>
        <v>RCEF 25-03-05</v>
      </c>
      <c r="M924" s="43">
        <f t="array" ref="M924">XLOOKUP($A924,'Recipients REF'!$A:$A,'Recipients REF'!G:G,"",0)</f>
        <v>6</v>
      </c>
      <c r="N924" s="43" t="str">
        <f t="array" ref="N924">XLOOKUP($A924,'Recipients REF'!$A:$A,'Recipients REF'!H:H,"",0)</f>
        <v>26634 &amp; 27757</v>
      </c>
      <c r="O924" s="44" t="s">
        <v>25</v>
      </c>
      <c r="P924" s="45" t="s">
        <v>26</v>
      </c>
      <c r="Q924" s="46" t="str">
        <f t="array" ref="Q924">XLOOKUP($A924,'Recipients REF'!$A:$A,'Recipients REF'!I:I,"",0)</f>
        <v>KMC5825 AVSFPV0156</v>
      </c>
      <c r="R924" s="53" t="str">
        <f t="array" ref="R924">XLOOKUP($A924,'Recipients REF'!$A:$A,'Recipients REF'!J:J,"",0)</f>
        <v>STS100119</v>
      </c>
      <c r="S924" s="45" t="s">
        <v>27</v>
      </c>
      <c r="T924" s="45" t="s">
        <v>28</v>
      </c>
      <c r="U924" s="46" t="str">
        <f t="array" ref="U924">XLOOKUP($A924,'Recipients REF'!$A:$A,'Recipients REF'!K:K,"",0)</f>
        <v>WR-SERIES 325</v>
      </c>
      <c r="V924" s="44" t="s">
        <v>29</v>
      </c>
      <c r="W924" s="45" t="s">
        <v>30</v>
      </c>
      <c r="X924" s="53" t="str">
        <f t="array" ref="X924">XLOOKUP($A924,'Recipients REF'!$A:$A,'Recipients REF'!L:L,"",0)</f>
        <v>25080369</v>
      </c>
      <c r="Y924" s="48" t="s">
        <v>29</v>
      </c>
      <c r="Z924" s="48" t="s">
        <v>31</v>
      </c>
      <c r="AA924" s="54" t="str">
        <f t="array" ref="AA924">XLOOKUP($A924,'Recipients REF'!$A:$A,'Recipients REF'!M:M,"",0)</f>
        <v>25080799</v>
      </c>
      <c r="AB924" s="49"/>
      <c r="AC924" s="42"/>
      <c r="AD924" s="42"/>
      <c r="AE924" s="50"/>
      <c r="AF924" s="42"/>
      <c r="AG924" s="42"/>
      <c r="AH924" s="42"/>
      <c r="AI924" s="42" t="str">
        <f t="array" ref="AI924">XLOOKUP($E924,Sheet11!$D:$D,Sheet11!$X:$X,"",0)</f>
        <v/>
      </c>
      <c r="AJ924" s="42" t="str">
        <f t="array" ref="AJ924">XLOOKUP($E924,Sheet11!$D:$D,Sheet11!$Y:$Y,"",0)</f>
        <v/>
      </c>
    </row>
    <row r="925">
      <c r="A925" s="41">
        <v>803.0</v>
      </c>
      <c r="B925" s="42" t="s">
        <v>1814</v>
      </c>
      <c r="C925" s="42" t="s">
        <v>1815</v>
      </c>
      <c r="D925" s="42"/>
      <c r="E925" s="42" t="str">
        <f t="shared" ref="E925:F925" si="926">PROPER(B925)</f>
        <v>Gatbo Farmers Irrigators Association (Gafia)</v>
      </c>
      <c r="F925" s="42" t="str">
        <f t="shared" si="926"/>
        <v>Gatbo, Sorsogon City, Sorsogon</v>
      </c>
      <c r="G925" s="42" t="str">
        <f t="shared" si="3"/>
        <v>Gatbo</v>
      </c>
      <c r="H925" s="42" t="str">
        <f t="shared" si="4"/>
        <v>Sorsogon City</v>
      </c>
      <c r="I925" s="42" t="str">
        <f t="shared" si="5"/>
        <v>Sorsogon</v>
      </c>
      <c r="J925" s="42" t="str">
        <f t="array" ref="J925">XLOOKUP($E925,'Recipients REF'!$B:$B,'Recipients REF'!D:D,"",0)</f>
        <v>Ryan J. Espinola</v>
      </c>
      <c r="K925" s="42" t="str">
        <f t="array" ref="K925">XLOOKUP($E925,'Recipients REF'!$B:$B,'Recipients REF'!E:E,"",0)</f>
        <v>0970-826-4081</v>
      </c>
      <c r="L925" s="43" t="str">
        <f t="array" ref="L925">XLOOKUP($A925,'Recipients REF'!$A:$A,'Recipients REF'!F:F,"",0)</f>
        <v>RCEF 25-03-05</v>
      </c>
      <c r="M925" s="43">
        <f t="array" ref="M925">XLOOKUP($A925,'Recipients REF'!$A:$A,'Recipients REF'!G:G,"",0)</f>
        <v>6</v>
      </c>
      <c r="N925" s="43" t="str">
        <f t="array" ref="N925">XLOOKUP($A925,'Recipients REF'!$A:$A,'Recipients REF'!H:H,"",0)</f>
        <v>26635 &amp; 27758</v>
      </c>
      <c r="O925" s="44" t="s">
        <v>25</v>
      </c>
      <c r="P925" s="45" t="s">
        <v>26</v>
      </c>
      <c r="Q925" s="46" t="str">
        <f t="array" ref="Q925">XLOOKUP($A925,'Recipients REF'!$A:$A,'Recipients REF'!I:I,"",0)</f>
        <v>KMC5825 ALSFPV0094</v>
      </c>
      <c r="R925" s="53" t="str">
        <f t="array" ref="R925">XLOOKUP($A925,'Recipients REF'!$A:$A,'Recipients REF'!J:J,"",0)</f>
        <v>STS100146</v>
      </c>
      <c r="S925" s="45" t="s">
        <v>27</v>
      </c>
      <c r="T925" s="45" t="s">
        <v>28</v>
      </c>
      <c r="U925" s="46" t="str">
        <f t="array" ref="U925">XLOOKUP($A925,'Recipients REF'!$A:$A,'Recipients REF'!K:K,"",0)</f>
        <v>WR-SERIES 326</v>
      </c>
      <c r="V925" s="44" t="s">
        <v>29</v>
      </c>
      <c r="W925" s="45" t="s">
        <v>30</v>
      </c>
      <c r="X925" s="53" t="str">
        <f t="array" ref="X925">XLOOKUP($A925,'Recipients REF'!$A:$A,'Recipients REF'!L:L,"",0)</f>
        <v>25080386</v>
      </c>
      <c r="Y925" s="48" t="s">
        <v>29</v>
      </c>
      <c r="Z925" s="48" t="s">
        <v>31</v>
      </c>
      <c r="AA925" s="54" t="str">
        <f t="array" ref="AA925">XLOOKUP($A925,'Recipients REF'!$A:$A,'Recipients REF'!M:M,"",0)</f>
        <v>25080791</v>
      </c>
      <c r="AB925" s="49"/>
      <c r="AC925" s="42"/>
      <c r="AD925" s="42"/>
      <c r="AE925" s="50"/>
      <c r="AF925" s="42"/>
      <c r="AG925" s="42"/>
      <c r="AH925" s="42"/>
      <c r="AI925" s="42" t="str">
        <f t="array" ref="AI925">XLOOKUP($E925,Sheet11!$D:$D,Sheet11!$X:$X,"",0)</f>
        <v/>
      </c>
      <c r="AJ925" s="42" t="str">
        <f t="array" ref="AJ925">XLOOKUP($E925,Sheet11!$D:$D,Sheet11!$Y:$Y,"",0)</f>
        <v/>
      </c>
    </row>
    <row r="926">
      <c r="A926" s="41">
        <v>804.0</v>
      </c>
      <c r="B926" s="42" t="s">
        <v>1816</v>
      </c>
      <c r="C926" s="42" t="s">
        <v>1817</v>
      </c>
      <c r="D926" s="42"/>
      <c r="E926" s="42" t="str">
        <f t="shared" ref="E926:F926" si="927">PROPER(B926)</f>
        <v>Samahang Magsasaka Ng San Isidro Bacon Inc.</v>
      </c>
      <c r="F926" s="42" t="str">
        <f t="shared" si="927"/>
        <v>San Isidro (Bacon District), Sorsogon City, Sorsogon</v>
      </c>
      <c r="G926" s="42" t="str">
        <f t="shared" si="3"/>
        <v>San Isidro (Bacon District)</v>
      </c>
      <c r="H926" s="42" t="str">
        <f t="shared" si="4"/>
        <v>Sorsogon City</v>
      </c>
      <c r="I926" s="42" t="str">
        <f t="shared" si="5"/>
        <v>Sorsogon</v>
      </c>
      <c r="J926" s="42" t="str">
        <f t="array" ref="J926">XLOOKUP($E926,'Recipients REF'!$B:$B,'Recipients REF'!D:D,"",0)</f>
        <v>Geronimo D. Divina</v>
      </c>
      <c r="K926" s="42" t="str">
        <f t="array" ref="K926">XLOOKUP($E926,'Recipients REF'!$B:$B,'Recipients REF'!E:E,"",0)</f>
        <v>0930 842 8343</v>
      </c>
      <c r="L926" s="43" t="str">
        <f t="array" ref="L926">XLOOKUP($A926,'Recipients REF'!$A:$A,'Recipients REF'!F:F,"",0)</f>
        <v>RCEF 25-03-05</v>
      </c>
      <c r="M926" s="43">
        <f t="array" ref="M926">XLOOKUP($A926,'Recipients REF'!$A:$A,'Recipients REF'!G:G,"",0)</f>
        <v>6</v>
      </c>
      <c r="N926" s="43" t="str">
        <f t="array" ref="N926">XLOOKUP($A926,'Recipients REF'!$A:$A,'Recipients REF'!H:H,"",0)</f>
        <v>26636 &amp; 27759</v>
      </c>
      <c r="O926" s="44" t="s">
        <v>25</v>
      </c>
      <c r="P926" s="45" t="s">
        <v>26</v>
      </c>
      <c r="Q926" s="46" t="str">
        <f t="array" ref="Q926">XLOOKUP($A926,'Recipients REF'!$A:$A,'Recipients REF'!I:I,"",0)</f>
        <v>KMC5825 AJSFPV0087</v>
      </c>
      <c r="R926" s="53" t="str">
        <f t="array" ref="R926">XLOOKUP($A926,'Recipients REF'!$A:$A,'Recipients REF'!J:J,"",0)</f>
        <v>STS100121</v>
      </c>
      <c r="S926" s="45" t="s">
        <v>27</v>
      </c>
      <c r="T926" s="45" t="s">
        <v>28</v>
      </c>
      <c r="U926" s="46" t="str">
        <f t="array" ref="U926">XLOOKUP($A926,'Recipients REF'!$A:$A,'Recipients REF'!K:K,"",0)</f>
        <v>WR-SERIES 295</v>
      </c>
      <c r="V926" s="44" t="s">
        <v>29</v>
      </c>
      <c r="W926" s="45" t="s">
        <v>30</v>
      </c>
      <c r="X926" s="53" t="str">
        <f t="array" ref="X926">XLOOKUP($A926,'Recipients REF'!$A:$A,'Recipients REF'!L:L,"",0)</f>
        <v>25080371</v>
      </c>
      <c r="Y926" s="48" t="s">
        <v>29</v>
      </c>
      <c r="Z926" s="48" t="s">
        <v>31</v>
      </c>
      <c r="AA926" s="54" t="str">
        <f t="array" ref="AA926">XLOOKUP($A926,'Recipients REF'!$A:$A,'Recipients REF'!M:M,"",0)</f>
        <v>25080813</v>
      </c>
      <c r="AB926" s="49"/>
      <c r="AC926" s="42"/>
      <c r="AD926" s="42"/>
      <c r="AE926" s="50"/>
      <c r="AF926" s="42"/>
      <c r="AG926" s="42"/>
      <c r="AH926" s="42"/>
      <c r="AI926" s="42" t="str">
        <f t="array" ref="AI926">XLOOKUP($E926,Sheet11!$D:$D,Sheet11!$X:$X,"",0)</f>
        <v/>
      </c>
      <c r="AJ926" s="42" t="str">
        <f t="array" ref="AJ926">XLOOKUP($E926,Sheet11!$D:$D,Sheet11!$Y:$Y,"",0)</f>
        <v/>
      </c>
    </row>
    <row r="927">
      <c r="A927" s="41">
        <v>805.0</v>
      </c>
      <c r="B927" s="42" t="s">
        <v>1818</v>
      </c>
      <c r="C927" s="42" t="s">
        <v>1819</v>
      </c>
      <c r="D927" s="42"/>
      <c r="E927" s="42" t="str">
        <f t="shared" ref="E927:F927" si="928">PROPER(B927)</f>
        <v>Sawanga Farmers Association</v>
      </c>
      <c r="F927" s="42" t="str">
        <f t="shared" si="928"/>
        <v>Sawanga, Sorsogon City, Sorsogon</v>
      </c>
      <c r="G927" s="42" t="str">
        <f t="shared" si="3"/>
        <v>Sawanga</v>
      </c>
      <c r="H927" s="42" t="str">
        <f t="shared" si="4"/>
        <v>Sorsogon City</v>
      </c>
      <c r="I927" s="42" t="str">
        <f t="shared" si="5"/>
        <v>Sorsogon</v>
      </c>
      <c r="J927" s="42" t="str">
        <f t="array" ref="J927">XLOOKUP($E927,'Recipients REF'!$B:$B,'Recipients REF'!D:D,"",0)</f>
        <v>Henry D. Dioquino</v>
      </c>
      <c r="K927" s="42" t="str">
        <f t="array" ref="K927">XLOOKUP($E927,'Recipients REF'!$B:$B,'Recipients REF'!E:E,"",0)</f>
        <v>0950-119-4248</v>
      </c>
      <c r="L927" s="43" t="str">
        <f t="array" ref="L927">XLOOKUP($A927,'Recipients REF'!$A:$A,'Recipients REF'!F:F,"",0)</f>
        <v>RCEF 25-03-05</v>
      </c>
      <c r="M927" s="43">
        <f t="array" ref="M927">XLOOKUP($A927,'Recipients REF'!$A:$A,'Recipients REF'!G:G,"",0)</f>
        <v>6</v>
      </c>
      <c r="N927" s="43" t="str">
        <f t="array" ref="N927">XLOOKUP($A927,'Recipients REF'!$A:$A,'Recipients REF'!H:H,"",0)</f>
        <v>26637 &amp; 27760</v>
      </c>
      <c r="O927" s="44" t="s">
        <v>25</v>
      </c>
      <c r="P927" s="45" t="s">
        <v>26</v>
      </c>
      <c r="Q927" s="46" t="str">
        <f t="array" ref="Q927">XLOOKUP($A927,'Recipients REF'!$A:$A,'Recipients REF'!I:I,"",0)</f>
        <v>KMC5825 AJSFPV0119</v>
      </c>
      <c r="R927" s="53" t="str">
        <f t="array" ref="R927">XLOOKUP($A927,'Recipients REF'!$A:$A,'Recipients REF'!J:J,"",0)</f>
        <v>STS100159</v>
      </c>
      <c r="S927" s="45" t="s">
        <v>27</v>
      </c>
      <c r="T927" s="45" t="s">
        <v>28</v>
      </c>
      <c r="U927" s="46" t="str">
        <f t="array" ref="U927">XLOOKUP($A927,'Recipients REF'!$A:$A,'Recipients REF'!K:K,"",0)</f>
        <v>WR-SERIES 001</v>
      </c>
      <c r="V927" s="44" t="s">
        <v>29</v>
      </c>
      <c r="W927" s="45" t="s">
        <v>30</v>
      </c>
      <c r="X927" s="53" t="str">
        <f t="array" ref="X927">XLOOKUP($A927,'Recipients REF'!$A:$A,'Recipients REF'!L:L,"",0)</f>
        <v>25080372</v>
      </c>
      <c r="Y927" s="48" t="s">
        <v>29</v>
      </c>
      <c r="Z927" s="48" t="s">
        <v>31</v>
      </c>
      <c r="AA927" s="54" t="str">
        <f t="array" ref="AA927">XLOOKUP($A927,'Recipients REF'!$A:$A,'Recipients REF'!M:M,"",0)</f>
        <v>25080784</v>
      </c>
      <c r="AB927" s="49"/>
      <c r="AC927" s="42"/>
      <c r="AD927" s="42"/>
      <c r="AE927" s="50"/>
      <c r="AF927" s="42"/>
      <c r="AG927" s="42"/>
      <c r="AH927" s="42"/>
      <c r="AI927" s="42" t="str">
        <f t="array" ref="AI927">XLOOKUP($E927,Sheet11!$D:$D,Sheet11!$X:$X,"",0)</f>
        <v/>
      </c>
      <c r="AJ927" s="42" t="str">
        <f t="array" ref="AJ927">XLOOKUP($E927,Sheet11!$D:$D,Sheet11!$Y:$Y,"",0)</f>
        <v/>
      </c>
    </row>
    <row r="928">
      <c r="A928" s="41">
        <v>806.0</v>
      </c>
      <c r="B928" s="42" t="s">
        <v>1820</v>
      </c>
      <c r="C928" s="42" t="s">
        <v>1821</v>
      </c>
      <c r="D928" s="42"/>
      <c r="E928" s="42" t="str">
        <f t="shared" ref="E928:F928" si="929">PROPER(B928)</f>
        <v>Bigkis San Paraoma Sa Bulan (Bpb), Inc.</v>
      </c>
      <c r="F928" s="42" t="str">
        <f t="shared" si="929"/>
        <v>Somagongsong, Bulan, Sorsogon</v>
      </c>
      <c r="G928" s="42" t="str">
        <f t="shared" si="3"/>
        <v>Somagongsong</v>
      </c>
      <c r="H928" s="42" t="str">
        <f t="shared" si="4"/>
        <v>Bulan</v>
      </c>
      <c r="I928" s="42" t="str">
        <f t="shared" si="5"/>
        <v>Sorsogon</v>
      </c>
      <c r="J928" s="42" t="str">
        <f t="array" ref="J928">XLOOKUP($E928,'Recipients REF'!$B:$B,'Recipients REF'!D:D,"",0)</f>
        <v>Rafael G. Gordola</v>
      </c>
      <c r="K928" s="42" t="str">
        <f t="array" ref="K928">XLOOKUP($E928,'Recipients REF'!$B:$B,'Recipients REF'!E:E,"",0)</f>
        <v>0981-437-7346</v>
      </c>
      <c r="L928" s="43" t="str">
        <f t="array" ref="L928">XLOOKUP($A928,'Recipients REF'!$A:$A,'Recipients REF'!F:F,"",0)</f>
        <v>RCEF 25-03-05</v>
      </c>
      <c r="M928" s="43">
        <f t="array" ref="M928">XLOOKUP($A928,'Recipients REF'!$A:$A,'Recipients REF'!G:G,"",0)</f>
        <v>6</v>
      </c>
      <c r="N928" s="43" t="str">
        <f t="array" ref="N928">XLOOKUP($A928,'Recipients REF'!$A:$A,'Recipients REF'!H:H,"",0)</f>
        <v>26638 &amp; 27761</v>
      </c>
      <c r="O928" s="44" t="s">
        <v>25</v>
      </c>
      <c r="P928" s="45" t="s">
        <v>26</v>
      </c>
      <c r="Q928" s="46" t="str">
        <f t="array" ref="Q928">XLOOKUP($A928,'Recipients REF'!$A:$A,'Recipients REF'!I:I,"",0)</f>
        <v>KMC5825 ACSFPV0133</v>
      </c>
      <c r="R928" s="53" t="str">
        <f t="array" ref="R928">XLOOKUP($A928,'Recipients REF'!$A:$A,'Recipients REF'!J:J,"",0)</f>
        <v>STS100131</v>
      </c>
      <c r="S928" s="45" t="s">
        <v>27</v>
      </c>
      <c r="T928" s="45" t="s">
        <v>28</v>
      </c>
      <c r="U928" s="46" t="str">
        <f t="array" ref="U928">XLOOKUP($A928,'Recipients REF'!$A:$A,'Recipients REF'!K:K,"",0)</f>
        <v>WR-SERIES 297</v>
      </c>
      <c r="V928" s="44" t="s">
        <v>29</v>
      </c>
      <c r="W928" s="45" t="s">
        <v>30</v>
      </c>
      <c r="X928" s="53" t="str">
        <f t="array" ref="X928">XLOOKUP($A928,'Recipients REF'!$A:$A,'Recipients REF'!L:L,"",0)</f>
        <v>25080374</v>
      </c>
      <c r="Y928" s="48" t="s">
        <v>29</v>
      </c>
      <c r="Z928" s="48" t="s">
        <v>31</v>
      </c>
      <c r="AA928" s="54" t="str">
        <f t="array" ref="AA928">XLOOKUP($A928,'Recipients REF'!$A:$A,'Recipients REF'!M:M,"",0)</f>
        <v>25080810</v>
      </c>
      <c r="AB928" s="49"/>
      <c r="AC928" s="42"/>
      <c r="AD928" s="42"/>
      <c r="AE928" s="50"/>
      <c r="AF928" s="42"/>
      <c r="AG928" s="42"/>
      <c r="AH928" s="42"/>
      <c r="AI928" s="42" t="str">
        <f t="array" ref="AI928">XLOOKUP($E928,Sheet11!$D:$D,Sheet11!$X:$X,"",0)</f>
        <v/>
      </c>
      <c r="AJ928" s="42" t="str">
        <f t="array" ref="AJ928">XLOOKUP($E928,Sheet11!$D:$D,Sheet11!$Y:$Y,"",0)</f>
        <v/>
      </c>
    </row>
    <row r="929">
      <c r="A929" s="41">
        <v>807.0</v>
      </c>
      <c r="B929" s="42" t="s">
        <v>1822</v>
      </c>
      <c r="C929" s="42" t="s">
        <v>1823</v>
      </c>
      <c r="D929" s="42"/>
      <c r="E929" s="42" t="str">
        <f t="shared" ref="E929:F929" si="930">PROPER(B929)</f>
        <v>Samahan Ng Mga Magsasaka Ng Brgy. Sta. Remedios</v>
      </c>
      <c r="F929" s="42" t="str">
        <f t="shared" si="930"/>
        <v>Santa Remedios, Bulan, Sorsogon</v>
      </c>
      <c r="G929" s="42" t="str">
        <f t="shared" si="3"/>
        <v>Santa Remedios</v>
      </c>
      <c r="H929" s="42" t="str">
        <f t="shared" si="4"/>
        <v>Bulan</v>
      </c>
      <c r="I929" s="42" t="str">
        <f t="shared" si="5"/>
        <v>Sorsogon</v>
      </c>
      <c r="J929" s="42" t="str">
        <f t="array" ref="J929">XLOOKUP($E929,'Recipients REF'!$B:$B,'Recipients REF'!D:D,"",0)</f>
        <v>Daniel Z. Ginga</v>
      </c>
      <c r="K929" s="42" t="str">
        <f t="array" ref="K929">XLOOKUP($E929,'Recipients REF'!$B:$B,'Recipients REF'!E:E,"",0)</f>
        <v>0997 857 1666</v>
      </c>
      <c r="L929" s="43" t="str">
        <f t="array" ref="L929">XLOOKUP($A929,'Recipients REF'!$A:$A,'Recipients REF'!F:F,"",0)</f>
        <v>RCEF 25-03-05</v>
      </c>
      <c r="M929" s="43">
        <f t="array" ref="M929">XLOOKUP($A929,'Recipients REF'!$A:$A,'Recipients REF'!G:G,"",0)</f>
        <v>6</v>
      </c>
      <c r="N929" s="43" t="str">
        <f t="array" ref="N929">XLOOKUP($A929,'Recipients REF'!$A:$A,'Recipients REF'!H:H,"",0)</f>
        <v>26639 &amp; 27762</v>
      </c>
      <c r="O929" s="44" t="s">
        <v>25</v>
      </c>
      <c r="P929" s="45" t="s">
        <v>26</v>
      </c>
      <c r="Q929" s="46" t="str">
        <f t="array" ref="Q929">XLOOKUP($A929,'Recipients REF'!$A:$A,'Recipients REF'!I:I,"",0)</f>
        <v>KMC5825 AVSFPV0139</v>
      </c>
      <c r="R929" s="53" t="str">
        <f t="array" ref="R929">XLOOKUP($A929,'Recipients REF'!$A:$A,'Recipients REF'!J:J,"",0)</f>
        <v>STS100091</v>
      </c>
      <c r="S929" s="45" t="s">
        <v>27</v>
      </c>
      <c r="T929" s="45" t="s">
        <v>28</v>
      </c>
      <c r="U929" s="46" t="str">
        <f t="array" ref="U929">XLOOKUP($A929,'Recipients REF'!$A:$A,'Recipients REF'!K:K,"",0)</f>
        <v>WR-SERIES 265</v>
      </c>
      <c r="V929" s="44" t="s">
        <v>29</v>
      </c>
      <c r="W929" s="45" t="s">
        <v>30</v>
      </c>
      <c r="X929" s="53" t="str">
        <f t="array" ref="X929">XLOOKUP($A929,'Recipients REF'!$A:$A,'Recipients REF'!L:L,"",0)</f>
        <v>25080352</v>
      </c>
      <c r="Y929" s="48" t="s">
        <v>29</v>
      </c>
      <c r="Z929" s="48" t="s">
        <v>31</v>
      </c>
      <c r="AA929" s="54" t="str">
        <f t="array" ref="AA929">XLOOKUP($A929,'Recipients REF'!$A:$A,'Recipients REF'!M:M,"",0)</f>
        <v>25080805</v>
      </c>
      <c r="AB929" s="49"/>
      <c r="AC929" s="42"/>
      <c r="AD929" s="42"/>
      <c r="AE929" s="50"/>
      <c r="AF929" s="42"/>
      <c r="AG929" s="42"/>
      <c r="AH929" s="42"/>
      <c r="AI929" s="42" t="str">
        <f t="array" ref="AI929">XLOOKUP($E929,Sheet11!$D:$D,Sheet11!$X:$X,"",0)</f>
        <v/>
      </c>
      <c r="AJ929" s="42" t="str">
        <f t="array" ref="AJ929">XLOOKUP($E929,Sheet11!$D:$D,Sheet11!$Y:$Y,"",0)</f>
        <v/>
      </c>
    </row>
    <row r="930">
      <c r="A930" s="41">
        <v>808.0</v>
      </c>
      <c r="B930" s="42" t="s">
        <v>1824</v>
      </c>
      <c r="C930" s="42" t="s">
        <v>1825</v>
      </c>
      <c r="D930" s="42"/>
      <c r="E930" s="42" t="str">
        <f t="shared" ref="E930:F930" si="931">PROPER(B930)</f>
        <v>Tiris Integrated Farmers Association (Tifa)</v>
      </c>
      <c r="F930" s="42" t="str">
        <f t="shared" si="931"/>
        <v>Tiris, Gubat, Sorsogon</v>
      </c>
      <c r="G930" s="42" t="str">
        <f t="shared" si="3"/>
        <v>Tiris</v>
      </c>
      <c r="H930" s="42" t="str">
        <f t="shared" si="4"/>
        <v>Gubat</v>
      </c>
      <c r="I930" s="42" t="str">
        <f t="shared" si="5"/>
        <v>Sorsogon</v>
      </c>
      <c r="J930" s="42" t="str">
        <f t="array" ref="J930">XLOOKUP($E930,'Recipients REF'!$B:$B,'Recipients REF'!D:D,"",0)</f>
        <v>Domingo E. Escober</v>
      </c>
      <c r="K930" s="42" t="str">
        <f t="array" ref="K930">XLOOKUP($E930,'Recipients REF'!$B:$B,'Recipients REF'!E:E,"",0)</f>
        <v>0938 430 0062</v>
      </c>
      <c r="L930" s="43" t="str">
        <f t="array" ref="L930">XLOOKUP($A930,'Recipients REF'!$A:$A,'Recipients REF'!F:F,"",0)</f>
        <v>RCEF 25-03-05</v>
      </c>
      <c r="M930" s="43">
        <f t="array" ref="M930">XLOOKUP($A930,'Recipients REF'!$A:$A,'Recipients REF'!G:G,"",0)</f>
        <v>6</v>
      </c>
      <c r="N930" s="43" t="str">
        <f t="array" ref="N930">XLOOKUP($A930,'Recipients REF'!$A:$A,'Recipients REF'!H:H,"",0)</f>
        <v>26640 &amp; 27763</v>
      </c>
      <c r="O930" s="44" t="s">
        <v>25</v>
      </c>
      <c r="P930" s="45" t="s">
        <v>26</v>
      </c>
      <c r="Q930" s="46" t="str">
        <f t="array" ref="Q930">XLOOKUP($A930,'Recipients REF'!$A:$A,'Recipients REF'!I:I,"",0)</f>
        <v>KMC5825 APSFPV0099</v>
      </c>
      <c r="R930" s="53" t="str">
        <f t="array" ref="R930">XLOOKUP($A930,'Recipients REF'!$A:$A,'Recipients REF'!J:J,"",0)</f>
        <v>STS100156</v>
      </c>
      <c r="S930" s="45" t="s">
        <v>27</v>
      </c>
      <c r="T930" s="45" t="s">
        <v>28</v>
      </c>
      <c r="U930" s="46" t="str">
        <f t="array" ref="U930">XLOOKUP($A930,'Recipients REF'!$A:$A,'Recipients REF'!K:K,"",0)</f>
        <v>WR-SERIES 293</v>
      </c>
      <c r="V930" s="44" t="s">
        <v>29</v>
      </c>
      <c r="W930" s="45" t="s">
        <v>30</v>
      </c>
      <c r="X930" s="53" t="str">
        <f t="array" ref="X930">XLOOKUP($A930,'Recipients REF'!$A:$A,'Recipients REF'!L:L,"",0)</f>
        <v>25080385</v>
      </c>
      <c r="Y930" s="48" t="s">
        <v>29</v>
      </c>
      <c r="Z930" s="48" t="s">
        <v>31</v>
      </c>
      <c r="AA930" s="54" t="str">
        <f t="array" ref="AA930">XLOOKUP($A930,'Recipients REF'!$A:$A,'Recipients REF'!M:M,"",0)</f>
        <v>25080783</v>
      </c>
      <c r="AB930" s="49"/>
      <c r="AC930" s="42"/>
      <c r="AD930" s="42"/>
      <c r="AE930" s="50"/>
      <c r="AF930" s="42"/>
      <c r="AG930" s="42"/>
      <c r="AH930" s="42"/>
      <c r="AI930" s="42" t="str">
        <f t="array" ref="AI930">XLOOKUP($E930,Sheet11!$D:$D,Sheet11!$X:$X,"",0)</f>
        <v/>
      </c>
      <c r="AJ930" s="42" t="str">
        <f t="array" ref="AJ930">XLOOKUP($E930,Sheet11!$D:$D,Sheet11!$Y:$Y,"",0)</f>
        <v/>
      </c>
    </row>
    <row r="931">
      <c r="A931" s="41">
        <v>809.0</v>
      </c>
      <c r="B931" s="42" t="s">
        <v>1826</v>
      </c>
      <c r="C931" s="42" t="s">
        <v>1827</v>
      </c>
      <c r="D931" s="42"/>
      <c r="E931" s="42" t="str">
        <f t="shared" ref="E931:F931" si="932">PROPER(B931)</f>
        <v>Ilawod Sagap Sararo Paraoma Asosasyon (Issapa)</v>
      </c>
      <c r="F931" s="42" t="str">
        <f t="shared" si="932"/>
        <v>Macawayan, Irosin, Sorsogon</v>
      </c>
      <c r="G931" s="42" t="str">
        <f t="shared" si="3"/>
        <v>Macawayan</v>
      </c>
      <c r="H931" s="42" t="str">
        <f t="shared" si="4"/>
        <v>Irosin</v>
      </c>
      <c r="I931" s="42" t="str">
        <f t="shared" si="5"/>
        <v>Sorsogon</v>
      </c>
      <c r="J931" s="42" t="str">
        <f t="array" ref="J931">XLOOKUP($E931,'Recipients REF'!$B:$B,'Recipients REF'!D:D,"",0)</f>
        <v>Lucia L. Estremera</v>
      </c>
      <c r="K931" s="42" t="str">
        <f t="array" ref="K931">XLOOKUP($E931,'Recipients REF'!$B:$B,'Recipients REF'!E:E,"",0)</f>
        <v>0970 362 7068</v>
      </c>
      <c r="L931" s="43" t="str">
        <f t="array" ref="L931">XLOOKUP($A931,'Recipients REF'!$A:$A,'Recipients REF'!F:F,"",0)</f>
        <v>RCEF 25-03-05</v>
      </c>
      <c r="M931" s="43">
        <f t="array" ref="M931">XLOOKUP($A931,'Recipients REF'!$A:$A,'Recipients REF'!G:G,"",0)</f>
        <v>6</v>
      </c>
      <c r="N931" s="43" t="str">
        <f t="array" ref="N931">XLOOKUP($A931,'Recipients REF'!$A:$A,'Recipients REF'!H:H,"",0)</f>
        <v>26641 &amp; 27764</v>
      </c>
      <c r="O931" s="44" t="s">
        <v>25</v>
      </c>
      <c r="P931" s="45" t="s">
        <v>26</v>
      </c>
      <c r="Q931" s="46" t="str">
        <f t="array" ref="Q931">XLOOKUP($A931,'Recipients REF'!$A:$A,'Recipients REF'!I:I,"",0)</f>
        <v>KMC5825 ALSFPV0130</v>
      </c>
      <c r="R931" s="53" t="str">
        <f t="array" ref="R931">XLOOKUP($A931,'Recipients REF'!$A:$A,'Recipients REF'!J:J,"",0)</f>
        <v>STS100085</v>
      </c>
      <c r="S931" s="45" t="s">
        <v>27</v>
      </c>
      <c r="T931" s="45" t="s">
        <v>28</v>
      </c>
      <c r="U931" s="46" t="str">
        <f t="array" ref="U931">XLOOKUP($A931,'Recipients REF'!$A:$A,'Recipients REF'!K:K,"",0)</f>
        <v>WR-SERIES 283</v>
      </c>
      <c r="V931" s="44" t="s">
        <v>29</v>
      </c>
      <c r="W931" s="45" t="s">
        <v>30</v>
      </c>
      <c r="X931" s="53" t="str">
        <f t="array" ref="X931">XLOOKUP($A931,'Recipients REF'!$A:$A,'Recipients REF'!L:L,"",0)</f>
        <v>25080364</v>
      </c>
      <c r="Y931" s="48" t="s">
        <v>29</v>
      </c>
      <c r="Z931" s="48" t="s">
        <v>31</v>
      </c>
      <c r="AA931" s="54" t="str">
        <f t="array" ref="AA931">XLOOKUP($A931,'Recipients REF'!$A:$A,'Recipients REF'!M:M,"",0)</f>
        <v>25080790</v>
      </c>
      <c r="AB931" s="49"/>
      <c r="AC931" s="42"/>
      <c r="AD931" s="42"/>
      <c r="AE931" s="50"/>
      <c r="AF931" s="42"/>
      <c r="AG931" s="42"/>
      <c r="AH931" s="42"/>
      <c r="AI931" s="42" t="str">
        <f t="array" ref="AI931">XLOOKUP($E931,Sheet11!$D:$D,Sheet11!$X:$X,"",0)</f>
        <v/>
      </c>
      <c r="AJ931" s="42" t="str">
        <f t="array" ref="AJ931">XLOOKUP($E931,Sheet11!$D:$D,Sheet11!$Y:$Y,"",0)</f>
        <v/>
      </c>
    </row>
    <row r="932">
      <c r="A932" s="41">
        <v>116.0</v>
      </c>
      <c r="B932" s="42" t="s">
        <v>1828</v>
      </c>
      <c r="C932" s="42" t="s">
        <v>1829</v>
      </c>
      <c r="D932" s="42"/>
      <c r="E932" s="42" t="str">
        <f t="shared" ref="E932:F932" si="933">PROPER(B932)</f>
        <v>Saint Joseph The Worker Farmers Association Inc.</v>
      </c>
      <c r="F932" s="42" t="str">
        <f t="shared" si="933"/>
        <v>San Jose North, Anao, Tarlac</v>
      </c>
      <c r="G932" s="42" t="str">
        <f t="shared" si="3"/>
        <v>San Jose North</v>
      </c>
      <c r="H932" s="42" t="str">
        <f t="shared" si="4"/>
        <v>Anao</v>
      </c>
      <c r="I932" s="42" t="str">
        <f t="shared" si="5"/>
        <v>Tarlac</v>
      </c>
      <c r="J932" s="42" t="str">
        <f t="array" ref="J932">XLOOKUP($E932,'Recipients REF'!$B:$B,'Recipients REF'!D:D,"",0)</f>
        <v>Jesus F. Bartolome Jr.</v>
      </c>
      <c r="K932" s="42" t="str">
        <f t="array" ref="K932">XLOOKUP($E932,'Recipients REF'!$B:$B,'Recipients REF'!E:E,"",0)</f>
        <v>0917-136-2169</v>
      </c>
      <c r="L932" s="43" t="str">
        <f t="array" ref="L932">XLOOKUP($A932,'Recipients REF'!$A:$A,'Recipients REF'!F:F,"",0)</f>
        <v>RCEF 23-09-21 Rebidding</v>
      </c>
      <c r="M932" s="43">
        <f t="array" ref="M932">XLOOKUP($A932,'Recipients REF'!$A:$A,'Recipients REF'!G:G,"",0)</f>
        <v>3</v>
      </c>
      <c r="N932" s="43">
        <f t="array" ref="N932">XLOOKUP($A932,'Recipients REF'!$A:$A,'Recipients REF'!H:H,"",0)</f>
        <v>17800</v>
      </c>
      <c r="O932" s="44" t="s">
        <v>25</v>
      </c>
      <c r="P932" s="45" t="s">
        <v>26</v>
      </c>
      <c r="Q932" s="46" t="str">
        <f t="array" ref="Q932">XLOOKUP($A932,'Recipients REF'!$A:$A,'Recipients REF'!I:I,"",0)</f>
        <v>KMC5825 APPFPV0157</v>
      </c>
      <c r="R932" s="47" t="str">
        <f t="array" ref="R932">XLOOKUP($A932,'Recipients REF'!$A:$A,'Recipients REF'!J:J,"",0)</f>
        <v>PTS100052</v>
      </c>
      <c r="S932" s="45" t="s">
        <v>27</v>
      </c>
      <c r="T932" s="45" t="s">
        <v>28</v>
      </c>
      <c r="U932" s="46" t="str">
        <f t="array" ref="U932">XLOOKUP($A932,'Recipients REF'!$A:$A,'Recipients REF'!K:K,"",0)</f>
        <v>R-SERIES 052PH</v>
      </c>
      <c r="V932" s="44" t="s">
        <v>29</v>
      </c>
      <c r="W932" s="45" t="s">
        <v>30</v>
      </c>
      <c r="X932" s="47" t="str">
        <f t="array" ref="X932">XLOOKUP($A932,'Recipients REF'!$A:$A,'Recipients REF'!L:L,"",0)</f>
        <v>LSGW1750-RMP-2312022</v>
      </c>
      <c r="Y932" s="48" t="s">
        <v>29</v>
      </c>
      <c r="Z932" s="48" t="s">
        <v>31</v>
      </c>
      <c r="AA932" s="46" t="str">
        <f t="array" ref="AA932">XLOOKUP($A932,'Recipients REF'!$A:$A,'Recipients REF'!M:M,"",0)</f>
        <v>WDP40-RMP-2312048</v>
      </c>
      <c r="AB932" s="49"/>
      <c r="AC932" s="42"/>
      <c r="AD932" s="42"/>
      <c r="AE932" s="55">
        <v>8.69066063805288E14</v>
      </c>
      <c r="AF932" s="56" t="s">
        <v>1830</v>
      </c>
      <c r="AG932" s="42"/>
      <c r="AH932" s="42"/>
      <c r="AI932" s="42">
        <f t="array" ref="AI932">XLOOKUP($E932,Sheet11!$D:$D,Sheet11!$X:$X,"",0)</f>
        <v>869066060237279</v>
      </c>
      <c r="AJ932" s="42">
        <f t="array" ref="AJ932">XLOOKUP($E932,Sheet11!$D:$D,Sheet11!$Y:$Y,"",0)</f>
        <v>9690404836</v>
      </c>
    </row>
    <row r="933">
      <c r="A933" s="41">
        <v>706.0</v>
      </c>
      <c r="B933" s="42" t="s">
        <v>1831</v>
      </c>
      <c r="C933" s="42" t="s">
        <v>1832</v>
      </c>
      <c r="D933" s="42"/>
      <c r="E933" s="42" t="str">
        <f t="shared" ref="E933:F933" si="934">PROPER(B933)</f>
        <v>Bantog Anao Bagong Sibol Farmers Association Inc.</v>
      </c>
      <c r="F933" s="42" t="str">
        <f t="shared" si="934"/>
        <v>Bantog, Anao, Tarlac</v>
      </c>
      <c r="G933" s="42" t="str">
        <f t="shared" si="3"/>
        <v>Bantog</v>
      </c>
      <c r="H933" s="42" t="str">
        <f t="shared" si="4"/>
        <v>Anao</v>
      </c>
      <c r="I933" s="42" t="str">
        <f t="shared" si="5"/>
        <v>Tarlac</v>
      </c>
      <c r="J933" s="42" t="str">
        <f t="array" ref="J933">XLOOKUP($E933,'Recipients REF'!$B:$B,'Recipients REF'!D:D,"",0)</f>
        <v>Pedro H. Hailer Jr.</v>
      </c>
      <c r="K933" s="42" t="str">
        <f t="array" ref="K933">XLOOKUP($E933,'Recipients REF'!$B:$B,'Recipients REF'!E:E,"",0)</f>
        <v>0966-398-2625</v>
      </c>
      <c r="L933" s="43" t="str">
        <f t="array" ref="L933">XLOOKUP($A933,'Recipients REF'!$A:$A,'Recipients REF'!F:F,"",0)</f>
        <v>RCEF 25-03-05</v>
      </c>
      <c r="M933" s="43">
        <f t="array" ref="M933">XLOOKUP($A933,'Recipients REF'!$A:$A,'Recipients REF'!G:G,"",0)</f>
        <v>5</v>
      </c>
      <c r="N933" s="43" t="str">
        <f t="array" ref="N933">XLOOKUP($A933,'Recipients REF'!$A:$A,'Recipients REF'!H:H,"",0)</f>
        <v>26523 &amp; 27704</v>
      </c>
      <c r="O933" s="44" t="s">
        <v>25</v>
      </c>
      <c r="P933" s="45" t="s">
        <v>26</v>
      </c>
      <c r="Q933" s="46" t="str">
        <f t="array" ref="Q933">XLOOKUP($A933,'Recipients REF'!$A:$A,'Recipients REF'!I:I,"",0)</f>
        <v>KMC5825 AJSFPV0140</v>
      </c>
      <c r="R933" s="53" t="str">
        <f t="array" ref="R933">XLOOKUP($A933,'Recipients REF'!$A:$A,'Recipients REF'!J:J,"",0)</f>
        <v>STS100165</v>
      </c>
      <c r="S933" s="45" t="s">
        <v>27</v>
      </c>
      <c r="T933" s="45" t="s">
        <v>28</v>
      </c>
      <c r="U933" s="46" t="str">
        <f t="array" ref="U933">XLOOKUP($A933,'Recipients REF'!$A:$A,'Recipients REF'!K:K,"",0)</f>
        <v>R-SERIES 292PH</v>
      </c>
      <c r="V933" s="44" t="s">
        <v>29</v>
      </c>
      <c r="W933" s="45" t="s">
        <v>30</v>
      </c>
      <c r="X933" s="53" t="str">
        <f t="array" ref="X933">XLOOKUP($A933,'Recipients REF'!$A:$A,'Recipients REF'!L:L,"",0)</f>
        <v>25080400</v>
      </c>
      <c r="Y933" s="48" t="s">
        <v>29</v>
      </c>
      <c r="Z933" s="48" t="s">
        <v>31</v>
      </c>
      <c r="AA933" s="54" t="str">
        <f t="array" ref="AA933">XLOOKUP($A933,'Recipients REF'!$A:$A,'Recipients REF'!M:M,"",0)</f>
        <v>25080868</v>
      </c>
      <c r="AB933" s="49"/>
      <c r="AC933" s="42"/>
      <c r="AD933" s="42"/>
      <c r="AE933" s="56">
        <v>8.69066063770292E14</v>
      </c>
      <c r="AF933" s="56" t="s">
        <v>1833</v>
      </c>
      <c r="AG933" s="42"/>
      <c r="AH933" s="42"/>
      <c r="AI933" s="42" t="str">
        <f t="array" ref="AI933">XLOOKUP($E933,Sheet11!$D:$D,Sheet11!$X:$X,"",0)</f>
        <v/>
      </c>
      <c r="AJ933" s="42" t="str">
        <f t="array" ref="AJ933">XLOOKUP($E933,Sheet11!$D:$D,Sheet11!$Y:$Y,"",0)</f>
        <v/>
      </c>
    </row>
    <row r="934">
      <c r="A934" s="41">
        <v>707.0</v>
      </c>
      <c r="B934" s="42" t="s">
        <v>1834</v>
      </c>
      <c r="C934" s="42" t="s">
        <v>1832</v>
      </c>
      <c r="D934" s="42"/>
      <c r="E934" s="42" t="str">
        <f t="shared" ref="E934:F934" si="935">PROPER(B934)</f>
        <v>Brgy. Bantog Anao Rang-Ay Iti Farmers Association Inc.</v>
      </c>
      <c r="F934" s="42" t="str">
        <f t="shared" si="935"/>
        <v>Bantog, Anao, Tarlac</v>
      </c>
      <c r="G934" s="42" t="str">
        <f t="shared" si="3"/>
        <v>Bantog</v>
      </c>
      <c r="H934" s="42" t="str">
        <f t="shared" si="4"/>
        <v>Anao</v>
      </c>
      <c r="I934" s="42" t="str">
        <f t="shared" si="5"/>
        <v>Tarlac</v>
      </c>
      <c r="J934" s="42" t="str">
        <f t="array" ref="J934">XLOOKUP($E934,'Recipients REF'!$B:$B,'Recipients REF'!D:D,"",0)</f>
        <v>JACKSON D. CARBONEL</v>
      </c>
      <c r="K934" s="42" t="str">
        <f t="array" ref="K934">XLOOKUP($E934,'Recipients REF'!$B:$B,'Recipients REF'!E:E,"",0)</f>
        <v>0905-199-8004</v>
      </c>
      <c r="L934" s="43" t="str">
        <f t="array" ref="L934">XLOOKUP($A934,'Recipients REF'!$A:$A,'Recipients REF'!F:F,"",0)</f>
        <v>RCEF 25-03-05</v>
      </c>
      <c r="M934" s="43">
        <f t="array" ref="M934">XLOOKUP($A934,'Recipients REF'!$A:$A,'Recipients REF'!G:G,"",0)</f>
        <v>5</v>
      </c>
      <c r="N934" s="43" t="str">
        <f t="array" ref="N934">XLOOKUP($A934,'Recipients REF'!$A:$A,'Recipients REF'!H:H,"",0)</f>
        <v>26524 &amp; 27705</v>
      </c>
      <c r="O934" s="44" t="s">
        <v>25</v>
      </c>
      <c r="P934" s="45" t="s">
        <v>26</v>
      </c>
      <c r="Q934" s="46" t="str">
        <f t="array" ref="Q934">XLOOKUP($A934,'Recipients REF'!$A:$A,'Recipients REF'!I:I,"",0)</f>
        <v>KMC5825 ACSFPV0164</v>
      </c>
      <c r="R934" s="53" t="str">
        <f t="array" ref="R934">XLOOKUP($A934,'Recipients REF'!$A:$A,'Recipients REF'!J:J,"",0)</f>
        <v>STS100169</v>
      </c>
      <c r="S934" s="45" t="s">
        <v>27</v>
      </c>
      <c r="T934" s="45" t="s">
        <v>28</v>
      </c>
      <c r="U934" s="46" t="str">
        <f t="array" ref="U934">XLOOKUP($A934,'Recipients REF'!$A:$A,'Recipients REF'!K:K,"",0)</f>
        <v>R-SERIES 307PH</v>
      </c>
      <c r="V934" s="44" t="s">
        <v>29</v>
      </c>
      <c r="W934" s="45" t="s">
        <v>30</v>
      </c>
      <c r="X934" s="53" t="str">
        <f t="array" ref="X934">XLOOKUP($A934,'Recipients REF'!$A:$A,'Recipients REF'!L:L,"",0)</f>
        <v>25080402</v>
      </c>
      <c r="Y934" s="48" t="s">
        <v>29</v>
      </c>
      <c r="Z934" s="48" t="s">
        <v>31</v>
      </c>
      <c r="AA934" s="54" t="str">
        <f t="array" ref="AA934">XLOOKUP($A934,'Recipients REF'!$A:$A,'Recipients REF'!M:M,"",0)</f>
        <v>25080851</v>
      </c>
      <c r="AB934" s="49"/>
      <c r="AC934" s="42"/>
      <c r="AD934" s="42"/>
      <c r="AE934" s="56">
        <v>8.69066063761226E14</v>
      </c>
      <c r="AF934" s="56" t="s">
        <v>1835</v>
      </c>
      <c r="AG934" s="42"/>
      <c r="AH934" s="42"/>
      <c r="AI934" s="42" t="str">
        <f t="array" ref="AI934">XLOOKUP($E934,Sheet11!$D:$D,Sheet11!$X:$X,"",0)</f>
        <v/>
      </c>
      <c r="AJ934" s="42" t="str">
        <f t="array" ref="AJ934">XLOOKUP($E934,Sheet11!$D:$D,Sheet11!$Y:$Y,"",0)</f>
        <v/>
      </c>
    </row>
    <row r="935">
      <c r="A935" s="41">
        <v>131.0</v>
      </c>
      <c r="B935" s="42" t="s">
        <v>1836</v>
      </c>
      <c r="C935" s="42" t="s">
        <v>1837</v>
      </c>
      <c r="D935" s="42"/>
      <c r="E935" s="42" t="str">
        <f t="shared" ref="E935:F935" si="936">PROPER(B935)</f>
        <v>Bamban Agricultural Farmers Association</v>
      </c>
      <c r="F935" s="42" t="str">
        <f t="shared" si="936"/>
        <v>Anupul, Bamban, Tarlac</v>
      </c>
      <c r="G935" s="42" t="str">
        <f t="shared" si="3"/>
        <v>Anupul</v>
      </c>
      <c r="H935" s="42" t="str">
        <f t="shared" si="4"/>
        <v>Bamban</v>
      </c>
      <c r="I935" s="42" t="str">
        <f t="shared" si="5"/>
        <v>Tarlac</v>
      </c>
      <c r="J935" s="42" t="str">
        <f t="array" ref="J935">XLOOKUP($E935,'Recipients REF'!$B:$B,'Recipients REF'!D:D,"",0)</f>
        <v>Yolanda S. Eduarte</v>
      </c>
      <c r="K935" s="42" t="str">
        <f t="array" ref="K935">XLOOKUP($E935,'Recipients REF'!$B:$B,'Recipients REF'!E:E,"",0)</f>
        <v>0949-991-7900 / 0961-284-4792</v>
      </c>
      <c r="L935" s="43" t="str">
        <f t="array" ref="L935">XLOOKUP($A935,'Recipients REF'!$A:$A,'Recipients REF'!F:F,"",0)</f>
        <v>RCEF 23-09-21 Rebidding</v>
      </c>
      <c r="M935" s="43">
        <f t="array" ref="M935">XLOOKUP($A935,'Recipients REF'!$A:$A,'Recipients REF'!G:G,"",0)</f>
        <v>3</v>
      </c>
      <c r="N935" s="43">
        <f t="array" ref="N935">XLOOKUP($A935,'Recipients REF'!$A:$A,'Recipients REF'!H:H,"",0)</f>
        <v>17815</v>
      </c>
      <c r="O935" s="44" t="s">
        <v>25</v>
      </c>
      <c r="P935" s="45" t="s">
        <v>26</v>
      </c>
      <c r="Q935" s="46" t="str">
        <f t="array" ref="Q935">XLOOKUP($A935,'Recipients REF'!$A:$A,'Recipients REF'!I:I,"",0)</f>
        <v>KMC5825 AJPFPV0078</v>
      </c>
      <c r="R935" s="47" t="str">
        <f t="array" ref="R935">XLOOKUP($A935,'Recipients REF'!$A:$A,'Recipients REF'!J:J,"",0)</f>
        <v>PTS100153</v>
      </c>
      <c r="S935" s="45" t="s">
        <v>27</v>
      </c>
      <c r="T935" s="45" t="s">
        <v>28</v>
      </c>
      <c r="U935" s="46" t="str">
        <f t="array" ref="U935">XLOOKUP($A935,'Recipients REF'!$A:$A,'Recipients REF'!K:K,"",0)</f>
        <v>R-SERIES 092PH</v>
      </c>
      <c r="V935" s="44" t="s">
        <v>29</v>
      </c>
      <c r="W935" s="45" t="s">
        <v>30</v>
      </c>
      <c r="X935" s="47" t="str">
        <f t="array" ref="X935">XLOOKUP($A935,'Recipients REF'!$A:$A,'Recipients REF'!L:L,"",0)</f>
        <v>LSGW1750-RMP-2312097</v>
      </c>
      <c r="Y935" s="48" t="s">
        <v>29</v>
      </c>
      <c r="Z935" s="48" t="s">
        <v>31</v>
      </c>
      <c r="AA935" s="46" t="str">
        <f t="array" ref="AA935">XLOOKUP($A935,'Recipients REF'!$A:$A,'Recipients REF'!M:M,"",0)</f>
        <v>WDP40-RMP-2312051</v>
      </c>
      <c r="AB935" s="49"/>
      <c r="AC935" s="42"/>
      <c r="AD935" s="42"/>
      <c r="AE935" s="56">
        <v>8.6906606024062E14</v>
      </c>
      <c r="AF935" s="56">
        <v>9.695079355E9</v>
      </c>
      <c r="AG935" s="42"/>
      <c r="AH935" s="42"/>
      <c r="AI935" s="42">
        <f t="array" ref="AI935">XLOOKUP($E935,Sheet11!$D:$D,Sheet11!$X:$X,"",0)</f>
        <v>869066060240620</v>
      </c>
      <c r="AJ935" s="42">
        <f t="array" ref="AJ935">XLOOKUP($E935,Sheet11!$D:$D,Sheet11!$Y:$Y,"",0)</f>
        <v>9695079355</v>
      </c>
    </row>
    <row r="936">
      <c r="A936" s="41">
        <v>117.0</v>
      </c>
      <c r="B936" s="42" t="s">
        <v>1838</v>
      </c>
      <c r="C936" s="42" t="s">
        <v>1839</v>
      </c>
      <c r="D936" s="42"/>
      <c r="E936" s="42" t="str">
        <f t="shared" ref="E936:F936" si="937">PROPER(B936)</f>
        <v>Tambugan Farmers Association</v>
      </c>
      <c r="F936" s="42" t="str">
        <f t="shared" si="937"/>
        <v>Tambugan, Camiling, Tarlac</v>
      </c>
      <c r="G936" s="42" t="str">
        <f t="shared" si="3"/>
        <v>Tambugan</v>
      </c>
      <c r="H936" s="42" t="str">
        <f t="shared" si="4"/>
        <v>Camiling</v>
      </c>
      <c r="I936" s="42" t="str">
        <f t="shared" si="5"/>
        <v>Tarlac</v>
      </c>
      <c r="J936" s="42" t="str">
        <f t="array" ref="J936">XLOOKUP($E936,'Recipients REF'!$B:$B,'Recipients REF'!D:D,"",0)</f>
        <v>Reynaldo L. Datuin</v>
      </c>
      <c r="K936" s="42" t="str">
        <f t="array" ref="K936">XLOOKUP($E936,'Recipients REF'!$B:$B,'Recipients REF'!E:E,"",0)</f>
        <v>0946-053-7727</v>
      </c>
      <c r="L936" s="43" t="str">
        <f t="array" ref="L936">XLOOKUP($A936,'Recipients REF'!$A:$A,'Recipients REF'!F:F,"",0)</f>
        <v>RCEF 23-09-21 Rebidding</v>
      </c>
      <c r="M936" s="43">
        <f t="array" ref="M936">XLOOKUP($A936,'Recipients REF'!$A:$A,'Recipients REF'!G:G,"",0)</f>
        <v>3</v>
      </c>
      <c r="N936" s="43">
        <f t="array" ref="N936">XLOOKUP($A936,'Recipients REF'!$A:$A,'Recipients REF'!H:H,"",0)</f>
        <v>17801</v>
      </c>
      <c r="O936" s="44" t="s">
        <v>25</v>
      </c>
      <c r="P936" s="45" t="s">
        <v>26</v>
      </c>
      <c r="Q936" s="46" t="str">
        <f t="array" ref="Q936">XLOOKUP($A936,'Recipients REF'!$A:$A,'Recipients REF'!I:I,"",0)</f>
        <v>KMC5825 ACPFPV0051</v>
      </c>
      <c r="R936" s="47" t="str">
        <f t="array" ref="R936">XLOOKUP($A936,'Recipients REF'!$A:$A,'Recipients REF'!J:J,"",0)</f>
        <v>PTS100062</v>
      </c>
      <c r="S936" s="45" t="s">
        <v>27</v>
      </c>
      <c r="T936" s="45" t="s">
        <v>28</v>
      </c>
      <c r="U936" s="46" t="str">
        <f t="array" ref="U936">XLOOKUP($A936,'Recipients REF'!$A:$A,'Recipients REF'!K:K,"",0)</f>
        <v>R-SERIES 048PH</v>
      </c>
      <c r="V936" s="44" t="s">
        <v>29</v>
      </c>
      <c r="W936" s="45" t="s">
        <v>30</v>
      </c>
      <c r="X936" s="47" t="str">
        <f t="array" ref="X936">XLOOKUP($A936,'Recipients REF'!$A:$A,'Recipients REF'!L:L,"",0)</f>
        <v>LSGW1750-RMP-2312020</v>
      </c>
      <c r="Y936" s="48" t="s">
        <v>29</v>
      </c>
      <c r="Z936" s="48" t="s">
        <v>31</v>
      </c>
      <c r="AA936" s="46" t="str">
        <f t="array" ref="AA936">XLOOKUP($A936,'Recipients REF'!$A:$A,'Recipients REF'!M:M,"",0)</f>
        <v>WDP40-RMP-2312044</v>
      </c>
      <c r="AB936" s="49"/>
      <c r="AC936" s="42"/>
      <c r="AD936" s="42"/>
      <c r="AE936" s="50"/>
      <c r="AF936" s="42"/>
      <c r="AG936" s="42"/>
      <c r="AH936" s="42"/>
      <c r="AI936" s="42">
        <f t="array" ref="AI936">XLOOKUP($E936,Sheet11!$D:$D,Sheet11!$X:$X,"",0)</f>
        <v>869066060244895</v>
      </c>
      <c r="AJ936" s="42">
        <f t="array" ref="AJ936">XLOOKUP($E936,Sheet11!$D:$D,Sheet11!$Y:$Y,"",0)</f>
        <v>9691894971</v>
      </c>
    </row>
    <row r="937">
      <c r="A937" s="41">
        <v>708.0</v>
      </c>
      <c r="B937" s="42" t="s">
        <v>1840</v>
      </c>
      <c r="C937" s="42" t="s">
        <v>1841</v>
      </c>
      <c r="D937" s="42"/>
      <c r="E937" s="42" t="str">
        <f t="shared" ref="E937:F937" si="938">PROPER(B937)</f>
        <v>Cabanabaan Farmer'S Livelihood Association Incorporation</v>
      </c>
      <c r="F937" s="42" t="str">
        <f t="shared" si="938"/>
        <v>Cabanabaan, Camiling, Tarlac</v>
      </c>
      <c r="G937" s="42" t="str">
        <f t="shared" si="3"/>
        <v>Cabanabaan</v>
      </c>
      <c r="H937" s="42" t="str">
        <f t="shared" si="4"/>
        <v>Camiling</v>
      </c>
      <c r="I937" s="42" t="str">
        <f t="shared" si="5"/>
        <v>Tarlac</v>
      </c>
      <c r="J937" s="42" t="str">
        <f t="array" ref="J937">XLOOKUP($E937,'Recipients REF'!$B:$B,'Recipients REF'!D:D,"",0)</f>
        <v>Franciscco D. Gervacio Jr.</v>
      </c>
      <c r="K937" s="42">
        <f t="array" ref="K937">XLOOKUP($E937,'Recipients REF'!$B:$B,'Recipients REF'!E:E,"",0)</f>
        <v>9459742277</v>
      </c>
      <c r="L937" s="43" t="str">
        <f t="array" ref="L937">XLOOKUP($A937,'Recipients REF'!$A:$A,'Recipients REF'!F:F,"",0)</f>
        <v>RCEF 25-03-05</v>
      </c>
      <c r="M937" s="43">
        <f t="array" ref="M937">XLOOKUP($A937,'Recipients REF'!$A:$A,'Recipients REF'!G:G,"",0)</f>
        <v>5</v>
      </c>
      <c r="N937" s="43" t="str">
        <f t="array" ref="N937">XLOOKUP($A937,'Recipients REF'!$A:$A,'Recipients REF'!H:H,"",0)</f>
        <v>26525 &amp; 27706</v>
      </c>
      <c r="O937" s="44" t="s">
        <v>25</v>
      </c>
      <c r="P937" s="45" t="s">
        <v>26</v>
      </c>
      <c r="Q937" s="46" t="str">
        <f t="array" ref="Q937">XLOOKUP($A937,'Recipients REF'!$A:$A,'Recipients REF'!I:I,"",0)</f>
        <v>KMC5825 ACSFPV0107</v>
      </c>
      <c r="R937" s="53" t="str">
        <f t="array" ref="R937">XLOOKUP($A937,'Recipients REF'!$A:$A,'Recipients REF'!J:J,"",0)</f>
        <v>STS100155</v>
      </c>
      <c r="S937" s="45" t="s">
        <v>27</v>
      </c>
      <c r="T937" s="45" t="s">
        <v>28</v>
      </c>
      <c r="U937" s="46" t="str">
        <f t="array" ref="U937">XLOOKUP($A937,'Recipients REF'!$A:$A,'Recipients REF'!K:K,"",0)</f>
        <v>R-SERIES 308PH</v>
      </c>
      <c r="V937" s="44" t="s">
        <v>29</v>
      </c>
      <c r="W937" s="45" t="s">
        <v>30</v>
      </c>
      <c r="X937" s="53" t="str">
        <f t="array" ref="X937">XLOOKUP($A937,'Recipients REF'!$A:$A,'Recipients REF'!L:L,"",0)</f>
        <v>25080419</v>
      </c>
      <c r="Y937" s="48" t="s">
        <v>29</v>
      </c>
      <c r="Z937" s="48" t="s">
        <v>31</v>
      </c>
      <c r="AA937" s="54" t="str">
        <f t="array" ref="AA937">XLOOKUP($A937,'Recipients REF'!$A:$A,'Recipients REF'!M:M,"",0)</f>
        <v>25080887</v>
      </c>
      <c r="AB937" s="49"/>
      <c r="AC937" s="42"/>
      <c r="AD937" s="42"/>
      <c r="AE937" s="50"/>
      <c r="AF937" s="42"/>
      <c r="AG937" s="42"/>
      <c r="AH937" s="42"/>
      <c r="AI937" s="42" t="str">
        <f t="array" ref="AI937">XLOOKUP($E937,Sheet11!$D:$D,Sheet11!$X:$X,"",0)</f>
        <v/>
      </c>
      <c r="AJ937" s="42" t="str">
        <f t="array" ref="AJ937">XLOOKUP($E937,Sheet11!$D:$D,Sheet11!$Y:$Y,"",0)</f>
        <v/>
      </c>
    </row>
    <row r="938">
      <c r="A938" s="41">
        <v>709.0</v>
      </c>
      <c r="B938" s="42" t="s">
        <v>1842</v>
      </c>
      <c r="C938" s="42" t="s">
        <v>1843</v>
      </c>
      <c r="D938" s="42"/>
      <c r="E938" s="42" t="str">
        <f t="shared" ref="E938:F938" si="939">PROPER(B938)</f>
        <v>Sinbacama Farmers Irrigators Association Inc.</v>
      </c>
      <c r="F938" s="42" t="str">
        <f t="shared" si="939"/>
        <v>Matubog, Camiling, Tarlac</v>
      </c>
      <c r="G938" s="42" t="str">
        <f t="shared" si="3"/>
        <v>Matubog</v>
      </c>
      <c r="H938" s="42" t="str">
        <f t="shared" si="4"/>
        <v>Camiling</v>
      </c>
      <c r="I938" s="42" t="str">
        <f t="shared" si="5"/>
        <v>Tarlac</v>
      </c>
      <c r="J938" s="42" t="str">
        <f t="array" ref="J938">XLOOKUP($E938,'Recipients REF'!$B:$B,'Recipients REF'!D:D,"",0)</f>
        <v>Leo L. Lucero</v>
      </c>
      <c r="K938" s="42">
        <f t="array" ref="K938">XLOOKUP($E938,'Recipients REF'!$B:$B,'Recipients REF'!E:E,"",0)</f>
        <v>9087286446</v>
      </c>
      <c r="L938" s="43" t="str">
        <f t="array" ref="L938">XLOOKUP($A938,'Recipients REF'!$A:$A,'Recipients REF'!F:F,"",0)</f>
        <v>RCEF 25-03-05</v>
      </c>
      <c r="M938" s="43">
        <f t="array" ref="M938">XLOOKUP($A938,'Recipients REF'!$A:$A,'Recipients REF'!G:G,"",0)</f>
        <v>5</v>
      </c>
      <c r="N938" s="43" t="str">
        <f t="array" ref="N938">XLOOKUP($A938,'Recipients REF'!$A:$A,'Recipients REF'!H:H,"",0)</f>
        <v>26526 &amp; 27707</v>
      </c>
      <c r="O938" s="44" t="s">
        <v>25</v>
      </c>
      <c r="P938" s="45" t="s">
        <v>26</v>
      </c>
      <c r="Q938" s="46" t="str">
        <f t="array" ref="Q938">XLOOKUP($A938,'Recipients REF'!$A:$A,'Recipients REF'!I:I,"",0)</f>
        <v>KMC5825 ATSFPV0098</v>
      </c>
      <c r="R938" s="53" t="str">
        <f t="array" ref="R938">XLOOKUP($A938,'Recipients REF'!$A:$A,'Recipients REF'!J:J,"",0)</f>
        <v>STS100157</v>
      </c>
      <c r="S938" s="45" t="s">
        <v>27</v>
      </c>
      <c r="T938" s="45" t="s">
        <v>28</v>
      </c>
      <c r="U938" s="46" t="str">
        <f t="array" ref="U938">XLOOKUP($A938,'Recipients REF'!$A:$A,'Recipients REF'!K:K,"",0)</f>
        <v>R-SERIES 302PH</v>
      </c>
      <c r="V938" s="44" t="s">
        <v>29</v>
      </c>
      <c r="W938" s="45" t="s">
        <v>30</v>
      </c>
      <c r="X938" s="53" t="str">
        <f t="array" ref="X938">XLOOKUP($A938,'Recipients REF'!$A:$A,'Recipients REF'!L:L,"",0)</f>
        <v>25080418</v>
      </c>
      <c r="Y938" s="48" t="s">
        <v>29</v>
      </c>
      <c r="Z938" s="48" t="s">
        <v>31</v>
      </c>
      <c r="AA938" s="54" t="str">
        <f t="array" ref="AA938">XLOOKUP($A938,'Recipients REF'!$A:$A,'Recipients REF'!M:M,"",0)</f>
        <v>25080862</v>
      </c>
      <c r="AB938" s="49"/>
      <c r="AC938" s="42"/>
      <c r="AD938" s="42"/>
      <c r="AE938" s="50"/>
      <c r="AF938" s="42"/>
      <c r="AG938" s="42"/>
      <c r="AH938" s="42"/>
      <c r="AI938" s="42" t="str">
        <f t="array" ref="AI938">XLOOKUP($E938,Sheet11!$D:$D,Sheet11!$X:$X,"",0)</f>
        <v/>
      </c>
      <c r="AJ938" s="42" t="str">
        <f t="array" ref="AJ938">XLOOKUP($E938,Sheet11!$D:$D,Sheet11!$Y:$Y,"",0)</f>
        <v/>
      </c>
    </row>
    <row r="939">
      <c r="A939" s="41">
        <v>710.0</v>
      </c>
      <c r="B939" s="42" t="s">
        <v>1844</v>
      </c>
      <c r="C939" s="42" t="s">
        <v>1845</v>
      </c>
      <c r="D939" s="42"/>
      <c r="E939" s="42" t="str">
        <f t="shared" ref="E939:F939" si="940">PROPER(B939)</f>
        <v>Sta. Maria Kapatanian Agriculture Cooperative</v>
      </c>
      <c r="F939" s="42" t="str">
        <f t="shared" si="940"/>
        <v>Santa Maria, Camiling, Tarlac</v>
      </c>
      <c r="G939" s="42" t="str">
        <f t="shared" si="3"/>
        <v>Santa Maria</v>
      </c>
      <c r="H939" s="42" t="str">
        <f t="shared" si="4"/>
        <v>Camiling</v>
      </c>
      <c r="I939" s="42" t="str">
        <f t="shared" si="5"/>
        <v>Tarlac</v>
      </c>
      <c r="J939" s="42" t="str">
        <f t="array" ref="J939">XLOOKUP($E939,'Recipients REF'!$B:$B,'Recipients REF'!D:D,"",0)</f>
        <v>Luis G. Agustin</v>
      </c>
      <c r="K939" s="42">
        <f t="array" ref="K939">XLOOKUP($E939,'Recipients REF'!$B:$B,'Recipients REF'!E:E,"",0)</f>
        <v>9691064703</v>
      </c>
      <c r="L939" s="43" t="str">
        <f t="array" ref="L939">XLOOKUP($A939,'Recipients REF'!$A:$A,'Recipients REF'!F:F,"",0)</f>
        <v>RCEF 25-03-05</v>
      </c>
      <c r="M939" s="43">
        <f t="array" ref="M939">XLOOKUP($A939,'Recipients REF'!$A:$A,'Recipients REF'!G:G,"",0)</f>
        <v>5</v>
      </c>
      <c r="N939" s="43" t="str">
        <f t="array" ref="N939">XLOOKUP($A939,'Recipients REF'!$A:$A,'Recipients REF'!H:H,"",0)</f>
        <v>26527 &amp; 27708</v>
      </c>
      <c r="O939" s="44" t="s">
        <v>25</v>
      </c>
      <c r="P939" s="45" t="s">
        <v>26</v>
      </c>
      <c r="Q939" s="46" t="str">
        <f t="array" ref="Q939">XLOOKUP($A939,'Recipients REF'!$A:$A,'Recipients REF'!I:I,"",0)</f>
        <v>KMC5825 ACSFPV0116</v>
      </c>
      <c r="R939" s="53" t="str">
        <f t="array" ref="R939">XLOOKUP($A939,'Recipients REF'!$A:$A,'Recipients REF'!J:J,"",0)</f>
        <v>STS100145</v>
      </c>
      <c r="S939" s="45" t="s">
        <v>27</v>
      </c>
      <c r="T939" s="45" t="s">
        <v>28</v>
      </c>
      <c r="U939" s="46" t="str">
        <f t="array" ref="U939">XLOOKUP($A939,'Recipients REF'!$A:$A,'Recipients REF'!K:K,"",0)</f>
        <v>R-SERIES 236PH</v>
      </c>
      <c r="V939" s="44" t="s">
        <v>29</v>
      </c>
      <c r="W939" s="45" t="s">
        <v>30</v>
      </c>
      <c r="X939" s="53" t="str">
        <f t="array" ref="X939">XLOOKUP($A939,'Recipients REF'!$A:$A,'Recipients REF'!L:L,"",0)</f>
        <v>25080395</v>
      </c>
      <c r="Y939" s="48" t="s">
        <v>29</v>
      </c>
      <c r="Z939" s="48" t="s">
        <v>31</v>
      </c>
      <c r="AA939" s="54" t="str">
        <f t="array" ref="AA939">XLOOKUP($A939,'Recipients REF'!$A:$A,'Recipients REF'!M:M,"",0)</f>
        <v>25080883</v>
      </c>
      <c r="AB939" s="49"/>
      <c r="AC939" s="42"/>
      <c r="AD939" s="42"/>
      <c r="AE939" s="50"/>
      <c r="AF939" s="42"/>
      <c r="AG939" s="42"/>
      <c r="AH939" s="42"/>
      <c r="AI939" s="42" t="str">
        <f t="array" ref="AI939">XLOOKUP($E939,Sheet11!$D:$D,Sheet11!$X:$X,"",0)</f>
        <v/>
      </c>
      <c r="AJ939" s="42" t="str">
        <f t="array" ref="AJ939">XLOOKUP($E939,Sheet11!$D:$D,Sheet11!$Y:$Y,"",0)</f>
        <v/>
      </c>
    </row>
    <row r="940">
      <c r="A940" s="41">
        <v>132.0</v>
      </c>
      <c r="B940" s="42" t="s">
        <v>1846</v>
      </c>
      <c r="C940" s="42" t="s">
        <v>1847</v>
      </c>
      <c r="D940" s="42"/>
      <c r="E940" s="42" t="str">
        <f t="shared" ref="E940:F940" si="941">PROPER(B940)</f>
        <v>Lucky 9 Farmers Agriculture Cooperative</v>
      </c>
      <c r="F940" s="42" t="str">
        <f t="shared" si="941"/>
        <v>Dolores, Capas, Tarlac</v>
      </c>
      <c r="G940" s="42" t="str">
        <f t="shared" si="3"/>
        <v>Dolores</v>
      </c>
      <c r="H940" s="42" t="str">
        <f t="shared" si="4"/>
        <v>Capas</v>
      </c>
      <c r="I940" s="42" t="str">
        <f t="shared" si="5"/>
        <v>Tarlac</v>
      </c>
      <c r="J940" s="42" t="str">
        <f t="array" ref="J940">XLOOKUP($E940,'Recipients REF'!$B:$B,'Recipients REF'!D:D,"",0)</f>
        <v>Gerardo S. Garcia</v>
      </c>
      <c r="K940" s="42" t="str">
        <f t="array" ref="K940">XLOOKUP($E940,'Recipients REF'!$B:$B,'Recipients REF'!E:E,"",0)</f>
        <v>0907-964-6260</v>
      </c>
      <c r="L940" s="43" t="str">
        <f t="array" ref="L940">XLOOKUP($A940,'Recipients REF'!$A:$A,'Recipients REF'!F:F,"",0)</f>
        <v>RCEF 23-09-21 Rebidding</v>
      </c>
      <c r="M940" s="43">
        <f t="array" ref="M940">XLOOKUP($A940,'Recipients REF'!$A:$A,'Recipients REF'!G:G,"",0)</f>
        <v>3</v>
      </c>
      <c r="N940" s="43">
        <f t="array" ref="N940">XLOOKUP($A940,'Recipients REF'!$A:$A,'Recipients REF'!H:H,"",0)</f>
        <v>17816</v>
      </c>
      <c r="O940" s="44" t="s">
        <v>25</v>
      </c>
      <c r="P940" s="45" t="s">
        <v>26</v>
      </c>
      <c r="Q940" s="46" t="str">
        <f t="array" ref="Q940">XLOOKUP($A940,'Recipients REF'!$A:$A,'Recipients REF'!I:I,"",0)</f>
        <v>KMC5825 AAPFPV0084</v>
      </c>
      <c r="R940" s="47" t="str">
        <f t="array" ref="R940">XLOOKUP($A940,'Recipients REF'!$A:$A,'Recipients REF'!J:J,"",0)</f>
        <v>PTS100156</v>
      </c>
      <c r="S940" s="45" t="s">
        <v>27</v>
      </c>
      <c r="T940" s="45" t="s">
        <v>28</v>
      </c>
      <c r="U940" s="46" t="str">
        <f t="array" ref="U940">XLOOKUP($A940,'Recipients REF'!$A:$A,'Recipients REF'!K:K,"",0)</f>
        <v>R-SERIES 040PH</v>
      </c>
      <c r="V940" s="44" t="s">
        <v>29</v>
      </c>
      <c r="W940" s="45" t="s">
        <v>30</v>
      </c>
      <c r="X940" s="47" t="str">
        <f t="array" ref="X940">XLOOKUP($A940,'Recipients REF'!$A:$A,'Recipients REF'!L:L,"",0)</f>
        <v>LSGW1750-RMP-2312096</v>
      </c>
      <c r="Y940" s="48" t="s">
        <v>29</v>
      </c>
      <c r="Z940" s="48" t="s">
        <v>31</v>
      </c>
      <c r="AA940" s="46" t="str">
        <f t="array" ref="AA940">XLOOKUP($A940,'Recipients REF'!$A:$A,'Recipients REF'!M:M,"",0)</f>
        <v>WDP40-RMP-2312016</v>
      </c>
      <c r="AB940" s="49"/>
      <c r="AC940" s="42"/>
      <c r="AD940" s="42"/>
      <c r="AE940" s="56">
        <v>8.69066060242469E14</v>
      </c>
      <c r="AF940" s="56" t="s">
        <v>1848</v>
      </c>
      <c r="AG940" s="42"/>
      <c r="AH940" s="42"/>
      <c r="AI940" s="42">
        <f t="array" ref="AI940">XLOOKUP($E940,Sheet11!$D:$D,Sheet11!$X:$X,"",0)</f>
        <v>869066060242469</v>
      </c>
      <c r="AJ940" s="42">
        <f t="array" ref="AJ940">XLOOKUP($E940,Sheet11!$D:$D,Sheet11!$Y:$Y,"",0)</f>
        <v>9694612121</v>
      </c>
    </row>
    <row r="941">
      <c r="A941" s="41">
        <v>133.0</v>
      </c>
      <c r="B941" s="42" t="s">
        <v>1849</v>
      </c>
      <c r="C941" s="42" t="s">
        <v>1850</v>
      </c>
      <c r="D941" s="42"/>
      <c r="E941" s="42" t="str">
        <f t="shared" ref="E941:F941" si="942">PROPER(B941)</f>
        <v>One Binyayan Farmers Agriculture Cooperative</v>
      </c>
      <c r="F941" s="42" t="str">
        <f t="shared" si="942"/>
        <v>O'Donnell, Capas, Tarlac</v>
      </c>
      <c r="G941" s="42" t="str">
        <f t="shared" si="3"/>
        <v>O'Donnell</v>
      </c>
      <c r="H941" s="42" t="str">
        <f t="shared" si="4"/>
        <v>Capas</v>
      </c>
      <c r="I941" s="42" t="str">
        <f t="shared" si="5"/>
        <v>Tarlac</v>
      </c>
      <c r="J941" s="42" t="str">
        <f t="array" ref="J941">XLOOKUP($E941,'Recipients REF'!$B:$B,'Recipients REF'!D:D,"",0)</f>
        <v>Aurelia M. Vistan</v>
      </c>
      <c r="K941" s="42" t="str">
        <f t="array" ref="K941">XLOOKUP($E941,'Recipients REF'!$B:$B,'Recipients REF'!E:E,"",0)</f>
        <v>0908-716-5492</v>
      </c>
      <c r="L941" s="43" t="str">
        <f t="array" ref="L941">XLOOKUP($A941,'Recipients REF'!$A:$A,'Recipients REF'!F:F,"",0)</f>
        <v>RCEF 23-09-21 Rebidding</v>
      </c>
      <c r="M941" s="43">
        <f t="array" ref="M941">XLOOKUP($A941,'Recipients REF'!$A:$A,'Recipients REF'!G:G,"",0)</f>
        <v>3</v>
      </c>
      <c r="N941" s="43">
        <f t="array" ref="N941">XLOOKUP($A941,'Recipients REF'!$A:$A,'Recipients REF'!H:H,"",0)</f>
        <v>17817</v>
      </c>
      <c r="O941" s="44" t="s">
        <v>25</v>
      </c>
      <c r="P941" s="45" t="s">
        <v>26</v>
      </c>
      <c r="Q941" s="46" t="str">
        <f t="array" ref="Q941">XLOOKUP($A941,'Recipients REF'!$A:$A,'Recipients REF'!I:I,"",0)</f>
        <v>KMC5825 AAPFPV0117</v>
      </c>
      <c r="R941" s="47" t="str">
        <f t="array" ref="R941">XLOOKUP($A941,'Recipients REF'!$A:$A,'Recipients REF'!J:J,"",0)</f>
        <v>PTS100044</v>
      </c>
      <c r="S941" s="45" t="s">
        <v>27</v>
      </c>
      <c r="T941" s="45" t="s">
        <v>28</v>
      </c>
      <c r="U941" s="46" t="str">
        <f t="array" ref="U941">XLOOKUP($A941,'Recipients REF'!$A:$A,'Recipients REF'!K:K,"",0)</f>
        <v>R-SERIES 059PH</v>
      </c>
      <c r="V941" s="44" t="s">
        <v>29</v>
      </c>
      <c r="W941" s="45" t="s">
        <v>30</v>
      </c>
      <c r="X941" s="47" t="str">
        <f t="array" ref="X941">XLOOKUP($A941,'Recipients REF'!$A:$A,'Recipients REF'!L:L,"",0)</f>
        <v>LSGW1750-RMP-2312005</v>
      </c>
      <c r="Y941" s="48" t="s">
        <v>29</v>
      </c>
      <c r="Z941" s="48" t="s">
        <v>31</v>
      </c>
      <c r="AA941" s="46" t="str">
        <f t="array" ref="AA941">XLOOKUP($A941,'Recipients REF'!$A:$A,'Recipients REF'!M:M,"",0)</f>
        <v>WDP40-RMP-2312039</v>
      </c>
      <c r="AB941" s="49"/>
      <c r="AC941" s="42"/>
      <c r="AD941" s="42"/>
      <c r="AE941" s="50"/>
      <c r="AF941" s="42"/>
      <c r="AG941" s="42"/>
      <c r="AH941" s="42"/>
      <c r="AI941" s="42">
        <f t="array" ref="AI941">XLOOKUP($E941,Sheet11!$D:$D,Sheet11!$X:$X,"",0)</f>
        <v>869066060242402</v>
      </c>
      <c r="AJ941" s="42">
        <f t="array" ref="AJ941">XLOOKUP($E941,Sheet11!$D:$D,Sheet11!$Y:$Y,"",0)</f>
        <v>9695130375</v>
      </c>
    </row>
    <row r="942">
      <c r="A942" s="41">
        <v>722.0</v>
      </c>
      <c r="B942" s="42" t="s">
        <v>1851</v>
      </c>
      <c r="C942" s="42" t="s">
        <v>1852</v>
      </c>
      <c r="D942" s="42"/>
      <c r="E942" s="42" t="str">
        <f t="shared" ref="E942:F942" si="943">PROPER(B942)</f>
        <v>Aranguren Agriculture Cooperative (Aa Coop)</v>
      </c>
      <c r="F942" s="42" t="str">
        <f t="shared" si="943"/>
        <v>Aranguren, Capas, Tarlac</v>
      </c>
      <c r="G942" s="42" t="str">
        <f t="shared" si="3"/>
        <v>Aranguren</v>
      </c>
      <c r="H942" s="42" t="str">
        <f t="shared" si="4"/>
        <v>Capas</v>
      </c>
      <c r="I942" s="42" t="str">
        <f t="shared" si="5"/>
        <v>Tarlac</v>
      </c>
      <c r="J942" s="42" t="str">
        <f t="array" ref="J942">XLOOKUP($E942,'Recipients REF'!$B:$B,'Recipients REF'!D:D,"",0)</f>
        <v>BENEDICT S. MACALOLOOY</v>
      </c>
      <c r="K942" s="42" t="str">
        <f t="array" ref="K942">XLOOKUP($E942,'Recipients REF'!$B:$B,'Recipients REF'!E:E,"",0)</f>
        <v>0930-238-7766</v>
      </c>
      <c r="L942" s="43" t="str">
        <f t="array" ref="L942">XLOOKUP($A942,'Recipients REF'!$A:$A,'Recipients REF'!F:F,"",0)</f>
        <v>RCEF 25-03-05</v>
      </c>
      <c r="M942" s="43">
        <f t="array" ref="M942">XLOOKUP($A942,'Recipients REF'!$A:$A,'Recipients REF'!G:G,"",0)</f>
        <v>5</v>
      </c>
      <c r="N942" s="43" t="str">
        <f t="array" ref="N942">XLOOKUP($A942,'Recipients REF'!$A:$A,'Recipients REF'!H:H,"",0)</f>
        <v>26539 &amp; 27720</v>
      </c>
      <c r="O942" s="44" t="s">
        <v>25</v>
      </c>
      <c r="P942" s="45" t="s">
        <v>26</v>
      </c>
      <c r="Q942" s="46" t="str">
        <f t="array" ref="Q942">XLOOKUP($A942,'Recipients REF'!$A:$A,'Recipients REF'!I:I,"",0)</f>
        <v>KMC5825 APSFPV0149</v>
      </c>
      <c r="R942" s="53" t="str">
        <f t="array" ref="R942">XLOOKUP($A942,'Recipients REF'!$A:$A,'Recipients REF'!J:J,"",0)</f>
        <v>STS100142</v>
      </c>
      <c r="S942" s="45" t="s">
        <v>27</v>
      </c>
      <c r="T942" s="45" t="s">
        <v>28</v>
      </c>
      <c r="U942" s="46" t="str">
        <f t="array" ref="U942">XLOOKUP($A942,'Recipients REF'!$A:$A,'Recipients REF'!K:K,"",0)</f>
        <v>R-SERIES 282PH</v>
      </c>
      <c r="V942" s="44" t="s">
        <v>29</v>
      </c>
      <c r="W942" s="45" t="s">
        <v>30</v>
      </c>
      <c r="X942" s="53" t="str">
        <f t="array" ref="X942">XLOOKUP($A942,'Recipients REF'!$A:$A,'Recipients REF'!L:L,"",0)</f>
        <v>25080401</v>
      </c>
      <c r="Y942" s="48" t="s">
        <v>29</v>
      </c>
      <c r="Z942" s="48" t="s">
        <v>31</v>
      </c>
      <c r="AA942" s="54" t="str">
        <f t="array" ref="AA942">XLOOKUP($A942,'Recipients REF'!$A:$A,'Recipients REF'!M:M,"",0)</f>
        <v>25080878</v>
      </c>
      <c r="AB942" s="49"/>
      <c r="AC942" s="42"/>
      <c r="AD942" s="42"/>
      <c r="AE942" s="56">
        <v>8.69066063770862E14</v>
      </c>
      <c r="AF942" s="56">
        <v>3.24362009014409E14</v>
      </c>
      <c r="AG942" s="42"/>
      <c r="AH942" s="42"/>
      <c r="AI942" s="42" t="str">
        <f t="array" ref="AI942">XLOOKUP($E942,Sheet11!$D:$D,Sheet11!$X:$X,"",0)</f>
        <v/>
      </c>
      <c r="AJ942" s="42" t="str">
        <f t="array" ref="AJ942">XLOOKUP($E942,Sheet11!$D:$D,Sheet11!$Y:$Y,"",0)</f>
        <v/>
      </c>
    </row>
    <row r="943">
      <c r="A943" s="41">
        <v>723.0</v>
      </c>
      <c r="B943" s="42" t="s">
        <v>1853</v>
      </c>
      <c r="C943" s="42" t="s">
        <v>1854</v>
      </c>
      <c r="D943" s="42"/>
      <c r="E943" s="42" t="str">
        <f t="shared" ref="E943:F943" si="944">PROPER(B943)</f>
        <v>Kayantabe Farmers Irrigator Agriculture Cooperative</v>
      </c>
      <c r="F943" s="42" t="str">
        <f t="shared" si="944"/>
        <v>Santo Rosario, Capas, Tarlac</v>
      </c>
      <c r="G943" s="42" t="str">
        <f t="shared" si="3"/>
        <v>Santo Rosario</v>
      </c>
      <c r="H943" s="42" t="str">
        <f t="shared" si="4"/>
        <v>Capas</v>
      </c>
      <c r="I943" s="42" t="str">
        <f t="shared" si="5"/>
        <v>Tarlac</v>
      </c>
      <c r="J943" s="42" t="str">
        <f t="array" ref="J943">XLOOKUP($E943,'Recipients REF'!$B:$B,'Recipients REF'!D:D,"",0)</f>
        <v>TITO DELOS REYES</v>
      </c>
      <c r="K943" s="42" t="str">
        <f t="array" ref="K943">XLOOKUP($E943,'Recipients REF'!$B:$B,'Recipients REF'!E:E,"",0)</f>
        <v>0968-663-0536</v>
      </c>
      <c r="L943" s="43" t="str">
        <f t="array" ref="L943">XLOOKUP($A943,'Recipients REF'!$A:$A,'Recipients REF'!F:F,"",0)</f>
        <v>RCEF 25-03-05</v>
      </c>
      <c r="M943" s="43">
        <f t="array" ref="M943">XLOOKUP($A943,'Recipients REF'!$A:$A,'Recipients REF'!G:G,"",0)</f>
        <v>5</v>
      </c>
      <c r="N943" s="43" t="str">
        <f t="array" ref="N943">XLOOKUP($A943,'Recipients REF'!$A:$A,'Recipients REF'!H:H,"",0)</f>
        <v>26540 &amp; 27721</v>
      </c>
      <c r="O943" s="44" t="s">
        <v>25</v>
      </c>
      <c r="P943" s="45" t="s">
        <v>26</v>
      </c>
      <c r="Q943" s="46" t="str">
        <f t="array" ref="Q943">XLOOKUP($A943,'Recipients REF'!$A:$A,'Recipients REF'!I:I,"",0)</f>
        <v>KMC5825 ACSFPV0110</v>
      </c>
      <c r="R943" s="53" t="str">
        <f t="array" ref="R943">XLOOKUP($A943,'Recipients REF'!$A:$A,'Recipients REF'!J:J,"",0)</f>
        <v>STS100153</v>
      </c>
      <c r="S943" s="45" t="s">
        <v>27</v>
      </c>
      <c r="T943" s="45" t="s">
        <v>28</v>
      </c>
      <c r="U943" s="46" t="str">
        <f t="array" ref="U943">XLOOKUP($A943,'Recipients REF'!$A:$A,'Recipients REF'!K:K,"",0)</f>
        <v>R-SERIES 315PH</v>
      </c>
      <c r="V943" s="44" t="s">
        <v>29</v>
      </c>
      <c r="W943" s="45" t="s">
        <v>30</v>
      </c>
      <c r="X943" s="53" t="str">
        <f t="array" ref="X943">XLOOKUP($A943,'Recipients REF'!$A:$A,'Recipients REF'!L:L,"",0)</f>
        <v>25080433</v>
      </c>
      <c r="Y943" s="48" t="s">
        <v>29</v>
      </c>
      <c r="Z943" s="48" t="s">
        <v>31</v>
      </c>
      <c r="AA943" s="54" t="str">
        <f t="array" ref="AA943">XLOOKUP($A943,'Recipients REF'!$A:$A,'Recipients REF'!M:M,"",0)</f>
        <v>25080861</v>
      </c>
      <c r="AB943" s="49"/>
      <c r="AC943" s="42"/>
      <c r="AD943" s="42"/>
      <c r="AE943" s="56">
        <v>8.69066063779178E14</v>
      </c>
      <c r="AF943" s="56">
        <v>9.289649878E9</v>
      </c>
      <c r="AG943" s="42"/>
      <c r="AH943" s="42"/>
      <c r="AI943" s="42" t="str">
        <f t="array" ref="AI943">XLOOKUP($E943,Sheet11!$D:$D,Sheet11!$X:$X,"",0)</f>
        <v/>
      </c>
      <c r="AJ943" s="42" t="str">
        <f t="array" ref="AJ943">XLOOKUP($E943,Sheet11!$D:$D,Sheet11!$Y:$Y,"",0)</f>
        <v/>
      </c>
    </row>
    <row r="944">
      <c r="A944" s="41">
        <v>134.0</v>
      </c>
      <c r="B944" s="42" t="s">
        <v>1855</v>
      </c>
      <c r="C944" s="42" t="s">
        <v>1856</v>
      </c>
      <c r="D944" s="42"/>
      <c r="E944" s="42" t="str">
        <f t="shared" ref="E944:F944" si="945">PROPER(B944)</f>
        <v>Sta. Rosa Concepcion Farmers Agriculture Cooperative</v>
      </c>
      <c r="F944" s="42" t="str">
        <f t="shared" si="945"/>
        <v>Santa Rosa, Concepcion, Tarlac</v>
      </c>
      <c r="G944" s="42" t="str">
        <f t="shared" si="3"/>
        <v>Santa Rosa</v>
      </c>
      <c r="H944" s="42" t="str">
        <f t="shared" si="4"/>
        <v>Concepcion</v>
      </c>
      <c r="I944" s="42" t="str">
        <f t="shared" si="5"/>
        <v>Tarlac</v>
      </c>
      <c r="J944" s="42" t="str">
        <f t="array" ref="J944">XLOOKUP($E944,'Recipients REF'!$B:$B,'Recipients REF'!D:D,"",0)</f>
        <v>Jefferson B. Castro</v>
      </c>
      <c r="K944" s="42" t="str">
        <f t="array" ref="K944">XLOOKUP($E944,'Recipients REF'!$B:$B,'Recipients REF'!E:E,"",0)</f>
        <v>0906-488-8656 / 0919-517-2074</v>
      </c>
      <c r="L944" s="43" t="str">
        <f t="array" ref="L944">XLOOKUP($A944,'Recipients REF'!$A:$A,'Recipients REF'!F:F,"",0)</f>
        <v>RCEF 23-09-21 Rebidding</v>
      </c>
      <c r="M944" s="43">
        <f t="array" ref="M944">XLOOKUP($A944,'Recipients REF'!$A:$A,'Recipients REF'!G:G,"",0)</f>
        <v>3</v>
      </c>
      <c r="N944" s="43">
        <f t="array" ref="N944">XLOOKUP($A944,'Recipients REF'!$A:$A,'Recipients REF'!H:H,"",0)</f>
        <v>17818</v>
      </c>
      <c r="O944" s="44" t="s">
        <v>25</v>
      </c>
      <c r="P944" s="45" t="s">
        <v>26</v>
      </c>
      <c r="Q944" s="46" t="str">
        <f t="array" ref="Q944">XLOOKUP($A944,'Recipients REF'!$A:$A,'Recipients REF'!I:I,"",0)</f>
        <v>KMC5825 ALPFPV0152</v>
      </c>
      <c r="R944" s="47" t="str">
        <f t="array" ref="R944">XLOOKUP($A944,'Recipients REF'!$A:$A,'Recipients REF'!J:J,"",0)</f>
        <v>PTS100147</v>
      </c>
      <c r="S944" s="45" t="s">
        <v>27</v>
      </c>
      <c r="T944" s="45" t="s">
        <v>28</v>
      </c>
      <c r="U944" s="46" t="str">
        <f t="array" ref="U944">XLOOKUP($A944,'Recipients REF'!$A:$A,'Recipients REF'!K:K,"",0)</f>
        <v>R-SERIES 053PH</v>
      </c>
      <c r="V944" s="44" t="s">
        <v>29</v>
      </c>
      <c r="W944" s="45" t="s">
        <v>30</v>
      </c>
      <c r="X944" s="47" t="str">
        <f t="array" ref="X944">XLOOKUP($A944,'Recipients REF'!$A:$A,'Recipients REF'!L:L,"",0)</f>
        <v>LSGW1750-RMP-2312109</v>
      </c>
      <c r="Y944" s="48" t="s">
        <v>29</v>
      </c>
      <c r="Z944" s="48" t="s">
        <v>31</v>
      </c>
      <c r="AA944" s="46" t="str">
        <f t="array" ref="AA944">XLOOKUP($A944,'Recipients REF'!$A:$A,'Recipients REF'!M:M,"",0)</f>
        <v>WDP40-RMP-2312040</v>
      </c>
      <c r="AB944" s="49"/>
      <c r="AC944" s="42"/>
      <c r="AD944" s="42"/>
      <c r="AE944" s="55">
        <v>8.69066063801535E14</v>
      </c>
      <c r="AF944" s="56">
        <v>4.25230021017965E15</v>
      </c>
      <c r="AG944" s="42"/>
      <c r="AH944" s="42"/>
      <c r="AI944" s="42">
        <f t="array" ref="AI944">XLOOKUP($E944,Sheet11!$D:$D,Sheet11!$X:$X,"",0)</f>
        <v>869066060244564</v>
      </c>
      <c r="AJ944" s="42">
        <f t="array" ref="AJ944">XLOOKUP($E944,Sheet11!$D:$D,Sheet11!$Y:$Y,"",0)</f>
        <v>9694547831</v>
      </c>
    </row>
    <row r="945">
      <c r="A945" s="41">
        <v>597.0</v>
      </c>
      <c r="B945" s="42" t="s">
        <v>1857</v>
      </c>
      <c r="C945" s="42" t="s">
        <v>1858</v>
      </c>
      <c r="D945" s="42"/>
      <c r="E945" s="42" t="str">
        <f t="shared" ref="E945:F945" si="946">PROPER(B945)</f>
        <v>Bagong Sibul Farmers Agriculture Cooperative</v>
      </c>
      <c r="F945" s="42" t="str">
        <f t="shared" si="946"/>
        <v>Castillo, Concepcion, Tarlac</v>
      </c>
      <c r="G945" s="42" t="str">
        <f t="shared" si="3"/>
        <v>Castillo</v>
      </c>
      <c r="H945" s="42" t="str">
        <f t="shared" si="4"/>
        <v>Concepcion</v>
      </c>
      <c r="I945" s="42" t="str">
        <f t="shared" si="5"/>
        <v>Tarlac</v>
      </c>
      <c r="J945" s="42" t="str">
        <f t="array" ref="J945">XLOOKUP($E945,'Recipients REF'!$B:$B,'Recipients REF'!D:D,"",0)</f>
        <v>Nolito Buan/Fausto T. Ocampo, Jr.</v>
      </c>
      <c r="K945" s="42" t="str">
        <f t="array" ref="K945">XLOOKUP($E945,'Recipients REF'!$B:$B,'Recipients REF'!E:E,"",0)</f>
        <v>0936-445-0315/ 0956-057-2592</v>
      </c>
      <c r="L945" s="43" t="str">
        <f t="array" ref="L945">XLOOKUP($A945,'Recipients REF'!$A:$A,'Recipients REF'!F:F,"",0)</f>
        <v>RCEF 24-04-15</v>
      </c>
      <c r="M945" s="43">
        <f t="array" ref="M945">XLOOKUP($A945,'Recipients REF'!$A:$A,'Recipients REF'!G:G,"",0)</f>
        <v>6</v>
      </c>
      <c r="N945" s="43">
        <f t="array" ref="N945">XLOOKUP($A945,'Recipients REF'!$A:$A,'Recipients REF'!H:H,"",0)</f>
        <v>22350</v>
      </c>
      <c r="O945" s="44" t="s">
        <v>25</v>
      </c>
      <c r="P945" s="45" t="s">
        <v>26</v>
      </c>
      <c r="Q945" s="46" t="str">
        <f t="array" ref="Q945">XLOOKUP($A945,'Recipients REF'!$A:$A,'Recipients REF'!I:I,"",0)</f>
        <v>KMC5825AJRFPV0956</v>
      </c>
      <c r="R945" s="47" t="str">
        <f t="array" ref="R945">XLOOKUP($A945,'Recipients REF'!$A:$A,'Recipients REF'!J:J,"",0)</f>
        <v>RTS100651</v>
      </c>
      <c r="S945" s="45" t="s">
        <v>27</v>
      </c>
      <c r="T945" s="45" t="s">
        <v>28</v>
      </c>
      <c r="U945" s="46" t="str">
        <f t="array" ref="U945">XLOOKUP($A945,'Recipients REF'!$A:$A,'Recipients REF'!K:K,"",0)</f>
        <v>LSGW170-RMP-24101055</v>
      </c>
      <c r="V945" s="44" t="s">
        <v>29</v>
      </c>
      <c r="W945" s="45" t="s">
        <v>30</v>
      </c>
      <c r="X945" s="47" t="str">
        <f t="array" ref="X945">XLOOKUP($A945,'Recipients REF'!$A:$A,'Recipients REF'!L:L,"",0)</f>
        <v>WDP40-RMP-24111411</v>
      </c>
      <c r="Y945" s="48" t="s">
        <v>29</v>
      </c>
      <c r="Z945" s="48" t="s">
        <v>31</v>
      </c>
      <c r="AA945" s="46" t="str">
        <f t="array" ref="AA945">XLOOKUP($A945,'Recipients REF'!$A:$A,'Recipients REF'!M:M,"",0)</f>
        <v>WR-SERIES-1109PH</v>
      </c>
      <c r="AB945" s="49"/>
      <c r="AC945" s="42"/>
      <c r="AD945" s="42"/>
      <c r="AE945" s="56">
        <v>8.69066060010361E14</v>
      </c>
      <c r="AF945" s="56" t="s">
        <v>1859</v>
      </c>
      <c r="AG945" s="42"/>
      <c r="AH945" s="42"/>
      <c r="AI945" s="42" t="str">
        <f t="array" ref="AI945">XLOOKUP($E945,Sheet11!$D:$D,Sheet11!$X:$X,"",0)</f>
        <v/>
      </c>
      <c r="AJ945" s="42" t="str">
        <f t="array" ref="AJ945">XLOOKUP($E945,Sheet11!$D:$D,Sheet11!$Y:$Y,"",0)</f>
        <v/>
      </c>
    </row>
    <row r="946">
      <c r="A946" s="41">
        <v>126.0</v>
      </c>
      <c r="B946" s="42" t="s">
        <v>1860</v>
      </c>
      <c r="C946" s="42" t="s">
        <v>1861</v>
      </c>
      <c r="D946" s="42"/>
      <c r="E946" s="42" t="str">
        <f t="shared" ref="E946:F946" si="947">PROPER(B946)</f>
        <v>Santiago Nagkakaisa Agriculture Cooperative</v>
      </c>
      <c r="F946" s="42" t="str">
        <f t="shared" si="947"/>
        <v>Santiago, Gerona, Tarlac</v>
      </c>
      <c r="G946" s="42" t="str">
        <f t="shared" si="3"/>
        <v>Santiago</v>
      </c>
      <c r="H946" s="42" t="str">
        <f t="shared" si="4"/>
        <v>Gerona</v>
      </c>
      <c r="I946" s="42" t="str">
        <f t="shared" si="5"/>
        <v>Tarlac</v>
      </c>
      <c r="J946" s="42" t="str">
        <f t="array" ref="J946">XLOOKUP($E946,'Recipients REF'!$B:$B,'Recipients REF'!D:D,"",0)</f>
        <v>Edwin L. Benitez</v>
      </c>
      <c r="K946" s="42" t="str">
        <f t="array" ref="K946">XLOOKUP($E946,'Recipients REF'!$B:$B,'Recipients REF'!E:E,"",0)</f>
        <v>0910-527-1046</v>
      </c>
      <c r="L946" s="43" t="str">
        <f t="array" ref="L946">XLOOKUP($A946,'Recipients REF'!$A:$A,'Recipients REF'!F:F,"",0)</f>
        <v>RCEF 23-09-21 Rebidding</v>
      </c>
      <c r="M946" s="43">
        <f t="array" ref="M946">XLOOKUP($A946,'Recipients REF'!$A:$A,'Recipients REF'!G:G,"",0)</f>
        <v>3</v>
      </c>
      <c r="N946" s="43">
        <f t="array" ref="N946">XLOOKUP($A946,'Recipients REF'!$A:$A,'Recipients REF'!H:H,"",0)</f>
        <v>17810</v>
      </c>
      <c r="O946" s="44" t="s">
        <v>25</v>
      </c>
      <c r="P946" s="45" t="s">
        <v>26</v>
      </c>
      <c r="Q946" s="46" t="str">
        <f t="array" ref="Q946">XLOOKUP($A946,'Recipients REF'!$A:$A,'Recipients REF'!I:I,"",0)</f>
        <v>KMC5825 AVPFPV0116</v>
      </c>
      <c r="R946" s="47" t="str">
        <f t="array" ref="R946">XLOOKUP($A946,'Recipients REF'!$A:$A,'Recipients REF'!J:J,"",0)</f>
        <v>PTS100043</v>
      </c>
      <c r="S946" s="45" t="s">
        <v>27</v>
      </c>
      <c r="T946" s="45" t="s">
        <v>28</v>
      </c>
      <c r="U946" s="46" t="str">
        <f t="array" ref="U946">XLOOKUP($A946,'Recipients REF'!$A:$A,'Recipients REF'!K:K,"",0)</f>
        <v>R-SERIES 043PH</v>
      </c>
      <c r="V946" s="44" t="s">
        <v>29</v>
      </c>
      <c r="W946" s="45" t="s">
        <v>30</v>
      </c>
      <c r="X946" s="47" t="str">
        <f t="array" ref="X946">XLOOKUP($A946,'Recipients REF'!$A:$A,'Recipients REF'!L:L,"",0)</f>
        <v>LSGW1750-RMP-2312095</v>
      </c>
      <c r="Y946" s="48" t="s">
        <v>29</v>
      </c>
      <c r="Z946" s="48" t="s">
        <v>31</v>
      </c>
      <c r="AA946" s="46" t="str">
        <f t="array" ref="AA946">XLOOKUP($A946,'Recipients REF'!$A:$A,'Recipients REF'!M:M,"",0)</f>
        <v>WDP40-RMP-2312041</v>
      </c>
      <c r="AB946" s="49"/>
      <c r="AC946" s="42"/>
      <c r="AD946" s="42"/>
      <c r="AE946" s="55">
        <v>8.69066060244978E14</v>
      </c>
      <c r="AF946" s="56">
        <v>4.2523002101797E15</v>
      </c>
      <c r="AG946" s="42"/>
      <c r="AH946" s="42"/>
      <c r="AI946" s="42">
        <f t="array" ref="AI946">XLOOKUP($E946,Sheet11!$D:$D,Sheet11!$X:$X,"",0)</f>
        <v>869066060244978</v>
      </c>
      <c r="AJ946" s="42">
        <f t="array" ref="AJ946">XLOOKUP($E946,Sheet11!$D:$D,Sheet11!$Y:$Y,"",0)</f>
        <v>9628651594</v>
      </c>
    </row>
    <row r="947">
      <c r="A947" s="41">
        <v>135.0</v>
      </c>
      <c r="B947" s="42" t="s">
        <v>1862</v>
      </c>
      <c r="C947" s="42" t="s">
        <v>1863</v>
      </c>
      <c r="D947" s="42"/>
      <c r="E947" s="42" t="str">
        <f t="shared" ref="E947:F947" si="948">PROPER(B947)</f>
        <v>Mapalad Farmers Field School Agriculture Cooperative</v>
      </c>
      <c r="F947" s="42" t="str">
        <f t="shared" si="948"/>
        <v>Lomboy, La Paz, Tarlac</v>
      </c>
      <c r="G947" s="42" t="str">
        <f t="shared" si="3"/>
        <v>Lomboy</v>
      </c>
      <c r="H947" s="42" t="str">
        <f t="shared" si="4"/>
        <v>La Paz</v>
      </c>
      <c r="I947" s="42" t="str">
        <f t="shared" si="5"/>
        <v>Tarlac</v>
      </c>
      <c r="J947" s="42" t="str">
        <f t="array" ref="J947">XLOOKUP($E947,'Recipients REF'!$B:$B,'Recipients REF'!D:D,"",0)</f>
        <v>Nelylane B. Manzano</v>
      </c>
      <c r="K947" s="42" t="str">
        <f t="array" ref="K947">XLOOKUP($E947,'Recipients REF'!$B:$B,'Recipients REF'!E:E,"",0)</f>
        <v>0907-795-2582</v>
      </c>
      <c r="L947" s="43" t="str">
        <f t="array" ref="L947">XLOOKUP($A947,'Recipients REF'!$A:$A,'Recipients REF'!F:F,"",0)</f>
        <v>RCEF 23-09-21 Rebidding</v>
      </c>
      <c r="M947" s="43">
        <f t="array" ref="M947">XLOOKUP($A947,'Recipients REF'!$A:$A,'Recipients REF'!G:G,"",0)</f>
        <v>3</v>
      </c>
      <c r="N947" s="43">
        <f t="array" ref="N947">XLOOKUP($A947,'Recipients REF'!$A:$A,'Recipients REF'!H:H,"",0)</f>
        <v>17819</v>
      </c>
      <c r="O947" s="44" t="s">
        <v>25</v>
      </c>
      <c r="P947" s="45" t="s">
        <v>26</v>
      </c>
      <c r="Q947" s="46" t="str">
        <f t="array" ref="Q947">XLOOKUP($A947,'Recipients REF'!$A:$A,'Recipients REF'!I:I,"",0)</f>
        <v>KMC5825 AEPFPV0154</v>
      </c>
      <c r="R947" s="47" t="str">
        <f t="array" ref="R947">XLOOKUP($A947,'Recipients REF'!$A:$A,'Recipients REF'!J:J,"",0)</f>
        <v>PTS100145</v>
      </c>
      <c r="S947" s="45" t="s">
        <v>27</v>
      </c>
      <c r="T947" s="45" t="s">
        <v>28</v>
      </c>
      <c r="U947" s="46" t="str">
        <f t="array" ref="U947">XLOOKUP($A947,'Recipients REF'!$A:$A,'Recipients REF'!K:K,"",0)</f>
        <v>R-SERIES 089PH</v>
      </c>
      <c r="V947" s="44" t="s">
        <v>29</v>
      </c>
      <c r="W947" s="45" t="s">
        <v>30</v>
      </c>
      <c r="X947" s="47" t="str">
        <f t="array" ref="X947">XLOOKUP($A947,'Recipients REF'!$A:$A,'Recipients REF'!L:L,"",0)</f>
        <v>LSGW1750-RMP-2312098</v>
      </c>
      <c r="Y947" s="48" t="s">
        <v>29</v>
      </c>
      <c r="Z947" s="48" t="s">
        <v>31</v>
      </c>
      <c r="AA947" s="46" t="str">
        <f t="array" ref="AA947">XLOOKUP($A947,'Recipients REF'!$A:$A,'Recipients REF'!M:M,"",0)</f>
        <v>WDP40-RMP-2312017</v>
      </c>
      <c r="AB947" s="49"/>
      <c r="AC947" s="42"/>
      <c r="AD947" s="42"/>
      <c r="AE947" s="50"/>
      <c r="AF947" s="42"/>
      <c r="AG947" s="42"/>
      <c r="AH947" s="42"/>
      <c r="AI947" s="42">
        <f t="array" ref="AI947">XLOOKUP($E947,Sheet11!$D:$D,Sheet11!$X:$X,"",0)</f>
        <v>869066060241107</v>
      </c>
      <c r="AJ947" s="42">
        <f t="array" ref="AJ947">XLOOKUP($E947,Sheet11!$D:$D,Sheet11!$Y:$Y,"",0)</f>
        <v>9691027938</v>
      </c>
    </row>
    <row r="948">
      <c r="A948" s="41">
        <v>381.0</v>
      </c>
      <c r="B948" s="42" t="s">
        <v>1864</v>
      </c>
      <c r="C948" s="42" t="s">
        <v>1865</v>
      </c>
      <c r="D948" s="42"/>
      <c r="E948" s="42" t="str">
        <f t="shared" ref="E948:F948" si="949">PROPER(B948)</f>
        <v>Macalong Farmers Agriculture Cooperative</v>
      </c>
      <c r="F948" s="42" t="str">
        <f t="shared" si="949"/>
        <v>Macalong, La Paz, Tarlac</v>
      </c>
      <c r="G948" s="42" t="str">
        <f t="shared" si="3"/>
        <v>Macalong</v>
      </c>
      <c r="H948" s="42" t="str">
        <f t="shared" si="4"/>
        <v>La Paz</v>
      </c>
      <c r="I948" s="42" t="str">
        <f t="shared" si="5"/>
        <v>Tarlac</v>
      </c>
      <c r="J948" s="42" t="str">
        <f t="array" ref="J948">XLOOKUP($E948,'Recipients REF'!$B:$B,'Recipients REF'!D:D,"",0)</f>
        <v>Edna M. Buyao</v>
      </c>
      <c r="K948" s="42">
        <f t="array" ref="K948">XLOOKUP($E948,'Recipients REF'!$B:$B,'Recipients REF'!E:E,"",0)</f>
        <v>9212327254</v>
      </c>
      <c r="L948" s="43" t="str">
        <f t="array" ref="L948">XLOOKUP($A948,'Recipients REF'!$A:$A,'Recipients REF'!F:F,"",0)</f>
        <v>RCEF 23-09-21 Rebidding</v>
      </c>
      <c r="M948" s="43">
        <f t="array" ref="M948">XLOOKUP($A948,'Recipients REF'!$A:$A,'Recipients REF'!G:G,"",0)</f>
        <v>9</v>
      </c>
      <c r="N948" s="43">
        <f t="array" ref="N948">XLOOKUP($A948,'Recipients REF'!$A:$A,'Recipients REF'!H:H,"",0)</f>
        <v>19039</v>
      </c>
      <c r="O948" s="44" t="s">
        <v>25</v>
      </c>
      <c r="P948" s="45" t="s">
        <v>26</v>
      </c>
      <c r="Q948" s="46" t="str">
        <f t="array" ref="Q948">XLOOKUP($A948,'Recipients REF'!$A:$A,'Recipients REF'!I:I,"",0)</f>
        <v>KMC5825 ACRFPV0594</v>
      </c>
      <c r="R948" s="47" t="str">
        <f t="array" ref="R948">XLOOKUP($A948,'Recipients REF'!$A:$A,'Recipients REF'!J:J,"",0)</f>
        <v>RTS 100567</v>
      </c>
      <c r="S948" s="45" t="s">
        <v>27</v>
      </c>
      <c r="T948" s="45" t="s">
        <v>28</v>
      </c>
      <c r="U948" s="46" t="str">
        <f t="array" ref="U948">XLOOKUP($A948,'Recipients REF'!$A:$A,'Recipients REF'!K:K,"",0)</f>
        <v>RSERIES 815 PH</v>
      </c>
      <c r="V948" s="44" t="s">
        <v>29</v>
      </c>
      <c r="W948" s="45" t="s">
        <v>30</v>
      </c>
      <c r="X948" s="47" t="str">
        <f t="array" ref="X948">XLOOKUP($A948,'Recipients REF'!$A:$A,'Recipients REF'!L:L,"",0)</f>
        <v>LSGW1750 RMP 24020534</v>
      </c>
      <c r="Y948" s="48" t="s">
        <v>29</v>
      </c>
      <c r="Z948" s="48" t="s">
        <v>31</v>
      </c>
      <c r="AA948" s="46" t="str">
        <f t="array" ref="AA948">XLOOKUP($A948,'Recipients REF'!$A:$A,'Recipients REF'!M:M,"",0)</f>
        <v>WDP 40 RMP 24040527</v>
      </c>
      <c r="AB948" s="49"/>
      <c r="AC948" s="42"/>
      <c r="AD948" s="42"/>
      <c r="AE948" s="50"/>
      <c r="AF948" s="42"/>
      <c r="AG948" s="42"/>
      <c r="AH948" s="42"/>
      <c r="AI948" s="42" t="str">
        <f t="array" ref="AI948">XLOOKUP($E948,Sheet11!$D:$D,Sheet11!$X:$X,"",0)</f>
        <v/>
      </c>
      <c r="AJ948" s="42" t="str">
        <f t="array" ref="AJ948">XLOOKUP($E948,Sheet11!$D:$D,Sheet11!$Y:$Y,"",0)</f>
        <v/>
      </c>
    </row>
    <row r="949">
      <c r="A949" s="41">
        <v>725.0</v>
      </c>
      <c r="B949" s="42" t="s">
        <v>1866</v>
      </c>
      <c r="C949" s="42" t="s">
        <v>1867</v>
      </c>
      <c r="D949" s="42"/>
      <c r="E949" s="42" t="str">
        <f t="shared" ref="E949:F949" si="950">PROPER(B949)</f>
        <v>Bagong Jerusalem Farmers Field School</v>
      </c>
      <c r="F949" s="42" t="str">
        <f t="shared" si="950"/>
        <v>Dumarais, La Paz, Tarlac</v>
      </c>
      <c r="G949" s="42" t="str">
        <f t="shared" si="3"/>
        <v>Dumarais</v>
      </c>
      <c r="H949" s="42" t="str">
        <f t="shared" si="4"/>
        <v>La Paz</v>
      </c>
      <c r="I949" s="42" t="str">
        <f t="shared" si="5"/>
        <v>Tarlac</v>
      </c>
      <c r="J949" s="42" t="str">
        <f t="array" ref="J949">XLOOKUP($E949,'Recipients REF'!$B:$B,'Recipients REF'!D:D,"",0)</f>
        <v>Lolita C. Aquino</v>
      </c>
      <c r="K949" s="42" t="str">
        <f t="array" ref="K949">XLOOKUP($E949,'Recipients REF'!$B:$B,'Recipients REF'!E:E,"",0)</f>
        <v>0905-338-5046</v>
      </c>
      <c r="L949" s="43" t="str">
        <f t="array" ref="L949">XLOOKUP($A949,'Recipients REF'!$A:$A,'Recipients REF'!F:F,"",0)</f>
        <v>RCEF 25-03-05</v>
      </c>
      <c r="M949" s="43">
        <f t="array" ref="M949">XLOOKUP($A949,'Recipients REF'!$A:$A,'Recipients REF'!G:G,"",0)</f>
        <v>5</v>
      </c>
      <c r="N949" s="43" t="str">
        <f t="array" ref="N949">XLOOKUP($A949,'Recipients REF'!$A:$A,'Recipients REF'!H:H,"",0)</f>
        <v>26542 &amp; 27723</v>
      </c>
      <c r="O949" s="44" t="s">
        <v>25</v>
      </c>
      <c r="P949" s="45" t="s">
        <v>26</v>
      </c>
      <c r="Q949" s="46" t="str">
        <f t="array" ref="Q949">XLOOKUP($A949,'Recipients REF'!$A:$A,'Recipients REF'!I:I,"",0)</f>
        <v>KMC5825 ATSFPV0103</v>
      </c>
      <c r="R949" s="53" t="str">
        <f t="array" ref="R949">XLOOKUP($A949,'Recipients REF'!$A:$A,'Recipients REF'!J:J,"",0)</f>
        <v>STS100148</v>
      </c>
      <c r="S949" s="45" t="s">
        <v>27</v>
      </c>
      <c r="T949" s="45" t="s">
        <v>28</v>
      </c>
      <c r="U949" s="46" t="str">
        <f t="array" ref="U949">XLOOKUP($A949,'Recipients REF'!$A:$A,'Recipients REF'!K:K,"",0)</f>
        <v>R-SERIES 285PH</v>
      </c>
      <c r="V949" s="44" t="s">
        <v>29</v>
      </c>
      <c r="W949" s="45" t="s">
        <v>30</v>
      </c>
      <c r="X949" s="53" t="str">
        <f t="array" ref="X949">XLOOKUP($A949,'Recipients REF'!$A:$A,'Recipients REF'!L:L,"",0)</f>
        <v>25080392</v>
      </c>
      <c r="Y949" s="48" t="s">
        <v>29</v>
      </c>
      <c r="Z949" s="48" t="s">
        <v>31</v>
      </c>
      <c r="AA949" s="54" t="str">
        <f t="array" ref="AA949">XLOOKUP($A949,'Recipients REF'!$A:$A,'Recipients REF'!M:M,"",0)</f>
        <v>25080828</v>
      </c>
      <c r="AB949" s="49"/>
      <c r="AC949" s="42"/>
      <c r="AD949" s="42"/>
      <c r="AE949" s="50"/>
      <c r="AF949" s="42"/>
      <c r="AG949" s="42"/>
      <c r="AH949" s="42"/>
      <c r="AI949" s="42" t="str">
        <f t="array" ref="AI949">XLOOKUP($E949,Sheet11!$D:$D,Sheet11!$X:$X,"",0)</f>
        <v/>
      </c>
      <c r="AJ949" s="42" t="str">
        <f t="array" ref="AJ949">XLOOKUP($E949,Sheet11!$D:$D,Sheet11!$Y:$Y,"",0)</f>
        <v/>
      </c>
    </row>
    <row r="950">
      <c r="A950" s="41">
        <v>726.0</v>
      </c>
      <c r="B950" s="42" t="s">
        <v>1868</v>
      </c>
      <c r="C950" s="42" t="s">
        <v>1869</v>
      </c>
      <c r="D950" s="42"/>
      <c r="E950" s="42" t="str">
        <f t="shared" ref="E950:F950" si="951">PROPER(B950)</f>
        <v>Mayang United Farmers Agriculture Cooperative</v>
      </c>
      <c r="F950" s="42" t="str">
        <f t="shared" si="951"/>
        <v>Mayang, La Paz, Tarlac</v>
      </c>
      <c r="G950" s="42" t="str">
        <f t="shared" si="3"/>
        <v>Mayang</v>
      </c>
      <c r="H950" s="42" t="str">
        <f t="shared" si="4"/>
        <v>La Paz</v>
      </c>
      <c r="I950" s="42" t="str">
        <f t="shared" si="5"/>
        <v>Tarlac</v>
      </c>
      <c r="J950" s="42" t="str">
        <f t="array" ref="J950">XLOOKUP($E950,'Recipients REF'!$B:$B,'Recipients REF'!D:D,"",0)</f>
        <v>LARDY V. ALEGA</v>
      </c>
      <c r="K950" s="42" t="str">
        <f t="array" ref="K950">XLOOKUP($E950,'Recipients REF'!$B:$B,'Recipients REF'!E:E,"",0)</f>
        <v>0908-882-5010</v>
      </c>
      <c r="L950" s="43" t="str">
        <f t="array" ref="L950">XLOOKUP($A950,'Recipients REF'!$A:$A,'Recipients REF'!F:F,"",0)</f>
        <v>RCEF 25-03-05</v>
      </c>
      <c r="M950" s="43">
        <f t="array" ref="M950">XLOOKUP($A950,'Recipients REF'!$A:$A,'Recipients REF'!G:G,"",0)</f>
        <v>5</v>
      </c>
      <c r="N950" s="43" t="str">
        <f t="array" ref="N950">XLOOKUP($A950,'Recipients REF'!$A:$A,'Recipients REF'!H:H,"",0)</f>
        <v>26543 &amp; 27724</v>
      </c>
      <c r="O950" s="44" t="s">
        <v>25</v>
      </c>
      <c r="P950" s="45" t="s">
        <v>26</v>
      </c>
      <c r="Q950" s="46" t="str">
        <f t="array" ref="Q950">XLOOKUP($A950,'Recipients REF'!$A:$A,'Recipients REF'!I:I,"",0)</f>
        <v>KMC5825 ACSFPV0147</v>
      </c>
      <c r="R950" s="53" t="str">
        <f t="array" ref="R950">XLOOKUP($A950,'Recipients REF'!$A:$A,'Recipients REF'!J:J,"",0)</f>
        <v>STS100088</v>
      </c>
      <c r="S950" s="45" t="s">
        <v>27</v>
      </c>
      <c r="T950" s="45" t="s">
        <v>28</v>
      </c>
      <c r="U950" s="46" t="str">
        <f t="array" ref="U950">XLOOKUP($A950,'Recipients REF'!$A:$A,'Recipients REF'!K:K,"",0)</f>
        <v>R-SERIES 327PH</v>
      </c>
      <c r="V950" s="44" t="s">
        <v>29</v>
      </c>
      <c r="W950" s="45" t="s">
        <v>30</v>
      </c>
      <c r="X950" s="53" t="str">
        <f t="array" ref="X950">XLOOKUP($A950,'Recipients REF'!$A:$A,'Recipients REF'!L:L,"",0)</f>
        <v>25080390</v>
      </c>
      <c r="Y950" s="48" t="s">
        <v>29</v>
      </c>
      <c r="Z950" s="48" t="s">
        <v>31</v>
      </c>
      <c r="AA950" s="54" t="str">
        <f t="array" ref="AA950">XLOOKUP($A950,'Recipients REF'!$A:$A,'Recipients REF'!M:M,"",0)</f>
        <v>25080850</v>
      </c>
      <c r="AB950" s="49"/>
      <c r="AC950" s="42"/>
      <c r="AD950" s="42"/>
      <c r="AE950" s="50"/>
      <c r="AF950" s="42"/>
      <c r="AG950" s="42"/>
      <c r="AH950" s="42"/>
      <c r="AI950" s="42" t="str">
        <f t="array" ref="AI950">XLOOKUP($E950,Sheet11!$D:$D,Sheet11!$X:$X,"",0)</f>
        <v/>
      </c>
      <c r="AJ950" s="42" t="str">
        <f t="array" ref="AJ950">XLOOKUP($E950,Sheet11!$D:$D,Sheet11!$Y:$Y,"",0)</f>
        <v/>
      </c>
    </row>
    <row r="951">
      <c r="A951" s="41">
        <v>727.0</v>
      </c>
      <c r="B951" s="42" t="s">
        <v>1870</v>
      </c>
      <c r="C951" s="42" t="s">
        <v>1865</v>
      </c>
      <c r="D951" s="42"/>
      <c r="E951" s="42" t="str">
        <f t="shared" ref="E951:F951" si="952">PROPER(B951)</f>
        <v>Taga La Paz Tarlac Agriculture Cooperative</v>
      </c>
      <c r="F951" s="42" t="str">
        <f t="shared" si="952"/>
        <v>Macalong, La Paz, Tarlac</v>
      </c>
      <c r="G951" s="42" t="str">
        <f t="shared" si="3"/>
        <v>Macalong</v>
      </c>
      <c r="H951" s="42" t="str">
        <f t="shared" si="4"/>
        <v>La Paz</v>
      </c>
      <c r="I951" s="42" t="str">
        <f t="shared" si="5"/>
        <v>Tarlac</v>
      </c>
      <c r="J951" s="42" t="str">
        <f t="array" ref="J951">XLOOKUP($E951,'Recipients REF'!$B:$B,'Recipients REF'!D:D,"",0)</f>
        <v>Isidro C. Castro</v>
      </c>
      <c r="K951" s="42" t="str">
        <f t="array" ref="K951">XLOOKUP($E951,'Recipients REF'!$B:$B,'Recipients REF'!E:E,"",0)</f>
        <v>0910-214-7821</v>
      </c>
      <c r="L951" s="43" t="str">
        <f t="array" ref="L951">XLOOKUP($A951,'Recipients REF'!$A:$A,'Recipients REF'!F:F,"",0)</f>
        <v>RCEF 25-03-05</v>
      </c>
      <c r="M951" s="43">
        <f t="array" ref="M951">XLOOKUP($A951,'Recipients REF'!$A:$A,'Recipients REF'!G:G,"",0)</f>
        <v>5</v>
      </c>
      <c r="N951" s="43" t="str">
        <f t="array" ref="N951">XLOOKUP($A951,'Recipients REF'!$A:$A,'Recipients REF'!H:H,"",0)</f>
        <v>26544 &amp; 27725</v>
      </c>
      <c r="O951" s="44" t="s">
        <v>25</v>
      </c>
      <c r="P951" s="45" t="s">
        <v>26</v>
      </c>
      <c r="Q951" s="46" t="str">
        <f t="array" ref="Q951">XLOOKUP($A951,'Recipients REF'!$A:$A,'Recipients REF'!I:I,"",0)</f>
        <v>KMC5825 APSFPV0104</v>
      </c>
      <c r="R951" s="53" t="str">
        <f t="array" ref="R951">XLOOKUP($A951,'Recipients REF'!$A:$A,'Recipients REF'!J:J,"",0)</f>
        <v>STS100125</v>
      </c>
      <c r="S951" s="45" t="s">
        <v>27</v>
      </c>
      <c r="T951" s="45" t="s">
        <v>28</v>
      </c>
      <c r="U951" s="46" t="str">
        <f t="array" ref="U951">XLOOKUP($A951,'Recipients REF'!$A:$A,'Recipients REF'!K:K,"",0)</f>
        <v>R-SERIES 314PH</v>
      </c>
      <c r="V951" s="44" t="s">
        <v>29</v>
      </c>
      <c r="W951" s="45" t="s">
        <v>30</v>
      </c>
      <c r="X951" s="53" t="str">
        <f t="array" ref="X951">XLOOKUP($A951,'Recipients REF'!$A:$A,'Recipients REF'!L:L,"",0)</f>
        <v>25080409</v>
      </c>
      <c r="Y951" s="48" t="s">
        <v>29</v>
      </c>
      <c r="Z951" s="48" t="s">
        <v>31</v>
      </c>
      <c r="AA951" s="54" t="str">
        <f t="array" ref="AA951">XLOOKUP($A951,'Recipients REF'!$A:$A,'Recipients REF'!M:M,"",0)</f>
        <v>25080818</v>
      </c>
      <c r="AB951" s="49"/>
      <c r="AC951" s="42"/>
      <c r="AD951" s="42"/>
      <c r="AE951" s="50"/>
      <c r="AF951" s="42"/>
      <c r="AG951" s="42"/>
      <c r="AH951" s="42"/>
      <c r="AI951" s="42" t="str">
        <f t="array" ref="AI951">XLOOKUP($E951,Sheet11!$D:$D,Sheet11!$X:$X,"",0)</f>
        <v/>
      </c>
      <c r="AJ951" s="42" t="str">
        <f t="array" ref="AJ951">XLOOKUP($E951,Sheet11!$D:$D,Sheet11!$Y:$Y,"",0)</f>
        <v/>
      </c>
    </row>
    <row r="952">
      <c r="A952" s="41">
        <v>711.0</v>
      </c>
      <c r="B952" s="42" t="s">
        <v>1871</v>
      </c>
      <c r="C952" s="42" t="s">
        <v>1872</v>
      </c>
      <c r="D952" s="42"/>
      <c r="E952" s="42" t="str">
        <f t="shared" ref="E952:F952" si="953">PROPER(B952)</f>
        <v>Brgy. Poblacion Sur Agricultural Farmers Association</v>
      </c>
      <c r="F952" s="42" t="str">
        <f t="shared" si="953"/>
        <v>Poblacion Sur, Mayantoc, Tarlac</v>
      </c>
      <c r="G952" s="42" t="str">
        <f t="shared" si="3"/>
        <v>Poblacion Sur</v>
      </c>
      <c r="H952" s="42" t="str">
        <f t="shared" si="4"/>
        <v>Mayantoc</v>
      </c>
      <c r="I952" s="42" t="str">
        <f t="shared" si="5"/>
        <v>Tarlac</v>
      </c>
      <c r="J952" s="42" t="str">
        <f t="array" ref="J952">XLOOKUP($E952,'Recipients REF'!$B:$B,'Recipients REF'!D:D,"",0)</f>
        <v>Jesus G. Toledo</v>
      </c>
      <c r="K952" s="42" t="str">
        <f t="array" ref="K952">XLOOKUP($E952,'Recipients REF'!$B:$B,'Recipients REF'!E:E,"",0)</f>
        <v>0961-306-1992</v>
      </c>
      <c r="L952" s="43" t="str">
        <f t="array" ref="L952">XLOOKUP($A952,'Recipients REF'!$A:$A,'Recipients REF'!F:F,"",0)</f>
        <v>RCEF 25-03-05</v>
      </c>
      <c r="M952" s="43">
        <f t="array" ref="M952">XLOOKUP($A952,'Recipients REF'!$A:$A,'Recipients REF'!G:G,"",0)</f>
        <v>5</v>
      </c>
      <c r="N952" s="43" t="str">
        <f t="array" ref="N952">XLOOKUP($A952,'Recipients REF'!$A:$A,'Recipients REF'!H:H,"",0)</f>
        <v>26528 &amp; 27709</v>
      </c>
      <c r="O952" s="44" t="s">
        <v>25</v>
      </c>
      <c r="P952" s="45" t="s">
        <v>26</v>
      </c>
      <c r="Q952" s="46" t="str">
        <f t="array" ref="Q952">XLOOKUP($A952,'Recipients REF'!$A:$A,'Recipients REF'!I:I,"",0)</f>
        <v>KMC5825 APSFPV0425</v>
      </c>
      <c r="R952" s="53" t="str">
        <f t="array" ref="R952">XLOOKUP($A952,'Recipients REF'!$A:$A,'Recipients REF'!J:J,"",0)</f>
        <v>STS100487</v>
      </c>
      <c r="S952" s="45" t="s">
        <v>27</v>
      </c>
      <c r="T952" s="45" t="s">
        <v>28</v>
      </c>
      <c r="U952" s="46" t="str">
        <f t="array" ref="U952">XLOOKUP($A952,'Recipients REF'!$A:$A,'Recipients REF'!K:K,"",0)</f>
        <v>WR-SERIES 108</v>
      </c>
      <c r="V952" s="44" t="s">
        <v>29</v>
      </c>
      <c r="W952" s="45" t="s">
        <v>30</v>
      </c>
      <c r="X952" s="53" t="str">
        <f t="array" ref="X952">XLOOKUP($A952,'Recipients REF'!$A:$A,'Recipients REF'!L:L,"",0)</f>
        <v>25080420</v>
      </c>
      <c r="Y952" s="48" t="s">
        <v>29</v>
      </c>
      <c r="Z952" s="48" t="s">
        <v>31</v>
      </c>
      <c r="AA952" s="54" t="str">
        <f t="array" ref="AA952">XLOOKUP($A952,'Recipients REF'!$A:$A,'Recipients REF'!M:M,"",0)</f>
        <v>25080873</v>
      </c>
      <c r="AB952" s="49"/>
      <c r="AC952" s="42"/>
      <c r="AD952" s="42"/>
      <c r="AE952" s="50"/>
      <c r="AF952" s="42"/>
      <c r="AG952" s="42"/>
      <c r="AH952" s="42"/>
      <c r="AI952" s="42" t="str">
        <f t="array" ref="AI952">XLOOKUP($E952,Sheet11!$D:$D,Sheet11!$X:$X,"",0)</f>
        <v/>
      </c>
      <c r="AJ952" s="42" t="str">
        <f t="array" ref="AJ952">XLOOKUP($E952,Sheet11!$D:$D,Sheet11!$Y:$Y,"",0)</f>
        <v/>
      </c>
    </row>
    <row r="953">
      <c r="A953" s="41">
        <v>118.0</v>
      </c>
      <c r="B953" s="42" t="s">
        <v>1873</v>
      </c>
      <c r="C953" s="42" t="s">
        <v>1874</v>
      </c>
      <c r="D953" s="42"/>
      <c r="E953" s="42" t="str">
        <f t="shared" ref="E953:F953" si="954">PROPER(B953)</f>
        <v>Camangaan West Landowners And Farmers Irrigators Association Inc.</v>
      </c>
      <c r="F953" s="42" t="str">
        <f t="shared" si="954"/>
        <v>Camangaan West, Moncada, Tarlac</v>
      </c>
      <c r="G953" s="42" t="str">
        <f t="shared" si="3"/>
        <v>Camangaan West</v>
      </c>
      <c r="H953" s="42" t="str">
        <f t="shared" si="4"/>
        <v>Moncada</v>
      </c>
      <c r="I953" s="42" t="str">
        <f t="shared" si="5"/>
        <v>Tarlac</v>
      </c>
      <c r="J953" s="42" t="str">
        <f t="array" ref="J953">XLOOKUP($E953,'Recipients REF'!$B:$B,'Recipients REF'!D:D,"",0)</f>
        <v>Nestor M. Portuguez</v>
      </c>
      <c r="K953" s="42" t="str">
        <f t="array" ref="K953">XLOOKUP($E953,'Recipients REF'!$B:$B,'Recipients REF'!E:E,"",0)</f>
        <v>0928-562-8422</v>
      </c>
      <c r="L953" s="43" t="str">
        <f t="array" ref="L953">XLOOKUP($A953,'Recipients REF'!$A:$A,'Recipients REF'!F:F,"",0)</f>
        <v>RCEF 23-09-21 Rebidding</v>
      </c>
      <c r="M953" s="43">
        <f t="array" ref="M953">XLOOKUP($A953,'Recipients REF'!$A:$A,'Recipients REF'!G:G,"",0)</f>
        <v>3</v>
      </c>
      <c r="N953" s="43">
        <f t="array" ref="N953">XLOOKUP($A953,'Recipients REF'!$A:$A,'Recipients REF'!H:H,"",0)</f>
        <v>17802</v>
      </c>
      <c r="O953" s="44" t="s">
        <v>25</v>
      </c>
      <c r="P953" s="45" t="s">
        <v>26</v>
      </c>
      <c r="Q953" s="46" t="str">
        <f t="array" ref="Q953">XLOOKUP($A953,'Recipients REF'!$A:$A,'Recipients REF'!I:I,"",0)</f>
        <v>KMC5825 AEPFPV0042</v>
      </c>
      <c r="R953" s="47" t="str">
        <f t="array" ref="R953">XLOOKUP($A953,'Recipients REF'!$A:$A,'Recipients REF'!J:J,"",0)</f>
        <v>PTS100125</v>
      </c>
      <c r="S953" s="45" t="s">
        <v>27</v>
      </c>
      <c r="T953" s="45" t="s">
        <v>28</v>
      </c>
      <c r="U953" s="46" t="str">
        <f t="array" ref="U953">XLOOKUP($A953,'Recipients REF'!$A:$A,'Recipients REF'!K:K,"",0)</f>
        <v>R-SERIES 063PH</v>
      </c>
      <c r="V953" s="44" t="s">
        <v>29</v>
      </c>
      <c r="W953" s="45" t="s">
        <v>30</v>
      </c>
      <c r="X953" s="47" t="str">
        <f t="array" ref="X953">XLOOKUP($A953,'Recipients REF'!$A:$A,'Recipients REF'!L:L,"",0)</f>
        <v>LSGW1750-RMP-2312019</v>
      </c>
      <c r="Y953" s="48" t="s">
        <v>29</v>
      </c>
      <c r="Z953" s="48" t="s">
        <v>31</v>
      </c>
      <c r="AA953" s="46" t="str">
        <f t="array" ref="AA953">XLOOKUP($A953,'Recipients REF'!$A:$A,'Recipients REF'!M:M,"",0)</f>
        <v>WDP40-RMP-2312009</v>
      </c>
      <c r="AB953" s="49"/>
      <c r="AC953" s="42"/>
      <c r="AD953" s="42"/>
      <c r="AE953" s="60">
        <v>8.6906606244481E13</v>
      </c>
      <c r="AF953" s="56" t="s">
        <v>1875</v>
      </c>
      <c r="AG953" s="42"/>
      <c r="AH953" s="42"/>
      <c r="AI953" s="42">
        <f t="array" ref="AI953">XLOOKUP($E953,Sheet11!$D:$D,Sheet11!$X:$X,"",0)</f>
        <v>869066060244481</v>
      </c>
      <c r="AJ953" s="42">
        <f t="array" ref="AJ953">XLOOKUP($E953,Sheet11!$D:$D,Sheet11!$Y:$Y,"",0)</f>
        <v>9690404843</v>
      </c>
    </row>
    <row r="954">
      <c r="A954" s="41">
        <v>712.0</v>
      </c>
      <c r="B954" s="42" t="s">
        <v>1876</v>
      </c>
      <c r="C954" s="42" t="s">
        <v>1877</v>
      </c>
      <c r="D954" s="42"/>
      <c r="E954" s="42" t="str">
        <f t="shared" ref="E954:F954" si="955">PROPER(B954)</f>
        <v>Tolega Norte Farmers Association</v>
      </c>
      <c r="F954" s="42" t="str">
        <f t="shared" si="955"/>
        <v>Tolega Norte, Moncada, Tarlac</v>
      </c>
      <c r="G954" s="42" t="str">
        <f t="shared" si="3"/>
        <v>Tolega Norte</v>
      </c>
      <c r="H954" s="42" t="str">
        <f t="shared" si="4"/>
        <v>Moncada</v>
      </c>
      <c r="I954" s="42" t="str">
        <f t="shared" si="5"/>
        <v>Tarlac</v>
      </c>
      <c r="J954" s="42" t="str">
        <f t="array" ref="J954">XLOOKUP($E954,'Recipients REF'!$B:$B,'Recipients REF'!D:D,"",0)</f>
        <v>Myrna G. Tolentino</v>
      </c>
      <c r="K954" s="42" t="str">
        <f t="array" ref="K954">XLOOKUP($E954,'Recipients REF'!$B:$B,'Recipients REF'!E:E,"",0)</f>
        <v>0921-412-5189</v>
      </c>
      <c r="L954" s="43" t="str">
        <f t="array" ref="L954">XLOOKUP($A954,'Recipients REF'!$A:$A,'Recipients REF'!F:F,"",0)</f>
        <v>RCEF 25-03-05</v>
      </c>
      <c r="M954" s="43">
        <f t="array" ref="M954">XLOOKUP($A954,'Recipients REF'!$A:$A,'Recipients REF'!G:G,"",0)</f>
        <v>5</v>
      </c>
      <c r="N954" s="43" t="str">
        <f t="array" ref="N954">XLOOKUP($A954,'Recipients REF'!$A:$A,'Recipients REF'!H:H,"",0)</f>
        <v>26529 &amp; 27710</v>
      </c>
      <c r="O954" s="44" t="s">
        <v>25</v>
      </c>
      <c r="P954" s="45" t="s">
        <v>26</v>
      </c>
      <c r="Q954" s="46" t="str">
        <f t="array" ref="Q954">XLOOKUP($A954,'Recipients REF'!$A:$A,'Recipients REF'!I:I,"",0)</f>
        <v>KMC5825 AVSFPV0125</v>
      </c>
      <c r="R954" s="53" t="str">
        <f t="array" ref="R954">XLOOKUP($A954,'Recipients REF'!$A:$A,'Recipients REF'!J:J,"",0)</f>
        <v>STS100103</v>
      </c>
      <c r="S954" s="45" t="s">
        <v>27</v>
      </c>
      <c r="T954" s="45" t="s">
        <v>28</v>
      </c>
      <c r="U954" s="46" t="str">
        <f t="array" ref="U954">XLOOKUP($A954,'Recipients REF'!$A:$A,'Recipients REF'!K:K,"",0)</f>
        <v>R-SERIES 316PH</v>
      </c>
      <c r="V954" s="44" t="s">
        <v>29</v>
      </c>
      <c r="W954" s="45" t="s">
        <v>30</v>
      </c>
      <c r="X954" s="53" t="str">
        <f t="array" ref="X954">XLOOKUP($A954,'Recipients REF'!$A:$A,'Recipients REF'!L:L,"",0)</f>
        <v>25080398</v>
      </c>
      <c r="Y954" s="48" t="s">
        <v>29</v>
      </c>
      <c r="Z954" s="48" t="s">
        <v>31</v>
      </c>
      <c r="AA954" s="54" t="str">
        <f t="array" ref="AA954">XLOOKUP($A954,'Recipients REF'!$A:$A,'Recipients REF'!M:M,"",0)</f>
        <v>25080857</v>
      </c>
      <c r="AB954" s="49"/>
      <c r="AC954" s="42"/>
      <c r="AD954" s="42"/>
      <c r="AE954" s="59">
        <v>8.69066063784384E14</v>
      </c>
      <c r="AF954" s="56" t="s">
        <v>1878</v>
      </c>
      <c r="AG954" s="42"/>
      <c r="AH954" s="42"/>
      <c r="AI954" s="42" t="str">
        <f t="array" ref="AI954">XLOOKUP($E954,Sheet11!$D:$D,Sheet11!$X:$X,"",0)</f>
        <v/>
      </c>
      <c r="AJ954" s="42" t="str">
        <f t="array" ref="AJ954">XLOOKUP($E954,Sheet11!$D:$D,Sheet11!$Y:$Y,"",0)</f>
        <v/>
      </c>
    </row>
    <row r="955">
      <c r="A955" s="41">
        <v>119.0</v>
      </c>
      <c r="B955" s="42" t="s">
        <v>1879</v>
      </c>
      <c r="C955" s="42" t="s">
        <v>1880</v>
      </c>
      <c r="D955" s="42"/>
      <c r="E955" s="42" t="str">
        <f t="shared" ref="E955:F955" si="956">PROPER(B955)</f>
        <v>Acocolao Agri-Farmer'S Association</v>
      </c>
      <c r="F955" s="42" t="str">
        <f t="shared" si="956"/>
        <v>Acocolao, Paniqui, Tarlac</v>
      </c>
      <c r="G955" s="42" t="str">
        <f t="shared" si="3"/>
        <v>Acocolao</v>
      </c>
      <c r="H955" s="42" t="str">
        <f t="shared" si="4"/>
        <v>Paniqui</v>
      </c>
      <c r="I955" s="42" t="str">
        <f t="shared" si="5"/>
        <v>Tarlac</v>
      </c>
      <c r="J955" s="42" t="str">
        <f t="array" ref="J955">XLOOKUP($E955,'Recipients REF'!$B:$B,'Recipients REF'!D:D,"",0)</f>
        <v>Reynando N. Sunio</v>
      </c>
      <c r="K955" s="42" t="str">
        <f t="array" ref="K955">XLOOKUP($E955,'Recipients REF'!$B:$B,'Recipients REF'!E:E,"",0)</f>
        <v>0995-016-6527</v>
      </c>
      <c r="L955" s="43" t="str">
        <f t="array" ref="L955">XLOOKUP($A955,'Recipients REF'!$A:$A,'Recipients REF'!F:F,"",0)</f>
        <v>RCEF 23-09-21 Rebidding</v>
      </c>
      <c r="M955" s="43">
        <f t="array" ref="M955">XLOOKUP($A955,'Recipients REF'!$A:$A,'Recipients REF'!G:G,"",0)</f>
        <v>3</v>
      </c>
      <c r="N955" s="43">
        <f t="array" ref="N955">XLOOKUP($A955,'Recipients REF'!$A:$A,'Recipients REF'!H:H,"",0)</f>
        <v>17803</v>
      </c>
      <c r="O955" s="44" t="s">
        <v>25</v>
      </c>
      <c r="P955" s="45" t="s">
        <v>26</v>
      </c>
      <c r="Q955" s="46" t="str">
        <f t="array" ref="Q955">XLOOKUP($A955,'Recipients REF'!$A:$A,'Recipients REF'!I:I,"",0)</f>
        <v>KMC5825 APPFPV0126</v>
      </c>
      <c r="R955" s="47" t="str">
        <f t="array" ref="R955">XLOOKUP($A955,'Recipients REF'!$A:$A,'Recipients REF'!J:J,"",0)</f>
        <v>PTS100053</v>
      </c>
      <c r="S955" s="45" t="s">
        <v>27</v>
      </c>
      <c r="T955" s="45" t="s">
        <v>28</v>
      </c>
      <c r="U955" s="46" t="str">
        <f t="array" ref="U955">XLOOKUP($A955,'Recipients REF'!$A:$A,'Recipients REF'!K:K,"",0)</f>
        <v>R-SERIES 103PH</v>
      </c>
      <c r="V955" s="44" t="s">
        <v>29</v>
      </c>
      <c r="W955" s="45" t="s">
        <v>30</v>
      </c>
      <c r="X955" s="47" t="str">
        <f t="array" ref="X955">XLOOKUP($A955,'Recipients REF'!$A:$A,'Recipients REF'!L:L,"",0)</f>
        <v>LSGW1750-RMP-2312045</v>
      </c>
      <c r="Y955" s="48" t="s">
        <v>29</v>
      </c>
      <c r="Z955" s="48" t="s">
        <v>31</v>
      </c>
      <c r="AA955" s="46" t="str">
        <f t="array" ref="AA955">XLOOKUP($A955,'Recipients REF'!$A:$A,'Recipients REF'!M:M,"",0)</f>
        <v>WDP40-RMP-2312050</v>
      </c>
      <c r="AB955" s="49"/>
      <c r="AC955" s="42"/>
      <c r="AD955" s="42"/>
      <c r="AE955" s="60">
        <v>8.6906606240562E13</v>
      </c>
      <c r="AF955" s="56" t="s">
        <v>1881</v>
      </c>
      <c r="AG955" s="42"/>
      <c r="AH955" s="42"/>
      <c r="AI955" s="42">
        <f t="array" ref="AI955">XLOOKUP($E955,Sheet11!$D:$D,Sheet11!$X:$X,"",0)</f>
        <v>869066060240562</v>
      </c>
      <c r="AJ955" s="42">
        <f t="array" ref="AJ955">XLOOKUP($E955,Sheet11!$D:$D,Sheet11!$Y:$Y,"",0)</f>
        <v>9692853455</v>
      </c>
    </row>
    <row r="956">
      <c r="A956" s="41">
        <v>120.0</v>
      </c>
      <c r="B956" s="42" t="s">
        <v>1882</v>
      </c>
      <c r="C956" s="42" t="s">
        <v>1883</v>
      </c>
      <c r="D956" s="42"/>
      <c r="E956" s="42" t="str">
        <f t="shared" ref="E956:F956" si="957">PROPER(B956)</f>
        <v>Samput Farmers Association Inc.</v>
      </c>
      <c r="F956" s="42" t="str">
        <f t="shared" si="957"/>
        <v>Samput, Paniqui, Tarlac</v>
      </c>
      <c r="G956" s="42" t="str">
        <f t="shared" si="3"/>
        <v>Samput</v>
      </c>
      <c r="H956" s="42" t="str">
        <f t="shared" si="4"/>
        <v>Paniqui</v>
      </c>
      <c r="I956" s="42" t="str">
        <f t="shared" si="5"/>
        <v>Tarlac</v>
      </c>
      <c r="J956" s="42" t="str">
        <f t="array" ref="J956">XLOOKUP($E956,'Recipients REF'!$B:$B,'Recipients REF'!D:D,"",0)</f>
        <v>Herolimo S. Vergara</v>
      </c>
      <c r="K956" s="42" t="str">
        <f t="array" ref="K956">XLOOKUP($E956,'Recipients REF'!$B:$B,'Recipients REF'!E:E,"",0)</f>
        <v>0909-509-8491</v>
      </c>
      <c r="L956" s="43" t="str">
        <f t="array" ref="L956">XLOOKUP($A956,'Recipients REF'!$A:$A,'Recipients REF'!F:F,"",0)</f>
        <v>RCEF 23-09-21 Rebidding</v>
      </c>
      <c r="M956" s="43">
        <f t="array" ref="M956">XLOOKUP($A956,'Recipients REF'!$A:$A,'Recipients REF'!G:G,"",0)</f>
        <v>3</v>
      </c>
      <c r="N956" s="43">
        <f t="array" ref="N956">XLOOKUP($A956,'Recipients REF'!$A:$A,'Recipients REF'!H:H,"",0)</f>
        <v>17804</v>
      </c>
      <c r="O956" s="44" t="s">
        <v>25</v>
      </c>
      <c r="P956" s="45" t="s">
        <v>26</v>
      </c>
      <c r="Q956" s="46" t="str">
        <f t="array" ref="Q956">XLOOKUP($A956,'Recipients REF'!$A:$A,'Recipients REF'!I:I,"",0)</f>
        <v>KMC5825 AEPFPV0106</v>
      </c>
      <c r="R956" s="47" t="str">
        <f t="array" ref="R956">XLOOKUP($A956,'Recipients REF'!$A:$A,'Recipients REF'!J:J,"",0)</f>
        <v>PTS100100</v>
      </c>
      <c r="S956" s="45" t="s">
        <v>27</v>
      </c>
      <c r="T956" s="45" t="s">
        <v>28</v>
      </c>
      <c r="U956" s="46" t="str">
        <f t="array" ref="U956">XLOOKUP($A956,'Recipients REF'!$A:$A,'Recipients REF'!K:K,"",0)</f>
        <v>R-SERIES 067PH</v>
      </c>
      <c r="V956" s="44" t="s">
        <v>29</v>
      </c>
      <c r="W956" s="45" t="s">
        <v>30</v>
      </c>
      <c r="X956" s="47" t="str">
        <f t="array" ref="X956">XLOOKUP($A956,'Recipients REF'!$A:$A,'Recipients REF'!L:L,"",0)</f>
        <v>LSGW1750-RMP-2312039</v>
      </c>
      <c r="Y956" s="48" t="s">
        <v>29</v>
      </c>
      <c r="Z956" s="48" t="s">
        <v>31</v>
      </c>
      <c r="AA956" s="46" t="str">
        <f t="array" ref="AA956">XLOOKUP($A956,'Recipients REF'!$A:$A,'Recipients REF'!M:M,"",0)</f>
        <v>WDP40-RMP-2312042</v>
      </c>
      <c r="AB956" s="49"/>
      <c r="AC956" s="42"/>
      <c r="AD956" s="42"/>
      <c r="AE956" s="59">
        <v>8.69066063800131E14</v>
      </c>
      <c r="AF956" s="56" t="s">
        <v>1884</v>
      </c>
      <c r="AG956" s="42"/>
      <c r="AH956" s="42"/>
      <c r="AI956" s="42">
        <f t="array" ref="AI956">XLOOKUP($E956,Sheet11!$D:$D,Sheet11!$X:$X,"",0)</f>
        <v>869066060244507</v>
      </c>
      <c r="AJ956" s="42">
        <f t="array" ref="AJ956">XLOOKUP($E956,Sheet11!$D:$D,Sheet11!$Y:$Y,"",0)</f>
        <v>9086900630</v>
      </c>
    </row>
    <row r="957">
      <c r="A957" s="41">
        <v>380.0</v>
      </c>
      <c r="B957" s="42" t="s">
        <v>1885</v>
      </c>
      <c r="C957" s="42" t="s">
        <v>1886</v>
      </c>
      <c r="D957" s="42"/>
      <c r="E957" s="42" t="str">
        <f t="shared" ref="E957:F957" si="958">PROPER(B957)</f>
        <v>Dapdap Paniqui Farmer Irrigators Association Inc.</v>
      </c>
      <c r="F957" s="42" t="str">
        <f t="shared" si="958"/>
        <v>Dapdap, Paniqui, Tarlac</v>
      </c>
      <c r="G957" s="42" t="str">
        <f t="shared" si="3"/>
        <v>Dapdap</v>
      </c>
      <c r="H957" s="42" t="str">
        <f t="shared" si="4"/>
        <v>Paniqui</v>
      </c>
      <c r="I957" s="42" t="str">
        <f t="shared" si="5"/>
        <v>Tarlac</v>
      </c>
      <c r="J957" s="42" t="str">
        <f t="array" ref="J957">XLOOKUP($E957,'Recipients REF'!$B:$B,'Recipients REF'!D:D,"",0)</f>
        <v>Willie F. Asuncion</v>
      </c>
      <c r="K957" s="42">
        <f t="array" ref="K957">XLOOKUP($E957,'Recipients REF'!$B:$B,'Recipients REF'!E:E,"",0)</f>
        <v>9196967760</v>
      </c>
      <c r="L957" s="43" t="str">
        <f t="array" ref="L957">XLOOKUP($A957,'Recipients REF'!$A:$A,'Recipients REF'!F:F,"",0)</f>
        <v>RCEF 23-09-21 Rebidding</v>
      </c>
      <c r="M957" s="43">
        <f t="array" ref="M957">XLOOKUP($A957,'Recipients REF'!$A:$A,'Recipients REF'!G:G,"",0)</f>
        <v>9</v>
      </c>
      <c r="N957" s="43">
        <f t="array" ref="N957">XLOOKUP($A957,'Recipients REF'!$A:$A,'Recipients REF'!H:H,"",0)</f>
        <v>19038</v>
      </c>
      <c r="O957" s="44" t="s">
        <v>25</v>
      </c>
      <c r="P957" s="45" t="s">
        <v>26</v>
      </c>
      <c r="Q957" s="46" t="str">
        <f t="array" ref="Q957">XLOOKUP($A957,'Recipients REF'!$A:$A,'Recipients REF'!I:I,"",0)</f>
        <v>KMC5825 APRFPV0601</v>
      </c>
      <c r="R957" s="47" t="str">
        <f t="array" ref="R957">XLOOKUP($A957,'Recipients REF'!$A:$A,'Recipients REF'!J:J,"",0)</f>
        <v>RTS 100581</v>
      </c>
      <c r="S957" s="45" t="s">
        <v>27</v>
      </c>
      <c r="T957" s="45" t="s">
        <v>28</v>
      </c>
      <c r="U957" s="46" t="str">
        <f t="array" ref="U957">XLOOKUP($A957,'Recipients REF'!$A:$A,'Recipients REF'!K:K,"",0)</f>
        <v>RSERIES 961 PH</v>
      </c>
      <c r="V957" s="44" t="s">
        <v>29</v>
      </c>
      <c r="W957" s="45" t="s">
        <v>30</v>
      </c>
      <c r="X957" s="47" t="str">
        <f t="array" ref="X957">XLOOKUP($A957,'Recipients REF'!$A:$A,'Recipients REF'!L:L,"",0)</f>
        <v>LSGW1750 RMP 24020525</v>
      </c>
      <c r="Y957" s="48" t="s">
        <v>29</v>
      </c>
      <c r="Z957" s="48" t="s">
        <v>31</v>
      </c>
      <c r="AA957" s="46" t="str">
        <f t="array" ref="AA957">XLOOKUP($A957,'Recipients REF'!$A:$A,'Recipients REF'!M:M,"",0)</f>
        <v>WDP 40 RMP 2404034</v>
      </c>
      <c r="AB957" s="49"/>
      <c r="AC957" s="42"/>
      <c r="AD957" s="42"/>
      <c r="AE957" s="56">
        <v>8.69066060243533E14</v>
      </c>
      <c r="AF957" s="56" t="s">
        <v>1887</v>
      </c>
      <c r="AG957" s="42"/>
      <c r="AH957" s="42"/>
      <c r="AI957" s="42" t="str">
        <f t="array" ref="AI957">XLOOKUP($E957,Sheet11!$D:$D,Sheet11!$X:$X,"",0)</f>
        <v/>
      </c>
      <c r="AJ957" s="42" t="str">
        <f t="array" ref="AJ957">XLOOKUP($E957,Sheet11!$D:$D,Sheet11!$Y:$Y,"",0)</f>
        <v/>
      </c>
    </row>
    <row r="958">
      <c r="A958" s="41">
        <v>121.0</v>
      </c>
      <c r="B958" s="42" t="s">
        <v>1888</v>
      </c>
      <c r="C958" s="42" t="s">
        <v>1889</v>
      </c>
      <c r="D958" s="42"/>
      <c r="E958" s="42" t="str">
        <f t="shared" ref="E958:F958" si="959">PROPER(B958)</f>
        <v>Farmers Irrigators Assocation Pob. 2 Pura Tarlac, Inc.</v>
      </c>
      <c r="F958" s="42" t="str">
        <f t="shared" si="959"/>
        <v>Poblacion 2, Pura, Tarlac</v>
      </c>
      <c r="G958" s="42" t="str">
        <f t="shared" si="3"/>
        <v>Poblacion 2</v>
      </c>
      <c r="H958" s="42" t="str">
        <f t="shared" si="4"/>
        <v>Pura</v>
      </c>
      <c r="I958" s="42" t="str">
        <f t="shared" si="5"/>
        <v>Tarlac</v>
      </c>
      <c r="J958" s="42" t="str">
        <f t="array" ref="J958">XLOOKUP($E958,'Recipients REF'!$B:$B,'Recipients REF'!D:D,"",0)</f>
        <v>Dionisio A. Javier</v>
      </c>
      <c r="K958" s="42" t="str">
        <f t="array" ref="K958">XLOOKUP($E958,'Recipients REF'!$B:$B,'Recipients REF'!E:E,"",0)</f>
        <v>0948-776-6537</v>
      </c>
      <c r="L958" s="43" t="str">
        <f t="array" ref="L958">XLOOKUP($A958,'Recipients REF'!$A:$A,'Recipients REF'!F:F,"",0)</f>
        <v>RCEF 23-09-21 Rebidding</v>
      </c>
      <c r="M958" s="43">
        <f t="array" ref="M958">XLOOKUP($A958,'Recipients REF'!$A:$A,'Recipients REF'!G:G,"",0)</f>
        <v>3</v>
      </c>
      <c r="N958" s="43">
        <f t="array" ref="N958">XLOOKUP($A958,'Recipients REF'!$A:$A,'Recipients REF'!H:H,"",0)</f>
        <v>17805</v>
      </c>
      <c r="O958" s="44" t="s">
        <v>25</v>
      </c>
      <c r="P958" s="45" t="s">
        <v>26</v>
      </c>
      <c r="Q958" s="46" t="str">
        <f t="array" ref="Q958">XLOOKUP($A958,'Recipients REF'!$A:$A,'Recipients REF'!I:I,"",0)</f>
        <v>KMC5825 ALPFPV0121</v>
      </c>
      <c r="R958" s="47" t="str">
        <f t="array" ref="R958">XLOOKUP($A958,'Recipients REF'!$A:$A,'Recipients REF'!J:J,"",0)</f>
        <v>PTS100102</v>
      </c>
      <c r="S958" s="45" t="s">
        <v>27</v>
      </c>
      <c r="T958" s="45" t="s">
        <v>28</v>
      </c>
      <c r="U958" s="46" t="str">
        <f t="array" ref="U958">XLOOKUP($A958,'Recipients REF'!$A:$A,'Recipients REF'!K:K,"",0)</f>
        <v>R-SERIES 036PH</v>
      </c>
      <c r="V958" s="44" t="s">
        <v>29</v>
      </c>
      <c r="W958" s="45" t="s">
        <v>30</v>
      </c>
      <c r="X958" s="47" t="str">
        <f t="array" ref="X958">XLOOKUP($A958,'Recipients REF'!$A:$A,'Recipients REF'!L:L,"",0)</f>
        <v>LSGW1750-RMP-2312017</v>
      </c>
      <c r="Y958" s="48" t="s">
        <v>29</v>
      </c>
      <c r="Z958" s="48" t="s">
        <v>31</v>
      </c>
      <c r="AA958" s="46" t="str">
        <f t="array" ref="AA958">XLOOKUP($A958,'Recipients REF'!$A:$A,'Recipients REF'!M:M,"",0)</f>
        <v>WDP40-RMP-2312003</v>
      </c>
      <c r="AB958" s="49"/>
      <c r="AC958" s="42"/>
      <c r="AD958" s="42"/>
      <c r="AE958" s="56">
        <v>8.69066060244499E14</v>
      </c>
      <c r="AF958" s="56" t="s">
        <v>1890</v>
      </c>
      <c r="AG958" s="42"/>
      <c r="AH958" s="42"/>
      <c r="AI958" s="42">
        <f t="array" ref="AI958">XLOOKUP($E958,Sheet11!$D:$D,Sheet11!$X:$X,"",0)</f>
        <v>869066060244499</v>
      </c>
      <c r="AJ958" s="42">
        <f t="array" ref="AJ958">XLOOKUP($E958,Sheet11!$D:$D,Sheet11!$Y:$Y,"",0)</f>
        <v>9083805977</v>
      </c>
    </row>
    <row r="959">
      <c r="A959" s="41">
        <v>122.0</v>
      </c>
      <c r="B959" s="42" t="s">
        <v>1891</v>
      </c>
      <c r="C959" s="42" t="s">
        <v>1892</v>
      </c>
      <c r="D959" s="42"/>
      <c r="E959" s="42" t="str">
        <f t="shared" ref="E959:F959" si="960">PROPER(B959)</f>
        <v>Mannalon Nga Naurnos Ti Pura Farmers Association Inc.</v>
      </c>
      <c r="F959" s="42" t="str">
        <f t="shared" si="960"/>
        <v>Estipona, Pura, Tarlac</v>
      </c>
      <c r="G959" s="42" t="str">
        <f t="shared" si="3"/>
        <v>Estipona</v>
      </c>
      <c r="H959" s="42" t="str">
        <f t="shared" si="4"/>
        <v>Pura</v>
      </c>
      <c r="I959" s="42" t="str">
        <f t="shared" si="5"/>
        <v>Tarlac</v>
      </c>
      <c r="J959" s="42" t="str">
        <f t="array" ref="J959">XLOOKUP($E959,'Recipients REF'!$B:$B,'Recipients REF'!D:D,"",0)</f>
        <v>Ceferina G. Pascua</v>
      </c>
      <c r="K959" s="42" t="str">
        <f t="array" ref="K959">XLOOKUP($E959,'Recipients REF'!$B:$B,'Recipients REF'!E:E,"",0)</f>
        <v>0927-529-3448</v>
      </c>
      <c r="L959" s="43" t="str">
        <f t="array" ref="L959">XLOOKUP($A959,'Recipients REF'!$A:$A,'Recipients REF'!F:F,"",0)</f>
        <v>RCEF 23-09-21 Rebidding</v>
      </c>
      <c r="M959" s="43">
        <f t="array" ref="M959">XLOOKUP($A959,'Recipients REF'!$A:$A,'Recipients REF'!G:G,"",0)</f>
        <v>3</v>
      </c>
      <c r="N959" s="43">
        <f t="array" ref="N959">XLOOKUP($A959,'Recipients REF'!$A:$A,'Recipients REF'!H:H,"",0)</f>
        <v>17806</v>
      </c>
      <c r="O959" s="44" t="s">
        <v>25</v>
      </c>
      <c r="P959" s="45" t="s">
        <v>26</v>
      </c>
      <c r="Q959" s="46" t="str">
        <f t="array" ref="Q959">XLOOKUP($A959,'Recipients REF'!$A:$A,'Recipients REF'!I:I,"",0)</f>
        <v>KMC5825 AHPFPV0119</v>
      </c>
      <c r="R959" s="47" t="str">
        <f t="array" ref="R959">XLOOKUP($A959,'Recipients REF'!$A:$A,'Recipients REF'!J:J,"",0)</f>
        <v>PTS100101</v>
      </c>
      <c r="S959" s="45" t="s">
        <v>27</v>
      </c>
      <c r="T959" s="45" t="s">
        <v>28</v>
      </c>
      <c r="U959" s="46" t="str">
        <f t="array" ref="U959">XLOOKUP($A959,'Recipients REF'!$A:$A,'Recipients REF'!K:K,"",0)</f>
        <v>R-SERIES 091PH</v>
      </c>
      <c r="V959" s="44" t="s">
        <v>29</v>
      </c>
      <c r="W959" s="45" t="s">
        <v>30</v>
      </c>
      <c r="X959" s="47" t="str">
        <f t="array" ref="X959">XLOOKUP($A959,'Recipients REF'!$A:$A,'Recipients REF'!L:L,"",0)</f>
        <v>LSGW1750-RMP-2312021</v>
      </c>
      <c r="Y959" s="48" t="s">
        <v>29</v>
      </c>
      <c r="Z959" s="48" t="s">
        <v>31</v>
      </c>
      <c r="AA959" s="46" t="str">
        <f t="array" ref="AA959">XLOOKUP($A959,'Recipients REF'!$A:$A,'Recipients REF'!M:M,"",0)</f>
        <v>WDP40-RMP-2312024</v>
      </c>
      <c r="AB959" s="49"/>
      <c r="AC959" s="42"/>
      <c r="AD959" s="42"/>
      <c r="AE959" s="56">
        <v>8.69066063805387E14</v>
      </c>
      <c r="AF959" s="56" t="s">
        <v>1893</v>
      </c>
      <c r="AG959" s="42"/>
      <c r="AH959" s="42"/>
      <c r="AI959" s="42">
        <f t="array" ref="AI959">XLOOKUP($E959,Sheet11!$D:$D,Sheet11!$X:$X,"",0)</f>
        <v>869066060242998</v>
      </c>
      <c r="AJ959" s="42">
        <f t="array" ref="AJ959">XLOOKUP($E959,Sheet11!$D:$D,Sheet11!$Y:$Y,"",0)</f>
        <v>9693311923</v>
      </c>
    </row>
    <row r="960">
      <c r="A960" s="41">
        <v>123.0</v>
      </c>
      <c r="B960" s="42" t="s">
        <v>1894</v>
      </c>
      <c r="C960" s="42" t="s">
        <v>1889</v>
      </c>
      <c r="D960" s="42"/>
      <c r="E960" s="42" t="str">
        <f t="shared" ref="E960:F960" si="961">PROPER(B960)</f>
        <v>Pura Farmers Agriculture Cooperative (Pfac)</v>
      </c>
      <c r="F960" s="42" t="str">
        <f t="shared" si="961"/>
        <v>Poblacion 2, Pura, Tarlac</v>
      </c>
      <c r="G960" s="42" t="str">
        <f t="shared" si="3"/>
        <v>Poblacion 2</v>
      </c>
      <c r="H960" s="42" t="str">
        <f t="shared" si="4"/>
        <v>Pura</v>
      </c>
      <c r="I960" s="42" t="str">
        <f t="shared" si="5"/>
        <v>Tarlac</v>
      </c>
      <c r="J960" s="42" t="str">
        <f t="array" ref="J960">XLOOKUP($E960,'Recipients REF'!$B:$B,'Recipients REF'!D:D,"",0)</f>
        <v>Severino P. Mendoza Jr.</v>
      </c>
      <c r="K960" s="42" t="str">
        <f t="array" ref="K960">XLOOKUP($E960,'Recipients REF'!$B:$B,'Recipients REF'!E:E,"",0)</f>
        <v>0917-709-5703</v>
      </c>
      <c r="L960" s="43" t="str">
        <f t="array" ref="L960">XLOOKUP($A960,'Recipients REF'!$A:$A,'Recipients REF'!F:F,"",0)</f>
        <v>RCEF 23-09-21 Rebidding</v>
      </c>
      <c r="M960" s="43">
        <f t="array" ref="M960">XLOOKUP($A960,'Recipients REF'!$A:$A,'Recipients REF'!G:G,"",0)</f>
        <v>3</v>
      </c>
      <c r="N960" s="43">
        <f t="array" ref="N960">XLOOKUP($A960,'Recipients REF'!$A:$A,'Recipients REF'!H:H,"",0)</f>
        <v>17807</v>
      </c>
      <c r="O960" s="44" t="s">
        <v>25</v>
      </c>
      <c r="P960" s="45" t="s">
        <v>26</v>
      </c>
      <c r="Q960" s="46" t="str">
        <f t="array" ref="Q960">XLOOKUP($A960,'Recipients REF'!$A:$A,'Recipients REF'!I:I,"",0)</f>
        <v>KMC5825 AJPFPV0081</v>
      </c>
      <c r="R960" s="47" t="str">
        <f t="array" ref="R960">XLOOKUP($A960,'Recipients REF'!$A:$A,'Recipients REF'!J:J,"",0)</f>
        <v>PTS100110</v>
      </c>
      <c r="S960" s="45" t="s">
        <v>27</v>
      </c>
      <c r="T960" s="45" t="s">
        <v>28</v>
      </c>
      <c r="U960" s="46" t="str">
        <f t="array" ref="U960">XLOOKUP($A960,'Recipients REF'!$A:$A,'Recipients REF'!K:K,"",0)</f>
        <v>R-SERIES 037PH</v>
      </c>
      <c r="V960" s="44" t="s">
        <v>29</v>
      </c>
      <c r="W960" s="45" t="s">
        <v>30</v>
      </c>
      <c r="X960" s="47" t="str">
        <f t="array" ref="X960">XLOOKUP($A960,'Recipients REF'!$A:$A,'Recipients REF'!L:L,"",0)</f>
        <v>LSGW1750-RMP-2312040</v>
      </c>
      <c r="Y960" s="48" t="s">
        <v>29</v>
      </c>
      <c r="Z960" s="48" t="s">
        <v>31</v>
      </c>
      <c r="AA960" s="46" t="str">
        <f t="array" ref="AA960">XLOOKUP($A960,'Recipients REF'!$A:$A,'Recipients REF'!M:M,"",0)</f>
        <v>WDP40-RMP-2312071</v>
      </c>
      <c r="AB960" s="49"/>
      <c r="AC960" s="42"/>
      <c r="AD960" s="42"/>
      <c r="AE960" s="59">
        <v>8.69066063801592E14</v>
      </c>
      <c r="AF960" s="56" t="s">
        <v>1895</v>
      </c>
      <c r="AG960" s="42"/>
      <c r="AH960" s="42"/>
      <c r="AI960" s="42">
        <f t="array" ref="AI960">XLOOKUP($E960,Sheet11!$D:$D,Sheet11!$X:$X,"",0)</f>
        <v>869066060241800</v>
      </c>
      <c r="AJ960" s="42">
        <f t="array" ref="AJ960">XLOOKUP($E960,Sheet11!$D:$D,Sheet11!$Y:$Y,"",0)</f>
        <v>9087870942</v>
      </c>
    </row>
    <row r="961">
      <c r="A961" s="41">
        <v>124.0</v>
      </c>
      <c r="B961" s="42" t="s">
        <v>1896</v>
      </c>
      <c r="C961" s="42" t="s">
        <v>1897</v>
      </c>
      <c r="D961" s="42"/>
      <c r="E961" s="42" t="str">
        <f t="shared" ref="E961:F961" si="962">PROPER(B961)</f>
        <v>Bakara Farmers Agriculture Cooperative (Bfac)</v>
      </c>
      <c r="F961" s="42" t="str">
        <f t="shared" si="962"/>
        <v>Toledo, Ramos, Tarlac</v>
      </c>
      <c r="G961" s="42" t="str">
        <f t="shared" si="3"/>
        <v>Toledo</v>
      </c>
      <c r="H961" s="42" t="str">
        <f t="shared" si="4"/>
        <v>Ramos</v>
      </c>
      <c r="I961" s="42" t="str">
        <f t="shared" si="5"/>
        <v>Tarlac</v>
      </c>
      <c r="J961" s="42" t="str">
        <f t="array" ref="J961">XLOOKUP($E961,'Recipients REF'!$B:$B,'Recipients REF'!D:D,"",0)</f>
        <v>Oliver R. Mandapat</v>
      </c>
      <c r="K961" s="42" t="str">
        <f t="array" ref="K961">XLOOKUP($E961,'Recipients REF'!$B:$B,'Recipients REF'!E:E,"",0)</f>
        <v>0939-512-2970</v>
      </c>
      <c r="L961" s="43" t="str">
        <f t="array" ref="L961">XLOOKUP($A961,'Recipients REF'!$A:$A,'Recipients REF'!F:F,"",0)</f>
        <v>RCEF 23-09-21 Rebidding</v>
      </c>
      <c r="M961" s="43">
        <f t="array" ref="M961">XLOOKUP($A961,'Recipients REF'!$A:$A,'Recipients REF'!G:G,"",0)</f>
        <v>3</v>
      </c>
      <c r="N961" s="43">
        <f t="array" ref="N961">XLOOKUP($A961,'Recipients REF'!$A:$A,'Recipients REF'!H:H,"",0)</f>
        <v>17808</v>
      </c>
      <c r="O961" s="44" t="s">
        <v>25</v>
      </c>
      <c r="P961" s="45" t="s">
        <v>26</v>
      </c>
      <c r="Q961" s="46" t="str">
        <f t="array" ref="Q961">XLOOKUP($A961,'Recipients REF'!$A:$A,'Recipients REF'!I:I,"",0)</f>
        <v>KMC5825 ACPFPV0074</v>
      </c>
      <c r="R961" s="47" t="str">
        <f t="array" ref="R961">XLOOKUP($A961,'Recipients REF'!$A:$A,'Recipients REF'!J:J,"",0)</f>
        <v>PTS100059</v>
      </c>
      <c r="S961" s="45" t="s">
        <v>27</v>
      </c>
      <c r="T961" s="45" t="s">
        <v>28</v>
      </c>
      <c r="U961" s="46" t="str">
        <f t="array" ref="U961">XLOOKUP($A961,'Recipients REF'!$A:$A,'Recipients REF'!K:K,"",0)</f>
        <v>R-SERIES 078PH</v>
      </c>
      <c r="V961" s="44" t="s">
        <v>29</v>
      </c>
      <c r="W961" s="45" t="s">
        <v>30</v>
      </c>
      <c r="X961" s="47" t="str">
        <f t="array" ref="X961">XLOOKUP($A961,'Recipients REF'!$A:$A,'Recipients REF'!L:L,"",0)</f>
        <v>LSGW1750-RMP-2312044</v>
      </c>
      <c r="Y961" s="48" t="s">
        <v>29</v>
      </c>
      <c r="Z961" s="48" t="s">
        <v>31</v>
      </c>
      <c r="AA961" s="46" t="str">
        <f t="array" ref="AA961">XLOOKUP($A961,'Recipients REF'!$A:$A,'Recipients REF'!M:M,"",0)</f>
        <v>WDP40-RMP-2312067</v>
      </c>
      <c r="AB961" s="49"/>
      <c r="AC961" s="42"/>
      <c r="AD961" s="42"/>
      <c r="AE961" s="56">
        <v>8.69066063801675E14</v>
      </c>
      <c r="AF961" s="56" t="s">
        <v>1898</v>
      </c>
      <c r="AG961" s="42"/>
      <c r="AH961" s="42"/>
      <c r="AI961" s="42">
        <f t="array" ref="AI961">XLOOKUP($E961,Sheet11!$D:$D,Sheet11!$X:$X,"",0)</f>
        <v>869066060242378</v>
      </c>
      <c r="AJ961" s="42">
        <f t="array" ref="AJ961">XLOOKUP($E961,Sheet11!$D:$D,Sheet11!$Y:$Y,"",0)</f>
        <v>9692723534</v>
      </c>
    </row>
    <row r="962">
      <c r="A962" s="41">
        <v>595.0</v>
      </c>
      <c r="B962" s="42" t="s">
        <v>1899</v>
      </c>
      <c r="C962" s="42" t="s">
        <v>1900</v>
      </c>
      <c r="D962" s="42"/>
      <c r="E962" s="42" t="str">
        <f t="shared" ref="E962:F962" si="963">PROPER(B962)</f>
        <v>Gp 125 Irrigation Service Association Inc.</v>
      </c>
      <c r="F962" s="42" t="str">
        <f t="shared" si="963"/>
        <v>Pance, Ramos, Tarlac</v>
      </c>
      <c r="G962" s="42" t="str">
        <f t="shared" si="3"/>
        <v>Pance</v>
      </c>
      <c r="H962" s="42" t="str">
        <f t="shared" si="4"/>
        <v>Ramos</v>
      </c>
      <c r="I962" s="42" t="str">
        <f t="shared" si="5"/>
        <v>Tarlac</v>
      </c>
      <c r="J962" s="42" t="str">
        <f t="array" ref="J962">XLOOKUP($E962,'Recipients REF'!$B:$B,'Recipients REF'!D:D,"",0)</f>
        <v>Evelyn M. Fontillas</v>
      </c>
      <c r="K962" s="42">
        <f t="array" ref="K962">XLOOKUP($E962,'Recipients REF'!$B:$B,'Recipients REF'!E:E,"",0)</f>
        <v>9702028212</v>
      </c>
      <c r="L962" s="43" t="str">
        <f t="array" ref="L962">XLOOKUP($A962,'Recipients REF'!$A:$A,'Recipients REF'!F:F,"",0)</f>
        <v>RCEF 24-04-15</v>
      </c>
      <c r="M962" s="43">
        <f t="array" ref="M962">XLOOKUP($A962,'Recipients REF'!$A:$A,'Recipients REF'!G:G,"",0)</f>
        <v>6</v>
      </c>
      <c r="N962" s="43">
        <f t="array" ref="N962">XLOOKUP($A962,'Recipients REF'!$A:$A,'Recipients REF'!H:H,"",0)</f>
        <v>22348</v>
      </c>
      <c r="O962" s="44" t="s">
        <v>25</v>
      </c>
      <c r="P962" s="45" t="s">
        <v>26</v>
      </c>
      <c r="Q962" s="46" t="str">
        <f t="array" ref="Q962">XLOOKUP($A962,'Recipients REF'!$A:$A,'Recipients REF'!I:I,"",0)</f>
        <v>KMC5825AKRFPV0955</v>
      </c>
      <c r="R962" s="47" t="str">
        <f t="array" ref="R962">XLOOKUP($A962,'Recipients REF'!$A:$A,'Recipients REF'!J:J,"",0)</f>
        <v>RTS100670</v>
      </c>
      <c r="S962" s="45" t="s">
        <v>27</v>
      </c>
      <c r="T962" s="45" t="s">
        <v>28</v>
      </c>
      <c r="U962" s="46" t="str">
        <f t="array" ref="U962">XLOOKUP($A962,'Recipients REF'!$A:$A,'Recipients REF'!K:K,"",0)</f>
        <v>LSGW170-RMP-24101002</v>
      </c>
      <c r="V962" s="44" t="s">
        <v>29</v>
      </c>
      <c r="W962" s="45" t="s">
        <v>30</v>
      </c>
      <c r="X962" s="47" t="str">
        <f t="array" ref="X962">XLOOKUP($A962,'Recipients REF'!$A:$A,'Recipients REF'!L:L,"",0)</f>
        <v>WDP40-RMP-24111386</v>
      </c>
      <c r="Y962" s="48" t="s">
        <v>29</v>
      </c>
      <c r="Z962" s="48" t="s">
        <v>31</v>
      </c>
      <c r="AA962" s="46" t="str">
        <f t="array" ref="AA962">XLOOKUP($A962,'Recipients REF'!$A:$A,'Recipients REF'!M:M,"",0)</f>
        <v>WR-SERIES-1022PH</v>
      </c>
      <c r="AB962" s="49"/>
      <c r="AC962" s="42"/>
      <c r="AD962" s="42"/>
      <c r="AE962" s="60">
        <v>8.69066060018828E14</v>
      </c>
      <c r="AF962" s="56">
        <v>3.23250006123649E14</v>
      </c>
      <c r="AG962" s="42"/>
      <c r="AH962" s="42"/>
      <c r="AI962" s="42" t="str">
        <f t="array" ref="AI962">XLOOKUP($E962,Sheet11!$D:$D,Sheet11!$X:$X,"",0)</f>
        <v/>
      </c>
      <c r="AJ962" s="42" t="str">
        <f t="array" ref="AJ962">XLOOKUP($E962,Sheet11!$D:$D,Sheet11!$Y:$Y,"",0)</f>
        <v/>
      </c>
    </row>
    <row r="963">
      <c r="A963" s="41">
        <v>713.0</v>
      </c>
      <c r="B963" s="42" t="s">
        <v>1901</v>
      </c>
      <c r="C963" s="42" t="s">
        <v>1902</v>
      </c>
      <c r="D963" s="42"/>
      <c r="E963" s="42" t="str">
        <f t="shared" ref="E963:F963" si="964">PROPER(B963)</f>
        <v>Gp-124 Irrigation Services Association Inc.</v>
      </c>
      <c r="F963" s="42" t="str">
        <f t="shared" si="964"/>
        <v>Coral-Iloco, Ramos, Tarlac</v>
      </c>
      <c r="G963" s="42" t="str">
        <f t="shared" si="3"/>
        <v>Coral-Iloco</v>
      </c>
      <c r="H963" s="42" t="str">
        <f t="shared" si="4"/>
        <v>Ramos</v>
      </c>
      <c r="I963" s="42" t="str">
        <f t="shared" si="5"/>
        <v>Tarlac</v>
      </c>
      <c r="J963" s="42" t="str">
        <f t="array" ref="J963">XLOOKUP($E963,'Recipients REF'!$B:$B,'Recipients REF'!D:D,"",0)</f>
        <v>Gregoria J. Manglicmot</v>
      </c>
      <c r="K963" s="42" t="str">
        <f t="array" ref="K963">XLOOKUP($E963,'Recipients REF'!$B:$B,'Recipients REF'!E:E,"",0)</f>
        <v>0917-362-7681</v>
      </c>
      <c r="L963" s="43" t="str">
        <f t="array" ref="L963">XLOOKUP($A963,'Recipients REF'!$A:$A,'Recipients REF'!F:F,"",0)</f>
        <v>RCEF 25-03-05</v>
      </c>
      <c r="M963" s="43">
        <f t="array" ref="M963">XLOOKUP($A963,'Recipients REF'!$A:$A,'Recipients REF'!G:G,"",0)</f>
        <v>5</v>
      </c>
      <c r="N963" s="43" t="str">
        <f t="array" ref="N963">XLOOKUP($A963,'Recipients REF'!$A:$A,'Recipients REF'!H:H,"",0)</f>
        <v>26530 &amp; 27711</v>
      </c>
      <c r="O963" s="44" t="s">
        <v>25</v>
      </c>
      <c r="P963" s="45" t="s">
        <v>26</v>
      </c>
      <c r="Q963" s="46" t="str">
        <f t="array" ref="Q963">XLOOKUP($A963,'Recipients REF'!$A:$A,'Recipients REF'!I:I,"",0)</f>
        <v>KMC5825 AJSFPV0154</v>
      </c>
      <c r="R963" s="53" t="str">
        <f t="array" ref="R963">XLOOKUP($A963,'Recipients REF'!$A:$A,'Recipients REF'!J:J,"",0)</f>
        <v>STS100139</v>
      </c>
      <c r="S963" s="45" t="s">
        <v>27</v>
      </c>
      <c r="T963" s="45" t="s">
        <v>28</v>
      </c>
      <c r="U963" s="46" t="str">
        <f t="array" ref="U963">XLOOKUP($A963,'Recipients REF'!$A:$A,'Recipients REF'!K:K,"",0)</f>
        <v>R-SERIES 311PH</v>
      </c>
      <c r="V963" s="44" t="s">
        <v>29</v>
      </c>
      <c r="W963" s="45" t="s">
        <v>30</v>
      </c>
      <c r="X963" s="53" t="str">
        <f t="array" ref="X963">XLOOKUP($A963,'Recipients REF'!$A:$A,'Recipients REF'!L:L,"",0)</f>
        <v>25080376</v>
      </c>
      <c r="Y963" s="48" t="s">
        <v>29</v>
      </c>
      <c r="Z963" s="48" t="s">
        <v>31</v>
      </c>
      <c r="AA963" s="54" t="str">
        <f t="array" ref="AA963">XLOOKUP($A963,'Recipients REF'!$A:$A,'Recipients REF'!M:M,"",0)</f>
        <v>25080880</v>
      </c>
      <c r="AB963" s="49"/>
      <c r="AC963" s="42"/>
      <c r="AD963" s="42"/>
      <c r="AE963" s="56">
        <v>8.69066063784947E14</v>
      </c>
      <c r="AF963" s="56">
        <v>3.23250006120611E14</v>
      </c>
      <c r="AG963" s="42"/>
      <c r="AH963" s="42"/>
      <c r="AI963" s="42" t="str">
        <f t="array" ref="AI963">XLOOKUP($E963,Sheet11!$D:$D,Sheet11!$X:$X,"",0)</f>
        <v/>
      </c>
      <c r="AJ963" s="42" t="str">
        <f t="array" ref="AJ963">XLOOKUP($E963,Sheet11!$D:$D,Sheet11!$Y:$Y,"",0)</f>
        <v/>
      </c>
    </row>
    <row r="964">
      <c r="A964" s="41">
        <v>714.0</v>
      </c>
      <c r="B964" s="42" t="s">
        <v>1903</v>
      </c>
      <c r="C964" s="42" t="s">
        <v>1902</v>
      </c>
      <c r="D964" s="42"/>
      <c r="E964" s="42" t="str">
        <f t="shared" ref="E964:F964" si="965">PROPER(B964)</f>
        <v>Mandala Farmers Agriculture Cooperative (Mfc)</v>
      </c>
      <c r="F964" s="42" t="str">
        <f t="shared" si="965"/>
        <v>Coral-Iloco, Ramos, Tarlac</v>
      </c>
      <c r="G964" s="42" t="str">
        <f t="shared" si="3"/>
        <v>Coral-Iloco</v>
      </c>
      <c r="H964" s="42" t="str">
        <f t="shared" si="4"/>
        <v>Ramos</v>
      </c>
      <c r="I964" s="42" t="str">
        <f t="shared" si="5"/>
        <v>Tarlac</v>
      </c>
      <c r="J964" s="42" t="str">
        <f t="array" ref="J964">XLOOKUP($E964,'Recipients REF'!$B:$B,'Recipients REF'!D:D,"",0)</f>
        <v>Christopher R. Tawatao</v>
      </c>
      <c r="K964" s="42" t="str">
        <f t="array" ref="K964">XLOOKUP($E964,'Recipients REF'!$B:$B,'Recipients REF'!E:E,"",0)</f>
        <v>0951-156-2616</v>
      </c>
      <c r="L964" s="43" t="str">
        <f t="array" ref="L964">XLOOKUP($A964,'Recipients REF'!$A:$A,'Recipients REF'!F:F,"",0)</f>
        <v>RCEF 25-03-05</v>
      </c>
      <c r="M964" s="43">
        <f t="array" ref="M964">XLOOKUP($A964,'Recipients REF'!$A:$A,'Recipients REF'!G:G,"",0)</f>
        <v>5</v>
      </c>
      <c r="N964" s="43" t="str">
        <f t="array" ref="N964">XLOOKUP($A964,'Recipients REF'!$A:$A,'Recipients REF'!H:H,"",0)</f>
        <v>26531 &amp; 27712</v>
      </c>
      <c r="O964" s="44" t="s">
        <v>25</v>
      </c>
      <c r="P964" s="45" t="s">
        <v>26</v>
      </c>
      <c r="Q964" s="46" t="str">
        <f t="array" ref="Q964">XLOOKUP($A964,'Recipients REF'!$A:$A,'Recipients REF'!I:I,"",0)</f>
        <v>KMC5825 ACSFPV0391</v>
      </c>
      <c r="R964" s="53" t="str">
        <f t="array" ref="R964">XLOOKUP($A964,'Recipients REF'!$A:$A,'Recipients REF'!J:J,"",0)</f>
        <v>STS100444</v>
      </c>
      <c r="S964" s="45" t="s">
        <v>27</v>
      </c>
      <c r="T964" s="45" t="s">
        <v>28</v>
      </c>
      <c r="U964" s="46" t="str">
        <f t="array" ref="U964">XLOOKUP($A964,'Recipients REF'!$A:$A,'Recipients REF'!K:K,"",0)</f>
        <v>WR-SERIES 128</v>
      </c>
      <c r="V964" s="44" t="s">
        <v>29</v>
      </c>
      <c r="W964" s="45" t="s">
        <v>30</v>
      </c>
      <c r="X964" s="53" t="str">
        <f t="array" ref="X964">XLOOKUP($A964,'Recipients REF'!$A:$A,'Recipients REF'!L:L,"",0)</f>
        <v>25080359</v>
      </c>
      <c r="Y964" s="48" t="s">
        <v>29</v>
      </c>
      <c r="Z964" s="48" t="s">
        <v>31</v>
      </c>
      <c r="AA964" s="54" t="str">
        <f t="array" ref="AA964">XLOOKUP($A964,'Recipients REF'!$A:$A,'Recipients REF'!M:M,"",0)</f>
        <v>25080859</v>
      </c>
      <c r="AB964" s="49"/>
      <c r="AC964" s="42"/>
      <c r="AD964" s="42"/>
      <c r="AE964" s="60">
        <v>8.69066063804182E14</v>
      </c>
      <c r="AF964" s="56" t="s">
        <v>1904</v>
      </c>
      <c r="AG964" s="42"/>
      <c r="AH964" s="42"/>
      <c r="AI964" s="42" t="str">
        <f t="array" ref="AI964">XLOOKUP($E964,Sheet11!$D:$D,Sheet11!$X:$X,"",0)</f>
        <v/>
      </c>
      <c r="AJ964" s="42" t="str">
        <f t="array" ref="AJ964">XLOOKUP($E964,Sheet11!$D:$D,Sheet11!$Y:$Y,"",0)</f>
        <v/>
      </c>
    </row>
    <row r="965">
      <c r="A965" s="41">
        <v>125.0</v>
      </c>
      <c r="B965" s="42" t="s">
        <v>1905</v>
      </c>
      <c r="C965" s="42" t="s">
        <v>1906</v>
      </c>
      <c r="D965" s="42"/>
      <c r="E965" s="42" t="str">
        <f t="shared" ref="E965:F965" si="966">PROPER(B965)</f>
        <v>Bamban Farmers And Livestock Association</v>
      </c>
      <c r="F965" s="42" t="str">
        <f t="shared" si="966"/>
        <v>Bamban, San Clemente, Tarlac</v>
      </c>
      <c r="G965" s="42" t="str">
        <f t="shared" si="3"/>
        <v>Bamban</v>
      </c>
      <c r="H965" s="42" t="str">
        <f t="shared" si="4"/>
        <v>San Clemente</v>
      </c>
      <c r="I965" s="42" t="str">
        <f t="shared" si="5"/>
        <v>Tarlac</v>
      </c>
      <c r="J965" s="42" t="str">
        <f t="array" ref="J965">XLOOKUP($E965,'Recipients REF'!$B:$B,'Recipients REF'!D:D,"",0)</f>
        <v>Modesto Alcala Jr.</v>
      </c>
      <c r="K965" s="42" t="str">
        <f t="array" ref="K965">XLOOKUP($E965,'Recipients REF'!$B:$B,'Recipients REF'!E:E,"",0)</f>
        <v>0910-140-0813</v>
      </c>
      <c r="L965" s="43" t="str">
        <f t="array" ref="L965">XLOOKUP($A965,'Recipients REF'!$A:$A,'Recipients REF'!F:F,"",0)</f>
        <v>RCEF 23-09-21 Rebidding</v>
      </c>
      <c r="M965" s="43">
        <f t="array" ref="M965">XLOOKUP($A965,'Recipients REF'!$A:$A,'Recipients REF'!G:G,"",0)</f>
        <v>3</v>
      </c>
      <c r="N965" s="43">
        <f t="array" ref="N965">XLOOKUP($A965,'Recipients REF'!$A:$A,'Recipients REF'!H:H,"",0)</f>
        <v>17809</v>
      </c>
      <c r="O965" s="44" t="s">
        <v>25</v>
      </c>
      <c r="P965" s="45" t="s">
        <v>26</v>
      </c>
      <c r="Q965" s="46" t="str">
        <f t="array" ref="Q965">XLOOKUP($A965,'Recipients REF'!$A:$A,'Recipients REF'!I:I,"",0)</f>
        <v>KMC5825 ACPFPV0065</v>
      </c>
      <c r="R965" s="47" t="str">
        <f t="array" ref="R965">XLOOKUP($A965,'Recipients REF'!$A:$A,'Recipients REF'!J:J,"",0)</f>
        <v>PTS100135</v>
      </c>
      <c r="S965" s="45" t="s">
        <v>27</v>
      </c>
      <c r="T965" s="45" t="s">
        <v>28</v>
      </c>
      <c r="U965" s="46" t="str">
        <f t="array" ref="U965">XLOOKUP($A965,'Recipients REF'!$A:$A,'Recipients REF'!K:K,"",0)</f>
        <v>R-SERIES 081PH</v>
      </c>
      <c r="V965" s="44" t="s">
        <v>29</v>
      </c>
      <c r="W965" s="45" t="s">
        <v>30</v>
      </c>
      <c r="X965" s="47" t="str">
        <f t="array" ref="X965">XLOOKUP($A965,'Recipients REF'!$A:$A,'Recipients REF'!L:L,"",0)</f>
        <v>LSGW1750-RMP-2312037</v>
      </c>
      <c r="Y965" s="48" t="s">
        <v>29</v>
      </c>
      <c r="Z965" s="48" t="s">
        <v>31</v>
      </c>
      <c r="AA965" s="46" t="str">
        <f t="array" ref="AA965">XLOOKUP($A965,'Recipients REF'!$A:$A,'Recipients REF'!M:M,"",0)</f>
        <v>WDP40-RMP-2312075</v>
      </c>
      <c r="AB965" s="49"/>
      <c r="AC965" s="42"/>
      <c r="AD965" s="42"/>
      <c r="AE965" s="51"/>
      <c r="AF965" s="42"/>
      <c r="AG965" s="42"/>
      <c r="AH965" s="42"/>
      <c r="AI965" s="42">
        <f t="array" ref="AI965">XLOOKUP($E965,Sheet11!$D:$D,Sheet11!$X:$X,"",0)</f>
        <v>869066060242378</v>
      </c>
      <c r="AJ965" s="42">
        <f t="array" ref="AJ965">XLOOKUP($E965,Sheet11!$D:$D,Sheet11!$Y:$Y,"",0)</f>
        <v>9692394501</v>
      </c>
    </row>
    <row r="966">
      <c r="A966" s="41">
        <v>715.0</v>
      </c>
      <c r="B966" s="42" t="s">
        <v>1907</v>
      </c>
      <c r="C966" s="42" t="s">
        <v>1908</v>
      </c>
      <c r="D966" s="42"/>
      <c r="E966" s="42" t="str">
        <f t="shared" ref="E966:F966" si="967">PROPER(B966)</f>
        <v>Balloc Farmers Association</v>
      </c>
      <c r="F966" s="42" t="str">
        <f t="shared" si="967"/>
        <v>Balloc, San Clemente, Tarlac</v>
      </c>
      <c r="G966" s="42" t="str">
        <f t="shared" si="3"/>
        <v>Balloc</v>
      </c>
      <c r="H966" s="42" t="str">
        <f t="shared" si="4"/>
        <v>San Clemente</v>
      </c>
      <c r="I966" s="42" t="str">
        <f t="shared" si="5"/>
        <v>Tarlac</v>
      </c>
      <c r="J966" s="42" t="str">
        <f t="array" ref="J966">XLOOKUP($E966,'Recipients REF'!$B:$B,'Recipients REF'!D:D,"",0)</f>
        <v>Jun P. Rivera</v>
      </c>
      <c r="K966" s="42" t="str">
        <f t="array" ref="K966">XLOOKUP($E966,'Recipients REF'!$B:$B,'Recipients REF'!E:E,"",0)</f>
        <v>0977-133-9469</v>
      </c>
      <c r="L966" s="43" t="str">
        <f t="array" ref="L966">XLOOKUP($A966,'Recipients REF'!$A:$A,'Recipients REF'!F:F,"",0)</f>
        <v>RCEF 25-03-05</v>
      </c>
      <c r="M966" s="43">
        <f t="array" ref="M966">XLOOKUP($A966,'Recipients REF'!$A:$A,'Recipients REF'!G:G,"",0)</f>
        <v>5</v>
      </c>
      <c r="N966" s="43" t="str">
        <f t="array" ref="N966">XLOOKUP($A966,'Recipients REF'!$A:$A,'Recipients REF'!H:H,"",0)</f>
        <v>26532 &amp; 27713</v>
      </c>
      <c r="O966" s="44" t="s">
        <v>25</v>
      </c>
      <c r="P966" s="45" t="s">
        <v>26</v>
      </c>
      <c r="Q966" s="46" t="str">
        <f t="array" ref="Q966">XLOOKUP($A966,'Recipients REF'!$A:$A,'Recipients REF'!I:I,"",0)</f>
        <v>KMC5825 ACSFPV0397</v>
      </c>
      <c r="R966" s="53" t="str">
        <f t="array" ref="R966">XLOOKUP($A966,'Recipients REF'!$A:$A,'Recipients REF'!J:J,"",0)</f>
        <v>STS100393</v>
      </c>
      <c r="S966" s="45" t="s">
        <v>27</v>
      </c>
      <c r="T966" s="45" t="s">
        <v>28</v>
      </c>
      <c r="U966" s="46" t="str">
        <f t="array" ref="U966">XLOOKUP($A966,'Recipients REF'!$A:$A,'Recipients REF'!K:K,"",0)</f>
        <v>R-SERIES 245PH</v>
      </c>
      <c r="V966" s="44" t="s">
        <v>29</v>
      </c>
      <c r="W966" s="45" t="s">
        <v>30</v>
      </c>
      <c r="X966" s="53" t="str">
        <f t="array" ref="X966">XLOOKUP($A966,'Recipients REF'!$A:$A,'Recipients REF'!L:L,"",0)</f>
        <v>25080354</v>
      </c>
      <c r="Y966" s="48" t="s">
        <v>29</v>
      </c>
      <c r="Z966" s="48" t="s">
        <v>31</v>
      </c>
      <c r="AA966" s="54" t="str">
        <f t="array" ref="AA966">XLOOKUP($A966,'Recipients REF'!$A:$A,'Recipients REF'!M:M,"",0)</f>
        <v>25080875</v>
      </c>
      <c r="AB966" s="49"/>
      <c r="AC966" s="42"/>
      <c r="AD966" s="42"/>
      <c r="AE966" s="50"/>
      <c r="AF966" s="42"/>
      <c r="AG966" s="42"/>
      <c r="AH966" s="42"/>
      <c r="AI966" s="42" t="str">
        <f t="array" ref="AI966">XLOOKUP($E966,Sheet11!$D:$D,Sheet11!$X:$X,"",0)</f>
        <v/>
      </c>
      <c r="AJ966" s="42" t="str">
        <f t="array" ref="AJ966">XLOOKUP($E966,Sheet11!$D:$D,Sheet11!$Y:$Y,"",0)</f>
        <v/>
      </c>
    </row>
    <row r="967">
      <c r="A967" s="41">
        <v>127.0</v>
      </c>
      <c r="B967" s="42" t="s">
        <v>1909</v>
      </c>
      <c r="C967" s="42" t="s">
        <v>1910</v>
      </c>
      <c r="D967" s="42"/>
      <c r="E967" s="42" t="str">
        <f t="shared" ref="E967:F967" si="968">PROPER(B967)</f>
        <v>Association Of Hardworking Farmers Of San Jose</v>
      </c>
      <c r="F967" s="42" t="str">
        <f t="shared" si="968"/>
        <v>Mababanaba, San Jose, Tarlac</v>
      </c>
      <c r="G967" s="42" t="str">
        <f t="shared" si="3"/>
        <v>Mababanaba</v>
      </c>
      <c r="H967" s="42" t="str">
        <f t="shared" si="4"/>
        <v>San Jose</v>
      </c>
      <c r="I967" s="42" t="str">
        <f t="shared" si="5"/>
        <v>Tarlac</v>
      </c>
      <c r="J967" s="42" t="str">
        <f t="array" ref="J967">XLOOKUP($E967,'Recipients REF'!$B:$B,'Recipients REF'!D:D,"",0)</f>
        <v>Rey P. Rombaoa</v>
      </c>
      <c r="K967" s="42" t="str">
        <f t="array" ref="K967">XLOOKUP($E967,'Recipients REF'!$B:$B,'Recipients REF'!E:E,"",0)</f>
        <v>0963-680-5444</v>
      </c>
      <c r="L967" s="43" t="str">
        <f t="array" ref="L967">XLOOKUP($A967,'Recipients REF'!$A:$A,'Recipients REF'!F:F,"",0)</f>
        <v>RCEF 23-09-21 Rebidding</v>
      </c>
      <c r="M967" s="43">
        <f t="array" ref="M967">XLOOKUP($A967,'Recipients REF'!$A:$A,'Recipients REF'!G:G,"",0)</f>
        <v>3</v>
      </c>
      <c r="N967" s="43">
        <f t="array" ref="N967">XLOOKUP($A967,'Recipients REF'!$A:$A,'Recipients REF'!H:H,"",0)</f>
        <v>17811</v>
      </c>
      <c r="O967" s="44" t="s">
        <v>25</v>
      </c>
      <c r="P967" s="45" t="s">
        <v>26</v>
      </c>
      <c r="Q967" s="46" t="str">
        <f t="array" ref="Q967">XLOOKUP($A967,'Recipients REF'!$A:$A,'Recipients REF'!I:I,"",0)</f>
        <v>KMC5825 AKPFPV0113</v>
      </c>
      <c r="R967" s="47" t="str">
        <f t="array" ref="R967">XLOOKUP($A967,'Recipients REF'!$A:$A,'Recipients REF'!J:J,"",0)</f>
        <v>PTS100099</v>
      </c>
      <c r="S967" s="45" t="s">
        <v>27</v>
      </c>
      <c r="T967" s="45" t="s">
        <v>28</v>
      </c>
      <c r="U967" s="46" t="str">
        <f t="array" ref="U967">XLOOKUP($A967,'Recipients REF'!$A:$A,'Recipients REF'!K:K,"",0)</f>
        <v>R-SERIES 058PH</v>
      </c>
      <c r="V967" s="44" t="s">
        <v>29</v>
      </c>
      <c r="W967" s="45" t="s">
        <v>30</v>
      </c>
      <c r="X967" s="47" t="str">
        <f t="array" ref="X967">XLOOKUP($A967,'Recipients REF'!$A:$A,'Recipients REF'!L:L,"",0)</f>
        <v>LSGW1750-RMP-2312113</v>
      </c>
      <c r="Y967" s="48" t="s">
        <v>29</v>
      </c>
      <c r="Z967" s="48" t="s">
        <v>31</v>
      </c>
      <c r="AA967" s="46" t="str">
        <f t="array" ref="AA967">XLOOKUP($A967,'Recipients REF'!$A:$A,'Recipients REF'!M:M,"",0)</f>
        <v>WDP40-RMP-2312043</v>
      </c>
      <c r="AB967" s="49"/>
      <c r="AC967" s="42"/>
      <c r="AD967" s="42"/>
      <c r="AE967" s="56">
        <v>8.6906606024057E14</v>
      </c>
      <c r="AF967" s="56" t="s">
        <v>1911</v>
      </c>
      <c r="AG967" s="42"/>
      <c r="AH967" s="42"/>
      <c r="AI967" s="42">
        <f t="array" ref="AI967">XLOOKUP($E967,Sheet11!$D:$D,Sheet11!$X:$X,"",0)</f>
        <v>869066060240570</v>
      </c>
      <c r="AJ967" s="42">
        <f t="array" ref="AJ967">XLOOKUP($E967,Sheet11!$D:$D,Sheet11!$Y:$Y,"",0)</f>
        <v>9694799290</v>
      </c>
    </row>
    <row r="968">
      <c r="A968" s="41">
        <v>128.0</v>
      </c>
      <c r="B968" s="42" t="s">
        <v>1912</v>
      </c>
      <c r="C968" s="42" t="s">
        <v>1913</v>
      </c>
      <c r="D968" s="42"/>
      <c r="E968" s="42" t="str">
        <f t="shared" ref="E968:F968" si="969">PROPER(B968)</f>
        <v>David Communal Irrigators Association Incorporated</v>
      </c>
      <c r="F968" s="42" t="str">
        <f t="shared" si="969"/>
        <v>David, San Jose, Tarlac</v>
      </c>
      <c r="G968" s="42" t="str">
        <f t="shared" si="3"/>
        <v>David</v>
      </c>
      <c r="H968" s="42" t="str">
        <f t="shared" si="4"/>
        <v>San Jose</v>
      </c>
      <c r="I968" s="42" t="str">
        <f t="shared" si="5"/>
        <v>Tarlac</v>
      </c>
      <c r="J968" s="42" t="str">
        <f t="array" ref="J968">XLOOKUP($E968,'Recipients REF'!$B:$B,'Recipients REF'!D:D,"",0)</f>
        <v>Bernabe F. Macadangdang Jr.</v>
      </c>
      <c r="K968" s="42" t="str">
        <f t="array" ref="K968">XLOOKUP($E968,'Recipients REF'!$B:$B,'Recipients REF'!E:E,"",0)</f>
        <v>0938-415-6295</v>
      </c>
      <c r="L968" s="43" t="str">
        <f t="array" ref="L968">XLOOKUP($A968,'Recipients REF'!$A:$A,'Recipients REF'!F:F,"",0)</f>
        <v>RCEF 23-09-21 Rebidding</v>
      </c>
      <c r="M968" s="43">
        <f t="array" ref="M968">XLOOKUP($A968,'Recipients REF'!$A:$A,'Recipients REF'!G:G,"",0)</f>
        <v>3</v>
      </c>
      <c r="N968" s="43">
        <f t="array" ref="N968">XLOOKUP($A968,'Recipients REF'!$A:$A,'Recipients REF'!H:H,"",0)</f>
        <v>17812</v>
      </c>
      <c r="O968" s="44" t="s">
        <v>25</v>
      </c>
      <c r="P968" s="45" t="s">
        <v>26</v>
      </c>
      <c r="Q968" s="46" t="str">
        <f t="array" ref="Q968">XLOOKUP($A968,'Recipients REF'!$A:$A,'Recipients REF'!I:I,"",0)</f>
        <v>KMC5825 AHPFPV0122</v>
      </c>
      <c r="R968" s="47" t="str">
        <f t="array" ref="R968">XLOOKUP($A968,'Recipients REF'!$A:$A,'Recipients REF'!J:J,"",0)</f>
        <v>PTS100157</v>
      </c>
      <c r="S968" s="45" t="s">
        <v>27</v>
      </c>
      <c r="T968" s="45" t="s">
        <v>28</v>
      </c>
      <c r="U968" s="46" t="str">
        <f t="array" ref="U968">XLOOKUP($A968,'Recipients REF'!$A:$A,'Recipients REF'!K:K,"",0)</f>
        <v>R-SERIES 019PH</v>
      </c>
      <c r="V968" s="44" t="s">
        <v>29</v>
      </c>
      <c r="W968" s="45" t="s">
        <v>30</v>
      </c>
      <c r="X968" s="47" t="str">
        <f t="array" ref="X968">XLOOKUP($A968,'Recipients REF'!$A:$A,'Recipients REF'!L:L,"",0)</f>
        <v>LSGW1750-RMP-2312023</v>
      </c>
      <c r="Y968" s="48" t="s">
        <v>29</v>
      </c>
      <c r="Z968" s="48" t="s">
        <v>31</v>
      </c>
      <c r="AA968" s="46" t="str">
        <f t="array" ref="AA968">XLOOKUP($A968,'Recipients REF'!$A:$A,'Recipients REF'!M:M,"",0)</f>
        <v>WDP40-RMP-2312035</v>
      </c>
      <c r="AB968" s="49"/>
      <c r="AC968" s="42"/>
      <c r="AD968" s="42"/>
      <c r="AE968" s="56">
        <v>8.69066060241792E14</v>
      </c>
      <c r="AF968" s="56" t="s">
        <v>1914</v>
      </c>
      <c r="AG968" s="42"/>
      <c r="AH968" s="42"/>
      <c r="AI968" s="42">
        <f t="array" ref="AI968">XLOOKUP($E968,Sheet11!$D:$D,Sheet11!$X:$X,"",0)</f>
        <v>869066060241792</v>
      </c>
      <c r="AJ968" s="42">
        <f t="array" ref="AJ968">XLOOKUP($E968,Sheet11!$D:$D,Sheet11!$Y:$Y,"",0)</f>
        <v>9694784770</v>
      </c>
    </row>
    <row r="969">
      <c r="A969" s="41">
        <v>716.0</v>
      </c>
      <c r="B969" s="42" t="s">
        <v>1915</v>
      </c>
      <c r="C969" s="42" t="s">
        <v>1916</v>
      </c>
      <c r="D969" s="42"/>
      <c r="E969" s="42" t="str">
        <f t="shared" ref="E969:F969" si="970">PROPER(B969)</f>
        <v>Bssn Farmers Irrigators Association Inc.</v>
      </c>
      <c r="F969" s="42" t="str">
        <f t="shared" si="970"/>
        <v>San Narciso, San Manuel, Tarlac</v>
      </c>
      <c r="G969" s="42" t="str">
        <f t="shared" si="3"/>
        <v>San Narciso</v>
      </c>
      <c r="H969" s="42" t="str">
        <f t="shared" si="4"/>
        <v>San Manuel</v>
      </c>
      <c r="I969" s="42" t="str">
        <f t="shared" si="5"/>
        <v>Tarlac</v>
      </c>
      <c r="J969" s="42" t="str">
        <f t="array" ref="J969">XLOOKUP($E969,'Recipients REF'!$B:$B,'Recipients REF'!D:D,"",0)</f>
        <v>Federico C. Conde Jr.</v>
      </c>
      <c r="K969" s="42" t="str">
        <f t="array" ref="K969">XLOOKUP($E969,'Recipients REF'!$B:$B,'Recipients REF'!E:E,"",0)</f>
        <v>0994-416-5386</v>
      </c>
      <c r="L969" s="43" t="str">
        <f t="array" ref="L969">XLOOKUP($A969,'Recipients REF'!$A:$A,'Recipients REF'!F:F,"",0)</f>
        <v>RCEF 25-03-05</v>
      </c>
      <c r="M969" s="43">
        <f t="array" ref="M969">XLOOKUP($A969,'Recipients REF'!$A:$A,'Recipients REF'!G:G,"",0)</f>
        <v>5</v>
      </c>
      <c r="N969" s="43" t="str">
        <f t="array" ref="N969">XLOOKUP($A969,'Recipients REF'!$A:$A,'Recipients REF'!H:H,"",0)</f>
        <v>26533 &amp; 27714</v>
      </c>
      <c r="O969" s="44" t="s">
        <v>25</v>
      </c>
      <c r="P969" s="45" t="s">
        <v>26</v>
      </c>
      <c r="Q969" s="46" t="str">
        <f t="array" ref="Q969">XLOOKUP($A969,'Recipients REF'!$A:$A,'Recipients REF'!I:I,"",0)</f>
        <v>KMC5825 ALSFPV0032</v>
      </c>
      <c r="R969" s="53" t="str">
        <f t="array" ref="R969">XLOOKUP($A969,'Recipients REF'!$A:$A,'Recipients REF'!J:J,"",0)</f>
        <v>STS100045</v>
      </c>
      <c r="S969" s="45" t="s">
        <v>27</v>
      </c>
      <c r="T969" s="45" t="s">
        <v>28</v>
      </c>
      <c r="U969" s="46" t="str">
        <f t="array" ref="U969">XLOOKUP($A969,'Recipients REF'!$A:$A,'Recipients REF'!K:K,"",0)</f>
        <v>R-SERIES 266PH</v>
      </c>
      <c r="V969" s="44" t="s">
        <v>29</v>
      </c>
      <c r="W969" s="45" t="s">
        <v>30</v>
      </c>
      <c r="X969" s="53" t="str">
        <f t="array" ref="X969">XLOOKUP($A969,'Recipients REF'!$A:$A,'Recipients REF'!L:L,"",0)</f>
        <v>25080394</v>
      </c>
      <c r="Y969" s="48" t="s">
        <v>29</v>
      </c>
      <c r="Z969" s="48" t="s">
        <v>31</v>
      </c>
      <c r="AA969" s="54" t="str">
        <f t="array" ref="AA969">XLOOKUP($A969,'Recipients REF'!$A:$A,'Recipients REF'!M:M,"",0)</f>
        <v>25080874</v>
      </c>
      <c r="AB969" s="49"/>
      <c r="AC969" s="42"/>
      <c r="AD969" s="42"/>
      <c r="AE969" s="56">
        <v>8.69066063784939E14</v>
      </c>
      <c r="AF969" s="56" t="s">
        <v>1917</v>
      </c>
      <c r="AG969" s="42"/>
      <c r="AH969" s="42"/>
      <c r="AI969" s="42" t="str">
        <f t="array" ref="AI969">XLOOKUP($E969,Sheet11!$D:$D,Sheet11!$X:$X,"",0)</f>
        <v/>
      </c>
      <c r="AJ969" s="42" t="str">
        <f t="array" ref="AJ969">XLOOKUP($E969,Sheet11!$D:$D,Sheet11!$Y:$Y,"",0)</f>
        <v/>
      </c>
    </row>
    <row r="970">
      <c r="A970" s="41">
        <v>717.0</v>
      </c>
      <c r="B970" s="42" t="s">
        <v>1918</v>
      </c>
      <c r="C970" s="42" t="s">
        <v>1919</v>
      </c>
      <c r="D970" s="42"/>
      <c r="E970" s="42" t="str">
        <f t="shared" ref="E970:F970" si="971">PROPER(B970)</f>
        <v>Pada-Pada Sta. Ignacia Ofw And Farmers Association</v>
      </c>
      <c r="F970" s="42" t="str">
        <f t="shared" si="971"/>
        <v>Padapada, Santa Ignacia, Tarlac</v>
      </c>
      <c r="G970" s="42" t="str">
        <f t="shared" si="3"/>
        <v>Padapada</v>
      </c>
      <c r="H970" s="42" t="str">
        <f t="shared" si="4"/>
        <v>Santa Ignacia</v>
      </c>
      <c r="I970" s="42" t="str">
        <f t="shared" si="5"/>
        <v>Tarlac</v>
      </c>
      <c r="J970" s="42" t="str">
        <f t="array" ref="J970">XLOOKUP($E970,'Recipients REF'!$B:$B,'Recipients REF'!D:D,"",0)</f>
        <v>Cecilia A. Santos</v>
      </c>
      <c r="K970" s="42" t="str">
        <f t="array" ref="K970">XLOOKUP($E970,'Recipients REF'!$B:$B,'Recipients REF'!E:E,"",0)</f>
        <v>0961-406-0854</v>
      </c>
      <c r="L970" s="43" t="str">
        <f t="array" ref="L970">XLOOKUP($A970,'Recipients REF'!$A:$A,'Recipients REF'!F:F,"",0)</f>
        <v>RCEF 25-03-05</v>
      </c>
      <c r="M970" s="43">
        <f t="array" ref="M970">XLOOKUP($A970,'Recipients REF'!$A:$A,'Recipients REF'!G:G,"",0)</f>
        <v>5</v>
      </c>
      <c r="N970" s="43" t="str">
        <f t="array" ref="N970">XLOOKUP($A970,'Recipients REF'!$A:$A,'Recipients REF'!H:H,"",0)</f>
        <v>26534 &amp; 27715</v>
      </c>
      <c r="O970" s="44" t="s">
        <v>25</v>
      </c>
      <c r="P970" s="45" t="s">
        <v>26</v>
      </c>
      <c r="Q970" s="46" t="str">
        <f t="array" ref="Q970">XLOOKUP($A970,'Recipients REF'!$A:$A,'Recipients REF'!I:I,"",0)</f>
        <v>KMC5825 AKSFPV0105</v>
      </c>
      <c r="R970" s="53" t="str">
        <f t="array" ref="R970">XLOOKUP($A970,'Recipients REF'!$A:$A,'Recipients REF'!J:J,"",0)</f>
        <v>STS100164</v>
      </c>
      <c r="S970" s="45" t="s">
        <v>27</v>
      </c>
      <c r="T970" s="45" t="s">
        <v>28</v>
      </c>
      <c r="U970" s="46" t="str">
        <f t="array" ref="U970">XLOOKUP($A970,'Recipients REF'!$A:$A,'Recipients REF'!K:K,"",0)</f>
        <v>R-SERIES 317PH</v>
      </c>
      <c r="V970" s="44" t="s">
        <v>29</v>
      </c>
      <c r="W970" s="45" t="s">
        <v>30</v>
      </c>
      <c r="X970" s="53" t="str">
        <f t="array" ref="X970">XLOOKUP($A970,'Recipients REF'!$A:$A,'Recipients REF'!L:L,"",0)</f>
        <v>25080355</v>
      </c>
      <c r="Y970" s="48" t="s">
        <v>29</v>
      </c>
      <c r="Z970" s="48" t="s">
        <v>31</v>
      </c>
      <c r="AA970" s="54" t="str">
        <f t="array" ref="AA970">XLOOKUP($A970,'Recipients REF'!$A:$A,'Recipients REF'!M:M,"",0)</f>
        <v>25080808</v>
      </c>
      <c r="AB970" s="49"/>
      <c r="AC970" s="42"/>
      <c r="AD970" s="42"/>
      <c r="AE970" s="50"/>
      <c r="AF970" s="42"/>
      <c r="AG970" s="42"/>
      <c r="AH970" s="42"/>
      <c r="AI970" s="42" t="str">
        <f t="array" ref="AI970">XLOOKUP($E970,Sheet11!$D:$D,Sheet11!$X:$X,"",0)</f>
        <v/>
      </c>
      <c r="AJ970" s="42" t="str">
        <f t="array" ref="AJ970">XLOOKUP($E970,Sheet11!$D:$D,Sheet11!$Y:$Y,"",0)</f>
        <v/>
      </c>
    </row>
    <row r="971">
      <c r="A971" s="41">
        <v>129.0</v>
      </c>
      <c r="B971" s="42" t="s">
        <v>1920</v>
      </c>
      <c r="C971" s="42" t="s">
        <v>1921</v>
      </c>
      <c r="D971" s="42"/>
      <c r="E971" s="42" t="str">
        <f t="shared" ref="E971:F971" si="972">PROPER(B971)</f>
        <v>Tricul Farmer Irrigators Association, Inc.</v>
      </c>
      <c r="F971" s="42" t="str">
        <f t="shared" si="972"/>
        <v>Culipat, Tarlac City, Tarlac</v>
      </c>
      <c r="G971" s="42" t="str">
        <f t="shared" si="3"/>
        <v>Culipat</v>
      </c>
      <c r="H971" s="42" t="str">
        <f t="shared" si="4"/>
        <v>Tarlac City</v>
      </c>
      <c r="I971" s="42" t="str">
        <f t="shared" si="5"/>
        <v>Tarlac</v>
      </c>
      <c r="J971" s="42" t="str">
        <f t="array" ref="J971">XLOOKUP($E971,'Recipients REF'!$B:$B,'Recipients REF'!D:D,"",0)</f>
        <v>Gregorio S. Gualdad</v>
      </c>
      <c r="K971" s="42" t="str">
        <f t="array" ref="K971">XLOOKUP($E971,'Recipients REF'!$B:$B,'Recipients REF'!E:E,"",0)</f>
        <v>0912-697-6900</v>
      </c>
      <c r="L971" s="43" t="str">
        <f t="array" ref="L971">XLOOKUP($A971,'Recipients REF'!$A:$A,'Recipients REF'!F:F,"",0)</f>
        <v>RCEF 23-09-21 Rebidding</v>
      </c>
      <c r="M971" s="43">
        <f t="array" ref="M971">XLOOKUP($A971,'Recipients REF'!$A:$A,'Recipients REF'!G:G,"",0)</f>
        <v>3</v>
      </c>
      <c r="N971" s="43">
        <f t="array" ref="N971">XLOOKUP($A971,'Recipients REF'!$A:$A,'Recipients REF'!H:H,"",0)</f>
        <v>17813</v>
      </c>
      <c r="O971" s="44" t="s">
        <v>25</v>
      </c>
      <c r="P971" s="45" t="s">
        <v>26</v>
      </c>
      <c r="Q971" s="46" t="str">
        <f t="array" ref="Q971">XLOOKUP($A971,'Recipients REF'!$A:$A,'Recipients REF'!I:I,"",0)</f>
        <v>KMC5825 AVPFPV0049</v>
      </c>
      <c r="R971" s="47" t="str">
        <f t="array" ref="R971">XLOOKUP($A971,'Recipients REF'!$A:$A,'Recipients REF'!J:J,"",0)</f>
        <v>PTS100127</v>
      </c>
      <c r="S971" s="45" t="s">
        <v>27</v>
      </c>
      <c r="T971" s="45" t="s">
        <v>28</v>
      </c>
      <c r="U971" s="46" t="str">
        <f t="array" ref="U971">XLOOKUP($A971,'Recipients REF'!$A:$A,'Recipients REF'!K:K,"",0)</f>
        <v>R-SERIES 071PH</v>
      </c>
      <c r="V971" s="44" t="s">
        <v>29</v>
      </c>
      <c r="W971" s="45" t="s">
        <v>30</v>
      </c>
      <c r="X971" s="47" t="str">
        <f t="array" ref="X971">XLOOKUP($A971,'Recipients REF'!$A:$A,'Recipients REF'!L:L,"",0)</f>
        <v>LSGW1750-RMP-2312111</v>
      </c>
      <c r="Y971" s="48" t="s">
        <v>29</v>
      </c>
      <c r="Z971" s="48" t="s">
        <v>31</v>
      </c>
      <c r="AA971" s="46" t="str">
        <f t="array" ref="AA971">XLOOKUP($A971,'Recipients REF'!$A:$A,'Recipients REF'!M:M,"",0)</f>
        <v>WDP40-RMP-2312060</v>
      </c>
      <c r="AB971" s="49"/>
      <c r="AC971" s="42"/>
      <c r="AD971" s="42"/>
      <c r="AE971" s="55">
        <v>3.23202005167424E14</v>
      </c>
      <c r="AF971" s="56">
        <v>9.695073234E9</v>
      </c>
      <c r="AG971" s="42"/>
      <c r="AH971" s="42"/>
      <c r="AI971" s="42">
        <f t="array" ref="AI971">XLOOKUP($E971,Sheet11!$D:$D,Sheet11!$X:$X,"",0)</f>
        <v>86906606023452</v>
      </c>
      <c r="AJ971" s="42">
        <f t="array" ref="AJ971">XLOOKUP($E971,Sheet11!$D:$D,Sheet11!$Y:$Y,"",0)</f>
        <v>9695073234</v>
      </c>
    </row>
    <row r="972">
      <c r="A972" s="41">
        <v>596.0</v>
      </c>
      <c r="B972" s="42" t="s">
        <v>1922</v>
      </c>
      <c r="C972" s="42" t="s">
        <v>1923</v>
      </c>
      <c r="D972" s="42"/>
      <c r="E972" s="42" t="str">
        <f t="shared" ref="E972:F972" si="973">PROPER(B972)</f>
        <v>Site Guava Farmers Incorporated</v>
      </c>
      <c r="F972" s="42" t="str">
        <f t="shared" si="973"/>
        <v>Armenia, Tarlac City, Tarlac</v>
      </c>
      <c r="G972" s="42" t="str">
        <f t="shared" si="3"/>
        <v>Armenia</v>
      </c>
      <c r="H972" s="42" t="str">
        <f t="shared" si="4"/>
        <v>Tarlac City</v>
      </c>
      <c r="I972" s="42" t="str">
        <f t="shared" si="5"/>
        <v>Tarlac</v>
      </c>
      <c r="J972" s="42" t="str">
        <f t="array" ref="J972">XLOOKUP($E972,'Recipients REF'!$B:$B,'Recipients REF'!D:D,"",0)</f>
        <v>Ronnie C. Yumul</v>
      </c>
      <c r="K972" s="42" t="str">
        <f t="array" ref="K972">XLOOKUP($E972,'Recipients REF'!$B:$B,'Recipients REF'!E:E,"",0)</f>
        <v>0928-490-5265</v>
      </c>
      <c r="L972" s="43" t="str">
        <f t="array" ref="L972">XLOOKUP($A972,'Recipients REF'!$A:$A,'Recipients REF'!F:F,"",0)</f>
        <v>RCEF 24-04-15</v>
      </c>
      <c r="M972" s="43">
        <f t="array" ref="M972">XLOOKUP($A972,'Recipients REF'!$A:$A,'Recipients REF'!G:G,"",0)</f>
        <v>6</v>
      </c>
      <c r="N972" s="43">
        <f t="array" ref="N972">XLOOKUP($A972,'Recipients REF'!$A:$A,'Recipients REF'!H:H,"",0)</f>
        <v>22349</v>
      </c>
      <c r="O972" s="44" t="s">
        <v>25</v>
      </c>
      <c r="P972" s="45" t="s">
        <v>26</v>
      </c>
      <c r="Q972" s="46" t="str">
        <f t="array" ref="Q972">XLOOKUP($A972,'Recipients REF'!$A:$A,'Recipients REF'!I:I,"",0)</f>
        <v>KMC5825ALRFPV0896</v>
      </c>
      <c r="R972" s="47" t="str">
        <f t="array" ref="R972">XLOOKUP($A972,'Recipients REF'!$A:$A,'Recipients REF'!J:J,"",0)</f>
        <v>RTS100818</v>
      </c>
      <c r="S972" s="45" t="s">
        <v>27</v>
      </c>
      <c r="T972" s="45" t="s">
        <v>28</v>
      </c>
      <c r="U972" s="46" t="str">
        <f t="array" ref="U972">XLOOKUP($A972,'Recipients REF'!$A:$A,'Recipients REF'!K:K,"",0)</f>
        <v>LSGW170-RMP-24101049</v>
      </c>
      <c r="V972" s="44" t="s">
        <v>29</v>
      </c>
      <c r="W972" s="45" t="s">
        <v>30</v>
      </c>
      <c r="X972" s="47" t="str">
        <f t="array" ref="X972">XLOOKUP($A972,'Recipients REF'!$A:$A,'Recipients REF'!L:L,"",0)</f>
        <v>WDP40-RMP-24111406</v>
      </c>
      <c r="Y972" s="48" t="s">
        <v>29</v>
      </c>
      <c r="Z972" s="48" t="s">
        <v>31</v>
      </c>
      <c r="AA972" s="46" t="str">
        <f t="array" ref="AA972">XLOOKUP($A972,'Recipients REF'!$A:$A,'Recipients REF'!M:M,"",0)</f>
        <v>WR-SERIES-1017PH</v>
      </c>
      <c r="AB972" s="49"/>
      <c r="AC972" s="42"/>
      <c r="AD972" s="42"/>
      <c r="AE972" s="55">
        <v>8.6906606001348E14</v>
      </c>
      <c r="AF972" s="56">
        <v>3.23250006123623E14</v>
      </c>
      <c r="AG972" s="42"/>
      <c r="AH972" s="42"/>
      <c r="AI972" s="42" t="str">
        <f t="array" ref="AI972">XLOOKUP($E972,Sheet11!$D:$D,Sheet11!$X:$X,"",0)</f>
        <v/>
      </c>
      <c r="AJ972" s="42" t="str">
        <f t="array" ref="AJ972">XLOOKUP($E972,Sheet11!$D:$D,Sheet11!$Y:$Y,"",0)</f>
        <v/>
      </c>
    </row>
    <row r="973">
      <c r="A973" s="41">
        <v>718.0</v>
      </c>
      <c r="B973" s="42" t="s">
        <v>1924</v>
      </c>
      <c r="C973" s="42" t="s">
        <v>1925</v>
      </c>
      <c r="D973" s="42"/>
      <c r="E973" s="42" t="str">
        <f t="shared" ref="E973:F973" si="974">PROPER(B973)</f>
        <v>Dela Paz South Farmers Irrigators Association, Inc.</v>
      </c>
      <c r="F973" s="42" t="str">
        <f t="shared" si="974"/>
        <v>Dela Paz, Tarlac City, Tarlac</v>
      </c>
      <c r="G973" s="42" t="str">
        <f t="shared" si="3"/>
        <v>Dela Paz</v>
      </c>
      <c r="H973" s="42" t="str">
        <f t="shared" si="4"/>
        <v>Tarlac City</v>
      </c>
      <c r="I973" s="42" t="str">
        <f t="shared" si="5"/>
        <v>Tarlac</v>
      </c>
      <c r="J973" s="42" t="str">
        <f t="array" ref="J973">XLOOKUP($E973,'Recipients REF'!$B:$B,'Recipients REF'!D:D,"",0)</f>
        <v>Pedro S. Nicdao</v>
      </c>
      <c r="K973" s="42" t="str">
        <f t="array" ref="K973">XLOOKUP($E973,'Recipients REF'!$B:$B,'Recipients REF'!E:E,"",0)</f>
        <v>0933-862-5077</v>
      </c>
      <c r="L973" s="43" t="str">
        <f t="array" ref="L973">XLOOKUP($A973,'Recipients REF'!$A:$A,'Recipients REF'!F:F,"",0)</f>
        <v>RCEF 25-03-05</v>
      </c>
      <c r="M973" s="43">
        <f t="array" ref="M973">XLOOKUP($A973,'Recipients REF'!$A:$A,'Recipients REF'!G:G,"",0)</f>
        <v>5</v>
      </c>
      <c r="N973" s="43" t="str">
        <f t="array" ref="N973">XLOOKUP($A973,'Recipients REF'!$A:$A,'Recipients REF'!H:H,"",0)</f>
        <v>26535 &amp; 27716</v>
      </c>
      <c r="O973" s="44" t="s">
        <v>25</v>
      </c>
      <c r="P973" s="45" t="s">
        <v>26</v>
      </c>
      <c r="Q973" s="46" t="str">
        <f t="array" ref="Q973">XLOOKUP($A973,'Recipients REF'!$A:$A,'Recipients REF'!I:I,"",0)</f>
        <v>KMC5825 AJSFPV0428</v>
      </c>
      <c r="R973" s="53" t="str">
        <f t="array" ref="R973">XLOOKUP($A973,'Recipients REF'!$A:$A,'Recipients REF'!J:J,"",0)</f>
        <v>STS100484</v>
      </c>
      <c r="S973" s="45" t="s">
        <v>27</v>
      </c>
      <c r="T973" s="45" t="s">
        <v>28</v>
      </c>
      <c r="U973" s="46" t="str">
        <f t="array" ref="U973">XLOOKUP($A973,'Recipients REF'!$A:$A,'Recipients REF'!K:K,"",0)</f>
        <v>R-SERIES 132PH</v>
      </c>
      <c r="V973" s="44" t="s">
        <v>29</v>
      </c>
      <c r="W973" s="45" t="s">
        <v>30</v>
      </c>
      <c r="X973" s="53" t="str">
        <f t="array" ref="X973">XLOOKUP($A973,'Recipients REF'!$A:$A,'Recipients REF'!L:L,"",0)</f>
        <v>25080412</v>
      </c>
      <c r="Y973" s="48" t="s">
        <v>29</v>
      </c>
      <c r="Z973" s="48" t="s">
        <v>31</v>
      </c>
      <c r="AA973" s="54" t="str">
        <f t="array" ref="AA973">XLOOKUP($A973,'Recipients REF'!$A:$A,'Recipients REF'!M:M,"",0)</f>
        <v>25080888</v>
      </c>
      <c r="AB973" s="49"/>
      <c r="AC973" s="42"/>
      <c r="AD973" s="42"/>
      <c r="AE973" s="56">
        <v>8.69066063756705E14</v>
      </c>
      <c r="AF973" s="56" t="s">
        <v>1926</v>
      </c>
      <c r="AG973" s="42"/>
      <c r="AH973" s="42"/>
      <c r="AI973" s="42" t="str">
        <f t="array" ref="AI973">XLOOKUP($E973,Sheet11!$D:$D,Sheet11!$X:$X,"",0)</f>
        <v/>
      </c>
      <c r="AJ973" s="42" t="str">
        <f t="array" ref="AJ973">XLOOKUP($E973,Sheet11!$D:$D,Sheet11!$Y:$Y,"",0)</f>
        <v/>
      </c>
    </row>
    <row r="974">
      <c r="A974" s="41">
        <v>130.0</v>
      </c>
      <c r="B974" s="42" t="s">
        <v>1927</v>
      </c>
      <c r="C974" s="42" t="s">
        <v>1928</v>
      </c>
      <c r="D974" s="42"/>
      <c r="E974" s="42" t="str">
        <f t="shared" ref="E974:F974" si="975">PROPER(B974)</f>
        <v>Tarlac Groundwater 66 Mangolago Farmers Associations Inc.</v>
      </c>
      <c r="F974" s="42" t="str">
        <f t="shared" si="975"/>
        <v>Mangolago, Victoria, Tarlac</v>
      </c>
      <c r="G974" s="42" t="str">
        <f t="shared" si="3"/>
        <v>Mangolago</v>
      </c>
      <c r="H974" s="42" t="str">
        <f t="shared" si="4"/>
        <v>Victoria</v>
      </c>
      <c r="I974" s="42" t="str">
        <f t="shared" si="5"/>
        <v>Tarlac</v>
      </c>
      <c r="J974" s="42" t="str">
        <f t="array" ref="J974">XLOOKUP($E974,'Recipients REF'!$B:$B,'Recipients REF'!D:D,"",0)</f>
        <v>Emma V. Tolentino</v>
      </c>
      <c r="K974" s="42" t="str">
        <f t="array" ref="K974">XLOOKUP($E974,'Recipients REF'!$B:$B,'Recipients REF'!E:E,"",0)</f>
        <v>0942-041-9939</v>
      </c>
      <c r="L974" s="43" t="str">
        <f t="array" ref="L974">XLOOKUP($A974,'Recipients REF'!$A:$A,'Recipients REF'!F:F,"",0)</f>
        <v>RCEF 23-09-21 Rebidding</v>
      </c>
      <c r="M974" s="43">
        <f t="array" ref="M974">XLOOKUP($A974,'Recipients REF'!$A:$A,'Recipients REF'!G:G,"",0)</f>
        <v>3</v>
      </c>
      <c r="N974" s="43">
        <f t="array" ref="N974">XLOOKUP($A974,'Recipients REF'!$A:$A,'Recipients REF'!H:H,"",0)</f>
        <v>17814</v>
      </c>
      <c r="O974" s="44" t="s">
        <v>25</v>
      </c>
      <c r="P974" s="45" t="s">
        <v>26</v>
      </c>
      <c r="Q974" s="46" t="str">
        <f t="array" ref="Q974">XLOOKUP($A974,'Recipients REF'!$A:$A,'Recipients REF'!I:I,"",0)</f>
        <v>KMC5825 AJPFPV0064</v>
      </c>
      <c r="R974" s="47" t="str">
        <f t="array" ref="R974">XLOOKUP($A974,'Recipients REF'!$A:$A,'Recipients REF'!J:J,"",0)</f>
        <v>PTS100114</v>
      </c>
      <c r="S974" s="45" t="s">
        <v>27</v>
      </c>
      <c r="T974" s="45" t="s">
        <v>28</v>
      </c>
      <c r="U974" s="46" t="str">
        <f t="array" ref="U974">XLOOKUP($A974,'Recipients REF'!$A:$A,'Recipients REF'!K:K,"",0)</f>
        <v>R-SERIES 051PH</v>
      </c>
      <c r="V974" s="44" t="s">
        <v>29</v>
      </c>
      <c r="W974" s="45" t="s">
        <v>30</v>
      </c>
      <c r="X974" s="47" t="str">
        <f t="array" ref="X974">XLOOKUP($A974,'Recipients REF'!$A:$A,'Recipients REF'!L:L,"",0)</f>
        <v>LSGW1750-RMP-2312004</v>
      </c>
      <c r="Y974" s="48" t="s">
        <v>29</v>
      </c>
      <c r="Z974" s="48" t="s">
        <v>31</v>
      </c>
      <c r="AA974" s="46" t="str">
        <f t="array" ref="AA974">XLOOKUP($A974,'Recipients REF'!$A:$A,'Recipients REF'!M:M,"",0)</f>
        <v>WDP40-RMP-2312052</v>
      </c>
      <c r="AB974" s="49"/>
      <c r="AC974" s="42"/>
      <c r="AD974" s="42"/>
      <c r="AE974" s="50"/>
      <c r="AF974" s="42"/>
      <c r="AG974" s="42"/>
      <c r="AH974" s="42"/>
      <c r="AI974" s="42">
        <f t="array" ref="AI974">XLOOKUP($E974,Sheet11!$D:$D,Sheet11!$X:$X,"",0)</f>
        <v>869066060242493</v>
      </c>
      <c r="AJ974" s="42">
        <f t="array" ref="AJ974">XLOOKUP($E974,Sheet11!$D:$D,Sheet11!$Y:$Y,"",0)</f>
        <v>9694624962</v>
      </c>
    </row>
    <row r="975">
      <c r="A975" s="41">
        <v>719.0</v>
      </c>
      <c r="B975" s="42" t="s">
        <v>1929</v>
      </c>
      <c r="C975" s="42" t="s">
        <v>1930</v>
      </c>
      <c r="D975" s="42"/>
      <c r="E975" s="42" t="str">
        <f t="shared" ref="E975:F975" si="976">PROPER(B975)</f>
        <v>Barangay Cruz Victoria Tarlac Farmers Irrigator Association Inc.</v>
      </c>
      <c r="F975" s="42" t="str">
        <f t="shared" si="976"/>
        <v>Cruz, Victoria, Tarlac</v>
      </c>
      <c r="G975" s="42" t="str">
        <f t="shared" si="3"/>
        <v>Cruz</v>
      </c>
      <c r="H975" s="42" t="str">
        <f t="shared" si="4"/>
        <v>Victoria</v>
      </c>
      <c r="I975" s="42" t="str">
        <f t="shared" si="5"/>
        <v>Tarlac</v>
      </c>
      <c r="J975" s="42" t="str">
        <f t="array" ref="J975">XLOOKUP($E975,'Recipients REF'!$B:$B,'Recipients REF'!D:D,"",0)</f>
        <v>Felino V. Pascua Sr.</v>
      </c>
      <c r="K975" s="42" t="str">
        <f t="array" ref="K975">XLOOKUP($E975,'Recipients REF'!$B:$B,'Recipients REF'!E:E,"",0)</f>
        <v>0970-523-0313</v>
      </c>
      <c r="L975" s="43" t="str">
        <f t="array" ref="L975">XLOOKUP($A975,'Recipients REF'!$A:$A,'Recipients REF'!F:F,"",0)</f>
        <v>RCEF 25-03-05</v>
      </c>
      <c r="M975" s="43">
        <f t="array" ref="M975">XLOOKUP($A975,'Recipients REF'!$A:$A,'Recipients REF'!G:G,"",0)</f>
        <v>5</v>
      </c>
      <c r="N975" s="43" t="str">
        <f t="array" ref="N975">XLOOKUP($A975,'Recipients REF'!$A:$A,'Recipients REF'!H:H,"",0)</f>
        <v>26536 &amp; 27717</v>
      </c>
      <c r="O975" s="44" t="s">
        <v>25</v>
      </c>
      <c r="P975" s="45" t="s">
        <v>26</v>
      </c>
      <c r="Q975" s="46" t="str">
        <f t="array" ref="Q975">XLOOKUP($A975,'Recipients REF'!$A:$A,'Recipients REF'!I:I,"",0)</f>
        <v>KMC5825 AASFPV0398</v>
      </c>
      <c r="R975" s="53" t="str">
        <f t="array" ref="R975">XLOOKUP($A975,'Recipients REF'!$A:$A,'Recipients REF'!J:J,"",0)</f>
        <v>STS100440</v>
      </c>
      <c r="S975" s="45" t="s">
        <v>27</v>
      </c>
      <c r="T975" s="45" t="s">
        <v>28</v>
      </c>
      <c r="U975" s="46" t="str">
        <f t="array" ref="U975">XLOOKUP($A975,'Recipients REF'!$A:$A,'Recipients REF'!K:K,"",0)</f>
        <v>WR-SERIES 287</v>
      </c>
      <c r="V975" s="44" t="s">
        <v>29</v>
      </c>
      <c r="W975" s="45" t="s">
        <v>30</v>
      </c>
      <c r="X975" s="53" t="str">
        <f t="array" ref="X975">XLOOKUP($A975,'Recipients REF'!$A:$A,'Recipients REF'!L:L,"",0)</f>
        <v>25080422</v>
      </c>
      <c r="Y975" s="48" t="s">
        <v>29</v>
      </c>
      <c r="Z975" s="48" t="s">
        <v>31</v>
      </c>
      <c r="AA975" s="54" t="str">
        <f t="array" ref="AA975">XLOOKUP($A975,'Recipients REF'!$A:$A,'Recipients REF'!M:M,"",0)</f>
        <v>25080881</v>
      </c>
      <c r="AB975" s="49"/>
      <c r="AC975" s="42"/>
      <c r="AD975" s="42"/>
      <c r="AE975" s="50"/>
      <c r="AF975" s="42"/>
      <c r="AG975" s="42"/>
      <c r="AH975" s="42"/>
      <c r="AI975" s="42" t="str">
        <f t="array" ref="AI975">XLOOKUP($E975,Sheet11!$D:$D,Sheet11!$X:$X,"",0)</f>
        <v/>
      </c>
      <c r="AJ975" s="42" t="str">
        <f t="array" ref="AJ975">XLOOKUP($E975,Sheet11!$D:$D,Sheet11!$Y:$Y,"",0)</f>
        <v/>
      </c>
    </row>
    <row r="976">
      <c r="A976" s="41">
        <v>720.0</v>
      </c>
      <c r="B976" s="42" t="s">
        <v>1931</v>
      </c>
      <c r="C976" s="42" t="s">
        <v>1932</v>
      </c>
      <c r="D976" s="42"/>
      <c r="E976" s="42" t="str">
        <f t="shared" ref="E976:F976" si="977">PROPER(B976)</f>
        <v>P-38 Farmers Irrigators Association Inc</v>
      </c>
      <c r="F976" s="42" t="str">
        <f t="shared" si="977"/>
        <v>Canarem, Victoria, Tarlac</v>
      </c>
      <c r="G976" s="42" t="str">
        <f t="shared" si="3"/>
        <v>Canarem</v>
      </c>
      <c r="H976" s="42" t="str">
        <f t="shared" si="4"/>
        <v>Victoria</v>
      </c>
      <c r="I976" s="42" t="str">
        <f t="shared" si="5"/>
        <v>Tarlac</v>
      </c>
      <c r="J976" s="42" t="str">
        <f t="array" ref="J976">XLOOKUP($E976,'Recipients REF'!$B:$B,'Recipients REF'!D:D,"",0)</f>
        <v>Ramon M. Ganiban</v>
      </c>
      <c r="K976" s="42">
        <f t="array" ref="K976">XLOOKUP($E976,'Recipients REF'!$B:$B,'Recipients REF'!E:E,"",0)</f>
        <v>9956891989</v>
      </c>
      <c r="L976" s="43" t="str">
        <f t="array" ref="L976">XLOOKUP($A976,'Recipients REF'!$A:$A,'Recipients REF'!F:F,"",0)</f>
        <v>RCEF 25-03-05</v>
      </c>
      <c r="M976" s="43">
        <f t="array" ref="M976">XLOOKUP($A976,'Recipients REF'!$A:$A,'Recipients REF'!G:G,"",0)</f>
        <v>5</v>
      </c>
      <c r="N976" s="43" t="str">
        <f t="array" ref="N976">XLOOKUP($A976,'Recipients REF'!$A:$A,'Recipients REF'!H:H,"",0)</f>
        <v>26537 &amp; 27718</v>
      </c>
      <c r="O976" s="44" t="s">
        <v>25</v>
      </c>
      <c r="P976" s="45" t="s">
        <v>26</v>
      </c>
      <c r="Q976" s="46" t="str">
        <f t="array" ref="Q976">XLOOKUP($A976,'Recipients REF'!$A:$A,'Recipients REF'!I:I,"",0)</f>
        <v>KMC5825 AJSFPV0123</v>
      </c>
      <c r="R976" s="53" t="str">
        <f t="array" ref="R976">XLOOKUP($A976,'Recipients REF'!$A:$A,'Recipients REF'!J:J,"",0)</f>
        <v>STS100106</v>
      </c>
      <c r="S976" s="45" t="s">
        <v>27</v>
      </c>
      <c r="T976" s="45" t="s">
        <v>28</v>
      </c>
      <c r="U976" s="46" t="str">
        <f t="array" ref="U976">XLOOKUP($A976,'Recipients REF'!$A:$A,'Recipients REF'!K:K,"",0)</f>
        <v>R-SERIES 259PH</v>
      </c>
      <c r="V976" s="44" t="s">
        <v>29</v>
      </c>
      <c r="W976" s="45" t="s">
        <v>30</v>
      </c>
      <c r="X976" s="53" t="str">
        <f t="array" ref="X976">XLOOKUP($A976,'Recipients REF'!$A:$A,'Recipients REF'!L:L,"",0)</f>
        <v>25080391</v>
      </c>
      <c r="Y976" s="48" t="s">
        <v>29</v>
      </c>
      <c r="Z976" s="48" t="s">
        <v>31</v>
      </c>
      <c r="AA976" s="54" t="str">
        <f t="array" ref="AA976">XLOOKUP($A976,'Recipients REF'!$A:$A,'Recipients REF'!M:M,"",0)</f>
        <v>25080866</v>
      </c>
      <c r="AB976" s="49"/>
      <c r="AC976" s="42"/>
      <c r="AD976" s="42"/>
      <c r="AE976" s="50"/>
      <c r="AF976" s="42"/>
      <c r="AG976" s="42"/>
      <c r="AH976" s="42"/>
      <c r="AI976" s="42" t="str">
        <f t="array" ref="AI976">XLOOKUP($E976,Sheet11!$D:$D,Sheet11!$X:$X,"",0)</f>
        <v/>
      </c>
      <c r="AJ976" s="42" t="str">
        <f t="array" ref="AJ976">XLOOKUP($E976,Sheet11!$D:$D,Sheet11!$Y:$Y,"",0)</f>
        <v/>
      </c>
    </row>
    <row r="977">
      <c r="A977" s="41">
        <v>721.0</v>
      </c>
      <c r="B977" s="42" t="s">
        <v>1933</v>
      </c>
      <c r="C977" s="42" t="s">
        <v>1934</v>
      </c>
      <c r="D977" s="42"/>
      <c r="E977" s="42" t="str">
        <f t="shared" ref="E977:F977" si="978">PROPER(B977)</f>
        <v>United Productive Farmers Of Calibungan Inc.</v>
      </c>
      <c r="F977" s="42" t="str">
        <f t="shared" si="978"/>
        <v>Calibungan, Victoria, Tarlac</v>
      </c>
      <c r="G977" s="42" t="str">
        <f t="shared" si="3"/>
        <v>Calibungan</v>
      </c>
      <c r="H977" s="42" t="str">
        <f t="shared" si="4"/>
        <v>Victoria</v>
      </c>
      <c r="I977" s="42" t="str">
        <f t="shared" si="5"/>
        <v>Tarlac</v>
      </c>
      <c r="J977" s="42" t="str">
        <f t="array" ref="J977">XLOOKUP($E977,'Recipients REF'!$B:$B,'Recipients REF'!D:D,"",0)</f>
        <v>Inocencio D. Rigor Jr.</v>
      </c>
      <c r="K977" s="42" t="str">
        <f t="array" ref="K977">XLOOKUP($E977,'Recipients REF'!$B:$B,'Recipients REF'!E:E,"",0)</f>
        <v>0948--601-2057</v>
      </c>
      <c r="L977" s="43" t="str">
        <f t="array" ref="L977">XLOOKUP($A977,'Recipients REF'!$A:$A,'Recipients REF'!F:F,"",0)</f>
        <v>RCEF 25-03-05</v>
      </c>
      <c r="M977" s="43">
        <f t="array" ref="M977">XLOOKUP($A977,'Recipients REF'!$A:$A,'Recipients REF'!G:G,"",0)</f>
        <v>5</v>
      </c>
      <c r="N977" s="43" t="str">
        <f t="array" ref="N977">XLOOKUP($A977,'Recipients REF'!$A:$A,'Recipients REF'!H:H,"",0)</f>
        <v>26538 &amp; 27719</v>
      </c>
      <c r="O977" s="44" t="s">
        <v>25</v>
      </c>
      <c r="P977" s="45" t="s">
        <v>26</v>
      </c>
      <c r="Q977" s="46" t="str">
        <f t="array" ref="Q977">XLOOKUP($A977,'Recipients REF'!$A:$A,'Recipients REF'!I:I,"",0)</f>
        <v>KMC5825 AJSFPV0073</v>
      </c>
      <c r="R977" s="53" t="str">
        <f t="array" ref="R977">XLOOKUP($A977,'Recipients REF'!$A:$A,'Recipients REF'!J:J,"",0)</f>
        <v>STS100058</v>
      </c>
      <c r="S977" s="45" t="s">
        <v>27</v>
      </c>
      <c r="T977" s="45" t="s">
        <v>28</v>
      </c>
      <c r="U977" s="46" t="str">
        <f t="array" ref="U977">XLOOKUP($A977,'Recipients REF'!$A:$A,'Recipients REF'!K:K,"",0)</f>
        <v>R-SERIES 310PH</v>
      </c>
      <c r="V977" s="44" t="s">
        <v>29</v>
      </c>
      <c r="W977" s="45" t="s">
        <v>30</v>
      </c>
      <c r="X977" s="53" t="str">
        <f t="array" ref="X977">XLOOKUP($A977,'Recipients REF'!$A:$A,'Recipients REF'!L:L,"",0)</f>
        <v>25080408</v>
      </c>
      <c r="Y977" s="48" t="s">
        <v>29</v>
      </c>
      <c r="Z977" s="48" t="s">
        <v>31</v>
      </c>
      <c r="AA977" s="54" t="str">
        <f t="array" ref="AA977">XLOOKUP($A977,'Recipients REF'!$A:$A,'Recipients REF'!M:M,"",0)</f>
        <v>25080814</v>
      </c>
      <c r="AB977" s="49"/>
      <c r="AC977" s="42"/>
      <c r="AD977" s="42"/>
      <c r="AE977" s="50"/>
      <c r="AF977" s="42"/>
      <c r="AG977" s="42"/>
      <c r="AH977" s="42"/>
      <c r="AI977" s="42" t="str">
        <f t="array" ref="AI977">XLOOKUP($E977,Sheet11!$D:$D,Sheet11!$X:$X,"",0)</f>
        <v/>
      </c>
      <c r="AJ977" s="42" t="str">
        <f t="array" ref="AJ977">XLOOKUP($E977,Sheet11!$D:$D,Sheet11!$Y:$Y,"",0)</f>
        <v/>
      </c>
    </row>
    <row r="978">
      <c r="A978" s="41">
        <v>145.0</v>
      </c>
      <c r="B978" s="42" t="s">
        <v>1935</v>
      </c>
      <c r="C978" s="42" t="s">
        <v>1936</v>
      </c>
      <c r="D978" s="42"/>
      <c r="E978" s="42" t="str">
        <f t="shared" ref="E978:F978" si="979">PROPER(B978)</f>
        <v>Baring San Nicolas Farmers Association</v>
      </c>
      <c r="F978" s="42" t="str">
        <f t="shared" si="979"/>
        <v>San Nicolas, Castillejos, Zambales</v>
      </c>
      <c r="G978" s="42" t="str">
        <f t="shared" si="3"/>
        <v>San Nicolas</v>
      </c>
      <c r="H978" s="42" t="str">
        <f t="shared" si="4"/>
        <v>Castillejos</v>
      </c>
      <c r="I978" s="42" t="str">
        <f t="shared" si="5"/>
        <v>Zambales</v>
      </c>
      <c r="J978" s="42" t="str">
        <f t="array" ref="J978">XLOOKUP($E978,'Recipients REF'!$B:$B,'Recipients REF'!D:D,"",0)</f>
        <v>MILAGROS G. FREZADO</v>
      </c>
      <c r="K978" s="42" t="str">
        <f t="array" ref="K978">XLOOKUP($E978,'Recipients REF'!$B:$B,'Recipients REF'!E:E,"",0)</f>
        <v>0909-968-7461</v>
      </c>
      <c r="L978" s="43" t="str">
        <f t="array" ref="L978">XLOOKUP($A978,'Recipients REF'!$A:$A,'Recipients REF'!F:F,"",0)</f>
        <v>RCEF 23-09-21 Rebidding</v>
      </c>
      <c r="M978" s="43">
        <f t="array" ref="M978">XLOOKUP($A978,'Recipients REF'!$A:$A,'Recipients REF'!G:G,"",0)</f>
        <v>3</v>
      </c>
      <c r="N978" s="43">
        <f t="array" ref="N978">XLOOKUP($A978,'Recipients REF'!$A:$A,'Recipients REF'!H:H,"",0)</f>
        <v>17962</v>
      </c>
      <c r="O978" s="44" t="s">
        <v>25</v>
      </c>
      <c r="P978" s="45" t="s">
        <v>26</v>
      </c>
      <c r="Q978" s="46" t="str">
        <f t="array" ref="Q978">XLOOKUP($A978,'Recipients REF'!$A:$A,'Recipients REF'!I:I,"",0)</f>
        <v>KMC5825 AAPFPV0098</v>
      </c>
      <c r="R978" s="47" t="str">
        <f t="array" ref="R978">XLOOKUP($A978,'Recipients REF'!$A:$A,'Recipients REF'!J:J,"",0)</f>
        <v>PTS100074</v>
      </c>
      <c r="S978" s="45" t="s">
        <v>27</v>
      </c>
      <c r="T978" s="45" t="s">
        <v>28</v>
      </c>
      <c r="U978" s="46" t="str">
        <f t="array" ref="U978">XLOOKUP($A978,'Recipients REF'!$A:$A,'Recipients REF'!K:K,"",0)</f>
        <v>R-SERIES 052 PH</v>
      </c>
      <c r="V978" s="44" t="s">
        <v>29</v>
      </c>
      <c r="W978" s="45" t="s">
        <v>30</v>
      </c>
      <c r="X978" s="47" t="str">
        <f t="array" ref="X978">XLOOKUP($A978,'Recipients REF'!$A:$A,'Recipients REF'!L:L,"",0)</f>
        <v>LSGW1750 2312116</v>
      </c>
      <c r="Y978" s="48" t="s">
        <v>29</v>
      </c>
      <c r="Z978" s="48" t="s">
        <v>31</v>
      </c>
      <c r="AA978" s="46" t="str">
        <f t="array" ref="AA978">XLOOKUP($A978,'Recipients REF'!$A:$A,'Recipients REF'!M:M,"",0)</f>
        <v>WDP40 RMP 2312126</v>
      </c>
      <c r="AB978" s="49"/>
      <c r="AC978" s="42"/>
      <c r="AD978" s="42"/>
      <c r="AE978" s="50"/>
      <c r="AF978" s="42"/>
      <c r="AG978" s="42"/>
      <c r="AH978" s="42"/>
      <c r="AI978" s="42" t="str">
        <f t="array" ref="AI978">XLOOKUP($E978,Sheet11!$D:$D,Sheet11!$X:$X,"",0)</f>
        <v>869066060237303 (E)</v>
      </c>
      <c r="AJ978" s="42">
        <f t="array" ref="AJ978">XLOOKUP($E978,Sheet11!$D:$D,Sheet11!$Y:$Y,"",0)</f>
        <v>9086734950</v>
      </c>
    </row>
    <row r="979">
      <c r="A979" s="41">
        <v>146.0</v>
      </c>
      <c r="B979" s="42" t="s">
        <v>1937</v>
      </c>
      <c r="C979" s="42" t="s">
        <v>1938</v>
      </c>
      <c r="D979" s="42"/>
      <c r="E979" s="42" t="str">
        <f t="shared" ref="E979:F979" si="980">PROPER(B979)</f>
        <v>Liozon Fisherfolks And Farmers' Association</v>
      </c>
      <c r="F979" s="42" t="str">
        <f t="shared" si="980"/>
        <v>Liozon, Palauig, Zambales</v>
      </c>
      <c r="G979" s="42" t="str">
        <f t="shared" si="3"/>
        <v>Liozon</v>
      </c>
      <c r="H979" s="42" t="str">
        <f t="shared" si="4"/>
        <v>Palauig</v>
      </c>
      <c r="I979" s="42" t="str">
        <f t="shared" si="5"/>
        <v>Zambales</v>
      </c>
      <c r="J979" s="42" t="str">
        <f t="array" ref="J979">XLOOKUP($E979,'Recipients REF'!$B:$B,'Recipients REF'!D:D,"",0)</f>
        <v>Rene A. Alves</v>
      </c>
      <c r="K979" s="42" t="str">
        <f t="array" ref="K979">XLOOKUP($E979,'Recipients REF'!$B:$B,'Recipients REF'!E:E,"",0)</f>
        <v>0950-245-4865</v>
      </c>
      <c r="L979" s="43" t="str">
        <f t="array" ref="L979">XLOOKUP($A979,'Recipients REF'!$A:$A,'Recipients REF'!F:F,"",0)</f>
        <v>RCEF 23-09-21 Rebidding</v>
      </c>
      <c r="M979" s="43">
        <f t="array" ref="M979">XLOOKUP($A979,'Recipients REF'!$A:$A,'Recipients REF'!G:G,"",0)</f>
        <v>3</v>
      </c>
      <c r="N979" s="43">
        <f t="array" ref="N979">XLOOKUP($A979,'Recipients REF'!$A:$A,'Recipients REF'!H:H,"",0)</f>
        <v>17962</v>
      </c>
      <c r="O979" s="44" t="s">
        <v>25</v>
      </c>
      <c r="P979" s="45" t="s">
        <v>26</v>
      </c>
      <c r="Q979" s="46" t="str">
        <f t="array" ref="Q979">XLOOKUP($A979,'Recipients REF'!$A:$A,'Recipients REF'!I:I,"",0)</f>
        <v>KMC5825 AVPFPV0150</v>
      </c>
      <c r="R979" s="47" t="str">
        <f t="array" ref="R979">XLOOKUP($A979,'Recipients REF'!$A:$A,'Recipients REF'!J:J,"",0)</f>
        <v>PTS 100143</v>
      </c>
      <c r="S979" s="45" t="s">
        <v>27</v>
      </c>
      <c r="T979" s="45" t="s">
        <v>28</v>
      </c>
      <c r="U979" s="46" t="str">
        <f t="array" ref="U979">XLOOKUP($A979,'Recipients REF'!$A:$A,'Recipients REF'!K:K,"",0)</f>
        <v>R-SERIES 064 PH</v>
      </c>
      <c r="V979" s="44" t="s">
        <v>29</v>
      </c>
      <c r="W979" s="45" t="s">
        <v>30</v>
      </c>
      <c r="X979" s="47" t="str">
        <f t="array" ref="X979">XLOOKUP($A979,'Recipients REF'!$A:$A,'Recipients REF'!L:L,"",0)</f>
        <v>LSGW1750 2312129</v>
      </c>
      <c r="Y979" s="48" t="s">
        <v>29</v>
      </c>
      <c r="Z979" s="48" t="s">
        <v>31</v>
      </c>
      <c r="AA979" s="46" t="str">
        <f t="array" ref="AA979">XLOOKUP($A979,'Recipients REF'!$A:$A,'Recipients REF'!M:M,"",0)</f>
        <v>WDP40 RMP 2312143</v>
      </c>
      <c r="AB979" s="49"/>
      <c r="AC979" s="42"/>
      <c r="AD979" s="42"/>
      <c r="AE979" s="50"/>
      <c r="AF979" s="42"/>
      <c r="AG979" s="42"/>
      <c r="AH979" s="42"/>
      <c r="AI979" s="42" t="str">
        <f t="array" ref="AI979">XLOOKUP($E979,Sheet11!$D:$D,Sheet11!$X:$X,"",0)</f>
        <v>869066060243012 (E)</v>
      </c>
      <c r="AJ979" s="42">
        <f t="array" ref="AJ979">XLOOKUP($E979,Sheet11!$D:$D,Sheet11!$Y:$Y,"",0)</f>
        <v>9085671649</v>
      </c>
    </row>
    <row r="980">
      <c r="A980" s="41">
        <v>147.0</v>
      </c>
      <c r="B980" s="42" t="s">
        <v>1939</v>
      </c>
      <c r="C980" s="42" t="s">
        <v>1940</v>
      </c>
      <c r="D980" s="42"/>
      <c r="E980" s="42" t="str">
        <f t="shared" ref="E980:F980" si="981">PROPER(B980)</f>
        <v>Burgos, Luna, San Juan(Blsj) Irrigators Association Inc.</v>
      </c>
      <c r="F980" s="42" t="str">
        <f t="shared" si="981"/>
        <v>Luna (Pob.), San Antonio, Zambales</v>
      </c>
      <c r="G980" s="42" t="str">
        <f t="shared" si="3"/>
        <v>Luna (Pob.)</v>
      </c>
      <c r="H980" s="42" t="str">
        <f t="shared" si="4"/>
        <v>San Antonio</v>
      </c>
      <c r="I980" s="42" t="str">
        <f t="shared" si="5"/>
        <v>Zambales</v>
      </c>
      <c r="J980" s="42" t="str">
        <f t="array" ref="J980">XLOOKUP($E980,'Recipients REF'!$B:$B,'Recipients REF'!D:D,"",0)</f>
        <v>Juanito D. Reolizo</v>
      </c>
      <c r="K980" s="42" t="str">
        <f t="array" ref="K980">XLOOKUP($E980,'Recipients REF'!$B:$B,'Recipients REF'!E:E,"",0)</f>
        <v>0919-312-3031</v>
      </c>
      <c r="L980" s="43" t="str">
        <f t="array" ref="L980">XLOOKUP($A980,'Recipients REF'!$A:$A,'Recipients REF'!F:F,"",0)</f>
        <v>RCEF 23-09-21 Rebidding</v>
      </c>
      <c r="M980" s="43">
        <f t="array" ref="M980">XLOOKUP($A980,'Recipients REF'!$A:$A,'Recipients REF'!G:G,"",0)</f>
        <v>3</v>
      </c>
      <c r="N980" s="43">
        <f t="array" ref="N980">XLOOKUP($A980,'Recipients REF'!$A:$A,'Recipients REF'!H:H,"",0)</f>
        <v>17963</v>
      </c>
      <c r="O980" s="44" t="s">
        <v>25</v>
      </c>
      <c r="P980" s="45" t="s">
        <v>26</v>
      </c>
      <c r="Q980" s="46" t="str">
        <f t="array" ref="Q980">XLOOKUP($A980,'Recipients REF'!$A:$A,'Recipients REF'!I:I,"",0)</f>
        <v>KMC5825 AVPFPV0083</v>
      </c>
      <c r="R980" s="47" t="str">
        <f t="array" ref="R980">XLOOKUP($A980,'Recipients REF'!$A:$A,'Recipients REF'!J:J,"",0)</f>
        <v>PTS 100085</v>
      </c>
      <c r="S980" s="45" t="s">
        <v>27</v>
      </c>
      <c r="T980" s="45" t="s">
        <v>28</v>
      </c>
      <c r="U980" s="46" t="str">
        <f t="array" ref="U980">XLOOKUP($A980,'Recipients REF'!$A:$A,'Recipients REF'!K:K,"",0)</f>
        <v>R-SERIES 050 PH</v>
      </c>
      <c r="V980" s="44" t="s">
        <v>29</v>
      </c>
      <c r="W980" s="45" t="s">
        <v>30</v>
      </c>
      <c r="X980" s="47" t="str">
        <f t="array" ref="X980">XLOOKUP($A980,'Recipients REF'!$A:$A,'Recipients REF'!L:L,"",0)</f>
        <v>LSGW1750 2312132</v>
      </c>
      <c r="Y980" s="48" t="s">
        <v>29</v>
      </c>
      <c r="Z980" s="48" t="s">
        <v>31</v>
      </c>
      <c r="AA980" s="46" t="str">
        <f t="array" ref="AA980">XLOOKUP($A980,'Recipients REF'!$A:$A,'Recipients REF'!M:M,"",0)</f>
        <v>WDP40 RMP 2312140</v>
      </c>
      <c r="AB980" s="49"/>
      <c r="AC980" s="42"/>
      <c r="AD980" s="42"/>
      <c r="AE980" s="50"/>
      <c r="AF980" s="42"/>
      <c r="AG980" s="42"/>
      <c r="AH980" s="42"/>
      <c r="AI980" s="42" t="str">
        <f t="array" ref="AI980">XLOOKUP($E980,Sheet11!$D:$D,Sheet11!$X:$X,"",0)</f>
        <v>869066060243681 (E)</v>
      </c>
      <c r="AJ980" s="42">
        <f t="array" ref="AJ980">XLOOKUP($E980,Sheet11!$D:$D,Sheet11!$Y:$Y,"",0)</f>
        <v>9086798302</v>
      </c>
    </row>
    <row r="981">
      <c r="A981" s="41">
        <v>148.0</v>
      </c>
      <c r="B981" s="42" t="s">
        <v>1941</v>
      </c>
      <c r="C981" s="42" t="s">
        <v>1942</v>
      </c>
      <c r="D981" s="42"/>
      <c r="E981" s="42" t="str">
        <f t="shared" ref="E981:F981" si="982">PROPER(B981)</f>
        <v>Guinabon Multipurpose Cooperative,Inc.</v>
      </c>
      <c r="F981" s="42" t="str">
        <f t="shared" si="982"/>
        <v>Guinabon, Santa Cruz, Zambales</v>
      </c>
      <c r="G981" s="42" t="str">
        <f t="shared" si="3"/>
        <v>Guinabon</v>
      </c>
      <c r="H981" s="42" t="str">
        <f t="shared" si="4"/>
        <v>Santa Cruz</v>
      </c>
      <c r="I981" s="42" t="str">
        <f t="shared" si="5"/>
        <v>Zambales</v>
      </c>
      <c r="J981" s="42" t="str">
        <f t="array" ref="J981">XLOOKUP($E981,'Recipients REF'!$B:$B,'Recipients REF'!D:D,"",0)</f>
        <v>Margie M. Alota</v>
      </c>
      <c r="K981" s="42" t="str">
        <f t="array" ref="K981">XLOOKUP($E981,'Recipients REF'!$B:$B,'Recipients REF'!E:E,"",0)</f>
        <v>0910-693-3876</v>
      </c>
      <c r="L981" s="43" t="str">
        <f t="array" ref="L981">XLOOKUP($A981,'Recipients REF'!$A:$A,'Recipients REF'!F:F,"",0)</f>
        <v>RCEF 23-09-21 Rebidding</v>
      </c>
      <c r="M981" s="43">
        <f t="array" ref="M981">XLOOKUP($A981,'Recipients REF'!$A:$A,'Recipients REF'!G:G,"",0)</f>
        <v>3</v>
      </c>
      <c r="N981" s="43">
        <f t="array" ref="N981">XLOOKUP($A981,'Recipients REF'!$A:$A,'Recipients REF'!H:H,"",0)</f>
        <v>17964</v>
      </c>
      <c r="O981" s="44" t="s">
        <v>25</v>
      </c>
      <c r="P981" s="45" t="s">
        <v>26</v>
      </c>
      <c r="Q981" s="46" t="str">
        <f t="array" ref="Q981">XLOOKUP($A981,'Recipients REF'!$A:$A,'Recipients REF'!I:I,"",0)</f>
        <v>KMC5825 AKPFPV0063</v>
      </c>
      <c r="R981" s="47" t="str">
        <f t="array" ref="R981">XLOOKUP($A981,'Recipients REF'!$A:$A,'Recipients REF'!J:J,"",0)</f>
        <v>PTS 100141</v>
      </c>
      <c r="S981" s="45" t="s">
        <v>27</v>
      </c>
      <c r="T981" s="45" t="s">
        <v>28</v>
      </c>
      <c r="U981" s="46" t="str">
        <f t="array" ref="U981">XLOOKUP($A981,'Recipients REF'!$A:$A,'Recipients REF'!K:K,"",0)</f>
        <v>R-SERIES 027 PH</v>
      </c>
      <c r="V981" s="44" t="s">
        <v>29</v>
      </c>
      <c r="W981" s="45" t="s">
        <v>30</v>
      </c>
      <c r="X981" s="47" t="str">
        <f t="array" ref="X981">XLOOKUP($A981,'Recipients REF'!$A:$A,'Recipients REF'!L:L,"",0)</f>
        <v>LSGW1750 2312124</v>
      </c>
      <c r="Y981" s="48" t="s">
        <v>29</v>
      </c>
      <c r="Z981" s="48" t="s">
        <v>31</v>
      </c>
      <c r="AA981" s="46" t="str">
        <f t="array" ref="AA981">XLOOKUP($A981,'Recipients REF'!$A:$A,'Recipients REF'!M:M,"",0)</f>
        <v>WDP40 RMP 2312027</v>
      </c>
      <c r="AB981" s="49"/>
      <c r="AC981" s="42"/>
      <c r="AD981" s="42"/>
      <c r="AE981" s="50"/>
      <c r="AF981" s="42"/>
      <c r="AG981" s="42"/>
      <c r="AH981" s="42"/>
      <c r="AI981" s="42" t="str">
        <f t="array" ref="AI981">XLOOKUP($E981,Sheet11!$D:$D,Sheet11!$X:$X,"",0)</f>
        <v>869066060241784 (E)</v>
      </c>
      <c r="AJ981" s="42">
        <f t="array" ref="AJ981">XLOOKUP($E981,Sheet11!$D:$D,Sheet11!$Y:$Y,"",0)</f>
        <v>9083151604</v>
      </c>
    </row>
    <row r="982">
      <c r="A982" s="41">
        <v>149.0</v>
      </c>
      <c r="B982" s="42" t="s">
        <v>1943</v>
      </c>
      <c r="C982" s="42" t="s">
        <v>1944</v>
      </c>
      <c r="D982" s="42"/>
      <c r="E982" s="42" t="str">
        <f t="shared" ref="E982:F982" si="983">PROPER(B982)</f>
        <v>Masaganang Bukirin Farmers Association</v>
      </c>
      <c r="F982" s="42" t="str">
        <f t="shared" si="983"/>
        <v>La Paz (Pob.), San Marcelino, Zambales</v>
      </c>
      <c r="G982" s="42" t="str">
        <f t="shared" si="3"/>
        <v>La Paz (Pob.)</v>
      </c>
      <c r="H982" s="42" t="str">
        <f t="shared" si="4"/>
        <v>San Marcelino</v>
      </c>
      <c r="I982" s="42" t="str">
        <f t="shared" si="5"/>
        <v>Zambales</v>
      </c>
      <c r="J982" s="42" t="str">
        <f t="array" ref="J982">XLOOKUP($E982,'Recipients REF'!$B:$B,'Recipients REF'!D:D,"",0)</f>
        <v>Albert B. Mendoza</v>
      </c>
      <c r="K982" s="42" t="str">
        <f t="array" ref="K982">XLOOKUP($E982,'Recipients REF'!$B:$B,'Recipients REF'!E:E,"",0)</f>
        <v>0938-723-3680</v>
      </c>
      <c r="L982" s="43" t="str">
        <f t="array" ref="L982">XLOOKUP($A982,'Recipients REF'!$A:$A,'Recipients REF'!F:F,"",0)</f>
        <v>RCEF 23-09-21 Rebidding</v>
      </c>
      <c r="M982" s="43">
        <f t="array" ref="M982">XLOOKUP($A982,'Recipients REF'!$A:$A,'Recipients REF'!G:G,"",0)</f>
        <v>9</v>
      </c>
      <c r="N982" s="43">
        <f t="array" ref="N982">XLOOKUP($A982,'Recipients REF'!$A:$A,'Recipients REF'!H:H,"",0)</f>
        <v>17965</v>
      </c>
      <c r="O982" s="44" t="s">
        <v>25</v>
      </c>
      <c r="P982" s="45" t="s">
        <v>26</v>
      </c>
      <c r="Q982" s="46" t="str">
        <f t="array" ref="Q982">XLOOKUP($A982,'Recipients REF'!$A:$A,'Recipients REF'!I:I,"",0)</f>
        <v>KMC5825 ACPFPV0048</v>
      </c>
      <c r="R982" s="47" t="str">
        <f t="array" ref="R982">XLOOKUP($A982,'Recipients REF'!$A:$A,'Recipients REF'!J:J,"",0)</f>
        <v>PTS 100128</v>
      </c>
      <c r="S982" s="45" t="s">
        <v>27</v>
      </c>
      <c r="T982" s="45" t="s">
        <v>28</v>
      </c>
      <c r="U982" s="46" t="str">
        <f t="array" ref="U982">XLOOKUP($A982,'Recipients REF'!$A:$A,'Recipients REF'!K:K,"",0)</f>
        <v>R-SERIES 073 PH</v>
      </c>
      <c r="V982" s="44" t="s">
        <v>29</v>
      </c>
      <c r="W982" s="45" t="s">
        <v>30</v>
      </c>
      <c r="X982" s="47" t="str">
        <f t="array" ref="X982">XLOOKUP($A982,'Recipients REF'!$A:$A,'Recipients REF'!L:L,"",0)</f>
        <v>LSGW1750 2312115</v>
      </c>
      <c r="Y982" s="48" t="s">
        <v>29</v>
      </c>
      <c r="Z982" s="48" t="s">
        <v>31</v>
      </c>
      <c r="AA982" s="46" t="str">
        <f t="array" ref="AA982">XLOOKUP($A982,'Recipients REF'!$A:$A,'Recipients REF'!M:M,"",0)</f>
        <v>WDP40 RMP 2312025</v>
      </c>
      <c r="AB982" s="49"/>
      <c r="AC982" s="42"/>
      <c r="AD982" s="42"/>
      <c r="AE982" s="50"/>
      <c r="AF982" s="42"/>
      <c r="AG982" s="42"/>
      <c r="AH982" s="42"/>
      <c r="AI982" s="42" t="str">
        <f t="array" ref="AI982">XLOOKUP($E982,Sheet11!$D:$D,Sheet11!$X:$X,"",0)</f>
        <v>869066060243582 (E)</v>
      </c>
      <c r="AJ982" s="42">
        <f t="array" ref="AJ982">XLOOKUP($E982,Sheet11!$D:$D,Sheet11!$Y:$Y,"",0)</f>
        <v>9086634995</v>
      </c>
    </row>
    <row r="983">
      <c r="A983" s="41">
        <v>150.0</v>
      </c>
      <c r="B983" s="42" t="s">
        <v>1945</v>
      </c>
      <c r="C983" s="42" t="s">
        <v>1946</v>
      </c>
      <c r="D983" s="42"/>
      <c r="E983" s="42" t="str">
        <f t="shared" ref="E983:F983" si="984">PROPER(B983)</f>
        <v>Magsasaka Ng Bagong Henerasyon Ng Barangay Simminublan (Mbhbs)</v>
      </c>
      <c r="F983" s="42" t="str">
        <f t="shared" si="984"/>
        <v>Siminublan, San Narciso, Zambales</v>
      </c>
      <c r="G983" s="42" t="str">
        <f t="shared" si="3"/>
        <v>Siminublan</v>
      </c>
      <c r="H983" s="42" t="str">
        <f t="shared" si="4"/>
        <v>San Narciso</v>
      </c>
      <c r="I983" s="42" t="str">
        <f t="shared" si="5"/>
        <v>Zambales</v>
      </c>
      <c r="J983" s="42" t="str">
        <f t="array" ref="J983">XLOOKUP($E983,'Recipients REF'!$B:$B,'Recipients REF'!D:D,"",0)</f>
        <v>Wilfredo G. Aleta</v>
      </c>
      <c r="K983" s="42" t="str">
        <f t="array" ref="K983">XLOOKUP($E983,'Recipients REF'!$B:$B,'Recipients REF'!E:E,"",0)</f>
        <v>0910-072-4561</v>
      </c>
      <c r="L983" s="43" t="str">
        <f t="array" ref="L983">XLOOKUP($A983,'Recipients REF'!$A:$A,'Recipients REF'!F:F,"",0)</f>
        <v>RCEF 23-09-21 Rebidding</v>
      </c>
      <c r="M983" s="43">
        <f t="array" ref="M983">XLOOKUP($A983,'Recipients REF'!$A:$A,'Recipients REF'!G:G,"",0)</f>
        <v>9</v>
      </c>
      <c r="N983" s="43">
        <f t="array" ref="N983">XLOOKUP($A983,'Recipients REF'!$A:$A,'Recipients REF'!H:H,"",0)</f>
        <v>17966</v>
      </c>
      <c r="O983" s="44" t="s">
        <v>25</v>
      </c>
      <c r="P983" s="45" t="s">
        <v>26</v>
      </c>
      <c r="Q983" s="46" t="str">
        <f t="array" ref="Q983">XLOOKUP($A983,'Recipients REF'!$A:$A,'Recipients REF'!I:I,"",0)</f>
        <v>KMC5825 ACPFPV0091</v>
      </c>
      <c r="R983" s="47" t="str">
        <f t="array" ref="R983">XLOOKUP($A983,'Recipients REF'!$A:$A,'Recipients REF'!J:J,"",0)</f>
        <v>PTS 100056</v>
      </c>
      <c r="S983" s="45" t="s">
        <v>27</v>
      </c>
      <c r="T983" s="45" t="s">
        <v>28</v>
      </c>
      <c r="U983" s="46" t="str">
        <f t="array" ref="U983">XLOOKUP($A983,'Recipients REF'!$A:$A,'Recipients REF'!K:K,"",0)</f>
        <v>R-SERIES 059 PH</v>
      </c>
      <c r="V983" s="44" t="s">
        <v>29</v>
      </c>
      <c r="W983" s="45" t="s">
        <v>30</v>
      </c>
      <c r="X983" s="47" t="str">
        <f t="array" ref="X983">XLOOKUP($A983,'Recipients REF'!$A:$A,'Recipients REF'!L:L,"",0)</f>
        <v>LSGW1750 2312123</v>
      </c>
      <c r="Y983" s="48" t="s">
        <v>29</v>
      </c>
      <c r="Z983" s="48" t="s">
        <v>31</v>
      </c>
      <c r="AA983" s="46" t="str">
        <f t="array" ref="AA983">XLOOKUP($A983,'Recipients REF'!$A:$A,'Recipients REF'!M:M,"",0)</f>
        <v>WDP40 RMP 2312026</v>
      </c>
      <c r="AB983" s="49"/>
      <c r="AC983" s="42"/>
      <c r="AD983" s="42"/>
      <c r="AE983" s="50"/>
      <c r="AF983" s="42"/>
      <c r="AG983" s="42"/>
      <c r="AH983" s="42"/>
      <c r="AI983" s="42" t="str">
        <f t="array" ref="AI983">XLOOKUP($E983,Sheet11!$D:$D,Sheet11!$X:$X,"",0)</f>
        <v>869066060243905 (E)</v>
      </c>
      <c r="AJ983" s="42">
        <f t="array" ref="AJ983">XLOOKUP($E983,Sheet11!$D:$D,Sheet11!$Y:$Y,"",0)</f>
        <v>9082949354</v>
      </c>
    </row>
    <row r="984">
      <c r="A984" s="41">
        <v>728.0</v>
      </c>
      <c r="B984" s="42" t="s">
        <v>1947</v>
      </c>
      <c r="C984" s="42" t="s">
        <v>1948</v>
      </c>
      <c r="D984" s="42"/>
      <c r="E984" s="42" t="str">
        <f t="shared" ref="E984:F984" si="985">PROPER(B984)</f>
        <v>Malipa Farmers Association</v>
      </c>
      <c r="F984" s="42" t="str">
        <f t="shared" si="985"/>
        <v>Nagbayan, Castillejos, Zambales</v>
      </c>
      <c r="G984" s="42" t="str">
        <f t="shared" si="3"/>
        <v>Nagbayan</v>
      </c>
      <c r="H984" s="42" t="str">
        <f t="shared" si="4"/>
        <v>Castillejos</v>
      </c>
      <c r="I984" s="42" t="str">
        <f t="shared" si="5"/>
        <v>Zambales</v>
      </c>
      <c r="J984" s="42" t="str">
        <f t="array" ref="J984">XLOOKUP($E984,'Recipients REF'!$B:$B,'Recipients REF'!D:D,"",0)</f>
        <v>Rommel P. Andres</v>
      </c>
      <c r="K984" s="42" t="str">
        <f t="array" ref="K984">XLOOKUP($E984,'Recipients REF'!$B:$B,'Recipients REF'!E:E,"",0)</f>
        <v>0961-749-4428</v>
      </c>
      <c r="L984" s="43" t="str">
        <f t="array" ref="L984">XLOOKUP($A984,'Recipients REF'!$A:$A,'Recipients REF'!F:F,"",0)</f>
        <v>RCEF 25-03-05</v>
      </c>
      <c r="M984" s="43">
        <f t="array" ref="M984">XLOOKUP($A984,'Recipients REF'!$A:$A,'Recipients REF'!G:G,"",0)</f>
        <v>5</v>
      </c>
      <c r="N984" s="43" t="str">
        <f t="array" ref="N984">XLOOKUP($A984,'Recipients REF'!$A:$A,'Recipients REF'!H:H,"",0)</f>
        <v>26545 &amp; 27726</v>
      </c>
      <c r="O984" s="44" t="s">
        <v>25</v>
      </c>
      <c r="P984" s="45" t="s">
        <v>26</v>
      </c>
      <c r="Q984" s="46" t="str">
        <f t="array" ref="Q984">XLOOKUP($A984,'Recipients REF'!$A:$A,'Recipients REF'!I:I,"",0)</f>
        <v>KMC5825ALRFPV0820</v>
      </c>
      <c r="R984" s="53" t="str">
        <f t="array" ref="R984">XLOOKUP($A984,'Recipients REF'!$A:$A,'Recipients REF'!J:J,"",0)</f>
        <v>RTS100701</v>
      </c>
      <c r="S984" s="45" t="s">
        <v>27</v>
      </c>
      <c r="T984" s="45" t="s">
        <v>28</v>
      </c>
      <c r="U984" s="46" t="str">
        <f t="array" ref="U984">XLOOKUP($A984,'Recipients REF'!$A:$A,'Recipients REF'!K:K,"",0)</f>
        <v>WR-SERIES 021</v>
      </c>
      <c r="V984" s="44" t="s">
        <v>29</v>
      </c>
      <c r="W984" s="45" t="s">
        <v>30</v>
      </c>
      <c r="X984" s="53" t="str">
        <f t="array" ref="X984">XLOOKUP($A984,'Recipients REF'!$A:$A,'Recipients REF'!L:L,"",0)</f>
        <v>25080375</v>
      </c>
      <c r="Y984" s="48" t="s">
        <v>29</v>
      </c>
      <c r="Z984" s="48" t="s">
        <v>31</v>
      </c>
      <c r="AA984" s="54" t="str">
        <f t="array" ref="AA984">XLOOKUP($A984,'Recipients REF'!$A:$A,'Recipients REF'!M:M,"",0)</f>
        <v>25080804</v>
      </c>
      <c r="AB984" s="49"/>
      <c r="AC984" s="42"/>
      <c r="AD984" s="42"/>
      <c r="AE984" s="50"/>
      <c r="AF984" s="42"/>
      <c r="AG984" s="42"/>
      <c r="AH984" s="42"/>
      <c r="AI984" s="42" t="str">
        <f t="array" ref="AI984">XLOOKUP($E984,Sheet11!$D:$D,Sheet11!$X:$X,"",0)</f>
        <v/>
      </c>
      <c r="AJ984" s="42" t="str">
        <f t="array" ref="AJ984">XLOOKUP($E984,Sheet11!$D:$D,Sheet11!$Y:$Y,"",0)</f>
        <v/>
      </c>
    </row>
    <row r="985">
      <c r="A985" s="41">
        <v>729.0</v>
      </c>
      <c r="B985" s="42" t="s">
        <v>1949</v>
      </c>
      <c r="C985" s="42" t="s">
        <v>1950</v>
      </c>
      <c r="D985" s="42"/>
      <c r="E985" s="42" t="str">
        <f t="shared" ref="E985:F985" si="986">PROPER(B985)</f>
        <v>Matiques Farmers Association</v>
      </c>
      <c r="F985" s="42" t="str">
        <f t="shared" si="986"/>
        <v>Santa Fe, San Marcelino, Zambales</v>
      </c>
      <c r="G985" s="42" t="str">
        <f t="shared" si="3"/>
        <v>Santa Fe</v>
      </c>
      <c r="H985" s="42" t="str">
        <f t="shared" si="4"/>
        <v>San Marcelino</v>
      </c>
      <c r="I985" s="42" t="str">
        <f t="shared" si="5"/>
        <v>Zambales</v>
      </c>
      <c r="J985" s="42" t="str">
        <f t="array" ref="J985">XLOOKUP($E985,'Recipients REF'!$B:$B,'Recipients REF'!D:D,"",0)</f>
        <v>Raul Corpus</v>
      </c>
      <c r="K985" s="42" t="str">
        <f t="array" ref="K985">XLOOKUP($E985,'Recipients REF'!$B:$B,'Recipients REF'!E:E,"",0)</f>
        <v>0910-648-7181</v>
      </c>
      <c r="L985" s="43" t="str">
        <f t="array" ref="L985">XLOOKUP($A985,'Recipients REF'!$A:$A,'Recipients REF'!F:F,"",0)</f>
        <v>RCEF 25-03-05</v>
      </c>
      <c r="M985" s="43">
        <f t="array" ref="M985">XLOOKUP($A985,'Recipients REF'!$A:$A,'Recipients REF'!G:G,"",0)</f>
        <v>5</v>
      </c>
      <c r="N985" s="43" t="str">
        <f t="array" ref="N985">XLOOKUP($A985,'Recipients REF'!$A:$A,'Recipients REF'!H:H,"",0)</f>
        <v>26546 &amp; 27727</v>
      </c>
      <c r="O985" s="44" t="s">
        <v>25</v>
      </c>
      <c r="P985" s="45" t="s">
        <v>26</v>
      </c>
      <c r="Q985" s="46" t="str">
        <f t="array" ref="Q985">XLOOKUP($A985,'Recipients REF'!$A:$A,'Recipients REF'!I:I,"",0)</f>
        <v>KMC5825AHRFPV1015</v>
      </c>
      <c r="R985" s="53" t="str">
        <f t="array" ref="R985">XLOOKUP($A985,'Recipients REF'!$A:$A,'Recipients REF'!J:J,"",0)</f>
        <v>RTS100919</v>
      </c>
      <c r="S985" s="45" t="s">
        <v>27</v>
      </c>
      <c r="T985" s="45" t="s">
        <v>28</v>
      </c>
      <c r="U985" s="46" t="str">
        <f t="array" ref="U985">XLOOKUP($A985,'Recipients REF'!$A:$A,'Recipients REF'!K:K,"",0)</f>
        <v>WR-SERIES 024</v>
      </c>
      <c r="V985" s="44" t="s">
        <v>29</v>
      </c>
      <c r="W985" s="45" t="s">
        <v>30</v>
      </c>
      <c r="X985" s="53" t="str">
        <f t="array" ref="X985">XLOOKUP($A985,'Recipients REF'!$A:$A,'Recipients REF'!L:L,"",0)</f>
        <v>25080363</v>
      </c>
      <c r="Y985" s="48" t="s">
        <v>29</v>
      </c>
      <c r="Z985" s="48" t="s">
        <v>31</v>
      </c>
      <c r="AA985" s="54" t="str">
        <f t="array" ref="AA985">XLOOKUP($A985,'Recipients REF'!$A:$A,'Recipients REF'!M:M,"",0)</f>
        <v>25080803</v>
      </c>
      <c r="AB985" s="49"/>
      <c r="AC985" s="42"/>
      <c r="AD985" s="42"/>
      <c r="AE985" s="50"/>
      <c r="AF985" s="42"/>
      <c r="AG985" s="42"/>
      <c r="AH985" s="42"/>
      <c r="AI985" s="42" t="str">
        <f t="array" ref="AI985">XLOOKUP($E985,Sheet11!$D:$D,Sheet11!$X:$X,"",0)</f>
        <v/>
      </c>
      <c r="AJ985" s="42" t="str">
        <f t="array" ref="AJ985">XLOOKUP($E985,Sheet11!$D:$D,Sheet11!$Y:$Y,"",0)</f>
        <v/>
      </c>
    </row>
    <row r="986">
      <c r="A986" s="41">
        <v>730.0</v>
      </c>
      <c r="B986" s="42" t="s">
        <v>1951</v>
      </c>
      <c r="C986" s="42" t="s">
        <v>1952</v>
      </c>
      <c r="D986" s="42"/>
      <c r="E986" s="42" t="str">
        <f t="shared" ref="E986:F986" si="987">PROPER(B986)</f>
        <v>Zambales Agri-Farmers Entrepreneurship Association (Zafea) Inc.</v>
      </c>
      <c r="F986" s="42" t="str">
        <f t="shared" si="987"/>
        <v>San Isidro (Pob.), San Marcelino, Zambales</v>
      </c>
      <c r="G986" s="42" t="str">
        <f t="shared" si="3"/>
        <v>San Isidro (Pob.)</v>
      </c>
      <c r="H986" s="42" t="str">
        <f t="shared" si="4"/>
        <v>San Marcelino</v>
      </c>
      <c r="I986" s="42" t="str">
        <f t="shared" si="5"/>
        <v>Zambales</v>
      </c>
      <c r="J986" s="42" t="str">
        <f t="array" ref="J986">XLOOKUP($E986,'Recipients REF'!$B:$B,'Recipients REF'!D:D,"",0)</f>
        <v>Dina M. Dacayo / Danilo C. Labrador</v>
      </c>
      <c r="K986" s="42" t="str">
        <f t="array" ref="K986">XLOOKUP($E986,'Recipients REF'!$B:$B,'Recipients REF'!E:E,"",0)</f>
        <v>0909-056-1329</v>
      </c>
      <c r="L986" s="43" t="str">
        <f t="array" ref="L986">XLOOKUP($A986,'Recipients REF'!$A:$A,'Recipients REF'!F:F,"",0)</f>
        <v>RCEF 25-03-05</v>
      </c>
      <c r="M986" s="43">
        <f t="array" ref="M986">XLOOKUP($A986,'Recipients REF'!$A:$A,'Recipients REF'!G:G,"",0)</f>
        <v>5</v>
      </c>
      <c r="N986" s="43" t="str">
        <f t="array" ref="N986">XLOOKUP($A986,'Recipients REF'!$A:$A,'Recipients REF'!H:H,"",0)</f>
        <v>26547 &amp; 27728</v>
      </c>
      <c r="O986" s="44" t="s">
        <v>25</v>
      </c>
      <c r="P986" s="45" t="s">
        <v>26</v>
      </c>
      <c r="Q986" s="46" t="str">
        <f t="array" ref="Q986">XLOOKUP($A986,'Recipients REF'!$A:$A,'Recipients REF'!I:I,"",0)</f>
        <v>KMC5825 AVRFPV0992</v>
      </c>
      <c r="R986" s="53" t="str">
        <f t="array" ref="R986">XLOOKUP($A986,'Recipients REF'!$A:$A,'Recipients REF'!J:J,"",0)</f>
        <v>RTS100885</v>
      </c>
      <c r="S986" s="45" t="s">
        <v>27</v>
      </c>
      <c r="T986" s="45" t="s">
        <v>28</v>
      </c>
      <c r="U986" s="46" t="str">
        <f t="array" ref="U986">XLOOKUP($A986,'Recipients REF'!$A:$A,'Recipients REF'!K:K,"",0)</f>
        <v>WR-SERIES 025</v>
      </c>
      <c r="V986" s="44" t="s">
        <v>29</v>
      </c>
      <c r="W986" s="45" t="s">
        <v>30</v>
      </c>
      <c r="X986" s="53" t="str">
        <f t="array" ref="X986">XLOOKUP($A986,'Recipients REF'!$A:$A,'Recipients REF'!L:L,"",0)</f>
        <v>24111136</v>
      </c>
      <c r="Y986" s="48" t="s">
        <v>29</v>
      </c>
      <c r="Z986" s="48" t="s">
        <v>31</v>
      </c>
      <c r="AA986" s="54" t="str">
        <f t="array" ref="AA986">XLOOKUP($A986,'Recipients REF'!$A:$A,'Recipients REF'!M:M,"",0)</f>
        <v>25080800</v>
      </c>
      <c r="AB986" s="49"/>
      <c r="AC986" s="42"/>
      <c r="AD986" s="42"/>
      <c r="AE986" s="50"/>
      <c r="AF986" s="42"/>
      <c r="AG986" s="42"/>
      <c r="AH986" s="42"/>
      <c r="AI986" s="42" t="str">
        <f t="array" ref="AI986">XLOOKUP($E986,Sheet11!$D:$D,Sheet11!$X:$X,"",0)</f>
        <v/>
      </c>
      <c r="AJ986" s="42" t="str">
        <f t="array" ref="AJ986">XLOOKUP($E986,Sheet11!$D:$D,Sheet11!$Y:$Y,"",0)</f>
        <v/>
      </c>
    </row>
    <row r="987">
      <c r="A987" s="41">
        <v>731.0</v>
      </c>
      <c r="B987" s="42" t="s">
        <v>1953</v>
      </c>
      <c r="C987" s="42" t="s">
        <v>1954</v>
      </c>
      <c r="D987" s="42"/>
      <c r="E987" s="42" t="str">
        <f t="shared" ref="E987:F987" si="988">PROPER(B987)</f>
        <v>Zambales Competitive Farmers Association Inc.</v>
      </c>
      <c r="F987" s="42" t="str">
        <f t="shared" si="988"/>
        <v>Laoag, San Marcelino, Zambales</v>
      </c>
      <c r="G987" s="42" t="str">
        <f t="shared" si="3"/>
        <v>Laoag</v>
      </c>
      <c r="H987" s="42" t="str">
        <f t="shared" si="4"/>
        <v>San Marcelino</v>
      </c>
      <c r="I987" s="42" t="str">
        <f t="shared" si="5"/>
        <v>Zambales</v>
      </c>
      <c r="J987" s="42" t="str">
        <f t="array" ref="J987">XLOOKUP($E987,'Recipients REF'!$B:$B,'Recipients REF'!D:D,"",0)</f>
        <v>Ferdinan Rabanes</v>
      </c>
      <c r="K987" s="42" t="str">
        <f t="array" ref="K987">XLOOKUP($E987,'Recipients REF'!$B:$B,'Recipients REF'!E:E,"",0)</f>
        <v>0951-000-5197</v>
      </c>
      <c r="L987" s="43" t="str">
        <f t="array" ref="L987">XLOOKUP($A987,'Recipients REF'!$A:$A,'Recipients REF'!F:F,"",0)</f>
        <v>RCEF 25-03-05</v>
      </c>
      <c r="M987" s="43">
        <f t="array" ref="M987">XLOOKUP($A987,'Recipients REF'!$A:$A,'Recipients REF'!G:G,"",0)</f>
        <v>5</v>
      </c>
      <c r="N987" s="43" t="str">
        <f t="array" ref="N987">XLOOKUP($A987,'Recipients REF'!$A:$A,'Recipients REF'!H:H,"",0)</f>
        <v>26548 &amp; 27729</v>
      </c>
      <c r="O987" s="44" t="s">
        <v>25</v>
      </c>
      <c r="P987" s="45" t="s">
        <v>26</v>
      </c>
      <c r="Q987" s="46" t="str">
        <f t="array" ref="Q987">XLOOKUP($A987,'Recipients REF'!$A:$A,'Recipients REF'!I:I,"",0)</f>
        <v>KMC5825 ACRFPV1017</v>
      </c>
      <c r="R987" s="53" t="str">
        <f t="array" ref="R987">XLOOKUP($A987,'Recipients REF'!$A:$A,'Recipients REF'!J:J,"",0)</f>
        <v>RTS100908</v>
      </c>
      <c r="S987" s="45" t="s">
        <v>27</v>
      </c>
      <c r="T987" s="45" t="s">
        <v>28</v>
      </c>
      <c r="U987" s="46" t="str">
        <f t="array" ref="U987">XLOOKUP($A987,'Recipients REF'!$A:$A,'Recipients REF'!K:K,"",0)</f>
        <v>WR-SERIES 013</v>
      </c>
      <c r="V987" s="44" t="s">
        <v>29</v>
      </c>
      <c r="W987" s="45" t="s">
        <v>30</v>
      </c>
      <c r="X987" s="53" t="str">
        <f t="array" ref="X987">XLOOKUP($A987,'Recipients REF'!$A:$A,'Recipients REF'!L:L,"",0)</f>
        <v>24111155</v>
      </c>
      <c r="Y987" s="48" t="s">
        <v>29</v>
      </c>
      <c r="Z987" s="48" t="s">
        <v>31</v>
      </c>
      <c r="AA987" s="54" t="str">
        <f t="array" ref="AA987">XLOOKUP($A987,'Recipients REF'!$A:$A,'Recipients REF'!M:M,"",0)</f>
        <v>25080796</v>
      </c>
      <c r="AB987" s="49"/>
      <c r="AC987" s="42"/>
      <c r="AD987" s="42"/>
      <c r="AE987" s="50"/>
      <c r="AF987" s="42"/>
      <c r="AG987" s="42"/>
      <c r="AH987" s="42"/>
      <c r="AI987" s="42" t="str">
        <f t="array" ref="AI987">XLOOKUP($E987,Sheet11!$D:$D,Sheet11!$X:$X,"",0)</f>
        <v/>
      </c>
      <c r="AJ987" s="42" t="str">
        <f t="array" ref="AJ987">XLOOKUP($E987,Sheet11!$D:$D,Sheet11!$Y:$Y,"",0)</f>
        <v/>
      </c>
    </row>
    <row r="988">
      <c r="A988" s="41">
        <v>732.0</v>
      </c>
      <c r="B988" s="42" t="s">
        <v>1955</v>
      </c>
      <c r="C988" s="42" t="s">
        <v>1956</v>
      </c>
      <c r="D988" s="42"/>
      <c r="E988" s="42" t="str">
        <f t="shared" ref="E988:F988" si="989">PROPER(B988)</f>
        <v>Municipal Local Government Unit Of Botolan</v>
      </c>
      <c r="F988" s="42" t="str">
        <f t="shared" si="989"/>
        <v>Batonlapoc, Botolan, Zambales</v>
      </c>
      <c r="G988" s="42" t="str">
        <f t="shared" si="3"/>
        <v>Batonlapoc</v>
      </c>
      <c r="H988" s="42" t="str">
        <f t="shared" si="4"/>
        <v>Botolan</v>
      </c>
      <c r="I988" s="42" t="str">
        <f t="shared" si="5"/>
        <v>Zambales</v>
      </c>
      <c r="J988" s="42" t="str">
        <f t="array" ref="J988">XLOOKUP($E988,'Recipients REF'!$B:$B,'Recipients REF'!D:D,"",0)</f>
        <v>Hon. Jun Omar C. Ebdane</v>
      </c>
      <c r="K988" s="42" t="str">
        <f t="array" ref="K988">XLOOKUP($E988,'Recipients REF'!$B:$B,'Recipients REF'!E:E,"",0)</f>
        <v>0917-707-7365 / 0919-077-2913 (MA)</v>
      </c>
      <c r="L988" s="43" t="str">
        <f t="array" ref="L988">XLOOKUP($A988,'Recipients REF'!$A:$A,'Recipients REF'!F:F,"",0)</f>
        <v>RCEF 25-03-05</v>
      </c>
      <c r="M988" s="43">
        <f t="array" ref="M988">XLOOKUP($A988,'Recipients REF'!$A:$A,'Recipients REF'!G:G,"",0)</f>
        <v>5</v>
      </c>
      <c r="N988" s="43" t="str">
        <f t="array" ref="N988">XLOOKUP($A988,'Recipients REF'!$A:$A,'Recipients REF'!H:H,"",0)</f>
        <v>26549 &amp; 27850</v>
      </c>
      <c r="O988" s="44" t="s">
        <v>25</v>
      </c>
      <c r="P988" s="45" t="s">
        <v>26</v>
      </c>
      <c r="Q988" s="46" t="str">
        <f t="array" ref="Q988">XLOOKUP($A988,'Recipients REF'!$A:$A,'Recipients REF'!I:I,"",0)</f>
        <v>KMC5825 AKSFPV0329</v>
      </c>
      <c r="R988" s="53" t="str">
        <f t="array" ref="R988">XLOOKUP($A988,'Recipients REF'!$A:$A,'Recipients REF'!J:J,"",0)</f>
        <v>STS100348</v>
      </c>
      <c r="S988" s="45" t="s">
        <v>27</v>
      </c>
      <c r="T988" s="45" t="s">
        <v>28</v>
      </c>
      <c r="U988" s="46" t="str">
        <f t="array" ref="U988">XLOOKUP($A988,'Recipients REF'!$A:$A,'Recipients REF'!K:K,"",0)</f>
        <v>WR-SERIES 075</v>
      </c>
      <c r="V988" s="44" t="s">
        <v>29</v>
      </c>
      <c r="W988" s="45" t="s">
        <v>30</v>
      </c>
      <c r="X988" s="53" t="str">
        <f t="array" ref="X988">XLOOKUP($A988,'Recipients REF'!$A:$A,'Recipients REF'!L:L,"",0)</f>
        <v>2510810</v>
      </c>
      <c r="Y988" s="48" t="s">
        <v>29</v>
      </c>
      <c r="Z988" s="48" t="s">
        <v>31</v>
      </c>
      <c r="AA988" s="54" t="str">
        <f t="array" ref="AA988">XLOOKUP($A988,'Recipients REF'!$A:$A,'Recipients REF'!M:M,"",0)</f>
        <v>25080829</v>
      </c>
      <c r="AB988" s="49"/>
      <c r="AC988" s="42"/>
      <c r="AD988" s="42"/>
      <c r="AE988" s="51"/>
      <c r="AF988" s="52"/>
      <c r="AG988" s="42"/>
      <c r="AH988" s="42"/>
      <c r="AI988" s="42" t="str">
        <f t="array" ref="AI988">XLOOKUP($E988,Sheet11!$D:$D,Sheet11!$X:$X,"",0)</f>
        <v/>
      </c>
      <c r="AJ988" s="42" t="str">
        <f t="array" ref="AJ988">XLOOKUP($E988,Sheet11!$D:$D,Sheet11!$Y:$Y,"",0)</f>
        <v/>
      </c>
    </row>
    <row r="989">
      <c r="A989" s="41">
        <v>733.0</v>
      </c>
      <c r="B989" s="42" t="s">
        <v>1957</v>
      </c>
      <c r="C989" s="42" t="s">
        <v>1958</v>
      </c>
      <c r="D989" s="42"/>
      <c r="E989" s="42" t="str">
        <f t="shared" ref="E989:F989" si="990">PROPER(B989)</f>
        <v>Babancal Alindayat Farmers/Irrigators Association Inc.</v>
      </c>
      <c r="F989" s="42" t="str">
        <f t="shared" si="990"/>
        <v>Babancal, Candelaria, Zambales</v>
      </c>
      <c r="G989" s="42" t="str">
        <f t="shared" si="3"/>
        <v>Babancal</v>
      </c>
      <c r="H989" s="42" t="str">
        <f t="shared" si="4"/>
        <v>Candelaria</v>
      </c>
      <c r="I989" s="42" t="str">
        <f t="shared" si="5"/>
        <v>Zambales</v>
      </c>
      <c r="J989" s="42" t="str">
        <f t="array" ref="J989">XLOOKUP($E989,'Recipients REF'!$B:$B,'Recipients REF'!D:D,"",0)</f>
        <v>Allan Alcantara</v>
      </c>
      <c r="K989" s="42" t="str">
        <f t="array" ref="K989">XLOOKUP($E989,'Recipients REF'!$B:$B,'Recipients REF'!E:E,"",0)</f>
        <v>0945-486-8305</v>
      </c>
      <c r="L989" s="43" t="str">
        <f t="array" ref="L989">XLOOKUP($A989,'Recipients REF'!$A:$A,'Recipients REF'!F:F,"",0)</f>
        <v>RCEF 25-03-05</v>
      </c>
      <c r="M989" s="43">
        <f t="array" ref="M989">XLOOKUP($A989,'Recipients REF'!$A:$A,'Recipients REF'!G:G,"",0)</f>
        <v>5</v>
      </c>
      <c r="N989" s="43" t="str">
        <f t="array" ref="N989">XLOOKUP($A989,'Recipients REF'!$A:$A,'Recipients REF'!H:H,"",0)</f>
        <v>26550 &amp; 27851</v>
      </c>
      <c r="O989" s="44" t="s">
        <v>25</v>
      </c>
      <c r="P989" s="45" t="s">
        <v>26</v>
      </c>
      <c r="Q989" s="46" t="str">
        <f t="array" ref="Q989">XLOOKUP($A989,'Recipients REF'!$A:$A,'Recipients REF'!I:I,"",0)</f>
        <v>KMC5825 AASFPV0174</v>
      </c>
      <c r="R989" s="53" t="str">
        <f t="array" ref="R989">XLOOKUP($A989,'Recipients REF'!$A:$A,'Recipients REF'!J:J,"",0)</f>
        <v>STS100197</v>
      </c>
      <c r="S989" s="45" t="s">
        <v>27</v>
      </c>
      <c r="T989" s="45" t="s">
        <v>28</v>
      </c>
      <c r="U989" s="46" t="str">
        <f t="array" ref="U989">XLOOKUP($A989,'Recipients REF'!$A:$A,'Recipients REF'!K:K,"",0)</f>
        <v>WR-SERIES 130</v>
      </c>
      <c r="V989" s="44" t="s">
        <v>29</v>
      </c>
      <c r="W989" s="45" t="s">
        <v>30</v>
      </c>
      <c r="X989" s="53" t="str">
        <f t="array" ref="X989">XLOOKUP($A989,'Recipients REF'!$A:$A,'Recipients REF'!L:L,"",0)</f>
        <v>2510809</v>
      </c>
      <c r="Y989" s="48" t="s">
        <v>29</v>
      </c>
      <c r="Z989" s="48" t="s">
        <v>31</v>
      </c>
      <c r="AA989" s="54" t="str">
        <f t="array" ref="AA989">XLOOKUP($A989,'Recipients REF'!$A:$A,'Recipients REF'!M:M,"",0)</f>
        <v>25090985</v>
      </c>
      <c r="AB989" s="49"/>
      <c r="AC989" s="42"/>
      <c r="AD989" s="42"/>
      <c r="AE989" s="50"/>
      <c r="AF989" s="42"/>
      <c r="AG989" s="42"/>
      <c r="AH989" s="42"/>
      <c r="AI989" s="42" t="str">
        <f t="array" ref="AI989">XLOOKUP($E989,Sheet11!$D:$D,Sheet11!$X:$X,"",0)</f>
        <v/>
      </c>
      <c r="AJ989" s="42" t="str">
        <f t="array" ref="AJ989">XLOOKUP($E989,Sheet11!$D:$D,Sheet11!$Y:$Y,"",0)</f>
        <v/>
      </c>
    </row>
    <row r="990">
      <c r="A990" s="41">
        <v>734.0</v>
      </c>
      <c r="B990" s="42" t="s">
        <v>1959</v>
      </c>
      <c r="C990" s="42" t="s">
        <v>1960</v>
      </c>
      <c r="D990" s="42"/>
      <c r="E990" s="42" t="str">
        <f t="shared" ref="E990:F990" si="991">PROPER(B990)</f>
        <v>Municipal Local Government Unit Of Candelaria</v>
      </c>
      <c r="F990" s="42" t="str">
        <f t="shared" si="991"/>
        <v>Poblacion, Candelaria, Zambales</v>
      </c>
      <c r="G990" s="42" t="str">
        <f t="shared" si="3"/>
        <v>Poblacion</v>
      </c>
      <c r="H990" s="42" t="str">
        <f t="shared" si="4"/>
        <v>Candelaria</v>
      </c>
      <c r="I990" s="42" t="str">
        <f t="shared" si="5"/>
        <v>Zambales</v>
      </c>
      <c r="J990" s="42" t="str">
        <f t="array" ref="J990">XLOOKUP($E990,'Recipients REF'!$B:$B,'Recipients REF'!D:D,"",0)</f>
        <v>BYRON JONES E. EDQUILANG</v>
      </c>
      <c r="K990" s="42" t="str">
        <f t="array" ref="K990">XLOOKUP($E990,'Recipients REF'!$B:$B,'Recipients REF'!E:E,"",0)</f>
        <v>0977-781-0430/0967-210-8483</v>
      </c>
      <c r="L990" s="43" t="str">
        <f t="array" ref="L990">XLOOKUP($A990,'Recipients REF'!$A:$A,'Recipients REF'!F:F,"",0)</f>
        <v>RCEF 25-03-05</v>
      </c>
      <c r="M990" s="43">
        <f t="array" ref="M990">XLOOKUP($A990,'Recipients REF'!$A:$A,'Recipients REF'!G:G,"",0)</f>
        <v>5</v>
      </c>
      <c r="N990" s="43" t="str">
        <f t="array" ref="N990">XLOOKUP($A990,'Recipients REF'!$A:$A,'Recipients REF'!H:H,"",0)</f>
        <v>26566 &amp; 27852</v>
      </c>
      <c r="O990" s="44" t="s">
        <v>25</v>
      </c>
      <c r="P990" s="45" t="s">
        <v>26</v>
      </c>
      <c r="Q990" s="46" t="str">
        <f t="array" ref="Q990">XLOOKUP($A990,'Recipients REF'!$A:$A,'Recipients REF'!I:I,"",0)</f>
        <v>KMC5825 ACSFPV0267</v>
      </c>
      <c r="R990" s="53" t="str">
        <f t="array" ref="R990">XLOOKUP($A990,'Recipients REF'!$A:$A,'Recipients REF'!J:J,"",0)</f>
        <v>STS100293</v>
      </c>
      <c r="S990" s="45" t="s">
        <v>27</v>
      </c>
      <c r="T990" s="45" t="s">
        <v>28</v>
      </c>
      <c r="U990" s="46" t="str">
        <f t="array" ref="U990">XLOOKUP($A990,'Recipients REF'!$A:$A,'Recipients REF'!K:K,"",0)</f>
        <v>WR-SERIES 090</v>
      </c>
      <c r="V990" s="44" t="s">
        <v>29</v>
      </c>
      <c r="W990" s="45" t="s">
        <v>30</v>
      </c>
      <c r="X990" s="53" t="str">
        <f t="array" ref="X990">XLOOKUP($A990,'Recipients REF'!$A:$A,'Recipients REF'!L:L,"",0)</f>
        <v>2510811</v>
      </c>
      <c r="Y990" s="48" t="s">
        <v>29</v>
      </c>
      <c r="Z990" s="48" t="s">
        <v>31</v>
      </c>
      <c r="AA990" s="54" t="str">
        <f t="array" ref="AA990">XLOOKUP($A990,'Recipients REF'!$A:$A,'Recipients REF'!M:M,"",0)</f>
        <v>25090980</v>
      </c>
      <c r="AB990" s="49"/>
      <c r="AC990" s="42"/>
      <c r="AD990" s="42"/>
      <c r="AE990" s="50"/>
      <c r="AF990" s="42"/>
      <c r="AG990" s="42"/>
      <c r="AH990" s="42"/>
      <c r="AI990" s="42" t="str">
        <f t="array" ref="AI990">XLOOKUP($E990,Sheet11!$D:$D,Sheet11!$X:$X,"",0)</f>
        <v/>
      </c>
      <c r="AJ990" s="42" t="str">
        <f t="array" ref="AJ990">XLOOKUP($E990,Sheet11!$D:$D,Sheet11!$Y:$Y,"",0)</f>
        <v/>
      </c>
    </row>
    <row r="991">
      <c r="A991" s="41">
        <v>735.0</v>
      </c>
      <c r="B991" s="42" t="s">
        <v>1961</v>
      </c>
      <c r="C991" s="42" t="s">
        <v>1962</v>
      </c>
      <c r="D991" s="42"/>
      <c r="E991" s="42" t="str">
        <f t="shared" ref="E991:F991" si="992">PROPER(B991)</f>
        <v>Kawayan Kiling Amungan Farmers Association (Kkafa)</v>
      </c>
      <c r="F991" s="42" t="str">
        <f t="shared" si="992"/>
        <v>Amungan, Iba, Zambales</v>
      </c>
      <c r="G991" s="42" t="str">
        <f t="shared" si="3"/>
        <v>Amungan</v>
      </c>
      <c r="H991" s="42" t="str">
        <f t="shared" si="4"/>
        <v>Iba</v>
      </c>
      <c r="I991" s="42" t="str">
        <f t="shared" si="5"/>
        <v>Zambales</v>
      </c>
      <c r="J991" s="42" t="str">
        <f t="array" ref="J991">XLOOKUP($E991,'Recipients REF'!$B:$B,'Recipients REF'!D:D,"",0)</f>
        <v>CARLOS G. TRINIDAD</v>
      </c>
      <c r="K991" s="42" t="str">
        <f t="array" ref="K991">XLOOKUP($E991,'Recipients REF'!$B:$B,'Recipients REF'!E:E,"",0)</f>
        <v>0918-470-9776</v>
      </c>
      <c r="L991" s="43" t="str">
        <f t="array" ref="L991">XLOOKUP($A991,'Recipients REF'!$A:$A,'Recipients REF'!F:F,"",0)</f>
        <v>RCEF 25-03-05</v>
      </c>
      <c r="M991" s="43">
        <f t="array" ref="M991">XLOOKUP($A991,'Recipients REF'!$A:$A,'Recipients REF'!G:G,"",0)</f>
        <v>5</v>
      </c>
      <c r="N991" s="43" t="str">
        <f t="array" ref="N991">XLOOKUP($A991,'Recipients REF'!$A:$A,'Recipients REF'!H:H,"",0)</f>
        <v>26567 &amp; 27853</v>
      </c>
      <c r="O991" s="44" t="s">
        <v>25</v>
      </c>
      <c r="P991" s="45" t="s">
        <v>26</v>
      </c>
      <c r="Q991" s="46" t="str">
        <f t="array" ref="Q991">XLOOKUP($A991,'Recipients REF'!$A:$A,'Recipients REF'!I:I,"",0)</f>
        <v>KMC5825 APSFPV0264</v>
      </c>
      <c r="R991" s="53" t="str">
        <f t="array" ref="R991">XLOOKUP($A991,'Recipients REF'!$A:$A,'Recipients REF'!J:J,"",0)</f>
        <v>STS100289</v>
      </c>
      <c r="S991" s="45" t="s">
        <v>27</v>
      </c>
      <c r="T991" s="45" t="s">
        <v>28</v>
      </c>
      <c r="U991" s="46" t="str">
        <f t="array" ref="U991">XLOOKUP($A991,'Recipients REF'!$A:$A,'Recipients REF'!K:K,"",0)</f>
        <v>WR-SERIES 086</v>
      </c>
      <c r="V991" s="44" t="s">
        <v>29</v>
      </c>
      <c r="W991" s="45" t="s">
        <v>30</v>
      </c>
      <c r="X991" s="53" t="str">
        <f t="array" ref="X991">XLOOKUP($A991,'Recipients REF'!$A:$A,'Recipients REF'!L:L,"",0)</f>
        <v>2510796</v>
      </c>
      <c r="Y991" s="48" t="s">
        <v>29</v>
      </c>
      <c r="Z991" s="48" t="s">
        <v>31</v>
      </c>
      <c r="AA991" s="54" t="str">
        <f t="array" ref="AA991">XLOOKUP($A991,'Recipients REF'!$A:$A,'Recipients REF'!M:M,"",0)</f>
        <v>25091005</v>
      </c>
      <c r="AB991" s="49"/>
      <c r="AC991" s="42"/>
      <c r="AD991" s="42"/>
      <c r="AE991" s="51"/>
      <c r="AF991" s="42"/>
      <c r="AG991" s="42"/>
      <c r="AH991" s="42"/>
      <c r="AI991" s="42" t="str">
        <f t="array" ref="AI991">XLOOKUP($E991,Sheet11!$D:$D,Sheet11!$X:$X,"",0)</f>
        <v/>
      </c>
      <c r="AJ991" s="42" t="str">
        <f t="array" ref="AJ991">XLOOKUP($E991,Sheet11!$D:$D,Sheet11!$Y:$Y,"",0)</f>
        <v/>
      </c>
    </row>
    <row r="992">
      <c r="A992" s="41">
        <v>736.0</v>
      </c>
      <c r="B992" s="42" t="s">
        <v>1963</v>
      </c>
      <c r="C992" s="42" t="s">
        <v>1964</v>
      </c>
      <c r="D992" s="42"/>
      <c r="E992" s="42" t="str">
        <f t="shared" ref="E992:F992" si="993">PROPER(B992)</f>
        <v>Municipal Local Government Unit Of Iba</v>
      </c>
      <c r="F992" s="42" t="str">
        <f t="shared" si="993"/>
        <v>Zone 1 Pob. (Libaba), Iba, Zambales</v>
      </c>
      <c r="G992" s="42" t="str">
        <f t="shared" si="3"/>
        <v>Zone 1 Pob. (Libaba)</v>
      </c>
      <c r="H992" s="42" t="str">
        <f t="shared" si="4"/>
        <v>Iba</v>
      </c>
      <c r="I992" s="42" t="str">
        <f t="shared" si="5"/>
        <v>Zambales</v>
      </c>
      <c r="J992" s="42" t="str">
        <f t="array" ref="J992">XLOOKUP($E992,'Recipients REF'!$B:$B,'Recipients REF'!D:D,"",0)</f>
        <v>HON. IRENEA MANIQUIZ-BINAN</v>
      </c>
      <c r="K992" s="42" t="str">
        <f t="array" ref="K992">XLOOKUP($E992,'Recipients REF'!$B:$B,'Recipients REF'!E:E,"",0)</f>
        <v>0908-896-3519</v>
      </c>
      <c r="L992" s="43" t="str">
        <f t="array" ref="L992">XLOOKUP($A992,'Recipients REF'!$A:$A,'Recipients REF'!F:F,"",0)</f>
        <v>RCEF 25-03-05</v>
      </c>
      <c r="M992" s="43">
        <f t="array" ref="M992">XLOOKUP($A992,'Recipients REF'!$A:$A,'Recipients REF'!G:G,"",0)</f>
        <v>5</v>
      </c>
      <c r="N992" s="43" t="str">
        <f t="array" ref="N992">XLOOKUP($A992,'Recipients REF'!$A:$A,'Recipients REF'!H:H,"",0)</f>
        <v>26568 &amp; 27854</v>
      </c>
      <c r="O992" s="44" t="s">
        <v>25</v>
      </c>
      <c r="P992" s="45" t="s">
        <v>26</v>
      </c>
      <c r="Q992" s="46" t="str">
        <f t="array" ref="Q992">XLOOKUP($A992,'Recipients REF'!$A:$A,'Recipients REF'!I:I,"",0)</f>
        <v>KMC5825 ALSFPV0175</v>
      </c>
      <c r="R992" s="53" t="str">
        <f t="array" ref="R992">XLOOKUP($A992,'Recipients REF'!$A:$A,'Recipients REF'!J:J,"",0)</f>
        <v>STS100189</v>
      </c>
      <c r="S992" s="45" t="s">
        <v>27</v>
      </c>
      <c r="T992" s="45" t="s">
        <v>28</v>
      </c>
      <c r="U992" s="46" t="str">
        <f t="array" ref="U992">XLOOKUP($A992,'Recipients REF'!$A:$A,'Recipients REF'!K:K,"",0)</f>
        <v>WR-SERIES 138</v>
      </c>
      <c r="V992" s="44" t="s">
        <v>29</v>
      </c>
      <c r="W992" s="45" t="s">
        <v>30</v>
      </c>
      <c r="X992" s="53" t="str">
        <f t="array" ref="X992">XLOOKUP($A992,'Recipients REF'!$A:$A,'Recipients REF'!L:L,"",0)</f>
        <v>2510797</v>
      </c>
      <c r="Y992" s="48" t="s">
        <v>29</v>
      </c>
      <c r="Z992" s="48" t="s">
        <v>31</v>
      </c>
      <c r="AA992" s="54" t="str">
        <f t="array" ref="AA992">XLOOKUP($A992,'Recipients REF'!$A:$A,'Recipients REF'!M:M,"",0)</f>
        <v>25090972</v>
      </c>
      <c r="AB992" s="49"/>
      <c r="AC992" s="42"/>
      <c r="AD992" s="42"/>
      <c r="AE992" s="50"/>
      <c r="AF992" s="42"/>
      <c r="AG992" s="42"/>
      <c r="AH992" s="42"/>
      <c r="AI992" s="42" t="str">
        <f t="array" ref="AI992">XLOOKUP($E992,Sheet11!$D:$D,Sheet11!$X:$X,"",0)</f>
        <v/>
      </c>
      <c r="AJ992" s="42" t="str">
        <f t="array" ref="AJ992">XLOOKUP($E992,Sheet11!$D:$D,Sheet11!$Y:$Y,"",0)</f>
        <v/>
      </c>
    </row>
    <row r="993">
      <c r="A993" s="41">
        <v>737.0</v>
      </c>
      <c r="B993" s="42" t="s">
        <v>1965</v>
      </c>
      <c r="C993" s="42" t="s">
        <v>1966</v>
      </c>
      <c r="D993" s="42"/>
      <c r="E993" s="42" t="str">
        <f t="shared" ref="E993:F993" si="994">PROPER(B993)</f>
        <v>Bulawen Integrated Farmers Association</v>
      </c>
      <c r="F993" s="42" t="str">
        <f t="shared" si="994"/>
        <v>Bulawen, Palauig, Zambales</v>
      </c>
      <c r="G993" s="42" t="str">
        <f t="shared" si="3"/>
        <v>Bulawen</v>
      </c>
      <c r="H993" s="42" t="str">
        <f t="shared" si="4"/>
        <v>Palauig</v>
      </c>
      <c r="I993" s="42" t="str">
        <f t="shared" si="5"/>
        <v>Zambales</v>
      </c>
      <c r="J993" s="42" t="str">
        <f t="array" ref="J993">XLOOKUP($E993,'Recipients REF'!$B:$B,'Recipients REF'!D:D,"",0)</f>
        <v>Maria Corazon M. Feliciano</v>
      </c>
      <c r="K993" s="42" t="str">
        <f t="array" ref="K993">XLOOKUP($E993,'Recipients REF'!$B:$B,'Recipients REF'!E:E,"",0)</f>
        <v>0916-443-3131 / 0912-859-8583</v>
      </c>
      <c r="L993" s="43" t="str">
        <f t="array" ref="L993">XLOOKUP($A993,'Recipients REF'!$A:$A,'Recipients REF'!F:F,"",0)</f>
        <v>RCEF 25-03-05</v>
      </c>
      <c r="M993" s="43">
        <f t="array" ref="M993">XLOOKUP($A993,'Recipients REF'!$A:$A,'Recipients REF'!G:G,"",0)</f>
        <v>5</v>
      </c>
      <c r="N993" s="43" t="str">
        <f t="array" ref="N993">XLOOKUP($A993,'Recipients REF'!$A:$A,'Recipients REF'!H:H,"",0)</f>
        <v>26569 &amp; 27855</v>
      </c>
      <c r="O993" s="44" t="s">
        <v>25</v>
      </c>
      <c r="P993" s="45" t="s">
        <v>26</v>
      </c>
      <c r="Q993" s="46" t="str">
        <f t="array" ref="Q993">XLOOKUP($A993,'Recipients REF'!$A:$A,'Recipients REF'!I:I,"",0)</f>
        <v>KMC5825 ALSFPV0242</v>
      </c>
      <c r="R993" s="53" t="str">
        <f t="array" ref="R993">XLOOKUP($A993,'Recipients REF'!$A:$A,'Recipients REF'!J:J,"",0)</f>
        <v>STS100247</v>
      </c>
      <c r="S993" s="45" t="s">
        <v>27</v>
      </c>
      <c r="T993" s="45" t="s">
        <v>28</v>
      </c>
      <c r="U993" s="46" t="str">
        <f t="array" ref="U993">XLOOKUP($A993,'Recipients REF'!$A:$A,'Recipients REF'!K:K,"",0)</f>
        <v>WR-SERIES 247</v>
      </c>
      <c r="V993" s="44" t="s">
        <v>29</v>
      </c>
      <c r="W993" s="45" t="s">
        <v>30</v>
      </c>
      <c r="X993" s="53" t="str">
        <f t="array" ref="X993">XLOOKUP($A993,'Recipients REF'!$A:$A,'Recipients REF'!L:L,"",0)</f>
        <v>2510794</v>
      </c>
      <c r="Y993" s="48" t="s">
        <v>29</v>
      </c>
      <c r="Z993" s="48" t="s">
        <v>31</v>
      </c>
      <c r="AA993" s="54" t="str">
        <f t="array" ref="AA993">XLOOKUP($A993,'Recipients REF'!$A:$A,'Recipients REF'!M:M,"",0)</f>
        <v>25080835</v>
      </c>
      <c r="AB993" s="49"/>
      <c r="AC993" s="42"/>
      <c r="AD993" s="42"/>
      <c r="AE993" s="50"/>
      <c r="AF993" s="42"/>
      <c r="AG993" s="42"/>
      <c r="AH993" s="42"/>
      <c r="AI993" s="42" t="str">
        <f t="array" ref="AI993">XLOOKUP($E993,Sheet11!$D:$D,Sheet11!$X:$X,"",0)</f>
        <v/>
      </c>
      <c r="AJ993" s="42" t="str">
        <f t="array" ref="AJ993">XLOOKUP($E993,Sheet11!$D:$D,Sheet11!$Y:$Y,"",0)</f>
        <v/>
      </c>
    </row>
    <row r="994">
      <c r="A994" s="41">
        <v>738.0</v>
      </c>
      <c r="B994" s="42" t="s">
        <v>1967</v>
      </c>
      <c r="C994" s="42" t="s">
        <v>1968</v>
      </c>
      <c r="D994" s="42"/>
      <c r="E994" s="42" t="str">
        <f t="shared" ref="E994:F994" si="995">PROPER(B994)</f>
        <v>Sagpat-Balintagak-Livestock-Irrigators And Organic Farmers Association (Sabaliofa)</v>
      </c>
      <c r="F994" s="42" t="str">
        <f t="shared" si="995"/>
        <v>Maloma, San Felipe, Zambales</v>
      </c>
      <c r="G994" s="42" t="str">
        <f t="shared" si="3"/>
        <v>Maloma</v>
      </c>
      <c r="H994" s="42" t="str">
        <f t="shared" si="4"/>
        <v>San Felipe</v>
      </c>
      <c r="I994" s="42" t="str">
        <f t="shared" si="5"/>
        <v>Zambales</v>
      </c>
      <c r="J994" s="42" t="str">
        <f t="array" ref="J994">XLOOKUP($E994,'Recipients REF'!$B:$B,'Recipients REF'!D:D,"",0)</f>
        <v>Ceasar Dumlao</v>
      </c>
      <c r="K994" s="42" t="str">
        <f t="array" ref="K994">XLOOKUP($E994,'Recipients REF'!$B:$B,'Recipients REF'!E:E,"",0)</f>
        <v>0956-641-0825</v>
      </c>
      <c r="L994" s="43" t="str">
        <f t="array" ref="L994">XLOOKUP($A994,'Recipients REF'!$A:$A,'Recipients REF'!F:F,"",0)</f>
        <v>RCEF 25-03-05</v>
      </c>
      <c r="M994" s="43">
        <f t="array" ref="M994">XLOOKUP($A994,'Recipients REF'!$A:$A,'Recipients REF'!G:G,"",0)</f>
        <v>5</v>
      </c>
      <c r="N994" s="43" t="str">
        <f t="array" ref="N994">XLOOKUP($A994,'Recipients REF'!$A:$A,'Recipients REF'!H:H,"",0)</f>
        <v>26570 &amp; 27856</v>
      </c>
      <c r="O994" s="44" t="s">
        <v>25</v>
      </c>
      <c r="P994" s="45" t="s">
        <v>26</v>
      </c>
      <c r="Q994" s="46" t="str">
        <f t="array" ref="Q994">XLOOKUP($A994,'Recipients REF'!$A:$A,'Recipients REF'!I:I,"",0)</f>
        <v>KMC5825 ACSFPV0231</v>
      </c>
      <c r="R994" s="53" t="str">
        <f t="array" ref="R994">XLOOKUP($A994,'Recipients REF'!$A:$A,'Recipients REF'!J:J,"",0)</f>
        <v>STS100171</v>
      </c>
      <c r="S994" s="45" t="s">
        <v>27</v>
      </c>
      <c r="T994" s="45" t="s">
        <v>28</v>
      </c>
      <c r="U994" s="46" t="str">
        <f t="array" ref="U994">XLOOKUP($A994,'Recipients REF'!$A:$A,'Recipients REF'!K:K,"",0)</f>
        <v>WR-SERIES 098</v>
      </c>
      <c r="V994" s="44" t="s">
        <v>29</v>
      </c>
      <c r="W994" s="45" t="s">
        <v>30</v>
      </c>
      <c r="X994" s="53" t="str">
        <f t="array" ref="X994">XLOOKUP($A994,'Recipients REF'!$A:$A,'Recipients REF'!L:L,"",0)</f>
        <v>2510469</v>
      </c>
      <c r="Y994" s="48" t="s">
        <v>29</v>
      </c>
      <c r="Z994" s="48" t="s">
        <v>31</v>
      </c>
      <c r="AA994" s="54" t="str">
        <f t="array" ref="AA994">XLOOKUP($A994,'Recipients REF'!$A:$A,'Recipients REF'!M:M,"",0)</f>
        <v>25080833</v>
      </c>
      <c r="AB994" s="49"/>
      <c r="AC994" s="42"/>
      <c r="AD994" s="42"/>
      <c r="AE994" s="50"/>
      <c r="AF994" s="42"/>
      <c r="AG994" s="42"/>
      <c r="AH994" s="42"/>
      <c r="AI994" s="42" t="str">
        <f t="array" ref="AI994">XLOOKUP($E994,Sheet11!$D:$D,Sheet11!$X:$X,"",0)</f>
        <v/>
      </c>
      <c r="AJ994" s="42" t="str">
        <f t="array" ref="AJ994">XLOOKUP($E994,Sheet11!$D:$D,Sheet11!$Y:$Y,"",0)</f>
        <v/>
      </c>
    </row>
    <row r="995">
      <c r="A995" s="41">
        <v>739.0</v>
      </c>
      <c r="B995" s="42" t="s">
        <v>1969</v>
      </c>
      <c r="C995" s="42" t="s">
        <v>1970</v>
      </c>
      <c r="D995" s="42"/>
      <c r="E995" s="42" t="str">
        <f t="shared" ref="E995:F995" si="996">PROPER(B995)</f>
        <v>Municipal Local Government Unit Of San Narciso</v>
      </c>
      <c r="F995" s="42" t="str">
        <f t="shared" si="996"/>
        <v>Libertad (Pob.), San Narciso, Zambales</v>
      </c>
      <c r="G995" s="42" t="str">
        <f t="shared" si="3"/>
        <v>Libertad (Pob.)</v>
      </c>
      <c r="H995" s="42" t="str">
        <f t="shared" si="4"/>
        <v>San Narciso</v>
      </c>
      <c r="I995" s="42" t="str">
        <f t="shared" si="5"/>
        <v>Zambales</v>
      </c>
      <c r="J995" s="42" t="str">
        <f t="array" ref="J995">XLOOKUP($E995,'Recipients REF'!$B:$B,'Recipients REF'!D:D,"",0)</f>
        <v>Hon. La Rainne Abad-Sarmiento, DPA</v>
      </c>
      <c r="K995" s="42" t="str">
        <f t="array" ref="K995">XLOOKUP($E995,'Recipients REF'!$B:$B,'Recipients REF'!E:E,"",0)</f>
        <v>0950-488-3170 / 0919-248-3959</v>
      </c>
      <c r="L995" s="43" t="str">
        <f t="array" ref="L995">XLOOKUP($A995,'Recipients REF'!$A:$A,'Recipients REF'!F:F,"",0)</f>
        <v>RCEF 25-03-05</v>
      </c>
      <c r="M995" s="43">
        <f t="array" ref="M995">XLOOKUP($A995,'Recipients REF'!$A:$A,'Recipients REF'!G:G,"",0)</f>
        <v>5</v>
      </c>
      <c r="N995" s="43" t="str">
        <f t="array" ref="N995">XLOOKUP($A995,'Recipients REF'!$A:$A,'Recipients REF'!H:H,"",0)</f>
        <v>26571 &amp; 27857</v>
      </c>
      <c r="O995" s="44" t="s">
        <v>25</v>
      </c>
      <c r="P995" s="45" t="s">
        <v>26</v>
      </c>
      <c r="Q995" s="46" t="str">
        <f t="array" ref="Q995">XLOOKUP($A995,'Recipients REF'!$A:$A,'Recipients REF'!I:I,"",0)</f>
        <v>KMC5825 AASFPV0272</v>
      </c>
      <c r="R995" s="53" t="str">
        <f t="array" ref="R995">XLOOKUP($A995,'Recipients REF'!$A:$A,'Recipients REF'!J:J,"",0)</f>
        <v>STS100308</v>
      </c>
      <c r="S995" s="45" t="s">
        <v>27</v>
      </c>
      <c r="T995" s="45" t="s">
        <v>28</v>
      </c>
      <c r="U995" s="46" t="str">
        <f t="array" ref="U995">XLOOKUP($A995,'Recipients REF'!$A:$A,'Recipients REF'!K:K,"",0)</f>
        <v>WR-SERIES 127</v>
      </c>
      <c r="V995" s="44" t="s">
        <v>29</v>
      </c>
      <c r="W995" s="45" t="s">
        <v>30</v>
      </c>
      <c r="X995" s="53" t="str">
        <f t="array" ref="X995">XLOOKUP($A995,'Recipients REF'!$A:$A,'Recipients REF'!L:L,"",0)</f>
        <v>2510835</v>
      </c>
      <c r="Y995" s="48" t="s">
        <v>29</v>
      </c>
      <c r="Z995" s="48" t="s">
        <v>31</v>
      </c>
      <c r="AA995" s="54" t="str">
        <f t="array" ref="AA995">XLOOKUP($A995,'Recipients REF'!$A:$A,'Recipients REF'!M:M,"",0)</f>
        <v>25090993</v>
      </c>
      <c r="AB995" s="49"/>
      <c r="AC995" s="42"/>
      <c r="AD995" s="42"/>
      <c r="AE995" s="50"/>
      <c r="AF995" s="42"/>
      <c r="AG995" s="42"/>
      <c r="AH995" s="42"/>
      <c r="AI995" s="42" t="str">
        <f t="array" ref="AI995">XLOOKUP($E995,Sheet11!$D:$D,Sheet11!$X:$X,"",0)</f>
        <v/>
      </c>
      <c r="AJ995" s="42" t="str">
        <f t="array" ref="AJ995">XLOOKUP($E995,Sheet11!$D:$D,Sheet11!$Y:$Y,"",0)</f>
        <v/>
      </c>
    </row>
    <row r="996">
      <c r="A996" s="41">
        <v>740.0</v>
      </c>
      <c r="B996" s="42" t="s">
        <v>1971</v>
      </c>
      <c r="C996" s="42" t="s">
        <v>1972</v>
      </c>
      <c r="D996" s="42"/>
      <c r="E996" s="42" t="str">
        <f t="shared" ref="E996:F996" si="997">PROPER(B996)</f>
        <v>Casantacruzan Mabangcal Farmers Association</v>
      </c>
      <c r="F996" s="42" t="str">
        <f t="shared" si="997"/>
        <v>Beddeng, San Narciso, Zambales</v>
      </c>
      <c r="G996" s="42" t="str">
        <f t="shared" si="3"/>
        <v>Beddeng</v>
      </c>
      <c r="H996" s="42" t="str">
        <f t="shared" si="4"/>
        <v>San Narciso</v>
      </c>
      <c r="I996" s="42" t="str">
        <f t="shared" si="5"/>
        <v>Zambales</v>
      </c>
      <c r="J996" s="42" t="str">
        <f t="array" ref="J996">XLOOKUP($E996,'Recipients REF'!$B:$B,'Recipients REF'!D:D,"",0)</f>
        <v>Loreto Bernandino</v>
      </c>
      <c r="K996" s="42" t="str">
        <f t="array" ref="K996">XLOOKUP($E996,'Recipients REF'!$B:$B,'Recipients REF'!E:E,"",0)</f>
        <v>0930-521-9193</v>
      </c>
      <c r="L996" s="43" t="str">
        <f t="array" ref="L996">XLOOKUP($A996,'Recipients REF'!$A:$A,'Recipients REF'!F:F,"",0)</f>
        <v>RCEF 25-03-05</v>
      </c>
      <c r="M996" s="43">
        <f t="array" ref="M996">XLOOKUP($A996,'Recipients REF'!$A:$A,'Recipients REF'!G:G,"",0)</f>
        <v>5</v>
      </c>
      <c r="N996" s="43" t="str">
        <f t="array" ref="N996">XLOOKUP($A996,'Recipients REF'!$A:$A,'Recipients REF'!H:H,"",0)</f>
        <v>26572 &amp; 27858</v>
      </c>
      <c r="O996" s="44" t="s">
        <v>25</v>
      </c>
      <c r="P996" s="45" t="s">
        <v>26</v>
      </c>
      <c r="Q996" s="46" t="str">
        <f t="array" ref="Q996">XLOOKUP($A996,'Recipients REF'!$A:$A,'Recipients REF'!I:I,"",0)</f>
        <v>KCM5825 APSFPV0247</v>
      </c>
      <c r="R996" s="53" t="str">
        <f t="array" ref="R996">XLOOKUP($A996,'Recipients REF'!$A:$A,'Recipients REF'!J:J,"",0)</f>
        <v>STS100249</v>
      </c>
      <c r="S996" s="45" t="s">
        <v>27</v>
      </c>
      <c r="T996" s="45" t="s">
        <v>28</v>
      </c>
      <c r="U996" s="46" t="str">
        <f t="array" ref="U996">XLOOKUP($A996,'Recipients REF'!$A:$A,'Recipients REF'!K:K,"",0)</f>
        <v>WR-SERIES 080</v>
      </c>
      <c r="V996" s="44" t="s">
        <v>29</v>
      </c>
      <c r="W996" s="45" t="s">
        <v>30</v>
      </c>
      <c r="X996" s="53" t="str">
        <f t="array" ref="X996">XLOOKUP($A996,'Recipients REF'!$A:$A,'Recipients REF'!L:L,"",0)</f>
        <v>2510792</v>
      </c>
      <c r="Y996" s="48" t="s">
        <v>29</v>
      </c>
      <c r="Z996" s="48" t="s">
        <v>31</v>
      </c>
      <c r="AA996" s="54" t="str">
        <f t="array" ref="AA996">XLOOKUP($A996,'Recipients REF'!$A:$A,'Recipients REF'!M:M,"",0)</f>
        <v>25080832</v>
      </c>
      <c r="AB996" s="49"/>
      <c r="AC996" s="42"/>
      <c r="AD996" s="42"/>
      <c r="AE996" s="50"/>
      <c r="AF996" s="42"/>
      <c r="AG996" s="42"/>
      <c r="AH996" s="42"/>
      <c r="AI996" s="42" t="str">
        <f t="array" ref="AI996">XLOOKUP($E996,Sheet11!$D:$D,Sheet11!$X:$X,"",0)</f>
        <v/>
      </c>
      <c r="AJ996" s="42" t="str">
        <f t="array" ref="AJ996">XLOOKUP($E996,Sheet11!$D:$D,Sheet11!$Y:$Y,"",0)</f>
        <v/>
      </c>
    </row>
    <row r="997">
      <c r="A997" s="41">
        <v>741.0</v>
      </c>
      <c r="B997" s="42" t="s">
        <v>1973</v>
      </c>
      <c r="C997" s="42" t="s">
        <v>1974</v>
      </c>
      <c r="D997" s="42"/>
      <c r="E997" s="42" t="str">
        <f t="shared" ref="E997:F997" si="998">PROPER(B997)</f>
        <v>Negatil Rice And High Value Crops Farmers Association</v>
      </c>
      <c r="F997" s="42" t="str">
        <f t="shared" si="998"/>
        <v>Grullo, San Narciso, Zambales</v>
      </c>
      <c r="G997" s="42" t="str">
        <f t="shared" si="3"/>
        <v>Grullo</v>
      </c>
      <c r="H997" s="42" t="str">
        <f t="shared" si="4"/>
        <v>San Narciso</v>
      </c>
      <c r="I997" s="42" t="str">
        <f t="shared" si="5"/>
        <v>Zambales</v>
      </c>
      <c r="J997" s="42" t="str">
        <f t="array" ref="J997">XLOOKUP($E997,'Recipients REF'!$B:$B,'Recipients REF'!D:D,"",0)</f>
        <v>Noel B. Yadao</v>
      </c>
      <c r="K997" s="42" t="str">
        <f t="array" ref="K997">XLOOKUP($E997,'Recipients REF'!$B:$B,'Recipients REF'!E:E,"",0)</f>
        <v>0970-724-7003</v>
      </c>
      <c r="L997" s="43" t="str">
        <f t="array" ref="L997">XLOOKUP($A997,'Recipients REF'!$A:$A,'Recipients REF'!F:F,"",0)</f>
        <v>RCEF 25-03-05</v>
      </c>
      <c r="M997" s="43">
        <f t="array" ref="M997">XLOOKUP($A997,'Recipients REF'!$A:$A,'Recipients REF'!G:G,"",0)</f>
        <v>5</v>
      </c>
      <c r="N997" s="43" t="str">
        <f t="array" ref="N997">XLOOKUP($A997,'Recipients REF'!$A:$A,'Recipients REF'!H:H,"",0)</f>
        <v>26573 &amp; 27859</v>
      </c>
      <c r="O997" s="44" t="s">
        <v>25</v>
      </c>
      <c r="P997" s="45" t="s">
        <v>26</v>
      </c>
      <c r="Q997" s="46" t="str">
        <f t="array" ref="Q997">XLOOKUP($A997,'Recipients REF'!$A:$A,'Recipients REF'!I:I,"",0)</f>
        <v>KMC6825 ATSFPV0327</v>
      </c>
      <c r="R997" s="53" t="str">
        <f t="array" ref="R997">XLOOKUP($A997,'Recipients REF'!$A:$A,'Recipients REF'!J:J,"",0)</f>
        <v>STS100339</v>
      </c>
      <c r="S997" s="45" t="s">
        <v>27</v>
      </c>
      <c r="T997" s="45" t="s">
        <v>28</v>
      </c>
      <c r="U997" s="46" t="str">
        <f t="array" ref="U997">XLOOKUP($A997,'Recipients REF'!$A:$A,'Recipients REF'!K:K,"",0)</f>
        <v>WR-SERIES 131</v>
      </c>
      <c r="V997" s="44" t="s">
        <v>29</v>
      </c>
      <c r="W997" s="45" t="s">
        <v>30</v>
      </c>
      <c r="X997" s="53" t="str">
        <f t="array" ref="X997">XLOOKUP($A997,'Recipients REF'!$A:$A,'Recipients REF'!L:L,"",0)</f>
        <v>2510827</v>
      </c>
      <c r="Y997" s="48" t="s">
        <v>29</v>
      </c>
      <c r="Z997" s="48" t="s">
        <v>31</v>
      </c>
      <c r="AA997" s="54" t="str">
        <f t="array" ref="AA997">XLOOKUP($A997,'Recipients REF'!$A:$A,'Recipients REF'!M:M,"",0)</f>
        <v>25080836</v>
      </c>
      <c r="AB997" s="49"/>
      <c r="AC997" s="42"/>
      <c r="AD997" s="42"/>
      <c r="AE997" s="50"/>
      <c r="AF997" s="42"/>
      <c r="AG997" s="42"/>
      <c r="AH997" s="42"/>
      <c r="AI997" s="42" t="str">
        <f t="array" ref="AI997">XLOOKUP($E997,Sheet11!$D:$D,Sheet11!$X:$X,"",0)</f>
        <v/>
      </c>
      <c r="AJ997" s="42" t="str">
        <f t="array" ref="AJ997">XLOOKUP($E997,Sheet11!$D:$D,Sheet11!$Y:$Y,"",0)</f>
        <v/>
      </c>
    </row>
    <row r="998">
      <c r="A998" s="41">
        <v>742.0</v>
      </c>
      <c r="B998" s="42" t="s">
        <v>1975</v>
      </c>
      <c r="C998" s="42" t="s">
        <v>1976</v>
      </c>
      <c r="D998" s="42"/>
      <c r="E998" s="42" t="str">
        <f t="shared" ref="E998:F998" si="999">PROPER(B998)</f>
        <v>H2O Irrigators Association Inc.</v>
      </c>
      <c r="F998" s="42" t="str">
        <f t="shared" si="999"/>
        <v>Namatacan, San Narciso, Zambales</v>
      </c>
      <c r="G998" s="42" t="str">
        <f t="shared" si="3"/>
        <v>Namatacan</v>
      </c>
      <c r="H998" s="42" t="str">
        <f t="shared" si="4"/>
        <v>San Narciso</v>
      </c>
      <c r="I998" s="42" t="str">
        <f t="shared" si="5"/>
        <v>Zambales</v>
      </c>
      <c r="J998" s="42" t="str">
        <f t="array" ref="J998">XLOOKUP($E998,'Recipients REF'!$B:$B,'Recipients REF'!D:D,"",0)</f>
        <v>Nolan V. Gragasin</v>
      </c>
      <c r="K998" s="42" t="str">
        <f t="array" ref="K998">XLOOKUP($E998,'Recipients REF'!$B:$B,'Recipients REF'!E:E,"",0)</f>
        <v>0920-233-4484</v>
      </c>
      <c r="L998" s="43" t="str">
        <f t="array" ref="L998">XLOOKUP($A998,'Recipients REF'!$A:$A,'Recipients REF'!F:F,"",0)</f>
        <v>RCEF 25-03-05</v>
      </c>
      <c r="M998" s="43">
        <f t="array" ref="M998">XLOOKUP($A998,'Recipients REF'!$A:$A,'Recipients REF'!G:G,"",0)</f>
        <v>5</v>
      </c>
      <c r="N998" s="43" t="str">
        <f t="array" ref="N998">XLOOKUP($A998,'Recipients REF'!$A:$A,'Recipients REF'!H:H,"",0)</f>
        <v>26574 &amp; 27860</v>
      </c>
      <c r="O998" s="44" t="s">
        <v>25</v>
      </c>
      <c r="P998" s="45" t="s">
        <v>26</v>
      </c>
      <c r="Q998" s="46" t="str">
        <f t="array" ref="Q998">XLOOKUP($A998,'Recipients REF'!$A:$A,'Recipients REF'!I:I,"",0)</f>
        <v>KMC5825 AESFPV0325</v>
      </c>
      <c r="R998" s="53" t="str">
        <f t="array" ref="R998">XLOOKUP($A998,'Recipients REF'!$A:$A,'Recipients REF'!J:J,"",0)</f>
        <v>STS100338</v>
      </c>
      <c r="S998" s="45" t="s">
        <v>27</v>
      </c>
      <c r="T998" s="45" t="s">
        <v>28</v>
      </c>
      <c r="U998" s="46" t="str">
        <f t="array" ref="U998">XLOOKUP($A998,'Recipients REF'!$A:$A,'Recipients REF'!K:K,"",0)</f>
        <v>WR-SERIES 079</v>
      </c>
      <c r="V998" s="44" t="s">
        <v>29</v>
      </c>
      <c r="W998" s="45" t="s">
        <v>30</v>
      </c>
      <c r="X998" s="53" t="str">
        <f t="array" ref="X998">XLOOKUP($A998,'Recipients REF'!$A:$A,'Recipients REF'!L:L,"",0)</f>
        <v>2510817</v>
      </c>
      <c r="Y998" s="48" t="s">
        <v>29</v>
      </c>
      <c r="Z998" s="48" t="s">
        <v>31</v>
      </c>
      <c r="AA998" s="54" t="str">
        <f t="array" ref="AA998">XLOOKUP($A998,'Recipients REF'!$A:$A,'Recipients REF'!M:M,"",0)</f>
        <v>25090977</v>
      </c>
      <c r="AB998" s="49"/>
      <c r="AC998" s="42"/>
      <c r="AD998" s="42"/>
      <c r="AE998" s="50"/>
      <c r="AF998" s="42"/>
      <c r="AG998" s="42"/>
      <c r="AH998" s="42"/>
      <c r="AI998" s="42" t="str">
        <f t="array" ref="AI998">XLOOKUP($E998,Sheet11!$D:$D,Sheet11!$X:$X,"",0)</f>
        <v/>
      </c>
      <c r="AJ998" s="42" t="str">
        <f t="array" ref="AJ998">XLOOKUP($E998,Sheet11!$D:$D,Sheet11!$Y:$Y,"",0)</f>
        <v/>
      </c>
    </row>
    <row r="999">
      <c r="A999" s="41">
        <v>987.0</v>
      </c>
      <c r="B999" s="42" t="s">
        <v>1977</v>
      </c>
      <c r="C999" s="42" t="s">
        <v>1978</v>
      </c>
      <c r="D999" s="42"/>
      <c r="E999" s="42" t="str">
        <f t="shared" ref="E999:F999" si="1000">PROPER(B999)</f>
        <v>Cawag Farmers Association</v>
      </c>
      <c r="F999" s="42" t="str">
        <f t="shared" si="1000"/>
        <v>Cawag, Subic, Zambales</v>
      </c>
      <c r="G999" s="42" t="str">
        <f t="shared" si="3"/>
        <v>Cawag</v>
      </c>
      <c r="H999" s="42" t="str">
        <f t="shared" si="4"/>
        <v>Subic</v>
      </c>
      <c r="I999" s="42" t="str">
        <f t="shared" si="5"/>
        <v>Zambales</v>
      </c>
      <c r="J999" s="42" t="str">
        <f t="array" ref="J999">XLOOKUP($E999,'Recipients REF'!$B:$B,'Recipients REF'!D:D,"",0)</f>
        <v>Virgilio G. Sabado</v>
      </c>
      <c r="K999" s="42" t="str">
        <f t="array" ref="K999">XLOOKUP($E999,'Recipients REF'!$B:$B,'Recipients REF'!E:E,"",0)</f>
        <v>0929-732-2715</v>
      </c>
      <c r="L999" s="43" t="str">
        <f t="array" ref="L999">XLOOKUP($A999,'Recipients REF'!$A:$A,'Recipients REF'!F:F,"",0)</f>
        <v>Repeat Order</v>
      </c>
      <c r="M999" s="43">
        <f t="array" ref="M999">XLOOKUP($A999,'Recipients REF'!$A:$A,'Recipients REF'!G:G,"",0)</f>
        <v>6</v>
      </c>
      <c r="N999" s="43">
        <f t="array" ref="N999">XLOOKUP($A999,'Recipients REF'!$A:$A,'Recipients REF'!H:H,"",0)</f>
        <v>23123</v>
      </c>
      <c r="O999" s="44" t="s">
        <v>25</v>
      </c>
      <c r="P999" s="45" t="s">
        <v>26</v>
      </c>
      <c r="Q999" s="46" t="str">
        <f t="array" ref="Q999">XLOOKUP($A999,'Recipients REF'!$A:$A,'Recipients REF'!I:I,"",0)</f>
        <v>KMC5825AARFPV0816</v>
      </c>
      <c r="R999" s="47" t="str">
        <f t="array" ref="R999">XLOOKUP($A999,'Recipients REF'!$A:$A,'Recipients REF'!J:J,"",0)</f>
        <v>RTS100714</v>
      </c>
      <c r="S999" s="45" t="s">
        <v>27</v>
      </c>
      <c r="T999" s="45" t="s">
        <v>28</v>
      </c>
      <c r="U999" s="46" t="str">
        <f t="array" ref="U999">XLOOKUP($A999,'Recipients REF'!$A:$A,'Recipients REF'!K:K,"",0)</f>
        <v>LSGW170-RMP-24111127</v>
      </c>
      <c r="V999" s="44" t="s">
        <v>29</v>
      </c>
      <c r="W999" s="45" t="s">
        <v>30</v>
      </c>
      <c r="X999" s="47" t="str">
        <f t="array" ref="X999">XLOOKUP($A999,'Recipients REF'!$A:$A,'Recipients REF'!L:L,"",0)</f>
        <v>WDP40-RMP-25020310</v>
      </c>
      <c r="Y999" s="48" t="s">
        <v>29</v>
      </c>
      <c r="Z999" s="48" t="s">
        <v>31</v>
      </c>
      <c r="AA999" s="46" t="str">
        <f t="array" ref="AA999">XLOOKUP($A999,'Recipients REF'!$A:$A,'Recipients REF'!M:M,"",0)</f>
        <v>WR-SERIES-1271PH</v>
      </c>
      <c r="AB999" s="49"/>
      <c r="AC999" s="42"/>
      <c r="AD999" s="42"/>
      <c r="AE999" s="50"/>
      <c r="AF999" s="42"/>
      <c r="AG999" s="42"/>
      <c r="AH999" s="42"/>
      <c r="AI999" s="42" t="str">
        <f t="array" ref="AI999">XLOOKUP($E999,Sheet11!$D:$D,Sheet11!$X:$X,"",0)</f>
        <v/>
      </c>
      <c r="AJ999" s="42" t="str">
        <f t="array" ref="AJ999">XLOOKUP($E999,Sheet11!$D:$D,Sheet11!$Y:$Y,"",0)</f>
        <v/>
      </c>
    </row>
    <row r="1000">
      <c r="A1000" s="41">
        <v>518.0</v>
      </c>
      <c r="B1000" s="42" t="s">
        <v>1979</v>
      </c>
      <c r="C1000" s="42" t="s">
        <v>1980</v>
      </c>
      <c r="D1000" s="42"/>
      <c r="E1000" s="42" t="str">
        <f t="shared" ref="E1000:F1000" si="1001">PROPER(B1000)</f>
        <v>Bagumbayan Farmers Association</v>
      </c>
      <c r="F1000" s="42" t="str">
        <f t="shared" si="1001"/>
        <v>Sta Cruz, Laguna</v>
      </c>
      <c r="G1000" s="42" t="str">
        <f t="shared" si="3"/>
        <v>Sta Cruz</v>
      </c>
      <c r="H1000" s="42" t="str">
        <f t="shared" si="4"/>
        <v>#VALUE!</v>
      </c>
      <c r="I1000" s="42" t="str">
        <f t="shared" si="5"/>
        <v>#VALUE!</v>
      </c>
      <c r="J1000" s="42" t="str">
        <f t="array" ref="J1000">XLOOKUP($E1000,'Recipients REF'!$B:$B,'Recipients REF'!D:D,"",0)</f>
        <v>#N/A</v>
      </c>
      <c r="K1000" s="42" t="str">
        <f t="array" ref="K1000">XLOOKUP($E1000,'Recipients REF'!$B:$B,'Recipients REF'!E:E,"",0)</f>
        <v>#N/A</v>
      </c>
      <c r="L1000" s="43" t="str">
        <f t="array" ref="L1000">XLOOKUP($A1000,'Recipients REF'!$A:$A,'Recipients REF'!F:F,"",0)</f>
        <v>RCEF 24-04-15</v>
      </c>
      <c r="M1000" s="43">
        <f t="array" ref="M1000">XLOOKUP($A1000,'Recipients REF'!$A:$A,'Recipients REF'!G:G,"",0)</f>
        <v>7</v>
      </c>
      <c r="N1000" s="43">
        <f t="array" ref="N1000">XLOOKUP($A1000,'Recipients REF'!$A:$A,'Recipients REF'!H:H,"",0)</f>
        <v>19992</v>
      </c>
      <c r="O1000" s="44" t="s">
        <v>25</v>
      </c>
      <c r="P1000" s="45" t="s">
        <v>26</v>
      </c>
      <c r="Q1000" s="46" t="str">
        <f t="array" ref="Q1000">XLOOKUP($A1000,'Recipients REF'!$A:$A,'Recipients REF'!I:I,"",0)</f>
        <v>KMC5825ATRFPV0919</v>
      </c>
      <c r="R1000" s="47" t="str">
        <f t="array" ref="R1000">XLOOKUP($A1000,'Recipients REF'!$A:$A,'Recipients REF'!J:J,"",0)</f>
        <v>RTS100804</v>
      </c>
      <c r="S1000" s="45" t="s">
        <v>27</v>
      </c>
      <c r="T1000" s="45" t="s">
        <v>28</v>
      </c>
      <c r="U1000" s="46" t="str">
        <f t="array" ref="U1000">XLOOKUP($A1000,'Recipients REF'!$A:$A,'Recipients REF'!K:K,"",0)</f>
        <v>LSGW1750-RMP-24100956</v>
      </c>
      <c r="V1000" s="44" t="s">
        <v>29</v>
      </c>
      <c r="W1000" s="45" t="s">
        <v>30</v>
      </c>
      <c r="X1000" s="47" t="str">
        <f t="array" ref="X1000">XLOOKUP($A1000,'Recipients REF'!$A:$A,'Recipients REF'!L:L,"",0)</f>
        <v>WDP40-RMP-24121459</v>
      </c>
      <c r="Y1000" s="48" t="s">
        <v>29</v>
      </c>
      <c r="Z1000" s="48" t="s">
        <v>31</v>
      </c>
      <c r="AA1000" s="46" t="str">
        <f t="array" ref="AA1000">XLOOKUP($A1000,'Recipients REF'!$A:$A,'Recipients REF'!M:M,"",0)</f>
        <v>WR-SERIES-1097PH</v>
      </c>
      <c r="AB1000" s="49"/>
      <c r="AC1000" s="42"/>
      <c r="AD1000" s="42"/>
      <c r="AE1000" s="50"/>
      <c r="AF1000" s="42"/>
      <c r="AG1000" s="42"/>
      <c r="AH1000" s="42"/>
      <c r="AI1000" s="42" t="str">
        <f t="array" ref="AI1000">XLOOKUP($E1000,Sheet11!$D:$D,Sheet11!$X:$X,"",0)</f>
        <v/>
      </c>
      <c r="AJ1000" s="42" t="str">
        <f t="array" ref="AJ1000">XLOOKUP($E1000,Sheet11!$D:$D,Sheet11!$Y:$Y,"",0)</f>
        <v/>
      </c>
    </row>
    <row r="1001">
      <c r="A1001" s="23"/>
      <c r="B1001" s="42"/>
      <c r="C1001" s="42"/>
      <c r="D1001" s="42"/>
      <c r="E1001" s="42"/>
      <c r="F1001" s="42"/>
      <c r="G1001" s="42"/>
      <c r="H1001" s="42"/>
      <c r="I1001" s="42"/>
      <c r="J1001" s="42"/>
      <c r="K1001" s="42"/>
      <c r="L1001" s="46"/>
      <c r="M1001" s="46"/>
      <c r="N1001" s="46"/>
      <c r="O1001" s="61"/>
      <c r="P1001" s="62"/>
      <c r="Q1001" s="46"/>
      <c r="R1001" s="47"/>
      <c r="S1001" s="62"/>
      <c r="T1001" s="62"/>
      <c r="U1001" s="46"/>
      <c r="V1001" s="61"/>
      <c r="W1001" s="62"/>
      <c r="X1001" s="47"/>
      <c r="Y1001" s="46"/>
      <c r="Z1001" s="46"/>
      <c r="AA1001" s="46"/>
      <c r="AB1001" s="49"/>
      <c r="AC1001" s="42"/>
      <c r="AD1001" s="42"/>
      <c r="AE1001" s="50"/>
      <c r="AF1001" s="42"/>
      <c r="AG1001" s="42"/>
      <c r="AH1001" s="42"/>
      <c r="AI1001" s="42" t="str">
        <f t="array" ref="AI1001">XLOOKUP($E1001,Sheet11!$D:$D,Sheet11!$X:$X,"",0)</f>
        <v/>
      </c>
      <c r="AJ1001" s="42" t="str">
        <f t="array" ref="AJ1001">XLOOKUP($E1001,Sheet11!$D:$D,Sheet11!$Y:$Y,"",0)</f>
        <v/>
      </c>
    </row>
    <row r="1002">
      <c r="A1002" s="23"/>
      <c r="B1002" s="42"/>
      <c r="C1002" s="42"/>
      <c r="D1002" s="42"/>
      <c r="E1002" s="42"/>
      <c r="F1002" s="42"/>
      <c r="G1002" s="42"/>
      <c r="H1002" s="42"/>
      <c r="I1002" s="42"/>
      <c r="J1002" s="42"/>
      <c r="K1002" s="42"/>
      <c r="L1002" s="46"/>
      <c r="M1002" s="46"/>
      <c r="N1002" s="46"/>
      <c r="O1002" s="61"/>
      <c r="P1002" s="62"/>
      <c r="Q1002" s="46"/>
      <c r="R1002" s="47"/>
      <c r="S1002" s="62"/>
      <c r="T1002" s="62"/>
      <c r="U1002" s="46"/>
      <c r="V1002" s="61"/>
      <c r="W1002" s="62"/>
      <c r="X1002" s="47"/>
      <c r="Y1002" s="46"/>
      <c r="Z1002" s="46"/>
      <c r="AA1002" s="46"/>
      <c r="AB1002" s="49"/>
      <c r="AC1002" s="42"/>
      <c r="AD1002" s="42"/>
      <c r="AE1002" s="50"/>
      <c r="AF1002" s="42"/>
      <c r="AG1002" s="42"/>
      <c r="AH1002" s="42"/>
      <c r="AI1002" s="42" t="str">
        <f t="array" ref="AI1002">XLOOKUP($E1002,Sheet11!$D:$D,Sheet11!$X:$X,"",0)</f>
        <v/>
      </c>
      <c r="AJ1002" s="42" t="str">
        <f t="array" ref="AJ1002">XLOOKUP($E1002,Sheet11!$D:$D,Sheet11!$Y:$Y,"",0)</f>
        <v/>
      </c>
    </row>
    <row r="1003">
      <c r="A1003" s="23"/>
      <c r="B1003" s="42"/>
      <c r="C1003" s="42"/>
      <c r="D1003" s="42"/>
      <c r="E1003" s="42"/>
      <c r="F1003" s="42"/>
      <c r="G1003" s="42"/>
      <c r="H1003" s="42"/>
      <c r="I1003" s="42"/>
      <c r="J1003" s="42"/>
      <c r="K1003" s="42"/>
      <c r="L1003" s="46"/>
      <c r="M1003" s="46"/>
      <c r="N1003" s="46"/>
      <c r="O1003" s="61"/>
      <c r="P1003" s="62"/>
      <c r="Q1003" s="46"/>
      <c r="R1003" s="47"/>
      <c r="S1003" s="62"/>
      <c r="T1003" s="62"/>
      <c r="U1003" s="46"/>
      <c r="V1003" s="61"/>
      <c r="W1003" s="62"/>
      <c r="X1003" s="47"/>
      <c r="Y1003" s="46"/>
      <c r="Z1003" s="46"/>
      <c r="AA1003" s="46"/>
      <c r="AB1003" s="49"/>
      <c r="AC1003" s="42"/>
      <c r="AD1003" s="42"/>
      <c r="AE1003" s="50"/>
      <c r="AF1003" s="42"/>
      <c r="AG1003" s="42"/>
      <c r="AH1003" s="42"/>
      <c r="AI1003" s="42" t="str">
        <f t="array" ref="AI1003">XLOOKUP($E1003,Sheet11!$D:$D,Sheet11!$X:$X,"",0)</f>
        <v/>
      </c>
      <c r="AJ1003" s="42" t="str">
        <f t="array" ref="AJ1003">XLOOKUP($E1003,Sheet11!$D:$D,Sheet11!$Y:$Y,"",0)</f>
        <v/>
      </c>
    </row>
    <row r="1004">
      <c r="A1004" s="23"/>
      <c r="B1004" s="42"/>
      <c r="C1004" s="42"/>
      <c r="D1004" s="42"/>
      <c r="E1004" s="42"/>
      <c r="F1004" s="42"/>
      <c r="G1004" s="42"/>
      <c r="H1004" s="42"/>
      <c r="I1004" s="42"/>
      <c r="J1004" s="42"/>
      <c r="K1004" s="42"/>
      <c r="L1004" s="46"/>
      <c r="M1004" s="46"/>
      <c r="N1004" s="46"/>
      <c r="O1004" s="61"/>
      <c r="P1004" s="62"/>
      <c r="Q1004" s="46"/>
      <c r="R1004" s="47"/>
      <c r="S1004" s="62"/>
      <c r="T1004" s="62"/>
      <c r="U1004" s="46"/>
      <c r="V1004" s="61"/>
      <c r="W1004" s="62"/>
      <c r="X1004" s="47"/>
      <c r="Y1004" s="46"/>
      <c r="Z1004" s="46"/>
      <c r="AA1004" s="46"/>
      <c r="AB1004" s="49"/>
      <c r="AC1004" s="42"/>
      <c r="AD1004" s="42"/>
      <c r="AE1004" s="50"/>
      <c r="AF1004" s="42"/>
      <c r="AG1004" s="42"/>
      <c r="AH1004" s="42"/>
      <c r="AI1004" s="42" t="str">
        <f t="array" ref="AI1004">XLOOKUP($E1004,Sheet11!$D:$D,Sheet11!$X:$X,"",0)</f>
        <v/>
      </c>
      <c r="AJ1004" s="42" t="str">
        <f t="array" ref="AJ1004">XLOOKUP($E1004,Sheet11!$D:$D,Sheet11!$Y:$Y,"",0)</f>
        <v/>
      </c>
    </row>
    <row r="1005">
      <c r="A1005" s="23"/>
      <c r="B1005" s="42"/>
      <c r="C1005" s="42"/>
      <c r="D1005" s="42"/>
      <c r="E1005" s="42"/>
      <c r="F1005" s="42"/>
      <c r="G1005" s="42"/>
      <c r="H1005" s="42"/>
      <c r="I1005" s="42"/>
      <c r="J1005" s="42"/>
      <c r="K1005" s="42"/>
      <c r="L1005" s="46"/>
      <c r="M1005" s="46"/>
      <c r="N1005" s="46"/>
      <c r="O1005" s="61"/>
      <c r="P1005" s="62"/>
      <c r="Q1005" s="46"/>
      <c r="R1005" s="47"/>
      <c r="S1005" s="62"/>
      <c r="T1005" s="62"/>
      <c r="U1005" s="46"/>
      <c r="V1005" s="61"/>
      <c r="W1005" s="62"/>
      <c r="X1005" s="47"/>
      <c r="Y1005" s="46"/>
      <c r="Z1005" s="46"/>
      <c r="AA1005" s="46"/>
      <c r="AB1005" s="49"/>
      <c r="AC1005" s="42"/>
      <c r="AD1005" s="42"/>
      <c r="AE1005" s="50"/>
      <c r="AF1005" s="42"/>
      <c r="AG1005" s="42"/>
      <c r="AH1005" s="42"/>
      <c r="AI1005" s="42" t="str">
        <f t="array" ref="AI1005">XLOOKUP($E1005,Sheet11!$D:$D,Sheet11!$X:$X,"",0)</f>
        <v/>
      </c>
      <c r="AJ1005" s="42" t="str">
        <f t="array" ref="AJ1005">XLOOKUP($E1005,Sheet11!$D:$D,Sheet11!$Y:$Y,"",0)</f>
        <v/>
      </c>
    </row>
    <row r="1006">
      <c r="A1006" s="23"/>
      <c r="B1006" s="42"/>
      <c r="C1006" s="42"/>
      <c r="D1006" s="42"/>
      <c r="E1006" s="42"/>
      <c r="F1006" s="42"/>
      <c r="G1006" s="42"/>
      <c r="H1006" s="42"/>
      <c r="I1006" s="42"/>
      <c r="J1006" s="42"/>
      <c r="K1006" s="42"/>
      <c r="L1006" s="46"/>
      <c r="M1006" s="46"/>
      <c r="N1006" s="46"/>
      <c r="O1006" s="61"/>
      <c r="P1006" s="62"/>
      <c r="Q1006" s="46"/>
      <c r="R1006" s="47"/>
      <c r="S1006" s="62"/>
      <c r="T1006" s="62"/>
      <c r="U1006" s="46"/>
      <c r="V1006" s="61"/>
      <c r="W1006" s="62"/>
      <c r="X1006" s="47"/>
      <c r="Y1006" s="46"/>
      <c r="Z1006" s="46"/>
      <c r="AA1006" s="46"/>
      <c r="AB1006" s="49"/>
      <c r="AC1006" s="42"/>
      <c r="AD1006" s="42"/>
      <c r="AE1006" s="50"/>
      <c r="AF1006" s="42"/>
      <c r="AG1006" s="42"/>
      <c r="AH1006" s="42"/>
      <c r="AI1006" s="42" t="str">
        <f t="array" ref="AI1006">XLOOKUP($E1006,Sheet11!$D:$D,Sheet11!$X:$X,"",0)</f>
        <v/>
      </c>
      <c r="AJ1006" s="42" t="str">
        <f t="array" ref="AJ1006">XLOOKUP($E1006,Sheet11!$D:$D,Sheet11!$Y:$Y,"",0)</f>
        <v/>
      </c>
    </row>
    <row r="1007">
      <c r="A1007" s="23"/>
      <c r="B1007" s="42"/>
      <c r="C1007" s="42"/>
      <c r="D1007" s="42"/>
      <c r="E1007" s="42"/>
      <c r="F1007" s="42"/>
      <c r="G1007" s="42"/>
      <c r="H1007" s="42"/>
      <c r="I1007" s="42"/>
      <c r="J1007" s="42"/>
      <c r="K1007" s="42"/>
      <c r="L1007" s="46"/>
      <c r="M1007" s="46"/>
      <c r="N1007" s="46"/>
      <c r="O1007" s="61"/>
      <c r="P1007" s="62"/>
      <c r="Q1007" s="46"/>
      <c r="R1007" s="47"/>
      <c r="S1007" s="62"/>
      <c r="T1007" s="62"/>
      <c r="U1007" s="46"/>
      <c r="V1007" s="61"/>
      <c r="W1007" s="62"/>
      <c r="X1007" s="47"/>
      <c r="Y1007" s="46"/>
      <c r="Z1007" s="46"/>
      <c r="AA1007" s="46"/>
      <c r="AB1007" s="49"/>
      <c r="AC1007" s="42"/>
      <c r="AD1007" s="42"/>
      <c r="AE1007" s="50"/>
      <c r="AF1007" s="42"/>
      <c r="AG1007" s="42"/>
      <c r="AH1007" s="42"/>
      <c r="AI1007" s="42" t="str">
        <f t="array" ref="AI1007">XLOOKUP($E1007,Sheet11!$D:$D,Sheet11!$X:$X,"",0)</f>
        <v/>
      </c>
      <c r="AJ1007" s="42" t="str">
        <f t="array" ref="AJ1007">XLOOKUP($E1007,Sheet11!$D:$D,Sheet11!$Y:$Y,"",0)</f>
        <v/>
      </c>
    </row>
    <row r="1008">
      <c r="A1008" s="23"/>
      <c r="B1008" s="42"/>
      <c r="C1008" s="42"/>
      <c r="D1008" s="42"/>
      <c r="E1008" s="42"/>
      <c r="F1008" s="42"/>
      <c r="G1008" s="42"/>
      <c r="H1008" s="42"/>
      <c r="I1008" s="42"/>
      <c r="J1008" s="42"/>
      <c r="K1008" s="42"/>
      <c r="L1008" s="46"/>
      <c r="M1008" s="46"/>
      <c r="N1008" s="46"/>
      <c r="O1008" s="61"/>
      <c r="P1008" s="62"/>
      <c r="Q1008" s="46"/>
      <c r="R1008" s="47"/>
      <c r="S1008" s="62"/>
      <c r="T1008" s="62"/>
      <c r="U1008" s="46"/>
      <c r="V1008" s="61"/>
      <c r="W1008" s="62"/>
      <c r="X1008" s="47"/>
      <c r="Y1008" s="46"/>
      <c r="Z1008" s="46"/>
      <c r="AA1008" s="46"/>
      <c r="AB1008" s="49"/>
      <c r="AC1008" s="42"/>
      <c r="AD1008" s="42"/>
      <c r="AE1008" s="50"/>
      <c r="AF1008" s="42"/>
      <c r="AG1008" s="42"/>
      <c r="AH1008" s="42"/>
      <c r="AI1008" s="42" t="str">
        <f t="array" ref="AI1008">XLOOKUP($E1008,Sheet11!$D:$D,Sheet11!$X:$X,"",0)</f>
        <v/>
      </c>
      <c r="AJ1008" s="42" t="str">
        <f t="array" ref="AJ1008">XLOOKUP($E1008,Sheet11!$D:$D,Sheet11!$Y:$Y,"",0)</f>
        <v/>
      </c>
    </row>
    <row r="1009">
      <c r="A1009" s="23"/>
      <c r="B1009" s="42"/>
      <c r="C1009" s="42"/>
      <c r="D1009" s="42"/>
      <c r="E1009" s="42"/>
      <c r="F1009" s="42"/>
      <c r="G1009" s="42"/>
      <c r="H1009" s="42"/>
      <c r="I1009" s="42"/>
      <c r="J1009" s="42"/>
      <c r="K1009" s="42"/>
      <c r="L1009" s="46"/>
      <c r="M1009" s="46"/>
      <c r="N1009" s="46"/>
      <c r="O1009" s="61"/>
      <c r="P1009" s="62"/>
      <c r="Q1009" s="46"/>
      <c r="R1009" s="47"/>
      <c r="S1009" s="62"/>
      <c r="T1009" s="62"/>
      <c r="U1009" s="46"/>
      <c r="V1009" s="61"/>
      <c r="W1009" s="62"/>
      <c r="X1009" s="47"/>
      <c r="Y1009" s="46"/>
      <c r="Z1009" s="46"/>
      <c r="AA1009" s="46"/>
      <c r="AB1009" s="49"/>
      <c r="AC1009" s="42"/>
      <c r="AD1009" s="42"/>
      <c r="AE1009" s="50"/>
      <c r="AF1009" s="42"/>
      <c r="AG1009" s="42"/>
      <c r="AH1009" s="42"/>
      <c r="AI1009" s="42" t="str">
        <f t="array" ref="AI1009">XLOOKUP($E1009,Sheet11!$D:$D,Sheet11!$X:$X,"",0)</f>
        <v/>
      </c>
      <c r="AJ1009" s="42" t="str">
        <f t="array" ref="AJ1009">XLOOKUP($E1009,Sheet11!$D:$D,Sheet11!$Y:$Y,"",0)</f>
        <v/>
      </c>
    </row>
    <row r="1010">
      <c r="A1010" s="23"/>
      <c r="B1010" s="42"/>
      <c r="C1010" s="42"/>
      <c r="D1010" s="42"/>
      <c r="E1010" s="42"/>
      <c r="F1010" s="42"/>
      <c r="G1010" s="42"/>
      <c r="H1010" s="42"/>
      <c r="I1010" s="42"/>
      <c r="J1010" s="42"/>
      <c r="K1010" s="42"/>
      <c r="L1010" s="46"/>
      <c r="M1010" s="46"/>
      <c r="N1010" s="46"/>
      <c r="O1010" s="61"/>
      <c r="P1010" s="62"/>
      <c r="Q1010" s="46"/>
      <c r="R1010" s="47"/>
      <c r="S1010" s="62"/>
      <c r="T1010" s="62"/>
      <c r="U1010" s="46"/>
      <c r="V1010" s="61"/>
      <c r="W1010" s="62"/>
      <c r="X1010" s="47"/>
      <c r="Y1010" s="46"/>
      <c r="Z1010" s="46"/>
      <c r="AA1010" s="46"/>
      <c r="AB1010" s="49"/>
      <c r="AC1010" s="42"/>
      <c r="AD1010" s="42"/>
      <c r="AE1010" s="50"/>
      <c r="AF1010" s="42"/>
      <c r="AG1010" s="42"/>
      <c r="AH1010" s="42"/>
      <c r="AI1010" s="42" t="str">
        <f t="array" ref="AI1010">XLOOKUP($E1010,Sheet11!$D:$D,Sheet11!$X:$X,"",0)</f>
        <v/>
      </c>
      <c r="AJ1010" s="42" t="str">
        <f t="array" ref="AJ1010">XLOOKUP($E1010,Sheet11!$D:$D,Sheet11!$Y:$Y,"",0)</f>
        <v/>
      </c>
    </row>
    <row r="1011">
      <c r="A1011" s="23"/>
      <c r="B1011" s="42"/>
      <c r="C1011" s="42"/>
      <c r="D1011" s="42"/>
      <c r="E1011" s="42"/>
      <c r="F1011" s="42"/>
      <c r="G1011" s="42"/>
      <c r="H1011" s="42"/>
      <c r="I1011" s="42"/>
      <c r="J1011" s="42"/>
      <c r="K1011" s="42"/>
      <c r="L1011" s="46"/>
      <c r="M1011" s="46"/>
      <c r="N1011" s="46"/>
      <c r="O1011" s="61"/>
      <c r="P1011" s="62"/>
      <c r="Q1011" s="46"/>
      <c r="R1011" s="47"/>
      <c r="S1011" s="62"/>
      <c r="T1011" s="62"/>
      <c r="U1011" s="46"/>
      <c r="V1011" s="61"/>
      <c r="W1011" s="62"/>
      <c r="X1011" s="47"/>
      <c r="Y1011" s="46"/>
      <c r="Z1011" s="46"/>
      <c r="AA1011" s="46"/>
      <c r="AB1011" s="49"/>
      <c r="AC1011" s="42"/>
      <c r="AD1011" s="42"/>
      <c r="AE1011" s="50"/>
      <c r="AF1011" s="42"/>
      <c r="AG1011" s="42"/>
      <c r="AH1011" s="42"/>
      <c r="AI1011" s="42" t="str">
        <f t="array" ref="AI1011">XLOOKUP($E1011,Sheet11!$D:$D,Sheet11!$X:$X,"",0)</f>
        <v/>
      </c>
      <c r="AJ1011" s="42" t="str">
        <f t="array" ref="AJ1011">XLOOKUP($E1011,Sheet11!$D:$D,Sheet11!$Y:$Y,"",0)</f>
        <v/>
      </c>
    </row>
    <row r="1012">
      <c r="A1012" s="23"/>
      <c r="B1012" s="42"/>
      <c r="C1012" s="42"/>
      <c r="D1012" s="42"/>
      <c r="E1012" s="42"/>
      <c r="F1012" s="42"/>
      <c r="G1012" s="42"/>
      <c r="H1012" s="42"/>
      <c r="I1012" s="42"/>
      <c r="J1012" s="42"/>
      <c r="K1012" s="42"/>
      <c r="L1012" s="46"/>
      <c r="M1012" s="46"/>
      <c r="N1012" s="46"/>
      <c r="O1012" s="61"/>
      <c r="P1012" s="62"/>
      <c r="Q1012" s="46"/>
      <c r="R1012" s="47"/>
      <c r="S1012" s="62"/>
      <c r="T1012" s="62"/>
      <c r="U1012" s="46"/>
      <c r="V1012" s="61"/>
      <c r="W1012" s="62"/>
      <c r="X1012" s="47"/>
      <c r="Y1012" s="46"/>
      <c r="Z1012" s="46"/>
      <c r="AA1012" s="46"/>
      <c r="AB1012" s="49"/>
      <c r="AC1012" s="42"/>
      <c r="AD1012" s="42"/>
      <c r="AE1012" s="50"/>
      <c r="AF1012" s="42"/>
      <c r="AG1012" s="42"/>
      <c r="AH1012" s="42"/>
      <c r="AI1012" s="42" t="str">
        <f t="array" ref="AI1012">XLOOKUP($E1012,Sheet11!$D:$D,Sheet11!$X:$X,"",0)</f>
        <v/>
      </c>
      <c r="AJ1012" s="42" t="str">
        <f t="array" ref="AJ1012">XLOOKUP($E1012,Sheet11!$D:$D,Sheet11!$Y:$Y,"",0)</f>
        <v/>
      </c>
    </row>
    <row r="1013">
      <c r="A1013" s="23"/>
      <c r="B1013" s="42"/>
      <c r="C1013" s="42"/>
      <c r="D1013" s="42"/>
      <c r="E1013" s="42"/>
      <c r="F1013" s="42"/>
      <c r="G1013" s="42"/>
      <c r="H1013" s="42"/>
      <c r="I1013" s="42"/>
      <c r="J1013" s="42"/>
      <c r="K1013" s="42"/>
      <c r="L1013" s="46"/>
      <c r="M1013" s="46"/>
      <c r="N1013" s="46"/>
      <c r="O1013" s="61"/>
      <c r="P1013" s="62"/>
      <c r="Q1013" s="46"/>
      <c r="R1013" s="47"/>
      <c r="S1013" s="62"/>
      <c r="T1013" s="62"/>
      <c r="U1013" s="46"/>
      <c r="V1013" s="61"/>
      <c r="W1013" s="62"/>
      <c r="X1013" s="47"/>
      <c r="Y1013" s="46"/>
      <c r="Z1013" s="46"/>
      <c r="AA1013" s="46"/>
      <c r="AB1013" s="49"/>
      <c r="AC1013" s="42"/>
      <c r="AD1013" s="42"/>
      <c r="AE1013" s="50"/>
      <c r="AF1013" s="42"/>
      <c r="AG1013" s="42"/>
      <c r="AH1013" s="42"/>
      <c r="AI1013" s="42" t="str">
        <f t="array" ref="AI1013">XLOOKUP($E1013,Sheet11!$D:$D,Sheet11!$X:$X,"",0)</f>
        <v/>
      </c>
      <c r="AJ1013" s="42" t="str">
        <f t="array" ref="AJ1013">XLOOKUP($E1013,Sheet11!$D:$D,Sheet11!$Y:$Y,"",0)</f>
        <v/>
      </c>
    </row>
    <row r="1014">
      <c r="A1014" s="23"/>
      <c r="B1014" s="42"/>
      <c r="C1014" s="42"/>
      <c r="D1014" s="42"/>
      <c r="E1014" s="42"/>
      <c r="F1014" s="42"/>
      <c r="G1014" s="42"/>
      <c r="H1014" s="42"/>
      <c r="I1014" s="42"/>
      <c r="J1014" s="42"/>
      <c r="K1014" s="42"/>
      <c r="L1014" s="46"/>
      <c r="M1014" s="46"/>
      <c r="N1014" s="46"/>
      <c r="O1014" s="61"/>
      <c r="P1014" s="62"/>
      <c r="Q1014" s="46"/>
      <c r="R1014" s="47"/>
      <c r="S1014" s="62"/>
      <c r="T1014" s="62"/>
      <c r="U1014" s="46"/>
      <c r="V1014" s="61"/>
      <c r="W1014" s="62"/>
      <c r="X1014" s="47"/>
      <c r="Y1014" s="46"/>
      <c r="Z1014" s="46"/>
      <c r="AA1014" s="46"/>
      <c r="AB1014" s="49"/>
      <c r="AC1014" s="42"/>
      <c r="AD1014" s="42"/>
      <c r="AE1014" s="50"/>
      <c r="AF1014" s="42"/>
      <c r="AG1014" s="42"/>
      <c r="AH1014" s="42"/>
      <c r="AI1014" s="42" t="str">
        <f t="array" ref="AI1014">XLOOKUP($E1014,Sheet11!$D:$D,Sheet11!$X:$X,"",0)</f>
        <v/>
      </c>
      <c r="AJ1014" s="42" t="str">
        <f t="array" ref="AJ1014">XLOOKUP($E1014,Sheet11!$D:$D,Sheet11!$Y:$Y,"",0)</f>
        <v/>
      </c>
    </row>
    <row r="1015">
      <c r="A1015" s="23"/>
      <c r="B1015" s="42"/>
      <c r="C1015" s="42"/>
      <c r="D1015" s="42"/>
      <c r="E1015" s="42"/>
      <c r="F1015" s="42"/>
      <c r="G1015" s="42"/>
      <c r="H1015" s="42"/>
      <c r="I1015" s="42"/>
      <c r="J1015" s="42"/>
      <c r="K1015" s="42"/>
      <c r="L1015" s="46"/>
      <c r="M1015" s="46"/>
      <c r="N1015" s="46"/>
      <c r="O1015" s="61"/>
      <c r="P1015" s="62"/>
      <c r="Q1015" s="46"/>
      <c r="R1015" s="47"/>
      <c r="S1015" s="62"/>
      <c r="T1015" s="62"/>
      <c r="U1015" s="46"/>
      <c r="V1015" s="61"/>
      <c r="W1015" s="62"/>
      <c r="X1015" s="47"/>
      <c r="Y1015" s="46"/>
      <c r="Z1015" s="46"/>
      <c r="AA1015" s="46"/>
      <c r="AB1015" s="49"/>
      <c r="AC1015" s="42"/>
      <c r="AD1015" s="42"/>
      <c r="AE1015" s="50"/>
      <c r="AF1015" s="42"/>
      <c r="AG1015" s="42"/>
      <c r="AH1015" s="42"/>
      <c r="AI1015" s="42" t="str">
        <f t="array" ref="AI1015">XLOOKUP($E1015,Sheet11!$D:$D,Sheet11!$X:$X,"",0)</f>
        <v/>
      </c>
      <c r="AJ1015" s="42" t="str">
        <f t="array" ref="AJ1015">XLOOKUP($E1015,Sheet11!$D:$D,Sheet11!$Y:$Y,"",0)</f>
        <v/>
      </c>
    </row>
    <row r="1016">
      <c r="A1016" s="23"/>
      <c r="B1016" s="42"/>
      <c r="C1016" s="42"/>
      <c r="D1016" s="42"/>
      <c r="E1016" s="42"/>
      <c r="F1016" s="42"/>
      <c r="G1016" s="42"/>
      <c r="H1016" s="42"/>
      <c r="I1016" s="42"/>
      <c r="J1016" s="42"/>
      <c r="K1016" s="42"/>
      <c r="L1016" s="46"/>
      <c r="M1016" s="46"/>
      <c r="N1016" s="46"/>
      <c r="O1016" s="61"/>
      <c r="P1016" s="62"/>
      <c r="Q1016" s="46"/>
      <c r="R1016" s="47"/>
      <c r="S1016" s="62"/>
      <c r="T1016" s="62"/>
      <c r="U1016" s="46"/>
      <c r="V1016" s="61"/>
      <c r="W1016" s="62"/>
      <c r="X1016" s="47"/>
      <c r="Y1016" s="46"/>
      <c r="Z1016" s="46"/>
      <c r="AA1016" s="46"/>
      <c r="AB1016" s="49"/>
      <c r="AC1016" s="42"/>
      <c r="AD1016" s="42"/>
      <c r="AE1016" s="50"/>
      <c r="AF1016" s="42"/>
      <c r="AG1016" s="42"/>
      <c r="AH1016" s="42"/>
      <c r="AI1016" s="42" t="str">
        <f t="array" ref="AI1016">XLOOKUP($E1016,Sheet11!$D:$D,Sheet11!$X:$X,"",0)</f>
        <v/>
      </c>
      <c r="AJ1016" s="42" t="str">
        <f t="array" ref="AJ1016">XLOOKUP($E1016,Sheet11!$D:$D,Sheet11!$Y:$Y,"",0)</f>
        <v/>
      </c>
    </row>
    <row r="1017">
      <c r="A1017" s="23"/>
      <c r="B1017" s="42"/>
      <c r="C1017" s="42"/>
      <c r="D1017" s="42"/>
      <c r="E1017" s="42"/>
      <c r="F1017" s="42"/>
      <c r="G1017" s="42"/>
      <c r="H1017" s="42"/>
      <c r="I1017" s="42"/>
      <c r="J1017" s="42"/>
      <c r="K1017" s="42"/>
      <c r="L1017" s="46"/>
      <c r="M1017" s="46"/>
      <c r="N1017" s="46"/>
      <c r="O1017" s="61"/>
      <c r="P1017" s="62"/>
      <c r="Q1017" s="46"/>
      <c r="R1017" s="47"/>
      <c r="S1017" s="62"/>
      <c r="T1017" s="62"/>
      <c r="U1017" s="46"/>
      <c r="V1017" s="61"/>
      <c r="W1017" s="62"/>
      <c r="X1017" s="47"/>
      <c r="Y1017" s="46"/>
      <c r="Z1017" s="46"/>
      <c r="AA1017" s="46"/>
      <c r="AB1017" s="49"/>
      <c r="AC1017" s="42"/>
      <c r="AD1017" s="42"/>
      <c r="AE1017" s="50"/>
      <c r="AF1017" s="42"/>
      <c r="AG1017" s="42"/>
      <c r="AH1017" s="42"/>
      <c r="AI1017" s="42" t="str">
        <f t="array" ref="AI1017">XLOOKUP($E1017,Sheet11!$D:$D,Sheet11!$X:$X,"",0)</f>
        <v/>
      </c>
      <c r="AJ1017" s="42" t="str">
        <f t="array" ref="AJ1017">XLOOKUP($E1017,Sheet11!$D:$D,Sheet11!$Y:$Y,"",0)</f>
        <v/>
      </c>
    </row>
    <row r="1018">
      <c r="A1018" s="23"/>
      <c r="B1018" s="42"/>
      <c r="C1018" s="42"/>
      <c r="D1018" s="42"/>
      <c r="E1018" s="42"/>
      <c r="F1018" s="42"/>
      <c r="G1018" s="42"/>
      <c r="H1018" s="42"/>
      <c r="I1018" s="42"/>
      <c r="J1018" s="42"/>
      <c r="K1018" s="42"/>
      <c r="L1018" s="46"/>
      <c r="M1018" s="46"/>
      <c r="N1018" s="46"/>
      <c r="O1018" s="61"/>
      <c r="P1018" s="62"/>
      <c r="Q1018" s="46"/>
      <c r="R1018" s="47"/>
      <c r="S1018" s="62"/>
      <c r="T1018" s="62"/>
      <c r="U1018" s="46"/>
      <c r="V1018" s="61"/>
      <c r="W1018" s="62"/>
      <c r="X1018" s="47"/>
      <c r="Y1018" s="46"/>
      <c r="Z1018" s="46"/>
      <c r="AA1018" s="46"/>
      <c r="AB1018" s="49"/>
      <c r="AC1018" s="42"/>
      <c r="AD1018" s="42"/>
      <c r="AE1018" s="50"/>
      <c r="AF1018" s="42"/>
      <c r="AG1018" s="42"/>
      <c r="AH1018" s="42"/>
      <c r="AI1018" s="42" t="str">
        <f t="array" ref="AI1018">XLOOKUP($E1018,Sheet11!$D:$D,Sheet11!$X:$X,"",0)</f>
        <v/>
      </c>
      <c r="AJ1018" s="42" t="str">
        <f t="array" ref="AJ1018">XLOOKUP($E1018,Sheet11!$D:$D,Sheet11!$Y:$Y,"",0)</f>
        <v/>
      </c>
    </row>
    <row r="1019">
      <c r="A1019" s="23"/>
      <c r="B1019" s="42"/>
      <c r="C1019" s="42"/>
      <c r="D1019" s="42"/>
      <c r="E1019" s="42"/>
      <c r="F1019" s="42"/>
      <c r="G1019" s="42"/>
      <c r="H1019" s="42"/>
      <c r="I1019" s="42"/>
      <c r="J1019" s="42"/>
      <c r="K1019" s="42"/>
      <c r="L1019" s="46"/>
      <c r="M1019" s="46"/>
      <c r="N1019" s="46"/>
      <c r="O1019" s="61"/>
      <c r="P1019" s="62"/>
      <c r="Q1019" s="46"/>
      <c r="R1019" s="47"/>
      <c r="S1019" s="62"/>
      <c r="T1019" s="62"/>
      <c r="U1019" s="46"/>
      <c r="V1019" s="61"/>
      <c r="W1019" s="62"/>
      <c r="X1019" s="47"/>
      <c r="Y1019" s="46"/>
      <c r="Z1019" s="46"/>
      <c r="AA1019" s="46"/>
      <c r="AB1019" s="49"/>
      <c r="AC1019" s="42"/>
      <c r="AD1019" s="42"/>
      <c r="AE1019" s="50"/>
      <c r="AF1019" s="42"/>
      <c r="AG1019" s="42"/>
      <c r="AH1019" s="42"/>
      <c r="AI1019" s="42" t="str">
        <f t="array" ref="AI1019">XLOOKUP($E1019,Sheet11!$D:$D,Sheet11!$X:$X,"",0)</f>
        <v/>
      </c>
      <c r="AJ1019" s="42" t="str">
        <f t="array" ref="AJ1019">XLOOKUP($E1019,Sheet11!$D:$D,Sheet11!$Y:$Y,"",0)</f>
        <v/>
      </c>
    </row>
    <row r="1020">
      <c r="A1020" s="23"/>
      <c r="B1020" s="42"/>
      <c r="C1020" s="42"/>
      <c r="D1020" s="42"/>
      <c r="E1020" s="42"/>
      <c r="F1020" s="42"/>
      <c r="G1020" s="42"/>
      <c r="H1020" s="42"/>
      <c r="I1020" s="42"/>
      <c r="J1020" s="42"/>
      <c r="K1020" s="42"/>
      <c r="L1020" s="46"/>
      <c r="M1020" s="46"/>
      <c r="N1020" s="46"/>
      <c r="O1020" s="61"/>
      <c r="P1020" s="62"/>
      <c r="Q1020" s="46"/>
      <c r="R1020" s="47"/>
      <c r="S1020" s="62"/>
      <c r="T1020" s="62"/>
      <c r="U1020" s="46"/>
      <c r="V1020" s="61"/>
      <c r="W1020" s="62"/>
      <c r="X1020" s="47"/>
      <c r="Y1020" s="46"/>
      <c r="Z1020" s="46"/>
      <c r="AA1020" s="46"/>
      <c r="AB1020" s="49"/>
      <c r="AC1020" s="42"/>
      <c r="AD1020" s="42"/>
      <c r="AE1020" s="50"/>
      <c r="AF1020" s="42"/>
      <c r="AG1020" s="42"/>
      <c r="AH1020" s="42"/>
      <c r="AI1020" s="42" t="str">
        <f t="array" ref="AI1020">XLOOKUP($E1020,Sheet11!$D:$D,Sheet11!$X:$X,"",0)</f>
        <v/>
      </c>
      <c r="AJ1020" s="42" t="str">
        <f t="array" ref="AJ1020">XLOOKUP($E1020,Sheet11!$D:$D,Sheet11!$Y:$Y,"",0)</f>
        <v/>
      </c>
    </row>
    <row r="1021">
      <c r="A1021" s="23"/>
      <c r="B1021" s="42"/>
      <c r="C1021" s="42"/>
      <c r="D1021" s="42"/>
      <c r="E1021" s="42"/>
      <c r="F1021" s="42"/>
      <c r="G1021" s="42"/>
      <c r="H1021" s="42"/>
      <c r="I1021" s="42"/>
      <c r="J1021" s="42"/>
      <c r="K1021" s="42"/>
      <c r="L1021" s="46"/>
      <c r="M1021" s="46"/>
      <c r="N1021" s="46"/>
      <c r="O1021" s="61"/>
      <c r="P1021" s="62"/>
      <c r="Q1021" s="46"/>
      <c r="R1021" s="47"/>
      <c r="S1021" s="62"/>
      <c r="T1021" s="62"/>
      <c r="U1021" s="46"/>
      <c r="V1021" s="61"/>
      <c r="W1021" s="62"/>
      <c r="X1021" s="47"/>
      <c r="Y1021" s="46"/>
      <c r="Z1021" s="46"/>
      <c r="AA1021" s="46"/>
      <c r="AB1021" s="49"/>
      <c r="AC1021" s="42"/>
      <c r="AD1021" s="42"/>
      <c r="AE1021" s="50"/>
      <c r="AF1021" s="42"/>
      <c r="AG1021" s="42"/>
      <c r="AH1021" s="42"/>
      <c r="AI1021" s="42" t="str">
        <f t="array" ref="AI1021">XLOOKUP($E1021,Sheet11!$D:$D,Sheet11!$X:$X,"",0)</f>
        <v/>
      </c>
      <c r="AJ1021" s="42" t="str">
        <f t="array" ref="AJ1021">XLOOKUP($E1021,Sheet11!$D:$D,Sheet11!$Y:$Y,"",0)</f>
        <v/>
      </c>
    </row>
    <row r="1022">
      <c r="A1022" s="23"/>
      <c r="B1022" s="42"/>
      <c r="C1022" s="42"/>
      <c r="D1022" s="42"/>
      <c r="E1022" s="42"/>
      <c r="F1022" s="42"/>
      <c r="G1022" s="42"/>
      <c r="H1022" s="42"/>
      <c r="I1022" s="42"/>
      <c r="J1022" s="42"/>
      <c r="K1022" s="42"/>
      <c r="L1022" s="46"/>
      <c r="M1022" s="46"/>
      <c r="N1022" s="46"/>
      <c r="O1022" s="61"/>
      <c r="P1022" s="62"/>
      <c r="Q1022" s="46"/>
      <c r="R1022" s="47"/>
      <c r="S1022" s="62"/>
      <c r="T1022" s="62"/>
      <c r="U1022" s="46"/>
      <c r="V1022" s="61"/>
      <c r="W1022" s="62"/>
      <c r="X1022" s="47"/>
      <c r="Y1022" s="46"/>
      <c r="Z1022" s="46"/>
      <c r="AA1022" s="46"/>
      <c r="AB1022" s="49"/>
      <c r="AC1022" s="42"/>
      <c r="AD1022" s="42"/>
      <c r="AE1022" s="50"/>
      <c r="AF1022" s="42"/>
      <c r="AG1022" s="42"/>
      <c r="AH1022" s="42"/>
      <c r="AI1022" s="42" t="str">
        <f t="array" ref="AI1022">XLOOKUP($E1022,Sheet11!$D:$D,Sheet11!$X:$X,"",0)</f>
        <v/>
      </c>
      <c r="AJ1022" s="42" t="str">
        <f t="array" ref="AJ1022">XLOOKUP($E1022,Sheet11!$D:$D,Sheet11!$Y:$Y,"",0)</f>
        <v/>
      </c>
    </row>
    <row r="1023">
      <c r="A1023" s="23"/>
      <c r="B1023" s="42"/>
      <c r="C1023" s="42"/>
      <c r="D1023" s="42"/>
      <c r="E1023" s="42"/>
      <c r="F1023" s="42"/>
      <c r="G1023" s="42"/>
      <c r="H1023" s="42"/>
      <c r="I1023" s="42"/>
      <c r="J1023" s="42"/>
      <c r="K1023" s="42"/>
      <c r="L1023" s="46"/>
      <c r="M1023" s="46"/>
      <c r="N1023" s="46"/>
      <c r="O1023" s="61"/>
      <c r="P1023" s="62"/>
      <c r="Q1023" s="46"/>
      <c r="R1023" s="47"/>
      <c r="S1023" s="62"/>
      <c r="T1023" s="62"/>
      <c r="U1023" s="46"/>
      <c r="V1023" s="61"/>
      <c r="W1023" s="62"/>
      <c r="X1023" s="47"/>
      <c r="Y1023" s="46"/>
      <c r="Z1023" s="46"/>
      <c r="AA1023" s="46"/>
      <c r="AB1023" s="49"/>
      <c r="AC1023" s="42"/>
      <c r="AD1023" s="42"/>
      <c r="AE1023" s="50"/>
      <c r="AF1023" s="42"/>
      <c r="AG1023" s="42"/>
      <c r="AH1023" s="42"/>
      <c r="AI1023" s="42" t="str">
        <f t="array" ref="AI1023">XLOOKUP($E1023,Sheet11!$D:$D,Sheet11!$X:$X,"",0)</f>
        <v/>
      </c>
      <c r="AJ1023" s="42" t="str">
        <f t="array" ref="AJ1023">XLOOKUP($E1023,Sheet11!$D:$D,Sheet11!$Y:$Y,"",0)</f>
        <v/>
      </c>
    </row>
    <row r="1024">
      <c r="A1024" s="23"/>
      <c r="B1024" s="42"/>
      <c r="C1024" s="42"/>
      <c r="D1024" s="42"/>
      <c r="E1024" s="42"/>
      <c r="F1024" s="42"/>
      <c r="G1024" s="42"/>
      <c r="H1024" s="42"/>
      <c r="I1024" s="42"/>
      <c r="J1024" s="42"/>
      <c r="K1024" s="42"/>
      <c r="L1024" s="46"/>
      <c r="M1024" s="46"/>
      <c r="N1024" s="46"/>
      <c r="O1024" s="61"/>
      <c r="P1024" s="62"/>
      <c r="Q1024" s="46"/>
      <c r="R1024" s="47"/>
      <c r="S1024" s="62"/>
      <c r="T1024" s="62"/>
      <c r="U1024" s="46"/>
      <c r="V1024" s="61"/>
      <c r="W1024" s="62"/>
      <c r="X1024" s="47"/>
      <c r="Y1024" s="46"/>
      <c r="Z1024" s="46"/>
      <c r="AA1024" s="46"/>
      <c r="AB1024" s="49"/>
      <c r="AC1024" s="42"/>
      <c r="AD1024" s="42"/>
      <c r="AE1024" s="50"/>
      <c r="AF1024" s="42"/>
      <c r="AG1024" s="42"/>
      <c r="AH1024" s="42"/>
      <c r="AI1024" s="42" t="str">
        <f t="array" ref="AI1024">XLOOKUP($E1024,Sheet11!$D:$D,Sheet11!$X:$X,"",0)</f>
        <v/>
      </c>
      <c r="AJ1024" s="42" t="str">
        <f t="array" ref="AJ1024">XLOOKUP($E1024,Sheet11!$D:$D,Sheet11!$Y:$Y,"",0)</f>
        <v/>
      </c>
    </row>
    <row r="1025">
      <c r="A1025" s="23"/>
      <c r="B1025" s="42"/>
      <c r="C1025" s="42"/>
      <c r="D1025" s="42"/>
      <c r="E1025" s="42"/>
      <c r="F1025" s="42"/>
      <c r="G1025" s="42"/>
      <c r="H1025" s="42"/>
      <c r="I1025" s="42"/>
      <c r="J1025" s="42"/>
      <c r="K1025" s="42"/>
      <c r="L1025" s="46"/>
      <c r="M1025" s="46"/>
      <c r="N1025" s="46"/>
      <c r="O1025" s="61"/>
      <c r="P1025" s="62"/>
      <c r="Q1025" s="46"/>
      <c r="R1025" s="47"/>
      <c r="S1025" s="62"/>
      <c r="T1025" s="62"/>
      <c r="U1025" s="46"/>
      <c r="V1025" s="61"/>
      <c r="W1025" s="62"/>
      <c r="X1025" s="47"/>
      <c r="Y1025" s="46"/>
      <c r="Z1025" s="46"/>
      <c r="AA1025" s="46"/>
      <c r="AB1025" s="49"/>
      <c r="AC1025" s="42"/>
      <c r="AD1025" s="42"/>
      <c r="AE1025" s="50"/>
      <c r="AF1025" s="42"/>
      <c r="AG1025" s="42"/>
      <c r="AH1025" s="42"/>
      <c r="AI1025" s="42" t="str">
        <f t="array" ref="AI1025">XLOOKUP($E1025,Sheet11!$D:$D,Sheet11!$X:$X,"",0)</f>
        <v/>
      </c>
      <c r="AJ1025" s="42" t="str">
        <f t="array" ref="AJ1025">XLOOKUP($E1025,Sheet11!$D:$D,Sheet11!$Y:$Y,"",0)</f>
        <v/>
      </c>
    </row>
    <row r="1026">
      <c r="A1026" s="23"/>
      <c r="B1026" s="42"/>
      <c r="C1026" s="42"/>
      <c r="D1026" s="42"/>
      <c r="E1026" s="42"/>
      <c r="F1026" s="42"/>
      <c r="G1026" s="42"/>
      <c r="H1026" s="42"/>
      <c r="I1026" s="42"/>
      <c r="J1026" s="42"/>
      <c r="K1026" s="42"/>
      <c r="L1026" s="46"/>
      <c r="M1026" s="46"/>
      <c r="N1026" s="46"/>
      <c r="O1026" s="61"/>
      <c r="P1026" s="62"/>
      <c r="Q1026" s="46"/>
      <c r="R1026" s="47"/>
      <c r="S1026" s="62"/>
      <c r="T1026" s="62"/>
      <c r="U1026" s="46"/>
      <c r="V1026" s="61"/>
      <c r="W1026" s="62"/>
      <c r="X1026" s="47"/>
      <c r="Y1026" s="46"/>
      <c r="Z1026" s="46"/>
      <c r="AA1026" s="46"/>
      <c r="AB1026" s="49"/>
      <c r="AC1026" s="42"/>
      <c r="AD1026" s="42"/>
      <c r="AE1026" s="50"/>
      <c r="AF1026" s="42"/>
      <c r="AG1026" s="42"/>
      <c r="AH1026" s="42"/>
      <c r="AI1026" s="42" t="str">
        <f t="array" ref="AI1026">XLOOKUP($E1026,Sheet11!$D:$D,Sheet11!$X:$X,"",0)</f>
        <v/>
      </c>
      <c r="AJ1026" s="42" t="str">
        <f t="array" ref="AJ1026">XLOOKUP($E1026,Sheet11!$D:$D,Sheet11!$Y:$Y,"",0)</f>
        <v/>
      </c>
    </row>
    <row r="1027">
      <c r="A1027" s="23"/>
      <c r="B1027" s="42"/>
      <c r="C1027" s="42"/>
      <c r="D1027" s="42"/>
      <c r="E1027" s="42"/>
      <c r="F1027" s="42"/>
      <c r="G1027" s="42"/>
      <c r="H1027" s="42"/>
      <c r="I1027" s="42"/>
      <c r="J1027" s="42"/>
      <c r="K1027" s="42"/>
      <c r="L1027" s="46"/>
      <c r="M1027" s="46"/>
      <c r="N1027" s="46"/>
      <c r="O1027" s="61"/>
      <c r="P1027" s="62"/>
      <c r="Q1027" s="46"/>
      <c r="R1027" s="47"/>
      <c r="S1027" s="62"/>
      <c r="T1027" s="62"/>
      <c r="U1027" s="46"/>
      <c r="V1027" s="61"/>
      <c r="W1027" s="62"/>
      <c r="X1027" s="47"/>
      <c r="Y1027" s="46"/>
      <c r="Z1027" s="46"/>
      <c r="AA1027" s="46"/>
      <c r="AB1027" s="49"/>
      <c r="AC1027" s="42"/>
      <c r="AD1027" s="42"/>
      <c r="AE1027" s="50"/>
      <c r="AF1027" s="42"/>
      <c r="AG1027" s="42"/>
      <c r="AH1027" s="42"/>
      <c r="AI1027" s="42" t="str">
        <f t="array" ref="AI1027">XLOOKUP($E1027,Sheet11!$D:$D,Sheet11!$X:$X,"",0)</f>
        <v/>
      </c>
      <c r="AJ1027" s="42" t="str">
        <f t="array" ref="AJ1027">XLOOKUP($E1027,Sheet11!$D:$D,Sheet11!$Y:$Y,"",0)</f>
        <v/>
      </c>
    </row>
    <row r="1028">
      <c r="A1028" s="23"/>
      <c r="B1028" s="42"/>
      <c r="C1028" s="42"/>
      <c r="D1028" s="42"/>
      <c r="E1028" s="42"/>
      <c r="F1028" s="42"/>
      <c r="G1028" s="42"/>
      <c r="H1028" s="42"/>
      <c r="I1028" s="42"/>
      <c r="J1028" s="42"/>
      <c r="K1028" s="42"/>
      <c r="L1028" s="46"/>
      <c r="M1028" s="46"/>
      <c r="N1028" s="46"/>
      <c r="O1028" s="61"/>
      <c r="P1028" s="62"/>
      <c r="Q1028" s="46"/>
      <c r="R1028" s="47"/>
      <c r="S1028" s="62"/>
      <c r="T1028" s="62"/>
      <c r="U1028" s="46"/>
      <c r="V1028" s="61"/>
      <c r="W1028" s="62"/>
      <c r="X1028" s="47"/>
      <c r="Y1028" s="46"/>
      <c r="Z1028" s="46"/>
      <c r="AA1028" s="46"/>
      <c r="AB1028" s="49"/>
      <c r="AC1028" s="42"/>
      <c r="AD1028" s="42"/>
      <c r="AE1028" s="50"/>
      <c r="AF1028" s="42"/>
      <c r="AG1028" s="42"/>
      <c r="AH1028" s="42"/>
      <c r="AI1028" s="42" t="str">
        <f t="array" ref="AI1028">XLOOKUP($E1028,Sheet11!$D:$D,Sheet11!$X:$X,"",0)</f>
        <v/>
      </c>
      <c r="AJ1028" s="42" t="str">
        <f t="array" ref="AJ1028">XLOOKUP($E1028,Sheet11!$D:$D,Sheet11!$Y:$Y,"",0)</f>
        <v/>
      </c>
    </row>
    <row r="1029">
      <c r="A1029" s="23"/>
      <c r="B1029" s="42"/>
      <c r="C1029" s="42"/>
      <c r="D1029" s="42"/>
      <c r="E1029" s="42"/>
      <c r="F1029" s="42"/>
      <c r="G1029" s="42"/>
      <c r="H1029" s="42"/>
      <c r="I1029" s="42"/>
      <c r="J1029" s="42"/>
      <c r="K1029" s="42"/>
      <c r="L1029" s="46"/>
      <c r="M1029" s="46"/>
      <c r="N1029" s="46"/>
      <c r="O1029" s="61"/>
      <c r="P1029" s="62"/>
      <c r="Q1029" s="46"/>
      <c r="R1029" s="47"/>
      <c r="S1029" s="62"/>
      <c r="T1029" s="62"/>
      <c r="U1029" s="46"/>
      <c r="V1029" s="61"/>
      <c r="W1029" s="62"/>
      <c r="X1029" s="47"/>
      <c r="Y1029" s="46"/>
      <c r="Z1029" s="46"/>
      <c r="AA1029" s="46"/>
      <c r="AB1029" s="49"/>
      <c r="AC1029" s="42"/>
      <c r="AD1029" s="42"/>
      <c r="AE1029" s="50"/>
      <c r="AF1029" s="42"/>
      <c r="AG1029" s="42"/>
      <c r="AH1029" s="42"/>
      <c r="AI1029" s="42" t="str">
        <f t="array" ref="AI1029">XLOOKUP($E1029,Sheet11!$D:$D,Sheet11!$X:$X,"",0)</f>
        <v/>
      </c>
      <c r="AJ1029" s="42" t="str">
        <f t="array" ref="AJ1029">XLOOKUP($E1029,Sheet11!$D:$D,Sheet11!$Y:$Y,"",0)</f>
        <v/>
      </c>
    </row>
    <row r="1030">
      <c r="A1030" s="23"/>
      <c r="B1030" s="42"/>
      <c r="C1030" s="42"/>
      <c r="D1030" s="42"/>
      <c r="E1030" s="42"/>
      <c r="F1030" s="42"/>
      <c r="G1030" s="42"/>
      <c r="H1030" s="42"/>
      <c r="I1030" s="42"/>
      <c r="J1030" s="42"/>
      <c r="K1030" s="42"/>
      <c r="L1030" s="46"/>
      <c r="M1030" s="46"/>
      <c r="N1030" s="46"/>
      <c r="O1030" s="61"/>
      <c r="P1030" s="62"/>
      <c r="Q1030" s="46"/>
      <c r="R1030" s="47"/>
      <c r="S1030" s="62"/>
      <c r="T1030" s="62"/>
      <c r="U1030" s="46"/>
      <c r="V1030" s="61"/>
      <c r="W1030" s="62"/>
      <c r="X1030" s="47"/>
      <c r="Y1030" s="46"/>
      <c r="Z1030" s="46"/>
      <c r="AA1030" s="46"/>
      <c r="AB1030" s="49"/>
      <c r="AC1030" s="42"/>
      <c r="AD1030" s="42"/>
      <c r="AE1030" s="50"/>
      <c r="AF1030" s="42"/>
      <c r="AG1030" s="42"/>
      <c r="AH1030" s="42"/>
      <c r="AI1030" s="42" t="str">
        <f t="array" ref="AI1030">XLOOKUP($E1030,Sheet11!$D:$D,Sheet11!$X:$X,"",0)</f>
        <v/>
      </c>
      <c r="AJ1030" s="42" t="str">
        <f t="array" ref="AJ1030">XLOOKUP($E1030,Sheet11!$D:$D,Sheet11!$Y:$Y,"",0)</f>
        <v/>
      </c>
    </row>
    <row r="1031">
      <c r="A1031" s="23"/>
      <c r="B1031" s="42"/>
      <c r="C1031" s="42"/>
      <c r="D1031" s="42"/>
      <c r="E1031" s="42"/>
      <c r="F1031" s="42"/>
      <c r="G1031" s="42"/>
      <c r="H1031" s="42"/>
      <c r="I1031" s="42"/>
      <c r="J1031" s="42"/>
      <c r="K1031" s="42"/>
      <c r="L1031" s="46"/>
      <c r="M1031" s="46"/>
      <c r="N1031" s="46"/>
      <c r="O1031" s="61"/>
      <c r="P1031" s="62"/>
      <c r="Q1031" s="46"/>
      <c r="R1031" s="47"/>
      <c r="S1031" s="62"/>
      <c r="T1031" s="62"/>
      <c r="U1031" s="46"/>
      <c r="V1031" s="61"/>
      <c r="W1031" s="62"/>
      <c r="X1031" s="47"/>
      <c r="Y1031" s="46"/>
      <c r="Z1031" s="46"/>
      <c r="AA1031" s="46"/>
      <c r="AB1031" s="49"/>
      <c r="AC1031" s="42"/>
      <c r="AD1031" s="42"/>
      <c r="AE1031" s="50"/>
      <c r="AF1031" s="42"/>
      <c r="AG1031" s="42"/>
      <c r="AH1031" s="42"/>
      <c r="AI1031" s="42" t="str">
        <f t="array" ref="AI1031">XLOOKUP($E1031,Sheet11!$D:$D,Sheet11!$X:$X,"",0)</f>
        <v/>
      </c>
      <c r="AJ1031" s="42" t="str">
        <f t="array" ref="AJ1031">XLOOKUP($E1031,Sheet11!$D:$D,Sheet11!$Y:$Y,"",0)</f>
        <v/>
      </c>
    </row>
    <row r="1032">
      <c r="A1032" s="23"/>
      <c r="B1032" s="42"/>
      <c r="C1032" s="42"/>
      <c r="D1032" s="42"/>
      <c r="E1032" s="42"/>
      <c r="F1032" s="42"/>
      <c r="G1032" s="42"/>
      <c r="H1032" s="42"/>
      <c r="I1032" s="42"/>
      <c r="J1032" s="42"/>
      <c r="K1032" s="42"/>
      <c r="L1032" s="46"/>
      <c r="M1032" s="46"/>
      <c r="N1032" s="46"/>
      <c r="O1032" s="61"/>
      <c r="P1032" s="62"/>
      <c r="Q1032" s="46"/>
      <c r="R1032" s="47"/>
      <c r="S1032" s="62"/>
      <c r="T1032" s="62"/>
      <c r="U1032" s="46"/>
      <c r="V1032" s="61"/>
      <c r="W1032" s="62"/>
      <c r="X1032" s="47"/>
      <c r="Y1032" s="46"/>
      <c r="Z1032" s="46"/>
      <c r="AA1032" s="46"/>
      <c r="AB1032" s="49"/>
      <c r="AC1032" s="42"/>
      <c r="AD1032" s="42"/>
      <c r="AE1032" s="50"/>
      <c r="AF1032" s="42"/>
      <c r="AG1032" s="42"/>
      <c r="AH1032" s="42"/>
      <c r="AI1032" s="42" t="str">
        <f t="array" ref="AI1032">XLOOKUP($E1032,Sheet11!$D:$D,Sheet11!$X:$X,"",0)</f>
        <v/>
      </c>
      <c r="AJ1032" s="42" t="str">
        <f t="array" ref="AJ1032">XLOOKUP($E1032,Sheet11!$D:$D,Sheet11!$Y:$Y,"",0)</f>
        <v/>
      </c>
    </row>
    <row r="1033">
      <c r="A1033" s="23"/>
      <c r="B1033" s="42"/>
      <c r="C1033" s="42"/>
      <c r="D1033" s="42"/>
      <c r="E1033" s="42"/>
      <c r="F1033" s="42"/>
      <c r="G1033" s="42"/>
      <c r="H1033" s="42"/>
      <c r="I1033" s="42"/>
      <c r="J1033" s="42"/>
      <c r="K1033" s="42"/>
      <c r="L1033" s="46"/>
      <c r="M1033" s="46"/>
      <c r="N1033" s="46"/>
      <c r="O1033" s="61"/>
      <c r="P1033" s="62"/>
      <c r="Q1033" s="46"/>
      <c r="R1033" s="47"/>
      <c r="S1033" s="62"/>
      <c r="T1033" s="62"/>
      <c r="U1033" s="46"/>
      <c r="V1033" s="61"/>
      <c r="W1033" s="62"/>
      <c r="X1033" s="47"/>
      <c r="Y1033" s="46"/>
      <c r="Z1033" s="46"/>
      <c r="AA1033" s="46"/>
      <c r="AB1033" s="49"/>
      <c r="AC1033" s="42"/>
      <c r="AD1033" s="42"/>
      <c r="AE1033" s="50"/>
      <c r="AF1033" s="42"/>
      <c r="AG1033" s="42"/>
      <c r="AH1033" s="42"/>
      <c r="AI1033" s="42" t="str">
        <f t="array" ref="AI1033">XLOOKUP($E1033,Sheet11!$D:$D,Sheet11!$X:$X,"",0)</f>
        <v/>
      </c>
      <c r="AJ1033" s="42" t="str">
        <f t="array" ref="AJ1033">XLOOKUP($E1033,Sheet11!$D:$D,Sheet11!$Y:$Y,"",0)</f>
        <v/>
      </c>
    </row>
    <row r="1034">
      <c r="A1034" s="23"/>
      <c r="B1034" s="42"/>
      <c r="C1034" s="42"/>
      <c r="D1034" s="42"/>
      <c r="E1034" s="42"/>
      <c r="F1034" s="42"/>
      <c r="G1034" s="42"/>
      <c r="H1034" s="42"/>
      <c r="I1034" s="42"/>
      <c r="J1034" s="42"/>
      <c r="K1034" s="42"/>
      <c r="L1034" s="46"/>
      <c r="M1034" s="46"/>
      <c r="N1034" s="46"/>
      <c r="O1034" s="61"/>
      <c r="P1034" s="62"/>
      <c r="Q1034" s="46"/>
      <c r="R1034" s="47"/>
      <c r="S1034" s="62"/>
      <c r="T1034" s="62"/>
      <c r="U1034" s="46"/>
      <c r="V1034" s="61"/>
      <c r="W1034" s="62"/>
      <c r="X1034" s="47"/>
      <c r="Y1034" s="46"/>
      <c r="Z1034" s="46"/>
      <c r="AA1034" s="46"/>
      <c r="AB1034" s="49"/>
      <c r="AC1034" s="42"/>
      <c r="AD1034" s="42"/>
      <c r="AE1034" s="50"/>
      <c r="AF1034" s="42"/>
      <c r="AG1034" s="42"/>
      <c r="AH1034" s="42"/>
      <c r="AI1034" s="42" t="str">
        <f t="array" ref="AI1034">XLOOKUP($E1034,Sheet11!$D:$D,Sheet11!$X:$X,"",0)</f>
        <v/>
      </c>
      <c r="AJ1034" s="42" t="str">
        <f t="array" ref="AJ1034">XLOOKUP($E1034,Sheet11!$D:$D,Sheet11!$Y:$Y,"",0)</f>
        <v/>
      </c>
    </row>
    <row r="1035">
      <c r="A1035" s="23"/>
      <c r="B1035" s="42"/>
      <c r="C1035" s="42"/>
      <c r="D1035" s="42"/>
      <c r="E1035" s="42"/>
      <c r="F1035" s="42"/>
      <c r="G1035" s="42"/>
      <c r="H1035" s="42"/>
      <c r="I1035" s="42"/>
      <c r="J1035" s="42"/>
      <c r="K1035" s="42"/>
      <c r="L1035" s="46"/>
      <c r="M1035" s="46"/>
      <c r="N1035" s="46"/>
      <c r="O1035" s="61"/>
      <c r="P1035" s="62"/>
      <c r="Q1035" s="46"/>
      <c r="R1035" s="47"/>
      <c r="S1035" s="62"/>
      <c r="T1035" s="62"/>
      <c r="U1035" s="46"/>
      <c r="V1035" s="61"/>
      <c r="W1035" s="62"/>
      <c r="X1035" s="47"/>
      <c r="Y1035" s="46"/>
      <c r="Z1035" s="46"/>
      <c r="AA1035" s="46"/>
      <c r="AB1035" s="49"/>
      <c r="AC1035" s="42"/>
      <c r="AD1035" s="42"/>
      <c r="AE1035" s="50"/>
      <c r="AF1035" s="42"/>
      <c r="AG1035" s="42"/>
      <c r="AH1035" s="42"/>
      <c r="AI1035" s="42" t="str">
        <f t="array" ref="AI1035">XLOOKUP($E1035,Sheet11!$D:$D,Sheet11!$X:$X,"",0)</f>
        <v/>
      </c>
      <c r="AJ1035" s="42" t="str">
        <f t="array" ref="AJ1035">XLOOKUP($E1035,Sheet11!$D:$D,Sheet11!$Y:$Y,"",0)</f>
        <v/>
      </c>
    </row>
    <row r="1036">
      <c r="A1036" s="23"/>
      <c r="B1036" s="42"/>
      <c r="C1036" s="42"/>
      <c r="D1036" s="42"/>
      <c r="E1036" s="42"/>
      <c r="F1036" s="42"/>
      <c r="G1036" s="42"/>
      <c r="H1036" s="42"/>
      <c r="I1036" s="42"/>
      <c r="J1036" s="42"/>
      <c r="K1036" s="42"/>
      <c r="L1036" s="46"/>
      <c r="M1036" s="46"/>
      <c r="N1036" s="46"/>
      <c r="O1036" s="61"/>
      <c r="P1036" s="62"/>
      <c r="Q1036" s="46"/>
      <c r="R1036" s="47"/>
      <c r="S1036" s="62"/>
      <c r="T1036" s="62"/>
      <c r="U1036" s="46"/>
      <c r="V1036" s="61"/>
      <c r="W1036" s="62"/>
      <c r="X1036" s="47"/>
      <c r="Y1036" s="46"/>
      <c r="Z1036" s="46"/>
      <c r="AA1036" s="46"/>
      <c r="AB1036" s="49"/>
      <c r="AC1036" s="42"/>
      <c r="AD1036" s="42"/>
      <c r="AE1036" s="50"/>
      <c r="AF1036" s="42"/>
      <c r="AG1036" s="42"/>
      <c r="AH1036" s="42"/>
      <c r="AI1036" s="42" t="str">
        <f t="array" ref="AI1036">XLOOKUP($E1036,Sheet11!$D:$D,Sheet11!$X:$X,"",0)</f>
        <v/>
      </c>
      <c r="AJ1036" s="42" t="str">
        <f t="array" ref="AJ1036">XLOOKUP($E1036,Sheet11!$D:$D,Sheet11!$Y:$Y,"",0)</f>
        <v/>
      </c>
    </row>
    <row r="1037">
      <c r="A1037" s="23"/>
      <c r="B1037" s="42"/>
      <c r="C1037" s="42"/>
      <c r="D1037" s="42"/>
      <c r="E1037" s="42"/>
      <c r="F1037" s="42"/>
      <c r="G1037" s="42"/>
      <c r="H1037" s="42"/>
      <c r="I1037" s="42"/>
      <c r="J1037" s="42"/>
      <c r="K1037" s="42"/>
      <c r="L1037" s="46"/>
      <c r="M1037" s="46"/>
      <c r="N1037" s="46"/>
      <c r="O1037" s="61"/>
      <c r="P1037" s="62"/>
      <c r="Q1037" s="46"/>
      <c r="R1037" s="47"/>
      <c r="S1037" s="62"/>
      <c r="T1037" s="62"/>
      <c r="U1037" s="46"/>
      <c r="V1037" s="61"/>
      <c r="W1037" s="62"/>
      <c r="X1037" s="47"/>
      <c r="Y1037" s="46"/>
      <c r="Z1037" s="46"/>
      <c r="AA1037" s="46"/>
      <c r="AB1037" s="49"/>
      <c r="AC1037" s="42"/>
      <c r="AD1037" s="42"/>
      <c r="AE1037" s="50"/>
      <c r="AF1037" s="42"/>
      <c r="AG1037" s="42"/>
      <c r="AH1037" s="42"/>
      <c r="AI1037" s="42" t="str">
        <f t="array" ref="AI1037">XLOOKUP($E1037,Sheet11!$D:$D,Sheet11!$X:$X,"",0)</f>
        <v/>
      </c>
      <c r="AJ1037" s="42" t="str">
        <f t="array" ref="AJ1037">XLOOKUP($E1037,Sheet11!$D:$D,Sheet11!$Y:$Y,"",0)</f>
        <v/>
      </c>
    </row>
    <row r="1038">
      <c r="A1038" s="23"/>
      <c r="B1038" s="42"/>
      <c r="C1038" s="42"/>
      <c r="D1038" s="42"/>
      <c r="E1038" s="42"/>
      <c r="F1038" s="42"/>
      <c r="G1038" s="42"/>
      <c r="H1038" s="42"/>
      <c r="I1038" s="42"/>
      <c r="J1038" s="42"/>
      <c r="K1038" s="42"/>
      <c r="L1038" s="46"/>
      <c r="M1038" s="46"/>
      <c r="N1038" s="46"/>
      <c r="O1038" s="61"/>
      <c r="P1038" s="62"/>
      <c r="Q1038" s="46"/>
      <c r="R1038" s="47"/>
      <c r="S1038" s="62"/>
      <c r="T1038" s="62"/>
      <c r="U1038" s="46"/>
      <c r="V1038" s="61"/>
      <c r="W1038" s="62"/>
      <c r="X1038" s="47"/>
      <c r="Y1038" s="46"/>
      <c r="Z1038" s="46"/>
      <c r="AA1038" s="46"/>
      <c r="AB1038" s="49"/>
      <c r="AC1038" s="42"/>
      <c r="AD1038" s="42"/>
      <c r="AE1038" s="50"/>
      <c r="AF1038" s="42"/>
      <c r="AG1038" s="42"/>
      <c r="AH1038" s="42"/>
      <c r="AI1038" s="42" t="str">
        <f t="array" ref="AI1038">XLOOKUP($E1038,Sheet11!$D:$D,Sheet11!$X:$X,"",0)</f>
        <v/>
      </c>
      <c r="AJ1038" s="42" t="str">
        <f t="array" ref="AJ1038">XLOOKUP($E1038,Sheet11!$D:$D,Sheet11!$Y:$Y,"",0)</f>
        <v/>
      </c>
    </row>
    <row r="1039">
      <c r="A1039" s="23"/>
      <c r="B1039" s="42"/>
      <c r="C1039" s="42"/>
      <c r="D1039" s="42"/>
      <c r="E1039" s="42"/>
      <c r="F1039" s="42"/>
      <c r="G1039" s="42"/>
      <c r="H1039" s="42"/>
      <c r="I1039" s="42"/>
      <c r="J1039" s="42"/>
      <c r="K1039" s="42"/>
      <c r="L1039" s="46"/>
      <c r="M1039" s="46"/>
      <c r="N1039" s="46"/>
      <c r="O1039" s="61"/>
      <c r="P1039" s="62"/>
      <c r="Q1039" s="46"/>
      <c r="R1039" s="47"/>
      <c r="S1039" s="62"/>
      <c r="T1039" s="62"/>
      <c r="U1039" s="46"/>
      <c r="V1039" s="61"/>
      <c r="W1039" s="62"/>
      <c r="X1039" s="47"/>
      <c r="Y1039" s="46"/>
      <c r="Z1039" s="46"/>
      <c r="AA1039" s="46"/>
      <c r="AB1039" s="49"/>
      <c r="AC1039" s="42"/>
      <c r="AD1039" s="42"/>
      <c r="AE1039" s="50"/>
      <c r="AF1039" s="42"/>
      <c r="AG1039" s="42"/>
      <c r="AH1039" s="42"/>
      <c r="AI1039" s="42" t="str">
        <f t="array" ref="AI1039">XLOOKUP($E1039,Sheet11!$D:$D,Sheet11!$X:$X,"",0)</f>
        <v/>
      </c>
      <c r="AJ1039" s="42" t="str">
        <f t="array" ref="AJ1039">XLOOKUP($E1039,Sheet11!$D:$D,Sheet11!$Y:$Y,"",0)</f>
        <v/>
      </c>
    </row>
    <row r="1040">
      <c r="A1040" s="23"/>
      <c r="B1040" s="42"/>
      <c r="C1040" s="42"/>
      <c r="D1040" s="42"/>
      <c r="E1040" s="42"/>
      <c r="F1040" s="42"/>
      <c r="G1040" s="42"/>
      <c r="H1040" s="42"/>
      <c r="I1040" s="42"/>
      <c r="J1040" s="42"/>
      <c r="K1040" s="42"/>
      <c r="L1040" s="46"/>
      <c r="M1040" s="46"/>
      <c r="N1040" s="46"/>
      <c r="O1040" s="61"/>
      <c r="P1040" s="62"/>
      <c r="Q1040" s="46"/>
      <c r="R1040" s="47"/>
      <c r="S1040" s="62"/>
      <c r="T1040" s="62"/>
      <c r="U1040" s="46"/>
      <c r="V1040" s="61"/>
      <c r="W1040" s="62"/>
      <c r="X1040" s="47"/>
      <c r="Y1040" s="46"/>
      <c r="Z1040" s="46"/>
      <c r="AA1040" s="46"/>
      <c r="AB1040" s="49"/>
      <c r="AC1040" s="42"/>
      <c r="AD1040" s="42"/>
      <c r="AE1040" s="50"/>
      <c r="AF1040" s="42"/>
      <c r="AG1040" s="42"/>
      <c r="AH1040" s="42"/>
      <c r="AI1040" s="42" t="str">
        <f t="array" ref="AI1040">XLOOKUP($E1040,Sheet11!$D:$D,Sheet11!$X:$X,"",0)</f>
        <v/>
      </c>
      <c r="AJ1040" s="42" t="str">
        <f t="array" ref="AJ1040">XLOOKUP($E1040,Sheet11!$D:$D,Sheet11!$Y:$Y,"",0)</f>
        <v/>
      </c>
    </row>
    <row r="1041">
      <c r="A1041" s="23"/>
      <c r="B1041" s="42"/>
      <c r="C1041" s="42"/>
      <c r="D1041" s="42"/>
      <c r="E1041" s="42"/>
      <c r="F1041" s="42"/>
      <c r="G1041" s="42"/>
      <c r="H1041" s="42"/>
      <c r="I1041" s="42"/>
      <c r="J1041" s="42"/>
      <c r="K1041" s="42"/>
      <c r="L1041" s="46"/>
      <c r="M1041" s="46"/>
      <c r="N1041" s="46"/>
      <c r="O1041" s="61"/>
      <c r="P1041" s="62"/>
      <c r="Q1041" s="46"/>
      <c r="R1041" s="47"/>
      <c r="S1041" s="62"/>
      <c r="T1041" s="62"/>
      <c r="U1041" s="46"/>
      <c r="V1041" s="61"/>
      <c r="W1041" s="62"/>
      <c r="X1041" s="47"/>
      <c r="Y1041" s="46"/>
      <c r="Z1041" s="46"/>
      <c r="AA1041" s="46"/>
      <c r="AB1041" s="49"/>
      <c r="AC1041" s="42"/>
      <c r="AD1041" s="42"/>
      <c r="AE1041" s="50"/>
      <c r="AF1041" s="42"/>
      <c r="AG1041" s="42"/>
      <c r="AH1041" s="42"/>
      <c r="AI1041" s="42" t="str">
        <f t="array" ref="AI1041">XLOOKUP($E1041,Sheet11!$D:$D,Sheet11!$X:$X,"",0)</f>
        <v/>
      </c>
      <c r="AJ1041" s="42" t="str">
        <f t="array" ref="AJ1041">XLOOKUP($E1041,Sheet11!$D:$D,Sheet11!$Y:$Y,"",0)</f>
        <v/>
      </c>
    </row>
    <row r="1042">
      <c r="A1042" s="23"/>
      <c r="B1042" s="42"/>
      <c r="C1042" s="42"/>
      <c r="D1042" s="42"/>
      <c r="E1042" s="42"/>
      <c r="F1042" s="42"/>
      <c r="G1042" s="42"/>
      <c r="H1042" s="42"/>
      <c r="I1042" s="42"/>
      <c r="J1042" s="42"/>
      <c r="K1042" s="42"/>
      <c r="L1042" s="46"/>
      <c r="M1042" s="46"/>
      <c r="N1042" s="46"/>
      <c r="O1042" s="61"/>
      <c r="P1042" s="62"/>
      <c r="Q1042" s="46"/>
      <c r="R1042" s="47"/>
      <c r="S1042" s="62"/>
      <c r="T1042" s="62"/>
      <c r="U1042" s="46"/>
      <c r="V1042" s="61"/>
      <c r="W1042" s="62"/>
      <c r="X1042" s="47"/>
      <c r="Y1042" s="46"/>
      <c r="Z1042" s="46"/>
      <c r="AA1042" s="46"/>
      <c r="AB1042" s="49"/>
      <c r="AC1042" s="42"/>
      <c r="AD1042" s="42"/>
      <c r="AE1042" s="50"/>
      <c r="AF1042" s="42"/>
      <c r="AG1042" s="42"/>
      <c r="AH1042" s="42"/>
      <c r="AI1042" s="42" t="str">
        <f t="array" ref="AI1042">XLOOKUP($E1042,Sheet11!$D:$D,Sheet11!$X:$X,"",0)</f>
        <v/>
      </c>
      <c r="AJ1042" s="42" t="str">
        <f t="array" ref="AJ1042">XLOOKUP($E1042,Sheet11!$D:$D,Sheet11!$Y:$Y,"",0)</f>
        <v/>
      </c>
    </row>
    <row r="1043">
      <c r="A1043" s="23"/>
      <c r="B1043" s="42"/>
      <c r="C1043" s="42"/>
      <c r="D1043" s="42"/>
      <c r="E1043" s="42"/>
      <c r="F1043" s="42"/>
      <c r="G1043" s="42"/>
      <c r="H1043" s="42"/>
      <c r="I1043" s="42"/>
      <c r="J1043" s="42"/>
      <c r="K1043" s="42"/>
      <c r="L1043" s="46"/>
      <c r="M1043" s="46"/>
      <c r="N1043" s="46"/>
      <c r="O1043" s="61"/>
      <c r="P1043" s="62"/>
      <c r="Q1043" s="46"/>
      <c r="R1043" s="47"/>
      <c r="S1043" s="62"/>
      <c r="T1043" s="62"/>
      <c r="U1043" s="46"/>
      <c r="V1043" s="61"/>
      <c r="W1043" s="62"/>
      <c r="X1043" s="47"/>
      <c r="Y1043" s="46"/>
      <c r="Z1043" s="46"/>
      <c r="AA1043" s="46"/>
      <c r="AB1043" s="49"/>
      <c r="AC1043" s="42"/>
      <c r="AD1043" s="42"/>
      <c r="AE1043" s="50"/>
      <c r="AF1043" s="42"/>
      <c r="AG1043" s="42"/>
      <c r="AH1043" s="42"/>
      <c r="AI1043" s="42" t="str">
        <f t="array" ref="AI1043">XLOOKUP($E1043,Sheet11!$D:$D,Sheet11!$X:$X,"",0)</f>
        <v/>
      </c>
      <c r="AJ1043" s="42" t="str">
        <f t="array" ref="AJ1043">XLOOKUP($E1043,Sheet11!$D:$D,Sheet11!$Y:$Y,"",0)</f>
        <v/>
      </c>
    </row>
    <row r="1044">
      <c r="A1044" s="23"/>
      <c r="B1044" s="42"/>
      <c r="C1044" s="42"/>
      <c r="D1044" s="42"/>
      <c r="E1044" s="42"/>
      <c r="F1044" s="42"/>
      <c r="G1044" s="42"/>
      <c r="H1044" s="42"/>
      <c r="I1044" s="42"/>
      <c r="J1044" s="42"/>
      <c r="K1044" s="42"/>
      <c r="L1044" s="46"/>
      <c r="M1044" s="46"/>
      <c r="N1044" s="46"/>
      <c r="O1044" s="61"/>
      <c r="P1044" s="62"/>
      <c r="Q1044" s="46"/>
      <c r="R1044" s="47"/>
      <c r="S1044" s="62"/>
      <c r="T1044" s="62"/>
      <c r="U1044" s="46"/>
      <c r="V1044" s="61"/>
      <c r="W1044" s="62"/>
      <c r="X1044" s="47"/>
      <c r="Y1044" s="46"/>
      <c r="Z1044" s="46"/>
      <c r="AA1044" s="46"/>
      <c r="AB1044" s="49"/>
      <c r="AC1044" s="42"/>
      <c r="AD1044" s="42"/>
      <c r="AE1044" s="50"/>
      <c r="AF1044" s="42"/>
      <c r="AG1044" s="42"/>
      <c r="AH1044" s="42"/>
      <c r="AI1044" s="42" t="str">
        <f t="array" ref="AI1044">XLOOKUP($E1044,Sheet11!$D:$D,Sheet11!$X:$X,"",0)</f>
        <v/>
      </c>
      <c r="AJ1044" s="42" t="str">
        <f t="array" ref="AJ1044">XLOOKUP($E1044,Sheet11!$D:$D,Sheet11!$Y:$Y,"",0)</f>
        <v/>
      </c>
    </row>
    <row r="1045">
      <c r="A1045" s="23"/>
      <c r="B1045" s="42"/>
      <c r="C1045" s="42"/>
      <c r="D1045" s="42"/>
      <c r="E1045" s="42"/>
      <c r="F1045" s="42"/>
      <c r="G1045" s="42"/>
      <c r="H1045" s="42"/>
      <c r="I1045" s="42"/>
      <c r="J1045" s="42"/>
      <c r="K1045" s="42"/>
      <c r="L1045" s="46"/>
      <c r="M1045" s="46"/>
      <c r="N1045" s="46"/>
      <c r="O1045" s="61"/>
      <c r="P1045" s="62"/>
      <c r="Q1045" s="46"/>
      <c r="R1045" s="47"/>
      <c r="S1045" s="62"/>
      <c r="T1045" s="62"/>
      <c r="U1045" s="46"/>
      <c r="V1045" s="61"/>
      <c r="W1045" s="62"/>
      <c r="X1045" s="47"/>
      <c r="Y1045" s="46"/>
      <c r="Z1045" s="46"/>
      <c r="AA1045" s="46"/>
      <c r="AB1045" s="49"/>
      <c r="AC1045" s="42"/>
      <c r="AD1045" s="42"/>
      <c r="AE1045" s="50"/>
      <c r="AF1045" s="42"/>
      <c r="AG1045" s="42"/>
      <c r="AH1045" s="42"/>
      <c r="AI1045" s="42" t="str">
        <f t="array" ref="AI1045">XLOOKUP($E1045,Sheet11!$D:$D,Sheet11!$X:$X,"",0)</f>
        <v/>
      </c>
      <c r="AJ1045" s="42" t="str">
        <f t="array" ref="AJ1045">XLOOKUP($E1045,Sheet11!$D:$D,Sheet11!$Y:$Y,"",0)</f>
        <v/>
      </c>
    </row>
    <row r="1046">
      <c r="A1046" s="23"/>
      <c r="B1046" s="42"/>
      <c r="C1046" s="42"/>
      <c r="D1046" s="42"/>
      <c r="E1046" s="42"/>
      <c r="F1046" s="42"/>
      <c r="G1046" s="42"/>
      <c r="H1046" s="42"/>
      <c r="I1046" s="42"/>
      <c r="J1046" s="42"/>
      <c r="K1046" s="42"/>
      <c r="L1046" s="46"/>
      <c r="M1046" s="46"/>
      <c r="N1046" s="46"/>
      <c r="O1046" s="61"/>
      <c r="P1046" s="62"/>
      <c r="Q1046" s="46"/>
      <c r="R1046" s="47"/>
      <c r="S1046" s="62"/>
      <c r="T1046" s="62"/>
      <c r="U1046" s="46"/>
      <c r="V1046" s="61"/>
      <c r="W1046" s="62"/>
      <c r="X1046" s="47"/>
      <c r="Y1046" s="46"/>
      <c r="Z1046" s="46"/>
      <c r="AA1046" s="46"/>
      <c r="AB1046" s="49"/>
      <c r="AC1046" s="42"/>
      <c r="AD1046" s="42"/>
      <c r="AE1046" s="50"/>
      <c r="AF1046" s="42"/>
      <c r="AG1046" s="42"/>
      <c r="AH1046" s="42"/>
      <c r="AI1046" s="42" t="str">
        <f t="array" ref="AI1046">XLOOKUP($E1046,Sheet11!$D:$D,Sheet11!$X:$X,"",0)</f>
        <v/>
      </c>
      <c r="AJ1046" s="42" t="str">
        <f t="array" ref="AJ1046">XLOOKUP($E1046,Sheet11!$D:$D,Sheet11!$Y:$Y,"",0)</f>
        <v/>
      </c>
    </row>
    <row r="1047">
      <c r="A1047" s="23"/>
      <c r="B1047" s="42"/>
      <c r="C1047" s="42"/>
      <c r="D1047" s="42"/>
      <c r="E1047" s="42"/>
      <c r="F1047" s="42"/>
      <c r="G1047" s="42"/>
      <c r="H1047" s="42"/>
      <c r="I1047" s="42"/>
      <c r="J1047" s="42"/>
      <c r="K1047" s="42"/>
      <c r="L1047" s="46"/>
      <c r="M1047" s="46"/>
      <c r="N1047" s="46"/>
      <c r="O1047" s="61"/>
      <c r="P1047" s="62"/>
      <c r="Q1047" s="46"/>
      <c r="R1047" s="47"/>
      <c r="S1047" s="62"/>
      <c r="T1047" s="62"/>
      <c r="U1047" s="46"/>
      <c r="V1047" s="61"/>
      <c r="W1047" s="62"/>
      <c r="X1047" s="47"/>
      <c r="Y1047" s="46"/>
      <c r="Z1047" s="46"/>
      <c r="AA1047" s="46"/>
      <c r="AB1047" s="49"/>
      <c r="AC1047" s="42"/>
      <c r="AD1047" s="42"/>
      <c r="AE1047" s="50"/>
      <c r="AF1047" s="42"/>
      <c r="AG1047" s="42"/>
      <c r="AH1047" s="42"/>
      <c r="AI1047" s="42" t="str">
        <f t="array" ref="AI1047">XLOOKUP($E1047,Sheet11!$D:$D,Sheet11!$X:$X,"",0)</f>
        <v/>
      </c>
      <c r="AJ1047" s="42" t="str">
        <f t="array" ref="AJ1047">XLOOKUP($E1047,Sheet11!$D:$D,Sheet11!$Y:$Y,"",0)</f>
        <v/>
      </c>
    </row>
    <row r="1048">
      <c r="A1048" s="23"/>
      <c r="B1048" s="42"/>
      <c r="C1048" s="42"/>
      <c r="D1048" s="42"/>
      <c r="E1048" s="42"/>
      <c r="F1048" s="42"/>
      <c r="G1048" s="42"/>
      <c r="H1048" s="42"/>
      <c r="I1048" s="42"/>
      <c r="J1048" s="42"/>
      <c r="K1048" s="42"/>
      <c r="L1048" s="46"/>
      <c r="M1048" s="46"/>
      <c r="N1048" s="46"/>
      <c r="O1048" s="61"/>
      <c r="P1048" s="62"/>
      <c r="Q1048" s="46"/>
      <c r="R1048" s="47"/>
      <c r="S1048" s="62"/>
      <c r="T1048" s="62"/>
      <c r="U1048" s="46"/>
      <c r="V1048" s="61"/>
      <c r="W1048" s="62"/>
      <c r="X1048" s="47"/>
      <c r="Y1048" s="46"/>
      <c r="Z1048" s="46"/>
      <c r="AA1048" s="46"/>
      <c r="AB1048" s="49"/>
      <c r="AC1048" s="42"/>
      <c r="AD1048" s="42"/>
      <c r="AE1048" s="50"/>
      <c r="AF1048" s="42"/>
      <c r="AG1048" s="42"/>
      <c r="AH1048" s="42"/>
      <c r="AI1048" s="42" t="str">
        <f t="array" ref="AI1048">XLOOKUP($E1048,Sheet11!$D:$D,Sheet11!$X:$X,"",0)</f>
        <v/>
      </c>
      <c r="AJ1048" s="42" t="str">
        <f t="array" ref="AJ1048">XLOOKUP($E1048,Sheet11!$D:$D,Sheet11!$Y:$Y,"",0)</f>
        <v/>
      </c>
    </row>
    <row r="1049">
      <c r="A1049" s="23"/>
      <c r="B1049" s="42"/>
      <c r="C1049" s="42"/>
      <c r="D1049" s="42"/>
      <c r="E1049" s="42"/>
      <c r="F1049" s="42"/>
      <c r="G1049" s="42"/>
      <c r="H1049" s="42"/>
      <c r="I1049" s="42"/>
      <c r="J1049" s="42"/>
      <c r="K1049" s="42"/>
      <c r="L1049" s="46"/>
      <c r="M1049" s="46"/>
      <c r="N1049" s="46"/>
      <c r="O1049" s="61"/>
      <c r="P1049" s="62"/>
      <c r="Q1049" s="46"/>
      <c r="R1049" s="47"/>
      <c r="S1049" s="62"/>
      <c r="T1049" s="62"/>
      <c r="U1049" s="46"/>
      <c r="V1049" s="61"/>
      <c r="W1049" s="62"/>
      <c r="X1049" s="47"/>
      <c r="Y1049" s="46"/>
      <c r="Z1049" s="46"/>
      <c r="AA1049" s="46"/>
      <c r="AB1049" s="49"/>
      <c r="AC1049" s="42"/>
      <c r="AD1049" s="42"/>
      <c r="AE1049" s="50"/>
      <c r="AF1049" s="42"/>
      <c r="AG1049" s="42"/>
      <c r="AH1049" s="42"/>
      <c r="AI1049" s="42" t="str">
        <f t="array" ref="AI1049">XLOOKUP($E1049,Sheet11!$D:$D,Sheet11!$X:$X,"",0)</f>
        <v/>
      </c>
      <c r="AJ1049" s="42" t="str">
        <f t="array" ref="AJ1049">XLOOKUP($E1049,Sheet11!$D:$D,Sheet11!$Y:$Y,"",0)</f>
        <v/>
      </c>
    </row>
    <row r="1050">
      <c r="A1050" s="23"/>
      <c r="B1050" s="42"/>
      <c r="C1050" s="42"/>
      <c r="D1050" s="42"/>
      <c r="E1050" s="42"/>
      <c r="F1050" s="42"/>
      <c r="G1050" s="42"/>
      <c r="H1050" s="42"/>
      <c r="I1050" s="42"/>
      <c r="J1050" s="42"/>
      <c r="K1050" s="42"/>
      <c r="L1050" s="46"/>
      <c r="M1050" s="46"/>
      <c r="N1050" s="46"/>
      <c r="O1050" s="61"/>
      <c r="P1050" s="62"/>
      <c r="Q1050" s="46"/>
      <c r="R1050" s="47"/>
      <c r="S1050" s="62"/>
      <c r="T1050" s="62"/>
      <c r="U1050" s="46"/>
      <c r="V1050" s="61"/>
      <c r="W1050" s="62"/>
      <c r="X1050" s="47"/>
      <c r="Y1050" s="46"/>
      <c r="Z1050" s="46"/>
      <c r="AA1050" s="46"/>
      <c r="AB1050" s="49"/>
      <c r="AC1050" s="42"/>
      <c r="AD1050" s="42"/>
      <c r="AE1050" s="50"/>
      <c r="AF1050" s="42"/>
      <c r="AG1050" s="42"/>
      <c r="AH1050" s="42"/>
      <c r="AI1050" s="42" t="str">
        <f t="array" ref="AI1050">XLOOKUP($E1050,Sheet11!$D:$D,Sheet11!$X:$X,"",0)</f>
        <v/>
      </c>
      <c r="AJ1050" s="42" t="str">
        <f t="array" ref="AJ1050">XLOOKUP($E1050,Sheet11!$D:$D,Sheet11!$Y:$Y,"",0)</f>
        <v/>
      </c>
    </row>
    <row r="1051">
      <c r="A1051" s="23"/>
      <c r="B1051" s="42"/>
      <c r="C1051" s="42"/>
      <c r="D1051" s="42"/>
      <c r="E1051" s="42"/>
      <c r="F1051" s="42"/>
      <c r="G1051" s="42"/>
      <c r="H1051" s="42"/>
      <c r="I1051" s="42"/>
      <c r="J1051" s="42"/>
      <c r="K1051" s="42"/>
      <c r="L1051" s="46"/>
      <c r="M1051" s="46"/>
      <c r="N1051" s="46"/>
      <c r="O1051" s="61"/>
      <c r="P1051" s="62"/>
      <c r="Q1051" s="46"/>
      <c r="R1051" s="47"/>
      <c r="S1051" s="62"/>
      <c r="T1051" s="62"/>
      <c r="U1051" s="46"/>
      <c r="V1051" s="61"/>
      <c r="W1051" s="62"/>
      <c r="X1051" s="47"/>
      <c r="Y1051" s="46"/>
      <c r="Z1051" s="46"/>
      <c r="AA1051" s="46"/>
      <c r="AB1051" s="49"/>
      <c r="AC1051" s="42"/>
      <c r="AD1051" s="42"/>
      <c r="AE1051" s="50"/>
      <c r="AF1051" s="42"/>
      <c r="AG1051" s="42"/>
      <c r="AH1051" s="42"/>
      <c r="AI1051" s="42" t="str">
        <f t="array" ref="AI1051">XLOOKUP($E1051,Sheet11!$D:$D,Sheet11!$X:$X,"",0)</f>
        <v/>
      </c>
      <c r="AJ1051" s="42" t="str">
        <f t="array" ref="AJ1051">XLOOKUP($E1051,Sheet11!$D:$D,Sheet11!$Y:$Y,"",0)</f>
        <v/>
      </c>
    </row>
    <row r="1052">
      <c r="A1052" s="23"/>
      <c r="B1052" s="42"/>
      <c r="C1052" s="42"/>
      <c r="D1052" s="42"/>
      <c r="E1052" s="42"/>
      <c r="F1052" s="42"/>
      <c r="G1052" s="42"/>
      <c r="H1052" s="42"/>
      <c r="I1052" s="42"/>
      <c r="J1052" s="42"/>
      <c r="K1052" s="42"/>
      <c r="L1052" s="46"/>
      <c r="M1052" s="46"/>
      <c r="N1052" s="46"/>
      <c r="O1052" s="61"/>
      <c r="P1052" s="62"/>
      <c r="Q1052" s="46"/>
      <c r="R1052" s="47"/>
      <c r="S1052" s="62"/>
      <c r="T1052" s="62"/>
      <c r="U1052" s="46"/>
      <c r="V1052" s="61"/>
      <c r="W1052" s="62"/>
      <c r="X1052" s="47"/>
      <c r="Y1052" s="46"/>
      <c r="Z1052" s="46"/>
      <c r="AA1052" s="46"/>
      <c r="AB1052" s="49"/>
      <c r="AC1052" s="42"/>
      <c r="AD1052" s="42"/>
      <c r="AE1052" s="50"/>
      <c r="AF1052" s="42"/>
      <c r="AG1052" s="42"/>
      <c r="AH1052" s="42"/>
      <c r="AI1052" s="42" t="str">
        <f t="array" ref="AI1052">XLOOKUP($E1052,Sheet11!$D:$D,Sheet11!$X:$X,"",0)</f>
        <v/>
      </c>
      <c r="AJ1052" s="42" t="str">
        <f t="array" ref="AJ1052">XLOOKUP($E1052,Sheet11!$D:$D,Sheet11!$Y:$Y,"",0)</f>
        <v/>
      </c>
    </row>
    <row r="1053">
      <c r="A1053" s="23"/>
      <c r="B1053" s="42"/>
      <c r="C1053" s="42"/>
      <c r="D1053" s="42"/>
      <c r="E1053" s="42"/>
      <c r="F1053" s="42"/>
      <c r="G1053" s="42"/>
      <c r="H1053" s="42"/>
      <c r="I1053" s="42"/>
      <c r="J1053" s="42"/>
      <c r="K1053" s="42"/>
      <c r="L1053" s="46"/>
      <c r="M1053" s="46"/>
      <c r="N1053" s="46"/>
      <c r="O1053" s="61"/>
      <c r="P1053" s="62"/>
      <c r="Q1053" s="46"/>
      <c r="R1053" s="47"/>
      <c r="S1053" s="62"/>
      <c r="T1053" s="62"/>
      <c r="U1053" s="46"/>
      <c r="V1053" s="61"/>
      <c r="W1053" s="62"/>
      <c r="X1053" s="47"/>
      <c r="Y1053" s="46"/>
      <c r="Z1053" s="46"/>
      <c r="AA1053" s="46"/>
      <c r="AB1053" s="49"/>
      <c r="AC1053" s="42"/>
      <c r="AD1053" s="42"/>
      <c r="AE1053" s="50"/>
      <c r="AF1053" s="42"/>
      <c r="AG1053" s="42"/>
      <c r="AH1053" s="42"/>
      <c r="AI1053" s="42" t="str">
        <f t="array" ref="AI1053">XLOOKUP($E1053,Sheet11!$D:$D,Sheet11!$X:$X,"",0)</f>
        <v/>
      </c>
      <c r="AJ1053" s="42" t="str">
        <f t="array" ref="AJ1053">XLOOKUP($E1053,Sheet11!$D:$D,Sheet11!$Y:$Y,"",0)</f>
        <v/>
      </c>
    </row>
    <row r="1054">
      <c r="A1054" s="23"/>
      <c r="B1054" s="42"/>
      <c r="C1054" s="42"/>
      <c r="D1054" s="42"/>
      <c r="E1054" s="42"/>
      <c r="F1054" s="42"/>
      <c r="G1054" s="42"/>
      <c r="H1054" s="42"/>
      <c r="I1054" s="42"/>
      <c r="J1054" s="42"/>
      <c r="K1054" s="42"/>
      <c r="L1054" s="46"/>
      <c r="M1054" s="46"/>
      <c r="N1054" s="46"/>
      <c r="O1054" s="61"/>
      <c r="P1054" s="62"/>
      <c r="Q1054" s="46"/>
      <c r="R1054" s="47"/>
      <c r="S1054" s="62"/>
      <c r="T1054" s="62"/>
      <c r="U1054" s="46"/>
      <c r="V1054" s="61"/>
      <c r="W1054" s="62"/>
      <c r="X1054" s="47"/>
      <c r="Y1054" s="46"/>
      <c r="Z1054" s="46"/>
      <c r="AA1054" s="46"/>
      <c r="AB1054" s="49"/>
      <c r="AC1054" s="42"/>
      <c r="AD1054" s="42"/>
      <c r="AE1054" s="50"/>
      <c r="AF1054" s="42"/>
      <c r="AG1054" s="42"/>
      <c r="AH1054" s="42"/>
      <c r="AI1054" s="42" t="str">
        <f t="array" ref="AI1054">XLOOKUP($E1054,Sheet11!$D:$D,Sheet11!$X:$X,"",0)</f>
        <v/>
      </c>
      <c r="AJ1054" s="42" t="str">
        <f t="array" ref="AJ1054">XLOOKUP($E1054,Sheet11!$D:$D,Sheet11!$Y:$Y,"",0)</f>
        <v/>
      </c>
    </row>
    <row r="1055">
      <c r="A1055" s="23"/>
      <c r="B1055" s="42"/>
      <c r="C1055" s="42"/>
      <c r="D1055" s="42"/>
      <c r="E1055" s="42"/>
      <c r="F1055" s="42"/>
      <c r="G1055" s="42"/>
      <c r="H1055" s="42"/>
      <c r="I1055" s="42"/>
      <c r="J1055" s="42"/>
      <c r="K1055" s="42"/>
      <c r="L1055" s="46"/>
      <c r="M1055" s="46"/>
      <c r="N1055" s="46"/>
      <c r="O1055" s="61"/>
      <c r="P1055" s="62"/>
      <c r="Q1055" s="46"/>
      <c r="R1055" s="47"/>
      <c r="S1055" s="62"/>
      <c r="T1055" s="62"/>
      <c r="U1055" s="46"/>
      <c r="V1055" s="61"/>
      <c r="W1055" s="62"/>
      <c r="X1055" s="47"/>
      <c r="Y1055" s="46"/>
      <c r="Z1055" s="46"/>
      <c r="AA1055" s="46"/>
      <c r="AB1055" s="49"/>
      <c r="AC1055" s="42"/>
      <c r="AD1055" s="42"/>
      <c r="AE1055" s="50"/>
      <c r="AF1055" s="42"/>
      <c r="AG1055" s="42"/>
      <c r="AH1055" s="42"/>
      <c r="AI1055" s="42" t="str">
        <f t="array" ref="AI1055">XLOOKUP($E1055,Sheet11!$D:$D,Sheet11!$X:$X,"",0)</f>
        <v/>
      </c>
      <c r="AJ1055" s="42" t="str">
        <f t="array" ref="AJ1055">XLOOKUP($E1055,Sheet11!$D:$D,Sheet11!$Y:$Y,"",0)</f>
        <v/>
      </c>
    </row>
    <row r="1056">
      <c r="A1056" s="23"/>
      <c r="B1056" s="42"/>
      <c r="C1056" s="42"/>
      <c r="D1056" s="42"/>
      <c r="E1056" s="42"/>
      <c r="F1056" s="42"/>
      <c r="G1056" s="42"/>
      <c r="H1056" s="42"/>
      <c r="I1056" s="42"/>
      <c r="J1056" s="42"/>
      <c r="K1056" s="42"/>
      <c r="L1056" s="46"/>
      <c r="M1056" s="46"/>
      <c r="N1056" s="46"/>
      <c r="O1056" s="61"/>
      <c r="P1056" s="62"/>
      <c r="Q1056" s="46"/>
      <c r="R1056" s="47"/>
      <c r="S1056" s="62"/>
      <c r="T1056" s="62"/>
      <c r="U1056" s="46"/>
      <c r="V1056" s="61"/>
      <c r="W1056" s="62"/>
      <c r="X1056" s="47"/>
      <c r="Y1056" s="46"/>
      <c r="Z1056" s="46"/>
      <c r="AA1056" s="46"/>
      <c r="AB1056" s="49"/>
      <c r="AC1056" s="42"/>
      <c r="AD1056" s="42"/>
      <c r="AE1056" s="50"/>
      <c r="AF1056" s="42"/>
      <c r="AG1056" s="42"/>
      <c r="AH1056" s="42"/>
      <c r="AI1056" s="42" t="str">
        <f t="array" ref="AI1056">XLOOKUP($E1056,Sheet11!$D:$D,Sheet11!$X:$X,"",0)</f>
        <v/>
      </c>
      <c r="AJ1056" s="42" t="str">
        <f t="array" ref="AJ1056">XLOOKUP($E1056,Sheet11!$D:$D,Sheet11!$Y:$Y,"",0)</f>
        <v/>
      </c>
    </row>
    <row r="1057">
      <c r="A1057" s="23"/>
      <c r="B1057" s="42"/>
      <c r="C1057" s="42"/>
      <c r="D1057" s="42"/>
      <c r="E1057" s="42"/>
      <c r="F1057" s="42"/>
      <c r="G1057" s="42"/>
      <c r="H1057" s="42"/>
      <c r="I1057" s="42"/>
      <c r="J1057" s="42"/>
      <c r="K1057" s="42"/>
      <c r="L1057" s="46"/>
      <c r="M1057" s="46"/>
      <c r="N1057" s="46"/>
      <c r="O1057" s="61"/>
      <c r="P1057" s="62"/>
      <c r="Q1057" s="46"/>
      <c r="R1057" s="47"/>
      <c r="S1057" s="62"/>
      <c r="T1057" s="62"/>
      <c r="U1057" s="46"/>
      <c r="V1057" s="61"/>
      <c r="W1057" s="62"/>
      <c r="X1057" s="47"/>
      <c r="Y1057" s="46"/>
      <c r="Z1057" s="46"/>
      <c r="AA1057" s="46"/>
      <c r="AB1057" s="49"/>
      <c r="AC1057" s="42"/>
      <c r="AD1057" s="42"/>
      <c r="AE1057" s="50"/>
      <c r="AF1057" s="42"/>
      <c r="AG1057" s="42"/>
      <c r="AH1057" s="42"/>
      <c r="AI1057" s="42" t="str">
        <f t="array" ref="AI1057">XLOOKUP($E1057,Sheet11!$D:$D,Sheet11!$X:$X,"",0)</f>
        <v/>
      </c>
      <c r="AJ1057" s="42" t="str">
        <f t="array" ref="AJ1057">XLOOKUP($E1057,Sheet11!$D:$D,Sheet11!$Y:$Y,"",0)</f>
        <v/>
      </c>
    </row>
    <row r="1058">
      <c r="A1058" s="23"/>
      <c r="B1058" s="42"/>
      <c r="C1058" s="42"/>
      <c r="D1058" s="42"/>
      <c r="E1058" s="42"/>
      <c r="F1058" s="42"/>
      <c r="G1058" s="42"/>
      <c r="H1058" s="42"/>
      <c r="I1058" s="42"/>
      <c r="J1058" s="42"/>
      <c r="K1058" s="42"/>
      <c r="L1058" s="46"/>
      <c r="M1058" s="46"/>
      <c r="N1058" s="46"/>
      <c r="O1058" s="61"/>
      <c r="P1058" s="62"/>
      <c r="Q1058" s="46"/>
      <c r="R1058" s="47"/>
      <c r="S1058" s="62"/>
      <c r="T1058" s="62"/>
      <c r="U1058" s="46"/>
      <c r="V1058" s="61"/>
      <c r="W1058" s="62"/>
      <c r="X1058" s="47"/>
      <c r="Y1058" s="46"/>
      <c r="Z1058" s="46"/>
      <c r="AA1058" s="46"/>
      <c r="AB1058" s="49"/>
      <c r="AC1058" s="42"/>
      <c r="AD1058" s="42"/>
      <c r="AE1058" s="50"/>
      <c r="AF1058" s="42"/>
      <c r="AG1058" s="42"/>
      <c r="AH1058" s="42"/>
      <c r="AI1058" s="42" t="str">
        <f t="array" ref="AI1058">XLOOKUP($E1058,Sheet11!$D:$D,Sheet11!$X:$X,"",0)</f>
        <v/>
      </c>
      <c r="AJ1058" s="42" t="str">
        <f t="array" ref="AJ1058">XLOOKUP($E1058,Sheet11!$D:$D,Sheet11!$Y:$Y,"",0)</f>
        <v/>
      </c>
    </row>
    <row r="1059">
      <c r="A1059" s="23"/>
      <c r="B1059" s="42"/>
      <c r="C1059" s="42"/>
      <c r="D1059" s="42"/>
      <c r="E1059" s="42"/>
      <c r="F1059" s="42"/>
      <c r="G1059" s="42"/>
      <c r="H1059" s="42"/>
      <c r="I1059" s="42"/>
      <c r="J1059" s="42"/>
      <c r="K1059" s="42"/>
      <c r="L1059" s="46"/>
      <c r="M1059" s="46"/>
      <c r="N1059" s="46"/>
      <c r="O1059" s="61"/>
      <c r="P1059" s="62"/>
      <c r="Q1059" s="46"/>
      <c r="R1059" s="47"/>
      <c r="S1059" s="62"/>
      <c r="T1059" s="62"/>
      <c r="U1059" s="46"/>
      <c r="V1059" s="61"/>
      <c r="W1059" s="62"/>
      <c r="X1059" s="47"/>
      <c r="Y1059" s="46"/>
      <c r="Z1059" s="46"/>
      <c r="AA1059" s="46"/>
      <c r="AB1059" s="49"/>
      <c r="AC1059" s="42"/>
      <c r="AD1059" s="42"/>
      <c r="AE1059" s="50"/>
      <c r="AF1059" s="42"/>
      <c r="AG1059" s="42"/>
      <c r="AH1059" s="42"/>
      <c r="AI1059" s="42" t="str">
        <f t="array" ref="AI1059">XLOOKUP($E1059,Sheet11!$D:$D,Sheet11!$X:$X,"",0)</f>
        <v/>
      </c>
      <c r="AJ1059" s="42" t="str">
        <f t="array" ref="AJ1059">XLOOKUP($E1059,Sheet11!$D:$D,Sheet11!$Y:$Y,"",0)</f>
        <v/>
      </c>
    </row>
    <row r="1060">
      <c r="A1060" s="23"/>
      <c r="B1060" s="42"/>
      <c r="C1060" s="42"/>
      <c r="D1060" s="42"/>
      <c r="E1060" s="42"/>
      <c r="F1060" s="42"/>
      <c r="G1060" s="42"/>
      <c r="H1060" s="42"/>
      <c r="I1060" s="42"/>
      <c r="J1060" s="42"/>
      <c r="K1060" s="42"/>
      <c r="L1060" s="46"/>
      <c r="M1060" s="46"/>
      <c r="N1060" s="46"/>
      <c r="O1060" s="61"/>
      <c r="P1060" s="62"/>
      <c r="Q1060" s="46"/>
      <c r="R1060" s="47"/>
      <c r="S1060" s="62"/>
      <c r="T1060" s="62"/>
      <c r="U1060" s="46"/>
      <c r="V1060" s="61"/>
      <c r="W1060" s="62"/>
      <c r="X1060" s="47"/>
      <c r="Y1060" s="46"/>
      <c r="Z1060" s="46"/>
      <c r="AA1060" s="46"/>
      <c r="AB1060" s="49"/>
      <c r="AC1060" s="42"/>
      <c r="AD1060" s="42"/>
      <c r="AE1060" s="50"/>
      <c r="AF1060" s="42"/>
      <c r="AG1060" s="42"/>
      <c r="AH1060" s="42"/>
      <c r="AI1060" s="42" t="str">
        <f t="array" ref="AI1060">XLOOKUP($E1060,Sheet11!$D:$D,Sheet11!$X:$X,"",0)</f>
        <v/>
      </c>
      <c r="AJ1060" s="42" t="str">
        <f t="array" ref="AJ1060">XLOOKUP($E1060,Sheet11!$D:$D,Sheet11!$Y:$Y,"",0)</f>
        <v/>
      </c>
    </row>
    <row r="1061">
      <c r="A1061" s="23"/>
      <c r="B1061" s="42"/>
      <c r="C1061" s="42"/>
      <c r="D1061" s="42"/>
      <c r="E1061" s="42"/>
      <c r="F1061" s="42"/>
      <c r="G1061" s="42"/>
      <c r="H1061" s="42"/>
      <c r="I1061" s="42"/>
      <c r="J1061" s="42"/>
      <c r="K1061" s="42"/>
      <c r="L1061" s="46"/>
      <c r="M1061" s="46"/>
      <c r="N1061" s="46"/>
      <c r="O1061" s="61"/>
      <c r="P1061" s="62"/>
      <c r="Q1061" s="46"/>
      <c r="R1061" s="47"/>
      <c r="S1061" s="62"/>
      <c r="T1061" s="62"/>
      <c r="U1061" s="46"/>
      <c r="V1061" s="61"/>
      <c r="W1061" s="62"/>
      <c r="X1061" s="47"/>
      <c r="Y1061" s="46"/>
      <c r="Z1061" s="46"/>
      <c r="AA1061" s="46"/>
      <c r="AB1061" s="49"/>
      <c r="AC1061" s="42"/>
      <c r="AD1061" s="42"/>
      <c r="AE1061" s="50"/>
      <c r="AF1061" s="42"/>
      <c r="AG1061" s="42"/>
      <c r="AH1061" s="42"/>
      <c r="AI1061" s="42" t="str">
        <f t="array" ref="AI1061">XLOOKUP($E1061,Sheet11!$D:$D,Sheet11!$X:$X,"",0)</f>
        <v/>
      </c>
      <c r="AJ1061" s="42" t="str">
        <f t="array" ref="AJ1061">XLOOKUP($E1061,Sheet11!$D:$D,Sheet11!$Y:$Y,"",0)</f>
        <v/>
      </c>
    </row>
    <row r="1062">
      <c r="A1062" s="23"/>
      <c r="B1062" s="42"/>
      <c r="C1062" s="42"/>
      <c r="D1062" s="42"/>
      <c r="E1062" s="42"/>
      <c r="F1062" s="42"/>
      <c r="G1062" s="42"/>
      <c r="H1062" s="42"/>
      <c r="I1062" s="42"/>
      <c r="J1062" s="42"/>
      <c r="K1062" s="42"/>
      <c r="L1062" s="46"/>
      <c r="M1062" s="46"/>
      <c r="N1062" s="46"/>
      <c r="O1062" s="61"/>
      <c r="P1062" s="62"/>
      <c r="Q1062" s="46"/>
      <c r="R1062" s="47"/>
      <c r="S1062" s="62"/>
      <c r="T1062" s="62"/>
      <c r="U1062" s="46"/>
      <c r="V1062" s="61"/>
      <c r="W1062" s="62"/>
      <c r="X1062" s="47"/>
      <c r="Y1062" s="46"/>
      <c r="Z1062" s="46"/>
      <c r="AA1062" s="46"/>
      <c r="AB1062" s="49"/>
      <c r="AC1062" s="42"/>
      <c r="AD1062" s="42"/>
      <c r="AE1062" s="50"/>
      <c r="AF1062" s="42"/>
      <c r="AG1062" s="42"/>
      <c r="AH1062" s="42"/>
      <c r="AI1062" s="42" t="str">
        <f t="array" ref="AI1062">XLOOKUP($E1062,Sheet11!$D:$D,Sheet11!$X:$X,"",0)</f>
        <v/>
      </c>
      <c r="AJ1062" s="42" t="str">
        <f t="array" ref="AJ1062">XLOOKUP($E1062,Sheet11!$D:$D,Sheet11!$Y:$Y,"",0)</f>
        <v/>
      </c>
    </row>
    <row r="1063">
      <c r="A1063" s="23"/>
      <c r="B1063" s="42"/>
      <c r="C1063" s="42"/>
      <c r="D1063" s="42"/>
      <c r="E1063" s="42"/>
      <c r="F1063" s="42"/>
      <c r="G1063" s="42"/>
      <c r="H1063" s="42"/>
      <c r="I1063" s="42"/>
      <c r="J1063" s="42"/>
      <c r="K1063" s="42"/>
      <c r="L1063" s="46"/>
      <c r="M1063" s="46"/>
      <c r="N1063" s="46"/>
      <c r="O1063" s="61"/>
      <c r="P1063" s="62"/>
      <c r="Q1063" s="46"/>
      <c r="R1063" s="47"/>
      <c r="S1063" s="62"/>
      <c r="T1063" s="62"/>
      <c r="U1063" s="46"/>
      <c r="V1063" s="61"/>
      <c r="W1063" s="62"/>
      <c r="X1063" s="47"/>
      <c r="Y1063" s="46"/>
      <c r="Z1063" s="46"/>
      <c r="AA1063" s="46"/>
      <c r="AB1063" s="49"/>
      <c r="AC1063" s="42"/>
      <c r="AD1063" s="42"/>
      <c r="AE1063" s="50"/>
      <c r="AF1063" s="42"/>
      <c r="AG1063" s="42"/>
      <c r="AH1063" s="42"/>
      <c r="AI1063" s="42" t="str">
        <f t="array" ref="AI1063">XLOOKUP($E1063,Sheet11!$D:$D,Sheet11!$X:$X,"",0)</f>
        <v/>
      </c>
      <c r="AJ1063" s="42" t="str">
        <f t="array" ref="AJ1063">XLOOKUP($E1063,Sheet11!$D:$D,Sheet11!$Y:$Y,"",0)</f>
        <v/>
      </c>
    </row>
    <row r="1064">
      <c r="A1064" s="23"/>
      <c r="B1064" s="42"/>
      <c r="C1064" s="42"/>
      <c r="D1064" s="42"/>
      <c r="E1064" s="42"/>
      <c r="F1064" s="42"/>
      <c r="G1064" s="42"/>
      <c r="H1064" s="42"/>
      <c r="I1064" s="42"/>
      <c r="J1064" s="42"/>
      <c r="K1064" s="42"/>
      <c r="L1064" s="46"/>
      <c r="M1064" s="46"/>
      <c r="N1064" s="46"/>
      <c r="O1064" s="61"/>
      <c r="P1064" s="62"/>
      <c r="Q1064" s="46"/>
      <c r="R1064" s="47"/>
      <c r="S1064" s="62"/>
      <c r="T1064" s="62"/>
      <c r="U1064" s="46"/>
      <c r="V1064" s="61"/>
      <c r="W1064" s="62"/>
      <c r="X1064" s="47"/>
      <c r="Y1064" s="46"/>
      <c r="Z1064" s="46"/>
      <c r="AA1064" s="46"/>
      <c r="AB1064" s="49"/>
      <c r="AC1064" s="42"/>
      <c r="AD1064" s="42"/>
      <c r="AE1064" s="50"/>
      <c r="AF1064" s="42"/>
      <c r="AG1064" s="42"/>
      <c r="AH1064" s="42"/>
      <c r="AI1064" s="42" t="str">
        <f t="array" ref="AI1064">XLOOKUP($E1064,Sheet11!$D:$D,Sheet11!$X:$X,"",0)</f>
        <v/>
      </c>
      <c r="AJ1064" s="42" t="str">
        <f t="array" ref="AJ1064">XLOOKUP($E1064,Sheet11!$D:$D,Sheet11!$Y:$Y,"",0)</f>
        <v/>
      </c>
    </row>
    <row r="1065">
      <c r="A1065" s="23"/>
      <c r="B1065" s="42"/>
      <c r="C1065" s="42"/>
      <c r="D1065" s="42"/>
      <c r="E1065" s="42"/>
      <c r="F1065" s="42"/>
      <c r="G1065" s="42"/>
      <c r="H1065" s="42"/>
      <c r="I1065" s="42"/>
      <c r="J1065" s="42"/>
      <c r="K1065" s="42"/>
      <c r="L1065" s="46"/>
      <c r="M1065" s="46"/>
      <c r="N1065" s="46"/>
      <c r="O1065" s="61"/>
      <c r="P1065" s="62"/>
      <c r="Q1065" s="46"/>
      <c r="R1065" s="47"/>
      <c r="S1065" s="62"/>
      <c r="T1065" s="62"/>
      <c r="U1065" s="46"/>
      <c r="V1065" s="61"/>
      <c r="W1065" s="62"/>
      <c r="X1065" s="47"/>
      <c r="Y1065" s="46"/>
      <c r="Z1065" s="46"/>
      <c r="AA1065" s="46"/>
      <c r="AB1065" s="49"/>
      <c r="AC1065" s="42"/>
      <c r="AD1065" s="42"/>
      <c r="AE1065" s="50"/>
      <c r="AF1065" s="42"/>
      <c r="AG1065" s="42"/>
      <c r="AH1065" s="42"/>
      <c r="AI1065" s="42" t="str">
        <f t="array" ref="AI1065">XLOOKUP($E1065,Sheet11!$D:$D,Sheet11!$X:$X,"",0)</f>
        <v/>
      </c>
      <c r="AJ1065" s="42" t="str">
        <f t="array" ref="AJ1065">XLOOKUP($E1065,Sheet11!$D:$D,Sheet11!$Y:$Y,"",0)</f>
        <v/>
      </c>
    </row>
    <row r="1066">
      <c r="A1066" s="23"/>
      <c r="B1066" s="42"/>
      <c r="C1066" s="42"/>
      <c r="D1066" s="42"/>
      <c r="E1066" s="42"/>
      <c r="F1066" s="42"/>
      <c r="G1066" s="42"/>
      <c r="H1066" s="42"/>
      <c r="I1066" s="42"/>
      <c r="J1066" s="42"/>
      <c r="K1066" s="42"/>
      <c r="L1066" s="46"/>
      <c r="M1066" s="46"/>
      <c r="N1066" s="46"/>
      <c r="O1066" s="61"/>
      <c r="P1066" s="62"/>
      <c r="Q1066" s="46"/>
      <c r="R1066" s="47"/>
      <c r="S1066" s="62"/>
      <c r="T1066" s="62"/>
      <c r="U1066" s="46"/>
      <c r="V1066" s="61"/>
      <c r="W1066" s="62"/>
      <c r="X1066" s="47"/>
      <c r="Y1066" s="46"/>
      <c r="Z1066" s="46"/>
      <c r="AA1066" s="46"/>
      <c r="AB1066" s="49"/>
      <c r="AC1066" s="42"/>
      <c r="AD1066" s="42"/>
      <c r="AE1066" s="50"/>
      <c r="AF1066" s="42"/>
      <c r="AG1066" s="42"/>
      <c r="AH1066" s="42"/>
      <c r="AI1066" s="42" t="str">
        <f t="array" ref="AI1066">XLOOKUP($E1066,Sheet11!$D:$D,Sheet11!$X:$X,"",0)</f>
        <v/>
      </c>
      <c r="AJ1066" s="42" t="str">
        <f t="array" ref="AJ1066">XLOOKUP($E1066,Sheet11!$D:$D,Sheet11!$Y:$Y,"",0)</f>
        <v/>
      </c>
    </row>
    <row r="1067">
      <c r="A1067" s="23"/>
      <c r="B1067" s="42"/>
      <c r="C1067" s="42"/>
      <c r="D1067" s="42"/>
      <c r="E1067" s="42"/>
      <c r="F1067" s="42"/>
      <c r="G1067" s="42"/>
      <c r="H1067" s="42"/>
      <c r="I1067" s="42"/>
      <c r="J1067" s="42"/>
      <c r="K1067" s="42"/>
      <c r="L1067" s="46"/>
      <c r="M1067" s="46"/>
      <c r="N1067" s="46"/>
      <c r="O1067" s="61"/>
      <c r="P1067" s="62"/>
      <c r="Q1067" s="46"/>
      <c r="R1067" s="47"/>
      <c r="S1067" s="62"/>
      <c r="T1067" s="62"/>
      <c r="U1067" s="46"/>
      <c r="V1067" s="61"/>
      <c r="W1067" s="62"/>
      <c r="X1067" s="47"/>
      <c r="Y1067" s="46"/>
      <c r="Z1067" s="46"/>
      <c r="AA1067" s="46"/>
      <c r="AB1067" s="49"/>
      <c r="AC1067" s="42"/>
      <c r="AD1067" s="42"/>
      <c r="AE1067" s="50"/>
      <c r="AF1067" s="42"/>
      <c r="AG1067" s="42"/>
      <c r="AH1067" s="42"/>
      <c r="AI1067" s="42" t="str">
        <f t="array" ref="AI1067">XLOOKUP($E1067,Sheet11!$D:$D,Sheet11!$X:$X,"",0)</f>
        <v/>
      </c>
      <c r="AJ1067" s="42" t="str">
        <f t="array" ref="AJ1067">XLOOKUP($E1067,Sheet11!$D:$D,Sheet11!$Y:$Y,"",0)</f>
        <v/>
      </c>
    </row>
    <row r="1068">
      <c r="A1068" s="23"/>
      <c r="B1068" s="42"/>
      <c r="C1068" s="42"/>
      <c r="D1068" s="42"/>
      <c r="E1068" s="42"/>
      <c r="F1068" s="42"/>
      <c r="G1068" s="42"/>
      <c r="H1068" s="42"/>
      <c r="I1068" s="42"/>
      <c r="J1068" s="42"/>
      <c r="K1068" s="42"/>
      <c r="L1068" s="46"/>
      <c r="M1068" s="46"/>
      <c r="N1068" s="46"/>
      <c r="O1068" s="61"/>
      <c r="P1068" s="62"/>
      <c r="Q1068" s="46"/>
      <c r="R1068" s="47"/>
      <c r="S1068" s="62"/>
      <c r="T1068" s="62"/>
      <c r="U1068" s="46"/>
      <c r="V1068" s="61"/>
      <c r="W1068" s="62"/>
      <c r="X1068" s="47"/>
      <c r="Y1068" s="46"/>
      <c r="Z1068" s="46"/>
      <c r="AA1068" s="46"/>
      <c r="AB1068" s="49"/>
      <c r="AC1068" s="42"/>
      <c r="AD1068" s="42"/>
      <c r="AE1068" s="50"/>
      <c r="AF1068" s="42"/>
      <c r="AG1068" s="42"/>
      <c r="AH1068" s="42"/>
      <c r="AI1068" s="42" t="str">
        <f t="array" ref="AI1068">XLOOKUP($E1068,Sheet11!$D:$D,Sheet11!$X:$X,"",0)</f>
        <v/>
      </c>
      <c r="AJ1068" s="42" t="str">
        <f t="array" ref="AJ1068">XLOOKUP($E1068,Sheet11!$D:$D,Sheet11!$Y:$Y,"",0)</f>
        <v/>
      </c>
    </row>
    <row r="1069">
      <c r="A1069" s="23"/>
      <c r="B1069" s="42"/>
      <c r="C1069" s="42"/>
      <c r="D1069" s="42"/>
      <c r="E1069" s="42"/>
      <c r="F1069" s="42"/>
      <c r="G1069" s="42"/>
      <c r="H1069" s="42"/>
      <c r="I1069" s="42"/>
      <c r="J1069" s="42"/>
      <c r="K1069" s="42"/>
      <c r="L1069" s="46"/>
      <c r="M1069" s="46"/>
      <c r="N1069" s="46"/>
      <c r="O1069" s="61"/>
      <c r="P1069" s="62"/>
      <c r="Q1069" s="46"/>
      <c r="R1069" s="47"/>
      <c r="S1069" s="62"/>
      <c r="T1069" s="62"/>
      <c r="U1069" s="46"/>
      <c r="V1069" s="61"/>
      <c r="W1069" s="62"/>
      <c r="X1069" s="47"/>
      <c r="Y1069" s="46"/>
      <c r="Z1069" s="46"/>
      <c r="AA1069" s="46"/>
      <c r="AB1069" s="49"/>
      <c r="AC1069" s="42"/>
      <c r="AD1069" s="42"/>
      <c r="AE1069" s="50"/>
      <c r="AF1069" s="42"/>
      <c r="AG1069" s="42"/>
      <c r="AH1069" s="42"/>
      <c r="AI1069" s="42" t="str">
        <f t="array" ref="AI1069">XLOOKUP($E1069,Sheet11!$D:$D,Sheet11!$X:$X,"",0)</f>
        <v/>
      </c>
      <c r="AJ1069" s="42" t="str">
        <f t="array" ref="AJ1069">XLOOKUP($E1069,Sheet11!$D:$D,Sheet11!$Y:$Y,"",0)</f>
        <v/>
      </c>
    </row>
    <row r="1070">
      <c r="A1070" s="23"/>
      <c r="B1070" s="42"/>
      <c r="C1070" s="42"/>
      <c r="D1070" s="42"/>
      <c r="E1070" s="42"/>
      <c r="F1070" s="42"/>
      <c r="G1070" s="42"/>
      <c r="H1070" s="42"/>
      <c r="I1070" s="42"/>
      <c r="J1070" s="42"/>
      <c r="K1070" s="42"/>
      <c r="L1070" s="46"/>
      <c r="M1070" s="46"/>
      <c r="N1070" s="46"/>
      <c r="O1070" s="61"/>
      <c r="P1070" s="62"/>
      <c r="Q1070" s="46"/>
      <c r="R1070" s="47"/>
      <c r="S1070" s="62"/>
      <c r="T1070" s="62"/>
      <c r="U1070" s="46"/>
      <c r="V1070" s="61"/>
      <c r="W1070" s="62"/>
      <c r="X1070" s="47"/>
      <c r="Y1070" s="46"/>
      <c r="Z1070" s="46"/>
      <c r="AA1070" s="46"/>
      <c r="AB1070" s="49"/>
      <c r="AC1070" s="42"/>
      <c r="AD1070" s="42"/>
      <c r="AE1070" s="50"/>
      <c r="AF1070" s="42"/>
      <c r="AG1070" s="42"/>
      <c r="AH1070" s="42"/>
      <c r="AI1070" s="42" t="str">
        <f t="array" ref="AI1070">XLOOKUP($E1070,Sheet11!$D:$D,Sheet11!$X:$X,"",0)</f>
        <v/>
      </c>
      <c r="AJ1070" s="42" t="str">
        <f t="array" ref="AJ1070">XLOOKUP($E1070,Sheet11!$D:$D,Sheet11!$Y:$Y,"",0)</f>
        <v/>
      </c>
    </row>
    <row r="1071">
      <c r="A1071" s="23"/>
      <c r="B1071" s="42"/>
      <c r="C1071" s="42"/>
      <c r="D1071" s="42"/>
      <c r="E1071" s="42"/>
      <c r="F1071" s="42"/>
      <c r="G1071" s="42"/>
      <c r="H1071" s="42"/>
      <c r="I1071" s="42"/>
      <c r="J1071" s="42"/>
      <c r="K1071" s="42"/>
      <c r="L1071" s="46"/>
      <c r="M1071" s="46"/>
      <c r="N1071" s="46"/>
      <c r="O1071" s="61"/>
      <c r="P1071" s="62"/>
      <c r="Q1071" s="46"/>
      <c r="R1071" s="47"/>
      <c r="S1071" s="62"/>
      <c r="T1071" s="62"/>
      <c r="U1071" s="46"/>
      <c r="V1071" s="61"/>
      <c r="W1071" s="62"/>
      <c r="X1071" s="47"/>
      <c r="Y1071" s="46"/>
      <c r="Z1071" s="46"/>
      <c r="AA1071" s="46"/>
      <c r="AB1071" s="49"/>
      <c r="AC1071" s="42"/>
      <c r="AD1071" s="42"/>
      <c r="AE1071" s="50"/>
      <c r="AF1071" s="42"/>
      <c r="AG1071" s="42"/>
      <c r="AH1071" s="42"/>
      <c r="AI1071" s="42" t="str">
        <f t="array" ref="AI1071">XLOOKUP($E1071,Sheet11!$D:$D,Sheet11!$X:$X,"",0)</f>
        <v/>
      </c>
      <c r="AJ1071" s="42" t="str">
        <f t="array" ref="AJ1071">XLOOKUP($E1071,Sheet11!$D:$D,Sheet11!$Y:$Y,"",0)</f>
        <v/>
      </c>
    </row>
    <row r="1072">
      <c r="A1072" s="23"/>
      <c r="B1072" s="42"/>
      <c r="C1072" s="42"/>
      <c r="D1072" s="42"/>
      <c r="E1072" s="42"/>
      <c r="F1072" s="42"/>
      <c r="G1072" s="42"/>
      <c r="H1072" s="42"/>
      <c r="I1072" s="42"/>
      <c r="J1072" s="42"/>
      <c r="K1072" s="42"/>
      <c r="L1072" s="46"/>
      <c r="M1072" s="46"/>
      <c r="N1072" s="46"/>
      <c r="O1072" s="61"/>
      <c r="P1072" s="62"/>
      <c r="Q1072" s="46"/>
      <c r="R1072" s="47"/>
      <c r="S1072" s="62"/>
      <c r="T1072" s="62"/>
      <c r="U1072" s="46"/>
      <c r="V1072" s="61"/>
      <c r="W1072" s="62"/>
      <c r="X1072" s="47"/>
      <c r="Y1072" s="46"/>
      <c r="Z1072" s="46"/>
      <c r="AA1072" s="46"/>
      <c r="AB1072" s="49"/>
      <c r="AC1072" s="42"/>
      <c r="AD1072" s="42"/>
      <c r="AE1072" s="50"/>
      <c r="AF1072" s="42"/>
      <c r="AG1072" s="42"/>
      <c r="AH1072" s="42"/>
      <c r="AI1072" s="42" t="str">
        <f t="array" ref="AI1072">XLOOKUP($E1072,Sheet11!$D:$D,Sheet11!$X:$X,"",0)</f>
        <v/>
      </c>
      <c r="AJ1072" s="42" t="str">
        <f t="array" ref="AJ1072">XLOOKUP($E1072,Sheet11!$D:$D,Sheet11!$Y:$Y,"",0)</f>
        <v/>
      </c>
    </row>
    <row r="1073">
      <c r="A1073" s="23"/>
      <c r="B1073" s="42"/>
      <c r="C1073" s="42"/>
      <c r="D1073" s="42"/>
      <c r="E1073" s="42"/>
      <c r="F1073" s="42"/>
      <c r="G1073" s="42"/>
      <c r="H1073" s="42"/>
      <c r="I1073" s="42"/>
      <c r="J1073" s="42"/>
      <c r="K1073" s="42"/>
      <c r="L1073" s="46"/>
      <c r="M1073" s="46"/>
      <c r="N1073" s="46"/>
      <c r="O1073" s="61"/>
      <c r="P1073" s="62"/>
      <c r="Q1073" s="46"/>
      <c r="R1073" s="47"/>
      <c r="S1073" s="62"/>
      <c r="T1073" s="62"/>
      <c r="U1073" s="46"/>
      <c r="V1073" s="61"/>
      <c r="W1073" s="62"/>
      <c r="X1073" s="47"/>
      <c r="Y1073" s="46"/>
      <c r="Z1073" s="46"/>
      <c r="AA1073" s="46"/>
      <c r="AB1073" s="49"/>
      <c r="AC1073" s="42"/>
      <c r="AD1073" s="42"/>
      <c r="AE1073" s="50"/>
      <c r="AF1073" s="42"/>
      <c r="AG1073" s="42"/>
      <c r="AH1073" s="42"/>
      <c r="AI1073" s="42" t="str">
        <f t="array" ref="AI1073">XLOOKUP($E1073,Sheet11!$D:$D,Sheet11!$X:$X,"",0)</f>
        <v/>
      </c>
      <c r="AJ1073" s="42" t="str">
        <f t="array" ref="AJ1073">XLOOKUP($E1073,Sheet11!$D:$D,Sheet11!$Y:$Y,"",0)</f>
        <v/>
      </c>
    </row>
    <row r="1074">
      <c r="A1074" s="23"/>
      <c r="B1074" s="42"/>
      <c r="C1074" s="42"/>
      <c r="D1074" s="42"/>
      <c r="E1074" s="42"/>
      <c r="F1074" s="42"/>
      <c r="G1074" s="42"/>
      <c r="H1074" s="42"/>
      <c r="I1074" s="42"/>
      <c r="J1074" s="42"/>
      <c r="K1074" s="42"/>
      <c r="L1074" s="46"/>
      <c r="M1074" s="46"/>
      <c r="N1074" s="46"/>
      <c r="O1074" s="61"/>
      <c r="P1074" s="62"/>
      <c r="Q1074" s="46"/>
      <c r="R1074" s="47"/>
      <c r="S1074" s="62"/>
      <c r="T1074" s="62"/>
      <c r="U1074" s="46"/>
      <c r="V1074" s="61"/>
      <c r="W1074" s="62"/>
      <c r="X1074" s="47"/>
      <c r="Y1074" s="46"/>
      <c r="Z1074" s="46"/>
      <c r="AA1074" s="46"/>
      <c r="AB1074" s="49"/>
      <c r="AC1074" s="42"/>
      <c r="AD1074" s="42"/>
      <c r="AE1074" s="50"/>
      <c r="AF1074" s="42"/>
      <c r="AG1074" s="42"/>
      <c r="AH1074" s="42"/>
      <c r="AI1074" s="42" t="str">
        <f t="array" ref="AI1074">XLOOKUP($E1074,Sheet11!$D:$D,Sheet11!$X:$X,"",0)</f>
        <v/>
      </c>
      <c r="AJ1074" s="42" t="str">
        <f t="array" ref="AJ1074">XLOOKUP($E1074,Sheet11!$D:$D,Sheet11!$Y:$Y,"",0)</f>
        <v/>
      </c>
    </row>
    <row r="1075">
      <c r="A1075" s="23"/>
      <c r="B1075" s="42"/>
      <c r="C1075" s="42"/>
      <c r="D1075" s="42"/>
      <c r="E1075" s="42"/>
      <c r="F1075" s="42"/>
      <c r="G1075" s="42"/>
      <c r="H1075" s="42"/>
      <c r="I1075" s="42"/>
      <c r="J1075" s="42"/>
      <c r="K1075" s="42"/>
      <c r="L1075" s="46"/>
      <c r="M1075" s="46"/>
      <c r="N1075" s="46"/>
      <c r="O1075" s="61"/>
      <c r="P1075" s="62"/>
      <c r="Q1075" s="46"/>
      <c r="R1075" s="47"/>
      <c r="S1075" s="62"/>
      <c r="T1075" s="62"/>
      <c r="U1075" s="46"/>
      <c r="V1075" s="61"/>
      <c r="W1075" s="62"/>
      <c r="X1075" s="47"/>
      <c r="Y1075" s="46"/>
      <c r="Z1075" s="46"/>
      <c r="AA1075" s="46"/>
      <c r="AB1075" s="49"/>
      <c r="AC1075" s="42"/>
      <c r="AD1075" s="42"/>
      <c r="AE1075" s="50"/>
      <c r="AF1075" s="42"/>
      <c r="AG1075" s="42"/>
      <c r="AH1075" s="42"/>
      <c r="AI1075" s="42" t="str">
        <f t="array" ref="AI1075">XLOOKUP($E1075,Sheet11!$D:$D,Sheet11!$X:$X,"",0)</f>
        <v/>
      </c>
      <c r="AJ1075" s="42" t="str">
        <f t="array" ref="AJ1075">XLOOKUP($E1075,Sheet11!$D:$D,Sheet11!$Y:$Y,"",0)</f>
        <v/>
      </c>
    </row>
    <row r="1076">
      <c r="A1076" s="23"/>
      <c r="B1076" s="42"/>
      <c r="C1076" s="42"/>
      <c r="D1076" s="42"/>
      <c r="E1076" s="42"/>
      <c r="F1076" s="42"/>
      <c r="G1076" s="42"/>
      <c r="H1076" s="42"/>
      <c r="I1076" s="42"/>
      <c r="J1076" s="42"/>
      <c r="K1076" s="42"/>
      <c r="L1076" s="46"/>
      <c r="M1076" s="46"/>
      <c r="N1076" s="46"/>
      <c r="O1076" s="61"/>
      <c r="P1076" s="62"/>
      <c r="Q1076" s="46"/>
      <c r="R1076" s="47"/>
      <c r="S1076" s="62"/>
      <c r="T1076" s="62"/>
      <c r="U1076" s="46"/>
      <c r="V1076" s="61"/>
      <c r="W1076" s="62"/>
      <c r="X1076" s="47"/>
      <c r="Y1076" s="46"/>
      <c r="Z1076" s="46"/>
      <c r="AA1076" s="46"/>
      <c r="AB1076" s="49"/>
      <c r="AC1076" s="42"/>
      <c r="AD1076" s="42"/>
      <c r="AE1076" s="50"/>
      <c r="AF1076" s="42"/>
      <c r="AG1076" s="42"/>
      <c r="AH1076" s="42"/>
      <c r="AI1076" s="42" t="str">
        <f t="array" ref="AI1076">XLOOKUP($E1076,Sheet11!$D:$D,Sheet11!$X:$X,"",0)</f>
        <v/>
      </c>
      <c r="AJ1076" s="42" t="str">
        <f t="array" ref="AJ1076">XLOOKUP($E1076,Sheet11!$D:$D,Sheet11!$Y:$Y,"",0)</f>
        <v/>
      </c>
    </row>
    <row r="1077">
      <c r="A1077" s="23"/>
      <c r="B1077" s="42"/>
      <c r="C1077" s="42"/>
      <c r="D1077" s="42"/>
      <c r="E1077" s="42"/>
      <c r="F1077" s="42"/>
      <c r="G1077" s="42"/>
      <c r="H1077" s="42"/>
      <c r="I1077" s="42"/>
      <c r="J1077" s="42"/>
      <c r="K1077" s="42"/>
      <c r="L1077" s="46"/>
      <c r="M1077" s="46"/>
      <c r="N1077" s="46"/>
      <c r="O1077" s="61"/>
      <c r="P1077" s="62"/>
      <c r="Q1077" s="46"/>
      <c r="R1077" s="47"/>
      <c r="S1077" s="62"/>
      <c r="T1077" s="62"/>
      <c r="U1077" s="46"/>
      <c r="V1077" s="61"/>
      <c r="W1077" s="62"/>
      <c r="X1077" s="47"/>
      <c r="Y1077" s="46"/>
      <c r="Z1077" s="46"/>
      <c r="AA1077" s="46"/>
      <c r="AB1077" s="49"/>
      <c r="AC1077" s="42"/>
      <c r="AD1077" s="42"/>
      <c r="AE1077" s="50"/>
      <c r="AF1077" s="42"/>
      <c r="AG1077" s="42"/>
      <c r="AH1077" s="42"/>
      <c r="AI1077" s="42" t="str">
        <f t="array" ref="AI1077">XLOOKUP($E1077,Sheet11!$D:$D,Sheet11!$X:$X,"",0)</f>
        <v/>
      </c>
      <c r="AJ1077" s="42" t="str">
        <f t="array" ref="AJ1077">XLOOKUP($E1077,Sheet11!$D:$D,Sheet11!$Y:$Y,"",0)</f>
        <v/>
      </c>
    </row>
    <row r="1078">
      <c r="A1078" s="23"/>
      <c r="B1078" s="42"/>
      <c r="C1078" s="42"/>
      <c r="D1078" s="42"/>
      <c r="E1078" s="42"/>
      <c r="F1078" s="42"/>
      <c r="G1078" s="42"/>
      <c r="H1078" s="42"/>
      <c r="I1078" s="42"/>
      <c r="J1078" s="42"/>
      <c r="K1078" s="42"/>
      <c r="L1078" s="46"/>
      <c r="M1078" s="46"/>
      <c r="N1078" s="46"/>
      <c r="O1078" s="61"/>
      <c r="P1078" s="62"/>
      <c r="Q1078" s="46"/>
      <c r="R1078" s="47"/>
      <c r="S1078" s="62"/>
      <c r="T1078" s="62"/>
      <c r="U1078" s="46"/>
      <c r="V1078" s="61"/>
      <c r="W1078" s="62"/>
      <c r="X1078" s="47"/>
      <c r="Y1078" s="46"/>
      <c r="Z1078" s="46"/>
      <c r="AA1078" s="46"/>
      <c r="AB1078" s="49"/>
      <c r="AC1078" s="42"/>
      <c r="AD1078" s="42"/>
      <c r="AE1078" s="50"/>
      <c r="AF1078" s="42"/>
      <c r="AG1078" s="42"/>
      <c r="AH1078" s="42"/>
      <c r="AI1078" s="42" t="str">
        <f t="array" ref="AI1078">XLOOKUP($E1078,Sheet11!$D:$D,Sheet11!$X:$X,"",0)</f>
        <v/>
      </c>
      <c r="AJ1078" s="42" t="str">
        <f t="array" ref="AJ1078">XLOOKUP($E1078,Sheet11!$D:$D,Sheet11!$Y:$Y,"",0)</f>
        <v/>
      </c>
    </row>
    <row r="1079">
      <c r="A1079" s="23"/>
      <c r="B1079" s="42"/>
      <c r="C1079" s="42"/>
      <c r="D1079" s="42"/>
      <c r="E1079" s="42"/>
      <c r="F1079" s="42"/>
      <c r="G1079" s="42"/>
      <c r="H1079" s="42"/>
      <c r="I1079" s="42"/>
      <c r="J1079" s="42"/>
      <c r="K1079" s="42"/>
      <c r="L1079" s="46"/>
      <c r="M1079" s="46"/>
      <c r="N1079" s="46"/>
      <c r="O1079" s="61"/>
      <c r="P1079" s="62"/>
      <c r="Q1079" s="46"/>
      <c r="R1079" s="47"/>
      <c r="S1079" s="62"/>
      <c r="T1079" s="62"/>
      <c r="U1079" s="46"/>
      <c r="V1079" s="61"/>
      <c r="W1079" s="62"/>
      <c r="X1079" s="47"/>
      <c r="Y1079" s="46"/>
      <c r="Z1079" s="46"/>
      <c r="AA1079" s="46"/>
      <c r="AB1079" s="49"/>
      <c r="AC1079" s="42"/>
      <c r="AD1079" s="42"/>
      <c r="AE1079" s="50"/>
      <c r="AF1079" s="42"/>
      <c r="AG1079" s="42"/>
      <c r="AH1079" s="42"/>
      <c r="AI1079" s="42" t="str">
        <f t="array" ref="AI1079">XLOOKUP($E1079,Sheet11!$D:$D,Sheet11!$X:$X,"",0)</f>
        <v/>
      </c>
      <c r="AJ1079" s="42" t="str">
        <f t="array" ref="AJ1079">XLOOKUP($E1079,Sheet11!$D:$D,Sheet11!$Y:$Y,"",0)</f>
        <v/>
      </c>
    </row>
    <row r="1080">
      <c r="A1080" s="23"/>
      <c r="B1080" s="42"/>
      <c r="C1080" s="42"/>
      <c r="D1080" s="42"/>
      <c r="E1080" s="42"/>
      <c r="F1080" s="42"/>
      <c r="G1080" s="42"/>
      <c r="H1080" s="42"/>
      <c r="I1080" s="42"/>
      <c r="J1080" s="42"/>
      <c r="K1080" s="42"/>
      <c r="L1080" s="46"/>
      <c r="M1080" s="46"/>
      <c r="N1080" s="46"/>
      <c r="O1080" s="61"/>
      <c r="P1080" s="62"/>
      <c r="Q1080" s="46"/>
      <c r="R1080" s="47"/>
      <c r="S1080" s="62"/>
      <c r="T1080" s="62"/>
      <c r="U1080" s="46"/>
      <c r="V1080" s="61"/>
      <c r="W1080" s="62"/>
      <c r="X1080" s="47"/>
      <c r="Y1080" s="46"/>
      <c r="Z1080" s="46"/>
      <c r="AA1080" s="46"/>
      <c r="AB1080" s="49"/>
      <c r="AC1080" s="42"/>
      <c r="AD1080" s="42"/>
      <c r="AE1080" s="50"/>
      <c r="AF1080" s="42"/>
      <c r="AG1080" s="42"/>
      <c r="AH1080" s="42"/>
      <c r="AI1080" s="42" t="str">
        <f t="array" ref="AI1080">XLOOKUP($E1080,Sheet11!$D:$D,Sheet11!$X:$X,"",0)</f>
        <v/>
      </c>
      <c r="AJ1080" s="42" t="str">
        <f t="array" ref="AJ1080">XLOOKUP($E1080,Sheet11!$D:$D,Sheet11!$Y:$Y,"",0)</f>
        <v/>
      </c>
    </row>
    <row r="1081">
      <c r="A1081" s="23"/>
      <c r="B1081" s="42"/>
      <c r="C1081" s="42"/>
      <c r="D1081" s="42"/>
      <c r="E1081" s="42"/>
      <c r="F1081" s="42"/>
      <c r="G1081" s="42"/>
      <c r="H1081" s="42"/>
      <c r="I1081" s="42"/>
      <c r="J1081" s="42"/>
      <c r="K1081" s="42"/>
      <c r="L1081" s="46"/>
      <c r="M1081" s="46"/>
      <c r="N1081" s="46"/>
      <c r="O1081" s="61"/>
      <c r="P1081" s="62"/>
      <c r="Q1081" s="46"/>
      <c r="R1081" s="47"/>
      <c r="S1081" s="62"/>
      <c r="T1081" s="62"/>
      <c r="U1081" s="46"/>
      <c r="V1081" s="61"/>
      <c r="W1081" s="62"/>
      <c r="X1081" s="47"/>
      <c r="Y1081" s="46"/>
      <c r="Z1081" s="46"/>
      <c r="AA1081" s="46"/>
      <c r="AB1081" s="49"/>
      <c r="AC1081" s="42"/>
      <c r="AD1081" s="42"/>
      <c r="AE1081" s="50"/>
      <c r="AF1081" s="42"/>
      <c r="AG1081" s="42"/>
      <c r="AH1081" s="42"/>
      <c r="AI1081" s="42" t="str">
        <f t="array" ref="AI1081">XLOOKUP($E1081,Sheet11!$D:$D,Sheet11!$X:$X,"",0)</f>
        <v/>
      </c>
      <c r="AJ1081" s="42" t="str">
        <f t="array" ref="AJ1081">XLOOKUP($E1081,Sheet11!$D:$D,Sheet11!$Y:$Y,"",0)</f>
        <v/>
      </c>
    </row>
    <row r="1082">
      <c r="A1082" s="23"/>
      <c r="B1082" s="42"/>
      <c r="C1082" s="42"/>
      <c r="D1082" s="42"/>
      <c r="E1082" s="42"/>
      <c r="F1082" s="42"/>
      <c r="G1082" s="42"/>
      <c r="H1082" s="42"/>
      <c r="I1082" s="42"/>
      <c r="J1082" s="42"/>
      <c r="K1082" s="42"/>
      <c r="L1082" s="46"/>
      <c r="M1082" s="46"/>
      <c r="N1082" s="46"/>
      <c r="O1082" s="61"/>
      <c r="P1082" s="62"/>
      <c r="Q1082" s="46"/>
      <c r="R1082" s="47"/>
      <c r="S1082" s="62"/>
      <c r="T1082" s="62"/>
      <c r="U1082" s="46"/>
      <c r="V1082" s="61"/>
      <c r="W1082" s="62"/>
      <c r="X1082" s="47"/>
      <c r="Y1082" s="46"/>
      <c r="Z1082" s="46"/>
      <c r="AA1082" s="46"/>
      <c r="AB1082" s="49"/>
      <c r="AC1082" s="42"/>
      <c r="AD1082" s="42"/>
      <c r="AE1082" s="50"/>
      <c r="AF1082" s="42"/>
      <c r="AG1082" s="42"/>
      <c r="AH1082" s="42"/>
      <c r="AI1082" s="42" t="str">
        <f t="array" ref="AI1082">XLOOKUP($E1082,Sheet11!$D:$D,Sheet11!$X:$X,"",0)</f>
        <v/>
      </c>
      <c r="AJ1082" s="42" t="str">
        <f t="array" ref="AJ1082">XLOOKUP($E1082,Sheet11!$D:$D,Sheet11!$Y:$Y,"",0)</f>
        <v/>
      </c>
    </row>
    <row r="1083">
      <c r="A1083" s="23"/>
      <c r="B1083" s="42"/>
      <c r="C1083" s="42"/>
      <c r="D1083" s="42"/>
      <c r="E1083" s="42"/>
      <c r="F1083" s="42"/>
      <c r="G1083" s="42"/>
      <c r="H1083" s="42"/>
      <c r="I1083" s="42"/>
      <c r="J1083" s="42"/>
      <c r="K1083" s="42"/>
      <c r="L1083" s="46"/>
      <c r="M1083" s="46"/>
      <c r="N1083" s="46"/>
      <c r="O1083" s="61"/>
      <c r="P1083" s="62"/>
      <c r="Q1083" s="46"/>
      <c r="R1083" s="47"/>
      <c r="S1083" s="62"/>
      <c r="T1083" s="62"/>
      <c r="U1083" s="46"/>
      <c r="V1083" s="61"/>
      <c r="W1083" s="62"/>
      <c r="X1083" s="47"/>
      <c r="Y1083" s="46"/>
      <c r="Z1083" s="46"/>
      <c r="AA1083" s="46"/>
      <c r="AB1083" s="49"/>
      <c r="AC1083" s="42"/>
      <c r="AD1083" s="42"/>
      <c r="AE1083" s="50"/>
      <c r="AF1083" s="42"/>
      <c r="AG1083" s="42"/>
      <c r="AH1083" s="42"/>
      <c r="AI1083" s="42" t="str">
        <f t="array" ref="AI1083">XLOOKUP($E1083,Sheet11!$D:$D,Sheet11!$X:$X,"",0)</f>
        <v/>
      </c>
      <c r="AJ1083" s="42" t="str">
        <f t="array" ref="AJ1083">XLOOKUP($E1083,Sheet11!$D:$D,Sheet11!$Y:$Y,"",0)</f>
        <v/>
      </c>
    </row>
    <row r="1084">
      <c r="A1084" s="23"/>
      <c r="B1084" s="42"/>
      <c r="C1084" s="42"/>
      <c r="D1084" s="42"/>
      <c r="E1084" s="42"/>
      <c r="F1084" s="42"/>
      <c r="G1084" s="42"/>
      <c r="H1084" s="42"/>
      <c r="I1084" s="42"/>
      <c r="J1084" s="42"/>
      <c r="K1084" s="42"/>
      <c r="L1084" s="46"/>
      <c r="M1084" s="46"/>
      <c r="N1084" s="46"/>
      <c r="O1084" s="61"/>
      <c r="P1084" s="62"/>
      <c r="Q1084" s="46"/>
      <c r="R1084" s="47"/>
      <c r="S1084" s="62"/>
      <c r="T1084" s="62"/>
      <c r="U1084" s="46"/>
      <c r="V1084" s="61"/>
      <c r="W1084" s="62"/>
      <c r="X1084" s="47"/>
      <c r="Y1084" s="46"/>
      <c r="Z1084" s="46"/>
      <c r="AA1084" s="46"/>
      <c r="AB1084" s="49"/>
      <c r="AC1084" s="42"/>
      <c r="AD1084" s="42"/>
      <c r="AE1084" s="50"/>
      <c r="AF1084" s="42"/>
      <c r="AG1084" s="42"/>
      <c r="AH1084" s="42"/>
      <c r="AI1084" s="42" t="str">
        <f t="array" ref="AI1084">XLOOKUP($E1084,Sheet11!$D:$D,Sheet11!$X:$X,"",0)</f>
        <v/>
      </c>
      <c r="AJ1084" s="42" t="str">
        <f t="array" ref="AJ1084">XLOOKUP($E1084,Sheet11!$D:$D,Sheet11!$Y:$Y,"",0)</f>
        <v/>
      </c>
    </row>
    <row r="1085">
      <c r="A1085" s="23"/>
      <c r="B1085" s="42"/>
      <c r="C1085" s="42"/>
      <c r="D1085" s="42"/>
      <c r="E1085" s="42"/>
      <c r="F1085" s="42"/>
      <c r="G1085" s="42"/>
      <c r="H1085" s="42"/>
      <c r="I1085" s="42"/>
      <c r="J1085" s="42"/>
      <c r="K1085" s="42"/>
      <c r="L1085" s="46"/>
      <c r="M1085" s="46"/>
      <c r="N1085" s="46"/>
      <c r="O1085" s="61"/>
      <c r="P1085" s="62"/>
      <c r="Q1085" s="46"/>
      <c r="R1085" s="47"/>
      <c r="S1085" s="62"/>
      <c r="T1085" s="62"/>
      <c r="U1085" s="46"/>
      <c r="V1085" s="61"/>
      <c r="W1085" s="62"/>
      <c r="X1085" s="47"/>
      <c r="Y1085" s="46"/>
      <c r="Z1085" s="46"/>
      <c r="AA1085" s="46"/>
      <c r="AB1085" s="49"/>
      <c r="AC1085" s="42"/>
      <c r="AD1085" s="42"/>
      <c r="AE1085" s="50"/>
      <c r="AF1085" s="42"/>
      <c r="AG1085" s="42"/>
      <c r="AH1085" s="42"/>
      <c r="AI1085" s="42" t="str">
        <f t="array" ref="AI1085">XLOOKUP($E1085,Sheet11!$D:$D,Sheet11!$X:$X,"",0)</f>
        <v/>
      </c>
      <c r="AJ1085" s="42" t="str">
        <f t="array" ref="AJ1085">XLOOKUP($E1085,Sheet11!$D:$D,Sheet11!$Y:$Y,"",0)</f>
        <v/>
      </c>
    </row>
    <row r="1086">
      <c r="A1086" s="23"/>
      <c r="B1086" s="42"/>
      <c r="C1086" s="42"/>
      <c r="D1086" s="42"/>
      <c r="E1086" s="42"/>
      <c r="F1086" s="42"/>
      <c r="G1086" s="42"/>
      <c r="H1086" s="42"/>
      <c r="I1086" s="42"/>
      <c r="J1086" s="42"/>
      <c r="K1086" s="42"/>
      <c r="L1086" s="46"/>
      <c r="M1086" s="46"/>
      <c r="N1086" s="46"/>
      <c r="O1086" s="61"/>
      <c r="P1086" s="62"/>
      <c r="Q1086" s="46"/>
      <c r="R1086" s="47"/>
      <c r="S1086" s="62"/>
      <c r="T1086" s="62"/>
      <c r="U1086" s="46"/>
      <c r="V1086" s="61"/>
      <c r="W1086" s="62"/>
      <c r="X1086" s="47"/>
      <c r="Y1086" s="46"/>
      <c r="Z1086" s="46"/>
      <c r="AA1086" s="46"/>
      <c r="AB1086" s="49"/>
      <c r="AC1086" s="42"/>
      <c r="AD1086" s="42"/>
      <c r="AE1086" s="50"/>
      <c r="AF1086" s="42"/>
      <c r="AG1086" s="42"/>
      <c r="AH1086" s="42"/>
      <c r="AI1086" s="42" t="str">
        <f t="array" ref="AI1086">XLOOKUP($E1086,Sheet11!$D:$D,Sheet11!$X:$X,"",0)</f>
        <v/>
      </c>
      <c r="AJ1086" s="42" t="str">
        <f t="array" ref="AJ1086">XLOOKUP($E1086,Sheet11!$D:$D,Sheet11!$Y:$Y,"",0)</f>
        <v/>
      </c>
    </row>
    <row r="1087">
      <c r="A1087" s="23"/>
      <c r="B1087" s="42"/>
      <c r="C1087" s="42"/>
      <c r="D1087" s="42"/>
      <c r="E1087" s="42"/>
      <c r="F1087" s="42"/>
      <c r="G1087" s="42"/>
      <c r="H1087" s="42"/>
      <c r="I1087" s="42"/>
      <c r="J1087" s="42"/>
      <c r="K1087" s="42"/>
      <c r="L1087" s="46"/>
      <c r="M1087" s="46"/>
      <c r="N1087" s="46"/>
      <c r="O1087" s="61"/>
      <c r="P1087" s="62"/>
      <c r="Q1087" s="46"/>
      <c r="R1087" s="47"/>
      <c r="S1087" s="62"/>
      <c r="T1087" s="62"/>
      <c r="U1087" s="46"/>
      <c r="V1087" s="61"/>
      <c r="W1087" s="62"/>
      <c r="X1087" s="47"/>
      <c r="Y1087" s="46"/>
      <c r="Z1087" s="46"/>
      <c r="AA1087" s="46"/>
      <c r="AB1087" s="49"/>
      <c r="AC1087" s="42"/>
      <c r="AD1087" s="42"/>
      <c r="AE1087" s="50"/>
      <c r="AF1087" s="42"/>
      <c r="AG1087" s="42"/>
      <c r="AH1087" s="42"/>
      <c r="AI1087" s="42" t="str">
        <f t="array" ref="AI1087">XLOOKUP($E1087,Sheet11!$D:$D,Sheet11!$X:$X,"",0)</f>
        <v/>
      </c>
      <c r="AJ1087" s="42" t="str">
        <f t="array" ref="AJ1087">XLOOKUP($E1087,Sheet11!$D:$D,Sheet11!$Y:$Y,"",0)</f>
        <v/>
      </c>
    </row>
    <row r="1088">
      <c r="A1088" s="23"/>
      <c r="B1088" s="42"/>
      <c r="C1088" s="42"/>
      <c r="D1088" s="42"/>
      <c r="E1088" s="42"/>
      <c r="F1088" s="42"/>
      <c r="G1088" s="42"/>
      <c r="H1088" s="42"/>
      <c r="I1088" s="42"/>
      <c r="J1088" s="42"/>
      <c r="K1088" s="42"/>
      <c r="L1088" s="46"/>
      <c r="M1088" s="46"/>
      <c r="N1088" s="46"/>
      <c r="O1088" s="61"/>
      <c r="P1088" s="62"/>
      <c r="Q1088" s="46"/>
      <c r="R1088" s="47"/>
      <c r="S1088" s="62"/>
      <c r="T1088" s="62"/>
      <c r="U1088" s="46"/>
      <c r="V1088" s="61"/>
      <c r="W1088" s="62"/>
      <c r="X1088" s="47"/>
      <c r="Y1088" s="46"/>
      <c r="Z1088" s="46"/>
      <c r="AA1088" s="46"/>
      <c r="AB1088" s="49"/>
      <c r="AC1088" s="42"/>
      <c r="AD1088" s="42"/>
      <c r="AE1088" s="50"/>
      <c r="AF1088" s="42"/>
      <c r="AG1088" s="42"/>
      <c r="AH1088" s="42"/>
      <c r="AI1088" s="42" t="str">
        <f t="array" ref="AI1088">XLOOKUP($E1088,Sheet11!$D:$D,Sheet11!$X:$X,"",0)</f>
        <v/>
      </c>
      <c r="AJ1088" s="42" t="str">
        <f t="array" ref="AJ1088">XLOOKUP($E1088,Sheet11!$D:$D,Sheet11!$Y:$Y,"",0)</f>
        <v/>
      </c>
    </row>
    <row r="1089">
      <c r="A1089" s="23"/>
      <c r="B1089" s="42"/>
      <c r="C1089" s="42"/>
      <c r="D1089" s="42"/>
      <c r="E1089" s="42"/>
      <c r="F1089" s="42"/>
      <c r="G1089" s="42"/>
      <c r="H1089" s="42"/>
      <c r="I1089" s="42"/>
      <c r="J1089" s="42"/>
      <c r="K1089" s="42"/>
      <c r="L1089" s="46"/>
      <c r="M1089" s="46"/>
      <c r="N1089" s="46"/>
      <c r="O1089" s="61"/>
      <c r="P1089" s="62"/>
      <c r="Q1089" s="46"/>
      <c r="R1089" s="47"/>
      <c r="S1089" s="62"/>
      <c r="T1089" s="62"/>
      <c r="U1089" s="46"/>
      <c r="V1089" s="61"/>
      <c r="W1089" s="62"/>
      <c r="X1089" s="47"/>
      <c r="Y1089" s="46"/>
      <c r="Z1089" s="46"/>
      <c r="AA1089" s="46"/>
      <c r="AB1089" s="49"/>
      <c r="AC1089" s="42"/>
      <c r="AD1089" s="42"/>
      <c r="AE1089" s="50"/>
      <c r="AF1089" s="42"/>
      <c r="AG1089" s="42"/>
      <c r="AH1089" s="42"/>
      <c r="AI1089" s="42" t="str">
        <f t="array" ref="AI1089">XLOOKUP($E1089,Sheet11!$D:$D,Sheet11!$X:$X,"",0)</f>
        <v/>
      </c>
      <c r="AJ1089" s="42" t="str">
        <f t="array" ref="AJ1089">XLOOKUP($E1089,Sheet11!$D:$D,Sheet11!$Y:$Y,"",0)</f>
        <v/>
      </c>
    </row>
    <row r="1090">
      <c r="A1090" s="23"/>
      <c r="B1090" s="42"/>
      <c r="C1090" s="42"/>
      <c r="D1090" s="42"/>
      <c r="E1090" s="42"/>
      <c r="F1090" s="42"/>
      <c r="G1090" s="42"/>
      <c r="H1090" s="42"/>
      <c r="I1090" s="42"/>
      <c r="J1090" s="42"/>
      <c r="K1090" s="42"/>
      <c r="L1090" s="46"/>
      <c r="M1090" s="46"/>
      <c r="N1090" s="46"/>
      <c r="O1090" s="61"/>
      <c r="P1090" s="62"/>
      <c r="Q1090" s="46"/>
      <c r="R1090" s="47"/>
      <c r="S1090" s="62"/>
      <c r="T1090" s="62"/>
      <c r="U1090" s="46"/>
      <c r="V1090" s="61"/>
      <c r="W1090" s="62"/>
      <c r="X1090" s="47"/>
      <c r="Y1090" s="46"/>
      <c r="Z1090" s="46"/>
      <c r="AA1090" s="46"/>
      <c r="AB1090" s="49"/>
      <c r="AC1090" s="42"/>
      <c r="AD1090" s="42"/>
      <c r="AE1090" s="50"/>
      <c r="AF1090" s="42"/>
      <c r="AG1090" s="42"/>
      <c r="AH1090" s="42"/>
      <c r="AI1090" s="42" t="str">
        <f t="array" ref="AI1090">XLOOKUP($E1090,Sheet11!$D:$D,Sheet11!$X:$X,"",0)</f>
        <v/>
      </c>
      <c r="AJ1090" s="42" t="str">
        <f t="array" ref="AJ1090">XLOOKUP($E1090,Sheet11!$D:$D,Sheet11!$Y:$Y,"",0)</f>
        <v/>
      </c>
    </row>
    <row r="1091">
      <c r="A1091" s="23"/>
      <c r="B1091" s="42"/>
      <c r="C1091" s="42"/>
      <c r="D1091" s="42"/>
      <c r="E1091" s="42"/>
      <c r="F1091" s="42"/>
      <c r="G1091" s="42"/>
      <c r="H1091" s="42"/>
      <c r="I1091" s="42"/>
      <c r="J1091" s="42"/>
      <c r="K1091" s="42"/>
      <c r="L1091" s="46"/>
      <c r="M1091" s="46"/>
      <c r="N1091" s="46"/>
      <c r="O1091" s="61"/>
      <c r="P1091" s="62"/>
      <c r="Q1091" s="46"/>
      <c r="R1091" s="47"/>
      <c r="S1091" s="62"/>
      <c r="T1091" s="62"/>
      <c r="U1091" s="46"/>
      <c r="V1091" s="61"/>
      <c r="W1091" s="62"/>
      <c r="X1091" s="47"/>
      <c r="Y1091" s="46"/>
      <c r="Z1091" s="46"/>
      <c r="AA1091" s="46"/>
      <c r="AB1091" s="49"/>
      <c r="AC1091" s="42"/>
      <c r="AD1091" s="42"/>
      <c r="AE1091" s="50"/>
      <c r="AF1091" s="42"/>
      <c r="AG1091" s="42"/>
      <c r="AH1091" s="42"/>
      <c r="AI1091" s="42" t="str">
        <f t="array" ref="AI1091">XLOOKUP($E1091,Sheet11!$D:$D,Sheet11!$X:$X,"",0)</f>
        <v/>
      </c>
      <c r="AJ1091" s="42" t="str">
        <f t="array" ref="AJ1091">XLOOKUP($E1091,Sheet11!$D:$D,Sheet11!$Y:$Y,"",0)</f>
        <v/>
      </c>
    </row>
    <row r="1092">
      <c r="A1092" s="23"/>
      <c r="B1092" s="42"/>
      <c r="C1092" s="42"/>
      <c r="D1092" s="42"/>
      <c r="E1092" s="42"/>
      <c r="F1092" s="42"/>
      <c r="G1092" s="42"/>
      <c r="H1092" s="42"/>
      <c r="I1092" s="42"/>
      <c r="J1092" s="42"/>
      <c r="K1092" s="42"/>
      <c r="L1092" s="46"/>
      <c r="M1092" s="46"/>
      <c r="N1092" s="46"/>
      <c r="O1092" s="61"/>
      <c r="P1092" s="62"/>
      <c r="Q1092" s="46"/>
      <c r="R1092" s="47"/>
      <c r="S1092" s="62"/>
      <c r="T1092" s="62"/>
      <c r="U1092" s="46"/>
      <c r="V1092" s="61"/>
      <c r="W1092" s="62"/>
      <c r="X1092" s="47"/>
      <c r="Y1092" s="46"/>
      <c r="Z1092" s="46"/>
      <c r="AA1092" s="46"/>
      <c r="AB1092" s="49"/>
      <c r="AC1092" s="42"/>
      <c r="AD1092" s="42"/>
      <c r="AE1092" s="50"/>
      <c r="AF1092" s="42"/>
      <c r="AG1092" s="42"/>
      <c r="AH1092" s="42"/>
      <c r="AI1092" s="42" t="str">
        <f t="array" ref="AI1092">XLOOKUP($E1092,Sheet11!$D:$D,Sheet11!$X:$X,"",0)</f>
        <v/>
      </c>
      <c r="AJ1092" s="42" t="str">
        <f t="array" ref="AJ1092">XLOOKUP($E1092,Sheet11!$D:$D,Sheet11!$Y:$Y,"",0)</f>
        <v/>
      </c>
    </row>
    <row r="1093">
      <c r="A1093" s="23"/>
      <c r="B1093" s="42"/>
      <c r="C1093" s="42"/>
      <c r="D1093" s="42"/>
      <c r="E1093" s="42"/>
      <c r="F1093" s="42"/>
      <c r="G1093" s="42"/>
      <c r="H1093" s="42"/>
      <c r="I1093" s="42"/>
      <c r="J1093" s="42"/>
      <c r="K1093" s="42"/>
      <c r="L1093" s="46"/>
      <c r="M1093" s="46"/>
      <c r="N1093" s="46"/>
      <c r="O1093" s="61"/>
      <c r="P1093" s="62"/>
      <c r="Q1093" s="46"/>
      <c r="R1093" s="47"/>
      <c r="S1093" s="62"/>
      <c r="T1093" s="62"/>
      <c r="U1093" s="46"/>
      <c r="V1093" s="61"/>
      <c r="W1093" s="62"/>
      <c r="X1093" s="47"/>
      <c r="Y1093" s="46"/>
      <c r="Z1093" s="46"/>
      <c r="AA1093" s="46"/>
      <c r="AB1093" s="49"/>
      <c r="AC1093" s="42"/>
      <c r="AD1093" s="42"/>
      <c r="AE1093" s="50"/>
      <c r="AF1093" s="42"/>
      <c r="AG1093" s="42"/>
      <c r="AH1093" s="42"/>
      <c r="AI1093" s="42" t="str">
        <f t="array" ref="AI1093">XLOOKUP($E1093,Sheet11!$D:$D,Sheet11!$X:$X,"",0)</f>
        <v/>
      </c>
      <c r="AJ1093" s="42" t="str">
        <f t="array" ref="AJ1093">XLOOKUP($E1093,Sheet11!$D:$D,Sheet11!$Y:$Y,"",0)</f>
        <v/>
      </c>
    </row>
    <row r="1094">
      <c r="A1094" s="23"/>
      <c r="B1094" s="42"/>
      <c r="C1094" s="42"/>
      <c r="D1094" s="42"/>
      <c r="E1094" s="42"/>
      <c r="F1094" s="42"/>
      <c r="G1094" s="42"/>
      <c r="H1094" s="42"/>
      <c r="I1094" s="42"/>
      <c r="J1094" s="42"/>
      <c r="K1094" s="42"/>
      <c r="L1094" s="46"/>
      <c r="M1094" s="46"/>
      <c r="N1094" s="46"/>
      <c r="O1094" s="61"/>
      <c r="P1094" s="62"/>
      <c r="Q1094" s="46"/>
      <c r="R1094" s="47"/>
      <c r="S1094" s="62"/>
      <c r="T1094" s="62"/>
      <c r="U1094" s="46"/>
      <c r="V1094" s="61"/>
      <c r="W1094" s="62"/>
      <c r="X1094" s="47"/>
      <c r="Y1094" s="46"/>
      <c r="Z1094" s="46"/>
      <c r="AA1094" s="46"/>
      <c r="AB1094" s="49"/>
      <c r="AC1094" s="42"/>
      <c r="AD1094" s="42"/>
      <c r="AE1094" s="50"/>
      <c r="AF1094" s="42"/>
      <c r="AG1094" s="42"/>
      <c r="AH1094" s="42"/>
      <c r="AI1094" s="42" t="str">
        <f t="array" ref="AI1094">XLOOKUP($E1094,Sheet11!$D:$D,Sheet11!$X:$X,"",0)</f>
        <v/>
      </c>
      <c r="AJ1094" s="42" t="str">
        <f t="array" ref="AJ1094">XLOOKUP($E1094,Sheet11!$D:$D,Sheet11!$Y:$Y,"",0)</f>
        <v/>
      </c>
    </row>
    <row r="1095">
      <c r="A1095" s="23"/>
      <c r="B1095" s="42"/>
      <c r="C1095" s="42"/>
      <c r="D1095" s="42"/>
      <c r="E1095" s="42"/>
      <c r="F1095" s="42"/>
      <c r="G1095" s="42"/>
      <c r="H1095" s="42"/>
      <c r="I1095" s="42"/>
      <c r="J1095" s="42"/>
      <c r="K1095" s="42"/>
      <c r="L1095" s="46"/>
      <c r="M1095" s="46"/>
      <c r="N1095" s="46"/>
      <c r="O1095" s="61"/>
      <c r="P1095" s="62"/>
      <c r="Q1095" s="46"/>
      <c r="R1095" s="47"/>
      <c r="S1095" s="62"/>
      <c r="T1095" s="62"/>
      <c r="U1095" s="46"/>
      <c r="V1095" s="61"/>
      <c r="W1095" s="62"/>
      <c r="X1095" s="47"/>
      <c r="Y1095" s="46"/>
      <c r="Z1095" s="46"/>
      <c r="AA1095" s="46"/>
      <c r="AB1095" s="49"/>
      <c r="AC1095" s="42"/>
      <c r="AD1095" s="42"/>
      <c r="AE1095" s="50"/>
      <c r="AF1095" s="42"/>
      <c r="AG1095" s="42"/>
      <c r="AH1095" s="42"/>
      <c r="AI1095" s="42" t="str">
        <f t="array" ref="AI1095">XLOOKUP($E1095,Sheet11!$D:$D,Sheet11!$X:$X,"",0)</f>
        <v/>
      </c>
      <c r="AJ1095" s="42" t="str">
        <f t="array" ref="AJ1095">XLOOKUP($E1095,Sheet11!$D:$D,Sheet11!$Y:$Y,"",0)</f>
        <v/>
      </c>
    </row>
    <row r="1096">
      <c r="A1096" s="23"/>
      <c r="B1096" s="42"/>
      <c r="C1096" s="42"/>
      <c r="D1096" s="42"/>
      <c r="E1096" s="42"/>
      <c r="F1096" s="42"/>
      <c r="G1096" s="42"/>
      <c r="H1096" s="42"/>
      <c r="I1096" s="42"/>
      <c r="J1096" s="42"/>
      <c r="K1096" s="42"/>
      <c r="L1096" s="46"/>
      <c r="M1096" s="46"/>
      <c r="N1096" s="46"/>
      <c r="O1096" s="61"/>
      <c r="P1096" s="62"/>
      <c r="Q1096" s="46"/>
      <c r="R1096" s="47"/>
      <c r="S1096" s="62"/>
      <c r="T1096" s="62"/>
      <c r="U1096" s="46"/>
      <c r="V1096" s="61"/>
      <c r="W1096" s="62"/>
      <c r="X1096" s="47"/>
      <c r="Y1096" s="46"/>
      <c r="Z1096" s="46"/>
      <c r="AA1096" s="46"/>
      <c r="AB1096" s="49"/>
      <c r="AC1096" s="42"/>
      <c r="AD1096" s="42"/>
      <c r="AE1096" s="50"/>
      <c r="AF1096" s="42"/>
      <c r="AG1096" s="42"/>
      <c r="AH1096" s="42"/>
      <c r="AI1096" s="42" t="str">
        <f t="array" ref="AI1096">XLOOKUP($E1096,Sheet11!$D:$D,Sheet11!$X:$X,"",0)</f>
        <v/>
      </c>
      <c r="AJ1096" s="42" t="str">
        <f t="array" ref="AJ1096">XLOOKUP($E1096,Sheet11!$D:$D,Sheet11!$Y:$Y,"",0)</f>
        <v/>
      </c>
    </row>
    <row r="1097">
      <c r="A1097" s="23"/>
      <c r="B1097" s="42"/>
      <c r="C1097" s="42"/>
      <c r="D1097" s="42"/>
      <c r="E1097" s="42"/>
      <c r="F1097" s="42"/>
      <c r="G1097" s="42"/>
      <c r="H1097" s="42"/>
      <c r="I1097" s="42"/>
      <c r="J1097" s="42"/>
      <c r="K1097" s="42"/>
      <c r="L1097" s="46"/>
      <c r="M1097" s="46"/>
      <c r="N1097" s="46"/>
      <c r="O1097" s="61"/>
      <c r="P1097" s="62"/>
      <c r="Q1097" s="46"/>
      <c r="R1097" s="47"/>
      <c r="S1097" s="62"/>
      <c r="T1097" s="62"/>
      <c r="U1097" s="46"/>
      <c r="V1097" s="61"/>
      <c r="W1097" s="62"/>
      <c r="X1097" s="47"/>
      <c r="Y1097" s="46"/>
      <c r="Z1097" s="46"/>
      <c r="AA1097" s="46"/>
      <c r="AB1097" s="49"/>
      <c r="AC1097" s="42"/>
      <c r="AD1097" s="42"/>
      <c r="AE1097" s="50"/>
      <c r="AF1097" s="42"/>
      <c r="AG1097" s="42"/>
      <c r="AH1097" s="42"/>
      <c r="AI1097" s="42" t="str">
        <f t="array" ref="AI1097">XLOOKUP($E1097,Sheet11!$D:$D,Sheet11!$X:$X,"",0)</f>
        <v/>
      </c>
      <c r="AJ1097" s="42" t="str">
        <f t="array" ref="AJ1097">XLOOKUP($E1097,Sheet11!$D:$D,Sheet11!$Y:$Y,"",0)</f>
        <v/>
      </c>
    </row>
    <row r="1098">
      <c r="A1098" s="23"/>
      <c r="B1098" s="42"/>
      <c r="C1098" s="42"/>
      <c r="D1098" s="42"/>
      <c r="E1098" s="42"/>
      <c r="F1098" s="42"/>
      <c r="G1098" s="42"/>
      <c r="H1098" s="42"/>
      <c r="I1098" s="42"/>
      <c r="J1098" s="42"/>
      <c r="K1098" s="42"/>
      <c r="L1098" s="46"/>
      <c r="M1098" s="46"/>
      <c r="N1098" s="46"/>
      <c r="O1098" s="61"/>
      <c r="P1098" s="62"/>
      <c r="Q1098" s="46"/>
      <c r="R1098" s="47"/>
      <c r="S1098" s="62"/>
      <c r="T1098" s="62"/>
      <c r="U1098" s="46"/>
      <c r="V1098" s="61"/>
      <c r="W1098" s="62"/>
      <c r="X1098" s="47"/>
      <c r="Y1098" s="46"/>
      <c r="Z1098" s="46"/>
      <c r="AA1098" s="46"/>
      <c r="AB1098" s="49"/>
      <c r="AC1098" s="42"/>
      <c r="AD1098" s="42"/>
      <c r="AE1098" s="50"/>
      <c r="AF1098" s="42"/>
      <c r="AG1098" s="42"/>
      <c r="AH1098" s="42"/>
      <c r="AI1098" s="42" t="str">
        <f t="array" ref="AI1098">XLOOKUP($E1098,Sheet11!$D:$D,Sheet11!$X:$X,"",0)</f>
        <v/>
      </c>
      <c r="AJ1098" s="42" t="str">
        <f t="array" ref="AJ1098">XLOOKUP($E1098,Sheet11!$D:$D,Sheet11!$Y:$Y,"",0)</f>
        <v/>
      </c>
    </row>
    <row r="1099">
      <c r="A1099" s="23"/>
      <c r="B1099" s="42"/>
      <c r="C1099" s="42"/>
      <c r="D1099" s="42"/>
      <c r="E1099" s="42"/>
      <c r="F1099" s="42"/>
      <c r="G1099" s="42"/>
      <c r="H1099" s="42"/>
      <c r="I1099" s="42"/>
      <c r="J1099" s="42"/>
      <c r="K1099" s="42"/>
      <c r="L1099" s="46"/>
      <c r="M1099" s="46"/>
      <c r="N1099" s="46"/>
      <c r="O1099" s="61"/>
      <c r="P1099" s="62"/>
      <c r="Q1099" s="46"/>
      <c r="R1099" s="47"/>
      <c r="S1099" s="62"/>
      <c r="T1099" s="62"/>
      <c r="U1099" s="46"/>
      <c r="V1099" s="61"/>
      <c r="W1099" s="62"/>
      <c r="X1099" s="47"/>
      <c r="Y1099" s="46"/>
      <c r="Z1099" s="46"/>
      <c r="AA1099" s="46"/>
      <c r="AB1099" s="49"/>
      <c r="AC1099" s="42"/>
      <c r="AD1099" s="42"/>
      <c r="AE1099" s="50"/>
      <c r="AF1099" s="42"/>
      <c r="AG1099" s="42"/>
      <c r="AH1099" s="42"/>
      <c r="AI1099" s="42" t="str">
        <f t="array" ref="AI1099">XLOOKUP($E1099,Sheet11!$D:$D,Sheet11!$X:$X,"",0)</f>
        <v/>
      </c>
      <c r="AJ1099" s="42" t="str">
        <f t="array" ref="AJ1099">XLOOKUP($E1099,Sheet11!$D:$D,Sheet11!$Y:$Y,"",0)</f>
        <v/>
      </c>
    </row>
    <row r="1100">
      <c r="A1100" s="23"/>
      <c r="B1100" s="42"/>
      <c r="C1100" s="42"/>
      <c r="D1100" s="42"/>
      <c r="E1100" s="42"/>
      <c r="F1100" s="42"/>
      <c r="G1100" s="42"/>
      <c r="H1100" s="42"/>
      <c r="I1100" s="42"/>
      <c r="J1100" s="42"/>
      <c r="K1100" s="42"/>
      <c r="L1100" s="46"/>
      <c r="M1100" s="46"/>
      <c r="N1100" s="46"/>
      <c r="O1100" s="61"/>
      <c r="P1100" s="62"/>
      <c r="Q1100" s="46"/>
      <c r="R1100" s="47"/>
      <c r="S1100" s="62"/>
      <c r="T1100" s="62"/>
      <c r="U1100" s="46"/>
      <c r="V1100" s="61"/>
      <c r="W1100" s="62"/>
      <c r="X1100" s="47"/>
      <c r="Y1100" s="46"/>
      <c r="Z1100" s="46"/>
      <c r="AA1100" s="46"/>
      <c r="AB1100" s="49"/>
      <c r="AC1100" s="42"/>
      <c r="AD1100" s="42"/>
      <c r="AE1100" s="50"/>
      <c r="AF1100" s="42"/>
      <c r="AG1100" s="42"/>
      <c r="AH1100" s="42"/>
      <c r="AI1100" s="42" t="str">
        <f t="array" ref="AI1100">XLOOKUP($E1100,Sheet11!$D:$D,Sheet11!$X:$X,"",0)</f>
        <v/>
      </c>
      <c r="AJ1100" s="42" t="str">
        <f t="array" ref="AJ1100">XLOOKUP($E1100,Sheet11!$D:$D,Sheet11!$Y:$Y,"",0)</f>
        <v/>
      </c>
    </row>
    <row r="1101">
      <c r="A1101" s="23"/>
      <c r="B1101" s="42"/>
      <c r="C1101" s="42"/>
      <c r="D1101" s="42"/>
      <c r="E1101" s="42"/>
      <c r="F1101" s="42"/>
      <c r="G1101" s="42"/>
      <c r="H1101" s="42"/>
      <c r="I1101" s="42"/>
      <c r="J1101" s="42"/>
      <c r="K1101" s="42"/>
      <c r="L1101" s="46"/>
      <c r="M1101" s="46"/>
      <c r="N1101" s="46"/>
      <c r="O1101" s="61"/>
      <c r="P1101" s="62"/>
      <c r="Q1101" s="46"/>
      <c r="R1101" s="47"/>
      <c r="S1101" s="62"/>
      <c r="T1101" s="62"/>
      <c r="U1101" s="46"/>
      <c r="V1101" s="61"/>
      <c r="W1101" s="62"/>
      <c r="X1101" s="47"/>
      <c r="Y1101" s="46"/>
      <c r="Z1101" s="46"/>
      <c r="AA1101" s="46"/>
      <c r="AB1101" s="49"/>
      <c r="AC1101" s="42"/>
      <c r="AD1101" s="42"/>
      <c r="AE1101" s="50"/>
      <c r="AF1101" s="42"/>
      <c r="AG1101" s="42"/>
      <c r="AH1101" s="42"/>
      <c r="AI1101" s="42" t="str">
        <f t="array" ref="AI1101">XLOOKUP($E1101,Sheet11!$D:$D,Sheet11!$X:$X,"",0)</f>
        <v/>
      </c>
      <c r="AJ1101" s="42" t="str">
        <f t="array" ref="AJ1101">XLOOKUP($E1101,Sheet11!$D:$D,Sheet11!$Y:$Y,"",0)</f>
        <v/>
      </c>
    </row>
    <row r="1102">
      <c r="A1102" s="23"/>
      <c r="B1102" s="42"/>
      <c r="C1102" s="42"/>
      <c r="D1102" s="42"/>
      <c r="E1102" s="42"/>
      <c r="F1102" s="42"/>
      <c r="G1102" s="42"/>
      <c r="H1102" s="42"/>
      <c r="I1102" s="42"/>
      <c r="J1102" s="42"/>
      <c r="K1102" s="42"/>
      <c r="L1102" s="46"/>
      <c r="M1102" s="46"/>
      <c r="N1102" s="46"/>
      <c r="O1102" s="61"/>
      <c r="P1102" s="62"/>
      <c r="Q1102" s="46"/>
      <c r="R1102" s="47"/>
      <c r="S1102" s="62"/>
      <c r="T1102" s="62"/>
      <c r="U1102" s="46"/>
      <c r="V1102" s="61"/>
      <c r="W1102" s="62"/>
      <c r="X1102" s="47"/>
      <c r="Y1102" s="46"/>
      <c r="Z1102" s="46"/>
      <c r="AA1102" s="46"/>
      <c r="AB1102" s="49"/>
      <c r="AC1102" s="42"/>
      <c r="AD1102" s="42"/>
      <c r="AE1102" s="50"/>
      <c r="AF1102" s="42"/>
      <c r="AG1102" s="42"/>
      <c r="AH1102" s="42"/>
      <c r="AI1102" s="42" t="str">
        <f t="array" ref="AI1102">XLOOKUP($E1102,Sheet11!$D:$D,Sheet11!$X:$X,"",0)</f>
        <v/>
      </c>
      <c r="AJ1102" s="42" t="str">
        <f t="array" ref="AJ1102">XLOOKUP($E1102,Sheet11!$D:$D,Sheet11!$Y:$Y,"",0)</f>
        <v/>
      </c>
    </row>
    <row r="1103">
      <c r="A1103" s="23"/>
      <c r="B1103" s="42"/>
      <c r="C1103" s="42"/>
      <c r="D1103" s="42"/>
      <c r="E1103" s="42"/>
      <c r="F1103" s="42"/>
      <c r="G1103" s="42"/>
      <c r="H1103" s="42"/>
      <c r="I1103" s="42"/>
      <c r="J1103" s="42"/>
      <c r="K1103" s="42"/>
      <c r="L1103" s="46"/>
      <c r="M1103" s="46"/>
      <c r="N1103" s="46"/>
      <c r="O1103" s="61"/>
      <c r="P1103" s="62"/>
      <c r="Q1103" s="46"/>
      <c r="R1103" s="47"/>
      <c r="S1103" s="62"/>
      <c r="T1103" s="62"/>
      <c r="U1103" s="46"/>
      <c r="V1103" s="61"/>
      <c r="W1103" s="62"/>
      <c r="X1103" s="47"/>
      <c r="Y1103" s="46"/>
      <c r="Z1103" s="46"/>
      <c r="AA1103" s="46"/>
      <c r="AB1103" s="49"/>
      <c r="AC1103" s="42"/>
      <c r="AD1103" s="42"/>
      <c r="AE1103" s="50"/>
      <c r="AF1103" s="42"/>
      <c r="AG1103" s="42"/>
      <c r="AH1103" s="42"/>
      <c r="AI1103" s="42" t="str">
        <f t="array" ref="AI1103">XLOOKUP($E1103,Sheet11!$D:$D,Sheet11!$X:$X,"",0)</f>
        <v/>
      </c>
      <c r="AJ1103" s="42" t="str">
        <f t="array" ref="AJ1103">XLOOKUP($E1103,Sheet11!$D:$D,Sheet11!$Y:$Y,"",0)</f>
        <v/>
      </c>
    </row>
    <row r="1104">
      <c r="A1104" s="23"/>
      <c r="B1104" s="42"/>
      <c r="C1104" s="42"/>
      <c r="D1104" s="42"/>
      <c r="E1104" s="42"/>
      <c r="F1104" s="42"/>
      <c r="G1104" s="42"/>
      <c r="H1104" s="42"/>
      <c r="I1104" s="42"/>
      <c r="J1104" s="42"/>
      <c r="K1104" s="42"/>
      <c r="L1104" s="46"/>
      <c r="M1104" s="46"/>
      <c r="N1104" s="46"/>
      <c r="O1104" s="61"/>
      <c r="P1104" s="62"/>
      <c r="Q1104" s="46"/>
      <c r="R1104" s="47"/>
      <c r="S1104" s="62"/>
      <c r="T1104" s="62"/>
      <c r="U1104" s="46"/>
      <c r="V1104" s="61"/>
      <c r="W1104" s="62"/>
      <c r="X1104" s="47"/>
      <c r="Y1104" s="46"/>
      <c r="Z1104" s="46"/>
      <c r="AA1104" s="46"/>
      <c r="AB1104" s="49"/>
      <c r="AC1104" s="42"/>
      <c r="AD1104" s="42"/>
      <c r="AE1104" s="50"/>
      <c r="AF1104" s="42"/>
      <c r="AG1104" s="42"/>
      <c r="AH1104" s="42"/>
      <c r="AI1104" s="42" t="str">
        <f t="array" ref="AI1104">XLOOKUP($E1104,Sheet11!$D:$D,Sheet11!$X:$X,"",0)</f>
        <v/>
      </c>
      <c r="AJ1104" s="42" t="str">
        <f t="array" ref="AJ1104">XLOOKUP($E1104,Sheet11!$D:$D,Sheet11!$Y:$Y,"",0)</f>
        <v/>
      </c>
    </row>
    <row r="1105">
      <c r="A1105" s="23"/>
      <c r="B1105" s="42"/>
      <c r="C1105" s="42"/>
      <c r="D1105" s="42"/>
      <c r="E1105" s="42"/>
      <c r="F1105" s="42"/>
      <c r="G1105" s="42"/>
      <c r="H1105" s="42"/>
      <c r="I1105" s="42"/>
      <c r="J1105" s="42"/>
      <c r="K1105" s="42"/>
      <c r="L1105" s="46"/>
      <c r="M1105" s="46"/>
      <c r="N1105" s="46"/>
      <c r="O1105" s="61"/>
      <c r="P1105" s="62"/>
      <c r="Q1105" s="46"/>
      <c r="R1105" s="47"/>
      <c r="S1105" s="62"/>
      <c r="T1105" s="62"/>
      <c r="U1105" s="46"/>
      <c r="V1105" s="61"/>
      <c r="W1105" s="62"/>
      <c r="X1105" s="47"/>
      <c r="Y1105" s="46"/>
      <c r="Z1105" s="46"/>
      <c r="AA1105" s="46"/>
      <c r="AB1105" s="49"/>
      <c r="AC1105" s="42"/>
      <c r="AD1105" s="42"/>
      <c r="AE1105" s="50"/>
      <c r="AF1105" s="42"/>
      <c r="AG1105" s="42"/>
      <c r="AH1105" s="42"/>
      <c r="AI1105" s="42" t="str">
        <f t="array" ref="AI1105">XLOOKUP($E1105,Sheet11!$D:$D,Sheet11!$X:$X,"",0)</f>
        <v/>
      </c>
      <c r="AJ1105" s="42" t="str">
        <f t="array" ref="AJ1105">XLOOKUP($E1105,Sheet11!$D:$D,Sheet11!$Y:$Y,"",0)</f>
        <v/>
      </c>
    </row>
    <row r="1106">
      <c r="A1106" s="23"/>
      <c r="B1106" s="42"/>
      <c r="C1106" s="42"/>
      <c r="D1106" s="42"/>
      <c r="E1106" s="42"/>
      <c r="F1106" s="42"/>
      <c r="G1106" s="42"/>
      <c r="H1106" s="42"/>
      <c r="I1106" s="42"/>
      <c r="J1106" s="42"/>
      <c r="K1106" s="42"/>
      <c r="L1106" s="46"/>
      <c r="M1106" s="46"/>
      <c r="N1106" s="46"/>
      <c r="O1106" s="61"/>
      <c r="P1106" s="62"/>
      <c r="Q1106" s="46"/>
      <c r="R1106" s="47"/>
      <c r="S1106" s="62"/>
      <c r="T1106" s="62"/>
      <c r="U1106" s="46"/>
      <c r="V1106" s="61"/>
      <c r="W1106" s="62"/>
      <c r="X1106" s="47"/>
      <c r="Y1106" s="46"/>
      <c r="Z1106" s="46"/>
      <c r="AA1106" s="46"/>
      <c r="AB1106" s="49"/>
      <c r="AC1106" s="42"/>
      <c r="AD1106" s="42"/>
      <c r="AE1106" s="50"/>
      <c r="AF1106" s="42"/>
      <c r="AG1106" s="42"/>
      <c r="AH1106" s="42"/>
      <c r="AI1106" s="42" t="str">
        <f t="array" ref="AI1106">XLOOKUP($E1106,Sheet11!$D:$D,Sheet11!$X:$X,"",0)</f>
        <v/>
      </c>
      <c r="AJ1106" s="42" t="str">
        <f t="array" ref="AJ1106">XLOOKUP($E1106,Sheet11!$D:$D,Sheet11!$Y:$Y,"",0)</f>
        <v/>
      </c>
    </row>
    <row r="1107">
      <c r="A1107" s="23"/>
      <c r="B1107" s="42"/>
      <c r="C1107" s="42"/>
      <c r="D1107" s="42"/>
      <c r="E1107" s="42"/>
      <c r="F1107" s="42"/>
      <c r="G1107" s="42"/>
      <c r="H1107" s="42"/>
      <c r="I1107" s="42"/>
      <c r="J1107" s="42"/>
      <c r="K1107" s="42"/>
      <c r="L1107" s="46"/>
      <c r="M1107" s="46"/>
      <c r="N1107" s="46"/>
      <c r="O1107" s="61"/>
      <c r="P1107" s="62"/>
      <c r="Q1107" s="46"/>
      <c r="R1107" s="47"/>
      <c r="S1107" s="62"/>
      <c r="T1107" s="62"/>
      <c r="U1107" s="46"/>
      <c r="V1107" s="61"/>
      <c r="W1107" s="62"/>
      <c r="X1107" s="47"/>
      <c r="Y1107" s="46"/>
      <c r="Z1107" s="46"/>
      <c r="AA1107" s="46"/>
      <c r="AB1107" s="49"/>
      <c r="AC1107" s="42"/>
      <c r="AD1107" s="42"/>
      <c r="AE1107" s="50"/>
      <c r="AF1107" s="42"/>
      <c r="AG1107" s="42"/>
      <c r="AH1107" s="42"/>
      <c r="AI1107" s="42" t="str">
        <f t="array" ref="AI1107">XLOOKUP($E1107,Sheet11!$D:$D,Sheet11!$X:$X,"",0)</f>
        <v/>
      </c>
      <c r="AJ1107" s="42" t="str">
        <f t="array" ref="AJ1107">XLOOKUP($E1107,Sheet11!$D:$D,Sheet11!$Y:$Y,"",0)</f>
        <v/>
      </c>
    </row>
    <row r="1108">
      <c r="A1108" s="23"/>
      <c r="B1108" s="42"/>
      <c r="C1108" s="42"/>
      <c r="D1108" s="42"/>
      <c r="E1108" s="42"/>
      <c r="F1108" s="42"/>
      <c r="G1108" s="42"/>
      <c r="H1108" s="42"/>
      <c r="I1108" s="42"/>
      <c r="J1108" s="42"/>
      <c r="K1108" s="42"/>
      <c r="L1108" s="46"/>
      <c r="M1108" s="46"/>
      <c r="N1108" s="46"/>
      <c r="O1108" s="61"/>
      <c r="P1108" s="62"/>
      <c r="Q1108" s="46"/>
      <c r="R1108" s="47"/>
      <c r="S1108" s="62"/>
      <c r="T1108" s="62"/>
      <c r="U1108" s="46"/>
      <c r="V1108" s="61"/>
      <c r="W1108" s="62"/>
      <c r="X1108" s="47"/>
      <c r="Y1108" s="46"/>
      <c r="Z1108" s="46"/>
      <c r="AA1108" s="46"/>
      <c r="AB1108" s="49"/>
      <c r="AC1108" s="42"/>
      <c r="AD1108" s="42"/>
      <c r="AE1108" s="50"/>
      <c r="AF1108" s="42"/>
      <c r="AG1108" s="42"/>
      <c r="AH1108" s="42"/>
      <c r="AI1108" s="42" t="str">
        <f t="array" ref="AI1108">XLOOKUP($E1108,Sheet11!$D:$D,Sheet11!$X:$X,"",0)</f>
        <v/>
      </c>
      <c r="AJ1108" s="42" t="str">
        <f t="array" ref="AJ1108">XLOOKUP($E1108,Sheet11!$D:$D,Sheet11!$Y:$Y,"",0)</f>
        <v/>
      </c>
    </row>
    <row r="1109">
      <c r="A1109" s="23"/>
      <c r="B1109" s="42"/>
      <c r="C1109" s="42"/>
      <c r="D1109" s="42"/>
      <c r="E1109" s="42"/>
      <c r="F1109" s="42"/>
      <c r="G1109" s="42"/>
      <c r="H1109" s="42"/>
      <c r="I1109" s="42"/>
      <c r="J1109" s="42"/>
      <c r="K1109" s="42"/>
      <c r="L1109" s="46"/>
      <c r="M1109" s="46"/>
      <c r="N1109" s="46"/>
      <c r="O1109" s="61"/>
      <c r="P1109" s="62"/>
      <c r="Q1109" s="46"/>
      <c r="R1109" s="47"/>
      <c r="S1109" s="62"/>
      <c r="T1109" s="62"/>
      <c r="U1109" s="46"/>
      <c r="V1109" s="61"/>
      <c r="W1109" s="62"/>
      <c r="X1109" s="47"/>
      <c r="Y1109" s="46"/>
      <c r="Z1109" s="46"/>
      <c r="AA1109" s="46"/>
      <c r="AB1109" s="49"/>
      <c r="AC1109" s="42"/>
      <c r="AD1109" s="42"/>
      <c r="AE1109" s="50"/>
      <c r="AF1109" s="42"/>
      <c r="AG1109" s="42"/>
      <c r="AH1109" s="42"/>
      <c r="AI1109" s="42" t="str">
        <f t="array" ref="AI1109">XLOOKUP($E1109,Sheet11!$D:$D,Sheet11!$X:$X,"",0)</f>
        <v/>
      </c>
      <c r="AJ1109" s="42" t="str">
        <f t="array" ref="AJ1109">XLOOKUP($E1109,Sheet11!$D:$D,Sheet11!$Y:$Y,"",0)</f>
        <v/>
      </c>
    </row>
    <row r="1110">
      <c r="A1110" s="23"/>
      <c r="B1110" s="42"/>
      <c r="C1110" s="42"/>
      <c r="D1110" s="42"/>
      <c r="E1110" s="42"/>
      <c r="F1110" s="42"/>
      <c r="G1110" s="42"/>
      <c r="H1110" s="42"/>
      <c r="I1110" s="42"/>
      <c r="J1110" s="42"/>
      <c r="K1110" s="42"/>
      <c r="L1110" s="46"/>
      <c r="M1110" s="46"/>
      <c r="N1110" s="46"/>
      <c r="O1110" s="61"/>
      <c r="P1110" s="62"/>
      <c r="Q1110" s="46"/>
      <c r="R1110" s="47"/>
      <c r="S1110" s="62"/>
      <c r="T1110" s="62"/>
      <c r="U1110" s="46"/>
      <c r="V1110" s="61"/>
      <c r="W1110" s="62"/>
      <c r="X1110" s="47"/>
      <c r="Y1110" s="46"/>
      <c r="Z1110" s="46"/>
      <c r="AA1110" s="46"/>
      <c r="AB1110" s="49"/>
      <c r="AC1110" s="42"/>
      <c r="AD1110" s="42"/>
      <c r="AE1110" s="50"/>
      <c r="AF1110" s="42"/>
      <c r="AG1110" s="42"/>
      <c r="AH1110" s="42"/>
      <c r="AI1110" s="42" t="str">
        <f t="array" ref="AI1110">XLOOKUP($E1110,Sheet11!$D:$D,Sheet11!$X:$X,"",0)</f>
        <v/>
      </c>
      <c r="AJ1110" s="42" t="str">
        <f t="array" ref="AJ1110">XLOOKUP($E1110,Sheet11!$D:$D,Sheet11!$Y:$Y,"",0)</f>
        <v/>
      </c>
    </row>
    <row r="1111">
      <c r="A1111" s="23"/>
      <c r="B1111" s="42"/>
      <c r="C1111" s="42"/>
      <c r="D1111" s="42"/>
      <c r="E1111" s="42"/>
      <c r="F1111" s="42"/>
      <c r="G1111" s="42"/>
      <c r="H1111" s="42"/>
      <c r="I1111" s="42"/>
      <c r="J1111" s="42"/>
      <c r="K1111" s="42"/>
      <c r="L1111" s="46"/>
      <c r="M1111" s="46"/>
      <c r="N1111" s="46"/>
      <c r="O1111" s="61"/>
      <c r="P1111" s="62"/>
      <c r="Q1111" s="46"/>
      <c r="R1111" s="47"/>
      <c r="S1111" s="62"/>
      <c r="T1111" s="62"/>
      <c r="U1111" s="46"/>
      <c r="V1111" s="61"/>
      <c r="W1111" s="62"/>
      <c r="X1111" s="47"/>
      <c r="Y1111" s="46"/>
      <c r="Z1111" s="46"/>
      <c r="AA1111" s="46"/>
      <c r="AB1111" s="49"/>
      <c r="AC1111" s="42"/>
      <c r="AD1111" s="42"/>
      <c r="AE1111" s="50"/>
      <c r="AF1111" s="42"/>
      <c r="AG1111" s="42"/>
      <c r="AH1111" s="42"/>
      <c r="AI1111" s="42" t="str">
        <f t="array" ref="AI1111">XLOOKUP($E1111,Sheet11!$D:$D,Sheet11!$X:$X,"",0)</f>
        <v/>
      </c>
      <c r="AJ1111" s="42" t="str">
        <f t="array" ref="AJ1111">XLOOKUP($E1111,Sheet11!$D:$D,Sheet11!$Y:$Y,"",0)</f>
        <v/>
      </c>
    </row>
    <row r="1112">
      <c r="A1112" s="23"/>
      <c r="B1112" s="42"/>
      <c r="C1112" s="42"/>
      <c r="D1112" s="42"/>
      <c r="E1112" s="42"/>
      <c r="F1112" s="42"/>
      <c r="G1112" s="42"/>
      <c r="H1112" s="42"/>
      <c r="I1112" s="42"/>
      <c r="J1112" s="42"/>
      <c r="K1112" s="42"/>
      <c r="L1112" s="46"/>
      <c r="M1112" s="46"/>
      <c r="N1112" s="46"/>
      <c r="O1112" s="61"/>
      <c r="P1112" s="62"/>
      <c r="Q1112" s="46"/>
      <c r="R1112" s="47"/>
      <c r="S1112" s="62"/>
      <c r="T1112" s="62"/>
      <c r="U1112" s="46"/>
      <c r="V1112" s="61"/>
      <c r="W1112" s="62"/>
      <c r="X1112" s="47"/>
      <c r="Y1112" s="46"/>
      <c r="Z1112" s="46"/>
      <c r="AA1112" s="46"/>
      <c r="AB1112" s="49"/>
      <c r="AC1112" s="42"/>
      <c r="AD1112" s="42"/>
      <c r="AE1112" s="50"/>
      <c r="AF1112" s="42"/>
      <c r="AG1112" s="42"/>
      <c r="AH1112" s="42"/>
      <c r="AI1112" s="42" t="str">
        <f t="array" ref="AI1112">XLOOKUP($E1112,Sheet11!$D:$D,Sheet11!$X:$X,"",0)</f>
        <v/>
      </c>
      <c r="AJ1112" s="42" t="str">
        <f t="array" ref="AJ1112">XLOOKUP($E1112,Sheet11!$D:$D,Sheet11!$Y:$Y,"",0)</f>
        <v/>
      </c>
    </row>
    <row r="1113">
      <c r="A1113" s="23"/>
      <c r="B1113" s="42"/>
      <c r="C1113" s="42"/>
      <c r="D1113" s="42"/>
      <c r="E1113" s="42"/>
      <c r="F1113" s="42"/>
      <c r="G1113" s="42"/>
      <c r="H1113" s="42"/>
      <c r="I1113" s="42"/>
      <c r="J1113" s="42"/>
      <c r="K1113" s="42"/>
      <c r="L1113" s="46"/>
      <c r="M1113" s="46"/>
      <c r="N1113" s="46"/>
      <c r="O1113" s="61"/>
      <c r="P1113" s="62"/>
      <c r="Q1113" s="46"/>
      <c r="R1113" s="47"/>
      <c r="S1113" s="62"/>
      <c r="T1113" s="62"/>
      <c r="U1113" s="46"/>
      <c r="V1113" s="61"/>
      <c r="W1113" s="62"/>
      <c r="X1113" s="47"/>
      <c r="Y1113" s="46"/>
      <c r="Z1113" s="46"/>
      <c r="AA1113" s="46"/>
      <c r="AB1113" s="49"/>
      <c r="AC1113" s="42"/>
      <c r="AD1113" s="42"/>
      <c r="AE1113" s="50"/>
      <c r="AF1113" s="42"/>
      <c r="AG1113" s="42"/>
      <c r="AH1113" s="42"/>
      <c r="AI1113" s="42" t="str">
        <f t="array" ref="AI1113">XLOOKUP($E1113,Sheet11!$D:$D,Sheet11!$X:$X,"",0)</f>
        <v/>
      </c>
      <c r="AJ1113" s="42" t="str">
        <f t="array" ref="AJ1113">XLOOKUP($E1113,Sheet11!$D:$D,Sheet11!$Y:$Y,"",0)</f>
        <v/>
      </c>
    </row>
    <row r="1114">
      <c r="A1114" s="23"/>
      <c r="B1114" s="42"/>
      <c r="C1114" s="42"/>
      <c r="D1114" s="42"/>
      <c r="E1114" s="42"/>
      <c r="F1114" s="42"/>
      <c r="G1114" s="42"/>
      <c r="H1114" s="42"/>
      <c r="I1114" s="42"/>
      <c r="J1114" s="42"/>
      <c r="K1114" s="42"/>
      <c r="L1114" s="46"/>
      <c r="M1114" s="46"/>
      <c r="N1114" s="46"/>
      <c r="O1114" s="61"/>
      <c r="P1114" s="62"/>
      <c r="Q1114" s="46"/>
      <c r="R1114" s="47"/>
      <c r="S1114" s="62"/>
      <c r="T1114" s="62"/>
      <c r="U1114" s="46"/>
      <c r="V1114" s="61"/>
      <c r="W1114" s="62"/>
      <c r="X1114" s="47"/>
      <c r="Y1114" s="46"/>
      <c r="Z1114" s="46"/>
      <c r="AA1114" s="46"/>
      <c r="AB1114" s="49"/>
      <c r="AC1114" s="42"/>
      <c r="AD1114" s="42"/>
      <c r="AE1114" s="50"/>
      <c r="AF1114" s="42"/>
      <c r="AG1114" s="42"/>
      <c r="AH1114" s="42"/>
      <c r="AI1114" s="42" t="str">
        <f t="array" ref="AI1114">XLOOKUP($E1114,Sheet11!$D:$D,Sheet11!$X:$X,"",0)</f>
        <v/>
      </c>
      <c r="AJ1114" s="42" t="str">
        <f t="array" ref="AJ1114">XLOOKUP($E1114,Sheet11!$D:$D,Sheet11!$Y:$Y,"",0)</f>
        <v/>
      </c>
    </row>
    <row r="1115">
      <c r="A1115" s="23"/>
      <c r="B1115" s="42"/>
      <c r="C1115" s="42"/>
      <c r="D1115" s="42"/>
      <c r="E1115" s="42"/>
      <c r="F1115" s="42"/>
      <c r="G1115" s="42"/>
      <c r="H1115" s="42"/>
      <c r="I1115" s="42"/>
      <c r="J1115" s="42"/>
      <c r="K1115" s="42"/>
      <c r="L1115" s="46"/>
      <c r="M1115" s="46"/>
      <c r="N1115" s="46"/>
      <c r="O1115" s="61"/>
      <c r="P1115" s="62"/>
      <c r="Q1115" s="46"/>
      <c r="R1115" s="47"/>
      <c r="S1115" s="62"/>
      <c r="T1115" s="62"/>
      <c r="U1115" s="46"/>
      <c r="V1115" s="61"/>
      <c r="W1115" s="62"/>
      <c r="X1115" s="47"/>
      <c r="Y1115" s="46"/>
      <c r="Z1115" s="46"/>
      <c r="AA1115" s="46"/>
      <c r="AB1115" s="49"/>
      <c r="AC1115" s="42"/>
      <c r="AD1115" s="42"/>
      <c r="AE1115" s="50"/>
      <c r="AF1115" s="42"/>
      <c r="AG1115" s="42"/>
      <c r="AH1115" s="42"/>
      <c r="AI1115" s="42" t="str">
        <f t="array" ref="AI1115">XLOOKUP($E1115,Sheet11!$D:$D,Sheet11!$X:$X,"",0)</f>
        <v/>
      </c>
      <c r="AJ1115" s="42" t="str">
        <f t="array" ref="AJ1115">XLOOKUP($E1115,Sheet11!$D:$D,Sheet11!$Y:$Y,"",0)</f>
        <v/>
      </c>
    </row>
    <row r="1116">
      <c r="A1116" s="23"/>
      <c r="B1116" s="42"/>
      <c r="C1116" s="42"/>
      <c r="D1116" s="42"/>
      <c r="E1116" s="42"/>
      <c r="F1116" s="42"/>
      <c r="G1116" s="42"/>
      <c r="H1116" s="42"/>
      <c r="I1116" s="42"/>
      <c r="J1116" s="42"/>
      <c r="K1116" s="42"/>
      <c r="L1116" s="46"/>
      <c r="M1116" s="46"/>
      <c r="N1116" s="46"/>
      <c r="O1116" s="61"/>
      <c r="P1116" s="62"/>
      <c r="Q1116" s="46"/>
      <c r="R1116" s="47"/>
      <c r="S1116" s="62"/>
      <c r="T1116" s="62"/>
      <c r="U1116" s="46"/>
      <c r="V1116" s="61"/>
      <c r="W1116" s="62"/>
      <c r="X1116" s="47"/>
      <c r="Y1116" s="46"/>
      <c r="Z1116" s="46"/>
      <c r="AA1116" s="46"/>
      <c r="AB1116" s="49"/>
      <c r="AC1116" s="42"/>
      <c r="AD1116" s="42"/>
      <c r="AE1116" s="50"/>
      <c r="AF1116" s="42"/>
      <c r="AG1116" s="42"/>
      <c r="AH1116" s="42"/>
      <c r="AI1116" s="42" t="str">
        <f t="array" ref="AI1116">XLOOKUP($E1116,Sheet11!$D:$D,Sheet11!$X:$X,"",0)</f>
        <v/>
      </c>
      <c r="AJ1116" s="42" t="str">
        <f t="array" ref="AJ1116">XLOOKUP($E1116,Sheet11!$D:$D,Sheet11!$Y:$Y,"",0)</f>
        <v/>
      </c>
    </row>
    <row r="1117">
      <c r="A1117" s="23"/>
      <c r="B1117" s="42"/>
      <c r="C1117" s="42"/>
      <c r="D1117" s="42"/>
      <c r="E1117" s="42"/>
      <c r="F1117" s="42"/>
      <c r="G1117" s="42"/>
      <c r="H1117" s="42"/>
      <c r="I1117" s="42"/>
      <c r="J1117" s="42"/>
      <c r="K1117" s="42"/>
      <c r="L1117" s="46"/>
      <c r="M1117" s="46"/>
      <c r="N1117" s="46"/>
      <c r="O1117" s="61"/>
      <c r="P1117" s="62"/>
      <c r="Q1117" s="46"/>
      <c r="R1117" s="47"/>
      <c r="S1117" s="62"/>
      <c r="T1117" s="62"/>
      <c r="U1117" s="46"/>
      <c r="V1117" s="61"/>
      <c r="W1117" s="62"/>
      <c r="X1117" s="47"/>
      <c r="Y1117" s="46"/>
      <c r="Z1117" s="46"/>
      <c r="AA1117" s="46"/>
      <c r="AB1117" s="49"/>
      <c r="AC1117" s="42"/>
      <c r="AD1117" s="42"/>
      <c r="AE1117" s="50"/>
      <c r="AF1117" s="42"/>
      <c r="AG1117" s="42"/>
      <c r="AH1117" s="42"/>
      <c r="AI1117" s="42" t="str">
        <f t="array" ref="AI1117">XLOOKUP($E1117,Sheet11!$D:$D,Sheet11!$X:$X,"",0)</f>
        <v/>
      </c>
      <c r="AJ1117" s="42" t="str">
        <f t="array" ref="AJ1117">XLOOKUP($E1117,Sheet11!$D:$D,Sheet11!$Y:$Y,"",0)</f>
        <v/>
      </c>
    </row>
    <row r="1118">
      <c r="A1118" s="23"/>
      <c r="B1118" s="42"/>
      <c r="C1118" s="42"/>
      <c r="D1118" s="42"/>
      <c r="E1118" s="42"/>
      <c r="F1118" s="42"/>
      <c r="G1118" s="42"/>
      <c r="H1118" s="42"/>
      <c r="I1118" s="42"/>
      <c r="J1118" s="42"/>
      <c r="K1118" s="42"/>
      <c r="L1118" s="46"/>
      <c r="M1118" s="46"/>
      <c r="N1118" s="46"/>
      <c r="O1118" s="61"/>
      <c r="P1118" s="62"/>
      <c r="Q1118" s="46"/>
      <c r="R1118" s="47"/>
      <c r="S1118" s="62"/>
      <c r="T1118" s="62"/>
      <c r="U1118" s="46"/>
      <c r="V1118" s="61"/>
      <c r="W1118" s="62"/>
      <c r="X1118" s="47"/>
      <c r="Y1118" s="46"/>
      <c r="Z1118" s="46"/>
      <c r="AA1118" s="46"/>
      <c r="AB1118" s="49"/>
      <c r="AC1118" s="42"/>
      <c r="AD1118" s="42"/>
      <c r="AE1118" s="50"/>
      <c r="AF1118" s="42"/>
      <c r="AG1118" s="42"/>
      <c r="AH1118" s="42"/>
      <c r="AI1118" s="42" t="str">
        <f t="array" ref="AI1118">XLOOKUP($E1118,Sheet11!$D:$D,Sheet11!$X:$X,"",0)</f>
        <v/>
      </c>
      <c r="AJ1118" s="42" t="str">
        <f t="array" ref="AJ1118">XLOOKUP($E1118,Sheet11!$D:$D,Sheet11!$Y:$Y,"",0)</f>
        <v/>
      </c>
    </row>
    <row r="1119">
      <c r="A1119" s="23"/>
      <c r="B1119" s="42"/>
      <c r="C1119" s="42"/>
      <c r="D1119" s="42"/>
      <c r="E1119" s="42"/>
      <c r="F1119" s="42"/>
      <c r="G1119" s="42"/>
      <c r="H1119" s="42"/>
      <c r="I1119" s="42"/>
      <c r="J1119" s="42"/>
      <c r="K1119" s="42"/>
      <c r="L1119" s="46"/>
      <c r="M1119" s="46"/>
      <c r="N1119" s="46"/>
      <c r="O1119" s="61"/>
      <c r="P1119" s="62"/>
      <c r="Q1119" s="46"/>
      <c r="R1119" s="47"/>
      <c r="S1119" s="62"/>
      <c r="T1119" s="62"/>
      <c r="U1119" s="46"/>
      <c r="V1119" s="61"/>
      <c r="W1119" s="62"/>
      <c r="X1119" s="47"/>
      <c r="Y1119" s="46"/>
      <c r="Z1119" s="46"/>
      <c r="AA1119" s="46"/>
      <c r="AB1119" s="49"/>
      <c r="AC1119" s="42"/>
      <c r="AD1119" s="42"/>
      <c r="AE1119" s="50"/>
      <c r="AF1119" s="42"/>
      <c r="AG1119" s="42"/>
      <c r="AH1119" s="42"/>
      <c r="AI1119" s="42" t="str">
        <f t="array" ref="AI1119">XLOOKUP($E1119,Sheet11!$D:$D,Sheet11!$X:$X,"",0)</f>
        <v/>
      </c>
      <c r="AJ1119" s="42" t="str">
        <f t="array" ref="AJ1119">XLOOKUP($E1119,Sheet11!$D:$D,Sheet11!$Y:$Y,"",0)</f>
        <v/>
      </c>
    </row>
    <row r="1120">
      <c r="A1120" s="23"/>
      <c r="B1120" s="42"/>
      <c r="C1120" s="42"/>
      <c r="D1120" s="42"/>
      <c r="E1120" s="42"/>
      <c r="F1120" s="42"/>
      <c r="G1120" s="42"/>
      <c r="H1120" s="42"/>
      <c r="I1120" s="42"/>
      <c r="J1120" s="42"/>
      <c r="K1120" s="42"/>
      <c r="L1120" s="46"/>
      <c r="M1120" s="46"/>
      <c r="N1120" s="46"/>
      <c r="O1120" s="61"/>
      <c r="P1120" s="62"/>
      <c r="Q1120" s="46"/>
      <c r="R1120" s="47"/>
      <c r="S1120" s="62"/>
      <c r="T1120" s="62"/>
      <c r="U1120" s="46"/>
      <c r="V1120" s="61"/>
      <c r="W1120" s="62"/>
      <c r="X1120" s="47"/>
      <c r="Y1120" s="46"/>
      <c r="Z1120" s="46"/>
      <c r="AA1120" s="46"/>
      <c r="AB1120" s="49"/>
      <c r="AC1120" s="42"/>
      <c r="AD1120" s="42"/>
      <c r="AE1120" s="50"/>
      <c r="AF1120" s="42"/>
      <c r="AG1120" s="42"/>
      <c r="AH1120" s="42"/>
      <c r="AI1120" s="42" t="str">
        <f t="array" ref="AI1120">XLOOKUP($E1120,Sheet11!$D:$D,Sheet11!$X:$X,"",0)</f>
        <v/>
      </c>
      <c r="AJ1120" s="42" t="str">
        <f t="array" ref="AJ1120">XLOOKUP($E1120,Sheet11!$D:$D,Sheet11!$Y:$Y,"",0)</f>
        <v/>
      </c>
    </row>
    <row r="1121">
      <c r="A1121" s="23"/>
      <c r="B1121" s="42"/>
      <c r="C1121" s="42"/>
      <c r="D1121" s="42"/>
      <c r="E1121" s="42"/>
      <c r="F1121" s="42"/>
      <c r="G1121" s="42"/>
      <c r="H1121" s="42"/>
      <c r="I1121" s="42"/>
      <c r="J1121" s="42"/>
      <c r="K1121" s="42"/>
      <c r="L1121" s="46"/>
      <c r="M1121" s="46"/>
      <c r="N1121" s="46"/>
      <c r="O1121" s="61"/>
      <c r="P1121" s="62"/>
      <c r="Q1121" s="46"/>
      <c r="R1121" s="47"/>
      <c r="S1121" s="62"/>
      <c r="T1121" s="62"/>
      <c r="U1121" s="46"/>
      <c r="V1121" s="61"/>
      <c r="W1121" s="62"/>
      <c r="X1121" s="47"/>
      <c r="Y1121" s="46"/>
      <c r="Z1121" s="46"/>
      <c r="AA1121" s="46"/>
      <c r="AB1121" s="49"/>
      <c r="AC1121" s="42"/>
      <c r="AD1121" s="42"/>
      <c r="AE1121" s="50"/>
      <c r="AF1121" s="42"/>
      <c r="AG1121" s="42"/>
      <c r="AH1121" s="42"/>
      <c r="AI1121" s="42" t="str">
        <f t="array" ref="AI1121">XLOOKUP($E1121,Sheet11!$D:$D,Sheet11!$X:$X,"",0)</f>
        <v/>
      </c>
      <c r="AJ1121" s="42" t="str">
        <f t="array" ref="AJ1121">XLOOKUP($E1121,Sheet11!$D:$D,Sheet11!$Y:$Y,"",0)</f>
        <v/>
      </c>
    </row>
    <row r="1122">
      <c r="A1122" s="23"/>
      <c r="B1122" s="42"/>
      <c r="C1122" s="42"/>
      <c r="D1122" s="42"/>
      <c r="E1122" s="42"/>
      <c r="F1122" s="42"/>
      <c r="G1122" s="42"/>
      <c r="H1122" s="42"/>
      <c r="I1122" s="42"/>
      <c r="J1122" s="42"/>
      <c r="K1122" s="42"/>
      <c r="L1122" s="46"/>
      <c r="M1122" s="46"/>
      <c r="N1122" s="46"/>
      <c r="O1122" s="61"/>
      <c r="P1122" s="62"/>
      <c r="Q1122" s="46"/>
      <c r="R1122" s="47"/>
      <c r="S1122" s="62"/>
      <c r="T1122" s="62"/>
      <c r="U1122" s="46"/>
      <c r="V1122" s="61"/>
      <c r="W1122" s="62"/>
      <c r="X1122" s="47"/>
      <c r="Y1122" s="46"/>
      <c r="Z1122" s="46"/>
      <c r="AA1122" s="46"/>
      <c r="AB1122" s="49"/>
      <c r="AC1122" s="42"/>
      <c r="AD1122" s="42"/>
      <c r="AE1122" s="50"/>
      <c r="AF1122" s="42"/>
      <c r="AG1122" s="42"/>
      <c r="AH1122" s="42"/>
      <c r="AI1122" s="42" t="str">
        <f t="array" ref="AI1122">XLOOKUP($E1122,Sheet11!$D:$D,Sheet11!$X:$X,"",0)</f>
        <v/>
      </c>
      <c r="AJ1122" s="42" t="str">
        <f t="array" ref="AJ1122">XLOOKUP($E1122,Sheet11!$D:$D,Sheet11!$Y:$Y,"",0)</f>
        <v/>
      </c>
    </row>
    <row r="1123">
      <c r="A1123" s="23"/>
      <c r="B1123" s="42"/>
      <c r="C1123" s="42"/>
      <c r="D1123" s="42"/>
      <c r="E1123" s="42"/>
      <c r="F1123" s="42"/>
      <c r="G1123" s="42"/>
      <c r="H1123" s="42"/>
      <c r="I1123" s="42"/>
      <c r="J1123" s="42"/>
      <c r="K1123" s="42"/>
      <c r="L1123" s="46"/>
      <c r="M1123" s="46"/>
      <c r="N1123" s="46"/>
      <c r="O1123" s="61"/>
      <c r="P1123" s="62"/>
      <c r="Q1123" s="46"/>
      <c r="R1123" s="47"/>
      <c r="S1123" s="62"/>
      <c r="T1123" s="62"/>
      <c r="U1123" s="46"/>
      <c r="V1123" s="61"/>
      <c r="W1123" s="62"/>
      <c r="X1123" s="47"/>
      <c r="Y1123" s="46"/>
      <c r="Z1123" s="46"/>
      <c r="AA1123" s="46"/>
      <c r="AB1123" s="49"/>
      <c r="AC1123" s="42"/>
      <c r="AD1123" s="42"/>
      <c r="AE1123" s="50"/>
      <c r="AF1123" s="42"/>
      <c r="AG1123" s="42"/>
      <c r="AH1123" s="42"/>
      <c r="AI1123" s="42" t="str">
        <f t="array" ref="AI1123">XLOOKUP($E1123,Sheet11!$D:$D,Sheet11!$X:$X,"",0)</f>
        <v/>
      </c>
      <c r="AJ1123" s="42" t="str">
        <f t="array" ref="AJ1123">XLOOKUP($E1123,Sheet11!$D:$D,Sheet11!$Y:$Y,"",0)</f>
        <v/>
      </c>
    </row>
    <row r="1124">
      <c r="A1124" s="23"/>
      <c r="B1124" s="42"/>
      <c r="C1124" s="42"/>
      <c r="D1124" s="42"/>
      <c r="E1124" s="42"/>
      <c r="F1124" s="42"/>
      <c r="G1124" s="42"/>
      <c r="H1124" s="42"/>
      <c r="I1124" s="42"/>
      <c r="J1124" s="42"/>
      <c r="K1124" s="42"/>
      <c r="L1124" s="46"/>
      <c r="M1124" s="46"/>
      <c r="N1124" s="46"/>
      <c r="O1124" s="61"/>
      <c r="P1124" s="62"/>
      <c r="Q1124" s="46"/>
      <c r="R1124" s="47"/>
      <c r="S1124" s="62"/>
      <c r="T1124" s="62"/>
      <c r="U1124" s="46"/>
      <c r="V1124" s="61"/>
      <c r="W1124" s="62"/>
      <c r="X1124" s="47"/>
      <c r="Y1124" s="46"/>
      <c r="Z1124" s="46"/>
      <c r="AA1124" s="46"/>
      <c r="AB1124" s="49"/>
      <c r="AC1124" s="42"/>
      <c r="AD1124" s="42"/>
      <c r="AE1124" s="50"/>
      <c r="AF1124" s="42"/>
      <c r="AG1124" s="42"/>
      <c r="AH1124" s="42"/>
      <c r="AI1124" s="42" t="str">
        <f t="array" ref="AI1124">XLOOKUP($E1124,Sheet11!$D:$D,Sheet11!$X:$X,"",0)</f>
        <v/>
      </c>
      <c r="AJ1124" s="42" t="str">
        <f t="array" ref="AJ1124">XLOOKUP($E1124,Sheet11!$D:$D,Sheet11!$Y:$Y,"",0)</f>
        <v/>
      </c>
    </row>
    <row r="1125">
      <c r="A1125" s="23"/>
      <c r="B1125" s="42"/>
      <c r="C1125" s="42"/>
      <c r="D1125" s="42"/>
      <c r="E1125" s="42"/>
      <c r="F1125" s="42"/>
      <c r="G1125" s="42"/>
      <c r="H1125" s="42"/>
      <c r="I1125" s="42"/>
      <c r="J1125" s="42"/>
      <c r="K1125" s="42"/>
      <c r="L1125" s="46"/>
      <c r="M1125" s="46"/>
      <c r="N1125" s="46"/>
      <c r="O1125" s="61"/>
      <c r="P1125" s="62"/>
      <c r="Q1125" s="46"/>
      <c r="R1125" s="47"/>
      <c r="S1125" s="62"/>
      <c r="T1125" s="62"/>
      <c r="U1125" s="46"/>
      <c r="V1125" s="61"/>
      <c r="W1125" s="62"/>
      <c r="X1125" s="47"/>
      <c r="Y1125" s="46"/>
      <c r="Z1125" s="46"/>
      <c r="AA1125" s="46"/>
      <c r="AB1125" s="49"/>
      <c r="AC1125" s="42"/>
      <c r="AD1125" s="42"/>
      <c r="AE1125" s="50"/>
      <c r="AF1125" s="42"/>
      <c r="AG1125" s="42"/>
      <c r="AH1125" s="42"/>
      <c r="AI1125" s="42" t="str">
        <f t="array" ref="AI1125">XLOOKUP($E1125,Sheet11!$D:$D,Sheet11!$X:$X,"",0)</f>
        <v/>
      </c>
      <c r="AJ1125" s="42" t="str">
        <f t="array" ref="AJ1125">XLOOKUP($E1125,Sheet11!$D:$D,Sheet11!$Y:$Y,"",0)</f>
        <v/>
      </c>
    </row>
    <row r="1126">
      <c r="A1126" s="23"/>
      <c r="B1126" s="42"/>
      <c r="C1126" s="42"/>
      <c r="D1126" s="42"/>
      <c r="E1126" s="42"/>
      <c r="F1126" s="42"/>
      <c r="G1126" s="42"/>
      <c r="H1126" s="42"/>
      <c r="I1126" s="42"/>
      <c r="J1126" s="42"/>
      <c r="K1126" s="42"/>
      <c r="L1126" s="46"/>
      <c r="M1126" s="46"/>
      <c r="N1126" s="46"/>
      <c r="O1126" s="61"/>
      <c r="P1126" s="62"/>
      <c r="Q1126" s="46"/>
      <c r="R1126" s="47"/>
      <c r="S1126" s="62"/>
      <c r="T1126" s="62"/>
      <c r="U1126" s="46"/>
      <c r="V1126" s="61"/>
      <c r="W1126" s="62"/>
      <c r="X1126" s="47"/>
      <c r="Y1126" s="46"/>
      <c r="Z1126" s="46"/>
      <c r="AA1126" s="46"/>
      <c r="AB1126" s="49"/>
      <c r="AC1126" s="42"/>
      <c r="AD1126" s="42"/>
      <c r="AE1126" s="50"/>
      <c r="AF1126" s="42"/>
      <c r="AG1126" s="42"/>
      <c r="AH1126" s="42"/>
      <c r="AI1126" s="42" t="str">
        <f t="array" ref="AI1126">XLOOKUP($E1126,Sheet11!$D:$D,Sheet11!$X:$X,"",0)</f>
        <v/>
      </c>
      <c r="AJ1126" s="42" t="str">
        <f t="array" ref="AJ1126">XLOOKUP($E1126,Sheet11!$D:$D,Sheet11!$Y:$Y,"",0)</f>
        <v/>
      </c>
    </row>
    <row r="1127">
      <c r="A1127" s="23"/>
      <c r="B1127" s="42"/>
      <c r="C1127" s="42"/>
      <c r="D1127" s="42"/>
      <c r="E1127" s="42"/>
      <c r="F1127" s="42"/>
      <c r="G1127" s="42"/>
      <c r="H1127" s="42"/>
      <c r="I1127" s="42"/>
      <c r="J1127" s="42"/>
      <c r="K1127" s="42"/>
      <c r="L1127" s="46"/>
      <c r="M1127" s="46"/>
      <c r="N1127" s="46"/>
      <c r="O1127" s="61"/>
      <c r="P1127" s="62"/>
      <c r="Q1127" s="46"/>
      <c r="R1127" s="47"/>
      <c r="S1127" s="62"/>
      <c r="T1127" s="62"/>
      <c r="U1127" s="46"/>
      <c r="V1127" s="61"/>
      <c r="W1127" s="62"/>
      <c r="X1127" s="47"/>
      <c r="Y1127" s="46"/>
      <c r="Z1127" s="46"/>
      <c r="AA1127" s="46"/>
      <c r="AB1127" s="49"/>
      <c r="AC1127" s="42"/>
      <c r="AD1127" s="42"/>
      <c r="AE1127" s="50"/>
      <c r="AF1127" s="42"/>
      <c r="AG1127" s="42"/>
      <c r="AH1127" s="42"/>
      <c r="AI1127" s="42" t="str">
        <f t="array" ref="AI1127">XLOOKUP($E1127,Sheet11!$D:$D,Sheet11!$X:$X,"",0)</f>
        <v/>
      </c>
      <c r="AJ1127" s="42" t="str">
        <f t="array" ref="AJ1127">XLOOKUP($E1127,Sheet11!$D:$D,Sheet11!$Y:$Y,"",0)</f>
        <v/>
      </c>
    </row>
    <row r="1128">
      <c r="A1128" s="23"/>
      <c r="B1128" s="42"/>
      <c r="C1128" s="42"/>
      <c r="D1128" s="42"/>
      <c r="E1128" s="42"/>
      <c r="F1128" s="42"/>
      <c r="G1128" s="42"/>
      <c r="H1128" s="42"/>
      <c r="I1128" s="42"/>
      <c r="J1128" s="42"/>
      <c r="K1128" s="42"/>
      <c r="L1128" s="46"/>
      <c r="M1128" s="46"/>
      <c r="N1128" s="46"/>
      <c r="O1128" s="61"/>
      <c r="P1128" s="62"/>
      <c r="Q1128" s="46"/>
      <c r="R1128" s="47"/>
      <c r="S1128" s="62"/>
      <c r="T1128" s="62"/>
      <c r="U1128" s="46"/>
      <c r="V1128" s="61"/>
      <c r="W1128" s="62"/>
      <c r="X1128" s="47"/>
      <c r="Y1128" s="46"/>
      <c r="Z1128" s="46"/>
      <c r="AA1128" s="46"/>
      <c r="AB1128" s="49"/>
      <c r="AC1128" s="42"/>
      <c r="AD1128" s="42"/>
      <c r="AE1128" s="50"/>
      <c r="AF1128" s="42"/>
      <c r="AG1128" s="42"/>
      <c r="AH1128" s="42"/>
      <c r="AI1128" s="42" t="str">
        <f t="array" ref="AI1128">XLOOKUP($E1128,Sheet11!$D:$D,Sheet11!$X:$X,"",0)</f>
        <v/>
      </c>
      <c r="AJ1128" s="42" t="str">
        <f t="array" ref="AJ1128">XLOOKUP($E1128,Sheet11!$D:$D,Sheet11!$Y:$Y,"",0)</f>
        <v/>
      </c>
    </row>
    <row r="1129">
      <c r="A1129" s="23"/>
      <c r="B1129" s="42"/>
      <c r="C1129" s="42"/>
      <c r="D1129" s="42"/>
      <c r="E1129" s="42"/>
      <c r="F1129" s="42"/>
      <c r="G1129" s="42"/>
      <c r="H1129" s="42"/>
      <c r="I1129" s="42"/>
      <c r="J1129" s="42"/>
      <c r="K1129" s="42"/>
      <c r="L1129" s="46"/>
      <c r="M1129" s="46"/>
      <c r="N1129" s="46"/>
      <c r="O1129" s="61"/>
      <c r="P1129" s="62"/>
      <c r="Q1129" s="46"/>
      <c r="R1129" s="47"/>
      <c r="S1129" s="62"/>
      <c r="T1129" s="62"/>
      <c r="U1129" s="46"/>
      <c r="V1129" s="61"/>
      <c r="W1129" s="62"/>
      <c r="X1129" s="47"/>
      <c r="Y1129" s="46"/>
      <c r="Z1129" s="46"/>
      <c r="AA1129" s="46"/>
      <c r="AB1129" s="49"/>
      <c r="AC1129" s="42"/>
      <c r="AD1129" s="42"/>
      <c r="AE1129" s="50"/>
      <c r="AF1129" s="42"/>
      <c r="AG1129" s="42"/>
      <c r="AH1129" s="42"/>
      <c r="AI1129" s="42" t="str">
        <f t="array" ref="AI1129">XLOOKUP($E1129,Sheet11!$D:$D,Sheet11!$X:$X,"",0)</f>
        <v/>
      </c>
      <c r="AJ1129" s="42" t="str">
        <f t="array" ref="AJ1129">XLOOKUP($E1129,Sheet11!$D:$D,Sheet11!$Y:$Y,"",0)</f>
        <v/>
      </c>
    </row>
    <row r="1130">
      <c r="A1130" s="23"/>
      <c r="B1130" s="42"/>
      <c r="C1130" s="42"/>
      <c r="D1130" s="42"/>
      <c r="E1130" s="42"/>
      <c r="F1130" s="42"/>
      <c r="G1130" s="42"/>
      <c r="H1130" s="42"/>
      <c r="I1130" s="42"/>
      <c r="J1130" s="42"/>
      <c r="K1130" s="42"/>
      <c r="L1130" s="46"/>
      <c r="M1130" s="46"/>
      <c r="N1130" s="46"/>
      <c r="O1130" s="61"/>
      <c r="P1130" s="62"/>
      <c r="Q1130" s="46"/>
      <c r="R1130" s="47"/>
      <c r="S1130" s="62"/>
      <c r="T1130" s="62"/>
      <c r="U1130" s="46"/>
      <c r="V1130" s="61"/>
      <c r="W1130" s="62"/>
      <c r="X1130" s="47"/>
      <c r="Y1130" s="46"/>
      <c r="Z1130" s="46"/>
      <c r="AA1130" s="46"/>
      <c r="AB1130" s="49"/>
      <c r="AC1130" s="42"/>
      <c r="AD1130" s="42"/>
      <c r="AE1130" s="50"/>
      <c r="AF1130" s="42"/>
      <c r="AG1130" s="42"/>
      <c r="AH1130" s="42"/>
      <c r="AI1130" s="42" t="str">
        <f t="array" ref="AI1130">XLOOKUP($E1130,Sheet11!$D:$D,Sheet11!$X:$X,"",0)</f>
        <v/>
      </c>
      <c r="AJ1130" s="42" t="str">
        <f t="array" ref="AJ1130">XLOOKUP($E1130,Sheet11!$D:$D,Sheet11!$Y:$Y,"",0)</f>
        <v/>
      </c>
    </row>
    <row r="1131">
      <c r="A1131" s="23"/>
      <c r="B1131" s="42"/>
      <c r="C1131" s="42"/>
      <c r="D1131" s="42"/>
      <c r="E1131" s="42"/>
      <c r="F1131" s="42"/>
      <c r="G1131" s="42"/>
      <c r="H1131" s="42"/>
      <c r="I1131" s="42"/>
      <c r="J1131" s="42"/>
      <c r="K1131" s="42"/>
      <c r="L1131" s="46"/>
      <c r="M1131" s="46"/>
      <c r="N1131" s="46"/>
      <c r="O1131" s="61"/>
      <c r="P1131" s="62"/>
      <c r="Q1131" s="46"/>
      <c r="R1131" s="47"/>
      <c r="S1131" s="62"/>
      <c r="T1131" s="62"/>
      <c r="U1131" s="46"/>
      <c r="V1131" s="61"/>
      <c r="W1131" s="62"/>
      <c r="X1131" s="47"/>
      <c r="Y1131" s="46"/>
      <c r="Z1131" s="46"/>
      <c r="AA1131" s="46"/>
      <c r="AB1131" s="49"/>
      <c r="AC1131" s="42"/>
      <c r="AD1131" s="42"/>
      <c r="AE1131" s="50"/>
      <c r="AF1131" s="42"/>
      <c r="AG1131" s="42"/>
      <c r="AH1131" s="42"/>
      <c r="AI1131" s="42" t="str">
        <f t="array" ref="AI1131">XLOOKUP($E1131,Sheet11!$D:$D,Sheet11!$X:$X,"",0)</f>
        <v/>
      </c>
      <c r="AJ1131" s="42" t="str">
        <f t="array" ref="AJ1131">XLOOKUP($E1131,Sheet11!$D:$D,Sheet11!$Y:$Y,"",0)</f>
        <v/>
      </c>
    </row>
    <row r="1132">
      <c r="A1132" s="23"/>
      <c r="B1132" s="42"/>
      <c r="C1132" s="42"/>
      <c r="D1132" s="42"/>
      <c r="E1132" s="42"/>
      <c r="F1132" s="42"/>
      <c r="G1132" s="42"/>
      <c r="H1132" s="42"/>
      <c r="I1132" s="42"/>
      <c r="J1132" s="42"/>
      <c r="K1132" s="42"/>
      <c r="L1132" s="46"/>
      <c r="M1132" s="46"/>
      <c r="N1132" s="46"/>
      <c r="O1132" s="61"/>
      <c r="P1132" s="62"/>
      <c r="Q1132" s="46"/>
      <c r="R1132" s="47"/>
      <c r="S1132" s="62"/>
      <c r="T1132" s="62"/>
      <c r="U1132" s="46"/>
      <c r="V1132" s="61"/>
      <c r="W1132" s="62"/>
      <c r="X1132" s="47"/>
      <c r="Y1132" s="46"/>
      <c r="Z1132" s="46"/>
      <c r="AA1132" s="46"/>
      <c r="AB1132" s="49"/>
      <c r="AC1132" s="42"/>
      <c r="AD1132" s="42"/>
      <c r="AE1132" s="50"/>
      <c r="AF1132" s="42"/>
      <c r="AG1132" s="42"/>
      <c r="AH1132" s="42"/>
      <c r="AI1132" s="42" t="str">
        <f t="array" ref="AI1132">XLOOKUP($E1132,Sheet11!$D:$D,Sheet11!$X:$X,"",0)</f>
        <v/>
      </c>
      <c r="AJ1132" s="42" t="str">
        <f t="array" ref="AJ1132">XLOOKUP($E1132,Sheet11!$D:$D,Sheet11!$Y:$Y,"",0)</f>
        <v/>
      </c>
    </row>
    <row r="1133">
      <c r="A1133" s="23"/>
      <c r="B1133" s="42"/>
      <c r="C1133" s="42"/>
      <c r="D1133" s="42"/>
      <c r="E1133" s="42"/>
      <c r="F1133" s="42"/>
      <c r="G1133" s="42"/>
      <c r="H1133" s="42"/>
      <c r="I1133" s="42"/>
      <c r="J1133" s="42"/>
      <c r="K1133" s="42"/>
      <c r="L1133" s="46"/>
      <c r="M1133" s="46"/>
      <c r="N1133" s="46"/>
      <c r="O1133" s="61"/>
      <c r="P1133" s="62"/>
      <c r="Q1133" s="46"/>
      <c r="R1133" s="47"/>
      <c r="S1133" s="62"/>
      <c r="T1133" s="62"/>
      <c r="U1133" s="46"/>
      <c r="V1133" s="61"/>
      <c r="W1133" s="62"/>
      <c r="X1133" s="47"/>
      <c r="Y1133" s="46"/>
      <c r="Z1133" s="46"/>
      <c r="AA1133" s="46"/>
      <c r="AB1133" s="49"/>
      <c r="AC1133" s="42"/>
      <c r="AD1133" s="42"/>
      <c r="AE1133" s="50"/>
      <c r="AF1133" s="42"/>
      <c r="AG1133" s="42"/>
      <c r="AH1133" s="42"/>
      <c r="AI1133" s="42" t="str">
        <f t="array" ref="AI1133">XLOOKUP($E1133,Sheet11!$D:$D,Sheet11!$X:$X,"",0)</f>
        <v/>
      </c>
      <c r="AJ1133" s="42" t="str">
        <f t="array" ref="AJ1133">XLOOKUP($E1133,Sheet11!$D:$D,Sheet11!$Y:$Y,"",0)</f>
        <v/>
      </c>
    </row>
    <row r="1134">
      <c r="A1134" s="23"/>
      <c r="B1134" s="42"/>
      <c r="C1134" s="42"/>
      <c r="D1134" s="42"/>
      <c r="E1134" s="42"/>
      <c r="F1134" s="42"/>
      <c r="G1134" s="42"/>
      <c r="H1134" s="42"/>
      <c r="I1134" s="42"/>
      <c r="J1134" s="42"/>
      <c r="K1134" s="42"/>
      <c r="L1134" s="46"/>
      <c r="M1134" s="46"/>
      <c r="N1134" s="46"/>
      <c r="O1134" s="61"/>
      <c r="P1134" s="62"/>
      <c r="Q1134" s="46"/>
      <c r="R1134" s="47"/>
      <c r="S1134" s="62"/>
      <c r="T1134" s="62"/>
      <c r="U1134" s="46"/>
      <c r="V1134" s="61"/>
      <c r="W1134" s="62"/>
      <c r="X1134" s="47"/>
      <c r="Y1134" s="46"/>
      <c r="Z1134" s="46"/>
      <c r="AA1134" s="46"/>
      <c r="AB1134" s="49"/>
      <c r="AC1134" s="42"/>
      <c r="AD1134" s="42"/>
      <c r="AE1134" s="50"/>
      <c r="AF1134" s="42"/>
      <c r="AG1134" s="42"/>
      <c r="AH1134" s="42"/>
      <c r="AI1134" s="42" t="str">
        <f t="array" ref="AI1134">XLOOKUP($E1134,Sheet11!$D:$D,Sheet11!$X:$X,"",0)</f>
        <v/>
      </c>
      <c r="AJ1134" s="42" t="str">
        <f t="array" ref="AJ1134">XLOOKUP($E1134,Sheet11!$D:$D,Sheet11!$Y:$Y,"",0)</f>
        <v/>
      </c>
    </row>
    <row r="1135">
      <c r="A1135" s="23"/>
      <c r="B1135" s="42"/>
      <c r="C1135" s="42"/>
      <c r="D1135" s="42"/>
      <c r="E1135" s="42"/>
      <c r="F1135" s="42"/>
      <c r="G1135" s="42"/>
      <c r="H1135" s="42"/>
      <c r="I1135" s="42"/>
      <c r="J1135" s="42"/>
      <c r="K1135" s="42"/>
      <c r="L1135" s="46"/>
      <c r="M1135" s="46"/>
      <c r="N1135" s="46"/>
      <c r="O1135" s="61"/>
      <c r="P1135" s="62"/>
      <c r="Q1135" s="46"/>
      <c r="R1135" s="47"/>
      <c r="S1135" s="62"/>
      <c r="T1135" s="62"/>
      <c r="U1135" s="46"/>
      <c r="V1135" s="61"/>
      <c r="W1135" s="62"/>
      <c r="X1135" s="47"/>
      <c r="Y1135" s="46"/>
      <c r="Z1135" s="46"/>
      <c r="AA1135" s="46"/>
      <c r="AB1135" s="49"/>
      <c r="AC1135" s="42"/>
      <c r="AD1135" s="42"/>
      <c r="AE1135" s="50"/>
      <c r="AF1135" s="42"/>
      <c r="AG1135" s="42"/>
      <c r="AH1135" s="42"/>
      <c r="AI1135" s="42" t="str">
        <f t="array" ref="AI1135">XLOOKUP($E1135,Sheet11!$D:$D,Sheet11!$X:$X,"",0)</f>
        <v/>
      </c>
      <c r="AJ1135" s="42" t="str">
        <f t="array" ref="AJ1135">XLOOKUP($E1135,Sheet11!$D:$D,Sheet11!$Y:$Y,"",0)</f>
        <v/>
      </c>
    </row>
    <row r="1136">
      <c r="A1136" s="23"/>
      <c r="B1136" s="42"/>
      <c r="C1136" s="42"/>
      <c r="D1136" s="42"/>
      <c r="E1136" s="42"/>
      <c r="F1136" s="42"/>
      <c r="G1136" s="42"/>
      <c r="H1136" s="42"/>
      <c r="I1136" s="42"/>
      <c r="J1136" s="42"/>
      <c r="K1136" s="42"/>
      <c r="L1136" s="46"/>
      <c r="M1136" s="46"/>
      <c r="N1136" s="46"/>
      <c r="O1136" s="61"/>
      <c r="P1136" s="62"/>
      <c r="Q1136" s="46"/>
      <c r="R1136" s="47"/>
      <c r="S1136" s="62"/>
      <c r="T1136" s="62"/>
      <c r="U1136" s="46"/>
      <c r="V1136" s="61"/>
      <c r="W1136" s="62"/>
      <c r="X1136" s="47"/>
      <c r="Y1136" s="46"/>
      <c r="Z1136" s="46"/>
      <c r="AA1136" s="46"/>
      <c r="AB1136" s="49"/>
      <c r="AC1136" s="42"/>
      <c r="AD1136" s="42"/>
      <c r="AE1136" s="50"/>
      <c r="AF1136" s="42"/>
      <c r="AG1136" s="42"/>
      <c r="AH1136" s="42"/>
      <c r="AI1136" s="42" t="str">
        <f t="array" ref="AI1136">XLOOKUP($E1136,Sheet11!$D:$D,Sheet11!$X:$X,"",0)</f>
        <v/>
      </c>
      <c r="AJ1136" s="42" t="str">
        <f t="array" ref="AJ1136">XLOOKUP($E1136,Sheet11!$D:$D,Sheet11!$Y:$Y,"",0)</f>
        <v/>
      </c>
    </row>
    <row r="1137">
      <c r="A1137" s="23"/>
      <c r="B1137" s="42"/>
      <c r="C1137" s="42"/>
      <c r="D1137" s="42"/>
      <c r="E1137" s="42"/>
      <c r="F1137" s="42"/>
      <c r="G1137" s="42"/>
      <c r="H1137" s="42"/>
      <c r="I1137" s="42"/>
      <c r="J1137" s="42"/>
      <c r="K1137" s="42"/>
      <c r="L1137" s="46"/>
      <c r="M1137" s="46"/>
      <c r="N1137" s="46"/>
      <c r="O1137" s="61"/>
      <c r="P1137" s="62"/>
      <c r="Q1137" s="46"/>
      <c r="R1137" s="47"/>
      <c r="S1137" s="62"/>
      <c r="T1137" s="62"/>
      <c r="U1137" s="46"/>
      <c r="V1137" s="61"/>
      <c r="W1137" s="62"/>
      <c r="X1137" s="47"/>
      <c r="Y1137" s="46"/>
      <c r="Z1137" s="46"/>
      <c r="AA1137" s="46"/>
      <c r="AB1137" s="49"/>
      <c r="AC1137" s="42"/>
      <c r="AD1137" s="42"/>
      <c r="AE1137" s="50"/>
      <c r="AF1137" s="42"/>
      <c r="AG1137" s="42"/>
      <c r="AH1137" s="42"/>
      <c r="AI1137" s="42" t="str">
        <f t="array" ref="AI1137">XLOOKUP($E1137,Sheet11!$D:$D,Sheet11!$X:$X,"",0)</f>
        <v/>
      </c>
      <c r="AJ1137" s="42" t="str">
        <f t="array" ref="AJ1137">XLOOKUP($E1137,Sheet11!$D:$D,Sheet11!$Y:$Y,"",0)</f>
        <v/>
      </c>
    </row>
    <row r="1138">
      <c r="A1138" s="23"/>
      <c r="B1138" s="42"/>
      <c r="C1138" s="42"/>
      <c r="D1138" s="42"/>
      <c r="E1138" s="42"/>
      <c r="F1138" s="42"/>
      <c r="G1138" s="42"/>
      <c r="H1138" s="42"/>
      <c r="I1138" s="42"/>
      <c r="J1138" s="42"/>
      <c r="K1138" s="42"/>
      <c r="L1138" s="46"/>
      <c r="M1138" s="46"/>
      <c r="N1138" s="46"/>
      <c r="O1138" s="61"/>
      <c r="P1138" s="62"/>
      <c r="Q1138" s="46"/>
      <c r="R1138" s="47"/>
      <c r="S1138" s="62"/>
      <c r="T1138" s="62"/>
      <c r="U1138" s="46"/>
      <c r="V1138" s="61"/>
      <c r="W1138" s="62"/>
      <c r="X1138" s="47"/>
      <c r="Y1138" s="46"/>
      <c r="Z1138" s="46"/>
      <c r="AA1138" s="46"/>
      <c r="AB1138" s="49"/>
      <c r="AC1138" s="42"/>
      <c r="AD1138" s="42"/>
      <c r="AE1138" s="50"/>
      <c r="AF1138" s="42"/>
      <c r="AG1138" s="42"/>
      <c r="AH1138" s="42"/>
      <c r="AI1138" s="42" t="str">
        <f t="array" ref="AI1138">XLOOKUP($E1138,Sheet11!$D:$D,Sheet11!$X:$X,"",0)</f>
        <v/>
      </c>
      <c r="AJ1138" s="42" t="str">
        <f t="array" ref="AJ1138">XLOOKUP($E1138,Sheet11!$D:$D,Sheet11!$Y:$Y,"",0)</f>
        <v/>
      </c>
    </row>
    <row r="1139">
      <c r="A1139" s="23"/>
      <c r="B1139" s="42"/>
      <c r="C1139" s="42"/>
      <c r="D1139" s="42"/>
      <c r="E1139" s="42"/>
      <c r="F1139" s="42"/>
      <c r="G1139" s="42"/>
      <c r="H1139" s="42"/>
      <c r="I1139" s="42"/>
      <c r="J1139" s="42"/>
      <c r="K1139" s="42"/>
      <c r="L1139" s="46"/>
      <c r="M1139" s="46"/>
      <c r="N1139" s="46"/>
      <c r="O1139" s="61"/>
      <c r="P1139" s="62"/>
      <c r="Q1139" s="46"/>
      <c r="R1139" s="47"/>
      <c r="S1139" s="62"/>
      <c r="T1139" s="62"/>
      <c r="U1139" s="46"/>
      <c r="V1139" s="61"/>
      <c r="W1139" s="62"/>
      <c r="X1139" s="47"/>
      <c r="Y1139" s="46"/>
      <c r="Z1139" s="46"/>
      <c r="AA1139" s="46"/>
      <c r="AB1139" s="49"/>
      <c r="AC1139" s="42"/>
      <c r="AD1139" s="42"/>
      <c r="AE1139" s="50"/>
      <c r="AF1139" s="42"/>
      <c r="AG1139" s="42"/>
      <c r="AH1139" s="42"/>
      <c r="AI1139" s="42" t="str">
        <f t="array" ref="AI1139">XLOOKUP($E1139,Sheet11!$D:$D,Sheet11!$X:$X,"",0)</f>
        <v/>
      </c>
      <c r="AJ1139" s="42" t="str">
        <f t="array" ref="AJ1139">XLOOKUP($E1139,Sheet11!$D:$D,Sheet11!$Y:$Y,"",0)</f>
        <v/>
      </c>
    </row>
    <row r="1140">
      <c r="A1140" s="23"/>
      <c r="B1140" s="42"/>
      <c r="C1140" s="42"/>
      <c r="D1140" s="42"/>
      <c r="E1140" s="42"/>
      <c r="F1140" s="42"/>
      <c r="G1140" s="42"/>
      <c r="H1140" s="42"/>
      <c r="I1140" s="42"/>
      <c r="J1140" s="42"/>
      <c r="K1140" s="42"/>
      <c r="L1140" s="46"/>
      <c r="M1140" s="46"/>
      <c r="N1140" s="46"/>
      <c r="O1140" s="61"/>
      <c r="P1140" s="62"/>
      <c r="Q1140" s="46"/>
      <c r="R1140" s="47"/>
      <c r="S1140" s="62"/>
      <c r="T1140" s="62"/>
      <c r="U1140" s="46"/>
      <c r="V1140" s="61"/>
      <c r="W1140" s="62"/>
      <c r="X1140" s="47"/>
      <c r="Y1140" s="46"/>
      <c r="Z1140" s="46"/>
      <c r="AA1140" s="46"/>
      <c r="AB1140" s="49"/>
      <c r="AC1140" s="42"/>
      <c r="AD1140" s="42"/>
      <c r="AE1140" s="50"/>
      <c r="AF1140" s="42"/>
      <c r="AG1140" s="42"/>
      <c r="AH1140" s="42"/>
      <c r="AI1140" s="42" t="str">
        <f t="array" ref="AI1140">XLOOKUP($E1140,Sheet11!$D:$D,Sheet11!$X:$X,"",0)</f>
        <v/>
      </c>
      <c r="AJ1140" s="42" t="str">
        <f t="array" ref="AJ1140">XLOOKUP($E1140,Sheet11!$D:$D,Sheet11!$Y:$Y,"",0)</f>
        <v/>
      </c>
    </row>
    <row r="1141">
      <c r="A1141" s="23"/>
      <c r="B1141" s="42"/>
      <c r="C1141" s="42"/>
      <c r="D1141" s="42"/>
      <c r="E1141" s="42"/>
      <c r="F1141" s="42"/>
      <c r="G1141" s="42"/>
      <c r="H1141" s="42"/>
      <c r="I1141" s="42"/>
      <c r="J1141" s="42"/>
      <c r="K1141" s="42"/>
      <c r="L1141" s="46"/>
      <c r="M1141" s="46"/>
      <c r="N1141" s="46"/>
      <c r="O1141" s="61"/>
      <c r="P1141" s="62"/>
      <c r="Q1141" s="46"/>
      <c r="R1141" s="47"/>
      <c r="S1141" s="62"/>
      <c r="T1141" s="62"/>
      <c r="U1141" s="46"/>
      <c r="V1141" s="61"/>
      <c r="W1141" s="62"/>
      <c r="X1141" s="47"/>
      <c r="Y1141" s="46"/>
      <c r="Z1141" s="46"/>
      <c r="AA1141" s="46"/>
      <c r="AB1141" s="49"/>
      <c r="AC1141" s="42"/>
      <c r="AD1141" s="42"/>
      <c r="AE1141" s="50"/>
      <c r="AF1141" s="42"/>
      <c r="AG1141" s="42"/>
      <c r="AH1141" s="42"/>
      <c r="AI1141" s="42" t="str">
        <f t="array" ref="AI1141">XLOOKUP($E1141,Sheet11!$D:$D,Sheet11!$X:$X,"",0)</f>
        <v/>
      </c>
      <c r="AJ1141" s="42" t="str">
        <f t="array" ref="AJ1141">XLOOKUP($E1141,Sheet11!$D:$D,Sheet11!$Y:$Y,"",0)</f>
        <v/>
      </c>
    </row>
    <row r="1142">
      <c r="A1142" s="23"/>
      <c r="B1142" s="42"/>
      <c r="C1142" s="42"/>
      <c r="D1142" s="42"/>
      <c r="E1142" s="42"/>
      <c r="F1142" s="42"/>
      <c r="G1142" s="42"/>
      <c r="H1142" s="42"/>
      <c r="I1142" s="42"/>
      <c r="J1142" s="42"/>
      <c r="K1142" s="42"/>
      <c r="L1142" s="46"/>
      <c r="M1142" s="46"/>
      <c r="N1142" s="46"/>
      <c r="O1142" s="61"/>
      <c r="P1142" s="62"/>
      <c r="Q1142" s="46"/>
      <c r="R1142" s="47"/>
      <c r="S1142" s="62"/>
      <c r="T1142" s="62"/>
      <c r="U1142" s="46"/>
      <c r="V1142" s="61"/>
      <c r="W1142" s="62"/>
      <c r="X1142" s="47"/>
      <c r="Y1142" s="46"/>
      <c r="Z1142" s="46"/>
      <c r="AA1142" s="46"/>
      <c r="AB1142" s="49"/>
      <c r="AC1142" s="42"/>
      <c r="AD1142" s="42"/>
      <c r="AE1142" s="50"/>
      <c r="AF1142" s="42"/>
      <c r="AG1142" s="42"/>
      <c r="AH1142" s="42"/>
      <c r="AI1142" s="42" t="str">
        <f t="array" ref="AI1142">XLOOKUP($E1142,Sheet11!$D:$D,Sheet11!$X:$X,"",0)</f>
        <v/>
      </c>
      <c r="AJ1142" s="42" t="str">
        <f t="array" ref="AJ1142">XLOOKUP($E1142,Sheet11!$D:$D,Sheet11!$Y:$Y,"",0)</f>
        <v/>
      </c>
    </row>
    <row r="1143">
      <c r="A1143" s="23"/>
      <c r="B1143" s="42"/>
      <c r="C1143" s="42"/>
      <c r="D1143" s="42"/>
      <c r="E1143" s="42"/>
      <c r="F1143" s="42"/>
      <c r="G1143" s="42"/>
      <c r="H1143" s="42"/>
      <c r="I1143" s="42"/>
      <c r="J1143" s="42"/>
      <c r="K1143" s="42"/>
      <c r="L1143" s="46"/>
      <c r="M1143" s="46"/>
      <c r="N1143" s="46"/>
      <c r="O1143" s="61"/>
      <c r="P1143" s="62"/>
      <c r="Q1143" s="46"/>
      <c r="R1143" s="47"/>
      <c r="S1143" s="62"/>
      <c r="T1143" s="62"/>
      <c r="U1143" s="46"/>
      <c r="V1143" s="61"/>
      <c r="W1143" s="62"/>
      <c r="X1143" s="47"/>
      <c r="Y1143" s="46"/>
      <c r="Z1143" s="46"/>
      <c r="AA1143" s="46"/>
      <c r="AB1143" s="49"/>
      <c r="AC1143" s="42"/>
      <c r="AD1143" s="42"/>
      <c r="AE1143" s="50"/>
      <c r="AF1143" s="42"/>
      <c r="AG1143" s="42"/>
      <c r="AH1143" s="42"/>
      <c r="AI1143" s="42" t="str">
        <f t="array" ref="AI1143">XLOOKUP($E1143,Sheet11!$D:$D,Sheet11!$X:$X,"",0)</f>
        <v/>
      </c>
      <c r="AJ1143" s="42" t="str">
        <f t="array" ref="AJ1143">XLOOKUP($E1143,Sheet11!$D:$D,Sheet11!$Y:$Y,"",0)</f>
        <v/>
      </c>
    </row>
    <row r="1144">
      <c r="A1144" s="23"/>
      <c r="B1144" s="42"/>
      <c r="C1144" s="42"/>
      <c r="D1144" s="42"/>
      <c r="E1144" s="42"/>
      <c r="F1144" s="42"/>
      <c r="G1144" s="42"/>
      <c r="H1144" s="42"/>
      <c r="I1144" s="42"/>
      <c r="J1144" s="42"/>
      <c r="K1144" s="42"/>
      <c r="L1144" s="46"/>
      <c r="M1144" s="46"/>
      <c r="N1144" s="46"/>
      <c r="O1144" s="61"/>
      <c r="P1144" s="62"/>
      <c r="Q1144" s="46"/>
      <c r="R1144" s="47"/>
      <c r="S1144" s="62"/>
      <c r="T1144" s="62"/>
      <c r="U1144" s="46"/>
      <c r="V1144" s="61"/>
      <c r="W1144" s="62"/>
      <c r="X1144" s="47"/>
      <c r="Y1144" s="46"/>
      <c r="Z1144" s="46"/>
      <c r="AA1144" s="46"/>
      <c r="AB1144" s="49"/>
      <c r="AC1144" s="42"/>
      <c r="AD1144" s="42"/>
      <c r="AE1144" s="50"/>
      <c r="AF1144" s="42"/>
      <c r="AG1144" s="42"/>
      <c r="AH1144" s="42"/>
      <c r="AI1144" s="42" t="str">
        <f t="array" ref="AI1144">XLOOKUP($E1144,Sheet11!$D:$D,Sheet11!$X:$X,"",0)</f>
        <v/>
      </c>
      <c r="AJ1144" s="42" t="str">
        <f t="array" ref="AJ1144">XLOOKUP($E1144,Sheet11!$D:$D,Sheet11!$Y:$Y,"",0)</f>
        <v/>
      </c>
    </row>
    <row r="1145">
      <c r="A1145" s="23"/>
      <c r="B1145" s="42"/>
      <c r="C1145" s="42"/>
      <c r="D1145" s="42"/>
      <c r="E1145" s="42"/>
      <c r="F1145" s="42"/>
      <c r="G1145" s="42"/>
      <c r="H1145" s="42"/>
      <c r="I1145" s="42"/>
      <c r="J1145" s="42"/>
      <c r="K1145" s="42"/>
      <c r="L1145" s="46"/>
      <c r="M1145" s="46"/>
      <c r="N1145" s="46"/>
      <c r="O1145" s="61"/>
      <c r="P1145" s="62"/>
      <c r="Q1145" s="46"/>
      <c r="R1145" s="47"/>
      <c r="S1145" s="62"/>
      <c r="T1145" s="62"/>
      <c r="U1145" s="46"/>
      <c r="V1145" s="61"/>
      <c r="W1145" s="62"/>
      <c r="X1145" s="47"/>
      <c r="Y1145" s="46"/>
      <c r="Z1145" s="46"/>
      <c r="AA1145" s="46"/>
      <c r="AB1145" s="49"/>
      <c r="AC1145" s="42"/>
      <c r="AD1145" s="42"/>
      <c r="AE1145" s="50"/>
      <c r="AF1145" s="42"/>
      <c r="AG1145" s="42"/>
      <c r="AH1145" s="42"/>
      <c r="AI1145" s="42" t="str">
        <f t="array" ref="AI1145">XLOOKUP($E1145,Sheet11!$D:$D,Sheet11!$X:$X,"",0)</f>
        <v/>
      </c>
      <c r="AJ1145" s="42" t="str">
        <f t="array" ref="AJ1145">XLOOKUP($E1145,Sheet11!$D:$D,Sheet11!$Y:$Y,"",0)</f>
        <v/>
      </c>
    </row>
    <row r="1146">
      <c r="A1146" s="23"/>
      <c r="B1146" s="42"/>
      <c r="C1146" s="42"/>
      <c r="D1146" s="42"/>
      <c r="E1146" s="42"/>
      <c r="F1146" s="42"/>
      <c r="G1146" s="42"/>
      <c r="H1146" s="42"/>
      <c r="I1146" s="42"/>
      <c r="J1146" s="42"/>
      <c r="K1146" s="42"/>
      <c r="L1146" s="46"/>
      <c r="M1146" s="46"/>
      <c r="N1146" s="46"/>
      <c r="O1146" s="61"/>
      <c r="P1146" s="62"/>
      <c r="Q1146" s="46"/>
      <c r="R1146" s="47"/>
      <c r="S1146" s="62"/>
      <c r="T1146" s="62"/>
      <c r="U1146" s="46"/>
      <c r="V1146" s="61"/>
      <c r="W1146" s="62"/>
      <c r="X1146" s="47"/>
      <c r="Y1146" s="46"/>
      <c r="Z1146" s="46"/>
      <c r="AA1146" s="46"/>
      <c r="AB1146" s="49"/>
      <c r="AC1146" s="42"/>
      <c r="AD1146" s="42"/>
      <c r="AE1146" s="50"/>
      <c r="AF1146" s="42"/>
      <c r="AG1146" s="42"/>
      <c r="AH1146" s="42"/>
      <c r="AI1146" s="42" t="str">
        <f t="array" ref="AI1146">XLOOKUP($E1146,Sheet11!$D:$D,Sheet11!$X:$X,"",0)</f>
        <v/>
      </c>
      <c r="AJ1146" s="42" t="str">
        <f t="array" ref="AJ1146">XLOOKUP($E1146,Sheet11!$D:$D,Sheet11!$Y:$Y,"",0)</f>
        <v/>
      </c>
    </row>
    <row r="1147">
      <c r="A1147" s="23"/>
      <c r="B1147" s="42"/>
      <c r="C1147" s="42"/>
      <c r="D1147" s="42"/>
      <c r="E1147" s="42"/>
      <c r="F1147" s="42"/>
      <c r="G1147" s="42"/>
      <c r="H1147" s="42"/>
      <c r="I1147" s="42"/>
      <c r="J1147" s="42"/>
      <c r="K1147" s="42"/>
      <c r="L1147" s="46"/>
      <c r="M1147" s="46"/>
      <c r="N1147" s="46"/>
      <c r="O1147" s="61"/>
      <c r="P1147" s="62"/>
      <c r="Q1147" s="46"/>
      <c r="R1147" s="47"/>
      <c r="S1147" s="62"/>
      <c r="T1147" s="62"/>
      <c r="U1147" s="46"/>
      <c r="V1147" s="61"/>
      <c r="W1147" s="62"/>
      <c r="X1147" s="47"/>
      <c r="Y1147" s="46"/>
      <c r="Z1147" s="46"/>
      <c r="AA1147" s="46"/>
      <c r="AB1147" s="49"/>
      <c r="AC1147" s="42"/>
      <c r="AD1147" s="42"/>
      <c r="AE1147" s="50"/>
      <c r="AF1147" s="42"/>
      <c r="AG1147" s="42"/>
      <c r="AH1147" s="42"/>
      <c r="AI1147" s="42" t="str">
        <f t="array" ref="AI1147">XLOOKUP($E1147,Sheet11!$D:$D,Sheet11!$X:$X,"",0)</f>
        <v/>
      </c>
      <c r="AJ1147" s="42" t="str">
        <f t="array" ref="AJ1147">XLOOKUP($E1147,Sheet11!$D:$D,Sheet11!$Y:$Y,"",0)</f>
        <v/>
      </c>
    </row>
    <row r="1148">
      <c r="A1148" s="23"/>
      <c r="B1148" s="42"/>
      <c r="C1148" s="42"/>
      <c r="D1148" s="42"/>
      <c r="E1148" s="42"/>
      <c r="F1148" s="42"/>
      <c r="G1148" s="42"/>
      <c r="H1148" s="42"/>
      <c r="I1148" s="42"/>
      <c r="J1148" s="42"/>
      <c r="K1148" s="42"/>
      <c r="L1148" s="46"/>
      <c r="M1148" s="46"/>
      <c r="N1148" s="46"/>
      <c r="O1148" s="61"/>
      <c r="P1148" s="62"/>
      <c r="Q1148" s="46"/>
      <c r="R1148" s="47"/>
      <c r="S1148" s="62"/>
      <c r="T1148" s="62"/>
      <c r="U1148" s="46"/>
      <c r="V1148" s="61"/>
      <c r="W1148" s="62"/>
      <c r="X1148" s="47"/>
      <c r="Y1148" s="46"/>
      <c r="Z1148" s="46"/>
      <c r="AA1148" s="46"/>
      <c r="AB1148" s="49"/>
      <c r="AC1148" s="42"/>
      <c r="AD1148" s="42"/>
      <c r="AE1148" s="50"/>
      <c r="AF1148" s="42"/>
      <c r="AG1148" s="42"/>
      <c r="AH1148" s="42"/>
      <c r="AI1148" s="42" t="str">
        <f t="array" ref="AI1148">XLOOKUP($E1148,Sheet11!$D:$D,Sheet11!$X:$X,"",0)</f>
        <v/>
      </c>
      <c r="AJ1148" s="42" t="str">
        <f t="array" ref="AJ1148">XLOOKUP($E1148,Sheet11!$D:$D,Sheet11!$Y:$Y,"",0)</f>
        <v/>
      </c>
    </row>
    <row r="1149">
      <c r="A1149" s="23"/>
      <c r="B1149" s="42"/>
      <c r="C1149" s="42"/>
      <c r="D1149" s="42"/>
      <c r="E1149" s="42"/>
      <c r="F1149" s="42"/>
      <c r="G1149" s="42"/>
      <c r="H1149" s="42"/>
      <c r="I1149" s="42"/>
      <c r="J1149" s="42"/>
      <c r="K1149" s="42"/>
      <c r="L1149" s="46"/>
      <c r="M1149" s="46"/>
      <c r="N1149" s="46"/>
      <c r="O1149" s="61"/>
      <c r="P1149" s="62"/>
      <c r="Q1149" s="46"/>
      <c r="R1149" s="47"/>
      <c r="S1149" s="62"/>
      <c r="T1149" s="62"/>
      <c r="U1149" s="46"/>
      <c r="V1149" s="61"/>
      <c r="W1149" s="62"/>
      <c r="X1149" s="47"/>
      <c r="Y1149" s="46"/>
      <c r="Z1149" s="46"/>
      <c r="AA1149" s="46"/>
      <c r="AB1149" s="49"/>
      <c r="AC1149" s="42"/>
      <c r="AD1149" s="42"/>
      <c r="AE1149" s="50"/>
      <c r="AF1149" s="42"/>
      <c r="AG1149" s="42"/>
      <c r="AH1149" s="42"/>
      <c r="AI1149" s="42" t="str">
        <f t="array" ref="AI1149">XLOOKUP($E1149,Sheet11!$D:$D,Sheet11!$X:$X,"",0)</f>
        <v/>
      </c>
      <c r="AJ1149" s="42" t="str">
        <f t="array" ref="AJ1149">XLOOKUP($E1149,Sheet11!$D:$D,Sheet11!$Y:$Y,"",0)</f>
        <v/>
      </c>
    </row>
    <row r="1150">
      <c r="A1150" s="23"/>
      <c r="B1150" s="42"/>
      <c r="C1150" s="42"/>
      <c r="D1150" s="42"/>
      <c r="E1150" s="42"/>
      <c r="F1150" s="42"/>
      <c r="G1150" s="42"/>
      <c r="H1150" s="42"/>
      <c r="I1150" s="42"/>
      <c r="J1150" s="42"/>
      <c r="K1150" s="42"/>
      <c r="L1150" s="46"/>
      <c r="M1150" s="46"/>
      <c r="N1150" s="46"/>
      <c r="O1150" s="61"/>
      <c r="P1150" s="62"/>
      <c r="Q1150" s="46"/>
      <c r="R1150" s="47"/>
      <c r="S1150" s="62"/>
      <c r="T1150" s="62"/>
      <c r="U1150" s="46"/>
      <c r="V1150" s="61"/>
      <c r="W1150" s="62"/>
      <c r="X1150" s="47"/>
      <c r="Y1150" s="46"/>
      <c r="Z1150" s="46"/>
      <c r="AA1150" s="46"/>
      <c r="AB1150" s="49"/>
      <c r="AC1150" s="42"/>
      <c r="AD1150" s="42"/>
      <c r="AE1150" s="50"/>
      <c r="AF1150" s="42"/>
      <c r="AG1150" s="42"/>
      <c r="AH1150" s="42"/>
      <c r="AI1150" s="42" t="str">
        <f t="array" ref="AI1150">XLOOKUP($E1150,Sheet11!$D:$D,Sheet11!$X:$X,"",0)</f>
        <v/>
      </c>
      <c r="AJ1150" s="42" t="str">
        <f t="array" ref="AJ1150">XLOOKUP($E1150,Sheet11!$D:$D,Sheet11!$Y:$Y,"",0)</f>
        <v/>
      </c>
    </row>
    <row r="1151">
      <c r="A1151" s="23"/>
      <c r="B1151" s="42"/>
      <c r="C1151" s="42"/>
      <c r="D1151" s="42"/>
      <c r="E1151" s="42"/>
      <c r="F1151" s="42"/>
      <c r="G1151" s="42"/>
      <c r="H1151" s="42"/>
      <c r="I1151" s="42"/>
      <c r="J1151" s="42"/>
      <c r="K1151" s="42"/>
      <c r="L1151" s="46"/>
      <c r="M1151" s="46"/>
      <c r="N1151" s="46"/>
      <c r="O1151" s="61"/>
      <c r="P1151" s="62"/>
      <c r="Q1151" s="46"/>
      <c r="R1151" s="47"/>
      <c r="S1151" s="62"/>
      <c r="T1151" s="62"/>
      <c r="U1151" s="46"/>
      <c r="V1151" s="61"/>
      <c r="W1151" s="62"/>
      <c r="X1151" s="47"/>
      <c r="Y1151" s="46"/>
      <c r="Z1151" s="46"/>
      <c r="AA1151" s="46"/>
      <c r="AB1151" s="49"/>
      <c r="AC1151" s="42"/>
      <c r="AD1151" s="42"/>
      <c r="AE1151" s="50"/>
      <c r="AF1151" s="42"/>
      <c r="AG1151" s="42"/>
      <c r="AH1151" s="42"/>
      <c r="AI1151" s="42" t="str">
        <f t="array" ref="AI1151">XLOOKUP($E1151,Sheet11!$D:$D,Sheet11!$X:$X,"",0)</f>
        <v/>
      </c>
      <c r="AJ1151" s="42" t="str">
        <f t="array" ref="AJ1151">XLOOKUP($E1151,Sheet11!$D:$D,Sheet11!$Y:$Y,"",0)</f>
        <v/>
      </c>
    </row>
    <row r="1152">
      <c r="A1152" s="23"/>
      <c r="B1152" s="42"/>
      <c r="C1152" s="42"/>
      <c r="D1152" s="42"/>
      <c r="E1152" s="42"/>
      <c r="F1152" s="42"/>
      <c r="G1152" s="42"/>
      <c r="H1152" s="42"/>
      <c r="I1152" s="42"/>
      <c r="J1152" s="42"/>
      <c r="K1152" s="42"/>
      <c r="L1152" s="46"/>
      <c r="M1152" s="46"/>
      <c r="N1152" s="46"/>
      <c r="O1152" s="61"/>
      <c r="P1152" s="62"/>
      <c r="Q1152" s="46"/>
      <c r="R1152" s="47"/>
      <c r="S1152" s="62"/>
      <c r="T1152" s="62"/>
      <c r="U1152" s="46"/>
      <c r="V1152" s="61"/>
      <c r="W1152" s="62"/>
      <c r="X1152" s="47"/>
      <c r="Y1152" s="46"/>
      <c r="Z1152" s="46"/>
      <c r="AA1152" s="46"/>
      <c r="AB1152" s="49"/>
      <c r="AC1152" s="42"/>
      <c r="AD1152" s="42"/>
      <c r="AE1152" s="50"/>
      <c r="AF1152" s="42"/>
      <c r="AG1152" s="42"/>
      <c r="AH1152" s="42"/>
      <c r="AI1152" s="42" t="str">
        <f t="array" ref="AI1152">XLOOKUP($E1152,Sheet11!$D:$D,Sheet11!$X:$X,"",0)</f>
        <v/>
      </c>
      <c r="AJ1152" s="42" t="str">
        <f t="array" ref="AJ1152">XLOOKUP($E1152,Sheet11!$D:$D,Sheet11!$Y:$Y,"",0)</f>
        <v/>
      </c>
    </row>
    <row r="1153">
      <c r="A1153" s="23"/>
      <c r="B1153" s="42"/>
      <c r="C1153" s="42"/>
      <c r="D1153" s="42"/>
      <c r="E1153" s="42"/>
      <c r="F1153" s="42"/>
      <c r="G1153" s="42"/>
      <c r="H1153" s="42"/>
      <c r="I1153" s="42"/>
      <c r="J1153" s="42"/>
      <c r="K1153" s="42"/>
      <c r="L1153" s="46"/>
      <c r="M1153" s="46"/>
      <c r="N1153" s="46"/>
      <c r="O1153" s="61"/>
      <c r="P1153" s="62"/>
      <c r="Q1153" s="46"/>
      <c r="R1153" s="47"/>
      <c r="S1153" s="62"/>
      <c r="T1153" s="62"/>
      <c r="U1153" s="46"/>
      <c r="V1153" s="61"/>
      <c r="W1153" s="62"/>
      <c r="X1153" s="47"/>
      <c r="Y1153" s="46"/>
      <c r="Z1153" s="46"/>
      <c r="AA1153" s="46"/>
      <c r="AB1153" s="49"/>
      <c r="AC1153" s="42"/>
      <c r="AD1153" s="42"/>
      <c r="AE1153" s="50"/>
      <c r="AF1153" s="42"/>
      <c r="AG1153" s="42"/>
      <c r="AH1153" s="42"/>
      <c r="AI1153" s="42" t="str">
        <f t="array" ref="AI1153">XLOOKUP($E1153,Sheet11!$D:$D,Sheet11!$X:$X,"",0)</f>
        <v/>
      </c>
      <c r="AJ1153" s="42" t="str">
        <f t="array" ref="AJ1153">XLOOKUP($E1153,Sheet11!$D:$D,Sheet11!$Y:$Y,"",0)</f>
        <v/>
      </c>
    </row>
    <row r="1154">
      <c r="A1154" s="23"/>
      <c r="B1154" s="42"/>
      <c r="C1154" s="42"/>
      <c r="D1154" s="42"/>
      <c r="E1154" s="42"/>
      <c r="F1154" s="42"/>
      <c r="G1154" s="42"/>
      <c r="H1154" s="42"/>
      <c r="I1154" s="42"/>
      <c r="J1154" s="42"/>
      <c r="K1154" s="42"/>
      <c r="L1154" s="46"/>
      <c r="M1154" s="46"/>
      <c r="N1154" s="46"/>
      <c r="O1154" s="61"/>
      <c r="P1154" s="62"/>
      <c r="Q1154" s="46"/>
      <c r="R1154" s="47"/>
      <c r="S1154" s="62"/>
      <c r="T1154" s="62"/>
      <c r="U1154" s="46"/>
      <c r="V1154" s="61"/>
      <c r="W1154" s="62"/>
      <c r="X1154" s="47"/>
      <c r="Y1154" s="46"/>
      <c r="Z1154" s="46"/>
      <c r="AA1154" s="46"/>
      <c r="AB1154" s="49"/>
      <c r="AC1154" s="42"/>
      <c r="AD1154" s="42"/>
      <c r="AE1154" s="50"/>
      <c r="AF1154" s="42"/>
      <c r="AG1154" s="42"/>
      <c r="AH1154" s="42"/>
      <c r="AI1154" s="42" t="str">
        <f t="array" ref="AI1154">XLOOKUP($E1154,Sheet11!$D:$D,Sheet11!$X:$X,"",0)</f>
        <v/>
      </c>
      <c r="AJ1154" s="42" t="str">
        <f t="array" ref="AJ1154">XLOOKUP($E1154,Sheet11!$D:$D,Sheet11!$Y:$Y,"",0)</f>
        <v/>
      </c>
    </row>
    <row r="1155">
      <c r="A1155" s="23"/>
      <c r="B1155" s="42"/>
      <c r="C1155" s="42"/>
      <c r="D1155" s="42"/>
      <c r="E1155" s="42"/>
      <c r="F1155" s="42"/>
      <c r="G1155" s="42"/>
      <c r="H1155" s="42"/>
      <c r="I1155" s="42"/>
      <c r="J1155" s="42"/>
      <c r="K1155" s="42"/>
      <c r="L1155" s="46"/>
      <c r="M1155" s="46"/>
      <c r="N1155" s="46"/>
      <c r="O1155" s="61"/>
      <c r="P1155" s="62"/>
      <c r="Q1155" s="46"/>
      <c r="R1155" s="47"/>
      <c r="S1155" s="62"/>
      <c r="T1155" s="62"/>
      <c r="U1155" s="46"/>
      <c r="V1155" s="61"/>
      <c r="W1155" s="62"/>
      <c r="X1155" s="47"/>
      <c r="Y1155" s="46"/>
      <c r="Z1155" s="46"/>
      <c r="AA1155" s="46"/>
      <c r="AB1155" s="49"/>
      <c r="AC1155" s="42"/>
      <c r="AD1155" s="42"/>
      <c r="AE1155" s="50"/>
      <c r="AF1155" s="42"/>
      <c r="AG1155" s="42"/>
      <c r="AH1155" s="42"/>
      <c r="AI1155" s="42" t="str">
        <f t="array" ref="AI1155">XLOOKUP($E1155,Sheet11!$D:$D,Sheet11!$X:$X,"",0)</f>
        <v/>
      </c>
      <c r="AJ1155" s="42" t="str">
        <f t="array" ref="AJ1155">XLOOKUP($E1155,Sheet11!$D:$D,Sheet11!$Y:$Y,"",0)</f>
        <v/>
      </c>
    </row>
    <row r="1156">
      <c r="A1156" s="23"/>
      <c r="B1156" s="42"/>
      <c r="C1156" s="42"/>
      <c r="D1156" s="42"/>
      <c r="E1156" s="42"/>
      <c r="F1156" s="42"/>
      <c r="G1156" s="42"/>
      <c r="H1156" s="42"/>
      <c r="I1156" s="42"/>
      <c r="J1156" s="42"/>
      <c r="K1156" s="42"/>
      <c r="L1156" s="46"/>
      <c r="M1156" s="46"/>
      <c r="N1156" s="46"/>
      <c r="O1156" s="61"/>
      <c r="P1156" s="62"/>
      <c r="Q1156" s="46"/>
      <c r="R1156" s="47"/>
      <c r="S1156" s="62"/>
      <c r="T1156" s="62"/>
      <c r="U1156" s="46"/>
      <c r="V1156" s="61"/>
      <c r="W1156" s="62"/>
      <c r="X1156" s="47"/>
      <c r="Y1156" s="46"/>
      <c r="Z1156" s="46"/>
      <c r="AA1156" s="46"/>
      <c r="AB1156" s="49"/>
      <c r="AC1156" s="42"/>
      <c r="AD1156" s="42"/>
      <c r="AE1156" s="50"/>
      <c r="AF1156" s="42"/>
      <c r="AG1156" s="42"/>
      <c r="AH1156" s="42"/>
      <c r="AI1156" s="42" t="str">
        <f t="array" ref="AI1156">XLOOKUP($E1156,Sheet11!$D:$D,Sheet11!$X:$X,"",0)</f>
        <v/>
      </c>
      <c r="AJ1156" s="42" t="str">
        <f t="array" ref="AJ1156">XLOOKUP($E1156,Sheet11!$D:$D,Sheet11!$Y:$Y,"",0)</f>
        <v/>
      </c>
    </row>
    <row r="1157">
      <c r="A1157" s="23"/>
      <c r="B1157" s="42"/>
      <c r="C1157" s="42"/>
      <c r="D1157" s="42"/>
      <c r="E1157" s="42"/>
      <c r="F1157" s="42"/>
      <c r="G1157" s="42"/>
      <c r="H1157" s="42"/>
      <c r="I1157" s="42"/>
      <c r="J1157" s="42"/>
      <c r="K1157" s="42"/>
      <c r="L1157" s="46"/>
      <c r="M1157" s="46"/>
      <c r="N1157" s="46"/>
      <c r="O1157" s="61"/>
      <c r="P1157" s="62"/>
      <c r="Q1157" s="46"/>
      <c r="R1157" s="47"/>
      <c r="S1157" s="62"/>
      <c r="T1157" s="62"/>
      <c r="U1157" s="46"/>
      <c r="V1157" s="61"/>
      <c r="W1157" s="62"/>
      <c r="X1157" s="47"/>
      <c r="Y1157" s="46"/>
      <c r="Z1157" s="46"/>
      <c r="AA1157" s="46"/>
      <c r="AB1157" s="49"/>
      <c r="AC1157" s="42"/>
      <c r="AD1157" s="42"/>
      <c r="AE1157" s="50"/>
      <c r="AF1157" s="42"/>
      <c r="AG1157" s="42"/>
      <c r="AH1157" s="42"/>
      <c r="AI1157" s="42" t="str">
        <f t="array" ref="AI1157">XLOOKUP($E1157,Sheet11!$D:$D,Sheet11!$X:$X,"",0)</f>
        <v/>
      </c>
      <c r="AJ1157" s="42" t="str">
        <f t="array" ref="AJ1157">XLOOKUP($E1157,Sheet11!$D:$D,Sheet11!$Y:$Y,"",0)</f>
        <v/>
      </c>
    </row>
    <row r="1158">
      <c r="A1158" s="23"/>
      <c r="B1158" s="42"/>
      <c r="C1158" s="42"/>
      <c r="D1158" s="42"/>
      <c r="E1158" s="42"/>
      <c r="F1158" s="42"/>
      <c r="G1158" s="42"/>
      <c r="H1158" s="42"/>
      <c r="I1158" s="42"/>
      <c r="J1158" s="42"/>
      <c r="K1158" s="42"/>
      <c r="L1158" s="46"/>
      <c r="M1158" s="46"/>
      <c r="N1158" s="46"/>
      <c r="O1158" s="61"/>
      <c r="P1158" s="62"/>
      <c r="Q1158" s="46"/>
      <c r="R1158" s="47"/>
      <c r="S1158" s="62"/>
      <c r="T1158" s="62"/>
      <c r="U1158" s="46"/>
      <c r="V1158" s="61"/>
      <c r="W1158" s="62"/>
      <c r="X1158" s="47"/>
      <c r="Y1158" s="46"/>
      <c r="Z1158" s="46"/>
      <c r="AA1158" s="46"/>
      <c r="AB1158" s="49"/>
      <c r="AC1158" s="42"/>
      <c r="AD1158" s="42"/>
      <c r="AE1158" s="50"/>
      <c r="AF1158" s="42"/>
      <c r="AG1158" s="42"/>
      <c r="AH1158" s="42"/>
      <c r="AI1158" s="42" t="str">
        <f t="array" ref="AI1158">XLOOKUP($E1158,Sheet11!$D:$D,Sheet11!$X:$X,"",0)</f>
        <v/>
      </c>
      <c r="AJ1158" s="42" t="str">
        <f t="array" ref="AJ1158">XLOOKUP($E1158,Sheet11!$D:$D,Sheet11!$Y:$Y,"",0)</f>
        <v/>
      </c>
    </row>
    <row r="1159">
      <c r="A1159" s="23"/>
      <c r="B1159" s="42"/>
      <c r="C1159" s="42"/>
      <c r="D1159" s="42"/>
      <c r="E1159" s="42"/>
      <c r="F1159" s="42"/>
      <c r="G1159" s="42"/>
      <c r="H1159" s="42"/>
      <c r="I1159" s="42"/>
      <c r="J1159" s="42"/>
      <c r="K1159" s="42"/>
      <c r="L1159" s="46"/>
      <c r="M1159" s="46"/>
      <c r="N1159" s="46"/>
      <c r="O1159" s="61"/>
      <c r="P1159" s="62"/>
      <c r="Q1159" s="46"/>
      <c r="R1159" s="47"/>
      <c r="S1159" s="62"/>
      <c r="T1159" s="62"/>
      <c r="U1159" s="46"/>
      <c r="V1159" s="61"/>
      <c r="W1159" s="62"/>
      <c r="X1159" s="47"/>
      <c r="Y1159" s="46"/>
      <c r="Z1159" s="46"/>
      <c r="AA1159" s="46"/>
      <c r="AB1159" s="49"/>
      <c r="AC1159" s="42"/>
      <c r="AD1159" s="42"/>
      <c r="AE1159" s="50"/>
      <c r="AF1159" s="42"/>
      <c r="AG1159" s="42"/>
      <c r="AH1159" s="42"/>
      <c r="AI1159" s="42" t="str">
        <f t="array" ref="AI1159">XLOOKUP($E1159,Sheet11!$D:$D,Sheet11!$X:$X,"",0)</f>
        <v/>
      </c>
      <c r="AJ1159" s="42" t="str">
        <f t="array" ref="AJ1159">XLOOKUP($E1159,Sheet11!$D:$D,Sheet11!$Y:$Y,"",0)</f>
        <v/>
      </c>
    </row>
    <row r="1160">
      <c r="A1160" s="23"/>
      <c r="B1160" s="42"/>
      <c r="C1160" s="42"/>
      <c r="D1160" s="42"/>
      <c r="E1160" s="42"/>
      <c r="F1160" s="42"/>
      <c r="G1160" s="42"/>
      <c r="H1160" s="42"/>
      <c r="I1160" s="42"/>
      <c r="J1160" s="42"/>
      <c r="K1160" s="42"/>
      <c r="L1160" s="46"/>
      <c r="M1160" s="46"/>
      <c r="N1160" s="46"/>
      <c r="O1160" s="61"/>
      <c r="P1160" s="62"/>
      <c r="Q1160" s="46"/>
      <c r="R1160" s="47"/>
      <c r="S1160" s="62"/>
      <c r="T1160" s="62"/>
      <c r="U1160" s="46"/>
      <c r="V1160" s="61"/>
      <c r="W1160" s="62"/>
      <c r="X1160" s="47"/>
      <c r="Y1160" s="46"/>
      <c r="Z1160" s="46"/>
      <c r="AA1160" s="46"/>
      <c r="AB1160" s="49"/>
      <c r="AC1160" s="42"/>
      <c r="AD1160" s="42"/>
      <c r="AE1160" s="50"/>
      <c r="AF1160" s="42"/>
      <c r="AG1160" s="42"/>
      <c r="AH1160" s="42"/>
      <c r="AI1160" s="42" t="str">
        <f t="array" ref="AI1160">XLOOKUP($E1160,Sheet11!$D:$D,Sheet11!$X:$X,"",0)</f>
        <v/>
      </c>
      <c r="AJ1160" s="42" t="str">
        <f t="array" ref="AJ1160">XLOOKUP($E1160,Sheet11!$D:$D,Sheet11!$Y:$Y,"",0)</f>
        <v/>
      </c>
    </row>
    <row r="1161">
      <c r="A1161" s="23"/>
      <c r="B1161" s="42"/>
      <c r="C1161" s="42"/>
      <c r="D1161" s="42"/>
      <c r="E1161" s="42"/>
      <c r="F1161" s="42"/>
      <c r="G1161" s="42"/>
      <c r="H1161" s="42"/>
      <c r="I1161" s="42"/>
      <c r="J1161" s="42"/>
      <c r="K1161" s="42"/>
      <c r="L1161" s="46"/>
      <c r="M1161" s="46"/>
      <c r="N1161" s="46"/>
      <c r="O1161" s="61"/>
      <c r="P1161" s="62"/>
      <c r="Q1161" s="46"/>
      <c r="R1161" s="47"/>
      <c r="S1161" s="62"/>
      <c r="T1161" s="62"/>
      <c r="U1161" s="46"/>
      <c r="V1161" s="61"/>
      <c r="W1161" s="62"/>
      <c r="X1161" s="47"/>
      <c r="Y1161" s="46"/>
      <c r="Z1161" s="46"/>
      <c r="AA1161" s="46"/>
      <c r="AB1161" s="49"/>
      <c r="AC1161" s="42"/>
      <c r="AD1161" s="42"/>
      <c r="AE1161" s="50"/>
      <c r="AF1161" s="42"/>
      <c r="AG1161" s="42"/>
      <c r="AH1161" s="42"/>
      <c r="AI1161" s="42" t="str">
        <f t="array" ref="AI1161">XLOOKUP($E1161,Sheet11!$D:$D,Sheet11!$X:$X,"",0)</f>
        <v/>
      </c>
      <c r="AJ1161" s="42" t="str">
        <f t="array" ref="AJ1161">XLOOKUP($E1161,Sheet11!$D:$D,Sheet11!$Y:$Y,"",0)</f>
        <v/>
      </c>
    </row>
    <row r="1162">
      <c r="A1162" s="23"/>
      <c r="B1162" s="42"/>
      <c r="C1162" s="42"/>
      <c r="D1162" s="42"/>
      <c r="E1162" s="42"/>
      <c r="F1162" s="42"/>
      <c r="G1162" s="42"/>
      <c r="H1162" s="42"/>
      <c r="I1162" s="42"/>
      <c r="J1162" s="42"/>
      <c r="K1162" s="42"/>
      <c r="L1162" s="46"/>
      <c r="M1162" s="46"/>
      <c r="N1162" s="46"/>
      <c r="O1162" s="61"/>
      <c r="P1162" s="62"/>
      <c r="Q1162" s="46"/>
      <c r="R1162" s="47"/>
      <c r="S1162" s="62"/>
      <c r="T1162" s="62"/>
      <c r="U1162" s="46"/>
      <c r="V1162" s="61"/>
      <c r="W1162" s="62"/>
      <c r="X1162" s="47"/>
      <c r="Y1162" s="46"/>
      <c r="Z1162" s="46"/>
      <c r="AA1162" s="46"/>
      <c r="AB1162" s="49"/>
      <c r="AC1162" s="42"/>
      <c r="AD1162" s="42"/>
      <c r="AE1162" s="50"/>
      <c r="AF1162" s="42"/>
      <c r="AG1162" s="42"/>
      <c r="AH1162" s="42"/>
      <c r="AI1162" s="42" t="str">
        <f t="array" ref="AI1162">XLOOKUP($E1162,Sheet11!$D:$D,Sheet11!$X:$X,"",0)</f>
        <v/>
      </c>
      <c r="AJ1162" s="42" t="str">
        <f t="array" ref="AJ1162">XLOOKUP($E1162,Sheet11!$D:$D,Sheet11!$Y:$Y,"",0)</f>
        <v/>
      </c>
    </row>
    <row r="1163">
      <c r="A1163" s="23"/>
      <c r="B1163" s="42"/>
      <c r="C1163" s="42"/>
      <c r="D1163" s="42"/>
      <c r="E1163" s="42"/>
      <c r="F1163" s="42"/>
      <c r="G1163" s="42"/>
      <c r="H1163" s="42"/>
      <c r="I1163" s="42"/>
      <c r="J1163" s="42"/>
      <c r="K1163" s="42"/>
      <c r="L1163" s="46"/>
      <c r="M1163" s="46"/>
      <c r="N1163" s="46"/>
      <c r="O1163" s="61"/>
      <c r="P1163" s="62"/>
      <c r="Q1163" s="46"/>
      <c r="R1163" s="47"/>
      <c r="S1163" s="62"/>
      <c r="T1163" s="62"/>
      <c r="U1163" s="46"/>
      <c r="V1163" s="61"/>
      <c r="W1163" s="62"/>
      <c r="X1163" s="47"/>
      <c r="Y1163" s="46"/>
      <c r="Z1163" s="46"/>
      <c r="AA1163" s="46"/>
      <c r="AB1163" s="49"/>
      <c r="AC1163" s="42"/>
      <c r="AD1163" s="42"/>
      <c r="AE1163" s="50"/>
      <c r="AF1163" s="42"/>
      <c r="AG1163" s="42"/>
      <c r="AH1163" s="42"/>
      <c r="AI1163" s="42" t="str">
        <f t="array" ref="AI1163">XLOOKUP($E1163,Sheet11!$D:$D,Sheet11!$X:$X,"",0)</f>
        <v/>
      </c>
      <c r="AJ1163" s="42" t="str">
        <f t="array" ref="AJ1163">XLOOKUP($E1163,Sheet11!$D:$D,Sheet11!$Y:$Y,"",0)</f>
        <v/>
      </c>
    </row>
    <row r="1164">
      <c r="A1164" s="23"/>
      <c r="B1164" s="42"/>
      <c r="C1164" s="42"/>
      <c r="D1164" s="42"/>
      <c r="E1164" s="42"/>
      <c r="F1164" s="42"/>
      <c r="G1164" s="42"/>
      <c r="H1164" s="42"/>
      <c r="I1164" s="42"/>
      <c r="J1164" s="42"/>
      <c r="K1164" s="42"/>
      <c r="L1164" s="46"/>
      <c r="M1164" s="46"/>
      <c r="N1164" s="46"/>
      <c r="O1164" s="61"/>
      <c r="P1164" s="62"/>
      <c r="Q1164" s="46"/>
      <c r="R1164" s="47"/>
      <c r="S1164" s="62"/>
      <c r="T1164" s="62"/>
      <c r="U1164" s="46"/>
      <c r="V1164" s="61"/>
      <c r="W1164" s="62"/>
      <c r="X1164" s="47"/>
      <c r="Y1164" s="46"/>
      <c r="Z1164" s="46"/>
      <c r="AA1164" s="46"/>
      <c r="AB1164" s="49"/>
      <c r="AC1164" s="42"/>
      <c r="AD1164" s="42"/>
      <c r="AE1164" s="50"/>
      <c r="AF1164" s="42"/>
      <c r="AG1164" s="42"/>
      <c r="AH1164" s="42"/>
      <c r="AI1164" s="42" t="str">
        <f t="array" ref="AI1164">XLOOKUP($E1164,Sheet11!$D:$D,Sheet11!$X:$X,"",0)</f>
        <v/>
      </c>
      <c r="AJ1164" s="42" t="str">
        <f t="array" ref="AJ1164">XLOOKUP($E1164,Sheet11!$D:$D,Sheet11!$Y:$Y,"",0)</f>
        <v/>
      </c>
    </row>
    <row r="1165">
      <c r="A1165" s="23"/>
      <c r="B1165" s="42"/>
      <c r="C1165" s="42"/>
      <c r="D1165" s="42"/>
      <c r="E1165" s="42"/>
      <c r="F1165" s="42"/>
      <c r="G1165" s="42"/>
      <c r="H1165" s="42"/>
      <c r="I1165" s="42"/>
      <c r="J1165" s="42"/>
      <c r="K1165" s="42"/>
      <c r="L1165" s="46"/>
      <c r="M1165" s="46"/>
      <c r="N1165" s="46"/>
      <c r="O1165" s="61"/>
      <c r="P1165" s="62"/>
      <c r="Q1165" s="46"/>
      <c r="R1165" s="47"/>
      <c r="S1165" s="62"/>
      <c r="T1165" s="62"/>
      <c r="U1165" s="46"/>
      <c r="V1165" s="61"/>
      <c r="W1165" s="62"/>
      <c r="X1165" s="47"/>
      <c r="Y1165" s="46"/>
      <c r="Z1165" s="46"/>
      <c r="AA1165" s="46"/>
      <c r="AB1165" s="49"/>
      <c r="AC1165" s="42"/>
      <c r="AD1165" s="42"/>
      <c r="AE1165" s="50"/>
      <c r="AF1165" s="42"/>
      <c r="AG1165" s="42"/>
      <c r="AH1165" s="42"/>
      <c r="AI1165" s="42" t="str">
        <f t="array" ref="AI1165">XLOOKUP($E1165,Sheet11!$D:$D,Sheet11!$X:$X,"",0)</f>
        <v/>
      </c>
      <c r="AJ1165" s="42" t="str">
        <f t="array" ref="AJ1165">XLOOKUP($E1165,Sheet11!$D:$D,Sheet11!$Y:$Y,"",0)</f>
        <v/>
      </c>
    </row>
    <row r="1166">
      <c r="A1166" s="23"/>
      <c r="B1166" s="42"/>
      <c r="C1166" s="42"/>
      <c r="D1166" s="42"/>
      <c r="E1166" s="42"/>
      <c r="F1166" s="42"/>
      <c r="G1166" s="42"/>
      <c r="H1166" s="42"/>
      <c r="I1166" s="42"/>
      <c r="J1166" s="42"/>
      <c r="K1166" s="42"/>
      <c r="L1166" s="46"/>
      <c r="M1166" s="46"/>
      <c r="N1166" s="46"/>
      <c r="O1166" s="61"/>
      <c r="P1166" s="62"/>
      <c r="Q1166" s="46"/>
      <c r="R1166" s="47"/>
      <c r="S1166" s="62"/>
      <c r="T1166" s="62"/>
      <c r="U1166" s="46"/>
      <c r="V1166" s="61"/>
      <c r="W1166" s="62"/>
      <c r="X1166" s="47"/>
      <c r="Y1166" s="46"/>
      <c r="Z1166" s="46"/>
      <c r="AA1166" s="46"/>
      <c r="AB1166" s="49"/>
      <c r="AC1166" s="42"/>
      <c r="AD1166" s="42"/>
      <c r="AE1166" s="50"/>
      <c r="AF1166" s="42"/>
      <c r="AG1166" s="42"/>
      <c r="AH1166" s="42"/>
      <c r="AI1166" s="42" t="str">
        <f t="array" ref="AI1166">XLOOKUP($E1166,Sheet11!$D:$D,Sheet11!$X:$X,"",0)</f>
        <v/>
      </c>
      <c r="AJ1166" s="42" t="str">
        <f t="array" ref="AJ1166">XLOOKUP($E1166,Sheet11!$D:$D,Sheet11!$Y:$Y,"",0)</f>
        <v/>
      </c>
    </row>
    <row r="1167">
      <c r="A1167" s="23"/>
      <c r="B1167" s="42"/>
      <c r="C1167" s="42"/>
      <c r="D1167" s="42"/>
      <c r="E1167" s="42"/>
      <c r="F1167" s="42"/>
      <c r="G1167" s="42"/>
      <c r="H1167" s="42"/>
      <c r="I1167" s="42"/>
      <c r="J1167" s="42"/>
      <c r="K1167" s="42"/>
      <c r="L1167" s="46"/>
      <c r="M1167" s="46"/>
      <c r="N1167" s="46"/>
      <c r="O1167" s="61"/>
      <c r="P1167" s="62"/>
      <c r="Q1167" s="46"/>
      <c r="R1167" s="47"/>
      <c r="S1167" s="62"/>
      <c r="T1167" s="62"/>
      <c r="U1167" s="46"/>
      <c r="V1167" s="61"/>
      <c r="W1167" s="62"/>
      <c r="X1167" s="47"/>
      <c r="Y1167" s="46"/>
      <c r="Z1167" s="46"/>
      <c r="AA1167" s="46"/>
      <c r="AB1167" s="49"/>
      <c r="AC1167" s="42"/>
      <c r="AD1167" s="42"/>
      <c r="AE1167" s="50"/>
      <c r="AF1167" s="42"/>
      <c r="AG1167" s="42"/>
      <c r="AH1167" s="42"/>
      <c r="AI1167" s="42" t="str">
        <f t="array" ref="AI1167">XLOOKUP($E1167,Sheet11!$D:$D,Sheet11!$X:$X,"",0)</f>
        <v/>
      </c>
      <c r="AJ1167" s="42" t="str">
        <f t="array" ref="AJ1167">XLOOKUP($E1167,Sheet11!$D:$D,Sheet11!$Y:$Y,"",0)</f>
        <v/>
      </c>
    </row>
    <row r="1168">
      <c r="A1168" s="23"/>
      <c r="B1168" s="42"/>
      <c r="C1168" s="42"/>
      <c r="D1168" s="42"/>
      <c r="E1168" s="42"/>
      <c r="F1168" s="42"/>
      <c r="G1168" s="42"/>
      <c r="H1168" s="42"/>
      <c r="I1168" s="42"/>
      <c r="J1168" s="42"/>
      <c r="K1168" s="42"/>
      <c r="L1168" s="46"/>
      <c r="M1168" s="46"/>
      <c r="N1168" s="46"/>
      <c r="O1168" s="61"/>
      <c r="P1168" s="62"/>
      <c r="Q1168" s="46"/>
      <c r="R1168" s="47"/>
      <c r="S1168" s="62"/>
      <c r="T1168" s="62"/>
      <c r="U1168" s="46"/>
      <c r="V1168" s="61"/>
      <c r="W1168" s="62"/>
      <c r="X1168" s="47"/>
      <c r="Y1168" s="46"/>
      <c r="Z1168" s="46"/>
      <c r="AA1168" s="46"/>
      <c r="AB1168" s="49"/>
      <c r="AC1168" s="42"/>
      <c r="AD1168" s="42"/>
      <c r="AE1168" s="50"/>
      <c r="AF1168" s="42"/>
      <c r="AG1168" s="42"/>
      <c r="AH1168" s="42"/>
      <c r="AI1168" s="42" t="str">
        <f t="array" ref="AI1168">XLOOKUP($E1168,Sheet11!$D:$D,Sheet11!$X:$X,"",0)</f>
        <v/>
      </c>
      <c r="AJ1168" s="42" t="str">
        <f t="array" ref="AJ1168">XLOOKUP($E1168,Sheet11!$D:$D,Sheet11!$Y:$Y,"",0)</f>
        <v/>
      </c>
    </row>
    <row r="1169">
      <c r="A1169" s="23"/>
      <c r="B1169" s="42"/>
      <c r="C1169" s="42"/>
      <c r="D1169" s="42"/>
      <c r="E1169" s="42"/>
      <c r="F1169" s="42"/>
      <c r="G1169" s="42"/>
      <c r="H1169" s="42"/>
      <c r="I1169" s="42"/>
      <c r="J1169" s="42"/>
      <c r="K1169" s="42"/>
      <c r="L1169" s="46"/>
      <c r="M1169" s="46"/>
      <c r="N1169" s="46"/>
      <c r="O1169" s="61"/>
      <c r="P1169" s="62"/>
      <c r="Q1169" s="46"/>
      <c r="R1169" s="47"/>
      <c r="S1169" s="62"/>
      <c r="T1169" s="62"/>
      <c r="U1169" s="46"/>
      <c r="V1169" s="61"/>
      <c r="W1169" s="62"/>
      <c r="X1169" s="47"/>
      <c r="Y1169" s="46"/>
      <c r="Z1169" s="46"/>
      <c r="AA1169" s="46"/>
      <c r="AB1169" s="49"/>
      <c r="AC1169" s="42"/>
      <c r="AD1169" s="42"/>
      <c r="AE1169" s="50"/>
      <c r="AF1169" s="42"/>
      <c r="AG1169" s="42"/>
      <c r="AH1169" s="42"/>
      <c r="AI1169" s="42" t="str">
        <f t="array" ref="AI1169">XLOOKUP($E1169,Sheet11!$D:$D,Sheet11!$X:$X,"",0)</f>
        <v/>
      </c>
      <c r="AJ1169" s="42" t="str">
        <f t="array" ref="AJ1169">XLOOKUP($E1169,Sheet11!$D:$D,Sheet11!$Y:$Y,"",0)</f>
        <v/>
      </c>
    </row>
    <row r="1170">
      <c r="A1170" s="23"/>
      <c r="B1170" s="42"/>
      <c r="C1170" s="42"/>
      <c r="D1170" s="42"/>
      <c r="E1170" s="42"/>
      <c r="F1170" s="42"/>
      <c r="G1170" s="42"/>
      <c r="H1170" s="42"/>
      <c r="I1170" s="42"/>
      <c r="J1170" s="42"/>
      <c r="K1170" s="42"/>
      <c r="L1170" s="46"/>
      <c r="M1170" s="46"/>
      <c r="N1170" s="46"/>
      <c r="O1170" s="61"/>
      <c r="P1170" s="62"/>
      <c r="Q1170" s="46"/>
      <c r="R1170" s="47"/>
      <c r="S1170" s="62"/>
      <c r="T1170" s="62"/>
      <c r="U1170" s="46"/>
      <c r="V1170" s="61"/>
      <c r="W1170" s="62"/>
      <c r="X1170" s="47"/>
      <c r="Y1170" s="46"/>
      <c r="Z1170" s="46"/>
      <c r="AA1170" s="46"/>
      <c r="AB1170" s="49"/>
      <c r="AC1170" s="42"/>
      <c r="AD1170" s="42"/>
      <c r="AE1170" s="50"/>
      <c r="AF1170" s="42"/>
      <c r="AG1170" s="42"/>
      <c r="AH1170" s="42"/>
      <c r="AI1170" s="42" t="str">
        <f t="array" ref="AI1170">XLOOKUP($E1170,Sheet11!$D:$D,Sheet11!$X:$X,"",0)</f>
        <v/>
      </c>
      <c r="AJ1170" s="42" t="str">
        <f t="array" ref="AJ1170">XLOOKUP($E1170,Sheet11!$D:$D,Sheet11!$Y:$Y,"",0)</f>
        <v/>
      </c>
    </row>
    <row r="1171">
      <c r="A1171" s="23"/>
      <c r="B1171" s="42"/>
      <c r="C1171" s="42"/>
      <c r="D1171" s="42"/>
      <c r="E1171" s="42"/>
      <c r="F1171" s="42"/>
      <c r="G1171" s="42"/>
      <c r="H1171" s="42"/>
      <c r="I1171" s="42"/>
      <c r="J1171" s="42"/>
      <c r="K1171" s="42"/>
      <c r="L1171" s="46"/>
      <c r="M1171" s="46"/>
      <c r="N1171" s="46"/>
      <c r="O1171" s="61"/>
      <c r="P1171" s="62"/>
      <c r="Q1171" s="46"/>
      <c r="R1171" s="47"/>
      <c r="S1171" s="62"/>
      <c r="T1171" s="62"/>
      <c r="U1171" s="46"/>
      <c r="V1171" s="61"/>
      <c r="W1171" s="62"/>
      <c r="X1171" s="47"/>
      <c r="Y1171" s="46"/>
      <c r="Z1171" s="46"/>
      <c r="AA1171" s="46"/>
      <c r="AB1171" s="49"/>
      <c r="AC1171" s="42"/>
      <c r="AD1171" s="42"/>
      <c r="AE1171" s="50"/>
      <c r="AF1171" s="42"/>
      <c r="AG1171" s="42"/>
      <c r="AH1171" s="42"/>
      <c r="AI1171" s="42" t="str">
        <f t="array" ref="AI1171">XLOOKUP($E1171,Sheet11!$D:$D,Sheet11!$X:$X,"",0)</f>
        <v/>
      </c>
      <c r="AJ1171" s="42" t="str">
        <f t="array" ref="AJ1171">XLOOKUP($E1171,Sheet11!$D:$D,Sheet11!$Y:$Y,"",0)</f>
        <v/>
      </c>
    </row>
    <row r="1172">
      <c r="A1172" s="23"/>
      <c r="B1172" s="42"/>
      <c r="C1172" s="42"/>
      <c r="D1172" s="42"/>
      <c r="E1172" s="42"/>
      <c r="F1172" s="42"/>
      <c r="G1172" s="42"/>
      <c r="H1172" s="42"/>
      <c r="I1172" s="42"/>
      <c r="J1172" s="42"/>
      <c r="K1172" s="42"/>
      <c r="L1172" s="46"/>
      <c r="M1172" s="46"/>
      <c r="N1172" s="46"/>
      <c r="O1172" s="61"/>
      <c r="P1172" s="62"/>
      <c r="Q1172" s="46"/>
      <c r="R1172" s="47"/>
      <c r="S1172" s="62"/>
      <c r="T1172" s="62"/>
      <c r="U1172" s="46"/>
      <c r="V1172" s="61"/>
      <c r="W1172" s="62"/>
      <c r="X1172" s="47"/>
      <c r="Y1172" s="46"/>
      <c r="Z1172" s="46"/>
      <c r="AA1172" s="46"/>
      <c r="AB1172" s="49"/>
      <c r="AC1172" s="42"/>
      <c r="AD1172" s="42"/>
      <c r="AE1172" s="50"/>
      <c r="AF1172" s="42"/>
      <c r="AG1172" s="42"/>
      <c r="AH1172" s="42"/>
      <c r="AI1172" s="42" t="str">
        <f t="array" ref="AI1172">XLOOKUP($E1172,Sheet11!$D:$D,Sheet11!$X:$X,"",0)</f>
        <v/>
      </c>
      <c r="AJ1172" s="42" t="str">
        <f t="array" ref="AJ1172">XLOOKUP($E1172,Sheet11!$D:$D,Sheet11!$Y:$Y,"",0)</f>
        <v/>
      </c>
    </row>
    <row r="1173">
      <c r="A1173" s="23"/>
      <c r="B1173" s="42"/>
      <c r="C1173" s="42"/>
      <c r="D1173" s="42"/>
      <c r="E1173" s="42"/>
      <c r="F1173" s="42"/>
      <c r="G1173" s="42"/>
      <c r="H1173" s="42"/>
      <c r="I1173" s="42"/>
      <c r="J1173" s="42"/>
      <c r="K1173" s="42"/>
      <c r="L1173" s="46"/>
      <c r="M1173" s="46"/>
      <c r="N1173" s="46"/>
      <c r="O1173" s="61"/>
      <c r="P1173" s="62"/>
      <c r="Q1173" s="46"/>
      <c r="R1173" s="47"/>
      <c r="S1173" s="62"/>
      <c r="T1173" s="62"/>
      <c r="U1173" s="46"/>
      <c r="V1173" s="61"/>
      <c r="W1173" s="62"/>
      <c r="X1173" s="47"/>
      <c r="Y1173" s="46"/>
      <c r="Z1173" s="46"/>
      <c r="AA1173" s="46"/>
      <c r="AB1173" s="49"/>
      <c r="AC1173" s="42"/>
      <c r="AD1173" s="42"/>
      <c r="AE1173" s="50"/>
      <c r="AF1173" s="42"/>
      <c r="AG1173" s="42"/>
      <c r="AH1173" s="42"/>
      <c r="AI1173" s="42" t="str">
        <f t="array" ref="AI1173">XLOOKUP($E1173,Sheet11!$D:$D,Sheet11!$X:$X,"",0)</f>
        <v/>
      </c>
      <c r="AJ1173" s="42" t="str">
        <f t="array" ref="AJ1173">XLOOKUP($E1173,Sheet11!$D:$D,Sheet11!$Y:$Y,"",0)</f>
        <v/>
      </c>
    </row>
    <row r="1174">
      <c r="A1174" s="23"/>
      <c r="B1174" s="42"/>
      <c r="C1174" s="42"/>
      <c r="D1174" s="42"/>
      <c r="E1174" s="42"/>
      <c r="F1174" s="42"/>
      <c r="G1174" s="42"/>
      <c r="H1174" s="42"/>
      <c r="I1174" s="42"/>
      <c r="J1174" s="42"/>
      <c r="K1174" s="42"/>
      <c r="L1174" s="46"/>
      <c r="M1174" s="46"/>
      <c r="N1174" s="46"/>
      <c r="O1174" s="61"/>
      <c r="P1174" s="62"/>
      <c r="Q1174" s="46"/>
      <c r="R1174" s="47"/>
      <c r="S1174" s="62"/>
      <c r="T1174" s="62"/>
      <c r="U1174" s="46"/>
      <c r="V1174" s="61"/>
      <c r="W1174" s="62"/>
      <c r="X1174" s="47"/>
      <c r="Y1174" s="46"/>
      <c r="Z1174" s="46"/>
      <c r="AA1174" s="46"/>
      <c r="AB1174" s="49"/>
      <c r="AC1174" s="42"/>
      <c r="AD1174" s="42"/>
      <c r="AE1174" s="50"/>
      <c r="AF1174" s="42"/>
      <c r="AG1174" s="42"/>
      <c r="AH1174" s="42"/>
      <c r="AI1174" s="42" t="str">
        <f t="array" ref="AI1174">XLOOKUP($E1174,Sheet11!$D:$D,Sheet11!$X:$X,"",0)</f>
        <v/>
      </c>
      <c r="AJ1174" s="42" t="str">
        <f t="array" ref="AJ1174">XLOOKUP($E1174,Sheet11!$D:$D,Sheet11!$Y:$Y,"",0)</f>
        <v/>
      </c>
    </row>
    <row r="1175">
      <c r="A1175" s="23"/>
      <c r="B1175" s="42"/>
      <c r="C1175" s="42"/>
      <c r="D1175" s="42"/>
      <c r="E1175" s="42"/>
      <c r="F1175" s="42"/>
      <c r="G1175" s="42"/>
      <c r="H1175" s="42"/>
      <c r="I1175" s="42"/>
      <c r="J1175" s="42"/>
      <c r="K1175" s="42"/>
      <c r="L1175" s="46"/>
      <c r="M1175" s="46"/>
      <c r="N1175" s="46"/>
      <c r="O1175" s="61"/>
      <c r="P1175" s="62"/>
      <c r="Q1175" s="46"/>
      <c r="R1175" s="47"/>
      <c r="S1175" s="62"/>
      <c r="T1175" s="62"/>
      <c r="U1175" s="46"/>
      <c r="V1175" s="61"/>
      <c r="W1175" s="62"/>
      <c r="X1175" s="47"/>
      <c r="Y1175" s="46"/>
      <c r="Z1175" s="46"/>
      <c r="AA1175" s="46"/>
      <c r="AB1175" s="49"/>
      <c r="AC1175" s="42"/>
      <c r="AD1175" s="42"/>
      <c r="AE1175" s="50"/>
      <c r="AF1175" s="42"/>
      <c r="AG1175" s="42"/>
      <c r="AH1175" s="42"/>
      <c r="AI1175" s="42" t="str">
        <f t="array" ref="AI1175">XLOOKUP($E1175,Sheet11!$D:$D,Sheet11!$X:$X,"",0)</f>
        <v/>
      </c>
      <c r="AJ1175" s="42" t="str">
        <f t="array" ref="AJ1175">XLOOKUP($E1175,Sheet11!$D:$D,Sheet11!$Y:$Y,"",0)</f>
        <v/>
      </c>
    </row>
    <row r="1176">
      <c r="A1176" s="23"/>
      <c r="B1176" s="42"/>
      <c r="C1176" s="42"/>
      <c r="D1176" s="42"/>
      <c r="E1176" s="42"/>
      <c r="F1176" s="42"/>
      <c r="G1176" s="42"/>
      <c r="H1176" s="42"/>
      <c r="I1176" s="42"/>
      <c r="J1176" s="42"/>
      <c r="K1176" s="42"/>
      <c r="L1176" s="46"/>
      <c r="M1176" s="46"/>
      <c r="N1176" s="46"/>
      <c r="O1176" s="61"/>
      <c r="P1176" s="62"/>
      <c r="Q1176" s="46"/>
      <c r="R1176" s="47"/>
      <c r="S1176" s="62"/>
      <c r="T1176" s="62"/>
      <c r="U1176" s="46"/>
      <c r="V1176" s="61"/>
      <c r="W1176" s="62"/>
      <c r="X1176" s="47"/>
      <c r="Y1176" s="46"/>
      <c r="Z1176" s="46"/>
      <c r="AA1176" s="46"/>
      <c r="AB1176" s="49"/>
      <c r="AC1176" s="42"/>
      <c r="AD1176" s="42"/>
      <c r="AE1176" s="50"/>
      <c r="AF1176" s="42"/>
      <c r="AG1176" s="42"/>
      <c r="AH1176" s="42"/>
      <c r="AI1176" s="42" t="str">
        <f t="array" ref="AI1176">XLOOKUP($E1176,Sheet11!$D:$D,Sheet11!$X:$X,"",0)</f>
        <v/>
      </c>
      <c r="AJ1176" s="42" t="str">
        <f t="array" ref="AJ1176">XLOOKUP($E1176,Sheet11!$D:$D,Sheet11!$Y:$Y,"",0)</f>
        <v/>
      </c>
    </row>
    <row r="1177">
      <c r="A1177" s="23"/>
      <c r="B1177" s="42"/>
      <c r="C1177" s="42"/>
      <c r="D1177" s="42"/>
      <c r="E1177" s="42"/>
      <c r="F1177" s="42"/>
      <c r="G1177" s="42"/>
      <c r="H1177" s="42"/>
      <c r="I1177" s="42"/>
      <c r="J1177" s="42"/>
      <c r="K1177" s="42"/>
      <c r="L1177" s="46"/>
      <c r="M1177" s="46"/>
      <c r="N1177" s="46"/>
      <c r="O1177" s="61"/>
      <c r="P1177" s="62"/>
      <c r="Q1177" s="46"/>
      <c r="R1177" s="47"/>
      <c r="S1177" s="62"/>
      <c r="T1177" s="62"/>
      <c r="U1177" s="46"/>
      <c r="V1177" s="61"/>
      <c r="W1177" s="62"/>
      <c r="X1177" s="47"/>
      <c r="Y1177" s="46"/>
      <c r="Z1177" s="46"/>
      <c r="AA1177" s="46"/>
      <c r="AB1177" s="49"/>
      <c r="AC1177" s="42"/>
      <c r="AD1177" s="42"/>
      <c r="AE1177" s="50"/>
      <c r="AF1177" s="42"/>
      <c r="AG1177" s="42"/>
      <c r="AH1177" s="42"/>
      <c r="AI1177" s="42" t="str">
        <f t="array" ref="AI1177">XLOOKUP($E1177,Sheet11!$D:$D,Sheet11!$X:$X,"",0)</f>
        <v/>
      </c>
      <c r="AJ1177" s="42" t="str">
        <f t="array" ref="AJ1177">XLOOKUP($E1177,Sheet11!$D:$D,Sheet11!$Y:$Y,"",0)</f>
        <v/>
      </c>
    </row>
    <row r="1178">
      <c r="A1178" s="23"/>
      <c r="B1178" s="42"/>
      <c r="C1178" s="42"/>
      <c r="D1178" s="42"/>
      <c r="E1178" s="42"/>
      <c r="F1178" s="42"/>
      <c r="G1178" s="42"/>
      <c r="H1178" s="42"/>
      <c r="I1178" s="42"/>
      <c r="J1178" s="42"/>
      <c r="K1178" s="42"/>
      <c r="L1178" s="46"/>
      <c r="M1178" s="46"/>
      <c r="N1178" s="46"/>
      <c r="O1178" s="61"/>
      <c r="P1178" s="62"/>
      <c r="Q1178" s="46"/>
      <c r="R1178" s="47"/>
      <c r="S1178" s="62"/>
      <c r="T1178" s="62"/>
      <c r="U1178" s="46"/>
      <c r="V1178" s="61"/>
      <c r="W1178" s="62"/>
      <c r="X1178" s="47"/>
      <c r="Y1178" s="46"/>
      <c r="Z1178" s="46"/>
      <c r="AA1178" s="46"/>
      <c r="AB1178" s="49"/>
      <c r="AC1178" s="42"/>
      <c r="AD1178" s="42"/>
      <c r="AE1178" s="50"/>
      <c r="AF1178" s="42"/>
      <c r="AG1178" s="42"/>
      <c r="AH1178" s="42"/>
      <c r="AI1178" s="42" t="str">
        <f t="array" ref="AI1178">XLOOKUP($E1178,Sheet11!$D:$D,Sheet11!$X:$X,"",0)</f>
        <v/>
      </c>
      <c r="AJ1178" s="42" t="str">
        <f t="array" ref="AJ1178">XLOOKUP($E1178,Sheet11!$D:$D,Sheet11!$Y:$Y,"",0)</f>
        <v/>
      </c>
    </row>
    <row r="1179">
      <c r="A1179" s="23"/>
      <c r="B1179" s="42"/>
      <c r="C1179" s="42"/>
      <c r="D1179" s="42"/>
      <c r="E1179" s="42"/>
      <c r="F1179" s="42"/>
      <c r="G1179" s="42"/>
      <c r="H1179" s="42"/>
      <c r="I1179" s="42"/>
      <c r="J1179" s="42"/>
      <c r="K1179" s="42"/>
      <c r="L1179" s="46"/>
      <c r="M1179" s="46"/>
      <c r="N1179" s="46"/>
      <c r="O1179" s="61"/>
      <c r="P1179" s="62"/>
      <c r="Q1179" s="46"/>
      <c r="R1179" s="47"/>
      <c r="S1179" s="62"/>
      <c r="T1179" s="62"/>
      <c r="U1179" s="46"/>
      <c r="V1179" s="61"/>
      <c r="W1179" s="62"/>
      <c r="X1179" s="47"/>
      <c r="Y1179" s="46"/>
      <c r="Z1179" s="46"/>
      <c r="AA1179" s="46"/>
      <c r="AB1179" s="49"/>
      <c r="AC1179" s="42"/>
      <c r="AD1179" s="42"/>
      <c r="AE1179" s="50"/>
      <c r="AF1179" s="42"/>
      <c r="AG1179" s="42"/>
      <c r="AH1179" s="42"/>
      <c r="AI1179" s="42" t="str">
        <f t="array" ref="AI1179">XLOOKUP($E1179,Sheet11!$D:$D,Sheet11!$X:$X,"",0)</f>
        <v/>
      </c>
      <c r="AJ1179" s="42" t="str">
        <f t="array" ref="AJ1179">XLOOKUP($E1179,Sheet11!$D:$D,Sheet11!$Y:$Y,"",0)</f>
        <v/>
      </c>
    </row>
    <row r="1180">
      <c r="A1180" s="23"/>
      <c r="B1180" s="42"/>
      <c r="C1180" s="42"/>
      <c r="D1180" s="42"/>
      <c r="E1180" s="42"/>
      <c r="F1180" s="42"/>
      <c r="G1180" s="42"/>
      <c r="H1180" s="42"/>
      <c r="I1180" s="42"/>
      <c r="J1180" s="42"/>
      <c r="K1180" s="42"/>
      <c r="L1180" s="46"/>
      <c r="M1180" s="46"/>
      <c r="N1180" s="46"/>
      <c r="O1180" s="61"/>
      <c r="P1180" s="62"/>
      <c r="Q1180" s="46"/>
      <c r="R1180" s="47"/>
      <c r="S1180" s="62"/>
      <c r="T1180" s="62"/>
      <c r="U1180" s="46"/>
      <c r="V1180" s="61"/>
      <c r="W1180" s="62"/>
      <c r="X1180" s="47"/>
      <c r="Y1180" s="46"/>
      <c r="Z1180" s="46"/>
      <c r="AA1180" s="46"/>
      <c r="AB1180" s="49"/>
      <c r="AC1180" s="42"/>
      <c r="AD1180" s="42"/>
      <c r="AE1180" s="50"/>
      <c r="AF1180" s="42"/>
      <c r="AG1180" s="42"/>
      <c r="AH1180" s="42"/>
      <c r="AI1180" s="42" t="str">
        <f t="array" ref="AI1180">XLOOKUP($E1180,Sheet11!$D:$D,Sheet11!$X:$X,"",0)</f>
        <v/>
      </c>
      <c r="AJ1180" s="42" t="str">
        <f t="array" ref="AJ1180">XLOOKUP($E1180,Sheet11!$D:$D,Sheet11!$Y:$Y,"",0)</f>
        <v/>
      </c>
    </row>
    <row r="1181">
      <c r="A1181" s="23"/>
      <c r="B1181" s="42"/>
      <c r="C1181" s="42"/>
      <c r="D1181" s="42"/>
      <c r="E1181" s="42"/>
      <c r="F1181" s="42"/>
      <c r="G1181" s="42"/>
      <c r="H1181" s="42"/>
      <c r="I1181" s="42"/>
      <c r="J1181" s="42"/>
      <c r="K1181" s="42"/>
      <c r="L1181" s="46"/>
      <c r="M1181" s="46"/>
      <c r="N1181" s="46"/>
      <c r="O1181" s="61"/>
      <c r="P1181" s="62"/>
      <c r="Q1181" s="46"/>
      <c r="R1181" s="47"/>
      <c r="S1181" s="62"/>
      <c r="T1181" s="62"/>
      <c r="U1181" s="46"/>
      <c r="V1181" s="61"/>
      <c r="W1181" s="62"/>
      <c r="X1181" s="47"/>
      <c r="Y1181" s="46"/>
      <c r="Z1181" s="46"/>
      <c r="AA1181" s="46"/>
      <c r="AB1181" s="49"/>
      <c r="AC1181" s="42"/>
      <c r="AD1181" s="42"/>
      <c r="AE1181" s="50"/>
      <c r="AF1181" s="42"/>
      <c r="AG1181" s="42"/>
      <c r="AH1181" s="42"/>
      <c r="AI1181" s="42" t="str">
        <f t="array" ref="AI1181">XLOOKUP($E1181,Sheet11!$D:$D,Sheet11!$X:$X,"",0)</f>
        <v/>
      </c>
      <c r="AJ1181" s="42" t="str">
        <f t="array" ref="AJ1181">XLOOKUP($E1181,Sheet11!$D:$D,Sheet11!$Y:$Y,"",0)</f>
        <v/>
      </c>
    </row>
    <row r="1182">
      <c r="A1182" s="23"/>
      <c r="B1182" s="42"/>
      <c r="C1182" s="42"/>
      <c r="D1182" s="42"/>
      <c r="E1182" s="42"/>
      <c r="F1182" s="42"/>
      <c r="G1182" s="42"/>
      <c r="H1182" s="42"/>
      <c r="I1182" s="42"/>
      <c r="J1182" s="42"/>
      <c r="K1182" s="42"/>
      <c r="L1182" s="46"/>
      <c r="M1182" s="46"/>
      <c r="N1182" s="46"/>
      <c r="O1182" s="61"/>
      <c r="P1182" s="62"/>
      <c r="Q1182" s="46"/>
      <c r="R1182" s="47"/>
      <c r="S1182" s="62"/>
      <c r="T1182" s="62"/>
      <c r="U1182" s="46"/>
      <c r="V1182" s="61"/>
      <c r="W1182" s="62"/>
      <c r="X1182" s="47"/>
      <c r="Y1182" s="46"/>
      <c r="Z1182" s="46"/>
      <c r="AA1182" s="46"/>
      <c r="AB1182" s="49"/>
      <c r="AC1182" s="42"/>
      <c r="AD1182" s="42"/>
      <c r="AE1182" s="50"/>
      <c r="AF1182" s="42"/>
      <c r="AG1182" s="42"/>
      <c r="AH1182" s="42"/>
      <c r="AI1182" s="42" t="str">
        <f t="array" ref="AI1182">XLOOKUP($E1182,Sheet11!$D:$D,Sheet11!$X:$X,"",0)</f>
        <v/>
      </c>
      <c r="AJ1182" s="42" t="str">
        <f t="array" ref="AJ1182">XLOOKUP($E1182,Sheet11!$D:$D,Sheet11!$Y:$Y,"",0)</f>
        <v/>
      </c>
    </row>
    <row r="1183">
      <c r="A1183" s="23"/>
      <c r="B1183" s="42"/>
      <c r="C1183" s="42"/>
      <c r="D1183" s="42"/>
      <c r="E1183" s="42"/>
      <c r="F1183" s="42"/>
      <c r="G1183" s="42"/>
      <c r="H1183" s="42"/>
      <c r="I1183" s="42"/>
      <c r="J1183" s="42"/>
      <c r="K1183" s="42"/>
      <c r="L1183" s="46"/>
      <c r="M1183" s="46"/>
      <c r="N1183" s="46"/>
      <c r="O1183" s="61"/>
      <c r="P1183" s="62"/>
      <c r="Q1183" s="46"/>
      <c r="R1183" s="47"/>
      <c r="S1183" s="62"/>
      <c r="T1183" s="62"/>
      <c r="U1183" s="46"/>
      <c r="V1183" s="61"/>
      <c r="W1183" s="62"/>
      <c r="X1183" s="47"/>
      <c r="Y1183" s="46"/>
      <c r="Z1183" s="46"/>
      <c r="AA1183" s="46"/>
      <c r="AB1183" s="49"/>
      <c r="AC1183" s="42"/>
      <c r="AD1183" s="42"/>
      <c r="AE1183" s="50"/>
      <c r="AF1183" s="42"/>
      <c r="AG1183" s="42"/>
      <c r="AH1183" s="42"/>
      <c r="AI1183" s="42" t="str">
        <f t="array" ref="AI1183">XLOOKUP($E1183,Sheet11!$D:$D,Sheet11!$X:$X,"",0)</f>
        <v/>
      </c>
      <c r="AJ1183" s="42" t="str">
        <f t="array" ref="AJ1183">XLOOKUP($E1183,Sheet11!$D:$D,Sheet11!$Y:$Y,"",0)</f>
        <v/>
      </c>
    </row>
    <row r="1184">
      <c r="A1184" s="23"/>
      <c r="B1184" s="42"/>
      <c r="C1184" s="42"/>
      <c r="D1184" s="42"/>
      <c r="E1184" s="42"/>
      <c r="F1184" s="42"/>
      <c r="G1184" s="42"/>
      <c r="H1184" s="42"/>
      <c r="I1184" s="42"/>
      <c r="J1184" s="42"/>
      <c r="K1184" s="42"/>
      <c r="L1184" s="46"/>
      <c r="M1184" s="46"/>
      <c r="N1184" s="46"/>
      <c r="O1184" s="61"/>
      <c r="P1184" s="62"/>
      <c r="Q1184" s="46"/>
      <c r="R1184" s="47"/>
      <c r="S1184" s="62"/>
      <c r="T1184" s="62"/>
      <c r="U1184" s="46"/>
      <c r="V1184" s="61"/>
      <c r="W1184" s="62"/>
      <c r="X1184" s="47"/>
      <c r="Y1184" s="46"/>
      <c r="Z1184" s="46"/>
      <c r="AA1184" s="46"/>
      <c r="AB1184" s="49"/>
      <c r="AC1184" s="42"/>
      <c r="AD1184" s="42"/>
      <c r="AE1184" s="50"/>
      <c r="AF1184" s="42"/>
      <c r="AG1184" s="42"/>
      <c r="AH1184" s="42"/>
      <c r="AI1184" s="42" t="str">
        <f t="array" ref="AI1184">XLOOKUP($E1184,Sheet11!$D:$D,Sheet11!$X:$X,"",0)</f>
        <v/>
      </c>
      <c r="AJ1184" s="42" t="str">
        <f t="array" ref="AJ1184">XLOOKUP($E1184,Sheet11!$D:$D,Sheet11!$Y:$Y,"",0)</f>
        <v/>
      </c>
    </row>
    <row r="1185">
      <c r="A1185" s="23"/>
      <c r="B1185" s="42"/>
      <c r="C1185" s="42"/>
      <c r="D1185" s="42"/>
      <c r="E1185" s="42"/>
      <c r="F1185" s="42"/>
      <c r="G1185" s="42"/>
      <c r="H1185" s="42"/>
      <c r="I1185" s="42"/>
      <c r="J1185" s="42"/>
      <c r="K1185" s="42"/>
      <c r="L1185" s="46"/>
      <c r="M1185" s="46"/>
      <c r="N1185" s="46"/>
      <c r="O1185" s="61"/>
      <c r="P1185" s="62"/>
      <c r="Q1185" s="46"/>
      <c r="R1185" s="47"/>
      <c r="S1185" s="62"/>
      <c r="T1185" s="62"/>
      <c r="U1185" s="46"/>
      <c r="V1185" s="61"/>
      <c r="W1185" s="62"/>
      <c r="X1185" s="47"/>
      <c r="Y1185" s="46"/>
      <c r="Z1185" s="46"/>
      <c r="AA1185" s="46"/>
      <c r="AB1185" s="49"/>
      <c r="AC1185" s="42"/>
      <c r="AD1185" s="42"/>
      <c r="AE1185" s="50"/>
      <c r="AF1185" s="42"/>
      <c r="AG1185" s="42"/>
      <c r="AH1185" s="42"/>
      <c r="AI1185" s="42" t="str">
        <f t="array" ref="AI1185">XLOOKUP($E1185,Sheet11!$D:$D,Sheet11!$X:$X,"",0)</f>
        <v/>
      </c>
      <c r="AJ1185" s="42" t="str">
        <f t="array" ref="AJ1185">XLOOKUP($E1185,Sheet11!$D:$D,Sheet11!$Y:$Y,"",0)</f>
        <v/>
      </c>
    </row>
    <row r="1186">
      <c r="A1186" s="23"/>
      <c r="B1186" s="42"/>
      <c r="C1186" s="42"/>
      <c r="D1186" s="42"/>
      <c r="E1186" s="42"/>
      <c r="F1186" s="42"/>
      <c r="G1186" s="42"/>
      <c r="H1186" s="42"/>
      <c r="I1186" s="42"/>
      <c r="J1186" s="42"/>
      <c r="K1186" s="42"/>
      <c r="L1186" s="46"/>
      <c r="M1186" s="46"/>
      <c r="N1186" s="46"/>
      <c r="O1186" s="61"/>
      <c r="P1186" s="62"/>
      <c r="Q1186" s="46"/>
      <c r="R1186" s="47"/>
      <c r="S1186" s="62"/>
      <c r="T1186" s="62"/>
      <c r="U1186" s="46"/>
      <c r="V1186" s="61"/>
      <c r="W1186" s="62"/>
      <c r="X1186" s="47"/>
      <c r="Y1186" s="46"/>
      <c r="Z1186" s="46"/>
      <c r="AA1186" s="46"/>
      <c r="AB1186" s="49"/>
      <c r="AC1186" s="42"/>
      <c r="AD1186" s="42"/>
      <c r="AE1186" s="50"/>
      <c r="AF1186" s="42"/>
      <c r="AG1186" s="42"/>
      <c r="AH1186" s="42"/>
      <c r="AI1186" s="42" t="str">
        <f t="array" ref="AI1186">XLOOKUP($E1186,Sheet11!$D:$D,Sheet11!$X:$X,"",0)</f>
        <v/>
      </c>
      <c r="AJ1186" s="42" t="str">
        <f t="array" ref="AJ1186">XLOOKUP($E1186,Sheet11!$D:$D,Sheet11!$Y:$Y,"",0)</f>
        <v/>
      </c>
    </row>
    <row r="1187">
      <c r="A1187" s="23"/>
      <c r="B1187" s="42"/>
      <c r="C1187" s="42"/>
      <c r="D1187" s="42"/>
      <c r="E1187" s="42"/>
      <c r="F1187" s="42"/>
      <c r="G1187" s="42"/>
      <c r="H1187" s="42"/>
      <c r="I1187" s="42"/>
      <c r="J1187" s="42"/>
      <c r="K1187" s="42"/>
      <c r="L1187" s="46"/>
      <c r="M1187" s="46"/>
      <c r="N1187" s="46"/>
      <c r="O1187" s="61"/>
      <c r="P1187" s="62"/>
      <c r="Q1187" s="46"/>
      <c r="R1187" s="47"/>
      <c r="S1187" s="62"/>
      <c r="T1187" s="62"/>
      <c r="U1187" s="46"/>
      <c r="V1187" s="61"/>
      <c r="W1187" s="62"/>
      <c r="X1187" s="47"/>
      <c r="Y1187" s="46"/>
      <c r="Z1187" s="46"/>
      <c r="AA1187" s="46"/>
      <c r="AB1187" s="49"/>
      <c r="AC1187" s="42"/>
      <c r="AD1187" s="42"/>
      <c r="AE1187" s="50"/>
      <c r="AF1187" s="42"/>
      <c r="AG1187" s="42"/>
      <c r="AH1187" s="42"/>
      <c r="AI1187" s="42" t="str">
        <f t="array" ref="AI1187">XLOOKUP($E1187,Sheet11!$D:$D,Sheet11!$X:$X,"",0)</f>
        <v/>
      </c>
      <c r="AJ1187" s="42" t="str">
        <f t="array" ref="AJ1187">XLOOKUP($E1187,Sheet11!$D:$D,Sheet11!$Y:$Y,"",0)</f>
        <v/>
      </c>
    </row>
    <row r="1188">
      <c r="A1188" s="23"/>
      <c r="B1188" s="42"/>
      <c r="C1188" s="42"/>
      <c r="D1188" s="42"/>
      <c r="E1188" s="42"/>
      <c r="F1188" s="42"/>
      <c r="G1188" s="42"/>
      <c r="H1188" s="42"/>
      <c r="I1188" s="42"/>
      <c r="J1188" s="42"/>
      <c r="K1188" s="42"/>
      <c r="L1188" s="46"/>
      <c r="M1188" s="46"/>
      <c r="N1188" s="46"/>
      <c r="O1188" s="61"/>
      <c r="P1188" s="62"/>
      <c r="Q1188" s="46"/>
      <c r="R1188" s="47"/>
      <c r="S1188" s="62"/>
      <c r="T1188" s="62"/>
      <c r="U1188" s="46"/>
      <c r="V1188" s="61"/>
      <c r="W1188" s="62"/>
      <c r="X1188" s="47"/>
      <c r="Y1188" s="46"/>
      <c r="Z1188" s="46"/>
      <c r="AA1188" s="46"/>
      <c r="AB1188" s="49"/>
      <c r="AC1188" s="42"/>
      <c r="AD1188" s="42"/>
      <c r="AE1188" s="50"/>
      <c r="AF1188" s="42"/>
      <c r="AG1188" s="42"/>
      <c r="AH1188" s="42"/>
      <c r="AI1188" s="42" t="str">
        <f t="array" ref="AI1188">XLOOKUP($E1188,Sheet11!$D:$D,Sheet11!$X:$X,"",0)</f>
        <v/>
      </c>
      <c r="AJ1188" s="42" t="str">
        <f t="array" ref="AJ1188">XLOOKUP($E1188,Sheet11!$D:$D,Sheet11!$Y:$Y,"",0)</f>
        <v/>
      </c>
    </row>
    <row r="1189">
      <c r="A1189" s="23"/>
      <c r="B1189" s="42"/>
      <c r="C1189" s="42"/>
      <c r="D1189" s="42"/>
      <c r="E1189" s="42"/>
      <c r="F1189" s="42"/>
      <c r="G1189" s="42"/>
      <c r="H1189" s="42"/>
      <c r="I1189" s="42"/>
      <c r="J1189" s="42"/>
      <c r="K1189" s="42"/>
      <c r="L1189" s="46"/>
      <c r="M1189" s="46"/>
      <c r="N1189" s="46"/>
      <c r="O1189" s="61"/>
      <c r="P1189" s="62"/>
      <c r="Q1189" s="46"/>
      <c r="R1189" s="47"/>
      <c r="S1189" s="62"/>
      <c r="T1189" s="62"/>
      <c r="U1189" s="46"/>
      <c r="V1189" s="61"/>
      <c r="W1189" s="62"/>
      <c r="X1189" s="47"/>
      <c r="Y1189" s="46"/>
      <c r="Z1189" s="46"/>
      <c r="AA1189" s="46"/>
      <c r="AB1189" s="49"/>
      <c r="AC1189" s="42"/>
      <c r="AD1189" s="42"/>
      <c r="AE1189" s="50"/>
      <c r="AF1189" s="42"/>
      <c r="AG1189" s="42"/>
      <c r="AH1189" s="42"/>
      <c r="AI1189" s="42" t="str">
        <f t="array" ref="AI1189">XLOOKUP($E1189,Sheet11!$D:$D,Sheet11!$X:$X,"",0)</f>
        <v/>
      </c>
      <c r="AJ1189" s="42" t="str">
        <f t="array" ref="AJ1189">XLOOKUP($E1189,Sheet11!$D:$D,Sheet11!$Y:$Y,"",0)</f>
        <v/>
      </c>
    </row>
    <row r="1190">
      <c r="A1190" s="23"/>
      <c r="B1190" s="42"/>
      <c r="C1190" s="42"/>
      <c r="D1190" s="42"/>
      <c r="E1190" s="42"/>
      <c r="F1190" s="42"/>
      <c r="G1190" s="42"/>
      <c r="H1190" s="42"/>
      <c r="I1190" s="42"/>
      <c r="J1190" s="42"/>
      <c r="K1190" s="42"/>
      <c r="L1190" s="46"/>
      <c r="M1190" s="46"/>
      <c r="N1190" s="46"/>
      <c r="O1190" s="61"/>
      <c r="P1190" s="62"/>
      <c r="Q1190" s="46"/>
      <c r="R1190" s="47"/>
      <c r="S1190" s="62"/>
      <c r="T1190" s="62"/>
      <c r="U1190" s="46"/>
      <c r="V1190" s="61"/>
      <c r="W1190" s="62"/>
      <c r="X1190" s="47"/>
      <c r="Y1190" s="46"/>
      <c r="Z1190" s="46"/>
      <c r="AA1190" s="46"/>
      <c r="AB1190" s="49"/>
      <c r="AC1190" s="42"/>
      <c r="AD1190" s="42"/>
      <c r="AE1190" s="50"/>
      <c r="AF1190" s="42"/>
      <c r="AG1190" s="42"/>
      <c r="AH1190" s="42"/>
      <c r="AI1190" s="42" t="str">
        <f t="array" ref="AI1190">XLOOKUP($E1190,Sheet11!$D:$D,Sheet11!$X:$X,"",0)</f>
        <v/>
      </c>
      <c r="AJ1190" s="42" t="str">
        <f t="array" ref="AJ1190">XLOOKUP($E1190,Sheet11!$D:$D,Sheet11!$Y:$Y,"",0)</f>
        <v/>
      </c>
    </row>
    <row r="1191">
      <c r="A1191" s="23"/>
      <c r="B1191" s="42"/>
      <c r="C1191" s="42"/>
      <c r="D1191" s="42"/>
      <c r="E1191" s="42"/>
      <c r="F1191" s="42"/>
      <c r="G1191" s="42"/>
      <c r="H1191" s="42"/>
      <c r="I1191" s="42"/>
      <c r="J1191" s="42"/>
      <c r="K1191" s="42"/>
      <c r="L1191" s="46"/>
      <c r="M1191" s="46"/>
      <c r="N1191" s="46"/>
      <c r="O1191" s="61"/>
      <c r="P1191" s="62"/>
      <c r="Q1191" s="46"/>
      <c r="R1191" s="47"/>
      <c r="S1191" s="62"/>
      <c r="T1191" s="62"/>
      <c r="U1191" s="46"/>
      <c r="V1191" s="61"/>
      <c r="W1191" s="62"/>
      <c r="X1191" s="47"/>
      <c r="Y1191" s="46"/>
      <c r="Z1191" s="46"/>
      <c r="AA1191" s="46"/>
      <c r="AB1191" s="49"/>
      <c r="AC1191" s="42"/>
      <c r="AD1191" s="42"/>
      <c r="AE1191" s="50"/>
      <c r="AF1191" s="42"/>
      <c r="AG1191" s="42"/>
      <c r="AH1191" s="42"/>
      <c r="AI1191" s="42" t="str">
        <f t="array" ref="AI1191">XLOOKUP($E1191,Sheet11!$D:$D,Sheet11!$X:$X,"",0)</f>
        <v/>
      </c>
      <c r="AJ1191" s="42" t="str">
        <f t="array" ref="AJ1191">XLOOKUP($E1191,Sheet11!$D:$D,Sheet11!$Y:$Y,"",0)</f>
        <v/>
      </c>
    </row>
    <row r="1192">
      <c r="A1192" s="23"/>
      <c r="B1192" s="42"/>
      <c r="C1192" s="42"/>
      <c r="D1192" s="42"/>
      <c r="E1192" s="42"/>
      <c r="F1192" s="42"/>
      <c r="G1192" s="42"/>
      <c r="H1192" s="42"/>
      <c r="I1192" s="42"/>
      <c r="J1192" s="42"/>
      <c r="K1192" s="42"/>
      <c r="L1192" s="46"/>
      <c r="M1192" s="46"/>
      <c r="N1192" s="46"/>
      <c r="O1192" s="61"/>
      <c r="P1192" s="62"/>
      <c r="Q1192" s="46"/>
      <c r="R1192" s="47"/>
      <c r="S1192" s="62"/>
      <c r="T1192" s="62"/>
      <c r="U1192" s="46"/>
      <c r="V1192" s="61"/>
      <c r="W1192" s="62"/>
      <c r="X1192" s="47"/>
      <c r="Y1192" s="46"/>
      <c r="Z1192" s="46"/>
      <c r="AA1192" s="46"/>
      <c r="AB1192" s="49"/>
      <c r="AC1192" s="42"/>
      <c r="AD1192" s="42"/>
      <c r="AE1192" s="50"/>
      <c r="AF1192" s="42"/>
      <c r="AG1192" s="42"/>
      <c r="AH1192" s="42"/>
      <c r="AI1192" s="42" t="str">
        <f t="array" ref="AI1192">XLOOKUP($E1192,Sheet11!$D:$D,Sheet11!$X:$X,"",0)</f>
        <v/>
      </c>
      <c r="AJ1192" s="42" t="str">
        <f t="array" ref="AJ1192">XLOOKUP($E1192,Sheet11!$D:$D,Sheet11!$Y:$Y,"",0)</f>
        <v/>
      </c>
    </row>
    <row r="1193">
      <c r="A1193" s="23"/>
      <c r="B1193" s="42"/>
      <c r="C1193" s="42"/>
      <c r="D1193" s="42"/>
      <c r="E1193" s="42"/>
      <c r="F1193" s="42"/>
      <c r="G1193" s="42"/>
      <c r="H1193" s="42"/>
      <c r="I1193" s="42"/>
      <c r="J1193" s="42"/>
      <c r="K1193" s="42"/>
      <c r="L1193" s="46"/>
      <c r="M1193" s="46"/>
      <c r="N1193" s="46"/>
      <c r="O1193" s="61"/>
      <c r="P1193" s="62"/>
      <c r="Q1193" s="46"/>
      <c r="R1193" s="47"/>
      <c r="S1193" s="62"/>
      <c r="T1193" s="62"/>
      <c r="U1193" s="46"/>
      <c r="V1193" s="61"/>
      <c r="W1193" s="62"/>
      <c r="X1193" s="47"/>
      <c r="Y1193" s="46"/>
      <c r="Z1193" s="46"/>
      <c r="AA1193" s="46"/>
      <c r="AB1193" s="49"/>
      <c r="AC1193" s="42"/>
      <c r="AD1193" s="42"/>
      <c r="AE1193" s="50"/>
      <c r="AF1193" s="42"/>
      <c r="AG1193" s="42"/>
      <c r="AH1193" s="42"/>
      <c r="AI1193" s="42" t="str">
        <f t="array" ref="AI1193">XLOOKUP($E1193,Sheet11!$D:$D,Sheet11!$X:$X,"",0)</f>
        <v/>
      </c>
      <c r="AJ1193" s="42" t="str">
        <f t="array" ref="AJ1193">XLOOKUP($E1193,Sheet11!$D:$D,Sheet11!$Y:$Y,"",0)</f>
        <v/>
      </c>
    </row>
    <row r="1194">
      <c r="A1194" s="23"/>
      <c r="B1194" s="42"/>
      <c r="C1194" s="42"/>
      <c r="D1194" s="42"/>
      <c r="E1194" s="42"/>
      <c r="F1194" s="42"/>
      <c r="G1194" s="42"/>
      <c r="H1194" s="42"/>
      <c r="I1194" s="42"/>
      <c r="J1194" s="42"/>
      <c r="K1194" s="42"/>
      <c r="L1194" s="46"/>
      <c r="M1194" s="46"/>
      <c r="N1194" s="46"/>
      <c r="O1194" s="61"/>
      <c r="P1194" s="62"/>
      <c r="Q1194" s="46"/>
      <c r="R1194" s="47"/>
      <c r="S1194" s="62"/>
      <c r="T1194" s="62"/>
      <c r="U1194" s="46"/>
      <c r="V1194" s="61"/>
      <c r="W1194" s="62"/>
      <c r="X1194" s="47"/>
      <c r="Y1194" s="46"/>
      <c r="Z1194" s="46"/>
      <c r="AA1194" s="46"/>
      <c r="AB1194" s="49"/>
      <c r="AC1194" s="42"/>
      <c r="AD1194" s="42"/>
      <c r="AE1194" s="50"/>
      <c r="AF1194" s="42"/>
      <c r="AG1194" s="42"/>
      <c r="AH1194" s="42"/>
      <c r="AI1194" s="42" t="str">
        <f t="array" ref="AI1194">XLOOKUP($E1194,Sheet11!$D:$D,Sheet11!$X:$X,"",0)</f>
        <v/>
      </c>
      <c r="AJ1194" s="42" t="str">
        <f t="array" ref="AJ1194">XLOOKUP($E1194,Sheet11!$D:$D,Sheet11!$Y:$Y,"",0)</f>
        <v/>
      </c>
    </row>
    <row r="1195">
      <c r="A1195" s="23"/>
      <c r="B1195" s="42"/>
      <c r="C1195" s="42"/>
      <c r="D1195" s="42"/>
      <c r="E1195" s="42"/>
      <c r="F1195" s="42"/>
      <c r="G1195" s="42"/>
      <c r="H1195" s="42"/>
      <c r="I1195" s="42"/>
      <c r="J1195" s="42"/>
      <c r="K1195" s="42"/>
      <c r="L1195" s="46"/>
      <c r="M1195" s="46"/>
      <c r="N1195" s="46"/>
      <c r="O1195" s="61"/>
      <c r="P1195" s="62"/>
      <c r="Q1195" s="46"/>
      <c r="R1195" s="47"/>
      <c r="S1195" s="62"/>
      <c r="T1195" s="62"/>
      <c r="U1195" s="46"/>
      <c r="V1195" s="61"/>
      <c r="W1195" s="62"/>
      <c r="X1195" s="47"/>
      <c r="Y1195" s="46"/>
      <c r="Z1195" s="46"/>
      <c r="AA1195" s="46"/>
      <c r="AB1195" s="49"/>
      <c r="AC1195" s="42"/>
      <c r="AD1195" s="42"/>
      <c r="AE1195" s="50"/>
      <c r="AF1195" s="42"/>
      <c r="AG1195" s="42"/>
      <c r="AH1195" s="42"/>
      <c r="AI1195" s="42" t="str">
        <f t="array" ref="AI1195">XLOOKUP($E1195,Sheet11!$D:$D,Sheet11!$X:$X,"",0)</f>
        <v/>
      </c>
      <c r="AJ1195" s="42" t="str">
        <f t="array" ref="AJ1195">XLOOKUP($E1195,Sheet11!$D:$D,Sheet11!$Y:$Y,"",0)</f>
        <v/>
      </c>
    </row>
    <row r="1196">
      <c r="A1196" s="23"/>
      <c r="B1196" s="42"/>
      <c r="C1196" s="42"/>
      <c r="D1196" s="42"/>
      <c r="E1196" s="42"/>
      <c r="F1196" s="42"/>
      <c r="G1196" s="42"/>
      <c r="H1196" s="42"/>
      <c r="I1196" s="42"/>
      <c r="J1196" s="42"/>
      <c r="K1196" s="42"/>
      <c r="L1196" s="46"/>
      <c r="M1196" s="46"/>
      <c r="N1196" s="46"/>
      <c r="O1196" s="61"/>
      <c r="P1196" s="62"/>
      <c r="Q1196" s="46"/>
      <c r="R1196" s="47"/>
      <c r="S1196" s="62"/>
      <c r="T1196" s="62"/>
      <c r="U1196" s="46"/>
      <c r="V1196" s="61"/>
      <c r="W1196" s="62"/>
      <c r="X1196" s="47"/>
      <c r="Y1196" s="46"/>
      <c r="Z1196" s="46"/>
      <c r="AA1196" s="46"/>
      <c r="AB1196" s="49"/>
      <c r="AC1196" s="42"/>
      <c r="AD1196" s="42"/>
      <c r="AE1196" s="50"/>
      <c r="AF1196" s="42"/>
      <c r="AG1196" s="42"/>
      <c r="AH1196" s="42"/>
      <c r="AI1196" s="42" t="str">
        <f t="array" ref="AI1196">XLOOKUP($E1196,Sheet11!$D:$D,Sheet11!$X:$X,"",0)</f>
        <v/>
      </c>
      <c r="AJ1196" s="42" t="str">
        <f t="array" ref="AJ1196">XLOOKUP($E1196,Sheet11!$D:$D,Sheet11!$Y:$Y,"",0)</f>
        <v/>
      </c>
    </row>
    <row r="1197">
      <c r="A1197" s="23"/>
      <c r="B1197" s="42"/>
      <c r="C1197" s="42"/>
      <c r="D1197" s="42"/>
      <c r="E1197" s="42"/>
      <c r="F1197" s="42"/>
      <c r="G1197" s="42"/>
      <c r="H1197" s="42"/>
      <c r="I1197" s="42"/>
      <c r="J1197" s="42"/>
      <c r="K1197" s="42"/>
      <c r="L1197" s="46"/>
      <c r="M1197" s="46"/>
      <c r="N1197" s="46"/>
      <c r="O1197" s="61"/>
      <c r="P1197" s="62"/>
      <c r="Q1197" s="46"/>
      <c r="R1197" s="47"/>
      <c r="S1197" s="62"/>
      <c r="T1197" s="62"/>
      <c r="U1197" s="46"/>
      <c r="V1197" s="61"/>
      <c r="W1197" s="62"/>
      <c r="X1197" s="47"/>
      <c r="Y1197" s="46"/>
      <c r="Z1197" s="46"/>
      <c r="AA1197" s="46"/>
      <c r="AB1197" s="49"/>
      <c r="AC1197" s="42"/>
      <c r="AD1197" s="42"/>
      <c r="AE1197" s="50"/>
      <c r="AF1197" s="42"/>
      <c r="AG1197" s="42"/>
      <c r="AH1197" s="42"/>
      <c r="AI1197" s="42" t="str">
        <f t="array" ref="AI1197">XLOOKUP($E1197,Sheet11!$D:$D,Sheet11!$X:$X,"",0)</f>
        <v/>
      </c>
      <c r="AJ1197" s="42" t="str">
        <f t="array" ref="AJ1197">XLOOKUP($E1197,Sheet11!$D:$D,Sheet11!$Y:$Y,"",0)</f>
        <v/>
      </c>
    </row>
    <row r="1198">
      <c r="A1198" s="23"/>
      <c r="B1198" s="42"/>
      <c r="C1198" s="42"/>
      <c r="D1198" s="42"/>
      <c r="E1198" s="42"/>
      <c r="F1198" s="42"/>
      <c r="G1198" s="42"/>
      <c r="H1198" s="42"/>
      <c r="I1198" s="42"/>
      <c r="J1198" s="42"/>
      <c r="K1198" s="42"/>
      <c r="L1198" s="46"/>
      <c r="M1198" s="46"/>
      <c r="N1198" s="46"/>
      <c r="O1198" s="61"/>
      <c r="P1198" s="62"/>
      <c r="Q1198" s="46"/>
      <c r="R1198" s="47"/>
      <c r="S1198" s="62"/>
      <c r="T1198" s="62"/>
      <c r="U1198" s="46"/>
      <c r="V1198" s="61"/>
      <c r="W1198" s="62"/>
      <c r="X1198" s="47"/>
      <c r="Y1198" s="46"/>
      <c r="Z1198" s="46"/>
      <c r="AA1198" s="46"/>
      <c r="AB1198" s="49"/>
      <c r="AC1198" s="42"/>
      <c r="AD1198" s="42"/>
      <c r="AE1198" s="50"/>
      <c r="AF1198" s="42"/>
      <c r="AG1198" s="42"/>
      <c r="AH1198" s="42"/>
      <c r="AI1198" s="42" t="str">
        <f t="array" ref="AI1198">XLOOKUP($E1198,Sheet11!$D:$D,Sheet11!$X:$X,"",0)</f>
        <v/>
      </c>
      <c r="AJ1198" s="42" t="str">
        <f t="array" ref="AJ1198">XLOOKUP($E1198,Sheet11!$D:$D,Sheet11!$Y:$Y,"",0)</f>
        <v/>
      </c>
    </row>
    <row r="1199">
      <c r="A1199" s="23"/>
      <c r="B1199" s="42"/>
      <c r="C1199" s="42"/>
      <c r="D1199" s="42"/>
      <c r="E1199" s="42"/>
      <c r="F1199" s="42"/>
      <c r="G1199" s="42"/>
      <c r="H1199" s="42"/>
      <c r="I1199" s="42"/>
      <c r="J1199" s="42"/>
      <c r="K1199" s="42"/>
      <c r="L1199" s="46"/>
      <c r="M1199" s="46"/>
      <c r="N1199" s="46"/>
      <c r="O1199" s="61"/>
      <c r="P1199" s="62"/>
      <c r="Q1199" s="46"/>
      <c r="R1199" s="47"/>
      <c r="S1199" s="62"/>
      <c r="T1199" s="62"/>
      <c r="U1199" s="46"/>
      <c r="V1199" s="61"/>
      <c r="W1199" s="62"/>
      <c r="X1199" s="47"/>
      <c r="Y1199" s="46"/>
      <c r="Z1199" s="46"/>
      <c r="AA1199" s="46"/>
      <c r="AB1199" s="49"/>
      <c r="AC1199" s="42"/>
      <c r="AD1199" s="42"/>
      <c r="AE1199" s="50"/>
      <c r="AF1199" s="42"/>
      <c r="AG1199" s="42"/>
      <c r="AH1199" s="42"/>
      <c r="AI1199" s="42" t="str">
        <f t="array" ref="AI1199">XLOOKUP($E1199,Sheet11!$D:$D,Sheet11!$X:$X,"",0)</f>
        <v/>
      </c>
      <c r="AJ1199" s="42" t="str">
        <f t="array" ref="AJ1199">XLOOKUP($E1199,Sheet11!$D:$D,Sheet11!$Y:$Y,"",0)</f>
        <v/>
      </c>
    </row>
    <row r="1200">
      <c r="A1200" s="23"/>
      <c r="B1200" s="42"/>
      <c r="C1200" s="42"/>
      <c r="D1200" s="42"/>
      <c r="E1200" s="42"/>
      <c r="F1200" s="42"/>
      <c r="G1200" s="42"/>
      <c r="H1200" s="42"/>
      <c r="I1200" s="42"/>
      <c r="J1200" s="42"/>
      <c r="K1200" s="42"/>
      <c r="L1200" s="46"/>
      <c r="M1200" s="46"/>
      <c r="N1200" s="46"/>
      <c r="O1200" s="61"/>
      <c r="P1200" s="62"/>
      <c r="Q1200" s="46"/>
      <c r="R1200" s="47"/>
      <c r="S1200" s="62"/>
      <c r="T1200" s="62"/>
      <c r="U1200" s="46"/>
      <c r="V1200" s="61"/>
      <c r="W1200" s="62"/>
      <c r="X1200" s="47"/>
      <c r="Y1200" s="46"/>
      <c r="Z1200" s="46"/>
      <c r="AA1200" s="46"/>
      <c r="AB1200" s="49"/>
      <c r="AC1200" s="42"/>
      <c r="AD1200" s="42"/>
      <c r="AE1200" s="50"/>
      <c r="AF1200" s="42"/>
      <c r="AG1200" s="42"/>
      <c r="AH1200" s="42"/>
      <c r="AI1200" s="42" t="str">
        <f t="array" ref="AI1200">XLOOKUP($E1200,Sheet11!$D:$D,Sheet11!$X:$X,"",0)</f>
        <v/>
      </c>
      <c r="AJ1200" s="42" t="str">
        <f t="array" ref="AJ1200">XLOOKUP($E1200,Sheet11!$D:$D,Sheet11!$Y:$Y,"",0)</f>
        <v/>
      </c>
    </row>
    <row r="1201">
      <c r="A1201" s="23"/>
      <c r="B1201" s="42"/>
      <c r="C1201" s="42"/>
      <c r="D1201" s="42"/>
      <c r="E1201" s="42"/>
      <c r="F1201" s="42"/>
      <c r="G1201" s="42"/>
      <c r="H1201" s="42"/>
      <c r="I1201" s="42"/>
      <c r="J1201" s="42"/>
      <c r="K1201" s="42"/>
      <c r="L1201" s="46"/>
      <c r="M1201" s="46"/>
      <c r="N1201" s="46"/>
      <c r="O1201" s="61"/>
      <c r="P1201" s="62"/>
      <c r="Q1201" s="46"/>
      <c r="R1201" s="47"/>
      <c r="S1201" s="62"/>
      <c r="T1201" s="62"/>
      <c r="U1201" s="46"/>
      <c r="V1201" s="61"/>
      <c r="W1201" s="62"/>
      <c r="X1201" s="47"/>
      <c r="Y1201" s="46"/>
      <c r="Z1201" s="46"/>
      <c r="AA1201" s="46"/>
      <c r="AB1201" s="49"/>
      <c r="AC1201" s="42"/>
      <c r="AD1201" s="42"/>
      <c r="AE1201" s="50"/>
      <c r="AF1201" s="42"/>
      <c r="AG1201" s="42"/>
      <c r="AH1201" s="42"/>
      <c r="AI1201" s="42" t="str">
        <f t="array" ref="AI1201">XLOOKUP($E1201,Sheet11!$D:$D,Sheet11!$X:$X,"",0)</f>
        <v/>
      </c>
      <c r="AJ1201" s="42" t="str">
        <f t="array" ref="AJ1201">XLOOKUP($E1201,Sheet11!$D:$D,Sheet11!$Y:$Y,"",0)</f>
        <v/>
      </c>
    </row>
    <row r="1202">
      <c r="A1202" s="23"/>
      <c r="B1202" s="42"/>
      <c r="C1202" s="42"/>
      <c r="D1202" s="42"/>
      <c r="E1202" s="42"/>
      <c r="F1202" s="42"/>
      <c r="G1202" s="42"/>
      <c r="H1202" s="42"/>
      <c r="I1202" s="42"/>
      <c r="J1202" s="42"/>
      <c r="K1202" s="42"/>
      <c r="L1202" s="46"/>
      <c r="M1202" s="46"/>
      <c r="N1202" s="46"/>
      <c r="O1202" s="61"/>
      <c r="P1202" s="62"/>
      <c r="Q1202" s="46"/>
      <c r="R1202" s="47"/>
      <c r="S1202" s="62"/>
      <c r="T1202" s="62"/>
      <c r="U1202" s="46"/>
      <c r="V1202" s="61"/>
      <c r="W1202" s="62"/>
      <c r="X1202" s="47"/>
      <c r="Y1202" s="46"/>
      <c r="Z1202" s="46"/>
      <c r="AA1202" s="46"/>
      <c r="AB1202" s="49"/>
      <c r="AC1202" s="42"/>
      <c r="AD1202" s="42"/>
      <c r="AE1202" s="50"/>
      <c r="AF1202" s="42"/>
      <c r="AG1202" s="42"/>
      <c r="AH1202" s="42"/>
      <c r="AI1202" s="42" t="str">
        <f t="array" ref="AI1202">XLOOKUP($E1202,Sheet11!$D:$D,Sheet11!$X:$X,"",0)</f>
        <v/>
      </c>
      <c r="AJ1202" s="42" t="str">
        <f t="array" ref="AJ1202">XLOOKUP($E1202,Sheet11!$D:$D,Sheet11!$Y:$Y,"",0)</f>
        <v/>
      </c>
    </row>
    <row r="1203">
      <c r="A1203" s="23"/>
      <c r="B1203" s="42"/>
      <c r="C1203" s="42"/>
      <c r="D1203" s="42"/>
      <c r="E1203" s="42"/>
      <c r="F1203" s="42"/>
      <c r="G1203" s="42"/>
      <c r="H1203" s="42"/>
      <c r="I1203" s="42"/>
      <c r="J1203" s="42"/>
      <c r="K1203" s="42"/>
      <c r="L1203" s="46"/>
      <c r="M1203" s="46"/>
      <c r="N1203" s="46"/>
      <c r="O1203" s="61"/>
      <c r="P1203" s="62"/>
      <c r="Q1203" s="46"/>
      <c r="R1203" s="47"/>
      <c r="S1203" s="62"/>
      <c r="T1203" s="62"/>
      <c r="U1203" s="46"/>
      <c r="V1203" s="61"/>
      <c r="W1203" s="62"/>
      <c r="X1203" s="47"/>
      <c r="Y1203" s="46"/>
      <c r="Z1203" s="46"/>
      <c r="AA1203" s="46"/>
      <c r="AB1203" s="49"/>
      <c r="AC1203" s="42"/>
      <c r="AD1203" s="42"/>
      <c r="AE1203" s="50"/>
      <c r="AF1203" s="42"/>
      <c r="AG1203" s="42"/>
      <c r="AH1203" s="42"/>
      <c r="AI1203" s="42" t="str">
        <f t="array" ref="AI1203">XLOOKUP($E1203,Sheet11!$D:$D,Sheet11!$X:$X,"",0)</f>
        <v/>
      </c>
      <c r="AJ1203" s="42" t="str">
        <f t="array" ref="AJ1203">XLOOKUP($E1203,Sheet11!$D:$D,Sheet11!$Y:$Y,"",0)</f>
        <v/>
      </c>
    </row>
    <row r="1204">
      <c r="A1204" s="23"/>
      <c r="B1204" s="42"/>
      <c r="C1204" s="42"/>
      <c r="D1204" s="42"/>
      <c r="E1204" s="42"/>
      <c r="F1204" s="42"/>
      <c r="G1204" s="42"/>
      <c r="H1204" s="42"/>
      <c r="I1204" s="42"/>
      <c r="J1204" s="42"/>
      <c r="K1204" s="42"/>
      <c r="L1204" s="46"/>
      <c r="M1204" s="46"/>
      <c r="N1204" s="46"/>
      <c r="O1204" s="61"/>
      <c r="P1204" s="62"/>
      <c r="Q1204" s="46"/>
      <c r="R1204" s="47"/>
      <c r="S1204" s="62"/>
      <c r="T1204" s="62"/>
      <c r="U1204" s="46"/>
      <c r="V1204" s="61"/>
      <c r="W1204" s="62"/>
      <c r="X1204" s="47"/>
      <c r="Y1204" s="46"/>
      <c r="Z1204" s="46"/>
      <c r="AA1204" s="46"/>
      <c r="AB1204" s="49"/>
      <c r="AC1204" s="42"/>
      <c r="AD1204" s="42"/>
      <c r="AE1204" s="50"/>
      <c r="AF1204" s="42"/>
      <c r="AG1204" s="42"/>
      <c r="AH1204" s="42"/>
      <c r="AI1204" s="42" t="str">
        <f t="array" ref="AI1204">XLOOKUP($E1204,Sheet11!$D:$D,Sheet11!$X:$X,"",0)</f>
        <v/>
      </c>
      <c r="AJ1204" s="42" t="str">
        <f t="array" ref="AJ1204">XLOOKUP($E1204,Sheet11!$D:$D,Sheet11!$Y:$Y,"",0)</f>
        <v/>
      </c>
    </row>
    <row r="1205">
      <c r="A1205" s="23"/>
      <c r="B1205" s="42"/>
      <c r="C1205" s="42"/>
      <c r="D1205" s="42"/>
      <c r="E1205" s="42"/>
      <c r="F1205" s="42"/>
      <c r="G1205" s="42"/>
      <c r="H1205" s="42"/>
      <c r="I1205" s="42"/>
      <c r="J1205" s="42"/>
      <c r="K1205" s="42"/>
      <c r="L1205" s="46"/>
      <c r="M1205" s="46"/>
      <c r="N1205" s="46"/>
      <c r="O1205" s="61"/>
      <c r="P1205" s="62"/>
      <c r="Q1205" s="46"/>
      <c r="R1205" s="47"/>
      <c r="S1205" s="62"/>
      <c r="T1205" s="62"/>
      <c r="U1205" s="46"/>
      <c r="V1205" s="61"/>
      <c r="W1205" s="62"/>
      <c r="X1205" s="47"/>
      <c r="Y1205" s="46"/>
      <c r="Z1205" s="46"/>
      <c r="AA1205" s="46"/>
      <c r="AB1205" s="49"/>
      <c r="AC1205" s="42"/>
      <c r="AD1205" s="42"/>
      <c r="AE1205" s="50"/>
      <c r="AF1205" s="42"/>
      <c r="AG1205" s="42"/>
      <c r="AH1205" s="42"/>
      <c r="AI1205" s="42" t="str">
        <f t="array" ref="AI1205">XLOOKUP($E1205,Sheet11!$D:$D,Sheet11!$X:$X,"",0)</f>
        <v/>
      </c>
      <c r="AJ1205" s="42" t="str">
        <f t="array" ref="AJ1205">XLOOKUP($E1205,Sheet11!$D:$D,Sheet11!$Y:$Y,"",0)</f>
        <v/>
      </c>
    </row>
    <row r="1206">
      <c r="A1206" s="23"/>
      <c r="B1206" s="42"/>
      <c r="C1206" s="42"/>
      <c r="D1206" s="42"/>
      <c r="E1206" s="42"/>
      <c r="F1206" s="42"/>
      <c r="G1206" s="42"/>
      <c r="H1206" s="42"/>
      <c r="I1206" s="42"/>
      <c r="J1206" s="42"/>
      <c r="K1206" s="42"/>
      <c r="L1206" s="46"/>
      <c r="M1206" s="46"/>
      <c r="N1206" s="46"/>
      <c r="O1206" s="61"/>
      <c r="P1206" s="62"/>
      <c r="Q1206" s="46"/>
      <c r="R1206" s="47"/>
      <c r="S1206" s="62"/>
      <c r="T1206" s="62"/>
      <c r="U1206" s="46"/>
      <c r="V1206" s="61"/>
      <c r="W1206" s="62"/>
      <c r="X1206" s="47"/>
      <c r="Y1206" s="46"/>
      <c r="Z1206" s="46"/>
      <c r="AA1206" s="46"/>
      <c r="AB1206" s="49"/>
      <c r="AC1206" s="42"/>
      <c r="AD1206" s="42"/>
      <c r="AE1206" s="50"/>
      <c r="AF1206" s="42"/>
      <c r="AG1206" s="42"/>
      <c r="AH1206" s="42"/>
      <c r="AI1206" s="42" t="str">
        <f t="array" ref="AI1206">XLOOKUP($E1206,Sheet11!$D:$D,Sheet11!$X:$X,"",0)</f>
        <v/>
      </c>
      <c r="AJ1206" s="42" t="str">
        <f t="array" ref="AJ1206">XLOOKUP($E1206,Sheet11!$D:$D,Sheet11!$Y:$Y,"",0)</f>
        <v/>
      </c>
    </row>
    <row r="1207">
      <c r="A1207" s="23"/>
      <c r="B1207" s="42"/>
      <c r="C1207" s="42"/>
      <c r="D1207" s="42"/>
      <c r="E1207" s="42"/>
      <c r="F1207" s="42"/>
      <c r="G1207" s="42"/>
      <c r="H1207" s="42"/>
      <c r="I1207" s="42"/>
      <c r="J1207" s="42"/>
      <c r="K1207" s="42"/>
      <c r="L1207" s="46"/>
      <c r="M1207" s="46"/>
      <c r="N1207" s="46"/>
      <c r="O1207" s="61"/>
      <c r="P1207" s="62"/>
      <c r="Q1207" s="46"/>
      <c r="R1207" s="47"/>
      <c r="S1207" s="62"/>
      <c r="T1207" s="62"/>
      <c r="U1207" s="46"/>
      <c r="V1207" s="61"/>
      <c r="W1207" s="62"/>
      <c r="X1207" s="47"/>
      <c r="Y1207" s="46"/>
      <c r="Z1207" s="46"/>
      <c r="AA1207" s="46"/>
      <c r="AB1207" s="49"/>
      <c r="AC1207" s="42"/>
      <c r="AD1207" s="42"/>
      <c r="AE1207" s="50"/>
      <c r="AF1207" s="42"/>
      <c r="AG1207" s="42"/>
      <c r="AH1207" s="42"/>
      <c r="AI1207" s="42" t="str">
        <f t="array" ref="AI1207">XLOOKUP($E1207,Sheet11!$D:$D,Sheet11!$X:$X,"",0)</f>
        <v/>
      </c>
      <c r="AJ1207" s="42" t="str">
        <f t="array" ref="AJ1207">XLOOKUP($E1207,Sheet11!$D:$D,Sheet11!$Y:$Y,"",0)</f>
        <v/>
      </c>
    </row>
    <row r="1208">
      <c r="A1208" s="23"/>
      <c r="B1208" s="42"/>
      <c r="C1208" s="42"/>
      <c r="D1208" s="42"/>
      <c r="E1208" s="42"/>
      <c r="F1208" s="42"/>
      <c r="G1208" s="42"/>
      <c r="H1208" s="42"/>
      <c r="I1208" s="42"/>
      <c r="J1208" s="42"/>
      <c r="K1208" s="42"/>
      <c r="L1208" s="46"/>
      <c r="M1208" s="46"/>
      <c r="N1208" s="46"/>
      <c r="O1208" s="61"/>
      <c r="P1208" s="62"/>
      <c r="Q1208" s="46"/>
      <c r="R1208" s="47"/>
      <c r="S1208" s="62"/>
      <c r="T1208" s="62"/>
      <c r="U1208" s="46"/>
      <c r="V1208" s="61"/>
      <c r="W1208" s="62"/>
      <c r="X1208" s="47"/>
      <c r="Y1208" s="46"/>
      <c r="Z1208" s="46"/>
      <c r="AA1208" s="46"/>
      <c r="AB1208" s="49"/>
      <c r="AC1208" s="42"/>
      <c r="AD1208" s="42"/>
      <c r="AE1208" s="50"/>
      <c r="AF1208" s="42"/>
      <c r="AG1208" s="42"/>
      <c r="AH1208" s="42"/>
      <c r="AI1208" s="42" t="str">
        <f t="array" ref="AI1208">XLOOKUP($E1208,Sheet11!$D:$D,Sheet11!$X:$X,"",0)</f>
        <v/>
      </c>
      <c r="AJ1208" s="42" t="str">
        <f t="array" ref="AJ1208">XLOOKUP($E1208,Sheet11!$D:$D,Sheet11!$Y:$Y,"",0)</f>
        <v/>
      </c>
    </row>
    <row r="1209">
      <c r="A1209" s="23"/>
      <c r="B1209" s="42"/>
      <c r="C1209" s="42"/>
      <c r="D1209" s="42"/>
      <c r="E1209" s="42"/>
      <c r="F1209" s="42"/>
      <c r="G1209" s="42"/>
      <c r="H1209" s="42"/>
      <c r="I1209" s="42"/>
      <c r="J1209" s="42"/>
      <c r="K1209" s="42"/>
      <c r="L1209" s="46"/>
      <c r="M1209" s="46"/>
      <c r="N1209" s="46"/>
      <c r="O1209" s="61"/>
      <c r="P1209" s="62"/>
      <c r="Q1209" s="46"/>
      <c r="R1209" s="47"/>
      <c r="S1209" s="62"/>
      <c r="T1209" s="62"/>
      <c r="U1209" s="46"/>
      <c r="V1209" s="61"/>
      <c r="W1209" s="62"/>
      <c r="X1209" s="47"/>
      <c r="Y1209" s="46"/>
      <c r="Z1209" s="46"/>
      <c r="AA1209" s="46"/>
      <c r="AB1209" s="49"/>
      <c r="AC1209" s="42"/>
      <c r="AD1209" s="42"/>
      <c r="AE1209" s="50"/>
      <c r="AF1209" s="42"/>
      <c r="AG1209" s="42"/>
      <c r="AH1209" s="42"/>
      <c r="AI1209" s="42" t="str">
        <f t="array" ref="AI1209">XLOOKUP($E1209,Sheet11!$D:$D,Sheet11!$X:$X,"",0)</f>
        <v/>
      </c>
      <c r="AJ1209" s="42" t="str">
        <f t="array" ref="AJ1209">XLOOKUP($E1209,Sheet11!$D:$D,Sheet11!$Y:$Y,"",0)</f>
        <v/>
      </c>
    </row>
    <row r="1210">
      <c r="A1210" s="23"/>
      <c r="B1210" s="42"/>
      <c r="C1210" s="42"/>
      <c r="D1210" s="42"/>
      <c r="E1210" s="42"/>
      <c r="F1210" s="42"/>
      <c r="G1210" s="42"/>
      <c r="H1210" s="42"/>
      <c r="I1210" s="42"/>
      <c r="J1210" s="42"/>
      <c r="K1210" s="42"/>
      <c r="L1210" s="46"/>
      <c r="M1210" s="46"/>
      <c r="N1210" s="46"/>
      <c r="O1210" s="61"/>
      <c r="P1210" s="62"/>
      <c r="Q1210" s="46"/>
      <c r="R1210" s="47"/>
      <c r="S1210" s="62"/>
      <c r="T1210" s="62"/>
      <c r="U1210" s="46"/>
      <c r="V1210" s="61"/>
      <c r="W1210" s="62"/>
      <c r="X1210" s="47"/>
      <c r="Y1210" s="46"/>
      <c r="Z1210" s="46"/>
      <c r="AA1210" s="46"/>
      <c r="AB1210" s="49"/>
      <c r="AC1210" s="42"/>
      <c r="AD1210" s="42"/>
      <c r="AE1210" s="50"/>
      <c r="AF1210" s="42"/>
      <c r="AG1210" s="42"/>
      <c r="AH1210" s="42"/>
      <c r="AI1210" s="42" t="str">
        <f t="array" ref="AI1210">XLOOKUP($E1210,Sheet11!$D:$D,Sheet11!$X:$X,"",0)</f>
        <v/>
      </c>
      <c r="AJ1210" s="42" t="str">
        <f t="array" ref="AJ1210">XLOOKUP($E1210,Sheet11!$D:$D,Sheet11!$Y:$Y,"",0)</f>
        <v/>
      </c>
    </row>
    <row r="1211">
      <c r="A1211" s="23"/>
      <c r="B1211" s="42"/>
      <c r="C1211" s="42"/>
      <c r="D1211" s="42"/>
      <c r="E1211" s="42"/>
      <c r="F1211" s="42"/>
      <c r="G1211" s="42"/>
      <c r="H1211" s="42"/>
      <c r="I1211" s="42"/>
      <c r="J1211" s="42"/>
      <c r="K1211" s="42"/>
      <c r="L1211" s="46"/>
      <c r="M1211" s="46"/>
      <c r="N1211" s="46"/>
      <c r="O1211" s="61"/>
      <c r="P1211" s="62"/>
      <c r="Q1211" s="46"/>
      <c r="R1211" s="47"/>
      <c r="S1211" s="62"/>
      <c r="T1211" s="62"/>
      <c r="U1211" s="46"/>
      <c r="V1211" s="61"/>
      <c r="W1211" s="62"/>
      <c r="X1211" s="47"/>
      <c r="Y1211" s="46"/>
      <c r="Z1211" s="46"/>
      <c r="AA1211" s="46"/>
      <c r="AB1211" s="49"/>
      <c r="AC1211" s="42"/>
      <c r="AD1211" s="42"/>
      <c r="AE1211" s="50"/>
      <c r="AF1211" s="42"/>
      <c r="AG1211" s="42"/>
      <c r="AH1211" s="42"/>
      <c r="AI1211" s="42" t="str">
        <f t="array" ref="AI1211">XLOOKUP($E1211,Sheet11!$D:$D,Sheet11!$X:$X,"",0)</f>
        <v/>
      </c>
      <c r="AJ1211" s="42" t="str">
        <f t="array" ref="AJ1211">XLOOKUP($E1211,Sheet11!$D:$D,Sheet11!$Y:$Y,"",0)</f>
        <v/>
      </c>
    </row>
    <row r="1212">
      <c r="A1212" s="23"/>
      <c r="B1212" s="42"/>
      <c r="C1212" s="42"/>
      <c r="D1212" s="42"/>
      <c r="E1212" s="42"/>
      <c r="F1212" s="42"/>
      <c r="G1212" s="42"/>
      <c r="H1212" s="42"/>
      <c r="I1212" s="42"/>
      <c r="J1212" s="42"/>
      <c r="K1212" s="42"/>
      <c r="L1212" s="46"/>
      <c r="M1212" s="46"/>
      <c r="N1212" s="46"/>
      <c r="O1212" s="61"/>
      <c r="P1212" s="62"/>
      <c r="Q1212" s="46"/>
      <c r="R1212" s="47"/>
      <c r="S1212" s="62"/>
      <c r="T1212" s="62"/>
      <c r="U1212" s="46"/>
      <c r="V1212" s="61"/>
      <c r="W1212" s="62"/>
      <c r="X1212" s="47"/>
      <c r="Y1212" s="46"/>
      <c r="Z1212" s="46"/>
      <c r="AA1212" s="46"/>
      <c r="AB1212" s="49"/>
      <c r="AC1212" s="42"/>
      <c r="AD1212" s="42"/>
      <c r="AE1212" s="50"/>
      <c r="AF1212" s="42"/>
      <c r="AG1212" s="42"/>
      <c r="AH1212" s="42"/>
      <c r="AI1212" s="42" t="str">
        <f t="array" ref="AI1212">XLOOKUP($E1212,Sheet11!$D:$D,Sheet11!$X:$X,"",0)</f>
        <v/>
      </c>
      <c r="AJ1212" s="42" t="str">
        <f t="array" ref="AJ1212">XLOOKUP($E1212,Sheet11!$D:$D,Sheet11!$Y:$Y,"",0)</f>
        <v/>
      </c>
    </row>
    <row r="1213">
      <c r="A1213" s="23"/>
      <c r="B1213" s="42"/>
      <c r="C1213" s="42"/>
      <c r="D1213" s="42"/>
      <c r="E1213" s="42"/>
      <c r="F1213" s="42"/>
      <c r="G1213" s="42"/>
      <c r="H1213" s="42"/>
      <c r="I1213" s="42"/>
      <c r="J1213" s="42"/>
      <c r="K1213" s="42"/>
      <c r="L1213" s="46"/>
      <c r="M1213" s="46"/>
      <c r="N1213" s="46"/>
      <c r="O1213" s="61"/>
      <c r="P1213" s="62"/>
      <c r="Q1213" s="46"/>
      <c r="R1213" s="47"/>
      <c r="S1213" s="62"/>
      <c r="T1213" s="62"/>
      <c r="U1213" s="46"/>
      <c r="V1213" s="61"/>
      <c r="W1213" s="62"/>
      <c r="X1213" s="47"/>
      <c r="Y1213" s="46"/>
      <c r="Z1213" s="46"/>
      <c r="AA1213" s="46"/>
      <c r="AB1213" s="49"/>
      <c r="AC1213" s="42"/>
      <c r="AD1213" s="42"/>
      <c r="AE1213" s="50"/>
      <c r="AF1213" s="42"/>
      <c r="AG1213" s="42"/>
      <c r="AH1213" s="42"/>
      <c r="AI1213" s="42" t="str">
        <f t="array" ref="AI1213">XLOOKUP($E1213,Sheet11!$D:$D,Sheet11!$X:$X,"",0)</f>
        <v/>
      </c>
      <c r="AJ1213" s="42" t="str">
        <f t="array" ref="AJ1213">XLOOKUP($E1213,Sheet11!$D:$D,Sheet11!$Y:$Y,"",0)</f>
        <v/>
      </c>
    </row>
    <row r="1214">
      <c r="A1214" s="23"/>
      <c r="B1214" s="42"/>
      <c r="C1214" s="42"/>
      <c r="D1214" s="42"/>
      <c r="E1214" s="42"/>
      <c r="F1214" s="42"/>
      <c r="G1214" s="42"/>
      <c r="H1214" s="42"/>
      <c r="I1214" s="42"/>
      <c r="J1214" s="42"/>
      <c r="K1214" s="42"/>
      <c r="L1214" s="46"/>
      <c r="M1214" s="46"/>
      <c r="N1214" s="46"/>
      <c r="O1214" s="61"/>
      <c r="P1214" s="62"/>
      <c r="Q1214" s="46"/>
      <c r="R1214" s="47"/>
      <c r="S1214" s="62"/>
      <c r="T1214" s="62"/>
      <c r="U1214" s="46"/>
      <c r="V1214" s="61"/>
      <c r="W1214" s="62"/>
      <c r="X1214" s="47"/>
      <c r="Y1214" s="46"/>
      <c r="Z1214" s="46"/>
      <c r="AA1214" s="46"/>
      <c r="AB1214" s="49"/>
      <c r="AC1214" s="42"/>
      <c r="AD1214" s="42"/>
      <c r="AE1214" s="50"/>
      <c r="AF1214" s="42"/>
      <c r="AG1214" s="42"/>
      <c r="AH1214" s="42"/>
      <c r="AI1214" s="42" t="str">
        <f t="array" ref="AI1214">XLOOKUP($E1214,Sheet11!$D:$D,Sheet11!$X:$X,"",0)</f>
        <v/>
      </c>
      <c r="AJ1214" s="42" t="str">
        <f t="array" ref="AJ1214">XLOOKUP($E1214,Sheet11!$D:$D,Sheet11!$Y:$Y,"",0)</f>
        <v/>
      </c>
    </row>
    <row r="1215">
      <c r="A1215" s="23"/>
      <c r="B1215" s="42"/>
      <c r="C1215" s="42"/>
      <c r="D1215" s="42"/>
      <c r="E1215" s="42"/>
      <c r="F1215" s="42"/>
      <c r="G1215" s="42"/>
      <c r="H1215" s="42"/>
      <c r="I1215" s="42"/>
      <c r="J1215" s="42"/>
      <c r="K1215" s="42"/>
      <c r="L1215" s="46"/>
      <c r="M1215" s="46"/>
      <c r="N1215" s="46"/>
      <c r="O1215" s="61"/>
      <c r="P1215" s="62"/>
      <c r="Q1215" s="46"/>
      <c r="R1215" s="47"/>
      <c r="S1215" s="62"/>
      <c r="T1215" s="62"/>
      <c r="U1215" s="46"/>
      <c r="V1215" s="61"/>
      <c r="W1215" s="62"/>
      <c r="X1215" s="47"/>
      <c r="Y1215" s="46"/>
      <c r="Z1215" s="46"/>
      <c r="AA1215" s="46"/>
      <c r="AB1215" s="49"/>
      <c r="AC1215" s="42"/>
      <c r="AD1215" s="42"/>
      <c r="AE1215" s="50"/>
      <c r="AF1215" s="42"/>
      <c r="AG1215" s="42"/>
      <c r="AH1215" s="42"/>
      <c r="AI1215" s="42" t="str">
        <f t="array" ref="AI1215">XLOOKUP($E1215,Sheet11!$D:$D,Sheet11!$X:$X,"",0)</f>
        <v/>
      </c>
      <c r="AJ1215" s="42" t="str">
        <f t="array" ref="AJ1215">XLOOKUP($E1215,Sheet11!$D:$D,Sheet11!$Y:$Y,"",0)</f>
        <v/>
      </c>
    </row>
    <row r="1216">
      <c r="A1216" s="23"/>
      <c r="B1216" s="42"/>
      <c r="C1216" s="42"/>
      <c r="D1216" s="42"/>
      <c r="E1216" s="42"/>
      <c r="F1216" s="42"/>
      <c r="G1216" s="42"/>
      <c r="H1216" s="42"/>
      <c r="I1216" s="42"/>
      <c r="J1216" s="42"/>
      <c r="K1216" s="42"/>
      <c r="L1216" s="46"/>
      <c r="M1216" s="46"/>
      <c r="N1216" s="46"/>
      <c r="O1216" s="61"/>
      <c r="P1216" s="62"/>
      <c r="Q1216" s="46"/>
      <c r="R1216" s="47"/>
      <c r="S1216" s="62"/>
      <c r="T1216" s="62"/>
      <c r="U1216" s="46"/>
      <c r="V1216" s="61"/>
      <c r="W1216" s="62"/>
      <c r="X1216" s="47"/>
      <c r="Y1216" s="46"/>
      <c r="Z1216" s="46"/>
      <c r="AA1216" s="46"/>
      <c r="AB1216" s="49"/>
      <c r="AC1216" s="42"/>
      <c r="AD1216" s="42"/>
      <c r="AE1216" s="50"/>
      <c r="AF1216" s="42"/>
      <c r="AG1216" s="42"/>
      <c r="AH1216" s="42"/>
      <c r="AI1216" s="42" t="str">
        <f t="array" ref="AI1216">XLOOKUP($E1216,Sheet11!$D:$D,Sheet11!$X:$X,"",0)</f>
        <v/>
      </c>
      <c r="AJ1216" s="42" t="str">
        <f t="array" ref="AJ1216">XLOOKUP($E1216,Sheet11!$D:$D,Sheet11!$Y:$Y,"",0)</f>
        <v/>
      </c>
    </row>
    <row r="1217">
      <c r="A1217" s="23"/>
      <c r="B1217" s="42"/>
      <c r="C1217" s="42"/>
      <c r="D1217" s="42"/>
      <c r="E1217" s="42"/>
      <c r="F1217" s="42"/>
      <c r="G1217" s="42"/>
      <c r="H1217" s="42"/>
      <c r="I1217" s="42"/>
      <c r="J1217" s="42"/>
      <c r="K1217" s="42"/>
      <c r="L1217" s="46"/>
      <c r="M1217" s="46"/>
      <c r="N1217" s="46"/>
      <c r="O1217" s="61"/>
      <c r="P1217" s="62"/>
      <c r="Q1217" s="46"/>
      <c r="R1217" s="47"/>
      <c r="S1217" s="62"/>
      <c r="T1217" s="62"/>
      <c r="U1217" s="46"/>
      <c r="V1217" s="61"/>
      <c r="W1217" s="62"/>
      <c r="X1217" s="47"/>
      <c r="Y1217" s="46"/>
      <c r="Z1217" s="46"/>
      <c r="AA1217" s="46"/>
      <c r="AB1217" s="49"/>
      <c r="AC1217" s="42"/>
      <c r="AD1217" s="42"/>
      <c r="AE1217" s="50"/>
      <c r="AF1217" s="42"/>
      <c r="AG1217" s="42"/>
      <c r="AH1217" s="42"/>
      <c r="AI1217" s="42" t="str">
        <f t="array" ref="AI1217">XLOOKUP($E1217,Sheet11!$D:$D,Sheet11!$X:$X,"",0)</f>
        <v/>
      </c>
      <c r="AJ1217" s="42" t="str">
        <f t="array" ref="AJ1217">XLOOKUP($E1217,Sheet11!$D:$D,Sheet11!$Y:$Y,"",0)</f>
        <v/>
      </c>
    </row>
    <row r="1218">
      <c r="A1218" s="23"/>
      <c r="B1218" s="42"/>
      <c r="C1218" s="42"/>
      <c r="D1218" s="42"/>
      <c r="E1218" s="42"/>
      <c r="F1218" s="42"/>
      <c r="G1218" s="42"/>
      <c r="H1218" s="42"/>
      <c r="I1218" s="42"/>
      <c r="J1218" s="42"/>
      <c r="K1218" s="42"/>
      <c r="L1218" s="46"/>
      <c r="M1218" s="46"/>
      <c r="N1218" s="46"/>
      <c r="O1218" s="61"/>
      <c r="P1218" s="62"/>
      <c r="Q1218" s="46"/>
      <c r="R1218" s="47"/>
      <c r="S1218" s="62"/>
      <c r="T1218" s="62"/>
      <c r="U1218" s="46"/>
      <c r="V1218" s="61"/>
      <c r="W1218" s="62"/>
      <c r="X1218" s="47"/>
      <c r="Y1218" s="46"/>
      <c r="Z1218" s="46"/>
      <c r="AA1218" s="46"/>
      <c r="AB1218" s="49"/>
      <c r="AC1218" s="42"/>
      <c r="AD1218" s="42"/>
      <c r="AE1218" s="50"/>
      <c r="AF1218" s="42"/>
      <c r="AG1218" s="42"/>
      <c r="AH1218" s="42"/>
      <c r="AI1218" s="42" t="str">
        <f t="array" ref="AI1218">XLOOKUP($E1218,Sheet11!$D:$D,Sheet11!$X:$X,"",0)</f>
        <v/>
      </c>
      <c r="AJ1218" s="42" t="str">
        <f t="array" ref="AJ1218">XLOOKUP($E1218,Sheet11!$D:$D,Sheet11!$Y:$Y,"",0)</f>
        <v/>
      </c>
    </row>
    <row r="1219">
      <c r="A1219" s="23"/>
      <c r="B1219" s="42"/>
      <c r="C1219" s="42"/>
      <c r="D1219" s="42"/>
      <c r="E1219" s="42"/>
      <c r="F1219" s="42"/>
      <c r="G1219" s="42"/>
      <c r="H1219" s="42"/>
      <c r="I1219" s="42"/>
      <c r="J1219" s="42"/>
      <c r="K1219" s="42"/>
      <c r="L1219" s="46"/>
      <c r="M1219" s="46"/>
      <c r="N1219" s="46"/>
      <c r="O1219" s="61"/>
      <c r="P1219" s="62"/>
      <c r="Q1219" s="46"/>
      <c r="R1219" s="47"/>
      <c r="S1219" s="62"/>
      <c r="T1219" s="62"/>
      <c r="U1219" s="46"/>
      <c r="V1219" s="61"/>
      <c r="W1219" s="62"/>
      <c r="X1219" s="47"/>
      <c r="Y1219" s="46"/>
      <c r="Z1219" s="46"/>
      <c r="AA1219" s="46"/>
      <c r="AB1219" s="49"/>
      <c r="AC1219" s="42"/>
      <c r="AD1219" s="42"/>
      <c r="AE1219" s="50"/>
      <c r="AF1219" s="42"/>
      <c r="AG1219" s="42"/>
      <c r="AH1219" s="42"/>
      <c r="AI1219" s="42" t="str">
        <f t="array" ref="AI1219">XLOOKUP($E1219,Sheet11!$D:$D,Sheet11!$X:$X,"",0)</f>
        <v/>
      </c>
      <c r="AJ1219" s="42" t="str">
        <f t="array" ref="AJ1219">XLOOKUP($E1219,Sheet11!$D:$D,Sheet11!$Y:$Y,"",0)</f>
        <v/>
      </c>
    </row>
    <row r="1220">
      <c r="A1220" s="23"/>
      <c r="B1220" s="42"/>
      <c r="C1220" s="42"/>
      <c r="D1220" s="42"/>
      <c r="E1220" s="42"/>
      <c r="F1220" s="42"/>
      <c r="G1220" s="42"/>
      <c r="H1220" s="42"/>
      <c r="I1220" s="42"/>
      <c r="J1220" s="42"/>
      <c r="K1220" s="42"/>
      <c r="L1220" s="46"/>
      <c r="M1220" s="46"/>
      <c r="N1220" s="46"/>
      <c r="O1220" s="61"/>
      <c r="P1220" s="62"/>
      <c r="Q1220" s="46"/>
      <c r="R1220" s="47"/>
      <c r="S1220" s="62"/>
      <c r="T1220" s="62"/>
      <c r="U1220" s="46"/>
      <c r="V1220" s="61"/>
      <c r="W1220" s="62"/>
      <c r="X1220" s="47"/>
      <c r="Y1220" s="46"/>
      <c r="Z1220" s="46"/>
      <c r="AA1220" s="46"/>
      <c r="AB1220" s="49"/>
      <c r="AC1220" s="42"/>
      <c r="AD1220" s="42"/>
      <c r="AE1220" s="50"/>
      <c r="AF1220" s="42"/>
      <c r="AG1220" s="42"/>
      <c r="AH1220" s="42"/>
      <c r="AI1220" s="42" t="str">
        <f t="array" ref="AI1220">XLOOKUP($E1220,Sheet11!$D:$D,Sheet11!$X:$X,"",0)</f>
        <v/>
      </c>
      <c r="AJ1220" s="42" t="str">
        <f t="array" ref="AJ1220">XLOOKUP($E1220,Sheet11!$D:$D,Sheet11!$Y:$Y,"",0)</f>
        <v/>
      </c>
    </row>
    <row r="1221">
      <c r="A1221" s="23"/>
      <c r="B1221" s="42"/>
      <c r="C1221" s="42"/>
      <c r="D1221" s="42"/>
      <c r="E1221" s="42"/>
      <c r="F1221" s="42"/>
      <c r="G1221" s="42"/>
      <c r="H1221" s="42"/>
      <c r="I1221" s="42"/>
      <c r="J1221" s="42"/>
      <c r="K1221" s="42"/>
      <c r="L1221" s="46"/>
      <c r="M1221" s="46"/>
      <c r="N1221" s="46"/>
      <c r="O1221" s="61"/>
      <c r="P1221" s="62"/>
      <c r="Q1221" s="46"/>
      <c r="R1221" s="47"/>
      <c r="S1221" s="62"/>
      <c r="T1221" s="62"/>
      <c r="U1221" s="46"/>
      <c r="V1221" s="61"/>
      <c r="W1221" s="62"/>
      <c r="X1221" s="47"/>
      <c r="Y1221" s="46"/>
      <c r="Z1221" s="46"/>
      <c r="AA1221" s="46"/>
      <c r="AB1221" s="49"/>
      <c r="AC1221" s="42"/>
      <c r="AD1221" s="42"/>
      <c r="AE1221" s="50"/>
      <c r="AF1221" s="42"/>
      <c r="AG1221" s="42"/>
      <c r="AH1221" s="42"/>
      <c r="AI1221" s="42" t="str">
        <f t="array" ref="AI1221">XLOOKUP($E1221,Sheet11!$D:$D,Sheet11!$X:$X,"",0)</f>
        <v/>
      </c>
      <c r="AJ1221" s="42" t="str">
        <f t="array" ref="AJ1221">XLOOKUP($E1221,Sheet11!$D:$D,Sheet11!$Y:$Y,"",0)</f>
        <v/>
      </c>
    </row>
    <row r="1222">
      <c r="A1222" s="23"/>
      <c r="B1222" s="42"/>
      <c r="C1222" s="42"/>
      <c r="D1222" s="42"/>
      <c r="E1222" s="42"/>
      <c r="F1222" s="42"/>
      <c r="G1222" s="42"/>
      <c r="H1222" s="42"/>
      <c r="I1222" s="42"/>
      <c r="J1222" s="42"/>
      <c r="K1222" s="42"/>
      <c r="L1222" s="46"/>
      <c r="M1222" s="46"/>
      <c r="N1222" s="46"/>
      <c r="O1222" s="61"/>
      <c r="P1222" s="62"/>
      <c r="Q1222" s="46"/>
      <c r="R1222" s="47"/>
      <c r="S1222" s="62"/>
      <c r="T1222" s="62"/>
      <c r="U1222" s="46"/>
      <c r="V1222" s="61"/>
      <c r="W1222" s="62"/>
      <c r="X1222" s="47"/>
      <c r="Y1222" s="46"/>
      <c r="Z1222" s="46"/>
      <c r="AA1222" s="46"/>
      <c r="AB1222" s="49"/>
      <c r="AC1222" s="42"/>
      <c r="AD1222" s="42"/>
      <c r="AE1222" s="50"/>
      <c r="AF1222" s="42"/>
      <c r="AG1222" s="42"/>
      <c r="AH1222" s="42"/>
      <c r="AI1222" s="42" t="str">
        <f t="array" ref="AI1222">XLOOKUP($E1222,Sheet11!$D:$D,Sheet11!$X:$X,"",0)</f>
        <v/>
      </c>
      <c r="AJ1222" s="42" t="str">
        <f t="array" ref="AJ1222">XLOOKUP($E1222,Sheet11!$D:$D,Sheet11!$Y:$Y,"",0)</f>
        <v/>
      </c>
    </row>
    <row r="1223">
      <c r="A1223" s="23"/>
      <c r="B1223" s="42"/>
      <c r="C1223" s="42"/>
      <c r="D1223" s="42"/>
      <c r="E1223" s="42"/>
      <c r="F1223" s="42"/>
      <c r="G1223" s="42"/>
      <c r="H1223" s="42"/>
      <c r="I1223" s="42"/>
      <c r="J1223" s="42"/>
      <c r="K1223" s="42"/>
      <c r="L1223" s="46"/>
      <c r="M1223" s="46"/>
      <c r="N1223" s="46"/>
      <c r="O1223" s="61"/>
      <c r="P1223" s="62"/>
      <c r="Q1223" s="46"/>
      <c r="R1223" s="47"/>
      <c r="S1223" s="62"/>
      <c r="T1223" s="62"/>
      <c r="U1223" s="46"/>
      <c r="V1223" s="61"/>
      <c r="W1223" s="62"/>
      <c r="X1223" s="47"/>
      <c r="Y1223" s="46"/>
      <c r="Z1223" s="46"/>
      <c r="AA1223" s="46"/>
      <c r="AB1223" s="49"/>
      <c r="AC1223" s="42"/>
      <c r="AD1223" s="42"/>
      <c r="AE1223" s="50"/>
      <c r="AF1223" s="42"/>
      <c r="AG1223" s="42"/>
      <c r="AH1223" s="42"/>
      <c r="AI1223" s="42" t="str">
        <f t="array" ref="AI1223">XLOOKUP($E1223,Sheet11!$D:$D,Sheet11!$X:$X,"",0)</f>
        <v/>
      </c>
      <c r="AJ1223" s="42" t="str">
        <f t="array" ref="AJ1223">XLOOKUP($E1223,Sheet11!$D:$D,Sheet11!$Y:$Y,"",0)</f>
        <v/>
      </c>
    </row>
    <row r="1224">
      <c r="A1224" s="23"/>
      <c r="B1224" s="42"/>
      <c r="C1224" s="42"/>
      <c r="D1224" s="42"/>
      <c r="E1224" s="42"/>
      <c r="F1224" s="42"/>
      <c r="G1224" s="42"/>
      <c r="H1224" s="42"/>
      <c r="I1224" s="42"/>
      <c r="J1224" s="42"/>
      <c r="K1224" s="42"/>
      <c r="L1224" s="46"/>
      <c r="M1224" s="46"/>
      <c r="N1224" s="46"/>
      <c r="O1224" s="61"/>
      <c r="P1224" s="62"/>
      <c r="Q1224" s="46"/>
      <c r="R1224" s="47"/>
      <c r="S1224" s="62"/>
      <c r="T1224" s="62"/>
      <c r="U1224" s="46"/>
      <c r="V1224" s="61"/>
      <c r="W1224" s="62"/>
      <c r="X1224" s="47"/>
      <c r="Y1224" s="46"/>
      <c r="Z1224" s="46"/>
      <c r="AA1224" s="46"/>
      <c r="AB1224" s="49"/>
      <c r="AC1224" s="42"/>
      <c r="AD1224" s="42"/>
      <c r="AE1224" s="50"/>
      <c r="AF1224" s="42"/>
      <c r="AG1224" s="42"/>
      <c r="AH1224" s="42"/>
      <c r="AI1224" s="42" t="str">
        <f t="array" ref="AI1224">XLOOKUP($E1224,Sheet11!$D:$D,Sheet11!$X:$X,"",0)</f>
        <v/>
      </c>
      <c r="AJ1224" s="42" t="str">
        <f t="array" ref="AJ1224">XLOOKUP($E1224,Sheet11!$D:$D,Sheet11!$Y:$Y,"",0)</f>
        <v/>
      </c>
    </row>
    <row r="1225">
      <c r="A1225" s="23"/>
      <c r="B1225" s="42"/>
      <c r="C1225" s="42"/>
      <c r="D1225" s="42"/>
      <c r="E1225" s="42"/>
      <c r="F1225" s="42"/>
      <c r="G1225" s="42"/>
      <c r="H1225" s="42"/>
      <c r="I1225" s="42"/>
      <c r="J1225" s="42"/>
      <c r="K1225" s="42"/>
      <c r="L1225" s="46"/>
      <c r="M1225" s="46"/>
      <c r="N1225" s="46"/>
      <c r="O1225" s="61"/>
      <c r="P1225" s="62"/>
      <c r="Q1225" s="46"/>
      <c r="R1225" s="47"/>
      <c r="S1225" s="62"/>
      <c r="T1225" s="62"/>
      <c r="U1225" s="46"/>
      <c r="V1225" s="61"/>
      <c r="W1225" s="62"/>
      <c r="X1225" s="47"/>
      <c r="Y1225" s="46"/>
      <c r="Z1225" s="46"/>
      <c r="AA1225" s="46"/>
      <c r="AB1225" s="49"/>
      <c r="AC1225" s="42"/>
      <c r="AD1225" s="42"/>
      <c r="AE1225" s="50"/>
      <c r="AF1225" s="42"/>
      <c r="AG1225" s="42"/>
      <c r="AH1225" s="42"/>
      <c r="AI1225" s="42" t="str">
        <f t="array" ref="AI1225">XLOOKUP($E1225,Sheet11!$D:$D,Sheet11!$X:$X,"",0)</f>
        <v/>
      </c>
      <c r="AJ1225" s="42" t="str">
        <f t="array" ref="AJ1225">XLOOKUP($E1225,Sheet11!$D:$D,Sheet11!$Y:$Y,"",0)</f>
        <v/>
      </c>
    </row>
    <row r="1226">
      <c r="A1226" s="23"/>
      <c r="B1226" s="42"/>
      <c r="C1226" s="42"/>
      <c r="D1226" s="42"/>
      <c r="E1226" s="42"/>
      <c r="F1226" s="42"/>
      <c r="G1226" s="42"/>
      <c r="H1226" s="42"/>
      <c r="I1226" s="42"/>
      <c r="J1226" s="42"/>
      <c r="K1226" s="42"/>
      <c r="L1226" s="46"/>
      <c r="M1226" s="46"/>
      <c r="N1226" s="46"/>
      <c r="O1226" s="61"/>
      <c r="P1226" s="62"/>
      <c r="Q1226" s="46"/>
      <c r="R1226" s="47"/>
      <c r="S1226" s="62"/>
      <c r="T1226" s="62"/>
      <c r="U1226" s="46"/>
      <c r="V1226" s="61"/>
      <c r="W1226" s="62"/>
      <c r="X1226" s="47"/>
      <c r="Y1226" s="46"/>
      <c r="Z1226" s="46"/>
      <c r="AA1226" s="46"/>
      <c r="AB1226" s="49"/>
      <c r="AC1226" s="42"/>
      <c r="AD1226" s="42"/>
      <c r="AE1226" s="50"/>
      <c r="AF1226" s="42"/>
      <c r="AG1226" s="42"/>
      <c r="AH1226" s="42"/>
      <c r="AI1226" s="42" t="str">
        <f t="array" ref="AI1226">XLOOKUP($E1226,Sheet11!$D:$D,Sheet11!$X:$X,"",0)</f>
        <v/>
      </c>
      <c r="AJ1226" s="42" t="str">
        <f t="array" ref="AJ1226">XLOOKUP($E1226,Sheet11!$D:$D,Sheet11!$Y:$Y,"",0)</f>
        <v/>
      </c>
    </row>
    <row r="1227">
      <c r="A1227" s="23"/>
      <c r="B1227" s="42"/>
      <c r="C1227" s="42"/>
      <c r="D1227" s="42"/>
      <c r="E1227" s="42"/>
      <c r="F1227" s="42"/>
      <c r="G1227" s="42"/>
      <c r="H1227" s="42"/>
      <c r="I1227" s="42"/>
      <c r="J1227" s="42"/>
      <c r="K1227" s="42"/>
      <c r="L1227" s="46"/>
      <c r="M1227" s="46"/>
      <c r="N1227" s="46"/>
      <c r="O1227" s="61"/>
      <c r="P1227" s="62"/>
      <c r="Q1227" s="46"/>
      <c r="R1227" s="47"/>
      <c r="S1227" s="62"/>
      <c r="T1227" s="62"/>
      <c r="U1227" s="46"/>
      <c r="V1227" s="61"/>
      <c r="W1227" s="62"/>
      <c r="X1227" s="47"/>
      <c r="Y1227" s="46"/>
      <c r="Z1227" s="46"/>
      <c r="AA1227" s="46"/>
      <c r="AB1227" s="49"/>
      <c r="AC1227" s="42"/>
      <c r="AD1227" s="42"/>
      <c r="AE1227" s="50"/>
      <c r="AF1227" s="42"/>
      <c r="AG1227" s="42"/>
      <c r="AH1227" s="42"/>
      <c r="AI1227" s="42" t="str">
        <f t="array" ref="AI1227">XLOOKUP($E1227,Sheet11!$D:$D,Sheet11!$X:$X,"",0)</f>
        <v/>
      </c>
      <c r="AJ1227" s="42" t="str">
        <f t="array" ref="AJ1227">XLOOKUP($E1227,Sheet11!$D:$D,Sheet11!$Y:$Y,"",0)</f>
        <v/>
      </c>
    </row>
    <row r="1228">
      <c r="A1228" s="23"/>
      <c r="B1228" s="42"/>
      <c r="C1228" s="42"/>
      <c r="D1228" s="42"/>
      <c r="E1228" s="42"/>
      <c r="F1228" s="42"/>
      <c r="G1228" s="42"/>
      <c r="H1228" s="42"/>
      <c r="I1228" s="42"/>
      <c r="J1228" s="42"/>
      <c r="K1228" s="42"/>
      <c r="L1228" s="46"/>
      <c r="M1228" s="46"/>
      <c r="N1228" s="46"/>
      <c r="O1228" s="61"/>
      <c r="P1228" s="62"/>
      <c r="Q1228" s="46"/>
      <c r="R1228" s="47"/>
      <c r="S1228" s="62"/>
      <c r="T1228" s="62"/>
      <c r="U1228" s="46"/>
      <c r="V1228" s="61"/>
      <c r="W1228" s="62"/>
      <c r="X1228" s="47"/>
      <c r="Y1228" s="46"/>
      <c r="Z1228" s="46"/>
      <c r="AA1228" s="46"/>
      <c r="AB1228" s="49"/>
      <c r="AC1228" s="42"/>
      <c r="AD1228" s="42"/>
      <c r="AE1228" s="50"/>
      <c r="AF1228" s="42"/>
      <c r="AG1228" s="42"/>
      <c r="AH1228" s="42"/>
      <c r="AI1228" s="42" t="str">
        <f t="array" ref="AI1228">XLOOKUP($E1228,Sheet11!$D:$D,Sheet11!$X:$X,"",0)</f>
        <v/>
      </c>
      <c r="AJ1228" s="42" t="str">
        <f t="array" ref="AJ1228">XLOOKUP($E1228,Sheet11!$D:$D,Sheet11!$Y:$Y,"",0)</f>
        <v/>
      </c>
    </row>
    <row r="1229">
      <c r="A1229" s="23"/>
      <c r="B1229" s="42"/>
      <c r="C1229" s="42"/>
      <c r="D1229" s="42"/>
      <c r="E1229" s="42"/>
      <c r="F1229" s="42"/>
      <c r="G1229" s="42"/>
      <c r="H1229" s="42"/>
      <c r="I1229" s="42"/>
      <c r="J1229" s="42"/>
      <c r="K1229" s="42"/>
      <c r="L1229" s="46"/>
      <c r="M1229" s="46"/>
      <c r="N1229" s="46"/>
      <c r="O1229" s="61"/>
      <c r="P1229" s="62"/>
      <c r="Q1229" s="46"/>
      <c r="R1229" s="47"/>
      <c r="S1229" s="62"/>
      <c r="T1229" s="62"/>
      <c r="U1229" s="46"/>
      <c r="V1229" s="61"/>
      <c r="W1229" s="62"/>
      <c r="X1229" s="47"/>
      <c r="Y1229" s="46"/>
      <c r="Z1229" s="46"/>
      <c r="AA1229" s="46"/>
      <c r="AB1229" s="49"/>
      <c r="AC1229" s="42"/>
      <c r="AD1229" s="42"/>
      <c r="AE1229" s="50"/>
      <c r="AF1229" s="42"/>
      <c r="AG1229" s="42"/>
      <c r="AH1229" s="42"/>
      <c r="AI1229" s="42" t="str">
        <f t="array" ref="AI1229">XLOOKUP($E1229,Sheet11!$D:$D,Sheet11!$X:$X,"",0)</f>
        <v/>
      </c>
      <c r="AJ1229" s="42" t="str">
        <f t="array" ref="AJ1229">XLOOKUP($E1229,Sheet11!$D:$D,Sheet11!$Y:$Y,"",0)</f>
        <v/>
      </c>
    </row>
    <row r="1230">
      <c r="A1230" s="23"/>
      <c r="B1230" s="42"/>
      <c r="C1230" s="42"/>
      <c r="D1230" s="42"/>
      <c r="E1230" s="42"/>
      <c r="F1230" s="42"/>
      <c r="G1230" s="42"/>
      <c r="H1230" s="42"/>
      <c r="I1230" s="42"/>
      <c r="J1230" s="42"/>
      <c r="K1230" s="42"/>
      <c r="L1230" s="46"/>
      <c r="M1230" s="46"/>
      <c r="N1230" s="46"/>
      <c r="O1230" s="61"/>
      <c r="P1230" s="62"/>
      <c r="Q1230" s="46"/>
      <c r="R1230" s="47"/>
      <c r="S1230" s="62"/>
      <c r="T1230" s="62"/>
      <c r="U1230" s="46"/>
      <c r="V1230" s="61"/>
      <c r="W1230" s="62"/>
      <c r="X1230" s="47"/>
      <c r="Y1230" s="46"/>
      <c r="Z1230" s="46"/>
      <c r="AA1230" s="46"/>
      <c r="AB1230" s="49"/>
      <c r="AC1230" s="42"/>
      <c r="AD1230" s="42"/>
      <c r="AE1230" s="50"/>
      <c r="AF1230" s="42"/>
      <c r="AG1230" s="42"/>
      <c r="AH1230" s="42"/>
      <c r="AI1230" s="42" t="str">
        <f t="array" ref="AI1230">XLOOKUP($E1230,Sheet11!$D:$D,Sheet11!$X:$X,"",0)</f>
        <v/>
      </c>
      <c r="AJ1230" s="42" t="str">
        <f t="array" ref="AJ1230">XLOOKUP($E1230,Sheet11!$D:$D,Sheet11!$Y:$Y,"",0)</f>
        <v/>
      </c>
    </row>
    <row r="1231">
      <c r="A1231" s="23"/>
      <c r="B1231" s="42"/>
      <c r="C1231" s="42"/>
      <c r="D1231" s="42"/>
      <c r="E1231" s="42"/>
      <c r="F1231" s="42"/>
      <c r="G1231" s="42"/>
      <c r="H1231" s="42"/>
      <c r="I1231" s="42"/>
      <c r="J1231" s="42"/>
      <c r="K1231" s="42"/>
      <c r="L1231" s="46"/>
      <c r="M1231" s="46"/>
      <c r="N1231" s="46"/>
      <c r="O1231" s="61"/>
      <c r="P1231" s="62"/>
      <c r="Q1231" s="46"/>
      <c r="R1231" s="47"/>
      <c r="S1231" s="62"/>
      <c r="T1231" s="62"/>
      <c r="U1231" s="46"/>
      <c r="V1231" s="61"/>
      <c r="W1231" s="62"/>
      <c r="X1231" s="47"/>
      <c r="Y1231" s="46"/>
      <c r="Z1231" s="46"/>
      <c r="AA1231" s="46"/>
      <c r="AB1231" s="49"/>
      <c r="AC1231" s="42"/>
      <c r="AD1231" s="42"/>
      <c r="AE1231" s="50"/>
      <c r="AF1231" s="42"/>
      <c r="AG1231" s="42"/>
      <c r="AH1231" s="42"/>
      <c r="AI1231" s="42" t="str">
        <f t="array" ref="AI1231">XLOOKUP($E1231,Sheet11!$D:$D,Sheet11!$X:$X,"",0)</f>
        <v/>
      </c>
      <c r="AJ1231" s="42" t="str">
        <f t="array" ref="AJ1231">XLOOKUP($E1231,Sheet11!$D:$D,Sheet11!$Y:$Y,"",0)</f>
        <v/>
      </c>
    </row>
    <row r="1232">
      <c r="A1232" s="23"/>
      <c r="B1232" s="42"/>
      <c r="C1232" s="42"/>
      <c r="D1232" s="42"/>
      <c r="E1232" s="42"/>
      <c r="F1232" s="42"/>
      <c r="G1232" s="42"/>
      <c r="H1232" s="42"/>
      <c r="I1232" s="42"/>
      <c r="J1232" s="42"/>
      <c r="K1232" s="42"/>
      <c r="L1232" s="46"/>
      <c r="M1232" s="46"/>
      <c r="N1232" s="46"/>
      <c r="O1232" s="61"/>
      <c r="P1232" s="62"/>
      <c r="Q1232" s="46"/>
      <c r="R1232" s="47"/>
      <c r="S1232" s="62"/>
      <c r="T1232" s="62"/>
      <c r="U1232" s="46"/>
      <c r="V1232" s="61"/>
      <c r="W1232" s="62"/>
      <c r="X1232" s="47"/>
      <c r="Y1232" s="46"/>
      <c r="Z1232" s="46"/>
      <c r="AA1232" s="46"/>
      <c r="AB1232" s="49"/>
      <c r="AC1232" s="42"/>
      <c r="AD1232" s="42"/>
      <c r="AE1232" s="50"/>
      <c r="AF1232" s="42"/>
      <c r="AG1232" s="42"/>
      <c r="AH1232" s="42"/>
      <c r="AI1232" s="42" t="str">
        <f t="array" ref="AI1232">XLOOKUP($E1232,Sheet11!$D:$D,Sheet11!$X:$X,"",0)</f>
        <v/>
      </c>
      <c r="AJ1232" s="42" t="str">
        <f t="array" ref="AJ1232">XLOOKUP($E1232,Sheet11!$D:$D,Sheet11!$Y:$Y,"",0)</f>
        <v/>
      </c>
    </row>
    <row r="1233">
      <c r="A1233" s="23"/>
      <c r="B1233" s="42"/>
      <c r="C1233" s="42"/>
      <c r="D1233" s="42"/>
      <c r="E1233" s="42"/>
      <c r="F1233" s="42"/>
      <c r="G1233" s="42"/>
      <c r="H1233" s="42"/>
      <c r="I1233" s="42"/>
      <c r="J1233" s="42"/>
      <c r="K1233" s="42"/>
      <c r="L1233" s="46"/>
      <c r="M1233" s="46"/>
      <c r="N1233" s="46"/>
      <c r="O1233" s="61"/>
      <c r="P1233" s="62"/>
      <c r="Q1233" s="46"/>
      <c r="R1233" s="47"/>
      <c r="S1233" s="62"/>
      <c r="T1233" s="62"/>
      <c r="U1233" s="46"/>
      <c r="V1233" s="61"/>
      <c r="W1233" s="62"/>
      <c r="X1233" s="47"/>
      <c r="Y1233" s="46"/>
      <c r="Z1233" s="46"/>
      <c r="AA1233" s="46"/>
      <c r="AB1233" s="49"/>
      <c r="AC1233" s="42"/>
      <c r="AD1233" s="42"/>
      <c r="AE1233" s="50"/>
      <c r="AF1233" s="42"/>
      <c r="AG1233" s="42"/>
      <c r="AH1233" s="42"/>
      <c r="AI1233" s="42" t="str">
        <f t="array" ref="AI1233">XLOOKUP($E1233,Sheet11!$D:$D,Sheet11!$X:$X,"",0)</f>
        <v/>
      </c>
      <c r="AJ1233" s="42" t="str">
        <f t="array" ref="AJ1233">XLOOKUP($E1233,Sheet11!$D:$D,Sheet11!$Y:$Y,"",0)</f>
        <v/>
      </c>
    </row>
    <row r="1234">
      <c r="A1234" s="23"/>
      <c r="B1234" s="42"/>
      <c r="C1234" s="42"/>
      <c r="D1234" s="42"/>
      <c r="E1234" s="42"/>
      <c r="F1234" s="42"/>
      <c r="G1234" s="42"/>
      <c r="H1234" s="42"/>
      <c r="I1234" s="42"/>
      <c r="J1234" s="42"/>
      <c r="K1234" s="42"/>
      <c r="L1234" s="46"/>
      <c r="M1234" s="46"/>
      <c r="N1234" s="46"/>
      <c r="O1234" s="61"/>
      <c r="P1234" s="62"/>
      <c r="Q1234" s="46"/>
      <c r="R1234" s="47"/>
      <c r="S1234" s="62"/>
      <c r="T1234" s="62"/>
      <c r="U1234" s="46"/>
      <c r="V1234" s="61"/>
      <c r="W1234" s="62"/>
      <c r="X1234" s="47"/>
      <c r="Y1234" s="46"/>
      <c r="Z1234" s="46"/>
      <c r="AA1234" s="46"/>
      <c r="AB1234" s="49"/>
      <c r="AC1234" s="42"/>
      <c r="AD1234" s="42"/>
      <c r="AE1234" s="50"/>
      <c r="AF1234" s="42"/>
      <c r="AG1234" s="42"/>
      <c r="AH1234" s="42"/>
      <c r="AI1234" s="42" t="str">
        <f t="array" ref="AI1234">XLOOKUP($E1234,Sheet11!$D:$D,Sheet11!$X:$X,"",0)</f>
        <v/>
      </c>
      <c r="AJ1234" s="42" t="str">
        <f t="array" ref="AJ1234">XLOOKUP($E1234,Sheet11!$D:$D,Sheet11!$Y:$Y,"",0)</f>
        <v/>
      </c>
    </row>
    <row r="1235">
      <c r="A1235" s="23"/>
      <c r="B1235" s="42"/>
      <c r="C1235" s="42"/>
      <c r="D1235" s="42"/>
      <c r="E1235" s="42"/>
      <c r="F1235" s="42"/>
      <c r="G1235" s="42"/>
      <c r="H1235" s="42"/>
      <c r="I1235" s="42"/>
      <c r="J1235" s="42"/>
      <c r="K1235" s="42"/>
      <c r="L1235" s="46"/>
      <c r="M1235" s="46"/>
      <c r="N1235" s="46"/>
      <c r="O1235" s="61"/>
      <c r="P1235" s="62"/>
      <c r="Q1235" s="46"/>
      <c r="R1235" s="47"/>
      <c r="S1235" s="62"/>
      <c r="T1235" s="62"/>
      <c r="U1235" s="46"/>
      <c r="V1235" s="61"/>
      <c r="W1235" s="62"/>
      <c r="X1235" s="47"/>
      <c r="Y1235" s="46"/>
      <c r="Z1235" s="46"/>
      <c r="AA1235" s="46"/>
      <c r="AB1235" s="49"/>
      <c r="AC1235" s="42"/>
      <c r="AD1235" s="42"/>
      <c r="AE1235" s="50"/>
      <c r="AF1235" s="42"/>
      <c r="AG1235" s="42"/>
      <c r="AH1235" s="42"/>
      <c r="AI1235" s="42" t="str">
        <f t="array" ref="AI1235">XLOOKUP($E1235,Sheet11!$D:$D,Sheet11!$X:$X,"",0)</f>
        <v/>
      </c>
      <c r="AJ1235" s="42" t="str">
        <f t="array" ref="AJ1235">XLOOKUP($E1235,Sheet11!$D:$D,Sheet11!$Y:$Y,"",0)</f>
        <v/>
      </c>
    </row>
    <row r="1236">
      <c r="A1236" s="23"/>
      <c r="B1236" s="42"/>
      <c r="C1236" s="42"/>
      <c r="D1236" s="42"/>
      <c r="E1236" s="42"/>
      <c r="F1236" s="42"/>
      <c r="G1236" s="42"/>
      <c r="H1236" s="42"/>
      <c r="I1236" s="42"/>
      <c r="J1236" s="42"/>
      <c r="K1236" s="42"/>
      <c r="L1236" s="46"/>
      <c r="M1236" s="46"/>
      <c r="N1236" s="46"/>
      <c r="O1236" s="61"/>
      <c r="P1236" s="62"/>
      <c r="Q1236" s="46"/>
      <c r="R1236" s="47"/>
      <c r="S1236" s="62"/>
      <c r="T1236" s="62"/>
      <c r="U1236" s="46"/>
      <c r="V1236" s="61"/>
      <c r="W1236" s="62"/>
      <c r="X1236" s="47"/>
      <c r="Y1236" s="46"/>
      <c r="Z1236" s="46"/>
      <c r="AA1236" s="46"/>
      <c r="AB1236" s="49"/>
      <c r="AC1236" s="42"/>
      <c r="AD1236" s="42"/>
      <c r="AE1236" s="50"/>
      <c r="AF1236" s="42"/>
      <c r="AG1236" s="42"/>
      <c r="AH1236" s="42"/>
      <c r="AI1236" s="42" t="str">
        <f t="array" ref="AI1236">XLOOKUP($E1236,Sheet11!$D:$D,Sheet11!$X:$X,"",0)</f>
        <v/>
      </c>
      <c r="AJ1236" s="42" t="str">
        <f t="array" ref="AJ1236">XLOOKUP($E1236,Sheet11!$D:$D,Sheet11!$Y:$Y,"",0)</f>
        <v/>
      </c>
    </row>
    <row r="1237">
      <c r="A1237" s="23"/>
      <c r="B1237" s="42"/>
      <c r="C1237" s="42"/>
      <c r="D1237" s="42"/>
      <c r="E1237" s="42"/>
      <c r="F1237" s="42"/>
      <c r="G1237" s="42"/>
      <c r="H1237" s="42"/>
      <c r="I1237" s="42"/>
      <c r="J1237" s="42"/>
      <c r="K1237" s="42"/>
      <c r="L1237" s="46"/>
      <c r="M1237" s="46"/>
      <c r="N1237" s="46"/>
      <c r="O1237" s="61"/>
      <c r="P1237" s="62"/>
      <c r="Q1237" s="46"/>
      <c r="R1237" s="47"/>
      <c r="S1237" s="62"/>
      <c r="T1237" s="62"/>
      <c r="U1237" s="46"/>
      <c r="V1237" s="61"/>
      <c r="W1237" s="62"/>
      <c r="X1237" s="47"/>
      <c r="Y1237" s="46"/>
      <c r="Z1237" s="46"/>
      <c r="AA1237" s="46"/>
      <c r="AB1237" s="49"/>
      <c r="AC1237" s="42"/>
      <c r="AD1237" s="42"/>
      <c r="AE1237" s="50"/>
      <c r="AF1237" s="42"/>
      <c r="AG1237" s="42"/>
      <c r="AH1237" s="42"/>
      <c r="AI1237" s="42" t="str">
        <f t="array" ref="AI1237">XLOOKUP($E1237,Sheet11!$D:$D,Sheet11!$X:$X,"",0)</f>
        <v/>
      </c>
      <c r="AJ1237" s="42" t="str">
        <f t="array" ref="AJ1237">XLOOKUP($E1237,Sheet11!$D:$D,Sheet11!$Y:$Y,"",0)</f>
        <v/>
      </c>
    </row>
    <row r="1238">
      <c r="A1238" s="23"/>
      <c r="B1238" s="42"/>
      <c r="C1238" s="42"/>
      <c r="D1238" s="42"/>
      <c r="E1238" s="42"/>
      <c r="F1238" s="42"/>
      <c r="G1238" s="42"/>
      <c r="H1238" s="42"/>
      <c r="I1238" s="42"/>
      <c r="J1238" s="42"/>
      <c r="K1238" s="42"/>
      <c r="L1238" s="46"/>
      <c r="M1238" s="46"/>
      <c r="N1238" s="46"/>
      <c r="O1238" s="61"/>
      <c r="P1238" s="62"/>
      <c r="Q1238" s="46"/>
      <c r="R1238" s="47"/>
      <c r="S1238" s="62"/>
      <c r="T1238" s="62"/>
      <c r="U1238" s="46"/>
      <c r="V1238" s="61"/>
      <c r="W1238" s="62"/>
      <c r="X1238" s="47"/>
      <c r="Y1238" s="46"/>
      <c r="Z1238" s="46"/>
      <c r="AA1238" s="46"/>
      <c r="AB1238" s="49"/>
      <c r="AC1238" s="42"/>
      <c r="AD1238" s="42"/>
      <c r="AE1238" s="50"/>
      <c r="AF1238" s="42"/>
      <c r="AG1238" s="42"/>
      <c r="AH1238" s="42"/>
      <c r="AI1238" s="42" t="str">
        <f t="array" ref="AI1238">XLOOKUP($E1238,Sheet11!$D:$D,Sheet11!$X:$X,"",0)</f>
        <v/>
      </c>
      <c r="AJ1238" s="42" t="str">
        <f t="array" ref="AJ1238">XLOOKUP($E1238,Sheet11!$D:$D,Sheet11!$Y:$Y,"",0)</f>
        <v/>
      </c>
    </row>
    <row r="1239">
      <c r="A1239" s="23"/>
      <c r="B1239" s="42"/>
      <c r="C1239" s="42"/>
      <c r="D1239" s="42"/>
      <c r="E1239" s="42"/>
      <c r="F1239" s="42"/>
      <c r="G1239" s="42"/>
      <c r="H1239" s="42"/>
      <c r="I1239" s="42"/>
      <c r="J1239" s="42"/>
      <c r="K1239" s="42"/>
      <c r="L1239" s="46"/>
      <c r="M1239" s="46"/>
      <c r="N1239" s="46"/>
      <c r="O1239" s="61"/>
      <c r="P1239" s="62"/>
      <c r="Q1239" s="46"/>
      <c r="R1239" s="47"/>
      <c r="S1239" s="62"/>
      <c r="T1239" s="62"/>
      <c r="U1239" s="46"/>
      <c r="V1239" s="61"/>
      <c r="W1239" s="62"/>
      <c r="X1239" s="47"/>
      <c r="Y1239" s="46"/>
      <c r="Z1239" s="46"/>
      <c r="AA1239" s="46"/>
      <c r="AB1239" s="49"/>
      <c r="AC1239" s="42"/>
      <c r="AD1239" s="42"/>
      <c r="AE1239" s="50"/>
      <c r="AF1239" s="42"/>
      <c r="AG1239" s="42"/>
      <c r="AH1239" s="42"/>
      <c r="AI1239" s="42" t="str">
        <f t="array" ref="AI1239">XLOOKUP($E1239,Sheet11!$D:$D,Sheet11!$X:$X,"",0)</f>
        <v/>
      </c>
      <c r="AJ1239" s="42" t="str">
        <f t="array" ref="AJ1239">XLOOKUP($E1239,Sheet11!$D:$D,Sheet11!$Y:$Y,"",0)</f>
        <v/>
      </c>
    </row>
    <row r="1240">
      <c r="A1240" s="23"/>
      <c r="B1240" s="42"/>
      <c r="C1240" s="42"/>
      <c r="D1240" s="42"/>
      <c r="E1240" s="42"/>
      <c r="F1240" s="42"/>
      <c r="G1240" s="42"/>
      <c r="H1240" s="42"/>
      <c r="I1240" s="42"/>
      <c r="J1240" s="42"/>
      <c r="K1240" s="42"/>
      <c r="L1240" s="46"/>
      <c r="M1240" s="46"/>
      <c r="N1240" s="46"/>
      <c r="O1240" s="61"/>
      <c r="P1240" s="62"/>
      <c r="Q1240" s="46"/>
      <c r="R1240" s="47"/>
      <c r="S1240" s="62"/>
      <c r="T1240" s="62"/>
      <c r="U1240" s="46"/>
      <c r="V1240" s="61"/>
      <c r="W1240" s="62"/>
      <c r="X1240" s="47"/>
      <c r="Y1240" s="46"/>
      <c r="Z1240" s="46"/>
      <c r="AA1240" s="46"/>
      <c r="AB1240" s="49"/>
      <c r="AC1240" s="42"/>
      <c r="AD1240" s="42"/>
      <c r="AE1240" s="50"/>
      <c r="AF1240" s="42"/>
      <c r="AG1240" s="42"/>
      <c r="AH1240" s="42"/>
      <c r="AI1240" s="42" t="str">
        <f t="array" ref="AI1240">XLOOKUP($E1240,Sheet11!$D:$D,Sheet11!$X:$X,"",0)</f>
        <v/>
      </c>
      <c r="AJ1240" s="42" t="str">
        <f t="array" ref="AJ1240">XLOOKUP($E1240,Sheet11!$D:$D,Sheet11!$Y:$Y,"",0)</f>
        <v/>
      </c>
    </row>
    <row r="1241">
      <c r="A1241" s="23"/>
      <c r="B1241" s="42"/>
      <c r="C1241" s="42"/>
      <c r="D1241" s="42"/>
      <c r="E1241" s="42"/>
      <c r="F1241" s="42"/>
      <c r="G1241" s="42"/>
      <c r="H1241" s="42"/>
      <c r="I1241" s="42"/>
      <c r="J1241" s="42"/>
      <c r="K1241" s="42"/>
      <c r="L1241" s="46"/>
      <c r="M1241" s="46"/>
      <c r="N1241" s="46"/>
      <c r="O1241" s="61"/>
      <c r="P1241" s="62"/>
      <c r="Q1241" s="46"/>
      <c r="R1241" s="47"/>
      <c r="S1241" s="62"/>
      <c r="T1241" s="62"/>
      <c r="U1241" s="46"/>
      <c r="V1241" s="61"/>
      <c r="W1241" s="62"/>
      <c r="X1241" s="47"/>
      <c r="Y1241" s="46"/>
      <c r="Z1241" s="46"/>
      <c r="AA1241" s="46"/>
      <c r="AB1241" s="49"/>
      <c r="AC1241" s="42"/>
      <c r="AD1241" s="42"/>
      <c r="AE1241" s="50"/>
      <c r="AF1241" s="42"/>
      <c r="AG1241" s="42"/>
      <c r="AH1241" s="42"/>
      <c r="AI1241" s="42" t="str">
        <f t="array" ref="AI1241">XLOOKUP($E1241,Sheet11!$D:$D,Sheet11!$X:$X,"",0)</f>
        <v/>
      </c>
      <c r="AJ1241" s="42" t="str">
        <f t="array" ref="AJ1241">XLOOKUP($E1241,Sheet11!$D:$D,Sheet11!$Y:$Y,"",0)</f>
        <v/>
      </c>
    </row>
    <row r="1242">
      <c r="A1242" s="23"/>
      <c r="B1242" s="42"/>
      <c r="C1242" s="42"/>
      <c r="D1242" s="42"/>
      <c r="E1242" s="42"/>
      <c r="F1242" s="42"/>
      <c r="G1242" s="42"/>
      <c r="H1242" s="42"/>
      <c r="I1242" s="42"/>
      <c r="J1242" s="42"/>
      <c r="K1242" s="42"/>
      <c r="L1242" s="46"/>
      <c r="M1242" s="46"/>
      <c r="N1242" s="46"/>
      <c r="O1242" s="61"/>
      <c r="P1242" s="62"/>
      <c r="Q1242" s="46"/>
      <c r="R1242" s="47"/>
      <c r="S1242" s="62"/>
      <c r="T1242" s="62"/>
      <c r="U1242" s="46"/>
      <c r="V1242" s="61"/>
      <c r="W1242" s="62"/>
      <c r="X1242" s="47"/>
      <c r="Y1242" s="46"/>
      <c r="Z1242" s="46"/>
      <c r="AA1242" s="46"/>
      <c r="AB1242" s="49"/>
      <c r="AC1242" s="42"/>
      <c r="AD1242" s="42"/>
      <c r="AE1242" s="50"/>
      <c r="AF1242" s="42"/>
      <c r="AG1242" s="42"/>
      <c r="AH1242" s="42"/>
      <c r="AI1242" s="42" t="str">
        <f t="array" ref="AI1242">XLOOKUP($E1242,Sheet11!$D:$D,Sheet11!$X:$X,"",0)</f>
        <v/>
      </c>
      <c r="AJ1242" s="42" t="str">
        <f t="array" ref="AJ1242">XLOOKUP($E1242,Sheet11!$D:$D,Sheet11!$Y:$Y,"",0)</f>
        <v/>
      </c>
    </row>
    <row r="1243">
      <c r="A1243" s="23"/>
      <c r="B1243" s="42"/>
      <c r="C1243" s="42"/>
      <c r="D1243" s="42"/>
      <c r="E1243" s="42"/>
      <c r="F1243" s="42"/>
      <c r="G1243" s="42"/>
      <c r="H1243" s="42"/>
      <c r="I1243" s="42"/>
      <c r="J1243" s="42"/>
      <c r="K1243" s="42"/>
      <c r="L1243" s="46"/>
      <c r="M1243" s="46"/>
      <c r="N1243" s="46"/>
      <c r="O1243" s="61"/>
      <c r="P1243" s="62"/>
      <c r="Q1243" s="46"/>
      <c r="R1243" s="47"/>
      <c r="S1243" s="62"/>
      <c r="T1243" s="62"/>
      <c r="U1243" s="46"/>
      <c r="V1243" s="61"/>
      <c r="W1243" s="62"/>
      <c r="X1243" s="47"/>
      <c r="Y1243" s="46"/>
      <c r="Z1243" s="46"/>
      <c r="AA1243" s="46"/>
      <c r="AB1243" s="49"/>
      <c r="AC1243" s="42"/>
      <c r="AD1243" s="42"/>
      <c r="AE1243" s="50"/>
      <c r="AF1243" s="42"/>
      <c r="AG1243" s="42"/>
      <c r="AH1243" s="42"/>
      <c r="AI1243" s="42" t="str">
        <f t="array" ref="AI1243">XLOOKUP($E1243,Sheet11!$D:$D,Sheet11!$X:$X,"",0)</f>
        <v/>
      </c>
      <c r="AJ1243" s="42" t="str">
        <f t="array" ref="AJ1243">XLOOKUP($E1243,Sheet11!$D:$D,Sheet11!$Y:$Y,"",0)</f>
        <v/>
      </c>
    </row>
    <row r="1244">
      <c r="A1244" s="23"/>
      <c r="B1244" s="42"/>
      <c r="C1244" s="42"/>
      <c r="D1244" s="42"/>
      <c r="E1244" s="42"/>
      <c r="F1244" s="42"/>
      <c r="G1244" s="42"/>
      <c r="H1244" s="42"/>
      <c r="I1244" s="42"/>
      <c r="J1244" s="42"/>
      <c r="K1244" s="42"/>
      <c r="L1244" s="46"/>
      <c r="M1244" s="46"/>
      <c r="N1244" s="46"/>
      <c r="O1244" s="61"/>
      <c r="P1244" s="62"/>
      <c r="Q1244" s="46"/>
      <c r="R1244" s="47"/>
      <c r="S1244" s="62"/>
      <c r="T1244" s="62"/>
      <c r="U1244" s="46"/>
      <c r="V1244" s="61"/>
      <c r="W1244" s="62"/>
      <c r="X1244" s="47"/>
      <c r="Y1244" s="46"/>
      <c r="Z1244" s="46"/>
      <c r="AA1244" s="46"/>
      <c r="AB1244" s="49"/>
      <c r="AC1244" s="42"/>
      <c r="AD1244" s="42"/>
      <c r="AE1244" s="50"/>
      <c r="AF1244" s="42"/>
      <c r="AG1244" s="42"/>
      <c r="AH1244" s="42"/>
      <c r="AI1244" s="42" t="str">
        <f t="array" ref="AI1244">XLOOKUP($E1244,Sheet11!$D:$D,Sheet11!$X:$X,"",0)</f>
        <v/>
      </c>
      <c r="AJ1244" s="42" t="str">
        <f t="array" ref="AJ1244">XLOOKUP($E1244,Sheet11!$D:$D,Sheet11!$Y:$Y,"",0)</f>
        <v/>
      </c>
    </row>
    <row r="1245">
      <c r="A1245" s="23"/>
      <c r="B1245" s="42"/>
      <c r="C1245" s="42"/>
      <c r="D1245" s="42"/>
      <c r="E1245" s="42"/>
      <c r="F1245" s="42"/>
      <c r="G1245" s="42"/>
      <c r="H1245" s="42"/>
      <c r="I1245" s="42"/>
      <c r="J1245" s="42"/>
      <c r="K1245" s="42"/>
      <c r="L1245" s="46"/>
      <c r="M1245" s="46"/>
      <c r="N1245" s="46"/>
      <c r="O1245" s="61"/>
      <c r="P1245" s="62"/>
      <c r="Q1245" s="46"/>
      <c r="R1245" s="47"/>
      <c r="S1245" s="62"/>
      <c r="T1245" s="62"/>
      <c r="U1245" s="46"/>
      <c r="V1245" s="61"/>
      <c r="W1245" s="62"/>
      <c r="X1245" s="47"/>
      <c r="Y1245" s="46"/>
      <c r="Z1245" s="46"/>
      <c r="AA1245" s="46"/>
      <c r="AB1245" s="49"/>
      <c r="AC1245" s="42"/>
      <c r="AD1245" s="42"/>
      <c r="AE1245" s="50"/>
      <c r="AF1245" s="42"/>
      <c r="AG1245" s="42"/>
      <c r="AH1245" s="42"/>
      <c r="AI1245" s="42" t="str">
        <f t="array" ref="AI1245">XLOOKUP($E1245,Sheet11!$D:$D,Sheet11!$X:$X,"",0)</f>
        <v/>
      </c>
      <c r="AJ1245" s="42" t="str">
        <f t="array" ref="AJ1245">XLOOKUP($E1245,Sheet11!$D:$D,Sheet11!$Y:$Y,"",0)</f>
        <v/>
      </c>
    </row>
    <row r="1246">
      <c r="A1246" s="23"/>
      <c r="B1246" s="42"/>
      <c r="C1246" s="42"/>
      <c r="D1246" s="42"/>
      <c r="E1246" s="42"/>
      <c r="F1246" s="42"/>
      <c r="G1246" s="42"/>
      <c r="H1246" s="42"/>
      <c r="I1246" s="42"/>
      <c r="J1246" s="42"/>
      <c r="K1246" s="42"/>
      <c r="L1246" s="46"/>
      <c r="M1246" s="46"/>
      <c r="N1246" s="46"/>
      <c r="O1246" s="61"/>
      <c r="P1246" s="62"/>
      <c r="Q1246" s="46"/>
      <c r="R1246" s="47"/>
      <c r="S1246" s="62"/>
      <c r="T1246" s="62"/>
      <c r="U1246" s="46"/>
      <c r="V1246" s="61"/>
      <c r="W1246" s="62"/>
      <c r="X1246" s="47"/>
      <c r="Y1246" s="46"/>
      <c r="Z1246" s="46"/>
      <c r="AA1246" s="46"/>
      <c r="AB1246" s="49"/>
      <c r="AC1246" s="42"/>
      <c r="AD1246" s="42"/>
      <c r="AE1246" s="50"/>
      <c r="AF1246" s="42"/>
      <c r="AG1246" s="42"/>
      <c r="AH1246" s="42"/>
      <c r="AI1246" s="42" t="str">
        <f t="array" ref="AI1246">XLOOKUP($E1246,Sheet11!$D:$D,Sheet11!$X:$X,"",0)</f>
        <v/>
      </c>
      <c r="AJ1246" s="42" t="str">
        <f t="array" ref="AJ1246">XLOOKUP($E1246,Sheet11!$D:$D,Sheet11!$Y:$Y,"",0)</f>
        <v/>
      </c>
    </row>
    <row r="1247">
      <c r="A1247" s="23"/>
      <c r="B1247" s="42"/>
      <c r="C1247" s="42"/>
      <c r="D1247" s="42"/>
      <c r="E1247" s="42"/>
      <c r="F1247" s="42"/>
      <c r="G1247" s="42"/>
      <c r="H1247" s="42"/>
      <c r="I1247" s="42"/>
      <c r="J1247" s="42"/>
      <c r="K1247" s="42"/>
      <c r="L1247" s="46"/>
      <c r="M1247" s="46"/>
      <c r="N1247" s="46"/>
      <c r="O1247" s="61"/>
      <c r="P1247" s="62"/>
      <c r="Q1247" s="46"/>
      <c r="R1247" s="47"/>
      <c r="S1247" s="62"/>
      <c r="T1247" s="62"/>
      <c r="U1247" s="46"/>
      <c r="V1247" s="61"/>
      <c r="W1247" s="62"/>
      <c r="X1247" s="47"/>
      <c r="Y1247" s="46"/>
      <c r="Z1247" s="46"/>
      <c r="AA1247" s="46"/>
      <c r="AB1247" s="49"/>
      <c r="AC1247" s="42"/>
      <c r="AD1247" s="42"/>
      <c r="AE1247" s="50"/>
      <c r="AF1247" s="42"/>
      <c r="AG1247" s="42"/>
      <c r="AH1247" s="42"/>
      <c r="AI1247" s="42" t="str">
        <f t="array" ref="AI1247">XLOOKUP($E1247,Sheet11!$D:$D,Sheet11!$X:$X,"",0)</f>
        <v/>
      </c>
      <c r="AJ1247" s="42" t="str">
        <f t="array" ref="AJ1247">XLOOKUP($E1247,Sheet11!$D:$D,Sheet11!$Y:$Y,"",0)</f>
        <v/>
      </c>
    </row>
    <row r="1248">
      <c r="A1248" s="23"/>
      <c r="B1248" s="42"/>
      <c r="C1248" s="42"/>
      <c r="D1248" s="42"/>
      <c r="E1248" s="42"/>
      <c r="F1248" s="42"/>
      <c r="G1248" s="42"/>
      <c r="H1248" s="42"/>
      <c r="I1248" s="42"/>
      <c r="J1248" s="42"/>
      <c r="K1248" s="42"/>
      <c r="L1248" s="46"/>
      <c r="M1248" s="46"/>
      <c r="N1248" s="46"/>
      <c r="O1248" s="61"/>
      <c r="P1248" s="62"/>
      <c r="Q1248" s="46"/>
      <c r="R1248" s="47"/>
      <c r="S1248" s="62"/>
      <c r="T1248" s="62"/>
      <c r="U1248" s="46"/>
      <c r="V1248" s="61"/>
      <c r="W1248" s="62"/>
      <c r="X1248" s="47"/>
      <c r="Y1248" s="46"/>
      <c r="Z1248" s="46"/>
      <c r="AA1248" s="46"/>
      <c r="AB1248" s="49"/>
      <c r="AC1248" s="42"/>
      <c r="AD1248" s="42"/>
      <c r="AE1248" s="50"/>
      <c r="AF1248" s="42"/>
      <c r="AG1248" s="42"/>
      <c r="AH1248" s="42"/>
      <c r="AI1248" s="42" t="str">
        <f t="array" ref="AI1248">XLOOKUP($E1248,Sheet11!$D:$D,Sheet11!$X:$X,"",0)</f>
        <v/>
      </c>
      <c r="AJ1248" s="42" t="str">
        <f t="array" ref="AJ1248">XLOOKUP($E1248,Sheet11!$D:$D,Sheet11!$Y:$Y,"",0)</f>
        <v/>
      </c>
    </row>
    <row r="1249">
      <c r="A1249" s="23"/>
      <c r="B1249" s="42"/>
      <c r="C1249" s="42"/>
      <c r="D1249" s="42"/>
      <c r="E1249" s="42"/>
      <c r="F1249" s="42"/>
      <c r="G1249" s="42"/>
      <c r="H1249" s="42"/>
      <c r="I1249" s="42"/>
      <c r="J1249" s="42"/>
      <c r="K1249" s="42"/>
      <c r="L1249" s="46"/>
      <c r="M1249" s="46"/>
      <c r="N1249" s="46"/>
      <c r="O1249" s="61"/>
      <c r="P1249" s="62"/>
      <c r="Q1249" s="46"/>
      <c r="R1249" s="47"/>
      <c r="S1249" s="62"/>
      <c r="T1249" s="62"/>
      <c r="U1249" s="46"/>
      <c r="V1249" s="61"/>
      <c r="W1249" s="62"/>
      <c r="X1249" s="47"/>
      <c r="Y1249" s="46"/>
      <c r="Z1249" s="46"/>
      <c r="AA1249" s="46"/>
      <c r="AB1249" s="49"/>
      <c r="AC1249" s="42"/>
      <c r="AD1249" s="42"/>
      <c r="AE1249" s="50"/>
      <c r="AF1249" s="42"/>
      <c r="AG1249" s="42"/>
      <c r="AH1249" s="42"/>
      <c r="AI1249" s="42" t="str">
        <f t="array" ref="AI1249">XLOOKUP($E1249,Sheet11!$D:$D,Sheet11!$X:$X,"",0)</f>
        <v/>
      </c>
      <c r="AJ1249" s="42" t="str">
        <f t="array" ref="AJ1249">XLOOKUP($E1249,Sheet11!$D:$D,Sheet11!$Y:$Y,"",0)</f>
        <v/>
      </c>
    </row>
    <row r="1250">
      <c r="A1250" s="23"/>
      <c r="B1250" s="42"/>
      <c r="C1250" s="42"/>
      <c r="D1250" s="42"/>
      <c r="E1250" s="42"/>
      <c r="F1250" s="42"/>
      <c r="G1250" s="42"/>
      <c r="H1250" s="42"/>
      <c r="I1250" s="42"/>
      <c r="J1250" s="42"/>
      <c r="K1250" s="42"/>
      <c r="L1250" s="46"/>
      <c r="M1250" s="46"/>
      <c r="N1250" s="46"/>
      <c r="O1250" s="61"/>
      <c r="P1250" s="62"/>
      <c r="Q1250" s="46"/>
      <c r="R1250" s="47"/>
      <c r="S1250" s="62"/>
      <c r="T1250" s="62"/>
      <c r="U1250" s="46"/>
      <c r="V1250" s="61"/>
      <c r="W1250" s="62"/>
      <c r="X1250" s="47"/>
      <c r="Y1250" s="46"/>
      <c r="Z1250" s="46"/>
      <c r="AA1250" s="46"/>
      <c r="AB1250" s="49"/>
      <c r="AC1250" s="42"/>
      <c r="AD1250" s="42"/>
      <c r="AE1250" s="50"/>
      <c r="AF1250" s="42"/>
      <c r="AG1250" s="42"/>
      <c r="AH1250" s="42"/>
      <c r="AI1250" s="42" t="str">
        <f t="array" ref="AI1250">XLOOKUP($E1250,Sheet11!$D:$D,Sheet11!$X:$X,"",0)</f>
        <v/>
      </c>
      <c r="AJ1250" s="42" t="str">
        <f t="array" ref="AJ1250">XLOOKUP($E1250,Sheet11!$D:$D,Sheet11!$Y:$Y,"",0)</f>
        <v/>
      </c>
    </row>
    <row r="1251">
      <c r="A1251" s="23"/>
      <c r="B1251" s="42"/>
      <c r="C1251" s="42"/>
      <c r="D1251" s="42"/>
      <c r="E1251" s="42"/>
      <c r="F1251" s="42"/>
      <c r="G1251" s="42"/>
      <c r="H1251" s="42"/>
      <c r="I1251" s="42"/>
      <c r="J1251" s="42"/>
      <c r="K1251" s="42"/>
      <c r="L1251" s="46"/>
      <c r="M1251" s="46"/>
      <c r="N1251" s="46"/>
      <c r="O1251" s="61"/>
      <c r="P1251" s="62"/>
      <c r="Q1251" s="46"/>
      <c r="R1251" s="47"/>
      <c r="S1251" s="62"/>
      <c r="T1251" s="62"/>
      <c r="U1251" s="46"/>
      <c r="V1251" s="61"/>
      <c r="W1251" s="62"/>
      <c r="X1251" s="47"/>
      <c r="Y1251" s="46"/>
      <c r="Z1251" s="46"/>
      <c r="AA1251" s="46"/>
      <c r="AB1251" s="49"/>
      <c r="AC1251" s="42"/>
      <c r="AD1251" s="42"/>
      <c r="AE1251" s="50"/>
      <c r="AF1251" s="42"/>
      <c r="AG1251" s="42"/>
      <c r="AH1251" s="42"/>
      <c r="AI1251" s="42" t="str">
        <f t="array" ref="AI1251">XLOOKUP($E1251,Sheet11!$D:$D,Sheet11!$X:$X,"",0)</f>
        <v/>
      </c>
      <c r="AJ1251" s="42" t="str">
        <f t="array" ref="AJ1251">XLOOKUP($E1251,Sheet11!$D:$D,Sheet11!$Y:$Y,"",0)</f>
        <v/>
      </c>
    </row>
    <row r="1252">
      <c r="A1252" s="23"/>
      <c r="B1252" s="42"/>
      <c r="C1252" s="42"/>
      <c r="D1252" s="42"/>
      <c r="E1252" s="42"/>
      <c r="F1252" s="42"/>
      <c r="G1252" s="42"/>
      <c r="H1252" s="42"/>
      <c r="I1252" s="42"/>
      <c r="J1252" s="42"/>
      <c r="K1252" s="42"/>
      <c r="L1252" s="46"/>
      <c r="M1252" s="46"/>
      <c r="N1252" s="46"/>
      <c r="O1252" s="61"/>
      <c r="P1252" s="62"/>
      <c r="Q1252" s="46"/>
      <c r="R1252" s="47"/>
      <c r="S1252" s="62"/>
      <c r="T1252" s="62"/>
      <c r="U1252" s="46"/>
      <c r="V1252" s="61"/>
      <c r="W1252" s="62"/>
      <c r="X1252" s="47"/>
      <c r="Y1252" s="46"/>
      <c r="Z1252" s="46"/>
      <c r="AA1252" s="46"/>
      <c r="AB1252" s="49"/>
      <c r="AC1252" s="42"/>
      <c r="AD1252" s="42"/>
      <c r="AE1252" s="50"/>
      <c r="AF1252" s="42"/>
      <c r="AG1252" s="42"/>
      <c r="AH1252" s="42"/>
      <c r="AI1252" s="42" t="str">
        <f t="array" ref="AI1252">XLOOKUP($E1252,Sheet11!$D:$D,Sheet11!$X:$X,"",0)</f>
        <v/>
      </c>
      <c r="AJ1252" s="42" t="str">
        <f t="array" ref="AJ1252">XLOOKUP($E1252,Sheet11!$D:$D,Sheet11!$Y:$Y,"",0)</f>
        <v/>
      </c>
    </row>
    <row r="1253">
      <c r="A1253" s="23"/>
      <c r="B1253" s="42"/>
      <c r="C1253" s="42"/>
      <c r="D1253" s="42"/>
      <c r="E1253" s="42"/>
      <c r="F1253" s="42"/>
      <c r="G1253" s="42"/>
      <c r="H1253" s="42"/>
      <c r="I1253" s="42"/>
      <c r="J1253" s="42"/>
      <c r="K1253" s="42"/>
      <c r="L1253" s="46"/>
      <c r="M1253" s="46"/>
      <c r="N1253" s="46"/>
      <c r="O1253" s="61"/>
      <c r="P1253" s="62"/>
      <c r="Q1253" s="46"/>
      <c r="R1253" s="47"/>
      <c r="S1253" s="62"/>
      <c r="T1253" s="62"/>
      <c r="U1253" s="46"/>
      <c r="V1253" s="61"/>
      <c r="W1253" s="62"/>
      <c r="X1253" s="47"/>
      <c r="Y1253" s="46"/>
      <c r="Z1253" s="46"/>
      <c r="AA1253" s="46"/>
      <c r="AB1253" s="49"/>
      <c r="AC1253" s="42"/>
      <c r="AD1253" s="42"/>
      <c r="AE1253" s="50"/>
      <c r="AF1253" s="42"/>
      <c r="AG1253" s="42"/>
      <c r="AH1253" s="42"/>
      <c r="AI1253" s="42" t="str">
        <f t="array" ref="AI1253">XLOOKUP($E1253,Sheet11!$D:$D,Sheet11!$X:$X,"",0)</f>
        <v/>
      </c>
      <c r="AJ1253" s="42" t="str">
        <f t="array" ref="AJ1253">XLOOKUP($E1253,Sheet11!$D:$D,Sheet11!$Y:$Y,"",0)</f>
        <v/>
      </c>
    </row>
    <row r="1254">
      <c r="A1254" s="23"/>
      <c r="B1254" s="42"/>
      <c r="C1254" s="42"/>
      <c r="D1254" s="42"/>
      <c r="E1254" s="42"/>
      <c r="F1254" s="42"/>
      <c r="G1254" s="42"/>
      <c r="H1254" s="42"/>
      <c r="I1254" s="42"/>
      <c r="J1254" s="42"/>
      <c r="K1254" s="42"/>
      <c r="L1254" s="46"/>
      <c r="M1254" s="46"/>
      <c r="N1254" s="46"/>
      <c r="O1254" s="61"/>
      <c r="P1254" s="62"/>
      <c r="Q1254" s="46"/>
      <c r="R1254" s="47"/>
      <c r="S1254" s="62"/>
      <c r="T1254" s="62"/>
      <c r="U1254" s="46"/>
      <c r="V1254" s="61"/>
      <c r="W1254" s="62"/>
      <c r="X1254" s="47"/>
      <c r="Y1254" s="46"/>
      <c r="Z1254" s="46"/>
      <c r="AA1254" s="46"/>
      <c r="AB1254" s="49"/>
      <c r="AC1254" s="42"/>
      <c r="AD1254" s="42"/>
      <c r="AE1254" s="50"/>
      <c r="AF1254" s="42"/>
      <c r="AG1254" s="42"/>
      <c r="AH1254" s="42"/>
      <c r="AI1254" s="42" t="str">
        <f t="array" ref="AI1254">XLOOKUP($E1254,Sheet11!$D:$D,Sheet11!$X:$X,"",0)</f>
        <v/>
      </c>
      <c r="AJ1254" s="42" t="str">
        <f t="array" ref="AJ1254">XLOOKUP($E1254,Sheet11!$D:$D,Sheet11!$Y:$Y,"",0)</f>
        <v/>
      </c>
    </row>
    <row r="1255">
      <c r="A1255" s="23"/>
      <c r="B1255" s="42"/>
      <c r="C1255" s="42"/>
      <c r="D1255" s="42"/>
      <c r="E1255" s="42"/>
      <c r="F1255" s="42"/>
      <c r="G1255" s="42"/>
      <c r="H1255" s="42"/>
      <c r="I1255" s="42"/>
      <c r="J1255" s="42"/>
      <c r="K1255" s="42"/>
      <c r="L1255" s="46"/>
      <c r="M1255" s="46"/>
      <c r="N1255" s="46"/>
      <c r="O1255" s="61"/>
      <c r="P1255" s="62"/>
      <c r="Q1255" s="46"/>
      <c r="R1255" s="47"/>
      <c r="S1255" s="62"/>
      <c r="T1255" s="62"/>
      <c r="U1255" s="46"/>
      <c r="V1255" s="61"/>
      <c r="W1255" s="62"/>
      <c r="X1255" s="47"/>
      <c r="Y1255" s="46"/>
      <c r="Z1255" s="46"/>
      <c r="AA1255" s="46"/>
      <c r="AB1255" s="49"/>
      <c r="AC1255" s="42"/>
      <c r="AD1255" s="42"/>
      <c r="AE1255" s="50"/>
      <c r="AF1255" s="42"/>
      <c r="AG1255" s="42"/>
      <c r="AH1255" s="42"/>
      <c r="AI1255" s="42" t="str">
        <f t="array" ref="AI1255">XLOOKUP($E1255,Sheet11!$D:$D,Sheet11!$X:$X,"",0)</f>
        <v/>
      </c>
      <c r="AJ1255" s="42" t="str">
        <f t="array" ref="AJ1255">XLOOKUP($E1255,Sheet11!$D:$D,Sheet11!$Y:$Y,"",0)</f>
        <v/>
      </c>
    </row>
    <row r="1256">
      <c r="A1256" s="23"/>
      <c r="B1256" s="42"/>
      <c r="C1256" s="42"/>
      <c r="D1256" s="42"/>
      <c r="E1256" s="42"/>
      <c r="F1256" s="42"/>
      <c r="G1256" s="42"/>
      <c r="H1256" s="42"/>
      <c r="I1256" s="42"/>
      <c r="J1256" s="42"/>
      <c r="K1256" s="42"/>
      <c r="L1256" s="46"/>
      <c r="M1256" s="46"/>
      <c r="N1256" s="46"/>
      <c r="O1256" s="61"/>
      <c r="P1256" s="62"/>
      <c r="Q1256" s="46"/>
      <c r="R1256" s="47"/>
      <c r="S1256" s="62"/>
      <c r="T1256" s="62"/>
      <c r="U1256" s="46"/>
      <c r="V1256" s="61"/>
      <c r="W1256" s="62"/>
      <c r="X1256" s="47"/>
      <c r="Y1256" s="46"/>
      <c r="Z1256" s="46"/>
      <c r="AA1256" s="46"/>
      <c r="AB1256" s="49"/>
      <c r="AC1256" s="42"/>
      <c r="AD1256" s="42"/>
      <c r="AE1256" s="50"/>
      <c r="AF1256" s="42"/>
      <c r="AG1256" s="42"/>
      <c r="AH1256" s="42"/>
      <c r="AI1256" s="42" t="str">
        <f t="array" ref="AI1256">XLOOKUP($E1256,Sheet11!$D:$D,Sheet11!$X:$X,"",0)</f>
        <v/>
      </c>
      <c r="AJ1256" s="42" t="str">
        <f t="array" ref="AJ1256">XLOOKUP($E1256,Sheet11!$D:$D,Sheet11!$Y:$Y,"",0)</f>
        <v/>
      </c>
    </row>
    <row r="1257">
      <c r="A1257" s="23"/>
      <c r="B1257" s="42"/>
      <c r="C1257" s="42"/>
      <c r="D1257" s="42"/>
      <c r="E1257" s="42"/>
      <c r="F1257" s="42"/>
      <c r="G1257" s="42"/>
      <c r="H1257" s="42"/>
      <c r="I1257" s="42"/>
      <c r="J1257" s="42"/>
      <c r="K1257" s="42"/>
      <c r="L1257" s="46"/>
      <c r="M1257" s="46"/>
      <c r="N1257" s="46"/>
      <c r="O1257" s="61"/>
      <c r="P1257" s="62"/>
      <c r="Q1257" s="46"/>
      <c r="R1257" s="47"/>
      <c r="S1257" s="62"/>
      <c r="T1257" s="62"/>
      <c r="U1257" s="46"/>
      <c r="V1257" s="61"/>
      <c r="W1257" s="62"/>
      <c r="X1257" s="47"/>
      <c r="Y1257" s="46"/>
      <c r="Z1257" s="46"/>
      <c r="AA1257" s="46"/>
      <c r="AB1257" s="49"/>
      <c r="AC1257" s="42"/>
      <c r="AD1257" s="42"/>
      <c r="AE1257" s="50"/>
      <c r="AF1257" s="42"/>
      <c r="AG1257" s="42"/>
      <c r="AH1257" s="42"/>
      <c r="AI1257" s="42" t="str">
        <f t="array" ref="AI1257">XLOOKUP($E1257,Sheet11!$D:$D,Sheet11!$X:$X,"",0)</f>
        <v/>
      </c>
      <c r="AJ1257" s="42" t="str">
        <f t="array" ref="AJ1257">XLOOKUP($E1257,Sheet11!$D:$D,Sheet11!$Y:$Y,"",0)</f>
        <v/>
      </c>
    </row>
    <row r="1258">
      <c r="A1258" s="23"/>
      <c r="B1258" s="42"/>
      <c r="C1258" s="42"/>
      <c r="D1258" s="42"/>
      <c r="E1258" s="42"/>
      <c r="F1258" s="42"/>
      <c r="G1258" s="42"/>
      <c r="H1258" s="42"/>
      <c r="I1258" s="42"/>
      <c r="J1258" s="42"/>
      <c r="K1258" s="42"/>
      <c r="L1258" s="46"/>
      <c r="M1258" s="46"/>
      <c r="N1258" s="46"/>
      <c r="O1258" s="61"/>
      <c r="P1258" s="62"/>
      <c r="Q1258" s="46"/>
      <c r="R1258" s="47"/>
      <c r="S1258" s="62"/>
      <c r="T1258" s="62"/>
      <c r="U1258" s="46"/>
      <c r="V1258" s="61"/>
      <c r="W1258" s="62"/>
      <c r="X1258" s="47"/>
      <c r="Y1258" s="46"/>
      <c r="Z1258" s="46"/>
      <c r="AA1258" s="46"/>
      <c r="AB1258" s="49"/>
      <c r="AC1258" s="42"/>
      <c r="AD1258" s="42"/>
      <c r="AE1258" s="50"/>
      <c r="AF1258" s="42"/>
      <c r="AG1258" s="42"/>
      <c r="AH1258" s="42"/>
      <c r="AI1258" s="42" t="str">
        <f t="array" ref="AI1258">XLOOKUP($E1258,Sheet11!$D:$D,Sheet11!$X:$X,"",0)</f>
        <v/>
      </c>
      <c r="AJ1258" s="42" t="str">
        <f t="array" ref="AJ1258">XLOOKUP($E1258,Sheet11!$D:$D,Sheet11!$Y:$Y,"",0)</f>
        <v/>
      </c>
    </row>
    <row r="1259">
      <c r="A1259" s="23"/>
      <c r="B1259" s="42"/>
      <c r="C1259" s="42"/>
      <c r="D1259" s="42"/>
      <c r="E1259" s="42"/>
      <c r="F1259" s="42"/>
      <c r="G1259" s="42"/>
      <c r="H1259" s="42"/>
      <c r="I1259" s="42"/>
      <c r="J1259" s="42"/>
      <c r="K1259" s="42"/>
      <c r="L1259" s="46"/>
      <c r="M1259" s="46"/>
      <c r="N1259" s="46"/>
      <c r="O1259" s="61"/>
      <c r="P1259" s="62"/>
      <c r="Q1259" s="46"/>
      <c r="R1259" s="47"/>
      <c r="S1259" s="62"/>
      <c r="T1259" s="62"/>
      <c r="U1259" s="46"/>
      <c r="V1259" s="61"/>
      <c r="W1259" s="62"/>
      <c r="X1259" s="47"/>
      <c r="Y1259" s="46"/>
      <c r="Z1259" s="46"/>
      <c r="AA1259" s="46"/>
      <c r="AB1259" s="49"/>
      <c r="AC1259" s="42"/>
      <c r="AD1259" s="42"/>
      <c r="AE1259" s="50"/>
      <c r="AF1259" s="42"/>
      <c r="AG1259" s="42"/>
      <c r="AH1259" s="42"/>
      <c r="AI1259" s="42" t="str">
        <f t="array" ref="AI1259">XLOOKUP($E1259,Sheet11!$D:$D,Sheet11!$X:$X,"",0)</f>
        <v/>
      </c>
      <c r="AJ1259" s="42" t="str">
        <f t="array" ref="AJ1259">XLOOKUP($E1259,Sheet11!$D:$D,Sheet11!$Y:$Y,"",0)</f>
        <v/>
      </c>
    </row>
    <row r="1260">
      <c r="A1260" s="23"/>
      <c r="B1260" s="42"/>
      <c r="C1260" s="42"/>
      <c r="D1260" s="42"/>
      <c r="E1260" s="42"/>
      <c r="F1260" s="42"/>
      <c r="G1260" s="42"/>
      <c r="H1260" s="42"/>
      <c r="I1260" s="42"/>
      <c r="J1260" s="42"/>
      <c r="K1260" s="42"/>
      <c r="L1260" s="46"/>
      <c r="M1260" s="46"/>
      <c r="N1260" s="46"/>
      <c r="O1260" s="61"/>
      <c r="P1260" s="62"/>
      <c r="Q1260" s="46"/>
      <c r="R1260" s="47"/>
      <c r="S1260" s="62"/>
      <c r="T1260" s="62"/>
      <c r="U1260" s="46"/>
      <c r="V1260" s="61"/>
      <c r="W1260" s="62"/>
      <c r="X1260" s="47"/>
      <c r="Y1260" s="46"/>
      <c r="Z1260" s="46"/>
      <c r="AA1260" s="46"/>
      <c r="AB1260" s="49"/>
      <c r="AC1260" s="42"/>
      <c r="AD1260" s="42"/>
      <c r="AE1260" s="50"/>
      <c r="AF1260" s="42"/>
      <c r="AG1260" s="42"/>
      <c r="AH1260" s="42"/>
      <c r="AI1260" s="42" t="str">
        <f t="array" ref="AI1260">XLOOKUP($E1260,Sheet11!$D:$D,Sheet11!$X:$X,"",0)</f>
        <v/>
      </c>
      <c r="AJ1260" s="42" t="str">
        <f t="array" ref="AJ1260">XLOOKUP($E1260,Sheet11!$D:$D,Sheet11!$Y:$Y,"",0)</f>
        <v/>
      </c>
    </row>
    <row r="1261">
      <c r="A1261" s="23"/>
      <c r="B1261" s="42"/>
      <c r="C1261" s="42"/>
      <c r="D1261" s="42"/>
      <c r="E1261" s="42"/>
      <c r="F1261" s="42"/>
      <c r="G1261" s="42"/>
      <c r="H1261" s="42"/>
      <c r="I1261" s="42"/>
      <c r="J1261" s="42"/>
      <c r="K1261" s="42"/>
      <c r="L1261" s="46"/>
      <c r="M1261" s="46"/>
      <c r="N1261" s="46"/>
      <c r="O1261" s="61"/>
      <c r="P1261" s="62"/>
      <c r="Q1261" s="46"/>
      <c r="R1261" s="47"/>
      <c r="S1261" s="62"/>
      <c r="T1261" s="62"/>
      <c r="U1261" s="46"/>
      <c r="V1261" s="61"/>
      <c r="W1261" s="62"/>
      <c r="X1261" s="47"/>
      <c r="Y1261" s="46"/>
      <c r="Z1261" s="46"/>
      <c r="AA1261" s="46"/>
      <c r="AB1261" s="49"/>
      <c r="AC1261" s="42"/>
      <c r="AD1261" s="42"/>
      <c r="AE1261" s="50"/>
      <c r="AF1261" s="42"/>
      <c r="AG1261" s="42"/>
      <c r="AH1261" s="42"/>
      <c r="AI1261" s="42" t="str">
        <f t="array" ref="AI1261">XLOOKUP($E1261,Sheet11!$D:$D,Sheet11!$X:$X,"",0)</f>
        <v/>
      </c>
      <c r="AJ1261" s="42" t="str">
        <f t="array" ref="AJ1261">XLOOKUP($E1261,Sheet11!$D:$D,Sheet11!$Y:$Y,"",0)</f>
        <v/>
      </c>
    </row>
    <row r="1262">
      <c r="A1262" s="23"/>
      <c r="B1262" s="42"/>
      <c r="C1262" s="42"/>
      <c r="D1262" s="42"/>
      <c r="E1262" s="42"/>
      <c r="F1262" s="42"/>
      <c r="G1262" s="42"/>
      <c r="H1262" s="42"/>
      <c r="I1262" s="42"/>
      <c r="J1262" s="42"/>
      <c r="K1262" s="42"/>
      <c r="L1262" s="46"/>
      <c r="M1262" s="46"/>
      <c r="N1262" s="46"/>
      <c r="O1262" s="61"/>
      <c r="P1262" s="62"/>
      <c r="Q1262" s="46"/>
      <c r="R1262" s="47"/>
      <c r="S1262" s="62"/>
      <c r="T1262" s="62"/>
      <c r="U1262" s="46"/>
      <c r="V1262" s="61"/>
      <c r="W1262" s="62"/>
      <c r="X1262" s="47"/>
      <c r="Y1262" s="46"/>
      <c r="Z1262" s="46"/>
      <c r="AA1262" s="46"/>
      <c r="AB1262" s="49"/>
      <c r="AC1262" s="42"/>
      <c r="AD1262" s="42"/>
      <c r="AE1262" s="50"/>
      <c r="AF1262" s="42"/>
      <c r="AG1262" s="42"/>
      <c r="AH1262" s="42"/>
      <c r="AI1262" s="42" t="str">
        <f t="array" ref="AI1262">XLOOKUP($E1262,Sheet11!$D:$D,Sheet11!$X:$X,"",0)</f>
        <v/>
      </c>
      <c r="AJ1262" s="42" t="str">
        <f t="array" ref="AJ1262">XLOOKUP($E1262,Sheet11!$D:$D,Sheet11!$Y:$Y,"",0)</f>
        <v/>
      </c>
    </row>
    <row r="1263">
      <c r="A1263" s="23"/>
      <c r="B1263" s="42"/>
      <c r="C1263" s="42"/>
      <c r="D1263" s="42"/>
      <c r="E1263" s="42"/>
      <c r="F1263" s="42"/>
      <c r="G1263" s="42"/>
      <c r="H1263" s="42"/>
      <c r="I1263" s="42"/>
      <c r="J1263" s="42"/>
      <c r="K1263" s="42"/>
      <c r="L1263" s="46"/>
      <c r="M1263" s="46"/>
      <c r="N1263" s="46"/>
      <c r="O1263" s="61"/>
      <c r="P1263" s="62"/>
      <c r="Q1263" s="46"/>
      <c r="R1263" s="47"/>
      <c r="S1263" s="62"/>
      <c r="T1263" s="62"/>
      <c r="U1263" s="46"/>
      <c r="V1263" s="61"/>
      <c r="W1263" s="62"/>
      <c r="X1263" s="47"/>
      <c r="Y1263" s="46"/>
      <c r="Z1263" s="46"/>
      <c r="AA1263" s="46"/>
      <c r="AB1263" s="49"/>
      <c r="AC1263" s="42"/>
      <c r="AD1263" s="42"/>
      <c r="AE1263" s="50"/>
      <c r="AF1263" s="42"/>
      <c r="AG1263" s="42"/>
      <c r="AH1263" s="42"/>
      <c r="AI1263" s="42" t="str">
        <f t="array" ref="AI1263">XLOOKUP($E1263,Sheet11!$D:$D,Sheet11!$X:$X,"",0)</f>
        <v/>
      </c>
      <c r="AJ1263" s="42" t="str">
        <f t="array" ref="AJ1263">XLOOKUP($E1263,Sheet11!$D:$D,Sheet11!$Y:$Y,"",0)</f>
        <v/>
      </c>
    </row>
    <row r="1264">
      <c r="A1264" s="23"/>
      <c r="B1264" s="42"/>
      <c r="C1264" s="42"/>
      <c r="D1264" s="42"/>
      <c r="E1264" s="42"/>
      <c r="F1264" s="42"/>
      <c r="G1264" s="42"/>
      <c r="H1264" s="42"/>
      <c r="I1264" s="42"/>
      <c r="J1264" s="42"/>
      <c r="K1264" s="42"/>
      <c r="L1264" s="46"/>
      <c r="M1264" s="46"/>
      <c r="N1264" s="46"/>
      <c r="O1264" s="61"/>
      <c r="P1264" s="62"/>
      <c r="Q1264" s="46"/>
      <c r="R1264" s="47"/>
      <c r="S1264" s="62"/>
      <c r="T1264" s="62"/>
      <c r="U1264" s="46"/>
      <c r="V1264" s="61"/>
      <c r="W1264" s="62"/>
      <c r="X1264" s="47"/>
      <c r="Y1264" s="46"/>
      <c r="Z1264" s="46"/>
      <c r="AA1264" s="46"/>
      <c r="AB1264" s="49"/>
      <c r="AC1264" s="42"/>
      <c r="AD1264" s="42"/>
      <c r="AE1264" s="50"/>
      <c r="AF1264" s="42"/>
      <c r="AG1264" s="42"/>
      <c r="AH1264" s="42"/>
      <c r="AI1264" s="42" t="str">
        <f t="array" ref="AI1264">XLOOKUP($E1264,Sheet11!$D:$D,Sheet11!$X:$X,"",0)</f>
        <v/>
      </c>
      <c r="AJ1264" s="42" t="str">
        <f t="array" ref="AJ1264">XLOOKUP($E1264,Sheet11!$D:$D,Sheet11!$Y:$Y,"",0)</f>
        <v/>
      </c>
    </row>
    <row r="1265">
      <c r="A1265" s="23"/>
      <c r="B1265" s="42"/>
      <c r="C1265" s="42"/>
      <c r="D1265" s="42"/>
      <c r="E1265" s="42"/>
      <c r="F1265" s="42"/>
      <c r="G1265" s="42"/>
      <c r="H1265" s="42"/>
      <c r="I1265" s="42"/>
      <c r="J1265" s="42"/>
      <c r="K1265" s="42"/>
      <c r="L1265" s="46"/>
      <c r="M1265" s="46"/>
      <c r="N1265" s="46"/>
      <c r="O1265" s="61"/>
      <c r="P1265" s="62"/>
      <c r="Q1265" s="46"/>
      <c r="R1265" s="47"/>
      <c r="S1265" s="62"/>
      <c r="T1265" s="62"/>
      <c r="U1265" s="46"/>
      <c r="V1265" s="61"/>
      <c r="W1265" s="62"/>
      <c r="X1265" s="47"/>
      <c r="Y1265" s="46"/>
      <c r="Z1265" s="46"/>
      <c r="AA1265" s="46"/>
      <c r="AB1265" s="49"/>
      <c r="AC1265" s="42"/>
      <c r="AD1265" s="42"/>
      <c r="AE1265" s="50"/>
      <c r="AF1265" s="42"/>
      <c r="AG1265" s="42"/>
      <c r="AH1265" s="42"/>
      <c r="AI1265" s="42" t="str">
        <f t="array" ref="AI1265">XLOOKUP($E1265,Sheet11!$D:$D,Sheet11!$X:$X,"",0)</f>
        <v/>
      </c>
      <c r="AJ1265" s="42" t="str">
        <f t="array" ref="AJ1265">XLOOKUP($E1265,Sheet11!$D:$D,Sheet11!$Y:$Y,"",0)</f>
        <v/>
      </c>
    </row>
    <row r="1266">
      <c r="A1266" s="23"/>
      <c r="B1266" s="42"/>
      <c r="C1266" s="42"/>
      <c r="D1266" s="42"/>
      <c r="E1266" s="42"/>
      <c r="F1266" s="42"/>
      <c r="G1266" s="42"/>
      <c r="H1266" s="42"/>
      <c r="I1266" s="42"/>
      <c r="J1266" s="42"/>
      <c r="K1266" s="42"/>
      <c r="L1266" s="46"/>
      <c r="M1266" s="46"/>
      <c r="N1266" s="46"/>
      <c r="O1266" s="61"/>
      <c r="P1266" s="62"/>
      <c r="Q1266" s="46"/>
      <c r="R1266" s="47"/>
      <c r="S1266" s="62"/>
      <c r="T1266" s="62"/>
      <c r="U1266" s="46"/>
      <c r="V1266" s="61"/>
      <c r="W1266" s="62"/>
      <c r="X1266" s="47"/>
      <c r="Y1266" s="46"/>
      <c r="Z1266" s="46"/>
      <c r="AA1266" s="46"/>
      <c r="AB1266" s="49"/>
      <c r="AC1266" s="42"/>
      <c r="AD1266" s="42"/>
      <c r="AE1266" s="50"/>
      <c r="AF1266" s="42"/>
      <c r="AG1266" s="42"/>
      <c r="AH1266" s="42"/>
      <c r="AI1266" s="42" t="str">
        <f t="array" ref="AI1266">XLOOKUP($E1266,Sheet11!$D:$D,Sheet11!$X:$X,"",0)</f>
        <v/>
      </c>
      <c r="AJ1266" s="42" t="str">
        <f t="array" ref="AJ1266">XLOOKUP($E1266,Sheet11!$D:$D,Sheet11!$Y:$Y,"",0)</f>
        <v/>
      </c>
    </row>
    <row r="1267">
      <c r="A1267" s="23"/>
      <c r="B1267" s="42"/>
      <c r="C1267" s="42"/>
      <c r="D1267" s="42"/>
      <c r="E1267" s="42"/>
      <c r="F1267" s="42"/>
      <c r="G1267" s="42"/>
      <c r="H1267" s="42"/>
      <c r="I1267" s="42"/>
      <c r="J1267" s="42"/>
      <c r="K1267" s="42"/>
      <c r="L1267" s="46"/>
      <c r="M1267" s="46"/>
      <c r="N1267" s="46"/>
      <c r="O1267" s="61"/>
      <c r="P1267" s="62"/>
      <c r="Q1267" s="46"/>
      <c r="R1267" s="47"/>
      <c r="S1267" s="62"/>
      <c r="T1267" s="62"/>
      <c r="U1267" s="46"/>
      <c r="V1267" s="61"/>
      <c r="W1267" s="62"/>
      <c r="X1267" s="47"/>
      <c r="Y1267" s="46"/>
      <c r="Z1267" s="46"/>
      <c r="AA1267" s="46"/>
      <c r="AB1267" s="49"/>
      <c r="AC1267" s="42"/>
      <c r="AD1267" s="42"/>
      <c r="AE1267" s="50"/>
      <c r="AF1267" s="42"/>
      <c r="AG1267" s="42"/>
      <c r="AH1267" s="42"/>
      <c r="AI1267" s="42" t="str">
        <f t="array" ref="AI1267">XLOOKUP($E1267,Sheet11!$D:$D,Sheet11!$X:$X,"",0)</f>
        <v/>
      </c>
      <c r="AJ1267" s="42" t="str">
        <f t="array" ref="AJ1267">XLOOKUP($E1267,Sheet11!$D:$D,Sheet11!$Y:$Y,"",0)</f>
        <v/>
      </c>
    </row>
    <row r="1268">
      <c r="A1268" s="23"/>
      <c r="B1268" s="42"/>
      <c r="C1268" s="42"/>
      <c r="D1268" s="42"/>
      <c r="E1268" s="42"/>
      <c r="F1268" s="42"/>
      <c r="G1268" s="42"/>
      <c r="H1268" s="42"/>
      <c r="I1268" s="42"/>
      <c r="J1268" s="42"/>
      <c r="K1268" s="42"/>
      <c r="L1268" s="46"/>
      <c r="M1268" s="46"/>
      <c r="N1268" s="46"/>
      <c r="O1268" s="61"/>
      <c r="P1268" s="62"/>
      <c r="Q1268" s="46"/>
      <c r="R1268" s="47"/>
      <c r="S1268" s="62"/>
      <c r="T1268" s="62"/>
      <c r="U1268" s="46"/>
      <c r="V1268" s="61"/>
      <c r="W1268" s="62"/>
      <c r="X1268" s="47"/>
      <c r="Y1268" s="46"/>
      <c r="Z1268" s="46"/>
      <c r="AA1268" s="46"/>
      <c r="AB1268" s="49"/>
      <c r="AC1268" s="42"/>
      <c r="AD1268" s="42"/>
      <c r="AE1268" s="50"/>
      <c r="AF1268" s="42"/>
      <c r="AG1268" s="42"/>
      <c r="AH1268" s="42"/>
      <c r="AI1268" s="42" t="str">
        <f t="array" ref="AI1268">XLOOKUP($E1268,Sheet11!$D:$D,Sheet11!$X:$X,"",0)</f>
        <v/>
      </c>
      <c r="AJ1268" s="42" t="str">
        <f t="array" ref="AJ1268">XLOOKUP($E1268,Sheet11!$D:$D,Sheet11!$Y:$Y,"",0)</f>
        <v/>
      </c>
    </row>
    <row r="1269">
      <c r="A1269" s="23"/>
      <c r="B1269" s="42"/>
      <c r="C1269" s="42"/>
      <c r="D1269" s="42"/>
      <c r="E1269" s="42"/>
      <c r="F1269" s="42"/>
      <c r="G1269" s="42"/>
      <c r="H1269" s="42"/>
      <c r="I1269" s="42"/>
      <c r="J1269" s="42"/>
      <c r="K1269" s="42"/>
      <c r="L1269" s="46"/>
      <c r="M1269" s="46"/>
      <c r="N1269" s="46"/>
      <c r="O1269" s="61"/>
      <c r="P1269" s="62"/>
      <c r="Q1269" s="46"/>
      <c r="R1269" s="47"/>
      <c r="S1269" s="62"/>
      <c r="T1269" s="62"/>
      <c r="U1269" s="46"/>
      <c r="V1269" s="61"/>
      <c r="W1269" s="62"/>
      <c r="X1269" s="47"/>
      <c r="Y1269" s="46"/>
      <c r="Z1269" s="46"/>
      <c r="AA1269" s="46"/>
      <c r="AB1269" s="49"/>
      <c r="AC1269" s="42"/>
      <c r="AD1269" s="42"/>
      <c r="AE1269" s="50"/>
      <c r="AF1269" s="42"/>
      <c r="AG1269" s="42"/>
      <c r="AH1269" s="42"/>
      <c r="AI1269" s="42" t="str">
        <f t="array" ref="AI1269">XLOOKUP($E1269,Sheet11!$D:$D,Sheet11!$X:$X,"",0)</f>
        <v/>
      </c>
      <c r="AJ1269" s="42" t="str">
        <f t="array" ref="AJ1269">XLOOKUP($E1269,Sheet11!$D:$D,Sheet11!$Y:$Y,"",0)</f>
        <v/>
      </c>
    </row>
    <row r="1270">
      <c r="A1270" s="23"/>
      <c r="B1270" s="42"/>
      <c r="C1270" s="42"/>
      <c r="D1270" s="42"/>
      <c r="E1270" s="42"/>
      <c r="F1270" s="42"/>
      <c r="G1270" s="42"/>
      <c r="H1270" s="42"/>
      <c r="I1270" s="42"/>
      <c r="J1270" s="42"/>
      <c r="K1270" s="42"/>
      <c r="L1270" s="46"/>
      <c r="M1270" s="46"/>
      <c r="N1270" s="46"/>
      <c r="O1270" s="61"/>
      <c r="P1270" s="62"/>
      <c r="Q1270" s="46"/>
      <c r="R1270" s="47"/>
      <c r="S1270" s="62"/>
      <c r="T1270" s="62"/>
      <c r="U1270" s="46"/>
      <c r="V1270" s="61"/>
      <c r="W1270" s="62"/>
      <c r="X1270" s="47"/>
      <c r="Y1270" s="46"/>
      <c r="Z1270" s="46"/>
      <c r="AA1270" s="46"/>
      <c r="AB1270" s="49"/>
      <c r="AC1270" s="42"/>
      <c r="AD1270" s="42"/>
      <c r="AE1270" s="50"/>
      <c r="AF1270" s="42"/>
      <c r="AG1270" s="42"/>
      <c r="AH1270" s="42"/>
      <c r="AI1270" s="42" t="str">
        <f t="array" ref="AI1270">XLOOKUP($E1270,Sheet11!$D:$D,Sheet11!$X:$X,"",0)</f>
        <v/>
      </c>
      <c r="AJ1270" s="42" t="str">
        <f t="array" ref="AJ1270">XLOOKUP($E1270,Sheet11!$D:$D,Sheet11!$Y:$Y,"",0)</f>
        <v/>
      </c>
    </row>
    <row r="1271">
      <c r="A1271" s="23"/>
      <c r="B1271" s="42"/>
      <c r="C1271" s="42"/>
      <c r="D1271" s="42"/>
      <c r="E1271" s="42"/>
      <c r="F1271" s="42"/>
      <c r="G1271" s="42"/>
      <c r="H1271" s="42"/>
      <c r="I1271" s="42"/>
      <c r="J1271" s="42"/>
      <c r="K1271" s="42"/>
      <c r="L1271" s="46"/>
      <c r="M1271" s="46"/>
      <c r="N1271" s="46"/>
      <c r="O1271" s="61"/>
      <c r="P1271" s="62"/>
      <c r="Q1271" s="46"/>
      <c r="R1271" s="47"/>
      <c r="S1271" s="62"/>
      <c r="T1271" s="62"/>
      <c r="U1271" s="46"/>
      <c r="V1271" s="61"/>
      <c r="W1271" s="62"/>
      <c r="X1271" s="47"/>
      <c r="Y1271" s="46"/>
      <c r="Z1271" s="46"/>
      <c r="AA1271" s="46"/>
      <c r="AB1271" s="49"/>
      <c r="AC1271" s="42"/>
      <c r="AD1271" s="42"/>
      <c r="AE1271" s="50"/>
      <c r="AF1271" s="42"/>
      <c r="AG1271" s="42"/>
      <c r="AH1271" s="42"/>
      <c r="AI1271" s="42" t="str">
        <f t="array" ref="AI1271">XLOOKUP($E1271,Sheet11!$D:$D,Sheet11!$X:$X,"",0)</f>
        <v/>
      </c>
      <c r="AJ1271" s="42" t="str">
        <f t="array" ref="AJ1271">XLOOKUP($E1271,Sheet11!$D:$D,Sheet11!$Y:$Y,"",0)</f>
        <v/>
      </c>
    </row>
    <row r="1272">
      <c r="A1272" s="23"/>
      <c r="B1272" s="42"/>
      <c r="C1272" s="42"/>
      <c r="D1272" s="42"/>
      <c r="E1272" s="42"/>
      <c r="F1272" s="42"/>
      <c r="G1272" s="42"/>
      <c r="H1272" s="42"/>
      <c r="I1272" s="42"/>
      <c r="J1272" s="42"/>
      <c r="K1272" s="42"/>
      <c r="L1272" s="46"/>
      <c r="M1272" s="46"/>
      <c r="N1272" s="46"/>
      <c r="O1272" s="61"/>
      <c r="P1272" s="62"/>
      <c r="Q1272" s="46"/>
      <c r="R1272" s="47"/>
      <c r="S1272" s="62"/>
      <c r="T1272" s="62"/>
      <c r="U1272" s="46"/>
      <c r="V1272" s="61"/>
      <c r="W1272" s="62"/>
      <c r="X1272" s="47"/>
      <c r="Y1272" s="46"/>
      <c r="Z1272" s="46"/>
      <c r="AA1272" s="46"/>
      <c r="AB1272" s="49"/>
      <c r="AC1272" s="42"/>
      <c r="AD1272" s="42"/>
      <c r="AE1272" s="50"/>
      <c r="AF1272" s="42"/>
      <c r="AG1272" s="42"/>
      <c r="AH1272" s="42"/>
      <c r="AI1272" s="42" t="str">
        <f t="array" ref="AI1272">XLOOKUP($E1272,Sheet11!$D:$D,Sheet11!$X:$X,"",0)</f>
        <v/>
      </c>
      <c r="AJ1272" s="42" t="str">
        <f t="array" ref="AJ1272">XLOOKUP($E1272,Sheet11!$D:$D,Sheet11!$Y:$Y,"",0)</f>
        <v/>
      </c>
    </row>
    <row r="1273">
      <c r="A1273" s="23"/>
      <c r="B1273" s="42"/>
      <c r="C1273" s="42"/>
      <c r="D1273" s="42"/>
      <c r="E1273" s="42"/>
      <c r="F1273" s="42"/>
      <c r="G1273" s="42"/>
      <c r="H1273" s="42"/>
      <c r="I1273" s="42"/>
      <c r="J1273" s="42"/>
      <c r="K1273" s="42"/>
      <c r="L1273" s="46"/>
      <c r="M1273" s="46"/>
      <c r="N1273" s="46"/>
      <c r="O1273" s="61"/>
      <c r="P1273" s="62"/>
      <c r="Q1273" s="46"/>
      <c r="R1273" s="47"/>
      <c r="S1273" s="62"/>
      <c r="T1273" s="62"/>
      <c r="U1273" s="46"/>
      <c r="V1273" s="61"/>
      <c r="W1273" s="62"/>
      <c r="X1273" s="47"/>
      <c r="Y1273" s="46"/>
      <c r="Z1273" s="46"/>
      <c r="AA1273" s="46"/>
      <c r="AB1273" s="49"/>
      <c r="AC1273" s="42"/>
      <c r="AD1273" s="42"/>
      <c r="AE1273" s="50"/>
      <c r="AF1273" s="42"/>
      <c r="AG1273" s="42"/>
      <c r="AH1273" s="42"/>
      <c r="AI1273" s="42" t="str">
        <f t="array" ref="AI1273">XLOOKUP($E1273,Sheet11!$D:$D,Sheet11!$X:$X,"",0)</f>
        <v/>
      </c>
      <c r="AJ1273" s="42" t="str">
        <f t="array" ref="AJ1273">XLOOKUP($E1273,Sheet11!$D:$D,Sheet11!$Y:$Y,"",0)</f>
        <v/>
      </c>
    </row>
    <row r="1274">
      <c r="A1274" s="23"/>
      <c r="B1274" s="42"/>
      <c r="C1274" s="42"/>
      <c r="D1274" s="42"/>
      <c r="E1274" s="42"/>
      <c r="F1274" s="42"/>
      <c r="G1274" s="42"/>
      <c r="H1274" s="42"/>
      <c r="I1274" s="42"/>
      <c r="J1274" s="42"/>
      <c r="K1274" s="42"/>
      <c r="L1274" s="46"/>
      <c r="M1274" s="46"/>
      <c r="N1274" s="46"/>
      <c r="O1274" s="61"/>
      <c r="P1274" s="62"/>
      <c r="Q1274" s="46"/>
      <c r="R1274" s="47"/>
      <c r="S1274" s="62"/>
      <c r="T1274" s="62"/>
      <c r="U1274" s="46"/>
      <c r="V1274" s="61"/>
      <c r="W1274" s="62"/>
      <c r="X1274" s="47"/>
      <c r="Y1274" s="46"/>
      <c r="Z1274" s="46"/>
      <c r="AA1274" s="46"/>
      <c r="AB1274" s="49"/>
      <c r="AC1274" s="42"/>
      <c r="AD1274" s="42"/>
      <c r="AE1274" s="50"/>
      <c r="AF1274" s="42"/>
      <c r="AG1274" s="42"/>
      <c r="AH1274" s="42"/>
      <c r="AI1274" s="42" t="str">
        <f t="array" ref="AI1274">XLOOKUP($E1274,Sheet11!$D:$D,Sheet11!$X:$X,"",0)</f>
        <v/>
      </c>
      <c r="AJ1274" s="42" t="str">
        <f t="array" ref="AJ1274">XLOOKUP($E1274,Sheet11!$D:$D,Sheet11!$Y:$Y,"",0)</f>
        <v/>
      </c>
    </row>
    <row r="1275">
      <c r="A1275" s="23"/>
      <c r="B1275" s="42"/>
      <c r="C1275" s="42"/>
      <c r="D1275" s="42"/>
      <c r="E1275" s="42"/>
      <c r="F1275" s="42"/>
      <c r="G1275" s="42"/>
      <c r="H1275" s="42"/>
      <c r="I1275" s="42"/>
      <c r="J1275" s="42"/>
      <c r="K1275" s="42"/>
      <c r="L1275" s="46"/>
      <c r="M1275" s="46"/>
      <c r="N1275" s="46"/>
      <c r="O1275" s="61"/>
      <c r="P1275" s="62"/>
      <c r="Q1275" s="46"/>
      <c r="R1275" s="47"/>
      <c r="S1275" s="62"/>
      <c r="T1275" s="62"/>
      <c r="U1275" s="46"/>
      <c r="V1275" s="61"/>
      <c r="W1275" s="62"/>
      <c r="X1275" s="47"/>
      <c r="Y1275" s="46"/>
      <c r="Z1275" s="46"/>
      <c r="AA1275" s="46"/>
      <c r="AB1275" s="49"/>
      <c r="AC1275" s="42"/>
      <c r="AD1275" s="42"/>
      <c r="AE1275" s="50"/>
      <c r="AF1275" s="42"/>
      <c r="AG1275" s="42"/>
      <c r="AH1275" s="42"/>
      <c r="AI1275" s="42" t="str">
        <f t="array" ref="AI1275">XLOOKUP($E1275,Sheet11!$D:$D,Sheet11!$X:$X,"",0)</f>
        <v/>
      </c>
      <c r="AJ1275" s="42" t="str">
        <f t="array" ref="AJ1275">XLOOKUP($E1275,Sheet11!$D:$D,Sheet11!$Y:$Y,"",0)</f>
        <v/>
      </c>
    </row>
    <row r="1276">
      <c r="A1276" s="23"/>
      <c r="B1276" s="42"/>
      <c r="C1276" s="42"/>
      <c r="D1276" s="42"/>
      <c r="E1276" s="42"/>
      <c r="F1276" s="42"/>
      <c r="G1276" s="42"/>
      <c r="H1276" s="42"/>
      <c r="I1276" s="42"/>
      <c r="J1276" s="42"/>
      <c r="K1276" s="42"/>
      <c r="L1276" s="46"/>
      <c r="M1276" s="46"/>
      <c r="N1276" s="46"/>
      <c r="O1276" s="61"/>
      <c r="P1276" s="62"/>
      <c r="Q1276" s="46"/>
      <c r="R1276" s="47"/>
      <c r="S1276" s="62"/>
      <c r="T1276" s="62"/>
      <c r="U1276" s="46"/>
      <c r="V1276" s="61"/>
      <c r="W1276" s="62"/>
      <c r="X1276" s="47"/>
      <c r="Y1276" s="46"/>
      <c r="Z1276" s="46"/>
      <c r="AA1276" s="46"/>
      <c r="AB1276" s="49"/>
      <c r="AC1276" s="42"/>
      <c r="AD1276" s="42"/>
      <c r="AE1276" s="50"/>
      <c r="AF1276" s="42"/>
      <c r="AG1276" s="42"/>
      <c r="AH1276" s="42"/>
      <c r="AI1276" s="42" t="str">
        <f t="array" ref="AI1276">XLOOKUP($E1276,Sheet11!$D:$D,Sheet11!$X:$X,"",0)</f>
        <v/>
      </c>
      <c r="AJ1276" s="42" t="str">
        <f t="array" ref="AJ1276">XLOOKUP($E1276,Sheet11!$D:$D,Sheet11!$Y:$Y,"",0)</f>
        <v/>
      </c>
    </row>
    <row r="1277">
      <c r="A1277" s="23"/>
      <c r="B1277" s="42"/>
      <c r="C1277" s="42"/>
      <c r="D1277" s="42"/>
      <c r="E1277" s="42"/>
      <c r="F1277" s="42"/>
      <c r="G1277" s="42"/>
      <c r="H1277" s="42"/>
      <c r="I1277" s="42"/>
      <c r="J1277" s="42"/>
      <c r="K1277" s="42"/>
      <c r="L1277" s="46"/>
      <c r="M1277" s="46"/>
      <c r="N1277" s="46"/>
      <c r="O1277" s="61"/>
      <c r="P1277" s="62"/>
      <c r="Q1277" s="46"/>
      <c r="R1277" s="47"/>
      <c r="S1277" s="62"/>
      <c r="T1277" s="62"/>
      <c r="U1277" s="46"/>
      <c r="V1277" s="61"/>
      <c r="W1277" s="62"/>
      <c r="X1277" s="47"/>
      <c r="Y1277" s="46"/>
      <c r="Z1277" s="46"/>
      <c r="AA1277" s="46"/>
      <c r="AB1277" s="49"/>
      <c r="AC1277" s="42"/>
      <c r="AD1277" s="42"/>
      <c r="AE1277" s="50"/>
      <c r="AF1277" s="42"/>
      <c r="AG1277" s="42"/>
      <c r="AH1277" s="42"/>
      <c r="AI1277" s="42" t="str">
        <f t="array" ref="AI1277">XLOOKUP($E1277,Sheet11!$D:$D,Sheet11!$X:$X,"",0)</f>
        <v/>
      </c>
      <c r="AJ1277" s="42" t="str">
        <f t="array" ref="AJ1277">XLOOKUP($E1277,Sheet11!$D:$D,Sheet11!$Y:$Y,"",0)</f>
        <v/>
      </c>
    </row>
    <row r="1278">
      <c r="A1278" s="23"/>
      <c r="B1278" s="42"/>
      <c r="C1278" s="42"/>
      <c r="D1278" s="42"/>
      <c r="E1278" s="42"/>
      <c r="F1278" s="42"/>
      <c r="G1278" s="42"/>
      <c r="H1278" s="42"/>
      <c r="I1278" s="42"/>
      <c r="J1278" s="42"/>
      <c r="K1278" s="42"/>
      <c r="L1278" s="46"/>
      <c r="M1278" s="46"/>
      <c r="N1278" s="46"/>
      <c r="O1278" s="61"/>
      <c r="P1278" s="62"/>
      <c r="Q1278" s="46"/>
      <c r="R1278" s="47"/>
      <c r="S1278" s="62"/>
      <c r="T1278" s="62"/>
      <c r="U1278" s="46"/>
      <c r="V1278" s="61"/>
      <c r="W1278" s="62"/>
      <c r="X1278" s="47"/>
      <c r="Y1278" s="46"/>
      <c r="Z1278" s="46"/>
      <c r="AA1278" s="46"/>
      <c r="AB1278" s="49"/>
      <c r="AC1278" s="42"/>
      <c r="AD1278" s="42"/>
      <c r="AE1278" s="50"/>
      <c r="AF1278" s="42"/>
      <c r="AG1278" s="42"/>
      <c r="AH1278" s="42"/>
      <c r="AI1278" s="42" t="str">
        <f t="array" ref="AI1278">XLOOKUP($E1278,Sheet11!$D:$D,Sheet11!$X:$X,"",0)</f>
        <v/>
      </c>
      <c r="AJ1278" s="42" t="str">
        <f t="array" ref="AJ1278">XLOOKUP($E1278,Sheet11!$D:$D,Sheet11!$Y:$Y,"",0)</f>
        <v/>
      </c>
    </row>
    <row r="1279">
      <c r="A1279" s="23"/>
      <c r="B1279" s="42"/>
      <c r="C1279" s="42"/>
      <c r="D1279" s="42"/>
      <c r="E1279" s="42"/>
      <c r="F1279" s="42"/>
      <c r="G1279" s="42"/>
      <c r="H1279" s="42"/>
      <c r="I1279" s="42"/>
      <c r="J1279" s="42"/>
      <c r="K1279" s="42"/>
      <c r="L1279" s="46"/>
      <c r="M1279" s="46"/>
      <c r="N1279" s="46"/>
      <c r="O1279" s="61"/>
      <c r="P1279" s="62"/>
      <c r="Q1279" s="46"/>
      <c r="R1279" s="47"/>
      <c r="S1279" s="62"/>
      <c r="T1279" s="62"/>
      <c r="U1279" s="46"/>
      <c r="V1279" s="61"/>
      <c r="W1279" s="62"/>
      <c r="X1279" s="47"/>
      <c r="Y1279" s="46"/>
      <c r="Z1279" s="46"/>
      <c r="AA1279" s="46"/>
      <c r="AB1279" s="49"/>
      <c r="AC1279" s="42"/>
      <c r="AD1279" s="42"/>
      <c r="AE1279" s="50"/>
      <c r="AF1279" s="42"/>
      <c r="AG1279" s="42"/>
      <c r="AH1279" s="42"/>
      <c r="AI1279" s="42" t="str">
        <f t="array" ref="AI1279">XLOOKUP($E1279,Sheet11!$D:$D,Sheet11!$X:$X,"",0)</f>
        <v/>
      </c>
      <c r="AJ1279" s="42" t="str">
        <f t="array" ref="AJ1279">XLOOKUP($E1279,Sheet11!$D:$D,Sheet11!$Y:$Y,"",0)</f>
        <v/>
      </c>
    </row>
    <row r="1280">
      <c r="A1280" s="23"/>
      <c r="B1280" s="42"/>
      <c r="C1280" s="42"/>
      <c r="D1280" s="42"/>
      <c r="E1280" s="42"/>
      <c r="F1280" s="42"/>
      <c r="G1280" s="42"/>
      <c r="H1280" s="42"/>
      <c r="I1280" s="42"/>
      <c r="J1280" s="42"/>
      <c r="K1280" s="42"/>
      <c r="L1280" s="46"/>
      <c r="M1280" s="46"/>
      <c r="N1280" s="46"/>
      <c r="O1280" s="61"/>
      <c r="P1280" s="62"/>
      <c r="Q1280" s="46"/>
      <c r="R1280" s="47"/>
      <c r="S1280" s="62"/>
      <c r="T1280" s="62"/>
      <c r="U1280" s="46"/>
      <c r="V1280" s="61"/>
      <c r="W1280" s="62"/>
      <c r="X1280" s="47"/>
      <c r="Y1280" s="46"/>
      <c r="Z1280" s="46"/>
      <c r="AA1280" s="46"/>
      <c r="AB1280" s="49"/>
      <c r="AC1280" s="42"/>
      <c r="AD1280" s="42"/>
      <c r="AE1280" s="50"/>
      <c r="AF1280" s="42"/>
      <c r="AG1280" s="42"/>
      <c r="AH1280" s="42"/>
      <c r="AI1280" s="42" t="str">
        <f t="array" ref="AI1280">XLOOKUP($E1280,Sheet11!$D:$D,Sheet11!$X:$X,"",0)</f>
        <v/>
      </c>
      <c r="AJ1280" s="42" t="str">
        <f t="array" ref="AJ1280">XLOOKUP($E1280,Sheet11!$D:$D,Sheet11!$Y:$Y,"",0)</f>
        <v/>
      </c>
    </row>
    <row r="1281">
      <c r="A1281" s="23"/>
      <c r="B1281" s="42"/>
      <c r="C1281" s="42"/>
      <c r="D1281" s="42"/>
      <c r="E1281" s="42"/>
      <c r="F1281" s="42"/>
      <c r="G1281" s="42"/>
      <c r="H1281" s="42"/>
      <c r="I1281" s="42"/>
      <c r="J1281" s="42"/>
      <c r="K1281" s="42"/>
      <c r="L1281" s="46"/>
      <c r="M1281" s="46"/>
      <c r="N1281" s="46"/>
      <c r="O1281" s="61"/>
      <c r="P1281" s="62"/>
      <c r="Q1281" s="46"/>
      <c r="R1281" s="47"/>
      <c r="S1281" s="62"/>
      <c r="T1281" s="62"/>
      <c r="U1281" s="46"/>
      <c r="V1281" s="61"/>
      <c r="W1281" s="62"/>
      <c r="X1281" s="47"/>
      <c r="Y1281" s="46"/>
      <c r="Z1281" s="46"/>
      <c r="AA1281" s="46"/>
      <c r="AB1281" s="49"/>
      <c r="AC1281" s="42"/>
      <c r="AD1281" s="42"/>
      <c r="AE1281" s="50"/>
      <c r="AF1281" s="42"/>
      <c r="AG1281" s="42"/>
      <c r="AH1281" s="42"/>
      <c r="AI1281" s="42" t="str">
        <f t="array" ref="AI1281">XLOOKUP($E1281,Sheet11!$D:$D,Sheet11!$X:$X,"",0)</f>
        <v/>
      </c>
      <c r="AJ1281" s="42" t="str">
        <f t="array" ref="AJ1281">XLOOKUP($E1281,Sheet11!$D:$D,Sheet11!$Y:$Y,"",0)</f>
        <v/>
      </c>
    </row>
    <row r="1282">
      <c r="A1282" s="23"/>
      <c r="B1282" s="42"/>
      <c r="C1282" s="42"/>
      <c r="D1282" s="42"/>
      <c r="E1282" s="42"/>
      <c r="F1282" s="42"/>
      <c r="G1282" s="42"/>
      <c r="H1282" s="42"/>
      <c r="I1282" s="42"/>
      <c r="J1282" s="42"/>
      <c r="K1282" s="42"/>
      <c r="L1282" s="46"/>
      <c r="M1282" s="46"/>
      <c r="N1282" s="46"/>
      <c r="O1282" s="61"/>
      <c r="P1282" s="62"/>
      <c r="Q1282" s="46"/>
      <c r="R1282" s="47"/>
      <c r="S1282" s="62"/>
      <c r="T1282" s="62"/>
      <c r="U1282" s="46"/>
      <c r="V1282" s="61"/>
      <c r="W1282" s="62"/>
      <c r="X1282" s="47"/>
      <c r="Y1282" s="46"/>
      <c r="Z1282" s="46"/>
      <c r="AA1282" s="46"/>
      <c r="AB1282" s="49"/>
      <c r="AC1282" s="42"/>
      <c r="AD1282" s="42"/>
      <c r="AE1282" s="50"/>
      <c r="AF1282" s="42"/>
      <c r="AG1282" s="42"/>
      <c r="AH1282" s="42"/>
      <c r="AI1282" s="42" t="str">
        <f t="array" ref="AI1282">XLOOKUP($E1282,Sheet11!$D:$D,Sheet11!$X:$X,"",0)</f>
        <v/>
      </c>
      <c r="AJ1282" s="42" t="str">
        <f t="array" ref="AJ1282">XLOOKUP($E1282,Sheet11!$D:$D,Sheet11!$Y:$Y,"",0)</f>
        <v/>
      </c>
    </row>
    <row r="1283">
      <c r="A1283" s="23"/>
      <c r="B1283" s="42"/>
      <c r="C1283" s="42"/>
      <c r="D1283" s="42"/>
      <c r="E1283" s="42"/>
      <c r="F1283" s="42"/>
      <c r="G1283" s="42"/>
      <c r="H1283" s="42"/>
      <c r="I1283" s="42"/>
      <c r="J1283" s="42"/>
      <c r="K1283" s="42"/>
      <c r="L1283" s="46"/>
      <c r="M1283" s="46"/>
      <c r="N1283" s="46"/>
      <c r="O1283" s="61"/>
      <c r="P1283" s="62"/>
      <c r="Q1283" s="46"/>
      <c r="R1283" s="47"/>
      <c r="S1283" s="62"/>
      <c r="T1283" s="62"/>
      <c r="U1283" s="46"/>
      <c r="V1283" s="61"/>
      <c r="W1283" s="62"/>
      <c r="X1283" s="47"/>
      <c r="Y1283" s="46"/>
      <c r="Z1283" s="46"/>
      <c r="AA1283" s="46"/>
      <c r="AB1283" s="49"/>
      <c r="AC1283" s="42"/>
      <c r="AD1283" s="42"/>
      <c r="AE1283" s="50"/>
      <c r="AF1283" s="42"/>
      <c r="AG1283" s="42"/>
      <c r="AH1283" s="42"/>
      <c r="AI1283" s="42" t="str">
        <f t="array" ref="AI1283">XLOOKUP($E1283,Sheet11!$D:$D,Sheet11!$X:$X,"",0)</f>
        <v/>
      </c>
      <c r="AJ1283" s="42" t="str">
        <f t="array" ref="AJ1283">XLOOKUP($E1283,Sheet11!$D:$D,Sheet11!$Y:$Y,"",0)</f>
        <v/>
      </c>
    </row>
    <row r="1284">
      <c r="A1284" s="23"/>
      <c r="B1284" s="42"/>
      <c r="C1284" s="42"/>
      <c r="D1284" s="42"/>
      <c r="E1284" s="42"/>
      <c r="F1284" s="42"/>
      <c r="G1284" s="42"/>
      <c r="H1284" s="42"/>
      <c r="I1284" s="42"/>
      <c r="J1284" s="42"/>
      <c r="K1284" s="42"/>
      <c r="L1284" s="46"/>
      <c r="M1284" s="46"/>
      <c r="N1284" s="46"/>
      <c r="O1284" s="61"/>
      <c r="P1284" s="62"/>
      <c r="Q1284" s="46"/>
      <c r="R1284" s="47"/>
      <c r="S1284" s="62"/>
      <c r="T1284" s="62"/>
      <c r="U1284" s="46"/>
      <c r="V1284" s="61"/>
      <c r="W1284" s="62"/>
      <c r="X1284" s="47"/>
      <c r="Y1284" s="46"/>
      <c r="Z1284" s="46"/>
      <c r="AA1284" s="46"/>
      <c r="AB1284" s="49"/>
      <c r="AC1284" s="42"/>
      <c r="AD1284" s="42"/>
      <c r="AE1284" s="50"/>
      <c r="AF1284" s="42"/>
      <c r="AG1284" s="42"/>
      <c r="AH1284" s="42"/>
      <c r="AI1284" s="42" t="str">
        <f t="array" ref="AI1284">XLOOKUP($E1284,Sheet11!$D:$D,Sheet11!$X:$X,"",0)</f>
        <v/>
      </c>
      <c r="AJ1284" s="42" t="str">
        <f t="array" ref="AJ1284">XLOOKUP($E1284,Sheet11!$D:$D,Sheet11!$Y:$Y,"",0)</f>
        <v/>
      </c>
    </row>
    <row r="1285">
      <c r="A1285" s="23"/>
      <c r="B1285" s="42"/>
      <c r="C1285" s="42"/>
      <c r="D1285" s="42"/>
      <c r="E1285" s="42"/>
      <c r="F1285" s="42"/>
      <c r="G1285" s="42"/>
      <c r="H1285" s="42"/>
      <c r="I1285" s="42"/>
      <c r="J1285" s="42"/>
      <c r="K1285" s="42"/>
      <c r="L1285" s="46"/>
      <c r="M1285" s="46"/>
      <c r="N1285" s="46"/>
      <c r="O1285" s="61"/>
      <c r="P1285" s="62"/>
      <c r="Q1285" s="46"/>
      <c r="R1285" s="47"/>
      <c r="S1285" s="62"/>
      <c r="T1285" s="62"/>
      <c r="U1285" s="46"/>
      <c r="V1285" s="61"/>
      <c r="W1285" s="62"/>
      <c r="X1285" s="47"/>
      <c r="Y1285" s="46"/>
      <c r="Z1285" s="46"/>
      <c r="AA1285" s="46"/>
      <c r="AB1285" s="49"/>
      <c r="AC1285" s="42"/>
      <c r="AD1285" s="42"/>
      <c r="AE1285" s="50"/>
      <c r="AF1285" s="42"/>
      <c r="AG1285" s="42"/>
      <c r="AH1285" s="42"/>
      <c r="AI1285" s="42" t="str">
        <f t="array" ref="AI1285">XLOOKUP($E1285,Sheet11!$D:$D,Sheet11!$X:$X,"",0)</f>
        <v/>
      </c>
      <c r="AJ1285" s="42" t="str">
        <f t="array" ref="AJ1285">XLOOKUP($E1285,Sheet11!$D:$D,Sheet11!$Y:$Y,"",0)</f>
        <v/>
      </c>
    </row>
    <row r="1286">
      <c r="A1286" s="23"/>
      <c r="B1286" s="42"/>
      <c r="C1286" s="42"/>
      <c r="D1286" s="42"/>
      <c r="E1286" s="42"/>
      <c r="F1286" s="42"/>
      <c r="G1286" s="42"/>
      <c r="H1286" s="42"/>
      <c r="I1286" s="42"/>
      <c r="J1286" s="42"/>
      <c r="K1286" s="42"/>
      <c r="L1286" s="46"/>
      <c r="M1286" s="46"/>
      <c r="N1286" s="46"/>
      <c r="O1286" s="61"/>
      <c r="P1286" s="62"/>
      <c r="Q1286" s="46"/>
      <c r="R1286" s="47"/>
      <c r="S1286" s="62"/>
      <c r="T1286" s="62"/>
      <c r="U1286" s="46"/>
      <c r="V1286" s="61"/>
      <c r="W1286" s="62"/>
      <c r="X1286" s="47"/>
      <c r="Y1286" s="46"/>
      <c r="Z1286" s="46"/>
      <c r="AA1286" s="46"/>
      <c r="AB1286" s="49"/>
      <c r="AC1286" s="42"/>
      <c r="AD1286" s="42"/>
      <c r="AE1286" s="50"/>
      <c r="AF1286" s="42"/>
      <c r="AG1286" s="42"/>
      <c r="AH1286" s="42"/>
      <c r="AI1286" s="42" t="str">
        <f t="array" ref="AI1286">XLOOKUP($E1286,Sheet11!$D:$D,Sheet11!$X:$X,"",0)</f>
        <v/>
      </c>
      <c r="AJ1286" s="42" t="str">
        <f t="array" ref="AJ1286">XLOOKUP($E1286,Sheet11!$D:$D,Sheet11!$Y:$Y,"",0)</f>
        <v/>
      </c>
    </row>
    <row r="1287">
      <c r="A1287" s="23"/>
      <c r="B1287" s="42"/>
      <c r="C1287" s="42"/>
      <c r="D1287" s="42"/>
      <c r="E1287" s="42"/>
      <c r="F1287" s="42"/>
      <c r="G1287" s="42"/>
      <c r="H1287" s="42"/>
      <c r="I1287" s="42"/>
      <c r="J1287" s="42"/>
      <c r="K1287" s="42"/>
      <c r="L1287" s="46"/>
      <c r="M1287" s="46"/>
      <c r="N1287" s="46"/>
      <c r="O1287" s="61"/>
      <c r="P1287" s="62"/>
      <c r="Q1287" s="46"/>
      <c r="R1287" s="47"/>
      <c r="S1287" s="62"/>
      <c r="T1287" s="62"/>
      <c r="U1287" s="46"/>
      <c r="V1287" s="61"/>
      <c r="W1287" s="62"/>
      <c r="X1287" s="47"/>
      <c r="Y1287" s="46"/>
      <c r="Z1287" s="46"/>
      <c r="AA1287" s="46"/>
      <c r="AB1287" s="49"/>
      <c r="AC1287" s="42"/>
      <c r="AD1287" s="42"/>
      <c r="AE1287" s="50"/>
      <c r="AF1287" s="42"/>
      <c r="AG1287" s="42"/>
      <c r="AH1287" s="42"/>
      <c r="AI1287" s="42" t="str">
        <f t="array" ref="AI1287">XLOOKUP($E1287,Sheet11!$D:$D,Sheet11!$X:$X,"",0)</f>
        <v/>
      </c>
      <c r="AJ1287" s="42" t="str">
        <f t="array" ref="AJ1287">XLOOKUP($E1287,Sheet11!$D:$D,Sheet11!$Y:$Y,"",0)</f>
        <v/>
      </c>
    </row>
    <row r="1288">
      <c r="A1288" s="23"/>
      <c r="B1288" s="42"/>
      <c r="C1288" s="42"/>
      <c r="D1288" s="42"/>
      <c r="E1288" s="42"/>
      <c r="F1288" s="42"/>
      <c r="G1288" s="42"/>
      <c r="H1288" s="42"/>
      <c r="I1288" s="42"/>
      <c r="J1288" s="42"/>
      <c r="K1288" s="42"/>
      <c r="L1288" s="46"/>
      <c r="M1288" s="46"/>
      <c r="N1288" s="46"/>
      <c r="O1288" s="61"/>
      <c r="P1288" s="62"/>
      <c r="Q1288" s="46"/>
      <c r="R1288" s="47"/>
      <c r="S1288" s="62"/>
      <c r="T1288" s="62"/>
      <c r="U1288" s="46"/>
      <c r="V1288" s="61"/>
      <c r="W1288" s="62"/>
      <c r="X1288" s="47"/>
      <c r="Y1288" s="46"/>
      <c r="Z1288" s="46"/>
      <c r="AA1288" s="46"/>
      <c r="AB1288" s="49"/>
      <c r="AC1288" s="42"/>
      <c r="AD1288" s="42"/>
      <c r="AE1288" s="50"/>
      <c r="AF1288" s="42"/>
      <c r="AG1288" s="42"/>
      <c r="AH1288" s="42"/>
      <c r="AI1288" s="42" t="str">
        <f t="array" ref="AI1288">XLOOKUP($E1288,Sheet11!$D:$D,Sheet11!$X:$X,"",0)</f>
        <v/>
      </c>
      <c r="AJ1288" s="42" t="str">
        <f t="array" ref="AJ1288">XLOOKUP($E1288,Sheet11!$D:$D,Sheet11!$Y:$Y,"",0)</f>
        <v/>
      </c>
    </row>
    <row r="1289">
      <c r="A1289" s="23"/>
      <c r="B1289" s="42"/>
      <c r="C1289" s="42"/>
      <c r="D1289" s="42"/>
      <c r="E1289" s="42"/>
      <c r="F1289" s="42"/>
      <c r="G1289" s="42"/>
      <c r="H1289" s="42"/>
      <c r="I1289" s="42"/>
      <c r="J1289" s="42"/>
      <c r="K1289" s="42"/>
      <c r="L1289" s="46"/>
      <c r="M1289" s="46"/>
      <c r="N1289" s="46"/>
      <c r="O1289" s="61"/>
      <c r="P1289" s="62"/>
      <c r="Q1289" s="46"/>
      <c r="R1289" s="47"/>
      <c r="S1289" s="62"/>
      <c r="T1289" s="62"/>
      <c r="U1289" s="46"/>
      <c r="V1289" s="61"/>
      <c r="W1289" s="62"/>
      <c r="X1289" s="47"/>
      <c r="Y1289" s="46"/>
      <c r="Z1289" s="46"/>
      <c r="AA1289" s="46"/>
      <c r="AB1289" s="49"/>
      <c r="AC1289" s="42"/>
      <c r="AD1289" s="42"/>
      <c r="AE1289" s="50"/>
      <c r="AF1289" s="42"/>
      <c r="AG1289" s="42"/>
      <c r="AH1289" s="42"/>
      <c r="AI1289" s="42" t="str">
        <f t="array" ref="AI1289">XLOOKUP($E1289,Sheet11!$D:$D,Sheet11!$X:$X,"",0)</f>
        <v/>
      </c>
      <c r="AJ1289" s="42" t="str">
        <f t="array" ref="AJ1289">XLOOKUP($E1289,Sheet11!$D:$D,Sheet11!$Y:$Y,"",0)</f>
        <v/>
      </c>
    </row>
    <row r="1290">
      <c r="A1290" s="23"/>
      <c r="B1290" s="42"/>
      <c r="C1290" s="42"/>
      <c r="D1290" s="42"/>
      <c r="E1290" s="42"/>
      <c r="F1290" s="42"/>
      <c r="G1290" s="42"/>
      <c r="H1290" s="42"/>
      <c r="I1290" s="42"/>
      <c r="J1290" s="42"/>
      <c r="K1290" s="42"/>
      <c r="L1290" s="46"/>
      <c r="M1290" s="46"/>
      <c r="N1290" s="46"/>
      <c r="O1290" s="61"/>
      <c r="P1290" s="62"/>
      <c r="Q1290" s="46"/>
      <c r="R1290" s="47"/>
      <c r="S1290" s="62"/>
      <c r="T1290" s="62"/>
      <c r="U1290" s="46"/>
      <c r="V1290" s="61"/>
      <c r="W1290" s="62"/>
      <c r="X1290" s="47"/>
      <c r="Y1290" s="46"/>
      <c r="Z1290" s="46"/>
      <c r="AA1290" s="46"/>
      <c r="AB1290" s="49"/>
      <c r="AC1290" s="42"/>
      <c r="AD1290" s="42"/>
      <c r="AE1290" s="50"/>
      <c r="AF1290" s="42"/>
      <c r="AG1290" s="42"/>
      <c r="AH1290" s="42"/>
      <c r="AI1290" s="42" t="str">
        <f t="array" ref="AI1290">XLOOKUP($E1290,Sheet11!$D:$D,Sheet11!$X:$X,"",0)</f>
        <v/>
      </c>
      <c r="AJ1290" s="42" t="str">
        <f t="array" ref="AJ1290">XLOOKUP($E1290,Sheet11!$D:$D,Sheet11!$Y:$Y,"",0)</f>
        <v/>
      </c>
    </row>
    <row r="1291">
      <c r="A1291" s="23"/>
      <c r="B1291" s="42"/>
      <c r="C1291" s="42"/>
      <c r="D1291" s="42"/>
      <c r="E1291" s="42"/>
      <c r="F1291" s="42"/>
      <c r="G1291" s="42"/>
      <c r="H1291" s="42"/>
      <c r="I1291" s="42"/>
      <c r="J1291" s="42"/>
      <c r="K1291" s="42"/>
      <c r="L1291" s="46"/>
      <c r="M1291" s="46"/>
      <c r="N1291" s="46"/>
      <c r="O1291" s="61"/>
      <c r="P1291" s="62"/>
      <c r="Q1291" s="46"/>
      <c r="R1291" s="47"/>
      <c r="S1291" s="62"/>
      <c r="T1291" s="62"/>
      <c r="U1291" s="46"/>
      <c r="V1291" s="61"/>
      <c r="W1291" s="62"/>
      <c r="X1291" s="47"/>
      <c r="Y1291" s="46"/>
      <c r="Z1291" s="46"/>
      <c r="AA1291" s="46"/>
      <c r="AB1291" s="49"/>
      <c r="AC1291" s="42"/>
      <c r="AD1291" s="42"/>
      <c r="AE1291" s="50"/>
      <c r="AF1291" s="42"/>
      <c r="AG1291" s="42"/>
      <c r="AH1291" s="42"/>
      <c r="AI1291" s="42" t="str">
        <f t="array" ref="AI1291">XLOOKUP($E1291,Sheet11!$D:$D,Sheet11!$X:$X,"",0)</f>
        <v/>
      </c>
      <c r="AJ1291" s="42" t="str">
        <f t="array" ref="AJ1291">XLOOKUP($E1291,Sheet11!$D:$D,Sheet11!$Y:$Y,"",0)</f>
        <v/>
      </c>
    </row>
    <row r="1292">
      <c r="A1292" s="23"/>
      <c r="B1292" s="42"/>
      <c r="C1292" s="42"/>
      <c r="D1292" s="42"/>
      <c r="E1292" s="42"/>
      <c r="F1292" s="42"/>
      <c r="G1292" s="42"/>
      <c r="H1292" s="42"/>
      <c r="I1292" s="42"/>
      <c r="J1292" s="42"/>
      <c r="K1292" s="42"/>
      <c r="L1292" s="46"/>
      <c r="M1292" s="46"/>
      <c r="N1292" s="46"/>
      <c r="O1292" s="61"/>
      <c r="P1292" s="62"/>
      <c r="Q1292" s="46"/>
      <c r="R1292" s="47"/>
      <c r="S1292" s="62"/>
      <c r="T1292" s="62"/>
      <c r="U1292" s="46"/>
      <c r="V1292" s="61"/>
      <c r="W1292" s="62"/>
      <c r="X1292" s="47"/>
      <c r="Y1292" s="46"/>
      <c r="Z1292" s="46"/>
      <c r="AA1292" s="46"/>
      <c r="AB1292" s="49"/>
      <c r="AC1292" s="42"/>
      <c r="AD1292" s="42"/>
      <c r="AE1292" s="50"/>
      <c r="AF1292" s="42"/>
      <c r="AG1292" s="42"/>
      <c r="AH1292" s="42"/>
      <c r="AI1292" s="42" t="str">
        <f t="array" ref="AI1292">XLOOKUP($E1292,Sheet11!$D:$D,Sheet11!$X:$X,"",0)</f>
        <v/>
      </c>
      <c r="AJ1292" s="42" t="str">
        <f t="array" ref="AJ1292">XLOOKUP($E1292,Sheet11!$D:$D,Sheet11!$Y:$Y,"",0)</f>
        <v/>
      </c>
    </row>
    <row r="1293">
      <c r="A1293" s="23"/>
      <c r="B1293" s="42"/>
      <c r="C1293" s="42"/>
      <c r="D1293" s="42"/>
      <c r="E1293" s="42"/>
      <c r="F1293" s="42"/>
      <c r="G1293" s="42"/>
      <c r="H1293" s="42"/>
      <c r="I1293" s="42"/>
      <c r="J1293" s="42"/>
      <c r="K1293" s="42"/>
      <c r="L1293" s="46"/>
      <c r="M1293" s="46"/>
      <c r="N1293" s="46"/>
      <c r="O1293" s="61"/>
      <c r="P1293" s="62"/>
      <c r="Q1293" s="46"/>
      <c r="R1293" s="47"/>
      <c r="S1293" s="62"/>
      <c r="T1293" s="62"/>
      <c r="U1293" s="46"/>
      <c r="V1293" s="61"/>
      <c r="W1293" s="62"/>
      <c r="X1293" s="47"/>
      <c r="Y1293" s="46"/>
      <c r="Z1293" s="46"/>
      <c r="AA1293" s="46"/>
      <c r="AB1293" s="49"/>
      <c r="AC1293" s="42"/>
      <c r="AD1293" s="42"/>
      <c r="AE1293" s="50"/>
      <c r="AF1293" s="42"/>
      <c r="AG1293" s="42"/>
      <c r="AH1293" s="42"/>
      <c r="AI1293" s="42" t="str">
        <f t="array" ref="AI1293">XLOOKUP($E1293,Sheet11!$D:$D,Sheet11!$X:$X,"",0)</f>
        <v/>
      </c>
      <c r="AJ1293" s="42" t="str">
        <f t="array" ref="AJ1293">XLOOKUP($E1293,Sheet11!$D:$D,Sheet11!$Y:$Y,"",0)</f>
        <v/>
      </c>
    </row>
    <row r="1294">
      <c r="A1294" s="23"/>
      <c r="B1294" s="42"/>
      <c r="C1294" s="42"/>
      <c r="D1294" s="42"/>
      <c r="E1294" s="42"/>
      <c r="F1294" s="42"/>
      <c r="G1294" s="42"/>
      <c r="H1294" s="42"/>
      <c r="I1294" s="42"/>
      <c r="J1294" s="42"/>
      <c r="K1294" s="42"/>
      <c r="L1294" s="46"/>
      <c r="M1294" s="46"/>
      <c r="N1294" s="46"/>
      <c r="O1294" s="61"/>
      <c r="P1294" s="62"/>
      <c r="Q1294" s="46"/>
      <c r="R1294" s="47"/>
      <c r="S1294" s="62"/>
      <c r="T1294" s="62"/>
      <c r="U1294" s="46"/>
      <c r="V1294" s="61"/>
      <c r="W1294" s="62"/>
      <c r="X1294" s="47"/>
      <c r="Y1294" s="46"/>
      <c r="Z1294" s="46"/>
      <c r="AA1294" s="46"/>
      <c r="AB1294" s="49"/>
      <c r="AC1294" s="42"/>
      <c r="AD1294" s="42"/>
      <c r="AE1294" s="50"/>
      <c r="AF1294" s="42"/>
      <c r="AG1294" s="42"/>
      <c r="AH1294" s="42"/>
      <c r="AI1294" s="42" t="str">
        <f t="array" ref="AI1294">XLOOKUP($E1294,Sheet11!$D:$D,Sheet11!$X:$X,"",0)</f>
        <v/>
      </c>
      <c r="AJ1294" s="42" t="str">
        <f t="array" ref="AJ1294">XLOOKUP($E1294,Sheet11!$D:$D,Sheet11!$Y:$Y,"",0)</f>
        <v/>
      </c>
    </row>
    <row r="1295">
      <c r="A1295" s="23"/>
      <c r="B1295" s="42"/>
      <c r="C1295" s="42"/>
      <c r="D1295" s="42"/>
      <c r="E1295" s="42"/>
      <c r="F1295" s="42"/>
      <c r="G1295" s="42"/>
      <c r="H1295" s="42"/>
      <c r="I1295" s="42"/>
      <c r="J1295" s="42"/>
      <c r="K1295" s="42"/>
      <c r="L1295" s="46"/>
      <c r="M1295" s="46"/>
      <c r="N1295" s="46"/>
      <c r="O1295" s="61"/>
      <c r="P1295" s="62"/>
      <c r="Q1295" s="46"/>
      <c r="R1295" s="47"/>
      <c r="S1295" s="62"/>
      <c r="T1295" s="62"/>
      <c r="U1295" s="46"/>
      <c r="V1295" s="61"/>
      <c r="W1295" s="62"/>
      <c r="X1295" s="47"/>
      <c r="Y1295" s="46"/>
      <c r="Z1295" s="46"/>
      <c r="AA1295" s="46"/>
      <c r="AB1295" s="49"/>
      <c r="AC1295" s="42"/>
      <c r="AD1295" s="42"/>
      <c r="AE1295" s="50"/>
      <c r="AF1295" s="42"/>
      <c r="AG1295" s="42"/>
      <c r="AH1295" s="42"/>
      <c r="AI1295" s="42" t="str">
        <f t="array" ref="AI1295">XLOOKUP($E1295,Sheet11!$D:$D,Sheet11!$X:$X,"",0)</f>
        <v/>
      </c>
      <c r="AJ1295" s="42" t="str">
        <f t="array" ref="AJ1295">XLOOKUP($E1295,Sheet11!$D:$D,Sheet11!$Y:$Y,"",0)</f>
        <v/>
      </c>
    </row>
    <row r="1296">
      <c r="A1296" s="23"/>
      <c r="B1296" s="42"/>
      <c r="C1296" s="42"/>
      <c r="D1296" s="42"/>
      <c r="E1296" s="42"/>
      <c r="F1296" s="42"/>
      <c r="G1296" s="42"/>
      <c r="H1296" s="42"/>
      <c r="I1296" s="42"/>
      <c r="J1296" s="42"/>
      <c r="K1296" s="42"/>
      <c r="L1296" s="46"/>
      <c r="M1296" s="46"/>
      <c r="N1296" s="46"/>
      <c r="O1296" s="61"/>
      <c r="P1296" s="62"/>
      <c r="Q1296" s="46"/>
      <c r="R1296" s="47"/>
      <c r="S1296" s="62"/>
      <c r="T1296" s="62"/>
      <c r="U1296" s="46"/>
      <c r="V1296" s="61"/>
      <c r="W1296" s="62"/>
      <c r="X1296" s="47"/>
      <c r="Y1296" s="46"/>
      <c r="Z1296" s="46"/>
      <c r="AA1296" s="46"/>
      <c r="AB1296" s="49"/>
      <c r="AC1296" s="42"/>
      <c r="AD1296" s="42"/>
      <c r="AE1296" s="50"/>
      <c r="AF1296" s="42"/>
      <c r="AG1296" s="42"/>
      <c r="AH1296" s="42"/>
      <c r="AI1296" s="42" t="str">
        <f t="array" ref="AI1296">XLOOKUP($E1296,Sheet11!$D:$D,Sheet11!$X:$X,"",0)</f>
        <v/>
      </c>
      <c r="AJ1296" s="42" t="str">
        <f t="array" ref="AJ1296">XLOOKUP($E1296,Sheet11!$D:$D,Sheet11!$Y:$Y,"",0)</f>
        <v/>
      </c>
    </row>
    <row r="1297">
      <c r="A1297" s="23"/>
      <c r="B1297" s="42"/>
      <c r="C1297" s="42"/>
      <c r="D1297" s="42"/>
      <c r="E1297" s="42"/>
      <c r="F1297" s="42"/>
      <c r="G1297" s="42"/>
      <c r="H1297" s="42"/>
      <c r="I1297" s="42"/>
      <c r="J1297" s="42"/>
      <c r="K1297" s="42"/>
      <c r="L1297" s="46"/>
      <c r="M1297" s="46"/>
      <c r="N1297" s="46"/>
      <c r="O1297" s="61"/>
      <c r="P1297" s="62"/>
      <c r="Q1297" s="46"/>
      <c r="R1297" s="47"/>
      <c r="S1297" s="62"/>
      <c r="T1297" s="62"/>
      <c r="U1297" s="46"/>
      <c r="V1297" s="61"/>
      <c r="W1297" s="62"/>
      <c r="X1297" s="47"/>
      <c r="Y1297" s="46"/>
      <c r="Z1297" s="46"/>
      <c r="AA1297" s="46"/>
      <c r="AB1297" s="49"/>
      <c r="AC1297" s="42"/>
      <c r="AD1297" s="42"/>
      <c r="AE1297" s="50"/>
      <c r="AF1297" s="42"/>
      <c r="AG1297" s="42"/>
      <c r="AH1297" s="42"/>
      <c r="AI1297" s="42" t="str">
        <f t="array" ref="AI1297">XLOOKUP($E1297,Sheet11!$D:$D,Sheet11!$X:$X,"",0)</f>
        <v/>
      </c>
      <c r="AJ1297" s="42" t="str">
        <f t="array" ref="AJ1297">XLOOKUP($E1297,Sheet11!$D:$D,Sheet11!$Y:$Y,"",0)</f>
        <v/>
      </c>
    </row>
    <row r="1298">
      <c r="A1298" s="23"/>
      <c r="B1298" s="42"/>
      <c r="C1298" s="42"/>
      <c r="D1298" s="42"/>
      <c r="E1298" s="42"/>
      <c r="F1298" s="42"/>
      <c r="G1298" s="42"/>
      <c r="H1298" s="42"/>
      <c r="I1298" s="42"/>
      <c r="J1298" s="42"/>
      <c r="K1298" s="42"/>
      <c r="L1298" s="46"/>
      <c r="M1298" s="46"/>
      <c r="N1298" s="46"/>
      <c r="O1298" s="61"/>
      <c r="P1298" s="62"/>
      <c r="Q1298" s="46"/>
      <c r="R1298" s="47"/>
      <c r="S1298" s="62"/>
      <c r="T1298" s="62"/>
      <c r="U1298" s="46"/>
      <c r="V1298" s="61"/>
      <c r="W1298" s="62"/>
      <c r="X1298" s="47"/>
      <c r="Y1298" s="46"/>
      <c r="Z1298" s="46"/>
      <c r="AA1298" s="46"/>
      <c r="AB1298" s="49"/>
      <c r="AC1298" s="42"/>
      <c r="AD1298" s="42"/>
      <c r="AE1298" s="50"/>
      <c r="AF1298" s="42"/>
      <c r="AG1298" s="42"/>
      <c r="AH1298" s="42"/>
      <c r="AI1298" s="42" t="str">
        <f t="array" ref="AI1298">XLOOKUP($E1298,Sheet11!$D:$D,Sheet11!$X:$X,"",0)</f>
        <v/>
      </c>
      <c r="AJ1298" s="42" t="str">
        <f t="array" ref="AJ1298">XLOOKUP($E1298,Sheet11!$D:$D,Sheet11!$Y:$Y,"",0)</f>
        <v/>
      </c>
    </row>
    <row r="1299">
      <c r="A1299" s="23"/>
      <c r="B1299" s="42"/>
      <c r="C1299" s="42"/>
      <c r="D1299" s="42"/>
      <c r="E1299" s="42"/>
      <c r="F1299" s="42"/>
      <c r="G1299" s="42"/>
      <c r="H1299" s="42"/>
      <c r="I1299" s="42"/>
      <c r="J1299" s="42"/>
      <c r="K1299" s="42"/>
      <c r="L1299" s="46"/>
      <c r="M1299" s="46"/>
      <c r="N1299" s="46"/>
      <c r="O1299" s="61"/>
      <c r="P1299" s="62"/>
      <c r="Q1299" s="46"/>
      <c r="R1299" s="47"/>
      <c r="S1299" s="62"/>
      <c r="T1299" s="62"/>
      <c r="U1299" s="46"/>
      <c r="V1299" s="61"/>
      <c r="W1299" s="62"/>
      <c r="X1299" s="47"/>
      <c r="Y1299" s="46"/>
      <c r="Z1299" s="46"/>
      <c r="AA1299" s="46"/>
      <c r="AB1299" s="49"/>
      <c r="AC1299" s="42"/>
      <c r="AD1299" s="42"/>
      <c r="AE1299" s="50"/>
      <c r="AF1299" s="42"/>
      <c r="AG1299" s="42"/>
      <c r="AH1299" s="42"/>
      <c r="AI1299" s="42" t="str">
        <f t="array" ref="AI1299">XLOOKUP($E1299,Sheet11!$D:$D,Sheet11!$X:$X,"",0)</f>
        <v/>
      </c>
      <c r="AJ1299" s="42" t="str">
        <f t="array" ref="AJ1299">XLOOKUP($E1299,Sheet11!$D:$D,Sheet11!$Y:$Y,"",0)</f>
        <v/>
      </c>
    </row>
    <row r="1300">
      <c r="A1300" s="23"/>
      <c r="B1300" s="42"/>
      <c r="C1300" s="42"/>
      <c r="D1300" s="42"/>
      <c r="E1300" s="42"/>
      <c r="F1300" s="42"/>
      <c r="G1300" s="42"/>
      <c r="H1300" s="42"/>
      <c r="I1300" s="42"/>
      <c r="J1300" s="42"/>
      <c r="K1300" s="42"/>
      <c r="L1300" s="46"/>
      <c r="M1300" s="46"/>
      <c r="N1300" s="46"/>
      <c r="O1300" s="61"/>
      <c r="P1300" s="62"/>
      <c r="Q1300" s="46"/>
      <c r="R1300" s="47"/>
      <c r="S1300" s="62"/>
      <c r="T1300" s="62"/>
      <c r="U1300" s="46"/>
      <c r="V1300" s="61"/>
      <c r="W1300" s="62"/>
      <c r="X1300" s="47"/>
      <c r="Y1300" s="46"/>
      <c r="Z1300" s="46"/>
      <c r="AA1300" s="46"/>
      <c r="AB1300" s="49"/>
      <c r="AC1300" s="42"/>
      <c r="AD1300" s="42"/>
      <c r="AE1300" s="50"/>
      <c r="AF1300" s="42"/>
      <c r="AG1300" s="42"/>
      <c r="AH1300" s="42"/>
      <c r="AI1300" s="42" t="str">
        <f t="array" ref="AI1300">XLOOKUP($E1300,Sheet11!$D:$D,Sheet11!$X:$X,"",0)</f>
        <v/>
      </c>
      <c r="AJ1300" s="42" t="str">
        <f t="array" ref="AJ1300">XLOOKUP($E1300,Sheet11!$D:$D,Sheet11!$Y:$Y,"",0)</f>
        <v/>
      </c>
    </row>
    <row r="1301">
      <c r="A1301" s="23"/>
      <c r="B1301" s="42"/>
      <c r="C1301" s="42"/>
      <c r="D1301" s="42"/>
      <c r="E1301" s="42"/>
      <c r="F1301" s="42"/>
      <c r="G1301" s="42"/>
      <c r="H1301" s="42"/>
      <c r="I1301" s="42"/>
      <c r="J1301" s="42"/>
      <c r="K1301" s="42"/>
      <c r="L1301" s="46"/>
      <c r="M1301" s="46"/>
      <c r="N1301" s="46"/>
      <c r="O1301" s="61"/>
      <c r="P1301" s="62"/>
      <c r="Q1301" s="46"/>
      <c r="R1301" s="47"/>
      <c r="S1301" s="62"/>
      <c r="T1301" s="62"/>
      <c r="U1301" s="46"/>
      <c r="V1301" s="61"/>
      <c r="W1301" s="62"/>
      <c r="X1301" s="47"/>
      <c r="Y1301" s="46"/>
      <c r="Z1301" s="46"/>
      <c r="AA1301" s="46"/>
      <c r="AB1301" s="49"/>
      <c r="AC1301" s="42"/>
      <c r="AD1301" s="42"/>
      <c r="AE1301" s="50"/>
      <c r="AF1301" s="42"/>
      <c r="AG1301" s="42"/>
      <c r="AH1301" s="42"/>
      <c r="AI1301" s="42" t="str">
        <f t="array" ref="AI1301">XLOOKUP($E1301,Sheet11!$D:$D,Sheet11!$X:$X,"",0)</f>
        <v/>
      </c>
      <c r="AJ1301" s="42" t="str">
        <f t="array" ref="AJ1301">XLOOKUP($E1301,Sheet11!$D:$D,Sheet11!$Y:$Y,"",0)</f>
        <v/>
      </c>
    </row>
    <row r="1302">
      <c r="A1302" s="23"/>
      <c r="B1302" s="42"/>
      <c r="C1302" s="42"/>
      <c r="D1302" s="42"/>
      <c r="E1302" s="42"/>
      <c r="F1302" s="42"/>
      <c r="G1302" s="42"/>
      <c r="H1302" s="42"/>
      <c r="I1302" s="42"/>
      <c r="J1302" s="42"/>
      <c r="K1302" s="42"/>
      <c r="L1302" s="46"/>
      <c r="M1302" s="46"/>
      <c r="N1302" s="46"/>
      <c r="O1302" s="61"/>
      <c r="P1302" s="62"/>
      <c r="Q1302" s="46"/>
      <c r="R1302" s="47"/>
      <c r="S1302" s="62"/>
      <c r="T1302" s="62"/>
      <c r="U1302" s="46"/>
      <c r="V1302" s="61"/>
      <c r="W1302" s="62"/>
      <c r="X1302" s="47"/>
      <c r="Y1302" s="46"/>
      <c r="Z1302" s="46"/>
      <c r="AA1302" s="46"/>
      <c r="AB1302" s="49"/>
      <c r="AC1302" s="42"/>
      <c r="AD1302" s="42"/>
      <c r="AE1302" s="50"/>
      <c r="AF1302" s="42"/>
      <c r="AG1302" s="42"/>
      <c r="AH1302" s="42"/>
      <c r="AI1302" s="42" t="str">
        <f t="array" ref="AI1302">XLOOKUP($E1302,Sheet11!$D:$D,Sheet11!$X:$X,"",0)</f>
        <v/>
      </c>
      <c r="AJ1302" s="42" t="str">
        <f t="array" ref="AJ1302">XLOOKUP($E1302,Sheet11!$D:$D,Sheet11!$Y:$Y,"",0)</f>
        <v/>
      </c>
    </row>
    <row r="1303">
      <c r="A1303" s="23"/>
      <c r="B1303" s="42"/>
      <c r="C1303" s="42"/>
      <c r="D1303" s="42"/>
      <c r="E1303" s="42"/>
      <c r="F1303" s="42"/>
      <c r="G1303" s="42"/>
      <c r="H1303" s="42"/>
      <c r="I1303" s="42"/>
      <c r="J1303" s="42"/>
      <c r="K1303" s="42"/>
      <c r="L1303" s="46"/>
      <c r="M1303" s="46"/>
      <c r="N1303" s="46"/>
      <c r="O1303" s="61"/>
      <c r="P1303" s="62"/>
      <c r="Q1303" s="46"/>
      <c r="R1303" s="47"/>
      <c r="S1303" s="62"/>
      <c r="T1303" s="62"/>
      <c r="U1303" s="46"/>
      <c r="V1303" s="61"/>
      <c r="W1303" s="62"/>
      <c r="X1303" s="47"/>
      <c r="Y1303" s="46"/>
      <c r="Z1303" s="46"/>
      <c r="AA1303" s="46"/>
      <c r="AB1303" s="49"/>
      <c r="AC1303" s="42"/>
      <c r="AD1303" s="42"/>
      <c r="AE1303" s="50"/>
      <c r="AF1303" s="42"/>
      <c r="AG1303" s="42"/>
      <c r="AH1303" s="42"/>
      <c r="AI1303" s="42" t="str">
        <f t="array" ref="AI1303">XLOOKUP($E1303,Sheet11!$D:$D,Sheet11!$X:$X,"",0)</f>
        <v/>
      </c>
      <c r="AJ1303" s="42" t="str">
        <f t="array" ref="AJ1303">XLOOKUP($E1303,Sheet11!$D:$D,Sheet11!$Y:$Y,"",0)</f>
        <v/>
      </c>
    </row>
    <row r="1304">
      <c r="A1304" s="23"/>
      <c r="B1304" s="42"/>
      <c r="C1304" s="42"/>
      <c r="D1304" s="42"/>
      <c r="E1304" s="42"/>
      <c r="F1304" s="42"/>
      <c r="G1304" s="42"/>
      <c r="H1304" s="42"/>
      <c r="I1304" s="42"/>
      <c r="J1304" s="42"/>
      <c r="K1304" s="42"/>
      <c r="L1304" s="46"/>
      <c r="M1304" s="46"/>
      <c r="N1304" s="46"/>
      <c r="O1304" s="61"/>
      <c r="P1304" s="62"/>
      <c r="Q1304" s="46"/>
      <c r="R1304" s="47"/>
      <c r="S1304" s="62"/>
      <c r="T1304" s="62"/>
      <c r="U1304" s="46"/>
      <c r="V1304" s="61"/>
      <c r="W1304" s="62"/>
      <c r="X1304" s="47"/>
      <c r="Y1304" s="46"/>
      <c r="Z1304" s="46"/>
      <c r="AA1304" s="46"/>
      <c r="AB1304" s="49"/>
      <c r="AC1304" s="42"/>
      <c r="AD1304" s="42"/>
      <c r="AE1304" s="50"/>
      <c r="AF1304" s="42"/>
      <c r="AG1304" s="42"/>
      <c r="AH1304" s="42"/>
      <c r="AI1304" s="42" t="str">
        <f t="array" ref="AI1304">XLOOKUP($E1304,Sheet11!$D:$D,Sheet11!$X:$X,"",0)</f>
        <v/>
      </c>
      <c r="AJ1304" s="42" t="str">
        <f t="array" ref="AJ1304">XLOOKUP($E1304,Sheet11!$D:$D,Sheet11!$Y:$Y,"",0)</f>
        <v/>
      </c>
    </row>
    <row r="1305">
      <c r="A1305" s="23"/>
      <c r="B1305" s="42"/>
      <c r="C1305" s="42"/>
      <c r="D1305" s="42"/>
      <c r="E1305" s="42"/>
      <c r="F1305" s="42"/>
      <c r="G1305" s="42"/>
      <c r="H1305" s="42"/>
      <c r="I1305" s="42"/>
      <c r="J1305" s="42"/>
      <c r="K1305" s="42"/>
      <c r="L1305" s="46"/>
      <c r="M1305" s="46"/>
      <c r="N1305" s="46"/>
      <c r="O1305" s="61"/>
      <c r="P1305" s="62"/>
      <c r="Q1305" s="46"/>
      <c r="R1305" s="47"/>
      <c r="S1305" s="62"/>
      <c r="T1305" s="62"/>
      <c r="U1305" s="46"/>
      <c r="V1305" s="61"/>
      <c r="W1305" s="62"/>
      <c r="X1305" s="47"/>
      <c r="Y1305" s="46"/>
      <c r="Z1305" s="46"/>
      <c r="AA1305" s="46"/>
      <c r="AB1305" s="49"/>
      <c r="AC1305" s="42"/>
      <c r="AD1305" s="42"/>
      <c r="AE1305" s="50"/>
      <c r="AF1305" s="42"/>
      <c r="AG1305" s="42"/>
      <c r="AH1305" s="42"/>
      <c r="AI1305" s="42" t="str">
        <f t="array" ref="AI1305">XLOOKUP($E1305,Sheet11!$D:$D,Sheet11!$X:$X,"",0)</f>
        <v/>
      </c>
      <c r="AJ1305" s="42" t="str">
        <f t="array" ref="AJ1305">XLOOKUP($E1305,Sheet11!$D:$D,Sheet11!$Y:$Y,"",0)</f>
        <v/>
      </c>
    </row>
    <row r="1306">
      <c r="A1306" s="23"/>
      <c r="B1306" s="42"/>
      <c r="C1306" s="42"/>
      <c r="D1306" s="42"/>
      <c r="E1306" s="42"/>
      <c r="F1306" s="42"/>
      <c r="G1306" s="42"/>
      <c r="H1306" s="42"/>
      <c r="I1306" s="42"/>
      <c r="J1306" s="42"/>
      <c r="K1306" s="42"/>
      <c r="L1306" s="46"/>
      <c r="M1306" s="46"/>
      <c r="N1306" s="46"/>
      <c r="O1306" s="61"/>
      <c r="P1306" s="62"/>
      <c r="Q1306" s="46"/>
      <c r="R1306" s="47"/>
      <c r="S1306" s="62"/>
      <c r="T1306" s="62"/>
      <c r="U1306" s="46"/>
      <c r="V1306" s="61"/>
      <c r="W1306" s="62"/>
      <c r="X1306" s="47"/>
      <c r="Y1306" s="46"/>
      <c r="Z1306" s="46"/>
      <c r="AA1306" s="46"/>
      <c r="AB1306" s="49"/>
      <c r="AC1306" s="42"/>
      <c r="AD1306" s="42"/>
      <c r="AE1306" s="50"/>
      <c r="AF1306" s="42"/>
      <c r="AG1306" s="42"/>
      <c r="AH1306" s="42"/>
      <c r="AI1306" s="42" t="str">
        <f t="array" ref="AI1306">XLOOKUP($E1306,Sheet11!$D:$D,Sheet11!$X:$X,"",0)</f>
        <v/>
      </c>
      <c r="AJ1306" s="42" t="str">
        <f t="array" ref="AJ1306">XLOOKUP($E1306,Sheet11!$D:$D,Sheet11!$Y:$Y,"",0)</f>
        <v/>
      </c>
    </row>
    <row r="1307">
      <c r="A1307" s="23"/>
      <c r="B1307" s="42"/>
      <c r="C1307" s="42"/>
      <c r="D1307" s="42"/>
      <c r="E1307" s="42"/>
      <c r="F1307" s="42"/>
      <c r="G1307" s="42"/>
      <c r="H1307" s="42"/>
      <c r="I1307" s="42"/>
      <c r="J1307" s="42"/>
      <c r="K1307" s="42"/>
      <c r="L1307" s="46"/>
      <c r="M1307" s="46"/>
      <c r="N1307" s="46"/>
      <c r="O1307" s="61"/>
      <c r="P1307" s="62"/>
      <c r="Q1307" s="46"/>
      <c r="R1307" s="47"/>
      <c r="S1307" s="62"/>
      <c r="T1307" s="62"/>
      <c r="U1307" s="46"/>
      <c r="V1307" s="61"/>
      <c r="W1307" s="62"/>
      <c r="X1307" s="47"/>
      <c r="Y1307" s="46"/>
      <c r="Z1307" s="46"/>
      <c r="AA1307" s="46"/>
      <c r="AB1307" s="49"/>
      <c r="AC1307" s="42"/>
      <c r="AD1307" s="42"/>
      <c r="AE1307" s="50"/>
      <c r="AF1307" s="42"/>
      <c r="AG1307" s="42"/>
      <c r="AH1307" s="42"/>
      <c r="AI1307" s="42" t="str">
        <f t="array" ref="AI1307">XLOOKUP($E1307,Sheet11!$D:$D,Sheet11!$X:$X,"",0)</f>
        <v/>
      </c>
      <c r="AJ1307" s="42" t="str">
        <f t="array" ref="AJ1307">XLOOKUP($E1307,Sheet11!$D:$D,Sheet11!$Y:$Y,"",0)</f>
        <v/>
      </c>
    </row>
    <row r="1308">
      <c r="A1308" s="23"/>
      <c r="B1308" s="42"/>
      <c r="C1308" s="42"/>
      <c r="D1308" s="42"/>
      <c r="E1308" s="42"/>
      <c r="F1308" s="42"/>
      <c r="G1308" s="42"/>
      <c r="H1308" s="42"/>
      <c r="I1308" s="42"/>
      <c r="J1308" s="42"/>
      <c r="K1308" s="42"/>
      <c r="L1308" s="46"/>
      <c r="M1308" s="46"/>
      <c r="N1308" s="46"/>
      <c r="O1308" s="61"/>
      <c r="P1308" s="62"/>
      <c r="Q1308" s="46"/>
      <c r="R1308" s="47"/>
      <c r="S1308" s="62"/>
      <c r="T1308" s="62"/>
      <c r="U1308" s="46"/>
      <c r="V1308" s="61"/>
      <c r="W1308" s="62"/>
      <c r="X1308" s="47"/>
      <c r="Y1308" s="46"/>
      <c r="Z1308" s="46"/>
      <c r="AA1308" s="46"/>
      <c r="AB1308" s="49"/>
      <c r="AC1308" s="42"/>
      <c r="AD1308" s="42"/>
      <c r="AE1308" s="50"/>
      <c r="AF1308" s="42"/>
      <c r="AG1308" s="42"/>
      <c r="AH1308" s="42"/>
      <c r="AI1308" s="42" t="str">
        <f t="array" ref="AI1308">XLOOKUP($E1308,Sheet11!$D:$D,Sheet11!$X:$X,"",0)</f>
        <v/>
      </c>
      <c r="AJ1308" s="42" t="str">
        <f t="array" ref="AJ1308">XLOOKUP($E1308,Sheet11!$D:$D,Sheet11!$Y:$Y,"",0)</f>
        <v/>
      </c>
    </row>
    <row r="1309">
      <c r="A1309" s="23"/>
      <c r="B1309" s="42"/>
      <c r="C1309" s="42"/>
      <c r="D1309" s="42"/>
      <c r="E1309" s="42"/>
      <c r="F1309" s="42"/>
      <c r="G1309" s="42"/>
      <c r="H1309" s="42"/>
      <c r="I1309" s="42"/>
      <c r="J1309" s="42"/>
      <c r="K1309" s="42"/>
      <c r="L1309" s="46"/>
      <c r="M1309" s="46"/>
      <c r="N1309" s="46"/>
      <c r="O1309" s="61"/>
      <c r="P1309" s="62"/>
      <c r="Q1309" s="46"/>
      <c r="R1309" s="47"/>
      <c r="S1309" s="62"/>
      <c r="T1309" s="62"/>
      <c r="U1309" s="46"/>
      <c r="V1309" s="61"/>
      <c r="W1309" s="62"/>
      <c r="X1309" s="47"/>
      <c r="Y1309" s="46"/>
      <c r="Z1309" s="46"/>
      <c r="AA1309" s="46"/>
      <c r="AB1309" s="49"/>
      <c r="AC1309" s="42"/>
      <c r="AD1309" s="42"/>
      <c r="AE1309" s="50"/>
      <c r="AF1309" s="42"/>
      <c r="AG1309" s="42"/>
      <c r="AH1309" s="42"/>
      <c r="AI1309" s="42" t="str">
        <f t="array" ref="AI1309">XLOOKUP($E1309,Sheet11!$D:$D,Sheet11!$X:$X,"",0)</f>
        <v/>
      </c>
      <c r="AJ1309" s="42" t="str">
        <f t="array" ref="AJ1309">XLOOKUP($E1309,Sheet11!$D:$D,Sheet11!$Y:$Y,"",0)</f>
        <v/>
      </c>
    </row>
    <row r="1310">
      <c r="A1310" s="23"/>
      <c r="B1310" s="42"/>
      <c r="C1310" s="42"/>
      <c r="D1310" s="42"/>
      <c r="E1310" s="42"/>
      <c r="F1310" s="42"/>
      <c r="G1310" s="42"/>
      <c r="H1310" s="42"/>
      <c r="I1310" s="42"/>
      <c r="J1310" s="42"/>
      <c r="K1310" s="42"/>
      <c r="L1310" s="46"/>
      <c r="M1310" s="46"/>
      <c r="N1310" s="46"/>
      <c r="O1310" s="61"/>
      <c r="P1310" s="62"/>
      <c r="Q1310" s="46"/>
      <c r="R1310" s="47"/>
      <c r="S1310" s="62"/>
      <c r="T1310" s="62"/>
      <c r="U1310" s="46"/>
      <c r="V1310" s="61"/>
      <c r="W1310" s="62"/>
      <c r="X1310" s="47"/>
      <c r="Y1310" s="46"/>
      <c r="Z1310" s="46"/>
      <c r="AA1310" s="46"/>
      <c r="AB1310" s="49"/>
      <c r="AC1310" s="42"/>
      <c r="AD1310" s="42"/>
      <c r="AE1310" s="50"/>
      <c r="AF1310" s="42"/>
      <c r="AG1310" s="42"/>
      <c r="AH1310" s="42"/>
      <c r="AI1310" s="42" t="str">
        <f t="array" ref="AI1310">XLOOKUP($E1310,Sheet11!$D:$D,Sheet11!$X:$X,"",0)</f>
        <v/>
      </c>
      <c r="AJ1310" s="42" t="str">
        <f t="array" ref="AJ1310">XLOOKUP($E1310,Sheet11!$D:$D,Sheet11!$Y:$Y,"",0)</f>
        <v/>
      </c>
    </row>
    <row r="1311">
      <c r="A1311" s="23"/>
      <c r="B1311" s="42"/>
      <c r="C1311" s="42"/>
      <c r="D1311" s="42"/>
      <c r="E1311" s="42"/>
      <c r="F1311" s="42"/>
      <c r="G1311" s="42"/>
      <c r="H1311" s="42"/>
      <c r="I1311" s="42"/>
      <c r="J1311" s="42"/>
      <c r="K1311" s="42"/>
      <c r="L1311" s="46"/>
      <c r="M1311" s="46"/>
      <c r="N1311" s="46"/>
      <c r="O1311" s="61"/>
      <c r="P1311" s="62"/>
      <c r="Q1311" s="46"/>
      <c r="R1311" s="47"/>
      <c r="S1311" s="62"/>
      <c r="T1311" s="62"/>
      <c r="U1311" s="46"/>
      <c r="V1311" s="61"/>
      <c r="W1311" s="62"/>
      <c r="X1311" s="47"/>
      <c r="Y1311" s="46"/>
      <c r="Z1311" s="46"/>
      <c r="AA1311" s="46"/>
      <c r="AB1311" s="49"/>
      <c r="AC1311" s="42"/>
      <c r="AD1311" s="42"/>
      <c r="AE1311" s="50"/>
      <c r="AF1311" s="42"/>
      <c r="AG1311" s="42"/>
      <c r="AH1311" s="42"/>
      <c r="AI1311" s="42" t="str">
        <f t="array" ref="AI1311">XLOOKUP($E1311,Sheet11!$D:$D,Sheet11!$X:$X,"",0)</f>
        <v/>
      </c>
      <c r="AJ1311" s="42" t="str">
        <f t="array" ref="AJ1311">XLOOKUP($E1311,Sheet11!$D:$D,Sheet11!$Y:$Y,"",0)</f>
        <v/>
      </c>
    </row>
    <row r="1312">
      <c r="A1312" s="23"/>
      <c r="B1312" s="42"/>
      <c r="C1312" s="42"/>
      <c r="D1312" s="42"/>
      <c r="E1312" s="42"/>
      <c r="F1312" s="42"/>
      <c r="G1312" s="42"/>
      <c r="H1312" s="42"/>
      <c r="I1312" s="42"/>
      <c r="J1312" s="42"/>
      <c r="K1312" s="42"/>
      <c r="L1312" s="46"/>
      <c r="M1312" s="46"/>
      <c r="N1312" s="46"/>
      <c r="O1312" s="61"/>
      <c r="P1312" s="62"/>
      <c r="Q1312" s="46"/>
      <c r="R1312" s="47"/>
      <c r="S1312" s="62"/>
      <c r="T1312" s="62"/>
      <c r="U1312" s="46"/>
      <c r="V1312" s="61"/>
      <c r="W1312" s="62"/>
      <c r="X1312" s="47"/>
      <c r="Y1312" s="46"/>
      <c r="Z1312" s="46"/>
      <c r="AA1312" s="46"/>
      <c r="AB1312" s="49"/>
      <c r="AC1312" s="42"/>
      <c r="AD1312" s="42"/>
      <c r="AE1312" s="50"/>
      <c r="AF1312" s="42"/>
      <c r="AG1312" s="42"/>
      <c r="AH1312" s="42"/>
      <c r="AI1312" s="42" t="str">
        <f t="array" ref="AI1312">XLOOKUP($E1312,Sheet11!$D:$D,Sheet11!$X:$X,"",0)</f>
        <v/>
      </c>
      <c r="AJ1312" s="42" t="str">
        <f t="array" ref="AJ1312">XLOOKUP($E1312,Sheet11!$D:$D,Sheet11!$Y:$Y,"",0)</f>
        <v/>
      </c>
    </row>
    <row r="1313">
      <c r="A1313" s="23"/>
      <c r="B1313" s="42"/>
      <c r="C1313" s="42"/>
      <c r="D1313" s="42"/>
      <c r="E1313" s="42"/>
      <c r="F1313" s="42"/>
      <c r="G1313" s="42"/>
      <c r="H1313" s="42"/>
      <c r="I1313" s="42"/>
      <c r="J1313" s="42"/>
      <c r="K1313" s="42"/>
      <c r="L1313" s="46"/>
      <c r="M1313" s="46"/>
      <c r="N1313" s="46"/>
      <c r="O1313" s="61"/>
      <c r="P1313" s="62"/>
      <c r="Q1313" s="46"/>
      <c r="R1313" s="47"/>
      <c r="S1313" s="62"/>
      <c r="T1313" s="62"/>
      <c r="U1313" s="46"/>
      <c r="V1313" s="61"/>
      <c r="W1313" s="62"/>
      <c r="X1313" s="47"/>
      <c r="Y1313" s="46"/>
      <c r="Z1313" s="46"/>
      <c r="AA1313" s="46"/>
      <c r="AB1313" s="49"/>
      <c r="AC1313" s="42"/>
      <c r="AD1313" s="42"/>
      <c r="AE1313" s="50"/>
      <c r="AF1313" s="42"/>
      <c r="AG1313" s="42"/>
      <c r="AH1313" s="42"/>
      <c r="AI1313" s="42" t="str">
        <f t="array" ref="AI1313">XLOOKUP($E1313,Sheet11!$D:$D,Sheet11!$X:$X,"",0)</f>
        <v/>
      </c>
      <c r="AJ1313" s="42" t="str">
        <f t="array" ref="AJ1313">XLOOKUP($E1313,Sheet11!$D:$D,Sheet11!$Y:$Y,"",0)</f>
        <v/>
      </c>
    </row>
    <row r="1314">
      <c r="A1314" s="23"/>
      <c r="B1314" s="42"/>
      <c r="C1314" s="42"/>
      <c r="D1314" s="42"/>
      <c r="E1314" s="42"/>
      <c r="F1314" s="42"/>
      <c r="G1314" s="42"/>
      <c r="H1314" s="42"/>
      <c r="I1314" s="42"/>
      <c r="J1314" s="42"/>
      <c r="K1314" s="42"/>
      <c r="L1314" s="46"/>
      <c r="M1314" s="46"/>
      <c r="N1314" s="46"/>
      <c r="O1314" s="61"/>
      <c r="P1314" s="62"/>
      <c r="Q1314" s="46"/>
      <c r="R1314" s="47"/>
      <c r="S1314" s="62"/>
      <c r="T1314" s="62"/>
      <c r="U1314" s="46"/>
      <c r="V1314" s="61"/>
      <c r="W1314" s="62"/>
      <c r="X1314" s="47"/>
      <c r="Y1314" s="46"/>
      <c r="Z1314" s="46"/>
      <c r="AA1314" s="46"/>
      <c r="AB1314" s="49"/>
      <c r="AC1314" s="42"/>
      <c r="AD1314" s="42"/>
      <c r="AE1314" s="50"/>
      <c r="AF1314" s="42"/>
      <c r="AG1314" s="42"/>
      <c r="AH1314" s="42"/>
      <c r="AI1314" s="42" t="str">
        <f t="array" ref="AI1314">XLOOKUP($E1314,Sheet11!$D:$D,Sheet11!$X:$X,"",0)</f>
        <v/>
      </c>
      <c r="AJ1314" s="42" t="str">
        <f t="array" ref="AJ1314">XLOOKUP($E1314,Sheet11!$D:$D,Sheet11!$Y:$Y,"",0)</f>
        <v/>
      </c>
    </row>
    <row r="1315">
      <c r="A1315" s="23"/>
      <c r="B1315" s="42"/>
      <c r="C1315" s="42"/>
      <c r="D1315" s="42"/>
      <c r="E1315" s="42"/>
      <c r="F1315" s="42"/>
      <c r="G1315" s="42"/>
      <c r="H1315" s="42"/>
      <c r="I1315" s="42"/>
      <c r="J1315" s="42"/>
      <c r="K1315" s="42"/>
      <c r="L1315" s="46"/>
      <c r="M1315" s="46"/>
      <c r="N1315" s="46"/>
      <c r="O1315" s="61"/>
      <c r="P1315" s="62"/>
      <c r="Q1315" s="46"/>
      <c r="R1315" s="47"/>
      <c r="S1315" s="62"/>
      <c r="T1315" s="62"/>
      <c r="U1315" s="46"/>
      <c r="V1315" s="61"/>
      <c r="W1315" s="62"/>
      <c r="X1315" s="47"/>
      <c r="Y1315" s="46"/>
      <c r="Z1315" s="46"/>
      <c r="AA1315" s="46"/>
      <c r="AB1315" s="49"/>
      <c r="AC1315" s="42"/>
      <c r="AD1315" s="42"/>
      <c r="AE1315" s="50"/>
      <c r="AF1315" s="42"/>
      <c r="AG1315" s="42"/>
      <c r="AH1315" s="42"/>
      <c r="AI1315" s="42" t="str">
        <f t="array" ref="AI1315">XLOOKUP($E1315,Sheet11!$D:$D,Sheet11!$X:$X,"",0)</f>
        <v/>
      </c>
      <c r="AJ1315" s="42" t="str">
        <f t="array" ref="AJ1315">XLOOKUP($E1315,Sheet11!$D:$D,Sheet11!$Y:$Y,"",0)</f>
        <v/>
      </c>
    </row>
    <row r="1316">
      <c r="A1316" s="23"/>
      <c r="B1316" s="42"/>
      <c r="C1316" s="42"/>
      <c r="D1316" s="42"/>
      <c r="E1316" s="42"/>
      <c r="F1316" s="42"/>
      <c r="G1316" s="42"/>
      <c r="H1316" s="42"/>
      <c r="I1316" s="42"/>
      <c r="J1316" s="42"/>
      <c r="K1316" s="42"/>
      <c r="L1316" s="46"/>
      <c r="M1316" s="46"/>
      <c r="N1316" s="46"/>
      <c r="O1316" s="61"/>
      <c r="P1316" s="62"/>
      <c r="Q1316" s="46"/>
      <c r="R1316" s="47"/>
      <c r="S1316" s="62"/>
      <c r="T1316" s="62"/>
      <c r="U1316" s="46"/>
      <c r="V1316" s="61"/>
      <c r="W1316" s="62"/>
      <c r="X1316" s="47"/>
      <c r="Y1316" s="46"/>
      <c r="Z1316" s="46"/>
      <c r="AA1316" s="46"/>
      <c r="AB1316" s="49"/>
      <c r="AC1316" s="42"/>
      <c r="AD1316" s="42"/>
      <c r="AE1316" s="50"/>
      <c r="AF1316" s="42"/>
      <c r="AG1316" s="42"/>
      <c r="AH1316" s="42"/>
      <c r="AI1316" s="42" t="str">
        <f t="array" ref="AI1316">XLOOKUP($E1316,Sheet11!$D:$D,Sheet11!$X:$X,"",0)</f>
        <v/>
      </c>
      <c r="AJ1316" s="42" t="str">
        <f t="array" ref="AJ1316">XLOOKUP($E1316,Sheet11!$D:$D,Sheet11!$Y:$Y,"",0)</f>
        <v/>
      </c>
    </row>
    <row r="1317">
      <c r="A1317" s="23"/>
      <c r="B1317" s="42"/>
      <c r="C1317" s="42"/>
      <c r="D1317" s="42"/>
      <c r="E1317" s="42"/>
      <c r="F1317" s="42"/>
      <c r="G1317" s="42"/>
      <c r="H1317" s="42"/>
      <c r="I1317" s="42"/>
      <c r="J1317" s="42"/>
      <c r="K1317" s="42"/>
      <c r="L1317" s="46"/>
      <c r="M1317" s="46"/>
      <c r="N1317" s="46"/>
      <c r="O1317" s="61"/>
      <c r="P1317" s="62"/>
      <c r="Q1317" s="46"/>
      <c r="R1317" s="47"/>
      <c r="S1317" s="62"/>
      <c r="T1317" s="62"/>
      <c r="U1317" s="46"/>
      <c r="V1317" s="61"/>
      <c r="W1317" s="62"/>
      <c r="X1317" s="47"/>
      <c r="Y1317" s="46"/>
      <c r="Z1317" s="46"/>
      <c r="AA1317" s="46"/>
      <c r="AB1317" s="49"/>
      <c r="AC1317" s="42"/>
      <c r="AD1317" s="42"/>
      <c r="AE1317" s="50"/>
      <c r="AF1317" s="42"/>
      <c r="AG1317" s="42"/>
      <c r="AH1317" s="42"/>
      <c r="AI1317" s="42" t="str">
        <f t="array" ref="AI1317">XLOOKUP($E1317,Sheet11!$D:$D,Sheet11!$X:$X,"",0)</f>
        <v/>
      </c>
      <c r="AJ1317" s="42" t="str">
        <f t="array" ref="AJ1317">XLOOKUP($E1317,Sheet11!$D:$D,Sheet11!$Y:$Y,"",0)</f>
        <v/>
      </c>
    </row>
    <row r="1318">
      <c r="A1318" s="23"/>
      <c r="B1318" s="42"/>
      <c r="C1318" s="42"/>
      <c r="D1318" s="42"/>
      <c r="E1318" s="42"/>
      <c r="F1318" s="42"/>
      <c r="G1318" s="42"/>
      <c r="H1318" s="42"/>
      <c r="I1318" s="42"/>
      <c r="J1318" s="42"/>
      <c r="K1318" s="42"/>
      <c r="L1318" s="46"/>
      <c r="M1318" s="46"/>
      <c r="N1318" s="46"/>
      <c r="O1318" s="61"/>
      <c r="P1318" s="62"/>
      <c r="Q1318" s="46"/>
      <c r="R1318" s="47"/>
      <c r="S1318" s="62"/>
      <c r="T1318" s="62"/>
      <c r="U1318" s="46"/>
      <c r="V1318" s="61"/>
      <c r="W1318" s="62"/>
      <c r="X1318" s="47"/>
      <c r="Y1318" s="46"/>
      <c r="Z1318" s="46"/>
      <c r="AA1318" s="46"/>
      <c r="AB1318" s="49"/>
      <c r="AC1318" s="42"/>
      <c r="AD1318" s="42"/>
      <c r="AE1318" s="50"/>
      <c r="AF1318" s="42"/>
      <c r="AG1318" s="42"/>
      <c r="AH1318" s="42"/>
      <c r="AI1318" s="42" t="str">
        <f t="array" ref="AI1318">XLOOKUP($E1318,Sheet11!$D:$D,Sheet11!$X:$X,"",0)</f>
        <v/>
      </c>
      <c r="AJ1318" s="42" t="str">
        <f t="array" ref="AJ1318">XLOOKUP($E1318,Sheet11!$D:$D,Sheet11!$Y:$Y,"",0)</f>
        <v/>
      </c>
    </row>
    <row r="1319">
      <c r="A1319" s="23"/>
      <c r="B1319" s="42"/>
      <c r="C1319" s="42"/>
      <c r="D1319" s="42"/>
      <c r="E1319" s="42"/>
      <c r="F1319" s="42"/>
      <c r="G1319" s="42"/>
      <c r="H1319" s="42"/>
      <c r="I1319" s="42"/>
      <c r="J1319" s="42"/>
      <c r="K1319" s="42"/>
      <c r="L1319" s="46"/>
      <c r="M1319" s="46"/>
      <c r="N1319" s="46"/>
      <c r="O1319" s="61"/>
      <c r="P1319" s="62"/>
      <c r="Q1319" s="46"/>
      <c r="R1319" s="47"/>
      <c r="S1319" s="62"/>
      <c r="T1319" s="62"/>
      <c r="U1319" s="46"/>
      <c r="V1319" s="61"/>
      <c r="W1319" s="62"/>
      <c r="X1319" s="47"/>
      <c r="Y1319" s="46"/>
      <c r="Z1319" s="46"/>
      <c r="AA1319" s="46"/>
      <c r="AB1319" s="49"/>
      <c r="AC1319" s="42"/>
      <c r="AD1319" s="42"/>
      <c r="AE1319" s="50"/>
      <c r="AF1319" s="42"/>
      <c r="AG1319" s="42"/>
      <c r="AH1319" s="42"/>
      <c r="AI1319" s="42" t="str">
        <f t="array" ref="AI1319">XLOOKUP($E1319,Sheet11!$D:$D,Sheet11!$X:$X,"",0)</f>
        <v/>
      </c>
      <c r="AJ1319" s="42" t="str">
        <f t="array" ref="AJ1319">XLOOKUP($E1319,Sheet11!$D:$D,Sheet11!$Y:$Y,"",0)</f>
        <v/>
      </c>
    </row>
    <row r="1320">
      <c r="A1320" s="23"/>
      <c r="B1320" s="42"/>
      <c r="C1320" s="42"/>
      <c r="D1320" s="42"/>
      <c r="E1320" s="42"/>
      <c r="F1320" s="42"/>
      <c r="G1320" s="42"/>
      <c r="H1320" s="42"/>
      <c r="I1320" s="42"/>
      <c r="J1320" s="42"/>
      <c r="K1320" s="42"/>
      <c r="L1320" s="46"/>
      <c r="M1320" s="46"/>
      <c r="N1320" s="46"/>
      <c r="O1320" s="61"/>
      <c r="P1320" s="62"/>
      <c r="Q1320" s="46"/>
      <c r="R1320" s="47"/>
      <c r="S1320" s="62"/>
      <c r="T1320" s="62"/>
      <c r="U1320" s="46"/>
      <c r="V1320" s="61"/>
      <c r="W1320" s="62"/>
      <c r="X1320" s="47"/>
      <c r="Y1320" s="46"/>
      <c r="Z1320" s="46"/>
      <c r="AA1320" s="46"/>
      <c r="AB1320" s="49"/>
      <c r="AC1320" s="42"/>
      <c r="AD1320" s="42"/>
      <c r="AE1320" s="50"/>
      <c r="AF1320" s="42"/>
      <c r="AG1320" s="42"/>
      <c r="AH1320" s="42"/>
      <c r="AI1320" s="42" t="str">
        <f t="array" ref="AI1320">XLOOKUP($E1320,Sheet11!$D:$D,Sheet11!$X:$X,"",0)</f>
        <v/>
      </c>
      <c r="AJ1320" s="42" t="str">
        <f t="array" ref="AJ1320">XLOOKUP($E1320,Sheet11!$D:$D,Sheet11!$Y:$Y,"",0)</f>
        <v/>
      </c>
    </row>
    <row r="1321">
      <c r="A1321" s="23"/>
      <c r="B1321" s="42"/>
      <c r="C1321" s="42"/>
      <c r="D1321" s="42"/>
      <c r="E1321" s="42"/>
      <c r="F1321" s="42"/>
      <c r="G1321" s="42"/>
      <c r="H1321" s="42"/>
      <c r="I1321" s="42"/>
      <c r="J1321" s="42"/>
      <c r="K1321" s="42"/>
      <c r="L1321" s="46"/>
      <c r="M1321" s="46"/>
      <c r="N1321" s="46"/>
      <c r="O1321" s="61"/>
      <c r="P1321" s="62"/>
      <c r="Q1321" s="46"/>
      <c r="R1321" s="47"/>
      <c r="S1321" s="62"/>
      <c r="T1321" s="62"/>
      <c r="U1321" s="46"/>
      <c r="V1321" s="61"/>
      <c r="W1321" s="62"/>
      <c r="X1321" s="47"/>
      <c r="Y1321" s="46"/>
      <c r="Z1321" s="46"/>
      <c r="AA1321" s="46"/>
      <c r="AB1321" s="49"/>
      <c r="AC1321" s="42"/>
      <c r="AD1321" s="42"/>
      <c r="AE1321" s="50"/>
      <c r="AF1321" s="42"/>
      <c r="AG1321" s="42"/>
      <c r="AH1321" s="42"/>
      <c r="AI1321" s="42" t="str">
        <f t="array" ref="AI1321">XLOOKUP($E1321,Sheet11!$D:$D,Sheet11!$X:$X,"",0)</f>
        <v/>
      </c>
      <c r="AJ1321" s="42" t="str">
        <f t="array" ref="AJ1321">XLOOKUP($E1321,Sheet11!$D:$D,Sheet11!$Y:$Y,"",0)</f>
        <v/>
      </c>
    </row>
    <row r="1322">
      <c r="A1322" s="23"/>
      <c r="B1322" s="42"/>
      <c r="C1322" s="42"/>
      <c r="D1322" s="42"/>
      <c r="E1322" s="42"/>
      <c r="F1322" s="42"/>
      <c r="G1322" s="42"/>
      <c r="H1322" s="42"/>
      <c r="I1322" s="42"/>
      <c r="J1322" s="42"/>
      <c r="K1322" s="42"/>
      <c r="L1322" s="46"/>
      <c r="M1322" s="46"/>
      <c r="N1322" s="46"/>
      <c r="O1322" s="61"/>
      <c r="P1322" s="62"/>
      <c r="Q1322" s="46"/>
      <c r="R1322" s="47"/>
      <c r="S1322" s="62"/>
      <c r="T1322" s="62"/>
      <c r="U1322" s="46"/>
      <c r="V1322" s="61"/>
      <c r="W1322" s="62"/>
      <c r="X1322" s="47"/>
      <c r="Y1322" s="46"/>
      <c r="Z1322" s="46"/>
      <c r="AA1322" s="46"/>
      <c r="AB1322" s="49"/>
      <c r="AC1322" s="42"/>
      <c r="AD1322" s="42"/>
      <c r="AE1322" s="50"/>
      <c r="AF1322" s="42"/>
      <c r="AG1322" s="42"/>
      <c r="AH1322" s="42"/>
      <c r="AI1322" s="42" t="str">
        <f t="array" ref="AI1322">XLOOKUP($E1322,Sheet11!$D:$D,Sheet11!$X:$X,"",0)</f>
        <v/>
      </c>
      <c r="AJ1322" s="42" t="str">
        <f t="array" ref="AJ1322">XLOOKUP($E1322,Sheet11!$D:$D,Sheet11!$Y:$Y,"",0)</f>
        <v/>
      </c>
    </row>
    <row r="1323">
      <c r="A1323" s="23"/>
      <c r="B1323" s="42"/>
      <c r="C1323" s="42"/>
      <c r="D1323" s="42"/>
      <c r="E1323" s="42"/>
      <c r="F1323" s="42"/>
      <c r="G1323" s="42"/>
      <c r="H1323" s="42"/>
      <c r="I1323" s="42"/>
      <c r="J1323" s="42"/>
      <c r="K1323" s="42"/>
      <c r="L1323" s="46"/>
      <c r="M1323" s="46"/>
      <c r="N1323" s="46"/>
      <c r="O1323" s="61"/>
      <c r="P1323" s="62"/>
      <c r="Q1323" s="46"/>
      <c r="R1323" s="47"/>
      <c r="S1323" s="62"/>
      <c r="T1323" s="62"/>
      <c r="U1323" s="46"/>
      <c r="V1323" s="61"/>
      <c r="W1323" s="62"/>
      <c r="X1323" s="47"/>
      <c r="Y1323" s="46"/>
      <c r="Z1323" s="46"/>
      <c r="AA1323" s="46"/>
      <c r="AB1323" s="49"/>
      <c r="AC1323" s="42"/>
      <c r="AD1323" s="42"/>
      <c r="AE1323" s="50"/>
      <c r="AF1323" s="42"/>
      <c r="AG1323" s="42"/>
      <c r="AH1323" s="42"/>
      <c r="AI1323" s="42" t="str">
        <f t="array" ref="AI1323">XLOOKUP($E1323,Sheet11!$D:$D,Sheet11!$X:$X,"",0)</f>
        <v/>
      </c>
      <c r="AJ1323" s="42" t="str">
        <f t="array" ref="AJ1323">XLOOKUP($E1323,Sheet11!$D:$D,Sheet11!$Y:$Y,"",0)</f>
        <v/>
      </c>
    </row>
    <row r="1324">
      <c r="A1324" s="23"/>
      <c r="B1324" s="42"/>
      <c r="C1324" s="42"/>
      <c r="D1324" s="42"/>
      <c r="E1324" s="42"/>
      <c r="F1324" s="42"/>
      <c r="G1324" s="42"/>
      <c r="H1324" s="42"/>
      <c r="I1324" s="42"/>
      <c r="J1324" s="42"/>
      <c r="K1324" s="42"/>
      <c r="L1324" s="46"/>
      <c r="M1324" s="46"/>
      <c r="N1324" s="46"/>
      <c r="O1324" s="61"/>
      <c r="P1324" s="62"/>
      <c r="Q1324" s="46"/>
      <c r="R1324" s="47"/>
      <c r="S1324" s="62"/>
      <c r="T1324" s="62"/>
      <c r="U1324" s="46"/>
      <c r="V1324" s="61"/>
      <c r="W1324" s="62"/>
      <c r="X1324" s="47"/>
      <c r="Y1324" s="46"/>
      <c r="Z1324" s="46"/>
      <c r="AA1324" s="46"/>
      <c r="AB1324" s="49"/>
      <c r="AC1324" s="42"/>
      <c r="AD1324" s="42"/>
      <c r="AE1324" s="50"/>
      <c r="AF1324" s="42"/>
      <c r="AG1324" s="42"/>
      <c r="AH1324" s="42"/>
      <c r="AI1324" s="42" t="str">
        <f t="array" ref="AI1324">XLOOKUP($E1324,Sheet11!$D:$D,Sheet11!$X:$X,"",0)</f>
        <v/>
      </c>
      <c r="AJ1324" s="42" t="str">
        <f t="array" ref="AJ1324">XLOOKUP($E1324,Sheet11!$D:$D,Sheet11!$Y:$Y,"",0)</f>
        <v/>
      </c>
    </row>
    <row r="1325">
      <c r="A1325" s="23"/>
      <c r="B1325" s="42"/>
      <c r="C1325" s="42"/>
      <c r="D1325" s="42"/>
      <c r="E1325" s="42"/>
      <c r="F1325" s="42"/>
      <c r="G1325" s="42"/>
      <c r="H1325" s="42"/>
      <c r="I1325" s="42"/>
      <c r="J1325" s="42"/>
      <c r="K1325" s="42"/>
      <c r="L1325" s="46"/>
      <c r="M1325" s="46"/>
      <c r="N1325" s="46"/>
      <c r="O1325" s="61"/>
      <c r="P1325" s="62"/>
      <c r="Q1325" s="46"/>
      <c r="R1325" s="47"/>
      <c r="S1325" s="62"/>
      <c r="T1325" s="62"/>
      <c r="U1325" s="46"/>
      <c r="V1325" s="61"/>
      <c r="W1325" s="62"/>
      <c r="X1325" s="47"/>
      <c r="Y1325" s="46"/>
      <c r="Z1325" s="46"/>
      <c r="AA1325" s="46"/>
      <c r="AB1325" s="49"/>
      <c r="AC1325" s="42"/>
      <c r="AD1325" s="42"/>
      <c r="AE1325" s="50"/>
      <c r="AF1325" s="42"/>
      <c r="AG1325" s="42"/>
      <c r="AH1325" s="42"/>
      <c r="AI1325" s="42" t="str">
        <f t="array" ref="AI1325">XLOOKUP($E1325,Sheet11!$D:$D,Sheet11!$X:$X,"",0)</f>
        <v/>
      </c>
      <c r="AJ1325" s="42" t="str">
        <f t="array" ref="AJ1325">XLOOKUP($E1325,Sheet11!$D:$D,Sheet11!$Y:$Y,"",0)</f>
        <v/>
      </c>
    </row>
    <row r="1326">
      <c r="A1326" s="23"/>
      <c r="B1326" s="42"/>
      <c r="C1326" s="42"/>
      <c r="D1326" s="42"/>
      <c r="E1326" s="42"/>
      <c r="F1326" s="42"/>
      <c r="G1326" s="42"/>
      <c r="H1326" s="42"/>
      <c r="I1326" s="42"/>
      <c r="J1326" s="42"/>
      <c r="K1326" s="42"/>
      <c r="L1326" s="46"/>
      <c r="M1326" s="46"/>
      <c r="N1326" s="46"/>
      <c r="O1326" s="61"/>
      <c r="P1326" s="62"/>
      <c r="Q1326" s="46"/>
      <c r="R1326" s="47"/>
      <c r="S1326" s="62"/>
      <c r="T1326" s="62"/>
      <c r="U1326" s="46"/>
      <c r="V1326" s="61"/>
      <c r="W1326" s="62"/>
      <c r="X1326" s="47"/>
      <c r="Y1326" s="46"/>
      <c r="Z1326" s="46"/>
      <c r="AA1326" s="46"/>
      <c r="AB1326" s="49"/>
      <c r="AC1326" s="42"/>
      <c r="AD1326" s="42"/>
      <c r="AE1326" s="50"/>
      <c r="AF1326" s="42"/>
      <c r="AG1326" s="42"/>
      <c r="AH1326" s="42"/>
      <c r="AI1326" s="42" t="str">
        <f t="array" ref="AI1326">XLOOKUP($E1326,Sheet11!$D:$D,Sheet11!$X:$X,"",0)</f>
        <v/>
      </c>
      <c r="AJ1326" s="42" t="str">
        <f t="array" ref="AJ1326">XLOOKUP($E1326,Sheet11!$D:$D,Sheet11!$Y:$Y,"",0)</f>
        <v/>
      </c>
    </row>
    <row r="1327">
      <c r="A1327" s="23"/>
      <c r="B1327" s="42"/>
      <c r="C1327" s="42"/>
      <c r="D1327" s="42"/>
      <c r="E1327" s="42"/>
      <c r="F1327" s="42"/>
      <c r="G1327" s="42"/>
      <c r="H1327" s="42"/>
      <c r="I1327" s="42"/>
      <c r="J1327" s="42"/>
      <c r="K1327" s="42"/>
      <c r="L1327" s="46"/>
      <c r="M1327" s="46"/>
      <c r="N1327" s="46"/>
      <c r="O1327" s="61"/>
      <c r="P1327" s="62"/>
      <c r="Q1327" s="46"/>
      <c r="R1327" s="47"/>
      <c r="S1327" s="62"/>
      <c r="T1327" s="62"/>
      <c r="U1327" s="46"/>
      <c r="V1327" s="61"/>
      <c r="W1327" s="62"/>
      <c r="X1327" s="47"/>
      <c r="Y1327" s="46"/>
      <c r="Z1327" s="46"/>
      <c r="AA1327" s="46"/>
      <c r="AB1327" s="49"/>
      <c r="AC1327" s="42"/>
      <c r="AD1327" s="42"/>
      <c r="AE1327" s="50"/>
      <c r="AF1327" s="42"/>
      <c r="AG1327" s="42"/>
      <c r="AH1327" s="42"/>
      <c r="AI1327" s="42" t="str">
        <f t="array" ref="AI1327">XLOOKUP($E1327,Sheet11!$D:$D,Sheet11!$X:$X,"",0)</f>
        <v/>
      </c>
      <c r="AJ1327" s="42" t="str">
        <f t="array" ref="AJ1327">XLOOKUP($E1327,Sheet11!$D:$D,Sheet11!$Y:$Y,"",0)</f>
        <v/>
      </c>
    </row>
    <row r="1328">
      <c r="A1328" s="23"/>
      <c r="B1328" s="42"/>
      <c r="C1328" s="42"/>
      <c r="D1328" s="42"/>
      <c r="E1328" s="42"/>
      <c r="F1328" s="42"/>
      <c r="G1328" s="42"/>
      <c r="H1328" s="42"/>
      <c r="I1328" s="42"/>
      <c r="J1328" s="42"/>
      <c r="K1328" s="42"/>
      <c r="L1328" s="46"/>
      <c r="M1328" s="46"/>
      <c r="N1328" s="46"/>
      <c r="O1328" s="61"/>
      <c r="P1328" s="62"/>
      <c r="Q1328" s="46"/>
      <c r="R1328" s="47"/>
      <c r="S1328" s="62"/>
      <c r="T1328" s="62"/>
      <c r="U1328" s="46"/>
      <c r="V1328" s="61"/>
      <c r="W1328" s="62"/>
      <c r="X1328" s="47"/>
      <c r="Y1328" s="46"/>
      <c r="Z1328" s="46"/>
      <c r="AA1328" s="46"/>
      <c r="AB1328" s="49"/>
      <c r="AC1328" s="42"/>
      <c r="AD1328" s="42"/>
      <c r="AE1328" s="50"/>
      <c r="AF1328" s="42"/>
      <c r="AG1328" s="42"/>
      <c r="AH1328" s="42"/>
      <c r="AI1328" s="42" t="str">
        <f t="array" ref="AI1328">XLOOKUP($E1328,Sheet11!$D:$D,Sheet11!$X:$X,"",0)</f>
        <v/>
      </c>
      <c r="AJ1328" s="42" t="str">
        <f t="array" ref="AJ1328">XLOOKUP($E1328,Sheet11!$D:$D,Sheet11!$Y:$Y,"",0)</f>
        <v/>
      </c>
    </row>
    <row r="1329">
      <c r="A1329" s="23"/>
      <c r="B1329" s="42"/>
      <c r="C1329" s="42"/>
      <c r="D1329" s="42"/>
      <c r="E1329" s="42"/>
      <c r="F1329" s="42"/>
      <c r="G1329" s="42"/>
      <c r="H1329" s="42"/>
      <c r="I1329" s="42"/>
      <c r="J1329" s="42"/>
      <c r="K1329" s="42"/>
      <c r="L1329" s="46"/>
      <c r="M1329" s="46"/>
      <c r="N1329" s="46"/>
      <c r="O1329" s="61"/>
      <c r="P1329" s="62"/>
      <c r="Q1329" s="46"/>
      <c r="R1329" s="47"/>
      <c r="S1329" s="62"/>
      <c r="T1329" s="62"/>
      <c r="U1329" s="46"/>
      <c r="V1329" s="61"/>
      <c r="W1329" s="62"/>
      <c r="X1329" s="47"/>
      <c r="Y1329" s="46"/>
      <c r="Z1329" s="46"/>
      <c r="AA1329" s="46"/>
      <c r="AB1329" s="49"/>
      <c r="AC1329" s="42"/>
      <c r="AD1329" s="42"/>
      <c r="AE1329" s="50"/>
      <c r="AF1329" s="42"/>
      <c r="AG1329" s="42"/>
      <c r="AH1329" s="42"/>
      <c r="AI1329" s="42" t="str">
        <f t="array" ref="AI1329">XLOOKUP($E1329,Sheet11!$D:$D,Sheet11!$X:$X,"",0)</f>
        <v/>
      </c>
      <c r="AJ1329" s="42" t="str">
        <f t="array" ref="AJ1329">XLOOKUP($E1329,Sheet11!$D:$D,Sheet11!$Y:$Y,"",0)</f>
        <v/>
      </c>
    </row>
    <row r="1330">
      <c r="A1330" s="23"/>
      <c r="B1330" s="42"/>
      <c r="C1330" s="42"/>
      <c r="D1330" s="42"/>
      <c r="E1330" s="42"/>
      <c r="F1330" s="42"/>
      <c r="G1330" s="42"/>
      <c r="H1330" s="42"/>
      <c r="I1330" s="42"/>
      <c r="J1330" s="42"/>
      <c r="K1330" s="42"/>
      <c r="L1330" s="46"/>
      <c r="M1330" s="46"/>
      <c r="N1330" s="46"/>
      <c r="O1330" s="61"/>
      <c r="P1330" s="62"/>
      <c r="Q1330" s="46"/>
      <c r="R1330" s="47"/>
      <c r="S1330" s="62"/>
      <c r="T1330" s="62"/>
      <c r="U1330" s="46"/>
      <c r="V1330" s="61"/>
      <c r="W1330" s="62"/>
      <c r="X1330" s="47"/>
      <c r="Y1330" s="46"/>
      <c r="Z1330" s="46"/>
      <c r="AA1330" s="46"/>
      <c r="AB1330" s="49"/>
      <c r="AC1330" s="42"/>
      <c r="AD1330" s="42"/>
      <c r="AE1330" s="50"/>
      <c r="AF1330" s="42"/>
      <c r="AG1330" s="42"/>
      <c r="AH1330" s="42"/>
      <c r="AI1330" s="42" t="str">
        <f t="array" ref="AI1330">XLOOKUP($E1330,Sheet11!$D:$D,Sheet11!$X:$X,"",0)</f>
        <v/>
      </c>
      <c r="AJ1330" s="42" t="str">
        <f t="array" ref="AJ1330">XLOOKUP($E1330,Sheet11!$D:$D,Sheet11!$Y:$Y,"",0)</f>
        <v/>
      </c>
    </row>
    <row r="1331">
      <c r="A1331" s="23"/>
      <c r="B1331" s="42"/>
      <c r="C1331" s="42"/>
      <c r="D1331" s="42"/>
      <c r="E1331" s="42"/>
      <c r="F1331" s="42"/>
      <c r="G1331" s="42"/>
      <c r="H1331" s="42"/>
      <c r="I1331" s="42"/>
      <c r="J1331" s="42"/>
      <c r="K1331" s="42"/>
      <c r="L1331" s="46"/>
      <c r="M1331" s="46"/>
      <c r="N1331" s="46"/>
      <c r="O1331" s="61"/>
      <c r="P1331" s="62"/>
      <c r="Q1331" s="46"/>
      <c r="R1331" s="47"/>
      <c r="S1331" s="62"/>
      <c r="T1331" s="62"/>
      <c r="U1331" s="46"/>
      <c r="V1331" s="61"/>
      <c r="W1331" s="62"/>
      <c r="X1331" s="47"/>
      <c r="Y1331" s="46"/>
      <c r="Z1331" s="46"/>
      <c r="AA1331" s="46"/>
      <c r="AB1331" s="49"/>
      <c r="AC1331" s="42"/>
      <c r="AD1331" s="42"/>
      <c r="AE1331" s="50"/>
      <c r="AF1331" s="42"/>
      <c r="AG1331" s="42"/>
      <c r="AH1331" s="42"/>
      <c r="AI1331" s="42" t="str">
        <f t="array" ref="AI1331">XLOOKUP($E1331,Sheet11!$D:$D,Sheet11!$X:$X,"",0)</f>
        <v/>
      </c>
      <c r="AJ1331" s="42" t="str">
        <f t="array" ref="AJ1331">XLOOKUP($E1331,Sheet11!$D:$D,Sheet11!$Y:$Y,"",0)</f>
        <v/>
      </c>
    </row>
    <row r="1332">
      <c r="A1332" s="23"/>
      <c r="B1332" s="42"/>
      <c r="C1332" s="42"/>
      <c r="D1332" s="42"/>
      <c r="E1332" s="42"/>
      <c r="F1332" s="42"/>
      <c r="G1332" s="42"/>
      <c r="H1332" s="42"/>
      <c r="I1332" s="42"/>
      <c r="J1332" s="42"/>
      <c r="K1332" s="42"/>
      <c r="L1332" s="46"/>
      <c r="M1332" s="46"/>
      <c r="N1332" s="46"/>
      <c r="O1332" s="61"/>
      <c r="P1332" s="62"/>
      <c r="Q1332" s="46"/>
      <c r="R1332" s="47"/>
      <c r="S1332" s="62"/>
      <c r="T1332" s="62"/>
      <c r="U1332" s="46"/>
      <c r="V1332" s="61"/>
      <c r="W1332" s="62"/>
      <c r="X1332" s="47"/>
      <c r="Y1332" s="46"/>
      <c r="Z1332" s="46"/>
      <c r="AA1332" s="46"/>
      <c r="AB1332" s="49"/>
      <c r="AC1332" s="42"/>
      <c r="AD1332" s="42"/>
      <c r="AE1332" s="50"/>
      <c r="AF1332" s="42"/>
      <c r="AG1332" s="42"/>
      <c r="AH1332" s="42"/>
      <c r="AI1332" s="42" t="str">
        <f t="array" ref="AI1332">XLOOKUP($E1332,Sheet11!$D:$D,Sheet11!$X:$X,"",0)</f>
        <v/>
      </c>
      <c r="AJ1332" s="42" t="str">
        <f t="array" ref="AJ1332">XLOOKUP($E1332,Sheet11!$D:$D,Sheet11!$Y:$Y,"",0)</f>
        <v/>
      </c>
    </row>
    <row r="1333">
      <c r="A1333" s="23"/>
      <c r="B1333" s="42"/>
      <c r="C1333" s="42"/>
      <c r="D1333" s="42"/>
      <c r="E1333" s="42"/>
      <c r="F1333" s="42"/>
      <c r="G1333" s="42"/>
      <c r="H1333" s="42"/>
      <c r="I1333" s="42"/>
      <c r="J1333" s="42"/>
      <c r="K1333" s="42"/>
      <c r="L1333" s="46"/>
      <c r="M1333" s="46"/>
      <c r="N1333" s="46"/>
      <c r="O1333" s="61"/>
      <c r="P1333" s="62"/>
      <c r="Q1333" s="46"/>
      <c r="R1333" s="47"/>
      <c r="S1333" s="62"/>
      <c r="T1333" s="62"/>
      <c r="U1333" s="46"/>
      <c r="V1333" s="61"/>
      <c r="W1333" s="62"/>
      <c r="X1333" s="47"/>
      <c r="Y1333" s="46"/>
      <c r="Z1333" s="46"/>
      <c r="AA1333" s="46"/>
      <c r="AB1333" s="49"/>
      <c r="AC1333" s="42"/>
      <c r="AD1333" s="42"/>
      <c r="AE1333" s="50"/>
      <c r="AF1333" s="42"/>
      <c r="AG1333" s="42"/>
      <c r="AH1333" s="42"/>
      <c r="AI1333" s="42" t="str">
        <f t="array" ref="AI1333">XLOOKUP($E1333,Sheet11!$D:$D,Sheet11!$X:$X,"",0)</f>
        <v/>
      </c>
      <c r="AJ1333" s="42" t="str">
        <f t="array" ref="AJ1333">XLOOKUP($E1333,Sheet11!$D:$D,Sheet11!$Y:$Y,"",0)</f>
        <v/>
      </c>
    </row>
    <row r="1334">
      <c r="A1334" s="23"/>
      <c r="B1334" s="42"/>
      <c r="C1334" s="42"/>
      <c r="D1334" s="42"/>
      <c r="E1334" s="42"/>
      <c r="F1334" s="42"/>
      <c r="G1334" s="42"/>
      <c r="H1334" s="42"/>
      <c r="I1334" s="42"/>
      <c r="J1334" s="42"/>
      <c r="K1334" s="42"/>
      <c r="L1334" s="46"/>
      <c r="M1334" s="46"/>
      <c r="N1334" s="46"/>
      <c r="O1334" s="61"/>
      <c r="P1334" s="62"/>
      <c r="Q1334" s="46"/>
      <c r="R1334" s="47"/>
      <c r="S1334" s="62"/>
      <c r="T1334" s="62"/>
      <c r="U1334" s="46"/>
      <c r="V1334" s="61"/>
      <c r="W1334" s="62"/>
      <c r="X1334" s="47"/>
      <c r="Y1334" s="46"/>
      <c r="Z1334" s="46"/>
      <c r="AA1334" s="46"/>
      <c r="AB1334" s="49"/>
      <c r="AC1334" s="42"/>
      <c r="AD1334" s="42"/>
      <c r="AE1334" s="50"/>
      <c r="AF1334" s="42"/>
      <c r="AG1334" s="42"/>
      <c r="AH1334" s="42"/>
      <c r="AI1334" s="42" t="str">
        <f t="array" ref="AI1334">XLOOKUP($E1334,Sheet11!$D:$D,Sheet11!$X:$X,"",0)</f>
        <v/>
      </c>
      <c r="AJ1334" s="42" t="str">
        <f t="array" ref="AJ1334">XLOOKUP($E1334,Sheet11!$D:$D,Sheet11!$Y:$Y,"",0)</f>
        <v/>
      </c>
    </row>
    <row r="1335">
      <c r="A1335" s="23"/>
      <c r="B1335" s="42"/>
      <c r="C1335" s="42"/>
      <c r="D1335" s="42"/>
      <c r="E1335" s="42"/>
      <c r="F1335" s="42"/>
      <c r="G1335" s="42"/>
      <c r="H1335" s="42"/>
      <c r="I1335" s="42"/>
      <c r="J1335" s="42"/>
      <c r="K1335" s="42"/>
      <c r="L1335" s="46"/>
      <c r="M1335" s="46"/>
      <c r="N1335" s="46"/>
      <c r="O1335" s="61"/>
      <c r="P1335" s="62"/>
      <c r="Q1335" s="46"/>
      <c r="R1335" s="47"/>
      <c r="S1335" s="62"/>
      <c r="T1335" s="62"/>
      <c r="U1335" s="46"/>
      <c r="V1335" s="61"/>
      <c r="W1335" s="62"/>
      <c r="X1335" s="47"/>
      <c r="Y1335" s="46"/>
      <c r="Z1335" s="46"/>
      <c r="AA1335" s="46"/>
      <c r="AB1335" s="49"/>
      <c r="AC1335" s="42"/>
      <c r="AD1335" s="42"/>
      <c r="AE1335" s="50"/>
      <c r="AF1335" s="42"/>
      <c r="AG1335" s="42"/>
      <c r="AH1335" s="42"/>
      <c r="AI1335" s="42" t="str">
        <f t="array" ref="AI1335">XLOOKUP($E1335,Sheet11!$D:$D,Sheet11!$X:$X,"",0)</f>
        <v/>
      </c>
      <c r="AJ1335" s="42" t="str">
        <f t="array" ref="AJ1335">XLOOKUP($E1335,Sheet11!$D:$D,Sheet11!$Y:$Y,"",0)</f>
        <v/>
      </c>
    </row>
    <row r="1336">
      <c r="A1336" s="23"/>
      <c r="B1336" s="42"/>
      <c r="C1336" s="42"/>
      <c r="D1336" s="42"/>
      <c r="E1336" s="42"/>
      <c r="F1336" s="42"/>
      <c r="G1336" s="42"/>
      <c r="H1336" s="42"/>
      <c r="I1336" s="42"/>
      <c r="J1336" s="42"/>
      <c r="K1336" s="42"/>
      <c r="L1336" s="46"/>
      <c r="M1336" s="46"/>
      <c r="N1336" s="46"/>
      <c r="O1336" s="61"/>
      <c r="P1336" s="62"/>
      <c r="Q1336" s="46"/>
      <c r="R1336" s="47"/>
      <c r="S1336" s="62"/>
      <c r="T1336" s="62"/>
      <c r="U1336" s="46"/>
      <c r="V1336" s="61"/>
      <c r="W1336" s="62"/>
      <c r="X1336" s="47"/>
      <c r="Y1336" s="46"/>
      <c r="Z1336" s="46"/>
      <c r="AA1336" s="46"/>
      <c r="AB1336" s="49"/>
      <c r="AC1336" s="42"/>
      <c r="AD1336" s="42"/>
      <c r="AE1336" s="50"/>
      <c r="AF1336" s="42"/>
      <c r="AG1336" s="42"/>
      <c r="AH1336" s="42"/>
      <c r="AI1336" s="42" t="str">
        <f t="array" ref="AI1336">XLOOKUP($E1336,Sheet11!$D:$D,Sheet11!$X:$X,"",0)</f>
        <v/>
      </c>
      <c r="AJ1336" s="42" t="str">
        <f t="array" ref="AJ1336">XLOOKUP($E1336,Sheet11!$D:$D,Sheet11!$Y:$Y,"",0)</f>
        <v/>
      </c>
    </row>
    <row r="1337">
      <c r="A1337" s="23"/>
      <c r="B1337" s="42"/>
      <c r="C1337" s="42"/>
      <c r="D1337" s="42"/>
      <c r="E1337" s="42"/>
      <c r="F1337" s="42"/>
      <c r="G1337" s="42"/>
      <c r="H1337" s="42"/>
      <c r="I1337" s="42"/>
      <c r="J1337" s="42"/>
      <c r="K1337" s="42"/>
      <c r="L1337" s="46"/>
      <c r="M1337" s="46"/>
      <c r="N1337" s="46"/>
      <c r="O1337" s="61"/>
      <c r="P1337" s="62"/>
      <c r="Q1337" s="46"/>
      <c r="R1337" s="47"/>
      <c r="S1337" s="62"/>
      <c r="T1337" s="62"/>
      <c r="U1337" s="46"/>
      <c r="V1337" s="61"/>
      <c r="W1337" s="62"/>
      <c r="X1337" s="47"/>
      <c r="Y1337" s="46"/>
      <c r="Z1337" s="46"/>
      <c r="AA1337" s="46"/>
      <c r="AB1337" s="49"/>
      <c r="AC1337" s="42"/>
      <c r="AD1337" s="42"/>
      <c r="AE1337" s="50"/>
      <c r="AF1337" s="42"/>
      <c r="AG1337" s="42"/>
      <c r="AH1337" s="42"/>
      <c r="AI1337" s="42" t="str">
        <f t="array" ref="AI1337">XLOOKUP($E1337,Sheet11!$D:$D,Sheet11!$X:$X,"",0)</f>
        <v/>
      </c>
      <c r="AJ1337" s="42" t="str">
        <f t="array" ref="AJ1337">XLOOKUP($E1337,Sheet11!$D:$D,Sheet11!$Y:$Y,"",0)</f>
        <v/>
      </c>
    </row>
    <row r="1338">
      <c r="A1338" s="23"/>
      <c r="B1338" s="42"/>
      <c r="C1338" s="42"/>
      <c r="D1338" s="42"/>
      <c r="E1338" s="42"/>
      <c r="F1338" s="42"/>
      <c r="G1338" s="42"/>
      <c r="H1338" s="42"/>
      <c r="I1338" s="42"/>
      <c r="J1338" s="42"/>
      <c r="K1338" s="42"/>
      <c r="L1338" s="46"/>
      <c r="M1338" s="46"/>
      <c r="N1338" s="46"/>
      <c r="O1338" s="61"/>
      <c r="P1338" s="62"/>
      <c r="Q1338" s="46"/>
      <c r="R1338" s="47"/>
      <c r="S1338" s="62"/>
      <c r="T1338" s="62"/>
      <c r="U1338" s="46"/>
      <c r="V1338" s="61"/>
      <c r="W1338" s="62"/>
      <c r="X1338" s="47"/>
      <c r="Y1338" s="46"/>
      <c r="Z1338" s="46"/>
      <c r="AA1338" s="46"/>
      <c r="AB1338" s="49"/>
      <c r="AC1338" s="42"/>
      <c r="AD1338" s="42"/>
      <c r="AE1338" s="50"/>
      <c r="AF1338" s="42"/>
      <c r="AG1338" s="42"/>
      <c r="AH1338" s="42"/>
      <c r="AI1338" s="42" t="str">
        <f t="array" ref="AI1338">XLOOKUP($E1338,Sheet11!$D:$D,Sheet11!$X:$X,"",0)</f>
        <v/>
      </c>
      <c r="AJ1338" s="42" t="str">
        <f t="array" ref="AJ1338">XLOOKUP($E1338,Sheet11!$D:$D,Sheet11!$Y:$Y,"",0)</f>
        <v/>
      </c>
    </row>
    <row r="1339">
      <c r="A1339" s="23"/>
      <c r="B1339" s="42"/>
      <c r="C1339" s="42"/>
      <c r="D1339" s="42"/>
      <c r="E1339" s="42"/>
      <c r="F1339" s="42"/>
      <c r="G1339" s="42"/>
      <c r="H1339" s="42"/>
      <c r="I1339" s="42"/>
      <c r="J1339" s="42"/>
      <c r="K1339" s="42"/>
      <c r="L1339" s="46"/>
      <c r="M1339" s="46"/>
      <c r="N1339" s="46"/>
      <c r="O1339" s="61"/>
      <c r="P1339" s="62"/>
      <c r="Q1339" s="46"/>
      <c r="R1339" s="47"/>
      <c r="S1339" s="62"/>
      <c r="T1339" s="62"/>
      <c r="U1339" s="46"/>
      <c r="V1339" s="61"/>
      <c r="W1339" s="62"/>
      <c r="X1339" s="47"/>
      <c r="Y1339" s="46"/>
      <c r="Z1339" s="46"/>
      <c r="AA1339" s="46"/>
      <c r="AB1339" s="49"/>
      <c r="AC1339" s="42"/>
      <c r="AD1339" s="42"/>
      <c r="AE1339" s="50"/>
      <c r="AF1339" s="42"/>
      <c r="AG1339" s="42"/>
      <c r="AH1339" s="42"/>
      <c r="AI1339" s="42" t="str">
        <f t="array" ref="AI1339">XLOOKUP($E1339,Sheet11!$D:$D,Sheet11!$X:$X,"",0)</f>
        <v/>
      </c>
      <c r="AJ1339" s="42" t="str">
        <f t="array" ref="AJ1339">XLOOKUP($E1339,Sheet11!$D:$D,Sheet11!$Y:$Y,"",0)</f>
        <v/>
      </c>
    </row>
    <row r="1340">
      <c r="A1340" s="23"/>
      <c r="B1340" s="42"/>
      <c r="C1340" s="42"/>
      <c r="D1340" s="42"/>
      <c r="E1340" s="42"/>
      <c r="F1340" s="42"/>
      <c r="G1340" s="42"/>
      <c r="H1340" s="42"/>
      <c r="I1340" s="42"/>
      <c r="J1340" s="42"/>
      <c r="K1340" s="42"/>
      <c r="L1340" s="46"/>
      <c r="M1340" s="46"/>
      <c r="N1340" s="46"/>
      <c r="O1340" s="61"/>
      <c r="P1340" s="62"/>
      <c r="Q1340" s="46"/>
      <c r="R1340" s="47"/>
      <c r="S1340" s="62"/>
      <c r="T1340" s="62"/>
      <c r="U1340" s="46"/>
      <c r="V1340" s="61"/>
      <c r="W1340" s="62"/>
      <c r="X1340" s="47"/>
      <c r="Y1340" s="46"/>
      <c r="Z1340" s="46"/>
      <c r="AA1340" s="46"/>
      <c r="AB1340" s="49"/>
      <c r="AC1340" s="42"/>
      <c r="AD1340" s="42"/>
      <c r="AE1340" s="50"/>
      <c r="AF1340" s="42"/>
      <c r="AG1340" s="42"/>
      <c r="AH1340" s="42"/>
      <c r="AI1340" s="42" t="str">
        <f t="array" ref="AI1340">XLOOKUP($E1340,Sheet11!$D:$D,Sheet11!$X:$X,"",0)</f>
        <v/>
      </c>
      <c r="AJ1340" s="42" t="str">
        <f t="array" ref="AJ1340">XLOOKUP($E1340,Sheet11!$D:$D,Sheet11!$Y:$Y,"",0)</f>
        <v/>
      </c>
    </row>
    <row r="1341">
      <c r="A1341" s="23"/>
      <c r="B1341" s="42"/>
      <c r="C1341" s="42"/>
      <c r="D1341" s="42"/>
      <c r="E1341" s="42"/>
      <c r="F1341" s="42"/>
      <c r="G1341" s="42"/>
      <c r="H1341" s="42"/>
      <c r="I1341" s="42"/>
      <c r="J1341" s="42"/>
      <c r="K1341" s="42"/>
      <c r="L1341" s="46"/>
      <c r="M1341" s="46"/>
      <c r="N1341" s="46"/>
      <c r="O1341" s="61"/>
      <c r="P1341" s="62"/>
      <c r="Q1341" s="46"/>
      <c r="R1341" s="47"/>
      <c r="S1341" s="62"/>
      <c r="T1341" s="62"/>
      <c r="U1341" s="46"/>
      <c r="V1341" s="61"/>
      <c r="W1341" s="62"/>
      <c r="X1341" s="47"/>
      <c r="Y1341" s="46"/>
      <c r="Z1341" s="46"/>
      <c r="AA1341" s="46"/>
      <c r="AB1341" s="49"/>
      <c r="AC1341" s="42"/>
      <c r="AD1341" s="42"/>
      <c r="AE1341" s="50"/>
      <c r="AF1341" s="42"/>
      <c r="AG1341" s="42"/>
      <c r="AH1341" s="42"/>
      <c r="AI1341" s="42" t="str">
        <f t="array" ref="AI1341">XLOOKUP($E1341,Sheet11!$D:$D,Sheet11!$X:$X,"",0)</f>
        <v/>
      </c>
      <c r="AJ1341" s="42" t="str">
        <f t="array" ref="AJ1341">XLOOKUP($E1341,Sheet11!$D:$D,Sheet11!$Y:$Y,"",0)</f>
        <v/>
      </c>
    </row>
    <row r="1342">
      <c r="A1342" s="23"/>
      <c r="B1342" s="42"/>
      <c r="C1342" s="42"/>
      <c r="D1342" s="42"/>
      <c r="E1342" s="42"/>
      <c r="F1342" s="42"/>
      <c r="G1342" s="42"/>
      <c r="H1342" s="42"/>
      <c r="I1342" s="42"/>
      <c r="J1342" s="42"/>
      <c r="K1342" s="42"/>
      <c r="L1342" s="46"/>
      <c r="M1342" s="46"/>
      <c r="N1342" s="46"/>
      <c r="O1342" s="61"/>
      <c r="P1342" s="62"/>
      <c r="Q1342" s="46"/>
      <c r="R1342" s="47"/>
      <c r="S1342" s="62"/>
      <c r="T1342" s="62"/>
      <c r="U1342" s="46"/>
      <c r="V1342" s="61"/>
      <c r="W1342" s="62"/>
      <c r="X1342" s="47"/>
      <c r="Y1342" s="46"/>
      <c r="Z1342" s="46"/>
      <c r="AA1342" s="46"/>
      <c r="AB1342" s="49"/>
      <c r="AC1342" s="42"/>
      <c r="AD1342" s="42"/>
      <c r="AE1342" s="50"/>
      <c r="AF1342" s="42"/>
      <c r="AG1342" s="42"/>
      <c r="AH1342" s="42"/>
      <c r="AI1342" s="42" t="str">
        <f t="array" ref="AI1342">XLOOKUP($E1342,Sheet11!$D:$D,Sheet11!$X:$X,"",0)</f>
        <v/>
      </c>
      <c r="AJ1342" s="42" t="str">
        <f t="array" ref="AJ1342">XLOOKUP($E1342,Sheet11!$D:$D,Sheet11!$Y:$Y,"",0)</f>
        <v/>
      </c>
    </row>
    <row r="1343">
      <c r="A1343" s="23"/>
      <c r="B1343" s="42"/>
      <c r="C1343" s="42"/>
      <c r="D1343" s="42"/>
      <c r="E1343" s="42"/>
      <c r="F1343" s="42"/>
      <c r="G1343" s="42"/>
      <c r="H1343" s="42"/>
      <c r="I1343" s="42"/>
      <c r="J1343" s="42"/>
      <c r="K1343" s="42"/>
      <c r="L1343" s="46"/>
      <c r="M1343" s="46"/>
      <c r="N1343" s="46"/>
      <c r="O1343" s="61"/>
      <c r="P1343" s="62"/>
      <c r="Q1343" s="46"/>
      <c r="R1343" s="47"/>
      <c r="S1343" s="62"/>
      <c r="T1343" s="62"/>
      <c r="U1343" s="46"/>
      <c r="V1343" s="61"/>
      <c r="W1343" s="62"/>
      <c r="X1343" s="47"/>
      <c r="Y1343" s="46"/>
      <c r="Z1343" s="46"/>
      <c r="AA1343" s="46"/>
      <c r="AB1343" s="49"/>
      <c r="AC1343" s="42"/>
      <c r="AD1343" s="42"/>
      <c r="AE1343" s="50"/>
      <c r="AF1343" s="42"/>
      <c r="AG1343" s="42"/>
      <c r="AH1343" s="42"/>
      <c r="AI1343" s="42" t="str">
        <f t="array" ref="AI1343">XLOOKUP($E1343,Sheet11!$D:$D,Sheet11!$X:$X,"",0)</f>
        <v/>
      </c>
      <c r="AJ1343" s="42" t="str">
        <f t="array" ref="AJ1343">XLOOKUP($E1343,Sheet11!$D:$D,Sheet11!$Y:$Y,"",0)</f>
        <v/>
      </c>
    </row>
    <row r="1344">
      <c r="A1344" s="23"/>
      <c r="B1344" s="42"/>
      <c r="C1344" s="42"/>
      <c r="D1344" s="42"/>
      <c r="E1344" s="42"/>
      <c r="F1344" s="42"/>
      <c r="G1344" s="42"/>
      <c r="H1344" s="42"/>
      <c r="I1344" s="42"/>
      <c r="J1344" s="42"/>
      <c r="K1344" s="42"/>
      <c r="L1344" s="46"/>
      <c r="M1344" s="46"/>
      <c r="N1344" s="46"/>
      <c r="O1344" s="61"/>
      <c r="P1344" s="62"/>
      <c r="Q1344" s="46"/>
      <c r="R1344" s="47"/>
      <c r="S1344" s="62"/>
      <c r="T1344" s="62"/>
      <c r="U1344" s="46"/>
      <c r="V1344" s="61"/>
      <c r="W1344" s="62"/>
      <c r="X1344" s="47"/>
      <c r="Y1344" s="46"/>
      <c r="Z1344" s="46"/>
      <c r="AA1344" s="46"/>
      <c r="AB1344" s="49"/>
      <c r="AC1344" s="42"/>
      <c r="AD1344" s="42"/>
      <c r="AE1344" s="50"/>
      <c r="AF1344" s="42"/>
      <c r="AG1344" s="42"/>
      <c r="AH1344" s="42"/>
      <c r="AI1344" s="42" t="str">
        <f t="array" ref="AI1344">XLOOKUP($E1344,Sheet11!$D:$D,Sheet11!$X:$X,"",0)</f>
        <v/>
      </c>
      <c r="AJ1344" s="42" t="str">
        <f t="array" ref="AJ1344">XLOOKUP($E1344,Sheet11!$D:$D,Sheet11!$Y:$Y,"",0)</f>
        <v/>
      </c>
    </row>
    <row r="1345">
      <c r="A1345" s="23"/>
      <c r="B1345" s="42"/>
      <c r="C1345" s="42"/>
      <c r="D1345" s="42"/>
      <c r="E1345" s="42"/>
      <c r="F1345" s="42"/>
      <c r="G1345" s="42"/>
      <c r="H1345" s="42"/>
      <c r="I1345" s="42"/>
      <c r="J1345" s="42"/>
      <c r="K1345" s="42"/>
      <c r="L1345" s="46"/>
      <c r="M1345" s="46"/>
      <c r="N1345" s="46"/>
      <c r="O1345" s="61"/>
      <c r="P1345" s="62"/>
      <c r="Q1345" s="46"/>
      <c r="R1345" s="47"/>
      <c r="S1345" s="62"/>
      <c r="T1345" s="62"/>
      <c r="U1345" s="46"/>
      <c r="V1345" s="61"/>
      <c r="W1345" s="62"/>
      <c r="X1345" s="47"/>
      <c r="Y1345" s="46"/>
      <c r="Z1345" s="46"/>
      <c r="AA1345" s="46"/>
      <c r="AB1345" s="49"/>
      <c r="AC1345" s="42"/>
      <c r="AD1345" s="42"/>
      <c r="AE1345" s="50"/>
      <c r="AF1345" s="42"/>
      <c r="AG1345" s="42"/>
      <c r="AH1345" s="42"/>
      <c r="AI1345" s="42" t="str">
        <f t="array" ref="AI1345">XLOOKUP($E1345,Sheet11!$D:$D,Sheet11!$X:$X,"",0)</f>
        <v/>
      </c>
      <c r="AJ1345" s="42" t="str">
        <f t="array" ref="AJ1345">XLOOKUP($E1345,Sheet11!$D:$D,Sheet11!$Y:$Y,"",0)</f>
        <v/>
      </c>
    </row>
    <row r="1346">
      <c r="A1346" s="23"/>
      <c r="B1346" s="42"/>
      <c r="C1346" s="42"/>
      <c r="D1346" s="42"/>
      <c r="E1346" s="42"/>
      <c r="F1346" s="42"/>
      <c r="G1346" s="42"/>
      <c r="H1346" s="42"/>
      <c r="I1346" s="42"/>
      <c r="J1346" s="42"/>
      <c r="K1346" s="42"/>
      <c r="L1346" s="46"/>
      <c r="M1346" s="46"/>
      <c r="N1346" s="46"/>
      <c r="O1346" s="61"/>
      <c r="P1346" s="62"/>
      <c r="Q1346" s="46"/>
      <c r="R1346" s="47"/>
      <c r="S1346" s="62"/>
      <c r="T1346" s="62"/>
      <c r="U1346" s="46"/>
      <c r="V1346" s="61"/>
      <c r="W1346" s="62"/>
      <c r="X1346" s="47"/>
      <c r="Y1346" s="46"/>
      <c r="Z1346" s="46"/>
      <c r="AA1346" s="46"/>
      <c r="AB1346" s="49"/>
      <c r="AC1346" s="42"/>
      <c r="AD1346" s="42"/>
      <c r="AE1346" s="50"/>
      <c r="AF1346" s="42"/>
      <c r="AG1346" s="42"/>
      <c r="AH1346" s="42"/>
      <c r="AI1346" s="42" t="str">
        <f t="array" ref="AI1346">XLOOKUP($E1346,Sheet11!$D:$D,Sheet11!$X:$X,"",0)</f>
        <v/>
      </c>
      <c r="AJ1346" s="42" t="str">
        <f t="array" ref="AJ1346">XLOOKUP($E1346,Sheet11!$D:$D,Sheet11!$Y:$Y,"",0)</f>
        <v/>
      </c>
    </row>
    <row r="1347">
      <c r="A1347" s="23"/>
      <c r="B1347" s="42"/>
      <c r="C1347" s="42"/>
      <c r="D1347" s="42"/>
      <c r="E1347" s="42"/>
      <c r="F1347" s="42"/>
      <c r="G1347" s="42"/>
      <c r="H1347" s="42"/>
      <c r="I1347" s="42"/>
      <c r="J1347" s="42"/>
      <c r="K1347" s="42"/>
      <c r="L1347" s="46"/>
      <c r="M1347" s="46"/>
      <c r="N1347" s="46"/>
      <c r="O1347" s="61"/>
      <c r="P1347" s="62"/>
      <c r="Q1347" s="46"/>
      <c r="R1347" s="47"/>
      <c r="S1347" s="62"/>
      <c r="T1347" s="62"/>
      <c r="U1347" s="46"/>
      <c r="V1347" s="61"/>
      <c r="W1347" s="62"/>
      <c r="X1347" s="47"/>
      <c r="Y1347" s="46"/>
      <c r="Z1347" s="46"/>
      <c r="AA1347" s="46"/>
      <c r="AB1347" s="49"/>
      <c r="AC1347" s="42"/>
      <c r="AD1347" s="42"/>
      <c r="AE1347" s="50"/>
      <c r="AF1347" s="42"/>
      <c r="AG1347" s="42"/>
      <c r="AH1347" s="42"/>
      <c r="AI1347" s="42" t="str">
        <f t="array" ref="AI1347">XLOOKUP($E1347,Sheet11!$D:$D,Sheet11!$X:$X,"",0)</f>
        <v/>
      </c>
      <c r="AJ1347" s="42" t="str">
        <f t="array" ref="AJ1347">XLOOKUP($E1347,Sheet11!$D:$D,Sheet11!$Y:$Y,"",0)</f>
        <v/>
      </c>
    </row>
    <row r="1348">
      <c r="A1348" s="23"/>
      <c r="B1348" s="42"/>
      <c r="C1348" s="42"/>
      <c r="D1348" s="42"/>
      <c r="E1348" s="42"/>
      <c r="F1348" s="42"/>
      <c r="G1348" s="42"/>
      <c r="H1348" s="42"/>
      <c r="I1348" s="42"/>
      <c r="J1348" s="42"/>
      <c r="K1348" s="42"/>
      <c r="L1348" s="46"/>
      <c r="M1348" s="46"/>
      <c r="N1348" s="46"/>
      <c r="O1348" s="61"/>
      <c r="P1348" s="62"/>
      <c r="Q1348" s="46"/>
      <c r="R1348" s="47"/>
      <c r="S1348" s="62"/>
      <c r="T1348" s="62"/>
      <c r="U1348" s="46"/>
      <c r="V1348" s="61"/>
      <c r="W1348" s="62"/>
      <c r="X1348" s="47"/>
      <c r="Y1348" s="46"/>
      <c r="Z1348" s="46"/>
      <c r="AA1348" s="46"/>
      <c r="AB1348" s="49"/>
      <c r="AC1348" s="42"/>
      <c r="AD1348" s="42"/>
      <c r="AE1348" s="50"/>
      <c r="AF1348" s="42"/>
      <c r="AG1348" s="42"/>
      <c r="AH1348" s="42"/>
      <c r="AI1348" s="42" t="str">
        <f t="array" ref="AI1348">XLOOKUP($E1348,Sheet11!$D:$D,Sheet11!$X:$X,"",0)</f>
        <v/>
      </c>
      <c r="AJ1348" s="42" t="str">
        <f t="array" ref="AJ1348">XLOOKUP($E1348,Sheet11!$D:$D,Sheet11!$Y:$Y,"",0)</f>
        <v/>
      </c>
    </row>
    <row r="1349">
      <c r="A1349" s="23"/>
      <c r="B1349" s="42"/>
      <c r="C1349" s="42"/>
      <c r="D1349" s="42"/>
      <c r="E1349" s="42"/>
      <c r="F1349" s="42"/>
      <c r="G1349" s="42"/>
      <c r="H1349" s="42"/>
      <c r="I1349" s="42"/>
      <c r="J1349" s="42"/>
      <c r="K1349" s="42"/>
      <c r="L1349" s="46"/>
      <c r="M1349" s="46"/>
      <c r="N1349" s="46"/>
      <c r="O1349" s="61"/>
      <c r="P1349" s="62"/>
      <c r="Q1349" s="46"/>
      <c r="R1349" s="47"/>
      <c r="S1349" s="62"/>
      <c r="T1349" s="62"/>
      <c r="U1349" s="46"/>
      <c r="V1349" s="61"/>
      <c r="W1349" s="62"/>
      <c r="X1349" s="47"/>
      <c r="Y1349" s="46"/>
      <c r="Z1349" s="46"/>
      <c r="AA1349" s="46"/>
      <c r="AB1349" s="49"/>
      <c r="AC1349" s="42"/>
      <c r="AD1349" s="42"/>
      <c r="AE1349" s="50"/>
      <c r="AF1349" s="42"/>
      <c r="AG1349" s="42"/>
      <c r="AH1349" s="42"/>
      <c r="AI1349" s="42" t="str">
        <f t="array" ref="AI1349">XLOOKUP($E1349,Sheet11!$D:$D,Sheet11!$X:$X,"",0)</f>
        <v/>
      </c>
      <c r="AJ1349" s="42" t="str">
        <f t="array" ref="AJ1349">XLOOKUP($E1349,Sheet11!$D:$D,Sheet11!$Y:$Y,"",0)</f>
        <v/>
      </c>
    </row>
    <row r="1350">
      <c r="A1350" s="23"/>
      <c r="B1350" s="42"/>
      <c r="C1350" s="42"/>
      <c r="D1350" s="42"/>
      <c r="E1350" s="42"/>
      <c r="F1350" s="42"/>
      <c r="G1350" s="42"/>
      <c r="H1350" s="42"/>
      <c r="I1350" s="42"/>
      <c r="J1350" s="42"/>
      <c r="K1350" s="42"/>
      <c r="L1350" s="46"/>
      <c r="M1350" s="46"/>
      <c r="N1350" s="46"/>
      <c r="O1350" s="61"/>
      <c r="P1350" s="62"/>
      <c r="Q1350" s="46"/>
      <c r="R1350" s="47"/>
      <c r="S1350" s="62"/>
      <c r="T1350" s="62"/>
      <c r="U1350" s="46"/>
      <c r="V1350" s="61"/>
      <c r="W1350" s="62"/>
      <c r="X1350" s="47"/>
      <c r="Y1350" s="46"/>
      <c r="Z1350" s="46"/>
      <c r="AA1350" s="46"/>
      <c r="AB1350" s="49"/>
      <c r="AC1350" s="42"/>
      <c r="AD1350" s="42"/>
      <c r="AE1350" s="50"/>
      <c r="AF1350" s="42"/>
      <c r="AG1350" s="42"/>
      <c r="AH1350" s="42"/>
      <c r="AI1350" s="42" t="str">
        <f t="array" ref="AI1350">XLOOKUP($E1350,Sheet11!$D:$D,Sheet11!$X:$X,"",0)</f>
        <v/>
      </c>
      <c r="AJ1350" s="42" t="str">
        <f t="array" ref="AJ1350">XLOOKUP($E1350,Sheet11!$D:$D,Sheet11!$Y:$Y,"",0)</f>
        <v/>
      </c>
    </row>
    <row r="1351">
      <c r="A1351" s="23"/>
      <c r="B1351" s="42"/>
      <c r="C1351" s="42"/>
      <c r="D1351" s="42"/>
      <c r="E1351" s="42"/>
      <c r="F1351" s="42"/>
      <c r="G1351" s="42"/>
      <c r="H1351" s="42"/>
      <c r="I1351" s="42"/>
      <c r="J1351" s="42"/>
      <c r="K1351" s="42"/>
      <c r="L1351" s="46"/>
      <c r="M1351" s="46"/>
      <c r="N1351" s="46"/>
      <c r="O1351" s="61"/>
      <c r="P1351" s="62"/>
      <c r="Q1351" s="46"/>
      <c r="R1351" s="47"/>
      <c r="S1351" s="62"/>
      <c r="T1351" s="62"/>
      <c r="U1351" s="46"/>
      <c r="V1351" s="61"/>
      <c r="W1351" s="62"/>
      <c r="X1351" s="47"/>
      <c r="Y1351" s="46"/>
      <c r="Z1351" s="46"/>
      <c r="AA1351" s="46"/>
      <c r="AB1351" s="49"/>
      <c r="AC1351" s="42"/>
      <c r="AD1351" s="42"/>
      <c r="AE1351" s="50"/>
      <c r="AF1351" s="42"/>
      <c r="AG1351" s="42"/>
      <c r="AH1351" s="42"/>
      <c r="AI1351" s="42" t="str">
        <f t="array" ref="AI1351">XLOOKUP($E1351,Sheet11!$D:$D,Sheet11!$X:$X,"",0)</f>
        <v/>
      </c>
      <c r="AJ1351" s="42" t="str">
        <f t="array" ref="AJ1351">XLOOKUP($E1351,Sheet11!$D:$D,Sheet11!$Y:$Y,"",0)</f>
        <v/>
      </c>
    </row>
    <row r="1352">
      <c r="A1352" s="23"/>
      <c r="B1352" s="42"/>
      <c r="C1352" s="42"/>
      <c r="D1352" s="42"/>
      <c r="E1352" s="42"/>
      <c r="F1352" s="42"/>
      <c r="G1352" s="42"/>
      <c r="H1352" s="42"/>
      <c r="I1352" s="42"/>
      <c r="J1352" s="42"/>
      <c r="K1352" s="42"/>
      <c r="L1352" s="46"/>
      <c r="M1352" s="46"/>
      <c r="N1352" s="46"/>
      <c r="O1352" s="61"/>
      <c r="P1352" s="62"/>
      <c r="Q1352" s="46"/>
      <c r="R1352" s="47"/>
      <c r="S1352" s="62"/>
      <c r="T1352" s="62"/>
      <c r="U1352" s="46"/>
      <c r="V1352" s="61"/>
      <c r="W1352" s="62"/>
      <c r="X1352" s="47"/>
      <c r="Y1352" s="46"/>
      <c r="Z1352" s="46"/>
      <c r="AA1352" s="46"/>
      <c r="AB1352" s="49"/>
      <c r="AC1352" s="42"/>
      <c r="AD1352" s="42"/>
      <c r="AE1352" s="50"/>
      <c r="AF1352" s="42"/>
      <c r="AG1352" s="42"/>
      <c r="AH1352" s="42"/>
      <c r="AI1352" s="42" t="str">
        <f t="array" ref="AI1352">XLOOKUP($E1352,Sheet11!$D:$D,Sheet11!$X:$X,"",0)</f>
        <v/>
      </c>
      <c r="AJ1352" s="42" t="str">
        <f t="array" ref="AJ1352">XLOOKUP($E1352,Sheet11!$D:$D,Sheet11!$Y:$Y,"",0)</f>
        <v/>
      </c>
    </row>
    <row r="1353">
      <c r="A1353" s="23"/>
      <c r="B1353" s="42"/>
      <c r="C1353" s="42"/>
      <c r="D1353" s="42"/>
      <c r="E1353" s="42"/>
      <c r="F1353" s="42"/>
      <c r="G1353" s="42"/>
      <c r="H1353" s="42"/>
      <c r="I1353" s="42"/>
      <c r="J1353" s="42"/>
      <c r="K1353" s="42"/>
      <c r="L1353" s="46"/>
      <c r="M1353" s="46"/>
      <c r="N1353" s="46"/>
      <c r="O1353" s="61"/>
      <c r="P1353" s="62"/>
      <c r="Q1353" s="46"/>
      <c r="R1353" s="47"/>
      <c r="S1353" s="62"/>
      <c r="T1353" s="62"/>
      <c r="U1353" s="46"/>
      <c r="V1353" s="61"/>
      <c r="W1353" s="62"/>
      <c r="X1353" s="47"/>
      <c r="Y1353" s="46"/>
      <c r="Z1353" s="46"/>
      <c r="AA1353" s="46"/>
      <c r="AB1353" s="49"/>
      <c r="AC1353" s="42"/>
      <c r="AD1353" s="42"/>
      <c r="AE1353" s="50"/>
      <c r="AF1353" s="42"/>
      <c r="AG1353" s="42"/>
      <c r="AH1353" s="42"/>
      <c r="AI1353" s="42" t="str">
        <f t="array" ref="AI1353">XLOOKUP($E1353,Sheet11!$D:$D,Sheet11!$X:$X,"",0)</f>
        <v/>
      </c>
      <c r="AJ1353" s="42" t="str">
        <f t="array" ref="AJ1353">XLOOKUP($E1353,Sheet11!$D:$D,Sheet11!$Y:$Y,"",0)</f>
        <v/>
      </c>
    </row>
    <row r="1354">
      <c r="A1354" s="23"/>
      <c r="B1354" s="42"/>
      <c r="C1354" s="42"/>
      <c r="D1354" s="42"/>
      <c r="E1354" s="42"/>
      <c r="F1354" s="42"/>
      <c r="G1354" s="42"/>
      <c r="H1354" s="42"/>
      <c r="I1354" s="42"/>
      <c r="J1354" s="42"/>
      <c r="K1354" s="42"/>
      <c r="L1354" s="46"/>
      <c r="M1354" s="46"/>
      <c r="N1354" s="46"/>
      <c r="O1354" s="61"/>
      <c r="P1354" s="62"/>
      <c r="Q1354" s="46"/>
      <c r="R1354" s="47"/>
      <c r="S1354" s="62"/>
      <c r="T1354" s="62"/>
      <c r="U1354" s="46"/>
      <c r="V1354" s="61"/>
      <c r="W1354" s="62"/>
      <c r="X1354" s="47"/>
      <c r="Y1354" s="46"/>
      <c r="Z1354" s="46"/>
      <c r="AA1354" s="46"/>
      <c r="AB1354" s="49"/>
      <c r="AC1354" s="42"/>
      <c r="AD1354" s="42"/>
      <c r="AE1354" s="50"/>
      <c r="AF1354" s="42"/>
      <c r="AG1354" s="42"/>
      <c r="AH1354" s="42"/>
      <c r="AI1354" s="42" t="str">
        <f t="array" ref="AI1354">XLOOKUP($E1354,Sheet11!$D:$D,Sheet11!$X:$X,"",0)</f>
        <v/>
      </c>
      <c r="AJ1354" s="42" t="str">
        <f t="array" ref="AJ1354">XLOOKUP($E1354,Sheet11!$D:$D,Sheet11!$Y:$Y,"",0)</f>
        <v/>
      </c>
    </row>
    <row r="1355">
      <c r="A1355" s="23"/>
      <c r="B1355" s="42"/>
      <c r="C1355" s="42"/>
      <c r="D1355" s="42"/>
      <c r="E1355" s="42"/>
      <c r="F1355" s="42"/>
      <c r="G1355" s="42"/>
      <c r="H1355" s="42"/>
      <c r="I1355" s="42"/>
      <c r="J1355" s="42"/>
      <c r="K1355" s="42"/>
      <c r="L1355" s="46"/>
      <c r="M1355" s="46"/>
      <c r="N1355" s="46"/>
      <c r="O1355" s="61"/>
      <c r="P1355" s="62"/>
      <c r="Q1355" s="46"/>
      <c r="R1355" s="47"/>
      <c r="S1355" s="62"/>
      <c r="T1355" s="62"/>
      <c r="U1355" s="46"/>
      <c r="V1355" s="61"/>
      <c r="W1355" s="62"/>
      <c r="X1355" s="47"/>
      <c r="Y1355" s="46"/>
      <c r="Z1355" s="46"/>
      <c r="AA1355" s="46"/>
      <c r="AB1355" s="49"/>
      <c r="AC1355" s="42"/>
      <c r="AD1355" s="42"/>
      <c r="AE1355" s="50"/>
      <c r="AF1355" s="42"/>
      <c r="AG1355" s="42"/>
      <c r="AH1355" s="42"/>
      <c r="AI1355" s="42" t="str">
        <f t="array" ref="AI1355">XLOOKUP($E1355,Sheet11!$D:$D,Sheet11!$X:$X,"",0)</f>
        <v/>
      </c>
      <c r="AJ1355" s="42" t="str">
        <f t="array" ref="AJ1355">XLOOKUP($E1355,Sheet11!$D:$D,Sheet11!$Y:$Y,"",0)</f>
        <v/>
      </c>
    </row>
    <row r="1356">
      <c r="A1356" s="23"/>
      <c r="B1356" s="42"/>
      <c r="C1356" s="42"/>
      <c r="D1356" s="42"/>
      <c r="E1356" s="42"/>
      <c r="F1356" s="42"/>
      <c r="G1356" s="42"/>
      <c r="H1356" s="42"/>
      <c r="I1356" s="42"/>
      <c r="J1356" s="42"/>
      <c r="K1356" s="42"/>
      <c r="L1356" s="46"/>
      <c r="M1356" s="46"/>
      <c r="N1356" s="46"/>
      <c r="O1356" s="61"/>
      <c r="P1356" s="62"/>
      <c r="Q1356" s="46"/>
      <c r="R1356" s="47"/>
      <c r="S1356" s="62"/>
      <c r="T1356" s="62"/>
      <c r="U1356" s="46"/>
      <c r="V1356" s="61"/>
      <c r="W1356" s="62"/>
      <c r="X1356" s="47"/>
      <c r="Y1356" s="46"/>
      <c r="Z1356" s="46"/>
      <c r="AA1356" s="46"/>
      <c r="AB1356" s="49"/>
      <c r="AC1356" s="42"/>
      <c r="AD1356" s="42"/>
      <c r="AE1356" s="50"/>
      <c r="AF1356" s="42"/>
      <c r="AG1356" s="42"/>
      <c r="AH1356" s="42"/>
      <c r="AI1356" s="42" t="str">
        <f t="array" ref="AI1356">XLOOKUP($E1356,Sheet11!$D:$D,Sheet11!$X:$X,"",0)</f>
        <v/>
      </c>
      <c r="AJ1356" s="42" t="str">
        <f t="array" ref="AJ1356">XLOOKUP($E1356,Sheet11!$D:$D,Sheet11!$Y:$Y,"",0)</f>
        <v/>
      </c>
    </row>
    <row r="1357">
      <c r="A1357" s="23"/>
      <c r="B1357" s="42"/>
      <c r="C1357" s="42"/>
      <c r="D1357" s="42"/>
      <c r="E1357" s="42"/>
      <c r="F1357" s="42"/>
      <c r="G1357" s="42"/>
      <c r="H1357" s="42"/>
      <c r="I1357" s="42"/>
      <c r="J1357" s="42"/>
      <c r="K1357" s="42"/>
      <c r="L1357" s="46"/>
      <c r="M1357" s="46"/>
      <c r="N1357" s="46"/>
      <c r="O1357" s="61"/>
      <c r="P1357" s="62"/>
      <c r="Q1357" s="46"/>
      <c r="R1357" s="47"/>
      <c r="S1357" s="62"/>
      <c r="T1357" s="62"/>
      <c r="U1357" s="46"/>
      <c r="V1357" s="61"/>
      <c r="W1357" s="62"/>
      <c r="X1357" s="47"/>
      <c r="Y1357" s="46"/>
      <c r="Z1357" s="46"/>
      <c r="AA1357" s="46"/>
      <c r="AB1357" s="49"/>
      <c r="AC1357" s="42"/>
      <c r="AD1357" s="42"/>
      <c r="AE1357" s="50"/>
      <c r="AF1357" s="42"/>
      <c r="AG1357" s="42"/>
      <c r="AH1357" s="42"/>
      <c r="AI1357" s="42" t="str">
        <f t="array" ref="AI1357">XLOOKUP($E1357,Sheet11!$D:$D,Sheet11!$X:$X,"",0)</f>
        <v/>
      </c>
      <c r="AJ1357" s="42" t="str">
        <f t="array" ref="AJ1357">XLOOKUP($E1357,Sheet11!$D:$D,Sheet11!$Y:$Y,"",0)</f>
        <v/>
      </c>
    </row>
    <row r="1358">
      <c r="A1358" s="23"/>
      <c r="B1358" s="42"/>
      <c r="C1358" s="42"/>
      <c r="D1358" s="42"/>
      <c r="E1358" s="42"/>
      <c r="F1358" s="42"/>
      <c r="G1358" s="42"/>
      <c r="H1358" s="42"/>
      <c r="I1358" s="42"/>
      <c r="J1358" s="42"/>
      <c r="K1358" s="42"/>
      <c r="L1358" s="46"/>
      <c r="M1358" s="46"/>
      <c r="N1358" s="46"/>
      <c r="O1358" s="61"/>
      <c r="P1358" s="62"/>
      <c r="Q1358" s="46"/>
      <c r="R1358" s="47"/>
      <c r="S1358" s="62"/>
      <c r="T1358" s="62"/>
      <c r="U1358" s="46"/>
      <c r="V1358" s="61"/>
      <c r="W1358" s="62"/>
      <c r="X1358" s="47"/>
      <c r="Y1358" s="46"/>
      <c r="Z1358" s="46"/>
      <c r="AA1358" s="46"/>
      <c r="AB1358" s="49"/>
      <c r="AC1358" s="42"/>
      <c r="AD1358" s="42"/>
      <c r="AE1358" s="50"/>
      <c r="AF1358" s="42"/>
      <c r="AG1358" s="42"/>
      <c r="AH1358" s="42"/>
      <c r="AI1358" s="42" t="str">
        <f t="array" ref="AI1358">XLOOKUP($E1358,Sheet11!$D:$D,Sheet11!$X:$X,"",0)</f>
        <v/>
      </c>
      <c r="AJ1358" s="42" t="str">
        <f t="array" ref="AJ1358">XLOOKUP($E1358,Sheet11!$D:$D,Sheet11!$Y:$Y,"",0)</f>
        <v/>
      </c>
    </row>
    <row r="1359">
      <c r="A1359" s="23"/>
      <c r="B1359" s="42"/>
      <c r="C1359" s="42"/>
      <c r="D1359" s="42"/>
      <c r="E1359" s="42"/>
      <c r="F1359" s="42"/>
      <c r="G1359" s="42"/>
      <c r="H1359" s="42"/>
      <c r="I1359" s="42"/>
      <c r="J1359" s="42"/>
      <c r="K1359" s="42"/>
      <c r="L1359" s="46"/>
      <c r="M1359" s="46"/>
      <c r="N1359" s="46"/>
      <c r="O1359" s="61"/>
      <c r="P1359" s="62"/>
      <c r="Q1359" s="46"/>
      <c r="R1359" s="47"/>
      <c r="S1359" s="62"/>
      <c r="T1359" s="62"/>
      <c r="U1359" s="46"/>
      <c r="V1359" s="61"/>
      <c r="W1359" s="62"/>
      <c r="X1359" s="47"/>
      <c r="Y1359" s="46"/>
      <c r="Z1359" s="46"/>
      <c r="AA1359" s="46"/>
      <c r="AB1359" s="49"/>
      <c r="AC1359" s="42"/>
      <c r="AD1359" s="42"/>
      <c r="AE1359" s="50"/>
      <c r="AF1359" s="42"/>
      <c r="AG1359" s="42"/>
      <c r="AH1359" s="42"/>
      <c r="AI1359" s="42" t="str">
        <f t="array" ref="AI1359">XLOOKUP($E1359,Sheet11!$D:$D,Sheet11!$X:$X,"",0)</f>
        <v/>
      </c>
      <c r="AJ1359" s="42" t="str">
        <f t="array" ref="AJ1359">XLOOKUP($E1359,Sheet11!$D:$D,Sheet11!$Y:$Y,"",0)</f>
        <v/>
      </c>
    </row>
    <row r="1360">
      <c r="A1360" s="23"/>
      <c r="B1360" s="42"/>
      <c r="C1360" s="42"/>
      <c r="D1360" s="42"/>
      <c r="E1360" s="42"/>
      <c r="F1360" s="42"/>
      <c r="G1360" s="42"/>
      <c r="H1360" s="42"/>
      <c r="I1360" s="42"/>
      <c r="J1360" s="42"/>
      <c r="K1360" s="42"/>
      <c r="L1360" s="46"/>
      <c r="M1360" s="46"/>
      <c r="N1360" s="46"/>
      <c r="O1360" s="61"/>
      <c r="P1360" s="62"/>
      <c r="Q1360" s="46"/>
      <c r="R1360" s="47"/>
      <c r="S1360" s="62"/>
      <c r="T1360" s="62"/>
      <c r="U1360" s="46"/>
      <c r="V1360" s="61"/>
      <c r="W1360" s="62"/>
      <c r="X1360" s="47"/>
      <c r="Y1360" s="46"/>
      <c r="Z1360" s="46"/>
      <c r="AA1360" s="46"/>
      <c r="AB1360" s="49"/>
      <c r="AC1360" s="42"/>
      <c r="AD1360" s="42"/>
      <c r="AE1360" s="50"/>
      <c r="AF1360" s="42"/>
      <c r="AG1360" s="42"/>
      <c r="AH1360" s="42"/>
      <c r="AI1360" s="42" t="str">
        <f t="array" ref="AI1360">XLOOKUP($E1360,Sheet11!$D:$D,Sheet11!$X:$X,"",0)</f>
        <v/>
      </c>
      <c r="AJ1360" s="42" t="str">
        <f t="array" ref="AJ1360">XLOOKUP($E1360,Sheet11!$D:$D,Sheet11!$Y:$Y,"",0)</f>
        <v/>
      </c>
    </row>
    <row r="1361">
      <c r="A1361" s="23"/>
      <c r="B1361" s="42"/>
      <c r="C1361" s="42"/>
      <c r="D1361" s="42"/>
      <c r="E1361" s="42"/>
      <c r="F1361" s="42"/>
      <c r="G1361" s="42"/>
      <c r="H1361" s="42"/>
      <c r="I1361" s="42"/>
      <c r="J1361" s="42"/>
      <c r="K1361" s="42"/>
      <c r="L1361" s="46"/>
      <c r="M1361" s="46"/>
      <c r="N1361" s="46"/>
      <c r="O1361" s="61"/>
      <c r="P1361" s="62"/>
      <c r="Q1361" s="46"/>
      <c r="R1361" s="47"/>
      <c r="S1361" s="62"/>
      <c r="T1361" s="62"/>
      <c r="U1361" s="46"/>
      <c r="V1361" s="61"/>
      <c r="W1361" s="62"/>
      <c r="X1361" s="47"/>
      <c r="Y1361" s="46"/>
      <c r="Z1361" s="46"/>
      <c r="AA1361" s="46"/>
      <c r="AB1361" s="49"/>
      <c r="AC1361" s="42"/>
      <c r="AD1361" s="42"/>
      <c r="AE1361" s="50"/>
      <c r="AF1361" s="42"/>
      <c r="AG1361" s="42"/>
      <c r="AH1361" s="42"/>
      <c r="AI1361" s="42" t="str">
        <f t="array" ref="AI1361">XLOOKUP($E1361,Sheet11!$D:$D,Sheet11!$X:$X,"",0)</f>
        <v/>
      </c>
      <c r="AJ1361" s="42" t="str">
        <f t="array" ref="AJ1361">XLOOKUP($E1361,Sheet11!$D:$D,Sheet11!$Y:$Y,"",0)</f>
        <v/>
      </c>
    </row>
    <row r="1362">
      <c r="A1362" s="23"/>
      <c r="B1362" s="42"/>
      <c r="C1362" s="42"/>
      <c r="D1362" s="42"/>
      <c r="E1362" s="42"/>
      <c r="F1362" s="42"/>
      <c r="G1362" s="42"/>
      <c r="H1362" s="42"/>
      <c r="I1362" s="42"/>
      <c r="J1362" s="42"/>
      <c r="K1362" s="42"/>
      <c r="L1362" s="46"/>
      <c r="M1362" s="46"/>
      <c r="N1362" s="46"/>
      <c r="O1362" s="61"/>
      <c r="P1362" s="62"/>
      <c r="Q1362" s="46"/>
      <c r="R1362" s="47"/>
      <c r="S1362" s="62"/>
      <c r="T1362" s="62"/>
      <c r="U1362" s="46"/>
      <c r="V1362" s="61"/>
      <c r="W1362" s="62"/>
      <c r="X1362" s="47"/>
      <c r="Y1362" s="46"/>
      <c r="Z1362" s="46"/>
      <c r="AA1362" s="46"/>
      <c r="AB1362" s="49"/>
      <c r="AC1362" s="42"/>
      <c r="AD1362" s="42"/>
      <c r="AE1362" s="50"/>
      <c r="AF1362" s="42"/>
      <c r="AG1362" s="42"/>
      <c r="AH1362" s="42"/>
      <c r="AI1362" s="42" t="str">
        <f t="array" ref="AI1362">XLOOKUP($E1362,Sheet11!$D:$D,Sheet11!$X:$X,"",0)</f>
        <v/>
      </c>
      <c r="AJ1362" s="42" t="str">
        <f t="array" ref="AJ1362">XLOOKUP($E1362,Sheet11!$D:$D,Sheet11!$Y:$Y,"",0)</f>
        <v/>
      </c>
    </row>
    <row r="1363">
      <c r="A1363" s="23"/>
      <c r="B1363" s="42"/>
      <c r="C1363" s="42"/>
      <c r="D1363" s="42"/>
      <c r="E1363" s="42"/>
      <c r="F1363" s="42"/>
      <c r="G1363" s="42"/>
      <c r="H1363" s="42"/>
      <c r="I1363" s="42"/>
      <c r="J1363" s="42"/>
      <c r="K1363" s="42"/>
      <c r="L1363" s="46"/>
      <c r="M1363" s="46"/>
      <c r="N1363" s="46"/>
      <c r="O1363" s="61"/>
      <c r="P1363" s="62"/>
      <c r="Q1363" s="46"/>
      <c r="R1363" s="47"/>
      <c r="S1363" s="62"/>
      <c r="T1363" s="62"/>
      <c r="U1363" s="46"/>
      <c r="V1363" s="61"/>
      <c r="W1363" s="62"/>
      <c r="X1363" s="47"/>
      <c r="Y1363" s="46"/>
      <c r="Z1363" s="46"/>
      <c r="AA1363" s="46"/>
      <c r="AB1363" s="49"/>
      <c r="AC1363" s="42"/>
      <c r="AD1363" s="42"/>
      <c r="AE1363" s="50"/>
      <c r="AF1363" s="42"/>
      <c r="AG1363" s="42"/>
      <c r="AH1363" s="42"/>
      <c r="AI1363" s="42" t="str">
        <f t="array" ref="AI1363">XLOOKUP($E1363,Sheet11!$D:$D,Sheet11!$X:$X,"",0)</f>
        <v/>
      </c>
      <c r="AJ1363" s="42" t="str">
        <f t="array" ref="AJ1363">XLOOKUP($E1363,Sheet11!$D:$D,Sheet11!$Y:$Y,"",0)</f>
        <v/>
      </c>
    </row>
    <row r="1364">
      <c r="A1364" s="23"/>
      <c r="B1364" s="42"/>
      <c r="C1364" s="42"/>
      <c r="D1364" s="42"/>
      <c r="E1364" s="42"/>
      <c r="F1364" s="42"/>
      <c r="G1364" s="42"/>
      <c r="H1364" s="42"/>
      <c r="I1364" s="42"/>
      <c r="J1364" s="42"/>
      <c r="K1364" s="42"/>
      <c r="L1364" s="46"/>
      <c r="M1364" s="46"/>
      <c r="N1364" s="46"/>
      <c r="O1364" s="61"/>
      <c r="P1364" s="62"/>
      <c r="Q1364" s="46"/>
      <c r="R1364" s="47"/>
      <c r="S1364" s="62"/>
      <c r="T1364" s="62"/>
      <c r="U1364" s="46"/>
      <c r="V1364" s="61"/>
      <c r="W1364" s="62"/>
      <c r="X1364" s="47"/>
      <c r="Y1364" s="46"/>
      <c r="Z1364" s="46"/>
      <c r="AA1364" s="46"/>
      <c r="AB1364" s="49"/>
      <c r="AC1364" s="42"/>
      <c r="AD1364" s="42"/>
      <c r="AE1364" s="50"/>
      <c r="AF1364" s="42"/>
      <c r="AG1364" s="42"/>
      <c r="AH1364" s="42"/>
      <c r="AI1364" s="42" t="str">
        <f t="array" ref="AI1364">XLOOKUP($E1364,Sheet11!$D:$D,Sheet11!$X:$X,"",0)</f>
        <v/>
      </c>
      <c r="AJ1364" s="42" t="str">
        <f t="array" ref="AJ1364">XLOOKUP($E1364,Sheet11!$D:$D,Sheet11!$Y:$Y,"",0)</f>
        <v/>
      </c>
    </row>
    <row r="1365">
      <c r="A1365" s="23"/>
      <c r="B1365" s="42"/>
      <c r="C1365" s="42"/>
      <c r="D1365" s="42"/>
      <c r="E1365" s="42"/>
      <c r="F1365" s="42"/>
      <c r="G1365" s="42"/>
      <c r="H1365" s="42"/>
      <c r="I1365" s="42"/>
      <c r="J1365" s="42"/>
      <c r="K1365" s="42"/>
      <c r="L1365" s="46"/>
      <c r="M1365" s="46"/>
      <c r="N1365" s="46"/>
      <c r="O1365" s="61"/>
      <c r="P1365" s="62"/>
      <c r="Q1365" s="46"/>
      <c r="R1365" s="47"/>
      <c r="S1365" s="62"/>
      <c r="T1365" s="62"/>
      <c r="U1365" s="46"/>
      <c r="V1365" s="61"/>
      <c r="W1365" s="62"/>
      <c r="X1365" s="47"/>
      <c r="Y1365" s="46"/>
      <c r="Z1365" s="46"/>
      <c r="AA1365" s="46"/>
      <c r="AB1365" s="49"/>
      <c r="AC1365" s="42"/>
      <c r="AD1365" s="42"/>
      <c r="AE1365" s="50"/>
      <c r="AF1365" s="42"/>
      <c r="AG1365" s="42"/>
      <c r="AH1365" s="42"/>
      <c r="AI1365" s="42" t="str">
        <f t="array" ref="AI1365">XLOOKUP($E1365,Sheet11!$D:$D,Sheet11!$X:$X,"",0)</f>
        <v/>
      </c>
      <c r="AJ1365" s="42" t="str">
        <f t="array" ref="AJ1365">XLOOKUP($E1365,Sheet11!$D:$D,Sheet11!$Y:$Y,"",0)</f>
        <v/>
      </c>
    </row>
    <row r="1366">
      <c r="A1366" s="23"/>
      <c r="B1366" s="42"/>
      <c r="C1366" s="42"/>
      <c r="D1366" s="42"/>
      <c r="E1366" s="42"/>
      <c r="F1366" s="42"/>
      <c r="G1366" s="42"/>
      <c r="H1366" s="42"/>
      <c r="I1366" s="42"/>
      <c r="J1366" s="42"/>
      <c r="K1366" s="42"/>
      <c r="L1366" s="46"/>
      <c r="M1366" s="46"/>
      <c r="N1366" s="46"/>
      <c r="O1366" s="61"/>
      <c r="P1366" s="62"/>
      <c r="Q1366" s="46"/>
      <c r="R1366" s="47"/>
      <c r="S1366" s="62"/>
      <c r="T1366" s="62"/>
      <c r="U1366" s="46"/>
      <c r="V1366" s="61"/>
      <c r="W1366" s="62"/>
      <c r="X1366" s="47"/>
      <c r="Y1366" s="46"/>
      <c r="Z1366" s="46"/>
      <c r="AA1366" s="46"/>
      <c r="AB1366" s="49"/>
      <c r="AC1366" s="42"/>
      <c r="AD1366" s="42"/>
      <c r="AE1366" s="50"/>
      <c r="AF1366" s="42"/>
      <c r="AG1366" s="42"/>
      <c r="AH1366" s="42"/>
      <c r="AI1366" s="42" t="str">
        <f t="array" ref="AI1366">XLOOKUP($E1366,Sheet11!$D:$D,Sheet11!$X:$X,"",0)</f>
        <v/>
      </c>
      <c r="AJ1366" s="42" t="str">
        <f t="array" ref="AJ1366">XLOOKUP($E1366,Sheet11!$D:$D,Sheet11!$Y:$Y,"",0)</f>
        <v/>
      </c>
    </row>
    <row r="1367">
      <c r="A1367" s="23"/>
      <c r="B1367" s="42"/>
      <c r="C1367" s="42"/>
      <c r="D1367" s="42"/>
      <c r="E1367" s="42"/>
      <c r="F1367" s="42"/>
      <c r="G1367" s="42"/>
      <c r="H1367" s="42"/>
      <c r="I1367" s="42"/>
      <c r="J1367" s="42"/>
      <c r="K1367" s="42"/>
      <c r="L1367" s="46"/>
      <c r="M1367" s="46"/>
      <c r="N1367" s="46"/>
      <c r="O1367" s="61"/>
      <c r="P1367" s="62"/>
      <c r="Q1367" s="46"/>
      <c r="R1367" s="47"/>
      <c r="S1367" s="62"/>
      <c r="T1367" s="62"/>
      <c r="U1367" s="46"/>
      <c r="V1367" s="61"/>
      <c r="W1367" s="62"/>
      <c r="X1367" s="47"/>
      <c r="Y1367" s="46"/>
      <c r="Z1367" s="46"/>
      <c r="AA1367" s="46"/>
      <c r="AB1367" s="49"/>
      <c r="AC1367" s="42"/>
      <c r="AD1367" s="42"/>
      <c r="AE1367" s="50"/>
      <c r="AF1367" s="42"/>
      <c r="AG1367" s="42"/>
      <c r="AH1367" s="42"/>
      <c r="AI1367" s="42" t="str">
        <f t="array" ref="AI1367">XLOOKUP($E1367,Sheet11!$D:$D,Sheet11!$X:$X,"",0)</f>
        <v/>
      </c>
      <c r="AJ1367" s="42" t="str">
        <f t="array" ref="AJ1367">XLOOKUP($E1367,Sheet11!$D:$D,Sheet11!$Y:$Y,"",0)</f>
        <v/>
      </c>
    </row>
    <row r="1368">
      <c r="A1368" s="23"/>
      <c r="B1368" s="42"/>
      <c r="C1368" s="42"/>
      <c r="D1368" s="42"/>
      <c r="E1368" s="42"/>
      <c r="F1368" s="42"/>
      <c r="G1368" s="42"/>
      <c r="H1368" s="42"/>
      <c r="I1368" s="42"/>
      <c r="J1368" s="42"/>
      <c r="K1368" s="42"/>
      <c r="L1368" s="46"/>
      <c r="M1368" s="46"/>
      <c r="N1368" s="46"/>
      <c r="O1368" s="61"/>
      <c r="P1368" s="62"/>
      <c r="Q1368" s="46"/>
      <c r="R1368" s="47"/>
      <c r="S1368" s="62"/>
      <c r="T1368" s="62"/>
      <c r="U1368" s="46"/>
      <c r="V1368" s="61"/>
      <c r="W1368" s="62"/>
      <c r="X1368" s="47"/>
      <c r="Y1368" s="46"/>
      <c r="Z1368" s="46"/>
      <c r="AA1368" s="46"/>
      <c r="AB1368" s="49"/>
      <c r="AC1368" s="42"/>
      <c r="AD1368" s="42"/>
      <c r="AE1368" s="50"/>
      <c r="AF1368" s="42"/>
      <c r="AG1368" s="42"/>
      <c r="AH1368" s="42"/>
      <c r="AI1368" s="42" t="str">
        <f t="array" ref="AI1368">XLOOKUP($E1368,Sheet11!$D:$D,Sheet11!$X:$X,"",0)</f>
        <v/>
      </c>
      <c r="AJ1368" s="42" t="str">
        <f t="array" ref="AJ1368">XLOOKUP($E1368,Sheet11!$D:$D,Sheet11!$Y:$Y,"",0)</f>
        <v/>
      </c>
    </row>
    <row r="1369">
      <c r="A1369" s="23"/>
      <c r="B1369" s="42"/>
      <c r="C1369" s="42"/>
      <c r="D1369" s="42"/>
      <c r="E1369" s="42"/>
      <c r="F1369" s="42"/>
      <c r="G1369" s="42"/>
      <c r="H1369" s="42"/>
      <c r="I1369" s="42"/>
      <c r="J1369" s="42"/>
      <c r="K1369" s="42"/>
      <c r="L1369" s="46"/>
      <c r="M1369" s="46"/>
      <c r="N1369" s="46"/>
      <c r="O1369" s="61"/>
      <c r="P1369" s="62"/>
      <c r="Q1369" s="46"/>
      <c r="R1369" s="47"/>
      <c r="S1369" s="62"/>
      <c r="T1369" s="62"/>
      <c r="U1369" s="46"/>
      <c r="V1369" s="61"/>
      <c r="W1369" s="62"/>
      <c r="X1369" s="47"/>
      <c r="Y1369" s="46"/>
      <c r="Z1369" s="46"/>
      <c r="AA1369" s="46"/>
      <c r="AB1369" s="49"/>
      <c r="AC1369" s="42"/>
      <c r="AD1369" s="42"/>
      <c r="AE1369" s="50"/>
      <c r="AF1369" s="42"/>
      <c r="AG1369" s="42"/>
      <c r="AH1369" s="42"/>
      <c r="AI1369" s="42" t="str">
        <f t="array" ref="AI1369">XLOOKUP($E1369,Sheet11!$D:$D,Sheet11!$X:$X,"",0)</f>
        <v/>
      </c>
      <c r="AJ1369" s="42" t="str">
        <f t="array" ref="AJ1369">XLOOKUP($E1369,Sheet11!$D:$D,Sheet11!$Y:$Y,"",0)</f>
        <v/>
      </c>
    </row>
    <row r="1370">
      <c r="A1370" s="23"/>
      <c r="B1370" s="42"/>
      <c r="C1370" s="42"/>
      <c r="D1370" s="42"/>
      <c r="E1370" s="42"/>
      <c r="F1370" s="42"/>
      <c r="G1370" s="42"/>
      <c r="H1370" s="42"/>
      <c r="I1370" s="42"/>
      <c r="J1370" s="42"/>
      <c r="K1370" s="42"/>
      <c r="L1370" s="46"/>
      <c r="M1370" s="46"/>
      <c r="N1370" s="46"/>
      <c r="O1370" s="61"/>
      <c r="P1370" s="62"/>
      <c r="Q1370" s="46"/>
      <c r="R1370" s="47"/>
      <c r="S1370" s="62"/>
      <c r="T1370" s="62"/>
      <c r="U1370" s="46"/>
      <c r="V1370" s="61"/>
      <c r="W1370" s="62"/>
      <c r="X1370" s="47"/>
      <c r="Y1370" s="46"/>
      <c r="Z1370" s="46"/>
      <c r="AA1370" s="46"/>
      <c r="AB1370" s="49"/>
      <c r="AC1370" s="42"/>
      <c r="AD1370" s="42"/>
      <c r="AE1370" s="50"/>
      <c r="AF1370" s="42"/>
      <c r="AG1370" s="42"/>
      <c r="AH1370" s="42"/>
      <c r="AI1370" s="42" t="str">
        <f t="array" ref="AI1370">XLOOKUP($E1370,Sheet11!$D:$D,Sheet11!$X:$X,"",0)</f>
        <v/>
      </c>
      <c r="AJ1370" s="42" t="str">
        <f t="array" ref="AJ1370">XLOOKUP($E1370,Sheet11!$D:$D,Sheet11!$Y:$Y,"",0)</f>
        <v/>
      </c>
    </row>
    <row r="1371">
      <c r="A1371" s="23"/>
      <c r="B1371" s="42"/>
      <c r="C1371" s="42"/>
      <c r="D1371" s="42"/>
      <c r="E1371" s="42"/>
      <c r="F1371" s="42"/>
      <c r="G1371" s="42"/>
      <c r="H1371" s="42"/>
      <c r="I1371" s="42"/>
      <c r="J1371" s="42"/>
      <c r="K1371" s="42"/>
      <c r="L1371" s="46"/>
      <c r="M1371" s="46"/>
      <c r="N1371" s="46"/>
      <c r="O1371" s="61"/>
      <c r="P1371" s="62"/>
      <c r="Q1371" s="46"/>
      <c r="R1371" s="47"/>
      <c r="S1371" s="62"/>
      <c r="T1371" s="62"/>
      <c r="U1371" s="46"/>
      <c r="V1371" s="61"/>
      <c r="W1371" s="62"/>
      <c r="X1371" s="47"/>
      <c r="Y1371" s="46"/>
      <c r="Z1371" s="46"/>
      <c r="AA1371" s="46"/>
      <c r="AB1371" s="49"/>
      <c r="AC1371" s="42"/>
      <c r="AD1371" s="42"/>
      <c r="AE1371" s="50"/>
      <c r="AF1371" s="42"/>
      <c r="AG1371" s="42"/>
      <c r="AH1371" s="42"/>
      <c r="AI1371" s="42" t="str">
        <f t="array" ref="AI1371">XLOOKUP($E1371,Sheet11!$D:$D,Sheet11!$X:$X,"",0)</f>
        <v/>
      </c>
      <c r="AJ1371" s="42" t="str">
        <f t="array" ref="AJ1371">XLOOKUP($E1371,Sheet11!$D:$D,Sheet11!$Y:$Y,"",0)</f>
        <v/>
      </c>
    </row>
    <row r="1372">
      <c r="A1372" s="23"/>
      <c r="B1372" s="42"/>
      <c r="C1372" s="42"/>
      <c r="D1372" s="42"/>
      <c r="E1372" s="42"/>
      <c r="F1372" s="42"/>
      <c r="G1372" s="42"/>
      <c r="H1372" s="42"/>
      <c r="I1372" s="42"/>
      <c r="J1372" s="42"/>
      <c r="K1372" s="42"/>
      <c r="L1372" s="46"/>
      <c r="M1372" s="46"/>
      <c r="N1372" s="46"/>
      <c r="O1372" s="61"/>
      <c r="P1372" s="62"/>
      <c r="Q1372" s="46"/>
      <c r="R1372" s="47"/>
      <c r="S1372" s="62"/>
      <c r="T1372" s="62"/>
      <c r="U1372" s="46"/>
      <c r="V1372" s="61"/>
      <c r="W1372" s="62"/>
      <c r="X1372" s="47"/>
      <c r="Y1372" s="46"/>
      <c r="Z1372" s="46"/>
      <c r="AA1372" s="46"/>
      <c r="AB1372" s="49"/>
      <c r="AC1372" s="42"/>
      <c r="AD1372" s="42"/>
      <c r="AE1372" s="50"/>
      <c r="AF1372" s="42"/>
      <c r="AG1372" s="42"/>
      <c r="AH1372" s="42"/>
      <c r="AI1372" s="42" t="str">
        <f t="array" ref="AI1372">XLOOKUP($E1372,Sheet11!$D:$D,Sheet11!$X:$X,"",0)</f>
        <v/>
      </c>
      <c r="AJ1372" s="42" t="str">
        <f t="array" ref="AJ1372">XLOOKUP($E1372,Sheet11!$D:$D,Sheet11!$Y:$Y,"",0)</f>
        <v/>
      </c>
    </row>
    <row r="1373">
      <c r="A1373" s="23"/>
      <c r="B1373" s="42"/>
      <c r="C1373" s="42"/>
      <c r="D1373" s="42"/>
      <c r="E1373" s="42"/>
      <c r="F1373" s="42"/>
      <c r="G1373" s="42"/>
      <c r="H1373" s="42"/>
      <c r="I1373" s="42"/>
      <c r="J1373" s="42"/>
      <c r="K1373" s="42"/>
      <c r="L1373" s="46"/>
      <c r="M1373" s="46"/>
      <c r="N1373" s="46"/>
      <c r="O1373" s="61"/>
      <c r="P1373" s="62"/>
      <c r="Q1373" s="46"/>
      <c r="R1373" s="47"/>
      <c r="S1373" s="62"/>
      <c r="T1373" s="62"/>
      <c r="U1373" s="46"/>
      <c r="V1373" s="61"/>
      <c r="W1373" s="62"/>
      <c r="X1373" s="47"/>
      <c r="Y1373" s="46"/>
      <c r="Z1373" s="46"/>
      <c r="AA1373" s="46"/>
      <c r="AB1373" s="49"/>
      <c r="AC1373" s="42"/>
      <c r="AD1373" s="42"/>
      <c r="AE1373" s="50"/>
      <c r="AF1373" s="42"/>
      <c r="AG1373" s="42"/>
      <c r="AH1373" s="42"/>
      <c r="AI1373" s="42" t="str">
        <f t="array" ref="AI1373">XLOOKUP($E1373,Sheet11!$D:$D,Sheet11!$X:$X,"",0)</f>
        <v/>
      </c>
      <c r="AJ1373" s="42" t="str">
        <f t="array" ref="AJ1373">XLOOKUP($E1373,Sheet11!$D:$D,Sheet11!$Y:$Y,"",0)</f>
        <v/>
      </c>
    </row>
    <row r="1374">
      <c r="A1374" s="23"/>
      <c r="B1374" s="42"/>
      <c r="C1374" s="42"/>
      <c r="D1374" s="42"/>
      <c r="E1374" s="42"/>
      <c r="F1374" s="42"/>
      <c r="G1374" s="42"/>
      <c r="H1374" s="42"/>
      <c r="I1374" s="42"/>
      <c r="J1374" s="42"/>
      <c r="K1374" s="42"/>
      <c r="L1374" s="46"/>
      <c r="M1374" s="46"/>
      <c r="N1374" s="46"/>
      <c r="O1374" s="61"/>
      <c r="P1374" s="62"/>
      <c r="Q1374" s="46"/>
      <c r="R1374" s="47"/>
      <c r="S1374" s="62"/>
      <c r="T1374" s="62"/>
      <c r="U1374" s="46"/>
      <c r="V1374" s="61"/>
      <c r="W1374" s="62"/>
      <c r="X1374" s="47"/>
      <c r="Y1374" s="46"/>
      <c r="Z1374" s="46"/>
      <c r="AA1374" s="46"/>
      <c r="AB1374" s="49"/>
      <c r="AC1374" s="42"/>
      <c r="AD1374" s="42"/>
      <c r="AE1374" s="50"/>
      <c r="AF1374" s="42"/>
      <c r="AG1374" s="42"/>
      <c r="AH1374" s="42"/>
      <c r="AI1374" s="42" t="str">
        <f t="array" ref="AI1374">XLOOKUP($E1374,Sheet11!$D:$D,Sheet11!$X:$X,"",0)</f>
        <v/>
      </c>
      <c r="AJ1374" s="42" t="str">
        <f t="array" ref="AJ1374">XLOOKUP($E1374,Sheet11!$D:$D,Sheet11!$Y:$Y,"",0)</f>
        <v/>
      </c>
    </row>
    <row r="1375">
      <c r="A1375" s="23"/>
      <c r="B1375" s="42"/>
      <c r="C1375" s="42"/>
      <c r="D1375" s="42"/>
      <c r="E1375" s="42"/>
      <c r="F1375" s="42"/>
      <c r="G1375" s="42"/>
      <c r="H1375" s="42"/>
      <c r="I1375" s="42"/>
      <c r="J1375" s="42"/>
      <c r="K1375" s="42"/>
      <c r="L1375" s="46"/>
      <c r="M1375" s="46"/>
      <c r="N1375" s="46"/>
      <c r="O1375" s="61"/>
      <c r="P1375" s="62"/>
      <c r="Q1375" s="46"/>
      <c r="R1375" s="47"/>
      <c r="S1375" s="62"/>
      <c r="T1375" s="62"/>
      <c r="U1375" s="46"/>
      <c r="V1375" s="61"/>
      <c r="W1375" s="62"/>
      <c r="X1375" s="47"/>
      <c r="Y1375" s="46"/>
      <c r="Z1375" s="46"/>
      <c r="AA1375" s="46"/>
      <c r="AB1375" s="49"/>
      <c r="AC1375" s="42"/>
      <c r="AD1375" s="42"/>
      <c r="AE1375" s="50"/>
      <c r="AF1375" s="42"/>
      <c r="AG1375" s="42"/>
      <c r="AH1375" s="42"/>
      <c r="AI1375" s="42" t="str">
        <f t="array" ref="AI1375">XLOOKUP($E1375,Sheet11!$D:$D,Sheet11!$X:$X,"",0)</f>
        <v/>
      </c>
      <c r="AJ1375" s="42" t="str">
        <f t="array" ref="AJ1375">XLOOKUP($E1375,Sheet11!$D:$D,Sheet11!$Y:$Y,"",0)</f>
        <v/>
      </c>
    </row>
    <row r="1376">
      <c r="A1376" s="23"/>
      <c r="B1376" s="42"/>
      <c r="C1376" s="42"/>
      <c r="D1376" s="42"/>
      <c r="E1376" s="42"/>
      <c r="F1376" s="42"/>
      <c r="G1376" s="42"/>
      <c r="H1376" s="42"/>
      <c r="I1376" s="42"/>
      <c r="J1376" s="42"/>
      <c r="K1376" s="42"/>
      <c r="L1376" s="46"/>
      <c r="M1376" s="46"/>
      <c r="N1376" s="46"/>
      <c r="O1376" s="61"/>
      <c r="P1376" s="62"/>
      <c r="Q1376" s="46"/>
      <c r="R1376" s="47"/>
      <c r="S1376" s="62"/>
      <c r="T1376" s="62"/>
      <c r="U1376" s="46"/>
      <c r="V1376" s="61"/>
      <c r="W1376" s="62"/>
      <c r="X1376" s="47"/>
      <c r="Y1376" s="46"/>
      <c r="Z1376" s="46"/>
      <c r="AA1376" s="46"/>
      <c r="AB1376" s="49"/>
      <c r="AC1376" s="42"/>
      <c r="AD1376" s="42"/>
      <c r="AE1376" s="50"/>
      <c r="AF1376" s="42"/>
      <c r="AG1376" s="42"/>
      <c r="AH1376" s="42"/>
      <c r="AI1376" s="42" t="str">
        <f t="array" ref="AI1376">XLOOKUP($E1376,Sheet11!$D:$D,Sheet11!$X:$X,"",0)</f>
        <v/>
      </c>
      <c r="AJ1376" s="42" t="str">
        <f t="array" ref="AJ1376">XLOOKUP($E1376,Sheet11!$D:$D,Sheet11!$Y:$Y,"",0)</f>
        <v/>
      </c>
    </row>
    <row r="1377">
      <c r="A1377" s="23"/>
      <c r="B1377" s="42"/>
      <c r="C1377" s="42"/>
      <c r="D1377" s="42"/>
      <c r="E1377" s="42"/>
      <c r="F1377" s="42"/>
      <c r="G1377" s="42"/>
      <c r="H1377" s="42"/>
      <c r="I1377" s="42"/>
      <c r="J1377" s="42"/>
      <c r="K1377" s="42"/>
      <c r="L1377" s="46"/>
      <c r="M1377" s="46"/>
      <c r="N1377" s="46"/>
      <c r="O1377" s="61"/>
      <c r="P1377" s="62"/>
      <c r="Q1377" s="46"/>
      <c r="R1377" s="47"/>
      <c r="S1377" s="62"/>
      <c r="T1377" s="62"/>
      <c r="U1377" s="46"/>
      <c r="V1377" s="61"/>
      <c r="W1377" s="62"/>
      <c r="X1377" s="47"/>
      <c r="Y1377" s="46"/>
      <c r="Z1377" s="46"/>
      <c r="AA1377" s="46"/>
      <c r="AB1377" s="49"/>
      <c r="AC1377" s="42"/>
      <c r="AD1377" s="42"/>
      <c r="AE1377" s="50"/>
      <c r="AF1377" s="42"/>
      <c r="AG1377" s="42"/>
      <c r="AH1377" s="42"/>
      <c r="AI1377" s="42" t="str">
        <f t="array" ref="AI1377">XLOOKUP($E1377,Sheet11!$D:$D,Sheet11!$X:$X,"",0)</f>
        <v/>
      </c>
      <c r="AJ1377" s="42" t="str">
        <f t="array" ref="AJ1377">XLOOKUP($E1377,Sheet11!$D:$D,Sheet11!$Y:$Y,"",0)</f>
        <v/>
      </c>
    </row>
    <row r="1378">
      <c r="A1378" s="23"/>
      <c r="B1378" s="42"/>
      <c r="C1378" s="42"/>
      <c r="D1378" s="42"/>
      <c r="E1378" s="42"/>
      <c r="F1378" s="42"/>
      <c r="G1378" s="42"/>
      <c r="H1378" s="42"/>
      <c r="I1378" s="42"/>
      <c r="J1378" s="42"/>
      <c r="K1378" s="42"/>
      <c r="L1378" s="46"/>
      <c r="M1378" s="46"/>
      <c r="N1378" s="46"/>
      <c r="O1378" s="61"/>
      <c r="P1378" s="62"/>
      <c r="Q1378" s="46"/>
      <c r="R1378" s="47"/>
      <c r="S1378" s="62"/>
      <c r="T1378" s="62"/>
      <c r="U1378" s="46"/>
      <c r="V1378" s="61"/>
      <c r="W1378" s="62"/>
      <c r="X1378" s="47"/>
      <c r="Y1378" s="46"/>
      <c r="Z1378" s="46"/>
      <c r="AA1378" s="46"/>
      <c r="AB1378" s="49"/>
      <c r="AC1378" s="42"/>
      <c r="AD1378" s="42"/>
      <c r="AE1378" s="50"/>
      <c r="AF1378" s="42"/>
      <c r="AG1378" s="42"/>
      <c r="AH1378" s="42"/>
      <c r="AI1378" s="42" t="str">
        <f t="array" ref="AI1378">XLOOKUP($E1378,Sheet11!$D:$D,Sheet11!$X:$X,"",0)</f>
        <v/>
      </c>
      <c r="AJ1378" s="42" t="str">
        <f t="array" ref="AJ1378">XLOOKUP($E1378,Sheet11!$D:$D,Sheet11!$Y:$Y,"",0)</f>
        <v/>
      </c>
    </row>
    <row r="1379">
      <c r="A1379" s="23"/>
      <c r="B1379" s="42"/>
      <c r="C1379" s="42"/>
      <c r="D1379" s="42"/>
      <c r="E1379" s="42"/>
      <c r="F1379" s="42"/>
      <c r="G1379" s="42"/>
      <c r="H1379" s="42"/>
      <c r="I1379" s="42"/>
      <c r="J1379" s="42"/>
      <c r="K1379" s="42"/>
      <c r="L1379" s="46"/>
      <c r="M1379" s="46"/>
      <c r="N1379" s="46"/>
      <c r="O1379" s="61"/>
      <c r="P1379" s="62"/>
      <c r="Q1379" s="46"/>
      <c r="R1379" s="47"/>
      <c r="S1379" s="62"/>
      <c r="T1379" s="62"/>
      <c r="U1379" s="46"/>
      <c r="V1379" s="61"/>
      <c r="W1379" s="62"/>
      <c r="X1379" s="47"/>
      <c r="Y1379" s="46"/>
      <c r="Z1379" s="46"/>
      <c r="AA1379" s="46"/>
      <c r="AB1379" s="49"/>
      <c r="AC1379" s="42"/>
      <c r="AD1379" s="42"/>
      <c r="AE1379" s="50"/>
      <c r="AF1379" s="42"/>
      <c r="AG1379" s="42"/>
      <c r="AH1379" s="42"/>
      <c r="AI1379" s="42" t="str">
        <f t="array" ref="AI1379">XLOOKUP($E1379,Sheet11!$D:$D,Sheet11!$X:$X,"",0)</f>
        <v/>
      </c>
      <c r="AJ1379" s="42" t="str">
        <f t="array" ref="AJ1379">XLOOKUP($E1379,Sheet11!$D:$D,Sheet11!$Y:$Y,"",0)</f>
        <v/>
      </c>
    </row>
    <row r="1380">
      <c r="A1380" s="23"/>
      <c r="B1380" s="42"/>
      <c r="C1380" s="42"/>
      <c r="D1380" s="42"/>
      <c r="E1380" s="42"/>
      <c r="F1380" s="42"/>
      <c r="G1380" s="42"/>
      <c r="H1380" s="42"/>
      <c r="I1380" s="42"/>
      <c r="J1380" s="42"/>
      <c r="K1380" s="42"/>
      <c r="L1380" s="46"/>
      <c r="M1380" s="46"/>
      <c r="N1380" s="46"/>
      <c r="O1380" s="61"/>
      <c r="P1380" s="62"/>
      <c r="Q1380" s="46"/>
      <c r="R1380" s="47"/>
      <c r="S1380" s="62"/>
      <c r="T1380" s="62"/>
      <c r="U1380" s="46"/>
      <c r="V1380" s="61"/>
      <c r="W1380" s="62"/>
      <c r="X1380" s="47"/>
      <c r="Y1380" s="46"/>
      <c r="Z1380" s="46"/>
      <c r="AA1380" s="46"/>
      <c r="AB1380" s="49"/>
      <c r="AC1380" s="42"/>
      <c r="AD1380" s="42"/>
      <c r="AE1380" s="50"/>
      <c r="AF1380" s="42"/>
      <c r="AG1380" s="42"/>
      <c r="AH1380" s="42"/>
      <c r="AI1380" s="42" t="str">
        <f t="array" ref="AI1380">XLOOKUP($E1380,Sheet11!$D:$D,Sheet11!$X:$X,"",0)</f>
        <v/>
      </c>
      <c r="AJ1380" s="42" t="str">
        <f t="array" ref="AJ1380">XLOOKUP($E1380,Sheet11!$D:$D,Sheet11!$Y:$Y,"",0)</f>
        <v/>
      </c>
    </row>
    <row r="1381">
      <c r="A1381" s="23"/>
      <c r="B1381" s="42"/>
      <c r="C1381" s="42"/>
      <c r="D1381" s="42"/>
      <c r="E1381" s="42"/>
      <c r="F1381" s="42"/>
      <c r="G1381" s="42"/>
      <c r="H1381" s="42"/>
      <c r="I1381" s="42"/>
      <c r="J1381" s="42"/>
      <c r="K1381" s="42"/>
      <c r="L1381" s="46"/>
      <c r="M1381" s="46"/>
      <c r="N1381" s="46"/>
      <c r="O1381" s="61"/>
      <c r="P1381" s="62"/>
      <c r="Q1381" s="46"/>
      <c r="R1381" s="47"/>
      <c r="S1381" s="62"/>
      <c r="T1381" s="62"/>
      <c r="U1381" s="46"/>
      <c r="V1381" s="61"/>
      <c r="W1381" s="62"/>
      <c r="X1381" s="47"/>
      <c r="Y1381" s="46"/>
      <c r="Z1381" s="46"/>
      <c r="AA1381" s="46"/>
      <c r="AB1381" s="49"/>
      <c r="AC1381" s="42"/>
      <c r="AD1381" s="42"/>
      <c r="AE1381" s="50"/>
      <c r="AF1381" s="42"/>
      <c r="AG1381" s="42"/>
      <c r="AH1381" s="42"/>
      <c r="AI1381" s="42" t="str">
        <f t="array" ref="AI1381">XLOOKUP($E1381,Sheet11!$D:$D,Sheet11!$X:$X,"",0)</f>
        <v/>
      </c>
      <c r="AJ1381" s="42" t="str">
        <f t="array" ref="AJ1381">XLOOKUP($E1381,Sheet11!$D:$D,Sheet11!$Y:$Y,"",0)</f>
        <v/>
      </c>
    </row>
    <row r="1382">
      <c r="A1382" s="23"/>
      <c r="B1382" s="42"/>
      <c r="C1382" s="42"/>
      <c r="D1382" s="42"/>
      <c r="E1382" s="42"/>
      <c r="F1382" s="42"/>
      <c r="G1382" s="42"/>
      <c r="H1382" s="42"/>
      <c r="I1382" s="42"/>
      <c r="J1382" s="42"/>
      <c r="K1382" s="42"/>
      <c r="L1382" s="46"/>
      <c r="M1382" s="46"/>
      <c r="N1382" s="46"/>
      <c r="O1382" s="61"/>
      <c r="P1382" s="62"/>
      <c r="Q1382" s="46"/>
      <c r="R1382" s="47"/>
      <c r="S1382" s="62"/>
      <c r="T1382" s="62"/>
      <c r="U1382" s="46"/>
      <c r="V1382" s="61"/>
      <c r="W1382" s="62"/>
      <c r="X1382" s="47"/>
      <c r="Y1382" s="46"/>
      <c r="Z1382" s="46"/>
      <c r="AA1382" s="46"/>
      <c r="AB1382" s="49"/>
      <c r="AC1382" s="42"/>
      <c r="AD1382" s="42"/>
      <c r="AE1382" s="50"/>
      <c r="AF1382" s="42"/>
      <c r="AG1382" s="42"/>
      <c r="AH1382" s="42"/>
      <c r="AI1382" s="42" t="str">
        <f t="array" ref="AI1382">XLOOKUP($E1382,Sheet11!$D:$D,Sheet11!$X:$X,"",0)</f>
        <v/>
      </c>
      <c r="AJ1382" s="42" t="str">
        <f t="array" ref="AJ1382">XLOOKUP($E1382,Sheet11!$D:$D,Sheet11!$Y:$Y,"",0)</f>
        <v/>
      </c>
    </row>
    <row r="1383">
      <c r="A1383" s="23"/>
      <c r="B1383" s="42"/>
      <c r="C1383" s="42"/>
      <c r="D1383" s="42"/>
      <c r="E1383" s="42"/>
      <c r="F1383" s="42"/>
      <c r="G1383" s="42"/>
      <c r="H1383" s="42"/>
      <c r="I1383" s="42"/>
      <c r="J1383" s="42"/>
      <c r="K1383" s="42"/>
      <c r="L1383" s="46"/>
      <c r="M1383" s="46"/>
      <c r="N1383" s="46"/>
      <c r="O1383" s="61"/>
      <c r="P1383" s="62"/>
      <c r="Q1383" s="46"/>
      <c r="R1383" s="47"/>
      <c r="S1383" s="62"/>
      <c r="T1383" s="62"/>
      <c r="U1383" s="46"/>
      <c r="V1383" s="61"/>
      <c r="W1383" s="62"/>
      <c r="X1383" s="47"/>
      <c r="Y1383" s="46"/>
      <c r="Z1383" s="46"/>
      <c r="AA1383" s="46"/>
      <c r="AB1383" s="49"/>
      <c r="AC1383" s="42"/>
      <c r="AD1383" s="42"/>
      <c r="AE1383" s="50"/>
      <c r="AF1383" s="42"/>
      <c r="AG1383" s="42"/>
      <c r="AH1383" s="42"/>
      <c r="AI1383" s="42" t="str">
        <f t="array" ref="AI1383">XLOOKUP($E1383,Sheet11!$D:$D,Sheet11!$X:$X,"",0)</f>
        <v/>
      </c>
      <c r="AJ1383" s="42" t="str">
        <f t="array" ref="AJ1383">XLOOKUP($E1383,Sheet11!$D:$D,Sheet11!$Y:$Y,"",0)</f>
        <v/>
      </c>
    </row>
    <row r="1384">
      <c r="A1384" s="23"/>
      <c r="B1384" s="42"/>
      <c r="C1384" s="42"/>
      <c r="D1384" s="42"/>
      <c r="E1384" s="42"/>
      <c r="F1384" s="42"/>
      <c r="G1384" s="42"/>
      <c r="H1384" s="42"/>
      <c r="I1384" s="42"/>
      <c r="J1384" s="42"/>
      <c r="K1384" s="42"/>
      <c r="L1384" s="46"/>
      <c r="M1384" s="46"/>
      <c r="N1384" s="46"/>
      <c r="O1384" s="61"/>
      <c r="P1384" s="62"/>
      <c r="Q1384" s="46"/>
      <c r="R1384" s="47"/>
      <c r="S1384" s="62"/>
      <c r="T1384" s="62"/>
      <c r="U1384" s="46"/>
      <c r="V1384" s="61"/>
      <c r="W1384" s="62"/>
      <c r="X1384" s="47"/>
      <c r="Y1384" s="46"/>
      <c r="Z1384" s="46"/>
      <c r="AA1384" s="46"/>
      <c r="AB1384" s="49"/>
      <c r="AC1384" s="42"/>
      <c r="AD1384" s="42"/>
      <c r="AE1384" s="50"/>
      <c r="AF1384" s="42"/>
      <c r="AG1384" s="42"/>
      <c r="AH1384" s="42"/>
      <c r="AI1384" s="42" t="str">
        <f t="array" ref="AI1384">XLOOKUP($E1384,Sheet11!$D:$D,Sheet11!$X:$X,"",0)</f>
        <v/>
      </c>
      <c r="AJ1384" s="42" t="str">
        <f t="array" ref="AJ1384">XLOOKUP($E1384,Sheet11!$D:$D,Sheet11!$Y:$Y,"",0)</f>
        <v/>
      </c>
    </row>
    <row r="1385">
      <c r="A1385" s="23"/>
      <c r="B1385" s="42"/>
      <c r="C1385" s="42"/>
      <c r="D1385" s="42"/>
      <c r="E1385" s="42"/>
      <c r="F1385" s="42"/>
      <c r="G1385" s="42"/>
      <c r="H1385" s="42"/>
      <c r="I1385" s="42"/>
      <c r="J1385" s="42"/>
      <c r="K1385" s="42"/>
      <c r="L1385" s="46"/>
      <c r="M1385" s="46"/>
      <c r="N1385" s="46"/>
      <c r="O1385" s="61"/>
      <c r="P1385" s="62"/>
      <c r="Q1385" s="46"/>
      <c r="R1385" s="47"/>
      <c r="S1385" s="62"/>
      <c r="T1385" s="62"/>
      <c r="U1385" s="46"/>
      <c r="V1385" s="61"/>
      <c r="W1385" s="62"/>
      <c r="X1385" s="47"/>
      <c r="Y1385" s="46"/>
      <c r="Z1385" s="46"/>
      <c r="AA1385" s="46"/>
      <c r="AB1385" s="49"/>
      <c r="AC1385" s="42"/>
      <c r="AD1385" s="42"/>
      <c r="AE1385" s="50"/>
      <c r="AF1385" s="42"/>
      <c r="AG1385" s="42"/>
      <c r="AH1385" s="42"/>
      <c r="AI1385" s="42" t="str">
        <f t="array" ref="AI1385">XLOOKUP($E1385,Sheet11!$D:$D,Sheet11!$X:$X,"",0)</f>
        <v/>
      </c>
      <c r="AJ1385" s="42" t="str">
        <f t="array" ref="AJ1385">XLOOKUP($E1385,Sheet11!$D:$D,Sheet11!$Y:$Y,"",0)</f>
        <v/>
      </c>
    </row>
    <row r="1386">
      <c r="A1386" s="23"/>
      <c r="B1386" s="42"/>
      <c r="C1386" s="42"/>
      <c r="D1386" s="42"/>
      <c r="E1386" s="42"/>
      <c r="F1386" s="42"/>
      <c r="G1386" s="42"/>
      <c r="H1386" s="42"/>
      <c r="I1386" s="42"/>
      <c r="J1386" s="42"/>
      <c r="K1386" s="42"/>
      <c r="L1386" s="46"/>
      <c r="M1386" s="46"/>
      <c r="N1386" s="46"/>
      <c r="O1386" s="61"/>
      <c r="P1386" s="62"/>
      <c r="Q1386" s="46"/>
      <c r="R1386" s="47"/>
      <c r="S1386" s="62"/>
      <c r="T1386" s="62"/>
      <c r="U1386" s="46"/>
      <c r="V1386" s="61"/>
      <c r="W1386" s="62"/>
      <c r="X1386" s="47"/>
      <c r="Y1386" s="46"/>
      <c r="Z1386" s="46"/>
      <c r="AA1386" s="46"/>
      <c r="AB1386" s="49"/>
      <c r="AC1386" s="42"/>
      <c r="AD1386" s="42"/>
      <c r="AE1386" s="50"/>
      <c r="AF1386" s="42"/>
      <c r="AG1386" s="42"/>
      <c r="AH1386" s="42"/>
      <c r="AI1386" s="42" t="str">
        <f t="array" ref="AI1386">XLOOKUP($E1386,Sheet11!$D:$D,Sheet11!$X:$X,"",0)</f>
        <v/>
      </c>
      <c r="AJ1386" s="42" t="str">
        <f t="array" ref="AJ1386">XLOOKUP($E1386,Sheet11!$D:$D,Sheet11!$Y:$Y,"",0)</f>
        <v/>
      </c>
    </row>
    <row r="1387">
      <c r="A1387" s="23"/>
      <c r="B1387" s="42"/>
      <c r="C1387" s="42"/>
      <c r="D1387" s="42"/>
      <c r="E1387" s="42"/>
      <c r="F1387" s="42"/>
      <c r="G1387" s="42"/>
      <c r="H1387" s="42"/>
      <c r="I1387" s="42"/>
      <c r="J1387" s="42"/>
      <c r="K1387" s="42"/>
      <c r="L1387" s="46"/>
      <c r="M1387" s="46"/>
      <c r="N1387" s="46"/>
      <c r="O1387" s="61"/>
      <c r="P1387" s="62"/>
      <c r="Q1387" s="46"/>
      <c r="R1387" s="47"/>
      <c r="S1387" s="62"/>
      <c r="T1387" s="62"/>
      <c r="U1387" s="46"/>
      <c r="V1387" s="61"/>
      <c r="W1387" s="62"/>
      <c r="X1387" s="47"/>
      <c r="Y1387" s="46"/>
      <c r="Z1387" s="46"/>
      <c r="AA1387" s="46"/>
      <c r="AB1387" s="49"/>
      <c r="AC1387" s="42"/>
      <c r="AD1387" s="42"/>
      <c r="AE1387" s="50"/>
      <c r="AF1387" s="42"/>
      <c r="AG1387" s="42"/>
      <c r="AH1387" s="42"/>
      <c r="AI1387" s="42" t="str">
        <f t="array" ref="AI1387">XLOOKUP($E1387,Sheet11!$D:$D,Sheet11!$X:$X,"",0)</f>
        <v/>
      </c>
      <c r="AJ1387" s="42" t="str">
        <f t="array" ref="AJ1387">XLOOKUP($E1387,Sheet11!$D:$D,Sheet11!$Y:$Y,"",0)</f>
        <v/>
      </c>
    </row>
    <row r="1388">
      <c r="A1388" s="23"/>
      <c r="B1388" s="42"/>
      <c r="C1388" s="42"/>
      <c r="D1388" s="42"/>
      <c r="E1388" s="42"/>
      <c r="F1388" s="42"/>
      <c r="G1388" s="42"/>
      <c r="H1388" s="42"/>
      <c r="I1388" s="42"/>
      <c r="J1388" s="42"/>
      <c r="K1388" s="42"/>
      <c r="L1388" s="46"/>
      <c r="M1388" s="46"/>
      <c r="N1388" s="46"/>
      <c r="O1388" s="61"/>
      <c r="P1388" s="62"/>
      <c r="Q1388" s="46"/>
      <c r="R1388" s="47"/>
      <c r="S1388" s="62"/>
      <c r="T1388" s="62"/>
      <c r="U1388" s="46"/>
      <c r="V1388" s="61"/>
      <c r="W1388" s="62"/>
      <c r="X1388" s="47"/>
      <c r="Y1388" s="46"/>
      <c r="Z1388" s="46"/>
      <c r="AA1388" s="46"/>
      <c r="AB1388" s="49"/>
      <c r="AC1388" s="42"/>
      <c r="AD1388" s="42"/>
      <c r="AE1388" s="50"/>
      <c r="AF1388" s="42"/>
      <c r="AG1388" s="42"/>
      <c r="AH1388" s="42"/>
      <c r="AI1388" s="42" t="str">
        <f t="array" ref="AI1388">XLOOKUP($E1388,Sheet11!$D:$D,Sheet11!$X:$X,"",0)</f>
        <v/>
      </c>
      <c r="AJ1388" s="42" t="str">
        <f t="array" ref="AJ1388">XLOOKUP($E1388,Sheet11!$D:$D,Sheet11!$Y:$Y,"",0)</f>
        <v/>
      </c>
    </row>
    <row r="1389">
      <c r="A1389" s="23"/>
      <c r="B1389" s="42"/>
      <c r="C1389" s="42"/>
      <c r="D1389" s="42"/>
      <c r="E1389" s="42"/>
      <c r="F1389" s="42"/>
      <c r="G1389" s="42"/>
      <c r="H1389" s="42"/>
      <c r="I1389" s="42"/>
      <c r="J1389" s="42"/>
      <c r="K1389" s="42"/>
      <c r="L1389" s="46"/>
      <c r="M1389" s="46"/>
      <c r="N1389" s="46"/>
      <c r="O1389" s="61"/>
      <c r="P1389" s="62"/>
      <c r="Q1389" s="46"/>
      <c r="R1389" s="47"/>
      <c r="S1389" s="62"/>
      <c r="T1389" s="62"/>
      <c r="U1389" s="46"/>
      <c r="V1389" s="61"/>
      <c r="W1389" s="62"/>
      <c r="X1389" s="47"/>
      <c r="Y1389" s="46"/>
      <c r="Z1389" s="46"/>
      <c r="AA1389" s="46"/>
      <c r="AB1389" s="49"/>
      <c r="AC1389" s="42"/>
      <c r="AD1389" s="42"/>
      <c r="AE1389" s="50"/>
      <c r="AF1389" s="42"/>
      <c r="AG1389" s="42"/>
      <c r="AH1389" s="42"/>
      <c r="AI1389" s="42" t="str">
        <f t="array" ref="AI1389">XLOOKUP($E1389,Sheet11!$D:$D,Sheet11!$X:$X,"",0)</f>
        <v/>
      </c>
      <c r="AJ1389" s="42" t="str">
        <f t="array" ref="AJ1389">XLOOKUP($E1389,Sheet11!$D:$D,Sheet11!$Y:$Y,"",0)</f>
        <v/>
      </c>
    </row>
    <row r="1390">
      <c r="A1390" s="23"/>
      <c r="B1390" s="42"/>
      <c r="C1390" s="42"/>
      <c r="D1390" s="42"/>
      <c r="E1390" s="42"/>
      <c r="F1390" s="42"/>
      <c r="G1390" s="42"/>
      <c r="H1390" s="42"/>
      <c r="I1390" s="42"/>
      <c r="J1390" s="42"/>
      <c r="K1390" s="42"/>
      <c r="L1390" s="46"/>
      <c r="M1390" s="46"/>
      <c r="N1390" s="46"/>
      <c r="O1390" s="61"/>
      <c r="P1390" s="62"/>
      <c r="Q1390" s="46"/>
      <c r="R1390" s="47"/>
      <c r="S1390" s="62"/>
      <c r="T1390" s="62"/>
      <c r="U1390" s="46"/>
      <c r="V1390" s="61"/>
      <c r="W1390" s="62"/>
      <c r="X1390" s="47"/>
      <c r="Y1390" s="46"/>
      <c r="Z1390" s="46"/>
      <c r="AA1390" s="46"/>
      <c r="AB1390" s="49"/>
      <c r="AC1390" s="42"/>
      <c r="AD1390" s="42"/>
      <c r="AE1390" s="50"/>
      <c r="AF1390" s="42"/>
      <c r="AG1390" s="42"/>
      <c r="AH1390" s="42"/>
      <c r="AI1390" s="42" t="str">
        <f t="array" ref="AI1390">XLOOKUP($E1390,Sheet11!$D:$D,Sheet11!$X:$X,"",0)</f>
        <v/>
      </c>
      <c r="AJ1390" s="42" t="str">
        <f t="array" ref="AJ1390">XLOOKUP($E1390,Sheet11!$D:$D,Sheet11!$Y:$Y,"",0)</f>
        <v/>
      </c>
    </row>
    <row r="1391">
      <c r="A1391" s="23"/>
      <c r="B1391" s="42"/>
      <c r="C1391" s="42"/>
      <c r="D1391" s="42"/>
      <c r="E1391" s="42"/>
      <c r="F1391" s="42"/>
      <c r="G1391" s="42"/>
      <c r="H1391" s="42"/>
      <c r="I1391" s="42"/>
      <c r="J1391" s="42"/>
      <c r="K1391" s="42"/>
      <c r="L1391" s="46"/>
      <c r="M1391" s="46"/>
      <c r="N1391" s="46"/>
      <c r="O1391" s="61"/>
      <c r="P1391" s="62"/>
      <c r="Q1391" s="46"/>
      <c r="R1391" s="47"/>
      <c r="S1391" s="62"/>
      <c r="T1391" s="62"/>
      <c r="U1391" s="46"/>
      <c r="V1391" s="61"/>
      <c r="W1391" s="62"/>
      <c r="X1391" s="47"/>
      <c r="Y1391" s="46"/>
      <c r="Z1391" s="46"/>
      <c r="AA1391" s="46"/>
      <c r="AB1391" s="49"/>
      <c r="AC1391" s="42"/>
      <c r="AD1391" s="42"/>
      <c r="AE1391" s="50"/>
      <c r="AF1391" s="42"/>
      <c r="AG1391" s="42"/>
      <c r="AH1391" s="42"/>
      <c r="AI1391" s="42" t="str">
        <f t="array" ref="AI1391">XLOOKUP($E1391,Sheet11!$D:$D,Sheet11!$X:$X,"",0)</f>
        <v/>
      </c>
      <c r="AJ1391" s="42" t="str">
        <f t="array" ref="AJ1391">XLOOKUP($E1391,Sheet11!$D:$D,Sheet11!$Y:$Y,"",0)</f>
        <v/>
      </c>
    </row>
    <row r="1392">
      <c r="A1392" s="23"/>
      <c r="B1392" s="42"/>
      <c r="C1392" s="42"/>
      <c r="D1392" s="42"/>
      <c r="E1392" s="42"/>
      <c r="F1392" s="42"/>
      <c r="G1392" s="42"/>
      <c r="H1392" s="42"/>
      <c r="I1392" s="42"/>
      <c r="J1392" s="42"/>
      <c r="K1392" s="42"/>
      <c r="L1392" s="46"/>
      <c r="M1392" s="46"/>
      <c r="N1392" s="46"/>
      <c r="O1392" s="61"/>
      <c r="P1392" s="62"/>
      <c r="Q1392" s="46"/>
      <c r="R1392" s="47"/>
      <c r="S1392" s="62"/>
      <c r="T1392" s="62"/>
      <c r="U1392" s="46"/>
      <c r="V1392" s="61"/>
      <c r="W1392" s="62"/>
      <c r="X1392" s="47"/>
      <c r="Y1392" s="46"/>
      <c r="Z1392" s="46"/>
      <c r="AA1392" s="46"/>
      <c r="AB1392" s="49"/>
      <c r="AC1392" s="42"/>
      <c r="AD1392" s="42"/>
      <c r="AE1392" s="50"/>
      <c r="AF1392" s="42"/>
      <c r="AG1392" s="42"/>
      <c r="AH1392" s="42"/>
      <c r="AI1392" s="42" t="str">
        <f t="array" ref="AI1392">XLOOKUP($E1392,Sheet11!$D:$D,Sheet11!$X:$X,"",0)</f>
        <v/>
      </c>
      <c r="AJ1392" s="42" t="str">
        <f t="array" ref="AJ1392">XLOOKUP($E1392,Sheet11!$D:$D,Sheet11!$Y:$Y,"",0)</f>
        <v/>
      </c>
    </row>
    <row r="1393">
      <c r="A1393" s="23"/>
      <c r="B1393" s="42"/>
      <c r="C1393" s="42"/>
      <c r="D1393" s="42"/>
      <c r="E1393" s="42"/>
      <c r="F1393" s="42"/>
      <c r="G1393" s="42"/>
      <c r="H1393" s="42"/>
      <c r="I1393" s="42"/>
      <c r="J1393" s="42"/>
      <c r="K1393" s="42"/>
      <c r="L1393" s="46"/>
      <c r="M1393" s="46"/>
      <c r="N1393" s="46"/>
      <c r="O1393" s="61"/>
      <c r="P1393" s="62"/>
      <c r="Q1393" s="46"/>
      <c r="R1393" s="47"/>
      <c r="S1393" s="62"/>
      <c r="T1393" s="62"/>
      <c r="U1393" s="46"/>
      <c r="V1393" s="61"/>
      <c r="W1393" s="62"/>
      <c r="X1393" s="47"/>
      <c r="Y1393" s="46"/>
      <c r="Z1393" s="46"/>
      <c r="AA1393" s="46"/>
      <c r="AB1393" s="49"/>
      <c r="AC1393" s="42"/>
      <c r="AD1393" s="42"/>
      <c r="AE1393" s="50"/>
      <c r="AF1393" s="42"/>
      <c r="AG1393" s="42"/>
      <c r="AH1393" s="42"/>
      <c r="AI1393" s="42" t="str">
        <f t="array" ref="AI1393">XLOOKUP($E1393,Sheet11!$D:$D,Sheet11!$X:$X,"",0)</f>
        <v/>
      </c>
      <c r="AJ1393" s="42" t="str">
        <f t="array" ref="AJ1393">XLOOKUP($E1393,Sheet11!$D:$D,Sheet11!$Y:$Y,"",0)</f>
        <v/>
      </c>
    </row>
    <row r="1394">
      <c r="A1394" s="23"/>
      <c r="B1394" s="42"/>
      <c r="C1394" s="42"/>
      <c r="D1394" s="42"/>
      <c r="E1394" s="42"/>
      <c r="F1394" s="42"/>
      <c r="G1394" s="42"/>
      <c r="H1394" s="42"/>
      <c r="I1394" s="42"/>
      <c r="J1394" s="42"/>
      <c r="K1394" s="42"/>
      <c r="L1394" s="46"/>
      <c r="M1394" s="46"/>
      <c r="N1394" s="46"/>
      <c r="O1394" s="61"/>
      <c r="P1394" s="62"/>
      <c r="Q1394" s="46"/>
      <c r="R1394" s="47"/>
      <c r="S1394" s="62"/>
      <c r="T1394" s="62"/>
      <c r="U1394" s="46"/>
      <c r="V1394" s="61"/>
      <c r="W1394" s="62"/>
      <c r="X1394" s="47"/>
      <c r="Y1394" s="46"/>
      <c r="Z1394" s="46"/>
      <c r="AA1394" s="46"/>
      <c r="AB1394" s="49"/>
      <c r="AC1394" s="42"/>
      <c r="AD1394" s="42"/>
      <c r="AE1394" s="50"/>
      <c r="AF1394" s="42"/>
      <c r="AG1394" s="42"/>
      <c r="AH1394" s="42"/>
      <c r="AI1394" s="42" t="str">
        <f t="array" ref="AI1394">XLOOKUP($E1394,Sheet11!$D:$D,Sheet11!$X:$X,"",0)</f>
        <v/>
      </c>
      <c r="AJ1394" s="42" t="str">
        <f t="array" ref="AJ1394">XLOOKUP($E1394,Sheet11!$D:$D,Sheet11!$Y:$Y,"",0)</f>
        <v/>
      </c>
    </row>
    <row r="1395">
      <c r="A1395" s="23"/>
      <c r="B1395" s="42"/>
      <c r="C1395" s="42"/>
      <c r="D1395" s="42"/>
      <c r="E1395" s="42"/>
      <c r="F1395" s="42"/>
      <c r="G1395" s="42"/>
      <c r="H1395" s="42"/>
      <c r="I1395" s="42"/>
      <c r="J1395" s="42"/>
      <c r="K1395" s="42"/>
      <c r="L1395" s="46"/>
      <c r="M1395" s="46"/>
      <c r="N1395" s="46"/>
      <c r="O1395" s="61"/>
      <c r="P1395" s="62"/>
      <c r="Q1395" s="46"/>
      <c r="R1395" s="47"/>
      <c r="S1395" s="62"/>
      <c r="T1395" s="62"/>
      <c r="U1395" s="46"/>
      <c r="V1395" s="61"/>
      <c r="W1395" s="62"/>
      <c r="X1395" s="47"/>
      <c r="Y1395" s="46"/>
      <c r="Z1395" s="46"/>
      <c r="AA1395" s="46"/>
      <c r="AB1395" s="49"/>
      <c r="AC1395" s="42"/>
      <c r="AD1395" s="42"/>
      <c r="AE1395" s="50"/>
      <c r="AF1395" s="42"/>
      <c r="AG1395" s="42"/>
      <c r="AH1395" s="42"/>
      <c r="AI1395" s="42" t="str">
        <f t="array" ref="AI1395">XLOOKUP($E1395,Sheet11!$D:$D,Sheet11!$X:$X,"",0)</f>
        <v/>
      </c>
      <c r="AJ1395" s="42" t="str">
        <f t="array" ref="AJ1395">XLOOKUP($E1395,Sheet11!$D:$D,Sheet11!$Y:$Y,"",0)</f>
        <v/>
      </c>
    </row>
    <row r="1396">
      <c r="A1396" s="23"/>
      <c r="B1396" s="42"/>
      <c r="C1396" s="42"/>
      <c r="D1396" s="42"/>
      <c r="E1396" s="42"/>
      <c r="F1396" s="42"/>
      <c r="G1396" s="42"/>
      <c r="H1396" s="42"/>
      <c r="I1396" s="42"/>
      <c r="J1396" s="42"/>
      <c r="K1396" s="42"/>
      <c r="L1396" s="46"/>
      <c r="M1396" s="46"/>
      <c r="N1396" s="46"/>
      <c r="O1396" s="61"/>
      <c r="P1396" s="62"/>
      <c r="Q1396" s="46"/>
      <c r="R1396" s="47"/>
      <c r="S1396" s="62"/>
      <c r="T1396" s="62"/>
      <c r="U1396" s="46"/>
      <c r="V1396" s="61"/>
      <c r="W1396" s="62"/>
      <c r="X1396" s="47"/>
      <c r="Y1396" s="46"/>
      <c r="Z1396" s="46"/>
      <c r="AA1396" s="46"/>
      <c r="AB1396" s="49"/>
      <c r="AC1396" s="42"/>
      <c r="AD1396" s="42"/>
      <c r="AE1396" s="50"/>
      <c r="AF1396" s="42"/>
      <c r="AG1396" s="42"/>
      <c r="AH1396" s="42"/>
      <c r="AI1396" s="42" t="str">
        <f t="array" ref="AI1396">XLOOKUP($E1396,Sheet11!$D:$D,Sheet11!$X:$X,"",0)</f>
        <v/>
      </c>
      <c r="AJ1396" s="42" t="str">
        <f t="array" ref="AJ1396">XLOOKUP($E1396,Sheet11!$D:$D,Sheet11!$Y:$Y,"",0)</f>
        <v/>
      </c>
    </row>
    <row r="1397">
      <c r="A1397" s="23"/>
      <c r="B1397" s="42"/>
      <c r="C1397" s="42"/>
      <c r="D1397" s="42"/>
      <c r="E1397" s="42"/>
      <c r="F1397" s="42"/>
      <c r="G1397" s="42"/>
      <c r="H1397" s="42"/>
      <c r="I1397" s="42"/>
      <c r="J1397" s="42"/>
      <c r="K1397" s="42"/>
      <c r="L1397" s="46"/>
      <c r="M1397" s="46"/>
      <c r="N1397" s="46"/>
      <c r="O1397" s="61"/>
      <c r="P1397" s="62"/>
      <c r="Q1397" s="46"/>
      <c r="R1397" s="47"/>
      <c r="S1397" s="62"/>
      <c r="T1397" s="62"/>
      <c r="U1397" s="46"/>
      <c r="V1397" s="61"/>
      <c r="W1397" s="62"/>
      <c r="X1397" s="47"/>
      <c r="Y1397" s="46"/>
      <c r="Z1397" s="46"/>
      <c r="AA1397" s="46"/>
      <c r="AB1397" s="49"/>
      <c r="AC1397" s="42"/>
      <c r="AD1397" s="42"/>
      <c r="AE1397" s="50"/>
      <c r="AF1397" s="42"/>
      <c r="AG1397" s="42"/>
      <c r="AH1397" s="42"/>
      <c r="AI1397" s="42" t="str">
        <f t="array" ref="AI1397">XLOOKUP($E1397,Sheet11!$D:$D,Sheet11!$X:$X,"",0)</f>
        <v/>
      </c>
      <c r="AJ1397" s="42" t="str">
        <f t="array" ref="AJ1397">XLOOKUP($E1397,Sheet11!$D:$D,Sheet11!$Y:$Y,"",0)</f>
        <v/>
      </c>
    </row>
    <row r="1398">
      <c r="A1398" s="23"/>
      <c r="B1398" s="42"/>
      <c r="C1398" s="42"/>
      <c r="D1398" s="42"/>
      <c r="E1398" s="42"/>
      <c r="F1398" s="42"/>
      <c r="G1398" s="42"/>
      <c r="H1398" s="42"/>
      <c r="I1398" s="42"/>
      <c r="J1398" s="42"/>
      <c r="K1398" s="42"/>
      <c r="L1398" s="46"/>
      <c r="M1398" s="46"/>
      <c r="N1398" s="46"/>
      <c r="O1398" s="61"/>
      <c r="P1398" s="62"/>
      <c r="Q1398" s="46"/>
      <c r="R1398" s="47"/>
      <c r="S1398" s="62"/>
      <c r="T1398" s="62"/>
      <c r="U1398" s="46"/>
      <c r="V1398" s="61"/>
      <c r="W1398" s="62"/>
      <c r="X1398" s="47"/>
      <c r="Y1398" s="46"/>
      <c r="Z1398" s="46"/>
      <c r="AA1398" s="46"/>
      <c r="AB1398" s="49"/>
      <c r="AC1398" s="42"/>
      <c r="AD1398" s="42"/>
      <c r="AE1398" s="50"/>
      <c r="AF1398" s="42"/>
      <c r="AG1398" s="42"/>
      <c r="AH1398" s="42"/>
      <c r="AI1398" s="42" t="str">
        <f t="array" ref="AI1398">XLOOKUP($E1398,Sheet11!$D:$D,Sheet11!$X:$X,"",0)</f>
        <v/>
      </c>
      <c r="AJ1398" s="42" t="str">
        <f t="array" ref="AJ1398">XLOOKUP($E1398,Sheet11!$D:$D,Sheet11!$Y:$Y,"",0)</f>
        <v/>
      </c>
    </row>
    <row r="1399">
      <c r="A1399" s="23"/>
      <c r="B1399" s="42"/>
      <c r="C1399" s="42"/>
      <c r="D1399" s="42"/>
      <c r="E1399" s="42"/>
      <c r="F1399" s="42"/>
      <c r="G1399" s="42"/>
      <c r="H1399" s="42"/>
      <c r="I1399" s="42"/>
      <c r="J1399" s="42"/>
      <c r="K1399" s="42"/>
      <c r="L1399" s="46"/>
      <c r="M1399" s="46"/>
      <c r="N1399" s="46"/>
      <c r="O1399" s="61"/>
      <c r="P1399" s="62"/>
      <c r="Q1399" s="46"/>
      <c r="R1399" s="47"/>
      <c r="S1399" s="62"/>
      <c r="T1399" s="62"/>
      <c r="U1399" s="46"/>
      <c r="V1399" s="61"/>
      <c r="W1399" s="62"/>
      <c r="X1399" s="47"/>
      <c r="Y1399" s="46"/>
      <c r="Z1399" s="46"/>
      <c r="AA1399" s="46"/>
      <c r="AB1399" s="49"/>
      <c r="AC1399" s="42"/>
      <c r="AD1399" s="42"/>
      <c r="AE1399" s="50"/>
      <c r="AF1399" s="42"/>
      <c r="AG1399" s="42"/>
      <c r="AH1399" s="42"/>
      <c r="AI1399" s="42" t="str">
        <f t="array" ref="AI1399">XLOOKUP($E1399,Sheet11!$D:$D,Sheet11!$X:$X,"",0)</f>
        <v/>
      </c>
      <c r="AJ1399" s="42" t="str">
        <f t="array" ref="AJ1399">XLOOKUP($E1399,Sheet11!$D:$D,Sheet11!$Y:$Y,"",0)</f>
        <v/>
      </c>
    </row>
    <row r="1400">
      <c r="A1400" s="23"/>
      <c r="B1400" s="42"/>
      <c r="C1400" s="42"/>
      <c r="D1400" s="42"/>
      <c r="E1400" s="42"/>
      <c r="F1400" s="42"/>
      <c r="G1400" s="42"/>
      <c r="H1400" s="42"/>
      <c r="I1400" s="42"/>
      <c r="J1400" s="42"/>
      <c r="K1400" s="42"/>
      <c r="L1400" s="46"/>
      <c r="M1400" s="46"/>
      <c r="N1400" s="46"/>
      <c r="O1400" s="61"/>
      <c r="P1400" s="62"/>
      <c r="Q1400" s="46"/>
      <c r="R1400" s="47"/>
      <c r="S1400" s="62"/>
      <c r="T1400" s="62"/>
      <c r="U1400" s="46"/>
      <c r="V1400" s="61"/>
      <c r="W1400" s="62"/>
      <c r="X1400" s="47"/>
      <c r="Y1400" s="46"/>
      <c r="Z1400" s="46"/>
      <c r="AA1400" s="46"/>
      <c r="AB1400" s="49"/>
      <c r="AC1400" s="42"/>
      <c r="AD1400" s="42"/>
      <c r="AE1400" s="50"/>
      <c r="AF1400" s="42"/>
      <c r="AG1400" s="42"/>
      <c r="AH1400" s="42"/>
      <c r="AI1400" s="42" t="str">
        <f t="array" ref="AI1400">XLOOKUP($E1400,Sheet11!$D:$D,Sheet11!$X:$X,"",0)</f>
        <v/>
      </c>
      <c r="AJ1400" s="42" t="str">
        <f t="array" ref="AJ1400">XLOOKUP($E1400,Sheet11!$D:$D,Sheet11!$Y:$Y,"",0)</f>
        <v/>
      </c>
    </row>
    <row r="1401">
      <c r="A1401" s="23"/>
      <c r="B1401" s="42"/>
      <c r="C1401" s="42"/>
      <c r="D1401" s="42"/>
      <c r="E1401" s="42"/>
      <c r="F1401" s="42"/>
      <c r="G1401" s="42"/>
      <c r="H1401" s="42"/>
      <c r="I1401" s="42"/>
      <c r="J1401" s="42"/>
      <c r="K1401" s="42"/>
      <c r="L1401" s="46"/>
      <c r="M1401" s="46"/>
      <c r="N1401" s="46"/>
      <c r="O1401" s="61"/>
      <c r="P1401" s="62"/>
      <c r="Q1401" s="46"/>
      <c r="R1401" s="47"/>
      <c r="S1401" s="62"/>
      <c r="T1401" s="62"/>
      <c r="U1401" s="46"/>
      <c r="V1401" s="61"/>
      <c r="W1401" s="62"/>
      <c r="X1401" s="47"/>
      <c r="Y1401" s="46"/>
      <c r="Z1401" s="46"/>
      <c r="AA1401" s="46"/>
      <c r="AB1401" s="49"/>
      <c r="AC1401" s="42"/>
      <c r="AD1401" s="42"/>
      <c r="AE1401" s="50"/>
      <c r="AF1401" s="42"/>
      <c r="AG1401" s="42"/>
      <c r="AH1401" s="42"/>
      <c r="AI1401" s="42" t="str">
        <f t="array" ref="AI1401">XLOOKUP($E1401,Sheet11!$D:$D,Sheet11!$X:$X,"",0)</f>
        <v/>
      </c>
      <c r="AJ1401" s="42" t="str">
        <f t="array" ref="AJ1401">XLOOKUP($E1401,Sheet11!$D:$D,Sheet11!$Y:$Y,"",0)</f>
        <v/>
      </c>
    </row>
    <row r="1402">
      <c r="A1402" s="23"/>
      <c r="B1402" s="42"/>
      <c r="C1402" s="42"/>
      <c r="D1402" s="42"/>
      <c r="E1402" s="42"/>
      <c r="F1402" s="42"/>
      <c r="G1402" s="42"/>
      <c r="H1402" s="42"/>
      <c r="I1402" s="42"/>
      <c r="J1402" s="42"/>
      <c r="K1402" s="42"/>
      <c r="L1402" s="46"/>
      <c r="M1402" s="46"/>
      <c r="N1402" s="46"/>
      <c r="O1402" s="61"/>
      <c r="P1402" s="62"/>
      <c r="Q1402" s="46"/>
      <c r="R1402" s="47"/>
      <c r="S1402" s="62"/>
      <c r="T1402" s="62"/>
      <c r="U1402" s="46"/>
      <c r="V1402" s="61"/>
      <c r="W1402" s="62"/>
      <c r="X1402" s="47"/>
      <c r="Y1402" s="46"/>
      <c r="Z1402" s="46"/>
      <c r="AA1402" s="46"/>
      <c r="AB1402" s="49"/>
      <c r="AC1402" s="42"/>
      <c r="AD1402" s="42"/>
      <c r="AE1402" s="50"/>
      <c r="AF1402" s="42"/>
      <c r="AG1402" s="42"/>
      <c r="AH1402" s="42"/>
      <c r="AI1402" s="42" t="str">
        <f t="array" ref="AI1402">XLOOKUP($E1402,Sheet11!$D:$D,Sheet11!$X:$X,"",0)</f>
        <v/>
      </c>
      <c r="AJ1402" s="42" t="str">
        <f t="array" ref="AJ1402">XLOOKUP($E1402,Sheet11!$D:$D,Sheet11!$Y:$Y,"",0)</f>
        <v/>
      </c>
    </row>
    <row r="1403">
      <c r="A1403" s="23"/>
      <c r="B1403" s="42"/>
      <c r="C1403" s="42"/>
      <c r="D1403" s="42"/>
      <c r="E1403" s="42"/>
      <c r="F1403" s="42"/>
      <c r="G1403" s="42"/>
      <c r="H1403" s="42"/>
      <c r="I1403" s="42"/>
      <c r="J1403" s="42"/>
      <c r="K1403" s="42"/>
      <c r="L1403" s="46"/>
      <c r="M1403" s="46"/>
      <c r="N1403" s="46"/>
      <c r="O1403" s="61"/>
      <c r="P1403" s="62"/>
      <c r="Q1403" s="46"/>
      <c r="R1403" s="47"/>
      <c r="S1403" s="62"/>
      <c r="T1403" s="62"/>
      <c r="U1403" s="46"/>
      <c r="V1403" s="61"/>
      <c r="W1403" s="62"/>
      <c r="X1403" s="47"/>
      <c r="Y1403" s="46"/>
      <c r="Z1403" s="46"/>
      <c r="AA1403" s="46"/>
      <c r="AB1403" s="49"/>
      <c r="AC1403" s="42"/>
      <c r="AD1403" s="42"/>
      <c r="AE1403" s="50"/>
      <c r="AF1403" s="42"/>
      <c r="AG1403" s="42"/>
      <c r="AH1403" s="42"/>
      <c r="AI1403" s="42" t="str">
        <f t="array" ref="AI1403">XLOOKUP($E1403,Sheet11!$D:$D,Sheet11!$X:$X,"",0)</f>
        <v/>
      </c>
      <c r="AJ1403" s="42" t="str">
        <f t="array" ref="AJ1403">XLOOKUP($E1403,Sheet11!$D:$D,Sheet11!$Y:$Y,"",0)</f>
        <v/>
      </c>
    </row>
    <row r="1404">
      <c r="A1404" s="23"/>
      <c r="B1404" s="42"/>
      <c r="C1404" s="42"/>
      <c r="D1404" s="42"/>
      <c r="E1404" s="42"/>
      <c r="F1404" s="42"/>
      <c r="G1404" s="42"/>
      <c r="H1404" s="42"/>
      <c r="I1404" s="42"/>
      <c r="J1404" s="42"/>
      <c r="K1404" s="42"/>
      <c r="L1404" s="46"/>
      <c r="M1404" s="46"/>
      <c r="N1404" s="46"/>
      <c r="O1404" s="61"/>
      <c r="P1404" s="62"/>
      <c r="Q1404" s="46"/>
      <c r="R1404" s="47"/>
      <c r="S1404" s="62"/>
      <c r="T1404" s="62"/>
      <c r="U1404" s="46"/>
      <c r="V1404" s="61"/>
      <c r="W1404" s="62"/>
      <c r="X1404" s="47"/>
      <c r="Y1404" s="46"/>
      <c r="Z1404" s="46"/>
      <c r="AA1404" s="46"/>
      <c r="AB1404" s="49"/>
      <c r="AC1404" s="42"/>
      <c r="AD1404" s="42"/>
      <c r="AE1404" s="50"/>
      <c r="AF1404" s="42"/>
      <c r="AG1404" s="42"/>
      <c r="AH1404" s="42"/>
      <c r="AI1404" s="42" t="str">
        <f t="array" ref="AI1404">XLOOKUP($E1404,Sheet11!$D:$D,Sheet11!$X:$X,"",0)</f>
        <v/>
      </c>
      <c r="AJ1404" s="42" t="str">
        <f t="array" ref="AJ1404">XLOOKUP($E1404,Sheet11!$D:$D,Sheet11!$Y:$Y,"",0)</f>
        <v/>
      </c>
    </row>
    <row r="1405">
      <c r="A1405" s="23"/>
      <c r="B1405" s="42"/>
      <c r="C1405" s="42"/>
      <c r="D1405" s="42"/>
      <c r="E1405" s="42"/>
      <c r="F1405" s="42"/>
      <c r="G1405" s="42"/>
      <c r="H1405" s="42"/>
      <c r="I1405" s="42"/>
      <c r="J1405" s="42"/>
      <c r="K1405" s="42"/>
      <c r="L1405" s="46"/>
      <c r="M1405" s="46"/>
      <c r="N1405" s="46"/>
      <c r="O1405" s="61"/>
      <c r="P1405" s="62"/>
      <c r="Q1405" s="46"/>
      <c r="R1405" s="47"/>
      <c r="S1405" s="62"/>
      <c r="T1405" s="62"/>
      <c r="U1405" s="46"/>
      <c r="V1405" s="61"/>
      <c r="W1405" s="62"/>
      <c r="X1405" s="47"/>
      <c r="Y1405" s="46"/>
      <c r="Z1405" s="46"/>
      <c r="AA1405" s="46"/>
      <c r="AB1405" s="49"/>
      <c r="AC1405" s="42"/>
      <c r="AD1405" s="42"/>
      <c r="AE1405" s="50"/>
      <c r="AF1405" s="42"/>
      <c r="AG1405" s="42"/>
      <c r="AH1405" s="42"/>
      <c r="AI1405" s="42" t="str">
        <f t="array" ref="AI1405">XLOOKUP($E1405,Sheet11!$D:$D,Sheet11!$X:$X,"",0)</f>
        <v/>
      </c>
      <c r="AJ1405" s="42" t="str">
        <f t="array" ref="AJ1405">XLOOKUP($E1405,Sheet11!$D:$D,Sheet11!$Y:$Y,"",0)</f>
        <v/>
      </c>
    </row>
    <row r="1406">
      <c r="A1406" s="23"/>
      <c r="B1406" s="42"/>
      <c r="C1406" s="42"/>
      <c r="D1406" s="42"/>
      <c r="E1406" s="42"/>
      <c r="F1406" s="42"/>
      <c r="G1406" s="42"/>
      <c r="H1406" s="42"/>
      <c r="I1406" s="42"/>
      <c r="J1406" s="42"/>
      <c r="K1406" s="42"/>
      <c r="L1406" s="46"/>
      <c r="M1406" s="46"/>
      <c r="N1406" s="46"/>
      <c r="O1406" s="61"/>
      <c r="P1406" s="62"/>
      <c r="Q1406" s="46"/>
      <c r="R1406" s="47"/>
      <c r="S1406" s="62"/>
      <c r="T1406" s="62"/>
      <c r="U1406" s="46"/>
      <c r="V1406" s="61"/>
      <c r="W1406" s="62"/>
      <c r="X1406" s="47"/>
      <c r="Y1406" s="46"/>
      <c r="Z1406" s="46"/>
      <c r="AA1406" s="46"/>
      <c r="AB1406" s="49"/>
      <c r="AC1406" s="42"/>
      <c r="AD1406" s="42"/>
      <c r="AE1406" s="50"/>
      <c r="AF1406" s="42"/>
      <c r="AG1406" s="42"/>
      <c r="AH1406" s="42"/>
      <c r="AI1406" s="42" t="str">
        <f t="array" ref="AI1406">XLOOKUP($E1406,Sheet11!$D:$D,Sheet11!$X:$X,"",0)</f>
        <v/>
      </c>
      <c r="AJ1406" s="42" t="str">
        <f t="array" ref="AJ1406">XLOOKUP($E1406,Sheet11!$D:$D,Sheet11!$Y:$Y,"",0)</f>
        <v/>
      </c>
    </row>
    <row r="1407">
      <c r="A1407" s="23"/>
      <c r="B1407" s="42"/>
      <c r="C1407" s="42"/>
      <c r="D1407" s="42"/>
      <c r="E1407" s="42"/>
      <c r="F1407" s="42"/>
      <c r="G1407" s="42"/>
      <c r="H1407" s="42"/>
      <c r="I1407" s="42"/>
      <c r="J1407" s="42"/>
      <c r="K1407" s="42"/>
      <c r="L1407" s="46"/>
      <c r="M1407" s="46"/>
      <c r="N1407" s="46"/>
      <c r="O1407" s="61"/>
      <c r="P1407" s="62"/>
      <c r="Q1407" s="46"/>
      <c r="R1407" s="47"/>
      <c r="S1407" s="62"/>
      <c r="T1407" s="62"/>
      <c r="U1407" s="46"/>
      <c r="V1407" s="61"/>
      <c r="W1407" s="62"/>
      <c r="X1407" s="47"/>
      <c r="Y1407" s="46"/>
      <c r="Z1407" s="46"/>
      <c r="AA1407" s="46"/>
      <c r="AB1407" s="49"/>
      <c r="AC1407" s="42"/>
      <c r="AD1407" s="42"/>
      <c r="AE1407" s="50"/>
      <c r="AF1407" s="42"/>
      <c r="AG1407" s="42"/>
      <c r="AH1407" s="42"/>
      <c r="AI1407" s="42" t="str">
        <f t="array" ref="AI1407">XLOOKUP($E1407,Sheet11!$D:$D,Sheet11!$X:$X,"",0)</f>
        <v/>
      </c>
      <c r="AJ1407" s="42" t="str">
        <f t="array" ref="AJ1407">XLOOKUP($E1407,Sheet11!$D:$D,Sheet11!$Y:$Y,"",0)</f>
        <v/>
      </c>
    </row>
    <row r="1408">
      <c r="A1408" s="23"/>
      <c r="B1408" s="42"/>
      <c r="C1408" s="42"/>
      <c r="D1408" s="42"/>
      <c r="E1408" s="42"/>
      <c r="F1408" s="42"/>
      <c r="G1408" s="42"/>
      <c r="H1408" s="42"/>
      <c r="I1408" s="42"/>
      <c r="J1408" s="42"/>
      <c r="K1408" s="42"/>
      <c r="L1408" s="46"/>
      <c r="M1408" s="46"/>
      <c r="N1408" s="46"/>
      <c r="O1408" s="61"/>
      <c r="P1408" s="62"/>
      <c r="Q1408" s="46"/>
      <c r="R1408" s="47"/>
      <c r="S1408" s="62"/>
      <c r="T1408" s="62"/>
      <c r="U1408" s="46"/>
      <c r="V1408" s="61"/>
      <c r="W1408" s="62"/>
      <c r="X1408" s="47"/>
      <c r="Y1408" s="46"/>
      <c r="Z1408" s="46"/>
      <c r="AA1408" s="46"/>
      <c r="AB1408" s="49"/>
      <c r="AC1408" s="42"/>
      <c r="AD1408" s="42"/>
      <c r="AE1408" s="50"/>
      <c r="AF1408" s="42"/>
      <c r="AG1408" s="42"/>
      <c r="AH1408" s="42"/>
      <c r="AI1408" s="42" t="str">
        <f t="array" ref="AI1408">XLOOKUP($E1408,Sheet11!$D:$D,Sheet11!$X:$X,"",0)</f>
        <v/>
      </c>
      <c r="AJ1408" s="42" t="str">
        <f t="array" ref="AJ1408">XLOOKUP($E1408,Sheet11!$D:$D,Sheet11!$Y:$Y,"",0)</f>
        <v/>
      </c>
    </row>
    <row r="1409">
      <c r="A1409" s="23"/>
      <c r="B1409" s="42"/>
      <c r="C1409" s="42"/>
      <c r="D1409" s="42"/>
      <c r="E1409" s="42"/>
      <c r="F1409" s="42"/>
      <c r="G1409" s="42"/>
      <c r="H1409" s="42"/>
      <c r="I1409" s="42"/>
      <c r="J1409" s="42"/>
      <c r="K1409" s="42"/>
      <c r="L1409" s="46"/>
      <c r="M1409" s="46"/>
      <c r="N1409" s="46"/>
      <c r="O1409" s="61"/>
      <c r="P1409" s="62"/>
      <c r="Q1409" s="46"/>
      <c r="R1409" s="47"/>
      <c r="S1409" s="62"/>
      <c r="T1409" s="62"/>
      <c r="U1409" s="46"/>
      <c r="V1409" s="61"/>
      <c r="W1409" s="62"/>
      <c r="X1409" s="47"/>
      <c r="Y1409" s="46"/>
      <c r="Z1409" s="46"/>
      <c r="AA1409" s="46"/>
      <c r="AB1409" s="49"/>
      <c r="AC1409" s="42"/>
      <c r="AD1409" s="42"/>
      <c r="AE1409" s="50"/>
      <c r="AF1409" s="42"/>
      <c r="AG1409" s="42"/>
      <c r="AH1409" s="42"/>
      <c r="AI1409" s="42" t="str">
        <f t="array" ref="AI1409">XLOOKUP($E1409,Sheet11!$D:$D,Sheet11!$X:$X,"",0)</f>
        <v/>
      </c>
      <c r="AJ1409" s="42" t="str">
        <f t="array" ref="AJ1409">XLOOKUP($E1409,Sheet11!$D:$D,Sheet11!$Y:$Y,"",0)</f>
        <v/>
      </c>
    </row>
    <row r="1410">
      <c r="A1410" s="23"/>
      <c r="B1410" s="42"/>
      <c r="C1410" s="42"/>
      <c r="D1410" s="42"/>
      <c r="E1410" s="42"/>
      <c r="F1410" s="42"/>
      <c r="G1410" s="42"/>
      <c r="H1410" s="42"/>
      <c r="I1410" s="42"/>
      <c r="J1410" s="42"/>
      <c r="K1410" s="42"/>
      <c r="L1410" s="46"/>
      <c r="M1410" s="46"/>
      <c r="N1410" s="46"/>
      <c r="O1410" s="61"/>
      <c r="P1410" s="62"/>
      <c r="Q1410" s="46"/>
      <c r="R1410" s="47"/>
      <c r="S1410" s="62"/>
      <c r="T1410" s="62"/>
      <c r="U1410" s="46"/>
      <c r="V1410" s="61"/>
      <c r="W1410" s="62"/>
      <c r="X1410" s="47"/>
      <c r="Y1410" s="46"/>
      <c r="Z1410" s="46"/>
      <c r="AA1410" s="46"/>
      <c r="AB1410" s="49"/>
      <c r="AC1410" s="42"/>
      <c r="AD1410" s="42"/>
      <c r="AE1410" s="50"/>
      <c r="AF1410" s="42"/>
      <c r="AG1410" s="42"/>
      <c r="AH1410" s="42"/>
      <c r="AI1410" s="42" t="str">
        <f t="array" ref="AI1410">XLOOKUP($E1410,Sheet11!$D:$D,Sheet11!$X:$X,"",0)</f>
        <v/>
      </c>
      <c r="AJ1410" s="42" t="str">
        <f t="array" ref="AJ1410">XLOOKUP($E1410,Sheet11!$D:$D,Sheet11!$Y:$Y,"",0)</f>
        <v/>
      </c>
    </row>
    <row r="1411">
      <c r="A1411" s="23"/>
      <c r="B1411" s="42"/>
      <c r="C1411" s="42"/>
      <c r="D1411" s="42"/>
      <c r="E1411" s="42"/>
      <c r="F1411" s="42"/>
      <c r="G1411" s="42"/>
      <c r="H1411" s="42"/>
      <c r="I1411" s="42"/>
      <c r="J1411" s="42"/>
      <c r="K1411" s="42"/>
      <c r="L1411" s="46"/>
      <c r="M1411" s="46"/>
      <c r="N1411" s="46"/>
      <c r="O1411" s="61"/>
      <c r="P1411" s="62"/>
      <c r="Q1411" s="46"/>
      <c r="R1411" s="47"/>
      <c r="S1411" s="62"/>
      <c r="T1411" s="62"/>
      <c r="U1411" s="46"/>
      <c r="V1411" s="61"/>
      <c r="W1411" s="62"/>
      <c r="X1411" s="47"/>
      <c r="Y1411" s="46"/>
      <c r="Z1411" s="46"/>
      <c r="AA1411" s="46"/>
      <c r="AB1411" s="49"/>
      <c r="AC1411" s="42"/>
      <c r="AD1411" s="42"/>
      <c r="AE1411" s="50"/>
      <c r="AF1411" s="42"/>
      <c r="AG1411" s="42"/>
      <c r="AH1411" s="42"/>
      <c r="AI1411" s="42" t="str">
        <f t="array" ref="AI1411">XLOOKUP($E1411,Sheet11!$D:$D,Sheet11!$X:$X,"",0)</f>
        <v/>
      </c>
      <c r="AJ1411" s="42" t="str">
        <f t="array" ref="AJ1411">XLOOKUP($E1411,Sheet11!$D:$D,Sheet11!$Y:$Y,"",0)</f>
        <v/>
      </c>
    </row>
    <row r="1412">
      <c r="A1412" s="23"/>
      <c r="B1412" s="42"/>
      <c r="C1412" s="42"/>
      <c r="D1412" s="42"/>
      <c r="E1412" s="42"/>
      <c r="F1412" s="42"/>
      <c r="G1412" s="42"/>
      <c r="H1412" s="42"/>
      <c r="I1412" s="42"/>
      <c r="J1412" s="42"/>
      <c r="K1412" s="42"/>
      <c r="L1412" s="46"/>
      <c r="M1412" s="46"/>
      <c r="N1412" s="46"/>
      <c r="O1412" s="61"/>
      <c r="P1412" s="62"/>
      <c r="Q1412" s="46"/>
      <c r="R1412" s="47"/>
      <c r="S1412" s="62"/>
      <c r="T1412" s="62"/>
      <c r="U1412" s="46"/>
      <c r="V1412" s="61"/>
      <c r="W1412" s="62"/>
      <c r="X1412" s="47"/>
      <c r="Y1412" s="46"/>
      <c r="Z1412" s="46"/>
      <c r="AA1412" s="46"/>
      <c r="AB1412" s="49"/>
      <c r="AC1412" s="42"/>
      <c r="AD1412" s="42"/>
      <c r="AE1412" s="50"/>
      <c r="AF1412" s="42"/>
      <c r="AG1412" s="42"/>
      <c r="AH1412" s="42"/>
      <c r="AI1412" s="42" t="str">
        <f t="array" ref="AI1412">XLOOKUP($E1412,Sheet11!$D:$D,Sheet11!$X:$X,"",0)</f>
        <v/>
      </c>
      <c r="AJ1412" s="42" t="str">
        <f t="array" ref="AJ1412">XLOOKUP($E1412,Sheet11!$D:$D,Sheet11!$Y:$Y,"",0)</f>
        <v/>
      </c>
    </row>
    <row r="1413">
      <c r="A1413" s="23"/>
      <c r="B1413" s="42"/>
      <c r="C1413" s="42"/>
      <c r="D1413" s="42"/>
      <c r="E1413" s="42"/>
      <c r="F1413" s="42"/>
      <c r="G1413" s="42"/>
      <c r="H1413" s="42"/>
      <c r="I1413" s="42"/>
      <c r="J1413" s="42"/>
      <c r="K1413" s="42"/>
      <c r="L1413" s="46"/>
      <c r="M1413" s="46"/>
      <c r="N1413" s="46"/>
      <c r="O1413" s="61"/>
      <c r="P1413" s="62"/>
      <c r="Q1413" s="46"/>
      <c r="R1413" s="47"/>
      <c r="S1413" s="62"/>
      <c r="T1413" s="62"/>
      <c r="U1413" s="46"/>
      <c r="V1413" s="61"/>
      <c r="W1413" s="62"/>
      <c r="X1413" s="47"/>
      <c r="Y1413" s="46"/>
      <c r="Z1413" s="46"/>
      <c r="AA1413" s="46"/>
      <c r="AB1413" s="49"/>
      <c r="AC1413" s="42"/>
      <c r="AD1413" s="42"/>
      <c r="AE1413" s="50"/>
      <c r="AF1413" s="42"/>
      <c r="AG1413" s="42"/>
      <c r="AH1413" s="42"/>
      <c r="AI1413" s="42" t="str">
        <f t="array" ref="AI1413">XLOOKUP($E1413,Sheet11!$D:$D,Sheet11!$X:$X,"",0)</f>
        <v/>
      </c>
      <c r="AJ1413" s="42" t="str">
        <f t="array" ref="AJ1413">XLOOKUP($E1413,Sheet11!$D:$D,Sheet11!$Y:$Y,"",0)</f>
        <v/>
      </c>
    </row>
    <row r="1414">
      <c r="A1414" s="23"/>
      <c r="B1414" s="42"/>
      <c r="C1414" s="42"/>
      <c r="D1414" s="42"/>
      <c r="E1414" s="42"/>
      <c r="F1414" s="42"/>
      <c r="G1414" s="42"/>
      <c r="H1414" s="42"/>
      <c r="I1414" s="42"/>
      <c r="J1414" s="42"/>
      <c r="K1414" s="42"/>
      <c r="L1414" s="46"/>
      <c r="M1414" s="46"/>
      <c r="N1414" s="46"/>
      <c r="O1414" s="61"/>
      <c r="P1414" s="62"/>
      <c r="Q1414" s="46"/>
      <c r="R1414" s="47"/>
      <c r="S1414" s="62"/>
      <c r="T1414" s="62"/>
      <c r="U1414" s="46"/>
      <c r="V1414" s="61"/>
      <c r="W1414" s="62"/>
      <c r="X1414" s="47"/>
      <c r="Y1414" s="46"/>
      <c r="Z1414" s="46"/>
      <c r="AA1414" s="46"/>
      <c r="AB1414" s="49"/>
      <c r="AC1414" s="42"/>
      <c r="AD1414" s="42"/>
      <c r="AE1414" s="50"/>
      <c r="AF1414" s="42"/>
      <c r="AG1414" s="42"/>
      <c r="AH1414" s="42"/>
      <c r="AI1414" s="42" t="str">
        <f t="array" ref="AI1414">XLOOKUP($E1414,Sheet11!$D:$D,Sheet11!$X:$X,"",0)</f>
        <v/>
      </c>
      <c r="AJ1414" s="42" t="str">
        <f t="array" ref="AJ1414">XLOOKUP($E1414,Sheet11!$D:$D,Sheet11!$Y:$Y,"",0)</f>
        <v/>
      </c>
    </row>
    <row r="1415">
      <c r="A1415" s="23"/>
      <c r="B1415" s="42"/>
      <c r="C1415" s="42"/>
      <c r="D1415" s="42"/>
      <c r="E1415" s="42"/>
      <c r="F1415" s="42"/>
      <c r="G1415" s="42"/>
      <c r="H1415" s="42"/>
      <c r="I1415" s="42"/>
      <c r="J1415" s="42"/>
      <c r="K1415" s="42"/>
      <c r="L1415" s="46"/>
      <c r="M1415" s="46"/>
      <c r="N1415" s="46"/>
      <c r="O1415" s="61"/>
      <c r="P1415" s="62"/>
      <c r="Q1415" s="46"/>
      <c r="R1415" s="47"/>
      <c r="S1415" s="62"/>
      <c r="T1415" s="62"/>
      <c r="U1415" s="46"/>
      <c r="V1415" s="61"/>
      <c r="W1415" s="62"/>
      <c r="X1415" s="47"/>
      <c r="Y1415" s="46"/>
      <c r="Z1415" s="46"/>
      <c r="AA1415" s="46"/>
      <c r="AB1415" s="49"/>
      <c r="AC1415" s="42"/>
      <c r="AD1415" s="42"/>
      <c r="AE1415" s="50"/>
      <c r="AF1415" s="42"/>
      <c r="AG1415" s="42"/>
      <c r="AH1415" s="42"/>
      <c r="AI1415" s="42" t="str">
        <f t="array" ref="AI1415">XLOOKUP($E1415,Sheet11!$D:$D,Sheet11!$X:$X,"",0)</f>
        <v/>
      </c>
      <c r="AJ1415" s="42" t="str">
        <f t="array" ref="AJ1415">XLOOKUP($E1415,Sheet11!$D:$D,Sheet11!$Y:$Y,"",0)</f>
        <v/>
      </c>
    </row>
    <row r="1416">
      <c r="A1416" s="23"/>
      <c r="B1416" s="42"/>
      <c r="C1416" s="42"/>
      <c r="D1416" s="42"/>
      <c r="E1416" s="42"/>
      <c r="F1416" s="42"/>
      <c r="G1416" s="42"/>
      <c r="H1416" s="42"/>
      <c r="I1416" s="42"/>
      <c r="J1416" s="42"/>
      <c r="K1416" s="42"/>
      <c r="L1416" s="46"/>
      <c r="M1416" s="46"/>
      <c r="N1416" s="46"/>
      <c r="O1416" s="61"/>
      <c r="P1416" s="62"/>
      <c r="Q1416" s="46"/>
      <c r="R1416" s="47"/>
      <c r="S1416" s="62"/>
      <c r="T1416" s="62"/>
      <c r="U1416" s="46"/>
      <c r="V1416" s="61"/>
      <c r="W1416" s="62"/>
      <c r="X1416" s="47"/>
      <c r="Y1416" s="46"/>
      <c r="Z1416" s="46"/>
      <c r="AA1416" s="46"/>
      <c r="AB1416" s="49"/>
      <c r="AC1416" s="42"/>
      <c r="AD1416" s="42"/>
      <c r="AE1416" s="50"/>
      <c r="AF1416" s="42"/>
      <c r="AG1416" s="42"/>
      <c r="AH1416" s="42"/>
      <c r="AI1416" s="42" t="str">
        <f t="array" ref="AI1416">XLOOKUP($E1416,Sheet11!$D:$D,Sheet11!$X:$X,"",0)</f>
        <v/>
      </c>
      <c r="AJ1416" s="42" t="str">
        <f t="array" ref="AJ1416">XLOOKUP($E1416,Sheet11!$D:$D,Sheet11!$Y:$Y,"",0)</f>
        <v/>
      </c>
    </row>
    <row r="1417">
      <c r="A1417" s="23"/>
      <c r="B1417" s="42"/>
      <c r="C1417" s="42"/>
      <c r="D1417" s="42"/>
      <c r="E1417" s="42"/>
      <c r="F1417" s="42"/>
      <c r="G1417" s="42"/>
      <c r="H1417" s="42"/>
      <c r="I1417" s="42"/>
      <c r="J1417" s="42"/>
      <c r="K1417" s="42"/>
      <c r="L1417" s="46"/>
      <c r="M1417" s="46"/>
      <c r="N1417" s="46"/>
      <c r="O1417" s="61"/>
      <c r="P1417" s="62"/>
      <c r="Q1417" s="46"/>
      <c r="R1417" s="47"/>
      <c r="S1417" s="62"/>
      <c r="T1417" s="62"/>
      <c r="U1417" s="46"/>
      <c r="V1417" s="61"/>
      <c r="W1417" s="62"/>
      <c r="X1417" s="47"/>
      <c r="Y1417" s="46"/>
      <c r="Z1417" s="46"/>
      <c r="AA1417" s="46"/>
      <c r="AB1417" s="49"/>
      <c r="AC1417" s="42"/>
      <c r="AD1417" s="42"/>
      <c r="AE1417" s="50"/>
      <c r="AF1417" s="42"/>
      <c r="AG1417" s="42"/>
      <c r="AH1417" s="42"/>
      <c r="AI1417" s="42" t="str">
        <f t="array" ref="AI1417">XLOOKUP($E1417,Sheet11!$D:$D,Sheet11!$X:$X,"",0)</f>
        <v/>
      </c>
      <c r="AJ1417" s="42" t="str">
        <f t="array" ref="AJ1417">XLOOKUP($E1417,Sheet11!$D:$D,Sheet11!$Y:$Y,"",0)</f>
        <v/>
      </c>
    </row>
    <row r="1418">
      <c r="A1418" s="23"/>
      <c r="B1418" s="42"/>
      <c r="C1418" s="42"/>
      <c r="D1418" s="42"/>
      <c r="E1418" s="42"/>
      <c r="F1418" s="42"/>
      <c r="G1418" s="42"/>
      <c r="H1418" s="42"/>
      <c r="I1418" s="42"/>
      <c r="J1418" s="42"/>
      <c r="K1418" s="42"/>
      <c r="L1418" s="46"/>
      <c r="M1418" s="46"/>
      <c r="N1418" s="46"/>
      <c r="O1418" s="61"/>
      <c r="P1418" s="62"/>
      <c r="Q1418" s="46"/>
      <c r="R1418" s="47"/>
      <c r="S1418" s="62"/>
      <c r="T1418" s="62"/>
      <c r="U1418" s="46"/>
      <c r="V1418" s="61"/>
      <c r="W1418" s="62"/>
      <c r="X1418" s="47"/>
      <c r="Y1418" s="46"/>
      <c r="Z1418" s="46"/>
      <c r="AA1418" s="46"/>
      <c r="AB1418" s="49"/>
      <c r="AC1418" s="42"/>
      <c r="AD1418" s="42"/>
      <c r="AE1418" s="50"/>
      <c r="AF1418" s="42"/>
      <c r="AG1418" s="42"/>
      <c r="AH1418" s="42"/>
      <c r="AI1418" s="42" t="str">
        <f t="array" ref="AI1418">XLOOKUP($E1418,Sheet11!$D:$D,Sheet11!$X:$X,"",0)</f>
        <v/>
      </c>
      <c r="AJ1418" s="42" t="str">
        <f t="array" ref="AJ1418">XLOOKUP($E1418,Sheet11!$D:$D,Sheet11!$Y:$Y,"",0)</f>
        <v/>
      </c>
    </row>
    <row r="1419">
      <c r="A1419" s="23"/>
      <c r="B1419" s="42"/>
      <c r="C1419" s="42"/>
      <c r="D1419" s="42"/>
      <c r="E1419" s="42"/>
      <c r="F1419" s="42"/>
      <c r="G1419" s="42"/>
      <c r="H1419" s="42"/>
      <c r="I1419" s="42"/>
      <c r="J1419" s="42"/>
      <c r="K1419" s="42"/>
      <c r="L1419" s="46"/>
      <c r="M1419" s="46"/>
      <c r="N1419" s="46"/>
      <c r="O1419" s="61"/>
      <c r="P1419" s="62"/>
      <c r="Q1419" s="46"/>
      <c r="R1419" s="47"/>
      <c r="S1419" s="62"/>
      <c r="T1419" s="62"/>
      <c r="U1419" s="46"/>
      <c r="V1419" s="61"/>
      <c r="W1419" s="62"/>
      <c r="X1419" s="47"/>
      <c r="Y1419" s="46"/>
      <c r="Z1419" s="46"/>
      <c r="AA1419" s="46"/>
      <c r="AB1419" s="49"/>
      <c r="AC1419" s="42"/>
      <c r="AD1419" s="42"/>
      <c r="AE1419" s="50"/>
      <c r="AF1419" s="42"/>
      <c r="AG1419" s="42"/>
      <c r="AH1419" s="42"/>
      <c r="AI1419" s="42" t="str">
        <f t="array" ref="AI1419">XLOOKUP($E1419,Sheet11!$D:$D,Sheet11!$X:$X,"",0)</f>
        <v/>
      </c>
      <c r="AJ1419" s="42" t="str">
        <f t="array" ref="AJ1419">XLOOKUP($E1419,Sheet11!$D:$D,Sheet11!$Y:$Y,"",0)</f>
        <v/>
      </c>
    </row>
    <row r="1420">
      <c r="A1420" s="23"/>
      <c r="B1420" s="42"/>
      <c r="C1420" s="42"/>
      <c r="D1420" s="42"/>
      <c r="E1420" s="42"/>
      <c r="F1420" s="42"/>
      <c r="G1420" s="42"/>
      <c r="H1420" s="42"/>
      <c r="I1420" s="42"/>
      <c r="J1420" s="42"/>
      <c r="K1420" s="42"/>
      <c r="L1420" s="46"/>
      <c r="M1420" s="46"/>
      <c r="N1420" s="46"/>
      <c r="O1420" s="61"/>
      <c r="P1420" s="62"/>
      <c r="Q1420" s="46"/>
      <c r="R1420" s="47"/>
      <c r="S1420" s="62"/>
      <c r="T1420" s="62"/>
      <c r="U1420" s="46"/>
      <c r="V1420" s="61"/>
      <c r="W1420" s="62"/>
      <c r="X1420" s="47"/>
      <c r="Y1420" s="46"/>
      <c r="Z1420" s="46"/>
      <c r="AA1420" s="46"/>
      <c r="AB1420" s="49"/>
      <c r="AC1420" s="42"/>
      <c r="AD1420" s="42"/>
      <c r="AE1420" s="50"/>
      <c r="AF1420" s="42"/>
      <c r="AG1420" s="42"/>
      <c r="AH1420" s="42"/>
      <c r="AI1420" s="42" t="str">
        <f t="array" ref="AI1420">XLOOKUP($E1420,Sheet11!$D:$D,Sheet11!$X:$X,"",0)</f>
        <v/>
      </c>
      <c r="AJ1420" s="42" t="str">
        <f t="array" ref="AJ1420">XLOOKUP($E1420,Sheet11!$D:$D,Sheet11!$Y:$Y,"",0)</f>
        <v/>
      </c>
    </row>
    <row r="1421">
      <c r="A1421" s="23"/>
      <c r="B1421" s="42"/>
      <c r="C1421" s="42"/>
      <c r="D1421" s="42"/>
      <c r="E1421" s="42"/>
      <c r="F1421" s="42"/>
      <c r="G1421" s="42"/>
      <c r="H1421" s="42"/>
      <c r="I1421" s="42"/>
      <c r="J1421" s="42"/>
      <c r="K1421" s="42"/>
      <c r="L1421" s="46"/>
      <c r="M1421" s="46"/>
      <c r="N1421" s="46"/>
      <c r="O1421" s="61"/>
      <c r="P1421" s="62"/>
      <c r="Q1421" s="46"/>
      <c r="R1421" s="47"/>
      <c r="S1421" s="62"/>
      <c r="T1421" s="62"/>
      <c r="U1421" s="46"/>
      <c r="V1421" s="61"/>
      <c r="W1421" s="62"/>
      <c r="X1421" s="47"/>
      <c r="Y1421" s="46"/>
      <c r="Z1421" s="46"/>
      <c r="AA1421" s="46"/>
      <c r="AB1421" s="49"/>
      <c r="AC1421" s="42"/>
      <c r="AD1421" s="42"/>
      <c r="AE1421" s="50"/>
      <c r="AF1421" s="42"/>
      <c r="AG1421" s="42"/>
      <c r="AH1421" s="42"/>
      <c r="AI1421" s="42" t="str">
        <f t="array" ref="AI1421">XLOOKUP($E1421,Sheet11!$D:$D,Sheet11!$X:$X,"",0)</f>
        <v/>
      </c>
      <c r="AJ1421" s="42" t="str">
        <f t="array" ref="AJ1421">XLOOKUP($E1421,Sheet11!$D:$D,Sheet11!$Y:$Y,"",0)</f>
        <v/>
      </c>
    </row>
    <row r="1422">
      <c r="A1422" s="23"/>
      <c r="B1422" s="42"/>
      <c r="C1422" s="42"/>
      <c r="D1422" s="42"/>
      <c r="E1422" s="42"/>
      <c r="F1422" s="42"/>
      <c r="G1422" s="42"/>
      <c r="H1422" s="42"/>
      <c r="I1422" s="42"/>
      <c r="J1422" s="42"/>
      <c r="K1422" s="42"/>
      <c r="L1422" s="46"/>
      <c r="M1422" s="46"/>
      <c r="N1422" s="46"/>
      <c r="O1422" s="61"/>
      <c r="P1422" s="62"/>
      <c r="Q1422" s="46"/>
      <c r="R1422" s="47"/>
      <c r="S1422" s="62"/>
      <c r="T1422" s="62"/>
      <c r="U1422" s="46"/>
      <c r="V1422" s="61"/>
      <c r="W1422" s="62"/>
      <c r="X1422" s="47"/>
      <c r="Y1422" s="46"/>
      <c r="Z1422" s="46"/>
      <c r="AA1422" s="46"/>
      <c r="AB1422" s="49"/>
      <c r="AC1422" s="42"/>
      <c r="AD1422" s="42"/>
      <c r="AE1422" s="50"/>
      <c r="AF1422" s="42"/>
      <c r="AG1422" s="42"/>
      <c r="AH1422" s="42"/>
      <c r="AI1422" s="42" t="str">
        <f t="array" ref="AI1422">XLOOKUP($E1422,Sheet11!$D:$D,Sheet11!$X:$X,"",0)</f>
        <v/>
      </c>
      <c r="AJ1422" s="42" t="str">
        <f t="array" ref="AJ1422">XLOOKUP($E1422,Sheet11!$D:$D,Sheet11!$Y:$Y,"",0)</f>
        <v/>
      </c>
    </row>
    <row r="1423">
      <c r="A1423" s="23"/>
      <c r="B1423" s="42"/>
      <c r="C1423" s="42"/>
      <c r="D1423" s="42"/>
      <c r="E1423" s="42"/>
      <c r="F1423" s="42"/>
      <c r="G1423" s="42"/>
      <c r="H1423" s="42"/>
      <c r="I1423" s="42"/>
      <c r="J1423" s="42"/>
      <c r="K1423" s="42"/>
      <c r="L1423" s="46"/>
      <c r="M1423" s="46"/>
      <c r="N1423" s="46"/>
      <c r="O1423" s="61"/>
      <c r="P1423" s="62"/>
      <c r="Q1423" s="46"/>
      <c r="R1423" s="47"/>
      <c r="S1423" s="62"/>
      <c r="T1423" s="62"/>
      <c r="U1423" s="46"/>
      <c r="V1423" s="61"/>
      <c r="W1423" s="62"/>
      <c r="X1423" s="47"/>
      <c r="Y1423" s="46"/>
      <c r="Z1423" s="46"/>
      <c r="AA1423" s="46"/>
      <c r="AB1423" s="49"/>
      <c r="AC1423" s="42"/>
      <c r="AD1423" s="42"/>
      <c r="AE1423" s="50"/>
      <c r="AF1423" s="42"/>
      <c r="AG1423" s="42"/>
      <c r="AH1423" s="42"/>
      <c r="AI1423" s="42" t="str">
        <f t="array" ref="AI1423">XLOOKUP($E1423,Sheet11!$D:$D,Sheet11!$X:$X,"",0)</f>
        <v/>
      </c>
      <c r="AJ1423" s="42" t="str">
        <f t="array" ref="AJ1423">XLOOKUP($E1423,Sheet11!$D:$D,Sheet11!$Y:$Y,"",0)</f>
        <v/>
      </c>
    </row>
    <row r="1424">
      <c r="A1424" s="23"/>
      <c r="B1424" s="42"/>
      <c r="C1424" s="42"/>
      <c r="D1424" s="42"/>
      <c r="E1424" s="42"/>
      <c r="F1424" s="42"/>
      <c r="G1424" s="42"/>
      <c r="H1424" s="42"/>
      <c r="I1424" s="42"/>
      <c r="J1424" s="42"/>
      <c r="K1424" s="42"/>
      <c r="L1424" s="46"/>
      <c r="M1424" s="46"/>
      <c r="N1424" s="46"/>
      <c r="O1424" s="61"/>
      <c r="P1424" s="62"/>
      <c r="Q1424" s="46"/>
      <c r="R1424" s="47"/>
      <c r="S1424" s="62"/>
      <c r="T1424" s="62"/>
      <c r="U1424" s="46"/>
      <c r="V1424" s="61"/>
      <c r="W1424" s="62"/>
      <c r="X1424" s="47"/>
      <c r="Y1424" s="46"/>
      <c r="Z1424" s="46"/>
      <c r="AA1424" s="46"/>
      <c r="AB1424" s="49"/>
      <c r="AC1424" s="42"/>
      <c r="AD1424" s="42"/>
      <c r="AE1424" s="50"/>
      <c r="AF1424" s="42"/>
      <c r="AG1424" s="42"/>
      <c r="AH1424" s="42"/>
      <c r="AI1424" s="42" t="str">
        <f t="array" ref="AI1424">XLOOKUP($E1424,Sheet11!$D:$D,Sheet11!$X:$X,"",0)</f>
        <v/>
      </c>
      <c r="AJ1424" s="42" t="str">
        <f t="array" ref="AJ1424">XLOOKUP($E1424,Sheet11!$D:$D,Sheet11!$Y:$Y,"",0)</f>
        <v/>
      </c>
    </row>
    <row r="1425">
      <c r="A1425" s="23"/>
      <c r="B1425" s="42"/>
      <c r="C1425" s="42"/>
      <c r="D1425" s="42"/>
      <c r="E1425" s="42"/>
      <c r="F1425" s="42"/>
      <c r="G1425" s="42"/>
      <c r="H1425" s="42"/>
      <c r="I1425" s="42"/>
      <c r="J1425" s="42"/>
      <c r="K1425" s="42"/>
      <c r="L1425" s="46"/>
      <c r="M1425" s="46"/>
      <c r="N1425" s="46"/>
      <c r="O1425" s="61"/>
      <c r="P1425" s="62"/>
      <c r="Q1425" s="46"/>
      <c r="R1425" s="47"/>
      <c r="S1425" s="62"/>
      <c r="T1425" s="62"/>
      <c r="U1425" s="46"/>
      <c r="V1425" s="61"/>
      <c r="W1425" s="62"/>
      <c r="X1425" s="47"/>
      <c r="Y1425" s="46"/>
      <c r="Z1425" s="46"/>
      <c r="AA1425" s="46"/>
      <c r="AB1425" s="49"/>
      <c r="AC1425" s="42"/>
      <c r="AD1425" s="42"/>
      <c r="AE1425" s="50"/>
      <c r="AF1425" s="42"/>
      <c r="AG1425" s="42"/>
      <c r="AH1425" s="42"/>
      <c r="AI1425" s="42" t="str">
        <f t="array" ref="AI1425">XLOOKUP($E1425,Sheet11!$D:$D,Sheet11!$X:$X,"",0)</f>
        <v/>
      </c>
      <c r="AJ1425" s="42" t="str">
        <f t="array" ref="AJ1425">XLOOKUP($E1425,Sheet11!$D:$D,Sheet11!$Y:$Y,"",0)</f>
        <v/>
      </c>
    </row>
    <row r="1426">
      <c r="A1426" s="23"/>
      <c r="B1426" s="42"/>
      <c r="C1426" s="42"/>
      <c r="D1426" s="42"/>
      <c r="E1426" s="42"/>
      <c r="F1426" s="42"/>
      <c r="G1426" s="42"/>
      <c r="H1426" s="42"/>
      <c r="I1426" s="42"/>
      <c r="J1426" s="42"/>
      <c r="K1426" s="42"/>
      <c r="L1426" s="46"/>
      <c r="M1426" s="46"/>
      <c r="N1426" s="46"/>
      <c r="O1426" s="61"/>
      <c r="P1426" s="62"/>
      <c r="Q1426" s="46"/>
      <c r="R1426" s="47"/>
      <c r="S1426" s="62"/>
      <c r="T1426" s="62"/>
      <c r="U1426" s="46"/>
      <c r="V1426" s="61"/>
      <c r="W1426" s="62"/>
      <c r="X1426" s="47"/>
      <c r="Y1426" s="46"/>
      <c r="Z1426" s="46"/>
      <c r="AA1426" s="46"/>
      <c r="AB1426" s="49"/>
      <c r="AC1426" s="42"/>
      <c r="AD1426" s="42"/>
      <c r="AE1426" s="50"/>
      <c r="AF1426" s="42"/>
      <c r="AG1426" s="42"/>
      <c r="AH1426" s="42"/>
      <c r="AI1426" s="42" t="str">
        <f t="array" ref="AI1426">XLOOKUP($E1426,Sheet11!$D:$D,Sheet11!$X:$X,"",0)</f>
        <v/>
      </c>
      <c r="AJ1426" s="42" t="str">
        <f t="array" ref="AJ1426">XLOOKUP($E1426,Sheet11!$D:$D,Sheet11!$Y:$Y,"",0)</f>
        <v/>
      </c>
    </row>
    <row r="1427">
      <c r="A1427" s="23"/>
      <c r="B1427" s="42"/>
      <c r="C1427" s="42"/>
      <c r="D1427" s="42"/>
      <c r="E1427" s="42"/>
      <c r="F1427" s="42"/>
      <c r="G1427" s="42"/>
      <c r="H1427" s="42"/>
      <c r="I1427" s="42"/>
      <c r="J1427" s="42"/>
      <c r="K1427" s="42"/>
      <c r="L1427" s="46"/>
      <c r="M1427" s="46"/>
      <c r="N1427" s="46"/>
      <c r="O1427" s="61"/>
      <c r="P1427" s="62"/>
      <c r="Q1427" s="46"/>
      <c r="R1427" s="47"/>
      <c r="S1427" s="62"/>
      <c r="T1427" s="62"/>
      <c r="U1427" s="46"/>
      <c r="V1427" s="61"/>
      <c r="W1427" s="62"/>
      <c r="X1427" s="47"/>
      <c r="Y1427" s="46"/>
      <c r="Z1427" s="46"/>
      <c r="AA1427" s="46"/>
      <c r="AB1427" s="49"/>
      <c r="AC1427" s="42"/>
      <c r="AD1427" s="42"/>
      <c r="AE1427" s="50"/>
      <c r="AF1427" s="42"/>
      <c r="AG1427" s="42"/>
      <c r="AH1427" s="42"/>
      <c r="AI1427" s="42" t="str">
        <f t="array" ref="AI1427">XLOOKUP($E1427,Sheet11!$D:$D,Sheet11!$X:$X,"",0)</f>
        <v/>
      </c>
      <c r="AJ1427" s="42" t="str">
        <f t="array" ref="AJ1427">XLOOKUP($E1427,Sheet11!$D:$D,Sheet11!$Y:$Y,"",0)</f>
        <v/>
      </c>
    </row>
    <row r="1428">
      <c r="A1428" s="23"/>
      <c r="B1428" s="42"/>
      <c r="C1428" s="42"/>
      <c r="D1428" s="42"/>
      <c r="E1428" s="42"/>
      <c r="F1428" s="42"/>
      <c r="G1428" s="42"/>
      <c r="H1428" s="42"/>
      <c r="I1428" s="42"/>
      <c r="J1428" s="42"/>
      <c r="K1428" s="42"/>
      <c r="L1428" s="46"/>
      <c r="M1428" s="46"/>
      <c r="N1428" s="46"/>
      <c r="O1428" s="61"/>
      <c r="P1428" s="62"/>
      <c r="Q1428" s="46"/>
      <c r="R1428" s="47"/>
      <c r="S1428" s="62"/>
      <c r="T1428" s="62"/>
      <c r="U1428" s="46"/>
      <c r="V1428" s="61"/>
      <c r="W1428" s="62"/>
      <c r="X1428" s="47"/>
      <c r="Y1428" s="46"/>
      <c r="Z1428" s="46"/>
      <c r="AA1428" s="46"/>
      <c r="AB1428" s="49"/>
      <c r="AC1428" s="42"/>
      <c r="AD1428" s="42"/>
      <c r="AE1428" s="50"/>
      <c r="AF1428" s="42"/>
      <c r="AG1428" s="42"/>
      <c r="AH1428" s="42"/>
      <c r="AI1428" s="42" t="str">
        <f t="array" ref="AI1428">XLOOKUP($E1428,Sheet11!$D:$D,Sheet11!$X:$X,"",0)</f>
        <v/>
      </c>
      <c r="AJ1428" s="42" t="str">
        <f t="array" ref="AJ1428">XLOOKUP($E1428,Sheet11!$D:$D,Sheet11!$Y:$Y,"",0)</f>
        <v/>
      </c>
    </row>
    <row r="1429">
      <c r="A1429" s="23"/>
      <c r="B1429" s="42"/>
      <c r="C1429" s="42"/>
      <c r="D1429" s="42"/>
      <c r="E1429" s="42"/>
      <c r="F1429" s="42"/>
      <c r="G1429" s="42"/>
      <c r="H1429" s="42"/>
      <c r="I1429" s="42"/>
      <c r="J1429" s="42"/>
      <c r="K1429" s="42"/>
      <c r="L1429" s="46"/>
      <c r="M1429" s="46"/>
      <c r="N1429" s="46"/>
      <c r="O1429" s="61"/>
      <c r="P1429" s="62"/>
      <c r="Q1429" s="46"/>
      <c r="R1429" s="47"/>
      <c r="S1429" s="62"/>
      <c r="T1429" s="62"/>
      <c r="U1429" s="46"/>
      <c r="V1429" s="61"/>
      <c r="W1429" s="62"/>
      <c r="X1429" s="47"/>
      <c r="Y1429" s="46"/>
      <c r="Z1429" s="46"/>
      <c r="AA1429" s="46"/>
      <c r="AB1429" s="49"/>
      <c r="AC1429" s="42"/>
      <c r="AD1429" s="42"/>
      <c r="AE1429" s="50"/>
      <c r="AF1429" s="42"/>
      <c r="AG1429" s="42"/>
      <c r="AH1429" s="42"/>
      <c r="AI1429" s="42" t="str">
        <f t="array" ref="AI1429">XLOOKUP($E1429,Sheet11!$D:$D,Sheet11!$X:$X,"",0)</f>
        <v/>
      </c>
      <c r="AJ1429" s="42" t="str">
        <f t="array" ref="AJ1429">XLOOKUP($E1429,Sheet11!$D:$D,Sheet11!$Y:$Y,"",0)</f>
        <v/>
      </c>
    </row>
    <row r="1430">
      <c r="A1430" s="23"/>
      <c r="B1430" s="42"/>
      <c r="C1430" s="42"/>
      <c r="D1430" s="42"/>
      <c r="E1430" s="42"/>
      <c r="F1430" s="42"/>
      <c r="G1430" s="42"/>
      <c r="H1430" s="42"/>
      <c r="I1430" s="42"/>
      <c r="J1430" s="42"/>
      <c r="K1430" s="42"/>
      <c r="L1430" s="46"/>
      <c r="M1430" s="46"/>
      <c r="N1430" s="46"/>
      <c r="O1430" s="61"/>
      <c r="P1430" s="62"/>
      <c r="Q1430" s="46"/>
      <c r="R1430" s="47"/>
      <c r="S1430" s="62"/>
      <c r="T1430" s="62"/>
      <c r="U1430" s="46"/>
      <c r="V1430" s="61"/>
      <c r="W1430" s="62"/>
      <c r="X1430" s="47"/>
      <c r="Y1430" s="46"/>
      <c r="Z1430" s="46"/>
      <c r="AA1430" s="46"/>
      <c r="AB1430" s="49"/>
      <c r="AC1430" s="42"/>
      <c r="AD1430" s="42"/>
      <c r="AE1430" s="50"/>
      <c r="AF1430" s="42"/>
      <c r="AG1430" s="42"/>
      <c r="AH1430" s="42"/>
      <c r="AI1430" s="42" t="str">
        <f t="array" ref="AI1430">XLOOKUP($E1430,Sheet11!$D:$D,Sheet11!$X:$X,"",0)</f>
        <v/>
      </c>
      <c r="AJ1430" s="42" t="str">
        <f t="array" ref="AJ1430">XLOOKUP($E1430,Sheet11!$D:$D,Sheet11!$Y:$Y,"",0)</f>
        <v/>
      </c>
    </row>
    <row r="1431">
      <c r="A1431" s="23"/>
      <c r="B1431" s="42"/>
      <c r="C1431" s="42"/>
      <c r="D1431" s="42"/>
      <c r="E1431" s="42"/>
      <c r="F1431" s="42"/>
      <c r="G1431" s="42"/>
      <c r="H1431" s="42"/>
      <c r="I1431" s="42"/>
      <c r="J1431" s="42"/>
      <c r="K1431" s="42"/>
      <c r="L1431" s="46"/>
      <c r="M1431" s="46"/>
      <c r="N1431" s="46"/>
      <c r="O1431" s="61"/>
      <c r="P1431" s="62"/>
      <c r="Q1431" s="46"/>
      <c r="R1431" s="47"/>
      <c r="S1431" s="62"/>
      <c r="T1431" s="62"/>
      <c r="U1431" s="46"/>
      <c r="V1431" s="61"/>
      <c r="W1431" s="62"/>
      <c r="X1431" s="47"/>
      <c r="Y1431" s="46"/>
      <c r="Z1431" s="46"/>
      <c r="AA1431" s="46"/>
      <c r="AB1431" s="49"/>
      <c r="AC1431" s="42"/>
      <c r="AD1431" s="42"/>
      <c r="AE1431" s="50"/>
      <c r="AF1431" s="42"/>
      <c r="AG1431" s="42"/>
      <c r="AH1431" s="42"/>
      <c r="AI1431" s="42" t="str">
        <f t="array" ref="AI1431">XLOOKUP($E1431,Sheet11!$D:$D,Sheet11!$X:$X,"",0)</f>
        <v/>
      </c>
      <c r="AJ1431" s="42" t="str">
        <f t="array" ref="AJ1431">XLOOKUP($E1431,Sheet11!$D:$D,Sheet11!$Y:$Y,"",0)</f>
        <v/>
      </c>
    </row>
    <row r="1432">
      <c r="A1432" s="23"/>
      <c r="B1432" s="42"/>
      <c r="C1432" s="42"/>
      <c r="D1432" s="42"/>
      <c r="E1432" s="42"/>
      <c r="F1432" s="42"/>
      <c r="G1432" s="42"/>
      <c r="H1432" s="42"/>
      <c r="I1432" s="42"/>
      <c r="J1432" s="42"/>
      <c r="K1432" s="42"/>
      <c r="L1432" s="46"/>
      <c r="M1432" s="46"/>
      <c r="N1432" s="46"/>
      <c r="O1432" s="61"/>
      <c r="P1432" s="62"/>
      <c r="Q1432" s="46"/>
      <c r="R1432" s="47"/>
      <c r="S1432" s="62"/>
      <c r="T1432" s="62"/>
      <c r="U1432" s="46"/>
      <c r="V1432" s="61"/>
      <c r="W1432" s="62"/>
      <c r="X1432" s="47"/>
      <c r="Y1432" s="46"/>
      <c r="Z1432" s="46"/>
      <c r="AA1432" s="46"/>
      <c r="AB1432" s="49"/>
      <c r="AC1432" s="42"/>
      <c r="AD1432" s="42"/>
      <c r="AE1432" s="50"/>
      <c r="AF1432" s="42"/>
      <c r="AG1432" s="42"/>
      <c r="AH1432" s="42"/>
      <c r="AI1432" s="42" t="str">
        <f t="array" ref="AI1432">XLOOKUP($E1432,Sheet11!$D:$D,Sheet11!$X:$X,"",0)</f>
        <v/>
      </c>
      <c r="AJ1432" s="42" t="str">
        <f t="array" ref="AJ1432">XLOOKUP($E1432,Sheet11!$D:$D,Sheet11!$Y:$Y,"",0)</f>
        <v/>
      </c>
    </row>
    <row r="1433">
      <c r="A1433" s="23"/>
      <c r="B1433" s="42"/>
      <c r="C1433" s="42"/>
      <c r="D1433" s="42"/>
      <c r="E1433" s="42"/>
      <c r="F1433" s="42"/>
      <c r="G1433" s="42"/>
      <c r="H1433" s="42"/>
      <c r="I1433" s="42"/>
      <c r="J1433" s="42"/>
      <c r="K1433" s="42"/>
      <c r="L1433" s="46"/>
      <c r="M1433" s="46"/>
      <c r="N1433" s="46"/>
      <c r="O1433" s="61"/>
      <c r="P1433" s="62"/>
      <c r="Q1433" s="46"/>
      <c r="R1433" s="47"/>
      <c r="S1433" s="62"/>
      <c r="T1433" s="62"/>
      <c r="U1433" s="46"/>
      <c r="V1433" s="61"/>
      <c r="W1433" s="62"/>
      <c r="X1433" s="47"/>
      <c r="Y1433" s="46"/>
      <c r="Z1433" s="46"/>
      <c r="AA1433" s="46"/>
      <c r="AB1433" s="49"/>
      <c r="AC1433" s="42"/>
      <c r="AD1433" s="42"/>
      <c r="AE1433" s="50"/>
      <c r="AF1433" s="42"/>
      <c r="AG1433" s="42"/>
      <c r="AH1433" s="42"/>
      <c r="AI1433" s="42" t="str">
        <f t="array" ref="AI1433">XLOOKUP($E1433,Sheet11!$D:$D,Sheet11!$X:$X,"",0)</f>
        <v/>
      </c>
      <c r="AJ1433" s="42" t="str">
        <f t="array" ref="AJ1433">XLOOKUP($E1433,Sheet11!$D:$D,Sheet11!$Y:$Y,"",0)</f>
        <v/>
      </c>
    </row>
    <row r="1434">
      <c r="A1434" s="23"/>
      <c r="B1434" s="42"/>
      <c r="C1434" s="42"/>
      <c r="D1434" s="42"/>
      <c r="E1434" s="42"/>
      <c r="F1434" s="42"/>
      <c r="G1434" s="42"/>
      <c r="H1434" s="42"/>
      <c r="I1434" s="42"/>
      <c r="J1434" s="42"/>
      <c r="K1434" s="42"/>
      <c r="L1434" s="46"/>
      <c r="M1434" s="46"/>
      <c r="N1434" s="46"/>
      <c r="O1434" s="61"/>
      <c r="P1434" s="62"/>
      <c r="Q1434" s="46"/>
      <c r="R1434" s="47"/>
      <c r="S1434" s="62"/>
      <c r="T1434" s="62"/>
      <c r="U1434" s="46"/>
      <c r="V1434" s="61"/>
      <c r="W1434" s="62"/>
      <c r="X1434" s="47"/>
      <c r="Y1434" s="46"/>
      <c r="Z1434" s="46"/>
      <c r="AA1434" s="46"/>
      <c r="AB1434" s="49"/>
      <c r="AC1434" s="42"/>
      <c r="AD1434" s="42"/>
      <c r="AE1434" s="50"/>
      <c r="AF1434" s="42"/>
      <c r="AG1434" s="42"/>
      <c r="AH1434" s="42"/>
      <c r="AI1434" s="42" t="str">
        <f t="array" ref="AI1434">XLOOKUP($E1434,Sheet11!$D:$D,Sheet11!$X:$X,"",0)</f>
        <v/>
      </c>
      <c r="AJ1434" s="42" t="str">
        <f t="array" ref="AJ1434">XLOOKUP($E1434,Sheet11!$D:$D,Sheet11!$Y:$Y,"",0)</f>
        <v/>
      </c>
    </row>
    <row r="1435">
      <c r="A1435" s="23"/>
      <c r="B1435" s="42"/>
      <c r="C1435" s="42"/>
      <c r="D1435" s="42"/>
      <c r="E1435" s="42"/>
      <c r="F1435" s="42"/>
      <c r="G1435" s="42"/>
      <c r="H1435" s="42"/>
      <c r="I1435" s="42"/>
      <c r="J1435" s="42"/>
      <c r="K1435" s="42"/>
      <c r="L1435" s="46"/>
      <c r="M1435" s="46"/>
      <c r="N1435" s="46"/>
      <c r="O1435" s="61"/>
      <c r="P1435" s="62"/>
      <c r="Q1435" s="46"/>
      <c r="R1435" s="47"/>
      <c r="S1435" s="62"/>
      <c r="T1435" s="62"/>
      <c r="U1435" s="46"/>
      <c r="V1435" s="61"/>
      <c r="W1435" s="62"/>
      <c r="X1435" s="47"/>
      <c r="Y1435" s="46"/>
      <c r="Z1435" s="46"/>
      <c r="AA1435" s="46"/>
      <c r="AB1435" s="49"/>
      <c r="AC1435" s="42"/>
      <c r="AD1435" s="42"/>
      <c r="AE1435" s="50"/>
      <c r="AF1435" s="42"/>
      <c r="AG1435" s="42"/>
      <c r="AH1435" s="42"/>
      <c r="AI1435" s="42" t="str">
        <f t="array" ref="AI1435">XLOOKUP($E1435,Sheet11!$D:$D,Sheet11!$X:$X,"",0)</f>
        <v/>
      </c>
      <c r="AJ1435" s="42" t="str">
        <f t="array" ref="AJ1435">XLOOKUP($E1435,Sheet11!$D:$D,Sheet11!$Y:$Y,"",0)</f>
        <v/>
      </c>
    </row>
    <row r="1436">
      <c r="A1436" s="23"/>
      <c r="B1436" s="42"/>
      <c r="C1436" s="42"/>
      <c r="D1436" s="42"/>
      <c r="E1436" s="42"/>
      <c r="F1436" s="42"/>
      <c r="G1436" s="42"/>
      <c r="H1436" s="42"/>
      <c r="I1436" s="42"/>
      <c r="J1436" s="42"/>
      <c r="K1436" s="42"/>
      <c r="L1436" s="46"/>
      <c r="M1436" s="46"/>
      <c r="N1436" s="46"/>
      <c r="O1436" s="61"/>
      <c r="P1436" s="62"/>
      <c r="Q1436" s="46"/>
      <c r="R1436" s="47"/>
      <c r="S1436" s="62"/>
      <c r="T1436" s="62"/>
      <c r="U1436" s="46"/>
      <c r="V1436" s="61"/>
      <c r="W1436" s="62"/>
      <c r="X1436" s="47"/>
      <c r="Y1436" s="46"/>
      <c r="Z1436" s="46"/>
      <c r="AA1436" s="46"/>
      <c r="AB1436" s="49"/>
      <c r="AC1436" s="42"/>
      <c r="AD1436" s="42"/>
      <c r="AE1436" s="50"/>
      <c r="AF1436" s="42"/>
      <c r="AG1436" s="42"/>
      <c r="AH1436" s="42"/>
      <c r="AI1436" s="42" t="str">
        <f t="array" ref="AI1436">XLOOKUP($E1436,Sheet11!$D:$D,Sheet11!$X:$X,"",0)</f>
        <v/>
      </c>
      <c r="AJ1436" s="42" t="str">
        <f t="array" ref="AJ1436">XLOOKUP($E1436,Sheet11!$D:$D,Sheet11!$Y:$Y,"",0)</f>
        <v/>
      </c>
    </row>
    <row r="1437">
      <c r="A1437" s="23"/>
      <c r="B1437" s="42"/>
      <c r="C1437" s="42"/>
      <c r="D1437" s="42"/>
      <c r="E1437" s="42"/>
      <c r="F1437" s="42"/>
      <c r="G1437" s="42"/>
      <c r="H1437" s="42"/>
      <c r="I1437" s="42"/>
      <c r="J1437" s="42"/>
      <c r="K1437" s="42"/>
      <c r="L1437" s="46"/>
      <c r="M1437" s="46"/>
      <c r="N1437" s="46"/>
      <c r="O1437" s="61"/>
      <c r="P1437" s="62"/>
      <c r="Q1437" s="46"/>
      <c r="R1437" s="47"/>
      <c r="S1437" s="62"/>
      <c r="T1437" s="62"/>
      <c r="U1437" s="46"/>
      <c r="V1437" s="61"/>
      <c r="W1437" s="62"/>
      <c r="X1437" s="47"/>
      <c r="Y1437" s="46"/>
      <c r="Z1437" s="46"/>
      <c r="AA1437" s="46"/>
      <c r="AB1437" s="49"/>
      <c r="AC1437" s="42"/>
      <c r="AD1437" s="42"/>
      <c r="AE1437" s="50"/>
      <c r="AF1437" s="42"/>
      <c r="AG1437" s="42"/>
      <c r="AH1437" s="42"/>
      <c r="AI1437" s="42" t="str">
        <f t="array" ref="AI1437">XLOOKUP($E1437,Sheet11!$D:$D,Sheet11!$X:$X,"",0)</f>
        <v/>
      </c>
      <c r="AJ1437" s="42" t="str">
        <f t="array" ref="AJ1437">XLOOKUP($E1437,Sheet11!$D:$D,Sheet11!$Y:$Y,"",0)</f>
        <v/>
      </c>
    </row>
    <row r="1438">
      <c r="A1438" s="23"/>
      <c r="B1438" s="42"/>
      <c r="C1438" s="42"/>
      <c r="D1438" s="42"/>
      <c r="E1438" s="42"/>
      <c r="F1438" s="42"/>
      <c r="G1438" s="42"/>
      <c r="H1438" s="42"/>
      <c r="I1438" s="42"/>
      <c r="J1438" s="42"/>
      <c r="K1438" s="42"/>
      <c r="L1438" s="46"/>
      <c r="M1438" s="46"/>
      <c r="N1438" s="46"/>
      <c r="O1438" s="61"/>
      <c r="P1438" s="62"/>
      <c r="Q1438" s="46"/>
      <c r="R1438" s="47"/>
      <c r="S1438" s="62"/>
      <c r="T1438" s="62"/>
      <c r="U1438" s="46"/>
      <c r="V1438" s="61"/>
      <c r="W1438" s="62"/>
      <c r="X1438" s="47"/>
      <c r="Y1438" s="46"/>
      <c r="Z1438" s="46"/>
      <c r="AA1438" s="46"/>
      <c r="AB1438" s="49"/>
      <c r="AC1438" s="42"/>
      <c r="AD1438" s="42"/>
      <c r="AE1438" s="50"/>
      <c r="AF1438" s="42"/>
      <c r="AG1438" s="42"/>
      <c r="AH1438" s="42"/>
      <c r="AI1438" s="42" t="str">
        <f t="array" ref="AI1438">XLOOKUP($E1438,Sheet11!$D:$D,Sheet11!$X:$X,"",0)</f>
        <v/>
      </c>
      <c r="AJ1438" s="42" t="str">
        <f t="array" ref="AJ1438">XLOOKUP($E1438,Sheet11!$D:$D,Sheet11!$Y:$Y,"",0)</f>
        <v/>
      </c>
    </row>
    <row r="1439">
      <c r="A1439" s="23"/>
      <c r="B1439" s="42"/>
      <c r="C1439" s="42"/>
      <c r="D1439" s="42"/>
      <c r="E1439" s="42"/>
      <c r="F1439" s="42"/>
      <c r="G1439" s="42"/>
      <c r="H1439" s="42"/>
      <c r="I1439" s="42"/>
      <c r="J1439" s="42"/>
      <c r="K1439" s="42"/>
      <c r="L1439" s="46"/>
      <c r="M1439" s="46"/>
      <c r="N1439" s="46"/>
      <c r="O1439" s="61"/>
      <c r="P1439" s="62"/>
      <c r="Q1439" s="46"/>
      <c r="R1439" s="47"/>
      <c r="S1439" s="62"/>
      <c r="T1439" s="62"/>
      <c r="U1439" s="46"/>
      <c r="V1439" s="61"/>
      <c r="W1439" s="62"/>
      <c r="X1439" s="47"/>
      <c r="Y1439" s="46"/>
      <c r="Z1439" s="46"/>
      <c r="AA1439" s="46"/>
      <c r="AB1439" s="49"/>
      <c r="AC1439" s="42"/>
      <c r="AD1439" s="42"/>
      <c r="AE1439" s="50"/>
      <c r="AF1439" s="42"/>
      <c r="AG1439" s="42"/>
      <c r="AH1439" s="42"/>
      <c r="AI1439" s="42" t="str">
        <f t="array" ref="AI1439">XLOOKUP($E1439,Sheet11!$D:$D,Sheet11!$X:$X,"",0)</f>
        <v/>
      </c>
      <c r="AJ1439" s="42" t="str">
        <f t="array" ref="AJ1439">XLOOKUP($E1439,Sheet11!$D:$D,Sheet11!$Y:$Y,"",0)</f>
        <v/>
      </c>
    </row>
    <row r="1440">
      <c r="A1440" s="23"/>
      <c r="B1440" s="42"/>
      <c r="C1440" s="42"/>
      <c r="D1440" s="42"/>
      <c r="E1440" s="42"/>
      <c r="F1440" s="42"/>
      <c r="G1440" s="42"/>
      <c r="H1440" s="42"/>
      <c r="I1440" s="42"/>
      <c r="J1440" s="42"/>
      <c r="K1440" s="42"/>
      <c r="L1440" s="46"/>
      <c r="M1440" s="46"/>
      <c r="N1440" s="46"/>
      <c r="O1440" s="61"/>
      <c r="P1440" s="62"/>
      <c r="Q1440" s="46"/>
      <c r="R1440" s="47"/>
      <c r="S1440" s="62"/>
      <c r="T1440" s="62"/>
      <c r="U1440" s="46"/>
      <c r="V1440" s="61"/>
      <c r="W1440" s="62"/>
      <c r="X1440" s="47"/>
      <c r="Y1440" s="46"/>
      <c r="Z1440" s="46"/>
      <c r="AA1440" s="46"/>
      <c r="AB1440" s="49"/>
      <c r="AC1440" s="42"/>
      <c r="AD1440" s="42"/>
      <c r="AE1440" s="50"/>
      <c r="AF1440" s="42"/>
      <c r="AG1440" s="42"/>
      <c r="AH1440" s="42"/>
      <c r="AI1440" s="42" t="str">
        <f t="array" ref="AI1440">XLOOKUP($E1440,Sheet11!$D:$D,Sheet11!$X:$X,"",0)</f>
        <v/>
      </c>
      <c r="AJ1440" s="42" t="str">
        <f t="array" ref="AJ1440">XLOOKUP($E1440,Sheet11!$D:$D,Sheet11!$Y:$Y,"",0)</f>
        <v/>
      </c>
    </row>
    <row r="1441">
      <c r="A1441" s="23"/>
      <c r="B1441" s="42"/>
      <c r="C1441" s="42"/>
      <c r="D1441" s="42"/>
      <c r="E1441" s="42"/>
      <c r="F1441" s="42"/>
      <c r="G1441" s="42"/>
      <c r="H1441" s="42"/>
      <c r="I1441" s="42"/>
      <c r="J1441" s="42"/>
      <c r="K1441" s="42"/>
      <c r="L1441" s="46"/>
      <c r="M1441" s="46"/>
      <c r="N1441" s="46"/>
      <c r="O1441" s="61"/>
      <c r="P1441" s="62"/>
      <c r="Q1441" s="46"/>
      <c r="R1441" s="47"/>
      <c r="S1441" s="62"/>
      <c r="T1441" s="62"/>
      <c r="U1441" s="46"/>
      <c r="V1441" s="61"/>
      <c r="W1441" s="62"/>
      <c r="X1441" s="47"/>
      <c r="Y1441" s="46"/>
      <c r="Z1441" s="46"/>
      <c r="AA1441" s="46"/>
      <c r="AB1441" s="49"/>
      <c r="AC1441" s="42"/>
      <c r="AD1441" s="42"/>
      <c r="AE1441" s="50"/>
      <c r="AF1441" s="42"/>
      <c r="AG1441" s="42"/>
      <c r="AH1441" s="42"/>
      <c r="AI1441" s="42" t="str">
        <f t="array" ref="AI1441">XLOOKUP($E1441,Sheet11!$D:$D,Sheet11!$X:$X,"",0)</f>
        <v/>
      </c>
      <c r="AJ1441" s="42" t="str">
        <f t="array" ref="AJ1441">XLOOKUP($E1441,Sheet11!$D:$D,Sheet11!$Y:$Y,"",0)</f>
        <v/>
      </c>
    </row>
    <row r="1442">
      <c r="A1442" s="23"/>
      <c r="B1442" s="42"/>
      <c r="C1442" s="42"/>
      <c r="D1442" s="42"/>
      <c r="E1442" s="42"/>
      <c r="F1442" s="42"/>
      <c r="G1442" s="42"/>
      <c r="H1442" s="42"/>
      <c r="I1442" s="42"/>
      <c r="J1442" s="42"/>
      <c r="K1442" s="42"/>
      <c r="L1442" s="46"/>
      <c r="M1442" s="46"/>
      <c r="N1442" s="46"/>
      <c r="O1442" s="61"/>
      <c r="P1442" s="62"/>
      <c r="Q1442" s="46"/>
      <c r="R1442" s="47"/>
      <c r="S1442" s="62"/>
      <c r="T1442" s="62"/>
      <c r="U1442" s="46"/>
      <c r="V1442" s="61"/>
      <c r="W1442" s="62"/>
      <c r="X1442" s="47"/>
      <c r="Y1442" s="46"/>
      <c r="Z1442" s="46"/>
      <c r="AA1442" s="46"/>
      <c r="AB1442" s="49"/>
      <c r="AC1442" s="42"/>
      <c r="AD1442" s="42"/>
      <c r="AE1442" s="50"/>
      <c r="AF1442" s="42"/>
      <c r="AG1442" s="42"/>
      <c r="AH1442" s="42"/>
      <c r="AI1442" s="42" t="str">
        <f t="array" ref="AI1442">XLOOKUP($E1442,Sheet11!$D:$D,Sheet11!$X:$X,"",0)</f>
        <v/>
      </c>
      <c r="AJ1442" s="42" t="str">
        <f t="array" ref="AJ1442">XLOOKUP($E1442,Sheet11!$D:$D,Sheet11!$Y:$Y,"",0)</f>
        <v/>
      </c>
    </row>
    <row r="1443">
      <c r="A1443" s="23"/>
      <c r="B1443" s="42"/>
      <c r="C1443" s="42"/>
      <c r="D1443" s="42"/>
      <c r="E1443" s="42"/>
      <c r="F1443" s="42"/>
      <c r="G1443" s="42"/>
      <c r="H1443" s="42"/>
      <c r="I1443" s="42"/>
      <c r="J1443" s="42"/>
      <c r="K1443" s="42"/>
      <c r="L1443" s="46"/>
      <c r="M1443" s="46"/>
      <c r="N1443" s="46"/>
      <c r="O1443" s="61"/>
      <c r="P1443" s="62"/>
      <c r="Q1443" s="46"/>
      <c r="R1443" s="47"/>
      <c r="S1443" s="62"/>
      <c r="T1443" s="62"/>
      <c r="U1443" s="46"/>
      <c r="V1443" s="61"/>
      <c r="W1443" s="62"/>
      <c r="X1443" s="47"/>
      <c r="Y1443" s="46"/>
      <c r="Z1443" s="46"/>
      <c r="AA1443" s="46"/>
      <c r="AB1443" s="49"/>
      <c r="AC1443" s="42"/>
      <c r="AD1443" s="42"/>
      <c r="AE1443" s="50"/>
      <c r="AF1443" s="42"/>
      <c r="AG1443" s="42"/>
      <c r="AH1443" s="42"/>
      <c r="AI1443" s="42" t="str">
        <f t="array" ref="AI1443">XLOOKUP($E1443,Sheet11!$D:$D,Sheet11!$X:$X,"",0)</f>
        <v/>
      </c>
      <c r="AJ1443" s="42" t="str">
        <f t="array" ref="AJ1443">XLOOKUP($E1443,Sheet11!$D:$D,Sheet11!$Y:$Y,"",0)</f>
        <v/>
      </c>
    </row>
    <row r="1444">
      <c r="A1444" s="23"/>
      <c r="B1444" s="42"/>
      <c r="C1444" s="42"/>
      <c r="D1444" s="42"/>
      <c r="E1444" s="42"/>
      <c r="F1444" s="42"/>
      <c r="G1444" s="42"/>
      <c r="H1444" s="42"/>
      <c r="I1444" s="42"/>
      <c r="J1444" s="42"/>
      <c r="K1444" s="42"/>
      <c r="L1444" s="46"/>
      <c r="M1444" s="46"/>
      <c r="N1444" s="46"/>
      <c r="O1444" s="61"/>
      <c r="P1444" s="62"/>
      <c r="Q1444" s="46"/>
      <c r="R1444" s="47"/>
      <c r="S1444" s="62"/>
      <c r="T1444" s="62"/>
      <c r="U1444" s="46"/>
      <c r="V1444" s="61"/>
      <c r="W1444" s="62"/>
      <c r="X1444" s="47"/>
      <c r="Y1444" s="46"/>
      <c r="Z1444" s="46"/>
      <c r="AA1444" s="46"/>
      <c r="AB1444" s="49"/>
      <c r="AC1444" s="42"/>
      <c r="AD1444" s="42"/>
      <c r="AE1444" s="50"/>
      <c r="AF1444" s="42"/>
      <c r="AG1444" s="42"/>
      <c r="AH1444" s="42"/>
      <c r="AI1444" s="42" t="str">
        <f t="array" ref="AI1444">XLOOKUP($E1444,Sheet11!$D:$D,Sheet11!$X:$X,"",0)</f>
        <v/>
      </c>
      <c r="AJ1444" s="42" t="str">
        <f t="array" ref="AJ1444">XLOOKUP($E1444,Sheet11!$D:$D,Sheet11!$Y:$Y,"",0)</f>
        <v/>
      </c>
    </row>
    <row r="1445">
      <c r="A1445" s="23"/>
      <c r="B1445" s="42"/>
      <c r="C1445" s="42"/>
      <c r="D1445" s="42"/>
      <c r="E1445" s="42"/>
      <c r="F1445" s="42"/>
      <c r="G1445" s="42"/>
      <c r="H1445" s="42"/>
      <c r="I1445" s="42"/>
      <c r="J1445" s="42"/>
      <c r="K1445" s="42"/>
      <c r="L1445" s="46"/>
      <c r="M1445" s="46"/>
      <c r="N1445" s="46"/>
      <c r="O1445" s="61"/>
      <c r="P1445" s="62"/>
      <c r="Q1445" s="46"/>
      <c r="R1445" s="47"/>
      <c r="S1445" s="62"/>
      <c r="T1445" s="62"/>
      <c r="U1445" s="46"/>
      <c r="V1445" s="61"/>
      <c r="W1445" s="62"/>
      <c r="X1445" s="47"/>
      <c r="Y1445" s="46"/>
      <c r="Z1445" s="46"/>
      <c r="AA1445" s="46"/>
      <c r="AB1445" s="49"/>
      <c r="AC1445" s="42"/>
      <c r="AD1445" s="42"/>
      <c r="AE1445" s="50"/>
      <c r="AF1445" s="42"/>
      <c r="AG1445" s="42"/>
      <c r="AH1445" s="42"/>
      <c r="AI1445" s="42" t="str">
        <f t="array" ref="AI1445">XLOOKUP($E1445,Sheet11!$D:$D,Sheet11!$X:$X,"",0)</f>
        <v/>
      </c>
      <c r="AJ1445" s="42" t="str">
        <f t="array" ref="AJ1445">XLOOKUP($E1445,Sheet11!$D:$D,Sheet11!$Y:$Y,"",0)</f>
        <v/>
      </c>
    </row>
    <row r="1446">
      <c r="A1446" s="23"/>
      <c r="B1446" s="42"/>
      <c r="C1446" s="42"/>
      <c r="D1446" s="42"/>
      <c r="E1446" s="42"/>
      <c r="F1446" s="42"/>
      <c r="G1446" s="42"/>
      <c r="H1446" s="42"/>
      <c r="I1446" s="42"/>
      <c r="J1446" s="42"/>
      <c r="K1446" s="42"/>
      <c r="L1446" s="46"/>
      <c r="M1446" s="46"/>
      <c r="N1446" s="46"/>
      <c r="O1446" s="61"/>
      <c r="P1446" s="62"/>
      <c r="Q1446" s="46"/>
      <c r="R1446" s="47"/>
      <c r="S1446" s="62"/>
      <c r="T1446" s="62"/>
      <c r="U1446" s="46"/>
      <c r="V1446" s="61"/>
      <c r="W1446" s="62"/>
      <c r="X1446" s="47"/>
      <c r="Y1446" s="46"/>
      <c r="Z1446" s="46"/>
      <c r="AA1446" s="46"/>
      <c r="AB1446" s="49"/>
      <c r="AC1446" s="42"/>
      <c r="AD1446" s="42"/>
      <c r="AE1446" s="50"/>
      <c r="AF1446" s="42"/>
      <c r="AG1446" s="42"/>
      <c r="AH1446" s="42"/>
      <c r="AI1446" s="42" t="str">
        <f t="array" ref="AI1446">XLOOKUP($E1446,Sheet11!$D:$D,Sheet11!$X:$X,"",0)</f>
        <v/>
      </c>
      <c r="AJ1446" s="42" t="str">
        <f t="array" ref="AJ1446">XLOOKUP($E1446,Sheet11!$D:$D,Sheet11!$Y:$Y,"",0)</f>
        <v/>
      </c>
    </row>
    <row r="1447">
      <c r="A1447" s="23"/>
      <c r="B1447" s="42"/>
      <c r="C1447" s="42"/>
      <c r="D1447" s="42"/>
      <c r="E1447" s="42"/>
      <c r="F1447" s="42"/>
      <c r="G1447" s="42"/>
      <c r="H1447" s="42"/>
      <c r="I1447" s="42"/>
      <c r="J1447" s="42"/>
      <c r="K1447" s="42"/>
      <c r="L1447" s="46"/>
      <c r="M1447" s="46"/>
      <c r="N1447" s="46"/>
      <c r="O1447" s="61"/>
      <c r="P1447" s="62"/>
      <c r="Q1447" s="46"/>
      <c r="R1447" s="47"/>
      <c r="S1447" s="62"/>
      <c r="T1447" s="62"/>
      <c r="U1447" s="46"/>
      <c r="V1447" s="61"/>
      <c r="W1447" s="62"/>
      <c r="X1447" s="47"/>
      <c r="Y1447" s="46"/>
      <c r="Z1447" s="46"/>
      <c r="AA1447" s="46"/>
      <c r="AB1447" s="49"/>
      <c r="AC1447" s="42"/>
      <c r="AD1447" s="42"/>
      <c r="AE1447" s="50"/>
      <c r="AF1447" s="42"/>
      <c r="AG1447" s="42"/>
      <c r="AH1447" s="42"/>
      <c r="AI1447" s="42" t="str">
        <f t="array" ref="AI1447">XLOOKUP($E1447,Sheet11!$D:$D,Sheet11!$X:$X,"",0)</f>
        <v/>
      </c>
      <c r="AJ1447" s="42" t="str">
        <f t="array" ref="AJ1447">XLOOKUP($E1447,Sheet11!$D:$D,Sheet11!$Y:$Y,"",0)</f>
        <v/>
      </c>
    </row>
    <row r="1448">
      <c r="A1448" s="23"/>
      <c r="B1448" s="42"/>
      <c r="C1448" s="42"/>
      <c r="D1448" s="42"/>
      <c r="E1448" s="42"/>
      <c r="F1448" s="42"/>
      <c r="G1448" s="42"/>
      <c r="H1448" s="42"/>
      <c r="I1448" s="42"/>
      <c r="J1448" s="42"/>
      <c r="K1448" s="42"/>
      <c r="L1448" s="46"/>
      <c r="M1448" s="46"/>
      <c r="N1448" s="46"/>
      <c r="O1448" s="61"/>
      <c r="P1448" s="62"/>
      <c r="Q1448" s="46"/>
      <c r="R1448" s="47"/>
      <c r="S1448" s="62"/>
      <c r="T1448" s="62"/>
      <c r="U1448" s="46"/>
      <c r="V1448" s="61"/>
      <c r="W1448" s="62"/>
      <c r="X1448" s="47"/>
      <c r="Y1448" s="46"/>
      <c r="Z1448" s="46"/>
      <c r="AA1448" s="46"/>
      <c r="AB1448" s="49"/>
      <c r="AC1448" s="42"/>
      <c r="AD1448" s="42"/>
      <c r="AE1448" s="50"/>
      <c r="AF1448" s="42"/>
      <c r="AG1448" s="42"/>
      <c r="AH1448" s="42"/>
      <c r="AI1448" s="42" t="str">
        <f t="array" ref="AI1448">XLOOKUP($E1448,Sheet11!$D:$D,Sheet11!$X:$X,"",0)</f>
        <v/>
      </c>
      <c r="AJ1448" s="42" t="str">
        <f t="array" ref="AJ1448">XLOOKUP($E1448,Sheet11!$D:$D,Sheet11!$Y:$Y,"",0)</f>
        <v/>
      </c>
    </row>
    <row r="1449">
      <c r="A1449" s="23"/>
      <c r="B1449" s="42"/>
      <c r="C1449" s="42"/>
      <c r="D1449" s="42"/>
      <c r="E1449" s="42"/>
      <c r="F1449" s="42"/>
      <c r="G1449" s="42"/>
      <c r="H1449" s="42"/>
      <c r="I1449" s="42"/>
      <c r="J1449" s="42"/>
      <c r="K1449" s="42"/>
      <c r="L1449" s="46"/>
      <c r="M1449" s="46"/>
      <c r="N1449" s="46"/>
      <c r="O1449" s="61"/>
      <c r="P1449" s="62"/>
      <c r="Q1449" s="46"/>
      <c r="R1449" s="47"/>
      <c r="S1449" s="62"/>
      <c r="T1449" s="62"/>
      <c r="U1449" s="46"/>
      <c r="V1449" s="61"/>
      <c r="W1449" s="62"/>
      <c r="X1449" s="47"/>
      <c r="Y1449" s="46"/>
      <c r="Z1449" s="46"/>
      <c r="AA1449" s="46"/>
      <c r="AB1449" s="49"/>
      <c r="AC1449" s="42"/>
      <c r="AD1449" s="42"/>
      <c r="AE1449" s="50"/>
      <c r="AF1449" s="42"/>
      <c r="AG1449" s="42"/>
      <c r="AH1449" s="42"/>
      <c r="AI1449" s="42" t="str">
        <f t="array" ref="AI1449">XLOOKUP($E1449,Sheet11!$D:$D,Sheet11!$X:$X,"",0)</f>
        <v/>
      </c>
      <c r="AJ1449" s="42" t="str">
        <f t="array" ref="AJ1449">XLOOKUP($E1449,Sheet11!$D:$D,Sheet11!$Y:$Y,"",0)</f>
        <v/>
      </c>
    </row>
    <row r="1450">
      <c r="A1450" s="23"/>
      <c r="B1450" s="42"/>
      <c r="C1450" s="42"/>
      <c r="D1450" s="42"/>
      <c r="E1450" s="42"/>
      <c r="F1450" s="42"/>
      <c r="G1450" s="42"/>
      <c r="H1450" s="42"/>
      <c r="I1450" s="42"/>
      <c r="J1450" s="42"/>
      <c r="K1450" s="42"/>
      <c r="L1450" s="46"/>
      <c r="M1450" s="46"/>
      <c r="N1450" s="46"/>
      <c r="O1450" s="61"/>
      <c r="P1450" s="62"/>
      <c r="Q1450" s="46"/>
      <c r="R1450" s="47"/>
      <c r="S1450" s="62"/>
      <c r="T1450" s="62"/>
      <c r="U1450" s="46"/>
      <c r="V1450" s="61"/>
      <c r="W1450" s="62"/>
      <c r="X1450" s="47"/>
      <c r="Y1450" s="46"/>
      <c r="Z1450" s="46"/>
      <c r="AA1450" s="46"/>
      <c r="AB1450" s="49"/>
      <c r="AC1450" s="42"/>
      <c r="AD1450" s="42"/>
      <c r="AE1450" s="50"/>
      <c r="AF1450" s="42"/>
      <c r="AG1450" s="42"/>
      <c r="AH1450" s="42"/>
      <c r="AI1450" s="42" t="str">
        <f t="array" ref="AI1450">XLOOKUP($E1450,Sheet11!$D:$D,Sheet11!$X:$X,"",0)</f>
        <v/>
      </c>
      <c r="AJ1450" s="42" t="str">
        <f t="array" ref="AJ1450">XLOOKUP($E1450,Sheet11!$D:$D,Sheet11!$Y:$Y,"",0)</f>
        <v/>
      </c>
    </row>
    <row r="1451">
      <c r="A1451" s="23"/>
      <c r="B1451" s="42"/>
      <c r="C1451" s="42"/>
      <c r="D1451" s="42"/>
      <c r="E1451" s="42"/>
      <c r="F1451" s="42"/>
      <c r="G1451" s="42"/>
      <c r="H1451" s="42"/>
      <c r="I1451" s="42"/>
      <c r="J1451" s="42"/>
      <c r="K1451" s="42"/>
      <c r="L1451" s="46"/>
      <c r="M1451" s="46"/>
      <c r="N1451" s="46"/>
      <c r="O1451" s="61"/>
      <c r="P1451" s="62"/>
      <c r="Q1451" s="46"/>
      <c r="R1451" s="47"/>
      <c r="S1451" s="62"/>
      <c r="T1451" s="62"/>
      <c r="U1451" s="46"/>
      <c r="V1451" s="61"/>
      <c r="W1451" s="62"/>
      <c r="X1451" s="47"/>
      <c r="Y1451" s="46"/>
      <c r="Z1451" s="46"/>
      <c r="AA1451" s="46"/>
      <c r="AB1451" s="49"/>
      <c r="AC1451" s="42"/>
      <c r="AD1451" s="42"/>
      <c r="AE1451" s="50"/>
      <c r="AF1451" s="42"/>
      <c r="AG1451" s="42"/>
      <c r="AH1451" s="42"/>
      <c r="AI1451" s="42" t="str">
        <f t="array" ref="AI1451">XLOOKUP($E1451,Sheet11!$D:$D,Sheet11!$X:$X,"",0)</f>
        <v/>
      </c>
      <c r="AJ1451" s="42" t="str">
        <f t="array" ref="AJ1451">XLOOKUP($E1451,Sheet11!$D:$D,Sheet11!$Y:$Y,"",0)</f>
        <v/>
      </c>
    </row>
    <row r="1452">
      <c r="A1452" s="23"/>
      <c r="B1452" s="42"/>
      <c r="C1452" s="42"/>
      <c r="D1452" s="42"/>
      <c r="E1452" s="42"/>
      <c r="F1452" s="42"/>
      <c r="G1452" s="42"/>
      <c r="H1452" s="42"/>
      <c r="I1452" s="42"/>
      <c r="J1452" s="42"/>
      <c r="K1452" s="42"/>
      <c r="L1452" s="46"/>
      <c r="M1452" s="46"/>
      <c r="N1452" s="46"/>
      <c r="O1452" s="61"/>
      <c r="P1452" s="62"/>
      <c r="Q1452" s="46"/>
      <c r="R1452" s="47"/>
      <c r="S1452" s="62"/>
      <c r="T1452" s="62"/>
      <c r="U1452" s="46"/>
      <c r="V1452" s="61"/>
      <c r="W1452" s="62"/>
      <c r="X1452" s="47"/>
      <c r="Y1452" s="46"/>
      <c r="Z1452" s="46"/>
      <c r="AA1452" s="46"/>
      <c r="AB1452" s="49"/>
      <c r="AC1452" s="42"/>
      <c r="AD1452" s="42"/>
      <c r="AE1452" s="50"/>
      <c r="AF1452" s="42"/>
      <c r="AG1452" s="42"/>
      <c r="AH1452" s="42"/>
      <c r="AI1452" s="42" t="str">
        <f t="array" ref="AI1452">XLOOKUP($E1452,Sheet11!$D:$D,Sheet11!$X:$X,"",0)</f>
        <v/>
      </c>
      <c r="AJ1452" s="42" t="str">
        <f t="array" ref="AJ1452">XLOOKUP($E1452,Sheet11!$D:$D,Sheet11!$Y:$Y,"",0)</f>
        <v/>
      </c>
    </row>
    <row r="1453">
      <c r="A1453" s="23"/>
      <c r="B1453" s="42"/>
      <c r="C1453" s="42"/>
      <c r="D1453" s="42"/>
      <c r="E1453" s="42"/>
      <c r="F1453" s="42"/>
      <c r="G1453" s="42"/>
      <c r="H1453" s="42"/>
      <c r="I1453" s="42"/>
      <c r="J1453" s="42"/>
      <c r="K1453" s="42"/>
      <c r="L1453" s="46"/>
      <c r="M1453" s="46"/>
      <c r="N1453" s="46"/>
      <c r="O1453" s="61"/>
      <c r="P1453" s="62"/>
      <c r="Q1453" s="46"/>
      <c r="R1453" s="47"/>
      <c r="S1453" s="62"/>
      <c r="T1453" s="62"/>
      <c r="U1453" s="46"/>
      <c r="V1453" s="61"/>
      <c r="W1453" s="62"/>
      <c r="X1453" s="47"/>
      <c r="Y1453" s="46"/>
      <c r="Z1453" s="46"/>
      <c r="AA1453" s="46"/>
      <c r="AB1453" s="49"/>
      <c r="AC1453" s="42"/>
      <c r="AD1453" s="42"/>
      <c r="AE1453" s="50"/>
      <c r="AF1453" s="42"/>
      <c r="AG1453" s="42"/>
      <c r="AH1453" s="42"/>
      <c r="AI1453" s="42" t="str">
        <f t="array" ref="AI1453">XLOOKUP($E1453,Sheet11!$D:$D,Sheet11!$X:$X,"",0)</f>
        <v/>
      </c>
      <c r="AJ1453" s="42" t="str">
        <f t="array" ref="AJ1453">XLOOKUP($E1453,Sheet11!$D:$D,Sheet11!$Y:$Y,"",0)</f>
        <v/>
      </c>
    </row>
    <row r="1454">
      <c r="A1454" s="23"/>
      <c r="B1454" s="42"/>
      <c r="C1454" s="42"/>
      <c r="D1454" s="42"/>
      <c r="E1454" s="42"/>
      <c r="F1454" s="42"/>
      <c r="G1454" s="42"/>
      <c r="H1454" s="42"/>
      <c r="I1454" s="42"/>
      <c r="J1454" s="42"/>
      <c r="K1454" s="42"/>
      <c r="L1454" s="46"/>
      <c r="M1454" s="46"/>
      <c r="N1454" s="46"/>
      <c r="O1454" s="61"/>
      <c r="P1454" s="62"/>
      <c r="Q1454" s="46"/>
      <c r="R1454" s="47"/>
      <c r="S1454" s="62"/>
      <c r="T1454" s="62"/>
      <c r="U1454" s="46"/>
      <c r="V1454" s="61"/>
      <c r="W1454" s="62"/>
      <c r="X1454" s="47"/>
      <c r="Y1454" s="46"/>
      <c r="Z1454" s="46"/>
      <c r="AA1454" s="46"/>
      <c r="AB1454" s="49"/>
      <c r="AC1454" s="42"/>
      <c r="AD1454" s="42"/>
      <c r="AE1454" s="50"/>
      <c r="AF1454" s="42"/>
      <c r="AG1454" s="42"/>
      <c r="AH1454" s="42"/>
      <c r="AI1454" s="42" t="str">
        <f t="array" ref="AI1454">XLOOKUP($E1454,Sheet11!$D:$D,Sheet11!$X:$X,"",0)</f>
        <v/>
      </c>
      <c r="AJ1454" s="42" t="str">
        <f t="array" ref="AJ1454">XLOOKUP($E1454,Sheet11!$D:$D,Sheet11!$Y:$Y,"",0)</f>
        <v/>
      </c>
    </row>
    <row r="1455">
      <c r="A1455" s="23"/>
      <c r="B1455" s="42"/>
      <c r="C1455" s="42"/>
      <c r="D1455" s="42"/>
      <c r="E1455" s="42"/>
      <c r="F1455" s="42"/>
      <c r="G1455" s="42"/>
      <c r="H1455" s="42"/>
      <c r="I1455" s="42"/>
      <c r="J1455" s="42"/>
      <c r="K1455" s="42"/>
      <c r="L1455" s="46"/>
      <c r="M1455" s="46"/>
      <c r="N1455" s="46"/>
      <c r="O1455" s="61"/>
      <c r="P1455" s="62"/>
      <c r="Q1455" s="46"/>
      <c r="R1455" s="47"/>
      <c r="S1455" s="62"/>
      <c r="T1455" s="62"/>
      <c r="U1455" s="46"/>
      <c r="V1455" s="61"/>
      <c r="W1455" s="62"/>
      <c r="X1455" s="47"/>
      <c r="Y1455" s="46"/>
      <c r="Z1455" s="46"/>
      <c r="AA1455" s="46"/>
      <c r="AB1455" s="49"/>
      <c r="AC1455" s="42"/>
      <c r="AD1455" s="42"/>
      <c r="AE1455" s="50"/>
      <c r="AF1455" s="42"/>
      <c r="AG1455" s="42"/>
      <c r="AH1455" s="42"/>
      <c r="AI1455" s="42" t="str">
        <f t="array" ref="AI1455">XLOOKUP($E1455,Sheet11!$D:$D,Sheet11!$X:$X,"",0)</f>
        <v/>
      </c>
      <c r="AJ1455" s="42" t="str">
        <f t="array" ref="AJ1455">XLOOKUP($E1455,Sheet11!$D:$D,Sheet11!$Y:$Y,"",0)</f>
        <v/>
      </c>
    </row>
    <row r="1456">
      <c r="A1456" s="23"/>
      <c r="B1456" s="42"/>
      <c r="C1456" s="42"/>
      <c r="D1456" s="42"/>
      <c r="E1456" s="42"/>
      <c r="F1456" s="42"/>
      <c r="G1456" s="42"/>
      <c r="H1456" s="42"/>
      <c r="I1456" s="42"/>
      <c r="J1456" s="42"/>
      <c r="K1456" s="42"/>
      <c r="L1456" s="46"/>
      <c r="M1456" s="46"/>
      <c r="N1456" s="46"/>
      <c r="O1456" s="61"/>
      <c r="P1456" s="62"/>
      <c r="Q1456" s="46"/>
      <c r="R1456" s="47"/>
      <c r="S1456" s="62"/>
      <c r="T1456" s="62"/>
      <c r="U1456" s="46"/>
      <c r="V1456" s="61"/>
      <c r="W1456" s="62"/>
      <c r="X1456" s="47"/>
      <c r="Y1456" s="46"/>
      <c r="Z1456" s="46"/>
      <c r="AA1456" s="46"/>
      <c r="AB1456" s="49"/>
      <c r="AC1456" s="42"/>
      <c r="AD1456" s="42"/>
      <c r="AE1456" s="50"/>
      <c r="AF1456" s="42"/>
      <c r="AG1456" s="42"/>
      <c r="AH1456" s="42"/>
      <c r="AI1456" s="42" t="str">
        <f t="array" ref="AI1456">XLOOKUP($E1456,Sheet11!$D:$D,Sheet11!$X:$X,"",0)</f>
        <v/>
      </c>
      <c r="AJ1456" s="42" t="str">
        <f t="array" ref="AJ1456">XLOOKUP($E1456,Sheet11!$D:$D,Sheet11!$Y:$Y,"",0)</f>
        <v/>
      </c>
    </row>
    <row r="1457">
      <c r="A1457" s="23"/>
      <c r="B1457" s="42"/>
      <c r="C1457" s="42"/>
      <c r="D1457" s="42"/>
      <c r="E1457" s="42"/>
      <c r="F1457" s="42"/>
      <c r="G1457" s="42"/>
      <c r="H1457" s="42"/>
      <c r="I1457" s="42"/>
      <c r="J1457" s="42"/>
      <c r="K1457" s="42"/>
      <c r="L1457" s="46"/>
      <c r="M1457" s="46"/>
      <c r="N1457" s="46"/>
      <c r="O1457" s="61"/>
      <c r="P1457" s="62"/>
      <c r="Q1457" s="46"/>
      <c r="R1457" s="47"/>
      <c r="S1457" s="62"/>
      <c r="T1457" s="62"/>
      <c r="U1457" s="46"/>
      <c r="V1457" s="61"/>
      <c r="W1457" s="62"/>
      <c r="X1457" s="47"/>
      <c r="Y1457" s="46"/>
      <c r="Z1457" s="46"/>
      <c r="AA1457" s="46"/>
      <c r="AB1457" s="49"/>
      <c r="AC1457" s="42"/>
      <c r="AD1457" s="42"/>
      <c r="AE1457" s="50"/>
      <c r="AF1457" s="42"/>
      <c r="AG1457" s="42"/>
      <c r="AH1457" s="42"/>
      <c r="AI1457" s="42" t="str">
        <f t="array" ref="AI1457">XLOOKUP($E1457,Sheet11!$D:$D,Sheet11!$X:$X,"",0)</f>
        <v/>
      </c>
      <c r="AJ1457" s="42" t="str">
        <f t="array" ref="AJ1457">XLOOKUP($E1457,Sheet11!$D:$D,Sheet11!$Y:$Y,"",0)</f>
        <v/>
      </c>
    </row>
    <row r="1458">
      <c r="A1458" s="23"/>
      <c r="B1458" s="42"/>
      <c r="C1458" s="42"/>
      <c r="D1458" s="42"/>
      <c r="E1458" s="42"/>
      <c r="F1458" s="42"/>
      <c r="G1458" s="42"/>
      <c r="H1458" s="42"/>
      <c r="I1458" s="42"/>
      <c r="J1458" s="42"/>
      <c r="K1458" s="42"/>
      <c r="L1458" s="46"/>
      <c r="M1458" s="46"/>
      <c r="N1458" s="46"/>
      <c r="O1458" s="61"/>
      <c r="P1458" s="62"/>
      <c r="Q1458" s="46"/>
      <c r="R1458" s="47"/>
      <c r="S1458" s="62"/>
      <c r="T1458" s="62"/>
      <c r="U1458" s="46"/>
      <c r="V1458" s="61"/>
      <c r="W1458" s="62"/>
      <c r="X1458" s="47"/>
      <c r="Y1458" s="46"/>
      <c r="Z1458" s="46"/>
      <c r="AA1458" s="46"/>
      <c r="AB1458" s="49"/>
      <c r="AC1458" s="42"/>
      <c r="AD1458" s="42"/>
      <c r="AE1458" s="50"/>
      <c r="AF1458" s="42"/>
      <c r="AG1458" s="42"/>
      <c r="AH1458" s="42"/>
      <c r="AI1458" s="42" t="str">
        <f t="array" ref="AI1458">XLOOKUP($E1458,Sheet11!$D:$D,Sheet11!$X:$X,"",0)</f>
        <v/>
      </c>
      <c r="AJ1458" s="42" t="str">
        <f t="array" ref="AJ1458">XLOOKUP($E1458,Sheet11!$D:$D,Sheet11!$Y:$Y,"",0)</f>
        <v/>
      </c>
    </row>
    <row r="1459">
      <c r="A1459" s="23"/>
      <c r="B1459" s="42"/>
      <c r="C1459" s="42"/>
      <c r="D1459" s="42"/>
      <c r="E1459" s="42"/>
      <c r="F1459" s="42"/>
      <c r="G1459" s="42"/>
      <c r="H1459" s="42"/>
      <c r="I1459" s="42"/>
      <c r="J1459" s="42"/>
      <c r="K1459" s="42"/>
      <c r="L1459" s="46"/>
      <c r="M1459" s="46"/>
      <c r="N1459" s="46"/>
      <c r="O1459" s="61"/>
      <c r="P1459" s="62"/>
      <c r="Q1459" s="46"/>
      <c r="R1459" s="47"/>
      <c r="S1459" s="62"/>
      <c r="T1459" s="62"/>
      <c r="U1459" s="46"/>
      <c r="V1459" s="61"/>
      <c r="W1459" s="62"/>
      <c r="X1459" s="47"/>
      <c r="Y1459" s="46"/>
      <c r="Z1459" s="46"/>
      <c r="AA1459" s="46"/>
      <c r="AB1459" s="49"/>
      <c r="AC1459" s="42"/>
      <c r="AD1459" s="42"/>
      <c r="AE1459" s="50"/>
      <c r="AF1459" s="42"/>
      <c r="AG1459" s="42"/>
      <c r="AH1459" s="42"/>
      <c r="AI1459" s="42" t="str">
        <f t="array" ref="AI1459">XLOOKUP($E1459,Sheet11!$D:$D,Sheet11!$X:$X,"",0)</f>
        <v/>
      </c>
      <c r="AJ1459" s="42" t="str">
        <f t="array" ref="AJ1459">XLOOKUP($E1459,Sheet11!$D:$D,Sheet11!$Y:$Y,"",0)</f>
        <v/>
      </c>
    </row>
    <row r="1460">
      <c r="A1460" s="23"/>
      <c r="B1460" s="42"/>
      <c r="C1460" s="42"/>
      <c r="D1460" s="42"/>
      <c r="E1460" s="42"/>
      <c r="F1460" s="42"/>
      <c r="G1460" s="42"/>
      <c r="H1460" s="42"/>
      <c r="I1460" s="42"/>
      <c r="J1460" s="42"/>
      <c r="K1460" s="42"/>
      <c r="L1460" s="46"/>
      <c r="M1460" s="46"/>
      <c r="N1460" s="46"/>
      <c r="O1460" s="61"/>
      <c r="P1460" s="62"/>
      <c r="Q1460" s="46"/>
      <c r="R1460" s="47"/>
      <c r="S1460" s="62"/>
      <c r="T1460" s="62"/>
      <c r="U1460" s="46"/>
      <c r="V1460" s="61"/>
      <c r="W1460" s="62"/>
      <c r="X1460" s="47"/>
      <c r="Y1460" s="46"/>
      <c r="Z1460" s="46"/>
      <c r="AA1460" s="46"/>
      <c r="AB1460" s="49"/>
      <c r="AC1460" s="42"/>
      <c r="AD1460" s="42"/>
      <c r="AE1460" s="50"/>
      <c r="AF1460" s="42"/>
      <c r="AG1460" s="42"/>
      <c r="AH1460" s="42"/>
      <c r="AI1460" s="42" t="str">
        <f t="array" ref="AI1460">XLOOKUP($E1460,Sheet11!$D:$D,Sheet11!$X:$X,"",0)</f>
        <v/>
      </c>
      <c r="AJ1460" s="42" t="str">
        <f t="array" ref="AJ1460">XLOOKUP($E1460,Sheet11!$D:$D,Sheet11!$Y:$Y,"",0)</f>
        <v/>
      </c>
    </row>
    <row r="1461">
      <c r="A1461" s="23"/>
      <c r="B1461" s="42"/>
      <c r="C1461" s="42"/>
      <c r="D1461" s="42"/>
      <c r="E1461" s="42"/>
      <c r="F1461" s="42"/>
      <c r="G1461" s="42"/>
      <c r="H1461" s="42"/>
      <c r="I1461" s="42"/>
      <c r="J1461" s="42"/>
      <c r="K1461" s="42"/>
      <c r="L1461" s="46"/>
      <c r="M1461" s="46"/>
      <c r="N1461" s="46"/>
      <c r="O1461" s="61"/>
      <c r="P1461" s="62"/>
      <c r="Q1461" s="46"/>
      <c r="R1461" s="47"/>
      <c r="S1461" s="62"/>
      <c r="T1461" s="62"/>
      <c r="U1461" s="46"/>
      <c r="V1461" s="61"/>
      <c r="W1461" s="62"/>
      <c r="X1461" s="47"/>
      <c r="Y1461" s="46"/>
      <c r="Z1461" s="46"/>
      <c r="AA1461" s="46"/>
      <c r="AB1461" s="49"/>
      <c r="AC1461" s="42"/>
      <c r="AD1461" s="42"/>
      <c r="AE1461" s="50"/>
      <c r="AF1461" s="42"/>
      <c r="AG1461" s="42"/>
      <c r="AH1461" s="42"/>
      <c r="AI1461" s="42" t="str">
        <f t="array" ref="AI1461">XLOOKUP($E1461,Sheet11!$D:$D,Sheet11!$X:$X,"",0)</f>
        <v/>
      </c>
      <c r="AJ1461" s="42" t="str">
        <f t="array" ref="AJ1461">XLOOKUP($E1461,Sheet11!$D:$D,Sheet11!$Y:$Y,"",0)</f>
        <v/>
      </c>
    </row>
    <row r="1462">
      <c r="A1462" s="23"/>
      <c r="B1462" s="42"/>
      <c r="C1462" s="42"/>
      <c r="D1462" s="42"/>
      <c r="E1462" s="42"/>
      <c r="F1462" s="42"/>
      <c r="G1462" s="42"/>
      <c r="H1462" s="42"/>
      <c r="I1462" s="42"/>
      <c r="J1462" s="42"/>
      <c r="K1462" s="42"/>
      <c r="L1462" s="46"/>
      <c r="M1462" s="46"/>
      <c r="N1462" s="46"/>
      <c r="O1462" s="61"/>
      <c r="P1462" s="62"/>
      <c r="Q1462" s="46"/>
      <c r="R1462" s="47"/>
      <c r="S1462" s="62"/>
      <c r="T1462" s="62"/>
      <c r="U1462" s="46"/>
      <c r="V1462" s="61"/>
      <c r="W1462" s="62"/>
      <c r="X1462" s="47"/>
      <c r="Y1462" s="46"/>
      <c r="Z1462" s="46"/>
      <c r="AA1462" s="46"/>
      <c r="AB1462" s="49"/>
      <c r="AC1462" s="42"/>
      <c r="AD1462" s="42"/>
      <c r="AE1462" s="50"/>
      <c r="AF1462" s="42"/>
      <c r="AG1462" s="42"/>
      <c r="AH1462" s="42"/>
      <c r="AI1462" s="42" t="str">
        <f t="array" ref="AI1462">XLOOKUP($E1462,Sheet11!$D:$D,Sheet11!$X:$X,"",0)</f>
        <v/>
      </c>
      <c r="AJ1462" s="42" t="str">
        <f t="array" ref="AJ1462">XLOOKUP($E1462,Sheet11!$D:$D,Sheet11!$Y:$Y,"",0)</f>
        <v/>
      </c>
    </row>
    <row r="1463">
      <c r="A1463" s="23"/>
      <c r="B1463" s="42"/>
      <c r="C1463" s="42"/>
      <c r="D1463" s="42"/>
      <c r="E1463" s="42"/>
      <c r="F1463" s="42"/>
      <c r="G1463" s="42"/>
      <c r="H1463" s="42"/>
      <c r="I1463" s="42"/>
      <c r="J1463" s="42"/>
      <c r="K1463" s="42"/>
      <c r="L1463" s="46"/>
      <c r="M1463" s="46"/>
      <c r="N1463" s="46"/>
      <c r="O1463" s="61"/>
      <c r="P1463" s="62"/>
      <c r="Q1463" s="46"/>
      <c r="R1463" s="47"/>
      <c r="S1463" s="62"/>
      <c r="T1463" s="62"/>
      <c r="U1463" s="46"/>
      <c r="V1463" s="61"/>
      <c r="W1463" s="62"/>
      <c r="X1463" s="47"/>
      <c r="Y1463" s="46"/>
      <c r="Z1463" s="46"/>
      <c r="AA1463" s="46"/>
      <c r="AB1463" s="49"/>
      <c r="AC1463" s="42"/>
      <c r="AD1463" s="42"/>
      <c r="AE1463" s="50"/>
      <c r="AF1463" s="42"/>
      <c r="AG1463" s="42"/>
      <c r="AH1463" s="42"/>
      <c r="AI1463" s="42" t="str">
        <f t="array" ref="AI1463">XLOOKUP($E1463,Sheet11!$D:$D,Sheet11!$X:$X,"",0)</f>
        <v/>
      </c>
      <c r="AJ1463" s="42" t="str">
        <f t="array" ref="AJ1463">XLOOKUP($E1463,Sheet11!$D:$D,Sheet11!$Y:$Y,"",0)</f>
        <v/>
      </c>
    </row>
    <row r="1464">
      <c r="A1464" s="23"/>
      <c r="B1464" s="42"/>
      <c r="C1464" s="42"/>
      <c r="D1464" s="42"/>
      <c r="E1464" s="42"/>
      <c r="F1464" s="42"/>
      <c r="G1464" s="42"/>
      <c r="H1464" s="42"/>
      <c r="I1464" s="42"/>
      <c r="J1464" s="42"/>
      <c r="K1464" s="42"/>
      <c r="L1464" s="46"/>
      <c r="M1464" s="46"/>
      <c r="N1464" s="46"/>
      <c r="O1464" s="61"/>
      <c r="P1464" s="62"/>
      <c r="Q1464" s="46"/>
      <c r="R1464" s="47"/>
      <c r="S1464" s="62"/>
      <c r="T1464" s="62"/>
      <c r="U1464" s="46"/>
      <c r="V1464" s="61"/>
      <c r="W1464" s="62"/>
      <c r="X1464" s="47"/>
      <c r="Y1464" s="46"/>
      <c r="Z1464" s="46"/>
      <c r="AA1464" s="46"/>
      <c r="AB1464" s="49"/>
      <c r="AC1464" s="42"/>
      <c r="AD1464" s="42"/>
      <c r="AE1464" s="50"/>
      <c r="AF1464" s="42"/>
      <c r="AG1464" s="42"/>
      <c r="AH1464" s="42"/>
      <c r="AI1464" s="42" t="str">
        <f t="array" ref="AI1464">XLOOKUP($E1464,Sheet11!$D:$D,Sheet11!$X:$X,"",0)</f>
        <v/>
      </c>
      <c r="AJ1464" s="42" t="str">
        <f t="array" ref="AJ1464">XLOOKUP($E1464,Sheet11!$D:$D,Sheet11!$Y:$Y,"",0)</f>
        <v/>
      </c>
    </row>
    <row r="1465">
      <c r="A1465" s="23"/>
      <c r="B1465" s="42"/>
      <c r="C1465" s="42"/>
      <c r="D1465" s="42"/>
      <c r="E1465" s="42"/>
      <c r="F1465" s="42"/>
      <c r="G1465" s="42"/>
      <c r="H1465" s="42"/>
      <c r="I1465" s="42"/>
      <c r="J1465" s="42"/>
      <c r="K1465" s="42"/>
      <c r="L1465" s="46"/>
      <c r="M1465" s="46"/>
      <c r="N1465" s="46"/>
      <c r="O1465" s="61"/>
      <c r="P1465" s="62"/>
      <c r="Q1465" s="46"/>
      <c r="R1465" s="47"/>
      <c r="S1465" s="62"/>
      <c r="T1465" s="62"/>
      <c r="U1465" s="46"/>
      <c r="V1465" s="61"/>
      <c r="W1465" s="62"/>
      <c r="X1465" s="47"/>
      <c r="Y1465" s="46"/>
      <c r="Z1465" s="46"/>
      <c r="AA1465" s="46"/>
      <c r="AB1465" s="49"/>
      <c r="AC1465" s="42"/>
      <c r="AD1465" s="42"/>
      <c r="AE1465" s="50"/>
      <c r="AF1465" s="42"/>
      <c r="AG1465" s="42"/>
      <c r="AH1465" s="42"/>
      <c r="AI1465" s="42" t="str">
        <f t="array" ref="AI1465">XLOOKUP($E1465,Sheet11!$D:$D,Sheet11!$X:$X,"",0)</f>
        <v/>
      </c>
      <c r="AJ1465" s="42" t="str">
        <f t="array" ref="AJ1465">XLOOKUP($E1465,Sheet11!$D:$D,Sheet11!$Y:$Y,"",0)</f>
        <v/>
      </c>
    </row>
    <row r="1466">
      <c r="A1466" s="23"/>
      <c r="B1466" s="42"/>
      <c r="C1466" s="42"/>
      <c r="D1466" s="42"/>
      <c r="E1466" s="42"/>
      <c r="F1466" s="42"/>
      <c r="G1466" s="42"/>
      <c r="H1466" s="42"/>
      <c r="I1466" s="42"/>
      <c r="J1466" s="42"/>
      <c r="K1466" s="42"/>
      <c r="L1466" s="46"/>
      <c r="M1466" s="46"/>
      <c r="N1466" s="46"/>
      <c r="O1466" s="61"/>
      <c r="P1466" s="62"/>
      <c r="Q1466" s="46"/>
      <c r="R1466" s="47"/>
      <c r="S1466" s="62"/>
      <c r="T1466" s="62"/>
      <c r="U1466" s="46"/>
      <c r="V1466" s="61"/>
      <c r="W1466" s="62"/>
      <c r="X1466" s="47"/>
      <c r="Y1466" s="46"/>
      <c r="Z1466" s="46"/>
      <c r="AA1466" s="46"/>
      <c r="AB1466" s="49"/>
      <c r="AC1466" s="42"/>
      <c r="AD1466" s="42"/>
      <c r="AE1466" s="50"/>
      <c r="AF1466" s="42"/>
      <c r="AG1466" s="42"/>
      <c r="AH1466" s="42"/>
      <c r="AI1466" s="42" t="str">
        <f t="array" ref="AI1466">XLOOKUP($E1466,Sheet11!$D:$D,Sheet11!$X:$X,"",0)</f>
        <v/>
      </c>
      <c r="AJ1466" s="42" t="str">
        <f t="array" ref="AJ1466">XLOOKUP($E1466,Sheet11!$D:$D,Sheet11!$Y:$Y,"",0)</f>
        <v/>
      </c>
    </row>
    <row r="1467">
      <c r="A1467" s="23"/>
      <c r="B1467" s="42"/>
      <c r="C1467" s="42"/>
      <c r="D1467" s="42"/>
      <c r="E1467" s="42"/>
      <c r="F1467" s="42"/>
      <c r="G1467" s="42"/>
      <c r="H1467" s="42"/>
      <c r="I1467" s="42"/>
      <c r="J1467" s="42"/>
      <c r="K1467" s="42"/>
      <c r="L1467" s="46"/>
      <c r="M1467" s="46"/>
      <c r="N1467" s="46"/>
      <c r="O1467" s="61"/>
      <c r="P1467" s="62"/>
      <c r="Q1467" s="46"/>
      <c r="R1467" s="47"/>
      <c r="S1467" s="62"/>
      <c r="T1467" s="62"/>
      <c r="U1467" s="46"/>
      <c r="V1467" s="61"/>
      <c r="W1467" s="62"/>
      <c r="X1467" s="47"/>
      <c r="Y1467" s="46"/>
      <c r="Z1467" s="46"/>
      <c r="AA1467" s="46"/>
      <c r="AB1467" s="49"/>
      <c r="AC1467" s="42"/>
      <c r="AD1467" s="42"/>
      <c r="AE1467" s="50"/>
      <c r="AF1467" s="42"/>
      <c r="AG1467" s="42"/>
      <c r="AH1467" s="42"/>
      <c r="AI1467" s="42" t="str">
        <f t="array" ref="AI1467">XLOOKUP($E1467,Sheet11!$D:$D,Sheet11!$X:$X,"",0)</f>
        <v/>
      </c>
      <c r="AJ1467" s="42" t="str">
        <f t="array" ref="AJ1467">XLOOKUP($E1467,Sheet11!$D:$D,Sheet11!$Y:$Y,"",0)</f>
        <v/>
      </c>
    </row>
    <row r="1468">
      <c r="A1468" s="23"/>
      <c r="B1468" s="42"/>
      <c r="C1468" s="42"/>
      <c r="D1468" s="42"/>
      <c r="E1468" s="42"/>
      <c r="F1468" s="42"/>
      <c r="G1468" s="42"/>
      <c r="H1468" s="42"/>
      <c r="I1468" s="42"/>
      <c r="J1468" s="42"/>
      <c r="K1468" s="42"/>
      <c r="L1468" s="46"/>
      <c r="M1468" s="46"/>
      <c r="N1468" s="46"/>
      <c r="O1468" s="61"/>
      <c r="P1468" s="62"/>
      <c r="Q1468" s="46"/>
      <c r="R1468" s="47"/>
      <c r="S1468" s="62"/>
      <c r="T1468" s="62"/>
      <c r="U1468" s="46"/>
      <c r="V1468" s="61"/>
      <c r="W1468" s="62"/>
      <c r="X1468" s="47"/>
      <c r="Y1468" s="46"/>
      <c r="Z1468" s="46"/>
      <c r="AA1468" s="46"/>
      <c r="AB1468" s="49"/>
      <c r="AC1468" s="42"/>
      <c r="AD1468" s="42"/>
      <c r="AE1468" s="50"/>
      <c r="AF1468" s="42"/>
      <c r="AG1468" s="42"/>
      <c r="AH1468" s="42"/>
      <c r="AI1468" s="42" t="str">
        <f t="array" ref="AI1468">XLOOKUP($E1468,Sheet11!$D:$D,Sheet11!$X:$X,"",0)</f>
        <v/>
      </c>
      <c r="AJ1468" s="42" t="str">
        <f t="array" ref="AJ1468">XLOOKUP($E1468,Sheet11!$D:$D,Sheet11!$Y:$Y,"",0)</f>
        <v/>
      </c>
    </row>
    <row r="1469">
      <c r="A1469" s="23"/>
      <c r="B1469" s="42"/>
      <c r="C1469" s="42"/>
      <c r="D1469" s="42"/>
      <c r="E1469" s="42"/>
      <c r="F1469" s="42"/>
      <c r="G1469" s="42"/>
      <c r="H1469" s="42"/>
      <c r="I1469" s="42"/>
      <c r="J1469" s="42"/>
      <c r="K1469" s="42"/>
      <c r="L1469" s="46"/>
      <c r="M1469" s="46"/>
      <c r="N1469" s="46"/>
      <c r="O1469" s="61"/>
      <c r="P1469" s="62"/>
      <c r="Q1469" s="46"/>
      <c r="R1469" s="47"/>
      <c r="S1469" s="62"/>
      <c r="T1469" s="62"/>
      <c r="U1469" s="46"/>
      <c r="V1469" s="61"/>
      <c r="W1469" s="62"/>
      <c r="X1469" s="47"/>
      <c r="Y1469" s="46"/>
      <c r="Z1469" s="46"/>
      <c r="AA1469" s="46"/>
      <c r="AB1469" s="49"/>
      <c r="AC1469" s="42"/>
      <c r="AD1469" s="42"/>
      <c r="AE1469" s="50"/>
      <c r="AF1469" s="42"/>
      <c r="AG1469" s="42"/>
      <c r="AH1469" s="42"/>
      <c r="AI1469" s="42" t="str">
        <f t="array" ref="AI1469">XLOOKUP($E1469,Sheet11!$D:$D,Sheet11!$X:$X,"",0)</f>
        <v/>
      </c>
      <c r="AJ1469" s="42" t="str">
        <f t="array" ref="AJ1469">XLOOKUP($E1469,Sheet11!$D:$D,Sheet11!$Y:$Y,"",0)</f>
        <v/>
      </c>
    </row>
    <row r="1470">
      <c r="A1470" s="23"/>
      <c r="B1470" s="42"/>
      <c r="C1470" s="42"/>
      <c r="D1470" s="42"/>
      <c r="E1470" s="42"/>
      <c r="F1470" s="42"/>
      <c r="G1470" s="42"/>
      <c r="H1470" s="42"/>
      <c r="I1470" s="42"/>
      <c r="J1470" s="42"/>
      <c r="K1470" s="42"/>
      <c r="L1470" s="46"/>
      <c r="M1470" s="46"/>
      <c r="N1470" s="46"/>
      <c r="O1470" s="61"/>
      <c r="P1470" s="62"/>
      <c r="Q1470" s="46"/>
      <c r="R1470" s="47"/>
      <c r="S1470" s="62"/>
      <c r="T1470" s="62"/>
      <c r="U1470" s="46"/>
      <c r="V1470" s="61"/>
      <c r="W1470" s="62"/>
      <c r="X1470" s="47"/>
      <c r="Y1470" s="46"/>
      <c r="Z1470" s="46"/>
      <c r="AA1470" s="46"/>
      <c r="AB1470" s="49"/>
      <c r="AC1470" s="42"/>
      <c r="AD1470" s="42"/>
      <c r="AE1470" s="50"/>
      <c r="AF1470" s="42"/>
      <c r="AG1470" s="42"/>
      <c r="AH1470" s="42"/>
      <c r="AI1470" s="42" t="str">
        <f t="array" ref="AI1470">XLOOKUP($E1470,Sheet11!$D:$D,Sheet11!$X:$X,"",0)</f>
        <v/>
      </c>
      <c r="AJ1470" s="42" t="str">
        <f t="array" ref="AJ1470">XLOOKUP($E1470,Sheet11!$D:$D,Sheet11!$Y:$Y,"",0)</f>
        <v/>
      </c>
    </row>
    <row r="1471">
      <c r="A1471" s="23"/>
      <c r="B1471" s="42"/>
      <c r="C1471" s="42"/>
      <c r="D1471" s="42"/>
      <c r="E1471" s="42"/>
      <c r="F1471" s="42"/>
      <c r="G1471" s="42"/>
      <c r="H1471" s="42"/>
      <c r="I1471" s="42"/>
      <c r="J1471" s="42"/>
      <c r="K1471" s="42"/>
      <c r="L1471" s="46"/>
      <c r="M1471" s="46"/>
      <c r="N1471" s="46"/>
      <c r="O1471" s="61"/>
      <c r="P1471" s="62"/>
      <c r="Q1471" s="46"/>
      <c r="R1471" s="47"/>
      <c r="S1471" s="62"/>
      <c r="T1471" s="62"/>
      <c r="U1471" s="46"/>
      <c r="V1471" s="61"/>
      <c r="W1471" s="62"/>
      <c r="X1471" s="47"/>
      <c r="Y1471" s="46"/>
      <c r="Z1471" s="46"/>
      <c r="AA1471" s="46"/>
      <c r="AB1471" s="49"/>
      <c r="AC1471" s="42"/>
      <c r="AD1471" s="42"/>
      <c r="AE1471" s="50"/>
      <c r="AF1471" s="42"/>
      <c r="AG1471" s="42"/>
      <c r="AH1471" s="42"/>
      <c r="AI1471" s="42" t="str">
        <f t="array" ref="AI1471">XLOOKUP($E1471,Sheet11!$D:$D,Sheet11!$X:$X,"",0)</f>
        <v/>
      </c>
      <c r="AJ1471" s="42" t="str">
        <f t="array" ref="AJ1471">XLOOKUP($E1471,Sheet11!$D:$D,Sheet11!$Y:$Y,"",0)</f>
        <v/>
      </c>
    </row>
    <row r="1472">
      <c r="A1472" s="23"/>
      <c r="B1472" s="42"/>
      <c r="C1472" s="42"/>
      <c r="D1472" s="42"/>
      <c r="E1472" s="42"/>
      <c r="F1472" s="42"/>
      <c r="G1472" s="42"/>
      <c r="H1472" s="42"/>
      <c r="I1472" s="42"/>
      <c r="J1472" s="42"/>
      <c r="K1472" s="42"/>
      <c r="L1472" s="46"/>
      <c r="M1472" s="46"/>
      <c r="N1472" s="46"/>
      <c r="O1472" s="61"/>
      <c r="P1472" s="62"/>
      <c r="Q1472" s="46"/>
      <c r="R1472" s="47"/>
      <c r="S1472" s="62"/>
      <c r="T1472" s="62"/>
      <c r="U1472" s="46"/>
      <c r="V1472" s="61"/>
      <c r="W1472" s="62"/>
      <c r="X1472" s="47"/>
      <c r="Y1472" s="46"/>
      <c r="Z1472" s="46"/>
      <c r="AA1472" s="46"/>
      <c r="AB1472" s="49"/>
      <c r="AC1472" s="42"/>
      <c r="AD1472" s="42"/>
      <c r="AE1472" s="50"/>
      <c r="AF1472" s="42"/>
      <c r="AG1472" s="42"/>
      <c r="AH1472" s="42"/>
      <c r="AI1472" s="42" t="str">
        <f t="array" ref="AI1472">XLOOKUP($E1472,Sheet11!$D:$D,Sheet11!$X:$X,"",0)</f>
        <v/>
      </c>
      <c r="AJ1472" s="42" t="str">
        <f t="array" ref="AJ1472">XLOOKUP($E1472,Sheet11!$D:$D,Sheet11!$Y:$Y,"",0)</f>
        <v/>
      </c>
    </row>
    <row r="1473">
      <c r="A1473" s="23"/>
      <c r="B1473" s="42"/>
      <c r="C1473" s="42"/>
      <c r="D1473" s="42"/>
      <c r="E1473" s="42"/>
      <c r="F1473" s="42"/>
      <c r="G1473" s="42"/>
      <c r="H1473" s="42"/>
      <c r="I1473" s="42"/>
      <c r="J1473" s="42"/>
      <c r="K1473" s="42"/>
      <c r="L1473" s="46"/>
      <c r="M1473" s="46"/>
      <c r="N1473" s="46"/>
      <c r="O1473" s="61"/>
      <c r="P1473" s="62"/>
      <c r="Q1473" s="46"/>
      <c r="R1473" s="47"/>
      <c r="S1473" s="62"/>
      <c r="T1473" s="62"/>
      <c r="U1473" s="46"/>
      <c r="V1473" s="61"/>
      <c r="W1473" s="62"/>
      <c r="X1473" s="47"/>
      <c r="Y1473" s="46"/>
      <c r="Z1473" s="46"/>
      <c r="AA1473" s="46"/>
      <c r="AB1473" s="49"/>
      <c r="AC1473" s="42"/>
      <c r="AD1473" s="42"/>
      <c r="AE1473" s="50"/>
      <c r="AF1473" s="42"/>
      <c r="AG1473" s="42"/>
      <c r="AH1473" s="42"/>
      <c r="AI1473" s="42" t="str">
        <f t="array" ref="AI1473">XLOOKUP($E1473,Sheet11!$D:$D,Sheet11!$X:$X,"",0)</f>
        <v/>
      </c>
      <c r="AJ1473" s="42" t="str">
        <f t="array" ref="AJ1473">XLOOKUP($E1473,Sheet11!$D:$D,Sheet11!$Y:$Y,"",0)</f>
        <v/>
      </c>
    </row>
    <row r="1474">
      <c r="A1474" s="23"/>
      <c r="B1474" s="42"/>
      <c r="C1474" s="42"/>
      <c r="D1474" s="42"/>
      <c r="E1474" s="42"/>
      <c r="F1474" s="42"/>
      <c r="G1474" s="42"/>
      <c r="H1474" s="42"/>
      <c r="I1474" s="42"/>
      <c r="J1474" s="42"/>
      <c r="K1474" s="42"/>
      <c r="L1474" s="46"/>
      <c r="M1474" s="46"/>
      <c r="N1474" s="46"/>
      <c r="O1474" s="61"/>
      <c r="P1474" s="62"/>
      <c r="Q1474" s="46"/>
      <c r="R1474" s="47"/>
      <c r="S1474" s="62"/>
      <c r="T1474" s="62"/>
      <c r="U1474" s="46"/>
      <c r="V1474" s="61"/>
      <c r="W1474" s="62"/>
      <c r="X1474" s="47"/>
      <c r="Y1474" s="46"/>
      <c r="Z1474" s="46"/>
      <c r="AA1474" s="46"/>
      <c r="AB1474" s="49"/>
      <c r="AC1474" s="42"/>
      <c r="AD1474" s="42"/>
      <c r="AE1474" s="50"/>
      <c r="AF1474" s="42"/>
      <c r="AG1474" s="42"/>
      <c r="AH1474" s="42"/>
      <c r="AI1474" s="42" t="str">
        <f t="array" ref="AI1474">XLOOKUP($E1474,Sheet11!$D:$D,Sheet11!$X:$X,"",0)</f>
        <v/>
      </c>
      <c r="AJ1474" s="42" t="str">
        <f t="array" ref="AJ1474">XLOOKUP($E1474,Sheet11!$D:$D,Sheet11!$Y:$Y,"",0)</f>
        <v/>
      </c>
    </row>
    <row r="1475">
      <c r="A1475" s="23"/>
      <c r="B1475" s="42"/>
      <c r="C1475" s="42"/>
      <c r="D1475" s="42"/>
      <c r="E1475" s="42"/>
      <c r="F1475" s="42"/>
      <c r="G1475" s="42"/>
      <c r="H1475" s="42"/>
      <c r="I1475" s="42"/>
      <c r="J1475" s="42"/>
      <c r="K1475" s="42"/>
      <c r="L1475" s="46"/>
      <c r="M1475" s="46"/>
      <c r="N1475" s="46"/>
      <c r="O1475" s="61"/>
      <c r="P1475" s="62"/>
      <c r="Q1475" s="46"/>
      <c r="R1475" s="47"/>
      <c r="S1475" s="62"/>
      <c r="T1475" s="62"/>
      <c r="U1475" s="46"/>
      <c r="V1475" s="61"/>
      <c r="W1475" s="62"/>
      <c r="X1475" s="47"/>
      <c r="Y1475" s="46"/>
      <c r="Z1475" s="46"/>
      <c r="AA1475" s="46"/>
      <c r="AB1475" s="49"/>
      <c r="AC1475" s="42"/>
      <c r="AD1475" s="42"/>
      <c r="AE1475" s="50"/>
      <c r="AF1475" s="42"/>
      <c r="AG1475" s="42"/>
      <c r="AH1475" s="42"/>
      <c r="AI1475" s="42" t="str">
        <f t="array" ref="AI1475">XLOOKUP($E1475,Sheet11!$D:$D,Sheet11!$X:$X,"",0)</f>
        <v/>
      </c>
      <c r="AJ1475" s="42" t="str">
        <f t="array" ref="AJ1475">XLOOKUP($E1475,Sheet11!$D:$D,Sheet11!$Y:$Y,"",0)</f>
        <v/>
      </c>
    </row>
    <row r="1476">
      <c r="A1476" s="23"/>
      <c r="B1476" s="42"/>
      <c r="C1476" s="42"/>
      <c r="D1476" s="42"/>
      <c r="E1476" s="42"/>
      <c r="F1476" s="42"/>
      <c r="G1476" s="42"/>
      <c r="H1476" s="42"/>
      <c r="I1476" s="42"/>
      <c r="J1476" s="42"/>
      <c r="K1476" s="42"/>
      <c r="L1476" s="46"/>
      <c r="M1476" s="46"/>
      <c r="N1476" s="46"/>
      <c r="O1476" s="61"/>
      <c r="P1476" s="62"/>
      <c r="Q1476" s="46"/>
      <c r="R1476" s="47"/>
      <c r="S1476" s="62"/>
      <c r="T1476" s="62"/>
      <c r="U1476" s="46"/>
      <c r="V1476" s="61"/>
      <c r="W1476" s="62"/>
      <c r="X1476" s="47"/>
      <c r="Y1476" s="46"/>
      <c r="Z1476" s="46"/>
      <c r="AA1476" s="46"/>
      <c r="AB1476" s="49"/>
      <c r="AC1476" s="42"/>
      <c r="AD1476" s="42"/>
      <c r="AE1476" s="50"/>
      <c r="AF1476" s="42"/>
      <c r="AG1476" s="42"/>
      <c r="AH1476" s="42"/>
      <c r="AI1476" s="42" t="str">
        <f t="array" ref="AI1476">XLOOKUP($E1476,Sheet11!$D:$D,Sheet11!$X:$X,"",0)</f>
        <v/>
      </c>
      <c r="AJ1476" s="42" t="str">
        <f t="array" ref="AJ1476">XLOOKUP($E1476,Sheet11!$D:$D,Sheet11!$Y:$Y,"",0)</f>
        <v/>
      </c>
    </row>
    <row r="1477">
      <c r="A1477" s="23"/>
      <c r="B1477" s="42"/>
      <c r="C1477" s="42"/>
      <c r="D1477" s="42"/>
      <c r="E1477" s="42"/>
      <c r="F1477" s="42"/>
      <c r="G1477" s="42"/>
      <c r="H1477" s="42"/>
      <c r="I1477" s="42"/>
      <c r="J1477" s="42"/>
      <c r="K1477" s="42"/>
      <c r="L1477" s="46"/>
      <c r="M1477" s="46"/>
      <c r="N1477" s="46"/>
      <c r="O1477" s="61"/>
      <c r="P1477" s="62"/>
      <c r="Q1477" s="46"/>
      <c r="R1477" s="47"/>
      <c r="S1477" s="62"/>
      <c r="T1477" s="62"/>
      <c r="U1477" s="46"/>
      <c r="V1477" s="61"/>
      <c r="W1477" s="62"/>
      <c r="X1477" s="47"/>
      <c r="Y1477" s="46"/>
      <c r="Z1477" s="46"/>
      <c r="AA1477" s="46"/>
      <c r="AB1477" s="49"/>
      <c r="AC1477" s="42"/>
      <c r="AD1477" s="42"/>
      <c r="AE1477" s="50"/>
      <c r="AF1477" s="42"/>
      <c r="AG1477" s="42"/>
      <c r="AH1477" s="42"/>
      <c r="AI1477" s="42" t="str">
        <f t="array" ref="AI1477">XLOOKUP($E1477,Sheet11!$D:$D,Sheet11!$X:$X,"",0)</f>
        <v/>
      </c>
      <c r="AJ1477" s="42" t="str">
        <f t="array" ref="AJ1477">XLOOKUP($E1477,Sheet11!$D:$D,Sheet11!$Y:$Y,"",0)</f>
        <v/>
      </c>
    </row>
    <row r="1478">
      <c r="A1478" s="23"/>
      <c r="B1478" s="42"/>
      <c r="C1478" s="42"/>
      <c r="D1478" s="42"/>
      <c r="E1478" s="42"/>
      <c r="F1478" s="42"/>
      <c r="G1478" s="42"/>
      <c r="H1478" s="42"/>
      <c r="I1478" s="42"/>
      <c r="J1478" s="42"/>
      <c r="K1478" s="42"/>
      <c r="L1478" s="46"/>
      <c r="M1478" s="46"/>
      <c r="N1478" s="46"/>
      <c r="O1478" s="61"/>
      <c r="P1478" s="62"/>
      <c r="Q1478" s="46"/>
      <c r="R1478" s="47"/>
      <c r="S1478" s="62"/>
      <c r="T1478" s="62"/>
      <c r="U1478" s="46"/>
      <c r="V1478" s="61"/>
      <c r="W1478" s="62"/>
      <c r="X1478" s="47"/>
      <c r="Y1478" s="46"/>
      <c r="Z1478" s="46"/>
      <c r="AA1478" s="46"/>
      <c r="AB1478" s="49"/>
      <c r="AC1478" s="42"/>
      <c r="AD1478" s="42"/>
      <c r="AE1478" s="50"/>
      <c r="AF1478" s="42"/>
      <c r="AG1478" s="42"/>
      <c r="AH1478" s="42"/>
      <c r="AI1478" s="42" t="str">
        <f t="array" ref="AI1478">XLOOKUP($E1478,Sheet11!$D:$D,Sheet11!$X:$X,"",0)</f>
        <v/>
      </c>
      <c r="AJ1478" s="42" t="str">
        <f t="array" ref="AJ1478">XLOOKUP($E1478,Sheet11!$D:$D,Sheet11!$Y:$Y,"",0)</f>
        <v/>
      </c>
    </row>
    <row r="1479">
      <c r="A1479" s="23"/>
      <c r="B1479" s="42"/>
      <c r="C1479" s="42"/>
      <c r="D1479" s="42"/>
      <c r="E1479" s="42"/>
      <c r="F1479" s="42"/>
      <c r="G1479" s="42"/>
      <c r="H1479" s="42"/>
      <c r="I1479" s="42"/>
      <c r="J1479" s="42"/>
      <c r="K1479" s="42"/>
      <c r="L1479" s="46"/>
      <c r="M1479" s="46"/>
      <c r="N1479" s="46"/>
      <c r="O1479" s="61"/>
      <c r="P1479" s="62"/>
      <c r="Q1479" s="46"/>
      <c r="R1479" s="47"/>
      <c r="S1479" s="62"/>
      <c r="T1479" s="62"/>
      <c r="U1479" s="46"/>
      <c r="V1479" s="61"/>
      <c r="W1479" s="62"/>
      <c r="X1479" s="47"/>
      <c r="Y1479" s="46"/>
      <c r="Z1479" s="46"/>
      <c r="AA1479" s="46"/>
      <c r="AB1479" s="49"/>
      <c r="AC1479" s="42"/>
      <c r="AD1479" s="42"/>
      <c r="AE1479" s="50"/>
      <c r="AF1479" s="42"/>
      <c r="AG1479" s="42"/>
      <c r="AH1479" s="42"/>
      <c r="AI1479" s="42" t="str">
        <f t="array" ref="AI1479">XLOOKUP($E1479,Sheet11!$D:$D,Sheet11!$X:$X,"",0)</f>
        <v/>
      </c>
      <c r="AJ1479" s="42" t="str">
        <f t="array" ref="AJ1479">XLOOKUP($E1479,Sheet11!$D:$D,Sheet11!$Y:$Y,"",0)</f>
        <v/>
      </c>
    </row>
    <row r="1480">
      <c r="A1480" s="23"/>
      <c r="B1480" s="42"/>
      <c r="C1480" s="42"/>
      <c r="D1480" s="42"/>
      <c r="E1480" s="42"/>
      <c r="F1480" s="42"/>
      <c r="G1480" s="42"/>
      <c r="H1480" s="42"/>
      <c r="I1480" s="42"/>
      <c r="J1480" s="42"/>
      <c r="K1480" s="42"/>
      <c r="L1480" s="46"/>
      <c r="M1480" s="46"/>
      <c r="N1480" s="46"/>
      <c r="O1480" s="61"/>
      <c r="P1480" s="62"/>
      <c r="Q1480" s="46"/>
      <c r="R1480" s="47"/>
      <c r="S1480" s="62"/>
      <c r="T1480" s="62"/>
      <c r="U1480" s="46"/>
      <c r="V1480" s="61"/>
      <c r="W1480" s="62"/>
      <c r="X1480" s="47"/>
      <c r="Y1480" s="46"/>
      <c r="Z1480" s="46"/>
      <c r="AA1480" s="46"/>
      <c r="AB1480" s="49"/>
      <c r="AC1480" s="42"/>
      <c r="AD1480" s="42"/>
      <c r="AE1480" s="50"/>
      <c r="AF1480" s="42"/>
      <c r="AG1480" s="42"/>
      <c r="AH1480" s="42"/>
      <c r="AI1480" s="42" t="str">
        <f t="array" ref="AI1480">XLOOKUP($E1480,Sheet11!$D:$D,Sheet11!$X:$X,"",0)</f>
        <v/>
      </c>
      <c r="AJ1480" s="42" t="str">
        <f t="array" ref="AJ1480">XLOOKUP($E1480,Sheet11!$D:$D,Sheet11!$Y:$Y,"",0)</f>
        <v/>
      </c>
    </row>
    <row r="1481">
      <c r="A1481" s="23"/>
      <c r="B1481" s="42"/>
      <c r="C1481" s="42"/>
      <c r="D1481" s="42"/>
      <c r="E1481" s="42"/>
      <c r="F1481" s="42"/>
      <c r="G1481" s="42"/>
      <c r="H1481" s="42"/>
      <c r="I1481" s="42"/>
      <c r="J1481" s="42"/>
      <c r="K1481" s="42"/>
      <c r="L1481" s="46"/>
      <c r="M1481" s="46"/>
      <c r="N1481" s="46"/>
      <c r="O1481" s="61"/>
      <c r="P1481" s="62"/>
      <c r="Q1481" s="46"/>
      <c r="R1481" s="47"/>
      <c r="S1481" s="62"/>
      <c r="T1481" s="62"/>
      <c r="U1481" s="46"/>
      <c r="V1481" s="61"/>
      <c r="W1481" s="62"/>
      <c r="X1481" s="47"/>
      <c r="Y1481" s="46"/>
      <c r="Z1481" s="46"/>
      <c r="AA1481" s="46"/>
      <c r="AB1481" s="49"/>
      <c r="AC1481" s="42"/>
      <c r="AD1481" s="42"/>
      <c r="AE1481" s="50"/>
      <c r="AF1481" s="42"/>
      <c r="AG1481" s="42"/>
      <c r="AH1481" s="42"/>
      <c r="AI1481" s="42" t="str">
        <f t="array" ref="AI1481">XLOOKUP($E1481,Sheet11!$D:$D,Sheet11!$X:$X,"",0)</f>
        <v/>
      </c>
      <c r="AJ1481" s="42" t="str">
        <f t="array" ref="AJ1481">XLOOKUP($E1481,Sheet11!$D:$D,Sheet11!$Y:$Y,"",0)</f>
        <v/>
      </c>
    </row>
    <row r="1482">
      <c r="A1482" s="23"/>
      <c r="B1482" s="42"/>
      <c r="C1482" s="42"/>
      <c r="D1482" s="42"/>
      <c r="E1482" s="42"/>
      <c r="F1482" s="42"/>
      <c r="G1482" s="42"/>
      <c r="H1482" s="42"/>
      <c r="I1482" s="42"/>
      <c r="J1482" s="42"/>
      <c r="K1482" s="42"/>
      <c r="L1482" s="46"/>
      <c r="M1482" s="46"/>
      <c r="N1482" s="46"/>
      <c r="O1482" s="61"/>
      <c r="P1482" s="62"/>
      <c r="Q1482" s="46"/>
      <c r="R1482" s="47"/>
      <c r="S1482" s="62"/>
      <c r="T1482" s="62"/>
      <c r="U1482" s="46"/>
      <c r="V1482" s="61"/>
      <c r="W1482" s="62"/>
      <c r="X1482" s="47"/>
      <c r="Y1482" s="46"/>
      <c r="Z1482" s="46"/>
      <c r="AA1482" s="46"/>
      <c r="AB1482" s="49"/>
      <c r="AC1482" s="42"/>
      <c r="AD1482" s="42"/>
      <c r="AE1482" s="50"/>
      <c r="AF1482" s="42"/>
      <c r="AG1482" s="42"/>
      <c r="AH1482" s="42"/>
      <c r="AI1482" s="42" t="str">
        <f t="array" ref="AI1482">XLOOKUP($E1482,Sheet11!$D:$D,Sheet11!$X:$X,"",0)</f>
        <v/>
      </c>
      <c r="AJ1482" s="42" t="str">
        <f t="array" ref="AJ1482">XLOOKUP($E1482,Sheet11!$D:$D,Sheet11!$Y:$Y,"",0)</f>
        <v/>
      </c>
    </row>
    <row r="1483">
      <c r="A1483" s="23"/>
      <c r="B1483" s="42"/>
      <c r="C1483" s="42"/>
      <c r="D1483" s="42"/>
      <c r="E1483" s="42"/>
      <c r="F1483" s="42"/>
      <c r="G1483" s="42"/>
      <c r="H1483" s="42"/>
      <c r="I1483" s="42"/>
      <c r="J1483" s="42"/>
      <c r="K1483" s="42"/>
      <c r="L1483" s="46"/>
      <c r="M1483" s="46"/>
      <c r="N1483" s="46"/>
      <c r="O1483" s="61"/>
      <c r="P1483" s="62"/>
      <c r="Q1483" s="46"/>
      <c r="R1483" s="47"/>
      <c r="S1483" s="62"/>
      <c r="T1483" s="62"/>
      <c r="U1483" s="46"/>
      <c r="V1483" s="61"/>
      <c r="W1483" s="62"/>
      <c r="X1483" s="47"/>
      <c r="Y1483" s="46"/>
      <c r="Z1483" s="46"/>
      <c r="AA1483" s="46"/>
      <c r="AB1483" s="49"/>
      <c r="AC1483" s="42"/>
      <c r="AD1483" s="42"/>
      <c r="AE1483" s="50"/>
      <c r="AF1483" s="42"/>
      <c r="AG1483" s="42"/>
      <c r="AH1483" s="42"/>
      <c r="AI1483" s="42" t="str">
        <f t="array" ref="AI1483">XLOOKUP($E1483,Sheet11!$D:$D,Sheet11!$X:$X,"",0)</f>
        <v/>
      </c>
      <c r="AJ1483" s="42" t="str">
        <f t="array" ref="AJ1483">XLOOKUP($E1483,Sheet11!$D:$D,Sheet11!$Y:$Y,"",0)</f>
        <v/>
      </c>
    </row>
    <row r="1484">
      <c r="A1484" s="23"/>
      <c r="B1484" s="42"/>
      <c r="C1484" s="42"/>
      <c r="D1484" s="42"/>
      <c r="E1484" s="42"/>
      <c r="F1484" s="42"/>
      <c r="G1484" s="42"/>
      <c r="H1484" s="42"/>
      <c r="I1484" s="42"/>
      <c r="J1484" s="42"/>
      <c r="K1484" s="42"/>
      <c r="L1484" s="46"/>
      <c r="M1484" s="46"/>
      <c r="N1484" s="46"/>
      <c r="O1484" s="61"/>
      <c r="P1484" s="62"/>
      <c r="Q1484" s="46"/>
      <c r="R1484" s="47"/>
      <c r="S1484" s="62"/>
      <c r="T1484" s="62"/>
      <c r="U1484" s="46"/>
      <c r="V1484" s="61"/>
      <c r="W1484" s="62"/>
      <c r="X1484" s="47"/>
      <c r="Y1484" s="46"/>
      <c r="Z1484" s="46"/>
      <c r="AA1484" s="46"/>
      <c r="AB1484" s="49"/>
      <c r="AC1484" s="42"/>
      <c r="AD1484" s="42"/>
      <c r="AE1484" s="50"/>
      <c r="AF1484" s="42"/>
      <c r="AG1484" s="42"/>
      <c r="AH1484" s="42"/>
      <c r="AI1484" s="42" t="str">
        <f t="array" ref="AI1484">XLOOKUP($E1484,Sheet11!$D:$D,Sheet11!$X:$X,"",0)</f>
        <v/>
      </c>
      <c r="AJ1484" s="42" t="str">
        <f t="array" ref="AJ1484">XLOOKUP($E1484,Sheet11!$D:$D,Sheet11!$Y:$Y,"",0)</f>
        <v/>
      </c>
    </row>
    <row r="1485">
      <c r="A1485" s="23"/>
      <c r="B1485" s="42"/>
      <c r="C1485" s="42"/>
      <c r="D1485" s="42"/>
      <c r="E1485" s="42"/>
      <c r="F1485" s="42"/>
      <c r="G1485" s="42"/>
      <c r="H1485" s="42"/>
      <c r="I1485" s="42"/>
      <c r="J1485" s="42"/>
      <c r="K1485" s="42"/>
      <c r="L1485" s="46"/>
      <c r="M1485" s="46"/>
      <c r="N1485" s="46"/>
      <c r="O1485" s="61"/>
      <c r="P1485" s="62"/>
      <c r="Q1485" s="46"/>
      <c r="R1485" s="47"/>
      <c r="S1485" s="62"/>
      <c r="T1485" s="62"/>
      <c r="U1485" s="46"/>
      <c r="V1485" s="61"/>
      <c r="W1485" s="62"/>
      <c r="X1485" s="47"/>
      <c r="Y1485" s="46"/>
      <c r="Z1485" s="46"/>
      <c r="AA1485" s="46"/>
      <c r="AB1485" s="49"/>
      <c r="AC1485" s="42"/>
      <c r="AD1485" s="42"/>
      <c r="AE1485" s="50"/>
      <c r="AF1485" s="42"/>
      <c r="AG1485" s="42"/>
      <c r="AH1485" s="42"/>
      <c r="AI1485" s="42" t="str">
        <f t="array" ref="AI1485">XLOOKUP($E1485,Sheet11!$D:$D,Sheet11!$X:$X,"",0)</f>
        <v/>
      </c>
      <c r="AJ1485" s="42" t="str">
        <f t="array" ref="AJ1485">XLOOKUP($E1485,Sheet11!$D:$D,Sheet11!$Y:$Y,"",0)</f>
        <v/>
      </c>
    </row>
    <row r="1486">
      <c r="A1486" s="23"/>
      <c r="B1486" s="42"/>
      <c r="C1486" s="42"/>
      <c r="D1486" s="42"/>
      <c r="E1486" s="42"/>
      <c r="F1486" s="42"/>
      <c r="G1486" s="42"/>
      <c r="H1486" s="42"/>
      <c r="I1486" s="42"/>
      <c r="J1486" s="42"/>
      <c r="K1486" s="42"/>
      <c r="L1486" s="46"/>
      <c r="M1486" s="46"/>
      <c r="N1486" s="46"/>
      <c r="O1486" s="61"/>
      <c r="P1486" s="62"/>
      <c r="Q1486" s="46"/>
      <c r="R1486" s="47"/>
      <c r="S1486" s="62"/>
      <c r="T1486" s="62"/>
      <c r="U1486" s="46"/>
      <c r="V1486" s="61"/>
      <c r="W1486" s="62"/>
      <c r="X1486" s="47"/>
      <c r="Y1486" s="46"/>
      <c r="Z1486" s="46"/>
      <c r="AA1486" s="46"/>
      <c r="AB1486" s="49"/>
      <c r="AC1486" s="42"/>
      <c r="AD1486" s="42"/>
      <c r="AE1486" s="50"/>
      <c r="AF1486" s="42"/>
      <c r="AG1486" s="42"/>
      <c r="AH1486" s="42"/>
      <c r="AI1486" s="42" t="str">
        <f t="array" ref="AI1486">XLOOKUP($E1486,Sheet11!$D:$D,Sheet11!$X:$X,"",0)</f>
        <v/>
      </c>
      <c r="AJ1486" s="42" t="str">
        <f t="array" ref="AJ1486">XLOOKUP($E1486,Sheet11!$D:$D,Sheet11!$Y:$Y,"",0)</f>
        <v/>
      </c>
    </row>
    <row r="1487">
      <c r="A1487" s="23"/>
      <c r="B1487" s="42"/>
      <c r="C1487" s="42"/>
      <c r="D1487" s="42"/>
      <c r="E1487" s="42"/>
      <c r="F1487" s="42"/>
      <c r="G1487" s="42"/>
      <c r="H1487" s="42"/>
      <c r="I1487" s="42"/>
      <c r="J1487" s="42"/>
      <c r="K1487" s="42"/>
      <c r="L1487" s="46"/>
      <c r="M1487" s="46"/>
      <c r="N1487" s="46"/>
      <c r="O1487" s="61"/>
      <c r="P1487" s="62"/>
      <c r="Q1487" s="46"/>
      <c r="R1487" s="47"/>
      <c r="S1487" s="62"/>
      <c r="T1487" s="62"/>
      <c r="U1487" s="46"/>
      <c r="V1487" s="61"/>
      <c r="W1487" s="62"/>
      <c r="X1487" s="47"/>
      <c r="Y1487" s="46"/>
      <c r="Z1487" s="46"/>
      <c r="AA1487" s="46"/>
      <c r="AB1487" s="49"/>
      <c r="AC1487" s="42"/>
      <c r="AD1487" s="42"/>
      <c r="AE1487" s="50"/>
      <c r="AF1487" s="42"/>
      <c r="AG1487" s="42"/>
      <c r="AH1487" s="42"/>
      <c r="AI1487" s="42" t="str">
        <f t="array" ref="AI1487">XLOOKUP($E1487,Sheet11!$D:$D,Sheet11!$X:$X,"",0)</f>
        <v/>
      </c>
      <c r="AJ1487" s="42" t="str">
        <f t="array" ref="AJ1487">XLOOKUP($E1487,Sheet11!$D:$D,Sheet11!$Y:$Y,"",0)</f>
        <v/>
      </c>
    </row>
    <row r="1488">
      <c r="A1488" s="23"/>
      <c r="B1488" s="42"/>
      <c r="C1488" s="42"/>
      <c r="D1488" s="42"/>
      <c r="E1488" s="42"/>
      <c r="F1488" s="42"/>
      <c r="G1488" s="42"/>
      <c r="H1488" s="42"/>
      <c r="I1488" s="42"/>
      <c r="J1488" s="42"/>
      <c r="K1488" s="42"/>
      <c r="L1488" s="46"/>
      <c r="M1488" s="46"/>
      <c r="N1488" s="46"/>
      <c r="O1488" s="61"/>
      <c r="P1488" s="62"/>
      <c r="Q1488" s="46"/>
      <c r="R1488" s="47"/>
      <c r="S1488" s="62"/>
      <c r="T1488" s="62"/>
      <c r="U1488" s="46"/>
      <c r="V1488" s="61"/>
      <c r="W1488" s="62"/>
      <c r="X1488" s="47"/>
      <c r="Y1488" s="46"/>
      <c r="Z1488" s="46"/>
      <c r="AA1488" s="46"/>
      <c r="AB1488" s="49"/>
      <c r="AC1488" s="42"/>
      <c r="AD1488" s="42"/>
      <c r="AE1488" s="50"/>
      <c r="AF1488" s="42"/>
      <c r="AG1488" s="42"/>
      <c r="AH1488" s="42"/>
      <c r="AI1488" s="42" t="str">
        <f t="array" ref="AI1488">XLOOKUP($E1488,Sheet11!$D:$D,Sheet11!$X:$X,"",0)</f>
        <v/>
      </c>
      <c r="AJ1488" s="42" t="str">
        <f t="array" ref="AJ1488">XLOOKUP($E1488,Sheet11!$D:$D,Sheet11!$Y:$Y,"",0)</f>
        <v/>
      </c>
    </row>
    <row r="1489">
      <c r="A1489" s="23"/>
      <c r="B1489" s="42"/>
      <c r="C1489" s="42"/>
      <c r="D1489" s="42"/>
      <c r="E1489" s="42"/>
      <c r="F1489" s="42"/>
      <c r="G1489" s="42"/>
      <c r="H1489" s="42"/>
      <c r="I1489" s="42"/>
      <c r="J1489" s="42"/>
      <c r="K1489" s="42"/>
      <c r="L1489" s="46"/>
      <c r="M1489" s="46"/>
      <c r="N1489" s="46"/>
      <c r="O1489" s="61"/>
      <c r="P1489" s="62"/>
      <c r="Q1489" s="46"/>
      <c r="R1489" s="47"/>
      <c r="S1489" s="62"/>
      <c r="T1489" s="62"/>
      <c r="U1489" s="46"/>
      <c r="V1489" s="61"/>
      <c r="W1489" s="62"/>
      <c r="X1489" s="47"/>
      <c r="Y1489" s="46"/>
      <c r="Z1489" s="46"/>
      <c r="AA1489" s="46"/>
      <c r="AB1489" s="49"/>
      <c r="AC1489" s="42"/>
      <c r="AD1489" s="42"/>
      <c r="AE1489" s="50"/>
      <c r="AF1489" s="42"/>
      <c r="AG1489" s="42"/>
      <c r="AH1489" s="42"/>
      <c r="AI1489" s="42" t="str">
        <f t="array" ref="AI1489">XLOOKUP($E1489,Sheet11!$D:$D,Sheet11!$X:$X,"",0)</f>
        <v/>
      </c>
      <c r="AJ1489" s="42" t="str">
        <f t="array" ref="AJ1489">XLOOKUP($E1489,Sheet11!$D:$D,Sheet11!$Y:$Y,"",0)</f>
        <v/>
      </c>
    </row>
    <row r="1490">
      <c r="A1490" s="23"/>
      <c r="B1490" s="42"/>
      <c r="C1490" s="42"/>
      <c r="D1490" s="42"/>
      <c r="E1490" s="42"/>
      <c r="F1490" s="42"/>
      <c r="G1490" s="42"/>
      <c r="H1490" s="42"/>
      <c r="I1490" s="42"/>
      <c r="J1490" s="42"/>
      <c r="K1490" s="42"/>
      <c r="L1490" s="46"/>
      <c r="M1490" s="46"/>
      <c r="N1490" s="46"/>
      <c r="O1490" s="61"/>
      <c r="P1490" s="62"/>
      <c r="Q1490" s="46"/>
      <c r="R1490" s="47"/>
      <c r="S1490" s="62"/>
      <c r="T1490" s="62"/>
      <c r="U1490" s="46"/>
      <c r="V1490" s="61"/>
      <c r="W1490" s="62"/>
      <c r="X1490" s="47"/>
      <c r="Y1490" s="46"/>
      <c r="Z1490" s="46"/>
      <c r="AA1490" s="46"/>
      <c r="AB1490" s="49"/>
      <c r="AC1490" s="42"/>
      <c r="AD1490" s="42"/>
      <c r="AE1490" s="50"/>
      <c r="AF1490" s="42"/>
      <c r="AG1490" s="42"/>
      <c r="AH1490" s="42"/>
      <c r="AI1490" s="42" t="str">
        <f t="array" ref="AI1490">XLOOKUP($E1490,Sheet11!$D:$D,Sheet11!$X:$X,"",0)</f>
        <v/>
      </c>
      <c r="AJ1490" s="42" t="str">
        <f t="array" ref="AJ1490">XLOOKUP($E1490,Sheet11!$D:$D,Sheet11!$Y:$Y,"",0)</f>
        <v/>
      </c>
    </row>
    <row r="1491">
      <c r="A1491" s="23"/>
      <c r="B1491" s="42"/>
      <c r="C1491" s="42"/>
      <c r="D1491" s="42"/>
      <c r="E1491" s="42"/>
      <c r="F1491" s="42"/>
      <c r="G1491" s="42"/>
      <c r="H1491" s="42"/>
      <c r="I1491" s="42"/>
      <c r="J1491" s="42"/>
      <c r="K1491" s="42"/>
      <c r="L1491" s="46"/>
      <c r="M1491" s="46"/>
      <c r="N1491" s="46"/>
      <c r="O1491" s="61"/>
      <c r="P1491" s="62"/>
      <c r="Q1491" s="46"/>
      <c r="R1491" s="47"/>
      <c r="S1491" s="62"/>
      <c r="T1491" s="62"/>
      <c r="U1491" s="46"/>
      <c r="V1491" s="61"/>
      <c r="W1491" s="62"/>
      <c r="X1491" s="47"/>
      <c r="Y1491" s="46"/>
      <c r="Z1491" s="46"/>
      <c r="AA1491" s="46"/>
      <c r="AB1491" s="49"/>
      <c r="AC1491" s="42"/>
      <c r="AD1491" s="42"/>
      <c r="AE1491" s="50"/>
      <c r="AF1491" s="42"/>
      <c r="AG1491" s="42"/>
      <c r="AH1491" s="42"/>
      <c r="AI1491" s="42" t="str">
        <f t="array" ref="AI1491">XLOOKUP($E1491,Sheet11!$D:$D,Sheet11!$X:$X,"",0)</f>
        <v/>
      </c>
      <c r="AJ1491" s="42" t="str">
        <f t="array" ref="AJ1491">XLOOKUP($E1491,Sheet11!$D:$D,Sheet11!$Y:$Y,"",0)</f>
        <v/>
      </c>
    </row>
    <row r="1492">
      <c r="A1492" s="23"/>
      <c r="B1492" s="42"/>
      <c r="C1492" s="42"/>
      <c r="D1492" s="42"/>
      <c r="E1492" s="42"/>
      <c r="F1492" s="42"/>
      <c r="G1492" s="42"/>
      <c r="H1492" s="42"/>
      <c r="I1492" s="42"/>
      <c r="J1492" s="42"/>
      <c r="K1492" s="42"/>
      <c r="L1492" s="46"/>
      <c r="M1492" s="46"/>
      <c r="N1492" s="46"/>
      <c r="O1492" s="61"/>
      <c r="P1492" s="62"/>
      <c r="Q1492" s="46"/>
      <c r="R1492" s="47"/>
      <c r="S1492" s="62"/>
      <c r="T1492" s="62"/>
      <c r="U1492" s="46"/>
      <c r="V1492" s="61"/>
      <c r="W1492" s="62"/>
      <c r="X1492" s="47"/>
      <c r="Y1492" s="46"/>
      <c r="Z1492" s="46"/>
      <c r="AA1492" s="46"/>
      <c r="AB1492" s="49"/>
      <c r="AC1492" s="42"/>
      <c r="AD1492" s="42"/>
      <c r="AE1492" s="50"/>
      <c r="AF1492" s="42"/>
      <c r="AG1492" s="42"/>
      <c r="AH1492" s="42"/>
      <c r="AI1492" s="42" t="str">
        <f t="array" ref="AI1492">XLOOKUP($E1492,Sheet11!$D:$D,Sheet11!$X:$X,"",0)</f>
        <v/>
      </c>
      <c r="AJ1492" s="42" t="str">
        <f t="array" ref="AJ1492">XLOOKUP($E1492,Sheet11!$D:$D,Sheet11!$Y:$Y,"",0)</f>
        <v/>
      </c>
    </row>
    <row r="1493">
      <c r="A1493" s="23"/>
      <c r="B1493" s="42"/>
      <c r="C1493" s="42"/>
      <c r="D1493" s="42"/>
      <c r="E1493" s="42"/>
      <c r="F1493" s="42"/>
      <c r="G1493" s="42"/>
      <c r="H1493" s="42"/>
      <c r="I1493" s="42"/>
      <c r="J1493" s="42"/>
      <c r="K1493" s="42"/>
      <c r="L1493" s="46"/>
      <c r="M1493" s="46"/>
      <c r="N1493" s="46"/>
      <c r="O1493" s="61"/>
      <c r="P1493" s="62"/>
      <c r="Q1493" s="46"/>
      <c r="R1493" s="47"/>
      <c r="S1493" s="62"/>
      <c r="T1493" s="62"/>
      <c r="U1493" s="46"/>
      <c r="V1493" s="61"/>
      <c r="W1493" s="62"/>
      <c r="X1493" s="47"/>
      <c r="Y1493" s="46"/>
      <c r="Z1493" s="46"/>
      <c r="AA1493" s="46"/>
      <c r="AB1493" s="49"/>
      <c r="AC1493" s="42"/>
      <c r="AD1493" s="42"/>
      <c r="AE1493" s="50"/>
      <c r="AF1493" s="42"/>
      <c r="AG1493" s="42"/>
      <c r="AH1493" s="42"/>
      <c r="AI1493" s="42" t="str">
        <f t="array" ref="AI1493">XLOOKUP($E1493,Sheet11!$D:$D,Sheet11!$X:$X,"",0)</f>
        <v/>
      </c>
      <c r="AJ1493" s="42" t="str">
        <f t="array" ref="AJ1493">XLOOKUP($E1493,Sheet11!$D:$D,Sheet11!$Y:$Y,"",0)</f>
        <v/>
      </c>
    </row>
    <row r="1494">
      <c r="A1494" s="23"/>
      <c r="B1494" s="42"/>
      <c r="C1494" s="42"/>
      <c r="D1494" s="42"/>
      <c r="E1494" s="42"/>
      <c r="F1494" s="42"/>
      <c r="G1494" s="42"/>
      <c r="H1494" s="42"/>
      <c r="I1494" s="42"/>
      <c r="J1494" s="42"/>
      <c r="K1494" s="42"/>
      <c r="L1494" s="46"/>
      <c r="M1494" s="46"/>
      <c r="N1494" s="46"/>
      <c r="O1494" s="61"/>
      <c r="P1494" s="62"/>
      <c r="Q1494" s="46"/>
      <c r="R1494" s="47"/>
      <c r="S1494" s="62"/>
      <c r="T1494" s="62"/>
      <c r="U1494" s="46"/>
      <c r="V1494" s="61"/>
      <c r="W1494" s="62"/>
      <c r="X1494" s="47"/>
      <c r="Y1494" s="46"/>
      <c r="Z1494" s="46"/>
      <c r="AA1494" s="46"/>
      <c r="AB1494" s="49"/>
      <c r="AC1494" s="42"/>
      <c r="AD1494" s="42"/>
      <c r="AE1494" s="50"/>
      <c r="AF1494" s="42"/>
      <c r="AG1494" s="42"/>
      <c r="AH1494" s="42"/>
      <c r="AI1494" s="42" t="str">
        <f t="array" ref="AI1494">XLOOKUP($E1494,Sheet11!$D:$D,Sheet11!$X:$X,"",0)</f>
        <v/>
      </c>
      <c r="AJ1494" s="42" t="str">
        <f t="array" ref="AJ1494">XLOOKUP($E1494,Sheet11!$D:$D,Sheet11!$Y:$Y,"",0)</f>
        <v/>
      </c>
    </row>
    <row r="1495">
      <c r="A1495" s="23"/>
      <c r="B1495" s="42"/>
      <c r="C1495" s="42"/>
      <c r="D1495" s="42"/>
      <c r="E1495" s="42"/>
      <c r="F1495" s="42"/>
      <c r="G1495" s="42"/>
      <c r="H1495" s="42"/>
      <c r="I1495" s="42"/>
      <c r="J1495" s="42"/>
      <c r="K1495" s="42"/>
      <c r="L1495" s="46"/>
      <c r="M1495" s="46"/>
      <c r="N1495" s="46"/>
      <c r="O1495" s="61"/>
      <c r="P1495" s="62"/>
      <c r="Q1495" s="46"/>
      <c r="R1495" s="47"/>
      <c r="S1495" s="62"/>
      <c r="T1495" s="62"/>
      <c r="U1495" s="46"/>
      <c r="V1495" s="61"/>
      <c r="W1495" s="62"/>
      <c r="X1495" s="47"/>
      <c r="Y1495" s="46"/>
      <c r="Z1495" s="46"/>
      <c r="AA1495" s="46"/>
      <c r="AB1495" s="49"/>
      <c r="AC1495" s="42"/>
      <c r="AD1495" s="42"/>
      <c r="AE1495" s="50"/>
      <c r="AF1495" s="42"/>
      <c r="AG1495" s="42"/>
      <c r="AH1495" s="42"/>
      <c r="AI1495" s="42" t="str">
        <f t="array" ref="AI1495">XLOOKUP($E1495,Sheet11!$D:$D,Sheet11!$X:$X,"",0)</f>
        <v/>
      </c>
      <c r="AJ1495" s="42" t="str">
        <f t="array" ref="AJ1495">XLOOKUP($E1495,Sheet11!$D:$D,Sheet11!$Y:$Y,"",0)</f>
        <v/>
      </c>
    </row>
    <row r="1496">
      <c r="A1496" s="23"/>
      <c r="B1496" s="42"/>
      <c r="C1496" s="42"/>
      <c r="D1496" s="42"/>
      <c r="E1496" s="42"/>
      <c r="F1496" s="42"/>
      <c r="G1496" s="42"/>
      <c r="H1496" s="42"/>
      <c r="I1496" s="42"/>
      <c r="J1496" s="42"/>
      <c r="K1496" s="42"/>
      <c r="L1496" s="46"/>
      <c r="M1496" s="46"/>
      <c r="N1496" s="46"/>
      <c r="O1496" s="61"/>
      <c r="P1496" s="62"/>
      <c r="Q1496" s="46"/>
      <c r="R1496" s="47"/>
      <c r="S1496" s="62"/>
      <c r="T1496" s="62"/>
      <c r="U1496" s="46"/>
      <c r="V1496" s="61"/>
      <c r="W1496" s="62"/>
      <c r="X1496" s="47"/>
      <c r="Y1496" s="46"/>
      <c r="Z1496" s="46"/>
      <c r="AA1496" s="46"/>
      <c r="AB1496" s="49"/>
      <c r="AC1496" s="42"/>
      <c r="AD1496" s="42"/>
      <c r="AE1496" s="50"/>
      <c r="AF1496" s="42"/>
      <c r="AG1496" s="42"/>
      <c r="AH1496" s="42"/>
      <c r="AI1496" s="42" t="str">
        <f t="array" ref="AI1496">XLOOKUP($E1496,Sheet11!$D:$D,Sheet11!$X:$X,"",0)</f>
        <v/>
      </c>
      <c r="AJ1496" s="42" t="str">
        <f t="array" ref="AJ1496">XLOOKUP($E1496,Sheet11!$D:$D,Sheet11!$Y:$Y,"",0)</f>
        <v/>
      </c>
    </row>
    <row r="1497">
      <c r="A1497" s="23"/>
      <c r="B1497" s="42"/>
      <c r="C1497" s="42"/>
      <c r="D1497" s="42"/>
      <c r="E1497" s="42"/>
      <c r="F1497" s="42"/>
      <c r="G1497" s="42"/>
      <c r="H1497" s="42"/>
      <c r="I1497" s="42"/>
      <c r="J1497" s="42"/>
      <c r="K1497" s="42"/>
      <c r="L1497" s="46"/>
      <c r="M1497" s="46"/>
      <c r="N1497" s="46"/>
      <c r="O1497" s="61"/>
      <c r="P1497" s="62"/>
      <c r="Q1497" s="46"/>
      <c r="R1497" s="47"/>
      <c r="S1497" s="62"/>
      <c r="T1497" s="62"/>
      <c r="U1497" s="46"/>
      <c r="V1497" s="61"/>
      <c r="W1497" s="62"/>
      <c r="X1497" s="47"/>
      <c r="Y1497" s="46"/>
      <c r="Z1497" s="46"/>
      <c r="AA1497" s="46"/>
      <c r="AB1497" s="49"/>
      <c r="AC1497" s="42"/>
      <c r="AD1497" s="42"/>
      <c r="AE1497" s="50"/>
      <c r="AF1497" s="42"/>
      <c r="AG1497" s="42"/>
      <c r="AH1497" s="42"/>
      <c r="AI1497" s="42" t="str">
        <f t="array" ref="AI1497">XLOOKUP($E1497,Sheet11!$D:$D,Sheet11!$X:$X,"",0)</f>
        <v/>
      </c>
      <c r="AJ1497" s="42" t="str">
        <f t="array" ref="AJ1497">XLOOKUP($E1497,Sheet11!$D:$D,Sheet11!$Y:$Y,"",0)</f>
        <v/>
      </c>
    </row>
    <row r="1498">
      <c r="A1498" s="23"/>
      <c r="B1498" s="42"/>
      <c r="C1498" s="42"/>
      <c r="D1498" s="42"/>
      <c r="E1498" s="42"/>
      <c r="F1498" s="42"/>
      <c r="G1498" s="42"/>
      <c r="H1498" s="42"/>
      <c r="I1498" s="42"/>
      <c r="J1498" s="42"/>
      <c r="K1498" s="42"/>
      <c r="L1498" s="46"/>
      <c r="M1498" s="46"/>
      <c r="N1498" s="46"/>
      <c r="O1498" s="61"/>
      <c r="P1498" s="62"/>
      <c r="Q1498" s="46"/>
      <c r="R1498" s="47"/>
      <c r="S1498" s="62"/>
      <c r="T1498" s="62"/>
      <c r="U1498" s="46"/>
      <c r="V1498" s="61"/>
      <c r="W1498" s="62"/>
      <c r="X1498" s="47"/>
      <c r="Y1498" s="46"/>
      <c r="Z1498" s="46"/>
      <c r="AA1498" s="46"/>
      <c r="AB1498" s="49"/>
      <c r="AC1498" s="42"/>
      <c r="AD1498" s="42"/>
      <c r="AE1498" s="50"/>
      <c r="AF1498" s="42"/>
      <c r="AG1498" s="42"/>
      <c r="AH1498" s="42"/>
      <c r="AI1498" s="42" t="str">
        <f t="array" ref="AI1498">XLOOKUP($E1498,Sheet11!$D:$D,Sheet11!$X:$X,"",0)</f>
        <v/>
      </c>
      <c r="AJ1498" s="42" t="str">
        <f t="array" ref="AJ1498">XLOOKUP($E1498,Sheet11!$D:$D,Sheet11!$Y:$Y,"",0)</f>
        <v/>
      </c>
    </row>
    <row r="1499">
      <c r="A1499" s="23"/>
      <c r="B1499" s="42"/>
      <c r="C1499" s="42"/>
      <c r="D1499" s="42"/>
      <c r="E1499" s="42"/>
      <c r="F1499" s="42"/>
      <c r="G1499" s="42"/>
      <c r="H1499" s="42"/>
      <c r="I1499" s="42"/>
      <c r="J1499" s="42"/>
      <c r="K1499" s="42"/>
      <c r="L1499" s="46"/>
      <c r="M1499" s="46"/>
      <c r="N1499" s="46"/>
      <c r="O1499" s="61"/>
      <c r="P1499" s="62"/>
      <c r="Q1499" s="46"/>
      <c r="R1499" s="47"/>
      <c r="S1499" s="62"/>
      <c r="T1499" s="62"/>
      <c r="U1499" s="46"/>
      <c r="V1499" s="61"/>
      <c r="W1499" s="62"/>
      <c r="X1499" s="47"/>
      <c r="Y1499" s="46"/>
      <c r="Z1499" s="46"/>
      <c r="AA1499" s="46"/>
      <c r="AB1499" s="49"/>
      <c r="AC1499" s="42"/>
      <c r="AD1499" s="42"/>
      <c r="AE1499" s="50"/>
      <c r="AF1499" s="42"/>
      <c r="AG1499" s="42"/>
      <c r="AH1499" s="42"/>
      <c r="AI1499" s="42" t="str">
        <f t="array" ref="AI1499">XLOOKUP($E1499,Sheet11!$D:$D,Sheet11!$X:$X,"",0)</f>
        <v/>
      </c>
      <c r="AJ1499" s="42" t="str">
        <f t="array" ref="AJ1499">XLOOKUP($E1499,Sheet11!$D:$D,Sheet11!$Y:$Y,"",0)</f>
        <v/>
      </c>
    </row>
    <row r="1500">
      <c r="A1500" s="23"/>
      <c r="B1500" s="42"/>
      <c r="C1500" s="42"/>
      <c r="D1500" s="42"/>
      <c r="E1500" s="42"/>
      <c r="F1500" s="42"/>
      <c r="G1500" s="42"/>
      <c r="H1500" s="42"/>
      <c r="I1500" s="42"/>
      <c r="J1500" s="42"/>
      <c r="K1500" s="42"/>
      <c r="L1500" s="46"/>
      <c r="M1500" s="46"/>
      <c r="N1500" s="46"/>
      <c r="O1500" s="61"/>
      <c r="P1500" s="62"/>
      <c r="Q1500" s="46"/>
      <c r="R1500" s="47"/>
      <c r="S1500" s="62"/>
      <c r="T1500" s="62"/>
      <c r="U1500" s="46"/>
      <c r="V1500" s="61"/>
      <c r="W1500" s="62"/>
      <c r="X1500" s="47"/>
      <c r="Y1500" s="46"/>
      <c r="Z1500" s="46"/>
      <c r="AA1500" s="46"/>
      <c r="AB1500" s="49"/>
      <c r="AC1500" s="42"/>
      <c r="AD1500" s="42"/>
      <c r="AE1500" s="50"/>
      <c r="AF1500" s="42"/>
      <c r="AG1500" s="42"/>
      <c r="AH1500" s="42"/>
      <c r="AI1500" s="42" t="str">
        <f t="array" ref="AI1500">XLOOKUP($E1500,Sheet11!$D:$D,Sheet11!$X:$X,"",0)</f>
        <v/>
      </c>
      <c r="AJ1500" s="42" t="str">
        <f t="array" ref="AJ1500">XLOOKUP($E1500,Sheet11!$D:$D,Sheet11!$Y:$Y,"",0)</f>
        <v/>
      </c>
    </row>
    <row r="1501">
      <c r="A1501" s="23"/>
      <c r="B1501" s="42"/>
      <c r="C1501" s="42"/>
      <c r="D1501" s="42"/>
      <c r="E1501" s="42"/>
      <c r="F1501" s="42"/>
      <c r="G1501" s="42"/>
      <c r="H1501" s="42"/>
      <c r="I1501" s="42"/>
      <c r="J1501" s="42"/>
      <c r="K1501" s="42"/>
      <c r="L1501" s="46"/>
      <c r="M1501" s="46"/>
      <c r="N1501" s="46"/>
      <c r="O1501" s="61"/>
      <c r="P1501" s="62"/>
      <c r="Q1501" s="46"/>
      <c r="R1501" s="47"/>
      <c r="S1501" s="62"/>
      <c r="T1501" s="62"/>
      <c r="U1501" s="46"/>
      <c r="V1501" s="61"/>
      <c r="W1501" s="62"/>
      <c r="X1501" s="47"/>
      <c r="Y1501" s="46"/>
      <c r="Z1501" s="46"/>
      <c r="AA1501" s="46"/>
      <c r="AB1501" s="49"/>
      <c r="AC1501" s="42"/>
      <c r="AD1501" s="42"/>
      <c r="AE1501" s="50"/>
      <c r="AF1501" s="42"/>
      <c r="AG1501" s="42"/>
      <c r="AH1501" s="42"/>
      <c r="AI1501" s="42" t="str">
        <f t="array" ref="AI1501">XLOOKUP($E1501,Sheet11!$D:$D,Sheet11!$X:$X,"",0)</f>
        <v/>
      </c>
      <c r="AJ1501" s="42" t="str">
        <f t="array" ref="AJ1501">XLOOKUP($E1501,Sheet11!$D:$D,Sheet11!$Y:$Y,"",0)</f>
        <v/>
      </c>
    </row>
    <row r="1502">
      <c r="A1502" s="23"/>
      <c r="B1502" s="42"/>
      <c r="C1502" s="42"/>
      <c r="D1502" s="42"/>
      <c r="E1502" s="42"/>
      <c r="F1502" s="42"/>
      <c r="G1502" s="42"/>
      <c r="H1502" s="42"/>
      <c r="I1502" s="42"/>
      <c r="J1502" s="42"/>
      <c r="K1502" s="42"/>
      <c r="L1502" s="46"/>
      <c r="M1502" s="46"/>
      <c r="N1502" s="46"/>
      <c r="O1502" s="61"/>
      <c r="P1502" s="62"/>
      <c r="Q1502" s="46"/>
      <c r="R1502" s="47"/>
      <c r="S1502" s="62"/>
      <c r="T1502" s="62"/>
      <c r="U1502" s="46"/>
      <c r="V1502" s="61"/>
      <c r="W1502" s="62"/>
      <c r="X1502" s="47"/>
      <c r="Y1502" s="46"/>
      <c r="Z1502" s="46"/>
      <c r="AA1502" s="46"/>
      <c r="AB1502" s="49"/>
      <c r="AC1502" s="42"/>
      <c r="AD1502" s="42"/>
      <c r="AE1502" s="50"/>
      <c r="AF1502" s="42"/>
      <c r="AG1502" s="42"/>
      <c r="AH1502" s="42"/>
      <c r="AI1502" s="42" t="str">
        <f t="array" ref="AI1502">XLOOKUP($E1502,Sheet11!$D:$D,Sheet11!$X:$X,"",0)</f>
        <v/>
      </c>
      <c r="AJ1502" s="42" t="str">
        <f t="array" ref="AJ1502">XLOOKUP($E1502,Sheet11!$D:$D,Sheet11!$Y:$Y,"",0)</f>
        <v/>
      </c>
    </row>
    <row r="1503">
      <c r="A1503" s="23"/>
      <c r="B1503" s="42"/>
      <c r="C1503" s="42"/>
      <c r="D1503" s="42"/>
      <c r="E1503" s="42"/>
      <c r="F1503" s="42"/>
      <c r="G1503" s="42"/>
      <c r="H1503" s="42"/>
      <c r="I1503" s="42"/>
      <c r="J1503" s="42"/>
      <c r="K1503" s="42"/>
      <c r="L1503" s="46"/>
      <c r="M1503" s="46"/>
      <c r="N1503" s="46"/>
      <c r="O1503" s="61"/>
      <c r="P1503" s="62"/>
      <c r="Q1503" s="46"/>
      <c r="R1503" s="47"/>
      <c r="S1503" s="62"/>
      <c r="T1503" s="62"/>
      <c r="U1503" s="46"/>
      <c r="V1503" s="61"/>
      <c r="W1503" s="62"/>
      <c r="X1503" s="47"/>
      <c r="Y1503" s="46"/>
      <c r="Z1503" s="46"/>
      <c r="AA1503" s="46"/>
      <c r="AB1503" s="49"/>
      <c r="AC1503" s="42"/>
      <c r="AD1503" s="42"/>
      <c r="AE1503" s="50"/>
      <c r="AF1503" s="42"/>
      <c r="AG1503" s="42"/>
      <c r="AH1503" s="42"/>
      <c r="AI1503" s="42" t="str">
        <f t="array" ref="AI1503">XLOOKUP($E1503,Sheet11!$D:$D,Sheet11!$X:$X,"",0)</f>
        <v/>
      </c>
      <c r="AJ1503" s="42" t="str">
        <f t="array" ref="AJ1503">XLOOKUP($E1503,Sheet11!$D:$D,Sheet11!$Y:$Y,"",0)</f>
        <v/>
      </c>
    </row>
    <row r="1504">
      <c r="A1504" s="23"/>
      <c r="B1504" s="42"/>
      <c r="C1504" s="42"/>
      <c r="D1504" s="42"/>
      <c r="E1504" s="42"/>
      <c r="F1504" s="42"/>
      <c r="G1504" s="42"/>
      <c r="H1504" s="42"/>
      <c r="I1504" s="42"/>
      <c r="J1504" s="42"/>
      <c r="K1504" s="42"/>
      <c r="L1504" s="46"/>
      <c r="M1504" s="46"/>
      <c r="N1504" s="46"/>
      <c r="O1504" s="61"/>
      <c r="P1504" s="62"/>
      <c r="Q1504" s="46"/>
      <c r="R1504" s="47"/>
      <c r="S1504" s="62"/>
      <c r="T1504" s="62"/>
      <c r="U1504" s="46"/>
      <c r="V1504" s="61"/>
      <c r="W1504" s="62"/>
      <c r="X1504" s="47"/>
      <c r="Y1504" s="46"/>
      <c r="Z1504" s="46"/>
      <c r="AA1504" s="46"/>
      <c r="AB1504" s="49"/>
      <c r="AC1504" s="42"/>
      <c r="AD1504" s="42"/>
      <c r="AE1504" s="50"/>
      <c r="AF1504" s="42"/>
      <c r="AG1504" s="42"/>
      <c r="AH1504" s="42"/>
      <c r="AI1504" s="42" t="str">
        <f t="array" ref="AI1504">XLOOKUP($E1504,Sheet11!$D:$D,Sheet11!$X:$X,"",0)</f>
        <v/>
      </c>
      <c r="AJ1504" s="42" t="str">
        <f t="array" ref="AJ1504">XLOOKUP($E1504,Sheet11!$D:$D,Sheet11!$Y:$Y,"",0)</f>
        <v/>
      </c>
    </row>
    <row r="1505">
      <c r="A1505" s="23"/>
      <c r="B1505" s="42"/>
      <c r="C1505" s="42"/>
      <c r="D1505" s="42"/>
      <c r="E1505" s="42"/>
      <c r="F1505" s="42"/>
      <c r="G1505" s="42"/>
      <c r="H1505" s="42"/>
      <c r="I1505" s="42"/>
      <c r="J1505" s="42"/>
      <c r="K1505" s="42"/>
      <c r="L1505" s="46"/>
      <c r="M1505" s="46"/>
      <c r="N1505" s="46"/>
      <c r="O1505" s="61"/>
      <c r="P1505" s="62"/>
      <c r="Q1505" s="46"/>
      <c r="R1505" s="47"/>
      <c r="S1505" s="62"/>
      <c r="T1505" s="62"/>
      <c r="U1505" s="46"/>
      <c r="V1505" s="61"/>
      <c r="W1505" s="62"/>
      <c r="X1505" s="47"/>
      <c r="Y1505" s="46"/>
      <c r="Z1505" s="46"/>
      <c r="AA1505" s="46"/>
      <c r="AB1505" s="49"/>
      <c r="AC1505" s="42"/>
      <c r="AD1505" s="42"/>
      <c r="AE1505" s="50"/>
      <c r="AF1505" s="42"/>
      <c r="AG1505" s="42"/>
      <c r="AH1505" s="42"/>
      <c r="AI1505" s="42" t="str">
        <f t="array" ref="AI1505">XLOOKUP($E1505,Sheet11!$D:$D,Sheet11!$X:$X,"",0)</f>
        <v/>
      </c>
      <c r="AJ1505" s="42" t="str">
        <f t="array" ref="AJ1505">XLOOKUP($E1505,Sheet11!$D:$D,Sheet11!$Y:$Y,"",0)</f>
        <v/>
      </c>
    </row>
    <row r="1506">
      <c r="A1506" s="23"/>
      <c r="B1506" s="42"/>
      <c r="C1506" s="42"/>
      <c r="D1506" s="42"/>
      <c r="E1506" s="42"/>
      <c r="F1506" s="42"/>
      <c r="G1506" s="42"/>
      <c r="H1506" s="42"/>
      <c r="I1506" s="42"/>
      <c r="J1506" s="42"/>
      <c r="K1506" s="42"/>
      <c r="L1506" s="46"/>
      <c r="M1506" s="46"/>
      <c r="N1506" s="46"/>
      <c r="O1506" s="61"/>
      <c r="P1506" s="62"/>
      <c r="Q1506" s="46"/>
      <c r="R1506" s="47"/>
      <c r="S1506" s="62"/>
      <c r="T1506" s="62"/>
      <c r="U1506" s="46"/>
      <c r="V1506" s="61"/>
      <c r="W1506" s="62"/>
      <c r="X1506" s="47"/>
      <c r="Y1506" s="46"/>
      <c r="Z1506" s="46"/>
      <c r="AA1506" s="46"/>
      <c r="AB1506" s="49"/>
      <c r="AC1506" s="42"/>
      <c r="AD1506" s="42"/>
      <c r="AE1506" s="50"/>
      <c r="AF1506" s="42"/>
      <c r="AG1506" s="42"/>
      <c r="AH1506" s="42"/>
      <c r="AI1506" s="42" t="str">
        <f t="array" ref="AI1506">XLOOKUP($E1506,Sheet11!$D:$D,Sheet11!$X:$X,"",0)</f>
        <v/>
      </c>
      <c r="AJ1506" s="42" t="str">
        <f t="array" ref="AJ1506">XLOOKUP($E1506,Sheet11!$D:$D,Sheet11!$Y:$Y,"",0)</f>
        <v/>
      </c>
    </row>
    <row r="1507">
      <c r="A1507" s="23"/>
      <c r="B1507" s="42"/>
      <c r="C1507" s="42"/>
      <c r="D1507" s="42"/>
      <c r="E1507" s="42"/>
      <c r="F1507" s="42"/>
      <c r="G1507" s="42"/>
      <c r="H1507" s="42"/>
      <c r="I1507" s="42"/>
      <c r="J1507" s="42"/>
      <c r="K1507" s="42"/>
      <c r="L1507" s="46"/>
      <c r="M1507" s="46"/>
      <c r="N1507" s="46"/>
      <c r="O1507" s="61"/>
      <c r="P1507" s="62"/>
      <c r="Q1507" s="46"/>
      <c r="R1507" s="47"/>
      <c r="S1507" s="62"/>
      <c r="T1507" s="62"/>
      <c r="U1507" s="46"/>
      <c r="V1507" s="61"/>
      <c r="W1507" s="62"/>
      <c r="X1507" s="47"/>
      <c r="Y1507" s="46"/>
      <c r="Z1507" s="46"/>
      <c r="AA1507" s="46"/>
      <c r="AB1507" s="49"/>
      <c r="AC1507" s="42"/>
      <c r="AD1507" s="42"/>
      <c r="AE1507" s="50"/>
      <c r="AF1507" s="42"/>
      <c r="AG1507" s="42"/>
      <c r="AH1507" s="42"/>
      <c r="AI1507" s="42" t="str">
        <f t="array" ref="AI1507">XLOOKUP($E1507,Sheet11!$D:$D,Sheet11!$X:$X,"",0)</f>
        <v/>
      </c>
      <c r="AJ1507" s="42" t="str">
        <f t="array" ref="AJ1507">XLOOKUP($E1507,Sheet11!$D:$D,Sheet11!$Y:$Y,"",0)</f>
        <v/>
      </c>
    </row>
    <row r="1508">
      <c r="A1508" s="23"/>
      <c r="B1508" s="42"/>
      <c r="C1508" s="42"/>
      <c r="D1508" s="42"/>
      <c r="E1508" s="42"/>
      <c r="F1508" s="42"/>
      <c r="G1508" s="42"/>
      <c r="H1508" s="42"/>
      <c r="I1508" s="42"/>
      <c r="J1508" s="42"/>
      <c r="K1508" s="42"/>
      <c r="L1508" s="46"/>
      <c r="M1508" s="46"/>
      <c r="N1508" s="46"/>
      <c r="O1508" s="61"/>
      <c r="P1508" s="62"/>
      <c r="Q1508" s="46"/>
      <c r="R1508" s="47"/>
      <c r="S1508" s="62"/>
      <c r="T1508" s="62"/>
      <c r="U1508" s="46"/>
      <c r="V1508" s="61"/>
      <c r="W1508" s="62"/>
      <c r="X1508" s="47"/>
      <c r="Y1508" s="46"/>
      <c r="Z1508" s="46"/>
      <c r="AA1508" s="46"/>
      <c r="AB1508" s="49"/>
      <c r="AC1508" s="42"/>
      <c r="AD1508" s="42"/>
      <c r="AE1508" s="50"/>
      <c r="AF1508" s="42"/>
      <c r="AG1508" s="42"/>
      <c r="AH1508" s="42"/>
      <c r="AI1508" s="42" t="str">
        <f t="array" ref="AI1508">XLOOKUP($E1508,Sheet11!$D:$D,Sheet11!$X:$X,"",0)</f>
        <v/>
      </c>
      <c r="AJ1508" s="42" t="str">
        <f t="array" ref="AJ1508">XLOOKUP($E1508,Sheet11!$D:$D,Sheet11!$Y:$Y,"",0)</f>
        <v/>
      </c>
    </row>
    <row r="1509">
      <c r="A1509" s="23"/>
      <c r="B1509" s="42"/>
      <c r="C1509" s="42"/>
      <c r="D1509" s="42"/>
      <c r="E1509" s="42"/>
      <c r="F1509" s="42"/>
      <c r="G1509" s="42"/>
      <c r="H1509" s="42"/>
      <c r="I1509" s="42"/>
      <c r="J1509" s="42"/>
      <c r="K1509" s="42"/>
      <c r="L1509" s="46"/>
      <c r="M1509" s="46"/>
      <c r="N1509" s="46"/>
      <c r="O1509" s="61"/>
      <c r="P1509" s="62"/>
      <c r="Q1509" s="46"/>
      <c r="R1509" s="47"/>
      <c r="S1509" s="62"/>
      <c r="T1509" s="62"/>
      <c r="U1509" s="46"/>
      <c r="V1509" s="61"/>
      <c r="W1509" s="62"/>
      <c r="X1509" s="47"/>
      <c r="Y1509" s="46"/>
      <c r="Z1509" s="46"/>
      <c r="AA1509" s="46"/>
      <c r="AB1509" s="49"/>
      <c r="AC1509" s="42"/>
      <c r="AD1509" s="42"/>
      <c r="AE1509" s="50"/>
      <c r="AF1509" s="42"/>
      <c r="AG1509" s="42"/>
      <c r="AH1509" s="42"/>
      <c r="AI1509" s="42" t="str">
        <f t="array" ref="AI1509">XLOOKUP($E1509,Sheet11!$D:$D,Sheet11!$X:$X,"",0)</f>
        <v/>
      </c>
      <c r="AJ1509" s="42" t="str">
        <f t="array" ref="AJ1509">XLOOKUP($E1509,Sheet11!$D:$D,Sheet11!$Y:$Y,"",0)</f>
        <v/>
      </c>
    </row>
    <row r="1510">
      <c r="A1510" s="23"/>
      <c r="B1510" s="42"/>
      <c r="C1510" s="42"/>
      <c r="D1510" s="42"/>
      <c r="E1510" s="42"/>
      <c r="F1510" s="42"/>
      <c r="G1510" s="42"/>
      <c r="H1510" s="42"/>
      <c r="I1510" s="42"/>
      <c r="J1510" s="42"/>
      <c r="K1510" s="42"/>
      <c r="L1510" s="46"/>
      <c r="M1510" s="46"/>
      <c r="N1510" s="46"/>
      <c r="O1510" s="61"/>
      <c r="P1510" s="62"/>
      <c r="Q1510" s="46"/>
      <c r="R1510" s="47"/>
      <c r="S1510" s="62"/>
      <c r="T1510" s="62"/>
      <c r="U1510" s="46"/>
      <c r="V1510" s="61"/>
      <c r="W1510" s="62"/>
      <c r="X1510" s="47"/>
      <c r="Y1510" s="46"/>
      <c r="Z1510" s="46"/>
      <c r="AA1510" s="46"/>
      <c r="AB1510" s="49"/>
      <c r="AC1510" s="42"/>
      <c r="AD1510" s="42"/>
      <c r="AE1510" s="50"/>
      <c r="AF1510" s="42"/>
      <c r="AG1510" s="42"/>
      <c r="AH1510" s="42"/>
      <c r="AI1510" s="42" t="str">
        <f t="array" ref="AI1510">XLOOKUP($E1510,Sheet11!$D:$D,Sheet11!$X:$X,"",0)</f>
        <v/>
      </c>
      <c r="AJ1510" s="42" t="str">
        <f t="array" ref="AJ1510">XLOOKUP($E1510,Sheet11!$D:$D,Sheet11!$Y:$Y,"",0)</f>
        <v/>
      </c>
    </row>
    <row r="1511">
      <c r="A1511" s="23"/>
      <c r="B1511" s="42"/>
      <c r="C1511" s="42"/>
      <c r="D1511" s="42"/>
      <c r="E1511" s="42"/>
      <c r="F1511" s="42"/>
      <c r="G1511" s="42"/>
      <c r="H1511" s="42"/>
      <c r="I1511" s="42"/>
      <c r="J1511" s="42"/>
      <c r="K1511" s="42"/>
      <c r="L1511" s="46"/>
      <c r="M1511" s="46"/>
      <c r="N1511" s="46"/>
      <c r="O1511" s="61"/>
      <c r="P1511" s="62"/>
      <c r="Q1511" s="46"/>
      <c r="R1511" s="47"/>
      <c r="S1511" s="62"/>
      <c r="T1511" s="62"/>
      <c r="U1511" s="46"/>
      <c r="V1511" s="61"/>
      <c r="W1511" s="62"/>
      <c r="X1511" s="47"/>
      <c r="Y1511" s="46"/>
      <c r="Z1511" s="46"/>
      <c r="AA1511" s="46"/>
      <c r="AB1511" s="49"/>
      <c r="AC1511" s="42"/>
      <c r="AD1511" s="42"/>
      <c r="AE1511" s="50"/>
      <c r="AF1511" s="42"/>
      <c r="AG1511" s="42"/>
      <c r="AH1511" s="42"/>
      <c r="AI1511" s="42" t="str">
        <f t="array" ref="AI1511">XLOOKUP($E1511,Sheet11!$D:$D,Sheet11!$X:$X,"",0)</f>
        <v/>
      </c>
      <c r="AJ1511" s="42" t="str">
        <f t="array" ref="AJ1511">XLOOKUP($E1511,Sheet11!$D:$D,Sheet11!$Y:$Y,"",0)</f>
        <v/>
      </c>
    </row>
    <row r="1512">
      <c r="A1512" s="23"/>
      <c r="B1512" s="42"/>
      <c r="C1512" s="42"/>
      <c r="D1512" s="42"/>
      <c r="E1512" s="42"/>
      <c r="F1512" s="42"/>
      <c r="G1512" s="42"/>
      <c r="H1512" s="42"/>
      <c r="I1512" s="42"/>
      <c r="J1512" s="42"/>
      <c r="K1512" s="42"/>
      <c r="L1512" s="46"/>
      <c r="M1512" s="46"/>
      <c r="N1512" s="46"/>
      <c r="O1512" s="61"/>
      <c r="P1512" s="62"/>
      <c r="Q1512" s="46"/>
      <c r="R1512" s="47"/>
      <c r="S1512" s="62"/>
      <c r="T1512" s="62"/>
      <c r="U1512" s="46"/>
      <c r="V1512" s="61"/>
      <c r="W1512" s="62"/>
      <c r="X1512" s="47"/>
      <c r="Y1512" s="46"/>
      <c r="Z1512" s="46"/>
      <c r="AA1512" s="46"/>
      <c r="AB1512" s="49"/>
      <c r="AC1512" s="42"/>
      <c r="AD1512" s="42"/>
      <c r="AE1512" s="50"/>
      <c r="AF1512" s="42"/>
      <c r="AG1512" s="42"/>
      <c r="AH1512" s="42"/>
      <c r="AI1512" s="42" t="str">
        <f t="array" ref="AI1512">XLOOKUP($E1512,Sheet11!$D:$D,Sheet11!$X:$X,"",0)</f>
        <v/>
      </c>
      <c r="AJ1512" s="42" t="str">
        <f t="array" ref="AJ1512">XLOOKUP($E1512,Sheet11!$D:$D,Sheet11!$Y:$Y,"",0)</f>
        <v/>
      </c>
    </row>
    <row r="1513">
      <c r="A1513" s="23"/>
      <c r="B1513" s="42"/>
      <c r="C1513" s="42"/>
      <c r="D1513" s="42"/>
      <c r="E1513" s="42"/>
      <c r="F1513" s="42"/>
      <c r="G1513" s="42"/>
      <c r="H1513" s="42"/>
      <c r="I1513" s="42"/>
      <c r="J1513" s="42"/>
      <c r="K1513" s="42"/>
      <c r="L1513" s="46"/>
      <c r="M1513" s="46"/>
      <c r="N1513" s="46"/>
      <c r="O1513" s="61"/>
      <c r="P1513" s="62"/>
      <c r="Q1513" s="46"/>
      <c r="R1513" s="47"/>
      <c r="S1513" s="62"/>
      <c r="T1513" s="62"/>
      <c r="U1513" s="46"/>
      <c r="V1513" s="61"/>
      <c r="W1513" s="62"/>
      <c r="X1513" s="47"/>
      <c r="Y1513" s="46"/>
      <c r="Z1513" s="46"/>
      <c r="AA1513" s="46"/>
      <c r="AB1513" s="49"/>
      <c r="AC1513" s="42"/>
      <c r="AD1513" s="42"/>
      <c r="AE1513" s="50"/>
      <c r="AF1513" s="42"/>
      <c r="AG1513" s="42"/>
      <c r="AH1513" s="42"/>
      <c r="AI1513" s="42" t="str">
        <f t="array" ref="AI1513">XLOOKUP($E1513,Sheet11!$D:$D,Sheet11!$X:$X,"",0)</f>
        <v/>
      </c>
      <c r="AJ1513" s="42" t="str">
        <f t="array" ref="AJ1513">XLOOKUP($E1513,Sheet11!$D:$D,Sheet11!$Y:$Y,"",0)</f>
        <v/>
      </c>
    </row>
    <row r="1514">
      <c r="A1514" s="23"/>
      <c r="B1514" s="42"/>
      <c r="C1514" s="42"/>
      <c r="D1514" s="42"/>
      <c r="E1514" s="42"/>
      <c r="F1514" s="42"/>
      <c r="G1514" s="42"/>
      <c r="H1514" s="42"/>
      <c r="I1514" s="42"/>
      <c r="J1514" s="42"/>
      <c r="K1514" s="42"/>
      <c r="L1514" s="46"/>
      <c r="M1514" s="46"/>
      <c r="N1514" s="46"/>
      <c r="O1514" s="61"/>
      <c r="P1514" s="62"/>
      <c r="Q1514" s="46"/>
      <c r="R1514" s="47"/>
      <c r="S1514" s="62"/>
      <c r="T1514" s="62"/>
      <c r="U1514" s="46"/>
      <c r="V1514" s="61"/>
      <c r="W1514" s="62"/>
      <c r="X1514" s="47"/>
      <c r="Y1514" s="46"/>
      <c r="Z1514" s="46"/>
      <c r="AA1514" s="46"/>
      <c r="AB1514" s="49"/>
      <c r="AC1514" s="42"/>
      <c r="AD1514" s="42"/>
      <c r="AE1514" s="50"/>
      <c r="AF1514" s="42"/>
      <c r="AG1514" s="42"/>
      <c r="AH1514" s="42"/>
      <c r="AI1514" s="42" t="str">
        <f t="array" ref="AI1514">XLOOKUP($E1514,Sheet11!$D:$D,Sheet11!$X:$X,"",0)</f>
        <v/>
      </c>
      <c r="AJ1514" s="42" t="str">
        <f t="array" ref="AJ1514">XLOOKUP($E1514,Sheet11!$D:$D,Sheet11!$Y:$Y,"",0)</f>
        <v/>
      </c>
    </row>
    <row r="1515">
      <c r="A1515" s="23"/>
      <c r="B1515" s="42"/>
      <c r="C1515" s="42"/>
      <c r="D1515" s="42"/>
      <c r="E1515" s="42"/>
      <c r="F1515" s="42"/>
      <c r="G1515" s="42"/>
      <c r="H1515" s="42"/>
      <c r="I1515" s="42"/>
      <c r="J1515" s="42"/>
      <c r="K1515" s="42"/>
      <c r="L1515" s="46"/>
      <c r="M1515" s="46"/>
      <c r="N1515" s="46"/>
      <c r="O1515" s="61"/>
      <c r="P1515" s="62"/>
      <c r="Q1515" s="46"/>
      <c r="R1515" s="47"/>
      <c r="S1515" s="62"/>
      <c r="T1515" s="62"/>
      <c r="U1515" s="46"/>
      <c r="V1515" s="61"/>
      <c r="W1515" s="62"/>
      <c r="X1515" s="47"/>
      <c r="Y1515" s="46"/>
      <c r="Z1515" s="46"/>
      <c r="AA1515" s="46"/>
      <c r="AB1515" s="49"/>
      <c r="AC1515" s="42"/>
      <c r="AD1515" s="42"/>
      <c r="AE1515" s="50"/>
      <c r="AF1515" s="42"/>
      <c r="AG1515" s="42"/>
      <c r="AH1515" s="42"/>
      <c r="AI1515" s="42" t="str">
        <f t="array" ref="AI1515">XLOOKUP($E1515,Sheet11!$D:$D,Sheet11!$X:$X,"",0)</f>
        <v/>
      </c>
      <c r="AJ1515" s="42" t="str">
        <f t="array" ref="AJ1515">XLOOKUP($E1515,Sheet11!$D:$D,Sheet11!$Y:$Y,"",0)</f>
        <v/>
      </c>
    </row>
    <row r="1516">
      <c r="A1516" s="23"/>
      <c r="B1516" s="42"/>
      <c r="C1516" s="42"/>
      <c r="D1516" s="42"/>
      <c r="E1516" s="42"/>
      <c r="F1516" s="42"/>
      <c r="G1516" s="42"/>
      <c r="H1516" s="42"/>
      <c r="I1516" s="42"/>
      <c r="J1516" s="42"/>
      <c r="K1516" s="42"/>
      <c r="L1516" s="46"/>
      <c r="M1516" s="46"/>
      <c r="N1516" s="46"/>
      <c r="O1516" s="61"/>
      <c r="P1516" s="62"/>
      <c r="Q1516" s="46"/>
      <c r="R1516" s="47"/>
      <c r="S1516" s="62"/>
      <c r="T1516" s="62"/>
      <c r="U1516" s="46"/>
      <c r="V1516" s="61"/>
      <c r="W1516" s="62"/>
      <c r="X1516" s="47"/>
      <c r="Y1516" s="46"/>
      <c r="Z1516" s="46"/>
      <c r="AA1516" s="46"/>
      <c r="AB1516" s="49"/>
      <c r="AC1516" s="42"/>
      <c r="AD1516" s="42"/>
      <c r="AE1516" s="50"/>
      <c r="AF1516" s="42"/>
      <c r="AG1516" s="42"/>
      <c r="AH1516" s="42"/>
      <c r="AI1516" s="42" t="str">
        <f t="array" ref="AI1516">XLOOKUP($E1516,Sheet11!$D:$D,Sheet11!$X:$X,"",0)</f>
        <v/>
      </c>
      <c r="AJ1516" s="42" t="str">
        <f t="array" ref="AJ1516">XLOOKUP($E1516,Sheet11!$D:$D,Sheet11!$Y:$Y,"",0)</f>
        <v/>
      </c>
    </row>
    <row r="1517">
      <c r="A1517" s="23"/>
      <c r="B1517" s="42"/>
      <c r="C1517" s="42"/>
      <c r="D1517" s="42"/>
      <c r="E1517" s="42"/>
      <c r="F1517" s="42"/>
      <c r="G1517" s="42"/>
      <c r="H1517" s="42"/>
      <c r="I1517" s="42"/>
      <c r="J1517" s="42"/>
      <c r="K1517" s="42"/>
      <c r="L1517" s="46"/>
      <c r="M1517" s="46"/>
      <c r="N1517" s="46"/>
      <c r="O1517" s="61"/>
      <c r="P1517" s="62"/>
      <c r="Q1517" s="46"/>
      <c r="R1517" s="47"/>
      <c r="S1517" s="62"/>
      <c r="T1517" s="62"/>
      <c r="U1517" s="46"/>
      <c r="V1517" s="61"/>
      <c r="W1517" s="62"/>
      <c r="X1517" s="47"/>
      <c r="Y1517" s="46"/>
      <c r="Z1517" s="46"/>
      <c r="AA1517" s="46"/>
      <c r="AB1517" s="49"/>
      <c r="AC1517" s="42"/>
      <c r="AD1517" s="42"/>
      <c r="AE1517" s="50"/>
      <c r="AF1517" s="42"/>
      <c r="AG1517" s="42"/>
      <c r="AH1517" s="42"/>
      <c r="AI1517" s="42" t="str">
        <f t="array" ref="AI1517">XLOOKUP($E1517,Sheet11!$D:$D,Sheet11!$X:$X,"",0)</f>
        <v/>
      </c>
      <c r="AJ1517" s="42" t="str">
        <f t="array" ref="AJ1517">XLOOKUP($E1517,Sheet11!$D:$D,Sheet11!$Y:$Y,"",0)</f>
        <v/>
      </c>
    </row>
    <row r="1518">
      <c r="A1518" s="23"/>
      <c r="B1518" s="42"/>
      <c r="C1518" s="42"/>
      <c r="D1518" s="42"/>
      <c r="E1518" s="42"/>
      <c r="F1518" s="42"/>
      <c r="G1518" s="42"/>
      <c r="H1518" s="42"/>
      <c r="I1518" s="42"/>
      <c r="J1518" s="42"/>
      <c r="K1518" s="42"/>
      <c r="L1518" s="46"/>
      <c r="M1518" s="46"/>
      <c r="N1518" s="46"/>
      <c r="O1518" s="61"/>
      <c r="P1518" s="62"/>
      <c r="Q1518" s="46"/>
      <c r="R1518" s="47"/>
      <c r="S1518" s="62"/>
      <c r="T1518" s="62"/>
      <c r="U1518" s="46"/>
      <c r="V1518" s="61"/>
      <c r="W1518" s="62"/>
      <c r="X1518" s="47"/>
      <c r="Y1518" s="46"/>
      <c r="Z1518" s="46"/>
      <c r="AA1518" s="46"/>
      <c r="AB1518" s="49"/>
      <c r="AC1518" s="42"/>
      <c r="AD1518" s="42"/>
      <c r="AE1518" s="50"/>
      <c r="AF1518" s="42"/>
      <c r="AG1518" s="42"/>
      <c r="AH1518" s="42"/>
      <c r="AI1518" s="42" t="str">
        <f t="array" ref="AI1518">XLOOKUP($E1518,Sheet11!$D:$D,Sheet11!$X:$X,"",0)</f>
        <v/>
      </c>
      <c r="AJ1518" s="42" t="str">
        <f t="array" ref="AJ1518">XLOOKUP($E1518,Sheet11!$D:$D,Sheet11!$Y:$Y,"",0)</f>
        <v/>
      </c>
    </row>
    <row r="1519">
      <c r="A1519" s="23"/>
      <c r="B1519" s="42"/>
      <c r="C1519" s="42"/>
      <c r="D1519" s="42"/>
      <c r="E1519" s="42"/>
      <c r="F1519" s="42"/>
      <c r="G1519" s="42"/>
      <c r="H1519" s="42"/>
      <c r="I1519" s="42"/>
      <c r="J1519" s="42"/>
      <c r="K1519" s="42"/>
      <c r="L1519" s="46"/>
      <c r="M1519" s="46"/>
      <c r="N1519" s="46"/>
      <c r="O1519" s="61"/>
      <c r="P1519" s="62"/>
      <c r="Q1519" s="46"/>
      <c r="R1519" s="47"/>
      <c r="S1519" s="62"/>
      <c r="T1519" s="62"/>
      <c r="U1519" s="46"/>
      <c r="V1519" s="61"/>
      <c r="W1519" s="62"/>
      <c r="X1519" s="47"/>
      <c r="Y1519" s="46"/>
      <c r="Z1519" s="46"/>
      <c r="AA1519" s="46"/>
      <c r="AB1519" s="49"/>
      <c r="AC1519" s="42"/>
      <c r="AD1519" s="42"/>
      <c r="AE1519" s="50"/>
      <c r="AF1519" s="42"/>
      <c r="AG1519" s="42"/>
      <c r="AH1519" s="42"/>
      <c r="AI1519" s="42" t="str">
        <f t="array" ref="AI1519">XLOOKUP($E1519,Sheet11!$D:$D,Sheet11!$X:$X,"",0)</f>
        <v/>
      </c>
      <c r="AJ1519" s="42" t="str">
        <f t="array" ref="AJ1519">XLOOKUP($E1519,Sheet11!$D:$D,Sheet11!$Y:$Y,"",0)</f>
        <v/>
      </c>
    </row>
    <row r="1520">
      <c r="A1520" s="23"/>
      <c r="B1520" s="42"/>
      <c r="C1520" s="42"/>
      <c r="D1520" s="42"/>
      <c r="E1520" s="42"/>
      <c r="F1520" s="42"/>
      <c r="G1520" s="42"/>
      <c r="H1520" s="42"/>
      <c r="I1520" s="42"/>
      <c r="J1520" s="42"/>
      <c r="K1520" s="42"/>
      <c r="L1520" s="46"/>
      <c r="M1520" s="46"/>
      <c r="N1520" s="46"/>
      <c r="O1520" s="61"/>
      <c r="P1520" s="62"/>
      <c r="Q1520" s="46"/>
      <c r="R1520" s="47"/>
      <c r="S1520" s="62"/>
      <c r="T1520" s="62"/>
      <c r="U1520" s="46"/>
      <c r="V1520" s="61"/>
      <c r="W1520" s="62"/>
      <c r="X1520" s="47"/>
      <c r="Y1520" s="46"/>
      <c r="Z1520" s="46"/>
      <c r="AA1520" s="46"/>
      <c r="AB1520" s="49"/>
      <c r="AC1520" s="42"/>
      <c r="AD1520" s="42"/>
      <c r="AE1520" s="50"/>
      <c r="AF1520" s="42"/>
      <c r="AG1520" s="42"/>
      <c r="AH1520" s="42"/>
      <c r="AI1520" s="42" t="str">
        <f t="array" ref="AI1520">XLOOKUP($E1520,Sheet11!$D:$D,Sheet11!$X:$X,"",0)</f>
        <v/>
      </c>
      <c r="AJ1520" s="42" t="str">
        <f t="array" ref="AJ1520">XLOOKUP($E1520,Sheet11!$D:$D,Sheet11!$Y:$Y,"",0)</f>
        <v/>
      </c>
    </row>
    <row r="1521">
      <c r="A1521" s="23"/>
      <c r="B1521" s="42"/>
      <c r="C1521" s="42"/>
      <c r="D1521" s="42"/>
      <c r="E1521" s="42"/>
      <c r="F1521" s="42"/>
      <c r="G1521" s="42"/>
      <c r="H1521" s="42"/>
      <c r="I1521" s="42"/>
      <c r="J1521" s="42"/>
      <c r="K1521" s="42"/>
      <c r="L1521" s="46"/>
      <c r="M1521" s="46"/>
      <c r="N1521" s="46"/>
      <c r="O1521" s="61"/>
      <c r="P1521" s="62"/>
      <c r="Q1521" s="46"/>
      <c r="R1521" s="47"/>
      <c r="S1521" s="62"/>
      <c r="T1521" s="62"/>
      <c r="U1521" s="46"/>
      <c r="V1521" s="61"/>
      <c r="W1521" s="62"/>
      <c r="X1521" s="47"/>
      <c r="Y1521" s="46"/>
      <c r="Z1521" s="46"/>
      <c r="AA1521" s="46"/>
      <c r="AB1521" s="49"/>
      <c r="AC1521" s="42"/>
      <c r="AD1521" s="42"/>
      <c r="AE1521" s="50"/>
      <c r="AF1521" s="42"/>
      <c r="AG1521" s="42"/>
      <c r="AH1521" s="42"/>
      <c r="AI1521" s="42" t="str">
        <f t="array" ref="AI1521">XLOOKUP($E1521,Sheet11!$D:$D,Sheet11!$X:$X,"",0)</f>
        <v/>
      </c>
      <c r="AJ1521" s="42" t="str">
        <f t="array" ref="AJ1521">XLOOKUP($E1521,Sheet11!$D:$D,Sheet11!$Y:$Y,"",0)</f>
        <v/>
      </c>
    </row>
    <row r="1522">
      <c r="A1522" s="23"/>
      <c r="B1522" s="42"/>
      <c r="C1522" s="42"/>
      <c r="D1522" s="42"/>
      <c r="E1522" s="42"/>
      <c r="F1522" s="42"/>
      <c r="G1522" s="42"/>
      <c r="H1522" s="42"/>
      <c r="I1522" s="42"/>
      <c r="J1522" s="42"/>
      <c r="K1522" s="42"/>
      <c r="L1522" s="46"/>
      <c r="M1522" s="46"/>
      <c r="N1522" s="46"/>
      <c r="O1522" s="61"/>
      <c r="P1522" s="62"/>
      <c r="Q1522" s="46"/>
      <c r="R1522" s="47"/>
      <c r="S1522" s="62"/>
      <c r="T1522" s="62"/>
      <c r="U1522" s="46"/>
      <c r="V1522" s="61"/>
      <c r="W1522" s="62"/>
      <c r="X1522" s="47"/>
      <c r="Y1522" s="46"/>
      <c r="Z1522" s="46"/>
      <c r="AA1522" s="46"/>
      <c r="AB1522" s="49"/>
      <c r="AC1522" s="42"/>
      <c r="AD1522" s="42"/>
      <c r="AE1522" s="50"/>
      <c r="AF1522" s="42"/>
      <c r="AG1522" s="42"/>
      <c r="AH1522" s="42"/>
      <c r="AI1522" s="42" t="str">
        <f t="array" ref="AI1522">XLOOKUP($E1522,Sheet11!$D:$D,Sheet11!$X:$X,"",0)</f>
        <v/>
      </c>
      <c r="AJ1522" s="42" t="str">
        <f t="array" ref="AJ1522">XLOOKUP($E1522,Sheet11!$D:$D,Sheet11!$Y:$Y,"",0)</f>
        <v/>
      </c>
    </row>
    <row r="1523">
      <c r="A1523" s="23"/>
      <c r="B1523" s="42"/>
      <c r="C1523" s="42"/>
      <c r="D1523" s="42"/>
      <c r="E1523" s="42"/>
      <c r="F1523" s="42"/>
      <c r="G1523" s="42"/>
      <c r="H1523" s="42"/>
      <c r="I1523" s="42"/>
      <c r="J1523" s="42"/>
      <c r="K1523" s="42"/>
      <c r="L1523" s="46"/>
      <c r="M1523" s="46"/>
      <c r="N1523" s="46"/>
      <c r="O1523" s="61"/>
      <c r="P1523" s="62"/>
      <c r="Q1523" s="46"/>
      <c r="R1523" s="47"/>
      <c r="S1523" s="62"/>
      <c r="T1523" s="62"/>
      <c r="U1523" s="46"/>
      <c r="V1523" s="61"/>
      <c r="W1523" s="62"/>
      <c r="X1523" s="47"/>
      <c r="Y1523" s="46"/>
      <c r="Z1523" s="46"/>
      <c r="AA1523" s="46"/>
      <c r="AB1523" s="49"/>
      <c r="AC1523" s="42"/>
      <c r="AD1523" s="42"/>
      <c r="AE1523" s="50"/>
      <c r="AF1523" s="42"/>
      <c r="AG1523" s="42"/>
      <c r="AH1523" s="42"/>
      <c r="AI1523" s="42" t="str">
        <f t="array" ref="AI1523">XLOOKUP($E1523,Sheet11!$D:$D,Sheet11!$X:$X,"",0)</f>
        <v/>
      </c>
      <c r="AJ1523" s="42" t="str">
        <f t="array" ref="AJ1523">XLOOKUP($E1523,Sheet11!$D:$D,Sheet11!$Y:$Y,"",0)</f>
        <v/>
      </c>
    </row>
    <row r="1524">
      <c r="A1524" s="23"/>
      <c r="B1524" s="42"/>
      <c r="C1524" s="42"/>
      <c r="D1524" s="42"/>
      <c r="E1524" s="42"/>
      <c r="F1524" s="42"/>
      <c r="G1524" s="42"/>
      <c r="H1524" s="42"/>
      <c r="I1524" s="42"/>
      <c r="J1524" s="42"/>
      <c r="K1524" s="42"/>
      <c r="L1524" s="46"/>
      <c r="M1524" s="46"/>
      <c r="N1524" s="46"/>
      <c r="O1524" s="61"/>
      <c r="P1524" s="62"/>
      <c r="Q1524" s="46"/>
      <c r="R1524" s="47"/>
      <c r="S1524" s="62"/>
      <c r="T1524" s="62"/>
      <c r="U1524" s="46"/>
      <c r="V1524" s="61"/>
      <c r="W1524" s="62"/>
      <c r="X1524" s="47"/>
      <c r="Y1524" s="46"/>
      <c r="Z1524" s="46"/>
      <c r="AA1524" s="46"/>
      <c r="AB1524" s="49"/>
      <c r="AC1524" s="42"/>
      <c r="AD1524" s="42"/>
      <c r="AE1524" s="50"/>
      <c r="AF1524" s="42"/>
      <c r="AG1524" s="42"/>
      <c r="AH1524" s="42"/>
      <c r="AI1524" s="42" t="str">
        <f t="array" ref="AI1524">XLOOKUP($E1524,Sheet11!$D:$D,Sheet11!$X:$X,"",0)</f>
        <v/>
      </c>
      <c r="AJ1524" s="42" t="str">
        <f t="array" ref="AJ1524">XLOOKUP($E1524,Sheet11!$D:$D,Sheet11!$Y:$Y,"",0)</f>
        <v/>
      </c>
    </row>
    <row r="1525">
      <c r="A1525" s="23"/>
      <c r="B1525" s="42"/>
      <c r="C1525" s="42"/>
      <c r="D1525" s="42"/>
      <c r="E1525" s="42"/>
      <c r="F1525" s="42"/>
      <c r="G1525" s="42"/>
      <c r="H1525" s="42"/>
      <c r="I1525" s="42"/>
      <c r="J1525" s="42"/>
      <c r="K1525" s="42"/>
      <c r="L1525" s="46"/>
      <c r="M1525" s="46"/>
      <c r="N1525" s="46"/>
      <c r="O1525" s="61"/>
      <c r="P1525" s="62"/>
      <c r="Q1525" s="46"/>
      <c r="R1525" s="47"/>
      <c r="S1525" s="62"/>
      <c r="T1525" s="62"/>
      <c r="U1525" s="46"/>
      <c r="V1525" s="61"/>
      <c r="W1525" s="62"/>
      <c r="X1525" s="47"/>
      <c r="Y1525" s="46"/>
      <c r="Z1525" s="46"/>
      <c r="AA1525" s="46"/>
      <c r="AB1525" s="49"/>
      <c r="AC1525" s="42"/>
      <c r="AD1525" s="42"/>
      <c r="AE1525" s="50"/>
      <c r="AF1525" s="42"/>
      <c r="AG1525" s="42"/>
      <c r="AH1525" s="42"/>
      <c r="AI1525" s="42" t="str">
        <f t="array" ref="AI1525">XLOOKUP($E1525,Sheet11!$D:$D,Sheet11!$X:$X,"",0)</f>
        <v/>
      </c>
      <c r="AJ1525" s="42" t="str">
        <f t="array" ref="AJ1525">XLOOKUP($E1525,Sheet11!$D:$D,Sheet11!$Y:$Y,"",0)</f>
        <v/>
      </c>
    </row>
    <row r="1526">
      <c r="A1526" s="23"/>
      <c r="B1526" s="42"/>
      <c r="C1526" s="42"/>
      <c r="D1526" s="42"/>
      <c r="E1526" s="42"/>
      <c r="F1526" s="42"/>
      <c r="G1526" s="42"/>
      <c r="H1526" s="42"/>
      <c r="I1526" s="42"/>
      <c r="J1526" s="42"/>
      <c r="K1526" s="42"/>
      <c r="L1526" s="46"/>
      <c r="M1526" s="46"/>
      <c r="N1526" s="46"/>
      <c r="O1526" s="61"/>
      <c r="P1526" s="62"/>
      <c r="Q1526" s="46"/>
      <c r="R1526" s="47"/>
      <c r="S1526" s="62"/>
      <c r="T1526" s="62"/>
      <c r="U1526" s="46"/>
      <c r="V1526" s="61"/>
      <c r="W1526" s="62"/>
      <c r="X1526" s="47"/>
      <c r="Y1526" s="46"/>
      <c r="Z1526" s="46"/>
      <c r="AA1526" s="46"/>
      <c r="AB1526" s="49"/>
      <c r="AC1526" s="42"/>
      <c r="AD1526" s="42"/>
      <c r="AE1526" s="50"/>
      <c r="AF1526" s="42"/>
      <c r="AG1526" s="42"/>
      <c r="AH1526" s="42"/>
      <c r="AI1526" s="42" t="str">
        <f t="array" ref="AI1526">XLOOKUP($E1526,Sheet11!$D:$D,Sheet11!$X:$X,"",0)</f>
        <v/>
      </c>
      <c r="AJ1526" s="42" t="str">
        <f t="array" ref="AJ1526">XLOOKUP($E1526,Sheet11!$D:$D,Sheet11!$Y:$Y,"",0)</f>
        <v/>
      </c>
    </row>
    <row r="1527">
      <c r="A1527" s="23"/>
      <c r="B1527" s="42"/>
      <c r="C1527" s="42"/>
      <c r="D1527" s="42"/>
      <c r="E1527" s="42"/>
      <c r="F1527" s="42"/>
      <c r="G1527" s="42"/>
      <c r="H1527" s="42"/>
      <c r="I1527" s="42"/>
      <c r="J1527" s="42"/>
      <c r="K1527" s="42"/>
      <c r="L1527" s="46"/>
      <c r="M1527" s="46"/>
      <c r="N1527" s="46"/>
      <c r="O1527" s="61"/>
      <c r="P1527" s="62"/>
      <c r="Q1527" s="46"/>
      <c r="R1527" s="47"/>
      <c r="S1527" s="62"/>
      <c r="T1527" s="62"/>
      <c r="U1527" s="46"/>
      <c r="V1527" s="61"/>
      <c r="W1527" s="62"/>
      <c r="X1527" s="47"/>
      <c r="Y1527" s="46"/>
      <c r="Z1527" s="46"/>
      <c r="AA1527" s="46"/>
      <c r="AB1527" s="49"/>
      <c r="AC1527" s="42"/>
      <c r="AD1527" s="42"/>
      <c r="AE1527" s="50"/>
      <c r="AF1527" s="42"/>
      <c r="AG1527" s="42"/>
      <c r="AH1527" s="42"/>
      <c r="AI1527" s="42" t="str">
        <f t="array" ref="AI1527">XLOOKUP($E1527,Sheet11!$D:$D,Sheet11!$X:$X,"",0)</f>
        <v/>
      </c>
      <c r="AJ1527" s="42" t="str">
        <f t="array" ref="AJ1527">XLOOKUP($E1527,Sheet11!$D:$D,Sheet11!$Y:$Y,"",0)</f>
        <v/>
      </c>
    </row>
    <row r="1528">
      <c r="A1528" s="23"/>
      <c r="B1528" s="42"/>
      <c r="C1528" s="42"/>
      <c r="D1528" s="42"/>
      <c r="E1528" s="42"/>
      <c r="F1528" s="42"/>
      <c r="G1528" s="42"/>
      <c r="H1528" s="42"/>
      <c r="I1528" s="42"/>
      <c r="J1528" s="42"/>
      <c r="K1528" s="42"/>
      <c r="L1528" s="46"/>
      <c r="M1528" s="46"/>
      <c r="N1528" s="46"/>
      <c r="O1528" s="61"/>
      <c r="P1528" s="62"/>
      <c r="Q1528" s="46"/>
      <c r="R1528" s="47"/>
      <c r="S1528" s="62"/>
      <c r="T1528" s="62"/>
      <c r="U1528" s="46"/>
      <c r="V1528" s="61"/>
      <c r="W1528" s="62"/>
      <c r="X1528" s="47"/>
      <c r="Y1528" s="46"/>
      <c r="Z1528" s="46"/>
      <c r="AA1528" s="46"/>
      <c r="AB1528" s="49"/>
      <c r="AC1528" s="42"/>
      <c r="AD1528" s="42"/>
      <c r="AE1528" s="50"/>
      <c r="AF1528" s="42"/>
      <c r="AG1528" s="42"/>
      <c r="AH1528" s="42"/>
      <c r="AI1528" s="42" t="str">
        <f t="array" ref="AI1528">XLOOKUP($E1528,Sheet11!$D:$D,Sheet11!$X:$X,"",0)</f>
        <v/>
      </c>
      <c r="AJ1528" s="42" t="str">
        <f t="array" ref="AJ1528">XLOOKUP($E1528,Sheet11!$D:$D,Sheet11!$Y:$Y,"",0)</f>
        <v/>
      </c>
    </row>
    <row r="1529">
      <c r="A1529" s="23"/>
      <c r="B1529" s="42"/>
      <c r="C1529" s="42"/>
      <c r="D1529" s="42"/>
      <c r="E1529" s="42"/>
      <c r="F1529" s="42"/>
      <c r="G1529" s="42"/>
      <c r="H1529" s="42"/>
      <c r="I1529" s="42"/>
      <c r="J1529" s="42"/>
      <c r="K1529" s="42"/>
      <c r="L1529" s="46"/>
      <c r="M1529" s="46"/>
      <c r="N1529" s="46"/>
      <c r="O1529" s="61"/>
      <c r="P1529" s="62"/>
      <c r="Q1529" s="46"/>
      <c r="R1529" s="47"/>
      <c r="S1529" s="62"/>
      <c r="T1529" s="62"/>
      <c r="U1529" s="46"/>
      <c r="V1529" s="61"/>
      <c r="W1529" s="62"/>
      <c r="X1529" s="47"/>
      <c r="Y1529" s="46"/>
      <c r="Z1529" s="46"/>
      <c r="AA1529" s="46"/>
      <c r="AB1529" s="49"/>
      <c r="AC1529" s="42"/>
      <c r="AD1529" s="42"/>
      <c r="AE1529" s="50"/>
      <c r="AF1529" s="42"/>
      <c r="AG1529" s="42"/>
      <c r="AH1529" s="42"/>
      <c r="AI1529" s="42" t="str">
        <f t="array" ref="AI1529">XLOOKUP($E1529,Sheet11!$D:$D,Sheet11!$X:$X,"",0)</f>
        <v/>
      </c>
      <c r="AJ1529" s="42" t="str">
        <f t="array" ref="AJ1529">XLOOKUP($E1529,Sheet11!$D:$D,Sheet11!$Y:$Y,"",0)</f>
        <v/>
      </c>
    </row>
    <row r="1530">
      <c r="A1530" s="23"/>
      <c r="B1530" s="42"/>
      <c r="C1530" s="42"/>
      <c r="D1530" s="42"/>
      <c r="E1530" s="42"/>
      <c r="F1530" s="42"/>
      <c r="G1530" s="42"/>
      <c r="H1530" s="42"/>
      <c r="I1530" s="42"/>
      <c r="J1530" s="42"/>
      <c r="K1530" s="42"/>
      <c r="L1530" s="46"/>
      <c r="M1530" s="46"/>
      <c r="N1530" s="46"/>
      <c r="O1530" s="61"/>
      <c r="P1530" s="62"/>
      <c r="Q1530" s="46"/>
      <c r="R1530" s="47"/>
      <c r="S1530" s="62"/>
      <c r="T1530" s="62"/>
      <c r="U1530" s="46"/>
      <c r="V1530" s="61"/>
      <c r="W1530" s="62"/>
      <c r="X1530" s="47"/>
      <c r="Y1530" s="46"/>
      <c r="Z1530" s="46"/>
      <c r="AA1530" s="46"/>
      <c r="AB1530" s="49"/>
      <c r="AC1530" s="42"/>
      <c r="AD1530" s="42"/>
      <c r="AE1530" s="50"/>
      <c r="AF1530" s="42"/>
      <c r="AG1530" s="42"/>
      <c r="AH1530" s="42"/>
      <c r="AI1530" s="42" t="str">
        <f t="array" ref="AI1530">XLOOKUP($E1530,Sheet11!$D:$D,Sheet11!$X:$X,"",0)</f>
        <v/>
      </c>
      <c r="AJ1530" s="42" t="str">
        <f t="array" ref="AJ1530">XLOOKUP($E1530,Sheet11!$D:$D,Sheet11!$Y:$Y,"",0)</f>
        <v/>
      </c>
    </row>
    <row r="1531">
      <c r="A1531" s="23"/>
      <c r="B1531" s="42"/>
      <c r="C1531" s="42"/>
      <c r="D1531" s="42"/>
      <c r="E1531" s="42"/>
      <c r="F1531" s="42"/>
      <c r="G1531" s="42"/>
      <c r="H1531" s="42"/>
      <c r="I1531" s="42"/>
      <c r="J1531" s="42"/>
      <c r="K1531" s="42"/>
      <c r="L1531" s="46"/>
      <c r="M1531" s="46"/>
      <c r="N1531" s="46"/>
      <c r="O1531" s="61"/>
      <c r="P1531" s="62"/>
      <c r="Q1531" s="46"/>
      <c r="R1531" s="47"/>
      <c r="S1531" s="62"/>
      <c r="T1531" s="62"/>
      <c r="U1531" s="46"/>
      <c r="V1531" s="61"/>
      <c r="W1531" s="62"/>
      <c r="X1531" s="47"/>
      <c r="Y1531" s="46"/>
      <c r="Z1531" s="46"/>
      <c r="AA1531" s="46"/>
      <c r="AB1531" s="49"/>
      <c r="AC1531" s="42"/>
      <c r="AD1531" s="42"/>
      <c r="AE1531" s="50"/>
      <c r="AF1531" s="42"/>
      <c r="AG1531" s="42"/>
      <c r="AH1531" s="42"/>
      <c r="AI1531" s="42" t="str">
        <f t="array" ref="AI1531">XLOOKUP($E1531,Sheet11!$D:$D,Sheet11!$X:$X,"",0)</f>
        <v/>
      </c>
      <c r="AJ1531" s="42" t="str">
        <f t="array" ref="AJ1531">XLOOKUP($E1531,Sheet11!$D:$D,Sheet11!$Y:$Y,"",0)</f>
        <v/>
      </c>
    </row>
    <row r="1532">
      <c r="A1532" s="23"/>
      <c r="B1532" s="42"/>
      <c r="C1532" s="42"/>
      <c r="D1532" s="42"/>
      <c r="E1532" s="42"/>
      <c r="F1532" s="42"/>
      <c r="G1532" s="42"/>
      <c r="H1532" s="42"/>
      <c r="I1532" s="42"/>
      <c r="J1532" s="42"/>
      <c r="K1532" s="42"/>
      <c r="L1532" s="46"/>
      <c r="M1532" s="46"/>
      <c r="N1532" s="46"/>
      <c r="O1532" s="61"/>
      <c r="P1532" s="62"/>
      <c r="Q1532" s="46"/>
      <c r="R1532" s="47"/>
      <c r="S1532" s="62"/>
      <c r="T1532" s="62"/>
      <c r="U1532" s="46"/>
      <c r="V1532" s="61"/>
      <c r="W1532" s="62"/>
      <c r="X1532" s="47"/>
      <c r="Y1532" s="46"/>
      <c r="Z1532" s="46"/>
      <c r="AA1532" s="46"/>
      <c r="AB1532" s="49"/>
      <c r="AC1532" s="42"/>
      <c r="AD1532" s="42"/>
      <c r="AE1532" s="50"/>
      <c r="AF1532" s="42"/>
      <c r="AG1532" s="42"/>
      <c r="AH1532" s="42"/>
      <c r="AI1532" s="42" t="str">
        <f t="array" ref="AI1532">XLOOKUP($E1532,Sheet11!$D:$D,Sheet11!$X:$X,"",0)</f>
        <v/>
      </c>
      <c r="AJ1532" s="42" t="str">
        <f t="array" ref="AJ1532">XLOOKUP($E1532,Sheet11!$D:$D,Sheet11!$Y:$Y,"",0)</f>
        <v/>
      </c>
    </row>
    <row r="1533">
      <c r="A1533" s="23"/>
      <c r="B1533" s="42"/>
      <c r="C1533" s="42"/>
      <c r="D1533" s="42"/>
      <c r="E1533" s="42"/>
      <c r="F1533" s="42"/>
      <c r="G1533" s="42"/>
      <c r="H1533" s="42"/>
      <c r="I1533" s="42"/>
      <c r="J1533" s="42"/>
      <c r="K1533" s="42"/>
      <c r="L1533" s="46"/>
      <c r="M1533" s="46"/>
      <c r="N1533" s="46"/>
      <c r="O1533" s="61"/>
      <c r="P1533" s="62"/>
      <c r="Q1533" s="46"/>
      <c r="R1533" s="47"/>
      <c r="S1533" s="62"/>
      <c r="T1533" s="62"/>
      <c r="U1533" s="46"/>
      <c r="V1533" s="61"/>
      <c r="W1533" s="62"/>
      <c r="X1533" s="47"/>
      <c r="Y1533" s="46"/>
      <c r="Z1533" s="46"/>
      <c r="AA1533" s="46"/>
      <c r="AB1533" s="49"/>
      <c r="AC1533" s="42"/>
      <c r="AD1533" s="42"/>
      <c r="AE1533" s="50"/>
      <c r="AF1533" s="42"/>
      <c r="AG1533" s="42"/>
      <c r="AH1533" s="42"/>
      <c r="AI1533" s="42" t="str">
        <f t="array" ref="AI1533">XLOOKUP($E1533,Sheet11!$D:$D,Sheet11!$X:$X,"",0)</f>
        <v/>
      </c>
      <c r="AJ1533" s="42" t="str">
        <f t="array" ref="AJ1533">XLOOKUP($E1533,Sheet11!$D:$D,Sheet11!$Y:$Y,"",0)</f>
        <v/>
      </c>
    </row>
    <row r="1534">
      <c r="A1534" s="23"/>
      <c r="B1534" s="42"/>
      <c r="C1534" s="42"/>
      <c r="D1534" s="42"/>
      <c r="E1534" s="42"/>
      <c r="F1534" s="42"/>
      <c r="G1534" s="42"/>
      <c r="H1534" s="42"/>
      <c r="I1534" s="42"/>
      <c r="J1534" s="42"/>
      <c r="K1534" s="42"/>
      <c r="L1534" s="46"/>
      <c r="M1534" s="46"/>
      <c r="N1534" s="46"/>
      <c r="O1534" s="61"/>
      <c r="P1534" s="62"/>
      <c r="Q1534" s="46"/>
      <c r="R1534" s="47"/>
      <c r="S1534" s="62"/>
      <c r="T1534" s="62"/>
      <c r="U1534" s="46"/>
      <c r="V1534" s="61"/>
      <c r="W1534" s="62"/>
      <c r="X1534" s="47"/>
      <c r="Y1534" s="46"/>
      <c r="Z1534" s="46"/>
      <c r="AA1534" s="46"/>
      <c r="AB1534" s="49"/>
      <c r="AC1534" s="42"/>
      <c r="AD1534" s="42"/>
      <c r="AE1534" s="50"/>
      <c r="AF1534" s="42"/>
      <c r="AG1534" s="42"/>
      <c r="AH1534" s="42"/>
      <c r="AI1534" s="42" t="str">
        <f t="array" ref="AI1534">XLOOKUP($E1534,Sheet11!$D:$D,Sheet11!$X:$X,"",0)</f>
        <v/>
      </c>
      <c r="AJ1534" s="42" t="str">
        <f t="array" ref="AJ1534">XLOOKUP($E1534,Sheet11!$D:$D,Sheet11!$Y:$Y,"",0)</f>
        <v/>
      </c>
    </row>
    <row r="1535">
      <c r="A1535" s="23"/>
      <c r="B1535" s="42"/>
      <c r="C1535" s="42"/>
      <c r="D1535" s="42"/>
      <c r="E1535" s="42"/>
      <c r="F1535" s="42"/>
      <c r="G1535" s="42"/>
      <c r="H1535" s="42"/>
      <c r="I1535" s="42"/>
      <c r="J1535" s="42"/>
      <c r="K1535" s="42"/>
      <c r="L1535" s="46"/>
      <c r="M1535" s="46"/>
      <c r="N1535" s="46"/>
      <c r="O1535" s="61"/>
      <c r="P1535" s="62"/>
      <c r="Q1535" s="46"/>
      <c r="R1535" s="47"/>
      <c r="S1535" s="62"/>
      <c r="T1535" s="62"/>
      <c r="U1535" s="46"/>
      <c r="V1535" s="61"/>
      <c r="W1535" s="62"/>
      <c r="X1535" s="47"/>
      <c r="Y1535" s="46"/>
      <c r="Z1535" s="46"/>
      <c r="AA1535" s="46"/>
      <c r="AB1535" s="49"/>
      <c r="AC1535" s="42"/>
      <c r="AD1535" s="42"/>
      <c r="AE1535" s="50"/>
      <c r="AF1535" s="42"/>
      <c r="AG1535" s="42"/>
      <c r="AH1535" s="42"/>
      <c r="AI1535" s="42" t="str">
        <f t="array" ref="AI1535">XLOOKUP($E1535,Sheet11!$D:$D,Sheet11!$X:$X,"",0)</f>
        <v/>
      </c>
      <c r="AJ1535" s="42" t="str">
        <f t="array" ref="AJ1535">XLOOKUP($E1535,Sheet11!$D:$D,Sheet11!$Y:$Y,"",0)</f>
        <v/>
      </c>
    </row>
    <row r="1536">
      <c r="A1536" s="23"/>
      <c r="B1536" s="42"/>
      <c r="C1536" s="42"/>
      <c r="D1536" s="42"/>
      <c r="E1536" s="42"/>
      <c r="F1536" s="42"/>
      <c r="G1536" s="42"/>
      <c r="H1536" s="42"/>
      <c r="I1536" s="42"/>
      <c r="J1536" s="42"/>
      <c r="K1536" s="42"/>
      <c r="L1536" s="46"/>
      <c r="M1536" s="46"/>
      <c r="N1536" s="46"/>
      <c r="O1536" s="61"/>
      <c r="P1536" s="62"/>
      <c r="Q1536" s="46"/>
      <c r="R1536" s="47"/>
      <c r="S1536" s="62"/>
      <c r="T1536" s="62"/>
      <c r="U1536" s="46"/>
      <c r="V1536" s="61"/>
      <c r="W1536" s="62"/>
      <c r="X1536" s="47"/>
      <c r="Y1536" s="46"/>
      <c r="Z1536" s="46"/>
      <c r="AA1536" s="46"/>
      <c r="AB1536" s="49"/>
      <c r="AC1536" s="42"/>
      <c r="AD1536" s="42"/>
      <c r="AE1536" s="50"/>
      <c r="AF1536" s="42"/>
      <c r="AG1536" s="42"/>
      <c r="AH1536" s="42"/>
      <c r="AI1536" s="42" t="str">
        <f t="array" ref="AI1536">XLOOKUP($E1536,Sheet11!$D:$D,Sheet11!$X:$X,"",0)</f>
        <v/>
      </c>
      <c r="AJ1536" s="42" t="str">
        <f t="array" ref="AJ1536">XLOOKUP($E1536,Sheet11!$D:$D,Sheet11!$Y:$Y,"",0)</f>
        <v/>
      </c>
    </row>
    <row r="1537">
      <c r="A1537" s="23"/>
      <c r="B1537" s="42"/>
      <c r="C1537" s="42"/>
      <c r="D1537" s="42"/>
      <c r="E1537" s="42"/>
      <c r="F1537" s="42"/>
      <c r="G1537" s="42"/>
      <c r="H1537" s="42"/>
      <c r="I1537" s="42"/>
      <c r="J1537" s="42"/>
      <c r="K1537" s="42"/>
      <c r="L1537" s="46"/>
      <c r="M1537" s="46"/>
      <c r="N1537" s="46"/>
      <c r="O1537" s="61"/>
      <c r="P1537" s="62"/>
      <c r="Q1537" s="46"/>
      <c r="R1537" s="47"/>
      <c r="S1537" s="62"/>
      <c r="T1537" s="62"/>
      <c r="U1537" s="46"/>
      <c r="V1537" s="61"/>
      <c r="W1537" s="62"/>
      <c r="X1537" s="47"/>
      <c r="Y1537" s="46"/>
      <c r="Z1537" s="46"/>
      <c r="AA1537" s="46"/>
      <c r="AB1537" s="49"/>
      <c r="AC1537" s="42"/>
      <c r="AD1537" s="42"/>
      <c r="AE1537" s="50"/>
      <c r="AF1537" s="42"/>
      <c r="AG1537" s="42"/>
      <c r="AH1537" s="42"/>
      <c r="AI1537" s="42" t="str">
        <f t="array" ref="AI1537">XLOOKUP($E1537,Sheet11!$D:$D,Sheet11!$X:$X,"",0)</f>
        <v/>
      </c>
      <c r="AJ1537" s="42" t="str">
        <f t="array" ref="AJ1537">XLOOKUP($E1537,Sheet11!$D:$D,Sheet11!$Y:$Y,"",0)</f>
        <v/>
      </c>
    </row>
    <row r="1538">
      <c r="A1538" s="23"/>
      <c r="B1538" s="42"/>
      <c r="C1538" s="42"/>
      <c r="D1538" s="42"/>
      <c r="E1538" s="42"/>
      <c r="F1538" s="42"/>
      <c r="G1538" s="42"/>
      <c r="H1538" s="42"/>
      <c r="I1538" s="42"/>
      <c r="J1538" s="42"/>
      <c r="K1538" s="42"/>
      <c r="L1538" s="46"/>
      <c r="M1538" s="46"/>
      <c r="N1538" s="46"/>
      <c r="O1538" s="61"/>
      <c r="P1538" s="62"/>
      <c r="Q1538" s="46"/>
      <c r="R1538" s="47"/>
      <c r="S1538" s="62"/>
      <c r="T1538" s="62"/>
      <c r="U1538" s="46"/>
      <c r="V1538" s="61"/>
      <c r="W1538" s="62"/>
      <c r="X1538" s="47"/>
      <c r="Y1538" s="46"/>
      <c r="Z1538" s="46"/>
      <c r="AA1538" s="46"/>
      <c r="AB1538" s="49"/>
      <c r="AC1538" s="42"/>
      <c r="AD1538" s="42"/>
      <c r="AE1538" s="50"/>
      <c r="AF1538" s="42"/>
      <c r="AG1538" s="42"/>
      <c r="AH1538" s="42"/>
      <c r="AI1538" s="42" t="str">
        <f t="array" ref="AI1538">XLOOKUP($E1538,Sheet11!$D:$D,Sheet11!$X:$X,"",0)</f>
        <v/>
      </c>
      <c r="AJ1538" s="42" t="str">
        <f t="array" ref="AJ1538">XLOOKUP($E1538,Sheet11!$D:$D,Sheet11!$Y:$Y,"",0)</f>
        <v/>
      </c>
    </row>
    <row r="1539">
      <c r="A1539" s="23"/>
      <c r="B1539" s="42"/>
      <c r="C1539" s="42"/>
      <c r="D1539" s="42"/>
      <c r="E1539" s="42"/>
      <c r="F1539" s="42"/>
      <c r="G1539" s="42"/>
      <c r="H1539" s="42"/>
      <c r="I1539" s="42"/>
      <c r="J1539" s="42"/>
      <c r="K1539" s="42"/>
      <c r="L1539" s="46"/>
      <c r="M1539" s="46"/>
      <c r="N1539" s="46"/>
      <c r="O1539" s="61"/>
      <c r="P1539" s="62"/>
      <c r="Q1539" s="46"/>
      <c r="R1539" s="47"/>
      <c r="S1539" s="62"/>
      <c r="T1539" s="62"/>
      <c r="U1539" s="46"/>
      <c r="V1539" s="61"/>
      <c r="W1539" s="62"/>
      <c r="X1539" s="47"/>
      <c r="Y1539" s="46"/>
      <c r="Z1539" s="46"/>
      <c r="AA1539" s="46"/>
      <c r="AB1539" s="49"/>
      <c r="AC1539" s="42"/>
      <c r="AD1539" s="42"/>
      <c r="AE1539" s="50"/>
      <c r="AF1539" s="42"/>
      <c r="AG1539" s="42"/>
      <c r="AH1539" s="42"/>
      <c r="AI1539" s="42" t="str">
        <f t="array" ref="AI1539">XLOOKUP($E1539,Sheet11!$D:$D,Sheet11!$X:$X,"",0)</f>
        <v/>
      </c>
      <c r="AJ1539" s="42" t="str">
        <f t="array" ref="AJ1539">XLOOKUP($E1539,Sheet11!$D:$D,Sheet11!$Y:$Y,"",0)</f>
        <v/>
      </c>
    </row>
    <row r="1540">
      <c r="A1540" s="23"/>
      <c r="B1540" s="42"/>
      <c r="C1540" s="42"/>
      <c r="D1540" s="42"/>
      <c r="E1540" s="42"/>
      <c r="F1540" s="42"/>
      <c r="G1540" s="42"/>
      <c r="H1540" s="42"/>
      <c r="I1540" s="42"/>
      <c r="J1540" s="42"/>
      <c r="K1540" s="42"/>
      <c r="L1540" s="46"/>
      <c r="M1540" s="46"/>
      <c r="N1540" s="46"/>
      <c r="O1540" s="61"/>
      <c r="P1540" s="62"/>
      <c r="Q1540" s="46"/>
      <c r="R1540" s="47"/>
      <c r="S1540" s="62"/>
      <c r="T1540" s="62"/>
      <c r="U1540" s="46"/>
      <c r="V1540" s="61"/>
      <c r="W1540" s="62"/>
      <c r="X1540" s="47"/>
      <c r="Y1540" s="46"/>
      <c r="Z1540" s="46"/>
      <c r="AA1540" s="46"/>
      <c r="AB1540" s="49"/>
      <c r="AC1540" s="42"/>
      <c r="AD1540" s="42"/>
      <c r="AE1540" s="50"/>
      <c r="AF1540" s="42"/>
      <c r="AG1540" s="42"/>
      <c r="AH1540" s="42"/>
      <c r="AI1540" s="42" t="str">
        <f t="array" ref="AI1540">XLOOKUP($E1540,Sheet11!$D:$D,Sheet11!$X:$X,"",0)</f>
        <v/>
      </c>
      <c r="AJ1540" s="42" t="str">
        <f t="array" ref="AJ1540">XLOOKUP($E1540,Sheet11!$D:$D,Sheet11!$Y:$Y,"",0)</f>
        <v/>
      </c>
    </row>
    <row r="1541">
      <c r="A1541" s="23"/>
      <c r="B1541" s="42"/>
      <c r="C1541" s="42"/>
      <c r="D1541" s="42"/>
      <c r="E1541" s="42"/>
      <c r="F1541" s="42"/>
      <c r="G1541" s="42"/>
      <c r="H1541" s="42"/>
      <c r="I1541" s="42"/>
      <c r="J1541" s="42"/>
      <c r="K1541" s="42"/>
      <c r="L1541" s="46"/>
      <c r="M1541" s="46"/>
      <c r="N1541" s="46"/>
      <c r="O1541" s="61"/>
      <c r="P1541" s="62"/>
      <c r="Q1541" s="46"/>
      <c r="R1541" s="47"/>
      <c r="S1541" s="62"/>
      <c r="T1541" s="62"/>
      <c r="U1541" s="46"/>
      <c r="V1541" s="61"/>
      <c r="W1541" s="62"/>
      <c r="X1541" s="47"/>
      <c r="Y1541" s="46"/>
      <c r="Z1541" s="46"/>
      <c r="AA1541" s="46"/>
      <c r="AB1541" s="49"/>
      <c r="AC1541" s="42"/>
      <c r="AD1541" s="42"/>
      <c r="AE1541" s="50"/>
      <c r="AF1541" s="42"/>
      <c r="AG1541" s="42"/>
      <c r="AH1541" s="42"/>
      <c r="AI1541" s="42" t="str">
        <f t="array" ref="AI1541">XLOOKUP($E1541,Sheet11!$D:$D,Sheet11!$X:$X,"",0)</f>
        <v/>
      </c>
      <c r="AJ1541" s="42" t="str">
        <f t="array" ref="AJ1541">XLOOKUP($E1541,Sheet11!$D:$D,Sheet11!$Y:$Y,"",0)</f>
        <v/>
      </c>
    </row>
    <row r="1542">
      <c r="A1542" s="23"/>
      <c r="B1542" s="42"/>
      <c r="C1542" s="42"/>
      <c r="D1542" s="42"/>
      <c r="E1542" s="42"/>
      <c r="F1542" s="42"/>
      <c r="G1542" s="42"/>
      <c r="H1542" s="42"/>
      <c r="I1542" s="42"/>
      <c r="J1542" s="42"/>
      <c r="K1542" s="42"/>
      <c r="L1542" s="46"/>
      <c r="M1542" s="46"/>
      <c r="N1542" s="46"/>
      <c r="O1542" s="61"/>
      <c r="P1542" s="62"/>
      <c r="Q1542" s="46"/>
      <c r="R1542" s="47"/>
      <c r="S1542" s="62"/>
      <c r="T1542" s="62"/>
      <c r="U1542" s="46"/>
      <c r="V1542" s="61"/>
      <c r="W1542" s="62"/>
      <c r="X1542" s="47"/>
      <c r="Y1542" s="46"/>
      <c r="Z1542" s="46"/>
      <c r="AA1542" s="46"/>
      <c r="AB1542" s="49"/>
      <c r="AC1542" s="42"/>
      <c r="AD1542" s="42"/>
      <c r="AE1542" s="50"/>
      <c r="AF1542" s="42"/>
      <c r="AG1542" s="42"/>
      <c r="AH1542" s="42"/>
      <c r="AI1542" s="42" t="str">
        <f t="array" ref="AI1542">XLOOKUP($E1542,Sheet11!$D:$D,Sheet11!$X:$X,"",0)</f>
        <v/>
      </c>
      <c r="AJ1542" s="42" t="str">
        <f t="array" ref="AJ1542">XLOOKUP($E1542,Sheet11!$D:$D,Sheet11!$Y:$Y,"",0)</f>
        <v/>
      </c>
    </row>
    <row r="1543">
      <c r="A1543" s="23"/>
      <c r="B1543" s="42"/>
      <c r="C1543" s="42"/>
      <c r="D1543" s="42"/>
      <c r="E1543" s="42"/>
      <c r="F1543" s="42"/>
      <c r="G1543" s="42"/>
      <c r="H1543" s="42"/>
      <c r="I1543" s="42"/>
      <c r="J1543" s="42"/>
      <c r="K1543" s="42"/>
      <c r="L1543" s="46"/>
      <c r="M1543" s="46"/>
      <c r="N1543" s="46"/>
      <c r="O1543" s="61"/>
      <c r="P1543" s="62"/>
      <c r="Q1543" s="46"/>
      <c r="R1543" s="47"/>
      <c r="S1543" s="62"/>
      <c r="T1543" s="62"/>
      <c r="U1543" s="46"/>
      <c r="V1543" s="61"/>
      <c r="W1543" s="62"/>
      <c r="X1543" s="47"/>
      <c r="Y1543" s="46"/>
      <c r="Z1543" s="46"/>
      <c r="AA1543" s="46"/>
      <c r="AB1543" s="49"/>
      <c r="AC1543" s="42"/>
      <c r="AD1543" s="42"/>
      <c r="AE1543" s="50"/>
      <c r="AF1543" s="42"/>
      <c r="AG1543" s="42"/>
      <c r="AH1543" s="42"/>
      <c r="AI1543" s="42" t="str">
        <f t="array" ref="AI1543">XLOOKUP($E1543,Sheet11!$D:$D,Sheet11!$X:$X,"",0)</f>
        <v/>
      </c>
      <c r="AJ1543" s="42" t="str">
        <f t="array" ref="AJ1543">XLOOKUP($E1543,Sheet11!$D:$D,Sheet11!$Y:$Y,"",0)</f>
        <v/>
      </c>
    </row>
    <row r="1544">
      <c r="A1544" s="23"/>
      <c r="B1544" s="42"/>
      <c r="C1544" s="42"/>
      <c r="D1544" s="42"/>
      <c r="E1544" s="42"/>
      <c r="F1544" s="42"/>
      <c r="G1544" s="42"/>
      <c r="H1544" s="42"/>
      <c r="I1544" s="42"/>
      <c r="J1544" s="42"/>
      <c r="K1544" s="42"/>
      <c r="L1544" s="46"/>
      <c r="M1544" s="46"/>
      <c r="N1544" s="46"/>
      <c r="O1544" s="61"/>
      <c r="P1544" s="62"/>
      <c r="Q1544" s="46"/>
      <c r="R1544" s="47"/>
      <c r="S1544" s="62"/>
      <c r="T1544" s="62"/>
      <c r="U1544" s="46"/>
      <c r="V1544" s="61"/>
      <c r="W1544" s="62"/>
      <c r="X1544" s="47"/>
      <c r="Y1544" s="46"/>
      <c r="Z1544" s="46"/>
      <c r="AA1544" s="46"/>
      <c r="AB1544" s="49"/>
      <c r="AC1544" s="42"/>
      <c r="AD1544" s="42"/>
      <c r="AE1544" s="50"/>
      <c r="AF1544" s="42"/>
      <c r="AG1544" s="42"/>
      <c r="AH1544" s="42"/>
      <c r="AI1544" s="42" t="str">
        <f t="array" ref="AI1544">XLOOKUP($E1544,Sheet11!$D:$D,Sheet11!$X:$X,"",0)</f>
        <v/>
      </c>
      <c r="AJ1544" s="42" t="str">
        <f t="array" ref="AJ1544">XLOOKUP($E1544,Sheet11!$D:$D,Sheet11!$Y:$Y,"",0)</f>
        <v/>
      </c>
    </row>
    <row r="1545">
      <c r="A1545" s="23"/>
      <c r="B1545" s="42"/>
      <c r="C1545" s="42"/>
      <c r="D1545" s="42"/>
      <c r="E1545" s="42"/>
      <c r="F1545" s="42"/>
      <c r="G1545" s="42"/>
      <c r="H1545" s="42"/>
      <c r="I1545" s="42"/>
      <c r="J1545" s="42"/>
      <c r="K1545" s="42"/>
      <c r="L1545" s="46"/>
      <c r="M1545" s="46"/>
      <c r="N1545" s="46"/>
      <c r="O1545" s="61"/>
      <c r="P1545" s="62"/>
      <c r="Q1545" s="46"/>
      <c r="R1545" s="47"/>
      <c r="S1545" s="62"/>
      <c r="T1545" s="62"/>
      <c r="U1545" s="46"/>
      <c r="V1545" s="61"/>
      <c r="W1545" s="62"/>
      <c r="X1545" s="47"/>
      <c r="Y1545" s="46"/>
      <c r="Z1545" s="46"/>
      <c r="AA1545" s="46"/>
      <c r="AB1545" s="49"/>
      <c r="AC1545" s="42"/>
      <c r="AD1545" s="42"/>
      <c r="AE1545" s="50"/>
      <c r="AF1545" s="42"/>
      <c r="AG1545" s="42"/>
      <c r="AH1545" s="42"/>
      <c r="AI1545" s="42" t="str">
        <f t="array" ref="AI1545">XLOOKUP($E1545,Sheet11!$D:$D,Sheet11!$X:$X,"",0)</f>
        <v/>
      </c>
      <c r="AJ1545" s="42" t="str">
        <f t="array" ref="AJ1545">XLOOKUP($E1545,Sheet11!$D:$D,Sheet11!$Y:$Y,"",0)</f>
        <v/>
      </c>
    </row>
    <row r="1546">
      <c r="A1546" s="23"/>
      <c r="B1546" s="42"/>
      <c r="C1546" s="42"/>
      <c r="D1546" s="42"/>
      <c r="E1546" s="42"/>
      <c r="F1546" s="42"/>
      <c r="G1546" s="42"/>
      <c r="H1546" s="42"/>
      <c r="I1546" s="42"/>
      <c r="J1546" s="42"/>
      <c r="K1546" s="42"/>
      <c r="L1546" s="46"/>
      <c r="M1546" s="46"/>
      <c r="N1546" s="46"/>
      <c r="O1546" s="61"/>
      <c r="P1546" s="62"/>
      <c r="Q1546" s="46"/>
      <c r="R1546" s="47"/>
      <c r="S1546" s="62"/>
      <c r="T1546" s="62"/>
      <c r="U1546" s="46"/>
      <c r="V1546" s="61"/>
      <c r="W1546" s="62"/>
      <c r="X1546" s="47"/>
      <c r="Y1546" s="46"/>
      <c r="Z1546" s="46"/>
      <c r="AA1546" s="46"/>
      <c r="AB1546" s="49"/>
      <c r="AC1546" s="42"/>
      <c r="AD1546" s="42"/>
      <c r="AE1546" s="50"/>
      <c r="AF1546" s="42"/>
      <c r="AG1546" s="42"/>
      <c r="AH1546" s="42"/>
      <c r="AI1546" s="42" t="str">
        <f t="array" ref="AI1546">XLOOKUP($E1546,Sheet11!$D:$D,Sheet11!$X:$X,"",0)</f>
        <v/>
      </c>
      <c r="AJ1546" s="42" t="str">
        <f t="array" ref="AJ1546">XLOOKUP($E1546,Sheet11!$D:$D,Sheet11!$Y:$Y,"",0)</f>
        <v/>
      </c>
    </row>
    <row r="1547">
      <c r="A1547" s="23"/>
      <c r="B1547" s="42"/>
      <c r="C1547" s="42"/>
      <c r="D1547" s="42"/>
      <c r="E1547" s="42"/>
      <c r="F1547" s="42"/>
      <c r="G1547" s="42"/>
      <c r="H1547" s="42"/>
      <c r="I1547" s="42"/>
      <c r="J1547" s="42"/>
      <c r="K1547" s="42"/>
      <c r="L1547" s="46"/>
      <c r="M1547" s="46"/>
      <c r="N1547" s="46"/>
      <c r="O1547" s="61"/>
      <c r="P1547" s="62"/>
      <c r="Q1547" s="46"/>
      <c r="R1547" s="47"/>
      <c r="S1547" s="62"/>
      <c r="T1547" s="62"/>
      <c r="U1547" s="46"/>
      <c r="V1547" s="61"/>
      <c r="W1547" s="62"/>
      <c r="X1547" s="47"/>
      <c r="Y1547" s="46"/>
      <c r="Z1547" s="46"/>
      <c r="AA1547" s="46"/>
      <c r="AB1547" s="49"/>
      <c r="AC1547" s="42"/>
      <c r="AD1547" s="42"/>
      <c r="AE1547" s="50"/>
      <c r="AF1547" s="42"/>
      <c r="AG1547" s="42"/>
      <c r="AH1547" s="42"/>
      <c r="AI1547" s="42" t="str">
        <f t="array" ref="AI1547">XLOOKUP($E1547,Sheet11!$D:$D,Sheet11!$X:$X,"",0)</f>
        <v/>
      </c>
      <c r="AJ1547" s="42" t="str">
        <f t="array" ref="AJ1547">XLOOKUP($E1547,Sheet11!$D:$D,Sheet11!$Y:$Y,"",0)</f>
        <v/>
      </c>
    </row>
    <row r="1548">
      <c r="A1548" s="23"/>
      <c r="B1548" s="42"/>
      <c r="C1548" s="42"/>
      <c r="D1548" s="42"/>
      <c r="E1548" s="42"/>
      <c r="F1548" s="42"/>
      <c r="G1548" s="42"/>
      <c r="H1548" s="42"/>
      <c r="I1548" s="42"/>
      <c r="J1548" s="42"/>
      <c r="K1548" s="42"/>
      <c r="L1548" s="46"/>
      <c r="M1548" s="46"/>
      <c r="N1548" s="46"/>
      <c r="O1548" s="61"/>
      <c r="P1548" s="62"/>
      <c r="Q1548" s="46"/>
      <c r="R1548" s="47"/>
      <c r="S1548" s="62"/>
      <c r="T1548" s="62"/>
      <c r="U1548" s="46"/>
      <c r="V1548" s="61"/>
      <c r="W1548" s="62"/>
      <c r="X1548" s="47"/>
      <c r="Y1548" s="46"/>
      <c r="Z1548" s="46"/>
      <c r="AA1548" s="46"/>
      <c r="AB1548" s="49"/>
      <c r="AC1548" s="42"/>
      <c r="AD1548" s="42"/>
      <c r="AE1548" s="50"/>
      <c r="AF1548" s="42"/>
      <c r="AG1548" s="42"/>
      <c r="AH1548" s="42"/>
      <c r="AI1548" s="42" t="str">
        <f t="array" ref="AI1548">XLOOKUP($E1548,Sheet11!$D:$D,Sheet11!$X:$X,"",0)</f>
        <v/>
      </c>
      <c r="AJ1548" s="42" t="str">
        <f t="array" ref="AJ1548">XLOOKUP($E1548,Sheet11!$D:$D,Sheet11!$Y:$Y,"",0)</f>
        <v/>
      </c>
    </row>
    <row r="1549">
      <c r="A1549" s="23"/>
      <c r="B1549" s="42"/>
      <c r="C1549" s="42"/>
      <c r="D1549" s="42"/>
      <c r="E1549" s="42"/>
      <c r="F1549" s="42"/>
      <c r="G1549" s="42"/>
      <c r="H1549" s="42"/>
      <c r="I1549" s="42"/>
      <c r="J1549" s="42"/>
      <c r="K1549" s="42"/>
      <c r="L1549" s="46"/>
      <c r="M1549" s="46"/>
      <c r="N1549" s="46"/>
      <c r="O1549" s="61"/>
      <c r="P1549" s="62"/>
      <c r="Q1549" s="46"/>
      <c r="R1549" s="47"/>
      <c r="S1549" s="62"/>
      <c r="T1549" s="62"/>
      <c r="U1549" s="46"/>
      <c r="V1549" s="61"/>
      <c r="W1549" s="62"/>
      <c r="X1549" s="47"/>
      <c r="Y1549" s="46"/>
      <c r="Z1549" s="46"/>
      <c r="AA1549" s="46"/>
      <c r="AB1549" s="49"/>
      <c r="AC1549" s="42"/>
      <c r="AD1549" s="42"/>
      <c r="AE1549" s="50"/>
      <c r="AF1549" s="42"/>
      <c r="AG1549" s="42"/>
      <c r="AH1549" s="42"/>
      <c r="AI1549" s="42" t="str">
        <f t="array" ref="AI1549">XLOOKUP($E1549,Sheet11!$D:$D,Sheet11!$X:$X,"",0)</f>
        <v/>
      </c>
      <c r="AJ1549" s="42" t="str">
        <f t="array" ref="AJ1549">XLOOKUP($E1549,Sheet11!$D:$D,Sheet11!$Y:$Y,"",0)</f>
        <v/>
      </c>
    </row>
    <row r="1550">
      <c r="A1550" s="23"/>
      <c r="B1550" s="42"/>
      <c r="C1550" s="42"/>
      <c r="D1550" s="42"/>
      <c r="E1550" s="42"/>
      <c r="F1550" s="42"/>
      <c r="G1550" s="42"/>
      <c r="H1550" s="42"/>
      <c r="I1550" s="42"/>
      <c r="J1550" s="42"/>
      <c r="K1550" s="42"/>
      <c r="L1550" s="46"/>
      <c r="M1550" s="46"/>
      <c r="N1550" s="46"/>
      <c r="O1550" s="61"/>
      <c r="P1550" s="62"/>
      <c r="Q1550" s="46"/>
      <c r="R1550" s="47"/>
      <c r="S1550" s="62"/>
      <c r="T1550" s="62"/>
      <c r="U1550" s="46"/>
      <c r="V1550" s="61"/>
      <c r="W1550" s="62"/>
      <c r="X1550" s="47"/>
      <c r="Y1550" s="46"/>
      <c r="Z1550" s="46"/>
      <c r="AA1550" s="46"/>
      <c r="AB1550" s="49"/>
      <c r="AC1550" s="42"/>
      <c r="AD1550" s="42"/>
      <c r="AE1550" s="50"/>
      <c r="AF1550" s="42"/>
      <c r="AG1550" s="42"/>
      <c r="AH1550" s="42"/>
      <c r="AI1550" s="42" t="str">
        <f t="array" ref="AI1550">XLOOKUP($E1550,Sheet11!$D:$D,Sheet11!$X:$X,"",0)</f>
        <v/>
      </c>
      <c r="AJ1550" s="42" t="str">
        <f t="array" ref="AJ1550">XLOOKUP($E1550,Sheet11!$D:$D,Sheet11!$Y:$Y,"",0)</f>
        <v/>
      </c>
    </row>
    <row r="1551">
      <c r="A1551" s="23"/>
      <c r="B1551" s="42"/>
      <c r="C1551" s="42"/>
      <c r="D1551" s="42"/>
      <c r="E1551" s="42"/>
      <c r="F1551" s="42"/>
      <c r="G1551" s="42"/>
      <c r="H1551" s="42"/>
      <c r="I1551" s="42"/>
      <c r="J1551" s="42"/>
      <c r="K1551" s="42"/>
      <c r="L1551" s="46"/>
      <c r="M1551" s="46"/>
      <c r="N1551" s="46"/>
      <c r="O1551" s="61"/>
      <c r="P1551" s="62"/>
      <c r="Q1551" s="46"/>
      <c r="R1551" s="47"/>
      <c r="S1551" s="62"/>
      <c r="T1551" s="62"/>
      <c r="U1551" s="46"/>
      <c r="V1551" s="61"/>
      <c r="W1551" s="62"/>
      <c r="X1551" s="47"/>
      <c r="Y1551" s="46"/>
      <c r="Z1551" s="46"/>
      <c r="AA1551" s="46"/>
      <c r="AB1551" s="49"/>
      <c r="AC1551" s="42"/>
      <c r="AD1551" s="42"/>
      <c r="AE1551" s="50"/>
      <c r="AF1551" s="42"/>
      <c r="AG1551" s="42"/>
      <c r="AH1551" s="42"/>
      <c r="AI1551" s="42" t="str">
        <f t="array" ref="AI1551">XLOOKUP($E1551,Sheet11!$D:$D,Sheet11!$X:$X,"",0)</f>
        <v/>
      </c>
      <c r="AJ1551" s="42" t="str">
        <f t="array" ref="AJ1551">XLOOKUP($E1551,Sheet11!$D:$D,Sheet11!$Y:$Y,"",0)</f>
        <v/>
      </c>
    </row>
    <row r="1552">
      <c r="A1552" s="23"/>
      <c r="B1552" s="42"/>
      <c r="C1552" s="42"/>
      <c r="D1552" s="42"/>
      <c r="E1552" s="42"/>
      <c r="F1552" s="42"/>
      <c r="G1552" s="42"/>
      <c r="H1552" s="42"/>
      <c r="I1552" s="42"/>
      <c r="J1552" s="42"/>
      <c r="K1552" s="42"/>
      <c r="L1552" s="46"/>
      <c r="M1552" s="46"/>
      <c r="N1552" s="46"/>
      <c r="O1552" s="61"/>
      <c r="P1552" s="62"/>
      <c r="Q1552" s="46"/>
      <c r="R1552" s="47"/>
      <c r="S1552" s="62"/>
      <c r="T1552" s="62"/>
      <c r="U1552" s="46"/>
      <c r="V1552" s="61"/>
      <c r="W1552" s="62"/>
      <c r="X1552" s="47"/>
      <c r="Y1552" s="46"/>
      <c r="Z1552" s="46"/>
      <c r="AA1552" s="46"/>
      <c r="AB1552" s="49"/>
      <c r="AC1552" s="42"/>
      <c r="AD1552" s="42"/>
      <c r="AE1552" s="50"/>
      <c r="AF1552" s="42"/>
      <c r="AG1552" s="42"/>
      <c r="AH1552" s="42"/>
      <c r="AI1552" s="42" t="str">
        <f t="array" ref="AI1552">XLOOKUP($E1552,Sheet11!$D:$D,Sheet11!$X:$X,"",0)</f>
        <v/>
      </c>
      <c r="AJ1552" s="42" t="str">
        <f t="array" ref="AJ1552">XLOOKUP($E1552,Sheet11!$D:$D,Sheet11!$Y:$Y,"",0)</f>
        <v/>
      </c>
    </row>
    <row r="1553">
      <c r="A1553" s="23"/>
      <c r="B1553" s="42"/>
      <c r="C1553" s="42"/>
      <c r="D1553" s="42"/>
      <c r="E1553" s="42"/>
      <c r="F1553" s="42"/>
      <c r="G1553" s="42"/>
      <c r="H1553" s="42"/>
      <c r="I1553" s="42"/>
      <c r="J1553" s="42"/>
      <c r="K1553" s="42"/>
      <c r="L1553" s="46"/>
      <c r="M1553" s="46"/>
      <c r="N1553" s="46"/>
      <c r="O1553" s="61"/>
      <c r="P1553" s="62"/>
      <c r="Q1553" s="46"/>
      <c r="R1553" s="47"/>
      <c r="S1553" s="62"/>
      <c r="T1553" s="62"/>
      <c r="U1553" s="46"/>
      <c r="V1553" s="61"/>
      <c r="W1553" s="62"/>
      <c r="X1553" s="47"/>
      <c r="Y1553" s="46"/>
      <c r="Z1553" s="46"/>
      <c r="AA1553" s="46"/>
      <c r="AB1553" s="49"/>
      <c r="AC1553" s="42"/>
      <c r="AD1553" s="42"/>
      <c r="AE1553" s="50"/>
      <c r="AF1553" s="42"/>
      <c r="AG1553" s="42"/>
      <c r="AH1553" s="42"/>
      <c r="AI1553" s="42" t="str">
        <f t="array" ref="AI1553">XLOOKUP($E1553,Sheet11!$D:$D,Sheet11!$X:$X,"",0)</f>
        <v/>
      </c>
      <c r="AJ1553" s="42" t="str">
        <f t="array" ref="AJ1553">XLOOKUP($E1553,Sheet11!$D:$D,Sheet11!$Y:$Y,"",0)</f>
        <v/>
      </c>
    </row>
    <row r="1554">
      <c r="A1554" s="23"/>
      <c r="B1554" s="42"/>
      <c r="C1554" s="42"/>
      <c r="D1554" s="42"/>
      <c r="E1554" s="42"/>
      <c r="F1554" s="42"/>
      <c r="G1554" s="42"/>
      <c r="H1554" s="42"/>
      <c r="I1554" s="42"/>
      <c r="J1554" s="42"/>
      <c r="K1554" s="42"/>
      <c r="L1554" s="46"/>
      <c r="M1554" s="46"/>
      <c r="N1554" s="46"/>
      <c r="O1554" s="61"/>
      <c r="P1554" s="62"/>
      <c r="Q1554" s="46"/>
      <c r="R1554" s="47"/>
      <c r="S1554" s="62"/>
      <c r="T1554" s="62"/>
      <c r="U1554" s="46"/>
      <c r="V1554" s="61"/>
      <c r="W1554" s="62"/>
      <c r="X1554" s="47"/>
      <c r="Y1554" s="46"/>
      <c r="Z1554" s="46"/>
      <c r="AA1554" s="46"/>
      <c r="AB1554" s="49"/>
      <c r="AC1554" s="42"/>
      <c r="AD1554" s="42"/>
      <c r="AE1554" s="50"/>
      <c r="AF1554" s="42"/>
      <c r="AG1554" s="42"/>
      <c r="AH1554" s="42"/>
      <c r="AI1554" s="42" t="str">
        <f t="array" ref="AI1554">XLOOKUP($E1554,Sheet11!$D:$D,Sheet11!$X:$X,"",0)</f>
        <v/>
      </c>
      <c r="AJ1554" s="42" t="str">
        <f t="array" ref="AJ1554">XLOOKUP($E1554,Sheet11!$D:$D,Sheet11!$Y:$Y,"",0)</f>
        <v/>
      </c>
    </row>
    <row r="1555">
      <c r="A1555" s="23"/>
      <c r="B1555" s="42"/>
      <c r="C1555" s="42"/>
      <c r="D1555" s="42"/>
      <c r="E1555" s="42"/>
      <c r="F1555" s="42"/>
      <c r="G1555" s="42"/>
      <c r="H1555" s="42"/>
      <c r="I1555" s="42"/>
      <c r="J1555" s="42"/>
      <c r="K1555" s="42"/>
      <c r="L1555" s="46"/>
      <c r="M1555" s="46"/>
      <c r="N1555" s="46"/>
      <c r="O1555" s="61"/>
      <c r="P1555" s="62"/>
      <c r="Q1555" s="46"/>
      <c r="R1555" s="47"/>
      <c r="S1555" s="62"/>
      <c r="T1555" s="62"/>
      <c r="U1555" s="46"/>
      <c r="V1555" s="61"/>
      <c r="W1555" s="62"/>
      <c r="X1555" s="47"/>
      <c r="Y1555" s="46"/>
      <c r="Z1555" s="46"/>
      <c r="AA1555" s="46"/>
      <c r="AB1555" s="49"/>
      <c r="AC1555" s="42"/>
      <c r="AD1555" s="42"/>
      <c r="AE1555" s="50"/>
      <c r="AF1555" s="42"/>
      <c r="AG1555" s="42"/>
      <c r="AH1555" s="42"/>
      <c r="AI1555" s="42" t="str">
        <f t="array" ref="AI1555">XLOOKUP($E1555,Sheet11!$D:$D,Sheet11!$X:$X,"",0)</f>
        <v/>
      </c>
      <c r="AJ1555" s="42" t="str">
        <f t="array" ref="AJ1555">XLOOKUP($E1555,Sheet11!$D:$D,Sheet11!$Y:$Y,"",0)</f>
        <v/>
      </c>
    </row>
    <row r="1556">
      <c r="A1556" s="23"/>
      <c r="B1556" s="42"/>
      <c r="C1556" s="42"/>
      <c r="D1556" s="42"/>
      <c r="E1556" s="42"/>
      <c r="F1556" s="42"/>
      <c r="G1556" s="42"/>
      <c r="H1556" s="42"/>
      <c r="I1556" s="42"/>
      <c r="J1556" s="42"/>
      <c r="K1556" s="42"/>
      <c r="L1556" s="46"/>
      <c r="M1556" s="46"/>
      <c r="N1556" s="46"/>
      <c r="O1556" s="61"/>
      <c r="P1556" s="62"/>
      <c r="Q1556" s="46"/>
      <c r="R1556" s="47"/>
      <c r="S1556" s="62"/>
      <c r="T1556" s="62"/>
      <c r="U1556" s="46"/>
      <c r="V1556" s="61"/>
      <c r="W1556" s="62"/>
      <c r="X1556" s="47"/>
      <c r="Y1556" s="46"/>
      <c r="Z1556" s="46"/>
      <c r="AA1556" s="46"/>
      <c r="AB1556" s="49"/>
      <c r="AC1556" s="42"/>
      <c r="AD1556" s="42"/>
      <c r="AE1556" s="50"/>
      <c r="AF1556" s="42"/>
      <c r="AG1556" s="42"/>
      <c r="AH1556" s="42"/>
      <c r="AI1556" s="42" t="str">
        <f t="array" ref="AI1556">XLOOKUP($E1556,Sheet11!$D:$D,Sheet11!$X:$X,"",0)</f>
        <v/>
      </c>
      <c r="AJ1556" s="42" t="str">
        <f t="array" ref="AJ1556">XLOOKUP($E1556,Sheet11!$D:$D,Sheet11!$Y:$Y,"",0)</f>
        <v/>
      </c>
    </row>
    <row r="1557">
      <c r="A1557" s="23"/>
      <c r="B1557" s="42"/>
      <c r="C1557" s="42"/>
      <c r="D1557" s="42"/>
      <c r="E1557" s="42"/>
      <c r="F1557" s="42"/>
      <c r="G1557" s="42"/>
      <c r="H1557" s="42"/>
      <c r="I1557" s="42"/>
      <c r="J1557" s="42"/>
      <c r="K1557" s="42"/>
      <c r="L1557" s="46"/>
      <c r="M1557" s="46"/>
      <c r="N1557" s="46"/>
      <c r="O1557" s="61"/>
      <c r="P1557" s="62"/>
      <c r="Q1557" s="46"/>
      <c r="R1557" s="47"/>
      <c r="S1557" s="62"/>
      <c r="T1557" s="62"/>
      <c r="U1557" s="46"/>
      <c r="V1557" s="61"/>
      <c r="W1557" s="62"/>
      <c r="X1557" s="47"/>
      <c r="Y1557" s="46"/>
      <c r="Z1557" s="46"/>
      <c r="AA1557" s="46"/>
      <c r="AB1557" s="49"/>
      <c r="AC1557" s="42"/>
      <c r="AD1557" s="42"/>
      <c r="AE1557" s="50"/>
      <c r="AF1557" s="42"/>
      <c r="AG1557" s="42"/>
      <c r="AH1557" s="42"/>
      <c r="AI1557" s="42" t="str">
        <f t="array" ref="AI1557">XLOOKUP($E1557,Sheet11!$D:$D,Sheet11!$X:$X,"",0)</f>
        <v/>
      </c>
      <c r="AJ1557" s="42" t="str">
        <f t="array" ref="AJ1557">XLOOKUP($E1557,Sheet11!$D:$D,Sheet11!$Y:$Y,"",0)</f>
        <v/>
      </c>
    </row>
    <row r="1558">
      <c r="A1558" s="23"/>
      <c r="B1558" s="42"/>
      <c r="C1558" s="42"/>
      <c r="D1558" s="42"/>
      <c r="E1558" s="42"/>
      <c r="F1558" s="42"/>
      <c r="G1558" s="42"/>
      <c r="H1558" s="42"/>
      <c r="I1558" s="42"/>
      <c r="J1558" s="42"/>
      <c r="K1558" s="42"/>
      <c r="L1558" s="46"/>
      <c r="M1558" s="46"/>
      <c r="N1558" s="46"/>
      <c r="O1558" s="61"/>
      <c r="P1558" s="62"/>
      <c r="Q1558" s="46"/>
      <c r="R1558" s="47"/>
      <c r="S1558" s="62"/>
      <c r="T1558" s="62"/>
      <c r="U1558" s="46"/>
      <c r="V1558" s="61"/>
      <c r="W1558" s="62"/>
      <c r="X1558" s="47"/>
      <c r="Y1558" s="46"/>
      <c r="Z1558" s="46"/>
      <c r="AA1558" s="46"/>
      <c r="AB1558" s="49"/>
      <c r="AC1558" s="42"/>
      <c r="AD1558" s="42"/>
      <c r="AE1558" s="50"/>
      <c r="AF1558" s="42"/>
      <c r="AG1558" s="42"/>
      <c r="AH1558" s="42"/>
      <c r="AI1558" s="42" t="str">
        <f t="array" ref="AI1558">XLOOKUP($E1558,Sheet11!$D:$D,Sheet11!$X:$X,"",0)</f>
        <v/>
      </c>
      <c r="AJ1558" s="42" t="str">
        <f t="array" ref="AJ1558">XLOOKUP($E1558,Sheet11!$D:$D,Sheet11!$Y:$Y,"",0)</f>
        <v/>
      </c>
    </row>
    <row r="1559">
      <c r="A1559" s="23"/>
      <c r="B1559" s="42"/>
      <c r="C1559" s="42"/>
      <c r="D1559" s="42"/>
      <c r="E1559" s="42"/>
      <c r="F1559" s="42"/>
      <c r="G1559" s="42"/>
      <c r="H1559" s="42"/>
      <c r="I1559" s="42"/>
      <c r="J1559" s="42"/>
      <c r="K1559" s="42"/>
      <c r="L1559" s="46"/>
      <c r="M1559" s="46"/>
      <c r="N1559" s="46"/>
      <c r="O1559" s="61"/>
      <c r="P1559" s="62"/>
      <c r="Q1559" s="46"/>
      <c r="R1559" s="47"/>
      <c r="S1559" s="62"/>
      <c r="T1559" s="62"/>
      <c r="U1559" s="46"/>
      <c r="V1559" s="61"/>
      <c r="W1559" s="62"/>
      <c r="X1559" s="47"/>
      <c r="Y1559" s="46"/>
      <c r="Z1559" s="46"/>
      <c r="AA1559" s="46"/>
      <c r="AB1559" s="49"/>
      <c r="AC1559" s="42"/>
      <c r="AD1559" s="42"/>
      <c r="AE1559" s="50"/>
      <c r="AF1559" s="42"/>
      <c r="AG1559" s="42"/>
      <c r="AH1559" s="42"/>
      <c r="AI1559" s="42" t="str">
        <f t="array" ref="AI1559">XLOOKUP($E1559,Sheet11!$D:$D,Sheet11!$X:$X,"",0)</f>
        <v/>
      </c>
      <c r="AJ1559" s="42" t="str">
        <f t="array" ref="AJ1559">XLOOKUP($E1559,Sheet11!$D:$D,Sheet11!$Y:$Y,"",0)</f>
        <v/>
      </c>
    </row>
    <row r="1560">
      <c r="A1560" s="23"/>
      <c r="B1560" s="42"/>
      <c r="C1560" s="42"/>
      <c r="D1560" s="42"/>
      <c r="E1560" s="42"/>
      <c r="F1560" s="42"/>
      <c r="G1560" s="42"/>
      <c r="H1560" s="42"/>
      <c r="I1560" s="42"/>
      <c r="J1560" s="42"/>
      <c r="K1560" s="42"/>
      <c r="L1560" s="46"/>
      <c r="M1560" s="46"/>
      <c r="N1560" s="46"/>
      <c r="O1560" s="61"/>
      <c r="P1560" s="62"/>
      <c r="Q1560" s="46"/>
      <c r="R1560" s="47"/>
      <c r="S1560" s="62"/>
      <c r="T1560" s="62"/>
      <c r="U1560" s="46"/>
      <c r="V1560" s="61"/>
      <c r="W1560" s="62"/>
      <c r="X1560" s="47"/>
      <c r="Y1560" s="46"/>
      <c r="Z1560" s="46"/>
      <c r="AA1560" s="46"/>
      <c r="AB1560" s="49"/>
      <c r="AC1560" s="42"/>
      <c r="AD1560" s="42"/>
      <c r="AE1560" s="50"/>
      <c r="AF1560" s="42"/>
      <c r="AG1560" s="42"/>
      <c r="AH1560" s="42"/>
      <c r="AI1560" s="42" t="str">
        <f t="array" ref="AI1560">XLOOKUP($E1560,Sheet11!$D:$D,Sheet11!$X:$X,"",0)</f>
        <v/>
      </c>
      <c r="AJ1560" s="42" t="str">
        <f t="array" ref="AJ1560">XLOOKUP($E1560,Sheet11!$D:$D,Sheet11!$Y:$Y,"",0)</f>
        <v/>
      </c>
    </row>
    <row r="1561">
      <c r="A1561" s="23"/>
      <c r="B1561" s="42"/>
      <c r="C1561" s="42"/>
      <c r="D1561" s="42"/>
      <c r="E1561" s="42"/>
      <c r="F1561" s="42"/>
      <c r="G1561" s="42"/>
      <c r="H1561" s="42"/>
      <c r="I1561" s="42"/>
      <c r="J1561" s="42"/>
      <c r="K1561" s="42"/>
      <c r="L1561" s="46"/>
      <c r="M1561" s="46"/>
      <c r="N1561" s="46"/>
      <c r="O1561" s="61"/>
      <c r="P1561" s="62"/>
      <c r="Q1561" s="46"/>
      <c r="R1561" s="47"/>
      <c r="S1561" s="62"/>
      <c r="T1561" s="62"/>
      <c r="U1561" s="46"/>
      <c r="V1561" s="61"/>
      <c r="W1561" s="62"/>
      <c r="X1561" s="47"/>
      <c r="Y1561" s="46"/>
      <c r="Z1561" s="46"/>
      <c r="AA1561" s="46"/>
      <c r="AB1561" s="49"/>
      <c r="AC1561" s="42"/>
      <c r="AD1561" s="42"/>
      <c r="AE1561" s="50"/>
      <c r="AF1561" s="42"/>
      <c r="AG1561" s="42"/>
      <c r="AH1561" s="42"/>
      <c r="AI1561" s="42" t="str">
        <f t="array" ref="AI1561">XLOOKUP($E1561,Sheet11!$D:$D,Sheet11!$X:$X,"",0)</f>
        <v/>
      </c>
      <c r="AJ1561" s="42" t="str">
        <f t="array" ref="AJ1561">XLOOKUP($E1561,Sheet11!$D:$D,Sheet11!$Y:$Y,"",0)</f>
        <v/>
      </c>
    </row>
    <row r="1562">
      <c r="A1562" s="23"/>
      <c r="B1562" s="42"/>
      <c r="C1562" s="42"/>
      <c r="D1562" s="42"/>
      <c r="E1562" s="42"/>
      <c r="F1562" s="42"/>
      <c r="G1562" s="42"/>
      <c r="H1562" s="42"/>
      <c r="I1562" s="42"/>
      <c r="J1562" s="42"/>
      <c r="K1562" s="42"/>
      <c r="L1562" s="46"/>
      <c r="M1562" s="46"/>
      <c r="N1562" s="46"/>
      <c r="O1562" s="61"/>
      <c r="P1562" s="62"/>
      <c r="Q1562" s="46"/>
      <c r="R1562" s="47"/>
      <c r="S1562" s="62"/>
      <c r="T1562" s="62"/>
      <c r="U1562" s="46"/>
      <c r="V1562" s="61"/>
      <c r="W1562" s="62"/>
      <c r="X1562" s="47"/>
      <c r="Y1562" s="46"/>
      <c r="Z1562" s="46"/>
      <c r="AA1562" s="46"/>
      <c r="AB1562" s="49"/>
      <c r="AC1562" s="42"/>
      <c r="AD1562" s="42"/>
      <c r="AE1562" s="50"/>
      <c r="AF1562" s="42"/>
      <c r="AG1562" s="42"/>
      <c r="AH1562" s="42"/>
      <c r="AI1562" s="42" t="str">
        <f t="array" ref="AI1562">XLOOKUP($E1562,Sheet11!$D:$D,Sheet11!$X:$X,"",0)</f>
        <v/>
      </c>
      <c r="AJ1562" s="42" t="str">
        <f t="array" ref="AJ1562">XLOOKUP($E1562,Sheet11!$D:$D,Sheet11!$Y:$Y,"",0)</f>
        <v/>
      </c>
    </row>
    <row r="1563">
      <c r="A1563" s="23"/>
      <c r="B1563" s="42"/>
      <c r="C1563" s="42"/>
      <c r="D1563" s="42"/>
      <c r="E1563" s="42"/>
      <c r="F1563" s="42"/>
      <c r="G1563" s="42"/>
      <c r="H1563" s="42"/>
      <c r="I1563" s="42"/>
      <c r="J1563" s="42"/>
      <c r="K1563" s="42"/>
      <c r="L1563" s="46"/>
      <c r="M1563" s="46"/>
      <c r="N1563" s="46"/>
      <c r="O1563" s="61"/>
      <c r="P1563" s="62"/>
      <c r="Q1563" s="46"/>
      <c r="R1563" s="47"/>
      <c r="S1563" s="62"/>
      <c r="T1563" s="62"/>
      <c r="U1563" s="46"/>
      <c r="V1563" s="61"/>
      <c r="W1563" s="62"/>
      <c r="X1563" s="47"/>
      <c r="Y1563" s="46"/>
      <c r="Z1563" s="46"/>
      <c r="AA1563" s="46"/>
      <c r="AB1563" s="49"/>
      <c r="AC1563" s="42"/>
      <c r="AD1563" s="42"/>
      <c r="AE1563" s="50"/>
      <c r="AF1563" s="42"/>
      <c r="AG1563" s="42"/>
      <c r="AH1563" s="42"/>
      <c r="AI1563" s="42" t="str">
        <f t="array" ref="AI1563">XLOOKUP($E1563,Sheet11!$D:$D,Sheet11!$X:$X,"",0)</f>
        <v/>
      </c>
      <c r="AJ1563" s="42" t="str">
        <f t="array" ref="AJ1563">XLOOKUP($E1563,Sheet11!$D:$D,Sheet11!$Y:$Y,"",0)</f>
        <v/>
      </c>
    </row>
    <row r="1564">
      <c r="A1564" s="23"/>
      <c r="B1564" s="42"/>
      <c r="C1564" s="42"/>
      <c r="D1564" s="42"/>
      <c r="E1564" s="42"/>
      <c r="F1564" s="42"/>
      <c r="G1564" s="42"/>
      <c r="H1564" s="42"/>
      <c r="I1564" s="42"/>
      <c r="J1564" s="42"/>
      <c r="K1564" s="42"/>
      <c r="L1564" s="46"/>
      <c r="M1564" s="46"/>
      <c r="N1564" s="46"/>
      <c r="O1564" s="61"/>
      <c r="P1564" s="62"/>
      <c r="Q1564" s="46"/>
      <c r="R1564" s="47"/>
      <c r="S1564" s="62"/>
      <c r="T1564" s="62"/>
      <c r="U1564" s="46"/>
      <c r="V1564" s="61"/>
      <c r="W1564" s="62"/>
      <c r="X1564" s="47"/>
      <c r="Y1564" s="46"/>
      <c r="Z1564" s="46"/>
      <c r="AA1564" s="46"/>
      <c r="AB1564" s="49"/>
      <c r="AC1564" s="42"/>
      <c r="AD1564" s="42"/>
      <c r="AE1564" s="50"/>
      <c r="AF1564" s="42"/>
      <c r="AG1564" s="42"/>
      <c r="AH1564" s="42"/>
      <c r="AI1564" s="42" t="str">
        <f t="array" ref="AI1564">XLOOKUP($E1564,Sheet11!$D:$D,Sheet11!$X:$X,"",0)</f>
        <v/>
      </c>
      <c r="AJ1564" s="42" t="str">
        <f t="array" ref="AJ1564">XLOOKUP($E1564,Sheet11!$D:$D,Sheet11!$Y:$Y,"",0)</f>
        <v/>
      </c>
    </row>
    <row r="1565">
      <c r="A1565" s="23"/>
      <c r="B1565" s="42"/>
      <c r="C1565" s="42"/>
      <c r="D1565" s="42"/>
      <c r="E1565" s="42"/>
      <c r="F1565" s="42"/>
      <c r="G1565" s="42"/>
      <c r="H1565" s="42"/>
      <c r="I1565" s="42"/>
      <c r="J1565" s="42"/>
      <c r="K1565" s="42"/>
      <c r="L1565" s="46"/>
      <c r="M1565" s="46"/>
      <c r="N1565" s="46"/>
      <c r="O1565" s="61"/>
      <c r="P1565" s="62"/>
      <c r="Q1565" s="46"/>
      <c r="R1565" s="47"/>
      <c r="S1565" s="62"/>
      <c r="T1565" s="62"/>
      <c r="U1565" s="46"/>
      <c r="V1565" s="61"/>
      <c r="W1565" s="62"/>
      <c r="X1565" s="47"/>
      <c r="Y1565" s="46"/>
      <c r="Z1565" s="46"/>
      <c r="AA1565" s="46"/>
      <c r="AB1565" s="49"/>
      <c r="AC1565" s="42"/>
      <c r="AD1565" s="42"/>
      <c r="AE1565" s="50"/>
      <c r="AF1565" s="42"/>
      <c r="AG1565" s="42"/>
      <c r="AH1565" s="42"/>
      <c r="AI1565" s="42" t="str">
        <f t="array" ref="AI1565">XLOOKUP($E1565,Sheet11!$D:$D,Sheet11!$X:$X,"",0)</f>
        <v/>
      </c>
      <c r="AJ1565" s="42" t="str">
        <f t="array" ref="AJ1565">XLOOKUP($E1565,Sheet11!$D:$D,Sheet11!$Y:$Y,"",0)</f>
        <v/>
      </c>
    </row>
    <row r="1566">
      <c r="A1566" s="23"/>
      <c r="B1566" s="42"/>
      <c r="C1566" s="42"/>
      <c r="D1566" s="42"/>
      <c r="E1566" s="42"/>
      <c r="F1566" s="42"/>
      <c r="G1566" s="42"/>
      <c r="H1566" s="42"/>
      <c r="I1566" s="42"/>
      <c r="J1566" s="42"/>
      <c r="K1566" s="42"/>
      <c r="L1566" s="46"/>
      <c r="M1566" s="46"/>
      <c r="N1566" s="46"/>
      <c r="O1566" s="61"/>
      <c r="P1566" s="62"/>
      <c r="Q1566" s="46"/>
      <c r="R1566" s="47"/>
      <c r="S1566" s="62"/>
      <c r="T1566" s="62"/>
      <c r="U1566" s="46"/>
      <c r="V1566" s="61"/>
      <c r="W1566" s="62"/>
      <c r="X1566" s="47"/>
      <c r="Y1566" s="46"/>
      <c r="Z1566" s="46"/>
      <c r="AA1566" s="46"/>
      <c r="AB1566" s="49"/>
      <c r="AC1566" s="42"/>
      <c r="AD1566" s="42"/>
      <c r="AE1566" s="50"/>
      <c r="AF1566" s="42"/>
      <c r="AG1566" s="42"/>
      <c r="AH1566" s="42"/>
      <c r="AI1566" s="42" t="str">
        <f t="array" ref="AI1566">XLOOKUP($E1566,Sheet11!$D:$D,Sheet11!$X:$X,"",0)</f>
        <v/>
      </c>
      <c r="AJ1566" s="42" t="str">
        <f t="array" ref="AJ1566">XLOOKUP($E1566,Sheet11!$D:$D,Sheet11!$Y:$Y,"",0)</f>
        <v/>
      </c>
    </row>
    <row r="1567">
      <c r="A1567" s="23"/>
      <c r="B1567" s="42"/>
      <c r="C1567" s="42"/>
      <c r="D1567" s="42"/>
      <c r="E1567" s="42"/>
      <c r="F1567" s="42"/>
      <c r="G1567" s="42"/>
      <c r="H1567" s="42"/>
      <c r="I1567" s="42"/>
      <c r="J1567" s="42"/>
      <c r="K1567" s="42"/>
      <c r="L1567" s="46"/>
      <c r="M1567" s="46"/>
      <c r="N1567" s="46"/>
      <c r="O1567" s="61"/>
      <c r="P1567" s="62"/>
      <c r="Q1567" s="46"/>
      <c r="R1567" s="47"/>
      <c r="S1567" s="62"/>
      <c r="T1567" s="62"/>
      <c r="U1567" s="46"/>
      <c r="V1567" s="61"/>
      <c r="W1567" s="62"/>
      <c r="X1567" s="47"/>
      <c r="Y1567" s="46"/>
      <c r="Z1567" s="46"/>
      <c r="AA1567" s="46"/>
      <c r="AB1567" s="49"/>
      <c r="AC1567" s="42"/>
      <c r="AD1567" s="42"/>
      <c r="AE1567" s="50"/>
      <c r="AF1567" s="42"/>
      <c r="AG1567" s="42"/>
      <c r="AH1567" s="42"/>
      <c r="AI1567" s="42" t="str">
        <f t="array" ref="AI1567">XLOOKUP($E1567,Sheet11!$D:$D,Sheet11!$X:$X,"",0)</f>
        <v/>
      </c>
      <c r="AJ1567" s="42" t="str">
        <f t="array" ref="AJ1567">XLOOKUP($E1567,Sheet11!$D:$D,Sheet11!$Y:$Y,"",0)</f>
        <v/>
      </c>
    </row>
    <row r="1568">
      <c r="A1568" s="23"/>
      <c r="B1568" s="42"/>
      <c r="C1568" s="42"/>
      <c r="D1568" s="42"/>
      <c r="E1568" s="42"/>
      <c r="F1568" s="42"/>
      <c r="G1568" s="42"/>
      <c r="H1568" s="42"/>
      <c r="I1568" s="42"/>
      <c r="J1568" s="42"/>
      <c r="K1568" s="42"/>
      <c r="L1568" s="46"/>
      <c r="M1568" s="46"/>
      <c r="N1568" s="46"/>
      <c r="O1568" s="61"/>
      <c r="P1568" s="62"/>
      <c r="Q1568" s="46"/>
      <c r="R1568" s="47"/>
      <c r="S1568" s="62"/>
      <c r="T1568" s="62"/>
      <c r="U1568" s="46"/>
      <c r="V1568" s="61"/>
      <c r="W1568" s="62"/>
      <c r="X1568" s="47"/>
      <c r="Y1568" s="46"/>
      <c r="Z1568" s="46"/>
      <c r="AA1568" s="46"/>
      <c r="AB1568" s="49"/>
      <c r="AC1568" s="42"/>
      <c r="AD1568" s="42"/>
      <c r="AE1568" s="50"/>
      <c r="AF1568" s="42"/>
      <c r="AG1568" s="42"/>
      <c r="AH1568" s="42"/>
      <c r="AI1568" s="42" t="str">
        <f t="array" ref="AI1568">XLOOKUP($E1568,Sheet11!$D:$D,Sheet11!$X:$X,"",0)</f>
        <v/>
      </c>
      <c r="AJ1568" s="42" t="str">
        <f t="array" ref="AJ1568">XLOOKUP($E1568,Sheet11!$D:$D,Sheet11!$Y:$Y,"",0)</f>
        <v/>
      </c>
    </row>
    <row r="1569">
      <c r="A1569" s="23"/>
      <c r="B1569" s="42"/>
      <c r="C1569" s="42"/>
      <c r="D1569" s="42"/>
      <c r="E1569" s="42"/>
      <c r="F1569" s="42"/>
      <c r="G1569" s="42"/>
      <c r="H1569" s="42"/>
      <c r="I1569" s="42"/>
      <c r="J1569" s="42"/>
      <c r="K1569" s="42"/>
      <c r="L1569" s="46"/>
      <c r="M1569" s="46"/>
      <c r="N1569" s="46"/>
      <c r="O1569" s="61"/>
      <c r="P1569" s="62"/>
      <c r="Q1569" s="46"/>
      <c r="R1569" s="47"/>
      <c r="S1569" s="62"/>
      <c r="T1569" s="62"/>
      <c r="U1569" s="46"/>
      <c r="V1569" s="61"/>
      <c r="W1569" s="62"/>
      <c r="X1569" s="47"/>
      <c r="Y1569" s="46"/>
      <c r="Z1569" s="46"/>
      <c r="AA1569" s="46"/>
      <c r="AB1569" s="49"/>
      <c r="AC1569" s="42"/>
      <c r="AD1569" s="42"/>
      <c r="AE1569" s="50"/>
      <c r="AF1569" s="42"/>
      <c r="AG1569" s="42"/>
      <c r="AH1569" s="42"/>
      <c r="AI1569" s="42" t="str">
        <f t="array" ref="AI1569">XLOOKUP($E1569,Sheet11!$D:$D,Sheet11!$X:$X,"",0)</f>
        <v/>
      </c>
      <c r="AJ1569" s="42" t="str">
        <f t="array" ref="AJ1569">XLOOKUP($E1569,Sheet11!$D:$D,Sheet11!$Y:$Y,"",0)</f>
        <v/>
      </c>
    </row>
    <row r="1570">
      <c r="A1570" s="23"/>
      <c r="B1570" s="42"/>
      <c r="C1570" s="42"/>
      <c r="D1570" s="42"/>
      <c r="E1570" s="42"/>
      <c r="F1570" s="42"/>
      <c r="G1570" s="42"/>
      <c r="H1570" s="42"/>
      <c r="I1570" s="42"/>
      <c r="J1570" s="42"/>
      <c r="K1570" s="42"/>
      <c r="L1570" s="46"/>
      <c r="M1570" s="46"/>
      <c r="N1570" s="46"/>
      <c r="O1570" s="61"/>
      <c r="P1570" s="62"/>
      <c r="Q1570" s="46"/>
      <c r="R1570" s="47"/>
      <c r="S1570" s="62"/>
      <c r="T1570" s="62"/>
      <c r="U1570" s="46"/>
      <c r="V1570" s="61"/>
      <c r="W1570" s="62"/>
      <c r="X1570" s="47"/>
      <c r="Y1570" s="46"/>
      <c r="Z1570" s="46"/>
      <c r="AA1570" s="46"/>
      <c r="AB1570" s="49"/>
      <c r="AC1570" s="42"/>
      <c r="AD1570" s="42"/>
      <c r="AE1570" s="50"/>
      <c r="AF1570" s="42"/>
      <c r="AG1570" s="42"/>
      <c r="AH1570" s="42"/>
      <c r="AI1570" s="42" t="str">
        <f t="array" ref="AI1570">XLOOKUP($E1570,Sheet11!$D:$D,Sheet11!$X:$X,"",0)</f>
        <v/>
      </c>
      <c r="AJ1570" s="42" t="str">
        <f t="array" ref="AJ1570">XLOOKUP($E1570,Sheet11!$D:$D,Sheet11!$Y:$Y,"",0)</f>
        <v/>
      </c>
    </row>
    <row r="1571">
      <c r="A1571" s="23"/>
      <c r="B1571" s="42"/>
      <c r="C1571" s="42"/>
      <c r="D1571" s="42"/>
      <c r="E1571" s="42"/>
      <c r="F1571" s="42"/>
      <c r="G1571" s="42"/>
      <c r="H1571" s="42"/>
      <c r="I1571" s="42"/>
      <c r="J1571" s="42"/>
      <c r="K1571" s="42"/>
      <c r="L1571" s="46"/>
      <c r="M1571" s="46"/>
      <c r="N1571" s="46"/>
      <c r="O1571" s="61"/>
      <c r="P1571" s="62"/>
      <c r="Q1571" s="46"/>
      <c r="R1571" s="47"/>
      <c r="S1571" s="62"/>
      <c r="T1571" s="62"/>
      <c r="U1571" s="46"/>
      <c r="V1571" s="61"/>
      <c r="W1571" s="62"/>
      <c r="X1571" s="47"/>
      <c r="Y1571" s="46"/>
      <c r="Z1571" s="46"/>
      <c r="AA1571" s="46"/>
      <c r="AB1571" s="49"/>
      <c r="AC1571" s="42"/>
      <c r="AD1571" s="42"/>
      <c r="AE1571" s="50"/>
      <c r="AF1571" s="42"/>
      <c r="AG1571" s="42"/>
      <c r="AH1571" s="42"/>
      <c r="AI1571" s="42" t="str">
        <f t="array" ref="AI1571">XLOOKUP($E1571,Sheet11!$D:$D,Sheet11!$X:$X,"",0)</f>
        <v/>
      </c>
      <c r="AJ1571" s="42" t="str">
        <f t="array" ref="AJ1571">XLOOKUP($E1571,Sheet11!$D:$D,Sheet11!$Y:$Y,"",0)</f>
        <v/>
      </c>
    </row>
    <row r="1572">
      <c r="A1572" s="23"/>
      <c r="B1572" s="42"/>
      <c r="C1572" s="42"/>
      <c r="D1572" s="42"/>
      <c r="E1572" s="42"/>
      <c r="F1572" s="42"/>
      <c r="G1572" s="42"/>
      <c r="H1572" s="42"/>
      <c r="I1572" s="42"/>
      <c r="J1572" s="42"/>
      <c r="K1572" s="42"/>
      <c r="L1572" s="46"/>
      <c r="M1572" s="46"/>
      <c r="N1572" s="46"/>
      <c r="O1572" s="61"/>
      <c r="P1572" s="62"/>
      <c r="Q1572" s="46"/>
      <c r="R1572" s="47"/>
      <c r="S1572" s="62"/>
      <c r="T1572" s="62"/>
      <c r="U1572" s="46"/>
      <c r="V1572" s="61"/>
      <c r="W1572" s="62"/>
      <c r="X1572" s="47"/>
      <c r="Y1572" s="46"/>
      <c r="Z1572" s="46"/>
      <c r="AA1572" s="46"/>
      <c r="AB1572" s="49"/>
      <c r="AC1572" s="42"/>
      <c r="AD1572" s="42"/>
      <c r="AE1572" s="50"/>
      <c r="AF1572" s="42"/>
      <c r="AG1572" s="42"/>
      <c r="AH1572" s="42"/>
      <c r="AI1572" s="42" t="str">
        <f t="array" ref="AI1572">XLOOKUP($E1572,Sheet11!$D:$D,Sheet11!$X:$X,"",0)</f>
        <v/>
      </c>
      <c r="AJ1572" s="42" t="str">
        <f t="array" ref="AJ1572">XLOOKUP($E1572,Sheet11!$D:$D,Sheet11!$Y:$Y,"",0)</f>
        <v/>
      </c>
    </row>
    <row r="1573">
      <c r="A1573" s="23"/>
      <c r="B1573" s="42"/>
      <c r="C1573" s="42"/>
      <c r="D1573" s="42"/>
      <c r="E1573" s="42"/>
      <c r="F1573" s="42"/>
      <c r="G1573" s="42"/>
      <c r="H1573" s="42"/>
      <c r="I1573" s="42"/>
      <c r="J1573" s="42"/>
      <c r="K1573" s="42"/>
      <c r="L1573" s="46"/>
      <c r="M1573" s="46"/>
      <c r="N1573" s="46"/>
      <c r="O1573" s="61"/>
      <c r="P1573" s="62"/>
      <c r="Q1573" s="46"/>
      <c r="R1573" s="47"/>
      <c r="S1573" s="62"/>
      <c r="T1573" s="62"/>
      <c r="U1573" s="46"/>
      <c r="V1573" s="61"/>
      <c r="W1573" s="62"/>
      <c r="X1573" s="47"/>
      <c r="Y1573" s="46"/>
      <c r="Z1573" s="46"/>
      <c r="AA1573" s="46"/>
      <c r="AB1573" s="49"/>
      <c r="AC1573" s="42"/>
      <c r="AD1573" s="42"/>
      <c r="AE1573" s="50"/>
      <c r="AF1573" s="42"/>
      <c r="AG1573" s="42"/>
      <c r="AH1573" s="42"/>
      <c r="AI1573" s="42" t="str">
        <f t="array" ref="AI1573">XLOOKUP($E1573,Sheet11!$D:$D,Sheet11!$X:$X,"",0)</f>
        <v/>
      </c>
      <c r="AJ1573" s="42" t="str">
        <f t="array" ref="AJ1573">XLOOKUP($E1573,Sheet11!$D:$D,Sheet11!$Y:$Y,"",0)</f>
        <v/>
      </c>
    </row>
    <row r="1574">
      <c r="A1574" s="23"/>
      <c r="B1574" s="42"/>
      <c r="C1574" s="42"/>
      <c r="D1574" s="42"/>
      <c r="E1574" s="42"/>
      <c r="F1574" s="42"/>
      <c r="G1574" s="42"/>
      <c r="H1574" s="42"/>
      <c r="I1574" s="42"/>
      <c r="J1574" s="42"/>
      <c r="K1574" s="42"/>
      <c r="L1574" s="46"/>
      <c r="M1574" s="46"/>
      <c r="N1574" s="46"/>
      <c r="O1574" s="61"/>
      <c r="P1574" s="62"/>
      <c r="Q1574" s="46"/>
      <c r="R1574" s="47"/>
      <c r="S1574" s="62"/>
      <c r="T1574" s="62"/>
      <c r="U1574" s="46"/>
      <c r="V1574" s="61"/>
      <c r="W1574" s="62"/>
      <c r="X1574" s="47"/>
      <c r="Y1574" s="46"/>
      <c r="Z1574" s="46"/>
      <c r="AA1574" s="46"/>
      <c r="AB1574" s="49"/>
      <c r="AC1574" s="42"/>
      <c r="AD1574" s="42"/>
      <c r="AE1574" s="50"/>
      <c r="AF1574" s="42"/>
      <c r="AG1574" s="42"/>
      <c r="AH1574" s="42"/>
      <c r="AI1574" s="42" t="str">
        <f t="array" ref="AI1574">XLOOKUP($E1574,Sheet11!$D:$D,Sheet11!$X:$X,"",0)</f>
        <v/>
      </c>
      <c r="AJ1574" s="42" t="str">
        <f t="array" ref="AJ1574">XLOOKUP($E1574,Sheet11!$D:$D,Sheet11!$Y:$Y,"",0)</f>
        <v/>
      </c>
    </row>
    <row r="1575">
      <c r="A1575" s="23"/>
      <c r="B1575" s="42"/>
      <c r="C1575" s="42"/>
      <c r="D1575" s="42"/>
      <c r="E1575" s="42"/>
      <c r="F1575" s="42"/>
      <c r="G1575" s="42"/>
      <c r="H1575" s="42"/>
      <c r="I1575" s="42"/>
      <c r="J1575" s="42"/>
      <c r="K1575" s="42"/>
      <c r="L1575" s="46"/>
      <c r="M1575" s="46"/>
      <c r="N1575" s="46"/>
      <c r="O1575" s="61"/>
      <c r="P1575" s="62"/>
      <c r="Q1575" s="46"/>
      <c r="R1575" s="47"/>
      <c r="S1575" s="62"/>
      <c r="T1575" s="62"/>
      <c r="U1575" s="46"/>
      <c r="V1575" s="61"/>
      <c r="W1575" s="62"/>
      <c r="X1575" s="47"/>
      <c r="Y1575" s="46"/>
      <c r="Z1575" s="46"/>
      <c r="AA1575" s="46"/>
      <c r="AB1575" s="49"/>
      <c r="AC1575" s="42"/>
      <c r="AD1575" s="42"/>
      <c r="AE1575" s="50"/>
      <c r="AF1575" s="42"/>
      <c r="AG1575" s="42"/>
      <c r="AH1575" s="42"/>
      <c r="AI1575" s="42" t="str">
        <f t="array" ref="AI1575">XLOOKUP($E1575,Sheet11!$D:$D,Sheet11!$X:$X,"",0)</f>
        <v/>
      </c>
      <c r="AJ1575" s="42" t="str">
        <f t="array" ref="AJ1575">XLOOKUP($E1575,Sheet11!$D:$D,Sheet11!$Y:$Y,"",0)</f>
        <v/>
      </c>
    </row>
    <row r="1576">
      <c r="A1576" s="23"/>
      <c r="B1576" s="42"/>
      <c r="C1576" s="42"/>
      <c r="D1576" s="42"/>
      <c r="E1576" s="42"/>
      <c r="F1576" s="42"/>
      <c r="G1576" s="42"/>
      <c r="H1576" s="42"/>
      <c r="I1576" s="42"/>
      <c r="J1576" s="42"/>
      <c r="K1576" s="42"/>
      <c r="L1576" s="46"/>
      <c r="M1576" s="46"/>
      <c r="N1576" s="46"/>
      <c r="O1576" s="61"/>
      <c r="P1576" s="62"/>
      <c r="Q1576" s="46"/>
      <c r="R1576" s="47"/>
      <c r="S1576" s="62"/>
      <c r="T1576" s="62"/>
      <c r="U1576" s="46"/>
      <c r="V1576" s="61"/>
      <c r="W1576" s="62"/>
      <c r="X1576" s="47"/>
      <c r="Y1576" s="46"/>
      <c r="Z1576" s="46"/>
      <c r="AA1576" s="46"/>
      <c r="AB1576" s="49"/>
      <c r="AC1576" s="42"/>
      <c r="AD1576" s="42"/>
      <c r="AE1576" s="50"/>
      <c r="AF1576" s="42"/>
      <c r="AG1576" s="42"/>
      <c r="AH1576" s="42"/>
      <c r="AI1576" s="42" t="str">
        <f t="array" ref="AI1576">XLOOKUP($E1576,Sheet11!$D:$D,Sheet11!$X:$X,"",0)</f>
        <v/>
      </c>
      <c r="AJ1576" s="42" t="str">
        <f t="array" ref="AJ1576">XLOOKUP($E1576,Sheet11!$D:$D,Sheet11!$Y:$Y,"",0)</f>
        <v/>
      </c>
    </row>
    <row r="1577">
      <c r="A1577" s="23"/>
      <c r="B1577" s="42"/>
      <c r="C1577" s="42"/>
      <c r="D1577" s="42"/>
      <c r="E1577" s="42"/>
      <c r="F1577" s="42"/>
      <c r="G1577" s="42"/>
      <c r="H1577" s="42"/>
      <c r="I1577" s="42"/>
      <c r="J1577" s="42"/>
      <c r="K1577" s="42"/>
      <c r="L1577" s="46"/>
      <c r="M1577" s="46"/>
      <c r="N1577" s="46"/>
      <c r="O1577" s="61"/>
      <c r="P1577" s="62"/>
      <c r="Q1577" s="46"/>
      <c r="R1577" s="47"/>
      <c r="S1577" s="62"/>
      <c r="T1577" s="62"/>
      <c r="U1577" s="46"/>
      <c r="V1577" s="61"/>
      <c r="W1577" s="62"/>
      <c r="X1577" s="47"/>
      <c r="Y1577" s="46"/>
      <c r="Z1577" s="46"/>
      <c r="AA1577" s="46"/>
      <c r="AB1577" s="49"/>
      <c r="AC1577" s="42"/>
      <c r="AD1577" s="42"/>
      <c r="AE1577" s="50"/>
      <c r="AF1577" s="42"/>
      <c r="AG1577" s="42"/>
      <c r="AH1577" s="42"/>
      <c r="AI1577" s="42" t="str">
        <f t="array" ref="AI1577">XLOOKUP($E1577,Sheet11!$D:$D,Sheet11!$X:$X,"",0)</f>
        <v/>
      </c>
      <c r="AJ1577" s="42" t="str">
        <f t="array" ref="AJ1577">XLOOKUP($E1577,Sheet11!$D:$D,Sheet11!$Y:$Y,"",0)</f>
        <v/>
      </c>
    </row>
    <row r="1578">
      <c r="A1578" s="23"/>
      <c r="B1578" s="42"/>
      <c r="C1578" s="42"/>
      <c r="D1578" s="42"/>
      <c r="E1578" s="42"/>
      <c r="F1578" s="42"/>
      <c r="G1578" s="42"/>
      <c r="H1578" s="42"/>
      <c r="I1578" s="42"/>
      <c r="J1578" s="42"/>
      <c r="K1578" s="42"/>
      <c r="L1578" s="46"/>
      <c r="M1578" s="46"/>
      <c r="N1578" s="46"/>
      <c r="O1578" s="61"/>
      <c r="P1578" s="62"/>
      <c r="Q1578" s="46"/>
      <c r="R1578" s="47"/>
      <c r="S1578" s="62"/>
      <c r="T1578" s="62"/>
      <c r="U1578" s="46"/>
      <c r="V1578" s="61"/>
      <c r="W1578" s="62"/>
      <c r="X1578" s="47"/>
      <c r="Y1578" s="46"/>
      <c r="Z1578" s="46"/>
      <c r="AA1578" s="46"/>
      <c r="AB1578" s="49"/>
      <c r="AC1578" s="42"/>
      <c r="AD1578" s="42"/>
      <c r="AE1578" s="50"/>
      <c r="AF1578" s="42"/>
      <c r="AG1578" s="42"/>
      <c r="AH1578" s="42"/>
      <c r="AI1578" s="42" t="str">
        <f t="array" ref="AI1578">XLOOKUP($E1578,Sheet11!$D:$D,Sheet11!$X:$X,"",0)</f>
        <v/>
      </c>
      <c r="AJ1578" s="42" t="str">
        <f t="array" ref="AJ1578">XLOOKUP($E1578,Sheet11!$D:$D,Sheet11!$Y:$Y,"",0)</f>
        <v/>
      </c>
    </row>
    <row r="1579">
      <c r="A1579" s="23"/>
      <c r="B1579" s="42"/>
      <c r="C1579" s="42"/>
      <c r="D1579" s="42"/>
      <c r="E1579" s="42"/>
      <c r="F1579" s="42"/>
      <c r="G1579" s="42"/>
      <c r="H1579" s="42"/>
      <c r="I1579" s="42"/>
      <c r="J1579" s="42"/>
      <c r="K1579" s="42"/>
      <c r="L1579" s="46"/>
      <c r="M1579" s="46"/>
      <c r="N1579" s="46"/>
      <c r="O1579" s="61"/>
      <c r="P1579" s="62"/>
      <c r="Q1579" s="46"/>
      <c r="R1579" s="47"/>
      <c r="S1579" s="62"/>
      <c r="T1579" s="62"/>
      <c r="U1579" s="46"/>
      <c r="V1579" s="61"/>
      <c r="W1579" s="62"/>
      <c r="X1579" s="47"/>
      <c r="Y1579" s="46"/>
      <c r="Z1579" s="46"/>
      <c r="AA1579" s="46"/>
      <c r="AB1579" s="49"/>
      <c r="AC1579" s="42"/>
      <c r="AD1579" s="42"/>
      <c r="AE1579" s="50"/>
      <c r="AF1579" s="42"/>
      <c r="AG1579" s="42"/>
      <c r="AH1579" s="42"/>
      <c r="AI1579" s="42" t="str">
        <f t="array" ref="AI1579">XLOOKUP($E1579,Sheet11!$D:$D,Sheet11!$X:$X,"",0)</f>
        <v/>
      </c>
      <c r="AJ1579" s="42" t="str">
        <f t="array" ref="AJ1579">XLOOKUP($E1579,Sheet11!$D:$D,Sheet11!$Y:$Y,"",0)</f>
        <v/>
      </c>
    </row>
    <row r="1580">
      <c r="A1580" s="23"/>
      <c r="B1580" s="42"/>
      <c r="C1580" s="42"/>
      <c r="D1580" s="42"/>
      <c r="E1580" s="42"/>
      <c r="F1580" s="42"/>
      <c r="G1580" s="42"/>
      <c r="H1580" s="42"/>
      <c r="I1580" s="42"/>
      <c r="J1580" s="42"/>
      <c r="K1580" s="42"/>
      <c r="L1580" s="46"/>
      <c r="M1580" s="46"/>
      <c r="N1580" s="46"/>
      <c r="O1580" s="61"/>
      <c r="P1580" s="62"/>
      <c r="Q1580" s="46"/>
      <c r="R1580" s="47"/>
      <c r="S1580" s="62"/>
      <c r="T1580" s="62"/>
      <c r="U1580" s="46"/>
      <c r="V1580" s="61"/>
      <c r="W1580" s="62"/>
      <c r="X1580" s="47"/>
      <c r="Y1580" s="46"/>
      <c r="Z1580" s="46"/>
      <c r="AA1580" s="46"/>
      <c r="AB1580" s="49"/>
      <c r="AC1580" s="42"/>
      <c r="AD1580" s="42"/>
      <c r="AE1580" s="50"/>
      <c r="AF1580" s="42"/>
      <c r="AG1580" s="42"/>
      <c r="AH1580" s="42"/>
      <c r="AI1580" s="42" t="str">
        <f t="array" ref="AI1580">XLOOKUP($E1580,Sheet11!$D:$D,Sheet11!$X:$X,"",0)</f>
        <v/>
      </c>
      <c r="AJ1580" s="42" t="str">
        <f t="array" ref="AJ1580">XLOOKUP($E1580,Sheet11!$D:$D,Sheet11!$Y:$Y,"",0)</f>
        <v/>
      </c>
    </row>
    <row r="1581">
      <c r="A1581" s="23"/>
      <c r="B1581" s="42"/>
      <c r="C1581" s="42"/>
      <c r="D1581" s="42"/>
      <c r="E1581" s="42"/>
      <c r="F1581" s="42"/>
      <c r="G1581" s="42"/>
      <c r="H1581" s="42"/>
      <c r="I1581" s="42"/>
      <c r="J1581" s="42"/>
      <c r="K1581" s="42"/>
      <c r="L1581" s="46"/>
      <c r="M1581" s="46"/>
      <c r="N1581" s="46"/>
      <c r="O1581" s="61"/>
      <c r="P1581" s="62"/>
      <c r="Q1581" s="46"/>
      <c r="R1581" s="47"/>
      <c r="S1581" s="62"/>
      <c r="T1581" s="62"/>
      <c r="U1581" s="46"/>
      <c r="V1581" s="61"/>
      <c r="W1581" s="62"/>
      <c r="X1581" s="47"/>
      <c r="Y1581" s="46"/>
      <c r="Z1581" s="46"/>
      <c r="AA1581" s="46"/>
      <c r="AB1581" s="49"/>
      <c r="AC1581" s="42"/>
      <c r="AD1581" s="42"/>
      <c r="AE1581" s="50"/>
      <c r="AF1581" s="42"/>
      <c r="AG1581" s="42"/>
      <c r="AH1581" s="42"/>
      <c r="AI1581" s="42" t="str">
        <f t="array" ref="AI1581">XLOOKUP($E1581,Sheet11!$D:$D,Sheet11!$X:$X,"",0)</f>
        <v/>
      </c>
      <c r="AJ1581" s="42" t="str">
        <f t="array" ref="AJ1581">XLOOKUP($E1581,Sheet11!$D:$D,Sheet11!$Y:$Y,"",0)</f>
        <v/>
      </c>
    </row>
    <row r="1582">
      <c r="A1582" s="23"/>
      <c r="B1582" s="42"/>
      <c r="C1582" s="42"/>
      <c r="D1582" s="42"/>
      <c r="E1582" s="42"/>
      <c r="F1582" s="42"/>
      <c r="G1582" s="42"/>
      <c r="H1582" s="42"/>
      <c r="I1582" s="42"/>
      <c r="J1582" s="42"/>
      <c r="K1582" s="42"/>
      <c r="L1582" s="46"/>
      <c r="M1582" s="46"/>
      <c r="N1582" s="46"/>
      <c r="O1582" s="61"/>
      <c r="P1582" s="62"/>
      <c r="Q1582" s="46"/>
      <c r="R1582" s="47"/>
      <c r="S1582" s="62"/>
      <c r="T1582" s="62"/>
      <c r="U1582" s="46"/>
      <c r="V1582" s="61"/>
      <c r="W1582" s="62"/>
      <c r="X1582" s="47"/>
      <c r="Y1582" s="46"/>
      <c r="Z1582" s="46"/>
      <c r="AA1582" s="46"/>
      <c r="AB1582" s="49"/>
      <c r="AC1582" s="42"/>
      <c r="AD1582" s="42"/>
      <c r="AE1582" s="50"/>
      <c r="AF1582" s="42"/>
      <c r="AG1582" s="42"/>
      <c r="AH1582" s="42"/>
      <c r="AI1582" s="42" t="str">
        <f t="array" ref="AI1582">XLOOKUP($E1582,Sheet11!$D:$D,Sheet11!$X:$X,"",0)</f>
        <v/>
      </c>
      <c r="AJ1582" s="42" t="str">
        <f t="array" ref="AJ1582">XLOOKUP($E1582,Sheet11!$D:$D,Sheet11!$Y:$Y,"",0)</f>
        <v/>
      </c>
    </row>
    <row r="1583">
      <c r="A1583" s="23"/>
      <c r="B1583" s="42"/>
      <c r="C1583" s="42"/>
      <c r="D1583" s="42"/>
      <c r="E1583" s="42"/>
      <c r="F1583" s="42"/>
      <c r="G1583" s="42"/>
      <c r="H1583" s="42"/>
      <c r="I1583" s="42"/>
      <c r="J1583" s="42"/>
      <c r="K1583" s="42"/>
      <c r="L1583" s="46"/>
      <c r="M1583" s="46"/>
      <c r="N1583" s="46"/>
      <c r="O1583" s="61"/>
      <c r="P1583" s="62"/>
      <c r="Q1583" s="46"/>
      <c r="R1583" s="47"/>
      <c r="S1583" s="62"/>
      <c r="T1583" s="62"/>
      <c r="U1583" s="46"/>
      <c r="V1583" s="61"/>
      <c r="W1583" s="62"/>
      <c r="X1583" s="47"/>
      <c r="Y1583" s="46"/>
      <c r="Z1583" s="46"/>
      <c r="AA1583" s="46"/>
      <c r="AB1583" s="49"/>
      <c r="AC1583" s="42"/>
      <c r="AD1583" s="42"/>
      <c r="AE1583" s="50"/>
      <c r="AF1583" s="42"/>
      <c r="AG1583" s="42"/>
      <c r="AH1583" s="42"/>
      <c r="AI1583" s="42" t="str">
        <f t="array" ref="AI1583">XLOOKUP($E1583,Sheet11!$D:$D,Sheet11!$X:$X,"",0)</f>
        <v/>
      </c>
      <c r="AJ1583" s="42" t="str">
        <f t="array" ref="AJ1583">XLOOKUP($E1583,Sheet11!$D:$D,Sheet11!$Y:$Y,"",0)</f>
        <v/>
      </c>
    </row>
    <row r="1584">
      <c r="A1584" s="23"/>
      <c r="B1584" s="42"/>
      <c r="C1584" s="42"/>
      <c r="D1584" s="42"/>
      <c r="E1584" s="42"/>
      <c r="F1584" s="42"/>
      <c r="G1584" s="42"/>
      <c r="H1584" s="42"/>
      <c r="I1584" s="42"/>
      <c r="J1584" s="42"/>
      <c r="K1584" s="42"/>
      <c r="L1584" s="46"/>
      <c r="M1584" s="46"/>
      <c r="N1584" s="46"/>
      <c r="O1584" s="61"/>
      <c r="P1584" s="62"/>
      <c r="Q1584" s="46"/>
      <c r="R1584" s="47"/>
      <c r="S1584" s="62"/>
      <c r="T1584" s="62"/>
      <c r="U1584" s="46"/>
      <c r="V1584" s="61"/>
      <c r="W1584" s="62"/>
      <c r="X1584" s="47"/>
      <c r="Y1584" s="46"/>
      <c r="Z1584" s="46"/>
      <c r="AA1584" s="46"/>
      <c r="AB1584" s="49"/>
      <c r="AC1584" s="42"/>
      <c r="AD1584" s="42"/>
      <c r="AE1584" s="50"/>
      <c r="AF1584" s="42"/>
      <c r="AG1584" s="42"/>
      <c r="AH1584" s="42"/>
      <c r="AI1584" s="42" t="str">
        <f t="array" ref="AI1584">XLOOKUP($E1584,Sheet11!$D:$D,Sheet11!$X:$X,"",0)</f>
        <v/>
      </c>
      <c r="AJ1584" s="42" t="str">
        <f t="array" ref="AJ1584">XLOOKUP($E1584,Sheet11!$D:$D,Sheet11!$Y:$Y,"",0)</f>
        <v/>
      </c>
    </row>
    <row r="1585">
      <c r="A1585" s="23"/>
      <c r="B1585" s="42"/>
      <c r="C1585" s="42"/>
      <c r="D1585" s="42"/>
      <c r="E1585" s="42"/>
      <c r="F1585" s="42"/>
      <c r="G1585" s="42"/>
      <c r="H1585" s="42"/>
      <c r="I1585" s="42"/>
      <c r="J1585" s="42"/>
      <c r="K1585" s="42"/>
      <c r="L1585" s="46"/>
      <c r="M1585" s="46"/>
      <c r="N1585" s="46"/>
      <c r="O1585" s="61"/>
      <c r="P1585" s="62"/>
      <c r="Q1585" s="46"/>
      <c r="R1585" s="47"/>
      <c r="S1585" s="62"/>
      <c r="T1585" s="62"/>
      <c r="U1585" s="46"/>
      <c r="V1585" s="61"/>
      <c r="W1585" s="62"/>
      <c r="X1585" s="47"/>
      <c r="Y1585" s="46"/>
      <c r="Z1585" s="46"/>
      <c r="AA1585" s="46"/>
      <c r="AB1585" s="49"/>
      <c r="AC1585" s="42"/>
      <c r="AD1585" s="42"/>
      <c r="AE1585" s="50"/>
      <c r="AF1585" s="42"/>
      <c r="AG1585" s="42"/>
      <c r="AH1585" s="42"/>
      <c r="AI1585" s="42" t="str">
        <f t="array" ref="AI1585">XLOOKUP($E1585,Sheet11!$D:$D,Sheet11!$X:$X,"",0)</f>
        <v/>
      </c>
      <c r="AJ1585" s="42" t="str">
        <f t="array" ref="AJ1585">XLOOKUP($E1585,Sheet11!$D:$D,Sheet11!$Y:$Y,"",0)</f>
        <v/>
      </c>
    </row>
    <row r="1586">
      <c r="A1586" s="23"/>
      <c r="B1586" s="42"/>
      <c r="C1586" s="42"/>
      <c r="D1586" s="42"/>
      <c r="E1586" s="42"/>
      <c r="F1586" s="42"/>
      <c r="G1586" s="42"/>
      <c r="H1586" s="42"/>
      <c r="I1586" s="42"/>
      <c r="J1586" s="42"/>
      <c r="K1586" s="42"/>
      <c r="L1586" s="46"/>
      <c r="M1586" s="46"/>
      <c r="N1586" s="46"/>
      <c r="O1586" s="61"/>
      <c r="P1586" s="62"/>
      <c r="Q1586" s="46"/>
      <c r="R1586" s="47"/>
      <c r="S1586" s="62"/>
      <c r="T1586" s="62"/>
      <c r="U1586" s="46"/>
      <c r="V1586" s="61"/>
      <c r="W1586" s="62"/>
      <c r="X1586" s="47"/>
      <c r="Y1586" s="46"/>
      <c r="Z1586" s="46"/>
      <c r="AA1586" s="46"/>
      <c r="AB1586" s="49"/>
      <c r="AC1586" s="42"/>
      <c r="AD1586" s="42"/>
      <c r="AE1586" s="50"/>
      <c r="AF1586" s="42"/>
      <c r="AG1586" s="42"/>
      <c r="AH1586" s="42"/>
      <c r="AI1586" s="42" t="str">
        <f t="array" ref="AI1586">XLOOKUP($E1586,Sheet11!$D:$D,Sheet11!$X:$X,"",0)</f>
        <v/>
      </c>
      <c r="AJ1586" s="42" t="str">
        <f t="array" ref="AJ1586">XLOOKUP($E1586,Sheet11!$D:$D,Sheet11!$Y:$Y,"",0)</f>
        <v/>
      </c>
    </row>
    <row r="1587">
      <c r="A1587" s="23"/>
      <c r="B1587" s="42"/>
      <c r="C1587" s="42"/>
      <c r="D1587" s="42"/>
      <c r="E1587" s="42"/>
      <c r="F1587" s="42"/>
      <c r="G1587" s="42"/>
      <c r="H1587" s="42"/>
      <c r="I1587" s="42"/>
      <c r="J1587" s="42"/>
      <c r="K1587" s="42"/>
      <c r="L1587" s="46"/>
      <c r="M1587" s="46"/>
      <c r="N1587" s="46"/>
      <c r="O1587" s="61"/>
      <c r="P1587" s="62"/>
      <c r="Q1587" s="46"/>
      <c r="R1587" s="47"/>
      <c r="S1587" s="62"/>
      <c r="T1587" s="62"/>
      <c r="U1587" s="46"/>
      <c r="V1587" s="61"/>
      <c r="W1587" s="62"/>
      <c r="X1587" s="47"/>
      <c r="Y1587" s="46"/>
      <c r="Z1587" s="46"/>
      <c r="AA1587" s="46"/>
      <c r="AB1587" s="49"/>
      <c r="AC1587" s="42"/>
      <c r="AD1587" s="42"/>
      <c r="AE1587" s="50"/>
      <c r="AF1587" s="42"/>
      <c r="AG1587" s="42"/>
      <c r="AH1587" s="42"/>
      <c r="AI1587" s="42" t="str">
        <f t="array" ref="AI1587">XLOOKUP($E1587,Sheet11!$D:$D,Sheet11!$X:$X,"",0)</f>
        <v/>
      </c>
      <c r="AJ1587" s="42" t="str">
        <f t="array" ref="AJ1587">XLOOKUP($E1587,Sheet11!$D:$D,Sheet11!$Y:$Y,"",0)</f>
        <v/>
      </c>
    </row>
    <row r="1588">
      <c r="A1588" s="23"/>
      <c r="B1588" s="42"/>
      <c r="C1588" s="42"/>
      <c r="D1588" s="42"/>
      <c r="E1588" s="42"/>
      <c r="F1588" s="42"/>
      <c r="G1588" s="42"/>
      <c r="H1588" s="42"/>
      <c r="I1588" s="42"/>
      <c r="J1588" s="42"/>
      <c r="K1588" s="42"/>
      <c r="L1588" s="46"/>
      <c r="M1588" s="46"/>
      <c r="N1588" s="46"/>
      <c r="O1588" s="61"/>
      <c r="P1588" s="62"/>
      <c r="Q1588" s="46"/>
      <c r="R1588" s="47"/>
      <c r="S1588" s="62"/>
      <c r="T1588" s="62"/>
      <c r="U1588" s="46"/>
      <c r="V1588" s="61"/>
      <c r="W1588" s="62"/>
      <c r="X1588" s="47"/>
      <c r="Y1588" s="46"/>
      <c r="Z1588" s="46"/>
      <c r="AA1588" s="46"/>
      <c r="AB1588" s="49"/>
      <c r="AC1588" s="42"/>
      <c r="AD1588" s="42"/>
      <c r="AE1588" s="50"/>
      <c r="AF1588" s="42"/>
      <c r="AG1588" s="42"/>
      <c r="AH1588" s="42"/>
      <c r="AI1588" s="42" t="str">
        <f t="array" ref="AI1588">XLOOKUP($E1588,Sheet11!$D:$D,Sheet11!$X:$X,"",0)</f>
        <v/>
      </c>
      <c r="AJ1588" s="42" t="str">
        <f t="array" ref="AJ1588">XLOOKUP($E1588,Sheet11!$D:$D,Sheet11!$Y:$Y,"",0)</f>
        <v/>
      </c>
    </row>
    <row r="1589">
      <c r="A1589" s="23"/>
      <c r="B1589" s="42"/>
      <c r="C1589" s="42"/>
      <c r="D1589" s="42"/>
      <c r="E1589" s="42"/>
      <c r="F1589" s="42"/>
      <c r="G1589" s="42"/>
      <c r="H1589" s="42"/>
      <c r="I1589" s="42"/>
      <c r="J1589" s="42"/>
      <c r="K1589" s="42"/>
      <c r="L1589" s="46"/>
      <c r="M1589" s="46"/>
      <c r="N1589" s="46"/>
      <c r="O1589" s="61"/>
      <c r="P1589" s="62"/>
      <c r="Q1589" s="46"/>
      <c r="R1589" s="47"/>
      <c r="S1589" s="62"/>
      <c r="T1589" s="62"/>
      <c r="U1589" s="46"/>
      <c r="V1589" s="61"/>
      <c r="W1589" s="62"/>
      <c r="X1589" s="47"/>
      <c r="Y1589" s="46"/>
      <c r="Z1589" s="46"/>
      <c r="AA1589" s="46"/>
      <c r="AB1589" s="49"/>
      <c r="AC1589" s="42"/>
      <c r="AD1589" s="42"/>
      <c r="AE1589" s="50"/>
      <c r="AF1589" s="42"/>
      <c r="AG1589" s="42"/>
      <c r="AH1589" s="42"/>
      <c r="AI1589" s="42" t="str">
        <f t="array" ref="AI1589">XLOOKUP($E1589,Sheet11!$D:$D,Sheet11!$X:$X,"",0)</f>
        <v/>
      </c>
      <c r="AJ1589" s="42" t="str">
        <f t="array" ref="AJ1589">XLOOKUP($E1589,Sheet11!$D:$D,Sheet11!$Y:$Y,"",0)</f>
        <v/>
      </c>
    </row>
    <row r="1590">
      <c r="A1590" s="23"/>
      <c r="B1590" s="42"/>
      <c r="C1590" s="42"/>
      <c r="D1590" s="42"/>
      <c r="E1590" s="42"/>
      <c r="F1590" s="42"/>
      <c r="G1590" s="42"/>
      <c r="H1590" s="42"/>
      <c r="I1590" s="42"/>
      <c r="J1590" s="42"/>
      <c r="K1590" s="42"/>
      <c r="L1590" s="46"/>
      <c r="M1590" s="46"/>
      <c r="N1590" s="46"/>
      <c r="O1590" s="61"/>
      <c r="P1590" s="62"/>
      <c r="Q1590" s="46"/>
      <c r="R1590" s="47"/>
      <c r="S1590" s="62"/>
      <c r="T1590" s="62"/>
      <c r="U1590" s="46"/>
      <c r="V1590" s="61"/>
      <c r="W1590" s="62"/>
      <c r="X1590" s="47"/>
      <c r="Y1590" s="46"/>
      <c r="Z1590" s="46"/>
      <c r="AA1590" s="46"/>
      <c r="AB1590" s="49"/>
      <c r="AC1590" s="42"/>
      <c r="AD1590" s="42"/>
      <c r="AE1590" s="50"/>
      <c r="AF1590" s="42"/>
      <c r="AG1590" s="42"/>
      <c r="AH1590" s="42"/>
      <c r="AI1590" s="42" t="str">
        <f t="array" ref="AI1590">XLOOKUP($E1590,Sheet11!$D:$D,Sheet11!$X:$X,"",0)</f>
        <v/>
      </c>
      <c r="AJ1590" s="42" t="str">
        <f t="array" ref="AJ1590">XLOOKUP($E1590,Sheet11!$D:$D,Sheet11!$Y:$Y,"",0)</f>
        <v/>
      </c>
    </row>
    <row r="1591">
      <c r="A1591" s="23"/>
      <c r="B1591" s="42"/>
      <c r="C1591" s="42"/>
      <c r="D1591" s="42"/>
      <c r="E1591" s="42"/>
      <c r="F1591" s="42"/>
      <c r="G1591" s="42"/>
      <c r="H1591" s="42"/>
      <c r="I1591" s="42"/>
      <c r="J1591" s="42"/>
      <c r="K1591" s="42"/>
      <c r="L1591" s="46"/>
      <c r="M1591" s="46"/>
      <c r="N1591" s="46"/>
      <c r="O1591" s="61"/>
      <c r="P1591" s="62"/>
      <c r="Q1591" s="46"/>
      <c r="R1591" s="47"/>
      <c r="S1591" s="62"/>
      <c r="T1591" s="62"/>
      <c r="U1591" s="46"/>
      <c r="V1591" s="61"/>
      <c r="W1591" s="62"/>
      <c r="X1591" s="47"/>
      <c r="Y1591" s="46"/>
      <c r="Z1591" s="46"/>
      <c r="AA1591" s="46"/>
      <c r="AB1591" s="49"/>
      <c r="AC1591" s="42"/>
      <c r="AD1591" s="42"/>
      <c r="AE1591" s="50"/>
      <c r="AF1591" s="42"/>
      <c r="AG1591" s="42"/>
      <c r="AH1591" s="42"/>
      <c r="AI1591" s="42" t="str">
        <f t="array" ref="AI1591">XLOOKUP($E1591,Sheet11!$D:$D,Sheet11!$X:$X,"",0)</f>
        <v/>
      </c>
      <c r="AJ1591" s="42" t="str">
        <f t="array" ref="AJ1591">XLOOKUP($E1591,Sheet11!$D:$D,Sheet11!$Y:$Y,"",0)</f>
        <v/>
      </c>
    </row>
    <row r="1592">
      <c r="A1592" s="23"/>
      <c r="B1592" s="42"/>
      <c r="C1592" s="42"/>
      <c r="D1592" s="42"/>
      <c r="E1592" s="42"/>
      <c r="F1592" s="42"/>
      <c r="G1592" s="42"/>
      <c r="H1592" s="42"/>
      <c r="I1592" s="42"/>
      <c r="J1592" s="42"/>
      <c r="K1592" s="42"/>
      <c r="L1592" s="46"/>
      <c r="M1592" s="46"/>
      <c r="N1592" s="46"/>
      <c r="O1592" s="61"/>
      <c r="P1592" s="62"/>
      <c r="Q1592" s="46"/>
      <c r="R1592" s="47"/>
      <c r="S1592" s="62"/>
      <c r="T1592" s="62"/>
      <c r="U1592" s="46"/>
      <c r="V1592" s="61"/>
      <c r="W1592" s="62"/>
      <c r="X1592" s="47"/>
      <c r="Y1592" s="46"/>
      <c r="Z1592" s="46"/>
      <c r="AA1592" s="46"/>
      <c r="AB1592" s="49"/>
      <c r="AC1592" s="42"/>
      <c r="AD1592" s="42"/>
      <c r="AE1592" s="50"/>
      <c r="AF1592" s="42"/>
      <c r="AG1592" s="42"/>
      <c r="AH1592" s="42"/>
      <c r="AI1592" s="42" t="str">
        <f t="array" ref="AI1592">XLOOKUP($E1592,Sheet11!$D:$D,Sheet11!$X:$X,"",0)</f>
        <v/>
      </c>
      <c r="AJ1592" s="42" t="str">
        <f t="array" ref="AJ1592">XLOOKUP($E1592,Sheet11!$D:$D,Sheet11!$Y:$Y,"",0)</f>
        <v/>
      </c>
    </row>
    <row r="1593">
      <c r="A1593" s="23"/>
      <c r="B1593" s="42"/>
      <c r="C1593" s="42"/>
      <c r="D1593" s="42"/>
      <c r="E1593" s="42"/>
      <c r="F1593" s="42"/>
      <c r="G1593" s="42"/>
      <c r="H1593" s="42"/>
      <c r="I1593" s="42"/>
      <c r="J1593" s="42"/>
      <c r="K1593" s="42"/>
      <c r="L1593" s="46"/>
      <c r="M1593" s="46"/>
      <c r="N1593" s="46"/>
      <c r="O1593" s="61"/>
      <c r="P1593" s="62"/>
      <c r="Q1593" s="46"/>
      <c r="R1593" s="47"/>
      <c r="S1593" s="62"/>
      <c r="T1593" s="62"/>
      <c r="U1593" s="46"/>
      <c r="V1593" s="61"/>
      <c r="W1593" s="62"/>
      <c r="X1593" s="47"/>
      <c r="Y1593" s="46"/>
      <c r="Z1593" s="46"/>
      <c r="AA1593" s="46"/>
      <c r="AB1593" s="49"/>
      <c r="AC1593" s="42"/>
      <c r="AD1593" s="42"/>
      <c r="AE1593" s="50"/>
      <c r="AF1593" s="42"/>
      <c r="AG1593" s="42"/>
      <c r="AH1593" s="42"/>
      <c r="AI1593" s="42" t="str">
        <f t="array" ref="AI1593">XLOOKUP($E1593,Sheet11!$D:$D,Sheet11!$X:$X,"",0)</f>
        <v/>
      </c>
      <c r="AJ1593" s="42" t="str">
        <f t="array" ref="AJ1593">XLOOKUP($E1593,Sheet11!$D:$D,Sheet11!$Y:$Y,"",0)</f>
        <v/>
      </c>
    </row>
    <row r="1594">
      <c r="A1594" s="23"/>
      <c r="B1594" s="42"/>
      <c r="C1594" s="42"/>
      <c r="D1594" s="42"/>
      <c r="E1594" s="42"/>
      <c r="F1594" s="42"/>
      <c r="G1594" s="42"/>
      <c r="H1594" s="42"/>
      <c r="I1594" s="42"/>
      <c r="J1594" s="42"/>
      <c r="K1594" s="42"/>
      <c r="L1594" s="46"/>
      <c r="M1594" s="46"/>
      <c r="N1594" s="46"/>
      <c r="O1594" s="61"/>
      <c r="P1594" s="62"/>
      <c r="Q1594" s="46"/>
      <c r="R1594" s="47"/>
      <c r="S1594" s="62"/>
      <c r="T1594" s="62"/>
      <c r="U1594" s="46"/>
      <c r="V1594" s="61"/>
      <c r="W1594" s="62"/>
      <c r="X1594" s="47"/>
      <c r="Y1594" s="46"/>
      <c r="Z1594" s="46"/>
      <c r="AA1594" s="46"/>
      <c r="AB1594" s="49"/>
      <c r="AC1594" s="42"/>
      <c r="AD1594" s="42"/>
      <c r="AE1594" s="50"/>
      <c r="AF1594" s="42"/>
      <c r="AG1594" s="42"/>
      <c r="AH1594" s="42"/>
      <c r="AI1594" s="42" t="str">
        <f t="array" ref="AI1594">XLOOKUP($E1594,Sheet11!$D:$D,Sheet11!$X:$X,"",0)</f>
        <v/>
      </c>
      <c r="AJ1594" s="42" t="str">
        <f t="array" ref="AJ1594">XLOOKUP($E1594,Sheet11!$D:$D,Sheet11!$Y:$Y,"",0)</f>
        <v/>
      </c>
    </row>
    <row r="1595">
      <c r="A1595" s="23"/>
      <c r="B1595" s="42"/>
      <c r="C1595" s="42"/>
      <c r="D1595" s="42"/>
      <c r="E1595" s="42"/>
      <c r="F1595" s="42"/>
      <c r="G1595" s="42"/>
      <c r="H1595" s="42"/>
      <c r="I1595" s="42"/>
      <c r="J1595" s="42"/>
      <c r="K1595" s="42"/>
      <c r="L1595" s="46"/>
      <c r="M1595" s="46"/>
      <c r="N1595" s="46"/>
      <c r="O1595" s="61"/>
      <c r="P1595" s="62"/>
      <c r="Q1595" s="46"/>
      <c r="R1595" s="47"/>
      <c r="S1595" s="62"/>
      <c r="T1595" s="62"/>
      <c r="U1595" s="46"/>
      <c r="V1595" s="61"/>
      <c r="W1595" s="62"/>
      <c r="X1595" s="47"/>
      <c r="Y1595" s="46"/>
      <c r="Z1595" s="46"/>
      <c r="AA1595" s="46"/>
      <c r="AB1595" s="49"/>
      <c r="AC1595" s="42"/>
      <c r="AD1595" s="42"/>
      <c r="AE1595" s="50"/>
      <c r="AF1595" s="42"/>
      <c r="AG1595" s="42"/>
      <c r="AH1595" s="42"/>
      <c r="AI1595" s="42" t="str">
        <f t="array" ref="AI1595">XLOOKUP($E1595,Sheet11!$D:$D,Sheet11!$X:$X,"",0)</f>
        <v/>
      </c>
      <c r="AJ1595" s="42" t="str">
        <f t="array" ref="AJ1595">XLOOKUP($E1595,Sheet11!$D:$D,Sheet11!$Y:$Y,"",0)</f>
        <v/>
      </c>
    </row>
    <row r="1596">
      <c r="A1596" s="23"/>
      <c r="B1596" s="42"/>
      <c r="C1596" s="42"/>
      <c r="D1596" s="42"/>
      <c r="E1596" s="42"/>
      <c r="F1596" s="42"/>
      <c r="G1596" s="42"/>
      <c r="H1596" s="42"/>
      <c r="I1596" s="42"/>
      <c r="J1596" s="42"/>
      <c r="K1596" s="42"/>
      <c r="L1596" s="46"/>
      <c r="M1596" s="46"/>
      <c r="N1596" s="46"/>
      <c r="O1596" s="61"/>
      <c r="P1596" s="62"/>
      <c r="Q1596" s="46"/>
      <c r="R1596" s="47"/>
      <c r="S1596" s="62"/>
      <c r="T1596" s="62"/>
      <c r="U1596" s="46"/>
      <c r="V1596" s="61"/>
      <c r="W1596" s="62"/>
      <c r="X1596" s="47"/>
      <c r="Y1596" s="46"/>
      <c r="Z1596" s="46"/>
      <c r="AA1596" s="46"/>
      <c r="AB1596" s="49"/>
      <c r="AC1596" s="42"/>
      <c r="AD1596" s="42"/>
      <c r="AE1596" s="50"/>
      <c r="AF1596" s="42"/>
      <c r="AG1596" s="42"/>
      <c r="AH1596" s="42"/>
      <c r="AI1596" s="42" t="str">
        <f t="array" ref="AI1596">XLOOKUP($E1596,Sheet11!$D:$D,Sheet11!$X:$X,"",0)</f>
        <v/>
      </c>
      <c r="AJ1596" s="42" t="str">
        <f t="array" ref="AJ1596">XLOOKUP($E1596,Sheet11!$D:$D,Sheet11!$Y:$Y,"",0)</f>
        <v/>
      </c>
    </row>
    <row r="1597">
      <c r="A1597" s="23"/>
      <c r="B1597" s="42"/>
      <c r="C1597" s="42"/>
      <c r="D1597" s="42"/>
      <c r="E1597" s="42"/>
      <c r="F1597" s="42"/>
      <c r="G1597" s="42"/>
      <c r="H1597" s="42"/>
      <c r="I1597" s="42"/>
      <c r="J1597" s="42"/>
      <c r="K1597" s="42"/>
      <c r="L1597" s="46"/>
      <c r="M1597" s="46"/>
      <c r="N1597" s="46"/>
      <c r="O1597" s="61"/>
      <c r="P1597" s="62"/>
      <c r="Q1597" s="46"/>
      <c r="R1597" s="47"/>
      <c r="S1597" s="62"/>
      <c r="T1597" s="62"/>
      <c r="U1597" s="46"/>
      <c r="V1597" s="61"/>
      <c r="W1597" s="62"/>
      <c r="X1597" s="47"/>
      <c r="Y1597" s="46"/>
      <c r="Z1597" s="46"/>
      <c r="AA1597" s="46"/>
      <c r="AB1597" s="49"/>
      <c r="AC1597" s="42"/>
      <c r="AD1597" s="42"/>
      <c r="AE1597" s="50"/>
      <c r="AF1597" s="42"/>
      <c r="AG1597" s="42"/>
      <c r="AH1597" s="42"/>
      <c r="AI1597" s="42" t="str">
        <f t="array" ref="AI1597">XLOOKUP($E1597,Sheet11!$D:$D,Sheet11!$X:$X,"",0)</f>
        <v/>
      </c>
      <c r="AJ1597" s="42" t="str">
        <f t="array" ref="AJ1597">XLOOKUP($E1597,Sheet11!$D:$D,Sheet11!$Y:$Y,"",0)</f>
        <v/>
      </c>
    </row>
    <row r="1598">
      <c r="A1598" s="23"/>
      <c r="B1598" s="42"/>
      <c r="C1598" s="42"/>
      <c r="D1598" s="42"/>
      <c r="E1598" s="42"/>
      <c r="F1598" s="42"/>
      <c r="G1598" s="42"/>
      <c r="H1598" s="42"/>
      <c r="I1598" s="42"/>
      <c r="J1598" s="42"/>
      <c r="K1598" s="42"/>
      <c r="L1598" s="46"/>
      <c r="M1598" s="46"/>
      <c r="N1598" s="46"/>
      <c r="O1598" s="61"/>
      <c r="P1598" s="62"/>
      <c r="Q1598" s="46"/>
      <c r="R1598" s="47"/>
      <c r="S1598" s="62"/>
      <c r="T1598" s="62"/>
      <c r="U1598" s="46"/>
      <c r="V1598" s="61"/>
      <c r="W1598" s="62"/>
      <c r="X1598" s="47"/>
      <c r="Y1598" s="46"/>
      <c r="Z1598" s="46"/>
      <c r="AA1598" s="46"/>
      <c r="AB1598" s="49"/>
      <c r="AC1598" s="42"/>
      <c r="AD1598" s="42"/>
      <c r="AE1598" s="50"/>
      <c r="AF1598" s="42"/>
      <c r="AG1598" s="42"/>
      <c r="AH1598" s="42"/>
      <c r="AI1598" s="42" t="str">
        <f t="array" ref="AI1598">XLOOKUP($E1598,Sheet11!$D:$D,Sheet11!$X:$X,"",0)</f>
        <v/>
      </c>
      <c r="AJ1598" s="42" t="str">
        <f t="array" ref="AJ1598">XLOOKUP($E1598,Sheet11!$D:$D,Sheet11!$Y:$Y,"",0)</f>
        <v/>
      </c>
    </row>
    <row r="1599">
      <c r="A1599" s="23"/>
      <c r="B1599" s="42"/>
      <c r="C1599" s="42"/>
      <c r="D1599" s="42"/>
      <c r="E1599" s="42"/>
      <c r="F1599" s="42"/>
      <c r="G1599" s="42"/>
      <c r="H1599" s="42"/>
      <c r="I1599" s="42"/>
      <c r="J1599" s="42"/>
      <c r="K1599" s="42"/>
      <c r="L1599" s="46"/>
      <c r="M1599" s="46"/>
      <c r="N1599" s="46"/>
      <c r="O1599" s="61"/>
      <c r="P1599" s="62"/>
      <c r="Q1599" s="46"/>
      <c r="R1599" s="47"/>
      <c r="S1599" s="62"/>
      <c r="T1599" s="62"/>
      <c r="U1599" s="46"/>
      <c r="V1599" s="61"/>
      <c r="W1599" s="62"/>
      <c r="X1599" s="47"/>
      <c r="Y1599" s="46"/>
      <c r="Z1599" s="46"/>
      <c r="AA1599" s="46"/>
      <c r="AB1599" s="49"/>
      <c r="AC1599" s="42"/>
      <c r="AD1599" s="42"/>
      <c r="AE1599" s="50"/>
      <c r="AF1599" s="42"/>
      <c r="AG1599" s="42"/>
      <c r="AH1599" s="42"/>
      <c r="AI1599" s="42" t="str">
        <f t="array" ref="AI1599">XLOOKUP($E1599,Sheet11!$D:$D,Sheet11!$X:$X,"",0)</f>
        <v/>
      </c>
      <c r="AJ1599" s="42" t="str">
        <f t="array" ref="AJ1599">XLOOKUP($E1599,Sheet11!$D:$D,Sheet11!$Y:$Y,"",0)</f>
        <v/>
      </c>
    </row>
    <row r="1600">
      <c r="A1600" s="23"/>
      <c r="B1600" s="42"/>
      <c r="C1600" s="42"/>
      <c r="D1600" s="42"/>
      <c r="E1600" s="42"/>
      <c r="F1600" s="42"/>
      <c r="G1600" s="42"/>
      <c r="H1600" s="42"/>
      <c r="I1600" s="42"/>
      <c r="J1600" s="42"/>
      <c r="K1600" s="42"/>
      <c r="L1600" s="46"/>
      <c r="M1600" s="46"/>
      <c r="N1600" s="46"/>
      <c r="O1600" s="61"/>
      <c r="P1600" s="62"/>
      <c r="Q1600" s="46"/>
      <c r="R1600" s="47"/>
      <c r="S1600" s="62"/>
      <c r="T1600" s="62"/>
      <c r="U1600" s="46"/>
      <c r="V1600" s="61"/>
      <c r="W1600" s="62"/>
      <c r="X1600" s="47"/>
      <c r="Y1600" s="46"/>
      <c r="Z1600" s="46"/>
      <c r="AA1600" s="46"/>
      <c r="AB1600" s="49"/>
      <c r="AC1600" s="42"/>
      <c r="AD1600" s="42"/>
      <c r="AE1600" s="50"/>
      <c r="AF1600" s="42"/>
      <c r="AG1600" s="42"/>
      <c r="AH1600" s="42"/>
      <c r="AI1600" s="42" t="str">
        <f t="array" ref="AI1600">XLOOKUP($E1600,Sheet11!$D:$D,Sheet11!$X:$X,"",0)</f>
        <v/>
      </c>
      <c r="AJ1600" s="42" t="str">
        <f t="array" ref="AJ1600">XLOOKUP($E1600,Sheet11!$D:$D,Sheet11!$Y:$Y,"",0)</f>
        <v/>
      </c>
    </row>
    <row r="1601">
      <c r="A1601" s="23"/>
      <c r="B1601" s="42"/>
      <c r="C1601" s="42"/>
      <c r="D1601" s="42"/>
      <c r="E1601" s="42"/>
      <c r="F1601" s="42"/>
      <c r="G1601" s="42"/>
      <c r="H1601" s="42"/>
      <c r="I1601" s="42"/>
      <c r="J1601" s="42"/>
      <c r="K1601" s="42"/>
      <c r="L1601" s="46"/>
      <c r="M1601" s="46"/>
      <c r="N1601" s="46"/>
      <c r="O1601" s="61"/>
      <c r="P1601" s="62"/>
      <c r="Q1601" s="46"/>
      <c r="R1601" s="47"/>
      <c r="S1601" s="62"/>
      <c r="T1601" s="62"/>
      <c r="U1601" s="46"/>
      <c r="V1601" s="61"/>
      <c r="W1601" s="62"/>
      <c r="X1601" s="47"/>
      <c r="Y1601" s="46"/>
      <c r="Z1601" s="46"/>
      <c r="AA1601" s="46"/>
      <c r="AB1601" s="49"/>
      <c r="AC1601" s="42"/>
      <c r="AD1601" s="42"/>
      <c r="AE1601" s="50"/>
      <c r="AF1601" s="42"/>
      <c r="AG1601" s="42"/>
      <c r="AH1601" s="42"/>
      <c r="AI1601" s="42" t="str">
        <f t="array" ref="AI1601">XLOOKUP($E1601,Sheet11!$D:$D,Sheet11!$X:$X,"",0)</f>
        <v/>
      </c>
      <c r="AJ1601" s="42" t="str">
        <f t="array" ref="AJ1601">XLOOKUP($E1601,Sheet11!$D:$D,Sheet11!$Y:$Y,"",0)</f>
        <v/>
      </c>
    </row>
    <row r="1602">
      <c r="A1602" s="23"/>
      <c r="B1602" s="42"/>
      <c r="C1602" s="42"/>
      <c r="D1602" s="42"/>
      <c r="E1602" s="42"/>
      <c r="F1602" s="42"/>
      <c r="G1602" s="42"/>
      <c r="H1602" s="42"/>
      <c r="I1602" s="42"/>
      <c r="J1602" s="42"/>
      <c r="K1602" s="42"/>
      <c r="L1602" s="46"/>
      <c r="M1602" s="46"/>
      <c r="N1602" s="46"/>
      <c r="O1602" s="61"/>
      <c r="P1602" s="62"/>
      <c r="Q1602" s="46"/>
      <c r="R1602" s="47"/>
      <c r="S1602" s="62"/>
      <c r="T1602" s="62"/>
      <c r="U1602" s="46"/>
      <c r="V1602" s="61"/>
      <c r="W1602" s="62"/>
      <c r="X1602" s="47"/>
      <c r="Y1602" s="46"/>
      <c r="Z1602" s="46"/>
      <c r="AA1602" s="46"/>
      <c r="AB1602" s="49"/>
      <c r="AC1602" s="42"/>
      <c r="AD1602" s="42"/>
      <c r="AE1602" s="50"/>
      <c r="AF1602" s="42"/>
      <c r="AG1602" s="42"/>
      <c r="AH1602" s="42"/>
      <c r="AI1602" s="42" t="str">
        <f t="array" ref="AI1602">XLOOKUP($E1602,Sheet11!$D:$D,Sheet11!$X:$X,"",0)</f>
        <v/>
      </c>
      <c r="AJ1602" s="42" t="str">
        <f t="array" ref="AJ1602">XLOOKUP($E1602,Sheet11!$D:$D,Sheet11!$Y:$Y,"",0)</f>
        <v/>
      </c>
    </row>
    <row r="1603">
      <c r="A1603" s="23"/>
      <c r="B1603" s="42"/>
      <c r="C1603" s="42"/>
      <c r="D1603" s="42"/>
      <c r="E1603" s="42"/>
      <c r="F1603" s="42"/>
      <c r="G1603" s="42"/>
      <c r="H1603" s="42"/>
      <c r="I1603" s="42"/>
      <c r="J1603" s="42"/>
      <c r="K1603" s="42"/>
      <c r="L1603" s="46"/>
      <c r="M1603" s="46"/>
      <c r="N1603" s="46"/>
      <c r="O1603" s="61"/>
      <c r="P1603" s="62"/>
      <c r="Q1603" s="46"/>
      <c r="R1603" s="47"/>
      <c r="S1603" s="62"/>
      <c r="T1603" s="62"/>
      <c r="U1603" s="46"/>
      <c r="V1603" s="61"/>
      <c r="W1603" s="62"/>
      <c r="X1603" s="47"/>
      <c r="Y1603" s="46"/>
      <c r="Z1603" s="46"/>
      <c r="AA1603" s="46"/>
      <c r="AB1603" s="49"/>
      <c r="AC1603" s="42"/>
      <c r="AD1603" s="42"/>
      <c r="AE1603" s="50"/>
      <c r="AF1603" s="42"/>
      <c r="AG1603" s="42"/>
      <c r="AH1603" s="42"/>
      <c r="AI1603" s="42" t="str">
        <f t="array" ref="AI1603">XLOOKUP($E1603,Sheet11!$D:$D,Sheet11!$X:$X,"",0)</f>
        <v/>
      </c>
      <c r="AJ1603" s="42" t="str">
        <f t="array" ref="AJ1603">XLOOKUP($E1603,Sheet11!$D:$D,Sheet11!$Y:$Y,"",0)</f>
        <v/>
      </c>
    </row>
    <row r="1604">
      <c r="A1604" s="23"/>
      <c r="B1604" s="42"/>
      <c r="C1604" s="42"/>
      <c r="D1604" s="42"/>
      <c r="E1604" s="42"/>
      <c r="F1604" s="42"/>
      <c r="G1604" s="42"/>
      <c r="H1604" s="42"/>
      <c r="I1604" s="42"/>
      <c r="J1604" s="42"/>
      <c r="K1604" s="42"/>
      <c r="L1604" s="46"/>
      <c r="M1604" s="46"/>
      <c r="N1604" s="46"/>
      <c r="O1604" s="61"/>
      <c r="P1604" s="62"/>
      <c r="Q1604" s="46"/>
      <c r="R1604" s="47"/>
      <c r="S1604" s="62"/>
      <c r="T1604" s="62"/>
      <c r="U1604" s="46"/>
      <c r="V1604" s="61"/>
      <c r="W1604" s="62"/>
      <c r="X1604" s="47"/>
      <c r="Y1604" s="46"/>
      <c r="Z1604" s="46"/>
      <c r="AA1604" s="46"/>
      <c r="AB1604" s="49"/>
      <c r="AC1604" s="42"/>
      <c r="AD1604" s="42"/>
      <c r="AE1604" s="50"/>
      <c r="AF1604" s="42"/>
      <c r="AG1604" s="42"/>
      <c r="AH1604" s="42"/>
      <c r="AI1604" s="42" t="str">
        <f t="array" ref="AI1604">XLOOKUP($E1604,Sheet11!$D:$D,Sheet11!$X:$X,"",0)</f>
        <v/>
      </c>
      <c r="AJ1604" s="42" t="str">
        <f t="array" ref="AJ1604">XLOOKUP($E1604,Sheet11!$D:$D,Sheet11!$Y:$Y,"",0)</f>
        <v/>
      </c>
    </row>
    <row r="1605">
      <c r="A1605" s="23"/>
      <c r="B1605" s="42"/>
      <c r="C1605" s="42"/>
      <c r="D1605" s="42"/>
      <c r="E1605" s="42"/>
      <c r="F1605" s="42"/>
      <c r="G1605" s="42"/>
      <c r="H1605" s="42"/>
      <c r="I1605" s="42"/>
      <c r="J1605" s="42"/>
      <c r="K1605" s="42"/>
      <c r="L1605" s="46"/>
      <c r="M1605" s="46"/>
      <c r="N1605" s="46"/>
      <c r="O1605" s="61"/>
      <c r="P1605" s="62"/>
      <c r="Q1605" s="46"/>
      <c r="R1605" s="47"/>
      <c r="S1605" s="62"/>
      <c r="T1605" s="62"/>
      <c r="U1605" s="46"/>
      <c r="V1605" s="61"/>
      <c r="W1605" s="62"/>
      <c r="X1605" s="47"/>
      <c r="Y1605" s="46"/>
      <c r="Z1605" s="46"/>
      <c r="AA1605" s="46"/>
      <c r="AB1605" s="49"/>
      <c r="AC1605" s="42"/>
      <c r="AD1605" s="42"/>
      <c r="AE1605" s="50"/>
      <c r="AF1605" s="42"/>
      <c r="AG1605" s="42"/>
      <c r="AH1605" s="42"/>
      <c r="AI1605" s="42" t="str">
        <f t="array" ref="AI1605">XLOOKUP($E1605,Sheet11!$D:$D,Sheet11!$X:$X,"",0)</f>
        <v/>
      </c>
      <c r="AJ1605" s="42" t="str">
        <f t="array" ref="AJ1605">XLOOKUP($E1605,Sheet11!$D:$D,Sheet11!$Y:$Y,"",0)</f>
        <v/>
      </c>
    </row>
    <row r="1606">
      <c r="A1606" s="23"/>
      <c r="B1606" s="42"/>
      <c r="C1606" s="42"/>
      <c r="D1606" s="42"/>
      <c r="E1606" s="42"/>
      <c r="F1606" s="42"/>
      <c r="G1606" s="42"/>
      <c r="H1606" s="42"/>
      <c r="I1606" s="42"/>
      <c r="J1606" s="42"/>
      <c r="K1606" s="42"/>
      <c r="L1606" s="46"/>
      <c r="M1606" s="46"/>
      <c r="N1606" s="46"/>
      <c r="O1606" s="61"/>
      <c r="P1606" s="62"/>
      <c r="Q1606" s="46"/>
      <c r="R1606" s="47"/>
      <c r="S1606" s="62"/>
      <c r="T1606" s="62"/>
      <c r="U1606" s="46"/>
      <c r="V1606" s="61"/>
      <c r="W1606" s="62"/>
      <c r="X1606" s="47"/>
      <c r="Y1606" s="46"/>
      <c r="Z1606" s="46"/>
      <c r="AA1606" s="46"/>
      <c r="AB1606" s="49"/>
      <c r="AC1606" s="42"/>
      <c r="AD1606" s="42"/>
      <c r="AE1606" s="50"/>
      <c r="AF1606" s="42"/>
      <c r="AG1606" s="42"/>
      <c r="AH1606" s="42"/>
      <c r="AI1606" s="42" t="str">
        <f t="array" ref="AI1606">XLOOKUP($E1606,Sheet11!$D:$D,Sheet11!$X:$X,"",0)</f>
        <v/>
      </c>
      <c r="AJ1606" s="42" t="str">
        <f t="array" ref="AJ1606">XLOOKUP($E1606,Sheet11!$D:$D,Sheet11!$Y:$Y,"",0)</f>
        <v/>
      </c>
    </row>
    <row r="1607">
      <c r="A1607" s="23"/>
      <c r="B1607" s="42"/>
      <c r="C1607" s="42"/>
      <c r="D1607" s="42"/>
      <c r="E1607" s="42"/>
      <c r="F1607" s="42"/>
      <c r="G1607" s="42"/>
      <c r="H1607" s="42"/>
      <c r="I1607" s="42"/>
      <c r="J1607" s="42"/>
      <c r="K1607" s="42"/>
      <c r="L1607" s="46"/>
      <c r="M1607" s="46"/>
      <c r="N1607" s="46"/>
      <c r="O1607" s="61"/>
      <c r="P1607" s="62"/>
      <c r="Q1607" s="46"/>
      <c r="R1607" s="47"/>
      <c r="S1607" s="62"/>
      <c r="T1607" s="62"/>
      <c r="U1607" s="46"/>
      <c r="V1607" s="61"/>
      <c r="W1607" s="62"/>
      <c r="X1607" s="47"/>
      <c r="Y1607" s="46"/>
      <c r="Z1607" s="46"/>
      <c r="AA1607" s="46"/>
      <c r="AB1607" s="49"/>
      <c r="AC1607" s="42"/>
      <c r="AD1607" s="42"/>
      <c r="AE1607" s="50"/>
      <c r="AF1607" s="42"/>
      <c r="AG1607" s="42"/>
      <c r="AH1607" s="42"/>
      <c r="AI1607" s="42" t="str">
        <f t="array" ref="AI1607">XLOOKUP($E1607,Sheet11!$D:$D,Sheet11!$X:$X,"",0)</f>
        <v/>
      </c>
      <c r="AJ1607" s="42" t="str">
        <f t="array" ref="AJ1607">XLOOKUP($E1607,Sheet11!$D:$D,Sheet11!$Y:$Y,"",0)</f>
        <v/>
      </c>
    </row>
    <row r="1608">
      <c r="A1608" s="23"/>
      <c r="B1608" s="42"/>
      <c r="C1608" s="42"/>
      <c r="D1608" s="42"/>
      <c r="E1608" s="42"/>
      <c r="F1608" s="42"/>
      <c r="G1608" s="42"/>
      <c r="H1608" s="42"/>
      <c r="I1608" s="42"/>
      <c r="J1608" s="42"/>
      <c r="K1608" s="42"/>
      <c r="L1608" s="46"/>
      <c r="M1608" s="46"/>
      <c r="N1608" s="46"/>
      <c r="O1608" s="61"/>
      <c r="P1608" s="62"/>
      <c r="Q1608" s="46"/>
      <c r="R1608" s="47"/>
      <c r="S1608" s="62"/>
      <c r="T1608" s="62"/>
      <c r="U1608" s="46"/>
      <c r="V1608" s="61"/>
      <c r="W1608" s="62"/>
      <c r="X1608" s="47"/>
      <c r="Y1608" s="46"/>
      <c r="Z1608" s="46"/>
      <c r="AA1608" s="46"/>
      <c r="AB1608" s="49"/>
      <c r="AC1608" s="42"/>
      <c r="AD1608" s="42"/>
      <c r="AE1608" s="50"/>
      <c r="AF1608" s="42"/>
      <c r="AG1608" s="42"/>
      <c r="AH1608" s="42"/>
      <c r="AI1608" s="42" t="str">
        <f t="array" ref="AI1608">XLOOKUP($E1608,Sheet11!$D:$D,Sheet11!$X:$X,"",0)</f>
        <v/>
      </c>
      <c r="AJ1608" s="42" t="str">
        <f t="array" ref="AJ1608">XLOOKUP($E1608,Sheet11!$D:$D,Sheet11!$Y:$Y,"",0)</f>
        <v/>
      </c>
    </row>
    <row r="1609">
      <c r="A1609" s="23"/>
      <c r="B1609" s="42"/>
      <c r="C1609" s="42"/>
      <c r="D1609" s="42"/>
      <c r="E1609" s="42"/>
      <c r="F1609" s="42"/>
      <c r="G1609" s="42"/>
      <c r="H1609" s="42"/>
      <c r="I1609" s="42"/>
      <c r="J1609" s="42"/>
      <c r="K1609" s="42"/>
      <c r="L1609" s="46"/>
      <c r="M1609" s="46"/>
      <c r="N1609" s="46"/>
      <c r="O1609" s="61"/>
      <c r="P1609" s="62"/>
      <c r="Q1609" s="46"/>
      <c r="R1609" s="47"/>
      <c r="S1609" s="62"/>
      <c r="T1609" s="62"/>
      <c r="U1609" s="46"/>
      <c r="V1609" s="61"/>
      <c r="W1609" s="62"/>
      <c r="X1609" s="47"/>
      <c r="Y1609" s="46"/>
      <c r="Z1609" s="46"/>
      <c r="AA1609" s="46"/>
      <c r="AB1609" s="49"/>
      <c r="AC1609" s="42"/>
      <c r="AD1609" s="42"/>
      <c r="AE1609" s="50"/>
      <c r="AF1609" s="42"/>
      <c r="AG1609" s="42"/>
      <c r="AH1609" s="42"/>
      <c r="AI1609" s="42" t="str">
        <f t="array" ref="AI1609">XLOOKUP($E1609,Sheet11!$D:$D,Sheet11!$X:$X,"",0)</f>
        <v/>
      </c>
      <c r="AJ1609" s="42" t="str">
        <f t="array" ref="AJ1609">XLOOKUP($E1609,Sheet11!$D:$D,Sheet11!$Y:$Y,"",0)</f>
        <v/>
      </c>
    </row>
    <row r="1610">
      <c r="A1610" s="23"/>
      <c r="B1610" s="42"/>
      <c r="C1610" s="42"/>
      <c r="D1610" s="42"/>
      <c r="E1610" s="42"/>
      <c r="F1610" s="42"/>
      <c r="G1610" s="42"/>
      <c r="H1610" s="42"/>
      <c r="I1610" s="42"/>
      <c r="J1610" s="42"/>
      <c r="K1610" s="42"/>
      <c r="L1610" s="46"/>
      <c r="M1610" s="46"/>
      <c r="N1610" s="46"/>
      <c r="O1610" s="61"/>
      <c r="P1610" s="62"/>
      <c r="Q1610" s="46"/>
      <c r="R1610" s="47"/>
      <c r="S1610" s="62"/>
      <c r="T1610" s="62"/>
      <c r="U1610" s="46"/>
      <c r="V1610" s="61"/>
      <c r="W1610" s="62"/>
      <c r="X1610" s="47"/>
      <c r="Y1610" s="46"/>
      <c r="Z1610" s="46"/>
      <c r="AA1610" s="46"/>
      <c r="AB1610" s="49"/>
      <c r="AC1610" s="42"/>
      <c r="AD1610" s="42"/>
      <c r="AE1610" s="50"/>
      <c r="AF1610" s="42"/>
      <c r="AG1610" s="42"/>
      <c r="AH1610" s="42"/>
      <c r="AI1610" s="42" t="str">
        <f t="array" ref="AI1610">XLOOKUP($E1610,Sheet11!$D:$D,Sheet11!$X:$X,"",0)</f>
        <v/>
      </c>
      <c r="AJ1610" s="42" t="str">
        <f t="array" ref="AJ1610">XLOOKUP($E1610,Sheet11!$D:$D,Sheet11!$Y:$Y,"",0)</f>
        <v/>
      </c>
    </row>
    <row r="1611">
      <c r="A1611" s="23"/>
      <c r="B1611" s="42"/>
      <c r="C1611" s="42"/>
      <c r="D1611" s="42"/>
      <c r="E1611" s="42"/>
      <c r="F1611" s="42"/>
      <c r="G1611" s="42"/>
      <c r="H1611" s="42"/>
      <c r="I1611" s="42"/>
      <c r="J1611" s="42"/>
      <c r="K1611" s="42"/>
      <c r="L1611" s="46"/>
      <c r="M1611" s="46"/>
      <c r="N1611" s="46"/>
      <c r="O1611" s="61"/>
      <c r="P1611" s="62"/>
      <c r="Q1611" s="46"/>
      <c r="R1611" s="47"/>
      <c r="S1611" s="62"/>
      <c r="T1611" s="62"/>
      <c r="U1611" s="46"/>
      <c r="V1611" s="61"/>
      <c r="W1611" s="62"/>
      <c r="X1611" s="47"/>
      <c r="Y1611" s="46"/>
      <c r="Z1611" s="46"/>
      <c r="AA1611" s="46"/>
      <c r="AB1611" s="49"/>
      <c r="AC1611" s="42"/>
      <c r="AD1611" s="42"/>
      <c r="AE1611" s="50"/>
      <c r="AF1611" s="42"/>
      <c r="AG1611" s="42"/>
      <c r="AH1611" s="42"/>
      <c r="AI1611" s="42" t="str">
        <f t="array" ref="AI1611">XLOOKUP($E1611,Sheet11!$D:$D,Sheet11!$X:$X,"",0)</f>
        <v/>
      </c>
      <c r="AJ1611" s="42" t="str">
        <f t="array" ref="AJ1611">XLOOKUP($E1611,Sheet11!$D:$D,Sheet11!$Y:$Y,"",0)</f>
        <v/>
      </c>
    </row>
    <row r="1612">
      <c r="A1612" s="23"/>
      <c r="B1612" s="42"/>
      <c r="C1612" s="42"/>
      <c r="D1612" s="42"/>
      <c r="E1612" s="42"/>
      <c r="F1612" s="42"/>
      <c r="G1612" s="42"/>
      <c r="H1612" s="42"/>
      <c r="I1612" s="42"/>
      <c r="J1612" s="42"/>
      <c r="K1612" s="42"/>
      <c r="L1612" s="46"/>
      <c r="M1612" s="46"/>
      <c r="N1612" s="46"/>
      <c r="O1612" s="61"/>
      <c r="P1612" s="62"/>
      <c r="Q1612" s="46"/>
      <c r="R1612" s="47"/>
      <c r="S1612" s="62"/>
      <c r="T1612" s="62"/>
      <c r="U1612" s="46"/>
      <c r="V1612" s="61"/>
      <c r="W1612" s="62"/>
      <c r="X1612" s="47"/>
      <c r="Y1612" s="46"/>
      <c r="Z1612" s="46"/>
      <c r="AA1612" s="46"/>
      <c r="AB1612" s="49"/>
      <c r="AC1612" s="42"/>
      <c r="AD1612" s="42"/>
      <c r="AE1612" s="50"/>
      <c r="AF1612" s="42"/>
      <c r="AG1612" s="42"/>
      <c r="AH1612" s="42"/>
      <c r="AI1612" s="42" t="str">
        <f t="array" ref="AI1612">XLOOKUP($E1612,Sheet11!$D:$D,Sheet11!$X:$X,"",0)</f>
        <v/>
      </c>
      <c r="AJ1612" s="42" t="str">
        <f t="array" ref="AJ1612">XLOOKUP($E1612,Sheet11!$D:$D,Sheet11!$Y:$Y,"",0)</f>
        <v/>
      </c>
    </row>
    <row r="1613">
      <c r="A1613" s="23"/>
      <c r="B1613" s="42"/>
      <c r="C1613" s="42"/>
      <c r="D1613" s="42"/>
      <c r="E1613" s="42"/>
      <c r="F1613" s="42"/>
      <c r="G1613" s="42"/>
      <c r="H1613" s="42"/>
      <c r="I1613" s="42"/>
      <c r="J1613" s="42"/>
      <c r="K1613" s="42"/>
      <c r="L1613" s="46"/>
      <c r="M1613" s="46"/>
      <c r="N1613" s="46"/>
      <c r="O1613" s="61"/>
      <c r="P1613" s="62"/>
      <c r="Q1613" s="46"/>
      <c r="R1613" s="47"/>
      <c r="S1613" s="62"/>
      <c r="T1613" s="62"/>
      <c r="U1613" s="46"/>
      <c r="V1613" s="61"/>
      <c r="W1613" s="62"/>
      <c r="X1613" s="47"/>
      <c r="Y1613" s="46"/>
      <c r="Z1613" s="46"/>
      <c r="AA1613" s="46"/>
      <c r="AB1613" s="49"/>
      <c r="AC1613" s="42"/>
      <c r="AD1613" s="42"/>
      <c r="AE1613" s="50"/>
      <c r="AF1613" s="42"/>
      <c r="AG1613" s="42"/>
      <c r="AH1613" s="42"/>
      <c r="AI1613" s="42" t="str">
        <f t="array" ref="AI1613">XLOOKUP($E1613,Sheet11!$D:$D,Sheet11!$X:$X,"",0)</f>
        <v/>
      </c>
      <c r="AJ1613" s="42" t="str">
        <f t="array" ref="AJ1613">XLOOKUP($E1613,Sheet11!$D:$D,Sheet11!$Y:$Y,"",0)</f>
        <v/>
      </c>
    </row>
    <row r="1614">
      <c r="A1614" s="23"/>
      <c r="B1614" s="42"/>
      <c r="C1614" s="42"/>
      <c r="D1614" s="42"/>
      <c r="E1614" s="42"/>
      <c r="F1614" s="42"/>
      <c r="G1614" s="42"/>
      <c r="H1614" s="42"/>
      <c r="I1614" s="42"/>
      <c r="J1614" s="42"/>
      <c r="K1614" s="42"/>
      <c r="L1614" s="46"/>
      <c r="M1614" s="46"/>
      <c r="N1614" s="46"/>
      <c r="O1614" s="61"/>
      <c r="P1614" s="62"/>
      <c r="Q1614" s="46"/>
      <c r="R1614" s="47"/>
      <c r="S1614" s="62"/>
      <c r="T1614" s="62"/>
      <c r="U1614" s="46"/>
      <c r="V1614" s="61"/>
      <c r="W1614" s="62"/>
      <c r="X1614" s="47"/>
      <c r="Y1614" s="46"/>
      <c r="Z1614" s="46"/>
      <c r="AA1614" s="46"/>
      <c r="AB1614" s="49"/>
      <c r="AC1614" s="42"/>
      <c r="AD1614" s="42"/>
      <c r="AE1614" s="50"/>
      <c r="AF1614" s="42"/>
      <c r="AG1614" s="42"/>
      <c r="AH1614" s="42"/>
      <c r="AI1614" s="42" t="str">
        <f t="array" ref="AI1614">XLOOKUP($E1614,Sheet11!$D:$D,Sheet11!$X:$X,"",0)</f>
        <v/>
      </c>
      <c r="AJ1614" s="42" t="str">
        <f t="array" ref="AJ1614">XLOOKUP($E1614,Sheet11!$D:$D,Sheet11!$Y:$Y,"",0)</f>
        <v/>
      </c>
    </row>
    <row r="1615">
      <c r="A1615" s="23"/>
      <c r="B1615" s="42"/>
      <c r="C1615" s="42"/>
      <c r="D1615" s="42"/>
      <c r="E1615" s="42"/>
      <c r="F1615" s="42"/>
      <c r="G1615" s="42"/>
      <c r="H1615" s="42"/>
      <c r="I1615" s="42"/>
      <c r="J1615" s="42"/>
      <c r="K1615" s="42"/>
      <c r="L1615" s="46"/>
      <c r="M1615" s="46"/>
      <c r="N1615" s="46"/>
      <c r="O1615" s="61"/>
      <c r="P1615" s="62"/>
      <c r="Q1615" s="46"/>
      <c r="R1615" s="47"/>
      <c r="S1615" s="62"/>
      <c r="T1615" s="62"/>
      <c r="U1615" s="46"/>
      <c r="V1615" s="61"/>
      <c r="W1615" s="62"/>
      <c r="X1615" s="47"/>
      <c r="Y1615" s="46"/>
      <c r="Z1615" s="46"/>
      <c r="AA1615" s="46"/>
      <c r="AB1615" s="49"/>
      <c r="AC1615" s="42"/>
      <c r="AD1615" s="42"/>
      <c r="AE1615" s="50"/>
      <c r="AF1615" s="42"/>
      <c r="AG1615" s="42"/>
      <c r="AH1615" s="42"/>
      <c r="AI1615" s="42" t="str">
        <f t="array" ref="AI1615">XLOOKUP($E1615,Sheet11!$D:$D,Sheet11!$X:$X,"",0)</f>
        <v/>
      </c>
      <c r="AJ1615" s="42" t="str">
        <f t="array" ref="AJ1615">XLOOKUP($E1615,Sheet11!$D:$D,Sheet11!$Y:$Y,"",0)</f>
        <v/>
      </c>
    </row>
    <row r="1616">
      <c r="A1616" s="23"/>
      <c r="B1616" s="42"/>
      <c r="C1616" s="42"/>
      <c r="D1616" s="42"/>
      <c r="E1616" s="42"/>
      <c r="F1616" s="42"/>
      <c r="G1616" s="42"/>
      <c r="H1616" s="42"/>
      <c r="I1616" s="42"/>
      <c r="J1616" s="42"/>
      <c r="K1616" s="42"/>
      <c r="L1616" s="46"/>
      <c r="M1616" s="46"/>
      <c r="N1616" s="46"/>
      <c r="O1616" s="61"/>
      <c r="P1616" s="62"/>
      <c r="Q1616" s="46"/>
      <c r="R1616" s="47"/>
      <c r="S1616" s="62"/>
      <c r="T1616" s="62"/>
      <c r="U1616" s="46"/>
      <c r="V1616" s="61"/>
      <c r="W1616" s="62"/>
      <c r="X1616" s="47"/>
      <c r="Y1616" s="46"/>
      <c r="Z1616" s="46"/>
      <c r="AA1616" s="46"/>
      <c r="AB1616" s="49"/>
      <c r="AC1616" s="42"/>
      <c r="AD1616" s="42"/>
      <c r="AE1616" s="50"/>
      <c r="AF1616" s="42"/>
      <c r="AG1616" s="42"/>
      <c r="AH1616" s="42"/>
      <c r="AI1616" s="42" t="str">
        <f t="array" ref="AI1616">XLOOKUP($E1616,Sheet11!$D:$D,Sheet11!$X:$X,"",0)</f>
        <v/>
      </c>
      <c r="AJ1616" s="42" t="str">
        <f t="array" ref="AJ1616">XLOOKUP($E1616,Sheet11!$D:$D,Sheet11!$Y:$Y,"",0)</f>
        <v/>
      </c>
    </row>
    <row r="1617">
      <c r="A1617" s="23"/>
      <c r="B1617" s="42"/>
      <c r="C1617" s="42"/>
      <c r="D1617" s="42"/>
      <c r="E1617" s="42"/>
      <c r="F1617" s="42"/>
      <c r="G1617" s="42"/>
      <c r="H1617" s="42"/>
      <c r="I1617" s="42"/>
      <c r="J1617" s="42"/>
      <c r="K1617" s="42"/>
      <c r="L1617" s="46"/>
      <c r="M1617" s="46"/>
      <c r="N1617" s="46"/>
      <c r="O1617" s="61"/>
      <c r="P1617" s="62"/>
      <c r="Q1617" s="46"/>
      <c r="R1617" s="47"/>
      <c r="S1617" s="62"/>
      <c r="T1617" s="62"/>
      <c r="U1617" s="46"/>
      <c r="V1617" s="61"/>
      <c r="W1617" s="62"/>
      <c r="X1617" s="47"/>
      <c r="Y1617" s="46"/>
      <c r="Z1617" s="46"/>
      <c r="AA1617" s="46"/>
      <c r="AB1617" s="49"/>
      <c r="AC1617" s="42"/>
      <c r="AD1617" s="42"/>
      <c r="AE1617" s="50"/>
      <c r="AF1617" s="42"/>
      <c r="AG1617" s="42"/>
      <c r="AH1617" s="42"/>
      <c r="AI1617" s="42" t="str">
        <f t="array" ref="AI1617">XLOOKUP($E1617,Sheet11!$D:$D,Sheet11!$X:$X,"",0)</f>
        <v/>
      </c>
      <c r="AJ1617" s="42" t="str">
        <f t="array" ref="AJ1617">XLOOKUP($E1617,Sheet11!$D:$D,Sheet11!$Y:$Y,"",0)</f>
        <v/>
      </c>
    </row>
    <row r="1618">
      <c r="A1618" s="23"/>
      <c r="B1618" s="42"/>
      <c r="C1618" s="42"/>
      <c r="D1618" s="42"/>
      <c r="E1618" s="42"/>
      <c r="F1618" s="42"/>
      <c r="G1618" s="42"/>
      <c r="H1618" s="42"/>
      <c r="I1618" s="42"/>
      <c r="J1618" s="42"/>
      <c r="K1618" s="42"/>
      <c r="L1618" s="46"/>
      <c r="M1618" s="46"/>
      <c r="N1618" s="46"/>
      <c r="O1618" s="61"/>
      <c r="P1618" s="62"/>
      <c r="Q1618" s="46"/>
      <c r="R1618" s="47"/>
      <c r="S1618" s="62"/>
      <c r="T1618" s="62"/>
      <c r="U1618" s="46"/>
      <c r="V1618" s="61"/>
      <c r="W1618" s="62"/>
      <c r="X1618" s="47"/>
      <c r="Y1618" s="46"/>
      <c r="Z1618" s="46"/>
      <c r="AA1618" s="46"/>
      <c r="AB1618" s="49"/>
      <c r="AC1618" s="42"/>
      <c r="AD1618" s="42"/>
      <c r="AE1618" s="50"/>
      <c r="AF1618" s="42"/>
      <c r="AG1618" s="42"/>
      <c r="AH1618" s="42"/>
      <c r="AI1618" s="42" t="str">
        <f t="array" ref="AI1618">XLOOKUP($E1618,Sheet11!$D:$D,Sheet11!$X:$X,"",0)</f>
        <v/>
      </c>
      <c r="AJ1618" s="42" t="str">
        <f t="array" ref="AJ1618">XLOOKUP($E1618,Sheet11!$D:$D,Sheet11!$Y:$Y,"",0)</f>
        <v/>
      </c>
    </row>
    <row r="1619">
      <c r="A1619" s="23"/>
      <c r="B1619" s="42"/>
      <c r="C1619" s="42"/>
      <c r="D1619" s="42"/>
      <c r="E1619" s="42"/>
      <c r="F1619" s="42"/>
      <c r="G1619" s="42"/>
      <c r="H1619" s="42"/>
      <c r="I1619" s="42"/>
      <c r="J1619" s="42"/>
      <c r="K1619" s="42"/>
      <c r="L1619" s="46"/>
      <c r="M1619" s="46"/>
      <c r="N1619" s="46"/>
      <c r="O1619" s="61"/>
      <c r="P1619" s="62"/>
      <c r="Q1619" s="46"/>
      <c r="R1619" s="47"/>
      <c r="S1619" s="62"/>
      <c r="T1619" s="62"/>
      <c r="U1619" s="46"/>
      <c r="V1619" s="61"/>
      <c r="W1619" s="62"/>
      <c r="X1619" s="47"/>
      <c r="Y1619" s="46"/>
      <c r="Z1619" s="46"/>
      <c r="AA1619" s="46"/>
      <c r="AB1619" s="49"/>
      <c r="AC1619" s="42"/>
      <c r="AD1619" s="42"/>
      <c r="AE1619" s="50"/>
      <c r="AF1619" s="42"/>
      <c r="AG1619" s="42"/>
      <c r="AH1619" s="42"/>
      <c r="AI1619" s="42" t="str">
        <f t="array" ref="AI1619">XLOOKUP($E1619,Sheet11!$D:$D,Sheet11!$X:$X,"",0)</f>
        <v/>
      </c>
      <c r="AJ1619" s="42" t="str">
        <f t="array" ref="AJ1619">XLOOKUP($E1619,Sheet11!$D:$D,Sheet11!$Y:$Y,"",0)</f>
        <v/>
      </c>
    </row>
    <row r="1620">
      <c r="A1620" s="23"/>
      <c r="B1620" s="42"/>
      <c r="C1620" s="42"/>
      <c r="D1620" s="42"/>
      <c r="E1620" s="42"/>
      <c r="F1620" s="42"/>
      <c r="G1620" s="42"/>
      <c r="H1620" s="42"/>
      <c r="I1620" s="42"/>
      <c r="J1620" s="42"/>
      <c r="K1620" s="42"/>
      <c r="L1620" s="46"/>
      <c r="M1620" s="46"/>
      <c r="N1620" s="46"/>
      <c r="O1620" s="61"/>
      <c r="P1620" s="62"/>
      <c r="Q1620" s="46"/>
      <c r="R1620" s="47"/>
      <c r="S1620" s="62"/>
      <c r="T1620" s="62"/>
      <c r="U1620" s="46"/>
      <c r="V1620" s="61"/>
      <c r="W1620" s="62"/>
      <c r="X1620" s="47"/>
      <c r="Y1620" s="46"/>
      <c r="Z1620" s="46"/>
      <c r="AA1620" s="46"/>
      <c r="AB1620" s="49"/>
      <c r="AC1620" s="42"/>
      <c r="AD1620" s="42"/>
      <c r="AE1620" s="50"/>
      <c r="AF1620" s="42"/>
      <c r="AG1620" s="42"/>
      <c r="AH1620" s="42"/>
      <c r="AI1620" s="42" t="str">
        <f t="array" ref="AI1620">XLOOKUP($E1620,Sheet11!$D:$D,Sheet11!$X:$X,"",0)</f>
        <v/>
      </c>
      <c r="AJ1620" s="42" t="str">
        <f t="array" ref="AJ1620">XLOOKUP($E1620,Sheet11!$D:$D,Sheet11!$Y:$Y,"",0)</f>
        <v/>
      </c>
    </row>
    <row r="1621">
      <c r="A1621" s="23"/>
      <c r="B1621" s="42"/>
      <c r="C1621" s="42"/>
      <c r="D1621" s="42"/>
      <c r="E1621" s="42"/>
      <c r="F1621" s="42"/>
      <c r="G1621" s="42"/>
      <c r="H1621" s="42"/>
      <c r="I1621" s="42"/>
      <c r="J1621" s="42"/>
      <c r="K1621" s="42"/>
      <c r="L1621" s="46"/>
      <c r="M1621" s="46"/>
      <c r="N1621" s="46"/>
      <c r="O1621" s="61"/>
      <c r="P1621" s="62"/>
      <c r="Q1621" s="46"/>
      <c r="R1621" s="47"/>
      <c r="S1621" s="62"/>
      <c r="T1621" s="62"/>
      <c r="U1621" s="46"/>
      <c r="V1621" s="61"/>
      <c r="W1621" s="62"/>
      <c r="X1621" s="47"/>
      <c r="Y1621" s="46"/>
      <c r="Z1621" s="46"/>
      <c r="AA1621" s="46"/>
      <c r="AB1621" s="49"/>
      <c r="AC1621" s="42"/>
      <c r="AD1621" s="42"/>
      <c r="AE1621" s="50"/>
      <c r="AF1621" s="42"/>
      <c r="AG1621" s="42"/>
      <c r="AH1621" s="42"/>
      <c r="AI1621" s="42" t="str">
        <f t="array" ref="AI1621">XLOOKUP($E1621,Sheet11!$D:$D,Sheet11!$X:$X,"",0)</f>
        <v/>
      </c>
      <c r="AJ1621" s="42" t="str">
        <f t="array" ref="AJ1621">XLOOKUP($E1621,Sheet11!$D:$D,Sheet11!$Y:$Y,"",0)</f>
        <v/>
      </c>
    </row>
    <row r="1622">
      <c r="A1622" s="23"/>
      <c r="B1622" s="42"/>
      <c r="C1622" s="42"/>
      <c r="D1622" s="42"/>
      <c r="E1622" s="42"/>
      <c r="F1622" s="42"/>
      <c r="G1622" s="42"/>
      <c r="H1622" s="42"/>
      <c r="I1622" s="42"/>
      <c r="J1622" s="42"/>
      <c r="K1622" s="42"/>
      <c r="L1622" s="46"/>
      <c r="M1622" s="46"/>
      <c r="N1622" s="46"/>
      <c r="O1622" s="61"/>
      <c r="P1622" s="62"/>
      <c r="Q1622" s="46"/>
      <c r="R1622" s="47"/>
      <c r="S1622" s="62"/>
      <c r="T1622" s="62"/>
      <c r="U1622" s="46"/>
      <c r="V1622" s="61"/>
      <c r="W1622" s="62"/>
      <c r="X1622" s="47"/>
      <c r="Y1622" s="46"/>
      <c r="Z1622" s="46"/>
      <c r="AA1622" s="46"/>
      <c r="AB1622" s="49"/>
      <c r="AC1622" s="42"/>
      <c r="AD1622" s="42"/>
      <c r="AE1622" s="50"/>
      <c r="AF1622" s="42"/>
      <c r="AG1622" s="42"/>
      <c r="AH1622" s="42"/>
      <c r="AI1622" s="42" t="str">
        <f t="array" ref="AI1622">XLOOKUP($E1622,Sheet11!$D:$D,Sheet11!$X:$X,"",0)</f>
        <v/>
      </c>
      <c r="AJ1622" s="42" t="str">
        <f t="array" ref="AJ1622">XLOOKUP($E1622,Sheet11!$D:$D,Sheet11!$Y:$Y,"",0)</f>
        <v/>
      </c>
    </row>
    <row r="1623">
      <c r="A1623" s="23"/>
      <c r="B1623" s="42"/>
      <c r="C1623" s="42"/>
      <c r="D1623" s="42"/>
      <c r="E1623" s="42"/>
      <c r="F1623" s="42"/>
      <c r="G1623" s="42"/>
      <c r="H1623" s="42"/>
      <c r="I1623" s="42"/>
      <c r="J1623" s="42"/>
      <c r="K1623" s="42"/>
      <c r="L1623" s="46"/>
      <c r="M1623" s="46"/>
      <c r="N1623" s="46"/>
      <c r="O1623" s="61"/>
      <c r="P1623" s="62"/>
      <c r="Q1623" s="46"/>
      <c r="R1623" s="47"/>
      <c r="S1623" s="62"/>
      <c r="T1623" s="62"/>
      <c r="U1623" s="46"/>
      <c r="V1623" s="61"/>
      <c r="W1623" s="62"/>
      <c r="X1623" s="47"/>
      <c r="Y1623" s="46"/>
      <c r="Z1623" s="46"/>
      <c r="AA1623" s="46"/>
      <c r="AB1623" s="49"/>
      <c r="AC1623" s="42"/>
      <c r="AD1623" s="42"/>
      <c r="AE1623" s="50"/>
      <c r="AF1623" s="42"/>
      <c r="AG1623" s="42"/>
      <c r="AH1623" s="42"/>
      <c r="AI1623" s="42" t="str">
        <f t="array" ref="AI1623">XLOOKUP($E1623,Sheet11!$D:$D,Sheet11!$X:$X,"",0)</f>
        <v/>
      </c>
      <c r="AJ1623" s="42" t="str">
        <f t="array" ref="AJ1623">XLOOKUP($E1623,Sheet11!$D:$D,Sheet11!$Y:$Y,"",0)</f>
        <v/>
      </c>
    </row>
    <row r="1624">
      <c r="A1624" s="23"/>
      <c r="B1624" s="42"/>
      <c r="C1624" s="42"/>
      <c r="D1624" s="42"/>
      <c r="E1624" s="42"/>
      <c r="F1624" s="42"/>
      <c r="G1624" s="42"/>
      <c r="H1624" s="42"/>
      <c r="I1624" s="42"/>
      <c r="J1624" s="42"/>
      <c r="K1624" s="42"/>
      <c r="L1624" s="46"/>
      <c r="M1624" s="46"/>
      <c r="N1624" s="46"/>
      <c r="O1624" s="61"/>
      <c r="P1624" s="62"/>
      <c r="Q1624" s="46"/>
      <c r="R1624" s="47"/>
      <c r="S1624" s="62"/>
      <c r="T1624" s="62"/>
      <c r="U1624" s="46"/>
      <c r="V1624" s="61"/>
      <c r="W1624" s="62"/>
      <c r="X1624" s="47"/>
      <c r="Y1624" s="46"/>
      <c r="Z1624" s="46"/>
      <c r="AA1624" s="46"/>
      <c r="AB1624" s="49"/>
      <c r="AC1624" s="42"/>
      <c r="AD1624" s="42"/>
      <c r="AE1624" s="50"/>
      <c r="AF1624" s="42"/>
      <c r="AG1624" s="42"/>
      <c r="AH1624" s="42"/>
      <c r="AI1624" s="42" t="str">
        <f t="array" ref="AI1624">XLOOKUP($E1624,Sheet11!$D:$D,Sheet11!$X:$X,"",0)</f>
        <v/>
      </c>
      <c r="AJ1624" s="42" t="str">
        <f t="array" ref="AJ1624">XLOOKUP($E1624,Sheet11!$D:$D,Sheet11!$Y:$Y,"",0)</f>
        <v/>
      </c>
    </row>
    <row r="1625">
      <c r="A1625" s="23"/>
      <c r="B1625" s="42"/>
      <c r="C1625" s="42"/>
      <c r="D1625" s="42"/>
      <c r="E1625" s="42"/>
      <c r="F1625" s="42"/>
      <c r="G1625" s="42"/>
      <c r="H1625" s="42"/>
      <c r="I1625" s="42"/>
      <c r="J1625" s="42"/>
      <c r="K1625" s="42"/>
      <c r="L1625" s="46"/>
      <c r="M1625" s="46"/>
      <c r="N1625" s="46"/>
      <c r="O1625" s="61"/>
      <c r="P1625" s="62"/>
      <c r="Q1625" s="46"/>
      <c r="R1625" s="47"/>
      <c r="S1625" s="62"/>
      <c r="T1625" s="62"/>
      <c r="U1625" s="46"/>
      <c r="V1625" s="61"/>
      <c r="W1625" s="62"/>
      <c r="X1625" s="47"/>
      <c r="Y1625" s="46"/>
      <c r="Z1625" s="46"/>
      <c r="AA1625" s="46"/>
      <c r="AB1625" s="49"/>
      <c r="AC1625" s="42"/>
      <c r="AD1625" s="42"/>
      <c r="AE1625" s="50"/>
      <c r="AF1625" s="42"/>
      <c r="AG1625" s="42"/>
      <c r="AH1625" s="42"/>
      <c r="AI1625" s="42" t="str">
        <f t="array" ref="AI1625">XLOOKUP($E1625,Sheet11!$D:$D,Sheet11!$X:$X,"",0)</f>
        <v/>
      </c>
      <c r="AJ1625" s="42" t="str">
        <f t="array" ref="AJ1625">XLOOKUP($E1625,Sheet11!$D:$D,Sheet11!$Y:$Y,"",0)</f>
        <v/>
      </c>
    </row>
    <row r="1626">
      <c r="A1626" s="23"/>
      <c r="B1626" s="42"/>
      <c r="C1626" s="42"/>
      <c r="D1626" s="42"/>
      <c r="E1626" s="42"/>
      <c r="F1626" s="42"/>
      <c r="G1626" s="42"/>
      <c r="H1626" s="42"/>
      <c r="I1626" s="42"/>
      <c r="J1626" s="42"/>
      <c r="K1626" s="42"/>
      <c r="L1626" s="46"/>
      <c r="M1626" s="46"/>
      <c r="N1626" s="46"/>
      <c r="O1626" s="61"/>
      <c r="P1626" s="62"/>
      <c r="Q1626" s="46"/>
      <c r="R1626" s="47"/>
      <c r="S1626" s="62"/>
      <c r="T1626" s="62"/>
      <c r="U1626" s="46"/>
      <c r="V1626" s="61"/>
      <c r="W1626" s="62"/>
      <c r="X1626" s="47"/>
      <c r="Y1626" s="46"/>
      <c r="Z1626" s="46"/>
      <c r="AA1626" s="46"/>
      <c r="AB1626" s="49"/>
      <c r="AC1626" s="42"/>
      <c r="AD1626" s="42"/>
      <c r="AE1626" s="50"/>
      <c r="AF1626" s="42"/>
      <c r="AG1626" s="42"/>
      <c r="AH1626" s="42"/>
      <c r="AI1626" s="42" t="str">
        <f t="array" ref="AI1626">XLOOKUP($E1626,Sheet11!$D:$D,Sheet11!$X:$X,"",0)</f>
        <v/>
      </c>
      <c r="AJ1626" s="42" t="str">
        <f t="array" ref="AJ1626">XLOOKUP($E1626,Sheet11!$D:$D,Sheet11!$Y:$Y,"",0)</f>
        <v/>
      </c>
    </row>
    <row r="1627">
      <c r="A1627" s="23"/>
      <c r="B1627" s="42"/>
      <c r="C1627" s="42"/>
      <c r="D1627" s="42"/>
      <c r="E1627" s="42"/>
      <c r="F1627" s="42"/>
      <c r="G1627" s="42"/>
      <c r="H1627" s="42"/>
      <c r="I1627" s="42"/>
      <c r="J1627" s="42"/>
      <c r="K1627" s="42"/>
      <c r="L1627" s="46"/>
      <c r="M1627" s="46"/>
      <c r="N1627" s="46"/>
      <c r="O1627" s="61"/>
      <c r="P1627" s="62"/>
      <c r="Q1627" s="46"/>
      <c r="R1627" s="47"/>
      <c r="S1627" s="62"/>
      <c r="T1627" s="62"/>
      <c r="U1627" s="46"/>
      <c r="V1627" s="61"/>
      <c r="W1627" s="62"/>
      <c r="X1627" s="47"/>
      <c r="Y1627" s="46"/>
      <c r="Z1627" s="46"/>
      <c r="AA1627" s="46"/>
      <c r="AB1627" s="49"/>
      <c r="AC1627" s="42"/>
      <c r="AD1627" s="42"/>
      <c r="AE1627" s="50"/>
      <c r="AF1627" s="42"/>
      <c r="AG1627" s="42"/>
      <c r="AH1627" s="42"/>
      <c r="AI1627" s="42" t="str">
        <f t="array" ref="AI1627">XLOOKUP($E1627,Sheet11!$D:$D,Sheet11!$X:$X,"",0)</f>
        <v/>
      </c>
      <c r="AJ1627" s="42" t="str">
        <f t="array" ref="AJ1627">XLOOKUP($E1627,Sheet11!$D:$D,Sheet11!$Y:$Y,"",0)</f>
        <v/>
      </c>
    </row>
    <row r="1628">
      <c r="A1628" s="23"/>
      <c r="B1628" s="42"/>
      <c r="C1628" s="42"/>
      <c r="D1628" s="42"/>
      <c r="E1628" s="42"/>
      <c r="F1628" s="42"/>
      <c r="G1628" s="42"/>
      <c r="H1628" s="42"/>
      <c r="I1628" s="42"/>
      <c r="J1628" s="42"/>
      <c r="K1628" s="42"/>
      <c r="L1628" s="46"/>
      <c r="M1628" s="46"/>
      <c r="N1628" s="46"/>
      <c r="O1628" s="61"/>
      <c r="P1628" s="62"/>
      <c r="Q1628" s="46"/>
      <c r="R1628" s="47"/>
      <c r="S1628" s="62"/>
      <c r="T1628" s="62"/>
      <c r="U1628" s="46"/>
      <c r="V1628" s="61"/>
      <c r="W1628" s="62"/>
      <c r="X1628" s="47"/>
      <c r="Y1628" s="46"/>
      <c r="Z1628" s="46"/>
      <c r="AA1628" s="46"/>
      <c r="AB1628" s="49"/>
      <c r="AC1628" s="42"/>
      <c r="AD1628" s="42"/>
      <c r="AE1628" s="50"/>
      <c r="AF1628" s="42"/>
      <c r="AG1628" s="42"/>
      <c r="AH1628" s="42"/>
      <c r="AI1628" s="42" t="str">
        <f t="array" ref="AI1628">XLOOKUP($E1628,Sheet11!$D:$D,Sheet11!$X:$X,"",0)</f>
        <v/>
      </c>
      <c r="AJ1628" s="42" t="str">
        <f t="array" ref="AJ1628">XLOOKUP($E1628,Sheet11!$D:$D,Sheet11!$Y:$Y,"",0)</f>
        <v/>
      </c>
    </row>
    <row r="1629">
      <c r="A1629" s="23"/>
      <c r="B1629" s="42"/>
      <c r="C1629" s="42"/>
      <c r="D1629" s="42"/>
      <c r="E1629" s="42"/>
      <c r="F1629" s="42"/>
      <c r="G1629" s="42"/>
      <c r="H1629" s="42"/>
      <c r="I1629" s="42"/>
      <c r="J1629" s="42"/>
      <c r="K1629" s="42"/>
      <c r="L1629" s="46"/>
      <c r="M1629" s="46"/>
      <c r="N1629" s="46"/>
      <c r="O1629" s="61"/>
      <c r="P1629" s="62"/>
      <c r="Q1629" s="46"/>
      <c r="R1629" s="47"/>
      <c r="S1629" s="62"/>
      <c r="T1629" s="62"/>
      <c r="U1629" s="46"/>
      <c r="V1629" s="61"/>
      <c r="W1629" s="62"/>
      <c r="X1629" s="47"/>
      <c r="Y1629" s="46"/>
      <c r="Z1629" s="46"/>
      <c r="AA1629" s="46"/>
      <c r="AB1629" s="49"/>
      <c r="AC1629" s="42"/>
      <c r="AD1629" s="42"/>
      <c r="AE1629" s="50"/>
      <c r="AF1629" s="42"/>
      <c r="AG1629" s="42"/>
      <c r="AH1629" s="42"/>
      <c r="AI1629" s="42" t="str">
        <f t="array" ref="AI1629">XLOOKUP($E1629,Sheet11!$D:$D,Sheet11!$X:$X,"",0)</f>
        <v/>
      </c>
      <c r="AJ1629" s="42" t="str">
        <f t="array" ref="AJ1629">XLOOKUP($E1629,Sheet11!$D:$D,Sheet11!$Y:$Y,"",0)</f>
        <v/>
      </c>
    </row>
    <row r="1630">
      <c r="A1630" s="23"/>
      <c r="B1630" s="42"/>
      <c r="C1630" s="42"/>
      <c r="D1630" s="42"/>
      <c r="E1630" s="42"/>
      <c r="F1630" s="42"/>
      <c r="G1630" s="42"/>
      <c r="H1630" s="42"/>
      <c r="I1630" s="42"/>
      <c r="J1630" s="42"/>
      <c r="K1630" s="42"/>
      <c r="L1630" s="46"/>
      <c r="M1630" s="46"/>
      <c r="N1630" s="46"/>
      <c r="O1630" s="61"/>
      <c r="P1630" s="62"/>
      <c r="Q1630" s="46"/>
      <c r="R1630" s="47"/>
      <c r="S1630" s="62"/>
      <c r="T1630" s="62"/>
      <c r="U1630" s="46"/>
      <c r="V1630" s="61"/>
      <c r="W1630" s="62"/>
      <c r="X1630" s="47"/>
      <c r="Y1630" s="46"/>
      <c r="Z1630" s="46"/>
      <c r="AA1630" s="46"/>
      <c r="AB1630" s="49"/>
      <c r="AC1630" s="42"/>
      <c r="AD1630" s="42"/>
      <c r="AE1630" s="50"/>
      <c r="AF1630" s="42"/>
      <c r="AG1630" s="42"/>
      <c r="AH1630" s="42"/>
      <c r="AI1630" s="42" t="str">
        <f t="array" ref="AI1630">XLOOKUP($E1630,Sheet11!$D:$D,Sheet11!$X:$X,"",0)</f>
        <v/>
      </c>
      <c r="AJ1630" s="42" t="str">
        <f t="array" ref="AJ1630">XLOOKUP($E1630,Sheet11!$D:$D,Sheet11!$Y:$Y,"",0)</f>
        <v/>
      </c>
    </row>
    <row r="1631">
      <c r="A1631" s="23"/>
      <c r="B1631" s="42"/>
      <c r="C1631" s="42"/>
      <c r="D1631" s="42"/>
      <c r="E1631" s="42"/>
      <c r="F1631" s="42"/>
      <c r="G1631" s="42"/>
      <c r="H1631" s="42"/>
      <c r="I1631" s="42"/>
      <c r="J1631" s="42"/>
      <c r="K1631" s="42"/>
      <c r="L1631" s="46"/>
      <c r="M1631" s="46"/>
      <c r="N1631" s="46"/>
      <c r="O1631" s="61"/>
      <c r="P1631" s="62"/>
      <c r="Q1631" s="46"/>
      <c r="R1631" s="47"/>
      <c r="S1631" s="62"/>
      <c r="T1631" s="62"/>
      <c r="U1631" s="46"/>
      <c r="V1631" s="61"/>
      <c r="W1631" s="62"/>
      <c r="X1631" s="47"/>
      <c r="Y1631" s="46"/>
      <c r="Z1631" s="46"/>
      <c r="AA1631" s="46"/>
      <c r="AB1631" s="49"/>
      <c r="AC1631" s="42"/>
      <c r="AD1631" s="42"/>
      <c r="AE1631" s="50"/>
      <c r="AF1631" s="42"/>
      <c r="AG1631" s="42"/>
      <c r="AH1631" s="42"/>
      <c r="AI1631" s="42" t="str">
        <f t="array" ref="AI1631">XLOOKUP($E1631,Sheet11!$D:$D,Sheet11!$X:$X,"",0)</f>
        <v/>
      </c>
      <c r="AJ1631" s="42" t="str">
        <f t="array" ref="AJ1631">XLOOKUP($E1631,Sheet11!$D:$D,Sheet11!$Y:$Y,"",0)</f>
        <v/>
      </c>
    </row>
    <row r="1632">
      <c r="A1632" s="23"/>
      <c r="B1632" s="42"/>
      <c r="C1632" s="42"/>
      <c r="D1632" s="42"/>
      <c r="E1632" s="42"/>
      <c r="F1632" s="42"/>
      <c r="G1632" s="42"/>
      <c r="H1632" s="42"/>
      <c r="I1632" s="42"/>
      <c r="J1632" s="42"/>
      <c r="K1632" s="42"/>
      <c r="L1632" s="46"/>
      <c r="M1632" s="46"/>
      <c r="N1632" s="46"/>
      <c r="O1632" s="61"/>
      <c r="P1632" s="62"/>
      <c r="Q1632" s="46"/>
      <c r="R1632" s="47"/>
      <c r="S1632" s="62"/>
      <c r="T1632" s="62"/>
      <c r="U1632" s="46"/>
      <c r="V1632" s="61"/>
      <c r="W1632" s="62"/>
      <c r="X1632" s="47"/>
      <c r="Y1632" s="46"/>
      <c r="Z1632" s="46"/>
      <c r="AA1632" s="46"/>
      <c r="AB1632" s="49"/>
      <c r="AC1632" s="42"/>
      <c r="AD1632" s="42"/>
      <c r="AE1632" s="50"/>
      <c r="AF1632" s="42"/>
      <c r="AG1632" s="42"/>
      <c r="AH1632" s="42"/>
      <c r="AI1632" s="42" t="str">
        <f t="array" ref="AI1632">XLOOKUP($E1632,Sheet11!$D:$D,Sheet11!$X:$X,"",0)</f>
        <v/>
      </c>
      <c r="AJ1632" s="42" t="str">
        <f t="array" ref="AJ1632">XLOOKUP($E1632,Sheet11!$D:$D,Sheet11!$Y:$Y,"",0)</f>
        <v/>
      </c>
    </row>
    <row r="1633">
      <c r="A1633" s="23"/>
      <c r="B1633" s="42"/>
      <c r="C1633" s="42"/>
      <c r="D1633" s="42"/>
      <c r="E1633" s="42"/>
      <c r="F1633" s="42"/>
      <c r="G1633" s="42"/>
      <c r="H1633" s="42"/>
      <c r="I1633" s="42"/>
      <c r="J1633" s="42"/>
      <c r="K1633" s="42"/>
      <c r="L1633" s="46"/>
      <c r="M1633" s="46"/>
      <c r="N1633" s="46"/>
      <c r="O1633" s="61"/>
      <c r="P1633" s="62"/>
      <c r="Q1633" s="46"/>
      <c r="R1633" s="47"/>
      <c r="S1633" s="62"/>
      <c r="T1633" s="62"/>
      <c r="U1633" s="46"/>
      <c r="V1633" s="61"/>
      <c r="W1633" s="62"/>
      <c r="X1633" s="47"/>
      <c r="Y1633" s="46"/>
      <c r="Z1633" s="46"/>
      <c r="AA1633" s="46"/>
      <c r="AB1633" s="49"/>
      <c r="AC1633" s="42"/>
      <c r="AD1633" s="42"/>
      <c r="AE1633" s="50"/>
      <c r="AF1633" s="42"/>
      <c r="AG1633" s="42"/>
      <c r="AH1633" s="42"/>
      <c r="AI1633" s="42" t="str">
        <f t="array" ref="AI1633">XLOOKUP($E1633,Sheet11!$D:$D,Sheet11!$X:$X,"",0)</f>
        <v/>
      </c>
      <c r="AJ1633" s="42" t="str">
        <f t="array" ref="AJ1633">XLOOKUP($E1633,Sheet11!$D:$D,Sheet11!$Y:$Y,"",0)</f>
        <v/>
      </c>
    </row>
    <row r="1634">
      <c r="A1634" s="23"/>
      <c r="B1634" s="42"/>
      <c r="C1634" s="42"/>
      <c r="D1634" s="42"/>
      <c r="E1634" s="42"/>
      <c r="F1634" s="42"/>
      <c r="G1634" s="42"/>
      <c r="H1634" s="42"/>
      <c r="I1634" s="42"/>
      <c r="J1634" s="42"/>
      <c r="K1634" s="42"/>
      <c r="L1634" s="46"/>
      <c r="M1634" s="46"/>
      <c r="N1634" s="46"/>
      <c r="O1634" s="61"/>
      <c r="P1634" s="62"/>
      <c r="Q1634" s="46"/>
      <c r="R1634" s="47"/>
      <c r="S1634" s="62"/>
      <c r="T1634" s="62"/>
      <c r="U1634" s="46"/>
      <c r="V1634" s="61"/>
      <c r="W1634" s="62"/>
      <c r="X1634" s="47"/>
      <c r="Y1634" s="46"/>
      <c r="Z1634" s="46"/>
      <c r="AA1634" s="46"/>
      <c r="AB1634" s="49"/>
      <c r="AC1634" s="42"/>
      <c r="AD1634" s="42"/>
      <c r="AE1634" s="50"/>
      <c r="AF1634" s="42"/>
      <c r="AG1634" s="42"/>
      <c r="AH1634" s="42"/>
      <c r="AI1634" s="42" t="str">
        <f t="array" ref="AI1634">XLOOKUP($E1634,Sheet11!$D:$D,Sheet11!$X:$X,"",0)</f>
        <v/>
      </c>
      <c r="AJ1634" s="42" t="str">
        <f t="array" ref="AJ1634">XLOOKUP($E1634,Sheet11!$D:$D,Sheet11!$Y:$Y,"",0)</f>
        <v/>
      </c>
    </row>
    <row r="1635">
      <c r="A1635" s="23"/>
      <c r="B1635" s="42"/>
      <c r="C1635" s="42"/>
      <c r="D1635" s="42"/>
      <c r="E1635" s="42"/>
      <c r="F1635" s="42"/>
      <c r="G1635" s="42"/>
      <c r="H1635" s="42"/>
      <c r="I1635" s="42"/>
      <c r="J1635" s="42"/>
      <c r="K1635" s="42"/>
      <c r="L1635" s="46"/>
      <c r="M1635" s="46"/>
      <c r="N1635" s="46"/>
      <c r="O1635" s="61"/>
      <c r="P1635" s="62"/>
      <c r="Q1635" s="46"/>
      <c r="R1635" s="47"/>
      <c r="S1635" s="62"/>
      <c r="T1635" s="62"/>
      <c r="U1635" s="46"/>
      <c r="V1635" s="61"/>
      <c r="W1635" s="62"/>
      <c r="X1635" s="47"/>
      <c r="Y1635" s="46"/>
      <c r="Z1635" s="46"/>
      <c r="AA1635" s="46"/>
      <c r="AB1635" s="49"/>
      <c r="AC1635" s="42"/>
      <c r="AD1635" s="42"/>
      <c r="AE1635" s="50"/>
      <c r="AF1635" s="42"/>
      <c r="AG1635" s="42"/>
      <c r="AH1635" s="42"/>
      <c r="AI1635" s="42" t="str">
        <f t="array" ref="AI1635">XLOOKUP($E1635,Sheet11!$D:$D,Sheet11!$X:$X,"",0)</f>
        <v/>
      </c>
      <c r="AJ1635" s="42" t="str">
        <f t="array" ref="AJ1635">XLOOKUP($E1635,Sheet11!$D:$D,Sheet11!$Y:$Y,"",0)</f>
        <v/>
      </c>
    </row>
    <row r="1636">
      <c r="A1636" s="23"/>
      <c r="B1636" s="42"/>
      <c r="C1636" s="42"/>
      <c r="D1636" s="42"/>
      <c r="E1636" s="42"/>
      <c r="F1636" s="42"/>
      <c r="G1636" s="42"/>
      <c r="H1636" s="42"/>
      <c r="I1636" s="42"/>
      <c r="J1636" s="42"/>
      <c r="K1636" s="42"/>
      <c r="L1636" s="46"/>
      <c r="M1636" s="46"/>
      <c r="N1636" s="46"/>
      <c r="O1636" s="61"/>
      <c r="P1636" s="62"/>
      <c r="Q1636" s="46"/>
      <c r="R1636" s="47"/>
      <c r="S1636" s="62"/>
      <c r="T1636" s="62"/>
      <c r="U1636" s="46"/>
      <c r="V1636" s="61"/>
      <c r="W1636" s="62"/>
      <c r="X1636" s="47"/>
      <c r="Y1636" s="46"/>
      <c r="Z1636" s="46"/>
      <c r="AA1636" s="46"/>
      <c r="AB1636" s="49"/>
      <c r="AC1636" s="42"/>
      <c r="AD1636" s="42"/>
      <c r="AE1636" s="50"/>
      <c r="AF1636" s="42"/>
      <c r="AG1636" s="42"/>
      <c r="AH1636" s="42"/>
      <c r="AI1636" s="42" t="str">
        <f t="array" ref="AI1636">XLOOKUP($E1636,Sheet11!$D:$D,Sheet11!$X:$X,"",0)</f>
        <v/>
      </c>
      <c r="AJ1636" s="42" t="str">
        <f t="array" ref="AJ1636">XLOOKUP($E1636,Sheet11!$D:$D,Sheet11!$Y:$Y,"",0)</f>
        <v/>
      </c>
    </row>
    <row r="1637">
      <c r="A1637" s="23"/>
      <c r="B1637" s="42"/>
      <c r="C1637" s="42"/>
      <c r="D1637" s="42"/>
      <c r="E1637" s="42"/>
      <c r="F1637" s="42"/>
      <c r="G1637" s="42"/>
      <c r="H1637" s="42"/>
      <c r="I1637" s="42"/>
      <c r="J1637" s="42"/>
      <c r="K1637" s="42"/>
      <c r="L1637" s="46"/>
      <c r="M1637" s="46"/>
      <c r="N1637" s="46"/>
      <c r="O1637" s="61"/>
      <c r="P1637" s="62"/>
      <c r="Q1637" s="46"/>
      <c r="R1637" s="47"/>
      <c r="S1637" s="62"/>
      <c r="T1637" s="62"/>
      <c r="U1637" s="46"/>
      <c r="V1637" s="61"/>
      <c r="W1637" s="62"/>
      <c r="X1637" s="47"/>
      <c r="Y1637" s="46"/>
      <c r="Z1637" s="46"/>
      <c r="AA1637" s="46"/>
      <c r="AB1637" s="49"/>
      <c r="AC1637" s="42"/>
      <c r="AD1637" s="42"/>
      <c r="AE1637" s="50"/>
      <c r="AF1637" s="42"/>
      <c r="AG1637" s="42"/>
      <c r="AH1637" s="42"/>
      <c r="AI1637" s="42" t="str">
        <f t="array" ref="AI1637">XLOOKUP($E1637,Sheet11!$D:$D,Sheet11!$X:$X,"",0)</f>
        <v/>
      </c>
      <c r="AJ1637" s="42" t="str">
        <f t="array" ref="AJ1637">XLOOKUP($E1637,Sheet11!$D:$D,Sheet11!$Y:$Y,"",0)</f>
        <v/>
      </c>
    </row>
    <row r="1638">
      <c r="A1638" s="23"/>
      <c r="B1638" s="42"/>
      <c r="C1638" s="42"/>
      <c r="D1638" s="42"/>
      <c r="E1638" s="42"/>
      <c r="F1638" s="42"/>
      <c r="G1638" s="42"/>
      <c r="H1638" s="42"/>
      <c r="I1638" s="42"/>
      <c r="J1638" s="42"/>
      <c r="K1638" s="42"/>
      <c r="L1638" s="46"/>
      <c r="M1638" s="46"/>
      <c r="N1638" s="46"/>
      <c r="O1638" s="61"/>
      <c r="P1638" s="62"/>
      <c r="Q1638" s="46"/>
      <c r="R1638" s="47"/>
      <c r="S1638" s="62"/>
      <c r="T1638" s="62"/>
      <c r="U1638" s="46"/>
      <c r="V1638" s="61"/>
      <c r="W1638" s="62"/>
      <c r="X1638" s="47"/>
      <c r="Y1638" s="46"/>
      <c r="Z1638" s="46"/>
      <c r="AA1638" s="46"/>
      <c r="AB1638" s="49"/>
      <c r="AC1638" s="42"/>
      <c r="AD1638" s="42"/>
      <c r="AE1638" s="50"/>
      <c r="AF1638" s="42"/>
      <c r="AG1638" s="42"/>
      <c r="AH1638" s="42"/>
      <c r="AI1638" s="42" t="str">
        <f t="array" ref="AI1638">XLOOKUP($E1638,Sheet11!$D:$D,Sheet11!$X:$X,"",0)</f>
        <v/>
      </c>
      <c r="AJ1638" s="42" t="str">
        <f t="array" ref="AJ1638">XLOOKUP($E1638,Sheet11!$D:$D,Sheet11!$Y:$Y,"",0)</f>
        <v/>
      </c>
    </row>
    <row r="1639">
      <c r="A1639" s="23"/>
      <c r="B1639" s="42"/>
      <c r="C1639" s="42"/>
      <c r="D1639" s="42"/>
      <c r="E1639" s="42"/>
      <c r="F1639" s="42"/>
      <c r="G1639" s="42"/>
      <c r="H1639" s="42"/>
      <c r="I1639" s="42"/>
      <c r="J1639" s="42"/>
      <c r="K1639" s="42"/>
      <c r="L1639" s="46"/>
      <c r="M1639" s="46"/>
      <c r="N1639" s="46"/>
      <c r="O1639" s="61"/>
      <c r="P1639" s="62"/>
      <c r="Q1639" s="46"/>
      <c r="R1639" s="47"/>
      <c r="S1639" s="62"/>
      <c r="T1639" s="62"/>
      <c r="U1639" s="46"/>
      <c r="V1639" s="61"/>
      <c r="W1639" s="62"/>
      <c r="X1639" s="47"/>
      <c r="Y1639" s="46"/>
      <c r="Z1639" s="46"/>
      <c r="AA1639" s="46"/>
      <c r="AB1639" s="49"/>
      <c r="AC1639" s="42"/>
      <c r="AD1639" s="42"/>
      <c r="AE1639" s="50"/>
      <c r="AF1639" s="42"/>
      <c r="AG1639" s="42"/>
      <c r="AH1639" s="42"/>
      <c r="AI1639" s="42" t="str">
        <f t="array" ref="AI1639">XLOOKUP($E1639,Sheet11!$D:$D,Sheet11!$X:$X,"",0)</f>
        <v/>
      </c>
      <c r="AJ1639" s="42" t="str">
        <f t="array" ref="AJ1639">XLOOKUP($E1639,Sheet11!$D:$D,Sheet11!$Y:$Y,"",0)</f>
        <v/>
      </c>
    </row>
    <row r="1640">
      <c r="A1640" s="23"/>
      <c r="B1640" s="42"/>
      <c r="C1640" s="42"/>
      <c r="D1640" s="42"/>
      <c r="E1640" s="42"/>
      <c r="F1640" s="42"/>
      <c r="G1640" s="42"/>
      <c r="H1640" s="42"/>
      <c r="I1640" s="42"/>
      <c r="J1640" s="42"/>
      <c r="K1640" s="42"/>
      <c r="L1640" s="46"/>
      <c r="M1640" s="46"/>
      <c r="N1640" s="46"/>
      <c r="O1640" s="61"/>
      <c r="P1640" s="62"/>
      <c r="Q1640" s="46"/>
      <c r="R1640" s="47"/>
      <c r="S1640" s="62"/>
      <c r="T1640" s="62"/>
      <c r="U1640" s="46"/>
      <c r="V1640" s="61"/>
      <c r="W1640" s="62"/>
      <c r="X1640" s="47"/>
      <c r="Y1640" s="46"/>
      <c r="Z1640" s="46"/>
      <c r="AA1640" s="46"/>
      <c r="AB1640" s="49"/>
      <c r="AC1640" s="42"/>
      <c r="AD1640" s="42"/>
      <c r="AE1640" s="50"/>
      <c r="AF1640" s="42"/>
      <c r="AG1640" s="42"/>
      <c r="AH1640" s="42"/>
      <c r="AI1640" s="42" t="str">
        <f t="array" ref="AI1640">XLOOKUP($E1640,Sheet11!$D:$D,Sheet11!$X:$X,"",0)</f>
        <v/>
      </c>
      <c r="AJ1640" s="42" t="str">
        <f t="array" ref="AJ1640">XLOOKUP($E1640,Sheet11!$D:$D,Sheet11!$Y:$Y,"",0)</f>
        <v/>
      </c>
    </row>
    <row r="1641">
      <c r="A1641" s="23"/>
      <c r="B1641" s="42"/>
      <c r="C1641" s="42"/>
      <c r="D1641" s="42"/>
      <c r="E1641" s="42"/>
      <c r="F1641" s="42"/>
      <c r="G1641" s="42"/>
      <c r="H1641" s="42"/>
      <c r="I1641" s="42"/>
      <c r="J1641" s="42"/>
      <c r="K1641" s="42"/>
      <c r="L1641" s="46"/>
      <c r="M1641" s="46"/>
      <c r="N1641" s="46"/>
      <c r="O1641" s="61"/>
      <c r="P1641" s="62"/>
      <c r="Q1641" s="46"/>
      <c r="R1641" s="47"/>
      <c r="S1641" s="62"/>
      <c r="T1641" s="62"/>
      <c r="U1641" s="46"/>
      <c r="V1641" s="61"/>
      <c r="W1641" s="62"/>
      <c r="X1641" s="47"/>
      <c r="Y1641" s="46"/>
      <c r="Z1641" s="46"/>
      <c r="AA1641" s="46"/>
      <c r="AB1641" s="49"/>
      <c r="AC1641" s="42"/>
      <c r="AD1641" s="42"/>
      <c r="AE1641" s="50"/>
      <c r="AF1641" s="42"/>
      <c r="AG1641" s="42"/>
      <c r="AH1641" s="42"/>
      <c r="AI1641" s="42" t="str">
        <f t="array" ref="AI1641">XLOOKUP($E1641,Sheet11!$D:$D,Sheet11!$X:$X,"",0)</f>
        <v/>
      </c>
      <c r="AJ1641" s="42" t="str">
        <f t="array" ref="AJ1641">XLOOKUP($E1641,Sheet11!$D:$D,Sheet11!$Y:$Y,"",0)</f>
        <v/>
      </c>
    </row>
    <row r="1642">
      <c r="A1642" s="23"/>
      <c r="B1642" s="42"/>
      <c r="C1642" s="42"/>
      <c r="D1642" s="42"/>
      <c r="E1642" s="42"/>
      <c r="F1642" s="42"/>
      <c r="G1642" s="42"/>
      <c r="H1642" s="42"/>
      <c r="I1642" s="42"/>
      <c r="J1642" s="42"/>
      <c r="K1642" s="42"/>
      <c r="L1642" s="46"/>
      <c r="M1642" s="46"/>
      <c r="N1642" s="46"/>
      <c r="O1642" s="61"/>
      <c r="P1642" s="62"/>
      <c r="Q1642" s="46"/>
      <c r="R1642" s="47"/>
      <c r="S1642" s="62"/>
      <c r="T1642" s="62"/>
      <c r="U1642" s="46"/>
      <c r="V1642" s="61"/>
      <c r="W1642" s="62"/>
      <c r="X1642" s="47"/>
      <c r="Y1642" s="46"/>
      <c r="Z1642" s="46"/>
      <c r="AA1642" s="46"/>
      <c r="AB1642" s="49"/>
      <c r="AC1642" s="42"/>
      <c r="AD1642" s="42"/>
      <c r="AE1642" s="50"/>
      <c r="AF1642" s="42"/>
      <c r="AG1642" s="42"/>
      <c r="AH1642" s="42"/>
      <c r="AI1642" s="42" t="str">
        <f t="array" ref="AI1642">XLOOKUP($E1642,Sheet11!$D:$D,Sheet11!$X:$X,"",0)</f>
        <v/>
      </c>
      <c r="AJ1642" s="42" t="str">
        <f t="array" ref="AJ1642">XLOOKUP($E1642,Sheet11!$D:$D,Sheet11!$Y:$Y,"",0)</f>
        <v/>
      </c>
    </row>
    <row r="1643">
      <c r="A1643" s="23"/>
      <c r="B1643" s="42"/>
      <c r="C1643" s="42"/>
      <c r="D1643" s="42"/>
      <c r="E1643" s="42"/>
      <c r="F1643" s="42"/>
      <c r="G1643" s="42"/>
      <c r="H1643" s="42"/>
      <c r="I1643" s="42"/>
      <c r="J1643" s="42"/>
      <c r="K1643" s="42"/>
      <c r="L1643" s="46"/>
      <c r="M1643" s="46"/>
      <c r="N1643" s="46"/>
      <c r="O1643" s="61"/>
      <c r="P1643" s="62"/>
      <c r="Q1643" s="46"/>
      <c r="R1643" s="47"/>
      <c r="S1643" s="62"/>
      <c r="T1643" s="62"/>
      <c r="U1643" s="46"/>
      <c r="V1643" s="61"/>
      <c r="W1643" s="62"/>
      <c r="X1643" s="47"/>
      <c r="Y1643" s="46"/>
      <c r="Z1643" s="46"/>
      <c r="AA1643" s="46"/>
      <c r="AB1643" s="49"/>
      <c r="AC1643" s="42"/>
      <c r="AD1643" s="42"/>
      <c r="AE1643" s="50"/>
      <c r="AF1643" s="42"/>
      <c r="AG1643" s="42"/>
      <c r="AH1643" s="42"/>
      <c r="AI1643" s="42" t="str">
        <f t="array" ref="AI1643">XLOOKUP($E1643,Sheet11!$D:$D,Sheet11!$X:$X,"",0)</f>
        <v/>
      </c>
      <c r="AJ1643" s="42" t="str">
        <f t="array" ref="AJ1643">XLOOKUP($E1643,Sheet11!$D:$D,Sheet11!$Y:$Y,"",0)</f>
        <v/>
      </c>
    </row>
    <row r="1644">
      <c r="A1644" s="23"/>
      <c r="B1644" s="42"/>
      <c r="C1644" s="42"/>
      <c r="D1644" s="42"/>
      <c r="E1644" s="42"/>
      <c r="F1644" s="42"/>
      <c r="G1644" s="42"/>
      <c r="H1644" s="42"/>
      <c r="I1644" s="42"/>
      <c r="J1644" s="42"/>
      <c r="K1644" s="42"/>
      <c r="L1644" s="46"/>
      <c r="M1644" s="46"/>
      <c r="N1644" s="46"/>
      <c r="O1644" s="61"/>
      <c r="P1644" s="62"/>
      <c r="Q1644" s="46"/>
      <c r="R1644" s="47"/>
      <c r="S1644" s="62"/>
      <c r="T1644" s="62"/>
      <c r="U1644" s="46"/>
      <c r="V1644" s="61"/>
      <c r="W1644" s="62"/>
      <c r="X1644" s="47"/>
      <c r="Y1644" s="46"/>
      <c r="Z1644" s="46"/>
      <c r="AA1644" s="46"/>
      <c r="AB1644" s="49"/>
      <c r="AC1644" s="42"/>
      <c r="AD1644" s="42"/>
      <c r="AE1644" s="50"/>
      <c r="AF1644" s="42"/>
      <c r="AG1644" s="42"/>
      <c r="AH1644" s="42"/>
      <c r="AI1644" s="42" t="str">
        <f t="array" ref="AI1644">XLOOKUP($E1644,Sheet11!$D:$D,Sheet11!$X:$X,"",0)</f>
        <v/>
      </c>
      <c r="AJ1644" s="42" t="str">
        <f t="array" ref="AJ1644">XLOOKUP($E1644,Sheet11!$D:$D,Sheet11!$Y:$Y,"",0)</f>
        <v/>
      </c>
    </row>
    <row r="1645">
      <c r="A1645" s="23"/>
      <c r="B1645" s="42"/>
      <c r="C1645" s="42"/>
      <c r="D1645" s="42"/>
      <c r="E1645" s="42"/>
      <c r="F1645" s="42"/>
      <c r="G1645" s="42"/>
      <c r="H1645" s="42"/>
      <c r="I1645" s="42"/>
      <c r="J1645" s="42"/>
      <c r="K1645" s="42"/>
      <c r="L1645" s="46"/>
      <c r="M1645" s="46"/>
      <c r="N1645" s="46"/>
      <c r="O1645" s="61"/>
      <c r="P1645" s="62"/>
      <c r="Q1645" s="46"/>
      <c r="R1645" s="47"/>
      <c r="S1645" s="62"/>
      <c r="T1645" s="62"/>
      <c r="U1645" s="46"/>
      <c r="V1645" s="61"/>
      <c r="W1645" s="62"/>
      <c r="X1645" s="47"/>
      <c r="Y1645" s="46"/>
      <c r="Z1645" s="46"/>
      <c r="AA1645" s="46"/>
      <c r="AB1645" s="49"/>
      <c r="AC1645" s="42"/>
      <c r="AD1645" s="42"/>
      <c r="AE1645" s="50"/>
      <c r="AF1645" s="42"/>
      <c r="AG1645" s="42"/>
      <c r="AH1645" s="42"/>
      <c r="AI1645" s="42" t="str">
        <f t="array" ref="AI1645">XLOOKUP($E1645,Sheet11!$D:$D,Sheet11!$X:$X,"",0)</f>
        <v/>
      </c>
      <c r="AJ1645" s="42" t="str">
        <f t="array" ref="AJ1645">XLOOKUP($E1645,Sheet11!$D:$D,Sheet11!$Y:$Y,"",0)</f>
        <v/>
      </c>
    </row>
    <row r="1646">
      <c r="A1646" s="23"/>
      <c r="B1646" s="42"/>
      <c r="C1646" s="42"/>
      <c r="D1646" s="42"/>
      <c r="E1646" s="42"/>
      <c r="F1646" s="42"/>
      <c r="G1646" s="42"/>
      <c r="H1646" s="42"/>
      <c r="I1646" s="42"/>
      <c r="J1646" s="42"/>
      <c r="K1646" s="42"/>
      <c r="L1646" s="46"/>
      <c r="M1646" s="46"/>
      <c r="N1646" s="46"/>
      <c r="O1646" s="61"/>
      <c r="P1646" s="62"/>
      <c r="Q1646" s="46"/>
      <c r="R1646" s="47"/>
      <c r="S1646" s="62"/>
      <c r="T1646" s="62"/>
      <c r="U1646" s="46"/>
      <c r="V1646" s="61"/>
      <c r="W1646" s="62"/>
      <c r="X1646" s="47"/>
      <c r="Y1646" s="46"/>
      <c r="Z1646" s="46"/>
      <c r="AA1646" s="46"/>
      <c r="AB1646" s="49"/>
      <c r="AC1646" s="42"/>
      <c r="AD1646" s="42"/>
      <c r="AE1646" s="50"/>
      <c r="AF1646" s="42"/>
      <c r="AG1646" s="42"/>
      <c r="AH1646" s="42"/>
      <c r="AI1646" s="42" t="str">
        <f t="array" ref="AI1646">XLOOKUP($E1646,Sheet11!$D:$D,Sheet11!$X:$X,"",0)</f>
        <v/>
      </c>
      <c r="AJ1646" s="42" t="str">
        <f t="array" ref="AJ1646">XLOOKUP($E1646,Sheet11!$D:$D,Sheet11!$Y:$Y,"",0)</f>
        <v/>
      </c>
    </row>
    <row r="1647">
      <c r="A1647" s="23"/>
      <c r="B1647" s="42"/>
      <c r="C1647" s="42"/>
      <c r="D1647" s="42"/>
      <c r="E1647" s="42"/>
      <c r="F1647" s="42"/>
      <c r="G1647" s="42"/>
      <c r="H1647" s="42"/>
      <c r="I1647" s="42"/>
      <c r="J1647" s="42"/>
      <c r="K1647" s="42"/>
      <c r="L1647" s="46"/>
      <c r="M1647" s="46"/>
      <c r="N1647" s="46"/>
      <c r="O1647" s="61"/>
      <c r="P1647" s="62"/>
      <c r="Q1647" s="46"/>
      <c r="R1647" s="47"/>
      <c r="S1647" s="62"/>
      <c r="T1647" s="62"/>
      <c r="U1647" s="46"/>
      <c r="V1647" s="61"/>
      <c r="W1647" s="62"/>
      <c r="X1647" s="47"/>
      <c r="Y1647" s="46"/>
      <c r="Z1647" s="46"/>
      <c r="AA1647" s="46"/>
      <c r="AB1647" s="49"/>
      <c r="AC1647" s="42"/>
      <c r="AD1647" s="42"/>
      <c r="AE1647" s="50"/>
      <c r="AF1647" s="42"/>
      <c r="AG1647" s="42"/>
      <c r="AH1647" s="42"/>
      <c r="AI1647" s="42" t="str">
        <f t="array" ref="AI1647">XLOOKUP($E1647,Sheet11!$D:$D,Sheet11!$X:$X,"",0)</f>
        <v/>
      </c>
      <c r="AJ1647" s="42" t="str">
        <f t="array" ref="AJ1647">XLOOKUP($E1647,Sheet11!$D:$D,Sheet11!$Y:$Y,"",0)</f>
        <v/>
      </c>
    </row>
    <row r="1648">
      <c r="A1648" s="23"/>
      <c r="B1648" s="42"/>
      <c r="C1648" s="42"/>
      <c r="D1648" s="42"/>
      <c r="E1648" s="42"/>
      <c r="F1648" s="42"/>
      <c r="G1648" s="42"/>
      <c r="H1648" s="42"/>
      <c r="I1648" s="42"/>
      <c r="J1648" s="42"/>
      <c r="K1648" s="42"/>
      <c r="L1648" s="46"/>
      <c r="M1648" s="46"/>
      <c r="N1648" s="46"/>
      <c r="O1648" s="61"/>
      <c r="P1648" s="62"/>
      <c r="Q1648" s="46"/>
      <c r="R1648" s="47"/>
      <c r="S1648" s="62"/>
      <c r="T1648" s="62"/>
      <c r="U1648" s="46"/>
      <c r="V1648" s="61"/>
      <c r="W1648" s="62"/>
      <c r="X1648" s="47"/>
      <c r="Y1648" s="46"/>
      <c r="Z1648" s="46"/>
      <c r="AA1648" s="46"/>
      <c r="AB1648" s="49"/>
      <c r="AC1648" s="42"/>
      <c r="AD1648" s="42"/>
      <c r="AE1648" s="50"/>
      <c r="AF1648" s="42"/>
      <c r="AG1648" s="42"/>
      <c r="AH1648" s="42"/>
      <c r="AI1648" s="42" t="str">
        <f t="array" ref="AI1648">XLOOKUP($E1648,Sheet11!$D:$D,Sheet11!$X:$X,"",0)</f>
        <v/>
      </c>
      <c r="AJ1648" s="42" t="str">
        <f t="array" ref="AJ1648">XLOOKUP($E1648,Sheet11!$D:$D,Sheet11!$Y:$Y,"",0)</f>
        <v/>
      </c>
    </row>
    <row r="1649">
      <c r="A1649" s="23"/>
      <c r="B1649" s="42"/>
      <c r="C1649" s="42"/>
      <c r="D1649" s="42"/>
      <c r="E1649" s="42"/>
      <c r="F1649" s="42"/>
      <c r="G1649" s="42"/>
      <c r="H1649" s="42"/>
      <c r="I1649" s="42"/>
      <c r="J1649" s="42"/>
      <c r="K1649" s="42"/>
      <c r="L1649" s="46"/>
      <c r="M1649" s="46"/>
      <c r="N1649" s="46"/>
      <c r="O1649" s="61"/>
      <c r="P1649" s="62"/>
      <c r="Q1649" s="46"/>
      <c r="R1649" s="47"/>
      <c r="S1649" s="62"/>
      <c r="T1649" s="62"/>
      <c r="U1649" s="46"/>
      <c r="V1649" s="61"/>
      <c r="W1649" s="62"/>
      <c r="X1649" s="47"/>
      <c r="Y1649" s="46"/>
      <c r="Z1649" s="46"/>
      <c r="AA1649" s="46"/>
      <c r="AB1649" s="49"/>
      <c r="AC1649" s="42"/>
      <c r="AD1649" s="42"/>
      <c r="AE1649" s="50"/>
      <c r="AF1649" s="42"/>
      <c r="AG1649" s="42"/>
      <c r="AH1649" s="42"/>
      <c r="AI1649" s="42" t="str">
        <f t="array" ref="AI1649">XLOOKUP($E1649,Sheet11!$D:$D,Sheet11!$X:$X,"",0)</f>
        <v/>
      </c>
      <c r="AJ1649" s="42" t="str">
        <f t="array" ref="AJ1649">XLOOKUP($E1649,Sheet11!$D:$D,Sheet11!$Y:$Y,"",0)</f>
        <v/>
      </c>
    </row>
    <row r="1650">
      <c r="A1650" s="23"/>
      <c r="B1650" s="42"/>
      <c r="C1650" s="42"/>
      <c r="D1650" s="42"/>
      <c r="E1650" s="42"/>
      <c r="F1650" s="42"/>
      <c r="G1650" s="42"/>
      <c r="H1650" s="42"/>
      <c r="I1650" s="42"/>
      <c r="J1650" s="42"/>
      <c r="K1650" s="42"/>
      <c r="L1650" s="46"/>
      <c r="M1650" s="46"/>
      <c r="N1650" s="46"/>
      <c r="O1650" s="61"/>
      <c r="P1650" s="62"/>
      <c r="Q1650" s="46"/>
      <c r="R1650" s="47"/>
      <c r="S1650" s="62"/>
      <c r="T1650" s="62"/>
      <c r="U1650" s="46"/>
      <c r="V1650" s="61"/>
      <c r="W1650" s="62"/>
      <c r="X1650" s="47"/>
      <c r="Y1650" s="46"/>
      <c r="Z1650" s="46"/>
      <c r="AA1650" s="46"/>
      <c r="AB1650" s="49"/>
      <c r="AC1650" s="42"/>
      <c r="AD1650" s="42"/>
      <c r="AE1650" s="50"/>
      <c r="AF1650" s="42"/>
      <c r="AG1650" s="42"/>
      <c r="AH1650" s="42"/>
      <c r="AI1650" s="42" t="str">
        <f t="array" ref="AI1650">XLOOKUP($E1650,Sheet11!$D:$D,Sheet11!$X:$X,"",0)</f>
        <v/>
      </c>
      <c r="AJ1650" s="42" t="str">
        <f t="array" ref="AJ1650">XLOOKUP($E1650,Sheet11!$D:$D,Sheet11!$Y:$Y,"",0)</f>
        <v/>
      </c>
    </row>
    <row r="1651">
      <c r="A1651" s="23"/>
      <c r="B1651" s="42"/>
      <c r="C1651" s="42"/>
      <c r="D1651" s="42"/>
      <c r="E1651" s="42"/>
      <c r="F1651" s="42"/>
      <c r="G1651" s="42"/>
      <c r="H1651" s="42"/>
      <c r="I1651" s="42"/>
      <c r="J1651" s="42"/>
      <c r="K1651" s="42"/>
      <c r="L1651" s="46"/>
      <c r="M1651" s="46"/>
      <c r="N1651" s="46"/>
      <c r="O1651" s="61"/>
      <c r="P1651" s="62"/>
      <c r="Q1651" s="46"/>
      <c r="R1651" s="47"/>
      <c r="S1651" s="62"/>
      <c r="T1651" s="62"/>
      <c r="U1651" s="46"/>
      <c r="V1651" s="61"/>
      <c r="W1651" s="62"/>
      <c r="X1651" s="47"/>
      <c r="Y1651" s="46"/>
      <c r="Z1651" s="46"/>
      <c r="AA1651" s="46"/>
      <c r="AB1651" s="49"/>
      <c r="AC1651" s="42"/>
      <c r="AD1651" s="42"/>
      <c r="AE1651" s="50"/>
      <c r="AF1651" s="42"/>
      <c r="AG1651" s="42"/>
      <c r="AH1651" s="42"/>
      <c r="AI1651" s="42" t="str">
        <f t="array" ref="AI1651">XLOOKUP($E1651,Sheet11!$D:$D,Sheet11!$X:$X,"",0)</f>
        <v/>
      </c>
      <c r="AJ1651" s="42" t="str">
        <f t="array" ref="AJ1651">XLOOKUP($E1651,Sheet11!$D:$D,Sheet11!$Y:$Y,"",0)</f>
        <v/>
      </c>
    </row>
    <row r="1652">
      <c r="A1652" s="23"/>
      <c r="B1652" s="42"/>
      <c r="C1652" s="42"/>
      <c r="D1652" s="42"/>
      <c r="E1652" s="42"/>
      <c r="F1652" s="42"/>
      <c r="G1652" s="42"/>
      <c r="H1652" s="42"/>
      <c r="I1652" s="42"/>
      <c r="J1652" s="42"/>
      <c r="K1652" s="42"/>
      <c r="L1652" s="46"/>
      <c r="M1652" s="46"/>
      <c r="N1652" s="46"/>
      <c r="O1652" s="61"/>
      <c r="P1652" s="62"/>
      <c r="Q1652" s="46"/>
      <c r="R1652" s="47"/>
      <c r="S1652" s="62"/>
      <c r="T1652" s="62"/>
      <c r="U1652" s="46"/>
      <c r="V1652" s="61"/>
      <c r="W1652" s="62"/>
      <c r="X1652" s="47"/>
      <c r="Y1652" s="46"/>
      <c r="Z1652" s="46"/>
      <c r="AA1652" s="46"/>
      <c r="AB1652" s="49"/>
      <c r="AC1652" s="42"/>
      <c r="AD1652" s="42"/>
      <c r="AE1652" s="50"/>
      <c r="AF1652" s="42"/>
      <c r="AG1652" s="42"/>
      <c r="AH1652" s="42"/>
      <c r="AI1652" s="42" t="str">
        <f t="array" ref="AI1652">XLOOKUP($E1652,Sheet11!$D:$D,Sheet11!$X:$X,"",0)</f>
        <v/>
      </c>
      <c r="AJ1652" s="42" t="str">
        <f t="array" ref="AJ1652">XLOOKUP($E1652,Sheet11!$D:$D,Sheet11!$Y:$Y,"",0)</f>
        <v/>
      </c>
    </row>
    <row r="1653">
      <c r="A1653" s="23"/>
      <c r="B1653" s="42"/>
      <c r="C1653" s="42"/>
      <c r="D1653" s="42"/>
      <c r="E1653" s="42"/>
      <c r="F1653" s="42"/>
      <c r="G1653" s="42"/>
      <c r="H1653" s="42"/>
      <c r="I1653" s="42"/>
      <c r="J1653" s="42"/>
      <c r="K1653" s="42"/>
      <c r="L1653" s="46"/>
      <c r="M1653" s="46"/>
      <c r="N1653" s="46"/>
      <c r="O1653" s="61"/>
      <c r="P1653" s="62"/>
      <c r="Q1653" s="46"/>
      <c r="R1653" s="47"/>
      <c r="S1653" s="62"/>
      <c r="T1653" s="62"/>
      <c r="U1653" s="46"/>
      <c r="V1653" s="61"/>
      <c r="W1653" s="62"/>
      <c r="X1653" s="47"/>
      <c r="Y1653" s="46"/>
      <c r="Z1653" s="46"/>
      <c r="AA1653" s="46"/>
      <c r="AB1653" s="49"/>
      <c r="AC1653" s="42"/>
      <c r="AD1653" s="42"/>
      <c r="AE1653" s="50"/>
      <c r="AF1653" s="42"/>
      <c r="AG1653" s="42"/>
      <c r="AH1653" s="42"/>
      <c r="AI1653" s="42" t="str">
        <f t="array" ref="AI1653">XLOOKUP($E1653,Sheet11!$D:$D,Sheet11!$X:$X,"",0)</f>
        <v/>
      </c>
      <c r="AJ1653" s="42" t="str">
        <f t="array" ref="AJ1653">XLOOKUP($E1653,Sheet11!$D:$D,Sheet11!$Y:$Y,"",0)</f>
        <v/>
      </c>
    </row>
    <row r="1654">
      <c r="A1654" s="23"/>
      <c r="B1654" s="42"/>
      <c r="C1654" s="42"/>
      <c r="D1654" s="42"/>
      <c r="E1654" s="42"/>
      <c r="F1654" s="42"/>
      <c r="G1654" s="42"/>
      <c r="H1654" s="42"/>
      <c r="I1654" s="42"/>
      <c r="J1654" s="42"/>
      <c r="K1654" s="42"/>
      <c r="L1654" s="46"/>
      <c r="M1654" s="46"/>
      <c r="N1654" s="46"/>
      <c r="O1654" s="61"/>
      <c r="P1654" s="62"/>
      <c r="Q1654" s="46"/>
      <c r="R1654" s="47"/>
      <c r="S1654" s="62"/>
      <c r="T1654" s="62"/>
      <c r="U1654" s="46"/>
      <c r="V1654" s="61"/>
      <c r="W1654" s="62"/>
      <c r="X1654" s="47"/>
      <c r="Y1654" s="46"/>
      <c r="Z1654" s="46"/>
      <c r="AA1654" s="46"/>
      <c r="AB1654" s="49"/>
      <c r="AC1654" s="42"/>
      <c r="AD1654" s="42"/>
      <c r="AE1654" s="50"/>
      <c r="AF1654" s="42"/>
      <c r="AG1654" s="42"/>
      <c r="AH1654" s="42"/>
      <c r="AI1654" s="42" t="str">
        <f t="array" ref="AI1654">XLOOKUP($E1654,Sheet11!$D:$D,Sheet11!$X:$X,"",0)</f>
        <v/>
      </c>
      <c r="AJ1654" s="42" t="str">
        <f t="array" ref="AJ1654">XLOOKUP($E1654,Sheet11!$D:$D,Sheet11!$Y:$Y,"",0)</f>
        <v/>
      </c>
    </row>
    <row r="1655">
      <c r="A1655" s="23"/>
      <c r="B1655" s="42"/>
      <c r="C1655" s="42"/>
      <c r="D1655" s="42"/>
      <c r="E1655" s="42"/>
      <c r="F1655" s="42"/>
      <c r="G1655" s="42"/>
      <c r="H1655" s="42"/>
      <c r="I1655" s="42"/>
      <c r="J1655" s="42"/>
      <c r="K1655" s="42"/>
      <c r="L1655" s="46"/>
      <c r="M1655" s="46"/>
      <c r="N1655" s="46"/>
      <c r="O1655" s="61"/>
      <c r="P1655" s="62"/>
      <c r="Q1655" s="46"/>
      <c r="R1655" s="47"/>
      <c r="S1655" s="62"/>
      <c r="T1655" s="62"/>
      <c r="U1655" s="46"/>
      <c r="V1655" s="61"/>
      <c r="W1655" s="62"/>
      <c r="X1655" s="47"/>
      <c r="Y1655" s="46"/>
      <c r="Z1655" s="46"/>
      <c r="AA1655" s="46"/>
      <c r="AB1655" s="49"/>
      <c r="AC1655" s="42"/>
      <c r="AD1655" s="42"/>
      <c r="AE1655" s="50"/>
      <c r="AF1655" s="42"/>
      <c r="AG1655" s="42"/>
      <c r="AH1655" s="42"/>
      <c r="AI1655" s="42" t="str">
        <f t="array" ref="AI1655">XLOOKUP($E1655,Sheet11!$D:$D,Sheet11!$X:$X,"",0)</f>
        <v/>
      </c>
      <c r="AJ1655" s="42" t="str">
        <f t="array" ref="AJ1655">XLOOKUP($E1655,Sheet11!$D:$D,Sheet11!$Y:$Y,"",0)</f>
        <v/>
      </c>
    </row>
    <row r="1656">
      <c r="A1656" s="23"/>
      <c r="B1656" s="42"/>
      <c r="C1656" s="42"/>
      <c r="D1656" s="42"/>
      <c r="E1656" s="42"/>
      <c r="F1656" s="42"/>
      <c r="G1656" s="42"/>
      <c r="H1656" s="42"/>
      <c r="I1656" s="42"/>
      <c r="J1656" s="42"/>
      <c r="K1656" s="42"/>
      <c r="L1656" s="46"/>
      <c r="M1656" s="46"/>
      <c r="N1656" s="46"/>
      <c r="O1656" s="61"/>
      <c r="P1656" s="62"/>
      <c r="Q1656" s="46"/>
      <c r="R1656" s="47"/>
      <c r="S1656" s="62"/>
      <c r="T1656" s="62"/>
      <c r="U1656" s="46"/>
      <c r="V1656" s="61"/>
      <c r="W1656" s="62"/>
      <c r="X1656" s="47"/>
      <c r="Y1656" s="46"/>
      <c r="Z1656" s="46"/>
      <c r="AA1656" s="46"/>
      <c r="AB1656" s="49"/>
      <c r="AC1656" s="42"/>
      <c r="AD1656" s="42"/>
      <c r="AE1656" s="50"/>
      <c r="AF1656" s="42"/>
      <c r="AG1656" s="42"/>
      <c r="AH1656" s="42"/>
      <c r="AI1656" s="42" t="str">
        <f t="array" ref="AI1656">XLOOKUP($E1656,Sheet11!$D:$D,Sheet11!$X:$X,"",0)</f>
        <v/>
      </c>
      <c r="AJ1656" s="42" t="str">
        <f t="array" ref="AJ1656">XLOOKUP($E1656,Sheet11!$D:$D,Sheet11!$Y:$Y,"",0)</f>
        <v/>
      </c>
    </row>
    <row r="1657">
      <c r="A1657" s="23"/>
      <c r="B1657" s="42"/>
      <c r="C1657" s="42"/>
      <c r="D1657" s="42"/>
      <c r="E1657" s="42"/>
      <c r="F1657" s="42"/>
      <c r="G1657" s="42"/>
      <c r="H1657" s="42"/>
      <c r="I1657" s="42"/>
      <c r="J1657" s="42"/>
      <c r="K1657" s="42"/>
      <c r="L1657" s="46"/>
      <c r="M1657" s="46"/>
      <c r="N1657" s="46"/>
      <c r="O1657" s="61"/>
      <c r="P1657" s="62"/>
      <c r="Q1657" s="46"/>
      <c r="R1657" s="47"/>
      <c r="S1657" s="62"/>
      <c r="T1657" s="62"/>
      <c r="U1657" s="46"/>
      <c r="V1657" s="61"/>
      <c r="W1657" s="62"/>
      <c r="X1657" s="47"/>
      <c r="Y1657" s="46"/>
      <c r="Z1657" s="46"/>
      <c r="AA1657" s="46"/>
      <c r="AB1657" s="49"/>
      <c r="AC1657" s="42"/>
      <c r="AD1657" s="42"/>
      <c r="AE1657" s="50"/>
      <c r="AF1657" s="42"/>
      <c r="AG1657" s="42"/>
      <c r="AH1657" s="42"/>
      <c r="AI1657" s="42" t="str">
        <f t="array" ref="AI1657">XLOOKUP($E1657,Sheet11!$D:$D,Sheet11!$X:$X,"",0)</f>
        <v/>
      </c>
      <c r="AJ1657" s="42" t="str">
        <f t="array" ref="AJ1657">XLOOKUP($E1657,Sheet11!$D:$D,Sheet11!$Y:$Y,"",0)</f>
        <v/>
      </c>
    </row>
    <row r="1658">
      <c r="A1658" s="23"/>
      <c r="B1658" s="42"/>
      <c r="C1658" s="42"/>
      <c r="D1658" s="42"/>
      <c r="E1658" s="42"/>
      <c r="F1658" s="42"/>
      <c r="G1658" s="42"/>
      <c r="H1658" s="42"/>
      <c r="I1658" s="42"/>
      <c r="J1658" s="42"/>
      <c r="K1658" s="42"/>
      <c r="L1658" s="46"/>
      <c r="M1658" s="46"/>
      <c r="N1658" s="46"/>
      <c r="O1658" s="61"/>
      <c r="P1658" s="62"/>
      <c r="Q1658" s="46"/>
      <c r="R1658" s="47"/>
      <c r="S1658" s="62"/>
      <c r="T1658" s="62"/>
      <c r="U1658" s="46"/>
      <c r="V1658" s="61"/>
      <c r="W1658" s="62"/>
      <c r="X1658" s="47"/>
      <c r="Y1658" s="46"/>
      <c r="Z1658" s="46"/>
      <c r="AA1658" s="46"/>
      <c r="AB1658" s="49"/>
      <c r="AC1658" s="42"/>
      <c r="AD1658" s="42"/>
      <c r="AE1658" s="50"/>
      <c r="AF1658" s="42"/>
      <c r="AG1658" s="42"/>
      <c r="AH1658" s="42"/>
      <c r="AI1658" s="42" t="str">
        <f t="array" ref="AI1658">XLOOKUP($E1658,Sheet11!$D:$D,Sheet11!$X:$X,"",0)</f>
        <v/>
      </c>
      <c r="AJ1658" s="42" t="str">
        <f t="array" ref="AJ1658">XLOOKUP($E1658,Sheet11!$D:$D,Sheet11!$Y:$Y,"",0)</f>
        <v/>
      </c>
    </row>
    <row r="1659">
      <c r="A1659" s="23"/>
      <c r="B1659" s="42"/>
      <c r="C1659" s="42"/>
      <c r="D1659" s="42"/>
      <c r="E1659" s="42"/>
      <c r="F1659" s="42"/>
      <c r="G1659" s="42"/>
      <c r="H1659" s="42"/>
      <c r="I1659" s="42"/>
      <c r="J1659" s="42"/>
      <c r="K1659" s="42"/>
      <c r="L1659" s="46"/>
      <c r="M1659" s="46"/>
      <c r="N1659" s="46"/>
      <c r="O1659" s="61"/>
      <c r="P1659" s="62"/>
      <c r="Q1659" s="46"/>
      <c r="R1659" s="47"/>
      <c r="S1659" s="62"/>
      <c r="T1659" s="62"/>
      <c r="U1659" s="46"/>
      <c r="V1659" s="61"/>
      <c r="W1659" s="62"/>
      <c r="X1659" s="47"/>
      <c r="Y1659" s="46"/>
      <c r="Z1659" s="46"/>
      <c r="AA1659" s="46"/>
      <c r="AB1659" s="49"/>
      <c r="AC1659" s="42"/>
      <c r="AD1659" s="42"/>
      <c r="AE1659" s="50"/>
      <c r="AF1659" s="42"/>
      <c r="AG1659" s="42"/>
      <c r="AH1659" s="42"/>
      <c r="AI1659" s="42" t="str">
        <f t="array" ref="AI1659">XLOOKUP($E1659,Sheet11!$D:$D,Sheet11!$X:$X,"",0)</f>
        <v/>
      </c>
      <c r="AJ1659" s="42" t="str">
        <f t="array" ref="AJ1659">XLOOKUP($E1659,Sheet11!$D:$D,Sheet11!$Y:$Y,"",0)</f>
        <v/>
      </c>
    </row>
    <row r="1660">
      <c r="A1660" s="23"/>
      <c r="B1660" s="42"/>
      <c r="C1660" s="42"/>
      <c r="D1660" s="42"/>
      <c r="E1660" s="42"/>
      <c r="F1660" s="42"/>
      <c r="G1660" s="42"/>
      <c r="H1660" s="42"/>
      <c r="I1660" s="42"/>
      <c r="J1660" s="42"/>
      <c r="K1660" s="42"/>
      <c r="L1660" s="46"/>
      <c r="M1660" s="46"/>
      <c r="N1660" s="46"/>
      <c r="O1660" s="61"/>
      <c r="P1660" s="62"/>
      <c r="Q1660" s="46"/>
      <c r="R1660" s="47"/>
      <c r="S1660" s="62"/>
      <c r="T1660" s="62"/>
      <c r="U1660" s="46"/>
      <c r="V1660" s="61"/>
      <c r="W1660" s="62"/>
      <c r="X1660" s="47"/>
      <c r="Y1660" s="46"/>
      <c r="Z1660" s="46"/>
      <c r="AA1660" s="46"/>
      <c r="AB1660" s="49"/>
      <c r="AC1660" s="42"/>
      <c r="AD1660" s="42"/>
      <c r="AE1660" s="50"/>
      <c r="AF1660" s="42"/>
      <c r="AG1660" s="42"/>
      <c r="AH1660" s="42"/>
      <c r="AI1660" s="42" t="str">
        <f t="array" ref="AI1660">XLOOKUP($E1660,Sheet11!$D:$D,Sheet11!$X:$X,"",0)</f>
        <v/>
      </c>
      <c r="AJ1660" s="42" t="str">
        <f t="array" ref="AJ1660">XLOOKUP($E1660,Sheet11!$D:$D,Sheet11!$Y:$Y,"",0)</f>
        <v/>
      </c>
    </row>
    <row r="1661">
      <c r="A1661" s="23"/>
      <c r="B1661" s="42"/>
      <c r="C1661" s="42"/>
      <c r="D1661" s="42"/>
      <c r="E1661" s="42"/>
      <c r="F1661" s="42"/>
      <c r="G1661" s="42"/>
      <c r="H1661" s="42"/>
      <c r="I1661" s="42"/>
      <c r="J1661" s="42"/>
      <c r="K1661" s="42"/>
      <c r="L1661" s="46"/>
      <c r="M1661" s="46"/>
      <c r="N1661" s="46"/>
      <c r="O1661" s="61"/>
      <c r="P1661" s="62"/>
      <c r="Q1661" s="46"/>
      <c r="R1661" s="47"/>
      <c r="S1661" s="62"/>
      <c r="T1661" s="62"/>
      <c r="U1661" s="46"/>
      <c r="V1661" s="61"/>
      <c r="W1661" s="62"/>
      <c r="X1661" s="47"/>
      <c r="Y1661" s="46"/>
      <c r="Z1661" s="46"/>
      <c r="AA1661" s="46"/>
      <c r="AB1661" s="49"/>
      <c r="AC1661" s="42"/>
      <c r="AD1661" s="42"/>
      <c r="AE1661" s="50"/>
      <c r="AF1661" s="42"/>
      <c r="AG1661" s="42"/>
      <c r="AH1661" s="42"/>
      <c r="AI1661" s="42" t="str">
        <f t="array" ref="AI1661">XLOOKUP($E1661,Sheet11!$D:$D,Sheet11!$X:$X,"",0)</f>
        <v/>
      </c>
      <c r="AJ1661" s="42" t="str">
        <f t="array" ref="AJ1661">XLOOKUP($E1661,Sheet11!$D:$D,Sheet11!$Y:$Y,"",0)</f>
        <v/>
      </c>
    </row>
    <row r="1662">
      <c r="A1662" s="23"/>
      <c r="B1662" s="42"/>
      <c r="C1662" s="42"/>
      <c r="D1662" s="42"/>
      <c r="E1662" s="42"/>
      <c r="F1662" s="42"/>
      <c r="G1662" s="42"/>
      <c r="H1662" s="42"/>
      <c r="I1662" s="42"/>
      <c r="J1662" s="42"/>
      <c r="K1662" s="42"/>
      <c r="L1662" s="46"/>
      <c r="M1662" s="46"/>
      <c r="N1662" s="46"/>
      <c r="O1662" s="61"/>
      <c r="P1662" s="62"/>
      <c r="Q1662" s="46"/>
      <c r="R1662" s="47"/>
      <c r="S1662" s="62"/>
      <c r="T1662" s="62"/>
      <c r="U1662" s="46"/>
      <c r="V1662" s="61"/>
      <c r="W1662" s="62"/>
      <c r="X1662" s="47"/>
      <c r="Y1662" s="46"/>
      <c r="Z1662" s="46"/>
      <c r="AA1662" s="46"/>
      <c r="AB1662" s="49"/>
      <c r="AC1662" s="42"/>
      <c r="AD1662" s="42"/>
      <c r="AE1662" s="50"/>
      <c r="AF1662" s="42"/>
      <c r="AG1662" s="42"/>
      <c r="AH1662" s="42"/>
      <c r="AI1662" s="42" t="str">
        <f t="array" ref="AI1662">XLOOKUP($E1662,Sheet11!$D:$D,Sheet11!$X:$X,"",0)</f>
        <v/>
      </c>
      <c r="AJ1662" s="42" t="str">
        <f t="array" ref="AJ1662">XLOOKUP($E1662,Sheet11!$D:$D,Sheet11!$Y:$Y,"",0)</f>
        <v/>
      </c>
    </row>
    <row r="1663">
      <c r="A1663" s="23"/>
      <c r="B1663" s="42"/>
      <c r="C1663" s="42"/>
      <c r="D1663" s="42"/>
      <c r="E1663" s="42"/>
      <c r="F1663" s="42"/>
      <c r="G1663" s="42"/>
      <c r="H1663" s="42"/>
      <c r="I1663" s="42"/>
      <c r="J1663" s="42"/>
      <c r="K1663" s="42"/>
      <c r="L1663" s="46"/>
      <c r="M1663" s="46"/>
      <c r="N1663" s="46"/>
      <c r="O1663" s="61"/>
      <c r="P1663" s="62"/>
      <c r="Q1663" s="46"/>
      <c r="R1663" s="47"/>
      <c r="S1663" s="62"/>
      <c r="T1663" s="62"/>
      <c r="U1663" s="46"/>
      <c r="V1663" s="61"/>
      <c r="W1663" s="62"/>
      <c r="X1663" s="47"/>
      <c r="Y1663" s="46"/>
      <c r="Z1663" s="46"/>
      <c r="AA1663" s="46"/>
      <c r="AB1663" s="49"/>
      <c r="AC1663" s="42"/>
      <c r="AD1663" s="42"/>
      <c r="AE1663" s="50"/>
      <c r="AF1663" s="42"/>
      <c r="AG1663" s="42"/>
      <c r="AH1663" s="42"/>
      <c r="AI1663" s="42" t="str">
        <f t="array" ref="AI1663">XLOOKUP($E1663,Sheet11!$D:$D,Sheet11!$X:$X,"",0)</f>
        <v/>
      </c>
      <c r="AJ1663" s="42" t="str">
        <f t="array" ref="AJ1663">XLOOKUP($E1663,Sheet11!$D:$D,Sheet11!$Y:$Y,"",0)</f>
        <v/>
      </c>
    </row>
    <row r="1664">
      <c r="A1664" s="23"/>
      <c r="B1664" s="42"/>
      <c r="C1664" s="42"/>
      <c r="D1664" s="42"/>
      <c r="E1664" s="42"/>
      <c r="F1664" s="42"/>
      <c r="G1664" s="42"/>
      <c r="H1664" s="42"/>
      <c r="I1664" s="42"/>
      <c r="J1664" s="42"/>
      <c r="K1664" s="42"/>
      <c r="L1664" s="46"/>
      <c r="M1664" s="46"/>
      <c r="N1664" s="46"/>
      <c r="O1664" s="61"/>
      <c r="P1664" s="62"/>
      <c r="Q1664" s="46"/>
      <c r="R1664" s="47"/>
      <c r="S1664" s="62"/>
      <c r="T1664" s="62"/>
      <c r="U1664" s="46"/>
      <c r="V1664" s="61"/>
      <c r="W1664" s="62"/>
      <c r="X1664" s="47"/>
      <c r="Y1664" s="46"/>
      <c r="Z1664" s="46"/>
      <c r="AA1664" s="46"/>
      <c r="AB1664" s="49"/>
      <c r="AC1664" s="42"/>
      <c r="AD1664" s="42"/>
      <c r="AE1664" s="50"/>
      <c r="AF1664" s="42"/>
      <c r="AG1664" s="42"/>
      <c r="AH1664" s="42"/>
      <c r="AI1664" s="42" t="str">
        <f t="array" ref="AI1664">XLOOKUP($E1664,Sheet11!$D:$D,Sheet11!$X:$X,"",0)</f>
        <v/>
      </c>
      <c r="AJ1664" s="42" t="str">
        <f t="array" ref="AJ1664">XLOOKUP($E1664,Sheet11!$D:$D,Sheet11!$Y:$Y,"",0)</f>
        <v/>
      </c>
    </row>
    <row r="1665">
      <c r="A1665" s="23"/>
      <c r="B1665" s="42"/>
      <c r="C1665" s="42"/>
      <c r="D1665" s="42"/>
      <c r="E1665" s="42"/>
      <c r="F1665" s="42"/>
      <c r="G1665" s="42"/>
      <c r="H1665" s="42"/>
      <c r="I1665" s="42"/>
      <c r="J1665" s="42"/>
      <c r="K1665" s="42"/>
      <c r="L1665" s="46"/>
      <c r="M1665" s="46"/>
      <c r="N1665" s="46"/>
      <c r="O1665" s="61"/>
      <c r="P1665" s="62"/>
      <c r="Q1665" s="46"/>
      <c r="R1665" s="47"/>
      <c r="S1665" s="62"/>
      <c r="T1665" s="62"/>
      <c r="U1665" s="46"/>
      <c r="V1665" s="61"/>
      <c r="W1665" s="62"/>
      <c r="X1665" s="47"/>
      <c r="Y1665" s="46"/>
      <c r="Z1665" s="46"/>
      <c r="AA1665" s="46"/>
      <c r="AB1665" s="49"/>
      <c r="AC1665" s="42"/>
      <c r="AD1665" s="42"/>
      <c r="AE1665" s="50"/>
      <c r="AF1665" s="42"/>
      <c r="AG1665" s="42"/>
      <c r="AH1665" s="42"/>
      <c r="AI1665" s="42" t="str">
        <f t="array" ref="AI1665">XLOOKUP($E1665,Sheet11!$D:$D,Sheet11!$X:$X,"",0)</f>
        <v/>
      </c>
      <c r="AJ1665" s="42" t="str">
        <f t="array" ref="AJ1665">XLOOKUP($E1665,Sheet11!$D:$D,Sheet11!$Y:$Y,"",0)</f>
        <v/>
      </c>
    </row>
    <row r="1666">
      <c r="A1666" s="23"/>
      <c r="B1666" s="42"/>
      <c r="C1666" s="42"/>
      <c r="D1666" s="42"/>
      <c r="E1666" s="42"/>
      <c r="F1666" s="42"/>
      <c r="G1666" s="42"/>
      <c r="H1666" s="42"/>
      <c r="I1666" s="42"/>
      <c r="J1666" s="42"/>
      <c r="K1666" s="42"/>
      <c r="L1666" s="46"/>
      <c r="M1666" s="46"/>
      <c r="N1666" s="46"/>
      <c r="O1666" s="61"/>
      <c r="P1666" s="62"/>
      <c r="Q1666" s="46"/>
      <c r="R1666" s="47"/>
      <c r="S1666" s="62"/>
      <c r="T1666" s="62"/>
      <c r="U1666" s="46"/>
      <c r="V1666" s="61"/>
      <c r="W1666" s="62"/>
      <c r="X1666" s="47"/>
      <c r="Y1666" s="46"/>
      <c r="Z1666" s="46"/>
      <c r="AA1666" s="46"/>
      <c r="AB1666" s="49"/>
      <c r="AC1666" s="42"/>
      <c r="AD1666" s="42"/>
      <c r="AE1666" s="50"/>
      <c r="AF1666" s="42"/>
      <c r="AG1666" s="42"/>
      <c r="AH1666" s="42"/>
      <c r="AI1666" s="42" t="str">
        <f t="array" ref="AI1666">XLOOKUP($E1666,Sheet11!$D:$D,Sheet11!$X:$X,"",0)</f>
        <v/>
      </c>
      <c r="AJ1666" s="42" t="str">
        <f t="array" ref="AJ1666">XLOOKUP($E1666,Sheet11!$D:$D,Sheet11!$Y:$Y,"",0)</f>
        <v/>
      </c>
    </row>
    <row r="1667">
      <c r="A1667" s="23"/>
      <c r="B1667" s="42"/>
      <c r="C1667" s="42"/>
      <c r="D1667" s="42"/>
      <c r="E1667" s="42"/>
      <c r="F1667" s="42"/>
      <c r="G1667" s="42"/>
      <c r="H1667" s="42"/>
      <c r="I1667" s="42"/>
      <c r="J1667" s="42"/>
      <c r="K1667" s="42"/>
      <c r="L1667" s="46"/>
      <c r="M1667" s="46"/>
      <c r="N1667" s="46"/>
      <c r="O1667" s="61"/>
      <c r="P1667" s="62"/>
      <c r="Q1667" s="46"/>
      <c r="R1667" s="47"/>
      <c r="S1667" s="62"/>
      <c r="T1667" s="62"/>
      <c r="U1667" s="46"/>
      <c r="V1667" s="61"/>
      <c r="W1667" s="62"/>
      <c r="X1667" s="47"/>
      <c r="Y1667" s="46"/>
      <c r="Z1667" s="46"/>
      <c r="AA1667" s="46"/>
      <c r="AB1667" s="49"/>
      <c r="AC1667" s="42"/>
      <c r="AD1667" s="42"/>
      <c r="AE1667" s="50"/>
      <c r="AF1667" s="42"/>
      <c r="AG1667" s="42"/>
      <c r="AH1667" s="42"/>
      <c r="AI1667" s="42" t="str">
        <f t="array" ref="AI1667">XLOOKUP($E1667,Sheet11!$D:$D,Sheet11!$X:$X,"",0)</f>
        <v/>
      </c>
      <c r="AJ1667" s="42" t="str">
        <f t="array" ref="AJ1667">XLOOKUP($E1667,Sheet11!$D:$D,Sheet11!$Y:$Y,"",0)</f>
        <v/>
      </c>
    </row>
    <row r="1668">
      <c r="A1668" s="23"/>
      <c r="B1668" s="42"/>
      <c r="C1668" s="42"/>
      <c r="D1668" s="42"/>
      <c r="E1668" s="42"/>
      <c r="F1668" s="42"/>
      <c r="G1668" s="42"/>
      <c r="H1668" s="42"/>
      <c r="I1668" s="42"/>
      <c r="J1668" s="42"/>
      <c r="K1668" s="42"/>
      <c r="L1668" s="46"/>
      <c r="M1668" s="46"/>
      <c r="N1668" s="46"/>
      <c r="O1668" s="61"/>
      <c r="P1668" s="62"/>
      <c r="Q1668" s="46"/>
      <c r="R1668" s="47"/>
      <c r="S1668" s="62"/>
      <c r="T1668" s="62"/>
      <c r="U1668" s="46"/>
      <c r="V1668" s="61"/>
      <c r="W1668" s="62"/>
      <c r="X1668" s="47"/>
      <c r="Y1668" s="46"/>
      <c r="Z1668" s="46"/>
      <c r="AA1668" s="46"/>
      <c r="AB1668" s="49"/>
      <c r="AC1668" s="42"/>
      <c r="AD1668" s="42"/>
      <c r="AE1668" s="50"/>
      <c r="AF1668" s="42"/>
      <c r="AG1668" s="42"/>
      <c r="AH1668" s="42"/>
      <c r="AI1668" s="42" t="str">
        <f t="array" ref="AI1668">XLOOKUP($E1668,Sheet11!$D:$D,Sheet11!$X:$X,"",0)</f>
        <v/>
      </c>
      <c r="AJ1668" s="42" t="str">
        <f t="array" ref="AJ1668">XLOOKUP($E1668,Sheet11!$D:$D,Sheet11!$Y:$Y,"",0)</f>
        <v/>
      </c>
    </row>
    <row r="1669">
      <c r="A1669" s="23"/>
      <c r="B1669" s="42"/>
      <c r="C1669" s="42"/>
      <c r="D1669" s="42"/>
      <c r="E1669" s="42"/>
      <c r="F1669" s="42"/>
      <c r="G1669" s="42"/>
      <c r="H1669" s="42"/>
      <c r="I1669" s="42"/>
      <c r="J1669" s="42"/>
      <c r="K1669" s="42"/>
      <c r="L1669" s="46"/>
      <c r="M1669" s="46"/>
      <c r="N1669" s="46"/>
      <c r="O1669" s="61"/>
      <c r="P1669" s="62"/>
      <c r="Q1669" s="46"/>
      <c r="R1669" s="47"/>
      <c r="S1669" s="62"/>
      <c r="T1669" s="62"/>
      <c r="U1669" s="46"/>
      <c r="V1669" s="61"/>
      <c r="W1669" s="62"/>
      <c r="X1669" s="47"/>
      <c r="Y1669" s="46"/>
      <c r="Z1669" s="46"/>
      <c r="AA1669" s="46"/>
      <c r="AB1669" s="49"/>
      <c r="AC1669" s="42"/>
      <c r="AD1669" s="42"/>
      <c r="AE1669" s="50"/>
      <c r="AF1669" s="42"/>
      <c r="AG1669" s="42"/>
      <c r="AH1669" s="42"/>
      <c r="AI1669" s="42" t="str">
        <f t="array" ref="AI1669">XLOOKUP($E1669,Sheet11!$D:$D,Sheet11!$X:$X,"",0)</f>
        <v/>
      </c>
      <c r="AJ1669" s="42" t="str">
        <f t="array" ref="AJ1669">XLOOKUP($E1669,Sheet11!$D:$D,Sheet11!$Y:$Y,"",0)</f>
        <v/>
      </c>
    </row>
    <row r="1670">
      <c r="A1670" s="23"/>
      <c r="B1670" s="42"/>
      <c r="C1670" s="42"/>
      <c r="D1670" s="42"/>
      <c r="E1670" s="42"/>
      <c r="F1670" s="42"/>
      <c r="G1670" s="42"/>
      <c r="H1670" s="42"/>
      <c r="I1670" s="42"/>
      <c r="J1670" s="42"/>
      <c r="K1670" s="42"/>
      <c r="L1670" s="46"/>
      <c r="M1670" s="46"/>
      <c r="N1670" s="46"/>
      <c r="O1670" s="61"/>
      <c r="P1670" s="62"/>
      <c r="Q1670" s="46"/>
      <c r="R1670" s="47"/>
      <c r="S1670" s="62"/>
      <c r="T1670" s="62"/>
      <c r="U1670" s="46"/>
      <c r="V1670" s="61"/>
      <c r="W1670" s="62"/>
      <c r="X1670" s="47"/>
      <c r="Y1670" s="46"/>
      <c r="Z1670" s="46"/>
      <c r="AA1670" s="46"/>
      <c r="AB1670" s="49"/>
      <c r="AC1670" s="42"/>
      <c r="AD1670" s="42"/>
      <c r="AE1670" s="50"/>
      <c r="AF1670" s="42"/>
      <c r="AG1670" s="42"/>
      <c r="AH1670" s="42"/>
      <c r="AI1670" s="42" t="str">
        <f t="array" ref="AI1670">XLOOKUP($E1670,Sheet11!$D:$D,Sheet11!$X:$X,"",0)</f>
        <v/>
      </c>
      <c r="AJ1670" s="42" t="str">
        <f t="array" ref="AJ1670">XLOOKUP($E1670,Sheet11!$D:$D,Sheet11!$Y:$Y,"",0)</f>
        <v/>
      </c>
    </row>
    <row r="1671">
      <c r="A1671" s="23"/>
      <c r="B1671" s="42"/>
      <c r="C1671" s="42"/>
      <c r="D1671" s="42"/>
      <c r="E1671" s="42"/>
      <c r="F1671" s="42"/>
      <c r="G1671" s="42"/>
      <c r="H1671" s="42"/>
      <c r="I1671" s="42"/>
      <c r="J1671" s="42"/>
      <c r="K1671" s="42"/>
      <c r="L1671" s="46"/>
      <c r="M1671" s="46"/>
      <c r="N1671" s="46"/>
      <c r="O1671" s="61"/>
      <c r="P1671" s="62"/>
      <c r="Q1671" s="46"/>
      <c r="R1671" s="47"/>
      <c r="S1671" s="62"/>
      <c r="T1671" s="62"/>
      <c r="U1671" s="46"/>
      <c r="V1671" s="61"/>
      <c r="W1671" s="62"/>
      <c r="X1671" s="47"/>
      <c r="Y1671" s="46"/>
      <c r="Z1671" s="46"/>
      <c r="AA1671" s="46"/>
      <c r="AB1671" s="49"/>
      <c r="AC1671" s="42"/>
      <c r="AD1671" s="42"/>
      <c r="AE1671" s="50"/>
      <c r="AF1671" s="42"/>
      <c r="AG1671" s="42"/>
      <c r="AH1671" s="42"/>
      <c r="AI1671" s="42" t="str">
        <f t="array" ref="AI1671">XLOOKUP($E1671,Sheet11!$D:$D,Sheet11!$X:$X,"",0)</f>
        <v/>
      </c>
      <c r="AJ1671" s="42" t="str">
        <f t="array" ref="AJ1671">XLOOKUP($E1671,Sheet11!$D:$D,Sheet11!$Y:$Y,"",0)</f>
        <v/>
      </c>
    </row>
    <row r="1672">
      <c r="A1672" s="23"/>
      <c r="B1672" s="42"/>
      <c r="C1672" s="42"/>
      <c r="D1672" s="42"/>
      <c r="E1672" s="42"/>
      <c r="F1672" s="42"/>
      <c r="G1672" s="42"/>
      <c r="H1672" s="42"/>
      <c r="I1672" s="42"/>
      <c r="J1672" s="42"/>
      <c r="K1672" s="42"/>
      <c r="L1672" s="46"/>
      <c r="M1672" s="46"/>
      <c r="N1672" s="46"/>
      <c r="O1672" s="61"/>
      <c r="P1672" s="62"/>
      <c r="Q1672" s="46"/>
      <c r="R1672" s="47"/>
      <c r="S1672" s="62"/>
      <c r="T1672" s="62"/>
      <c r="U1672" s="46"/>
      <c r="V1672" s="61"/>
      <c r="W1672" s="62"/>
      <c r="X1672" s="47"/>
      <c r="Y1672" s="46"/>
      <c r="Z1672" s="46"/>
      <c r="AA1672" s="46"/>
      <c r="AB1672" s="49"/>
      <c r="AC1672" s="42"/>
      <c r="AD1672" s="42"/>
      <c r="AE1672" s="50"/>
      <c r="AF1672" s="42"/>
      <c r="AG1672" s="42"/>
      <c r="AH1672" s="42"/>
      <c r="AI1672" s="42" t="str">
        <f t="array" ref="AI1672">XLOOKUP($E1672,Sheet11!$D:$D,Sheet11!$X:$X,"",0)</f>
        <v/>
      </c>
      <c r="AJ1672" s="42" t="str">
        <f t="array" ref="AJ1672">XLOOKUP($E1672,Sheet11!$D:$D,Sheet11!$Y:$Y,"",0)</f>
        <v/>
      </c>
    </row>
    <row r="1673">
      <c r="A1673" s="23"/>
      <c r="B1673" s="42"/>
      <c r="C1673" s="42"/>
      <c r="D1673" s="42"/>
      <c r="E1673" s="42"/>
      <c r="F1673" s="42"/>
      <c r="G1673" s="42"/>
      <c r="H1673" s="42"/>
      <c r="I1673" s="42"/>
      <c r="J1673" s="42"/>
      <c r="K1673" s="42"/>
      <c r="L1673" s="46"/>
      <c r="M1673" s="46"/>
      <c r="N1673" s="46"/>
      <c r="O1673" s="61"/>
      <c r="P1673" s="62"/>
      <c r="Q1673" s="46"/>
      <c r="R1673" s="47"/>
      <c r="S1673" s="62"/>
      <c r="T1673" s="62"/>
      <c r="U1673" s="46"/>
      <c r="V1673" s="61"/>
      <c r="W1673" s="62"/>
      <c r="X1673" s="47"/>
      <c r="Y1673" s="46"/>
      <c r="Z1673" s="46"/>
      <c r="AA1673" s="46"/>
      <c r="AB1673" s="49"/>
      <c r="AC1673" s="42"/>
      <c r="AD1673" s="42"/>
      <c r="AE1673" s="50"/>
      <c r="AF1673" s="42"/>
      <c r="AG1673" s="42"/>
      <c r="AH1673" s="42"/>
      <c r="AI1673" s="42" t="str">
        <f t="array" ref="AI1673">XLOOKUP($E1673,Sheet11!$D:$D,Sheet11!$X:$X,"",0)</f>
        <v/>
      </c>
      <c r="AJ1673" s="42" t="str">
        <f t="array" ref="AJ1673">XLOOKUP($E1673,Sheet11!$D:$D,Sheet11!$Y:$Y,"",0)</f>
        <v/>
      </c>
    </row>
    <row r="1674">
      <c r="A1674" s="23"/>
      <c r="B1674" s="42"/>
      <c r="C1674" s="42"/>
      <c r="D1674" s="42"/>
      <c r="E1674" s="42"/>
      <c r="F1674" s="42"/>
      <c r="G1674" s="42"/>
      <c r="H1674" s="42"/>
      <c r="I1674" s="42"/>
      <c r="J1674" s="42"/>
      <c r="K1674" s="42"/>
      <c r="L1674" s="46"/>
      <c r="M1674" s="46"/>
      <c r="N1674" s="46"/>
      <c r="O1674" s="61"/>
      <c r="P1674" s="62"/>
      <c r="Q1674" s="46"/>
      <c r="R1674" s="47"/>
      <c r="S1674" s="62"/>
      <c r="T1674" s="62"/>
      <c r="U1674" s="46"/>
      <c r="V1674" s="61"/>
      <c r="W1674" s="62"/>
      <c r="X1674" s="47"/>
      <c r="Y1674" s="46"/>
      <c r="Z1674" s="46"/>
      <c r="AA1674" s="46"/>
      <c r="AB1674" s="49"/>
      <c r="AC1674" s="42"/>
      <c r="AD1674" s="42"/>
      <c r="AE1674" s="50"/>
      <c r="AF1674" s="42"/>
      <c r="AG1674" s="42"/>
      <c r="AH1674" s="42"/>
      <c r="AI1674" s="42" t="str">
        <f t="array" ref="AI1674">XLOOKUP($E1674,Sheet11!$D:$D,Sheet11!$X:$X,"",0)</f>
        <v/>
      </c>
      <c r="AJ1674" s="42" t="str">
        <f t="array" ref="AJ1674">XLOOKUP($E1674,Sheet11!$D:$D,Sheet11!$Y:$Y,"",0)</f>
        <v/>
      </c>
    </row>
    <row r="1675">
      <c r="A1675" s="23"/>
      <c r="B1675" s="42"/>
      <c r="C1675" s="42"/>
      <c r="D1675" s="42"/>
      <c r="E1675" s="42"/>
      <c r="F1675" s="42"/>
      <c r="G1675" s="42"/>
      <c r="H1675" s="42"/>
      <c r="I1675" s="42"/>
      <c r="J1675" s="42"/>
      <c r="K1675" s="42"/>
      <c r="L1675" s="46"/>
      <c r="M1675" s="46"/>
      <c r="N1675" s="46"/>
      <c r="O1675" s="61"/>
      <c r="P1675" s="62"/>
      <c r="Q1675" s="46"/>
      <c r="R1675" s="47"/>
      <c r="S1675" s="62"/>
      <c r="T1675" s="62"/>
      <c r="U1675" s="46"/>
      <c r="V1675" s="61"/>
      <c r="W1675" s="62"/>
      <c r="X1675" s="47"/>
      <c r="Y1675" s="46"/>
      <c r="Z1675" s="46"/>
      <c r="AA1675" s="46"/>
      <c r="AB1675" s="49"/>
      <c r="AC1675" s="42"/>
      <c r="AD1675" s="42"/>
      <c r="AE1675" s="50"/>
      <c r="AF1675" s="42"/>
      <c r="AG1675" s="42"/>
      <c r="AH1675" s="42"/>
      <c r="AI1675" s="42" t="str">
        <f t="array" ref="AI1675">XLOOKUP($E1675,Sheet11!$D:$D,Sheet11!$X:$X,"",0)</f>
        <v/>
      </c>
      <c r="AJ1675" s="42" t="str">
        <f t="array" ref="AJ1675">XLOOKUP($E1675,Sheet11!$D:$D,Sheet11!$Y:$Y,"",0)</f>
        <v/>
      </c>
    </row>
    <row r="1676">
      <c r="A1676" s="23"/>
      <c r="B1676" s="42"/>
      <c r="C1676" s="42"/>
      <c r="D1676" s="42"/>
      <c r="E1676" s="42"/>
      <c r="F1676" s="42"/>
      <c r="G1676" s="42"/>
      <c r="H1676" s="42"/>
      <c r="I1676" s="42"/>
      <c r="J1676" s="42"/>
      <c r="K1676" s="42"/>
      <c r="L1676" s="46"/>
      <c r="M1676" s="46"/>
      <c r="N1676" s="46"/>
      <c r="O1676" s="61"/>
      <c r="P1676" s="62"/>
      <c r="Q1676" s="46"/>
      <c r="R1676" s="47"/>
      <c r="S1676" s="62"/>
      <c r="T1676" s="62"/>
      <c r="U1676" s="46"/>
      <c r="V1676" s="61"/>
      <c r="W1676" s="62"/>
      <c r="X1676" s="47"/>
      <c r="Y1676" s="46"/>
      <c r="Z1676" s="46"/>
      <c r="AA1676" s="46"/>
      <c r="AB1676" s="49"/>
      <c r="AC1676" s="42"/>
      <c r="AD1676" s="42"/>
      <c r="AE1676" s="50"/>
      <c r="AF1676" s="42"/>
      <c r="AG1676" s="42"/>
      <c r="AH1676" s="42"/>
      <c r="AI1676" s="42" t="str">
        <f t="array" ref="AI1676">XLOOKUP($E1676,Sheet11!$D:$D,Sheet11!$X:$X,"",0)</f>
        <v/>
      </c>
      <c r="AJ1676" s="42" t="str">
        <f t="array" ref="AJ1676">XLOOKUP($E1676,Sheet11!$D:$D,Sheet11!$Y:$Y,"",0)</f>
        <v/>
      </c>
    </row>
    <row r="1677">
      <c r="A1677" s="23"/>
      <c r="B1677" s="42"/>
      <c r="C1677" s="42"/>
      <c r="D1677" s="42"/>
      <c r="E1677" s="42"/>
      <c r="F1677" s="42"/>
      <c r="G1677" s="42"/>
      <c r="H1677" s="42"/>
      <c r="I1677" s="42"/>
      <c r="J1677" s="42"/>
      <c r="K1677" s="42"/>
      <c r="L1677" s="46"/>
      <c r="M1677" s="46"/>
      <c r="N1677" s="46"/>
      <c r="O1677" s="61"/>
      <c r="P1677" s="62"/>
      <c r="Q1677" s="46"/>
      <c r="R1677" s="47"/>
      <c r="S1677" s="62"/>
      <c r="T1677" s="62"/>
      <c r="U1677" s="46"/>
      <c r="V1677" s="61"/>
      <c r="W1677" s="62"/>
      <c r="X1677" s="47"/>
      <c r="Y1677" s="46"/>
      <c r="Z1677" s="46"/>
      <c r="AA1677" s="46"/>
      <c r="AB1677" s="49"/>
      <c r="AC1677" s="42"/>
      <c r="AD1677" s="42"/>
      <c r="AE1677" s="50"/>
      <c r="AF1677" s="42"/>
      <c r="AG1677" s="42"/>
      <c r="AH1677" s="42"/>
      <c r="AI1677" s="42" t="str">
        <f t="array" ref="AI1677">XLOOKUP($E1677,Sheet11!$D:$D,Sheet11!$X:$X,"",0)</f>
        <v/>
      </c>
      <c r="AJ1677" s="42" t="str">
        <f t="array" ref="AJ1677">XLOOKUP($E1677,Sheet11!$D:$D,Sheet11!$Y:$Y,"",0)</f>
        <v/>
      </c>
    </row>
    <row r="1678">
      <c r="A1678" s="23"/>
      <c r="B1678" s="42"/>
      <c r="C1678" s="42"/>
      <c r="D1678" s="42"/>
      <c r="E1678" s="42"/>
      <c r="F1678" s="42"/>
      <c r="G1678" s="42"/>
      <c r="H1678" s="42"/>
      <c r="I1678" s="42"/>
      <c r="J1678" s="42"/>
      <c r="K1678" s="42"/>
      <c r="L1678" s="46"/>
      <c r="M1678" s="46"/>
      <c r="N1678" s="46"/>
      <c r="O1678" s="61"/>
      <c r="P1678" s="62"/>
      <c r="Q1678" s="46"/>
      <c r="R1678" s="47"/>
      <c r="S1678" s="62"/>
      <c r="T1678" s="62"/>
      <c r="U1678" s="46"/>
      <c r="V1678" s="61"/>
      <c r="W1678" s="62"/>
      <c r="X1678" s="47"/>
      <c r="Y1678" s="46"/>
      <c r="Z1678" s="46"/>
      <c r="AA1678" s="46"/>
      <c r="AB1678" s="49"/>
      <c r="AC1678" s="42"/>
      <c r="AD1678" s="42"/>
      <c r="AE1678" s="50"/>
      <c r="AF1678" s="42"/>
      <c r="AG1678" s="42"/>
      <c r="AH1678" s="42"/>
      <c r="AI1678" s="42" t="str">
        <f t="array" ref="AI1678">XLOOKUP($E1678,Sheet11!$D:$D,Sheet11!$X:$X,"",0)</f>
        <v/>
      </c>
      <c r="AJ1678" s="42" t="str">
        <f t="array" ref="AJ1678">XLOOKUP($E1678,Sheet11!$D:$D,Sheet11!$Y:$Y,"",0)</f>
        <v/>
      </c>
    </row>
    <row r="1679">
      <c r="A1679" s="23"/>
      <c r="B1679" s="42"/>
      <c r="C1679" s="42"/>
      <c r="D1679" s="42"/>
      <c r="E1679" s="42"/>
      <c r="F1679" s="42"/>
      <c r="G1679" s="42"/>
      <c r="H1679" s="42"/>
      <c r="I1679" s="42"/>
      <c r="J1679" s="42"/>
      <c r="K1679" s="42"/>
      <c r="L1679" s="46"/>
      <c r="M1679" s="46"/>
      <c r="N1679" s="46"/>
      <c r="O1679" s="61"/>
      <c r="P1679" s="62"/>
      <c r="Q1679" s="46"/>
      <c r="R1679" s="47"/>
      <c r="S1679" s="62"/>
      <c r="T1679" s="62"/>
      <c r="U1679" s="46"/>
      <c r="V1679" s="61"/>
      <c r="W1679" s="62"/>
      <c r="X1679" s="47"/>
      <c r="Y1679" s="46"/>
      <c r="Z1679" s="46"/>
      <c r="AA1679" s="46"/>
      <c r="AB1679" s="49"/>
      <c r="AC1679" s="42"/>
      <c r="AD1679" s="42"/>
      <c r="AE1679" s="50"/>
      <c r="AF1679" s="42"/>
      <c r="AG1679" s="42"/>
      <c r="AH1679" s="42"/>
      <c r="AI1679" s="42" t="str">
        <f t="array" ref="AI1679">XLOOKUP($E1679,Sheet11!$D:$D,Sheet11!$X:$X,"",0)</f>
        <v/>
      </c>
      <c r="AJ1679" s="42" t="str">
        <f t="array" ref="AJ1679">XLOOKUP($E1679,Sheet11!$D:$D,Sheet11!$Y:$Y,"",0)</f>
        <v/>
      </c>
    </row>
    <row r="1680">
      <c r="A1680" s="23"/>
      <c r="B1680" s="42"/>
      <c r="C1680" s="42"/>
      <c r="D1680" s="42"/>
      <c r="E1680" s="42"/>
      <c r="F1680" s="42"/>
      <c r="G1680" s="42"/>
      <c r="H1680" s="42"/>
      <c r="I1680" s="42"/>
      <c r="J1680" s="42"/>
      <c r="K1680" s="42"/>
      <c r="L1680" s="46"/>
      <c r="M1680" s="46"/>
      <c r="N1680" s="46"/>
      <c r="O1680" s="61"/>
      <c r="P1680" s="62"/>
      <c r="Q1680" s="46"/>
      <c r="R1680" s="47"/>
      <c r="S1680" s="62"/>
      <c r="T1680" s="62"/>
      <c r="U1680" s="46"/>
      <c r="V1680" s="61"/>
      <c r="W1680" s="62"/>
      <c r="X1680" s="47"/>
      <c r="Y1680" s="46"/>
      <c r="Z1680" s="46"/>
      <c r="AA1680" s="46"/>
      <c r="AB1680" s="49"/>
      <c r="AC1680" s="42"/>
      <c r="AD1680" s="42"/>
      <c r="AE1680" s="50"/>
      <c r="AF1680" s="42"/>
      <c r="AG1680" s="42"/>
      <c r="AH1680" s="42"/>
      <c r="AI1680" s="42" t="str">
        <f t="array" ref="AI1680">XLOOKUP($E1680,Sheet11!$D:$D,Sheet11!$X:$X,"",0)</f>
        <v/>
      </c>
      <c r="AJ1680" s="42" t="str">
        <f t="array" ref="AJ1680">XLOOKUP($E1680,Sheet11!$D:$D,Sheet11!$Y:$Y,"",0)</f>
        <v/>
      </c>
    </row>
    <row r="1681">
      <c r="A1681" s="23"/>
      <c r="B1681" s="42"/>
      <c r="C1681" s="42"/>
      <c r="D1681" s="42"/>
      <c r="E1681" s="42"/>
      <c r="F1681" s="42"/>
      <c r="G1681" s="42"/>
      <c r="H1681" s="42"/>
      <c r="I1681" s="42"/>
      <c r="J1681" s="42"/>
      <c r="K1681" s="42"/>
      <c r="L1681" s="46"/>
      <c r="M1681" s="46"/>
      <c r="N1681" s="46"/>
      <c r="O1681" s="61"/>
      <c r="P1681" s="62"/>
      <c r="Q1681" s="46"/>
      <c r="R1681" s="47"/>
      <c r="S1681" s="62"/>
      <c r="T1681" s="62"/>
      <c r="U1681" s="46"/>
      <c r="V1681" s="61"/>
      <c r="W1681" s="62"/>
      <c r="X1681" s="47"/>
      <c r="Y1681" s="46"/>
      <c r="Z1681" s="46"/>
      <c r="AA1681" s="46"/>
      <c r="AB1681" s="49"/>
      <c r="AC1681" s="42"/>
      <c r="AD1681" s="42"/>
      <c r="AE1681" s="50"/>
      <c r="AF1681" s="42"/>
      <c r="AG1681" s="42"/>
      <c r="AH1681" s="42"/>
      <c r="AI1681" s="42" t="str">
        <f t="array" ref="AI1681">XLOOKUP($E1681,Sheet11!$D:$D,Sheet11!$X:$X,"",0)</f>
        <v/>
      </c>
      <c r="AJ1681" s="42" t="str">
        <f t="array" ref="AJ1681">XLOOKUP($E1681,Sheet11!$D:$D,Sheet11!$Y:$Y,"",0)</f>
        <v/>
      </c>
    </row>
    <row r="1682">
      <c r="A1682" s="23"/>
      <c r="B1682" s="42"/>
      <c r="C1682" s="42"/>
      <c r="D1682" s="42"/>
      <c r="E1682" s="42"/>
      <c r="F1682" s="42"/>
      <c r="G1682" s="42"/>
      <c r="H1682" s="42"/>
      <c r="I1682" s="42"/>
      <c r="J1682" s="42"/>
      <c r="K1682" s="42"/>
      <c r="L1682" s="46"/>
      <c r="M1682" s="46"/>
      <c r="N1682" s="46"/>
      <c r="O1682" s="61"/>
      <c r="P1682" s="62"/>
      <c r="Q1682" s="46"/>
      <c r="R1682" s="47"/>
      <c r="S1682" s="62"/>
      <c r="T1682" s="62"/>
      <c r="U1682" s="46"/>
      <c r="V1682" s="61"/>
      <c r="W1682" s="62"/>
      <c r="X1682" s="47"/>
      <c r="Y1682" s="46"/>
      <c r="Z1682" s="46"/>
      <c r="AA1682" s="46"/>
      <c r="AB1682" s="49"/>
      <c r="AC1682" s="42"/>
      <c r="AD1682" s="42"/>
      <c r="AE1682" s="50"/>
      <c r="AF1682" s="42"/>
      <c r="AG1682" s="42"/>
      <c r="AH1682" s="42"/>
      <c r="AI1682" s="42" t="str">
        <f t="array" ref="AI1682">XLOOKUP($E1682,Sheet11!$D:$D,Sheet11!$X:$X,"",0)</f>
        <v/>
      </c>
      <c r="AJ1682" s="42" t="str">
        <f t="array" ref="AJ1682">XLOOKUP($E1682,Sheet11!$D:$D,Sheet11!$Y:$Y,"",0)</f>
        <v/>
      </c>
    </row>
    <row r="1683">
      <c r="A1683" s="23"/>
      <c r="B1683" s="42"/>
      <c r="C1683" s="42"/>
      <c r="D1683" s="42"/>
      <c r="E1683" s="42"/>
      <c r="F1683" s="42"/>
      <c r="G1683" s="42"/>
      <c r="H1683" s="42"/>
      <c r="I1683" s="42"/>
      <c r="J1683" s="42"/>
      <c r="K1683" s="42"/>
      <c r="L1683" s="46"/>
      <c r="M1683" s="46"/>
      <c r="N1683" s="46"/>
      <c r="O1683" s="61"/>
      <c r="P1683" s="62"/>
      <c r="Q1683" s="46"/>
      <c r="R1683" s="47"/>
      <c r="S1683" s="62"/>
      <c r="T1683" s="62"/>
      <c r="U1683" s="46"/>
      <c r="V1683" s="61"/>
      <c r="W1683" s="62"/>
      <c r="X1683" s="47"/>
      <c r="Y1683" s="46"/>
      <c r="Z1683" s="46"/>
      <c r="AA1683" s="46"/>
      <c r="AB1683" s="49"/>
      <c r="AC1683" s="42"/>
      <c r="AD1683" s="42"/>
      <c r="AE1683" s="50"/>
      <c r="AF1683" s="42"/>
      <c r="AG1683" s="42"/>
      <c r="AH1683" s="42"/>
      <c r="AI1683" s="42" t="str">
        <f t="array" ref="AI1683">XLOOKUP($E1683,Sheet11!$D:$D,Sheet11!$X:$X,"",0)</f>
        <v/>
      </c>
      <c r="AJ1683" s="42" t="str">
        <f t="array" ref="AJ1683">XLOOKUP($E1683,Sheet11!$D:$D,Sheet11!$Y:$Y,"",0)</f>
        <v/>
      </c>
    </row>
    <row r="1684">
      <c r="A1684" s="23"/>
      <c r="B1684" s="42"/>
      <c r="C1684" s="42"/>
      <c r="D1684" s="42"/>
      <c r="E1684" s="42"/>
      <c r="F1684" s="42"/>
      <c r="G1684" s="42"/>
      <c r="H1684" s="42"/>
      <c r="I1684" s="42"/>
      <c r="J1684" s="42"/>
      <c r="K1684" s="42"/>
      <c r="L1684" s="46"/>
      <c r="M1684" s="46"/>
      <c r="N1684" s="46"/>
      <c r="O1684" s="61"/>
      <c r="P1684" s="62"/>
      <c r="Q1684" s="46"/>
      <c r="R1684" s="47"/>
      <c r="S1684" s="62"/>
      <c r="T1684" s="62"/>
      <c r="U1684" s="46"/>
      <c r="V1684" s="61"/>
      <c r="W1684" s="62"/>
      <c r="X1684" s="47"/>
      <c r="Y1684" s="46"/>
      <c r="Z1684" s="46"/>
      <c r="AA1684" s="46"/>
      <c r="AB1684" s="49"/>
      <c r="AC1684" s="42"/>
      <c r="AD1684" s="42"/>
      <c r="AE1684" s="50"/>
      <c r="AF1684" s="42"/>
      <c r="AG1684" s="42"/>
      <c r="AH1684" s="42"/>
      <c r="AI1684" s="42" t="str">
        <f t="array" ref="AI1684">XLOOKUP($E1684,Sheet11!$D:$D,Sheet11!$X:$X,"",0)</f>
        <v/>
      </c>
      <c r="AJ1684" s="42" t="str">
        <f t="array" ref="AJ1684">XLOOKUP($E1684,Sheet11!$D:$D,Sheet11!$Y:$Y,"",0)</f>
        <v/>
      </c>
    </row>
    <row r="1685">
      <c r="A1685" s="23"/>
      <c r="B1685" s="42"/>
      <c r="C1685" s="42"/>
      <c r="D1685" s="42"/>
      <c r="E1685" s="42"/>
      <c r="F1685" s="42"/>
      <c r="G1685" s="42"/>
      <c r="H1685" s="42"/>
      <c r="I1685" s="42"/>
      <c r="J1685" s="42"/>
      <c r="K1685" s="42"/>
      <c r="L1685" s="46"/>
      <c r="M1685" s="46"/>
      <c r="N1685" s="46"/>
      <c r="O1685" s="61"/>
      <c r="P1685" s="62"/>
      <c r="Q1685" s="46"/>
      <c r="R1685" s="47"/>
      <c r="S1685" s="62"/>
      <c r="T1685" s="62"/>
      <c r="U1685" s="46"/>
      <c r="V1685" s="61"/>
      <c r="W1685" s="62"/>
      <c r="X1685" s="47"/>
      <c r="Y1685" s="46"/>
      <c r="Z1685" s="46"/>
      <c r="AA1685" s="46"/>
      <c r="AB1685" s="49"/>
      <c r="AC1685" s="42"/>
      <c r="AD1685" s="42"/>
      <c r="AE1685" s="50"/>
      <c r="AF1685" s="42"/>
      <c r="AG1685" s="42"/>
      <c r="AH1685" s="42"/>
      <c r="AI1685" s="42" t="str">
        <f t="array" ref="AI1685">XLOOKUP($E1685,Sheet11!$D:$D,Sheet11!$X:$X,"",0)</f>
        <v/>
      </c>
      <c r="AJ1685" s="42" t="str">
        <f t="array" ref="AJ1685">XLOOKUP($E1685,Sheet11!$D:$D,Sheet11!$Y:$Y,"",0)</f>
        <v/>
      </c>
    </row>
    <row r="1686">
      <c r="A1686" s="23"/>
      <c r="B1686" s="42"/>
      <c r="C1686" s="42"/>
      <c r="D1686" s="42"/>
      <c r="E1686" s="42"/>
      <c r="F1686" s="42"/>
      <c r="G1686" s="42"/>
      <c r="H1686" s="42"/>
      <c r="I1686" s="42"/>
      <c r="J1686" s="42"/>
      <c r="K1686" s="42"/>
      <c r="L1686" s="46"/>
      <c r="M1686" s="46"/>
      <c r="N1686" s="46"/>
      <c r="O1686" s="61"/>
      <c r="P1686" s="62"/>
      <c r="Q1686" s="46"/>
      <c r="R1686" s="47"/>
      <c r="S1686" s="62"/>
      <c r="T1686" s="62"/>
      <c r="U1686" s="46"/>
      <c r="V1686" s="61"/>
      <c r="W1686" s="62"/>
      <c r="X1686" s="47"/>
      <c r="Y1686" s="46"/>
      <c r="Z1686" s="46"/>
      <c r="AA1686" s="46"/>
      <c r="AB1686" s="49"/>
      <c r="AC1686" s="42"/>
      <c r="AD1686" s="42"/>
      <c r="AE1686" s="50"/>
      <c r="AF1686" s="42"/>
      <c r="AG1686" s="42"/>
      <c r="AH1686" s="42"/>
      <c r="AI1686" s="42" t="str">
        <f t="array" ref="AI1686">XLOOKUP($E1686,Sheet11!$D:$D,Sheet11!$X:$X,"",0)</f>
        <v/>
      </c>
      <c r="AJ1686" s="42" t="str">
        <f t="array" ref="AJ1686">XLOOKUP($E1686,Sheet11!$D:$D,Sheet11!$Y:$Y,"",0)</f>
        <v/>
      </c>
    </row>
    <row r="1687">
      <c r="A1687" s="23"/>
      <c r="B1687" s="42"/>
      <c r="C1687" s="42"/>
      <c r="D1687" s="42"/>
      <c r="E1687" s="42"/>
      <c r="F1687" s="42"/>
      <c r="G1687" s="42"/>
      <c r="H1687" s="42"/>
      <c r="I1687" s="42"/>
      <c r="J1687" s="42"/>
      <c r="K1687" s="42"/>
      <c r="L1687" s="46"/>
      <c r="M1687" s="46"/>
      <c r="N1687" s="46"/>
      <c r="O1687" s="61"/>
      <c r="P1687" s="62"/>
      <c r="Q1687" s="46"/>
      <c r="R1687" s="47"/>
      <c r="S1687" s="62"/>
      <c r="T1687" s="62"/>
      <c r="U1687" s="46"/>
      <c r="V1687" s="61"/>
      <c r="W1687" s="62"/>
      <c r="X1687" s="47"/>
      <c r="Y1687" s="46"/>
      <c r="Z1687" s="46"/>
      <c r="AA1687" s="46"/>
      <c r="AB1687" s="49"/>
      <c r="AC1687" s="42"/>
      <c r="AD1687" s="42"/>
      <c r="AE1687" s="50"/>
      <c r="AF1687" s="42"/>
      <c r="AG1687" s="42"/>
      <c r="AH1687" s="42"/>
      <c r="AI1687" s="42" t="str">
        <f t="array" ref="AI1687">XLOOKUP($E1687,Sheet11!$D:$D,Sheet11!$X:$X,"",0)</f>
        <v/>
      </c>
      <c r="AJ1687" s="42" t="str">
        <f t="array" ref="AJ1687">XLOOKUP($E1687,Sheet11!$D:$D,Sheet11!$Y:$Y,"",0)</f>
        <v/>
      </c>
    </row>
    <row r="1688">
      <c r="A1688" s="23"/>
      <c r="B1688" s="42"/>
      <c r="C1688" s="42"/>
      <c r="D1688" s="42"/>
      <c r="E1688" s="42"/>
      <c r="F1688" s="42"/>
      <c r="G1688" s="42"/>
      <c r="H1688" s="42"/>
      <c r="I1688" s="42"/>
      <c r="J1688" s="42"/>
      <c r="K1688" s="42"/>
      <c r="L1688" s="46"/>
      <c r="M1688" s="46"/>
      <c r="N1688" s="46"/>
      <c r="O1688" s="61"/>
      <c r="P1688" s="62"/>
      <c r="Q1688" s="46"/>
      <c r="R1688" s="47"/>
      <c r="S1688" s="62"/>
      <c r="T1688" s="62"/>
      <c r="U1688" s="46"/>
      <c r="V1688" s="61"/>
      <c r="W1688" s="62"/>
      <c r="X1688" s="47"/>
      <c r="Y1688" s="46"/>
      <c r="Z1688" s="46"/>
      <c r="AA1688" s="46"/>
      <c r="AB1688" s="49"/>
      <c r="AC1688" s="42"/>
      <c r="AD1688" s="42"/>
      <c r="AE1688" s="50"/>
      <c r="AF1688" s="42"/>
      <c r="AG1688" s="42"/>
      <c r="AH1688" s="42"/>
      <c r="AI1688" s="42" t="str">
        <f t="array" ref="AI1688">XLOOKUP($E1688,Sheet11!$D:$D,Sheet11!$X:$X,"",0)</f>
        <v/>
      </c>
      <c r="AJ1688" s="42" t="str">
        <f t="array" ref="AJ1688">XLOOKUP($E1688,Sheet11!$D:$D,Sheet11!$Y:$Y,"",0)</f>
        <v/>
      </c>
    </row>
    <row r="1689">
      <c r="A1689" s="23"/>
      <c r="B1689" s="42"/>
      <c r="C1689" s="42"/>
      <c r="D1689" s="42"/>
      <c r="E1689" s="42"/>
      <c r="F1689" s="42"/>
      <c r="G1689" s="42"/>
      <c r="H1689" s="42"/>
      <c r="I1689" s="42"/>
      <c r="J1689" s="42"/>
      <c r="K1689" s="42"/>
      <c r="L1689" s="46"/>
      <c r="M1689" s="46"/>
      <c r="N1689" s="46"/>
      <c r="O1689" s="61"/>
      <c r="P1689" s="62"/>
      <c r="Q1689" s="46"/>
      <c r="R1689" s="47"/>
      <c r="S1689" s="62"/>
      <c r="T1689" s="62"/>
      <c r="U1689" s="46"/>
      <c r="V1689" s="61"/>
      <c r="W1689" s="62"/>
      <c r="X1689" s="47"/>
      <c r="Y1689" s="46"/>
      <c r="Z1689" s="46"/>
      <c r="AA1689" s="46"/>
      <c r="AB1689" s="49"/>
      <c r="AC1689" s="42"/>
      <c r="AD1689" s="42"/>
      <c r="AE1689" s="50"/>
      <c r="AF1689" s="42"/>
      <c r="AG1689" s="42"/>
      <c r="AH1689" s="42"/>
      <c r="AI1689" s="42" t="str">
        <f t="array" ref="AI1689">XLOOKUP($E1689,Sheet11!$D:$D,Sheet11!$X:$X,"",0)</f>
        <v/>
      </c>
      <c r="AJ1689" s="42" t="str">
        <f t="array" ref="AJ1689">XLOOKUP($E1689,Sheet11!$D:$D,Sheet11!$Y:$Y,"",0)</f>
        <v/>
      </c>
    </row>
    <row r="1690">
      <c r="A1690" s="23"/>
      <c r="B1690" s="42"/>
      <c r="C1690" s="42"/>
      <c r="D1690" s="42"/>
      <c r="E1690" s="42"/>
      <c r="F1690" s="42"/>
      <c r="G1690" s="42"/>
      <c r="H1690" s="42"/>
      <c r="I1690" s="42"/>
      <c r="J1690" s="42"/>
      <c r="K1690" s="42"/>
      <c r="L1690" s="46"/>
      <c r="M1690" s="46"/>
      <c r="N1690" s="46"/>
      <c r="O1690" s="61"/>
      <c r="P1690" s="62"/>
      <c r="Q1690" s="46"/>
      <c r="R1690" s="47"/>
      <c r="S1690" s="62"/>
      <c r="T1690" s="62"/>
      <c r="U1690" s="46"/>
      <c r="V1690" s="61"/>
      <c r="W1690" s="62"/>
      <c r="X1690" s="47"/>
      <c r="Y1690" s="46"/>
      <c r="Z1690" s="46"/>
      <c r="AA1690" s="46"/>
      <c r="AB1690" s="49"/>
      <c r="AC1690" s="42"/>
      <c r="AD1690" s="42"/>
      <c r="AE1690" s="50"/>
      <c r="AF1690" s="42"/>
      <c r="AG1690" s="42"/>
      <c r="AH1690" s="42"/>
      <c r="AI1690" s="42" t="str">
        <f t="array" ref="AI1690">XLOOKUP($E1690,Sheet11!$D:$D,Sheet11!$X:$X,"",0)</f>
        <v/>
      </c>
      <c r="AJ1690" s="42" t="str">
        <f t="array" ref="AJ1690">XLOOKUP($E1690,Sheet11!$D:$D,Sheet11!$Y:$Y,"",0)</f>
        <v/>
      </c>
    </row>
    <row r="1691">
      <c r="A1691" s="23"/>
      <c r="B1691" s="42"/>
      <c r="C1691" s="42"/>
      <c r="D1691" s="42"/>
      <c r="E1691" s="42"/>
      <c r="F1691" s="42"/>
      <c r="G1691" s="42"/>
      <c r="H1691" s="42"/>
      <c r="I1691" s="42"/>
      <c r="J1691" s="42"/>
      <c r="K1691" s="42"/>
      <c r="L1691" s="46"/>
      <c r="M1691" s="46"/>
      <c r="N1691" s="46"/>
      <c r="O1691" s="61"/>
      <c r="P1691" s="62"/>
      <c r="Q1691" s="46"/>
      <c r="R1691" s="47"/>
      <c r="S1691" s="62"/>
      <c r="T1691" s="62"/>
      <c r="U1691" s="46"/>
      <c r="V1691" s="61"/>
      <c r="W1691" s="62"/>
      <c r="X1691" s="47"/>
      <c r="Y1691" s="46"/>
      <c r="Z1691" s="46"/>
      <c r="AA1691" s="46"/>
      <c r="AB1691" s="49"/>
      <c r="AC1691" s="42"/>
      <c r="AD1691" s="42"/>
      <c r="AE1691" s="50"/>
      <c r="AF1691" s="42"/>
      <c r="AG1691" s="42"/>
      <c r="AH1691" s="42"/>
      <c r="AI1691" s="42" t="str">
        <f t="array" ref="AI1691">XLOOKUP($E1691,Sheet11!$D:$D,Sheet11!$X:$X,"",0)</f>
        <v/>
      </c>
      <c r="AJ1691" s="42" t="str">
        <f t="array" ref="AJ1691">XLOOKUP($E1691,Sheet11!$D:$D,Sheet11!$Y:$Y,"",0)</f>
        <v/>
      </c>
    </row>
    <row r="1692">
      <c r="A1692" s="23"/>
      <c r="B1692" s="42"/>
      <c r="C1692" s="42"/>
      <c r="D1692" s="42"/>
      <c r="E1692" s="42"/>
      <c r="F1692" s="42"/>
      <c r="G1692" s="42"/>
      <c r="H1692" s="42"/>
      <c r="I1692" s="42"/>
      <c r="J1692" s="42"/>
      <c r="K1692" s="42"/>
      <c r="L1692" s="46"/>
      <c r="M1692" s="46"/>
      <c r="N1692" s="46"/>
      <c r="O1692" s="61"/>
      <c r="P1692" s="62"/>
      <c r="Q1692" s="46"/>
      <c r="R1692" s="47"/>
      <c r="S1692" s="62"/>
      <c r="T1692" s="62"/>
      <c r="U1692" s="46"/>
      <c r="V1692" s="61"/>
      <c r="W1692" s="62"/>
      <c r="X1692" s="47"/>
      <c r="Y1692" s="46"/>
      <c r="Z1692" s="46"/>
      <c r="AA1692" s="46"/>
      <c r="AB1692" s="49"/>
      <c r="AC1692" s="42"/>
      <c r="AD1692" s="42"/>
      <c r="AE1692" s="50"/>
      <c r="AF1692" s="42"/>
      <c r="AG1692" s="42"/>
      <c r="AH1692" s="42"/>
      <c r="AI1692" s="42" t="str">
        <f t="array" ref="AI1692">XLOOKUP($E1692,Sheet11!$D:$D,Sheet11!$X:$X,"",0)</f>
        <v/>
      </c>
      <c r="AJ1692" s="42" t="str">
        <f t="array" ref="AJ1692">XLOOKUP($E1692,Sheet11!$D:$D,Sheet11!$Y:$Y,"",0)</f>
        <v/>
      </c>
    </row>
    <row r="1693">
      <c r="A1693" s="23"/>
      <c r="B1693" s="42"/>
      <c r="C1693" s="42"/>
      <c r="D1693" s="42"/>
      <c r="E1693" s="42"/>
      <c r="F1693" s="42"/>
      <c r="G1693" s="42"/>
      <c r="H1693" s="42"/>
      <c r="I1693" s="42"/>
      <c r="J1693" s="42"/>
      <c r="K1693" s="42"/>
      <c r="L1693" s="46"/>
      <c r="M1693" s="46"/>
      <c r="N1693" s="46"/>
      <c r="O1693" s="61"/>
      <c r="P1693" s="62"/>
      <c r="Q1693" s="46"/>
      <c r="R1693" s="47"/>
      <c r="S1693" s="62"/>
      <c r="T1693" s="62"/>
      <c r="U1693" s="46"/>
      <c r="V1693" s="61"/>
      <c r="W1693" s="62"/>
      <c r="X1693" s="47"/>
      <c r="Y1693" s="46"/>
      <c r="Z1693" s="46"/>
      <c r="AA1693" s="46"/>
      <c r="AB1693" s="49"/>
      <c r="AC1693" s="42"/>
      <c r="AD1693" s="42"/>
      <c r="AE1693" s="50"/>
      <c r="AF1693" s="42"/>
      <c r="AG1693" s="42"/>
      <c r="AH1693" s="42"/>
      <c r="AI1693" s="42" t="str">
        <f t="array" ref="AI1693">XLOOKUP($E1693,Sheet11!$D:$D,Sheet11!$X:$X,"",0)</f>
        <v/>
      </c>
      <c r="AJ1693" s="42" t="str">
        <f t="array" ref="AJ1693">XLOOKUP($E1693,Sheet11!$D:$D,Sheet11!$Y:$Y,"",0)</f>
        <v/>
      </c>
    </row>
    <row r="1694">
      <c r="A1694" s="23"/>
      <c r="B1694" s="42"/>
      <c r="C1694" s="42"/>
      <c r="D1694" s="42"/>
      <c r="E1694" s="42"/>
      <c r="F1694" s="42"/>
      <c r="G1694" s="42"/>
      <c r="H1694" s="42"/>
      <c r="I1694" s="42"/>
      <c r="J1694" s="42"/>
      <c r="K1694" s="42"/>
      <c r="L1694" s="46"/>
      <c r="M1694" s="46"/>
      <c r="N1694" s="46"/>
      <c r="O1694" s="61"/>
      <c r="P1694" s="62"/>
      <c r="Q1694" s="46"/>
      <c r="R1694" s="47"/>
      <c r="S1694" s="62"/>
      <c r="T1694" s="62"/>
      <c r="U1694" s="46"/>
      <c r="V1694" s="61"/>
      <c r="W1694" s="62"/>
      <c r="X1694" s="47"/>
      <c r="Y1694" s="46"/>
      <c r="Z1694" s="46"/>
      <c r="AA1694" s="46"/>
      <c r="AB1694" s="49"/>
      <c r="AC1694" s="42"/>
      <c r="AD1694" s="42"/>
      <c r="AE1694" s="50"/>
      <c r="AF1694" s="42"/>
      <c r="AG1694" s="42"/>
      <c r="AH1694" s="42"/>
      <c r="AI1694" s="42" t="str">
        <f t="array" ref="AI1694">XLOOKUP($E1694,Sheet11!$D:$D,Sheet11!$X:$X,"",0)</f>
        <v/>
      </c>
      <c r="AJ1694" s="42" t="str">
        <f t="array" ref="AJ1694">XLOOKUP($E1694,Sheet11!$D:$D,Sheet11!$Y:$Y,"",0)</f>
        <v/>
      </c>
    </row>
    <row r="1695">
      <c r="A1695" s="23"/>
      <c r="B1695" s="42"/>
      <c r="C1695" s="42"/>
      <c r="D1695" s="42"/>
      <c r="E1695" s="42"/>
      <c r="F1695" s="42"/>
      <c r="G1695" s="42"/>
      <c r="H1695" s="42"/>
      <c r="I1695" s="42"/>
      <c r="J1695" s="42"/>
      <c r="K1695" s="42"/>
      <c r="L1695" s="46"/>
      <c r="M1695" s="46"/>
      <c r="N1695" s="46"/>
      <c r="O1695" s="61"/>
      <c r="P1695" s="62"/>
      <c r="Q1695" s="46"/>
      <c r="R1695" s="47"/>
      <c r="S1695" s="62"/>
      <c r="T1695" s="62"/>
      <c r="U1695" s="46"/>
      <c r="V1695" s="61"/>
      <c r="W1695" s="62"/>
      <c r="X1695" s="47"/>
      <c r="Y1695" s="46"/>
      <c r="Z1695" s="46"/>
      <c r="AA1695" s="46"/>
      <c r="AB1695" s="49"/>
      <c r="AC1695" s="42"/>
      <c r="AD1695" s="42"/>
      <c r="AE1695" s="50"/>
      <c r="AF1695" s="42"/>
      <c r="AG1695" s="42"/>
      <c r="AH1695" s="42"/>
      <c r="AI1695" s="42" t="str">
        <f t="array" ref="AI1695">XLOOKUP($E1695,Sheet11!$D:$D,Sheet11!$X:$X,"",0)</f>
        <v/>
      </c>
      <c r="AJ1695" s="42" t="str">
        <f t="array" ref="AJ1695">XLOOKUP($E1695,Sheet11!$D:$D,Sheet11!$Y:$Y,"",0)</f>
        <v/>
      </c>
    </row>
    <row r="1696">
      <c r="A1696" s="23"/>
      <c r="B1696" s="42"/>
      <c r="C1696" s="42"/>
      <c r="D1696" s="42"/>
      <c r="E1696" s="42"/>
      <c r="F1696" s="42"/>
      <c r="G1696" s="42"/>
      <c r="H1696" s="42"/>
      <c r="I1696" s="42"/>
      <c r="J1696" s="42"/>
      <c r="K1696" s="42"/>
      <c r="L1696" s="46"/>
      <c r="M1696" s="46"/>
      <c r="N1696" s="46"/>
      <c r="O1696" s="61"/>
      <c r="P1696" s="62"/>
      <c r="Q1696" s="46"/>
      <c r="R1696" s="47"/>
      <c r="S1696" s="62"/>
      <c r="T1696" s="62"/>
      <c r="U1696" s="46"/>
      <c r="V1696" s="61"/>
      <c r="W1696" s="62"/>
      <c r="X1696" s="47"/>
      <c r="Y1696" s="46"/>
      <c r="Z1696" s="46"/>
      <c r="AA1696" s="46"/>
      <c r="AB1696" s="49"/>
      <c r="AC1696" s="42"/>
      <c r="AD1696" s="42"/>
      <c r="AE1696" s="50"/>
      <c r="AF1696" s="42"/>
      <c r="AG1696" s="42"/>
      <c r="AH1696" s="42"/>
      <c r="AI1696" s="42" t="str">
        <f t="array" ref="AI1696">XLOOKUP($E1696,Sheet11!$D:$D,Sheet11!$X:$X,"",0)</f>
        <v/>
      </c>
      <c r="AJ1696" s="42" t="str">
        <f t="array" ref="AJ1696">XLOOKUP($E1696,Sheet11!$D:$D,Sheet11!$Y:$Y,"",0)</f>
        <v/>
      </c>
    </row>
    <row r="1697">
      <c r="A1697" s="23"/>
      <c r="B1697" s="42"/>
      <c r="C1697" s="42"/>
      <c r="D1697" s="42"/>
      <c r="E1697" s="42"/>
      <c r="F1697" s="42"/>
      <c r="G1697" s="42"/>
      <c r="H1697" s="42"/>
      <c r="I1697" s="42"/>
      <c r="J1697" s="42"/>
      <c r="K1697" s="42"/>
      <c r="L1697" s="46"/>
      <c r="M1697" s="46"/>
      <c r="N1697" s="46"/>
      <c r="O1697" s="61"/>
      <c r="P1697" s="62"/>
      <c r="Q1697" s="46"/>
      <c r="R1697" s="47"/>
      <c r="S1697" s="62"/>
      <c r="T1697" s="62"/>
      <c r="U1697" s="46"/>
      <c r="V1697" s="61"/>
      <c r="W1697" s="62"/>
      <c r="X1697" s="47"/>
      <c r="Y1697" s="46"/>
      <c r="Z1697" s="46"/>
      <c r="AA1697" s="46"/>
      <c r="AB1697" s="49"/>
      <c r="AC1697" s="42"/>
      <c r="AD1697" s="42"/>
      <c r="AE1697" s="50"/>
      <c r="AF1697" s="42"/>
      <c r="AG1697" s="42"/>
      <c r="AH1697" s="42"/>
      <c r="AI1697" s="42" t="str">
        <f t="array" ref="AI1697">XLOOKUP($E1697,Sheet11!$D:$D,Sheet11!$X:$X,"",0)</f>
        <v/>
      </c>
      <c r="AJ1697" s="42" t="str">
        <f t="array" ref="AJ1697">XLOOKUP($E1697,Sheet11!$D:$D,Sheet11!$Y:$Y,"",0)</f>
        <v/>
      </c>
    </row>
    <row r="1698">
      <c r="A1698" s="23"/>
      <c r="B1698" s="42"/>
      <c r="C1698" s="42"/>
      <c r="D1698" s="42"/>
      <c r="E1698" s="42"/>
      <c r="F1698" s="42"/>
      <c r="G1698" s="42"/>
      <c r="H1698" s="42"/>
      <c r="I1698" s="42"/>
      <c r="J1698" s="42"/>
      <c r="K1698" s="42"/>
      <c r="L1698" s="46"/>
      <c r="M1698" s="46"/>
      <c r="N1698" s="46"/>
      <c r="O1698" s="61"/>
      <c r="P1698" s="62"/>
      <c r="Q1698" s="46"/>
      <c r="R1698" s="47"/>
      <c r="S1698" s="62"/>
      <c r="T1698" s="62"/>
      <c r="U1698" s="46"/>
      <c r="V1698" s="61"/>
      <c r="W1698" s="62"/>
      <c r="X1698" s="47"/>
      <c r="Y1698" s="46"/>
      <c r="Z1698" s="46"/>
      <c r="AA1698" s="46"/>
      <c r="AB1698" s="49"/>
      <c r="AC1698" s="42"/>
      <c r="AD1698" s="42"/>
      <c r="AE1698" s="50"/>
      <c r="AF1698" s="42"/>
      <c r="AG1698" s="42"/>
      <c r="AH1698" s="42"/>
      <c r="AI1698" s="42" t="str">
        <f t="array" ref="AI1698">XLOOKUP($E1698,Sheet11!$D:$D,Sheet11!$X:$X,"",0)</f>
        <v/>
      </c>
      <c r="AJ1698" s="42" t="str">
        <f t="array" ref="AJ1698">XLOOKUP($E1698,Sheet11!$D:$D,Sheet11!$Y:$Y,"",0)</f>
        <v/>
      </c>
    </row>
    <row r="1699">
      <c r="A1699" s="23"/>
      <c r="B1699" s="42"/>
      <c r="C1699" s="42"/>
      <c r="D1699" s="42"/>
      <c r="E1699" s="42"/>
      <c r="F1699" s="42"/>
      <c r="G1699" s="42"/>
      <c r="H1699" s="42"/>
      <c r="I1699" s="42"/>
      <c r="J1699" s="42"/>
      <c r="K1699" s="42"/>
      <c r="L1699" s="46"/>
      <c r="M1699" s="46"/>
      <c r="N1699" s="46"/>
      <c r="O1699" s="61"/>
      <c r="P1699" s="62"/>
      <c r="Q1699" s="46"/>
      <c r="R1699" s="47"/>
      <c r="S1699" s="62"/>
      <c r="T1699" s="62"/>
      <c r="U1699" s="46"/>
      <c r="V1699" s="61"/>
      <c r="W1699" s="62"/>
      <c r="X1699" s="47"/>
      <c r="Y1699" s="46"/>
      <c r="Z1699" s="46"/>
      <c r="AA1699" s="46"/>
      <c r="AB1699" s="49"/>
      <c r="AC1699" s="42"/>
      <c r="AD1699" s="42"/>
      <c r="AE1699" s="50"/>
      <c r="AF1699" s="42"/>
      <c r="AG1699" s="42"/>
      <c r="AH1699" s="42"/>
      <c r="AI1699" s="42" t="str">
        <f t="array" ref="AI1699">XLOOKUP($E1699,Sheet11!$D:$D,Sheet11!$X:$X,"",0)</f>
        <v/>
      </c>
      <c r="AJ1699" s="42" t="str">
        <f t="array" ref="AJ1699">XLOOKUP($E1699,Sheet11!$D:$D,Sheet11!$Y:$Y,"",0)</f>
        <v/>
      </c>
    </row>
    <row r="1700">
      <c r="A1700" s="23"/>
      <c r="B1700" s="42"/>
      <c r="C1700" s="42"/>
      <c r="D1700" s="42"/>
      <c r="E1700" s="42"/>
      <c r="F1700" s="42"/>
      <c r="G1700" s="42"/>
      <c r="H1700" s="42"/>
      <c r="I1700" s="42"/>
      <c r="J1700" s="42"/>
      <c r="K1700" s="42"/>
      <c r="L1700" s="46"/>
      <c r="M1700" s="46"/>
      <c r="N1700" s="46"/>
      <c r="O1700" s="61"/>
      <c r="P1700" s="62"/>
      <c r="Q1700" s="46"/>
      <c r="R1700" s="47"/>
      <c r="S1700" s="62"/>
      <c r="T1700" s="62"/>
      <c r="U1700" s="46"/>
      <c r="V1700" s="61"/>
      <c r="W1700" s="62"/>
      <c r="X1700" s="47"/>
      <c r="Y1700" s="46"/>
      <c r="Z1700" s="46"/>
      <c r="AA1700" s="46"/>
      <c r="AB1700" s="49"/>
      <c r="AC1700" s="42"/>
      <c r="AD1700" s="42"/>
      <c r="AE1700" s="50"/>
      <c r="AF1700" s="42"/>
      <c r="AG1700" s="42"/>
      <c r="AH1700" s="42"/>
      <c r="AI1700" s="42" t="str">
        <f t="array" ref="AI1700">XLOOKUP($E1700,Sheet11!$D:$D,Sheet11!$X:$X,"",0)</f>
        <v/>
      </c>
      <c r="AJ1700" s="42" t="str">
        <f t="array" ref="AJ1700">XLOOKUP($E1700,Sheet11!$D:$D,Sheet11!$Y:$Y,"",0)</f>
        <v/>
      </c>
    </row>
    <row r="1701">
      <c r="A1701" s="23"/>
      <c r="B1701" s="42"/>
      <c r="C1701" s="42"/>
      <c r="D1701" s="42"/>
      <c r="E1701" s="42"/>
      <c r="F1701" s="42"/>
      <c r="G1701" s="42"/>
      <c r="H1701" s="42"/>
      <c r="I1701" s="42"/>
      <c r="J1701" s="42"/>
      <c r="K1701" s="42"/>
      <c r="L1701" s="46"/>
      <c r="M1701" s="46"/>
      <c r="N1701" s="46"/>
      <c r="O1701" s="61"/>
      <c r="P1701" s="62"/>
      <c r="Q1701" s="46"/>
      <c r="R1701" s="47"/>
      <c r="S1701" s="62"/>
      <c r="T1701" s="62"/>
      <c r="U1701" s="46"/>
      <c r="V1701" s="61"/>
      <c r="W1701" s="62"/>
      <c r="X1701" s="47"/>
      <c r="Y1701" s="46"/>
      <c r="Z1701" s="46"/>
      <c r="AA1701" s="46"/>
      <c r="AB1701" s="49"/>
      <c r="AC1701" s="42"/>
      <c r="AD1701" s="42"/>
      <c r="AE1701" s="50"/>
      <c r="AF1701" s="42"/>
      <c r="AG1701" s="42"/>
      <c r="AH1701" s="42"/>
      <c r="AI1701" s="42" t="str">
        <f t="array" ref="AI1701">XLOOKUP($E1701,Sheet11!$D:$D,Sheet11!$X:$X,"",0)</f>
        <v/>
      </c>
      <c r="AJ1701" s="42" t="str">
        <f t="array" ref="AJ1701">XLOOKUP($E1701,Sheet11!$D:$D,Sheet11!$Y:$Y,"",0)</f>
        <v/>
      </c>
    </row>
    <row r="1702">
      <c r="A1702" s="23"/>
      <c r="B1702" s="42"/>
      <c r="C1702" s="42"/>
      <c r="D1702" s="42"/>
      <c r="E1702" s="42"/>
      <c r="F1702" s="42"/>
      <c r="G1702" s="42"/>
      <c r="H1702" s="42"/>
      <c r="I1702" s="42"/>
      <c r="J1702" s="42"/>
      <c r="K1702" s="42"/>
      <c r="L1702" s="46"/>
      <c r="M1702" s="46"/>
      <c r="N1702" s="46"/>
      <c r="O1702" s="61"/>
      <c r="P1702" s="62"/>
      <c r="Q1702" s="46"/>
      <c r="R1702" s="47"/>
      <c r="S1702" s="62"/>
      <c r="T1702" s="62"/>
      <c r="U1702" s="46"/>
      <c r="V1702" s="61"/>
      <c r="W1702" s="62"/>
      <c r="X1702" s="47"/>
      <c r="Y1702" s="46"/>
      <c r="Z1702" s="46"/>
      <c r="AA1702" s="46"/>
      <c r="AB1702" s="49"/>
      <c r="AC1702" s="42"/>
      <c r="AD1702" s="42"/>
      <c r="AE1702" s="50"/>
      <c r="AF1702" s="42"/>
      <c r="AG1702" s="42"/>
      <c r="AH1702" s="42"/>
      <c r="AI1702" s="42" t="str">
        <f t="array" ref="AI1702">XLOOKUP($E1702,Sheet11!$D:$D,Sheet11!$X:$X,"",0)</f>
        <v/>
      </c>
      <c r="AJ1702" s="42" t="str">
        <f t="array" ref="AJ1702">XLOOKUP($E1702,Sheet11!$D:$D,Sheet11!$Y:$Y,"",0)</f>
        <v/>
      </c>
    </row>
    <row r="1703">
      <c r="A1703" s="23"/>
      <c r="B1703" s="42"/>
      <c r="C1703" s="42"/>
      <c r="D1703" s="42"/>
      <c r="E1703" s="42"/>
      <c r="F1703" s="42"/>
      <c r="G1703" s="42"/>
      <c r="H1703" s="42"/>
      <c r="I1703" s="42"/>
      <c r="J1703" s="42"/>
      <c r="K1703" s="42"/>
      <c r="L1703" s="46"/>
      <c r="M1703" s="46"/>
      <c r="N1703" s="46"/>
      <c r="O1703" s="61"/>
      <c r="P1703" s="62"/>
      <c r="Q1703" s="46"/>
      <c r="R1703" s="47"/>
      <c r="S1703" s="62"/>
      <c r="T1703" s="62"/>
      <c r="U1703" s="46"/>
      <c r="V1703" s="61"/>
      <c r="W1703" s="62"/>
      <c r="X1703" s="47"/>
      <c r="Y1703" s="46"/>
      <c r="Z1703" s="46"/>
      <c r="AA1703" s="46"/>
      <c r="AB1703" s="49"/>
      <c r="AC1703" s="42"/>
      <c r="AD1703" s="42"/>
      <c r="AE1703" s="50"/>
      <c r="AF1703" s="42"/>
      <c r="AG1703" s="42"/>
      <c r="AH1703" s="42"/>
      <c r="AI1703" s="42" t="str">
        <f t="array" ref="AI1703">XLOOKUP($E1703,Sheet11!$D:$D,Sheet11!$X:$X,"",0)</f>
        <v/>
      </c>
      <c r="AJ1703" s="42" t="str">
        <f t="array" ref="AJ1703">XLOOKUP($E1703,Sheet11!$D:$D,Sheet11!$Y:$Y,"",0)</f>
        <v/>
      </c>
    </row>
    <row r="1704">
      <c r="A1704" s="23"/>
      <c r="B1704" s="42"/>
      <c r="C1704" s="42"/>
      <c r="D1704" s="42"/>
      <c r="E1704" s="42"/>
      <c r="F1704" s="42"/>
      <c r="G1704" s="42"/>
      <c r="H1704" s="42"/>
      <c r="I1704" s="42"/>
      <c r="J1704" s="42"/>
      <c r="K1704" s="42"/>
      <c r="L1704" s="46"/>
      <c r="M1704" s="46"/>
      <c r="N1704" s="46"/>
      <c r="O1704" s="61"/>
      <c r="P1704" s="62"/>
      <c r="Q1704" s="46"/>
      <c r="R1704" s="47"/>
      <c r="S1704" s="62"/>
      <c r="T1704" s="62"/>
      <c r="U1704" s="46"/>
      <c r="V1704" s="61"/>
      <c r="W1704" s="62"/>
      <c r="X1704" s="47"/>
      <c r="Y1704" s="46"/>
      <c r="Z1704" s="46"/>
      <c r="AA1704" s="46"/>
      <c r="AB1704" s="49"/>
      <c r="AC1704" s="42"/>
      <c r="AD1704" s="42"/>
      <c r="AE1704" s="50"/>
      <c r="AF1704" s="42"/>
      <c r="AG1704" s="42"/>
      <c r="AH1704" s="42"/>
      <c r="AI1704" s="42" t="str">
        <f t="array" ref="AI1704">XLOOKUP($E1704,Sheet11!$D:$D,Sheet11!$X:$X,"",0)</f>
        <v/>
      </c>
      <c r="AJ1704" s="42" t="str">
        <f t="array" ref="AJ1704">XLOOKUP($E1704,Sheet11!$D:$D,Sheet11!$Y:$Y,"",0)</f>
        <v/>
      </c>
    </row>
    <row r="1705">
      <c r="A1705" s="23"/>
      <c r="B1705" s="42"/>
      <c r="C1705" s="42"/>
      <c r="D1705" s="42"/>
      <c r="E1705" s="42"/>
      <c r="F1705" s="42"/>
      <c r="G1705" s="42"/>
      <c r="H1705" s="42"/>
      <c r="I1705" s="42"/>
      <c r="J1705" s="42"/>
      <c r="K1705" s="42"/>
      <c r="L1705" s="46"/>
      <c r="M1705" s="46"/>
      <c r="N1705" s="46"/>
      <c r="O1705" s="61"/>
      <c r="P1705" s="62"/>
      <c r="Q1705" s="46"/>
      <c r="R1705" s="47"/>
      <c r="S1705" s="62"/>
      <c r="T1705" s="62"/>
      <c r="U1705" s="46"/>
      <c r="V1705" s="61"/>
      <c r="W1705" s="62"/>
      <c r="X1705" s="47"/>
      <c r="Y1705" s="46"/>
      <c r="Z1705" s="46"/>
      <c r="AA1705" s="46"/>
      <c r="AB1705" s="49"/>
      <c r="AC1705" s="42"/>
      <c r="AD1705" s="42"/>
      <c r="AE1705" s="50"/>
      <c r="AF1705" s="42"/>
      <c r="AG1705" s="42"/>
      <c r="AH1705" s="42"/>
      <c r="AI1705" s="42" t="str">
        <f t="array" ref="AI1705">XLOOKUP($E1705,Sheet11!$D:$D,Sheet11!$X:$X,"",0)</f>
        <v/>
      </c>
      <c r="AJ1705" s="42" t="str">
        <f t="array" ref="AJ1705">XLOOKUP($E1705,Sheet11!$D:$D,Sheet11!$Y:$Y,"",0)</f>
        <v/>
      </c>
    </row>
    <row r="1706">
      <c r="A1706" s="23"/>
      <c r="B1706" s="42"/>
      <c r="C1706" s="42"/>
      <c r="D1706" s="42"/>
      <c r="E1706" s="42"/>
      <c r="F1706" s="42"/>
      <c r="G1706" s="42"/>
      <c r="H1706" s="42"/>
      <c r="I1706" s="42"/>
      <c r="J1706" s="42"/>
      <c r="K1706" s="42"/>
      <c r="L1706" s="46"/>
      <c r="M1706" s="46"/>
      <c r="N1706" s="46"/>
      <c r="O1706" s="61"/>
      <c r="P1706" s="62"/>
      <c r="Q1706" s="46"/>
      <c r="R1706" s="47"/>
      <c r="S1706" s="62"/>
      <c r="T1706" s="62"/>
      <c r="U1706" s="46"/>
      <c r="V1706" s="61"/>
      <c r="W1706" s="62"/>
      <c r="X1706" s="47"/>
      <c r="Y1706" s="46"/>
      <c r="Z1706" s="46"/>
      <c r="AA1706" s="46"/>
      <c r="AB1706" s="49"/>
      <c r="AC1706" s="42"/>
      <c r="AD1706" s="42"/>
      <c r="AE1706" s="50"/>
      <c r="AF1706" s="42"/>
      <c r="AG1706" s="42"/>
      <c r="AH1706" s="42"/>
      <c r="AI1706" s="42" t="str">
        <f t="array" ref="AI1706">XLOOKUP($E1706,Sheet11!$D:$D,Sheet11!$X:$X,"",0)</f>
        <v/>
      </c>
      <c r="AJ1706" s="42" t="str">
        <f t="array" ref="AJ1706">XLOOKUP($E1706,Sheet11!$D:$D,Sheet11!$Y:$Y,"",0)</f>
        <v/>
      </c>
    </row>
    <row r="1707">
      <c r="A1707" s="23"/>
      <c r="B1707" s="42"/>
      <c r="C1707" s="42"/>
      <c r="D1707" s="42"/>
      <c r="E1707" s="42"/>
      <c r="F1707" s="42"/>
      <c r="G1707" s="42"/>
      <c r="H1707" s="42"/>
      <c r="I1707" s="42"/>
      <c r="J1707" s="42"/>
      <c r="K1707" s="42"/>
      <c r="L1707" s="46"/>
      <c r="M1707" s="46"/>
      <c r="N1707" s="46"/>
      <c r="O1707" s="61"/>
      <c r="P1707" s="62"/>
      <c r="Q1707" s="46"/>
      <c r="R1707" s="47"/>
      <c r="S1707" s="62"/>
      <c r="T1707" s="62"/>
      <c r="U1707" s="46"/>
      <c r="V1707" s="61"/>
      <c r="W1707" s="62"/>
      <c r="X1707" s="47"/>
      <c r="Y1707" s="46"/>
      <c r="Z1707" s="46"/>
      <c r="AA1707" s="46"/>
      <c r="AB1707" s="49"/>
      <c r="AC1707" s="42"/>
      <c r="AD1707" s="42"/>
      <c r="AE1707" s="50"/>
      <c r="AF1707" s="42"/>
      <c r="AG1707" s="42"/>
      <c r="AH1707" s="42"/>
      <c r="AI1707" s="42" t="str">
        <f t="array" ref="AI1707">XLOOKUP($E1707,Sheet11!$D:$D,Sheet11!$X:$X,"",0)</f>
        <v/>
      </c>
      <c r="AJ1707" s="42" t="str">
        <f t="array" ref="AJ1707">XLOOKUP($E1707,Sheet11!$D:$D,Sheet11!$Y:$Y,"",0)</f>
        <v/>
      </c>
    </row>
    <row r="1708">
      <c r="A1708" s="23"/>
      <c r="B1708" s="42"/>
      <c r="C1708" s="42"/>
      <c r="D1708" s="42"/>
      <c r="E1708" s="42"/>
      <c r="F1708" s="42"/>
      <c r="G1708" s="42"/>
      <c r="H1708" s="42"/>
      <c r="I1708" s="42"/>
      <c r="J1708" s="42"/>
      <c r="K1708" s="42"/>
      <c r="L1708" s="46"/>
      <c r="M1708" s="46"/>
      <c r="N1708" s="46"/>
      <c r="O1708" s="61"/>
      <c r="P1708" s="62"/>
      <c r="Q1708" s="46"/>
      <c r="R1708" s="47"/>
      <c r="S1708" s="62"/>
      <c r="T1708" s="62"/>
      <c r="U1708" s="46"/>
      <c r="V1708" s="61"/>
      <c r="W1708" s="62"/>
      <c r="X1708" s="47"/>
      <c r="Y1708" s="46"/>
      <c r="Z1708" s="46"/>
      <c r="AA1708" s="46"/>
      <c r="AB1708" s="49"/>
      <c r="AC1708" s="42"/>
      <c r="AD1708" s="42"/>
      <c r="AE1708" s="50"/>
      <c r="AF1708" s="42"/>
      <c r="AG1708" s="42"/>
      <c r="AH1708" s="42"/>
      <c r="AI1708" s="42" t="str">
        <f t="array" ref="AI1708">XLOOKUP($E1708,Sheet11!$D:$D,Sheet11!$X:$X,"",0)</f>
        <v/>
      </c>
      <c r="AJ1708" s="42" t="str">
        <f t="array" ref="AJ1708">XLOOKUP($E1708,Sheet11!$D:$D,Sheet11!$Y:$Y,"",0)</f>
        <v/>
      </c>
    </row>
    <row r="1709">
      <c r="A1709" s="23"/>
      <c r="B1709" s="42"/>
      <c r="C1709" s="42"/>
      <c r="D1709" s="42"/>
      <c r="E1709" s="42"/>
      <c r="F1709" s="42"/>
      <c r="G1709" s="42"/>
      <c r="H1709" s="42"/>
      <c r="I1709" s="42"/>
      <c r="J1709" s="42"/>
      <c r="K1709" s="42"/>
      <c r="L1709" s="46"/>
      <c r="M1709" s="46"/>
      <c r="N1709" s="46"/>
      <c r="O1709" s="61"/>
      <c r="P1709" s="62"/>
      <c r="Q1709" s="46"/>
      <c r="R1709" s="47"/>
      <c r="S1709" s="62"/>
      <c r="T1709" s="62"/>
      <c r="U1709" s="46"/>
      <c r="V1709" s="61"/>
      <c r="W1709" s="62"/>
      <c r="X1709" s="47"/>
      <c r="Y1709" s="46"/>
      <c r="Z1709" s="46"/>
      <c r="AA1709" s="46"/>
      <c r="AB1709" s="49"/>
      <c r="AC1709" s="42"/>
      <c r="AD1709" s="42"/>
      <c r="AE1709" s="50"/>
      <c r="AF1709" s="42"/>
      <c r="AG1709" s="42"/>
      <c r="AH1709" s="42"/>
      <c r="AI1709" s="42" t="str">
        <f t="array" ref="AI1709">XLOOKUP($E1709,Sheet11!$D:$D,Sheet11!$X:$X,"",0)</f>
        <v/>
      </c>
      <c r="AJ1709" s="42" t="str">
        <f t="array" ref="AJ1709">XLOOKUP($E1709,Sheet11!$D:$D,Sheet11!$Y:$Y,"",0)</f>
        <v/>
      </c>
    </row>
    <row r="1710">
      <c r="A1710" s="23"/>
      <c r="B1710" s="42"/>
      <c r="C1710" s="42"/>
      <c r="D1710" s="42"/>
      <c r="E1710" s="42"/>
      <c r="F1710" s="42"/>
      <c r="G1710" s="42"/>
      <c r="H1710" s="42"/>
      <c r="I1710" s="42"/>
      <c r="J1710" s="42"/>
      <c r="K1710" s="42"/>
      <c r="L1710" s="46"/>
      <c r="M1710" s="46"/>
      <c r="N1710" s="46"/>
      <c r="O1710" s="61"/>
      <c r="P1710" s="62"/>
      <c r="Q1710" s="46"/>
      <c r="R1710" s="47"/>
      <c r="S1710" s="62"/>
      <c r="T1710" s="62"/>
      <c r="U1710" s="46"/>
      <c r="V1710" s="61"/>
      <c r="W1710" s="62"/>
      <c r="X1710" s="47"/>
      <c r="Y1710" s="46"/>
      <c r="Z1710" s="46"/>
      <c r="AA1710" s="46"/>
      <c r="AB1710" s="49"/>
      <c r="AC1710" s="42"/>
      <c r="AD1710" s="42"/>
      <c r="AE1710" s="50"/>
      <c r="AF1710" s="42"/>
      <c r="AG1710" s="42"/>
      <c r="AH1710" s="42"/>
      <c r="AI1710" s="42" t="str">
        <f t="array" ref="AI1710">XLOOKUP($E1710,Sheet11!$D:$D,Sheet11!$X:$X,"",0)</f>
        <v/>
      </c>
      <c r="AJ1710" s="42" t="str">
        <f t="array" ref="AJ1710">XLOOKUP($E1710,Sheet11!$D:$D,Sheet11!$Y:$Y,"",0)</f>
        <v/>
      </c>
    </row>
    <row r="1711">
      <c r="A1711" s="23"/>
      <c r="B1711" s="42"/>
      <c r="C1711" s="42"/>
      <c r="D1711" s="42"/>
      <c r="E1711" s="42"/>
      <c r="F1711" s="42"/>
      <c r="G1711" s="42"/>
      <c r="H1711" s="42"/>
      <c r="I1711" s="42"/>
      <c r="J1711" s="42"/>
      <c r="K1711" s="42"/>
      <c r="L1711" s="46"/>
      <c r="M1711" s="46"/>
      <c r="N1711" s="46"/>
      <c r="O1711" s="61"/>
      <c r="P1711" s="62"/>
      <c r="Q1711" s="46"/>
      <c r="R1711" s="47"/>
      <c r="S1711" s="62"/>
      <c r="T1711" s="62"/>
      <c r="U1711" s="46"/>
      <c r="V1711" s="61"/>
      <c r="W1711" s="62"/>
      <c r="X1711" s="47"/>
      <c r="Y1711" s="46"/>
      <c r="Z1711" s="46"/>
      <c r="AA1711" s="46"/>
      <c r="AB1711" s="49"/>
      <c r="AC1711" s="42"/>
      <c r="AD1711" s="42"/>
      <c r="AE1711" s="50"/>
      <c r="AF1711" s="42"/>
      <c r="AG1711" s="42"/>
      <c r="AH1711" s="42"/>
      <c r="AI1711" s="42" t="str">
        <f t="array" ref="AI1711">XLOOKUP($E1711,Sheet11!$D:$D,Sheet11!$X:$X,"",0)</f>
        <v/>
      </c>
      <c r="AJ1711" s="42" t="str">
        <f t="array" ref="AJ1711">XLOOKUP($E1711,Sheet11!$D:$D,Sheet11!$Y:$Y,"",0)</f>
        <v/>
      </c>
    </row>
    <row r="1712">
      <c r="A1712" s="23"/>
      <c r="B1712" s="42"/>
      <c r="C1712" s="42"/>
      <c r="D1712" s="42"/>
      <c r="E1712" s="42"/>
      <c r="F1712" s="42"/>
      <c r="G1712" s="42"/>
      <c r="H1712" s="42"/>
      <c r="I1712" s="42"/>
      <c r="J1712" s="42"/>
      <c r="K1712" s="42"/>
      <c r="L1712" s="46"/>
      <c r="M1712" s="46"/>
      <c r="N1712" s="46"/>
      <c r="O1712" s="61"/>
      <c r="P1712" s="62"/>
      <c r="Q1712" s="46"/>
      <c r="R1712" s="47"/>
      <c r="S1712" s="62"/>
      <c r="T1712" s="62"/>
      <c r="U1712" s="46"/>
      <c r="V1712" s="61"/>
      <c r="W1712" s="62"/>
      <c r="X1712" s="47"/>
      <c r="Y1712" s="46"/>
      <c r="Z1712" s="46"/>
      <c r="AA1712" s="46"/>
      <c r="AB1712" s="49"/>
      <c r="AC1712" s="42"/>
      <c r="AD1712" s="42"/>
      <c r="AE1712" s="50"/>
      <c r="AF1712" s="42"/>
      <c r="AG1712" s="42"/>
      <c r="AH1712" s="42"/>
      <c r="AI1712" s="42" t="str">
        <f t="array" ref="AI1712">XLOOKUP($E1712,Sheet11!$D:$D,Sheet11!$X:$X,"",0)</f>
        <v/>
      </c>
      <c r="AJ1712" s="42" t="str">
        <f t="array" ref="AJ1712">XLOOKUP($E1712,Sheet11!$D:$D,Sheet11!$Y:$Y,"",0)</f>
        <v/>
      </c>
    </row>
    <row r="1713">
      <c r="A1713" s="23"/>
      <c r="B1713" s="42"/>
      <c r="C1713" s="42"/>
      <c r="D1713" s="42"/>
      <c r="E1713" s="42"/>
      <c r="F1713" s="42"/>
      <c r="G1713" s="42"/>
      <c r="H1713" s="42"/>
      <c r="I1713" s="42"/>
      <c r="J1713" s="42"/>
      <c r="K1713" s="42"/>
      <c r="L1713" s="46"/>
      <c r="M1713" s="46"/>
      <c r="N1713" s="46"/>
      <c r="O1713" s="61"/>
      <c r="P1713" s="62"/>
      <c r="Q1713" s="46"/>
      <c r="R1713" s="47"/>
      <c r="S1713" s="62"/>
      <c r="T1713" s="62"/>
      <c r="U1713" s="46"/>
      <c r="V1713" s="61"/>
      <c r="W1713" s="62"/>
      <c r="X1713" s="47"/>
      <c r="Y1713" s="46"/>
      <c r="Z1713" s="46"/>
      <c r="AA1713" s="46"/>
      <c r="AB1713" s="49"/>
      <c r="AC1713" s="42"/>
      <c r="AD1713" s="42"/>
      <c r="AE1713" s="50"/>
      <c r="AF1713" s="42"/>
      <c r="AG1713" s="42"/>
      <c r="AH1713" s="42"/>
      <c r="AI1713" s="42" t="str">
        <f t="array" ref="AI1713">XLOOKUP($E1713,Sheet11!$D:$D,Sheet11!$X:$X,"",0)</f>
        <v/>
      </c>
      <c r="AJ1713" s="42" t="str">
        <f t="array" ref="AJ1713">XLOOKUP($E1713,Sheet11!$D:$D,Sheet11!$Y:$Y,"",0)</f>
        <v/>
      </c>
    </row>
    <row r="1714">
      <c r="A1714" s="23"/>
      <c r="B1714" s="42"/>
      <c r="C1714" s="42"/>
      <c r="D1714" s="42"/>
      <c r="E1714" s="42"/>
      <c r="F1714" s="42"/>
      <c r="G1714" s="42"/>
      <c r="H1714" s="42"/>
      <c r="I1714" s="42"/>
      <c r="J1714" s="42"/>
      <c r="K1714" s="42"/>
      <c r="L1714" s="46"/>
      <c r="M1714" s="46"/>
      <c r="N1714" s="46"/>
      <c r="O1714" s="61"/>
      <c r="P1714" s="62"/>
      <c r="Q1714" s="46"/>
      <c r="R1714" s="47"/>
      <c r="S1714" s="62"/>
      <c r="T1714" s="62"/>
      <c r="U1714" s="46"/>
      <c r="V1714" s="61"/>
      <c r="W1714" s="62"/>
      <c r="X1714" s="47"/>
      <c r="Y1714" s="46"/>
      <c r="Z1714" s="46"/>
      <c r="AA1714" s="46"/>
      <c r="AB1714" s="49"/>
      <c r="AC1714" s="42"/>
      <c r="AD1714" s="42"/>
      <c r="AE1714" s="50"/>
      <c r="AF1714" s="42"/>
      <c r="AG1714" s="42"/>
      <c r="AH1714" s="42"/>
      <c r="AI1714" s="42" t="str">
        <f t="array" ref="AI1714">XLOOKUP($E1714,Sheet11!$D:$D,Sheet11!$X:$X,"",0)</f>
        <v/>
      </c>
      <c r="AJ1714" s="42" t="str">
        <f t="array" ref="AJ1714">XLOOKUP($E1714,Sheet11!$D:$D,Sheet11!$Y:$Y,"",0)</f>
        <v/>
      </c>
    </row>
    <row r="1715">
      <c r="A1715" s="23"/>
      <c r="B1715" s="42"/>
      <c r="C1715" s="42"/>
      <c r="D1715" s="42"/>
      <c r="E1715" s="42"/>
      <c r="F1715" s="42"/>
      <c r="G1715" s="42"/>
      <c r="H1715" s="42"/>
      <c r="I1715" s="42"/>
      <c r="J1715" s="42"/>
      <c r="K1715" s="42"/>
      <c r="L1715" s="46"/>
      <c r="M1715" s="46"/>
      <c r="N1715" s="46"/>
      <c r="O1715" s="61"/>
      <c r="P1715" s="62"/>
      <c r="Q1715" s="46"/>
      <c r="R1715" s="47"/>
      <c r="S1715" s="62"/>
      <c r="T1715" s="62"/>
      <c r="U1715" s="46"/>
      <c r="V1715" s="61"/>
      <c r="W1715" s="62"/>
      <c r="X1715" s="47"/>
      <c r="Y1715" s="46"/>
      <c r="Z1715" s="46"/>
      <c r="AA1715" s="46"/>
      <c r="AB1715" s="49"/>
      <c r="AC1715" s="42"/>
      <c r="AD1715" s="42"/>
      <c r="AE1715" s="50"/>
      <c r="AF1715" s="42"/>
      <c r="AG1715" s="42"/>
      <c r="AH1715" s="42"/>
      <c r="AI1715" s="42" t="str">
        <f t="array" ref="AI1715">XLOOKUP($E1715,Sheet11!$D:$D,Sheet11!$X:$X,"",0)</f>
        <v/>
      </c>
      <c r="AJ1715" s="42" t="str">
        <f t="array" ref="AJ1715">XLOOKUP($E1715,Sheet11!$D:$D,Sheet11!$Y:$Y,"",0)</f>
        <v/>
      </c>
    </row>
    <row r="1716">
      <c r="A1716" s="23"/>
      <c r="B1716" s="42"/>
      <c r="C1716" s="42"/>
      <c r="D1716" s="42"/>
      <c r="E1716" s="42"/>
      <c r="F1716" s="42"/>
      <c r="G1716" s="42"/>
      <c r="H1716" s="42"/>
      <c r="I1716" s="42"/>
      <c r="J1716" s="42"/>
      <c r="K1716" s="42"/>
      <c r="L1716" s="46"/>
      <c r="M1716" s="46"/>
      <c r="N1716" s="46"/>
      <c r="O1716" s="61"/>
      <c r="P1716" s="62"/>
      <c r="Q1716" s="46"/>
      <c r="R1716" s="47"/>
      <c r="S1716" s="62"/>
      <c r="T1716" s="62"/>
      <c r="U1716" s="46"/>
      <c r="V1716" s="61"/>
      <c r="W1716" s="62"/>
      <c r="X1716" s="47"/>
      <c r="Y1716" s="46"/>
      <c r="Z1716" s="46"/>
      <c r="AA1716" s="46"/>
      <c r="AB1716" s="49"/>
      <c r="AC1716" s="42"/>
      <c r="AD1716" s="42"/>
      <c r="AE1716" s="50"/>
      <c r="AF1716" s="42"/>
      <c r="AG1716" s="42"/>
      <c r="AH1716" s="42"/>
      <c r="AI1716" s="42" t="str">
        <f t="array" ref="AI1716">XLOOKUP($E1716,Sheet11!$D:$D,Sheet11!$X:$X,"",0)</f>
        <v/>
      </c>
      <c r="AJ1716" s="42" t="str">
        <f t="array" ref="AJ1716">XLOOKUP($E1716,Sheet11!$D:$D,Sheet11!$Y:$Y,"",0)</f>
        <v/>
      </c>
    </row>
    <row r="1717">
      <c r="A1717" s="23"/>
      <c r="B1717" s="42"/>
      <c r="C1717" s="42"/>
      <c r="D1717" s="42"/>
      <c r="E1717" s="42"/>
      <c r="F1717" s="42"/>
      <c r="G1717" s="42"/>
      <c r="H1717" s="42"/>
      <c r="I1717" s="42"/>
      <c r="J1717" s="42"/>
      <c r="K1717" s="42"/>
      <c r="L1717" s="46"/>
      <c r="M1717" s="46"/>
      <c r="N1717" s="46"/>
      <c r="O1717" s="61"/>
      <c r="P1717" s="62"/>
      <c r="Q1717" s="46"/>
      <c r="R1717" s="47"/>
      <c r="S1717" s="62"/>
      <c r="T1717" s="62"/>
      <c r="U1717" s="46"/>
      <c r="V1717" s="61"/>
      <c r="W1717" s="62"/>
      <c r="X1717" s="47"/>
      <c r="Y1717" s="46"/>
      <c r="Z1717" s="46"/>
      <c r="AA1717" s="46"/>
      <c r="AB1717" s="49"/>
      <c r="AC1717" s="42"/>
      <c r="AD1717" s="42"/>
      <c r="AE1717" s="50"/>
      <c r="AF1717" s="42"/>
      <c r="AG1717" s="42"/>
      <c r="AH1717" s="42"/>
      <c r="AI1717" s="42" t="str">
        <f t="array" ref="AI1717">XLOOKUP($E1717,Sheet11!$D:$D,Sheet11!$X:$X,"",0)</f>
        <v/>
      </c>
      <c r="AJ1717" s="42" t="str">
        <f t="array" ref="AJ1717">XLOOKUP($E1717,Sheet11!$D:$D,Sheet11!$Y:$Y,"",0)</f>
        <v/>
      </c>
    </row>
    <row r="1718">
      <c r="A1718" s="23"/>
      <c r="B1718" s="42"/>
      <c r="C1718" s="42"/>
      <c r="D1718" s="42"/>
      <c r="E1718" s="42"/>
      <c r="F1718" s="42"/>
      <c r="G1718" s="42"/>
      <c r="H1718" s="42"/>
      <c r="I1718" s="42"/>
      <c r="J1718" s="42"/>
      <c r="K1718" s="42"/>
      <c r="L1718" s="46"/>
      <c r="M1718" s="46"/>
      <c r="N1718" s="46"/>
      <c r="O1718" s="61"/>
      <c r="P1718" s="62"/>
      <c r="Q1718" s="46"/>
      <c r="R1718" s="47"/>
      <c r="S1718" s="62"/>
      <c r="T1718" s="62"/>
      <c r="U1718" s="46"/>
      <c r="V1718" s="61"/>
      <c r="W1718" s="62"/>
      <c r="X1718" s="47"/>
      <c r="Y1718" s="46"/>
      <c r="Z1718" s="46"/>
      <c r="AA1718" s="46"/>
      <c r="AB1718" s="49"/>
      <c r="AC1718" s="42"/>
      <c r="AD1718" s="42"/>
      <c r="AE1718" s="50"/>
      <c r="AF1718" s="42"/>
      <c r="AG1718" s="42"/>
      <c r="AH1718" s="42"/>
      <c r="AI1718" s="42" t="str">
        <f t="array" ref="AI1718">XLOOKUP($E1718,Sheet11!$D:$D,Sheet11!$X:$X,"",0)</f>
        <v/>
      </c>
      <c r="AJ1718" s="42" t="str">
        <f t="array" ref="AJ1718">XLOOKUP($E1718,Sheet11!$D:$D,Sheet11!$Y:$Y,"",0)</f>
        <v/>
      </c>
    </row>
    <row r="1719">
      <c r="A1719" s="23"/>
      <c r="B1719" s="42"/>
      <c r="C1719" s="42"/>
      <c r="D1719" s="42"/>
      <c r="E1719" s="42"/>
      <c r="F1719" s="42"/>
      <c r="G1719" s="42"/>
      <c r="H1719" s="42"/>
      <c r="I1719" s="42"/>
      <c r="J1719" s="42"/>
      <c r="K1719" s="42"/>
      <c r="L1719" s="46"/>
      <c r="M1719" s="46"/>
      <c r="N1719" s="46"/>
      <c r="O1719" s="61"/>
      <c r="P1719" s="62"/>
      <c r="Q1719" s="46"/>
      <c r="R1719" s="47"/>
      <c r="S1719" s="62"/>
      <c r="T1719" s="62"/>
      <c r="U1719" s="46"/>
      <c r="V1719" s="61"/>
      <c r="W1719" s="62"/>
      <c r="X1719" s="47"/>
      <c r="Y1719" s="46"/>
      <c r="Z1719" s="46"/>
      <c r="AA1719" s="46"/>
      <c r="AB1719" s="49"/>
      <c r="AC1719" s="42"/>
      <c r="AD1719" s="42"/>
      <c r="AE1719" s="50"/>
      <c r="AF1719" s="42"/>
      <c r="AG1719" s="42"/>
      <c r="AH1719" s="42"/>
      <c r="AI1719" s="42" t="str">
        <f t="array" ref="AI1719">XLOOKUP($E1719,Sheet11!$D:$D,Sheet11!$X:$X,"",0)</f>
        <v/>
      </c>
      <c r="AJ1719" s="42" t="str">
        <f t="array" ref="AJ1719">XLOOKUP($E1719,Sheet11!$D:$D,Sheet11!$Y:$Y,"",0)</f>
        <v/>
      </c>
    </row>
    <row r="1720">
      <c r="A1720" s="23"/>
      <c r="B1720" s="42"/>
      <c r="C1720" s="42"/>
      <c r="D1720" s="42"/>
      <c r="E1720" s="42"/>
      <c r="F1720" s="42"/>
      <c r="G1720" s="42"/>
      <c r="H1720" s="42"/>
      <c r="I1720" s="42"/>
      <c r="J1720" s="42"/>
      <c r="K1720" s="42"/>
      <c r="L1720" s="46"/>
      <c r="M1720" s="46"/>
      <c r="N1720" s="46"/>
      <c r="O1720" s="61"/>
      <c r="P1720" s="62"/>
      <c r="Q1720" s="46"/>
      <c r="R1720" s="47"/>
      <c r="S1720" s="62"/>
      <c r="T1720" s="62"/>
      <c r="U1720" s="46"/>
      <c r="V1720" s="61"/>
      <c r="W1720" s="62"/>
      <c r="X1720" s="47"/>
      <c r="Y1720" s="46"/>
      <c r="Z1720" s="46"/>
      <c r="AA1720" s="46"/>
      <c r="AB1720" s="49"/>
      <c r="AC1720" s="42"/>
      <c r="AD1720" s="42"/>
      <c r="AE1720" s="50"/>
      <c r="AF1720" s="42"/>
      <c r="AG1720" s="42"/>
      <c r="AH1720" s="42"/>
      <c r="AI1720" s="42" t="str">
        <f t="array" ref="AI1720">XLOOKUP($E1720,Sheet11!$D:$D,Sheet11!$X:$X,"",0)</f>
        <v/>
      </c>
      <c r="AJ1720" s="42" t="str">
        <f t="array" ref="AJ1720">XLOOKUP($E1720,Sheet11!$D:$D,Sheet11!$Y:$Y,"",0)</f>
        <v/>
      </c>
    </row>
    <row r="1721">
      <c r="A1721" s="23"/>
      <c r="B1721" s="42"/>
      <c r="C1721" s="42"/>
      <c r="D1721" s="42"/>
      <c r="E1721" s="42"/>
      <c r="F1721" s="42"/>
      <c r="G1721" s="42"/>
      <c r="H1721" s="42"/>
      <c r="I1721" s="42"/>
      <c r="J1721" s="42"/>
      <c r="K1721" s="42"/>
      <c r="L1721" s="46"/>
      <c r="M1721" s="46"/>
      <c r="N1721" s="46"/>
      <c r="O1721" s="61"/>
      <c r="P1721" s="62"/>
      <c r="Q1721" s="46"/>
      <c r="R1721" s="47"/>
      <c r="S1721" s="62"/>
      <c r="T1721" s="62"/>
      <c r="U1721" s="46"/>
      <c r="V1721" s="61"/>
      <c r="W1721" s="62"/>
      <c r="X1721" s="47"/>
      <c r="Y1721" s="46"/>
      <c r="Z1721" s="46"/>
      <c r="AA1721" s="46"/>
      <c r="AB1721" s="49"/>
      <c r="AC1721" s="42"/>
      <c r="AD1721" s="42"/>
      <c r="AE1721" s="50"/>
      <c r="AF1721" s="42"/>
      <c r="AG1721" s="42"/>
      <c r="AH1721" s="42"/>
      <c r="AI1721" s="42" t="str">
        <f t="array" ref="AI1721">XLOOKUP($E1721,Sheet11!$D:$D,Sheet11!$X:$X,"",0)</f>
        <v/>
      </c>
      <c r="AJ1721" s="42" t="str">
        <f t="array" ref="AJ1721">XLOOKUP($E1721,Sheet11!$D:$D,Sheet11!$Y:$Y,"",0)</f>
        <v/>
      </c>
    </row>
    <row r="1722">
      <c r="A1722" s="23"/>
      <c r="B1722" s="42"/>
      <c r="C1722" s="42"/>
      <c r="D1722" s="42"/>
      <c r="E1722" s="42"/>
      <c r="F1722" s="42"/>
      <c r="G1722" s="42"/>
      <c r="H1722" s="42"/>
      <c r="I1722" s="42"/>
      <c r="J1722" s="42"/>
      <c r="K1722" s="42"/>
      <c r="L1722" s="46"/>
      <c r="M1722" s="46"/>
      <c r="N1722" s="46"/>
      <c r="O1722" s="61"/>
      <c r="P1722" s="62"/>
      <c r="Q1722" s="46"/>
      <c r="R1722" s="47"/>
      <c r="S1722" s="62"/>
      <c r="T1722" s="62"/>
      <c r="U1722" s="46"/>
      <c r="V1722" s="61"/>
      <c r="W1722" s="62"/>
      <c r="X1722" s="47"/>
      <c r="Y1722" s="46"/>
      <c r="Z1722" s="46"/>
      <c r="AA1722" s="46"/>
      <c r="AB1722" s="49"/>
      <c r="AC1722" s="42"/>
      <c r="AD1722" s="42"/>
      <c r="AE1722" s="50"/>
      <c r="AF1722" s="42"/>
      <c r="AG1722" s="42"/>
      <c r="AH1722" s="42"/>
      <c r="AI1722" s="42" t="str">
        <f t="array" ref="AI1722">XLOOKUP($E1722,Sheet11!$D:$D,Sheet11!$X:$X,"",0)</f>
        <v/>
      </c>
      <c r="AJ1722" s="42" t="str">
        <f t="array" ref="AJ1722">XLOOKUP($E1722,Sheet11!$D:$D,Sheet11!$Y:$Y,"",0)</f>
        <v/>
      </c>
    </row>
    <row r="1723">
      <c r="A1723" s="23"/>
      <c r="B1723" s="42"/>
      <c r="C1723" s="42"/>
      <c r="D1723" s="42"/>
      <c r="E1723" s="42"/>
      <c r="F1723" s="42"/>
      <c r="G1723" s="42"/>
      <c r="H1723" s="42"/>
      <c r="I1723" s="42"/>
      <c r="J1723" s="42"/>
      <c r="K1723" s="42"/>
      <c r="L1723" s="46"/>
      <c r="M1723" s="46"/>
      <c r="N1723" s="46"/>
      <c r="O1723" s="61"/>
      <c r="P1723" s="62"/>
      <c r="Q1723" s="46"/>
      <c r="R1723" s="47"/>
      <c r="S1723" s="62"/>
      <c r="T1723" s="62"/>
      <c r="U1723" s="46"/>
      <c r="V1723" s="61"/>
      <c r="W1723" s="62"/>
      <c r="X1723" s="47"/>
      <c r="Y1723" s="46"/>
      <c r="Z1723" s="46"/>
      <c r="AA1723" s="46"/>
      <c r="AB1723" s="49"/>
      <c r="AC1723" s="42"/>
      <c r="AD1723" s="42"/>
      <c r="AE1723" s="50"/>
      <c r="AF1723" s="42"/>
      <c r="AG1723" s="42"/>
      <c r="AH1723" s="42"/>
      <c r="AI1723" s="42" t="str">
        <f t="array" ref="AI1723">XLOOKUP($E1723,Sheet11!$D:$D,Sheet11!$X:$X,"",0)</f>
        <v/>
      </c>
      <c r="AJ1723" s="42" t="str">
        <f t="array" ref="AJ1723">XLOOKUP($E1723,Sheet11!$D:$D,Sheet11!$Y:$Y,"",0)</f>
        <v/>
      </c>
    </row>
    <row r="1724">
      <c r="A1724" s="23"/>
      <c r="B1724" s="42"/>
      <c r="C1724" s="42"/>
      <c r="D1724" s="42"/>
      <c r="E1724" s="42"/>
      <c r="F1724" s="42"/>
      <c r="G1724" s="42"/>
      <c r="H1724" s="42"/>
      <c r="I1724" s="42"/>
      <c r="J1724" s="42"/>
      <c r="K1724" s="42"/>
      <c r="L1724" s="46"/>
      <c r="M1724" s="46"/>
      <c r="N1724" s="46"/>
      <c r="O1724" s="61"/>
      <c r="P1724" s="62"/>
      <c r="Q1724" s="46"/>
      <c r="R1724" s="47"/>
      <c r="S1724" s="62"/>
      <c r="T1724" s="62"/>
      <c r="U1724" s="46"/>
      <c r="V1724" s="61"/>
      <c r="W1724" s="62"/>
      <c r="X1724" s="47"/>
      <c r="Y1724" s="46"/>
      <c r="Z1724" s="46"/>
      <c r="AA1724" s="46"/>
      <c r="AB1724" s="49"/>
      <c r="AC1724" s="42"/>
      <c r="AD1724" s="42"/>
      <c r="AE1724" s="50"/>
      <c r="AF1724" s="42"/>
      <c r="AG1724" s="42"/>
      <c r="AH1724" s="42"/>
      <c r="AI1724" s="42" t="str">
        <f t="array" ref="AI1724">XLOOKUP($E1724,Sheet11!$D:$D,Sheet11!$X:$X,"",0)</f>
        <v/>
      </c>
      <c r="AJ1724" s="42" t="str">
        <f t="array" ref="AJ1724">XLOOKUP($E1724,Sheet11!$D:$D,Sheet11!$Y:$Y,"",0)</f>
        <v/>
      </c>
    </row>
    <row r="1725">
      <c r="A1725" s="23"/>
      <c r="B1725" s="42"/>
      <c r="C1725" s="42"/>
      <c r="D1725" s="42"/>
      <c r="E1725" s="42"/>
      <c r="F1725" s="42"/>
      <c r="G1725" s="42"/>
      <c r="H1725" s="42"/>
      <c r="I1725" s="42"/>
      <c r="J1725" s="42"/>
      <c r="K1725" s="42"/>
      <c r="L1725" s="46"/>
      <c r="M1725" s="46"/>
      <c r="N1725" s="46"/>
      <c r="O1725" s="61"/>
      <c r="P1725" s="62"/>
      <c r="Q1725" s="46"/>
      <c r="R1725" s="47"/>
      <c r="S1725" s="62"/>
      <c r="T1725" s="62"/>
      <c r="U1725" s="46"/>
      <c r="V1725" s="61"/>
      <c r="W1725" s="62"/>
      <c r="X1725" s="47"/>
      <c r="Y1725" s="46"/>
      <c r="Z1725" s="46"/>
      <c r="AA1725" s="46"/>
      <c r="AB1725" s="49"/>
      <c r="AC1725" s="42"/>
      <c r="AD1725" s="42"/>
      <c r="AE1725" s="50"/>
      <c r="AF1725" s="42"/>
      <c r="AG1725" s="42"/>
      <c r="AH1725" s="42"/>
      <c r="AI1725" s="42" t="str">
        <f t="array" ref="AI1725">XLOOKUP($E1725,Sheet11!$D:$D,Sheet11!$X:$X,"",0)</f>
        <v/>
      </c>
      <c r="AJ1725" s="42" t="str">
        <f t="array" ref="AJ1725">XLOOKUP($E1725,Sheet11!$D:$D,Sheet11!$Y:$Y,"",0)</f>
        <v/>
      </c>
    </row>
    <row r="1726">
      <c r="A1726" s="23"/>
      <c r="B1726" s="42"/>
      <c r="C1726" s="42"/>
      <c r="D1726" s="42"/>
      <c r="E1726" s="42"/>
      <c r="F1726" s="42"/>
      <c r="G1726" s="42"/>
      <c r="H1726" s="42"/>
      <c r="I1726" s="42"/>
      <c r="J1726" s="42"/>
      <c r="K1726" s="42"/>
      <c r="L1726" s="46"/>
      <c r="M1726" s="46"/>
      <c r="N1726" s="46"/>
      <c r="O1726" s="61"/>
      <c r="P1726" s="62"/>
      <c r="Q1726" s="46"/>
      <c r="R1726" s="47"/>
      <c r="S1726" s="62"/>
      <c r="T1726" s="62"/>
      <c r="U1726" s="46"/>
      <c r="V1726" s="61"/>
      <c r="W1726" s="62"/>
      <c r="X1726" s="47"/>
      <c r="Y1726" s="46"/>
      <c r="Z1726" s="46"/>
      <c r="AA1726" s="46"/>
      <c r="AB1726" s="49"/>
      <c r="AC1726" s="42"/>
      <c r="AD1726" s="42"/>
      <c r="AE1726" s="50"/>
      <c r="AF1726" s="42"/>
      <c r="AG1726" s="42"/>
      <c r="AH1726" s="42"/>
      <c r="AI1726" s="42" t="str">
        <f t="array" ref="AI1726">XLOOKUP($E1726,Sheet11!$D:$D,Sheet11!$X:$X,"",0)</f>
        <v/>
      </c>
      <c r="AJ1726" s="42" t="str">
        <f t="array" ref="AJ1726">XLOOKUP($E1726,Sheet11!$D:$D,Sheet11!$Y:$Y,"",0)</f>
        <v/>
      </c>
    </row>
    <row r="1727">
      <c r="A1727" s="23"/>
      <c r="B1727" s="42"/>
      <c r="C1727" s="42"/>
      <c r="D1727" s="42"/>
      <c r="E1727" s="42"/>
      <c r="F1727" s="42"/>
      <c r="G1727" s="42"/>
      <c r="H1727" s="42"/>
      <c r="I1727" s="42"/>
      <c r="J1727" s="42"/>
      <c r="K1727" s="42"/>
      <c r="L1727" s="46"/>
      <c r="M1727" s="46"/>
      <c r="N1727" s="46"/>
      <c r="O1727" s="61"/>
      <c r="P1727" s="62"/>
      <c r="Q1727" s="46"/>
      <c r="R1727" s="47"/>
      <c r="S1727" s="62"/>
      <c r="T1727" s="62"/>
      <c r="U1727" s="46"/>
      <c r="V1727" s="61"/>
      <c r="W1727" s="62"/>
      <c r="X1727" s="47"/>
      <c r="Y1727" s="46"/>
      <c r="Z1727" s="46"/>
      <c r="AA1727" s="46"/>
      <c r="AB1727" s="49"/>
      <c r="AC1727" s="42"/>
      <c r="AD1727" s="42"/>
      <c r="AE1727" s="50"/>
      <c r="AF1727" s="42"/>
      <c r="AG1727" s="42"/>
      <c r="AH1727" s="42"/>
      <c r="AI1727" s="42" t="str">
        <f t="array" ref="AI1727">XLOOKUP($E1727,Sheet11!$D:$D,Sheet11!$X:$X,"",0)</f>
        <v/>
      </c>
      <c r="AJ1727" s="42" t="str">
        <f t="array" ref="AJ1727">XLOOKUP($E1727,Sheet11!$D:$D,Sheet11!$Y:$Y,"",0)</f>
        <v/>
      </c>
    </row>
    <row r="1728">
      <c r="A1728" s="23"/>
      <c r="B1728" s="42"/>
      <c r="C1728" s="42"/>
      <c r="D1728" s="42"/>
      <c r="E1728" s="42"/>
      <c r="F1728" s="42"/>
      <c r="G1728" s="42"/>
      <c r="H1728" s="42"/>
      <c r="I1728" s="42"/>
      <c r="J1728" s="42"/>
      <c r="K1728" s="42"/>
      <c r="L1728" s="46"/>
      <c r="M1728" s="46"/>
      <c r="N1728" s="46"/>
      <c r="O1728" s="61"/>
      <c r="P1728" s="62"/>
      <c r="Q1728" s="46"/>
      <c r="R1728" s="47"/>
      <c r="S1728" s="62"/>
      <c r="T1728" s="62"/>
      <c r="U1728" s="46"/>
      <c r="V1728" s="61"/>
      <c r="W1728" s="62"/>
      <c r="X1728" s="47"/>
      <c r="Y1728" s="46"/>
      <c r="Z1728" s="46"/>
      <c r="AA1728" s="46"/>
      <c r="AB1728" s="49"/>
      <c r="AC1728" s="42"/>
      <c r="AD1728" s="42"/>
      <c r="AE1728" s="50"/>
      <c r="AF1728" s="42"/>
      <c r="AG1728" s="42"/>
      <c r="AH1728" s="42"/>
      <c r="AI1728" s="42" t="str">
        <f t="array" ref="AI1728">XLOOKUP($E1728,Sheet11!$D:$D,Sheet11!$X:$X,"",0)</f>
        <v/>
      </c>
      <c r="AJ1728" s="42" t="str">
        <f t="array" ref="AJ1728">XLOOKUP($E1728,Sheet11!$D:$D,Sheet11!$Y:$Y,"",0)</f>
        <v/>
      </c>
    </row>
    <row r="1729">
      <c r="A1729" s="23"/>
      <c r="B1729" s="42"/>
      <c r="C1729" s="42"/>
      <c r="D1729" s="42"/>
      <c r="E1729" s="42"/>
      <c r="F1729" s="42"/>
      <c r="G1729" s="42"/>
      <c r="H1729" s="42"/>
      <c r="I1729" s="42"/>
      <c r="J1729" s="42"/>
      <c r="K1729" s="42"/>
      <c r="L1729" s="46"/>
      <c r="M1729" s="46"/>
      <c r="N1729" s="46"/>
      <c r="O1729" s="61"/>
      <c r="P1729" s="62"/>
      <c r="Q1729" s="46"/>
      <c r="R1729" s="47"/>
      <c r="S1729" s="62"/>
      <c r="T1729" s="62"/>
      <c r="U1729" s="46"/>
      <c r="V1729" s="61"/>
      <c r="W1729" s="62"/>
      <c r="X1729" s="47"/>
      <c r="Y1729" s="46"/>
      <c r="Z1729" s="46"/>
      <c r="AA1729" s="46"/>
      <c r="AB1729" s="49"/>
      <c r="AC1729" s="42"/>
      <c r="AD1729" s="42"/>
      <c r="AE1729" s="50"/>
      <c r="AF1729" s="42"/>
      <c r="AG1729" s="42"/>
      <c r="AH1729" s="42"/>
      <c r="AI1729" s="42" t="str">
        <f t="array" ref="AI1729">XLOOKUP($E1729,Sheet11!$D:$D,Sheet11!$X:$X,"",0)</f>
        <v/>
      </c>
      <c r="AJ1729" s="42" t="str">
        <f t="array" ref="AJ1729">XLOOKUP($E1729,Sheet11!$D:$D,Sheet11!$Y:$Y,"",0)</f>
        <v/>
      </c>
    </row>
    <row r="1730">
      <c r="A1730" s="23"/>
      <c r="B1730" s="42"/>
      <c r="C1730" s="42"/>
      <c r="D1730" s="42"/>
      <c r="E1730" s="42"/>
      <c r="F1730" s="42"/>
      <c r="G1730" s="42"/>
      <c r="H1730" s="42"/>
      <c r="I1730" s="42"/>
      <c r="J1730" s="42"/>
      <c r="K1730" s="42"/>
      <c r="L1730" s="46"/>
      <c r="M1730" s="46"/>
      <c r="N1730" s="46"/>
      <c r="O1730" s="61"/>
      <c r="P1730" s="62"/>
      <c r="Q1730" s="46"/>
      <c r="R1730" s="47"/>
      <c r="S1730" s="62"/>
      <c r="T1730" s="62"/>
      <c r="U1730" s="46"/>
      <c r="V1730" s="61"/>
      <c r="W1730" s="62"/>
      <c r="X1730" s="47"/>
      <c r="Y1730" s="46"/>
      <c r="Z1730" s="46"/>
      <c r="AA1730" s="46"/>
      <c r="AB1730" s="49"/>
      <c r="AC1730" s="42"/>
      <c r="AD1730" s="42"/>
      <c r="AE1730" s="50"/>
      <c r="AF1730" s="42"/>
      <c r="AG1730" s="42"/>
      <c r="AH1730" s="42"/>
      <c r="AI1730" s="42" t="str">
        <f t="array" ref="AI1730">XLOOKUP($E1730,Sheet11!$D:$D,Sheet11!$X:$X,"",0)</f>
        <v/>
      </c>
      <c r="AJ1730" s="42" t="str">
        <f t="array" ref="AJ1730">XLOOKUP($E1730,Sheet11!$D:$D,Sheet11!$Y:$Y,"",0)</f>
        <v/>
      </c>
    </row>
    <row r="1731">
      <c r="A1731" s="23"/>
      <c r="B1731" s="42"/>
      <c r="C1731" s="42"/>
      <c r="D1731" s="42"/>
      <c r="E1731" s="42"/>
      <c r="F1731" s="42"/>
      <c r="G1731" s="42"/>
      <c r="H1731" s="42"/>
      <c r="I1731" s="42"/>
      <c r="J1731" s="42"/>
      <c r="K1731" s="42"/>
      <c r="L1731" s="46"/>
      <c r="M1731" s="46"/>
      <c r="N1731" s="46"/>
      <c r="O1731" s="61"/>
      <c r="P1731" s="62"/>
      <c r="Q1731" s="46"/>
      <c r="R1731" s="47"/>
      <c r="S1731" s="62"/>
      <c r="T1731" s="62"/>
      <c r="U1731" s="46"/>
      <c r="V1731" s="61"/>
      <c r="W1731" s="62"/>
      <c r="X1731" s="47"/>
      <c r="Y1731" s="46"/>
      <c r="Z1731" s="46"/>
      <c r="AA1731" s="46"/>
      <c r="AB1731" s="49"/>
      <c r="AC1731" s="42"/>
      <c r="AD1731" s="42"/>
      <c r="AE1731" s="50"/>
      <c r="AF1731" s="42"/>
      <c r="AG1731" s="42"/>
      <c r="AH1731" s="42"/>
      <c r="AI1731" s="42" t="str">
        <f t="array" ref="AI1731">XLOOKUP($E1731,Sheet11!$D:$D,Sheet11!$X:$X,"",0)</f>
        <v/>
      </c>
      <c r="AJ1731" s="42" t="str">
        <f t="array" ref="AJ1731">XLOOKUP($E1731,Sheet11!$D:$D,Sheet11!$Y:$Y,"",0)</f>
        <v/>
      </c>
    </row>
    <row r="1732">
      <c r="A1732" s="23"/>
      <c r="B1732" s="42"/>
      <c r="C1732" s="42"/>
      <c r="D1732" s="42"/>
      <c r="E1732" s="42"/>
      <c r="F1732" s="42"/>
      <c r="G1732" s="42"/>
      <c r="H1732" s="42"/>
      <c r="I1732" s="42"/>
      <c r="J1732" s="42"/>
      <c r="K1732" s="42"/>
      <c r="L1732" s="46"/>
      <c r="M1732" s="46"/>
      <c r="N1732" s="46"/>
      <c r="O1732" s="61"/>
      <c r="P1732" s="62"/>
      <c r="Q1732" s="46"/>
      <c r="R1732" s="47"/>
      <c r="S1732" s="62"/>
      <c r="T1732" s="62"/>
      <c r="U1732" s="46"/>
      <c r="V1732" s="61"/>
      <c r="W1732" s="62"/>
      <c r="X1732" s="47"/>
      <c r="Y1732" s="46"/>
      <c r="Z1732" s="46"/>
      <c r="AA1732" s="46"/>
      <c r="AB1732" s="49"/>
      <c r="AC1732" s="42"/>
      <c r="AD1732" s="42"/>
      <c r="AE1732" s="50"/>
      <c r="AF1732" s="42"/>
      <c r="AG1732" s="42"/>
      <c r="AH1732" s="42"/>
      <c r="AI1732" s="42" t="str">
        <f t="array" ref="AI1732">XLOOKUP($E1732,Sheet11!$D:$D,Sheet11!$X:$X,"",0)</f>
        <v/>
      </c>
      <c r="AJ1732" s="42" t="str">
        <f t="array" ref="AJ1732">XLOOKUP($E1732,Sheet11!$D:$D,Sheet11!$Y:$Y,"",0)</f>
        <v/>
      </c>
    </row>
    <row r="1733">
      <c r="A1733" s="23"/>
      <c r="B1733" s="42"/>
      <c r="C1733" s="42"/>
      <c r="D1733" s="42"/>
      <c r="E1733" s="42"/>
      <c r="F1733" s="42"/>
      <c r="G1733" s="42"/>
      <c r="H1733" s="42"/>
      <c r="I1733" s="42"/>
      <c r="J1733" s="42"/>
      <c r="K1733" s="42"/>
      <c r="L1733" s="46"/>
      <c r="M1733" s="46"/>
      <c r="N1733" s="46"/>
      <c r="O1733" s="61"/>
      <c r="P1733" s="62"/>
      <c r="Q1733" s="46"/>
      <c r="R1733" s="47"/>
      <c r="S1733" s="62"/>
      <c r="T1733" s="62"/>
      <c r="U1733" s="46"/>
      <c r="V1733" s="61"/>
      <c r="W1733" s="62"/>
      <c r="X1733" s="47"/>
      <c r="Y1733" s="46"/>
      <c r="Z1733" s="46"/>
      <c r="AA1733" s="46"/>
      <c r="AB1733" s="49"/>
      <c r="AC1733" s="42"/>
      <c r="AD1733" s="42"/>
      <c r="AE1733" s="50"/>
      <c r="AF1733" s="42"/>
      <c r="AG1733" s="42"/>
      <c r="AH1733" s="42"/>
      <c r="AI1733" s="42" t="str">
        <f t="array" ref="AI1733">XLOOKUP($E1733,Sheet11!$D:$D,Sheet11!$X:$X,"",0)</f>
        <v/>
      </c>
      <c r="AJ1733" s="42" t="str">
        <f t="array" ref="AJ1733">XLOOKUP($E1733,Sheet11!$D:$D,Sheet11!$Y:$Y,"",0)</f>
        <v/>
      </c>
    </row>
    <row r="1734">
      <c r="A1734" s="23"/>
      <c r="B1734" s="42"/>
      <c r="C1734" s="42"/>
      <c r="D1734" s="42"/>
      <c r="E1734" s="42"/>
      <c r="F1734" s="42"/>
      <c r="G1734" s="42"/>
      <c r="H1734" s="42"/>
      <c r="I1734" s="42"/>
      <c r="J1734" s="42"/>
      <c r="K1734" s="42"/>
      <c r="L1734" s="46"/>
      <c r="M1734" s="46"/>
      <c r="N1734" s="46"/>
      <c r="O1734" s="61"/>
      <c r="P1734" s="62"/>
      <c r="Q1734" s="46"/>
      <c r="R1734" s="47"/>
      <c r="S1734" s="62"/>
      <c r="T1734" s="62"/>
      <c r="U1734" s="46"/>
      <c r="V1734" s="61"/>
      <c r="W1734" s="62"/>
      <c r="X1734" s="47"/>
      <c r="Y1734" s="46"/>
      <c r="Z1734" s="46"/>
      <c r="AA1734" s="46"/>
      <c r="AB1734" s="49"/>
      <c r="AC1734" s="42"/>
      <c r="AD1734" s="42"/>
      <c r="AE1734" s="50"/>
      <c r="AF1734" s="42"/>
      <c r="AG1734" s="42"/>
      <c r="AH1734" s="42"/>
      <c r="AI1734" s="42" t="str">
        <f t="array" ref="AI1734">XLOOKUP($E1734,Sheet11!$D:$D,Sheet11!$X:$X,"",0)</f>
        <v/>
      </c>
      <c r="AJ1734" s="42" t="str">
        <f t="array" ref="AJ1734">XLOOKUP($E1734,Sheet11!$D:$D,Sheet11!$Y:$Y,"",0)</f>
        <v/>
      </c>
    </row>
    <row r="1735">
      <c r="A1735" s="23"/>
      <c r="B1735" s="42"/>
      <c r="C1735" s="42"/>
      <c r="D1735" s="42"/>
      <c r="E1735" s="42"/>
      <c r="F1735" s="42"/>
      <c r="G1735" s="42"/>
      <c r="H1735" s="42"/>
      <c r="I1735" s="42"/>
      <c r="J1735" s="42"/>
      <c r="K1735" s="42"/>
      <c r="L1735" s="46"/>
      <c r="M1735" s="46"/>
      <c r="N1735" s="46"/>
      <c r="O1735" s="61"/>
      <c r="P1735" s="62"/>
      <c r="Q1735" s="46"/>
      <c r="R1735" s="47"/>
      <c r="S1735" s="62"/>
      <c r="T1735" s="62"/>
      <c r="U1735" s="46"/>
      <c r="V1735" s="61"/>
      <c r="W1735" s="62"/>
      <c r="X1735" s="47"/>
      <c r="Y1735" s="46"/>
      <c r="Z1735" s="46"/>
      <c r="AA1735" s="46"/>
      <c r="AB1735" s="49"/>
      <c r="AC1735" s="42"/>
      <c r="AD1735" s="42"/>
      <c r="AE1735" s="50"/>
      <c r="AF1735" s="42"/>
      <c r="AG1735" s="42"/>
      <c r="AH1735" s="42"/>
      <c r="AI1735" s="42" t="str">
        <f t="array" ref="AI1735">XLOOKUP($E1735,Sheet11!$D:$D,Sheet11!$X:$X,"",0)</f>
        <v/>
      </c>
      <c r="AJ1735" s="42" t="str">
        <f t="array" ref="AJ1735">XLOOKUP($E1735,Sheet11!$D:$D,Sheet11!$Y:$Y,"",0)</f>
        <v/>
      </c>
    </row>
    <row r="1736">
      <c r="A1736" s="23"/>
      <c r="B1736" s="42"/>
      <c r="C1736" s="42"/>
      <c r="D1736" s="42"/>
      <c r="E1736" s="42"/>
      <c r="F1736" s="42"/>
      <c r="G1736" s="42"/>
      <c r="H1736" s="42"/>
      <c r="I1736" s="42"/>
      <c r="J1736" s="42"/>
      <c r="K1736" s="42"/>
      <c r="L1736" s="46"/>
      <c r="M1736" s="46"/>
      <c r="N1736" s="46"/>
      <c r="O1736" s="61"/>
      <c r="P1736" s="62"/>
      <c r="Q1736" s="46"/>
      <c r="R1736" s="47"/>
      <c r="S1736" s="62"/>
      <c r="T1736" s="62"/>
      <c r="U1736" s="46"/>
      <c r="V1736" s="61"/>
      <c r="W1736" s="62"/>
      <c r="X1736" s="47"/>
      <c r="Y1736" s="46"/>
      <c r="Z1736" s="46"/>
      <c r="AA1736" s="46"/>
      <c r="AB1736" s="49"/>
      <c r="AC1736" s="42"/>
      <c r="AD1736" s="42"/>
      <c r="AE1736" s="50"/>
      <c r="AF1736" s="42"/>
      <c r="AG1736" s="42"/>
      <c r="AH1736" s="42"/>
      <c r="AI1736" s="42" t="str">
        <f t="array" ref="AI1736">XLOOKUP($E1736,Sheet11!$D:$D,Sheet11!$X:$X,"",0)</f>
        <v/>
      </c>
      <c r="AJ1736" s="42" t="str">
        <f t="array" ref="AJ1736">XLOOKUP($E1736,Sheet11!$D:$D,Sheet11!$Y:$Y,"",0)</f>
        <v/>
      </c>
    </row>
    <row r="1737">
      <c r="A1737" s="23"/>
      <c r="B1737" s="42"/>
      <c r="C1737" s="42"/>
      <c r="D1737" s="42"/>
      <c r="E1737" s="42"/>
      <c r="F1737" s="42"/>
      <c r="G1737" s="42"/>
      <c r="H1737" s="42"/>
      <c r="I1737" s="42"/>
      <c r="J1737" s="42"/>
      <c r="K1737" s="42"/>
      <c r="L1737" s="46"/>
      <c r="M1737" s="46"/>
      <c r="N1737" s="46"/>
      <c r="O1737" s="61"/>
      <c r="P1737" s="62"/>
      <c r="Q1737" s="46"/>
      <c r="R1737" s="47"/>
      <c r="S1737" s="62"/>
      <c r="T1737" s="62"/>
      <c r="U1737" s="46"/>
      <c r="V1737" s="61"/>
      <c r="W1737" s="62"/>
      <c r="X1737" s="47"/>
      <c r="Y1737" s="46"/>
      <c r="Z1737" s="46"/>
      <c r="AA1737" s="46"/>
      <c r="AB1737" s="49"/>
      <c r="AC1737" s="42"/>
      <c r="AD1737" s="42"/>
      <c r="AE1737" s="50"/>
      <c r="AF1737" s="42"/>
      <c r="AG1737" s="42"/>
      <c r="AH1737" s="42"/>
      <c r="AI1737" s="42" t="str">
        <f t="array" ref="AI1737">XLOOKUP($E1737,Sheet11!$D:$D,Sheet11!$X:$X,"",0)</f>
        <v/>
      </c>
      <c r="AJ1737" s="42" t="str">
        <f t="array" ref="AJ1737">XLOOKUP($E1737,Sheet11!$D:$D,Sheet11!$Y:$Y,"",0)</f>
        <v/>
      </c>
    </row>
    <row r="1738">
      <c r="A1738" s="23"/>
      <c r="B1738" s="42"/>
      <c r="C1738" s="42"/>
      <c r="D1738" s="42"/>
      <c r="E1738" s="42"/>
      <c r="F1738" s="42"/>
      <c r="G1738" s="42"/>
      <c r="H1738" s="42"/>
      <c r="I1738" s="42"/>
      <c r="J1738" s="42"/>
      <c r="K1738" s="42"/>
      <c r="L1738" s="46"/>
      <c r="M1738" s="46"/>
      <c r="N1738" s="46"/>
      <c r="O1738" s="61"/>
      <c r="P1738" s="62"/>
      <c r="Q1738" s="46"/>
      <c r="R1738" s="47"/>
      <c r="S1738" s="62"/>
      <c r="T1738" s="62"/>
      <c r="U1738" s="46"/>
      <c r="V1738" s="61"/>
      <c r="W1738" s="62"/>
      <c r="X1738" s="47"/>
      <c r="Y1738" s="46"/>
      <c r="Z1738" s="46"/>
      <c r="AA1738" s="46"/>
      <c r="AB1738" s="49"/>
      <c r="AC1738" s="42"/>
      <c r="AD1738" s="42"/>
      <c r="AE1738" s="50"/>
      <c r="AF1738" s="42"/>
      <c r="AG1738" s="42"/>
      <c r="AH1738" s="42"/>
      <c r="AI1738" s="42" t="str">
        <f t="array" ref="AI1738">XLOOKUP($E1738,Sheet11!$D:$D,Sheet11!$X:$X,"",0)</f>
        <v/>
      </c>
      <c r="AJ1738" s="42" t="str">
        <f t="array" ref="AJ1738">XLOOKUP($E1738,Sheet11!$D:$D,Sheet11!$Y:$Y,"",0)</f>
        <v/>
      </c>
    </row>
    <row r="1739">
      <c r="A1739" s="23"/>
      <c r="B1739" s="42"/>
      <c r="C1739" s="42"/>
      <c r="D1739" s="42"/>
      <c r="E1739" s="42"/>
      <c r="F1739" s="42"/>
      <c r="G1739" s="42"/>
      <c r="H1739" s="42"/>
      <c r="I1739" s="42"/>
      <c r="J1739" s="42"/>
      <c r="K1739" s="42"/>
      <c r="L1739" s="46"/>
      <c r="M1739" s="46"/>
      <c r="N1739" s="46"/>
      <c r="O1739" s="61"/>
      <c r="P1739" s="62"/>
      <c r="Q1739" s="46"/>
      <c r="R1739" s="47"/>
      <c r="S1739" s="62"/>
      <c r="T1739" s="62"/>
      <c r="U1739" s="46"/>
      <c r="V1739" s="61"/>
      <c r="W1739" s="62"/>
      <c r="X1739" s="47"/>
      <c r="Y1739" s="46"/>
      <c r="Z1739" s="46"/>
      <c r="AA1739" s="46"/>
      <c r="AB1739" s="49"/>
      <c r="AC1739" s="42"/>
      <c r="AD1739" s="42"/>
      <c r="AE1739" s="50"/>
      <c r="AF1739" s="42"/>
      <c r="AG1739" s="42"/>
      <c r="AH1739" s="42"/>
      <c r="AI1739" s="42" t="str">
        <f t="array" ref="AI1739">XLOOKUP($E1739,Sheet11!$D:$D,Sheet11!$X:$X,"",0)</f>
        <v/>
      </c>
      <c r="AJ1739" s="42" t="str">
        <f t="array" ref="AJ1739">XLOOKUP($E1739,Sheet11!$D:$D,Sheet11!$Y:$Y,"",0)</f>
        <v/>
      </c>
    </row>
    <row r="1740">
      <c r="A1740" s="23"/>
      <c r="B1740" s="42"/>
      <c r="C1740" s="42"/>
      <c r="D1740" s="42"/>
      <c r="E1740" s="42"/>
      <c r="F1740" s="42"/>
      <c r="G1740" s="42"/>
      <c r="H1740" s="42"/>
      <c r="I1740" s="42"/>
      <c r="J1740" s="42"/>
      <c r="K1740" s="42"/>
      <c r="L1740" s="46"/>
      <c r="M1740" s="46"/>
      <c r="N1740" s="46"/>
      <c r="O1740" s="61"/>
      <c r="P1740" s="62"/>
      <c r="Q1740" s="46"/>
      <c r="R1740" s="47"/>
      <c r="S1740" s="62"/>
      <c r="T1740" s="62"/>
      <c r="U1740" s="46"/>
      <c r="V1740" s="61"/>
      <c r="W1740" s="62"/>
      <c r="X1740" s="47"/>
      <c r="Y1740" s="46"/>
      <c r="Z1740" s="46"/>
      <c r="AA1740" s="46"/>
      <c r="AB1740" s="49"/>
      <c r="AC1740" s="42"/>
      <c r="AD1740" s="42"/>
      <c r="AE1740" s="50"/>
      <c r="AF1740" s="42"/>
      <c r="AG1740" s="42"/>
      <c r="AH1740" s="42"/>
      <c r="AI1740" s="42" t="str">
        <f t="array" ref="AI1740">XLOOKUP($E1740,Sheet11!$D:$D,Sheet11!$X:$X,"",0)</f>
        <v/>
      </c>
      <c r="AJ1740" s="42" t="str">
        <f t="array" ref="AJ1740">XLOOKUP($E1740,Sheet11!$D:$D,Sheet11!$Y:$Y,"",0)</f>
        <v/>
      </c>
    </row>
    <row r="1741">
      <c r="A1741" s="23"/>
      <c r="B1741" s="42"/>
      <c r="C1741" s="42"/>
      <c r="D1741" s="42"/>
      <c r="E1741" s="42"/>
      <c r="F1741" s="42"/>
      <c r="G1741" s="42"/>
      <c r="H1741" s="42"/>
      <c r="I1741" s="42"/>
      <c r="J1741" s="42"/>
      <c r="K1741" s="42"/>
      <c r="L1741" s="46"/>
      <c r="M1741" s="46"/>
      <c r="N1741" s="46"/>
      <c r="O1741" s="61"/>
      <c r="P1741" s="62"/>
      <c r="Q1741" s="46"/>
      <c r="R1741" s="47"/>
      <c r="S1741" s="62"/>
      <c r="T1741" s="62"/>
      <c r="U1741" s="46"/>
      <c r="V1741" s="61"/>
      <c r="W1741" s="62"/>
      <c r="X1741" s="47"/>
      <c r="Y1741" s="46"/>
      <c r="Z1741" s="46"/>
      <c r="AA1741" s="46"/>
      <c r="AB1741" s="49"/>
      <c r="AC1741" s="42"/>
      <c r="AD1741" s="42"/>
      <c r="AE1741" s="50"/>
      <c r="AF1741" s="42"/>
      <c r="AG1741" s="42"/>
      <c r="AH1741" s="42"/>
      <c r="AI1741" s="42" t="str">
        <f t="array" ref="AI1741">XLOOKUP($E1741,Sheet11!$D:$D,Sheet11!$X:$X,"",0)</f>
        <v/>
      </c>
      <c r="AJ1741" s="42" t="str">
        <f t="array" ref="AJ1741">XLOOKUP($E1741,Sheet11!$D:$D,Sheet11!$Y:$Y,"",0)</f>
        <v/>
      </c>
    </row>
    <row r="1742">
      <c r="A1742" s="23"/>
      <c r="B1742" s="42"/>
      <c r="C1742" s="42"/>
      <c r="D1742" s="42"/>
      <c r="E1742" s="42"/>
      <c r="F1742" s="42"/>
      <c r="G1742" s="42"/>
      <c r="H1742" s="42"/>
      <c r="I1742" s="42"/>
      <c r="J1742" s="42"/>
      <c r="K1742" s="42"/>
      <c r="L1742" s="46"/>
      <c r="M1742" s="46"/>
      <c r="N1742" s="46"/>
      <c r="O1742" s="61"/>
      <c r="P1742" s="62"/>
      <c r="Q1742" s="46"/>
      <c r="R1742" s="47"/>
      <c r="S1742" s="62"/>
      <c r="T1742" s="62"/>
      <c r="U1742" s="46"/>
      <c r="V1742" s="61"/>
      <c r="W1742" s="62"/>
      <c r="X1742" s="47"/>
      <c r="Y1742" s="46"/>
      <c r="Z1742" s="46"/>
      <c r="AA1742" s="46"/>
      <c r="AB1742" s="49"/>
      <c r="AC1742" s="42"/>
      <c r="AD1742" s="42"/>
      <c r="AE1742" s="50"/>
      <c r="AF1742" s="42"/>
      <c r="AG1742" s="42"/>
      <c r="AH1742" s="42"/>
      <c r="AI1742" s="42" t="str">
        <f t="array" ref="AI1742">XLOOKUP($E1742,Sheet11!$D:$D,Sheet11!$X:$X,"",0)</f>
        <v/>
      </c>
      <c r="AJ1742" s="42" t="str">
        <f t="array" ref="AJ1742">XLOOKUP($E1742,Sheet11!$D:$D,Sheet11!$Y:$Y,"",0)</f>
        <v/>
      </c>
    </row>
    <row r="1743">
      <c r="A1743" s="23"/>
      <c r="B1743" s="42"/>
      <c r="C1743" s="42"/>
      <c r="D1743" s="42"/>
      <c r="E1743" s="42"/>
      <c r="F1743" s="42"/>
      <c r="G1743" s="42"/>
      <c r="H1743" s="42"/>
      <c r="I1743" s="42"/>
      <c r="J1743" s="42"/>
      <c r="K1743" s="42"/>
      <c r="L1743" s="46"/>
      <c r="M1743" s="46"/>
      <c r="N1743" s="46"/>
      <c r="O1743" s="61"/>
      <c r="P1743" s="62"/>
      <c r="Q1743" s="46"/>
      <c r="R1743" s="47"/>
      <c r="S1743" s="62"/>
      <c r="T1743" s="62"/>
      <c r="U1743" s="46"/>
      <c r="V1743" s="61"/>
      <c r="W1743" s="62"/>
      <c r="X1743" s="47"/>
      <c r="Y1743" s="46"/>
      <c r="Z1743" s="46"/>
      <c r="AA1743" s="46"/>
      <c r="AB1743" s="49"/>
      <c r="AC1743" s="42"/>
      <c r="AD1743" s="42"/>
      <c r="AE1743" s="50"/>
      <c r="AF1743" s="42"/>
      <c r="AG1743" s="42"/>
      <c r="AH1743" s="42"/>
      <c r="AI1743" s="42" t="str">
        <f t="array" ref="AI1743">XLOOKUP($E1743,Sheet11!$D:$D,Sheet11!$X:$X,"",0)</f>
        <v/>
      </c>
      <c r="AJ1743" s="42" t="str">
        <f t="array" ref="AJ1743">XLOOKUP($E1743,Sheet11!$D:$D,Sheet11!$Y:$Y,"",0)</f>
        <v/>
      </c>
    </row>
    <row r="1744">
      <c r="A1744" s="23"/>
      <c r="B1744" s="42"/>
      <c r="C1744" s="42"/>
      <c r="D1744" s="42"/>
      <c r="E1744" s="42"/>
      <c r="F1744" s="42"/>
      <c r="G1744" s="42"/>
      <c r="H1744" s="42"/>
      <c r="I1744" s="42"/>
      <c r="J1744" s="42"/>
      <c r="K1744" s="42"/>
      <c r="L1744" s="46"/>
      <c r="M1744" s="46"/>
      <c r="N1744" s="46"/>
      <c r="O1744" s="61"/>
      <c r="P1744" s="62"/>
      <c r="Q1744" s="46"/>
      <c r="R1744" s="47"/>
      <c r="S1744" s="62"/>
      <c r="T1744" s="62"/>
      <c r="U1744" s="46"/>
      <c r="V1744" s="61"/>
      <c r="W1744" s="62"/>
      <c r="X1744" s="47"/>
      <c r="Y1744" s="46"/>
      <c r="Z1744" s="46"/>
      <c r="AA1744" s="46"/>
      <c r="AB1744" s="49"/>
      <c r="AC1744" s="42"/>
      <c r="AD1744" s="42"/>
      <c r="AE1744" s="50"/>
      <c r="AF1744" s="42"/>
      <c r="AG1744" s="42"/>
      <c r="AH1744" s="42"/>
      <c r="AI1744" s="42" t="str">
        <f t="array" ref="AI1744">XLOOKUP($E1744,Sheet11!$D:$D,Sheet11!$X:$X,"",0)</f>
        <v/>
      </c>
      <c r="AJ1744" s="42" t="str">
        <f t="array" ref="AJ1744">XLOOKUP($E1744,Sheet11!$D:$D,Sheet11!$Y:$Y,"",0)</f>
        <v/>
      </c>
    </row>
    <row r="1745">
      <c r="A1745" s="23"/>
      <c r="B1745" s="42"/>
      <c r="C1745" s="42"/>
      <c r="D1745" s="42"/>
      <c r="E1745" s="42"/>
      <c r="F1745" s="42"/>
      <c r="G1745" s="42"/>
      <c r="H1745" s="42"/>
      <c r="I1745" s="42"/>
      <c r="J1745" s="42"/>
      <c r="K1745" s="42"/>
      <c r="L1745" s="46"/>
      <c r="M1745" s="46"/>
      <c r="N1745" s="46"/>
      <c r="O1745" s="61"/>
      <c r="P1745" s="62"/>
      <c r="Q1745" s="46"/>
      <c r="R1745" s="47"/>
      <c r="S1745" s="62"/>
      <c r="T1745" s="62"/>
      <c r="U1745" s="46"/>
      <c r="V1745" s="61"/>
      <c r="W1745" s="62"/>
      <c r="X1745" s="47"/>
      <c r="Y1745" s="46"/>
      <c r="Z1745" s="46"/>
      <c r="AA1745" s="46"/>
      <c r="AB1745" s="49"/>
      <c r="AC1745" s="42"/>
      <c r="AD1745" s="42"/>
      <c r="AE1745" s="50"/>
      <c r="AF1745" s="42"/>
      <c r="AG1745" s="42"/>
      <c r="AH1745" s="42"/>
      <c r="AI1745" s="42" t="str">
        <f t="array" ref="AI1745">XLOOKUP($E1745,Sheet11!$D:$D,Sheet11!$X:$X,"",0)</f>
        <v/>
      </c>
      <c r="AJ1745" s="42" t="str">
        <f t="array" ref="AJ1745">XLOOKUP($E1745,Sheet11!$D:$D,Sheet11!$Y:$Y,"",0)</f>
        <v/>
      </c>
    </row>
    <row r="1746">
      <c r="A1746" s="23"/>
      <c r="B1746" s="42"/>
      <c r="C1746" s="42"/>
      <c r="D1746" s="42"/>
      <c r="E1746" s="42"/>
      <c r="F1746" s="42"/>
      <c r="G1746" s="42"/>
      <c r="H1746" s="42"/>
      <c r="I1746" s="42"/>
      <c r="J1746" s="42"/>
      <c r="K1746" s="42"/>
      <c r="L1746" s="46"/>
      <c r="M1746" s="46"/>
      <c r="N1746" s="46"/>
      <c r="O1746" s="61"/>
      <c r="P1746" s="62"/>
      <c r="Q1746" s="46"/>
      <c r="R1746" s="47"/>
      <c r="S1746" s="62"/>
      <c r="T1746" s="62"/>
      <c r="U1746" s="46"/>
      <c r="V1746" s="61"/>
      <c r="W1746" s="62"/>
      <c r="X1746" s="47"/>
      <c r="Y1746" s="46"/>
      <c r="Z1746" s="46"/>
      <c r="AA1746" s="46"/>
      <c r="AB1746" s="49"/>
      <c r="AC1746" s="42"/>
      <c r="AD1746" s="42"/>
      <c r="AE1746" s="50"/>
      <c r="AF1746" s="42"/>
      <c r="AG1746" s="42"/>
      <c r="AH1746" s="42"/>
      <c r="AI1746" s="42" t="str">
        <f t="array" ref="AI1746">XLOOKUP($E1746,Sheet11!$D:$D,Sheet11!$X:$X,"",0)</f>
        <v/>
      </c>
      <c r="AJ1746" s="42" t="str">
        <f t="array" ref="AJ1746">XLOOKUP($E1746,Sheet11!$D:$D,Sheet11!$Y:$Y,"",0)</f>
        <v/>
      </c>
    </row>
    <row r="1747">
      <c r="A1747" s="23"/>
      <c r="B1747" s="42"/>
      <c r="C1747" s="42"/>
      <c r="D1747" s="42"/>
      <c r="E1747" s="42"/>
      <c r="F1747" s="42"/>
      <c r="G1747" s="42"/>
      <c r="H1747" s="42"/>
      <c r="I1747" s="42"/>
      <c r="J1747" s="42"/>
      <c r="K1747" s="42"/>
      <c r="L1747" s="46"/>
      <c r="M1747" s="46"/>
      <c r="N1747" s="46"/>
      <c r="O1747" s="61"/>
      <c r="P1747" s="62"/>
      <c r="Q1747" s="46"/>
      <c r="R1747" s="47"/>
      <c r="S1747" s="62"/>
      <c r="T1747" s="62"/>
      <c r="U1747" s="46"/>
      <c r="V1747" s="61"/>
      <c r="W1747" s="62"/>
      <c r="X1747" s="47"/>
      <c r="Y1747" s="46"/>
      <c r="Z1747" s="46"/>
      <c r="AA1747" s="46"/>
      <c r="AB1747" s="49"/>
      <c r="AC1747" s="42"/>
      <c r="AD1747" s="42"/>
      <c r="AE1747" s="50"/>
      <c r="AF1747" s="42"/>
      <c r="AG1747" s="42"/>
      <c r="AH1747" s="42"/>
      <c r="AI1747" s="42" t="str">
        <f t="array" ref="AI1747">XLOOKUP($E1747,Sheet11!$D:$D,Sheet11!$X:$X,"",0)</f>
        <v/>
      </c>
      <c r="AJ1747" s="42" t="str">
        <f t="array" ref="AJ1747">XLOOKUP($E1747,Sheet11!$D:$D,Sheet11!$Y:$Y,"",0)</f>
        <v/>
      </c>
    </row>
    <row r="1748">
      <c r="A1748" s="23"/>
      <c r="B1748" s="42"/>
      <c r="C1748" s="42"/>
      <c r="D1748" s="42"/>
      <c r="E1748" s="42"/>
      <c r="F1748" s="42"/>
      <c r="G1748" s="42"/>
      <c r="H1748" s="42"/>
      <c r="I1748" s="42"/>
      <c r="J1748" s="42"/>
      <c r="K1748" s="42"/>
      <c r="L1748" s="46"/>
      <c r="M1748" s="46"/>
      <c r="N1748" s="46"/>
      <c r="O1748" s="61"/>
      <c r="P1748" s="62"/>
      <c r="Q1748" s="46"/>
      <c r="R1748" s="47"/>
      <c r="S1748" s="62"/>
      <c r="T1748" s="62"/>
      <c r="U1748" s="46"/>
      <c r="V1748" s="61"/>
      <c r="W1748" s="62"/>
      <c r="X1748" s="47"/>
      <c r="Y1748" s="46"/>
      <c r="Z1748" s="46"/>
      <c r="AA1748" s="46"/>
      <c r="AB1748" s="49"/>
      <c r="AC1748" s="42"/>
      <c r="AD1748" s="42"/>
      <c r="AE1748" s="50"/>
      <c r="AF1748" s="42"/>
      <c r="AG1748" s="42"/>
      <c r="AH1748" s="42"/>
      <c r="AI1748" s="42" t="str">
        <f t="array" ref="AI1748">XLOOKUP($E1748,Sheet11!$D:$D,Sheet11!$X:$X,"",0)</f>
        <v/>
      </c>
      <c r="AJ1748" s="42" t="str">
        <f t="array" ref="AJ1748">XLOOKUP($E1748,Sheet11!$D:$D,Sheet11!$Y:$Y,"",0)</f>
        <v/>
      </c>
    </row>
    <row r="1749">
      <c r="A1749" s="23"/>
      <c r="B1749" s="42"/>
      <c r="C1749" s="42"/>
      <c r="D1749" s="42"/>
      <c r="E1749" s="42"/>
      <c r="F1749" s="42"/>
      <c r="G1749" s="42"/>
      <c r="H1749" s="42"/>
      <c r="I1749" s="42"/>
      <c r="J1749" s="42"/>
      <c r="K1749" s="42"/>
      <c r="L1749" s="46"/>
      <c r="M1749" s="46"/>
      <c r="N1749" s="46"/>
      <c r="O1749" s="61"/>
      <c r="P1749" s="62"/>
      <c r="Q1749" s="46"/>
      <c r="R1749" s="47"/>
      <c r="S1749" s="62"/>
      <c r="T1749" s="62"/>
      <c r="U1749" s="46"/>
      <c r="V1749" s="61"/>
      <c r="W1749" s="62"/>
      <c r="X1749" s="47"/>
      <c r="Y1749" s="46"/>
      <c r="Z1749" s="46"/>
      <c r="AA1749" s="46"/>
      <c r="AB1749" s="49"/>
      <c r="AC1749" s="42"/>
      <c r="AD1749" s="42"/>
      <c r="AE1749" s="50"/>
      <c r="AF1749" s="42"/>
      <c r="AG1749" s="42"/>
      <c r="AH1749" s="42"/>
      <c r="AI1749" s="42" t="str">
        <f t="array" ref="AI1749">XLOOKUP($E1749,Sheet11!$D:$D,Sheet11!$X:$X,"",0)</f>
        <v/>
      </c>
      <c r="AJ1749" s="42" t="str">
        <f t="array" ref="AJ1749">XLOOKUP($E1749,Sheet11!$D:$D,Sheet11!$Y:$Y,"",0)</f>
        <v/>
      </c>
    </row>
    <row r="1750">
      <c r="A1750" s="23"/>
      <c r="B1750" s="42"/>
      <c r="C1750" s="42"/>
      <c r="D1750" s="42"/>
      <c r="E1750" s="42"/>
      <c r="F1750" s="42"/>
      <c r="G1750" s="42"/>
      <c r="H1750" s="42"/>
      <c r="I1750" s="42"/>
      <c r="J1750" s="42"/>
      <c r="K1750" s="42"/>
      <c r="L1750" s="46"/>
      <c r="M1750" s="46"/>
      <c r="N1750" s="46"/>
      <c r="O1750" s="61"/>
      <c r="P1750" s="62"/>
      <c r="Q1750" s="46"/>
      <c r="R1750" s="47"/>
      <c r="S1750" s="62"/>
      <c r="T1750" s="62"/>
      <c r="U1750" s="46"/>
      <c r="V1750" s="61"/>
      <c r="W1750" s="62"/>
      <c r="X1750" s="47"/>
      <c r="Y1750" s="46"/>
      <c r="Z1750" s="46"/>
      <c r="AA1750" s="46"/>
      <c r="AB1750" s="49"/>
      <c r="AC1750" s="42"/>
      <c r="AD1750" s="42"/>
      <c r="AE1750" s="50"/>
      <c r="AF1750" s="42"/>
      <c r="AG1750" s="42"/>
      <c r="AH1750" s="42"/>
      <c r="AI1750" s="42" t="str">
        <f t="array" ref="AI1750">XLOOKUP($E1750,Sheet11!$D:$D,Sheet11!$X:$X,"",0)</f>
        <v/>
      </c>
      <c r="AJ1750" s="42" t="str">
        <f t="array" ref="AJ1750">XLOOKUP($E1750,Sheet11!$D:$D,Sheet11!$Y:$Y,"",0)</f>
        <v/>
      </c>
    </row>
    <row r="1751">
      <c r="A1751" s="23"/>
      <c r="B1751" s="42"/>
      <c r="C1751" s="42"/>
      <c r="D1751" s="42"/>
      <c r="E1751" s="42"/>
      <c r="F1751" s="42"/>
      <c r="G1751" s="42"/>
      <c r="H1751" s="42"/>
      <c r="I1751" s="42"/>
      <c r="J1751" s="42"/>
      <c r="K1751" s="42"/>
      <c r="L1751" s="46"/>
      <c r="M1751" s="46"/>
      <c r="N1751" s="46"/>
      <c r="O1751" s="61"/>
      <c r="P1751" s="62"/>
      <c r="Q1751" s="46"/>
      <c r="R1751" s="47"/>
      <c r="S1751" s="62"/>
      <c r="T1751" s="62"/>
      <c r="U1751" s="46"/>
      <c r="V1751" s="61"/>
      <c r="W1751" s="62"/>
      <c r="X1751" s="47"/>
      <c r="Y1751" s="46"/>
      <c r="Z1751" s="46"/>
      <c r="AA1751" s="46"/>
      <c r="AB1751" s="49"/>
      <c r="AC1751" s="42"/>
      <c r="AD1751" s="42"/>
      <c r="AE1751" s="50"/>
      <c r="AF1751" s="42"/>
      <c r="AG1751" s="42"/>
      <c r="AH1751" s="42"/>
      <c r="AI1751" s="42" t="str">
        <f t="array" ref="AI1751">XLOOKUP($E1751,Sheet11!$D:$D,Sheet11!$X:$X,"",0)</f>
        <v/>
      </c>
      <c r="AJ1751" s="42" t="str">
        <f t="array" ref="AJ1751">XLOOKUP($E1751,Sheet11!$D:$D,Sheet11!$Y:$Y,"",0)</f>
        <v/>
      </c>
    </row>
    <row r="1752">
      <c r="A1752" s="23"/>
      <c r="B1752" s="42"/>
      <c r="C1752" s="42"/>
      <c r="D1752" s="42"/>
      <c r="E1752" s="42"/>
      <c r="F1752" s="42"/>
      <c r="G1752" s="42"/>
      <c r="H1752" s="42"/>
      <c r="I1752" s="42"/>
      <c r="J1752" s="42"/>
      <c r="K1752" s="42"/>
      <c r="L1752" s="46"/>
      <c r="M1752" s="46"/>
      <c r="N1752" s="46"/>
      <c r="O1752" s="61"/>
      <c r="P1752" s="62"/>
      <c r="Q1752" s="46"/>
      <c r="R1752" s="47"/>
      <c r="S1752" s="62"/>
      <c r="T1752" s="62"/>
      <c r="U1752" s="46"/>
      <c r="V1752" s="61"/>
      <c r="W1752" s="62"/>
      <c r="X1752" s="47"/>
      <c r="Y1752" s="46"/>
      <c r="Z1752" s="46"/>
      <c r="AA1752" s="46"/>
      <c r="AB1752" s="49"/>
      <c r="AC1752" s="42"/>
      <c r="AD1752" s="42"/>
      <c r="AE1752" s="50"/>
      <c r="AF1752" s="42"/>
      <c r="AG1752" s="42"/>
      <c r="AH1752" s="42"/>
      <c r="AI1752" s="42" t="str">
        <f t="array" ref="AI1752">XLOOKUP($E1752,Sheet11!$D:$D,Sheet11!$X:$X,"",0)</f>
        <v/>
      </c>
      <c r="AJ1752" s="42" t="str">
        <f t="array" ref="AJ1752">XLOOKUP($E1752,Sheet11!$D:$D,Sheet11!$Y:$Y,"",0)</f>
        <v/>
      </c>
    </row>
    <row r="1753">
      <c r="A1753" s="23"/>
      <c r="B1753" s="42"/>
      <c r="C1753" s="42"/>
      <c r="D1753" s="42"/>
      <c r="E1753" s="42"/>
      <c r="F1753" s="42"/>
      <c r="G1753" s="42"/>
      <c r="H1753" s="42"/>
      <c r="I1753" s="42"/>
      <c r="J1753" s="42"/>
      <c r="K1753" s="42"/>
      <c r="L1753" s="46"/>
      <c r="M1753" s="46"/>
      <c r="N1753" s="46"/>
      <c r="O1753" s="61"/>
      <c r="P1753" s="62"/>
      <c r="Q1753" s="46"/>
      <c r="R1753" s="47"/>
      <c r="S1753" s="62"/>
      <c r="T1753" s="62"/>
      <c r="U1753" s="46"/>
      <c r="V1753" s="61"/>
      <c r="W1753" s="62"/>
      <c r="X1753" s="47"/>
      <c r="Y1753" s="46"/>
      <c r="Z1753" s="46"/>
      <c r="AA1753" s="46"/>
      <c r="AB1753" s="49"/>
      <c r="AC1753" s="42"/>
      <c r="AD1753" s="42"/>
      <c r="AE1753" s="50"/>
      <c r="AF1753" s="42"/>
      <c r="AG1753" s="42"/>
      <c r="AH1753" s="42"/>
      <c r="AI1753" s="42" t="str">
        <f t="array" ref="AI1753">XLOOKUP($E1753,Sheet11!$D:$D,Sheet11!$X:$X,"",0)</f>
        <v/>
      </c>
      <c r="AJ1753" s="42" t="str">
        <f t="array" ref="AJ1753">XLOOKUP($E1753,Sheet11!$D:$D,Sheet11!$Y:$Y,"",0)</f>
        <v/>
      </c>
    </row>
    <row r="1754">
      <c r="A1754" s="23"/>
      <c r="B1754" s="42"/>
      <c r="C1754" s="42"/>
      <c r="D1754" s="42"/>
      <c r="E1754" s="42"/>
      <c r="F1754" s="42"/>
      <c r="G1754" s="42"/>
      <c r="H1754" s="42"/>
      <c r="I1754" s="42"/>
      <c r="J1754" s="42"/>
      <c r="K1754" s="42"/>
      <c r="L1754" s="46"/>
      <c r="M1754" s="46"/>
      <c r="N1754" s="46"/>
      <c r="O1754" s="61"/>
      <c r="P1754" s="62"/>
      <c r="Q1754" s="46"/>
      <c r="R1754" s="47"/>
      <c r="S1754" s="62"/>
      <c r="T1754" s="62"/>
      <c r="U1754" s="46"/>
      <c r="V1754" s="61"/>
      <c r="W1754" s="62"/>
      <c r="X1754" s="47"/>
      <c r="Y1754" s="46"/>
      <c r="Z1754" s="46"/>
      <c r="AA1754" s="46"/>
      <c r="AB1754" s="49"/>
      <c r="AC1754" s="42"/>
      <c r="AD1754" s="42"/>
      <c r="AE1754" s="50"/>
      <c r="AF1754" s="42"/>
      <c r="AG1754" s="42"/>
      <c r="AH1754" s="42"/>
      <c r="AI1754" s="42" t="str">
        <f t="array" ref="AI1754">XLOOKUP($E1754,Sheet11!$D:$D,Sheet11!$X:$X,"",0)</f>
        <v/>
      </c>
      <c r="AJ1754" s="42" t="str">
        <f t="array" ref="AJ1754">XLOOKUP($E1754,Sheet11!$D:$D,Sheet11!$Y:$Y,"",0)</f>
        <v/>
      </c>
    </row>
    <row r="1755">
      <c r="A1755" s="23"/>
      <c r="B1755" s="42"/>
      <c r="C1755" s="42"/>
      <c r="D1755" s="42"/>
      <c r="E1755" s="42"/>
      <c r="F1755" s="42"/>
      <c r="G1755" s="42"/>
      <c r="H1755" s="42"/>
      <c r="I1755" s="42"/>
      <c r="J1755" s="42"/>
      <c r="K1755" s="42"/>
      <c r="L1755" s="46"/>
      <c r="M1755" s="46"/>
      <c r="N1755" s="46"/>
      <c r="O1755" s="61"/>
      <c r="P1755" s="62"/>
      <c r="Q1755" s="46"/>
      <c r="R1755" s="47"/>
      <c r="S1755" s="62"/>
      <c r="T1755" s="62"/>
      <c r="U1755" s="46"/>
      <c r="V1755" s="61"/>
      <c r="W1755" s="62"/>
      <c r="X1755" s="47"/>
      <c r="Y1755" s="46"/>
      <c r="Z1755" s="46"/>
      <c r="AA1755" s="46"/>
      <c r="AB1755" s="49"/>
      <c r="AC1755" s="42"/>
      <c r="AD1755" s="42"/>
      <c r="AE1755" s="50"/>
      <c r="AF1755" s="42"/>
      <c r="AG1755" s="42"/>
      <c r="AH1755" s="42"/>
      <c r="AI1755" s="42" t="str">
        <f t="array" ref="AI1755">XLOOKUP($E1755,Sheet11!$D:$D,Sheet11!$X:$X,"",0)</f>
        <v/>
      </c>
      <c r="AJ1755" s="42" t="str">
        <f t="array" ref="AJ1755">XLOOKUP($E1755,Sheet11!$D:$D,Sheet11!$Y:$Y,"",0)</f>
        <v/>
      </c>
    </row>
    <row r="1756">
      <c r="A1756" s="23"/>
      <c r="B1756" s="42"/>
      <c r="C1756" s="42"/>
      <c r="D1756" s="42"/>
      <c r="E1756" s="42"/>
      <c r="F1756" s="42"/>
      <c r="G1756" s="42"/>
      <c r="H1756" s="42"/>
      <c r="I1756" s="42"/>
      <c r="J1756" s="42"/>
      <c r="K1756" s="42"/>
      <c r="L1756" s="46"/>
      <c r="M1756" s="46"/>
      <c r="N1756" s="46"/>
      <c r="O1756" s="61"/>
      <c r="P1756" s="62"/>
      <c r="Q1756" s="46"/>
      <c r="R1756" s="47"/>
      <c r="S1756" s="62"/>
      <c r="T1756" s="62"/>
      <c r="U1756" s="46"/>
      <c r="V1756" s="61"/>
      <c r="W1756" s="62"/>
      <c r="X1756" s="47"/>
      <c r="Y1756" s="46"/>
      <c r="Z1756" s="46"/>
      <c r="AA1756" s="46"/>
      <c r="AB1756" s="49"/>
      <c r="AC1756" s="42"/>
      <c r="AD1756" s="42"/>
      <c r="AE1756" s="50"/>
      <c r="AF1756" s="42"/>
      <c r="AG1756" s="42"/>
      <c r="AH1756" s="42"/>
      <c r="AI1756" s="42" t="str">
        <f t="array" ref="AI1756">XLOOKUP($E1756,Sheet11!$D:$D,Sheet11!$X:$X,"",0)</f>
        <v/>
      </c>
      <c r="AJ1756" s="42" t="str">
        <f t="array" ref="AJ1756">XLOOKUP($E1756,Sheet11!$D:$D,Sheet11!$Y:$Y,"",0)</f>
        <v/>
      </c>
    </row>
    <row r="1757">
      <c r="A1757" s="23"/>
      <c r="B1757" s="42"/>
      <c r="C1757" s="42"/>
      <c r="D1757" s="42"/>
      <c r="E1757" s="42"/>
      <c r="F1757" s="42"/>
      <c r="G1757" s="42"/>
      <c r="H1757" s="42"/>
      <c r="I1757" s="42"/>
      <c r="J1757" s="42"/>
      <c r="K1757" s="42"/>
      <c r="L1757" s="46"/>
      <c r="M1757" s="46"/>
      <c r="N1757" s="46"/>
      <c r="O1757" s="61"/>
      <c r="P1757" s="62"/>
      <c r="Q1757" s="46"/>
      <c r="R1757" s="47"/>
      <c r="S1757" s="62"/>
      <c r="T1757" s="62"/>
      <c r="U1757" s="46"/>
      <c r="V1757" s="61"/>
      <c r="W1757" s="62"/>
      <c r="X1757" s="47"/>
      <c r="Y1757" s="46"/>
      <c r="Z1757" s="46"/>
      <c r="AA1757" s="46"/>
      <c r="AB1757" s="49"/>
      <c r="AC1757" s="42"/>
      <c r="AD1757" s="42"/>
      <c r="AE1757" s="50"/>
      <c r="AF1757" s="42"/>
      <c r="AG1757" s="42"/>
      <c r="AH1757" s="42"/>
      <c r="AI1757" s="42" t="str">
        <f t="array" ref="AI1757">XLOOKUP($E1757,Sheet11!$D:$D,Sheet11!$X:$X,"",0)</f>
        <v/>
      </c>
      <c r="AJ1757" s="42" t="str">
        <f t="array" ref="AJ1757">XLOOKUP($E1757,Sheet11!$D:$D,Sheet11!$Y:$Y,"",0)</f>
        <v/>
      </c>
    </row>
    <row r="1758">
      <c r="A1758" s="23"/>
      <c r="B1758" s="42"/>
      <c r="C1758" s="42"/>
      <c r="D1758" s="42"/>
      <c r="E1758" s="42"/>
      <c r="F1758" s="42"/>
      <c r="G1758" s="42"/>
      <c r="H1758" s="42"/>
      <c r="I1758" s="42"/>
      <c r="J1758" s="42"/>
      <c r="K1758" s="42"/>
      <c r="L1758" s="46"/>
      <c r="M1758" s="46"/>
      <c r="N1758" s="46"/>
      <c r="O1758" s="61"/>
      <c r="P1758" s="62"/>
      <c r="Q1758" s="46"/>
      <c r="R1758" s="47"/>
      <c r="S1758" s="62"/>
      <c r="T1758" s="62"/>
      <c r="U1758" s="46"/>
      <c r="V1758" s="61"/>
      <c r="W1758" s="62"/>
      <c r="X1758" s="47"/>
      <c r="Y1758" s="46"/>
      <c r="Z1758" s="46"/>
      <c r="AA1758" s="46"/>
      <c r="AB1758" s="49"/>
      <c r="AC1758" s="42"/>
      <c r="AD1758" s="42"/>
      <c r="AE1758" s="50"/>
      <c r="AF1758" s="42"/>
      <c r="AG1758" s="42"/>
      <c r="AH1758" s="42"/>
      <c r="AI1758" s="42" t="str">
        <f t="array" ref="AI1758">XLOOKUP($E1758,Sheet11!$D:$D,Sheet11!$X:$X,"",0)</f>
        <v/>
      </c>
      <c r="AJ1758" s="42" t="str">
        <f t="array" ref="AJ1758">XLOOKUP($E1758,Sheet11!$D:$D,Sheet11!$Y:$Y,"",0)</f>
        <v/>
      </c>
    </row>
    <row r="1759">
      <c r="A1759" s="23"/>
      <c r="B1759" s="42"/>
      <c r="C1759" s="42"/>
      <c r="D1759" s="42"/>
      <c r="E1759" s="42"/>
      <c r="F1759" s="42"/>
      <c r="G1759" s="42"/>
      <c r="H1759" s="42"/>
      <c r="I1759" s="42"/>
      <c r="J1759" s="42"/>
      <c r="K1759" s="42"/>
      <c r="L1759" s="46"/>
      <c r="M1759" s="46"/>
      <c r="N1759" s="46"/>
      <c r="O1759" s="61"/>
      <c r="P1759" s="62"/>
      <c r="Q1759" s="46"/>
      <c r="R1759" s="47"/>
      <c r="S1759" s="62"/>
      <c r="T1759" s="62"/>
      <c r="U1759" s="46"/>
      <c r="V1759" s="61"/>
      <c r="W1759" s="62"/>
      <c r="X1759" s="47"/>
      <c r="Y1759" s="46"/>
      <c r="Z1759" s="46"/>
      <c r="AA1759" s="46"/>
      <c r="AB1759" s="49"/>
      <c r="AC1759" s="42"/>
      <c r="AD1759" s="42"/>
      <c r="AE1759" s="50"/>
      <c r="AF1759" s="42"/>
      <c r="AG1759" s="42"/>
      <c r="AH1759" s="42"/>
      <c r="AI1759" s="42" t="str">
        <f t="array" ref="AI1759">XLOOKUP($E1759,Sheet11!$D:$D,Sheet11!$X:$X,"",0)</f>
        <v/>
      </c>
      <c r="AJ1759" s="42" t="str">
        <f t="array" ref="AJ1759">XLOOKUP($E1759,Sheet11!$D:$D,Sheet11!$Y:$Y,"",0)</f>
        <v/>
      </c>
    </row>
    <row r="1760">
      <c r="A1760" s="23"/>
      <c r="B1760" s="42"/>
      <c r="C1760" s="42"/>
      <c r="D1760" s="42"/>
      <c r="E1760" s="42"/>
      <c r="F1760" s="42"/>
      <c r="G1760" s="42"/>
      <c r="H1760" s="42"/>
      <c r="I1760" s="42"/>
      <c r="J1760" s="42"/>
      <c r="K1760" s="42"/>
      <c r="L1760" s="46"/>
      <c r="M1760" s="46"/>
      <c r="N1760" s="46"/>
      <c r="O1760" s="61"/>
      <c r="P1760" s="62"/>
      <c r="Q1760" s="46"/>
      <c r="R1760" s="47"/>
      <c r="S1760" s="62"/>
      <c r="T1760" s="62"/>
      <c r="U1760" s="46"/>
      <c r="V1760" s="61"/>
      <c r="W1760" s="62"/>
      <c r="X1760" s="47"/>
      <c r="Y1760" s="46"/>
      <c r="Z1760" s="46"/>
      <c r="AA1760" s="46"/>
      <c r="AB1760" s="49"/>
      <c r="AC1760" s="42"/>
      <c r="AD1760" s="42"/>
      <c r="AE1760" s="50"/>
      <c r="AF1760" s="42"/>
      <c r="AG1760" s="42"/>
      <c r="AH1760" s="42"/>
      <c r="AI1760" s="42" t="str">
        <f t="array" ref="AI1760">XLOOKUP($E1760,Sheet11!$D:$D,Sheet11!$X:$X,"",0)</f>
        <v/>
      </c>
      <c r="AJ1760" s="42" t="str">
        <f t="array" ref="AJ1760">XLOOKUP($E1760,Sheet11!$D:$D,Sheet11!$Y:$Y,"",0)</f>
        <v/>
      </c>
    </row>
    <row r="1761">
      <c r="A1761" s="23"/>
      <c r="B1761" s="42"/>
      <c r="C1761" s="42"/>
      <c r="D1761" s="42"/>
      <c r="E1761" s="42"/>
      <c r="F1761" s="42"/>
      <c r="G1761" s="42"/>
      <c r="H1761" s="42"/>
      <c r="I1761" s="42"/>
      <c r="J1761" s="42"/>
      <c r="K1761" s="42"/>
      <c r="L1761" s="46"/>
      <c r="M1761" s="46"/>
      <c r="N1761" s="46"/>
      <c r="O1761" s="61"/>
      <c r="P1761" s="62"/>
      <c r="Q1761" s="46"/>
      <c r="R1761" s="47"/>
      <c r="S1761" s="62"/>
      <c r="T1761" s="62"/>
      <c r="U1761" s="46"/>
      <c r="V1761" s="61"/>
      <c r="W1761" s="62"/>
      <c r="X1761" s="47"/>
      <c r="Y1761" s="46"/>
      <c r="Z1761" s="46"/>
      <c r="AA1761" s="46"/>
      <c r="AB1761" s="49"/>
      <c r="AC1761" s="42"/>
      <c r="AD1761" s="42"/>
      <c r="AE1761" s="50"/>
      <c r="AF1761" s="42"/>
      <c r="AG1761" s="42"/>
      <c r="AH1761" s="42"/>
      <c r="AI1761" s="42" t="str">
        <f t="array" ref="AI1761">XLOOKUP($E1761,Sheet11!$D:$D,Sheet11!$X:$X,"",0)</f>
        <v/>
      </c>
      <c r="AJ1761" s="42" t="str">
        <f t="array" ref="AJ1761">XLOOKUP($E1761,Sheet11!$D:$D,Sheet11!$Y:$Y,"",0)</f>
        <v/>
      </c>
    </row>
    <row r="1762">
      <c r="A1762" s="23"/>
      <c r="B1762" s="42"/>
      <c r="C1762" s="42"/>
      <c r="D1762" s="42"/>
      <c r="E1762" s="42"/>
      <c r="F1762" s="42"/>
      <c r="G1762" s="42"/>
      <c r="H1762" s="42"/>
      <c r="I1762" s="42"/>
      <c r="J1762" s="42"/>
      <c r="K1762" s="42"/>
      <c r="L1762" s="46"/>
      <c r="M1762" s="46"/>
      <c r="N1762" s="46"/>
      <c r="O1762" s="61"/>
      <c r="P1762" s="62"/>
      <c r="Q1762" s="46"/>
      <c r="R1762" s="47"/>
      <c r="S1762" s="62"/>
      <c r="T1762" s="62"/>
      <c r="U1762" s="46"/>
      <c r="V1762" s="61"/>
      <c r="W1762" s="62"/>
      <c r="X1762" s="47"/>
      <c r="Y1762" s="46"/>
      <c r="Z1762" s="46"/>
      <c r="AA1762" s="46"/>
      <c r="AB1762" s="49"/>
      <c r="AC1762" s="42"/>
      <c r="AD1762" s="42"/>
      <c r="AE1762" s="50"/>
      <c r="AF1762" s="42"/>
      <c r="AG1762" s="42"/>
      <c r="AH1762" s="42"/>
      <c r="AI1762" s="42" t="str">
        <f t="array" ref="AI1762">XLOOKUP($E1762,Sheet11!$D:$D,Sheet11!$X:$X,"",0)</f>
        <v/>
      </c>
      <c r="AJ1762" s="42" t="str">
        <f t="array" ref="AJ1762">XLOOKUP($E1762,Sheet11!$D:$D,Sheet11!$Y:$Y,"",0)</f>
        <v/>
      </c>
    </row>
    <row r="1763">
      <c r="A1763" s="23"/>
      <c r="B1763" s="42"/>
      <c r="C1763" s="42"/>
      <c r="D1763" s="42"/>
      <c r="E1763" s="42"/>
      <c r="F1763" s="42"/>
      <c r="G1763" s="42"/>
      <c r="H1763" s="42"/>
      <c r="I1763" s="42"/>
      <c r="J1763" s="42"/>
      <c r="K1763" s="42"/>
      <c r="L1763" s="46"/>
      <c r="M1763" s="46"/>
      <c r="N1763" s="46"/>
      <c r="O1763" s="61"/>
      <c r="P1763" s="62"/>
      <c r="Q1763" s="46"/>
      <c r="R1763" s="47"/>
      <c r="S1763" s="62"/>
      <c r="T1763" s="62"/>
      <c r="U1763" s="46"/>
      <c r="V1763" s="61"/>
      <c r="W1763" s="62"/>
      <c r="X1763" s="47"/>
      <c r="Y1763" s="46"/>
      <c r="Z1763" s="46"/>
      <c r="AA1763" s="46"/>
      <c r="AB1763" s="49"/>
      <c r="AC1763" s="42"/>
      <c r="AD1763" s="42"/>
      <c r="AE1763" s="50"/>
      <c r="AF1763" s="42"/>
      <c r="AG1763" s="42"/>
      <c r="AH1763" s="42"/>
      <c r="AI1763" s="42" t="str">
        <f t="array" ref="AI1763">XLOOKUP($E1763,Sheet11!$D:$D,Sheet11!$X:$X,"",0)</f>
        <v/>
      </c>
      <c r="AJ1763" s="42" t="str">
        <f t="array" ref="AJ1763">XLOOKUP($E1763,Sheet11!$D:$D,Sheet11!$Y:$Y,"",0)</f>
        <v/>
      </c>
    </row>
    <row r="1764">
      <c r="A1764" s="23"/>
      <c r="B1764" s="42"/>
      <c r="C1764" s="42"/>
      <c r="D1764" s="42"/>
      <c r="E1764" s="42"/>
      <c r="F1764" s="42"/>
      <c r="G1764" s="42"/>
      <c r="H1764" s="42"/>
      <c r="I1764" s="42"/>
      <c r="J1764" s="42"/>
      <c r="K1764" s="42"/>
      <c r="L1764" s="46"/>
      <c r="M1764" s="46"/>
      <c r="N1764" s="46"/>
      <c r="O1764" s="61"/>
      <c r="P1764" s="62"/>
      <c r="Q1764" s="46"/>
      <c r="R1764" s="47"/>
      <c r="S1764" s="62"/>
      <c r="T1764" s="62"/>
      <c r="U1764" s="46"/>
      <c r="V1764" s="61"/>
      <c r="W1764" s="62"/>
      <c r="X1764" s="47"/>
      <c r="Y1764" s="46"/>
      <c r="Z1764" s="46"/>
      <c r="AA1764" s="46"/>
      <c r="AB1764" s="49"/>
      <c r="AC1764" s="42"/>
      <c r="AD1764" s="42"/>
      <c r="AE1764" s="50"/>
      <c r="AF1764" s="42"/>
      <c r="AG1764" s="42"/>
      <c r="AH1764" s="42"/>
      <c r="AI1764" s="42" t="str">
        <f t="array" ref="AI1764">XLOOKUP($E1764,Sheet11!$D:$D,Sheet11!$X:$X,"",0)</f>
        <v/>
      </c>
      <c r="AJ1764" s="42" t="str">
        <f t="array" ref="AJ1764">XLOOKUP($E1764,Sheet11!$D:$D,Sheet11!$Y:$Y,"",0)</f>
        <v/>
      </c>
    </row>
    <row r="1765">
      <c r="A1765" s="23"/>
      <c r="B1765" s="42"/>
      <c r="C1765" s="42"/>
      <c r="D1765" s="42"/>
      <c r="E1765" s="42"/>
      <c r="F1765" s="42"/>
      <c r="G1765" s="42"/>
      <c r="H1765" s="42"/>
      <c r="I1765" s="42"/>
      <c r="J1765" s="42"/>
      <c r="K1765" s="42"/>
      <c r="L1765" s="46"/>
      <c r="M1765" s="46"/>
      <c r="N1765" s="46"/>
      <c r="O1765" s="61"/>
      <c r="P1765" s="62"/>
      <c r="Q1765" s="46"/>
      <c r="R1765" s="47"/>
      <c r="S1765" s="62"/>
      <c r="T1765" s="62"/>
      <c r="U1765" s="46"/>
      <c r="V1765" s="61"/>
      <c r="W1765" s="62"/>
      <c r="X1765" s="47"/>
      <c r="Y1765" s="46"/>
      <c r="Z1765" s="46"/>
      <c r="AA1765" s="46"/>
      <c r="AB1765" s="49"/>
      <c r="AC1765" s="42"/>
      <c r="AD1765" s="42"/>
      <c r="AE1765" s="50"/>
      <c r="AF1765" s="42"/>
      <c r="AG1765" s="42"/>
      <c r="AH1765" s="42"/>
      <c r="AI1765" s="42" t="str">
        <f t="array" ref="AI1765">XLOOKUP($E1765,Sheet11!$D:$D,Sheet11!$X:$X,"",0)</f>
        <v/>
      </c>
      <c r="AJ1765" s="42" t="str">
        <f t="array" ref="AJ1765">XLOOKUP($E1765,Sheet11!$D:$D,Sheet11!$Y:$Y,"",0)</f>
        <v/>
      </c>
    </row>
    <row r="1766">
      <c r="A1766" s="23"/>
      <c r="B1766" s="42"/>
      <c r="C1766" s="42"/>
      <c r="D1766" s="42"/>
      <c r="E1766" s="42"/>
      <c r="F1766" s="42"/>
      <c r="G1766" s="42"/>
      <c r="H1766" s="42"/>
      <c r="I1766" s="42"/>
      <c r="J1766" s="42"/>
      <c r="K1766" s="42"/>
      <c r="L1766" s="46"/>
      <c r="M1766" s="46"/>
      <c r="N1766" s="46"/>
      <c r="O1766" s="61"/>
      <c r="P1766" s="62"/>
      <c r="Q1766" s="46"/>
      <c r="R1766" s="47"/>
      <c r="S1766" s="62"/>
      <c r="T1766" s="62"/>
      <c r="U1766" s="46"/>
      <c r="V1766" s="61"/>
      <c r="W1766" s="62"/>
      <c r="X1766" s="47"/>
      <c r="Y1766" s="46"/>
      <c r="Z1766" s="46"/>
      <c r="AA1766" s="46"/>
      <c r="AB1766" s="49"/>
      <c r="AC1766" s="42"/>
      <c r="AD1766" s="42"/>
      <c r="AE1766" s="50"/>
      <c r="AF1766" s="42"/>
      <c r="AG1766" s="42"/>
      <c r="AH1766" s="42"/>
      <c r="AI1766" s="42" t="str">
        <f t="array" ref="AI1766">XLOOKUP($E1766,Sheet11!$D:$D,Sheet11!$X:$X,"",0)</f>
        <v/>
      </c>
      <c r="AJ1766" s="42" t="str">
        <f t="array" ref="AJ1766">XLOOKUP($E1766,Sheet11!$D:$D,Sheet11!$Y:$Y,"",0)</f>
        <v/>
      </c>
    </row>
    <row r="1767">
      <c r="A1767" s="23"/>
      <c r="B1767" s="42"/>
      <c r="C1767" s="42"/>
      <c r="D1767" s="42"/>
      <c r="E1767" s="42"/>
      <c r="F1767" s="42"/>
      <c r="G1767" s="42"/>
      <c r="H1767" s="42"/>
      <c r="I1767" s="42"/>
      <c r="J1767" s="42"/>
      <c r="K1767" s="42"/>
      <c r="L1767" s="46"/>
      <c r="M1767" s="46"/>
      <c r="N1767" s="46"/>
      <c r="O1767" s="61"/>
      <c r="P1767" s="62"/>
      <c r="Q1767" s="46"/>
      <c r="R1767" s="47"/>
      <c r="S1767" s="62"/>
      <c r="T1767" s="62"/>
      <c r="U1767" s="46"/>
      <c r="V1767" s="61"/>
      <c r="W1767" s="62"/>
      <c r="X1767" s="47"/>
      <c r="Y1767" s="46"/>
      <c r="Z1767" s="46"/>
      <c r="AA1767" s="46"/>
      <c r="AB1767" s="49"/>
      <c r="AC1767" s="42"/>
      <c r="AD1767" s="42"/>
      <c r="AE1767" s="50"/>
      <c r="AF1767" s="42"/>
      <c r="AG1767" s="42"/>
      <c r="AH1767" s="42"/>
      <c r="AI1767" s="42" t="str">
        <f t="array" ref="AI1767">XLOOKUP($E1767,Sheet11!$D:$D,Sheet11!$X:$X,"",0)</f>
        <v/>
      </c>
      <c r="AJ1767" s="42" t="str">
        <f t="array" ref="AJ1767">XLOOKUP($E1767,Sheet11!$D:$D,Sheet11!$Y:$Y,"",0)</f>
        <v/>
      </c>
    </row>
    <row r="1768">
      <c r="A1768" s="23"/>
      <c r="B1768" s="42"/>
      <c r="C1768" s="42"/>
      <c r="D1768" s="42"/>
      <c r="E1768" s="42"/>
      <c r="F1768" s="42"/>
      <c r="G1768" s="42"/>
      <c r="H1768" s="42"/>
      <c r="I1768" s="42"/>
      <c r="J1768" s="42"/>
      <c r="K1768" s="42"/>
      <c r="L1768" s="46"/>
      <c r="M1768" s="46"/>
      <c r="N1768" s="46"/>
      <c r="O1768" s="61"/>
      <c r="P1768" s="62"/>
      <c r="Q1768" s="46"/>
      <c r="R1768" s="47"/>
      <c r="S1768" s="62"/>
      <c r="T1768" s="62"/>
      <c r="U1768" s="46"/>
      <c r="V1768" s="61"/>
      <c r="W1768" s="62"/>
      <c r="X1768" s="47"/>
      <c r="Y1768" s="46"/>
      <c r="Z1768" s="46"/>
      <c r="AA1768" s="46"/>
      <c r="AB1768" s="49"/>
      <c r="AC1768" s="42"/>
      <c r="AD1768" s="42"/>
      <c r="AE1768" s="50"/>
      <c r="AF1768" s="42"/>
      <c r="AG1768" s="42"/>
      <c r="AH1768" s="42"/>
      <c r="AI1768" s="42" t="str">
        <f t="array" ref="AI1768">XLOOKUP($E1768,Sheet11!$D:$D,Sheet11!$X:$X,"",0)</f>
        <v/>
      </c>
      <c r="AJ1768" s="42" t="str">
        <f t="array" ref="AJ1768">XLOOKUP($E1768,Sheet11!$D:$D,Sheet11!$Y:$Y,"",0)</f>
        <v/>
      </c>
    </row>
    <row r="1769">
      <c r="A1769" s="23"/>
      <c r="B1769" s="42"/>
      <c r="C1769" s="42"/>
      <c r="D1769" s="42"/>
      <c r="E1769" s="42"/>
      <c r="F1769" s="42"/>
      <c r="G1769" s="42"/>
      <c r="H1769" s="42"/>
      <c r="I1769" s="42"/>
      <c r="J1769" s="42"/>
      <c r="K1769" s="42"/>
      <c r="L1769" s="46"/>
      <c r="M1769" s="46"/>
      <c r="N1769" s="46"/>
      <c r="O1769" s="61"/>
      <c r="P1769" s="62"/>
      <c r="Q1769" s="46"/>
      <c r="R1769" s="47"/>
      <c r="S1769" s="62"/>
      <c r="T1769" s="62"/>
      <c r="U1769" s="46"/>
      <c r="V1769" s="61"/>
      <c r="W1769" s="62"/>
      <c r="X1769" s="47"/>
      <c r="Y1769" s="46"/>
      <c r="Z1769" s="46"/>
      <c r="AA1769" s="46"/>
      <c r="AB1769" s="49"/>
      <c r="AC1769" s="42"/>
      <c r="AD1769" s="42"/>
      <c r="AE1769" s="50"/>
      <c r="AF1769" s="42"/>
      <c r="AG1769" s="42"/>
      <c r="AH1769" s="42"/>
      <c r="AI1769" s="42" t="str">
        <f t="array" ref="AI1769">XLOOKUP($E1769,Sheet11!$D:$D,Sheet11!$X:$X,"",0)</f>
        <v/>
      </c>
      <c r="AJ1769" s="42" t="str">
        <f t="array" ref="AJ1769">XLOOKUP($E1769,Sheet11!$D:$D,Sheet11!$Y:$Y,"",0)</f>
        <v/>
      </c>
    </row>
    <row r="1770">
      <c r="A1770" s="23"/>
      <c r="B1770" s="42"/>
      <c r="C1770" s="42"/>
      <c r="D1770" s="42"/>
      <c r="E1770" s="42"/>
      <c r="F1770" s="42"/>
      <c r="G1770" s="42"/>
      <c r="H1770" s="42"/>
      <c r="I1770" s="42"/>
      <c r="J1770" s="42"/>
      <c r="K1770" s="42"/>
      <c r="L1770" s="46"/>
      <c r="M1770" s="46"/>
      <c r="N1770" s="46"/>
      <c r="O1770" s="61"/>
      <c r="P1770" s="62"/>
      <c r="Q1770" s="46"/>
      <c r="R1770" s="47"/>
      <c r="S1770" s="62"/>
      <c r="T1770" s="62"/>
      <c r="U1770" s="46"/>
      <c r="V1770" s="61"/>
      <c r="W1770" s="62"/>
      <c r="X1770" s="47"/>
      <c r="Y1770" s="46"/>
      <c r="Z1770" s="46"/>
      <c r="AA1770" s="46"/>
      <c r="AB1770" s="49"/>
      <c r="AC1770" s="42"/>
      <c r="AD1770" s="42"/>
      <c r="AE1770" s="50"/>
      <c r="AF1770" s="42"/>
      <c r="AG1770" s="42"/>
      <c r="AH1770" s="42"/>
      <c r="AI1770" s="42" t="str">
        <f t="array" ref="AI1770">XLOOKUP($E1770,Sheet11!$D:$D,Sheet11!$X:$X,"",0)</f>
        <v/>
      </c>
      <c r="AJ1770" s="42" t="str">
        <f t="array" ref="AJ1770">XLOOKUP($E1770,Sheet11!$D:$D,Sheet11!$Y:$Y,"",0)</f>
        <v/>
      </c>
    </row>
    <row r="1771">
      <c r="A1771" s="23"/>
      <c r="B1771" s="42"/>
      <c r="C1771" s="42"/>
      <c r="D1771" s="42"/>
      <c r="E1771" s="42"/>
      <c r="F1771" s="42"/>
      <c r="G1771" s="42"/>
      <c r="H1771" s="42"/>
      <c r="I1771" s="42"/>
      <c r="J1771" s="42"/>
      <c r="K1771" s="42"/>
      <c r="L1771" s="46"/>
      <c r="M1771" s="46"/>
      <c r="N1771" s="46"/>
      <c r="O1771" s="61"/>
      <c r="P1771" s="62"/>
      <c r="Q1771" s="46"/>
      <c r="R1771" s="47"/>
      <c r="S1771" s="62"/>
      <c r="T1771" s="62"/>
      <c r="U1771" s="46"/>
      <c r="V1771" s="61"/>
      <c r="W1771" s="62"/>
      <c r="X1771" s="47"/>
      <c r="Y1771" s="46"/>
      <c r="Z1771" s="46"/>
      <c r="AA1771" s="46"/>
      <c r="AB1771" s="49"/>
      <c r="AC1771" s="42"/>
      <c r="AD1771" s="42"/>
      <c r="AE1771" s="50"/>
      <c r="AF1771" s="42"/>
      <c r="AG1771" s="42"/>
      <c r="AH1771" s="42"/>
      <c r="AI1771" s="42" t="str">
        <f t="array" ref="AI1771">XLOOKUP($E1771,Sheet11!$D:$D,Sheet11!$X:$X,"",0)</f>
        <v/>
      </c>
      <c r="AJ1771" s="42" t="str">
        <f t="array" ref="AJ1771">XLOOKUP($E1771,Sheet11!$D:$D,Sheet11!$Y:$Y,"",0)</f>
        <v/>
      </c>
    </row>
    <row r="1772">
      <c r="A1772" s="23"/>
      <c r="B1772" s="42"/>
      <c r="C1772" s="42"/>
      <c r="D1772" s="42"/>
      <c r="E1772" s="42"/>
      <c r="F1772" s="42"/>
      <c r="G1772" s="42"/>
      <c r="H1772" s="42"/>
      <c r="I1772" s="42"/>
      <c r="J1772" s="42"/>
      <c r="K1772" s="42"/>
      <c r="L1772" s="46"/>
      <c r="M1772" s="46"/>
      <c r="N1772" s="46"/>
      <c r="O1772" s="61"/>
      <c r="P1772" s="62"/>
      <c r="Q1772" s="46"/>
      <c r="R1772" s="47"/>
      <c r="S1772" s="62"/>
      <c r="T1772" s="62"/>
      <c r="U1772" s="46"/>
      <c r="V1772" s="61"/>
      <c r="W1772" s="62"/>
      <c r="X1772" s="47"/>
      <c r="Y1772" s="46"/>
      <c r="Z1772" s="46"/>
      <c r="AA1772" s="46"/>
      <c r="AB1772" s="49"/>
      <c r="AC1772" s="42"/>
      <c r="AD1772" s="42"/>
      <c r="AE1772" s="50"/>
      <c r="AF1772" s="42"/>
      <c r="AG1772" s="42"/>
      <c r="AH1772" s="42"/>
      <c r="AI1772" s="42" t="str">
        <f t="array" ref="AI1772">XLOOKUP($E1772,Sheet11!$D:$D,Sheet11!$X:$X,"",0)</f>
        <v/>
      </c>
      <c r="AJ1772" s="42" t="str">
        <f t="array" ref="AJ1772">XLOOKUP($E1772,Sheet11!$D:$D,Sheet11!$Y:$Y,"",0)</f>
        <v/>
      </c>
    </row>
    <row r="1773">
      <c r="A1773" s="23"/>
      <c r="B1773" s="42"/>
      <c r="C1773" s="42"/>
      <c r="D1773" s="42"/>
      <c r="E1773" s="42"/>
      <c r="F1773" s="42"/>
      <c r="G1773" s="42"/>
      <c r="H1773" s="42"/>
      <c r="I1773" s="42"/>
      <c r="J1773" s="42"/>
      <c r="K1773" s="42"/>
      <c r="L1773" s="46"/>
      <c r="M1773" s="46"/>
      <c r="N1773" s="46"/>
      <c r="O1773" s="61"/>
      <c r="P1773" s="62"/>
      <c r="Q1773" s="46"/>
      <c r="R1773" s="47"/>
      <c r="S1773" s="62"/>
      <c r="T1773" s="62"/>
      <c r="U1773" s="46"/>
      <c r="V1773" s="61"/>
      <c r="W1773" s="62"/>
      <c r="X1773" s="47"/>
      <c r="Y1773" s="46"/>
      <c r="Z1773" s="46"/>
      <c r="AA1773" s="46"/>
      <c r="AB1773" s="49"/>
      <c r="AC1773" s="42"/>
      <c r="AD1773" s="42"/>
      <c r="AE1773" s="50"/>
      <c r="AF1773" s="42"/>
      <c r="AG1773" s="42"/>
      <c r="AH1773" s="42"/>
      <c r="AI1773" s="42" t="str">
        <f t="array" ref="AI1773">XLOOKUP($E1773,Sheet11!$D:$D,Sheet11!$X:$X,"",0)</f>
        <v/>
      </c>
      <c r="AJ1773" s="42" t="str">
        <f t="array" ref="AJ1773">XLOOKUP($E1773,Sheet11!$D:$D,Sheet11!$Y:$Y,"",0)</f>
        <v/>
      </c>
    </row>
    <row r="1774">
      <c r="A1774" s="23"/>
      <c r="B1774" s="42"/>
      <c r="C1774" s="42"/>
      <c r="D1774" s="42"/>
      <c r="E1774" s="42"/>
      <c r="F1774" s="42"/>
      <c r="G1774" s="42"/>
      <c r="H1774" s="42"/>
      <c r="I1774" s="42"/>
      <c r="J1774" s="42"/>
      <c r="K1774" s="42"/>
      <c r="L1774" s="46"/>
      <c r="M1774" s="46"/>
      <c r="N1774" s="46"/>
      <c r="O1774" s="61"/>
      <c r="P1774" s="62"/>
      <c r="Q1774" s="46"/>
      <c r="R1774" s="47"/>
      <c r="S1774" s="62"/>
      <c r="T1774" s="62"/>
      <c r="U1774" s="46"/>
      <c r="V1774" s="61"/>
      <c r="W1774" s="62"/>
      <c r="X1774" s="47"/>
      <c r="Y1774" s="46"/>
      <c r="Z1774" s="46"/>
      <c r="AA1774" s="46"/>
      <c r="AB1774" s="49"/>
      <c r="AC1774" s="42"/>
      <c r="AD1774" s="42"/>
      <c r="AE1774" s="50"/>
      <c r="AF1774" s="42"/>
      <c r="AG1774" s="42"/>
      <c r="AH1774" s="42"/>
      <c r="AI1774" s="42" t="str">
        <f t="array" ref="AI1774">XLOOKUP($E1774,Sheet11!$D:$D,Sheet11!$X:$X,"",0)</f>
        <v/>
      </c>
      <c r="AJ1774" s="42" t="str">
        <f t="array" ref="AJ1774">XLOOKUP($E1774,Sheet11!$D:$D,Sheet11!$Y:$Y,"",0)</f>
        <v/>
      </c>
    </row>
    <row r="1775">
      <c r="A1775" s="23"/>
      <c r="B1775" s="42"/>
      <c r="C1775" s="42"/>
      <c r="D1775" s="42"/>
      <c r="E1775" s="42"/>
      <c r="F1775" s="42"/>
      <c r="G1775" s="42"/>
      <c r="H1775" s="42"/>
      <c r="I1775" s="42"/>
      <c r="J1775" s="42"/>
      <c r="K1775" s="42"/>
      <c r="L1775" s="46"/>
      <c r="M1775" s="46"/>
      <c r="N1775" s="46"/>
      <c r="O1775" s="61"/>
      <c r="P1775" s="62"/>
      <c r="Q1775" s="46"/>
      <c r="R1775" s="47"/>
      <c r="S1775" s="62"/>
      <c r="T1775" s="62"/>
      <c r="U1775" s="46"/>
      <c r="V1775" s="61"/>
      <c r="W1775" s="62"/>
      <c r="X1775" s="47"/>
      <c r="Y1775" s="46"/>
      <c r="Z1775" s="46"/>
      <c r="AA1775" s="46"/>
      <c r="AB1775" s="49"/>
      <c r="AC1775" s="42"/>
      <c r="AD1775" s="42"/>
      <c r="AE1775" s="50"/>
      <c r="AF1775" s="42"/>
      <c r="AG1775" s="42"/>
      <c r="AH1775" s="42"/>
      <c r="AI1775" s="42" t="str">
        <f t="array" ref="AI1775">XLOOKUP($E1775,Sheet11!$D:$D,Sheet11!$X:$X,"",0)</f>
        <v/>
      </c>
      <c r="AJ1775" s="42" t="str">
        <f t="array" ref="AJ1775">XLOOKUP($E1775,Sheet11!$D:$D,Sheet11!$Y:$Y,"",0)</f>
        <v/>
      </c>
    </row>
    <row r="1776">
      <c r="A1776" s="23"/>
      <c r="B1776" s="42"/>
      <c r="C1776" s="42"/>
      <c r="D1776" s="42"/>
      <c r="E1776" s="42"/>
      <c r="F1776" s="42"/>
      <c r="G1776" s="42"/>
      <c r="H1776" s="42"/>
      <c r="I1776" s="42"/>
      <c r="J1776" s="42"/>
      <c r="K1776" s="42"/>
      <c r="L1776" s="46"/>
      <c r="M1776" s="46"/>
      <c r="N1776" s="46"/>
      <c r="O1776" s="61"/>
      <c r="P1776" s="62"/>
      <c r="Q1776" s="46"/>
      <c r="R1776" s="47"/>
      <c r="S1776" s="62"/>
      <c r="T1776" s="62"/>
      <c r="U1776" s="46"/>
      <c r="V1776" s="61"/>
      <c r="W1776" s="62"/>
      <c r="X1776" s="47"/>
      <c r="Y1776" s="46"/>
      <c r="Z1776" s="46"/>
      <c r="AA1776" s="46"/>
      <c r="AB1776" s="49"/>
      <c r="AC1776" s="42"/>
      <c r="AD1776" s="42"/>
      <c r="AE1776" s="50"/>
      <c r="AF1776" s="42"/>
      <c r="AG1776" s="42"/>
      <c r="AH1776" s="42"/>
      <c r="AI1776" s="42" t="str">
        <f t="array" ref="AI1776">XLOOKUP($E1776,Sheet11!$D:$D,Sheet11!$X:$X,"",0)</f>
        <v/>
      </c>
      <c r="AJ1776" s="42" t="str">
        <f t="array" ref="AJ1776">XLOOKUP($E1776,Sheet11!$D:$D,Sheet11!$Y:$Y,"",0)</f>
        <v/>
      </c>
    </row>
    <row r="1777">
      <c r="A1777" s="23"/>
      <c r="B1777" s="42"/>
      <c r="C1777" s="42"/>
      <c r="D1777" s="42"/>
      <c r="E1777" s="42"/>
      <c r="F1777" s="42"/>
      <c r="G1777" s="42"/>
      <c r="H1777" s="42"/>
      <c r="I1777" s="42"/>
      <c r="J1777" s="42"/>
      <c r="K1777" s="42"/>
      <c r="L1777" s="46"/>
      <c r="M1777" s="46"/>
      <c r="N1777" s="46"/>
      <c r="O1777" s="61"/>
      <c r="P1777" s="62"/>
      <c r="Q1777" s="46"/>
      <c r="R1777" s="47"/>
      <c r="S1777" s="62"/>
      <c r="T1777" s="62"/>
      <c r="U1777" s="46"/>
      <c r="V1777" s="61"/>
      <c r="W1777" s="62"/>
      <c r="X1777" s="47"/>
      <c r="Y1777" s="46"/>
      <c r="Z1777" s="46"/>
      <c r="AA1777" s="46"/>
      <c r="AB1777" s="49"/>
      <c r="AC1777" s="42"/>
      <c r="AD1777" s="42"/>
      <c r="AE1777" s="50"/>
      <c r="AF1777" s="42"/>
      <c r="AG1777" s="42"/>
      <c r="AH1777" s="42"/>
      <c r="AI1777" s="42" t="str">
        <f t="array" ref="AI1777">XLOOKUP($E1777,Sheet11!$D:$D,Sheet11!$X:$X,"",0)</f>
        <v/>
      </c>
      <c r="AJ1777" s="42" t="str">
        <f t="array" ref="AJ1777">XLOOKUP($E1777,Sheet11!$D:$D,Sheet11!$Y:$Y,"",0)</f>
        <v/>
      </c>
    </row>
    <row r="1778">
      <c r="A1778" s="23"/>
      <c r="B1778" s="42"/>
      <c r="C1778" s="42"/>
      <c r="D1778" s="42"/>
      <c r="E1778" s="42"/>
      <c r="F1778" s="42"/>
      <c r="G1778" s="42"/>
      <c r="H1778" s="42"/>
      <c r="I1778" s="42"/>
      <c r="J1778" s="42"/>
      <c r="K1778" s="42"/>
      <c r="L1778" s="46"/>
      <c r="M1778" s="46"/>
      <c r="N1778" s="46"/>
      <c r="O1778" s="61"/>
      <c r="P1778" s="62"/>
      <c r="Q1778" s="46"/>
      <c r="R1778" s="47"/>
      <c r="S1778" s="62"/>
      <c r="T1778" s="62"/>
      <c r="U1778" s="46"/>
      <c r="V1778" s="61"/>
      <c r="W1778" s="62"/>
      <c r="X1778" s="47"/>
      <c r="Y1778" s="46"/>
      <c r="Z1778" s="46"/>
      <c r="AA1778" s="46"/>
      <c r="AB1778" s="49"/>
      <c r="AC1778" s="42"/>
      <c r="AD1778" s="42"/>
      <c r="AE1778" s="50"/>
      <c r="AF1778" s="42"/>
      <c r="AG1778" s="42"/>
      <c r="AH1778" s="42"/>
      <c r="AI1778" s="42" t="str">
        <f t="array" ref="AI1778">XLOOKUP($E1778,Sheet11!$D:$D,Sheet11!$X:$X,"",0)</f>
        <v/>
      </c>
      <c r="AJ1778" s="42" t="str">
        <f t="array" ref="AJ1778">XLOOKUP($E1778,Sheet11!$D:$D,Sheet11!$Y:$Y,"",0)</f>
        <v/>
      </c>
    </row>
    <row r="1779">
      <c r="A1779" s="23"/>
      <c r="B1779" s="42"/>
      <c r="C1779" s="42"/>
      <c r="D1779" s="42"/>
      <c r="E1779" s="42"/>
      <c r="F1779" s="42"/>
      <c r="G1779" s="42"/>
      <c r="H1779" s="42"/>
      <c r="I1779" s="42"/>
      <c r="J1779" s="42"/>
      <c r="K1779" s="42"/>
      <c r="L1779" s="46"/>
      <c r="M1779" s="46"/>
      <c r="N1779" s="46"/>
      <c r="O1779" s="61"/>
      <c r="P1779" s="62"/>
      <c r="Q1779" s="46"/>
      <c r="R1779" s="47"/>
      <c r="S1779" s="62"/>
      <c r="T1779" s="62"/>
      <c r="U1779" s="46"/>
      <c r="V1779" s="61"/>
      <c r="W1779" s="62"/>
      <c r="X1779" s="47"/>
      <c r="Y1779" s="46"/>
      <c r="Z1779" s="46"/>
      <c r="AA1779" s="46"/>
      <c r="AB1779" s="49"/>
      <c r="AC1779" s="42"/>
      <c r="AD1779" s="42"/>
      <c r="AE1779" s="50"/>
      <c r="AF1779" s="42"/>
      <c r="AG1779" s="42"/>
      <c r="AH1779" s="42"/>
      <c r="AI1779" s="42" t="str">
        <f t="array" ref="AI1779">XLOOKUP($E1779,Sheet11!$D:$D,Sheet11!$X:$X,"",0)</f>
        <v/>
      </c>
      <c r="AJ1779" s="42" t="str">
        <f t="array" ref="AJ1779">XLOOKUP($E1779,Sheet11!$D:$D,Sheet11!$Y:$Y,"",0)</f>
        <v/>
      </c>
    </row>
    <row r="1780">
      <c r="A1780" s="23"/>
      <c r="B1780" s="42"/>
      <c r="C1780" s="42"/>
      <c r="D1780" s="42"/>
      <c r="E1780" s="42"/>
      <c r="F1780" s="42"/>
      <c r="G1780" s="42"/>
      <c r="H1780" s="42"/>
      <c r="I1780" s="42"/>
      <c r="J1780" s="42"/>
      <c r="K1780" s="42"/>
      <c r="L1780" s="46"/>
      <c r="M1780" s="46"/>
      <c r="N1780" s="46"/>
      <c r="O1780" s="61"/>
      <c r="P1780" s="62"/>
      <c r="Q1780" s="46"/>
      <c r="R1780" s="47"/>
      <c r="S1780" s="62"/>
      <c r="T1780" s="62"/>
      <c r="U1780" s="46"/>
      <c r="V1780" s="61"/>
      <c r="W1780" s="62"/>
      <c r="X1780" s="47"/>
      <c r="Y1780" s="46"/>
      <c r="Z1780" s="46"/>
      <c r="AA1780" s="46"/>
      <c r="AB1780" s="49"/>
      <c r="AC1780" s="42"/>
      <c r="AD1780" s="42"/>
      <c r="AE1780" s="50"/>
      <c r="AF1780" s="42"/>
      <c r="AG1780" s="42"/>
      <c r="AH1780" s="42"/>
      <c r="AI1780" s="42" t="str">
        <f t="array" ref="AI1780">XLOOKUP($E1780,Sheet11!$D:$D,Sheet11!$X:$X,"",0)</f>
        <v/>
      </c>
      <c r="AJ1780" s="42" t="str">
        <f t="array" ref="AJ1780">XLOOKUP($E1780,Sheet11!$D:$D,Sheet11!$Y:$Y,"",0)</f>
        <v/>
      </c>
    </row>
    <row r="1781">
      <c r="A1781" s="23"/>
      <c r="B1781" s="42"/>
      <c r="C1781" s="42"/>
      <c r="D1781" s="42"/>
      <c r="E1781" s="42"/>
      <c r="F1781" s="42"/>
      <c r="G1781" s="42"/>
      <c r="H1781" s="42"/>
      <c r="I1781" s="42"/>
      <c r="J1781" s="42"/>
      <c r="K1781" s="42"/>
      <c r="L1781" s="46"/>
      <c r="M1781" s="46"/>
      <c r="N1781" s="46"/>
      <c r="O1781" s="61"/>
      <c r="P1781" s="62"/>
      <c r="Q1781" s="46"/>
      <c r="R1781" s="47"/>
      <c r="S1781" s="62"/>
      <c r="T1781" s="62"/>
      <c r="U1781" s="46"/>
      <c r="V1781" s="61"/>
      <c r="W1781" s="62"/>
      <c r="X1781" s="47"/>
      <c r="Y1781" s="46"/>
      <c r="Z1781" s="46"/>
      <c r="AA1781" s="46"/>
      <c r="AB1781" s="49"/>
      <c r="AC1781" s="42"/>
      <c r="AD1781" s="42"/>
      <c r="AE1781" s="50"/>
      <c r="AF1781" s="42"/>
      <c r="AG1781" s="42"/>
      <c r="AH1781" s="42"/>
      <c r="AI1781" s="42" t="str">
        <f t="array" ref="AI1781">XLOOKUP($E1781,Sheet11!$D:$D,Sheet11!$X:$X,"",0)</f>
        <v/>
      </c>
      <c r="AJ1781" s="42" t="str">
        <f t="array" ref="AJ1781">XLOOKUP($E1781,Sheet11!$D:$D,Sheet11!$Y:$Y,"",0)</f>
        <v/>
      </c>
    </row>
    <row r="1782">
      <c r="A1782" s="23"/>
      <c r="B1782" s="42"/>
      <c r="C1782" s="42"/>
      <c r="D1782" s="42"/>
      <c r="E1782" s="42"/>
      <c r="F1782" s="42"/>
      <c r="G1782" s="42"/>
      <c r="H1782" s="42"/>
      <c r="I1782" s="42"/>
      <c r="J1782" s="42"/>
      <c r="K1782" s="42"/>
      <c r="L1782" s="46"/>
      <c r="M1782" s="46"/>
      <c r="N1782" s="46"/>
      <c r="O1782" s="61"/>
      <c r="P1782" s="62"/>
      <c r="Q1782" s="46"/>
      <c r="R1782" s="47"/>
      <c r="S1782" s="62"/>
      <c r="T1782" s="62"/>
      <c r="U1782" s="46"/>
      <c r="V1782" s="61"/>
      <c r="W1782" s="62"/>
      <c r="X1782" s="47"/>
      <c r="Y1782" s="46"/>
      <c r="Z1782" s="46"/>
      <c r="AA1782" s="46"/>
      <c r="AB1782" s="49"/>
      <c r="AC1782" s="42"/>
      <c r="AD1782" s="42"/>
      <c r="AE1782" s="50"/>
      <c r="AF1782" s="42"/>
      <c r="AG1782" s="42"/>
      <c r="AH1782" s="42"/>
      <c r="AI1782" s="42" t="str">
        <f t="array" ref="AI1782">XLOOKUP($E1782,Sheet11!$D:$D,Sheet11!$X:$X,"",0)</f>
        <v/>
      </c>
      <c r="AJ1782" s="42" t="str">
        <f t="array" ref="AJ1782">XLOOKUP($E1782,Sheet11!$D:$D,Sheet11!$Y:$Y,"",0)</f>
        <v/>
      </c>
    </row>
    <row r="1783">
      <c r="A1783" s="23"/>
      <c r="B1783" s="42"/>
      <c r="C1783" s="42"/>
      <c r="D1783" s="42"/>
      <c r="E1783" s="42"/>
      <c r="F1783" s="42"/>
      <c r="G1783" s="42"/>
      <c r="H1783" s="42"/>
      <c r="I1783" s="42"/>
      <c r="J1783" s="42"/>
      <c r="K1783" s="42"/>
      <c r="L1783" s="46"/>
      <c r="M1783" s="46"/>
      <c r="N1783" s="46"/>
      <c r="O1783" s="61"/>
      <c r="P1783" s="62"/>
      <c r="Q1783" s="46"/>
      <c r="R1783" s="47"/>
      <c r="S1783" s="62"/>
      <c r="T1783" s="62"/>
      <c r="U1783" s="46"/>
      <c r="V1783" s="61"/>
      <c r="W1783" s="62"/>
      <c r="X1783" s="47"/>
      <c r="Y1783" s="46"/>
      <c r="Z1783" s="46"/>
      <c r="AA1783" s="46"/>
      <c r="AB1783" s="49"/>
      <c r="AC1783" s="42"/>
      <c r="AD1783" s="42"/>
      <c r="AE1783" s="50"/>
      <c r="AF1783" s="42"/>
      <c r="AG1783" s="42"/>
      <c r="AH1783" s="42"/>
      <c r="AI1783" s="42" t="str">
        <f t="array" ref="AI1783">XLOOKUP($E1783,Sheet11!$D:$D,Sheet11!$X:$X,"",0)</f>
        <v/>
      </c>
      <c r="AJ1783" s="42" t="str">
        <f t="array" ref="AJ1783">XLOOKUP($E1783,Sheet11!$D:$D,Sheet11!$Y:$Y,"",0)</f>
        <v/>
      </c>
    </row>
    <row r="1784">
      <c r="A1784" s="23"/>
      <c r="B1784" s="42"/>
      <c r="C1784" s="42"/>
      <c r="D1784" s="42"/>
      <c r="E1784" s="42"/>
      <c r="F1784" s="42"/>
      <c r="G1784" s="42"/>
      <c r="H1784" s="42"/>
      <c r="I1784" s="42"/>
      <c r="J1784" s="42"/>
      <c r="K1784" s="42"/>
      <c r="L1784" s="46"/>
      <c r="M1784" s="46"/>
      <c r="N1784" s="46"/>
      <c r="O1784" s="61"/>
      <c r="P1784" s="62"/>
      <c r="Q1784" s="46"/>
      <c r="R1784" s="47"/>
      <c r="S1784" s="62"/>
      <c r="T1784" s="62"/>
      <c r="U1784" s="46"/>
      <c r="V1784" s="61"/>
      <c r="W1784" s="62"/>
      <c r="X1784" s="47"/>
      <c r="Y1784" s="46"/>
      <c r="Z1784" s="46"/>
      <c r="AA1784" s="46"/>
      <c r="AB1784" s="49"/>
      <c r="AC1784" s="42"/>
      <c r="AD1784" s="42"/>
      <c r="AE1784" s="50"/>
      <c r="AF1784" s="42"/>
      <c r="AG1784" s="42"/>
      <c r="AH1784" s="42"/>
      <c r="AI1784" s="42" t="str">
        <f t="array" ref="AI1784">XLOOKUP($E1784,Sheet11!$D:$D,Sheet11!$X:$X,"",0)</f>
        <v/>
      </c>
      <c r="AJ1784" s="42" t="str">
        <f t="array" ref="AJ1784">XLOOKUP($E1784,Sheet11!$D:$D,Sheet11!$Y:$Y,"",0)</f>
        <v/>
      </c>
    </row>
    <row r="1785">
      <c r="A1785" s="23"/>
      <c r="B1785" s="42"/>
      <c r="C1785" s="42"/>
      <c r="D1785" s="42"/>
      <c r="E1785" s="42"/>
      <c r="F1785" s="42"/>
      <c r="G1785" s="42"/>
      <c r="H1785" s="42"/>
      <c r="I1785" s="42"/>
      <c r="J1785" s="42"/>
      <c r="K1785" s="42"/>
      <c r="L1785" s="46"/>
      <c r="M1785" s="46"/>
      <c r="N1785" s="46"/>
      <c r="O1785" s="61"/>
      <c r="P1785" s="62"/>
      <c r="Q1785" s="46"/>
      <c r="R1785" s="47"/>
      <c r="S1785" s="62"/>
      <c r="T1785" s="62"/>
      <c r="U1785" s="46"/>
      <c r="V1785" s="61"/>
      <c r="W1785" s="62"/>
      <c r="X1785" s="47"/>
      <c r="Y1785" s="46"/>
      <c r="Z1785" s="46"/>
      <c r="AA1785" s="46"/>
      <c r="AB1785" s="49"/>
      <c r="AC1785" s="42"/>
      <c r="AD1785" s="42"/>
      <c r="AE1785" s="50"/>
      <c r="AF1785" s="42"/>
      <c r="AG1785" s="42"/>
      <c r="AH1785" s="42"/>
      <c r="AI1785" s="42" t="str">
        <f t="array" ref="AI1785">XLOOKUP($E1785,Sheet11!$D:$D,Sheet11!$X:$X,"",0)</f>
        <v/>
      </c>
      <c r="AJ1785" s="42" t="str">
        <f t="array" ref="AJ1785">XLOOKUP($E1785,Sheet11!$D:$D,Sheet11!$Y:$Y,"",0)</f>
        <v/>
      </c>
    </row>
    <row r="1786">
      <c r="A1786" s="23"/>
      <c r="B1786" s="42"/>
      <c r="C1786" s="42"/>
      <c r="D1786" s="42"/>
      <c r="E1786" s="42"/>
      <c r="F1786" s="42"/>
      <c r="G1786" s="42"/>
      <c r="H1786" s="42"/>
      <c r="I1786" s="42"/>
      <c r="J1786" s="42"/>
      <c r="K1786" s="42"/>
      <c r="L1786" s="46"/>
      <c r="M1786" s="46"/>
      <c r="N1786" s="46"/>
      <c r="O1786" s="61"/>
      <c r="P1786" s="62"/>
      <c r="Q1786" s="46"/>
      <c r="R1786" s="47"/>
      <c r="S1786" s="62"/>
      <c r="T1786" s="62"/>
      <c r="U1786" s="46"/>
      <c r="V1786" s="61"/>
      <c r="W1786" s="62"/>
      <c r="X1786" s="47"/>
      <c r="Y1786" s="46"/>
      <c r="Z1786" s="46"/>
      <c r="AA1786" s="46"/>
      <c r="AB1786" s="49"/>
      <c r="AC1786" s="42"/>
      <c r="AD1786" s="42"/>
      <c r="AE1786" s="50"/>
      <c r="AF1786" s="42"/>
      <c r="AG1786" s="42"/>
      <c r="AH1786" s="42"/>
      <c r="AI1786" s="42" t="str">
        <f t="array" ref="AI1786">XLOOKUP($E1786,Sheet11!$D:$D,Sheet11!$X:$X,"",0)</f>
        <v/>
      </c>
      <c r="AJ1786" s="42" t="str">
        <f t="array" ref="AJ1786">XLOOKUP($E1786,Sheet11!$D:$D,Sheet11!$Y:$Y,"",0)</f>
        <v/>
      </c>
    </row>
    <row r="1787">
      <c r="A1787" s="23"/>
      <c r="B1787" s="42"/>
      <c r="C1787" s="42"/>
      <c r="D1787" s="42"/>
      <c r="E1787" s="42"/>
      <c r="F1787" s="42"/>
      <c r="G1787" s="42"/>
      <c r="H1787" s="42"/>
      <c r="I1787" s="42"/>
      <c r="J1787" s="42"/>
      <c r="K1787" s="42"/>
      <c r="L1787" s="46"/>
      <c r="M1787" s="46"/>
      <c r="N1787" s="46"/>
      <c r="O1787" s="61"/>
      <c r="P1787" s="62"/>
      <c r="Q1787" s="46"/>
      <c r="R1787" s="47"/>
      <c r="S1787" s="62"/>
      <c r="T1787" s="62"/>
      <c r="U1787" s="46"/>
      <c r="V1787" s="61"/>
      <c r="W1787" s="62"/>
      <c r="X1787" s="47"/>
      <c r="Y1787" s="46"/>
      <c r="Z1787" s="46"/>
      <c r="AA1787" s="46"/>
      <c r="AB1787" s="49"/>
      <c r="AC1787" s="42"/>
      <c r="AD1787" s="42"/>
      <c r="AE1787" s="50"/>
      <c r="AF1787" s="42"/>
      <c r="AG1787" s="42"/>
      <c r="AH1787" s="42"/>
      <c r="AI1787" s="42" t="str">
        <f t="array" ref="AI1787">XLOOKUP($E1787,Sheet11!$D:$D,Sheet11!$X:$X,"",0)</f>
        <v/>
      </c>
      <c r="AJ1787" s="42" t="str">
        <f t="array" ref="AJ1787">XLOOKUP($E1787,Sheet11!$D:$D,Sheet11!$Y:$Y,"",0)</f>
        <v/>
      </c>
    </row>
    <row r="1788">
      <c r="A1788" s="23"/>
      <c r="B1788" s="42"/>
      <c r="C1788" s="42"/>
      <c r="D1788" s="42"/>
      <c r="E1788" s="42"/>
      <c r="F1788" s="42"/>
      <c r="G1788" s="42"/>
      <c r="H1788" s="42"/>
      <c r="I1788" s="42"/>
      <c r="J1788" s="42"/>
      <c r="K1788" s="42"/>
      <c r="L1788" s="46"/>
      <c r="M1788" s="46"/>
      <c r="N1788" s="46"/>
      <c r="O1788" s="61"/>
      <c r="P1788" s="62"/>
      <c r="Q1788" s="46"/>
      <c r="R1788" s="47"/>
      <c r="S1788" s="62"/>
      <c r="T1788" s="62"/>
      <c r="U1788" s="46"/>
      <c r="V1788" s="61"/>
      <c r="W1788" s="62"/>
      <c r="X1788" s="47"/>
      <c r="Y1788" s="46"/>
      <c r="Z1788" s="46"/>
      <c r="AA1788" s="46"/>
      <c r="AB1788" s="49"/>
      <c r="AC1788" s="42"/>
      <c r="AD1788" s="42"/>
      <c r="AE1788" s="50"/>
      <c r="AF1788" s="42"/>
      <c r="AG1788" s="42"/>
      <c r="AH1788" s="42"/>
      <c r="AI1788" s="42" t="str">
        <f t="array" ref="AI1788">XLOOKUP($E1788,Sheet11!$D:$D,Sheet11!$X:$X,"",0)</f>
        <v/>
      </c>
      <c r="AJ1788" s="42" t="str">
        <f t="array" ref="AJ1788">XLOOKUP($E1788,Sheet11!$D:$D,Sheet11!$Y:$Y,"",0)</f>
        <v/>
      </c>
    </row>
    <row r="1789">
      <c r="A1789" s="23"/>
      <c r="B1789" s="42"/>
      <c r="C1789" s="42"/>
      <c r="D1789" s="42"/>
      <c r="E1789" s="42"/>
      <c r="F1789" s="42"/>
      <c r="G1789" s="42"/>
      <c r="H1789" s="42"/>
      <c r="I1789" s="42"/>
      <c r="J1789" s="42"/>
      <c r="K1789" s="42"/>
      <c r="L1789" s="46"/>
      <c r="M1789" s="46"/>
      <c r="N1789" s="46"/>
      <c r="O1789" s="61"/>
      <c r="P1789" s="62"/>
      <c r="Q1789" s="46"/>
      <c r="R1789" s="47"/>
      <c r="S1789" s="62"/>
      <c r="T1789" s="62"/>
      <c r="U1789" s="46"/>
      <c r="V1789" s="61"/>
      <c r="W1789" s="62"/>
      <c r="X1789" s="47"/>
      <c r="Y1789" s="46"/>
      <c r="Z1789" s="46"/>
      <c r="AA1789" s="46"/>
      <c r="AB1789" s="49"/>
      <c r="AC1789" s="42"/>
      <c r="AD1789" s="42"/>
      <c r="AE1789" s="50"/>
      <c r="AF1789" s="42"/>
      <c r="AG1789" s="42"/>
      <c r="AH1789" s="42"/>
      <c r="AI1789" s="42" t="str">
        <f t="array" ref="AI1789">XLOOKUP($E1789,Sheet11!$D:$D,Sheet11!$X:$X,"",0)</f>
        <v/>
      </c>
      <c r="AJ1789" s="42" t="str">
        <f t="array" ref="AJ1789">XLOOKUP($E1789,Sheet11!$D:$D,Sheet11!$Y:$Y,"",0)</f>
        <v/>
      </c>
    </row>
    <row r="1790">
      <c r="A1790" s="23"/>
      <c r="B1790" s="42"/>
      <c r="C1790" s="42"/>
      <c r="D1790" s="42"/>
      <c r="E1790" s="42"/>
      <c r="F1790" s="42"/>
      <c r="G1790" s="42"/>
      <c r="H1790" s="42"/>
      <c r="I1790" s="42"/>
      <c r="J1790" s="42"/>
      <c r="K1790" s="42"/>
      <c r="L1790" s="46"/>
      <c r="M1790" s="46"/>
      <c r="N1790" s="46"/>
      <c r="O1790" s="61"/>
      <c r="P1790" s="62"/>
      <c r="Q1790" s="46"/>
      <c r="R1790" s="47"/>
      <c r="S1790" s="62"/>
      <c r="T1790" s="62"/>
      <c r="U1790" s="46"/>
      <c r="V1790" s="61"/>
      <c r="W1790" s="62"/>
      <c r="X1790" s="47"/>
      <c r="Y1790" s="46"/>
      <c r="Z1790" s="46"/>
      <c r="AA1790" s="46"/>
      <c r="AB1790" s="49"/>
      <c r="AC1790" s="42"/>
      <c r="AD1790" s="42"/>
      <c r="AE1790" s="50"/>
      <c r="AF1790" s="42"/>
      <c r="AG1790" s="42"/>
      <c r="AH1790" s="42"/>
      <c r="AI1790" s="42" t="str">
        <f t="array" ref="AI1790">XLOOKUP($E1790,Sheet11!$D:$D,Sheet11!$X:$X,"",0)</f>
        <v/>
      </c>
      <c r="AJ1790" s="42" t="str">
        <f t="array" ref="AJ1790">XLOOKUP($E1790,Sheet11!$D:$D,Sheet11!$Y:$Y,"",0)</f>
        <v/>
      </c>
    </row>
    <row r="1791">
      <c r="A1791" s="23"/>
      <c r="B1791" s="42"/>
      <c r="C1791" s="42"/>
      <c r="D1791" s="42"/>
      <c r="E1791" s="42"/>
      <c r="F1791" s="42"/>
      <c r="G1791" s="42"/>
      <c r="H1791" s="42"/>
      <c r="I1791" s="42"/>
      <c r="J1791" s="42"/>
      <c r="K1791" s="42"/>
      <c r="L1791" s="46"/>
      <c r="M1791" s="46"/>
      <c r="N1791" s="46"/>
      <c r="O1791" s="61"/>
      <c r="P1791" s="62"/>
      <c r="Q1791" s="46"/>
      <c r="R1791" s="47"/>
      <c r="S1791" s="62"/>
      <c r="T1791" s="62"/>
      <c r="U1791" s="46"/>
      <c r="V1791" s="61"/>
      <c r="W1791" s="62"/>
      <c r="X1791" s="47"/>
      <c r="Y1791" s="46"/>
      <c r="Z1791" s="46"/>
      <c r="AA1791" s="46"/>
      <c r="AB1791" s="49"/>
      <c r="AC1791" s="42"/>
      <c r="AD1791" s="42"/>
      <c r="AE1791" s="50"/>
      <c r="AF1791" s="42"/>
      <c r="AG1791" s="42"/>
      <c r="AH1791" s="42"/>
      <c r="AI1791" s="42" t="str">
        <f t="array" ref="AI1791">XLOOKUP($E1791,Sheet11!$D:$D,Sheet11!$X:$X,"",0)</f>
        <v/>
      </c>
      <c r="AJ1791" s="42" t="str">
        <f t="array" ref="AJ1791">XLOOKUP($E1791,Sheet11!$D:$D,Sheet11!$Y:$Y,"",0)</f>
        <v/>
      </c>
    </row>
    <row r="1792">
      <c r="A1792" s="23"/>
      <c r="B1792" s="42"/>
      <c r="C1792" s="42"/>
      <c r="D1792" s="42"/>
      <c r="E1792" s="42"/>
      <c r="F1792" s="42"/>
      <c r="G1792" s="42"/>
      <c r="H1792" s="42"/>
      <c r="I1792" s="42"/>
      <c r="J1792" s="42"/>
      <c r="K1792" s="42"/>
      <c r="L1792" s="46"/>
      <c r="M1792" s="46"/>
      <c r="N1792" s="46"/>
      <c r="O1792" s="61"/>
      <c r="P1792" s="62"/>
      <c r="Q1792" s="46"/>
      <c r="R1792" s="47"/>
      <c r="S1792" s="62"/>
      <c r="T1792" s="62"/>
      <c r="U1792" s="46"/>
      <c r="V1792" s="61"/>
      <c r="W1792" s="62"/>
      <c r="X1792" s="47"/>
      <c r="Y1792" s="46"/>
      <c r="Z1792" s="46"/>
      <c r="AA1792" s="46"/>
      <c r="AB1792" s="49"/>
      <c r="AC1792" s="42"/>
      <c r="AD1792" s="42"/>
      <c r="AE1792" s="50"/>
      <c r="AF1792" s="42"/>
      <c r="AG1792" s="42"/>
      <c r="AH1792" s="42"/>
      <c r="AI1792" s="42" t="str">
        <f t="array" ref="AI1792">XLOOKUP($E1792,Sheet11!$D:$D,Sheet11!$X:$X,"",0)</f>
        <v/>
      </c>
      <c r="AJ1792" s="42" t="str">
        <f t="array" ref="AJ1792">XLOOKUP($E1792,Sheet11!$D:$D,Sheet11!$Y:$Y,"",0)</f>
        <v/>
      </c>
    </row>
    <row r="1793">
      <c r="A1793" s="23"/>
      <c r="B1793" s="42"/>
      <c r="C1793" s="42"/>
      <c r="D1793" s="42"/>
      <c r="E1793" s="42"/>
      <c r="F1793" s="42"/>
      <c r="G1793" s="42"/>
      <c r="H1793" s="42"/>
      <c r="I1793" s="42"/>
      <c r="J1793" s="42"/>
      <c r="K1793" s="42"/>
      <c r="L1793" s="46"/>
      <c r="M1793" s="46"/>
      <c r="N1793" s="46"/>
      <c r="O1793" s="61"/>
      <c r="P1793" s="62"/>
      <c r="Q1793" s="46"/>
      <c r="R1793" s="47"/>
      <c r="S1793" s="62"/>
      <c r="T1793" s="62"/>
      <c r="U1793" s="46"/>
      <c r="V1793" s="61"/>
      <c r="W1793" s="62"/>
      <c r="X1793" s="47"/>
      <c r="Y1793" s="46"/>
      <c r="Z1793" s="46"/>
      <c r="AA1793" s="46"/>
      <c r="AB1793" s="49"/>
      <c r="AC1793" s="42"/>
      <c r="AD1793" s="42"/>
      <c r="AE1793" s="50"/>
      <c r="AF1793" s="42"/>
      <c r="AG1793" s="42"/>
      <c r="AH1793" s="42"/>
      <c r="AI1793" s="42" t="str">
        <f t="array" ref="AI1793">XLOOKUP($E1793,Sheet11!$D:$D,Sheet11!$X:$X,"",0)</f>
        <v/>
      </c>
      <c r="AJ1793" s="42" t="str">
        <f t="array" ref="AJ1793">XLOOKUP($E1793,Sheet11!$D:$D,Sheet11!$Y:$Y,"",0)</f>
        <v/>
      </c>
    </row>
    <row r="1794">
      <c r="A1794" s="23"/>
      <c r="B1794" s="42"/>
      <c r="C1794" s="42"/>
      <c r="D1794" s="42"/>
      <c r="E1794" s="42"/>
      <c r="F1794" s="42"/>
      <c r="G1794" s="42"/>
      <c r="H1794" s="42"/>
      <c r="I1794" s="42"/>
      <c r="J1794" s="42"/>
      <c r="K1794" s="42"/>
      <c r="L1794" s="46"/>
      <c r="M1794" s="46"/>
      <c r="N1794" s="46"/>
      <c r="O1794" s="61"/>
      <c r="P1794" s="62"/>
      <c r="Q1794" s="46"/>
      <c r="R1794" s="47"/>
      <c r="S1794" s="62"/>
      <c r="T1794" s="62"/>
      <c r="U1794" s="46"/>
      <c r="V1794" s="61"/>
      <c r="W1794" s="62"/>
      <c r="X1794" s="47"/>
      <c r="Y1794" s="46"/>
      <c r="Z1794" s="46"/>
      <c r="AA1794" s="46"/>
      <c r="AB1794" s="49"/>
      <c r="AC1794" s="42"/>
      <c r="AD1794" s="42"/>
      <c r="AE1794" s="50"/>
      <c r="AF1794" s="42"/>
      <c r="AG1794" s="42"/>
      <c r="AH1794" s="42"/>
      <c r="AI1794" s="42" t="str">
        <f t="array" ref="AI1794">XLOOKUP($E1794,Sheet11!$D:$D,Sheet11!$X:$X,"",0)</f>
        <v/>
      </c>
      <c r="AJ1794" s="42" t="str">
        <f t="array" ref="AJ1794">XLOOKUP($E1794,Sheet11!$D:$D,Sheet11!$Y:$Y,"",0)</f>
        <v/>
      </c>
    </row>
    <row r="1795">
      <c r="A1795" s="23"/>
      <c r="B1795" s="42"/>
      <c r="C1795" s="42"/>
      <c r="D1795" s="42"/>
      <c r="E1795" s="42"/>
      <c r="F1795" s="42"/>
      <c r="G1795" s="42"/>
      <c r="H1795" s="42"/>
      <c r="I1795" s="42"/>
      <c r="J1795" s="42"/>
      <c r="K1795" s="42"/>
      <c r="L1795" s="46"/>
      <c r="M1795" s="46"/>
      <c r="N1795" s="46"/>
      <c r="O1795" s="61"/>
      <c r="P1795" s="62"/>
      <c r="Q1795" s="46"/>
      <c r="R1795" s="47"/>
      <c r="S1795" s="62"/>
      <c r="T1795" s="62"/>
      <c r="U1795" s="46"/>
      <c r="V1795" s="61"/>
      <c r="W1795" s="62"/>
      <c r="X1795" s="47"/>
      <c r="Y1795" s="46"/>
      <c r="Z1795" s="46"/>
      <c r="AA1795" s="46"/>
      <c r="AB1795" s="49"/>
      <c r="AC1795" s="42"/>
      <c r="AD1795" s="42"/>
      <c r="AE1795" s="50"/>
      <c r="AF1795" s="42"/>
      <c r="AG1795" s="42"/>
      <c r="AH1795" s="42"/>
      <c r="AI1795" s="42" t="str">
        <f t="array" ref="AI1795">XLOOKUP($E1795,Sheet11!$D:$D,Sheet11!$X:$X,"",0)</f>
        <v/>
      </c>
      <c r="AJ1795" s="42" t="str">
        <f t="array" ref="AJ1795">XLOOKUP($E1795,Sheet11!$D:$D,Sheet11!$Y:$Y,"",0)</f>
        <v/>
      </c>
    </row>
    <row r="1796">
      <c r="A1796" s="23"/>
      <c r="B1796" s="42"/>
      <c r="C1796" s="42"/>
      <c r="D1796" s="42"/>
      <c r="E1796" s="42"/>
      <c r="F1796" s="42"/>
      <c r="G1796" s="42"/>
      <c r="H1796" s="42"/>
      <c r="I1796" s="42"/>
      <c r="J1796" s="42"/>
      <c r="K1796" s="42"/>
      <c r="L1796" s="46"/>
      <c r="M1796" s="46"/>
      <c r="N1796" s="46"/>
      <c r="O1796" s="61"/>
      <c r="P1796" s="62"/>
      <c r="Q1796" s="46"/>
      <c r="R1796" s="47"/>
      <c r="S1796" s="62"/>
      <c r="T1796" s="62"/>
      <c r="U1796" s="46"/>
      <c r="V1796" s="61"/>
      <c r="W1796" s="62"/>
      <c r="X1796" s="47"/>
      <c r="Y1796" s="46"/>
      <c r="Z1796" s="46"/>
      <c r="AA1796" s="46"/>
      <c r="AB1796" s="49"/>
      <c r="AC1796" s="42"/>
      <c r="AD1796" s="42"/>
      <c r="AE1796" s="50"/>
      <c r="AF1796" s="42"/>
      <c r="AG1796" s="42"/>
      <c r="AH1796" s="42"/>
      <c r="AI1796" s="42" t="str">
        <f t="array" ref="AI1796">XLOOKUP($E1796,Sheet11!$D:$D,Sheet11!$X:$X,"",0)</f>
        <v/>
      </c>
      <c r="AJ1796" s="42" t="str">
        <f t="array" ref="AJ1796">XLOOKUP($E1796,Sheet11!$D:$D,Sheet11!$Y:$Y,"",0)</f>
        <v/>
      </c>
    </row>
    <row r="1797">
      <c r="A1797" s="23"/>
      <c r="B1797" s="42"/>
      <c r="C1797" s="42"/>
      <c r="D1797" s="42"/>
      <c r="E1797" s="42"/>
      <c r="F1797" s="42"/>
      <c r="G1797" s="42"/>
      <c r="H1797" s="42"/>
      <c r="I1797" s="42"/>
      <c r="J1797" s="42"/>
      <c r="K1797" s="42"/>
      <c r="L1797" s="46"/>
      <c r="M1797" s="46"/>
      <c r="N1797" s="46"/>
      <c r="O1797" s="61"/>
      <c r="P1797" s="62"/>
      <c r="Q1797" s="46"/>
      <c r="R1797" s="47"/>
      <c r="S1797" s="62"/>
      <c r="T1797" s="62"/>
      <c r="U1797" s="46"/>
      <c r="V1797" s="61"/>
      <c r="W1797" s="62"/>
      <c r="X1797" s="47"/>
      <c r="Y1797" s="46"/>
      <c r="Z1797" s="46"/>
      <c r="AA1797" s="46"/>
      <c r="AB1797" s="49"/>
      <c r="AC1797" s="42"/>
      <c r="AD1797" s="42"/>
      <c r="AE1797" s="50"/>
      <c r="AF1797" s="42"/>
      <c r="AG1797" s="42"/>
      <c r="AH1797" s="42"/>
      <c r="AI1797" s="42" t="str">
        <f t="array" ref="AI1797">XLOOKUP($E1797,Sheet11!$D:$D,Sheet11!$X:$X,"",0)</f>
        <v/>
      </c>
      <c r="AJ1797" s="42" t="str">
        <f t="array" ref="AJ1797">XLOOKUP($E1797,Sheet11!$D:$D,Sheet11!$Y:$Y,"",0)</f>
        <v/>
      </c>
    </row>
    <row r="1798">
      <c r="A1798" s="23"/>
      <c r="B1798" s="42"/>
      <c r="C1798" s="42"/>
      <c r="D1798" s="42"/>
      <c r="E1798" s="42"/>
      <c r="F1798" s="42"/>
      <c r="G1798" s="42"/>
      <c r="H1798" s="42"/>
      <c r="I1798" s="42"/>
      <c r="J1798" s="42"/>
      <c r="K1798" s="42"/>
      <c r="L1798" s="46"/>
      <c r="M1798" s="46"/>
      <c r="N1798" s="46"/>
      <c r="O1798" s="61"/>
      <c r="P1798" s="62"/>
      <c r="Q1798" s="46"/>
      <c r="R1798" s="47"/>
      <c r="S1798" s="62"/>
      <c r="T1798" s="62"/>
      <c r="U1798" s="46"/>
      <c r="V1798" s="61"/>
      <c r="W1798" s="62"/>
      <c r="X1798" s="47"/>
      <c r="Y1798" s="46"/>
      <c r="Z1798" s="46"/>
      <c r="AA1798" s="46"/>
      <c r="AB1798" s="49"/>
      <c r="AC1798" s="42"/>
      <c r="AD1798" s="42"/>
      <c r="AE1798" s="50"/>
      <c r="AF1798" s="42"/>
      <c r="AG1798" s="42"/>
      <c r="AH1798" s="42"/>
      <c r="AI1798" s="42" t="str">
        <f t="array" ref="AI1798">XLOOKUP($E1798,Sheet11!$D:$D,Sheet11!$X:$X,"",0)</f>
        <v/>
      </c>
      <c r="AJ1798" s="42" t="str">
        <f t="array" ref="AJ1798">XLOOKUP($E1798,Sheet11!$D:$D,Sheet11!$Y:$Y,"",0)</f>
        <v/>
      </c>
    </row>
    <row r="1799">
      <c r="A1799" s="23"/>
      <c r="B1799" s="42"/>
      <c r="C1799" s="42"/>
      <c r="D1799" s="42"/>
      <c r="E1799" s="42"/>
      <c r="F1799" s="42"/>
      <c r="G1799" s="42"/>
      <c r="H1799" s="42"/>
      <c r="I1799" s="42"/>
      <c r="J1799" s="42"/>
      <c r="K1799" s="42"/>
      <c r="L1799" s="46"/>
      <c r="M1799" s="46"/>
      <c r="N1799" s="46"/>
      <c r="O1799" s="61"/>
      <c r="P1799" s="62"/>
      <c r="Q1799" s="46"/>
      <c r="R1799" s="47"/>
      <c r="S1799" s="62"/>
      <c r="T1799" s="62"/>
      <c r="U1799" s="46"/>
      <c r="V1799" s="61"/>
      <c r="W1799" s="62"/>
      <c r="X1799" s="47"/>
      <c r="Y1799" s="46"/>
      <c r="Z1799" s="46"/>
      <c r="AA1799" s="46"/>
      <c r="AB1799" s="49"/>
      <c r="AC1799" s="42"/>
      <c r="AD1799" s="42"/>
      <c r="AE1799" s="50"/>
      <c r="AF1799" s="42"/>
      <c r="AG1799" s="42"/>
      <c r="AH1799" s="42"/>
      <c r="AI1799" s="42" t="str">
        <f t="array" ref="AI1799">XLOOKUP($E1799,Sheet11!$D:$D,Sheet11!$X:$X,"",0)</f>
        <v/>
      </c>
      <c r="AJ1799" s="42" t="str">
        <f t="array" ref="AJ1799">XLOOKUP($E1799,Sheet11!$D:$D,Sheet11!$Y:$Y,"",0)</f>
        <v/>
      </c>
    </row>
    <row r="1800">
      <c r="A1800" s="23"/>
      <c r="B1800" s="42"/>
      <c r="C1800" s="42"/>
      <c r="D1800" s="42"/>
      <c r="E1800" s="42"/>
      <c r="F1800" s="42"/>
      <c r="G1800" s="42"/>
      <c r="H1800" s="42"/>
      <c r="I1800" s="42"/>
      <c r="J1800" s="42"/>
      <c r="K1800" s="42"/>
      <c r="L1800" s="46"/>
      <c r="M1800" s="46"/>
      <c r="N1800" s="46"/>
      <c r="O1800" s="61"/>
      <c r="P1800" s="62"/>
      <c r="Q1800" s="46"/>
      <c r="R1800" s="47"/>
      <c r="S1800" s="62"/>
      <c r="T1800" s="62"/>
      <c r="U1800" s="46"/>
      <c r="V1800" s="61"/>
      <c r="W1800" s="62"/>
      <c r="X1800" s="47"/>
      <c r="Y1800" s="46"/>
      <c r="Z1800" s="46"/>
      <c r="AA1800" s="46"/>
      <c r="AB1800" s="49"/>
      <c r="AC1800" s="42"/>
      <c r="AD1800" s="42"/>
      <c r="AE1800" s="50"/>
      <c r="AF1800" s="42"/>
      <c r="AG1800" s="42"/>
      <c r="AH1800" s="42"/>
      <c r="AI1800" s="42" t="str">
        <f t="array" ref="AI1800">XLOOKUP($E1800,Sheet11!$D:$D,Sheet11!$X:$X,"",0)</f>
        <v/>
      </c>
      <c r="AJ1800" s="42" t="str">
        <f t="array" ref="AJ1800">XLOOKUP($E1800,Sheet11!$D:$D,Sheet11!$Y:$Y,"",0)</f>
        <v/>
      </c>
    </row>
    <row r="1801">
      <c r="A1801" s="23"/>
      <c r="B1801" s="42"/>
      <c r="C1801" s="42"/>
      <c r="D1801" s="42"/>
      <c r="E1801" s="42"/>
      <c r="F1801" s="42"/>
      <c r="G1801" s="42"/>
      <c r="H1801" s="42"/>
      <c r="I1801" s="42"/>
      <c r="J1801" s="42"/>
      <c r="K1801" s="42"/>
      <c r="L1801" s="46"/>
      <c r="M1801" s="46"/>
      <c r="N1801" s="46"/>
      <c r="O1801" s="61"/>
      <c r="P1801" s="62"/>
      <c r="Q1801" s="46"/>
      <c r="R1801" s="47"/>
      <c r="S1801" s="62"/>
      <c r="T1801" s="62"/>
      <c r="U1801" s="46"/>
      <c r="V1801" s="61"/>
      <c r="W1801" s="62"/>
      <c r="X1801" s="47"/>
      <c r="Y1801" s="46"/>
      <c r="Z1801" s="46"/>
      <c r="AA1801" s="46"/>
      <c r="AB1801" s="49"/>
      <c r="AC1801" s="42"/>
      <c r="AD1801" s="42"/>
      <c r="AE1801" s="50"/>
      <c r="AF1801" s="42"/>
      <c r="AG1801" s="42"/>
      <c r="AH1801" s="42"/>
      <c r="AI1801" s="42" t="str">
        <f t="array" ref="AI1801">XLOOKUP($E1801,Sheet11!$D:$D,Sheet11!$X:$X,"",0)</f>
        <v/>
      </c>
      <c r="AJ1801" s="42" t="str">
        <f t="array" ref="AJ1801">XLOOKUP($E1801,Sheet11!$D:$D,Sheet11!$Y:$Y,"",0)</f>
        <v/>
      </c>
    </row>
    <row r="1802">
      <c r="A1802" s="23"/>
      <c r="B1802" s="42"/>
      <c r="C1802" s="42"/>
      <c r="D1802" s="42"/>
      <c r="E1802" s="42"/>
      <c r="F1802" s="42"/>
      <c r="G1802" s="42"/>
      <c r="H1802" s="42"/>
      <c r="I1802" s="42"/>
      <c r="J1802" s="42"/>
      <c r="K1802" s="42"/>
      <c r="L1802" s="46"/>
      <c r="M1802" s="46"/>
      <c r="N1802" s="46"/>
      <c r="O1802" s="61"/>
      <c r="P1802" s="62"/>
      <c r="Q1802" s="46"/>
      <c r="R1802" s="47"/>
      <c r="S1802" s="62"/>
      <c r="T1802" s="62"/>
      <c r="U1802" s="46"/>
      <c r="V1802" s="61"/>
      <c r="W1802" s="62"/>
      <c r="X1802" s="47"/>
      <c r="Y1802" s="46"/>
      <c r="Z1802" s="46"/>
      <c r="AA1802" s="46"/>
      <c r="AB1802" s="49"/>
      <c r="AC1802" s="42"/>
      <c r="AD1802" s="42"/>
      <c r="AE1802" s="50"/>
      <c r="AF1802" s="42"/>
      <c r="AG1802" s="42"/>
      <c r="AH1802" s="42"/>
      <c r="AI1802" s="42" t="str">
        <f t="array" ref="AI1802">XLOOKUP($E1802,Sheet11!$D:$D,Sheet11!$X:$X,"",0)</f>
        <v/>
      </c>
      <c r="AJ1802" s="42" t="str">
        <f t="array" ref="AJ1802">XLOOKUP($E1802,Sheet11!$D:$D,Sheet11!$Y:$Y,"",0)</f>
        <v/>
      </c>
    </row>
    <row r="1803">
      <c r="A1803" s="23"/>
      <c r="B1803" s="42"/>
      <c r="C1803" s="42"/>
      <c r="D1803" s="42"/>
      <c r="E1803" s="42"/>
      <c r="F1803" s="42"/>
      <c r="G1803" s="42"/>
      <c r="H1803" s="42"/>
      <c r="I1803" s="42"/>
      <c r="J1803" s="42"/>
      <c r="K1803" s="42"/>
      <c r="L1803" s="46"/>
      <c r="M1803" s="46"/>
      <c r="N1803" s="46"/>
      <c r="O1803" s="61"/>
      <c r="P1803" s="62"/>
      <c r="Q1803" s="46"/>
      <c r="R1803" s="47"/>
      <c r="S1803" s="62"/>
      <c r="T1803" s="62"/>
      <c r="U1803" s="46"/>
      <c r="V1803" s="61"/>
      <c r="W1803" s="62"/>
      <c r="X1803" s="47"/>
      <c r="Y1803" s="46"/>
      <c r="Z1803" s="46"/>
      <c r="AA1803" s="46"/>
      <c r="AB1803" s="49"/>
      <c r="AC1803" s="42"/>
      <c r="AD1803" s="42"/>
      <c r="AE1803" s="50"/>
      <c r="AF1803" s="42"/>
      <c r="AG1803" s="42"/>
      <c r="AH1803" s="42"/>
      <c r="AI1803" s="42" t="str">
        <f t="array" ref="AI1803">XLOOKUP($E1803,Sheet11!$D:$D,Sheet11!$X:$X,"",0)</f>
        <v/>
      </c>
      <c r="AJ1803" s="42" t="str">
        <f t="array" ref="AJ1803">XLOOKUP($E1803,Sheet11!$D:$D,Sheet11!$Y:$Y,"",0)</f>
        <v/>
      </c>
    </row>
    <row r="1804">
      <c r="A1804" s="23"/>
      <c r="B1804" s="42"/>
      <c r="C1804" s="42"/>
      <c r="D1804" s="42"/>
      <c r="E1804" s="42"/>
      <c r="F1804" s="42"/>
      <c r="G1804" s="42"/>
      <c r="H1804" s="42"/>
      <c r="I1804" s="42"/>
      <c r="J1804" s="42"/>
      <c r="K1804" s="42"/>
      <c r="L1804" s="46"/>
      <c r="M1804" s="46"/>
      <c r="N1804" s="46"/>
      <c r="O1804" s="61"/>
      <c r="P1804" s="62"/>
      <c r="Q1804" s="46"/>
      <c r="R1804" s="47"/>
      <c r="S1804" s="62"/>
      <c r="T1804" s="62"/>
      <c r="U1804" s="46"/>
      <c r="V1804" s="61"/>
      <c r="W1804" s="62"/>
      <c r="X1804" s="47"/>
      <c r="Y1804" s="46"/>
      <c r="Z1804" s="46"/>
      <c r="AA1804" s="46"/>
      <c r="AB1804" s="49"/>
      <c r="AC1804" s="42"/>
      <c r="AD1804" s="42"/>
      <c r="AE1804" s="50"/>
      <c r="AF1804" s="42"/>
      <c r="AG1804" s="42"/>
      <c r="AH1804" s="42"/>
      <c r="AI1804" s="42" t="str">
        <f t="array" ref="AI1804">XLOOKUP($E1804,Sheet11!$D:$D,Sheet11!$X:$X,"",0)</f>
        <v/>
      </c>
      <c r="AJ1804" s="42" t="str">
        <f t="array" ref="AJ1804">XLOOKUP($E1804,Sheet11!$D:$D,Sheet11!$Y:$Y,"",0)</f>
        <v/>
      </c>
    </row>
    <row r="1805">
      <c r="A1805" s="23"/>
      <c r="B1805" s="42"/>
      <c r="C1805" s="42"/>
      <c r="D1805" s="42"/>
      <c r="E1805" s="42"/>
      <c r="F1805" s="42"/>
      <c r="G1805" s="42"/>
      <c r="H1805" s="42"/>
      <c r="I1805" s="42"/>
      <c r="J1805" s="42"/>
      <c r="K1805" s="42"/>
      <c r="L1805" s="46"/>
      <c r="M1805" s="46"/>
      <c r="N1805" s="46"/>
      <c r="O1805" s="61"/>
      <c r="P1805" s="62"/>
      <c r="Q1805" s="46"/>
      <c r="R1805" s="47"/>
      <c r="S1805" s="62"/>
      <c r="T1805" s="62"/>
      <c r="U1805" s="46"/>
      <c r="V1805" s="61"/>
      <c r="W1805" s="62"/>
      <c r="X1805" s="47"/>
      <c r="Y1805" s="46"/>
      <c r="Z1805" s="46"/>
      <c r="AA1805" s="46"/>
      <c r="AB1805" s="49"/>
      <c r="AC1805" s="42"/>
      <c r="AD1805" s="42"/>
      <c r="AE1805" s="50"/>
      <c r="AF1805" s="42"/>
      <c r="AG1805" s="42"/>
      <c r="AH1805" s="42"/>
      <c r="AI1805" s="42" t="str">
        <f t="array" ref="AI1805">XLOOKUP($E1805,Sheet11!$D:$D,Sheet11!$X:$X,"",0)</f>
        <v/>
      </c>
      <c r="AJ1805" s="42" t="str">
        <f t="array" ref="AJ1805">XLOOKUP($E1805,Sheet11!$D:$D,Sheet11!$Y:$Y,"",0)</f>
        <v/>
      </c>
    </row>
    <row r="1806">
      <c r="A1806" s="23"/>
      <c r="B1806" s="42"/>
      <c r="C1806" s="42"/>
      <c r="D1806" s="42"/>
      <c r="E1806" s="42"/>
      <c r="F1806" s="42"/>
      <c r="G1806" s="42"/>
      <c r="H1806" s="42"/>
      <c r="I1806" s="42"/>
      <c r="J1806" s="42"/>
      <c r="K1806" s="42"/>
      <c r="L1806" s="46"/>
      <c r="M1806" s="46"/>
      <c r="N1806" s="46"/>
      <c r="O1806" s="61"/>
      <c r="P1806" s="62"/>
      <c r="Q1806" s="46"/>
      <c r="R1806" s="47"/>
      <c r="S1806" s="62"/>
      <c r="T1806" s="62"/>
      <c r="U1806" s="46"/>
      <c r="V1806" s="61"/>
      <c r="W1806" s="62"/>
      <c r="X1806" s="47"/>
      <c r="Y1806" s="46"/>
      <c r="Z1806" s="46"/>
      <c r="AA1806" s="46"/>
      <c r="AB1806" s="49"/>
      <c r="AC1806" s="42"/>
      <c r="AD1806" s="42"/>
      <c r="AE1806" s="50"/>
      <c r="AF1806" s="42"/>
      <c r="AG1806" s="42"/>
      <c r="AH1806" s="42"/>
      <c r="AI1806" s="42" t="str">
        <f t="array" ref="AI1806">XLOOKUP($E1806,Sheet11!$D:$D,Sheet11!$X:$X,"",0)</f>
        <v/>
      </c>
      <c r="AJ1806" s="42" t="str">
        <f t="array" ref="AJ1806">XLOOKUP($E1806,Sheet11!$D:$D,Sheet11!$Y:$Y,"",0)</f>
        <v/>
      </c>
    </row>
    <row r="1807">
      <c r="A1807" s="23"/>
      <c r="B1807" s="42"/>
      <c r="C1807" s="42"/>
      <c r="D1807" s="42"/>
      <c r="E1807" s="42"/>
      <c r="F1807" s="42"/>
      <c r="G1807" s="42"/>
      <c r="H1807" s="42"/>
      <c r="I1807" s="42"/>
      <c r="J1807" s="42"/>
      <c r="K1807" s="42"/>
      <c r="L1807" s="46"/>
      <c r="M1807" s="46"/>
      <c r="N1807" s="46"/>
      <c r="O1807" s="61"/>
      <c r="P1807" s="62"/>
      <c r="Q1807" s="46"/>
      <c r="R1807" s="47"/>
      <c r="S1807" s="62"/>
      <c r="T1807" s="62"/>
      <c r="U1807" s="46"/>
      <c r="V1807" s="61"/>
      <c r="W1807" s="62"/>
      <c r="X1807" s="47"/>
      <c r="Y1807" s="46"/>
      <c r="Z1807" s="46"/>
      <c r="AA1807" s="46"/>
      <c r="AB1807" s="49"/>
      <c r="AC1807" s="42"/>
      <c r="AD1807" s="42"/>
      <c r="AE1807" s="50"/>
      <c r="AF1807" s="42"/>
      <c r="AG1807" s="42"/>
      <c r="AH1807" s="42"/>
      <c r="AI1807" s="42" t="str">
        <f t="array" ref="AI1807">XLOOKUP($E1807,Sheet11!$D:$D,Sheet11!$X:$X,"",0)</f>
        <v/>
      </c>
      <c r="AJ1807" s="42" t="str">
        <f t="array" ref="AJ1807">XLOOKUP($E1807,Sheet11!$D:$D,Sheet11!$Y:$Y,"",0)</f>
        <v/>
      </c>
    </row>
    <row r="1808">
      <c r="A1808" s="23"/>
      <c r="B1808" s="42"/>
      <c r="C1808" s="42"/>
      <c r="D1808" s="42"/>
      <c r="E1808" s="42"/>
      <c r="F1808" s="42"/>
      <c r="G1808" s="42"/>
      <c r="H1808" s="42"/>
      <c r="I1808" s="42"/>
      <c r="J1808" s="42"/>
      <c r="K1808" s="42"/>
      <c r="L1808" s="46"/>
      <c r="M1808" s="46"/>
      <c r="N1808" s="46"/>
      <c r="O1808" s="61"/>
      <c r="P1808" s="62"/>
      <c r="Q1808" s="46"/>
      <c r="R1808" s="47"/>
      <c r="S1808" s="62"/>
      <c r="T1808" s="62"/>
      <c r="U1808" s="46"/>
      <c r="V1808" s="61"/>
      <c r="W1808" s="62"/>
      <c r="X1808" s="47"/>
      <c r="Y1808" s="46"/>
      <c r="Z1808" s="46"/>
      <c r="AA1808" s="46"/>
      <c r="AB1808" s="49"/>
      <c r="AC1808" s="42"/>
      <c r="AD1808" s="42"/>
      <c r="AE1808" s="50"/>
      <c r="AF1808" s="42"/>
      <c r="AG1808" s="42"/>
      <c r="AH1808" s="42"/>
      <c r="AI1808" s="42" t="str">
        <f t="array" ref="AI1808">XLOOKUP($E1808,Sheet11!$D:$D,Sheet11!$X:$X,"",0)</f>
        <v/>
      </c>
      <c r="AJ1808" s="42" t="str">
        <f t="array" ref="AJ1808">XLOOKUP($E1808,Sheet11!$D:$D,Sheet11!$Y:$Y,"",0)</f>
        <v/>
      </c>
    </row>
    <row r="1809">
      <c r="A1809" s="23"/>
      <c r="B1809" s="42"/>
      <c r="C1809" s="42"/>
      <c r="D1809" s="42"/>
      <c r="E1809" s="42"/>
      <c r="F1809" s="42"/>
      <c r="G1809" s="42"/>
      <c r="H1809" s="42"/>
      <c r="I1809" s="42"/>
      <c r="J1809" s="42"/>
      <c r="K1809" s="42"/>
      <c r="L1809" s="46"/>
      <c r="M1809" s="46"/>
      <c r="N1809" s="46"/>
      <c r="O1809" s="61"/>
      <c r="P1809" s="62"/>
      <c r="Q1809" s="46"/>
      <c r="R1809" s="47"/>
      <c r="S1809" s="62"/>
      <c r="T1809" s="62"/>
      <c r="U1809" s="46"/>
      <c r="V1809" s="61"/>
      <c r="W1809" s="62"/>
      <c r="X1809" s="47"/>
      <c r="Y1809" s="46"/>
      <c r="Z1809" s="46"/>
      <c r="AA1809" s="46"/>
      <c r="AB1809" s="49"/>
      <c r="AC1809" s="42"/>
      <c r="AD1809" s="42"/>
      <c r="AE1809" s="50"/>
      <c r="AF1809" s="42"/>
      <c r="AG1809" s="42"/>
      <c r="AH1809" s="42"/>
      <c r="AI1809" s="42" t="str">
        <f t="array" ref="AI1809">XLOOKUP($E1809,Sheet11!$D:$D,Sheet11!$X:$X,"",0)</f>
        <v/>
      </c>
      <c r="AJ1809" s="42" t="str">
        <f t="array" ref="AJ1809">XLOOKUP($E1809,Sheet11!$D:$D,Sheet11!$Y:$Y,"",0)</f>
        <v/>
      </c>
    </row>
    <row r="1810">
      <c r="A1810" s="23"/>
      <c r="B1810" s="42"/>
      <c r="C1810" s="42"/>
      <c r="D1810" s="42"/>
      <c r="E1810" s="42"/>
      <c r="F1810" s="42"/>
      <c r="G1810" s="42"/>
      <c r="H1810" s="42"/>
      <c r="I1810" s="42"/>
      <c r="J1810" s="42"/>
      <c r="K1810" s="42"/>
      <c r="L1810" s="46"/>
      <c r="M1810" s="46"/>
      <c r="N1810" s="46"/>
      <c r="O1810" s="61"/>
      <c r="P1810" s="62"/>
      <c r="Q1810" s="46"/>
      <c r="R1810" s="47"/>
      <c r="S1810" s="62"/>
      <c r="T1810" s="62"/>
      <c r="U1810" s="46"/>
      <c r="V1810" s="61"/>
      <c r="W1810" s="62"/>
      <c r="X1810" s="47"/>
      <c r="Y1810" s="46"/>
      <c r="Z1810" s="46"/>
      <c r="AA1810" s="46"/>
      <c r="AB1810" s="49"/>
      <c r="AC1810" s="42"/>
      <c r="AD1810" s="42"/>
      <c r="AE1810" s="50"/>
      <c r="AF1810" s="42"/>
      <c r="AG1810" s="42"/>
      <c r="AH1810" s="42"/>
      <c r="AI1810" s="42" t="str">
        <f t="array" ref="AI1810">XLOOKUP($E1810,Sheet11!$D:$D,Sheet11!$X:$X,"",0)</f>
        <v/>
      </c>
      <c r="AJ1810" s="42" t="str">
        <f t="array" ref="AJ1810">XLOOKUP($E1810,Sheet11!$D:$D,Sheet11!$Y:$Y,"",0)</f>
        <v/>
      </c>
    </row>
    <row r="1811">
      <c r="A1811" s="23"/>
      <c r="B1811" s="42"/>
      <c r="C1811" s="42"/>
      <c r="D1811" s="42"/>
      <c r="E1811" s="42"/>
      <c r="F1811" s="42"/>
      <c r="G1811" s="42"/>
      <c r="H1811" s="42"/>
      <c r="I1811" s="42"/>
      <c r="J1811" s="42"/>
      <c r="K1811" s="42"/>
      <c r="L1811" s="46"/>
      <c r="M1811" s="46"/>
      <c r="N1811" s="46"/>
      <c r="O1811" s="61"/>
      <c r="P1811" s="62"/>
      <c r="Q1811" s="46"/>
      <c r="R1811" s="47"/>
      <c r="S1811" s="62"/>
      <c r="T1811" s="62"/>
      <c r="U1811" s="46"/>
      <c r="V1811" s="61"/>
      <c r="W1811" s="62"/>
      <c r="X1811" s="47"/>
      <c r="Y1811" s="46"/>
      <c r="Z1811" s="46"/>
      <c r="AA1811" s="46"/>
      <c r="AB1811" s="49"/>
      <c r="AC1811" s="42"/>
      <c r="AD1811" s="42"/>
      <c r="AE1811" s="50"/>
      <c r="AF1811" s="42"/>
      <c r="AG1811" s="42"/>
      <c r="AH1811" s="42"/>
      <c r="AI1811" s="42" t="str">
        <f t="array" ref="AI1811">XLOOKUP($E1811,Sheet11!$D:$D,Sheet11!$X:$X,"",0)</f>
        <v/>
      </c>
      <c r="AJ1811" s="42" t="str">
        <f t="array" ref="AJ1811">XLOOKUP($E1811,Sheet11!$D:$D,Sheet11!$Y:$Y,"",0)</f>
        <v/>
      </c>
    </row>
    <row r="1812">
      <c r="A1812" s="23"/>
      <c r="B1812" s="42"/>
      <c r="C1812" s="42"/>
      <c r="D1812" s="42"/>
      <c r="E1812" s="42"/>
      <c r="F1812" s="42"/>
      <c r="G1812" s="42"/>
      <c r="H1812" s="42"/>
      <c r="I1812" s="42"/>
      <c r="J1812" s="42"/>
      <c r="K1812" s="42"/>
      <c r="L1812" s="46"/>
      <c r="M1812" s="46"/>
      <c r="N1812" s="46"/>
      <c r="O1812" s="61"/>
      <c r="P1812" s="62"/>
      <c r="Q1812" s="46"/>
      <c r="R1812" s="47"/>
      <c r="S1812" s="62"/>
      <c r="T1812" s="62"/>
      <c r="U1812" s="46"/>
      <c r="V1812" s="61"/>
      <c r="W1812" s="62"/>
      <c r="X1812" s="47"/>
      <c r="Y1812" s="46"/>
      <c r="Z1812" s="46"/>
      <c r="AA1812" s="46"/>
      <c r="AB1812" s="49"/>
      <c r="AC1812" s="42"/>
      <c r="AD1812" s="42"/>
      <c r="AE1812" s="50"/>
      <c r="AF1812" s="42"/>
      <c r="AG1812" s="42"/>
      <c r="AH1812" s="42"/>
      <c r="AI1812" s="42" t="str">
        <f t="array" ref="AI1812">XLOOKUP($E1812,Sheet11!$D:$D,Sheet11!$X:$X,"",0)</f>
        <v/>
      </c>
      <c r="AJ1812" s="42" t="str">
        <f t="array" ref="AJ1812">XLOOKUP($E1812,Sheet11!$D:$D,Sheet11!$Y:$Y,"",0)</f>
        <v/>
      </c>
    </row>
    <row r="1813">
      <c r="A1813" s="23"/>
      <c r="B1813" s="42"/>
      <c r="C1813" s="42"/>
      <c r="D1813" s="42"/>
      <c r="E1813" s="42"/>
      <c r="F1813" s="42"/>
      <c r="G1813" s="42"/>
      <c r="H1813" s="42"/>
      <c r="I1813" s="42"/>
      <c r="J1813" s="42"/>
      <c r="K1813" s="42"/>
      <c r="L1813" s="46"/>
      <c r="M1813" s="46"/>
      <c r="N1813" s="46"/>
      <c r="O1813" s="61"/>
      <c r="P1813" s="62"/>
      <c r="Q1813" s="46"/>
      <c r="R1813" s="47"/>
      <c r="S1813" s="62"/>
      <c r="T1813" s="62"/>
      <c r="U1813" s="46"/>
      <c r="V1813" s="61"/>
      <c r="W1813" s="62"/>
      <c r="X1813" s="47"/>
      <c r="Y1813" s="46"/>
      <c r="Z1813" s="46"/>
      <c r="AA1813" s="46"/>
      <c r="AB1813" s="49"/>
      <c r="AC1813" s="42"/>
      <c r="AD1813" s="42"/>
      <c r="AE1813" s="50"/>
      <c r="AF1813" s="42"/>
      <c r="AG1813" s="42"/>
      <c r="AH1813" s="42"/>
      <c r="AI1813" s="42" t="str">
        <f t="array" ref="AI1813">XLOOKUP($E1813,Sheet11!$D:$D,Sheet11!$X:$X,"",0)</f>
        <v/>
      </c>
      <c r="AJ1813" s="42" t="str">
        <f t="array" ref="AJ1813">XLOOKUP($E1813,Sheet11!$D:$D,Sheet11!$Y:$Y,"",0)</f>
        <v/>
      </c>
    </row>
    <row r="1814">
      <c r="A1814" s="23"/>
      <c r="B1814" s="42"/>
      <c r="C1814" s="42"/>
      <c r="D1814" s="42"/>
      <c r="E1814" s="42"/>
      <c r="F1814" s="42"/>
      <c r="G1814" s="42"/>
      <c r="H1814" s="42"/>
      <c r="I1814" s="42"/>
      <c r="J1814" s="42"/>
      <c r="K1814" s="42"/>
      <c r="L1814" s="46"/>
      <c r="M1814" s="46"/>
      <c r="N1814" s="46"/>
      <c r="O1814" s="61"/>
      <c r="P1814" s="62"/>
      <c r="Q1814" s="46"/>
      <c r="R1814" s="47"/>
      <c r="S1814" s="62"/>
      <c r="T1814" s="62"/>
      <c r="U1814" s="46"/>
      <c r="V1814" s="61"/>
      <c r="W1814" s="62"/>
      <c r="X1814" s="47"/>
      <c r="Y1814" s="46"/>
      <c r="Z1814" s="46"/>
      <c r="AA1814" s="46"/>
      <c r="AB1814" s="49"/>
      <c r="AC1814" s="42"/>
      <c r="AD1814" s="42"/>
      <c r="AE1814" s="50"/>
      <c r="AF1814" s="42"/>
      <c r="AG1814" s="42"/>
      <c r="AH1814" s="42"/>
      <c r="AI1814" s="42" t="str">
        <f t="array" ref="AI1814">XLOOKUP($E1814,Sheet11!$D:$D,Sheet11!$X:$X,"",0)</f>
        <v/>
      </c>
      <c r="AJ1814" s="42" t="str">
        <f t="array" ref="AJ1814">XLOOKUP($E1814,Sheet11!$D:$D,Sheet11!$Y:$Y,"",0)</f>
        <v/>
      </c>
    </row>
    <row r="1815">
      <c r="A1815" s="23"/>
      <c r="B1815" s="42"/>
      <c r="C1815" s="42"/>
      <c r="D1815" s="42"/>
      <c r="E1815" s="42"/>
      <c r="F1815" s="42"/>
      <c r="G1815" s="42"/>
      <c r="H1815" s="42"/>
      <c r="I1815" s="42"/>
      <c r="J1815" s="42"/>
      <c r="K1815" s="42"/>
      <c r="L1815" s="46"/>
      <c r="M1815" s="46"/>
      <c r="N1815" s="46"/>
      <c r="O1815" s="61"/>
      <c r="P1815" s="62"/>
      <c r="Q1815" s="46"/>
      <c r="R1815" s="47"/>
      <c r="S1815" s="62"/>
      <c r="T1815" s="62"/>
      <c r="U1815" s="46"/>
      <c r="V1815" s="61"/>
      <c r="W1815" s="62"/>
      <c r="X1815" s="47"/>
      <c r="Y1815" s="46"/>
      <c r="Z1815" s="46"/>
      <c r="AA1815" s="46"/>
      <c r="AB1815" s="49"/>
      <c r="AC1815" s="42"/>
      <c r="AD1815" s="42"/>
      <c r="AE1815" s="50"/>
      <c r="AF1815" s="42"/>
      <c r="AG1815" s="42"/>
      <c r="AH1815" s="42"/>
      <c r="AI1815" s="42" t="str">
        <f t="array" ref="AI1815">XLOOKUP($E1815,Sheet11!$D:$D,Sheet11!$X:$X,"",0)</f>
        <v/>
      </c>
      <c r="AJ1815" s="42" t="str">
        <f t="array" ref="AJ1815">XLOOKUP($E1815,Sheet11!$D:$D,Sheet11!$Y:$Y,"",0)</f>
        <v/>
      </c>
    </row>
    <row r="1816">
      <c r="A1816" s="23"/>
      <c r="B1816" s="42"/>
      <c r="C1816" s="42"/>
      <c r="D1816" s="42"/>
      <c r="E1816" s="42"/>
      <c r="F1816" s="42"/>
      <c r="G1816" s="42"/>
      <c r="H1816" s="42"/>
      <c r="I1816" s="42"/>
      <c r="J1816" s="42"/>
      <c r="K1816" s="42"/>
      <c r="L1816" s="46"/>
      <c r="M1816" s="46"/>
      <c r="N1816" s="46"/>
      <c r="O1816" s="61"/>
      <c r="P1816" s="62"/>
      <c r="Q1816" s="46"/>
      <c r="R1816" s="47"/>
      <c r="S1816" s="62"/>
      <c r="T1816" s="62"/>
      <c r="U1816" s="46"/>
      <c r="V1816" s="61"/>
      <c r="W1816" s="62"/>
      <c r="X1816" s="47"/>
      <c r="Y1816" s="46"/>
      <c r="Z1816" s="46"/>
      <c r="AA1816" s="46"/>
      <c r="AB1816" s="49"/>
      <c r="AC1816" s="42"/>
      <c r="AD1816" s="42"/>
      <c r="AE1816" s="50"/>
      <c r="AF1816" s="42"/>
      <c r="AG1816" s="42"/>
      <c r="AH1816" s="42"/>
      <c r="AI1816" s="42" t="str">
        <f t="array" ref="AI1816">XLOOKUP($E1816,Sheet11!$D:$D,Sheet11!$X:$X,"",0)</f>
        <v/>
      </c>
      <c r="AJ1816" s="42" t="str">
        <f t="array" ref="AJ1816">XLOOKUP($E1816,Sheet11!$D:$D,Sheet11!$Y:$Y,"",0)</f>
        <v/>
      </c>
    </row>
    <row r="1817">
      <c r="A1817" s="23"/>
      <c r="B1817" s="42"/>
      <c r="C1817" s="42"/>
      <c r="D1817" s="42"/>
      <c r="E1817" s="42"/>
      <c r="F1817" s="42"/>
      <c r="G1817" s="42"/>
      <c r="H1817" s="42"/>
      <c r="I1817" s="42"/>
      <c r="J1817" s="42"/>
      <c r="K1817" s="42"/>
      <c r="L1817" s="46"/>
      <c r="M1817" s="46"/>
      <c r="N1817" s="46"/>
      <c r="O1817" s="61"/>
      <c r="P1817" s="62"/>
      <c r="Q1817" s="46"/>
      <c r="R1817" s="47"/>
      <c r="S1817" s="62"/>
      <c r="T1817" s="62"/>
      <c r="U1817" s="46"/>
      <c r="V1817" s="61"/>
      <c r="W1817" s="62"/>
      <c r="X1817" s="47"/>
      <c r="Y1817" s="46"/>
      <c r="Z1817" s="46"/>
      <c r="AA1817" s="46"/>
      <c r="AB1817" s="49"/>
      <c r="AC1817" s="42"/>
      <c r="AD1817" s="42"/>
      <c r="AE1817" s="50"/>
      <c r="AF1817" s="42"/>
      <c r="AG1817" s="42"/>
      <c r="AH1817" s="42"/>
      <c r="AI1817" s="42" t="str">
        <f t="array" ref="AI1817">XLOOKUP($E1817,Sheet11!$D:$D,Sheet11!$X:$X,"",0)</f>
        <v/>
      </c>
      <c r="AJ1817" s="42" t="str">
        <f t="array" ref="AJ1817">XLOOKUP($E1817,Sheet11!$D:$D,Sheet11!$Y:$Y,"",0)</f>
        <v/>
      </c>
    </row>
    <row r="1818">
      <c r="A1818" s="23"/>
      <c r="B1818" s="42"/>
      <c r="C1818" s="42"/>
      <c r="D1818" s="42"/>
      <c r="E1818" s="42"/>
      <c r="F1818" s="42"/>
      <c r="G1818" s="42"/>
      <c r="H1818" s="42"/>
      <c r="I1818" s="42"/>
      <c r="J1818" s="42"/>
      <c r="K1818" s="42"/>
      <c r="L1818" s="46"/>
      <c r="M1818" s="46"/>
      <c r="N1818" s="46"/>
      <c r="O1818" s="61"/>
      <c r="P1818" s="62"/>
      <c r="Q1818" s="46"/>
      <c r="R1818" s="47"/>
      <c r="S1818" s="62"/>
      <c r="T1818" s="62"/>
      <c r="U1818" s="46"/>
      <c r="V1818" s="61"/>
      <c r="W1818" s="62"/>
      <c r="X1818" s="47"/>
      <c r="Y1818" s="46"/>
      <c r="Z1818" s="46"/>
      <c r="AA1818" s="46"/>
      <c r="AB1818" s="49"/>
      <c r="AC1818" s="42"/>
      <c r="AD1818" s="42"/>
      <c r="AE1818" s="50"/>
      <c r="AF1818" s="42"/>
      <c r="AG1818" s="42"/>
      <c r="AH1818" s="42"/>
      <c r="AI1818" s="42" t="str">
        <f t="array" ref="AI1818">XLOOKUP($E1818,Sheet11!$D:$D,Sheet11!$X:$X,"",0)</f>
        <v/>
      </c>
      <c r="AJ1818" s="42" t="str">
        <f t="array" ref="AJ1818">XLOOKUP($E1818,Sheet11!$D:$D,Sheet11!$Y:$Y,"",0)</f>
        <v/>
      </c>
    </row>
    <row r="1819">
      <c r="A1819" s="23"/>
      <c r="B1819" s="42"/>
      <c r="C1819" s="42"/>
      <c r="D1819" s="42"/>
      <c r="E1819" s="42"/>
      <c r="F1819" s="42"/>
      <c r="G1819" s="42"/>
      <c r="H1819" s="42"/>
      <c r="I1819" s="42"/>
      <c r="J1819" s="42"/>
      <c r="K1819" s="42"/>
      <c r="L1819" s="46"/>
      <c r="M1819" s="46"/>
      <c r="N1819" s="46"/>
      <c r="O1819" s="61"/>
      <c r="P1819" s="62"/>
      <c r="Q1819" s="46"/>
      <c r="R1819" s="47"/>
      <c r="S1819" s="62"/>
      <c r="T1819" s="62"/>
      <c r="U1819" s="46"/>
      <c r="V1819" s="61"/>
      <c r="W1819" s="62"/>
      <c r="X1819" s="47"/>
      <c r="Y1819" s="46"/>
      <c r="Z1819" s="46"/>
      <c r="AA1819" s="46"/>
      <c r="AB1819" s="49"/>
      <c r="AC1819" s="42"/>
      <c r="AD1819" s="42"/>
      <c r="AE1819" s="50"/>
      <c r="AF1819" s="42"/>
      <c r="AG1819" s="42"/>
      <c r="AH1819" s="42"/>
      <c r="AI1819" s="42" t="str">
        <f t="array" ref="AI1819">XLOOKUP($E1819,Sheet11!$D:$D,Sheet11!$X:$X,"",0)</f>
        <v/>
      </c>
      <c r="AJ1819" s="42" t="str">
        <f t="array" ref="AJ1819">XLOOKUP($E1819,Sheet11!$D:$D,Sheet11!$Y:$Y,"",0)</f>
        <v/>
      </c>
    </row>
    <row r="1820">
      <c r="A1820" s="23"/>
      <c r="B1820" s="42"/>
      <c r="C1820" s="42"/>
      <c r="D1820" s="42"/>
      <c r="E1820" s="42"/>
      <c r="F1820" s="42"/>
      <c r="G1820" s="42"/>
      <c r="H1820" s="42"/>
      <c r="I1820" s="42"/>
      <c r="J1820" s="42"/>
      <c r="K1820" s="42"/>
      <c r="L1820" s="46"/>
      <c r="M1820" s="46"/>
      <c r="N1820" s="46"/>
      <c r="O1820" s="61"/>
      <c r="P1820" s="62"/>
      <c r="Q1820" s="46"/>
      <c r="R1820" s="47"/>
      <c r="S1820" s="62"/>
      <c r="T1820" s="62"/>
      <c r="U1820" s="46"/>
      <c r="V1820" s="61"/>
      <c r="W1820" s="62"/>
      <c r="X1820" s="47"/>
      <c r="Y1820" s="46"/>
      <c r="Z1820" s="46"/>
      <c r="AA1820" s="46"/>
      <c r="AB1820" s="49"/>
      <c r="AC1820" s="42"/>
      <c r="AD1820" s="42"/>
      <c r="AE1820" s="50"/>
      <c r="AF1820" s="42"/>
      <c r="AG1820" s="42"/>
      <c r="AH1820" s="42"/>
      <c r="AI1820" s="42" t="str">
        <f t="array" ref="AI1820">XLOOKUP($E1820,Sheet11!$D:$D,Sheet11!$X:$X,"",0)</f>
        <v/>
      </c>
      <c r="AJ1820" s="42" t="str">
        <f t="array" ref="AJ1820">XLOOKUP($E1820,Sheet11!$D:$D,Sheet11!$Y:$Y,"",0)</f>
        <v/>
      </c>
    </row>
    <row r="1821">
      <c r="A1821" s="23"/>
      <c r="B1821" s="42"/>
      <c r="C1821" s="42"/>
      <c r="D1821" s="42"/>
      <c r="E1821" s="42"/>
      <c r="F1821" s="42"/>
      <c r="G1821" s="42"/>
      <c r="H1821" s="42"/>
      <c r="I1821" s="42"/>
      <c r="J1821" s="42"/>
      <c r="K1821" s="42"/>
      <c r="L1821" s="46"/>
      <c r="M1821" s="46"/>
      <c r="N1821" s="46"/>
      <c r="O1821" s="61"/>
      <c r="P1821" s="62"/>
      <c r="Q1821" s="46"/>
      <c r="R1821" s="47"/>
      <c r="S1821" s="62"/>
      <c r="T1821" s="62"/>
      <c r="U1821" s="46"/>
      <c r="V1821" s="61"/>
      <c r="W1821" s="62"/>
      <c r="X1821" s="47"/>
      <c r="Y1821" s="46"/>
      <c r="Z1821" s="46"/>
      <c r="AA1821" s="46"/>
      <c r="AB1821" s="49"/>
      <c r="AC1821" s="42"/>
      <c r="AD1821" s="42"/>
      <c r="AE1821" s="50"/>
      <c r="AF1821" s="42"/>
      <c r="AG1821" s="42"/>
      <c r="AH1821" s="42"/>
      <c r="AI1821" s="42" t="str">
        <f t="array" ref="AI1821">XLOOKUP($E1821,Sheet11!$D:$D,Sheet11!$X:$X,"",0)</f>
        <v/>
      </c>
      <c r="AJ1821" s="42" t="str">
        <f t="array" ref="AJ1821">XLOOKUP($E1821,Sheet11!$D:$D,Sheet11!$Y:$Y,"",0)</f>
        <v/>
      </c>
    </row>
    <row r="1822">
      <c r="A1822" s="23"/>
      <c r="B1822" s="42"/>
      <c r="C1822" s="42"/>
      <c r="D1822" s="42"/>
      <c r="E1822" s="42"/>
      <c r="F1822" s="42"/>
      <c r="G1822" s="42"/>
      <c r="H1822" s="42"/>
      <c r="I1822" s="42"/>
      <c r="J1822" s="42"/>
      <c r="K1822" s="42"/>
      <c r="L1822" s="46"/>
      <c r="M1822" s="46"/>
      <c r="N1822" s="46"/>
      <c r="O1822" s="61"/>
      <c r="P1822" s="62"/>
      <c r="Q1822" s="46"/>
      <c r="R1822" s="47"/>
      <c r="S1822" s="62"/>
      <c r="T1822" s="62"/>
      <c r="U1822" s="46"/>
      <c r="V1822" s="61"/>
      <c r="W1822" s="62"/>
      <c r="X1822" s="47"/>
      <c r="Y1822" s="46"/>
      <c r="Z1822" s="46"/>
      <c r="AA1822" s="46"/>
      <c r="AB1822" s="49"/>
      <c r="AC1822" s="42"/>
      <c r="AD1822" s="42"/>
      <c r="AE1822" s="50"/>
      <c r="AF1822" s="42"/>
      <c r="AG1822" s="42"/>
      <c r="AH1822" s="42"/>
      <c r="AI1822" s="42" t="str">
        <f t="array" ref="AI1822">XLOOKUP($E1822,Sheet11!$D:$D,Sheet11!$X:$X,"",0)</f>
        <v/>
      </c>
      <c r="AJ1822" s="42" t="str">
        <f t="array" ref="AJ1822">XLOOKUP($E1822,Sheet11!$D:$D,Sheet11!$Y:$Y,"",0)</f>
        <v/>
      </c>
    </row>
    <row r="1823">
      <c r="A1823" s="23"/>
      <c r="B1823" s="42"/>
      <c r="C1823" s="42"/>
      <c r="D1823" s="42"/>
      <c r="E1823" s="42"/>
      <c r="F1823" s="42"/>
      <c r="G1823" s="42"/>
      <c r="H1823" s="42"/>
      <c r="I1823" s="42"/>
      <c r="J1823" s="42"/>
      <c r="K1823" s="42"/>
      <c r="L1823" s="46"/>
      <c r="M1823" s="46"/>
      <c r="N1823" s="46"/>
      <c r="O1823" s="61"/>
      <c r="P1823" s="62"/>
      <c r="Q1823" s="46"/>
      <c r="R1823" s="47"/>
      <c r="S1823" s="62"/>
      <c r="T1823" s="62"/>
      <c r="U1823" s="46"/>
      <c r="V1823" s="61"/>
      <c r="W1823" s="62"/>
      <c r="X1823" s="47"/>
      <c r="Y1823" s="46"/>
      <c r="Z1823" s="46"/>
      <c r="AA1823" s="46"/>
      <c r="AB1823" s="49"/>
      <c r="AC1823" s="42"/>
      <c r="AD1823" s="42"/>
      <c r="AE1823" s="50"/>
      <c r="AF1823" s="42"/>
      <c r="AG1823" s="42"/>
      <c r="AH1823" s="42"/>
      <c r="AI1823" s="42" t="str">
        <f t="array" ref="AI1823">XLOOKUP($E1823,Sheet11!$D:$D,Sheet11!$X:$X,"",0)</f>
        <v/>
      </c>
      <c r="AJ1823" s="42" t="str">
        <f t="array" ref="AJ1823">XLOOKUP($E1823,Sheet11!$D:$D,Sheet11!$Y:$Y,"",0)</f>
        <v/>
      </c>
    </row>
    <row r="1824">
      <c r="A1824" s="23"/>
      <c r="B1824" s="42"/>
      <c r="C1824" s="42"/>
      <c r="D1824" s="42"/>
      <c r="E1824" s="42"/>
      <c r="F1824" s="42"/>
      <c r="G1824" s="42"/>
      <c r="H1824" s="42"/>
      <c r="I1824" s="42"/>
      <c r="J1824" s="42"/>
      <c r="K1824" s="42"/>
      <c r="L1824" s="46"/>
      <c r="M1824" s="46"/>
      <c r="N1824" s="46"/>
      <c r="O1824" s="61"/>
      <c r="P1824" s="62"/>
      <c r="Q1824" s="46"/>
      <c r="R1824" s="47"/>
      <c r="S1824" s="62"/>
      <c r="T1824" s="62"/>
      <c r="U1824" s="46"/>
      <c r="V1824" s="61"/>
      <c r="W1824" s="62"/>
      <c r="X1824" s="47"/>
      <c r="Y1824" s="46"/>
      <c r="Z1824" s="46"/>
      <c r="AA1824" s="46"/>
      <c r="AB1824" s="49"/>
      <c r="AC1824" s="42"/>
      <c r="AD1824" s="42"/>
      <c r="AE1824" s="50"/>
      <c r="AF1824" s="42"/>
      <c r="AG1824" s="42"/>
      <c r="AH1824" s="42"/>
      <c r="AI1824" s="42" t="str">
        <f t="array" ref="AI1824">XLOOKUP($E1824,Sheet11!$D:$D,Sheet11!$X:$X,"",0)</f>
        <v/>
      </c>
      <c r="AJ1824" s="42" t="str">
        <f t="array" ref="AJ1824">XLOOKUP($E1824,Sheet11!$D:$D,Sheet11!$Y:$Y,"",0)</f>
        <v/>
      </c>
    </row>
    <row r="1825">
      <c r="A1825" s="23"/>
      <c r="B1825" s="42"/>
      <c r="C1825" s="42"/>
      <c r="D1825" s="42"/>
      <c r="E1825" s="42"/>
      <c r="F1825" s="42"/>
      <c r="G1825" s="42"/>
      <c r="H1825" s="42"/>
      <c r="I1825" s="42"/>
      <c r="J1825" s="42"/>
      <c r="K1825" s="42"/>
      <c r="L1825" s="46"/>
      <c r="M1825" s="46"/>
      <c r="N1825" s="46"/>
      <c r="O1825" s="61"/>
      <c r="P1825" s="62"/>
      <c r="Q1825" s="46"/>
      <c r="R1825" s="47"/>
      <c r="S1825" s="62"/>
      <c r="T1825" s="62"/>
      <c r="U1825" s="46"/>
      <c r="V1825" s="61"/>
      <c r="W1825" s="62"/>
      <c r="X1825" s="47"/>
      <c r="Y1825" s="46"/>
      <c r="Z1825" s="46"/>
      <c r="AA1825" s="46"/>
      <c r="AB1825" s="49"/>
      <c r="AC1825" s="42"/>
      <c r="AD1825" s="42"/>
      <c r="AE1825" s="50"/>
      <c r="AF1825" s="42"/>
      <c r="AG1825" s="42"/>
      <c r="AH1825" s="42"/>
      <c r="AI1825" s="42" t="str">
        <f t="array" ref="AI1825">XLOOKUP($E1825,Sheet11!$D:$D,Sheet11!$X:$X,"",0)</f>
        <v/>
      </c>
      <c r="AJ1825" s="42" t="str">
        <f t="array" ref="AJ1825">XLOOKUP($E1825,Sheet11!$D:$D,Sheet11!$Y:$Y,"",0)</f>
        <v/>
      </c>
    </row>
    <row r="1826">
      <c r="A1826" s="23"/>
      <c r="B1826" s="42"/>
      <c r="C1826" s="42"/>
      <c r="D1826" s="42"/>
      <c r="E1826" s="42"/>
      <c r="F1826" s="42"/>
      <c r="G1826" s="42"/>
      <c r="H1826" s="42"/>
      <c r="I1826" s="42"/>
      <c r="J1826" s="42"/>
      <c r="K1826" s="42"/>
      <c r="L1826" s="46"/>
      <c r="M1826" s="46"/>
      <c r="N1826" s="46"/>
      <c r="O1826" s="61"/>
      <c r="P1826" s="62"/>
      <c r="Q1826" s="46"/>
      <c r="R1826" s="47"/>
      <c r="S1826" s="62"/>
      <c r="T1826" s="62"/>
      <c r="U1826" s="46"/>
      <c r="V1826" s="61"/>
      <c r="W1826" s="62"/>
      <c r="X1826" s="47"/>
      <c r="Y1826" s="46"/>
      <c r="Z1826" s="46"/>
      <c r="AA1826" s="46"/>
      <c r="AB1826" s="49"/>
      <c r="AC1826" s="42"/>
      <c r="AD1826" s="42"/>
      <c r="AE1826" s="50"/>
      <c r="AF1826" s="42"/>
      <c r="AG1826" s="42"/>
      <c r="AH1826" s="42"/>
      <c r="AI1826" s="42" t="str">
        <f t="array" ref="AI1826">XLOOKUP($E1826,Sheet11!$D:$D,Sheet11!$X:$X,"",0)</f>
        <v/>
      </c>
      <c r="AJ1826" s="42" t="str">
        <f t="array" ref="AJ1826">XLOOKUP($E1826,Sheet11!$D:$D,Sheet11!$Y:$Y,"",0)</f>
        <v/>
      </c>
    </row>
    <row r="1827">
      <c r="A1827" s="23"/>
      <c r="B1827" s="42"/>
      <c r="C1827" s="42"/>
      <c r="D1827" s="42"/>
      <c r="E1827" s="42"/>
      <c r="F1827" s="42"/>
      <c r="G1827" s="42"/>
      <c r="H1827" s="42"/>
      <c r="I1827" s="42"/>
      <c r="J1827" s="42"/>
      <c r="K1827" s="42"/>
      <c r="L1827" s="46"/>
      <c r="M1827" s="46"/>
      <c r="N1827" s="46"/>
      <c r="O1827" s="61"/>
      <c r="P1827" s="62"/>
      <c r="Q1827" s="46"/>
      <c r="R1827" s="47"/>
      <c r="S1827" s="62"/>
      <c r="T1827" s="62"/>
      <c r="U1827" s="46"/>
      <c r="V1827" s="61"/>
      <c r="W1827" s="62"/>
      <c r="X1827" s="47"/>
      <c r="Y1827" s="46"/>
      <c r="Z1827" s="46"/>
      <c r="AA1827" s="46"/>
      <c r="AB1827" s="49"/>
      <c r="AC1827" s="42"/>
      <c r="AD1827" s="42"/>
      <c r="AE1827" s="50"/>
      <c r="AF1827" s="42"/>
      <c r="AG1827" s="42"/>
      <c r="AH1827" s="42"/>
      <c r="AI1827" s="42" t="str">
        <f t="array" ref="AI1827">XLOOKUP($E1827,Sheet11!$D:$D,Sheet11!$X:$X,"",0)</f>
        <v/>
      </c>
      <c r="AJ1827" s="42" t="str">
        <f t="array" ref="AJ1827">XLOOKUP($E1827,Sheet11!$D:$D,Sheet11!$Y:$Y,"",0)</f>
        <v/>
      </c>
    </row>
    <row r="1828">
      <c r="A1828" s="23"/>
      <c r="B1828" s="42"/>
      <c r="C1828" s="42"/>
      <c r="D1828" s="42"/>
      <c r="E1828" s="42"/>
      <c r="F1828" s="42"/>
      <c r="G1828" s="42"/>
      <c r="H1828" s="42"/>
      <c r="I1828" s="42"/>
      <c r="J1828" s="42"/>
      <c r="K1828" s="42"/>
      <c r="L1828" s="46"/>
      <c r="M1828" s="46"/>
      <c r="N1828" s="46"/>
      <c r="O1828" s="61"/>
      <c r="P1828" s="62"/>
      <c r="Q1828" s="46"/>
      <c r="R1828" s="47"/>
      <c r="S1828" s="62"/>
      <c r="T1828" s="62"/>
      <c r="U1828" s="46"/>
      <c r="V1828" s="61"/>
      <c r="W1828" s="62"/>
      <c r="X1828" s="47"/>
      <c r="Y1828" s="46"/>
      <c r="Z1828" s="46"/>
      <c r="AA1828" s="46"/>
      <c r="AB1828" s="49"/>
      <c r="AC1828" s="42"/>
      <c r="AD1828" s="42"/>
      <c r="AE1828" s="50"/>
      <c r="AF1828" s="42"/>
      <c r="AG1828" s="42"/>
      <c r="AH1828" s="42"/>
      <c r="AI1828" s="42" t="str">
        <f t="array" ref="AI1828">XLOOKUP($E1828,Sheet11!$D:$D,Sheet11!$X:$X,"",0)</f>
        <v/>
      </c>
      <c r="AJ1828" s="42" t="str">
        <f t="array" ref="AJ1828">XLOOKUP($E1828,Sheet11!$D:$D,Sheet11!$Y:$Y,"",0)</f>
        <v/>
      </c>
    </row>
    <row r="1829">
      <c r="A1829" s="23"/>
      <c r="B1829" s="42"/>
      <c r="C1829" s="42"/>
      <c r="D1829" s="42"/>
      <c r="E1829" s="42"/>
      <c r="F1829" s="42"/>
      <c r="G1829" s="42"/>
      <c r="H1829" s="42"/>
      <c r="I1829" s="42"/>
      <c r="J1829" s="42"/>
      <c r="K1829" s="42"/>
      <c r="L1829" s="46"/>
      <c r="M1829" s="46"/>
      <c r="N1829" s="46"/>
      <c r="O1829" s="61"/>
      <c r="P1829" s="62"/>
      <c r="Q1829" s="46"/>
      <c r="R1829" s="47"/>
      <c r="S1829" s="62"/>
      <c r="T1829" s="62"/>
      <c r="U1829" s="46"/>
      <c r="V1829" s="61"/>
      <c r="W1829" s="62"/>
      <c r="X1829" s="47"/>
      <c r="Y1829" s="46"/>
      <c r="Z1829" s="46"/>
      <c r="AA1829" s="46"/>
      <c r="AB1829" s="49"/>
      <c r="AC1829" s="42"/>
      <c r="AD1829" s="42"/>
      <c r="AE1829" s="50"/>
      <c r="AF1829" s="42"/>
      <c r="AG1829" s="42"/>
      <c r="AH1829" s="42"/>
      <c r="AI1829" s="42" t="str">
        <f t="array" ref="AI1829">XLOOKUP($E1829,Sheet11!$D:$D,Sheet11!$X:$X,"",0)</f>
        <v/>
      </c>
      <c r="AJ1829" s="42" t="str">
        <f t="array" ref="AJ1829">XLOOKUP($E1829,Sheet11!$D:$D,Sheet11!$Y:$Y,"",0)</f>
        <v/>
      </c>
    </row>
    <row r="1830">
      <c r="A1830" s="23"/>
      <c r="B1830" s="42"/>
      <c r="C1830" s="42"/>
      <c r="D1830" s="42"/>
      <c r="E1830" s="42"/>
      <c r="F1830" s="42"/>
      <c r="G1830" s="42"/>
      <c r="H1830" s="42"/>
      <c r="I1830" s="42"/>
      <c r="J1830" s="42"/>
      <c r="K1830" s="42"/>
      <c r="L1830" s="46"/>
      <c r="M1830" s="46"/>
      <c r="N1830" s="46"/>
      <c r="O1830" s="61"/>
      <c r="P1830" s="62"/>
      <c r="Q1830" s="46"/>
      <c r="R1830" s="47"/>
      <c r="S1830" s="62"/>
      <c r="T1830" s="62"/>
      <c r="U1830" s="46"/>
      <c r="V1830" s="61"/>
      <c r="W1830" s="62"/>
      <c r="X1830" s="47"/>
      <c r="Y1830" s="46"/>
      <c r="Z1830" s="46"/>
      <c r="AA1830" s="46"/>
      <c r="AB1830" s="49"/>
      <c r="AC1830" s="42"/>
      <c r="AD1830" s="42"/>
      <c r="AE1830" s="50"/>
      <c r="AF1830" s="42"/>
      <c r="AG1830" s="42"/>
      <c r="AH1830" s="42"/>
      <c r="AI1830" s="42" t="str">
        <f t="array" ref="AI1830">XLOOKUP($E1830,Sheet11!$D:$D,Sheet11!$X:$X,"",0)</f>
        <v/>
      </c>
      <c r="AJ1830" s="42" t="str">
        <f t="array" ref="AJ1830">XLOOKUP($E1830,Sheet11!$D:$D,Sheet11!$Y:$Y,"",0)</f>
        <v/>
      </c>
    </row>
    <row r="1831">
      <c r="A1831" s="23"/>
      <c r="B1831" s="42"/>
      <c r="C1831" s="42"/>
      <c r="D1831" s="42"/>
      <c r="E1831" s="42"/>
      <c r="F1831" s="42"/>
      <c r="G1831" s="42"/>
      <c r="H1831" s="42"/>
      <c r="I1831" s="42"/>
      <c r="J1831" s="42"/>
      <c r="K1831" s="42"/>
      <c r="L1831" s="46"/>
      <c r="M1831" s="46"/>
      <c r="N1831" s="46"/>
      <c r="O1831" s="61"/>
      <c r="P1831" s="62"/>
      <c r="Q1831" s="46"/>
      <c r="R1831" s="47"/>
      <c r="S1831" s="62"/>
      <c r="T1831" s="62"/>
      <c r="U1831" s="46"/>
      <c r="V1831" s="61"/>
      <c r="W1831" s="62"/>
      <c r="X1831" s="47"/>
      <c r="Y1831" s="46"/>
      <c r="Z1831" s="46"/>
      <c r="AA1831" s="46"/>
      <c r="AB1831" s="49"/>
      <c r="AC1831" s="42"/>
      <c r="AD1831" s="42"/>
      <c r="AE1831" s="50"/>
      <c r="AF1831" s="42"/>
      <c r="AG1831" s="42"/>
      <c r="AH1831" s="42"/>
      <c r="AI1831" s="42" t="str">
        <f t="array" ref="AI1831">XLOOKUP($E1831,Sheet11!$D:$D,Sheet11!$X:$X,"",0)</f>
        <v/>
      </c>
      <c r="AJ1831" s="42" t="str">
        <f t="array" ref="AJ1831">XLOOKUP($E1831,Sheet11!$D:$D,Sheet11!$Y:$Y,"",0)</f>
        <v/>
      </c>
    </row>
    <row r="1832">
      <c r="A1832" s="23"/>
      <c r="B1832" s="42"/>
      <c r="C1832" s="42"/>
      <c r="D1832" s="42"/>
      <c r="E1832" s="42"/>
      <c r="F1832" s="42"/>
      <c r="G1832" s="42"/>
      <c r="H1832" s="42"/>
      <c r="I1832" s="42"/>
      <c r="J1832" s="42"/>
      <c r="K1832" s="42"/>
      <c r="L1832" s="46"/>
      <c r="M1832" s="46"/>
      <c r="N1832" s="46"/>
      <c r="O1832" s="61"/>
      <c r="P1832" s="62"/>
      <c r="Q1832" s="46"/>
      <c r="R1832" s="47"/>
      <c r="S1832" s="62"/>
      <c r="T1832" s="62"/>
      <c r="U1832" s="46"/>
      <c r="V1832" s="61"/>
      <c r="W1832" s="62"/>
      <c r="X1832" s="47"/>
      <c r="Y1832" s="46"/>
      <c r="Z1832" s="46"/>
      <c r="AA1832" s="46"/>
      <c r="AB1832" s="49"/>
      <c r="AC1832" s="42"/>
      <c r="AD1832" s="42"/>
      <c r="AE1832" s="50"/>
      <c r="AF1832" s="42"/>
      <c r="AG1832" s="42"/>
      <c r="AH1832" s="42"/>
      <c r="AI1832" s="42" t="str">
        <f t="array" ref="AI1832">XLOOKUP($E1832,Sheet11!$D:$D,Sheet11!$X:$X,"",0)</f>
        <v/>
      </c>
      <c r="AJ1832" s="42" t="str">
        <f t="array" ref="AJ1832">XLOOKUP($E1832,Sheet11!$D:$D,Sheet11!$Y:$Y,"",0)</f>
        <v/>
      </c>
    </row>
    <row r="1833">
      <c r="A1833" s="23"/>
      <c r="B1833" s="42"/>
      <c r="C1833" s="42"/>
      <c r="D1833" s="42"/>
      <c r="E1833" s="42"/>
      <c r="F1833" s="42"/>
      <c r="G1833" s="42"/>
      <c r="H1833" s="42"/>
      <c r="I1833" s="42"/>
      <c r="J1833" s="42"/>
      <c r="K1833" s="42"/>
      <c r="L1833" s="46"/>
      <c r="M1833" s="46"/>
      <c r="N1833" s="46"/>
      <c r="O1833" s="61"/>
      <c r="P1833" s="62"/>
      <c r="Q1833" s="46"/>
      <c r="R1833" s="47"/>
      <c r="S1833" s="62"/>
      <c r="T1833" s="62"/>
      <c r="U1833" s="46"/>
      <c r="V1833" s="61"/>
      <c r="W1833" s="62"/>
      <c r="X1833" s="47"/>
      <c r="Y1833" s="46"/>
      <c r="Z1833" s="46"/>
      <c r="AA1833" s="46"/>
      <c r="AB1833" s="49"/>
      <c r="AC1833" s="42"/>
      <c r="AD1833" s="42"/>
      <c r="AE1833" s="50"/>
      <c r="AF1833" s="42"/>
      <c r="AG1833" s="42"/>
      <c r="AH1833" s="42"/>
      <c r="AI1833" s="42" t="str">
        <f t="array" ref="AI1833">XLOOKUP($E1833,Sheet11!$D:$D,Sheet11!$X:$X,"",0)</f>
        <v/>
      </c>
      <c r="AJ1833" s="42" t="str">
        <f t="array" ref="AJ1833">XLOOKUP($E1833,Sheet11!$D:$D,Sheet11!$Y:$Y,"",0)</f>
        <v/>
      </c>
    </row>
    <row r="1834">
      <c r="A1834" s="23"/>
      <c r="B1834" s="42"/>
      <c r="C1834" s="42"/>
      <c r="D1834" s="42"/>
      <c r="E1834" s="42"/>
      <c r="F1834" s="42"/>
      <c r="G1834" s="42"/>
      <c r="H1834" s="42"/>
      <c r="I1834" s="42"/>
      <c r="J1834" s="42"/>
      <c r="K1834" s="42"/>
      <c r="L1834" s="46"/>
      <c r="M1834" s="46"/>
      <c r="N1834" s="46"/>
      <c r="O1834" s="61"/>
      <c r="P1834" s="62"/>
      <c r="Q1834" s="46"/>
      <c r="R1834" s="47"/>
      <c r="S1834" s="62"/>
      <c r="T1834" s="62"/>
      <c r="U1834" s="46"/>
      <c r="V1834" s="61"/>
      <c r="W1834" s="62"/>
      <c r="X1834" s="47"/>
      <c r="Y1834" s="46"/>
      <c r="Z1834" s="46"/>
      <c r="AA1834" s="46"/>
      <c r="AB1834" s="49"/>
      <c r="AC1834" s="42"/>
      <c r="AD1834" s="42"/>
      <c r="AE1834" s="50"/>
      <c r="AF1834" s="42"/>
      <c r="AG1834" s="42"/>
      <c r="AH1834" s="42"/>
      <c r="AI1834" s="42" t="str">
        <f t="array" ref="AI1834">XLOOKUP($E1834,Sheet11!$D:$D,Sheet11!$X:$X,"",0)</f>
        <v/>
      </c>
      <c r="AJ1834" s="42" t="str">
        <f t="array" ref="AJ1834">XLOOKUP($E1834,Sheet11!$D:$D,Sheet11!$Y:$Y,"",0)</f>
        <v/>
      </c>
    </row>
    <row r="1835">
      <c r="A1835" s="23"/>
      <c r="B1835" s="42"/>
      <c r="C1835" s="42"/>
      <c r="D1835" s="42"/>
      <c r="E1835" s="42"/>
      <c r="F1835" s="42"/>
      <c r="G1835" s="42"/>
      <c r="H1835" s="42"/>
      <c r="I1835" s="42"/>
      <c r="J1835" s="42"/>
      <c r="K1835" s="42"/>
      <c r="L1835" s="46"/>
      <c r="M1835" s="46"/>
      <c r="N1835" s="46"/>
      <c r="O1835" s="61"/>
      <c r="P1835" s="62"/>
      <c r="Q1835" s="46"/>
      <c r="R1835" s="47"/>
      <c r="S1835" s="62"/>
      <c r="T1835" s="62"/>
      <c r="U1835" s="46"/>
      <c r="V1835" s="61"/>
      <c r="W1835" s="62"/>
      <c r="X1835" s="47"/>
      <c r="Y1835" s="46"/>
      <c r="Z1835" s="46"/>
      <c r="AA1835" s="46"/>
      <c r="AB1835" s="49"/>
      <c r="AC1835" s="42"/>
      <c r="AD1835" s="42"/>
      <c r="AE1835" s="50"/>
      <c r="AF1835" s="42"/>
      <c r="AG1835" s="42"/>
      <c r="AH1835" s="42"/>
      <c r="AI1835" s="42" t="str">
        <f t="array" ref="AI1835">XLOOKUP($E1835,Sheet11!$D:$D,Sheet11!$X:$X,"",0)</f>
        <v/>
      </c>
      <c r="AJ1835" s="42" t="str">
        <f t="array" ref="AJ1835">XLOOKUP($E1835,Sheet11!$D:$D,Sheet11!$Y:$Y,"",0)</f>
        <v/>
      </c>
    </row>
    <row r="1836">
      <c r="A1836" s="23"/>
      <c r="B1836" s="42"/>
      <c r="C1836" s="42"/>
      <c r="D1836" s="42"/>
      <c r="E1836" s="42"/>
      <c r="F1836" s="42"/>
      <c r="G1836" s="42"/>
      <c r="H1836" s="42"/>
      <c r="I1836" s="42"/>
      <c r="J1836" s="42"/>
      <c r="K1836" s="42"/>
      <c r="L1836" s="46"/>
      <c r="M1836" s="46"/>
      <c r="N1836" s="46"/>
      <c r="O1836" s="61"/>
      <c r="P1836" s="62"/>
      <c r="Q1836" s="46"/>
      <c r="R1836" s="47"/>
      <c r="S1836" s="62"/>
      <c r="T1836" s="62"/>
      <c r="U1836" s="46"/>
      <c r="V1836" s="61"/>
      <c r="W1836" s="62"/>
      <c r="X1836" s="47"/>
      <c r="Y1836" s="46"/>
      <c r="Z1836" s="46"/>
      <c r="AA1836" s="46"/>
      <c r="AB1836" s="49"/>
      <c r="AC1836" s="42"/>
      <c r="AD1836" s="42"/>
      <c r="AE1836" s="50"/>
      <c r="AF1836" s="42"/>
      <c r="AG1836" s="42"/>
      <c r="AH1836" s="42"/>
      <c r="AI1836" s="42" t="str">
        <f t="array" ref="AI1836">XLOOKUP($E1836,Sheet11!$D:$D,Sheet11!$X:$X,"",0)</f>
        <v/>
      </c>
      <c r="AJ1836" s="42" t="str">
        <f t="array" ref="AJ1836">XLOOKUP($E1836,Sheet11!$D:$D,Sheet11!$Y:$Y,"",0)</f>
        <v/>
      </c>
    </row>
    <row r="1837">
      <c r="A1837" s="23"/>
      <c r="B1837" s="42"/>
      <c r="C1837" s="42"/>
      <c r="D1837" s="42"/>
      <c r="E1837" s="42"/>
      <c r="F1837" s="42"/>
      <c r="G1837" s="42"/>
      <c r="H1837" s="42"/>
      <c r="I1837" s="42"/>
      <c r="J1837" s="42"/>
      <c r="K1837" s="42"/>
      <c r="L1837" s="46"/>
      <c r="M1837" s="46"/>
      <c r="N1837" s="46"/>
      <c r="O1837" s="61"/>
      <c r="P1837" s="62"/>
      <c r="Q1837" s="46"/>
      <c r="R1837" s="47"/>
      <c r="S1837" s="62"/>
      <c r="T1837" s="62"/>
      <c r="U1837" s="46"/>
      <c r="V1837" s="61"/>
      <c r="W1837" s="62"/>
      <c r="X1837" s="47"/>
      <c r="Y1837" s="46"/>
      <c r="Z1837" s="46"/>
      <c r="AA1837" s="46"/>
      <c r="AB1837" s="49"/>
      <c r="AC1837" s="42"/>
      <c r="AD1837" s="42"/>
      <c r="AE1837" s="50"/>
      <c r="AF1837" s="42"/>
      <c r="AG1837" s="42"/>
      <c r="AH1837" s="42"/>
      <c r="AI1837" s="42" t="str">
        <f t="array" ref="AI1837">XLOOKUP($E1837,Sheet11!$D:$D,Sheet11!$X:$X,"",0)</f>
        <v/>
      </c>
      <c r="AJ1837" s="42" t="str">
        <f t="array" ref="AJ1837">XLOOKUP($E1837,Sheet11!$D:$D,Sheet11!$Y:$Y,"",0)</f>
        <v/>
      </c>
    </row>
    <row r="1838">
      <c r="A1838" s="23"/>
      <c r="B1838" s="42"/>
      <c r="C1838" s="42"/>
      <c r="D1838" s="42"/>
      <c r="E1838" s="42"/>
      <c r="F1838" s="42"/>
      <c r="G1838" s="42"/>
      <c r="H1838" s="42"/>
      <c r="I1838" s="42"/>
      <c r="J1838" s="42"/>
      <c r="K1838" s="42"/>
      <c r="L1838" s="46"/>
      <c r="M1838" s="46"/>
      <c r="N1838" s="46"/>
      <c r="O1838" s="61"/>
      <c r="P1838" s="62"/>
      <c r="Q1838" s="46"/>
      <c r="R1838" s="47"/>
      <c r="S1838" s="62"/>
      <c r="T1838" s="62"/>
      <c r="U1838" s="46"/>
      <c r="V1838" s="61"/>
      <c r="W1838" s="62"/>
      <c r="X1838" s="47"/>
      <c r="Y1838" s="46"/>
      <c r="Z1838" s="46"/>
      <c r="AA1838" s="46"/>
      <c r="AB1838" s="49"/>
      <c r="AC1838" s="42"/>
      <c r="AD1838" s="42"/>
      <c r="AE1838" s="50"/>
      <c r="AF1838" s="42"/>
      <c r="AG1838" s="42"/>
      <c r="AH1838" s="42"/>
      <c r="AI1838" s="42" t="str">
        <f t="array" ref="AI1838">XLOOKUP($E1838,Sheet11!$D:$D,Sheet11!$X:$X,"",0)</f>
        <v/>
      </c>
      <c r="AJ1838" s="42" t="str">
        <f t="array" ref="AJ1838">XLOOKUP($E1838,Sheet11!$D:$D,Sheet11!$Y:$Y,"",0)</f>
        <v/>
      </c>
    </row>
    <row r="1839">
      <c r="A1839" s="23"/>
      <c r="B1839" s="42"/>
      <c r="C1839" s="42"/>
      <c r="D1839" s="42"/>
      <c r="E1839" s="42"/>
      <c r="F1839" s="42"/>
      <c r="G1839" s="42"/>
      <c r="H1839" s="42"/>
      <c r="I1839" s="42"/>
      <c r="J1839" s="42"/>
      <c r="K1839" s="42"/>
      <c r="L1839" s="46"/>
      <c r="M1839" s="46"/>
      <c r="N1839" s="46"/>
      <c r="O1839" s="61"/>
      <c r="P1839" s="62"/>
      <c r="Q1839" s="46"/>
      <c r="R1839" s="47"/>
      <c r="S1839" s="62"/>
      <c r="T1839" s="62"/>
      <c r="U1839" s="46"/>
      <c r="V1839" s="61"/>
      <c r="W1839" s="62"/>
      <c r="X1839" s="47"/>
      <c r="Y1839" s="46"/>
      <c r="Z1839" s="46"/>
      <c r="AA1839" s="46"/>
      <c r="AB1839" s="49"/>
      <c r="AC1839" s="42"/>
      <c r="AD1839" s="42"/>
      <c r="AE1839" s="50"/>
      <c r="AF1839" s="42"/>
      <c r="AG1839" s="42"/>
      <c r="AH1839" s="42"/>
      <c r="AI1839" s="42" t="str">
        <f t="array" ref="AI1839">XLOOKUP($E1839,Sheet11!$D:$D,Sheet11!$X:$X,"",0)</f>
        <v/>
      </c>
      <c r="AJ1839" s="42" t="str">
        <f t="array" ref="AJ1839">XLOOKUP($E1839,Sheet11!$D:$D,Sheet11!$Y:$Y,"",0)</f>
        <v/>
      </c>
    </row>
    <row r="1840">
      <c r="A1840" s="23"/>
      <c r="B1840" s="42"/>
      <c r="C1840" s="42"/>
      <c r="D1840" s="42"/>
      <c r="E1840" s="42"/>
      <c r="F1840" s="42"/>
      <c r="G1840" s="42"/>
      <c r="H1840" s="42"/>
      <c r="I1840" s="42"/>
      <c r="J1840" s="42"/>
      <c r="K1840" s="42"/>
      <c r="L1840" s="46"/>
      <c r="M1840" s="46"/>
      <c r="N1840" s="46"/>
      <c r="O1840" s="61"/>
      <c r="P1840" s="62"/>
      <c r="Q1840" s="46"/>
      <c r="R1840" s="47"/>
      <c r="S1840" s="62"/>
      <c r="T1840" s="62"/>
      <c r="U1840" s="46"/>
      <c r="V1840" s="61"/>
      <c r="W1840" s="62"/>
      <c r="X1840" s="47"/>
      <c r="Y1840" s="46"/>
      <c r="Z1840" s="46"/>
      <c r="AA1840" s="46"/>
      <c r="AB1840" s="49"/>
      <c r="AC1840" s="42"/>
      <c r="AD1840" s="42"/>
      <c r="AE1840" s="50"/>
      <c r="AF1840" s="42"/>
      <c r="AG1840" s="42"/>
      <c r="AH1840" s="42"/>
      <c r="AI1840" s="42" t="str">
        <f t="array" ref="AI1840">XLOOKUP($E1840,Sheet11!$D:$D,Sheet11!$X:$X,"",0)</f>
        <v/>
      </c>
      <c r="AJ1840" s="42" t="str">
        <f t="array" ref="AJ1840">XLOOKUP($E1840,Sheet11!$D:$D,Sheet11!$Y:$Y,"",0)</f>
        <v/>
      </c>
    </row>
    <row r="1841">
      <c r="A1841" s="23"/>
      <c r="B1841" s="42"/>
      <c r="C1841" s="42"/>
      <c r="D1841" s="42"/>
      <c r="E1841" s="42"/>
      <c r="F1841" s="42"/>
      <c r="G1841" s="42"/>
      <c r="H1841" s="42"/>
      <c r="I1841" s="42"/>
      <c r="J1841" s="42"/>
      <c r="K1841" s="42"/>
      <c r="L1841" s="46"/>
      <c r="M1841" s="46"/>
      <c r="N1841" s="46"/>
      <c r="O1841" s="61"/>
      <c r="P1841" s="62"/>
      <c r="Q1841" s="46"/>
      <c r="R1841" s="47"/>
      <c r="S1841" s="62"/>
      <c r="T1841" s="62"/>
      <c r="U1841" s="46"/>
      <c r="V1841" s="61"/>
      <c r="W1841" s="62"/>
      <c r="X1841" s="47"/>
      <c r="Y1841" s="46"/>
      <c r="Z1841" s="46"/>
      <c r="AA1841" s="46"/>
      <c r="AB1841" s="49"/>
      <c r="AC1841" s="42"/>
      <c r="AD1841" s="42"/>
      <c r="AE1841" s="50"/>
      <c r="AF1841" s="42"/>
      <c r="AG1841" s="42"/>
      <c r="AH1841" s="42"/>
      <c r="AI1841" s="42" t="str">
        <f t="array" ref="AI1841">XLOOKUP($E1841,Sheet11!$D:$D,Sheet11!$X:$X,"",0)</f>
        <v/>
      </c>
      <c r="AJ1841" s="42" t="str">
        <f t="array" ref="AJ1841">XLOOKUP($E1841,Sheet11!$D:$D,Sheet11!$Y:$Y,"",0)</f>
        <v/>
      </c>
    </row>
    <row r="1842">
      <c r="A1842" s="23"/>
      <c r="B1842" s="42"/>
      <c r="C1842" s="42"/>
      <c r="D1842" s="42"/>
      <c r="E1842" s="42"/>
      <c r="F1842" s="42"/>
      <c r="G1842" s="42"/>
      <c r="H1842" s="42"/>
      <c r="I1842" s="42"/>
      <c r="J1842" s="42"/>
      <c r="K1842" s="42"/>
      <c r="L1842" s="46"/>
      <c r="M1842" s="46"/>
      <c r="N1842" s="46"/>
      <c r="O1842" s="61"/>
      <c r="P1842" s="62"/>
      <c r="Q1842" s="46"/>
      <c r="R1842" s="47"/>
      <c r="S1842" s="62"/>
      <c r="T1842" s="62"/>
      <c r="U1842" s="46"/>
      <c r="V1842" s="61"/>
      <c r="W1842" s="62"/>
      <c r="X1842" s="47"/>
      <c r="Y1842" s="46"/>
      <c r="Z1842" s="46"/>
      <c r="AA1842" s="46"/>
      <c r="AB1842" s="49"/>
      <c r="AC1842" s="42"/>
      <c r="AD1842" s="42"/>
      <c r="AE1842" s="50"/>
      <c r="AF1842" s="42"/>
      <c r="AG1842" s="42"/>
      <c r="AH1842" s="42"/>
      <c r="AI1842" s="42" t="str">
        <f t="array" ref="AI1842">XLOOKUP($E1842,Sheet11!$D:$D,Sheet11!$X:$X,"",0)</f>
        <v/>
      </c>
      <c r="AJ1842" s="42" t="str">
        <f t="array" ref="AJ1842">XLOOKUP($E1842,Sheet11!$D:$D,Sheet11!$Y:$Y,"",0)</f>
        <v/>
      </c>
    </row>
    <row r="1843">
      <c r="A1843" s="23"/>
      <c r="B1843" s="42"/>
      <c r="C1843" s="42"/>
      <c r="D1843" s="42"/>
      <c r="E1843" s="42"/>
      <c r="F1843" s="42"/>
      <c r="G1843" s="42"/>
      <c r="H1843" s="42"/>
      <c r="I1843" s="42"/>
      <c r="J1843" s="42"/>
      <c r="K1843" s="42"/>
      <c r="L1843" s="46"/>
      <c r="M1843" s="46"/>
      <c r="N1843" s="46"/>
      <c r="O1843" s="61"/>
      <c r="P1843" s="62"/>
      <c r="Q1843" s="46"/>
      <c r="R1843" s="47"/>
      <c r="S1843" s="62"/>
      <c r="T1843" s="62"/>
      <c r="U1843" s="46"/>
      <c r="V1843" s="61"/>
      <c r="W1843" s="62"/>
      <c r="X1843" s="47"/>
      <c r="Y1843" s="46"/>
      <c r="Z1843" s="46"/>
      <c r="AA1843" s="46"/>
      <c r="AB1843" s="49"/>
      <c r="AC1843" s="42"/>
      <c r="AD1843" s="42"/>
      <c r="AE1843" s="50"/>
      <c r="AF1843" s="42"/>
      <c r="AG1843" s="42"/>
      <c r="AH1843" s="42"/>
      <c r="AI1843" s="42" t="str">
        <f t="array" ref="AI1843">XLOOKUP($E1843,Sheet11!$D:$D,Sheet11!$X:$X,"",0)</f>
        <v/>
      </c>
      <c r="AJ1843" s="42" t="str">
        <f t="array" ref="AJ1843">XLOOKUP($E1843,Sheet11!$D:$D,Sheet11!$Y:$Y,"",0)</f>
        <v/>
      </c>
    </row>
    <row r="1844">
      <c r="A1844" s="23"/>
      <c r="B1844" s="42"/>
      <c r="C1844" s="42"/>
      <c r="D1844" s="42"/>
      <c r="E1844" s="42"/>
      <c r="F1844" s="42"/>
      <c r="G1844" s="42"/>
      <c r="H1844" s="42"/>
      <c r="I1844" s="42"/>
      <c r="J1844" s="42"/>
      <c r="K1844" s="42"/>
      <c r="L1844" s="46"/>
      <c r="M1844" s="46"/>
      <c r="N1844" s="46"/>
      <c r="O1844" s="61"/>
      <c r="P1844" s="62"/>
      <c r="Q1844" s="46"/>
      <c r="R1844" s="47"/>
      <c r="S1844" s="62"/>
      <c r="T1844" s="62"/>
      <c r="U1844" s="46"/>
      <c r="V1844" s="61"/>
      <c r="W1844" s="62"/>
      <c r="X1844" s="47"/>
      <c r="Y1844" s="46"/>
      <c r="Z1844" s="46"/>
      <c r="AA1844" s="46"/>
      <c r="AB1844" s="49"/>
      <c r="AC1844" s="42"/>
      <c r="AD1844" s="42"/>
      <c r="AE1844" s="50"/>
      <c r="AF1844" s="42"/>
      <c r="AG1844" s="42"/>
      <c r="AH1844" s="42"/>
      <c r="AI1844" s="42" t="str">
        <f t="array" ref="AI1844">XLOOKUP($E1844,Sheet11!$D:$D,Sheet11!$X:$X,"",0)</f>
        <v/>
      </c>
      <c r="AJ1844" s="42" t="str">
        <f t="array" ref="AJ1844">XLOOKUP($E1844,Sheet11!$D:$D,Sheet11!$Y:$Y,"",0)</f>
        <v/>
      </c>
    </row>
    <row r="1845">
      <c r="A1845" s="23"/>
      <c r="B1845" s="42"/>
      <c r="C1845" s="42"/>
      <c r="D1845" s="42"/>
      <c r="E1845" s="42"/>
      <c r="F1845" s="42"/>
      <c r="G1845" s="42"/>
      <c r="H1845" s="42"/>
      <c r="I1845" s="42"/>
      <c r="J1845" s="42"/>
      <c r="K1845" s="42"/>
      <c r="L1845" s="46"/>
      <c r="M1845" s="46"/>
      <c r="N1845" s="46"/>
      <c r="O1845" s="61"/>
      <c r="P1845" s="62"/>
      <c r="Q1845" s="46"/>
      <c r="R1845" s="47"/>
      <c r="S1845" s="62"/>
      <c r="T1845" s="62"/>
      <c r="U1845" s="46"/>
      <c r="V1845" s="61"/>
      <c r="W1845" s="62"/>
      <c r="X1845" s="47"/>
      <c r="Y1845" s="46"/>
      <c r="Z1845" s="46"/>
      <c r="AA1845" s="46"/>
      <c r="AB1845" s="49"/>
      <c r="AC1845" s="42"/>
      <c r="AD1845" s="42"/>
      <c r="AE1845" s="50"/>
      <c r="AF1845" s="42"/>
      <c r="AG1845" s="42"/>
      <c r="AH1845" s="42"/>
      <c r="AI1845" s="42" t="str">
        <f t="array" ref="AI1845">XLOOKUP($E1845,Sheet11!$D:$D,Sheet11!$X:$X,"",0)</f>
        <v/>
      </c>
      <c r="AJ1845" s="42" t="str">
        <f t="array" ref="AJ1845">XLOOKUP($E1845,Sheet11!$D:$D,Sheet11!$Y:$Y,"",0)</f>
        <v/>
      </c>
    </row>
    <row r="1846">
      <c r="A1846" s="23"/>
      <c r="B1846" s="42"/>
      <c r="C1846" s="42"/>
      <c r="D1846" s="42"/>
      <c r="E1846" s="42"/>
      <c r="F1846" s="42"/>
      <c r="G1846" s="42"/>
      <c r="H1846" s="42"/>
      <c r="I1846" s="42"/>
      <c r="J1846" s="42"/>
      <c r="K1846" s="42"/>
      <c r="L1846" s="46"/>
      <c r="M1846" s="46"/>
      <c r="N1846" s="46"/>
      <c r="O1846" s="61"/>
      <c r="P1846" s="62"/>
      <c r="Q1846" s="46"/>
      <c r="R1846" s="47"/>
      <c r="S1846" s="62"/>
      <c r="T1846" s="62"/>
      <c r="U1846" s="46"/>
      <c r="V1846" s="61"/>
      <c r="W1846" s="62"/>
      <c r="X1846" s="47"/>
      <c r="Y1846" s="46"/>
      <c r="Z1846" s="46"/>
      <c r="AA1846" s="46"/>
      <c r="AB1846" s="49"/>
      <c r="AC1846" s="42"/>
      <c r="AD1846" s="42"/>
      <c r="AE1846" s="50"/>
      <c r="AF1846" s="42"/>
      <c r="AG1846" s="42"/>
      <c r="AH1846" s="42"/>
      <c r="AI1846" s="42" t="str">
        <f t="array" ref="AI1846">XLOOKUP($E1846,Sheet11!$D:$D,Sheet11!$X:$X,"",0)</f>
        <v/>
      </c>
      <c r="AJ1846" s="42" t="str">
        <f t="array" ref="AJ1846">XLOOKUP($E1846,Sheet11!$D:$D,Sheet11!$Y:$Y,"",0)</f>
        <v/>
      </c>
    </row>
    <row r="1847">
      <c r="A1847" s="23"/>
      <c r="B1847" s="42"/>
      <c r="C1847" s="42"/>
      <c r="D1847" s="42"/>
      <c r="E1847" s="42"/>
      <c r="F1847" s="42"/>
      <c r="G1847" s="42"/>
      <c r="H1847" s="42"/>
      <c r="I1847" s="42"/>
      <c r="J1847" s="42"/>
      <c r="K1847" s="42"/>
      <c r="L1847" s="46"/>
      <c r="M1847" s="46"/>
      <c r="N1847" s="46"/>
      <c r="O1847" s="61"/>
      <c r="P1847" s="62"/>
      <c r="Q1847" s="46"/>
      <c r="R1847" s="47"/>
      <c r="S1847" s="62"/>
      <c r="T1847" s="62"/>
      <c r="U1847" s="46"/>
      <c r="V1847" s="61"/>
      <c r="W1847" s="62"/>
      <c r="X1847" s="47"/>
      <c r="Y1847" s="46"/>
      <c r="Z1847" s="46"/>
      <c r="AA1847" s="46"/>
      <c r="AB1847" s="49"/>
      <c r="AC1847" s="42"/>
      <c r="AD1847" s="42"/>
      <c r="AE1847" s="50"/>
      <c r="AF1847" s="42"/>
      <c r="AG1847" s="42"/>
      <c r="AH1847" s="42"/>
      <c r="AI1847" s="42" t="str">
        <f t="array" ref="AI1847">XLOOKUP($E1847,Sheet11!$D:$D,Sheet11!$X:$X,"",0)</f>
        <v/>
      </c>
      <c r="AJ1847" s="42" t="str">
        <f t="array" ref="AJ1847">XLOOKUP($E1847,Sheet11!$D:$D,Sheet11!$Y:$Y,"",0)</f>
        <v/>
      </c>
    </row>
    <row r="1848">
      <c r="A1848" s="23"/>
      <c r="B1848" s="42"/>
      <c r="C1848" s="42"/>
      <c r="D1848" s="42"/>
      <c r="E1848" s="42"/>
      <c r="F1848" s="42"/>
      <c r="G1848" s="42"/>
      <c r="H1848" s="42"/>
      <c r="I1848" s="42"/>
      <c r="J1848" s="42"/>
      <c r="K1848" s="42"/>
      <c r="L1848" s="46"/>
      <c r="M1848" s="46"/>
      <c r="N1848" s="46"/>
      <c r="O1848" s="61"/>
      <c r="P1848" s="62"/>
      <c r="Q1848" s="46"/>
      <c r="R1848" s="47"/>
      <c r="S1848" s="62"/>
      <c r="T1848" s="62"/>
      <c r="U1848" s="46"/>
      <c r="V1848" s="61"/>
      <c r="W1848" s="62"/>
      <c r="X1848" s="47"/>
      <c r="Y1848" s="46"/>
      <c r="Z1848" s="46"/>
      <c r="AA1848" s="46"/>
      <c r="AB1848" s="49"/>
      <c r="AC1848" s="42"/>
      <c r="AD1848" s="42"/>
      <c r="AE1848" s="50"/>
      <c r="AF1848" s="42"/>
      <c r="AG1848" s="42"/>
      <c r="AH1848" s="42"/>
      <c r="AI1848" s="42" t="str">
        <f t="array" ref="AI1848">XLOOKUP($E1848,Sheet11!$D:$D,Sheet11!$X:$X,"",0)</f>
        <v/>
      </c>
      <c r="AJ1848" s="42" t="str">
        <f t="array" ref="AJ1848">XLOOKUP($E1848,Sheet11!$D:$D,Sheet11!$Y:$Y,"",0)</f>
        <v/>
      </c>
    </row>
    <row r="1849">
      <c r="A1849" s="23"/>
      <c r="B1849" s="42"/>
      <c r="C1849" s="42"/>
      <c r="D1849" s="42"/>
      <c r="E1849" s="42"/>
      <c r="F1849" s="42"/>
      <c r="G1849" s="42"/>
      <c r="H1849" s="42"/>
      <c r="I1849" s="42"/>
      <c r="J1849" s="42"/>
      <c r="K1849" s="42"/>
      <c r="L1849" s="46"/>
      <c r="M1849" s="46"/>
      <c r="N1849" s="46"/>
      <c r="O1849" s="61"/>
      <c r="P1849" s="62"/>
      <c r="Q1849" s="46"/>
      <c r="R1849" s="47"/>
      <c r="S1849" s="62"/>
      <c r="T1849" s="62"/>
      <c r="U1849" s="46"/>
      <c r="V1849" s="61"/>
      <c r="W1849" s="62"/>
      <c r="X1849" s="47"/>
      <c r="Y1849" s="46"/>
      <c r="Z1849" s="46"/>
      <c r="AA1849" s="46"/>
      <c r="AB1849" s="49"/>
      <c r="AC1849" s="42"/>
      <c r="AD1849" s="42"/>
      <c r="AE1849" s="50"/>
      <c r="AF1849" s="42"/>
      <c r="AG1849" s="42"/>
      <c r="AH1849" s="42"/>
      <c r="AI1849" s="42" t="str">
        <f t="array" ref="AI1849">XLOOKUP($E1849,Sheet11!$D:$D,Sheet11!$X:$X,"",0)</f>
        <v/>
      </c>
      <c r="AJ1849" s="42" t="str">
        <f t="array" ref="AJ1849">XLOOKUP($E1849,Sheet11!$D:$D,Sheet11!$Y:$Y,"",0)</f>
        <v/>
      </c>
    </row>
    <row r="1850">
      <c r="A1850" s="23"/>
      <c r="B1850" s="42"/>
      <c r="C1850" s="42"/>
      <c r="D1850" s="42"/>
      <c r="E1850" s="42"/>
      <c r="F1850" s="42"/>
      <c r="G1850" s="42"/>
      <c r="H1850" s="42"/>
      <c r="I1850" s="42"/>
      <c r="J1850" s="42"/>
      <c r="K1850" s="42"/>
      <c r="L1850" s="46"/>
      <c r="M1850" s="46"/>
      <c r="N1850" s="46"/>
      <c r="O1850" s="61"/>
      <c r="P1850" s="62"/>
      <c r="Q1850" s="46"/>
      <c r="R1850" s="47"/>
      <c r="S1850" s="62"/>
      <c r="T1850" s="62"/>
      <c r="U1850" s="46"/>
      <c r="V1850" s="61"/>
      <c r="W1850" s="62"/>
      <c r="X1850" s="47"/>
      <c r="Y1850" s="46"/>
      <c r="Z1850" s="46"/>
      <c r="AA1850" s="46"/>
      <c r="AB1850" s="49"/>
      <c r="AC1850" s="42"/>
      <c r="AD1850" s="42"/>
      <c r="AE1850" s="50"/>
      <c r="AF1850" s="42"/>
      <c r="AG1850" s="42"/>
      <c r="AH1850" s="42"/>
      <c r="AI1850" s="42" t="str">
        <f t="array" ref="AI1850">XLOOKUP($E1850,Sheet11!$D:$D,Sheet11!$X:$X,"",0)</f>
        <v/>
      </c>
      <c r="AJ1850" s="42" t="str">
        <f t="array" ref="AJ1850">XLOOKUP($E1850,Sheet11!$D:$D,Sheet11!$Y:$Y,"",0)</f>
        <v/>
      </c>
    </row>
    <row r="1851">
      <c r="A1851" s="23"/>
      <c r="B1851" s="42"/>
      <c r="C1851" s="42"/>
      <c r="D1851" s="42"/>
      <c r="E1851" s="42"/>
      <c r="F1851" s="42"/>
      <c r="G1851" s="42"/>
      <c r="H1851" s="42"/>
      <c r="I1851" s="42"/>
      <c r="J1851" s="42"/>
      <c r="K1851" s="42"/>
      <c r="L1851" s="46"/>
      <c r="M1851" s="46"/>
      <c r="N1851" s="46"/>
      <c r="O1851" s="61"/>
      <c r="P1851" s="62"/>
      <c r="Q1851" s="46"/>
      <c r="R1851" s="47"/>
      <c r="S1851" s="62"/>
      <c r="T1851" s="62"/>
      <c r="U1851" s="46"/>
      <c r="V1851" s="61"/>
      <c r="W1851" s="62"/>
      <c r="X1851" s="47"/>
      <c r="Y1851" s="46"/>
      <c r="Z1851" s="46"/>
      <c r="AA1851" s="46"/>
      <c r="AB1851" s="49"/>
      <c r="AC1851" s="42"/>
      <c r="AD1851" s="42"/>
      <c r="AE1851" s="50"/>
      <c r="AF1851" s="42"/>
      <c r="AG1851" s="42"/>
      <c r="AH1851" s="42"/>
      <c r="AI1851" s="42" t="str">
        <f t="array" ref="AI1851">XLOOKUP($E1851,Sheet11!$D:$D,Sheet11!$X:$X,"",0)</f>
        <v/>
      </c>
      <c r="AJ1851" s="42" t="str">
        <f t="array" ref="AJ1851">XLOOKUP($E1851,Sheet11!$D:$D,Sheet11!$Y:$Y,"",0)</f>
        <v/>
      </c>
    </row>
    <row r="1852">
      <c r="A1852" s="23"/>
      <c r="B1852" s="42"/>
      <c r="C1852" s="42"/>
      <c r="D1852" s="42"/>
      <c r="E1852" s="42"/>
      <c r="F1852" s="42"/>
      <c r="G1852" s="42"/>
      <c r="H1852" s="42"/>
      <c r="I1852" s="42"/>
      <c r="J1852" s="42"/>
      <c r="K1852" s="42"/>
      <c r="L1852" s="46"/>
      <c r="M1852" s="46"/>
      <c r="N1852" s="46"/>
      <c r="O1852" s="61"/>
      <c r="P1852" s="62"/>
      <c r="Q1852" s="46"/>
      <c r="R1852" s="47"/>
      <c r="S1852" s="62"/>
      <c r="T1852" s="62"/>
      <c r="U1852" s="46"/>
      <c r="V1852" s="61"/>
      <c r="W1852" s="62"/>
      <c r="X1852" s="47"/>
      <c r="Y1852" s="46"/>
      <c r="Z1852" s="46"/>
      <c r="AA1852" s="46"/>
      <c r="AB1852" s="49"/>
      <c r="AC1852" s="42"/>
      <c r="AD1852" s="42"/>
      <c r="AE1852" s="50"/>
      <c r="AF1852" s="42"/>
      <c r="AG1852" s="42"/>
      <c r="AH1852" s="42"/>
      <c r="AI1852" s="42" t="str">
        <f t="array" ref="AI1852">XLOOKUP($E1852,Sheet11!$D:$D,Sheet11!$X:$X,"",0)</f>
        <v/>
      </c>
      <c r="AJ1852" s="42" t="str">
        <f t="array" ref="AJ1852">XLOOKUP($E1852,Sheet11!$D:$D,Sheet11!$Y:$Y,"",0)</f>
        <v/>
      </c>
    </row>
    <row r="1853">
      <c r="A1853" s="23"/>
      <c r="B1853" s="42"/>
      <c r="C1853" s="42"/>
      <c r="D1853" s="42"/>
      <c r="E1853" s="42"/>
      <c r="F1853" s="42"/>
      <c r="G1853" s="42"/>
      <c r="H1853" s="42"/>
      <c r="I1853" s="42"/>
      <c r="J1853" s="42"/>
      <c r="K1853" s="42"/>
      <c r="L1853" s="46"/>
      <c r="M1853" s="46"/>
      <c r="N1853" s="46"/>
      <c r="O1853" s="61"/>
      <c r="P1853" s="62"/>
      <c r="Q1853" s="46"/>
      <c r="R1853" s="47"/>
      <c r="S1853" s="62"/>
      <c r="T1853" s="62"/>
      <c r="U1853" s="46"/>
      <c r="V1853" s="61"/>
      <c r="W1853" s="62"/>
      <c r="X1853" s="47"/>
      <c r="Y1853" s="46"/>
      <c r="Z1853" s="46"/>
      <c r="AA1853" s="46"/>
      <c r="AB1853" s="49"/>
      <c r="AC1853" s="42"/>
      <c r="AD1853" s="42"/>
      <c r="AE1853" s="50"/>
      <c r="AF1853" s="42"/>
      <c r="AG1853" s="42"/>
      <c r="AH1853" s="42"/>
      <c r="AI1853" s="42" t="str">
        <f t="array" ref="AI1853">XLOOKUP($E1853,Sheet11!$D:$D,Sheet11!$X:$X,"",0)</f>
        <v/>
      </c>
      <c r="AJ1853" s="42" t="str">
        <f t="array" ref="AJ1853">XLOOKUP($E1853,Sheet11!$D:$D,Sheet11!$Y:$Y,"",0)</f>
        <v/>
      </c>
    </row>
    <row r="1854">
      <c r="A1854" s="23"/>
      <c r="B1854" s="42"/>
      <c r="C1854" s="42"/>
      <c r="D1854" s="42"/>
      <c r="E1854" s="42"/>
      <c r="F1854" s="42"/>
      <c r="G1854" s="42"/>
      <c r="H1854" s="42"/>
      <c r="I1854" s="42"/>
      <c r="J1854" s="42"/>
      <c r="K1854" s="42"/>
      <c r="L1854" s="46"/>
      <c r="M1854" s="46"/>
      <c r="N1854" s="46"/>
      <c r="O1854" s="61"/>
      <c r="P1854" s="62"/>
      <c r="Q1854" s="46"/>
      <c r="R1854" s="47"/>
      <c r="S1854" s="62"/>
      <c r="T1854" s="62"/>
      <c r="U1854" s="46"/>
      <c r="V1854" s="61"/>
      <c r="W1854" s="62"/>
      <c r="X1854" s="47"/>
      <c r="Y1854" s="46"/>
      <c r="Z1854" s="46"/>
      <c r="AA1854" s="46"/>
      <c r="AB1854" s="49"/>
      <c r="AC1854" s="42"/>
      <c r="AD1854" s="42"/>
      <c r="AE1854" s="50"/>
      <c r="AF1854" s="42"/>
      <c r="AG1854" s="42"/>
      <c r="AH1854" s="42"/>
      <c r="AI1854" s="42" t="str">
        <f t="array" ref="AI1854">XLOOKUP($E1854,Sheet11!$D:$D,Sheet11!$X:$X,"",0)</f>
        <v/>
      </c>
      <c r="AJ1854" s="42" t="str">
        <f t="array" ref="AJ1854">XLOOKUP($E1854,Sheet11!$D:$D,Sheet11!$Y:$Y,"",0)</f>
        <v/>
      </c>
    </row>
    <row r="1855">
      <c r="A1855" s="23"/>
      <c r="B1855" s="42"/>
      <c r="C1855" s="42"/>
      <c r="D1855" s="42"/>
      <c r="E1855" s="42"/>
      <c r="F1855" s="42"/>
      <c r="G1855" s="42"/>
      <c r="H1855" s="42"/>
      <c r="I1855" s="42"/>
      <c r="J1855" s="42"/>
      <c r="K1855" s="42"/>
      <c r="L1855" s="46"/>
      <c r="M1855" s="46"/>
      <c r="N1855" s="46"/>
      <c r="O1855" s="61"/>
      <c r="P1855" s="62"/>
      <c r="Q1855" s="46"/>
      <c r="R1855" s="47"/>
      <c r="S1855" s="62"/>
      <c r="T1855" s="62"/>
      <c r="U1855" s="46"/>
      <c r="V1855" s="61"/>
      <c r="W1855" s="62"/>
      <c r="X1855" s="47"/>
      <c r="Y1855" s="46"/>
      <c r="Z1855" s="46"/>
      <c r="AA1855" s="46"/>
      <c r="AB1855" s="49"/>
      <c r="AC1855" s="42"/>
      <c r="AD1855" s="42"/>
      <c r="AE1855" s="50"/>
      <c r="AF1855" s="42"/>
      <c r="AG1855" s="42"/>
      <c r="AH1855" s="42"/>
      <c r="AI1855" s="42" t="str">
        <f t="array" ref="AI1855">XLOOKUP($E1855,Sheet11!$D:$D,Sheet11!$X:$X,"",0)</f>
        <v/>
      </c>
      <c r="AJ1855" s="42" t="str">
        <f t="array" ref="AJ1855">XLOOKUP($E1855,Sheet11!$D:$D,Sheet11!$Y:$Y,"",0)</f>
        <v/>
      </c>
    </row>
    <row r="1856">
      <c r="A1856" s="23"/>
      <c r="B1856" s="42"/>
      <c r="C1856" s="42"/>
      <c r="D1856" s="42"/>
      <c r="E1856" s="42"/>
      <c r="F1856" s="42"/>
      <c r="G1856" s="42"/>
      <c r="H1856" s="42"/>
      <c r="I1856" s="42"/>
      <c r="J1856" s="42"/>
      <c r="K1856" s="42"/>
      <c r="L1856" s="46"/>
      <c r="M1856" s="46"/>
      <c r="N1856" s="46"/>
      <c r="O1856" s="61"/>
      <c r="P1856" s="62"/>
      <c r="Q1856" s="46"/>
      <c r="R1856" s="47"/>
      <c r="S1856" s="62"/>
      <c r="T1856" s="62"/>
      <c r="U1856" s="46"/>
      <c r="V1856" s="61"/>
      <c r="W1856" s="62"/>
      <c r="X1856" s="47"/>
      <c r="Y1856" s="46"/>
      <c r="Z1856" s="46"/>
      <c r="AA1856" s="46"/>
      <c r="AB1856" s="49"/>
      <c r="AC1856" s="42"/>
      <c r="AD1856" s="42"/>
      <c r="AE1856" s="50"/>
      <c r="AF1856" s="42"/>
      <c r="AG1856" s="42"/>
      <c r="AH1856" s="42"/>
      <c r="AI1856" s="42" t="str">
        <f t="array" ref="AI1856">XLOOKUP($E1856,Sheet11!$D:$D,Sheet11!$X:$X,"",0)</f>
        <v/>
      </c>
      <c r="AJ1856" s="42" t="str">
        <f t="array" ref="AJ1856">XLOOKUP($E1856,Sheet11!$D:$D,Sheet11!$Y:$Y,"",0)</f>
        <v/>
      </c>
    </row>
    <row r="1857">
      <c r="A1857" s="23"/>
      <c r="B1857" s="42"/>
      <c r="C1857" s="42"/>
      <c r="D1857" s="42"/>
      <c r="E1857" s="42"/>
      <c r="F1857" s="42"/>
      <c r="G1857" s="42"/>
      <c r="H1857" s="42"/>
      <c r="I1857" s="42"/>
      <c r="J1857" s="42"/>
      <c r="K1857" s="42"/>
      <c r="L1857" s="46"/>
      <c r="M1857" s="46"/>
      <c r="N1857" s="46"/>
      <c r="O1857" s="61"/>
      <c r="P1857" s="62"/>
      <c r="Q1857" s="46"/>
      <c r="R1857" s="47"/>
      <c r="S1857" s="62"/>
      <c r="T1857" s="62"/>
      <c r="U1857" s="46"/>
      <c r="V1857" s="61"/>
      <c r="W1857" s="62"/>
      <c r="X1857" s="47"/>
      <c r="Y1857" s="46"/>
      <c r="Z1857" s="46"/>
      <c r="AA1857" s="46"/>
      <c r="AB1857" s="49"/>
      <c r="AC1857" s="42"/>
      <c r="AD1857" s="42"/>
      <c r="AE1857" s="50"/>
      <c r="AF1857" s="42"/>
      <c r="AG1857" s="42"/>
      <c r="AH1857" s="42"/>
      <c r="AI1857" s="42" t="str">
        <f t="array" ref="AI1857">XLOOKUP($E1857,Sheet11!$D:$D,Sheet11!$X:$X,"",0)</f>
        <v/>
      </c>
      <c r="AJ1857" s="42" t="str">
        <f t="array" ref="AJ1857">XLOOKUP($E1857,Sheet11!$D:$D,Sheet11!$Y:$Y,"",0)</f>
        <v/>
      </c>
    </row>
    <row r="1858">
      <c r="A1858" s="23"/>
      <c r="B1858" s="42"/>
      <c r="C1858" s="42"/>
      <c r="D1858" s="42"/>
      <c r="E1858" s="42"/>
      <c r="F1858" s="42"/>
      <c r="G1858" s="42"/>
      <c r="H1858" s="42"/>
      <c r="I1858" s="42"/>
      <c r="J1858" s="42"/>
      <c r="K1858" s="42"/>
      <c r="L1858" s="46"/>
      <c r="M1858" s="46"/>
      <c r="N1858" s="46"/>
      <c r="O1858" s="61"/>
      <c r="P1858" s="62"/>
      <c r="Q1858" s="46"/>
      <c r="R1858" s="47"/>
      <c r="S1858" s="62"/>
      <c r="T1858" s="62"/>
      <c r="U1858" s="46"/>
      <c r="V1858" s="61"/>
      <c r="W1858" s="62"/>
      <c r="X1858" s="47"/>
      <c r="Y1858" s="46"/>
      <c r="Z1858" s="46"/>
      <c r="AA1858" s="46"/>
      <c r="AB1858" s="49"/>
      <c r="AC1858" s="42"/>
      <c r="AD1858" s="42"/>
      <c r="AE1858" s="50"/>
      <c r="AF1858" s="42"/>
      <c r="AG1858" s="42"/>
      <c r="AH1858" s="42"/>
      <c r="AI1858" s="42" t="str">
        <f t="array" ref="AI1858">XLOOKUP($E1858,Sheet11!$D:$D,Sheet11!$X:$X,"",0)</f>
        <v/>
      </c>
      <c r="AJ1858" s="42" t="str">
        <f t="array" ref="AJ1858">XLOOKUP($E1858,Sheet11!$D:$D,Sheet11!$Y:$Y,"",0)</f>
        <v/>
      </c>
    </row>
    <row r="1859">
      <c r="A1859" s="23"/>
      <c r="B1859" s="42"/>
      <c r="C1859" s="42"/>
      <c r="D1859" s="42"/>
      <c r="E1859" s="42"/>
      <c r="F1859" s="42"/>
      <c r="G1859" s="42"/>
      <c r="H1859" s="42"/>
      <c r="I1859" s="42"/>
      <c r="J1859" s="42"/>
      <c r="K1859" s="42"/>
      <c r="L1859" s="46"/>
      <c r="M1859" s="46"/>
      <c r="N1859" s="46"/>
      <c r="O1859" s="61"/>
      <c r="P1859" s="62"/>
      <c r="Q1859" s="46"/>
      <c r="R1859" s="47"/>
      <c r="S1859" s="62"/>
      <c r="T1859" s="62"/>
      <c r="U1859" s="46"/>
      <c r="V1859" s="61"/>
      <c r="W1859" s="62"/>
      <c r="X1859" s="47"/>
      <c r="Y1859" s="46"/>
      <c r="Z1859" s="46"/>
      <c r="AA1859" s="46"/>
      <c r="AB1859" s="49"/>
      <c r="AC1859" s="42"/>
      <c r="AD1859" s="42"/>
      <c r="AE1859" s="50"/>
      <c r="AF1859" s="42"/>
      <c r="AG1859" s="42"/>
      <c r="AH1859" s="42"/>
      <c r="AI1859" s="42" t="str">
        <f t="array" ref="AI1859">XLOOKUP($E1859,Sheet11!$D:$D,Sheet11!$X:$X,"",0)</f>
        <v/>
      </c>
      <c r="AJ1859" s="42" t="str">
        <f t="array" ref="AJ1859">XLOOKUP($E1859,Sheet11!$D:$D,Sheet11!$Y:$Y,"",0)</f>
        <v/>
      </c>
    </row>
    <row r="1860">
      <c r="A1860" s="23"/>
      <c r="B1860" s="42"/>
      <c r="C1860" s="42"/>
      <c r="D1860" s="42"/>
      <c r="E1860" s="42"/>
      <c r="F1860" s="42"/>
      <c r="G1860" s="42"/>
      <c r="H1860" s="42"/>
      <c r="I1860" s="42"/>
      <c r="J1860" s="42"/>
      <c r="K1860" s="42"/>
      <c r="L1860" s="46"/>
      <c r="M1860" s="46"/>
      <c r="N1860" s="46"/>
      <c r="O1860" s="61"/>
      <c r="P1860" s="62"/>
      <c r="Q1860" s="46"/>
      <c r="R1860" s="47"/>
      <c r="S1860" s="62"/>
      <c r="T1860" s="62"/>
      <c r="U1860" s="46"/>
      <c r="V1860" s="61"/>
      <c r="W1860" s="62"/>
      <c r="X1860" s="47"/>
      <c r="Y1860" s="46"/>
      <c r="Z1860" s="46"/>
      <c r="AA1860" s="46"/>
      <c r="AB1860" s="49"/>
      <c r="AC1860" s="42"/>
      <c r="AD1860" s="42"/>
      <c r="AE1860" s="50"/>
      <c r="AF1860" s="42"/>
      <c r="AG1860" s="42"/>
      <c r="AH1860" s="42"/>
      <c r="AI1860" s="42" t="str">
        <f t="array" ref="AI1860">XLOOKUP($E1860,Sheet11!$D:$D,Sheet11!$X:$X,"",0)</f>
        <v/>
      </c>
      <c r="AJ1860" s="42" t="str">
        <f t="array" ref="AJ1860">XLOOKUP($E1860,Sheet11!$D:$D,Sheet11!$Y:$Y,"",0)</f>
        <v/>
      </c>
    </row>
    <row r="1861">
      <c r="A1861" s="23"/>
      <c r="B1861" s="42"/>
      <c r="C1861" s="42"/>
      <c r="D1861" s="42"/>
      <c r="E1861" s="42"/>
      <c r="F1861" s="42"/>
      <c r="G1861" s="42"/>
      <c r="H1861" s="42"/>
      <c r="I1861" s="42"/>
      <c r="J1861" s="42"/>
      <c r="K1861" s="42"/>
      <c r="L1861" s="46"/>
      <c r="M1861" s="46"/>
      <c r="N1861" s="46"/>
      <c r="O1861" s="61"/>
      <c r="P1861" s="62"/>
      <c r="Q1861" s="46"/>
      <c r="R1861" s="47"/>
      <c r="S1861" s="62"/>
      <c r="T1861" s="62"/>
      <c r="U1861" s="46"/>
      <c r="V1861" s="61"/>
      <c r="W1861" s="62"/>
      <c r="X1861" s="47"/>
      <c r="Y1861" s="46"/>
      <c r="Z1861" s="46"/>
      <c r="AA1861" s="46"/>
      <c r="AB1861" s="49"/>
      <c r="AC1861" s="42"/>
      <c r="AD1861" s="42"/>
      <c r="AE1861" s="50"/>
      <c r="AF1861" s="42"/>
      <c r="AG1861" s="42"/>
      <c r="AH1861" s="42"/>
      <c r="AI1861" s="42" t="str">
        <f t="array" ref="AI1861">XLOOKUP($E1861,Sheet11!$D:$D,Sheet11!$X:$X,"",0)</f>
        <v/>
      </c>
      <c r="AJ1861" s="42" t="str">
        <f t="array" ref="AJ1861">XLOOKUP($E1861,Sheet11!$D:$D,Sheet11!$Y:$Y,"",0)</f>
        <v/>
      </c>
    </row>
    <row r="1862">
      <c r="A1862" s="23"/>
      <c r="B1862" s="42"/>
      <c r="C1862" s="42"/>
      <c r="D1862" s="42"/>
      <c r="E1862" s="42"/>
      <c r="F1862" s="42"/>
      <c r="G1862" s="42"/>
      <c r="H1862" s="42"/>
      <c r="I1862" s="42"/>
      <c r="J1862" s="42"/>
      <c r="K1862" s="42"/>
      <c r="L1862" s="46"/>
      <c r="M1862" s="46"/>
      <c r="N1862" s="46"/>
      <c r="O1862" s="61"/>
      <c r="P1862" s="62"/>
      <c r="Q1862" s="46"/>
      <c r="R1862" s="47"/>
      <c r="S1862" s="62"/>
      <c r="T1862" s="62"/>
      <c r="U1862" s="46"/>
      <c r="V1862" s="61"/>
      <c r="W1862" s="62"/>
      <c r="X1862" s="47"/>
      <c r="Y1862" s="46"/>
      <c r="Z1862" s="46"/>
      <c r="AA1862" s="46"/>
      <c r="AB1862" s="49"/>
      <c r="AC1862" s="42"/>
      <c r="AD1862" s="42"/>
      <c r="AE1862" s="50"/>
      <c r="AF1862" s="42"/>
      <c r="AG1862" s="42"/>
      <c r="AH1862" s="42"/>
      <c r="AI1862" s="42" t="str">
        <f t="array" ref="AI1862">XLOOKUP($E1862,Sheet11!$D:$D,Sheet11!$X:$X,"",0)</f>
        <v/>
      </c>
      <c r="AJ1862" s="42" t="str">
        <f t="array" ref="AJ1862">XLOOKUP($E1862,Sheet11!$D:$D,Sheet11!$Y:$Y,"",0)</f>
        <v/>
      </c>
    </row>
    <row r="1863">
      <c r="A1863" s="23"/>
      <c r="B1863" s="42"/>
      <c r="C1863" s="42"/>
      <c r="D1863" s="42"/>
      <c r="E1863" s="42"/>
      <c r="F1863" s="42"/>
      <c r="G1863" s="42"/>
      <c r="H1863" s="42"/>
      <c r="I1863" s="42"/>
      <c r="J1863" s="42"/>
      <c r="K1863" s="42"/>
      <c r="L1863" s="46"/>
      <c r="M1863" s="46"/>
      <c r="N1863" s="46"/>
      <c r="O1863" s="61"/>
      <c r="P1863" s="62"/>
      <c r="Q1863" s="46"/>
      <c r="R1863" s="47"/>
      <c r="S1863" s="62"/>
      <c r="T1863" s="62"/>
      <c r="U1863" s="46"/>
      <c r="V1863" s="61"/>
      <c r="W1863" s="62"/>
      <c r="X1863" s="47"/>
      <c r="Y1863" s="46"/>
      <c r="Z1863" s="46"/>
      <c r="AA1863" s="46"/>
      <c r="AB1863" s="49"/>
      <c r="AC1863" s="42"/>
      <c r="AD1863" s="42"/>
      <c r="AE1863" s="50"/>
      <c r="AF1863" s="42"/>
      <c r="AG1863" s="42"/>
      <c r="AH1863" s="42"/>
      <c r="AI1863" s="42" t="str">
        <f t="array" ref="AI1863">XLOOKUP($E1863,Sheet11!$D:$D,Sheet11!$X:$X,"",0)</f>
        <v/>
      </c>
      <c r="AJ1863" s="42" t="str">
        <f t="array" ref="AJ1863">XLOOKUP($E1863,Sheet11!$D:$D,Sheet11!$Y:$Y,"",0)</f>
        <v/>
      </c>
    </row>
    <row r="1864">
      <c r="A1864" s="23"/>
      <c r="B1864" s="42"/>
      <c r="C1864" s="42"/>
      <c r="D1864" s="42"/>
      <c r="E1864" s="42"/>
      <c r="F1864" s="42"/>
      <c r="G1864" s="42"/>
      <c r="H1864" s="42"/>
      <c r="I1864" s="42"/>
      <c r="J1864" s="42"/>
      <c r="K1864" s="42"/>
      <c r="L1864" s="46"/>
      <c r="M1864" s="46"/>
      <c r="N1864" s="46"/>
      <c r="O1864" s="61"/>
      <c r="P1864" s="62"/>
      <c r="Q1864" s="46"/>
      <c r="R1864" s="47"/>
      <c r="S1864" s="62"/>
      <c r="T1864" s="62"/>
      <c r="U1864" s="46"/>
      <c r="V1864" s="61"/>
      <c r="W1864" s="62"/>
      <c r="X1864" s="47"/>
      <c r="Y1864" s="46"/>
      <c r="Z1864" s="46"/>
      <c r="AA1864" s="46"/>
      <c r="AB1864" s="49"/>
      <c r="AC1864" s="42"/>
      <c r="AD1864" s="42"/>
      <c r="AE1864" s="50"/>
      <c r="AF1864" s="42"/>
      <c r="AG1864" s="42"/>
      <c r="AH1864" s="42"/>
      <c r="AI1864" s="42" t="str">
        <f t="array" ref="AI1864">XLOOKUP($E1864,Sheet11!$D:$D,Sheet11!$X:$X,"",0)</f>
        <v/>
      </c>
      <c r="AJ1864" s="42" t="str">
        <f t="array" ref="AJ1864">XLOOKUP($E1864,Sheet11!$D:$D,Sheet11!$Y:$Y,"",0)</f>
        <v/>
      </c>
    </row>
    <row r="1865">
      <c r="A1865" s="23"/>
      <c r="B1865" s="42"/>
      <c r="C1865" s="42"/>
      <c r="D1865" s="42"/>
      <c r="E1865" s="42"/>
      <c r="F1865" s="42"/>
      <c r="G1865" s="42"/>
      <c r="H1865" s="42"/>
      <c r="I1865" s="42"/>
      <c r="J1865" s="42"/>
      <c r="K1865" s="42"/>
      <c r="L1865" s="46"/>
      <c r="M1865" s="46"/>
      <c r="N1865" s="46"/>
      <c r="O1865" s="61"/>
      <c r="P1865" s="62"/>
      <c r="Q1865" s="46"/>
      <c r="R1865" s="47"/>
      <c r="S1865" s="62"/>
      <c r="T1865" s="62"/>
      <c r="U1865" s="46"/>
      <c r="V1865" s="61"/>
      <c r="W1865" s="62"/>
      <c r="X1865" s="47"/>
      <c r="Y1865" s="46"/>
      <c r="Z1865" s="46"/>
      <c r="AA1865" s="46"/>
      <c r="AB1865" s="49"/>
      <c r="AC1865" s="42"/>
      <c r="AD1865" s="42"/>
      <c r="AE1865" s="50"/>
      <c r="AF1865" s="42"/>
      <c r="AG1865" s="42"/>
      <c r="AH1865" s="42"/>
      <c r="AI1865" s="42" t="str">
        <f t="array" ref="AI1865">XLOOKUP($E1865,Sheet11!$D:$D,Sheet11!$X:$X,"",0)</f>
        <v/>
      </c>
      <c r="AJ1865" s="42" t="str">
        <f t="array" ref="AJ1865">XLOOKUP($E1865,Sheet11!$D:$D,Sheet11!$Y:$Y,"",0)</f>
        <v/>
      </c>
    </row>
    <row r="1866">
      <c r="A1866" s="23"/>
      <c r="B1866" s="42"/>
      <c r="C1866" s="42"/>
      <c r="D1866" s="42"/>
      <c r="E1866" s="42"/>
      <c r="F1866" s="42"/>
      <c r="G1866" s="42"/>
      <c r="H1866" s="42"/>
      <c r="I1866" s="42"/>
      <c r="J1866" s="42"/>
      <c r="K1866" s="42"/>
      <c r="L1866" s="46"/>
      <c r="M1866" s="46"/>
      <c r="N1866" s="46"/>
      <c r="O1866" s="61"/>
      <c r="P1866" s="62"/>
      <c r="Q1866" s="46"/>
      <c r="R1866" s="47"/>
      <c r="S1866" s="62"/>
      <c r="T1866" s="62"/>
      <c r="U1866" s="46"/>
      <c r="V1866" s="61"/>
      <c r="W1866" s="62"/>
      <c r="X1866" s="47"/>
      <c r="Y1866" s="46"/>
      <c r="Z1866" s="46"/>
      <c r="AA1866" s="46"/>
      <c r="AB1866" s="49"/>
      <c r="AC1866" s="42"/>
      <c r="AD1866" s="42"/>
      <c r="AE1866" s="50"/>
      <c r="AF1866" s="42"/>
      <c r="AG1866" s="42"/>
      <c r="AH1866" s="42"/>
      <c r="AI1866" s="42" t="str">
        <f t="array" ref="AI1866">XLOOKUP($E1866,Sheet11!$D:$D,Sheet11!$X:$X,"",0)</f>
        <v/>
      </c>
      <c r="AJ1866" s="42" t="str">
        <f t="array" ref="AJ1866">XLOOKUP($E1866,Sheet11!$D:$D,Sheet11!$Y:$Y,"",0)</f>
        <v/>
      </c>
    </row>
    <row r="1867">
      <c r="A1867" s="23"/>
      <c r="B1867" s="42"/>
      <c r="C1867" s="42"/>
      <c r="D1867" s="42"/>
      <c r="E1867" s="42"/>
      <c r="F1867" s="42"/>
      <c r="G1867" s="42"/>
      <c r="H1867" s="42"/>
      <c r="I1867" s="42"/>
      <c r="J1867" s="42"/>
      <c r="K1867" s="42"/>
      <c r="L1867" s="46"/>
      <c r="M1867" s="46"/>
      <c r="N1867" s="46"/>
      <c r="O1867" s="61"/>
      <c r="P1867" s="62"/>
      <c r="Q1867" s="46"/>
      <c r="R1867" s="47"/>
      <c r="S1867" s="62"/>
      <c r="T1867" s="62"/>
      <c r="U1867" s="46"/>
      <c r="V1867" s="61"/>
      <c r="W1867" s="62"/>
      <c r="X1867" s="47"/>
      <c r="Y1867" s="46"/>
      <c r="Z1867" s="46"/>
      <c r="AA1867" s="46"/>
      <c r="AB1867" s="49"/>
      <c r="AC1867" s="42"/>
      <c r="AD1867" s="42"/>
      <c r="AE1867" s="50"/>
      <c r="AF1867" s="42"/>
      <c r="AG1867" s="42"/>
      <c r="AH1867" s="42"/>
      <c r="AI1867" s="42" t="str">
        <f t="array" ref="AI1867">XLOOKUP($E1867,Sheet11!$D:$D,Sheet11!$X:$X,"",0)</f>
        <v/>
      </c>
      <c r="AJ1867" s="42" t="str">
        <f t="array" ref="AJ1867">XLOOKUP($E1867,Sheet11!$D:$D,Sheet11!$Y:$Y,"",0)</f>
        <v/>
      </c>
    </row>
    <row r="1868">
      <c r="A1868" s="23"/>
      <c r="B1868" s="42"/>
      <c r="C1868" s="42"/>
      <c r="D1868" s="42"/>
      <c r="E1868" s="42"/>
      <c r="F1868" s="42"/>
      <c r="G1868" s="42"/>
      <c r="H1868" s="42"/>
      <c r="I1868" s="42"/>
      <c r="J1868" s="42"/>
      <c r="K1868" s="42"/>
      <c r="L1868" s="46"/>
      <c r="M1868" s="46"/>
      <c r="N1868" s="46"/>
      <c r="O1868" s="61"/>
      <c r="P1868" s="62"/>
      <c r="Q1868" s="46"/>
      <c r="R1868" s="47"/>
      <c r="S1868" s="62"/>
      <c r="T1868" s="62"/>
      <c r="U1868" s="46"/>
      <c r="V1868" s="61"/>
      <c r="W1868" s="62"/>
      <c r="X1868" s="47"/>
      <c r="Y1868" s="46"/>
      <c r="Z1868" s="46"/>
      <c r="AA1868" s="46"/>
      <c r="AB1868" s="49"/>
      <c r="AC1868" s="42"/>
      <c r="AD1868" s="42"/>
      <c r="AE1868" s="50"/>
      <c r="AF1868" s="42"/>
      <c r="AG1868" s="42"/>
      <c r="AH1868" s="42"/>
      <c r="AI1868" s="42" t="str">
        <f t="array" ref="AI1868">XLOOKUP($E1868,Sheet11!$D:$D,Sheet11!$X:$X,"",0)</f>
        <v/>
      </c>
      <c r="AJ1868" s="42" t="str">
        <f t="array" ref="AJ1868">XLOOKUP($E1868,Sheet11!$D:$D,Sheet11!$Y:$Y,"",0)</f>
        <v/>
      </c>
    </row>
    <row r="1869">
      <c r="A1869" s="23"/>
      <c r="B1869" s="42"/>
      <c r="C1869" s="42"/>
      <c r="D1869" s="42"/>
      <c r="E1869" s="42"/>
      <c r="F1869" s="42"/>
      <c r="G1869" s="42"/>
      <c r="H1869" s="42"/>
      <c r="I1869" s="42"/>
      <c r="J1869" s="42"/>
      <c r="K1869" s="42"/>
      <c r="L1869" s="46"/>
      <c r="M1869" s="46"/>
      <c r="N1869" s="46"/>
      <c r="O1869" s="61"/>
      <c r="P1869" s="62"/>
      <c r="Q1869" s="46"/>
      <c r="R1869" s="47"/>
      <c r="S1869" s="62"/>
      <c r="T1869" s="62"/>
      <c r="U1869" s="46"/>
      <c r="V1869" s="61"/>
      <c r="W1869" s="62"/>
      <c r="X1869" s="47"/>
      <c r="Y1869" s="46"/>
      <c r="Z1869" s="46"/>
      <c r="AA1869" s="46"/>
      <c r="AB1869" s="49"/>
      <c r="AC1869" s="42"/>
      <c r="AD1869" s="42"/>
      <c r="AE1869" s="50"/>
      <c r="AF1869" s="42"/>
      <c r="AG1869" s="42"/>
      <c r="AH1869" s="42"/>
      <c r="AI1869" s="42" t="str">
        <f t="array" ref="AI1869">XLOOKUP($E1869,Sheet11!$D:$D,Sheet11!$X:$X,"",0)</f>
        <v/>
      </c>
      <c r="AJ1869" s="42" t="str">
        <f t="array" ref="AJ1869">XLOOKUP($E1869,Sheet11!$D:$D,Sheet11!$Y:$Y,"",0)</f>
        <v/>
      </c>
    </row>
    <row r="1870">
      <c r="A1870" s="23"/>
      <c r="B1870" s="42"/>
      <c r="C1870" s="42"/>
      <c r="D1870" s="42"/>
      <c r="E1870" s="42"/>
      <c r="F1870" s="42"/>
      <c r="G1870" s="42"/>
      <c r="H1870" s="42"/>
      <c r="I1870" s="42"/>
      <c r="J1870" s="42"/>
      <c r="K1870" s="42"/>
      <c r="L1870" s="46"/>
      <c r="M1870" s="46"/>
      <c r="N1870" s="46"/>
      <c r="O1870" s="61"/>
      <c r="P1870" s="62"/>
      <c r="Q1870" s="46"/>
      <c r="R1870" s="47"/>
      <c r="S1870" s="62"/>
      <c r="T1870" s="62"/>
      <c r="U1870" s="46"/>
      <c r="V1870" s="61"/>
      <c r="W1870" s="62"/>
      <c r="X1870" s="47"/>
      <c r="Y1870" s="46"/>
      <c r="Z1870" s="46"/>
      <c r="AA1870" s="46"/>
      <c r="AB1870" s="49"/>
      <c r="AC1870" s="42"/>
      <c r="AD1870" s="42"/>
      <c r="AE1870" s="50"/>
      <c r="AF1870" s="42"/>
      <c r="AG1870" s="42"/>
      <c r="AH1870" s="42"/>
      <c r="AI1870" s="42" t="str">
        <f t="array" ref="AI1870">XLOOKUP($E1870,Sheet11!$D:$D,Sheet11!$X:$X,"",0)</f>
        <v/>
      </c>
      <c r="AJ1870" s="42" t="str">
        <f t="array" ref="AJ1870">XLOOKUP($E1870,Sheet11!$D:$D,Sheet11!$Y:$Y,"",0)</f>
        <v/>
      </c>
    </row>
    <row r="1871">
      <c r="A1871" s="23"/>
      <c r="B1871" s="42"/>
      <c r="C1871" s="42"/>
      <c r="D1871" s="42"/>
      <c r="E1871" s="42"/>
      <c r="F1871" s="42"/>
      <c r="G1871" s="42"/>
      <c r="H1871" s="42"/>
      <c r="I1871" s="42"/>
      <c r="J1871" s="42"/>
      <c r="K1871" s="42"/>
      <c r="L1871" s="46"/>
      <c r="M1871" s="46"/>
      <c r="N1871" s="46"/>
      <c r="O1871" s="61"/>
      <c r="P1871" s="62"/>
      <c r="Q1871" s="46"/>
      <c r="R1871" s="47"/>
      <c r="S1871" s="62"/>
      <c r="T1871" s="62"/>
      <c r="U1871" s="46"/>
      <c r="V1871" s="61"/>
      <c r="W1871" s="62"/>
      <c r="X1871" s="47"/>
      <c r="Y1871" s="46"/>
      <c r="Z1871" s="46"/>
      <c r="AA1871" s="46"/>
      <c r="AB1871" s="49"/>
      <c r="AC1871" s="42"/>
      <c r="AD1871" s="42"/>
      <c r="AE1871" s="50"/>
      <c r="AF1871" s="42"/>
      <c r="AG1871" s="42"/>
      <c r="AH1871" s="42"/>
      <c r="AI1871" s="42" t="str">
        <f t="array" ref="AI1871">XLOOKUP($E1871,Sheet11!$D:$D,Sheet11!$X:$X,"",0)</f>
        <v/>
      </c>
      <c r="AJ1871" s="42" t="str">
        <f t="array" ref="AJ1871">XLOOKUP($E1871,Sheet11!$D:$D,Sheet11!$Y:$Y,"",0)</f>
        <v/>
      </c>
    </row>
    <row r="1872">
      <c r="A1872" s="23"/>
      <c r="B1872" s="42"/>
      <c r="C1872" s="42"/>
      <c r="D1872" s="42"/>
      <c r="E1872" s="42"/>
      <c r="F1872" s="42"/>
      <c r="G1872" s="42"/>
      <c r="H1872" s="42"/>
      <c r="I1872" s="42"/>
      <c r="J1872" s="42"/>
      <c r="K1872" s="42"/>
      <c r="L1872" s="46"/>
      <c r="M1872" s="46"/>
      <c r="N1872" s="46"/>
      <c r="O1872" s="61"/>
      <c r="P1872" s="62"/>
      <c r="Q1872" s="46"/>
      <c r="R1872" s="47"/>
      <c r="S1872" s="62"/>
      <c r="T1872" s="62"/>
      <c r="U1872" s="46"/>
      <c r="V1872" s="61"/>
      <c r="W1872" s="62"/>
      <c r="X1872" s="47"/>
      <c r="Y1872" s="46"/>
      <c r="Z1872" s="46"/>
      <c r="AA1872" s="46"/>
      <c r="AB1872" s="49"/>
      <c r="AC1872" s="42"/>
      <c r="AD1872" s="42"/>
      <c r="AE1872" s="50"/>
      <c r="AF1872" s="42"/>
      <c r="AG1872" s="42"/>
      <c r="AH1872" s="42"/>
      <c r="AI1872" s="42" t="str">
        <f t="array" ref="AI1872">XLOOKUP($E1872,Sheet11!$D:$D,Sheet11!$X:$X,"",0)</f>
        <v/>
      </c>
      <c r="AJ1872" s="42" t="str">
        <f t="array" ref="AJ1872">XLOOKUP($E1872,Sheet11!$D:$D,Sheet11!$Y:$Y,"",0)</f>
        <v/>
      </c>
    </row>
    <row r="1873">
      <c r="A1873" s="23"/>
      <c r="B1873" s="42"/>
      <c r="C1873" s="42"/>
      <c r="D1873" s="42"/>
      <c r="E1873" s="42"/>
      <c r="F1873" s="42"/>
      <c r="G1873" s="42"/>
      <c r="H1873" s="42"/>
      <c r="I1873" s="42"/>
      <c r="J1873" s="42"/>
      <c r="K1873" s="42"/>
      <c r="L1873" s="46"/>
      <c r="M1873" s="46"/>
      <c r="N1873" s="46"/>
      <c r="O1873" s="61"/>
      <c r="P1873" s="62"/>
      <c r="Q1873" s="46"/>
      <c r="R1873" s="47"/>
      <c r="S1873" s="62"/>
      <c r="T1873" s="62"/>
      <c r="U1873" s="46"/>
      <c r="V1873" s="61"/>
      <c r="W1873" s="62"/>
      <c r="X1873" s="47"/>
      <c r="Y1873" s="46"/>
      <c r="Z1873" s="46"/>
      <c r="AA1873" s="46"/>
      <c r="AB1873" s="49"/>
      <c r="AC1873" s="42"/>
      <c r="AD1873" s="42"/>
      <c r="AE1873" s="50"/>
      <c r="AF1873" s="42"/>
      <c r="AG1873" s="42"/>
      <c r="AH1873" s="42"/>
      <c r="AI1873" s="42" t="str">
        <f t="array" ref="AI1873">XLOOKUP($E1873,Sheet11!$D:$D,Sheet11!$X:$X,"",0)</f>
        <v/>
      </c>
      <c r="AJ1873" s="42" t="str">
        <f t="array" ref="AJ1873">XLOOKUP($E1873,Sheet11!$D:$D,Sheet11!$Y:$Y,"",0)</f>
        <v/>
      </c>
    </row>
    <row r="1874">
      <c r="A1874" s="23"/>
      <c r="B1874" s="42"/>
      <c r="C1874" s="42"/>
      <c r="D1874" s="42"/>
      <c r="E1874" s="42"/>
      <c r="F1874" s="42"/>
      <c r="G1874" s="42"/>
      <c r="H1874" s="42"/>
      <c r="I1874" s="42"/>
      <c r="J1874" s="42"/>
      <c r="K1874" s="42"/>
      <c r="L1874" s="46"/>
      <c r="M1874" s="46"/>
      <c r="N1874" s="46"/>
      <c r="O1874" s="61"/>
      <c r="P1874" s="62"/>
      <c r="Q1874" s="46"/>
      <c r="R1874" s="47"/>
      <c r="S1874" s="62"/>
      <c r="T1874" s="62"/>
      <c r="U1874" s="46"/>
      <c r="V1874" s="61"/>
      <c r="W1874" s="62"/>
      <c r="X1874" s="47"/>
      <c r="Y1874" s="46"/>
      <c r="Z1874" s="46"/>
      <c r="AA1874" s="46"/>
      <c r="AB1874" s="49"/>
      <c r="AC1874" s="42"/>
      <c r="AD1874" s="42"/>
      <c r="AE1874" s="50"/>
      <c r="AF1874" s="42"/>
      <c r="AG1874" s="42"/>
      <c r="AH1874" s="42"/>
      <c r="AI1874" s="42" t="str">
        <f t="array" ref="AI1874">XLOOKUP($E1874,Sheet11!$D:$D,Sheet11!$X:$X,"",0)</f>
        <v/>
      </c>
      <c r="AJ1874" s="42" t="str">
        <f t="array" ref="AJ1874">XLOOKUP($E1874,Sheet11!$D:$D,Sheet11!$Y:$Y,"",0)</f>
        <v/>
      </c>
    </row>
    <row r="1875">
      <c r="A1875" s="23"/>
      <c r="B1875" s="42"/>
      <c r="C1875" s="42"/>
      <c r="D1875" s="42"/>
      <c r="E1875" s="42"/>
      <c r="F1875" s="42"/>
      <c r="G1875" s="42"/>
      <c r="H1875" s="42"/>
      <c r="I1875" s="42"/>
      <c r="J1875" s="42"/>
      <c r="K1875" s="42"/>
      <c r="L1875" s="46"/>
      <c r="M1875" s="46"/>
      <c r="N1875" s="46"/>
      <c r="O1875" s="61"/>
      <c r="P1875" s="62"/>
      <c r="Q1875" s="46"/>
      <c r="R1875" s="47"/>
      <c r="S1875" s="62"/>
      <c r="T1875" s="62"/>
      <c r="U1875" s="46"/>
      <c r="V1875" s="61"/>
      <c r="W1875" s="62"/>
      <c r="X1875" s="47"/>
      <c r="Y1875" s="46"/>
      <c r="Z1875" s="46"/>
      <c r="AA1875" s="46"/>
      <c r="AB1875" s="49"/>
      <c r="AC1875" s="42"/>
      <c r="AD1875" s="42"/>
      <c r="AE1875" s="50"/>
      <c r="AF1875" s="42"/>
      <c r="AG1875" s="42"/>
      <c r="AH1875" s="42"/>
      <c r="AI1875" s="42" t="str">
        <f t="array" ref="AI1875">XLOOKUP($E1875,Sheet11!$D:$D,Sheet11!$X:$X,"",0)</f>
        <v/>
      </c>
      <c r="AJ1875" s="42" t="str">
        <f t="array" ref="AJ1875">XLOOKUP($E1875,Sheet11!$D:$D,Sheet11!$Y:$Y,"",0)</f>
        <v/>
      </c>
    </row>
    <row r="1876">
      <c r="A1876" s="23"/>
      <c r="B1876" s="42"/>
      <c r="C1876" s="42"/>
      <c r="D1876" s="42"/>
      <c r="E1876" s="42"/>
      <c r="F1876" s="42"/>
      <c r="G1876" s="42"/>
      <c r="H1876" s="42"/>
      <c r="I1876" s="42"/>
      <c r="J1876" s="42"/>
      <c r="K1876" s="42"/>
      <c r="L1876" s="46"/>
      <c r="M1876" s="46"/>
      <c r="N1876" s="46"/>
      <c r="O1876" s="61"/>
      <c r="P1876" s="62"/>
      <c r="Q1876" s="46"/>
      <c r="R1876" s="47"/>
      <c r="S1876" s="62"/>
      <c r="T1876" s="62"/>
      <c r="U1876" s="46"/>
      <c r="V1876" s="61"/>
      <c r="W1876" s="62"/>
      <c r="X1876" s="47"/>
      <c r="Y1876" s="46"/>
      <c r="Z1876" s="46"/>
      <c r="AA1876" s="46"/>
      <c r="AB1876" s="49"/>
      <c r="AC1876" s="42"/>
      <c r="AD1876" s="42"/>
      <c r="AE1876" s="50"/>
      <c r="AF1876" s="42"/>
      <c r="AG1876" s="42"/>
      <c r="AH1876" s="42"/>
      <c r="AI1876" s="42" t="str">
        <f t="array" ref="AI1876">XLOOKUP($E1876,Sheet11!$D:$D,Sheet11!$X:$X,"",0)</f>
        <v/>
      </c>
      <c r="AJ1876" s="42" t="str">
        <f t="array" ref="AJ1876">XLOOKUP($E1876,Sheet11!$D:$D,Sheet11!$Y:$Y,"",0)</f>
        <v/>
      </c>
    </row>
    <row r="1877">
      <c r="A1877" s="23"/>
      <c r="B1877" s="42"/>
      <c r="C1877" s="42"/>
      <c r="D1877" s="42"/>
      <c r="E1877" s="42"/>
      <c r="F1877" s="42"/>
      <c r="G1877" s="42"/>
      <c r="H1877" s="42"/>
      <c r="I1877" s="42"/>
      <c r="J1877" s="42"/>
      <c r="K1877" s="42"/>
      <c r="L1877" s="46"/>
      <c r="M1877" s="46"/>
      <c r="N1877" s="46"/>
      <c r="O1877" s="61"/>
      <c r="P1877" s="62"/>
      <c r="Q1877" s="46"/>
      <c r="R1877" s="47"/>
      <c r="S1877" s="62"/>
      <c r="T1877" s="62"/>
      <c r="U1877" s="46"/>
      <c r="V1877" s="61"/>
      <c r="W1877" s="62"/>
      <c r="X1877" s="47"/>
      <c r="Y1877" s="46"/>
      <c r="Z1877" s="46"/>
      <c r="AA1877" s="46"/>
      <c r="AB1877" s="49"/>
      <c r="AC1877" s="42"/>
      <c r="AD1877" s="42"/>
      <c r="AE1877" s="50"/>
      <c r="AF1877" s="42"/>
      <c r="AG1877" s="42"/>
      <c r="AH1877" s="42"/>
      <c r="AI1877" s="42" t="str">
        <f t="array" ref="AI1877">XLOOKUP($E1877,Sheet11!$D:$D,Sheet11!$X:$X,"",0)</f>
        <v/>
      </c>
      <c r="AJ1877" s="42" t="str">
        <f t="array" ref="AJ1877">XLOOKUP($E1877,Sheet11!$D:$D,Sheet11!$Y:$Y,"",0)</f>
        <v/>
      </c>
    </row>
    <row r="1878">
      <c r="A1878" s="23"/>
      <c r="B1878" s="42"/>
      <c r="C1878" s="42"/>
      <c r="D1878" s="42"/>
      <c r="E1878" s="42"/>
      <c r="F1878" s="42"/>
      <c r="G1878" s="42"/>
      <c r="H1878" s="42"/>
      <c r="I1878" s="42"/>
      <c r="J1878" s="42"/>
      <c r="K1878" s="42"/>
      <c r="L1878" s="46"/>
      <c r="M1878" s="46"/>
      <c r="N1878" s="46"/>
      <c r="O1878" s="61"/>
      <c r="P1878" s="62"/>
      <c r="Q1878" s="46"/>
      <c r="R1878" s="47"/>
      <c r="S1878" s="62"/>
      <c r="T1878" s="62"/>
      <c r="U1878" s="46"/>
      <c r="V1878" s="61"/>
      <c r="W1878" s="62"/>
      <c r="X1878" s="47"/>
      <c r="Y1878" s="46"/>
      <c r="Z1878" s="46"/>
      <c r="AA1878" s="46"/>
      <c r="AB1878" s="49"/>
      <c r="AC1878" s="42"/>
      <c r="AD1878" s="42"/>
      <c r="AE1878" s="50"/>
      <c r="AF1878" s="42"/>
      <c r="AG1878" s="42"/>
      <c r="AH1878" s="42"/>
      <c r="AI1878" s="42" t="str">
        <f t="array" ref="AI1878">XLOOKUP($E1878,Sheet11!$D:$D,Sheet11!$X:$X,"",0)</f>
        <v/>
      </c>
      <c r="AJ1878" s="42" t="str">
        <f t="array" ref="AJ1878">XLOOKUP($E1878,Sheet11!$D:$D,Sheet11!$Y:$Y,"",0)</f>
        <v/>
      </c>
    </row>
    <row r="1879">
      <c r="A1879" s="23"/>
      <c r="B1879" s="42"/>
      <c r="C1879" s="42"/>
      <c r="D1879" s="42"/>
      <c r="E1879" s="42"/>
      <c r="F1879" s="42"/>
      <c r="G1879" s="42"/>
      <c r="H1879" s="42"/>
      <c r="I1879" s="42"/>
      <c r="J1879" s="42"/>
      <c r="K1879" s="42"/>
      <c r="L1879" s="46"/>
      <c r="M1879" s="46"/>
      <c r="N1879" s="46"/>
      <c r="O1879" s="61"/>
      <c r="P1879" s="62"/>
      <c r="Q1879" s="46"/>
      <c r="R1879" s="47"/>
      <c r="S1879" s="62"/>
      <c r="T1879" s="62"/>
      <c r="U1879" s="46"/>
      <c r="V1879" s="61"/>
      <c r="W1879" s="62"/>
      <c r="X1879" s="47"/>
      <c r="Y1879" s="46"/>
      <c r="Z1879" s="46"/>
      <c r="AA1879" s="46"/>
      <c r="AB1879" s="49"/>
      <c r="AC1879" s="42"/>
      <c r="AD1879" s="42"/>
      <c r="AE1879" s="50"/>
      <c r="AF1879" s="42"/>
      <c r="AG1879" s="42"/>
      <c r="AH1879" s="42"/>
      <c r="AI1879" s="42" t="str">
        <f t="array" ref="AI1879">XLOOKUP($E1879,Sheet11!$D:$D,Sheet11!$X:$X,"",0)</f>
        <v/>
      </c>
      <c r="AJ1879" s="42" t="str">
        <f t="array" ref="AJ1879">XLOOKUP($E1879,Sheet11!$D:$D,Sheet11!$Y:$Y,"",0)</f>
        <v/>
      </c>
    </row>
    <row r="1880">
      <c r="A1880" s="23"/>
      <c r="B1880" s="42"/>
      <c r="C1880" s="42"/>
      <c r="D1880" s="42"/>
      <c r="E1880" s="42"/>
      <c r="F1880" s="42"/>
      <c r="G1880" s="42"/>
      <c r="H1880" s="42"/>
      <c r="I1880" s="42"/>
      <c r="J1880" s="42"/>
      <c r="K1880" s="42"/>
      <c r="L1880" s="46"/>
      <c r="M1880" s="46"/>
      <c r="N1880" s="46"/>
      <c r="O1880" s="61"/>
      <c r="P1880" s="62"/>
      <c r="Q1880" s="46"/>
      <c r="R1880" s="47"/>
      <c r="S1880" s="62"/>
      <c r="T1880" s="62"/>
      <c r="U1880" s="46"/>
      <c r="V1880" s="61"/>
      <c r="W1880" s="62"/>
      <c r="X1880" s="47"/>
      <c r="Y1880" s="46"/>
      <c r="Z1880" s="46"/>
      <c r="AA1880" s="46"/>
      <c r="AB1880" s="49"/>
      <c r="AC1880" s="42"/>
      <c r="AD1880" s="42"/>
      <c r="AE1880" s="50"/>
      <c r="AF1880" s="42"/>
      <c r="AG1880" s="42"/>
      <c r="AH1880" s="42"/>
      <c r="AI1880" s="42" t="str">
        <f t="array" ref="AI1880">XLOOKUP($E1880,Sheet11!$D:$D,Sheet11!$X:$X,"",0)</f>
        <v/>
      </c>
      <c r="AJ1880" s="42" t="str">
        <f t="array" ref="AJ1880">XLOOKUP($E1880,Sheet11!$D:$D,Sheet11!$Y:$Y,"",0)</f>
        <v/>
      </c>
    </row>
    <row r="1881">
      <c r="A1881" s="23"/>
      <c r="B1881" s="42"/>
      <c r="C1881" s="42"/>
      <c r="D1881" s="42"/>
      <c r="E1881" s="42"/>
      <c r="F1881" s="42"/>
      <c r="G1881" s="42"/>
      <c r="H1881" s="42"/>
      <c r="I1881" s="42"/>
      <c r="J1881" s="42"/>
      <c r="K1881" s="42"/>
      <c r="L1881" s="46"/>
      <c r="M1881" s="46"/>
      <c r="N1881" s="46"/>
      <c r="O1881" s="61"/>
      <c r="P1881" s="62"/>
      <c r="Q1881" s="46"/>
      <c r="R1881" s="47"/>
      <c r="S1881" s="62"/>
      <c r="T1881" s="62"/>
      <c r="U1881" s="46"/>
      <c r="V1881" s="61"/>
      <c r="W1881" s="62"/>
      <c r="X1881" s="47"/>
      <c r="Y1881" s="46"/>
      <c r="Z1881" s="46"/>
      <c r="AA1881" s="46"/>
      <c r="AB1881" s="49"/>
      <c r="AC1881" s="42"/>
      <c r="AD1881" s="42"/>
      <c r="AE1881" s="50"/>
      <c r="AF1881" s="42"/>
      <c r="AG1881" s="42"/>
      <c r="AH1881" s="42"/>
      <c r="AI1881" s="42" t="str">
        <f t="array" ref="AI1881">XLOOKUP($E1881,Sheet11!$D:$D,Sheet11!$X:$X,"",0)</f>
        <v/>
      </c>
      <c r="AJ1881" s="42" t="str">
        <f t="array" ref="AJ1881">XLOOKUP($E1881,Sheet11!$D:$D,Sheet11!$Y:$Y,"",0)</f>
        <v/>
      </c>
    </row>
    <row r="1882">
      <c r="A1882" s="23"/>
      <c r="B1882" s="42"/>
      <c r="C1882" s="42"/>
      <c r="D1882" s="42"/>
      <c r="E1882" s="42"/>
      <c r="F1882" s="42"/>
      <c r="G1882" s="42"/>
      <c r="H1882" s="42"/>
      <c r="I1882" s="42"/>
      <c r="J1882" s="42"/>
      <c r="K1882" s="42"/>
      <c r="L1882" s="46"/>
      <c r="M1882" s="46"/>
      <c r="N1882" s="46"/>
      <c r="O1882" s="61"/>
      <c r="P1882" s="62"/>
      <c r="Q1882" s="46"/>
      <c r="R1882" s="47"/>
      <c r="S1882" s="62"/>
      <c r="T1882" s="62"/>
      <c r="U1882" s="46"/>
      <c r="V1882" s="61"/>
      <c r="W1882" s="62"/>
      <c r="X1882" s="47"/>
      <c r="Y1882" s="46"/>
      <c r="Z1882" s="46"/>
      <c r="AA1882" s="46"/>
      <c r="AB1882" s="49"/>
      <c r="AC1882" s="42"/>
      <c r="AD1882" s="42"/>
      <c r="AE1882" s="50"/>
      <c r="AF1882" s="42"/>
      <c r="AG1882" s="42"/>
      <c r="AH1882" s="42"/>
      <c r="AI1882" s="42" t="str">
        <f t="array" ref="AI1882">XLOOKUP($E1882,Sheet11!$D:$D,Sheet11!$X:$X,"",0)</f>
        <v/>
      </c>
      <c r="AJ1882" s="42" t="str">
        <f t="array" ref="AJ1882">XLOOKUP($E1882,Sheet11!$D:$D,Sheet11!$Y:$Y,"",0)</f>
        <v/>
      </c>
    </row>
    <row r="1883">
      <c r="A1883" s="23"/>
      <c r="B1883" s="42"/>
      <c r="C1883" s="42"/>
      <c r="D1883" s="42"/>
      <c r="E1883" s="42"/>
      <c r="F1883" s="42"/>
      <c r="G1883" s="42"/>
      <c r="H1883" s="42"/>
      <c r="I1883" s="42"/>
      <c r="J1883" s="42"/>
      <c r="K1883" s="42"/>
      <c r="L1883" s="46"/>
      <c r="M1883" s="46"/>
      <c r="N1883" s="46"/>
      <c r="O1883" s="61"/>
      <c r="P1883" s="62"/>
      <c r="Q1883" s="46"/>
      <c r="R1883" s="47"/>
      <c r="S1883" s="62"/>
      <c r="T1883" s="62"/>
      <c r="U1883" s="46"/>
      <c r="V1883" s="61"/>
      <c r="W1883" s="62"/>
      <c r="X1883" s="47"/>
      <c r="Y1883" s="46"/>
      <c r="Z1883" s="46"/>
      <c r="AA1883" s="46"/>
      <c r="AB1883" s="49"/>
      <c r="AC1883" s="42"/>
      <c r="AD1883" s="42"/>
      <c r="AE1883" s="50"/>
      <c r="AF1883" s="42"/>
      <c r="AG1883" s="42"/>
      <c r="AH1883" s="42"/>
      <c r="AI1883" s="42" t="str">
        <f t="array" ref="AI1883">XLOOKUP($E1883,Sheet11!$D:$D,Sheet11!$X:$X,"",0)</f>
        <v/>
      </c>
      <c r="AJ1883" s="42" t="str">
        <f t="array" ref="AJ1883">XLOOKUP($E1883,Sheet11!$D:$D,Sheet11!$Y:$Y,"",0)</f>
        <v/>
      </c>
    </row>
    <row r="1884">
      <c r="A1884" s="23"/>
      <c r="B1884" s="42"/>
      <c r="C1884" s="42"/>
      <c r="D1884" s="42"/>
      <c r="E1884" s="42"/>
      <c r="F1884" s="42"/>
      <c r="G1884" s="42"/>
      <c r="H1884" s="42"/>
      <c r="I1884" s="42"/>
      <c r="J1884" s="42"/>
      <c r="K1884" s="42"/>
      <c r="L1884" s="46"/>
      <c r="M1884" s="46"/>
      <c r="N1884" s="46"/>
      <c r="O1884" s="61"/>
      <c r="P1884" s="62"/>
      <c r="Q1884" s="46"/>
      <c r="R1884" s="47"/>
      <c r="S1884" s="62"/>
      <c r="T1884" s="62"/>
      <c r="U1884" s="46"/>
      <c r="V1884" s="61"/>
      <c r="W1884" s="62"/>
      <c r="X1884" s="47"/>
      <c r="Y1884" s="46"/>
      <c r="Z1884" s="46"/>
      <c r="AA1884" s="46"/>
      <c r="AB1884" s="49"/>
      <c r="AC1884" s="42"/>
      <c r="AD1884" s="42"/>
      <c r="AE1884" s="50"/>
      <c r="AF1884" s="42"/>
      <c r="AG1884" s="42"/>
      <c r="AH1884" s="42"/>
      <c r="AI1884" s="42" t="str">
        <f t="array" ref="AI1884">XLOOKUP($E1884,Sheet11!$D:$D,Sheet11!$X:$X,"",0)</f>
        <v/>
      </c>
      <c r="AJ1884" s="42" t="str">
        <f t="array" ref="AJ1884">XLOOKUP($E1884,Sheet11!$D:$D,Sheet11!$Y:$Y,"",0)</f>
        <v/>
      </c>
    </row>
    <row r="1885">
      <c r="A1885" s="23"/>
      <c r="B1885" s="42"/>
      <c r="C1885" s="42"/>
      <c r="D1885" s="42"/>
      <c r="E1885" s="42"/>
      <c r="F1885" s="42"/>
      <c r="G1885" s="42"/>
      <c r="H1885" s="42"/>
      <c r="I1885" s="42"/>
      <c r="J1885" s="42"/>
      <c r="K1885" s="42"/>
      <c r="L1885" s="46"/>
      <c r="M1885" s="46"/>
      <c r="N1885" s="46"/>
      <c r="O1885" s="61"/>
      <c r="P1885" s="62"/>
      <c r="Q1885" s="46"/>
      <c r="R1885" s="47"/>
      <c r="S1885" s="62"/>
      <c r="T1885" s="62"/>
      <c r="U1885" s="46"/>
      <c r="V1885" s="61"/>
      <c r="W1885" s="62"/>
      <c r="X1885" s="47"/>
      <c r="Y1885" s="46"/>
      <c r="Z1885" s="46"/>
      <c r="AA1885" s="46"/>
      <c r="AB1885" s="49"/>
      <c r="AC1885" s="42"/>
      <c r="AD1885" s="42"/>
      <c r="AE1885" s="50"/>
      <c r="AF1885" s="42"/>
      <c r="AG1885" s="42"/>
      <c r="AH1885" s="42"/>
      <c r="AI1885" s="42" t="str">
        <f t="array" ref="AI1885">XLOOKUP($E1885,Sheet11!$D:$D,Sheet11!$X:$X,"",0)</f>
        <v/>
      </c>
      <c r="AJ1885" s="42" t="str">
        <f t="array" ref="AJ1885">XLOOKUP($E1885,Sheet11!$D:$D,Sheet11!$Y:$Y,"",0)</f>
        <v/>
      </c>
    </row>
    <row r="1886">
      <c r="A1886" s="23"/>
      <c r="B1886" s="42"/>
      <c r="C1886" s="42"/>
      <c r="D1886" s="42"/>
      <c r="E1886" s="42"/>
      <c r="F1886" s="42"/>
      <c r="G1886" s="42"/>
      <c r="H1886" s="42"/>
      <c r="I1886" s="42"/>
      <c r="J1886" s="42"/>
      <c r="K1886" s="42"/>
      <c r="L1886" s="46"/>
      <c r="M1886" s="46"/>
      <c r="N1886" s="46"/>
      <c r="O1886" s="61"/>
      <c r="P1886" s="62"/>
      <c r="Q1886" s="46"/>
      <c r="R1886" s="47"/>
      <c r="S1886" s="62"/>
      <c r="T1886" s="62"/>
      <c r="U1886" s="46"/>
      <c r="V1886" s="61"/>
      <c r="W1886" s="62"/>
      <c r="X1886" s="47"/>
      <c r="Y1886" s="46"/>
      <c r="Z1886" s="46"/>
      <c r="AA1886" s="46"/>
      <c r="AB1886" s="49"/>
      <c r="AC1886" s="42"/>
      <c r="AD1886" s="42"/>
      <c r="AE1886" s="50"/>
      <c r="AF1886" s="42"/>
      <c r="AG1886" s="42"/>
      <c r="AH1886" s="42"/>
      <c r="AI1886" s="42" t="str">
        <f t="array" ref="AI1886">XLOOKUP($E1886,Sheet11!$D:$D,Sheet11!$X:$X,"",0)</f>
        <v/>
      </c>
      <c r="AJ1886" s="42" t="str">
        <f t="array" ref="AJ1886">XLOOKUP($E1886,Sheet11!$D:$D,Sheet11!$Y:$Y,"",0)</f>
        <v/>
      </c>
    </row>
    <row r="1887">
      <c r="A1887" s="23"/>
      <c r="B1887" s="42"/>
      <c r="C1887" s="42"/>
      <c r="D1887" s="42"/>
      <c r="E1887" s="42"/>
      <c r="F1887" s="42"/>
      <c r="G1887" s="42"/>
      <c r="H1887" s="42"/>
      <c r="I1887" s="42"/>
      <c r="J1887" s="42"/>
      <c r="K1887" s="42"/>
      <c r="L1887" s="46"/>
      <c r="M1887" s="46"/>
      <c r="N1887" s="46"/>
      <c r="O1887" s="61"/>
      <c r="P1887" s="62"/>
      <c r="Q1887" s="46"/>
      <c r="R1887" s="47"/>
      <c r="S1887" s="62"/>
      <c r="T1887" s="62"/>
      <c r="U1887" s="46"/>
      <c r="V1887" s="61"/>
      <c r="W1887" s="62"/>
      <c r="X1887" s="47"/>
      <c r="Y1887" s="46"/>
      <c r="Z1887" s="46"/>
      <c r="AA1887" s="46"/>
      <c r="AB1887" s="49"/>
      <c r="AC1887" s="42"/>
      <c r="AD1887" s="42"/>
      <c r="AE1887" s="50"/>
      <c r="AF1887" s="42"/>
      <c r="AG1887" s="42"/>
      <c r="AH1887" s="42"/>
      <c r="AI1887" s="42" t="str">
        <f t="array" ref="AI1887">XLOOKUP($E1887,Sheet11!$D:$D,Sheet11!$X:$X,"",0)</f>
        <v/>
      </c>
      <c r="AJ1887" s="42" t="str">
        <f t="array" ref="AJ1887">XLOOKUP($E1887,Sheet11!$D:$D,Sheet11!$Y:$Y,"",0)</f>
        <v/>
      </c>
    </row>
    <row r="1888">
      <c r="A1888" s="23"/>
      <c r="B1888" s="42"/>
      <c r="C1888" s="42"/>
      <c r="D1888" s="42"/>
      <c r="E1888" s="42"/>
      <c r="F1888" s="42"/>
      <c r="G1888" s="42"/>
      <c r="H1888" s="42"/>
      <c r="I1888" s="42"/>
      <c r="J1888" s="42"/>
      <c r="K1888" s="42"/>
      <c r="L1888" s="46"/>
      <c r="M1888" s="46"/>
      <c r="N1888" s="46"/>
      <c r="O1888" s="61"/>
      <c r="P1888" s="62"/>
      <c r="Q1888" s="46"/>
      <c r="R1888" s="47"/>
      <c r="S1888" s="62"/>
      <c r="T1888" s="62"/>
      <c r="U1888" s="46"/>
      <c r="V1888" s="61"/>
      <c r="W1888" s="62"/>
      <c r="X1888" s="47"/>
      <c r="Y1888" s="46"/>
      <c r="Z1888" s="46"/>
      <c r="AA1888" s="46"/>
      <c r="AB1888" s="49"/>
      <c r="AC1888" s="42"/>
      <c r="AD1888" s="42"/>
      <c r="AE1888" s="50"/>
      <c r="AF1888" s="42"/>
      <c r="AG1888" s="42"/>
      <c r="AH1888" s="42"/>
      <c r="AI1888" s="42" t="str">
        <f t="array" ref="AI1888">XLOOKUP($E1888,Sheet11!$D:$D,Sheet11!$X:$X,"",0)</f>
        <v/>
      </c>
      <c r="AJ1888" s="42" t="str">
        <f t="array" ref="AJ1888">XLOOKUP($E1888,Sheet11!$D:$D,Sheet11!$Y:$Y,"",0)</f>
        <v/>
      </c>
    </row>
    <row r="1889">
      <c r="A1889" s="23"/>
      <c r="B1889" s="42"/>
      <c r="C1889" s="42"/>
      <c r="D1889" s="42"/>
      <c r="E1889" s="42"/>
      <c r="F1889" s="42"/>
      <c r="G1889" s="42"/>
      <c r="H1889" s="42"/>
      <c r="I1889" s="42"/>
      <c r="J1889" s="42"/>
      <c r="K1889" s="42"/>
      <c r="L1889" s="46"/>
      <c r="M1889" s="46"/>
      <c r="N1889" s="46"/>
      <c r="O1889" s="61"/>
      <c r="P1889" s="62"/>
      <c r="Q1889" s="46"/>
      <c r="R1889" s="47"/>
      <c r="S1889" s="62"/>
      <c r="T1889" s="62"/>
      <c r="U1889" s="46"/>
      <c r="V1889" s="61"/>
      <c r="W1889" s="62"/>
      <c r="X1889" s="47"/>
      <c r="Y1889" s="46"/>
      <c r="Z1889" s="46"/>
      <c r="AA1889" s="46"/>
      <c r="AB1889" s="49"/>
      <c r="AC1889" s="42"/>
      <c r="AD1889" s="42"/>
      <c r="AE1889" s="50"/>
      <c r="AF1889" s="42"/>
      <c r="AG1889" s="42"/>
      <c r="AH1889" s="42"/>
      <c r="AI1889" s="42" t="str">
        <f t="array" ref="AI1889">XLOOKUP($E1889,Sheet11!$D:$D,Sheet11!$X:$X,"",0)</f>
        <v/>
      </c>
      <c r="AJ1889" s="42" t="str">
        <f t="array" ref="AJ1889">XLOOKUP($E1889,Sheet11!$D:$D,Sheet11!$Y:$Y,"",0)</f>
        <v/>
      </c>
    </row>
    <row r="1890">
      <c r="A1890" s="23"/>
      <c r="B1890" s="42"/>
      <c r="C1890" s="42"/>
      <c r="D1890" s="42"/>
      <c r="E1890" s="42"/>
      <c r="F1890" s="42"/>
      <c r="G1890" s="42"/>
      <c r="H1890" s="42"/>
      <c r="I1890" s="42"/>
      <c r="J1890" s="42"/>
      <c r="K1890" s="42"/>
      <c r="L1890" s="46"/>
      <c r="M1890" s="46"/>
      <c r="N1890" s="46"/>
      <c r="O1890" s="61"/>
      <c r="P1890" s="62"/>
      <c r="Q1890" s="46"/>
      <c r="R1890" s="47"/>
      <c r="S1890" s="62"/>
      <c r="T1890" s="62"/>
      <c r="U1890" s="46"/>
      <c r="V1890" s="61"/>
      <c r="W1890" s="62"/>
      <c r="X1890" s="47"/>
      <c r="Y1890" s="46"/>
      <c r="Z1890" s="46"/>
      <c r="AA1890" s="46"/>
      <c r="AB1890" s="49"/>
      <c r="AC1890" s="42"/>
      <c r="AD1890" s="42"/>
      <c r="AE1890" s="50"/>
      <c r="AF1890" s="42"/>
      <c r="AG1890" s="42"/>
      <c r="AH1890" s="42"/>
      <c r="AI1890" s="42" t="str">
        <f t="array" ref="AI1890">XLOOKUP($E1890,Sheet11!$D:$D,Sheet11!$X:$X,"",0)</f>
        <v/>
      </c>
      <c r="AJ1890" s="42" t="str">
        <f t="array" ref="AJ1890">XLOOKUP($E1890,Sheet11!$D:$D,Sheet11!$Y:$Y,"",0)</f>
        <v/>
      </c>
    </row>
    <row r="1891">
      <c r="A1891" s="23"/>
      <c r="B1891" s="42"/>
      <c r="C1891" s="42"/>
      <c r="D1891" s="42"/>
      <c r="E1891" s="42"/>
      <c r="F1891" s="42"/>
      <c r="G1891" s="42"/>
      <c r="H1891" s="42"/>
      <c r="I1891" s="42"/>
      <c r="J1891" s="42"/>
      <c r="K1891" s="42"/>
      <c r="L1891" s="46"/>
      <c r="M1891" s="46"/>
      <c r="N1891" s="46"/>
      <c r="O1891" s="61"/>
      <c r="P1891" s="62"/>
      <c r="Q1891" s="46"/>
      <c r="R1891" s="47"/>
      <c r="S1891" s="62"/>
      <c r="T1891" s="62"/>
      <c r="U1891" s="46"/>
      <c r="V1891" s="61"/>
      <c r="W1891" s="62"/>
      <c r="X1891" s="47"/>
      <c r="Y1891" s="46"/>
      <c r="Z1891" s="46"/>
      <c r="AA1891" s="46"/>
      <c r="AB1891" s="49"/>
      <c r="AC1891" s="42"/>
      <c r="AD1891" s="42"/>
      <c r="AE1891" s="50"/>
      <c r="AF1891" s="42"/>
      <c r="AG1891" s="42"/>
      <c r="AH1891" s="42"/>
      <c r="AI1891" s="42" t="str">
        <f t="array" ref="AI1891">XLOOKUP($E1891,Sheet11!$D:$D,Sheet11!$X:$X,"",0)</f>
        <v/>
      </c>
      <c r="AJ1891" s="42" t="str">
        <f t="array" ref="AJ1891">XLOOKUP($E1891,Sheet11!$D:$D,Sheet11!$Y:$Y,"",0)</f>
        <v/>
      </c>
    </row>
    <row r="1892">
      <c r="A1892" s="23"/>
      <c r="B1892" s="42"/>
      <c r="C1892" s="42"/>
      <c r="D1892" s="42"/>
      <c r="E1892" s="42"/>
      <c r="F1892" s="42"/>
      <c r="G1892" s="42"/>
      <c r="H1892" s="42"/>
      <c r="I1892" s="42"/>
      <c r="J1892" s="42"/>
      <c r="K1892" s="42"/>
      <c r="L1892" s="46"/>
      <c r="M1892" s="46"/>
      <c r="N1892" s="46"/>
      <c r="O1892" s="61"/>
      <c r="P1892" s="62"/>
      <c r="Q1892" s="46"/>
      <c r="R1892" s="47"/>
      <c r="S1892" s="62"/>
      <c r="T1892" s="62"/>
      <c r="U1892" s="46"/>
      <c r="V1892" s="61"/>
      <c r="W1892" s="62"/>
      <c r="X1892" s="47"/>
      <c r="Y1892" s="46"/>
      <c r="Z1892" s="46"/>
      <c r="AA1892" s="46"/>
      <c r="AB1892" s="49"/>
      <c r="AC1892" s="42"/>
      <c r="AD1892" s="42"/>
      <c r="AE1892" s="50"/>
      <c r="AF1892" s="42"/>
      <c r="AG1892" s="42"/>
      <c r="AH1892" s="42"/>
      <c r="AI1892" s="42" t="str">
        <f t="array" ref="AI1892">XLOOKUP($E1892,Sheet11!$D:$D,Sheet11!$X:$X,"",0)</f>
        <v/>
      </c>
      <c r="AJ1892" s="42" t="str">
        <f t="array" ref="AJ1892">XLOOKUP($E1892,Sheet11!$D:$D,Sheet11!$Y:$Y,"",0)</f>
        <v/>
      </c>
    </row>
    <row r="1893">
      <c r="A1893" s="23"/>
      <c r="B1893" s="42"/>
      <c r="C1893" s="42"/>
      <c r="D1893" s="42"/>
      <c r="E1893" s="42"/>
      <c r="F1893" s="42"/>
      <c r="G1893" s="42"/>
      <c r="H1893" s="42"/>
      <c r="I1893" s="42"/>
      <c r="J1893" s="42"/>
      <c r="K1893" s="42"/>
      <c r="L1893" s="46"/>
      <c r="M1893" s="46"/>
      <c r="N1893" s="46"/>
      <c r="O1893" s="61"/>
      <c r="P1893" s="62"/>
      <c r="Q1893" s="46"/>
      <c r="R1893" s="47"/>
      <c r="S1893" s="62"/>
      <c r="T1893" s="62"/>
      <c r="U1893" s="46"/>
      <c r="V1893" s="61"/>
      <c r="W1893" s="62"/>
      <c r="X1893" s="47"/>
      <c r="Y1893" s="46"/>
      <c r="Z1893" s="46"/>
      <c r="AA1893" s="46"/>
      <c r="AB1893" s="49"/>
      <c r="AC1893" s="42"/>
      <c r="AD1893" s="42"/>
      <c r="AE1893" s="50"/>
      <c r="AF1893" s="42"/>
      <c r="AG1893" s="42"/>
      <c r="AH1893" s="42"/>
      <c r="AI1893" s="42" t="str">
        <f t="array" ref="AI1893">XLOOKUP($E1893,Sheet11!$D:$D,Sheet11!$X:$X,"",0)</f>
        <v/>
      </c>
      <c r="AJ1893" s="42" t="str">
        <f t="array" ref="AJ1893">XLOOKUP($E1893,Sheet11!$D:$D,Sheet11!$Y:$Y,"",0)</f>
        <v/>
      </c>
    </row>
    <row r="1894">
      <c r="A1894" s="23"/>
      <c r="B1894" s="42"/>
      <c r="C1894" s="42"/>
      <c r="D1894" s="42"/>
      <c r="E1894" s="42"/>
      <c r="F1894" s="42"/>
      <c r="G1894" s="42"/>
      <c r="H1894" s="42"/>
      <c r="I1894" s="42"/>
      <c r="J1894" s="42"/>
      <c r="K1894" s="42"/>
      <c r="L1894" s="46"/>
      <c r="M1894" s="46"/>
      <c r="N1894" s="46"/>
      <c r="O1894" s="61"/>
      <c r="P1894" s="62"/>
      <c r="Q1894" s="46"/>
      <c r="R1894" s="47"/>
      <c r="S1894" s="62"/>
      <c r="T1894" s="62"/>
      <c r="U1894" s="46"/>
      <c r="V1894" s="61"/>
      <c r="W1894" s="62"/>
      <c r="X1894" s="47"/>
      <c r="Y1894" s="46"/>
      <c r="Z1894" s="46"/>
      <c r="AA1894" s="46"/>
      <c r="AB1894" s="49"/>
      <c r="AC1894" s="42"/>
      <c r="AD1894" s="42"/>
      <c r="AE1894" s="50"/>
      <c r="AF1894" s="42"/>
      <c r="AG1894" s="42"/>
      <c r="AH1894" s="42"/>
      <c r="AI1894" s="42" t="str">
        <f t="array" ref="AI1894">XLOOKUP($E1894,Sheet11!$D:$D,Sheet11!$X:$X,"",0)</f>
        <v/>
      </c>
      <c r="AJ1894" s="42" t="str">
        <f t="array" ref="AJ1894">XLOOKUP($E1894,Sheet11!$D:$D,Sheet11!$Y:$Y,"",0)</f>
        <v/>
      </c>
    </row>
    <row r="1895">
      <c r="A1895" s="23"/>
      <c r="B1895" s="42"/>
      <c r="C1895" s="42"/>
      <c r="D1895" s="42"/>
      <c r="E1895" s="42"/>
      <c r="F1895" s="42"/>
      <c r="G1895" s="42"/>
      <c r="H1895" s="42"/>
      <c r="I1895" s="42"/>
      <c r="J1895" s="42"/>
      <c r="K1895" s="42"/>
      <c r="L1895" s="46"/>
      <c r="M1895" s="46"/>
      <c r="N1895" s="46"/>
      <c r="O1895" s="61"/>
      <c r="P1895" s="62"/>
      <c r="Q1895" s="46"/>
      <c r="R1895" s="47"/>
      <c r="S1895" s="62"/>
      <c r="T1895" s="62"/>
      <c r="U1895" s="46"/>
      <c r="V1895" s="61"/>
      <c r="W1895" s="62"/>
      <c r="X1895" s="47"/>
      <c r="Y1895" s="46"/>
      <c r="Z1895" s="46"/>
      <c r="AA1895" s="46"/>
      <c r="AB1895" s="49"/>
      <c r="AC1895" s="42"/>
      <c r="AD1895" s="42"/>
      <c r="AE1895" s="50"/>
      <c r="AF1895" s="42"/>
      <c r="AG1895" s="42"/>
      <c r="AH1895" s="42"/>
      <c r="AI1895" s="42" t="str">
        <f t="array" ref="AI1895">XLOOKUP($E1895,Sheet11!$D:$D,Sheet11!$X:$X,"",0)</f>
        <v/>
      </c>
      <c r="AJ1895" s="42" t="str">
        <f t="array" ref="AJ1895">XLOOKUP($E1895,Sheet11!$D:$D,Sheet11!$Y:$Y,"",0)</f>
        <v/>
      </c>
    </row>
    <row r="1896">
      <c r="A1896" s="23"/>
      <c r="B1896" s="42"/>
      <c r="C1896" s="42"/>
      <c r="D1896" s="42"/>
      <c r="E1896" s="42"/>
      <c r="F1896" s="42"/>
      <c r="G1896" s="42"/>
      <c r="H1896" s="42"/>
      <c r="I1896" s="42"/>
      <c r="J1896" s="42"/>
      <c r="K1896" s="42"/>
      <c r="L1896" s="46"/>
      <c r="M1896" s="46"/>
      <c r="N1896" s="46"/>
      <c r="O1896" s="61"/>
      <c r="P1896" s="62"/>
      <c r="Q1896" s="46"/>
      <c r="R1896" s="47"/>
      <c r="S1896" s="62"/>
      <c r="T1896" s="62"/>
      <c r="U1896" s="46"/>
      <c r="V1896" s="61"/>
      <c r="W1896" s="62"/>
      <c r="X1896" s="47"/>
      <c r="Y1896" s="46"/>
      <c r="Z1896" s="46"/>
      <c r="AA1896" s="46"/>
      <c r="AB1896" s="49"/>
      <c r="AC1896" s="42"/>
      <c r="AD1896" s="42"/>
      <c r="AE1896" s="50"/>
      <c r="AF1896" s="42"/>
      <c r="AG1896" s="42"/>
      <c r="AH1896" s="42"/>
      <c r="AI1896" s="42" t="str">
        <f t="array" ref="AI1896">XLOOKUP($E1896,Sheet11!$D:$D,Sheet11!$X:$X,"",0)</f>
        <v/>
      </c>
      <c r="AJ1896" s="42" t="str">
        <f t="array" ref="AJ1896">XLOOKUP($E1896,Sheet11!$D:$D,Sheet11!$Y:$Y,"",0)</f>
        <v/>
      </c>
    </row>
    <row r="1897">
      <c r="A1897" s="23"/>
      <c r="B1897" s="42"/>
      <c r="C1897" s="42"/>
      <c r="D1897" s="42"/>
      <c r="E1897" s="42"/>
      <c r="F1897" s="42"/>
      <c r="G1897" s="42"/>
      <c r="H1897" s="42"/>
      <c r="I1897" s="42"/>
      <c r="J1897" s="42"/>
      <c r="K1897" s="42"/>
      <c r="L1897" s="46"/>
      <c r="M1897" s="46"/>
      <c r="N1897" s="46"/>
      <c r="O1897" s="61"/>
      <c r="P1897" s="62"/>
      <c r="Q1897" s="46"/>
      <c r="R1897" s="47"/>
      <c r="S1897" s="62"/>
      <c r="T1897" s="62"/>
      <c r="U1897" s="46"/>
      <c r="V1897" s="61"/>
      <c r="W1897" s="62"/>
      <c r="X1897" s="47"/>
      <c r="Y1897" s="46"/>
      <c r="Z1897" s="46"/>
      <c r="AA1897" s="46"/>
      <c r="AB1897" s="49"/>
      <c r="AC1897" s="42"/>
      <c r="AD1897" s="42"/>
      <c r="AE1897" s="50"/>
      <c r="AF1897" s="42"/>
      <c r="AG1897" s="42"/>
      <c r="AH1897" s="42"/>
      <c r="AI1897" s="42" t="str">
        <f t="array" ref="AI1897">XLOOKUP($E1897,Sheet11!$D:$D,Sheet11!$X:$X,"",0)</f>
        <v/>
      </c>
      <c r="AJ1897" s="42" t="str">
        <f t="array" ref="AJ1897">XLOOKUP($E1897,Sheet11!$D:$D,Sheet11!$Y:$Y,"",0)</f>
        <v/>
      </c>
    </row>
    <row r="1898">
      <c r="A1898" s="23"/>
      <c r="B1898" s="42"/>
      <c r="C1898" s="42"/>
      <c r="D1898" s="42"/>
      <c r="E1898" s="42"/>
      <c r="F1898" s="42"/>
      <c r="G1898" s="42"/>
      <c r="H1898" s="42"/>
      <c r="I1898" s="42"/>
      <c r="J1898" s="42"/>
      <c r="K1898" s="42"/>
      <c r="L1898" s="46"/>
      <c r="M1898" s="46"/>
      <c r="N1898" s="46"/>
      <c r="O1898" s="61"/>
      <c r="P1898" s="62"/>
      <c r="Q1898" s="46"/>
      <c r="R1898" s="47"/>
      <c r="S1898" s="62"/>
      <c r="T1898" s="62"/>
      <c r="U1898" s="46"/>
      <c r="V1898" s="61"/>
      <c r="W1898" s="62"/>
      <c r="X1898" s="47"/>
      <c r="Y1898" s="46"/>
      <c r="Z1898" s="46"/>
      <c r="AA1898" s="46"/>
      <c r="AB1898" s="49"/>
      <c r="AC1898" s="42"/>
      <c r="AD1898" s="42"/>
      <c r="AE1898" s="50"/>
      <c r="AF1898" s="42"/>
      <c r="AG1898" s="42"/>
      <c r="AH1898" s="42"/>
      <c r="AI1898" s="42" t="str">
        <f t="array" ref="AI1898">XLOOKUP($E1898,Sheet11!$D:$D,Sheet11!$X:$X,"",0)</f>
        <v/>
      </c>
      <c r="AJ1898" s="42" t="str">
        <f t="array" ref="AJ1898">XLOOKUP($E1898,Sheet11!$D:$D,Sheet11!$Y:$Y,"",0)</f>
        <v/>
      </c>
    </row>
    <row r="1899">
      <c r="A1899" s="23"/>
      <c r="B1899" s="42"/>
      <c r="C1899" s="42"/>
      <c r="D1899" s="42"/>
      <c r="E1899" s="42"/>
      <c r="F1899" s="42"/>
      <c r="G1899" s="42"/>
      <c r="H1899" s="42"/>
      <c r="I1899" s="42"/>
      <c r="J1899" s="42"/>
      <c r="K1899" s="42"/>
      <c r="L1899" s="46"/>
      <c r="M1899" s="46"/>
      <c r="N1899" s="46"/>
      <c r="O1899" s="61"/>
      <c r="P1899" s="62"/>
      <c r="Q1899" s="46"/>
      <c r="R1899" s="47"/>
      <c r="S1899" s="62"/>
      <c r="T1899" s="62"/>
      <c r="U1899" s="46"/>
      <c r="V1899" s="61"/>
      <c r="W1899" s="62"/>
      <c r="X1899" s="47"/>
      <c r="Y1899" s="46"/>
      <c r="Z1899" s="46"/>
      <c r="AA1899" s="46"/>
      <c r="AB1899" s="49"/>
      <c r="AC1899" s="42"/>
      <c r="AD1899" s="42"/>
      <c r="AE1899" s="50"/>
      <c r="AF1899" s="42"/>
      <c r="AG1899" s="42"/>
      <c r="AH1899" s="42"/>
      <c r="AI1899" s="42" t="str">
        <f t="array" ref="AI1899">XLOOKUP($E1899,Sheet11!$D:$D,Sheet11!$X:$X,"",0)</f>
        <v/>
      </c>
      <c r="AJ1899" s="42" t="str">
        <f t="array" ref="AJ1899">XLOOKUP($E1899,Sheet11!$D:$D,Sheet11!$Y:$Y,"",0)</f>
        <v/>
      </c>
    </row>
    <row r="1900">
      <c r="A1900" s="23"/>
      <c r="B1900" s="42"/>
      <c r="C1900" s="42"/>
      <c r="D1900" s="42"/>
      <c r="E1900" s="42"/>
      <c r="F1900" s="42"/>
      <c r="G1900" s="42"/>
      <c r="H1900" s="42"/>
      <c r="I1900" s="42"/>
      <c r="J1900" s="42"/>
      <c r="K1900" s="42"/>
      <c r="L1900" s="46"/>
      <c r="M1900" s="46"/>
      <c r="N1900" s="46"/>
      <c r="O1900" s="61"/>
      <c r="P1900" s="62"/>
      <c r="Q1900" s="46"/>
      <c r="R1900" s="47"/>
      <c r="S1900" s="62"/>
      <c r="T1900" s="62"/>
      <c r="U1900" s="46"/>
      <c r="V1900" s="61"/>
      <c r="W1900" s="62"/>
      <c r="X1900" s="47"/>
      <c r="Y1900" s="46"/>
      <c r="Z1900" s="46"/>
      <c r="AA1900" s="46"/>
      <c r="AB1900" s="49"/>
      <c r="AC1900" s="42"/>
      <c r="AD1900" s="42"/>
      <c r="AE1900" s="50"/>
      <c r="AF1900" s="42"/>
      <c r="AG1900" s="42"/>
      <c r="AH1900" s="42"/>
      <c r="AI1900" s="42" t="str">
        <f t="array" ref="AI1900">XLOOKUP($E1900,Sheet11!$D:$D,Sheet11!$X:$X,"",0)</f>
        <v/>
      </c>
      <c r="AJ1900" s="42" t="str">
        <f t="array" ref="AJ1900">XLOOKUP($E1900,Sheet11!$D:$D,Sheet11!$Y:$Y,"",0)</f>
        <v/>
      </c>
    </row>
    <row r="1901">
      <c r="A1901" s="23"/>
      <c r="B1901" s="42"/>
      <c r="C1901" s="42"/>
      <c r="D1901" s="42"/>
      <c r="E1901" s="42"/>
      <c r="F1901" s="42"/>
      <c r="G1901" s="42"/>
      <c r="H1901" s="42"/>
      <c r="I1901" s="42"/>
      <c r="J1901" s="42"/>
      <c r="K1901" s="42"/>
      <c r="L1901" s="46"/>
      <c r="M1901" s="46"/>
      <c r="N1901" s="46"/>
      <c r="O1901" s="61"/>
      <c r="P1901" s="62"/>
      <c r="Q1901" s="46"/>
      <c r="R1901" s="47"/>
      <c r="S1901" s="62"/>
      <c r="T1901" s="62"/>
      <c r="U1901" s="46"/>
      <c r="V1901" s="61"/>
      <c r="W1901" s="62"/>
      <c r="X1901" s="47"/>
      <c r="Y1901" s="46"/>
      <c r="Z1901" s="46"/>
      <c r="AA1901" s="46"/>
      <c r="AB1901" s="49"/>
      <c r="AC1901" s="42"/>
      <c r="AD1901" s="42"/>
      <c r="AE1901" s="50"/>
      <c r="AF1901" s="42"/>
      <c r="AG1901" s="42"/>
      <c r="AH1901" s="42"/>
      <c r="AI1901" s="42" t="str">
        <f t="array" ref="AI1901">XLOOKUP($E1901,Sheet11!$D:$D,Sheet11!$X:$X,"",0)</f>
        <v/>
      </c>
      <c r="AJ1901" s="42" t="str">
        <f t="array" ref="AJ1901">XLOOKUP($E1901,Sheet11!$D:$D,Sheet11!$Y:$Y,"",0)</f>
        <v/>
      </c>
    </row>
    <row r="1902">
      <c r="A1902" s="23"/>
      <c r="B1902" s="42"/>
      <c r="C1902" s="42"/>
      <c r="D1902" s="42"/>
      <c r="E1902" s="42"/>
      <c r="F1902" s="42"/>
      <c r="G1902" s="42"/>
      <c r="H1902" s="42"/>
      <c r="I1902" s="42"/>
      <c r="J1902" s="42"/>
      <c r="K1902" s="42"/>
      <c r="L1902" s="46"/>
      <c r="M1902" s="46"/>
      <c r="N1902" s="46"/>
      <c r="O1902" s="61"/>
      <c r="P1902" s="62"/>
      <c r="Q1902" s="46"/>
      <c r="R1902" s="47"/>
      <c r="S1902" s="62"/>
      <c r="T1902" s="62"/>
      <c r="U1902" s="46"/>
      <c r="V1902" s="61"/>
      <c r="W1902" s="62"/>
      <c r="X1902" s="47"/>
      <c r="Y1902" s="46"/>
      <c r="Z1902" s="46"/>
      <c r="AA1902" s="46"/>
      <c r="AB1902" s="49"/>
      <c r="AC1902" s="42"/>
      <c r="AD1902" s="42"/>
      <c r="AE1902" s="50"/>
      <c r="AF1902" s="42"/>
      <c r="AG1902" s="42"/>
      <c r="AH1902" s="42"/>
      <c r="AI1902" s="42" t="str">
        <f t="array" ref="AI1902">XLOOKUP($E1902,Sheet11!$D:$D,Sheet11!$X:$X,"",0)</f>
        <v/>
      </c>
      <c r="AJ1902" s="42" t="str">
        <f t="array" ref="AJ1902">XLOOKUP($E1902,Sheet11!$D:$D,Sheet11!$Y:$Y,"",0)</f>
        <v/>
      </c>
    </row>
    <row r="1903">
      <c r="A1903" s="23"/>
      <c r="B1903" s="42"/>
      <c r="C1903" s="42"/>
      <c r="D1903" s="42"/>
      <c r="E1903" s="42"/>
      <c r="F1903" s="42"/>
      <c r="G1903" s="42"/>
      <c r="H1903" s="42"/>
      <c r="I1903" s="42"/>
      <c r="J1903" s="42"/>
      <c r="K1903" s="42"/>
      <c r="L1903" s="46"/>
      <c r="M1903" s="46"/>
      <c r="N1903" s="46"/>
      <c r="O1903" s="61"/>
      <c r="P1903" s="62"/>
      <c r="Q1903" s="46"/>
      <c r="R1903" s="47"/>
      <c r="S1903" s="62"/>
      <c r="T1903" s="62"/>
      <c r="U1903" s="46"/>
      <c r="V1903" s="61"/>
      <c r="W1903" s="62"/>
      <c r="X1903" s="47"/>
      <c r="Y1903" s="46"/>
      <c r="Z1903" s="46"/>
      <c r="AA1903" s="46"/>
      <c r="AB1903" s="49"/>
      <c r="AC1903" s="42"/>
      <c r="AD1903" s="42"/>
      <c r="AE1903" s="50"/>
      <c r="AF1903" s="42"/>
      <c r="AG1903" s="42"/>
      <c r="AH1903" s="42"/>
      <c r="AI1903" s="42" t="str">
        <f t="array" ref="AI1903">XLOOKUP($E1903,Sheet11!$D:$D,Sheet11!$X:$X,"",0)</f>
        <v/>
      </c>
      <c r="AJ1903" s="42" t="str">
        <f t="array" ref="AJ1903">XLOOKUP($E1903,Sheet11!$D:$D,Sheet11!$Y:$Y,"",0)</f>
        <v/>
      </c>
    </row>
    <row r="1904">
      <c r="A1904" s="23"/>
      <c r="B1904" s="42"/>
      <c r="C1904" s="42"/>
      <c r="D1904" s="42"/>
      <c r="E1904" s="42"/>
      <c r="F1904" s="42"/>
      <c r="G1904" s="42"/>
      <c r="H1904" s="42"/>
      <c r="I1904" s="42"/>
      <c r="J1904" s="42"/>
      <c r="K1904" s="42"/>
      <c r="L1904" s="46"/>
      <c r="M1904" s="46"/>
      <c r="N1904" s="46"/>
      <c r="O1904" s="61"/>
      <c r="P1904" s="62"/>
      <c r="Q1904" s="46"/>
      <c r="R1904" s="47"/>
      <c r="S1904" s="62"/>
      <c r="T1904" s="62"/>
      <c r="U1904" s="46"/>
      <c r="V1904" s="61"/>
      <c r="W1904" s="62"/>
      <c r="X1904" s="47"/>
      <c r="Y1904" s="46"/>
      <c r="Z1904" s="46"/>
      <c r="AA1904" s="46"/>
      <c r="AB1904" s="49"/>
      <c r="AC1904" s="42"/>
      <c r="AD1904" s="42"/>
      <c r="AE1904" s="50"/>
      <c r="AF1904" s="42"/>
      <c r="AG1904" s="42"/>
      <c r="AH1904" s="42"/>
      <c r="AI1904" s="42" t="str">
        <f t="array" ref="AI1904">XLOOKUP($E1904,Sheet11!$D:$D,Sheet11!$X:$X,"",0)</f>
        <v/>
      </c>
      <c r="AJ1904" s="42" t="str">
        <f t="array" ref="AJ1904">XLOOKUP($E1904,Sheet11!$D:$D,Sheet11!$Y:$Y,"",0)</f>
        <v/>
      </c>
    </row>
    <row r="1905">
      <c r="A1905" s="23"/>
      <c r="B1905" s="42"/>
      <c r="C1905" s="42"/>
      <c r="D1905" s="42"/>
      <c r="E1905" s="42"/>
      <c r="F1905" s="42"/>
      <c r="G1905" s="42"/>
      <c r="H1905" s="42"/>
      <c r="I1905" s="42"/>
      <c r="J1905" s="42"/>
      <c r="K1905" s="42"/>
      <c r="L1905" s="46"/>
      <c r="M1905" s="46"/>
      <c r="N1905" s="46"/>
      <c r="O1905" s="61"/>
      <c r="P1905" s="62"/>
      <c r="Q1905" s="46"/>
      <c r="R1905" s="47"/>
      <c r="S1905" s="62"/>
      <c r="T1905" s="62"/>
      <c r="U1905" s="46"/>
      <c r="V1905" s="61"/>
      <c r="W1905" s="62"/>
      <c r="X1905" s="47"/>
      <c r="Y1905" s="46"/>
      <c r="Z1905" s="46"/>
      <c r="AA1905" s="46"/>
      <c r="AB1905" s="49"/>
      <c r="AC1905" s="42"/>
      <c r="AD1905" s="42"/>
      <c r="AE1905" s="50"/>
      <c r="AF1905" s="42"/>
      <c r="AG1905" s="42"/>
      <c r="AH1905" s="42"/>
      <c r="AI1905" s="42" t="str">
        <f t="array" ref="AI1905">XLOOKUP($E1905,Sheet11!$D:$D,Sheet11!$X:$X,"",0)</f>
        <v/>
      </c>
      <c r="AJ1905" s="42" t="str">
        <f t="array" ref="AJ1905">XLOOKUP($E1905,Sheet11!$D:$D,Sheet11!$Y:$Y,"",0)</f>
        <v/>
      </c>
    </row>
    <row r="1906">
      <c r="A1906" s="23"/>
      <c r="B1906" s="42"/>
      <c r="C1906" s="42"/>
      <c r="D1906" s="42"/>
      <c r="E1906" s="42"/>
      <c r="F1906" s="42"/>
      <c r="G1906" s="42"/>
      <c r="H1906" s="42"/>
      <c r="I1906" s="42"/>
      <c r="J1906" s="42"/>
      <c r="K1906" s="42"/>
      <c r="L1906" s="46"/>
      <c r="M1906" s="46"/>
      <c r="N1906" s="46"/>
      <c r="O1906" s="61"/>
      <c r="P1906" s="62"/>
      <c r="Q1906" s="46"/>
      <c r="R1906" s="47"/>
      <c r="S1906" s="62"/>
      <c r="T1906" s="62"/>
      <c r="U1906" s="46"/>
      <c r="V1906" s="61"/>
      <c r="W1906" s="62"/>
      <c r="X1906" s="47"/>
      <c r="Y1906" s="46"/>
      <c r="Z1906" s="46"/>
      <c r="AA1906" s="46"/>
      <c r="AB1906" s="49"/>
      <c r="AC1906" s="42"/>
      <c r="AD1906" s="42"/>
      <c r="AE1906" s="50"/>
      <c r="AF1906" s="42"/>
      <c r="AG1906" s="42"/>
      <c r="AH1906" s="42"/>
      <c r="AI1906" s="42" t="str">
        <f t="array" ref="AI1906">XLOOKUP($E1906,Sheet11!$D:$D,Sheet11!$X:$X,"",0)</f>
        <v/>
      </c>
      <c r="AJ1906" s="42" t="str">
        <f t="array" ref="AJ1906">XLOOKUP($E1906,Sheet11!$D:$D,Sheet11!$Y:$Y,"",0)</f>
        <v/>
      </c>
    </row>
    <row r="1907">
      <c r="A1907" s="23"/>
      <c r="B1907" s="42"/>
      <c r="C1907" s="42"/>
      <c r="D1907" s="42"/>
      <c r="E1907" s="42"/>
      <c r="F1907" s="42"/>
      <c r="G1907" s="42"/>
      <c r="H1907" s="42"/>
      <c r="I1907" s="42"/>
      <c r="J1907" s="42"/>
      <c r="K1907" s="42"/>
      <c r="L1907" s="46"/>
      <c r="M1907" s="46"/>
      <c r="N1907" s="46"/>
      <c r="O1907" s="61"/>
      <c r="P1907" s="62"/>
      <c r="Q1907" s="46"/>
      <c r="R1907" s="47"/>
      <c r="S1907" s="62"/>
      <c r="T1907" s="62"/>
      <c r="U1907" s="46"/>
      <c r="V1907" s="61"/>
      <c r="W1907" s="62"/>
      <c r="X1907" s="47"/>
      <c r="Y1907" s="46"/>
      <c r="Z1907" s="46"/>
      <c r="AA1907" s="46"/>
      <c r="AB1907" s="49"/>
      <c r="AC1907" s="42"/>
      <c r="AD1907" s="42"/>
      <c r="AE1907" s="50"/>
      <c r="AF1907" s="42"/>
      <c r="AG1907" s="42"/>
      <c r="AH1907" s="42"/>
      <c r="AI1907" s="42" t="str">
        <f t="array" ref="AI1907">XLOOKUP($E1907,Sheet11!$D:$D,Sheet11!$X:$X,"",0)</f>
        <v/>
      </c>
      <c r="AJ1907" s="42" t="str">
        <f t="array" ref="AJ1907">XLOOKUP($E1907,Sheet11!$D:$D,Sheet11!$Y:$Y,"",0)</f>
        <v/>
      </c>
    </row>
    <row r="1908">
      <c r="A1908" s="23"/>
      <c r="B1908" s="42"/>
      <c r="C1908" s="42"/>
      <c r="D1908" s="42"/>
      <c r="E1908" s="42"/>
      <c r="F1908" s="42"/>
      <c r="G1908" s="42"/>
      <c r="H1908" s="42"/>
      <c r="I1908" s="42"/>
      <c r="J1908" s="42"/>
      <c r="K1908" s="42"/>
      <c r="L1908" s="46"/>
      <c r="M1908" s="46"/>
      <c r="N1908" s="46"/>
      <c r="O1908" s="61"/>
      <c r="P1908" s="62"/>
      <c r="Q1908" s="46"/>
      <c r="R1908" s="47"/>
      <c r="S1908" s="62"/>
      <c r="T1908" s="62"/>
      <c r="U1908" s="46"/>
      <c r="V1908" s="61"/>
      <c r="W1908" s="62"/>
      <c r="X1908" s="47"/>
      <c r="Y1908" s="46"/>
      <c r="Z1908" s="46"/>
      <c r="AA1908" s="46"/>
      <c r="AB1908" s="49"/>
      <c r="AC1908" s="42"/>
      <c r="AD1908" s="42"/>
      <c r="AE1908" s="50"/>
      <c r="AF1908" s="42"/>
      <c r="AG1908" s="42"/>
      <c r="AH1908" s="42"/>
      <c r="AI1908" s="42" t="str">
        <f t="array" ref="AI1908">XLOOKUP($E1908,Sheet11!$D:$D,Sheet11!$X:$X,"",0)</f>
        <v/>
      </c>
      <c r="AJ1908" s="42" t="str">
        <f t="array" ref="AJ1908">XLOOKUP($E1908,Sheet11!$D:$D,Sheet11!$Y:$Y,"",0)</f>
        <v/>
      </c>
    </row>
    <row r="1909">
      <c r="A1909" s="23"/>
      <c r="B1909" s="42"/>
      <c r="C1909" s="42"/>
      <c r="D1909" s="42"/>
      <c r="E1909" s="42"/>
      <c r="F1909" s="42"/>
      <c r="G1909" s="42"/>
      <c r="H1909" s="42"/>
      <c r="I1909" s="42"/>
      <c r="J1909" s="42"/>
      <c r="K1909" s="42"/>
      <c r="L1909" s="46"/>
      <c r="M1909" s="46"/>
      <c r="N1909" s="46"/>
      <c r="O1909" s="61"/>
      <c r="P1909" s="62"/>
      <c r="Q1909" s="46"/>
      <c r="R1909" s="47"/>
      <c r="S1909" s="62"/>
      <c r="T1909" s="62"/>
      <c r="U1909" s="46"/>
      <c r="V1909" s="61"/>
      <c r="W1909" s="62"/>
      <c r="X1909" s="47"/>
      <c r="Y1909" s="46"/>
      <c r="Z1909" s="46"/>
      <c r="AA1909" s="46"/>
      <c r="AB1909" s="49"/>
      <c r="AC1909" s="42"/>
      <c r="AD1909" s="42"/>
      <c r="AE1909" s="50"/>
      <c r="AF1909" s="42"/>
      <c r="AG1909" s="42"/>
      <c r="AH1909" s="42"/>
      <c r="AI1909" s="42" t="str">
        <f t="array" ref="AI1909">XLOOKUP($E1909,Sheet11!$D:$D,Sheet11!$X:$X,"",0)</f>
        <v/>
      </c>
      <c r="AJ1909" s="42" t="str">
        <f t="array" ref="AJ1909">XLOOKUP($E1909,Sheet11!$D:$D,Sheet11!$Y:$Y,"",0)</f>
        <v/>
      </c>
    </row>
    <row r="1910">
      <c r="A1910" s="23"/>
      <c r="B1910" s="42"/>
      <c r="C1910" s="42"/>
      <c r="D1910" s="42"/>
      <c r="E1910" s="42"/>
      <c r="F1910" s="42"/>
      <c r="G1910" s="42"/>
      <c r="H1910" s="42"/>
      <c r="I1910" s="42"/>
      <c r="J1910" s="42"/>
      <c r="K1910" s="42"/>
      <c r="L1910" s="46"/>
      <c r="M1910" s="46"/>
      <c r="N1910" s="46"/>
      <c r="O1910" s="61"/>
      <c r="P1910" s="62"/>
      <c r="Q1910" s="46"/>
      <c r="R1910" s="47"/>
      <c r="S1910" s="62"/>
      <c r="T1910" s="62"/>
      <c r="U1910" s="46"/>
      <c r="V1910" s="61"/>
      <c r="W1910" s="62"/>
      <c r="X1910" s="47"/>
      <c r="Y1910" s="46"/>
      <c r="Z1910" s="46"/>
      <c r="AA1910" s="46"/>
      <c r="AB1910" s="49"/>
      <c r="AC1910" s="42"/>
      <c r="AD1910" s="42"/>
      <c r="AE1910" s="50"/>
      <c r="AF1910" s="42"/>
      <c r="AG1910" s="42"/>
      <c r="AH1910" s="42"/>
      <c r="AI1910" s="42" t="str">
        <f t="array" ref="AI1910">XLOOKUP($E1910,Sheet11!$D:$D,Sheet11!$X:$X,"",0)</f>
        <v/>
      </c>
      <c r="AJ1910" s="42" t="str">
        <f t="array" ref="AJ1910">XLOOKUP($E1910,Sheet11!$D:$D,Sheet11!$Y:$Y,"",0)</f>
        <v/>
      </c>
    </row>
    <row r="1911">
      <c r="A1911" s="23"/>
      <c r="B1911" s="42"/>
      <c r="C1911" s="42"/>
      <c r="D1911" s="42"/>
      <c r="E1911" s="42"/>
      <c r="F1911" s="42"/>
      <c r="G1911" s="42"/>
      <c r="H1911" s="42"/>
      <c r="I1911" s="42"/>
      <c r="J1911" s="42"/>
      <c r="K1911" s="42"/>
      <c r="L1911" s="46"/>
      <c r="M1911" s="46"/>
      <c r="N1911" s="46"/>
      <c r="O1911" s="61"/>
      <c r="P1911" s="62"/>
      <c r="Q1911" s="46"/>
      <c r="R1911" s="47"/>
      <c r="S1911" s="62"/>
      <c r="T1911" s="62"/>
      <c r="U1911" s="46"/>
      <c r="V1911" s="61"/>
      <c r="W1911" s="62"/>
      <c r="X1911" s="47"/>
      <c r="Y1911" s="46"/>
      <c r="Z1911" s="46"/>
      <c r="AA1911" s="46"/>
      <c r="AB1911" s="49"/>
      <c r="AC1911" s="42"/>
      <c r="AD1911" s="42"/>
      <c r="AE1911" s="50"/>
      <c r="AF1911" s="42"/>
      <c r="AG1911" s="42"/>
      <c r="AH1911" s="42"/>
      <c r="AI1911" s="42" t="str">
        <f t="array" ref="AI1911">XLOOKUP($E1911,Sheet11!$D:$D,Sheet11!$X:$X,"",0)</f>
        <v/>
      </c>
      <c r="AJ1911" s="42" t="str">
        <f t="array" ref="AJ1911">XLOOKUP($E1911,Sheet11!$D:$D,Sheet11!$Y:$Y,"",0)</f>
        <v/>
      </c>
    </row>
    <row r="1912">
      <c r="A1912" s="23"/>
      <c r="B1912" s="42"/>
      <c r="C1912" s="42"/>
      <c r="D1912" s="42"/>
      <c r="E1912" s="42"/>
      <c r="F1912" s="42"/>
      <c r="G1912" s="42"/>
      <c r="H1912" s="42"/>
      <c r="I1912" s="42"/>
      <c r="J1912" s="42"/>
      <c r="K1912" s="42"/>
      <c r="L1912" s="46"/>
      <c r="M1912" s="46"/>
      <c r="N1912" s="46"/>
      <c r="O1912" s="61"/>
      <c r="P1912" s="62"/>
      <c r="Q1912" s="46"/>
      <c r="R1912" s="47"/>
      <c r="S1912" s="62"/>
      <c r="T1912" s="62"/>
      <c r="U1912" s="46"/>
      <c r="V1912" s="61"/>
      <c r="W1912" s="62"/>
      <c r="X1912" s="47"/>
      <c r="Y1912" s="46"/>
      <c r="Z1912" s="46"/>
      <c r="AA1912" s="46"/>
      <c r="AB1912" s="49"/>
      <c r="AC1912" s="42"/>
      <c r="AD1912" s="42"/>
      <c r="AE1912" s="50"/>
      <c r="AF1912" s="42"/>
      <c r="AG1912" s="42"/>
      <c r="AH1912" s="42"/>
      <c r="AI1912" s="42" t="str">
        <f t="array" ref="AI1912">XLOOKUP($E1912,Sheet11!$D:$D,Sheet11!$X:$X,"",0)</f>
        <v/>
      </c>
      <c r="AJ1912" s="42" t="str">
        <f t="array" ref="AJ1912">XLOOKUP($E1912,Sheet11!$D:$D,Sheet11!$Y:$Y,"",0)</f>
        <v/>
      </c>
    </row>
    <row r="1913">
      <c r="A1913" s="23"/>
      <c r="B1913" s="42"/>
      <c r="C1913" s="42"/>
      <c r="D1913" s="42"/>
      <c r="E1913" s="42"/>
      <c r="F1913" s="42"/>
      <c r="G1913" s="42"/>
      <c r="H1913" s="42"/>
      <c r="I1913" s="42"/>
      <c r="J1913" s="42"/>
      <c r="K1913" s="42"/>
      <c r="L1913" s="46"/>
      <c r="M1913" s="46"/>
      <c r="N1913" s="46"/>
      <c r="O1913" s="61"/>
      <c r="P1913" s="62"/>
      <c r="Q1913" s="46"/>
      <c r="R1913" s="47"/>
      <c r="S1913" s="62"/>
      <c r="T1913" s="62"/>
      <c r="U1913" s="46"/>
      <c r="V1913" s="61"/>
      <c r="W1913" s="62"/>
      <c r="X1913" s="47"/>
      <c r="Y1913" s="46"/>
      <c r="Z1913" s="46"/>
      <c r="AA1913" s="46"/>
      <c r="AB1913" s="49"/>
      <c r="AC1913" s="42"/>
      <c r="AD1913" s="42"/>
      <c r="AE1913" s="50"/>
      <c r="AF1913" s="42"/>
      <c r="AG1913" s="42"/>
      <c r="AH1913" s="42"/>
      <c r="AI1913" s="42" t="str">
        <f t="array" ref="AI1913">XLOOKUP($E1913,Sheet11!$D:$D,Sheet11!$X:$X,"",0)</f>
        <v/>
      </c>
      <c r="AJ1913" s="42" t="str">
        <f t="array" ref="AJ1913">XLOOKUP($E1913,Sheet11!$D:$D,Sheet11!$Y:$Y,"",0)</f>
        <v/>
      </c>
    </row>
    <row r="1914">
      <c r="A1914" s="23"/>
      <c r="B1914" s="42"/>
      <c r="C1914" s="42"/>
      <c r="D1914" s="42"/>
      <c r="E1914" s="42"/>
      <c r="F1914" s="42"/>
      <c r="G1914" s="42"/>
      <c r="H1914" s="42"/>
      <c r="I1914" s="42"/>
      <c r="J1914" s="42"/>
      <c r="K1914" s="42"/>
      <c r="L1914" s="46"/>
      <c r="M1914" s="46"/>
      <c r="N1914" s="46"/>
      <c r="O1914" s="61"/>
      <c r="P1914" s="62"/>
      <c r="Q1914" s="46"/>
      <c r="R1914" s="47"/>
      <c r="S1914" s="62"/>
      <c r="T1914" s="62"/>
      <c r="U1914" s="46"/>
      <c r="V1914" s="61"/>
      <c r="W1914" s="62"/>
      <c r="X1914" s="47"/>
      <c r="Y1914" s="46"/>
      <c r="Z1914" s="46"/>
      <c r="AA1914" s="46"/>
      <c r="AB1914" s="49"/>
      <c r="AC1914" s="42"/>
      <c r="AD1914" s="42"/>
      <c r="AE1914" s="50"/>
      <c r="AF1914" s="42"/>
      <c r="AG1914" s="42"/>
      <c r="AH1914" s="42"/>
      <c r="AI1914" s="42" t="str">
        <f t="array" ref="AI1914">XLOOKUP($E1914,Sheet11!$D:$D,Sheet11!$X:$X,"",0)</f>
        <v/>
      </c>
      <c r="AJ1914" s="42" t="str">
        <f t="array" ref="AJ1914">XLOOKUP($E1914,Sheet11!$D:$D,Sheet11!$Y:$Y,"",0)</f>
        <v/>
      </c>
    </row>
    <row r="1915">
      <c r="A1915" s="23"/>
      <c r="B1915" s="42"/>
      <c r="C1915" s="42"/>
      <c r="D1915" s="42"/>
      <c r="E1915" s="42"/>
      <c r="F1915" s="42"/>
      <c r="G1915" s="42"/>
      <c r="H1915" s="42"/>
      <c r="I1915" s="42"/>
      <c r="J1915" s="42"/>
      <c r="K1915" s="42"/>
      <c r="L1915" s="46"/>
      <c r="M1915" s="46"/>
      <c r="N1915" s="46"/>
      <c r="O1915" s="61"/>
      <c r="P1915" s="62"/>
      <c r="Q1915" s="46"/>
      <c r="R1915" s="47"/>
      <c r="S1915" s="62"/>
      <c r="T1915" s="62"/>
      <c r="U1915" s="46"/>
      <c r="V1915" s="61"/>
      <c r="W1915" s="62"/>
      <c r="X1915" s="47"/>
      <c r="Y1915" s="46"/>
      <c r="Z1915" s="46"/>
      <c r="AA1915" s="46"/>
      <c r="AB1915" s="49"/>
      <c r="AC1915" s="42"/>
      <c r="AD1915" s="42"/>
      <c r="AE1915" s="50"/>
      <c r="AF1915" s="42"/>
      <c r="AG1915" s="42"/>
      <c r="AH1915" s="42"/>
      <c r="AI1915" s="42" t="str">
        <f t="array" ref="AI1915">XLOOKUP($E1915,Sheet11!$D:$D,Sheet11!$X:$X,"",0)</f>
        <v/>
      </c>
      <c r="AJ1915" s="42" t="str">
        <f t="array" ref="AJ1915">XLOOKUP($E1915,Sheet11!$D:$D,Sheet11!$Y:$Y,"",0)</f>
        <v/>
      </c>
    </row>
    <row r="1916">
      <c r="A1916" s="23"/>
      <c r="B1916" s="42"/>
      <c r="C1916" s="42"/>
      <c r="D1916" s="42"/>
      <c r="E1916" s="42"/>
      <c r="F1916" s="42"/>
      <c r="G1916" s="42"/>
      <c r="H1916" s="42"/>
      <c r="I1916" s="42"/>
      <c r="J1916" s="42"/>
      <c r="K1916" s="42"/>
      <c r="L1916" s="46"/>
      <c r="M1916" s="46"/>
      <c r="N1916" s="46"/>
      <c r="O1916" s="61"/>
      <c r="P1916" s="62"/>
      <c r="Q1916" s="46"/>
      <c r="R1916" s="47"/>
      <c r="S1916" s="62"/>
      <c r="T1916" s="62"/>
      <c r="U1916" s="46"/>
      <c r="V1916" s="61"/>
      <c r="W1916" s="62"/>
      <c r="X1916" s="47"/>
      <c r="Y1916" s="46"/>
      <c r="Z1916" s="46"/>
      <c r="AA1916" s="46"/>
      <c r="AB1916" s="49"/>
      <c r="AC1916" s="42"/>
      <c r="AD1916" s="42"/>
      <c r="AE1916" s="50"/>
      <c r="AF1916" s="42"/>
      <c r="AG1916" s="42"/>
      <c r="AH1916" s="42"/>
      <c r="AI1916" s="42" t="str">
        <f t="array" ref="AI1916">XLOOKUP($E1916,Sheet11!$D:$D,Sheet11!$X:$X,"",0)</f>
        <v/>
      </c>
      <c r="AJ1916" s="42" t="str">
        <f t="array" ref="AJ1916">XLOOKUP($E1916,Sheet11!$D:$D,Sheet11!$Y:$Y,"",0)</f>
        <v/>
      </c>
    </row>
    <row r="1917">
      <c r="A1917" s="23"/>
      <c r="B1917" s="42"/>
      <c r="C1917" s="42"/>
      <c r="D1917" s="42"/>
      <c r="E1917" s="42"/>
      <c r="F1917" s="42"/>
      <c r="G1917" s="42"/>
      <c r="H1917" s="42"/>
      <c r="I1917" s="42"/>
      <c r="J1917" s="42"/>
      <c r="K1917" s="42"/>
      <c r="L1917" s="46"/>
      <c r="M1917" s="46"/>
      <c r="N1917" s="46"/>
      <c r="O1917" s="61"/>
      <c r="P1917" s="62"/>
      <c r="Q1917" s="46"/>
      <c r="R1917" s="47"/>
      <c r="S1917" s="62"/>
      <c r="T1917" s="62"/>
      <c r="U1917" s="46"/>
      <c r="V1917" s="61"/>
      <c r="W1917" s="62"/>
      <c r="X1917" s="47"/>
      <c r="Y1917" s="46"/>
      <c r="Z1917" s="46"/>
      <c r="AA1917" s="46"/>
      <c r="AB1917" s="49"/>
      <c r="AC1917" s="42"/>
      <c r="AD1917" s="42"/>
      <c r="AE1917" s="50"/>
      <c r="AF1917" s="42"/>
      <c r="AG1917" s="42"/>
      <c r="AH1917" s="42"/>
      <c r="AI1917" s="42" t="str">
        <f t="array" ref="AI1917">XLOOKUP($E1917,Sheet11!$D:$D,Sheet11!$X:$X,"",0)</f>
        <v/>
      </c>
      <c r="AJ1917" s="42" t="str">
        <f t="array" ref="AJ1917">XLOOKUP($E1917,Sheet11!$D:$D,Sheet11!$Y:$Y,"",0)</f>
        <v/>
      </c>
    </row>
    <row r="1918">
      <c r="A1918" s="23"/>
      <c r="B1918" s="42"/>
      <c r="C1918" s="42"/>
      <c r="D1918" s="42"/>
      <c r="E1918" s="42"/>
      <c r="F1918" s="42"/>
      <c r="G1918" s="42"/>
      <c r="H1918" s="42"/>
      <c r="I1918" s="42"/>
      <c r="J1918" s="42"/>
      <c r="K1918" s="42"/>
      <c r="L1918" s="46"/>
      <c r="M1918" s="46"/>
      <c r="N1918" s="46"/>
      <c r="O1918" s="61"/>
      <c r="P1918" s="62"/>
      <c r="Q1918" s="46"/>
      <c r="R1918" s="47"/>
      <c r="S1918" s="62"/>
      <c r="T1918" s="62"/>
      <c r="U1918" s="46"/>
      <c r="V1918" s="61"/>
      <c r="W1918" s="62"/>
      <c r="X1918" s="47"/>
      <c r="Y1918" s="46"/>
      <c r="Z1918" s="46"/>
      <c r="AA1918" s="46"/>
      <c r="AB1918" s="49"/>
      <c r="AC1918" s="42"/>
      <c r="AD1918" s="42"/>
      <c r="AE1918" s="50"/>
      <c r="AF1918" s="42"/>
      <c r="AG1918" s="42"/>
      <c r="AH1918" s="42"/>
      <c r="AI1918" s="42" t="str">
        <f t="array" ref="AI1918">XLOOKUP($E1918,Sheet11!$D:$D,Sheet11!$X:$X,"",0)</f>
        <v/>
      </c>
      <c r="AJ1918" s="42" t="str">
        <f t="array" ref="AJ1918">XLOOKUP($E1918,Sheet11!$D:$D,Sheet11!$Y:$Y,"",0)</f>
        <v/>
      </c>
    </row>
    <row r="1919">
      <c r="A1919" s="23"/>
      <c r="B1919" s="42"/>
      <c r="C1919" s="42"/>
      <c r="D1919" s="42"/>
      <c r="E1919" s="42"/>
      <c r="F1919" s="42"/>
      <c r="G1919" s="42"/>
      <c r="H1919" s="42"/>
      <c r="I1919" s="42"/>
      <c r="J1919" s="42"/>
      <c r="K1919" s="42"/>
      <c r="L1919" s="46"/>
      <c r="M1919" s="46"/>
      <c r="N1919" s="46"/>
      <c r="O1919" s="61"/>
      <c r="P1919" s="62"/>
      <c r="Q1919" s="46"/>
      <c r="R1919" s="47"/>
      <c r="S1919" s="62"/>
      <c r="T1919" s="62"/>
      <c r="U1919" s="46"/>
      <c r="V1919" s="61"/>
      <c r="W1919" s="62"/>
      <c r="X1919" s="47"/>
      <c r="Y1919" s="46"/>
      <c r="Z1919" s="46"/>
      <c r="AA1919" s="46"/>
      <c r="AB1919" s="49"/>
      <c r="AC1919" s="42"/>
      <c r="AD1919" s="42"/>
      <c r="AE1919" s="50"/>
      <c r="AF1919" s="42"/>
      <c r="AG1919" s="42"/>
      <c r="AH1919" s="42"/>
      <c r="AI1919" s="42" t="str">
        <f t="array" ref="AI1919">XLOOKUP($E1919,Sheet11!$D:$D,Sheet11!$X:$X,"",0)</f>
        <v/>
      </c>
      <c r="AJ1919" s="42" t="str">
        <f t="array" ref="AJ1919">XLOOKUP($E1919,Sheet11!$D:$D,Sheet11!$Y:$Y,"",0)</f>
        <v/>
      </c>
    </row>
    <row r="1920">
      <c r="A1920" s="23"/>
      <c r="B1920" s="42"/>
      <c r="C1920" s="42"/>
      <c r="D1920" s="42"/>
      <c r="E1920" s="42"/>
      <c r="F1920" s="42"/>
      <c r="G1920" s="42"/>
      <c r="H1920" s="42"/>
      <c r="I1920" s="42"/>
      <c r="J1920" s="42"/>
      <c r="K1920" s="42"/>
      <c r="L1920" s="46"/>
      <c r="M1920" s="46"/>
      <c r="N1920" s="46"/>
      <c r="O1920" s="61"/>
      <c r="P1920" s="62"/>
      <c r="Q1920" s="46"/>
      <c r="R1920" s="47"/>
      <c r="S1920" s="62"/>
      <c r="T1920" s="62"/>
      <c r="U1920" s="46"/>
      <c r="V1920" s="61"/>
      <c r="W1920" s="62"/>
      <c r="X1920" s="47"/>
      <c r="Y1920" s="46"/>
      <c r="Z1920" s="46"/>
      <c r="AA1920" s="46"/>
      <c r="AB1920" s="49"/>
      <c r="AC1920" s="42"/>
      <c r="AD1920" s="42"/>
      <c r="AE1920" s="50"/>
      <c r="AF1920" s="42"/>
      <c r="AG1920" s="42"/>
      <c r="AH1920" s="42"/>
      <c r="AI1920" s="42" t="str">
        <f t="array" ref="AI1920">XLOOKUP($E1920,Sheet11!$D:$D,Sheet11!$X:$X,"",0)</f>
        <v/>
      </c>
      <c r="AJ1920" s="42" t="str">
        <f t="array" ref="AJ1920">XLOOKUP($E1920,Sheet11!$D:$D,Sheet11!$Y:$Y,"",0)</f>
        <v/>
      </c>
    </row>
    <row r="1921">
      <c r="A1921" s="23"/>
      <c r="B1921" s="42"/>
      <c r="C1921" s="42"/>
      <c r="D1921" s="42"/>
      <c r="E1921" s="42"/>
      <c r="F1921" s="42"/>
      <c r="G1921" s="42"/>
      <c r="H1921" s="42"/>
      <c r="I1921" s="42"/>
      <c r="J1921" s="42"/>
      <c r="K1921" s="42"/>
      <c r="L1921" s="46"/>
      <c r="M1921" s="46"/>
      <c r="N1921" s="46"/>
      <c r="O1921" s="61"/>
      <c r="P1921" s="62"/>
      <c r="Q1921" s="46"/>
      <c r="R1921" s="47"/>
      <c r="S1921" s="62"/>
      <c r="T1921" s="62"/>
      <c r="U1921" s="46"/>
      <c r="V1921" s="61"/>
      <c r="W1921" s="62"/>
      <c r="X1921" s="47"/>
      <c r="Y1921" s="46"/>
      <c r="Z1921" s="46"/>
      <c r="AA1921" s="46"/>
      <c r="AB1921" s="49"/>
      <c r="AC1921" s="42"/>
      <c r="AD1921" s="42"/>
      <c r="AE1921" s="50"/>
      <c r="AF1921" s="42"/>
      <c r="AG1921" s="42"/>
      <c r="AH1921" s="42"/>
      <c r="AI1921" s="42" t="str">
        <f t="array" ref="AI1921">XLOOKUP($E1921,Sheet11!$D:$D,Sheet11!$X:$X,"",0)</f>
        <v/>
      </c>
      <c r="AJ1921" s="42" t="str">
        <f t="array" ref="AJ1921">XLOOKUP($E1921,Sheet11!$D:$D,Sheet11!$Y:$Y,"",0)</f>
        <v/>
      </c>
    </row>
    <row r="1922">
      <c r="A1922" s="23"/>
      <c r="B1922" s="42"/>
      <c r="C1922" s="42"/>
      <c r="D1922" s="42"/>
      <c r="E1922" s="42"/>
      <c r="F1922" s="42"/>
      <c r="G1922" s="42"/>
      <c r="H1922" s="42"/>
      <c r="I1922" s="42"/>
      <c r="J1922" s="42"/>
      <c r="K1922" s="42"/>
      <c r="L1922" s="46"/>
      <c r="M1922" s="46"/>
      <c r="N1922" s="46"/>
      <c r="O1922" s="61"/>
      <c r="P1922" s="62"/>
      <c r="Q1922" s="46"/>
      <c r="R1922" s="47"/>
      <c r="S1922" s="62"/>
      <c r="T1922" s="62"/>
      <c r="U1922" s="46"/>
      <c r="V1922" s="61"/>
      <c r="W1922" s="62"/>
      <c r="X1922" s="47"/>
      <c r="Y1922" s="46"/>
      <c r="Z1922" s="46"/>
      <c r="AA1922" s="46"/>
      <c r="AB1922" s="49"/>
      <c r="AC1922" s="42"/>
      <c r="AD1922" s="42"/>
      <c r="AE1922" s="50"/>
      <c r="AF1922" s="42"/>
      <c r="AG1922" s="42"/>
      <c r="AH1922" s="42"/>
      <c r="AI1922" s="42" t="str">
        <f t="array" ref="AI1922">XLOOKUP($E1922,Sheet11!$D:$D,Sheet11!$X:$X,"",0)</f>
        <v/>
      </c>
      <c r="AJ1922" s="42" t="str">
        <f t="array" ref="AJ1922">XLOOKUP($E1922,Sheet11!$D:$D,Sheet11!$Y:$Y,"",0)</f>
        <v/>
      </c>
    </row>
    <row r="1923">
      <c r="A1923" s="23"/>
      <c r="B1923" s="42"/>
      <c r="C1923" s="42"/>
      <c r="D1923" s="42"/>
      <c r="E1923" s="42"/>
      <c r="F1923" s="42"/>
      <c r="G1923" s="42"/>
      <c r="H1923" s="42"/>
      <c r="I1923" s="42"/>
      <c r="J1923" s="42"/>
      <c r="K1923" s="42"/>
      <c r="L1923" s="46"/>
      <c r="M1923" s="46"/>
      <c r="N1923" s="46"/>
      <c r="O1923" s="61"/>
      <c r="P1923" s="62"/>
      <c r="Q1923" s="46"/>
      <c r="R1923" s="47"/>
      <c r="S1923" s="62"/>
      <c r="T1923" s="62"/>
      <c r="U1923" s="46"/>
      <c r="V1923" s="61"/>
      <c r="W1923" s="62"/>
      <c r="X1923" s="47"/>
      <c r="Y1923" s="46"/>
      <c r="Z1923" s="46"/>
      <c r="AA1923" s="46"/>
      <c r="AB1923" s="49"/>
      <c r="AC1923" s="42"/>
      <c r="AD1923" s="42"/>
      <c r="AE1923" s="50"/>
      <c r="AF1923" s="42"/>
      <c r="AG1923" s="42"/>
      <c r="AH1923" s="42"/>
      <c r="AI1923" s="42" t="str">
        <f t="array" ref="AI1923">XLOOKUP($E1923,Sheet11!$D:$D,Sheet11!$X:$X,"",0)</f>
        <v/>
      </c>
      <c r="AJ1923" s="42" t="str">
        <f t="array" ref="AJ1923">XLOOKUP($E1923,Sheet11!$D:$D,Sheet11!$Y:$Y,"",0)</f>
        <v/>
      </c>
    </row>
    <row r="1924">
      <c r="A1924" s="23"/>
      <c r="B1924" s="42"/>
      <c r="C1924" s="42"/>
      <c r="D1924" s="42"/>
      <c r="E1924" s="42"/>
      <c r="F1924" s="42"/>
      <c r="G1924" s="42"/>
      <c r="H1924" s="42"/>
      <c r="I1924" s="42"/>
      <c r="J1924" s="42"/>
      <c r="K1924" s="42"/>
      <c r="L1924" s="46"/>
      <c r="M1924" s="46"/>
      <c r="N1924" s="46"/>
      <c r="O1924" s="61"/>
      <c r="P1924" s="62"/>
      <c r="Q1924" s="46"/>
      <c r="R1924" s="47"/>
      <c r="S1924" s="62"/>
      <c r="T1924" s="62"/>
      <c r="U1924" s="46"/>
      <c r="V1924" s="61"/>
      <c r="W1924" s="62"/>
      <c r="X1924" s="47"/>
      <c r="Y1924" s="46"/>
      <c r="Z1924" s="46"/>
      <c r="AA1924" s="46"/>
      <c r="AB1924" s="49"/>
      <c r="AC1924" s="42"/>
      <c r="AD1924" s="42"/>
      <c r="AE1924" s="50"/>
      <c r="AF1924" s="42"/>
      <c r="AG1924" s="42"/>
      <c r="AH1924" s="42"/>
      <c r="AI1924" s="42" t="str">
        <f t="array" ref="AI1924">XLOOKUP($E1924,Sheet11!$D:$D,Sheet11!$X:$X,"",0)</f>
        <v/>
      </c>
      <c r="AJ1924" s="42" t="str">
        <f t="array" ref="AJ1924">XLOOKUP($E1924,Sheet11!$D:$D,Sheet11!$Y:$Y,"",0)</f>
        <v/>
      </c>
    </row>
    <row r="1925">
      <c r="A1925" s="23"/>
      <c r="B1925" s="42"/>
      <c r="C1925" s="42"/>
      <c r="D1925" s="42"/>
      <c r="E1925" s="42"/>
      <c r="F1925" s="42"/>
      <c r="G1925" s="42"/>
      <c r="H1925" s="42"/>
      <c r="I1925" s="42"/>
      <c r="J1925" s="42"/>
      <c r="K1925" s="42"/>
      <c r="L1925" s="46"/>
      <c r="M1925" s="46"/>
      <c r="N1925" s="46"/>
      <c r="O1925" s="61"/>
      <c r="P1925" s="62"/>
      <c r="Q1925" s="46"/>
      <c r="R1925" s="47"/>
      <c r="S1925" s="62"/>
      <c r="T1925" s="62"/>
      <c r="U1925" s="46"/>
      <c r="V1925" s="61"/>
      <c r="W1925" s="62"/>
      <c r="X1925" s="47"/>
      <c r="Y1925" s="46"/>
      <c r="Z1925" s="46"/>
      <c r="AA1925" s="46"/>
      <c r="AB1925" s="49"/>
      <c r="AC1925" s="42"/>
      <c r="AD1925" s="42"/>
      <c r="AE1925" s="50"/>
      <c r="AF1925" s="42"/>
      <c r="AG1925" s="42"/>
      <c r="AH1925" s="42"/>
      <c r="AI1925" s="42" t="str">
        <f t="array" ref="AI1925">XLOOKUP($E1925,Sheet11!$D:$D,Sheet11!$X:$X,"",0)</f>
        <v/>
      </c>
      <c r="AJ1925" s="42" t="str">
        <f t="array" ref="AJ1925">XLOOKUP($E1925,Sheet11!$D:$D,Sheet11!$Y:$Y,"",0)</f>
        <v/>
      </c>
    </row>
    <row r="1926">
      <c r="A1926" s="23"/>
      <c r="B1926" s="42"/>
      <c r="C1926" s="42"/>
      <c r="D1926" s="42"/>
      <c r="E1926" s="42"/>
      <c r="F1926" s="42"/>
      <c r="G1926" s="42"/>
      <c r="H1926" s="42"/>
      <c r="I1926" s="42"/>
      <c r="J1926" s="42"/>
      <c r="K1926" s="42"/>
      <c r="L1926" s="46"/>
      <c r="M1926" s="46"/>
      <c r="N1926" s="46"/>
      <c r="O1926" s="61"/>
      <c r="P1926" s="62"/>
      <c r="Q1926" s="46"/>
      <c r="R1926" s="47"/>
      <c r="S1926" s="62"/>
      <c r="T1926" s="62"/>
      <c r="U1926" s="46"/>
      <c r="V1926" s="61"/>
      <c r="W1926" s="62"/>
      <c r="X1926" s="47"/>
      <c r="Y1926" s="46"/>
      <c r="Z1926" s="46"/>
      <c r="AA1926" s="46"/>
      <c r="AB1926" s="49"/>
      <c r="AC1926" s="42"/>
      <c r="AD1926" s="42"/>
      <c r="AE1926" s="50"/>
      <c r="AF1926" s="42"/>
      <c r="AG1926" s="42"/>
      <c r="AH1926" s="42"/>
      <c r="AI1926" s="42" t="str">
        <f t="array" ref="AI1926">XLOOKUP($E1926,Sheet11!$D:$D,Sheet11!$X:$X,"",0)</f>
        <v/>
      </c>
      <c r="AJ1926" s="42" t="str">
        <f t="array" ref="AJ1926">XLOOKUP($E1926,Sheet11!$D:$D,Sheet11!$Y:$Y,"",0)</f>
        <v/>
      </c>
    </row>
    <row r="1927">
      <c r="A1927" s="23"/>
      <c r="B1927" s="42"/>
      <c r="C1927" s="42"/>
      <c r="D1927" s="42"/>
      <c r="E1927" s="42"/>
      <c r="F1927" s="42"/>
      <c r="G1927" s="42"/>
      <c r="H1927" s="42"/>
      <c r="I1927" s="42"/>
      <c r="J1927" s="42"/>
      <c r="K1927" s="42"/>
      <c r="L1927" s="46"/>
      <c r="M1927" s="46"/>
      <c r="N1927" s="46"/>
      <c r="O1927" s="61"/>
      <c r="P1927" s="62"/>
      <c r="Q1927" s="46"/>
      <c r="R1927" s="47"/>
      <c r="S1927" s="62"/>
      <c r="T1927" s="62"/>
      <c r="U1927" s="46"/>
      <c r="V1927" s="61"/>
      <c r="W1927" s="62"/>
      <c r="X1927" s="47"/>
      <c r="Y1927" s="46"/>
      <c r="Z1927" s="46"/>
      <c r="AA1927" s="46"/>
      <c r="AB1927" s="49"/>
      <c r="AC1927" s="42"/>
      <c r="AD1927" s="42"/>
      <c r="AE1927" s="50"/>
      <c r="AF1927" s="42"/>
      <c r="AG1927" s="42"/>
      <c r="AH1927" s="42"/>
      <c r="AI1927" s="42" t="str">
        <f t="array" ref="AI1927">XLOOKUP($E1927,Sheet11!$D:$D,Sheet11!$X:$X,"",0)</f>
        <v/>
      </c>
      <c r="AJ1927" s="42" t="str">
        <f t="array" ref="AJ1927">XLOOKUP($E1927,Sheet11!$D:$D,Sheet11!$Y:$Y,"",0)</f>
        <v/>
      </c>
    </row>
    <row r="1928">
      <c r="A1928" s="23"/>
      <c r="B1928" s="42"/>
      <c r="C1928" s="42"/>
      <c r="D1928" s="42"/>
      <c r="E1928" s="42"/>
      <c r="F1928" s="42"/>
      <c r="G1928" s="42"/>
      <c r="H1928" s="42"/>
      <c r="I1928" s="42"/>
      <c r="J1928" s="42"/>
      <c r="K1928" s="42"/>
      <c r="L1928" s="46"/>
      <c r="M1928" s="46"/>
      <c r="N1928" s="46"/>
      <c r="O1928" s="61"/>
      <c r="P1928" s="62"/>
      <c r="Q1928" s="46"/>
      <c r="R1928" s="47"/>
      <c r="S1928" s="62"/>
      <c r="T1928" s="62"/>
      <c r="U1928" s="46"/>
      <c r="V1928" s="61"/>
      <c r="W1928" s="62"/>
      <c r="X1928" s="47"/>
      <c r="Y1928" s="46"/>
      <c r="Z1928" s="46"/>
      <c r="AA1928" s="46"/>
      <c r="AB1928" s="49"/>
      <c r="AC1928" s="42"/>
      <c r="AD1928" s="42"/>
      <c r="AE1928" s="50"/>
      <c r="AF1928" s="42"/>
      <c r="AG1928" s="42"/>
      <c r="AH1928" s="42"/>
      <c r="AI1928" s="42" t="str">
        <f t="array" ref="AI1928">XLOOKUP($E1928,Sheet11!$D:$D,Sheet11!$X:$X,"",0)</f>
        <v/>
      </c>
      <c r="AJ1928" s="42" t="str">
        <f t="array" ref="AJ1928">XLOOKUP($E1928,Sheet11!$D:$D,Sheet11!$Y:$Y,"",0)</f>
        <v/>
      </c>
    </row>
    <row r="1929">
      <c r="A1929" s="23"/>
      <c r="B1929" s="42"/>
      <c r="C1929" s="42"/>
      <c r="D1929" s="42"/>
      <c r="E1929" s="42"/>
      <c r="F1929" s="42"/>
      <c r="G1929" s="42"/>
      <c r="H1929" s="42"/>
      <c r="I1929" s="42"/>
      <c r="J1929" s="42"/>
      <c r="K1929" s="42"/>
      <c r="L1929" s="46"/>
      <c r="M1929" s="46"/>
      <c r="N1929" s="46"/>
      <c r="O1929" s="61"/>
      <c r="P1929" s="62"/>
      <c r="Q1929" s="46"/>
      <c r="R1929" s="47"/>
      <c r="S1929" s="62"/>
      <c r="T1929" s="62"/>
      <c r="U1929" s="46"/>
      <c r="V1929" s="61"/>
      <c r="W1929" s="62"/>
      <c r="X1929" s="47"/>
      <c r="Y1929" s="46"/>
      <c r="Z1929" s="46"/>
      <c r="AA1929" s="46"/>
      <c r="AB1929" s="49"/>
      <c r="AC1929" s="42"/>
      <c r="AD1929" s="42"/>
      <c r="AE1929" s="50"/>
      <c r="AF1929" s="42"/>
      <c r="AG1929" s="42"/>
      <c r="AH1929" s="42"/>
      <c r="AI1929" s="42" t="str">
        <f t="array" ref="AI1929">XLOOKUP($E1929,Sheet11!$D:$D,Sheet11!$X:$X,"",0)</f>
        <v/>
      </c>
      <c r="AJ1929" s="42" t="str">
        <f t="array" ref="AJ1929">XLOOKUP($E1929,Sheet11!$D:$D,Sheet11!$Y:$Y,"",0)</f>
        <v/>
      </c>
    </row>
    <row r="1930">
      <c r="A1930" s="23"/>
      <c r="B1930" s="42"/>
      <c r="C1930" s="42"/>
      <c r="D1930" s="42"/>
      <c r="E1930" s="42"/>
      <c r="F1930" s="42"/>
      <c r="G1930" s="42"/>
      <c r="H1930" s="42"/>
      <c r="I1930" s="42"/>
      <c r="J1930" s="42"/>
      <c r="K1930" s="42"/>
      <c r="L1930" s="46"/>
      <c r="M1930" s="46"/>
      <c r="N1930" s="46"/>
      <c r="O1930" s="61"/>
      <c r="P1930" s="62"/>
      <c r="Q1930" s="46"/>
      <c r="R1930" s="47"/>
      <c r="S1930" s="62"/>
      <c r="T1930" s="62"/>
      <c r="U1930" s="46"/>
      <c r="V1930" s="61"/>
      <c r="W1930" s="62"/>
      <c r="X1930" s="47"/>
      <c r="Y1930" s="46"/>
      <c r="Z1930" s="46"/>
      <c r="AA1930" s="46"/>
      <c r="AB1930" s="49"/>
      <c r="AC1930" s="42"/>
      <c r="AD1930" s="42"/>
      <c r="AE1930" s="50"/>
      <c r="AF1930" s="42"/>
      <c r="AG1930" s="42"/>
      <c r="AH1930" s="42"/>
      <c r="AI1930" s="42" t="str">
        <f t="array" ref="AI1930">XLOOKUP($E1930,Sheet11!$D:$D,Sheet11!$X:$X,"",0)</f>
        <v/>
      </c>
      <c r="AJ1930" s="42" t="str">
        <f t="array" ref="AJ1930">XLOOKUP($E1930,Sheet11!$D:$D,Sheet11!$Y:$Y,"",0)</f>
        <v/>
      </c>
    </row>
    <row r="1931">
      <c r="A1931" s="23"/>
      <c r="B1931" s="42"/>
      <c r="C1931" s="42"/>
      <c r="D1931" s="42"/>
      <c r="E1931" s="42"/>
      <c r="F1931" s="42"/>
      <c r="G1931" s="42"/>
      <c r="H1931" s="42"/>
      <c r="I1931" s="42"/>
      <c r="J1931" s="42"/>
      <c r="K1931" s="42"/>
      <c r="L1931" s="46"/>
      <c r="M1931" s="46"/>
      <c r="N1931" s="46"/>
      <c r="O1931" s="61"/>
      <c r="P1931" s="62"/>
      <c r="Q1931" s="46"/>
      <c r="R1931" s="47"/>
      <c r="S1931" s="62"/>
      <c r="T1931" s="62"/>
      <c r="U1931" s="46"/>
      <c r="V1931" s="61"/>
      <c r="W1931" s="62"/>
      <c r="X1931" s="47"/>
      <c r="Y1931" s="46"/>
      <c r="Z1931" s="46"/>
      <c r="AA1931" s="46"/>
      <c r="AB1931" s="49"/>
      <c r="AC1931" s="42"/>
      <c r="AD1931" s="42"/>
      <c r="AE1931" s="50"/>
      <c r="AF1931" s="42"/>
      <c r="AG1931" s="42"/>
      <c r="AH1931" s="42"/>
      <c r="AI1931" s="42" t="str">
        <f t="array" ref="AI1931">XLOOKUP($E1931,Sheet11!$D:$D,Sheet11!$X:$X,"",0)</f>
        <v/>
      </c>
      <c r="AJ1931" s="42" t="str">
        <f t="array" ref="AJ1931">XLOOKUP($E1931,Sheet11!$D:$D,Sheet11!$Y:$Y,"",0)</f>
        <v/>
      </c>
    </row>
    <row r="1932">
      <c r="A1932" s="23"/>
      <c r="B1932" s="42"/>
      <c r="C1932" s="42"/>
      <c r="D1932" s="42"/>
      <c r="E1932" s="42"/>
      <c r="F1932" s="42"/>
      <c r="G1932" s="42"/>
      <c r="H1932" s="42"/>
      <c r="I1932" s="42"/>
      <c r="J1932" s="42"/>
      <c r="K1932" s="42"/>
      <c r="L1932" s="46"/>
      <c r="M1932" s="46"/>
      <c r="N1932" s="46"/>
      <c r="O1932" s="61"/>
      <c r="P1932" s="62"/>
      <c r="Q1932" s="46"/>
      <c r="R1932" s="47"/>
      <c r="S1932" s="62"/>
      <c r="T1932" s="62"/>
      <c r="U1932" s="46"/>
      <c r="V1932" s="61"/>
      <c r="W1932" s="62"/>
      <c r="X1932" s="47"/>
      <c r="Y1932" s="46"/>
      <c r="Z1932" s="46"/>
      <c r="AA1932" s="46"/>
      <c r="AB1932" s="49"/>
      <c r="AC1932" s="42"/>
      <c r="AD1932" s="42"/>
      <c r="AE1932" s="50"/>
      <c r="AF1932" s="42"/>
      <c r="AG1932" s="42"/>
      <c r="AH1932" s="42"/>
      <c r="AI1932" s="42" t="str">
        <f t="array" ref="AI1932">XLOOKUP($E1932,Sheet11!$D:$D,Sheet11!$X:$X,"",0)</f>
        <v/>
      </c>
      <c r="AJ1932" s="42" t="str">
        <f t="array" ref="AJ1932">XLOOKUP($E1932,Sheet11!$D:$D,Sheet11!$Y:$Y,"",0)</f>
        <v/>
      </c>
    </row>
    <row r="1933">
      <c r="A1933" s="23"/>
      <c r="B1933" s="42"/>
      <c r="C1933" s="42"/>
      <c r="D1933" s="42"/>
      <c r="E1933" s="42"/>
      <c r="F1933" s="42"/>
      <c r="G1933" s="42"/>
      <c r="H1933" s="42"/>
      <c r="I1933" s="42"/>
      <c r="J1933" s="42"/>
      <c r="K1933" s="42"/>
      <c r="L1933" s="46"/>
      <c r="M1933" s="46"/>
      <c r="N1933" s="46"/>
      <c r="O1933" s="61"/>
      <c r="P1933" s="62"/>
      <c r="Q1933" s="46"/>
      <c r="R1933" s="47"/>
      <c r="S1933" s="62"/>
      <c r="T1933" s="62"/>
      <c r="U1933" s="46"/>
      <c r="V1933" s="61"/>
      <c r="W1933" s="62"/>
      <c r="X1933" s="47"/>
      <c r="Y1933" s="46"/>
      <c r="Z1933" s="46"/>
      <c r="AA1933" s="46"/>
      <c r="AB1933" s="49"/>
      <c r="AC1933" s="42"/>
      <c r="AD1933" s="42"/>
      <c r="AE1933" s="50"/>
      <c r="AF1933" s="42"/>
      <c r="AG1933" s="42"/>
      <c r="AH1933" s="42"/>
      <c r="AI1933" s="42" t="str">
        <f t="array" ref="AI1933">XLOOKUP($E1933,Sheet11!$D:$D,Sheet11!$X:$X,"",0)</f>
        <v/>
      </c>
      <c r="AJ1933" s="42" t="str">
        <f t="array" ref="AJ1933">XLOOKUP($E1933,Sheet11!$D:$D,Sheet11!$Y:$Y,"",0)</f>
        <v/>
      </c>
    </row>
    <row r="1934">
      <c r="A1934" s="23"/>
      <c r="B1934" s="42"/>
      <c r="C1934" s="42"/>
      <c r="D1934" s="42"/>
      <c r="E1934" s="42"/>
      <c r="F1934" s="42"/>
      <c r="G1934" s="42"/>
      <c r="H1934" s="42"/>
      <c r="I1934" s="42"/>
      <c r="J1934" s="42"/>
      <c r="K1934" s="42"/>
      <c r="L1934" s="46"/>
      <c r="M1934" s="46"/>
      <c r="N1934" s="46"/>
      <c r="O1934" s="61"/>
      <c r="P1934" s="62"/>
      <c r="Q1934" s="46"/>
      <c r="R1934" s="47"/>
      <c r="S1934" s="62"/>
      <c r="T1934" s="62"/>
      <c r="U1934" s="46"/>
      <c r="V1934" s="61"/>
      <c r="W1934" s="62"/>
      <c r="X1934" s="47"/>
      <c r="Y1934" s="46"/>
      <c r="Z1934" s="46"/>
      <c r="AA1934" s="46"/>
      <c r="AB1934" s="49"/>
      <c r="AC1934" s="42"/>
      <c r="AD1934" s="42"/>
      <c r="AE1934" s="50"/>
      <c r="AF1934" s="42"/>
      <c r="AG1934" s="42"/>
      <c r="AH1934" s="42"/>
      <c r="AI1934" s="42" t="str">
        <f t="array" ref="AI1934">XLOOKUP($E1934,Sheet11!$D:$D,Sheet11!$X:$X,"",0)</f>
        <v/>
      </c>
      <c r="AJ1934" s="42" t="str">
        <f t="array" ref="AJ1934">XLOOKUP($E1934,Sheet11!$D:$D,Sheet11!$Y:$Y,"",0)</f>
        <v/>
      </c>
    </row>
    <row r="1935">
      <c r="A1935" s="23"/>
      <c r="B1935" s="42"/>
      <c r="C1935" s="42"/>
      <c r="D1935" s="42"/>
      <c r="E1935" s="42"/>
      <c r="F1935" s="42"/>
      <c r="G1935" s="42"/>
      <c r="H1935" s="42"/>
      <c r="I1935" s="42"/>
      <c r="J1935" s="42"/>
      <c r="K1935" s="42"/>
      <c r="L1935" s="46"/>
      <c r="M1935" s="46"/>
      <c r="N1935" s="46"/>
      <c r="O1935" s="61"/>
      <c r="P1935" s="62"/>
      <c r="Q1935" s="46"/>
      <c r="R1935" s="47"/>
      <c r="S1935" s="62"/>
      <c r="T1935" s="62"/>
      <c r="U1935" s="46"/>
      <c r="V1935" s="61"/>
      <c r="W1935" s="62"/>
      <c r="X1935" s="47"/>
      <c r="Y1935" s="46"/>
      <c r="Z1935" s="46"/>
      <c r="AA1935" s="46"/>
      <c r="AB1935" s="49"/>
      <c r="AC1935" s="42"/>
      <c r="AD1935" s="42"/>
      <c r="AE1935" s="50"/>
      <c r="AF1935" s="42"/>
      <c r="AG1935" s="42"/>
      <c r="AH1935" s="42"/>
      <c r="AI1935" s="42" t="str">
        <f t="array" ref="AI1935">XLOOKUP($E1935,Sheet11!$D:$D,Sheet11!$X:$X,"",0)</f>
        <v/>
      </c>
      <c r="AJ1935" s="42" t="str">
        <f t="array" ref="AJ1935">XLOOKUP($E1935,Sheet11!$D:$D,Sheet11!$Y:$Y,"",0)</f>
        <v/>
      </c>
    </row>
    <row r="1936">
      <c r="A1936" s="23"/>
      <c r="B1936" s="42"/>
      <c r="C1936" s="42"/>
      <c r="D1936" s="42"/>
      <c r="E1936" s="42"/>
      <c r="F1936" s="42"/>
      <c r="G1936" s="42"/>
      <c r="H1936" s="42"/>
      <c r="I1936" s="42"/>
      <c r="J1936" s="42"/>
      <c r="K1936" s="42"/>
      <c r="L1936" s="46"/>
      <c r="M1936" s="46"/>
      <c r="N1936" s="46"/>
      <c r="O1936" s="61"/>
      <c r="P1936" s="62"/>
      <c r="Q1936" s="46"/>
      <c r="R1936" s="47"/>
      <c r="S1936" s="62"/>
      <c r="T1936" s="62"/>
      <c r="U1936" s="46"/>
      <c r="V1936" s="61"/>
      <c r="W1936" s="62"/>
      <c r="X1936" s="47"/>
      <c r="Y1936" s="46"/>
      <c r="Z1936" s="46"/>
      <c r="AA1936" s="46"/>
      <c r="AB1936" s="49"/>
      <c r="AC1936" s="42"/>
      <c r="AD1936" s="42"/>
      <c r="AE1936" s="50"/>
      <c r="AF1936" s="42"/>
      <c r="AG1936" s="42"/>
      <c r="AH1936" s="42"/>
      <c r="AI1936" s="42" t="str">
        <f t="array" ref="AI1936">XLOOKUP($E1936,Sheet11!$D:$D,Sheet11!$X:$X,"",0)</f>
        <v/>
      </c>
      <c r="AJ1936" s="42" t="str">
        <f t="array" ref="AJ1936">XLOOKUP($E1936,Sheet11!$D:$D,Sheet11!$Y:$Y,"",0)</f>
        <v/>
      </c>
    </row>
    <row r="1937">
      <c r="A1937" s="23"/>
      <c r="B1937" s="42"/>
      <c r="C1937" s="42"/>
      <c r="D1937" s="42"/>
      <c r="E1937" s="42"/>
      <c r="F1937" s="42"/>
      <c r="G1937" s="42"/>
      <c r="H1937" s="42"/>
      <c r="I1937" s="42"/>
      <c r="J1937" s="42"/>
      <c r="K1937" s="42"/>
      <c r="L1937" s="46"/>
      <c r="M1937" s="46"/>
      <c r="N1937" s="46"/>
      <c r="O1937" s="61"/>
      <c r="P1937" s="62"/>
      <c r="Q1937" s="46"/>
      <c r="R1937" s="47"/>
      <c r="S1937" s="62"/>
      <c r="T1937" s="62"/>
      <c r="U1937" s="46"/>
      <c r="V1937" s="61"/>
      <c r="W1937" s="62"/>
      <c r="X1937" s="47"/>
      <c r="Y1937" s="46"/>
      <c r="Z1937" s="46"/>
      <c r="AA1937" s="46"/>
      <c r="AB1937" s="49"/>
      <c r="AC1937" s="42"/>
      <c r="AD1937" s="42"/>
      <c r="AE1937" s="50"/>
      <c r="AF1937" s="42"/>
      <c r="AG1937" s="42"/>
      <c r="AH1937" s="42"/>
      <c r="AI1937" s="42" t="str">
        <f t="array" ref="AI1937">XLOOKUP($E1937,Sheet11!$D:$D,Sheet11!$X:$X,"",0)</f>
        <v/>
      </c>
      <c r="AJ1937" s="42" t="str">
        <f t="array" ref="AJ1937">XLOOKUP($E1937,Sheet11!$D:$D,Sheet11!$Y:$Y,"",0)</f>
        <v/>
      </c>
    </row>
    <row r="1938">
      <c r="A1938" s="23"/>
      <c r="B1938" s="42"/>
      <c r="C1938" s="42"/>
      <c r="D1938" s="42"/>
      <c r="E1938" s="42"/>
      <c r="F1938" s="42"/>
      <c r="G1938" s="42"/>
      <c r="H1938" s="42"/>
      <c r="I1938" s="42"/>
      <c r="J1938" s="42"/>
      <c r="K1938" s="42"/>
      <c r="L1938" s="46"/>
      <c r="M1938" s="46"/>
      <c r="N1938" s="46"/>
      <c r="O1938" s="61"/>
      <c r="P1938" s="62"/>
      <c r="Q1938" s="46"/>
      <c r="R1938" s="47"/>
      <c r="S1938" s="62"/>
      <c r="T1938" s="62"/>
      <c r="U1938" s="46"/>
      <c r="V1938" s="61"/>
      <c r="W1938" s="62"/>
      <c r="X1938" s="47"/>
      <c r="Y1938" s="46"/>
      <c r="Z1938" s="46"/>
      <c r="AA1938" s="46"/>
      <c r="AB1938" s="49"/>
      <c r="AC1938" s="42"/>
      <c r="AD1938" s="42"/>
      <c r="AE1938" s="50"/>
      <c r="AF1938" s="42"/>
      <c r="AG1938" s="42"/>
      <c r="AH1938" s="42"/>
      <c r="AI1938" s="42" t="str">
        <f t="array" ref="AI1938">XLOOKUP($E1938,Sheet11!$D:$D,Sheet11!$X:$X,"",0)</f>
        <v/>
      </c>
      <c r="AJ1938" s="42" t="str">
        <f t="array" ref="AJ1938">XLOOKUP($E1938,Sheet11!$D:$D,Sheet11!$Y:$Y,"",0)</f>
        <v/>
      </c>
    </row>
    <row r="1939">
      <c r="A1939" s="23"/>
      <c r="B1939" s="42"/>
      <c r="C1939" s="42"/>
      <c r="D1939" s="42"/>
      <c r="E1939" s="42"/>
      <c r="F1939" s="42"/>
      <c r="G1939" s="42"/>
      <c r="H1939" s="42"/>
      <c r="I1939" s="42"/>
      <c r="J1939" s="42"/>
      <c r="K1939" s="42"/>
      <c r="L1939" s="46"/>
      <c r="M1939" s="46"/>
      <c r="N1939" s="46"/>
      <c r="O1939" s="61"/>
      <c r="P1939" s="62"/>
      <c r="Q1939" s="46"/>
      <c r="R1939" s="47"/>
      <c r="S1939" s="62"/>
      <c r="T1939" s="62"/>
      <c r="U1939" s="46"/>
      <c r="V1939" s="61"/>
      <c r="W1939" s="62"/>
      <c r="X1939" s="47"/>
      <c r="Y1939" s="46"/>
      <c r="Z1939" s="46"/>
      <c r="AA1939" s="46"/>
      <c r="AB1939" s="49"/>
      <c r="AC1939" s="42"/>
      <c r="AD1939" s="42"/>
      <c r="AE1939" s="50"/>
      <c r="AF1939" s="42"/>
      <c r="AG1939" s="42"/>
      <c r="AH1939" s="42"/>
      <c r="AI1939" s="42" t="str">
        <f t="array" ref="AI1939">XLOOKUP($E1939,Sheet11!$D:$D,Sheet11!$X:$X,"",0)</f>
        <v/>
      </c>
      <c r="AJ1939" s="42" t="str">
        <f t="array" ref="AJ1939">XLOOKUP($E1939,Sheet11!$D:$D,Sheet11!$Y:$Y,"",0)</f>
        <v/>
      </c>
    </row>
    <row r="1940">
      <c r="A1940" s="23"/>
      <c r="B1940" s="42"/>
      <c r="C1940" s="42"/>
      <c r="D1940" s="42"/>
      <c r="E1940" s="42"/>
      <c r="F1940" s="42"/>
      <c r="G1940" s="42"/>
      <c r="H1940" s="42"/>
      <c r="I1940" s="42"/>
      <c r="J1940" s="42"/>
      <c r="K1940" s="42"/>
      <c r="L1940" s="46"/>
      <c r="M1940" s="46"/>
      <c r="N1940" s="46"/>
      <c r="O1940" s="61"/>
      <c r="P1940" s="62"/>
      <c r="Q1940" s="46"/>
      <c r="R1940" s="47"/>
      <c r="S1940" s="62"/>
      <c r="T1940" s="62"/>
      <c r="U1940" s="46"/>
      <c r="V1940" s="61"/>
      <c r="W1940" s="62"/>
      <c r="X1940" s="47"/>
      <c r="Y1940" s="46"/>
      <c r="Z1940" s="46"/>
      <c r="AA1940" s="46"/>
      <c r="AB1940" s="49"/>
      <c r="AC1940" s="42"/>
      <c r="AD1940" s="42"/>
      <c r="AE1940" s="50"/>
      <c r="AF1940" s="42"/>
      <c r="AG1940" s="42"/>
      <c r="AH1940" s="42"/>
      <c r="AI1940" s="42" t="str">
        <f t="array" ref="AI1940">XLOOKUP($E1940,Sheet11!$D:$D,Sheet11!$X:$X,"",0)</f>
        <v/>
      </c>
      <c r="AJ1940" s="42" t="str">
        <f t="array" ref="AJ1940">XLOOKUP($E1940,Sheet11!$D:$D,Sheet11!$Y:$Y,"",0)</f>
        <v/>
      </c>
    </row>
    <row r="1941">
      <c r="A1941" s="23"/>
      <c r="B1941" s="42"/>
      <c r="C1941" s="42"/>
      <c r="D1941" s="42"/>
      <c r="E1941" s="42"/>
      <c r="F1941" s="42"/>
      <c r="G1941" s="42"/>
      <c r="H1941" s="42"/>
      <c r="I1941" s="42"/>
      <c r="J1941" s="42"/>
      <c r="K1941" s="42"/>
      <c r="L1941" s="46"/>
      <c r="M1941" s="46"/>
      <c r="N1941" s="46"/>
      <c r="O1941" s="61"/>
      <c r="P1941" s="62"/>
      <c r="Q1941" s="46"/>
      <c r="R1941" s="47"/>
      <c r="S1941" s="62"/>
      <c r="T1941" s="62"/>
      <c r="U1941" s="46"/>
      <c r="V1941" s="61"/>
      <c r="W1941" s="62"/>
      <c r="X1941" s="47"/>
      <c r="Y1941" s="46"/>
      <c r="Z1941" s="46"/>
      <c r="AA1941" s="46"/>
      <c r="AB1941" s="49"/>
      <c r="AC1941" s="42"/>
      <c r="AD1941" s="42"/>
      <c r="AE1941" s="50"/>
      <c r="AF1941" s="42"/>
      <c r="AG1941" s="42"/>
      <c r="AH1941" s="42"/>
      <c r="AI1941" s="42" t="str">
        <f t="array" ref="AI1941">XLOOKUP($E1941,Sheet11!$D:$D,Sheet11!$X:$X,"",0)</f>
        <v/>
      </c>
      <c r="AJ1941" s="42" t="str">
        <f t="array" ref="AJ1941">XLOOKUP($E1941,Sheet11!$D:$D,Sheet11!$Y:$Y,"",0)</f>
        <v/>
      </c>
    </row>
    <row r="1942">
      <c r="A1942" s="23"/>
      <c r="B1942" s="42"/>
      <c r="C1942" s="42"/>
      <c r="D1942" s="42"/>
      <c r="E1942" s="42"/>
      <c r="F1942" s="42"/>
      <c r="G1942" s="42"/>
      <c r="H1942" s="42"/>
      <c r="I1942" s="42"/>
      <c r="J1942" s="42"/>
      <c r="K1942" s="42"/>
      <c r="L1942" s="46"/>
      <c r="M1942" s="46"/>
      <c r="N1942" s="46"/>
      <c r="O1942" s="61"/>
      <c r="P1942" s="62"/>
      <c r="Q1942" s="46"/>
      <c r="R1942" s="47"/>
      <c r="S1942" s="62"/>
      <c r="T1942" s="62"/>
      <c r="U1942" s="46"/>
      <c r="V1942" s="61"/>
      <c r="W1942" s="62"/>
      <c r="X1942" s="47"/>
      <c r="Y1942" s="46"/>
      <c r="Z1942" s="46"/>
      <c r="AA1942" s="46"/>
      <c r="AB1942" s="49"/>
      <c r="AC1942" s="42"/>
      <c r="AD1942" s="42"/>
      <c r="AE1942" s="50"/>
      <c r="AF1942" s="42"/>
      <c r="AG1942" s="42"/>
      <c r="AH1942" s="42"/>
      <c r="AI1942" s="42" t="str">
        <f t="array" ref="AI1942">XLOOKUP($E1942,Sheet11!$D:$D,Sheet11!$X:$X,"",0)</f>
        <v/>
      </c>
      <c r="AJ1942" s="42" t="str">
        <f t="array" ref="AJ1942">XLOOKUP($E1942,Sheet11!$D:$D,Sheet11!$Y:$Y,"",0)</f>
        <v/>
      </c>
    </row>
    <row r="1943">
      <c r="A1943" s="23"/>
      <c r="B1943" s="42"/>
      <c r="C1943" s="42"/>
      <c r="D1943" s="42"/>
      <c r="E1943" s="42"/>
      <c r="F1943" s="42"/>
      <c r="G1943" s="42"/>
      <c r="H1943" s="42"/>
      <c r="I1943" s="42"/>
      <c r="J1943" s="42"/>
      <c r="K1943" s="42"/>
      <c r="L1943" s="46"/>
      <c r="M1943" s="46"/>
      <c r="N1943" s="46"/>
      <c r="O1943" s="61"/>
      <c r="P1943" s="62"/>
      <c r="Q1943" s="46"/>
      <c r="R1943" s="47"/>
      <c r="S1943" s="62"/>
      <c r="T1943" s="62"/>
      <c r="U1943" s="46"/>
      <c r="V1943" s="61"/>
      <c r="W1943" s="62"/>
      <c r="X1943" s="47"/>
      <c r="Y1943" s="46"/>
      <c r="Z1943" s="46"/>
      <c r="AA1943" s="46"/>
      <c r="AB1943" s="49"/>
      <c r="AC1943" s="42"/>
      <c r="AD1943" s="42"/>
      <c r="AE1943" s="50"/>
      <c r="AF1943" s="42"/>
      <c r="AG1943" s="42"/>
      <c r="AH1943" s="42"/>
      <c r="AI1943" s="42" t="str">
        <f t="array" ref="AI1943">XLOOKUP($E1943,Sheet11!$D:$D,Sheet11!$X:$X,"",0)</f>
        <v/>
      </c>
      <c r="AJ1943" s="42" t="str">
        <f t="array" ref="AJ1943">XLOOKUP($E1943,Sheet11!$D:$D,Sheet11!$Y:$Y,"",0)</f>
        <v/>
      </c>
    </row>
    <row r="1944">
      <c r="A1944" s="23"/>
      <c r="B1944" s="42"/>
      <c r="C1944" s="42"/>
      <c r="D1944" s="42"/>
      <c r="E1944" s="42"/>
      <c r="F1944" s="42"/>
      <c r="G1944" s="42"/>
      <c r="H1944" s="42"/>
      <c r="I1944" s="42"/>
      <c r="J1944" s="42"/>
      <c r="K1944" s="42"/>
      <c r="L1944" s="46"/>
      <c r="M1944" s="46"/>
      <c r="N1944" s="46"/>
      <c r="O1944" s="61"/>
      <c r="P1944" s="62"/>
      <c r="Q1944" s="46"/>
      <c r="R1944" s="47"/>
      <c r="S1944" s="62"/>
      <c r="T1944" s="62"/>
      <c r="U1944" s="46"/>
      <c r="V1944" s="61"/>
      <c r="W1944" s="62"/>
      <c r="X1944" s="47"/>
      <c r="Y1944" s="46"/>
      <c r="Z1944" s="46"/>
      <c r="AA1944" s="46"/>
      <c r="AB1944" s="49"/>
      <c r="AC1944" s="42"/>
      <c r="AD1944" s="42"/>
      <c r="AE1944" s="50"/>
      <c r="AF1944" s="42"/>
      <c r="AG1944" s="42"/>
      <c r="AH1944" s="42"/>
      <c r="AI1944" s="42" t="str">
        <f t="array" ref="AI1944">XLOOKUP($E1944,Sheet11!$D:$D,Sheet11!$X:$X,"",0)</f>
        <v/>
      </c>
      <c r="AJ1944" s="42" t="str">
        <f t="array" ref="AJ1944">XLOOKUP($E1944,Sheet11!$D:$D,Sheet11!$Y:$Y,"",0)</f>
        <v/>
      </c>
    </row>
    <row r="1945">
      <c r="A1945" s="23"/>
      <c r="B1945" s="42"/>
      <c r="C1945" s="42"/>
      <c r="D1945" s="42"/>
      <c r="E1945" s="42"/>
      <c r="F1945" s="42"/>
      <c r="G1945" s="42"/>
      <c r="H1945" s="42"/>
      <c r="I1945" s="42"/>
      <c r="J1945" s="42"/>
      <c r="K1945" s="42"/>
      <c r="L1945" s="46"/>
      <c r="M1945" s="46"/>
      <c r="N1945" s="46"/>
      <c r="O1945" s="61"/>
      <c r="P1945" s="62"/>
      <c r="Q1945" s="46"/>
      <c r="R1945" s="47"/>
      <c r="S1945" s="62"/>
      <c r="T1945" s="62"/>
      <c r="U1945" s="46"/>
      <c r="V1945" s="61"/>
      <c r="W1945" s="62"/>
      <c r="X1945" s="47"/>
      <c r="Y1945" s="46"/>
      <c r="Z1945" s="46"/>
      <c r="AA1945" s="46"/>
      <c r="AB1945" s="49"/>
      <c r="AC1945" s="42"/>
      <c r="AD1945" s="42"/>
      <c r="AE1945" s="50"/>
      <c r="AF1945" s="42"/>
      <c r="AG1945" s="42"/>
      <c r="AH1945" s="42"/>
      <c r="AI1945" s="42" t="str">
        <f t="array" ref="AI1945">XLOOKUP($E1945,Sheet11!$D:$D,Sheet11!$X:$X,"",0)</f>
        <v/>
      </c>
      <c r="AJ1945" s="42" t="str">
        <f t="array" ref="AJ1945">XLOOKUP($E1945,Sheet11!$D:$D,Sheet11!$Y:$Y,"",0)</f>
        <v/>
      </c>
    </row>
    <row r="1946">
      <c r="A1946" s="23"/>
      <c r="B1946" s="42"/>
      <c r="C1946" s="42"/>
      <c r="D1946" s="42"/>
      <c r="E1946" s="42"/>
      <c r="F1946" s="42"/>
      <c r="G1946" s="42"/>
      <c r="H1946" s="42"/>
      <c r="I1946" s="42"/>
      <c r="J1946" s="42"/>
      <c r="K1946" s="42"/>
      <c r="L1946" s="46"/>
      <c r="M1946" s="46"/>
      <c r="N1946" s="46"/>
      <c r="O1946" s="61"/>
      <c r="P1946" s="62"/>
      <c r="Q1946" s="46"/>
      <c r="R1946" s="47"/>
      <c r="S1946" s="62"/>
      <c r="T1946" s="62"/>
      <c r="U1946" s="46"/>
      <c r="V1946" s="61"/>
      <c r="W1946" s="62"/>
      <c r="X1946" s="47"/>
      <c r="Y1946" s="46"/>
      <c r="Z1946" s="46"/>
      <c r="AA1946" s="46"/>
      <c r="AB1946" s="49"/>
      <c r="AC1946" s="42"/>
      <c r="AD1946" s="42"/>
      <c r="AE1946" s="50"/>
      <c r="AF1946" s="42"/>
      <c r="AG1946" s="42"/>
      <c r="AH1946" s="42"/>
      <c r="AI1946" s="42" t="str">
        <f t="array" ref="AI1946">XLOOKUP($E1946,Sheet11!$D:$D,Sheet11!$X:$X,"",0)</f>
        <v/>
      </c>
      <c r="AJ1946" s="42" t="str">
        <f t="array" ref="AJ1946">XLOOKUP($E1946,Sheet11!$D:$D,Sheet11!$Y:$Y,"",0)</f>
        <v/>
      </c>
    </row>
    <row r="1947">
      <c r="A1947" s="23"/>
      <c r="B1947" s="42"/>
      <c r="C1947" s="42"/>
      <c r="D1947" s="42"/>
      <c r="E1947" s="42"/>
      <c r="F1947" s="42"/>
      <c r="G1947" s="42"/>
      <c r="H1947" s="42"/>
      <c r="I1947" s="42"/>
      <c r="J1947" s="42"/>
      <c r="K1947" s="42"/>
      <c r="L1947" s="46"/>
      <c r="M1947" s="46"/>
      <c r="N1947" s="46"/>
      <c r="O1947" s="61"/>
      <c r="P1947" s="62"/>
      <c r="Q1947" s="46"/>
      <c r="R1947" s="47"/>
      <c r="S1947" s="62"/>
      <c r="T1947" s="62"/>
      <c r="U1947" s="46"/>
      <c r="V1947" s="61"/>
      <c r="W1947" s="62"/>
      <c r="X1947" s="47"/>
      <c r="Y1947" s="46"/>
      <c r="Z1947" s="46"/>
      <c r="AA1947" s="46"/>
      <c r="AB1947" s="49"/>
      <c r="AC1947" s="42"/>
      <c r="AD1947" s="42"/>
      <c r="AE1947" s="50"/>
      <c r="AF1947" s="42"/>
      <c r="AG1947" s="42"/>
      <c r="AH1947" s="42"/>
      <c r="AI1947" s="42" t="str">
        <f t="array" ref="AI1947">XLOOKUP($E1947,Sheet11!$D:$D,Sheet11!$X:$X,"",0)</f>
        <v/>
      </c>
      <c r="AJ1947" s="42" t="str">
        <f t="array" ref="AJ1947">XLOOKUP($E1947,Sheet11!$D:$D,Sheet11!$Y:$Y,"",0)</f>
        <v/>
      </c>
    </row>
    <row r="1948">
      <c r="A1948" s="23"/>
      <c r="B1948" s="42"/>
      <c r="C1948" s="42"/>
      <c r="D1948" s="42"/>
      <c r="E1948" s="42"/>
      <c r="F1948" s="42"/>
      <c r="G1948" s="42"/>
      <c r="H1948" s="42"/>
      <c r="I1948" s="42"/>
      <c r="J1948" s="42"/>
      <c r="K1948" s="42"/>
      <c r="L1948" s="46"/>
      <c r="M1948" s="46"/>
      <c r="N1948" s="46"/>
      <c r="O1948" s="61"/>
      <c r="P1948" s="62"/>
      <c r="Q1948" s="46"/>
      <c r="R1948" s="47"/>
      <c r="S1948" s="62"/>
      <c r="T1948" s="62"/>
      <c r="U1948" s="46"/>
      <c r="V1948" s="61"/>
      <c r="W1948" s="62"/>
      <c r="X1948" s="47"/>
      <c r="Y1948" s="46"/>
      <c r="Z1948" s="46"/>
      <c r="AA1948" s="46"/>
      <c r="AB1948" s="49"/>
      <c r="AC1948" s="42"/>
      <c r="AD1948" s="42"/>
      <c r="AE1948" s="50"/>
      <c r="AF1948" s="42"/>
      <c r="AG1948" s="42"/>
      <c r="AH1948" s="42"/>
      <c r="AI1948" s="42" t="str">
        <f t="array" ref="AI1948">XLOOKUP($E1948,Sheet11!$D:$D,Sheet11!$X:$X,"",0)</f>
        <v/>
      </c>
      <c r="AJ1948" s="42" t="str">
        <f t="array" ref="AJ1948">XLOOKUP($E1948,Sheet11!$D:$D,Sheet11!$Y:$Y,"",0)</f>
        <v/>
      </c>
    </row>
    <row r="1949">
      <c r="A1949" s="23"/>
      <c r="B1949" s="42"/>
      <c r="C1949" s="42"/>
      <c r="D1949" s="42"/>
      <c r="E1949" s="42"/>
      <c r="F1949" s="42"/>
      <c r="G1949" s="42"/>
      <c r="H1949" s="42"/>
      <c r="I1949" s="42"/>
      <c r="J1949" s="42"/>
      <c r="K1949" s="42"/>
      <c r="L1949" s="46"/>
      <c r="M1949" s="46"/>
      <c r="N1949" s="46"/>
      <c r="O1949" s="61"/>
      <c r="P1949" s="62"/>
      <c r="Q1949" s="46"/>
      <c r="R1949" s="47"/>
      <c r="S1949" s="62"/>
      <c r="T1949" s="62"/>
      <c r="U1949" s="46"/>
      <c r="V1949" s="61"/>
      <c r="W1949" s="62"/>
      <c r="X1949" s="47"/>
      <c r="Y1949" s="46"/>
      <c r="Z1949" s="46"/>
      <c r="AA1949" s="46"/>
      <c r="AB1949" s="49"/>
      <c r="AC1949" s="42"/>
      <c r="AD1949" s="42"/>
      <c r="AE1949" s="50"/>
      <c r="AF1949" s="42"/>
      <c r="AG1949" s="42"/>
      <c r="AH1949" s="42"/>
      <c r="AI1949" s="42" t="str">
        <f t="array" ref="AI1949">XLOOKUP($E1949,Sheet11!$D:$D,Sheet11!$X:$X,"",0)</f>
        <v/>
      </c>
      <c r="AJ1949" s="42" t="str">
        <f t="array" ref="AJ1949">XLOOKUP($E1949,Sheet11!$D:$D,Sheet11!$Y:$Y,"",0)</f>
        <v/>
      </c>
    </row>
    <row r="1950">
      <c r="A1950" s="23"/>
      <c r="B1950" s="42"/>
      <c r="C1950" s="42"/>
      <c r="D1950" s="42"/>
      <c r="E1950" s="42"/>
      <c r="F1950" s="42"/>
      <c r="G1950" s="42"/>
      <c r="H1950" s="42"/>
      <c r="I1950" s="42"/>
      <c r="J1950" s="42"/>
      <c r="K1950" s="42"/>
      <c r="L1950" s="46"/>
      <c r="M1950" s="46"/>
      <c r="N1950" s="46"/>
      <c r="O1950" s="61"/>
      <c r="P1950" s="62"/>
      <c r="Q1950" s="46"/>
      <c r="R1950" s="47"/>
      <c r="S1950" s="62"/>
      <c r="T1950" s="62"/>
      <c r="U1950" s="46"/>
      <c r="V1950" s="61"/>
      <c r="W1950" s="62"/>
      <c r="X1950" s="47"/>
      <c r="Y1950" s="46"/>
      <c r="Z1950" s="46"/>
      <c r="AA1950" s="46"/>
      <c r="AB1950" s="49"/>
      <c r="AC1950" s="42"/>
      <c r="AD1950" s="42"/>
      <c r="AE1950" s="50"/>
      <c r="AF1950" s="42"/>
      <c r="AG1950" s="42"/>
      <c r="AH1950" s="42"/>
      <c r="AI1950" s="42" t="str">
        <f t="array" ref="AI1950">XLOOKUP($E1950,Sheet11!$D:$D,Sheet11!$X:$X,"",0)</f>
        <v/>
      </c>
      <c r="AJ1950" s="42" t="str">
        <f t="array" ref="AJ1950">XLOOKUP($E1950,Sheet11!$D:$D,Sheet11!$Y:$Y,"",0)</f>
        <v/>
      </c>
    </row>
    <row r="1951">
      <c r="A1951" s="23"/>
      <c r="B1951" s="42"/>
      <c r="C1951" s="42"/>
      <c r="D1951" s="42"/>
      <c r="E1951" s="42"/>
      <c r="F1951" s="42"/>
      <c r="G1951" s="42"/>
      <c r="H1951" s="42"/>
      <c r="I1951" s="42"/>
      <c r="J1951" s="42"/>
      <c r="K1951" s="42"/>
      <c r="L1951" s="46"/>
      <c r="M1951" s="46"/>
      <c r="N1951" s="46"/>
      <c r="O1951" s="61"/>
      <c r="P1951" s="62"/>
      <c r="Q1951" s="46"/>
      <c r="R1951" s="47"/>
      <c r="S1951" s="62"/>
      <c r="T1951" s="62"/>
      <c r="U1951" s="46"/>
      <c r="V1951" s="61"/>
      <c r="W1951" s="62"/>
      <c r="X1951" s="47"/>
      <c r="Y1951" s="46"/>
      <c r="Z1951" s="46"/>
      <c r="AA1951" s="46"/>
      <c r="AB1951" s="49"/>
      <c r="AC1951" s="42"/>
      <c r="AD1951" s="42"/>
      <c r="AE1951" s="50"/>
      <c r="AF1951" s="42"/>
      <c r="AG1951" s="42"/>
      <c r="AH1951" s="42"/>
      <c r="AI1951" s="42" t="str">
        <f t="array" ref="AI1951">XLOOKUP($E1951,Sheet11!$D:$D,Sheet11!$X:$X,"",0)</f>
        <v/>
      </c>
      <c r="AJ1951" s="42" t="str">
        <f t="array" ref="AJ1951">XLOOKUP($E1951,Sheet11!$D:$D,Sheet11!$Y:$Y,"",0)</f>
        <v/>
      </c>
    </row>
    <row r="1952">
      <c r="A1952" s="23"/>
      <c r="B1952" s="42"/>
      <c r="C1952" s="42"/>
      <c r="D1952" s="42"/>
      <c r="E1952" s="42"/>
      <c r="F1952" s="42"/>
      <c r="G1952" s="42"/>
      <c r="H1952" s="42"/>
      <c r="I1952" s="42"/>
      <c r="J1952" s="42"/>
      <c r="K1952" s="42"/>
      <c r="L1952" s="46"/>
      <c r="M1952" s="46"/>
      <c r="N1952" s="46"/>
      <c r="O1952" s="61"/>
      <c r="P1952" s="62"/>
      <c r="Q1952" s="46"/>
      <c r="R1952" s="47"/>
      <c r="S1952" s="62"/>
      <c r="T1952" s="62"/>
      <c r="U1952" s="46"/>
      <c r="V1952" s="61"/>
      <c r="W1952" s="62"/>
      <c r="X1952" s="47"/>
      <c r="Y1952" s="46"/>
      <c r="Z1952" s="46"/>
      <c r="AA1952" s="46"/>
      <c r="AB1952" s="49"/>
      <c r="AC1952" s="42"/>
      <c r="AD1952" s="42"/>
      <c r="AE1952" s="50"/>
      <c r="AF1952" s="42"/>
      <c r="AG1952" s="42"/>
      <c r="AH1952" s="42"/>
      <c r="AI1952" s="42" t="str">
        <f t="array" ref="AI1952">XLOOKUP($E1952,Sheet11!$D:$D,Sheet11!$X:$X,"",0)</f>
        <v/>
      </c>
      <c r="AJ1952" s="42" t="str">
        <f t="array" ref="AJ1952">XLOOKUP($E1952,Sheet11!$D:$D,Sheet11!$Y:$Y,"",0)</f>
        <v/>
      </c>
    </row>
    <row r="1953">
      <c r="A1953" s="23"/>
      <c r="B1953" s="42"/>
      <c r="C1953" s="42"/>
      <c r="D1953" s="42"/>
      <c r="E1953" s="42"/>
      <c r="F1953" s="42"/>
      <c r="G1953" s="42"/>
      <c r="H1953" s="42"/>
      <c r="I1953" s="42"/>
      <c r="J1953" s="42"/>
      <c r="K1953" s="42"/>
      <c r="L1953" s="46"/>
      <c r="M1953" s="46"/>
      <c r="N1953" s="46"/>
      <c r="O1953" s="61"/>
      <c r="P1953" s="62"/>
      <c r="Q1953" s="46"/>
      <c r="R1953" s="47"/>
      <c r="S1953" s="62"/>
      <c r="T1953" s="62"/>
      <c r="U1953" s="46"/>
      <c r="V1953" s="61"/>
      <c r="W1953" s="62"/>
      <c r="X1953" s="47"/>
      <c r="Y1953" s="46"/>
      <c r="Z1953" s="46"/>
      <c r="AA1953" s="46"/>
      <c r="AB1953" s="49"/>
      <c r="AC1953" s="42"/>
      <c r="AD1953" s="42"/>
      <c r="AE1953" s="50"/>
      <c r="AF1953" s="42"/>
      <c r="AG1953" s="42"/>
      <c r="AH1953" s="42"/>
      <c r="AI1953" s="42" t="str">
        <f t="array" ref="AI1953">XLOOKUP($E1953,Sheet11!$D:$D,Sheet11!$X:$X,"",0)</f>
        <v/>
      </c>
      <c r="AJ1953" s="42" t="str">
        <f t="array" ref="AJ1953">XLOOKUP($E1953,Sheet11!$D:$D,Sheet11!$Y:$Y,"",0)</f>
        <v/>
      </c>
    </row>
    <row r="1954">
      <c r="A1954" s="23"/>
      <c r="B1954" s="42"/>
      <c r="C1954" s="42"/>
      <c r="D1954" s="42"/>
      <c r="E1954" s="42"/>
      <c r="F1954" s="42"/>
      <c r="G1954" s="42"/>
      <c r="H1954" s="42"/>
      <c r="I1954" s="42"/>
      <c r="J1954" s="42"/>
      <c r="K1954" s="42"/>
      <c r="L1954" s="46"/>
      <c r="M1954" s="46"/>
      <c r="N1954" s="46"/>
      <c r="O1954" s="61"/>
      <c r="P1954" s="62"/>
      <c r="Q1954" s="46"/>
      <c r="R1954" s="47"/>
      <c r="S1954" s="62"/>
      <c r="T1954" s="62"/>
      <c r="U1954" s="46"/>
      <c r="V1954" s="61"/>
      <c r="W1954" s="62"/>
      <c r="X1954" s="47"/>
      <c r="Y1954" s="46"/>
      <c r="Z1954" s="46"/>
      <c r="AA1954" s="46"/>
      <c r="AB1954" s="49"/>
      <c r="AC1954" s="42"/>
      <c r="AD1954" s="42"/>
      <c r="AE1954" s="50"/>
      <c r="AF1954" s="42"/>
      <c r="AG1954" s="42"/>
      <c r="AH1954" s="42"/>
      <c r="AI1954" s="42" t="str">
        <f t="array" ref="AI1954">XLOOKUP($E1954,Sheet11!$D:$D,Sheet11!$X:$X,"",0)</f>
        <v/>
      </c>
      <c r="AJ1954" s="42" t="str">
        <f t="array" ref="AJ1954">XLOOKUP($E1954,Sheet11!$D:$D,Sheet11!$Y:$Y,"",0)</f>
        <v/>
      </c>
    </row>
    <row r="1955">
      <c r="A1955" s="23"/>
      <c r="B1955" s="42"/>
      <c r="C1955" s="42"/>
      <c r="D1955" s="42"/>
      <c r="E1955" s="42"/>
      <c r="F1955" s="42"/>
      <c r="G1955" s="42"/>
      <c r="H1955" s="42"/>
      <c r="I1955" s="42"/>
      <c r="J1955" s="42"/>
      <c r="K1955" s="42"/>
      <c r="L1955" s="46"/>
      <c r="M1955" s="46"/>
      <c r="N1955" s="46"/>
      <c r="O1955" s="61"/>
      <c r="P1955" s="62"/>
      <c r="Q1955" s="46"/>
      <c r="R1955" s="47"/>
      <c r="S1955" s="62"/>
      <c r="T1955" s="62"/>
      <c r="U1955" s="46"/>
      <c r="V1955" s="61"/>
      <c r="W1955" s="62"/>
      <c r="X1955" s="47"/>
      <c r="Y1955" s="46"/>
      <c r="Z1955" s="46"/>
      <c r="AA1955" s="46"/>
      <c r="AB1955" s="49"/>
      <c r="AC1955" s="42"/>
      <c r="AD1955" s="42"/>
      <c r="AE1955" s="50"/>
      <c r="AF1955" s="42"/>
      <c r="AG1955" s="42"/>
      <c r="AH1955" s="42"/>
      <c r="AI1955" s="42" t="str">
        <f t="array" ref="AI1955">XLOOKUP($E1955,Sheet11!$D:$D,Sheet11!$X:$X,"",0)</f>
        <v/>
      </c>
      <c r="AJ1955" s="42" t="str">
        <f t="array" ref="AJ1955">XLOOKUP($E1955,Sheet11!$D:$D,Sheet11!$Y:$Y,"",0)</f>
        <v/>
      </c>
    </row>
    <row r="1956">
      <c r="A1956" s="23"/>
      <c r="B1956" s="42"/>
      <c r="C1956" s="42"/>
      <c r="D1956" s="42"/>
      <c r="E1956" s="42"/>
      <c r="F1956" s="42"/>
      <c r="G1956" s="42"/>
      <c r="H1956" s="42"/>
      <c r="I1956" s="42"/>
      <c r="J1956" s="42"/>
      <c r="K1956" s="42"/>
      <c r="L1956" s="46"/>
      <c r="M1956" s="46"/>
      <c r="N1956" s="46"/>
      <c r="O1956" s="61"/>
      <c r="P1956" s="62"/>
      <c r="Q1956" s="46"/>
      <c r="R1956" s="47"/>
      <c r="S1956" s="62"/>
      <c r="T1956" s="62"/>
      <c r="U1956" s="46"/>
      <c r="V1956" s="61"/>
      <c r="W1956" s="62"/>
      <c r="X1956" s="47"/>
      <c r="Y1956" s="46"/>
      <c r="Z1956" s="46"/>
      <c r="AA1956" s="46"/>
      <c r="AB1956" s="49"/>
      <c r="AC1956" s="42"/>
      <c r="AD1956" s="42"/>
      <c r="AE1956" s="50"/>
      <c r="AF1956" s="42"/>
      <c r="AG1956" s="42"/>
      <c r="AH1956" s="42"/>
      <c r="AI1956" s="42" t="str">
        <f t="array" ref="AI1956">XLOOKUP($E1956,Sheet11!$D:$D,Sheet11!$X:$X,"",0)</f>
        <v/>
      </c>
      <c r="AJ1956" s="42" t="str">
        <f t="array" ref="AJ1956">XLOOKUP($E1956,Sheet11!$D:$D,Sheet11!$Y:$Y,"",0)</f>
        <v/>
      </c>
    </row>
    <row r="1957">
      <c r="A1957" s="23"/>
      <c r="B1957" s="42"/>
      <c r="C1957" s="42"/>
      <c r="D1957" s="42"/>
      <c r="E1957" s="42"/>
      <c r="F1957" s="42"/>
      <c r="G1957" s="42"/>
      <c r="H1957" s="42"/>
      <c r="I1957" s="42"/>
      <c r="J1957" s="42"/>
      <c r="K1957" s="42"/>
      <c r="L1957" s="46"/>
      <c r="M1957" s="46"/>
      <c r="N1957" s="46"/>
      <c r="O1957" s="61"/>
      <c r="P1957" s="62"/>
      <c r="Q1957" s="46"/>
      <c r="R1957" s="47"/>
      <c r="S1957" s="62"/>
      <c r="T1957" s="62"/>
      <c r="U1957" s="46"/>
      <c r="V1957" s="61"/>
      <c r="W1957" s="62"/>
      <c r="X1957" s="47"/>
      <c r="Y1957" s="46"/>
      <c r="Z1957" s="46"/>
      <c r="AA1957" s="46"/>
      <c r="AB1957" s="49"/>
      <c r="AC1957" s="42"/>
      <c r="AD1957" s="42"/>
      <c r="AE1957" s="50"/>
      <c r="AF1957" s="42"/>
      <c r="AG1957" s="42"/>
      <c r="AH1957" s="42"/>
      <c r="AI1957" s="42" t="str">
        <f t="array" ref="AI1957">XLOOKUP($E1957,Sheet11!$D:$D,Sheet11!$X:$X,"",0)</f>
        <v/>
      </c>
      <c r="AJ1957" s="42" t="str">
        <f t="array" ref="AJ1957">XLOOKUP($E1957,Sheet11!$D:$D,Sheet11!$Y:$Y,"",0)</f>
        <v/>
      </c>
    </row>
    <row r="1958">
      <c r="A1958" s="23"/>
      <c r="B1958" s="42"/>
      <c r="C1958" s="42"/>
      <c r="D1958" s="42"/>
      <c r="E1958" s="42"/>
      <c r="F1958" s="42"/>
      <c r="G1958" s="42"/>
      <c r="H1958" s="42"/>
      <c r="I1958" s="42"/>
      <c r="J1958" s="42"/>
      <c r="K1958" s="42"/>
      <c r="L1958" s="46"/>
      <c r="M1958" s="46"/>
      <c r="N1958" s="46"/>
      <c r="O1958" s="61"/>
      <c r="P1958" s="62"/>
      <c r="Q1958" s="46"/>
      <c r="R1958" s="47"/>
      <c r="S1958" s="62"/>
      <c r="T1958" s="62"/>
      <c r="U1958" s="46"/>
      <c r="V1958" s="61"/>
      <c r="W1958" s="62"/>
      <c r="X1958" s="47"/>
      <c r="Y1958" s="46"/>
      <c r="Z1958" s="46"/>
      <c r="AA1958" s="46"/>
      <c r="AB1958" s="49"/>
      <c r="AC1958" s="42"/>
      <c r="AD1958" s="42"/>
      <c r="AE1958" s="50"/>
      <c r="AF1958" s="42"/>
      <c r="AG1958" s="42"/>
      <c r="AH1958" s="42"/>
      <c r="AI1958" s="42" t="str">
        <f t="array" ref="AI1958">XLOOKUP($E1958,Sheet11!$D:$D,Sheet11!$X:$X,"",0)</f>
        <v/>
      </c>
      <c r="AJ1958" s="42" t="str">
        <f t="array" ref="AJ1958">XLOOKUP($E1958,Sheet11!$D:$D,Sheet11!$Y:$Y,"",0)</f>
        <v/>
      </c>
    </row>
    <row r="1959">
      <c r="A1959" s="23"/>
      <c r="B1959" s="42"/>
      <c r="C1959" s="42"/>
      <c r="D1959" s="42"/>
      <c r="E1959" s="42"/>
      <c r="F1959" s="42"/>
      <c r="G1959" s="42"/>
      <c r="H1959" s="42"/>
      <c r="I1959" s="42"/>
      <c r="J1959" s="42"/>
      <c r="K1959" s="42"/>
      <c r="L1959" s="46"/>
      <c r="M1959" s="46"/>
      <c r="N1959" s="46"/>
      <c r="O1959" s="61"/>
      <c r="P1959" s="62"/>
      <c r="Q1959" s="46"/>
      <c r="R1959" s="47"/>
      <c r="S1959" s="62"/>
      <c r="T1959" s="62"/>
      <c r="U1959" s="46"/>
      <c r="V1959" s="61"/>
      <c r="W1959" s="62"/>
      <c r="X1959" s="47"/>
      <c r="Y1959" s="46"/>
      <c r="Z1959" s="46"/>
      <c r="AA1959" s="46"/>
      <c r="AB1959" s="49"/>
      <c r="AC1959" s="42"/>
      <c r="AD1959" s="42"/>
      <c r="AE1959" s="50"/>
      <c r="AF1959" s="42"/>
      <c r="AG1959" s="42"/>
      <c r="AH1959" s="42"/>
      <c r="AI1959" s="42" t="str">
        <f t="array" ref="AI1959">XLOOKUP($E1959,Sheet11!$D:$D,Sheet11!$X:$X,"",0)</f>
        <v/>
      </c>
      <c r="AJ1959" s="42" t="str">
        <f t="array" ref="AJ1959">XLOOKUP($E1959,Sheet11!$D:$D,Sheet11!$Y:$Y,"",0)</f>
        <v/>
      </c>
    </row>
    <row r="1960">
      <c r="A1960" s="23"/>
      <c r="B1960" s="42"/>
      <c r="C1960" s="42"/>
      <c r="D1960" s="42"/>
      <c r="E1960" s="42"/>
      <c r="F1960" s="42"/>
      <c r="G1960" s="42"/>
      <c r="H1960" s="42"/>
      <c r="I1960" s="42"/>
      <c r="J1960" s="42"/>
      <c r="K1960" s="42"/>
      <c r="L1960" s="46"/>
      <c r="M1960" s="46"/>
      <c r="N1960" s="46"/>
      <c r="O1960" s="61"/>
      <c r="P1960" s="62"/>
      <c r="Q1960" s="46"/>
      <c r="R1960" s="47"/>
      <c r="S1960" s="62"/>
      <c r="T1960" s="62"/>
      <c r="U1960" s="46"/>
      <c r="V1960" s="61"/>
      <c r="W1960" s="62"/>
      <c r="X1960" s="47"/>
      <c r="Y1960" s="46"/>
      <c r="Z1960" s="46"/>
      <c r="AA1960" s="46"/>
      <c r="AB1960" s="49"/>
      <c r="AC1960" s="42"/>
      <c r="AD1960" s="42"/>
      <c r="AE1960" s="50"/>
      <c r="AF1960" s="42"/>
      <c r="AG1960" s="42"/>
      <c r="AH1960" s="42"/>
      <c r="AI1960" s="42" t="str">
        <f t="array" ref="AI1960">XLOOKUP($E1960,Sheet11!$D:$D,Sheet11!$X:$X,"",0)</f>
        <v/>
      </c>
      <c r="AJ1960" s="42" t="str">
        <f t="array" ref="AJ1960">XLOOKUP($E1960,Sheet11!$D:$D,Sheet11!$Y:$Y,"",0)</f>
        <v/>
      </c>
    </row>
    <row r="1961">
      <c r="A1961" s="23"/>
      <c r="B1961" s="42"/>
      <c r="C1961" s="42"/>
      <c r="D1961" s="42"/>
      <c r="E1961" s="42"/>
      <c r="F1961" s="42"/>
      <c r="G1961" s="42"/>
      <c r="H1961" s="42"/>
      <c r="I1961" s="42"/>
      <c r="J1961" s="42"/>
      <c r="K1961" s="42"/>
      <c r="L1961" s="46"/>
      <c r="M1961" s="46"/>
      <c r="N1961" s="46"/>
      <c r="O1961" s="61"/>
      <c r="P1961" s="62"/>
      <c r="Q1961" s="46"/>
      <c r="R1961" s="47"/>
      <c r="S1961" s="62"/>
      <c r="T1961" s="62"/>
      <c r="U1961" s="46"/>
      <c r="V1961" s="61"/>
      <c r="W1961" s="62"/>
      <c r="X1961" s="47"/>
      <c r="Y1961" s="46"/>
      <c r="Z1961" s="46"/>
      <c r="AA1961" s="46"/>
      <c r="AB1961" s="49"/>
      <c r="AC1961" s="42"/>
      <c r="AD1961" s="42"/>
      <c r="AE1961" s="50"/>
      <c r="AF1961" s="42"/>
      <c r="AG1961" s="42"/>
      <c r="AH1961" s="42"/>
      <c r="AI1961" s="42" t="str">
        <f t="array" ref="AI1961">XLOOKUP($E1961,Sheet11!$D:$D,Sheet11!$X:$X,"",0)</f>
        <v/>
      </c>
      <c r="AJ1961" s="42" t="str">
        <f t="array" ref="AJ1961">XLOOKUP($E1961,Sheet11!$D:$D,Sheet11!$Y:$Y,"",0)</f>
        <v/>
      </c>
    </row>
    <row r="1962">
      <c r="A1962" s="23"/>
      <c r="B1962" s="42"/>
      <c r="C1962" s="42"/>
      <c r="D1962" s="42"/>
      <c r="E1962" s="42"/>
      <c r="F1962" s="42"/>
      <c r="G1962" s="42"/>
      <c r="H1962" s="42"/>
      <c r="I1962" s="42"/>
      <c r="J1962" s="42"/>
      <c r="K1962" s="42"/>
      <c r="L1962" s="46"/>
      <c r="M1962" s="46"/>
      <c r="N1962" s="46"/>
      <c r="O1962" s="61"/>
      <c r="P1962" s="62"/>
      <c r="Q1962" s="46"/>
      <c r="R1962" s="47"/>
      <c r="S1962" s="62"/>
      <c r="T1962" s="62"/>
      <c r="U1962" s="46"/>
      <c r="V1962" s="61"/>
      <c r="W1962" s="62"/>
      <c r="X1962" s="47"/>
      <c r="Y1962" s="46"/>
      <c r="Z1962" s="46"/>
      <c r="AA1962" s="46"/>
      <c r="AB1962" s="49"/>
      <c r="AC1962" s="42"/>
      <c r="AD1962" s="42"/>
      <c r="AE1962" s="50"/>
      <c r="AF1962" s="42"/>
      <c r="AG1962" s="42"/>
      <c r="AH1962" s="42"/>
      <c r="AI1962" s="42" t="str">
        <f t="array" ref="AI1962">XLOOKUP($E1962,Sheet11!$D:$D,Sheet11!$X:$X,"",0)</f>
        <v/>
      </c>
      <c r="AJ1962" s="42" t="str">
        <f t="array" ref="AJ1962">XLOOKUP($E1962,Sheet11!$D:$D,Sheet11!$Y:$Y,"",0)</f>
        <v/>
      </c>
    </row>
    <row r="1963">
      <c r="A1963" s="23"/>
      <c r="B1963" s="42"/>
      <c r="C1963" s="42"/>
      <c r="D1963" s="42"/>
      <c r="E1963" s="42"/>
      <c r="F1963" s="42"/>
      <c r="G1963" s="42"/>
      <c r="H1963" s="42"/>
      <c r="I1963" s="42"/>
      <c r="J1963" s="42"/>
      <c r="K1963" s="42"/>
      <c r="L1963" s="46"/>
      <c r="M1963" s="46"/>
      <c r="N1963" s="46"/>
      <c r="O1963" s="61"/>
      <c r="P1963" s="62"/>
      <c r="Q1963" s="46"/>
      <c r="R1963" s="47"/>
      <c r="S1963" s="62"/>
      <c r="T1963" s="62"/>
      <c r="U1963" s="46"/>
      <c r="V1963" s="61"/>
      <c r="W1963" s="62"/>
      <c r="X1963" s="47"/>
      <c r="Y1963" s="46"/>
      <c r="Z1963" s="46"/>
      <c r="AA1963" s="46"/>
      <c r="AB1963" s="49"/>
      <c r="AC1963" s="42"/>
      <c r="AD1963" s="42"/>
      <c r="AE1963" s="50"/>
      <c r="AF1963" s="42"/>
      <c r="AG1963" s="42"/>
      <c r="AH1963" s="42"/>
      <c r="AI1963" s="42" t="str">
        <f t="array" ref="AI1963">XLOOKUP($E1963,Sheet11!$D:$D,Sheet11!$X:$X,"",0)</f>
        <v/>
      </c>
      <c r="AJ1963" s="42" t="str">
        <f t="array" ref="AJ1963">XLOOKUP($E1963,Sheet11!$D:$D,Sheet11!$Y:$Y,"",0)</f>
        <v/>
      </c>
    </row>
    <row r="1964">
      <c r="A1964" s="23"/>
      <c r="B1964" s="42"/>
      <c r="C1964" s="42"/>
      <c r="D1964" s="42"/>
      <c r="E1964" s="42"/>
      <c r="F1964" s="42"/>
      <c r="G1964" s="42"/>
      <c r="H1964" s="42"/>
      <c r="I1964" s="42"/>
      <c r="J1964" s="42"/>
      <c r="K1964" s="42"/>
      <c r="L1964" s="46"/>
      <c r="M1964" s="46"/>
      <c r="N1964" s="46"/>
      <c r="O1964" s="61"/>
      <c r="P1964" s="62"/>
      <c r="Q1964" s="46"/>
      <c r="R1964" s="47"/>
      <c r="S1964" s="62"/>
      <c r="T1964" s="62"/>
      <c r="U1964" s="46"/>
      <c r="V1964" s="61"/>
      <c r="W1964" s="62"/>
      <c r="X1964" s="47"/>
      <c r="Y1964" s="46"/>
      <c r="Z1964" s="46"/>
      <c r="AA1964" s="46"/>
      <c r="AB1964" s="49"/>
      <c r="AC1964" s="42"/>
      <c r="AD1964" s="42"/>
      <c r="AE1964" s="50"/>
      <c r="AF1964" s="42"/>
      <c r="AG1964" s="42"/>
      <c r="AH1964" s="42"/>
      <c r="AI1964" s="42" t="str">
        <f t="array" ref="AI1964">XLOOKUP($E1964,Sheet11!$D:$D,Sheet11!$X:$X,"",0)</f>
        <v/>
      </c>
      <c r="AJ1964" s="42" t="str">
        <f t="array" ref="AJ1964">XLOOKUP($E1964,Sheet11!$D:$D,Sheet11!$Y:$Y,"",0)</f>
        <v/>
      </c>
    </row>
    <row r="1965">
      <c r="A1965" s="23"/>
      <c r="B1965" s="42"/>
      <c r="C1965" s="42"/>
      <c r="D1965" s="42"/>
      <c r="E1965" s="42"/>
      <c r="F1965" s="42"/>
      <c r="G1965" s="42"/>
      <c r="H1965" s="42"/>
      <c r="I1965" s="42"/>
      <c r="J1965" s="42"/>
      <c r="K1965" s="42"/>
      <c r="L1965" s="46"/>
      <c r="M1965" s="46"/>
      <c r="N1965" s="46"/>
      <c r="O1965" s="61"/>
      <c r="P1965" s="62"/>
      <c r="Q1965" s="46"/>
      <c r="R1965" s="47"/>
      <c r="S1965" s="62"/>
      <c r="T1965" s="62"/>
      <c r="U1965" s="46"/>
      <c r="V1965" s="61"/>
      <c r="W1965" s="62"/>
      <c r="X1965" s="47"/>
      <c r="Y1965" s="46"/>
      <c r="Z1965" s="46"/>
      <c r="AA1965" s="46"/>
      <c r="AB1965" s="49"/>
      <c r="AC1965" s="42"/>
      <c r="AD1965" s="42"/>
      <c r="AE1965" s="50"/>
      <c r="AF1965" s="42"/>
      <c r="AG1965" s="42"/>
      <c r="AH1965" s="42"/>
      <c r="AI1965" s="42" t="str">
        <f t="array" ref="AI1965">XLOOKUP($E1965,Sheet11!$D:$D,Sheet11!$X:$X,"",0)</f>
        <v/>
      </c>
      <c r="AJ1965" s="42" t="str">
        <f t="array" ref="AJ1965">XLOOKUP($E1965,Sheet11!$D:$D,Sheet11!$Y:$Y,"",0)</f>
        <v/>
      </c>
    </row>
    <row r="1966">
      <c r="A1966" s="23"/>
      <c r="B1966" s="42"/>
      <c r="C1966" s="42"/>
      <c r="D1966" s="42"/>
      <c r="E1966" s="42"/>
      <c r="F1966" s="42"/>
      <c r="G1966" s="42"/>
      <c r="H1966" s="42"/>
      <c r="I1966" s="42"/>
      <c r="J1966" s="42"/>
      <c r="K1966" s="42"/>
      <c r="L1966" s="46"/>
      <c r="M1966" s="46"/>
      <c r="N1966" s="46"/>
      <c r="O1966" s="61"/>
      <c r="P1966" s="62"/>
      <c r="Q1966" s="46"/>
      <c r="R1966" s="47"/>
      <c r="S1966" s="62"/>
      <c r="T1966" s="62"/>
      <c r="U1966" s="46"/>
      <c r="V1966" s="61"/>
      <c r="W1966" s="62"/>
      <c r="X1966" s="47"/>
      <c r="Y1966" s="46"/>
      <c r="Z1966" s="46"/>
      <c r="AA1966" s="46"/>
      <c r="AB1966" s="49"/>
      <c r="AC1966" s="42"/>
      <c r="AD1966" s="42"/>
      <c r="AE1966" s="50"/>
      <c r="AF1966" s="42"/>
      <c r="AG1966" s="42"/>
      <c r="AH1966" s="42"/>
      <c r="AI1966" s="42" t="str">
        <f t="array" ref="AI1966">XLOOKUP($E1966,Sheet11!$D:$D,Sheet11!$X:$X,"",0)</f>
        <v/>
      </c>
      <c r="AJ1966" s="42" t="str">
        <f t="array" ref="AJ1966">XLOOKUP($E1966,Sheet11!$D:$D,Sheet11!$Y:$Y,"",0)</f>
        <v/>
      </c>
    </row>
    <row r="1967">
      <c r="A1967" s="23"/>
      <c r="B1967" s="42"/>
      <c r="C1967" s="42"/>
      <c r="D1967" s="42"/>
      <c r="E1967" s="42"/>
      <c r="F1967" s="42"/>
      <c r="G1967" s="42"/>
      <c r="H1967" s="42"/>
      <c r="I1967" s="42"/>
      <c r="J1967" s="42"/>
      <c r="K1967" s="42"/>
      <c r="L1967" s="46"/>
      <c r="M1967" s="46"/>
      <c r="N1967" s="46"/>
      <c r="O1967" s="61"/>
      <c r="P1967" s="62"/>
      <c r="Q1967" s="46"/>
      <c r="R1967" s="47"/>
      <c r="S1967" s="62"/>
      <c r="T1967" s="62"/>
      <c r="U1967" s="46"/>
      <c r="V1967" s="61"/>
      <c r="W1967" s="62"/>
      <c r="X1967" s="47"/>
      <c r="Y1967" s="46"/>
      <c r="Z1967" s="46"/>
      <c r="AA1967" s="46"/>
      <c r="AB1967" s="49"/>
      <c r="AC1967" s="42"/>
      <c r="AD1967" s="42"/>
      <c r="AE1967" s="50"/>
      <c r="AF1967" s="42"/>
      <c r="AG1967" s="42"/>
      <c r="AH1967" s="42"/>
      <c r="AI1967" s="42" t="str">
        <f t="array" ref="AI1967">XLOOKUP($E1967,Sheet11!$D:$D,Sheet11!$X:$X,"",0)</f>
        <v/>
      </c>
      <c r="AJ1967" s="42" t="str">
        <f t="array" ref="AJ1967">XLOOKUP($E1967,Sheet11!$D:$D,Sheet11!$Y:$Y,"",0)</f>
        <v/>
      </c>
    </row>
    <row r="1968">
      <c r="A1968" s="23"/>
      <c r="B1968" s="42"/>
      <c r="C1968" s="42"/>
      <c r="D1968" s="42"/>
      <c r="E1968" s="42"/>
      <c r="F1968" s="42"/>
      <c r="G1968" s="42"/>
      <c r="H1968" s="42"/>
      <c r="I1968" s="42"/>
      <c r="J1968" s="42"/>
      <c r="K1968" s="42"/>
      <c r="L1968" s="46"/>
      <c r="M1968" s="46"/>
      <c r="N1968" s="46"/>
      <c r="O1968" s="61"/>
      <c r="P1968" s="62"/>
      <c r="Q1968" s="46"/>
      <c r="R1968" s="47"/>
      <c r="S1968" s="62"/>
      <c r="T1968" s="62"/>
      <c r="U1968" s="46"/>
      <c r="V1968" s="61"/>
      <c r="W1968" s="62"/>
      <c r="X1968" s="47"/>
      <c r="Y1968" s="46"/>
      <c r="Z1968" s="46"/>
      <c r="AA1968" s="46"/>
      <c r="AB1968" s="49"/>
      <c r="AC1968" s="42"/>
      <c r="AD1968" s="42"/>
      <c r="AE1968" s="50"/>
      <c r="AF1968" s="42"/>
      <c r="AG1968" s="42"/>
      <c r="AH1968" s="42"/>
      <c r="AI1968" s="42" t="str">
        <f t="array" ref="AI1968">XLOOKUP($E1968,Sheet11!$D:$D,Sheet11!$X:$X,"",0)</f>
        <v/>
      </c>
      <c r="AJ1968" s="42" t="str">
        <f t="array" ref="AJ1968">XLOOKUP($E1968,Sheet11!$D:$D,Sheet11!$Y:$Y,"",0)</f>
        <v/>
      </c>
    </row>
    <row r="1969">
      <c r="A1969" s="23"/>
      <c r="B1969" s="42"/>
      <c r="C1969" s="42"/>
      <c r="D1969" s="42"/>
      <c r="E1969" s="42"/>
      <c r="F1969" s="42"/>
      <c r="G1969" s="42"/>
      <c r="H1969" s="42"/>
      <c r="I1969" s="42"/>
      <c r="J1969" s="42"/>
      <c r="K1969" s="42"/>
      <c r="L1969" s="46"/>
      <c r="M1969" s="46"/>
      <c r="N1969" s="46"/>
      <c r="O1969" s="61"/>
      <c r="P1969" s="62"/>
      <c r="Q1969" s="46"/>
      <c r="R1969" s="47"/>
      <c r="S1969" s="62"/>
      <c r="T1969" s="62"/>
      <c r="U1969" s="46"/>
      <c r="V1969" s="61"/>
      <c r="W1969" s="62"/>
      <c r="X1969" s="47"/>
      <c r="Y1969" s="46"/>
      <c r="Z1969" s="46"/>
      <c r="AA1969" s="46"/>
      <c r="AB1969" s="49"/>
      <c r="AC1969" s="42"/>
      <c r="AD1969" s="42"/>
      <c r="AE1969" s="50"/>
      <c r="AF1969" s="42"/>
      <c r="AG1969" s="42"/>
      <c r="AH1969" s="42"/>
      <c r="AI1969" s="42" t="str">
        <f t="array" ref="AI1969">XLOOKUP($E1969,Sheet11!$D:$D,Sheet11!$X:$X,"",0)</f>
        <v/>
      </c>
      <c r="AJ1969" s="42" t="str">
        <f t="array" ref="AJ1969">XLOOKUP($E1969,Sheet11!$D:$D,Sheet11!$Y:$Y,"",0)</f>
        <v/>
      </c>
    </row>
    <row r="1970">
      <c r="A1970" s="23"/>
      <c r="B1970" s="42"/>
      <c r="C1970" s="42"/>
      <c r="D1970" s="42"/>
      <c r="E1970" s="42"/>
      <c r="F1970" s="42"/>
      <c r="G1970" s="42"/>
      <c r="H1970" s="42"/>
      <c r="I1970" s="42"/>
      <c r="J1970" s="42"/>
      <c r="K1970" s="42"/>
      <c r="L1970" s="46"/>
      <c r="M1970" s="46"/>
      <c r="N1970" s="46"/>
      <c r="O1970" s="61"/>
      <c r="P1970" s="62"/>
      <c r="Q1970" s="46"/>
      <c r="R1970" s="47"/>
      <c r="S1970" s="62"/>
      <c r="T1970" s="62"/>
      <c r="U1970" s="46"/>
      <c r="V1970" s="61"/>
      <c r="W1970" s="62"/>
      <c r="X1970" s="47"/>
      <c r="Y1970" s="46"/>
      <c r="Z1970" s="46"/>
      <c r="AA1970" s="46"/>
      <c r="AB1970" s="49"/>
      <c r="AC1970" s="42"/>
      <c r="AD1970" s="42"/>
      <c r="AE1970" s="50"/>
      <c r="AF1970" s="42"/>
      <c r="AG1970" s="42"/>
      <c r="AH1970" s="42"/>
      <c r="AI1970" s="42" t="str">
        <f t="array" ref="AI1970">XLOOKUP($E1970,Sheet11!$D:$D,Sheet11!$X:$X,"",0)</f>
        <v/>
      </c>
      <c r="AJ1970" s="42" t="str">
        <f t="array" ref="AJ1970">XLOOKUP($E1970,Sheet11!$D:$D,Sheet11!$Y:$Y,"",0)</f>
        <v/>
      </c>
    </row>
    <row r="1971">
      <c r="A1971" s="23"/>
      <c r="B1971" s="42"/>
      <c r="C1971" s="42"/>
      <c r="D1971" s="42"/>
      <c r="E1971" s="42"/>
      <c r="F1971" s="42"/>
      <c r="G1971" s="42"/>
      <c r="H1971" s="42"/>
      <c r="I1971" s="42"/>
      <c r="J1971" s="42"/>
      <c r="K1971" s="42"/>
      <c r="L1971" s="46"/>
      <c r="M1971" s="46"/>
      <c r="N1971" s="46"/>
      <c r="O1971" s="61"/>
      <c r="P1971" s="62"/>
      <c r="Q1971" s="46"/>
      <c r="R1971" s="47"/>
      <c r="S1971" s="62"/>
      <c r="T1971" s="62"/>
      <c r="U1971" s="46"/>
      <c r="V1971" s="61"/>
      <c r="W1971" s="62"/>
      <c r="X1971" s="47"/>
      <c r="Y1971" s="46"/>
      <c r="Z1971" s="46"/>
      <c r="AA1971" s="46"/>
      <c r="AB1971" s="49"/>
      <c r="AC1971" s="42"/>
      <c r="AD1971" s="42"/>
      <c r="AE1971" s="50"/>
      <c r="AF1971" s="42"/>
      <c r="AG1971" s="42"/>
      <c r="AH1971" s="42"/>
      <c r="AI1971" s="42" t="str">
        <f t="array" ref="AI1971">XLOOKUP($E1971,Sheet11!$D:$D,Sheet11!$X:$X,"",0)</f>
        <v/>
      </c>
      <c r="AJ1971" s="42" t="str">
        <f t="array" ref="AJ1971">XLOOKUP($E1971,Sheet11!$D:$D,Sheet11!$Y:$Y,"",0)</f>
        <v/>
      </c>
    </row>
    <row r="1972">
      <c r="A1972" s="23"/>
      <c r="B1972" s="42"/>
      <c r="C1972" s="42"/>
      <c r="D1972" s="42"/>
      <c r="E1972" s="42"/>
      <c r="F1972" s="42"/>
      <c r="G1972" s="42"/>
      <c r="H1972" s="42"/>
      <c r="I1972" s="42"/>
      <c r="J1972" s="42"/>
      <c r="K1972" s="42"/>
      <c r="L1972" s="46"/>
      <c r="M1972" s="46"/>
      <c r="N1972" s="46"/>
      <c r="O1972" s="61"/>
      <c r="P1972" s="62"/>
      <c r="Q1972" s="46"/>
      <c r="R1972" s="47"/>
      <c r="S1972" s="62"/>
      <c r="T1972" s="62"/>
      <c r="U1972" s="46"/>
      <c r="V1972" s="61"/>
      <c r="W1972" s="62"/>
      <c r="X1972" s="47"/>
      <c r="Y1972" s="46"/>
      <c r="Z1972" s="46"/>
      <c r="AA1972" s="46"/>
      <c r="AB1972" s="49"/>
      <c r="AC1972" s="42"/>
      <c r="AD1972" s="42"/>
      <c r="AE1972" s="50"/>
      <c r="AF1972" s="42"/>
      <c r="AG1972" s="42"/>
      <c r="AH1972" s="42"/>
      <c r="AI1972" s="42" t="str">
        <f t="array" ref="AI1972">XLOOKUP($E1972,Sheet11!$D:$D,Sheet11!$X:$X,"",0)</f>
        <v/>
      </c>
      <c r="AJ1972" s="42" t="str">
        <f t="array" ref="AJ1972">XLOOKUP($E1972,Sheet11!$D:$D,Sheet11!$Y:$Y,"",0)</f>
        <v/>
      </c>
    </row>
    <row r="1973">
      <c r="A1973" s="23"/>
      <c r="B1973" s="42"/>
      <c r="C1973" s="42"/>
      <c r="D1973" s="42"/>
      <c r="E1973" s="42"/>
      <c r="F1973" s="42"/>
      <c r="G1973" s="42"/>
      <c r="H1973" s="42"/>
      <c r="I1973" s="42"/>
      <c r="J1973" s="42"/>
      <c r="K1973" s="42"/>
      <c r="L1973" s="46"/>
      <c r="M1973" s="46"/>
      <c r="N1973" s="46"/>
      <c r="O1973" s="61"/>
      <c r="P1973" s="62"/>
      <c r="Q1973" s="46"/>
      <c r="R1973" s="47"/>
      <c r="S1973" s="62"/>
      <c r="T1973" s="62"/>
      <c r="U1973" s="46"/>
      <c r="V1973" s="61"/>
      <c r="W1973" s="62"/>
      <c r="X1973" s="47"/>
      <c r="Y1973" s="46"/>
      <c r="Z1973" s="46"/>
      <c r="AA1973" s="46"/>
      <c r="AB1973" s="49"/>
      <c r="AC1973" s="42"/>
      <c r="AD1973" s="42"/>
      <c r="AE1973" s="50"/>
      <c r="AF1973" s="42"/>
      <c r="AG1973" s="42"/>
      <c r="AH1973" s="42"/>
      <c r="AI1973" s="42" t="str">
        <f t="array" ref="AI1973">XLOOKUP($E1973,Sheet11!$D:$D,Sheet11!$X:$X,"",0)</f>
        <v/>
      </c>
      <c r="AJ1973" s="42" t="str">
        <f t="array" ref="AJ1973">XLOOKUP($E1973,Sheet11!$D:$D,Sheet11!$Y:$Y,"",0)</f>
        <v/>
      </c>
    </row>
    <row r="1974">
      <c r="A1974" s="23"/>
      <c r="B1974" s="42"/>
      <c r="C1974" s="42"/>
      <c r="D1974" s="42"/>
      <c r="E1974" s="42"/>
      <c r="F1974" s="42"/>
      <c r="G1974" s="42"/>
      <c r="H1974" s="42"/>
      <c r="I1974" s="42"/>
      <c r="J1974" s="42"/>
      <c r="K1974" s="42"/>
      <c r="L1974" s="46"/>
      <c r="M1974" s="46"/>
      <c r="N1974" s="46"/>
      <c r="O1974" s="61"/>
      <c r="P1974" s="62"/>
      <c r="Q1974" s="46"/>
      <c r="R1974" s="47"/>
      <c r="S1974" s="62"/>
      <c r="T1974" s="62"/>
      <c r="U1974" s="46"/>
      <c r="V1974" s="61"/>
      <c r="W1974" s="62"/>
      <c r="X1974" s="47"/>
      <c r="Y1974" s="46"/>
      <c r="Z1974" s="46"/>
      <c r="AA1974" s="46"/>
      <c r="AB1974" s="49"/>
      <c r="AC1974" s="42"/>
      <c r="AD1974" s="42"/>
      <c r="AE1974" s="50"/>
      <c r="AF1974" s="42"/>
      <c r="AG1974" s="42"/>
      <c r="AH1974" s="42"/>
      <c r="AI1974" s="42" t="str">
        <f t="array" ref="AI1974">XLOOKUP($E1974,Sheet11!$D:$D,Sheet11!$X:$X,"",0)</f>
        <v/>
      </c>
      <c r="AJ1974" s="42" t="str">
        <f t="array" ref="AJ1974">XLOOKUP($E1974,Sheet11!$D:$D,Sheet11!$Y:$Y,"",0)</f>
        <v/>
      </c>
    </row>
    <row r="1975">
      <c r="A1975" s="23"/>
      <c r="B1975" s="42"/>
      <c r="C1975" s="42"/>
      <c r="D1975" s="42"/>
      <c r="E1975" s="42"/>
      <c r="F1975" s="42"/>
      <c r="G1975" s="42"/>
      <c r="H1975" s="42"/>
      <c r="I1975" s="42"/>
      <c r="J1975" s="42"/>
      <c r="K1975" s="42"/>
      <c r="L1975" s="46"/>
      <c r="M1975" s="46"/>
      <c r="N1975" s="46"/>
      <c r="O1975" s="61"/>
      <c r="P1975" s="62"/>
      <c r="Q1975" s="46"/>
      <c r="R1975" s="47"/>
      <c r="S1975" s="62"/>
      <c r="T1975" s="62"/>
      <c r="U1975" s="46"/>
      <c r="V1975" s="61"/>
      <c r="W1975" s="62"/>
      <c r="X1975" s="47"/>
      <c r="Y1975" s="46"/>
      <c r="Z1975" s="46"/>
      <c r="AA1975" s="46"/>
      <c r="AB1975" s="49"/>
      <c r="AC1975" s="42"/>
      <c r="AD1975" s="42"/>
      <c r="AE1975" s="50"/>
      <c r="AF1975" s="42"/>
      <c r="AG1975" s="42"/>
      <c r="AH1975" s="42"/>
      <c r="AI1975" s="42" t="str">
        <f t="array" ref="AI1975">XLOOKUP($E1975,Sheet11!$D:$D,Sheet11!$X:$X,"",0)</f>
        <v/>
      </c>
      <c r="AJ1975" s="42" t="str">
        <f t="array" ref="AJ1975">XLOOKUP($E1975,Sheet11!$D:$D,Sheet11!$Y:$Y,"",0)</f>
        <v/>
      </c>
    </row>
    <row r="1976">
      <c r="A1976" s="23"/>
      <c r="B1976" s="42"/>
      <c r="C1976" s="42"/>
      <c r="D1976" s="42"/>
      <c r="E1976" s="42"/>
      <c r="F1976" s="42"/>
      <c r="G1976" s="42"/>
      <c r="H1976" s="42"/>
      <c r="I1976" s="42"/>
      <c r="J1976" s="42"/>
      <c r="K1976" s="42"/>
      <c r="L1976" s="46"/>
      <c r="M1976" s="46"/>
      <c r="N1976" s="46"/>
      <c r="O1976" s="61"/>
      <c r="P1976" s="62"/>
      <c r="Q1976" s="46"/>
      <c r="R1976" s="47"/>
      <c r="S1976" s="62"/>
      <c r="T1976" s="62"/>
      <c r="U1976" s="46"/>
      <c r="V1976" s="61"/>
      <c r="W1976" s="62"/>
      <c r="X1976" s="47"/>
      <c r="Y1976" s="46"/>
      <c r="Z1976" s="46"/>
      <c r="AA1976" s="46"/>
      <c r="AB1976" s="49"/>
      <c r="AC1976" s="42"/>
      <c r="AD1976" s="42"/>
      <c r="AE1976" s="50"/>
      <c r="AF1976" s="42"/>
      <c r="AG1976" s="42"/>
      <c r="AH1976" s="42"/>
      <c r="AI1976" s="42" t="str">
        <f t="array" ref="AI1976">XLOOKUP($E1976,Sheet11!$D:$D,Sheet11!$X:$X,"",0)</f>
        <v/>
      </c>
      <c r="AJ1976" s="42" t="str">
        <f t="array" ref="AJ1976">XLOOKUP($E1976,Sheet11!$D:$D,Sheet11!$Y:$Y,"",0)</f>
        <v/>
      </c>
    </row>
    <row r="1977">
      <c r="A1977" s="23"/>
      <c r="B1977" s="42"/>
      <c r="C1977" s="42"/>
      <c r="D1977" s="42"/>
      <c r="E1977" s="42"/>
      <c r="F1977" s="42"/>
      <c r="G1977" s="42"/>
      <c r="H1977" s="42"/>
      <c r="I1977" s="42"/>
      <c r="J1977" s="42"/>
      <c r="K1977" s="42"/>
      <c r="L1977" s="46"/>
      <c r="M1977" s="46"/>
      <c r="N1977" s="46"/>
      <c r="O1977" s="61"/>
      <c r="P1977" s="62"/>
      <c r="Q1977" s="46"/>
      <c r="R1977" s="47"/>
      <c r="S1977" s="62"/>
      <c r="T1977" s="62"/>
      <c r="U1977" s="46"/>
      <c r="V1977" s="61"/>
      <c r="W1977" s="62"/>
      <c r="X1977" s="47"/>
      <c r="Y1977" s="46"/>
      <c r="Z1977" s="46"/>
      <c r="AA1977" s="46"/>
      <c r="AB1977" s="49"/>
      <c r="AC1977" s="42"/>
      <c r="AD1977" s="42"/>
      <c r="AE1977" s="50"/>
      <c r="AF1977" s="42"/>
      <c r="AG1977" s="42"/>
      <c r="AH1977" s="42"/>
      <c r="AI1977" s="42" t="str">
        <f t="array" ref="AI1977">XLOOKUP($E1977,Sheet11!$D:$D,Sheet11!$X:$X,"",0)</f>
        <v/>
      </c>
      <c r="AJ1977" s="42" t="str">
        <f t="array" ref="AJ1977">XLOOKUP($E1977,Sheet11!$D:$D,Sheet11!$Y:$Y,"",0)</f>
        <v/>
      </c>
    </row>
    <row r="1978">
      <c r="A1978" s="23"/>
      <c r="B1978" s="42"/>
      <c r="C1978" s="42"/>
      <c r="D1978" s="42"/>
      <c r="E1978" s="42"/>
      <c r="F1978" s="42"/>
      <c r="G1978" s="42"/>
      <c r="H1978" s="42"/>
      <c r="I1978" s="42"/>
      <c r="J1978" s="42"/>
      <c r="K1978" s="42"/>
      <c r="L1978" s="46"/>
      <c r="M1978" s="46"/>
      <c r="N1978" s="46"/>
      <c r="O1978" s="61"/>
      <c r="P1978" s="62"/>
      <c r="Q1978" s="46"/>
      <c r="R1978" s="47"/>
      <c r="S1978" s="62"/>
      <c r="T1978" s="62"/>
      <c r="U1978" s="46"/>
      <c r="V1978" s="61"/>
      <c r="W1978" s="62"/>
      <c r="X1978" s="47"/>
      <c r="Y1978" s="46"/>
      <c r="Z1978" s="46"/>
      <c r="AA1978" s="46"/>
      <c r="AB1978" s="49"/>
      <c r="AC1978" s="42"/>
      <c r="AD1978" s="42"/>
      <c r="AE1978" s="50"/>
      <c r="AF1978" s="42"/>
      <c r="AG1978" s="42"/>
      <c r="AH1978" s="42"/>
      <c r="AI1978" s="42" t="str">
        <f t="array" ref="AI1978">XLOOKUP($E1978,Sheet11!$D:$D,Sheet11!$X:$X,"",0)</f>
        <v/>
      </c>
      <c r="AJ1978" s="42" t="str">
        <f t="array" ref="AJ1978">XLOOKUP($E1978,Sheet11!$D:$D,Sheet11!$Y:$Y,"",0)</f>
        <v/>
      </c>
    </row>
    <row r="1979">
      <c r="A1979" s="23"/>
      <c r="B1979" s="42"/>
      <c r="C1979" s="42"/>
      <c r="D1979" s="42"/>
      <c r="E1979" s="42"/>
      <c r="F1979" s="42"/>
      <c r="G1979" s="42"/>
      <c r="H1979" s="42"/>
      <c r="I1979" s="42"/>
      <c r="J1979" s="42"/>
      <c r="K1979" s="42"/>
      <c r="L1979" s="46"/>
      <c r="M1979" s="46"/>
      <c r="N1979" s="46"/>
      <c r="O1979" s="61"/>
      <c r="P1979" s="62"/>
      <c r="Q1979" s="46"/>
      <c r="R1979" s="47"/>
      <c r="S1979" s="62"/>
      <c r="T1979" s="62"/>
      <c r="U1979" s="46"/>
      <c r="V1979" s="61"/>
      <c r="W1979" s="62"/>
      <c r="X1979" s="47"/>
      <c r="Y1979" s="46"/>
      <c r="Z1979" s="46"/>
      <c r="AA1979" s="46"/>
      <c r="AB1979" s="49"/>
      <c r="AC1979" s="42"/>
      <c r="AD1979" s="42"/>
      <c r="AE1979" s="50"/>
      <c r="AF1979" s="42"/>
      <c r="AG1979" s="42"/>
      <c r="AH1979" s="42"/>
      <c r="AI1979" s="42" t="str">
        <f t="array" ref="AI1979">XLOOKUP($E1979,Sheet11!$D:$D,Sheet11!$X:$X,"",0)</f>
        <v/>
      </c>
      <c r="AJ1979" s="42" t="str">
        <f t="array" ref="AJ1979">XLOOKUP($E1979,Sheet11!$D:$D,Sheet11!$Y:$Y,"",0)</f>
        <v/>
      </c>
    </row>
    <row r="1980">
      <c r="A1980" s="23"/>
      <c r="B1980" s="42"/>
      <c r="C1980" s="42"/>
      <c r="D1980" s="42"/>
      <c r="E1980" s="42"/>
      <c r="F1980" s="42"/>
      <c r="G1980" s="42"/>
      <c r="H1980" s="42"/>
      <c r="I1980" s="42"/>
      <c r="J1980" s="42"/>
      <c r="K1980" s="42"/>
      <c r="L1980" s="46"/>
      <c r="M1980" s="46"/>
      <c r="N1980" s="46"/>
      <c r="O1980" s="61"/>
      <c r="P1980" s="62"/>
      <c r="Q1980" s="46"/>
      <c r="R1980" s="47"/>
      <c r="S1980" s="62"/>
      <c r="T1980" s="62"/>
      <c r="U1980" s="46"/>
      <c r="V1980" s="61"/>
      <c r="W1980" s="62"/>
      <c r="X1980" s="47"/>
      <c r="Y1980" s="46"/>
      <c r="Z1980" s="46"/>
      <c r="AA1980" s="46"/>
      <c r="AB1980" s="49"/>
      <c r="AC1980" s="42"/>
      <c r="AD1980" s="42"/>
      <c r="AE1980" s="50"/>
      <c r="AF1980" s="42"/>
      <c r="AG1980" s="42"/>
      <c r="AH1980" s="42"/>
      <c r="AI1980" s="42" t="str">
        <f t="array" ref="AI1980">XLOOKUP($E1980,Sheet11!$D:$D,Sheet11!$X:$X,"",0)</f>
        <v/>
      </c>
      <c r="AJ1980" s="42" t="str">
        <f t="array" ref="AJ1980">XLOOKUP($E1980,Sheet11!$D:$D,Sheet11!$Y:$Y,"",0)</f>
        <v/>
      </c>
    </row>
    <row r="1981">
      <c r="A1981" s="23"/>
      <c r="B1981" s="42"/>
      <c r="C1981" s="42"/>
      <c r="D1981" s="42"/>
      <c r="E1981" s="42"/>
      <c r="F1981" s="42"/>
      <c r="G1981" s="42"/>
      <c r="H1981" s="42"/>
      <c r="I1981" s="42"/>
      <c r="J1981" s="42"/>
      <c r="K1981" s="42"/>
      <c r="L1981" s="46"/>
      <c r="M1981" s="46"/>
      <c r="N1981" s="46"/>
      <c r="O1981" s="61"/>
      <c r="P1981" s="62"/>
      <c r="Q1981" s="46"/>
      <c r="R1981" s="47"/>
      <c r="S1981" s="62"/>
      <c r="T1981" s="62"/>
      <c r="U1981" s="46"/>
      <c r="V1981" s="61"/>
      <c r="W1981" s="62"/>
      <c r="X1981" s="47"/>
      <c r="Y1981" s="46"/>
      <c r="Z1981" s="46"/>
      <c r="AA1981" s="46"/>
      <c r="AB1981" s="49"/>
      <c r="AC1981" s="42"/>
      <c r="AD1981" s="42"/>
      <c r="AE1981" s="50"/>
      <c r="AF1981" s="42"/>
      <c r="AG1981" s="42"/>
      <c r="AH1981" s="42"/>
      <c r="AI1981" s="42" t="str">
        <f t="array" ref="AI1981">XLOOKUP($E1981,Sheet11!$D:$D,Sheet11!$X:$X,"",0)</f>
        <v/>
      </c>
      <c r="AJ1981" s="42" t="str">
        <f t="array" ref="AJ1981">XLOOKUP($E1981,Sheet11!$D:$D,Sheet11!$Y:$Y,"",0)</f>
        <v/>
      </c>
    </row>
    <row r="1982">
      <c r="A1982" s="23"/>
      <c r="B1982" s="42"/>
      <c r="C1982" s="42"/>
      <c r="D1982" s="42"/>
      <c r="E1982" s="42"/>
      <c r="F1982" s="42"/>
      <c r="G1982" s="42"/>
      <c r="H1982" s="42"/>
      <c r="I1982" s="42"/>
      <c r="J1982" s="42"/>
      <c r="K1982" s="42"/>
      <c r="L1982" s="46"/>
      <c r="M1982" s="46"/>
      <c r="N1982" s="46"/>
      <c r="O1982" s="61"/>
      <c r="P1982" s="62"/>
      <c r="Q1982" s="46"/>
      <c r="R1982" s="47"/>
      <c r="S1982" s="62"/>
      <c r="T1982" s="62"/>
      <c r="U1982" s="46"/>
      <c r="V1982" s="61"/>
      <c r="W1982" s="62"/>
      <c r="X1982" s="47"/>
      <c r="Y1982" s="46"/>
      <c r="Z1982" s="46"/>
      <c r="AA1982" s="46"/>
      <c r="AB1982" s="49"/>
      <c r="AC1982" s="42"/>
      <c r="AD1982" s="42"/>
      <c r="AE1982" s="50"/>
      <c r="AF1982" s="42"/>
      <c r="AG1982" s="42"/>
      <c r="AH1982" s="42"/>
      <c r="AI1982" s="42" t="str">
        <f t="array" ref="AI1982">XLOOKUP($E1982,Sheet11!$D:$D,Sheet11!$X:$X,"",0)</f>
        <v/>
      </c>
      <c r="AJ1982" s="42" t="str">
        <f t="array" ref="AJ1982">XLOOKUP($E1982,Sheet11!$D:$D,Sheet11!$Y:$Y,"",0)</f>
        <v/>
      </c>
    </row>
    <row r="1983">
      <c r="A1983" s="23"/>
      <c r="B1983" s="42"/>
      <c r="C1983" s="42"/>
      <c r="D1983" s="42"/>
      <c r="E1983" s="42"/>
      <c r="F1983" s="42"/>
      <c r="G1983" s="42"/>
      <c r="H1983" s="42"/>
      <c r="I1983" s="42"/>
      <c r="J1983" s="42"/>
      <c r="K1983" s="42"/>
      <c r="L1983" s="46"/>
      <c r="M1983" s="46"/>
      <c r="N1983" s="46"/>
      <c r="O1983" s="61"/>
      <c r="P1983" s="62"/>
      <c r="Q1983" s="46"/>
      <c r="R1983" s="47"/>
      <c r="S1983" s="62"/>
      <c r="T1983" s="62"/>
      <c r="U1983" s="46"/>
      <c r="V1983" s="61"/>
      <c r="W1983" s="62"/>
      <c r="X1983" s="47"/>
      <c r="Y1983" s="46"/>
      <c r="Z1983" s="46"/>
      <c r="AA1983" s="46"/>
      <c r="AB1983" s="49"/>
      <c r="AC1983" s="42"/>
      <c r="AD1983" s="42"/>
      <c r="AE1983" s="50"/>
      <c r="AF1983" s="42"/>
      <c r="AG1983" s="42"/>
      <c r="AH1983" s="42"/>
      <c r="AI1983" s="42" t="str">
        <f t="array" ref="AI1983">XLOOKUP($E1983,Sheet11!$D:$D,Sheet11!$X:$X,"",0)</f>
        <v/>
      </c>
      <c r="AJ1983" s="42" t="str">
        <f t="array" ref="AJ1983">XLOOKUP($E1983,Sheet11!$D:$D,Sheet11!$Y:$Y,"",0)</f>
        <v/>
      </c>
    </row>
    <row r="1984">
      <c r="A1984" s="23"/>
      <c r="B1984" s="42"/>
      <c r="C1984" s="42"/>
      <c r="D1984" s="42"/>
      <c r="E1984" s="42"/>
      <c r="F1984" s="42"/>
      <c r="G1984" s="42"/>
      <c r="H1984" s="42"/>
      <c r="I1984" s="42"/>
      <c r="J1984" s="42"/>
      <c r="K1984" s="42"/>
      <c r="L1984" s="46"/>
      <c r="M1984" s="46"/>
      <c r="N1984" s="46"/>
      <c r="O1984" s="61"/>
      <c r="P1984" s="62"/>
      <c r="Q1984" s="46"/>
      <c r="R1984" s="47"/>
      <c r="S1984" s="62"/>
      <c r="T1984" s="62"/>
      <c r="U1984" s="46"/>
      <c r="V1984" s="61"/>
      <c r="W1984" s="62"/>
      <c r="X1984" s="47"/>
      <c r="Y1984" s="46"/>
      <c r="Z1984" s="46"/>
      <c r="AA1984" s="46"/>
      <c r="AB1984" s="49"/>
      <c r="AC1984" s="42"/>
      <c r="AD1984" s="42"/>
      <c r="AE1984" s="50"/>
      <c r="AF1984" s="42"/>
      <c r="AG1984" s="42"/>
      <c r="AH1984" s="42"/>
      <c r="AI1984" s="42" t="str">
        <f t="array" ref="AI1984">XLOOKUP($E1984,Sheet11!$D:$D,Sheet11!$X:$X,"",0)</f>
        <v/>
      </c>
      <c r="AJ1984" s="42" t="str">
        <f t="array" ref="AJ1984">XLOOKUP($E1984,Sheet11!$D:$D,Sheet11!$Y:$Y,"",0)</f>
        <v/>
      </c>
    </row>
    <row r="1985">
      <c r="A1985" s="23"/>
      <c r="B1985" s="42"/>
      <c r="C1985" s="42"/>
      <c r="D1985" s="42"/>
      <c r="E1985" s="42"/>
      <c r="F1985" s="42"/>
      <c r="G1985" s="42"/>
      <c r="H1985" s="42"/>
      <c r="I1985" s="42"/>
      <c r="J1985" s="42"/>
      <c r="K1985" s="42"/>
      <c r="L1985" s="46"/>
      <c r="M1985" s="46"/>
      <c r="N1985" s="46"/>
      <c r="O1985" s="61"/>
      <c r="P1985" s="62"/>
      <c r="Q1985" s="46"/>
      <c r="R1985" s="47"/>
      <c r="S1985" s="62"/>
      <c r="T1985" s="62"/>
      <c r="U1985" s="46"/>
      <c r="V1985" s="61"/>
      <c r="W1985" s="62"/>
      <c r="X1985" s="47"/>
      <c r="Y1985" s="46"/>
      <c r="Z1985" s="46"/>
      <c r="AA1985" s="46"/>
      <c r="AB1985" s="49"/>
      <c r="AC1985" s="42"/>
      <c r="AD1985" s="42"/>
      <c r="AE1985" s="50"/>
      <c r="AF1985" s="42"/>
      <c r="AG1985" s="42"/>
      <c r="AH1985" s="42"/>
      <c r="AI1985" s="42" t="str">
        <f t="array" ref="AI1985">XLOOKUP($E1985,Sheet11!$D:$D,Sheet11!$X:$X,"",0)</f>
        <v/>
      </c>
      <c r="AJ1985" s="42" t="str">
        <f t="array" ref="AJ1985">XLOOKUP($E1985,Sheet11!$D:$D,Sheet11!$Y:$Y,"",0)</f>
        <v/>
      </c>
    </row>
    <row r="1986">
      <c r="A1986" s="23"/>
      <c r="B1986" s="42"/>
      <c r="C1986" s="42"/>
      <c r="D1986" s="42"/>
      <c r="E1986" s="42"/>
      <c r="F1986" s="42"/>
      <c r="G1986" s="42"/>
      <c r="H1986" s="42"/>
      <c r="I1986" s="42"/>
      <c r="J1986" s="42"/>
      <c r="K1986" s="42"/>
      <c r="L1986" s="46"/>
      <c r="M1986" s="46"/>
      <c r="N1986" s="46"/>
      <c r="O1986" s="61"/>
      <c r="P1986" s="62"/>
      <c r="Q1986" s="46"/>
      <c r="R1986" s="47"/>
      <c r="S1986" s="62"/>
      <c r="T1986" s="62"/>
      <c r="U1986" s="46"/>
      <c r="V1986" s="61"/>
      <c r="W1986" s="62"/>
      <c r="X1986" s="47"/>
      <c r="Y1986" s="46"/>
      <c r="Z1986" s="46"/>
      <c r="AA1986" s="46"/>
      <c r="AB1986" s="49"/>
      <c r="AC1986" s="42"/>
      <c r="AD1986" s="42"/>
      <c r="AE1986" s="50"/>
      <c r="AF1986" s="42"/>
      <c r="AG1986" s="42"/>
      <c r="AH1986" s="42"/>
      <c r="AI1986" s="42" t="str">
        <f t="array" ref="AI1986">XLOOKUP($E1986,Sheet11!$D:$D,Sheet11!$X:$X,"",0)</f>
        <v/>
      </c>
      <c r="AJ1986" s="42" t="str">
        <f t="array" ref="AJ1986">XLOOKUP($E1986,Sheet11!$D:$D,Sheet11!$Y:$Y,"",0)</f>
        <v/>
      </c>
    </row>
    <row r="1987">
      <c r="A1987" s="23"/>
      <c r="B1987" s="42"/>
      <c r="C1987" s="42"/>
      <c r="D1987" s="42"/>
      <c r="E1987" s="42"/>
      <c r="F1987" s="42"/>
      <c r="G1987" s="42"/>
      <c r="H1987" s="42"/>
      <c r="I1987" s="42"/>
      <c r="J1987" s="42"/>
      <c r="K1987" s="42"/>
      <c r="L1987" s="46"/>
      <c r="M1987" s="46"/>
      <c r="N1987" s="46"/>
      <c r="O1987" s="61"/>
      <c r="P1987" s="62"/>
      <c r="Q1987" s="46"/>
      <c r="R1987" s="47"/>
      <c r="S1987" s="62"/>
      <c r="T1987" s="62"/>
      <c r="U1987" s="46"/>
      <c r="V1987" s="61"/>
      <c r="W1987" s="62"/>
      <c r="X1987" s="47"/>
      <c r="Y1987" s="46"/>
      <c r="Z1987" s="46"/>
      <c r="AA1987" s="46"/>
      <c r="AB1987" s="49"/>
      <c r="AC1987" s="42"/>
      <c r="AD1987" s="42"/>
      <c r="AE1987" s="50"/>
      <c r="AF1987" s="42"/>
      <c r="AG1987" s="42"/>
      <c r="AH1987" s="42"/>
      <c r="AI1987" s="42" t="str">
        <f t="array" ref="AI1987">XLOOKUP($E1987,Sheet11!$D:$D,Sheet11!$X:$X,"",0)</f>
        <v/>
      </c>
      <c r="AJ1987" s="42" t="str">
        <f t="array" ref="AJ1987">XLOOKUP($E1987,Sheet11!$D:$D,Sheet11!$Y:$Y,"",0)</f>
        <v/>
      </c>
    </row>
    <row r="1988">
      <c r="A1988" s="23"/>
      <c r="B1988" s="42"/>
      <c r="C1988" s="42"/>
      <c r="D1988" s="42"/>
      <c r="E1988" s="42"/>
      <c r="F1988" s="42"/>
      <c r="G1988" s="42"/>
      <c r="H1988" s="42"/>
      <c r="I1988" s="42"/>
      <c r="J1988" s="42"/>
      <c r="K1988" s="42"/>
      <c r="L1988" s="46"/>
      <c r="M1988" s="46"/>
      <c r="N1988" s="46"/>
      <c r="O1988" s="61"/>
      <c r="P1988" s="62"/>
      <c r="Q1988" s="46"/>
      <c r="R1988" s="47"/>
      <c r="S1988" s="62"/>
      <c r="T1988" s="62"/>
      <c r="U1988" s="46"/>
      <c r="V1988" s="61"/>
      <c r="W1988" s="62"/>
      <c r="X1988" s="47"/>
      <c r="Y1988" s="46"/>
      <c r="Z1988" s="46"/>
      <c r="AA1988" s="46"/>
      <c r="AB1988" s="49"/>
      <c r="AC1988" s="42"/>
      <c r="AD1988" s="42"/>
      <c r="AE1988" s="50"/>
      <c r="AF1988" s="42"/>
      <c r="AG1988" s="42"/>
      <c r="AH1988" s="42"/>
      <c r="AI1988" s="42" t="str">
        <f t="array" ref="AI1988">XLOOKUP($E1988,Sheet11!$D:$D,Sheet11!$X:$X,"",0)</f>
        <v/>
      </c>
      <c r="AJ1988" s="42" t="str">
        <f t="array" ref="AJ1988">XLOOKUP($E1988,Sheet11!$D:$D,Sheet11!$Y:$Y,"",0)</f>
        <v/>
      </c>
    </row>
    <row r="1989">
      <c r="A1989" s="23"/>
      <c r="B1989" s="42"/>
      <c r="C1989" s="42"/>
      <c r="D1989" s="42"/>
      <c r="E1989" s="42"/>
      <c r="F1989" s="42"/>
      <c r="G1989" s="42"/>
      <c r="H1989" s="42"/>
      <c r="I1989" s="42"/>
      <c r="J1989" s="42"/>
      <c r="K1989" s="42"/>
      <c r="L1989" s="46"/>
      <c r="M1989" s="46"/>
      <c r="N1989" s="46"/>
      <c r="O1989" s="61"/>
      <c r="P1989" s="62"/>
      <c r="Q1989" s="46"/>
      <c r="R1989" s="47"/>
      <c r="S1989" s="62"/>
      <c r="T1989" s="62"/>
      <c r="U1989" s="46"/>
      <c r="V1989" s="61"/>
      <c r="W1989" s="62"/>
      <c r="X1989" s="47"/>
      <c r="Y1989" s="46"/>
      <c r="Z1989" s="46"/>
      <c r="AA1989" s="46"/>
      <c r="AB1989" s="49"/>
      <c r="AC1989" s="42"/>
      <c r="AD1989" s="42"/>
      <c r="AE1989" s="50"/>
      <c r="AF1989" s="42"/>
      <c r="AG1989" s="42"/>
      <c r="AH1989" s="42"/>
      <c r="AI1989" s="42" t="str">
        <f t="array" ref="AI1989">XLOOKUP($E1989,Sheet11!$D:$D,Sheet11!$X:$X,"",0)</f>
        <v/>
      </c>
      <c r="AJ1989" s="42" t="str">
        <f t="array" ref="AJ1989">XLOOKUP($E1989,Sheet11!$D:$D,Sheet11!$Y:$Y,"",0)</f>
        <v/>
      </c>
    </row>
    <row r="1990">
      <c r="A1990" s="23"/>
      <c r="B1990" s="42"/>
      <c r="C1990" s="42"/>
      <c r="D1990" s="42"/>
      <c r="E1990" s="42"/>
      <c r="F1990" s="42"/>
      <c r="G1990" s="42"/>
      <c r="H1990" s="42"/>
      <c r="I1990" s="42"/>
      <c r="J1990" s="42"/>
      <c r="K1990" s="42"/>
      <c r="L1990" s="46"/>
      <c r="M1990" s="46"/>
      <c r="N1990" s="46"/>
      <c r="O1990" s="61"/>
      <c r="P1990" s="62"/>
      <c r="Q1990" s="46"/>
      <c r="R1990" s="47"/>
      <c r="S1990" s="62"/>
      <c r="T1990" s="62"/>
      <c r="U1990" s="46"/>
      <c r="V1990" s="61"/>
      <c r="W1990" s="62"/>
      <c r="X1990" s="47"/>
      <c r="Y1990" s="46"/>
      <c r="Z1990" s="46"/>
      <c r="AA1990" s="46"/>
      <c r="AB1990" s="49"/>
      <c r="AC1990" s="42"/>
      <c r="AD1990" s="42"/>
      <c r="AE1990" s="50"/>
      <c r="AF1990" s="42"/>
      <c r="AG1990" s="42"/>
      <c r="AH1990" s="42"/>
      <c r="AI1990" s="42" t="str">
        <f t="array" ref="AI1990">XLOOKUP($E1990,Sheet11!$D:$D,Sheet11!$X:$X,"",0)</f>
        <v/>
      </c>
      <c r="AJ1990" s="42" t="str">
        <f t="array" ref="AJ1990">XLOOKUP($E1990,Sheet11!$D:$D,Sheet11!$Y:$Y,"",0)</f>
        <v/>
      </c>
    </row>
    <row r="1991">
      <c r="A1991" s="23"/>
      <c r="B1991" s="42"/>
      <c r="C1991" s="42"/>
      <c r="D1991" s="42"/>
      <c r="E1991" s="42"/>
      <c r="F1991" s="42"/>
      <c r="G1991" s="42"/>
      <c r="H1991" s="42"/>
      <c r="I1991" s="42"/>
      <c r="J1991" s="42"/>
      <c r="K1991" s="42"/>
      <c r="L1991" s="46"/>
      <c r="M1991" s="46"/>
      <c r="N1991" s="46"/>
      <c r="O1991" s="61"/>
      <c r="P1991" s="62"/>
      <c r="Q1991" s="46"/>
      <c r="R1991" s="47"/>
      <c r="S1991" s="62"/>
      <c r="T1991" s="62"/>
      <c r="U1991" s="46"/>
      <c r="V1991" s="61"/>
      <c r="W1991" s="62"/>
      <c r="X1991" s="47"/>
      <c r="Y1991" s="46"/>
      <c r="Z1991" s="46"/>
      <c r="AA1991" s="46"/>
      <c r="AB1991" s="49"/>
      <c r="AC1991" s="42"/>
      <c r="AD1991" s="42"/>
      <c r="AE1991" s="50"/>
      <c r="AF1991" s="42"/>
      <c r="AG1991" s="42"/>
      <c r="AH1991" s="42"/>
      <c r="AI1991" s="42" t="str">
        <f t="array" ref="AI1991">XLOOKUP($E1991,Sheet11!$D:$D,Sheet11!$X:$X,"",0)</f>
        <v/>
      </c>
      <c r="AJ1991" s="42" t="str">
        <f t="array" ref="AJ1991">XLOOKUP($E1991,Sheet11!$D:$D,Sheet11!$Y:$Y,"",0)</f>
        <v/>
      </c>
    </row>
    <row r="1992">
      <c r="A1992" s="23"/>
      <c r="B1992" s="42"/>
      <c r="C1992" s="42"/>
      <c r="D1992" s="42"/>
      <c r="E1992" s="42"/>
      <c r="F1992" s="42"/>
      <c r="G1992" s="42"/>
      <c r="H1992" s="42"/>
      <c r="I1992" s="42"/>
      <c r="J1992" s="42"/>
      <c r="K1992" s="42"/>
      <c r="L1992" s="46"/>
      <c r="M1992" s="46"/>
      <c r="N1992" s="46"/>
      <c r="O1992" s="61"/>
      <c r="P1992" s="62"/>
      <c r="Q1992" s="46"/>
      <c r="R1992" s="47"/>
      <c r="S1992" s="62"/>
      <c r="T1992" s="62"/>
      <c r="U1992" s="46"/>
      <c r="V1992" s="61"/>
      <c r="W1992" s="62"/>
      <c r="X1992" s="47"/>
      <c r="Y1992" s="46"/>
      <c r="Z1992" s="46"/>
      <c r="AA1992" s="46"/>
      <c r="AB1992" s="49"/>
      <c r="AC1992" s="42"/>
      <c r="AD1992" s="42"/>
      <c r="AE1992" s="50"/>
      <c r="AF1992" s="42"/>
      <c r="AG1992" s="42"/>
      <c r="AH1992" s="42"/>
      <c r="AI1992" s="42" t="str">
        <f t="array" ref="AI1992">XLOOKUP($E1992,Sheet11!$D:$D,Sheet11!$X:$X,"",0)</f>
        <v/>
      </c>
      <c r="AJ1992" s="42" t="str">
        <f t="array" ref="AJ1992">XLOOKUP($E1992,Sheet11!$D:$D,Sheet11!$Y:$Y,"",0)</f>
        <v/>
      </c>
    </row>
    <row r="1993">
      <c r="A1993" s="23"/>
      <c r="B1993" s="42"/>
      <c r="C1993" s="42"/>
      <c r="D1993" s="42"/>
      <c r="E1993" s="42"/>
      <c r="F1993" s="42"/>
      <c r="G1993" s="42"/>
      <c r="H1993" s="42"/>
      <c r="I1993" s="42"/>
      <c r="J1993" s="42"/>
      <c r="K1993" s="42"/>
      <c r="L1993" s="46"/>
      <c r="M1993" s="46"/>
      <c r="N1993" s="46"/>
      <c r="O1993" s="61"/>
      <c r="P1993" s="62"/>
      <c r="Q1993" s="46"/>
      <c r="R1993" s="47"/>
      <c r="S1993" s="62"/>
      <c r="T1993" s="62"/>
      <c r="U1993" s="46"/>
      <c r="V1993" s="61"/>
      <c r="W1993" s="62"/>
      <c r="X1993" s="47"/>
      <c r="Y1993" s="46"/>
      <c r="Z1993" s="46"/>
      <c r="AA1993" s="46"/>
      <c r="AB1993" s="49"/>
      <c r="AC1993" s="42"/>
      <c r="AD1993" s="42"/>
      <c r="AE1993" s="50"/>
      <c r="AF1993" s="42"/>
      <c r="AG1993" s="42"/>
      <c r="AH1993" s="42"/>
      <c r="AI1993" s="42" t="str">
        <f t="array" ref="AI1993">XLOOKUP($E1993,Sheet11!$D:$D,Sheet11!$X:$X,"",0)</f>
        <v/>
      </c>
      <c r="AJ1993" s="42" t="str">
        <f t="array" ref="AJ1993">XLOOKUP($E1993,Sheet11!$D:$D,Sheet11!$Y:$Y,"",0)</f>
        <v/>
      </c>
    </row>
    <row r="1994">
      <c r="A1994" s="23"/>
      <c r="B1994" s="42"/>
      <c r="C1994" s="42"/>
      <c r="D1994" s="42"/>
      <c r="E1994" s="42"/>
      <c r="F1994" s="42"/>
      <c r="G1994" s="42"/>
      <c r="H1994" s="42"/>
      <c r="I1994" s="42"/>
      <c r="J1994" s="42"/>
      <c r="K1994" s="42"/>
      <c r="L1994" s="46"/>
      <c r="M1994" s="46"/>
      <c r="N1994" s="46"/>
      <c r="O1994" s="61"/>
      <c r="P1994" s="62"/>
      <c r="Q1994" s="46"/>
      <c r="R1994" s="47"/>
      <c r="S1994" s="62"/>
      <c r="T1994" s="62"/>
      <c r="U1994" s="46"/>
      <c r="V1994" s="61"/>
      <c r="W1994" s="62"/>
      <c r="X1994" s="47"/>
      <c r="Y1994" s="46"/>
      <c r="Z1994" s="46"/>
      <c r="AA1994" s="46"/>
      <c r="AB1994" s="49"/>
      <c r="AC1994" s="42"/>
      <c r="AD1994" s="42"/>
      <c r="AE1994" s="50"/>
      <c r="AF1994" s="42"/>
      <c r="AG1994" s="42"/>
      <c r="AH1994" s="42"/>
      <c r="AI1994" s="42" t="str">
        <f t="array" ref="AI1994">XLOOKUP($E1994,Sheet11!$D:$D,Sheet11!$X:$X,"",0)</f>
        <v/>
      </c>
      <c r="AJ1994" s="42" t="str">
        <f t="array" ref="AJ1994">XLOOKUP($E1994,Sheet11!$D:$D,Sheet11!$Y:$Y,"",0)</f>
        <v/>
      </c>
    </row>
    <row r="1995">
      <c r="A1995" s="23"/>
      <c r="B1995" s="42"/>
      <c r="C1995" s="42"/>
      <c r="D1995" s="42"/>
      <c r="E1995" s="42"/>
      <c r="F1995" s="42"/>
      <c r="G1995" s="42"/>
      <c r="H1995" s="42"/>
      <c r="I1995" s="42"/>
      <c r="J1995" s="42"/>
      <c r="K1995" s="42"/>
      <c r="L1995" s="46"/>
      <c r="M1995" s="46"/>
      <c r="N1995" s="46"/>
      <c r="O1995" s="61"/>
      <c r="P1995" s="62"/>
      <c r="Q1995" s="46"/>
      <c r="R1995" s="47"/>
      <c r="S1995" s="62"/>
      <c r="T1995" s="62"/>
      <c r="U1995" s="46"/>
      <c r="V1995" s="61"/>
      <c r="W1995" s="62"/>
      <c r="X1995" s="47"/>
      <c r="Y1995" s="46"/>
      <c r="Z1995" s="46"/>
      <c r="AA1995" s="46"/>
      <c r="AB1995" s="49"/>
      <c r="AC1995" s="42"/>
      <c r="AD1995" s="42"/>
      <c r="AE1995" s="50"/>
      <c r="AF1995" s="42"/>
      <c r="AG1995" s="42"/>
      <c r="AH1995" s="42"/>
      <c r="AI1995" s="42" t="str">
        <f t="array" ref="AI1995">XLOOKUP($E1995,Sheet11!$D:$D,Sheet11!$X:$X,"",0)</f>
        <v/>
      </c>
      <c r="AJ1995" s="42" t="str">
        <f t="array" ref="AJ1995">XLOOKUP($E1995,Sheet11!$D:$D,Sheet11!$Y:$Y,"",0)</f>
        <v/>
      </c>
    </row>
    <row r="1996">
      <c r="A1996" s="23"/>
      <c r="B1996" s="42"/>
      <c r="C1996" s="42"/>
      <c r="D1996" s="42"/>
      <c r="E1996" s="42"/>
      <c r="F1996" s="42"/>
      <c r="G1996" s="42"/>
      <c r="H1996" s="42"/>
      <c r="I1996" s="42"/>
      <c r="J1996" s="42"/>
      <c r="K1996" s="42"/>
      <c r="L1996" s="46"/>
      <c r="M1996" s="46"/>
      <c r="N1996" s="46"/>
      <c r="O1996" s="61"/>
      <c r="P1996" s="62"/>
      <c r="Q1996" s="46"/>
      <c r="R1996" s="47"/>
      <c r="S1996" s="62"/>
      <c r="T1996" s="62"/>
      <c r="U1996" s="46"/>
      <c r="V1996" s="61"/>
      <c r="W1996" s="62"/>
      <c r="X1996" s="47"/>
      <c r="Y1996" s="46"/>
      <c r="Z1996" s="46"/>
      <c r="AA1996" s="46"/>
      <c r="AB1996" s="49"/>
      <c r="AC1996" s="42"/>
      <c r="AD1996" s="42"/>
      <c r="AE1996" s="50"/>
      <c r="AF1996" s="42"/>
      <c r="AG1996" s="42"/>
      <c r="AH1996" s="42"/>
      <c r="AI1996" s="42" t="str">
        <f t="array" ref="AI1996">XLOOKUP($E1996,Sheet11!$D:$D,Sheet11!$X:$X,"",0)</f>
        <v/>
      </c>
      <c r="AJ1996" s="42" t="str">
        <f t="array" ref="AJ1996">XLOOKUP($E1996,Sheet11!$D:$D,Sheet11!$Y:$Y,"",0)</f>
        <v/>
      </c>
    </row>
    <row r="1997">
      <c r="A1997" s="23"/>
      <c r="B1997" s="42"/>
      <c r="C1997" s="42"/>
      <c r="D1997" s="42"/>
      <c r="E1997" s="42"/>
      <c r="F1997" s="42"/>
      <c r="G1997" s="42"/>
      <c r="H1997" s="42"/>
      <c r="I1997" s="42"/>
      <c r="J1997" s="42"/>
      <c r="K1997" s="42"/>
      <c r="L1997" s="46"/>
      <c r="M1997" s="46"/>
      <c r="N1997" s="46"/>
      <c r="O1997" s="61"/>
      <c r="P1997" s="62"/>
      <c r="Q1997" s="46"/>
      <c r="R1997" s="47"/>
      <c r="S1997" s="62"/>
      <c r="T1997" s="62"/>
      <c r="U1997" s="46"/>
      <c r="V1997" s="61"/>
      <c r="W1997" s="62"/>
      <c r="X1997" s="47"/>
      <c r="Y1997" s="46"/>
      <c r="Z1997" s="46"/>
      <c r="AA1997" s="46"/>
      <c r="AB1997" s="49"/>
      <c r="AC1997" s="42"/>
      <c r="AD1997" s="42"/>
      <c r="AE1997" s="50"/>
      <c r="AF1997" s="42"/>
      <c r="AG1997" s="42"/>
      <c r="AH1997" s="42"/>
      <c r="AI1997" s="42" t="str">
        <f t="array" ref="AI1997">XLOOKUP($E1997,Sheet11!$D:$D,Sheet11!$X:$X,"",0)</f>
        <v/>
      </c>
      <c r="AJ1997" s="42" t="str">
        <f t="array" ref="AJ1997">XLOOKUP($E1997,Sheet11!$D:$D,Sheet11!$Y:$Y,"",0)</f>
        <v/>
      </c>
    </row>
    <row r="1998">
      <c r="A1998" s="23"/>
      <c r="B1998" s="42"/>
      <c r="C1998" s="42"/>
      <c r="D1998" s="42"/>
      <c r="E1998" s="42"/>
      <c r="F1998" s="42"/>
      <c r="G1998" s="42"/>
      <c r="H1998" s="42"/>
      <c r="I1998" s="42"/>
      <c r="J1998" s="42"/>
      <c r="K1998" s="42"/>
      <c r="L1998" s="46"/>
      <c r="M1998" s="46"/>
      <c r="N1998" s="46"/>
      <c r="O1998" s="61"/>
      <c r="P1998" s="62"/>
      <c r="Q1998" s="46"/>
      <c r="R1998" s="47"/>
      <c r="S1998" s="62"/>
      <c r="T1998" s="62"/>
      <c r="U1998" s="46"/>
      <c r="V1998" s="61"/>
      <c r="W1998" s="62"/>
      <c r="X1998" s="47"/>
      <c r="Y1998" s="46"/>
      <c r="Z1998" s="46"/>
      <c r="AA1998" s="46"/>
      <c r="AB1998" s="49"/>
      <c r="AC1998" s="42"/>
      <c r="AD1998" s="42"/>
      <c r="AE1998" s="50"/>
      <c r="AF1998" s="42"/>
      <c r="AG1998" s="42"/>
      <c r="AH1998" s="42"/>
      <c r="AI1998" s="42" t="str">
        <f t="array" ref="AI1998">XLOOKUP($E1998,Sheet11!$D:$D,Sheet11!$X:$X,"",0)</f>
        <v/>
      </c>
      <c r="AJ1998" s="42" t="str">
        <f t="array" ref="AJ1998">XLOOKUP($E1998,Sheet11!$D:$D,Sheet11!$Y:$Y,"",0)</f>
        <v/>
      </c>
    </row>
    <row r="1999">
      <c r="A1999" s="23"/>
      <c r="B1999" s="42"/>
      <c r="C1999" s="42"/>
      <c r="D1999" s="42"/>
      <c r="E1999" s="42"/>
      <c r="F1999" s="42"/>
      <c r="G1999" s="42"/>
      <c r="H1999" s="42"/>
      <c r="I1999" s="42"/>
      <c r="J1999" s="42"/>
      <c r="K1999" s="42"/>
      <c r="L1999" s="46"/>
      <c r="M1999" s="46"/>
      <c r="N1999" s="46"/>
      <c r="O1999" s="61"/>
      <c r="P1999" s="62"/>
      <c r="Q1999" s="46"/>
      <c r="R1999" s="47"/>
      <c r="S1999" s="62"/>
      <c r="T1999" s="62"/>
      <c r="U1999" s="46"/>
      <c r="V1999" s="61"/>
      <c r="W1999" s="62"/>
      <c r="X1999" s="47"/>
      <c r="Y1999" s="46"/>
      <c r="Z1999" s="46"/>
      <c r="AA1999" s="46"/>
      <c r="AB1999" s="49"/>
      <c r="AC1999" s="42"/>
      <c r="AD1999" s="42"/>
      <c r="AE1999" s="50"/>
      <c r="AF1999" s="42"/>
      <c r="AG1999" s="42"/>
      <c r="AH1999" s="42"/>
      <c r="AI1999" s="42" t="str">
        <f t="array" ref="AI1999">XLOOKUP($E1999,Sheet11!$D:$D,Sheet11!$X:$X,"",0)</f>
        <v/>
      </c>
      <c r="AJ1999" s="42" t="str">
        <f t="array" ref="AJ1999">XLOOKUP($E1999,Sheet11!$D:$D,Sheet11!$Y:$Y,"",0)</f>
        <v/>
      </c>
    </row>
    <row r="2000">
      <c r="A2000" s="23"/>
      <c r="B2000" s="42"/>
      <c r="C2000" s="42"/>
      <c r="D2000" s="42"/>
      <c r="E2000" s="42"/>
      <c r="F2000" s="42"/>
      <c r="G2000" s="42"/>
      <c r="H2000" s="42"/>
      <c r="I2000" s="42"/>
      <c r="J2000" s="42"/>
      <c r="K2000" s="42"/>
      <c r="L2000" s="46"/>
      <c r="M2000" s="46"/>
      <c r="N2000" s="46"/>
      <c r="O2000" s="61"/>
      <c r="P2000" s="62"/>
      <c r="Q2000" s="46"/>
      <c r="R2000" s="47"/>
      <c r="S2000" s="62"/>
      <c r="T2000" s="62"/>
      <c r="U2000" s="46"/>
      <c r="V2000" s="61"/>
      <c r="W2000" s="62"/>
      <c r="X2000" s="47"/>
      <c r="Y2000" s="46"/>
      <c r="Z2000" s="46"/>
      <c r="AA2000" s="46"/>
      <c r="AB2000" s="49"/>
      <c r="AC2000" s="42"/>
      <c r="AD2000" s="42"/>
      <c r="AE2000" s="50"/>
      <c r="AF2000" s="42"/>
      <c r="AG2000" s="42"/>
      <c r="AH2000" s="42"/>
      <c r="AI2000" s="42" t="str">
        <f t="array" ref="AI2000">XLOOKUP($E2000,Sheet11!$D:$D,Sheet11!$X:$X,"",0)</f>
        <v/>
      </c>
      <c r="AJ2000" s="42" t="str">
        <f t="array" ref="AJ2000">XLOOKUP($E2000,Sheet11!$D:$D,Sheet11!$Y:$Y,"",0)</f>
        <v/>
      </c>
    </row>
    <row r="2001">
      <c r="A2001" s="23"/>
      <c r="B2001" s="42"/>
      <c r="C2001" s="42"/>
      <c r="D2001" s="42"/>
      <c r="E2001" s="42"/>
      <c r="F2001" s="42"/>
      <c r="G2001" s="42"/>
      <c r="H2001" s="42"/>
      <c r="I2001" s="42"/>
      <c r="J2001" s="42"/>
      <c r="K2001" s="42"/>
      <c r="L2001" s="46"/>
      <c r="M2001" s="46"/>
      <c r="N2001" s="46"/>
      <c r="O2001" s="61"/>
      <c r="P2001" s="62"/>
      <c r="Q2001" s="46"/>
      <c r="R2001" s="47"/>
      <c r="S2001" s="62"/>
      <c r="T2001" s="62"/>
      <c r="U2001" s="46"/>
      <c r="V2001" s="61"/>
      <c r="W2001" s="62"/>
      <c r="X2001" s="47"/>
      <c r="Y2001" s="46"/>
      <c r="Z2001" s="46"/>
      <c r="AA2001" s="46"/>
      <c r="AB2001" s="49"/>
      <c r="AC2001" s="42"/>
      <c r="AD2001" s="42"/>
      <c r="AE2001" s="50"/>
      <c r="AF2001" s="42"/>
      <c r="AG2001" s="42"/>
      <c r="AH2001" s="42"/>
      <c r="AI2001" s="42" t="str">
        <f t="array" ref="AI2001">XLOOKUP($E2001,Sheet11!$D:$D,Sheet11!$X:$X,"",0)</f>
        <v/>
      </c>
      <c r="AJ2001" s="42" t="str">
        <f t="array" ref="AJ2001">XLOOKUP($E2001,Sheet11!$D:$D,Sheet11!$Y:$Y,"",0)</f>
        <v/>
      </c>
    </row>
    <row r="2002">
      <c r="A2002" s="63"/>
      <c r="B2002" s="64"/>
      <c r="C2002" s="64"/>
      <c r="D2002" s="64"/>
      <c r="E2002" s="64"/>
      <c r="F2002" s="64"/>
      <c r="G2002" s="64"/>
      <c r="H2002" s="64"/>
      <c r="I2002" s="64"/>
      <c r="J2002" s="64"/>
      <c r="K2002" s="64"/>
      <c r="L2002" s="65"/>
      <c r="M2002" s="65"/>
      <c r="N2002" s="65"/>
      <c r="O2002" s="66"/>
      <c r="P2002" s="67"/>
      <c r="Q2002" s="65"/>
      <c r="R2002" s="68"/>
      <c r="S2002" s="67"/>
      <c r="T2002" s="67"/>
      <c r="U2002" s="65"/>
      <c r="V2002" s="66"/>
      <c r="W2002" s="67"/>
      <c r="X2002" s="68"/>
      <c r="Y2002" s="65"/>
      <c r="Z2002" s="65"/>
      <c r="AA2002" s="65"/>
      <c r="AB2002" s="69"/>
      <c r="AC2002" s="64"/>
      <c r="AD2002" s="64"/>
      <c r="AE2002" s="70"/>
      <c r="AF2002" s="64"/>
      <c r="AG2002" s="64"/>
      <c r="AH2002" s="64"/>
      <c r="AI2002" s="42" t="str">
        <f t="array" ref="AI2002">XLOOKUP($E2002,Sheet11!$D:$D,Sheet11!$X:$X,"",0)</f>
        <v/>
      </c>
      <c r="AJ2002" s="42" t="str">
        <f t="array" ref="AJ2002">XLOOKUP($E2002,Sheet11!$D:$D,Sheet11!$Y:$Y,"",0)</f>
        <v/>
      </c>
    </row>
  </sheetData>
  <autoFilter ref="$A$2:$AJ$2002"/>
  <mergeCells count="4">
    <mergeCell ref="O1:P1"/>
    <mergeCell ref="S1:T1"/>
    <mergeCell ref="V1:W1"/>
    <mergeCell ref="Y1:Z1"/>
  </mergeCells>
  <printOptions gridLines="1" horizontalCentered="1"/>
  <pageMargins bottom="0.0" footer="0.0" header="0.0" left="0.25" right="0.25" top="0.2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3.13"/>
    <col customWidth="1" min="3" max="3" width="15.0"/>
    <col customWidth="1" min="9" max="12" width="23.5"/>
  </cols>
  <sheetData>
    <row r="1">
      <c r="A1" s="2" t="str">
        <f>IFERROR(__xludf.DUMMYFUNCTION("IMPORTRANGE(""https://docs.google.com/spreadsheets/d/1hGswpGAd7x4c4xCli1LHokRC0M51dQVcHDQgELHkHsA/edit?gid=893398702#gid=893398702"",""PMS/R&amp;M Monitoring!A:BC"")"),"")</f>
        <v/>
      </c>
      <c r="B1" s="2" t="str">
        <f>IFERROR(__xludf.DUMMYFUNCTION("""COMPUTED_VALUE"""),"LEADSTECH - TRACTOR SERVICE MONITORING")</f>
        <v>LEADSTECH - TRACTOR SERVICE MONITORING</v>
      </c>
      <c r="C1" s="2"/>
      <c r="D1" s="71"/>
      <c r="E1" s="71"/>
      <c r="F1" s="2"/>
      <c r="G1" s="2"/>
      <c r="H1" s="2"/>
      <c r="I1" s="72"/>
      <c r="J1" s="72"/>
      <c r="K1" s="72"/>
      <c r="L1" s="72"/>
      <c r="M1" s="2"/>
      <c r="N1" s="2" t="str">
        <f>IFERROR(__xludf.DUMMYFUNCTION("""COMPUTED_VALUE"""),"`")</f>
        <v>`</v>
      </c>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row>
    <row r="2">
      <c r="A2" s="2"/>
      <c r="B2" s="2"/>
      <c r="C2" s="2"/>
      <c r="D2" s="71"/>
      <c r="E2" s="71"/>
      <c r="F2" s="2"/>
      <c r="G2" s="2"/>
      <c r="H2" s="2"/>
      <c r="I2" s="72"/>
      <c r="J2" s="72"/>
      <c r="K2" s="72"/>
      <c r="L2" s="72" t="str">
        <f>IFERROR(__xludf.DUMMYFUNCTION("""COMPUTED_VALUE"""),"viber")</f>
        <v>viber</v>
      </c>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row>
    <row r="3">
      <c r="A3" s="2"/>
      <c r="B3" s="2"/>
      <c r="C3" s="2"/>
      <c r="D3" s="71"/>
      <c r="E3" s="71"/>
      <c r="F3" s="2"/>
      <c r="G3" s="2"/>
      <c r="H3" s="2"/>
      <c r="I3" s="72"/>
      <c r="J3" s="72"/>
      <c r="K3" s="72"/>
      <c r="L3" s="72"/>
      <c r="M3" s="2"/>
      <c r="N3" s="2" t="str">
        <f>IFERROR(__xludf.DUMMYFUNCTION("""COMPUTED_VALUE"""),"ENCODED TO RECON SPARE PARTS - FC")</f>
        <v>ENCODED TO RECON SPARE PARTS - FC</v>
      </c>
      <c r="O3" s="2"/>
      <c r="P3" s="2"/>
      <c r="Q3" s="2" t="str">
        <f>IFERROR(__xludf.DUMMYFUNCTION("""COMPUTED_VALUE"""),"FOR FILING")</f>
        <v>FOR FILING</v>
      </c>
      <c r="R3" s="2"/>
      <c r="S3" s="2"/>
      <c r="T3" s="73">
        <f>IFERROR(__xludf.DUMMYFUNCTION("""COMPUTED_VALUE"""),4459496.63)</f>
        <v>4459496.63</v>
      </c>
      <c r="U3" s="2"/>
      <c r="V3" s="2"/>
      <c r="W3" s="2"/>
      <c r="X3" s="2"/>
      <c r="Y3" s="2" t="str">
        <f>IFERROR(__xludf.DUMMYFUNCTION("""COMPUTED_VALUE"""),"JOB ORDER SERIAL NO.")</f>
        <v>JOB ORDER SERIAL NO.</v>
      </c>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row>
    <row r="4">
      <c r="A4" s="2"/>
      <c r="B4" s="2" t="str">
        <f>IFERROR(__xludf.DUMMYFUNCTION("""COMPUTED_VALUE"""),"STATUS")</f>
        <v>STATUS</v>
      </c>
      <c r="C4" s="74" t="str">
        <f>IFERROR(__xludf.DUMMYFUNCTION("""COMPUTED_VALUE"""),"DATE REPORTED")</f>
        <v>DATE REPORTED</v>
      </c>
      <c r="D4" s="75" t="str">
        <f>IFERROR(__xludf.DUMMYFUNCTION("""COMPUTED_VALUE"""),"FCA NAME")</f>
        <v>FCA NAME</v>
      </c>
      <c r="E4" s="71" t="str">
        <f>IFERROR(__xludf.DUMMYFUNCTION("""COMPUTED_VALUE"""),"ADDRESS")</f>
        <v>ADDRESS</v>
      </c>
      <c r="F4" s="2" t="str">
        <f>IFERROR(__xludf.DUMMYFUNCTION("""COMPUTED_VALUE"""),"CONTACT PERSON")</f>
        <v>CONTACT PERSON</v>
      </c>
      <c r="G4" s="2" t="str">
        <f>IFERROR(__xludf.DUMMYFUNCTION("""COMPUTED_VALUE"""),"CONTACT NO.")</f>
        <v>CONTACT NO.</v>
      </c>
      <c r="H4" s="2" t="str">
        <f>IFERROR(__xludf.DUMMYFUNCTION("""COMPUTED_VALUE"""),"MACHINE HRS")</f>
        <v>MACHINE HRS</v>
      </c>
      <c r="I4" s="72" t="str">
        <f>IFERROR(__xludf.DUMMYFUNCTION("""COMPUTED_VALUE"""),"TYPE OF REQUEST")</f>
        <v>TYPE OF REQUEST</v>
      </c>
      <c r="J4" s="72" t="str">
        <f>IFERROR(__xludf.DUMMYFUNCTION("""COMPUTED_VALUE"""),"SPECIFIC CONCERN")</f>
        <v>SPECIFIC CONCERN</v>
      </c>
      <c r="K4" s="72" t="str">
        <f>IFERROR(__xludf.DUMMYFUNCTION("""COMPUTED_VALUE"""),"REPORT DESCRIPTION")</f>
        <v>REPORT DESCRIPTION</v>
      </c>
      <c r="L4" s="72" t="str">
        <f>IFERROR(__xludf.DUMMYFUNCTION("""COMPUTED_VALUE"""),"ACTION TAKEN")</f>
        <v>ACTION TAKEN</v>
      </c>
      <c r="M4" s="2" t="str">
        <f>IFERROR(__xludf.DUMMYFUNCTION("""COMPUTED_VALUE"""),"PARTS NEEDED")</f>
        <v>PARTS NEEDED</v>
      </c>
      <c r="N4" s="2" t="str">
        <f>IFERROR(__xludf.DUMMYFUNCTION("""COMPUTED_VALUE"""),"ACTION PLAN/ PARTS USED")</f>
        <v>ACTION PLAN/ PARTS USED</v>
      </c>
      <c r="O4" s="2" t="str">
        <f>IFERROR(__xludf.DUMMYFUNCTION("""COMPUTED_VALUE"""),"SERVICE REPORT")</f>
        <v>SERVICE REPORT</v>
      </c>
      <c r="P4" s="2" t="str">
        <f>IFERROR(__xludf.DUMMYFUNCTION("""COMPUTED_VALUE"""),"SERVICE REPORT FILES")</f>
        <v>SERVICE REPORT FILES</v>
      </c>
      <c r="Q4" s="2" t="str">
        <f>IFERROR(__xludf.DUMMYFUNCTION("""COMPUTED_VALUE"""),"PRINT")</f>
        <v>PRINT</v>
      </c>
      <c r="R4" s="74" t="str">
        <f>IFERROR(__xludf.DUMMYFUNCTION("""COMPUTED_VALUE"""),"DATE ACCOMPLISHED")</f>
        <v>DATE ACCOMPLISHED</v>
      </c>
      <c r="S4" s="2" t="str">
        <f>IFERROR(__xludf.DUMMYFUNCTION("""COMPUTED_VALUE"""),"LTC INCHARGE")</f>
        <v>LTC INCHARGE</v>
      </c>
      <c r="T4" s="73" t="str">
        <f>IFERROR(__xludf.DUMMYFUNCTION("""COMPUTED_VALUE""")," SERVICE CHARGE ")</f>
        <v>SERVICE CHARGE</v>
      </c>
      <c r="U4" s="73" t="str">
        <f>IFERROR(__xludf.DUMMYFUNCTION("""COMPUTED_VALUE""")," PAYMENT/ COLLECTION STATUS ")</f>
        <v>PAYMENT/ COLLECTION STATUS</v>
      </c>
      <c r="V4" s="2" t="str">
        <f>IFERROR(__xludf.DUMMYFUNCTION("""COMPUTED_VALUE"""),"DELIVERY RECEIPTS")</f>
        <v>DELIVERY RECEIPTS</v>
      </c>
      <c r="W4" s="2" t="str">
        <f>IFERROR(__xludf.DUMMYFUNCTION("""COMPUTED_VALUE"""),"COLLECTION RECEIPTS ")</f>
        <v>COLLECTION RECEIPTS </v>
      </c>
      <c r="X4" s="2" t="str">
        <f>IFERROR(__xludf.DUMMYFUNCTION("""COMPUTED_VALUE"""),"SALES INVOICE ")</f>
        <v>SALES INVOICE </v>
      </c>
      <c r="Y4" s="2" t="str">
        <f>IFERROR(__xludf.DUMMYFUNCTION("""COMPUTED_VALUE"""),"REMARKS")</f>
        <v>REMARKS</v>
      </c>
      <c r="Z4" s="2" t="str">
        <f>IFERROR(__xludf.DUMMYFUNCTION("""COMPUTED_VALUE"""),"WARRRANTY CLAIM REF#")</f>
        <v>WARRRANTY CLAIM REF#</v>
      </c>
      <c r="AA4" s="2" t="str">
        <f>IFERROR(__xludf.DUMMYFUNCTION("""COMPUTED_VALUE"""),"STATUS OF  WARRANTY CLAIM")</f>
        <v>STATUS OF  WARRANTY CLAIM</v>
      </c>
      <c r="AB4" s="2" t="str">
        <f>IFERROR(__xludf.DUMMYFUNCTION("""COMPUTED_VALUE"""),"REMARKS")</f>
        <v>REMARKS</v>
      </c>
      <c r="AC4" s="2" t="str">
        <f>IFERROR(__xludf.DUMMYFUNCTION("""COMPUTED_VALUE"""),"Report (Y/N?)")</f>
        <v>Report (Y/N?)</v>
      </c>
      <c r="AD4" s="2" t="str">
        <f>IFERROR(__xludf.DUMMYFUNCTION("""COMPUTED_VALUE"""),"PARTS USED")</f>
        <v>PARTS USED</v>
      </c>
      <c r="AE4" s="2"/>
      <c r="AF4" s="2"/>
      <c r="AG4" s="2"/>
      <c r="AH4" s="2"/>
      <c r="AI4" s="2" t="str">
        <f>IFERROR(__xludf.DUMMYFUNCTION("""COMPUTED_VALUE"""),"NAMEPLATE")</f>
        <v>NAMEPLATE</v>
      </c>
      <c r="AJ4" s="2"/>
      <c r="AK4" s="2"/>
      <c r="AL4" s="2" t="str">
        <f>IFERROR(__xludf.DUMMYFUNCTION("""COMPUTED_VALUE"""),"province")</f>
        <v>province</v>
      </c>
      <c r="AM4" s="2"/>
      <c r="AN4" s="2" t="str">
        <f>IFERROR(__xludf.DUMMYFUNCTION("""COMPUTED_VALUE"""),"Proj Ref")</f>
        <v>Proj Ref</v>
      </c>
      <c r="AO4" s="2" t="str">
        <f>IFERROR(__xludf.DUMMYFUNCTION("""COMPUTED_VALUE"""),"Lot")</f>
        <v>Lot</v>
      </c>
      <c r="AP4" s="2" t="str">
        <f>IFERROR(__xludf.DUMMYFUNCTION("""COMPUTED_VALUE"""),"PMS")</f>
        <v>PMS</v>
      </c>
      <c r="AQ4" s="2"/>
      <c r="AR4" s="2"/>
      <c r="AS4" s="2"/>
      <c r="AT4" s="2"/>
      <c r="AU4" s="2"/>
      <c r="AV4" s="2"/>
      <c r="AW4" s="2"/>
      <c r="AX4" s="2"/>
      <c r="AY4" s="2"/>
      <c r="AZ4" s="2"/>
      <c r="BA4" s="2"/>
      <c r="BB4" s="2"/>
    </row>
    <row r="5">
      <c r="A5" s="2">
        <f>IFERROR(__xludf.DUMMYFUNCTION("""COMPUTED_VALUE"""),1.0)</f>
        <v>1</v>
      </c>
      <c r="B5" s="2" t="str">
        <f>IFERROR(__xludf.DUMMYFUNCTION("""COMPUTED_VALUE"""),"COMPLETED")</f>
        <v>COMPLETED</v>
      </c>
      <c r="C5" s="74">
        <f>IFERROR(__xludf.DUMMYFUNCTION("""COMPUTED_VALUE"""),45334.0)</f>
        <v>45334</v>
      </c>
      <c r="D5" s="71" t="str">
        <f>IFERROR(__xludf.DUMMYFUNCTION("""COMPUTED_VALUE"""),"ACOCOLAO AGRI-FARMER'S ASSOCIATION")</f>
        <v>ACOCOLAO AGRI-FARMER'S ASSOCIATION</v>
      </c>
      <c r="E5" s="71" t="str">
        <f>IFERROR(__xludf.DUMMYFUNCTION("""COMPUTED_VALUE"""),"Acocolao, Paniqui, TARLAC")</f>
        <v>Acocolao, Paniqui, TARLAC</v>
      </c>
      <c r="F5" s="2" t="str">
        <f>IFERROR(__xludf.DUMMYFUNCTION("""COMPUTED_VALUE"""),"REYNALDO N. SUNIO")</f>
        <v>REYNALDO N. SUNIO</v>
      </c>
      <c r="G5" s="2">
        <f>IFERROR(__xludf.DUMMYFUNCTION("""COMPUTED_VALUE"""),9.16251917E9)</f>
        <v>9162519170</v>
      </c>
      <c r="H5" s="2" t="str">
        <f>IFERROR(__xludf.DUMMYFUNCTION("""COMPUTED_VALUE"""),"5.3 HRS")</f>
        <v>5.3 HRS</v>
      </c>
      <c r="I5" s="72" t="str">
        <f>IFERROR(__xludf.DUMMYFUNCTION("""COMPUTED_VALUE"""),"REPAIR - TRACTOR")</f>
        <v>REPAIR - TRACTOR</v>
      </c>
      <c r="J5" s="72" t="str">
        <f>IFERROR(__xludf.DUMMYFUNCTION("""COMPUTED_VALUE"""),"Electrical - PTO Switch")</f>
        <v>Electrical - PTO Switch</v>
      </c>
      <c r="K5" s="72" t="str">
        <f>IFERROR(__xludf.DUMMYFUNCTION("""COMPUTED_VALUE"""),"BROKEN PTO SWITCH")</f>
        <v>BROKEN PTO SWITCH</v>
      </c>
      <c r="L5" s="72" t="str">
        <f>IFERROR(__xludf.DUMMYFUNCTION("""COMPUTED_VALUE"""),"REPLACE PTO SWITCH")</f>
        <v>REPLACE PTO SWITCH</v>
      </c>
      <c r="M5" s="2" t="str">
        <f>IFERROR(__xludf.DUMMYFUNCTION("""COMPUTED_VALUE"""),"PTO SWITCH")</f>
        <v>PTO SWITCH</v>
      </c>
      <c r="N5" s="2" t="str">
        <f>IFERROR(__xludf.DUMMYFUNCTION("""COMPUTED_VALUE"""),"PTO SWITCH")</f>
        <v>PTO SWITCH</v>
      </c>
      <c r="O5" s="2" t="str">
        <f>IFERROR(__xludf.DUMMYFUNCTION("""COMPUTED_VALUE"""),"service report #1252")</f>
        <v>service report #1252</v>
      </c>
      <c r="P5" s="2"/>
      <c r="Q5" s="2"/>
      <c r="R5" s="74">
        <f>IFERROR(__xludf.DUMMYFUNCTION("""COMPUTED_VALUE"""),45338.0)</f>
        <v>45338</v>
      </c>
      <c r="S5" s="2" t="str">
        <f>IFERROR(__xludf.DUMMYFUNCTION("""COMPUTED_VALUE"""),"JHP")</f>
        <v>JHP</v>
      </c>
      <c r="T5" s="73" t="str">
        <f>IFERROR(__xludf.DUMMYFUNCTION("""COMPUTED_VALUE""")," N/A ")</f>
        <v>N/A</v>
      </c>
      <c r="U5" s="73" t="str">
        <f>IFERROR(__xludf.DUMMYFUNCTION("""COMPUTED_VALUE""")," FOR CONFIRMATION FROM THE TECHNICIAN ")</f>
        <v>FOR CONFIRMATION FROM THE TECHNICIAN</v>
      </c>
      <c r="V5" s="2"/>
      <c r="W5" s="2"/>
      <c r="X5" s="2"/>
      <c r="Y5" s="2"/>
      <c r="Z5" s="2"/>
      <c r="AA5" s="2"/>
      <c r="AB5" s="2"/>
      <c r="AC5" s="2"/>
      <c r="AD5" s="2"/>
      <c r="AE5" s="2"/>
      <c r="AF5" s="2"/>
      <c r="AG5" s="2"/>
      <c r="AH5" s="2"/>
      <c r="AI5" s="2"/>
      <c r="AJ5" s="2" t="str">
        <f>IFERROR(__xludf.DUMMYFUNCTION("""COMPUTED_VALUE"""),"Acocolao")</f>
        <v>Acocolao</v>
      </c>
      <c r="AK5" s="2" t="str">
        <f>IFERROR(__xludf.DUMMYFUNCTION("""COMPUTED_VALUE"""),"Paniqui")</f>
        <v>Paniqui</v>
      </c>
      <c r="AL5" s="2" t="str">
        <f>IFERROR(__xludf.DUMMYFUNCTION("""COMPUTED_VALUE"""),"Tarlac")</f>
        <v>Tarlac</v>
      </c>
      <c r="AM5" s="2">
        <f>IFERROR(__xludf.DUMMYFUNCTION("""COMPUTED_VALUE"""),3.0)</f>
        <v>3</v>
      </c>
      <c r="AN5" s="2" t="str">
        <f>IFERROR(__xludf.DUMMYFUNCTION("""COMPUTED_VALUE"""),"RCEF 23-09-21 Rebidding")</f>
        <v>RCEF 23-09-21 Rebidding</v>
      </c>
      <c r="AO5" s="2">
        <f>IFERROR(__xludf.DUMMYFUNCTION("""COMPUTED_VALUE"""),3.0)</f>
        <v>3</v>
      </c>
      <c r="AP5" s="2"/>
      <c r="AQ5" s="2"/>
      <c r="AR5" s="2"/>
      <c r="AS5" s="2"/>
      <c r="AT5" s="2"/>
      <c r="AU5" s="2"/>
      <c r="AV5" s="2"/>
      <c r="AW5" s="2"/>
      <c r="AX5" s="2"/>
      <c r="AY5" s="2"/>
      <c r="AZ5" s="2"/>
      <c r="BA5" s="2"/>
      <c r="BB5" s="2"/>
    </row>
    <row r="6">
      <c r="A6" s="2">
        <f>IFERROR(__xludf.DUMMYFUNCTION("""COMPUTED_VALUE"""),2.0)</f>
        <v>2</v>
      </c>
      <c r="B6" s="2" t="str">
        <f>IFERROR(__xludf.DUMMYFUNCTION("""COMPUTED_VALUE"""),"COMPLETED")</f>
        <v>COMPLETED</v>
      </c>
      <c r="C6" s="74">
        <f>IFERROR(__xludf.DUMMYFUNCTION("""COMPUTED_VALUE"""),45334.0)</f>
        <v>45334</v>
      </c>
      <c r="D6" s="71" t="str">
        <f>IFERROR(__xludf.DUMMYFUNCTION("""COMPUTED_VALUE"""),"Alcadesma Group of Farmers Association(AGFA)")</f>
        <v>Alcadesma Group of Farmers Association(AGFA)</v>
      </c>
      <c r="E6" s="71" t="str">
        <f>IFERROR(__xludf.DUMMYFUNCTION("""COMPUTED_VALUE"""),"Alcadesma, Bansud, Oriental Mindoro")</f>
        <v>Alcadesma, Bansud, Oriental Mindoro</v>
      </c>
      <c r="F6" s="2" t="str">
        <f>IFERROR(__xludf.DUMMYFUNCTION("""COMPUTED_VALUE"""),"ROMEO YAP (PRESIDENT)")</f>
        <v>ROMEO YAP (PRESIDENT)</v>
      </c>
      <c r="G6" s="2" t="str">
        <f>IFERROR(__xludf.DUMMYFUNCTION("""COMPUTED_VALUE"""),"0927-9979-638")</f>
        <v>0927-9979-638</v>
      </c>
      <c r="H6" s="2" t="str">
        <f>IFERROR(__xludf.DUMMYFUNCTION("""COMPUTED_VALUE"""),"45 HRS")</f>
        <v>45 HRS</v>
      </c>
      <c r="I6" s="72" t="str">
        <f>IFERROR(__xludf.DUMMYFUNCTION("""COMPUTED_VALUE"""),"PMS")</f>
        <v>PMS</v>
      </c>
      <c r="J6" s="72" t="str">
        <f>IFERROR(__xludf.DUMMYFUNCTION("""COMPUTED_VALUE"""),"PMS")</f>
        <v>PMS</v>
      </c>
      <c r="K6" s="72" t="str">
        <f>IFERROR(__xludf.DUMMYFUNCTION("""COMPUTED_VALUE"""),"FIRST PMS")</f>
        <v>FIRST PMS</v>
      </c>
      <c r="L6" s="72" t="str">
        <f>IFERROR(__xludf.DUMMYFUNCTION("""COMPUTED_VALUE"""),"CHANGE OIL")</f>
        <v>CHANGE OIL</v>
      </c>
      <c r="M6" s="2"/>
      <c r="N6" s="2"/>
      <c r="O6" s="2" t="str">
        <f>IFERROR(__xludf.DUMMYFUNCTION("""COMPUTED_VALUE"""),"service report #1251")</f>
        <v>service report #1251</v>
      </c>
      <c r="P6" s="2"/>
      <c r="Q6" s="2"/>
      <c r="R6" s="74">
        <f>IFERROR(__xludf.DUMMYFUNCTION("""COMPUTED_VALUE"""),45342.0)</f>
        <v>45342</v>
      </c>
      <c r="S6" s="2" t="str">
        <f>IFERROR(__xludf.DUMMYFUNCTION("""COMPUTED_VALUE"""),"CCB/PPS")</f>
        <v>CCB/PPS</v>
      </c>
      <c r="T6" s="73" t="str">
        <f>IFERROR(__xludf.DUMMYFUNCTION("""COMPUTED_VALUE""")," N/A ")</f>
        <v>N/A</v>
      </c>
      <c r="U6" s="73" t="str">
        <f>IFERROR(__xludf.DUMMYFUNCTION("""COMPUTED_VALUE""")," NO CHARGE ")</f>
        <v>NO CHARGE</v>
      </c>
      <c r="V6" s="2"/>
      <c r="W6" s="2" t="str">
        <f>IFERROR(__xludf.DUMMYFUNCTION("""COMPUTED_VALUE"""),"N/A")</f>
        <v>N/A</v>
      </c>
      <c r="X6" s="2" t="str">
        <f>IFERROR(__xludf.DUMMYFUNCTION("""COMPUTED_VALUE"""),"N/A")</f>
        <v>N/A</v>
      </c>
      <c r="Y6" s="2"/>
      <c r="Z6" s="2"/>
      <c r="AA6" s="2"/>
      <c r="AB6" s="2"/>
      <c r="AC6" s="2"/>
      <c r="AD6" s="2"/>
      <c r="AE6" s="2"/>
      <c r="AF6" s="2"/>
      <c r="AG6" s="2"/>
      <c r="AH6" s="2"/>
      <c r="AI6" s="2"/>
      <c r="AJ6" s="2" t="str">
        <f>IFERROR(__xludf.DUMMYFUNCTION("""COMPUTED_VALUE"""),"Alcadesma")</f>
        <v>Alcadesma</v>
      </c>
      <c r="AK6" s="2" t="str">
        <f>IFERROR(__xludf.DUMMYFUNCTION("""COMPUTED_VALUE"""),"Bansud")</f>
        <v>Bansud</v>
      </c>
      <c r="AL6" s="2" t="str">
        <f>IFERROR(__xludf.DUMMYFUNCTION("""COMPUTED_VALUE"""),"Oriental Mindoro")</f>
        <v>Oriental Mindoro</v>
      </c>
      <c r="AM6" s="2" t="str">
        <f>IFERROR(__xludf.DUMMYFUNCTION("""COMPUTED_VALUE"""),"4B")</f>
        <v>4B</v>
      </c>
      <c r="AN6" s="2" t="str">
        <f>IFERROR(__xludf.DUMMYFUNCTION("""COMPUTED_VALUE"""),"RCEF 23-08-20 Rebidding")</f>
        <v>RCEF 23-08-20 Rebidding</v>
      </c>
      <c r="AO6" s="2">
        <f>IFERROR(__xludf.DUMMYFUNCTION("""COMPUTED_VALUE"""),1.0)</f>
        <v>1</v>
      </c>
      <c r="AP6" s="2"/>
      <c r="AQ6" s="2"/>
      <c r="AR6" s="2"/>
      <c r="AS6" s="2"/>
      <c r="AT6" s="2"/>
      <c r="AU6" s="2"/>
      <c r="AV6" s="2"/>
      <c r="AW6" s="2"/>
      <c r="AX6" s="2"/>
      <c r="AY6" s="2"/>
      <c r="AZ6" s="2"/>
      <c r="BA6" s="2"/>
      <c r="BB6" s="2"/>
    </row>
    <row r="7">
      <c r="A7" s="2">
        <f>IFERROR(__xludf.DUMMYFUNCTION("""COMPUTED_VALUE"""),3.0)</f>
        <v>3</v>
      </c>
      <c r="B7" s="2" t="str">
        <f>IFERROR(__xludf.DUMMYFUNCTION("""COMPUTED_VALUE"""),"COMPLETED")</f>
        <v>COMPLETED</v>
      </c>
      <c r="C7" s="74">
        <f>IFERROR(__xludf.DUMMYFUNCTION("""COMPUTED_VALUE"""),45337.0)</f>
        <v>45337</v>
      </c>
      <c r="D7" s="71" t="str">
        <f>IFERROR(__xludf.DUMMYFUNCTION("""COMPUTED_VALUE"""),"SANDIGAN NG MGA MANGGAGAWA SA AGRIKULTURA SA KANAYUNAN (SAMAKA)")</f>
        <v>SANDIGAN NG MGA MANGGAGAWA SA AGRIKULTURA SA KANAYUNAN (SAMAKA)</v>
      </c>
      <c r="E7" s="71" t="str">
        <f>IFERROR(__xludf.DUMMYFUNCTION("""COMPUTED_VALUE"""),"Calucmoy, Socorro, Oriental Mindoro")</f>
        <v>Calucmoy, Socorro, Oriental Mindoro</v>
      </c>
      <c r="F7" s="2" t="str">
        <f>IFERROR(__xludf.DUMMYFUNCTION("""COMPUTED_VALUE"""),"REX MAANO")</f>
        <v>REX MAANO</v>
      </c>
      <c r="G7" s="2" t="str">
        <f>IFERROR(__xludf.DUMMYFUNCTION("""COMPUTED_VALUE"""),"0950-1377-210")</f>
        <v>0950-1377-210</v>
      </c>
      <c r="H7" s="2"/>
      <c r="I7" s="72" t="str">
        <f>IFERROR(__xludf.DUMMYFUNCTION("""COMPUTED_VALUE"""),"PMS")</f>
        <v>PMS</v>
      </c>
      <c r="J7" s="72" t="str">
        <f>IFERROR(__xludf.DUMMYFUNCTION("""COMPUTED_VALUE"""),"PMS")</f>
        <v>PMS</v>
      </c>
      <c r="K7" s="72" t="str">
        <f>IFERROR(__xludf.DUMMYFUNCTION("""COMPUTED_VALUE"""),"CHANGE OIL")</f>
        <v>CHANGE OIL</v>
      </c>
      <c r="L7" s="72" t="str">
        <f>IFERROR(__xludf.DUMMYFUNCTION("""COMPUTED_VALUE"""),"CHANGE OIL")</f>
        <v>CHANGE OIL</v>
      </c>
      <c r="M7" s="2"/>
      <c r="N7" s="2"/>
      <c r="O7" s="2" t="str">
        <f>IFERROR(__xludf.DUMMYFUNCTION("""COMPUTED_VALUE"""),"service report#1253")</f>
        <v>service report#1253</v>
      </c>
      <c r="P7" s="2"/>
      <c r="Q7" s="2"/>
      <c r="R7" s="74">
        <f>IFERROR(__xludf.DUMMYFUNCTION("""COMPUTED_VALUE"""),45342.0)</f>
        <v>45342</v>
      </c>
      <c r="S7" s="2" t="str">
        <f>IFERROR(__xludf.DUMMYFUNCTION("""COMPUTED_VALUE"""),"CCB/PPS")</f>
        <v>CCB/PPS</v>
      </c>
      <c r="T7" s="73" t="str">
        <f>IFERROR(__xludf.DUMMYFUNCTION("""COMPUTED_VALUE""")," N/A ")</f>
        <v>N/A</v>
      </c>
      <c r="U7" s="73" t="str">
        <f>IFERROR(__xludf.DUMMYFUNCTION("""COMPUTED_VALUE""")," NO CHARGE ")</f>
        <v>NO CHARGE</v>
      </c>
      <c r="V7" s="2"/>
      <c r="W7" s="2" t="str">
        <f>IFERROR(__xludf.DUMMYFUNCTION("""COMPUTED_VALUE"""),"N/A")</f>
        <v>N/A</v>
      </c>
      <c r="X7" s="2" t="str">
        <f>IFERROR(__xludf.DUMMYFUNCTION("""COMPUTED_VALUE"""),"N/A")</f>
        <v>N/A</v>
      </c>
      <c r="Y7" s="2"/>
      <c r="Z7" s="2"/>
      <c r="AA7" s="2"/>
      <c r="AB7" s="2"/>
      <c r="AC7" s="2"/>
      <c r="AD7" s="2"/>
      <c r="AE7" s="2"/>
      <c r="AF7" s="2"/>
      <c r="AG7" s="2"/>
      <c r="AH7" s="2"/>
      <c r="AI7" s="2"/>
      <c r="AJ7" s="2" t="str">
        <f>IFERROR(__xludf.DUMMYFUNCTION("""COMPUTED_VALUE"""),"Calucmoy")</f>
        <v>Calucmoy</v>
      </c>
      <c r="AK7" s="2" t="str">
        <f>IFERROR(__xludf.DUMMYFUNCTION("""COMPUTED_VALUE"""),"Socorro")</f>
        <v>Socorro</v>
      </c>
      <c r="AL7" s="2" t="str">
        <f>IFERROR(__xludf.DUMMYFUNCTION("""COMPUTED_VALUE"""),"Oriental Mindoro")</f>
        <v>Oriental Mindoro</v>
      </c>
      <c r="AM7" s="2" t="str">
        <f>IFERROR(__xludf.DUMMYFUNCTION("""COMPUTED_VALUE"""),"4B")</f>
        <v>4B</v>
      </c>
      <c r="AN7" s="2" t="str">
        <f>IFERROR(__xludf.DUMMYFUNCTION("""COMPUTED_VALUE"""),"RCEF 23-08-20 Rebidding")</f>
        <v>RCEF 23-08-20 Rebidding</v>
      </c>
      <c r="AO7" s="2">
        <f>IFERROR(__xludf.DUMMYFUNCTION("""COMPUTED_VALUE"""),1.0)</f>
        <v>1</v>
      </c>
      <c r="AP7" s="2"/>
      <c r="AQ7" s="2"/>
      <c r="AR7" s="2"/>
      <c r="AS7" s="2"/>
      <c r="AT7" s="2"/>
      <c r="AU7" s="2"/>
      <c r="AV7" s="2"/>
      <c r="AW7" s="2"/>
      <c r="AX7" s="2"/>
      <c r="AY7" s="2"/>
      <c r="AZ7" s="2"/>
      <c r="BA7" s="2"/>
      <c r="BB7" s="2"/>
    </row>
    <row r="8">
      <c r="A8" s="2">
        <f>IFERROR(__xludf.DUMMYFUNCTION("""COMPUTED_VALUE"""),4.0)</f>
        <v>4</v>
      </c>
      <c r="B8" s="2" t="str">
        <f>IFERROR(__xludf.DUMMYFUNCTION("""COMPUTED_VALUE"""),"COMPLETED")</f>
        <v>COMPLETED</v>
      </c>
      <c r="C8" s="74">
        <f>IFERROR(__xludf.DUMMYFUNCTION("""COMPUTED_VALUE"""),45337.0)</f>
        <v>45337</v>
      </c>
      <c r="D8" s="71" t="str">
        <f>IFERROR(__xludf.DUMMYFUNCTION("""COMPUTED_VALUE"""),"KAINGIN TAGUMPAY FARMERS AND IRRIGATORS ASSOCIATION (KATFAIA)")</f>
        <v>KAINGIN TAGUMPAY FARMERS AND IRRIGATORS ASSOCIATION (KATFAIA)</v>
      </c>
      <c r="E8" s="71" t="str">
        <f>IFERROR(__xludf.DUMMYFUNCTION("""COMPUTED_VALUE"""),"TAGUMPAY, SABLAYAN, OCCIDENTAL MINDORO")</f>
        <v>TAGUMPAY, SABLAYAN, OCCIDENTAL MINDORO</v>
      </c>
      <c r="F8" s="2" t="str">
        <f>IFERROR(__xludf.DUMMYFUNCTION("""COMPUTED_VALUE"""),"ROBERTO NAVALTA")</f>
        <v>ROBERTO NAVALTA</v>
      </c>
      <c r="G8" s="2" t="str">
        <f>IFERROR(__xludf.DUMMYFUNCTION("""COMPUTED_VALUE"""),"0975-537-0138")</f>
        <v>0975-537-0138</v>
      </c>
      <c r="H8" s="2" t="str">
        <f>IFERROR(__xludf.DUMMYFUNCTION("""COMPUTED_VALUE"""),"345 HRS")</f>
        <v>345 HRS</v>
      </c>
      <c r="I8" s="72" t="str">
        <f>IFERROR(__xludf.DUMMYFUNCTION("""COMPUTED_VALUE"""),"PMS")</f>
        <v>PMS</v>
      </c>
      <c r="J8" s="72" t="str">
        <f>IFERROR(__xludf.DUMMYFUNCTION("""COMPUTED_VALUE"""),"PMS")</f>
        <v>PMS</v>
      </c>
      <c r="K8" s="72" t="str">
        <f>IFERROR(__xludf.DUMMYFUNCTION("""COMPUTED_VALUE"""),"2ND CHANGE OIL")</f>
        <v>2ND CHANGE OIL</v>
      </c>
      <c r="L8" s="72" t="str">
        <f>IFERROR(__xludf.DUMMYFUNCTION("""COMPUTED_VALUE"""),"CHANGE OIL (HYDRAULIC AND ENGINE OIL)")</f>
        <v>CHANGE OIL (HYDRAULIC AND ENGINE OIL)</v>
      </c>
      <c r="M8" s="2"/>
      <c r="N8" s="2"/>
      <c r="O8" s="2" t="str">
        <f>IFERROR(__xludf.DUMMYFUNCTION("""COMPUTED_VALUE"""),"service report#1254")</f>
        <v>service report#1254</v>
      </c>
      <c r="P8" s="2"/>
      <c r="Q8" s="2"/>
      <c r="R8" s="74">
        <f>IFERROR(__xludf.DUMMYFUNCTION("""COMPUTED_VALUE"""),45341.0)</f>
        <v>45341</v>
      </c>
      <c r="S8" s="2" t="str">
        <f>IFERROR(__xludf.DUMMYFUNCTION("""COMPUTED_VALUE"""),"CCB/PPS")</f>
        <v>CCB/PPS</v>
      </c>
      <c r="T8" s="73" t="str">
        <f>IFERROR(__xludf.DUMMYFUNCTION("""COMPUTED_VALUE""")," N/A ")</f>
        <v>N/A</v>
      </c>
      <c r="U8" s="73" t="str">
        <f>IFERROR(__xludf.DUMMYFUNCTION("""COMPUTED_VALUE""")," NO CHARGE ")</f>
        <v>NO CHARGE</v>
      </c>
      <c r="V8" s="2"/>
      <c r="W8" s="2" t="str">
        <f>IFERROR(__xludf.DUMMYFUNCTION("""COMPUTED_VALUE"""),"N/A")</f>
        <v>N/A</v>
      </c>
      <c r="X8" s="2" t="str">
        <f>IFERROR(__xludf.DUMMYFUNCTION("""COMPUTED_VALUE"""),"N/A")</f>
        <v>N/A</v>
      </c>
      <c r="Y8" s="2"/>
      <c r="Z8" s="2"/>
      <c r="AA8" s="2"/>
      <c r="AB8" s="2"/>
      <c r="AC8" s="2"/>
      <c r="AD8" s="2"/>
      <c r="AE8" s="2"/>
      <c r="AF8" s="2"/>
      <c r="AG8" s="2"/>
      <c r="AH8" s="2"/>
      <c r="AI8" s="2"/>
      <c r="AJ8" s="2" t="str">
        <f>IFERROR(__xludf.DUMMYFUNCTION("""COMPUTED_VALUE"""),"Tagumpay")</f>
        <v>Tagumpay</v>
      </c>
      <c r="AK8" s="2" t="str">
        <f>IFERROR(__xludf.DUMMYFUNCTION("""COMPUTED_VALUE"""),"Sablayan")</f>
        <v>Sablayan</v>
      </c>
      <c r="AL8" s="2" t="str">
        <f>IFERROR(__xludf.DUMMYFUNCTION("""COMPUTED_VALUE"""),"Occidental Mindoro")</f>
        <v>Occidental Mindoro</v>
      </c>
      <c r="AM8" s="2" t="str">
        <f>IFERROR(__xludf.DUMMYFUNCTION("""COMPUTED_VALUE"""),"4B")</f>
        <v>4B</v>
      </c>
      <c r="AN8" s="2" t="str">
        <f>IFERROR(__xludf.DUMMYFUNCTION("""COMPUTED_VALUE"""),"RCEF 23-08-20 Rebidding")</f>
        <v>RCEF 23-08-20 Rebidding</v>
      </c>
      <c r="AO8" s="2">
        <f>IFERROR(__xludf.DUMMYFUNCTION("""COMPUTED_VALUE"""),1.0)</f>
        <v>1</v>
      </c>
      <c r="AP8" s="2"/>
      <c r="AQ8" s="2"/>
      <c r="AR8" s="2"/>
      <c r="AS8" s="2"/>
      <c r="AT8" s="2"/>
      <c r="AU8" s="2"/>
      <c r="AV8" s="2"/>
      <c r="AW8" s="2"/>
      <c r="AX8" s="2"/>
      <c r="AY8" s="2"/>
      <c r="AZ8" s="2"/>
      <c r="BA8" s="2"/>
      <c r="BB8" s="2"/>
    </row>
    <row r="9">
      <c r="A9" s="2">
        <f>IFERROR(__xludf.DUMMYFUNCTION("""COMPUTED_VALUE"""),5.0)</f>
        <v>5</v>
      </c>
      <c r="B9" s="2" t="str">
        <f>IFERROR(__xludf.DUMMYFUNCTION("""COMPUTED_VALUE"""),"COMPLETED")</f>
        <v>COMPLETED</v>
      </c>
      <c r="C9" s="74">
        <f>IFERROR(__xludf.DUMMYFUNCTION("""COMPUTED_VALUE"""),45337.0)</f>
        <v>45337</v>
      </c>
      <c r="D9" s="71" t="str">
        <f>IFERROR(__xludf.DUMMYFUNCTION("""COMPUTED_VALUE"""),"KAINGIN TAGUMPAY FARMERS AND IRRIGATORS ASSOCIATION (KATFAIA)")</f>
        <v>KAINGIN TAGUMPAY FARMERS AND IRRIGATORS ASSOCIATION (KATFAIA)</v>
      </c>
      <c r="E9" s="71" t="str">
        <f>IFERROR(__xludf.DUMMYFUNCTION("""COMPUTED_VALUE"""),"TAGUMPAY, SABLAYAN, OCCIDENTAL MINDORO")</f>
        <v>TAGUMPAY, SABLAYAN, OCCIDENTAL MINDORO</v>
      </c>
      <c r="F9" s="2" t="str">
        <f>IFERROR(__xludf.DUMMYFUNCTION("""COMPUTED_VALUE"""),"ROBERTO NAVALTA")</f>
        <v>ROBERTO NAVALTA</v>
      </c>
      <c r="G9" s="2" t="str">
        <f>IFERROR(__xludf.DUMMYFUNCTION("""COMPUTED_VALUE"""),"0975-537-0138")</f>
        <v>0975-537-0138</v>
      </c>
      <c r="H9" s="2" t="str">
        <f>IFERROR(__xludf.DUMMYFUNCTION("""COMPUTED_VALUE"""),"345 HRS")</f>
        <v>345 HRS</v>
      </c>
      <c r="I9" s="72" t="str">
        <f>IFERROR(__xludf.DUMMYFUNCTION("""COMPUTED_VALUE"""),"REPAIR - TRACTOR")</f>
        <v>REPAIR - TRACTOR</v>
      </c>
      <c r="J9" s="72" t="str">
        <f>IFERROR(__xludf.DUMMYFUNCTION("""COMPUTED_VALUE"""),"Hydraulic Filter - Leak")</f>
        <v>Hydraulic Filter - Leak</v>
      </c>
      <c r="K9" s="72" t="str">
        <f>IFERROR(__xludf.DUMMYFUNCTION("""COMPUTED_VALUE"""),"HYDRAULIC LEAKING .ROTAVATOR NOT FUNCTIONAL")</f>
        <v>HYDRAULIC LEAKING .ROTAVATOR NOT FUNCTIONAL</v>
      </c>
      <c r="L9" s="72" t="str">
        <f>IFERROR(__xludf.DUMMYFUNCTION("""COMPUTED_VALUE"""),"REPLACEMENT HYDRAULIC FILTER ")</f>
        <v>REPLACEMENT HYDRAULIC FILTER </v>
      </c>
      <c r="M9" s="2" t="str">
        <f>IFERROR(__xludf.DUMMYFUNCTION("""COMPUTED_VALUE"""),"HYDRAULIC FILTER")</f>
        <v>HYDRAULIC FILTER</v>
      </c>
      <c r="N9" s="2" t="str">
        <f>IFERROR(__xludf.DUMMYFUNCTION("""COMPUTED_VALUE"""),"HYDRAULIC FILTER")</f>
        <v>HYDRAULIC FILTER</v>
      </c>
      <c r="O9" s="2" t="str">
        <f>IFERROR(__xludf.DUMMYFUNCTION("""COMPUTED_VALUE"""),"service rport#1255")</f>
        <v>service rport#1255</v>
      </c>
      <c r="P9" s="2"/>
      <c r="Q9" s="2"/>
      <c r="R9" s="74">
        <f>IFERROR(__xludf.DUMMYFUNCTION("""COMPUTED_VALUE"""),45341.0)</f>
        <v>45341</v>
      </c>
      <c r="S9" s="2" t="str">
        <f>IFERROR(__xludf.DUMMYFUNCTION("""COMPUTED_VALUE"""),"CCB/PPS")</f>
        <v>CCB/PPS</v>
      </c>
      <c r="T9" s="73">
        <f>IFERROR(__xludf.DUMMYFUNCTION("""COMPUTED_VALUE"""),13150.0)</f>
        <v>13150</v>
      </c>
      <c r="U9" s="73" t="str">
        <f>IFERROR(__xludf.DUMMYFUNCTION("""COMPUTED_VALUE""")," REMITTED ")</f>
        <v>REMITTED</v>
      </c>
      <c r="V9" s="2"/>
      <c r="W9" s="2"/>
      <c r="X9" s="2">
        <f>IFERROR(__xludf.DUMMYFUNCTION("""COMPUTED_VALUE"""),1071.0)</f>
        <v>1071</v>
      </c>
      <c r="Y9" s="2"/>
      <c r="Z9" s="2"/>
      <c r="AA9" s="2"/>
      <c r="AB9" s="2"/>
      <c r="AC9" s="2"/>
      <c r="AD9" s="2"/>
      <c r="AE9" s="2"/>
      <c r="AF9" s="2"/>
      <c r="AG9" s="2"/>
      <c r="AH9" s="2"/>
      <c r="AI9" s="2"/>
      <c r="AJ9" s="2" t="str">
        <f>IFERROR(__xludf.DUMMYFUNCTION("""COMPUTED_VALUE"""),"Tagumpay")</f>
        <v>Tagumpay</v>
      </c>
      <c r="AK9" s="2" t="str">
        <f>IFERROR(__xludf.DUMMYFUNCTION("""COMPUTED_VALUE"""),"Sablayan")</f>
        <v>Sablayan</v>
      </c>
      <c r="AL9" s="2" t="str">
        <f>IFERROR(__xludf.DUMMYFUNCTION("""COMPUTED_VALUE"""),"Occidental Mindoro")</f>
        <v>Occidental Mindoro</v>
      </c>
      <c r="AM9" s="2" t="str">
        <f>IFERROR(__xludf.DUMMYFUNCTION("""COMPUTED_VALUE"""),"4B")</f>
        <v>4B</v>
      </c>
      <c r="AN9" s="2" t="str">
        <f>IFERROR(__xludf.DUMMYFUNCTION("""COMPUTED_VALUE"""),"RCEF 23-08-20 Rebidding")</f>
        <v>RCEF 23-08-20 Rebidding</v>
      </c>
      <c r="AO9" s="2">
        <f>IFERROR(__xludf.DUMMYFUNCTION("""COMPUTED_VALUE"""),1.0)</f>
        <v>1</v>
      </c>
      <c r="AP9" s="2"/>
      <c r="AQ9" s="2"/>
      <c r="AR9" s="2"/>
      <c r="AS9" s="2"/>
      <c r="AT9" s="2"/>
      <c r="AU9" s="2"/>
      <c r="AV9" s="2"/>
      <c r="AW9" s="2"/>
      <c r="AX9" s="2"/>
      <c r="AY9" s="2"/>
      <c r="AZ9" s="2"/>
      <c r="BA9" s="2"/>
      <c r="BB9" s="2"/>
    </row>
    <row r="10">
      <c r="A10" s="2">
        <f>IFERROR(__xludf.DUMMYFUNCTION("""COMPUTED_VALUE"""),6.0)</f>
        <v>6</v>
      </c>
      <c r="B10" s="2" t="str">
        <f>IFERROR(__xludf.DUMMYFUNCTION("""COMPUTED_VALUE"""),"COMPLETED")</f>
        <v>COMPLETED</v>
      </c>
      <c r="C10" s="74">
        <f>IFERROR(__xludf.DUMMYFUNCTION("""COMPUTED_VALUE"""),45337.0)</f>
        <v>45337</v>
      </c>
      <c r="D10" s="71" t="str">
        <f>IFERROR(__xludf.DUMMYFUNCTION("""COMPUTED_VALUE"""),"A. BONIFACIO FARMERS ASSOCIATION")</f>
        <v>A. BONIFACIO FARMERS ASSOCIATION</v>
      </c>
      <c r="E10" s="71" t="str">
        <f>IFERROR(__xludf.DUMMYFUNCTION("""COMPUTED_VALUE"""),"A. Bonifacio, Gloria, Oriental Mindoro")</f>
        <v>A. Bonifacio, Gloria, Oriental Mindoro</v>
      </c>
      <c r="F10" s="2" t="str">
        <f>IFERROR(__xludf.DUMMYFUNCTION("""COMPUTED_VALUE"""),"GILBERT MALANOG")</f>
        <v>GILBERT MALANOG</v>
      </c>
      <c r="G10" s="2" t="str">
        <f>IFERROR(__xludf.DUMMYFUNCTION("""COMPUTED_VALUE"""),"0912-8389-639/ 0956-8450-068")</f>
        <v>0912-8389-639/ 0956-8450-068</v>
      </c>
      <c r="H10" s="2" t="str">
        <f>IFERROR(__xludf.DUMMYFUNCTION("""COMPUTED_VALUE"""),"50 HRS")</f>
        <v>50 HRS</v>
      </c>
      <c r="I10" s="72" t="str">
        <f>IFERROR(__xludf.DUMMYFUNCTION("""COMPUTED_VALUE"""),"REPLACEMENT")</f>
        <v>REPLACEMENT</v>
      </c>
      <c r="J10" s="72" t="str">
        <f>IFERROR(__xludf.DUMMYFUNCTION("""COMPUTED_VALUE"""),"REPLACEMENT")</f>
        <v>REPLACEMENT</v>
      </c>
      <c r="K10" s="72" t="str">
        <f>IFERROR(__xludf.DUMMYFUNCTION("""COMPUTED_VALUE"""),"FIRST 50 HRS. CHANGE OIL  / LEAKING OF AXEL TRANSMISSION")</f>
        <v>FIRST 50 HRS. CHANGE OIL  / LEAKING OF AXEL TRANSMISSION</v>
      </c>
      <c r="L10" s="72" t="str">
        <f>IFERROR(__xludf.DUMMYFUNCTION("""COMPUTED_VALUE"""),"REPLACED UNIT")</f>
        <v>REPLACED UNIT</v>
      </c>
      <c r="M10" s="2" t="str">
        <f>IFERROR(__xludf.DUMMYFUNCTION("""COMPUTED_VALUE"""),"NEW UNIT")</f>
        <v>NEW UNIT</v>
      </c>
      <c r="N10" s="2"/>
      <c r="O10" s="2" t="str">
        <f>IFERROR(__xludf.DUMMYFUNCTION("""COMPUTED_VALUE"""),"service rport#1256")</f>
        <v>service rport#1256</v>
      </c>
      <c r="P10" s="2"/>
      <c r="Q10" s="2"/>
      <c r="R10" s="74">
        <f>IFERROR(__xludf.DUMMYFUNCTION("""COMPUTED_VALUE"""),45342.0)</f>
        <v>45342</v>
      </c>
      <c r="S10" s="2" t="str">
        <f>IFERROR(__xludf.DUMMYFUNCTION("""COMPUTED_VALUE"""),"CCB/PPS")</f>
        <v>CCB/PPS</v>
      </c>
      <c r="T10" s="73" t="str">
        <f>IFERROR(__xludf.DUMMYFUNCTION("""COMPUTED_VALUE""")," N/A ")</f>
        <v>N/A</v>
      </c>
      <c r="U10" s="73" t="str">
        <f>IFERROR(__xludf.DUMMYFUNCTION("""COMPUTED_VALUE""")," NO CHARGE ")</f>
        <v>NO CHARGE</v>
      </c>
      <c r="V10" s="2"/>
      <c r="W10" s="2" t="str">
        <f>IFERROR(__xludf.DUMMYFUNCTION("""COMPUTED_VALUE"""),"N/A")</f>
        <v>N/A</v>
      </c>
      <c r="X10" s="2" t="str">
        <f>IFERROR(__xludf.DUMMYFUNCTION("""COMPUTED_VALUE"""),"N/A")</f>
        <v>N/A</v>
      </c>
      <c r="Y10" s="2"/>
      <c r="Z10" s="2"/>
      <c r="AA10" s="2"/>
      <c r="AB10" s="2"/>
      <c r="AC10" s="2"/>
      <c r="AD10" s="2"/>
      <c r="AE10" s="2"/>
      <c r="AF10" s="2"/>
      <c r="AG10" s="2"/>
      <c r="AH10" s="2"/>
      <c r="AI10" s="2"/>
      <c r="AJ10" s="2" t="str">
        <f>IFERROR(__xludf.DUMMYFUNCTION("""COMPUTED_VALUE"""),"A. Bonifacio")</f>
        <v>A. Bonifacio</v>
      </c>
      <c r="AK10" s="2" t="str">
        <f>IFERROR(__xludf.DUMMYFUNCTION("""COMPUTED_VALUE"""),"Gloria")</f>
        <v>Gloria</v>
      </c>
      <c r="AL10" s="2" t="str">
        <f>IFERROR(__xludf.DUMMYFUNCTION("""COMPUTED_VALUE"""),"Oriental Mindoro")</f>
        <v>Oriental Mindoro</v>
      </c>
      <c r="AM10" s="2" t="str">
        <f>IFERROR(__xludf.DUMMYFUNCTION("""COMPUTED_VALUE"""),"4B")</f>
        <v>4B</v>
      </c>
      <c r="AN10" s="2" t="str">
        <f>IFERROR(__xludf.DUMMYFUNCTION("""COMPUTED_VALUE"""),"RCEF 23-08-20 Rebidding")</f>
        <v>RCEF 23-08-20 Rebidding</v>
      </c>
      <c r="AO10" s="2">
        <f>IFERROR(__xludf.DUMMYFUNCTION("""COMPUTED_VALUE"""),1.0)</f>
        <v>1</v>
      </c>
      <c r="AP10" s="2"/>
      <c r="AQ10" s="2"/>
      <c r="AR10" s="2"/>
      <c r="AS10" s="2"/>
      <c r="AT10" s="2"/>
      <c r="AU10" s="2"/>
      <c r="AV10" s="2"/>
      <c r="AW10" s="2"/>
      <c r="AX10" s="2"/>
      <c r="AY10" s="2"/>
      <c r="AZ10" s="2"/>
      <c r="BA10" s="2"/>
      <c r="BB10" s="2"/>
    </row>
    <row r="11">
      <c r="A11" s="2">
        <f>IFERROR(__xludf.DUMMYFUNCTION("""COMPUTED_VALUE"""),7.0)</f>
        <v>7</v>
      </c>
      <c r="B11" s="2" t="str">
        <f>IFERROR(__xludf.DUMMYFUNCTION("""COMPUTED_VALUE"""),"COMPLETED")</f>
        <v>COMPLETED</v>
      </c>
      <c r="C11" s="74">
        <f>IFERROR(__xludf.DUMMYFUNCTION("""COMPUTED_VALUE"""),45341.0)</f>
        <v>45341</v>
      </c>
      <c r="D11" s="71" t="str">
        <f>IFERROR(__xludf.DUMMYFUNCTION("""COMPUTED_VALUE"""),"LIOZON FISHERFOLKS AND FARMERS' ASSOCIATION")</f>
        <v>LIOZON FISHERFOLKS AND FARMERS' ASSOCIATION</v>
      </c>
      <c r="E11" s="71" t="str">
        <f>IFERROR(__xludf.DUMMYFUNCTION("""COMPUTED_VALUE"""),"Liozon, Palauig, ZAMBALES")</f>
        <v>Liozon, Palauig, ZAMBALES</v>
      </c>
      <c r="F11" s="2" t="str">
        <f>IFERROR(__xludf.DUMMYFUNCTION("""COMPUTED_VALUE"""),"RENE A. ALVES")</f>
        <v>RENE A. ALVES</v>
      </c>
      <c r="G11" s="2" t="str">
        <f>IFERROR(__xludf.DUMMYFUNCTION("""COMPUTED_VALUE"""),"0950-245-4865")</f>
        <v>0950-245-4865</v>
      </c>
      <c r="H11" s="2" t="str">
        <f>IFERROR(__xludf.DUMMYFUNCTION("""COMPUTED_VALUE"""),"50 HRS")</f>
        <v>50 HRS</v>
      </c>
      <c r="I11" s="72" t="str">
        <f>IFERROR(__xludf.DUMMYFUNCTION("""COMPUTED_VALUE"""),"PMS")</f>
        <v>PMS</v>
      </c>
      <c r="J11" s="72" t="str">
        <f>IFERROR(__xludf.DUMMYFUNCTION("""COMPUTED_VALUE"""),"PMS")</f>
        <v>PMS</v>
      </c>
      <c r="K11" s="72" t="str">
        <f>IFERROR(__xludf.DUMMYFUNCTION("""COMPUTED_VALUE"""),"FIRST PMS")</f>
        <v>FIRST PMS</v>
      </c>
      <c r="L11" s="72" t="str">
        <f>IFERROR(__xludf.DUMMYFUNCTION("""COMPUTED_VALUE"""),"CHANGE OIL: OIL FILTER NOT YET REPLACE,  ENGINE OIL C/O FCA")</f>
        <v>CHANGE OIL: OIL FILTER NOT YET REPLACE,  ENGINE OIL C/O FCA</v>
      </c>
      <c r="M11" s="2"/>
      <c r="N11" s="2"/>
      <c r="O11" s="2" t="str">
        <f>IFERROR(__xludf.DUMMYFUNCTION("""COMPUTED_VALUE"""),"service report#1257")</f>
        <v>service report#1257</v>
      </c>
      <c r="P11" s="2"/>
      <c r="Q11" s="2"/>
      <c r="R11" s="74">
        <f>IFERROR(__xludf.DUMMYFUNCTION("""COMPUTED_VALUE"""),45351.0)</f>
        <v>45351</v>
      </c>
      <c r="S11" s="2" t="str">
        <f>IFERROR(__xludf.DUMMYFUNCTION("""COMPUTED_VALUE"""),"JDP/EGT")</f>
        <v>JDP/EGT</v>
      </c>
      <c r="T11" s="73" t="str">
        <f>IFERROR(__xludf.DUMMYFUNCTION("""COMPUTED_VALUE""")," N/A ")</f>
        <v>N/A</v>
      </c>
      <c r="U11" s="73" t="str">
        <f>IFERROR(__xludf.DUMMYFUNCTION("""COMPUTED_VALUE""")," NO CHARGE ")</f>
        <v>NO CHARGE</v>
      </c>
      <c r="V11" s="2"/>
      <c r="W11" s="2" t="str">
        <f>IFERROR(__xludf.DUMMYFUNCTION("""COMPUTED_VALUE"""),"N/A")</f>
        <v>N/A</v>
      </c>
      <c r="X11" s="2" t="str">
        <f>IFERROR(__xludf.DUMMYFUNCTION("""COMPUTED_VALUE"""),"N/A")</f>
        <v>N/A</v>
      </c>
      <c r="Y11" s="2"/>
      <c r="Z11" s="2"/>
      <c r="AA11" s="2"/>
      <c r="AB11" s="2"/>
      <c r="AC11" s="2"/>
      <c r="AD11" s="2"/>
      <c r="AE11" s="2"/>
      <c r="AF11" s="2"/>
      <c r="AG11" s="2"/>
      <c r="AH11" s="2"/>
      <c r="AI11" s="2"/>
      <c r="AJ11" s="2" t="str">
        <f>IFERROR(__xludf.DUMMYFUNCTION("""COMPUTED_VALUE"""),"Liozon")</f>
        <v>Liozon</v>
      </c>
      <c r="AK11" s="2" t="str">
        <f>IFERROR(__xludf.DUMMYFUNCTION("""COMPUTED_VALUE"""),"Palauig")</f>
        <v>Palauig</v>
      </c>
      <c r="AL11" s="2" t="str">
        <f>IFERROR(__xludf.DUMMYFUNCTION("""COMPUTED_VALUE"""),"Zambales")</f>
        <v>Zambales</v>
      </c>
      <c r="AM11" s="2">
        <f>IFERROR(__xludf.DUMMYFUNCTION("""COMPUTED_VALUE"""),3.0)</f>
        <v>3</v>
      </c>
      <c r="AN11" s="2" t="str">
        <f>IFERROR(__xludf.DUMMYFUNCTION("""COMPUTED_VALUE"""),"RCEF 23-09-21 Rebidding")</f>
        <v>RCEF 23-09-21 Rebidding</v>
      </c>
      <c r="AO11" s="2">
        <f>IFERROR(__xludf.DUMMYFUNCTION("""COMPUTED_VALUE"""),3.0)</f>
        <v>3</v>
      </c>
      <c r="AP11" s="2"/>
      <c r="AQ11" s="2"/>
      <c r="AR11" s="2"/>
      <c r="AS11" s="2"/>
      <c r="AT11" s="2"/>
      <c r="AU11" s="2"/>
      <c r="AV11" s="2"/>
      <c r="AW11" s="2"/>
      <c r="AX11" s="2"/>
      <c r="AY11" s="2"/>
      <c r="AZ11" s="2"/>
      <c r="BA11" s="2"/>
      <c r="BB11" s="2"/>
    </row>
    <row r="12">
      <c r="A12" s="2">
        <f>IFERROR(__xludf.DUMMYFUNCTION("""COMPUTED_VALUE"""),8.0)</f>
        <v>8</v>
      </c>
      <c r="B12" s="2" t="str">
        <f>IFERROR(__xludf.DUMMYFUNCTION("""COMPUTED_VALUE"""),"COMPLETED")</f>
        <v>COMPLETED</v>
      </c>
      <c r="C12" s="74">
        <f>IFERROR(__xludf.DUMMYFUNCTION("""COMPUTED_VALUE"""),45341.0)</f>
        <v>45341</v>
      </c>
      <c r="D12" s="71" t="str">
        <f>IFERROR(__xludf.DUMMYFUNCTION("""COMPUTED_VALUE"""),"LIOZON FISHERFOLKS AND FARMERS' ASSOCIATION")</f>
        <v>LIOZON FISHERFOLKS AND FARMERS' ASSOCIATION</v>
      </c>
      <c r="E12" s="71" t="str">
        <f>IFERROR(__xludf.DUMMYFUNCTION("""COMPUTED_VALUE"""),"Liozon, Palauig, ZAMBALES")</f>
        <v>Liozon, Palauig, ZAMBALES</v>
      </c>
      <c r="F12" s="2" t="str">
        <f>IFERROR(__xludf.DUMMYFUNCTION("""COMPUTED_VALUE"""),"RENE A. ALVES")</f>
        <v>RENE A. ALVES</v>
      </c>
      <c r="G12" s="2" t="str">
        <f>IFERROR(__xludf.DUMMYFUNCTION("""COMPUTED_VALUE"""),"0950-245-4865")</f>
        <v>0950-245-4865</v>
      </c>
      <c r="H12" s="2" t="str">
        <f>IFERROR(__xludf.DUMMYFUNCTION("""COMPUTED_VALUE"""),"50 HRS")</f>
        <v>50 HRS</v>
      </c>
      <c r="I12" s="72" t="str">
        <f>IFERROR(__xludf.DUMMYFUNCTION("""COMPUTED_VALUE"""),"REPAIR - TRACTOR")</f>
        <v>REPAIR - TRACTOR</v>
      </c>
      <c r="J12" s="72" t="str">
        <f>IFERROR(__xludf.DUMMYFUNCTION("""COMPUTED_VALUE"""),"Hydraulic Filter - Leak")</f>
        <v>Hydraulic Filter - Leak</v>
      </c>
      <c r="K12" s="72" t="str">
        <f>IFERROR(__xludf.DUMMYFUNCTION("""COMPUTED_VALUE"""),"REPAIR OF LEAK OF HYDRAULIC; OUT CONTROL OF STEERING WHEEL")</f>
        <v>REPAIR OF LEAK OF HYDRAULIC; OUT CONTROL OF STEERING WHEEL</v>
      </c>
      <c r="L12" s="72" t="str">
        <f>IFERROR(__xludf.DUMMYFUNCTION("""COMPUTED_VALUE"""),"CHECKIG STEERING/ CHECKING LOADER / STALL GPS")</f>
        <v>CHECKIG STEERING/ CHECKING LOADER / STALL GPS</v>
      </c>
      <c r="M12" s="2"/>
      <c r="N12" s="2"/>
      <c r="O12" s="2" t="str">
        <f>IFERROR(__xludf.DUMMYFUNCTION("""COMPUTED_VALUE"""),"service report#1258")</f>
        <v>service report#1258</v>
      </c>
      <c r="P12" s="2"/>
      <c r="Q12" s="2"/>
      <c r="R12" s="74">
        <f>IFERROR(__xludf.DUMMYFUNCTION("""COMPUTED_VALUE"""),45351.0)</f>
        <v>45351</v>
      </c>
      <c r="S12" s="2" t="str">
        <f>IFERROR(__xludf.DUMMYFUNCTION("""COMPUTED_VALUE"""),"JDP/EGT")</f>
        <v>JDP/EGT</v>
      </c>
      <c r="T12" s="73" t="str">
        <f>IFERROR(__xludf.DUMMYFUNCTION("""COMPUTED_VALUE""")," N/A ")</f>
        <v>N/A</v>
      </c>
      <c r="U12" s="73" t="str">
        <f>IFERROR(__xludf.DUMMYFUNCTION("""COMPUTED_VALUE""")," NO CHARGE ")</f>
        <v>NO CHARGE</v>
      </c>
      <c r="V12" s="2"/>
      <c r="W12" s="2" t="str">
        <f>IFERROR(__xludf.DUMMYFUNCTION("""COMPUTED_VALUE"""),"N/A")</f>
        <v>N/A</v>
      </c>
      <c r="X12" s="2" t="str">
        <f>IFERROR(__xludf.DUMMYFUNCTION("""COMPUTED_VALUE"""),"N/A")</f>
        <v>N/A</v>
      </c>
      <c r="Y12" s="2"/>
      <c r="Z12" s="2"/>
      <c r="AA12" s="2"/>
      <c r="AB12" s="2"/>
      <c r="AC12" s="2"/>
      <c r="AD12" s="2"/>
      <c r="AE12" s="2"/>
      <c r="AF12" s="2"/>
      <c r="AG12" s="2"/>
      <c r="AH12" s="2"/>
      <c r="AI12" s="2"/>
      <c r="AJ12" s="2" t="str">
        <f>IFERROR(__xludf.DUMMYFUNCTION("""COMPUTED_VALUE"""),"Liozon")</f>
        <v>Liozon</v>
      </c>
      <c r="AK12" s="2" t="str">
        <f>IFERROR(__xludf.DUMMYFUNCTION("""COMPUTED_VALUE"""),"Palauig")</f>
        <v>Palauig</v>
      </c>
      <c r="AL12" s="2" t="str">
        <f>IFERROR(__xludf.DUMMYFUNCTION("""COMPUTED_VALUE"""),"Zambales")</f>
        <v>Zambales</v>
      </c>
      <c r="AM12" s="2">
        <f>IFERROR(__xludf.DUMMYFUNCTION("""COMPUTED_VALUE"""),3.0)</f>
        <v>3</v>
      </c>
      <c r="AN12" s="2" t="str">
        <f>IFERROR(__xludf.DUMMYFUNCTION("""COMPUTED_VALUE"""),"RCEF 23-09-21 Rebidding")</f>
        <v>RCEF 23-09-21 Rebidding</v>
      </c>
      <c r="AO12" s="2">
        <f>IFERROR(__xludf.DUMMYFUNCTION("""COMPUTED_VALUE"""),3.0)</f>
        <v>3</v>
      </c>
      <c r="AP12" s="2"/>
      <c r="AQ12" s="2"/>
      <c r="AR12" s="2"/>
      <c r="AS12" s="2"/>
      <c r="AT12" s="2"/>
      <c r="AU12" s="2"/>
      <c r="AV12" s="2"/>
      <c r="AW12" s="2"/>
      <c r="AX12" s="2"/>
      <c r="AY12" s="2"/>
      <c r="AZ12" s="2"/>
      <c r="BA12" s="2"/>
      <c r="BB12" s="2"/>
    </row>
    <row r="13">
      <c r="A13" s="2">
        <f>IFERROR(__xludf.DUMMYFUNCTION("""COMPUTED_VALUE"""),9.0)</f>
        <v>9</v>
      </c>
      <c r="B13" s="2" t="str">
        <f>IFERROR(__xludf.DUMMYFUNCTION("""COMPUTED_VALUE"""),"COMPLETED")</f>
        <v>COMPLETED</v>
      </c>
      <c r="C13" s="74">
        <f>IFERROR(__xludf.DUMMYFUNCTION("""COMPUTED_VALUE"""),45342.0)</f>
        <v>45342</v>
      </c>
      <c r="D13" s="71" t="str">
        <f>IFERROR(__xludf.DUMMYFUNCTION("""COMPUTED_VALUE"""),"BARANGAY MALINAO FARMERS' ASSOCIATION")</f>
        <v>BARANGAY MALINAO FARMERS' ASSOCIATION</v>
      </c>
      <c r="E13" s="71" t="str">
        <f>IFERROR(__xludf.DUMMYFUNCTION("""COMPUTED_VALUE"""),"Malinao, Naujan, Oriental Mindoro")</f>
        <v>Malinao, Naujan, Oriental Mindoro</v>
      </c>
      <c r="F13" s="2" t="str">
        <f>IFERROR(__xludf.DUMMYFUNCTION("""COMPUTED_VALUE"""),"ERVIN GARILLO")</f>
        <v>ERVIN GARILLO</v>
      </c>
      <c r="G13" s="2" t="str">
        <f>IFERROR(__xludf.DUMMYFUNCTION("""COMPUTED_VALUE"""),"0956-911-1213")</f>
        <v>0956-911-1213</v>
      </c>
      <c r="H13" s="2"/>
      <c r="I13" s="72" t="str">
        <f>IFERROR(__xludf.DUMMYFUNCTION("""COMPUTED_VALUE"""),"REPAIR - TRACTOR")</f>
        <v>REPAIR - TRACTOR</v>
      </c>
      <c r="J13" s="72" t="str">
        <f>IFERROR(__xludf.DUMMYFUNCTION("""COMPUTED_VALUE"""),"Transmission - Clutch")</f>
        <v>Transmission - Clutch</v>
      </c>
      <c r="K13" s="72" t="str">
        <f>IFERROR(__xludf.DUMMYFUNCTION("""COMPUTED_VALUE"""),"CLUTCH LINING AND PRESSURE PLATE")</f>
        <v>CLUTCH LINING AND PRESSURE PLATE</v>
      </c>
      <c r="L13" s="72" t="str">
        <f>IFERROR(__xludf.DUMMYFUNCTION("""COMPUTED_VALUE"""),"REPLACE UNIT; TRANSFER LOADER BRACE")</f>
        <v>REPLACE UNIT; TRANSFER LOADER BRACE</v>
      </c>
      <c r="M13" s="2" t="str">
        <f>IFERROR(__xludf.DUMMYFUNCTION("""COMPUTED_VALUE"""),"NEW UNIT")</f>
        <v>NEW UNIT</v>
      </c>
      <c r="N13" s="2" t="str">
        <f>IFERROR(__xludf.DUMMYFUNCTION("""COMPUTED_VALUE"""),"PARTS: CLUTCH DISC ASSY, CLUTCH COVER ASSY")</f>
        <v>PARTS: CLUTCH DISC ASSY, CLUTCH COVER ASSY</v>
      </c>
      <c r="O13" s="2" t="str">
        <f>IFERROR(__xludf.DUMMYFUNCTION("""COMPUTED_VALUE"""),"service report#1259")</f>
        <v>service report#1259</v>
      </c>
      <c r="P13" s="2"/>
      <c r="Q13" s="2"/>
      <c r="R13" s="74">
        <f>IFERROR(__xludf.DUMMYFUNCTION("""COMPUTED_VALUE"""),45357.0)</f>
        <v>45357</v>
      </c>
      <c r="S13" s="2" t="str">
        <f>IFERROR(__xludf.DUMMYFUNCTION("""COMPUTED_VALUE"""),"CCB/PPS")</f>
        <v>CCB/PPS</v>
      </c>
      <c r="T13" s="73" t="str">
        <f>IFERROR(__xludf.DUMMYFUNCTION("""COMPUTED_VALUE""")," N/A ")</f>
        <v>N/A</v>
      </c>
      <c r="U13" s="73" t="str">
        <f>IFERROR(__xludf.DUMMYFUNCTION("""COMPUTED_VALUE""")," NO CHARGE ")</f>
        <v>NO CHARGE</v>
      </c>
      <c r="V13" s="2"/>
      <c r="W13" s="2" t="str">
        <f>IFERROR(__xludf.DUMMYFUNCTION("""COMPUTED_VALUE"""),"N/A")</f>
        <v>N/A</v>
      </c>
      <c r="X13" s="2" t="str">
        <f>IFERROR(__xludf.DUMMYFUNCTION("""COMPUTED_VALUE"""),"N/A")</f>
        <v>N/A</v>
      </c>
      <c r="Y13" s="2"/>
      <c r="Z13" s="2"/>
      <c r="AA13" s="2" t="str">
        <f>IFERROR(__xludf.DUMMYFUNCTION("""COMPUTED_VALUE"""),"APPROVED")</f>
        <v>APPROVED</v>
      </c>
      <c r="AB13" s="2"/>
      <c r="AC13" s="2" t="str">
        <f>IFERROR(__xludf.DUMMYFUNCTION("""COMPUTED_VALUE"""),"Y")</f>
        <v>Y</v>
      </c>
      <c r="AD13" s="2"/>
      <c r="AE13" s="2"/>
      <c r="AF13" s="2"/>
      <c r="AG13" s="2"/>
      <c r="AH13" s="2"/>
      <c r="AI13" s="2"/>
      <c r="AJ13" s="2" t="str">
        <f>IFERROR(__xludf.DUMMYFUNCTION("""COMPUTED_VALUE"""),"Malinao")</f>
        <v>Malinao</v>
      </c>
      <c r="AK13" s="2" t="str">
        <f>IFERROR(__xludf.DUMMYFUNCTION("""COMPUTED_VALUE"""),"Naujan")</f>
        <v>Naujan</v>
      </c>
      <c r="AL13" s="2" t="str">
        <f>IFERROR(__xludf.DUMMYFUNCTION("""COMPUTED_VALUE"""),"Oriental Mindoro")</f>
        <v>Oriental Mindoro</v>
      </c>
      <c r="AM13" s="2" t="str">
        <f>IFERROR(__xludf.DUMMYFUNCTION("""COMPUTED_VALUE"""),"4B")</f>
        <v>4B</v>
      </c>
      <c r="AN13" s="2" t="str">
        <f>IFERROR(__xludf.DUMMYFUNCTION("""COMPUTED_VALUE"""),"RCEF 23-08-20 Rebidding")</f>
        <v>RCEF 23-08-20 Rebidding</v>
      </c>
      <c r="AO13" s="2">
        <f>IFERROR(__xludf.DUMMYFUNCTION("""COMPUTED_VALUE"""),1.0)</f>
        <v>1</v>
      </c>
      <c r="AP13" s="2"/>
      <c r="AQ13" s="2"/>
      <c r="AR13" s="2"/>
      <c r="AS13" s="2"/>
      <c r="AT13" s="2"/>
      <c r="AU13" s="2"/>
      <c r="AV13" s="2"/>
      <c r="AW13" s="2"/>
      <c r="AX13" s="2"/>
      <c r="AY13" s="2"/>
      <c r="AZ13" s="2"/>
      <c r="BA13" s="2"/>
      <c r="BB13" s="2"/>
    </row>
    <row r="14">
      <c r="A14" s="2">
        <f>IFERROR(__xludf.DUMMYFUNCTION("""COMPUTED_VALUE"""),10.0)</f>
        <v>10</v>
      </c>
      <c r="B14" s="2" t="str">
        <f>IFERROR(__xludf.DUMMYFUNCTION("""COMPUTED_VALUE"""),"COMPLETED")</f>
        <v>COMPLETED</v>
      </c>
      <c r="C14" s="74">
        <f>IFERROR(__xludf.DUMMYFUNCTION("""COMPUTED_VALUE"""),45343.0)</f>
        <v>45343</v>
      </c>
      <c r="D14" s="71" t="str">
        <f>IFERROR(__xludf.DUMMYFUNCTION("""COMPUTED_VALUE"""),"MAPAGONG FARMERS IRROGATORS ASSN. INC.")</f>
        <v>MAPAGONG FARMERS IRROGATORS ASSN. INC.</v>
      </c>
      <c r="E14" s="71" t="str">
        <f>IFERROR(__xludf.DUMMYFUNCTION("""COMPUTED_VALUE"""),"Mapagong, Pagbilao, Quezon")</f>
        <v>Mapagong, Pagbilao, Quezon</v>
      </c>
      <c r="F14" s="2" t="str">
        <f>IFERROR(__xludf.DUMMYFUNCTION("""COMPUTED_VALUE"""),"RENATO DE RAMA")</f>
        <v>RENATO DE RAMA</v>
      </c>
      <c r="G14" s="2" t="str">
        <f>IFERROR(__xludf.DUMMYFUNCTION("""COMPUTED_VALUE"""),"0963-796-1857")</f>
        <v>0963-796-1857</v>
      </c>
      <c r="H14" s="2" t="str">
        <f>IFERROR(__xludf.DUMMYFUNCTION("""COMPUTED_VALUE"""),"50 HRS")</f>
        <v>50 HRS</v>
      </c>
      <c r="I14" s="72" t="str">
        <f>IFERROR(__xludf.DUMMYFUNCTION("""COMPUTED_VALUE"""),"PMS")</f>
        <v>PMS</v>
      </c>
      <c r="J14" s="72" t="str">
        <f>IFERROR(__xludf.DUMMYFUNCTION("""COMPUTED_VALUE"""),"PMS")</f>
        <v>PMS</v>
      </c>
      <c r="K14" s="72" t="str">
        <f>IFERROR(__xludf.DUMMYFUNCTION("""COMPUTED_VALUE"""),"FIRST 50 HRS.")</f>
        <v>FIRST 50 HRS.</v>
      </c>
      <c r="L14" s="72" t="str">
        <f>IFERROR(__xludf.DUMMYFUNCTION("""COMPUTED_VALUE"""),"CHANGE OIL")</f>
        <v>CHANGE OIL</v>
      </c>
      <c r="M14" s="2"/>
      <c r="N14" s="2"/>
      <c r="O14" s="2" t="str">
        <f>IFERROR(__xludf.DUMMYFUNCTION("""COMPUTED_VALUE"""),"service report#1260")</f>
        <v>service report#1260</v>
      </c>
      <c r="P14" s="2"/>
      <c r="Q14" s="2"/>
      <c r="R14" s="74">
        <f>IFERROR(__xludf.DUMMYFUNCTION("""COMPUTED_VALUE"""),45344.0)</f>
        <v>45344</v>
      </c>
      <c r="S14" s="2" t="str">
        <f>IFERROR(__xludf.DUMMYFUNCTION("""COMPUTED_VALUE"""),"JTT")</f>
        <v>JTT</v>
      </c>
      <c r="T14" s="73" t="str">
        <f>IFERROR(__xludf.DUMMYFUNCTION("""COMPUTED_VALUE""")," N/A ")</f>
        <v>N/A</v>
      </c>
      <c r="U14" s="73" t="str">
        <f>IFERROR(__xludf.DUMMYFUNCTION("""COMPUTED_VALUE""")," NO CHARGE ")</f>
        <v>NO CHARGE</v>
      </c>
      <c r="V14" s="2"/>
      <c r="W14" s="2" t="str">
        <f>IFERROR(__xludf.DUMMYFUNCTION("""COMPUTED_VALUE"""),"N/A")</f>
        <v>N/A</v>
      </c>
      <c r="X14" s="2" t="str">
        <f>IFERROR(__xludf.DUMMYFUNCTION("""COMPUTED_VALUE"""),"N/A")</f>
        <v>N/A</v>
      </c>
      <c r="Y14" s="2"/>
      <c r="Z14" s="2"/>
      <c r="AA14" s="2"/>
      <c r="AB14" s="2"/>
      <c r="AC14" s="2"/>
      <c r="AD14" s="2"/>
      <c r="AE14" s="2"/>
      <c r="AF14" s="2"/>
      <c r="AG14" s="2"/>
      <c r="AH14" s="2"/>
      <c r="AI14" s="2"/>
      <c r="AJ14" s="2" t="str">
        <f>IFERROR(__xludf.DUMMYFUNCTION("""COMPUTED_VALUE"""),"Mapagong")</f>
        <v>Mapagong</v>
      </c>
      <c r="AK14" s="2" t="str">
        <f>IFERROR(__xludf.DUMMYFUNCTION("""COMPUTED_VALUE"""),"Pagbilao")</f>
        <v>Pagbilao</v>
      </c>
      <c r="AL14" s="2" t="str">
        <f>IFERROR(__xludf.DUMMYFUNCTION("""COMPUTED_VALUE"""),"Quezon")</f>
        <v>Quezon</v>
      </c>
      <c r="AM14" s="2" t="str">
        <f>IFERROR(__xludf.DUMMYFUNCTION("""COMPUTED_VALUE"""),"4A")</f>
        <v>4A</v>
      </c>
      <c r="AN14" s="2" t="str">
        <f>IFERROR(__xludf.DUMMYFUNCTION("""COMPUTED_VALUE"""),"RCEF 23-08-20 Rebidding")</f>
        <v>RCEF 23-08-20 Rebidding</v>
      </c>
      <c r="AO14" s="2">
        <f>IFERROR(__xludf.DUMMYFUNCTION("""COMPUTED_VALUE"""),1.0)</f>
        <v>1</v>
      </c>
      <c r="AP14" s="2"/>
      <c r="AQ14" s="2"/>
      <c r="AR14" s="2"/>
      <c r="AS14" s="2"/>
      <c r="AT14" s="2"/>
      <c r="AU14" s="2"/>
      <c r="AV14" s="2"/>
      <c r="AW14" s="2"/>
      <c r="AX14" s="2"/>
      <c r="AY14" s="2"/>
      <c r="AZ14" s="2"/>
      <c r="BA14" s="2"/>
      <c r="BB14" s="2"/>
    </row>
    <row r="15">
      <c r="A15" s="2">
        <f>IFERROR(__xludf.DUMMYFUNCTION("""COMPUTED_VALUE"""),11.0)</f>
        <v>11</v>
      </c>
      <c r="B15" s="2" t="str">
        <f>IFERROR(__xludf.DUMMYFUNCTION("""COMPUTED_VALUE"""),"COMPLETED")</f>
        <v>COMPLETED</v>
      </c>
      <c r="C15" s="74">
        <f>IFERROR(__xludf.DUMMYFUNCTION("""COMPUTED_VALUE"""),45344.0)</f>
        <v>45344</v>
      </c>
      <c r="D15" s="71" t="str">
        <f>IFERROR(__xludf.DUMMYFUNCTION("""COMPUTED_VALUE"""),"TUBIG BIYAYA IRRIGATORS' ASSOCIATION, INC.")</f>
        <v>TUBIG BIYAYA IRRIGATORS' ASSOCIATION, INC.</v>
      </c>
      <c r="E15" s="71" t="str">
        <f>IFERROR(__xludf.DUMMYFUNCTION("""COMPUTED_VALUE"""),"Binahaan, Pagbilao, Quezon")</f>
        <v>Binahaan, Pagbilao, Quezon</v>
      </c>
      <c r="F15" s="2" t="str">
        <f>IFERROR(__xludf.DUMMYFUNCTION("""COMPUTED_VALUE"""),"Primitiva C. Memorando")</f>
        <v>Primitiva C. Memorando</v>
      </c>
      <c r="G15" s="2" t="str">
        <f>IFERROR(__xludf.DUMMYFUNCTION("""COMPUTED_VALUE"""),"0991-761-7080")</f>
        <v>0991-761-7080</v>
      </c>
      <c r="H15" s="2" t="str">
        <f>IFERROR(__xludf.DUMMYFUNCTION("""COMPUTED_VALUE"""),"17.9 HRS")</f>
        <v>17.9 HRS</v>
      </c>
      <c r="I15" s="72" t="str">
        <f>IFERROR(__xludf.DUMMYFUNCTION("""COMPUTED_VALUE"""),"REPAIR - TRACTOR")</f>
        <v>REPAIR - TRACTOR</v>
      </c>
      <c r="J15" s="72" t="str">
        <f>IFERROR(__xludf.DUMMYFUNCTION("""COMPUTED_VALUE"""),"Transmission - Clutch")</f>
        <v>Transmission - Clutch</v>
      </c>
      <c r="K15" s="72" t="str">
        <f>IFERROR(__xludf.DUMMYFUNCTION("""COMPUTED_VALUE"""),"CLUTCH LINING AND PRESSURE PLATE")</f>
        <v>CLUTCH LINING AND PRESSURE PLATE</v>
      </c>
      <c r="L15" s="72" t="str">
        <f>IFERROR(__xludf.DUMMYFUNCTION("""COMPUTED_VALUE"""),"REPLACED CLUTCH LINING AND PRESSURE PLATE UNDER WARRANTY")</f>
        <v>REPLACED CLUTCH LINING AND PRESSURE PLATE UNDER WARRANTY</v>
      </c>
      <c r="M15" s="2" t="str">
        <f>IFERROR(__xludf.DUMMYFUNCTION("""COMPUTED_VALUE"""),"CLUTCH DSC ASSY
CLUTCH COVER ASSY")</f>
        <v>CLUTCH DSC ASSY
CLUTCH COVER ASSY</v>
      </c>
      <c r="N15" s="2" t="str">
        <f>IFERROR(__xludf.DUMMYFUNCTION("""COMPUTED_VALUE"""),"PARTS: CLUTCH DISC ASSY, CLUTCH COVER ASSY")</f>
        <v>PARTS: CLUTCH DISC ASSY, CLUTCH COVER ASSY</v>
      </c>
      <c r="O15" s="2" t="str">
        <f>IFERROR(__xludf.DUMMYFUNCTION("""COMPUTED_VALUE"""),"service report#1262")</f>
        <v>service report#1262</v>
      </c>
      <c r="P15" s="2"/>
      <c r="Q15" s="2"/>
      <c r="R15" s="74">
        <f>IFERROR(__xludf.DUMMYFUNCTION("""COMPUTED_VALUE"""),45350.0)</f>
        <v>45350</v>
      </c>
      <c r="S15" s="2" t="str">
        <f>IFERROR(__xludf.DUMMYFUNCTION("""COMPUTED_VALUE"""),"JTT")</f>
        <v>JTT</v>
      </c>
      <c r="T15" s="73" t="str">
        <f>IFERROR(__xludf.DUMMYFUNCTION("""COMPUTED_VALUE""")," N/A ")</f>
        <v>N/A</v>
      </c>
      <c r="U15" s="73" t="str">
        <f>IFERROR(__xludf.DUMMYFUNCTION("""COMPUTED_VALUE""")," NO CHARGE ")</f>
        <v>NO CHARGE</v>
      </c>
      <c r="V15" s="2"/>
      <c r="W15" s="2" t="str">
        <f>IFERROR(__xludf.DUMMYFUNCTION("""COMPUTED_VALUE"""),"N/A")</f>
        <v>N/A</v>
      </c>
      <c r="X15" s="2" t="str">
        <f>IFERROR(__xludf.DUMMYFUNCTION("""COMPUTED_VALUE"""),"N/A")</f>
        <v>N/A</v>
      </c>
      <c r="Y15" s="2"/>
      <c r="Z15" s="2" t="str">
        <f>IFERROR(__xludf.DUMMYFUNCTION("""COMPUTED_VALUE"""),"LEADS-TP-0020")</f>
        <v>LEADS-TP-0020</v>
      </c>
      <c r="AA15" s="2" t="str">
        <f>IFERROR(__xludf.DUMMYFUNCTION("""COMPUTED_VALUE"""),"APPROVED")</f>
        <v>APPROVED</v>
      </c>
      <c r="AB15" s="2"/>
      <c r="AC15" s="2" t="str">
        <f>IFERROR(__xludf.DUMMYFUNCTION("""COMPUTED_VALUE"""),"Y")</f>
        <v>Y</v>
      </c>
      <c r="AD15" s="2"/>
      <c r="AE15" s="2"/>
      <c r="AF15" s="2"/>
      <c r="AG15" s="2"/>
      <c r="AH15" s="2"/>
      <c r="AI15" s="2"/>
      <c r="AJ15" s="2" t="str">
        <f>IFERROR(__xludf.DUMMYFUNCTION("""COMPUTED_VALUE"""),"Binahaan")</f>
        <v>Binahaan</v>
      </c>
      <c r="AK15" s="2" t="str">
        <f>IFERROR(__xludf.DUMMYFUNCTION("""COMPUTED_VALUE"""),"Pagbilao")</f>
        <v>Pagbilao</v>
      </c>
      <c r="AL15" s="2" t="str">
        <f>IFERROR(__xludf.DUMMYFUNCTION("""COMPUTED_VALUE"""),"Quezon")</f>
        <v>Quezon</v>
      </c>
      <c r="AM15" s="2" t="str">
        <f>IFERROR(__xludf.DUMMYFUNCTION("""COMPUTED_VALUE"""),"4A")</f>
        <v>4A</v>
      </c>
      <c r="AN15" s="2" t="str">
        <f>IFERROR(__xludf.DUMMYFUNCTION("""COMPUTED_VALUE"""),"RCEF 23-08-20 Rebidding")</f>
        <v>RCEF 23-08-20 Rebidding</v>
      </c>
      <c r="AO15" s="2">
        <f>IFERROR(__xludf.DUMMYFUNCTION("""COMPUTED_VALUE"""),1.0)</f>
        <v>1</v>
      </c>
      <c r="AP15" s="2"/>
      <c r="AQ15" s="2"/>
      <c r="AR15" s="2"/>
      <c r="AS15" s="2"/>
      <c r="AT15" s="2"/>
      <c r="AU15" s="2"/>
      <c r="AV15" s="2"/>
      <c r="AW15" s="2"/>
      <c r="AX15" s="2"/>
      <c r="AY15" s="2"/>
      <c r="AZ15" s="2"/>
      <c r="BA15" s="2"/>
      <c r="BB15" s="2"/>
    </row>
    <row r="16">
      <c r="A16" s="2">
        <f>IFERROR(__xludf.DUMMYFUNCTION("""COMPUTED_VALUE"""),12.0)</f>
        <v>12</v>
      </c>
      <c r="B16" s="2" t="str">
        <f>IFERROR(__xludf.DUMMYFUNCTION("""COMPUTED_VALUE"""),"COMPLETED")</f>
        <v>COMPLETED</v>
      </c>
      <c r="C16" s="74">
        <f>IFERROR(__xludf.DUMMYFUNCTION("""COMPUTED_VALUE"""),45344.0)</f>
        <v>45344</v>
      </c>
      <c r="D16" s="71" t="str">
        <f>IFERROR(__xludf.DUMMYFUNCTION("""COMPUTED_VALUE"""),"SAN PEDRO FARMERS ASSOCIATION")</f>
        <v>SAN PEDRO FARMERS ASSOCIATION</v>
      </c>
      <c r="E16" s="71" t="str">
        <f>IFERROR(__xludf.DUMMYFUNCTION("""COMPUTED_VALUE"""),"San Pedro (Pob.), Hermosa, BATAAN")</f>
        <v>San Pedro (Pob.), Hermosa, BATAAN</v>
      </c>
      <c r="F16" s="2" t="str">
        <f>IFERROR(__xludf.DUMMYFUNCTION("""COMPUTED_VALUE"""),"Benjamin Q. de Guzman.")</f>
        <v>Benjamin Q. de Guzman.</v>
      </c>
      <c r="G16" s="2" t="str">
        <f>IFERROR(__xludf.DUMMYFUNCTION("""COMPUTED_VALUE"""),"0920-8017-267")</f>
        <v>0920-8017-267</v>
      </c>
      <c r="H16" s="2" t="str">
        <f>IFERROR(__xludf.DUMMYFUNCTION("""COMPUTED_VALUE"""),"30 HRS")</f>
        <v>30 HRS</v>
      </c>
      <c r="I16" s="72" t="str">
        <f>IFERROR(__xludf.DUMMYFUNCTION("""COMPUTED_VALUE"""),"REPAIR - TRACTOR")</f>
        <v>REPAIR - TRACTOR</v>
      </c>
      <c r="J16" s="72" t="str">
        <f>IFERROR(__xludf.DUMMYFUNCTION("""COMPUTED_VALUE"""),"Engine - Overheat")</f>
        <v>Engine - Overheat</v>
      </c>
      <c r="K16" s="72" t="str">
        <f>IFERROR(__xludf.DUMMYFUNCTION("""COMPUTED_VALUE"""),"OVERHEAT")</f>
        <v>OVERHEAT</v>
      </c>
      <c r="L16" s="72" t="str">
        <f>IFERROR(__xludf.DUMMYFUNCTION("""COMPUTED_VALUE"""),"ASSESSED BY FIT COREA")</f>
        <v>ASSESSED BY FIT COREA</v>
      </c>
      <c r="M16" s="2"/>
      <c r="N16" s="2"/>
      <c r="O16" s="2" t="str">
        <f>IFERROR(__xludf.DUMMYFUNCTION("""COMPUTED_VALUE"""),"service report#1261")</f>
        <v>service report#1261</v>
      </c>
      <c r="P16" s="2"/>
      <c r="Q16" s="2"/>
      <c r="R16" s="74" t="str">
        <f>IFERROR(__xludf.DUMMYFUNCTION("""COMPUTED_VALUE"""),"DATE UNKNOWN ")</f>
        <v>DATE UNKNOWN </v>
      </c>
      <c r="S16" s="2" t="str">
        <f>IFERROR(__xludf.DUMMYFUNCTION("""COMPUTED_VALUE"""),"FIT COREA")</f>
        <v>FIT COREA</v>
      </c>
      <c r="T16" s="2"/>
      <c r="U16" s="73" t="str">
        <f>IFERROR(__xludf.DUMMYFUNCTION("""COMPUTED_VALUE""")," NO CHARGE ")</f>
        <v>NO CHARGE</v>
      </c>
      <c r="V16" s="2"/>
      <c r="W16" s="2" t="str">
        <f>IFERROR(__xludf.DUMMYFUNCTION("""COMPUTED_VALUE"""),"N/A")</f>
        <v>N/A</v>
      </c>
      <c r="X16" s="2" t="str">
        <f>IFERROR(__xludf.DUMMYFUNCTION("""COMPUTED_VALUE"""),"N/A")</f>
        <v>N/A</v>
      </c>
      <c r="Y16" s="2"/>
      <c r="Z16" s="2"/>
      <c r="AA16" s="2"/>
      <c r="AB16" s="2"/>
      <c r="AC16" s="2"/>
      <c r="AD16" s="2"/>
      <c r="AE16" s="2"/>
      <c r="AF16" s="2"/>
      <c r="AG16" s="2"/>
      <c r="AH16" s="2"/>
      <c r="AI16" s="2"/>
      <c r="AJ16" s="2" t="str">
        <f>IFERROR(__xludf.DUMMYFUNCTION("""COMPUTED_VALUE"""),"San Pedro (Pob.)")</f>
        <v>San Pedro (Pob.)</v>
      </c>
      <c r="AK16" s="2" t="str">
        <f>IFERROR(__xludf.DUMMYFUNCTION("""COMPUTED_VALUE"""),"Hermosa")</f>
        <v>Hermosa</v>
      </c>
      <c r="AL16" s="2" t="str">
        <f>IFERROR(__xludf.DUMMYFUNCTION("""COMPUTED_VALUE"""),"Bataan")</f>
        <v>Bataan</v>
      </c>
      <c r="AM16" s="2">
        <f>IFERROR(__xludf.DUMMYFUNCTION("""COMPUTED_VALUE"""),3.0)</f>
        <v>3</v>
      </c>
      <c r="AN16" s="2" t="str">
        <f>IFERROR(__xludf.DUMMYFUNCTION("""COMPUTED_VALUE"""),"RCEF 23-09-21 Rebidding")</f>
        <v>RCEF 23-09-21 Rebidding</v>
      </c>
      <c r="AO16" s="2">
        <f>IFERROR(__xludf.DUMMYFUNCTION("""COMPUTED_VALUE"""),3.0)</f>
        <v>3</v>
      </c>
      <c r="AP16" s="2"/>
      <c r="AQ16" s="2"/>
      <c r="AR16" s="2"/>
      <c r="AS16" s="2"/>
      <c r="AT16" s="2"/>
      <c r="AU16" s="2"/>
      <c r="AV16" s="2"/>
      <c r="AW16" s="2"/>
      <c r="AX16" s="2"/>
      <c r="AY16" s="2"/>
      <c r="AZ16" s="2"/>
      <c r="BA16" s="2"/>
      <c r="BB16" s="2"/>
    </row>
    <row r="17">
      <c r="A17" s="2">
        <f>IFERROR(__xludf.DUMMYFUNCTION("""COMPUTED_VALUE"""),13.0)</f>
        <v>13</v>
      </c>
      <c r="B17" s="2" t="str">
        <f>IFERROR(__xludf.DUMMYFUNCTION("""COMPUTED_VALUE"""),"COMPLETED")</f>
        <v>COMPLETED</v>
      </c>
      <c r="C17" s="74">
        <f>IFERROR(__xludf.DUMMYFUNCTION("""COMPUTED_VALUE"""),45349.0)</f>
        <v>45349</v>
      </c>
      <c r="D17" s="71" t="str">
        <f>IFERROR(__xludf.DUMMYFUNCTION("""COMPUTED_VALUE"""),"ASUSASYON NG MASISIPAG NA MAGSASAKA NG BARANGAY CAMBA INC.")</f>
        <v>ASUSASYON NG MASISIPAG NA MAGSASAKA NG BARANGAY CAMBA INC.</v>
      </c>
      <c r="E17" s="71" t="str">
        <f>IFERROR(__xludf.DUMMYFUNCTION("""COMPUTED_VALUE"""),"Kaledian (Camba), Arayat, PAMPANGA")</f>
        <v>Kaledian (Camba), Arayat, PAMPANGA</v>
      </c>
      <c r="F17" s="2" t="str">
        <f>IFERROR(__xludf.DUMMYFUNCTION("""COMPUTED_VALUE"""),"JC BESCUER")</f>
        <v>JC BESCUER</v>
      </c>
      <c r="G17" s="2" t="str">
        <f>IFERROR(__xludf.DUMMYFUNCTION("""COMPUTED_VALUE"""),"0966-1691-248")</f>
        <v>0966-1691-248</v>
      </c>
      <c r="H17" s="2">
        <f>IFERROR(__xludf.DUMMYFUNCTION("""COMPUTED_VALUE"""),49.5)</f>
        <v>49.5</v>
      </c>
      <c r="I17" s="72" t="str">
        <f>IFERROR(__xludf.DUMMYFUNCTION("""COMPUTED_VALUE"""),"PMS")</f>
        <v>PMS</v>
      </c>
      <c r="J17" s="72" t="str">
        <f>IFERROR(__xludf.DUMMYFUNCTION("""COMPUTED_VALUE"""),"PMS")</f>
        <v>PMS</v>
      </c>
      <c r="K17" s="72" t="str">
        <f>IFERROR(__xludf.DUMMYFUNCTION("""COMPUTED_VALUE"""),"FIRST 50 HRS PMS")</f>
        <v>FIRST 50 HRS PMS</v>
      </c>
      <c r="L17" s="72" t="str">
        <f>IFERROR(__xludf.DUMMYFUNCTION("""COMPUTED_VALUE"""),"CHANGE OIL")</f>
        <v>CHANGE OIL</v>
      </c>
      <c r="M17" s="2"/>
      <c r="N17" s="2"/>
      <c r="O17" s="2" t="str">
        <f>IFERROR(__xludf.DUMMYFUNCTION("""COMPUTED_VALUE"""),"service report#1263")</f>
        <v>service report#1263</v>
      </c>
      <c r="P17" s="2"/>
      <c r="Q17" s="2"/>
      <c r="R17" s="74">
        <f>IFERROR(__xludf.DUMMYFUNCTION("""COMPUTED_VALUE"""),45350.0)</f>
        <v>45350</v>
      </c>
      <c r="S17" s="2" t="str">
        <f>IFERROR(__xludf.DUMMYFUNCTION("""COMPUTED_VALUE"""),"ON-CALLS")</f>
        <v>ON-CALLS</v>
      </c>
      <c r="T17" s="73">
        <f>IFERROR(__xludf.DUMMYFUNCTION("""COMPUTED_VALUE"""),5000.0)</f>
        <v>5000</v>
      </c>
      <c r="U17" s="73" t="str">
        <f>IFERROR(__xludf.DUMMYFUNCTION("""COMPUTED_VALUE""")," REMITTED ")</f>
        <v>REMITTED</v>
      </c>
      <c r="V17" s="2"/>
      <c r="W17" s="2"/>
      <c r="X17" s="2"/>
      <c r="Y17" s="2"/>
      <c r="Z17" s="2"/>
      <c r="AA17" s="2"/>
      <c r="AB17" s="2"/>
      <c r="AC17" s="2"/>
      <c r="AD17" s="2"/>
      <c r="AE17" s="2"/>
      <c r="AF17" s="2"/>
      <c r="AG17" s="2"/>
      <c r="AH17" s="2"/>
      <c r="AI17" s="2"/>
      <c r="AJ17" s="2" t="str">
        <f>IFERROR(__xludf.DUMMYFUNCTION("""COMPUTED_VALUE"""),"Kaledian (Camba)")</f>
        <v>Kaledian (Camba)</v>
      </c>
      <c r="AK17" s="2" t="str">
        <f>IFERROR(__xludf.DUMMYFUNCTION("""COMPUTED_VALUE"""),"Arayat")</f>
        <v>Arayat</v>
      </c>
      <c r="AL17" s="2" t="str">
        <f>IFERROR(__xludf.DUMMYFUNCTION("""COMPUTED_VALUE"""),"Pampanga")</f>
        <v>Pampanga</v>
      </c>
      <c r="AM17" s="2">
        <f>IFERROR(__xludf.DUMMYFUNCTION("""COMPUTED_VALUE"""),3.0)</f>
        <v>3</v>
      </c>
      <c r="AN17" s="2" t="str">
        <f>IFERROR(__xludf.DUMMYFUNCTION("""COMPUTED_VALUE"""),"RCEF 23-09-21 Rebidding")</f>
        <v>RCEF 23-09-21 Rebidding</v>
      </c>
      <c r="AO17" s="2">
        <f>IFERROR(__xludf.DUMMYFUNCTION("""COMPUTED_VALUE"""),3.0)</f>
        <v>3</v>
      </c>
      <c r="AP17" s="2"/>
      <c r="AQ17" s="2"/>
      <c r="AR17" s="2"/>
      <c r="AS17" s="2"/>
      <c r="AT17" s="2"/>
      <c r="AU17" s="2"/>
      <c r="AV17" s="2"/>
      <c r="AW17" s="2"/>
      <c r="AX17" s="2"/>
      <c r="AY17" s="2"/>
      <c r="AZ17" s="2"/>
      <c r="BA17" s="2"/>
      <c r="BB17" s="2"/>
    </row>
    <row r="18">
      <c r="A18" s="2">
        <f>IFERROR(__xludf.DUMMYFUNCTION("""COMPUTED_VALUE"""),14.0)</f>
        <v>14</v>
      </c>
      <c r="B18" s="2" t="str">
        <f>IFERROR(__xludf.DUMMYFUNCTION("""COMPUTED_VALUE"""),"COMPLETED")</f>
        <v>COMPLETED</v>
      </c>
      <c r="C18" s="74">
        <f>IFERROR(__xludf.DUMMYFUNCTION("""COMPUTED_VALUE"""),45350.0)</f>
        <v>45350</v>
      </c>
      <c r="D18" s="71" t="str">
        <f>IFERROR(__xludf.DUMMYFUNCTION("""COMPUTED_VALUE"""),"BANCAGAN NAGUILIAN IRRIGATORS ASOCIATION INC.")</f>
        <v>BANCAGAN NAGUILIAN IRRIGATORS ASOCIATION INC.</v>
      </c>
      <c r="E18" s="71" t="str">
        <f>IFERROR(__xludf.DUMMYFUNCTION("""COMPUTED_VALUE"""),"Bancagan, Naguilian, LA UNION")</f>
        <v>Bancagan, Naguilian, LA UNION</v>
      </c>
      <c r="F18" s="2" t="str">
        <f>IFERROR(__xludf.DUMMYFUNCTION("""COMPUTED_VALUE"""),"LEONARDO LOSPE JR.")</f>
        <v>LEONARDO LOSPE JR.</v>
      </c>
      <c r="G18" s="2" t="str">
        <f>IFERROR(__xludf.DUMMYFUNCTION("""COMPUTED_VALUE"""),"0948-1190-687")</f>
        <v>0948-1190-687</v>
      </c>
      <c r="H18" s="2"/>
      <c r="I18" s="72" t="str">
        <f>IFERROR(__xludf.DUMMYFUNCTION("""COMPUTED_VALUE"""),"PMS")</f>
        <v>PMS</v>
      </c>
      <c r="J18" s="72" t="str">
        <f>IFERROR(__xludf.DUMMYFUNCTION("""COMPUTED_VALUE"""),"PMS")</f>
        <v>PMS</v>
      </c>
      <c r="K18" s="72" t="str">
        <f>IFERROR(__xludf.DUMMYFUNCTION("""COMPUTED_VALUE"""),"FIRST PMS")</f>
        <v>FIRST PMS</v>
      </c>
      <c r="L18" s="72" t="str">
        <f>IFERROR(__xludf.DUMMYFUNCTION("""COMPUTED_VALUE"""),"CHANGE OIL")</f>
        <v>CHANGE OIL</v>
      </c>
      <c r="M18" s="2"/>
      <c r="N18" s="2"/>
      <c r="O18" s="2" t="str">
        <f>IFERROR(__xludf.DUMMYFUNCTION("""COMPUTED_VALUE"""),"service report#1265")</f>
        <v>service report#1265</v>
      </c>
      <c r="P18" s="2"/>
      <c r="Q18" s="2"/>
      <c r="R18" s="74">
        <f>IFERROR(__xludf.DUMMYFUNCTION("""COMPUTED_VALUE"""),45352.0)</f>
        <v>45352</v>
      </c>
      <c r="S18" s="2" t="str">
        <f>IFERROR(__xludf.DUMMYFUNCTION("""COMPUTED_VALUE"""),"CCB")</f>
        <v>CCB</v>
      </c>
      <c r="T18" s="73" t="str">
        <f>IFERROR(__xludf.DUMMYFUNCTION("""COMPUTED_VALUE""")," N/A ")</f>
        <v>N/A</v>
      </c>
      <c r="U18" s="73" t="str">
        <f>IFERROR(__xludf.DUMMYFUNCTION("""COMPUTED_VALUE""")," NO CHARGE ")</f>
        <v>NO CHARGE</v>
      </c>
      <c r="V18" s="2"/>
      <c r="W18" s="2" t="str">
        <f>IFERROR(__xludf.DUMMYFUNCTION("""COMPUTED_VALUE"""),"N/A")</f>
        <v>N/A</v>
      </c>
      <c r="X18" s="2" t="str">
        <f>IFERROR(__xludf.DUMMYFUNCTION("""COMPUTED_VALUE"""),"N/A")</f>
        <v>N/A</v>
      </c>
      <c r="Y18" s="2"/>
      <c r="Z18" s="2"/>
      <c r="AA18" s="2"/>
      <c r="AB18" s="2"/>
      <c r="AC18" s="2"/>
      <c r="AD18" s="2"/>
      <c r="AE18" s="2"/>
      <c r="AF18" s="2"/>
      <c r="AG18" s="2"/>
      <c r="AH18" s="2"/>
      <c r="AI18" s="2"/>
      <c r="AJ18" s="2" t="str">
        <f>IFERROR(__xludf.DUMMYFUNCTION("""COMPUTED_VALUE"""),"Bancagan")</f>
        <v>Bancagan</v>
      </c>
      <c r="AK18" s="2" t="str">
        <f>IFERROR(__xludf.DUMMYFUNCTION("""COMPUTED_VALUE"""),"Naguilian")</f>
        <v>Naguilian</v>
      </c>
      <c r="AL18" s="2" t="str">
        <f>IFERROR(__xludf.DUMMYFUNCTION("""COMPUTED_VALUE"""),"La Union")</f>
        <v>La Union</v>
      </c>
      <c r="AM18" s="2">
        <f>IFERROR(__xludf.DUMMYFUNCTION("""COMPUTED_VALUE"""),1.0)</f>
        <v>1</v>
      </c>
      <c r="AN18" s="2" t="str">
        <f>IFERROR(__xludf.DUMMYFUNCTION("""COMPUTED_VALUE"""),"RCEF 23-09-21 Rebidding")</f>
        <v>RCEF 23-09-21 Rebidding</v>
      </c>
      <c r="AO18" s="2">
        <f>IFERROR(__xludf.DUMMYFUNCTION("""COMPUTED_VALUE"""),2.0)</f>
        <v>2</v>
      </c>
      <c r="AP18" s="2"/>
      <c r="AQ18" s="2"/>
      <c r="AR18" s="2"/>
      <c r="AS18" s="2"/>
      <c r="AT18" s="2"/>
      <c r="AU18" s="2"/>
      <c r="AV18" s="2"/>
      <c r="AW18" s="2"/>
      <c r="AX18" s="2"/>
      <c r="AY18" s="2"/>
      <c r="AZ18" s="2"/>
      <c r="BA18" s="2"/>
      <c r="BB18" s="2"/>
    </row>
    <row r="19">
      <c r="A19" s="2">
        <f>IFERROR(__xludf.DUMMYFUNCTION("""COMPUTED_VALUE"""),15.0)</f>
        <v>15</v>
      </c>
      <c r="B19" s="2" t="str">
        <f>IFERROR(__xludf.DUMMYFUNCTION("""COMPUTED_VALUE"""),"COMPLETED")</f>
        <v>COMPLETED</v>
      </c>
      <c r="C19" s="74">
        <f>IFERROR(__xludf.DUMMYFUNCTION("""COMPUTED_VALUE"""),45350.0)</f>
        <v>45350</v>
      </c>
      <c r="D19" s="71" t="str">
        <f>IFERROR(__xludf.DUMMYFUNCTION("""COMPUTED_VALUE"""),"MASAGANA PRODUCERS COOPERATIVE")</f>
        <v>MASAGANA PRODUCERS COOPERATIVE</v>
      </c>
      <c r="E19" s="71" t="str">
        <f>IFERROR(__xludf.DUMMYFUNCTION("""COMPUTED_VALUE"""),"Alagao, San Ildefonso, BULACAN")</f>
        <v>Alagao, San Ildefonso, BULACAN</v>
      </c>
      <c r="F19" s="2" t="str">
        <f>IFERROR(__xludf.DUMMYFUNCTION("""COMPUTED_VALUE"""),"DANILO SANTOS")</f>
        <v>DANILO SANTOS</v>
      </c>
      <c r="G19" s="2" t="str">
        <f>IFERROR(__xludf.DUMMYFUNCTION("""COMPUTED_VALUE"""),"0963-0227-438")</f>
        <v>0963-0227-438</v>
      </c>
      <c r="H19" s="2" t="str">
        <f>IFERROR(__xludf.DUMMYFUNCTION("""COMPUTED_VALUE"""),"54 HRS")</f>
        <v>54 HRS</v>
      </c>
      <c r="I19" s="72" t="str">
        <f>IFERROR(__xludf.DUMMYFUNCTION("""COMPUTED_VALUE"""),"PMS")</f>
        <v>PMS</v>
      </c>
      <c r="J19" s="72" t="str">
        <f>IFERROR(__xludf.DUMMYFUNCTION("""COMPUTED_VALUE"""),"PMS")</f>
        <v>PMS</v>
      </c>
      <c r="K19" s="72" t="str">
        <f>IFERROR(__xludf.DUMMYFUNCTION("""COMPUTED_VALUE"""),"FIRST 50 HRS PMS")</f>
        <v>FIRST 50 HRS PMS</v>
      </c>
      <c r="L19" s="72" t="str">
        <f>IFERROR(__xludf.DUMMYFUNCTION("""COMPUTED_VALUE"""),"CHANGE OIL")</f>
        <v>CHANGE OIL</v>
      </c>
      <c r="M19" s="2"/>
      <c r="N19" s="2"/>
      <c r="O19" s="2" t="str">
        <f>IFERROR(__xludf.DUMMYFUNCTION("""COMPUTED_VALUE"""),"service report#1264")</f>
        <v>service report#1264</v>
      </c>
      <c r="P19" s="2"/>
      <c r="Q19" s="2"/>
      <c r="R19" s="74">
        <f>IFERROR(__xludf.DUMMYFUNCTION("""COMPUTED_VALUE"""),45352.0)</f>
        <v>45352</v>
      </c>
      <c r="S19" s="2" t="str">
        <f>IFERROR(__xludf.DUMMYFUNCTION("""COMPUTED_VALUE"""),"EGT")</f>
        <v>EGT</v>
      </c>
      <c r="T19" s="73" t="str">
        <f>IFERROR(__xludf.DUMMYFUNCTION("""COMPUTED_VALUE""")," N/A ")</f>
        <v>N/A</v>
      </c>
      <c r="U19" s="73" t="str">
        <f>IFERROR(__xludf.DUMMYFUNCTION("""COMPUTED_VALUE""")," NO CHARGE ")</f>
        <v>NO CHARGE</v>
      </c>
      <c r="V19" s="2"/>
      <c r="W19" s="2" t="str">
        <f>IFERROR(__xludf.DUMMYFUNCTION("""COMPUTED_VALUE"""),"N/A")</f>
        <v>N/A</v>
      </c>
      <c r="X19" s="2" t="str">
        <f>IFERROR(__xludf.DUMMYFUNCTION("""COMPUTED_VALUE"""),"N/A")</f>
        <v>N/A</v>
      </c>
      <c r="Y19" s="2"/>
      <c r="Z19" s="2"/>
      <c r="AA19" s="2"/>
      <c r="AB19" s="2"/>
      <c r="AC19" s="2"/>
      <c r="AD19" s="2"/>
      <c r="AE19" s="2"/>
      <c r="AF19" s="2"/>
      <c r="AG19" s="2"/>
      <c r="AH19" s="2"/>
      <c r="AI19" s="2"/>
      <c r="AJ19" s="2" t="str">
        <f>IFERROR(__xludf.DUMMYFUNCTION("""COMPUTED_VALUE"""),"Alagao")</f>
        <v>Alagao</v>
      </c>
      <c r="AK19" s="2" t="str">
        <f>IFERROR(__xludf.DUMMYFUNCTION("""COMPUTED_VALUE"""),"San Ildefonso")</f>
        <v>San Ildefonso</v>
      </c>
      <c r="AL19" s="2" t="str">
        <f>IFERROR(__xludf.DUMMYFUNCTION("""COMPUTED_VALUE"""),"Bulacan")</f>
        <v>Bulacan</v>
      </c>
      <c r="AM19" s="2">
        <f>IFERROR(__xludf.DUMMYFUNCTION("""COMPUTED_VALUE"""),3.0)</f>
        <v>3</v>
      </c>
      <c r="AN19" s="2" t="str">
        <f>IFERROR(__xludf.DUMMYFUNCTION("""COMPUTED_VALUE"""),"RCEF 23-09-21 Rebidding")</f>
        <v>RCEF 23-09-21 Rebidding</v>
      </c>
      <c r="AO19" s="2">
        <f>IFERROR(__xludf.DUMMYFUNCTION("""COMPUTED_VALUE"""),3.0)</f>
        <v>3</v>
      </c>
      <c r="AP19" s="2"/>
      <c r="AQ19" s="2"/>
      <c r="AR19" s="2"/>
      <c r="AS19" s="2"/>
      <c r="AT19" s="2"/>
      <c r="AU19" s="2"/>
      <c r="AV19" s="2"/>
      <c r="AW19" s="2"/>
      <c r="AX19" s="2"/>
      <c r="AY19" s="2"/>
      <c r="AZ19" s="2"/>
      <c r="BA19" s="2"/>
      <c r="BB19" s="2"/>
    </row>
    <row r="20">
      <c r="A20" s="2">
        <f>IFERROR(__xludf.DUMMYFUNCTION("""COMPUTED_VALUE"""),16.0)</f>
        <v>16</v>
      </c>
      <c r="B20" s="2" t="str">
        <f>IFERROR(__xludf.DUMMYFUNCTION("""COMPUTED_VALUE"""),"COMPLETED")</f>
        <v>COMPLETED</v>
      </c>
      <c r="C20" s="74">
        <f>IFERROR(__xludf.DUMMYFUNCTION("""COMPUTED_VALUE"""),45351.0)</f>
        <v>45351</v>
      </c>
      <c r="D20" s="71" t="str">
        <f>IFERROR(__xludf.DUMMYFUNCTION("""COMPUTED_VALUE"""),"STA. CRUZ RIVER IRRIGATION SYSTEM IRRIGATORS ASSOCIATION, INC.")</f>
        <v>STA. CRUZ RIVER IRRIGATION SYSTEM IRRIGATORS ASSOCIATION, INC.</v>
      </c>
      <c r="E20" s="71" t="str">
        <f>IFERROR(__xludf.DUMMYFUNCTION("""COMPUTED_VALUE"""),"Gatid, Santa Cruz, Laguna")</f>
        <v>Gatid, Santa Cruz, Laguna</v>
      </c>
      <c r="F20" s="2" t="str">
        <f>IFERROR(__xludf.DUMMYFUNCTION("""COMPUTED_VALUE"""),"Roberto Ramos")</f>
        <v>Roberto Ramos</v>
      </c>
      <c r="G20" s="2" t="str">
        <f>IFERROR(__xludf.DUMMYFUNCTION("""COMPUTED_VALUE"""),"0968 606 0896")</f>
        <v>0968 606 0896</v>
      </c>
      <c r="H20" s="2">
        <f>IFERROR(__xludf.DUMMYFUNCTION("""COMPUTED_VALUE"""),71.9)</f>
        <v>71.9</v>
      </c>
      <c r="I20" s="72" t="str">
        <f>IFERROR(__xludf.DUMMYFUNCTION("""COMPUTED_VALUE"""),"PMS")</f>
        <v>PMS</v>
      </c>
      <c r="J20" s="72" t="str">
        <f>IFERROR(__xludf.DUMMYFUNCTION("""COMPUTED_VALUE"""),"PMS")</f>
        <v>PMS</v>
      </c>
      <c r="K20" s="72" t="str">
        <f>IFERROR(__xludf.DUMMYFUNCTION("""COMPUTED_VALUE"""),"FIRST 50 HRS PMS")</f>
        <v>FIRST 50 HRS PMS</v>
      </c>
      <c r="L20" s="72" t="str">
        <f>IFERROR(__xludf.DUMMYFUNCTION("""COMPUTED_VALUE"""),"CHANGE OIL")</f>
        <v>CHANGE OIL</v>
      </c>
      <c r="M20" s="2"/>
      <c r="N20" s="2"/>
      <c r="O20" s="2" t="str">
        <f>IFERROR(__xludf.DUMMYFUNCTION("""COMPUTED_VALUE"""),"service report#1266")</f>
        <v>service report#1266</v>
      </c>
      <c r="P20" s="2"/>
      <c r="Q20" s="2"/>
      <c r="R20" s="74">
        <f>IFERROR(__xludf.DUMMYFUNCTION("""COMPUTED_VALUE"""),45352.0)</f>
        <v>45352</v>
      </c>
      <c r="S20" s="2" t="str">
        <f>IFERROR(__xludf.DUMMYFUNCTION("""COMPUTED_VALUE"""),"CCB")</f>
        <v>CCB</v>
      </c>
      <c r="T20" s="73" t="str">
        <f>IFERROR(__xludf.DUMMYFUNCTION("""COMPUTED_VALUE""")," N/A ")</f>
        <v>N/A</v>
      </c>
      <c r="U20" s="73" t="str">
        <f>IFERROR(__xludf.DUMMYFUNCTION("""COMPUTED_VALUE""")," NO CHARGE ")</f>
        <v>NO CHARGE</v>
      </c>
      <c r="V20" s="2"/>
      <c r="W20" s="2" t="str">
        <f>IFERROR(__xludf.DUMMYFUNCTION("""COMPUTED_VALUE"""),"N/A")</f>
        <v>N/A</v>
      </c>
      <c r="X20" s="2" t="str">
        <f>IFERROR(__xludf.DUMMYFUNCTION("""COMPUTED_VALUE"""),"N/A")</f>
        <v>N/A</v>
      </c>
      <c r="Y20" s="2"/>
      <c r="Z20" s="2"/>
      <c r="AA20" s="2"/>
      <c r="AB20" s="2"/>
      <c r="AC20" s="2"/>
      <c r="AD20" s="2"/>
      <c r="AE20" s="2"/>
      <c r="AF20" s="2"/>
      <c r="AG20" s="2"/>
      <c r="AH20" s="2"/>
      <c r="AI20" s="2"/>
      <c r="AJ20" s="2" t="str">
        <f>IFERROR(__xludf.DUMMYFUNCTION("""COMPUTED_VALUE"""),"Gatid")</f>
        <v>Gatid</v>
      </c>
      <c r="AK20" s="2" t="str">
        <f>IFERROR(__xludf.DUMMYFUNCTION("""COMPUTED_VALUE"""),"Santa Cruz")</f>
        <v>Santa Cruz</v>
      </c>
      <c r="AL20" s="2" t="str">
        <f>IFERROR(__xludf.DUMMYFUNCTION("""COMPUTED_VALUE"""),"Laguna")</f>
        <v>Laguna</v>
      </c>
      <c r="AM20" s="2" t="str">
        <f>IFERROR(__xludf.DUMMYFUNCTION("""COMPUTED_VALUE"""),"4A")</f>
        <v>4A</v>
      </c>
      <c r="AN20" s="2" t="str">
        <f>IFERROR(__xludf.DUMMYFUNCTION("""COMPUTED_VALUE"""),"RCEF 23-08-20 Rebidding")</f>
        <v>RCEF 23-08-20 Rebidding</v>
      </c>
      <c r="AO20" s="2">
        <f>IFERROR(__xludf.DUMMYFUNCTION("""COMPUTED_VALUE"""),1.0)</f>
        <v>1</v>
      </c>
      <c r="AP20" s="2"/>
      <c r="AQ20" s="2"/>
      <c r="AR20" s="2"/>
      <c r="AS20" s="2"/>
      <c r="AT20" s="2"/>
      <c r="AU20" s="2"/>
      <c r="AV20" s="2"/>
      <c r="AW20" s="2"/>
      <c r="AX20" s="2"/>
      <c r="AY20" s="2"/>
      <c r="AZ20" s="2"/>
      <c r="BA20" s="2"/>
      <c r="BB20" s="2"/>
    </row>
    <row r="21">
      <c r="A21" s="2">
        <f>IFERROR(__xludf.DUMMYFUNCTION("""COMPUTED_VALUE"""),17.0)</f>
        <v>17</v>
      </c>
      <c r="B21" s="2" t="str">
        <f>IFERROR(__xludf.DUMMYFUNCTION("""COMPUTED_VALUE"""),"COMPLETED")</f>
        <v>COMPLETED</v>
      </c>
      <c r="C21" s="74">
        <f>IFERROR(__xludf.DUMMYFUNCTION("""COMPUTED_VALUE"""),45351.0)</f>
        <v>45351</v>
      </c>
      <c r="D21" s="71" t="str">
        <f>IFERROR(__xludf.DUMMYFUNCTION("""COMPUTED_VALUE"""),"ALLIANCE OF FARMERS ASSOCIATION OF ORCONUMA (AFAO)")</f>
        <v>ALLIANCE OF FARMERS ASSOCIATION OF ORCONUMA (AFAO)</v>
      </c>
      <c r="E21" s="71" t="str">
        <f>IFERROR(__xludf.DUMMYFUNCTION("""COMPUTED_VALUE"""),"Orconuma, Bongabong, Oriental Mindoro")</f>
        <v>Orconuma, Bongabong, Oriental Mindoro</v>
      </c>
      <c r="F21" s="2" t="str">
        <f>IFERROR(__xludf.DUMMYFUNCTION("""COMPUTED_VALUE"""),"OPERATOR")</f>
        <v>OPERATOR</v>
      </c>
      <c r="G21" s="2" t="str">
        <f>IFERROR(__xludf.DUMMYFUNCTION("""COMPUTED_VALUE"""),"0955-1675-372")</f>
        <v>0955-1675-372</v>
      </c>
      <c r="H21" s="2" t="str">
        <f>IFERROR(__xludf.DUMMYFUNCTION("""COMPUTED_VALUE"""),"47 HRS")</f>
        <v>47 HRS</v>
      </c>
      <c r="I21" s="72" t="str">
        <f>IFERROR(__xludf.DUMMYFUNCTION("""COMPUTED_VALUE"""),"PMS")</f>
        <v>PMS</v>
      </c>
      <c r="J21" s="72" t="str">
        <f>IFERROR(__xludf.DUMMYFUNCTION("""COMPUTED_VALUE"""),"PMS")</f>
        <v>PMS</v>
      </c>
      <c r="K21" s="72" t="str">
        <f>IFERROR(__xludf.DUMMYFUNCTION("""COMPUTED_VALUE"""),"FIRST PMS")</f>
        <v>FIRST PMS</v>
      </c>
      <c r="L21" s="72" t="str">
        <f>IFERROR(__xludf.DUMMYFUNCTION("""COMPUTED_VALUE"""),"CHANGE OIL")</f>
        <v>CHANGE OIL</v>
      </c>
      <c r="M21" s="2"/>
      <c r="N21" s="2"/>
      <c r="O21" s="2" t="str">
        <f>IFERROR(__xludf.DUMMYFUNCTION("""COMPUTED_VALUE"""),"service report#1267")</f>
        <v>service report#1267</v>
      </c>
      <c r="P21" s="2"/>
      <c r="Q21" s="2"/>
      <c r="R21" s="74" t="str">
        <f>IFERROR(__xludf.DUMMYFUNCTION("""COMPUTED_VALUE"""),"DATE UNKNOWN ")</f>
        <v>DATE UNKNOWN </v>
      </c>
      <c r="S21" s="2" t="str">
        <f>IFERROR(__xludf.DUMMYFUNCTION("""COMPUTED_VALUE"""),"RCG")</f>
        <v>RCG</v>
      </c>
      <c r="T21" s="73" t="str">
        <f>IFERROR(__xludf.DUMMYFUNCTION("""COMPUTED_VALUE""")," N/A ")</f>
        <v>N/A</v>
      </c>
      <c r="U21" s="73" t="str">
        <f>IFERROR(__xludf.DUMMYFUNCTION("""COMPUTED_VALUE""")," NO CHARGE ")</f>
        <v>NO CHARGE</v>
      </c>
      <c r="V21" s="2"/>
      <c r="W21" s="2" t="str">
        <f>IFERROR(__xludf.DUMMYFUNCTION("""COMPUTED_VALUE"""),"N/A")</f>
        <v>N/A</v>
      </c>
      <c r="X21" s="2" t="str">
        <f>IFERROR(__xludf.DUMMYFUNCTION("""COMPUTED_VALUE"""),"N/A")</f>
        <v>N/A</v>
      </c>
      <c r="Y21" s="2"/>
      <c r="Z21" s="2"/>
      <c r="AA21" s="2"/>
      <c r="AB21" s="2"/>
      <c r="AC21" s="2"/>
      <c r="AD21" s="2"/>
      <c r="AE21" s="2"/>
      <c r="AF21" s="2"/>
      <c r="AG21" s="2"/>
      <c r="AH21" s="2"/>
      <c r="AI21" s="2"/>
      <c r="AJ21" s="2" t="str">
        <f>IFERROR(__xludf.DUMMYFUNCTION("""COMPUTED_VALUE"""),"Orconuma")</f>
        <v>Orconuma</v>
      </c>
      <c r="AK21" s="2" t="str">
        <f>IFERROR(__xludf.DUMMYFUNCTION("""COMPUTED_VALUE"""),"Bongabong")</f>
        <v>Bongabong</v>
      </c>
      <c r="AL21" s="2" t="str">
        <f>IFERROR(__xludf.DUMMYFUNCTION("""COMPUTED_VALUE"""),"Oriental Mindoro")</f>
        <v>Oriental Mindoro</v>
      </c>
      <c r="AM21" s="2" t="str">
        <f>IFERROR(__xludf.DUMMYFUNCTION("""COMPUTED_VALUE"""),"4B")</f>
        <v>4B</v>
      </c>
      <c r="AN21" s="2" t="str">
        <f>IFERROR(__xludf.DUMMYFUNCTION("""COMPUTED_VALUE"""),"RCEF 23-08-20 Rebidding")</f>
        <v>RCEF 23-08-20 Rebidding</v>
      </c>
      <c r="AO21" s="2">
        <f>IFERROR(__xludf.DUMMYFUNCTION("""COMPUTED_VALUE"""),1.0)</f>
        <v>1</v>
      </c>
      <c r="AP21" s="2"/>
      <c r="AQ21" s="2"/>
      <c r="AR21" s="2"/>
      <c r="AS21" s="2"/>
      <c r="AT21" s="2"/>
      <c r="AU21" s="2"/>
      <c r="AV21" s="2"/>
      <c r="AW21" s="2"/>
      <c r="AX21" s="2"/>
      <c r="AY21" s="2"/>
      <c r="AZ21" s="2"/>
      <c r="BA21" s="2"/>
      <c r="BB21" s="2"/>
    </row>
    <row r="22">
      <c r="A22" s="2">
        <f>IFERROR(__xludf.DUMMYFUNCTION("""COMPUTED_VALUE"""),18.0)</f>
        <v>18</v>
      </c>
      <c r="B22" s="2" t="str">
        <f>IFERROR(__xludf.DUMMYFUNCTION("""COMPUTED_VALUE"""),"COMPLETED")</f>
        <v>COMPLETED</v>
      </c>
      <c r="C22" s="74">
        <f>IFERROR(__xludf.DUMMYFUNCTION("""COMPUTED_VALUE"""),45352.0)</f>
        <v>45352</v>
      </c>
      <c r="D22" s="71" t="str">
        <f>IFERROR(__xludf.DUMMYFUNCTION("""COMPUTED_VALUE"""),"ARENAS GRAIN FARMERS ASSOCIATION")</f>
        <v>ARENAS GRAIN FARMERS ASSOCIATION</v>
      </c>
      <c r="E22" s="71" t="str">
        <f>IFERROR(__xludf.DUMMYFUNCTION("""COMPUTED_VALUE"""),"Arenas, Arayat, PAMPANGA")</f>
        <v>Arenas, Arayat, PAMPANGA</v>
      </c>
      <c r="F22" s="2" t="str">
        <f>IFERROR(__xludf.DUMMYFUNCTION("""COMPUTED_VALUE"""),"MARLENE CANLAS")</f>
        <v>MARLENE CANLAS</v>
      </c>
      <c r="G22" s="2" t="str">
        <f>IFERROR(__xludf.DUMMYFUNCTION("""COMPUTED_VALUE"""),"+63 936 072 0513")</f>
        <v>+63 936 072 0513</v>
      </c>
      <c r="H22" s="2"/>
      <c r="I22" s="72" t="str">
        <f>IFERROR(__xludf.DUMMYFUNCTION("""COMPUTED_VALUE"""),"PMS")</f>
        <v>PMS</v>
      </c>
      <c r="J22" s="72" t="str">
        <f>IFERROR(__xludf.DUMMYFUNCTION("""COMPUTED_VALUE"""),"PMS")</f>
        <v>PMS</v>
      </c>
      <c r="K22" s="72" t="str">
        <f>IFERROR(__xludf.DUMMYFUNCTION("""COMPUTED_VALUE"""),"CHANGE OIL")</f>
        <v>CHANGE OIL</v>
      </c>
      <c r="L22" s="72" t="str">
        <f>IFERROR(__xludf.DUMMYFUNCTION("""COMPUTED_VALUE"""),"CHANGE OIL")</f>
        <v>CHANGE OIL</v>
      </c>
      <c r="M22" s="2"/>
      <c r="N22" s="2"/>
      <c r="O22" s="2" t="str">
        <f>IFERROR(__xludf.DUMMYFUNCTION("""COMPUTED_VALUE"""),"service report#1268")</f>
        <v>service report#1268</v>
      </c>
      <c r="P22" s="2"/>
      <c r="Q22" s="2"/>
      <c r="R22" s="74">
        <f>IFERROR(__xludf.DUMMYFUNCTION("""COMPUTED_VALUE"""),45352.0)</f>
        <v>45352</v>
      </c>
      <c r="S22" s="2" t="str">
        <f>IFERROR(__xludf.DUMMYFUNCTION("""COMPUTED_VALUE"""),"ON-CALLS / JC")</f>
        <v>ON-CALLS / JC</v>
      </c>
      <c r="T22" s="73">
        <f>IFERROR(__xludf.DUMMYFUNCTION("""COMPUTED_VALUE"""),5000.0)</f>
        <v>5000</v>
      </c>
      <c r="U22" s="73" t="str">
        <f>IFERROR(__xludf.DUMMYFUNCTION("""COMPUTED_VALUE""")," REMITTED ")</f>
        <v>REMITTED</v>
      </c>
      <c r="V22" s="2"/>
      <c r="W22" s="2"/>
      <c r="X22" s="2"/>
      <c r="Y22" s="2"/>
      <c r="Z22" s="2"/>
      <c r="AA22" s="2"/>
      <c r="AB22" s="2"/>
      <c r="AC22" s="2"/>
      <c r="AD22" s="2"/>
      <c r="AE22" s="2"/>
      <c r="AF22" s="2"/>
      <c r="AG22" s="2"/>
      <c r="AH22" s="2"/>
      <c r="AI22" s="2"/>
      <c r="AJ22" s="2" t="str">
        <f>IFERROR(__xludf.DUMMYFUNCTION("""COMPUTED_VALUE"""),"Arenas")</f>
        <v>Arenas</v>
      </c>
      <c r="AK22" s="2" t="str">
        <f>IFERROR(__xludf.DUMMYFUNCTION("""COMPUTED_VALUE"""),"Arayat")</f>
        <v>Arayat</v>
      </c>
      <c r="AL22" s="2" t="str">
        <f>IFERROR(__xludf.DUMMYFUNCTION("""COMPUTED_VALUE"""),"Pampanga")</f>
        <v>Pampanga</v>
      </c>
      <c r="AM22" s="2">
        <f>IFERROR(__xludf.DUMMYFUNCTION("""COMPUTED_VALUE"""),3.0)</f>
        <v>3</v>
      </c>
      <c r="AN22" s="2" t="str">
        <f>IFERROR(__xludf.DUMMYFUNCTION("""COMPUTED_VALUE"""),"RCEF 23-09-21 Rebidding")</f>
        <v>RCEF 23-09-21 Rebidding</v>
      </c>
      <c r="AO22" s="2">
        <f>IFERROR(__xludf.DUMMYFUNCTION("""COMPUTED_VALUE"""),3.0)</f>
        <v>3</v>
      </c>
      <c r="AP22" s="2"/>
      <c r="AQ22" s="2"/>
      <c r="AR22" s="2"/>
      <c r="AS22" s="2"/>
      <c r="AT22" s="2"/>
      <c r="AU22" s="2"/>
      <c r="AV22" s="2"/>
      <c r="AW22" s="2"/>
      <c r="AX22" s="2"/>
      <c r="AY22" s="2"/>
      <c r="AZ22" s="2"/>
      <c r="BA22" s="2"/>
      <c r="BB22" s="2"/>
    </row>
    <row r="23">
      <c r="A23" s="2">
        <f>IFERROR(__xludf.DUMMYFUNCTION("""COMPUTED_VALUE"""),19.0)</f>
        <v>19</v>
      </c>
      <c r="B23" s="2" t="str">
        <f>IFERROR(__xludf.DUMMYFUNCTION("""COMPUTED_VALUE"""),"COMPLETED")</f>
        <v>COMPLETED</v>
      </c>
      <c r="C23" s="74">
        <f>IFERROR(__xludf.DUMMYFUNCTION("""COMPUTED_VALUE"""),45355.0)</f>
        <v>45355</v>
      </c>
      <c r="D23" s="71" t="str">
        <f>IFERROR(__xludf.DUMMYFUNCTION("""COMPUTED_VALUE"""),"BAGUMBAYAN ORGANIC FARMER’S ASSOCIATION")</f>
        <v>BAGUMBAYAN ORGANIC FARMER’S ASSOCIATION</v>
      </c>
      <c r="E23" s="71" t="str">
        <f>IFERROR(__xludf.DUMMYFUNCTION("""COMPUTED_VALUE"""),"Bagumbayan, Santa Maria, Laguna")</f>
        <v>Bagumbayan, Santa Maria, Laguna</v>
      </c>
      <c r="F23" s="2" t="str">
        <f>IFERROR(__xludf.DUMMYFUNCTION("""COMPUTED_VALUE"""),"LORENZO MACASAET")</f>
        <v>LORENZO MACASAET</v>
      </c>
      <c r="G23" s="2"/>
      <c r="H23" s="2" t="str">
        <f>IFERROR(__xludf.DUMMYFUNCTION("""COMPUTED_VALUE"""),"22.7 HRS")</f>
        <v>22.7 HRS</v>
      </c>
      <c r="I23" s="72" t="str">
        <f>IFERROR(__xludf.DUMMYFUNCTION("""COMPUTED_VALUE"""),"REPAIR - ROTAVATOR")</f>
        <v>REPAIR - ROTAVATOR</v>
      </c>
      <c r="J23" s="72" t="str">
        <f>IFERROR(__xludf.DUMMYFUNCTION("""COMPUTED_VALUE"""),"Leak")</f>
        <v>Leak</v>
      </c>
      <c r="K23" s="72" t="str">
        <f>IFERROR(__xludf.DUMMYFUNCTION("""COMPUTED_VALUE"""),"HYDRAULIC LEAK BEHIND OPERATOR SEAT REASON NOT FUNCTIONING OF ROTAVATOR")</f>
        <v>HYDRAULIC LEAK BEHIND OPERATOR SEAT REASON NOT FUNCTIONING OF ROTAVATOR</v>
      </c>
      <c r="L23" s="72" t="str">
        <f>IFERROR(__xludf.DUMMYFUNCTION("""COMPUTED_VALUE"""),"ADJUST BOLT UPPER PART OF TRACTOR AND ADDITIONAL 15L HYDRAULIC OIL")</f>
        <v>ADJUST BOLT UPPER PART OF TRACTOR AND ADDITIONAL 15L HYDRAULIC OIL</v>
      </c>
      <c r="M23" s="2"/>
      <c r="N23" s="2"/>
      <c r="O23" s="2" t="str">
        <f>IFERROR(__xludf.DUMMYFUNCTION("""COMPUTED_VALUE"""),"service report#1269")</f>
        <v>service report#1269</v>
      </c>
      <c r="P23" s="2"/>
      <c r="Q23" s="2"/>
      <c r="R23" s="74">
        <f>IFERROR(__xludf.DUMMYFUNCTION("""COMPUTED_VALUE"""),45355.0)</f>
        <v>45355</v>
      </c>
      <c r="S23" s="2" t="str">
        <f>IFERROR(__xludf.DUMMYFUNCTION("""COMPUTED_VALUE"""),"CCB")</f>
        <v>CCB</v>
      </c>
      <c r="T23" s="73" t="str">
        <f>IFERROR(__xludf.DUMMYFUNCTION("""COMPUTED_VALUE""")," N/A ")</f>
        <v>N/A</v>
      </c>
      <c r="U23" s="73" t="str">
        <f>IFERROR(__xludf.DUMMYFUNCTION("""COMPUTED_VALUE""")," NO CHARGE ")</f>
        <v>NO CHARGE</v>
      </c>
      <c r="V23" s="2"/>
      <c r="W23" s="2" t="str">
        <f>IFERROR(__xludf.DUMMYFUNCTION("""COMPUTED_VALUE"""),"N/A")</f>
        <v>N/A</v>
      </c>
      <c r="X23" s="2" t="str">
        <f>IFERROR(__xludf.DUMMYFUNCTION("""COMPUTED_VALUE"""),"N/A")</f>
        <v>N/A</v>
      </c>
      <c r="Y23" s="2"/>
      <c r="Z23" s="2"/>
      <c r="AA23" s="2"/>
      <c r="AB23" s="2"/>
      <c r="AC23" s="2"/>
      <c r="AD23" s="2"/>
      <c r="AE23" s="2"/>
      <c r="AF23" s="2"/>
      <c r="AG23" s="2"/>
      <c r="AH23" s="2"/>
      <c r="AI23" s="2"/>
      <c r="AJ23" s="2" t="str">
        <f>IFERROR(__xludf.DUMMYFUNCTION("""COMPUTED_VALUE"""),"Bagumbayan")</f>
        <v>Bagumbayan</v>
      </c>
      <c r="AK23" s="2" t="str">
        <f>IFERROR(__xludf.DUMMYFUNCTION("""COMPUTED_VALUE"""),"Santa Maria")</f>
        <v>Santa Maria</v>
      </c>
      <c r="AL23" s="2" t="str">
        <f>IFERROR(__xludf.DUMMYFUNCTION("""COMPUTED_VALUE"""),"Laguna")</f>
        <v>Laguna</v>
      </c>
      <c r="AM23" s="2" t="str">
        <f>IFERROR(__xludf.DUMMYFUNCTION("""COMPUTED_VALUE"""),"4A")</f>
        <v>4A</v>
      </c>
      <c r="AN23" s="2" t="str">
        <f>IFERROR(__xludf.DUMMYFUNCTION("""COMPUTED_VALUE"""),"RCEF 23-08-20 Rebidding")</f>
        <v>RCEF 23-08-20 Rebidding</v>
      </c>
      <c r="AO23" s="2">
        <f>IFERROR(__xludf.DUMMYFUNCTION("""COMPUTED_VALUE"""),1.0)</f>
        <v>1</v>
      </c>
      <c r="AP23" s="2"/>
      <c r="AQ23" s="2"/>
      <c r="AR23" s="2"/>
      <c r="AS23" s="2"/>
      <c r="AT23" s="2"/>
      <c r="AU23" s="2"/>
      <c r="AV23" s="2"/>
      <c r="AW23" s="2"/>
      <c r="AX23" s="2"/>
      <c r="AY23" s="2"/>
      <c r="AZ23" s="2"/>
      <c r="BA23" s="2"/>
      <c r="BB23" s="2"/>
    </row>
    <row r="24">
      <c r="A24" s="2">
        <f>IFERROR(__xludf.DUMMYFUNCTION("""COMPUTED_VALUE"""),20.0)</f>
        <v>20</v>
      </c>
      <c r="B24" s="2" t="str">
        <f>IFERROR(__xludf.DUMMYFUNCTION("""COMPUTED_VALUE"""),"COMPLETED")</f>
        <v>COMPLETED</v>
      </c>
      <c r="C24" s="74">
        <f>IFERROR(__xludf.DUMMYFUNCTION("""COMPUTED_VALUE"""),45356.0)</f>
        <v>45356</v>
      </c>
      <c r="D24" s="71" t="str">
        <f>IFERROR(__xludf.DUMMYFUNCTION("""COMPUTED_VALUE"""),"FARMERS IRRIGATORS ASSOCATION POB. 2 PURA TARLAC, INC.")</f>
        <v>FARMERS IRRIGATORS ASSOCATION POB. 2 PURA TARLAC, INC.</v>
      </c>
      <c r="E24" s="71" t="str">
        <f>IFERROR(__xludf.DUMMYFUNCTION("""COMPUTED_VALUE"""),"Poblacion 2, Pura, TARLAC")</f>
        <v>Poblacion 2, Pura, TARLAC</v>
      </c>
      <c r="F24" s="2" t="str">
        <f>IFERROR(__xludf.DUMMYFUNCTION("""COMPUTED_VALUE"""),"DIONISIO JAVIER")</f>
        <v>DIONISIO JAVIER</v>
      </c>
      <c r="G24" s="2" t="str">
        <f>IFERROR(__xludf.DUMMYFUNCTION("""COMPUTED_VALUE"""),"0931-8097-583")</f>
        <v>0931-8097-583</v>
      </c>
      <c r="H24" s="2" t="str">
        <f>IFERROR(__xludf.DUMMYFUNCTION("""COMPUTED_VALUE"""),"32.7 HRS")</f>
        <v>32.7 HRS</v>
      </c>
      <c r="I24" s="72" t="str">
        <f>IFERROR(__xludf.DUMMYFUNCTION("""COMPUTED_VALUE"""),"REPAIR - TRACTOR")</f>
        <v>REPAIR - TRACTOR</v>
      </c>
      <c r="J24" s="72" t="str">
        <f>IFERROR(__xludf.DUMMYFUNCTION("""COMPUTED_VALUE"""),"Radiator")</f>
        <v>Radiator</v>
      </c>
      <c r="K24" s="72" t="str">
        <f>IFERROR(__xludf.DUMMYFUNCTION("""COMPUTED_VALUE""")," LEAK AT RADIATOR")</f>
        <v> LEAK AT RADIATOR</v>
      </c>
      <c r="L24" s="72" t="str">
        <f>IFERROR(__xludf.DUMMYFUNCTION("""COMPUTED_VALUE"""),"REPAIR LEAK")</f>
        <v>REPAIR LEAK</v>
      </c>
      <c r="M24" s="2"/>
      <c r="N24" s="2"/>
      <c r="O24" s="2" t="str">
        <f>IFERROR(__xludf.DUMMYFUNCTION("""COMPUTED_VALUE"""),"service report#1270")</f>
        <v>service report#1270</v>
      </c>
      <c r="P24" s="2"/>
      <c r="Q24" s="2"/>
      <c r="R24" s="74">
        <f>IFERROR(__xludf.DUMMYFUNCTION("""COMPUTED_VALUE"""),45356.0)</f>
        <v>45356</v>
      </c>
      <c r="S24" s="2" t="str">
        <f>IFERROR(__xludf.DUMMYFUNCTION("""COMPUTED_VALUE"""),"JHP")</f>
        <v>JHP</v>
      </c>
      <c r="T24" s="73" t="str">
        <f>IFERROR(__xludf.DUMMYFUNCTION("""COMPUTED_VALUE""")," N/A ")</f>
        <v>N/A</v>
      </c>
      <c r="U24" s="73" t="str">
        <f>IFERROR(__xludf.DUMMYFUNCTION("""COMPUTED_VALUE""")," NO CHARGE ")</f>
        <v>NO CHARGE</v>
      </c>
      <c r="V24" s="2"/>
      <c r="W24" s="2" t="str">
        <f>IFERROR(__xludf.DUMMYFUNCTION("""COMPUTED_VALUE"""),"N/A")</f>
        <v>N/A</v>
      </c>
      <c r="X24" s="2" t="str">
        <f>IFERROR(__xludf.DUMMYFUNCTION("""COMPUTED_VALUE"""),"N/A")</f>
        <v>N/A</v>
      </c>
      <c r="Y24" s="2"/>
      <c r="Z24" s="2"/>
      <c r="AA24" s="2"/>
      <c r="AB24" s="2"/>
      <c r="AC24" s="2"/>
      <c r="AD24" s="2"/>
      <c r="AE24" s="2"/>
      <c r="AF24" s="2"/>
      <c r="AG24" s="2"/>
      <c r="AH24" s="2"/>
      <c r="AI24" s="2" t="str">
        <f>IFERROR(__xludf.DUMMYFUNCTION("""COMPUTED_VALUE"""),"KMC5825ALPFPV0121")</f>
        <v>KMC5825ALPFPV0121</v>
      </c>
      <c r="AJ24" s="2" t="str">
        <f>IFERROR(__xludf.DUMMYFUNCTION("""COMPUTED_VALUE"""),"Poblacion 2")</f>
        <v>Poblacion 2</v>
      </c>
      <c r="AK24" s="2" t="str">
        <f>IFERROR(__xludf.DUMMYFUNCTION("""COMPUTED_VALUE"""),"Pura")</f>
        <v>Pura</v>
      </c>
      <c r="AL24" s="2" t="str">
        <f>IFERROR(__xludf.DUMMYFUNCTION("""COMPUTED_VALUE"""),"Tarlac")</f>
        <v>Tarlac</v>
      </c>
      <c r="AM24" s="2">
        <f>IFERROR(__xludf.DUMMYFUNCTION("""COMPUTED_VALUE"""),3.0)</f>
        <v>3</v>
      </c>
      <c r="AN24" s="2" t="str">
        <f>IFERROR(__xludf.DUMMYFUNCTION("""COMPUTED_VALUE"""),"RCEF 23-09-21 Rebidding")</f>
        <v>RCEF 23-09-21 Rebidding</v>
      </c>
      <c r="AO24" s="2">
        <f>IFERROR(__xludf.DUMMYFUNCTION("""COMPUTED_VALUE"""),3.0)</f>
        <v>3</v>
      </c>
      <c r="AP24" s="2"/>
      <c r="AQ24" s="2"/>
      <c r="AR24" s="2"/>
      <c r="AS24" s="2"/>
      <c r="AT24" s="2"/>
      <c r="AU24" s="2"/>
      <c r="AV24" s="2"/>
      <c r="AW24" s="2"/>
      <c r="AX24" s="2"/>
      <c r="AY24" s="2"/>
      <c r="AZ24" s="2"/>
      <c r="BA24" s="2"/>
      <c r="BB24" s="2"/>
    </row>
    <row r="25">
      <c r="A25" s="2">
        <f>IFERROR(__xludf.DUMMYFUNCTION("""COMPUTED_VALUE"""),21.0)</f>
        <v>21</v>
      </c>
      <c r="B25" s="2" t="str">
        <f>IFERROR(__xludf.DUMMYFUNCTION("""COMPUTED_VALUE"""),"COMPLETED")</f>
        <v>COMPLETED</v>
      </c>
      <c r="C25" s="74">
        <f>IFERROR(__xludf.DUMMYFUNCTION("""COMPUTED_VALUE"""),45358.0)</f>
        <v>45358</v>
      </c>
      <c r="D25" s="71" t="str">
        <f>IFERROR(__xludf.DUMMYFUNCTION("""COMPUTED_VALUE"""),"SAN PEDRO FARMERS ASSOCIATION")</f>
        <v>SAN PEDRO FARMERS ASSOCIATION</v>
      </c>
      <c r="E25" s="71" t="str">
        <f>IFERROR(__xludf.DUMMYFUNCTION("""COMPUTED_VALUE"""),"San Pedro (Pob.), Hermosa, BATAAN")</f>
        <v>San Pedro (Pob.), Hermosa, BATAAN</v>
      </c>
      <c r="F25" s="2" t="str">
        <f>IFERROR(__xludf.DUMMYFUNCTION("""COMPUTED_VALUE"""),"ALEJANDRO MOJICA")</f>
        <v>ALEJANDRO MOJICA</v>
      </c>
      <c r="G25" s="2" t="str">
        <f>IFERROR(__xludf.DUMMYFUNCTION("""COMPUTED_VALUE"""),"0920-8017-267")</f>
        <v>0920-8017-267</v>
      </c>
      <c r="H25" s="2" t="str">
        <f>IFERROR(__xludf.DUMMYFUNCTION("""COMPUTED_VALUE"""),"50 HRS")</f>
        <v>50 HRS</v>
      </c>
      <c r="I25" s="72" t="str">
        <f>IFERROR(__xludf.DUMMYFUNCTION("""COMPUTED_VALUE"""),"PMS")</f>
        <v>PMS</v>
      </c>
      <c r="J25" s="72" t="str">
        <f>IFERROR(__xludf.DUMMYFUNCTION("""COMPUTED_VALUE"""),"PMS")</f>
        <v>PMS</v>
      </c>
      <c r="K25" s="72" t="str">
        <f>IFERROR(__xludf.DUMMYFUNCTION("""COMPUTED_VALUE"""),"FIRST PMS 50 HRS ")</f>
        <v>FIRST PMS 50 HRS </v>
      </c>
      <c r="L25" s="72" t="str">
        <f>IFERROR(__xludf.DUMMYFUNCTION("""COMPUTED_VALUE"""),"CHANGE OIL/ DELIVERY OF TOOLS, COUNTER WEIGHTS AND CHECKING OF GPS")</f>
        <v>CHANGE OIL/ DELIVERY OF TOOLS, COUNTER WEIGHTS AND CHECKING OF GPS</v>
      </c>
      <c r="M25" s="2"/>
      <c r="N25" s="2"/>
      <c r="O25" s="2" t="str">
        <f>IFERROR(__xludf.DUMMYFUNCTION("""COMPUTED_VALUE"""),"service report#1271")</f>
        <v>service report#1271</v>
      </c>
      <c r="P25" s="2"/>
      <c r="Q25" s="2"/>
      <c r="R25" s="74">
        <f>IFERROR(__xludf.DUMMYFUNCTION("""COMPUTED_VALUE"""),45358.0)</f>
        <v>45358</v>
      </c>
      <c r="S25" s="2" t="str">
        <f>IFERROR(__xludf.DUMMYFUNCTION("""COMPUTED_VALUE"""),"JDP/EGT")</f>
        <v>JDP/EGT</v>
      </c>
      <c r="T25" s="73" t="str">
        <f>IFERROR(__xludf.DUMMYFUNCTION("""COMPUTED_VALUE""")," N/A ")</f>
        <v>N/A</v>
      </c>
      <c r="U25" s="73" t="str">
        <f>IFERROR(__xludf.DUMMYFUNCTION("""COMPUTED_VALUE""")," NO CHARGE ")</f>
        <v>NO CHARGE</v>
      </c>
      <c r="V25" s="2"/>
      <c r="W25" s="2" t="str">
        <f>IFERROR(__xludf.DUMMYFUNCTION("""COMPUTED_VALUE"""),"N/A")</f>
        <v>N/A</v>
      </c>
      <c r="X25" s="2" t="str">
        <f>IFERROR(__xludf.DUMMYFUNCTION("""COMPUTED_VALUE"""),"N/A")</f>
        <v>N/A</v>
      </c>
      <c r="Y25" s="2"/>
      <c r="Z25" s="2"/>
      <c r="AA25" s="2"/>
      <c r="AB25" s="2"/>
      <c r="AC25" s="2"/>
      <c r="AD25" s="2"/>
      <c r="AE25" s="2"/>
      <c r="AF25" s="2"/>
      <c r="AG25" s="2"/>
      <c r="AH25" s="2"/>
      <c r="AI25" s="2"/>
      <c r="AJ25" s="2" t="str">
        <f>IFERROR(__xludf.DUMMYFUNCTION("""COMPUTED_VALUE"""),"San Pedro (Pob.)")</f>
        <v>San Pedro (Pob.)</v>
      </c>
      <c r="AK25" s="2" t="str">
        <f>IFERROR(__xludf.DUMMYFUNCTION("""COMPUTED_VALUE"""),"Hermosa")</f>
        <v>Hermosa</v>
      </c>
      <c r="AL25" s="2" t="str">
        <f>IFERROR(__xludf.DUMMYFUNCTION("""COMPUTED_VALUE"""),"Bataan")</f>
        <v>Bataan</v>
      </c>
      <c r="AM25" s="2">
        <f>IFERROR(__xludf.DUMMYFUNCTION("""COMPUTED_VALUE"""),3.0)</f>
        <v>3</v>
      </c>
      <c r="AN25" s="2" t="str">
        <f>IFERROR(__xludf.DUMMYFUNCTION("""COMPUTED_VALUE"""),"RCEF 23-09-21 Rebidding")</f>
        <v>RCEF 23-09-21 Rebidding</v>
      </c>
      <c r="AO25" s="2">
        <f>IFERROR(__xludf.DUMMYFUNCTION("""COMPUTED_VALUE"""),3.0)</f>
        <v>3</v>
      </c>
      <c r="AP25" s="2"/>
      <c r="AQ25" s="2"/>
      <c r="AR25" s="2"/>
      <c r="AS25" s="2"/>
      <c r="AT25" s="2"/>
      <c r="AU25" s="2"/>
      <c r="AV25" s="2"/>
      <c r="AW25" s="2"/>
      <c r="AX25" s="2"/>
      <c r="AY25" s="2"/>
      <c r="AZ25" s="2"/>
      <c r="BA25" s="2"/>
      <c r="BB25" s="2"/>
    </row>
    <row r="26">
      <c r="A26" s="2">
        <f>IFERROR(__xludf.DUMMYFUNCTION("""COMPUTED_VALUE"""),22.0)</f>
        <v>22</v>
      </c>
      <c r="B26" s="2" t="str">
        <f>IFERROR(__xludf.DUMMYFUNCTION("""COMPUTED_VALUE"""),"COMPLETED")</f>
        <v>COMPLETED</v>
      </c>
      <c r="C26" s="74">
        <f>IFERROR(__xludf.DUMMYFUNCTION("""COMPUTED_VALUE"""),45359.0)</f>
        <v>45359</v>
      </c>
      <c r="D26" s="71" t="str">
        <f>IFERROR(__xludf.DUMMYFUNCTION("""COMPUTED_VALUE"""),"BARANGAY MALINAO FARMERS' ASSOCIATION")</f>
        <v>BARANGAY MALINAO FARMERS' ASSOCIATION</v>
      </c>
      <c r="E26" s="71" t="str">
        <f>IFERROR(__xludf.DUMMYFUNCTION("""COMPUTED_VALUE"""),"Malinao, Naujan, Oriental Mindoro")</f>
        <v>Malinao, Naujan, Oriental Mindoro</v>
      </c>
      <c r="F26" s="2" t="str">
        <f>IFERROR(__xludf.DUMMYFUNCTION("""COMPUTED_VALUE"""),"ERVIN GARILLO")</f>
        <v>ERVIN GARILLO</v>
      </c>
      <c r="G26" s="2" t="str">
        <f>IFERROR(__xludf.DUMMYFUNCTION("""COMPUTED_VALUE"""),"0956-911-1213")</f>
        <v>0956-911-1213</v>
      </c>
      <c r="H26" s="2"/>
      <c r="I26" s="72" t="str">
        <f>IFERROR(__xludf.DUMMYFUNCTION("""COMPUTED_VALUE"""),"REPAIR - TRACTOR")</f>
        <v>REPAIR - TRACTOR</v>
      </c>
      <c r="J26" s="72" t="str">
        <f>IFERROR(__xludf.DUMMYFUNCTION("""COMPUTED_VALUE"""),"Inspection")</f>
        <v>Inspection</v>
      </c>
      <c r="K26" s="72" t="str">
        <f>IFERROR(__xludf.DUMMYFUNCTION("""COMPUTED_VALUE"""),"FOR INSPECTION (3/21/24)")</f>
        <v>FOR INSPECTION (3/21/24)</v>
      </c>
      <c r="L26" s="72" t="str">
        <f>IFERROR(__xludf.DUMMYFUNCTION("""COMPUTED_VALUE"""),"UNIT INSPECTION AND FUNCTION DONE / ROTAVATOR INSPECTION / CULTIVATOR INSPECTION")</f>
        <v>UNIT INSPECTION AND FUNCTION DONE / ROTAVATOR INSPECTION / CULTIVATOR INSPECTION</v>
      </c>
      <c r="M26" s="2"/>
      <c r="N26" s="2"/>
      <c r="O26" s="2" t="str">
        <f>IFERROR(__xludf.DUMMYFUNCTION("""COMPUTED_VALUE"""),"cancelled service report#1274")</f>
        <v>cancelled service report#1274</v>
      </c>
      <c r="P26" s="2"/>
      <c r="Q26" s="2"/>
      <c r="R26" s="74">
        <f>IFERROR(__xludf.DUMMYFUNCTION("""COMPUTED_VALUE"""),45372.0)</f>
        <v>45372</v>
      </c>
      <c r="S26" s="2" t="str">
        <f>IFERROR(__xludf.DUMMYFUNCTION("""COMPUTED_VALUE"""),"RBS")</f>
        <v>RBS</v>
      </c>
      <c r="T26" s="73" t="str">
        <f>IFERROR(__xludf.DUMMYFUNCTION("""COMPUTED_VALUE""")," N/A ")</f>
        <v>N/A</v>
      </c>
      <c r="U26" s="73" t="str">
        <f>IFERROR(__xludf.DUMMYFUNCTION("""COMPUTED_VALUE""")," NO CHARGE ")</f>
        <v>NO CHARGE</v>
      </c>
      <c r="V26" s="2"/>
      <c r="W26" s="2" t="str">
        <f>IFERROR(__xludf.DUMMYFUNCTION("""COMPUTED_VALUE"""),"N/A")</f>
        <v>N/A</v>
      </c>
      <c r="X26" s="2" t="str">
        <f>IFERROR(__xludf.DUMMYFUNCTION("""COMPUTED_VALUE"""),"N/A")</f>
        <v>N/A</v>
      </c>
      <c r="Y26" s="2"/>
      <c r="Z26" s="2"/>
      <c r="AA26" s="2"/>
      <c r="AB26" s="2"/>
      <c r="AC26" s="2"/>
      <c r="AD26" s="2"/>
      <c r="AE26" s="2"/>
      <c r="AF26" s="2"/>
      <c r="AG26" s="2"/>
      <c r="AH26" s="2"/>
      <c r="AI26" s="2"/>
      <c r="AJ26" s="2" t="str">
        <f>IFERROR(__xludf.DUMMYFUNCTION("""COMPUTED_VALUE"""),"Malinao")</f>
        <v>Malinao</v>
      </c>
      <c r="AK26" s="2" t="str">
        <f>IFERROR(__xludf.DUMMYFUNCTION("""COMPUTED_VALUE"""),"Naujan")</f>
        <v>Naujan</v>
      </c>
      <c r="AL26" s="2" t="str">
        <f>IFERROR(__xludf.DUMMYFUNCTION("""COMPUTED_VALUE"""),"Oriental Mindoro")</f>
        <v>Oriental Mindoro</v>
      </c>
      <c r="AM26" s="2" t="str">
        <f>IFERROR(__xludf.DUMMYFUNCTION("""COMPUTED_VALUE"""),"4B")</f>
        <v>4B</v>
      </c>
      <c r="AN26" s="2" t="str">
        <f>IFERROR(__xludf.DUMMYFUNCTION("""COMPUTED_VALUE"""),"RCEF 23-08-20 Rebidding")</f>
        <v>RCEF 23-08-20 Rebidding</v>
      </c>
      <c r="AO26" s="2">
        <f>IFERROR(__xludf.DUMMYFUNCTION("""COMPUTED_VALUE"""),1.0)</f>
        <v>1</v>
      </c>
      <c r="AP26" s="2"/>
      <c r="AQ26" s="2"/>
      <c r="AR26" s="2"/>
      <c r="AS26" s="2"/>
      <c r="AT26" s="2"/>
      <c r="AU26" s="2"/>
      <c r="AV26" s="2"/>
      <c r="AW26" s="2"/>
      <c r="AX26" s="2"/>
      <c r="AY26" s="2"/>
      <c r="AZ26" s="2"/>
      <c r="BA26" s="2"/>
      <c r="BB26" s="2"/>
    </row>
    <row r="27">
      <c r="A27" s="2">
        <f>IFERROR(__xludf.DUMMYFUNCTION("""COMPUTED_VALUE"""),23.0)</f>
        <v>23</v>
      </c>
      <c r="B27" s="2" t="str">
        <f>IFERROR(__xludf.DUMMYFUNCTION("""COMPUTED_VALUE"""),"COMPLETED")</f>
        <v>COMPLETED</v>
      </c>
      <c r="C27" s="74">
        <f>IFERROR(__xludf.DUMMYFUNCTION("""COMPUTED_VALUE"""),45359.0)</f>
        <v>45359</v>
      </c>
      <c r="D27" s="71" t="str">
        <f>IFERROR(__xludf.DUMMYFUNCTION("""COMPUTED_VALUE"""),"GINTONG BUTIL FARMERS ASSOCIATION")</f>
        <v>GINTONG BUTIL FARMERS ASSOCIATION</v>
      </c>
      <c r="E27" s="71" t="str">
        <f>IFERROR(__xludf.DUMMYFUNCTION("""COMPUTED_VALUE"""),"PINAGTURIHAN, SANTA CRUZ, OCCIDENTAL MINDORO")</f>
        <v>PINAGTURIHAN, SANTA CRUZ, OCCIDENTAL MINDORO</v>
      </c>
      <c r="F27" s="2"/>
      <c r="G27" s="2"/>
      <c r="H27" s="2" t="str">
        <f>IFERROR(__xludf.DUMMYFUNCTION("""COMPUTED_VALUE"""),"400 HRS")</f>
        <v>400 HRS</v>
      </c>
      <c r="I27" s="72" t="str">
        <f>IFERROR(__xludf.DUMMYFUNCTION("""COMPUTED_VALUE"""),"SPARE PARTS ACQUISITION")</f>
        <v>SPARE PARTS ACQUISITION</v>
      </c>
      <c r="J27" s="72" t="str">
        <f>IFERROR(__xludf.DUMMYFUNCTION("""COMPUTED_VALUE"""),"SPARE PARTS ACQUISITION")</f>
        <v>SPARE PARTS ACQUISITION</v>
      </c>
      <c r="K27" s="72" t="str">
        <f>IFERROR(__xludf.DUMMYFUNCTION("""COMPUTED_VALUE""")," NEED 4 STUD FOR FRONT WHEEL TRACTOR; NEED AUTO AND MANUAL SWITCH FOR PTO; EXTRA OIL FILTER")</f>
        <v> NEED 4 STUD FOR FRONT WHEEL TRACTOR; NEED AUTO AND MANUAL SWITCH FOR PTO; EXTRA OIL FILTER</v>
      </c>
      <c r="L27" s="72" t="str">
        <f>IFERROR(__xludf.DUMMYFUNCTION("""COMPUTED_VALUE"""),"REPLACE PTO SWITCH AND 8 STUD; FCA C/O ENGINE OIL AND OIL  FILTER")</f>
        <v>REPLACE PTO SWITCH AND 8 STUD; FCA C/O ENGINE OIL AND OIL  FILTER</v>
      </c>
      <c r="M27" s="2" t="str">
        <f>IFERROR(__xludf.DUMMYFUNCTION("""COMPUTED_VALUE"""),"PTO SWITCH")</f>
        <v>PTO SWITCH</v>
      </c>
      <c r="N27" s="2" t="str">
        <f>IFERROR(__xludf.DUMMYFUNCTION("""COMPUTED_VALUE"""),"PTO SWITCH
ENGINE OIL
OIL FILTER")</f>
        <v>PTO SWITCH
ENGINE OIL
OIL FILTER</v>
      </c>
      <c r="O27" s="2" t="str">
        <f>IFERROR(__xludf.DUMMYFUNCTION("""COMPUTED_VALUE"""),"service report#1272")</f>
        <v>service report#1272</v>
      </c>
      <c r="P27" s="2"/>
      <c r="Q27" s="2"/>
      <c r="R27" s="74">
        <f>IFERROR(__xludf.DUMMYFUNCTION("""COMPUTED_VALUE"""),45366.0)</f>
        <v>45366</v>
      </c>
      <c r="S27" s="2" t="str">
        <f>IFERROR(__xludf.DUMMYFUNCTION("""COMPUTED_VALUE"""),"RCG/RBS")</f>
        <v>RCG/RBS</v>
      </c>
      <c r="T27" s="73">
        <f>IFERROR(__xludf.DUMMYFUNCTION("""COMPUTED_VALUE"""),25968.0)</f>
        <v>25968</v>
      </c>
      <c r="U27" s="73" t="str">
        <f>IFERROR(__xludf.DUMMYFUNCTION("""COMPUTED_VALUE""")," REMITTED ")</f>
        <v>REMITTED</v>
      </c>
      <c r="V27" s="2"/>
      <c r="W27" s="2"/>
      <c r="X27" s="2"/>
      <c r="Y27" s="2"/>
      <c r="Z27" s="2"/>
      <c r="AA27" s="2"/>
      <c r="AB27" s="2"/>
      <c r="AC27" s="2"/>
      <c r="AD27" s="2"/>
      <c r="AE27" s="2"/>
      <c r="AF27" s="2"/>
      <c r="AG27" s="2"/>
      <c r="AH27" s="2"/>
      <c r="AI27" s="2"/>
      <c r="AJ27" s="2" t="str">
        <f>IFERROR(__xludf.DUMMYFUNCTION("""COMPUTED_VALUE"""),"Pinagturihan")</f>
        <v>Pinagturihan</v>
      </c>
      <c r="AK27" s="2" t="str">
        <f>IFERROR(__xludf.DUMMYFUNCTION("""COMPUTED_VALUE"""),"Santa Cruz")</f>
        <v>Santa Cruz</v>
      </c>
      <c r="AL27" s="2" t="str">
        <f>IFERROR(__xludf.DUMMYFUNCTION("""COMPUTED_VALUE"""),"Occidental Mindoro")</f>
        <v>Occidental Mindoro</v>
      </c>
      <c r="AM27" s="2" t="str">
        <f>IFERROR(__xludf.DUMMYFUNCTION("""COMPUTED_VALUE"""),"4B")</f>
        <v>4B</v>
      </c>
      <c r="AN27" s="2" t="str">
        <f>IFERROR(__xludf.DUMMYFUNCTION("""COMPUTED_VALUE"""),"RCEF 23-08-20 Rebidding")</f>
        <v>RCEF 23-08-20 Rebidding</v>
      </c>
      <c r="AO27" s="2">
        <f>IFERROR(__xludf.DUMMYFUNCTION("""COMPUTED_VALUE"""),1.0)</f>
        <v>1</v>
      </c>
      <c r="AP27" s="2"/>
      <c r="AQ27" s="2"/>
      <c r="AR27" s="2"/>
      <c r="AS27" s="2"/>
      <c r="AT27" s="2"/>
      <c r="AU27" s="2"/>
      <c r="AV27" s="2"/>
      <c r="AW27" s="2"/>
      <c r="AX27" s="2"/>
      <c r="AY27" s="2"/>
      <c r="AZ27" s="2"/>
      <c r="BA27" s="2"/>
      <c r="BB27" s="2"/>
    </row>
    <row r="28">
      <c r="A28" s="2">
        <f>IFERROR(__xludf.DUMMYFUNCTION("""COMPUTED_VALUE"""),24.0)</f>
        <v>24</v>
      </c>
      <c r="B28" s="2" t="str">
        <f>IFERROR(__xludf.DUMMYFUNCTION("""COMPUTED_VALUE"""),"COMPLETED")</f>
        <v>COMPLETED</v>
      </c>
      <c r="C28" s="74">
        <f>IFERROR(__xludf.DUMMYFUNCTION("""COMPUTED_VALUE"""),45359.0)</f>
        <v>45359</v>
      </c>
      <c r="D28" s="71" t="str">
        <f>IFERROR(__xludf.DUMMYFUNCTION("""COMPUTED_VALUE"""),"GINTONG BUTIL FARMERS ASSOCIATION")</f>
        <v>GINTONG BUTIL FARMERS ASSOCIATION</v>
      </c>
      <c r="E28" s="71" t="str">
        <f>IFERROR(__xludf.DUMMYFUNCTION("""COMPUTED_VALUE"""),"PINAGTURIHAN, SANTA CRUZ, OCCIDENTAL MINDORO")</f>
        <v>PINAGTURIHAN, SANTA CRUZ, OCCIDENTAL MINDORO</v>
      </c>
      <c r="F28" s="2"/>
      <c r="G28" s="2"/>
      <c r="H28" s="2" t="str">
        <f>IFERROR(__xludf.DUMMYFUNCTION("""COMPUTED_VALUE"""),"400 HRS")</f>
        <v>400 HRS</v>
      </c>
      <c r="I28" s="72" t="str">
        <f>IFERROR(__xludf.DUMMYFUNCTION("""COMPUTED_VALUE"""),"PMS")</f>
        <v>PMS</v>
      </c>
      <c r="J28" s="72" t="str">
        <f>IFERROR(__xludf.DUMMYFUNCTION("""COMPUTED_VALUE"""),"PMS")</f>
        <v>PMS</v>
      </c>
      <c r="K28" s="72" t="str">
        <f>IFERROR(__xludf.DUMMYFUNCTION("""COMPUTED_VALUE"""),"2ND CHANGE OIL")</f>
        <v>2ND CHANGE OIL</v>
      </c>
      <c r="L28" s="72" t="str">
        <f>IFERROR(__xludf.DUMMYFUNCTION("""COMPUTED_VALUE"""),"CHANGE OIL")</f>
        <v>CHANGE OIL</v>
      </c>
      <c r="M28" s="2"/>
      <c r="N28" s="2"/>
      <c r="O28" s="2" t="str">
        <f>IFERROR(__xludf.DUMMYFUNCTION("""COMPUTED_VALUE"""),"service report#1273")</f>
        <v>service report#1273</v>
      </c>
      <c r="P28" s="2"/>
      <c r="Q28" s="2"/>
      <c r="R28" s="74">
        <f>IFERROR(__xludf.DUMMYFUNCTION("""COMPUTED_VALUE"""),45366.0)</f>
        <v>45366</v>
      </c>
      <c r="S28" s="2" t="str">
        <f>IFERROR(__xludf.DUMMYFUNCTION("""COMPUTED_VALUE"""),"RCG/RBS")</f>
        <v>RCG/RBS</v>
      </c>
      <c r="T28" s="73" t="str">
        <f>IFERROR(__xludf.DUMMYFUNCTION("""COMPUTED_VALUE""")," N/A ")</f>
        <v>N/A</v>
      </c>
      <c r="U28" s="73" t="str">
        <f>IFERROR(__xludf.DUMMYFUNCTION("""COMPUTED_VALUE""")," REMITTED ")</f>
        <v>REMITTED</v>
      </c>
      <c r="V28" s="2"/>
      <c r="W28" s="2"/>
      <c r="X28" s="2"/>
      <c r="Y28" s="2"/>
      <c r="Z28" s="2"/>
      <c r="AA28" s="2"/>
      <c r="AB28" s="2"/>
      <c r="AC28" s="2"/>
      <c r="AD28" s="2"/>
      <c r="AE28" s="2"/>
      <c r="AF28" s="2"/>
      <c r="AG28" s="2"/>
      <c r="AH28" s="2"/>
      <c r="AI28" s="2"/>
      <c r="AJ28" s="2" t="str">
        <f>IFERROR(__xludf.DUMMYFUNCTION("""COMPUTED_VALUE"""),"Pinagturihan")</f>
        <v>Pinagturihan</v>
      </c>
      <c r="AK28" s="2" t="str">
        <f>IFERROR(__xludf.DUMMYFUNCTION("""COMPUTED_VALUE"""),"Santa Cruz")</f>
        <v>Santa Cruz</v>
      </c>
      <c r="AL28" s="2" t="str">
        <f>IFERROR(__xludf.DUMMYFUNCTION("""COMPUTED_VALUE"""),"Occidental Mindoro")</f>
        <v>Occidental Mindoro</v>
      </c>
      <c r="AM28" s="2" t="str">
        <f>IFERROR(__xludf.DUMMYFUNCTION("""COMPUTED_VALUE"""),"4B")</f>
        <v>4B</v>
      </c>
      <c r="AN28" s="2" t="str">
        <f>IFERROR(__xludf.DUMMYFUNCTION("""COMPUTED_VALUE"""),"RCEF 23-08-20 Rebidding")</f>
        <v>RCEF 23-08-20 Rebidding</v>
      </c>
      <c r="AO28" s="2">
        <f>IFERROR(__xludf.DUMMYFUNCTION("""COMPUTED_VALUE"""),1.0)</f>
        <v>1</v>
      </c>
      <c r="AP28" s="2"/>
      <c r="AQ28" s="2"/>
      <c r="AR28" s="2"/>
      <c r="AS28" s="2"/>
      <c r="AT28" s="2"/>
      <c r="AU28" s="2"/>
      <c r="AV28" s="2"/>
      <c r="AW28" s="2"/>
      <c r="AX28" s="2"/>
      <c r="AY28" s="2"/>
      <c r="AZ28" s="2"/>
      <c r="BA28" s="2"/>
      <c r="BB28" s="2"/>
    </row>
    <row r="29">
      <c r="A29" s="2">
        <f>IFERROR(__xludf.DUMMYFUNCTION("""COMPUTED_VALUE"""),25.0)</f>
        <v>25</v>
      </c>
      <c r="B29" s="2" t="str">
        <f>IFERROR(__xludf.DUMMYFUNCTION("""COMPUTED_VALUE"""),"COMPLETED")</f>
        <v>COMPLETED</v>
      </c>
      <c r="C29" s="74">
        <f>IFERROR(__xludf.DUMMYFUNCTION("""COMPUTED_VALUE"""),45362.0)</f>
        <v>45362</v>
      </c>
      <c r="D29" s="71" t="str">
        <f>IFERROR(__xludf.DUMMYFUNCTION("""COMPUTED_VALUE"""),"SAMAHAN NG MGA MAGSASAKA NG BARANGAY BAYANAN II")</f>
        <v>SAMAHAN NG MGA MAGSASAKA NG BARANGAY BAYANAN II</v>
      </c>
      <c r="E29" s="71" t="str">
        <f>IFERROR(__xludf.DUMMYFUNCTION("""COMPUTED_VALUE"""),"Bayanan II, Calapan City, Oriental Mindoro")</f>
        <v>Bayanan II, Calapan City, Oriental Mindoro</v>
      </c>
      <c r="F29" s="2" t="str">
        <f>IFERROR(__xludf.DUMMYFUNCTION("""COMPUTED_VALUE"""),"EDGAR BALMES")</f>
        <v>EDGAR BALMES</v>
      </c>
      <c r="G29" s="2" t="str">
        <f>IFERROR(__xludf.DUMMYFUNCTION("""COMPUTED_VALUE"""),"0936-9401-320")</f>
        <v>0936-9401-320</v>
      </c>
      <c r="H29" s="2" t="str">
        <f>IFERROR(__xludf.DUMMYFUNCTION("""COMPUTED_VALUE"""),"49.5 HRS")</f>
        <v>49.5 HRS</v>
      </c>
      <c r="I29" s="72" t="str">
        <f>IFERROR(__xludf.DUMMYFUNCTION("""COMPUTED_VALUE"""),"PMS")</f>
        <v>PMS</v>
      </c>
      <c r="J29" s="72" t="str">
        <f>IFERROR(__xludf.DUMMYFUNCTION("""COMPUTED_VALUE"""),"PMS")</f>
        <v>PMS</v>
      </c>
      <c r="K29" s="72" t="str">
        <f>IFERROR(__xludf.DUMMYFUNCTION("""COMPUTED_VALUE"""),"FIRST PMS")</f>
        <v>FIRST PMS</v>
      </c>
      <c r="L29" s="72" t="str">
        <f>IFERROR(__xludf.DUMMYFUNCTION("""COMPUTED_VALUE"""),"CHANGE OIL")</f>
        <v>CHANGE OIL</v>
      </c>
      <c r="M29" s="2"/>
      <c r="N29" s="2"/>
      <c r="O29" s="2" t="str">
        <f>IFERROR(__xludf.DUMMYFUNCTION("""COMPUTED_VALUE"""),"service report#1275")</f>
        <v>service report#1275</v>
      </c>
      <c r="P29" s="2"/>
      <c r="Q29" s="2"/>
      <c r="R29" s="74">
        <f>IFERROR(__xludf.DUMMYFUNCTION("""COMPUTED_VALUE"""),45367.0)</f>
        <v>45367</v>
      </c>
      <c r="S29" s="2" t="str">
        <f>IFERROR(__xludf.DUMMYFUNCTION("""COMPUTED_VALUE"""),"RCG")</f>
        <v>RCG</v>
      </c>
      <c r="T29" s="73" t="str">
        <f>IFERROR(__xludf.DUMMYFUNCTION("""COMPUTED_VALUE""")," N/A ")</f>
        <v>N/A</v>
      </c>
      <c r="U29" s="73" t="str">
        <f>IFERROR(__xludf.DUMMYFUNCTION("""COMPUTED_VALUE""")," NO CHARGE ")</f>
        <v>NO CHARGE</v>
      </c>
      <c r="V29" s="2"/>
      <c r="W29" s="2" t="str">
        <f>IFERROR(__xludf.DUMMYFUNCTION("""COMPUTED_VALUE"""),"N/A")</f>
        <v>N/A</v>
      </c>
      <c r="X29" s="2" t="str">
        <f>IFERROR(__xludf.DUMMYFUNCTION("""COMPUTED_VALUE"""),"N/A")</f>
        <v>N/A</v>
      </c>
      <c r="Y29" s="2"/>
      <c r="Z29" s="2"/>
      <c r="AA29" s="2"/>
      <c r="AB29" s="2"/>
      <c r="AC29" s="2"/>
      <c r="AD29" s="2"/>
      <c r="AE29" s="2"/>
      <c r="AF29" s="2"/>
      <c r="AG29" s="2"/>
      <c r="AH29" s="2"/>
      <c r="AI29" s="2"/>
      <c r="AJ29" s="2" t="str">
        <f>IFERROR(__xludf.DUMMYFUNCTION("""COMPUTED_VALUE"""),"Bayanan Ii")</f>
        <v>Bayanan Ii</v>
      </c>
      <c r="AK29" s="2" t="str">
        <f>IFERROR(__xludf.DUMMYFUNCTION("""COMPUTED_VALUE"""),"Calapan City")</f>
        <v>Calapan City</v>
      </c>
      <c r="AL29" s="2" t="str">
        <f>IFERROR(__xludf.DUMMYFUNCTION("""COMPUTED_VALUE"""),"Oriental Mindoro")</f>
        <v>Oriental Mindoro</v>
      </c>
      <c r="AM29" s="2" t="str">
        <f>IFERROR(__xludf.DUMMYFUNCTION("""COMPUTED_VALUE"""),"4B")</f>
        <v>4B</v>
      </c>
      <c r="AN29" s="2" t="str">
        <f>IFERROR(__xludf.DUMMYFUNCTION("""COMPUTED_VALUE"""),"RCEF 23-08-20 Rebidding")</f>
        <v>RCEF 23-08-20 Rebidding</v>
      </c>
      <c r="AO29" s="2">
        <f>IFERROR(__xludf.DUMMYFUNCTION("""COMPUTED_VALUE"""),1.0)</f>
        <v>1</v>
      </c>
      <c r="AP29" s="2"/>
      <c r="AQ29" s="2"/>
      <c r="AR29" s="2"/>
      <c r="AS29" s="2"/>
      <c r="AT29" s="2"/>
      <c r="AU29" s="2"/>
      <c r="AV29" s="2"/>
      <c r="AW29" s="2"/>
      <c r="AX29" s="2"/>
      <c r="AY29" s="2"/>
      <c r="AZ29" s="2"/>
      <c r="BA29" s="2"/>
      <c r="BB29" s="2"/>
    </row>
    <row r="30">
      <c r="A30" s="2">
        <f>IFERROR(__xludf.DUMMYFUNCTION("""COMPUTED_VALUE"""),26.0)</f>
        <v>26</v>
      </c>
      <c r="B30" s="2" t="str">
        <f>IFERROR(__xludf.DUMMYFUNCTION("""COMPUTED_VALUE"""),"COMPLETED")</f>
        <v>COMPLETED</v>
      </c>
      <c r="C30" s="74">
        <f>IFERROR(__xludf.DUMMYFUNCTION("""COMPUTED_VALUE"""),45362.0)</f>
        <v>45362</v>
      </c>
      <c r="D30" s="71" t="str">
        <f>IFERROR(__xludf.DUMMYFUNCTION("""COMPUTED_VALUE"""),"PARADISE TELENG FARMERS IRRIGATORS ASSOCIATION INC")</f>
        <v>PARADISE TELENG FARMERS IRRIGATORS ASSOCIATION INC</v>
      </c>
      <c r="E30" s="71" t="str">
        <f>IFERROR(__xludf.DUMMYFUNCTION("""COMPUTED_VALUE"""),"Tigman, Aborlan, Palawan")</f>
        <v>Tigman, Aborlan, Palawan</v>
      </c>
      <c r="F30" s="2" t="str">
        <f>IFERROR(__xludf.DUMMYFUNCTION("""COMPUTED_VALUE"""),"LOURDES PADUGA")</f>
        <v>LOURDES PADUGA</v>
      </c>
      <c r="G30" s="2" t="str">
        <f>IFERROR(__xludf.DUMMYFUNCTION("""COMPUTED_VALUE"""),"0975-0285-877")</f>
        <v>0975-0285-877</v>
      </c>
      <c r="H30" s="2" t="str">
        <f>IFERROR(__xludf.DUMMYFUNCTION("""COMPUTED_VALUE"""),"50.7 HRS")</f>
        <v>50.7 HRS</v>
      </c>
      <c r="I30" s="72" t="str">
        <f>IFERROR(__xludf.DUMMYFUNCTION("""COMPUTED_VALUE"""),"PMS")</f>
        <v>PMS</v>
      </c>
      <c r="J30" s="72" t="str">
        <f>IFERROR(__xludf.DUMMYFUNCTION("""COMPUTED_VALUE"""),"PMS")</f>
        <v>PMS</v>
      </c>
      <c r="K30" s="72" t="str">
        <f>IFERROR(__xludf.DUMMYFUNCTION("""COMPUTED_VALUE"""),"FIRST PMS")</f>
        <v>FIRST PMS</v>
      </c>
      <c r="L30" s="72" t="str">
        <f>IFERROR(__xludf.DUMMYFUNCTION("""COMPUTED_VALUE"""),"CHANGE OIL: ENGINE OIL AND OIL FILTER C/O FCA")</f>
        <v>CHANGE OIL: ENGINE OIL AND OIL FILTER C/O FCA</v>
      </c>
      <c r="M30" s="2"/>
      <c r="N30" s="2"/>
      <c r="O30" s="2" t="str">
        <f>IFERROR(__xludf.DUMMYFUNCTION("""COMPUTED_VALUE"""),"service report#1276")</f>
        <v>service report#1276</v>
      </c>
      <c r="P30" s="2"/>
      <c r="Q30" s="2"/>
      <c r="R30" s="74">
        <f>IFERROR(__xludf.DUMMYFUNCTION("""COMPUTED_VALUE"""),45369.0)</f>
        <v>45369</v>
      </c>
      <c r="S30" s="2" t="str">
        <f>IFERROR(__xludf.DUMMYFUNCTION("""COMPUTED_VALUE"""),"RCG/DSD")</f>
        <v>RCG/DSD</v>
      </c>
      <c r="T30" s="73" t="str">
        <f>IFERROR(__xludf.DUMMYFUNCTION("""COMPUTED_VALUE""")," N/A ")</f>
        <v>N/A</v>
      </c>
      <c r="U30" s="73" t="str">
        <f>IFERROR(__xludf.DUMMYFUNCTION("""COMPUTED_VALUE""")," NO CHARGE ")</f>
        <v>NO CHARGE</v>
      </c>
      <c r="V30" s="2"/>
      <c r="W30" s="2" t="str">
        <f>IFERROR(__xludf.DUMMYFUNCTION("""COMPUTED_VALUE"""),"N/A")</f>
        <v>N/A</v>
      </c>
      <c r="X30" s="2" t="str">
        <f>IFERROR(__xludf.DUMMYFUNCTION("""COMPUTED_VALUE"""),"N/A")</f>
        <v>N/A</v>
      </c>
      <c r="Y30" s="2"/>
      <c r="Z30" s="2"/>
      <c r="AA30" s="2"/>
      <c r="AB30" s="2"/>
      <c r="AC30" s="2"/>
      <c r="AD30" s="2"/>
      <c r="AE30" s="2"/>
      <c r="AF30" s="2"/>
      <c r="AG30" s="2"/>
      <c r="AH30" s="2"/>
      <c r="AI30" s="2"/>
      <c r="AJ30" s="2" t="str">
        <f>IFERROR(__xludf.DUMMYFUNCTION("""COMPUTED_VALUE"""),"Tigman")</f>
        <v>Tigman</v>
      </c>
      <c r="AK30" s="2" t="str">
        <f>IFERROR(__xludf.DUMMYFUNCTION("""COMPUTED_VALUE"""),"Aborlan")</f>
        <v>Aborlan</v>
      </c>
      <c r="AL30" s="2" t="str">
        <f>IFERROR(__xludf.DUMMYFUNCTION("""COMPUTED_VALUE"""),"Palawan")</f>
        <v>Palawan</v>
      </c>
      <c r="AM30" s="2" t="str">
        <f>IFERROR(__xludf.DUMMYFUNCTION("""COMPUTED_VALUE"""),"4B")</f>
        <v>4B</v>
      </c>
      <c r="AN30" s="2" t="str">
        <f>IFERROR(__xludf.DUMMYFUNCTION("""COMPUTED_VALUE"""),"RCEF 23-08-20 Rebidding")</f>
        <v>RCEF 23-08-20 Rebidding</v>
      </c>
      <c r="AO30" s="2">
        <f>IFERROR(__xludf.DUMMYFUNCTION("""COMPUTED_VALUE"""),1.0)</f>
        <v>1</v>
      </c>
      <c r="AP30" s="2"/>
      <c r="AQ30" s="2"/>
      <c r="AR30" s="2"/>
      <c r="AS30" s="2"/>
      <c r="AT30" s="2"/>
      <c r="AU30" s="2"/>
      <c r="AV30" s="2"/>
      <c r="AW30" s="2"/>
      <c r="AX30" s="2"/>
      <c r="AY30" s="2"/>
      <c r="AZ30" s="2"/>
      <c r="BA30" s="2"/>
      <c r="BB30" s="2"/>
    </row>
    <row r="31">
      <c r="A31" s="2">
        <f>IFERROR(__xludf.DUMMYFUNCTION("""COMPUTED_VALUE"""),27.0)</f>
        <v>27</v>
      </c>
      <c r="B31" s="2" t="str">
        <f>IFERROR(__xludf.DUMMYFUNCTION("""COMPUTED_VALUE"""),"COMPLETED")</f>
        <v>COMPLETED</v>
      </c>
      <c r="C31" s="74">
        <f>IFERROR(__xludf.DUMMYFUNCTION("""COMPUTED_VALUE"""),45363.0)</f>
        <v>45363</v>
      </c>
      <c r="D31" s="71" t="str">
        <f>IFERROR(__xludf.DUMMYFUNCTION("""COMPUTED_VALUE"""),"GREATEST MANIMAS FARMERS AND FISHERFOLKS ASSOCIATION")</f>
        <v>GREATEST MANIMAS FARMERS AND FISHERFOLKS ASSOCIATION</v>
      </c>
      <c r="E31" s="71" t="str">
        <f>IFERROR(__xludf.DUMMYFUNCTION("""COMPUTED_VALUE"""),"Cataning, Balanga City, BATAAN")</f>
        <v>Cataning, Balanga City, BATAAN</v>
      </c>
      <c r="F31" s="2"/>
      <c r="G31" s="2"/>
      <c r="H31" s="2" t="str">
        <f>IFERROR(__xludf.DUMMYFUNCTION("""COMPUTED_VALUE"""),"50 HRS")</f>
        <v>50 HRS</v>
      </c>
      <c r="I31" s="72" t="str">
        <f>IFERROR(__xludf.DUMMYFUNCTION("""COMPUTED_VALUE"""),"PMS")</f>
        <v>PMS</v>
      </c>
      <c r="J31" s="72" t="str">
        <f>IFERROR(__xludf.DUMMYFUNCTION("""COMPUTED_VALUE"""),"PMS")</f>
        <v>PMS</v>
      </c>
      <c r="K31" s="72" t="str">
        <f>IFERROR(__xludf.DUMMYFUNCTION("""COMPUTED_VALUE"""),"FIRST PMS")</f>
        <v>FIRST PMS</v>
      </c>
      <c r="L31" s="72" t="str">
        <f>IFERROR(__xludf.DUMMYFUNCTION("""COMPUTED_VALUE"""),"CHANGE OIL: ENGINE OIL C/O FCA")</f>
        <v>CHANGE OIL: ENGINE OIL C/O FCA</v>
      </c>
      <c r="M31" s="2"/>
      <c r="N31" s="2"/>
      <c r="O31" s="2" t="str">
        <f>IFERROR(__xludf.DUMMYFUNCTION("""COMPUTED_VALUE"""),"service report#1277")</f>
        <v>service report#1277</v>
      </c>
      <c r="P31" s="2"/>
      <c r="Q31" s="2"/>
      <c r="R31" s="74">
        <f>IFERROR(__xludf.DUMMYFUNCTION("""COMPUTED_VALUE"""),45365.0)</f>
        <v>45365</v>
      </c>
      <c r="S31" s="2" t="str">
        <f>IFERROR(__xludf.DUMMYFUNCTION("""COMPUTED_VALUE"""),"JDP/EGT")</f>
        <v>JDP/EGT</v>
      </c>
      <c r="T31" s="73" t="str">
        <f>IFERROR(__xludf.DUMMYFUNCTION("""COMPUTED_VALUE""")," N/A ")</f>
        <v>N/A</v>
      </c>
      <c r="U31" s="73" t="str">
        <f>IFERROR(__xludf.DUMMYFUNCTION("""COMPUTED_VALUE""")," NO CHARGE ")</f>
        <v>NO CHARGE</v>
      </c>
      <c r="V31" s="2"/>
      <c r="W31" s="2" t="str">
        <f>IFERROR(__xludf.DUMMYFUNCTION("""COMPUTED_VALUE"""),"N/A")</f>
        <v>N/A</v>
      </c>
      <c r="X31" s="2" t="str">
        <f>IFERROR(__xludf.DUMMYFUNCTION("""COMPUTED_VALUE"""),"N/A")</f>
        <v>N/A</v>
      </c>
      <c r="Y31" s="2"/>
      <c r="Z31" s="2"/>
      <c r="AA31" s="2"/>
      <c r="AB31" s="2"/>
      <c r="AC31" s="2"/>
      <c r="AD31" s="2"/>
      <c r="AE31" s="2"/>
      <c r="AF31" s="2"/>
      <c r="AG31" s="2"/>
      <c r="AH31" s="2"/>
      <c r="AI31" s="2"/>
      <c r="AJ31" s="2" t="str">
        <f>IFERROR(__xludf.DUMMYFUNCTION("""COMPUTED_VALUE"""),"Cataning")</f>
        <v>Cataning</v>
      </c>
      <c r="AK31" s="2" t="str">
        <f>IFERROR(__xludf.DUMMYFUNCTION("""COMPUTED_VALUE"""),"Balanga City")</f>
        <v>Balanga City</v>
      </c>
      <c r="AL31" s="2" t="str">
        <f>IFERROR(__xludf.DUMMYFUNCTION("""COMPUTED_VALUE"""),"Bataan")</f>
        <v>Bataan</v>
      </c>
      <c r="AM31" s="2">
        <f>IFERROR(__xludf.DUMMYFUNCTION("""COMPUTED_VALUE"""),3.0)</f>
        <v>3</v>
      </c>
      <c r="AN31" s="2" t="str">
        <f>IFERROR(__xludf.DUMMYFUNCTION("""COMPUTED_VALUE"""),"RCEF 23-09-21 Rebidding")</f>
        <v>RCEF 23-09-21 Rebidding</v>
      </c>
      <c r="AO31" s="2">
        <f>IFERROR(__xludf.DUMMYFUNCTION("""COMPUTED_VALUE"""),3.0)</f>
        <v>3</v>
      </c>
      <c r="AP31" s="2"/>
      <c r="AQ31" s="2"/>
      <c r="AR31" s="2"/>
      <c r="AS31" s="2"/>
      <c r="AT31" s="2"/>
      <c r="AU31" s="2"/>
      <c r="AV31" s="2"/>
      <c r="AW31" s="2"/>
      <c r="AX31" s="2"/>
      <c r="AY31" s="2"/>
      <c r="AZ31" s="2"/>
      <c r="BA31" s="2"/>
      <c r="BB31" s="2"/>
    </row>
    <row r="32">
      <c r="A32" s="2">
        <f>IFERROR(__xludf.DUMMYFUNCTION("""COMPUTED_VALUE"""),28.0)</f>
        <v>28</v>
      </c>
      <c r="B32" s="2" t="str">
        <f>IFERROR(__xludf.DUMMYFUNCTION("""COMPUTED_VALUE"""),"COMPLETED")</f>
        <v>COMPLETED</v>
      </c>
      <c r="C32" s="74">
        <f>IFERROR(__xludf.DUMMYFUNCTION("""COMPUTED_VALUE"""),45363.0)</f>
        <v>45363</v>
      </c>
      <c r="D32" s="71" t="str">
        <f>IFERROR(__xludf.DUMMYFUNCTION("""COMPUTED_VALUE"""),"GINTONG SAMAHAN NG MAGSASAKA NG PAGALANGGANG")</f>
        <v>GINTONG SAMAHAN NG MAGSASAKA NG PAGALANGGANG</v>
      </c>
      <c r="E32" s="71" t="str">
        <f>IFERROR(__xludf.DUMMYFUNCTION("""COMPUTED_VALUE"""),"Pagalanggang, Dinalupihan, BATAAN")</f>
        <v>Pagalanggang, Dinalupihan, BATAAN</v>
      </c>
      <c r="F32" s="2" t="str">
        <f>IFERROR(__xludf.DUMMYFUNCTION("""COMPUTED_VALUE"""),"EDUARDO M. DE GUZMAN")</f>
        <v>EDUARDO M. DE GUZMAN</v>
      </c>
      <c r="G32" s="2" t="str">
        <f>IFERROR(__xludf.DUMMYFUNCTION("""COMPUTED_VALUE"""),"0999-429-7657")</f>
        <v>0999-429-7657</v>
      </c>
      <c r="H32" s="2" t="str">
        <f>IFERROR(__xludf.DUMMYFUNCTION("""COMPUTED_VALUE"""),"39 HRS")</f>
        <v>39 HRS</v>
      </c>
      <c r="I32" s="72" t="str">
        <f>IFERROR(__xludf.DUMMYFUNCTION("""COMPUTED_VALUE"""),"TRAINING REQUEST")</f>
        <v>TRAINING REQUEST</v>
      </c>
      <c r="J32" s="72" t="str">
        <f>IFERROR(__xludf.DUMMYFUNCTION("""COMPUTED_VALUE"""),"TRAINING REQUEST")</f>
        <v>TRAINING REQUEST</v>
      </c>
      <c r="K32" s="72" t="str">
        <f>IFERROR(__xludf.DUMMYFUNCTION("""COMPUTED_VALUE"""),"ERP: ASSISTANCE AT FRONT LOADER")</f>
        <v>ERP: ASSISTANCE AT FRONT LOADER</v>
      </c>
      <c r="L32" s="72" t="str">
        <f>IFERROR(__xludf.DUMMYFUNCTION("""COMPUTED_VALUE"""),"DISASSEMBLE OF FRONT LOADER; INSTALLATION OF COUNTER WEIGHTS; FIX STOP LIGHT OF TRACTOR")</f>
        <v>DISASSEMBLE OF FRONT LOADER; INSTALLATION OF COUNTER WEIGHTS; FIX STOP LIGHT OF TRACTOR</v>
      </c>
      <c r="M32" s="2"/>
      <c r="N32" s="2"/>
      <c r="O32" s="2" t="str">
        <f>IFERROR(__xludf.DUMMYFUNCTION("""COMPUTED_VALUE"""),"service report#1279")</f>
        <v>service report#1279</v>
      </c>
      <c r="P32" s="2"/>
      <c r="Q32" s="2"/>
      <c r="R32" s="74">
        <f>IFERROR(__xludf.DUMMYFUNCTION("""COMPUTED_VALUE"""),45365.0)</f>
        <v>45365</v>
      </c>
      <c r="S32" s="2" t="str">
        <f>IFERROR(__xludf.DUMMYFUNCTION("""COMPUTED_VALUE"""),"JDP/EGT")</f>
        <v>JDP/EGT</v>
      </c>
      <c r="T32" s="73" t="str">
        <f>IFERROR(__xludf.DUMMYFUNCTION("""COMPUTED_VALUE""")," N/A ")</f>
        <v>N/A</v>
      </c>
      <c r="U32" s="73" t="str">
        <f>IFERROR(__xludf.DUMMYFUNCTION("""COMPUTED_VALUE""")," NO CHARGE ")</f>
        <v>NO CHARGE</v>
      </c>
      <c r="V32" s="2"/>
      <c r="W32" s="2" t="str">
        <f>IFERROR(__xludf.DUMMYFUNCTION("""COMPUTED_VALUE"""),"N/A")</f>
        <v>N/A</v>
      </c>
      <c r="X32" s="2" t="str">
        <f>IFERROR(__xludf.DUMMYFUNCTION("""COMPUTED_VALUE"""),"N/A")</f>
        <v>N/A</v>
      </c>
      <c r="Y32" s="2"/>
      <c r="Z32" s="2"/>
      <c r="AA32" s="2"/>
      <c r="AB32" s="2"/>
      <c r="AC32" s="2"/>
      <c r="AD32" s="2"/>
      <c r="AE32" s="2"/>
      <c r="AF32" s="2"/>
      <c r="AG32" s="2"/>
      <c r="AH32" s="2"/>
      <c r="AI32" s="2"/>
      <c r="AJ32" s="2" t="str">
        <f>IFERROR(__xludf.DUMMYFUNCTION("""COMPUTED_VALUE"""),"Pagalanggang")</f>
        <v>Pagalanggang</v>
      </c>
      <c r="AK32" s="2" t="str">
        <f>IFERROR(__xludf.DUMMYFUNCTION("""COMPUTED_VALUE"""),"Dinalupihan")</f>
        <v>Dinalupihan</v>
      </c>
      <c r="AL32" s="2" t="str">
        <f>IFERROR(__xludf.DUMMYFUNCTION("""COMPUTED_VALUE"""),"Bataan")</f>
        <v>Bataan</v>
      </c>
      <c r="AM32" s="2">
        <f>IFERROR(__xludf.DUMMYFUNCTION("""COMPUTED_VALUE"""),3.0)</f>
        <v>3</v>
      </c>
      <c r="AN32" s="2" t="str">
        <f>IFERROR(__xludf.DUMMYFUNCTION("""COMPUTED_VALUE"""),"RCEF 23-09-21 Rebidding")</f>
        <v>RCEF 23-09-21 Rebidding</v>
      </c>
      <c r="AO32" s="2">
        <f>IFERROR(__xludf.DUMMYFUNCTION("""COMPUTED_VALUE"""),3.0)</f>
        <v>3</v>
      </c>
      <c r="AP32" s="2"/>
      <c r="AQ32" s="2"/>
      <c r="AR32" s="2"/>
      <c r="AS32" s="2"/>
      <c r="AT32" s="2"/>
      <c r="AU32" s="2"/>
      <c r="AV32" s="2"/>
      <c r="AW32" s="2"/>
      <c r="AX32" s="2"/>
      <c r="AY32" s="2"/>
      <c r="AZ32" s="2"/>
      <c r="BA32" s="2"/>
      <c r="BB32" s="2"/>
    </row>
    <row r="33">
      <c r="A33" s="2">
        <f>IFERROR(__xludf.DUMMYFUNCTION("""COMPUTED_VALUE"""),29.0)</f>
        <v>29</v>
      </c>
      <c r="B33" s="2" t="str">
        <f>IFERROR(__xludf.DUMMYFUNCTION("""COMPUTED_VALUE"""),"COMPLETED")</f>
        <v>COMPLETED</v>
      </c>
      <c r="C33" s="74">
        <f>IFERROR(__xludf.DUMMYFUNCTION("""COMPUTED_VALUE"""),45363.0)</f>
        <v>45363</v>
      </c>
      <c r="D33" s="71" t="str">
        <f>IFERROR(__xludf.DUMMYFUNCTION("""COMPUTED_VALUE"""),"BAGONG BUHAY FARMERS ASSOCIATION")</f>
        <v>BAGONG BUHAY FARMERS ASSOCIATION</v>
      </c>
      <c r="E33" s="71" t="str">
        <f>IFERROR(__xludf.DUMMYFUNCTION("""COMPUTED_VALUE"""),"Bagong Buhay, naujan, Oriental Mindoro")</f>
        <v>Bagong Buhay, naujan, Oriental Mindoro</v>
      </c>
      <c r="F33" s="2" t="str">
        <f>IFERROR(__xludf.DUMMYFUNCTION("""COMPUTED_VALUE"""),"ERLIN PARAY")</f>
        <v>ERLIN PARAY</v>
      </c>
      <c r="G33" s="2" t="str">
        <f>IFERROR(__xludf.DUMMYFUNCTION("""COMPUTED_VALUE"""),"906-334-3277")</f>
        <v>906-334-3277</v>
      </c>
      <c r="H33" s="2" t="str">
        <f>IFERROR(__xludf.DUMMYFUNCTION("""COMPUTED_VALUE"""),"50 HRS")</f>
        <v>50 HRS</v>
      </c>
      <c r="I33" s="72" t="str">
        <f>IFERROR(__xludf.DUMMYFUNCTION("""COMPUTED_VALUE"""),"PMS")</f>
        <v>PMS</v>
      </c>
      <c r="J33" s="72" t="str">
        <f>IFERROR(__xludf.DUMMYFUNCTION("""COMPUTED_VALUE"""),"PMS")</f>
        <v>PMS</v>
      </c>
      <c r="K33" s="72" t="str">
        <f>IFERROR(__xludf.DUMMYFUNCTION("""COMPUTED_VALUE"""),"FIRST PMS")</f>
        <v>FIRST PMS</v>
      </c>
      <c r="L33" s="72" t="str">
        <f>IFERROR(__xludf.DUMMYFUNCTION("""COMPUTED_VALUE"""),"CHANGE OIL")</f>
        <v>CHANGE OIL</v>
      </c>
      <c r="M33" s="2"/>
      <c r="N33" s="2"/>
      <c r="O33" s="2" t="str">
        <f>IFERROR(__xludf.DUMMYFUNCTION("""COMPUTED_VALUE"""),"service report#1278")</f>
        <v>service report#1278</v>
      </c>
      <c r="P33" s="2"/>
      <c r="Q33" s="2"/>
      <c r="R33" s="74">
        <f>IFERROR(__xludf.DUMMYFUNCTION("""COMPUTED_VALUE"""),45367.0)</f>
        <v>45367</v>
      </c>
      <c r="S33" s="2" t="str">
        <f>IFERROR(__xludf.DUMMYFUNCTION("""COMPUTED_VALUE"""),"RCG")</f>
        <v>RCG</v>
      </c>
      <c r="T33" s="73" t="str">
        <f>IFERROR(__xludf.DUMMYFUNCTION("""COMPUTED_VALUE""")," N/A ")</f>
        <v>N/A</v>
      </c>
      <c r="U33" s="73" t="str">
        <f>IFERROR(__xludf.DUMMYFUNCTION("""COMPUTED_VALUE""")," NO CHARGE ")</f>
        <v>NO CHARGE</v>
      </c>
      <c r="V33" s="2"/>
      <c r="W33" s="2" t="str">
        <f>IFERROR(__xludf.DUMMYFUNCTION("""COMPUTED_VALUE"""),"N/A")</f>
        <v>N/A</v>
      </c>
      <c r="X33" s="2" t="str">
        <f>IFERROR(__xludf.DUMMYFUNCTION("""COMPUTED_VALUE"""),"N/A")</f>
        <v>N/A</v>
      </c>
      <c r="Y33" s="2"/>
      <c r="Z33" s="2"/>
      <c r="AA33" s="2"/>
      <c r="AB33" s="2"/>
      <c r="AC33" s="2"/>
      <c r="AD33" s="2"/>
      <c r="AE33" s="2"/>
      <c r="AF33" s="2"/>
      <c r="AG33" s="2"/>
      <c r="AH33" s="2"/>
      <c r="AI33" s="2"/>
      <c r="AJ33" s="2" t="str">
        <f>IFERROR(__xludf.DUMMYFUNCTION("""COMPUTED_VALUE"""),"Bagong Buhay")</f>
        <v>Bagong Buhay</v>
      </c>
      <c r="AK33" s="2" t="str">
        <f>IFERROR(__xludf.DUMMYFUNCTION("""COMPUTED_VALUE"""),"Naujan")</f>
        <v>Naujan</v>
      </c>
      <c r="AL33" s="2" t="str">
        <f>IFERROR(__xludf.DUMMYFUNCTION("""COMPUTED_VALUE"""),"Oriental Mindoro")</f>
        <v>Oriental Mindoro</v>
      </c>
      <c r="AM33" s="2" t="str">
        <f>IFERROR(__xludf.DUMMYFUNCTION("""COMPUTED_VALUE"""),"4B")</f>
        <v>4B</v>
      </c>
      <c r="AN33" s="2" t="str">
        <f>IFERROR(__xludf.DUMMYFUNCTION("""COMPUTED_VALUE"""),"RCEF 23-08-20 Rebidding")</f>
        <v>RCEF 23-08-20 Rebidding</v>
      </c>
      <c r="AO33" s="2">
        <f>IFERROR(__xludf.DUMMYFUNCTION("""COMPUTED_VALUE"""),1.0)</f>
        <v>1</v>
      </c>
      <c r="AP33" s="2"/>
      <c r="AQ33" s="2"/>
      <c r="AR33" s="2"/>
      <c r="AS33" s="2"/>
      <c r="AT33" s="2"/>
      <c r="AU33" s="2"/>
      <c r="AV33" s="2"/>
      <c r="AW33" s="2"/>
      <c r="AX33" s="2"/>
      <c r="AY33" s="2"/>
      <c r="AZ33" s="2"/>
      <c r="BA33" s="2"/>
      <c r="BB33" s="2"/>
    </row>
    <row r="34">
      <c r="A34" s="2">
        <f>IFERROR(__xludf.DUMMYFUNCTION("""COMPUTED_VALUE"""),30.0)</f>
        <v>30</v>
      </c>
      <c r="B34" s="2" t="str">
        <f>IFERROR(__xludf.DUMMYFUNCTION("""COMPUTED_VALUE"""),"COMPLETED")</f>
        <v>COMPLETED</v>
      </c>
      <c r="C34" s="74">
        <f>IFERROR(__xludf.DUMMYFUNCTION("""COMPUTED_VALUE"""),45364.0)</f>
        <v>45364</v>
      </c>
      <c r="D34" s="71" t="str">
        <f>IFERROR(__xludf.DUMMYFUNCTION("""COMPUTED_VALUE"""),"Tenejero Pulilan Farmers Association")</f>
        <v>Tenejero Pulilan Farmers Association</v>
      </c>
      <c r="E34" s="71" t="str">
        <f>IFERROR(__xludf.DUMMYFUNCTION("""COMPUTED_VALUE"""),"Tinejero, Pulilan, BULACAN")</f>
        <v>Tinejero, Pulilan, BULACAN</v>
      </c>
      <c r="F34" s="2" t="str">
        <f>IFERROR(__xludf.DUMMYFUNCTION("""COMPUTED_VALUE"""),"JOSELITO C. ARCEO")</f>
        <v>JOSELITO C. ARCEO</v>
      </c>
      <c r="G34" s="2" t="str">
        <f>IFERROR(__xludf.DUMMYFUNCTION("""COMPUTED_VALUE"""),"0933-865-9182")</f>
        <v>0933-865-9182</v>
      </c>
      <c r="H34" s="2" t="str">
        <f>IFERROR(__xludf.DUMMYFUNCTION("""COMPUTED_VALUE"""),"8.8 HRS")</f>
        <v>8.8 HRS</v>
      </c>
      <c r="I34" s="72" t="str">
        <f>IFERROR(__xludf.DUMMYFUNCTION("""COMPUTED_VALUE"""),"REPAIR - TRACTOR")</f>
        <v>REPAIR - TRACTOR</v>
      </c>
      <c r="J34" s="72" t="str">
        <f>IFERROR(__xludf.DUMMYFUNCTION("""COMPUTED_VALUE"""),"Electrical - PTO Switch")</f>
        <v>Electrical - PTO Switch</v>
      </c>
      <c r="K34" s="72" t="str">
        <f>IFERROR(__xludf.DUMMYFUNCTION("""COMPUTED_VALUE"""),"JHP: SIRA ANG PTO SWITCH")</f>
        <v>JHP: SIRA ANG PTO SWITCH</v>
      </c>
      <c r="L34" s="72" t="str">
        <f>IFERROR(__xludf.DUMMYFUNCTION("""COMPUTED_VALUE"""),"EGT: REPLACEMENT OF PTO SWITCH")</f>
        <v>EGT: REPLACEMENT OF PTO SWITCH</v>
      </c>
      <c r="M34" s="2" t="str">
        <f>IFERROR(__xludf.DUMMYFUNCTION("""COMPUTED_VALUE"""),"PTO SWITCH")</f>
        <v>PTO SWITCH</v>
      </c>
      <c r="N34" s="2" t="str">
        <f>IFERROR(__xludf.DUMMYFUNCTION("""COMPUTED_VALUE""")," PTO SWITCH")</f>
        <v> PTO SWITCH</v>
      </c>
      <c r="O34" s="2" t="str">
        <f>IFERROR(__xludf.DUMMYFUNCTION("""COMPUTED_VALUE"""),"service report#1280")</f>
        <v>service report#1280</v>
      </c>
      <c r="P34" s="2"/>
      <c r="Q34" s="2"/>
      <c r="R34" s="74">
        <f>IFERROR(__xludf.DUMMYFUNCTION("""COMPUTED_VALUE"""),45366.0)</f>
        <v>45366</v>
      </c>
      <c r="S34" s="2" t="str">
        <f>IFERROR(__xludf.DUMMYFUNCTION("""COMPUTED_VALUE"""),"EGT")</f>
        <v>EGT</v>
      </c>
      <c r="T34" s="73" t="str">
        <f>IFERROR(__xludf.DUMMYFUNCTION("""COMPUTED_VALUE""")," N/A ")</f>
        <v>N/A</v>
      </c>
      <c r="U34" s="73" t="str">
        <f>IFERROR(__xludf.DUMMYFUNCTION("""COMPUTED_VALUE""")," NO CHARGE ")</f>
        <v>NO CHARGE</v>
      </c>
      <c r="V34" s="2"/>
      <c r="W34" s="2" t="str">
        <f>IFERROR(__xludf.DUMMYFUNCTION("""COMPUTED_VALUE"""),"N/A")</f>
        <v>N/A</v>
      </c>
      <c r="X34" s="2" t="str">
        <f>IFERROR(__xludf.DUMMYFUNCTION("""COMPUTED_VALUE"""),"N/A")</f>
        <v>N/A</v>
      </c>
      <c r="Y34" s="2"/>
      <c r="Z34" s="2"/>
      <c r="AA34" s="2"/>
      <c r="AB34" s="2"/>
      <c r="AC34" s="2"/>
      <c r="AD34" s="2"/>
      <c r="AE34" s="2"/>
      <c r="AF34" s="2"/>
      <c r="AG34" s="2"/>
      <c r="AH34" s="2"/>
      <c r="AI34" s="2"/>
      <c r="AJ34" s="2" t="str">
        <f>IFERROR(__xludf.DUMMYFUNCTION("""COMPUTED_VALUE"""),"Tinejero")</f>
        <v>Tinejero</v>
      </c>
      <c r="AK34" s="2" t="str">
        <f>IFERROR(__xludf.DUMMYFUNCTION("""COMPUTED_VALUE"""),"Pulilan")</f>
        <v>Pulilan</v>
      </c>
      <c r="AL34" s="2" t="str">
        <f>IFERROR(__xludf.DUMMYFUNCTION("""COMPUTED_VALUE"""),"Bulacan")</f>
        <v>Bulacan</v>
      </c>
      <c r="AM34" s="2">
        <f>IFERROR(__xludf.DUMMYFUNCTION("""COMPUTED_VALUE"""),3.0)</f>
        <v>3</v>
      </c>
      <c r="AN34" s="2" t="str">
        <f>IFERROR(__xludf.DUMMYFUNCTION("""COMPUTED_VALUE"""),"RCEF 23-09-21 Rebidding")</f>
        <v>RCEF 23-09-21 Rebidding</v>
      </c>
      <c r="AO34" s="2">
        <f>IFERROR(__xludf.DUMMYFUNCTION("""COMPUTED_VALUE"""),3.0)</f>
        <v>3</v>
      </c>
      <c r="AP34" s="2"/>
      <c r="AQ34" s="2"/>
      <c r="AR34" s="2"/>
      <c r="AS34" s="2"/>
      <c r="AT34" s="2"/>
      <c r="AU34" s="2"/>
      <c r="AV34" s="2"/>
      <c r="AW34" s="2"/>
      <c r="AX34" s="2"/>
      <c r="AY34" s="2"/>
      <c r="AZ34" s="2"/>
      <c r="BA34" s="2"/>
      <c r="BB34" s="2"/>
    </row>
    <row r="35">
      <c r="A35" s="2">
        <f>IFERROR(__xludf.DUMMYFUNCTION("""COMPUTED_VALUE"""),31.0)</f>
        <v>31</v>
      </c>
      <c r="B35" s="2" t="str">
        <f>IFERROR(__xludf.DUMMYFUNCTION("""COMPUTED_VALUE"""),"COMPLETED")</f>
        <v>COMPLETED</v>
      </c>
      <c r="C35" s="74">
        <f>IFERROR(__xludf.DUMMYFUNCTION("""COMPUTED_VALUE"""),45365.0)</f>
        <v>45365</v>
      </c>
      <c r="D35" s="71" t="str">
        <f>IFERROR(__xludf.DUMMYFUNCTION("""COMPUTED_VALUE"""),"SICUD FARMERS ASSOCIATION")</f>
        <v>SICUD FARMERS ASSOCIATION</v>
      </c>
      <c r="E35" s="71" t="str">
        <f>IFERROR(__xludf.DUMMYFUNCTION("""COMPUTED_VALUE"""),"Candawaga, Rizal, Palawan")</f>
        <v>Candawaga, Rizal, Palawan</v>
      </c>
      <c r="F35" s="2" t="str">
        <f>IFERROR(__xludf.DUMMYFUNCTION("""COMPUTED_VALUE"""),"RODRIGO C. QUIOCSON")</f>
        <v>RODRIGO C. QUIOCSON</v>
      </c>
      <c r="G35" s="2" t="str">
        <f>IFERROR(__xludf.DUMMYFUNCTION("""COMPUTED_VALUE"""),"0975-2027-209")</f>
        <v>0975-2027-209</v>
      </c>
      <c r="H35" s="2" t="str">
        <f>IFERROR(__xludf.DUMMYFUNCTION("""COMPUTED_VALUE"""),"45 HRS")</f>
        <v>45 HRS</v>
      </c>
      <c r="I35" s="72" t="str">
        <f>IFERROR(__xludf.DUMMYFUNCTION("""COMPUTED_VALUE"""),"PMS")</f>
        <v>PMS</v>
      </c>
      <c r="J35" s="72" t="str">
        <f>IFERROR(__xludf.DUMMYFUNCTION("""COMPUTED_VALUE"""),"PMS")</f>
        <v>PMS</v>
      </c>
      <c r="K35" s="72" t="str">
        <f>IFERROR(__xludf.DUMMYFUNCTION("""COMPUTED_VALUE"""),"FIRST PMS")</f>
        <v>FIRST PMS</v>
      </c>
      <c r="L35" s="72" t="str">
        <f>IFERROR(__xludf.DUMMYFUNCTION("""COMPUTED_VALUE"""),"CHANGE OIL:OIL AND FILTER C/O OF FCA")</f>
        <v>CHANGE OIL:OIL AND FILTER C/O OF FCA</v>
      </c>
      <c r="M35" s="2"/>
      <c r="N35" s="2"/>
      <c r="O35" s="2" t="str">
        <f>IFERROR(__xludf.DUMMYFUNCTION("""COMPUTED_VALUE"""),"service report#1281")</f>
        <v>service report#1281</v>
      </c>
      <c r="P35" s="2"/>
      <c r="Q35" s="2"/>
      <c r="R35" s="74">
        <f>IFERROR(__xludf.DUMMYFUNCTION("""COMPUTED_VALUE"""),45370.0)</f>
        <v>45370</v>
      </c>
      <c r="S35" s="2" t="str">
        <f>IFERROR(__xludf.DUMMYFUNCTION("""COMPUTED_VALUE"""),"RCG/DSD")</f>
        <v>RCG/DSD</v>
      </c>
      <c r="T35" s="73" t="str">
        <f>IFERROR(__xludf.DUMMYFUNCTION("""COMPUTED_VALUE""")," N/A ")</f>
        <v>N/A</v>
      </c>
      <c r="U35" s="73" t="str">
        <f>IFERROR(__xludf.DUMMYFUNCTION("""COMPUTED_VALUE""")," NO CHARGE ")</f>
        <v>NO CHARGE</v>
      </c>
      <c r="V35" s="2"/>
      <c r="W35" s="2" t="str">
        <f>IFERROR(__xludf.DUMMYFUNCTION("""COMPUTED_VALUE"""),"N/A")</f>
        <v>N/A</v>
      </c>
      <c r="X35" s="2" t="str">
        <f>IFERROR(__xludf.DUMMYFUNCTION("""COMPUTED_VALUE"""),"N/A")</f>
        <v>N/A</v>
      </c>
      <c r="Y35" s="2"/>
      <c r="Z35" s="2"/>
      <c r="AA35" s="2"/>
      <c r="AB35" s="2"/>
      <c r="AC35" s="2"/>
      <c r="AD35" s="2"/>
      <c r="AE35" s="2"/>
      <c r="AF35" s="2"/>
      <c r="AG35" s="2"/>
      <c r="AH35" s="2"/>
      <c r="AI35" s="2"/>
      <c r="AJ35" s="2" t="str">
        <f>IFERROR(__xludf.DUMMYFUNCTION("""COMPUTED_VALUE"""),"Candawaga")</f>
        <v>Candawaga</v>
      </c>
      <c r="AK35" s="2" t="str">
        <f>IFERROR(__xludf.DUMMYFUNCTION("""COMPUTED_VALUE"""),"Rizal")</f>
        <v>Rizal</v>
      </c>
      <c r="AL35" s="2" t="str">
        <f>IFERROR(__xludf.DUMMYFUNCTION("""COMPUTED_VALUE"""),"Palawan")</f>
        <v>Palawan</v>
      </c>
      <c r="AM35" s="2" t="str">
        <f>IFERROR(__xludf.DUMMYFUNCTION("""COMPUTED_VALUE"""),"4B")</f>
        <v>4B</v>
      </c>
      <c r="AN35" s="2" t="str">
        <f>IFERROR(__xludf.DUMMYFUNCTION("""COMPUTED_VALUE"""),"RCEF 23-08-20 Rebidding")</f>
        <v>RCEF 23-08-20 Rebidding</v>
      </c>
      <c r="AO35" s="2">
        <f>IFERROR(__xludf.DUMMYFUNCTION("""COMPUTED_VALUE"""),1.0)</f>
        <v>1</v>
      </c>
      <c r="AP35" s="2"/>
      <c r="AQ35" s="2"/>
      <c r="AR35" s="2"/>
      <c r="AS35" s="2"/>
      <c r="AT35" s="2"/>
      <c r="AU35" s="2"/>
      <c r="AV35" s="2"/>
      <c r="AW35" s="2"/>
      <c r="AX35" s="2"/>
      <c r="AY35" s="2"/>
      <c r="AZ35" s="2"/>
      <c r="BA35" s="2"/>
      <c r="BB35" s="2"/>
    </row>
    <row r="36">
      <c r="A36" s="2">
        <f>IFERROR(__xludf.DUMMYFUNCTION("""COMPUTED_VALUE"""),32.0)</f>
        <v>32</v>
      </c>
      <c r="B36" s="2" t="str">
        <f>IFERROR(__xludf.DUMMYFUNCTION("""COMPUTED_VALUE"""),"COMPLETED")</f>
        <v>COMPLETED</v>
      </c>
      <c r="C36" s="74">
        <f>IFERROR(__xludf.DUMMYFUNCTION("""COMPUTED_VALUE"""),45366.0)</f>
        <v>45366</v>
      </c>
      <c r="D36" s="71" t="str">
        <f>IFERROR(__xludf.DUMMYFUNCTION("""COMPUTED_VALUE"""),"NAGKAKAISANG MAGSASAKA NG BANTIGUE IRRIGATORS ASSN., INC.")</f>
        <v>NAGKAKAISANG MAGSASAKA NG BANTIGUE IRRIGATORS ASSN., INC.</v>
      </c>
      <c r="E36" s="71" t="str">
        <f>IFERROR(__xludf.DUMMYFUNCTION("""COMPUTED_VALUE"""),"Bantigue, Pagbilao, Quezon")</f>
        <v>Bantigue, Pagbilao, Quezon</v>
      </c>
      <c r="F36" s="2" t="str">
        <f>IFERROR(__xludf.DUMMYFUNCTION("""COMPUTED_VALUE"""),"JOHNNY GUTIERREZ")</f>
        <v>JOHNNY GUTIERREZ</v>
      </c>
      <c r="G36" s="2" t="str">
        <f>IFERROR(__xludf.DUMMYFUNCTION("""COMPUTED_VALUE"""),"0951-235-8285")</f>
        <v>0951-235-8285</v>
      </c>
      <c r="H36" s="2" t="str">
        <f>IFERROR(__xludf.DUMMYFUNCTION("""COMPUTED_VALUE"""),"61 HRS")</f>
        <v>61 HRS</v>
      </c>
      <c r="I36" s="72" t="str">
        <f>IFERROR(__xludf.DUMMYFUNCTION("""COMPUTED_VALUE"""),"PMS")</f>
        <v>PMS</v>
      </c>
      <c r="J36" s="72" t="str">
        <f>IFERROR(__xludf.DUMMYFUNCTION("""COMPUTED_VALUE"""),"PMS")</f>
        <v>PMS</v>
      </c>
      <c r="K36" s="72" t="str">
        <f>IFERROR(__xludf.DUMMYFUNCTION("""COMPUTED_VALUE"""),"FIRST PMS 3/25/24")</f>
        <v>FIRST PMS 3/25/24</v>
      </c>
      <c r="L36" s="72" t="str">
        <f>IFERROR(__xludf.DUMMYFUNCTION("""COMPUTED_VALUE"""),"CHANGE OIL:OIL AND FILTER C/O OF FCA")</f>
        <v>CHANGE OIL:OIL AND FILTER C/O OF FCA</v>
      </c>
      <c r="M36" s="2"/>
      <c r="N36" s="2"/>
      <c r="O36" s="2" t="str">
        <f>IFERROR(__xludf.DUMMYFUNCTION("""COMPUTED_VALUE"""),"service report#1283")</f>
        <v>service report#1283</v>
      </c>
      <c r="P36" s="2"/>
      <c r="Q36" s="2"/>
      <c r="R36" s="74">
        <f>IFERROR(__xludf.DUMMYFUNCTION("""COMPUTED_VALUE"""),45376.0)</f>
        <v>45376</v>
      </c>
      <c r="S36" s="2" t="str">
        <f>IFERROR(__xludf.DUMMYFUNCTION("""COMPUTED_VALUE"""),"JTT")</f>
        <v>JTT</v>
      </c>
      <c r="T36" s="73" t="str">
        <f>IFERROR(__xludf.DUMMYFUNCTION("""COMPUTED_VALUE""")," N/A ")</f>
        <v>N/A</v>
      </c>
      <c r="U36" s="73" t="str">
        <f>IFERROR(__xludf.DUMMYFUNCTION("""COMPUTED_VALUE""")," NO CHARGE ")</f>
        <v>NO CHARGE</v>
      </c>
      <c r="V36" s="2"/>
      <c r="W36" s="2" t="str">
        <f>IFERROR(__xludf.DUMMYFUNCTION("""COMPUTED_VALUE"""),"N/A")</f>
        <v>N/A</v>
      </c>
      <c r="X36" s="2" t="str">
        <f>IFERROR(__xludf.DUMMYFUNCTION("""COMPUTED_VALUE"""),"N/A")</f>
        <v>N/A</v>
      </c>
      <c r="Y36" s="2" t="str">
        <f>IFERROR(__xludf.DUMMYFUNCTION("""COMPUTED_VALUE"""),"KFS")</f>
        <v>KFS</v>
      </c>
      <c r="Z36" s="2"/>
      <c r="AA36" s="2"/>
      <c r="AB36" s="2"/>
      <c r="AC36" s="2"/>
      <c r="AD36" s="2"/>
      <c r="AE36" s="2"/>
      <c r="AF36" s="2"/>
      <c r="AG36" s="2"/>
      <c r="AH36" s="2"/>
      <c r="AI36" s="2"/>
      <c r="AJ36" s="2" t="str">
        <f>IFERROR(__xludf.DUMMYFUNCTION("""COMPUTED_VALUE"""),"Bantigue")</f>
        <v>Bantigue</v>
      </c>
      <c r="AK36" s="2" t="str">
        <f>IFERROR(__xludf.DUMMYFUNCTION("""COMPUTED_VALUE"""),"Pagbilao")</f>
        <v>Pagbilao</v>
      </c>
      <c r="AL36" s="2" t="str">
        <f>IFERROR(__xludf.DUMMYFUNCTION("""COMPUTED_VALUE"""),"Quezon")</f>
        <v>Quezon</v>
      </c>
      <c r="AM36" s="2" t="str">
        <f>IFERROR(__xludf.DUMMYFUNCTION("""COMPUTED_VALUE"""),"4A")</f>
        <v>4A</v>
      </c>
      <c r="AN36" s="2" t="str">
        <f>IFERROR(__xludf.DUMMYFUNCTION("""COMPUTED_VALUE"""),"RCEF 23-08-20 Rebidding")</f>
        <v>RCEF 23-08-20 Rebidding</v>
      </c>
      <c r="AO36" s="2">
        <f>IFERROR(__xludf.DUMMYFUNCTION("""COMPUTED_VALUE"""),1.0)</f>
        <v>1</v>
      </c>
      <c r="AP36" s="2"/>
      <c r="AQ36" s="2"/>
      <c r="AR36" s="2"/>
      <c r="AS36" s="2"/>
      <c r="AT36" s="2"/>
      <c r="AU36" s="2"/>
      <c r="AV36" s="2"/>
      <c r="AW36" s="2"/>
      <c r="AX36" s="2"/>
      <c r="AY36" s="2"/>
      <c r="AZ36" s="2"/>
      <c r="BA36" s="2"/>
      <c r="BB36" s="2"/>
    </row>
    <row r="37">
      <c r="A37" s="2">
        <f>IFERROR(__xludf.DUMMYFUNCTION("""COMPUTED_VALUE"""),33.0)</f>
        <v>33</v>
      </c>
      <c r="B37" s="2" t="str">
        <f>IFERROR(__xludf.DUMMYFUNCTION("""COMPUTED_VALUE"""),"COMPLETED")</f>
        <v>COMPLETED</v>
      </c>
      <c r="C37" s="74">
        <f>IFERROR(__xludf.DUMMYFUNCTION("""COMPUTED_VALUE"""),45366.0)</f>
        <v>45366</v>
      </c>
      <c r="D37" s="71" t="str">
        <f>IFERROR(__xludf.DUMMYFUNCTION("""COMPUTED_VALUE"""),"Mapalad Farmers Field School Agriculture Cooperative")</f>
        <v>Mapalad Farmers Field School Agriculture Cooperative</v>
      </c>
      <c r="E37" s="71" t="str">
        <f>IFERROR(__xludf.DUMMYFUNCTION("""COMPUTED_VALUE"""),"Lomboy, La Paz, TARLAC")</f>
        <v>Lomboy, La Paz, TARLAC</v>
      </c>
      <c r="F37" s="2" t="str">
        <f>IFERROR(__xludf.DUMMYFUNCTION("""COMPUTED_VALUE"""),"NELY LANE MANZANO")</f>
        <v>NELY LANE MANZANO</v>
      </c>
      <c r="G37" s="2" t="str">
        <f>IFERROR(__xludf.DUMMYFUNCTION("""COMPUTED_VALUE"""),"0907-1952-582")</f>
        <v>0907-1952-582</v>
      </c>
      <c r="H37" s="2" t="str">
        <f>IFERROR(__xludf.DUMMYFUNCTION("""COMPUTED_VALUE"""),"136.8 HRS")</f>
        <v>136.8 HRS</v>
      </c>
      <c r="I37" s="72" t="str">
        <f>IFERROR(__xludf.DUMMYFUNCTION("""COMPUTED_VALUE"""),"PMS")</f>
        <v>PMS</v>
      </c>
      <c r="J37" s="72" t="str">
        <f>IFERROR(__xludf.DUMMYFUNCTION("""COMPUTED_VALUE"""),"PMS")</f>
        <v>PMS</v>
      </c>
      <c r="K37" s="72" t="str">
        <f>IFERROR(__xludf.DUMMYFUNCTION("""COMPUTED_VALUE"""),"FIRST PMS")</f>
        <v>FIRST PMS</v>
      </c>
      <c r="L37" s="72" t="str">
        <f>IFERROR(__xludf.DUMMYFUNCTION("""COMPUTED_VALUE"""),"CHANGE OIL : OIL AND FILTER C/O OF FCA")</f>
        <v>CHANGE OIL : OIL AND FILTER C/O OF FCA</v>
      </c>
      <c r="M37" s="2"/>
      <c r="N37" s="2"/>
      <c r="O37" s="2" t="str">
        <f>IFERROR(__xludf.DUMMYFUNCTION("""COMPUTED_VALUE"""),"service report#1282")</f>
        <v>service report#1282</v>
      </c>
      <c r="P37" s="2"/>
      <c r="Q37" s="2"/>
      <c r="R37" s="74">
        <f>IFERROR(__xludf.DUMMYFUNCTION("""COMPUTED_VALUE"""),45366.0)</f>
        <v>45366</v>
      </c>
      <c r="S37" s="2" t="str">
        <f>IFERROR(__xludf.DUMMYFUNCTION("""COMPUTED_VALUE"""),"JHP")</f>
        <v>JHP</v>
      </c>
      <c r="T37" s="73">
        <f>IFERROR(__xludf.DUMMYFUNCTION("""COMPUTED_VALUE"""),7000.0)</f>
        <v>7000</v>
      </c>
      <c r="U37" s="73" t="str">
        <f>IFERROR(__xludf.DUMMYFUNCTION("""COMPUTED_VALUE""")," REMITTED ")</f>
        <v>REMITTED</v>
      </c>
      <c r="V37" s="2"/>
      <c r="W37" s="2"/>
      <c r="X37" s="2"/>
      <c r="Y37" s="2"/>
      <c r="Z37" s="2"/>
      <c r="AA37" s="2"/>
      <c r="AB37" s="2"/>
      <c r="AC37" s="2"/>
      <c r="AD37" s="2"/>
      <c r="AE37" s="2"/>
      <c r="AF37" s="2"/>
      <c r="AG37" s="2"/>
      <c r="AH37" s="2"/>
      <c r="AI37" s="2"/>
      <c r="AJ37" s="2" t="str">
        <f>IFERROR(__xludf.DUMMYFUNCTION("""COMPUTED_VALUE"""),"Lomboy")</f>
        <v>Lomboy</v>
      </c>
      <c r="AK37" s="2" t="str">
        <f>IFERROR(__xludf.DUMMYFUNCTION("""COMPUTED_VALUE"""),"La Paz")</f>
        <v>La Paz</v>
      </c>
      <c r="AL37" s="2" t="str">
        <f>IFERROR(__xludf.DUMMYFUNCTION("""COMPUTED_VALUE"""),"Tarlac")</f>
        <v>Tarlac</v>
      </c>
      <c r="AM37" s="2">
        <f>IFERROR(__xludf.DUMMYFUNCTION("""COMPUTED_VALUE"""),3.0)</f>
        <v>3</v>
      </c>
      <c r="AN37" s="2" t="str">
        <f>IFERROR(__xludf.DUMMYFUNCTION("""COMPUTED_VALUE"""),"RCEF 23-09-21 Rebidding")</f>
        <v>RCEF 23-09-21 Rebidding</v>
      </c>
      <c r="AO37" s="2">
        <f>IFERROR(__xludf.DUMMYFUNCTION("""COMPUTED_VALUE"""),3.0)</f>
        <v>3</v>
      </c>
      <c r="AP37" s="2"/>
      <c r="AQ37" s="2"/>
      <c r="AR37" s="2"/>
      <c r="AS37" s="2"/>
      <c r="AT37" s="2"/>
      <c r="AU37" s="2"/>
      <c r="AV37" s="2"/>
      <c r="AW37" s="2"/>
      <c r="AX37" s="2"/>
      <c r="AY37" s="2"/>
      <c r="AZ37" s="2"/>
      <c r="BA37" s="2"/>
      <c r="BB37" s="2"/>
    </row>
    <row r="38">
      <c r="A38" s="2">
        <f>IFERROR(__xludf.DUMMYFUNCTION("""COMPUTED_VALUE"""),34.0)</f>
        <v>34</v>
      </c>
      <c r="B38" s="2" t="str">
        <f>IFERROR(__xludf.DUMMYFUNCTION("""COMPUTED_VALUE"""),"COMPLETED")</f>
        <v>COMPLETED</v>
      </c>
      <c r="C38" s="74">
        <f>IFERROR(__xludf.DUMMYFUNCTION("""COMPUTED_VALUE"""),45371.0)</f>
        <v>45371</v>
      </c>
      <c r="D38" s="71" t="str">
        <f>IFERROR(__xludf.DUMMYFUNCTION("""COMPUTED_VALUE"""),"Magarang Bagahabag Lower Moton Irrigators Association Inc.")</f>
        <v>Magarang Bagahabag Lower Moton Irrigators Association Inc.</v>
      </c>
      <c r="E38" s="71" t="str">
        <f>IFERROR(__xludf.DUMMYFUNCTION("""COMPUTED_VALUE"""),"Bagahabag, Solano, NUEVA VIZCAYA")</f>
        <v>Bagahabag, Solano, NUEVA VIZCAYA</v>
      </c>
      <c r="F38" s="2" t="str">
        <f>IFERROR(__xludf.DUMMYFUNCTION("""COMPUTED_VALUE"""),"MARIO M. MORENO")</f>
        <v>MARIO M. MORENO</v>
      </c>
      <c r="G38" s="2" t="str">
        <f>IFERROR(__xludf.DUMMYFUNCTION("""COMPUTED_VALUE"""),"0997-7017-159")</f>
        <v>0997-7017-159</v>
      </c>
      <c r="H38" s="2" t="str">
        <f>IFERROR(__xludf.DUMMYFUNCTION("""COMPUTED_VALUE"""),"45 HRS")</f>
        <v>45 HRS</v>
      </c>
      <c r="I38" s="72" t="str">
        <f>IFERROR(__xludf.DUMMYFUNCTION("""COMPUTED_VALUE"""),"PMS")</f>
        <v>PMS</v>
      </c>
      <c r="J38" s="72" t="str">
        <f>IFERROR(__xludf.DUMMYFUNCTION("""COMPUTED_VALUE"""),"PMS")</f>
        <v>PMS</v>
      </c>
      <c r="K38" s="72" t="str">
        <f>IFERROR(__xludf.DUMMYFUNCTION("""COMPUTED_VALUE"""),"FIRST PMS ")</f>
        <v>FIRST PMS </v>
      </c>
      <c r="L38" s="72" t="str">
        <f>IFERROR(__xludf.DUMMYFUNCTION("""COMPUTED_VALUE"""),"CHANGE OIL
MAY NAKA PAG COMMIT NA LIBRE OIL SA FIRST PMS")</f>
        <v>CHANGE OIL
MAY NAKA PAG COMMIT NA LIBRE OIL SA FIRST PMS</v>
      </c>
      <c r="M38" s="2"/>
      <c r="N38" s="2"/>
      <c r="O38" s="2" t="str">
        <f>IFERROR(__xludf.DUMMYFUNCTION("""COMPUTED_VALUE"""),"service report#1284")</f>
        <v>service report#1284</v>
      </c>
      <c r="P38" s="2"/>
      <c r="Q38" s="2"/>
      <c r="R38" s="74">
        <f>IFERROR(__xludf.DUMMYFUNCTION("""COMPUTED_VALUE"""),45387.0)</f>
        <v>45387</v>
      </c>
      <c r="S38" s="2" t="str">
        <f>IFERROR(__xludf.DUMMYFUNCTION("""COMPUTED_VALUE"""),"RBS/DSD")</f>
        <v>RBS/DSD</v>
      </c>
      <c r="T38" s="73" t="str">
        <f>IFERROR(__xludf.DUMMYFUNCTION("""COMPUTED_VALUE""")," N/A ")</f>
        <v>N/A</v>
      </c>
      <c r="U38" s="73" t="str">
        <f>IFERROR(__xludf.DUMMYFUNCTION("""COMPUTED_VALUE""")," NO CHARGE ")</f>
        <v>NO CHARGE</v>
      </c>
      <c r="V38" s="2"/>
      <c r="W38" s="2" t="str">
        <f>IFERROR(__xludf.DUMMYFUNCTION("""COMPUTED_VALUE"""),"N/A")</f>
        <v>N/A</v>
      </c>
      <c r="X38" s="2" t="str">
        <f>IFERROR(__xludf.DUMMYFUNCTION("""COMPUTED_VALUE"""),"N/A")</f>
        <v>N/A</v>
      </c>
      <c r="Y38" s="2" t="str">
        <f>IFERROR(__xludf.DUMMYFUNCTION("""COMPUTED_VALUE"""),"KFS")</f>
        <v>KFS</v>
      </c>
      <c r="Z38" s="2"/>
      <c r="AA38" s="2"/>
      <c r="AB38" s="2"/>
      <c r="AC38" s="2"/>
      <c r="AD38" s="2"/>
      <c r="AE38" s="2"/>
      <c r="AF38" s="2"/>
      <c r="AG38" s="2"/>
      <c r="AH38" s="2"/>
      <c r="AI38" s="2"/>
      <c r="AJ38" s="2" t="str">
        <f>IFERROR(__xludf.DUMMYFUNCTION("""COMPUTED_VALUE"""),"Bagahabag")</f>
        <v>Bagahabag</v>
      </c>
      <c r="AK38" s="2" t="str">
        <f>IFERROR(__xludf.DUMMYFUNCTION("""COMPUTED_VALUE"""),"Solano")</f>
        <v>Solano</v>
      </c>
      <c r="AL38" s="2" t="str">
        <f>IFERROR(__xludf.DUMMYFUNCTION("""COMPUTED_VALUE"""),"Nueva Vizcaya")</f>
        <v>Nueva Vizcaya</v>
      </c>
      <c r="AM38" s="2">
        <f>IFERROR(__xludf.DUMMYFUNCTION("""COMPUTED_VALUE"""),2.0)</f>
        <v>2</v>
      </c>
      <c r="AN38" s="2" t="str">
        <f>IFERROR(__xludf.DUMMYFUNCTION("""COMPUTED_VALUE"""),"RCEF 23-09-21 Rebidding")</f>
        <v>RCEF 23-09-21 Rebidding</v>
      </c>
      <c r="AO38" s="2">
        <f>IFERROR(__xludf.DUMMYFUNCTION("""COMPUTED_VALUE"""),9.0)</f>
        <v>9</v>
      </c>
      <c r="AP38" s="2"/>
      <c r="AQ38" s="2"/>
      <c r="AR38" s="2"/>
      <c r="AS38" s="2"/>
      <c r="AT38" s="2"/>
      <c r="AU38" s="2"/>
      <c r="AV38" s="2"/>
      <c r="AW38" s="2"/>
      <c r="AX38" s="2"/>
      <c r="AY38" s="2"/>
      <c r="AZ38" s="2"/>
      <c r="BA38" s="2"/>
      <c r="BB38" s="2"/>
    </row>
    <row r="39">
      <c r="A39" s="2">
        <f>IFERROR(__xludf.DUMMYFUNCTION("""COMPUTED_VALUE"""),35.0)</f>
        <v>35</v>
      </c>
      <c r="B39" s="2" t="str">
        <f>IFERROR(__xludf.DUMMYFUNCTION("""COMPUTED_VALUE"""),"COMPLETED")</f>
        <v>COMPLETED</v>
      </c>
      <c r="C39" s="74">
        <f>IFERROR(__xludf.DUMMYFUNCTION("""COMPUTED_VALUE"""),45371.0)</f>
        <v>45371</v>
      </c>
      <c r="D39" s="71" t="str">
        <f>IFERROR(__xludf.DUMMYFUNCTION("""COMPUTED_VALUE"""),"TARLAC GROUNDWATER 66 MANGOLAGO FARMERS ASSOCIATIONS INC.")</f>
        <v>TARLAC GROUNDWATER 66 MANGOLAGO FARMERS ASSOCIATIONS INC.</v>
      </c>
      <c r="E39" s="71" t="str">
        <f>IFERROR(__xludf.DUMMYFUNCTION("""COMPUTED_VALUE"""),"Mangolago, Victoria, TARLAC")</f>
        <v>Mangolago, Victoria, TARLAC</v>
      </c>
      <c r="F39" s="2" t="str">
        <f>IFERROR(__xludf.DUMMYFUNCTION("""COMPUTED_VALUE"""),"RONNIE GRAGANZA")</f>
        <v>RONNIE GRAGANZA</v>
      </c>
      <c r="G39" s="2" t="str">
        <f>IFERROR(__xludf.DUMMYFUNCTION("""COMPUTED_VALUE"""),"0951-184-5780")</f>
        <v>0951-184-5780</v>
      </c>
      <c r="H39" s="2" t="str">
        <f>IFERROR(__xludf.DUMMYFUNCTION("""COMPUTED_VALUE"""),"50.6 HRS")</f>
        <v>50.6 HRS</v>
      </c>
      <c r="I39" s="72" t="str">
        <f>IFERROR(__xludf.DUMMYFUNCTION("""COMPUTED_VALUE"""),"PMS")</f>
        <v>PMS</v>
      </c>
      <c r="J39" s="72" t="str">
        <f>IFERROR(__xludf.DUMMYFUNCTION("""COMPUTED_VALUE"""),"PMS")</f>
        <v>PMS</v>
      </c>
      <c r="K39" s="72" t="str">
        <f>IFERROR(__xludf.DUMMYFUNCTION("""COMPUTED_VALUE"""),"FIRST PMS (3/25/24)")</f>
        <v>FIRST PMS (3/25/24)</v>
      </c>
      <c r="L39" s="72" t="str">
        <f>IFERROR(__xludf.DUMMYFUNCTION("""COMPUTED_VALUE"""),"CHANGE OIL")</f>
        <v>CHANGE OIL</v>
      </c>
      <c r="M39" s="2"/>
      <c r="N39" s="2"/>
      <c r="O39" s="2" t="str">
        <f>IFERROR(__xludf.DUMMYFUNCTION("""COMPUTED_VALUE"""),"service report#1285")</f>
        <v>service report#1285</v>
      </c>
      <c r="P39" s="2"/>
      <c r="Q39" s="2"/>
      <c r="R39" s="74">
        <f>IFERROR(__xludf.DUMMYFUNCTION("""COMPUTED_VALUE"""),45376.0)</f>
        <v>45376</v>
      </c>
      <c r="S39" s="2" t="str">
        <f>IFERROR(__xludf.DUMMYFUNCTION("""COMPUTED_VALUE"""),"JHP")</f>
        <v>JHP</v>
      </c>
      <c r="T39" s="73">
        <f>IFERROR(__xludf.DUMMYFUNCTION("""COMPUTED_VALUE"""),4000.0)</f>
        <v>4000</v>
      </c>
      <c r="U39" s="73" t="str">
        <f>IFERROR(__xludf.DUMMYFUNCTION("""COMPUTED_VALUE""")," REMITTED ")</f>
        <v>REMITTED</v>
      </c>
      <c r="V39" s="2"/>
      <c r="W39" s="2"/>
      <c r="X39" s="2"/>
      <c r="Y39" s="2" t="str">
        <f>IFERROR(__xludf.DUMMYFUNCTION("""COMPUTED_VALUE"""),"REPORTED BY: PAUL AND BERNA")</f>
        <v>REPORTED BY: PAUL AND BERNA</v>
      </c>
      <c r="Z39" s="2"/>
      <c r="AA39" s="2"/>
      <c r="AB39" s="2"/>
      <c r="AC39" s="2"/>
      <c r="AD39" s="2"/>
      <c r="AE39" s="2"/>
      <c r="AF39" s="2"/>
      <c r="AG39" s="2"/>
      <c r="AH39" s="2"/>
      <c r="AI39" s="2"/>
      <c r="AJ39" s="2" t="str">
        <f>IFERROR(__xludf.DUMMYFUNCTION("""COMPUTED_VALUE"""),"Mangolago")</f>
        <v>Mangolago</v>
      </c>
      <c r="AK39" s="2" t="str">
        <f>IFERROR(__xludf.DUMMYFUNCTION("""COMPUTED_VALUE"""),"Victoria")</f>
        <v>Victoria</v>
      </c>
      <c r="AL39" s="2" t="str">
        <f>IFERROR(__xludf.DUMMYFUNCTION("""COMPUTED_VALUE"""),"Tarlac")</f>
        <v>Tarlac</v>
      </c>
      <c r="AM39" s="2">
        <f>IFERROR(__xludf.DUMMYFUNCTION("""COMPUTED_VALUE"""),3.0)</f>
        <v>3</v>
      </c>
      <c r="AN39" s="2" t="str">
        <f>IFERROR(__xludf.DUMMYFUNCTION("""COMPUTED_VALUE"""),"RCEF 23-09-21 Rebidding")</f>
        <v>RCEF 23-09-21 Rebidding</v>
      </c>
      <c r="AO39" s="2">
        <f>IFERROR(__xludf.DUMMYFUNCTION("""COMPUTED_VALUE"""),3.0)</f>
        <v>3</v>
      </c>
      <c r="AP39" s="2"/>
      <c r="AQ39" s="2"/>
      <c r="AR39" s="2"/>
      <c r="AS39" s="2"/>
      <c r="AT39" s="2"/>
      <c r="AU39" s="2"/>
      <c r="AV39" s="2"/>
      <c r="AW39" s="2"/>
      <c r="AX39" s="2"/>
      <c r="AY39" s="2"/>
      <c r="AZ39" s="2"/>
      <c r="BA39" s="2"/>
      <c r="BB39" s="2"/>
    </row>
    <row r="40">
      <c r="A40" s="2">
        <f>IFERROR(__xludf.DUMMYFUNCTION("""COMPUTED_VALUE"""),36.0)</f>
        <v>36</v>
      </c>
      <c r="B40" s="2" t="str">
        <f>IFERROR(__xludf.DUMMYFUNCTION("""COMPUTED_VALUE"""),"COMPLETED")</f>
        <v>COMPLETED</v>
      </c>
      <c r="C40" s="74">
        <f>IFERROR(__xludf.DUMMYFUNCTION("""COMPUTED_VALUE"""),45372.0)</f>
        <v>45372</v>
      </c>
      <c r="D40" s="71" t="str">
        <f>IFERROR(__xludf.DUMMYFUNCTION("""COMPUTED_VALUE"""),"GULOD FARMERS ASSOCIATION")</f>
        <v>GULOD FARMERS ASSOCIATION</v>
      </c>
      <c r="E40" s="71" t="str">
        <f>IFERROR(__xludf.DUMMYFUNCTION("""COMPUTED_VALUE"""),"Gulod, Calapan City, Oriental Mindoro")</f>
        <v>Gulod, Calapan City, Oriental Mindoro</v>
      </c>
      <c r="F40" s="2" t="str">
        <f>IFERROR(__xludf.DUMMYFUNCTION("""COMPUTED_VALUE"""),"CELEDONIO GONZALES")</f>
        <v>CELEDONIO GONZALES</v>
      </c>
      <c r="G40" s="2" t="str">
        <f>IFERROR(__xludf.DUMMYFUNCTION("""COMPUTED_VALUE"""),"0960-919-4546")</f>
        <v>0960-919-4546</v>
      </c>
      <c r="H40" s="2" t="str">
        <f>IFERROR(__xludf.DUMMYFUNCTION("""COMPUTED_VALUE"""),"50 HRS")</f>
        <v>50 HRS</v>
      </c>
      <c r="I40" s="72" t="str">
        <f>IFERROR(__xludf.DUMMYFUNCTION("""COMPUTED_VALUE"""),"PMS")</f>
        <v>PMS</v>
      </c>
      <c r="J40" s="72" t="str">
        <f>IFERROR(__xludf.DUMMYFUNCTION("""COMPUTED_VALUE"""),"PMS")</f>
        <v>PMS</v>
      </c>
      <c r="K40" s="72" t="str">
        <f>IFERROR(__xludf.DUMMYFUNCTION("""COMPUTED_VALUE"""),"FIRST PMS")</f>
        <v>FIRST PMS</v>
      </c>
      <c r="L40" s="72" t="str">
        <f>IFERROR(__xludf.DUMMYFUNCTION("""COMPUTED_VALUE"""),"CHANGE OIL/ NEW FILTER / NEW OIL")</f>
        <v>CHANGE OIL/ NEW FILTER / NEW OIL</v>
      </c>
      <c r="M40" s="2"/>
      <c r="N40" s="2"/>
      <c r="O40" s="2" t="str">
        <f>IFERROR(__xludf.DUMMYFUNCTION("""COMPUTED_VALUE"""),"service report#1286")</f>
        <v>service report#1286</v>
      </c>
      <c r="P40" s="2"/>
      <c r="Q40" s="2"/>
      <c r="R40" s="74">
        <f>IFERROR(__xludf.DUMMYFUNCTION("""COMPUTED_VALUE"""),45372.0)</f>
        <v>45372</v>
      </c>
      <c r="S40" s="2" t="str">
        <f>IFERROR(__xludf.DUMMYFUNCTION("""COMPUTED_VALUE"""),"RBS")</f>
        <v>RBS</v>
      </c>
      <c r="T40" s="73" t="str">
        <f>IFERROR(__xludf.DUMMYFUNCTION("""COMPUTED_VALUE""")," N/A ")</f>
        <v>N/A</v>
      </c>
      <c r="U40" s="73" t="str">
        <f>IFERROR(__xludf.DUMMYFUNCTION("""COMPUTED_VALUE""")," NO CHARGE ")</f>
        <v>NO CHARGE</v>
      </c>
      <c r="V40" s="2"/>
      <c r="W40" s="2" t="str">
        <f>IFERROR(__xludf.DUMMYFUNCTION("""COMPUTED_VALUE"""),"N/A")</f>
        <v>N/A</v>
      </c>
      <c r="X40" s="2" t="str">
        <f>IFERROR(__xludf.DUMMYFUNCTION("""COMPUTED_VALUE"""),"N/A")</f>
        <v>N/A</v>
      </c>
      <c r="Y40" s="2"/>
      <c r="Z40" s="2"/>
      <c r="AA40" s="2"/>
      <c r="AB40" s="2"/>
      <c r="AC40" s="2"/>
      <c r="AD40" s="2"/>
      <c r="AE40" s="2"/>
      <c r="AF40" s="2"/>
      <c r="AG40" s="2"/>
      <c r="AH40" s="2"/>
      <c r="AI40" s="2"/>
      <c r="AJ40" s="2" t="str">
        <f>IFERROR(__xludf.DUMMYFUNCTION("""COMPUTED_VALUE"""),"Gulod")</f>
        <v>Gulod</v>
      </c>
      <c r="AK40" s="2" t="str">
        <f>IFERROR(__xludf.DUMMYFUNCTION("""COMPUTED_VALUE"""),"Calapan City")</f>
        <v>Calapan City</v>
      </c>
      <c r="AL40" s="2" t="str">
        <f>IFERROR(__xludf.DUMMYFUNCTION("""COMPUTED_VALUE"""),"Oriental Mindoro")</f>
        <v>Oriental Mindoro</v>
      </c>
      <c r="AM40" s="2" t="str">
        <f>IFERROR(__xludf.DUMMYFUNCTION("""COMPUTED_VALUE"""),"4B")</f>
        <v>4B</v>
      </c>
      <c r="AN40" s="2" t="str">
        <f>IFERROR(__xludf.DUMMYFUNCTION("""COMPUTED_VALUE"""),"RCEF 23-08-20 Rebidding")</f>
        <v>RCEF 23-08-20 Rebidding</v>
      </c>
      <c r="AO40" s="2">
        <f>IFERROR(__xludf.DUMMYFUNCTION("""COMPUTED_VALUE"""),1.0)</f>
        <v>1</v>
      </c>
      <c r="AP40" s="2"/>
      <c r="AQ40" s="2"/>
      <c r="AR40" s="2"/>
      <c r="AS40" s="2"/>
      <c r="AT40" s="2"/>
      <c r="AU40" s="2"/>
      <c r="AV40" s="2"/>
      <c r="AW40" s="2"/>
      <c r="AX40" s="2"/>
      <c r="AY40" s="2"/>
      <c r="AZ40" s="2"/>
      <c r="BA40" s="2"/>
      <c r="BB40" s="2"/>
    </row>
    <row r="41">
      <c r="A41" s="2">
        <f>IFERROR(__xludf.DUMMYFUNCTION("""COMPUTED_VALUE"""),37.0)</f>
        <v>37</v>
      </c>
      <c r="B41" s="2" t="str">
        <f>IFERROR(__xludf.DUMMYFUNCTION("""COMPUTED_VALUE"""),"COMPLETED")</f>
        <v>COMPLETED</v>
      </c>
      <c r="C41" s="74">
        <f>IFERROR(__xludf.DUMMYFUNCTION("""COMPUTED_VALUE"""),45373.0)</f>
        <v>45373</v>
      </c>
      <c r="D41" s="71" t="str">
        <f>IFERROR(__xludf.DUMMYFUNCTION("""COMPUTED_VALUE"""),"SAN QUINTIN INTEGRATED FARMERS ASSOCIATION")</f>
        <v>SAN QUINTIN INTEGRATED FARMERS ASSOCIATION</v>
      </c>
      <c r="E41" s="71" t="str">
        <f>IFERROR(__xludf.DUMMYFUNCTION("""COMPUTED_VALUE"""),"San Quintin, Alfonso Lista (Potia), IFUGAO")</f>
        <v>San Quintin, Alfonso Lista (Potia), IFUGAO</v>
      </c>
      <c r="F41" s="2" t="str">
        <f>IFERROR(__xludf.DUMMYFUNCTION("""COMPUTED_VALUE"""),"MICHAEL JOHNSON MABALO")</f>
        <v>MICHAEL JOHNSON MABALO</v>
      </c>
      <c r="G41" s="2" t="str">
        <f>IFERROR(__xludf.DUMMYFUNCTION("""COMPUTED_VALUE"""),"0917-5053-586")</f>
        <v>0917-5053-586</v>
      </c>
      <c r="H41" s="2" t="str">
        <f>IFERROR(__xludf.DUMMYFUNCTION("""COMPUTED_VALUE"""),"58 HRS")</f>
        <v>58 HRS</v>
      </c>
      <c r="I41" s="72" t="str">
        <f>IFERROR(__xludf.DUMMYFUNCTION("""COMPUTED_VALUE"""),"PMS")</f>
        <v>PMS</v>
      </c>
      <c r="J41" s="72" t="str">
        <f>IFERROR(__xludf.DUMMYFUNCTION("""COMPUTED_VALUE"""),"PMS")</f>
        <v>PMS</v>
      </c>
      <c r="K41" s="72" t="str">
        <f>IFERROR(__xludf.DUMMYFUNCTION("""COMPUTED_VALUE"""),"FIRST PMS")</f>
        <v>FIRST PMS</v>
      </c>
      <c r="L41" s="72" t="str">
        <f>IFERROR(__xludf.DUMMYFUNCTION("""COMPUTED_VALUE"""),"CHANGE OIL ")</f>
        <v>CHANGE OIL </v>
      </c>
      <c r="M41" s="2"/>
      <c r="N41" s="2"/>
      <c r="O41" s="2" t="str">
        <f>IFERROR(__xludf.DUMMYFUNCTION("""COMPUTED_VALUE"""),"service report#1287")</f>
        <v>service report#1287</v>
      </c>
      <c r="P41" s="2"/>
      <c r="Q41" s="2"/>
      <c r="R41" s="74">
        <f>IFERROR(__xludf.DUMMYFUNCTION("""COMPUTED_VALUE"""),45386.0)</f>
        <v>45386</v>
      </c>
      <c r="S41" s="2" t="str">
        <f>IFERROR(__xludf.DUMMYFUNCTION("""COMPUTED_VALUE"""),"RBS/DSD")</f>
        <v>RBS/DSD</v>
      </c>
      <c r="T41" s="73" t="str">
        <f>IFERROR(__xludf.DUMMYFUNCTION("""COMPUTED_VALUE""")," N/A ")</f>
        <v>N/A</v>
      </c>
      <c r="U41" s="73" t="str">
        <f>IFERROR(__xludf.DUMMYFUNCTION("""COMPUTED_VALUE""")," NO CHARGE ")</f>
        <v>NO CHARGE</v>
      </c>
      <c r="V41" s="2"/>
      <c r="W41" s="2" t="str">
        <f>IFERROR(__xludf.DUMMYFUNCTION("""COMPUTED_VALUE"""),"N/A")</f>
        <v>N/A</v>
      </c>
      <c r="X41" s="2" t="str">
        <f>IFERROR(__xludf.DUMMYFUNCTION("""COMPUTED_VALUE"""),"N/A")</f>
        <v>N/A</v>
      </c>
      <c r="Y41" s="2" t="str">
        <f>IFERROR(__xludf.DUMMYFUNCTION("""COMPUTED_VALUE"""),"KFS")</f>
        <v>KFS</v>
      </c>
      <c r="Z41" s="2"/>
      <c r="AA41" s="2"/>
      <c r="AB41" s="2"/>
      <c r="AC41" s="2"/>
      <c r="AD41" s="2"/>
      <c r="AE41" s="2"/>
      <c r="AF41" s="2"/>
      <c r="AG41" s="2"/>
      <c r="AH41" s="2"/>
      <c r="AI41" s="2"/>
      <c r="AJ41" s="2" t="str">
        <f>IFERROR(__xludf.DUMMYFUNCTION("""COMPUTED_VALUE"""),"San Quintin")</f>
        <v>San Quintin</v>
      </c>
      <c r="AK41" s="2" t="str">
        <f>IFERROR(__xludf.DUMMYFUNCTION("""COMPUTED_VALUE"""),"Alfonso Lista (Potia)")</f>
        <v>Alfonso Lista (Potia)</v>
      </c>
      <c r="AL41" s="2" t="str">
        <f>IFERROR(__xludf.DUMMYFUNCTION("""COMPUTED_VALUE"""),"Ifugao")</f>
        <v>Ifugao</v>
      </c>
      <c r="AM41" s="2" t="str">
        <f>IFERROR(__xludf.DUMMYFUNCTION("""COMPUTED_VALUE"""),"CAR")</f>
        <v>CAR</v>
      </c>
      <c r="AN41" s="2" t="str">
        <f>IFERROR(__xludf.DUMMYFUNCTION("""COMPUTED_VALUE"""),"RCEF 23-09-21 Rebidding")</f>
        <v>RCEF 23-09-21 Rebidding</v>
      </c>
      <c r="AO41" s="2">
        <f>IFERROR(__xludf.DUMMYFUNCTION("""COMPUTED_VALUE"""),1.0)</f>
        <v>1</v>
      </c>
      <c r="AP41" s="2"/>
      <c r="AQ41" s="2"/>
      <c r="AR41" s="2"/>
      <c r="AS41" s="2"/>
      <c r="AT41" s="2"/>
      <c r="AU41" s="2"/>
      <c r="AV41" s="2"/>
      <c r="AW41" s="2"/>
      <c r="AX41" s="2"/>
      <c r="AY41" s="2"/>
      <c r="AZ41" s="2"/>
      <c r="BA41" s="2"/>
      <c r="BB41" s="2"/>
    </row>
    <row r="42">
      <c r="A42" s="2">
        <f>IFERROR(__xludf.DUMMYFUNCTION("""COMPUTED_VALUE"""),38.0)</f>
        <v>38</v>
      </c>
      <c r="B42" s="2" t="str">
        <f>IFERROR(__xludf.DUMMYFUNCTION("""COMPUTED_VALUE"""),"COMPLETED")</f>
        <v>COMPLETED</v>
      </c>
      <c r="C42" s="74">
        <f>IFERROR(__xludf.DUMMYFUNCTION("""COMPUTED_VALUE"""),45374.0)</f>
        <v>45374</v>
      </c>
      <c r="D42" s="71" t="str">
        <f>IFERROR(__xludf.DUMMYFUNCTION("""COMPUTED_VALUE"""),"One Binyayan Farmers Agriculture Cooperative")</f>
        <v>One Binyayan Farmers Agriculture Cooperative</v>
      </c>
      <c r="E42" s="71" t="str">
        <f>IFERROR(__xludf.DUMMYFUNCTION("""COMPUTED_VALUE"""),"O'Donnell, Capas, TARLAC")</f>
        <v>O'Donnell, Capas, TARLAC</v>
      </c>
      <c r="F42" s="2" t="str">
        <f>IFERROR(__xludf.DUMMYFUNCTION("""COMPUTED_VALUE"""),"AURELIA M. VISTAN")</f>
        <v>AURELIA M. VISTAN</v>
      </c>
      <c r="G42" s="2" t="str">
        <f>IFERROR(__xludf.DUMMYFUNCTION("""COMPUTED_VALUE"""),"0938-409-8183")</f>
        <v>0938-409-8183</v>
      </c>
      <c r="H42" s="2" t="str">
        <f>IFERROR(__xludf.DUMMYFUNCTION("""COMPUTED_VALUE"""),"50 HRS")</f>
        <v>50 HRS</v>
      </c>
      <c r="I42" s="72" t="str">
        <f>IFERROR(__xludf.DUMMYFUNCTION("""COMPUTED_VALUE"""),"PMS")</f>
        <v>PMS</v>
      </c>
      <c r="J42" s="72" t="str">
        <f>IFERROR(__xludf.DUMMYFUNCTION("""COMPUTED_VALUE"""),"PMS")</f>
        <v>PMS</v>
      </c>
      <c r="K42" s="72" t="str">
        <f>IFERROR(__xludf.DUMMYFUNCTION("""COMPUTED_VALUE"""),"FIRST PMS")</f>
        <v>FIRST PMS</v>
      </c>
      <c r="L42" s="72" t="str">
        <f>IFERROR(__xludf.DUMMYFUNCTION("""COMPUTED_VALUE"""),"CHANGE OIL")</f>
        <v>CHANGE OIL</v>
      </c>
      <c r="M42" s="2"/>
      <c r="N42" s="2"/>
      <c r="O42" s="2" t="str">
        <f>IFERROR(__xludf.DUMMYFUNCTION("""COMPUTED_VALUE"""),"service report#1288")</f>
        <v>service report#1288</v>
      </c>
      <c r="P42" s="2"/>
      <c r="Q42" s="2"/>
      <c r="R42" s="74">
        <f>IFERROR(__xludf.DUMMYFUNCTION("""COMPUTED_VALUE"""),45377.0)</f>
        <v>45377</v>
      </c>
      <c r="S42" s="2" t="str">
        <f>IFERROR(__xludf.DUMMYFUNCTION("""COMPUTED_VALUE"""),"JHP")</f>
        <v>JHP</v>
      </c>
      <c r="T42" s="73">
        <f>IFERROR(__xludf.DUMMYFUNCTION("""COMPUTED_VALUE"""),3800.0)</f>
        <v>3800</v>
      </c>
      <c r="U42" s="73" t="str">
        <f>IFERROR(__xludf.DUMMYFUNCTION("""COMPUTED_VALUE""")," REMITTED ")</f>
        <v>REMITTED</v>
      </c>
      <c r="V42" s="2"/>
      <c r="W42" s="2"/>
      <c r="X42" s="2"/>
      <c r="Y42" s="2" t="str">
        <f>IFERROR(__xludf.DUMMYFUNCTION("""COMPUTED_VALUE"""),"BMD")</f>
        <v>BMD</v>
      </c>
      <c r="Z42" s="2"/>
      <c r="AA42" s="2"/>
      <c r="AB42" s="2"/>
      <c r="AC42" s="2"/>
      <c r="AD42" s="2"/>
      <c r="AE42" s="2"/>
      <c r="AF42" s="2"/>
      <c r="AG42" s="2"/>
      <c r="AH42" s="2"/>
      <c r="AI42" s="2"/>
      <c r="AJ42" s="2" t="str">
        <f>IFERROR(__xludf.DUMMYFUNCTION("""COMPUTED_VALUE"""),"O'Donnell")</f>
        <v>O'Donnell</v>
      </c>
      <c r="AK42" s="2" t="str">
        <f>IFERROR(__xludf.DUMMYFUNCTION("""COMPUTED_VALUE"""),"Capas")</f>
        <v>Capas</v>
      </c>
      <c r="AL42" s="2" t="str">
        <f>IFERROR(__xludf.DUMMYFUNCTION("""COMPUTED_VALUE"""),"Tarlac")</f>
        <v>Tarlac</v>
      </c>
      <c r="AM42" s="2">
        <f>IFERROR(__xludf.DUMMYFUNCTION("""COMPUTED_VALUE"""),3.0)</f>
        <v>3</v>
      </c>
      <c r="AN42" s="2" t="str">
        <f>IFERROR(__xludf.DUMMYFUNCTION("""COMPUTED_VALUE"""),"RCEF 23-09-21 Rebidding")</f>
        <v>RCEF 23-09-21 Rebidding</v>
      </c>
      <c r="AO42" s="2">
        <f>IFERROR(__xludf.DUMMYFUNCTION("""COMPUTED_VALUE"""),3.0)</f>
        <v>3</v>
      </c>
      <c r="AP42" s="2"/>
      <c r="AQ42" s="2"/>
      <c r="AR42" s="2"/>
      <c r="AS42" s="2"/>
      <c r="AT42" s="2"/>
      <c r="AU42" s="2"/>
      <c r="AV42" s="2"/>
      <c r="AW42" s="2"/>
      <c r="AX42" s="2"/>
      <c r="AY42" s="2"/>
      <c r="AZ42" s="2"/>
      <c r="BA42" s="2"/>
      <c r="BB42" s="2"/>
    </row>
    <row r="43">
      <c r="A43" s="2">
        <f>IFERROR(__xludf.DUMMYFUNCTION("""COMPUTED_VALUE"""),39.0)</f>
        <v>39</v>
      </c>
      <c r="B43" s="2" t="str">
        <f>IFERROR(__xludf.DUMMYFUNCTION("""COMPUTED_VALUE"""),"COMPLETED")</f>
        <v>COMPLETED</v>
      </c>
      <c r="C43" s="74">
        <f>IFERROR(__xludf.DUMMYFUNCTION("""COMPUTED_VALUE"""),45375.0)</f>
        <v>45375</v>
      </c>
      <c r="D43" s="71" t="str">
        <f>IFERROR(__xludf.DUMMYFUNCTION("""COMPUTED_VALUE"""),"TAYAK AGRI-FISHERY PRODUCERS ASSOCIATION")</f>
        <v>TAYAK AGRI-FISHERY PRODUCERS ASSOCIATION</v>
      </c>
      <c r="E43" s="71" t="str">
        <f>IFERROR(__xludf.DUMMYFUNCTION("""COMPUTED_VALUE"""),"Siguiran, Abulug, CAGAYAN")</f>
        <v>Siguiran, Abulug, CAGAYAN</v>
      </c>
      <c r="F43" s="2" t="str">
        <f>IFERROR(__xludf.DUMMYFUNCTION("""COMPUTED_VALUE"""),"CRISTOFFER BAYANI")</f>
        <v>CRISTOFFER BAYANI</v>
      </c>
      <c r="G43" s="2" t="str">
        <f>IFERROR(__xludf.DUMMYFUNCTION("""COMPUTED_VALUE"""),"0927-306-2333")</f>
        <v>0927-306-2333</v>
      </c>
      <c r="H43" s="2" t="str">
        <f>IFERROR(__xludf.DUMMYFUNCTION("""COMPUTED_VALUE"""),"63 HRS")</f>
        <v>63 HRS</v>
      </c>
      <c r="I43" s="72" t="str">
        <f>IFERROR(__xludf.DUMMYFUNCTION("""COMPUTED_VALUE"""),"PMS")</f>
        <v>PMS</v>
      </c>
      <c r="J43" s="72" t="str">
        <f>IFERROR(__xludf.DUMMYFUNCTION("""COMPUTED_VALUE"""),"PMS")</f>
        <v>PMS</v>
      </c>
      <c r="K43" s="72" t="str">
        <f>IFERROR(__xludf.DUMMYFUNCTION("""COMPUTED_VALUE"""),"FIRST PMS ")</f>
        <v>FIRST PMS </v>
      </c>
      <c r="L43" s="72" t="str">
        <f>IFERROR(__xludf.DUMMYFUNCTION("""COMPUTED_VALUE"""),"CHANGE OIL: ENGINE OIL AND OIL FILTER PAID BY FCA")</f>
        <v>CHANGE OIL: ENGINE OIL AND OIL FILTER PAID BY FCA</v>
      </c>
      <c r="M43" s="2"/>
      <c r="N43" s="2" t="str">
        <f>IFERROR(__xludf.DUMMYFUNCTION("""COMPUTED_VALUE"""),"OIL FILTER
ENGINE OIL")</f>
        <v>OIL FILTER
ENGINE OIL</v>
      </c>
      <c r="O43" s="2" t="str">
        <f>IFERROR(__xludf.DUMMYFUNCTION("""COMPUTED_VALUE"""),"service report#1289")</f>
        <v>service report#1289</v>
      </c>
      <c r="P43" s="2"/>
      <c r="Q43" s="2"/>
      <c r="R43" s="74">
        <f>IFERROR(__xludf.DUMMYFUNCTION("""COMPUTED_VALUE"""),45386.0)</f>
        <v>45386</v>
      </c>
      <c r="S43" s="2" t="str">
        <f>IFERROR(__xludf.DUMMYFUNCTION("""COMPUTED_VALUE"""),"RBS/DSD")</f>
        <v>RBS/DSD</v>
      </c>
      <c r="T43" s="73">
        <f>IFERROR(__xludf.DUMMYFUNCTION("""COMPUTED_VALUE"""),5431.25)</f>
        <v>5431.25</v>
      </c>
      <c r="U43" s="73" t="str">
        <f>IFERROR(__xludf.DUMMYFUNCTION("""COMPUTED_VALUE""")," REMITTED ")</f>
        <v>REMITTED</v>
      </c>
      <c r="V43" s="2"/>
      <c r="W43" s="2"/>
      <c r="X43" s="2"/>
      <c r="Y43" s="2" t="str">
        <f>IFERROR(__xludf.DUMMYFUNCTION("""COMPUTED_VALUE"""),"JHP")</f>
        <v>JHP</v>
      </c>
      <c r="Z43" s="2"/>
      <c r="AA43" s="2"/>
      <c r="AB43" s="2"/>
      <c r="AC43" s="2"/>
      <c r="AD43" s="2"/>
      <c r="AE43" s="2"/>
      <c r="AF43" s="2"/>
      <c r="AG43" s="2"/>
      <c r="AH43" s="2"/>
      <c r="AI43" s="2"/>
      <c r="AJ43" s="2" t="str">
        <f>IFERROR(__xludf.DUMMYFUNCTION("""COMPUTED_VALUE"""),"Siguiran")</f>
        <v>Siguiran</v>
      </c>
      <c r="AK43" s="2" t="str">
        <f>IFERROR(__xludf.DUMMYFUNCTION("""COMPUTED_VALUE"""),"Abulug")</f>
        <v>Abulug</v>
      </c>
      <c r="AL43" s="2" t="str">
        <f>IFERROR(__xludf.DUMMYFUNCTION("""COMPUTED_VALUE"""),"Cagayan")</f>
        <v>Cagayan</v>
      </c>
      <c r="AM43" s="2">
        <f>IFERROR(__xludf.DUMMYFUNCTION("""COMPUTED_VALUE"""),2.0)</f>
        <v>2</v>
      </c>
      <c r="AN43" s="2" t="str">
        <f>IFERROR(__xludf.DUMMYFUNCTION("""COMPUTED_VALUE"""),"RCEF 23-09-21 Rebidding")</f>
        <v>RCEF 23-09-21 Rebidding</v>
      </c>
      <c r="AO43" s="2">
        <f>IFERROR(__xludf.DUMMYFUNCTION("""COMPUTED_VALUE"""),9.0)</f>
        <v>9</v>
      </c>
      <c r="AP43" s="2"/>
      <c r="AQ43" s="2"/>
      <c r="AR43" s="2"/>
      <c r="AS43" s="2"/>
      <c r="AT43" s="2"/>
      <c r="AU43" s="2"/>
      <c r="AV43" s="2"/>
      <c r="AW43" s="2"/>
      <c r="AX43" s="2"/>
      <c r="AY43" s="2"/>
      <c r="AZ43" s="2"/>
      <c r="BA43" s="2"/>
      <c r="BB43" s="2"/>
    </row>
    <row r="44">
      <c r="A44" s="2">
        <f>IFERROR(__xludf.DUMMYFUNCTION("""COMPUTED_VALUE"""),40.0)</f>
        <v>40</v>
      </c>
      <c r="B44" s="2" t="str">
        <f>IFERROR(__xludf.DUMMYFUNCTION("""COMPUTED_VALUE"""),"COMPLETED")</f>
        <v>COMPLETED</v>
      </c>
      <c r="C44" s="74">
        <f>IFERROR(__xludf.DUMMYFUNCTION("""COMPUTED_VALUE"""),45376.0)</f>
        <v>45376</v>
      </c>
      <c r="D44" s="71" t="str">
        <f>IFERROR(__xludf.DUMMYFUNCTION("""COMPUTED_VALUE"""),"ASUSASYON NG MASISIPAG NA MAGSASAKA NG BARANGAY CAMBA INC.")</f>
        <v>ASUSASYON NG MASISIPAG NA MAGSASAKA NG BARANGAY CAMBA INC.</v>
      </c>
      <c r="E44" s="71" t="str">
        <f>IFERROR(__xludf.DUMMYFUNCTION("""COMPUTED_VALUE"""),"Kaledian (Camba), Arayat, PAMPANGA")</f>
        <v>Kaledian (Camba), Arayat, PAMPANGA</v>
      </c>
      <c r="F44" s="2" t="str">
        <f>IFERROR(__xludf.DUMMYFUNCTION("""COMPUTED_VALUE"""),"MONICA E. BESCUER")</f>
        <v>MONICA E. BESCUER</v>
      </c>
      <c r="G44" s="2" t="str">
        <f>IFERROR(__xludf.DUMMYFUNCTION("""COMPUTED_VALUE"""),"0965 138 9204")</f>
        <v>0965 138 9204</v>
      </c>
      <c r="H44" s="2"/>
      <c r="I44" s="72" t="str">
        <f>IFERROR(__xludf.DUMMYFUNCTION("""COMPUTED_VALUE"""),"SPARE PARTS ACQUISITION")</f>
        <v>SPARE PARTS ACQUISITION</v>
      </c>
      <c r="J44" s="72" t="str">
        <f>IFERROR(__xludf.DUMMYFUNCTION("""COMPUTED_VALUE"""),"SPARE PARTS ACQUISITION")</f>
        <v>SPARE PARTS ACQUISITION</v>
      </c>
      <c r="K44" s="72" t="str">
        <f>IFERROR(__xludf.DUMMYFUNCTION("""COMPUTED_VALUE"""),"OIL FILTER")</f>
        <v>OIL FILTER</v>
      </c>
      <c r="L44" s="72" t="str">
        <f>IFERROR(__xludf.DUMMYFUNCTION("""COMPUTED_VALUE"""),"CANCELLED")</f>
        <v>CANCELLED</v>
      </c>
      <c r="M44" s="2"/>
      <c r="N44" s="2"/>
      <c r="O44" s="2" t="str">
        <f>IFERROR(__xludf.DUMMYFUNCTION("""COMPUTED_VALUE"""),"CANCELLED")</f>
        <v>CANCELLED</v>
      </c>
      <c r="P44" s="2"/>
      <c r="Q44" s="2"/>
      <c r="R44" s="74">
        <f>IFERROR(__xludf.DUMMYFUNCTION("""COMPUTED_VALUE"""),45376.0)</f>
        <v>45376</v>
      </c>
      <c r="S44" s="2" t="str">
        <f>IFERROR(__xludf.DUMMYFUNCTION("""COMPUTED_VALUE"""),"N/A")</f>
        <v>N/A</v>
      </c>
      <c r="T44" s="73" t="str">
        <f>IFERROR(__xludf.DUMMYFUNCTION("""COMPUTED_VALUE""")," N/A ")</f>
        <v>N/A</v>
      </c>
      <c r="U44" s="73" t="str">
        <f>IFERROR(__xludf.DUMMYFUNCTION("""COMPUTED_VALUE""")," NO CHARGE ")</f>
        <v>NO CHARGE</v>
      </c>
      <c r="V44" s="2"/>
      <c r="W44" s="2" t="str">
        <f>IFERROR(__xludf.DUMMYFUNCTION("""COMPUTED_VALUE"""),"N/A")</f>
        <v>N/A</v>
      </c>
      <c r="X44" s="2" t="str">
        <f>IFERROR(__xludf.DUMMYFUNCTION("""COMPUTED_VALUE"""),"N/A")</f>
        <v>N/A</v>
      </c>
      <c r="Y44" s="2" t="str">
        <f>IFERROR(__xludf.DUMMYFUNCTION("""COMPUTED_VALUE"""),"CANCELLED")</f>
        <v>CANCELLED</v>
      </c>
      <c r="Z44" s="2"/>
      <c r="AA44" s="2"/>
      <c r="AB44" s="2"/>
      <c r="AC44" s="2"/>
      <c r="AD44" s="2"/>
      <c r="AE44" s="2"/>
      <c r="AF44" s="2"/>
      <c r="AG44" s="2"/>
      <c r="AH44" s="2"/>
      <c r="AI44" s="2"/>
      <c r="AJ44" s="2" t="str">
        <f>IFERROR(__xludf.DUMMYFUNCTION("""COMPUTED_VALUE"""),"Kaledian (Camba)")</f>
        <v>Kaledian (Camba)</v>
      </c>
      <c r="AK44" s="2" t="str">
        <f>IFERROR(__xludf.DUMMYFUNCTION("""COMPUTED_VALUE"""),"Arayat")</f>
        <v>Arayat</v>
      </c>
      <c r="AL44" s="2" t="str">
        <f>IFERROR(__xludf.DUMMYFUNCTION("""COMPUTED_VALUE"""),"Pampanga")</f>
        <v>Pampanga</v>
      </c>
      <c r="AM44" s="2">
        <f>IFERROR(__xludf.DUMMYFUNCTION("""COMPUTED_VALUE"""),3.0)</f>
        <v>3</v>
      </c>
      <c r="AN44" s="2" t="str">
        <f>IFERROR(__xludf.DUMMYFUNCTION("""COMPUTED_VALUE"""),"RCEF 23-09-21 Rebidding")</f>
        <v>RCEF 23-09-21 Rebidding</v>
      </c>
      <c r="AO44" s="2">
        <f>IFERROR(__xludf.DUMMYFUNCTION("""COMPUTED_VALUE"""),3.0)</f>
        <v>3</v>
      </c>
      <c r="AP44" s="2"/>
      <c r="AQ44" s="2"/>
      <c r="AR44" s="2"/>
      <c r="AS44" s="2"/>
      <c r="AT44" s="2"/>
      <c r="AU44" s="2"/>
      <c r="AV44" s="2"/>
      <c r="AW44" s="2"/>
      <c r="AX44" s="2"/>
      <c r="AY44" s="2"/>
      <c r="AZ44" s="2"/>
      <c r="BA44" s="2"/>
      <c r="BB44" s="2"/>
    </row>
    <row r="45">
      <c r="A45" s="2">
        <f>IFERROR(__xludf.DUMMYFUNCTION("""COMPUTED_VALUE"""),41.0)</f>
        <v>41</v>
      </c>
      <c r="B45" s="2" t="str">
        <f>IFERROR(__xludf.DUMMYFUNCTION("""COMPUTED_VALUE"""),"COMPLETED")</f>
        <v>COMPLETED</v>
      </c>
      <c r="C45" s="74">
        <f>IFERROR(__xludf.DUMMYFUNCTION("""COMPUTED_VALUE"""),45376.0)</f>
        <v>45376</v>
      </c>
      <c r="D45" s="71" t="str">
        <f>IFERROR(__xludf.DUMMYFUNCTION("""COMPUTED_VALUE"""),"ASUSASYON NG MASISIPAG NA MAGSASAKA NG BARANGAY CAMBA INC.")</f>
        <v>ASUSASYON NG MASISIPAG NA MAGSASAKA NG BARANGAY CAMBA INC.</v>
      </c>
      <c r="E45" s="71" t="str">
        <f>IFERROR(__xludf.DUMMYFUNCTION("""COMPUTED_VALUE"""),"Kaledian (Camba), Arayat, PAMPANGA")</f>
        <v>Kaledian (Camba), Arayat, PAMPANGA</v>
      </c>
      <c r="F45" s="2" t="str">
        <f>IFERROR(__xludf.DUMMYFUNCTION("""COMPUTED_VALUE"""),"MONICA E. BESCUER")</f>
        <v>MONICA E. BESCUER</v>
      </c>
      <c r="G45" s="2" t="str">
        <f>IFERROR(__xludf.DUMMYFUNCTION("""COMPUTED_VALUE"""),"0965 138 9204")</f>
        <v>0965 138 9204</v>
      </c>
      <c r="H45" s="2"/>
      <c r="I45" s="72" t="str">
        <f>IFERROR(__xludf.DUMMYFUNCTION("""COMPUTED_VALUE"""),"REPAIR - TRACTOR")</f>
        <v>REPAIR - TRACTOR</v>
      </c>
      <c r="J45" s="72" t="str">
        <f>IFERROR(__xludf.DUMMYFUNCTION("""COMPUTED_VALUE"""),"CHECK UP UNIT")</f>
        <v>CHECK UP UNIT</v>
      </c>
      <c r="K45" s="72" t="str">
        <f>IFERROR(__xludf.DUMMYFUNCTION("""COMPUTED_VALUE"""),"FOR CHECKING OF UNIT. DI DAW NAGPALIT NG FILTER KAYA PARANG MAY KAKAIBANG TUNOG ANG UNIT NILA")</f>
        <v>FOR CHECKING OF UNIT. DI DAW NAGPALIT NG FILTER KAYA PARANG MAY KAKAIBANG TUNOG ANG UNIT NILA</v>
      </c>
      <c r="L45" s="72" t="str">
        <f>IFERROR(__xludf.DUMMYFUNCTION("""COMPUTED_VALUE"""),"CANCELLED")</f>
        <v>CANCELLED</v>
      </c>
      <c r="M45" s="2"/>
      <c r="N45" s="2"/>
      <c r="O45" s="2" t="str">
        <f>IFERROR(__xludf.DUMMYFUNCTION("""COMPUTED_VALUE"""),"CANCELLED")</f>
        <v>CANCELLED</v>
      </c>
      <c r="P45" s="2"/>
      <c r="Q45" s="2"/>
      <c r="R45" s="74">
        <f>IFERROR(__xludf.DUMMYFUNCTION("""COMPUTED_VALUE"""),45376.0)</f>
        <v>45376</v>
      </c>
      <c r="S45" s="2" t="str">
        <f>IFERROR(__xludf.DUMMYFUNCTION("""COMPUTED_VALUE"""),"N/A")</f>
        <v>N/A</v>
      </c>
      <c r="T45" s="73" t="str">
        <f>IFERROR(__xludf.DUMMYFUNCTION("""COMPUTED_VALUE""")," N/A ")</f>
        <v>N/A</v>
      </c>
      <c r="U45" s="73" t="str">
        <f>IFERROR(__xludf.DUMMYFUNCTION("""COMPUTED_VALUE""")," NO CHARGE ")</f>
        <v>NO CHARGE</v>
      </c>
      <c r="V45" s="2"/>
      <c r="W45" s="2" t="str">
        <f>IFERROR(__xludf.DUMMYFUNCTION("""COMPUTED_VALUE"""),"N/A")</f>
        <v>N/A</v>
      </c>
      <c r="X45" s="2" t="str">
        <f>IFERROR(__xludf.DUMMYFUNCTION("""COMPUTED_VALUE"""),"N/A")</f>
        <v>N/A</v>
      </c>
      <c r="Y45" s="2" t="str">
        <f>IFERROR(__xludf.DUMMYFUNCTION("""COMPUTED_VALUE"""),"ERP: CANCELLED")</f>
        <v>ERP: CANCELLED</v>
      </c>
      <c r="Z45" s="2"/>
      <c r="AA45" s="2"/>
      <c r="AB45" s="2"/>
      <c r="AC45" s="2"/>
      <c r="AD45" s="2"/>
      <c r="AE45" s="2"/>
      <c r="AF45" s="2"/>
      <c r="AG45" s="2"/>
      <c r="AH45" s="2"/>
      <c r="AI45" s="2"/>
      <c r="AJ45" s="2" t="str">
        <f>IFERROR(__xludf.DUMMYFUNCTION("""COMPUTED_VALUE"""),"Kaledian (Camba)")</f>
        <v>Kaledian (Camba)</v>
      </c>
      <c r="AK45" s="2" t="str">
        <f>IFERROR(__xludf.DUMMYFUNCTION("""COMPUTED_VALUE"""),"Arayat")</f>
        <v>Arayat</v>
      </c>
      <c r="AL45" s="2" t="str">
        <f>IFERROR(__xludf.DUMMYFUNCTION("""COMPUTED_VALUE"""),"Pampanga")</f>
        <v>Pampanga</v>
      </c>
      <c r="AM45" s="2">
        <f>IFERROR(__xludf.DUMMYFUNCTION("""COMPUTED_VALUE"""),3.0)</f>
        <v>3</v>
      </c>
      <c r="AN45" s="2" t="str">
        <f>IFERROR(__xludf.DUMMYFUNCTION("""COMPUTED_VALUE"""),"RCEF 23-09-21 Rebidding")</f>
        <v>RCEF 23-09-21 Rebidding</v>
      </c>
      <c r="AO45" s="2">
        <f>IFERROR(__xludf.DUMMYFUNCTION("""COMPUTED_VALUE"""),3.0)</f>
        <v>3</v>
      </c>
      <c r="AP45" s="2"/>
      <c r="AQ45" s="2"/>
      <c r="AR45" s="2"/>
      <c r="AS45" s="2"/>
      <c r="AT45" s="2"/>
      <c r="AU45" s="2"/>
      <c r="AV45" s="2"/>
      <c r="AW45" s="2"/>
      <c r="AX45" s="2"/>
      <c r="AY45" s="2"/>
      <c r="AZ45" s="2"/>
      <c r="BA45" s="2"/>
      <c r="BB45" s="2"/>
    </row>
    <row r="46">
      <c r="A46" s="2">
        <f>IFERROR(__xludf.DUMMYFUNCTION("""COMPUTED_VALUE"""),42.0)</f>
        <v>42</v>
      </c>
      <c r="B46" s="2" t="str">
        <f>IFERROR(__xludf.DUMMYFUNCTION("""COMPUTED_VALUE"""),"COMPLETED")</f>
        <v>COMPLETED</v>
      </c>
      <c r="C46" s="74">
        <f>IFERROR(__xludf.DUMMYFUNCTION("""COMPUTED_VALUE"""),45376.0)</f>
        <v>45376</v>
      </c>
      <c r="D46" s="71" t="str">
        <f>IFERROR(__xludf.DUMMYFUNCTION("""COMPUTED_VALUE"""),"ASUSASYON NG MASISIPAG NA MAGSASAKA NG BARANGAY CAMBA INC.")</f>
        <v>ASUSASYON NG MASISIPAG NA MAGSASAKA NG BARANGAY CAMBA INC.</v>
      </c>
      <c r="E46" s="71" t="str">
        <f>IFERROR(__xludf.DUMMYFUNCTION("""COMPUTED_VALUE"""),"Kaledian (Camba), Arayat, PAMPANGA")</f>
        <v>Kaledian (Camba), Arayat, PAMPANGA</v>
      </c>
      <c r="F46" s="2" t="str">
        <f>IFERROR(__xludf.DUMMYFUNCTION("""COMPUTED_VALUE"""),"MONICA E. BESCUER")</f>
        <v>MONICA E. BESCUER</v>
      </c>
      <c r="G46" s="2" t="str">
        <f>IFERROR(__xludf.DUMMYFUNCTION("""COMPUTED_VALUE"""),"0965 138 9204")</f>
        <v>0965 138 9204</v>
      </c>
      <c r="H46" s="2"/>
      <c r="I46" s="72" t="str">
        <f>IFERROR(__xludf.DUMMYFUNCTION("""COMPUTED_VALUE"""),"SPARE PARTS ACQUISITION")</f>
        <v>SPARE PARTS ACQUISITION</v>
      </c>
      <c r="J46" s="72" t="str">
        <f>IFERROR(__xludf.DUMMYFUNCTION("""COMPUTED_VALUE"""),"SPARE PARTS ACQUISITION")</f>
        <v>SPARE PARTS ACQUISITION</v>
      </c>
      <c r="K46" s="72" t="str">
        <f>IFERROR(__xludf.DUMMYFUNCTION("""COMPUTED_VALUE"""),"AIR FILTER")</f>
        <v>AIR FILTER</v>
      </c>
      <c r="L46" s="72" t="str">
        <f>IFERROR(__xludf.DUMMYFUNCTION("""COMPUTED_VALUE"""),"DELIVERED: FCA PAID AIR CLEANER OUTER")</f>
        <v>DELIVERED: FCA PAID AIR CLEANER OUTER</v>
      </c>
      <c r="M46" s="2"/>
      <c r="N46" s="2" t="str">
        <f>IFERROR(__xludf.DUMMYFUNCTION("""COMPUTED_VALUE""")," AIR CLEANER OUTER")</f>
        <v> AIR CLEANER OUTER</v>
      </c>
      <c r="O46" s="2" t="str">
        <f>IFERROR(__xludf.DUMMYFUNCTION("""COMPUTED_VALUE"""),"service report#1291")</f>
        <v>service report#1291</v>
      </c>
      <c r="P46" s="2"/>
      <c r="Q46" s="2"/>
      <c r="R46" s="74">
        <f>IFERROR(__xludf.DUMMYFUNCTION("""COMPUTED_VALUE"""),45419.0)</f>
        <v>45419</v>
      </c>
      <c r="S46" s="2" t="str">
        <f>IFERROR(__xludf.DUMMYFUNCTION("""COMPUTED_VALUE"""),"JC SICAT")</f>
        <v>JC SICAT</v>
      </c>
      <c r="T46" s="73">
        <f>IFERROR(__xludf.DUMMYFUNCTION("""COMPUTED_VALUE"""),4956.0)</f>
        <v>4956</v>
      </c>
      <c r="U46" s="73" t="str">
        <f>IFERROR(__xludf.DUMMYFUNCTION("""COMPUTED_VALUE""")," REMITTED ")</f>
        <v>REMITTED</v>
      </c>
      <c r="V46" s="2"/>
      <c r="W46" s="2"/>
      <c r="X46" s="2">
        <f>IFERROR(__xludf.DUMMYFUNCTION("""COMPUTED_VALUE"""),1090.0)</f>
        <v>1090</v>
      </c>
      <c r="Y46" s="2" t="str">
        <f>IFERROR(__xludf.DUMMYFUNCTION("""COMPUTED_VALUE"""),"NEED SI AND DR")</f>
        <v>NEED SI AND DR</v>
      </c>
      <c r="Z46" s="2"/>
      <c r="AA46" s="2"/>
      <c r="AB46" s="2"/>
      <c r="AC46" s="2"/>
      <c r="AD46" s="2"/>
      <c r="AE46" s="2"/>
      <c r="AF46" s="2"/>
      <c r="AG46" s="2"/>
      <c r="AH46" s="2"/>
      <c r="AI46" s="2"/>
      <c r="AJ46" s="2" t="str">
        <f>IFERROR(__xludf.DUMMYFUNCTION("""COMPUTED_VALUE"""),"Kaledian (Camba)")</f>
        <v>Kaledian (Camba)</v>
      </c>
      <c r="AK46" s="2" t="str">
        <f>IFERROR(__xludf.DUMMYFUNCTION("""COMPUTED_VALUE"""),"Arayat")</f>
        <v>Arayat</v>
      </c>
      <c r="AL46" s="2" t="str">
        <f>IFERROR(__xludf.DUMMYFUNCTION("""COMPUTED_VALUE"""),"Pampanga")</f>
        <v>Pampanga</v>
      </c>
      <c r="AM46" s="2">
        <f>IFERROR(__xludf.DUMMYFUNCTION("""COMPUTED_VALUE"""),3.0)</f>
        <v>3</v>
      </c>
      <c r="AN46" s="2" t="str">
        <f>IFERROR(__xludf.DUMMYFUNCTION("""COMPUTED_VALUE"""),"RCEF 23-09-21 Rebidding")</f>
        <v>RCEF 23-09-21 Rebidding</v>
      </c>
      <c r="AO46" s="2">
        <f>IFERROR(__xludf.DUMMYFUNCTION("""COMPUTED_VALUE"""),3.0)</f>
        <v>3</v>
      </c>
      <c r="AP46" s="2"/>
      <c r="AQ46" s="2"/>
      <c r="AR46" s="2"/>
      <c r="AS46" s="2"/>
      <c r="AT46" s="2"/>
      <c r="AU46" s="2"/>
      <c r="AV46" s="2"/>
      <c r="AW46" s="2"/>
      <c r="AX46" s="2"/>
      <c r="AY46" s="2"/>
      <c r="AZ46" s="2"/>
      <c r="BA46" s="2"/>
      <c r="BB46" s="2"/>
    </row>
    <row r="47">
      <c r="A47" s="2">
        <f>IFERROR(__xludf.DUMMYFUNCTION("""COMPUTED_VALUE"""),43.0)</f>
        <v>43</v>
      </c>
      <c r="B47" s="2" t="str">
        <f>IFERROR(__xludf.DUMMYFUNCTION("""COMPUTED_VALUE"""),"COMPLETED")</f>
        <v>COMPLETED</v>
      </c>
      <c r="C47" s="74">
        <f>IFERROR(__xludf.DUMMYFUNCTION("""COMPUTED_VALUE"""),45378.0)</f>
        <v>45378</v>
      </c>
      <c r="D47" s="71" t="str">
        <f>IFERROR(__xludf.DUMMYFUNCTION("""COMPUTED_VALUE"""),"AGKAKARUBA IRRIGATORS ASSOCIATION, INC.")</f>
        <v>AGKAKARUBA IRRIGATORS ASSOCIATION, INC.</v>
      </c>
      <c r="E47" s="71" t="str">
        <f>IFERROR(__xludf.DUMMYFUNCTION("""COMPUTED_VALUE"""),"Plaridel, Aborlan, Palawan")</f>
        <v>Plaridel, Aborlan, Palawan</v>
      </c>
      <c r="F47" s="2" t="str">
        <f>IFERROR(__xludf.DUMMYFUNCTION("""COMPUTED_VALUE"""),"BUENAVENTURA ROSARIO")</f>
        <v>BUENAVENTURA ROSARIO</v>
      </c>
      <c r="G47" s="2" t="str">
        <f>IFERROR(__xludf.DUMMYFUNCTION("""COMPUTED_VALUE"""),"0926-954-3849")</f>
        <v>0926-954-3849</v>
      </c>
      <c r="H47" s="2" t="str">
        <f>IFERROR(__xludf.DUMMYFUNCTION("""COMPUTED_VALUE"""),"38 HRS")</f>
        <v>38 HRS</v>
      </c>
      <c r="I47" s="72" t="str">
        <f>IFERROR(__xludf.DUMMYFUNCTION("""COMPUTED_VALUE"""),"REPAIR - TRACTOR")</f>
        <v>REPAIR - TRACTOR</v>
      </c>
      <c r="J47" s="72" t="str">
        <f>IFERROR(__xludf.DUMMYFUNCTION("""COMPUTED_VALUE"""),"Transmission - Clutch")</f>
        <v>Transmission - Clutch</v>
      </c>
      <c r="K47" s="72" t="str">
        <f>IFERROR(__xludf.DUMMYFUNCTION("""COMPUTED_VALUE"""),"CLUTCH PROBLEM; CLUTCH LINING")</f>
        <v>CLUTCH PROBLEM; CLUTCH LINING</v>
      </c>
      <c r="L47" s="72" t="str">
        <f>IFERROR(__xludf.DUMMYFUNCTION("""COMPUTED_VALUE"""),"DONE CLUTCH PROBLEM, UNIT IS IN OPERATIONAL (UNDER WARRANTY)
PARTS: CLUCTH DISC ASSY")</f>
        <v>DONE CLUTCH PROBLEM, UNIT IS IN OPERATIONAL (UNDER WARRANTY)
PARTS: CLUCTH DISC ASSY</v>
      </c>
      <c r="M47" s="2"/>
      <c r="N47" s="2" t="str">
        <f>IFERROR(__xludf.DUMMYFUNCTION("""COMPUTED_VALUE"""),"PARTS: CLUTCH DISC ASSY")</f>
        <v>PARTS: CLUTCH DISC ASSY</v>
      </c>
      <c r="O47" s="2" t="str">
        <f>IFERROR(__xludf.DUMMYFUNCTION("""COMPUTED_VALUE"""),"service report#1292")</f>
        <v>service report#1292</v>
      </c>
      <c r="P47" s="2"/>
      <c r="Q47" s="2"/>
      <c r="R47" s="74">
        <f>IFERROR(__xludf.DUMMYFUNCTION("""COMPUTED_VALUE"""),45434.0)</f>
        <v>45434</v>
      </c>
      <c r="S47" s="2" t="str">
        <f>IFERROR(__xludf.DUMMYFUNCTION("""COMPUTED_VALUE"""),"RCG/BASTE")</f>
        <v>RCG/BASTE</v>
      </c>
      <c r="T47" s="73" t="str">
        <f>IFERROR(__xludf.DUMMYFUNCTION("""COMPUTED_VALUE""")," N/A ")</f>
        <v>N/A</v>
      </c>
      <c r="U47" s="73" t="str">
        <f>IFERROR(__xludf.DUMMYFUNCTION("""COMPUTED_VALUE""")," NO CHARGE ")</f>
        <v>NO CHARGE</v>
      </c>
      <c r="V47" s="2"/>
      <c r="W47" s="2" t="str">
        <f>IFERROR(__xludf.DUMMYFUNCTION("""COMPUTED_VALUE"""),"N/A")</f>
        <v>N/A</v>
      </c>
      <c r="X47" s="2" t="str">
        <f>IFERROR(__xludf.DUMMYFUNCTION("""COMPUTED_VALUE"""),"N/A")</f>
        <v>N/A</v>
      </c>
      <c r="Y47" s="2" t="str">
        <f>IFERROR(__xludf.DUMMYFUNCTION("""COMPUTED_VALUE"""),"THIRD PARTY")</f>
        <v>THIRD PARTY</v>
      </c>
      <c r="Z47" s="2" t="str">
        <f>IFERROR(__xludf.DUMMYFUNCTION("""COMPUTED_VALUE"""),"LEADS-TP-0018")</f>
        <v>LEADS-TP-0018</v>
      </c>
      <c r="AA47" s="2" t="str">
        <f>IFERROR(__xludf.DUMMYFUNCTION("""COMPUTED_VALUE"""),"APPROVED")</f>
        <v>APPROVED</v>
      </c>
      <c r="AB47" s="2"/>
      <c r="AC47" s="2" t="str">
        <f>IFERROR(__xludf.DUMMYFUNCTION("""COMPUTED_VALUE"""),"Y")</f>
        <v>Y</v>
      </c>
      <c r="AD47" s="2"/>
      <c r="AE47" s="2"/>
      <c r="AF47" s="2"/>
      <c r="AG47" s="2"/>
      <c r="AH47" s="2"/>
      <c r="AI47" s="2"/>
      <c r="AJ47" s="2" t="str">
        <f>IFERROR(__xludf.DUMMYFUNCTION("""COMPUTED_VALUE"""),"Plaridel")</f>
        <v>Plaridel</v>
      </c>
      <c r="AK47" s="2" t="str">
        <f>IFERROR(__xludf.DUMMYFUNCTION("""COMPUTED_VALUE"""),"Aborlan")</f>
        <v>Aborlan</v>
      </c>
      <c r="AL47" s="2" t="str">
        <f>IFERROR(__xludf.DUMMYFUNCTION("""COMPUTED_VALUE"""),"Palawan")</f>
        <v>Palawan</v>
      </c>
      <c r="AM47" s="2" t="str">
        <f>IFERROR(__xludf.DUMMYFUNCTION("""COMPUTED_VALUE"""),"4B")</f>
        <v>4B</v>
      </c>
      <c r="AN47" s="2" t="str">
        <f>IFERROR(__xludf.DUMMYFUNCTION("""COMPUTED_VALUE"""),"RCEF 23-08-20 Rebidding")</f>
        <v>RCEF 23-08-20 Rebidding</v>
      </c>
      <c r="AO47" s="2">
        <f>IFERROR(__xludf.DUMMYFUNCTION("""COMPUTED_VALUE"""),1.0)</f>
        <v>1</v>
      </c>
      <c r="AP47" s="2"/>
      <c r="AQ47" s="2"/>
      <c r="AR47" s="2"/>
      <c r="AS47" s="2"/>
      <c r="AT47" s="2"/>
      <c r="AU47" s="2"/>
      <c r="AV47" s="2"/>
      <c r="AW47" s="2"/>
      <c r="AX47" s="2"/>
      <c r="AY47" s="2"/>
      <c r="AZ47" s="2"/>
      <c r="BA47" s="2"/>
      <c r="BB47" s="2"/>
    </row>
    <row r="48">
      <c r="A48" s="2">
        <f>IFERROR(__xludf.DUMMYFUNCTION("""COMPUTED_VALUE"""),44.0)</f>
        <v>44</v>
      </c>
      <c r="B48" s="2" t="str">
        <f>IFERROR(__xludf.DUMMYFUNCTION("""COMPUTED_VALUE"""),"COMPLETED")</f>
        <v>COMPLETED</v>
      </c>
      <c r="C48" s="74">
        <f>IFERROR(__xludf.DUMMYFUNCTION("""COMPUTED_VALUE"""),45382.0)</f>
        <v>45382</v>
      </c>
      <c r="D48" s="71" t="str">
        <f>IFERROR(__xludf.DUMMYFUNCTION("""COMPUTED_VALUE"""),"FARMERS IRRIGATORS ASSOCATION POB. 2 PURA TARLAC, INC.")</f>
        <v>FARMERS IRRIGATORS ASSOCATION POB. 2 PURA TARLAC, INC.</v>
      </c>
      <c r="E48" s="71" t="str">
        <f>IFERROR(__xludf.DUMMYFUNCTION("""COMPUTED_VALUE"""),"Poblacion 2, Pura, TARLAC")</f>
        <v>Poblacion 2, Pura, TARLAC</v>
      </c>
      <c r="F48" s="2" t="str">
        <f>IFERROR(__xludf.DUMMYFUNCTION("""COMPUTED_VALUE"""),"Dionisio A. Javier")</f>
        <v>Dionisio A. Javier</v>
      </c>
      <c r="G48" s="2" t="str">
        <f>IFERROR(__xludf.DUMMYFUNCTION("""COMPUTED_VALUE"""),"0948-776-6537")</f>
        <v>0948-776-6537</v>
      </c>
      <c r="H48" s="2" t="str">
        <f>IFERROR(__xludf.DUMMYFUNCTION("""COMPUTED_VALUE"""),"53.9 HRS")</f>
        <v>53.9 HRS</v>
      </c>
      <c r="I48" s="72" t="str">
        <f>IFERROR(__xludf.DUMMYFUNCTION("""COMPUTED_VALUE"""),"PMS")</f>
        <v>PMS</v>
      </c>
      <c r="J48" s="72" t="str">
        <f>IFERROR(__xludf.DUMMYFUNCTION("""COMPUTED_VALUE"""),"PMS")</f>
        <v>PMS</v>
      </c>
      <c r="K48" s="72" t="str">
        <f>IFERROR(__xludf.DUMMYFUNCTION("""COMPUTED_VALUE"""),"FIRST PMS")</f>
        <v>FIRST PMS</v>
      </c>
      <c r="L48" s="72" t="str">
        <f>IFERROR(__xludf.DUMMYFUNCTION("""COMPUTED_VALUE"""),"CHANGE OIL")</f>
        <v>CHANGE OIL</v>
      </c>
      <c r="M48" s="2"/>
      <c r="N48" s="2" t="str">
        <f>IFERROR(__xludf.DUMMYFUNCTION("""COMPUTED_VALUE"""),"ENGINE OIL")</f>
        <v>ENGINE OIL</v>
      </c>
      <c r="O48" s="2" t="str">
        <f>IFERROR(__xludf.DUMMYFUNCTION("""COMPUTED_VALUE"""),"service report#1293")</f>
        <v>service report#1293</v>
      </c>
      <c r="P48" s="2"/>
      <c r="Q48" s="2"/>
      <c r="R48" s="74">
        <f>IFERROR(__xludf.DUMMYFUNCTION("""COMPUTED_VALUE"""),45400.0)</f>
        <v>45400</v>
      </c>
      <c r="S48" s="2" t="str">
        <f>IFERROR(__xludf.DUMMYFUNCTION("""COMPUTED_VALUE"""),"CCB/JTT")</f>
        <v>CCB/JTT</v>
      </c>
      <c r="T48" s="73">
        <f>IFERROR(__xludf.DUMMYFUNCTION("""COMPUTED_VALUE"""),1660.0)</f>
        <v>1660</v>
      </c>
      <c r="U48" s="73" t="str">
        <f>IFERROR(__xludf.DUMMYFUNCTION("""COMPUTED_VALUE""")," REMITTED ")</f>
        <v>REMITTED</v>
      </c>
      <c r="V48" s="2"/>
      <c r="W48" s="2"/>
      <c r="X48" s="2"/>
      <c r="Y48" s="2"/>
      <c r="Z48" s="2"/>
      <c r="AA48" s="2"/>
      <c r="AB48" s="2"/>
      <c r="AC48" s="2"/>
      <c r="AD48" s="2"/>
      <c r="AE48" s="2"/>
      <c r="AF48" s="2"/>
      <c r="AG48" s="2"/>
      <c r="AH48" s="2"/>
      <c r="AI48" s="2"/>
      <c r="AJ48" s="2" t="str">
        <f>IFERROR(__xludf.DUMMYFUNCTION("""COMPUTED_VALUE"""),"Poblacion 2")</f>
        <v>Poblacion 2</v>
      </c>
      <c r="AK48" s="2" t="str">
        <f>IFERROR(__xludf.DUMMYFUNCTION("""COMPUTED_VALUE"""),"Pura")</f>
        <v>Pura</v>
      </c>
      <c r="AL48" s="2" t="str">
        <f>IFERROR(__xludf.DUMMYFUNCTION("""COMPUTED_VALUE"""),"Tarlac")</f>
        <v>Tarlac</v>
      </c>
      <c r="AM48" s="2">
        <f>IFERROR(__xludf.DUMMYFUNCTION("""COMPUTED_VALUE"""),3.0)</f>
        <v>3</v>
      </c>
      <c r="AN48" s="2" t="str">
        <f>IFERROR(__xludf.DUMMYFUNCTION("""COMPUTED_VALUE"""),"RCEF 23-09-21 Rebidding")</f>
        <v>RCEF 23-09-21 Rebidding</v>
      </c>
      <c r="AO48" s="2">
        <f>IFERROR(__xludf.DUMMYFUNCTION("""COMPUTED_VALUE"""),3.0)</f>
        <v>3</v>
      </c>
      <c r="AP48" s="2"/>
      <c r="AQ48" s="2"/>
      <c r="AR48" s="2"/>
      <c r="AS48" s="2"/>
      <c r="AT48" s="2"/>
      <c r="AU48" s="2"/>
      <c r="AV48" s="2"/>
      <c r="AW48" s="2"/>
      <c r="AX48" s="2"/>
      <c r="AY48" s="2"/>
      <c r="AZ48" s="2"/>
      <c r="BA48" s="2"/>
      <c r="BB48" s="2"/>
    </row>
    <row r="49">
      <c r="A49" s="2">
        <f>IFERROR(__xludf.DUMMYFUNCTION("""COMPUTED_VALUE"""),45.0)</f>
        <v>45</v>
      </c>
      <c r="B49" s="2" t="str">
        <f>IFERROR(__xludf.DUMMYFUNCTION("""COMPUTED_VALUE"""),"COMPLETED")</f>
        <v>COMPLETED</v>
      </c>
      <c r="C49" s="74">
        <f>IFERROR(__xludf.DUMMYFUNCTION("""COMPUTED_VALUE"""),45382.0)</f>
        <v>45382</v>
      </c>
      <c r="D49" s="71" t="str">
        <f>IFERROR(__xludf.DUMMYFUNCTION("""COMPUTED_VALUE"""),"FARMERS IRRIGATORS ASSOCATION POB. 2 PURA TARLAC, INC.")</f>
        <v>FARMERS IRRIGATORS ASSOCATION POB. 2 PURA TARLAC, INC.</v>
      </c>
      <c r="E49" s="71" t="str">
        <f>IFERROR(__xludf.DUMMYFUNCTION("""COMPUTED_VALUE"""),"Poblacion 2, Pura, TARLAC")</f>
        <v>Poblacion 2, Pura, TARLAC</v>
      </c>
      <c r="F49" s="2" t="str">
        <f>IFERROR(__xludf.DUMMYFUNCTION("""COMPUTED_VALUE"""),"Dionisio A. Javier")</f>
        <v>Dionisio A. Javier</v>
      </c>
      <c r="G49" s="2" t="str">
        <f>IFERROR(__xludf.DUMMYFUNCTION("""COMPUTED_VALUE"""),"0948-776-6537")</f>
        <v>0948-776-6537</v>
      </c>
      <c r="H49" s="2" t="str">
        <f>IFERROR(__xludf.DUMMYFUNCTION("""COMPUTED_VALUE"""),"53.9 HRS")</f>
        <v>53.9 HRS</v>
      </c>
      <c r="I49" s="72" t="str">
        <f>IFERROR(__xludf.DUMMYFUNCTION("""COMPUTED_VALUE"""),"REPAIR - TRACTOR")</f>
        <v>REPAIR - TRACTOR</v>
      </c>
      <c r="J49" s="72" t="str">
        <f>IFERROR(__xludf.DUMMYFUNCTION("""COMPUTED_VALUE"""),"Radiator")</f>
        <v>Radiator</v>
      </c>
      <c r="K49" s="72" t="str">
        <f>IFERROR(__xludf.DUMMYFUNCTION("""COMPUTED_VALUE"""),"MAY TAGAS ANG RADIATOR, NAUUBOS ANG COOLANT NG RADIATOR")</f>
        <v>MAY TAGAS ANG RADIATOR, NAUUBOS ANG COOLANT NG RADIATOR</v>
      </c>
      <c r="L49" s="72" t="str">
        <f>IFERROR(__xludf.DUMMYFUNCTION("""COMPUTED_VALUE"""),"REPAIR LEAKING RADIATOR")</f>
        <v>REPAIR LEAKING RADIATOR</v>
      </c>
      <c r="M49" s="2" t="str">
        <f>IFERROR(__xludf.DUMMYFUNCTION("""COMPUTED_VALUE"""),"RADIATOR")</f>
        <v>RADIATOR</v>
      </c>
      <c r="N49" s="2"/>
      <c r="O49" s="2" t="str">
        <f>IFERROR(__xludf.DUMMYFUNCTION("""COMPUTED_VALUE"""),"service report#1294")</f>
        <v>service report#1294</v>
      </c>
      <c r="P49" s="2"/>
      <c r="Q49" s="2"/>
      <c r="R49" s="74">
        <f>IFERROR(__xludf.DUMMYFUNCTION("""COMPUTED_VALUE"""),45400.0)</f>
        <v>45400</v>
      </c>
      <c r="S49" s="2" t="str">
        <f>IFERROR(__xludf.DUMMYFUNCTION("""COMPUTED_VALUE"""),"CCB/JTT")</f>
        <v>CCB/JTT</v>
      </c>
      <c r="T49" s="73" t="str">
        <f>IFERROR(__xludf.DUMMYFUNCTION("""COMPUTED_VALUE""")," N/A ")</f>
        <v>N/A</v>
      </c>
      <c r="U49" s="73" t="str">
        <f>IFERROR(__xludf.DUMMYFUNCTION("""COMPUTED_VALUE""")," NO CHARGE ")</f>
        <v>NO CHARGE</v>
      </c>
      <c r="V49" s="2"/>
      <c r="W49" s="2" t="str">
        <f>IFERROR(__xludf.DUMMYFUNCTION("""COMPUTED_VALUE"""),"N/A")</f>
        <v>N/A</v>
      </c>
      <c r="X49" s="2" t="str">
        <f>IFERROR(__xludf.DUMMYFUNCTION("""COMPUTED_VALUE"""),"N/A")</f>
        <v>N/A</v>
      </c>
      <c r="Y49" s="2" t="str">
        <f>IFERROR(__xludf.DUMMYFUNCTION("""COMPUTED_VALUE"""),"RBS:   // FOR OBSERVATION PA NI TECHNICIAN; FOR REPORTING PA KAY FIT COREA")</f>
        <v>RBS:   // FOR OBSERVATION PA NI TECHNICIAN; FOR REPORTING PA KAY FIT COREA</v>
      </c>
      <c r="Z49" s="2"/>
      <c r="AA49" s="2"/>
      <c r="AB49" s="2"/>
      <c r="AC49" s="2"/>
      <c r="AD49" s="2"/>
      <c r="AE49" s="2"/>
      <c r="AF49" s="2"/>
      <c r="AG49" s="2"/>
      <c r="AH49" s="2"/>
      <c r="AI49" s="2"/>
      <c r="AJ49" s="2" t="str">
        <f>IFERROR(__xludf.DUMMYFUNCTION("""COMPUTED_VALUE"""),"Poblacion 2")</f>
        <v>Poblacion 2</v>
      </c>
      <c r="AK49" s="2" t="str">
        <f>IFERROR(__xludf.DUMMYFUNCTION("""COMPUTED_VALUE"""),"Pura")</f>
        <v>Pura</v>
      </c>
      <c r="AL49" s="2" t="str">
        <f>IFERROR(__xludf.DUMMYFUNCTION("""COMPUTED_VALUE"""),"Tarlac")</f>
        <v>Tarlac</v>
      </c>
      <c r="AM49" s="2">
        <f>IFERROR(__xludf.DUMMYFUNCTION("""COMPUTED_VALUE"""),3.0)</f>
        <v>3</v>
      </c>
      <c r="AN49" s="2" t="str">
        <f>IFERROR(__xludf.DUMMYFUNCTION("""COMPUTED_VALUE"""),"RCEF 23-09-21 Rebidding")</f>
        <v>RCEF 23-09-21 Rebidding</v>
      </c>
      <c r="AO49" s="2">
        <f>IFERROR(__xludf.DUMMYFUNCTION("""COMPUTED_VALUE"""),3.0)</f>
        <v>3</v>
      </c>
      <c r="AP49" s="2"/>
      <c r="AQ49" s="2"/>
      <c r="AR49" s="2"/>
      <c r="AS49" s="2"/>
      <c r="AT49" s="2"/>
      <c r="AU49" s="2"/>
      <c r="AV49" s="2"/>
      <c r="AW49" s="2"/>
      <c r="AX49" s="2"/>
      <c r="AY49" s="2"/>
      <c r="AZ49" s="2"/>
      <c r="BA49" s="2"/>
      <c r="BB49" s="2"/>
    </row>
    <row r="50">
      <c r="A50" s="2">
        <f>IFERROR(__xludf.DUMMYFUNCTION("""COMPUTED_VALUE"""),46.0)</f>
        <v>46</v>
      </c>
      <c r="B50" s="2" t="str">
        <f>IFERROR(__xludf.DUMMYFUNCTION("""COMPUTED_VALUE"""),"COMPLETED")</f>
        <v>COMPLETED</v>
      </c>
      <c r="C50" s="74">
        <f>IFERROR(__xludf.DUMMYFUNCTION("""COMPUTED_VALUE"""),45382.0)</f>
        <v>45382</v>
      </c>
      <c r="D50" s="71" t="str">
        <f>IFERROR(__xludf.DUMMYFUNCTION("""COMPUTED_VALUE"""),"FARMERS IRRIGATORS ASSOCATION POB. 2 PURA TARLAC, INC.")</f>
        <v>FARMERS IRRIGATORS ASSOCATION POB. 2 PURA TARLAC, INC.</v>
      </c>
      <c r="E50" s="71" t="str">
        <f>IFERROR(__xludf.DUMMYFUNCTION("""COMPUTED_VALUE"""),"Poblacion 2, Pura, TARLAC")</f>
        <v>Poblacion 2, Pura, TARLAC</v>
      </c>
      <c r="F50" s="2" t="str">
        <f>IFERROR(__xludf.DUMMYFUNCTION("""COMPUTED_VALUE"""),"Dionisio A. Javier")</f>
        <v>Dionisio A. Javier</v>
      </c>
      <c r="G50" s="2" t="str">
        <f>IFERROR(__xludf.DUMMYFUNCTION("""COMPUTED_VALUE"""),"0948-776-6537")</f>
        <v>0948-776-6537</v>
      </c>
      <c r="H50" s="2" t="str">
        <f>IFERROR(__xludf.DUMMYFUNCTION("""COMPUTED_VALUE"""),"53.9 HRS")</f>
        <v>53.9 HRS</v>
      </c>
      <c r="I50" s="72" t="str">
        <f>IFERROR(__xludf.DUMMYFUNCTION("""COMPUTED_VALUE"""),"SPARE PARTS ACQUISITION")</f>
        <v>SPARE PARTS ACQUISITION</v>
      </c>
      <c r="J50" s="72" t="str">
        <f>IFERROR(__xludf.DUMMYFUNCTION("""COMPUTED_VALUE"""),"Radiator")</f>
        <v>Radiator</v>
      </c>
      <c r="K50" s="72" t="str">
        <f>IFERROR(__xludf.DUMMYFUNCTION("""COMPUTED_VALUE"""),"FCA REQUEST FOR REPLACEMENT OF RADIATOR")</f>
        <v>FCA REQUEST FOR REPLACEMENT OF RADIATOR</v>
      </c>
      <c r="L50" s="72" t="str">
        <f>IFERROR(__xludf.DUMMYFUNCTION("""COMPUTED_VALUE"""),"OBSERVATION/ TROUBLESHOOT")</f>
        <v>OBSERVATION/ TROUBLESHOOT</v>
      </c>
      <c r="M50" s="2" t="str">
        <f>IFERROR(__xludf.DUMMYFUNCTION("""COMPUTED_VALUE"""),"RADIATOR")</f>
        <v>RADIATOR</v>
      </c>
      <c r="N50" s="2"/>
      <c r="O50" s="2" t="str">
        <f>IFERROR(__xludf.DUMMYFUNCTION("""COMPUTED_VALUE"""),"service report#1295")</f>
        <v>service report#1295</v>
      </c>
      <c r="P50" s="2"/>
      <c r="Q50" s="2"/>
      <c r="R50" s="74">
        <f>IFERROR(__xludf.DUMMYFUNCTION("""COMPUTED_VALUE"""),45400.0)</f>
        <v>45400</v>
      </c>
      <c r="S50" s="2" t="str">
        <f>IFERROR(__xludf.DUMMYFUNCTION("""COMPUTED_VALUE"""),"CCB/JTT")</f>
        <v>CCB/JTT</v>
      </c>
      <c r="T50" s="73" t="str">
        <f>IFERROR(__xludf.DUMMYFUNCTION("""COMPUTED_VALUE""")," N/A ")</f>
        <v>N/A</v>
      </c>
      <c r="U50" s="73" t="str">
        <f>IFERROR(__xludf.DUMMYFUNCTION("""COMPUTED_VALUE""")," NO CHARGE ")</f>
        <v>NO CHARGE</v>
      </c>
      <c r="V50" s="2"/>
      <c r="W50" s="2" t="str">
        <f>IFERROR(__xludf.DUMMYFUNCTION("""COMPUTED_VALUE"""),"N/A")</f>
        <v>N/A</v>
      </c>
      <c r="X50" s="2" t="str">
        <f>IFERROR(__xludf.DUMMYFUNCTION("""COMPUTED_VALUE"""),"N/A")</f>
        <v>N/A</v>
      </c>
      <c r="Y50" s="2" t="str">
        <f>IFERROR(__xludf.DUMMYFUNCTION("""COMPUTED_VALUE"""),"RBS:   // FOR OBSERVATION PA NI TECHNICIAN; FOR REPORTING PA KAY FIT COREA")</f>
        <v>RBS:   // FOR OBSERVATION PA NI TECHNICIAN; FOR REPORTING PA KAY FIT COREA</v>
      </c>
      <c r="Z50" s="2"/>
      <c r="AA50" s="2"/>
      <c r="AB50" s="2"/>
      <c r="AC50" s="2"/>
      <c r="AD50" s="2"/>
      <c r="AE50" s="2"/>
      <c r="AF50" s="2"/>
      <c r="AG50" s="2"/>
      <c r="AH50" s="2"/>
      <c r="AI50" s="2"/>
      <c r="AJ50" s="2" t="str">
        <f>IFERROR(__xludf.DUMMYFUNCTION("""COMPUTED_VALUE"""),"Poblacion 2")</f>
        <v>Poblacion 2</v>
      </c>
      <c r="AK50" s="2" t="str">
        <f>IFERROR(__xludf.DUMMYFUNCTION("""COMPUTED_VALUE"""),"Pura")</f>
        <v>Pura</v>
      </c>
      <c r="AL50" s="2" t="str">
        <f>IFERROR(__xludf.DUMMYFUNCTION("""COMPUTED_VALUE"""),"Tarlac")</f>
        <v>Tarlac</v>
      </c>
      <c r="AM50" s="2">
        <f>IFERROR(__xludf.DUMMYFUNCTION("""COMPUTED_VALUE"""),3.0)</f>
        <v>3</v>
      </c>
      <c r="AN50" s="2" t="str">
        <f>IFERROR(__xludf.DUMMYFUNCTION("""COMPUTED_VALUE"""),"RCEF 23-09-21 Rebidding")</f>
        <v>RCEF 23-09-21 Rebidding</v>
      </c>
      <c r="AO50" s="2">
        <f>IFERROR(__xludf.DUMMYFUNCTION("""COMPUTED_VALUE"""),3.0)</f>
        <v>3</v>
      </c>
      <c r="AP50" s="2"/>
      <c r="AQ50" s="2"/>
      <c r="AR50" s="2"/>
      <c r="AS50" s="2"/>
      <c r="AT50" s="2"/>
      <c r="AU50" s="2"/>
      <c r="AV50" s="2"/>
      <c r="AW50" s="2"/>
      <c r="AX50" s="2"/>
      <c r="AY50" s="2"/>
      <c r="AZ50" s="2"/>
      <c r="BA50" s="2"/>
      <c r="BB50" s="2"/>
    </row>
    <row r="51">
      <c r="A51" s="2">
        <f>IFERROR(__xludf.DUMMYFUNCTION("""COMPUTED_VALUE"""),47.0)</f>
        <v>47</v>
      </c>
      <c r="B51" s="2" t="str">
        <f>IFERROR(__xludf.DUMMYFUNCTION("""COMPUTED_VALUE"""),"COMPLETED")</f>
        <v>COMPLETED</v>
      </c>
      <c r="C51" s="74">
        <f>IFERROR(__xludf.DUMMYFUNCTION("""COMPUTED_VALUE"""),45383.0)</f>
        <v>45383</v>
      </c>
      <c r="D51" s="71" t="str">
        <f>IFERROR(__xludf.DUMMYFUNCTION("""COMPUTED_VALUE"""),"TUBIG BIYAYA IRRIGATORS' ASSOCIATION, INC.")</f>
        <v>TUBIG BIYAYA IRRIGATORS' ASSOCIATION, INC.</v>
      </c>
      <c r="E51" s="71" t="str">
        <f>IFERROR(__xludf.DUMMYFUNCTION("""COMPUTED_VALUE"""),"Binahaan, Pagbilao, Quezon")</f>
        <v>Binahaan, Pagbilao, Quezon</v>
      </c>
      <c r="F51" s="2" t="str">
        <f>IFERROR(__xludf.DUMMYFUNCTION("""COMPUTED_VALUE"""),"Primitiva C. Memorando")</f>
        <v>Primitiva C. Memorando</v>
      </c>
      <c r="G51" s="2" t="str">
        <f>IFERROR(__xludf.DUMMYFUNCTION("""COMPUTED_VALUE"""),"0998-881-3869")</f>
        <v>0998-881-3869</v>
      </c>
      <c r="H51" s="2" t="str">
        <f>IFERROR(__xludf.DUMMYFUNCTION("""COMPUTED_VALUE"""),"50 HRS")</f>
        <v>50 HRS</v>
      </c>
      <c r="I51" s="72" t="str">
        <f>IFERROR(__xludf.DUMMYFUNCTION("""COMPUTED_VALUE"""),"PMS")</f>
        <v>PMS</v>
      </c>
      <c r="J51" s="72" t="str">
        <f>IFERROR(__xludf.DUMMYFUNCTION("""COMPUTED_VALUE"""),"PMS")</f>
        <v>PMS</v>
      </c>
      <c r="K51" s="72" t="str">
        <f>IFERROR(__xludf.DUMMYFUNCTION("""COMPUTED_VALUE"""),"FIRST PMS")</f>
        <v>FIRST PMS</v>
      </c>
      <c r="L51" s="72" t="str">
        <f>IFERROR(__xludf.DUMMYFUNCTION("""COMPUTED_VALUE"""),"CHANGE OIL")</f>
        <v>CHANGE OIL</v>
      </c>
      <c r="M51" s="2"/>
      <c r="N51" s="2"/>
      <c r="O51" s="2" t="str">
        <f>IFERROR(__xludf.DUMMYFUNCTION("""COMPUTED_VALUE"""),"service report#1296")</f>
        <v>service report#1296</v>
      </c>
      <c r="P51" s="2"/>
      <c r="Q51" s="2"/>
      <c r="R51" s="74">
        <f>IFERROR(__xludf.DUMMYFUNCTION("""COMPUTED_VALUE"""),45396.0)</f>
        <v>45396</v>
      </c>
      <c r="S51" s="2" t="str">
        <f>IFERROR(__xludf.DUMMYFUNCTION("""COMPUTED_VALUE"""),"JTT")</f>
        <v>JTT</v>
      </c>
      <c r="T51" s="73" t="str">
        <f>IFERROR(__xludf.DUMMYFUNCTION("""COMPUTED_VALUE""")," N/A ")</f>
        <v>N/A</v>
      </c>
      <c r="U51" s="73" t="str">
        <f>IFERROR(__xludf.DUMMYFUNCTION("""COMPUTED_VALUE""")," NO CHARGE ")</f>
        <v>NO CHARGE</v>
      </c>
      <c r="V51" s="2"/>
      <c r="W51" s="2" t="str">
        <f>IFERROR(__xludf.DUMMYFUNCTION("""COMPUTED_VALUE"""),"N/A")</f>
        <v>N/A</v>
      </c>
      <c r="X51" s="2" t="str">
        <f>IFERROR(__xludf.DUMMYFUNCTION("""COMPUTED_VALUE"""),"N/A")</f>
        <v>N/A</v>
      </c>
      <c r="Y51" s="2" t="str">
        <f>IFERROR(__xludf.DUMMYFUNCTION("""COMPUTED_VALUE"""),"ERP  ")</f>
        <v>ERP  </v>
      </c>
      <c r="Z51" s="2"/>
      <c r="AA51" s="2"/>
      <c r="AB51" s="2"/>
      <c r="AC51" s="2"/>
      <c r="AD51" s="2"/>
      <c r="AE51" s="2"/>
      <c r="AF51" s="2"/>
      <c r="AG51" s="2"/>
      <c r="AH51" s="2"/>
      <c r="AI51" s="2"/>
      <c r="AJ51" s="2" t="str">
        <f>IFERROR(__xludf.DUMMYFUNCTION("""COMPUTED_VALUE"""),"Binahaan")</f>
        <v>Binahaan</v>
      </c>
      <c r="AK51" s="2" t="str">
        <f>IFERROR(__xludf.DUMMYFUNCTION("""COMPUTED_VALUE"""),"Pagbilao")</f>
        <v>Pagbilao</v>
      </c>
      <c r="AL51" s="2" t="str">
        <f>IFERROR(__xludf.DUMMYFUNCTION("""COMPUTED_VALUE"""),"Quezon")</f>
        <v>Quezon</v>
      </c>
      <c r="AM51" s="2" t="str">
        <f>IFERROR(__xludf.DUMMYFUNCTION("""COMPUTED_VALUE"""),"4A")</f>
        <v>4A</v>
      </c>
      <c r="AN51" s="2" t="str">
        <f>IFERROR(__xludf.DUMMYFUNCTION("""COMPUTED_VALUE"""),"RCEF 23-08-20 Rebidding")</f>
        <v>RCEF 23-08-20 Rebidding</v>
      </c>
      <c r="AO51" s="2">
        <f>IFERROR(__xludf.DUMMYFUNCTION("""COMPUTED_VALUE"""),1.0)</f>
        <v>1</v>
      </c>
      <c r="AP51" s="2"/>
      <c r="AQ51" s="2"/>
      <c r="AR51" s="2"/>
      <c r="AS51" s="2"/>
      <c r="AT51" s="2"/>
      <c r="AU51" s="2"/>
      <c r="AV51" s="2"/>
      <c r="AW51" s="2"/>
      <c r="AX51" s="2"/>
      <c r="AY51" s="2"/>
      <c r="AZ51" s="2"/>
      <c r="BA51" s="2"/>
      <c r="BB51" s="2"/>
    </row>
    <row r="52">
      <c r="A52" s="2">
        <f>IFERROR(__xludf.DUMMYFUNCTION("""COMPUTED_VALUE"""),48.0)</f>
        <v>48</v>
      </c>
      <c r="B52" s="2" t="str">
        <f>IFERROR(__xludf.DUMMYFUNCTION("""COMPUTED_VALUE"""),"COMPLETED")</f>
        <v>COMPLETED</v>
      </c>
      <c r="C52" s="74">
        <f>IFERROR(__xludf.DUMMYFUNCTION("""COMPUTED_VALUE"""),45386.0)</f>
        <v>45386</v>
      </c>
      <c r="D52" s="71" t="str">
        <f>IFERROR(__xludf.DUMMYFUNCTION("""COMPUTED_VALUE"""),"BAGUMBAYAN ORGANIC FARMER’S ASSOCIATION")</f>
        <v>BAGUMBAYAN ORGANIC FARMER’S ASSOCIATION</v>
      </c>
      <c r="E52" s="71" t="str">
        <f>IFERROR(__xludf.DUMMYFUNCTION("""COMPUTED_VALUE"""),"Bagumbayan, Santa Maria, Laguna")</f>
        <v>Bagumbayan, Santa Maria, Laguna</v>
      </c>
      <c r="F52" s="2" t="str">
        <f>IFERROR(__xludf.DUMMYFUNCTION("""COMPUTED_VALUE"""),"LORENZO V. MACASAET")</f>
        <v>LORENZO V. MACASAET</v>
      </c>
      <c r="G52" s="2" t="str">
        <f>IFERROR(__xludf.DUMMYFUNCTION("""COMPUTED_VALUE"""),"0967-208-5261")</f>
        <v>0967-208-5261</v>
      </c>
      <c r="H52" s="2" t="str">
        <f>IFERROR(__xludf.DUMMYFUNCTION("""COMPUTED_VALUE"""),"40.7 HRS")</f>
        <v>40.7 HRS</v>
      </c>
      <c r="I52" s="72" t="str">
        <f>IFERROR(__xludf.DUMMYFUNCTION("""COMPUTED_VALUE"""),"REPAIR - TRACTOR")</f>
        <v>REPAIR - TRACTOR</v>
      </c>
      <c r="J52" s="72" t="str">
        <f>IFERROR(__xludf.DUMMYFUNCTION("""COMPUTED_VALUE"""),"Engine - Thermostat")</f>
        <v>Engine - Thermostat</v>
      </c>
      <c r="K52" s="72" t="str">
        <f>IFERROR(__xludf.DUMMYFUNCTION("""COMPUTED_VALUE"""),"ENGINE OVERHEAT      
MAY 5, 2024: ASSESMENT OF TYM TRACTOR, KAILANGAN I-DISMANTLE ANG MAKINA AT KAILANGAN NG OVERHAUL")</f>
        <v>ENGINE OVERHEAT      
MAY 5, 2024: ASSESMENT OF TYM TRACTOR, KAILANGAN I-DISMANTLE ANG MAKINA AT KAILANGAN NG OVERHAUL</v>
      </c>
      <c r="L52" s="72" t="str">
        <f>IFERROR(__xludf.DUMMYFUNCTION("""COMPUTED_VALUE"""),"REPAIR THERMOSTAT")</f>
        <v>REPAIR THERMOSTAT</v>
      </c>
      <c r="M52" s="2" t="str">
        <f>IFERROR(__xludf.DUMMYFUNCTION("""COMPUTED_VALUE"""),"THERMOSTAT")</f>
        <v>THERMOSTAT</v>
      </c>
      <c r="N52" s="2"/>
      <c r="O52" s="2" t="str">
        <f>IFERROR(__xludf.DUMMYFUNCTION("""COMPUTED_VALUE"""),"service report#1297")</f>
        <v>service report#1297</v>
      </c>
      <c r="P52" s="2"/>
      <c r="Q52" s="2"/>
      <c r="R52" s="74">
        <f>IFERROR(__xludf.DUMMYFUNCTION("""COMPUTED_VALUE"""),45387.0)</f>
        <v>45387</v>
      </c>
      <c r="S52" s="2" t="str">
        <f>IFERROR(__xludf.DUMMYFUNCTION("""COMPUTED_VALUE"""),"JTT")</f>
        <v>JTT</v>
      </c>
      <c r="T52" s="73" t="str">
        <f>IFERROR(__xludf.DUMMYFUNCTION("""COMPUTED_VALUE""")," N/A ")</f>
        <v>N/A</v>
      </c>
      <c r="U52" s="73" t="str">
        <f>IFERROR(__xludf.DUMMYFUNCTION("""COMPUTED_VALUE""")," NO CHARGE ")</f>
        <v>NO CHARGE</v>
      </c>
      <c r="V52" s="2"/>
      <c r="W52" s="2" t="str">
        <f>IFERROR(__xludf.DUMMYFUNCTION("""COMPUTED_VALUE"""),"N/A")</f>
        <v>N/A</v>
      </c>
      <c r="X52" s="2" t="str">
        <f>IFERROR(__xludf.DUMMYFUNCTION("""COMPUTED_VALUE"""),"N/A")</f>
        <v>N/A</v>
      </c>
      <c r="Y52" s="2" t="str">
        <f>IFERROR(__xludf.DUMMYFUNCTION("""COMPUTED_VALUE"""),"ERP")</f>
        <v>ERP</v>
      </c>
      <c r="Z52" s="2"/>
      <c r="AA52" s="2"/>
      <c r="AB52" s="2"/>
      <c r="AC52" s="2"/>
      <c r="AD52" s="2"/>
      <c r="AE52" s="2"/>
      <c r="AF52" s="2"/>
      <c r="AG52" s="2"/>
      <c r="AH52" s="2"/>
      <c r="AI52" s="2"/>
      <c r="AJ52" s="2" t="str">
        <f>IFERROR(__xludf.DUMMYFUNCTION("""COMPUTED_VALUE"""),"Bagumbayan")</f>
        <v>Bagumbayan</v>
      </c>
      <c r="AK52" s="2" t="str">
        <f>IFERROR(__xludf.DUMMYFUNCTION("""COMPUTED_VALUE"""),"Santa Maria")</f>
        <v>Santa Maria</v>
      </c>
      <c r="AL52" s="2" t="str">
        <f>IFERROR(__xludf.DUMMYFUNCTION("""COMPUTED_VALUE"""),"Laguna")</f>
        <v>Laguna</v>
      </c>
      <c r="AM52" s="2" t="str">
        <f>IFERROR(__xludf.DUMMYFUNCTION("""COMPUTED_VALUE"""),"4A")</f>
        <v>4A</v>
      </c>
      <c r="AN52" s="2" t="str">
        <f>IFERROR(__xludf.DUMMYFUNCTION("""COMPUTED_VALUE"""),"RCEF 23-08-20 Rebidding")</f>
        <v>RCEF 23-08-20 Rebidding</v>
      </c>
      <c r="AO52" s="2">
        <f>IFERROR(__xludf.DUMMYFUNCTION("""COMPUTED_VALUE"""),1.0)</f>
        <v>1</v>
      </c>
      <c r="AP52" s="2"/>
      <c r="AQ52" s="2"/>
      <c r="AR52" s="2"/>
      <c r="AS52" s="2"/>
      <c r="AT52" s="2"/>
      <c r="AU52" s="2"/>
      <c r="AV52" s="2"/>
      <c r="AW52" s="2"/>
      <c r="AX52" s="2"/>
      <c r="AY52" s="2"/>
      <c r="AZ52" s="2"/>
      <c r="BA52" s="2"/>
      <c r="BB52" s="2"/>
    </row>
    <row r="53">
      <c r="A53" s="2">
        <f>IFERROR(__xludf.DUMMYFUNCTION("""COMPUTED_VALUE"""),49.0)</f>
        <v>49</v>
      </c>
      <c r="B53" s="2" t="str">
        <f>IFERROR(__xludf.DUMMYFUNCTION("""COMPUTED_VALUE"""),"COMPLETED")</f>
        <v>COMPLETED</v>
      </c>
      <c r="C53" s="74">
        <f>IFERROR(__xludf.DUMMYFUNCTION("""COMPUTED_VALUE"""),45387.0)</f>
        <v>45387</v>
      </c>
      <c r="D53" s="71" t="str">
        <f>IFERROR(__xludf.DUMMYFUNCTION("""COMPUTED_VALUE"""),"GILAS BITAS FARMERS ASSOCIATION")</f>
        <v>GILAS BITAS FARMERS ASSOCIATION</v>
      </c>
      <c r="E53" s="71" t="str">
        <f>IFERROR(__xludf.DUMMYFUNCTION("""COMPUTED_VALUE"""),"San Roque Bitas, Arayat, PAMPANGA")</f>
        <v>San Roque Bitas, Arayat, PAMPANGA</v>
      </c>
      <c r="F53" s="2" t="str">
        <f>IFERROR(__xludf.DUMMYFUNCTION("""COMPUTED_VALUE"""),"MANUEL M. PARAS")</f>
        <v>MANUEL M. PARAS</v>
      </c>
      <c r="G53" s="2" t="str">
        <f>IFERROR(__xludf.DUMMYFUNCTION("""COMPUTED_VALUE"""),"0905-302-2814")</f>
        <v>0905-302-2814</v>
      </c>
      <c r="H53" s="2" t="str">
        <f>IFERROR(__xludf.DUMMYFUNCTION("""COMPUTED_VALUE"""),"70 HRS")</f>
        <v>70 HRS</v>
      </c>
      <c r="I53" s="72" t="str">
        <f>IFERROR(__xludf.DUMMYFUNCTION("""COMPUTED_VALUE"""),"PMS")</f>
        <v>PMS</v>
      </c>
      <c r="J53" s="72" t="str">
        <f>IFERROR(__xludf.DUMMYFUNCTION("""COMPUTED_VALUE"""),"PMS")</f>
        <v>PMS</v>
      </c>
      <c r="K53" s="72" t="str">
        <f>IFERROR(__xludf.DUMMYFUNCTION("""COMPUTED_VALUE"""),"FIRST PMS")</f>
        <v>FIRST PMS</v>
      </c>
      <c r="L53" s="72" t="str">
        <f>IFERROR(__xludf.DUMMYFUNCTION("""COMPUTED_VALUE"""),"CHANGE OIL")</f>
        <v>CHANGE OIL</v>
      </c>
      <c r="M53" s="2"/>
      <c r="N53" s="2"/>
      <c r="O53" s="2" t="str">
        <f>IFERROR(__xludf.DUMMYFUNCTION("""COMPUTED_VALUE"""),"service report#1298")</f>
        <v>service report#1298</v>
      </c>
      <c r="P53" s="2"/>
      <c r="Q53" s="2"/>
      <c r="R53" s="74">
        <f>IFERROR(__xludf.DUMMYFUNCTION("""COMPUTED_VALUE"""),45393.0)</f>
        <v>45393</v>
      </c>
      <c r="S53" s="2" t="str">
        <f>IFERROR(__xludf.DUMMYFUNCTION("""COMPUTED_VALUE"""),"JC SICAT")</f>
        <v>JC SICAT</v>
      </c>
      <c r="T53" s="73">
        <f>IFERROR(__xludf.DUMMYFUNCTION("""COMPUTED_VALUE"""),5000.0)</f>
        <v>5000</v>
      </c>
      <c r="U53" s="73" t="str">
        <f>IFERROR(__xludf.DUMMYFUNCTION("""COMPUTED_VALUE""")," NO CHARGE ")</f>
        <v>NO CHARGE</v>
      </c>
      <c r="V53" s="2"/>
      <c r="W53" s="2" t="str">
        <f>IFERROR(__xludf.DUMMYFUNCTION("""COMPUTED_VALUE"""),"N/A")</f>
        <v>N/A</v>
      </c>
      <c r="X53" s="2" t="str">
        <f>IFERROR(__xludf.DUMMYFUNCTION("""COMPUTED_VALUE"""),"N/A")</f>
        <v>N/A</v>
      </c>
      <c r="Y53" s="2" t="str">
        <f>IFERROR(__xludf.DUMMYFUNCTION("""COMPUTED_VALUE"""),"ERP")</f>
        <v>ERP</v>
      </c>
      <c r="Z53" s="2"/>
      <c r="AA53" s="2"/>
      <c r="AB53" s="2"/>
      <c r="AC53" s="2"/>
      <c r="AD53" s="2"/>
      <c r="AE53" s="2"/>
      <c r="AF53" s="2"/>
      <c r="AG53" s="2"/>
      <c r="AH53" s="2"/>
      <c r="AI53" s="2"/>
      <c r="AJ53" s="2" t="str">
        <f>IFERROR(__xludf.DUMMYFUNCTION("""COMPUTED_VALUE"""),"San Roque Bitas")</f>
        <v>San Roque Bitas</v>
      </c>
      <c r="AK53" s="2" t="str">
        <f>IFERROR(__xludf.DUMMYFUNCTION("""COMPUTED_VALUE"""),"Arayat")</f>
        <v>Arayat</v>
      </c>
      <c r="AL53" s="2" t="str">
        <f>IFERROR(__xludf.DUMMYFUNCTION("""COMPUTED_VALUE"""),"Pampanga")</f>
        <v>Pampanga</v>
      </c>
      <c r="AM53" s="2">
        <f>IFERROR(__xludf.DUMMYFUNCTION("""COMPUTED_VALUE"""),3.0)</f>
        <v>3</v>
      </c>
      <c r="AN53" s="2" t="str">
        <f>IFERROR(__xludf.DUMMYFUNCTION("""COMPUTED_VALUE"""),"RCEF 23-09-21 Rebidding")</f>
        <v>RCEF 23-09-21 Rebidding</v>
      </c>
      <c r="AO53" s="2">
        <f>IFERROR(__xludf.DUMMYFUNCTION("""COMPUTED_VALUE"""),3.0)</f>
        <v>3</v>
      </c>
      <c r="AP53" s="2"/>
      <c r="AQ53" s="2"/>
      <c r="AR53" s="2"/>
      <c r="AS53" s="2"/>
      <c r="AT53" s="2"/>
      <c r="AU53" s="2"/>
      <c r="AV53" s="2"/>
      <c r="AW53" s="2"/>
      <c r="AX53" s="2"/>
      <c r="AY53" s="2"/>
      <c r="AZ53" s="2"/>
      <c r="BA53" s="2"/>
      <c r="BB53" s="2"/>
    </row>
    <row r="54">
      <c r="A54" s="2">
        <f>IFERROR(__xludf.DUMMYFUNCTION("""COMPUTED_VALUE"""),50.0)</f>
        <v>50</v>
      </c>
      <c r="B54" s="2" t="str">
        <f>IFERROR(__xludf.DUMMYFUNCTION("""COMPUTED_VALUE"""),"COMPLETED")</f>
        <v>COMPLETED</v>
      </c>
      <c r="C54" s="74">
        <f>IFERROR(__xludf.DUMMYFUNCTION("""COMPUTED_VALUE"""),45387.0)</f>
        <v>45387</v>
      </c>
      <c r="D54" s="71" t="str">
        <f>IFERROR(__xludf.DUMMYFUNCTION("""COMPUTED_VALUE"""),"BAGUMBAYAN ORGANIC FARMER’S ASSOCIATION")</f>
        <v>BAGUMBAYAN ORGANIC FARMER’S ASSOCIATION</v>
      </c>
      <c r="E54" s="71" t="str">
        <f>IFERROR(__xludf.DUMMYFUNCTION("""COMPUTED_VALUE"""),"Bagumbayan, Santa Maria, Laguna")</f>
        <v>Bagumbayan, Santa Maria, Laguna</v>
      </c>
      <c r="F54" s="2" t="str">
        <f>IFERROR(__xludf.DUMMYFUNCTION("""COMPUTED_VALUE"""),"LORENZO V. MACASAET")</f>
        <v>LORENZO V. MACASAET</v>
      </c>
      <c r="G54" s="2" t="str">
        <f>IFERROR(__xludf.DUMMYFUNCTION("""COMPUTED_VALUE"""),"0967-208-5261")</f>
        <v>0967-208-5261</v>
      </c>
      <c r="H54" s="2" t="str">
        <f>IFERROR(__xludf.DUMMYFUNCTION("""COMPUTED_VALUE"""),"40.7 HRS")</f>
        <v>40.7 HRS</v>
      </c>
      <c r="I54" s="72" t="str">
        <f>IFERROR(__xludf.DUMMYFUNCTION("""COMPUTED_VALUE"""),"PMS")</f>
        <v>PMS</v>
      </c>
      <c r="J54" s="72" t="str">
        <f>IFERROR(__xludf.DUMMYFUNCTION("""COMPUTED_VALUE"""),"PMS")</f>
        <v>PMS</v>
      </c>
      <c r="K54" s="72" t="str">
        <f>IFERROR(__xludf.DUMMYFUNCTION("""COMPUTED_VALUE"""),"FIRST PMS")</f>
        <v>FIRST PMS</v>
      </c>
      <c r="L54" s="72" t="str">
        <f>IFERROR(__xludf.DUMMYFUNCTION("""COMPUTED_VALUE"""),"CHANGE OIL")</f>
        <v>CHANGE OIL</v>
      </c>
      <c r="M54" s="2"/>
      <c r="N54" s="2"/>
      <c r="O54" s="2" t="str">
        <f>IFERROR(__xludf.DUMMYFUNCTION("""COMPUTED_VALUE"""),"service report#1299")</f>
        <v>service report#1299</v>
      </c>
      <c r="P54" s="2"/>
      <c r="Q54" s="2"/>
      <c r="R54" s="74">
        <f>IFERROR(__xludf.DUMMYFUNCTION("""COMPUTED_VALUE"""),45387.0)</f>
        <v>45387</v>
      </c>
      <c r="S54" s="2" t="str">
        <f>IFERROR(__xludf.DUMMYFUNCTION("""COMPUTED_VALUE"""),"JTT")</f>
        <v>JTT</v>
      </c>
      <c r="T54" s="73" t="str">
        <f>IFERROR(__xludf.DUMMYFUNCTION("""COMPUTED_VALUE""")," N/A ")</f>
        <v>N/A</v>
      </c>
      <c r="U54" s="73" t="str">
        <f>IFERROR(__xludf.DUMMYFUNCTION("""COMPUTED_VALUE""")," NO CHARGE ")</f>
        <v>NO CHARGE</v>
      </c>
      <c r="V54" s="2"/>
      <c r="W54" s="2" t="str">
        <f>IFERROR(__xludf.DUMMYFUNCTION("""COMPUTED_VALUE"""),"N/A")</f>
        <v>N/A</v>
      </c>
      <c r="X54" s="2" t="str">
        <f>IFERROR(__xludf.DUMMYFUNCTION("""COMPUTED_VALUE"""),"N/A")</f>
        <v>N/A</v>
      </c>
      <c r="Y54" s="2" t="str">
        <f>IFERROR(__xludf.DUMMYFUNCTION("""COMPUTED_VALUE"""),"JTT")</f>
        <v>JTT</v>
      </c>
      <c r="Z54" s="2"/>
      <c r="AA54" s="2"/>
      <c r="AB54" s="2"/>
      <c r="AC54" s="2"/>
      <c r="AD54" s="2"/>
      <c r="AE54" s="2"/>
      <c r="AF54" s="2"/>
      <c r="AG54" s="2"/>
      <c r="AH54" s="2"/>
      <c r="AI54" s="2"/>
      <c r="AJ54" s="2" t="str">
        <f>IFERROR(__xludf.DUMMYFUNCTION("""COMPUTED_VALUE"""),"Bagumbayan")</f>
        <v>Bagumbayan</v>
      </c>
      <c r="AK54" s="2" t="str">
        <f>IFERROR(__xludf.DUMMYFUNCTION("""COMPUTED_VALUE"""),"Santa Maria")</f>
        <v>Santa Maria</v>
      </c>
      <c r="AL54" s="2" t="str">
        <f>IFERROR(__xludf.DUMMYFUNCTION("""COMPUTED_VALUE"""),"Laguna")</f>
        <v>Laguna</v>
      </c>
      <c r="AM54" s="2" t="str">
        <f>IFERROR(__xludf.DUMMYFUNCTION("""COMPUTED_VALUE"""),"4A")</f>
        <v>4A</v>
      </c>
      <c r="AN54" s="2" t="str">
        <f>IFERROR(__xludf.DUMMYFUNCTION("""COMPUTED_VALUE"""),"RCEF 23-08-20 Rebidding")</f>
        <v>RCEF 23-08-20 Rebidding</v>
      </c>
      <c r="AO54" s="2">
        <f>IFERROR(__xludf.DUMMYFUNCTION("""COMPUTED_VALUE"""),1.0)</f>
        <v>1</v>
      </c>
      <c r="AP54" s="2"/>
      <c r="AQ54" s="2"/>
      <c r="AR54" s="2"/>
      <c r="AS54" s="2"/>
      <c r="AT54" s="2"/>
      <c r="AU54" s="2"/>
      <c r="AV54" s="2"/>
      <c r="AW54" s="2"/>
      <c r="AX54" s="2"/>
      <c r="AY54" s="2"/>
      <c r="AZ54" s="2"/>
      <c r="BA54" s="2"/>
      <c r="BB54" s="2"/>
    </row>
    <row r="55">
      <c r="A55" s="2">
        <f>IFERROR(__xludf.DUMMYFUNCTION("""COMPUTED_VALUE"""),51.0)</f>
        <v>51</v>
      </c>
      <c r="B55" s="2" t="str">
        <f>IFERROR(__xludf.DUMMYFUNCTION("""COMPUTED_VALUE"""),"COMPLETED")</f>
        <v>COMPLETED</v>
      </c>
      <c r="C55" s="74">
        <f>IFERROR(__xludf.DUMMYFUNCTION("""COMPUTED_VALUE"""),45390.0)</f>
        <v>45390</v>
      </c>
      <c r="D55" s="71" t="str">
        <f>IFERROR(__xludf.DUMMYFUNCTION("""COMPUTED_VALUE"""),"NAGUILIAN IRRIGATORS' ASSOCIATION, INC.")</f>
        <v>NAGUILIAN IRRIGATORS' ASSOCIATION, INC.</v>
      </c>
      <c r="E55" s="71" t="str">
        <f>IFERROR(__xludf.DUMMYFUNCTION("""COMPUTED_VALUE"""),"Naguilian, Lal-lo, CAGAYAN")</f>
        <v>Naguilian, Lal-lo, CAGAYAN</v>
      </c>
      <c r="F55" s="2" t="str">
        <f>IFERROR(__xludf.DUMMYFUNCTION("""COMPUTED_VALUE"""),"DIOSDADO URMATAM")</f>
        <v>DIOSDADO URMATAM</v>
      </c>
      <c r="G55" s="2" t="str">
        <f>IFERROR(__xludf.DUMMYFUNCTION("""COMPUTED_VALUE"""),"0906-100-0932")</f>
        <v>0906-100-0932</v>
      </c>
      <c r="H55" s="2" t="str">
        <f>IFERROR(__xludf.DUMMYFUNCTION("""COMPUTED_VALUE"""),"100 HRS")</f>
        <v>100 HRS</v>
      </c>
      <c r="I55" s="72" t="str">
        <f>IFERROR(__xludf.DUMMYFUNCTION("""COMPUTED_VALUE"""),"PMS")</f>
        <v>PMS</v>
      </c>
      <c r="J55" s="72" t="str">
        <f>IFERROR(__xludf.DUMMYFUNCTION("""COMPUTED_VALUE"""),"PMS")</f>
        <v>PMS</v>
      </c>
      <c r="K55" s="72" t="str">
        <f>IFERROR(__xludf.DUMMYFUNCTION("""COMPUTED_VALUE"""),"FIRST PMS")</f>
        <v>FIRST PMS</v>
      </c>
      <c r="L55" s="72" t="str">
        <f>IFERROR(__xludf.DUMMYFUNCTION("""COMPUTED_VALUE"""),"CHANGE OIL")</f>
        <v>CHANGE OIL</v>
      </c>
      <c r="M55" s="2"/>
      <c r="N55" s="2"/>
      <c r="O55" s="2" t="str">
        <f>IFERROR(__xludf.DUMMYFUNCTION("""COMPUTED_VALUE"""),"service report#1300")</f>
        <v>service report#1300</v>
      </c>
      <c r="P55" s="2"/>
      <c r="Q55" s="2"/>
      <c r="R55" s="74">
        <f>IFERROR(__xludf.DUMMYFUNCTION("""COMPUTED_VALUE"""),45394.0)</f>
        <v>45394</v>
      </c>
      <c r="S55" s="2" t="str">
        <f>IFERROR(__xludf.DUMMYFUNCTION("""COMPUTED_VALUE"""),"N/A")</f>
        <v>N/A</v>
      </c>
      <c r="T55" s="73" t="str">
        <f>IFERROR(__xludf.DUMMYFUNCTION("""COMPUTED_VALUE""")," N/A ")</f>
        <v>N/A</v>
      </c>
      <c r="U55" s="73" t="str">
        <f>IFERROR(__xludf.DUMMYFUNCTION("""COMPUTED_VALUE""")," NO CHARGE ")</f>
        <v>NO CHARGE</v>
      </c>
      <c r="V55" s="2"/>
      <c r="W55" s="2" t="str">
        <f>IFERROR(__xludf.DUMMYFUNCTION("""COMPUTED_VALUE"""),"N/A")</f>
        <v>N/A</v>
      </c>
      <c r="X55" s="2" t="str">
        <f>IFERROR(__xludf.DUMMYFUNCTION("""COMPUTED_VALUE"""),"N/A")</f>
        <v>N/A</v>
      </c>
      <c r="Y55" s="2"/>
      <c r="Z55" s="2"/>
      <c r="AA55" s="2"/>
      <c r="AB55" s="2"/>
      <c r="AC55" s="2"/>
      <c r="AD55" s="2"/>
      <c r="AE55" s="2"/>
      <c r="AF55" s="2"/>
      <c r="AG55" s="2"/>
      <c r="AH55" s="2"/>
      <c r="AI55" s="2"/>
      <c r="AJ55" s="2" t="str">
        <f>IFERROR(__xludf.DUMMYFUNCTION("""COMPUTED_VALUE"""),"Naguilian")</f>
        <v>Naguilian</v>
      </c>
      <c r="AK55" s="2" t="str">
        <f>IFERROR(__xludf.DUMMYFUNCTION("""COMPUTED_VALUE"""),"Lal-Lo")</f>
        <v>Lal-Lo</v>
      </c>
      <c r="AL55" s="2" t="str">
        <f>IFERROR(__xludf.DUMMYFUNCTION("""COMPUTED_VALUE"""),"Cagayan")</f>
        <v>Cagayan</v>
      </c>
      <c r="AM55" s="2">
        <f>IFERROR(__xludf.DUMMYFUNCTION("""COMPUTED_VALUE"""),2.0)</f>
        <v>2</v>
      </c>
      <c r="AN55" s="2" t="str">
        <f>IFERROR(__xludf.DUMMYFUNCTION("""COMPUTED_VALUE"""),"RCEF 23-09-21 Rebidding")</f>
        <v>RCEF 23-09-21 Rebidding</v>
      </c>
      <c r="AO55" s="2">
        <f>IFERROR(__xludf.DUMMYFUNCTION("""COMPUTED_VALUE"""),9.0)</f>
        <v>9</v>
      </c>
      <c r="AP55" s="2"/>
      <c r="AQ55" s="2"/>
      <c r="AR55" s="2"/>
      <c r="AS55" s="2"/>
      <c r="AT55" s="2"/>
      <c r="AU55" s="2"/>
      <c r="AV55" s="2"/>
      <c r="AW55" s="2"/>
      <c r="AX55" s="2"/>
      <c r="AY55" s="2"/>
      <c r="AZ55" s="2"/>
      <c r="BA55" s="2"/>
      <c r="BB55" s="2"/>
    </row>
    <row r="56">
      <c r="A56" s="2">
        <f>IFERROR(__xludf.DUMMYFUNCTION("""COMPUTED_VALUE"""),52.0)</f>
        <v>52</v>
      </c>
      <c r="B56" s="2" t="str">
        <f>IFERROR(__xludf.DUMMYFUNCTION("""COMPUTED_VALUE"""),"COMPLETED")</f>
        <v>COMPLETED</v>
      </c>
      <c r="C56" s="74">
        <f>IFERROR(__xludf.DUMMYFUNCTION("""COMPUTED_VALUE"""),45392.0)</f>
        <v>45392</v>
      </c>
      <c r="D56" s="71" t="str">
        <f>IFERROR(__xludf.DUMMYFUNCTION("""COMPUTED_VALUE"""),"BESSANG SMALL WATER IMPOUNDING SYSTEM ASSOCIATION (BESWISA)")</f>
        <v>BESSANG SMALL WATER IMPOUNDING SYSTEM ASSOCIATION (BESWISA)</v>
      </c>
      <c r="E56" s="71" t="str">
        <f>IFERROR(__xludf.DUMMYFUNCTION("""COMPUTED_VALUE"""),"Bessang, Allacapan, CAGAYAN")</f>
        <v>Bessang, Allacapan, CAGAYAN</v>
      </c>
      <c r="F56" s="2" t="str">
        <f>IFERROR(__xludf.DUMMYFUNCTION("""COMPUTED_VALUE"""),"MAXIMO VICERRA")</f>
        <v>MAXIMO VICERRA</v>
      </c>
      <c r="G56" s="2" t="str">
        <f>IFERROR(__xludf.DUMMYFUNCTION("""COMPUTED_VALUE"""),"0917-822-7233")</f>
        <v>0917-822-7233</v>
      </c>
      <c r="H56" s="2" t="str">
        <f>IFERROR(__xludf.DUMMYFUNCTION("""COMPUTED_VALUE"""),"45 HRS")</f>
        <v>45 HRS</v>
      </c>
      <c r="I56" s="72" t="str">
        <f>IFERROR(__xludf.DUMMYFUNCTION("""COMPUTED_VALUE"""),"PMS")</f>
        <v>PMS</v>
      </c>
      <c r="J56" s="72" t="str">
        <f>IFERROR(__xludf.DUMMYFUNCTION("""COMPUTED_VALUE"""),"PMS")</f>
        <v>PMS</v>
      </c>
      <c r="K56" s="72" t="str">
        <f>IFERROR(__xludf.DUMMYFUNCTION("""COMPUTED_VALUE"""),"FIRST PMS")</f>
        <v>FIRST PMS</v>
      </c>
      <c r="L56" s="72" t="str">
        <f>IFERROR(__xludf.DUMMYFUNCTION("""COMPUTED_VALUE"""),"CHANGE OIL")</f>
        <v>CHANGE OIL</v>
      </c>
      <c r="M56" s="2"/>
      <c r="N56" s="2"/>
      <c r="O56" s="2" t="str">
        <f>IFERROR(__xludf.DUMMYFUNCTION("""COMPUTED_VALUE"""),"JIE 201")</f>
        <v>JIE 201</v>
      </c>
      <c r="P56" s="2"/>
      <c r="Q56" s="2" t="str">
        <f>IFERROR(__xludf.DUMMYFUNCTION("""COMPUTED_VALUE"""),"FOR PRINT")</f>
        <v>FOR PRINT</v>
      </c>
      <c r="R56" s="74">
        <f>IFERROR(__xludf.DUMMYFUNCTION("""COMPUTED_VALUE"""),45398.0)</f>
        <v>45398</v>
      </c>
      <c r="S56" s="2" t="str">
        <f>IFERROR(__xludf.DUMMYFUNCTION("""COMPUTED_VALUE"""),"N/A")</f>
        <v>N/A</v>
      </c>
      <c r="T56" s="73" t="str">
        <f>IFERROR(__xludf.DUMMYFUNCTION("""COMPUTED_VALUE""")," N/A ")</f>
        <v>N/A</v>
      </c>
      <c r="U56" s="73" t="str">
        <f>IFERROR(__xludf.DUMMYFUNCTION("""COMPUTED_VALUE""")," NO CHARGE ")</f>
        <v>NO CHARGE</v>
      </c>
      <c r="V56" s="2"/>
      <c r="W56" s="2" t="str">
        <f>IFERROR(__xludf.DUMMYFUNCTION("""COMPUTED_VALUE"""),"N/A")</f>
        <v>N/A</v>
      </c>
      <c r="X56" s="2" t="str">
        <f>IFERROR(__xludf.DUMMYFUNCTION("""COMPUTED_VALUE"""),"N/A")</f>
        <v>N/A</v>
      </c>
      <c r="Y56" s="2" t="str">
        <f>IFERROR(__xludf.DUMMYFUNCTION("""COMPUTED_VALUE"""),"REPORTED BY JVV:        PMS C/O FCA")</f>
        <v>REPORTED BY JVV:        PMS C/O FCA</v>
      </c>
      <c r="Z56" s="2"/>
      <c r="AA56" s="2"/>
      <c r="AB56" s="2"/>
      <c r="AC56" s="2"/>
      <c r="AD56" s="2"/>
      <c r="AE56" s="2"/>
      <c r="AF56" s="2"/>
      <c r="AG56" s="2"/>
      <c r="AH56" s="2"/>
      <c r="AI56" s="2"/>
      <c r="AJ56" s="2" t="str">
        <f>IFERROR(__xludf.DUMMYFUNCTION("""COMPUTED_VALUE"""),"Bessang")</f>
        <v>Bessang</v>
      </c>
      <c r="AK56" s="2" t="str">
        <f>IFERROR(__xludf.DUMMYFUNCTION("""COMPUTED_VALUE"""),"Allacapan")</f>
        <v>Allacapan</v>
      </c>
      <c r="AL56" s="2" t="str">
        <f>IFERROR(__xludf.DUMMYFUNCTION("""COMPUTED_VALUE"""),"Cagayan")</f>
        <v>Cagayan</v>
      </c>
      <c r="AM56" s="2">
        <f>IFERROR(__xludf.DUMMYFUNCTION("""COMPUTED_VALUE"""),2.0)</f>
        <v>2</v>
      </c>
      <c r="AN56" s="2" t="str">
        <f>IFERROR(__xludf.DUMMYFUNCTION("""COMPUTED_VALUE"""),"RCEF 23-09-21 Rebidding")</f>
        <v>RCEF 23-09-21 Rebidding</v>
      </c>
      <c r="AO56" s="2">
        <f>IFERROR(__xludf.DUMMYFUNCTION("""COMPUTED_VALUE"""),1.0)</f>
        <v>1</v>
      </c>
      <c r="AP56" s="2"/>
      <c r="AQ56" s="2"/>
      <c r="AR56" s="2"/>
      <c r="AS56" s="2"/>
      <c r="AT56" s="2"/>
      <c r="AU56" s="2"/>
      <c r="AV56" s="2"/>
      <c r="AW56" s="2"/>
      <c r="AX56" s="2"/>
      <c r="AY56" s="2"/>
      <c r="AZ56" s="2"/>
      <c r="BA56" s="2"/>
      <c r="BB56" s="2"/>
    </row>
    <row r="57">
      <c r="A57" s="2">
        <f>IFERROR(__xludf.DUMMYFUNCTION("""COMPUTED_VALUE"""),53.0)</f>
        <v>53</v>
      </c>
      <c r="B57" s="2" t="str">
        <f>IFERROR(__xludf.DUMMYFUNCTION("""COMPUTED_VALUE"""),"COMPLETED")</f>
        <v>COMPLETED</v>
      </c>
      <c r="C57" s="74">
        <f>IFERROR(__xludf.DUMMYFUNCTION("""COMPUTED_VALUE"""),45398.0)</f>
        <v>45398</v>
      </c>
      <c r="D57" s="71" t="str">
        <f>IFERROR(__xludf.DUMMYFUNCTION("""COMPUTED_VALUE"""),"SANDOVAL FARMERS ASSOCIATION")</f>
        <v>SANDOVAL FARMERS ASSOCIATION</v>
      </c>
      <c r="E57" s="71" t="str">
        <f>IFERROR(__xludf.DUMMYFUNCTION("""COMPUTED_VALUE"""),"Sandoval, Roxas, Palawan")</f>
        <v>Sandoval, Roxas, Palawan</v>
      </c>
      <c r="F57" s="2" t="str">
        <f>IFERROR(__xludf.DUMMYFUNCTION("""COMPUTED_VALUE"""),"PHILIP G. FLORES")</f>
        <v>PHILIP G. FLORES</v>
      </c>
      <c r="G57" s="2" t="str">
        <f>IFERROR(__xludf.DUMMYFUNCTION("""COMPUTED_VALUE"""),"0906-957-8374")</f>
        <v>0906-957-8374</v>
      </c>
      <c r="H57" s="2" t="str">
        <f>IFERROR(__xludf.DUMMYFUNCTION("""COMPUTED_VALUE"""),"50 HRS")</f>
        <v>50 HRS</v>
      </c>
      <c r="I57" s="72" t="str">
        <f>IFERROR(__xludf.DUMMYFUNCTION("""COMPUTED_VALUE"""),"PMS")</f>
        <v>PMS</v>
      </c>
      <c r="J57" s="72" t="str">
        <f>IFERROR(__xludf.DUMMYFUNCTION("""COMPUTED_VALUE"""),"PMS")</f>
        <v>PMS</v>
      </c>
      <c r="K57" s="72" t="str">
        <f>IFERROR(__xludf.DUMMYFUNCTION("""COMPUTED_VALUE"""),"FIRST PMS")</f>
        <v>FIRST PMS</v>
      </c>
      <c r="L57" s="72" t="str">
        <f>IFERROR(__xludf.DUMMYFUNCTION("""COMPUTED_VALUE"""),"CHANGE OIL")</f>
        <v>CHANGE OIL</v>
      </c>
      <c r="M57" s="2"/>
      <c r="N57" s="2"/>
      <c r="O57" s="2" t="str">
        <f>IFERROR(__xludf.DUMMYFUNCTION("""COMPUTED_VALUE"""),"JIE 202")</f>
        <v>JIE 202</v>
      </c>
      <c r="P57" s="2"/>
      <c r="Q57" s="2" t="str">
        <f>IFERROR(__xludf.DUMMYFUNCTION("""COMPUTED_VALUE"""),"FOR PRINT")</f>
        <v>FOR PRINT</v>
      </c>
      <c r="R57" s="74">
        <f>IFERROR(__xludf.DUMMYFUNCTION("""COMPUTED_VALUE"""),45406.0)</f>
        <v>45406</v>
      </c>
      <c r="S57" s="2" t="str">
        <f>IFERROR(__xludf.DUMMYFUNCTION("""COMPUTED_VALUE"""),"RCG/BASTE")</f>
        <v>RCG/BASTE</v>
      </c>
      <c r="T57" s="73" t="str">
        <f>IFERROR(__xludf.DUMMYFUNCTION("""COMPUTED_VALUE""")," N/A ")</f>
        <v>N/A</v>
      </c>
      <c r="U57" s="73" t="str">
        <f>IFERROR(__xludf.DUMMYFUNCTION("""COMPUTED_VALUE""")," NO CHARGE ")</f>
        <v>NO CHARGE</v>
      </c>
      <c r="V57" s="2"/>
      <c r="W57" s="2" t="str">
        <f>IFERROR(__xludf.DUMMYFUNCTION("""COMPUTED_VALUE"""),"N/A")</f>
        <v>N/A</v>
      </c>
      <c r="X57" s="2" t="str">
        <f>IFERROR(__xludf.DUMMYFUNCTION("""COMPUTED_VALUE"""),"N/A")</f>
        <v>N/A</v>
      </c>
      <c r="Y57" s="2" t="str">
        <f>IFERROR(__xludf.DUMMYFUNCTION("""COMPUTED_VALUE"""),"RCG: PMS C/O FCA: NEED TO SIGN AGREEMENT")</f>
        <v>RCG: PMS C/O FCA: NEED TO SIGN AGREEMENT</v>
      </c>
      <c r="Z57" s="2"/>
      <c r="AA57" s="2"/>
      <c r="AB57" s="2"/>
      <c r="AC57" s="2"/>
      <c r="AD57" s="2"/>
      <c r="AE57" s="2"/>
      <c r="AF57" s="2"/>
      <c r="AG57" s="2"/>
      <c r="AH57" s="2"/>
      <c r="AI57" s="2"/>
      <c r="AJ57" s="2" t="str">
        <f>IFERROR(__xludf.DUMMYFUNCTION("""COMPUTED_VALUE"""),"Sandoval")</f>
        <v>Sandoval</v>
      </c>
      <c r="AK57" s="2" t="str">
        <f>IFERROR(__xludf.DUMMYFUNCTION("""COMPUTED_VALUE"""),"Roxas")</f>
        <v>Roxas</v>
      </c>
      <c r="AL57" s="2" t="str">
        <f>IFERROR(__xludf.DUMMYFUNCTION("""COMPUTED_VALUE"""),"Palawan")</f>
        <v>Palawan</v>
      </c>
      <c r="AM57" s="2" t="str">
        <f>IFERROR(__xludf.DUMMYFUNCTION("""COMPUTED_VALUE"""),"4B")</f>
        <v>4B</v>
      </c>
      <c r="AN57" s="2" t="str">
        <f>IFERROR(__xludf.DUMMYFUNCTION("""COMPUTED_VALUE"""),"RCEF 23-08-20 Rebidding")</f>
        <v>RCEF 23-08-20 Rebidding</v>
      </c>
      <c r="AO57" s="2">
        <f>IFERROR(__xludf.DUMMYFUNCTION("""COMPUTED_VALUE"""),1.0)</f>
        <v>1</v>
      </c>
      <c r="AP57" s="2"/>
      <c r="AQ57" s="2"/>
      <c r="AR57" s="2"/>
      <c r="AS57" s="2"/>
      <c r="AT57" s="2"/>
      <c r="AU57" s="2"/>
      <c r="AV57" s="2"/>
      <c r="AW57" s="2"/>
      <c r="AX57" s="2"/>
      <c r="AY57" s="2"/>
      <c r="AZ57" s="2"/>
      <c r="BA57" s="2"/>
      <c r="BB57" s="2"/>
    </row>
    <row r="58">
      <c r="A58" s="2">
        <f>IFERROR(__xludf.DUMMYFUNCTION("""COMPUTED_VALUE"""),54.0)</f>
        <v>54</v>
      </c>
      <c r="B58" s="2" t="str">
        <f>IFERROR(__xludf.DUMMYFUNCTION("""COMPUTED_VALUE"""),"COMPLETED")</f>
        <v>COMPLETED</v>
      </c>
      <c r="C58" s="74">
        <f>IFERROR(__xludf.DUMMYFUNCTION("""COMPUTED_VALUE"""),45399.0)</f>
        <v>45399</v>
      </c>
      <c r="D58" s="71" t="str">
        <f>IFERROR(__xludf.DUMMYFUNCTION("""COMPUTED_VALUE"""),"BAGUMBAYAN ROXAS ORIENTAL MINDORO FARMERS ASSOCIATION")</f>
        <v>BAGUMBAYAN ROXAS ORIENTAL MINDORO FARMERS ASSOCIATION</v>
      </c>
      <c r="E58" s="71" t="str">
        <f>IFERROR(__xludf.DUMMYFUNCTION("""COMPUTED_VALUE"""),"Bagumbayan, Roxas, Oriental Mindoro")</f>
        <v>Bagumbayan, Roxas, Oriental Mindoro</v>
      </c>
      <c r="F58" s="2" t="str">
        <f>IFERROR(__xludf.DUMMYFUNCTION("""COMPUTED_VALUE"""),"RENE AGBAS")</f>
        <v>RENE AGBAS</v>
      </c>
      <c r="G58" s="2" t="str">
        <f>IFERROR(__xludf.DUMMYFUNCTION("""COMPUTED_VALUE"""),"0916-7800-816")</f>
        <v>0916-7800-816</v>
      </c>
      <c r="H58" s="2" t="str">
        <f>IFERROR(__xludf.DUMMYFUNCTION("""COMPUTED_VALUE"""),"58 HRS")</f>
        <v>58 HRS</v>
      </c>
      <c r="I58" s="72" t="str">
        <f>IFERROR(__xludf.DUMMYFUNCTION("""COMPUTED_VALUE"""),"REPAIR - TRACTOR")</f>
        <v>REPAIR - TRACTOR</v>
      </c>
      <c r="J58" s="72" t="str">
        <f>IFERROR(__xludf.DUMMYFUNCTION("""COMPUTED_VALUE"""),"Engine - Overhaul")</f>
        <v>Engine - Overhaul</v>
      </c>
      <c r="K58" s="72" t="str">
        <f>IFERROR(__xludf.DUMMYFUNCTION("""COMPUTED_VALUE"""),"ENGINE OVERHEAT      
MAY 5, 2024: ASSESMENT OF TYM TRACTOR, KAILANGAN I-DISMANTLE ANG MAKINA AT KAILANGAN NG OVERHAUL    
6/7/24:PARTS NEEDED: ENGINE BLOCK, CYLINDER HEAD ASSY, CYLINDER HEAD GASKET,  4 PISTON, 4 SETS OF PISTON RING, 8 VALVE SEAL
")</f>
        <v>ENGINE OVERHEAT      
MAY 5, 2024: ASSESMENT OF TYM TRACTOR, KAILANGAN I-DISMANTLE ANG MAKINA AT KAILANGAN NG OVERHAUL    
6/7/24:PARTS NEEDED: ENGINE BLOCK, CYLINDER HEAD ASSY, CYLINDER HEAD GASKET,  4 PISTON, 4 SETS OF PISTON RING, 8 VALVE SEAL
</v>
      </c>
      <c r="L58" s="72" t="str">
        <f>IFERROR(__xludf.DUMMYFUNCTION("""COMPUTED_VALUE""")," RBS: WALANG DAMAGE YUNG CYLINDER BLOCK, NGAKAROON NG CRACK YUNG CYLINDER HEAD KAYA DINALA NA PO SA MACHINE SHOP
PART: CYLINDER HEAD GASKET")</f>
        <v> RBS: WALANG DAMAGE YUNG CYLINDER BLOCK, NGAKAROON NG CRACK YUNG CYLINDER HEAD KAYA DINALA NA PO SA MACHINE SHOP
PART: CYLINDER HEAD GASKET</v>
      </c>
      <c r="M58" s="2"/>
      <c r="N58" s="2" t="str">
        <f>IFERROR(__xludf.DUMMYFUNCTION("""COMPUTED_VALUE"""),"PART: CYLINDER HEAD GASKET")</f>
        <v>PART: CYLINDER HEAD GASKET</v>
      </c>
      <c r="O58" s="2" t="str">
        <f>IFERROR(__xludf.DUMMYFUNCTION("""COMPUTED_VALUE"""),"JIE 203")</f>
        <v>JIE 203</v>
      </c>
      <c r="P58" s="2"/>
      <c r="Q58" s="2" t="str">
        <f>IFERROR(__xludf.DUMMYFUNCTION("""COMPUTED_VALUE"""),"FOR PRINT")</f>
        <v>FOR PRINT</v>
      </c>
      <c r="R58" s="74">
        <f>IFERROR(__xludf.DUMMYFUNCTION("""COMPUTED_VALUE"""),45456.0)</f>
        <v>45456</v>
      </c>
      <c r="S58" s="2" t="str">
        <f>IFERROR(__xludf.DUMMYFUNCTION("""COMPUTED_VALUE"""),"RCG/LBA")</f>
        <v>RCG/LBA</v>
      </c>
      <c r="T58" s="73" t="str">
        <f>IFERROR(__xludf.DUMMYFUNCTION("""COMPUTED_VALUE""")," N/A ")</f>
        <v>N/A</v>
      </c>
      <c r="U58" s="73" t="str">
        <f>IFERROR(__xludf.DUMMYFUNCTION("""COMPUTED_VALUE""")," NO CHARGE ")</f>
        <v>NO CHARGE</v>
      </c>
      <c r="V58" s="2"/>
      <c r="W58" s="2" t="str">
        <f>IFERROR(__xludf.DUMMYFUNCTION("""COMPUTED_VALUE"""),"N/A")</f>
        <v>N/A</v>
      </c>
      <c r="X58" s="2" t="str">
        <f>IFERROR(__xludf.DUMMYFUNCTION("""COMPUTED_VALUE"""),"N/A")</f>
        <v>N/A</v>
      </c>
      <c r="Y58" s="2" t="str">
        <f>IFERROR(__xludf.DUMMYFUNCTION("""COMPUTED_VALUE"""),"RCG // MYKEE: SERVICE REPORT#1 DONE.  //  SERVICE REPORT #2 DONE.     (Fit corea will assesed the unit for schedule)")</f>
        <v>RCG // MYKEE: SERVICE REPORT#1 DONE.  //  SERVICE REPORT #2 DONE.     (Fit corea will assesed the unit for schedule)</v>
      </c>
      <c r="Z58" s="2"/>
      <c r="AA58" s="2" t="str">
        <f>IFERROR(__xludf.DUMMYFUNCTION("""COMPUTED_VALUE"""),"APPROVED")</f>
        <v>APPROVED</v>
      </c>
      <c r="AB58" s="2" t="str">
        <f>IFERROR(__xludf.DUMMYFUNCTION("""COMPUTED_VALUE"""),"ACCOMPLISHED")</f>
        <v>ACCOMPLISHED</v>
      </c>
      <c r="AC58" s="2" t="str">
        <f>IFERROR(__xludf.DUMMYFUNCTION("""COMPUTED_VALUE"""),"Y")</f>
        <v>Y</v>
      </c>
      <c r="AD58" s="2"/>
      <c r="AE58" s="2"/>
      <c r="AF58" s="2"/>
      <c r="AG58" s="2"/>
      <c r="AH58" s="2"/>
      <c r="AI58" s="2"/>
      <c r="AJ58" s="2" t="str">
        <f>IFERROR(__xludf.DUMMYFUNCTION("""COMPUTED_VALUE"""),"Bagumbayan")</f>
        <v>Bagumbayan</v>
      </c>
      <c r="AK58" s="2" t="str">
        <f>IFERROR(__xludf.DUMMYFUNCTION("""COMPUTED_VALUE"""),"Roxas")</f>
        <v>Roxas</v>
      </c>
      <c r="AL58" s="2" t="str">
        <f>IFERROR(__xludf.DUMMYFUNCTION("""COMPUTED_VALUE"""),"Oriental Mindoro")</f>
        <v>Oriental Mindoro</v>
      </c>
      <c r="AM58" s="2" t="str">
        <f>IFERROR(__xludf.DUMMYFUNCTION("""COMPUTED_VALUE"""),"4B")</f>
        <v>4B</v>
      </c>
      <c r="AN58" s="2" t="str">
        <f>IFERROR(__xludf.DUMMYFUNCTION("""COMPUTED_VALUE"""),"RCEF 23-08-20 Rebidding")</f>
        <v>RCEF 23-08-20 Rebidding</v>
      </c>
      <c r="AO58" s="2">
        <f>IFERROR(__xludf.DUMMYFUNCTION("""COMPUTED_VALUE"""),1.0)</f>
        <v>1</v>
      </c>
      <c r="AP58" s="2"/>
      <c r="AQ58" s="2"/>
      <c r="AR58" s="2"/>
      <c r="AS58" s="2"/>
      <c r="AT58" s="2"/>
      <c r="AU58" s="2"/>
      <c r="AV58" s="2"/>
      <c r="AW58" s="2"/>
      <c r="AX58" s="2"/>
      <c r="AY58" s="2"/>
      <c r="AZ58" s="2"/>
      <c r="BA58" s="2"/>
      <c r="BB58" s="2"/>
    </row>
    <row r="59">
      <c r="A59" s="2">
        <f>IFERROR(__xludf.DUMMYFUNCTION("""COMPUTED_VALUE"""),55.0)</f>
        <v>55</v>
      </c>
      <c r="B59" s="2" t="str">
        <f>IFERROR(__xludf.DUMMYFUNCTION("""COMPUTED_VALUE"""),"COMPLETED")</f>
        <v>COMPLETED</v>
      </c>
      <c r="C59" s="74">
        <f>IFERROR(__xludf.DUMMYFUNCTION("""COMPUTED_VALUE"""),45400.0)</f>
        <v>45400</v>
      </c>
      <c r="D59" s="71" t="str">
        <f>IFERROR(__xludf.DUMMYFUNCTION("""COMPUTED_VALUE"""),"CAMLONGAN IRRIGATORS ASSOCIATION INC.")</f>
        <v>CAMLONGAN IRRIGATORS ASSOCIATION INC.</v>
      </c>
      <c r="E59" s="71" t="str">
        <f>IFERROR(__xludf.DUMMYFUNCTION("""COMPUTED_VALUE"""),"Kapitangan, Paombong, BULACAN")</f>
        <v>Kapitangan, Paombong, BULACAN</v>
      </c>
      <c r="F59" s="2" t="str">
        <f>IFERROR(__xludf.DUMMYFUNCTION("""COMPUTED_VALUE"""),"DESIDERIO PABLICO")</f>
        <v>DESIDERIO PABLICO</v>
      </c>
      <c r="G59" s="2" t="str">
        <f>IFERROR(__xludf.DUMMYFUNCTION("""COMPUTED_VALUE"""),"0921-2606-572")</f>
        <v>0921-2606-572</v>
      </c>
      <c r="H59" s="2"/>
      <c r="I59" s="72" t="str">
        <f>IFERROR(__xludf.DUMMYFUNCTION("""COMPUTED_VALUE"""),"TRAINING REQUEST")</f>
        <v>TRAINING REQUEST</v>
      </c>
      <c r="J59" s="72" t="str">
        <f>IFERROR(__xludf.DUMMYFUNCTION("""COMPUTED_VALUE"""),"TRAINING REQUEST")</f>
        <v>TRAINING REQUEST</v>
      </c>
      <c r="K59" s="72" t="str">
        <f>IFERROR(__xludf.DUMMYFUNCTION("""COMPUTED_VALUE"""),"ASSISTANCE FOR IMPLEMENTS")</f>
        <v>ASSISTANCE FOR IMPLEMENTS</v>
      </c>
      <c r="L59" s="72" t="str">
        <f>IFERROR(__xludf.DUMMYFUNCTION("""COMPUTED_VALUE"""),"ASSIST FARMERS TRAINING REQUEST")</f>
        <v>ASSIST FARMERS TRAINING REQUEST</v>
      </c>
      <c r="M59" s="2"/>
      <c r="N59" s="2"/>
      <c r="O59" s="2" t="str">
        <f>IFERROR(__xludf.DUMMYFUNCTION("""COMPUTED_VALUE"""),"JIE 204")</f>
        <v>JIE 204</v>
      </c>
      <c r="P59" s="2"/>
      <c r="Q59" s="2" t="str">
        <f>IFERROR(__xludf.DUMMYFUNCTION("""COMPUTED_VALUE"""),"FOR PRINT")</f>
        <v>FOR PRINT</v>
      </c>
      <c r="R59" s="74">
        <f>IFERROR(__xludf.DUMMYFUNCTION("""COMPUTED_VALUE"""),45414.0)</f>
        <v>45414</v>
      </c>
      <c r="S59" s="2" t="str">
        <f>IFERROR(__xludf.DUMMYFUNCTION("""COMPUTED_VALUE"""),"EGT")</f>
        <v>EGT</v>
      </c>
      <c r="T59" s="73" t="str">
        <f>IFERROR(__xludf.DUMMYFUNCTION("""COMPUTED_VALUE""")," N/A ")</f>
        <v>N/A</v>
      </c>
      <c r="U59" s="73" t="str">
        <f>IFERROR(__xludf.DUMMYFUNCTION("""COMPUTED_VALUE""")," NO CHARGE ")</f>
        <v>NO CHARGE</v>
      </c>
      <c r="V59" s="2"/>
      <c r="W59" s="2" t="str">
        <f>IFERROR(__xludf.DUMMYFUNCTION("""COMPUTED_VALUE"""),"N/A")</f>
        <v>N/A</v>
      </c>
      <c r="X59" s="2" t="str">
        <f>IFERROR(__xludf.DUMMYFUNCTION("""COMPUTED_VALUE"""),"N/A")</f>
        <v>N/A</v>
      </c>
      <c r="Y59" s="2" t="str">
        <f>IFERROR(__xludf.DUMMYFUNCTION("""COMPUTED_VALUE"""),"KFS")</f>
        <v>KFS</v>
      </c>
      <c r="Z59" s="2"/>
      <c r="AA59" s="2"/>
      <c r="AB59" s="2"/>
      <c r="AC59" s="2"/>
      <c r="AD59" s="2"/>
      <c r="AE59" s="2"/>
      <c r="AF59" s="2"/>
      <c r="AG59" s="2"/>
      <c r="AH59" s="2"/>
      <c r="AI59" s="2"/>
      <c r="AJ59" s="2" t="str">
        <f>IFERROR(__xludf.DUMMYFUNCTION("""COMPUTED_VALUE"""),"Kapitangan")</f>
        <v>Kapitangan</v>
      </c>
      <c r="AK59" s="2" t="str">
        <f>IFERROR(__xludf.DUMMYFUNCTION("""COMPUTED_VALUE"""),"Paombong")</f>
        <v>Paombong</v>
      </c>
      <c r="AL59" s="2" t="str">
        <f>IFERROR(__xludf.DUMMYFUNCTION("""COMPUTED_VALUE"""),"Bulacan")</f>
        <v>Bulacan</v>
      </c>
      <c r="AM59" s="2">
        <f>IFERROR(__xludf.DUMMYFUNCTION("""COMPUTED_VALUE"""),3.0)</f>
        <v>3</v>
      </c>
      <c r="AN59" s="2" t="str">
        <f>IFERROR(__xludf.DUMMYFUNCTION("""COMPUTED_VALUE"""),"RCEF 23-09-21 Rebidding")</f>
        <v>RCEF 23-09-21 Rebidding</v>
      </c>
      <c r="AO59" s="2">
        <f>IFERROR(__xludf.DUMMYFUNCTION("""COMPUTED_VALUE"""),3.0)</f>
        <v>3</v>
      </c>
      <c r="AP59" s="2"/>
      <c r="AQ59" s="2"/>
      <c r="AR59" s="2"/>
      <c r="AS59" s="2"/>
      <c r="AT59" s="2"/>
      <c r="AU59" s="2"/>
      <c r="AV59" s="2"/>
      <c r="AW59" s="2"/>
      <c r="AX59" s="2"/>
      <c r="AY59" s="2"/>
      <c r="AZ59" s="2"/>
      <c r="BA59" s="2"/>
      <c r="BB59" s="2"/>
    </row>
    <row r="60">
      <c r="A60" s="2">
        <f>IFERROR(__xludf.DUMMYFUNCTION("""COMPUTED_VALUE"""),56.0)</f>
        <v>56</v>
      </c>
      <c r="B60" s="2" t="str">
        <f>IFERROR(__xludf.DUMMYFUNCTION("""COMPUTED_VALUE"""),"COMPLETED")</f>
        <v>COMPLETED</v>
      </c>
      <c r="C60" s="74">
        <f>IFERROR(__xludf.DUMMYFUNCTION("""COMPUTED_VALUE"""),45401.0)</f>
        <v>45401</v>
      </c>
      <c r="D60" s="71" t="str">
        <f>IFERROR(__xludf.DUMMYFUNCTION("""COMPUTED_VALUE"""),"MACATOC FARMERS ASSOCIATION")</f>
        <v>MACATOC FARMERS ASSOCIATION</v>
      </c>
      <c r="E60" s="71" t="str">
        <f>IFERROR(__xludf.DUMMYFUNCTION("""COMPUTED_VALUE"""),"Macatoc, Victoria, Oriental Mindoro")</f>
        <v>Macatoc, Victoria, Oriental Mindoro</v>
      </c>
      <c r="F60" s="2" t="str">
        <f>IFERROR(__xludf.DUMMYFUNCTION("""COMPUTED_VALUE"""),"DENVER PERICO")</f>
        <v>DENVER PERICO</v>
      </c>
      <c r="G60" s="2" t="str">
        <f>IFERROR(__xludf.DUMMYFUNCTION("""COMPUTED_VALUE"""),"0977-652-5896")</f>
        <v>0977-652-5896</v>
      </c>
      <c r="H60" s="2" t="str">
        <f>IFERROR(__xludf.DUMMYFUNCTION("""COMPUTED_VALUE"""),"50 HRS")</f>
        <v>50 HRS</v>
      </c>
      <c r="I60" s="72" t="str">
        <f>IFERROR(__xludf.DUMMYFUNCTION("""COMPUTED_VALUE"""),"PMS")</f>
        <v>PMS</v>
      </c>
      <c r="J60" s="72" t="str">
        <f>IFERROR(__xludf.DUMMYFUNCTION("""COMPUTED_VALUE"""),"PMS")</f>
        <v>PMS</v>
      </c>
      <c r="K60" s="72" t="str">
        <f>IFERROR(__xludf.DUMMYFUNCTION("""COMPUTED_VALUE"""),"FIRST PMS")</f>
        <v>FIRST PMS</v>
      </c>
      <c r="L60" s="72" t="str">
        <f>IFERROR(__xludf.DUMMYFUNCTION("""COMPUTED_VALUE"""),"CHANGE OIL")</f>
        <v>CHANGE OIL</v>
      </c>
      <c r="M60" s="2"/>
      <c r="N60" s="2" t="str">
        <f>IFERROR(__xludf.DUMMYFUNCTION("""COMPUTED_VALUE"""),"OIL FILTER")</f>
        <v>OIL FILTER</v>
      </c>
      <c r="O60" s="2" t="str">
        <f>IFERROR(__xludf.DUMMYFUNCTION("""COMPUTED_VALUE"""),"JIE 205")</f>
        <v>JIE 205</v>
      </c>
      <c r="P60" s="2"/>
      <c r="Q60" s="2" t="str">
        <f>IFERROR(__xludf.DUMMYFUNCTION("""COMPUTED_VALUE"""),"FOR PRINT")</f>
        <v>FOR PRINT</v>
      </c>
      <c r="R60" s="74">
        <f>IFERROR(__xludf.DUMMYFUNCTION("""COMPUTED_VALUE"""),45412.0)</f>
        <v>45412</v>
      </c>
      <c r="S60" s="2" t="str">
        <f>IFERROR(__xludf.DUMMYFUNCTION("""COMPUTED_VALUE"""),"RCG")</f>
        <v>RCG</v>
      </c>
      <c r="T60" s="73">
        <f>IFERROR(__xludf.DUMMYFUNCTION("""COMPUTED_VALUE"""),2837.5)</f>
        <v>2837.5</v>
      </c>
      <c r="U60" s="73" t="str">
        <f>IFERROR(__xludf.DUMMYFUNCTION("""COMPUTED_VALUE""")," REMITTED ")</f>
        <v>REMITTED</v>
      </c>
      <c r="V60" s="2"/>
      <c r="W60" s="2"/>
      <c r="X60" s="2">
        <f>IFERROR(__xludf.DUMMYFUNCTION("""COMPUTED_VALUE"""),1094.0)</f>
        <v>1094</v>
      </c>
      <c r="Y60" s="2" t="str">
        <f>IFERROR(__xludf.DUMMYFUNCTION("""COMPUTED_VALUE"""),"KFS")</f>
        <v>KFS</v>
      </c>
      <c r="Z60" s="2"/>
      <c r="AA60" s="2"/>
      <c r="AB60" s="2"/>
      <c r="AC60" s="2"/>
      <c r="AD60" s="2"/>
      <c r="AE60" s="2"/>
      <c r="AF60" s="2"/>
      <c r="AG60" s="2"/>
      <c r="AH60" s="2"/>
      <c r="AI60" s="2"/>
      <c r="AJ60" s="2" t="str">
        <f>IFERROR(__xludf.DUMMYFUNCTION("""COMPUTED_VALUE"""),"Macatoc")</f>
        <v>Macatoc</v>
      </c>
      <c r="AK60" s="2" t="str">
        <f>IFERROR(__xludf.DUMMYFUNCTION("""COMPUTED_VALUE"""),"Victoria")</f>
        <v>Victoria</v>
      </c>
      <c r="AL60" s="2" t="str">
        <f>IFERROR(__xludf.DUMMYFUNCTION("""COMPUTED_VALUE"""),"Oriental Mindoro")</f>
        <v>Oriental Mindoro</v>
      </c>
      <c r="AM60" s="2" t="str">
        <f>IFERROR(__xludf.DUMMYFUNCTION("""COMPUTED_VALUE"""),"4B")</f>
        <v>4B</v>
      </c>
      <c r="AN60" s="2" t="str">
        <f>IFERROR(__xludf.DUMMYFUNCTION("""COMPUTED_VALUE"""),"RCEF 23-08-20 Rebidding")</f>
        <v>RCEF 23-08-20 Rebidding</v>
      </c>
      <c r="AO60" s="2">
        <f>IFERROR(__xludf.DUMMYFUNCTION("""COMPUTED_VALUE"""),1.0)</f>
        <v>1</v>
      </c>
      <c r="AP60" s="2"/>
      <c r="AQ60" s="2"/>
      <c r="AR60" s="2"/>
      <c r="AS60" s="2"/>
      <c r="AT60" s="2"/>
      <c r="AU60" s="2"/>
      <c r="AV60" s="2"/>
      <c r="AW60" s="2"/>
      <c r="AX60" s="2"/>
      <c r="AY60" s="2"/>
      <c r="AZ60" s="2"/>
      <c r="BA60" s="2"/>
      <c r="BB60" s="2"/>
    </row>
    <row r="61">
      <c r="A61" s="2">
        <f>IFERROR(__xludf.DUMMYFUNCTION("""COMPUTED_VALUE"""),57.0)</f>
        <v>57</v>
      </c>
      <c r="B61" s="2" t="str">
        <f>IFERROR(__xludf.DUMMYFUNCTION("""COMPUTED_VALUE"""),"COMPLETED")</f>
        <v>COMPLETED</v>
      </c>
      <c r="C61" s="74">
        <f>IFERROR(__xludf.DUMMYFUNCTION("""COMPUTED_VALUE"""),45401.0)</f>
        <v>45401</v>
      </c>
      <c r="D61" s="71" t="str">
        <f>IFERROR(__xludf.DUMMYFUNCTION("""COMPUTED_VALUE"""),"ALLIANCE OF FARMERS ASSOCIATION OF ORCONUMA (AFAO)")</f>
        <v>ALLIANCE OF FARMERS ASSOCIATION OF ORCONUMA (AFAO)</v>
      </c>
      <c r="E61" s="71" t="str">
        <f>IFERROR(__xludf.DUMMYFUNCTION("""COMPUTED_VALUE"""),"Orconuma, Bongabong, Oriental Mindoro")</f>
        <v>Orconuma, Bongabong, Oriental Mindoro</v>
      </c>
      <c r="F61" s="2" t="str">
        <f>IFERROR(__xludf.DUMMYFUNCTION("""COMPUTED_VALUE"""),"NELSON")</f>
        <v>NELSON</v>
      </c>
      <c r="G61" s="2" t="str">
        <f>IFERROR(__xludf.DUMMYFUNCTION("""COMPUTED_VALUE"""),"0951-5617-404")</f>
        <v>0951-5617-404</v>
      </c>
      <c r="H61" s="2"/>
      <c r="I61" s="72" t="str">
        <f>IFERROR(__xludf.DUMMYFUNCTION("""COMPUTED_VALUE"""),"REPAIR - ROTAVATOR")</f>
        <v>REPAIR - ROTAVATOR</v>
      </c>
      <c r="J61" s="72" t="str">
        <f>IFERROR(__xludf.DUMMYFUNCTION("""COMPUTED_VALUE"""),"Training")</f>
        <v>Training</v>
      </c>
      <c r="K61" s="72" t="str">
        <f>IFERROR(__xludf.DUMMYFUNCTION("""COMPUTED_VALUE"""),"BLADES CONCERN")</f>
        <v>BLADES CONCERN</v>
      </c>
      <c r="L61" s="72" t="str">
        <f>IFERROR(__xludf.DUMMYFUNCTION("""COMPUTED_VALUE"""),"CHECK ROTAVATOR CONCERN DONE AND OPERATIONAL")</f>
        <v>CHECK ROTAVATOR CONCERN DONE AND OPERATIONAL</v>
      </c>
      <c r="M61" s="2"/>
      <c r="N61" s="2"/>
      <c r="O61" s="2" t="str">
        <f>IFERROR(__xludf.DUMMYFUNCTION("""COMPUTED_VALUE"""),"N/A")</f>
        <v>N/A</v>
      </c>
      <c r="P61" s="2"/>
      <c r="Q61" s="2"/>
      <c r="R61" s="74">
        <f>IFERROR(__xludf.DUMMYFUNCTION("""COMPUTED_VALUE"""),45413.0)</f>
        <v>45413</v>
      </c>
      <c r="S61" s="2" t="str">
        <f>IFERROR(__xludf.DUMMYFUNCTION("""COMPUTED_VALUE"""),"RCG/LBA")</f>
        <v>RCG/LBA</v>
      </c>
      <c r="T61" s="73" t="str">
        <f>IFERROR(__xludf.DUMMYFUNCTION("""COMPUTED_VALUE""")," N/A ")</f>
        <v>N/A</v>
      </c>
      <c r="U61" s="73" t="str">
        <f>IFERROR(__xludf.DUMMYFUNCTION("""COMPUTED_VALUE""")," NO CHARGE ")</f>
        <v>NO CHARGE</v>
      </c>
      <c r="V61" s="2"/>
      <c r="W61" s="2" t="str">
        <f>IFERROR(__xludf.DUMMYFUNCTION("""COMPUTED_VALUE"""),"N/A")</f>
        <v>N/A</v>
      </c>
      <c r="X61" s="2" t="str">
        <f>IFERROR(__xludf.DUMMYFUNCTION("""COMPUTED_VALUE"""),"N/A")</f>
        <v>N/A</v>
      </c>
      <c r="Y61" s="2"/>
      <c r="Z61" s="2"/>
      <c r="AA61" s="2"/>
      <c r="AB61" s="2"/>
      <c r="AC61" s="2"/>
      <c r="AD61" s="2"/>
      <c r="AE61" s="2"/>
      <c r="AF61" s="2"/>
      <c r="AG61" s="2"/>
      <c r="AH61" s="2"/>
      <c r="AI61" s="2"/>
      <c r="AJ61" s="2" t="str">
        <f>IFERROR(__xludf.DUMMYFUNCTION("""COMPUTED_VALUE"""),"Orconuma")</f>
        <v>Orconuma</v>
      </c>
      <c r="AK61" s="2" t="str">
        <f>IFERROR(__xludf.DUMMYFUNCTION("""COMPUTED_VALUE"""),"Bongabong")</f>
        <v>Bongabong</v>
      </c>
      <c r="AL61" s="2" t="str">
        <f>IFERROR(__xludf.DUMMYFUNCTION("""COMPUTED_VALUE"""),"Oriental Mindoro")</f>
        <v>Oriental Mindoro</v>
      </c>
      <c r="AM61" s="2" t="str">
        <f>IFERROR(__xludf.DUMMYFUNCTION("""COMPUTED_VALUE"""),"4B")</f>
        <v>4B</v>
      </c>
      <c r="AN61" s="2" t="str">
        <f>IFERROR(__xludf.DUMMYFUNCTION("""COMPUTED_VALUE"""),"RCEF 23-08-20 Rebidding")</f>
        <v>RCEF 23-08-20 Rebidding</v>
      </c>
      <c r="AO61" s="2">
        <f>IFERROR(__xludf.DUMMYFUNCTION("""COMPUTED_VALUE"""),1.0)</f>
        <v>1</v>
      </c>
      <c r="AP61" s="2"/>
      <c r="AQ61" s="2"/>
      <c r="AR61" s="2"/>
      <c r="AS61" s="2"/>
      <c r="AT61" s="2"/>
      <c r="AU61" s="2"/>
      <c r="AV61" s="2"/>
      <c r="AW61" s="2"/>
      <c r="AX61" s="2"/>
      <c r="AY61" s="2"/>
      <c r="AZ61" s="2"/>
      <c r="BA61" s="2"/>
      <c r="BB61" s="2"/>
    </row>
    <row r="62">
      <c r="A62" s="2">
        <f>IFERROR(__xludf.DUMMYFUNCTION("""COMPUTED_VALUE"""),58.0)</f>
        <v>58</v>
      </c>
      <c r="B62" s="2" t="str">
        <f>IFERROR(__xludf.DUMMYFUNCTION("""COMPUTED_VALUE"""),"COMPLETED")</f>
        <v>COMPLETED</v>
      </c>
      <c r="C62" s="74">
        <f>IFERROR(__xludf.DUMMYFUNCTION("""COMPUTED_VALUE"""),45401.0)</f>
        <v>45401</v>
      </c>
      <c r="D62" s="71" t="str">
        <f>IFERROR(__xludf.DUMMYFUNCTION("""COMPUTED_VALUE"""),"SAMAHANG NG LEHITIMONG MAGSASAKA")</f>
        <v>SAMAHANG NG LEHITIMONG MAGSASAKA</v>
      </c>
      <c r="E62" s="71" t="str">
        <f>IFERROR(__xludf.DUMMYFUNCTION("""COMPUTED_VALUE"""),"Santo Niño 3rd, San Jose City, NUEVA ECIJA")</f>
        <v>Santo Niño 3rd, San Jose City, NUEVA ECIJA</v>
      </c>
      <c r="F62" s="2" t="str">
        <f>IFERROR(__xludf.DUMMYFUNCTION("""COMPUTED_VALUE"""),"APOLINARIO AGUILAR")</f>
        <v>APOLINARIO AGUILAR</v>
      </c>
      <c r="G62" s="2" t="str">
        <f>IFERROR(__xludf.DUMMYFUNCTION("""COMPUTED_VALUE"""),"0935-261-9291")</f>
        <v>0935-261-9291</v>
      </c>
      <c r="H62" s="2" t="str">
        <f>IFERROR(__xludf.DUMMYFUNCTION("""COMPUTED_VALUE"""),"50.1 HRS")</f>
        <v>50.1 HRS</v>
      </c>
      <c r="I62" s="72" t="str">
        <f>IFERROR(__xludf.DUMMYFUNCTION("""COMPUTED_VALUE"""),"REPAIR - TRACTOR")</f>
        <v>REPAIR - TRACTOR</v>
      </c>
      <c r="J62" s="72" t="str">
        <f>IFERROR(__xludf.DUMMYFUNCTION("""COMPUTED_VALUE"""),"Hydraulic Filter - Leak")</f>
        <v>Hydraulic Filter - Leak</v>
      </c>
      <c r="K62" s="72" t="str">
        <f>IFERROR(__xludf.DUMMYFUNCTION("""COMPUTED_VALUE"""),"HYDRAULIC LEAKING AT THE BOTTOM PART OF TRACTOR NEAR OIL FILTER")</f>
        <v>HYDRAULIC LEAKING AT THE BOTTOM PART OF TRACTOR NEAR OIL FILTER</v>
      </c>
      <c r="L62" s="72" t="str">
        <f>IFERROR(__xludf.DUMMYFUNCTION("""COMPUTED_VALUE"""),"REPLACEMENT OF O-RING AND 50 HRS PMS (UNDER WARRANTY)")</f>
        <v>REPLACEMENT OF O-RING AND 50 HRS PMS (UNDER WARRANTY)</v>
      </c>
      <c r="M62" s="2"/>
      <c r="N62" s="2" t="str">
        <f>IFERROR(__xludf.DUMMYFUNCTION("""COMPUTED_VALUE"""),"O-RING ")</f>
        <v>O-RING </v>
      </c>
      <c r="O62" s="2" t="str">
        <f>IFERROR(__xludf.DUMMYFUNCTION("""COMPUTED_VALUE"""),"JIE 206")</f>
        <v>JIE 206</v>
      </c>
      <c r="P62" s="2"/>
      <c r="Q62" s="2" t="str">
        <f>IFERROR(__xludf.DUMMYFUNCTION("""COMPUTED_VALUE"""),"FOR PRINT")</f>
        <v>FOR PRINT</v>
      </c>
      <c r="R62" s="74">
        <f>IFERROR(__xludf.DUMMYFUNCTION("""COMPUTED_VALUE"""),45416.0)</f>
        <v>45416</v>
      </c>
      <c r="S62" s="2" t="str">
        <f>IFERROR(__xludf.DUMMYFUNCTION("""COMPUTED_VALUE"""),"EGT/JDP")</f>
        <v>EGT/JDP</v>
      </c>
      <c r="T62" s="73" t="str">
        <f>IFERROR(__xludf.DUMMYFUNCTION("""COMPUTED_VALUE""")," N/A ")</f>
        <v>N/A</v>
      </c>
      <c r="U62" s="73" t="str">
        <f>IFERROR(__xludf.DUMMYFUNCTION("""COMPUTED_VALUE""")," NO CHARGE ")</f>
        <v>NO CHARGE</v>
      </c>
      <c r="V62" s="2"/>
      <c r="W62" s="2" t="str">
        <f>IFERROR(__xludf.DUMMYFUNCTION("""COMPUTED_VALUE"""),"N/A")</f>
        <v>N/A</v>
      </c>
      <c r="X62" s="2" t="str">
        <f>IFERROR(__xludf.DUMMYFUNCTION("""COMPUTED_VALUE"""),"N/A")</f>
        <v>N/A</v>
      </c>
      <c r="Y62" s="2" t="str">
        <f>IFERROR(__xludf.DUMMYFUNCTION("""COMPUTED_VALUE"""),"KFS // MYKEE: SERVICE REPORT DONE (KULANG NALANG NG MACHINE HRS AT SERIAL #)")</f>
        <v>KFS // MYKEE: SERVICE REPORT DONE (KULANG NALANG NG MACHINE HRS AT SERIAL #)</v>
      </c>
      <c r="Z62" s="2"/>
      <c r="AA62" s="2"/>
      <c r="AB62" s="2"/>
      <c r="AC62" s="2" t="str">
        <f>IFERROR(__xludf.DUMMYFUNCTION("""COMPUTED_VALUE"""),"Y")</f>
        <v>Y</v>
      </c>
      <c r="AD62" s="2" t="str">
        <f>IFERROR(__xludf.DUMMYFUNCTION("""COMPUTED_VALUE"""),"pictures+video+kfs report+tech report+ltc service report")</f>
        <v>pictures+video+kfs report+tech report+ltc service report</v>
      </c>
      <c r="AE62" s="2"/>
      <c r="AF62" s="2"/>
      <c r="AG62" s="2"/>
      <c r="AH62" s="2"/>
      <c r="AI62" s="2"/>
      <c r="AJ62" s="2" t="str">
        <f>IFERROR(__xludf.DUMMYFUNCTION("""COMPUTED_VALUE"""),"Santo Niño 3Rd")</f>
        <v>Santo Niño 3Rd</v>
      </c>
      <c r="AK62" s="2" t="str">
        <f>IFERROR(__xludf.DUMMYFUNCTION("""COMPUTED_VALUE"""),"San Jose City")</f>
        <v>San Jose City</v>
      </c>
      <c r="AL62" s="2" t="str">
        <f>IFERROR(__xludf.DUMMYFUNCTION("""COMPUTED_VALUE"""),"Nueva Ecija")</f>
        <v>Nueva Ecija</v>
      </c>
      <c r="AM62" s="2">
        <f>IFERROR(__xludf.DUMMYFUNCTION("""COMPUTED_VALUE"""),3.0)</f>
        <v>3</v>
      </c>
      <c r="AN62" s="2" t="str">
        <f>IFERROR(__xludf.DUMMYFUNCTION("""COMPUTED_VALUE"""),"RCEF 23-09-21 Rebidding")</f>
        <v>RCEF 23-09-21 Rebidding</v>
      </c>
      <c r="AO62" s="2">
        <f>IFERROR(__xludf.DUMMYFUNCTION("""COMPUTED_VALUE"""),3.0)</f>
        <v>3</v>
      </c>
      <c r="AP62" s="2"/>
      <c r="AQ62" s="2"/>
      <c r="AR62" s="2"/>
      <c r="AS62" s="2"/>
      <c r="AT62" s="2"/>
      <c r="AU62" s="2"/>
      <c r="AV62" s="2"/>
      <c r="AW62" s="2"/>
      <c r="AX62" s="2"/>
      <c r="AY62" s="2"/>
      <c r="AZ62" s="2"/>
      <c r="BA62" s="2"/>
      <c r="BB62" s="2"/>
    </row>
    <row r="63">
      <c r="A63" s="2">
        <f>IFERROR(__xludf.DUMMYFUNCTION("""COMPUTED_VALUE"""),59.0)</f>
        <v>59</v>
      </c>
      <c r="B63" s="2" t="str">
        <f>IFERROR(__xludf.DUMMYFUNCTION("""COMPUTED_VALUE"""),"COMPLETED")</f>
        <v>COMPLETED</v>
      </c>
      <c r="C63" s="74">
        <f>IFERROR(__xludf.DUMMYFUNCTION("""COMPUTED_VALUE"""),45402.0)</f>
        <v>45402</v>
      </c>
      <c r="D63" s="71" t="str">
        <f>IFERROR(__xludf.DUMMYFUNCTION("""COMPUTED_VALUE"""),"SAMAHAN NG MAGSASAKA NG BARANGAY NANGUMA (SAMABANA)")</f>
        <v>SAMAHAN NG MAGSASAKA NG BARANGAY NANGUMA (SAMABANA)</v>
      </c>
      <c r="E63" s="71" t="str">
        <f>IFERROR(__xludf.DUMMYFUNCTION("""COMPUTED_VALUE"""),"Nanguma, Mabitac, Laguna")</f>
        <v>Nanguma, Mabitac, Laguna</v>
      </c>
      <c r="F63" s="2" t="str">
        <f>IFERROR(__xludf.DUMMYFUNCTION("""COMPUTED_VALUE"""),"LORETO PEREZ")</f>
        <v>LORETO PEREZ</v>
      </c>
      <c r="G63" s="2" t="str">
        <f>IFERROR(__xludf.DUMMYFUNCTION("""COMPUTED_VALUE"""),"0977-7746-751")</f>
        <v>0977-7746-751</v>
      </c>
      <c r="H63" s="2">
        <f>IFERROR(__xludf.DUMMYFUNCTION("""COMPUTED_VALUE"""),82.3)</f>
        <v>82.3</v>
      </c>
      <c r="I63" s="72" t="str">
        <f>IFERROR(__xludf.DUMMYFUNCTION("""COMPUTED_VALUE"""),"PMS")</f>
        <v>PMS</v>
      </c>
      <c r="J63" s="72" t="str">
        <f>IFERROR(__xludf.DUMMYFUNCTION("""COMPUTED_VALUE"""),"PMS")</f>
        <v>PMS</v>
      </c>
      <c r="K63" s="72" t="str">
        <f>IFERROR(__xludf.DUMMYFUNCTION("""COMPUTED_VALUE"""),"FIRTS PMS")</f>
        <v>FIRTS PMS</v>
      </c>
      <c r="L63" s="72" t="str">
        <f>IFERROR(__xludf.DUMMYFUNCTION("""COMPUTED_VALUE"""),"CHANGE OIL")</f>
        <v>CHANGE OIL</v>
      </c>
      <c r="M63" s="2"/>
      <c r="N63" s="2" t="str">
        <f>IFERROR(__xludf.DUMMYFUNCTION("""COMPUTED_VALUE"""),"OIL FILTER")</f>
        <v>OIL FILTER</v>
      </c>
      <c r="O63" s="2" t="str">
        <f>IFERROR(__xludf.DUMMYFUNCTION("""COMPUTED_VALUE"""),"JIE 207")</f>
        <v>JIE 207</v>
      </c>
      <c r="P63" s="2"/>
      <c r="Q63" s="2" t="str">
        <f>IFERROR(__xludf.DUMMYFUNCTION("""COMPUTED_VALUE"""),"FOR PRINT")</f>
        <v>FOR PRINT</v>
      </c>
      <c r="R63" s="74">
        <f>IFERROR(__xludf.DUMMYFUNCTION("""COMPUTED_VALUE"""),45415.0)</f>
        <v>45415</v>
      </c>
      <c r="S63" s="2" t="str">
        <f>IFERROR(__xludf.DUMMYFUNCTION("""COMPUTED_VALUE"""),"JTT")</f>
        <v>JTT</v>
      </c>
      <c r="T63" s="73">
        <f>IFERROR(__xludf.DUMMYFUNCTION("""COMPUTED_VALUE"""),2837.5)</f>
        <v>2837.5</v>
      </c>
      <c r="U63" s="73" t="str">
        <f>IFERROR(__xludf.DUMMYFUNCTION("""COMPUTED_VALUE""")," FOR COLLECTION ")</f>
        <v>FOR COLLECTION</v>
      </c>
      <c r="V63" s="2"/>
      <c r="W63" s="2"/>
      <c r="X63" s="2"/>
      <c r="Y63" s="2" t="str">
        <f>IFERROR(__xludf.DUMMYFUNCTION("""COMPUTED_VALUE"""),"KFS:")</f>
        <v>KFS:</v>
      </c>
      <c r="Z63" s="2"/>
      <c r="AA63" s="2"/>
      <c r="AB63" s="2"/>
      <c r="AC63" s="2"/>
      <c r="AD63" s="2"/>
      <c r="AE63" s="2"/>
      <c r="AF63" s="2"/>
      <c r="AG63" s="2"/>
      <c r="AH63" s="2"/>
      <c r="AI63" s="2"/>
      <c r="AJ63" s="2" t="str">
        <f>IFERROR(__xludf.DUMMYFUNCTION("""COMPUTED_VALUE"""),"Nanguma")</f>
        <v>Nanguma</v>
      </c>
      <c r="AK63" s="2" t="str">
        <f>IFERROR(__xludf.DUMMYFUNCTION("""COMPUTED_VALUE"""),"Mabitac")</f>
        <v>Mabitac</v>
      </c>
      <c r="AL63" s="2" t="str">
        <f>IFERROR(__xludf.DUMMYFUNCTION("""COMPUTED_VALUE"""),"Laguna")</f>
        <v>Laguna</v>
      </c>
      <c r="AM63" s="2" t="str">
        <f>IFERROR(__xludf.DUMMYFUNCTION("""COMPUTED_VALUE"""),"4A")</f>
        <v>4A</v>
      </c>
      <c r="AN63" s="2" t="str">
        <f>IFERROR(__xludf.DUMMYFUNCTION("""COMPUTED_VALUE"""),"RCEF 23-08-20 Rebidding")</f>
        <v>RCEF 23-08-20 Rebidding</v>
      </c>
      <c r="AO63" s="2">
        <f>IFERROR(__xludf.DUMMYFUNCTION("""COMPUTED_VALUE"""),1.0)</f>
        <v>1</v>
      </c>
      <c r="AP63" s="2"/>
      <c r="AQ63" s="2"/>
      <c r="AR63" s="2"/>
      <c r="AS63" s="2"/>
      <c r="AT63" s="2"/>
      <c r="AU63" s="2"/>
      <c r="AV63" s="2"/>
      <c r="AW63" s="2"/>
      <c r="AX63" s="2"/>
      <c r="AY63" s="2"/>
      <c r="AZ63" s="2"/>
      <c r="BA63" s="2"/>
      <c r="BB63" s="2"/>
    </row>
    <row r="64">
      <c r="A64" s="2">
        <f>IFERROR(__xludf.DUMMYFUNCTION("""COMPUTED_VALUE"""),60.0)</f>
        <v>60</v>
      </c>
      <c r="B64" s="2" t="str">
        <f>IFERROR(__xludf.DUMMYFUNCTION("""COMPUTED_VALUE"""),"COMPLETED")</f>
        <v>COMPLETED</v>
      </c>
      <c r="C64" s="74">
        <f>IFERROR(__xludf.DUMMYFUNCTION("""COMPUTED_VALUE"""),45403.0)</f>
        <v>45403</v>
      </c>
      <c r="D64" s="71" t="str">
        <f>IFERROR(__xludf.DUMMYFUNCTION("""COMPUTED_VALUE"""),"SANDIGAN NG MGA MANGGAGAWA SA AGRIKULTURA SA KANAYUNAN (SAMAKA)")</f>
        <v>SANDIGAN NG MGA MANGGAGAWA SA AGRIKULTURA SA KANAYUNAN (SAMAKA)</v>
      </c>
      <c r="E64" s="71" t="str">
        <f>IFERROR(__xludf.DUMMYFUNCTION("""COMPUTED_VALUE"""),"Calucmoy, Socorro, Oriental Mindoro")</f>
        <v>Calucmoy, Socorro, Oriental Mindoro</v>
      </c>
      <c r="F64" s="2" t="str">
        <f>IFERROR(__xludf.DUMMYFUNCTION("""COMPUTED_VALUE"""),"REX S. MAANO")</f>
        <v>REX S. MAANO</v>
      </c>
      <c r="G64" s="2" t="str">
        <f>IFERROR(__xludf.DUMMYFUNCTION("""COMPUTED_VALUE"""),"0950-1377-210")</f>
        <v>0950-1377-210</v>
      </c>
      <c r="H64" s="2" t="str">
        <f>IFERROR(__xludf.DUMMYFUNCTION("""COMPUTED_VALUE"""),"137 HRS")</f>
        <v>137 HRS</v>
      </c>
      <c r="I64" s="72" t="str">
        <f>IFERROR(__xludf.DUMMYFUNCTION("""COMPUTED_VALUE"""),"REPAIR - TRACTOR")</f>
        <v>REPAIR - TRACTOR</v>
      </c>
      <c r="J64" s="72" t="str">
        <f>IFERROR(__xludf.DUMMYFUNCTION("""COMPUTED_VALUE"""),"Radiator")</f>
        <v>Radiator</v>
      </c>
      <c r="K64" s="72" t="str">
        <f>IFERROR(__xludf.DUMMYFUNCTION("""COMPUTED_VALUE"""),"SUMABOG DIN DAW PO ANG IBABAW NG RADIATOR, MAY PUMUTOK")</f>
        <v>SUMABOG DIN DAW PO ANG IBABAW NG RADIATOR, MAY PUMUTOK</v>
      </c>
      <c r="L64" s="72" t="str">
        <f>IFERROR(__xludf.DUMMYFUNCTION("""COMPUTED_VALUE"""),"REPLACE OF RADIATOR ASSY (UNITS IS IN OPERATIONAL)
PARTS: RADIATOR ASSY (KINUHA SA UNIT NA NASA STATION) REPLACED UNIT OF A. BONIFACIO FARMERS ASSOCIATION")</f>
        <v>REPLACE OF RADIATOR ASSY (UNITS IS IN OPERATIONAL)
PARTS: RADIATOR ASSY (KINUHA SA UNIT NA NASA STATION) REPLACED UNIT OF A. BONIFACIO FARMERS ASSOCIATION</v>
      </c>
      <c r="M64" s="2"/>
      <c r="N64" s="2" t="str">
        <f>IFERROR(__xludf.DUMMYFUNCTION("""COMPUTED_VALUE"""),"PARTS: RADIATOR ASSY")</f>
        <v>PARTS: RADIATOR ASSY</v>
      </c>
      <c r="O64" s="2" t="str">
        <f>IFERROR(__xludf.DUMMYFUNCTION("""COMPUTED_VALUE"""),"JIE 208")</f>
        <v>JIE 208</v>
      </c>
      <c r="P64" s="2"/>
      <c r="Q64" s="2" t="str">
        <f>IFERROR(__xludf.DUMMYFUNCTION("""COMPUTED_VALUE"""),"FOR PRINT")</f>
        <v>FOR PRINT</v>
      </c>
      <c r="R64" s="74">
        <f>IFERROR(__xludf.DUMMYFUNCTION("""COMPUTED_VALUE"""),45412.0)</f>
        <v>45412</v>
      </c>
      <c r="S64" s="2" t="str">
        <f>IFERROR(__xludf.DUMMYFUNCTION("""COMPUTED_VALUE"""),"RCG/LBA")</f>
        <v>RCG/LBA</v>
      </c>
      <c r="T64" s="73" t="str">
        <f>IFERROR(__xludf.DUMMYFUNCTION("""COMPUTED_VALUE""")," N/A ")</f>
        <v>N/A</v>
      </c>
      <c r="U64" s="73" t="str">
        <f>IFERROR(__xludf.DUMMYFUNCTION("""COMPUTED_VALUE""")," NO CHARGE ")</f>
        <v>NO CHARGE</v>
      </c>
      <c r="V64" s="2"/>
      <c r="W64" s="2" t="str">
        <f>IFERROR(__xludf.DUMMYFUNCTION("""COMPUTED_VALUE"""),"N/A")</f>
        <v>N/A</v>
      </c>
      <c r="X64" s="2" t="str">
        <f>IFERROR(__xludf.DUMMYFUNCTION("""COMPUTED_VALUE"""),"N/A")</f>
        <v>N/A</v>
      </c>
      <c r="Y64" s="2" t="str">
        <f>IFERROR(__xludf.DUMMYFUNCTION("""COMPUTED_VALUE"""),"RCG  //  MYKEE: SERVICE REPORT DONE")</f>
        <v>RCG  //  MYKEE: SERVICE REPORT DONE</v>
      </c>
      <c r="Z64" s="2"/>
      <c r="AA64" s="2"/>
      <c r="AB64" s="2"/>
      <c r="AC64" s="2" t="str">
        <f>IFERROR(__xludf.DUMMYFUNCTION("""COMPUTED_VALUE"""),"Y")</f>
        <v>Y</v>
      </c>
      <c r="AD64" s="2"/>
      <c r="AE64" s="2"/>
      <c r="AF64" s="2"/>
      <c r="AG64" s="2"/>
      <c r="AH64" s="2"/>
      <c r="AI64" s="2"/>
      <c r="AJ64" s="2" t="str">
        <f>IFERROR(__xludf.DUMMYFUNCTION("""COMPUTED_VALUE"""),"Calucmoy")</f>
        <v>Calucmoy</v>
      </c>
      <c r="AK64" s="2" t="str">
        <f>IFERROR(__xludf.DUMMYFUNCTION("""COMPUTED_VALUE"""),"Socorro")</f>
        <v>Socorro</v>
      </c>
      <c r="AL64" s="2" t="str">
        <f>IFERROR(__xludf.DUMMYFUNCTION("""COMPUTED_VALUE"""),"Oriental Mindoro")</f>
        <v>Oriental Mindoro</v>
      </c>
      <c r="AM64" s="2" t="str">
        <f>IFERROR(__xludf.DUMMYFUNCTION("""COMPUTED_VALUE"""),"4B")</f>
        <v>4B</v>
      </c>
      <c r="AN64" s="2" t="str">
        <f>IFERROR(__xludf.DUMMYFUNCTION("""COMPUTED_VALUE"""),"RCEF 23-08-20 Rebidding")</f>
        <v>RCEF 23-08-20 Rebidding</v>
      </c>
      <c r="AO64" s="2">
        <f>IFERROR(__xludf.DUMMYFUNCTION("""COMPUTED_VALUE"""),1.0)</f>
        <v>1</v>
      </c>
      <c r="AP64" s="2"/>
      <c r="AQ64" s="2"/>
      <c r="AR64" s="2"/>
      <c r="AS64" s="2"/>
      <c r="AT64" s="2"/>
      <c r="AU64" s="2"/>
      <c r="AV64" s="2"/>
      <c r="AW64" s="2"/>
      <c r="AX64" s="2"/>
      <c r="AY64" s="2"/>
      <c r="AZ64" s="2"/>
      <c r="BA64" s="2"/>
      <c r="BB64" s="2"/>
    </row>
    <row r="65">
      <c r="A65" s="2">
        <f>IFERROR(__xludf.DUMMYFUNCTION("""COMPUTED_VALUE"""),61.0)</f>
        <v>61</v>
      </c>
      <c r="B65" s="2" t="str">
        <f>IFERROR(__xludf.DUMMYFUNCTION("""COMPUTED_VALUE"""),"COMPLETED")</f>
        <v>COMPLETED</v>
      </c>
      <c r="C65" s="74">
        <f>IFERROR(__xludf.DUMMYFUNCTION("""COMPUTED_VALUE"""),45404.0)</f>
        <v>45404</v>
      </c>
      <c r="D65" s="71" t="str">
        <f>IFERROR(__xludf.DUMMYFUNCTION("""COMPUTED_VALUE"""),"TARICUSTO FARMERS IRRIGATORS' ASSOCIATION INC.")</f>
        <v>TARICUSTO FARMERS IRRIGATORS' ASSOCIATION INC.</v>
      </c>
      <c r="E65" s="71" t="str">
        <f>IFERROR(__xludf.DUMMYFUNCTION("""COMPUTED_VALUE"""),"Taribubu, Tuao, CAGAYAN")</f>
        <v>Taribubu, Tuao, CAGAYAN</v>
      </c>
      <c r="F65" s="2" t="str">
        <f>IFERROR(__xludf.DUMMYFUNCTION("""COMPUTED_VALUE"""),"MARTIN BAUAG")</f>
        <v>MARTIN BAUAG</v>
      </c>
      <c r="G65" s="2" t="str">
        <f>IFERROR(__xludf.DUMMYFUNCTION("""COMPUTED_VALUE"""),"0965-5709-861")</f>
        <v>0965-5709-861</v>
      </c>
      <c r="H65" s="2" t="str">
        <f>IFERROR(__xludf.DUMMYFUNCTION("""COMPUTED_VALUE"""),"50 HRS")</f>
        <v>50 HRS</v>
      </c>
      <c r="I65" s="72" t="str">
        <f>IFERROR(__xludf.DUMMYFUNCTION("""COMPUTED_VALUE"""),"PMS")</f>
        <v>PMS</v>
      </c>
      <c r="J65" s="72" t="str">
        <f>IFERROR(__xludf.DUMMYFUNCTION("""COMPUTED_VALUE"""),"PMS")</f>
        <v>PMS</v>
      </c>
      <c r="K65" s="72" t="str">
        <f>IFERROR(__xludf.DUMMYFUNCTION("""COMPUTED_VALUE"""),"FIRTS PMS: SELF PMS")</f>
        <v>FIRTS PMS: SELF PMS</v>
      </c>
      <c r="L65" s="72" t="str">
        <f>IFERROR(__xludf.DUMMYFUNCTION("""COMPUTED_VALUE"""),"SELF PMS: AGREEMENT SENT: FOR PRINT")</f>
        <v>SELF PMS: AGREEMENT SENT: FOR PRINT</v>
      </c>
      <c r="M65" s="2"/>
      <c r="N65" s="2"/>
      <c r="O65" s="2" t="str">
        <f>IFERROR(__xludf.DUMMYFUNCTION("""COMPUTED_VALUE"""),"N/A")</f>
        <v>N/A</v>
      </c>
      <c r="P65" s="2"/>
      <c r="Q65" s="2"/>
      <c r="R65" s="74">
        <f>IFERROR(__xludf.DUMMYFUNCTION("""COMPUTED_VALUE"""),45404.0)</f>
        <v>45404</v>
      </c>
      <c r="S65" s="2" t="str">
        <f>IFERROR(__xludf.DUMMYFUNCTION("""COMPUTED_VALUE"""),"MYKEE")</f>
        <v>MYKEE</v>
      </c>
      <c r="T65" s="73" t="str">
        <f>IFERROR(__xludf.DUMMYFUNCTION("""COMPUTED_VALUE""")," N/A ")</f>
        <v>N/A</v>
      </c>
      <c r="U65" s="73" t="str">
        <f>IFERROR(__xludf.DUMMYFUNCTION("""COMPUTED_VALUE""")," NO CHARGE ")</f>
        <v>NO CHARGE</v>
      </c>
      <c r="V65" s="2"/>
      <c r="W65" s="2" t="str">
        <f>IFERROR(__xludf.DUMMYFUNCTION("""COMPUTED_VALUE"""),"N/A")</f>
        <v>N/A</v>
      </c>
      <c r="X65" s="2" t="str">
        <f>IFERROR(__xludf.DUMMYFUNCTION("""COMPUTED_VALUE"""),"N/A")</f>
        <v>N/A</v>
      </c>
      <c r="Y65" s="2" t="str">
        <f>IFERROR(__xludf.DUMMYFUNCTION("""COMPUTED_VALUE"""),"KFS")</f>
        <v>KFS</v>
      </c>
      <c r="Z65" s="2"/>
      <c r="AA65" s="2"/>
      <c r="AB65" s="2"/>
      <c r="AC65" s="2"/>
      <c r="AD65" s="2"/>
      <c r="AE65" s="2"/>
      <c r="AF65" s="2"/>
      <c r="AG65" s="2"/>
      <c r="AH65" s="2"/>
      <c r="AI65" s="2"/>
      <c r="AJ65" s="2" t="str">
        <f>IFERROR(__xludf.DUMMYFUNCTION("""COMPUTED_VALUE"""),"Taribubu")</f>
        <v>Taribubu</v>
      </c>
      <c r="AK65" s="2" t="str">
        <f>IFERROR(__xludf.DUMMYFUNCTION("""COMPUTED_VALUE"""),"Tuao")</f>
        <v>Tuao</v>
      </c>
      <c r="AL65" s="2" t="str">
        <f>IFERROR(__xludf.DUMMYFUNCTION("""COMPUTED_VALUE"""),"Cagayan")</f>
        <v>Cagayan</v>
      </c>
      <c r="AM65" s="2">
        <f>IFERROR(__xludf.DUMMYFUNCTION("""COMPUTED_VALUE"""),2.0)</f>
        <v>2</v>
      </c>
      <c r="AN65" s="2" t="str">
        <f>IFERROR(__xludf.DUMMYFUNCTION("""COMPUTED_VALUE"""),"RCEF 23-09-21 Rebidding")</f>
        <v>RCEF 23-09-21 Rebidding</v>
      </c>
      <c r="AO65" s="2">
        <f>IFERROR(__xludf.DUMMYFUNCTION("""COMPUTED_VALUE"""),9.0)</f>
        <v>9</v>
      </c>
      <c r="AP65" s="2"/>
      <c r="AQ65" s="2"/>
      <c r="AR65" s="2"/>
      <c r="AS65" s="2"/>
      <c r="AT65" s="2"/>
      <c r="AU65" s="2"/>
      <c r="AV65" s="2"/>
      <c r="AW65" s="2"/>
      <c r="AX65" s="2"/>
      <c r="AY65" s="2"/>
      <c r="AZ65" s="2"/>
      <c r="BA65" s="2"/>
      <c r="BB65" s="2"/>
    </row>
    <row r="66">
      <c r="A66" s="2">
        <f>IFERROR(__xludf.DUMMYFUNCTION("""COMPUTED_VALUE"""),62.0)</f>
        <v>62</v>
      </c>
      <c r="B66" s="2" t="str">
        <f>IFERROR(__xludf.DUMMYFUNCTION("""COMPUTED_VALUE"""),"COMPLETED")</f>
        <v>COMPLETED</v>
      </c>
      <c r="C66" s="74">
        <f>IFERROR(__xludf.DUMMYFUNCTION("""COMPUTED_VALUE"""),45405.0)</f>
        <v>45405</v>
      </c>
      <c r="D66" s="71" t="str">
        <f>IFERROR(__xludf.DUMMYFUNCTION("""COMPUTED_VALUE"""),"MAGSASAKA NG BRGY. SANTOR IRRIGATORS ASSOCIATION INC")</f>
        <v>MAGSASAKA NG BRGY. SANTOR IRRIGATORS ASSOCIATION INC</v>
      </c>
      <c r="E66" s="71" t="str">
        <f>IFERROR(__xludf.DUMMYFUNCTION("""COMPUTED_VALUE"""),"Santor, Bongabon, NUEVA ECIJA")</f>
        <v>Santor, Bongabon, NUEVA ECIJA</v>
      </c>
      <c r="F66" s="2" t="str">
        <f>IFERROR(__xludf.DUMMYFUNCTION("""COMPUTED_VALUE"""),"ROLANDO SORIBEN")</f>
        <v>ROLANDO SORIBEN</v>
      </c>
      <c r="G66" s="2" t="str">
        <f>IFERROR(__xludf.DUMMYFUNCTION("""COMPUTED_VALUE"""),"0955-6278-587")</f>
        <v>0955-6278-587</v>
      </c>
      <c r="H66" s="2" t="str">
        <f>IFERROR(__xludf.DUMMYFUNCTION("""COMPUTED_VALUE"""),"8.9 HRS")</f>
        <v>8.9 HRS</v>
      </c>
      <c r="I66" s="72" t="str">
        <f>IFERROR(__xludf.DUMMYFUNCTION("""COMPUTED_VALUE"""),"REPAIR - TRACTOR")</f>
        <v>REPAIR - TRACTOR</v>
      </c>
      <c r="J66" s="72" t="str">
        <f>IFERROR(__xludf.DUMMYFUNCTION("""COMPUTED_VALUE"""),"Radiator")</f>
        <v>Radiator</v>
      </c>
      <c r="K66" s="72" t="str">
        <f>IFERROR(__xludf.DUMMYFUNCTION("""COMPUTED_VALUE""")," CHECK UP/ RADIATOR PROBLEM      
APRIL 30, 2024:  MAY BUMUBULA PO SA RADIATOR ANG POSIBLENG SIRA AY MAY SINGAW ANG CYLINDER HEAD GASKET YUN ANG DAHILAN KAYA PUMUTOK ANG RADIATOR (NEED TO REPLACE RADIATOR AND CYLINDER GASKET)")</f>
        <v> CHECK UP/ RADIATOR PROBLEM      
APRIL 30, 2024:  MAY BUMUBULA PO SA RADIATOR ANG POSIBLENG SIRA AY MAY SINGAW ANG CYLINDER HEAD GASKET YUN ANG DAHILAN KAYA PUMUTOK ANG RADIATOR (NEED TO REPLACE RADIATOR AND CYLINDER GASKET)</v>
      </c>
      <c r="L66" s="72" t="str">
        <f>IFERROR(__xludf.DUMMYFUNCTION("""COMPUTED_VALUE"""),"REPLACE RADIATOR ASSY. OKAY NAMAN YUNG CYLINDER HEAD GASKET HINDI KYLANGAN PALITAN")</f>
        <v>REPLACE RADIATOR ASSY. OKAY NAMAN YUNG CYLINDER HEAD GASKET HINDI KYLANGAN PALITAN</v>
      </c>
      <c r="M66" s="2"/>
      <c r="N66" s="2" t="str">
        <f>IFERROR(__xludf.DUMMYFUNCTION("""COMPUTED_VALUE"""),"RADIATOR ASSY")</f>
        <v>RADIATOR ASSY</v>
      </c>
      <c r="O66" s="2" t="str">
        <f>IFERROR(__xludf.DUMMYFUNCTION("""COMPUTED_VALUE"""),"JIE 210")</f>
        <v>JIE 210</v>
      </c>
      <c r="P66" s="2"/>
      <c r="Q66" s="2" t="str">
        <f>IFERROR(__xludf.DUMMYFUNCTION("""COMPUTED_VALUE"""),"FOR PRINT")</f>
        <v>FOR PRINT</v>
      </c>
      <c r="R66" s="74">
        <f>IFERROR(__xludf.DUMMYFUNCTION("""COMPUTED_VALUE"""),45421.0)</f>
        <v>45421</v>
      </c>
      <c r="S66" s="2" t="str">
        <f>IFERROR(__xludf.DUMMYFUNCTION("""COMPUTED_VALUE"""),"JHP")</f>
        <v>JHP</v>
      </c>
      <c r="T66" s="73" t="str">
        <f>IFERROR(__xludf.DUMMYFUNCTION("""COMPUTED_VALUE""")," N/A ")</f>
        <v>N/A</v>
      </c>
      <c r="U66" s="73" t="str">
        <f>IFERROR(__xludf.DUMMYFUNCTION("""COMPUTED_VALUE""")," NO CHARGE ")</f>
        <v>NO CHARGE</v>
      </c>
      <c r="V66" s="2"/>
      <c r="W66" s="2" t="str">
        <f>IFERROR(__xludf.DUMMYFUNCTION("""COMPUTED_VALUE"""),"N/A")</f>
        <v>N/A</v>
      </c>
      <c r="X66" s="2" t="str">
        <f>IFERROR(__xludf.DUMMYFUNCTION("""COMPUTED_VALUE"""),"N/A")</f>
        <v>N/A</v>
      </c>
      <c r="Y66" s="2" t="str">
        <f>IFERROR(__xludf.DUMMYFUNCTION("""COMPUTED_VALUE"""),"KFS  //  MYKEE: SERVICE REPORT DONE: 1ST CHECK UP EDISON 4/30/24")</f>
        <v>KFS  //  MYKEE: SERVICE REPORT DONE: 1ST CHECK UP EDISON 4/30/24</v>
      </c>
      <c r="Z66" s="2"/>
      <c r="AA66" s="2"/>
      <c r="AB66" s="2"/>
      <c r="AC66" s="2" t="str">
        <f>IFERROR(__xludf.DUMMYFUNCTION("""COMPUTED_VALUE"""),"Y")</f>
        <v>Y</v>
      </c>
      <c r="AD66" s="2" t="str">
        <f>IFERROR(__xludf.DUMMYFUNCTION("""COMPUTED_VALUE"""),"pictures+video+kfs report+tech report+ltc service report")</f>
        <v>pictures+video+kfs report+tech report+ltc service report</v>
      </c>
      <c r="AE66" s="2"/>
      <c r="AF66" s="2"/>
      <c r="AG66" s="2"/>
      <c r="AH66" s="2"/>
      <c r="AI66" s="2"/>
      <c r="AJ66" s="2" t="str">
        <f>IFERROR(__xludf.DUMMYFUNCTION("""COMPUTED_VALUE"""),"Santor")</f>
        <v>Santor</v>
      </c>
      <c r="AK66" s="2" t="str">
        <f>IFERROR(__xludf.DUMMYFUNCTION("""COMPUTED_VALUE"""),"Bongabon")</f>
        <v>Bongabon</v>
      </c>
      <c r="AL66" s="2" t="str">
        <f>IFERROR(__xludf.DUMMYFUNCTION("""COMPUTED_VALUE"""),"Nueva Ecija")</f>
        <v>Nueva Ecija</v>
      </c>
      <c r="AM66" s="2">
        <f>IFERROR(__xludf.DUMMYFUNCTION("""COMPUTED_VALUE"""),3.0)</f>
        <v>3</v>
      </c>
      <c r="AN66" s="2" t="str">
        <f>IFERROR(__xludf.DUMMYFUNCTION("""COMPUTED_VALUE"""),"RCEF 23-09-21 Rebidding")</f>
        <v>RCEF 23-09-21 Rebidding</v>
      </c>
      <c r="AO66" s="2">
        <f>IFERROR(__xludf.DUMMYFUNCTION("""COMPUTED_VALUE"""),3.0)</f>
        <v>3</v>
      </c>
      <c r="AP66" s="2"/>
      <c r="AQ66" s="2"/>
      <c r="AR66" s="2"/>
      <c r="AS66" s="2"/>
      <c r="AT66" s="2"/>
      <c r="AU66" s="2"/>
      <c r="AV66" s="2"/>
      <c r="AW66" s="2"/>
      <c r="AX66" s="2"/>
      <c r="AY66" s="2"/>
      <c r="AZ66" s="2"/>
      <c r="BA66" s="2"/>
      <c r="BB66" s="2"/>
    </row>
    <row r="67">
      <c r="A67" s="2">
        <f>IFERROR(__xludf.DUMMYFUNCTION("""COMPUTED_VALUE"""),63.0)</f>
        <v>63</v>
      </c>
      <c r="B67" s="2" t="str">
        <f>IFERROR(__xludf.DUMMYFUNCTION("""COMPUTED_VALUE"""),"COMPLETED")</f>
        <v>COMPLETED</v>
      </c>
      <c r="C67" s="74">
        <f>IFERROR(__xludf.DUMMYFUNCTION("""COMPUTED_VALUE"""),45405.0)</f>
        <v>45405</v>
      </c>
      <c r="D67" s="71" t="str">
        <f>IFERROR(__xludf.DUMMYFUNCTION("""COMPUTED_VALUE"""),"MANNALON NGA NAURNOS TI PURA FARMERS ASSOCIATION Inc.")</f>
        <v>MANNALON NGA NAURNOS TI PURA FARMERS ASSOCIATION Inc.</v>
      </c>
      <c r="E67" s="71" t="str">
        <f>IFERROR(__xludf.DUMMYFUNCTION("""COMPUTED_VALUE"""),"Estipona, Pura, TARLAC")</f>
        <v>Estipona, Pura, TARLAC</v>
      </c>
      <c r="F67" s="2" t="str">
        <f>IFERROR(__xludf.DUMMYFUNCTION("""COMPUTED_VALUE"""),"CEFERINA PASCUA")</f>
        <v>CEFERINA PASCUA</v>
      </c>
      <c r="G67" s="2" t="str">
        <f>IFERROR(__xludf.DUMMYFUNCTION("""COMPUTED_VALUE"""),"0927-529-3448")</f>
        <v>0927-529-3448</v>
      </c>
      <c r="H67" s="2" t="str">
        <f>IFERROR(__xludf.DUMMYFUNCTION("""COMPUTED_VALUE"""),"176 HRS")</f>
        <v>176 HRS</v>
      </c>
      <c r="I67" s="72" t="str">
        <f>IFERROR(__xludf.DUMMYFUNCTION("""COMPUTED_VALUE"""),"REPAIR - TRACTOR")</f>
        <v>REPAIR - TRACTOR</v>
      </c>
      <c r="J67" s="72" t="str">
        <f>IFERROR(__xludf.DUMMYFUNCTION("""COMPUTED_VALUE"""),"Electrical - PTO Switch")</f>
        <v>Electrical - PTO Switch</v>
      </c>
      <c r="K67" s="72" t="str">
        <f>IFERROR(__xludf.DUMMYFUNCTION("""COMPUTED_VALUE"""),"BROKEN PTO SWITCH")</f>
        <v>BROKEN PTO SWITCH</v>
      </c>
      <c r="L67" s="72" t="str">
        <f>IFERROR(__xludf.DUMMYFUNCTION("""COMPUTED_VALUE"""),"REPLACE PTO SWITCH")</f>
        <v>REPLACE PTO SWITCH</v>
      </c>
      <c r="M67" s="2"/>
      <c r="N67" s="2" t="str">
        <f>IFERROR(__xludf.DUMMYFUNCTION("""COMPUTED_VALUE"""),"PTO SWITCH")</f>
        <v>PTO SWITCH</v>
      </c>
      <c r="O67" s="2" t="str">
        <f>IFERROR(__xludf.DUMMYFUNCTION("""COMPUTED_VALUE"""),"JIE 209")</f>
        <v>JIE 209</v>
      </c>
      <c r="P67" s="2"/>
      <c r="Q67" s="2"/>
      <c r="R67" s="74">
        <f>IFERROR(__xludf.DUMMYFUNCTION("""COMPUTED_VALUE"""),45416.0)</f>
        <v>45416</v>
      </c>
      <c r="S67" s="2" t="str">
        <f>IFERROR(__xludf.DUMMYFUNCTION("""COMPUTED_VALUE"""),"EGT/JDP")</f>
        <v>EGT/JDP</v>
      </c>
      <c r="T67" s="73">
        <f>IFERROR(__xludf.DUMMYFUNCTION("""COMPUTED_VALUE"""),4410.0)</f>
        <v>4410</v>
      </c>
      <c r="U67" s="73" t="str">
        <f>IFERROR(__xludf.DUMMYFUNCTION("""COMPUTED_VALUE""")," REMITTED ")</f>
        <v>REMITTED</v>
      </c>
      <c r="V67" s="2"/>
      <c r="W67" s="2"/>
      <c r="X67" s="2"/>
      <c r="Y67" s="2" t="str">
        <f>IFERROR(__xludf.DUMMYFUNCTION("""COMPUTED_VALUE"""),"RBS")</f>
        <v>RBS</v>
      </c>
      <c r="Z67" s="2"/>
      <c r="AA67" s="2"/>
      <c r="AB67" s="2"/>
      <c r="AC67" s="2"/>
      <c r="AD67" s="2"/>
      <c r="AE67" s="2"/>
      <c r="AF67" s="2"/>
      <c r="AG67" s="2"/>
      <c r="AH67" s="2"/>
      <c r="AI67" s="2"/>
      <c r="AJ67" s="2" t="str">
        <f>IFERROR(__xludf.DUMMYFUNCTION("""COMPUTED_VALUE"""),"Estipona")</f>
        <v>Estipona</v>
      </c>
      <c r="AK67" s="2" t="str">
        <f>IFERROR(__xludf.DUMMYFUNCTION("""COMPUTED_VALUE"""),"Pura")</f>
        <v>Pura</v>
      </c>
      <c r="AL67" s="2" t="str">
        <f>IFERROR(__xludf.DUMMYFUNCTION("""COMPUTED_VALUE"""),"Tarlac")</f>
        <v>Tarlac</v>
      </c>
      <c r="AM67" s="2">
        <f>IFERROR(__xludf.DUMMYFUNCTION("""COMPUTED_VALUE"""),3.0)</f>
        <v>3</v>
      </c>
      <c r="AN67" s="2" t="str">
        <f>IFERROR(__xludf.DUMMYFUNCTION("""COMPUTED_VALUE"""),"RCEF 23-09-21 Rebidding")</f>
        <v>RCEF 23-09-21 Rebidding</v>
      </c>
      <c r="AO67" s="2">
        <f>IFERROR(__xludf.DUMMYFUNCTION("""COMPUTED_VALUE"""),3.0)</f>
        <v>3</v>
      </c>
      <c r="AP67" s="2"/>
      <c r="AQ67" s="2"/>
      <c r="AR67" s="2"/>
      <c r="AS67" s="2"/>
      <c r="AT67" s="2"/>
      <c r="AU67" s="2"/>
      <c r="AV67" s="2"/>
      <c r="AW67" s="2"/>
      <c r="AX67" s="2"/>
      <c r="AY67" s="2"/>
      <c r="AZ67" s="2"/>
      <c r="BA67" s="2"/>
      <c r="BB67" s="2"/>
    </row>
    <row r="68">
      <c r="A68" s="2">
        <f>IFERROR(__xludf.DUMMYFUNCTION("""COMPUTED_VALUE"""),64.0)</f>
        <v>64</v>
      </c>
      <c r="B68" s="2" t="str">
        <f>IFERROR(__xludf.DUMMYFUNCTION("""COMPUTED_VALUE"""),"COMPLETED")</f>
        <v>COMPLETED</v>
      </c>
      <c r="C68" s="74">
        <f>IFERROR(__xludf.DUMMYFUNCTION("""COMPUTED_VALUE"""),45405.0)</f>
        <v>45405</v>
      </c>
      <c r="D68" s="71" t="str">
        <f>IFERROR(__xludf.DUMMYFUNCTION("""COMPUTED_VALUE"""),"South Nueva Ecija Seed Growers Multipurpose Cooperative")</f>
        <v>South Nueva Ecija Seed Growers Multipurpose Cooperative</v>
      </c>
      <c r="E68" s="71" t="str">
        <f>IFERROR(__xludf.DUMMYFUNCTION("""COMPUTED_VALUE"""),"Poblacion, San Isidro, NUEVA ECIJA")</f>
        <v>Poblacion, San Isidro, NUEVA ECIJA</v>
      </c>
      <c r="F68" s="2" t="str">
        <f>IFERROR(__xludf.DUMMYFUNCTION("""COMPUTED_VALUE"""),"MARIUS PADIERNOS")</f>
        <v>MARIUS PADIERNOS</v>
      </c>
      <c r="G68" s="2" t="str">
        <f>IFERROR(__xludf.DUMMYFUNCTION("""COMPUTED_VALUE"""),"0916-4648-758")</f>
        <v>0916-4648-758</v>
      </c>
      <c r="H68" s="2" t="str">
        <f>IFERROR(__xludf.DUMMYFUNCTION("""COMPUTED_VALUE"""),"2.3 HRS")</f>
        <v>2.3 HRS</v>
      </c>
      <c r="I68" s="72" t="str">
        <f>IFERROR(__xludf.DUMMYFUNCTION("""COMPUTED_VALUE"""),"REPAIR - TRACTOR")</f>
        <v>REPAIR - TRACTOR</v>
      </c>
      <c r="J68" s="72" t="str">
        <f>IFERROR(__xludf.DUMMYFUNCTION("""COMPUTED_VALUE"""),"Engine - Thermostat")</f>
        <v>Engine - Thermostat</v>
      </c>
      <c r="K68" s="72" t="str">
        <f>IFERROR(__xludf.DUMMYFUNCTION("""COMPUTED_VALUE"""),"APRIL 23: OVERHEAT     
APRIL 30, 2024: THERMOSTAT PO ANG SIRA KAYA MATAAS PO ANG KANYANG TEMPERATURE")</f>
        <v>APRIL 23: OVERHEAT     
APRIL 30, 2024: THERMOSTAT PO ANG SIRA KAYA MATAAS PO ANG KANYANG TEMPERATURE</v>
      </c>
      <c r="L68" s="72" t="str">
        <f>IFERROR(__xludf.DUMMYFUNCTION("""COMPUTED_VALUE"""),"OKAY NAMAN ANG THERMOSTAT HINDI NAMAN SIRA. MAY CORROSION LANG SA TEMPERATURE SENSOR KAYA NATAAS ANG TEMPERATURE")</f>
        <v>OKAY NAMAN ANG THERMOSTAT HINDI NAMAN SIRA. MAY CORROSION LANG SA TEMPERATURE SENSOR KAYA NATAAS ANG TEMPERATURE</v>
      </c>
      <c r="M68" s="2"/>
      <c r="N68" s="2"/>
      <c r="O68" s="2" t="str">
        <f>IFERROR(__xludf.DUMMYFUNCTION("""COMPUTED_VALUE"""),"JIE 211")</f>
        <v>JIE 211</v>
      </c>
      <c r="P68" s="2"/>
      <c r="Q68" s="2" t="str">
        <f>IFERROR(__xludf.DUMMYFUNCTION("""COMPUTED_VALUE"""),"FOR PRINT")</f>
        <v>FOR PRINT</v>
      </c>
      <c r="R68" s="74">
        <f>IFERROR(__xludf.DUMMYFUNCTION("""COMPUTED_VALUE"""),45421.0)</f>
        <v>45421</v>
      </c>
      <c r="S68" s="2" t="str">
        <f>IFERROR(__xludf.DUMMYFUNCTION("""COMPUTED_VALUE"""),"JHP")</f>
        <v>JHP</v>
      </c>
      <c r="T68" s="73" t="str">
        <f>IFERROR(__xludf.DUMMYFUNCTION("""COMPUTED_VALUE""")," N/A ")</f>
        <v>N/A</v>
      </c>
      <c r="U68" s="73" t="str">
        <f>IFERROR(__xludf.DUMMYFUNCTION("""COMPUTED_VALUE""")," NO CHARGE ")</f>
        <v>NO CHARGE</v>
      </c>
      <c r="V68" s="2"/>
      <c r="W68" s="2" t="str">
        <f>IFERROR(__xludf.DUMMYFUNCTION("""COMPUTED_VALUE"""),"N/A")</f>
        <v>N/A</v>
      </c>
      <c r="X68" s="2" t="str">
        <f>IFERROR(__xludf.DUMMYFUNCTION("""COMPUTED_VALUE"""),"N/A")</f>
        <v>N/A</v>
      </c>
      <c r="Y68" s="2" t="str">
        <f>IFERROR(__xludf.DUMMYFUNCTION("""COMPUTED_VALUE"""),"BMD: 1ST CHECK UP EDISON 4/30/24   //  MYKEE: SERVICE REPORT DONE")</f>
        <v>BMD: 1ST CHECK UP EDISON 4/30/24   //  MYKEE: SERVICE REPORT DONE</v>
      </c>
      <c r="Z68" s="2"/>
      <c r="AA68" s="2"/>
      <c r="AB68" s="2"/>
      <c r="AC68" s="2" t="str">
        <f>IFERROR(__xludf.DUMMYFUNCTION("""COMPUTED_VALUE"""),"Y")</f>
        <v>Y</v>
      </c>
      <c r="AD68" s="2" t="str">
        <f>IFERROR(__xludf.DUMMYFUNCTION("""COMPUTED_VALUE"""),"pictures+kfs report+tech report+ltc service report")</f>
        <v>pictures+kfs report+tech report+ltc service report</v>
      </c>
      <c r="AE68" s="2"/>
      <c r="AF68" s="2"/>
      <c r="AG68" s="2"/>
      <c r="AH68" s="2"/>
      <c r="AI68" s="2"/>
      <c r="AJ68" s="2" t="str">
        <f>IFERROR(__xludf.DUMMYFUNCTION("""COMPUTED_VALUE"""),"Poblacion")</f>
        <v>Poblacion</v>
      </c>
      <c r="AK68" s="2" t="str">
        <f>IFERROR(__xludf.DUMMYFUNCTION("""COMPUTED_VALUE"""),"San Isidro")</f>
        <v>San Isidro</v>
      </c>
      <c r="AL68" s="2" t="str">
        <f>IFERROR(__xludf.DUMMYFUNCTION("""COMPUTED_VALUE"""),"Nueva Ecija")</f>
        <v>Nueva Ecija</v>
      </c>
      <c r="AM68" s="2">
        <f>IFERROR(__xludf.DUMMYFUNCTION("""COMPUTED_VALUE"""),3.0)</f>
        <v>3</v>
      </c>
      <c r="AN68" s="2" t="str">
        <f>IFERROR(__xludf.DUMMYFUNCTION("""COMPUTED_VALUE"""),"RCEF 23-09-21 Rebidding")</f>
        <v>RCEF 23-09-21 Rebidding</v>
      </c>
      <c r="AO68" s="2">
        <f>IFERROR(__xludf.DUMMYFUNCTION("""COMPUTED_VALUE"""),3.0)</f>
        <v>3</v>
      </c>
      <c r="AP68" s="2"/>
      <c r="AQ68" s="2"/>
      <c r="AR68" s="2"/>
      <c r="AS68" s="2"/>
      <c r="AT68" s="2"/>
      <c r="AU68" s="2"/>
      <c r="AV68" s="2"/>
      <c r="AW68" s="2"/>
      <c r="AX68" s="2"/>
      <c r="AY68" s="2"/>
      <c r="AZ68" s="2"/>
      <c r="BA68" s="2"/>
      <c r="BB68" s="2"/>
    </row>
    <row r="69">
      <c r="A69" s="2">
        <f>IFERROR(__xludf.DUMMYFUNCTION("""COMPUTED_VALUE"""),65.0)</f>
        <v>65</v>
      </c>
      <c r="B69" s="2" t="str">
        <f>IFERROR(__xludf.DUMMYFUNCTION("""COMPUTED_VALUE"""),"COMPLETED")</f>
        <v>COMPLETED</v>
      </c>
      <c r="C69" s="74">
        <f>IFERROR(__xludf.DUMMYFUNCTION("""COMPUTED_VALUE"""),45406.0)</f>
        <v>45406</v>
      </c>
      <c r="D69" s="71" t="str">
        <f>IFERROR(__xludf.DUMMYFUNCTION("""COMPUTED_VALUE"""),"NAGMISAHAN FARMERS ASSOCIATION")</f>
        <v>NAGMISAHAN FARMERS ASSOCIATION</v>
      </c>
      <c r="E69" s="71" t="str">
        <f>IFERROR(__xludf.DUMMYFUNCTION("""COMPUTED_VALUE"""),"Nagmisahan, Cuyapo, NUEVA ECIJA")</f>
        <v>Nagmisahan, Cuyapo, NUEVA ECIJA</v>
      </c>
      <c r="F69" s="2" t="str">
        <f>IFERROR(__xludf.DUMMYFUNCTION("""COMPUTED_VALUE"""),"ANTONIO ORCINO")</f>
        <v>ANTONIO ORCINO</v>
      </c>
      <c r="G69" s="2" t="str">
        <f>IFERROR(__xludf.DUMMYFUNCTION("""COMPUTED_VALUE"""),"0970-9479-351")</f>
        <v>0970-9479-351</v>
      </c>
      <c r="H69" s="2"/>
      <c r="I69" s="72" t="str">
        <f>IFERROR(__xludf.DUMMYFUNCTION("""COMPUTED_VALUE"""),"REPAIR - TRACTOR")</f>
        <v>REPAIR - TRACTOR</v>
      </c>
      <c r="J69" s="72" t="str">
        <f>IFERROR(__xludf.DUMMYFUNCTION("""COMPUTED_VALUE"""),"Electrical - Dashboard")</f>
        <v>Electrical - Dashboard</v>
      </c>
      <c r="K69" s="72" t="str">
        <f>IFERROR(__xludf.DUMMYFUNCTION("""COMPUTED_VALUE"""),"AYAW GUMANA NG GAUGE                                                                       
5/5/24: SIRA ANG METER PANEL, KAILANGAN PALITAN                                                                                
 5/10/24: NAG INSTALL NG BAGONG MET"&amp;"ER PANEL, PERO HINDI PADIN GUMAGANA ANG FUEL GAUGE, TEMPERATURE GAUGE AND RPM ANALOG. GUMAGANA ANG POWER SUPPLY PAPUNTA SA METER PANEL, SA TINGIN KO NAG SHORT ANG WIRINGS KASI NAPANSIN KONG PUTOL ANG MAIN FUSE POWER SUPPLY. POSIBLENG NAAPEKTUHAN ANG MGA S"&amp;"ENSOR KAYA HINDI NAGANA.")</f>
        <v>AYAW GUMANA NG GAUGE                                                                       
5/5/24: SIRA ANG METER PANEL, KAILANGAN PALITAN                                                                                
 5/10/24: NAG INSTALL NG BAGONG METER PANEL, PERO HINDI PADIN GUMAGANA ANG FUEL GAUGE, TEMPERATURE GAUGE AND RPM ANALOG. GUMAGANA ANG POWER SUPPLY PAPUNTA SA METER PANEL, SA TINGIN KO NAG SHORT ANG WIRINGS KASI NAPANSIN KONG PUTOL ANG MAIN FUSE POWER SUPPLY. POSIBLENG NAAPEKTUHAN ANG MGA SENSOR KAYA HINDI NAGANA.</v>
      </c>
      <c r="L69" s="72" t="str">
        <f>IFERROR(__xludf.DUMMYFUNCTION("""COMPUTED_VALUE"""),"REPLACED PANEL METER (WARRANTY)")</f>
        <v>REPLACED PANEL METER (WARRANTY)</v>
      </c>
      <c r="M69" s="2"/>
      <c r="N69" s="2" t="str">
        <f>IFERROR(__xludf.DUMMYFUNCTION("""COMPUTED_VALUE"""),"PARTS: METER PANEL")</f>
        <v>PARTS: METER PANEL</v>
      </c>
      <c r="O69" s="2" t="str">
        <f>IFERROR(__xludf.DUMMYFUNCTION("""COMPUTED_VALUE"""),"JIE 216")</f>
        <v>JIE 216</v>
      </c>
      <c r="P69" s="2"/>
      <c r="Q69" s="2" t="str">
        <f>IFERROR(__xludf.DUMMYFUNCTION("""COMPUTED_VALUE"""),"FOR PRINT")</f>
        <v>FOR PRINT</v>
      </c>
      <c r="R69" s="74">
        <f>IFERROR(__xludf.DUMMYFUNCTION("""COMPUTED_VALUE"""),45436.0)</f>
        <v>45436</v>
      </c>
      <c r="S69" s="2" t="str">
        <f>IFERROR(__xludf.DUMMYFUNCTION("""COMPUTED_VALUE"""),"JHP")</f>
        <v>JHP</v>
      </c>
      <c r="T69" s="73" t="str">
        <f>IFERROR(__xludf.DUMMYFUNCTION("""COMPUTED_VALUE""")," N/A ")</f>
        <v>N/A</v>
      </c>
      <c r="U69" s="73" t="str">
        <f>IFERROR(__xludf.DUMMYFUNCTION("""COMPUTED_VALUE""")," NO CHARGE ")</f>
        <v>NO CHARGE</v>
      </c>
      <c r="V69" s="2"/>
      <c r="W69" s="2" t="str">
        <f>IFERROR(__xludf.DUMMYFUNCTION("""COMPUTED_VALUE"""),"N/A")</f>
        <v>N/A</v>
      </c>
      <c r="X69" s="2" t="str">
        <f>IFERROR(__xludf.DUMMYFUNCTION("""COMPUTED_VALUE"""),"N/A")</f>
        <v>N/A</v>
      </c>
      <c r="Y69" s="2" t="str">
        <f>IFERROR(__xludf.DUMMYFUNCTION("""COMPUTED_VALUE"""),"BMD  /// DONE  SERVICE REPORT")</f>
        <v>BMD  /// DONE  SERVICE REPORT</v>
      </c>
      <c r="Z69" s="2"/>
      <c r="AA69" s="2"/>
      <c r="AB69" s="2"/>
      <c r="AC69" s="2" t="str">
        <f>IFERROR(__xludf.DUMMYFUNCTION("""COMPUTED_VALUE"""),"Y")</f>
        <v>Y</v>
      </c>
      <c r="AD69" s="2" t="str">
        <f>IFERROR(__xludf.DUMMYFUNCTION("""COMPUTED_VALUE"""),"pictures+video+kfs report+tech report+ltc service report")</f>
        <v>pictures+video+kfs report+tech report+ltc service report</v>
      </c>
      <c r="AE69" s="2"/>
      <c r="AF69" s="2"/>
      <c r="AG69" s="2"/>
      <c r="AH69" s="2"/>
      <c r="AI69" s="2"/>
      <c r="AJ69" s="2" t="str">
        <f>IFERROR(__xludf.DUMMYFUNCTION("""COMPUTED_VALUE"""),"Nagmisahan")</f>
        <v>Nagmisahan</v>
      </c>
      <c r="AK69" s="2" t="str">
        <f>IFERROR(__xludf.DUMMYFUNCTION("""COMPUTED_VALUE"""),"Cuyapo")</f>
        <v>Cuyapo</v>
      </c>
      <c r="AL69" s="2" t="str">
        <f>IFERROR(__xludf.DUMMYFUNCTION("""COMPUTED_VALUE"""),"Nueva Ecija")</f>
        <v>Nueva Ecija</v>
      </c>
      <c r="AM69" s="2">
        <f>IFERROR(__xludf.DUMMYFUNCTION("""COMPUTED_VALUE"""),3.0)</f>
        <v>3</v>
      </c>
      <c r="AN69" s="2" t="str">
        <f>IFERROR(__xludf.DUMMYFUNCTION("""COMPUTED_VALUE"""),"RCEF 23-09-21 Rebidding")</f>
        <v>RCEF 23-09-21 Rebidding</v>
      </c>
      <c r="AO69" s="2">
        <f>IFERROR(__xludf.DUMMYFUNCTION("""COMPUTED_VALUE"""),3.0)</f>
        <v>3</v>
      </c>
      <c r="AP69" s="2"/>
      <c r="AQ69" s="2"/>
      <c r="AR69" s="2"/>
      <c r="AS69" s="2"/>
      <c r="AT69" s="2"/>
      <c r="AU69" s="2"/>
      <c r="AV69" s="2"/>
      <c r="AW69" s="2"/>
      <c r="AX69" s="2"/>
      <c r="AY69" s="2"/>
      <c r="AZ69" s="2"/>
      <c r="BA69" s="2"/>
      <c r="BB69" s="2"/>
    </row>
    <row r="70">
      <c r="A70" s="2">
        <f>IFERROR(__xludf.DUMMYFUNCTION("""COMPUTED_VALUE"""),66.0)</f>
        <v>66</v>
      </c>
      <c r="B70" s="2" t="str">
        <f>IFERROR(__xludf.DUMMYFUNCTION("""COMPUTED_VALUE"""),"COMPLETED")</f>
        <v>COMPLETED</v>
      </c>
      <c r="C70" s="74">
        <f>IFERROR(__xludf.DUMMYFUNCTION("""COMPUTED_VALUE"""),45406.0)</f>
        <v>45406</v>
      </c>
      <c r="D70" s="71" t="str">
        <f>IFERROR(__xludf.DUMMYFUNCTION("""COMPUTED_VALUE"""),"BAGONG BUHAY FARMERS ASSOCIATION")</f>
        <v>BAGONG BUHAY FARMERS ASSOCIATION</v>
      </c>
      <c r="E70" s="71" t="str">
        <f>IFERROR(__xludf.DUMMYFUNCTION("""COMPUTED_VALUE"""),"Bagong Buhay, naujan, Oriental Mindoro")</f>
        <v>Bagong Buhay, naujan, Oriental Mindoro</v>
      </c>
      <c r="F70" s="2" t="str">
        <f>IFERROR(__xludf.DUMMYFUNCTION("""COMPUTED_VALUE"""),"PRESIDENT")</f>
        <v>PRESIDENT</v>
      </c>
      <c r="G70" s="2" t="str">
        <f>IFERROR(__xludf.DUMMYFUNCTION("""COMPUTED_VALUE"""),"0906-3343-277 / 0945-4403-156")</f>
        <v>0906-3343-277 / 0945-4403-156</v>
      </c>
      <c r="H70" s="2" t="str">
        <f>IFERROR(__xludf.DUMMYFUNCTION("""COMPUTED_VALUE"""),"125.9 HRS")</f>
        <v>125.9 HRS</v>
      </c>
      <c r="I70" s="72" t="str">
        <f>IFERROR(__xludf.DUMMYFUNCTION("""COMPUTED_VALUE"""),"REPAIR - ROTAVATOR")</f>
        <v>REPAIR - ROTAVATOR</v>
      </c>
      <c r="J70" s="72" t="str">
        <f>IFERROR(__xludf.DUMMYFUNCTION("""COMPUTED_VALUE"""),"Gearbox")</f>
        <v>Gearbox</v>
      </c>
      <c r="K70" s="72" t="str">
        <f>IFERROR(__xludf.DUMMYFUNCTION("""COMPUTED_VALUE"""),"NAG IINNIT YUNG GEARBOX NG ROTARY TILLER")</f>
        <v>NAG IINNIT YUNG GEARBOX NG ROTARY TILLER</v>
      </c>
      <c r="L70" s="72" t="str">
        <f>IFERROR(__xludf.DUMMYFUNCTION("""COMPUTED_VALUE"""),"CHANGE GEAR OIL OF ROTAVATOR GEAR BOX")</f>
        <v>CHANGE GEAR OIL OF ROTAVATOR GEAR BOX</v>
      </c>
      <c r="M70" s="2"/>
      <c r="N70" s="2"/>
      <c r="O70" s="2" t="str">
        <f>IFERROR(__xludf.DUMMYFUNCTION("""COMPUTED_VALUE"""),"JIE 214")</f>
        <v>JIE 214</v>
      </c>
      <c r="P70" s="2"/>
      <c r="Q70" s="2" t="str">
        <f>IFERROR(__xludf.DUMMYFUNCTION("""COMPUTED_VALUE"""),"FOR PRINT")</f>
        <v>FOR PRINT</v>
      </c>
      <c r="R70" s="74">
        <f>IFERROR(__xludf.DUMMYFUNCTION("""COMPUTED_VALUE"""),45412.0)</f>
        <v>45412</v>
      </c>
      <c r="S70" s="2" t="str">
        <f>IFERROR(__xludf.DUMMYFUNCTION("""COMPUTED_VALUE"""),"RCG/LBA")</f>
        <v>RCG/LBA</v>
      </c>
      <c r="T70" s="73" t="str">
        <f>IFERROR(__xludf.DUMMYFUNCTION("""COMPUTED_VALUE""")," N/A ")</f>
        <v>N/A</v>
      </c>
      <c r="U70" s="73" t="str">
        <f>IFERROR(__xludf.DUMMYFUNCTION("""COMPUTED_VALUE""")," NO CHARGE ")</f>
        <v>NO CHARGE</v>
      </c>
      <c r="V70" s="2"/>
      <c r="W70" s="2" t="str">
        <f>IFERROR(__xludf.DUMMYFUNCTION("""COMPUTED_VALUE"""),"N/A")</f>
        <v>N/A</v>
      </c>
      <c r="X70" s="2" t="str">
        <f>IFERROR(__xludf.DUMMYFUNCTION("""COMPUTED_VALUE"""),"N/A")</f>
        <v>N/A</v>
      </c>
      <c r="Y70" s="2" t="str">
        <f>IFERROR(__xludf.DUMMYFUNCTION("""COMPUTED_VALUE"""),"RCG")</f>
        <v>RCG</v>
      </c>
      <c r="Z70" s="2"/>
      <c r="AA70" s="2"/>
      <c r="AB70" s="2"/>
      <c r="AC70" s="2"/>
      <c r="AD70" s="2"/>
      <c r="AE70" s="2"/>
      <c r="AF70" s="2"/>
      <c r="AG70" s="2"/>
      <c r="AH70" s="2"/>
      <c r="AI70" s="2"/>
      <c r="AJ70" s="2" t="str">
        <f>IFERROR(__xludf.DUMMYFUNCTION("""COMPUTED_VALUE"""),"Bagong Buhay")</f>
        <v>Bagong Buhay</v>
      </c>
      <c r="AK70" s="2" t="str">
        <f>IFERROR(__xludf.DUMMYFUNCTION("""COMPUTED_VALUE"""),"Naujan")</f>
        <v>Naujan</v>
      </c>
      <c r="AL70" s="2" t="str">
        <f>IFERROR(__xludf.DUMMYFUNCTION("""COMPUTED_VALUE"""),"Oriental Mindoro")</f>
        <v>Oriental Mindoro</v>
      </c>
      <c r="AM70" s="2" t="str">
        <f>IFERROR(__xludf.DUMMYFUNCTION("""COMPUTED_VALUE"""),"4B")</f>
        <v>4B</v>
      </c>
      <c r="AN70" s="2" t="str">
        <f>IFERROR(__xludf.DUMMYFUNCTION("""COMPUTED_VALUE"""),"RCEF 23-08-20 Rebidding")</f>
        <v>RCEF 23-08-20 Rebidding</v>
      </c>
      <c r="AO70" s="2">
        <f>IFERROR(__xludf.DUMMYFUNCTION("""COMPUTED_VALUE"""),1.0)</f>
        <v>1</v>
      </c>
      <c r="AP70" s="2"/>
      <c r="AQ70" s="2"/>
      <c r="AR70" s="2"/>
      <c r="AS70" s="2"/>
      <c r="AT70" s="2"/>
      <c r="AU70" s="2"/>
      <c r="AV70" s="2"/>
      <c r="AW70" s="2"/>
      <c r="AX70" s="2"/>
      <c r="AY70" s="2"/>
      <c r="AZ70" s="2"/>
      <c r="BA70" s="2"/>
      <c r="BB70" s="2"/>
    </row>
    <row r="71">
      <c r="A71" s="2">
        <f>IFERROR(__xludf.DUMMYFUNCTION("""COMPUTED_VALUE"""),67.0)</f>
        <v>67</v>
      </c>
      <c r="B71" s="2" t="str">
        <f>IFERROR(__xludf.DUMMYFUNCTION("""COMPUTED_VALUE"""),"COMPLETED")</f>
        <v>COMPLETED</v>
      </c>
      <c r="C71" s="74">
        <f>IFERROR(__xludf.DUMMYFUNCTION("""COMPUTED_VALUE"""),45406.0)</f>
        <v>45406</v>
      </c>
      <c r="D71" s="71" t="str">
        <f>IFERROR(__xludf.DUMMYFUNCTION("""COMPUTED_VALUE"""),"Matabiaga Malawaan Irrigators Association, Inc.")</f>
        <v>Matabiaga Malawaan Irrigators Association, Inc.</v>
      </c>
      <c r="E71" s="71" t="str">
        <f>IFERROR(__xludf.DUMMYFUNCTION("""COMPUTED_VALUE"""),"MALAWAAN, RIZAL, OCCIDENTAL MINDORO")</f>
        <v>MALAWAAN, RIZAL, OCCIDENTAL MINDORO</v>
      </c>
      <c r="F71" s="2" t="str">
        <f>IFERROR(__xludf.DUMMYFUNCTION("""COMPUTED_VALUE"""),"ENRIGUETA TAYCO")</f>
        <v>ENRIGUETA TAYCO</v>
      </c>
      <c r="G71" s="2" t="str">
        <f>IFERROR(__xludf.DUMMYFUNCTION("""COMPUTED_VALUE"""),"0909-3540-587")</f>
        <v>0909-3540-587</v>
      </c>
      <c r="H71" s="2" t="str">
        <f>IFERROR(__xludf.DUMMYFUNCTION("""COMPUTED_VALUE"""),"350 HRS")</f>
        <v>350 HRS</v>
      </c>
      <c r="I71" s="72" t="str">
        <f>IFERROR(__xludf.DUMMYFUNCTION("""COMPUTED_VALUE"""),"PMS")</f>
        <v>PMS</v>
      </c>
      <c r="J71" s="72" t="str">
        <f>IFERROR(__xludf.DUMMYFUNCTION("""COMPUTED_VALUE"""),"PMS")</f>
        <v>PMS</v>
      </c>
      <c r="K71" s="72" t="str">
        <f>IFERROR(__xludf.DUMMYFUNCTION("""COMPUTED_VALUE"""),"SECOND PMS")</f>
        <v>SECOND PMS</v>
      </c>
      <c r="L71" s="72" t="str">
        <f>IFERROR(__xludf.DUMMYFUNCTION("""COMPUTED_VALUE"""),"REPLACE ENGINE OIL AND HYDRAULIC OIL ")</f>
        <v>REPLACE ENGINE OIL AND HYDRAULIC OIL </v>
      </c>
      <c r="M71" s="2"/>
      <c r="N71" s="2" t="str">
        <f>IFERROR(__xludf.DUMMYFUNCTION("""COMPUTED_VALUE"""),"OIL FILTER
HYDRAULIC FILTER")</f>
        <v>OIL FILTER
HYDRAULIC FILTER</v>
      </c>
      <c r="O71" s="2" t="str">
        <f>IFERROR(__xludf.DUMMYFUNCTION("""COMPUTED_VALUE"""),"JIE 215")</f>
        <v>JIE 215</v>
      </c>
      <c r="P71" s="2"/>
      <c r="Q71" s="2" t="str">
        <f>IFERROR(__xludf.DUMMYFUNCTION("""COMPUTED_VALUE"""),"FOR PRINT")</f>
        <v>FOR PRINT</v>
      </c>
      <c r="R71" s="74">
        <f>IFERROR(__xludf.DUMMYFUNCTION("""COMPUTED_VALUE"""),45414.0)</f>
        <v>45414</v>
      </c>
      <c r="S71" s="2" t="str">
        <f>IFERROR(__xludf.DUMMYFUNCTION("""COMPUTED_VALUE"""),"RCG/LBA")</f>
        <v>RCG/LBA</v>
      </c>
      <c r="T71" s="73">
        <f>IFERROR(__xludf.DUMMYFUNCTION("""COMPUTED_VALUE"""),7925.0)</f>
        <v>7925</v>
      </c>
      <c r="U71" s="73" t="str">
        <f>IFERROR(__xludf.DUMMYFUNCTION("""COMPUTED_VALUE""")," REMITTED ")</f>
        <v>REMITTED</v>
      </c>
      <c r="V71" s="2"/>
      <c r="W71" s="2"/>
      <c r="X71" s="2">
        <f>IFERROR(__xludf.DUMMYFUNCTION("""COMPUTED_VALUE"""),1095.0)</f>
        <v>1095</v>
      </c>
      <c r="Y71" s="2" t="str">
        <f>IFERROR(__xludf.DUMMYFUNCTION("""COMPUTED_VALUE"""),"RCG")</f>
        <v>RCG</v>
      </c>
      <c r="Z71" s="2"/>
      <c r="AA71" s="2"/>
      <c r="AB71" s="2"/>
      <c r="AC71" s="2"/>
      <c r="AD71" s="2"/>
      <c r="AE71" s="2"/>
      <c r="AF71" s="2"/>
      <c r="AG71" s="2"/>
      <c r="AH71" s="2"/>
      <c r="AI71" s="2"/>
      <c r="AJ71" s="2" t="str">
        <f>IFERROR(__xludf.DUMMYFUNCTION("""COMPUTED_VALUE"""),"Malawaan")</f>
        <v>Malawaan</v>
      </c>
      <c r="AK71" s="2" t="str">
        <f>IFERROR(__xludf.DUMMYFUNCTION("""COMPUTED_VALUE"""),"Rizal")</f>
        <v>Rizal</v>
      </c>
      <c r="AL71" s="2" t="str">
        <f>IFERROR(__xludf.DUMMYFUNCTION("""COMPUTED_VALUE"""),"Occidental Mindoro")</f>
        <v>Occidental Mindoro</v>
      </c>
      <c r="AM71" s="2" t="str">
        <f>IFERROR(__xludf.DUMMYFUNCTION("""COMPUTED_VALUE"""),"4B")</f>
        <v>4B</v>
      </c>
      <c r="AN71" s="2" t="str">
        <f>IFERROR(__xludf.DUMMYFUNCTION("""COMPUTED_VALUE"""),"RCEF 23-08-20 Rebidding")</f>
        <v>RCEF 23-08-20 Rebidding</v>
      </c>
      <c r="AO71" s="2">
        <f>IFERROR(__xludf.DUMMYFUNCTION("""COMPUTED_VALUE"""),1.0)</f>
        <v>1</v>
      </c>
      <c r="AP71" s="2"/>
      <c r="AQ71" s="2"/>
      <c r="AR71" s="2"/>
      <c r="AS71" s="2"/>
      <c r="AT71" s="2"/>
      <c r="AU71" s="2"/>
      <c r="AV71" s="2"/>
      <c r="AW71" s="2"/>
      <c r="AX71" s="2"/>
      <c r="AY71" s="2"/>
      <c r="AZ71" s="2"/>
      <c r="BA71" s="2"/>
      <c r="BB71" s="2"/>
    </row>
    <row r="72">
      <c r="A72" s="2">
        <f>IFERROR(__xludf.DUMMYFUNCTION("""COMPUTED_VALUE"""),68.0)</f>
        <v>68</v>
      </c>
      <c r="B72" s="2" t="str">
        <f>IFERROR(__xludf.DUMMYFUNCTION("""COMPUTED_VALUE"""),"COMPLETED")</f>
        <v>COMPLETED</v>
      </c>
      <c r="C72" s="74">
        <f>IFERROR(__xludf.DUMMYFUNCTION("""COMPUTED_VALUE"""),45406.0)</f>
        <v>45406</v>
      </c>
      <c r="D72" s="71" t="str">
        <f>IFERROR(__xludf.DUMMYFUNCTION("""COMPUTED_VALUE"""),"Matabiaga Malawaan Irrigators Association, Inc.")</f>
        <v>Matabiaga Malawaan Irrigators Association, Inc.</v>
      </c>
      <c r="E72" s="71" t="str">
        <f>IFERROR(__xludf.DUMMYFUNCTION("""COMPUTED_VALUE"""),"MALAWAAN, RIZAL, OCCIDENTAL MINDORO")</f>
        <v>MALAWAAN, RIZAL, OCCIDENTAL MINDORO</v>
      </c>
      <c r="F72" s="2" t="str">
        <f>IFERROR(__xludf.DUMMYFUNCTION("""COMPUTED_VALUE"""),"ENRIGUETA TAYCO")</f>
        <v>ENRIGUETA TAYCO</v>
      </c>
      <c r="G72" s="2" t="str">
        <f>IFERROR(__xludf.DUMMYFUNCTION("""COMPUTED_VALUE"""),"0909-3540-587")</f>
        <v>0909-3540-587</v>
      </c>
      <c r="H72" s="2" t="str">
        <f>IFERROR(__xludf.DUMMYFUNCTION("""COMPUTED_VALUE"""),"350 HRS")</f>
        <v>350 HRS</v>
      </c>
      <c r="I72" s="72" t="str">
        <f>IFERROR(__xludf.DUMMYFUNCTION("""COMPUTED_VALUE"""),"REPAIR - TRACTOR")</f>
        <v>REPAIR - TRACTOR</v>
      </c>
      <c r="J72" s="72" t="str">
        <f>IFERROR(__xludf.DUMMYFUNCTION("""COMPUTED_VALUE"""),"PST - Leak")</f>
        <v>PST - Leak</v>
      </c>
      <c r="K72" s="72" t="str">
        <f>IFERROR(__xludf.DUMMYFUNCTION("""COMPUTED_VALUE"""),"FRIST REPORT: FRONT AXLE LEAKING.     
ASSESED MAY 2, 2024:  MAY LEAK YUNG OIL SEAL NG STEARING CYLINDER")</f>
        <v>FRIST REPORT: FRONT AXLE LEAKING.     
ASSESED MAY 2, 2024:  MAY LEAK YUNG OIL SEAL NG STEARING CYLINDER</v>
      </c>
      <c r="L72" s="72" t="str">
        <f>IFERROR(__xludf.DUMMYFUNCTION("""COMPUTED_VALUE"""),"GINAWAN NA NG PARAAN NI FARMER YUNG OIL SEAL")</f>
        <v>GINAWAN NA NG PARAAN NI FARMER YUNG OIL SEAL</v>
      </c>
      <c r="M72" s="2"/>
      <c r="N72" s="2"/>
      <c r="O72" s="2" t="str">
        <f>IFERROR(__xludf.DUMMYFUNCTION("""COMPUTED_VALUE"""),"N/A")</f>
        <v>N/A</v>
      </c>
      <c r="P72" s="2"/>
      <c r="Q72" s="2"/>
      <c r="R72" s="74">
        <f>IFERROR(__xludf.DUMMYFUNCTION("""COMPUTED_VALUE"""),45447.0)</f>
        <v>45447</v>
      </c>
      <c r="S72" s="2" t="str">
        <f>IFERROR(__xludf.DUMMYFUNCTION("""COMPUTED_VALUE"""),"RCG")</f>
        <v>RCG</v>
      </c>
      <c r="T72" s="73" t="str">
        <f>IFERROR(__xludf.DUMMYFUNCTION("""COMPUTED_VALUE""")," N/A ")</f>
        <v>N/A</v>
      </c>
      <c r="U72" s="73" t="str">
        <f>IFERROR(__xludf.DUMMYFUNCTION("""COMPUTED_VALUE""")," NO CHARGE ")</f>
        <v>NO CHARGE</v>
      </c>
      <c r="V72" s="2"/>
      <c r="W72" s="2" t="str">
        <f>IFERROR(__xludf.DUMMYFUNCTION("""COMPUTED_VALUE"""),"N/A")</f>
        <v>N/A</v>
      </c>
      <c r="X72" s="2" t="str">
        <f>IFERROR(__xludf.DUMMYFUNCTION("""COMPUTED_VALUE"""),"N/A")</f>
        <v>N/A</v>
      </c>
      <c r="Y72" s="2" t="str">
        <f>IFERROR(__xludf.DUMMYFUNCTION("""COMPUTED_VALUE"""),"RCG     //    ff. geff galler outsourcing of oil seal and o-ring")</f>
        <v>RCG     //    ff. geff galler outsourcing of oil seal and o-ring</v>
      </c>
      <c r="Z72" s="2"/>
      <c r="AA72" s="2"/>
      <c r="AB72" s="2"/>
      <c r="AC72" s="2"/>
      <c r="AD72" s="2"/>
      <c r="AE72" s="2"/>
      <c r="AF72" s="2"/>
      <c r="AG72" s="2"/>
      <c r="AH72" s="2"/>
      <c r="AI72" s="2"/>
      <c r="AJ72" s="2" t="str">
        <f>IFERROR(__xludf.DUMMYFUNCTION("""COMPUTED_VALUE"""),"Malawaan")</f>
        <v>Malawaan</v>
      </c>
      <c r="AK72" s="2" t="str">
        <f>IFERROR(__xludf.DUMMYFUNCTION("""COMPUTED_VALUE"""),"Rizal")</f>
        <v>Rizal</v>
      </c>
      <c r="AL72" s="2" t="str">
        <f>IFERROR(__xludf.DUMMYFUNCTION("""COMPUTED_VALUE"""),"Occidental Mindoro")</f>
        <v>Occidental Mindoro</v>
      </c>
      <c r="AM72" s="2" t="str">
        <f>IFERROR(__xludf.DUMMYFUNCTION("""COMPUTED_VALUE"""),"4B")</f>
        <v>4B</v>
      </c>
      <c r="AN72" s="2" t="str">
        <f>IFERROR(__xludf.DUMMYFUNCTION("""COMPUTED_VALUE"""),"RCEF 23-08-20 Rebidding")</f>
        <v>RCEF 23-08-20 Rebidding</v>
      </c>
      <c r="AO72" s="2">
        <f>IFERROR(__xludf.DUMMYFUNCTION("""COMPUTED_VALUE"""),1.0)</f>
        <v>1</v>
      </c>
      <c r="AP72" s="2"/>
      <c r="AQ72" s="2"/>
      <c r="AR72" s="2"/>
      <c r="AS72" s="2"/>
      <c r="AT72" s="2"/>
      <c r="AU72" s="2"/>
      <c r="AV72" s="2"/>
      <c r="AW72" s="2"/>
      <c r="AX72" s="2"/>
      <c r="AY72" s="2"/>
      <c r="AZ72" s="2"/>
      <c r="BA72" s="2"/>
      <c r="BB72" s="2"/>
    </row>
    <row r="73">
      <c r="A73" s="2">
        <f>IFERROR(__xludf.DUMMYFUNCTION("""COMPUTED_VALUE"""),69.0)</f>
        <v>69</v>
      </c>
      <c r="B73" s="2" t="str">
        <f>IFERROR(__xludf.DUMMYFUNCTION("""COMPUTED_VALUE"""),"COMPLETED")</f>
        <v>COMPLETED</v>
      </c>
      <c r="C73" s="74">
        <f>IFERROR(__xludf.DUMMYFUNCTION("""COMPUTED_VALUE"""),45407.0)</f>
        <v>45407</v>
      </c>
      <c r="D73" s="71" t="str">
        <f>IFERROR(__xludf.DUMMYFUNCTION("""COMPUTED_VALUE"""),"RAJAL-STO.TOMAS IRRIGATORS' ASSOCIATION, INC.")</f>
        <v>RAJAL-STO.TOMAS IRRIGATORS' ASSOCIATION, INC.</v>
      </c>
      <c r="E73" s="71" t="str">
        <f>IFERROR(__xludf.DUMMYFUNCTION("""COMPUTED_VALUE"""),"Santo Tomas, Aliaga, NUEVA ECIJA")</f>
        <v>Santo Tomas, Aliaga, NUEVA ECIJA</v>
      </c>
      <c r="F73" s="2" t="str">
        <f>IFERROR(__xludf.DUMMYFUNCTION("""COMPUTED_VALUE"""),"MASCARDO DIAZ")</f>
        <v>MASCARDO DIAZ</v>
      </c>
      <c r="G73" s="2"/>
      <c r="H73" s="2" t="str">
        <f>IFERROR(__xludf.DUMMYFUNCTION("""COMPUTED_VALUE"""),"26 HRS")</f>
        <v>26 HRS</v>
      </c>
      <c r="I73" s="72" t="str">
        <f>IFERROR(__xludf.DUMMYFUNCTION("""COMPUTED_VALUE"""),"REPAIR - TRACTOR")</f>
        <v>REPAIR - TRACTOR</v>
      </c>
      <c r="J73" s="72" t="str">
        <f>IFERROR(__xludf.DUMMYFUNCTION("""COMPUTED_VALUE"""),"Radiator")</f>
        <v>Radiator</v>
      </c>
      <c r="K73" s="72" t="str">
        <f>IFERROR(__xludf.DUMMYFUNCTION("""COMPUTED_VALUE"""),"NASIRA ANG COVER NG RADIATOR    ")</f>
        <v>NASIRA ANG COVER NG RADIATOR    </v>
      </c>
      <c r="L73" s="72" t="str">
        <f>IFERROR(__xludf.DUMMYFUNCTION("""COMPUTED_VALUE"""),"REPLACEMENT OF RADIATOR")</f>
        <v>REPLACEMENT OF RADIATOR</v>
      </c>
      <c r="M73" s="2"/>
      <c r="N73" s="2" t="str">
        <f>IFERROR(__xludf.DUMMYFUNCTION("""COMPUTED_VALUE"""),"RADIATOR ASSY")</f>
        <v>RADIATOR ASSY</v>
      </c>
      <c r="O73" s="2" t="str">
        <f>IFERROR(__xludf.DUMMYFUNCTION("""COMPUTED_VALUE"""),"JIE 218")</f>
        <v>JIE 218</v>
      </c>
      <c r="P73" s="2"/>
      <c r="Q73" s="2" t="str">
        <f>IFERROR(__xludf.DUMMYFUNCTION("""COMPUTED_VALUE"""),"FOR PRINT")</f>
        <v>FOR PRINT</v>
      </c>
      <c r="R73" s="74">
        <f>IFERROR(__xludf.DUMMYFUNCTION("""COMPUTED_VALUE"""),45415.0)</f>
        <v>45415</v>
      </c>
      <c r="S73" s="2" t="str">
        <f>IFERROR(__xludf.DUMMYFUNCTION("""COMPUTED_VALUE"""),"EGT/JDP")</f>
        <v>EGT/JDP</v>
      </c>
      <c r="T73" s="2"/>
      <c r="U73" s="73" t="str">
        <f>IFERROR(__xludf.DUMMYFUNCTION("""COMPUTED_VALUE""")," NO CHARGE ")</f>
        <v>NO CHARGE</v>
      </c>
      <c r="V73" s="2"/>
      <c r="W73" s="2" t="str">
        <f>IFERROR(__xludf.DUMMYFUNCTION("""COMPUTED_VALUE"""),"N/A")</f>
        <v>N/A</v>
      </c>
      <c r="X73" s="2" t="str">
        <f>IFERROR(__xludf.DUMMYFUNCTION("""COMPUTED_VALUE"""),"N/A")</f>
        <v>N/A</v>
      </c>
      <c r="Y73" s="2" t="str">
        <f>IFERROR(__xludf.DUMMYFUNCTION("""COMPUTED_VALUE"""),"EGT  //  MYKEE: SERVICE REPORT DONE")</f>
        <v>EGT  //  MYKEE: SERVICE REPORT DONE</v>
      </c>
      <c r="Z73" s="2" t="str">
        <f>IFERROR(__xludf.DUMMYFUNCTION("""COMPUTED_VALUE"""),"LEADS-RP-0017")</f>
        <v>LEADS-RP-0017</v>
      </c>
      <c r="AA73" s="2" t="str">
        <f>IFERROR(__xludf.DUMMYFUNCTION("""COMPUTED_VALUE"""),"APPROVED")</f>
        <v>APPROVED</v>
      </c>
      <c r="AB73" s="2"/>
      <c r="AC73" s="2" t="str">
        <f>IFERROR(__xludf.DUMMYFUNCTION("""COMPUTED_VALUE"""),"Y")</f>
        <v>Y</v>
      </c>
      <c r="AD73" s="2" t="str">
        <f>IFERROR(__xludf.DUMMYFUNCTION("""COMPUTED_VALUE"""),"pictures+kfs report+tech report+ltc service report")</f>
        <v>pictures+kfs report+tech report+ltc service report</v>
      </c>
      <c r="AE73" s="2"/>
      <c r="AF73" s="2"/>
      <c r="AG73" s="2"/>
      <c r="AH73" s="2"/>
      <c r="AI73" s="2"/>
      <c r="AJ73" s="2" t="str">
        <f>IFERROR(__xludf.DUMMYFUNCTION("""COMPUTED_VALUE"""),"Santo Tomas")</f>
        <v>Santo Tomas</v>
      </c>
      <c r="AK73" s="2" t="str">
        <f>IFERROR(__xludf.DUMMYFUNCTION("""COMPUTED_VALUE"""),"Aliaga")</f>
        <v>Aliaga</v>
      </c>
      <c r="AL73" s="2" t="str">
        <f>IFERROR(__xludf.DUMMYFUNCTION("""COMPUTED_VALUE"""),"Nueva Ecija")</f>
        <v>Nueva Ecija</v>
      </c>
      <c r="AM73" s="2">
        <f>IFERROR(__xludf.DUMMYFUNCTION("""COMPUTED_VALUE"""),3.0)</f>
        <v>3</v>
      </c>
      <c r="AN73" s="2" t="str">
        <f>IFERROR(__xludf.DUMMYFUNCTION("""COMPUTED_VALUE"""),"RCEF 23-09-21 Rebidding")</f>
        <v>RCEF 23-09-21 Rebidding</v>
      </c>
      <c r="AO73" s="2">
        <f>IFERROR(__xludf.DUMMYFUNCTION("""COMPUTED_VALUE"""),3.0)</f>
        <v>3</v>
      </c>
      <c r="AP73" s="2"/>
      <c r="AQ73" s="2"/>
      <c r="AR73" s="2"/>
      <c r="AS73" s="2"/>
      <c r="AT73" s="2"/>
      <c r="AU73" s="2"/>
      <c r="AV73" s="2"/>
      <c r="AW73" s="2"/>
      <c r="AX73" s="2"/>
      <c r="AY73" s="2"/>
      <c r="AZ73" s="2"/>
      <c r="BA73" s="2"/>
      <c r="BB73" s="2"/>
    </row>
    <row r="74">
      <c r="A74" s="2">
        <f>IFERROR(__xludf.DUMMYFUNCTION("""COMPUTED_VALUE"""),70.0)</f>
        <v>70</v>
      </c>
      <c r="B74" s="2" t="str">
        <f>IFERROR(__xludf.DUMMYFUNCTION("""COMPUTED_VALUE"""),"COMPLETED")</f>
        <v>COMPLETED</v>
      </c>
      <c r="C74" s="74">
        <f>IFERROR(__xludf.DUMMYFUNCTION("""COMPUTED_VALUE"""),45407.0)</f>
        <v>45407</v>
      </c>
      <c r="D74" s="71" t="str">
        <f>IFERROR(__xludf.DUMMYFUNCTION("""COMPUTED_VALUE"""),"ZANJERA BILIBIGAO FARMERS IRRIGATORS ASSOCIATION INC.")</f>
        <v>ZANJERA BILIBIGAO FARMERS IRRIGATORS ASSOCIATION INC.</v>
      </c>
      <c r="E74" s="71" t="str">
        <f>IFERROR(__xludf.DUMMYFUNCTION("""COMPUTED_VALUE"""),"Bilibigao, Claveria, CAGAYAN")</f>
        <v>Bilibigao, Claveria, CAGAYAN</v>
      </c>
      <c r="F74" s="2"/>
      <c r="G74" s="2" t="str">
        <f>IFERROR(__xludf.DUMMYFUNCTION("""COMPUTED_VALUE"""),"0977-7372-618")</f>
        <v>0977-7372-618</v>
      </c>
      <c r="H74" s="2" t="str">
        <f>IFERROR(__xludf.DUMMYFUNCTION("""COMPUTED_VALUE"""),"48 HRS")</f>
        <v>48 HRS</v>
      </c>
      <c r="I74" s="72" t="str">
        <f>IFERROR(__xludf.DUMMYFUNCTION("""COMPUTED_VALUE"""),"PMS")</f>
        <v>PMS</v>
      </c>
      <c r="J74" s="72" t="str">
        <f>IFERROR(__xludf.DUMMYFUNCTION("""COMPUTED_VALUE"""),"PMS")</f>
        <v>PMS</v>
      </c>
      <c r="K74" s="72" t="str">
        <f>IFERROR(__xludf.DUMMYFUNCTION("""COMPUTED_VALUE"""),"FIRST PMS")</f>
        <v>FIRST PMS</v>
      </c>
      <c r="L74" s="72" t="str">
        <f>IFERROR(__xludf.DUMMYFUNCTION("""COMPUTED_VALUE"""),"SELF PMS: AGREEMENT: SIGNED")</f>
        <v>SELF PMS: AGREEMENT: SIGNED</v>
      </c>
      <c r="M74" s="2"/>
      <c r="N74" s="2"/>
      <c r="O74" s="2" t="str">
        <f>IFERROR(__xludf.DUMMYFUNCTION("""COMPUTED_VALUE"""),"N/A")</f>
        <v>N/A</v>
      </c>
      <c r="P74" s="2"/>
      <c r="Q74" s="2"/>
      <c r="R74" s="74">
        <f>IFERROR(__xludf.DUMMYFUNCTION("""COMPUTED_VALUE"""),45412.0)</f>
        <v>45412</v>
      </c>
      <c r="S74" s="2" t="str">
        <f>IFERROR(__xludf.DUMMYFUNCTION("""COMPUTED_VALUE"""),"MYKEE")</f>
        <v>MYKEE</v>
      </c>
      <c r="T74" s="73" t="str">
        <f>IFERROR(__xludf.DUMMYFUNCTION("""COMPUTED_VALUE""")," N/A ")</f>
        <v>N/A</v>
      </c>
      <c r="U74" s="73" t="str">
        <f>IFERROR(__xludf.DUMMYFUNCTION("""COMPUTED_VALUE""")," NO CHARGE ")</f>
        <v>NO CHARGE</v>
      </c>
      <c r="V74" s="2"/>
      <c r="W74" s="2" t="str">
        <f>IFERROR(__xludf.DUMMYFUNCTION("""COMPUTED_VALUE"""),"N/A")</f>
        <v>N/A</v>
      </c>
      <c r="X74" s="2" t="str">
        <f>IFERROR(__xludf.DUMMYFUNCTION("""COMPUTED_VALUE"""),"N/A")</f>
        <v>N/A</v>
      </c>
      <c r="Y74" s="2" t="str">
        <f>IFERROR(__xludf.DUMMYFUNCTION("""COMPUTED_VALUE"""),"AGREEMENT SENT: SIGNED")</f>
        <v>AGREEMENT SENT: SIGNED</v>
      </c>
      <c r="Z74" s="2"/>
      <c r="AA74" s="2"/>
      <c r="AB74" s="2"/>
      <c r="AC74" s="2"/>
      <c r="AD74" s="2"/>
      <c r="AE74" s="2"/>
      <c r="AF74" s="2"/>
      <c r="AG74" s="2"/>
      <c r="AH74" s="2"/>
      <c r="AI74" s="2"/>
      <c r="AJ74" s="2" t="str">
        <f>IFERROR(__xludf.DUMMYFUNCTION("""COMPUTED_VALUE"""),"Bilibigao")</f>
        <v>Bilibigao</v>
      </c>
      <c r="AK74" s="2" t="str">
        <f>IFERROR(__xludf.DUMMYFUNCTION("""COMPUTED_VALUE"""),"Claveria")</f>
        <v>Claveria</v>
      </c>
      <c r="AL74" s="2" t="str">
        <f>IFERROR(__xludf.DUMMYFUNCTION("""COMPUTED_VALUE"""),"Cagayan")</f>
        <v>Cagayan</v>
      </c>
      <c r="AM74" s="2">
        <f>IFERROR(__xludf.DUMMYFUNCTION("""COMPUTED_VALUE"""),2.0)</f>
        <v>2</v>
      </c>
      <c r="AN74" s="2" t="str">
        <f>IFERROR(__xludf.DUMMYFUNCTION("""COMPUTED_VALUE"""),"RCEF 23-09-21 Rebidding")</f>
        <v>RCEF 23-09-21 Rebidding</v>
      </c>
      <c r="AO74" s="2">
        <f>IFERROR(__xludf.DUMMYFUNCTION("""COMPUTED_VALUE"""),1.0)</f>
        <v>1</v>
      </c>
      <c r="AP74" s="2"/>
      <c r="AQ74" s="2"/>
      <c r="AR74" s="2"/>
      <c r="AS74" s="2"/>
      <c r="AT74" s="2"/>
      <c r="AU74" s="2"/>
      <c r="AV74" s="2"/>
      <c r="AW74" s="2"/>
      <c r="AX74" s="2"/>
      <c r="AY74" s="2"/>
      <c r="AZ74" s="2"/>
      <c r="BA74" s="2"/>
      <c r="BB74" s="2"/>
    </row>
    <row r="75">
      <c r="A75" s="2">
        <f>IFERROR(__xludf.DUMMYFUNCTION("""COMPUTED_VALUE"""),71.0)</f>
        <v>71</v>
      </c>
      <c r="B75" s="2" t="str">
        <f>IFERROR(__xludf.DUMMYFUNCTION("""COMPUTED_VALUE"""),"COMPLETED")</f>
        <v>COMPLETED</v>
      </c>
      <c r="C75" s="74">
        <f>IFERROR(__xludf.DUMMYFUNCTION("""COMPUTED_VALUE"""),45407.0)</f>
        <v>45407</v>
      </c>
      <c r="D75" s="71" t="str">
        <f>IFERROR(__xludf.DUMMYFUNCTION("""COMPUTED_VALUE"""),"CANTIL FARMERS ASSOCIATION")</f>
        <v>CANTIL FARMERS ASSOCIATION</v>
      </c>
      <c r="E75" s="71" t="str">
        <f>IFERROR(__xludf.DUMMYFUNCTION("""COMPUTED_VALUE"""),"Cantil, Roxas, Oriental Mindoro")</f>
        <v>Cantil, Roxas, Oriental Mindoro</v>
      </c>
      <c r="F75" s="2" t="str">
        <f>IFERROR(__xludf.DUMMYFUNCTION("""COMPUTED_VALUE"""),"ANGGILO ANDRES")</f>
        <v>ANGGILO ANDRES</v>
      </c>
      <c r="G75" s="2" t="str">
        <f>IFERROR(__xludf.DUMMYFUNCTION("""COMPUTED_VALUE"""),"0912-9050-140")</f>
        <v>0912-9050-140</v>
      </c>
      <c r="H75" s="2"/>
      <c r="I75" s="72" t="str">
        <f>IFERROR(__xludf.DUMMYFUNCTION("""COMPUTED_VALUE"""),"PMS")</f>
        <v>PMS</v>
      </c>
      <c r="J75" s="72" t="str">
        <f>IFERROR(__xludf.DUMMYFUNCTION("""COMPUTED_VALUE"""),"PMS")</f>
        <v>PMS</v>
      </c>
      <c r="K75" s="72" t="str">
        <f>IFERROR(__xludf.DUMMYFUNCTION("""COMPUTED_VALUE"""),"FIRST PMS")</f>
        <v>FIRST PMS</v>
      </c>
      <c r="L75" s="72" t="str">
        <f>IFERROR(__xludf.DUMMYFUNCTION("""COMPUTED_VALUE"""),"CHANGE OIL C/O FCA  (TO 2ND PMS FREE OIL)")</f>
        <v>CHANGE OIL C/O FCA  (TO 2ND PMS FREE OIL)</v>
      </c>
      <c r="M75" s="2"/>
      <c r="N75" s="2"/>
      <c r="O75" s="2" t="str">
        <f>IFERROR(__xludf.DUMMYFUNCTION("""COMPUTED_VALUE"""),"JIE 217")</f>
        <v>JIE 217</v>
      </c>
      <c r="P75" s="2"/>
      <c r="Q75" s="2" t="str">
        <f>IFERROR(__xludf.DUMMYFUNCTION("""COMPUTED_VALUE"""),"FOR PRINT")</f>
        <v>FOR PRINT</v>
      </c>
      <c r="R75" s="74">
        <f>IFERROR(__xludf.DUMMYFUNCTION("""COMPUTED_VALUE"""),45413.0)</f>
        <v>45413</v>
      </c>
      <c r="S75" s="2" t="str">
        <f>IFERROR(__xludf.DUMMYFUNCTION("""COMPUTED_VALUE"""),"RCG/LBA")</f>
        <v>RCG/LBA</v>
      </c>
      <c r="T75" s="73" t="str">
        <f>IFERROR(__xludf.DUMMYFUNCTION("""COMPUTED_VALUE""")," N/A ")</f>
        <v>N/A</v>
      </c>
      <c r="U75" s="73" t="str">
        <f>IFERROR(__xludf.DUMMYFUNCTION("""COMPUTED_VALUE""")," NO CHARGE ")</f>
        <v>NO CHARGE</v>
      </c>
      <c r="V75" s="2"/>
      <c r="W75" s="2" t="str">
        <f>IFERROR(__xludf.DUMMYFUNCTION("""COMPUTED_VALUE"""),"N/A")</f>
        <v>N/A</v>
      </c>
      <c r="X75" s="2" t="str">
        <f>IFERROR(__xludf.DUMMYFUNCTION("""COMPUTED_VALUE"""),"N/A")</f>
        <v>N/A</v>
      </c>
      <c r="Y75" s="2" t="str">
        <f>IFERROR(__xludf.DUMMYFUNCTION("""COMPUTED_VALUE"""),"KFS  //   WALANG DALANG ENGINE OIL SILA ROY: 2ND PMS NALANG APPLY YUNG FREE E.OIL")</f>
        <v>KFS  //   WALANG DALANG ENGINE OIL SILA ROY: 2ND PMS NALANG APPLY YUNG FREE E.OIL</v>
      </c>
      <c r="Z75" s="2"/>
      <c r="AA75" s="2"/>
      <c r="AB75" s="2"/>
      <c r="AC75" s="2"/>
      <c r="AD75" s="2"/>
      <c r="AE75" s="2"/>
      <c r="AF75" s="2"/>
      <c r="AG75" s="2"/>
      <c r="AH75" s="2"/>
      <c r="AI75" s="2"/>
      <c r="AJ75" s="2" t="str">
        <f>IFERROR(__xludf.DUMMYFUNCTION("""COMPUTED_VALUE"""),"Cantil")</f>
        <v>Cantil</v>
      </c>
      <c r="AK75" s="2" t="str">
        <f>IFERROR(__xludf.DUMMYFUNCTION("""COMPUTED_VALUE"""),"Roxas")</f>
        <v>Roxas</v>
      </c>
      <c r="AL75" s="2" t="str">
        <f>IFERROR(__xludf.DUMMYFUNCTION("""COMPUTED_VALUE"""),"Oriental Mindoro")</f>
        <v>Oriental Mindoro</v>
      </c>
      <c r="AM75" s="2" t="str">
        <f>IFERROR(__xludf.DUMMYFUNCTION("""COMPUTED_VALUE"""),"4B")</f>
        <v>4B</v>
      </c>
      <c r="AN75" s="2" t="str">
        <f>IFERROR(__xludf.DUMMYFUNCTION("""COMPUTED_VALUE"""),"RCEF 23-08-20 Rebidding")</f>
        <v>RCEF 23-08-20 Rebidding</v>
      </c>
      <c r="AO75" s="2">
        <f>IFERROR(__xludf.DUMMYFUNCTION("""COMPUTED_VALUE"""),1.0)</f>
        <v>1</v>
      </c>
      <c r="AP75" s="2"/>
      <c r="AQ75" s="2"/>
      <c r="AR75" s="2"/>
      <c r="AS75" s="2"/>
      <c r="AT75" s="2"/>
      <c r="AU75" s="2"/>
      <c r="AV75" s="2"/>
      <c r="AW75" s="2"/>
      <c r="AX75" s="2"/>
      <c r="AY75" s="2"/>
      <c r="AZ75" s="2"/>
      <c r="BA75" s="2"/>
      <c r="BB75" s="2"/>
    </row>
    <row r="76">
      <c r="A76" s="2">
        <f>IFERROR(__xludf.DUMMYFUNCTION("""COMPUTED_VALUE"""),72.0)</f>
        <v>72</v>
      </c>
      <c r="B76" s="2" t="str">
        <f>IFERROR(__xludf.DUMMYFUNCTION("""COMPUTED_VALUE"""),"COMPLETED")</f>
        <v>COMPLETED</v>
      </c>
      <c r="C76" s="74">
        <f>IFERROR(__xludf.DUMMYFUNCTION("""COMPUTED_VALUE"""),45408.0)</f>
        <v>45408</v>
      </c>
      <c r="D76" s="71" t="str">
        <f>IFERROR(__xludf.DUMMYFUNCTION("""COMPUTED_VALUE"""),"SVMEX Farmers Association Inc.")</f>
        <v>SVMEX Farmers Association Inc.</v>
      </c>
      <c r="E76" s="71" t="str">
        <f>IFERROR(__xludf.DUMMYFUNCTION("""COMPUTED_VALUE"""),"San Vicente, Mexico, PAMPANGA")</f>
        <v>San Vicente, Mexico, PAMPANGA</v>
      </c>
      <c r="F76" s="2" t="str">
        <f>IFERROR(__xludf.DUMMYFUNCTION("""COMPUTED_VALUE"""),"VALENTINO E. ALLAS")</f>
        <v>VALENTINO E. ALLAS</v>
      </c>
      <c r="G76" s="2" t="str">
        <f>IFERROR(__xludf.DUMMYFUNCTION("""COMPUTED_VALUE"""),"0927-8729-371")</f>
        <v>0927-8729-371</v>
      </c>
      <c r="H76" s="2" t="str">
        <f>IFERROR(__xludf.DUMMYFUNCTION("""COMPUTED_VALUE"""),"50 HRS")</f>
        <v>50 HRS</v>
      </c>
      <c r="I76" s="72" t="str">
        <f>IFERROR(__xludf.DUMMYFUNCTION("""COMPUTED_VALUE"""),"PMS")</f>
        <v>PMS</v>
      </c>
      <c r="J76" s="72" t="str">
        <f>IFERROR(__xludf.DUMMYFUNCTION("""COMPUTED_VALUE"""),"PMS")</f>
        <v>PMS</v>
      </c>
      <c r="K76" s="72" t="str">
        <f>IFERROR(__xludf.DUMMYFUNCTION("""COMPUTED_VALUE"""),"FIRST PMS")</f>
        <v>FIRST PMS</v>
      </c>
      <c r="L76" s="72" t="str">
        <f>IFERROR(__xludf.DUMMYFUNCTION("""COMPUTED_VALUE"""),"CHANGE OIL")</f>
        <v>CHANGE OIL</v>
      </c>
      <c r="M76" s="2"/>
      <c r="N76" s="2"/>
      <c r="O76" s="2" t="str">
        <f>IFERROR(__xludf.DUMMYFUNCTION("""COMPUTED_VALUE"""),"JIE 219")</f>
        <v>JIE 219</v>
      </c>
      <c r="P76" s="2"/>
      <c r="Q76" s="2" t="str">
        <f>IFERROR(__xludf.DUMMYFUNCTION("""COMPUTED_VALUE"""),"FOR PRINT")</f>
        <v>FOR PRINT</v>
      </c>
      <c r="R76" s="74">
        <f>IFERROR(__xludf.DUMMYFUNCTION("""COMPUTED_VALUE"""),45414.0)</f>
        <v>45414</v>
      </c>
      <c r="S76" s="2" t="str">
        <f>IFERROR(__xludf.DUMMYFUNCTION("""COMPUTED_VALUE"""),"EGT")</f>
        <v>EGT</v>
      </c>
      <c r="T76" s="73" t="str">
        <f>IFERROR(__xludf.DUMMYFUNCTION("""COMPUTED_VALUE""")," N/A ")</f>
        <v>N/A</v>
      </c>
      <c r="U76" s="73" t="str">
        <f>IFERROR(__xludf.DUMMYFUNCTION("""COMPUTED_VALUE""")," NO CHARGE ")</f>
        <v>NO CHARGE</v>
      </c>
      <c r="V76" s="2"/>
      <c r="W76" s="2" t="str">
        <f>IFERROR(__xludf.DUMMYFUNCTION("""COMPUTED_VALUE"""),"N/A")</f>
        <v>N/A</v>
      </c>
      <c r="X76" s="2" t="str">
        <f>IFERROR(__xludf.DUMMYFUNCTION("""COMPUTED_VALUE"""),"N/A")</f>
        <v>N/A</v>
      </c>
      <c r="Y76" s="2" t="str">
        <f>IFERROR(__xludf.DUMMYFUNCTION("""COMPUTED_VALUE"""),"RBS REPORT @ LTC")</f>
        <v>RBS REPORT @ LTC</v>
      </c>
      <c r="Z76" s="2"/>
      <c r="AA76" s="2"/>
      <c r="AB76" s="2"/>
      <c r="AC76" s="2"/>
      <c r="AD76" s="2"/>
      <c r="AE76" s="2"/>
      <c r="AF76" s="2"/>
      <c r="AG76" s="2"/>
      <c r="AH76" s="2"/>
      <c r="AI76" s="2"/>
      <c r="AJ76" s="2" t="str">
        <f>IFERROR(__xludf.DUMMYFUNCTION("""COMPUTED_VALUE"""),"San Vicente")</f>
        <v>San Vicente</v>
      </c>
      <c r="AK76" s="2" t="str">
        <f>IFERROR(__xludf.DUMMYFUNCTION("""COMPUTED_VALUE"""),"Mexico")</f>
        <v>Mexico</v>
      </c>
      <c r="AL76" s="2" t="str">
        <f>IFERROR(__xludf.DUMMYFUNCTION("""COMPUTED_VALUE"""),"Pampanga")</f>
        <v>Pampanga</v>
      </c>
      <c r="AM76" s="2">
        <f>IFERROR(__xludf.DUMMYFUNCTION("""COMPUTED_VALUE"""),3.0)</f>
        <v>3</v>
      </c>
      <c r="AN76" s="2" t="str">
        <f>IFERROR(__xludf.DUMMYFUNCTION("""COMPUTED_VALUE"""),"RCEF 23-09-21 Rebidding")</f>
        <v>RCEF 23-09-21 Rebidding</v>
      </c>
      <c r="AO76" s="2">
        <f>IFERROR(__xludf.DUMMYFUNCTION("""COMPUTED_VALUE"""),3.0)</f>
        <v>3</v>
      </c>
      <c r="AP76" s="2"/>
      <c r="AQ76" s="2"/>
      <c r="AR76" s="2"/>
      <c r="AS76" s="2"/>
      <c r="AT76" s="2"/>
      <c r="AU76" s="2"/>
      <c r="AV76" s="2"/>
      <c r="AW76" s="2"/>
      <c r="AX76" s="2"/>
      <c r="AY76" s="2"/>
      <c r="AZ76" s="2"/>
      <c r="BA76" s="2"/>
      <c r="BB76" s="2"/>
    </row>
    <row r="77">
      <c r="A77" s="2">
        <f>IFERROR(__xludf.DUMMYFUNCTION("""COMPUTED_VALUE"""),73.0)</f>
        <v>73</v>
      </c>
      <c r="B77" s="2" t="str">
        <f>IFERROR(__xludf.DUMMYFUNCTION("""COMPUTED_VALUE"""),"COMPLETED")</f>
        <v>COMPLETED</v>
      </c>
      <c r="C77" s="74">
        <f>IFERROR(__xludf.DUMMYFUNCTION("""COMPUTED_VALUE"""),45410.0)</f>
        <v>45410</v>
      </c>
      <c r="D77" s="71" t="str">
        <f>IFERROR(__xludf.DUMMYFUNCTION("""COMPUTED_VALUE"""),"POBLACION-NEW DAGUPAN FARMER-IRRIGATORS' ASSOCIATION (PoNDAFIA) INC.")</f>
        <v>POBLACION-NEW DAGUPAN FARMER-IRRIGATORS' ASSOCIATION (PoNDAFIA) INC.</v>
      </c>
      <c r="E77" s="71" t="str">
        <f>IFERROR(__xludf.DUMMYFUNCTION("""COMPUTED_VALUE"""),"POBLACION, CALinTAAN, OCCIDENTAL MINDORO")</f>
        <v>POBLACION, CALinTAAN, OCCIDENTAL MINDORO</v>
      </c>
      <c r="F77" s="2" t="str">
        <f>IFERROR(__xludf.DUMMYFUNCTION("""COMPUTED_VALUE"""),"MANUEL FRANCISCO")</f>
        <v>MANUEL FRANCISCO</v>
      </c>
      <c r="G77" s="2" t="str">
        <f>IFERROR(__xludf.DUMMYFUNCTION("""COMPUTED_VALUE"""),"0965-3476-498")</f>
        <v>0965-3476-498</v>
      </c>
      <c r="H77" s="2"/>
      <c r="I77" s="72" t="str">
        <f>IFERROR(__xludf.DUMMYFUNCTION("""COMPUTED_VALUE"""),"REPAIR - TRACTOR")</f>
        <v>REPAIR - TRACTOR</v>
      </c>
      <c r="J77" s="72" t="str">
        <f>IFERROR(__xludf.DUMMYFUNCTION("""COMPUTED_VALUE"""),"Training")</f>
        <v>Training</v>
      </c>
      <c r="K77" s="72" t="str">
        <f>IFERROR(__xludf.DUMMYFUNCTION("""COMPUTED_VALUE"""),"NAHINA NAG MAKINA , MATAKAW SA KURUDO AT COOLANT")</f>
        <v>NAHINA NAG MAKINA , MATAKAW SA KURUDO AT COOLANT</v>
      </c>
      <c r="L77" s="72" t="str">
        <f>IFERROR(__xludf.DUMMYFUNCTION("""COMPUTED_VALUE"""),"TRAIN PROPER THE OPERATOR THE PROPER OPERATION")</f>
        <v>TRAIN PROPER THE OPERATOR THE PROPER OPERATION</v>
      </c>
      <c r="M77" s="2"/>
      <c r="N77" s="2"/>
      <c r="O77" s="2" t="str">
        <f>IFERROR(__xludf.DUMMYFUNCTION("""COMPUTED_VALUE"""),"JIE 220")</f>
        <v>JIE 220</v>
      </c>
      <c r="P77" s="2"/>
      <c r="Q77" s="2" t="str">
        <f>IFERROR(__xludf.DUMMYFUNCTION("""COMPUTED_VALUE"""),"FOR PRINT")</f>
        <v>FOR PRINT</v>
      </c>
      <c r="R77" s="74">
        <f>IFERROR(__xludf.DUMMYFUNCTION("""COMPUTED_VALUE"""),45414.0)</f>
        <v>45414</v>
      </c>
      <c r="S77" s="2" t="str">
        <f>IFERROR(__xludf.DUMMYFUNCTION("""COMPUTED_VALUE"""),"RCG")</f>
        <v>RCG</v>
      </c>
      <c r="T77" s="73" t="str">
        <f>IFERROR(__xludf.DUMMYFUNCTION("""COMPUTED_VALUE""")," N/A ")</f>
        <v>N/A</v>
      </c>
      <c r="U77" s="73" t="str">
        <f>IFERROR(__xludf.DUMMYFUNCTION("""COMPUTED_VALUE""")," NO CHARGE ")</f>
        <v>NO CHARGE</v>
      </c>
      <c r="V77" s="2"/>
      <c r="W77" s="2" t="str">
        <f>IFERROR(__xludf.DUMMYFUNCTION("""COMPUTED_VALUE"""),"N/A")</f>
        <v>N/A</v>
      </c>
      <c r="X77" s="2" t="str">
        <f>IFERROR(__xludf.DUMMYFUNCTION("""COMPUTED_VALUE"""),"N/A")</f>
        <v>N/A</v>
      </c>
      <c r="Y77" s="2" t="str">
        <f>IFERROR(__xludf.DUMMYFUNCTION("""COMPUTED_VALUE"""),"KFS")</f>
        <v>KFS</v>
      </c>
      <c r="Z77" s="2"/>
      <c r="AA77" s="2"/>
      <c r="AB77" s="2"/>
      <c r="AC77" s="2"/>
      <c r="AD77" s="2"/>
      <c r="AE77" s="2"/>
      <c r="AF77" s="2"/>
      <c r="AG77" s="2"/>
      <c r="AH77" s="2"/>
      <c r="AI77" s="2"/>
      <c r="AJ77" s="2" t="str">
        <f>IFERROR(__xludf.DUMMYFUNCTION("""COMPUTED_VALUE"""),"Poblacion")</f>
        <v>Poblacion</v>
      </c>
      <c r="AK77" s="2" t="str">
        <f>IFERROR(__xludf.DUMMYFUNCTION("""COMPUTED_VALUE"""),"Calintaan")</f>
        <v>Calintaan</v>
      </c>
      <c r="AL77" s="2" t="str">
        <f>IFERROR(__xludf.DUMMYFUNCTION("""COMPUTED_VALUE"""),"Occidental Mindoro")</f>
        <v>Occidental Mindoro</v>
      </c>
      <c r="AM77" s="2" t="str">
        <f>IFERROR(__xludf.DUMMYFUNCTION("""COMPUTED_VALUE"""),"4B")</f>
        <v>4B</v>
      </c>
      <c r="AN77" s="2" t="str">
        <f>IFERROR(__xludf.DUMMYFUNCTION("""COMPUTED_VALUE"""),"RCEF 23-08-20 Rebidding")</f>
        <v>RCEF 23-08-20 Rebidding</v>
      </c>
      <c r="AO77" s="2">
        <f>IFERROR(__xludf.DUMMYFUNCTION("""COMPUTED_VALUE"""),1.0)</f>
        <v>1</v>
      </c>
      <c r="AP77" s="2"/>
      <c r="AQ77" s="2"/>
      <c r="AR77" s="2"/>
      <c r="AS77" s="2"/>
      <c r="AT77" s="2"/>
      <c r="AU77" s="2"/>
      <c r="AV77" s="2"/>
      <c r="AW77" s="2"/>
      <c r="AX77" s="2"/>
      <c r="AY77" s="2"/>
      <c r="AZ77" s="2"/>
      <c r="BA77" s="2"/>
      <c r="BB77" s="2"/>
    </row>
    <row r="78">
      <c r="A78" s="2">
        <f>IFERROR(__xludf.DUMMYFUNCTION("""COMPUTED_VALUE"""),74.0)</f>
        <v>74</v>
      </c>
      <c r="B78" s="2" t="str">
        <f>IFERROR(__xludf.DUMMYFUNCTION("""COMPUTED_VALUE"""),"COMPLETED")</f>
        <v>COMPLETED</v>
      </c>
      <c r="C78" s="74">
        <f>IFERROR(__xludf.DUMMYFUNCTION("""COMPUTED_VALUE"""),45411.0)</f>
        <v>45411</v>
      </c>
      <c r="D78" s="71" t="str">
        <f>IFERROR(__xludf.DUMMYFUNCTION("""COMPUTED_VALUE"""),"SARANAY FARMERS ASSOCIATION")</f>
        <v>SARANAY FARMERS ASSOCIATION</v>
      </c>
      <c r="E78" s="71" t="str">
        <f>IFERROR(__xludf.DUMMYFUNCTION("""COMPUTED_VALUE"""),"Mabini, Baggao, CAGAYAN")</f>
        <v>Mabini, Baggao, CAGAYAN</v>
      </c>
      <c r="F78" s="2" t="str">
        <f>IFERROR(__xludf.DUMMYFUNCTION("""COMPUTED_VALUE"""),"DONATO CESAR")</f>
        <v>DONATO CESAR</v>
      </c>
      <c r="G78" s="2" t="str">
        <f>IFERROR(__xludf.DUMMYFUNCTION("""COMPUTED_VALUE"""),"0953-4810-783")</f>
        <v>0953-4810-783</v>
      </c>
      <c r="H78" s="2" t="str">
        <f>IFERROR(__xludf.DUMMYFUNCTION("""COMPUTED_VALUE"""),"50 HRS")</f>
        <v>50 HRS</v>
      </c>
      <c r="I78" s="72" t="str">
        <f>IFERROR(__xludf.DUMMYFUNCTION("""COMPUTED_VALUE"""),"PMS")</f>
        <v>PMS</v>
      </c>
      <c r="J78" s="72" t="str">
        <f>IFERROR(__xludf.DUMMYFUNCTION("""COMPUTED_VALUE"""),"PMS")</f>
        <v>PMS</v>
      </c>
      <c r="K78" s="72" t="str">
        <f>IFERROR(__xludf.DUMMYFUNCTION("""COMPUTED_VALUE"""),"FIRST PMS")</f>
        <v>FIRST PMS</v>
      </c>
      <c r="L78" s="72" t="str">
        <f>IFERROR(__xludf.DUMMYFUNCTION("""COMPUTED_VALUE"""),"SELF PMS: AGREEMENT SIGNED: PRINTED")</f>
        <v>SELF PMS: AGREEMENT SIGNED: PRINTED</v>
      </c>
      <c r="M78" s="2"/>
      <c r="N78" s="2"/>
      <c r="O78" s="2" t="str">
        <f>IFERROR(__xludf.DUMMYFUNCTION("""COMPUTED_VALUE"""),"N/A")</f>
        <v>N/A</v>
      </c>
      <c r="P78" s="2"/>
      <c r="Q78" s="2"/>
      <c r="R78" s="74">
        <f>IFERROR(__xludf.DUMMYFUNCTION("""COMPUTED_VALUE"""),45419.0)</f>
        <v>45419</v>
      </c>
      <c r="S78" s="2" t="str">
        <f>IFERROR(__xludf.DUMMYFUNCTION("""COMPUTED_VALUE"""),"MYKEE")</f>
        <v>MYKEE</v>
      </c>
      <c r="T78" s="73" t="str">
        <f>IFERROR(__xludf.DUMMYFUNCTION("""COMPUTED_VALUE""")," N/A ")</f>
        <v>N/A</v>
      </c>
      <c r="U78" s="73" t="str">
        <f>IFERROR(__xludf.DUMMYFUNCTION("""COMPUTED_VALUE""")," NO CHARGE ")</f>
        <v>NO CHARGE</v>
      </c>
      <c r="V78" s="2"/>
      <c r="W78" s="2" t="str">
        <f>IFERROR(__xludf.DUMMYFUNCTION("""COMPUTED_VALUE"""),"N/A")</f>
        <v>N/A</v>
      </c>
      <c r="X78" s="2" t="str">
        <f>IFERROR(__xludf.DUMMYFUNCTION("""COMPUTED_VALUE"""),"N/A")</f>
        <v>N/A</v>
      </c>
      <c r="Y78" s="2" t="str">
        <f>IFERROR(__xludf.DUMMYFUNCTION("""COMPUTED_VALUE"""),"KFS // AGREEMENT SENT")</f>
        <v>KFS // AGREEMENT SENT</v>
      </c>
      <c r="Z78" s="2"/>
      <c r="AA78" s="2"/>
      <c r="AB78" s="2"/>
      <c r="AC78" s="2"/>
      <c r="AD78" s="2"/>
      <c r="AE78" s="2"/>
      <c r="AF78" s="2"/>
      <c r="AG78" s="2"/>
      <c r="AH78" s="2"/>
      <c r="AI78" s="2"/>
      <c r="AJ78" s="2" t="str">
        <f>IFERROR(__xludf.DUMMYFUNCTION("""COMPUTED_VALUE"""),"Mabini")</f>
        <v>Mabini</v>
      </c>
      <c r="AK78" s="2" t="str">
        <f>IFERROR(__xludf.DUMMYFUNCTION("""COMPUTED_VALUE"""),"Baggao")</f>
        <v>Baggao</v>
      </c>
      <c r="AL78" s="2" t="str">
        <f>IFERROR(__xludf.DUMMYFUNCTION("""COMPUTED_VALUE"""),"Cagayan")</f>
        <v>Cagayan</v>
      </c>
      <c r="AM78" s="2">
        <f>IFERROR(__xludf.DUMMYFUNCTION("""COMPUTED_VALUE"""),2.0)</f>
        <v>2</v>
      </c>
      <c r="AN78" s="2" t="str">
        <f>IFERROR(__xludf.DUMMYFUNCTION("""COMPUTED_VALUE"""),"RCEF 23-09-21 Rebidding")</f>
        <v>RCEF 23-09-21 Rebidding</v>
      </c>
      <c r="AO78" s="2">
        <f>IFERROR(__xludf.DUMMYFUNCTION("""COMPUTED_VALUE"""),9.0)</f>
        <v>9</v>
      </c>
      <c r="AP78" s="2"/>
      <c r="AQ78" s="2"/>
      <c r="AR78" s="2"/>
      <c r="AS78" s="2"/>
      <c r="AT78" s="2"/>
      <c r="AU78" s="2"/>
      <c r="AV78" s="2"/>
      <c r="AW78" s="2"/>
      <c r="AX78" s="2"/>
      <c r="AY78" s="2"/>
      <c r="AZ78" s="2"/>
      <c r="BA78" s="2"/>
      <c r="BB78" s="2"/>
    </row>
    <row r="79">
      <c r="A79" s="2">
        <f>IFERROR(__xludf.DUMMYFUNCTION("""COMPUTED_VALUE"""),75.0)</f>
        <v>75</v>
      </c>
      <c r="B79" s="2" t="str">
        <f>IFERROR(__xludf.DUMMYFUNCTION("""COMPUTED_VALUE"""),"COMPLETED")</f>
        <v>COMPLETED</v>
      </c>
      <c r="C79" s="74">
        <f>IFERROR(__xludf.DUMMYFUNCTION("""COMPUTED_VALUE"""),45411.0)</f>
        <v>45411</v>
      </c>
      <c r="D79" s="71" t="str">
        <f>IFERROR(__xludf.DUMMYFUNCTION("""COMPUTED_VALUE"""),"CAMANGAAN WEST LANDOWNERS AND FARMERS IRRIGATORS ASSOCIATION INC.")</f>
        <v>CAMANGAAN WEST LANDOWNERS AND FARMERS IRRIGATORS ASSOCIATION INC.</v>
      </c>
      <c r="E79" s="71" t="str">
        <f>IFERROR(__xludf.DUMMYFUNCTION("""COMPUTED_VALUE"""),"Camangaan West, Moncada, TARLAC")</f>
        <v>Camangaan West, Moncada, TARLAC</v>
      </c>
      <c r="F79" s="2" t="str">
        <f>IFERROR(__xludf.DUMMYFUNCTION("""COMPUTED_VALUE"""),"NESTOR PORTUGUES")</f>
        <v>NESTOR PORTUGUES</v>
      </c>
      <c r="G79" s="2" t="str">
        <f>IFERROR(__xludf.DUMMYFUNCTION("""COMPUTED_VALUE"""),"0928-5628-422")</f>
        <v>0928-5628-422</v>
      </c>
      <c r="H79" s="2" t="str">
        <f>IFERROR(__xludf.DUMMYFUNCTION("""COMPUTED_VALUE"""),"292 HRS")</f>
        <v>292 HRS</v>
      </c>
      <c r="I79" s="72" t="str">
        <f>IFERROR(__xludf.DUMMYFUNCTION("""COMPUTED_VALUE"""),"REPAIR - TRACTOR")</f>
        <v>REPAIR - TRACTOR</v>
      </c>
      <c r="J79" s="72" t="str">
        <f>IFERROR(__xludf.DUMMYFUNCTION("""COMPUTED_VALUE"""),"Electrical - Wiring Harness")</f>
        <v>Electrical - Wiring Harness</v>
      </c>
      <c r="K79" s="72" t="str">
        <f>IFERROR(__xludf.DUMMYFUNCTION("""COMPUTED_VALUE"""),"AYAW UMANDAR: MALUWAG NAG BOLT SA BODY GROUND")</f>
        <v>AYAW UMANDAR: MALUWAG NAG BOLT SA BODY GROUND</v>
      </c>
      <c r="L79" s="72" t="str">
        <f>IFERROR(__xludf.DUMMYFUNCTION("""COMPUTED_VALUE"""),"HINIKPITAN ANG BOLT SA BODY GROUND: OPERATIONAL")</f>
        <v>HINIKPITAN ANG BOLT SA BODY GROUND: OPERATIONAL</v>
      </c>
      <c r="M79" s="2"/>
      <c r="N79" s="2"/>
      <c r="O79" s="2" t="str">
        <f>IFERROR(__xludf.DUMMYFUNCTION("""COMPUTED_VALUE"""),"JIE 221")</f>
        <v>JIE 221</v>
      </c>
      <c r="P79" s="2"/>
      <c r="Q79" s="2" t="str">
        <f>IFERROR(__xludf.DUMMYFUNCTION("""COMPUTED_VALUE"""),"FOR PRINT")</f>
        <v>FOR PRINT</v>
      </c>
      <c r="R79" s="74">
        <f>IFERROR(__xludf.DUMMYFUNCTION("""COMPUTED_VALUE"""),45418.0)</f>
        <v>45418</v>
      </c>
      <c r="S79" s="2" t="str">
        <f>IFERROR(__xludf.DUMMYFUNCTION("""COMPUTED_VALUE"""),"JHP")</f>
        <v>JHP</v>
      </c>
      <c r="T79" s="73" t="str">
        <f>IFERROR(__xludf.DUMMYFUNCTION("""COMPUTED_VALUE""")," N/A ")</f>
        <v>N/A</v>
      </c>
      <c r="U79" s="73" t="str">
        <f>IFERROR(__xludf.DUMMYFUNCTION("""COMPUTED_VALUE""")," NO CHARGE ")</f>
        <v>NO CHARGE</v>
      </c>
      <c r="V79" s="2"/>
      <c r="W79" s="2" t="str">
        <f>IFERROR(__xludf.DUMMYFUNCTION("""COMPUTED_VALUE"""),"N/A")</f>
        <v>N/A</v>
      </c>
      <c r="X79" s="2" t="str">
        <f>IFERROR(__xludf.DUMMYFUNCTION("""COMPUTED_VALUE"""),"N/A")</f>
        <v>N/A</v>
      </c>
      <c r="Y79" s="2" t="str">
        <f>IFERROR(__xludf.DUMMYFUNCTION("""COMPUTED_VALUE"""),"DEXTER")</f>
        <v>DEXTER</v>
      </c>
      <c r="Z79" s="2"/>
      <c r="AA79" s="2"/>
      <c r="AB79" s="2"/>
      <c r="AC79" s="2"/>
      <c r="AD79" s="2"/>
      <c r="AE79" s="2"/>
      <c r="AF79" s="2"/>
      <c r="AG79" s="2"/>
      <c r="AH79" s="2"/>
      <c r="AI79" s="2"/>
      <c r="AJ79" s="2" t="str">
        <f>IFERROR(__xludf.DUMMYFUNCTION("""COMPUTED_VALUE"""),"Camangaan West")</f>
        <v>Camangaan West</v>
      </c>
      <c r="AK79" s="2" t="str">
        <f>IFERROR(__xludf.DUMMYFUNCTION("""COMPUTED_VALUE"""),"Moncada")</f>
        <v>Moncada</v>
      </c>
      <c r="AL79" s="2" t="str">
        <f>IFERROR(__xludf.DUMMYFUNCTION("""COMPUTED_VALUE"""),"Tarlac")</f>
        <v>Tarlac</v>
      </c>
      <c r="AM79" s="2">
        <f>IFERROR(__xludf.DUMMYFUNCTION("""COMPUTED_VALUE"""),3.0)</f>
        <v>3</v>
      </c>
      <c r="AN79" s="2" t="str">
        <f>IFERROR(__xludf.DUMMYFUNCTION("""COMPUTED_VALUE"""),"RCEF 23-09-21 Rebidding")</f>
        <v>RCEF 23-09-21 Rebidding</v>
      </c>
      <c r="AO79" s="2">
        <f>IFERROR(__xludf.DUMMYFUNCTION("""COMPUTED_VALUE"""),3.0)</f>
        <v>3</v>
      </c>
      <c r="AP79" s="2"/>
      <c r="AQ79" s="2"/>
      <c r="AR79" s="2"/>
      <c r="AS79" s="2"/>
      <c r="AT79" s="2"/>
      <c r="AU79" s="2"/>
      <c r="AV79" s="2"/>
      <c r="AW79" s="2"/>
      <c r="AX79" s="2"/>
      <c r="AY79" s="2"/>
      <c r="AZ79" s="2"/>
      <c r="BA79" s="2"/>
      <c r="BB79" s="2"/>
    </row>
    <row r="80">
      <c r="A80" s="2">
        <f>IFERROR(__xludf.DUMMYFUNCTION("""COMPUTED_VALUE"""),76.0)</f>
        <v>76</v>
      </c>
      <c r="B80" s="2" t="str">
        <f>IFERROR(__xludf.DUMMYFUNCTION("""COMPUTED_VALUE"""),"COMPLETED")</f>
        <v>COMPLETED</v>
      </c>
      <c r="C80" s="74">
        <f>IFERROR(__xludf.DUMMYFUNCTION("""COMPUTED_VALUE"""),45411.0)</f>
        <v>45411</v>
      </c>
      <c r="D80" s="71" t="str">
        <f>IFERROR(__xludf.DUMMYFUNCTION("""COMPUTED_VALUE"""),"MUNTING NAYON AGRICULTURAL PRODUCERS ASSOCIATION (MNAPA))")</f>
        <v>MUNTING NAYON AGRICULTURAL PRODUCERS ASSOCIATION (MNAPA))</v>
      </c>
      <c r="E80" s="71" t="str">
        <f>IFERROR(__xludf.DUMMYFUNCTION("""COMPUTED_VALUE"""),", Penaranda, NUEVA ECIJA")</f>
        <v>, Penaranda, NUEVA ECIJA</v>
      </c>
      <c r="F80" s="2"/>
      <c r="G80" s="2"/>
      <c r="H80" s="2">
        <f>IFERROR(__xludf.DUMMYFUNCTION("""COMPUTED_VALUE"""),7.1)</f>
        <v>7.1</v>
      </c>
      <c r="I80" s="72" t="str">
        <f>IFERROR(__xludf.DUMMYFUNCTION("""COMPUTED_VALUE"""),"REPAIR - TRACTOR")</f>
        <v>REPAIR - TRACTOR</v>
      </c>
      <c r="J80" s="72" t="str">
        <f>IFERROR(__xludf.DUMMYFUNCTION("""COMPUTED_VALUE"""),"PST - Cylinder Assy")</f>
        <v>PST - Cylinder Assy</v>
      </c>
      <c r="K80" s="72" t="str">
        <f>IFERROR(__xludf.DUMMYFUNCTION("""COMPUTED_VALUE"""),"LEAK AT STEERING WHEEL (OIL SEAL)")</f>
        <v>LEAK AT STEERING WHEEL (OIL SEAL)</v>
      </c>
      <c r="L80" s="72" t="str">
        <f>IFERROR(__xludf.DUMMYFUNCTION("""COMPUTED_VALUE"""),"NAKABIT NA ANG OIL SEAL SA STEERING WHEEL, PINAANDAR OBSERVE FOR 30 MINUTES, NO LEAK (UNDER WARRANTY)")</f>
        <v>NAKABIT NA ANG OIL SEAL SA STEERING WHEEL, PINAANDAR OBSERVE FOR 30 MINUTES, NO LEAK (UNDER WARRANTY)</v>
      </c>
      <c r="M80" s="2"/>
      <c r="N80" s="2" t="str">
        <f>IFERROR(__xludf.DUMMYFUNCTION("""COMPUTED_VALUE"""),"OIL SEAL AT STEERING WHEEL")</f>
        <v>OIL SEAL AT STEERING WHEEL</v>
      </c>
      <c r="O80" s="2" t="str">
        <f>IFERROR(__xludf.DUMMYFUNCTION("""COMPUTED_VALUE"""),"JIE 222")</f>
        <v>JIE 222</v>
      </c>
      <c r="P80" s="2"/>
      <c r="Q80" s="2" t="str">
        <f>IFERROR(__xludf.DUMMYFUNCTION("""COMPUTED_VALUE"""),"FOR PRINT")</f>
        <v>FOR PRINT</v>
      </c>
      <c r="R80" s="74">
        <f>IFERROR(__xludf.DUMMYFUNCTION("""COMPUTED_VALUE"""),45433.0)</f>
        <v>45433</v>
      </c>
      <c r="S80" s="2" t="str">
        <f>IFERROR(__xludf.DUMMYFUNCTION("""COMPUTED_VALUE"""),"JVV/ACS")</f>
        <v>JVV/ACS</v>
      </c>
      <c r="T80" s="73" t="str">
        <f>IFERROR(__xludf.DUMMYFUNCTION("""COMPUTED_VALUE""")," N/A ")</f>
        <v>N/A</v>
      </c>
      <c r="U80" s="73" t="str">
        <f>IFERROR(__xludf.DUMMYFUNCTION("""COMPUTED_VALUE""")," NO CHARGE ")</f>
        <v>NO CHARGE</v>
      </c>
      <c r="V80" s="2"/>
      <c r="W80" s="2" t="str">
        <f>IFERROR(__xludf.DUMMYFUNCTION("""COMPUTED_VALUE"""),"N/A")</f>
        <v>N/A</v>
      </c>
      <c r="X80" s="2" t="str">
        <f>IFERROR(__xludf.DUMMYFUNCTION("""COMPUTED_VALUE"""),"N/A")</f>
        <v>N/A</v>
      </c>
      <c r="Y80" s="2" t="str">
        <f>IFERROR(__xludf.DUMMYFUNCTION("""COMPUTED_VALUE"""),"ERP (MUNTNG NAYON AGRICULTURAL PRODUCERS ASSC. (MNAPA)     //     ff. geff galler outsourcing of steering orbital valve")</f>
        <v>ERP (MUNTNG NAYON AGRICULTURAL PRODUCERS ASSC. (MNAPA)     //     ff. geff galler outsourcing of steering orbital valve</v>
      </c>
      <c r="Z80" s="2"/>
      <c r="AA80" s="2"/>
      <c r="AB80" s="2"/>
      <c r="AC80" s="2" t="str">
        <f>IFERROR(__xludf.DUMMYFUNCTION("""COMPUTED_VALUE"""),"Y")</f>
        <v>Y</v>
      </c>
      <c r="AD80" s="2" t="str">
        <f>IFERROR(__xludf.DUMMYFUNCTION("""COMPUTED_VALUE"""),"pictures+video+kfs report+tech report+ltc service report")</f>
        <v>pictures+video+kfs report+tech report+ltc service report</v>
      </c>
      <c r="AE80" s="2"/>
      <c r="AF80" s="2"/>
      <c r="AG80" s="2"/>
      <c r="AH80" s="2"/>
      <c r="AI80" s="2"/>
      <c r="AJ80" s="2" t="str">
        <f>IFERROR(__xludf.DUMMYFUNCTION("""COMPUTED_VALUE"""),"")</f>
        <v/>
      </c>
      <c r="AK80" s="2" t="str">
        <f>IFERROR(__xludf.DUMMYFUNCTION("""COMPUTED_VALUE"""),"Penaranda")</f>
        <v>Penaranda</v>
      </c>
      <c r="AL80" s="2" t="str">
        <f>IFERROR(__xludf.DUMMYFUNCTION("""COMPUTED_VALUE"""),"Nueva Ecija")</f>
        <v>Nueva Ecija</v>
      </c>
      <c r="AM80" s="2">
        <f>IFERROR(__xludf.DUMMYFUNCTION("""COMPUTED_VALUE"""),3.0)</f>
        <v>3</v>
      </c>
      <c r="AN80" s="2" t="str">
        <f>IFERROR(__xludf.DUMMYFUNCTION("""COMPUTED_VALUE"""),"RCEF 23-09-21 Rebidding")</f>
        <v>RCEF 23-09-21 Rebidding</v>
      </c>
      <c r="AO80" s="2">
        <f>IFERROR(__xludf.DUMMYFUNCTION("""COMPUTED_VALUE"""),3.0)</f>
        <v>3</v>
      </c>
      <c r="AP80" s="2"/>
      <c r="AQ80" s="2"/>
      <c r="AR80" s="2"/>
      <c r="AS80" s="2"/>
      <c r="AT80" s="2"/>
      <c r="AU80" s="2"/>
      <c r="AV80" s="2"/>
      <c r="AW80" s="2"/>
      <c r="AX80" s="2"/>
      <c r="AY80" s="2"/>
      <c r="AZ80" s="2"/>
      <c r="BA80" s="2"/>
      <c r="BB80" s="2"/>
    </row>
    <row r="81">
      <c r="A81" s="2">
        <f>IFERROR(__xludf.DUMMYFUNCTION("""COMPUTED_VALUE"""),77.0)</f>
        <v>77</v>
      </c>
      <c r="B81" s="2" t="str">
        <f>IFERROR(__xludf.DUMMYFUNCTION("""COMPUTED_VALUE"""),"COMPLETED")</f>
        <v>COMPLETED</v>
      </c>
      <c r="C81" s="74">
        <f>IFERROR(__xludf.DUMMYFUNCTION("""COMPUTED_VALUE"""),45412.0)</f>
        <v>45412</v>
      </c>
      <c r="D81" s="71" t="str">
        <f>IFERROR(__xludf.DUMMYFUNCTION("""COMPUTED_VALUE"""),"BANDUS IRRIGATORS ASSOCIATION, INC.")</f>
        <v>BANDUS IRRIGATORS ASSOCIATION, INC.</v>
      </c>
      <c r="E81" s="71" t="str">
        <f>IFERROR(__xludf.DUMMYFUNCTION("""COMPUTED_VALUE"""),"Divisoria, Santiago City, ISABELA")</f>
        <v>Divisoria, Santiago City, ISABELA</v>
      </c>
      <c r="F81" s="2" t="str">
        <f>IFERROR(__xludf.DUMMYFUNCTION("""COMPUTED_VALUE"""),"JUN TALOSIG")</f>
        <v>JUN TALOSIG</v>
      </c>
      <c r="G81" s="2" t="str">
        <f>IFERROR(__xludf.DUMMYFUNCTION("""COMPUTED_VALUE"""),"0936-8028-564")</f>
        <v>0936-8028-564</v>
      </c>
      <c r="H81" s="2" t="str">
        <f>IFERROR(__xludf.DUMMYFUNCTION("""COMPUTED_VALUE"""),"50 HRS")</f>
        <v>50 HRS</v>
      </c>
      <c r="I81" s="72" t="str">
        <f>IFERROR(__xludf.DUMMYFUNCTION("""COMPUTED_VALUE"""),"PMS")</f>
        <v>PMS</v>
      </c>
      <c r="J81" s="72" t="str">
        <f>IFERROR(__xludf.DUMMYFUNCTION("""COMPUTED_VALUE"""),"PMS")</f>
        <v>PMS</v>
      </c>
      <c r="K81" s="72" t="str">
        <f>IFERROR(__xludf.DUMMYFUNCTION("""COMPUTED_VALUE"""),"FIRTS PMS")</f>
        <v>FIRTS PMS</v>
      </c>
      <c r="L81" s="72" t="str">
        <f>IFERROR(__xludf.DUMMYFUNCTION("""COMPUTED_VALUE"""),"SELF PMS: AGREEMENT SIGNED: PRINTED")</f>
        <v>SELF PMS: AGREEMENT SIGNED: PRINTED</v>
      </c>
      <c r="M81" s="2"/>
      <c r="N81" s="2"/>
      <c r="O81" s="2" t="str">
        <f>IFERROR(__xludf.DUMMYFUNCTION("""COMPUTED_VALUE"""),"N/A")</f>
        <v>N/A</v>
      </c>
      <c r="P81" s="2"/>
      <c r="Q81" s="2"/>
      <c r="R81" s="74">
        <f>IFERROR(__xludf.DUMMYFUNCTION("""COMPUTED_VALUE"""),45420.0)</f>
        <v>45420</v>
      </c>
      <c r="S81" s="2" t="str">
        <f>IFERROR(__xludf.DUMMYFUNCTION("""COMPUTED_VALUE"""),"MYKEE")</f>
        <v>MYKEE</v>
      </c>
      <c r="T81" s="73" t="str">
        <f>IFERROR(__xludf.DUMMYFUNCTION("""COMPUTED_VALUE""")," N/A ")</f>
        <v>N/A</v>
      </c>
      <c r="U81" s="73" t="str">
        <f>IFERROR(__xludf.DUMMYFUNCTION("""COMPUTED_VALUE""")," NO CHARGE ")</f>
        <v>NO CHARGE</v>
      </c>
      <c r="V81" s="2"/>
      <c r="W81" s="2" t="str">
        <f>IFERROR(__xludf.DUMMYFUNCTION("""COMPUTED_VALUE"""),"N/A")</f>
        <v>N/A</v>
      </c>
      <c r="X81" s="2" t="str">
        <f>IFERROR(__xludf.DUMMYFUNCTION("""COMPUTED_VALUE"""),"N/A")</f>
        <v>N/A</v>
      </c>
      <c r="Y81" s="2" t="str">
        <f>IFERROR(__xludf.DUMMYFUNCTION("""COMPUTED_VALUE"""),"KFS N //  AGREEMENT SENT")</f>
        <v>KFS N //  AGREEMENT SENT</v>
      </c>
      <c r="Z81" s="2"/>
      <c r="AA81" s="2"/>
      <c r="AB81" s="2"/>
      <c r="AC81" s="2"/>
      <c r="AD81" s="2"/>
      <c r="AE81" s="2"/>
      <c r="AF81" s="2"/>
      <c r="AG81" s="2"/>
      <c r="AH81" s="2"/>
      <c r="AI81" s="2"/>
      <c r="AJ81" s="2" t="str">
        <f>IFERROR(__xludf.DUMMYFUNCTION("""COMPUTED_VALUE"""),"Divisoria")</f>
        <v>Divisoria</v>
      </c>
      <c r="AK81" s="2" t="str">
        <f>IFERROR(__xludf.DUMMYFUNCTION("""COMPUTED_VALUE"""),"Santiago City")</f>
        <v>Santiago City</v>
      </c>
      <c r="AL81" s="2" t="str">
        <f>IFERROR(__xludf.DUMMYFUNCTION("""COMPUTED_VALUE"""),"Isabela")</f>
        <v>Isabela</v>
      </c>
      <c r="AM81" s="2">
        <f>IFERROR(__xludf.DUMMYFUNCTION("""COMPUTED_VALUE"""),2.0)</f>
        <v>2</v>
      </c>
      <c r="AN81" s="2" t="str">
        <f>IFERROR(__xludf.DUMMYFUNCTION("""COMPUTED_VALUE"""),"RCEF 23-09-21 Rebidding")</f>
        <v>RCEF 23-09-21 Rebidding</v>
      </c>
      <c r="AO81" s="2">
        <f>IFERROR(__xludf.DUMMYFUNCTION("""COMPUTED_VALUE"""),1.0)</f>
        <v>1</v>
      </c>
      <c r="AP81" s="2"/>
      <c r="AQ81" s="2"/>
      <c r="AR81" s="2"/>
      <c r="AS81" s="2"/>
      <c r="AT81" s="2"/>
      <c r="AU81" s="2"/>
      <c r="AV81" s="2"/>
      <c r="AW81" s="2"/>
      <c r="AX81" s="2"/>
      <c r="AY81" s="2"/>
      <c r="AZ81" s="2"/>
      <c r="BA81" s="2"/>
      <c r="BB81" s="2"/>
    </row>
    <row r="82">
      <c r="A82" s="2">
        <f>IFERROR(__xludf.DUMMYFUNCTION("""COMPUTED_VALUE"""),78.0)</f>
        <v>78</v>
      </c>
      <c r="B82" s="2" t="str">
        <f>IFERROR(__xludf.DUMMYFUNCTION("""COMPUTED_VALUE"""),"COMPLETED")</f>
        <v>COMPLETED</v>
      </c>
      <c r="C82" s="74">
        <f>IFERROR(__xludf.DUMMYFUNCTION("""COMPUTED_VALUE"""),45414.0)</f>
        <v>45414</v>
      </c>
      <c r="D82" s="71" t="str">
        <f>IFERROR(__xludf.DUMMYFUNCTION("""COMPUTED_VALUE"""),"IMPAMACOR IRRIGATORS' ASSOCIATION, INC.")</f>
        <v>IMPAMACOR IRRIGATORS' ASSOCIATION, INC.</v>
      </c>
      <c r="E82" s="71" t="str">
        <f>IFERROR(__xludf.DUMMYFUNCTION("""COMPUTED_VALUE"""),"Imbunia, Jaen, NUEVA ECIJA")</f>
        <v>Imbunia, Jaen, NUEVA ECIJA</v>
      </c>
      <c r="F82" s="2" t="str">
        <f>IFERROR(__xludf.DUMMYFUNCTION("""COMPUTED_VALUE"""),"CORNELIO PRADEZ")</f>
        <v>CORNELIO PRADEZ</v>
      </c>
      <c r="G82" s="2" t="str">
        <f>IFERROR(__xludf.DUMMYFUNCTION("""COMPUTED_VALUE"""),"0926-2395-517")</f>
        <v>0926-2395-517</v>
      </c>
      <c r="H82" s="2" t="str">
        <f>IFERROR(__xludf.DUMMYFUNCTION("""COMPUTED_VALUE"""),"15.7 HRS")</f>
        <v>15.7 HRS</v>
      </c>
      <c r="I82" s="72" t="str">
        <f>IFERROR(__xludf.DUMMYFUNCTION("""COMPUTED_VALUE"""),"REPAIR - TRACTOR")</f>
        <v>REPAIR - TRACTOR</v>
      </c>
      <c r="J82" s="72" t="str">
        <f>IFERROR(__xludf.DUMMYFUNCTION("""COMPUTED_VALUE"""),"Radiator")</f>
        <v>Radiator</v>
      </c>
      <c r="K82" s="72" t="str">
        <f>IFERROR(__xludf.DUMMYFUNCTION("""COMPUTED_VALUE"""),"PUMUTOK ANG ILALIM NG RADIATOR, NEED TO REPLACE THERMOSTAT")</f>
        <v>PUMUTOK ANG ILALIM NG RADIATOR, NEED TO REPLACE THERMOSTAT</v>
      </c>
      <c r="L82" s="72" t="str">
        <f>IFERROR(__xludf.DUMMYFUNCTION("""COMPUTED_VALUE"""),"REPLACE RADIATOR ASSY")</f>
        <v>REPLACE RADIATOR ASSY</v>
      </c>
      <c r="M82" s="2"/>
      <c r="N82" s="2" t="str">
        <f>IFERROR(__xludf.DUMMYFUNCTION("""COMPUTED_VALUE"""),"RADIATOR ASSY")</f>
        <v>RADIATOR ASSY</v>
      </c>
      <c r="O82" s="2" t="str">
        <f>IFERROR(__xludf.DUMMYFUNCTION("""COMPUTED_VALUE"""),"JIE 223")</f>
        <v>JIE 223</v>
      </c>
      <c r="P82" s="2"/>
      <c r="Q82" s="2" t="str">
        <f>IFERROR(__xludf.DUMMYFUNCTION("""COMPUTED_VALUE"""),"FOR PRINT")</f>
        <v>FOR PRINT</v>
      </c>
      <c r="R82" s="74">
        <f>IFERROR(__xludf.DUMMYFUNCTION("""COMPUTED_VALUE"""),45420.0)</f>
        <v>45420</v>
      </c>
      <c r="S82" s="2" t="str">
        <f>IFERROR(__xludf.DUMMYFUNCTION("""COMPUTED_VALUE"""),"JHP")</f>
        <v>JHP</v>
      </c>
      <c r="T82" s="2"/>
      <c r="U82" s="73" t="str">
        <f>IFERROR(__xludf.DUMMYFUNCTION("""COMPUTED_VALUE""")," NO CHARGE ")</f>
        <v>NO CHARGE</v>
      </c>
      <c r="V82" s="2"/>
      <c r="W82" s="2" t="str">
        <f>IFERROR(__xludf.DUMMYFUNCTION("""COMPUTED_VALUE"""),"N/A")</f>
        <v>N/A</v>
      </c>
      <c r="X82" s="2" t="str">
        <f>IFERROR(__xludf.DUMMYFUNCTION("""COMPUTED_VALUE"""),"N/A")</f>
        <v>N/A</v>
      </c>
      <c r="Y82" s="2" t="str">
        <f>IFERROR(__xludf.DUMMYFUNCTION("""COMPUTED_VALUE"""),"EGT   //  SERVICE REPORT DONE.")</f>
        <v>EGT   //  SERVICE REPORT DONE.</v>
      </c>
      <c r="Z82" s="2" t="str">
        <f>IFERROR(__xludf.DUMMYFUNCTION("""COMPUTED_VALUE"""),"LEADS-RP-0014")</f>
        <v>LEADS-RP-0014</v>
      </c>
      <c r="AA82" s="2" t="str">
        <f>IFERROR(__xludf.DUMMYFUNCTION("""COMPUTED_VALUE"""),"APPROVED")</f>
        <v>APPROVED</v>
      </c>
      <c r="AB82" s="2"/>
      <c r="AC82" s="2" t="str">
        <f>IFERROR(__xludf.DUMMYFUNCTION("""COMPUTED_VALUE"""),"Y")</f>
        <v>Y</v>
      </c>
      <c r="AD82" s="2" t="str">
        <f>IFERROR(__xludf.DUMMYFUNCTION("""COMPUTED_VALUE"""),"pictures+kfs report+tech report+ltc service report")</f>
        <v>pictures+kfs report+tech report+ltc service report</v>
      </c>
      <c r="AE82" s="2"/>
      <c r="AF82" s="2"/>
      <c r="AG82" s="2"/>
      <c r="AH82" s="2"/>
      <c r="AI82" s="2"/>
      <c r="AJ82" s="2" t="str">
        <f>IFERROR(__xludf.DUMMYFUNCTION("""COMPUTED_VALUE"""),"Imbunia")</f>
        <v>Imbunia</v>
      </c>
      <c r="AK82" s="2" t="str">
        <f>IFERROR(__xludf.DUMMYFUNCTION("""COMPUTED_VALUE"""),"Jaen")</f>
        <v>Jaen</v>
      </c>
      <c r="AL82" s="2" t="str">
        <f>IFERROR(__xludf.DUMMYFUNCTION("""COMPUTED_VALUE"""),"Nueva Ecija")</f>
        <v>Nueva Ecija</v>
      </c>
      <c r="AM82" s="2">
        <f>IFERROR(__xludf.DUMMYFUNCTION("""COMPUTED_VALUE"""),3.0)</f>
        <v>3</v>
      </c>
      <c r="AN82" s="2" t="str">
        <f>IFERROR(__xludf.DUMMYFUNCTION("""COMPUTED_VALUE"""),"RCEF 23-09-21 Rebidding")</f>
        <v>RCEF 23-09-21 Rebidding</v>
      </c>
      <c r="AO82" s="2">
        <f>IFERROR(__xludf.DUMMYFUNCTION("""COMPUTED_VALUE"""),3.0)</f>
        <v>3</v>
      </c>
      <c r="AP82" s="2"/>
      <c r="AQ82" s="2"/>
      <c r="AR82" s="2"/>
      <c r="AS82" s="2"/>
      <c r="AT82" s="2"/>
      <c r="AU82" s="2"/>
      <c r="AV82" s="2"/>
      <c r="AW82" s="2"/>
      <c r="AX82" s="2"/>
      <c r="AY82" s="2"/>
      <c r="AZ82" s="2"/>
      <c r="BA82" s="2"/>
      <c r="BB82" s="2"/>
    </row>
    <row r="83">
      <c r="A83" s="2">
        <f>IFERROR(__xludf.DUMMYFUNCTION("""COMPUTED_VALUE"""),79.0)</f>
        <v>79</v>
      </c>
      <c r="B83" s="2" t="str">
        <f>IFERROR(__xludf.DUMMYFUNCTION("""COMPUTED_VALUE"""),"COMPLETED")</f>
        <v>COMPLETED</v>
      </c>
      <c r="C83" s="74">
        <f>IFERROR(__xludf.DUMMYFUNCTION("""COMPUTED_VALUE"""),45414.0)</f>
        <v>45414</v>
      </c>
      <c r="D83" s="71" t="str">
        <f>IFERROR(__xludf.DUMMYFUNCTION("""COMPUTED_VALUE"""),"RAJAL CENTRO IRRIGATORS ASSOCIATION, INC.")</f>
        <v>RAJAL CENTRO IRRIGATORS ASSOCIATION, INC.</v>
      </c>
      <c r="E83" s="71" t="str">
        <f>IFERROR(__xludf.DUMMYFUNCTION("""COMPUTED_VALUE"""),"Rajal Centro, Santa Rosa, NUEVA ECIJA")</f>
        <v>Rajal Centro, Santa Rosa, NUEVA ECIJA</v>
      </c>
      <c r="F83" s="2" t="str">
        <f>IFERROR(__xludf.DUMMYFUNCTION("""COMPUTED_VALUE"""),"VICTOR HERNANDEZ")</f>
        <v>VICTOR HERNANDEZ</v>
      </c>
      <c r="G83" s="2" t="str">
        <f>IFERROR(__xludf.DUMMYFUNCTION("""COMPUTED_VALUE"""),"0927-470-8816")</f>
        <v>0927-470-8816</v>
      </c>
      <c r="H83" s="2" t="str">
        <f>IFERROR(__xludf.DUMMYFUNCTION("""COMPUTED_VALUE"""),"10 HRS")</f>
        <v>10 HRS</v>
      </c>
      <c r="I83" s="72" t="str">
        <f>IFERROR(__xludf.DUMMYFUNCTION("""COMPUTED_VALUE"""),"TRAINING REQUEST")</f>
        <v>TRAINING REQUEST</v>
      </c>
      <c r="J83" s="72" t="str">
        <f>IFERROR(__xludf.DUMMYFUNCTION("""COMPUTED_VALUE"""),"TRAINING REQUEST")</f>
        <v>TRAINING REQUEST</v>
      </c>
      <c r="K83" s="72" t="str">
        <f>IFERROR(__xludf.DUMMYFUNCTION("""COMPUTED_VALUE"""),"TRAINING REQUEST")</f>
        <v>TRAINING REQUEST</v>
      </c>
      <c r="L83" s="72" t="str">
        <f>IFERROR(__xludf.DUMMYFUNCTION("""COMPUTED_VALUE"""),"TRAINING (BASIC OPERATION, TROUBLESHOOTING, MAINTENANCE, AND ACTUAL OPERATION)")</f>
        <v>TRAINING (BASIC OPERATION, TROUBLESHOOTING, MAINTENANCE, AND ACTUAL OPERATION)</v>
      </c>
      <c r="M83" s="2"/>
      <c r="N83" s="2"/>
      <c r="O83" s="2" t="str">
        <f>IFERROR(__xludf.DUMMYFUNCTION("""COMPUTED_VALUE"""),"JIE 224")</f>
        <v>JIE 224</v>
      </c>
      <c r="P83" s="2"/>
      <c r="Q83" s="2" t="str">
        <f>IFERROR(__xludf.DUMMYFUNCTION("""COMPUTED_VALUE"""),"FOR PRINT")</f>
        <v>FOR PRINT</v>
      </c>
      <c r="R83" s="74">
        <f>IFERROR(__xludf.DUMMYFUNCTION("""COMPUTED_VALUE"""),45425.0)</f>
        <v>45425</v>
      </c>
      <c r="S83" s="2" t="str">
        <f>IFERROR(__xludf.DUMMYFUNCTION("""COMPUTED_VALUE"""),"JHP")</f>
        <v>JHP</v>
      </c>
      <c r="T83" s="73" t="str">
        <f>IFERROR(__xludf.DUMMYFUNCTION("""COMPUTED_VALUE""")," N/A ")</f>
        <v>N/A</v>
      </c>
      <c r="U83" s="73" t="str">
        <f>IFERROR(__xludf.DUMMYFUNCTION("""COMPUTED_VALUE""")," NO CHARGE ")</f>
        <v>NO CHARGE</v>
      </c>
      <c r="V83" s="2"/>
      <c r="W83" s="2" t="str">
        <f>IFERROR(__xludf.DUMMYFUNCTION("""COMPUTED_VALUE"""),"N/A")</f>
        <v>N/A</v>
      </c>
      <c r="X83" s="2" t="str">
        <f>IFERROR(__xludf.DUMMYFUNCTION("""COMPUTED_VALUE"""),"N/A")</f>
        <v>N/A</v>
      </c>
      <c r="Y83" s="2" t="str">
        <f>IFERROR(__xludf.DUMMYFUNCTION("""COMPUTED_VALUE"""),"BMD")</f>
        <v>BMD</v>
      </c>
      <c r="Z83" s="2"/>
      <c r="AA83" s="2"/>
      <c r="AB83" s="2"/>
      <c r="AC83" s="2"/>
      <c r="AD83" s="2" t="str">
        <f>IFERROR(__xludf.DUMMYFUNCTION("""COMPUTED_VALUE"""),"report")</f>
        <v>report</v>
      </c>
      <c r="AE83" s="2"/>
      <c r="AF83" s="2"/>
      <c r="AG83" s="2"/>
      <c r="AH83" s="2"/>
      <c r="AI83" s="2"/>
      <c r="AJ83" s="2" t="str">
        <f>IFERROR(__xludf.DUMMYFUNCTION("""COMPUTED_VALUE"""),"Rajal Centro")</f>
        <v>Rajal Centro</v>
      </c>
      <c r="AK83" s="2" t="str">
        <f>IFERROR(__xludf.DUMMYFUNCTION("""COMPUTED_VALUE"""),"Santa Rosa")</f>
        <v>Santa Rosa</v>
      </c>
      <c r="AL83" s="2" t="str">
        <f>IFERROR(__xludf.DUMMYFUNCTION("""COMPUTED_VALUE"""),"Nueva Ecija")</f>
        <v>Nueva Ecija</v>
      </c>
      <c r="AM83" s="2">
        <f>IFERROR(__xludf.DUMMYFUNCTION("""COMPUTED_VALUE"""),3.0)</f>
        <v>3</v>
      </c>
      <c r="AN83" s="2" t="str">
        <f>IFERROR(__xludf.DUMMYFUNCTION("""COMPUTED_VALUE"""),"RCEF 23-09-21 Rebidding")</f>
        <v>RCEF 23-09-21 Rebidding</v>
      </c>
      <c r="AO83" s="2">
        <f>IFERROR(__xludf.DUMMYFUNCTION("""COMPUTED_VALUE"""),3.0)</f>
        <v>3</v>
      </c>
      <c r="AP83" s="2"/>
      <c r="AQ83" s="2"/>
      <c r="AR83" s="2"/>
      <c r="AS83" s="2"/>
      <c r="AT83" s="2"/>
      <c r="AU83" s="2"/>
      <c r="AV83" s="2"/>
      <c r="AW83" s="2"/>
      <c r="AX83" s="2"/>
      <c r="AY83" s="2"/>
      <c r="AZ83" s="2"/>
      <c r="BA83" s="2"/>
      <c r="BB83" s="2"/>
    </row>
    <row r="84">
      <c r="A84" s="2">
        <f>IFERROR(__xludf.DUMMYFUNCTION("""COMPUTED_VALUE"""),80.0)</f>
        <v>80</v>
      </c>
      <c r="B84" s="2" t="str">
        <f>IFERROR(__xludf.DUMMYFUNCTION("""COMPUTED_VALUE"""),"COMPLETED")</f>
        <v>COMPLETED</v>
      </c>
      <c r="C84" s="74">
        <f>IFERROR(__xludf.DUMMYFUNCTION("""COMPUTED_VALUE"""),45415.0)</f>
        <v>45415</v>
      </c>
      <c r="D84" s="71" t="str">
        <f>IFERROR(__xludf.DUMMYFUNCTION("""COMPUTED_VALUE"""),"RAJAL-STO.TOMAS IRRIGATORS' ASSOCIATION, INC.")</f>
        <v>RAJAL-STO.TOMAS IRRIGATORS' ASSOCIATION, INC.</v>
      </c>
      <c r="E84" s="71" t="str">
        <f>IFERROR(__xludf.DUMMYFUNCTION("""COMPUTED_VALUE"""),"Santo Tomas, Aliaga, NUEVA ECIJA")</f>
        <v>Santo Tomas, Aliaga, NUEVA ECIJA</v>
      </c>
      <c r="F84" s="2" t="str">
        <f>IFERROR(__xludf.DUMMYFUNCTION("""COMPUTED_VALUE"""),"MASCARDO DIAZ")</f>
        <v>MASCARDO DIAZ</v>
      </c>
      <c r="G84" s="2"/>
      <c r="H84" s="2">
        <f>IFERROR(__xludf.DUMMYFUNCTION("""COMPUTED_VALUE"""),26.1)</f>
        <v>26.1</v>
      </c>
      <c r="I84" s="72" t="str">
        <f>IFERROR(__xludf.DUMMYFUNCTION("""COMPUTED_VALUE"""),"REPAIR - TRACTOR")</f>
        <v>REPAIR - TRACTOR</v>
      </c>
      <c r="J84" s="72" t="str">
        <f>IFERROR(__xludf.DUMMYFUNCTION("""COMPUTED_VALUE"""),"Engine - Thermostat")</f>
        <v>Engine - Thermostat</v>
      </c>
      <c r="K84" s="72" t="str">
        <f>IFERROR(__xludf.DUMMYFUNCTION("""COMPUTED_VALUE"""),"NASIRA ANG THERMOSTAT (FOR REPLACEMENT), NASIRA ANG THREAD NG HEADLIGHT, MARUPOK")</f>
        <v>NASIRA ANG THERMOSTAT (FOR REPLACEMENT), NASIRA ANG THREAD NG HEADLIGHT, MARUPOK</v>
      </c>
      <c r="L84" s="72" t="str">
        <f>IFERROR(__xludf.DUMMYFUNCTION("""COMPUTED_VALUE"""),"CHECK THE THERMOSTAT, HINDI SYA SIRA ")</f>
        <v>CHECK THE THERMOSTAT, HINDI SYA SIRA </v>
      </c>
      <c r="M84" s="2"/>
      <c r="N84" s="2"/>
      <c r="O84" s="2" t="str">
        <f>IFERROR(__xludf.DUMMYFUNCTION("""COMPUTED_VALUE"""),"JIE 225")</f>
        <v>JIE 225</v>
      </c>
      <c r="P84" s="2"/>
      <c r="Q84" s="2" t="str">
        <f>IFERROR(__xludf.DUMMYFUNCTION("""COMPUTED_VALUE"""),"FOR PRINT")</f>
        <v>FOR PRINT</v>
      </c>
      <c r="R84" s="74">
        <f>IFERROR(__xludf.DUMMYFUNCTION("""COMPUTED_VALUE"""),45420.0)</f>
        <v>45420</v>
      </c>
      <c r="S84" s="2" t="str">
        <f>IFERROR(__xludf.DUMMYFUNCTION("""COMPUTED_VALUE"""),"JHP")</f>
        <v>JHP</v>
      </c>
      <c r="T84" s="73" t="str">
        <f>IFERROR(__xludf.DUMMYFUNCTION("""COMPUTED_VALUE""")," N/A ")</f>
        <v>N/A</v>
      </c>
      <c r="U84" s="73" t="str">
        <f>IFERROR(__xludf.DUMMYFUNCTION("""COMPUTED_VALUE""")," NO CHARGE ")</f>
        <v>NO CHARGE</v>
      </c>
      <c r="V84" s="2"/>
      <c r="W84" s="2" t="str">
        <f>IFERROR(__xludf.DUMMYFUNCTION("""COMPUTED_VALUE"""),"N/A")</f>
        <v>N/A</v>
      </c>
      <c r="X84" s="2" t="str">
        <f>IFERROR(__xludf.DUMMYFUNCTION("""COMPUTED_VALUE"""),"N/A")</f>
        <v>N/A</v>
      </c>
      <c r="Y84" s="2" t="str">
        <f>IFERROR(__xludf.DUMMYFUNCTION("""COMPUTED_VALUE"""),"JUVIEN  //  SERVICE REPORT DONE")</f>
        <v>JUVIEN  //  SERVICE REPORT DONE</v>
      </c>
      <c r="Z84" s="2"/>
      <c r="AA84" s="2"/>
      <c r="AB84" s="2"/>
      <c r="AC84" s="2" t="str">
        <f>IFERROR(__xludf.DUMMYFUNCTION("""COMPUTED_VALUE"""),"Y")</f>
        <v>Y</v>
      </c>
      <c r="AD84" s="2" t="str">
        <f>IFERROR(__xludf.DUMMYFUNCTION("""COMPUTED_VALUE"""),"pictures+kfs report+tech report+ltc service report")</f>
        <v>pictures+kfs report+tech report+ltc service report</v>
      </c>
      <c r="AE84" s="2"/>
      <c r="AF84" s="2"/>
      <c r="AG84" s="2"/>
      <c r="AH84" s="2"/>
      <c r="AI84" s="2"/>
      <c r="AJ84" s="2" t="str">
        <f>IFERROR(__xludf.DUMMYFUNCTION("""COMPUTED_VALUE"""),"Santo Tomas")</f>
        <v>Santo Tomas</v>
      </c>
      <c r="AK84" s="2" t="str">
        <f>IFERROR(__xludf.DUMMYFUNCTION("""COMPUTED_VALUE"""),"Aliaga")</f>
        <v>Aliaga</v>
      </c>
      <c r="AL84" s="2" t="str">
        <f>IFERROR(__xludf.DUMMYFUNCTION("""COMPUTED_VALUE"""),"Nueva Ecija")</f>
        <v>Nueva Ecija</v>
      </c>
      <c r="AM84" s="2">
        <f>IFERROR(__xludf.DUMMYFUNCTION("""COMPUTED_VALUE"""),3.0)</f>
        <v>3</v>
      </c>
      <c r="AN84" s="2" t="str">
        <f>IFERROR(__xludf.DUMMYFUNCTION("""COMPUTED_VALUE"""),"RCEF 23-09-21 Rebidding")</f>
        <v>RCEF 23-09-21 Rebidding</v>
      </c>
      <c r="AO84" s="2">
        <f>IFERROR(__xludf.DUMMYFUNCTION("""COMPUTED_VALUE"""),3.0)</f>
        <v>3</v>
      </c>
      <c r="AP84" s="2"/>
      <c r="AQ84" s="2"/>
      <c r="AR84" s="2"/>
      <c r="AS84" s="2"/>
      <c r="AT84" s="2"/>
      <c r="AU84" s="2"/>
      <c r="AV84" s="2"/>
      <c r="AW84" s="2"/>
      <c r="AX84" s="2"/>
      <c r="AY84" s="2"/>
      <c r="AZ84" s="2"/>
      <c r="BA84" s="2"/>
      <c r="BB84" s="2"/>
    </row>
    <row r="85">
      <c r="A85" s="2">
        <f>IFERROR(__xludf.DUMMYFUNCTION("""COMPUTED_VALUE"""),81.0)</f>
        <v>81</v>
      </c>
      <c r="B85" s="2" t="str">
        <f>IFERROR(__xludf.DUMMYFUNCTION("""COMPUTED_VALUE"""),"COMPLETED")</f>
        <v>COMPLETED</v>
      </c>
      <c r="C85" s="74">
        <f>IFERROR(__xludf.DUMMYFUNCTION("""COMPUTED_VALUE"""),45415.0)</f>
        <v>45415</v>
      </c>
      <c r="D85" s="71" t="str">
        <f>IFERROR(__xludf.DUMMYFUNCTION("""COMPUTED_VALUE"""),"ALALAY GRANDE FARMERS IRRIGATOR ASSOCIATION INC.")</f>
        <v>ALALAY GRANDE FARMERS IRRIGATOR ASSOCIATION INC.</v>
      </c>
      <c r="E85" s="71" t="str">
        <f>IFERROR(__xludf.DUMMYFUNCTION("""COMPUTED_VALUE"""),"Alalay Grande, Lupao, NUEVA ECIJA")</f>
        <v>Alalay Grande, Lupao, NUEVA ECIJA</v>
      </c>
      <c r="F85" s="2" t="str">
        <f>IFERROR(__xludf.DUMMYFUNCTION("""COMPUTED_VALUE"""),"CELSO ADUCA")</f>
        <v>CELSO ADUCA</v>
      </c>
      <c r="G85" s="2" t="str">
        <f>IFERROR(__xludf.DUMMYFUNCTION("""COMPUTED_VALUE"""),"0965-0588-096")</f>
        <v>0965-0588-096</v>
      </c>
      <c r="H85" s="2"/>
      <c r="I85" s="72" t="str">
        <f>IFERROR(__xludf.DUMMYFUNCTION("""COMPUTED_VALUE"""),"TRAINING REQUEST")</f>
        <v>TRAINING REQUEST</v>
      </c>
      <c r="J85" s="72" t="str">
        <f>IFERROR(__xludf.DUMMYFUNCTION("""COMPUTED_VALUE"""),"TRAINING REQUEST")</f>
        <v>TRAINING REQUEST</v>
      </c>
      <c r="K85" s="72" t="str">
        <f>IFERROR(__xludf.DUMMYFUNCTION("""COMPUTED_VALUE"""),"TRAINING REQUEST")</f>
        <v>TRAINING REQUEST</v>
      </c>
      <c r="L85" s="72" t="str">
        <f>IFERROR(__xludf.DUMMYFUNCTION("""COMPUTED_VALUE"""),"TRAINING (BASIC OPERATION, TROUBLESHOOTING, MAINTENANCE, AND ACTUAL OPERATION)")</f>
        <v>TRAINING (BASIC OPERATION, TROUBLESHOOTING, MAINTENANCE, AND ACTUAL OPERATION)</v>
      </c>
      <c r="M85" s="2"/>
      <c r="N85" s="2"/>
      <c r="O85" s="2" t="str">
        <f>IFERROR(__xludf.DUMMYFUNCTION("""COMPUTED_VALUE"""),"service report#226")</f>
        <v>service report#226</v>
      </c>
      <c r="P85" s="2" t="str">
        <f>IFERROR(__xludf.DUMMYFUNCTION("""COMPUTED_VALUE"""),"ALALAY-1ST ACCOM-TRAINING.jpg")</f>
        <v>ALALAY-1ST ACCOM-TRAINING.jpg</v>
      </c>
      <c r="Q85" s="2"/>
      <c r="R85" s="74">
        <f>IFERROR(__xludf.DUMMYFUNCTION("""COMPUTED_VALUE"""),45422.0)</f>
        <v>45422</v>
      </c>
      <c r="S85" s="2" t="str">
        <f>IFERROR(__xludf.DUMMYFUNCTION("""COMPUTED_VALUE"""),"JHP")</f>
        <v>JHP</v>
      </c>
      <c r="T85" s="73" t="str">
        <f>IFERROR(__xludf.DUMMYFUNCTION("""COMPUTED_VALUE""")," N/A ")</f>
        <v>N/A</v>
      </c>
      <c r="U85" s="73" t="str">
        <f>IFERROR(__xludf.DUMMYFUNCTION("""COMPUTED_VALUE""")," NO CHARGE ")</f>
        <v>NO CHARGE</v>
      </c>
      <c r="V85" s="2"/>
      <c r="W85" s="2" t="str">
        <f>IFERROR(__xludf.DUMMYFUNCTION("""COMPUTED_VALUE"""),"N/A")</f>
        <v>N/A</v>
      </c>
      <c r="X85" s="2" t="str">
        <f>IFERROR(__xludf.DUMMYFUNCTION("""COMPUTED_VALUE"""),"N/A")</f>
        <v>N/A</v>
      </c>
      <c r="Y85" s="2" t="str">
        <f>IFERROR(__xludf.DUMMYFUNCTION("""COMPUTED_VALUE"""),"KFS")</f>
        <v>KFS</v>
      </c>
      <c r="Z85" s="2"/>
      <c r="AA85" s="2"/>
      <c r="AB85" s="2"/>
      <c r="AC85" s="2"/>
      <c r="AD85" s="2" t="str">
        <f>IFERROR(__xludf.DUMMYFUNCTION("""COMPUTED_VALUE"""),"report+picture")</f>
        <v>report+picture</v>
      </c>
      <c r="AE85" s="2"/>
      <c r="AF85" s="2"/>
      <c r="AG85" s="2"/>
      <c r="AH85" s="2"/>
      <c r="AI85" s="2"/>
      <c r="AJ85" s="2" t="str">
        <f>IFERROR(__xludf.DUMMYFUNCTION("""COMPUTED_VALUE"""),"Alalay Grande")</f>
        <v>Alalay Grande</v>
      </c>
      <c r="AK85" s="2" t="str">
        <f>IFERROR(__xludf.DUMMYFUNCTION("""COMPUTED_VALUE"""),"Lupao")</f>
        <v>Lupao</v>
      </c>
      <c r="AL85" s="2" t="str">
        <f>IFERROR(__xludf.DUMMYFUNCTION("""COMPUTED_VALUE"""),"Nueva Ecija")</f>
        <v>Nueva Ecija</v>
      </c>
      <c r="AM85" s="2">
        <f>IFERROR(__xludf.DUMMYFUNCTION("""COMPUTED_VALUE"""),3.0)</f>
        <v>3</v>
      </c>
      <c r="AN85" s="2" t="str">
        <f>IFERROR(__xludf.DUMMYFUNCTION("""COMPUTED_VALUE"""),"RCEF 23-09-21 Rebidding")</f>
        <v>RCEF 23-09-21 Rebidding</v>
      </c>
      <c r="AO85" s="2">
        <f>IFERROR(__xludf.DUMMYFUNCTION("""COMPUTED_VALUE"""),3.0)</f>
        <v>3</v>
      </c>
      <c r="AP85" s="2"/>
      <c r="AQ85" s="2"/>
      <c r="AR85" s="2"/>
      <c r="AS85" s="2"/>
      <c r="AT85" s="2"/>
      <c r="AU85" s="2"/>
      <c r="AV85" s="2"/>
      <c r="AW85" s="2"/>
      <c r="AX85" s="2"/>
      <c r="AY85" s="2"/>
      <c r="AZ85" s="2"/>
      <c r="BA85" s="2"/>
      <c r="BB85" s="2"/>
    </row>
    <row r="86">
      <c r="A86" s="2">
        <f>IFERROR(__xludf.DUMMYFUNCTION("""COMPUTED_VALUE"""),82.0)</f>
        <v>82</v>
      </c>
      <c r="B86" s="2" t="str">
        <f>IFERROR(__xludf.DUMMYFUNCTION("""COMPUTED_VALUE"""),"COMPLETED")</f>
        <v>COMPLETED</v>
      </c>
      <c r="C86" s="74">
        <f>IFERROR(__xludf.DUMMYFUNCTION("""COMPUTED_VALUE"""),45418.0)</f>
        <v>45418</v>
      </c>
      <c r="D86" s="71" t="str">
        <f>IFERROR(__xludf.DUMMYFUNCTION("""COMPUTED_VALUE"""),"Bangag Nanappatan Agriculture Cooperative")</f>
        <v>Bangag Nanappatan Agriculture Cooperative</v>
      </c>
      <c r="E86" s="71" t="str">
        <f>IFERROR(__xludf.DUMMYFUNCTION("""COMPUTED_VALUE"""),"Bangag, Aparri, CAGAYAN")</f>
        <v>Bangag, Aparri, CAGAYAN</v>
      </c>
      <c r="F86" s="2" t="str">
        <f>IFERROR(__xludf.DUMMYFUNCTION("""COMPUTED_VALUE"""),"GLAIZA LOCATE")</f>
        <v>GLAIZA LOCATE</v>
      </c>
      <c r="G86" s="2" t="str">
        <f>IFERROR(__xludf.DUMMYFUNCTION("""COMPUTED_VALUE"""),"0954-0539-139")</f>
        <v>0954-0539-139</v>
      </c>
      <c r="H86" s="2" t="str">
        <f>IFERROR(__xludf.DUMMYFUNCTION("""COMPUTED_VALUE"""),"50 HRS")</f>
        <v>50 HRS</v>
      </c>
      <c r="I86" s="72" t="str">
        <f>IFERROR(__xludf.DUMMYFUNCTION("""COMPUTED_VALUE"""),"PMS")</f>
        <v>PMS</v>
      </c>
      <c r="J86" s="72" t="str">
        <f>IFERROR(__xludf.DUMMYFUNCTION("""COMPUTED_VALUE"""),"PMS")</f>
        <v>PMS</v>
      </c>
      <c r="K86" s="72" t="str">
        <f>IFERROR(__xludf.DUMMYFUNCTION("""COMPUTED_VALUE"""),"FIRST PMS")</f>
        <v>FIRST PMS</v>
      </c>
      <c r="L86" s="72" t="str">
        <f>IFERROR(__xludf.DUMMYFUNCTION("""COMPUTED_VALUE"""),"SELF PMS: AGREEMENT SIGNED: PRINTED")</f>
        <v>SELF PMS: AGREEMENT SIGNED: PRINTED</v>
      </c>
      <c r="M86" s="2"/>
      <c r="N86" s="2"/>
      <c r="O86" s="2" t="str">
        <f>IFERROR(__xludf.DUMMYFUNCTION("""COMPUTED_VALUE"""),"N/A")</f>
        <v>N/A</v>
      </c>
      <c r="P86" s="2"/>
      <c r="Q86" s="2"/>
      <c r="R86" s="74">
        <f>IFERROR(__xludf.DUMMYFUNCTION("""COMPUTED_VALUE"""),45420.0)</f>
        <v>45420</v>
      </c>
      <c r="S86" s="2" t="str">
        <f>IFERROR(__xludf.DUMMYFUNCTION("""COMPUTED_VALUE"""),"MYKEE")</f>
        <v>MYKEE</v>
      </c>
      <c r="T86" s="73" t="str">
        <f>IFERROR(__xludf.DUMMYFUNCTION("""COMPUTED_VALUE""")," N/A ")</f>
        <v>N/A</v>
      </c>
      <c r="U86" s="73" t="str">
        <f>IFERROR(__xludf.DUMMYFUNCTION("""COMPUTED_VALUE""")," NO CHARGE ")</f>
        <v>NO CHARGE</v>
      </c>
      <c r="V86" s="2"/>
      <c r="W86" s="2" t="str">
        <f>IFERROR(__xludf.DUMMYFUNCTION("""COMPUTED_VALUE"""),"N/A")</f>
        <v>N/A</v>
      </c>
      <c r="X86" s="2" t="str">
        <f>IFERROR(__xludf.DUMMYFUNCTION("""COMPUTED_VALUE"""),"N/A")</f>
        <v>N/A</v>
      </c>
      <c r="Y86" s="2" t="str">
        <f>IFERROR(__xludf.DUMMYFUNCTION("""COMPUTED_VALUE"""),"ERP")</f>
        <v>ERP</v>
      </c>
      <c r="Z86" s="2"/>
      <c r="AA86" s="2"/>
      <c r="AB86" s="2"/>
      <c r="AC86" s="2"/>
      <c r="AD86" s="2"/>
      <c r="AE86" s="2"/>
      <c r="AF86" s="2"/>
      <c r="AG86" s="2"/>
      <c r="AH86" s="2"/>
      <c r="AI86" s="2"/>
      <c r="AJ86" s="2" t="str">
        <f>IFERROR(__xludf.DUMMYFUNCTION("""COMPUTED_VALUE"""),"Bangag")</f>
        <v>Bangag</v>
      </c>
      <c r="AK86" s="2" t="str">
        <f>IFERROR(__xludf.DUMMYFUNCTION("""COMPUTED_VALUE"""),"Aparri")</f>
        <v>Aparri</v>
      </c>
      <c r="AL86" s="2" t="str">
        <f>IFERROR(__xludf.DUMMYFUNCTION("""COMPUTED_VALUE"""),"Cagayan")</f>
        <v>Cagayan</v>
      </c>
      <c r="AM86" s="2">
        <f>IFERROR(__xludf.DUMMYFUNCTION("""COMPUTED_VALUE"""),2.0)</f>
        <v>2</v>
      </c>
      <c r="AN86" s="2" t="str">
        <f>IFERROR(__xludf.DUMMYFUNCTION("""COMPUTED_VALUE"""),"RCEF 23-09-21 Rebidding")</f>
        <v>RCEF 23-09-21 Rebidding</v>
      </c>
      <c r="AO86" s="2">
        <f>IFERROR(__xludf.DUMMYFUNCTION("""COMPUTED_VALUE"""),9.0)</f>
        <v>9</v>
      </c>
      <c r="AP86" s="2"/>
      <c r="AQ86" s="2"/>
      <c r="AR86" s="2"/>
      <c r="AS86" s="2"/>
      <c r="AT86" s="2"/>
      <c r="AU86" s="2"/>
      <c r="AV86" s="2"/>
      <c r="AW86" s="2"/>
      <c r="AX86" s="2"/>
      <c r="AY86" s="2"/>
      <c r="AZ86" s="2"/>
      <c r="BA86" s="2"/>
      <c r="BB86" s="2"/>
    </row>
    <row r="87">
      <c r="A87" s="2">
        <f>IFERROR(__xludf.DUMMYFUNCTION("""COMPUTED_VALUE"""),83.0)</f>
        <v>83</v>
      </c>
      <c r="B87" s="2" t="str">
        <f>IFERROR(__xludf.DUMMYFUNCTION("""COMPUTED_VALUE"""),"COMPLETED")</f>
        <v>COMPLETED</v>
      </c>
      <c r="C87" s="74">
        <f>IFERROR(__xludf.DUMMYFUNCTION("""COMPUTED_VALUE"""),45418.0)</f>
        <v>45418</v>
      </c>
      <c r="D87" s="71" t="str">
        <f>IFERROR(__xludf.DUMMYFUNCTION("""COMPUTED_VALUE"""),"BURGOS, LUNA, SAN JUAN(BLSJ) IRRIGATORS ASSOCIATION INC.")</f>
        <v>BURGOS, LUNA, SAN JUAN(BLSJ) IRRIGATORS ASSOCIATION INC.</v>
      </c>
      <c r="E87" s="71" t="str">
        <f>IFERROR(__xludf.DUMMYFUNCTION("""COMPUTED_VALUE"""),"Luna (Pob.), San Antonio, ZAMBALES")</f>
        <v>Luna (Pob.), San Antonio, ZAMBALES</v>
      </c>
      <c r="F87" s="2" t="str">
        <f>IFERROR(__xludf.DUMMYFUNCTION("""COMPUTED_VALUE"""),"WILFREDO NABOR")</f>
        <v>WILFREDO NABOR</v>
      </c>
      <c r="G87" s="2" t="str">
        <f>IFERROR(__xludf.DUMMYFUNCTION("""COMPUTED_VALUE"""),"0918-4444-601")</f>
        <v>0918-4444-601</v>
      </c>
      <c r="H87" s="2">
        <f>IFERROR(__xludf.DUMMYFUNCTION("""COMPUTED_VALUE"""),50.0)</f>
        <v>50</v>
      </c>
      <c r="I87" s="72" t="str">
        <f>IFERROR(__xludf.DUMMYFUNCTION("""COMPUTED_VALUE"""),"TRAINING REQUEST")</f>
        <v>TRAINING REQUEST</v>
      </c>
      <c r="J87" s="72" t="str">
        <f>IFERROR(__xludf.DUMMYFUNCTION("""COMPUTED_VALUE"""),"TRAINING REQUEST")</f>
        <v>TRAINING REQUEST</v>
      </c>
      <c r="K87" s="72" t="str">
        <f>IFERROR(__xludf.DUMMYFUNCTION("""COMPUTED_VALUE"""),"REQUESTING SOMEONE TO CHECK THE TRACTOR WHY IT SUDDEN STOP ROTATING THE DISK PLOW WHILE ITS RUNNING. AND REQUESTING FOR TRAINING")</f>
        <v>REQUESTING SOMEONE TO CHECK THE TRACTOR WHY IT SUDDEN STOP ROTATING THE DISK PLOW WHILE ITS RUNNING. AND REQUESTING FOR TRAINING</v>
      </c>
      <c r="L87" s="72" t="str">
        <f>IFERROR(__xludf.DUMMYFUNCTION("""COMPUTED_VALUE"""),"BINAKLAS YUNG GEARBOX SAKA MINASO YUNG SHAFTING AT NILANGISAN NGAYUN NAIKOT NA. WALANG GRASA KAYA NAG STOCK UP YUNG BEARING")</f>
        <v>BINAKLAS YUNG GEARBOX SAKA MINASO YUNG SHAFTING AT NILANGISAN NGAYUN NAIKOT NA. WALANG GRASA KAYA NAG STOCK UP YUNG BEARING</v>
      </c>
      <c r="M87" s="2"/>
      <c r="N87" s="2"/>
      <c r="O87" s="2" t="str">
        <f>IFERROR(__xludf.DUMMYFUNCTION("""COMPUTED_VALUE"""),"JIE 228")</f>
        <v>JIE 228</v>
      </c>
      <c r="P87" s="2"/>
      <c r="Q87" s="2" t="str">
        <f>IFERROR(__xludf.DUMMYFUNCTION("""COMPUTED_VALUE"""),"FOR PRINT")</f>
        <v>FOR PRINT</v>
      </c>
      <c r="R87" s="74">
        <f>IFERROR(__xludf.DUMMYFUNCTION("""COMPUTED_VALUE"""),45427.0)</f>
        <v>45427</v>
      </c>
      <c r="S87" s="2" t="str">
        <f>IFERROR(__xludf.DUMMYFUNCTION("""COMPUTED_VALUE"""),"JHP/DRM")</f>
        <v>JHP/DRM</v>
      </c>
      <c r="T87" s="73" t="str">
        <f>IFERROR(__xludf.DUMMYFUNCTION("""COMPUTED_VALUE""")," N/A ")</f>
        <v>N/A</v>
      </c>
      <c r="U87" s="73" t="str">
        <f>IFERROR(__xludf.DUMMYFUNCTION("""COMPUTED_VALUE""")," NO CHARGE ")</f>
        <v>NO CHARGE</v>
      </c>
      <c r="V87" s="2"/>
      <c r="W87" s="2" t="str">
        <f>IFERROR(__xludf.DUMMYFUNCTION("""COMPUTED_VALUE"""),"N/A")</f>
        <v>N/A</v>
      </c>
      <c r="X87" s="2" t="str">
        <f>IFERROR(__xludf.DUMMYFUNCTION("""COMPUTED_VALUE"""),"N/A")</f>
        <v>N/A</v>
      </c>
      <c r="Y87" s="2" t="str">
        <f>IFERROR(__xludf.DUMMYFUNCTION("""COMPUTED_VALUE"""),"KFS   // NEXTWEEK, DATE TO BE DEECIDED")</f>
        <v>KFS   // NEXTWEEK, DATE TO BE DEECIDED</v>
      </c>
      <c r="Z87" s="2"/>
      <c r="AA87" s="2"/>
      <c r="AB87" s="2"/>
      <c r="AC87" s="2" t="str">
        <f>IFERROR(__xludf.DUMMYFUNCTION("""COMPUTED_VALUE"""),"Y")</f>
        <v>Y</v>
      </c>
      <c r="AD87" s="2"/>
      <c r="AE87" s="2"/>
      <c r="AF87" s="2"/>
      <c r="AG87" s="2"/>
      <c r="AH87" s="2"/>
      <c r="AI87" s="2"/>
      <c r="AJ87" s="2" t="str">
        <f>IFERROR(__xludf.DUMMYFUNCTION("""COMPUTED_VALUE"""),"Luna (Pob.)")</f>
        <v>Luna (Pob.)</v>
      </c>
      <c r="AK87" s="2" t="str">
        <f>IFERROR(__xludf.DUMMYFUNCTION("""COMPUTED_VALUE"""),"San Antonio")</f>
        <v>San Antonio</v>
      </c>
      <c r="AL87" s="2" t="str">
        <f>IFERROR(__xludf.DUMMYFUNCTION("""COMPUTED_VALUE"""),"Zambales")</f>
        <v>Zambales</v>
      </c>
      <c r="AM87" s="2">
        <f>IFERROR(__xludf.DUMMYFUNCTION("""COMPUTED_VALUE"""),3.0)</f>
        <v>3</v>
      </c>
      <c r="AN87" s="2" t="str">
        <f>IFERROR(__xludf.DUMMYFUNCTION("""COMPUTED_VALUE"""),"RCEF 23-09-21 Rebidding")</f>
        <v>RCEF 23-09-21 Rebidding</v>
      </c>
      <c r="AO87" s="2">
        <f>IFERROR(__xludf.DUMMYFUNCTION("""COMPUTED_VALUE"""),3.0)</f>
        <v>3</v>
      </c>
      <c r="AP87" s="2"/>
      <c r="AQ87" s="2"/>
      <c r="AR87" s="2"/>
      <c r="AS87" s="2"/>
      <c r="AT87" s="2"/>
      <c r="AU87" s="2"/>
      <c r="AV87" s="2"/>
      <c r="AW87" s="2"/>
      <c r="AX87" s="2"/>
      <c r="AY87" s="2"/>
      <c r="AZ87" s="2"/>
      <c r="BA87" s="2"/>
      <c r="BB87" s="2"/>
    </row>
    <row r="88">
      <c r="A88" s="2">
        <f>IFERROR(__xludf.DUMMYFUNCTION("""COMPUTED_VALUE"""),84.0)</f>
        <v>84</v>
      </c>
      <c r="B88" s="2" t="str">
        <f>IFERROR(__xludf.DUMMYFUNCTION("""COMPUTED_VALUE"""),"COMPLETED")</f>
        <v>COMPLETED</v>
      </c>
      <c r="C88" s="74">
        <f>IFERROR(__xludf.DUMMYFUNCTION("""COMPUTED_VALUE"""),45418.0)</f>
        <v>45418</v>
      </c>
      <c r="D88" s="71" t="str">
        <f>IFERROR(__xludf.DUMMYFUNCTION("""COMPUTED_VALUE"""),"BALINGAYAN FARMERS ASSOCIATION")</f>
        <v>BALINGAYAN FARMERS ASSOCIATION</v>
      </c>
      <c r="E88" s="71" t="str">
        <f>IFERROR(__xludf.DUMMYFUNCTION("""COMPUTED_VALUE"""),"Balingayan, Calapan City, Oriental Mindoro")</f>
        <v>Balingayan, Calapan City, Oriental Mindoro</v>
      </c>
      <c r="F88" s="2" t="str">
        <f>IFERROR(__xludf.DUMMYFUNCTION("""COMPUTED_VALUE"""),"DANTE DALISAY")</f>
        <v>DANTE DALISAY</v>
      </c>
      <c r="G88" s="2" t="str">
        <f>IFERROR(__xludf.DUMMYFUNCTION("""COMPUTED_VALUE"""),"0906-1004-875")</f>
        <v>0906-1004-875</v>
      </c>
      <c r="H88" s="2" t="str">
        <f>IFERROR(__xludf.DUMMYFUNCTION("""COMPUTED_VALUE"""),"119 HRS")</f>
        <v>119 HRS</v>
      </c>
      <c r="I88" s="72" t="str">
        <f>IFERROR(__xludf.DUMMYFUNCTION("""COMPUTED_VALUE"""),"REPAIR - TRACTOR")</f>
        <v>REPAIR - TRACTOR</v>
      </c>
      <c r="J88" s="72" t="str">
        <f>IFERROR(__xludf.DUMMYFUNCTION("""COMPUTED_VALUE"""),"PST - Cylinder Problem")</f>
        <v>PST - Cylinder Problem</v>
      </c>
      <c r="K88" s="72" t="str">
        <f>IFERROR(__xludf.DUMMYFUNCTION("""COMPUTED_VALUE"""),"STEERING WHEEL NOT WORKING")</f>
        <v>STEERING WHEEL NOT WORKING</v>
      </c>
      <c r="L88" s="72" t="str">
        <f>IFERROR(__xludf.DUMMYFUNCTION("""COMPUTED_VALUE"""),"VIA PHONE CALL PINABAKLAS AT NAKITANG MAY BARANG PLASTICK SA LOOB, NATANGAL NA ITO AT OK NA ANG UNIT. OPERATIONAL")</f>
        <v>VIA PHONE CALL PINABAKLAS AT NAKITANG MAY BARANG PLASTICK SA LOOB, NATANGAL NA ITO AT OK NA ANG UNIT. OPERATIONAL</v>
      </c>
      <c r="M88" s="2"/>
      <c r="N88" s="2"/>
      <c r="O88" s="2" t="str">
        <f>IFERROR(__xludf.DUMMYFUNCTION("""COMPUTED_VALUE"""),"JIE 227")</f>
        <v>JIE 227</v>
      </c>
      <c r="P88" s="2"/>
      <c r="Q88" s="2" t="str">
        <f>IFERROR(__xludf.DUMMYFUNCTION("""COMPUTED_VALUE"""),"FOR PRINT")</f>
        <v>FOR PRINT</v>
      </c>
      <c r="R88" s="74">
        <f>IFERROR(__xludf.DUMMYFUNCTION("""COMPUTED_VALUE"""),45419.0)</f>
        <v>45419</v>
      </c>
      <c r="S88" s="2" t="str">
        <f>IFERROR(__xludf.DUMMYFUNCTION("""COMPUTED_VALUE"""),"JTT")</f>
        <v>JTT</v>
      </c>
      <c r="T88" s="73" t="str">
        <f>IFERROR(__xludf.DUMMYFUNCTION("""COMPUTED_VALUE""")," N/A ")</f>
        <v>N/A</v>
      </c>
      <c r="U88" s="73" t="str">
        <f>IFERROR(__xludf.DUMMYFUNCTION("""COMPUTED_VALUE""")," NO CHARGE ")</f>
        <v>NO CHARGE</v>
      </c>
      <c r="V88" s="2"/>
      <c r="W88" s="2" t="str">
        <f>IFERROR(__xludf.DUMMYFUNCTION("""COMPUTED_VALUE"""),"N/A")</f>
        <v>N/A</v>
      </c>
      <c r="X88" s="2" t="str">
        <f>IFERROR(__xludf.DUMMYFUNCTION("""COMPUTED_VALUE"""),"N/A")</f>
        <v>N/A</v>
      </c>
      <c r="Y88" s="2" t="str">
        <f>IFERROR(__xludf.DUMMYFUNCTION("""COMPUTED_VALUE"""),"RCG")</f>
        <v>RCG</v>
      </c>
      <c r="Z88" s="2"/>
      <c r="AA88" s="2"/>
      <c r="AB88" s="2"/>
      <c r="AC88" s="2"/>
      <c r="AD88" s="2"/>
      <c r="AE88" s="2"/>
      <c r="AF88" s="2"/>
      <c r="AG88" s="2"/>
      <c r="AH88" s="2"/>
      <c r="AI88" s="2"/>
      <c r="AJ88" s="2" t="str">
        <f>IFERROR(__xludf.DUMMYFUNCTION("""COMPUTED_VALUE"""),"Balingayan")</f>
        <v>Balingayan</v>
      </c>
      <c r="AK88" s="2" t="str">
        <f>IFERROR(__xludf.DUMMYFUNCTION("""COMPUTED_VALUE"""),"Calapan City")</f>
        <v>Calapan City</v>
      </c>
      <c r="AL88" s="2" t="str">
        <f>IFERROR(__xludf.DUMMYFUNCTION("""COMPUTED_VALUE"""),"Oriental Mindoro")</f>
        <v>Oriental Mindoro</v>
      </c>
      <c r="AM88" s="2" t="str">
        <f>IFERROR(__xludf.DUMMYFUNCTION("""COMPUTED_VALUE"""),"4B")</f>
        <v>4B</v>
      </c>
      <c r="AN88" s="2" t="str">
        <f>IFERROR(__xludf.DUMMYFUNCTION("""COMPUTED_VALUE"""),"RCEF 23-08-20 Rebidding")</f>
        <v>RCEF 23-08-20 Rebidding</v>
      </c>
      <c r="AO88" s="2">
        <f>IFERROR(__xludf.DUMMYFUNCTION("""COMPUTED_VALUE"""),1.0)</f>
        <v>1</v>
      </c>
      <c r="AP88" s="2"/>
      <c r="AQ88" s="2"/>
      <c r="AR88" s="2"/>
      <c r="AS88" s="2"/>
      <c r="AT88" s="2"/>
      <c r="AU88" s="2"/>
      <c r="AV88" s="2"/>
      <c r="AW88" s="2"/>
      <c r="AX88" s="2"/>
      <c r="AY88" s="2"/>
      <c r="AZ88" s="2"/>
      <c r="BA88" s="2"/>
      <c r="BB88" s="2"/>
    </row>
    <row r="89">
      <c r="A89" s="2">
        <f>IFERROR(__xludf.DUMMYFUNCTION("""COMPUTED_VALUE"""),85.0)</f>
        <v>85</v>
      </c>
      <c r="B89" s="2" t="str">
        <f>IFERROR(__xludf.DUMMYFUNCTION("""COMPUTED_VALUE"""),"COMPLETED")</f>
        <v>COMPLETED</v>
      </c>
      <c r="C89" s="74">
        <f>IFERROR(__xludf.DUMMYFUNCTION("""COMPUTED_VALUE"""),45418.0)</f>
        <v>45418</v>
      </c>
      <c r="D89" s="71" t="str">
        <f>IFERROR(__xludf.DUMMYFUNCTION("""COMPUTED_VALUE"""),"NAGKAKAISANG SAMAHAN NG MAGPAPATUBIG NG CAMBUNANG, INC.")</f>
        <v>NAGKAKAISANG SAMAHAN NG MAGPAPATUBIG NG CAMBUNANG, INC.</v>
      </c>
      <c r="E89" s="71" t="str">
        <f>IFERROR(__xludf.DUMMYFUNCTION("""COMPUTED_VALUE"""),"Cambunang, Bulalacao, Oriental Mindoro")</f>
        <v>Cambunang, Bulalacao, Oriental Mindoro</v>
      </c>
      <c r="F89" s="2" t="str">
        <f>IFERROR(__xludf.DUMMYFUNCTION("""COMPUTED_VALUE"""),"RICHARD FABILA")</f>
        <v>RICHARD FABILA</v>
      </c>
      <c r="G89" s="2" t="str">
        <f>IFERROR(__xludf.DUMMYFUNCTION("""COMPUTED_VALUE"""),"0948-0287-733")</f>
        <v>0948-0287-733</v>
      </c>
      <c r="H89" s="2">
        <f>IFERROR(__xludf.DUMMYFUNCTION("""COMPUTED_VALUE"""),65.1)</f>
        <v>65.1</v>
      </c>
      <c r="I89" s="72" t="str">
        <f>IFERROR(__xludf.DUMMYFUNCTION("""COMPUTED_VALUE"""),"PMS")</f>
        <v>PMS</v>
      </c>
      <c r="J89" s="72" t="str">
        <f>IFERROR(__xludf.DUMMYFUNCTION("""COMPUTED_VALUE"""),"PMS")</f>
        <v>PMS</v>
      </c>
      <c r="K89" s="72" t="str">
        <f>IFERROR(__xludf.DUMMYFUNCTION("""COMPUTED_VALUE"""),"FIRST PMS")</f>
        <v>FIRST PMS</v>
      </c>
      <c r="L89" s="72" t="str">
        <f>IFERROR(__xludf.DUMMYFUNCTION("""COMPUTED_VALUE"""),"CHANGE OIL: OIL FILTER PAID BY FCA")</f>
        <v>CHANGE OIL: OIL FILTER PAID BY FCA</v>
      </c>
      <c r="M89" s="2"/>
      <c r="N89" s="2" t="str">
        <f>IFERROR(__xludf.DUMMYFUNCTION("""COMPUTED_VALUE"""),"OIL FILTER")</f>
        <v>OIL FILTER</v>
      </c>
      <c r="O89" s="2" t="str">
        <f>IFERROR(__xludf.DUMMYFUNCTION("""COMPUTED_VALUE"""),"JIE 229")</f>
        <v>JIE 229</v>
      </c>
      <c r="P89" s="2"/>
      <c r="Q89" s="2" t="str">
        <f>IFERROR(__xludf.DUMMYFUNCTION("""COMPUTED_VALUE"""),"FOR PRINT")</f>
        <v>FOR PRINT</v>
      </c>
      <c r="R89" s="74">
        <f>IFERROR(__xludf.DUMMYFUNCTION("""COMPUTED_VALUE"""),45437.0)</f>
        <v>45437</v>
      </c>
      <c r="S89" s="2" t="str">
        <f>IFERROR(__xludf.DUMMYFUNCTION("""COMPUTED_VALUE"""),"JTT/PPS")</f>
        <v>JTT/PPS</v>
      </c>
      <c r="T89" s="73">
        <f>IFERROR(__xludf.DUMMYFUNCTION("""COMPUTED_VALUE"""),2837.5)</f>
        <v>2837.5</v>
      </c>
      <c r="U89" s="73" t="str">
        <f>IFERROR(__xludf.DUMMYFUNCTION("""COMPUTED_VALUE""")," REMITTED ")</f>
        <v>REMITTED</v>
      </c>
      <c r="V89" s="2"/>
      <c r="W89" s="2"/>
      <c r="X89" s="2"/>
      <c r="Y89" s="2" t="str">
        <f>IFERROR(__xludf.DUMMYFUNCTION("""COMPUTED_VALUE"""),"KFS   //   MYKEE: CALL SIR MIGS TO ASSIST RBS")</f>
        <v>KFS   //   MYKEE: CALL SIR MIGS TO ASSIST RBS</v>
      </c>
      <c r="Z89" s="2"/>
      <c r="AA89" s="2"/>
      <c r="AB89" s="2"/>
      <c r="AC89" s="2"/>
      <c r="AD89" s="2"/>
      <c r="AE89" s="2"/>
      <c r="AF89" s="2"/>
      <c r="AG89" s="2"/>
      <c r="AH89" s="2"/>
      <c r="AI89" s="2"/>
      <c r="AJ89" s="2" t="str">
        <f>IFERROR(__xludf.DUMMYFUNCTION("""COMPUTED_VALUE"""),"Cambunang")</f>
        <v>Cambunang</v>
      </c>
      <c r="AK89" s="2" t="str">
        <f>IFERROR(__xludf.DUMMYFUNCTION("""COMPUTED_VALUE"""),"Bulalacao")</f>
        <v>Bulalacao</v>
      </c>
      <c r="AL89" s="2" t="str">
        <f>IFERROR(__xludf.DUMMYFUNCTION("""COMPUTED_VALUE"""),"Oriental Mindoro")</f>
        <v>Oriental Mindoro</v>
      </c>
      <c r="AM89" s="2" t="str">
        <f>IFERROR(__xludf.DUMMYFUNCTION("""COMPUTED_VALUE"""),"4B")</f>
        <v>4B</v>
      </c>
      <c r="AN89" s="2" t="str">
        <f>IFERROR(__xludf.DUMMYFUNCTION("""COMPUTED_VALUE"""),"RCEF 23-08-20 Rebidding")</f>
        <v>RCEF 23-08-20 Rebidding</v>
      </c>
      <c r="AO89" s="2">
        <f>IFERROR(__xludf.DUMMYFUNCTION("""COMPUTED_VALUE"""),1.0)</f>
        <v>1</v>
      </c>
      <c r="AP89" s="2"/>
      <c r="AQ89" s="2"/>
      <c r="AR89" s="2"/>
      <c r="AS89" s="2"/>
      <c r="AT89" s="2"/>
      <c r="AU89" s="2"/>
      <c r="AV89" s="2"/>
      <c r="AW89" s="2"/>
      <c r="AX89" s="2"/>
      <c r="AY89" s="2"/>
      <c r="AZ89" s="2"/>
      <c r="BA89" s="2"/>
      <c r="BB89" s="2"/>
    </row>
    <row r="90">
      <c r="A90" s="2">
        <f>IFERROR(__xludf.DUMMYFUNCTION("""COMPUTED_VALUE"""),86.0)</f>
        <v>86</v>
      </c>
      <c r="B90" s="2" t="str">
        <f>IFERROR(__xludf.DUMMYFUNCTION("""COMPUTED_VALUE"""),"COMPLETED")</f>
        <v>COMPLETED</v>
      </c>
      <c r="C90" s="74">
        <f>IFERROR(__xludf.DUMMYFUNCTION("""COMPUTED_VALUE"""),45418.0)</f>
        <v>45418</v>
      </c>
      <c r="D90" s="71" t="str">
        <f>IFERROR(__xludf.DUMMYFUNCTION("""COMPUTED_VALUE"""),"SANDIGAN NG MGA MANGGAGAWA SA AGRIKULTURA SA KANAYUNAN (SAMAKA)")</f>
        <v>SANDIGAN NG MGA MANGGAGAWA SA AGRIKULTURA SA KANAYUNAN (SAMAKA)</v>
      </c>
      <c r="E90" s="71" t="str">
        <f>IFERROR(__xludf.DUMMYFUNCTION("""COMPUTED_VALUE"""),"Calucmoy, Socorro, Oriental Mindoro")</f>
        <v>Calucmoy, Socorro, Oriental Mindoro</v>
      </c>
      <c r="F90" s="2" t="str">
        <f>IFERROR(__xludf.DUMMYFUNCTION("""COMPUTED_VALUE"""),"REX MAANO")</f>
        <v>REX MAANO</v>
      </c>
      <c r="G90" s="2">
        <f>IFERROR(__xludf.DUMMYFUNCTION("""COMPUTED_VALUE"""),9.50137721E9)</f>
        <v>9501377210</v>
      </c>
      <c r="H90" s="2">
        <f>IFERROR(__xludf.DUMMYFUNCTION("""COMPUTED_VALUE"""),145.0)</f>
        <v>145</v>
      </c>
      <c r="I90" s="72" t="str">
        <f>IFERROR(__xludf.DUMMYFUNCTION("""COMPUTED_VALUE"""),"REPAIR - TRACTOR")</f>
        <v>REPAIR - TRACTOR</v>
      </c>
      <c r="J90" s="72" t="str">
        <f>IFERROR(__xludf.DUMMYFUNCTION("""COMPUTED_VALUE"""),"Transmission - Front Drive")</f>
        <v>Transmission - Front Drive</v>
      </c>
      <c r="K90" s="72" t="str">
        <f>IFERROR(__xludf.DUMMYFUNCTION("""COMPUTED_VALUE"""),"HINDI GUMAGANA ANG DUAL DRIVE ")</f>
        <v>HINDI GUMAGANA ANG DUAL DRIVE </v>
      </c>
      <c r="L90" s="72" t="str">
        <f>IFERROR(__xludf.DUMMYFUNCTION("""COMPUTED_VALUE"""),"SOLVE VIA PHONE CALL, PINASALINAN NG HYDRAULIC  DAHIL KULANG NA KAYA HINDI NA GUMAGANA ANG DUAL DRIVE")</f>
        <v>SOLVE VIA PHONE CALL, PINASALINAN NG HYDRAULIC  DAHIL KULANG NA KAYA HINDI NA GUMAGANA ANG DUAL DRIVE</v>
      </c>
      <c r="M90" s="2"/>
      <c r="N90" s="2"/>
      <c r="O90" s="2" t="str">
        <f>IFERROR(__xludf.DUMMYFUNCTION("""COMPUTED_VALUE"""),"N/A")</f>
        <v>N/A</v>
      </c>
      <c r="P90" s="2"/>
      <c r="Q90" s="2"/>
      <c r="R90" s="74">
        <f>IFERROR(__xludf.DUMMYFUNCTION("""COMPUTED_VALUE"""),45418.0)</f>
        <v>45418</v>
      </c>
      <c r="S90" s="2" t="str">
        <f>IFERROR(__xludf.DUMMYFUNCTION("""COMPUTED_VALUE"""),"JTT")</f>
        <v>JTT</v>
      </c>
      <c r="T90" s="73" t="str">
        <f>IFERROR(__xludf.DUMMYFUNCTION("""COMPUTED_VALUE""")," N/A ")</f>
        <v>N/A</v>
      </c>
      <c r="U90" s="73" t="str">
        <f>IFERROR(__xludf.DUMMYFUNCTION("""COMPUTED_VALUE""")," NO CHARGE ")</f>
        <v>NO CHARGE</v>
      </c>
      <c r="V90" s="2"/>
      <c r="W90" s="2" t="str">
        <f>IFERROR(__xludf.DUMMYFUNCTION("""COMPUTED_VALUE"""),"N/A")</f>
        <v>N/A</v>
      </c>
      <c r="X90" s="2" t="str">
        <f>IFERROR(__xludf.DUMMYFUNCTION("""COMPUTED_VALUE"""),"N/A")</f>
        <v>N/A</v>
      </c>
      <c r="Y90" s="2" t="str">
        <f>IFERROR(__xludf.DUMMYFUNCTION("""COMPUTED_VALUE"""),"MYKEE: TXT FROM REX MAANO")</f>
        <v>MYKEE: TXT FROM REX MAANO</v>
      </c>
      <c r="Z90" s="2"/>
      <c r="AA90" s="2"/>
      <c r="AB90" s="2"/>
      <c r="AC90" s="2"/>
      <c r="AD90" s="2"/>
      <c r="AE90" s="2"/>
      <c r="AF90" s="2"/>
      <c r="AG90" s="2"/>
      <c r="AH90" s="2"/>
      <c r="AI90" s="2"/>
      <c r="AJ90" s="2" t="str">
        <f>IFERROR(__xludf.DUMMYFUNCTION("""COMPUTED_VALUE"""),"Calucmoy")</f>
        <v>Calucmoy</v>
      </c>
      <c r="AK90" s="2" t="str">
        <f>IFERROR(__xludf.DUMMYFUNCTION("""COMPUTED_VALUE"""),"Socorro")</f>
        <v>Socorro</v>
      </c>
      <c r="AL90" s="2" t="str">
        <f>IFERROR(__xludf.DUMMYFUNCTION("""COMPUTED_VALUE"""),"Oriental Mindoro")</f>
        <v>Oriental Mindoro</v>
      </c>
      <c r="AM90" s="2" t="str">
        <f>IFERROR(__xludf.DUMMYFUNCTION("""COMPUTED_VALUE"""),"4B")</f>
        <v>4B</v>
      </c>
      <c r="AN90" s="2" t="str">
        <f>IFERROR(__xludf.DUMMYFUNCTION("""COMPUTED_VALUE"""),"RCEF 23-08-20 Rebidding")</f>
        <v>RCEF 23-08-20 Rebidding</v>
      </c>
      <c r="AO90" s="2">
        <f>IFERROR(__xludf.DUMMYFUNCTION("""COMPUTED_VALUE"""),1.0)</f>
        <v>1</v>
      </c>
      <c r="AP90" s="2"/>
      <c r="AQ90" s="2"/>
      <c r="AR90" s="2"/>
      <c r="AS90" s="2"/>
      <c r="AT90" s="2"/>
      <c r="AU90" s="2"/>
      <c r="AV90" s="2"/>
      <c r="AW90" s="2"/>
      <c r="AX90" s="2"/>
      <c r="AY90" s="2"/>
      <c r="AZ90" s="2"/>
      <c r="BA90" s="2"/>
      <c r="BB90" s="2"/>
    </row>
    <row r="91">
      <c r="A91" s="2">
        <f>IFERROR(__xludf.DUMMYFUNCTION("""COMPUTED_VALUE"""),87.0)</f>
        <v>87</v>
      </c>
      <c r="B91" s="2" t="str">
        <f>IFERROR(__xludf.DUMMYFUNCTION("""COMPUTED_VALUE"""),"COMPLETED")</f>
        <v>COMPLETED</v>
      </c>
      <c r="C91" s="74">
        <f>IFERROR(__xludf.DUMMYFUNCTION("""COMPUTED_VALUE"""),45419.0)</f>
        <v>45419</v>
      </c>
      <c r="D91" s="71" t="str">
        <f>IFERROR(__xludf.DUMMYFUNCTION("""COMPUTED_VALUE"""),"Manggawa farmers Environmental Development Association")</f>
        <v>Manggawa farmers Environmental Development Association</v>
      </c>
      <c r="E91" s="71" t="str">
        <f>IFERROR(__xludf.DUMMYFUNCTION("""COMPUTED_VALUE"""),"New Tanglag, Tabuk City, KALINGA")</f>
        <v>New Tanglag, Tabuk City, KALINGA</v>
      </c>
      <c r="F91" s="2" t="str">
        <f>IFERROR(__xludf.DUMMYFUNCTION("""COMPUTED_VALUE"""),"WILMA ALVESTER")</f>
        <v>WILMA ALVESTER</v>
      </c>
      <c r="G91" s="2">
        <f>IFERROR(__xludf.DUMMYFUNCTION("""COMPUTED_VALUE"""),9.557995356E9)</f>
        <v>9557995356</v>
      </c>
      <c r="H91" s="2">
        <f>IFERROR(__xludf.DUMMYFUNCTION("""COMPUTED_VALUE"""),50.0)</f>
        <v>50</v>
      </c>
      <c r="I91" s="72" t="str">
        <f>IFERROR(__xludf.DUMMYFUNCTION("""COMPUTED_VALUE"""),"PMS")</f>
        <v>PMS</v>
      </c>
      <c r="J91" s="72" t="str">
        <f>IFERROR(__xludf.DUMMYFUNCTION("""COMPUTED_VALUE"""),"PMS")</f>
        <v>PMS</v>
      </c>
      <c r="K91" s="72" t="str">
        <f>IFERROR(__xludf.DUMMYFUNCTION("""COMPUTED_VALUE"""),"FIRTS PMS: SELF PMS")</f>
        <v>FIRTS PMS: SELF PMS</v>
      </c>
      <c r="L91" s="72" t="str">
        <f>IFERROR(__xludf.DUMMYFUNCTION("""COMPUTED_VALUE"""),"SELF PMS: EMAIL: AGREEMENT SENT")</f>
        <v>SELF PMS: EMAIL: AGREEMENT SENT</v>
      </c>
      <c r="M91" s="2"/>
      <c r="N91" s="2"/>
      <c r="O91" s="2" t="str">
        <f>IFERROR(__xludf.DUMMYFUNCTION("""COMPUTED_VALUE"""),"N/A")</f>
        <v>N/A</v>
      </c>
      <c r="P91" s="2"/>
      <c r="Q91" s="2"/>
      <c r="R91" s="74">
        <f>IFERROR(__xludf.DUMMYFUNCTION("""COMPUTED_VALUE"""),45419.0)</f>
        <v>45419</v>
      </c>
      <c r="S91" s="2" t="str">
        <f>IFERROR(__xludf.DUMMYFUNCTION("""COMPUTED_VALUE"""),"MYKEE")</f>
        <v>MYKEE</v>
      </c>
      <c r="T91" s="73" t="str">
        <f>IFERROR(__xludf.DUMMYFUNCTION("""COMPUTED_VALUE""")," N/A ")</f>
        <v>N/A</v>
      </c>
      <c r="U91" s="73" t="str">
        <f>IFERROR(__xludf.DUMMYFUNCTION("""COMPUTED_VALUE""")," NO CHARGE ")</f>
        <v>NO CHARGE</v>
      </c>
      <c r="V91" s="2"/>
      <c r="W91" s="2" t="str">
        <f>IFERROR(__xludf.DUMMYFUNCTION("""COMPUTED_VALUE"""),"N/A")</f>
        <v>N/A</v>
      </c>
      <c r="X91" s="2" t="str">
        <f>IFERROR(__xludf.DUMMYFUNCTION("""COMPUTED_VALUE"""),"N/A")</f>
        <v>N/A</v>
      </c>
      <c r="Y91" s="2" t="str">
        <f>IFERROR(__xludf.DUMMYFUNCTION("""COMPUTED_VALUE"""),"KFS  //  waiting sa email add ni farmer")</f>
        <v>KFS  //  waiting sa email add ni farmer</v>
      </c>
      <c r="Z91" s="2"/>
      <c r="AA91" s="2"/>
      <c r="AB91" s="2"/>
      <c r="AC91" s="2"/>
      <c r="AD91" s="2"/>
      <c r="AE91" s="2"/>
      <c r="AF91" s="2"/>
      <c r="AG91" s="2"/>
      <c r="AH91" s="2"/>
      <c r="AI91" s="2"/>
      <c r="AJ91" s="2" t="str">
        <f>IFERROR(__xludf.DUMMYFUNCTION("""COMPUTED_VALUE"""),"New Tanglag")</f>
        <v>New Tanglag</v>
      </c>
      <c r="AK91" s="2" t="str">
        <f>IFERROR(__xludf.DUMMYFUNCTION("""COMPUTED_VALUE"""),"Tabuk City")</f>
        <v>Tabuk City</v>
      </c>
      <c r="AL91" s="2" t="str">
        <f>IFERROR(__xludf.DUMMYFUNCTION("""COMPUTED_VALUE"""),"Kalinga")</f>
        <v>Kalinga</v>
      </c>
      <c r="AM91" s="2" t="str">
        <f>IFERROR(__xludf.DUMMYFUNCTION("""COMPUTED_VALUE"""),"CAR")</f>
        <v>CAR</v>
      </c>
      <c r="AN91" s="2" t="str">
        <f>IFERROR(__xludf.DUMMYFUNCTION("""COMPUTED_VALUE"""),"RCEF 23-09-21 Rebidding")</f>
        <v>RCEF 23-09-21 Rebidding</v>
      </c>
      <c r="AO91" s="2">
        <f>IFERROR(__xludf.DUMMYFUNCTION("""COMPUTED_VALUE"""),1.0)</f>
        <v>1</v>
      </c>
      <c r="AP91" s="2"/>
      <c r="AQ91" s="2"/>
      <c r="AR91" s="2"/>
      <c r="AS91" s="2"/>
      <c r="AT91" s="2"/>
      <c r="AU91" s="2"/>
      <c r="AV91" s="2"/>
      <c r="AW91" s="2"/>
      <c r="AX91" s="2"/>
      <c r="AY91" s="2"/>
      <c r="AZ91" s="2"/>
      <c r="BA91" s="2"/>
      <c r="BB91" s="2"/>
    </row>
    <row r="92">
      <c r="A92" s="2">
        <f>IFERROR(__xludf.DUMMYFUNCTION("""COMPUTED_VALUE"""),88.0)</f>
        <v>88</v>
      </c>
      <c r="B92" s="2" t="str">
        <f>IFERROR(__xludf.DUMMYFUNCTION("""COMPUTED_VALUE"""),"COMPLETED")</f>
        <v>COMPLETED</v>
      </c>
      <c r="C92" s="74">
        <f>IFERROR(__xludf.DUMMYFUNCTION("""COMPUTED_VALUE"""),45419.0)</f>
        <v>45419</v>
      </c>
      <c r="D92" s="71" t="str">
        <f>IFERROR(__xludf.DUMMYFUNCTION("""COMPUTED_VALUE"""),"ALISTO STO. NINO FARMERS ASSOCIATION INC.")</f>
        <v>ALISTO STO. NINO FARMERS ASSOCIATION INC.</v>
      </c>
      <c r="E92" s="71" t="str">
        <f>IFERROR(__xludf.DUMMYFUNCTION("""COMPUTED_VALUE"""),"Santo Niño, Binalonan, PANGASINAN")</f>
        <v>Santo Niño, Binalonan, PANGASINAN</v>
      </c>
      <c r="F92" s="2" t="str">
        <f>IFERROR(__xludf.DUMMYFUNCTION("""COMPUTED_VALUE"""),"JERICHO GABOT")</f>
        <v>JERICHO GABOT</v>
      </c>
      <c r="G92" s="2">
        <f>IFERROR(__xludf.DUMMYFUNCTION("""COMPUTED_VALUE"""),9.194478358E9)</f>
        <v>9194478358</v>
      </c>
      <c r="H92" s="2">
        <f>IFERROR(__xludf.DUMMYFUNCTION("""COMPUTED_VALUE"""),10.2)</f>
        <v>10.2</v>
      </c>
      <c r="I92" s="72" t="str">
        <f>IFERROR(__xludf.DUMMYFUNCTION("""COMPUTED_VALUE"""),"REPAIR - TRACTOR")</f>
        <v>REPAIR - TRACTOR</v>
      </c>
      <c r="J92" s="72" t="str">
        <f>IFERROR(__xludf.DUMMYFUNCTION("""COMPUTED_VALUE"""),"Transmission - Clutch")</f>
        <v>Transmission - Clutch</v>
      </c>
      <c r="K92" s="72" t="str">
        <f>IFERROR(__xludf.DUMMYFUNCTION("""COMPUTED_VALUE"""),"AYAW KUMAMBYO NG ABC (CLUTCH LINING)")</f>
        <v>AYAW KUMAMBYO NG ABC (CLUTCH LINING)</v>
      </c>
      <c r="L92" s="72" t="str">
        <f>IFERROR(__xludf.DUMMYFUNCTION("""COMPUTED_VALUE"""),"CLUTCH ADJUSTMENT, HINDI NAGAMIT ANG PARTS (CLUTCH LINING) OPERATIONAL")</f>
        <v>CLUTCH ADJUSTMENT, HINDI NAGAMIT ANG PARTS (CLUTCH LINING) OPERATIONAL</v>
      </c>
      <c r="M92" s="2"/>
      <c r="N92" s="2"/>
      <c r="O92" s="2" t="str">
        <f>IFERROR(__xludf.DUMMYFUNCTION("""COMPUTED_VALUE"""),"JIE 230")</f>
        <v>JIE 230</v>
      </c>
      <c r="P92" s="2" t="str">
        <f>IFERROR(__xludf.DUMMYFUNCTION("""COMPUTED_VALUE"""),"230-Alisto Sto. Niño Farmers Association Inc..pdf")</f>
        <v>230-Alisto Sto. Niño Farmers Association Inc..pdf</v>
      </c>
      <c r="Q92" s="2" t="str">
        <f>IFERROR(__xludf.DUMMYFUNCTION("""COMPUTED_VALUE"""),"FOR PRINT")</f>
        <v>FOR PRINT</v>
      </c>
      <c r="R92" s="74">
        <f>IFERROR(__xludf.DUMMYFUNCTION("""COMPUTED_VALUE"""),45425.0)</f>
        <v>45425</v>
      </c>
      <c r="S92" s="2" t="str">
        <f>IFERROR(__xludf.DUMMYFUNCTION("""COMPUTED_VALUE"""),"JHP/DRM")</f>
        <v>JHP/DRM</v>
      </c>
      <c r="T92" s="73" t="str">
        <f>IFERROR(__xludf.DUMMYFUNCTION("""COMPUTED_VALUE""")," N/A ")</f>
        <v>N/A</v>
      </c>
      <c r="U92" s="73" t="str">
        <f>IFERROR(__xludf.DUMMYFUNCTION("""COMPUTED_VALUE""")," NO CHARGE ")</f>
        <v>NO CHARGE</v>
      </c>
      <c r="V92" s="2"/>
      <c r="W92" s="2" t="str">
        <f>IFERROR(__xludf.DUMMYFUNCTION("""COMPUTED_VALUE"""),"N/A")</f>
        <v>N/A</v>
      </c>
      <c r="X92" s="2" t="str">
        <f>IFERROR(__xludf.DUMMYFUNCTION("""COMPUTED_VALUE"""),"N/A")</f>
        <v>N/A</v>
      </c>
      <c r="Y92" s="2" t="str">
        <f>IFERROR(__xludf.DUMMYFUNCTION("""COMPUTED_VALUE"""),"JTT   // 5/13/24 MAGDALA NADIN SILA NG CLUTCH LINING")</f>
        <v>JTT   // 5/13/24 MAGDALA NADIN SILA NG CLUTCH LINING</v>
      </c>
      <c r="Z92" s="2"/>
      <c r="AA92" s="2"/>
      <c r="AB92" s="2"/>
      <c r="AC92" s="2"/>
      <c r="AD92" s="2"/>
      <c r="AE92" s="2"/>
      <c r="AF92" s="2"/>
      <c r="AG92" s="2"/>
      <c r="AH92" s="2"/>
      <c r="AI92" s="2"/>
      <c r="AJ92" s="2" t="str">
        <f>IFERROR(__xludf.DUMMYFUNCTION("""COMPUTED_VALUE"""),"Santo Niño")</f>
        <v>Santo Niño</v>
      </c>
      <c r="AK92" s="2" t="str">
        <f>IFERROR(__xludf.DUMMYFUNCTION("""COMPUTED_VALUE"""),"Binalonan")</f>
        <v>Binalonan</v>
      </c>
      <c r="AL92" s="2" t="str">
        <f>IFERROR(__xludf.DUMMYFUNCTION("""COMPUTED_VALUE"""),"Pangasinan")</f>
        <v>Pangasinan</v>
      </c>
      <c r="AM92" s="2">
        <f>IFERROR(__xludf.DUMMYFUNCTION("""COMPUTED_VALUE"""),1.0)</f>
        <v>1</v>
      </c>
      <c r="AN92" s="2" t="str">
        <f>IFERROR(__xludf.DUMMYFUNCTION("""COMPUTED_VALUE"""),"RCEF 23-09-21 Rebidding")</f>
        <v>RCEF 23-09-21 Rebidding</v>
      </c>
      <c r="AO92" s="2">
        <f>IFERROR(__xludf.DUMMYFUNCTION("""COMPUTED_VALUE"""),2.0)</f>
        <v>2</v>
      </c>
      <c r="AP92" s="2"/>
      <c r="AQ92" s="2"/>
      <c r="AR92" s="2"/>
      <c r="AS92" s="2"/>
      <c r="AT92" s="2"/>
      <c r="AU92" s="2"/>
      <c r="AV92" s="2"/>
      <c r="AW92" s="2"/>
      <c r="AX92" s="2"/>
      <c r="AY92" s="2"/>
      <c r="AZ92" s="2"/>
      <c r="BA92" s="2"/>
      <c r="BB92" s="2"/>
    </row>
    <row r="93">
      <c r="A93" s="2">
        <f>IFERROR(__xludf.DUMMYFUNCTION("""COMPUTED_VALUE"""),89.0)</f>
        <v>89</v>
      </c>
      <c r="B93" s="2" t="str">
        <f>IFERROR(__xludf.DUMMYFUNCTION("""COMPUTED_VALUE"""),"COMPLETED")</f>
        <v>COMPLETED</v>
      </c>
      <c r="C93" s="74">
        <f>IFERROR(__xludf.DUMMYFUNCTION("""COMPUTED_VALUE"""),45419.0)</f>
        <v>45419</v>
      </c>
      <c r="D93" s="71" t="str">
        <f>IFERROR(__xludf.DUMMYFUNCTION("""COMPUTED_VALUE"""),"D4-SAGUDAY IRRIGATORS ASSOCIATION, INC.")</f>
        <v>D4-SAGUDAY IRRIGATORS ASSOCIATION, INC.</v>
      </c>
      <c r="E93" s="71" t="str">
        <f>IFERROR(__xludf.DUMMYFUNCTION("""COMPUTED_VALUE"""),"Pinoma, Cauayan City, ISABELA")</f>
        <v>Pinoma, Cauayan City, ISABELA</v>
      </c>
      <c r="F93" s="2" t="str">
        <f>IFERROR(__xludf.DUMMYFUNCTION("""COMPUTED_VALUE"""),"Isaias G. Cargo")</f>
        <v>Isaias G. Cargo</v>
      </c>
      <c r="G93" s="2" t="str">
        <f>IFERROR(__xludf.DUMMYFUNCTION("""COMPUTED_VALUE"""),"9278896046  /  09360958043")</f>
        <v>9278896046  /  09360958043</v>
      </c>
      <c r="H93" s="2"/>
      <c r="I93" s="72" t="str">
        <f>IFERROR(__xludf.DUMMYFUNCTION("""COMPUTED_VALUE"""),"REPAIR - DISC PLOW")</f>
        <v>REPAIR - DISC PLOW</v>
      </c>
      <c r="J93" s="72" t="str">
        <f>IFERROR(__xludf.DUMMYFUNCTION("""COMPUTED_VALUE"""),"Propeller")</f>
        <v>Propeller</v>
      </c>
      <c r="K93" s="72" t="str">
        <f>IFERROR(__xludf.DUMMYFUNCTION("""COMPUTED_VALUE"""),"NAPUTOL NA PROPELLER (YORK SPINE)")</f>
        <v>NAPUTOL NA PROPELLER (YORK SPINE)</v>
      </c>
      <c r="L93" s="72" t="str">
        <f>IFERROR(__xludf.DUMMYFUNCTION("""COMPUTED_VALUE"""),"OK NA ANG DISC PLOW, NAILAGAY NA ANG BAGONG YORK, OK NA ULIT ANG UNIT")</f>
        <v>OK NA ANG DISC PLOW, NAILAGAY NA ANG BAGONG YORK, OK NA ULIT ANG UNIT</v>
      </c>
      <c r="M93" s="2"/>
      <c r="N93" s="2" t="str">
        <f>IFERROR(__xludf.DUMMYFUNCTION("""COMPUTED_VALUE"""),"YORK SPLINE")</f>
        <v>YORK SPLINE</v>
      </c>
      <c r="O93" s="2" t="str">
        <f>IFERROR(__xludf.DUMMYFUNCTION("""COMPUTED_VALUE"""),"JIE 232")</f>
        <v>JIE 232</v>
      </c>
      <c r="P93" s="2"/>
      <c r="Q93" s="2" t="str">
        <f>IFERROR(__xludf.DUMMYFUNCTION("""COMPUTED_VALUE"""),"FOR PRINT")</f>
        <v>FOR PRINT</v>
      </c>
      <c r="R93" s="74">
        <f>IFERROR(__xludf.DUMMYFUNCTION("""COMPUTED_VALUE"""),45439.0)</f>
        <v>45439</v>
      </c>
      <c r="S93" s="2" t="str">
        <f>IFERROR(__xludf.DUMMYFUNCTION("""COMPUTED_VALUE"""),"MYKEE")</f>
        <v>MYKEE</v>
      </c>
      <c r="T93" s="73" t="str">
        <f>IFERROR(__xludf.DUMMYFUNCTION("""COMPUTED_VALUE""")," N/A ")</f>
        <v>N/A</v>
      </c>
      <c r="U93" s="73" t="str">
        <f>IFERROR(__xludf.DUMMYFUNCTION("""COMPUTED_VALUE""")," NO CHARGE ")</f>
        <v>NO CHARGE</v>
      </c>
      <c r="V93" s="2"/>
      <c r="W93" s="2" t="str">
        <f>IFERROR(__xludf.DUMMYFUNCTION("""COMPUTED_VALUE"""),"N/A")</f>
        <v>N/A</v>
      </c>
      <c r="X93" s="2" t="str">
        <f>IFERROR(__xludf.DUMMYFUNCTION("""COMPUTED_VALUE"""),"N/A")</f>
        <v>N/A</v>
      </c>
      <c r="Y93" s="2"/>
      <c r="Z93" s="2"/>
      <c r="AA93" s="2"/>
      <c r="AB93" s="2"/>
      <c r="AC93" s="2" t="str">
        <f>IFERROR(__xludf.DUMMYFUNCTION("""COMPUTED_VALUE"""),"Y")</f>
        <v>Y</v>
      </c>
      <c r="AD93" s="2"/>
      <c r="AE93" s="2"/>
      <c r="AF93" s="2"/>
      <c r="AG93" s="2"/>
      <c r="AH93" s="2"/>
      <c r="AI93" s="2"/>
      <c r="AJ93" s="2" t="str">
        <f>IFERROR(__xludf.DUMMYFUNCTION("""COMPUTED_VALUE"""),"Pinoma")</f>
        <v>Pinoma</v>
      </c>
      <c r="AK93" s="2" t="str">
        <f>IFERROR(__xludf.DUMMYFUNCTION("""COMPUTED_VALUE"""),"Cauayan City")</f>
        <v>Cauayan City</v>
      </c>
      <c r="AL93" s="2" t="str">
        <f>IFERROR(__xludf.DUMMYFUNCTION("""COMPUTED_VALUE"""),"Isabela")</f>
        <v>Isabela</v>
      </c>
      <c r="AM93" s="2">
        <f>IFERROR(__xludf.DUMMYFUNCTION("""COMPUTED_VALUE"""),2.0)</f>
        <v>2</v>
      </c>
      <c r="AN93" s="2" t="str">
        <f>IFERROR(__xludf.DUMMYFUNCTION("""COMPUTED_VALUE"""),"RCEF 23-09-21 Rebidding")</f>
        <v>RCEF 23-09-21 Rebidding</v>
      </c>
      <c r="AO93" s="2">
        <f>IFERROR(__xludf.DUMMYFUNCTION("""COMPUTED_VALUE"""),9.0)</f>
        <v>9</v>
      </c>
      <c r="AP93" s="2"/>
      <c r="AQ93" s="2"/>
      <c r="AR93" s="2"/>
      <c r="AS93" s="2"/>
      <c r="AT93" s="2"/>
      <c r="AU93" s="2"/>
      <c r="AV93" s="2"/>
      <c r="AW93" s="2"/>
      <c r="AX93" s="2"/>
      <c r="AY93" s="2"/>
      <c r="AZ93" s="2"/>
      <c r="BA93" s="2"/>
      <c r="BB93" s="2"/>
    </row>
    <row r="94">
      <c r="A94" s="2">
        <f>IFERROR(__xludf.DUMMYFUNCTION("""COMPUTED_VALUE"""),90.0)</f>
        <v>90</v>
      </c>
      <c r="B94" s="2" t="str">
        <f>IFERROR(__xludf.DUMMYFUNCTION("""COMPUTED_VALUE"""),"COMPLETED")</f>
        <v>COMPLETED</v>
      </c>
      <c r="C94" s="74">
        <f>IFERROR(__xludf.DUMMYFUNCTION("""COMPUTED_VALUE"""),45419.0)</f>
        <v>45419</v>
      </c>
      <c r="D94" s="71" t="str">
        <f>IFERROR(__xludf.DUMMYFUNCTION("""COMPUTED_VALUE"""),"TUMBAGA I BUCAL IRRIGATORS ASSOCIATION, INC.")</f>
        <v>TUMBAGA I BUCAL IRRIGATORS ASSOCIATION, INC.</v>
      </c>
      <c r="E94" s="71" t="str">
        <f>IFERROR(__xludf.DUMMYFUNCTION("""COMPUTED_VALUE"""),"Tumbaga I, Sariaya, Quezon")</f>
        <v>Tumbaga I, Sariaya, Quezon</v>
      </c>
      <c r="F94" s="2" t="str">
        <f>IFERROR(__xludf.DUMMYFUNCTION("""COMPUTED_VALUE"""),"MARGARITA SARMIENTO")</f>
        <v>MARGARITA SARMIENTO</v>
      </c>
      <c r="G94" s="2">
        <f>IFERROR(__xludf.DUMMYFUNCTION("""COMPUTED_VALUE"""),9.175975537E9)</f>
        <v>9175975537</v>
      </c>
      <c r="H94" s="2">
        <f>IFERROR(__xludf.DUMMYFUNCTION("""COMPUTED_VALUE"""),1.3)</f>
        <v>1.3</v>
      </c>
      <c r="I94" s="72" t="str">
        <f>IFERROR(__xludf.DUMMYFUNCTION("""COMPUTED_VALUE"""),"REPAIR - TRACTOR")</f>
        <v>REPAIR - TRACTOR</v>
      </c>
      <c r="J94" s="72" t="str">
        <f>IFERROR(__xludf.DUMMYFUNCTION("""COMPUTED_VALUE"""),"Hydraulic Hose Leak")</f>
        <v>Hydraulic Hose Leak</v>
      </c>
      <c r="K94" s="72" t="str">
        <f>IFERROR(__xludf.DUMMYFUNCTION("""COMPUTED_VALUE"""),"HYDRAULIC HOSE LEAK")</f>
        <v>HYDRAULIC HOSE LEAK</v>
      </c>
      <c r="L94" s="72" t="str">
        <f>IFERROR(__xludf.DUMMYFUNCTION("""COMPUTED_VALUE"""),"TRAINING (BASIC OPERATION, TROUBLESHOOTING, MAINTENANCE, AND ACTUAL OPERATION)")</f>
        <v>TRAINING (BASIC OPERATION, TROUBLESHOOTING, MAINTENANCE, AND ACTUAL OPERATION)</v>
      </c>
      <c r="M94" s="2"/>
      <c r="N94" s="2"/>
      <c r="O94" s="2" t="str">
        <f>IFERROR(__xludf.DUMMYFUNCTION("""COMPUTED_VALUE"""),"JIE 233")</f>
        <v>JIE 233</v>
      </c>
      <c r="P94" s="2"/>
      <c r="Q94" s="2" t="str">
        <f>IFERROR(__xludf.DUMMYFUNCTION("""COMPUTED_VALUE"""),"FOR PRINT")</f>
        <v>FOR PRINT</v>
      </c>
      <c r="R94" s="74">
        <f>IFERROR(__xludf.DUMMYFUNCTION("""COMPUTED_VALUE"""),45447.0)</f>
        <v>45447</v>
      </c>
      <c r="S94" s="2" t="str">
        <f>IFERROR(__xludf.DUMMYFUNCTION("""COMPUTED_VALUE"""),"CCB/JTT")</f>
        <v>CCB/JTT</v>
      </c>
      <c r="T94" s="73" t="str">
        <f>IFERROR(__xludf.DUMMYFUNCTION("""COMPUTED_VALUE""")," N/A ")</f>
        <v>N/A</v>
      </c>
      <c r="U94" s="73" t="str">
        <f>IFERROR(__xludf.DUMMYFUNCTION("""COMPUTED_VALUE""")," NO CHARGE ")</f>
        <v>NO CHARGE</v>
      </c>
      <c r="V94" s="2"/>
      <c r="W94" s="2" t="str">
        <f>IFERROR(__xludf.DUMMYFUNCTION("""COMPUTED_VALUE"""),"N/A")</f>
        <v>N/A</v>
      </c>
      <c r="X94" s="2" t="str">
        <f>IFERROR(__xludf.DUMMYFUNCTION("""COMPUTED_VALUE"""),"N/A")</f>
        <v>N/A</v>
      </c>
      <c r="Y94" s="2" t="str">
        <f>IFERROR(__xludf.DUMMYFUNCTION("""COMPUTED_VALUE"""),"JHP   // CALL  JTT 5/11/24")</f>
        <v>JHP   // CALL  JTT 5/11/24</v>
      </c>
      <c r="Z94" s="2"/>
      <c r="AA94" s="2"/>
      <c r="AB94" s="2"/>
      <c r="AC94" s="2"/>
      <c r="AD94" s="2"/>
      <c r="AE94" s="2"/>
      <c r="AF94" s="2"/>
      <c r="AG94" s="2"/>
      <c r="AH94" s="2"/>
      <c r="AI94" s="2"/>
      <c r="AJ94" s="2" t="str">
        <f>IFERROR(__xludf.DUMMYFUNCTION("""COMPUTED_VALUE"""),"Tumbaga I")</f>
        <v>Tumbaga I</v>
      </c>
      <c r="AK94" s="2" t="str">
        <f>IFERROR(__xludf.DUMMYFUNCTION("""COMPUTED_VALUE"""),"Sariaya")</f>
        <v>Sariaya</v>
      </c>
      <c r="AL94" s="2" t="str">
        <f>IFERROR(__xludf.DUMMYFUNCTION("""COMPUTED_VALUE"""),"Quezon")</f>
        <v>Quezon</v>
      </c>
      <c r="AM94" s="2" t="str">
        <f>IFERROR(__xludf.DUMMYFUNCTION("""COMPUTED_VALUE"""),"4A")</f>
        <v>4A</v>
      </c>
      <c r="AN94" s="2" t="str">
        <f>IFERROR(__xludf.DUMMYFUNCTION("""COMPUTED_VALUE"""),"RCEF 23-08-20 Rebidding")</f>
        <v>RCEF 23-08-20 Rebidding</v>
      </c>
      <c r="AO94" s="2">
        <f>IFERROR(__xludf.DUMMYFUNCTION("""COMPUTED_VALUE"""),1.0)</f>
        <v>1</v>
      </c>
      <c r="AP94" s="2"/>
      <c r="AQ94" s="2"/>
      <c r="AR94" s="2"/>
      <c r="AS94" s="2"/>
      <c r="AT94" s="2"/>
      <c r="AU94" s="2"/>
      <c r="AV94" s="2"/>
      <c r="AW94" s="2"/>
      <c r="AX94" s="2"/>
      <c r="AY94" s="2"/>
      <c r="AZ94" s="2"/>
      <c r="BA94" s="2"/>
      <c r="BB94" s="2"/>
    </row>
    <row r="95">
      <c r="A95" s="2">
        <f>IFERROR(__xludf.DUMMYFUNCTION("""COMPUTED_VALUE"""),91.0)</f>
        <v>91</v>
      </c>
      <c r="B95" s="2" t="str">
        <f>IFERROR(__xludf.DUMMYFUNCTION("""COMPUTED_VALUE"""),"COMPLETED")</f>
        <v>COMPLETED</v>
      </c>
      <c r="C95" s="74">
        <f>IFERROR(__xludf.DUMMYFUNCTION("""COMPUTED_VALUE"""),45419.0)</f>
        <v>45419</v>
      </c>
      <c r="D95" s="71" t="str">
        <f>IFERROR(__xludf.DUMMYFUNCTION("""COMPUTED_VALUE"""),"Masalipit Small Water Irrigation System Association Inc.")</f>
        <v>Masalipit Small Water Irrigation System Association Inc.</v>
      </c>
      <c r="E95" s="71" t="str">
        <f>IFERROR(__xludf.DUMMYFUNCTION("""COMPUTED_VALUE"""),"Masalipit, San Miguel, BULACAN")</f>
        <v>Masalipit, San Miguel, BULACAN</v>
      </c>
      <c r="F95" s="2" t="str">
        <f>IFERROR(__xludf.DUMMYFUNCTION("""COMPUTED_VALUE"""),"Bernardo S. Lusano")</f>
        <v>Bernardo S. Lusano</v>
      </c>
      <c r="G95" s="2" t="str">
        <f>IFERROR(__xludf.DUMMYFUNCTION("""COMPUTED_VALUE"""),"0935-952-6857")</f>
        <v>0935-952-6857</v>
      </c>
      <c r="H95" s="2">
        <f>IFERROR(__xludf.DUMMYFUNCTION("""COMPUTED_VALUE"""),147.0)</f>
        <v>147</v>
      </c>
      <c r="I95" s="72" t="str">
        <f>IFERROR(__xludf.DUMMYFUNCTION("""COMPUTED_VALUE"""),"PMS")</f>
        <v>PMS</v>
      </c>
      <c r="J95" s="72" t="str">
        <f>IFERROR(__xludf.DUMMYFUNCTION("""COMPUTED_VALUE"""),"PMS")</f>
        <v>PMS</v>
      </c>
      <c r="K95" s="72" t="str">
        <f>IFERROR(__xludf.DUMMYFUNCTION("""COMPUTED_VALUE"""),"FIRTS PMS")</f>
        <v>FIRTS PMS</v>
      </c>
      <c r="L95" s="72" t="str">
        <f>IFERROR(__xludf.DUMMYFUNCTION("""COMPUTED_VALUE"""),"CHANGE OIL")</f>
        <v>CHANGE OIL</v>
      </c>
      <c r="M95" s="2"/>
      <c r="N95" s="2" t="str">
        <f>IFERROR(__xludf.DUMMYFUNCTION("""COMPUTED_VALUE"""),"OIL FILTER")</f>
        <v>OIL FILTER</v>
      </c>
      <c r="O95" s="2" t="str">
        <f>IFERROR(__xludf.DUMMYFUNCTION("""COMPUTED_VALUE"""),"JIE 231")</f>
        <v>JIE 231</v>
      </c>
      <c r="P95" s="2"/>
      <c r="Q95" s="2" t="str">
        <f>IFERROR(__xludf.DUMMYFUNCTION("""COMPUTED_VALUE"""),"FOR PRINT")</f>
        <v>FOR PRINT</v>
      </c>
      <c r="R95" s="74">
        <f>IFERROR(__xludf.DUMMYFUNCTION("""COMPUTED_VALUE"""),45426.0)</f>
        <v>45426</v>
      </c>
      <c r="S95" s="2" t="str">
        <f>IFERROR(__xludf.DUMMYFUNCTION("""COMPUTED_VALUE"""),"RBS")</f>
        <v>RBS</v>
      </c>
      <c r="T95" s="73">
        <f>IFERROR(__xludf.DUMMYFUNCTION("""COMPUTED_VALUE"""),2837.5)</f>
        <v>2837.5</v>
      </c>
      <c r="U95" s="73" t="str">
        <f>IFERROR(__xludf.DUMMYFUNCTION("""COMPUTED_VALUE""")," REMITTED ")</f>
        <v>REMITTED</v>
      </c>
      <c r="V95" s="2"/>
      <c r="W95" s="2"/>
      <c r="X95" s="2">
        <f>IFERROR(__xludf.DUMMYFUNCTION("""COMPUTED_VALUE"""),1096.0)</f>
        <v>1096</v>
      </c>
      <c r="Y95" s="2" t="str">
        <f>IFERROR(__xludf.DUMMYFUNCTION("""COMPUTED_VALUE"""),"JOEY  // NEXTWEEK, DATE AND TECH TO BE  DECIDED")</f>
        <v>JOEY  // NEXTWEEK, DATE AND TECH TO BE  DECIDED</v>
      </c>
      <c r="Z95" s="2"/>
      <c r="AA95" s="2"/>
      <c r="AB95" s="2"/>
      <c r="AC95" s="2"/>
      <c r="AD95" s="2"/>
      <c r="AE95" s="2"/>
      <c r="AF95" s="2"/>
      <c r="AG95" s="2"/>
      <c r="AH95" s="2"/>
      <c r="AI95" s="2"/>
      <c r="AJ95" s="2" t="str">
        <f>IFERROR(__xludf.DUMMYFUNCTION("""COMPUTED_VALUE"""),"Masalipit")</f>
        <v>Masalipit</v>
      </c>
      <c r="AK95" s="2" t="str">
        <f>IFERROR(__xludf.DUMMYFUNCTION("""COMPUTED_VALUE"""),"San Miguel")</f>
        <v>San Miguel</v>
      </c>
      <c r="AL95" s="2" t="str">
        <f>IFERROR(__xludf.DUMMYFUNCTION("""COMPUTED_VALUE"""),"Bulacan")</f>
        <v>Bulacan</v>
      </c>
      <c r="AM95" s="2">
        <f>IFERROR(__xludf.DUMMYFUNCTION("""COMPUTED_VALUE"""),3.0)</f>
        <v>3</v>
      </c>
      <c r="AN95" s="2" t="str">
        <f>IFERROR(__xludf.DUMMYFUNCTION("""COMPUTED_VALUE"""),"RCEF 23-09-21 Rebidding")</f>
        <v>RCEF 23-09-21 Rebidding</v>
      </c>
      <c r="AO95" s="2">
        <f>IFERROR(__xludf.DUMMYFUNCTION("""COMPUTED_VALUE"""),3.0)</f>
        <v>3</v>
      </c>
      <c r="AP95" s="2"/>
      <c r="AQ95" s="2"/>
      <c r="AR95" s="2"/>
      <c r="AS95" s="2"/>
      <c r="AT95" s="2"/>
      <c r="AU95" s="2"/>
      <c r="AV95" s="2"/>
      <c r="AW95" s="2"/>
      <c r="AX95" s="2"/>
      <c r="AY95" s="2"/>
      <c r="AZ95" s="2"/>
      <c r="BA95" s="2"/>
      <c r="BB95" s="2"/>
    </row>
    <row r="96">
      <c r="A96" s="2">
        <f>IFERROR(__xludf.DUMMYFUNCTION("""COMPUTED_VALUE"""),92.0)</f>
        <v>92</v>
      </c>
      <c r="B96" s="2" t="str">
        <f>IFERROR(__xludf.DUMMYFUNCTION("""COMPUTED_VALUE"""),"COMPLETED")</f>
        <v>COMPLETED</v>
      </c>
      <c r="C96" s="74">
        <f>IFERROR(__xludf.DUMMYFUNCTION("""COMPUTED_VALUE"""),45419.0)</f>
        <v>45419</v>
      </c>
      <c r="D96" s="71" t="str">
        <f>IFERROR(__xludf.DUMMYFUNCTION("""COMPUTED_VALUE"""),"SAMAHAN NG MAGSASAKA NG JC PAYUMO JR. DINALUPIHAN BATAAN")</f>
        <v>SAMAHAN NG MAGSASAKA NG JC PAYUMO JR. DINALUPIHAN BATAAN</v>
      </c>
      <c r="E96" s="71" t="str">
        <f>IFERROR(__xludf.DUMMYFUNCTION("""COMPUTED_VALUE"""),"""Jose C. Payumo Jr."", Dinalupihan, BATAAN")</f>
        <v>"Jose C. Payumo Jr.", Dinalupihan, BATAAN</v>
      </c>
      <c r="F96" s="2" t="str">
        <f>IFERROR(__xludf.DUMMYFUNCTION("""COMPUTED_VALUE"""),"OLIVER F. TAN")</f>
        <v>OLIVER F. TAN</v>
      </c>
      <c r="G96" s="2" t="str">
        <f>IFERROR(__xludf.DUMMYFUNCTION("""COMPUTED_VALUE"""),"09089195594 / 092622468245")</f>
        <v>09089195594 / 092622468245</v>
      </c>
      <c r="H96" s="2"/>
      <c r="I96" s="72" t="str">
        <f>IFERROR(__xludf.DUMMYFUNCTION("""COMPUTED_VALUE"""),"SPARE PARTS ACQUISITION")</f>
        <v>SPARE PARTS ACQUISITION</v>
      </c>
      <c r="J96" s="72" t="str">
        <f>IFERROR(__xludf.DUMMYFUNCTION("""COMPUTED_VALUE"""),"SPARE PARTS ACQUISITION")</f>
        <v>SPARE PARTS ACQUISITION</v>
      </c>
      <c r="K96" s="72" t="str">
        <f>IFERROR(__xludf.DUMMYFUNCTION("""COMPUTED_VALUE"""),"PTO SWITCH")</f>
        <v>PTO SWITCH</v>
      </c>
      <c r="L96" s="72" t="str">
        <f>IFERROR(__xludf.DUMMYFUNCTION("""COMPUTED_VALUE"""),"FCA: PTO SWITCH PICK UP AT SAN SIMON WH")</f>
        <v>FCA: PTO SWITCH PICK UP AT SAN SIMON WH</v>
      </c>
      <c r="M96" s="2"/>
      <c r="N96" s="2" t="str">
        <f>IFERROR(__xludf.DUMMYFUNCTION("""COMPUTED_VALUE"""),"PTO SWITCH")</f>
        <v>PTO SWITCH</v>
      </c>
      <c r="O96" s="2" t="str">
        <f>IFERROR(__xludf.DUMMYFUNCTION("""COMPUTED_VALUE"""),"N/A")</f>
        <v>N/A</v>
      </c>
      <c r="P96" s="2"/>
      <c r="Q96" s="2"/>
      <c r="R96" s="74">
        <f>IFERROR(__xludf.DUMMYFUNCTION("""COMPUTED_VALUE"""),45420.0)</f>
        <v>45420</v>
      </c>
      <c r="S96" s="2" t="str">
        <f>IFERROR(__xludf.DUMMYFUNCTION("""COMPUTED_VALUE"""),"CFG")</f>
        <v>CFG</v>
      </c>
      <c r="T96" s="73">
        <f>IFERROR(__xludf.DUMMYFUNCTION("""COMPUTED_VALUE"""),4410.0)</f>
        <v>4410</v>
      </c>
      <c r="U96" s="73" t="str">
        <f>IFERROR(__xludf.DUMMYFUNCTION("""COMPUTED_VALUE""")," REMITTED ")</f>
        <v>REMITTED</v>
      </c>
      <c r="V96" s="2"/>
      <c r="W96" s="2"/>
      <c r="X96" s="2">
        <f>IFERROR(__xludf.DUMMYFUNCTION("""COMPUTED_VALUE"""),1092.0)</f>
        <v>1092</v>
      </c>
      <c r="Y96" s="2" t="str">
        <f>IFERROR(__xludf.DUMMYFUNCTION("""COMPUTED_VALUE"""),"KFS")</f>
        <v>KFS</v>
      </c>
      <c r="Z96" s="2"/>
      <c r="AA96" s="2"/>
      <c r="AB96" s="2"/>
      <c r="AC96" s="2"/>
      <c r="AD96" s="2"/>
      <c r="AE96" s="2"/>
      <c r="AF96" s="2"/>
      <c r="AG96" s="2"/>
      <c r="AH96" s="2"/>
      <c r="AI96" s="2"/>
      <c r="AJ96" s="2" t="str">
        <f>IFERROR(__xludf.DUMMYFUNCTION("""COMPUTED_VALUE"""),"""Jose C. Payumo Jr.""")</f>
        <v>"Jose C. Payumo Jr."</v>
      </c>
      <c r="AK96" s="2" t="str">
        <f>IFERROR(__xludf.DUMMYFUNCTION("""COMPUTED_VALUE"""),"Dinalupihan")</f>
        <v>Dinalupihan</v>
      </c>
      <c r="AL96" s="2" t="str">
        <f>IFERROR(__xludf.DUMMYFUNCTION("""COMPUTED_VALUE"""),"Bataan")</f>
        <v>Bataan</v>
      </c>
      <c r="AM96" s="2">
        <f>IFERROR(__xludf.DUMMYFUNCTION("""COMPUTED_VALUE"""),3.0)</f>
        <v>3</v>
      </c>
      <c r="AN96" s="2" t="str">
        <f>IFERROR(__xludf.DUMMYFUNCTION("""COMPUTED_VALUE"""),"RCEF 23-09-21 Rebidding")</f>
        <v>RCEF 23-09-21 Rebidding</v>
      </c>
      <c r="AO96" s="2">
        <f>IFERROR(__xludf.DUMMYFUNCTION("""COMPUTED_VALUE"""),9.0)</f>
        <v>9</v>
      </c>
      <c r="AP96" s="2"/>
      <c r="AQ96" s="2"/>
      <c r="AR96" s="2"/>
      <c r="AS96" s="2"/>
      <c r="AT96" s="2"/>
      <c r="AU96" s="2"/>
      <c r="AV96" s="2"/>
      <c r="AW96" s="2"/>
      <c r="AX96" s="2"/>
      <c r="AY96" s="2"/>
      <c r="AZ96" s="2"/>
      <c r="BA96" s="2"/>
      <c r="BB96" s="2"/>
    </row>
    <row r="97">
      <c r="A97" s="2">
        <f>IFERROR(__xludf.DUMMYFUNCTION("""COMPUTED_VALUE"""),93.0)</f>
        <v>93</v>
      </c>
      <c r="B97" s="2" t="str">
        <f>IFERROR(__xludf.DUMMYFUNCTION("""COMPUTED_VALUE"""),"COMPLETED")</f>
        <v>COMPLETED</v>
      </c>
      <c r="C97" s="74">
        <f>IFERROR(__xludf.DUMMYFUNCTION("""COMPUTED_VALUE"""),45420.0)</f>
        <v>45420</v>
      </c>
      <c r="D97" s="71" t="str">
        <f>IFERROR(__xludf.DUMMYFUNCTION("""COMPUTED_VALUE"""),"BAGONG SAMAHAN NG MAGSASAKA NG PILA, LAGUNA, INC.")</f>
        <v>BAGONG SAMAHAN NG MAGSASAKA NG PILA, LAGUNA, INC.</v>
      </c>
      <c r="E97" s="71" t="str">
        <f>IFERROR(__xludf.DUMMYFUNCTION("""COMPUTED_VALUE"""),"STA CLARA SUR, PILA, LAGUNA")</f>
        <v>STA CLARA SUR, PILA, LAGUNA</v>
      </c>
      <c r="F97" s="2" t="str">
        <f>IFERROR(__xludf.DUMMYFUNCTION("""COMPUTED_VALUE"""),"ERNESTO NAPAO")</f>
        <v>ERNESTO NAPAO</v>
      </c>
      <c r="G97" s="2" t="str">
        <f>IFERROR(__xludf.DUMMYFUNCTION("""COMPUTED_VALUE"""),"0948-4949-635")</f>
        <v>0948-4949-635</v>
      </c>
      <c r="H97" s="2"/>
      <c r="I97" s="72" t="str">
        <f>IFERROR(__xludf.DUMMYFUNCTION("""COMPUTED_VALUE"""),"REPAIR - DISC PLOW")</f>
        <v>REPAIR - DISC PLOW</v>
      </c>
      <c r="J97" s="72" t="str">
        <f>IFERROR(__xludf.DUMMYFUNCTION("""COMPUTED_VALUE"""),"Training")</f>
        <v>Training</v>
      </c>
      <c r="K97" s="72" t="str">
        <f>IFERROR(__xludf.DUMMYFUNCTION("""COMPUTED_VALUE"""),"HINDI NAIKOT ANG DISC PLOW")</f>
        <v>HINDI NAIKOT ANG DISC PLOW</v>
      </c>
      <c r="L97" s="72" t="str">
        <f>IFERROR(__xludf.DUMMYFUNCTION("""COMPUTED_VALUE"""),"OPERATOR ERROR HINDI PININDOT ANG PTO SWITCH KAYA AYAW UMIKOT NG DISC PLOW")</f>
        <v>OPERATOR ERROR HINDI PININDOT ANG PTO SWITCH KAYA AYAW UMIKOT NG DISC PLOW</v>
      </c>
      <c r="M97" s="2"/>
      <c r="N97" s="2"/>
      <c r="O97" s="2" t="str">
        <f>IFERROR(__xludf.DUMMYFUNCTION("""COMPUTED_VALUE"""),"N/A")</f>
        <v>N/A</v>
      </c>
      <c r="P97" s="2"/>
      <c r="Q97" s="2"/>
      <c r="R97" s="74">
        <f>IFERROR(__xludf.DUMMYFUNCTION("""COMPUTED_VALUE"""),45423.0)</f>
        <v>45423</v>
      </c>
      <c r="S97" s="2" t="str">
        <f>IFERROR(__xludf.DUMMYFUNCTION("""COMPUTED_VALUE"""),"JTT")</f>
        <v>JTT</v>
      </c>
      <c r="T97" s="73" t="str">
        <f>IFERROR(__xludf.DUMMYFUNCTION("""COMPUTED_VALUE""")," N/A ")</f>
        <v>N/A</v>
      </c>
      <c r="U97" s="73" t="str">
        <f>IFERROR(__xludf.DUMMYFUNCTION("""COMPUTED_VALUE""")," NO CHARGE ")</f>
        <v>NO CHARGE</v>
      </c>
      <c r="V97" s="2"/>
      <c r="W97" s="2" t="str">
        <f>IFERROR(__xludf.DUMMYFUNCTION("""COMPUTED_VALUE"""),"N/A")</f>
        <v>N/A</v>
      </c>
      <c r="X97" s="2" t="str">
        <f>IFERROR(__xludf.DUMMYFUNCTION("""COMPUTED_VALUE"""),"N/A")</f>
        <v>N/A</v>
      </c>
      <c r="Y97" s="2" t="str">
        <f>IFERROR(__xludf.DUMMYFUNCTION("""COMPUTED_VALUE"""),"PPS //  OK NA WAITING NALANG SA ACCOMPLISHMENT REPORT")</f>
        <v>PPS //  OK NA WAITING NALANG SA ACCOMPLISHMENT REPORT</v>
      </c>
      <c r="Z97" s="2"/>
      <c r="AA97" s="2"/>
      <c r="AB97" s="2"/>
      <c r="AC97" s="2"/>
      <c r="AD97" s="2"/>
      <c r="AE97" s="2"/>
      <c r="AF97" s="2"/>
      <c r="AG97" s="2"/>
      <c r="AH97" s="2"/>
      <c r="AI97" s="2"/>
      <c r="AJ97" s="2" t="str">
        <f>IFERROR(__xludf.DUMMYFUNCTION("""COMPUTED_VALUE"""),"Sta Clara Sur")</f>
        <v>Sta Clara Sur</v>
      </c>
      <c r="AK97" s="2" t="str">
        <f>IFERROR(__xludf.DUMMYFUNCTION("""COMPUTED_VALUE"""),"Pila")</f>
        <v>Pila</v>
      </c>
      <c r="AL97" s="2" t="str">
        <f>IFERROR(__xludf.DUMMYFUNCTION("""COMPUTED_VALUE"""),"Laguna")</f>
        <v>Laguna</v>
      </c>
      <c r="AM97" s="2" t="str">
        <f>IFERROR(__xludf.DUMMYFUNCTION("""COMPUTED_VALUE"""),"4A")</f>
        <v>4A</v>
      </c>
      <c r="AN97" s="2" t="str">
        <f>IFERROR(__xludf.DUMMYFUNCTION("""COMPUTED_VALUE"""),"RCEF 23-08-20 Rebidding")</f>
        <v>RCEF 23-08-20 Rebidding</v>
      </c>
      <c r="AO97" s="2">
        <f>IFERROR(__xludf.DUMMYFUNCTION("""COMPUTED_VALUE"""),1.0)</f>
        <v>1</v>
      </c>
      <c r="AP97" s="2"/>
      <c r="AQ97" s="2"/>
      <c r="AR97" s="2"/>
      <c r="AS97" s="2"/>
      <c r="AT97" s="2"/>
      <c r="AU97" s="2"/>
      <c r="AV97" s="2"/>
      <c r="AW97" s="2"/>
      <c r="AX97" s="2"/>
      <c r="AY97" s="2"/>
      <c r="AZ97" s="2"/>
      <c r="BA97" s="2"/>
      <c r="BB97" s="2"/>
    </row>
    <row r="98">
      <c r="A98" s="2">
        <f>IFERROR(__xludf.DUMMYFUNCTION("""COMPUTED_VALUE"""),94.0)</f>
        <v>94</v>
      </c>
      <c r="B98" s="2" t="str">
        <f>IFERROR(__xludf.DUMMYFUNCTION("""COMPUTED_VALUE"""),"COMPLETED")</f>
        <v>COMPLETED</v>
      </c>
      <c r="C98" s="74">
        <f>IFERROR(__xludf.DUMMYFUNCTION("""COMPUTED_VALUE"""),45420.0)</f>
        <v>45420</v>
      </c>
      <c r="D98" s="71" t="str">
        <f>IFERROR(__xludf.DUMMYFUNCTION("""COMPUTED_VALUE"""),"MAGSASAKA NG BAGONG HENERASYON NG BARANGAY SIMMINUBLAN (MBHBS)")</f>
        <v>MAGSASAKA NG BAGONG HENERASYON NG BARANGAY SIMMINUBLAN (MBHBS)</v>
      </c>
      <c r="E98" s="71" t="str">
        <f>IFERROR(__xludf.DUMMYFUNCTION("""COMPUTED_VALUE"""),"Siminublan, San Narciso, ZAMBALES")</f>
        <v>Siminublan, San Narciso, ZAMBALES</v>
      </c>
      <c r="F98" s="2" t="str">
        <f>IFERROR(__xludf.DUMMYFUNCTION("""COMPUTED_VALUE"""),"JACQUELINE DUMLAO")</f>
        <v>JACQUELINE DUMLAO</v>
      </c>
      <c r="G98" s="2">
        <f>IFERROR(__xludf.DUMMYFUNCTION("""COMPUTED_VALUE"""),9.100724561E9)</f>
        <v>9100724561</v>
      </c>
      <c r="H98" s="2">
        <f>IFERROR(__xludf.DUMMYFUNCTION("""COMPUTED_VALUE"""),30.0)</f>
        <v>30</v>
      </c>
      <c r="I98" s="72" t="str">
        <f>IFERROR(__xludf.DUMMYFUNCTION("""COMPUTED_VALUE"""),"REPAIR - TRACTOR")</f>
        <v>REPAIR - TRACTOR</v>
      </c>
      <c r="J98" s="72" t="str">
        <f>IFERROR(__xludf.DUMMYFUNCTION("""COMPUTED_VALUE"""),"CHECK UP UNIT")</f>
        <v>CHECK UP UNIT</v>
      </c>
      <c r="K98" s="72" t="str">
        <f>IFERROR(__xludf.DUMMYFUNCTION("""COMPUTED_VALUE"""),"NAG LEAK ANG OIL SEAL NG DEEP LOCK (OILSEAL)")</f>
        <v>NAG LEAK ANG OIL SEAL NG DEEP LOCK (OILSEAL)</v>
      </c>
      <c r="L98" s="72" t="str">
        <f>IFERROR(__xludf.DUMMYFUNCTION("""COMPUTED_VALUE"""),"WALA NAMANG LEAK, LUMABAS LANG YUNG HYDRAULIC OIL SA MAY SALINAN DAHIL SA PAGKABAHAW NG UNIT")</f>
        <v>WALA NAMANG LEAK, LUMABAS LANG YUNG HYDRAULIC OIL SA MAY SALINAN DAHIL SA PAGKABAHAW NG UNIT</v>
      </c>
      <c r="M98" s="2"/>
      <c r="N98" s="2"/>
      <c r="O98" s="2" t="str">
        <f>IFERROR(__xludf.DUMMYFUNCTION("""COMPUTED_VALUE"""),"JIE 235")</f>
        <v>JIE 235</v>
      </c>
      <c r="P98" s="2"/>
      <c r="Q98" s="2" t="str">
        <f>IFERROR(__xludf.DUMMYFUNCTION("""COMPUTED_VALUE"""),"FOR PRINT")</f>
        <v>FOR PRINT</v>
      </c>
      <c r="R98" s="74">
        <f>IFERROR(__xludf.DUMMYFUNCTION("""COMPUTED_VALUE"""),45426.0)</f>
        <v>45426</v>
      </c>
      <c r="S98" s="2" t="str">
        <f>IFERROR(__xludf.DUMMYFUNCTION("""COMPUTED_VALUE"""),"JHP/DRM")</f>
        <v>JHP/DRM</v>
      </c>
      <c r="T98" s="73" t="str">
        <f>IFERROR(__xludf.DUMMYFUNCTION("""COMPUTED_VALUE""")," N/A ")</f>
        <v>N/A</v>
      </c>
      <c r="U98" s="73" t="str">
        <f>IFERROR(__xludf.DUMMYFUNCTION("""COMPUTED_VALUE""")," NO CHARGE ")</f>
        <v>NO CHARGE</v>
      </c>
      <c r="V98" s="2"/>
      <c r="W98" s="2" t="str">
        <f>IFERROR(__xludf.DUMMYFUNCTION("""COMPUTED_VALUE"""),"N/A")</f>
        <v>N/A</v>
      </c>
      <c r="X98" s="2" t="str">
        <f>IFERROR(__xludf.DUMMYFUNCTION("""COMPUTED_VALUE"""),"N/A")</f>
        <v>N/A</v>
      </c>
      <c r="Y98" s="2" t="str">
        <f>IFERROR(__xludf.DUMMYFUNCTION("""COMPUTED_VALUE"""),"JTT  // PICTURE/VIDEO C/O JTT")</f>
        <v>JTT  // PICTURE/VIDEO C/O JTT</v>
      </c>
      <c r="Z98" s="2"/>
      <c r="AA98" s="2"/>
      <c r="AB98" s="2"/>
      <c r="AC98" s="2"/>
      <c r="AD98" s="2"/>
      <c r="AE98" s="2"/>
      <c r="AF98" s="2"/>
      <c r="AG98" s="2"/>
      <c r="AH98" s="2"/>
      <c r="AI98" s="2"/>
      <c r="AJ98" s="2" t="str">
        <f>IFERROR(__xludf.DUMMYFUNCTION("""COMPUTED_VALUE"""),"Siminublan")</f>
        <v>Siminublan</v>
      </c>
      <c r="AK98" s="2" t="str">
        <f>IFERROR(__xludf.DUMMYFUNCTION("""COMPUTED_VALUE"""),"San Narciso")</f>
        <v>San Narciso</v>
      </c>
      <c r="AL98" s="2" t="str">
        <f>IFERROR(__xludf.DUMMYFUNCTION("""COMPUTED_VALUE"""),"Zambales")</f>
        <v>Zambales</v>
      </c>
      <c r="AM98" s="2">
        <f>IFERROR(__xludf.DUMMYFUNCTION("""COMPUTED_VALUE"""),3.0)</f>
        <v>3</v>
      </c>
      <c r="AN98" s="2" t="str">
        <f>IFERROR(__xludf.DUMMYFUNCTION("""COMPUTED_VALUE"""),"RCEF 23-09-21 Rebidding")</f>
        <v>RCEF 23-09-21 Rebidding</v>
      </c>
      <c r="AO98" s="2">
        <f>IFERROR(__xludf.DUMMYFUNCTION("""COMPUTED_VALUE"""),9.0)</f>
        <v>9</v>
      </c>
      <c r="AP98" s="2"/>
      <c r="AQ98" s="2"/>
      <c r="AR98" s="2"/>
      <c r="AS98" s="2"/>
      <c r="AT98" s="2"/>
      <c r="AU98" s="2"/>
      <c r="AV98" s="2"/>
      <c r="AW98" s="2"/>
      <c r="AX98" s="2"/>
      <c r="AY98" s="2"/>
      <c r="AZ98" s="2"/>
      <c r="BA98" s="2"/>
      <c r="BB98" s="2"/>
    </row>
    <row r="99">
      <c r="A99" s="2">
        <f>IFERROR(__xludf.DUMMYFUNCTION("""COMPUTED_VALUE"""),95.0)</f>
        <v>95</v>
      </c>
      <c r="B99" s="2" t="str">
        <f>IFERROR(__xludf.DUMMYFUNCTION("""COMPUTED_VALUE"""),"COMPLETED")</f>
        <v>COMPLETED</v>
      </c>
      <c r="C99" s="74">
        <f>IFERROR(__xludf.DUMMYFUNCTION("""COMPUTED_VALUE"""),45421.0)</f>
        <v>45421</v>
      </c>
      <c r="D99" s="71" t="str">
        <f>IFERROR(__xludf.DUMMYFUNCTION("""COMPUTED_VALUE"""),"Saint Jerome's Parish Multi-purpose Cooperative")</f>
        <v>Saint Jerome's Parish Multi-purpose Cooperative</v>
      </c>
      <c r="E99" s="71" t="str">
        <f>IFERROR(__xludf.DUMMYFUNCTION("""COMPUTED_VALUE"""),"San Geronimo (Pob.), Bagabag, NUEVA VIZCAYA")</f>
        <v>San Geronimo (Pob.), Bagabag, NUEVA VIZCAYA</v>
      </c>
      <c r="F99" s="2" t="str">
        <f>IFERROR(__xludf.DUMMYFUNCTION("""COMPUTED_VALUE"""),"KITZ LASCOTA")</f>
        <v>KITZ LASCOTA</v>
      </c>
      <c r="G99" s="2">
        <f>IFERROR(__xludf.DUMMYFUNCTION("""COMPUTED_VALUE"""),9.757605804E9)</f>
        <v>9757605804</v>
      </c>
      <c r="H99" s="2">
        <f>IFERROR(__xludf.DUMMYFUNCTION("""COMPUTED_VALUE"""),43.0)</f>
        <v>43</v>
      </c>
      <c r="I99" s="72" t="str">
        <f>IFERROR(__xludf.DUMMYFUNCTION("""COMPUTED_VALUE"""),"PMS")</f>
        <v>PMS</v>
      </c>
      <c r="J99" s="72" t="str">
        <f>IFERROR(__xludf.DUMMYFUNCTION("""COMPUTED_VALUE"""),"PMS")</f>
        <v>PMS</v>
      </c>
      <c r="K99" s="72" t="str">
        <f>IFERROR(__xludf.DUMMYFUNCTION("""COMPUTED_VALUE"""),"FIRTS PMS: SELF PMS")</f>
        <v>FIRTS PMS: SELF PMS</v>
      </c>
      <c r="L99" s="72" t="str">
        <f>IFERROR(__xludf.DUMMYFUNCTION("""COMPUTED_VALUE"""),"SELF PMS:FB: KITZ LASCOTA: AGREEMENT SENT: FOR PRINT")</f>
        <v>SELF PMS:FB: KITZ LASCOTA: AGREEMENT SENT: FOR PRINT</v>
      </c>
      <c r="M99" s="2"/>
      <c r="N99" s="2"/>
      <c r="O99" s="2" t="str">
        <f>IFERROR(__xludf.DUMMYFUNCTION("""COMPUTED_VALUE"""),"JIE 212")</f>
        <v>JIE 212</v>
      </c>
      <c r="P99" s="2"/>
      <c r="Q99" s="2" t="str">
        <f>IFERROR(__xludf.DUMMYFUNCTION("""COMPUTED_VALUE"""),"FOR PRINT")</f>
        <v>FOR PRINT</v>
      </c>
      <c r="R99" s="74">
        <f>IFERROR(__xludf.DUMMYFUNCTION("""COMPUTED_VALUE"""),45421.0)</f>
        <v>45421</v>
      </c>
      <c r="S99" s="2" t="str">
        <f>IFERROR(__xludf.DUMMYFUNCTION("""COMPUTED_VALUE"""),"MYKEE")</f>
        <v>MYKEE</v>
      </c>
      <c r="T99" s="73" t="str">
        <f>IFERROR(__xludf.DUMMYFUNCTION("""COMPUTED_VALUE""")," N/A ")</f>
        <v>N/A</v>
      </c>
      <c r="U99" s="73" t="str">
        <f>IFERROR(__xludf.DUMMYFUNCTION("""COMPUTED_VALUE""")," NO CHARGE ")</f>
        <v>NO CHARGE</v>
      </c>
      <c r="V99" s="2"/>
      <c r="W99" s="2" t="str">
        <f>IFERROR(__xludf.DUMMYFUNCTION("""COMPUTED_VALUE"""),"N/A")</f>
        <v>N/A</v>
      </c>
      <c r="X99" s="2" t="str">
        <f>IFERROR(__xludf.DUMMYFUNCTION("""COMPUTED_VALUE"""),"N/A")</f>
        <v>N/A</v>
      </c>
      <c r="Y99" s="2" t="str">
        <f>IFERROR(__xludf.DUMMYFUNCTION("""COMPUTED_VALUE"""),"ERP")</f>
        <v>ERP</v>
      </c>
      <c r="Z99" s="2"/>
      <c r="AA99" s="2"/>
      <c r="AB99" s="2"/>
      <c r="AC99" s="2"/>
      <c r="AD99" s="2"/>
      <c r="AE99" s="2"/>
      <c r="AF99" s="2"/>
      <c r="AG99" s="2"/>
      <c r="AH99" s="2"/>
      <c r="AI99" s="2"/>
      <c r="AJ99" s="2" t="str">
        <f>IFERROR(__xludf.DUMMYFUNCTION("""COMPUTED_VALUE"""),"San Geronimo (Pob.)")</f>
        <v>San Geronimo (Pob.)</v>
      </c>
      <c r="AK99" s="2" t="str">
        <f>IFERROR(__xludf.DUMMYFUNCTION("""COMPUTED_VALUE"""),"Bagabag")</f>
        <v>Bagabag</v>
      </c>
      <c r="AL99" s="2" t="str">
        <f>IFERROR(__xludf.DUMMYFUNCTION("""COMPUTED_VALUE"""),"Nueva Vizcaya")</f>
        <v>Nueva Vizcaya</v>
      </c>
      <c r="AM99" s="2">
        <f>IFERROR(__xludf.DUMMYFUNCTION("""COMPUTED_VALUE"""),2.0)</f>
        <v>2</v>
      </c>
      <c r="AN99" s="2" t="str">
        <f>IFERROR(__xludf.DUMMYFUNCTION("""COMPUTED_VALUE"""),"RCEF 23-09-21 Rebidding")</f>
        <v>RCEF 23-09-21 Rebidding</v>
      </c>
      <c r="AO99" s="2">
        <f>IFERROR(__xludf.DUMMYFUNCTION("""COMPUTED_VALUE"""),9.0)</f>
        <v>9</v>
      </c>
      <c r="AP99" s="2"/>
      <c r="AQ99" s="2"/>
      <c r="AR99" s="2"/>
      <c r="AS99" s="2"/>
      <c r="AT99" s="2"/>
      <c r="AU99" s="2"/>
      <c r="AV99" s="2"/>
      <c r="AW99" s="2"/>
      <c r="AX99" s="2"/>
      <c r="AY99" s="2"/>
      <c r="AZ99" s="2"/>
      <c r="BA99" s="2"/>
      <c r="BB99" s="2"/>
    </row>
    <row r="100">
      <c r="A100" s="2">
        <f>IFERROR(__xludf.DUMMYFUNCTION("""COMPUTED_VALUE"""),96.0)</f>
        <v>96</v>
      </c>
      <c r="B100" s="2" t="str">
        <f>IFERROR(__xludf.DUMMYFUNCTION("""COMPUTED_VALUE"""),"COMPLETED")</f>
        <v>COMPLETED</v>
      </c>
      <c r="C100" s="74">
        <f>IFERROR(__xludf.DUMMYFUNCTION("""COMPUTED_VALUE"""),45421.0)</f>
        <v>45421</v>
      </c>
      <c r="D100" s="71" t="str">
        <f>IFERROR(__xludf.DUMMYFUNCTION("""COMPUTED_VALUE"""),"SAN NICOLAS SMALL WATER IRRIGATION SYSTEM ASSOCIATION")</f>
        <v>SAN NICOLAS SMALL WATER IRRIGATION SYSTEM ASSOCIATION</v>
      </c>
      <c r="E100" s="71" t="str">
        <f>IFERROR(__xludf.DUMMYFUNCTION("""COMPUTED_VALUE"""),"Rosacara, Bansud, Oriental Mindoro")</f>
        <v>Rosacara, Bansud, Oriental Mindoro</v>
      </c>
      <c r="F100" s="2" t="str">
        <f>IFERROR(__xludf.DUMMYFUNCTION("""COMPUTED_VALUE"""),"EDGARDO CASAPAO")</f>
        <v>EDGARDO CASAPAO</v>
      </c>
      <c r="G100" s="2">
        <f>IFERROR(__xludf.DUMMYFUNCTION("""COMPUTED_VALUE"""),9.071476723E9)</f>
        <v>9071476723</v>
      </c>
      <c r="H100" s="2">
        <f>IFERROR(__xludf.DUMMYFUNCTION("""COMPUTED_VALUE"""),66.0)</f>
        <v>66</v>
      </c>
      <c r="I100" s="72" t="str">
        <f>IFERROR(__xludf.DUMMYFUNCTION("""COMPUTED_VALUE"""),"PMS")</f>
        <v>PMS</v>
      </c>
      <c r="J100" s="72" t="str">
        <f>IFERROR(__xludf.DUMMYFUNCTION("""COMPUTED_VALUE"""),"PMS")</f>
        <v>PMS</v>
      </c>
      <c r="K100" s="72" t="str">
        <f>IFERROR(__xludf.DUMMYFUNCTION("""COMPUTED_VALUE"""),"FIRTS PMS")</f>
        <v>FIRTS PMS</v>
      </c>
      <c r="L100" s="72" t="str">
        <f>IFERROR(__xludf.DUMMYFUNCTION("""COMPUTED_VALUE"""),"CHANGE OIL")</f>
        <v>CHANGE OIL</v>
      </c>
      <c r="M100" s="2"/>
      <c r="N100" s="2" t="str">
        <f>IFERROR(__xludf.DUMMYFUNCTION("""COMPUTED_VALUE"""),"OIL FILTER 
ENGINE OIL")</f>
        <v>OIL FILTER 
ENGINE OIL</v>
      </c>
      <c r="O100" s="2" t="str">
        <f>IFERROR(__xludf.DUMMYFUNCTION("""COMPUTED_VALUE"""),"JIE 234")</f>
        <v>JIE 234</v>
      </c>
      <c r="P100" s="2"/>
      <c r="Q100" s="2" t="str">
        <f>IFERROR(__xludf.DUMMYFUNCTION("""COMPUTED_VALUE"""),"FOR PRINT")</f>
        <v>FOR PRINT</v>
      </c>
      <c r="R100" s="74">
        <f>IFERROR(__xludf.DUMMYFUNCTION("""COMPUTED_VALUE"""),45437.0)</f>
        <v>45437</v>
      </c>
      <c r="S100" s="2" t="str">
        <f>IFERROR(__xludf.DUMMYFUNCTION("""COMPUTED_VALUE"""),"JTT/PPS")</f>
        <v>JTT/PPS</v>
      </c>
      <c r="T100" s="73">
        <f>IFERROR(__xludf.DUMMYFUNCTION("""COMPUTED_VALUE"""),5431.25)</f>
        <v>5431.25</v>
      </c>
      <c r="U100" s="73" t="str">
        <f>IFERROR(__xludf.DUMMYFUNCTION("""COMPUTED_VALUE""")," REMITTED ")</f>
        <v>REMITTED</v>
      </c>
      <c r="V100" s="2"/>
      <c r="W100" s="2"/>
      <c r="X100" s="2"/>
      <c r="Y100" s="2" t="str">
        <f>IFERROR(__xludf.DUMMYFUNCTION("""COMPUTED_VALUE"""),"KFS    //    MYKEE: CALL SIR MIGS TO ASSIST RBS")</f>
        <v>KFS    //    MYKEE: CALL SIR MIGS TO ASSIST RBS</v>
      </c>
      <c r="Z100" s="2"/>
      <c r="AA100" s="2"/>
      <c r="AB100" s="2"/>
      <c r="AC100" s="2"/>
      <c r="AD100" s="2"/>
      <c r="AE100" s="2"/>
      <c r="AF100" s="2"/>
      <c r="AG100" s="2"/>
      <c r="AH100" s="2"/>
      <c r="AI100" s="2"/>
      <c r="AJ100" s="2" t="str">
        <f>IFERROR(__xludf.DUMMYFUNCTION("""COMPUTED_VALUE"""),"Rosacara")</f>
        <v>Rosacara</v>
      </c>
      <c r="AK100" s="2" t="str">
        <f>IFERROR(__xludf.DUMMYFUNCTION("""COMPUTED_VALUE"""),"Bansud")</f>
        <v>Bansud</v>
      </c>
      <c r="AL100" s="2" t="str">
        <f>IFERROR(__xludf.DUMMYFUNCTION("""COMPUTED_VALUE"""),"Oriental Mindoro")</f>
        <v>Oriental Mindoro</v>
      </c>
      <c r="AM100" s="2" t="str">
        <f>IFERROR(__xludf.DUMMYFUNCTION("""COMPUTED_VALUE"""),"4B")</f>
        <v>4B</v>
      </c>
      <c r="AN100" s="2" t="str">
        <f>IFERROR(__xludf.DUMMYFUNCTION("""COMPUTED_VALUE"""),"RCEF 23-08-20 Rebidding")</f>
        <v>RCEF 23-08-20 Rebidding</v>
      </c>
      <c r="AO100" s="2">
        <f>IFERROR(__xludf.DUMMYFUNCTION("""COMPUTED_VALUE"""),1.0)</f>
        <v>1</v>
      </c>
      <c r="AP100" s="2"/>
      <c r="AQ100" s="2"/>
      <c r="AR100" s="2"/>
      <c r="AS100" s="2"/>
      <c r="AT100" s="2"/>
      <c r="AU100" s="2"/>
      <c r="AV100" s="2"/>
      <c r="AW100" s="2"/>
      <c r="AX100" s="2"/>
      <c r="AY100" s="2"/>
      <c r="AZ100" s="2"/>
      <c r="BA100" s="2"/>
      <c r="BB100" s="2"/>
    </row>
    <row r="101">
      <c r="A101" s="2">
        <f>IFERROR(__xludf.DUMMYFUNCTION("""COMPUTED_VALUE"""),97.0)</f>
        <v>97</v>
      </c>
      <c r="B101" s="2" t="str">
        <f>IFERROR(__xludf.DUMMYFUNCTION("""COMPUTED_VALUE"""),"COMPLETED")</f>
        <v>COMPLETED</v>
      </c>
      <c r="C101" s="74">
        <f>IFERROR(__xludf.DUMMYFUNCTION("""COMPUTED_VALUE"""),45422.0)</f>
        <v>45422</v>
      </c>
      <c r="D101" s="71" t="str">
        <f>IFERROR(__xludf.DUMMYFUNCTION("""COMPUTED_VALUE"""),"Panagkaykaysa ti Mannalon ti Viga Agriculture Cooperative (PMVAC)")</f>
        <v>Panagkaykaysa ti Mannalon ti Viga Agriculture Cooperative (PMVAC)</v>
      </c>
      <c r="E101" s="71" t="str">
        <f>IFERROR(__xludf.DUMMYFUNCTION("""COMPUTED_VALUE"""),"Viga, Lasam, CAGAYAN")</f>
        <v>Viga, Lasam, CAGAYAN</v>
      </c>
      <c r="F101" s="2" t="str">
        <f>IFERROR(__xludf.DUMMYFUNCTION("""COMPUTED_VALUE"""),"ANATONIO MALSIT JR.")</f>
        <v>ANATONIO MALSIT JR.</v>
      </c>
      <c r="G101" s="2">
        <f>IFERROR(__xludf.DUMMYFUNCTION("""COMPUTED_VALUE"""),9.267059744E9)</f>
        <v>9267059744</v>
      </c>
      <c r="H101" s="2" t="str">
        <f>IFERROR(__xludf.DUMMYFUNCTION("""COMPUTED_VALUE"""),"48 HRS")</f>
        <v>48 HRS</v>
      </c>
      <c r="I101" s="72" t="str">
        <f>IFERROR(__xludf.DUMMYFUNCTION("""COMPUTED_VALUE"""),"PMS")</f>
        <v>PMS</v>
      </c>
      <c r="J101" s="72" t="str">
        <f>IFERROR(__xludf.DUMMYFUNCTION("""COMPUTED_VALUE"""),"PMS")</f>
        <v>PMS</v>
      </c>
      <c r="K101" s="72" t="str">
        <f>IFERROR(__xludf.DUMMYFUNCTION("""COMPUTED_VALUE"""),"FIRTS PMS: SELF PMS")</f>
        <v>FIRTS PMS: SELF PMS</v>
      </c>
      <c r="L101" s="72" t="str">
        <f>IFERROR(__xludf.DUMMYFUNCTION("""COMPUTED_VALUE"""),"SELF PMS: AGREEMENT SENT TO EMAIL")</f>
        <v>SELF PMS: AGREEMENT SENT TO EMAIL</v>
      </c>
      <c r="M101" s="2"/>
      <c r="N101" s="2"/>
      <c r="O101" s="2" t="str">
        <f>IFERROR(__xludf.DUMMYFUNCTION("""COMPUTED_VALUE"""),"N/A")</f>
        <v>N/A</v>
      </c>
      <c r="P101" s="2"/>
      <c r="Q101" s="2"/>
      <c r="R101" s="74">
        <f>IFERROR(__xludf.DUMMYFUNCTION("""COMPUTED_VALUE"""),45422.0)</f>
        <v>45422</v>
      </c>
      <c r="S101" s="2" t="str">
        <f>IFERROR(__xludf.DUMMYFUNCTION("""COMPUTED_VALUE"""),"MYKEE")</f>
        <v>MYKEE</v>
      </c>
      <c r="T101" s="73" t="str">
        <f>IFERROR(__xludf.DUMMYFUNCTION("""COMPUTED_VALUE""")," N/A ")</f>
        <v>N/A</v>
      </c>
      <c r="U101" s="73" t="str">
        <f>IFERROR(__xludf.DUMMYFUNCTION("""COMPUTED_VALUE""")," NO CHARGE ")</f>
        <v>NO CHARGE</v>
      </c>
      <c r="V101" s="2"/>
      <c r="W101" s="2" t="str">
        <f>IFERROR(__xludf.DUMMYFUNCTION("""COMPUTED_VALUE"""),"N/A")</f>
        <v>N/A</v>
      </c>
      <c r="X101" s="2" t="str">
        <f>IFERROR(__xludf.DUMMYFUNCTION("""COMPUTED_VALUE"""),"N/A")</f>
        <v>N/A</v>
      </c>
      <c r="Y101" s="2" t="str">
        <f>IFERROR(__xludf.DUMMYFUNCTION("""COMPUTED_VALUE"""),"ERP")</f>
        <v>ERP</v>
      </c>
      <c r="Z101" s="2"/>
      <c r="AA101" s="2"/>
      <c r="AB101" s="2"/>
      <c r="AC101" s="2"/>
      <c r="AD101" s="2"/>
      <c r="AE101" s="2"/>
      <c r="AF101" s="2"/>
      <c r="AG101" s="2"/>
      <c r="AH101" s="2"/>
      <c r="AI101" s="2"/>
      <c r="AJ101" s="2" t="str">
        <f>IFERROR(__xludf.DUMMYFUNCTION("""COMPUTED_VALUE"""),"Viga")</f>
        <v>Viga</v>
      </c>
      <c r="AK101" s="2" t="str">
        <f>IFERROR(__xludf.DUMMYFUNCTION("""COMPUTED_VALUE"""),"Lasam")</f>
        <v>Lasam</v>
      </c>
      <c r="AL101" s="2" t="str">
        <f>IFERROR(__xludf.DUMMYFUNCTION("""COMPUTED_VALUE"""),"Cagayan")</f>
        <v>Cagayan</v>
      </c>
      <c r="AM101" s="2">
        <f>IFERROR(__xludf.DUMMYFUNCTION("""COMPUTED_VALUE"""),2.0)</f>
        <v>2</v>
      </c>
      <c r="AN101" s="2" t="str">
        <f>IFERROR(__xludf.DUMMYFUNCTION("""COMPUTED_VALUE"""),"RCEF 23-09-21 Rebidding")</f>
        <v>RCEF 23-09-21 Rebidding</v>
      </c>
      <c r="AO101" s="2">
        <f>IFERROR(__xludf.DUMMYFUNCTION("""COMPUTED_VALUE"""),9.0)</f>
        <v>9</v>
      </c>
      <c r="AP101" s="2"/>
      <c r="AQ101" s="2"/>
      <c r="AR101" s="2"/>
      <c r="AS101" s="2"/>
      <c r="AT101" s="2"/>
      <c r="AU101" s="2"/>
      <c r="AV101" s="2"/>
      <c r="AW101" s="2"/>
      <c r="AX101" s="2"/>
      <c r="AY101" s="2"/>
      <c r="AZ101" s="2"/>
      <c r="BA101" s="2"/>
      <c r="BB101" s="2"/>
    </row>
    <row r="102">
      <c r="A102" s="2">
        <f>IFERROR(__xludf.DUMMYFUNCTION("""COMPUTED_VALUE"""),98.0)</f>
        <v>98</v>
      </c>
      <c r="B102" s="2" t="str">
        <f>IFERROR(__xludf.DUMMYFUNCTION("""COMPUTED_VALUE"""),"COMPLETED")</f>
        <v>COMPLETED</v>
      </c>
      <c r="C102" s="74">
        <f>IFERROR(__xludf.DUMMYFUNCTION("""COMPUTED_VALUE"""),45422.0)</f>
        <v>45422</v>
      </c>
      <c r="D102" s="71" t="str">
        <f>IFERROR(__xludf.DUMMYFUNCTION("""COMPUTED_VALUE"""),"SARANAY FARMERS ASSOCIATION")</f>
        <v>SARANAY FARMERS ASSOCIATION</v>
      </c>
      <c r="E102" s="71" t="str">
        <f>IFERROR(__xludf.DUMMYFUNCTION("""COMPUTED_VALUE"""),"Mabini, Baggao, CAGAYAN")</f>
        <v>Mabini, Baggao, CAGAYAN</v>
      </c>
      <c r="F102" s="2" t="str">
        <f>IFERROR(__xludf.DUMMYFUNCTION("""COMPUTED_VALUE"""),"DONATO CESAR")</f>
        <v>DONATO CESAR</v>
      </c>
      <c r="G102" s="2">
        <f>IFERROR(__xludf.DUMMYFUNCTION("""COMPUTED_VALUE"""),9.534810783E9)</f>
        <v>9534810783</v>
      </c>
      <c r="H102" s="2">
        <f>IFERROR(__xludf.DUMMYFUNCTION("""COMPUTED_VALUE"""),104.0)</f>
        <v>104</v>
      </c>
      <c r="I102" s="72" t="str">
        <f>IFERROR(__xludf.DUMMYFUNCTION("""COMPUTED_VALUE"""),"REPAIR - TRACTOR")</f>
        <v>REPAIR - TRACTOR</v>
      </c>
      <c r="J102" s="72" t="str">
        <f>IFERROR(__xludf.DUMMYFUNCTION("""COMPUTED_VALUE"""),"Transmission - Differential")</f>
        <v>Transmission - Differential</v>
      </c>
      <c r="K102" s="72" t="str">
        <f>IFERROR(__xludf.DUMMYFUNCTION("""COMPUTED_VALUE"""),"AYAW GUMANA NG 4 WHEEL DRIVE                                                                                  
5/16/24: UPON CHECKING MAY PROBLEMA ANG FRONT WHEEL NUNG PINAIKOT NAMIN ANG GULONG MAY TUMUTUNOG, AYON SA OPRATOR NITO MAY LUMAGUTOK SA FRONT WH"&amp;"EEL, SIMULA NOON AY HINDI NA GUMANA ANG FOURWHEEL               
CJ :JTT:6/6/24: NEED PARTS DIFFERENTIAL CASE, HEX FLANGE BOLT, RING GEAR")</f>
        <v>AYAW GUMANA NG 4 WHEEL DRIVE                                                                                  
5/16/24: UPON CHECKING MAY PROBLEMA ANG FRONT WHEEL NUNG PINAIKOT NAMIN ANG GULONG MAY TUMUTUNOG, AYON SA OPRATOR NITO MAY LUMAGUTOK SA FRONT WHEEL, SIMULA NOON AY HINDI NA GUMANA ANG FOURWHEEL               
CJ :JTT:6/6/24: NEED PARTS DIFFERENTIAL CASE, HEX FLANGE BOLT, RING GEAR</v>
      </c>
      <c r="L102" s="72" t="str">
        <f>IFERROR(__xludf.DUMMYFUNCTION("""COMPUTED_VALUE"""),"CFG/DSD: HINDI NAGAMIT ANG DIFFERENTIAL CASE AT RING GEAR, OK NA ANG UNIT, NAPUTOL LANG YUNG LOCK NYA SA MAY SPLINE")</f>
        <v>CFG/DSD: HINDI NAGAMIT ANG DIFFERENTIAL CASE AT RING GEAR, OK NA ANG UNIT, NAPUTOL LANG YUNG LOCK NYA SA MAY SPLINE</v>
      </c>
      <c r="M102" s="2"/>
      <c r="N102" s="2" t="str">
        <f>IFERROR(__xludf.DUMMYFUNCTION("""COMPUTED_VALUE"""),"PARTS:
DIFFERENTIAL CASE
HEX FLANGE BOLT
RING GEAR ASSY")</f>
        <v>PARTS:
DIFFERENTIAL CASE
HEX FLANGE BOLT
RING GEAR ASSY</v>
      </c>
      <c r="O102" s="2" t="str">
        <f>IFERROR(__xludf.DUMMYFUNCTION("""COMPUTED_VALUE"""),"JIE 238")</f>
        <v>JIE 238</v>
      </c>
      <c r="P102" s="2"/>
      <c r="Q102" s="2" t="str">
        <f>IFERROR(__xludf.DUMMYFUNCTION("""COMPUTED_VALUE"""),"FOR PRINT")</f>
        <v>FOR PRINT</v>
      </c>
      <c r="R102" s="74">
        <f>IFERROR(__xludf.DUMMYFUNCTION("""COMPUTED_VALUE"""),45469.0)</f>
        <v>45469</v>
      </c>
      <c r="S102" s="2" t="str">
        <f>IFERROR(__xludf.DUMMYFUNCTION("""COMPUTED_VALUE"""),"CFG/DRM")</f>
        <v>CFG/DRM</v>
      </c>
      <c r="T102" s="73" t="str">
        <f>IFERROR(__xludf.DUMMYFUNCTION("""COMPUTED_VALUE""")," N/A ")</f>
        <v>N/A</v>
      </c>
      <c r="U102" s="73" t="str">
        <f>IFERROR(__xludf.DUMMYFUNCTION("""COMPUTED_VALUE""")," NO CHARGE ")</f>
        <v>NO CHARGE</v>
      </c>
      <c r="V102" s="2"/>
      <c r="W102" s="2" t="str">
        <f>IFERROR(__xludf.DUMMYFUNCTION("""COMPUTED_VALUE"""),"N/A")</f>
        <v>N/A</v>
      </c>
      <c r="X102" s="2" t="str">
        <f>IFERROR(__xludf.DUMMYFUNCTION("""COMPUTED_VALUE"""),"N/A")</f>
        <v>N/A</v>
      </c>
      <c r="Y102" s="2" t="str">
        <f>IFERROR(__xludf.DUMMYFUNCTION("""COMPUTED_VALUE"""),"MYKEE: FB")</f>
        <v>MYKEE: FB</v>
      </c>
      <c r="Z102" s="2" t="str">
        <f>IFERROR(__xludf.DUMMYFUNCTION("""COMPUTED_VALUE"""),"LEADS-TP-0005")</f>
        <v>LEADS-TP-0005</v>
      </c>
      <c r="AA102" s="2" t="str">
        <f>IFERROR(__xludf.DUMMYFUNCTION("""COMPUTED_VALUE"""),"APPROVED")</f>
        <v>APPROVED</v>
      </c>
      <c r="AB102" s="2"/>
      <c r="AC102" s="2" t="str">
        <f>IFERROR(__xludf.DUMMYFUNCTION("""COMPUTED_VALUE"""),"Y")</f>
        <v>Y</v>
      </c>
      <c r="AD102" s="2"/>
      <c r="AE102" s="2"/>
      <c r="AF102" s="2"/>
      <c r="AG102" s="2"/>
      <c r="AH102" s="2"/>
      <c r="AI102" s="2"/>
      <c r="AJ102" s="2" t="str">
        <f>IFERROR(__xludf.DUMMYFUNCTION("""COMPUTED_VALUE"""),"Mabini")</f>
        <v>Mabini</v>
      </c>
      <c r="AK102" s="2" t="str">
        <f>IFERROR(__xludf.DUMMYFUNCTION("""COMPUTED_VALUE"""),"Baggao")</f>
        <v>Baggao</v>
      </c>
      <c r="AL102" s="2" t="str">
        <f>IFERROR(__xludf.DUMMYFUNCTION("""COMPUTED_VALUE"""),"Cagayan")</f>
        <v>Cagayan</v>
      </c>
      <c r="AM102" s="2">
        <f>IFERROR(__xludf.DUMMYFUNCTION("""COMPUTED_VALUE"""),2.0)</f>
        <v>2</v>
      </c>
      <c r="AN102" s="2" t="str">
        <f>IFERROR(__xludf.DUMMYFUNCTION("""COMPUTED_VALUE"""),"RCEF 23-09-21 Rebidding")</f>
        <v>RCEF 23-09-21 Rebidding</v>
      </c>
      <c r="AO102" s="2">
        <f>IFERROR(__xludf.DUMMYFUNCTION("""COMPUTED_VALUE"""),9.0)</f>
        <v>9</v>
      </c>
      <c r="AP102" s="2"/>
      <c r="AQ102" s="2"/>
      <c r="AR102" s="2"/>
      <c r="AS102" s="2"/>
      <c r="AT102" s="2"/>
      <c r="AU102" s="2"/>
      <c r="AV102" s="2"/>
      <c r="AW102" s="2"/>
      <c r="AX102" s="2"/>
      <c r="AY102" s="2"/>
      <c r="AZ102" s="2"/>
      <c r="BA102" s="2"/>
      <c r="BB102" s="2"/>
    </row>
    <row r="103">
      <c r="A103" s="2">
        <f>IFERROR(__xludf.DUMMYFUNCTION("""COMPUTED_VALUE"""),99.0)</f>
        <v>99</v>
      </c>
      <c r="B103" s="2" t="str">
        <f>IFERROR(__xludf.DUMMYFUNCTION("""COMPUTED_VALUE"""),"COMPLETED")</f>
        <v>COMPLETED</v>
      </c>
      <c r="C103" s="74">
        <f>IFERROR(__xludf.DUMMYFUNCTION("""COMPUTED_VALUE"""),45422.0)</f>
        <v>45422</v>
      </c>
      <c r="D103" s="71" t="str">
        <f>IFERROR(__xludf.DUMMYFUNCTION("""COMPUTED_VALUE"""),"IRAGA Water Pump Irrigators Association Inc. (IWPIA)")</f>
        <v>IRAGA Water Pump Irrigators Association Inc. (IWPIA)</v>
      </c>
      <c r="E103" s="71" t="str">
        <f>IFERROR(__xludf.DUMMYFUNCTION("""COMPUTED_VALUE"""),"Iraga, Solana, CAGAYAN")</f>
        <v>Iraga, Solana, CAGAYAN</v>
      </c>
      <c r="F103" s="2" t="str">
        <f>IFERROR(__xludf.DUMMYFUNCTION("""COMPUTED_VALUE"""),"DUMON MABORANG")</f>
        <v>DUMON MABORANG</v>
      </c>
      <c r="G103" s="2">
        <f>IFERROR(__xludf.DUMMYFUNCTION("""COMPUTED_VALUE"""),9.171584954E9)</f>
        <v>9171584954</v>
      </c>
      <c r="H103" s="2">
        <f>IFERROR(__xludf.DUMMYFUNCTION("""COMPUTED_VALUE"""),18.2)</f>
        <v>18.2</v>
      </c>
      <c r="I103" s="72" t="str">
        <f>IFERROR(__xludf.DUMMYFUNCTION("""COMPUTED_VALUE"""),"REPAIR - TRACTOR")</f>
        <v>REPAIR - TRACTOR</v>
      </c>
      <c r="J103" s="72" t="str">
        <f>IFERROR(__xludf.DUMMYFUNCTION("""COMPUTED_VALUE"""),"PTO - Clutch Pack")</f>
        <v>PTO - Clutch Pack</v>
      </c>
      <c r="K103" s="72" t="str">
        <f>IFERROR(__xludf.DUMMYFUNCTION("""COMPUTED_VALUE"""),"ROTAVATOR WON'T SPIN                                                                                     
5/16/24: HINDI ROTAVATOR ANG MAY PROBLEMA SA MISMONG TRANSMISSION PO ANG PROBLEMA, NUNG SINUBUKAN NAMING LALIMAN YUNG KAIN NG ROTAVATOR BIGLANG BUMAB"&amp;"AGAL ANG IKOT AT MAY TUMUTUNOG DIN SA TRANSMISSION               
6/10/24: PTO CLUTCH PACK")</f>
        <v>ROTAVATOR WON'T SPIN                                                                                     
5/16/24: HINDI ROTAVATOR ANG MAY PROBLEMA SA MISMONG TRANSMISSION PO ANG PROBLEMA, NUNG SINUBUKAN NAMING LALIMAN YUNG KAIN NG ROTAVATOR BIGLANG BUMABAGAL ANG IKOT AT MAY TUMUTUNOG DIN SA TRANSMISSION               
6/10/24: PTO CLUTCH PACK</v>
      </c>
      <c r="L103" s="72" t="str">
        <f>IFERROR(__xludf.DUMMYFUNCTION("""COMPUTED_VALUE"""),"DRM: NAIKABIT NA PO NAMIN YUNG PTO CLUTCH PACK, KAYA NAGYUN OK NA ANG UNIT. ")</f>
        <v>DRM: NAIKABIT NA PO NAMIN YUNG PTO CLUTCH PACK, KAYA NAGYUN OK NA ANG UNIT. </v>
      </c>
      <c r="M103" s="2"/>
      <c r="N103" s="2" t="str">
        <f>IFERROR(__xludf.DUMMYFUNCTION("""COMPUTED_VALUE"""),"PTO CLUTCH PACK ")</f>
        <v>PTO CLUTCH PACK </v>
      </c>
      <c r="O103" s="2" t="str">
        <f>IFERROR(__xludf.DUMMYFUNCTION("""COMPUTED_VALUE"""),"JIE 239")</f>
        <v>JIE 239</v>
      </c>
      <c r="P103" s="2"/>
      <c r="Q103" s="2" t="str">
        <f>IFERROR(__xludf.DUMMYFUNCTION("""COMPUTED_VALUE"""),"FOR PRINT")</f>
        <v>FOR PRINT</v>
      </c>
      <c r="R103" s="74">
        <f>IFERROR(__xludf.DUMMYFUNCTION("""COMPUTED_VALUE"""),45470.0)</f>
        <v>45470</v>
      </c>
      <c r="S103" s="2" t="str">
        <f>IFERROR(__xludf.DUMMYFUNCTION("""COMPUTED_VALUE"""),"CFG/DRM")</f>
        <v>CFG/DRM</v>
      </c>
      <c r="T103" s="73" t="str">
        <f>IFERROR(__xludf.DUMMYFUNCTION("""COMPUTED_VALUE""")," N/A ")</f>
        <v>N/A</v>
      </c>
      <c r="U103" s="73" t="str">
        <f>IFERROR(__xludf.DUMMYFUNCTION("""COMPUTED_VALUE""")," NO CHARGE ")</f>
        <v>NO CHARGE</v>
      </c>
      <c r="V103" s="2"/>
      <c r="W103" s="2" t="str">
        <f>IFERROR(__xludf.DUMMYFUNCTION("""COMPUTED_VALUE"""),"N/A")</f>
        <v>N/A</v>
      </c>
      <c r="X103" s="2" t="str">
        <f>IFERROR(__xludf.DUMMYFUNCTION("""COMPUTED_VALUE"""),"N/A")</f>
        <v>N/A</v>
      </c>
      <c r="Y103" s="2" t="str">
        <f>IFERROR(__xludf.DUMMYFUNCTION("""COMPUTED_VALUE"""),"JOEL")</f>
        <v>JOEL</v>
      </c>
      <c r="Z103" s="2" t="str">
        <f>IFERROR(__xludf.DUMMYFUNCTION("""COMPUTED_VALUE"""),"LEADS-TP-0004")</f>
        <v>LEADS-TP-0004</v>
      </c>
      <c r="AA103" s="2" t="str">
        <f>IFERROR(__xludf.DUMMYFUNCTION("""COMPUTED_VALUE"""),"APPROVED")</f>
        <v>APPROVED</v>
      </c>
      <c r="AB103" s="2"/>
      <c r="AC103" s="2" t="str">
        <f>IFERROR(__xludf.DUMMYFUNCTION("""COMPUTED_VALUE"""),"Y")</f>
        <v>Y</v>
      </c>
      <c r="AD103" s="2"/>
      <c r="AE103" s="2"/>
      <c r="AF103" s="2"/>
      <c r="AG103" s="2"/>
      <c r="AH103" s="2"/>
      <c r="AI103" s="2"/>
      <c r="AJ103" s="2" t="str">
        <f>IFERROR(__xludf.DUMMYFUNCTION("""COMPUTED_VALUE"""),"Iraga")</f>
        <v>Iraga</v>
      </c>
      <c r="AK103" s="2" t="str">
        <f>IFERROR(__xludf.DUMMYFUNCTION("""COMPUTED_VALUE"""),"Solana")</f>
        <v>Solana</v>
      </c>
      <c r="AL103" s="2" t="str">
        <f>IFERROR(__xludf.DUMMYFUNCTION("""COMPUTED_VALUE"""),"Cagayan")</f>
        <v>Cagayan</v>
      </c>
      <c r="AM103" s="2">
        <f>IFERROR(__xludf.DUMMYFUNCTION("""COMPUTED_VALUE"""),2.0)</f>
        <v>2</v>
      </c>
      <c r="AN103" s="2" t="str">
        <f>IFERROR(__xludf.DUMMYFUNCTION("""COMPUTED_VALUE"""),"RCEF 23-09-21 Rebidding")</f>
        <v>RCEF 23-09-21 Rebidding</v>
      </c>
      <c r="AO103" s="2">
        <f>IFERROR(__xludf.DUMMYFUNCTION("""COMPUTED_VALUE"""),1.0)</f>
        <v>1</v>
      </c>
      <c r="AP103" s="2"/>
      <c r="AQ103" s="2"/>
      <c r="AR103" s="2"/>
      <c r="AS103" s="2"/>
      <c r="AT103" s="2"/>
      <c r="AU103" s="2"/>
      <c r="AV103" s="2"/>
      <c r="AW103" s="2"/>
      <c r="AX103" s="2"/>
      <c r="AY103" s="2"/>
      <c r="AZ103" s="2"/>
      <c r="BA103" s="2"/>
      <c r="BB103" s="2"/>
    </row>
    <row r="104">
      <c r="A104" s="2">
        <f>IFERROR(__xludf.DUMMYFUNCTION("""COMPUTED_VALUE"""),100.0)</f>
        <v>100</v>
      </c>
      <c r="B104" s="2" t="str">
        <f>IFERROR(__xludf.DUMMYFUNCTION("""COMPUTED_VALUE"""),"COMPLETED")</f>
        <v>COMPLETED</v>
      </c>
      <c r="C104" s="74">
        <f>IFERROR(__xludf.DUMMYFUNCTION("""COMPUTED_VALUE"""),45422.0)</f>
        <v>45422</v>
      </c>
      <c r="D104" s="71" t="str">
        <f>IFERROR(__xludf.DUMMYFUNCTION("""COMPUTED_VALUE"""),"Samput Farmers Association Inc.")</f>
        <v>Samput Farmers Association Inc.</v>
      </c>
      <c r="E104" s="71" t="str">
        <f>IFERROR(__xludf.DUMMYFUNCTION("""COMPUTED_VALUE"""),"Samput, Paniqui, TARLAC")</f>
        <v>Samput, Paniqui, TARLAC</v>
      </c>
      <c r="F104" s="2" t="str">
        <f>IFERROR(__xludf.DUMMYFUNCTION("""COMPUTED_VALUE"""),"RAMIL FACUN")</f>
        <v>RAMIL FACUN</v>
      </c>
      <c r="G104" s="2">
        <f>IFERROR(__xludf.DUMMYFUNCTION("""COMPUTED_VALUE"""),9.451175043E9)</f>
        <v>9451175043</v>
      </c>
      <c r="H104" s="2">
        <f>IFERROR(__xludf.DUMMYFUNCTION("""COMPUTED_VALUE"""),51.0)</f>
        <v>51</v>
      </c>
      <c r="I104" s="72" t="str">
        <f>IFERROR(__xludf.DUMMYFUNCTION("""COMPUTED_VALUE"""),"PMS")</f>
        <v>PMS</v>
      </c>
      <c r="J104" s="72" t="str">
        <f>IFERROR(__xludf.DUMMYFUNCTION("""COMPUTED_VALUE"""),"PMS")</f>
        <v>PMS</v>
      </c>
      <c r="K104" s="72" t="str">
        <f>IFERROR(__xludf.DUMMYFUNCTION("""COMPUTED_VALUE"""),"FIRTS PMS")</f>
        <v>FIRTS PMS</v>
      </c>
      <c r="L104" s="72" t="str">
        <f>IFERROR(__xludf.DUMMYFUNCTION("""COMPUTED_VALUE"""),"CHANGE OIL")</f>
        <v>CHANGE OIL</v>
      </c>
      <c r="M104" s="2"/>
      <c r="N104" s="2" t="str">
        <f>IFERROR(__xludf.DUMMYFUNCTION("""COMPUTED_VALUE"""),"OIL FILTER")</f>
        <v>OIL FILTER</v>
      </c>
      <c r="O104" s="2" t="str">
        <f>IFERROR(__xludf.DUMMYFUNCTION("""COMPUTED_VALUE"""),"JIE 236")</f>
        <v>JIE 236</v>
      </c>
      <c r="P104" s="2"/>
      <c r="Q104" s="2" t="str">
        <f>IFERROR(__xludf.DUMMYFUNCTION("""COMPUTED_VALUE"""),"FOR PRINT")</f>
        <v>FOR PRINT</v>
      </c>
      <c r="R104" s="74">
        <f>IFERROR(__xludf.DUMMYFUNCTION("""COMPUTED_VALUE"""),45427.0)</f>
        <v>45427</v>
      </c>
      <c r="S104" s="2" t="str">
        <f>IFERROR(__xludf.DUMMYFUNCTION("""COMPUTED_VALUE"""),"RBS")</f>
        <v>RBS</v>
      </c>
      <c r="T104" s="73">
        <f>IFERROR(__xludf.DUMMYFUNCTION("""COMPUTED_VALUE"""),2837.5)</f>
        <v>2837.5</v>
      </c>
      <c r="U104" s="73" t="str">
        <f>IFERROR(__xludf.DUMMYFUNCTION("""COMPUTED_VALUE""")," REMITTED ")</f>
        <v>REMITTED</v>
      </c>
      <c r="V104" s="2"/>
      <c r="W104" s="2"/>
      <c r="X104" s="2">
        <f>IFERROR(__xludf.DUMMYFUNCTION("""COMPUTED_VALUE"""),1097.0)</f>
        <v>1097</v>
      </c>
      <c r="Y104" s="2" t="str">
        <f>IFERROR(__xludf.DUMMYFUNCTION("""COMPUTED_VALUE"""),"KFS  //   WALANG DALANG ENGINE OIL SILA ROY: 2ND PMS NALANG APPLY YUNG FREE E.OIL")</f>
        <v>KFS  //   WALANG DALANG ENGINE OIL SILA ROY: 2ND PMS NALANG APPLY YUNG FREE E.OIL</v>
      </c>
      <c r="Z104" s="2"/>
      <c r="AA104" s="2"/>
      <c r="AB104" s="2"/>
      <c r="AC104" s="2"/>
      <c r="AD104" s="2"/>
      <c r="AE104" s="2"/>
      <c r="AF104" s="2"/>
      <c r="AG104" s="2"/>
      <c r="AH104" s="2"/>
      <c r="AI104" s="2"/>
      <c r="AJ104" s="2" t="str">
        <f>IFERROR(__xludf.DUMMYFUNCTION("""COMPUTED_VALUE"""),"Samput")</f>
        <v>Samput</v>
      </c>
      <c r="AK104" s="2" t="str">
        <f>IFERROR(__xludf.DUMMYFUNCTION("""COMPUTED_VALUE"""),"Paniqui")</f>
        <v>Paniqui</v>
      </c>
      <c r="AL104" s="2" t="str">
        <f>IFERROR(__xludf.DUMMYFUNCTION("""COMPUTED_VALUE"""),"Tarlac")</f>
        <v>Tarlac</v>
      </c>
      <c r="AM104" s="2">
        <f>IFERROR(__xludf.DUMMYFUNCTION("""COMPUTED_VALUE"""),3.0)</f>
        <v>3</v>
      </c>
      <c r="AN104" s="2" t="str">
        <f>IFERROR(__xludf.DUMMYFUNCTION("""COMPUTED_VALUE"""),"RCEF 23-09-21 Rebidding")</f>
        <v>RCEF 23-09-21 Rebidding</v>
      </c>
      <c r="AO104" s="2">
        <f>IFERROR(__xludf.DUMMYFUNCTION("""COMPUTED_VALUE"""),3.0)</f>
        <v>3</v>
      </c>
      <c r="AP104" s="2"/>
      <c r="AQ104" s="2"/>
      <c r="AR104" s="2"/>
      <c r="AS104" s="2"/>
      <c r="AT104" s="2"/>
      <c r="AU104" s="2"/>
      <c r="AV104" s="2"/>
      <c r="AW104" s="2"/>
      <c r="AX104" s="2"/>
      <c r="AY104" s="2"/>
      <c r="AZ104" s="2"/>
      <c r="BA104" s="2"/>
      <c r="BB104" s="2"/>
    </row>
    <row r="105">
      <c r="A105" s="2">
        <f>IFERROR(__xludf.DUMMYFUNCTION("""COMPUTED_VALUE"""),101.0)</f>
        <v>101</v>
      </c>
      <c r="B105" s="2" t="str">
        <f>IFERROR(__xludf.DUMMYFUNCTION("""COMPUTED_VALUE"""),"COMPLETED")</f>
        <v>COMPLETED</v>
      </c>
      <c r="C105" s="74">
        <f>IFERROR(__xludf.DUMMYFUNCTION("""COMPUTED_VALUE"""),45422.0)</f>
        <v>45422</v>
      </c>
      <c r="D105" s="71" t="str">
        <f>IFERROR(__xludf.DUMMYFUNCTION("""COMPUTED_VALUE"""),"SANDIGAN NG MGA MANGGAGAWA SA AGRIKULTURA SA KANAYUNAN (SAMAKA)")</f>
        <v>SANDIGAN NG MGA MANGGAGAWA SA AGRIKULTURA SA KANAYUNAN (SAMAKA)</v>
      </c>
      <c r="E105" s="71" t="str">
        <f>IFERROR(__xludf.DUMMYFUNCTION("""COMPUTED_VALUE"""),"Calucmoy, Socorro, Oriental Mindoro")</f>
        <v>Calucmoy, Socorro, Oriental Mindoro</v>
      </c>
      <c r="F105" s="2" t="str">
        <f>IFERROR(__xludf.DUMMYFUNCTION("""COMPUTED_VALUE"""),"REX MAANO")</f>
        <v>REX MAANO</v>
      </c>
      <c r="G105" s="2">
        <f>IFERROR(__xludf.DUMMYFUNCTION("""COMPUTED_VALUE"""),9.50137721E9)</f>
        <v>9501377210</v>
      </c>
      <c r="H105" s="2">
        <f>IFERROR(__xludf.DUMMYFUNCTION("""COMPUTED_VALUE"""),155.0)</f>
        <v>155</v>
      </c>
      <c r="I105" s="72" t="str">
        <f>IFERROR(__xludf.DUMMYFUNCTION("""COMPUTED_VALUE"""),"REPAIR - TRACTOR")</f>
        <v>REPAIR - TRACTOR</v>
      </c>
      <c r="J105" s="72" t="str">
        <f>IFERROR(__xludf.DUMMYFUNCTION("""COMPUTED_VALUE"""),"Engine - Thermostat")</f>
        <v>Engine - Thermostat</v>
      </c>
      <c r="K105" s="72" t="str">
        <f>IFERROR(__xludf.DUMMYFUNCTION("""COMPUTED_VALUE"""),"OVERHEAT AT LAGI TUMATAAS ANG TEMPERATURE")</f>
        <v>OVERHEAT AT LAGI TUMATAAS ANG TEMPERATURE</v>
      </c>
      <c r="L105" s="72" t="str">
        <f>IFERROR(__xludf.DUMMYFUNCTION("""COMPUTED_VALUE"""),"5/11/24: JTT VIA PHONE CALL PINATANGAL KO ANG THERMOSTAT")</f>
        <v>5/11/24: JTT VIA PHONE CALL PINATANGAL KO ANG THERMOSTAT</v>
      </c>
      <c r="M105" s="2"/>
      <c r="N105" s="2"/>
      <c r="O105" s="2" t="str">
        <f>IFERROR(__xludf.DUMMYFUNCTION("""COMPUTED_VALUE"""),"N/A")</f>
        <v>N/A</v>
      </c>
      <c r="P105" s="2"/>
      <c r="Q105" s="2"/>
      <c r="R105" s="74">
        <f>IFERROR(__xludf.DUMMYFUNCTION("""COMPUTED_VALUE"""),45423.0)</f>
        <v>45423</v>
      </c>
      <c r="S105" s="2" t="str">
        <f>IFERROR(__xludf.DUMMYFUNCTION("""COMPUTED_VALUE"""),"JTT/RBS")</f>
        <v>JTT/RBS</v>
      </c>
      <c r="T105" s="73" t="str">
        <f>IFERROR(__xludf.DUMMYFUNCTION("""COMPUTED_VALUE""")," N/A   ")</f>
        <v>N/A  </v>
      </c>
      <c r="U105" s="73" t="str">
        <f>IFERROR(__xludf.DUMMYFUNCTION("""COMPUTED_VALUE""")," NO CHARGE ")</f>
        <v>NO CHARGE</v>
      </c>
      <c r="V105" s="2"/>
      <c r="W105" s="2" t="str">
        <f>IFERROR(__xludf.DUMMYFUNCTION("""COMPUTED_VALUE"""),"N/A")</f>
        <v>N/A</v>
      </c>
      <c r="X105" s="2" t="str">
        <f>IFERROR(__xludf.DUMMYFUNCTION("""COMPUTED_VALUE"""),"N/A")</f>
        <v>N/A</v>
      </c>
      <c r="Y105" s="2" t="str">
        <f>IFERROR(__xludf.DUMMYFUNCTION("""COMPUTED_VALUE"""),"MYKEE: FB")</f>
        <v>MYKEE: FB</v>
      </c>
      <c r="Z105" s="2"/>
      <c r="AA105" s="2"/>
      <c r="AB105" s="2"/>
      <c r="AC105" s="2"/>
      <c r="AD105" s="2"/>
      <c r="AE105" s="2"/>
      <c r="AF105" s="2"/>
      <c r="AG105" s="2"/>
      <c r="AH105" s="2"/>
      <c r="AI105" s="2"/>
      <c r="AJ105" s="2" t="str">
        <f>IFERROR(__xludf.DUMMYFUNCTION("""COMPUTED_VALUE"""),"Calucmoy")</f>
        <v>Calucmoy</v>
      </c>
      <c r="AK105" s="2" t="str">
        <f>IFERROR(__xludf.DUMMYFUNCTION("""COMPUTED_VALUE"""),"Socorro")</f>
        <v>Socorro</v>
      </c>
      <c r="AL105" s="2" t="str">
        <f>IFERROR(__xludf.DUMMYFUNCTION("""COMPUTED_VALUE"""),"Oriental Mindoro")</f>
        <v>Oriental Mindoro</v>
      </c>
      <c r="AM105" s="2" t="str">
        <f>IFERROR(__xludf.DUMMYFUNCTION("""COMPUTED_VALUE"""),"4B")</f>
        <v>4B</v>
      </c>
      <c r="AN105" s="2" t="str">
        <f>IFERROR(__xludf.DUMMYFUNCTION("""COMPUTED_VALUE"""),"RCEF 23-08-20 Rebidding")</f>
        <v>RCEF 23-08-20 Rebidding</v>
      </c>
      <c r="AO105" s="2">
        <f>IFERROR(__xludf.DUMMYFUNCTION("""COMPUTED_VALUE"""),1.0)</f>
        <v>1</v>
      </c>
      <c r="AP105" s="2"/>
      <c r="AQ105" s="2"/>
      <c r="AR105" s="2"/>
      <c r="AS105" s="2"/>
      <c r="AT105" s="2"/>
      <c r="AU105" s="2"/>
      <c r="AV105" s="2"/>
      <c r="AW105" s="2"/>
      <c r="AX105" s="2"/>
      <c r="AY105" s="2"/>
      <c r="AZ105" s="2"/>
      <c r="BA105" s="2"/>
      <c r="BB105" s="2"/>
    </row>
    <row r="106">
      <c r="A106" s="2">
        <f>IFERROR(__xludf.DUMMYFUNCTION("""COMPUTED_VALUE"""),102.0)</f>
        <v>102</v>
      </c>
      <c r="B106" s="2" t="str">
        <f>IFERROR(__xludf.DUMMYFUNCTION("""COMPUTED_VALUE"""),"COMPLETED")</f>
        <v>COMPLETED</v>
      </c>
      <c r="C106" s="74">
        <f>IFERROR(__xludf.DUMMYFUNCTION("""COMPUTED_VALUE"""),45422.0)</f>
        <v>45422</v>
      </c>
      <c r="D106" s="71" t="str">
        <f>IFERROR(__xludf.DUMMYFUNCTION("""COMPUTED_VALUE"""),"APO SENYONG FARMERS ASSOCIATION")</f>
        <v>APO SENYONG FARMERS ASSOCIATION</v>
      </c>
      <c r="E106" s="71" t="str">
        <f>IFERROR(__xludf.DUMMYFUNCTION("""COMPUTED_VALUE"""),"Vega, Bongabon, NUEVA ECIJA")</f>
        <v>Vega, Bongabon, NUEVA ECIJA</v>
      </c>
      <c r="F106" s="2" t="str">
        <f>IFERROR(__xludf.DUMMYFUNCTION("""COMPUTED_VALUE"""),"ROGELIO ALMERA")</f>
        <v>ROGELIO ALMERA</v>
      </c>
      <c r="G106" s="2">
        <f>IFERROR(__xludf.DUMMYFUNCTION("""COMPUTED_VALUE"""),9.975310433E9)</f>
        <v>9975310433</v>
      </c>
      <c r="H106" s="2"/>
      <c r="I106" s="72" t="str">
        <f>IFERROR(__xludf.DUMMYFUNCTION("""COMPUTED_VALUE"""),"TRAINING REQUEST")</f>
        <v>TRAINING REQUEST</v>
      </c>
      <c r="J106" s="72" t="str">
        <f>IFERROR(__xludf.DUMMYFUNCTION("""COMPUTED_VALUE"""),"TRAINING REQUEST")</f>
        <v>TRAINING REQUEST</v>
      </c>
      <c r="K106" s="72" t="str">
        <f>IFERROR(__xludf.DUMMYFUNCTION("""COMPUTED_VALUE"""),"TRAINING REQUEST")</f>
        <v>TRAINING REQUEST</v>
      </c>
      <c r="L106" s="72" t="str">
        <f>IFERROR(__xludf.DUMMYFUNCTION("""COMPUTED_VALUE"""),"TRAINING (BASIC OPERATION, TROUBLESHOOTING, MAINTENANCE, AND ACTUAL OPERATION)")</f>
        <v>TRAINING (BASIC OPERATION, TROUBLESHOOTING, MAINTENANCE, AND ACTUAL OPERATION)</v>
      </c>
      <c r="M106" s="2"/>
      <c r="N106" s="2"/>
      <c r="O106" s="2" t="str">
        <f>IFERROR(__xludf.DUMMYFUNCTION("""COMPUTED_VALUE"""),"JIE 237")</f>
        <v>JIE 237</v>
      </c>
      <c r="P106" s="2"/>
      <c r="Q106" s="2" t="str">
        <f>IFERROR(__xludf.DUMMYFUNCTION("""COMPUTED_VALUE"""),"FOR PRINT")</f>
        <v>FOR PRINT</v>
      </c>
      <c r="R106" s="74">
        <f>IFERROR(__xludf.DUMMYFUNCTION("""COMPUTED_VALUE"""),45428.0)</f>
        <v>45428</v>
      </c>
      <c r="S106" s="2" t="str">
        <f>IFERROR(__xludf.DUMMYFUNCTION("""COMPUTED_VALUE"""),"JHP/DRM")</f>
        <v>JHP/DRM</v>
      </c>
      <c r="T106" s="73" t="str">
        <f>IFERROR(__xludf.DUMMYFUNCTION("""COMPUTED_VALUE""")," N/A ")</f>
        <v>N/A</v>
      </c>
      <c r="U106" s="73" t="str">
        <f>IFERROR(__xludf.DUMMYFUNCTION("""COMPUTED_VALUE""")," NO CHARGE ")</f>
        <v>NO CHARGE</v>
      </c>
      <c r="V106" s="2"/>
      <c r="W106" s="2" t="str">
        <f>IFERROR(__xludf.DUMMYFUNCTION("""COMPUTED_VALUE"""),"N/A")</f>
        <v>N/A</v>
      </c>
      <c r="X106" s="2" t="str">
        <f>IFERROR(__xludf.DUMMYFUNCTION("""COMPUTED_VALUE"""),"N/A")</f>
        <v>N/A</v>
      </c>
      <c r="Y106" s="2" t="str">
        <f>IFERROR(__xludf.DUMMYFUNCTION("""COMPUTED_VALUE"""),"JHP")</f>
        <v>JHP</v>
      </c>
      <c r="Z106" s="2"/>
      <c r="AA106" s="2"/>
      <c r="AB106" s="2"/>
      <c r="AC106" s="2"/>
      <c r="AD106" s="2" t="str">
        <f>IFERROR(__xludf.DUMMYFUNCTION("""COMPUTED_VALUE"""),"report+picture")</f>
        <v>report+picture</v>
      </c>
      <c r="AE106" s="2"/>
      <c r="AF106" s="2"/>
      <c r="AG106" s="2"/>
      <c r="AH106" s="2"/>
      <c r="AI106" s="2"/>
      <c r="AJ106" s="2" t="str">
        <f>IFERROR(__xludf.DUMMYFUNCTION("""COMPUTED_VALUE"""),"Vega")</f>
        <v>Vega</v>
      </c>
      <c r="AK106" s="2" t="str">
        <f>IFERROR(__xludf.DUMMYFUNCTION("""COMPUTED_VALUE"""),"Bongabon")</f>
        <v>Bongabon</v>
      </c>
      <c r="AL106" s="2" t="str">
        <f>IFERROR(__xludf.DUMMYFUNCTION("""COMPUTED_VALUE"""),"Nueva Ecija")</f>
        <v>Nueva Ecija</v>
      </c>
      <c r="AM106" s="2">
        <f>IFERROR(__xludf.DUMMYFUNCTION("""COMPUTED_VALUE"""),3.0)</f>
        <v>3</v>
      </c>
      <c r="AN106" s="2" t="str">
        <f>IFERROR(__xludf.DUMMYFUNCTION("""COMPUTED_VALUE"""),"RCEF 23-09-21 Rebidding")</f>
        <v>RCEF 23-09-21 Rebidding</v>
      </c>
      <c r="AO106" s="2">
        <f>IFERROR(__xludf.DUMMYFUNCTION("""COMPUTED_VALUE"""),9.0)</f>
        <v>9</v>
      </c>
      <c r="AP106" s="2"/>
      <c r="AQ106" s="2"/>
      <c r="AR106" s="2"/>
      <c r="AS106" s="2"/>
      <c r="AT106" s="2"/>
      <c r="AU106" s="2"/>
      <c r="AV106" s="2"/>
      <c r="AW106" s="2"/>
      <c r="AX106" s="2"/>
      <c r="AY106" s="2"/>
      <c r="AZ106" s="2"/>
      <c r="BA106" s="2"/>
      <c r="BB106" s="2"/>
    </row>
    <row r="107">
      <c r="A107" s="2">
        <f>IFERROR(__xludf.DUMMYFUNCTION("""COMPUTED_VALUE"""),103.0)</f>
        <v>103</v>
      </c>
      <c r="B107" s="2" t="str">
        <f>IFERROR(__xludf.DUMMYFUNCTION("""COMPUTED_VALUE"""),"COMPLETED")</f>
        <v>COMPLETED</v>
      </c>
      <c r="C107" s="74">
        <f>IFERROR(__xludf.DUMMYFUNCTION("""COMPUTED_VALUE"""),45422.0)</f>
        <v>45422</v>
      </c>
      <c r="D107" s="71" t="str">
        <f>IFERROR(__xludf.DUMMYFUNCTION("""COMPUTED_VALUE"""),"BARANGAY BAGONG SIKAT FARMERS ASSOCIATION")</f>
        <v>BARANGAY BAGONG SIKAT FARMERS ASSOCIATION</v>
      </c>
      <c r="E107" s="71" t="str">
        <f>IFERROR(__xludf.DUMMYFUNCTION("""COMPUTED_VALUE"""),"Bagong Sikat, Cabanatuan City, NUEVA ECIJA")</f>
        <v>Bagong Sikat, Cabanatuan City, NUEVA ECIJA</v>
      </c>
      <c r="F107" s="2" t="str">
        <f>IFERROR(__xludf.DUMMYFUNCTION("""COMPUTED_VALUE"""),"MANOLITO DELOS REYES")</f>
        <v>MANOLITO DELOS REYES</v>
      </c>
      <c r="G107" s="2">
        <f>IFERROR(__xludf.DUMMYFUNCTION("""COMPUTED_VALUE"""),9.388270938E9)</f>
        <v>9388270938</v>
      </c>
      <c r="H107" s="2">
        <f>IFERROR(__xludf.DUMMYFUNCTION("""COMPUTED_VALUE"""),12.0)</f>
        <v>12</v>
      </c>
      <c r="I107" s="72" t="str">
        <f>IFERROR(__xludf.DUMMYFUNCTION("""COMPUTED_VALUE"""),"REPAIR - TRACTOR")</f>
        <v>REPAIR - TRACTOR</v>
      </c>
      <c r="J107" s="72" t="str">
        <f>IFERROR(__xludf.DUMMYFUNCTION("""COMPUTED_VALUE"""),"Engine - Overhaul")</f>
        <v>Engine - Overhaul</v>
      </c>
      <c r="K107" s="72" t="str">
        <f>IFERROR(__xludf.DUMMYFUNCTION("""COMPUTED_VALUE"""),"SUMABOG ANG RADIATOR          
5/24/24: 12 HRS , BLOW BY, NAGHALO YUNG TUBIG AT LANGIS. OVERHAUL ENGINE (NEED SERVICE REPORT)      
6/7/24: CYLINDER HEAD, CYLINDER BLOCK, CYLINDER HEAD GASKET, 8 VALVE SEAL, 4 PISTON, PISTON RING 1/4  
JDP:6/20/24: MAY CRA"&amp;"CK YUNG CYLINDER HEAD SA PANGALAWA AT PANGATLONG BUTAS MAY KAYOD NA RIN YUNG CYLINDER BLOCK
TYM: AS PER TYM PAPALITAN NG BUONG ENGINE")</f>
        <v>SUMABOG ANG RADIATOR          
5/24/24: 12 HRS , BLOW BY, NAGHALO YUNG TUBIG AT LANGIS. OVERHAUL ENGINE (NEED SERVICE REPORT)      
6/7/24: CYLINDER HEAD, CYLINDER BLOCK, CYLINDER HEAD GASKET, 8 VALVE SEAL, 4 PISTON, PISTON RING 1/4  
JDP:6/20/24: MAY CRACK YUNG CYLINDER HEAD SA PANGALAWA AT PANGATLONG BUTAS MAY KAYOD NA RIN YUNG CYLINDER BLOCK
TYM: AS PER TYM PAPALITAN NG BUONG ENGINE</v>
      </c>
      <c r="L107" s="72" t="str">
        <f>IFERROR(__xludf.DUMMYFUNCTION("""COMPUTED_VALUE"""),"ACS: REPLACED ENGINE BLOCK, HEAD, PISTONS, CRANSHAFTS BEARING, AND CONNCETING ROD BEARINGS: DELIVERED TO FCA
CTF: 
Delivery of Tractor: Done
Inobserve po ng 30mins ng naka andar ang makina Bago ako umalis, ok nmn po at wala naman naging problema.")</f>
        <v>ACS: REPLACED ENGINE BLOCK, HEAD, PISTONS, CRANSHAFTS BEARING, AND CONNCETING ROD BEARINGS: DELIVERED TO FCA
CTF: 
Delivery of Tractor: Done
Inobserve po ng 30mins ng naka andar ang makina Bago ako umalis, ok nmn po at wala naman naging problema.</v>
      </c>
      <c r="M107" s="2"/>
      <c r="N107" s="2" t="str">
        <f>IFERROR(__xludf.DUMMYFUNCTION("""COMPUTED_VALUE"""),"PARTS:
ENGINE BLOCK, 
CYLINDER HEAD ASSY, 
CYLINDER HEAD GASKET,  
4 PISTON, 
4 SETS OF PISTON RING, 
8 VALVE SEAL, 
10 BEARING ASSY MAIN, 
4 BEARING ASSY THRUST, 
4 CONNECTING ROD, 
8 CONNECTING ROD BEARING, 
4 PISTON PIN, 
8 RETAINER RING, 
4 HEATER PLU"&amp;"G, 
4 INJECTOR,")</f>
        <v>PARTS:
ENGINE BLOCK, 
CYLINDER HEAD ASSY, 
CYLINDER HEAD GASKET,  
4 PISTON, 
4 SETS OF PISTON RING, 
8 VALVE SEAL, 
10 BEARING ASSY MAIN, 
4 BEARING ASSY THRUST, 
4 CONNECTING ROD, 
8 CONNECTING ROD BEARING, 
4 PISTON PIN, 
8 RETAINER RING, 
4 HEATER PLUG, 
4 INJECTOR,</v>
      </c>
      <c r="O107" s="2">
        <f>IFERROR(__xludf.DUMMYFUNCTION("""COMPUTED_VALUE"""),1228.0)</f>
        <v>1228</v>
      </c>
      <c r="P107" s="2"/>
      <c r="Q107" s="2" t="str">
        <f>IFERROR(__xludf.DUMMYFUNCTION("""COMPUTED_VALUE"""),"Y")</f>
        <v>Y</v>
      </c>
      <c r="R107" s="74">
        <f>IFERROR(__xludf.DUMMYFUNCTION("""COMPUTED_VALUE"""),45736.0)</f>
        <v>45736</v>
      </c>
      <c r="S107" s="2" t="str">
        <f>IFERROR(__xludf.DUMMYFUNCTION("""COMPUTED_VALUE"""),"ACS/JHP")</f>
        <v>ACS/JHP</v>
      </c>
      <c r="T107" s="73" t="str">
        <f>IFERROR(__xludf.DUMMYFUNCTION("""COMPUTED_VALUE""")," N/A ")</f>
        <v>N/A</v>
      </c>
      <c r="U107" s="73" t="str">
        <f>IFERROR(__xludf.DUMMYFUNCTION("""COMPUTED_VALUE""")," NO CHARGE ")</f>
        <v>NO CHARGE</v>
      </c>
      <c r="V107" s="2"/>
      <c r="W107" s="2" t="str">
        <f>IFERROR(__xludf.DUMMYFUNCTION("""COMPUTED_VALUE"""),"N/A")</f>
        <v>N/A</v>
      </c>
      <c r="X107" s="2" t="str">
        <f>IFERROR(__xludf.DUMMYFUNCTION("""COMPUTED_VALUE"""),"N/A")</f>
        <v>N/A</v>
      </c>
      <c r="Y107" s="2"/>
      <c r="Z107" s="2"/>
      <c r="AA107" s="2" t="str">
        <f>IFERROR(__xludf.DUMMYFUNCTION("""COMPUTED_VALUE"""),"APPROVED")</f>
        <v>APPROVED</v>
      </c>
      <c r="AB107" s="2"/>
      <c r="AC107" s="2" t="str">
        <f>IFERROR(__xludf.DUMMYFUNCTION("""COMPUTED_VALUE"""),"Y")</f>
        <v>Y</v>
      </c>
      <c r="AD107" s="2" t="str">
        <f>IFERROR(__xludf.DUMMYFUNCTION("""COMPUTED_VALUE"""),"pictures+video+kfs report+tech report+ltc service report")</f>
        <v>pictures+video+kfs report+tech report+ltc service report</v>
      </c>
      <c r="AE107" s="2"/>
      <c r="AF107" s="2"/>
      <c r="AG107" s="2"/>
      <c r="AH107" s="2"/>
      <c r="AI107" s="2"/>
      <c r="AJ107" s="2" t="str">
        <f>IFERROR(__xludf.DUMMYFUNCTION("""COMPUTED_VALUE"""),"Bagong Sikat")</f>
        <v>Bagong Sikat</v>
      </c>
      <c r="AK107" s="2" t="str">
        <f>IFERROR(__xludf.DUMMYFUNCTION("""COMPUTED_VALUE"""),"Cabanatuan City")</f>
        <v>Cabanatuan City</v>
      </c>
      <c r="AL107" s="2" t="str">
        <f>IFERROR(__xludf.DUMMYFUNCTION("""COMPUTED_VALUE"""),"Nueva Ecija")</f>
        <v>Nueva Ecija</v>
      </c>
      <c r="AM107" s="2">
        <f>IFERROR(__xludf.DUMMYFUNCTION("""COMPUTED_VALUE"""),3.0)</f>
        <v>3</v>
      </c>
      <c r="AN107" s="2" t="str">
        <f>IFERROR(__xludf.DUMMYFUNCTION("""COMPUTED_VALUE"""),"RCEF 23-09-21 Rebidding")</f>
        <v>RCEF 23-09-21 Rebidding</v>
      </c>
      <c r="AO107" s="2">
        <f>IFERROR(__xludf.DUMMYFUNCTION("""COMPUTED_VALUE"""),3.0)</f>
        <v>3</v>
      </c>
      <c r="AP107" s="2"/>
      <c r="AQ107" s="2"/>
      <c r="AR107" s="2"/>
      <c r="AS107" s="2"/>
      <c r="AT107" s="2"/>
      <c r="AU107" s="2"/>
      <c r="AV107" s="2"/>
      <c r="AW107" s="2"/>
      <c r="AX107" s="2"/>
      <c r="AY107" s="2"/>
      <c r="AZ107" s="2"/>
      <c r="BA107" s="2"/>
      <c r="BB107" s="2"/>
    </row>
    <row r="108">
      <c r="A108" s="2">
        <f>IFERROR(__xludf.DUMMYFUNCTION("""COMPUTED_VALUE"""),104.0)</f>
        <v>104</v>
      </c>
      <c r="B108" s="2" t="str">
        <f>IFERROR(__xludf.DUMMYFUNCTION("""COMPUTED_VALUE"""),"COMPLETED")</f>
        <v>COMPLETED</v>
      </c>
      <c r="C108" s="74">
        <f>IFERROR(__xludf.DUMMYFUNCTION("""COMPUTED_VALUE"""),45424.0)</f>
        <v>45424</v>
      </c>
      <c r="D108" s="71" t="str">
        <f>IFERROR(__xludf.DUMMYFUNCTION("""COMPUTED_VALUE"""),"LIOZON FISHERFOLKS AND FARMERS' ASSOCIATION")</f>
        <v>LIOZON FISHERFOLKS AND FARMERS' ASSOCIATION</v>
      </c>
      <c r="E108" s="71" t="str">
        <f>IFERROR(__xludf.DUMMYFUNCTION("""COMPUTED_VALUE"""),"Liozon, Palauig, ZAMBALES")</f>
        <v>Liozon, Palauig, ZAMBALES</v>
      </c>
      <c r="F108" s="2" t="str">
        <f>IFERROR(__xludf.DUMMYFUNCTION("""COMPUTED_VALUE"""),"RENE ALVES")</f>
        <v>RENE ALVES</v>
      </c>
      <c r="G108" s="2">
        <f>IFERROR(__xludf.DUMMYFUNCTION("""COMPUTED_VALUE"""),9.502454865E9)</f>
        <v>9502454865</v>
      </c>
      <c r="H108" s="2">
        <f>IFERROR(__xludf.DUMMYFUNCTION("""COMPUTED_VALUE"""),72.0)</f>
        <v>72</v>
      </c>
      <c r="I108" s="72" t="str">
        <f>IFERROR(__xludf.DUMMYFUNCTION("""COMPUTED_VALUE"""),"REPAIR - TRACTOR")</f>
        <v>REPAIR - TRACTOR</v>
      </c>
      <c r="J108" s="72" t="str">
        <f>IFERROR(__xludf.DUMMYFUNCTION("""COMPUTED_VALUE"""),"Engine - Overhaul")</f>
        <v>Engine - Overhaul</v>
      </c>
      <c r="K108" s="72" t="str">
        <f>IFERROR(__xludf.DUMMYFUNCTION("""COMPUTED_VALUE"""),"NA USOK ANG BREATHER NG ENGINE AT HINDI DAW NAPALITAN NG OIL FILTER                              
 5/14/24:BLOWBY NAUSOK SA ENIGINE BREATHER AT NABUGA ANG LANGIS PATI TUBIG NG RADIATOR                                  
5/22/24: ABRASIVE WEAR OF CYLINDER "&amp;"LINER, ONGOING DISASSAMBLE OF TYM TRACTOR ENGINE (GENERAL OVERHAUL  WITH FIT COREA AND LTC WHSE) REPLACEMENT OF CYLINDER BLOCK SINCE TYM TRACTOR'S CYLINDER IS FIXED              ")</f>
        <v>NA USOK ANG BREATHER NG ENGINE AT HINDI DAW NAPALITAN NG OIL FILTER                              
 5/14/24:BLOWBY NAUSOK SA ENIGINE BREATHER AT NABUGA ANG LANGIS PATI TUBIG NG RADIATOR                                  
5/22/24: ABRASIVE WEAR OF CYLINDER LINER, ONGOING DISASSAMBLE OF TYM TRACTOR ENGINE (GENERAL OVERHAUL  WITH FIT COREA AND LTC WHSE) REPLACEMENT OF CYLINDER BLOCK SINCE TYM TRACTOR'S CYLINDER IS FIXED              </v>
      </c>
      <c r="L108" s="72" t="str">
        <f>IFERROR(__xludf.DUMMYFUNCTION("""COMPUTED_VALUE"""),"5/22/24: ABRASIVE WEAR OF CYLINDER LINER, ONGOING DISASSAMBLE OF TYM TRACTOR ENGINE (GENERAL OVERHAUL  WITH FIT COREA AND LTC WHSE) REPLACEMENT OF CYLINDER BLOCK SINCE TYM TRACTOR'S CYLINDER IS FIXED              ")</f>
        <v>5/22/24: ABRASIVE WEAR OF CYLINDER LINER, ONGOING DISASSAMBLE OF TYM TRACTOR ENGINE (GENERAL OVERHAUL  WITH FIT COREA AND LTC WHSE) REPLACEMENT OF CYLINDER BLOCK SINCE TYM TRACTOR'S CYLINDER IS FIXED              </v>
      </c>
      <c r="M108" s="2"/>
      <c r="N108" s="2" t="str">
        <f>IFERROR(__xludf.DUMMYFUNCTION("""COMPUTED_VALUE"""),"PARTS:
")</f>
        <v>PARTS:
</v>
      </c>
      <c r="O108" s="2" t="str">
        <f>IFERROR(__xludf.DUMMYFUNCTION("""COMPUTED_VALUE"""),"JIE-082")</f>
        <v>JIE-082</v>
      </c>
      <c r="P108" s="2"/>
      <c r="Q108" s="2"/>
      <c r="R108" s="74">
        <f>IFERROR(__xludf.DUMMYFUNCTION("""COMPUTED_VALUE"""),45446.0)</f>
        <v>45446</v>
      </c>
      <c r="S108" s="2" t="str">
        <f>IFERROR(__xludf.DUMMYFUNCTION("""COMPUTED_VALUE"""),"JHP/DRM")</f>
        <v>JHP/DRM</v>
      </c>
      <c r="T108" s="73" t="str">
        <f>IFERROR(__xludf.DUMMYFUNCTION("""COMPUTED_VALUE""")," N/A ")</f>
        <v>N/A</v>
      </c>
      <c r="U108" s="73" t="str">
        <f>IFERROR(__xludf.DUMMYFUNCTION("""COMPUTED_VALUE""")," NO CHARGE ")</f>
        <v>NO CHARGE</v>
      </c>
      <c r="V108" s="2"/>
      <c r="W108" s="2" t="str">
        <f>IFERROR(__xludf.DUMMYFUNCTION("""COMPUTED_VALUE"""),"N/A")</f>
        <v>N/A</v>
      </c>
      <c r="X108" s="2" t="str">
        <f>IFERROR(__xludf.DUMMYFUNCTION("""COMPUTED_VALUE"""),"N/A")</f>
        <v>N/A</v>
      </c>
      <c r="Y108" s="2"/>
      <c r="Z108" s="2" t="str">
        <f>IFERROR(__xludf.DUMMYFUNCTION("""COMPUTED_VALUE"""),"LEADS-EP-0021")</f>
        <v>LEADS-EP-0021</v>
      </c>
      <c r="AA108" s="2" t="str">
        <f>IFERROR(__xludf.DUMMYFUNCTION("""COMPUTED_VALUE"""),"REJECT")</f>
        <v>REJECT</v>
      </c>
      <c r="AB108" s="2" t="str">
        <f>IFERROR(__xludf.DUMMYFUNCTION("""COMPUTED_VALUE"""),"ACCOMPLISHED")</f>
        <v>ACCOMPLISHED</v>
      </c>
      <c r="AC108" s="2" t="str">
        <f>IFERROR(__xludf.DUMMYFUNCTION("""COMPUTED_VALUE"""),"Y")</f>
        <v>Y</v>
      </c>
      <c r="AD108" s="2"/>
      <c r="AE108" s="2"/>
      <c r="AF108" s="2"/>
      <c r="AG108" s="2"/>
      <c r="AH108" s="2"/>
      <c r="AI108" s="2"/>
      <c r="AJ108" s="2" t="str">
        <f>IFERROR(__xludf.DUMMYFUNCTION("""COMPUTED_VALUE"""),"Liozon")</f>
        <v>Liozon</v>
      </c>
      <c r="AK108" s="2" t="str">
        <f>IFERROR(__xludf.DUMMYFUNCTION("""COMPUTED_VALUE"""),"Palauig")</f>
        <v>Palauig</v>
      </c>
      <c r="AL108" s="2" t="str">
        <f>IFERROR(__xludf.DUMMYFUNCTION("""COMPUTED_VALUE"""),"Zambales")</f>
        <v>Zambales</v>
      </c>
      <c r="AM108" s="2">
        <f>IFERROR(__xludf.DUMMYFUNCTION("""COMPUTED_VALUE"""),3.0)</f>
        <v>3</v>
      </c>
      <c r="AN108" s="2" t="str">
        <f>IFERROR(__xludf.DUMMYFUNCTION("""COMPUTED_VALUE"""),"RCEF 23-09-21 Rebidding")</f>
        <v>RCEF 23-09-21 Rebidding</v>
      </c>
      <c r="AO108" s="2">
        <f>IFERROR(__xludf.DUMMYFUNCTION("""COMPUTED_VALUE"""),3.0)</f>
        <v>3</v>
      </c>
      <c r="AP108" s="2"/>
      <c r="AQ108" s="2"/>
      <c r="AR108" s="2"/>
      <c r="AS108" s="2"/>
      <c r="AT108" s="2"/>
      <c r="AU108" s="2"/>
      <c r="AV108" s="2"/>
      <c r="AW108" s="2"/>
      <c r="AX108" s="2"/>
      <c r="AY108" s="2"/>
      <c r="AZ108" s="2"/>
      <c r="BA108" s="2"/>
      <c r="BB108" s="2"/>
    </row>
    <row r="109">
      <c r="A109" s="2">
        <f>IFERROR(__xludf.DUMMYFUNCTION("""COMPUTED_VALUE"""),105.0)</f>
        <v>105</v>
      </c>
      <c r="B109" s="2" t="str">
        <f>IFERROR(__xludf.DUMMYFUNCTION("""COMPUTED_VALUE"""),"COMPLETED")</f>
        <v>COMPLETED</v>
      </c>
      <c r="C109" s="74">
        <f>IFERROR(__xludf.DUMMYFUNCTION("""COMPUTED_VALUE"""),45425.0)</f>
        <v>45425</v>
      </c>
      <c r="D109" s="71" t="str">
        <f>IFERROR(__xludf.DUMMYFUNCTION("""COMPUTED_VALUE"""),"MUNICIPAL LOCAL GOVERNMENT UNIT OF ANGAT")</f>
        <v>MUNICIPAL LOCAL GOVERNMENT UNIT OF ANGAT</v>
      </c>
      <c r="E109" s="71" t="str">
        <f>IFERROR(__xludf.DUMMYFUNCTION("""COMPUTED_VALUE"""),"Poblacion, Angat, Bulacan")</f>
        <v>Poblacion, Angat, Bulacan</v>
      </c>
      <c r="F109" s="2" t="str">
        <f>IFERROR(__xludf.DUMMYFUNCTION("""COMPUTED_VALUE"""),"MUNICIPAL GOVERMENT OF ANGAT")</f>
        <v>MUNICIPAL GOVERMENT OF ANGAT</v>
      </c>
      <c r="G109" s="2" t="str">
        <f>IFERROR(__xludf.DUMMYFUNCTION("""COMPUTED_VALUE"""),"JOSEPH H. DEL ROSARIO  (09179941102)")</f>
        <v>JOSEPH H. DEL ROSARIO  (09179941102)</v>
      </c>
      <c r="H109" s="2"/>
      <c r="I109" s="72" t="str">
        <f>IFERROR(__xludf.DUMMYFUNCTION("""COMPUTED_VALUE"""),"SPARE PARTS ACQUISITION")</f>
        <v>SPARE PARTS ACQUISITION</v>
      </c>
      <c r="J109" s="72" t="str">
        <f>IFERROR(__xludf.DUMMYFUNCTION("""COMPUTED_VALUE"""),"SPARE PARTS ACQUISITION")</f>
        <v>SPARE PARTS ACQUISITION</v>
      </c>
      <c r="K109" s="72" t="str">
        <f>IFERROR(__xludf.DUMMYFUNCTION("""COMPUTED_VALUE"""),"3PCS OIL FILTER, 3PCS FUEL FILTER, 2PCS HYDRAULIC FILTER, 2SETS OF BLADES")</f>
        <v>3PCS OIL FILTER, 3PCS FUEL FILTER, 2PCS HYDRAULIC FILTER, 2SETS OF BLADES</v>
      </c>
      <c r="L109" s="72" t="str">
        <f>IFERROR(__xludf.DUMMYFUNCTION("""COMPUTED_VALUE"""),"CANCELLED")</f>
        <v>CANCELLED</v>
      </c>
      <c r="M109" s="2"/>
      <c r="N109" s="2" t="str">
        <f>IFERROR(__xludf.DUMMYFUNCTION("""COMPUTED_VALUE"""),"CANCELLED")</f>
        <v>CANCELLED</v>
      </c>
      <c r="O109" s="2" t="str">
        <f>IFERROR(__xludf.DUMMYFUNCTION("""COMPUTED_VALUE"""),"CANCELLED")</f>
        <v>CANCELLED</v>
      </c>
      <c r="P109" s="2"/>
      <c r="Q109" s="2"/>
      <c r="R109" s="74">
        <f>IFERROR(__xludf.DUMMYFUNCTION("""COMPUTED_VALUE"""),45425.0)</f>
        <v>45425</v>
      </c>
      <c r="S109" s="2" t="str">
        <f>IFERROR(__xludf.DUMMYFUNCTION("""COMPUTED_VALUE"""),"N/A")</f>
        <v>N/A</v>
      </c>
      <c r="T109" s="73" t="str">
        <f>IFERROR(__xludf.DUMMYFUNCTION("""COMPUTED_VALUE""")," N/A ")</f>
        <v>N/A</v>
      </c>
      <c r="U109" s="73" t="str">
        <f>IFERROR(__xludf.DUMMYFUNCTION("""COMPUTED_VALUE""")," NO CHARGE ")</f>
        <v>NO CHARGE</v>
      </c>
      <c r="V109" s="2"/>
      <c r="W109" s="2" t="str">
        <f>IFERROR(__xludf.DUMMYFUNCTION("""COMPUTED_VALUE"""),"N/A")</f>
        <v>N/A</v>
      </c>
      <c r="X109" s="2" t="str">
        <f>IFERROR(__xludf.DUMMYFUNCTION("""COMPUTED_VALUE"""),"N/A")</f>
        <v>N/A</v>
      </c>
      <c r="Y109" s="2" t="str">
        <f>IFERROR(__xludf.DUMMYFUNCTION("""COMPUTED_VALUE"""),"KFS")</f>
        <v>KFS</v>
      </c>
      <c r="Z109" s="2"/>
      <c r="AA109" s="2"/>
      <c r="AB109" s="2"/>
      <c r="AC109" s="2"/>
      <c r="AD109" s="2"/>
      <c r="AE109" s="2"/>
      <c r="AF109" s="2"/>
      <c r="AG109" s="2"/>
      <c r="AH109" s="2"/>
      <c r="AI109" s="2"/>
      <c r="AJ109" s="2" t="str">
        <f>IFERROR(__xludf.DUMMYFUNCTION("""COMPUTED_VALUE"""),"Poblacion")</f>
        <v>Poblacion</v>
      </c>
      <c r="AK109" s="2" t="str">
        <f>IFERROR(__xludf.DUMMYFUNCTION("""COMPUTED_VALUE"""),"Angat")</f>
        <v>Angat</v>
      </c>
      <c r="AL109" s="2" t="str">
        <f>IFERROR(__xludf.DUMMYFUNCTION("""COMPUTED_VALUE"""),"Bulacan")</f>
        <v>Bulacan</v>
      </c>
      <c r="AM109" s="2">
        <f>IFERROR(__xludf.DUMMYFUNCTION("""COMPUTED_VALUE"""),3.0)</f>
        <v>3</v>
      </c>
      <c r="AN109" s="2" t="str">
        <f>IFERROR(__xludf.DUMMYFUNCTION("""COMPUTED_VALUE"""),"RCEF 23-09-21 Rebidding")</f>
        <v>RCEF 23-09-21 Rebidding</v>
      </c>
      <c r="AO109" s="2">
        <f>IFERROR(__xludf.DUMMYFUNCTION("""COMPUTED_VALUE"""),3.0)</f>
        <v>3</v>
      </c>
      <c r="AP109" s="2"/>
      <c r="AQ109" s="2"/>
      <c r="AR109" s="2"/>
      <c r="AS109" s="2"/>
      <c r="AT109" s="2"/>
      <c r="AU109" s="2"/>
      <c r="AV109" s="2"/>
      <c r="AW109" s="2"/>
      <c r="AX109" s="2"/>
      <c r="AY109" s="2"/>
      <c r="AZ109" s="2"/>
      <c r="BA109" s="2"/>
      <c r="BB109" s="2"/>
    </row>
    <row r="110">
      <c r="A110" s="2">
        <f>IFERROR(__xludf.DUMMYFUNCTION("""COMPUTED_VALUE"""),106.0)</f>
        <v>106</v>
      </c>
      <c r="B110" s="2" t="str">
        <f>IFERROR(__xludf.DUMMYFUNCTION("""COMPUTED_VALUE"""),"COMPLETED")</f>
        <v>COMPLETED</v>
      </c>
      <c r="C110" s="74">
        <f>IFERROR(__xludf.DUMMYFUNCTION("""COMPUTED_VALUE"""),45425.0)</f>
        <v>45425</v>
      </c>
      <c r="D110" s="71" t="str">
        <f>IFERROR(__xludf.DUMMYFUNCTION("""COMPUTED_VALUE"""),"Camandang Irrigators Association")</f>
        <v>Camandang Irrigators Association</v>
      </c>
      <c r="E110" s="71" t="str">
        <f>IFERROR(__xludf.DUMMYFUNCTION("""COMPUTED_VALUE"""),"MONTECLARO, SAN JOSE, OCCIDENTAL MINDORO")</f>
        <v>MONTECLARO, SAN JOSE, OCCIDENTAL MINDORO</v>
      </c>
      <c r="F110" s="2" t="str">
        <f>IFERROR(__xludf.DUMMYFUNCTION("""COMPUTED_VALUE"""),"EDUARDO TOQUERO")</f>
        <v>EDUARDO TOQUERO</v>
      </c>
      <c r="G110" s="2">
        <f>IFERROR(__xludf.DUMMYFUNCTION("""COMPUTED_VALUE"""),9.658977577E9)</f>
        <v>9658977577</v>
      </c>
      <c r="H110" s="2">
        <f>IFERROR(__xludf.DUMMYFUNCTION("""COMPUTED_VALUE"""),350.0)</f>
        <v>350</v>
      </c>
      <c r="I110" s="72" t="str">
        <f>IFERROR(__xludf.DUMMYFUNCTION("""COMPUTED_VALUE"""),"SPARE PARTS ACQUISITION")</f>
        <v>SPARE PARTS ACQUISITION</v>
      </c>
      <c r="J110" s="72" t="str">
        <f>IFERROR(__xludf.DUMMYFUNCTION("""COMPUTED_VALUE"""),"SPARE PARTS ACQUISITION")</f>
        <v>SPARE PARTS ACQUISITION</v>
      </c>
      <c r="K110" s="72" t="str">
        <f>IFERROR(__xludf.DUMMYFUNCTION("""COMPUTED_VALUE"""),"REVISE: 1PCS OIL FILTER, 1PCS HYDRAULIC FILTER , 1PCS FUEL FILTER,  1PCS AIR FILTER")</f>
        <v>REVISE: 1PCS OIL FILTER, 1PCS HYDRAULIC FILTER , 1PCS FUEL FILTER,  1PCS AIR FILTER</v>
      </c>
      <c r="L110" s="72" t="str">
        <f>IFERROR(__xludf.DUMMYFUNCTION("""COMPUTED_VALUE"""),"DELIVERED")</f>
        <v>DELIVERED</v>
      </c>
      <c r="M110" s="2"/>
      <c r="N110" s="2" t="str">
        <f>IFERROR(__xludf.DUMMYFUNCTION("""COMPUTED_VALUE"""),"PAID BY FCA: 
1 OIL FILTER, 
1 FUEL FILTER, 
1 AIR FILTER (INNER) ")</f>
        <v>PAID BY FCA: 
1 OIL FILTER, 
1 FUEL FILTER, 
1 AIR FILTER (INNER) </v>
      </c>
      <c r="O110" s="2" t="str">
        <f>IFERROR(__xludf.DUMMYFUNCTION("""COMPUTED_VALUE"""),"N/A")</f>
        <v>N/A</v>
      </c>
      <c r="P110" s="2"/>
      <c r="Q110" s="2"/>
      <c r="R110" s="74">
        <f>IFERROR(__xludf.DUMMYFUNCTION("""COMPUTED_VALUE"""),45437.0)</f>
        <v>45437</v>
      </c>
      <c r="S110" s="2" t="str">
        <f>IFERROR(__xludf.DUMMYFUNCTION("""COMPUTED_VALUE"""),"JTT / PAUL")</f>
        <v>JTT / PAUL</v>
      </c>
      <c r="T110" s="73">
        <f>IFERROR(__xludf.DUMMYFUNCTION("""COMPUTED_VALUE"""),13540.5)</f>
        <v>13540.5</v>
      </c>
      <c r="U110" s="73" t="str">
        <f>IFERROR(__xludf.DUMMYFUNCTION("""COMPUTED_VALUE""")," REMITTED ")</f>
        <v>REMITTED</v>
      </c>
      <c r="V110" s="2"/>
      <c r="W110" s="2"/>
      <c r="X110" s="2"/>
      <c r="Y110" s="2" t="str">
        <f>IFERROR(__xludf.DUMMYFUNCTION("""COMPUTED_VALUE"""),"JTT/MYKEE")</f>
        <v>JTT/MYKEE</v>
      </c>
      <c r="Z110" s="2"/>
      <c r="AA110" s="2"/>
      <c r="AB110" s="2"/>
      <c r="AC110" s="2"/>
      <c r="AD110" s="2"/>
      <c r="AE110" s="2"/>
      <c r="AF110" s="2"/>
      <c r="AG110" s="2"/>
      <c r="AH110" s="2"/>
      <c r="AI110" s="2"/>
      <c r="AJ110" s="2" t="str">
        <f>IFERROR(__xludf.DUMMYFUNCTION("""COMPUTED_VALUE"""),"Monteclaro")</f>
        <v>Monteclaro</v>
      </c>
      <c r="AK110" s="2" t="str">
        <f>IFERROR(__xludf.DUMMYFUNCTION("""COMPUTED_VALUE"""),"San Jose")</f>
        <v>San Jose</v>
      </c>
      <c r="AL110" s="2" t="str">
        <f>IFERROR(__xludf.DUMMYFUNCTION("""COMPUTED_VALUE"""),"Occidental Mindoro")</f>
        <v>Occidental Mindoro</v>
      </c>
      <c r="AM110" s="2" t="str">
        <f>IFERROR(__xludf.DUMMYFUNCTION("""COMPUTED_VALUE"""),"4B")</f>
        <v>4B</v>
      </c>
      <c r="AN110" s="2" t="str">
        <f>IFERROR(__xludf.DUMMYFUNCTION("""COMPUTED_VALUE"""),"RCEF 23-08-20 Rebidding")</f>
        <v>RCEF 23-08-20 Rebidding</v>
      </c>
      <c r="AO110" s="2">
        <f>IFERROR(__xludf.DUMMYFUNCTION("""COMPUTED_VALUE"""),1.0)</f>
        <v>1</v>
      </c>
      <c r="AP110" s="2"/>
      <c r="AQ110" s="2"/>
      <c r="AR110" s="2"/>
      <c r="AS110" s="2"/>
      <c r="AT110" s="2"/>
      <c r="AU110" s="2"/>
      <c r="AV110" s="2"/>
      <c r="AW110" s="2"/>
      <c r="AX110" s="2"/>
      <c r="AY110" s="2"/>
      <c r="AZ110" s="2"/>
      <c r="BA110" s="2"/>
      <c r="BB110" s="2"/>
    </row>
    <row r="111">
      <c r="A111" s="2">
        <f>IFERROR(__xludf.DUMMYFUNCTION("""COMPUTED_VALUE"""),107.0)</f>
        <v>107</v>
      </c>
      <c r="B111" s="2" t="str">
        <f>IFERROR(__xludf.DUMMYFUNCTION("""COMPUTED_VALUE"""),"COMPLETED")</f>
        <v>COMPLETED</v>
      </c>
      <c r="C111" s="74">
        <f>IFERROR(__xludf.DUMMYFUNCTION("""COMPUTED_VALUE"""),45425.0)</f>
        <v>45425</v>
      </c>
      <c r="D111" s="71" t="str">
        <f>IFERROR(__xludf.DUMMYFUNCTION("""COMPUTED_VALUE"""),"CAMLONGAN IRRIGATORS ASSOCIATION INC.")</f>
        <v>CAMLONGAN IRRIGATORS ASSOCIATION INC.</v>
      </c>
      <c r="E111" s="71" t="str">
        <f>IFERROR(__xludf.DUMMYFUNCTION("""COMPUTED_VALUE"""),"Kapitangan, Paombong, BULACAN")</f>
        <v>Kapitangan, Paombong, BULACAN</v>
      </c>
      <c r="F111" s="2" t="str">
        <f>IFERROR(__xludf.DUMMYFUNCTION("""COMPUTED_VALUE"""),"DESIDERIO PABLICO")</f>
        <v>DESIDERIO PABLICO</v>
      </c>
      <c r="G111" s="2">
        <f>IFERROR(__xludf.DUMMYFUNCTION("""COMPUTED_VALUE"""),9.212606572E9)</f>
        <v>9212606572</v>
      </c>
      <c r="H111" s="2">
        <f>IFERROR(__xludf.DUMMYFUNCTION("""COMPUTED_VALUE"""),50.0)</f>
        <v>50</v>
      </c>
      <c r="I111" s="72" t="str">
        <f>IFERROR(__xludf.DUMMYFUNCTION("""COMPUTED_VALUE"""),"PMS")</f>
        <v>PMS</v>
      </c>
      <c r="J111" s="72" t="str">
        <f>IFERROR(__xludf.DUMMYFUNCTION("""COMPUTED_VALUE"""),"PMS")</f>
        <v>PMS</v>
      </c>
      <c r="K111" s="72" t="str">
        <f>IFERROR(__xludf.DUMMYFUNCTION("""COMPUTED_VALUE"""),"FIRTS PMS")</f>
        <v>FIRTS PMS</v>
      </c>
      <c r="L111" s="72" t="str">
        <f>IFERROR(__xludf.DUMMYFUNCTION("""COMPUTED_VALUE"""),"CHANGE OIL")</f>
        <v>CHANGE OIL</v>
      </c>
      <c r="M111" s="2"/>
      <c r="N111" s="2" t="str">
        <f>IFERROR(__xludf.DUMMYFUNCTION("""COMPUTED_VALUE"""),"OIL FILTER")</f>
        <v>OIL FILTER</v>
      </c>
      <c r="O111" s="2" t="str">
        <f>IFERROR(__xludf.DUMMYFUNCTION("""COMPUTED_VALUE"""),"JIE-243")</f>
        <v>JIE-243</v>
      </c>
      <c r="P111" s="2"/>
      <c r="Q111" s="2"/>
      <c r="R111" s="74">
        <f>IFERROR(__xludf.DUMMYFUNCTION("""COMPUTED_VALUE"""),45426.0)</f>
        <v>45426</v>
      </c>
      <c r="S111" s="2" t="str">
        <f>IFERROR(__xludf.DUMMYFUNCTION("""COMPUTED_VALUE"""),"RBS")</f>
        <v>RBS</v>
      </c>
      <c r="T111" s="73">
        <f>IFERROR(__xludf.DUMMYFUNCTION("""COMPUTED_VALUE"""),2837.5)</f>
        <v>2837.5</v>
      </c>
      <c r="U111" s="73" t="str">
        <f>IFERROR(__xludf.DUMMYFUNCTION("""COMPUTED_VALUE""")," REMITTED ")</f>
        <v>REMITTED</v>
      </c>
      <c r="V111" s="2"/>
      <c r="W111" s="2"/>
      <c r="X111" s="2">
        <f>IFERROR(__xludf.DUMMYFUNCTION("""COMPUTED_VALUE"""),1098.0)</f>
        <v>1098</v>
      </c>
      <c r="Y111" s="2" t="str">
        <f>IFERROR(__xludf.DUMMYFUNCTION("""COMPUTED_VALUE"""),"KFS")</f>
        <v>KFS</v>
      </c>
      <c r="Z111" s="2"/>
      <c r="AA111" s="2"/>
      <c r="AB111" s="2"/>
      <c r="AC111" s="2"/>
      <c r="AD111" s="2"/>
      <c r="AE111" s="2"/>
      <c r="AF111" s="2"/>
      <c r="AG111" s="2"/>
      <c r="AH111" s="2"/>
      <c r="AI111" s="2"/>
      <c r="AJ111" s="2" t="str">
        <f>IFERROR(__xludf.DUMMYFUNCTION("""COMPUTED_VALUE"""),"Kapitangan")</f>
        <v>Kapitangan</v>
      </c>
      <c r="AK111" s="2" t="str">
        <f>IFERROR(__xludf.DUMMYFUNCTION("""COMPUTED_VALUE"""),"Paombong")</f>
        <v>Paombong</v>
      </c>
      <c r="AL111" s="2" t="str">
        <f>IFERROR(__xludf.DUMMYFUNCTION("""COMPUTED_VALUE"""),"Bulacan")</f>
        <v>Bulacan</v>
      </c>
      <c r="AM111" s="2">
        <f>IFERROR(__xludf.DUMMYFUNCTION("""COMPUTED_VALUE"""),3.0)</f>
        <v>3</v>
      </c>
      <c r="AN111" s="2" t="str">
        <f>IFERROR(__xludf.DUMMYFUNCTION("""COMPUTED_VALUE"""),"RCEF 23-09-21 Rebidding")</f>
        <v>RCEF 23-09-21 Rebidding</v>
      </c>
      <c r="AO111" s="2">
        <f>IFERROR(__xludf.DUMMYFUNCTION("""COMPUTED_VALUE"""),3.0)</f>
        <v>3</v>
      </c>
      <c r="AP111" s="2"/>
      <c r="AQ111" s="2"/>
      <c r="AR111" s="2"/>
      <c r="AS111" s="2"/>
      <c r="AT111" s="2"/>
      <c r="AU111" s="2"/>
      <c r="AV111" s="2"/>
      <c r="AW111" s="2"/>
      <c r="AX111" s="2"/>
      <c r="AY111" s="2"/>
      <c r="AZ111" s="2"/>
      <c r="BA111" s="2"/>
      <c r="BB111" s="2"/>
    </row>
    <row r="112">
      <c r="A112" s="2">
        <f>IFERROR(__xludf.DUMMYFUNCTION("""COMPUTED_VALUE"""),108.0)</f>
        <v>108</v>
      </c>
      <c r="B112" s="2" t="str">
        <f>IFERROR(__xludf.DUMMYFUNCTION("""COMPUTED_VALUE"""),"COMPLETED")</f>
        <v>COMPLETED</v>
      </c>
      <c r="C112" s="74">
        <f>IFERROR(__xludf.DUMMYFUNCTION("""COMPUTED_VALUE"""),45425.0)</f>
        <v>45425</v>
      </c>
      <c r="D112" s="71" t="str">
        <f>IFERROR(__xludf.DUMMYFUNCTION("""COMPUTED_VALUE"""),"SANDIGAN NG MGA MANGGAGAWA SA AGRIKULTURA SA KANAYUNAN (SAMAKA)")</f>
        <v>SANDIGAN NG MGA MANGGAGAWA SA AGRIKULTURA SA KANAYUNAN (SAMAKA)</v>
      </c>
      <c r="E112" s="71" t="str">
        <f>IFERROR(__xludf.DUMMYFUNCTION("""COMPUTED_VALUE"""),"Calucmoy, Socorro, Oriental Mindoro")</f>
        <v>Calucmoy, Socorro, Oriental Mindoro</v>
      </c>
      <c r="F112" s="2" t="str">
        <f>IFERROR(__xludf.DUMMYFUNCTION("""COMPUTED_VALUE"""),"REX MAANO")</f>
        <v>REX MAANO</v>
      </c>
      <c r="G112" s="2">
        <f>IFERROR(__xludf.DUMMYFUNCTION("""COMPUTED_VALUE"""),9.50137721E9)</f>
        <v>9501377210</v>
      </c>
      <c r="H112" s="2">
        <f>IFERROR(__xludf.DUMMYFUNCTION("""COMPUTED_VALUE"""),169.0)</f>
        <v>169</v>
      </c>
      <c r="I112" s="72" t="str">
        <f>IFERROR(__xludf.DUMMYFUNCTION("""COMPUTED_VALUE"""),"REPAIR - TRACTOR")</f>
        <v>REPAIR - TRACTOR</v>
      </c>
      <c r="J112" s="72" t="str">
        <f>IFERROR(__xludf.DUMMYFUNCTION("""COMPUTED_VALUE"""),"Transmission - Differential")</f>
        <v>Transmission - Differential</v>
      </c>
      <c r="K112" s="72" t="str">
        <f>IFERROR(__xludf.DUMMYFUNCTION("""COMPUTED_VALUE"""),"WALA DUAL DRIVE HINDI GUMAGANA  (fourwheel drive shafting pinion)          
5/22/24: KAILANGAN PALITAN ANG DIFFERENCIAL CASE ASSY AT HEX FLANGE BOLT")</f>
        <v>WALA DUAL DRIVE HINDI GUMAGANA  (fourwheel drive shafting pinion)          
5/22/24: KAILANGAN PALITAN ANG DIFFERENCIAL CASE ASSY AT HEX FLANGE BOLT</v>
      </c>
      <c r="L112" s="72" t="str">
        <f>IFERROR(__xludf.DUMMYFUNCTION("""COMPUTED_VALUE"""),"OK NA ANG UNIT OPERATIONAL:REPLACED DAMAGE RING GEAR ASSY
: DIFFERENTIAL CASE ASSY COD FIT COREA")</f>
        <v>OK NA ANG UNIT OPERATIONAL:REPLACED DAMAGE RING GEAR ASSY
: DIFFERENTIAL CASE ASSY COD FIT COREA</v>
      </c>
      <c r="M112" s="2"/>
      <c r="N112" s="2" t="str">
        <f>IFERROR(__xludf.DUMMYFUNCTION("""COMPUTED_VALUE"""),"PARTS
RING GEAR ASSY")</f>
        <v>PARTS
RING GEAR ASSY</v>
      </c>
      <c r="O112" s="2" t="str">
        <f>IFERROR(__xludf.DUMMYFUNCTION("""COMPUTED_VALUE"""),"JIE-083")</f>
        <v>JIE-083</v>
      </c>
      <c r="P112" s="2"/>
      <c r="Q112" s="2"/>
      <c r="R112" s="74">
        <f>IFERROR(__xludf.DUMMYFUNCTION("""COMPUTED_VALUE"""),45446.0)</f>
        <v>45446</v>
      </c>
      <c r="S112" s="2" t="str">
        <f>IFERROR(__xludf.DUMMYFUNCTION("""COMPUTED_VALUE"""),"JTT")</f>
        <v>JTT</v>
      </c>
      <c r="T112" s="73">
        <f>IFERROR(__xludf.DUMMYFUNCTION("""COMPUTED_VALUE"""),19880.0)</f>
        <v>19880</v>
      </c>
      <c r="U112" s="73" t="str">
        <f>IFERROR(__xludf.DUMMYFUNCTION("""COMPUTED_VALUE""")," REMITTED ")</f>
        <v>REMITTED</v>
      </c>
      <c r="V112" s="2"/>
      <c r="W112" s="2"/>
      <c r="X112" s="2">
        <f>IFERROR(__xludf.DUMMYFUNCTION("""COMPUTED_VALUE"""),1138.0)</f>
        <v>1138</v>
      </c>
      <c r="Y112" s="2" t="str">
        <f>IFERROR(__xludf.DUMMYFUNCTION("""COMPUTED_VALUE"""),"MYKEE")</f>
        <v>MYKEE</v>
      </c>
      <c r="Z112" s="2"/>
      <c r="AA112" s="2"/>
      <c r="AB112" s="2"/>
      <c r="AC112" s="2" t="str">
        <f>IFERROR(__xludf.DUMMYFUNCTION("""COMPUTED_VALUE"""),"Y")</f>
        <v>Y</v>
      </c>
      <c r="AD112" s="2" t="str">
        <f>IFERROR(__xludf.DUMMYFUNCTION("""COMPUTED_VALUE"""),"REPORT")</f>
        <v>REPORT</v>
      </c>
      <c r="AE112" s="2"/>
      <c r="AF112" s="2"/>
      <c r="AG112" s="2"/>
      <c r="AH112" s="2"/>
      <c r="AI112" s="2"/>
      <c r="AJ112" s="2" t="str">
        <f>IFERROR(__xludf.DUMMYFUNCTION("""COMPUTED_VALUE"""),"Calucmoy")</f>
        <v>Calucmoy</v>
      </c>
      <c r="AK112" s="2" t="str">
        <f>IFERROR(__xludf.DUMMYFUNCTION("""COMPUTED_VALUE"""),"Socorro")</f>
        <v>Socorro</v>
      </c>
      <c r="AL112" s="2" t="str">
        <f>IFERROR(__xludf.DUMMYFUNCTION("""COMPUTED_VALUE"""),"Oriental Mindoro")</f>
        <v>Oriental Mindoro</v>
      </c>
      <c r="AM112" s="2" t="str">
        <f>IFERROR(__xludf.DUMMYFUNCTION("""COMPUTED_VALUE"""),"4B")</f>
        <v>4B</v>
      </c>
      <c r="AN112" s="2" t="str">
        <f>IFERROR(__xludf.DUMMYFUNCTION("""COMPUTED_VALUE"""),"RCEF 23-08-20 Rebidding")</f>
        <v>RCEF 23-08-20 Rebidding</v>
      </c>
      <c r="AO112" s="2">
        <f>IFERROR(__xludf.DUMMYFUNCTION("""COMPUTED_VALUE"""),1.0)</f>
        <v>1</v>
      </c>
      <c r="AP112" s="2"/>
      <c r="AQ112" s="2"/>
      <c r="AR112" s="2"/>
      <c r="AS112" s="2"/>
      <c r="AT112" s="2"/>
      <c r="AU112" s="2"/>
      <c r="AV112" s="2"/>
      <c r="AW112" s="2"/>
      <c r="AX112" s="2"/>
      <c r="AY112" s="2"/>
      <c r="AZ112" s="2"/>
      <c r="BA112" s="2"/>
      <c r="BB112" s="2"/>
    </row>
    <row r="113">
      <c r="A113" s="2">
        <f>IFERROR(__xludf.DUMMYFUNCTION("""COMPUTED_VALUE"""),109.0)</f>
        <v>109</v>
      </c>
      <c r="B113" s="2" t="str">
        <f>IFERROR(__xludf.DUMMYFUNCTION("""COMPUTED_VALUE"""),"COMPLETED")</f>
        <v>COMPLETED</v>
      </c>
      <c r="C113" s="74">
        <f>IFERROR(__xludf.DUMMYFUNCTION("""COMPUTED_VALUE"""),45425.0)</f>
        <v>45425</v>
      </c>
      <c r="D113" s="71" t="str">
        <f>IFERROR(__xludf.DUMMYFUNCTION("""COMPUTED_VALUE"""),"RAJAL CENTRO IRRIGATORS ASSOCIATION, INC.")</f>
        <v>RAJAL CENTRO IRRIGATORS ASSOCIATION, INC.</v>
      </c>
      <c r="E113" s="71" t="str">
        <f>IFERROR(__xludf.DUMMYFUNCTION("""COMPUTED_VALUE"""),"Rajal Centro, Santa Rosa, NUEVA ECIJA")</f>
        <v>Rajal Centro, Santa Rosa, NUEVA ECIJA</v>
      </c>
      <c r="F113" s="2" t="str">
        <f>IFERROR(__xludf.DUMMYFUNCTION("""COMPUTED_VALUE"""),"VICTOR HERNANDEZ")</f>
        <v>VICTOR HERNANDEZ</v>
      </c>
      <c r="G113" s="2" t="str">
        <f>IFERROR(__xludf.DUMMYFUNCTION("""COMPUTED_VALUE"""),"0927-470-8816")</f>
        <v>0927-470-8816</v>
      </c>
      <c r="H113" s="2">
        <f>IFERROR(__xludf.DUMMYFUNCTION("""COMPUTED_VALUE"""),50.0)</f>
        <v>50</v>
      </c>
      <c r="I113" s="72" t="str">
        <f>IFERROR(__xludf.DUMMYFUNCTION("""COMPUTED_VALUE"""),"PMS")</f>
        <v>PMS</v>
      </c>
      <c r="J113" s="72" t="str">
        <f>IFERROR(__xludf.DUMMYFUNCTION("""COMPUTED_VALUE"""),"PMS")</f>
        <v>PMS</v>
      </c>
      <c r="K113" s="72" t="str">
        <f>IFERROR(__xludf.DUMMYFUNCTION("""COMPUTED_VALUE"""),"FIRST PMS")</f>
        <v>FIRST PMS</v>
      </c>
      <c r="L113" s="72" t="str">
        <f>IFERROR(__xludf.DUMMYFUNCTION("""COMPUTED_VALUE"""),"CHANGE OIL (OIL C/O FCA) HINDI PINALTAN NG OIL FILTER")</f>
        <v>CHANGE OIL (OIL C/O FCA) HINDI PINALTAN NG OIL FILTER</v>
      </c>
      <c r="M113" s="2"/>
      <c r="N113" s="2"/>
      <c r="O113" s="2" t="str">
        <f>IFERROR(__xludf.DUMMYFUNCTION("""COMPUTED_VALUE"""),"JIE-242")</f>
        <v>JIE-242</v>
      </c>
      <c r="P113" s="2"/>
      <c r="Q113" s="2"/>
      <c r="R113" s="74">
        <f>IFERROR(__xludf.DUMMYFUNCTION("""COMPUTED_VALUE"""),45425.0)</f>
        <v>45425</v>
      </c>
      <c r="S113" s="2" t="str">
        <f>IFERROR(__xludf.DUMMYFUNCTION("""COMPUTED_VALUE"""),"JHP")</f>
        <v>JHP</v>
      </c>
      <c r="T113" s="73" t="str">
        <f>IFERROR(__xludf.DUMMYFUNCTION("""COMPUTED_VALUE""")," N/A ")</f>
        <v>N/A</v>
      </c>
      <c r="U113" s="73" t="str">
        <f>IFERROR(__xludf.DUMMYFUNCTION("""COMPUTED_VALUE""")," NO CHARGE ")</f>
        <v>NO CHARGE</v>
      </c>
      <c r="V113" s="2"/>
      <c r="W113" s="2" t="str">
        <f>IFERROR(__xludf.DUMMYFUNCTION("""COMPUTED_VALUE"""),"N/A")</f>
        <v>N/A</v>
      </c>
      <c r="X113" s="2" t="str">
        <f>IFERROR(__xludf.DUMMYFUNCTION("""COMPUTED_VALUE"""),"N/A")</f>
        <v>N/A</v>
      </c>
      <c r="Y113" s="2"/>
      <c r="Z113" s="2"/>
      <c r="AA113" s="2"/>
      <c r="AB113" s="2"/>
      <c r="AC113" s="2"/>
      <c r="AD113" s="2" t="str">
        <f>IFERROR(__xludf.DUMMYFUNCTION("""COMPUTED_VALUE"""),"reprot")</f>
        <v>reprot</v>
      </c>
      <c r="AE113" s="2"/>
      <c r="AF113" s="2"/>
      <c r="AG113" s="2"/>
      <c r="AH113" s="2"/>
      <c r="AI113" s="2"/>
      <c r="AJ113" s="2" t="str">
        <f>IFERROR(__xludf.DUMMYFUNCTION("""COMPUTED_VALUE"""),"Rajal Centro")</f>
        <v>Rajal Centro</v>
      </c>
      <c r="AK113" s="2" t="str">
        <f>IFERROR(__xludf.DUMMYFUNCTION("""COMPUTED_VALUE"""),"Santa Rosa")</f>
        <v>Santa Rosa</v>
      </c>
      <c r="AL113" s="2" t="str">
        <f>IFERROR(__xludf.DUMMYFUNCTION("""COMPUTED_VALUE"""),"Nueva Ecija")</f>
        <v>Nueva Ecija</v>
      </c>
      <c r="AM113" s="2">
        <f>IFERROR(__xludf.DUMMYFUNCTION("""COMPUTED_VALUE"""),3.0)</f>
        <v>3</v>
      </c>
      <c r="AN113" s="2" t="str">
        <f>IFERROR(__xludf.DUMMYFUNCTION("""COMPUTED_VALUE"""),"RCEF 23-09-21 Rebidding")</f>
        <v>RCEF 23-09-21 Rebidding</v>
      </c>
      <c r="AO113" s="2">
        <f>IFERROR(__xludf.DUMMYFUNCTION("""COMPUTED_VALUE"""),3.0)</f>
        <v>3</v>
      </c>
      <c r="AP113" s="2"/>
      <c r="AQ113" s="2"/>
      <c r="AR113" s="2"/>
      <c r="AS113" s="2"/>
      <c r="AT113" s="2"/>
      <c r="AU113" s="2"/>
      <c r="AV113" s="2"/>
      <c r="AW113" s="2"/>
      <c r="AX113" s="2"/>
      <c r="AY113" s="2"/>
      <c r="AZ113" s="2"/>
      <c r="BA113" s="2"/>
      <c r="BB113" s="2"/>
    </row>
    <row r="114">
      <c r="A114" s="2">
        <f>IFERROR(__xludf.DUMMYFUNCTION("""COMPUTED_VALUE"""),110.0)</f>
        <v>110</v>
      </c>
      <c r="B114" s="2" t="str">
        <f>IFERROR(__xludf.DUMMYFUNCTION("""COMPUTED_VALUE"""),"COMPLETED")</f>
        <v>COMPLETED</v>
      </c>
      <c r="C114" s="74">
        <f>IFERROR(__xludf.DUMMYFUNCTION("""COMPUTED_VALUE"""),45425.0)</f>
        <v>45425</v>
      </c>
      <c r="D114" s="71" t="str">
        <f>IFERROR(__xludf.DUMMYFUNCTION("""COMPUTED_VALUE"""),"Sapang Buhay Agriculture Cooperative")</f>
        <v>Sapang Buhay Agriculture Cooperative</v>
      </c>
      <c r="E114" s="71" t="str">
        <f>IFERROR(__xludf.DUMMYFUNCTION("""COMPUTED_VALUE"""),"Tagpos, Santa Rosa, NUEVA ECIJA")</f>
        <v>Tagpos, Santa Rosa, NUEVA ECIJA</v>
      </c>
      <c r="F114" s="2" t="str">
        <f>IFERROR(__xludf.DUMMYFUNCTION("""COMPUTED_VALUE"""),"HERACLIO ROBERTO DIAZ JR.")</f>
        <v>HERACLIO ROBERTO DIAZ JR.</v>
      </c>
      <c r="G114" s="2" t="str">
        <f>IFERROR(__xludf.DUMMYFUNCTION("""COMPUTED_VALUE"""),"09499854314   /   09952919405")</f>
        <v>09499854314   /   09952919405</v>
      </c>
      <c r="H114" s="2">
        <f>IFERROR(__xludf.DUMMYFUNCTION("""COMPUTED_VALUE"""),52.0)</f>
        <v>52</v>
      </c>
      <c r="I114" s="72" t="str">
        <f>IFERROR(__xludf.DUMMYFUNCTION("""COMPUTED_VALUE"""),"PMS")</f>
        <v>PMS</v>
      </c>
      <c r="J114" s="72" t="str">
        <f>IFERROR(__xludf.DUMMYFUNCTION("""COMPUTED_VALUE"""),"PMS")</f>
        <v>PMS</v>
      </c>
      <c r="K114" s="72" t="str">
        <f>IFERROR(__xludf.DUMMYFUNCTION("""COMPUTED_VALUE"""),"FIRTS PMS")</f>
        <v>FIRTS PMS</v>
      </c>
      <c r="L114" s="72" t="str">
        <f>IFERROR(__xludf.DUMMYFUNCTION("""COMPUTED_VALUE"""),"CHANGE OIL")</f>
        <v>CHANGE OIL</v>
      </c>
      <c r="M114" s="2"/>
      <c r="N114" s="2"/>
      <c r="O114" s="2" t="str">
        <f>IFERROR(__xludf.DUMMYFUNCTION("""COMPUTED_VALUE"""),"JIE-245")</f>
        <v>JIE-245</v>
      </c>
      <c r="P114" s="2"/>
      <c r="Q114" s="2"/>
      <c r="R114" s="74">
        <f>IFERROR(__xludf.DUMMYFUNCTION("""COMPUTED_VALUE"""),45428.0)</f>
        <v>45428</v>
      </c>
      <c r="S114" s="2" t="str">
        <f>IFERROR(__xludf.DUMMYFUNCTION("""COMPUTED_VALUE"""),"JHP/DRM")</f>
        <v>JHP/DRM</v>
      </c>
      <c r="T114" s="73" t="str">
        <f>IFERROR(__xludf.DUMMYFUNCTION("""COMPUTED_VALUE""")," N/A ")</f>
        <v>N/A</v>
      </c>
      <c r="U114" s="73" t="str">
        <f>IFERROR(__xludf.DUMMYFUNCTION("""COMPUTED_VALUE""")," NO CHARGE ")</f>
        <v>NO CHARGE</v>
      </c>
      <c r="V114" s="2"/>
      <c r="W114" s="2" t="str">
        <f>IFERROR(__xludf.DUMMYFUNCTION("""COMPUTED_VALUE"""),"N/A")</f>
        <v>N/A</v>
      </c>
      <c r="X114" s="2" t="str">
        <f>IFERROR(__xludf.DUMMYFUNCTION("""COMPUTED_VALUE"""),"N/A")</f>
        <v>N/A</v>
      </c>
      <c r="Y114" s="2" t="str">
        <f>IFERROR(__xludf.DUMMYFUNCTION("""COMPUTED_VALUE"""),"KFS")</f>
        <v>KFS</v>
      </c>
      <c r="Z114" s="2"/>
      <c r="AA114" s="2"/>
      <c r="AB114" s="2"/>
      <c r="AC114" s="2"/>
      <c r="AD114" s="2" t="str">
        <f>IFERROR(__xludf.DUMMYFUNCTION("""COMPUTED_VALUE"""),"reprot")</f>
        <v>reprot</v>
      </c>
      <c r="AE114" s="2"/>
      <c r="AF114" s="2"/>
      <c r="AG114" s="2"/>
      <c r="AH114" s="2"/>
      <c r="AI114" s="2"/>
      <c r="AJ114" s="2" t="str">
        <f>IFERROR(__xludf.DUMMYFUNCTION("""COMPUTED_VALUE"""),"Tagpos")</f>
        <v>Tagpos</v>
      </c>
      <c r="AK114" s="2" t="str">
        <f>IFERROR(__xludf.DUMMYFUNCTION("""COMPUTED_VALUE"""),"Santa Rosa")</f>
        <v>Santa Rosa</v>
      </c>
      <c r="AL114" s="2" t="str">
        <f>IFERROR(__xludf.DUMMYFUNCTION("""COMPUTED_VALUE"""),"Nueva Ecija")</f>
        <v>Nueva Ecija</v>
      </c>
      <c r="AM114" s="2">
        <f>IFERROR(__xludf.DUMMYFUNCTION("""COMPUTED_VALUE"""),3.0)</f>
        <v>3</v>
      </c>
      <c r="AN114" s="2" t="str">
        <f>IFERROR(__xludf.DUMMYFUNCTION("""COMPUTED_VALUE"""),"RCEF 23-09-21 Rebidding")</f>
        <v>RCEF 23-09-21 Rebidding</v>
      </c>
      <c r="AO114" s="2">
        <f>IFERROR(__xludf.DUMMYFUNCTION("""COMPUTED_VALUE"""),3.0)</f>
        <v>3</v>
      </c>
      <c r="AP114" s="2"/>
      <c r="AQ114" s="2"/>
      <c r="AR114" s="2"/>
      <c r="AS114" s="2"/>
      <c r="AT114" s="2"/>
      <c r="AU114" s="2"/>
      <c r="AV114" s="2"/>
      <c r="AW114" s="2"/>
      <c r="AX114" s="2"/>
      <c r="AY114" s="2"/>
      <c r="AZ114" s="2"/>
      <c r="BA114" s="2"/>
      <c r="BB114" s="2"/>
    </row>
    <row r="115">
      <c r="A115" s="2">
        <f>IFERROR(__xludf.DUMMYFUNCTION("""COMPUTED_VALUE"""),111.0)</f>
        <v>111</v>
      </c>
      <c r="B115" s="2" t="str">
        <f>IFERROR(__xludf.DUMMYFUNCTION("""COMPUTED_VALUE"""),"COMPLETED")</f>
        <v>COMPLETED</v>
      </c>
      <c r="C115" s="74">
        <f>IFERROR(__xludf.DUMMYFUNCTION("""COMPUTED_VALUE"""),45425.0)</f>
        <v>45425</v>
      </c>
      <c r="D115" s="71" t="str">
        <f>IFERROR(__xludf.DUMMYFUNCTION("""COMPUTED_VALUE"""),"Sapang Buhay Agriculture Cooperative")</f>
        <v>Sapang Buhay Agriculture Cooperative</v>
      </c>
      <c r="E115" s="71" t="str">
        <f>IFERROR(__xludf.DUMMYFUNCTION("""COMPUTED_VALUE"""),"Tagpos, Santa Rosa, NUEVA ECIJA")</f>
        <v>Tagpos, Santa Rosa, NUEVA ECIJA</v>
      </c>
      <c r="F115" s="2" t="str">
        <f>IFERROR(__xludf.DUMMYFUNCTION("""COMPUTED_VALUE"""),"HERACLIO ROBERTO DIAZ JR.")</f>
        <v>HERACLIO ROBERTO DIAZ JR.</v>
      </c>
      <c r="G115" s="2" t="str">
        <f>IFERROR(__xludf.DUMMYFUNCTION("""COMPUTED_VALUE"""),"09499854314   /   09952919405")</f>
        <v>09499854314   /   09952919405</v>
      </c>
      <c r="H115" s="2">
        <f>IFERROR(__xludf.DUMMYFUNCTION("""COMPUTED_VALUE"""),52.0)</f>
        <v>52</v>
      </c>
      <c r="I115" s="72" t="str">
        <f>IFERROR(__xludf.DUMMYFUNCTION("""COMPUTED_VALUE"""),"TRAINING REQUEST")</f>
        <v>TRAINING REQUEST</v>
      </c>
      <c r="J115" s="72" t="str">
        <f>IFERROR(__xludf.DUMMYFUNCTION("""COMPUTED_VALUE"""),"TRAINING REQUEST")</f>
        <v>TRAINING REQUEST</v>
      </c>
      <c r="K115" s="72" t="str">
        <f>IFERROR(__xludf.DUMMYFUNCTION("""COMPUTED_VALUE"""),"TRAINING REQUEST")</f>
        <v>TRAINING REQUEST</v>
      </c>
      <c r="L115" s="72" t="str">
        <f>IFERROR(__xludf.DUMMYFUNCTION("""COMPUTED_VALUE"""),"TRAINING (BASIC OPERATION, TROUBLESHOOTING, MAINTENANCE, AND ACTUAL OPERATION)")</f>
        <v>TRAINING (BASIC OPERATION, TROUBLESHOOTING, MAINTENANCE, AND ACTUAL OPERATION)</v>
      </c>
      <c r="M115" s="2"/>
      <c r="N115" s="2"/>
      <c r="O115" s="2" t="str">
        <f>IFERROR(__xludf.DUMMYFUNCTION("""COMPUTED_VALUE"""),"JIE-246")</f>
        <v>JIE-246</v>
      </c>
      <c r="P115" s="2"/>
      <c r="Q115" s="2"/>
      <c r="R115" s="74">
        <f>IFERROR(__xludf.DUMMYFUNCTION("""COMPUTED_VALUE"""),45428.0)</f>
        <v>45428</v>
      </c>
      <c r="S115" s="2" t="str">
        <f>IFERROR(__xludf.DUMMYFUNCTION("""COMPUTED_VALUE"""),"JHP/DRM")</f>
        <v>JHP/DRM</v>
      </c>
      <c r="T115" s="73" t="str">
        <f>IFERROR(__xludf.DUMMYFUNCTION("""COMPUTED_VALUE""")," N/A ")</f>
        <v>N/A</v>
      </c>
      <c r="U115" s="73" t="str">
        <f>IFERROR(__xludf.DUMMYFUNCTION("""COMPUTED_VALUE""")," NO CHARGE ")</f>
        <v>NO CHARGE</v>
      </c>
      <c r="V115" s="2"/>
      <c r="W115" s="2" t="str">
        <f>IFERROR(__xludf.DUMMYFUNCTION("""COMPUTED_VALUE"""),"N/A")</f>
        <v>N/A</v>
      </c>
      <c r="X115" s="2" t="str">
        <f>IFERROR(__xludf.DUMMYFUNCTION("""COMPUTED_VALUE"""),"N/A")</f>
        <v>N/A</v>
      </c>
      <c r="Y115" s="2" t="str">
        <f>IFERROR(__xludf.DUMMYFUNCTION("""COMPUTED_VALUE"""),"KFS")</f>
        <v>KFS</v>
      </c>
      <c r="Z115" s="2"/>
      <c r="AA115" s="2"/>
      <c r="AB115" s="2"/>
      <c r="AC115" s="2"/>
      <c r="AD115" s="2" t="str">
        <f>IFERROR(__xludf.DUMMYFUNCTION("""COMPUTED_VALUE"""),"reprot")</f>
        <v>reprot</v>
      </c>
      <c r="AE115" s="2"/>
      <c r="AF115" s="2"/>
      <c r="AG115" s="2"/>
      <c r="AH115" s="2"/>
      <c r="AI115" s="2"/>
      <c r="AJ115" s="2" t="str">
        <f>IFERROR(__xludf.DUMMYFUNCTION("""COMPUTED_VALUE"""),"Tagpos")</f>
        <v>Tagpos</v>
      </c>
      <c r="AK115" s="2" t="str">
        <f>IFERROR(__xludf.DUMMYFUNCTION("""COMPUTED_VALUE"""),"Santa Rosa")</f>
        <v>Santa Rosa</v>
      </c>
      <c r="AL115" s="2" t="str">
        <f>IFERROR(__xludf.DUMMYFUNCTION("""COMPUTED_VALUE"""),"Nueva Ecija")</f>
        <v>Nueva Ecija</v>
      </c>
      <c r="AM115" s="2">
        <f>IFERROR(__xludf.DUMMYFUNCTION("""COMPUTED_VALUE"""),3.0)</f>
        <v>3</v>
      </c>
      <c r="AN115" s="2" t="str">
        <f>IFERROR(__xludf.DUMMYFUNCTION("""COMPUTED_VALUE"""),"RCEF 23-09-21 Rebidding")</f>
        <v>RCEF 23-09-21 Rebidding</v>
      </c>
      <c r="AO115" s="2">
        <f>IFERROR(__xludf.DUMMYFUNCTION("""COMPUTED_VALUE"""),3.0)</f>
        <v>3</v>
      </c>
      <c r="AP115" s="2"/>
      <c r="AQ115" s="2"/>
      <c r="AR115" s="2"/>
      <c r="AS115" s="2"/>
      <c r="AT115" s="2"/>
      <c r="AU115" s="2"/>
      <c r="AV115" s="2"/>
      <c r="AW115" s="2"/>
      <c r="AX115" s="2"/>
      <c r="AY115" s="2"/>
      <c r="AZ115" s="2"/>
      <c r="BA115" s="2"/>
      <c r="BB115" s="2"/>
    </row>
    <row r="116">
      <c r="A116" s="2">
        <f>IFERROR(__xludf.DUMMYFUNCTION("""COMPUTED_VALUE"""),112.0)</f>
        <v>112</v>
      </c>
      <c r="B116" s="2" t="str">
        <f>IFERROR(__xludf.DUMMYFUNCTION("""COMPUTED_VALUE"""),"COMPLETED")</f>
        <v>COMPLETED</v>
      </c>
      <c r="C116" s="74">
        <f>IFERROR(__xludf.DUMMYFUNCTION("""COMPUTED_VALUE"""),45426.0)</f>
        <v>45426</v>
      </c>
      <c r="D116" s="71" t="str">
        <f>IFERROR(__xludf.DUMMYFUNCTION("""COMPUTED_VALUE"""),"MAGSASAKA NG BAGONG HENERASYON NG BARANGAY SIMMINUBLAN (MBHBS)")</f>
        <v>MAGSASAKA NG BAGONG HENERASYON NG BARANGAY SIMMINUBLAN (MBHBS)</v>
      </c>
      <c r="E116" s="71" t="str">
        <f>IFERROR(__xludf.DUMMYFUNCTION("""COMPUTED_VALUE"""),"Siminublan, San Narciso, ZAMBALES")</f>
        <v>Siminublan, San Narciso, ZAMBALES</v>
      </c>
      <c r="F116" s="2" t="str">
        <f>IFERROR(__xludf.DUMMYFUNCTION("""COMPUTED_VALUE"""),"JACQUELINE DUMLAO")</f>
        <v>JACQUELINE DUMLAO</v>
      </c>
      <c r="G116" s="2">
        <f>IFERROR(__xludf.DUMMYFUNCTION("""COMPUTED_VALUE"""),9.100724561E9)</f>
        <v>9100724561</v>
      </c>
      <c r="H116" s="2">
        <f>IFERROR(__xludf.DUMMYFUNCTION("""COMPUTED_VALUE"""),50.0)</f>
        <v>50</v>
      </c>
      <c r="I116" s="72" t="str">
        <f>IFERROR(__xludf.DUMMYFUNCTION("""COMPUTED_VALUE"""),"PMS")</f>
        <v>PMS</v>
      </c>
      <c r="J116" s="72" t="str">
        <f>IFERROR(__xludf.DUMMYFUNCTION("""COMPUTED_VALUE"""),"PMS")</f>
        <v>PMS</v>
      </c>
      <c r="K116" s="72" t="str">
        <f>IFERROR(__xludf.DUMMYFUNCTION("""COMPUTED_VALUE"""),"FIRTS PMS")</f>
        <v>FIRTS PMS</v>
      </c>
      <c r="L116" s="72" t="str">
        <f>IFERROR(__xludf.DUMMYFUNCTION("""COMPUTED_VALUE"""),"CHANGE OIL")</f>
        <v>CHANGE OIL</v>
      </c>
      <c r="M116" s="2"/>
      <c r="N116" s="2" t="str">
        <f>IFERROR(__xludf.DUMMYFUNCTION("""COMPUTED_VALUE"""),"OIL FILTER")</f>
        <v>OIL FILTER</v>
      </c>
      <c r="O116" s="2" t="str">
        <f>IFERROR(__xludf.DUMMYFUNCTION("""COMPUTED_VALUE"""),"JIE-244")</f>
        <v>JIE-244</v>
      </c>
      <c r="P116" s="2"/>
      <c r="Q116" s="2"/>
      <c r="R116" s="74">
        <f>IFERROR(__xludf.DUMMYFUNCTION("""COMPUTED_VALUE"""),45426.0)</f>
        <v>45426</v>
      </c>
      <c r="S116" s="2" t="str">
        <f>IFERROR(__xludf.DUMMYFUNCTION("""COMPUTED_VALUE"""),"JHP/DRM")</f>
        <v>JHP/DRM</v>
      </c>
      <c r="T116" s="73">
        <f>IFERROR(__xludf.DUMMYFUNCTION("""COMPUTED_VALUE"""),2837.5)</f>
        <v>2837.5</v>
      </c>
      <c r="U116" s="73" t="str">
        <f>IFERROR(__xludf.DUMMYFUNCTION("""COMPUTED_VALUE""")," REMITTED ")</f>
        <v>REMITTED</v>
      </c>
      <c r="V116" s="2"/>
      <c r="W116" s="2"/>
      <c r="X116" s="2">
        <f>IFERROR(__xludf.DUMMYFUNCTION("""COMPUTED_VALUE"""),1093.0)</f>
        <v>1093</v>
      </c>
      <c r="Y116" s="2" t="str">
        <f>IFERROR(__xludf.DUMMYFUNCTION("""COMPUTED_VALUE"""),"JHP")</f>
        <v>JHP</v>
      </c>
      <c r="Z116" s="2"/>
      <c r="AA116" s="2"/>
      <c r="AB116" s="2"/>
      <c r="AC116" s="2"/>
      <c r="AD116" s="2"/>
      <c r="AE116" s="2"/>
      <c r="AF116" s="2"/>
      <c r="AG116" s="2"/>
      <c r="AH116" s="2"/>
      <c r="AI116" s="2"/>
      <c r="AJ116" s="2" t="str">
        <f>IFERROR(__xludf.DUMMYFUNCTION("""COMPUTED_VALUE"""),"Siminublan")</f>
        <v>Siminublan</v>
      </c>
      <c r="AK116" s="2" t="str">
        <f>IFERROR(__xludf.DUMMYFUNCTION("""COMPUTED_VALUE"""),"San Narciso")</f>
        <v>San Narciso</v>
      </c>
      <c r="AL116" s="2" t="str">
        <f>IFERROR(__xludf.DUMMYFUNCTION("""COMPUTED_VALUE"""),"Zambales")</f>
        <v>Zambales</v>
      </c>
      <c r="AM116" s="2">
        <f>IFERROR(__xludf.DUMMYFUNCTION("""COMPUTED_VALUE"""),3.0)</f>
        <v>3</v>
      </c>
      <c r="AN116" s="2" t="str">
        <f>IFERROR(__xludf.DUMMYFUNCTION("""COMPUTED_VALUE"""),"RCEF 23-09-21 Rebidding")</f>
        <v>RCEF 23-09-21 Rebidding</v>
      </c>
      <c r="AO116" s="2">
        <f>IFERROR(__xludf.DUMMYFUNCTION("""COMPUTED_VALUE"""),9.0)</f>
        <v>9</v>
      </c>
      <c r="AP116" s="2"/>
      <c r="AQ116" s="2"/>
      <c r="AR116" s="2"/>
      <c r="AS116" s="2"/>
      <c r="AT116" s="2"/>
      <c r="AU116" s="2"/>
      <c r="AV116" s="2"/>
      <c r="AW116" s="2"/>
      <c r="AX116" s="2"/>
      <c r="AY116" s="2"/>
      <c r="AZ116" s="2"/>
      <c r="BA116" s="2"/>
      <c r="BB116" s="2"/>
    </row>
    <row r="117">
      <c r="A117" s="2">
        <f>IFERROR(__xludf.DUMMYFUNCTION("""COMPUTED_VALUE"""),113.0)</f>
        <v>113</v>
      </c>
      <c r="B117" s="2" t="str">
        <f>IFERROR(__xludf.DUMMYFUNCTION("""COMPUTED_VALUE"""),"COMPLETED")</f>
        <v>COMPLETED</v>
      </c>
      <c r="C117" s="74">
        <f>IFERROR(__xludf.DUMMYFUNCTION("""COMPUTED_VALUE"""),45426.0)</f>
        <v>45426</v>
      </c>
      <c r="D117" s="71" t="str">
        <f>IFERROR(__xludf.DUMMYFUNCTION("""COMPUTED_VALUE"""),"STA. ISABEL FARMERS ASSOCIATION")</f>
        <v>STA. ISABEL FARMERS ASSOCIATION</v>
      </c>
      <c r="E117" s="71" t="str">
        <f>IFERROR(__xludf.DUMMYFUNCTION("""COMPUTED_VALUE"""),"Santa Isabel, Jones, ISABELA")</f>
        <v>Santa Isabel, Jones, ISABELA</v>
      </c>
      <c r="F117" s="2" t="str">
        <f>IFERROR(__xludf.DUMMYFUNCTION("""COMPUTED_VALUE"""),"JERIEL C. RATUM")</f>
        <v>JERIEL C. RATUM</v>
      </c>
      <c r="G117" s="2">
        <f>IFERROR(__xludf.DUMMYFUNCTION("""COMPUTED_VALUE"""),9.65472821E9)</f>
        <v>9654728210</v>
      </c>
      <c r="H117" s="2" t="str">
        <f>IFERROR(__xludf.DUMMYFUNCTION("""COMPUTED_VALUE""")," ")</f>
        <v> </v>
      </c>
      <c r="I117" s="72" t="str">
        <f>IFERROR(__xludf.DUMMYFUNCTION("""COMPUTED_VALUE"""),"PMS")</f>
        <v>PMS</v>
      </c>
      <c r="J117" s="72" t="str">
        <f>IFERROR(__xludf.DUMMYFUNCTION("""COMPUTED_VALUE"""),"PMS")</f>
        <v>PMS</v>
      </c>
      <c r="K117" s="72" t="str">
        <f>IFERROR(__xludf.DUMMYFUNCTION("""COMPUTED_VALUE"""),"FIRTS PMS: SELF PMS")</f>
        <v>FIRTS PMS: SELF PMS</v>
      </c>
      <c r="L117" s="72" t="str">
        <f>IFERROR(__xludf.DUMMYFUNCTION("""COMPUTED_VALUE"""),"SELF PMS: AGREEMENT SIGNED: FOR PRINT")</f>
        <v>SELF PMS: AGREEMENT SIGNED: FOR PRINT</v>
      </c>
      <c r="M117" s="2"/>
      <c r="N117" s="2"/>
      <c r="O117" s="2" t="str">
        <f>IFERROR(__xludf.DUMMYFUNCTION("""COMPUTED_VALUE"""),"N/A")</f>
        <v>N/A</v>
      </c>
      <c r="P117" s="2"/>
      <c r="Q117" s="2"/>
      <c r="R117" s="74">
        <f>IFERROR(__xludf.DUMMYFUNCTION("""COMPUTED_VALUE"""),45426.0)</f>
        <v>45426</v>
      </c>
      <c r="S117" s="2" t="str">
        <f>IFERROR(__xludf.DUMMYFUNCTION("""COMPUTED_VALUE"""),"MYKEE")</f>
        <v>MYKEE</v>
      </c>
      <c r="T117" s="73" t="str">
        <f>IFERROR(__xludf.DUMMYFUNCTION("""COMPUTED_VALUE""")," N/A ")</f>
        <v>N/A</v>
      </c>
      <c r="U117" s="73" t="str">
        <f>IFERROR(__xludf.DUMMYFUNCTION("""COMPUTED_VALUE""")," NO CHARGE ")</f>
        <v>NO CHARGE</v>
      </c>
      <c r="V117" s="2"/>
      <c r="W117" s="2" t="str">
        <f>IFERROR(__xludf.DUMMYFUNCTION("""COMPUTED_VALUE"""),"N/A")</f>
        <v>N/A</v>
      </c>
      <c r="X117" s="2" t="str">
        <f>IFERROR(__xludf.DUMMYFUNCTION("""COMPUTED_VALUE"""),"N/A")</f>
        <v>N/A</v>
      </c>
      <c r="Y117" s="2" t="str">
        <f>IFERROR(__xludf.DUMMYFUNCTION("""COMPUTED_VALUE"""),"KFS")</f>
        <v>KFS</v>
      </c>
      <c r="Z117" s="2"/>
      <c r="AA117" s="2"/>
      <c r="AB117" s="2"/>
      <c r="AC117" s="2"/>
      <c r="AD117" s="2"/>
      <c r="AE117" s="2"/>
      <c r="AF117" s="2"/>
      <c r="AG117" s="2"/>
      <c r="AH117" s="2"/>
      <c r="AI117" s="2"/>
      <c r="AJ117" s="2" t="str">
        <f>IFERROR(__xludf.DUMMYFUNCTION("""COMPUTED_VALUE"""),"Santa Isabel")</f>
        <v>Santa Isabel</v>
      </c>
      <c r="AK117" s="2" t="str">
        <f>IFERROR(__xludf.DUMMYFUNCTION("""COMPUTED_VALUE"""),"Jones")</f>
        <v>Jones</v>
      </c>
      <c r="AL117" s="2" t="str">
        <f>IFERROR(__xludf.DUMMYFUNCTION("""COMPUTED_VALUE"""),"Isabela")</f>
        <v>Isabela</v>
      </c>
      <c r="AM117" s="2">
        <f>IFERROR(__xludf.DUMMYFUNCTION("""COMPUTED_VALUE"""),2.0)</f>
        <v>2</v>
      </c>
      <c r="AN117" s="2" t="str">
        <f>IFERROR(__xludf.DUMMYFUNCTION("""COMPUTED_VALUE"""),"RCEF 23-09-21 Rebidding")</f>
        <v>RCEF 23-09-21 Rebidding</v>
      </c>
      <c r="AO117" s="2">
        <f>IFERROR(__xludf.DUMMYFUNCTION("""COMPUTED_VALUE"""),9.0)</f>
        <v>9</v>
      </c>
      <c r="AP117" s="2"/>
      <c r="AQ117" s="2"/>
      <c r="AR117" s="2"/>
      <c r="AS117" s="2"/>
      <c r="AT117" s="2"/>
      <c r="AU117" s="2"/>
      <c r="AV117" s="2"/>
      <c r="AW117" s="2"/>
      <c r="AX117" s="2"/>
      <c r="AY117" s="2"/>
      <c r="AZ117" s="2"/>
      <c r="BA117" s="2"/>
      <c r="BB117" s="2"/>
    </row>
    <row r="118">
      <c r="A118" s="2">
        <f>IFERROR(__xludf.DUMMYFUNCTION("""COMPUTED_VALUE"""),114.0)</f>
        <v>114</v>
      </c>
      <c r="B118" s="2" t="str">
        <f>IFERROR(__xludf.DUMMYFUNCTION("""COMPUTED_VALUE"""),"COMPLETED")</f>
        <v>COMPLETED</v>
      </c>
      <c r="C118" s="74">
        <f>IFERROR(__xludf.DUMMYFUNCTION("""COMPUTED_VALUE"""),45426.0)</f>
        <v>45426</v>
      </c>
      <c r="D118" s="71" t="str">
        <f>IFERROR(__xludf.DUMMYFUNCTION("""COMPUTED_VALUE"""),"Alfonso Lista Rice Cluster Farmers Federation Incorporated")</f>
        <v>Alfonso Lista Rice Cluster Farmers Federation Incorporated</v>
      </c>
      <c r="E118" s="71" t="str">
        <f>IFERROR(__xludf.DUMMYFUNCTION("""COMPUTED_VALUE"""),"Santa Maria, Alfonso Lista (Potia), IFUGAO")</f>
        <v>Santa Maria, Alfonso Lista (Potia), IFUGAO</v>
      </c>
      <c r="F118" s="2" t="str">
        <f>IFERROR(__xludf.DUMMYFUNCTION("""COMPUTED_VALUE"""),"MICHAEL JOHNSON MABALO")</f>
        <v>MICHAEL JOHNSON MABALO</v>
      </c>
      <c r="G118" s="2">
        <f>IFERROR(__xludf.DUMMYFUNCTION("""COMPUTED_VALUE"""),9.175053586E9)</f>
        <v>9175053586</v>
      </c>
      <c r="H118" s="2">
        <f>IFERROR(__xludf.DUMMYFUNCTION("""COMPUTED_VALUE"""),290.0)</f>
        <v>290</v>
      </c>
      <c r="I118" s="72" t="str">
        <f>IFERROR(__xludf.DUMMYFUNCTION("""COMPUTED_VALUE"""),"REPAIR - TRACTOR")</f>
        <v>REPAIR - TRACTOR</v>
      </c>
      <c r="J118" s="72" t="str">
        <f>IFERROR(__xludf.DUMMYFUNCTION("""COMPUTED_VALUE"""),"Electrical - Wiring Harness")</f>
        <v>Electrical - Wiring Harness</v>
      </c>
      <c r="K118" s="72" t="str">
        <f>IFERROR(__xludf.DUMMYFUNCTION("""COMPUTED_VALUE"""),"GROUND DEAD ANG STOP LIGHT AT WATER TEMPERATURE                                                                 5/14/24: VIA PHONE CALL SILA NA ANG MAG PA CHECK SA ELECTRICIAN.    JTT:6/4/24: CONNOT BE REACH")</f>
        <v>GROUND DEAD ANG STOP LIGHT AT WATER TEMPERATURE                                                                 5/14/24: VIA PHONE CALL SILA NA ANG MAG PA CHECK SA ELECTRICIAN.    JTT:6/4/24: CONNOT BE REACH</v>
      </c>
      <c r="L118" s="72" t="str">
        <f>IFERROR(__xludf.DUMMYFUNCTION("""COMPUTED_VALUE"""),"NO FEEDBACK FROM FARMERS")</f>
        <v>NO FEEDBACK FROM FARMERS</v>
      </c>
      <c r="M118" s="2"/>
      <c r="N118" s="2"/>
      <c r="O118" s="2" t="str">
        <f>IFERROR(__xludf.DUMMYFUNCTION("""COMPUTED_VALUE"""),"N/A")</f>
        <v>N/A</v>
      </c>
      <c r="P118" s="2"/>
      <c r="Q118" s="2"/>
      <c r="R118" s="74">
        <f>IFERROR(__xludf.DUMMYFUNCTION("""COMPUTED_VALUE"""),45463.0)</f>
        <v>45463</v>
      </c>
      <c r="S118" s="2" t="str">
        <f>IFERROR(__xludf.DUMMYFUNCTION("""COMPUTED_VALUE"""),"N/A")</f>
        <v>N/A</v>
      </c>
      <c r="T118" s="73" t="str">
        <f>IFERROR(__xludf.DUMMYFUNCTION("""COMPUTED_VALUE""")," N/A ")</f>
        <v>N/A</v>
      </c>
      <c r="U118" s="73" t="str">
        <f>IFERROR(__xludf.DUMMYFUNCTION("""COMPUTED_VALUE""")," NO CHARGE ")</f>
        <v>NO CHARGE</v>
      </c>
      <c r="V118" s="2"/>
      <c r="W118" s="2" t="str">
        <f>IFERROR(__xludf.DUMMYFUNCTION("""COMPUTED_VALUE"""),"N/A")</f>
        <v>N/A</v>
      </c>
      <c r="X118" s="2" t="str">
        <f>IFERROR(__xludf.DUMMYFUNCTION("""COMPUTED_VALUE"""),"N/A")</f>
        <v>N/A</v>
      </c>
      <c r="Y118" s="2" t="str">
        <f>IFERROR(__xludf.DUMMYFUNCTION("""COMPUTED_VALUE"""),"JTT")</f>
        <v>JTT</v>
      </c>
      <c r="Z118" s="2"/>
      <c r="AA118" s="2"/>
      <c r="AB118" s="2"/>
      <c r="AC118" s="2"/>
      <c r="AD118" s="2"/>
      <c r="AE118" s="2"/>
      <c r="AF118" s="2"/>
      <c r="AG118" s="2"/>
      <c r="AH118" s="2"/>
      <c r="AI118" s="2"/>
      <c r="AJ118" s="2" t="str">
        <f>IFERROR(__xludf.DUMMYFUNCTION("""COMPUTED_VALUE"""),"Santa Maria")</f>
        <v>Santa Maria</v>
      </c>
      <c r="AK118" s="2" t="str">
        <f>IFERROR(__xludf.DUMMYFUNCTION("""COMPUTED_VALUE"""),"Alfonso Lista (Potia)")</f>
        <v>Alfonso Lista (Potia)</v>
      </c>
      <c r="AL118" s="2" t="str">
        <f>IFERROR(__xludf.DUMMYFUNCTION("""COMPUTED_VALUE"""),"Ifugao")</f>
        <v>Ifugao</v>
      </c>
      <c r="AM118" s="2" t="str">
        <f>IFERROR(__xludf.DUMMYFUNCTION("""COMPUTED_VALUE"""),"CAR")</f>
        <v>CAR</v>
      </c>
      <c r="AN118" s="2" t="str">
        <f>IFERROR(__xludf.DUMMYFUNCTION("""COMPUTED_VALUE"""),"RCEF 23-09-21 Rebidding")</f>
        <v>RCEF 23-09-21 Rebidding</v>
      </c>
      <c r="AO118" s="2">
        <f>IFERROR(__xludf.DUMMYFUNCTION("""COMPUTED_VALUE"""),1.0)</f>
        <v>1</v>
      </c>
      <c r="AP118" s="2"/>
      <c r="AQ118" s="2"/>
      <c r="AR118" s="2"/>
      <c r="AS118" s="2"/>
      <c r="AT118" s="2"/>
      <c r="AU118" s="2"/>
      <c r="AV118" s="2"/>
      <c r="AW118" s="2"/>
      <c r="AX118" s="2"/>
      <c r="AY118" s="2"/>
      <c r="AZ118" s="2"/>
      <c r="BA118" s="2"/>
      <c r="BB118" s="2"/>
    </row>
    <row r="119">
      <c r="A119" s="2">
        <f>IFERROR(__xludf.DUMMYFUNCTION("""COMPUTED_VALUE"""),115.0)</f>
        <v>115</v>
      </c>
      <c r="B119" s="2" t="str">
        <f>IFERROR(__xludf.DUMMYFUNCTION("""COMPUTED_VALUE"""),"COMPLETED")</f>
        <v>COMPLETED</v>
      </c>
      <c r="C119" s="74">
        <f>IFERROR(__xludf.DUMMYFUNCTION("""COMPUTED_VALUE"""),45426.0)</f>
        <v>45426</v>
      </c>
      <c r="D119" s="71" t="str">
        <f>IFERROR(__xludf.DUMMYFUNCTION("""COMPUTED_VALUE"""),"MALAPAD FARMERS ASSOCIATION")</f>
        <v>MALAPAD FARMERS ASSOCIATION</v>
      </c>
      <c r="E119" s="71" t="str">
        <f>IFERROR(__xludf.DUMMYFUNCTION("""COMPUTED_VALUE"""),"Malapad, Baco, Oriental Mindoro")</f>
        <v>Malapad, Baco, Oriental Mindoro</v>
      </c>
      <c r="F119" s="2" t="str">
        <f>IFERROR(__xludf.DUMMYFUNCTION("""COMPUTED_VALUE"""),"ROLANDO MANDITA")</f>
        <v>ROLANDO MANDITA</v>
      </c>
      <c r="G119" s="2">
        <f>IFERROR(__xludf.DUMMYFUNCTION("""COMPUTED_VALUE"""),9.088155646E9)</f>
        <v>9088155646</v>
      </c>
      <c r="H119" s="2">
        <f>IFERROR(__xludf.DUMMYFUNCTION("""COMPUTED_VALUE"""),50.0)</f>
        <v>50</v>
      </c>
      <c r="I119" s="72" t="str">
        <f>IFERROR(__xludf.DUMMYFUNCTION("""COMPUTED_VALUE"""),"REPAIR - TRACTOR")</f>
        <v>REPAIR - TRACTOR</v>
      </c>
      <c r="J119" s="72" t="str">
        <f>IFERROR(__xludf.DUMMYFUNCTION("""COMPUTED_VALUE"""),"Hydraulic Hose Leak")</f>
        <v>Hydraulic Hose Leak</v>
      </c>
      <c r="K119" s="72" t="str">
        <f>IFERROR(__xludf.DUMMYFUNCTION("""COMPUTED_VALUE"""),"TIGNAN ANG TUBO NA PUMUTOK SA LOADER")</f>
        <v>TIGNAN ANG TUBO NA PUMUTOK SA LOADER</v>
      </c>
      <c r="L119" s="72" t="str">
        <f>IFERROR(__xludf.DUMMYFUNCTION("""COMPUTED_VALUE"""),"N/A")</f>
        <v>N/A</v>
      </c>
      <c r="M119" s="2"/>
      <c r="N119" s="2"/>
      <c r="O119" s="2" t="str">
        <f>IFERROR(__xludf.DUMMYFUNCTION("""COMPUTED_VALUE"""),"N/A")</f>
        <v>N/A</v>
      </c>
      <c r="P119" s="2"/>
      <c r="Q119" s="2"/>
      <c r="R119" s="74">
        <f>IFERROR(__xludf.DUMMYFUNCTION("""COMPUTED_VALUE"""),45437.0)</f>
        <v>45437</v>
      </c>
      <c r="S119" s="2" t="str">
        <f>IFERROR(__xludf.DUMMYFUNCTION("""COMPUTED_VALUE"""),"JTT")</f>
        <v>JTT</v>
      </c>
      <c r="T119" s="73" t="str">
        <f>IFERROR(__xludf.DUMMYFUNCTION("""COMPUTED_VALUE""")," N/A ")</f>
        <v>N/A</v>
      </c>
      <c r="U119" s="73" t="str">
        <f>IFERROR(__xludf.DUMMYFUNCTION("""COMPUTED_VALUE""")," NO CHARGE ")</f>
        <v>NO CHARGE</v>
      </c>
      <c r="V119" s="2"/>
      <c r="W119" s="2" t="str">
        <f>IFERROR(__xludf.DUMMYFUNCTION("""COMPUTED_VALUE"""),"N/A")</f>
        <v>N/A</v>
      </c>
      <c r="X119" s="2" t="str">
        <f>IFERROR(__xludf.DUMMYFUNCTION("""COMPUTED_VALUE"""),"N/A")</f>
        <v>N/A</v>
      </c>
      <c r="Y119" s="2" t="str">
        <f>IFERROR(__xludf.DUMMYFUNCTION("""COMPUTED_VALUE"""),"KFS")</f>
        <v>KFS</v>
      </c>
      <c r="Z119" s="2"/>
      <c r="AA119" s="2"/>
      <c r="AB119" s="2"/>
      <c r="AC119" s="2"/>
      <c r="AD119" s="2"/>
      <c r="AE119" s="2"/>
      <c r="AF119" s="2"/>
      <c r="AG119" s="2"/>
      <c r="AH119" s="2"/>
      <c r="AI119" s="2"/>
      <c r="AJ119" s="2" t="str">
        <f>IFERROR(__xludf.DUMMYFUNCTION("""COMPUTED_VALUE"""),"Malapad")</f>
        <v>Malapad</v>
      </c>
      <c r="AK119" s="2" t="str">
        <f>IFERROR(__xludf.DUMMYFUNCTION("""COMPUTED_VALUE"""),"Baco")</f>
        <v>Baco</v>
      </c>
      <c r="AL119" s="2" t="str">
        <f>IFERROR(__xludf.DUMMYFUNCTION("""COMPUTED_VALUE"""),"Oriental Mindoro")</f>
        <v>Oriental Mindoro</v>
      </c>
      <c r="AM119" s="2" t="str">
        <f>IFERROR(__xludf.DUMMYFUNCTION("""COMPUTED_VALUE"""),"4B")</f>
        <v>4B</v>
      </c>
      <c r="AN119" s="2" t="str">
        <f>IFERROR(__xludf.DUMMYFUNCTION("""COMPUTED_VALUE"""),"RCEF 23-08-20 Rebidding")</f>
        <v>RCEF 23-08-20 Rebidding</v>
      </c>
      <c r="AO119" s="2">
        <f>IFERROR(__xludf.DUMMYFUNCTION("""COMPUTED_VALUE"""),1.0)</f>
        <v>1</v>
      </c>
      <c r="AP119" s="2"/>
      <c r="AQ119" s="2"/>
      <c r="AR119" s="2"/>
      <c r="AS119" s="2"/>
      <c r="AT119" s="2"/>
      <c r="AU119" s="2"/>
      <c r="AV119" s="2"/>
      <c r="AW119" s="2"/>
      <c r="AX119" s="2"/>
      <c r="AY119" s="2"/>
      <c r="AZ119" s="2"/>
      <c r="BA119" s="2"/>
      <c r="BB119" s="2"/>
    </row>
    <row r="120">
      <c r="A120" s="2">
        <f>IFERROR(__xludf.DUMMYFUNCTION("""COMPUTED_VALUE"""),116.0)</f>
        <v>116</v>
      </c>
      <c r="B120" s="2" t="str">
        <f>IFERROR(__xludf.DUMMYFUNCTION("""COMPUTED_VALUE"""),"COMPLETED")</f>
        <v>COMPLETED</v>
      </c>
      <c r="C120" s="74">
        <f>IFERROR(__xludf.DUMMYFUNCTION("""COMPUTED_VALUE"""),45426.0)</f>
        <v>45426</v>
      </c>
      <c r="D120" s="71" t="str">
        <f>IFERROR(__xludf.DUMMYFUNCTION("""COMPUTED_VALUE"""),"MALAPAD FARMERS ASSOCIATION")</f>
        <v>MALAPAD FARMERS ASSOCIATION</v>
      </c>
      <c r="E120" s="71" t="str">
        <f>IFERROR(__xludf.DUMMYFUNCTION("""COMPUTED_VALUE"""),"Malapad, Baco, Oriental Mindoro")</f>
        <v>Malapad, Baco, Oriental Mindoro</v>
      </c>
      <c r="F120" s="2" t="str">
        <f>IFERROR(__xludf.DUMMYFUNCTION("""COMPUTED_VALUE"""),"ROLANDO MANDITA")</f>
        <v>ROLANDO MANDITA</v>
      </c>
      <c r="G120" s="2">
        <f>IFERROR(__xludf.DUMMYFUNCTION("""COMPUTED_VALUE"""),9.088155646E9)</f>
        <v>9088155646</v>
      </c>
      <c r="H120" s="2">
        <f>IFERROR(__xludf.DUMMYFUNCTION("""COMPUTED_VALUE"""),106.9)</f>
        <v>106.9</v>
      </c>
      <c r="I120" s="72" t="str">
        <f>IFERROR(__xludf.DUMMYFUNCTION("""COMPUTED_VALUE"""),"PMS")</f>
        <v>PMS</v>
      </c>
      <c r="J120" s="72" t="str">
        <f>IFERROR(__xludf.DUMMYFUNCTION("""COMPUTED_VALUE"""),"PMS")</f>
        <v>PMS</v>
      </c>
      <c r="K120" s="72" t="str">
        <f>IFERROR(__xludf.DUMMYFUNCTION("""COMPUTED_VALUE"""),"FIRTS PMS")</f>
        <v>FIRTS PMS</v>
      </c>
      <c r="L120" s="72" t="str">
        <f>IFERROR(__xludf.DUMMYFUNCTION("""COMPUTED_VALUE"""),"CHANGE OIL")</f>
        <v>CHANGE OIL</v>
      </c>
      <c r="M120" s="2"/>
      <c r="N120" s="2" t="str">
        <f>IFERROR(__xludf.DUMMYFUNCTION("""COMPUTED_VALUE"""),"ENGINE OIL")</f>
        <v>ENGINE OIL</v>
      </c>
      <c r="O120" s="2" t="str">
        <f>IFERROR(__xludf.DUMMYFUNCTION("""COMPUTED_VALUE"""),"JIE-071")</f>
        <v>JIE-071</v>
      </c>
      <c r="P120" s="2"/>
      <c r="Q120" s="2"/>
      <c r="R120" s="74">
        <f>IFERROR(__xludf.DUMMYFUNCTION("""COMPUTED_VALUE"""),45437.0)</f>
        <v>45437</v>
      </c>
      <c r="S120" s="2" t="str">
        <f>IFERROR(__xludf.DUMMYFUNCTION("""COMPUTED_VALUE"""),"JTT / PAUL")</f>
        <v>JTT / PAUL</v>
      </c>
      <c r="T120" s="73">
        <f>IFERROR(__xludf.DUMMYFUNCTION("""COMPUTED_VALUE"""),2593.75)</f>
        <v>2593.75</v>
      </c>
      <c r="U120" s="73" t="str">
        <f>IFERROR(__xludf.DUMMYFUNCTION("""COMPUTED_VALUE""")," REMITTED ")</f>
        <v>REMITTED</v>
      </c>
      <c r="V120" s="2"/>
      <c r="W120" s="2"/>
      <c r="X120" s="2"/>
      <c r="Y120" s="2" t="str">
        <f>IFERROR(__xludf.DUMMYFUNCTION("""COMPUTED_VALUE"""),"KFS")</f>
        <v>KFS</v>
      </c>
      <c r="Z120" s="2"/>
      <c r="AA120" s="2"/>
      <c r="AB120" s="2"/>
      <c r="AC120" s="2"/>
      <c r="AD120" s="2"/>
      <c r="AE120" s="2"/>
      <c r="AF120" s="2"/>
      <c r="AG120" s="2"/>
      <c r="AH120" s="2"/>
      <c r="AI120" s="2"/>
      <c r="AJ120" s="2" t="str">
        <f>IFERROR(__xludf.DUMMYFUNCTION("""COMPUTED_VALUE"""),"Malapad")</f>
        <v>Malapad</v>
      </c>
      <c r="AK120" s="2" t="str">
        <f>IFERROR(__xludf.DUMMYFUNCTION("""COMPUTED_VALUE"""),"Baco")</f>
        <v>Baco</v>
      </c>
      <c r="AL120" s="2" t="str">
        <f>IFERROR(__xludf.DUMMYFUNCTION("""COMPUTED_VALUE"""),"Oriental Mindoro")</f>
        <v>Oriental Mindoro</v>
      </c>
      <c r="AM120" s="2" t="str">
        <f>IFERROR(__xludf.DUMMYFUNCTION("""COMPUTED_VALUE"""),"4B")</f>
        <v>4B</v>
      </c>
      <c r="AN120" s="2" t="str">
        <f>IFERROR(__xludf.DUMMYFUNCTION("""COMPUTED_VALUE"""),"RCEF 23-08-20 Rebidding")</f>
        <v>RCEF 23-08-20 Rebidding</v>
      </c>
      <c r="AO120" s="2">
        <f>IFERROR(__xludf.DUMMYFUNCTION("""COMPUTED_VALUE"""),1.0)</f>
        <v>1</v>
      </c>
      <c r="AP120" s="2"/>
      <c r="AQ120" s="2"/>
      <c r="AR120" s="2"/>
      <c r="AS120" s="2"/>
      <c r="AT120" s="2"/>
      <c r="AU120" s="2"/>
      <c r="AV120" s="2"/>
      <c r="AW120" s="2"/>
      <c r="AX120" s="2"/>
      <c r="AY120" s="2"/>
      <c r="AZ120" s="2"/>
      <c r="BA120" s="2"/>
      <c r="BB120" s="2"/>
    </row>
    <row r="121">
      <c r="A121" s="2">
        <f>IFERROR(__xludf.DUMMYFUNCTION("""COMPUTED_VALUE"""),117.0)</f>
        <v>117</v>
      </c>
      <c r="B121" s="2" t="str">
        <f>IFERROR(__xludf.DUMMYFUNCTION("""COMPUTED_VALUE"""),"COMPLETED")</f>
        <v>COMPLETED</v>
      </c>
      <c r="C121" s="74">
        <f>IFERROR(__xludf.DUMMYFUNCTION("""COMPUTED_VALUE"""),45427.0)</f>
        <v>45427</v>
      </c>
      <c r="D121" s="71" t="str">
        <f>IFERROR(__xludf.DUMMYFUNCTION("""COMPUTED_VALUE"""),"RANG-AY FARMERS IRRIGATORS' ASSOCIATION, INC.")</f>
        <v>RANG-AY FARMERS IRRIGATORS' ASSOCIATION, INC.</v>
      </c>
      <c r="E121" s="71" t="str">
        <f>IFERROR(__xludf.DUMMYFUNCTION("""COMPUTED_VALUE"""),"Arcon, Tumauini, ISABELA")</f>
        <v>Arcon, Tumauini, ISABELA</v>
      </c>
      <c r="F121" s="2"/>
      <c r="G121" s="2"/>
      <c r="H121" s="2"/>
      <c r="I121" s="72" t="str">
        <f>IFERROR(__xludf.DUMMYFUNCTION("""COMPUTED_VALUE"""),"REPAIR - DISC PLOW")</f>
        <v>REPAIR - DISC PLOW</v>
      </c>
      <c r="J121" s="72" t="str">
        <f>IFERROR(__xludf.DUMMYFUNCTION("""COMPUTED_VALUE"""),"Leak")</f>
        <v>Leak</v>
      </c>
      <c r="K121" s="72" t="str">
        <f>IFERROR(__xludf.DUMMYFUNCTION("""COMPUTED_VALUE"""),"MAY TAGAS ANG DISC PLOW")</f>
        <v>MAY TAGAS ANG DISC PLOW</v>
      </c>
      <c r="L121" s="72" t="str">
        <f>IFERROR(__xludf.DUMMYFUNCTION("""COMPUTED_VALUE"""),"LEAK AT MAGALAW ANG DISC DHIL SIRA ANG BEARING KAYA LUWUWAG ANG OIL SEAL . NAGPALIT KAMI NG ISANG BEARING AT INAYOS NAMIN ANG OIL SEAL")</f>
        <v>LEAK AT MAGALAW ANG DISC DHIL SIRA ANG BEARING KAYA LUWUWAG ANG OIL SEAL . NAGPALIT KAMI NG ISANG BEARING AT INAYOS NAMIN ANG OIL SEAL</v>
      </c>
      <c r="M121" s="2"/>
      <c r="N121" s="2"/>
      <c r="O121" s="2" t="str">
        <f>IFERROR(__xludf.DUMMYFUNCTION("""COMPUTED_VALUE"""),"JIE-077")</f>
        <v>JIE-077</v>
      </c>
      <c r="P121" s="2"/>
      <c r="Q121" s="2"/>
      <c r="R121" s="74">
        <f>IFERROR(__xludf.DUMMYFUNCTION("""COMPUTED_VALUE"""),45439.0)</f>
        <v>45439</v>
      </c>
      <c r="S121" s="2" t="str">
        <f>IFERROR(__xludf.DUMMYFUNCTION("""COMPUTED_VALUE"""),"CFG/DRM")</f>
        <v>CFG/DRM</v>
      </c>
      <c r="T121" s="2"/>
      <c r="U121" s="73" t="str">
        <f>IFERROR(__xludf.DUMMYFUNCTION("""COMPUTED_VALUE""")," NO CHARGE ")</f>
        <v>NO CHARGE</v>
      </c>
      <c r="V121" s="2"/>
      <c r="W121" s="2" t="str">
        <f>IFERROR(__xludf.DUMMYFUNCTION("""COMPUTED_VALUE"""),"N/A")</f>
        <v>N/A</v>
      </c>
      <c r="X121" s="2" t="str">
        <f>IFERROR(__xludf.DUMMYFUNCTION("""COMPUTED_VALUE"""),"N/A")</f>
        <v>N/A</v>
      </c>
      <c r="Y121" s="2" t="str">
        <f>IFERROR(__xludf.DUMMYFUNCTION("""COMPUTED_VALUE"""),"ACS")</f>
        <v>ACS</v>
      </c>
      <c r="Z121" s="2"/>
      <c r="AA121" s="2"/>
      <c r="AB121" s="2"/>
      <c r="AC121" s="2"/>
      <c r="AD121" s="2"/>
      <c r="AE121" s="2"/>
      <c r="AF121" s="2"/>
      <c r="AG121" s="2"/>
      <c r="AH121" s="2"/>
      <c r="AI121" s="2"/>
      <c r="AJ121" s="2" t="str">
        <f>IFERROR(__xludf.DUMMYFUNCTION("""COMPUTED_VALUE"""),"Arcon")</f>
        <v>Arcon</v>
      </c>
      <c r="AK121" s="2" t="str">
        <f>IFERROR(__xludf.DUMMYFUNCTION("""COMPUTED_VALUE"""),"Tumauini")</f>
        <v>Tumauini</v>
      </c>
      <c r="AL121" s="2" t="str">
        <f>IFERROR(__xludf.DUMMYFUNCTION("""COMPUTED_VALUE"""),"Isabela")</f>
        <v>Isabela</v>
      </c>
      <c r="AM121" s="2">
        <f>IFERROR(__xludf.DUMMYFUNCTION("""COMPUTED_VALUE"""),2.0)</f>
        <v>2</v>
      </c>
      <c r="AN121" s="2" t="str">
        <f>IFERROR(__xludf.DUMMYFUNCTION("""COMPUTED_VALUE"""),"RCEF 23-09-21 Rebidding")</f>
        <v>RCEF 23-09-21 Rebidding</v>
      </c>
      <c r="AO121" s="2">
        <f>IFERROR(__xludf.DUMMYFUNCTION("""COMPUTED_VALUE"""),1.0)</f>
        <v>1</v>
      </c>
      <c r="AP121" s="2"/>
      <c r="AQ121" s="2"/>
      <c r="AR121" s="2"/>
      <c r="AS121" s="2"/>
      <c r="AT121" s="2"/>
      <c r="AU121" s="2"/>
      <c r="AV121" s="2"/>
      <c r="AW121" s="2"/>
      <c r="AX121" s="2"/>
      <c r="AY121" s="2"/>
      <c r="AZ121" s="2"/>
      <c r="BA121" s="2"/>
      <c r="BB121" s="2"/>
    </row>
    <row r="122">
      <c r="A122" s="2">
        <f>IFERROR(__xludf.DUMMYFUNCTION("""COMPUTED_VALUE"""),118.0)</f>
        <v>118</v>
      </c>
      <c r="B122" s="2" t="str">
        <f>IFERROR(__xludf.DUMMYFUNCTION("""COMPUTED_VALUE"""),"COMPLETED")</f>
        <v>COMPLETED</v>
      </c>
      <c r="C122" s="74">
        <f>IFERROR(__xludf.DUMMYFUNCTION("""COMPUTED_VALUE"""),45428.0)</f>
        <v>45428</v>
      </c>
      <c r="D122" s="71" t="str">
        <f>IFERROR(__xludf.DUMMYFUNCTION("""COMPUTED_VALUE"""),"VILLA DY IRRIGATORS ASSOCIATION, INC.")</f>
        <v>VILLA DY IRRIGATORS ASSOCIATION, INC.</v>
      </c>
      <c r="E122" s="71" t="str">
        <f>IFERROR(__xludf.DUMMYFUNCTION("""COMPUTED_VALUE"""),"Alinam, Cauayan City, ISABELA")</f>
        <v>Alinam, Cauayan City, ISABELA</v>
      </c>
      <c r="F122" s="2" t="str">
        <f>IFERROR(__xludf.DUMMYFUNCTION("""COMPUTED_VALUE"""),"ANTONIO G. RAMOS")</f>
        <v>ANTONIO G. RAMOS</v>
      </c>
      <c r="G122" s="2" t="str">
        <f>IFERROR(__xludf.DUMMYFUNCTION("""COMPUTED_VALUE"""),"09752000043  /  09654799244")</f>
        <v>09752000043  /  09654799244</v>
      </c>
      <c r="H122" s="2">
        <f>IFERROR(__xludf.DUMMYFUNCTION("""COMPUTED_VALUE"""),48.0)</f>
        <v>48</v>
      </c>
      <c r="I122" s="72" t="str">
        <f>IFERROR(__xludf.DUMMYFUNCTION("""COMPUTED_VALUE"""),"PMS")</f>
        <v>PMS</v>
      </c>
      <c r="J122" s="72" t="str">
        <f>IFERROR(__xludf.DUMMYFUNCTION("""COMPUTED_VALUE"""),"PMS")</f>
        <v>PMS</v>
      </c>
      <c r="K122" s="72" t="str">
        <f>IFERROR(__xludf.DUMMYFUNCTION("""COMPUTED_VALUE"""),"FIRTS PMS")</f>
        <v>FIRTS PMS</v>
      </c>
      <c r="L122" s="72" t="str">
        <f>IFERROR(__xludf.DUMMYFUNCTION("""COMPUTED_VALUE"""),"CHANGE OIL")</f>
        <v>CHANGE OIL</v>
      </c>
      <c r="M122" s="2"/>
      <c r="N122" s="2"/>
      <c r="O122" s="2" t="str">
        <f>IFERROR(__xludf.DUMMYFUNCTION("""COMPUTED_VALUE"""),"JIE-247")</f>
        <v>JIE-247</v>
      </c>
      <c r="P122" s="2"/>
      <c r="Q122" s="2"/>
      <c r="R122" s="74">
        <f>IFERROR(__xludf.DUMMYFUNCTION("""COMPUTED_VALUE"""),45429.0)</f>
        <v>45429</v>
      </c>
      <c r="S122" s="2" t="str">
        <f>IFERROR(__xludf.DUMMYFUNCTION("""COMPUTED_VALUE"""),"CFG/ACS")</f>
        <v>CFG/ACS</v>
      </c>
      <c r="T122" s="73" t="str">
        <f>IFERROR(__xludf.DUMMYFUNCTION("""COMPUTED_VALUE""")," N/A ")</f>
        <v>N/A</v>
      </c>
      <c r="U122" s="73" t="str">
        <f>IFERROR(__xludf.DUMMYFUNCTION("""COMPUTED_VALUE""")," NO CHARGE ")</f>
        <v>NO CHARGE</v>
      </c>
      <c r="V122" s="2"/>
      <c r="W122" s="2" t="str">
        <f>IFERROR(__xludf.DUMMYFUNCTION("""COMPUTED_VALUE"""),"N/A")</f>
        <v>N/A</v>
      </c>
      <c r="X122" s="2" t="str">
        <f>IFERROR(__xludf.DUMMYFUNCTION("""COMPUTED_VALUE"""),"N/A")</f>
        <v>N/A</v>
      </c>
      <c r="Y122" s="2" t="str">
        <f>IFERROR(__xludf.DUMMYFUNCTION("""COMPUTED_VALUE"""),"CFG")</f>
        <v>CFG</v>
      </c>
      <c r="Z122" s="2"/>
      <c r="AA122" s="2"/>
      <c r="AB122" s="2"/>
      <c r="AC122" s="2"/>
      <c r="AD122" s="2"/>
      <c r="AE122" s="2"/>
      <c r="AF122" s="2"/>
      <c r="AG122" s="2"/>
      <c r="AH122" s="2"/>
      <c r="AI122" s="2"/>
      <c r="AJ122" s="2" t="str">
        <f>IFERROR(__xludf.DUMMYFUNCTION("""COMPUTED_VALUE"""),"Alinam")</f>
        <v>Alinam</v>
      </c>
      <c r="AK122" s="2" t="str">
        <f>IFERROR(__xludf.DUMMYFUNCTION("""COMPUTED_VALUE"""),"Cauayan City")</f>
        <v>Cauayan City</v>
      </c>
      <c r="AL122" s="2" t="str">
        <f>IFERROR(__xludf.DUMMYFUNCTION("""COMPUTED_VALUE"""),"Isabela")</f>
        <v>Isabela</v>
      </c>
      <c r="AM122" s="2">
        <f>IFERROR(__xludf.DUMMYFUNCTION("""COMPUTED_VALUE"""),2.0)</f>
        <v>2</v>
      </c>
      <c r="AN122" s="2" t="str">
        <f>IFERROR(__xludf.DUMMYFUNCTION("""COMPUTED_VALUE"""),"RCEF 23-09-21 Rebidding")</f>
        <v>RCEF 23-09-21 Rebidding</v>
      </c>
      <c r="AO122" s="2">
        <f>IFERROR(__xludf.DUMMYFUNCTION("""COMPUTED_VALUE"""),1.0)</f>
        <v>1</v>
      </c>
      <c r="AP122" s="2"/>
      <c r="AQ122" s="2"/>
      <c r="AR122" s="2"/>
      <c r="AS122" s="2"/>
      <c r="AT122" s="2"/>
      <c r="AU122" s="2"/>
      <c r="AV122" s="2"/>
      <c r="AW122" s="2"/>
      <c r="AX122" s="2"/>
      <c r="AY122" s="2"/>
      <c r="AZ122" s="2"/>
      <c r="BA122" s="2"/>
      <c r="BB122" s="2"/>
    </row>
    <row r="123">
      <c r="A123" s="2">
        <f>IFERROR(__xludf.DUMMYFUNCTION("""COMPUTED_VALUE"""),119.0)</f>
        <v>119</v>
      </c>
      <c r="B123" s="2" t="str">
        <f>IFERROR(__xludf.DUMMYFUNCTION("""COMPUTED_VALUE"""),"COMPLETED")</f>
        <v>COMPLETED</v>
      </c>
      <c r="C123" s="74">
        <f>IFERROR(__xludf.DUMMYFUNCTION("""COMPUTED_VALUE"""),45428.0)</f>
        <v>45428</v>
      </c>
      <c r="D123" s="71" t="str">
        <f>IFERROR(__xludf.DUMMYFUNCTION("""COMPUTED_VALUE"""),"ZANJERA DAGOC-STO. TOMAS FARMERS ASSOCIATION, INC.")</f>
        <v>ZANJERA DAGOC-STO. TOMAS FARMERS ASSOCIATION, INC.</v>
      </c>
      <c r="E123" s="71" t="str">
        <f>IFERROR(__xludf.DUMMYFUNCTION("""COMPUTED_VALUE"""),"Santo Tomas, Claveria, CAGAYAN")</f>
        <v>Santo Tomas, Claveria, CAGAYAN</v>
      </c>
      <c r="F123" s="2" t="str">
        <f>IFERROR(__xludf.DUMMYFUNCTION("""COMPUTED_VALUE"""),"JOSEPH ASUNCION")</f>
        <v>JOSEPH ASUNCION</v>
      </c>
      <c r="G123" s="2">
        <f>IFERROR(__xludf.DUMMYFUNCTION("""COMPUTED_VALUE"""),9.286190609E9)</f>
        <v>9286190609</v>
      </c>
      <c r="H123" s="2">
        <f>IFERROR(__xludf.DUMMYFUNCTION("""COMPUTED_VALUE"""),53.0)</f>
        <v>53</v>
      </c>
      <c r="I123" s="72" t="str">
        <f>IFERROR(__xludf.DUMMYFUNCTION("""COMPUTED_VALUE"""),"PMS")</f>
        <v>PMS</v>
      </c>
      <c r="J123" s="72" t="str">
        <f>IFERROR(__xludf.DUMMYFUNCTION("""COMPUTED_VALUE"""),"PMS")</f>
        <v>PMS</v>
      </c>
      <c r="K123" s="72" t="str">
        <f>IFERROR(__xludf.DUMMYFUNCTION("""COMPUTED_VALUE"""),"FIRTS PMS: SELF PMS")</f>
        <v>FIRTS PMS: SELF PMS</v>
      </c>
      <c r="L123" s="72" t="str">
        <f>IFERROR(__xludf.DUMMYFUNCTION("""COMPUTED_VALUE"""),"SELF PMS: AGREEMENT SENT: FOR PRINT")</f>
        <v>SELF PMS: AGREEMENT SENT: FOR PRINT</v>
      </c>
      <c r="M123" s="2"/>
      <c r="N123" s="2"/>
      <c r="O123" s="2" t="str">
        <f>IFERROR(__xludf.DUMMYFUNCTION("""COMPUTED_VALUE"""),"N/A")</f>
        <v>N/A</v>
      </c>
      <c r="P123" s="2"/>
      <c r="Q123" s="2"/>
      <c r="R123" s="74">
        <f>IFERROR(__xludf.DUMMYFUNCTION("""COMPUTED_VALUE"""),45428.0)</f>
        <v>45428</v>
      </c>
      <c r="S123" s="2" t="str">
        <f>IFERROR(__xludf.DUMMYFUNCTION("""COMPUTED_VALUE"""),"MYKEE")</f>
        <v>MYKEE</v>
      </c>
      <c r="T123" s="73" t="str">
        <f>IFERROR(__xludf.DUMMYFUNCTION("""COMPUTED_VALUE""")," N/A ")</f>
        <v>N/A</v>
      </c>
      <c r="U123" s="73" t="str">
        <f>IFERROR(__xludf.DUMMYFUNCTION("""COMPUTED_VALUE""")," NO CHARGE ")</f>
        <v>NO CHARGE</v>
      </c>
      <c r="V123" s="2"/>
      <c r="W123" s="2" t="str">
        <f>IFERROR(__xludf.DUMMYFUNCTION("""COMPUTED_VALUE"""),"N/A")</f>
        <v>N/A</v>
      </c>
      <c r="X123" s="2" t="str">
        <f>IFERROR(__xludf.DUMMYFUNCTION("""COMPUTED_VALUE"""),"N/A")</f>
        <v>N/A</v>
      </c>
      <c r="Y123" s="2" t="str">
        <f>IFERROR(__xludf.DUMMYFUNCTION("""COMPUTED_VALUE"""),"ERP")</f>
        <v>ERP</v>
      </c>
      <c r="Z123" s="2"/>
      <c r="AA123" s="2"/>
      <c r="AB123" s="2"/>
      <c r="AC123" s="2"/>
      <c r="AD123" s="2"/>
      <c r="AE123" s="2"/>
      <c r="AF123" s="2"/>
      <c r="AG123" s="2"/>
      <c r="AH123" s="2"/>
      <c r="AI123" s="2"/>
      <c r="AJ123" s="2" t="str">
        <f>IFERROR(__xludf.DUMMYFUNCTION("""COMPUTED_VALUE"""),"Santo Tomas")</f>
        <v>Santo Tomas</v>
      </c>
      <c r="AK123" s="2" t="str">
        <f>IFERROR(__xludf.DUMMYFUNCTION("""COMPUTED_VALUE"""),"Claveria")</f>
        <v>Claveria</v>
      </c>
      <c r="AL123" s="2" t="str">
        <f>IFERROR(__xludf.DUMMYFUNCTION("""COMPUTED_VALUE"""),"Cagayan")</f>
        <v>Cagayan</v>
      </c>
      <c r="AM123" s="2">
        <f>IFERROR(__xludf.DUMMYFUNCTION("""COMPUTED_VALUE"""),2.0)</f>
        <v>2</v>
      </c>
      <c r="AN123" s="2" t="str">
        <f>IFERROR(__xludf.DUMMYFUNCTION("""COMPUTED_VALUE"""),"RCEF 23-09-21 Rebidding")</f>
        <v>RCEF 23-09-21 Rebidding</v>
      </c>
      <c r="AO123" s="2">
        <f>IFERROR(__xludf.DUMMYFUNCTION("""COMPUTED_VALUE"""),9.0)</f>
        <v>9</v>
      </c>
      <c r="AP123" s="2"/>
      <c r="AQ123" s="2"/>
      <c r="AR123" s="2"/>
      <c r="AS123" s="2"/>
      <c r="AT123" s="2"/>
      <c r="AU123" s="2"/>
      <c r="AV123" s="2"/>
      <c r="AW123" s="2"/>
      <c r="AX123" s="2"/>
      <c r="AY123" s="2"/>
      <c r="AZ123" s="2"/>
      <c r="BA123" s="2"/>
      <c r="BB123" s="2"/>
    </row>
    <row r="124">
      <c r="A124" s="2">
        <f>IFERROR(__xludf.DUMMYFUNCTION("""COMPUTED_VALUE"""),120.0)</f>
        <v>120</v>
      </c>
      <c r="B124" s="2" t="str">
        <f>IFERROR(__xludf.DUMMYFUNCTION("""COMPUTED_VALUE"""),"COMPLETED")</f>
        <v>COMPLETED</v>
      </c>
      <c r="C124" s="74">
        <f>IFERROR(__xludf.DUMMYFUNCTION("""COMPUTED_VALUE"""),45428.0)</f>
        <v>45428</v>
      </c>
      <c r="D124" s="71" t="str">
        <f>IFERROR(__xludf.DUMMYFUNCTION("""COMPUTED_VALUE"""),"BUGALLON CABIGAAN IRRIGATORS ASSOCIATION, INC.")</f>
        <v>BUGALLON CABIGAAN IRRIGATORS ASSOCIATION, INC.</v>
      </c>
      <c r="E124" s="71" t="str">
        <f>IFERROR(__xludf.DUMMYFUNCTION("""COMPUTED_VALUE"""),"Poblacion, Bugallon, PANGASINAN")</f>
        <v>Poblacion, Bugallon, PANGASINAN</v>
      </c>
      <c r="F124" s="2" t="str">
        <f>IFERROR(__xludf.DUMMYFUNCTION("""COMPUTED_VALUE"""),"MARLON MADRID")</f>
        <v>MARLON MADRID</v>
      </c>
      <c r="G124" s="2">
        <f>IFERROR(__xludf.DUMMYFUNCTION("""COMPUTED_VALUE"""),9.770595986E9)</f>
        <v>9770595986</v>
      </c>
      <c r="H124" s="2">
        <f>IFERROR(__xludf.DUMMYFUNCTION("""COMPUTED_VALUE"""),50.0)</f>
        <v>50</v>
      </c>
      <c r="I124" s="72" t="str">
        <f>IFERROR(__xludf.DUMMYFUNCTION("""COMPUTED_VALUE"""),"PMS")</f>
        <v>PMS</v>
      </c>
      <c r="J124" s="72" t="str">
        <f>IFERROR(__xludf.DUMMYFUNCTION("""COMPUTED_VALUE"""),"PMS")</f>
        <v>PMS</v>
      </c>
      <c r="K124" s="72" t="str">
        <f>IFERROR(__xludf.DUMMYFUNCTION("""COMPUTED_VALUE"""),"FIRTS PMS: SELF PMS")</f>
        <v>FIRTS PMS: SELF PMS</v>
      </c>
      <c r="L124" s="72" t="str">
        <f>IFERROR(__xludf.DUMMYFUNCTION("""COMPUTED_VALUE"""),"SELF PMS: AGREEMENT SIGNED: FOR PRINT")</f>
        <v>SELF PMS: AGREEMENT SIGNED: FOR PRINT</v>
      </c>
      <c r="M124" s="2"/>
      <c r="N124" s="2"/>
      <c r="O124" s="2" t="str">
        <f>IFERROR(__xludf.DUMMYFUNCTION("""COMPUTED_VALUE"""),"N/A")</f>
        <v>N/A</v>
      </c>
      <c r="P124" s="2"/>
      <c r="Q124" s="2"/>
      <c r="R124" s="74">
        <f>IFERROR(__xludf.DUMMYFUNCTION("""COMPUTED_VALUE"""),45428.0)</f>
        <v>45428</v>
      </c>
      <c r="S124" s="2" t="str">
        <f>IFERROR(__xludf.DUMMYFUNCTION("""COMPUTED_VALUE"""),"MYKEE")</f>
        <v>MYKEE</v>
      </c>
      <c r="T124" s="73" t="str">
        <f>IFERROR(__xludf.DUMMYFUNCTION("""COMPUTED_VALUE""")," N/A ")</f>
        <v>N/A</v>
      </c>
      <c r="U124" s="73" t="str">
        <f>IFERROR(__xludf.DUMMYFUNCTION("""COMPUTED_VALUE""")," NO CHARGE ")</f>
        <v>NO CHARGE</v>
      </c>
      <c r="V124" s="2"/>
      <c r="W124" s="2" t="str">
        <f>IFERROR(__xludf.DUMMYFUNCTION("""COMPUTED_VALUE"""),"N/A")</f>
        <v>N/A</v>
      </c>
      <c r="X124" s="2" t="str">
        <f>IFERROR(__xludf.DUMMYFUNCTION("""COMPUTED_VALUE"""),"N/A")</f>
        <v>N/A</v>
      </c>
      <c r="Y124" s="2" t="str">
        <f>IFERROR(__xludf.DUMMYFUNCTION("""COMPUTED_VALUE"""),"EDT")</f>
        <v>EDT</v>
      </c>
      <c r="Z124" s="2"/>
      <c r="AA124" s="2"/>
      <c r="AB124" s="2"/>
      <c r="AC124" s="2"/>
      <c r="AD124" s="2"/>
      <c r="AE124" s="2"/>
      <c r="AF124" s="2"/>
      <c r="AG124" s="2"/>
      <c r="AH124" s="2"/>
      <c r="AI124" s="2"/>
      <c r="AJ124" s="2" t="str">
        <f>IFERROR(__xludf.DUMMYFUNCTION("""COMPUTED_VALUE"""),"Poblacion")</f>
        <v>Poblacion</v>
      </c>
      <c r="AK124" s="2" t="str">
        <f>IFERROR(__xludf.DUMMYFUNCTION("""COMPUTED_VALUE"""),"Bugallon")</f>
        <v>Bugallon</v>
      </c>
      <c r="AL124" s="2" t="str">
        <f>IFERROR(__xludf.DUMMYFUNCTION("""COMPUTED_VALUE"""),"Pangasinan")</f>
        <v>Pangasinan</v>
      </c>
      <c r="AM124" s="2">
        <f>IFERROR(__xludf.DUMMYFUNCTION("""COMPUTED_VALUE"""),1.0)</f>
        <v>1</v>
      </c>
      <c r="AN124" s="2" t="str">
        <f>IFERROR(__xludf.DUMMYFUNCTION("""COMPUTED_VALUE"""),"RCEF 23-09-21 Rebidding")</f>
        <v>RCEF 23-09-21 Rebidding</v>
      </c>
      <c r="AO124" s="2">
        <f>IFERROR(__xludf.DUMMYFUNCTION("""COMPUTED_VALUE"""),2.0)</f>
        <v>2</v>
      </c>
      <c r="AP124" s="2"/>
      <c r="AQ124" s="2"/>
      <c r="AR124" s="2"/>
      <c r="AS124" s="2"/>
      <c r="AT124" s="2"/>
      <c r="AU124" s="2"/>
      <c r="AV124" s="2"/>
      <c r="AW124" s="2"/>
      <c r="AX124" s="2"/>
      <c r="AY124" s="2"/>
      <c r="AZ124" s="2"/>
      <c r="BA124" s="2"/>
      <c r="BB124" s="2"/>
    </row>
    <row r="125">
      <c r="A125" s="2">
        <f>IFERROR(__xludf.DUMMYFUNCTION("""COMPUTED_VALUE"""),121.0)</f>
        <v>121</v>
      </c>
      <c r="B125" s="2" t="str">
        <f>IFERROR(__xludf.DUMMYFUNCTION("""COMPUTED_VALUE"""),"COMPLETED")</f>
        <v>COMPLETED</v>
      </c>
      <c r="C125" s="74">
        <f>IFERROR(__xludf.DUMMYFUNCTION("""COMPUTED_VALUE"""),45428.0)</f>
        <v>45428</v>
      </c>
      <c r="D125" s="71" t="str">
        <f>IFERROR(__xludf.DUMMYFUNCTION("""COMPUTED_VALUE"""),"Camandang Irrigators Association")</f>
        <v>Camandang Irrigators Association</v>
      </c>
      <c r="E125" s="71" t="str">
        <f>IFERROR(__xludf.DUMMYFUNCTION("""COMPUTED_VALUE"""),"MONTECLARO, SAN JOSE, OCCIDENTAL MINDORO")</f>
        <v>MONTECLARO, SAN JOSE, OCCIDENTAL MINDORO</v>
      </c>
      <c r="F125" s="2" t="str">
        <f>IFERROR(__xludf.DUMMYFUNCTION("""COMPUTED_VALUE"""),"EDUARDO TOQUERO")</f>
        <v>EDUARDO TOQUERO</v>
      </c>
      <c r="G125" s="2">
        <f>IFERROR(__xludf.DUMMYFUNCTION("""COMPUTED_VALUE"""),9.658977577E9)</f>
        <v>9658977577</v>
      </c>
      <c r="H125" s="2">
        <f>IFERROR(__xludf.DUMMYFUNCTION("""COMPUTED_VALUE"""),350.0)</f>
        <v>350</v>
      </c>
      <c r="I125" s="72" t="str">
        <f>IFERROR(__xludf.DUMMYFUNCTION("""COMPUTED_VALUE"""),"PMS")</f>
        <v>PMS</v>
      </c>
      <c r="J125" s="72" t="str">
        <f>IFERROR(__xludf.DUMMYFUNCTION("""COMPUTED_VALUE"""),"PMS")</f>
        <v>PMS</v>
      </c>
      <c r="K125" s="72" t="str">
        <f>IFERROR(__xludf.DUMMYFUNCTION("""COMPUTED_VALUE"""),"SECOND PMS")</f>
        <v>SECOND PMS</v>
      </c>
      <c r="L125" s="72" t="str">
        <f>IFERROR(__xludf.DUMMYFUNCTION("""COMPUTED_VALUE"""),"CHANGE OIL:  HYDRAULIC OIL PAID BY FCA")</f>
        <v>CHANGE OIL:  HYDRAULIC OIL PAID BY FCA</v>
      </c>
      <c r="M125" s="2"/>
      <c r="N125" s="2" t="str">
        <f>IFERROR(__xludf.DUMMYFUNCTION("""COMPUTED_VALUE"""),"HYDRAULIC OIL")</f>
        <v>HYDRAULIC OIL</v>
      </c>
      <c r="O125" s="2" t="str">
        <f>IFERROR(__xludf.DUMMYFUNCTION("""COMPUTED_VALUE"""),"JIE-072")</f>
        <v>JIE-072</v>
      </c>
      <c r="P125" s="2"/>
      <c r="Q125" s="2"/>
      <c r="R125" s="74">
        <f>IFERROR(__xludf.DUMMYFUNCTION("""COMPUTED_VALUE"""),45437.0)</f>
        <v>45437</v>
      </c>
      <c r="S125" s="2" t="str">
        <f>IFERROR(__xludf.DUMMYFUNCTION("""COMPUTED_VALUE"""),"JTT / PAUL")</f>
        <v>JTT / PAUL</v>
      </c>
      <c r="T125" s="73">
        <f>IFERROR(__xludf.DUMMYFUNCTION("""COMPUTED_VALUE"""),17375.0)</f>
        <v>17375</v>
      </c>
      <c r="U125" s="73" t="str">
        <f>IFERROR(__xludf.DUMMYFUNCTION("""COMPUTED_VALUE""")," REMITTED ")</f>
        <v>REMITTED</v>
      </c>
      <c r="V125" s="2"/>
      <c r="W125" s="2"/>
      <c r="X125" s="2"/>
      <c r="Y125" s="2" t="str">
        <f>IFERROR(__xludf.DUMMYFUNCTION("""COMPUTED_VALUE"""),"RBS")</f>
        <v>RBS</v>
      </c>
      <c r="Z125" s="2"/>
      <c r="AA125" s="2"/>
      <c r="AB125" s="2"/>
      <c r="AC125" s="2"/>
      <c r="AD125" s="2"/>
      <c r="AE125" s="2"/>
      <c r="AF125" s="2"/>
      <c r="AG125" s="2"/>
      <c r="AH125" s="2"/>
      <c r="AI125" s="2"/>
      <c r="AJ125" s="2" t="str">
        <f>IFERROR(__xludf.DUMMYFUNCTION("""COMPUTED_VALUE"""),"Monteclaro")</f>
        <v>Monteclaro</v>
      </c>
      <c r="AK125" s="2" t="str">
        <f>IFERROR(__xludf.DUMMYFUNCTION("""COMPUTED_VALUE"""),"San Jose")</f>
        <v>San Jose</v>
      </c>
      <c r="AL125" s="2" t="str">
        <f>IFERROR(__xludf.DUMMYFUNCTION("""COMPUTED_VALUE"""),"Occidental Mindoro")</f>
        <v>Occidental Mindoro</v>
      </c>
      <c r="AM125" s="2" t="str">
        <f>IFERROR(__xludf.DUMMYFUNCTION("""COMPUTED_VALUE"""),"4B")</f>
        <v>4B</v>
      </c>
      <c r="AN125" s="2" t="str">
        <f>IFERROR(__xludf.DUMMYFUNCTION("""COMPUTED_VALUE"""),"RCEF 23-08-20 Rebidding")</f>
        <v>RCEF 23-08-20 Rebidding</v>
      </c>
      <c r="AO125" s="2">
        <f>IFERROR(__xludf.DUMMYFUNCTION("""COMPUTED_VALUE"""),1.0)</f>
        <v>1</v>
      </c>
      <c r="AP125" s="2"/>
      <c r="AQ125" s="2"/>
      <c r="AR125" s="2"/>
      <c r="AS125" s="2"/>
      <c r="AT125" s="2"/>
      <c r="AU125" s="2"/>
      <c r="AV125" s="2"/>
      <c r="AW125" s="2"/>
      <c r="AX125" s="2"/>
      <c r="AY125" s="2"/>
      <c r="AZ125" s="2"/>
      <c r="BA125" s="2"/>
      <c r="BB125" s="2"/>
    </row>
    <row r="126">
      <c r="A126" s="2">
        <f>IFERROR(__xludf.DUMMYFUNCTION("""COMPUTED_VALUE"""),122.0)</f>
        <v>122</v>
      </c>
      <c r="B126" s="2" t="str">
        <f>IFERROR(__xludf.DUMMYFUNCTION("""COMPUTED_VALUE"""),"COMPLETED")</f>
        <v>COMPLETED</v>
      </c>
      <c r="C126" s="74">
        <f>IFERROR(__xludf.DUMMYFUNCTION("""COMPUTED_VALUE"""),45428.0)</f>
        <v>45428</v>
      </c>
      <c r="D126" s="71" t="str">
        <f>IFERROR(__xludf.DUMMYFUNCTION("""COMPUTED_VALUE"""),"SAMAHANG MAGPAPATUBIG NG BALUGO STA. MARIA AT VILLA CELESTIAL INC.")</f>
        <v>SAMAHANG MAGPAPATUBIG NG BALUGO STA. MARIA AT VILLA CELESTIAL INC.</v>
      </c>
      <c r="E126" s="71" t="str">
        <f>IFERROR(__xludf.DUMMYFUNCTION("""COMPUTED_VALUE"""),"Balugo, Mansalay, Oriental Mindoro")</f>
        <v>Balugo, Mansalay, Oriental Mindoro</v>
      </c>
      <c r="F126" s="2" t="str">
        <f>IFERROR(__xludf.DUMMYFUNCTION("""COMPUTED_VALUE"""),"MARIVIC DIONISIO")</f>
        <v>MARIVIC DIONISIO</v>
      </c>
      <c r="G126" s="2">
        <f>IFERROR(__xludf.DUMMYFUNCTION("""COMPUTED_VALUE"""),9.756580836E9)</f>
        <v>9756580836</v>
      </c>
      <c r="H126" s="2">
        <f>IFERROR(__xludf.DUMMYFUNCTION("""COMPUTED_VALUE"""),78.1)</f>
        <v>78.1</v>
      </c>
      <c r="I126" s="72" t="str">
        <f>IFERROR(__xludf.DUMMYFUNCTION("""COMPUTED_VALUE"""),"PMS")</f>
        <v>PMS</v>
      </c>
      <c r="J126" s="72" t="str">
        <f>IFERROR(__xludf.DUMMYFUNCTION("""COMPUTED_VALUE"""),"PMS")</f>
        <v>PMS</v>
      </c>
      <c r="K126" s="72" t="str">
        <f>IFERROR(__xludf.DUMMYFUNCTION("""COMPUTED_VALUE"""),"FIRTS PMS")</f>
        <v>FIRTS PMS</v>
      </c>
      <c r="L126" s="72" t="str">
        <f>IFERROR(__xludf.DUMMYFUNCTION("""COMPUTED_VALUE"""),"CHANGE OIL: ENGINE OIL AND OIL FILTER PAID BY FCA")</f>
        <v>CHANGE OIL: ENGINE OIL AND OIL FILTER PAID BY FCA</v>
      </c>
      <c r="M126" s="2"/>
      <c r="N126" s="2" t="str">
        <f>IFERROR(__xludf.DUMMYFUNCTION("""COMPUTED_VALUE"""),"OIL FILTER
ENGINE OIL")</f>
        <v>OIL FILTER
ENGINE OIL</v>
      </c>
      <c r="O126" s="2" t="str">
        <f>IFERROR(__xludf.DUMMYFUNCTION("""COMPUTED_VALUE"""),"JIE-073")</f>
        <v>JIE-073</v>
      </c>
      <c r="P126" s="2"/>
      <c r="Q126" s="2"/>
      <c r="R126" s="74">
        <f>IFERROR(__xludf.DUMMYFUNCTION("""COMPUTED_VALUE"""),45437.0)</f>
        <v>45437</v>
      </c>
      <c r="S126" s="2" t="str">
        <f>IFERROR(__xludf.DUMMYFUNCTION("""COMPUTED_VALUE"""),"JTT / PAUL")</f>
        <v>JTT / PAUL</v>
      </c>
      <c r="T126" s="73">
        <f>IFERROR(__xludf.DUMMYFUNCTION("""COMPUTED_VALUE"""),5431.25)</f>
        <v>5431.25</v>
      </c>
      <c r="U126" s="73" t="str">
        <f>IFERROR(__xludf.DUMMYFUNCTION("""COMPUTED_VALUE""")," REMITTED ")</f>
        <v>REMITTED</v>
      </c>
      <c r="V126" s="2"/>
      <c r="W126" s="2"/>
      <c r="X126" s="2"/>
      <c r="Y126" s="2" t="str">
        <f>IFERROR(__xludf.DUMMYFUNCTION("""COMPUTED_VALUE"""),"KFS")</f>
        <v>KFS</v>
      </c>
      <c r="Z126" s="2"/>
      <c r="AA126" s="2"/>
      <c r="AB126" s="2"/>
      <c r="AC126" s="2"/>
      <c r="AD126" s="2"/>
      <c r="AE126" s="2"/>
      <c r="AF126" s="2"/>
      <c r="AG126" s="2"/>
      <c r="AH126" s="2"/>
      <c r="AI126" s="2"/>
      <c r="AJ126" s="2" t="str">
        <f>IFERROR(__xludf.DUMMYFUNCTION("""COMPUTED_VALUE"""),"Balugo")</f>
        <v>Balugo</v>
      </c>
      <c r="AK126" s="2" t="str">
        <f>IFERROR(__xludf.DUMMYFUNCTION("""COMPUTED_VALUE"""),"Mansalay")</f>
        <v>Mansalay</v>
      </c>
      <c r="AL126" s="2" t="str">
        <f>IFERROR(__xludf.DUMMYFUNCTION("""COMPUTED_VALUE"""),"Oriental Mindoro")</f>
        <v>Oriental Mindoro</v>
      </c>
      <c r="AM126" s="2" t="str">
        <f>IFERROR(__xludf.DUMMYFUNCTION("""COMPUTED_VALUE"""),"4B")</f>
        <v>4B</v>
      </c>
      <c r="AN126" s="2" t="str">
        <f>IFERROR(__xludf.DUMMYFUNCTION("""COMPUTED_VALUE"""),"RCEF 23-08-20 Rebidding")</f>
        <v>RCEF 23-08-20 Rebidding</v>
      </c>
      <c r="AO126" s="2">
        <f>IFERROR(__xludf.DUMMYFUNCTION("""COMPUTED_VALUE"""),1.0)</f>
        <v>1</v>
      </c>
      <c r="AP126" s="2"/>
      <c r="AQ126" s="2"/>
      <c r="AR126" s="2"/>
      <c r="AS126" s="2"/>
      <c r="AT126" s="2"/>
      <c r="AU126" s="2"/>
      <c r="AV126" s="2"/>
      <c r="AW126" s="2"/>
      <c r="AX126" s="2"/>
      <c r="AY126" s="2"/>
      <c r="AZ126" s="2"/>
      <c r="BA126" s="2"/>
      <c r="BB126" s="2"/>
    </row>
    <row r="127">
      <c r="A127" s="2">
        <f>IFERROR(__xludf.DUMMYFUNCTION("""COMPUTED_VALUE"""),123.0)</f>
        <v>123</v>
      </c>
      <c r="B127" s="2" t="str">
        <f>IFERROR(__xludf.DUMMYFUNCTION("""COMPUTED_VALUE"""),"COMPLETED")</f>
        <v>COMPLETED</v>
      </c>
      <c r="C127" s="74">
        <f>IFERROR(__xludf.DUMMYFUNCTION("""COMPUTED_VALUE"""),45429.0)</f>
        <v>45429</v>
      </c>
      <c r="D127" s="71" t="str">
        <f>IFERROR(__xludf.DUMMYFUNCTION("""COMPUTED_VALUE"""),"PUROK CALAPARAN MAGSAYSAY FARMERS ASSOCIATION")</f>
        <v>PUROK CALAPARAN MAGSAYSAY FARMERS ASSOCIATION</v>
      </c>
      <c r="E127" s="71" t="str">
        <f>IFERROR(__xludf.DUMMYFUNCTION("""COMPUTED_VALUE"""),"Magsaysay, Dumaran, Palawan")</f>
        <v>Magsaysay, Dumaran, Palawan</v>
      </c>
      <c r="F127" s="2"/>
      <c r="G127" s="2">
        <f>IFERROR(__xludf.DUMMYFUNCTION("""COMPUTED_VALUE"""),9.129264225E9)</f>
        <v>9129264225</v>
      </c>
      <c r="H127" s="2">
        <f>IFERROR(__xludf.DUMMYFUNCTION("""COMPUTED_VALUE"""),50.0)</f>
        <v>50</v>
      </c>
      <c r="I127" s="72" t="str">
        <f>IFERROR(__xludf.DUMMYFUNCTION("""COMPUTED_VALUE"""),"PMS")</f>
        <v>PMS</v>
      </c>
      <c r="J127" s="72" t="str">
        <f>IFERROR(__xludf.DUMMYFUNCTION("""COMPUTED_VALUE"""),"PMS")</f>
        <v>PMS</v>
      </c>
      <c r="K127" s="72" t="str">
        <f>IFERROR(__xludf.DUMMYFUNCTION("""COMPUTED_VALUE"""),"FIRTS PMS")</f>
        <v>FIRTS PMS</v>
      </c>
      <c r="L127" s="72" t="str">
        <f>IFERROR(__xludf.DUMMYFUNCTION("""COMPUTED_VALUE"""),"CHANGE OIL ")</f>
        <v>CHANGE OIL </v>
      </c>
      <c r="M127" s="2"/>
      <c r="N127" s="2"/>
      <c r="O127" s="2" t="str">
        <f>IFERROR(__xludf.DUMMYFUNCTION("""COMPUTED_VALUE"""),"JIE-248")</f>
        <v>JIE-248</v>
      </c>
      <c r="P127" s="2"/>
      <c r="Q127" s="2"/>
      <c r="R127" s="74">
        <f>IFERROR(__xludf.DUMMYFUNCTION("""COMPUTED_VALUE"""),45434.0)</f>
        <v>45434</v>
      </c>
      <c r="S127" s="2" t="str">
        <f>IFERROR(__xludf.DUMMYFUNCTION("""COMPUTED_VALUE"""),"BASTE AND TEAM")</f>
        <v>BASTE AND TEAM</v>
      </c>
      <c r="T127" s="73" t="str">
        <f>IFERROR(__xludf.DUMMYFUNCTION("""COMPUTED_VALUE""")," N/A ")</f>
        <v>N/A</v>
      </c>
      <c r="U127" s="73" t="str">
        <f>IFERROR(__xludf.DUMMYFUNCTION("""COMPUTED_VALUE""")," NO CHARGE ")</f>
        <v>NO CHARGE</v>
      </c>
      <c r="V127" s="2"/>
      <c r="W127" s="2" t="str">
        <f>IFERROR(__xludf.DUMMYFUNCTION("""COMPUTED_VALUE"""),"N/A")</f>
        <v>N/A</v>
      </c>
      <c r="X127" s="2" t="str">
        <f>IFERROR(__xludf.DUMMYFUNCTION("""COMPUTED_VALUE"""),"N/A")</f>
        <v>N/A</v>
      </c>
      <c r="Y127" s="2" t="str">
        <f>IFERROR(__xludf.DUMMYFUNCTION("""COMPUTED_VALUE"""),"KFS")</f>
        <v>KFS</v>
      </c>
      <c r="Z127" s="2"/>
      <c r="AA127" s="2"/>
      <c r="AB127" s="2"/>
      <c r="AC127" s="2"/>
      <c r="AD127" s="2"/>
      <c r="AE127" s="2"/>
      <c r="AF127" s="2"/>
      <c r="AG127" s="2"/>
      <c r="AH127" s="2"/>
      <c r="AI127" s="2"/>
      <c r="AJ127" s="2" t="str">
        <f>IFERROR(__xludf.DUMMYFUNCTION("""COMPUTED_VALUE"""),"Magsaysay")</f>
        <v>Magsaysay</v>
      </c>
      <c r="AK127" s="2" t="str">
        <f>IFERROR(__xludf.DUMMYFUNCTION("""COMPUTED_VALUE"""),"Dumaran")</f>
        <v>Dumaran</v>
      </c>
      <c r="AL127" s="2" t="str">
        <f>IFERROR(__xludf.DUMMYFUNCTION("""COMPUTED_VALUE"""),"Palawan")</f>
        <v>Palawan</v>
      </c>
      <c r="AM127" s="2" t="str">
        <f>IFERROR(__xludf.DUMMYFUNCTION("""COMPUTED_VALUE"""),"4B")</f>
        <v>4B</v>
      </c>
      <c r="AN127" s="2" t="str">
        <f>IFERROR(__xludf.DUMMYFUNCTION("""COMPUTED_VALUE"""),"RCEF 23-08-20 Rebidding")</f>
        <v>RCEF 23-08-20 Rebidding</v>
      </c>
      <c r="AO127" s="2">
        <f>IFERROR(__xludf.DUMMYFUNCTION("""COMPUTED_VALUE"""),1.0)</f>
        <v>1</v>
      </c>
      <c r="AP127" s="2"/>
      <c r="AQ127" s="2"/>
      <c r="AR127" s="2"/>
      <c r="AS127" s="2"/>
      <c r="AT127" s="2"/>
      <c r="AU127" s="2"/>
      <c r="AV127" s="2"/>
      <c r="AW127" s="2"/>
      <c r="AX127" s="2"/>
      <c r="AY127" s="2"/>
      <c r="AZ127" s="2"/>
      <c r="BA127" s="2"/>
      <c r="BB127" s="2"/>
    </row>
    <row r="128">
      <c r="A128" s="2">
        <f>IFERROR(__xludf.DUMMYFUNCTION("""COMPUTED_VALUE"""),124.0)</f>
        <v>124</v>
      </c>
      <c r="B128" s="2" t="str">
        <f>IFERROR(__xludf.DUMMYFUNCTION("""COMPUTED_VALUE"""),"COMPLETED")</f>
        <v>COMPLETED</v>
      </c>
      <c r="C128" s="74">
        <f>IFERROR(__xludf.DUMMYFUNCTION("""COMPUTED_VALUE"""),45429.0)</f>
        <v>45429</v>
      </c>
      <c r="D128" s="71" t="str">
        <f>IFERROR(__xludf.DUMMYFUNCTION("""COMPUTED_VALUE"""),"IMPAMACOR IRRIGATORS' ASSOCIATION, INC.")</f>
        <v>IMPAMACOR IRRIGATORS' ASSOCIATION, INC.</v>
      </c>
      <c r="E128" s="71" t="str">
        <f>IFERROR(__xludf.DUMMYFUNCTION("""COMPUTED_VALUE"""),"Imbunia, Jaen, NUEVA ECIJA")</f>
        <v>Imbunia, Jaen, NUEVA ECIJA</v>
      </c>
      <c r="F128" s="2" t="str">
        <f>IFERROR(__xludf.DUMMYFUNCTION("""COMPUTED_VALUE"""),"CORNELIO PRADEZ")</f>
        <v>CORNELIO PRADEZ</v>
      </c>
      <c r="G128" s="2">
        <f>IFERROR(__xludf.DUMMYFUNCTION("""COMPUTED_VALUE"""),9.262395517E9)</f>
        <v>9262395517</v>
      </c>
      <c r="H128" s="2"/>
      <c r="I128" s="72" t="str">
        <f>IFERROR(__xludf.DUMMYFUNCTION("""COMPUTED_VALUE"""),"PMS")</f>
        <v>PMS</v>
      </c>
      <c r="J128" s="72" t="str">
        <f>IFERROR(__xludf.DUMMYFUNCTION("""COMPUTED_VALUE"""),"PMS")</f>
        <v>PMS</v>
      </c>
      <c r="K128" s="72" t="str">
        <f>IFERROR(__xludf.DUMMYFUNCTION("""COMPUTED_VALUE"""),"FIRTS PMS")</f>
        <v>FIRTS PMS</v>
      </c>
      <c r="L128" s="72" t="str">
        <f>IFERROR(__xludf.DUMMYFUNCTION("""COMPUTED_VALUE"""),"HINDI NA DAW MAGPA CHANGE OIL AT DI NA GINAGAMIT YUNG UNIT")</f>
        <v>HINDI NA DAW MAGPA CHANGE OIL AT DI NA GINAGAMIT YUNG UNIT</v>
      </c>
      <c r="M128" s="2"/>
      <c r="N128" s="2"/>
      <c r="O128" s="2" t="str">
        <f>IFERROR(__xludf.DUMMYFUNCTION("""COMPUTED_VALUE"""),"N/A")</f>
        <v>N/A</v>
      </c>
      <c r="P128" s="2"/>
      <c r="Q128" s="2"/>
      <c r="R128" s="74">
        <f>IFERROR(__xludf.DUMMYFUNCTION("""COMPUTED_VALUE"""),45436.0)</f>
        <v>45436</v>
      </c>
      <c r="S128" s="2"/>
      <c r="T128" s="73" t="str">
        <f>IFERROR(__xludf.DUMMYFUNCTION("""COMPUTED_VALUE""")," N/A ")</f>
        <v>N/A</v>
      </c>
      <c r="U128" s="73" t="str">
        <f>IFERROR(__xludf.DUMMYFUNCTION("""COMPUTED_VALUE""")," NO CHARGE ")</f>
        <v>NO CHARGE</v>
      </c>
      <c r="V128" s="2"/>
      <c r="W128" s="2" t="str">
        <f>IFERROR(__xludf.DUMMYFUNCTION("""COMPUTED_VALUE"""),"N/A")</f>
        <v>N/A</v>
      </c>
      <c r="X128" s="2" t="str">
        <f>IFERROR(__xludf.DUMMYFUNCTION("""COMPUTED_VALUE"""),"N/A")</f>
        <v>N/A</v>
      </c>
      <c r="Y128" s="2" t="str">
        <f>IFERROR(__xludf.DUMMYFUNCTION("""COMPUTED_VALUE"""),"EDISON")</f>
        <v>EDISON</v>
      </c>
      <c r="Z128" s="2"/>
      <c r="AA128" s="2"/>
      <c r="AB128" s="2"/>
      <c r="AC128" s="2"/>
      <c r="AD128" s="2" t="str">
        <f>IFERROR(__xludf.DUMMYFUNCTION("""COMPUTED_VALUE"""),"report")</f>
        <v>report</v>
      </c>
      <c r="AE128" s="2"/>
      <c r="AF128" s="2"/>
      <c r="AG128" s="2"/>
      <c r="AH128" s="2"/>
      <c r="AI128" s="2"/>
      <c r="AJ128" s="2" t="str">
        <f>IFERROR(__xludf.DUMMYFUNCTION("""COMPUTED_VALUE"""),"Imbunia")</f>
        <v>Imbunia</v>
      </c>
      <c r="AK128" s="2" t="str">
        <f>IFERROR(__xludf.DUMMYFUNCTION("""COMPUTED_VALUE"""),"Jaen")</f>
        <v>Jaen</v>
      </c>
      <c r="AL128" s="2" t="str">
        <f>IFERROR(__xludf.DUMMYFUNCTION("""COMPUTED_VALUE"""),"Nueva Ecija")</f>
        <v>Nueva Ecija</v>
      </c>
      <c r="AM128" s="2">
        <f>IFERROR(__xludf.DUMMYFUNCTION("""COMPUTED_VALUE"""),3.0)</f>
        <v>3</v>
      </c>
      <c r="AN128" s="2" t="str">
        <f>IFERROR(__xludf.DUMMYFUNCTION("""COMPUTED_VALUE"""),"RCEF 23-09-21 Rebidding")</f>
        <v>RCEF 23-09-21 Rebidding</v>
      </c>
      <c r="AO128" s="2">
        <f>IFERROR(__xludf.DUMMYFUNCTION("""COMPUTED_VALUE"""),3.0)</f>
        <v>3</v>
      </c>
      <c r="AP128" s="2"/>
      <c r="AQ128" s="2"/>
      <c r="AR128" s="2"/>
      <c r="AS128" s="2"/>
      <c r="AT128" s="2"/>
      <c r="AU128" s="2"/>
      <c r="AV128" s="2"/>
      <c r="AW128" s="2"/>
      <c r="AX128" s="2"/>
      <c r="AY128" s="2"/>
      <c r="AZ128" s="2"/>
      <c r="BA128" s="2"/>
      <c r="BB128" s="2"/>
    </row>
    <row r="129">
      <c r="A129" s="2">
        <f>IFERROR(__xludf.DUMMYFUNCTION("""COMPUTED_VALUE"""),125.0)</f>
        <v>125</v>
      </c>
      <c r="B129" s="2" t="str">
        <f>IFERROR(__xludf.DUMMYFUNCTION("""COMPUTED_VALUE"""),"COMPLETED")</f>
        <v>COMPLETED</v>
      </c>
      <c r="C129" s="74">
        <f>IFERROR(__xludf.DUMMYFUNCTION("""COMPUTED_VALUE"""),45430.0)</f>
        <v>45430</v>
      </c>
      <c r="D129" s="71" t="str">
        <f>IFERROR(__xludf.DUMMYFUNCTION("""COMPUTED_VALUE"""),"Cabaruan Main Extension Irrigators Association, Inc.")</f>
        <v>Cabaruan Main Extension Irrigators Association, Inc.</v>
      </c>
      <c r="E129" s="71" t="str">
        <f>IFERROR(__xludf.DUMMYFUNCTION("""COMPUTED_VALUE"""),"Cabaruan, Maddela, QUIRINO")</f>
        <v>Cabaruan, Maddela, QUIRINO</v>
      </c>
      <c r="F129" s="2" t="str">
        <f>IFERROR(__xludf.DUMMYFUNCTION("""COMPUTED_VALUE"""),"DOMINGO DANGKEO")</f>
        <v>DOMINGO DANGKEO</v>
      </c>
      <c r="G129" s="2">
        <f>IFERROR(__xludf.DUMMYFUNCTION("""COMPUTED_VALUE"""),9.357255563E9)</f>
        <v>9357255563</v>
      </c>
      <c r="H129" s="2">
        <f>IFERROR(__xludf.DUMMYFUNCTION("""COMPUTED_VALUE"""),50.0)</f>
        <v>50</v>
      </c>
      <c r="I129" s="72" t="str">
        <f>IFERROR(__xludf.DUMMYFUNCTION("""COMPUTED_VALUE"""),"PMS")</f>
        <v>PMS</v>
      </c>
      <c r="J129" s="72" t="str">
        <f>IFERROR(__xludf.DUMMYFUNCTION("""COMPUTED_VALUE"""),"PMS")</f>
        <v>PMS</v>
      </c>
      <c r="K129" s="72" t="str">
        <f>IFERROR(__xludf.DUMMYFUNCTION("""COMPUTED_VALUE"""),"FIRTS PMS")</f>
        <v>FIRTS PMS</v>
      </c>
      <c r="L129" s="72" t="str">
        <f>IFERROR(__xludf.DUMMYFUNCTION("""COMPUTED_VALUE"""),"CHANGE OLIL")</f>
        <v>CHANGE OLIL</v>
      </c>
      <c r="M129" s="2"/>
      <c r="N129" s="2"/>
      <c r="O129" s="2" t="str">
        <f>IFERROR(__xludf.DUMMYFUNCTION("""COMPUTED_VALUE"""),"JIE-078")</f>
        <v>JIE-078</v>
      </c>
      <c r="P129" s="2"/>
      <c r="Q129" s="2"/>
      <c r="R129" s="74">
        <f>IFERROR(__xludf.DUMMYFUNCTION("""COMPUTED_VALUE"""),45439.0)</f>
        <v>45439</v>
      </c>
      <c r="S129" s="2"/>
      <c r="T129" s="73" t="str">
        <f>IFERROR(__xludf.DUMMYFUNCTION("""COMPUTED_VALUE""")," N/A ")</f>
        <v>N/A</v>
      </c>
      <c r="U129" s="73" t="str">
        <f>IFERROR(__xludf.DUMMYFUNCTION("""COMPUTED_VALUE""")," NO CHARGE ")</f>
        <v>NO CHARGE</v>
      </c>
      <c r="V129" s="2"/>
      <c r="W129" s="2" t="str">
        <f>IFERROR(__xludf.DUMMYFUNCTION("""COMPUTED_VALUE"""),"N/A")</f>
        <v>N/A</v>
      </c>
      <c r="X129" s="2" t="str">
        <f>IFERROR(__xludf.DUMMYFUNCTION("""COMPUTED_VALUE"""),"N/A")</f>
        <v>N/A</v>
      </c>
      <c r="Y129" s="2" t="str">
        <f>IFERROR(__xludf.DUMMYFUNCTION("""COMPUTED_VALUE"""),"KFS")</f>
        <v>KFS</v>
      </c>
      <c r="Z129" s="2"/>
      <c r="AA129" s="2"/>
      <c r="AB129" s="2"/>
      <c r="AC129" s="2"/>
      <c r="AD129" s="2"/>
      <c r="AE129" s="2"/>
      <c r="AF129" s="2"/>
      <c r="AG129" s="2"/>
      <c r="AH129" s="2"/>
      <c r="AI129" s="2"/>
      <c r="AJ129" s="2" t="str">
        <f>IFERROR(__xludf.DUMMYFUNCTION("""COMPUTED_VALUE"""),"Cabaruan")</f>
        <v>Cabaruan</v>
      </c>
      <c r="AK129" s="2" t="str">
        <f>IFERROR(__xludf.DUMMYFUNCTION("""COMPUTED_VALUE"""),"Maddela")</f>
        <v>Maddela</v>
      </c>
      <c r="AL129" s="2" t="str">
        <f>IFERROR(__xludf.DUMMYFUNCTION("""COMPUTED_VALUE"""),"Quirino")</f>
        <v>Quirino</v>
      </c>
      <c r="AM129" s="2">
        <f>IFERROR(__xludf.DUMMYFUNCTION("""COMPUTED_VALUE"""),2.0)</f>
        <v>2</v>
      </c>
      <c r="AN129" s="2" t="str">
        <f>IFERROR(__xludf.DUMMYFUNCTION("""COMPUTED_VALUE"""),"RCEF 23-09-21 Rebidding")</f>
        <v>RCEF 23-09-21 Rebidding</v>
      </c>
      <c r="AO129" s="2">
        <f>IFERROR(__xludf.DUMMYFUNCTION("""COMPUTED_VALUE"""),9.0)</f>
        <v>9</v>
      </c>
      <c r="AP129" s="2"/>
      <c r="AQ129" s="2"/>
      <c r="AR129" s="2"/>
      <c r="AS129" s="2"/>
      <c r="AT129" s="2"/>
      <c r="AU129" s="2"/>
      <c r="AV129" s="2"/>
      <c r="AW129" s="2"/>
      <c r="AX129" s="2"/>
      <c r="AY129" s="2"/>
      <c r="AZ129" s="2"/>
      <c r="BA129" s="2"/>
      <c r="BB129" s="2"/>
    </row>
    <row r="130">
      <c r="A130" s="2">
        <f>IFERROR(__xludf.DUMMYFUNCTION("""COMPUTED_VALUE"""),126.0)</f>
        <v>126</v>
      </c>
      <c r="B130" s="2" t="str">
        <f>IFERROR(__xludf.DUMMYFUNCTION("""COMPUTED_VALUE"""),"COMPLETED")</f>
        <v>COMPLETED</v>
      </c>
      <c r="C130" s="74">
        <f>IFERROR(__xludf.DUMMYFUNCTION("""COMPUTED_VALUE"""),45431.0)</f>
        <v>45431</v>
      </c>
      <c r="D130" s="71" t="str">
        <f>IFERROR(__xludf.DUMMYFUNCTION("""COMPUTED_VALUE"""),"SAMAHANG MAGSASAKA NG BARANGAY LENNEC")</f>
        <v>SAMAHANG MAGSASAKA NG BARANGAY LENNEC</v>
      </c>
      <c r="E130" s="71" t="str">
        <f>IFERROR(__xludf.DUMMYFUNCTION("""COMPUTED_VALUE"""),"Lennec, Guimba, NUEVA ECIJA")</f>
        <v>Lennec, Guimba, NUEVA ECIJA</v>
      </c>
      <c r="F130" s="2"/>
      <c r="G130" s="2"/>
      <c r="H130" s="2"/>
      <c r="I130" s="72"/>
      <c r="J130" s="72"/>
      <c r="K130" s="72"/>
      <c r="L130" s="72" t="str">
        <f>IFERROR(__xludf.DUMMYFUNCTION("""COMPUTED_VALUE"""),"VIA CALL SOLUTIONS")</f>
        <v>VIA CALL SOLUTIONS</v>
      </c>
      <c r="M130" s="2"/>
      <c r="N130" s="2"/>
      <c r="O130" s="2" t="str">
        <f>IFERROR(__xludf.DUMMYFUNCTION("""COMPUTED_VALUE"""),"N/A")</f>
        <v>N/A</v>
      </c>
      <c r="P130" s="2"/>
      <c r="Q130" s="2"/>
      <c r="R130" s="74">
        <f>IFERROR(__xludf.DUMMYFUNCTION("""COMPUTED_VALUE"""),45432.0)</f>
        <v>45432</v>
      </c>
      <c r="S130" s="2" t="str">
        <f>IFERROR(__xludf.DUMMYFUNCTION("""COMPUTED_VALUE"""),"JHP")</f>
        <v>JHP</v>
      </c>
      <c r="T130" s="73" t="str">
        <f>IFERROR(__xludf.DUMMYFUNCTION("""COMPUTED_VALUE""")," N/A ")</f>
        <v>N/A</v>
      </c>
      <c r="U130" s="73" t="str">
        <f>IFERROR(__xludf.DUMMYFUNCTION("""COMPUTED_VALUE""")," NO CHARGE ")</f>
        <v>NO CHARGE</v>
      </c>
      <c r="V130" s="2"/>
      <c r="W130" s="2" t="str">
        <f>IFERROR(__xludf.DUMMYFUNCTION("""COMPUTED_VALUE"""),"N/A")</f>
        <v>N/A</v>
      </c>
      <c r="X130" s="2" t="str">
        <f>IFERROR(__xludf.DUMMYFUNCTION("""COMPUTED_VALUE"""),"N/A")</f>
        <v>N/A</v>
      </c>
      <c r="Y130" s="2" t="str">
        <f>IFERROR(__xludf.DUMMYFUNCTION("""COMPUTED_VALUE"""),"ERP")</f>
        <v>ERP</v>
      </c>
      <c r="Z130" s="2"/>
      <c r="AA130" s="2"/>
      <c r="AB130" s="2"/>
      <c r="AC130" s="2"/>
      <c r="AD130" s="2" t="str">
        <f>IFERROR(__xludf.DUMMYFUNCTION("""COMPUTED_VALUE"""),"report")</f>
        <v>report</v>
      </c>
      <c r="AE130" s="2"/>
      <c r="AF130" s="2"/>
      <c r="AG130" s="2"/>
      <c r="AH130" s="2"/>
      <c r="AI130" s="2"/>
      <c r="AJ130" s="2" t="str">
        <f>IFERROR(__xludf.DUMMYFUNCTION("""COMPUTED_VALUE"""),"Lennec")</f>
        <v>Lennec</v>
      </c>
      <c r="AK130" s="2" t="str">
        <f>IFERROR(__xludf.DUMMYFUNCTION("""COMPUTED_VALUE"""),"Guimba")</f>
        <v>Guimba</v>
      </c>
      <c r="AL130" s="2" t="str">
        <f>IFERROR(__xludf.DUMMYFUNCTION("""COMPUTED_VALUE"""),"Nueva Ecija")</f>
        <v>Nueva Ecija</v>
      </c>
      <c r="AM130" s="2">
        <f>IFERROR(__xludf.DUMMYFUNCTION("""COMPUTED_VALUE"""),3.0)</f>
        <v>3</v>
      </c>
      <c r="AN130" s="2" t="str">
        <f>IFERROR(__xludf.DUMMYFUNCTION("""COMPUTED_VALUE"""),"RCEF 23-09-21 Rebidding")</f>
        <v>RCEF 23-09-21 Rebidding</v>
      </c>
      <c r="AO130" s="2">
        <f>IFERROR(__xludf.DUMMYFUNCTION("""COMPUTED_VALUE"""),9.0)</f>
        <v>9</v>
      </c>
      <c r="AP130" s="2"/>
      <c r="AQ130" s="2"/>
      <c r="AR130" s="2"/>
      <c r="AS130" s="2"/>
      <c r="AT130" s="2"/>
      <c r="AU130" s="2"/>
      <c r="AV130" s="2"/>
      <c r="AW130" s="2"/>
      <c r="AX130" s="2"/>
      <c r="AY130" s="2"/>
      <c r="AZ130" s="2"/>
      <c r="BA130" s="2"/>
      <c r="BB130" s="2"/>
    </row>
    <row r="131">
      <c r="A131" s="2">
        <f>IFERROR(__xludf.DUMMYFUNCTION("""COMPUTED_VALUE"""),127.0)</f>
        <v>127</v>
      </c>
      <c r="B131" s="2" t="str">
        <f>IFERROR(__xludf.DUMMYFUNCTION("""COMPUTED_VALUE"""),"COMPLETED")</f>
        <v>COMPLETED</v>
      </c>
      <c r="C131" s="74">
        <f>IFERROR(__xludf.DUMMYFUNCTION("""COMPUTED_VALUE"""),45432.0)</f>
        <v>45432</v>
      </c>
      <c r="D131" s="71" t="str">
        <f>IFERROR(__xludf.DUMMYFUNCTION("""COMPUTED_VALUE"""),"Agribusiness Farmworker's Livelihood and Agriculture Cooperative (AFLAC)")</f>
        <v>Agribusiness Farmworker's Livelihood and Agriculture Cooperative (AFLAC)</v>
      </c>
      <c r="E131" s="71" t="str">
        <f>IFERROR(__xludf.DUMMYFUNCTION("""COMPUTED_VALUE"""),"Capihan, San Rafael, BULACAN")</f>
        <v>Capihan, San Rafael, BULACAN</v>
      </c>
      <c r="F131" s="2" t="str">
        <f>IFERROR(__xludf.DUMMYFUNCTION("""COMPUTED_VALUE"""),"ANGELITO VERDILLO")</f>
        <v>ANGELITO VERDILLO</v>
      </c>
      <c r="G131" s="2">
        <f>IFERROR(__xludf.DUMMYFUNCTION("""COMPUTED_VALUE"""),9.325674073E9)</f>
        <v>9325674073</v>
      </c>
      <c r="H131" s="2">
        <f>IFERROR(__xludf.DUMMYFUNCTION("""COMPUTED_VALUE"""),50.0)</f>
        <v>50</v>
      </c>
      <c r="I131" s="72" t="str">
        <f>IFERROR(__xludf.DUMMYFUNCTION("""COMPUTED_VALUE"""),"PMS")</f>
        <v>PMS</v>
      </c>
      <c r="J131" s="72" t="str">
        <f>IFERROR(__xludf.DUMMYFUNCTION("""COMPUTED_VALUE"""),"PMS")</f>
        <v>PMS</v>
      </c>
      <c r="K131" s="72" t="str">
        <f>IFERROR(__xludf.DUMMYFUNCTION("""COMPUTED_VALUE"""),"FIRTS PMS")</f>
        <v>FIRTS PMS</v>
      </c>
      <c r="L131" s="72" t="str">
        <f>IFERROR(__xludf.DUMMYFUNCTION("""COMPUTED_VALUE"""),"CHANGE OIL")</f>
        <v>CHANGE OIL</v>
      </c>
      <c r="M131" s="2"/>
      <c r="N131" s="2"/>
      <c r="O131" s="2" t="str">
        <f>IFERROR(__xludf.DUMMYFUNCTION("""COMPUTED_VALUE"""),"JIE-249")</f>
        <v>JIE-249</v>
      </c>
      <c r="P131" s="2"/>
      <c r="Q131" s="2"/>
      <c r="R131" s="74">
        <f>IFERROR(__xludf.DUMMYFUNCTION("""COMPUTED_VALUE"""),45435.0)</f>
        <v>45435</v>
      </c>
      <c r="S131" s="2" t="str">
        <f>IFERROR(__xludf.DUMMYFUNCTION("""COMPUTED_VALUE"""),"JVV/DSD/1OJT")</f>
        <v>JVV/DSD/1OJT</v>
      </c>
      <c r="T131" s="73" t="str">
        <f>IFERROR(__xludf.DUMMYFUNCTION("""COMPUTED_VALUE""")," N/A ")</f>
        <v>N/A</v>
      </c>
      <c r="U131" s="73" t="str">
        <f>IFERROR(__xludf.DUMMYFUNCTION("""COMPUTED_VALUE""")," NO CHARGE ")</f>
        <v>NO CHARGE</v>
      </c>
      <c r="V131" s="2"/>
      <c r="W131" s="2" t="str">
        <f>IFERROR(__xludf.DUMMYFUNCTION("""COMPUTED_VALUE"""),"N/A")</f>
        <v>N/A</v>
      </c>
      <c r="X131" s="2" t="str">
        <f>IFERROR(__xludf.DUMMYFUNCTION("""COMPUTED_VALUE"""),"N/A")</f>
        <v>N/A</v>
      </c>
      <c r="Y131" s="2" t="str">
        <f>IFERROR(__xludf.DUMMYFUNCTION("""COMPUTED_VALUE"""),"RBS")</f>
        <v>RBS</v>
      </c>
      <c r="Z131" s="2"/>
      <c r="AA131" s="2"/>
      <c r="AB131" s="2"/>
      <c r="AC131" s="2"/>
      <c r="AD131" s="2"/>
      <c r="AE131" s="2"/>
      <c r="AF131" s="2"/>
      <c r="AG131" s="2"/>
      <c r="AH131" s="2"/>
      <c r="AI131" s="2"/>
      <c r="AJ131" s="2" t="str">
        <f>IFERROR(__xludf.DUMMYFUNCTION("""COMPUTED_VALUE"""),"Capihan")</f>
        <v>Capihan</v>
      </c>
      <c r="AK131" s="2" t="str">
        <f>IFERROR(__xludf.DUMMYFUNCTION("""COMPUTED_VALUE"""),"San Rafael")</f>
        <v>San Rafael</v>
      </c>
      <c r="AL131" s="2" t="str">
        <f>IFERROR(__xludf.DUMMYFUNCTION("""COMPUTED_VALUE"""),"Bulacan")</f>
        <v>Bulacan</v>
      </c>
      <c r="AM131" s="2">
        <f>IFERROR(__xludf.DUMMYFUNCTION("""COMPUTED_VALUE"""),3.0)</f>
        <v>3</v>
      </c>
      <c r="AN131" s="2" t="str">
        <f>IFERROR(__xludf.DUMMYFUNCTION("""COMPUTED_VALUE"""),"RCEF 23-09-21 Rebidding")</f>
        <v>RCEF 23-09-21 Rebidding</v>
      </c>
      <c r="AO131" s="2">
        <f>IFERROR(__xludf.DUMMYFUNCTION("""COMPUTED_VALUE"""),3.0)</f>
        <v>3</v>
      </c>
      <c r="AP131" s="2"/>
      <c r="AQ131" s="2"/>
      <c r="AR131" s="2"/>
      <c r="AS131" s="2"/>
      <c r="AT131" s="2"/>
      <c r="AU131" s="2"/>
      <c r="AV131" s="2"/>
      <c r="AW131" s="2"/>
      <c r="AX131" s="2"/>
      <c r="AY131" s="2"/>
      <c r="AZ131" s="2"/>
      <c r="BA131" s="2"/>
      <c r="BB131" s="2"/>
    </row>
    <row r="132">
      <c r="A132" s="2">
        <f>IFERROR(__xludf.DUMMYFUNCTION("""COMPUTED_VALUE"""),128.0)</f>
        <v>128</v>
      </c>
      <c r="B132" s="2" t="str">
        <f>IFERROR(__xludf.DUMMYFUNCTION("""COMPUTED_VALUE"""),"COMPLETED")</f>
        <v>COMPLETED</v>
      </c>
      <c r="C132" s="74">
        <f>IFERROR(__xludf.DUMMYFUNCTION("""COMPUTED_VALUE"""),45432.0)</f>
        <v>45432</v>
      </c>
      <c r="D132" s="71" t="str">
        <f>IFERROR(__xludf.DUMMYFUNCTION("""COMPUTED_VALUE"""),"Agribusiness Farmworker's Livelihood and Agriculture Cooperative (AFLAC)")</f>
        <v>Agribusiness Farmworker's Livelihood and Agriculture Cooperative (AFLAC)</v>
      </c>
      <c r="E132" s="71" t="str">
        <f>IFERROR(__xludf.DUMMYFUNCTION("""COMPUTED_VALUE"""),"Capihan, San Rafael, BULACAN")</f>
        <v>Capihan, San Rafael, BULACAN</v>
      </c>
      <c r="F132" s="2" t="str">
        <f>IFERROR(__xludf.DUMMYFUNCTION("""COMPUTED_VALUE"""),"ANGELITO VERDILLO")</f>
        <v>ANGELITO VERDILLO</v>
      </c>
      <c r="G132" s="2">
        <f>IFERROR(__xludf.DUMMYFUNCTION("""COMPUTED_VALUE"""),9.325674073E9)</f>
        <v>9325674073</v>
      </c>
      <c r="H132" s="2">
        <f>IFERROR(__xludf.DUMMYFUNCTION("""COMPUTED_VALUE"""),50.0)</f>
        <v>50</v>
      </c>
      <c r="I132" s="72" t="str">
        <f>IFERROR(__xludf.DUMMYFUNCTION("""COMPUTED_VALUE"""),"REPAIR - DISC PLOW")</f>
        <v>REPAIR - DISC PLOW</v>
      </c>
      <c r="J132" s="72" t="str">
        <f>IFERROR(__xludf.DUMMYFUNCTION("""COMPUTED_VALUE"""),"Leak")</f>
        <v>Leak</v>
      </c>
      <c r="K132" s="72" t="str">
        <f>IFERROR(__xludf.DUMMYFUNCTION("""COMPUTED_VALUE"""),"MAHIRAP ISHIFT, LEAK  SA BEARING AT OILSEAL SA DISC PLOW FOR REPLACEMENT.")</f>
        <v>MAHIRAP ISHIFT, LEAK  SA BEARING AT OILSEAL SA DISC PLOW FOR REPLACEMENT.</v>
      </c>
      <c r="L132" s="72" t="str">
        <f>IFERROR(__xludf.DUMMYFUNCTION("""COMPUTED_VALUE"""),"REPAIR DISC PLOW LEAKING, NATANGAL ANG BOLT NYA KAYA BINAKLAS NAMIN AT HINIGPITAN AT BINALIK ANG DISC TRINAY PAIKUTIN NG IULANG MINUTO WALA NAMAN NANG LEAK ")</f>
        <v>REPAIR DISC PLOW LEAKING, NATANGAL ANG BOLT NYA KAYA BINAKLAS NAMIN AT HINIGPITAN AT BINALIK ANG DISC TRINAY PAIKUTIN NG IULANG MINUTO WALA NAMAN NANG LEAK </v>
      </c>
      <c r="M132" s="2"/>
      <c r="N132" s="2"/>
      <c r="O132" s="2" t="str">
        <f>IFERROR(__xludf.DUMMYFUNCTION("""COMPUTED_VALUE"""),"JIE-250")</f>
        <v>JIE-250</v>
      </c>
      <c r="P132" s="2"/>
      <c r="Q132" s="2"/>
      <c r="R132" s="74">
        <f>IFERROR(__xludf.DUMMYFUNCTION("""COMPUTED_VALUE"""),45435.0)</f>
        <v>45435</v>
      </c>
      <c r="S132" s="2" t="str">
        <f>IFERROR(__xludf.DUMMYFUNCTION("""COMPUTED_VALUE"""),"JVV/DSD/1OJT")</f>
        <v>JVV/DSD/1OJT</v>
      </c>
      <c r="T132" s="73" t="str">
        <f>IFERROR(__xludf.DUMMYFUNCTION("""COMPUTED_VALUE""")," N/A ")</f>
        <v>N/A</v>
      </c>
      <c r="U132" s="73" t="str">
        <f>IFERROR(__xludf.DUMMYFUNCTION("""COMPUTED_VALUE""")," NO CHARGE ")</f>
        <v>NO CHARGE</v>
      </c>
      <c r="V132" s="2"/>
      <c r="W132" s="2" t="str">
        <f>IFERROR(__xludf.DUMMYFUNCTION("""COMPUTED_VALUE"""),"N/A")</f>
        <v>N/A</v>
      </c>
      <c r="X132" s="2" t="str">
        <f>IFERROR(__xludf.DUMMYFUNCTION("""COMPUTED_VALUE"""),"N/A")</f>
        <v>N/A</v>
      </c>
      <c r="Y132" s="2" t="str">
        <f>IFERROR(__xludf.DUMMYFUNCTION("""COMPUTED_VALUE"""),"RBS")</f>
        <v>RBS</v>
      </c>
      <c r="Z132" s="2"/>
      <c r="AA132" s="2"/>
      <c r="AB132" s="2"/>
      <c r="AC132" s="2"/>
      <c r="AD132" s="2"/>
      <c r="AE132" s="2"/>
      <c r="AF132" s="2"/>
      <c r="AG132" s="2"/>
      <c r="AH132" s="2"/>
      <c r="AI132" s="2"/>
      <c r="AJ132" s="2" t="str">
        <f>IFERROR(__xludf.DUMMYFUNCTION("""COMPUTED_VALUE"""),"Capihan")</f>
        <v>Capihan</v>
      </c>
      <c r="AK132" s="2" t="str">
        <f>IFERROR(__xludf.DUMMYFUNCTION("""COMPUTED_VALUE"""),"San Rafael")</f>
        <v>San Rafael</v>
      </c>
      <c r="AL132" s="2" t="str">
        <f>IFERROR(__xludf.DUMMYFUNCTION("""COMPUTED_VALUE"""),"Bulacan")</f>
        <v>Bulacan</v>
      </c>
      <c r="AM132" s="2">
        <f>IFERROR(__xludf.DUMMYFUNCTION("""COMPUTED_VALUE"""),3.0)</f>
        <v>3</v>
      </c>
      <c r="AN132" s="2" t="str">
        <f>IFERROR(__xludf.DUMMYFUNCTION("""COMPUTED_VALUE"""),"RCEF 23-09-21 Rebidding")</f>
        <v>RCEF 23-09-21 Rebidding</v>
      </c>
      <c r="AO132" s="2">
        <f>IFERROR(__xludf.DUMMYFUNCTION("""COMPUTED_VALUE"""),3.0)</f>
        <v>3</v>
      </c>
      <c r="AP132" s="2"/>
      <c r="AQ132" s="2"/>
      <c r="AR132" s="2"/>
      <c r="AS132" s="2"/>
      <c r="AT132" s="2"/>
      <c r="AU132" s="2"/>
      <c r="AV132" s="2"/>
      <c r="AW132" s="2"/>
      <c r="AX132" s="2"/>
      <c r="AY132" s="2"/>
      <c r="AZ132" s="2"/>
      <c r="BA132" s="2"/>
      <c r="BB132" s="2"/>
    </row>
    <row r="133">
      <c r="A133" s="2">
        <f>IFERROR(__xludf.DUMMYFUNCTION("""COMPUTED_VALUE"""),129.0)</f>
        <v>129</v>
      </c>
      <c r="B133" s="2" t="str">
        <f>IFERROR(__xludf.DUMMYFUNCTION("""COMPUTED_VALUE"""),"COMPLETED")</f>
        <v>COMPLETED</v>
      </c>
      <c r="C133" s="74">
        <f>IFERROR(__xludf.DUMMYFUNCTION("""COMPUTED_VALUE"""),45432.0)</f>
        <v>45432</v>
      </c>
      <c r="D133" s="71" t="str">
        <f>IFERROR(__xludf.DUMMYFUNCTION("""COMPUTED_VALUE"""),"Salukag Farmers Association")</f>
        <v>Salukag Farmers Association</v>
      </c>
      <c r="E133" s="71" t="str">
        <f>IFERROR(__xludf.DUMMYFUNCTION("""COMPUTED_VALUE"""),"Namnama, Alfonso Lista (Potia), IFUGAO")</f>
        <v>Namnama, Alfonso Lista (Potia), IFUGAO</v>
      </c>
      <c r="F133" s="2" t="str">
        <f>IFERROR(__xludf.DUMMYFUNCTION("""COMPUTED_VALUE"""),"MARITES TAM-AO")</f>
        <v>MARITES TAM-AO</v>
      </c>
      <c r="G133" s="2">
        <f>IFERROR(__xludf.DUMMYFUNCTION("""COMPUTED_VALUE"""),9.198716238E9)</f>
        <v>9198716238</v>
      </c>
      <c r="H133" s="2">
        <f>IFERROR(__xludf.DUMMYFUNCTION("""COMPUTED_VALUE"""),62.0)</f>
        <v>62</v>
      </c>
      <c r="I133" s="72" t="str">
        <f>IFERROR(__xludf.DUMMYFUNCTION("""COMPUTED_VALUE"""),"PMS")</f>
        <v>PMS</v>
      </c>
      <c r="J133" s="72" t="str">
        <f>IFERROR(__xludf.DUMMYFUNCTION("""COMPUTED_VALUE"""),"PMS")</f>
        <v>PMS</v>
      </c>
      <c r="K133" s="72" t="str">
        <f>IFERROR(__xludf.DUMMYFUNCTION("""COMPUTED_VALUE"""),"FIRTS PMS: SELF PMS")</f>
        <v>FIRTS PMS: SELF PMS</v>
      </c>
      <c r="L133" s="72" t="str">
        <f>IFERROR(__xludf.DUMMYFUNCTION("""COMPUTED_VALUE"""),"SELF PMS: FB: Marites Rivera Tam-ao : AGREEMENT SENT")</f>
        <v>SELF PMS: FB: Marites Rivera Tam-ao : AGREEMENT SENT</v>
      </c>
      <c r="M133" s="2"/>
      <c r="N133" s="2"/>
      <c r="O133" s="2" t="str">
        <f>IFERROR(__xludf.DUMMYFUNCTION("""COMPUTED_VALUE"""),"N/A")</f>
        <v>N/A</v>
      </c>
      <c r="P133" s="2"/>
      <c r="Q133" s="2"/>
      <c r="R133" s="74">
        <f>IFERROR(__xludf.DUMMYFUNCTION("""COMPUTED_VALUE"""),45432.0)</f>
        <v>45432</v>
      </c>
      <c r="S133" s="2" t="str">
        <f>IFERROR(__xludf.DUMMYFUNCTION("""COMPUTED_VALUE"""),"MYKEE")</f>
        <v>MYKEE</v>
      </c>
      <c r="T133" s="73" t="str">
        <f>IFERROR(__xludf.DUMMYFUNCTION("""COMPUTED_VALUE""")," N/A ")</f>
        <v>N/A</v>
      </c>
      <c r="U133" s="73" t="str">
        <f>IFERROR(__xludf.DUMMYFUNCTION("""COMPUTED_VALUE""")," NO CHARGE ")</f>
        <v>NO CHARGE</v>
      </c>
      <c r="V133" s="2"/>
      <c r="W133" s="2" t="str">
        <f>IFERROR(__xludf.DUMMYFUNCTION("""COMPUTED_VALUE"""),"N/A")</f>
        <v>N/A</v>
      </c>
      <c r="X133" s="2" t="str">
        <f>IFERROR(__xludf.DUMMYFUNCTION("""COMPUTED_VALUE"""),"N/A")</f>
        <v>N/A</v>
      </c>
      <c r="Y133" s="2" t="str">
        <f>IFERROR(__xludf.DUMMYFUNCTION("""COMPUTED_VALUE"""),"JOEL")</f>
        <v>JOEL</v>
      </c>
      <c r="Z133" s="2"/>
      <c r="AA133" s="2"/>
      <c r="AB133" s="2"/>
      <c r="AC133" s="2"/>
      <c r="AD133" s="2"/>
      <c r="AE133" s="2"/>
      <c r="AF133" s="2"/>
      <c r="AG133" s="2"/>
      <c r="AH133" s="2"/>
      <c r="AI133" s="2"/>
      <c r="AJ133" s="2" t="str">
        <f>IFERROR(__xludf.DUMMYFUNCTION("""COMPUTED_VALUE"""),"Namnama")</f>
        <v>Namnama</v>
      </c>
      <c r="AK133" s="2" t="str">
        <f>IFERROR(__xludf.DUMMYFUNCTION("""COMPUTED_VALUE"""),"Alfonso Lista (Potia)")</f>
        <v>Alfonso Lista (Potia)</v>
      </c>
      <c r="AL133" s="2" t="str">
        <f>IFERROR(__xludf.DUMMYFUNCTION("""COMPUTED_VALUE"""),"Ifugao")</f>
        <v>Ifugao</v>
      </c>
      <c r="AM133" s="2" t="str">
        <f>IFERROR(__xludf.DUMMYFUNCTION("""COMPUTED_VALUE"""),"CAR")</f>
        <v>CAR</v>
      </c>
      <c r="AN133" s="2" t="str">
        <f>IFERROR(__xludf.DUMMYFUNCTION("""COMPUTED_VALUE"""),"RCEF 23-09-21 Rebidding")</f>
        <v>RCEF 23-09-21 Rebidding</v>
      </c>
      <c r="AO133" s="2">
        <f>IFERROR(__xludf.DUMMYFUNCTION("""COMPUTED_VALUE"""),1.0)</f>
        <v>1</v>
      </c>
      <c r="AP133" s="2"/>
      <c r="AQ133" s="2"/>
      <c r="AR133" s="2"/>
      <c r="AS133" s="2"/>
      <c r="AT133" s="2"/>
      <c r="AU133" s="2"/>
      <c r="AV133" s="2"/>
      <c r="AW133" s="2"/>
      <c r="AX133" s="2"/>
      <c r="AY133" s="2"/>
      <c r="AZ133" s="2"/>
      <c r="BA133" s="2"/>
      <c r="BB133" s="2"/>
    </row>
    <row r="134">
      <c r="A134" s="2">
        <f>IFERROR(__xludf.DUMMYFUNCTION("""COMPUTED_VALUE"""),130.0)</f>
        <v>130</v>
      </c>
      <c r="B134" s="2" t="str">
        <f>IFERROR(__xludf.DUMMYFUNCTION("""COMPUTED_VALUE"""),"COMPLETED")</f>
        <v>COMPLETED</v>
      </c>
      <c r="C134" s="74">
        <f>IFERROR(__xludf.DUMMYFUNCTION("""COMPUTED_VALUE"""),45432.0)</f>
        <v>45432</v>
      </c>
      <c r="D134" s="71" t="str">
        <f>IFERROR(__xludf.DUMMYFUNCTION("""COMPUTED_VALUE"""),"Nag-iisang Masikap Primary Multipurpose Cooperative")</f>
        <v>Nag-iisang Masikap Primary Multipurpose Cooperative</v>
      </c>
      <c r="E134" s="71" t="str">
        <f>IFERROR(__xludf.DUMMYFUNCTION("""COMPUTED_VALUE"""),"Balangkare Sur, General Mamerto Natividad, NUEVA ECIJA")</f>
        <v>Balangkare Sur, General Mamerto Natividad, NUEVA ECIJA</v>
      </c>
      <c r="F134" s="2" t="str">
        <f>IFERROR(__xludf.DUMMYFUNCTION("""COMPUTED_VALUE"""),"CRISPIN T. BARCANCEL")</f>
        <v>CRISPIN T. BARCANCEL</v>
      </c>
      <c r="G134" s="2">
        <f>IFERROR(__xludf.DUMMYFUNCTION("""COMPUTED_VALUE"""),9.324789927E9)</f>
        <v>9324789927</v>
      </c>
      <c r="H134" s="2">
        <f>IFERROR(__xludf.DUMMYFUNCTION("""COMPUTED_VALUE"""),54.0)</f>
        <v>54</v>
      </c>
      <c r="I134" s="72" t="str">
        <f>IFERROR(__xludf.DUMMYFUNCTION("""COMPUTED_VALUE"""),"PMS")</f>
        <v>PMS</v>
      </c>
      <c r="J134" s="72" t="str">
        <f>IFERROR(__xludf.DUMMYFUNCTION("""COMPUTED_VALUE"""),"PMS")</f>
        <v>PMS</v>
      </c>
      <c r="K134" s="72" t="str">
        <f>IFERROR(__xludf.DUMMYFUNCTION("""COMPUTED_VALUE"""),"FIRTS PMS")</f>
        <v>FIRTS PMS</v>
      </c>
      <c r="L134" s="72" t="str">
        <f>IFERROR(__xludf.DUMMYFUNCTION("""COMPUTED_VALUE"""),"CHANGE OIL")</f>
        <v>CHANGE OIL</v>
      </c>
      <c r="M134" s="2"/>
      <c r="N134" s="2"/>
      <c r="O134" s="2" t="str">
        <f>IFERROR(__xludf.DUMMYFUNCTION("""COMPUTED_VALUE"""),"JIE-068")</f>
        <v>JIE-068</v>
      </c>
      <c r="P134" s="2"/>
      <c r="Q134" s="2"/>
      <c r="R134" s="74">
        <f>IFERROR(__xludf.DUMMYFUNCTION("""COMPUTED_VALUE"""),45435.0)</f>
        <v>45435</v>
      </c>
      <c r="S134" s="2" t="str">
        <f>IFERROR(__xludf.DUMMYFUNCTION("""COMPUTED_VALUE"""),"JVV/DSD/1OJT")</f>
        <v>JVV/DSD/1OJT</v>
      </c>
      <c r="T134" s="73" t="str">
        <f>IFERROR(__xludf.DUMMYFUNCTION("""COMPUTED_VALUE""")," N/A ")</f>
        <v>N/A</v>
      </c>
      <c r="U134" s="73" t="str">
        <f>IFERROR(__xludf.DUMMYFUNCTION("""COMPUTED_VALUE""")," NO CHARGE ")</f>
        <v>NO CHARGE</v>
      </c>
      <c r="V134" s="2"/>
      <c r="W134" s="2" t="str">
        <f>IFERROR(__xludf.DUMMYFUNCTION("""COMPUTED_VALUE"""),"N/A")</f>
        <v>N/A</v>
      </c>
      <c r="X134" s="2" t="str">
        <f>IFERROR(__xludf.DUMMYFUNCTION("""COMPUTED_VALUE"""),"N/A")</f>
        <v>N/A</v>
      </c>
      <c r="Y134" s="2" t="str">
        <f>IFERROR(__xludf.DUMMYFUNCTION("""COMPUTED_VALUE"""),"KFS")</f>
        <v>KFS</v>
      </c>
      <c r="Z134" s="2"/>
      <c r="AA134" s="2"/>
      <c r="AB134" s="2"/>
      <c r="AC134" s="2"/>
      <c r="AD134" s="2" t="str">
        <f>IFERROR(__xludf.DUMMYFUNCTION("""COMPUTED_VALUE"""),"report")</f>
        <v>report</v>
      </c>
      <c r="AE134" s="2"/>
      <c r="AF134" s="2"/>
      <c r="AG134" s="2"/>
      <c r="AH134" s="2"/>
      <c r="AI134" s="2"/>
      <c r="AJ134" s="2" t="str">
        <f>IFERROR(__xludf.DUMMYFUNCTION("""COMPUTED_VALUE"""),"Balangkare Sur")</f>
        <v>Balangkare Sur</v>
      </c>
      <c r="AK134" s="2" t="str">
        <f>IFERROR(__xludf.DUMMYFUNCTION("""COMPUTED_VALUE"""),"General Mamerto Natividad")</f>
        <v>General Mamerto Natividad</v>
      </c>
      <c r="AL134" s="2" t="str">
        <f>IFERROR(__xludf.DUMMYFUNCTION("""COMPUTED_VALUE"""),"Nueva Ecija")</f>
        <v>Nueva Ecija</v>
      </c>
      <c r="AM134" s="2">
        <f>IFERROR(__xludf.DUMMYFUNCTION("""COMPUTED_VALUE"""),3.0)</f>
        <v>3</v>
      </c>
      <c r="AN134" s="2" t="str">
        <f>IFERROR(__xludf.DUMMYFUNCTION("""COMPUTED_VALUE"""),"RCEF 23-09-21 Rebidding")</f>
        <v>RCEF 23-09-21 Rebidding</v>
      </c>
      <c r="AO134" s="2">
        <f>IFERROR(__xludf.DUMMYFUNCTION("""COMPUTED_VALUE"""),3.0)</f>
        <v>3</v>
      </c>
      <c r="AP134" s="2"/>
      <c r="AQ134" s="2"/>
      <c r="AR134" s="2"/>
      <c r="AS134" s="2"/>
      <c r="AT134" s="2"/>
      <c r="AU134" s="2"/>
      <c r="AV134" s="2"/>
      <c r="AW134" s="2"/>
      <c r="AX134" s="2"/>
      <c r="AY134" s="2"/>
      <c r="AZ134" s="2"/>
      <c r="BA134" s="2"/>
      <c r="BB134" s="2"/>
    </row>
    <row r="135">
      <c r="A135" s="2">
        <f>IFERROR(__xludf.DUMMYFUNCTION("""COMPUTED_VALUE"""),131.0)</f>
        <v>131</v>
      </c>
      <c r="B135" s="2" t="str">
        <f>IFERROR(__xludf.DUMMYFUNCTION("""COMPUTED_VALUE"""),"COMPLETED")</f>
        <v>COMPLETED</v>
      </c>
      <c r="C135" s="74">
        <f>IFERROR(__xludf.DUMMYFUNCTION("""COMPUTED_VALUE"""),45433.0)</f>
        <v>45433</v>
      </c>
      <c r="D135" s="71" t="str">
        <f>IFERROR(__xludf.DUMMYFUNCTION("""COMPUTED_VALUE"""),"COLLADO IRRIGATORS' ASSOCIATION, INC.")</f>
        <v>COLLADO IRRIGATORS' ASSOCIATION, INC.</v>
      </c>
      <c r="E135" s="71" t="str">
        <f>IFERROR(__xludf.DUMMYFUNCTION("""COMPUTED_VALUE"""),"Collado, Talavera, NUEVA ECIJA")</f>
        <v>Collado, Talavera, NUEVA ECIJA</v>
      </c>
      <c r="F135" s="2" t="str">
        <f>IFERROR(__xludf.DUMMYFUNCTION("""COMPUTED_VALUE"""),"NOLI LANDINGIN")</f>
        <v>NOLI LANDINGIN</v>
      </c>
      <c r="G135" s="2">
        <f>IFERROR(__xludf.DUMMYFUNCTION("""COMPUTED_VALUE"""),9.927526611E9)</f>
        <v>9927526611</v>
      </c>
      <c r="H135" s="2">
        <f>IFERROR(__xludf.DUMMYFUNCTION("""COMPUTED_VALUE"""),76.4)</f>
        <v>76.4</v>
      </c>
      <c r="I135" s="72" t="str">
        <f>IFERROR(__xludf.DUMMYFUNCTION("""COMPUTED_VALUE"""),"REPAIR - TRACTOR")</f>
        <v>REPAIR - TRACTOR</v>
      </c>
      <c r="J135" s="72" t="str">
        <f>IFERROR(__xludf.DUMMYFUNCTION("""COMPUTED_VALUE"""),"Radiator")</f>
        <v>Radiator</v>
      </c>
      <c r="K135" s="72" t="str">
        <f>IFERROR(__xludf.DUMMYFUNCTION("""COMPUTED_VALUE"""),"PUMUTOK ANG RADIATOR ( SERVICE REPORT)")</f>
        <v>PUMUTOK ANG RADIATOR ( SERVICE REPORT)</v>
      </c>
      <c r="L135" s="72" t="str">
        <f>IFERROR(__xludf.DUMMYFUNCTION("""COMPUTED_VALUE"""),"REPLACED RADIATOR ASSY")</f>
        <v>REPLACED RADIATOR ASSY</v>
      </c>
      <c r="M135" s="2"/>
      <c r="N135" s="2" t="str">
        <f>IFERROR(__xludf.DUMMYFUNCTION("""COMPUTED_VALUE"""),"PARTS: RADIATOR ASSY")</f>
        <v>PARTS: RADIATOR ASSY</v>
      </c>
      <c r="O135" s="2" t="str">
        <f>IFERROR(__xludf.DUMMYFUNCTION("""COMPUTED_VALUE"""),"JIE-069")</f>
        <v>JIE-069</v>
      </c>
      <c r="P135" s="2"/>
      <c r="Q135" s="2"/>
      <c r="R135" s="74">
        <f>IFERROR(__xludf.DUMMYFUNCTION("""COMPUTED_VALUE"""),45436.0)</f>
        <v>45436</v>
      </c>
      <c r="S135" s="2" t="str">
        <f>IFERROR(__xludf.DUMMYFUNCTION("""COMPUTED_VALUE"""),"JHP")</f>
        <v>JHP</v>
      </c>
      <c r="T135" s="73" t="str">
        <f>IFERROR(__xludf.DUMMYFUNCTION("""COMPUTED_VALUE""")," N/A ")</f>
        <v>N/A</v>
      </c>
      <c r="U135" s="73" t="str">
        <f>IFERROR(__xludf.DUMMYFUNCTION("""COMPUTED_VALUE""")," NO CHARGE ")</f>
        <v>NO CHARGE</v>
      </c>
      <c r="V135" s="2"/>
      <c r="W135" s="2" t="str">
        <f>IFERROR(__xludf.DUMMYFUNCTION("""COMPUTED_VALUE"""),"N/A")</f>
        <v>N/A</v>
      </c>
      <c r="X135" s="2" t="str">
        <f>IFERROR(__xludf.DUMMYFUNCTION("""COMPUTED_VALUE"""),"N/A")</f>
        <v>N/A</v>
      </c>
      <c r="Y135" s="2" t="str">
        <f>IFERROR(__xludf.DUMMYFUNCTION("""COMPUTED_VALUE"""),"MYKEE")</f>
        <v>MYKEE</v>
      </c>
      <c r="Z135" s="2" t="str">
        <f>IFERROR(__xludf.DUMMYFUNCTION("""COMPUTED_VALUE"""),"LEADS-RP-0013")</f>
        <v>LEADS-RP-0013</v>
      </c>
      <c r="AA135" s="2" t="str">
        <f>IFERROR(__xludf.DUMMYFUNCTION("""COMPUTED_VALUE"""),"APPROVED")</f>
        <v>APPROVED</v>
      </c>
      <c r="AB135" s="2"/>
      <c r="AC135" s="2" t="str">
        <f>IFERROR(__xludf.DUMMYFUNCTION("""COMPUTED_VALUE"""),"Y")</f>
        <v>Y</v>
      </c>
      <c r="AD135" s="2" t="str">
        <f>IFERROR(__xludf.DUMMYFUNCTION("""COMPUTED_VALUE"""),"pictures+video+kfs report+tech report+ltc service report")</f>
        <v>pictures+video+kfs report+tech report+ltc service report</v>
      </c>
      <c r="AE135" s="2"/>
      <c r="AF135" s="2"/>
      <c r="AG135" s="2"/>
      <c r="AH135" s="2"/>
      <c r="AI135" s="2"/>
      <c r="AJ135" s="2" t="str">
        <f>IFERROR(__xludf.DUMMYFUNCTION("""COMPUTED_VALUE"""),"Collado")</f>
        <v>Collado</v>
      </c>
      <c r="AK135" s="2" t="str">
        <f>IFERROR(__xludf.DUMMYFUNCTION("""COMPUTED_VALUE"""),"Talavera")</f>
        <v>Talavera</v>
      </c>
      <c r="AL135" s="2" t="str">
        <f>IFERROR(__xludf.DUMMYFUNCTION("""COMPUTED_VALUE"""),"Nueva Ecija")</f>
        <v>Nueva Ecija</v>
      </c>
      <c r="AM135" s="2">
        <f>IFERROR(__xludf.DUMMYFUNCTION("""COMPUTED_VALUE"""),3.0)</f>
        <v>3</v>
      </c>
      <c r="AN135" s="2" t="str">
        <f>IFERROR(__xludf.DUMMYFUNCTION("""COMPUTED_VALUE"""),"RCEF 23-09-21 Rebidding")</f>
        <v>RCEF 23-09-21 Rebidding</v>
      </c>
      <c r="AO135" s="2">
        <f>IFERROR(__xludf.DUMMYFUNCTION("""COMPUTED_VALUE"""),3.0)</f>
        <v>3</v>
      </c>
      <c r="AP135" s="2"/>
      <c r="AQ135" s="2"/>
      <c r="AR135" s="2"/>
      <c r="AS135" s="2"/>
      <c r="AT135" s="2"/>
      <c r="AU135" s="2"/>
      <c r="AV135" s="2"/>
      <c r="AW135" s="2"/>
      <c r="AX135" s="2"/>
      <c r="AY135" s="2"/>
      <c r="AZ135" s="2"/>
      <c r="BA135" s="2"/>
      <c r="BB135" s="2"/>
    </row>
    <row r="136">
      <c r="A136" s="2">
        <f>IFERROR(__xludf.DUMMYFUNCTION("""COMPUTED_VALUE"""),132.0)</f>
        <v>132</v>
      </c>
      <c r="B136" s="2" t="str">
        <f>IFERROR(__xludf.DUMMYFUNCTION("""COMPUTED_VALUE"""),"COMPLETED")</f>
        <v>COMPLETED</v>
      </c>
      <c r="C136" s="74">
        <f>IFERROR(__xludf.DUMMYFUNCTION("""COMPUTED_VALUE"""),45433.0)</f>
        <v>45433</v>
      </c>
      <c r="D136" s="71" t="str">
        <f>IFERROR(__xludf.DUMMYFUNCTION("""COMPUTED_VALUE"""),"PANGBIYERNES IRRIGATORS ASSOCIATION, INC.")</f>
        <v>PANGBIYERNES IRRIGATORS ASSOCIATION, INC.</v>
      </c>
      <c r="E136" s="71" t="str">
        <f>IFERROR(__xludf.DUMMYFUNCTION("""COMPUTED_VALUE"""),"Tabuating, San Leonardo, NUEVA ECIJA")</f>
        <v>Tabuating, San Leonardo, NUEVA ECIJA</v>
      </c>
      <c r="F136" s="2" t="str">
        <f>IFERROR(__xludf.DUMMYFUNCTION("""COMPUTED_VALUE"""),"ROY DOMINGO")</f>
        <v>ROY DOMINGO</v>
      </c>
      <c r="G136" s="2">
        <f>IFERROR(__xludf.DUMMYFUNCTION("""COMPUTED_VALUE"""),9.366660108E9)</f>
        <v>9366660108</v>
      </c>
      <c r="H136" s="2">
        <f>IFERROR(__xludf.DUMMYFUNCTION("""COMPUTED_VALUE"""),13.0)</f>
        <v>13</v>
      </c>
      <c r="I136" s="72" t="str">
        <f>IFERROR(__xludf.DUMMYFUNCTION("""COMPUTED_VALUE"""),"REPAIR - TRACTOR")</f>
        <v>REPAIR - TRACTOR</v>
      </c>
      <c r="J136" s="72" t="str">
        <f>IFERROR(__xludf.DUMMYFUNCTION("""COMPUTED_VALUE"""),"Radiator")</f>
        <v>Radiator</v>
      </c>
      <c r="K136" s="72" t="str">
        <f>IFERROR(__xludf.DUMMYFUNCTION("""COMPUTED_VALUE"""),"BROKEN RADIATOR                           
6/4/24: VIDEO SENT BY FARMER      
6/7/24: RADIATOR")</f>
        <v>BROKEN RADIATOR                           
6/4/24: VIDEO SENT BY FARMER      
6/7/24: RADIATOR</v>
      </c>
      <c r="L136" s="72" t="str">
        <f>IFERROR(__xludf.DUMMYFUNCTION("""COMPUTED_VALUE"""),"ACS: RADIATOR PROBLEM OK NA")</f>
        <v>ACS: RADIATOR PROBLEM OK NA</v>
      </c>
      <c r="M136" s="2"/>
      <c r="N136" s="2" t="str">
        <f>IFERROR(__xludf.DUMMYFUNCTION("""COMPUTED_VALUE"""),"PARTS: RADIATOR ASSY")</f>
        <v>PARTS: RADIATOR ASSY</v>
      </c>
      <c r="O136" s="2" t="str">
        <f>IFERROR(__xludf.DUMMYFUNCTION("""COMPUTED_VALUE"""),"JIE-806")</f>
        <v>JIE-806</v>
      </c>
      <c r="P136" s="2"/>
      <c r="Q136" s="2"/>
      <c r="R136" s="74">
        <f>IFERROR(__xludf.DUMMYFUNCTION("""COMPUTED_VALUE"""),45462.0)</f>
        <v>45462</v>
      </c>
      <c r="S136" s="2" t="str">
        <f>IFERROR(__xludf.DUMMYFUNCTION("""COMPUTED_VALUE"""),"JHP/ ACS")</f>
        <v>JHP/ ACS</v>
      </c>
      <c r="T136" s="73" t="str">
        <f>IFERROR(__xludf.DUMMYFUNCTION("""COMPUTED_VALUE""")," N/A ")</f>
        <v>N/A</v>
      </c>
      <c r="U136" s="73" t="str">
        <f>IFERROR(__xludf.DUMMYFUNCTION("""COMPUTED_VALUE""")," NO CHARGE ")</f>
        <v>NO CHARGE</v>
      </c>
      <c r="V136" s="2"/>
      <c r="W136" s="2" t="str">
        <f>IFERROR(__xludf.DUMMYFUNCTION("""COMPUTED_VALUE"""),"N/A")</f>
        <v>N/A</v>
      </c>
      <c r="X136" s="2" t="str">
        <f>IFERROR(__xludf.DUMMYFUNCTION("""COMPUTED_VALUE"""),"N/A")</f>
        <v>N/A</v>
      </c>
      <c r="Y136" s="2" t="str">
        <f>IFERROR(__xludf.DUMMYFUNCTION("""COMPUTED_VALUE"""),"JOEL")</f>
        <v>JOEL</v>
      </c>
      <c r="Z136" s="2" t="str">
        <f>IFERROR(__xludf.DUMMYFUNCTION("""COMPUTED_VALUE"""),"LEADS-RP-0016")</f>
        <v>LEADS-RP-0016</v>
      </c>
      <c r="AA136" s="2" t="str">
        <f>IFERROR(__xludf.DUMMYFUNCTION("""COMPUTED_VALUE"""),"APPROVED")</f>
        <v>APPROVED</v>
      </c>
      <c r="AB136" s="2"/>
      <c r="AC136" s="2" t="str">
        <f>IFERROR(__xludf.DUMMYFUNCTION("""COMPUTED_VALUE"""),"Y")</f>
        <v>Y</v>
      </c>
      <c r="AD136" s="2" t="str">
        <f>IFERROR(__xludf.DUMMYFUNCTION("""COMPUTED_VALUE"""),"pictures+video+kfs report+tech report+ltc service report")</f>
        <v>pictures+video+kfs report+tech report+ltc service report</v>
      </c>
      <c r="AE136" s="2"/>
      <c r="AF136" s="2"/>
      <c r="AG136" s="2"/>
      <c r="AH136" s="2"/>
      <c r="AI136" s="2"/>
      <c r="AJ136" s="2" t="str">
        <f>IFERROR(__xludf.DUMMYFUNCTION("""COMPUTED_VALUE"""),"Tabuating")</f>
        <v>Tabuating</v>
      </c>
      <c r="AK136" s="2" t="str">
        <f>IFERROR(__xludf.DUMMYFUNCTION("""COMPUTED_VALUE"""),"San Leonardo")</f>
        <v>San Leonardo</v>
      </c>
      <c r="AL136" s="2" t="str">
        <f>IFERROR(__xludf.DUMMYFUNCTION("""COMPUTED_VALUE"""),"Nueva Ecija")</f>
        <v>Nueva Ecija</v>
      </c>
      <c r="AM136" s="2">
        <f>IFERROR(__xludf.DUMMYFUNCTION("""COMPUTED_VALUE"""),3.0)</f>
        <v>3</v>
      </c>
      <c r="AN136" s="2" t="str">
        <f>IFERROR(__xludf.DUMMYFUNCTION("""COMPUTED_VALUE"""),"RCEF 23-09-21 Rebidding")</f>
        <v>RCEF 23-09-21 Rebidding</v>
      </c>
      <c r="AO136" s="2">
        <f>IFERROR(__xludf.DUMMYFUNCTION("""COMPUTED_VALUE"""),3.0)</f>
        <v>3</v>
      </c>
      <c r="AP136" s="2"/>
      <c r="AQ136" s="2"/>
      <c r="AR136" s="2"/>
      <c r="AS136" s="2"/>
      <c r="AT136" s="2"/>
      <c r="AU136" s="2"/>
      <c r="AV136" s="2"/>
      <c r="AW136" s="2"/>
      <c r="AX136" s="2"/>
      <c r="AY136" s="2"/>
      <c r="AZ136" s="2"/>
      <c r="BA136" s="2"/>
      <c r="BB136" s="2"/>
    </row>
    <row r="137">
      <c r="A137" s="2">
        <f>IFERROR(__xludf.DUMMYFUNCTION("""COMPUTED_VALUE"""),133.0)</f>
        <v>133</v>
      </c>
      <c r="B137" s="2" t="str">
        <f>IFERROR(__xludf.DUMMYFUNCTION("""COMPUTED_VALUE"""),"COMPLETED")</f>
        <v>COMPLETED</v>
      </c>
      <c r="C137" s="74">
        <f>IFERROR(__xludf.DUMMYFUNCTION("""COMPUTED_VALUE"""),45433.0)</f>
        <v>45433</v>
      </c>
      <c r="D137" s="71" t="str">
        <f>IFERROR(__xludf.DUMMYFUNCTION("""COMPUTED_VALUE"""),"Maria Clara Irrigators Agriculture Cooperative")</f>
        <v>Maria Clara Irrigators Agriculture Cooperative</v>
      </c>
      <c r="E137" s="71" t="str">
        <f>IFERROR(__xludf.DUMMYFUNCTION("""COMPUTED_VALUE"""),"Maria Clara, Diffun, QUIRINO")</f>
        <v>Maria Clara, Diffun, QUIRINO</v>
      </c>
      <c r="F137" s="2" t="str">
        <f>IFERROR(__xludf.DUMMYFUNCTION("""COMPUTED_VALUE"""),"JOSHEP TOBIAS ARCEBAL")</f>
        <v>JOSHEP TOBIAS ARCEBAL</v>
      </c>
      <c r="G137" s="2" t="str">
        <f>IFERROR(__xludf.DUMMYFUNCTION("""COMPUTED_VALUE"""),"09153956222  /  09326568132")</f>
        <v>09153956222  /  09326568132</v>
      </c>
      <c r="H137" s="2">
        <f>IFERROR(__xludf.DUMMYFUNCTION("""COMPUTED_VALUE"""),52.8)</f>
        <v>52.8</v>
      </c>
      <c r="I137" s="72" t="str">
        <f>IFERROR(__xludf.DUMMYFUNCTION("""COMPUTED_VALUE"""),"PMS")</f>
        <v>PMS</v>
      </c>
      <c r="J137" s="72" t="str">
        <f>IFERROR(__xludf.DUMMYFUNCTION("""COMPUTED_VALUE"""),"PMS")</f>
        <v>PMS</v>
      </c>
      <c r="K137" s="72" t="str">
        <f>IFERROR(__xludf.DUMMYFUNCTION("""COMPUTED_VALUE"""),"FIRTS PMS (AYAW NI FARMER NG SELF PMS)")</f>
        <v>FIRTS PMS (AYAW NI FARMER NG SELF PMS)</v>
      </c>
      <c r="L137" s="72" t="str">
        <f>IFERROR(__xludf.DUMMYFUNCTION("""COMPUTED_VALUE"""),"CHANGE OIL")</f>
        <v>CHANGE OIL</v>
      </c>
      <c r="M137" s="2"/>
      <c r="N137" s="2"/>
      <c r="O137" s="2" t="str">
        <f>IFERROR(__xludf.DUMMYFUNCTION("""COMPUTED_VALUE"""),"JIE-074")</f>
        <v>JIE-074</v>
      </c>
      <c r="P137" s="2"/>
      <c r="Q137" s="2"/>
      <c r="R137" s="74">
        <f>IFERROR(__xludf.DUMMYFUNCTION("""COMPUTED_VALUE"""),45437.0)</f>
        <v>45437</v>
      </c>
      <c r="S137" s="2" t="str">
        <f>IFERROR(__xludf.DUMMYFUNCTION("""COMPUTED_VALUE"""),"CFG")</f>
        <v>CFG</v>
      </c>
      <c r="T137" s="73" t="str">
        <f>IFERROR(__xludf.DUMMYFUNCTION("""COMPUTED_VALUE""")," N/A ")</f>
        <v>N/A</v>
      </c>
      <c r="U137" s="73" t="str">
        <f>IFERROR(__xludf.DUMMYFUNCTION("""COMPUTED_VALUE""")," NO CHARGE ")</f>
        <v>NO CHARGE</v>
      </c>
      <c r="V137" s="2"/>
      <c r="W137" s="2" t="str">
        <f>IFERROR(__xludf.DUMMYFUNCTION("""COMPUTED_VALUE"""),"N/A")</f>
        <v>N/A</v>
      </c>
      <c r="X137" s="2" t="str">
        <f>IFERROR(__xludf.DUMMYFUNCTION("""COMPUTED_VALUE"""),"N/A")</f>
        <v>N/A</v>
      </c>
      <c r="Y137" s="2" t="str">
        <f>IFERROR(__xludf.DUMMYFUNCTION("""COMPUTED_VALUE"""),"CJ")</f>
        <v>CJ</v>
      </c>
      <c r="Z137" s="2"/>
      <c r="AA137" s="2"/>
      <c r="AB137" s="2"/>
      <c r="AC137" s="2"/>
      <c r="AD137" s="2"/>
      <c r="AE137" s="2"/>
      <c r="AF137" s="2"/>
      <c r="AG137" s="2"/>
      <c r="AH137" s="2"/>
      <c r="AI137" s="2"/>
      <c r="AJ137" s="2" t="str">
        <f>IFERROR(__xludf.DUMMYFUNCTION("""COMPUTED_VALUE"""),"Maria Clara")</f>
        <v>Maria Clara</v>
      </c>
      <c r="AK137" s="2" t="str">
        <f>IFERROR(__xludf.DUMMYFUNCTION("""COMPUTED_VALUE"""),"Diffun")</f>
        <v>Diffun</v>
      </c>
      <c r="AL137" s="2" t="str">
        <f>IFERROR(__xludf.DUMMYFUNCTION("""COMPUTED_VALUE"""),"Quirino")</f>
        <v>Quirino</v>
      </c>
      <c r="AM137" s="2">
        <f>IFERROR(__xludf.DUMMYFUNCTION("""COMPUTED_VALUE"""),2.0)</f>
        <v>2</v>
      </c>
      <c r="AN137" s="2" t="str">
        <f>IFERROR(__xludf.DUMMYFUNCTION("""COMPUTED_VALUE"""),"RCEF 23-09-21 Rebidding")</f>
        <v>RCEF 23-09-21 Rebidding</v>
      </c>
      <c r="AO137" s="2">
        <f>IFERROR(__xludf.DUMMYFUNCTION("""COMPUTED_VALUE"""),1.0)</f>
        <v>1</v>
      </c>
      <c r="AP137" s="2"/>
      <c r="AQ137" s="2"/>
      <c r="AR137" s="2"/>
      <c r="AS137" s="2"/>
      <c r="AT137" s="2"/>
      <c r="AU137" s="2"/>
      <c r="AV137" s="2"/>
      <c r="AW137" s="2"/>
      <c r="AX137" s="2"/>
      <c r="AY137" s="2"/>
      <c r="AZ137" s="2"/>
      <c r="BA137" s="2"/>
      <c r="BB137" s="2"/>
    </row>
    <row r="138">
      <c r="A138" s="2">
        <f>IFERROR(__xludf.DUMMYFUNCTION("""COMPUTED_VALUE"""),134.0)</f>
        <v>134</v>
      </c>
      <c r="B138" s="2" t="str">
        <f>IFERROR(__xludf.DUMMYFUNCTION("""COMPUTED_VALUE"""),"COMPLETED")</f>
        <v>COMPLETED</v>
      </c>
      <c r="C138" s="74">
        <f>IFERROR(__xludf.DUMMYFUNCTION("""COMPUTED_VALUE"""),45433.0)</f>
        <v>45433</v>
      </c>
      <c r="D138" s="71" t="str">
        <f>IFERROR(__xludf.DUMMYFUNCTION("""COMPUTED_VALUE"""),"KABALIKAT IRRIGATORS ASSOCIATION, INC.")</f>
        <v>KABALIKAT IRRIGATORS ASSOCIATION, INC.</v>
      </c>
      <c r="E138" s="71" t="str">
        <f>IFERROR(__xludf.DUMMYFUNCTION("""COMPUTED_VALUE"""),"Rizaluna (Rizaluna Oeste), Cordon, ISABELA")</f>
        <v>Rizaluna (Rizaluna Oeste), Cordon, ISABELA</v>
      </c>
      <c r="F138" s="2" t="str">
        <f>IFERROR(__xludf.DUMMYFUNCTION("""COMPUTED_VALUE"""),"VIRGILIO N. RETOTAL JR.")</f>
        <v>VIRGILIO N. RETOTAL JR.</v>
      </c>
      <c r="G138" s="2">
        <f>IFERROR(__xludf.DUMMYFUNCTION("""COMPUTED_VALUE"""),9.168462142E9)</f>
        <v>9168462142</v>
      </c>
      <c r="H138" s="2">
        <f>IFERROR(__xludf.DUMMYFUNCTION("""COMPUTED_VALUE"""),50.0)</f>
        <v>50</v>
      </c>
      <c r="I138" s="72" t="str">
        <f>IFERROR(__xludf.DUMMYFUNCTION("""COMPUTED_VALUE"""),"PMS")</f>
        <v>PMS</v>
      </c>
      <c r="J138" s="72" t="str">
        <f>IFERROR(__xludf.DUMMYFUNCTION("""COMPUTED_VALUE"""),"PMS")</f>
        <v>PMS</v>
      </c>
      <c r="K138" s="72" t="str">
        <f>IFERROR(__xludf.DUMMYFUNCTION("""COMPUTED_VALUE"""),"FIRST PMS")</f>
        <v>FIRST PMS</v>
      </c>
      <c r="L138" s="72" t="str">
        <f>IFERROR(__xludf.DUMMYFUNCTION("""COMPUTED_VALUE"""),"CHANGE OIL")</f>
        <v>CHANGE OIL</v>
      </c>
      <c r="M138" s="2"/>
      <c r="N138" s="2"/>
      <c r="O138" s="2" t="str">
        <f>IFERROR(__xludf.DUMMYFUNCTION("""COMPUTED_VALUE"""),"JIE-075")</f>
        <v>JIE-075</v>
      </c>
      <c r="P138" s="2"/>
      <c r="Q138" s="2"/>
      <c r="R138" s="74">
        <f>IFERROR(__xludf.DUMMYFUNCTION("""COMPUTED_VALUE"""),45437.0)</f>
        <v>45437</v>
      </c>
      <c r="S138" s="2" t="str">
        <f>IFERROR(__xludf.DUMMYFUNCTION("""COMPUTED_VALUE"""),"CFG/DRM")</f>
        <v>CFG/DRM</v>
      </c>
      <c r="T138" s="73" t="str">
        <f>IFERROR(__xludf.DUMMYFUNCTION("""COMPUTED_VALUE""")," N/A ")</f>
        <v>N/A</v>
      </c>
      <c r="U138" s="73" t="str">
        <f>IFERROR(__xludf.DUMMYFUNCTION("""COMPUTED_VALUE""")," NO CHARGE ")</f>
        <v>NO CHARGE</v>
      </c>
      <c r="V138" s="2"/>
      <c r="W138" s="2" t="str">
        <f>IFERROR(__xludf.DUMMYFUNCTION("""COMPUTED_VALUE"""),"N/A")</f>
        <v>N/A</v>
      </c>
      <c r="X138" s="2" t="str">
        <f>IFERROR(__xludf.DUMMYFUNCTION("""COMPUTED_VALUE"""),"N/A")</f>
        <v>N/A</v>
      </c>
      <c r="Y138" s="2" t="str">
        <f>IFERROR(__xludf.DUMMYFUNCTION("""COMPUTED_VALUE"""),"ERP")</f>
        <v>ERP</v>
      </c>
      <c r="Z138" s="2"/>
      <c r="AA138" s="2"/>
      <c r="AB138" s="2"/>
      <c r="AC138" s="2"/>
      <c r="AD138" s="2"/>
      <c r="AE138" s="2"/>
      <c r="AF138" s="2"/>
      <c r="AG138" s="2"/>
      <c r="AH138" s="2"/>
      <c r="AI138" s="2"/>
      <c r="AJ138" s="2" t="str">
        <f>IFERROR(__xludf.DUMMYFUNCTION("""COMPUTED_VALUE"""),"Rizaluna (Rizaluna Oeste)")</f>
        <v>Rizaluna (Rizaluna Oeste)</v>
      </c>
      <c r="AK138" s="2" t="str">
        <f>IFERROR(__xludf.DUMMYFUNCTION("""COMPUTED_VALUE"""),"Cordon")</f>
        <v>Cordon</v>
      </c>
      <c r="AL138" s="2" t="str">
        <f>IFERROR(__xludf.DUMMYFUNCTION("""COMPUTED_VALUE"""),"Isabela")</f>
        <v>Isabela</v>
      </c>
      <c r="AM138" s="2">
        <f>IFERROR(__xludf.DUMMYFUNCTION("""COMPUTED_VALUE"""),2.0)</f>
        <v>2</v>
      </c>
      <c r="AN138" s="2" t="str">
        <f>IFERROR(__xludf.DUMMYFUNCTION("""COMPUTED_VALUE"""),"RCEF 23-09-21 Rebidding")</f>
        <v>RCEF 23-09-21 Rebidding</v>
      </c>
      <c r="AO138" s="2">
        <f>IFERROR(__xludf.DUMMYFUNCTION("""COMPUTED_VALUE"""),1.0)</f>
        <v>1</v>
      </c>
      <c r="AP138" s="2"/>
      <c r="AQ138" s="2"/>
      <c r="AR138" s="2"/>
      <c r="AS138" s="2"/>
      <c r="AT138" s="2"/>
      <c r="AU138" s="2"/>
      <c r="AV138" s="2"/>
      <c r="AW138" s="2"/>
      <c r="AX138" s="2"/>
      <c r="AY138" s="2"/>
      <c r="AZ138" s="2"/>
      <c r="BA138" s="2"/>
      <c r="BB138" s="2"/>
    </row>
    <row r="139">
      <c r="A139" s="2">
        <f>IFERROR(__xludf.DUMMYFUNCTION("""COMPUTED_VALUE"""),135.0)</f>
        <v>135</v>
      </c>
      <c r="B139" s="2" t="str">
        <f>IFERROR(__xludf.DUMMYFUNCTION("""COMPUTED_VALUE"""),"COMPLETED")</f>
        <v>COMPLETED</v>
      </c>
      <c r="C139" s="74">
        <f>IFERROR(__xludf.DUMMYFUNCTION("""COMPUTED_VALUE"""),45433.0)</f>
        <v>45433</v>
      </c>
      <c r="D139" s="71" t="str">
        <f>IFERROR(__xludf.DUMMYFUNCTION("""COMPUTED_VALUE"""),"CARIZ IRRIGATORS ASSOCIATION, INC.")</f>
        <v>CARIZ IRRIGATORS ASSOCIATION, INC.</v>
      </c>
      <c r="E139" s="71" t="str">
        <f>IFERROR(__xludf.DUMMYFUNCTION("""COMPUTED_VALUE"""),"Camaal, Quirino, ISABELA")</f>
        <v>Camaal, Quirino, ISABELA</v>
      </c>
      <c r="F139" s="2" t="str">
        <f>IFERROR(__xludf.DUMMYFUNCTION("""COMPUTED_VALUE"""),"RAY S. DIAMPOC")</f>
        <v>RAY S. DIAMPOC</v>
      </c>
      <c r="G139" s="2">
        <f>IFERROR(__xludf.DUMMYFUNCTION("""COMPUTED_VALUE"""),9.551131512E9)</f>
        <v>9551131512</v>
      </c>
      <c r="H139" s="2">
        <f>IFERROR(__xludf.DUMMYFUNCTION("""COMPUTED_VALUE"""),50.0)</f>
        <v>50</v>
      </c>
      <c r="I139" s="72" t="str">
        <f>IFERROR(__xludf.DUMMYFUNCTION("""COMPUTED_VALUE"""),"PMS")</f>
        <v>PMS</v>
      </c>
      <c r="J139" s="72" t="str">
        <f>IFERROR(__xludf.DUMMYFUNCTION("""COMPUTED_VALUE"""),"PMS")</f>
        <v>PMS</v>
      </c>
      <c r="K139" s="72" t="str">
        <f>IFERROR(__xludf.DUMMYFUNCTION("""COMPUTED_VALUE"""),"FIRST PMS: SELF PMS")</f>
        <v>FIRST PMS: SELF PMS</v>
      </c>
      <c r="L139" s="72" t="str">
        <f>IFERROR(__xludf.DUMMYFUNCTION("""COMPUTED_VALUE"""),"SELF PMS: AGREEMENT SENT: FOR PRINT")</f>
        <v>SELF PMS: AGREEMENT SENT: FOR PRINT</v>
      </c>
      <c r="M139" s="2"/>
      <c r="N139" s="2"/>
      <c r="O139" s="2" t="str">
        <f>IFERROR(__xludf.DUMMYFUNCTION("""COMPUTED_VALUE"""),"N/A")</f>
        <v>N/A</v>
      </c>
      <c r="P139" s="2"/>
      <c r="Q139" s="2"/>
      <c r="R139" s="74">
        <f>IFERROR(__xludf.DUMMYFUNCTION("""COMPUTED_VALUE"""),45433.0)</f>
        <v>45433</v>
      </c>
      <c r="S139" s="2" t="str">
        <f>IFERROR(__xludf.DUMMYFUNCTION("""COMPUTED_VALUE"""),"MYKEE")</f>
        <v>MYKEE</v>
      </c>
      <c r="T139" s="73" t="str">
        <f>IFERROR(__xludf.DUMMYFUNCTION("""COMPUTED_VALUE""")," N/A ")</f>
        <v>N/A</v>
      </c>
      <c r="U139" s="73" t="str">
        <f>IFERROR(__xludf.DUMMYFUNCTION("""COMPUTED_VALUE""")," NO CHARGE ")</f>
        <v>NO CHARGE</v>
      </c>
      <c r="V139" s="2"/>
      <c r="W139" s="2" t="str">
        <f>IFERROR(__xludf.DUMMYFUNCTION("""COMPUTED_VALUE"""),"N/A")</f>
        <v>N/A</v>
      </c>
      <c r="X139" s="2" t="str">
        <f>IFERROR(__xludf.DUMMYFUNCTION("""COMPUTED_VALUE"""),"N/A")</f>
        <v>N/A</v>
      </c>
      <c r="Y139" s="2" t="str">
        <f>IFERROR(__xludf.DUMMYFUNCTION("""COMPUTED_VALUE"""),"MYKEE")</f>
        <v>MYKEE</v>
      </c>
      <c r="Z139" s="2"/>
      <c r="AA139" s="2"/>
      <c r="AB139" s="2"/>
      <c r="AC139" s="2"/>
      <c r="AD139" s="2"/>
      <c r="AE139" s="2"/>
      <c r="AF139" s="2"/>
      <c r="AG139" s="2"/>
      <c r="AH139" s="2"/>
      <c r="AI139" s="2"/>
      <c r="AJ139" s="2" t="str">
        <f>IFERROR(__xludf.DUMMYFUNCTION("""COMPUTED_VALUE"""),"Camaal")</f>
        <v>Camaal</v>
      </c>
      <c r="AK139" s="2" t="str">
        <f>IFERROR(__xludf.DUMMYFUNCTION("""COMPUTED_VALUE"""),"Quirino")</f>
        <v>Quirino</v>
      </c>
      <c r="AL139" s="2" t="str">
        <f>IFERROR(__xludf.DUMMYFUNCTION("""COMPUTED_VALUE"""),"Isabela")</f>
        <v>Isabela</v>
      </c>
      <c r="AM139" s="2">
        <f>IFERROR(__xludf.DUMMYFUNCTION("""COMPUTED_VALUE"""),2.0)</f>
        <v>2</v>
      </c>
      <c r="AN139" s="2" t="str">
        <f>IFERROR(__xludf.DUMMYFUNCTION("""COMPUTED_VALUE"""),"RCEF 23-09-21 Rebidding")</f>
        <v>RCEF 23-09-21 Rebidding</v>
      </c>
      <c r="AO139" s="2">
        <f>IFERROR(__xludf.DUMMYFUNCTION("""COMPUTED_VALUE"""),9.0)</f>
        <v>9</v>
      </c>
      <c r="AP139" s="2"/>
      <c r="AQ139" s="2"/>
      <c r="AR139" s="2"/>
      <c r="AS139" s="2"/>
      <c r="AT139" s="2"/>
      <c r="AU139" s="2"/>
      <c r="AV139" s="2"/>
      <c r="AW139" s="2"/>
      <c r="AX139" s="2"/>
      <c r="AY139" s="2"/>
      <c r="AZ139" s="2"/>
      <c r="BA139" s="2"/>
      <c r="BB139" s="2"/>
    </row>
    <row r="140">
      <c r="A140" s="2">
        <f>IFERROR(__xludf.DUMMYFUNCTION("""COMPUTED_VALUE"""),136.0)</f>
        <v>136</v>
      </c>
      <c r="B140" s="2" t="str">
        <f>IFERROR(__xludf.DUMMYFUNCTION("""COMPUTED_VALUE"""),"COMPLETED")</f>
        <v>COMPLETED</v>
      </c>
      <c r="C140" s="74">
        <f>IFERROR(__xludf.DUMMYFUNCTION("""COMPUTED_VALUE"""),45433.0)</f>
        <v>45433</v>
      </c>
      <c r="D140" s="71" t="str">
        <f>IFERROR(__xludf.DUMMYFUNCTION("""COMPUTED_VALUE"""),"VILLAGUNDA IRRIGATORS ASSOCIATION INC.")</f>
        <v>VILLAGUNDA IRRIGATORS ASSOCIATION INC.</v>
      </c>
      <c r="E140" s="71" t="str">
        <f>IFERROR(__xludf.DUMMYFUNCTION("""COMPUTED_VALUE"""),"Gundaway (Pob.), Cabarroguis, QUIRINO")</f>
        <v>Gundaway (Pob.), Cabarroguis, QUIRINO</v>
      </c>
      <c r="F140" s="2" t="str">
        <f>IFERROR(__xludf.DUMMYFUNCTION("""COMPUTED_VALUE"""),"ARNOLD S. AGUSTIN")</f>
        <v>ARNOLD S. AGUSTIN</v>
      </c>
      <c r="G140" s="2">
        <f>IFERROR(__xludf.DUMMYFUNCTION("""COMPUTED_VALUE"""),9.752996194E9)</f>
        <v>9752996194</v>
      </c>
      <c r="H140" s="2">
        <f>IFERROR(__xludf.DUMMYFUNCTION("""COMPUTED_VALUE"""),50.0)</f>
        <v>50</v>
      </c>
      <c r="I140" s="72" t="str">
        <f>IFERROR(__xludf.DUMMYFUNCTION("""COMPUTED_VALUE"""),"PMS")</f>
        <v>PMS</v>
      </c>
      <c r="J140" s="72" t="str">
        <f>IFERROR(__xludf.DUMMYFUNCTION("""COMPUTED_VALUE"""),"PMS")</f>
        <v>PMS</v>
      </c>
      <c r="K140" s="72" t="str">
        <f>IFERROR(__xludf.DUMMYFUNCTION("""COMPUTED_VALUE"""),"FIRTS PMS: SELF PMS")</f>
        <v>FIRTS PMS: SELF PMS</v>
      </c>
      <c r="L140" s="72" t="str">
        <f>IFERROR(__xludf.DUMMYFUNCTION("""COMPUTED_VALUE"""),"SELF PMS: AGREEMENT SENT: FOR PRINT")</f>
        <v>SELF PMS: AGREEMENT SENT: FOR PRINT</v>
      </c>
      <c r="M140" s="2"/>
      <c r="N140" s="2"/>
      <c r="O140" s="2" t="str">
        <f>IFERROR(__xludf.DUMMYFUNCTION("""COMPUTED_VALUE"""),"N/A")</f>
        <v>N/A</v>
      </c>
      <c r="P140" s="2"/>
      <c r="Q140" s="2"/>
      <c r="R140" s="74">
        <f>IFERROR(__xludf.DUMMYFUNCTION("""COMPUTED_VALUE"""),45433.0)</f>
        <v>45433</v>
      </c>
      <c r="S140" s="2" t="str">
        <f>IFERROR(__xludf.DUMMYFUNCTION("""COMPUTED_VALUE"""),"MYKEE")</f>
        <v>MYKEE</v>
      </c>
      <c r="T140" s="73" t="str">
        <f>IFERROR(__xludf.DUMMYFUNCTION("""COMPUTED_VALUE""")," N/A ")</f>
        <v>N/A</v>
      </c>
      <c r="U140" s="73" t="str">
        <f>IFERROR(__xludf.DUMMYFUNCTION("""COMPUTED_VALUE""")," NO CHARGE ")</f>
        <v>NO CHARGE</v>
      </c>
      <c r="V140" s="2"/>
      <c r="W140" s="2" t="str">
        <f>IFERROR(__xludf.DUMMYFUNCTION("""COMPUTED_VALUE"""),"N/A")</f>
        <v>N/A</v>
      </c>
      <c r="X140" s="2" t="str">
        <f>IFERROR(__xludf.DUMMYFUNCTION("""COMPUTED_VALUE"""),"N/A")</f>
        <v>N/A</v>
      </c>
      <c r="Y140" s="2" t="str">
        <f>IFERROR(__xludf.DUMMYFUNCTION("""COMPUTED_VALUE"""),"KFS")</f>
        <v>KFS</v>
      </c>
      <c r="Z140" s="2"/>
      <c r="AA140" s="2"/>
      <c r="AB140" s="2"/>
      <c r="AC140" s="2"/>
      <c r="AD140" s="2"/>
      <c r="AE140" s="2"/>
      <c r="AF140" s="2"/>
      <c r="AG140" s="2"/>
      <c r="AH140" s="2"/>
      <c r="AI140" s="2"/>
      <c r="AJ140" s="2" t="str">
        <f>IFERROR(__xludf.DUMMYFUNCTION("""COMPUTED_VALUE"""),"Gundaway (Pob.)")</f>
        <v>Gundaway (Pob.)</v>
      </c>
      <c r="AK140" s="2" t="str">
        <f>IFERROR(__xludf.DUMMYFUNCTION("""COMPUTED_VALUE"""),"Cabarroguis")</f>
        <v>Cabarroguis</v>
      </c>
      <c r="AL140" s="2" t="str">
        <f>IFERROR(__xludf.DUMMYFUNCTION("""COMPUTED_VALUE"""),"Quirino")</f>
        <v>Quirino</v>
      </c>
      <c r="AM140" s="2">
        <f>IFERROR(__xludf.DUMMYFUNCTION("""COMPUTED_VALUE"""),2.0)</f>
        <v>2</v>
      </c>
      <c r="AN140" s="2" t="str">
        <f>IFERROR(__xludf.DUMMYFUNCTION("""COMPUTED_VALUE"""),"RCEF 23-09-21 Rebidding")</f>
        <v>RCEF 23-09-21 Rebidding</v>
      </c>
      <c r="AO140" s="2">
        <f>IFERROR(__xludf.DUMMYFUNCTION("""COMPUTED_VALUE"""),9.0)</f>
        <v>9</v>
      </c>
      <c r="AP140" s="2"/>
      <c r="AQ140" s="2"/>
      <c r="AR140" s="2"/>
      <c r="AS140" s="2"/>
      <c r="AT140" s="2"/>
      <c r="AU140" s="2"/>
      <c r="AV140" s="2"/>
      <c r="AW140" s="2"/>
      <c r="AX140" s="2"/>
      <c r="AY140" s="2"/>
      <c r="AZ140" s="2"/>
      <c r="BA140" s="2"/>
      <c r="BB140" s="2"/>
    </row>
    <row r="141">
      <c r="A141" s="2">
        <f>IFERROR(__xludf.DUMMYFUNCTION("""COMPUTED_VALUE"""),137.0)</f>
        <v>137</v>
      </c>
      <c r="B141" s="2" t="str">
        <f>IFERROR(__xludf.DUMMYFUNCTION("""COMPUTED_VALUE"""),"COMPLETED")</f>
        <v>COMPLETED</v>
      </c>
      <c r="C141" s="74">
        <f>IFERROR(__xludf.DUMMYFUNCTION("""COMPUTED_VALUE"""),45433.0)</f>
        <v>45433</v>
      </c>
      <c r="D141" s="71" t="str">
        <f>IFERROR(__xludf.DUMMYFUNCTION("""COMPUTED_VALUE"""),"CPCL ALISTO IRRIGATORS ASSOCIATION INC.")</f>
        <v>CPCL ALISTO IRRIGATORS ASSOCIATION INC.</v>
      </c>
      <c r="E141" s="71" t="str">
        <f>IFERROR(__xludf.DUMMYFUNCTION("""COMPUTED_VALUE"""),"Pataquid, Santa Maria, PANGASINAN")</f>
        <v>Pataquid, Santa Maria, PANGASINAN</v>
      </c>
      <c r="F141" s="2" t="str">
        <f>IFERROR(__xludf.DUMMYFUNCTION("""COMPUTED_VALUE"""),"JONATHAN MURLA")</f>
        <v>JONATHAN MURLA</v>
      </c>
      <c r="G141" s="2">
        <f>IFERROR(__xludf.DUMMYFUNCTION("""COMPUTED_VALUE"""),9.297854909E9)</f>
        <v>9297854909</v>
      </c>
      <c r="H141" s="2">
        <f>IFERROR(__xludf.DUMMYFUNCTION("""COMPUTED_VALUE"""),55.0)</f>
        <v>55</v>
      </c>
      <c r="I141" s="72" t="str">
        <f>IFERROR(__xludf.DUMMYFUNCTION("""COMPUTED_VALUE"""),"PMS")</f>
        <v>PMS</v>
      </c>
      <c r="J141" s="72" t="str">
        <f>IFERROR(__xludf.DUMMYFUNCTION("""COMPUTED_VALUE"""),"PMS")</f>
        <v>PMS</v>
      </c>
      <c r="K141" s="72" t="str">
        <f>IFERROR(__xludf.DUMMYFUNCTION("""COMPUTED_VALUE"""),"FIRST PMS: SELF PMS")</f>
        <v>FIRST PMS: SELF PMS</v>
      </c>
      <c r="L141" s="72" t="str">
        <f>IFERROR(__xludf.DUMMYFUNCTION("""COMPUTED_VALUE"""),"SELF PMS: FB: JONATHAN MURLA: AGREEMENT SENT")</f>
        <v>SELF PMS: FB: JONATHAN MURLA: AGREEMENT SENT</v>
      </c>
      <c r="M141" s="2"/>
      <c r="N141" s="2"/>
      <c r="O141" s="2" t="str">
        <f>IFERROR(__xludf.DUMMYFUNCTION("""COMPUTED_VALUE"""),"N/A")</f>
        <v>N/A</v>
      </c>
      <c r="P141" s="2"/>
      <c r="Q141" s="2"/>
      <c r="R141" s="74">
        <f>IFERROR(__xludf.DUMMYFUNCTION("""COMPUTED_VALUE"""),45433.0)</f>
        <v>45433</v>
      </c>
      <c r="S141" s="2" t="str">
        <f>IFERROR(__xludf.DUMMYFUNCTION("""COMPUTED_VALUE"""),"MYKEE")</f>
        <v>MYKEE</v>
      </c>
      <c r="T141" s="73" t="str">
        <f>IFERROR(__xludf.DUMMYFUNCTION("""COMPUTED_VALUE""")," N/A ")</f>
        <v>N/A</v>
      </c>
      <c r="U141" s="73" t="str">
        <f>IFERROR(__xludf.DUMMYFUNCTION("""COMPUTED_VALUE""")," NO CHARGE ")</f>
        <v>NO CHARGE</v>
      </c>
      <c r="V141" s="2"/>
      <c r="W141" s="2" t="str">
        <f>IFERROR(__xludf.DUMMYFUNCTION("""COMPUTED_VALUE"""),"N/A")</f>
        <v>N/A</v>
      </c>
      <c r="X141" s="2" t="str">
        <f>IFERROR(__xludf.DUMMYFUNCTION("""COMPUTED_VALUE"""),"N/A")</f>
        <v>N/A</v>
      </c>
      <c r="Y141" s="2" t="str">
        <f>IFERROR(__xludf.DUMMYFUNCTION("""COMPUTED_VALUE"""),"JOEL")</f>
        <v>JOEL</v>
      </c>
      <c r="Z141" s="2"/>
      <c r="AA141" s="2"/>
      <c r="AB141" s="2"/>
      <c r="AC141" s="2"/>
      <c r="AD141" s="2"/>
      <c r="AE141" s="2"/>
      <c r="AF141" s="2"/>
      <c r="AG141" s="2"/>
      <c r="AH141" s="2"/>
      <c r="AI141" s="2"/>
      <c r="AJ141" s="2" t="str">
        <f>IFERROR(__xludf.DUMMYFUNCTION("""COMPUTED_VALUE"""),"Pataquid")</f>
        <v>Pataquid</v>
      </c>
      <c r="AK141" s="2" t="str">
        <f>IFERROR(__xludf.DUMMYFUNCTION("""COMPUTED_VALUE"""),"Santa Maria")</f>
        <v>Santa Maria</v>
      </c>
      <c r="AL141" s="2" t="str">
        <f>IFERROR(__xludf.DUMMYFUNCTION("""COMPUTED_VALUE"""),"Pangasinan")</f>
        <v>Pangasinan</v>
      </c>
      <c r="AM141" s="2">
        <f>IFERROR(__xludf.DUMMYFUNCTION("""COMPUTED_VALUE"""),1.0)</f>
        <v>1</v>
      </c>
      <c r="AN141" s="2" t="str">
        <f>IFERROR(__xludf.DUMMYFUNCTION("""COMPUTED_VALUE"""),"RCEF 23-09-21 Rebidding")</f>
        <v>RCEF 23-09-21 Rebidding</v>
      </c>
      <c r="AO141" s="2">
        <f>IFERROR(__xludf.DUMMYFUNCTION("""COMPUTED_VALUE"""),2.0)</f>
        <v>2</v>
      </c>
      <c r="AP141" s="2"/>
      <c r="AQ141" s="2"/>
      <c r="AR141" s="2"/>
      <c r="AS141" s="2"/>
      <c r="AT141" s="2"/>
      <c r="AU141" s="2"/>
      <c r="AV141" s="2"/>
      <c r="AW141" s="2"/>
      <c r="AX141" s="2"/>
      <c r="AY141" s="2"/>
      <c r="AZ141" s="2"/>
      <c r="BA141" s="2"/>
      <c r="BB141" s="2"/>
    </row>
    <row r="142">
      <c r="A142" s="2">
        <f>IFERROR(__xludf.DUMMYFUNCTION("""COMPUTED_VALUE"""),138.0)</f>
        <v>138</v>
      </c>
      <c r="B142" s="2" t="str">
        <f>IFERROR(__xludf.DUMMYFUNCTION("""COMPUTED_VALUE"""),"COMPLETED")</f>
        <v>COMPLETED</v>
      </c>
      <c r="C142" s="74">
        <f>IFERROR(__xludf.DUMMYFUNCTION("""COMPUTED_VALUE"""),45433.0)</f>
        <v>45433</v>
      </c>
      <c r="D142" s="71" t="str">
        <f>IFERROR(__xludf.DUMMYFUNCTION("""COMPUTED_VALUE"""),"CPCL ALISTO IRRIGATORS ASSOCIATION INC.")</f>
        <v>CPCL ALISTO IRRIGATORS ASSOCIATION INC.</v>
      </c>
      <c r="E142" s="71" t="str">
        <f>IFERROR(__xludf.DUMMYFUNCTION("""COMPUTED_VALUE"""),"Pataquid, Santa Maria, PANGASINAN")</f>
        <v>Pataquid, Santa Maria, PANGASINAN</v>
      </c>
      <c r="F142" s="2" t="str">
        <f>IFERROR(__xludf.DUMMYFUNCTION("""COMPUTED_VALUE"""),"JONATHAN MURLA")</f>
        <v>JONATHAN MURLA</v>
      </c>
      <c r="G142" s="2">
        <f>IFERROR(__xludf.DUMMYFUNCTION("""COMPUTED_VALUE"""),9.297854909E9)</f>
        <v>9297854909</v>
      </c>
      <c r="H142" s="2">
        <f>IFERROR(__xludf.DUMMYFUNCTION("""COMPUTED_VALUE"""),55.0)</f>
        <v>55</v>
      </c>
      <c r="I142" s="72" t="str">
        <f>IFERROR(__xludf.DUMMYFUNCTION("""COMPUTED_VALUE"""),"SPARE PARTS ACQUISITION")</f>
        <v>SPARE PARTS ACQUISITION</v>
      </c>
      <c r="J142" s="72" t="str">
        <f>IFERROR(__xludf.DUMMYFUNCTION("""COMPUTED_VALUE"""),"SPARE PARTS ACQUISITION")</f>
        <v>SPARE PARTS ACQUISITION</v>
      </c>
      <c r="K142" s="72" t="str">
        <f>IFERROR(__xludf.DUMMYFUNCTION("""COMPUTED_VALUE"""),"1 OIL FILTER")</f>
        <v>1 OIL FILTER</v>
      </c>
      <c r="L142" s="72" t="str">
        <f>IFERROR(__xludf.DUMMYFUNCTION("""COMPUTED_VALUE"""),"DELIVERED : TYM OIL FILTER")</f>
        <v>DELIVERED : TYM OIL FILTER</v>
      </c>
      <c r="M142" s="2"/>
      <c r="N142" s="2" t="str">
        <f>IFERROR(__xludf.DUMMYFUNCTION("""COMPUTED_VALUE"""),"OIL FILTER")</f>
        <v>OIL FILTER</v>
      </c>
      <c r="O142" s="2" t="str">
        <f>IFERROR(__xludf.DUMMYFUNCTION("""COMPUTED_VALUE"""),"N/A")</f>
        <v>N/A</v>
      </c>
      <c r="P142" s="2"/>
      <c r="Q142" s="2"/>
      <c r="R142" s="74">
        <f>IFERROR(__xludf.DUMMYFUNCTION("""COMPUTED_VALUE"""),45434.0)</f>
        <v>45434</v>
      </c>
      <c r="S142" s="2" t="str">
        <f>IFERROR(__xludf.DUMMYFUNCTION("""COMPUTED_VALUE"""),"JHP")</f>
        <v>JHP</v>
      </c>
      <c r="T142" s="73">
        <f>IFERROR(__xludf.DUMMYFUNCTION("""COMPUTED_VALUE"""),2837.5)</f>
        <v>2837.5</v>
      </c>
      <c r="U142" s="73" t="str">
        <f>IFERROR(__xludf.DUMMYFUNCTION("""COMPUTED_VALUE""")," REMITTED ")</f>
        <v>REMITTED</v>
      </c>
      <c r="V142" s="2"/>
      <c r="W142" s="2"/>
      <c r="X142" s="2">
        <f>IFERROR(__xludf.DUMMYFUNCTION("""COMPUTED_VALUE"""),1100.0)</f>
        <v>1100</v>
      </c>
      <c r="Y142" s="2" t="str">
        <f>IFERROR(__xludf.DUMMYFUNCTION("""COMPUTED_VALUE"""),"JOEL")</f>
        <v>JOEL</v>
      </c>
      <c r="Z142" s="2"/>
      <c r="AA142" s="2"/>
      <c r="AB142" s="2"/>
      <c r="AC142" s="2"/>
      <c r="AD142" s="2"/>
      <c r="AE142" s="2"/>
      <c r="AF142" s="2"/>
      <c r="AG142" s="2"/>
      <c r="AH142" s="2"/>
      <c r="AI142" s="2"/>
      <c r="AJ142" s="2" t="str">
        <f>IFERROR(__xludf.DUMMYFUNCTION("""COMPUTED_VALUE"""),"Pataquid")</f>
        <v>Pataquid</v>
      </c>
      <c r="AK142" s="2" t="str">
        <f>IFERROR(__xludf.DUMMYFUNCTION("""COMPUTED_VALUE"""),"Santa Maria")</f>
        <v>Santa Maria</v>
      </c>
      <c r="AL142" s="2" t="str">
        <f>IFERROR(__xludf.DUMMYFUNCTION("""COMPUTED_VALUE"""),"Pangasinan")</f>
        <v>Pangasinan</v>
      </c>
      <c r="AM142" s="2">
        <f>IFERROR(__xludf.DUMMYFUNCTION("""COMPUTED_VALUE"""),1.0)</f>
        <v>1</v>
      </c>
      <c r="AN142" s="2" t="str">
        <f>IFERROR(__xludf.DUMMYFUNCTION("""COMPUTED_VALUE"""),"RCEF 23-09-21 Rebidding")</f>
        <v>RCEF 23-09-21 Rebidding</v>
      </c>
      <c r="AO142" s="2">
        <f>IFERROR(__xludf.DUMMYFUNCTION("""COMPUTED_VALUE"""),2.0)</f>
        <v>2</v>
      </c>
      <c r="AP142" s="2"/>
      <c r="AQ142" s="2"/>
      <c r="AR142" s="2"/>
      <c r="AS142" s="2"/>
      <c r="AT142" s="2"/>
      <c r="AU142" s="2"/>
      <c r="AV142" s="2"/>
      <c r="AW142" s="2"/>
      <c r="AX142" s="2"/>
      <c r="AY142" s="2"/>
      <c r="AZ142" s="2"/>
      <c r="BA142" s="2"/>
      <c r="BB142" s="2"/>
    </row>
    <row r="143">
      <c r="A143" s="2">
        <f>IFERROR(__xludf.DUMMYFUNCTION("""COMPUTED_VALUE"""),139.0)</f>
        <v>139</v>
      </c>
      <c r="B143" s="2" t="str">
        <f>IFERROR(__xludf.DUMMYFUNCTION("""COMPUTED_VALUE"""),"COMPLETED")</f>
        <v>COMPLETED</v>
      </c>
      <c r="C143" s="74">
        <f>IFERROR(__xludf.DUMMYFUNCTION("""COMPUTED_VALUE"""),45433.0)</f>
        <v>45433</v>
      </c>
      <c r="D143" s="71" t="str">
        <f>IFERROR(__xludf.DUMMYFUNCTION("""COMPUTED_VALUE"""),"MUNICIPAL LOCAL GOVERNMENT UNIT OF ANGAT")</f>
        <v>MUNICIPAL LOCAL GOVERNMENT UNIT OF ANGAT</v>
      </c>
      <c r="E143" s="71" t="str">
        <f>IFERROR(__xludf.DUMMYFUNCTION("""COMPUTED_VALUE"""),"Poblacion, Angat, Bulacan")</f>
        <v>Poblacion, Angat, Bulacan</v>
      </c>
      <c r="F143" s="2" t="str">
        <f>IFERROR(__xludf.DUMMYFUNCTION("""COMPUTED_VALUE"""),"(MUNICIPAL GOVERMENT OF ANGAT)")</f>
        <v>(MUNICIPAL GOVERMENT OF ANGAT)</v>
      </c>
      <c r="G143" s="2">
        <f>IFERROR(__xludf.DUMMYFUNCTION("""COMPUTED_VALUE"""),9.179941102E9)</f>
        <v>9179941102</v>
      </c>
      <c r="H143" s="2">
        <f>IFERROR(__xludf.DUMMYFUNCTION("""COMPUTED_VALUE"""),300.0)</f>
        <v>300</v>
      </c>
      <c r="I143" s="72" t="str">
        <f>IFERROR(__xludf.DUMMYFUNCTION("""COMPUTED_VALUE"""),"PMS")</f>
        <v>PMS</v>
      </c>
      <c r="J143" s="72" t="str">
        <f>IFERROR(__xludf.DUMMYFUNCTION("""COMPUTED_VALUE"""),"PMS")</f>
        <v>PMS</v>
      </c>
      <c r="K143" s="72" t="str">
        <f>IFERROR(__xludf.DUMMYFUNCTION("""COMPUTED_VALUE"""),"SECOND PMS")</f>
        <v>SECOND PMS</v>
      </c>
      <c r="L143" s="72" t="str">
        <f>IFERROR(__xludf.DUMMYFUNCTION("""COMPUTED_VALUE"""),"OIL FILTER, HYDRAULIC FILTER,ENGINE OIL, HYDRAULIC OIL, 1 SETS OF BLADES PAID BY FCA       5/29/24: OVERHAUL ROTAVATOR PELACE ALL BEARING . OPERATIONAL")</f>
        <v>OIL FILTER, HYDRAULIC FILTER,ENGINE OIL, HYDRAULIC OIL, 1 SETS OF BLADES PAID BY FCA       5/29/24: OVERHAUL ROTAVATOR PELACE ALL BEARING . OPERATIONAL</v>
      </c>
      <c r="M143" s="2"/>
      <c r="N143" s="2" t="str">
        <f>IFERROR(__xludf.DUMMYFUNCTION("""COMPUTED_VALUE"""),"OIL FILTER
HYDRAULIC FILTER
ENGINE OIL
HYDRAULIC OIL
1 SETS OF BLADES")</f>
        <v>OIL FILTER
HYDRAULIC FILTER
ENGINE OIL
HYDRAULIC OIL
1 SETS OF BLADES</v>
      </c>
      <c r="O143" s="2" t="str">
        <f>IFERROR(__xludf.DUMMYFUNCTION("""COMPUTED_VALUE"""),"JIE-080")</f>
        <v>JIE-080</v>
      </c>
      <c r="P143" s="2"/>
      <c r="Q143" s="2"/>
      <c r="R143" s="74">
        <f>IFERROR(__xludf.DUMMYFUNCTION("""COMPUTED_VALUE"""),45441.0)</f>
        <v>45441</v>
      </c>
      <c r="S143" s="2" t="str">
        <f>IFERROR(__xludf.DUMMYFUNCTION("""COMPUTED_VALUE"""),"JVV, DSD, ERP, 1 OJT")</f>
        <v>JVV, DSD, ERP, 1 OJT</v>
      </c>
      <c r="T143" s="73">
        <f>IFERROR(__xludf.DUMMYFUNCTION("""COMPUTED_VALUE"""),54353.75)</f>
        <v>54353.75</v>
      </c>
      <c r="U143" s="73" t="str">
        <f>IFERROR(__xludf.DUMMYFUNCTION("""COMPUTED_VALUE""")," REMITTED ")</f>
        <v>REMITTED</v>
      </c>
      <c r="V143" s="2"/>
      <c r="W143" s="2"/>
      <c r="X143" s="2"/>
      <c r="Y143" s="2" t="str">
        <f>IFERROR(__xludf.DUMMYFUNCTION("""COMPUTED_VALUE"""),"MYKEE")</f>
        <v>MYKEE</v>
      </c>
      <c r="Z143" s="2"/>
      <c r="AA143" s="2"/>
      <c r="AB143" s="2"/>
      <c r="AC143" s="2"/>
      <c r="AD143" s="2"/>
      <c r="AE143" s="2"/>
      <c r="AF143" s="2"/>
      <c r="AG143" s="2"/>
      <c r="AH143" s="2"/>
      <c r="AI143" s="2"/>
      <c r="AJ143" s="2" t="str">
        <f>IFERROR(__xludf.DUMMYFUNCTION("""COMPUTED_VALUE"""),"Poblacion")</f>
        <v>Poblacion</v>
      </c>
      <c r="AK143" s="2" t="str">
        <f>IFERROR(__xludf.DUMMYFUNCTION("""COMPUTED_VALUE"""),"Angat")</f>
        <v>Angat</v>
      </c>
      <c r="AL143" s="2" t="str">
        <f>IFERROR(__xludf.DUMMYFUNCTION("""COMPUTED_VALUE"""),"Bulacan")</f>
        <v>Bulacan</v>
      </c>
      <c r="AM143" s="2">
        <f>IFERROR(__xludf.DUMMYFUNCTION("""COMPUTED_VALUE"""),3.0)</f>
        <v>3</v>
      </c>
      <c r="AN143" s="2" t="str">
        <f>IFERROR(__xludf.DUMMYFUNCTION("""COMPUTED_VALUE"""),"RCEF 23-09-21 Rebidding")</f>
        <v>RCEF 23-09-21 Rebidding</v>
      </c>
      <c r="AO143" s="2">
        <f>IFERROR(__xludf.DUMMYFUNCTION("""COMPUTED_VALUE"""),3.0)</f>
        <v>3</v>
      </c>
      <c r="AP143" s="2"/>
      <c r="AQ143" s="2"/>
      <c r="AR143" s="2"/>
      <c r="AS143" s="2"/>
      <c r="AT143" s="2"/>
      <c r="AU143" s="2"/>
      <c r="AV143" s="2"/>
      <c r="AW143" s="2"/>
      <c r="AX143" s="2"/>
      <c r="AY143" s="2"/>
      <c r="AZ143" s="2"/>
      <c r="BA143" s="2"/>
      <c r="BB143" s="2"/>
    </row>
    <row r="144">
      <c r="A144" s="2">
        <f>IFERROR(__xludf.DUMMYFUNCTION("""COMPUTED_VALUE"""),140.0)</f>
        <v>140</v>
      </c>
      <c r="B144" s="2" t="str">
        <f>IFERROR(__xludf.DUMMYFUNCTION("""COMPUTED_VALUE"""),"COMPLETED")</f>
        <v>COMPLETED</v>
      </c>
      <c r="C144" s="74">
        <f>IFERROR(__xludf.DUMMYFUNCTION("""COMPUTED_VALUE"""),45433.0)</f>
        <v>45433</v>
      </c>
      <c r="D144" s="71" t="str">
        <f>IFERROR(__xludf.DUMMYFUNCTION("""COMPUTED_VALUE"""),"ANOLID GUANTANG FARMERS ASSOCIATION INC")</f>
        <v>ANOLID GUANTANG FARMERS ASSOCIATION INC</v>
      </c>
      <c r="E144" s="71" t="str">
        <f>IFERROR(__xludf.DUMMYFUNCTION("""COMPUTED_VALUE"""),"Anolid, Mangaldan, PANGASINAN")</f>
        <v>Anolid, Mangaldan, PANGASINAN</v>
      </c>
      <c r="F144" s="2" t="str">
        <f>IFERROR(__xludf.DUMMYFUNCTION("""COMPUTED_VALUE"""),"MARIO A. FLORES")</f>
        <v>MARIO A. FLORES</v>
      </c>
      <c r="G144" s="2">
        <f>IFERROR(__xludf.DUMMYFUNCTION("""COMPUTED_VALUE"""),9.281639958E9)</f>
        <v>9281639958</v>
      </c>
      <c r="H144" s="2">
        <f>IFERROR(__xludf.DUMMYFUNCTION("""COMPUTED_VALUE"""),69.0)</f>
        <v>69</v>
      </c>
      <c r="I144" s="72" t="str">
        <f>IFERROR(__xludf.DUMMYFUNCTION("""COMPUTED_VALUE"""),"REPAIR - TRACTOR")</f>
        <v>REPAIR - TRACTOR</v>
      </c>
      <c r="J144" s="72" t="str">
        <f>IFERROR(__xludf.DUMMYFUNCTION("""COMPUTED_VALUE"""),"Radiator")</f>
        <v>Radiator</v>
      </c>
      <c r="K144" s="72" t="str">
        <f>IFERROR(__xludf.DUMMYFUNCTION("""COMPUTED_VALUE"""),"REPAIR/REPLACEMENT OF CRACK RADIATOR    
 MYKEE:6/4/24: VIDEO SEND BY FARMERS")</f>
        <v>REPAIR/REPLACEMENT OF CRACK RADIATOR    
 MYKEE:6/4/24: VIDEO SEND BY FARMERS</v>
      </c>
      <c r="L144" s="72" t="str">
        <f>IFERROR(__xludf.DUMMYFUNCTION("""COMPUTED_VALUE"""),"ACS/JHP: REPLACE OF RADIATOR (REPAIRED RADIATOR)")</f>
        <v>ACS/JHP: REPLACE OF RADIATOR (REPAIRED RADIATOR)</v>
      </c>
      <c r="M144" s="2"/>
      <c r="N144" s="2" t="str">
        <f>IFERROR(__xludf.DUMMYFUNCTION("""COMPUTED_VALUE"""),"RADIATOR ASSY (OUTSORCE)")</f>
        <v>RADIATOR ASSY (OUTSORCE)</v>
      </c>
      <c r="O144" s="2" t="str">
        <f>IFERROR(__xludf.DUMMYFUNCTION("""COMPUTED_VALUE"""),"JIE-095")</f>
        <v>JIE-095</v>
      </c>
      <c r="P144" s="2"/>
      <c r="Q144" s="2"/>
      <c r="R144" s="74">
        <f>IFERROR(__xludf.DUMMYFUNCTION("""COMPUTED_VALUE"""),45454.0)</f>
        <v>45454</v>
      </c>
      <c r="S144" s="2" t="str">
        <f>IFERROR(__xludf.DUMMYFUNCTION("""COMPUTED_VALUE"""),"ACS/JHP")</f>
        <v>ACS/JHP</v>
      </c>
      <c r="T144" s="73" t="str">
        <f>IFERROR(__xludf.DUMMYFUNCTION("""COMPUTED_VALUE""")," N/A ")</f>
        <v>N/A</v>
      </c>
      <c r="U144" s="73" t="str">
        <f>IFERROR(__xludf.DUMMYFUNCTION("""COMPUTED_VALUE""")," NO CHARGE ")</f>
        <v>NO CHARGE</v>
      </c>
      <c r="V144" s="2"/>
      <c r="W144" s="2" t="str">
        <f>IFERROR(__xludf.DUMMYFUNCTION("""COMPUTED_VALUE"""),"N/A")</f>
        <v>N/A</v>
      </c>
      <c r="X144" s="2" t="str">
        <f>IFERROR(__xludf.DUMMYFUNCTION("""COMPUTED_VALUE"""),"N/A")</f>
        <v>N/A</v>
      </c>
      <c r="Y144" s="2" t="str">
        <f>IFERROR(__xludf.DUMMYFUNCTION("""COMPUTED_VALUE"""),"KFS")</f>
        <v>KFS</v>
      </c>
      <c r="Z144" s="2" t="str">
        <f>IFERROR(__xludf.DUMMYFUNCTION("""COMPUTED_VALUE"""),"LEADS-RP-0019")</f>
        <v>LEADS-RP-0019</v>
      </c>
      <c r="AA144" s="2" t="str">
        <f>IFERROR(__xludf.DUMMYFUNCTION("""COMPUTED_VALUE"""),"APPROVED")</f>
        <v>APPROVED</v>
      </c>
      <c r="AB144" s="2"/>
      <c r="AC144" s="2" t="str">
        <f>IFERROR(__xludf.DUMMYFUNCTION("""COMPUTED_VALUE"""),"Y")</f>
        <v>Y</v>
      </c>
      <c r="AD144" s="2"/>
      <c r="AE144" s="2"/>
      <c r="AF144" s="2"/>
      <c r="AG144" s="2"/>
      <c r="AH144" s="2"/>
      <c r="AI144" s="2"/>
      <c r="AJ144" s="2" t="str">
        <f>IFERROR(__xludf.DUMMYFUNCTION("""COMPUTED_VALUE"""),"Anolid")</f>
        <v>Anolid</v>
      </c>
      <c r="AK144" s="2" t="str">
        <f>IFERROR(__xludf.DUMMYFUNCTION("""COMPUTED_VALUE"""),"Mangaldan")</f>
        <v>Mangaldan</v>
      </c>
      <c r="AL144" s="2" t="str">
        <f>IFERROR(__xludf.DUMMYFUNCTION("""COMPUTED_VALUE"""),"Pangasinan")</f>
        <v>Pangasinan</v>
      </c>
      <c r="AM144" s="2">
        <f>IFERROR(__xludf.DUMMYFUNCTION("""COMPUTED_VALUE"""),1.0)</f>
        <v>1</v>
      </c>
      <c r="AN144" s="2" t="str">
        <f>IFERROR(__xludf.DUMMYFUNCTION("""COMPUTED_VALUE"""),"RCEF 23-09-21 Rebidding")</f>
        <v>RCEF 23-09-21 Rebidding</v>
      </c>
      <c r="AO144" s="2">
        <f>IFERROR(__xludf.DUMMYFUNCTION("""COMPUTED_VALUE"""),2.0)</f>
        <v>2</v>
      </c>
      <c r="AP144" s="2"/>
      <c r="AQ144" s="2"/>
      <c r="AR144" s="2"/>
      <c r="AS144" s="2"/>
      <c r="AT144" s="2"/>
      <c r="AU144" s="2"/>
      <c r="AV144" s="2"/>
      <c r="AW144" s="2"/>
      <c r="AX144" s="2"/>
      <c r="AY144" s="2"/>
      <c r="AZ144" s="2"/>
      <c r="BA144" s="2"/>
      <c r="BB144" s="2"/>
    </row>
    <row r="145">
      <c r="A145" s="2">
        <f>IFERROR(__xludf.DUMMYFUNCTION("""COMPUTED_VALUE"""),141.0)</f>
        <v>141</v>
      </c>
      <c r="B145" s="2" t="str">
        <f>IFERROR(__xludf.DUMMYFUNCTION("""COMPUTED_VALUE"""),"COMPLETED")</f>
        <v>COMPLETED</v>
      </c>
      <c r="C145" s="74">
        <f>IFERROR(__xludf.DUMMYFUNCTION("""COMPUTED_VALUE"""),45434.0)</f>
        <v>45434</v>
      </c>
      <c r="D145" s="71" t="str">
        <f>IFERROR(__xludf.DUMMYFUNCTION("""COMPUTED_VALUE"""),"KABALIKAT IRRIGATORS ASSOCIATION, INC.")</f>
        <v>KABALIKAT IRRIGATORS ASSOCIATION, INC.</v>
      </c>
      <c r="E145" s="71" t="str">
        <f>IFERROR(__xludf.DUMMYFUNCTION("""COMPUTED_VALUE"""),"Rizaluna (Rizaluna Oeste), Cordon, ISABELA")</f>
        <v>Rizaluna (Rizaluna Oeste), Cordon, ISABELA</v>
      </c>
      <c r="F145" s="2" t="str">
        <f>IFERROR(__xludf.DUMMYFUNCTION("""COMPUTED_VALUE"""),"VIRGILIO N. RETOTAL JR.")</f>
        <v>VIRGILIO N. RETOTAL JR.</v>
      </c>
      <c r="G145" s="2">
        <f>IFERROR(__xludf.DUMMYFUNCTION("""COMPUTED_VALUE"""),9.168462142E9)</f>
        <v>9168462142</v>
      </c>
      <c r="H145" s="2">
        <f>IFERROR(__xludf.DUMMYFUNCTION("""COMPUTED_VALUE"""),52.0)</f>
        <v>52</v>
      </c>
      <c r="I145" s="72" t="str">
        <f>IFERROR(__xludf.DUMMYFUNCTION("""COMPUTED_VALUE"""),"REPAIR - TRACTOR")</f>
        <v>REPAIR - TRACTOR</v>
      </c>
      <c r="J145" s="72" t="str">
        <f>IFERROR(__xludf.DUMMYFUNCTION("""COMPUTED_VALUE"""),"CHECK UP UNIT")</f>
        <v>CHECK UP UNIT</v>
      </c>
      <c r="K145" s="72" t="str">
        <f>IFERROR(__xludf.DUMMYFUNCTION("""COMPUTED_VALUE"""),"MAY TUMTAGAS NA LANGIS SA BABA MALAPIT SA DRAINAN PO NG LANGIS")</f>
        <v>MAY TUMTAGAS NA LANGIS SA BABA MALAPIT SA DRAINAN PO NG LANGIS</v>
      </c>
      <c r="L145" s="72" t="str">
        <f>IFERROR(__xludf.DUMMYFUNCTION("""COMPUTED_VALUE"""),"NO LEAK UPON ASSESMENT")</f>
        <v>NO LEAK UPON ASSESMENT</v>
      </c>
      <c r="M145" s="2"/>
      <c r="N145" s="2"/>
      <c r="O145" s="2" t="str">
        <f>IFERROR(__xludf.DUMMYFUNCTION("""COMPUTED_VALUE"""),"JIE-076")</f>
        <v>JIE-076</v>
      </c>
      <c r="P145" s="2"/>
      <c r="Q145" s="2"/>
      <c r="R145" s="74">
        <f>IFERROR(__xludf.DUMMYFUNCTION("""COMPUTED_VALUE"""),45437.0)</f>
        <v>45437</v>
      </c>
      <c r="S145" s="2" t="str">
        <f>IFERROR(__xludf.DUMMYFUNCTION("""COMPUTED_VALUE"""),"CFG/DRM")</f>
        <v>CFG/DRM</v>
      </c>
      <c r="T145" s="73" t="str">
        <f>IFERROR(__xludf.DUMMYFUNCTION("""COMPUTED_VALUE""")," N/A ")</f>
        <v>N/A</v>
      </c>
      <c r="U145" s="73" t="str">
        <f>IFERROR(__xludf.DUMMYFUNCTION("""COMPUTED_VALUE""")," NO CHARGE ")</f>
        <v>NO CHARGE</v>
      </c>
      <c r="V145" s="2"/>
      <c r="W145" s="2" t="str">
        <f>IFERROR(__xludf.DUMMYFUNCTION("""COMPUTED_VALUE"""),"N/A")</f>
        <v>N/A</v>
      </c>
      <c r="X145" s="2" t="str">
        <f>IFERROR(__xludf.DUMMYFUNCTION("""COMPUTED_VALUE"""),"N/A")</f>
        <v>N/A</v>
      </c>
      <c r="Y145" s="2" t="str">
        <f>IFERROR(__xludf.DUMMYFUNCTION("""COMPUTED_VALUE"""),"ERP")</f>
        <v>ERP</v>
      </c>
      <c r="Z145" s="2"/>
      <c r="AA145" s="2"/>
      <c r="AB145" s="2"/>
      <c r="AC145" s="2"/>
      <c r="AD145" s="2"/>
      <c r="AE145" s="2"/>
      <c r="AF145" s="2"/>
      <c r="AG145" s="2"/>
      <c r="AH145" s="2"/>
      <c r="AI145" s="2"/>
      <c r="AJ145" s="2" t="str">
        <f>IFERROR(__xludf.DUMMYFUNCTION("""COMPUTED_VALUE"""),"Rizaluna (Rizaluna Oeste)")</f>
        <v>Rizaluna (Rizaluna Oeste)</v>
      </c>
      <c r="AK145" s="2" t="str">
        <f>IFERROR(__xludf.DUMMYFUNCTION("""COMPUTED_VALUE"""),"Cordon")</f>
        <v>Cordon</v>
      </c>
      <c r="AL145" s="2" t="str">
        <f>IFERROR(__xludf.DUMMYFUNCTION("""COMPUTED_VALUE"""),"Isabela")</f>
        <v>Isabela</v>
      </c>
      <c r="AM145" s="2">
        <f>IFERROR(__xludf.DUMMYFUNCTION("""COMPUTED_VALUE"""),2.0)</f>
        <v>2</v>
      </c>
      <c r="AN145" s="2" t="str">
        <f>IFERROR(__xludf.DUMMYFUNCTION("""COMPUTED_VALUE"""),"RCEF 23-09-21 Rebidding")</f>
        <v>RCEF 23-09-21 Rebidding</v>
      </c>
      <c r="AO145" s="2">
        <f>IFERROR(__xludf.DUMMYFUNCTION("""COMPUTED_VALUE"""),1.0)</f>
        <v>1</v>
      </c>
      <c r="AP145" s="2"/>
      <c r="AQ145" s="2"/>
      <c r="AR145" s="2"/>
      <c r="AS145" s="2"/>
      <c r="AT145" s="2"/>
      <c r="AU145" s="2"/>
      <c r="AV145" s="2"/>
      <c r="AW145" s="2"/>
      <c r="AX145" s="2"/>
      <c r="AY145" s="2"/>
      <c r="AZ145" s="2"/>
      <c r="BA145" s="2"/>
      <c r="BB145" s="2"/>
    </row>
    <row r="146">
      <c r="A146" s="2">
        <f>IFERROR(__xludf.DUMMYFUNCTION("""COMPUTED_VALUE"""),142.0)</f>
        <v>142</v>
      </c>
      <c r="B146" s="2" t="str">
        <f>IFERROR(__xludf.DUMMYFUNCTION("""COMPUTED_VALUE"""),"COMPLETED")</f>
        <v>COMPLETED</v>
      </c>
      <c r="C146" s="74">
        <f>IFERROR(__xludf.DUMMYFUNCTION("""COMPUTED_VALUE"""),45434.0)</f>
        <v>45434</v>
      </c>
      <c r="D146" s="71" t="str">
        <f>IFERROR(__xludf.DUMMYFUNCTION("""COMPUTED_VALUE"""),"D4-SAGUDAY IRRIGATORS ASSOCIATION, INC.")</f>
        <v>D4-SAGUDAY IRRIGATORS ASSOCIATION, INC.</v>
      </c>
      <c r="E146" s="71" t="str">
        <f>IFERROR(__xludf.DUMMYFUNCTION("""COMPUTED_VALUE"""),"Pinoma, Cauayan City, ISABELA")</f>
        <v>Pinoma, Cauayan City, ISABELA</v>
      </c>
      <c r="F146" s="2" t="str">
        <f>IFERROR(__xludf.DUMMYFUNCTION("""COMPUTED_VALUE"""),"ISAIAS G. CARGO")</f>
        <v>ISAIAS G. CARGO</v>
      </c>
      <c r="G146" s="2">
        <f>IFERROR(__xludf.DUMMYFUNCTION("""COMPUTED_VALUE"""),9.360958043E9)</f>
        <v>9360958043</v>
      </c>
      <c r="H146" s="2">
        <f>IFERROR(__xludf.DUMMYFUNCTION("""COMPUTED_VALUE"""),56.2)</f>
        <v>56.2</v>
      </c>
      <c r="I146" s="72" t="str">
        <f>IFERROR(__xludf.DUMMYFUNCTION("""COMPUTED_VALUE"""),"PMS")</f>
        <v>PMS</v>
      </c>
      <c r="J146" s="72" t="str">
        <f>IFERROR(__xludf.DUMMYFUNCTION("""COMPUTED_VALUE"""),"PMS")</f>
        <v>PMS</v>
      </c>
      <c r="K146" s="72" t="str">
        <f>IFERROR(__xludf.DUMMYFUNCTION("""COMPUTED_VALUE"""),"FIRST PMS")</f>
        <v>FIRST PMS</v>
      </c>
      <c r="L146" s="72" t="str">
        <f>IFERROR(__xludf.DUMMYFUNCTION("""COMPUTED_VALUE"""),"CHANGE OIL")</f>
        <v>CHANGE OIL</v>
      </c>
      <c r="M146" s="2"/>
      <c r="N146" s="2"/>
      <c r="O146" s="2" t="str">
        <f>IFERROR(__xludf.DUMMYFUNCTION("""COMPUTED_VALUE"""),"JIE-079")</f>
        <v>JIE-079</v>
      </c>
      <c r="P146" s="2"/>
      <c r="Q146" s="2"/>
      <c r="R146" s="74">
        <f>IFERROR(__xludf.DUMMYFUNCTION("""COMPUTED_VALUE"""),45439.0)</f>
        <v>45439</v>
      </c>
      <c r="S146" s="2"/>
      <c r="T146" s="73" t="str">
        <f>IFERROR(__xludf.DUMMYFUNCTION("""COMPUTED_VALUE""")," N/A ")</f>
        <v>N/A</v>
      </c>
      <c r="U146" s="73" t="str">
        <f>IFERROR(__xludf.DUMMYFUNCTION("""COMPUTED_VALUE""")," NO CHARGE ")</f>
        <v>NO CHARGE</v>
      </c>
      <c r="V146" s="2"/>
      <c r="W146" s="2" t="str">
        <f>IFERROR(__xludf.DUMMYFUNCTION("""COMPUTED_VALUE"""),"N/A")</f>
        <v>N/A</v>
      </c>
      <c r="X146" s="2" t="str">
        <f>IFERROR(__xludf.DUMMYFUNCTION("""COMPUTED_VALUE"""),"N/A")</f>
        <v>N/A</v>
      </c>
      <c r="Y146" s="2" t="str">
        <f>IFERROR(__xludf.DUMMYFUNCTION("""COMPUTED_VALUE"""),"ERP")</f>
        <v>ERP</v>
      </c>
      <c r="Z146" s="2"/>
      <c r="AA146" s="2"/>
      <c r="AB146" s="2"/>
      <c r="AC146" s="2"/>
      <c r="AD146" s="2"/>
      <c r="AE146" s="2"/>
      <c r="AF146" s="2"/>
      <c r="AG146" s="2"/>
      <c r="AH146" s="2"/>
      <c r="AI146" s="2"/>
      <c r="AJ146" s="2" t="str">
        <f>IFERROR(__xludf.DUMMYFUNCTION("""COMPUTED_VALUE"""),"Pinoma")</f>
        <v>Pinoma</v>
      </c>
      <c r="AK146" s="2" t="str">
        <f>IFERROR(__xludf.DUMMYFUNCTION("""COMPUTED_VALUE"""),"Cauayan City")</f>
        <v>Cauayan City</v>
      </c>
      <c r="AL146" s="2" t="str">
        <f>IFERROR(__xludf.DUMMYFUNCTION("""COMPUTED_VALUE"""),"Isabela")</f>
        <v>Isabela</v>
      </c>
      <c r="AM146" s="2">
        <f>IFERROR(__xludf.DUMMYFUNCTION("""COMPUTED_VALUE"""),2.0)</f>
        <v>2</v>
      </c>
      <c r="AN146" s="2" t="str">
        <f>IFERROR(__xludf.DUMMYFUNCTION("""COMPUTED_VALUE"""),"RCEF 23-09-21 Rebidding")</f>
        <v>RCEF 23-09-21 Rebidding</v>
      </c>
      <c r="AO146" s="2">
        <f>IFERROR(__xludf.DUMMYFUNCTION("""COMPUTED_VALUE"""),9.0)</f>
        <v>9</v>
      </c>
      <c r="AP146" s="2"/>
      <c r="AQ146" s="2"/>
      <c r="AR146" s="2"/>
      <c r="AS146" s="2"/>
      <c r="AT146" s="2"/>
      <c r="AU146" s="2"/>
      <c r="AV146" s="2"/>
      <c r="AW146" s="2"/>
      <c r="AX146" s="2"/>
      <c r="AY146" s="2"/>
      <c r="AZ146" s="2"/>
      <c r="BA146" s="2"/>
      <c r="BB146" s="2"/>
    </row>
    <row r="147">
      <c r="A147" s="2">
        <f>IFERROR(__xludf.DUMMYFUNCTION("""COMPUTED_VALUE"""),143.0)</f>
        <v>143</v>
      </c>
      <c r="B147" s="2" t="str">
        <f>IFERROR(__xludf.DUMMYFUNCTION("""COMPUTED_VALUE"""),"COMPLETED")</f>
        <v>COMPLETED</v>
      </c>
      <c r="C147" s="74">
        <f>IFERROR(__xludf.DUMMYFUNCTION("""COMPUTED_VALUE"""),45434.0)</f>
        <v>45434</v>
      </c>
      <c r="D147" s="71" t="str">
        <f>IFERROR(__xludf.DUMMYFUNCTION("""COMPUTED_VALUE"""),"TANDOC SILAG KALUNGKONG FARMERS IRRIGATORS ASSOCIATION")</f>
        <v>TANDOC SILAG KALUNGKONG FARMERS IRRIGATORS ASSOCIATION</v>
      </c>
      <c r="E147" s="71" t="str">
        <f>IFERROR(__xludf.DUMMYFUNCTION("""COMPUTED_VALUE"""),"Uyong, Labrador, PANGASINAN")</f>
        <v>Uyong, Labrador, PANGASINAN</v>
      </c>
      <c r="F147" s="2" t="str">
        <f>IFERROR(__xludf.DUMMYFUNCTION("""COMPUTED_VALUE"""),"NOEL CASTILLO")</f>
        <v>NOEL CASTILLO</v>
      </c>
      <c r="G147" s="2" t="str">
        <f>IFERROR(__xludf.DUMMYFUNCTION("""COMPUTED_VALUE"""),"09756347542 /  09207105845")</f>
        <v>09756347542 /  09207105845</v>
      </c>
      <c r="H147" s="2">
        <f>IFERROR(__xludf.DUMMYFUNCTION("""COMPUTED_VALUE"""),2.0)</f>
        <v>2</v>
      </c>
      <c r="I147" s="72" t="str">
        <f>IFERROR(__xludf.DUMMYFUNCTION("""COMPUTED_VALUE"""),"TRAINING REQUEST")</f>
        <v>TRAINING REQUEST</v>
      </c>
      <c r="J147" s="72" t="str">
        <f>IFERROR(__xludf.DUMMYFUNCTION("""COMPUTED_VALUE"""),"TRAINING REQUEST")</f>
        <v>TRAINING REQUEST</v>
      </c>
      <c r="K147" s="72" t="str">
        <f>IFERROR(__xludf.DUMMYFUNCTION("""COMPUTED_VALUE"""),"TRAINING REQUEST")</f>
        <v>TRAINING REQUEST</v>
      </c>
      <c r="L147" s="72" t="str">
        <f>IFERROR(__xludf.DUMMYFUNCTION("""COMPUTED_VALUE"""),"ACS/JHP: TRAINING IS DONE")</f>
        <v>ACS/JHP: TRAINING IS DONE</v>
      </c>
      <c r="M147" s="2"/>
      <c r="N147" s="2"/>
      <c r="O147" s="2" t="str">
        <f>IFERROR(__xludf.DUMMYFUNCTION("""COMPUTED_VALUE"""),"JIE-096")</f>
        <v>JIE-096</v>
      </c>
      <c r="P147" s="2"/>
      <c r="Q147" s="2"/>
      <c r="R147" s="74">
        <f>IFERROR(__xludf.DUMMYFUNCTION("""COMPUTED_VALUE"""),45454.0)</f>
        <v>45454</v>
      </c>
      <c r="S147" s="2" t="str">
        <f>IFERROR(__xludf.DUMMYFUNCTION("""COMPUTED_VALUE"""),"ACS/JHP")</f>
        <v>ACS/JHP</v>
      </c>
      <c r="T147" s="73" t="str">
        <f>IFERROR(__xludf.DUMMYFUNCTION("""COMPUTED_VALUE""")," N/A ")</f>
        <v>N/A</v>
      </c>
      <c r="U147" s="73" t="str">
        <f>IFERROR(__xludf.DUMMYFUNCTION("""COMPUTED_VALUE""")," NO CHARGE ")</f>
        <v>NO CHARGE</v>
      </c>
      <c r="V147" s="2"/>
      <c r="W147" s="2" t="str">
        <f>IFERROR(__xludf.DUMMYFUNCTION("""COMPUTED_VALUE"""),"N/A")</f>
        <v>N/A</v>
      </c>
      <c r="X147" s="2" t="str">
        <f>IFERROR(__xludf.DUMMYFUNCTION("""COMPUTED_VALUE"""),"N/A")</f>
        <v>N/A</v>
      </c>
      <c r="Y147" s="2" t="str">
        <f>IFERROR(__xludf.DUMMYFUNCTION("""COMPUTED_VALUE"""),"KFS")</f>
        <v>KFS</v>
      </c>
      <c r="Z147" s="2"/>
      <c r="AA147" s="2"/>
      <c r="AB147" s="2"/>
      <c r="AC147" s="2"/>
      <c r="AD147" s="2"/>
      <c r="AE147" s="2"/>
      <c r="AF147" s="2"/>
      <c r="AG147" s="2"/>
      <c r="AH147" s="2"/>
      <c r="AI147" s="2"/>
      <c r="AJ147" s="2" t="str">
        <f>IFERROR(__xludf.DUMMYFUNCTION("""COMPUTED_VALUE"""),"Uyong")</f>
        <v>Uyong</v>
      </c>
      <c r="AK147" s="2" t="str">
        <f>IFERROR(__xludf.DUMMYFUNCTION("""COMPUTED_VALUE"""),"Labrador")</f>
        <v>Labrador</v>
      </c>
      <c r="AL147" s="2" t="str">
        <f>IFERROR(__xludf.DUMMYFUNCTION("""COMPUTED_VALUE"""),"Pangasinan")</f>
        <v>Pangasinan</v>
      </c>
      <c r="AM147" s="2">
        <f>IFERROR(__xludf.DUMMYFUNCTION("""COMPUTED_VALUE"""),1.0)</f>
        <v>1</v>
      </c>
      <c r="AN147" s="2" t="str">
        <f>IFERROR(__xludf.DUMMYFUNCTION("""COMPUTED_VALUE"""),"RCEF 23-09-21 Rebidding")</f>
        <v>RCEF 23-09-21 Rebidding</v>
      </c>
      <c r="AO147" s="2">
        <f>IFERROR(__xludf.DUMMYFUNCTION("""COMPUTED_VALUE"""),2.0)</f>
        <v>2</v>
      </c>
      <c r="AP147" s="2"/>
      <c r="AQ147" s="2"/>
      <c r="AR147" s="2"/>
      <c r="AS147" s="2"/>
      <c r="AT147" s="2"/>
      <c r="AU147" s="2"/>
      <c r="AV147" s="2"/>
      <c r="AW147" s="2"/>
      <c r="AX147" s="2"/>
      <c r="AY147" s="2"/>
      <c r="AZ147" s="2"/>
      <c r="BA147" s="2"/>
      <c r="BB147" s="2"/>
    </row>
    <row r="148">
      <c r="A148" s="2">
        <f>IFERROR(__xludf.DUMMYFUNCTION("""COMPUTED_VALUE"""),144.0)</f>
        <v>144</v>
      </c>
      <c r="B148" s="2" t="str">
        <f>IFERROR(__xludf.DUMMYFUNCTION("""COMPUTED_VALUE"""),"COMPLETED")</f>
        <v>COMPLETED</v>
      </c>
      <c r="C148" s="74">
        <f>IFERROR(__xludf.DUMMYFUNCTION("""COMPUTED_VALUE"""),45435.0)</f>
        <v>45435</v>
      </c>
      <c r="D148" s="71" t="str">
        <f>IFERROR(__xludf.DUMMYFUNCTION("""COMPUTED_VALUE"""),"BARUMBONG IRRIGATORS ASSOCIATION INC.")</f>
        <v>BARUMBONG IRRIGATORS ASSOCIATION INC.</v>
      </c>
      <c r="E148" s="71" t="str">
        <f>IFERROR(__xludf.DUMMYFUNCTION("""COMPUTED_VALUE"""),"Barumbong, Santo Tomas, ISABELA")</f>
        <v>Barumbong, Santo Tomas, ISABELA</v>
      </c>
      <c r="F148" s="2" t="str">
        <f>IFERROR(__xludf.DUMMYFUNCTION("""COMPUTED_VALUE"""),"SONNY TALLION")</f>
        <v>SONNY TALLION</v>
      </c>
      <c r="G148" s="2">
        <f>IFERROR(__xludf.DUMMYFUNCTION("""COMPUTED_VALUE"""),9.758262334E9)</f>
        <v>9758262334</v>
      </c>
      <c r="H148" s="2">
        <f>IFERROR(__xludf.DUMMYFUNCTION("""COMPUTED_VALUE"""),30.0)</f>
        <v>30</v>
      </c>
      <c r="I148" s="72" t="str">
        <f>IFERROR(__xludf.DUMMYFUNCTION("""COMPUTED_VALUE"""),"PMS")</f>
        <v>PMS</v>
      </c>
      <c r="J148" s="72" t="str">
        <f>IFERROR(__xludf.DUMMYFUNCTION("""COMPUTED_VALUE"""),"PMS")</f>
        <v>PMS</v>
      </c>
      <c r="K148" s="72" t="str">
        <f>IFERROR(__xludf.DUMMYFUNCTION("""COMPUTED_VALUE"""),"FIRTS PMS: SELF PMS")</f>
        <v>FIRTS PMS: SELF PMS</v>
      </c>
      <c r="L148" s="72" t="str">
        <f>IFERROR(__xludf.DUMMYFUNCTION("""COMPUTED_VALUE"""),"SELF PMS: AGREEMENT SENT: FOR PRINT")</f>
        <v>SELF PMS: AGREEMENT SENT: FOR PRINT</v>
      </c>
      <c r="M148" s="2"/>
      <c r="N148" s="2"/>
      <c r="O148" s="2" t="str">
        <f>IFERROR(__xludf.DUMMYFUNCTION("""COMPUTED_VALUE"""),"N/A")</f>
        <v>N/A</v>
      </c>
      <c r="P148" s="2"/>
      <c r="Q148" s="2"/>
      <c r="R148" s="74">
        <f>IFERROR(__xludf.DUMMYFUNCTION("""COMPUTED_VALUE"""),45435.0)</f>
        <v>45435</v>
      </c>
      <c r="S148" s="2" t="str">
        <f>IFERROR(__xludf.DUMMYFUNCTION("""COMPUTED_VALUE"""),"MYKEE")</f>
        <v>MYKEE</v>
      </c>
      <c r="T148" s="73" t="str">
        <f>IFERROR(__xludf.DUMMYFUNCTION("""COMPUTED_VALUE""")," N/A ")</f>
        <v>N/A</v>
      </c>
      <c r="U148" s="73" t="str">
        <f>IFERROR(__xludf.DUMMYFUNCTION("""COMPUTED_VALUE""")," NO CHARGE ")</f>
        <v>NO CHARGE</v>
      </c>
      <c r="V148" s="2"/>
      <c r="W148" s="2" t="str">
        <f>IFERROR(__xludf.DUMMYFUNCTION("""COMPUTED_VALUE"""),"N/A")</f>
        <v>N/A</v>
      </c>
      <c r="X148" s="2" t="str">
        <f>IFERROR(__xludf.DUMMYFUNCTION("""COMPUTED_VALUE"""),"N/A")</f>
        <v>N/A</v>
      </c>
      <c r="Y148" s="2" t="str">
        <f>IFERROR(__xludf.DUMMYFUNCTION("""COMPUTED_VALUE"""),"ERP")</f>
        <v>ERP</v>
      </c>
      <c r="Z148" s="2"/>
      <c r="AA148" s="2"/>
      <c r="AB148" s="2"/>
      <c r="AC148" s="2"/>
      <c r="AD148" s="2"/>
      <c r="AE148" s="2"/>
      <c r="AF148" s="2"/>
      <c r="AG148" s="2"/>
      <c r="AH148" s="2"/>
      <c r="AI148" s="2"/>
      <c r="AJ148" s="2" t="str">
        <f>IFERROR(__xludf.DUMMYFUNCTION("""COMPUTED_VALUE"""),"Barumbong")</f>
        <v>Barumbong</v>
      </c>
      <c r="AK148" s="2" t="str">
        <f>IFERROR(__xludf.DUMMYFUNCTION("""COMPUTED_VALUE"""),"Santo Tomas")</f>
        <v>Santo Tomas</v>
      </c>
      <c r="AL148" s="2" t="str">
        <f>IFERROR(__xludf.DUMMYFUNCTION("""COMPUTED_VALUE"""),"Isabela")</f>
        <v>Isabela</v>
      </c>
      <c r="AM148" s="2">
        <f>IFERROR(__xludf.DUMMYFUNCTION("""COMPUTED_VALUE"""),2.0)</f>
        <v>2</v>
      </c>
      <c r="AN148" s="2" t="str">
        <f>IFERROR(__xludf.DUMMYFUNCTION("""COMPUTED_VALUE"""),"RCEF 23-09-21 Rebidding")</f>
        <v>RCEF 23-09-21 Rebidding</v>
      </c>
      <c r="AO148" s="2">
        <f>IFERROR(__xludf.DUMMYFUNCTION("""COMPUTED_VALUE"""),9.0)</f>
        <v>9</v>
      </c>
      <c r="AP148" s="2"/>
      <c r="AQ148" s="2"/>
      <c r="AR148" s="2"/>
      <c r="AS148" s="2"/>
      <c r="AT148" s="2"/>
      <c r="AU148" s="2"/>
      <c r="AV148" s="2"/>
      <c r="AW148" s="2"/>
      <c r="AX148" s="2"/>
      <c r="AY148" s="2"/>
      <c r="AZ148" s="2"/>
      <c r="BA148" s="2"/>
      <c r="BB148" s="2"/>
    </row>
    <row r="149">
      <c r="A149" s="2">
        <f>IFERROR(__xludf.DUMMYFUNCTION("""COMPUTED_VALUE"""),145.0)</f>
        <v>145</v>
      </c>
      <c r="B149" s="2" t="str">
        <f>IFERROR(__xludf.DUMMYFUNCTION("""COMPUTED_VALUE"""),"COMPLETED")</f>
        <v>COMPLETED</v>
      </c>
      <c r="C149" s="74">
        <f>IFERROR(__xludf.DUMMYFUNCTION("""COMPUTED_VALUE"""),45435.0)</f>
        <v>45435</v>
      </c>
      <c r="D149" s="71" t="str">
        <f>IFERROR(__xludf.DUMMYFUNCTION("""COMPUTED_VALUE"""),"Villa Pascua Multi-Purpose Cooperative")</f>
        <v>Villa Pascua Multi-Purpose Cooperative</v>
      </c>
      <c r="E149" s="71" t="str">
        <f>IFERROR(__xludf.DUMMYFUNCTION("""COMPUTED_VALUE"""),"Villa Pascua, Diffun, QUIRINO")</f>
        <v>Villa Pascua, Diffun, QUIRINO</v>
      </c>
      <c r="F149" s="2" t="str">
        <f>IFERROR(__xludf.DUMMYFUNCTION("""COMPUTED_VALUE"""),"ROMMEL GALANG")</f>
        <v>ROMMEL GALANG</v>
      </c>
      <c r="G149" s="2">
        <f>IFERROR(__xludf.DUMMYFUNCTION("""COMPUTED_VALUE"""),9.26602148E9)</f>
        <v>9266021480</v>
      </c>
      <c r="H149" s="2">
        <f>IFERROR(__xludf.DUMMYFUNCTION("""COMPUTED_VALUE"""),58.0)</f>
        <v>58</v>
      </c>
      <c r="I149" s="72" t="str">
        <f>IFERROR(__xludf.DUMMYFUNCTION("""COMPUTED_VALUE"""),"PMS")</f>
        <v>PMS</v>
      </c>
      <c r="J149" s="72" t="str">
        <f>IFERROR(__xludf.DUMMYFUNCTION("""COMPUTED_VALUE"""),"PMS")</f>
        <v>PMS</v>
      </c>
      <c r="K149" s="72" t="str">
        <f>IFERROR(__xludf.DUMMYFUNCTION("""COMPUTED_VALUE"""),"FIRST PMS: SELF PMS")</f>
        <v>FIRST PMS: SELF PMS</v>
      </c>
      <c r="L149" s="72" t="str">
        <f>IFERROR(__xludf.DUMMYFUNCTION("""COMPUTED_VALUE"""),"SELF PMS:FB: ROMMEL GALANG: AGREEMENT SENT")</f>
        <v>SELF PMS:FB: ROMMEL GALANG: AGREEMENT SENT</v>
      </c>
      <c r="M149" s="2"/>
      <c r="N149" s="2"/>
      <c r="O149" s="2" t="str">
        <f>IFERROR(__xludf.DUMMYFUNCTION("""COMPUTED_VALUE"""),"N/A")</f>
        <v>N/A</v>
      </c>
      <c r="P149" s="2"/>
      <c r="Q149" s="2"/>
      <c r="R149" s="74">
        <f>IFERROR(__xludf.DUMMYFUNCTION("""COMPUTED_VALUE"""),45435.0)</f>
        <v>45435</v>
      </c>
      <c r="S149" s="2" t="str">
        <f>IFERROR(__xludf.DUMMYFUNCTION("""COMPUTED_VALUE"""),"MYKEE")</f>
        <v>MYKEE</v>
      </c>
      <c r="T149" s="73" t="str">
        <f>IFERROR(__xludf.DUMMYFUNCTION("""COMPUTED_VALUE""")," N/A ")</f>
        <v>N/A</v>
      </c>
      <c r="U149" s="73" t="str">
        <f>IFERROR(__xludf.DUMMYFUNCTION("""COMPUTED_VALUE""")," NO CHARGE ")</f>
        <v>NO CHARGE</v>
      </c>
      <c r="V149" s="2"/>
      <c r="W149" s="2" t="str">
        <f>IFERROR(__xludf.DUMMYFUNCTION("""COMPUTED_VALUE"""),"N/A")</f>
        <v>N/A</v>
      </c>
      <c r="X149" s="2" t="str">
        <f>IFERROR(__xludf.DUMMYFUNCTION("""COMPUTED_VALUE"""),"N/A")</f>
        <v>N/A</v>
      </c>
      <c r="Y149" s="2" t="str">
        <f>IFERROR(__xludf.DUMMYFUNCTION("""COMPUTED_VALUE"""),"CJ")</f>
        <v>CJ</v>
      </c>
      <c r="Z149" s="2"/>
      <c r="AA149" s="2"/>
      <c r="AB149" s="2"/>
      <c r="AC149" s="2"/>
      <c r="AD149" s="2"/>
      <c r="AE149" s="2"/>
      <c r="AF149" s="2"/>
      <c r="AG149" s="2"/>
      <c r="AH149" s="2"/>
      <c r="AI149" s="2"/>
      <c r="AJ149" s="2" t="str">
        <f>IFERROR(__xludf.DUMMYFUNCTION("""COMPUTED_VALUE"""),"Villa Pascua")</f>
        <v>Villa Pascua</v>
      </c>
      <c r="AK149" s="2" t="str">
        <f>IFERROR(__xludf.DUMMYFUNCTION("""COMPUTED_VALUE"""),"Diffun")</f>
        <v>Diffun</v>
      </c>
      <c r="AL149" s="2" t="str">
        <f>IFERROR(__xludf.DUMMYFUNCTION("""COMPUTED_VALUE"""),"Quirino")</f>
        <v>Quirino</v>
      </c>
      <c r="AM149" s="2">
        <f>IFERROR(__xludf.DUMMYFUNCTION("""COMPUTED_VALUE"""),2.0)</f>
        <v>2</v>
      </c>
      <c r="AN149" s="2" t="str">
        <f>IFERROR(__xludf.DUMMYFUNCTION("""COMPUTED_VALUE"""),"RCEF 23-09-21 Rebidding")</f>
        <v>RCEF 23-09-21 Rebidding</v>
      </c>
      <c r="AO149" s="2">
        <f>IFERROR(__xludf.DUMMYFUNCTION("""COMPUTED_VALUE"""),9.0)</f>
        <v>9</v>
      </c>
      <c r="AP149" s="2"/>
      <c r="AQ149" s="2"/>
      <c r="AR149" s="2"/>
      <c r="AS149" s="2"/>
      <c r="AT149" s="2"/>
      <c r="AU149" s="2"/>
      <c r="AV149" s="2"/>
      <c r="AW149" s="2"/>
      <c r="AX149" s="2"/>
      <c r="AY149" s="2"/>
      <c r="AZ149" s="2"/>
      <c r="BA149" s="2"/>
      <c r="BB149" s="2"/>
    </row>
    <row r="150">
      <c r="A150" s="2">
        <f>IFERROR(__xludf.DUMMYFUNCTION("""COMPUTED_VALUE"""),146.0)</f>
        <v>146</v>
      </c>
      <c r="B150" s="2" t="str">
        <f>IFERROR(__xludf.DUMMYFUNCTION("""COMPUTED_VALUE"""),"COMPLETED")</f>
        <v>COMPLETED</v>
      </c>
      <c r="C150" s="74">
        <f>IFERROR(__xludf.DUMMYFUNCTION("""COMPUTED_VALUE"""),45435.0)</f>
        <v>45435</v>
      </c>
      <c r="D150" s="71" t="str">
        <f>IFERROR(__xludf.DUMMYFUNCTION("""COMPUTED_VALUE"""),"Diffun Saranay and Development Cooperative (DISADECO)")</f>
        <v>Diffun Saranay and Development Cooperative (DISADECO)</v>
      </c>
      <c r="E150" s="71" t="str">
        <f>IFERROR(__xludf.DUMMYFUNCTION("""COMPUTED_VALUE"""),"Andres Bonifacio (Pob.), Diffun, QUIRINO")</f>
        <v>Andres Bonifacio (Pob.), Diffun, QUIRINO</v>
      </c>
      <c r="F150" s="2" t="str">
        <f>IFERROR(__xludf.DUMMYFUNCTION("""COMPUTED_VALUE"""),"CHRISTIAN PAUL DACVUMOS")</f>
        <v>CHRISTIAN PAUL DACVUMOS</v>
      </c>
      <c r="G150" s="2">
        <f>IFERROR(__xludf.DUMMYFUNCTION("""COMPUTED_VALUE"""),9.061354403E9)</f>
        <v>9061354403</v>
      </c>
      <c r="H150" s="2">
        <f>IFERROR(__xludf.DUMMYFUNCTION("""COMPUTED_VALUE"""),100.0)</f>
        <v>100</v>
      </c>
      <c r="I150" s="72" t="str">
        <f>IFERROR(__xludf.DUMMYFUNCTION("""COMPUTED_VALUE"""),"PMS")</f>
        <v>PMS</v>
      </c>
      <c r="J150" s="72" t="str">
        <f>IFERROR(__xludf.DUMMYFUNCTION("""COMPUTED_VALUE"""),"PMS")</f>
        <v>PMS</v>
      </c>
      <c r="K150" s="72" t="str">
        <f>IFERROR(__xludf.DUMMYFUNCTION("""COMPUTED_VALUE"""),"FIRST PMS: SELF PMS")</f>
        <v>FIRST PMS: SELF PMS</v>
      </c>
      <c r="L150" s="72" t="str">
        <f>IFERROR(__xludf.DUMMYFUNCTION("""COMPUTED_VALUE""")," SEND AGREEMENT (MARCY FORYASEN): AGREEMENT SENT")</f>
        <v> SEND AGREEMENT (MARCY FORYASEN): AGREEMENT SENT</v>
      </c>
      <c r="M150" s="2"/>
      <c r="N150" s="2"/>
      <c r="O150" s="2" t="str">
        <f>IFERROR(__xludf.DUMMYFUNCTION("""COMPUTED_VALUE"""),"N/A")</f>
        <v>N/A</v>
      </c>
      <c r="P150" s="2"/>
      <c r="Q150" s="2"/>
      <c r="R150" s="74">
        <f>IFERROR(__xludf.DUMMYFUNCTION("""COMPUTED_VALUE"""),45435.0)</f>
        <v>45435</v>
      </c>
      <c r="S150" s="2" t="str">
        <f>IFERROR(__xludf.DUMMYFUNCTION("""COMPUTED_VALUE"""),"MYKEE")</f>
        <v>MYKEE</v>
      </c>
      <c r="T150" s="73" t="str">
        <f>IFERROR(__xludf.DUMMYFUNCTION("""COMPUTED_VALUE""")," N/A ")</f>
        <v>N/A</v>
      </c>
      <c r="U150" s="73" t="str">
        <f>IFERROR(__xludf.DUMMYFUNCTION("""COMPUTED_VALUE""")," NO CHARGE ")</f>
        <v>NO CHARGE</v>
      </c>
      <c r="V150" s="2"/>
      <c r="W150" s="2" t="str">
        <f>IFERROR(__xludf.DUMMYFUNCTION("""COMPUTED_VALUE"""),"N/A")</f>
        <v>N/A</v>
      </c>
      <c r="X150" s="2" t="str">
        <f>IFERROR(__xludf.DUMMYFUNCTION("""COMPUTED_VALUE"""),"N/A")</f>
        <v>N/A</v>
      </c>
      <c r="Y150" s="2" t="str">
        <f>IFERROR(__xludf.DUMMYFUNCTION("""COMPUTED_VALUE"""),"CJ")</f>
        <v>CJ</v>
      </c>
      <c r="Z150" s="2"/>
      <c r="AA150" s="2"/>
      <c r="AB150" s="2"/>
      <c r="AC150" s="2"/>
      <c r="AD150" s="2"/>
      <c r="AE150" s="2"/>
      <c r="AF150" s="2"/>
      <c r="AG150" s="2"/>
      <c r="AH150" s="2"/>
      <c r="AI150" s="2"/>
      <c r="AJ150" s="2" t="str">
        <f>IFERROR(__xludf.DUMMYFUNCTION("""COMPUTED_VALUE"""),"Andres Bonifacio (Pob.)")</f>
        <v>Andres Bonifacio (Pob.)</v>
      </c>
      <c r="AK150" s="2" t="str">
        <f>IFERROR(__xludf.DUMMYFUNCTION("""COMPUTED_VALUE"""),"Diffun")</f>
        <v>Diffun</v>
      </c>
      <c r="AL150" s="2" t="str">
        <f>IFERROR(__xludf.DUMMYFUNCTION("""COMPUTED_VALUE"""),"Quirino")</f>
        <v>Quirino</v>
      </c>
      <c r="AM150" s="2">
        <f>IFERROR(__xludf.DUMMYFUNCTION("""COMPUTED_VALUE"""),2.0)</f>
        <v>2</v>
      </c>
      <c r="AN150" s="2" t="str">
        <f>IFERROR(__xludf.DUMMYFUNCTION("""COMPUTED_VALUE"""),"RCEF 23-09-21 Rebidding")</f>
        <v>RCEF 23-09-21 Rebidding</v>
      </c>
      <c r="AO150" s="2">
        <f>IFERROR(__xludf.DUMMYFUNCTION("""COMPUTED_VALUE"""),1.0)</f>
        <v>1</v>
      </c>
      <c r="AP150" s="2"/>
      <c r="AQ150" s="2"/>
      <c r="AR150" s="2"/>
      <c r="AS150" s="2"/>
      <c r="AT150" s="2"/>
      <c r="AU150" s="2"/>
      <c r="AV150" s="2"/>
      <c r="AW150" s="2"/>
      <c r="AX150" s="2"/>
      <c r="AY150" s="2"/>
      <c r="AZ150" s="2"/>
      <c r="BA150" s="2"/>
      <c r="BB150" s="2"/>
    </row>
    <row r="151">
      <c r="A151" s="2">
        <f>IFERROR(__xludf.DUMMYFUNCTION("""COMPUTED_VALUE"""),147.0)</f>
        <v>147</v>
      </c>
      <c r="B151" s="2" t="str">
        <f>IFERROR(__xludf.DUMMYFUNCTION("""COMPUTED_VALUE"""),"COMPLETED")</f>
        <v>COMPLETED</v>
      </c>
      <c r="C151" s="74">
        <f>IFERROR(__xludf.DUMMYFUNCTION("""COMPUTED_VALUE"""),45435.0)</f>
        <v>45435</v>
      </c>
      <c r="D151" s="71" t="str">
        <f>IFERROR(__xludf.DUMMYFUNCTION("""COMPUTED_VALUE"""),"ASUSASYON NG MASISIPAG NA MAGSASAKA NG BARANGAY CAMBA INC.")</f>
        <v>ASUSASYON NG MASISIPAG NA MAGSASAKA NG BARANGAY CAMBA INC.</v>
      </c>
      <c r="E151" s="71" t="str">
        <f>IFERROR(__xludf.DUMMYFUNCTION("""COMPUTED_VALUE"""),"Kaledian (Camba), Arayat, PAMPANGA")</f>
        <v>Kaledian (Camba), Arayat, PAMPANGA</v>
      </c>
      <c r="F151" s="2"/>
      <c r="G151" s="2">
        <f>IFERROR(__xludf.DUMMYFUNCTION("""COMPUTED_VALUE"""),9.661691248E9)</f>
        <v>9661691248</v>
      </c>
      <c r="H151" s="2">
        <f>IFERROR(__xludf.DUMMYFUNCTION("""COMPUTED_VALUE"""),400.0)</f>
        <v>400</v>
      </c>
      <c r="I151" s="72" t="str">
        <f>IFERROR(__xludf.DUMMYFUNCTION("""COMPUTED_VALUE"""),"PMS")</f>
        <v>PMS</v>
      </c>
      <c r="J151" s="72" t="str">
        <f>IFERROR(__xludf.DUMMYFUNCTION("""COMPUTED_VALUE"""),"PMS")</f>
        <v>PMS</v>
      </c>
      <c r="K151" s="72" t="str">
        <f>IFERROR(__xludf.DUMMYFUNCTION("""COMPUTED_VALUE"""),"SECOND PMS     
6/5/24: SCHEDULE 6/7/24")</f>
        <v>SECOND PMS     
6/5/24: SCHEDULE 6/7/24</v>
      </c>
      <c r="L151" s="72" t="str">
        <f>IFERROR(__xludf.DUMMYFUNCTION("""COMPUTED_VALUE"""),"SECOND PMS DONE: OIL FILTER AND HYDRAULIC FILTER PAID BY FCA")</f>
        <v>SECOND PMS DONE: OIL FILTER AND HYDRAULIC FILTER PAID BY FCA</v>
      </c>
      <c r="M151" s="2"/>
      <c r="N151" s="2" t="str">
        <f>IFERROR(__xludf.DUMMYFUNCTION("""COMPUTED_VALUE"""),"OIL FILTER
HYDRAULIC FILTER")</f>
        <v>OIL FILTER
HYDRAULIC FILTER</v>
      </c>
      <c r="O151" s="2">
        <f>IFERROR(__xludf.DUMMYFUNCTION("""COMPUTED_VALUE"""),1334.0)</f>
        <v>1334</v>
      </c>
      <c r="P151" s="2"/>
      <c r="Q151" s="2" t="str">
        <f>IFERROR(__xludf.DUMMYFUNCTION("""COMPUTED_VALUE"""),"Y")</f>
        <v>Y</v>
      </c>
      <c r="R151" s="74">
        <f>IFERROR(__xludf.DUMMYFUNCTION("""COMPUTED_VALUE"""),45454.0)</f>
        <v>45454</v>
      </c>
      <c r="S151" s="2" t="str">
        <f>IFERROR(__xludf.DUMMYFUNCTION("""COMPUTED_VALUE"""),"EGT/JVV")</f>
        <v>EGT/JVV</v>
      </c>
      <c r="T151" s="73">
        <f>IFERROR(__xludf.DUMMYFUNCTION("""COMPUTED_VALUE"""),7925.0)</f>
        <v>7925</v>
      </c>
      <c r="U151" s="73" t="str">
        <f>IFERROR(__xludf.DUMMYFUNCTION("""COMPUTED_VALUE""")," REMITTED ")</f>
        <v>REMITTED</v>
      </c>
      <c r="V151" s="2"/>
      <c r="W151" s="2"/>
      <c r="X151" s="2"/>
      <c r="Y151" s="2" t="str">
        <f>IFERROR(__xludf.DUMMYFUNCTION("""COMPUTED_VALUE"""),"JC SICAT")</f>
        <v>JC SICAT</v>
      </c>
      <c r="Z151" s="2"/>
      <c r="AA151" s="2"/>
      <c r="AB151" s="2"/>
      <c r="AC151" s="2"/>
      <c r="AD151" s="2"/>
      <c r="AE151" s="2"/>
      <c r="AF151" s="2"/>
      <c r="AG151" s="2"/>
      <c r="AH151" s="2"/>
      <c r="AI151" s="2"/>
      <c r="AJ151" s="2" t="str">
        <f>IFERROR(__xludf.DUMMYFUNCTION("""COMPUTED_VALUE"""),"Kaledian (Camba)")</f>
        <v>Kaledian (Camba)</v>
      </c>
      <c r="AK151" s="2" t="str">
        <f>IFERROR(__xludf.DUMMYFUNCTION("""COMPUTED_VALUE"""),"Arayat")</f>
        <v>Arayat</v>
      </c>
      <c r="AL151" s="2" t="str">
        <f>IFERROR(__xludf.DUMMYFUNCTION("""COMPUTED_VALUE"""),"Pampanga")</f>
        <v>Pampanga</v>
      </c>
      <c r="AM151" s="2">
        <f>IFERROR(__xludf.DUMMYFUNCTION("""COMPUTED_VALUE"""),3.0)</f>
        <v>3</v>
      </c>
      <c r="AN151" s="2" t="str">
        <f>IFERROR(__xludf.DUMMYFUNCTION("""COMPUTED_VALUE"""),"RCEF 23-09-21 Rebidding")</f>
        <v>RCEF 23-09-21 Rebidding</v>
      </c>
      <c r="AO151" s="2">
        <f>IFERROR(__xludf.DUMMYFUNCTION("""COMPUTED_VALUE"""),3.0)</f>
        <v>3</v>
      </c>
      <c r="AP151" s="2"/>
      <c r="AQ151" s="2"/>
      <c r="AR151" s="2"/>
      <c r="AS151" s="2"/>
      <c r="AT151" s="2"/>
      <c r="AU151" s="2"/>
      <c r="AV151" s="2"/>
      <c r="AW151" s="2"/>
      <c r="AX151" s="2"/>
      <c r="AY151" s="2"/>
      <c r="AZ151" s="2"/>
      <c r="BA151" s="2"/>
      <c r="BB151" s="2"/>
    </row>
    <row r="152">
      <c r="A152" s="2">
        <f>IFERROR(__xludf.DUMMYFUNCTION("""COMPUTED_VALUE"""),148.0)</f>
        <v>148</v>
      </c>
      <c r="B152" s="2" t="str">
        <f>IFERROR(__xludf.DUMMYFUNCTION("""COMPUTED_VALUE"""),"COMPLETED")</f>
        <v>COMPLETED</v>
      </c>
      <c r="C152" s="74">
        <f>IFERROR(__xludf.DUMMYFUNCTION("""COMPUTED_VALUE"""),45435.0)</f>
        <v>45435</v>
      </c>
      <c r="D152" s="71" t="str">
        <f>IFERROR(__xludf.DUMMYFUNCTION("""COMPUTED_VALUE"""),"BARANGAY MALINAO FARMERS' ASSOCIATION")</f>
        <v>BARANGAY MALINAO FARMERS' ASSOCIATION</v>
      </c>
      <c r="E152" s="71" t="str">
        <f>IFERROR(__xludf.DUMMYFUNCTION("""COMPUTED_VALUE"""),"Malinao, Naujan, Oriental Mindoro")</f>
        <v>Malinao, Naujan, Oriental Mindoro</v>
      </c>
      <c r="F152" s="2" t="str">
        <f>IFERROR(__xludf.DUMMYFUNCTION("""COMPUTED_VALUE"""),"ERVIN GARILLO")</f>
        <v>ERVIN GARILLO</v>
      </c>
      <c r="G152" s="2" t="str">
        <f>IFERROR(__xludf.DUMMYFUNCTION("""COMPUTED_VALUE"""),"0956-911-1213")</f>
        <v>0956-911-1213</v>
      </c>
      <c r="H152" s="2"/>
      <c r="I152" s="72" t="str">
        <f>IFERROR(__xludf.DUMMYFUNCTION("""COMPUTED_VALUE"""),"REPAIR - TRACTOR")</f>
        <v>REPAIR - TRACTOR</v>
      </c>
      <c r="J152" s="72" t="str">
        <f>IFERROR(__xludf.DUMMYFUNCTION("""COMPUTED_VALUE"""),"CHECK UP UNIT")</f>
        <v>CHECK UP UNIT</v>
      </c>
      <c r="K152" s="72" t="str">
        <f>IFERROR(__xludf.DUMMYFUNCTION("""COMPUTED_VALUE"""),"CHECK UP OF UNIT")</f>
        <v>CHECK UP OF UNIT</v>
      </c>
      <c r="L152" s="72" t="str">
        <f>IFERROR(__xludf.DUMMYFUNCTION("""COMPUTED_VALUE"""),"OK NADAW ANG UNIT: NO REPORT")</f>
        <v>OK NADAW ANG UNIT: NO REPORT</v>
      </c>
      <c r="M152" s="2"/>
      <c r="N152" s="2"/>
      <c r="O152" s="2" t="str">
        <f>IFERROR(__xludf.DUMMYFUNCTION("""COMPUTED_VALUE"""),"N/A")</f>
        <v>N/A</v>
      </c>
      <c r="P152" s="2"/>
      <c r="Q152" s="2"/>
      <c r="R152" s="74">
        <f>IFERROR(__xludf.DUMMYFUNCTION("""COMPUTED_VALUE"""),45463.0)</f>
        <v>45463</v>
      </c>
      <c r="S152" s="2" t="str">
        <f>IFERROR(__xludf.DUMMYFUNCTION("""COMPUTED_VALUE"""),"RCG")</f>
        <v>RCG</v>
      </c>
      <c r="T152" s="73" t="str">
        <f>IFERROR(__xludf.DUMMYFUNCTION("""COMPUTED_VALUE""")," N/A ")</f>
        <v>N/A</v>
      </c>
      <c r="U152" s="73" t="str">
        <f>IFERROR(__xludf.DUMMYFUNCTION("""COMPUTED_VALUE""")," NO CHARGE ")</f>
        <v>NO CHARGE</v>
      </c>
      <c r="V152" s="2"/>
      <c r="W152" s="2" t="str">
        <f>IFERROR(__xludf.DUMMYFUNCTION("""COMPUTED_VALUE"""),"N/A")</f>
        <v>N/A</v>
      </c>
      <c r="X152" s="2" t="str">
        <f>IFERROR(__xludf.DUMMYFUNCTION("""COMPUTED_VALUE"""),"N/A")</f>
        <v>N/A</v>
      </c>
      <c r="Y152" s="2" t="str">
        <f>IFERROR(__xludf.DUMMYFUNCTION("""COMPUTED_VALUE"""),"RCG")</f>
        <v>RCG</v>
      </c>
      <c r="Z152" s="2"/>
      <c r="AA152" s="2"/>
      <c r="AB152" s="2"/>
      <c r="AC152" s="2"/>
      <c r="AD152" s="2"/>
      <c r="AE152" s="2"/>
      <c r="AF152" s="2"/>
      <c r="AG152" s="2"/>
      <c r="AH152" s="2"/>
      <c r="AI152" s="2"/>
      <c r="AJ152" s="2" t="str">
        <f>IFERROR(__xludf.DUMMYFUNCTION("""COMPUTED_VALUE"""),"Malinao")</f>
        <v>Malinao</v>
      </c>
      <c r="AK152" s="2" t="str">
        <f>IFERROR(__xludf.DUMMYFUNCTION("""COMPUTED_VALUE"""),"Naujan")</f>
        <v>Naujan</v>
      </c>
      <c r="AL152" s="2" t="str">
        <f>IFERROR(__xludf.DUMMYFUNCTION("""COMPUTED_VALUE"""),"Oriental Mindoro")</f>
        <v>Oriental Mindoro</v>
      </c>
      <c r="AM152" s="2" t="str">
        <f>IFERROR(__xludf.DUMMYFUNCTION("""COMPUTED_VALUE"""),"4B")</f>
        <v>4B</v>
      </c>
      <c r="AN152" s="2" t="str">
        <f>IFERROR(__xludf.DUMMYFUNCTION("""COMPUTED_VALUE"""),"RCEF 23-08-20 Rebidding")</f>
        <v>RCEF 23-08-20 Rebidding</v>
      </c>
      <c r="AO152" s="2">
        <f>IFERROR(__xludf.DUMMYFUNCTION("""COMPUTED_VALUE"""),1.0)</f>
        <v>1</v>
      </c>
      <c r="AP152" s="2"/>
      <c r="AQ152" s="2"/>
      <c r="AR152" s="2"/>
      <c r="AS152" s="2"/>
      <c r="AT152" s="2"/>
      <c r="AU152" s="2"/>
      <c r="AV152" s="2"/>
      <c r="AW152" s="2"/>
      <c r="AX152" s="2"/>
      <c r="AY152" s="2"/>
      <c r="AZ152" s="2"/>
      <c r="BA152" s="2"/>
      <c r="BB152" s="2"/>
    </row>
    <row r="153">
      <c r="A153" s="2">
        <f>IFERROR(__xludf.DUMMYFUNCTION("""COMPUTED_VALUE"""),149.0)</f>
        <v>149</v>
      </c>
      <c r="B153" s="2" t="str">
        <f>IFERROR(__xludf.DUMMYFUNCTION("""COMPUTED_VALUE"""),"COMPLETED")</f>
        <v>COMPLETED</v>
      </c>
      <c r="C153" s="74">
        <f>IFERROR(__xludf.DUMMYFUNCTION("""COMPUTED_VALUE"""),45436.0)</f>
        <v>45436</v>
      </c>
      <c r="D153" s="71" t="str">
        <f>IFERROR(__xludf.DUMMYFUNCTION("""COMPUTED_VALUE"""),"Linang Farmers Agriculture Cooperative")</f>
        <v>Linang Farmers Agriculture Cooperative</v>
      </c>
      <c r="E153" s="71" t="str">
        <f>IFERROR(__xludf.DUMMYFUNCTION("""COMPUTED_VALUE"""),"Cabagoan, Paoay, ILOCOS NORTE")</f>
        <v>Cabagoan, Paoay, ILOCOS NORTE</v>
      </c>
      <c r="F153" s="2" t="str">
        <f>IFERROR(__xludf.DUMMYFUNCTION("""COMPUTED_VALUE"""),"RONALD LUTAP")</f>
        <v>RONALD LUTAP</v>
      </c>
      <c r="G153" s="2">
        <f>IFERROR(__xludf.DUMMYFUNCTION("""COMPUTED_VALUE"""),9.062869495E9)</f>
        <v>9062869495</v>
      </c>
      <c r="H153" s="2">
        <f>IFERROR(__xludf.DUMMYFUNCTION("""COMPUTED_VALUE"""),45.0)</f>
        <v>45</v>
      </c>
      <c r="I153" s="72" t="str">
        <f>IFERROR(__xludf.DUMMYFUNCTION("""COMPUTED_VALUE"""),"PMS")</f>
        <v>PMS</v>
      </c>
      <c r="J153" s="72" t="str">
        <f>IFERROR(__xludf.DUMMYFUNCTION("""COMPUTED_VALUE"""),"PMS")</f>
        <v>PMS</v>
      </c>
      <c r="K153" s="72" t="str">
        <f>IFERROR(__xludf.DUMMYFUNCTION("""COMPUTED_VALUE"""),"FIRST PMS: SELF PMS")</f>
        <v>FIRST PMS: SELF PMS</v>
      </c>
      <c r="L153" s="72" t="str">
        <f>IFERROR(__xludf.DUMMYFUNCTION("""COMPUTED_VALUE"""),"SELF PMS: FB: RONALD LUTAP: AGREEMENT SENT")</f>
        <v>SELF PMS: FB: RONALD LUTAP: AGREEMENT SENT</v>
      </c>
      <c r="M153" s="2"/>
      <c r="N153" s="2"/>
      <c r="O153" s="2" t="str">
        <f>IFERROR(__xludf.DUMMYFUNCTION("""COMPUTED_VALUE"""),"N/A")</f>
        <v>N/A</v>
      </c>
      <c r="P153" s="2"/>
      <c r="Q153" s="2"/>
      <c r="R153" s="74">
        <f>IFERROR(__xludf.DUMMYFUNCTION("""COMPUTED_VALUE"""),45436.0)</f>
        <v>45436</v>
      </c>
      <c r="S153" s="2" t="str">
        <f>IFERROR(__xludf.DUMMYFUNCTION("""COMPUTED_VALUE"""),"MYKEE")</f>
        <v>MYKEE</v>
      </c>
      <c r="T153" s="73" t="str">
        <f>IFERROR(__xludf.DUMMYFUNCTION("""COMPUTED_VALUE""")," N/A ")</f>
        <v>N/A</v>
      </c>
      <c r="U153" s="73" t="str">
        <f>IFERROR(__xludf.DUMMYFUNCTION("""COMPUTED_VALUE""")," NO CHARGE ")</f>
        <v>NO CHARGE</v>
      </c>
      <c r="V153" s="2"/>
      <c r="W153" s="2" t="str">
        <f>IFERROR(__xludf.DUMMYFUNCTION("""COMPUTED_VALUE"""),"N/A")</f>
        <v>N/A</v>
      </c>
      <c r="X153" s="2" t="str">
        <f>IFERROR(__xludf.DUMMYFUNCTION("""COMPUTED_VALUE"""),"N/A")</f>
        <v>N/A</v>
      </c>
      <c r="Y153" s="2" t="str">
        <f>IFERROR(__xludf.DUMMYFUNCTION("""COMPUTED_VALUE"""),"BMD")</f>
        <v>BMD</v>
      </c>
      <c r="Z153" s="2"/>
      <c r="AA153" s="2"/>
      <c r="AB153" s="2"/>
      <c r="AC153" s="2"/>
      <c r="AD153" s="2"/>
      <c r="AE153" s="2"/>
      <c r="AF153" s="2"/>
      <c r="AG153" s="2"/>
      <c r="AH153" s="2"/>
      <c r="AI153" s="2"/>
      <c r="AJ153" s="2" t="str">
        <f>IFERROR(__xludf.DUMMYFUNCTION("""COMPUTED_VALUE"""),"Cabagoan")</f>
        <v>Cabagoan</v>
      </c>
      <c r="AK153" s="2" t="str">
        <f>IFERROR(__xludf.DUMMYFUNCTION("""COMPUTED_VALUE"""),"Paoay")</f>
        <v>Paoay</v>
      </c>
      <c r="AL153" s="2" t="str">
        <f>IFERROR(__xludf.DUMMYFUNCTION("""COMPUTED_VALUE"""),"Ilocos Norte")</f>
        <v>Ilocos Norte</v>
      </c>
      <c r="AM153" s="2">
        <f>IFERROR(__xludf.DUMMYFUNCTION("""COMPUTED_VALUE"""),1.0)</f>
        <v>1</v>
      </c>
      <c r="AN153" s="2" t="str">
        <f>IFERROR(__xludf.DUMMYFUNCTION("""COMPUTED_VALUE"""),"RCEF 23-09-21 Rebidding")</f>
        <v>RCEF 23-09-21 Rebidding</v>
      </c>
      <c r="AO153" s="2">
        <f>IFERROR(__xludf.DUMMYFUNCTION("""COMPUTED_VALUE"""),2.0)</f>
        <v>2</v>
      </c>
      <c r="AP153" s="2"/>
      <c r="AQ153" s="2"/>
      <c r="AR153" s="2"/>
      <c r="AS153" s="2"/>
      <c r="AT153" s="2"/>
      <c r="AU153" s="2"/>
      <c r="AV153" s="2"/>
      <c r="AW153" s="2"/>
      <c r="AX153" s="2"/>
      <c r="AY153" s="2"/>
      <c r="AZ153" s="2"/>
      <c r="BA153" s="2"/>
      <c r="BB153" s="2"/>
    </row>
    <row r="154">
      <c r="A154" s="2">
        <f>IFERROR(__xludf.DUMMYFUNCTION("""COMPUTED_VALUE"""),150.0)</f>
        <v>150</v>
      </c>
      <c r="B154" s="2" t="str">
        <f>IFERROR(__xludf.DUMMYFUNCTION("""COMPUTED_VALUE"""),"COMPLETED")</f>
        <v>COMPLETED</v>
      </c>
      <c r="C154" s="74">
        <f>IFERROR(__xludf.DUMMYFUNCTION("""COMPUTED_VALUE"""),45436.0)</f>
        <v>45436</v>
      </c>
      <c r="D154" s="71" t="str">
        <f>IFERROR(__xludf.DUMMYFUNCTION("""COMPUTED_VALUE"""),"TAGA SAN MARCOS IRRIGATORS' ASSOCIATION, INC.")</f>
        <v>TAGA SAN MARCOS IRRIGATORS' ASSOCIATION, INC.</v>
      </c>
      <c r="E154" s="71" t="str">
        <f>IFERROR(__xludf.DUMMYFUNCTION("""COMPUTED_VALUE"""),"San Marcos, Cabarroguis, QUIRINO")</f>
        <v>San Marcos, Cabarroguis, QUIRINO</v>
      </c>
      <c r="F154" s="2"/>
      <c r="G154" s="2">
        <f>IFERROR(__xludf.DUMMYFUNCTION("""COMPUTED_VALUE"""),9.537041256E9)</f>
        <v>9537041256</v>
      </c>
      <c r="H154" s="2">
        <f>IFERROR(__xludf.DUMMYFUNCTION("""COMPUTED_VALUE"""),47.0)</f>
        <v>47</v>
      </c>
      <c r="I154" s="72" t="str">
        <f>IFERROR(__xludf.DUMMYFUNCTION("""COMPUTED_VALUE"""),"PMS")</f>
        <v>PMS</v>
      </c>
      <c r="J154" s="72" t="str">
        <f>IFERROR(__xludf.DUMMYFUNCTION("""COMPUTED_VALUE"""),"PMS")</f>
        <v>PMS</v>
      </c>
      <c r="K154" s="72" t="str">
        <f>IFERROR(__xludf.DUMMYFUNCTION("""COMPUTED_VALUE"""),"FIRTS PMS AND SET THE DISC PLAW")</f>
        <v>FIRTS PMS AND SET THE DISC PLAW</v>
      </c>
      <c r="L154" s="72" t="str">
        <f>IFERROR(__xludf.DUMMYFUNCTION("""COMPUTED_VALUE"""),"CJ: NAAYOS NA PO NAMIN ANG UNIT EPERO NAAYOS NA PO NAMIN.")</f>
        <v>CJ: NAAYOS NA PO NAMIN ANG UNIT EPERO NAAYOS NA PO NAMIN.</v>
      </c>
      <c r="M154" s="2"/>
      <c r="N154" s="2"/>
      <c r="O154" s="2" t="str">
        <f>IFERROR(__xludf.DUMMYFUNCTION("""COMPUTED_VALUE"""),"N/A")</f>
        <v>N/A</v>
      </c>
      <c r="P154" s="2"/>
      <c r="Q154" s="2"/>
      <c r="R154" s="74">
        <f>IFERROR(__xludf.DUMMYFUNCTION("""COMPUTED_VALUE"""),45456.0)</f>
        <v>45456</v>
      </c>
      <c r="S154" s="2" t="str">
        <f>IFERROR(__xludf.DUMMYFUNCTION("""COMPUTED_VALUE"""),"CFG/DRM")</f>
        <v>CFG/DRM</v>
      </c>
      <c r="T154" s="73" t="str">
        <f>IFERROR(__xludf.DUMMYFUNCTION("""COMPUTED_VALUE""")," N/A ")</f>
        <v>N/A</v>
      </c>
      <c r="U154" s="73" t="str">
        <f>IFERROR(__xludf.DUMMYFUNCTION("""COMPUTED_VALUE""")," NO CHARGE ")</f>
        <v>NO CHARGE</v>
      </c>
      <c r="V154" s="2"/>
      <c r="W154" s="2" t="str">
        <f>IFERROR(__xludf.DUMMYFUNCTION("""COMPUTED_VALUE"""),"N/A")</f>
        <v>N/A</v>
      </c>
      <c r="X154" s="2" t="str">
        <f>IFERROR(__xludf.DUMMYFUNCTION("""COMPUTED_VALUE"""),"N/A")</f>
        <v>N/A</v>
      </c>
      <c r="Y154" s="2" t="str">
        <f>IFERROR(__xludf.DUMMYFUNCTION("""COMPUTED_VALUE"""),"DEXTER")</f>
        <v>DEXTER</v>
      </c>
      <c r="Z154" s="2"/>
      <c r="AA154" s="2"/>
      <c r="AB154" s="2"/>
      <c r="AC154" s="2"/>
      <c r="AD154" s="2"/>
      <c r="AE154" s="2"/>
      <c r="AF154" s="2"/>
      <c r="AG154" s="2"/>
      <c r="AH154" s="2"/>
      <c r="AI154" s="2"/>
      <c r="AJ154" s="2" t="str">
        <f>IFERROR(__xludf.DUMMYFUNCTION("""COMPUTED_VALUE"""),"San Marcos")</f>
        <v>San Marcos</v>
      </c>
      <c r="AK154" s="2" t="str">
        <f>IFERROR(__xludf.DUMMYFUNCTION("""COMPUTED_VALUE"""),"Cabarroguis")</f>
        <v>Cabarroguis</v>
      </c>
      <c r="AL154" s="2" t="str">
        <f>IFERROR(__xludf.DUMMYFUNCTION("""COMPUTED_VALUE"""),"Quirino")</f>
        <v>Quirino</v>
      </c>
      <c r="AM154" s="2">
        <f>IFERROR(__xludf.DUMMYFUNCTION("""COMPUTED_VALUE"""),2.0)</f>
        <v>2</v>
      </c>
      <c r="AN154" s="2" t="str">
        <f>IFERROR(__xludf.DUMMYFUNCTION("""COMPUTED_VALUE"""),"RCEF 23-09-21 Rebidding")</f>
        <v>RCEF 23-09-21 Rebidding</v>
      </c>
      <c r="AO154" s="2">
        <f>IFERROR(__xludf.DUMMYFUNCTION("""COMPUTED_VALUE"""),9.0)</f>
        <v>9</v>
      </c>
      <c r="AP154" s="2"/>
      <c r="AQ154" s="2"/>
      <c r="AR154" s="2"/>
      <c r="AS154" s="2"/>
      <c r="AT154" s="2"/>
      <c r="AU154" s="2"/>
      <c r="AV154" s="2"/>
      <c r="AW154" s="2"/>
      <c r="AX154" s="2"/>
      <c r="AY154" s="2"/>
      <c r="AZ154" s="2"/>
      <c r="BA154" s="2"/>
      <c r="BB154" s="2"/>
    </row>
    <row r="155">
      <c r="A155" s="2">
        <f>IFERROR(__xludf.DUMMYFUNCTION("""COMPUTED_VALUE"""),151.0)</f>
        <v>151</v>
      </c>
      <c r="B155" s="2" t="str">
        <f>IFERROR(__xludf.DUMMYFUNCTION("""COMPUTED_VALUE"""),"COMPLETED")</f>
        <v>COMPLETED</v>
      </c>
      <c r="C155" s="74">
        <f>IFERROR(__xludf.DUMMYFUNCTION("""COMPUTED_VALUE"""),45436.0)</f>
        <v>45436</v>
      </c>
      <c r="D155" s="71" t="str">
        <f>IFERROR(__xludf.DUMMYFUNCTION("""COMPUTED_VALUE"""),"LIOZON FISHERFOLKS AND FARMERS' ASSOCIATION")</f>
        <v>LIOZON FISHERFOLKS AND FARMERS' ASSOCIATION</v>
      </c>
      <c r="E155" s="71" t="str">
        <f>IFERROR(__xludf.DUMMYFUNCTION("""COMPUTED_VALUE"""),"Liozon, Palauig, ZAMBALES")</f>
        <v>Liozon, Palauig, ZAMBALES</v>
      </c>
      <c r="F155" s="2"/>
      <c r="G155" s="2">
        <f>IFERROR(__xludf.DUMMYFUNCTION("""COMPUTED_VALUE"""),9.502454865E9)</f>
        <v>9502454865</v>
      </c>
      <c r="H155" s="2"/>
      <c r="I155" s="72" t="str">
        <f>IFERROR(__xludf.DUMMYFUNCTION("""COMPUTED_VALUE"""),"SPARE PARTS ACQUISITION")</f>
        <v>SPARE PARTS ACQUISITION</v>
      </c>
      <c r="J155" s="72" t="str">
        <f>IFERROR(__xludf.DUMMYFUNCTION("""COMPUTED_VALUE"""),"SPARE PARTS ACQUISITION")</f>
        <v>SPARE PARTS ACQUISITION</v>
      </c>
      <c r="K155" s="72" t="str">
        <f>IFERROR(__xludf.DUMMYFUNCTION("""COMPUTED_VALUE"""),"1 OIL FILTER")</f>
        <v>1 OIL FILTER</v>
      </c>
      <c r="L155" s="72" t="str">
        <f>IFERROR(__xludf.DUMMYFUNCTION("""COMPUTED_VALUE"""),"DELIVERED 1 OIL FILTER")</f>
        <v>DELIVERED 1 OIL FILTER</v>
      </c>
      <c r="M155" s="2"/>
      <c r="N155" s="2" t="str">
        <f>IFERROR(__xludf.DUMMYFUNCTION("""COMPUTED_VALUE"""),"OIL FILTER")</f>
        <v>OIL FILTER</v>
      </c>
      <c r="O155" s="2" t="str">
        <f>IFERROR(__xludf.DUMMYFUNCTION("""COMPUTED_VALUE"""),"N/A")</f>
        <v>N/A</v>
      </c>
      <c r="P155" s="2"/>
      <c r="Q155" s="2"/>
      <c r="R155" s="74">
        <f>IFERROR(__xludf.DUMMYFUNCTION("""COMPUTED_VALUE"""),45446.0)</f>
        <v>45446</v>
      </c>
      <c r="S155" s="2" t="str">
        <f>IFERROR(__xludf.DUMMYFUNCTION("""COMPUTED_VALUE"""),"JTT/JIE/JC")</f>
        <v>JTT/JIE/JC</v>
      </c>
      <c r="T155" s="73">
        <f>IFERROR(__xludf.DUMMYFUNCTION("""COMPUTED_VALUE"""),2837.5)</f>
        <v>2837.5</v>
      </c>
      <c r="U155" s="73" t="str">
        <f>IFERROR(__xludf.DUMMYFUNCTION("""COMPUTED_VALUE""")," NO CHARGE ")</f>
        <v>NO CHARGE</v>
      </c>
      <c r="V155" s="2"/>
      <c r="W155" s="2" t="str">
        <f>IFERROR(__xludf.DUMMYFUNCTION("""COMPUTED_VALUE"""),"N/A")</f>
        <v>N/A</v>
      </c>
      <c r="X155" s="2" t="str">
        <f>IFERROR(__xludf.DUMMYFUNCTION("""COMPUTED_VALUE"""),"N/A")</f>
        <v>N/A</v>
      </c>
      <c r="Y155" s="2" t="str">
        <f>IFERROR(__xludf.DUMMYFUNCTION("""COMPUTED_VALUE"""),"JTT / MYKEE")</f>
        <v>JTT / MYKEE</v>
      </c>
      <c r="Z155" s="2"/>
      <c r="AA155" s="2"/>
      <c r="AB155" s="2"/>
      <c r="AC155" s="2"/>
      <c r="AD155" s="2"/>
      <c r="AE155" s="2"/>
      <c r="AF155" s="2"/>
      <c r="AG155" s="2"/>
      <c r="AH155" s="2"/>
      <c r="AI155" s="2"/>
      <c r="AJ155" s="2" t="str">
        <f>IFERROR(__xludf.DUMMYFUNCTION("""COMPUTED_VALUE"""),"Liozon")</f>
        <v>Liozon</v>
      </c>
      <c r="AK155" s="2" t="str">
        <f>IFERROR(__xludf.DUMMYFUNCTION("""COMPUTED_VALUE"""),"Palauig")</f>
        <v>Palauig</v>
      </c>
      <c r="AL155" s="2" t="str">
        <f>IFERROR(__xludf.DUMMYFUNCTION("""COMPUTED_VALUE"""),"Zambales")</f>
        <v>Zambales</v>
      </c>
      <c r="AM155" s="2">
        <f>IFERROR(__xludf.DUMMYFUNCTION("""COMPUTED_VALUE"""),3.0)</f>
        <v>3</v>
      </c>
      <c r="AN155" s="2" t="str">
        <f>IFERROR(__xludf.DUMMYFUNCTION("""COMPUTED_VALUE"""),"RCEF 23-09-21 Rebidding")</f>
        <v>RCEF 23-09-21 Rebidding</v>
      </c>
      <c r="AO155" s="2">
        <f>IFERROR(__xludf.DUMMYFUNCTION("""COMPUTED_VALUE"""),3.0)</f>
        <v>3</v>
      </c>
      <c r="AP155" s="2"/>
      <c r="AQ155" s="2"/>
      <c r="AR155" s="2"/>
      <c r="AS155" s="2"/>
      <c r="AT155" s="2"/>
      <c r="AU155" s="2"/>
      <c r="AV155" s="2"/>
      <c r="AW155" s="2"/>
      <c r="AX155" s="2"/>
      <c r="AY155" s="2"/>
      <c r="AZ155" s="2"/>
      <c r="BA155" s="2"/>
      <c r="BB155" s="2"/>
    </row>
    <row r="156">
      <c r="A156" s="2">
        <f>IFERROR(__xludf.DUMMYFUNCTION("""COMPUTED_VALUE"""),152.0)</f>
        <v>152</v>
      </c>
      <c r="B156" s="2" t="str">
        <f>IFERROR(__xludf.DUMMYFUNCTION("""COMPUTED_VALUE"""),"COMPLETED")</f>
        <v>COMPLETED</v>
      </c>
      <c r="C156" s="74">
        <f>IFERROR(__xludf.DUMMYFUNCTION("""COMPUTED_VALUE"""),45436.0)</f>
        <v>45436</v>
      </c>
      <c r="D156" s="71" t="str">
        <f>IFERROR(__xludf.DUMMYFUNCTION("""COMPUTED_VALUE"""),"One Binyayan Farmers Agriculture Cooperative")</f>
        <v>One Binyayan Farmers Agriculture Cooperative</v>
      </c>
      <c r="E156" s="71" t="str">
        <f>IFERROR(__xludf.DUMMYFUNCTION("""COMPUTED_VALUE"""),"O'Donnell, Capas, TARLAC")</f>
        <v>O'Donnell, Capas, TARLAC</v>
      </c>
      <c r="F156" s="2" t="str">
        <f>IFERROR(__xludf.DUMMYFUNCTION("""COMPUTED_VALUE"""),"AURELIA VISTAN")</f>
        <v>AURELIA VISTAN</v>
      </c>
      <c r="G156" s="2" t="str">
        <f>IFERROR(__xludf.DUMMYFUNCTION("""COMPUTED_VALUE"""),"9384098183   /  09616947973")</f>
        <v>9384098183   /  09616947973</v>
      </c>
      <c r="H156" s="2"/>
      <c r="I156" s="72" t="str">
        <f>IFERROR(__xludf.DUMMYFUNCTION("""COMPUTED_VALUE"""),"REPAIR - TRACTOR")</f>
        <v>REPAIR - TRACTOR</v>
      </c>
      <c r="J156" s="72" t="str">
        <f>IFERROR(__xludf.DUMMYFUNCTION("""COMPUTED_VALUE"""),"CHECK UP UNIT")</f>
        <v>CHECK UP UNIT</v>
      </c>
      <c r="K156" s="72" t="str">
        <f>IFERROR(__xludf.DUMMYFUNCTION("""COMPUTED_VALUE"""),"ENGINE OVERHEAT AND PTO SENSOR TROUBLE")</f>
        <v>ENGINE OVERHEAT AND PTO SENSOR TROUBLE</v>
      </c>
      <c r="L156" s="72" t="str">
        <f>IFERROR(__xludf.DUMMYFUNCTION("""COMPUTED_VALUE"""),"JTT VIA CALL: PINALINIS AND SENSOR AT PINATANGAL ANG THERMOSTAT,  OPERATIONAL.")</f>
        <v>JTT VIA CALL: PINALINIS AND SENSOR AT PINATANGAL ANG THERMOSTAT,  OPERATIONAL.</v>
      </c>
      <c r="M156" s="2"/>
      <c r="N156" s="2"/>
      <c r="O156" s="2" t="str">
        <f>IFERROR(__xludf.DUMMYFUNCTION("""COMPUTED_VALUE"""),"N/A")</f>
        <v>N/A</v>
      </c>
      <c r="P156" s="2"/>
      <c r="Q156" s="2"/>
      <c r="R156" s="74">
        <f>IFERROR(__xludf.DUMMYFUNCTION("""COMPUTED_VALUE"""),45446.0)</f>
        <v>45446</v>
      </c>
      <c r="S156" s="2" t="str">
        <f>IFERROR(__xludf.DUMMYFUNCTION("""COMPUTED_VALUE"""),"JTT")</f>
        <v>JTT</v>
      </c>
      <c r="T156" s="73" t="str">
        <f>IFERROR(__xludf.DUMMYFUNCTION("""COMPUTED_VALUE""")," N/A ")</f>
        <v>N/A</v>
      </c>
      <c r="U156" s="73" t="str">
        <f>IFERROR(__xludf.DUMMYFUNCTION("""COMPUTED_VALUE""")," NO CHARGE ")</f>
        <v>NO CHARGE</v>
      </c>
      <c r="V156" s="2"/>
      <c r="W156" s="2" t="str">
        <f>IFERROR(__xludf.DUMMYFUNCTION("""COMPUTED_VALUE"""),"N/A")</f>
        <v>N/A</v>
      </c>
      <c r="X156" s="2" t="str">
        <f>IFERROR(__xludf.DUMMYFUNCTION("""COMPUTED_VALUE"""),"N/A")</f>
        <v>N/A</v>
      </c>
      <c r="Y156" s="2" t="str">
        <f>IFERROR(__xludf.DUMMYFUNCTION("""COMPUTED_VALUE"""),"BMD")</f>
        <v>BMD</v>
      </c>
      <c r="Z156" s="2"/>
      <c r="AA156" s="2"/>
      <c r="AB156" s="2"/>
      <c r="AC156" s="2"/>
      <c r="AD156" s="2"/>
      <c r="AE156" s="2"/>
      <c r="AF156" s="2"/>
      <c r="AG156" s="2"/>
      <c r="AH156" s="2"/>
      <c r="AI156" s="2"/>
      <c r="AJ156" s="2" t="str">
        <f>IFERROR(__xludf.DUMMYFUNCTION("""COMPUTED_VALUE"""),"O'Donnell")</f>
        <v>O'Donnell</v>
      </c>
      <c r="AK156" s="2" t="str">
        <f>IFERROR(__xludf.DUMMYFUNCTION("""COMPUTED_VALUE"""),"Capas")</f>
        <v>Capas</v>
      </c>
      <c r="AL156" s="2" t="str">
        <f>IFERROR(__xludf.DUMMYFUNCTION("""COMPUTED_VALUE"""),"Tarlac")</f>
        <v>Tarlac</v>
      </c>
      <c r="AM156" s="2">
        <f>IFERROR(__xludf.DUMMYFUNCTION("""COMPUTED_VALUE"""),3.0)</f>
        <v>3</v>
      </c>
      <c r="AN156" s="2" t="str">
        <f>IFERROR(__xludf.DUMMYFUNCTION("""COMPUTED_VALUE"""),"RCEF 23-09-21 Rebidding")</f>
        <v>RCEF 23-09-21 Rebidding</v>
      </c>
      <c r="AO156" s="2">
        <f>IFERROR(__xludf.DUMMYFUNCTION("""COMPUTED_VALUE"""),3.0)</f>
        <v>3</v>
      </c>
      <c r="AP156" s="2"/>
      <c r="AQ156" s="2"/>
      <c r="AR156" s="2"/>
      <c r="AS156" s="2"/>
      <c r="AT156" s="2"/>
      <c r="AU156" s="2"/>
      <c r="AV156" s="2"/>
      <c r="AW156" s="2"/>
      <c r="AX156" s="2"/>
      <c r="AY156" s="2"/>
      <c r="AZ156" s="2"/>
      <c r="BA156" s="2"/>
      <c r="BB156" s="2"/>
    </row>
    <row r="157">
      <c r="A157" s="2">
        <f>IFERROR(__xludf.DUMMYFUNCTION("""COMPUTED_VALUE"""),153.0)</f>
        <v>153</v>
      </c>
      <c r="B157" s="2" t="str">
        <f>IFERROR(__xludf.DUMMYFUNCTION("""COMPUTED_VALUE"""),"COMPLETED")</f>
        <v>COMPLETED</v>
      </c>
      <c r="C157" s="74">
        <f>IFERROR(__xludf.DUMMYFUNCTION("""COMPUTED_VALUE"""),45436.0)</f>
        <v>45436</v>
      </c>
      <c r="D157" s="71" t="str">
        <f>IFERROR(__xludf.DUMMYFUNCTION("""COMPUTED_VALUE"""),"STA. CATALINA MATANDA-BUBULONG MALAKI IRRIGATORS ASSOCIATION INC.")</f>
        <v>STA. CATALINA MATANDA-BUBULONG MALAKI IRRIGATORS ASSOCIATION INC.</v>
      </c>
      <c r="E157" s="71" t="str">
        <f>IFERROR(__xludf.DUMMYFUNCTION("""COMPUTED_VALUE"""),"Sta. Catalina, San Ildefonso, BULACAN")</f>
        <v>Sta. Catalina, San Ildefonso, BULACAN</v>
      </c>
      <c r="F157" s="2" t="str">
        <f>IFERROR(__xludf.DUMMYFUNCTION("""COMPUTED_VALUE"""),"RODRIGO VILLACORTA")</f>
        <v>RODRIGO VILLACORTA</v>
      </c>
      <c r="G157" s="2">
        <f>IFERROR(__xludf.DUMMYFUNCTION("""COMPUTED_VALUE"""),9.357281256E9)</f>
        <v>9357281256</v>
      </c>
      <c r="H157" s="2"/>
      <c r="I157" s="72" t="str">
        <f>IFERROR(__xludf.DUMMYFUNCTION("""COMPUTED_VALUE"""),"REPAIR - TRACTOR")</f>
        <v>REPAIR - TRACTOR</v>
      </c>
      <c r="J157" s="72" t="str">
        <f>IFERROR(__xludf.DUMMYFUNCTION("""COMPUTED_VALUE"""),"CHECK UP UNIT")</f>
        <v>CHECK UP UNIT</v>
      </c>
      <c r="K157" s="72" t="str">
        <f>IFERROR(__xludf.DUMMYFUNCTION("""COMPUTED_VALUE"""),"AYAW UMANDAR NG UNIT HINDI MABUKSAN ANG HOOD NASA  BUKID YUNG UNIT")</f>
        <v>AYAW UMANDAR NG UNIT HINDI MABUKSAN ANG HOOD NASA  BUKID YUNG UNIT</v>
      </c>
      <c r="L157" s="72" t="str">
        <f>IFERROR(__xludf.DUMMYFUNCTION("""COMPUTED_VALUE"""),"VIA CALL:  PINA CHECK ANG BATTERY TERMINAL NAKITANG MALUWAG YUNG NEGATIVE BATTERY TERMINAL, PINAHIKPITAN KO. OPERATIONAL NA.")</f>
        <v>VIA CALL:  PINA CHECK ANG BATTERY TERMINAL NAKITANG MALUWAG YUNG NEGATIVE BATTERY TERMINAL, PINAHIKPITAN KO. OPERATIONAL NA.</v>
      </c>
      <c r="M157" s="2"/>
      <c r="N157" s="2"/>
      <c r="O157" s="2" t="str">
        <f>IFERROR(__xludf.DUMMYFUNCTION("""COMPUTED_VALUE"""),"N/A")</f>
        <v>N/A</v>
      </c>
      <c r="P157" s="2"/>
      <c r="Q157" s="2"/>
      <c r="R157" s="74">
        <f>IFERROR(__xludf.DUMMYFUNCTION("""COMPUTED_VALUE"""),45447.0)</f>
        <v>45447</v>
      </c>
      <c r="S157" s="2" t="str">
        <f>IFERROR(__xludf.DUMMYFUNCTION("""COMPUTED_VALUE"""),"EGT")</f>
        <v>EGT</v>
      </c>
      <c r="T157" s="73" t="str">
        <f>IFERROR(__xludf.DUMMYFUNCTION("""COMPUTED_VALUE""")," N/A ")</f>
        <v>N/A</v>
      </c>
      <c r="U157" s="73" t="str">
        <f>IFERROR(__xludf.DUMMYFUNCTION("""COMPUTED_VALUE""")," NO CHARGE ")</f>
        <v>NO CHARGE</v>
      </c>
      <c r="V157" s="2"/>
      <c r="W157" s="2" t="str">
        <f>IFERROR(__xludf.DUMMYFUNCTION("""COMPUTED_VALUE"""),"N/A")</f>
        <v>N/A</v>
      </c>
      <c r="X157" s="2" t="str">
        <f>IFERROR(__xludf.DUMMYFUNCTION("""COMPUTED_VALUE"""),"N/A")</f>
        <v>N/A</v>
      </c>
      <c r="Y157" s="2" t="str">
        <f>IFERROR(__xludf.DUMMYFUNCTION("""COMPUTED_VALUE"""),"JHP")</f>
        <v>JHP</v>
      </c>
      <c r="Z157" s="2"/>
      <c r="AA157" s="2"/>
      <c r="AB157" s="2"/>
      <c r="AC157" s="2"/>
      <c r="AD157" s="2"/>
      <c r="AE157" s="2"/>
      <c r="AF157" s="2"/>
      <c r="AG157" s="2"/>
      <c r="AH157" s="2"/>
      <c r="AI157" s="2"/>
      <c r="AJ157" s="2" t="str">
        <f>IFERROR(__xludf.DUMMYFUNCTION("""COMPUTED_VALUE"""),"Sta. Catalina")</f>
        <v>Sta. Catalina</v>
      </c>
      <c r="AK157" s="2" t="str">
        <f>IFERROR(__xludf.DUMMYFUNCTION("""COMPUTED_VALUE"""),"San Ildefonso")</f>
        <v>San Ildefonso</v>
      </c>
      <c r="AL157" s="2" t="str">
        <f>IFERROR(__xludf.DUMMYFUNCTION("""COMPUTED_VALUE"""),"Bulacan")</f>
        <v>Bulacan</v>
      </c>
      <c r="AM157" s="2">
        <f>IFERROR(__xludf.DUMMYFUNCTION("""COMPUTED_VALUE"""),3.0)</f>
        <v>3</v>
      </c>
      <c r="AN157" s="2" t="str">
        <f>IFERROR(__xludf.DUMMYFUNCTION("""COMPUTED_VALUE"""),"RCEF 23-09-21 Rebidding")</f>
        <v>RCEF 23-09-21 Rebidding</v>
      </c>
      <c r="AO157" s="2">
        <f>IFERROR(__xludf.DUMMYFUNCTION("""COMPUTED_VALUE"""),3.0)</f>
        <v>3</v>
      </c>
      <c r="AP157" s="2"/>
      <c r="AQ157" s="2"/>
      <c r="AR157" s="2"/>
      <c r="AS157" s="2"/>
      <c r="AT157" s="2"/>
      <c r="AU157" s="2"/>
      <c r="AV157" s="2"/>
      <c r="AW157" s="2"/>
      <c r="AX157" s="2"/>
      <c r="AY157" s="2"/>
      <c r="AZ157" s="2"/>
      <c r="BA157" s="2"/>
      <c r="BB157" s="2"/>
    </row>
    <row r="158">
      <c r="A158" s="2">
        <f>IFERROR(__xludf.DUMMYFUNCTION("""COMPUTED_VALUE"""),154.0)</f>
        <v>154</v>
      </c>
      <c r="B158" s="2" t="str">
        <f>IFERROR(__xludf.DUMMYFUNCTION("""COMPUTED_VALUE"""),"COMPLETED")</f>
        <v>COMPLETED</v>
      </c>
      <c r="C158" s="74">
        <f>IFERROR(__xludf.DUMMYFUNCTION("""COMPUTED_VALUE"""),45436.0)</f>
        <v>45436</v>
      </c>
      <c r="D158" s="71" t="str">
        <f>IFERROR(__xludf.DUMMYFUNCTION("""COMPUTED_VALUE"""),"BAGONG SAMAHAN NG MAGSASAKA NG PILA, LAGUNA, INC.")</f>
        <v>BAGONG SAMAHAN NG MAGSASAKA NG PILA, LAGUNA, INC.</v>
      </c>
      <c r="E158" s="71" t="str">
        <f>IFERROR(__xludf.DUMMYFUNCTION("""COMPUTED_VALUE"""),"STA CLARA SUR, PILA, LAGUNA")</f>
        <v>STA CLARA SUR, PILA, LAGUNA</v>
      </c>
      <c r="F158" s="2" t="str">
        <f>IFERROR(__xludf.DUMMYFUNCTION("""COMPUTED_VALUE"""),"ERNESTO NAPAO")</f>
        <v>ERNESTO NAPAO</v>
      </c>
      <c r="G158" s="2" t="str">
        <f>IFERROR(__xludf.DUMMYFUNCTION("""COMPUTED_VALUE"""),"0933 812 4621")</f>
        <v>0933 812 4621</v>
      </c>
      <c r="H158" s="2">
        <f>IFERROR(__xludf.DUMMYFUNCTION("""COMPUTED_VALUE"""),394.4)</f>
        <v>394.4</v>
      </c>
      <c r="I158" s="72" t="str">
        <f>IFERROR(__xludf.DUMMYFUNCTION("""COMPUTED_VALUE"""),"PMS")</f>
        <v>PMS</v>
      </c>
      <c r="J158" s="72" t="str">
        <f>IFERROR(__xludf.DUMMYFUNCTION("""COMPUTED_VALUE"""),"PMS")</f>
        <v>PMS</v>
      </c>
      <c r="K158" s="72" t="str">
        <f>IFERROR(__xludf.DUMMYFUNCTION("""COMPUTED_VALUE"""),"SECOND PMS")</f>
        <v>SECOND PMS</v>
      </c>
      <c r="L158" s="72" t="str">
        <f>IFERROR(__xludf.DUMMYFUNCTION("""COMPUTED_VALUE"""),"JTT: OK NADAW ANG UNIT 
EXCEPT ENGINE OVERHAUL WE PMS THE UNIT FOR FREE")</f>
        <v>JTT: OK NADAW ANG UNIT 
EXCEPT ENGINE OVERHAUL WE PMS THE UNIT FOR FREE</v>
      </c>
      <c r="M158" s="2"/>
      <c r="N158" s="2"/>
      <c r="O158" s="2" t="str">
        <f>IFERROR(__xludf.DUMMYFUNCTION("""COMPUTED_VALUE"""),"NEED SERVICE REPORT")</f>
        <v>NEED SERVICE REPORT</v>
      </c>
      <c r="P158" s="2"/>
      <c r="Q158" s="2"/>
      <c r="R158" s="74">
        <f>IFERROR(__xludf.DUMMYFUNCTION("""COMPUTED_VALUE"""),45779.0)</f>
        <v>45779</v>
      </c>
      <c r="S158" s="2" t="str">
        <f>IFERROR(__xludf.DUMMYFUNCTION("""COMPUTED_VALUE"""),"JTT")</f>
        <v>JTT</v>
      </c>
      <c r="T158" s="73" t="str">
        <f>IFERROR(__xludf.DUMMYFUNCTION("""COMPUTED_VALUE""")," N/A ")</f>
        <v>N/A</v>
      </c>
      <c r="U158" s="73" t="str">
        <f>IFERROR(__xludf.DUMMYFUNCTION("""COMPUTED_VALUE""")," NO CHARGE ")</f>
        <v>NO CHARGE</v>
      </c>
      <c r="V158" s="2"/>
      <c r="W158" s="2" t="str">
        <f>IFERROR(__xludf.DUMMYFUNCTION("""COMPUTED_VALUE"""),"N/A")</f>
        <v>N/A</v>
      </c>
      <c r="X158" s="2" t="str">
        <f>IFERROR(__xludf.DUMMYFUNCTION("""COMPUTED_VALUE"""),"N/A")</f>
        <v>N/A</v>
      </c>
      <c r="Y158" s="2"/>
      <c r="Z158" s="2"/>
      <c r="AA158" s="2"/>
      <c r="AB158" s="2"/>
      <c r="AC158" s="2"/>
      <c r="AD158" s="2"/>
      <c r="AE158" s="2"/>
      <c r="AF158" s="2"/>
      <c r="AG158" s="2"/>
      <c r="AH158" s="2"/>
      <c r="AI158" s="2"/>
      <c r="AJ158" s="2" t="str">
        <f>IFERROR(__xludf.DUMMYFUNCTION("""COMPUTED_VALUE"""),"Sta Clara Sur")</f>
        <v>Sta Clara Sur</v>
      </c>
      <c r="AK158" s="2" t="str">
        <f>IFERROR(__xludf.DUMMYFUNCTION("""COMPUTED_VALUE"""),"Pila")</f>
        <v>Pila</v>
      </c>
      <c r="AL158" s="2" t="str">
        <f>IFERROR(__xludf.DUMMYFUNCTION("""COMPUTED_VALUE"""),"Laguna")</f>
        <v>Laguna</v>
      </c>
      <c r="AM158" s="2" t="str">
        <f>IFERROR(__xludf.DUMMYFUNCTION("""COMPUTED_VALUE"""),"4A")</f>
        <v>4A</v>
      </c>
      <c r="AN158" s="2" t="str">
        <f>IFERROR(__xludf.DUMMYFUNCTION("""COMPUTED_VALUE"""),"RCEF 23-08-20 Rebidding")</f>
        <v>RCEF 23-08-20 Rebidding</v>
      </c>
      <c r="AO158" s="2">
        <f>IFERROR(__xludf.DUMMYFUNCTION("""COMPUTED_VALUE"""),1.0)</f>
        <v>1</v>
      </c>
      <c r="AP158" s="2"/>
      <c r="AQ158" s="2"/>
      <c r="AR158" s="2"/>
      <c r="AS158" s="2"/>
      <c r="AT158" s="2"/>
      <c r="AU158" s="2"/>
      <c r="AV158" s="2"/>
      <c r="AW158" s="2"/>
      <c r="AX158" s="2"/>
      <c r="AY158" s="2"/>
      <c r="AZ158" s="2"/>
      <c r="BA158" s="2"/>
      <c r="BB158" s="2"/>
    </row>
    <row r="159">
      <c r="A159" s="2">
        <f>IFERROR(__xludf.DUMMYFUNCTION("""COMPUTED_VALUE"""),155.0)</f>
        <v>155</v>
      </c>
      <c r="B159" s="2" t="str">
        <f>IFERROR(__xludf.DUMMYFUNCTION("""COMPUTED_VALUE"""),"COMPLETED")</f>
        <v>COMPLETED</v>
      </c>
      <c r="C159" s="74">
        <f>IFERROR(__xludf.DUMMYFUNCTION("""COMPUTED_VALUE"""),45436.0)</f>
        <v>45436</v>
      </c>
      <c r="D159" s="71" t="str">
        <f>IFERROR(__xludf.DUMMYFUNCTION("""COMPUTED_VALUE"""),"ZANJERA DAGOC-STO. TOMAS FARMERS ASSOCIATION, INC.")</f>
        <v>ZANJERA DAGOC-STO. TOMAS FARMERS ASSOCIATION, INC.</v>
      </c>
      <c r="E159" s="71" t="str">
        <f>IFERROR(__xludf.DUMMYFUNCTION("""COMPUTED_VALUE"""),"Santo Tomas, Claveria, CAGAYAN")</f>
        <v>Santo Tomas, Claveria, CAGAYAN</v>
      </c>
      <c r="F159" s="2" t="str">
        <f>IFERROR(__xludf.DUMMYFUNCTION("""COMPUTED_VALUE"""),"JOSEPH ASUNCION")</f>
        <v>JOSEPH ASUNCION</v>
      </c>
      <c r="G159" s="2">
        <f>IFERROR(__xludf.DUMMYFUNCTION("""COMPUTED_VALUE"""),9.286190609E9)</f>
        <v>9286190609</v>
      </c>
      <c r="H159" s="2">
        <f>IFERROR(__xludf.DUMMYFUNCTION("""COMPUTED_VALUE"""),70.0)</f>
        <v>70</v>
      </c>
      <c r="I159" s="72" t="str">
        <f>IFERROR(__xludf.DUMMYFUNCTION("""COMPUTED_VALUE"""),"REPAIR - TRACTOR")</f>
        <v>REPAIR - TRACTOR</v>
      </c>
      <c r="J159" s="72" t="str">
        <f>IFERROR(__xludf.DUMMYFUNCTION("""COMPUTED_VALUE"""),"Electrical - PTO Switch")</f>
        <v>Electrical - PTO Switch</v>
      </c>
      <c r="K159" s="72" t="str">
        <f>IFERROR(__xludf.DUMMYFUNCTION("""COMPUTED_VALUE"""),"AYAW UMIKOT NG ROTAVATOR 
 DRM:6/24/24: FOR ASSESMENT YUNG UNIT
CFG: 7/3/24: NAKAUSAP DAW PO ITO NI DEXTER, PAHINTOHINTO DAW PO ANG ROTAVATOR, POSIBLENG PTO SWITCH ANG SIRA, YUN DIN PO ANG ALAM KO PTO SWITCH OR SENSOR PO NG ROTAVATOR.")</f>
        <v>AYAW UMIKOT NG ROTAVATOR 
 DRM:6/24/24: FOR ASSESMENT YUNG UNIT
CFG: 7/3/24: NAKAUSAP DAW PO ITO NI DEXTER, PAHINTOHINTO DAW PO ANG ROTAVATOR, POSIBLENG PTO SWITCH ANG SIRA, YUN DIN PO ANG ALAM KO PTO SWITCH OR SENSOR PO NG ROTAVATOR.</v>
      </c>
      <c r="L159" s="72" t="str">
        <f>IFERROR(__xludf.DUMMYFUNCTION("""COMPUTED_VALUE"""),"DSD: BINAKLAS PO NAMIN YUNG SHIFTING LEVER AT NILIHA PO NAMIN, OKAY NA PO AT YUNG  SA PTO SWITCH PO PINALITAN PO NAMIN NG TOGGLE SWITCH ,OK NA PO ANG UNIT.")</f>
        <v>DSD: BINAKLAS PO NAMIN YUNG SHIFTING LEVER AT NILIHA PO NAMIN, OKAY NA PO AT YUNG  SA PTO SWITCH PO PINALITAN PO NAMIN NG TOGGLE SWITCH ,OK NA PO ANG UNIT.</v>
      </c>
      <c r="M159" s="2"/>
      <c r="N159" s="2" t="str">
        <f>IFERROR(__xludf.DUMMYFUNCTION("""COMPUTED_VALUE"""),"TOGGLE SWITCH (OUTSOURCE)")</f>
        <v>TOGGLE SWITCH (OUTSOURCE)</v>
      </c>
      <c r="O159" s="2" t="str">
        <f>IFERROR(__xludf.DUMMYFUNCTION("""COMPUTED_VALUE"""),"JIE-842")</f>
        <v>JIE-842</v>
      </c>
      <c r="P159" s="2"/>
      <c r="Q159" s="2"/>
      <c r="R159" s="74">
        <f>IFERROR(__xludf.DUMMYFUNCTION("""COMPUTED_VALUE"""),45484.0)</f>
        <v>45484</v>
      </c>
      <c r="S159" s="2" t="str">
        <f>IFERROR(__xludf.DUMMYFUNCTION("""COMPUTED_VALUE"""),"DSD/CFG/MYKEE")</f>
        <v>DSD/CFG/MYKEE</v>
      </c>
      <c r="T159" s="73">
        <f>IFERROR(__xludf.DUMMYFUNCTION("""COMPUTED_VALUE"""),120.0)</f>
        <v>120</v>
      </c>
      <c r="U159" s="73" t="str">
        <f>IFERROR(__xludf.DUMMYFUNCTION("""COMPUTED_VALUE""")," REMITTED ")</f>
        <v>REMITTED</v>
      </c>
      <c r="V159" s="2"/>
      <c r="W159" s="2"/>
      <c r="X159" s="2"/>
      <c r="Y159" s="2" t="str">
        <f>IFERROR(__xludf.DUMMYFUNCTION("""COMPUTED_VALUE"""),"MYKEE")</f>
        <v>MYKEE</v>
      </c>
      <c r="Z159" s="2"/>
      <c r="AA159" s="2"/>
      <c r="AB159" s="2"/>
      <c r="AC159" s="2"/>
      <c r="AD159" s="2"/>
      <c r="AE159" s="2"/>
      <c r="AF159" s="2"/>
      <c r="AG159" s="2"/>
      <c r="AH159" s="2"/>
      <c r="AI159" s="2"/>
      <c r="AJ159" s="2" t="str">
        <f>IFERROR(__xludf.DUMMYFUNCTION("""COMPUTED_VALUE"""),"Santo Tomas")</f>
        <v>Santo Tomas</v>
      </c>
      <c r="AK159" s="2" t="str">
        <f>IFERROR(__xludf.DUMMYFUNCTION("""COMPUTED_VALUE"""),"Claveria")</f>
        <v>Claveria</v>
      </c>
      <c r="AL159" s="2" t="str">
        <f>IFERROR(__xludf.DUMMYFUNCTION("""COMPUTED_VALUE"""),"Cagayan")</f>
        <v>Cagayan</v>
      </c>
      <c r="AM159" s="2">
        <f>IFERROR(__xludf.DUMMYFUNCTION("""COMPUTED_VALUE"""),2.0)</f>
        <v>2</v>
      </c>
      <c r="AN159" s="2" t="str">
        <f>IFERROR(__xludf.DUMMYFUNCTION("""COMPUTED_VALUE"""),"RCEF 23-09-21 Rebidding")</f>
        <v>RCEF 23-09-21 Rebidding</v>
      </c>
      <c r="AO159" s="2">
        <f>IFERROR(__xludf.DUMMYFUNCTION("""COMPUTED_VALUE"""),9.0)</f>
        <v>9</v>
      </c>
      <c r="AP159" s="2"/>
      <c r="AQ159" s="2"/>
      <c r="AR159" s="2"/>
      <c r="AS159" s="2"/>
      <c r="AT159" s="2"/>
      <c r="AU159" s="2"/>
      <c r="AV159" s="2"/>
      <c r="AW159" s="2"/>
      <c r="AX159" s="2"/>
      <c r="AY159" s="2"/>
      <c r="AZ159" s="2"/>
      <c r="BA159" s="2"/>
      <c r="BB159" s="2"/>
    </row>
    <row r="160">
      <c r="A160" s="2">
        <f>IFERROR(__xludf.DUMMYFUNCTION("""COMPUTED_VALUE"""),156.0)</f>
        <v>156</v>
      </c>
      <c r="B160" s="2" t="str">
        <f>IFERROR(__xludf.DUMMYFUNCTION("""COMPUTED_VALUE"""),"COMPLETED")</f>
        <v>COMPLETED</v>
      </c>
      <c r="C160" s="74">
        <f>IFERROR(__xludf.DUMMYFUNCTION("""COMPUTED_VALUE"""),45436.0)</f>
        <v>45436</v>
      </c>
      <c r="D160" s="71" t="str">
        <f>IFERROR(__xludf.DUMMYFUNCTION("""COMPUTED_VALUE"""),"COLLADO IRRIGATORS' ASSOCIATION, INC.")</f>
        <v>COLLADO IRRIGATORS' ASSOCIATION, INC.</v>
      </c>
      <c r="E160" s="71" t="str">
        <f>IFERROR(__xludf.DUMMYFUNCTION("""COMPUTED_VALUE"""),"Collado, Talavera, NUEVA ECIJA")</f>
        <v>Collado, Talavera, NUEVA ECIJA</v>
      </c>
      <c r="F160" s="2" t="str">
        <f>IFERROR(__xludf.DUMMYFUNCTION("""COMPUTED_VALUE"""),"NOLI LANDINGIN")</f>
        <v>NOLI LANDINGIN</v>
      </c>
      <c r="G160" s="2">
        <f>IFERROR(__xludf.DUMMYFUNCTION("""COMPUTED_VALUE"""),9.927526611E9)</f>
        <v>9927526611</v>
      </c>
      <c r="H160" s="2">
        <f>IFERROR(__xludf.DUMMYFUNCTION("""COMPUTED_VALUE"""),76.4)</f>
        <v>76.4</v>
      </c>
      <c r="I160" s="72" t="str">
        <f>IFERROR(__xludf.DUMMYFUNCTION("""COMPUTED_VALUE"""),"PMS")</f>
        <v>PMS</v>
      </c>
      <c r="J160" s="72" t="str">
        <f>IFERROR(__xludf.DUMMYFUNCTION("""COMPUTED_VALUE"""),"PMS")</f>
        <v>PMS</v>
      </c>
      <c r="K160" s="72" t="str">
        <f>IFERROR(__xludf.DUMMYFUNCTION("""COMPUTED_VALUE"""),"JHP: SELF PMS")</f>
        <v>JHP: SELF PMS</v>
      </c>
      <c r="L160" s="72" t="str">
        <f>IFERROR(__xludf.DUMMYFUNCTION("""COMPUTED_VALUE"""),"OIL FILTER PAID BY FCA")</f>
        <v>OIL FILTER PAID BY FCA</v>
      </c>
      <c r="M160" s="2"/>
      <c r="N160" s="2" t="str">
        <f>IFERROR(__xludf.DUMMYFUNCTION("""COMPUTED_VALUE"""),"OIL FILTER PAID BY FCA")</f>
        <v>OIL FILTER PAID BY FCA</v>
      </c>
      <c r="O160" s="2" t="str">
        <f>IFERROR(__xludf.DUMMYFUNCTION("""COMPUTED_VALUE"""),"JIE-070")</f>
        <v>JIE-070</v>
      </c>
      <c r="P160" s="2"/>
      <c r="Q160" s="2"/>
      <c r="R160" s="74">
        <f>IFERROR(__xludf.DUMMYFUNCTION("""COMPUTED_VALUE"""),45436.0)</f>
        <v>45436</v>
      </c>
      <c r="S160" s="2" t="str">
        <f>IFERROR(__xludf.DUMMYFUNCTION("""COMPUTED_VALUE"""),"JHP")</f>
        <v>JHP</v>
      </c>
      <c r="T160" s="73">
        <f>IFERROR(__xludf.DUMMYFUNCTION("""COMPUTED_VALUE"""),2837.0)</f>
        <v>2837</v>
      </c>
      <c r="U160" s="73" t="str">
        <f>IFERROR(__xludf.DUMMYFUNCTION("""COMPUTED_VALUE""")," REMITTED ")</f>
        <v>REMITTED</v>
      </c>
      <c r="V160" s="2"/>
      <c r="W160" s="2"/>
      <c r="X160" s="2"/>
      <c r="Y160" s="2"/>
      <c r="Z160" s="2"/>
      <c r="AA160" s="2"/>
      <c r="AB160" s="2"/>
      <c r="AC160" s="2"/>
      <c r="AD160" s="2"/>
      <c r="AE160" s="2"/>
      <c r="AF160" s="2"/>
      <c r="AG160" s="2"/>
      <c r="AH160" s="2"/>
      <c r="AI160" s="2"/>
      <c r="AJ160" s="2" t="str">
        <f>IFERROR(__xludf.DUMMYFUNCTION("""COMPUTED_VALUE"""),"Collado")</f>
        <v>Collado</v>
      </c>
      <c r="AK160" s="2" t="str">
        <f>IFERROR(__xludf.DUMMYFUNCTION("""COMPUTED_VALUE"""),"Talavera")</f>
        <v>Talavera</v>
      </c>
      <c r="AL160" s="2" t="str">
        <f>IFERROR(__xludf.DUMMYFUNCTION("""COMPUTED_VALUE"""),"Nueva Ecija")</f>
        <v>Nueva Ecija</v>
      </c>
      <c r="AM160" s="2">
        <f>IFERROR(__xludf.DUMMYFUNCTION("""COMPUTED_VALUE"""),3.0)</f>
        <v>3</v>
      </c>
      <c r="AN160" s="2" t="str">
        <f>IFERROR(__xludf.DUMMYFUNCTION("""COMPUTED_VALUE"""),"RCEF 23-09-21 Rebidding")</f>
        <v>RCEF 23-09-21 Rebidding</v>
      </c>
      <c r="AO160" s="2">
        <f>IFERROR(__xludf.DUMMYFUNCTION("""COMPUTED_VALUE"""),3.0)</f>
        <v>3</v>
      </c>
      <c r="AP160" s="2"/>
      <c r="AQ160" s="2"/>
      <c r="AR160" s="2"/>
      <c r="AS160" s="2"/>
      <c r="AT160" s="2"/>
      <c r="AU160" s="2"/>
      <c r="AV160" s="2"/>
      <c r="AW160" s="2"/>
      <c r="AX160" s="2"/>
      <c r="AY160" s="2"/>
      <c r="AZ160" s="2"/>
      <c r="BA160" s="2"/>
      <c r="BB160" s="2"/>
    </row>
    <row r="161">
      <c r="A161" s="2">
        <f>IFERROR(__xludf.DUMMYFUNCTION("""COMPUTED_VALUE"""),157.0)</f>
        <v>157</v>
      </c>
      <c r="B161" s="2" t="str">
        <f>IFERROR(__xludf.DUMMYFUNCTION("""COMPUTED_VALUE"""),"COMPLETED")</f>
        <v>COMPLETED</v>
      </c>
      <c r="C161" s="74">
        <f>IFERROR(__xludf.DUMMYFUNCTION("""COMPUTED_VALUE"""),45436.0)</f>
        <v>45436</v>
      </c>
      <c r="D161" s="71" t="str">
        <f>IFERROR(__xludf.DUMMYFUNCTION("""COMPUTED_VALUE"""),"BAGONG SAMAHAN NG MAGSASAKA NG PILA, LAGUNA, INC.")</f>
        <v>BAGONG SAMAHAN NG MAGSASAKA NG PILA, LAGUNA, INC.</v>
      </c>
      <c r="E161" s="71" t="str">
        <f>IFERROR(__xludf.DUMMYFUNCTION("""COMPUTED_VALUE"""),"STA CLARA SUR, PILA, LAGUNA")</f>
        <v>STA CLARA SUR, PILA, LAGUNA</v>
      </c>
      <c r="F161" s="2" t="str">
        <f>IFERROR(__xludf.DUMMYFUNCTION("""COMPUTED_VALUE"""),"ERNESTO NAPAO")</f>
        <v>ERNESTO NAPAO</v>
      </c>
      <c r="G161" s="2" t="str">
        <f>IFERROR(__xludf.DUMMYFUNCTION("""COMPUTED_VALUE"""),"0933 812 4621")</f>
        <v>0933 812 4621</v>
      </c>
      <c r="H161" s="2">
        <f>IFERROR(__xludf.DUMMYFUNCTION("""COMPUTED_VALUE"""),394.4)</f>
        <v>394.4</v>
      </c>
      <c r="I161" s="72" t="str">
        <f>IFERROR(__xludf.DUMMYFUNCTION("""COMPUTED_VALUE"""),"REPAIR - TRACTOR")</f>
        <v>REPAIR - TRACTOR</v>
      </c>
      <c r="J161" s="72" t="str">
        <f>IFERROR(__xludf.DUMMYFUNCTION("""COMPUTED_VALUE"""),"Engine - Overhaul")</f>
        <v>Engine - Overhaul</v>
      </c>
      <c r="K161" s="72" t="str">
        <f>IFERROR(__xludf.DUMMYFUNCTION("""COMPUTED_VALUE"""),"HINDI NAG CHECK ANG OPERATOR WALA NANG COOLANT AT RADIATOR WATER, FILTER MASYADO NANG MADUMI            
5/25/24: FUEL PUMP SIRA AT TOP OVERHAUL, NEED PARTS CYLINDER HEAD GASKET AND VALVE SEAL,  FUEL PUMP         
 JTT:6/21/24: CYLEANDER HEAD
JTT: NAMAMAH"&amp;"ALAN SI FARMER SA PRICE
TYM: REPLACE WHOLE ENGINE, UNDER WARRANTY 
PARTS NEEDED: CYLINDER BLOCK, CYLINDER HEAD, CYLINDER HEAD GASKET, 8 VALVE SEAL, 4 PISTON RING, 4 PISTON")</f>
        <v>HINDI NAG CHECK ANG OPERATOR WALA NANG COOLANT AT RADIATOR WATER, FILTER MASYADO NANG MADUMI            
5/25/24: FUEL PUMP SIRA AT TOP OVERHAUL, NEED PARTS CYLINDER HEAD GASKET AND VALVE SEAL,  FUEL PUMP         
 JTT:6/21/24: CYLEANDER HEAD
JTT: NAMAMAHALAN SI FARMER SA PRICE
TYM: REPLACE WHOLE ENGINE, UNDER WARRANTY 
PARTS NEEDED: CYLINDER BLOCK, CYLINDER HEAD, CYLINDER HEAD GASKET, 8 VALVE SEAL, 4 PISTON RING, 4 PISTON</v>
      </c>
      <c r="L161" s="72" t="str">
        <f>IFERROR(__xludf.DUMMYFUNCTION("""COMPUTED_VALUE"""),"JTT: TOP OVERHAUL THE UNIT, UNIT ARE OPERATIONAL")</f>
        <v>JTT: TOP OVERHAUL THE UNIT, UNIT ARE OPERATIONAL</v>
      </c>
      <c r="M161" s="2"/>
      <c r="N161" s="2" t="str">
        <f>IFERROR(__xludf.DUMMYFUNCTION("""COMPUTED_VALUE"""),"CYLINDER HEAD ASSY
CYLINDER HEAD GASKET
DIESEL ENGINE ASSY")</f>
        <v>CYLINDER HEAD ASSY
CYLINDER HEAD GASKET
DIESEL ENGINE ASSY</v>
      </c>
      <c r="O161" s="2" t="str">
        <f>IFERROR(__xludf.DUMMYFUNCTION("""COMPUTED_VALUE"""),"NEED SERVICE REPORT")</f>
        <v>NEED SERVICE REPORT</v>
      </c>
      <c r="P161" s="2"/>
      <c r="Q161" s="2"/>
      <c r="R161" s="74">
        <f>IFERROR(__xludf.DUMMYFUNCTION("""COMPUTED_VALUE"""),45779.0)</f>
        <v>45779</v>
      </c>
      <c r="S161" s="2" t="str">
        <f>IFERROR(__xludf.DUMMYFUNCTION("""COMPUTED_VALUE"""),"JTT")</f>
        <v>JTT</v>
      </c>
      <c r="T161" s="73" t="str">
        <f>IFERROR(__xludf.DUMMYFUNCTION("""COMPUTED_VALUE""")," N/A ")</f>
        <v>N/A</v>
      </c>
      <c r="U161" s="73" t="str">
        <f>IFERROR(__xludf.DUMMYFUNCTION("""COMPUTED_VALUE""")," NO CHARGE ")</f>
        <v>NO CHARGE</v>
      </c>
      <c r="V161" s="2"/>
      <c r="W161" s="2" t="str">
        <f>IFERROR(__xludf.DUMMYFUNCTION("""COMPUTED_VALUE"""),"N/A")</f>
        <v>N/A</v>
      </c>
      <c r="X161" s="2" t="str">
        <f>IFERROR(__xludf.DUMMYFUNCTION("""COMPUTED_VALUE"""),"N/A")</f>
        <v>N/A</v>
      </c>
      <c r="Y161" s="2" t="str">
        <f>IFERROR(__xludf.DUMMYFUNCTION("""COMPUTED_VALUE"""),"NO PARTS")</f>
        <v>NO PARTS</v>
      </c>
      <c r="Z161" s="2" t="str">
        <f>IFERROR(__xludf.DUMMYFUNCTION("""COMPUTED_VALUE"""),"LEADS-EP-0006")</f>
        <v>LEADS-EP-0006</v>
      </c>
      <c r="AA161" s="2" t="str">
        <f>IFERROR(__xludf.DUMMYFUNCTION("""COMPUTED_VALUE"""),"APPROVED")</f>
        <v>APPROVED</v>
      </c>
      <c r="AB161" s="2" t="str">
        <f>IFERROR(__xludf.DUMMYFUNCTION("""COMPUTED_VALUE"""),"PARTS UNAVAILABLE")</f>
        <v>PARTS UNAVAILABLE</v>
      </c>
      <c r="AC161" s="2" t="str">
        <f>IFERROR(__xludf.DUMMYFUNCTION("""COMPUTED_VALUE"""),"Y")</f>
        <v>Y</v>
      </c>
      <c r="AD161" s="2"/>
      <c r="AE161" s="2"/>
      <c r="AF161" s="2"/>
      <c r="AG161" s="2"/>
      <c r="AH161" s="2"/>
      <c r="AI161" s="2"/>
      <c r="AJ161" s="2" t="str">
        <f>IFERROR(__xludf.DUMMYFUNCTION("""COMPUTED_VALUE"""),"Sta Clara Sur")</f>
        <v>Sta Clara Sur</v>
      </c>
      <c r="AK161" s="2" t="str">
        <f>IFERROR(__xludf.DUMMYFUNCTION("""COMPUTED_VALUE"""),"Pila")</f>
        <v>Pila</v>
      </c>
      <c r="AL161" s="2" t="str">
        <f>IFERROR(__xludf.DUMMYFUNCTION("""COMPUTED_VALUE"""),"Laguna")</f>
        <v>Laguna</v>
      </c>
      <c r="AM161" s="2" t="str">
        <f>IFERROR(__xludf.DUMMYFUNCTION("""COMPUTED_VALUE"""),"4A")</f>
        <v>4A</v>
      </c>
      <c r="AN161" s="2" t="str">
        <f>IFERROR(__xludf.DUMMYFUNCTION("""COMPUTED_VALUE"""),"RCEF 23-08-20 Rebidding")</f>
        <v>RCEF 23-08-20 Rebidding</v>
      </c>
      <c r="AO161" s="2">
        <f>IFERROR(__xludf.DUMMYFUNCTION("""COMPUTED_VALUE"""),1.0)</f>
        <v>1</v>
      </c>
      <c r="AP161" s="2"/>
      <c r="AQ161" s="2"/>
      <c r="AR161" s="2"/>
      <c r="AS161" s="2"/>
      <c r="AT161" s="2"/>
      <c r="AU161" s="2"/>
      <c r="AV161" s="2"/>
      <c r="AW161" s="2"/>
      <c r="AX161" s="2"/>
      <c r="AY161" s="2"/>
      <c r="AZ161" s="2"/>
      <c r="BA161" s="2"/>
      <c r="BB161" s="2"/>
    </row>
    <row r="162">
      <c r="A162" s="2">
        <f>IFERROR(__xludf.DUMMYFUNCTION("""COMPUTED_VALUE"""),158.0)</f>
        <v>158</v>
      </c>
      <c r="B162" s="2" t="str">
        <f>IFERROR(__xludf.DUMMYFUNCTION("""COMPUTED_VALUE"""),"COMPLETED")</f>
        <v>COMPLETED</v>
      </c>
      <c r="C162" s="74">
        <f>IFERROR(__xludf.DUMMYFUNCTION("""COMPUTED_VALUE"""),45437.0)</f>
        <v>45437</v>
      </c>
      <c r="D162" s="71" t="str">
        <f>IFERROR(__xludf.DUMMYFUNCTION("""COMPUTED_VALUE"""),"MUNTING NAYON AGRICULTURAL PRODUCERS ASSOCIATION (MNAPA))")</f>
        <v>MUNTING NAYON AGRICULTURAL PRODUCERS ASSOCIATION (MNAPA))</v>
      </c>
      <c r="E162" s="71" t="str">
        <f>IFERROR(__xludf.DUMMYFUNCTION("""COMPUTED_VALUE"""),", Penaranda, NUEVA ECIJA")</f>
        <v>, Penaranda, NUEVA ECIJA</v>
      </c>
      <c r="F162" s="2" t="str">
        <f>IFERROR(__xludf.DUMMYFUNCTION("""COMPUTED_VALUE"""),"PRESIDENT")</f>
        <v>PRESIDENT</v>
      </c>
      <c r="G162" s="2">
        <f>IFERROR(__xludf.DUMMYFUNCTION("""COMPUTED_VALUE"""),9.535406535E9)</f>
        <v>9535406535</v>
      </c>
      <c r="H162" s="2">
        <f>IFERROR(__xludf.DUMMYFUNCTION("""COMPUTED_VALUE"""),10.3)</f>
        <v>10.3</v>
      </c>
      <c r="I162" s="72" t="str">
        <f>IFERROR(__xludf.DUMMYFUNCTION("""COMPUTED_VALUE"""),"REPAIR - TRACTOR")</f>
        <v>REPAIR - TRACTOR</v>
      </c>
      <c r="J162" s="72" t="str">
        <f>IFERROR(__xludf.DUMMYFUNCTION("""COMPUTED_VALUE"""),"PST - Cylinder Assy")</f>
        <v>PST - Cylinder Assy</v>
      </c>
      <c r="K162" s="72" t="str">
        <f>IFERROR(__xludf.DUMMYFUNCTION("""COMPUTED_VALUE"""),"2ND:LEAK SA STEERING WHEEL   PARTS: OIL SEAL AND O-RING (BABAYARAN)         JHP:6/23/24: service report form: MAY LEAK SA PST KASI OBLONG ANG SHAFTING , NEED TO REPLACE PST ASSY     
ERP: 6/28/24: HINDI TALAGA PANTAY YUNG PINAGLALAGYAN NG OIL SEAL KAYA TW"&amp;"ICE NA REPORTED NA NAGLEAK.
")</f>
        <v>2ND:LEAK SA STEERING WHEEL   PARTS: OIL SEAL AND O-RING (BABAYARAN)         JHP:6/23/24: service report form: MAY LEAK SA PST KASI OBLONG ANG SHAFTING , NEED TO REPLACE PST ASSY     
ERP: 6/28/24: HINDI TALAGA PANTAY YUNG PINAGLALAGYAN NG OIL SEAL KAYA TWICE NA REPORTED NA NAGLEAK.
</v>
      </c>
      <c r="L162" s="72" t="str">
        <f>IFERROR(__xludf.DUMMYFUNCTION("""COMPUTED_VALUE"""),"JDP: PST ASSY REPLACEMENT DONE")</f>
        <v>JDP: PST ASSY REPLACEMENT DONE</v>
      </c>
      <c r="M162" s="2"/>
      <c r="N162" s="2" t="str">
        <f>IFERROR(__xludf.DUMMYFUNCTION("""COMPUTED_VALUE"""),"PST ASSY")</f>
        <v>PST ASSY</v>
      </c>
      <c r="O162" s="2" t="str">
        <f>IFERROR(__xludf.DUMMYFUNCTION("""COMPUTED_VALUE"""),"JIE-829")</f>
        <v>JIE-829</v>
      </c>
      <c r="P162" s="2"/>
      <c r="Q162" s="2"/>
      <c r="R162" s="74">
        <f>IFERROR(__xludf.DUMMYFUNCTION("""COMPUTED_VALUE"""),45471.0)</f>
        <v>45471</v>
      </c>
      <c r="S162" s="2" t="str">
        <f>IFERROR(__xludf.DUMMYFUNCTION("""COMPUTED_VALUE"""),"JDP/JVV/DSD")</f>
        <v>JDP/JVV/DSD</v>
      </c>
      <c r="T162" s="73" t="str">
        <f>IFERROR(__xludf.DUMMYFUNCTION("""COMPUTED_VALUE""")," N/A ")</f>
        <v>N/A</v>
      </c>
      <c r="U162" s="73" t="str">
        <f>IFERROR(__xludf.DUMMYFUNCTION("""COMPUTED_VALUE""")," NO CHARGE ")</f>
        <v>NO CHARGE</v>
      </c>
      <c r="V162" s="2"/>
      <c r="W162" s="2" t="str">
        <f>IFERROR(__xludf.DUMMYFUNCTION("""COMPUTED_VALUE"""),"N/A")</f>
        <v>N/A</v>
      </c>
      <c r="X162" s="2" t="str">
        <f>IFERROR(__xludf.DUMMYFUNCTION("""COMPUTED_VALUE"""),"N/A")</f>
        <v>N/A</v>
      </c>
      <c r="Y162" s="2" t="str">
        <f>IFERROR(__xludf.DUMMYFUNCTION("""COMPUTED_VALUE"""),"ACS")</f>
        <v>ACS</v>
      </c>
      <c r="Z162" s="2"/>
      <c r="AA162" s="2"/>
      <c r="AB162" s="2"/>
      <c r="AC162" s="2" t="str">
        <f>IFERROR(__xludf.DUMMYFUNCTION("""COMPUTED_VALUE"""),"Y")</f>
        <v>Y</v>
      </c>
      <c r="AD162" s="2" t="str">
        <f>IFERROR(__xludf.DUMMYFUNCTION("""COMPUTED_VALUE"""),"pictures+tech report+")</f>
        <v>pictures+tech report+</v>
      </c>
      <c r="AE162" s="2"/>
      <c r="AF162" s="2"/>
      <c r="AG162" s="2"/>
      <c r="AH162" s="2"/>
      <c r="AI162" s="2"/>
      <c r="AJ162" s="2" t="str">
        <f>IFERROR(__xludf.DUMMYFUNCTION("""COMPUTED_VALUE"""),"")</f>
        <v/>
      </c>
      <c r="AK162" s="2" t="str">
        <f>IFERROR(__xludf.DUMMYFUNCTION("""COMPUTED_VALUE"""),"Penaranda")</f>
        <v>Penaranda</v>
      </c>
      <c r="AL162" s="2" t="str">
        <f>IFERROR(__xludf.DUMMYFUNCTION("""COMPUTED_VALUE"""),"Nueva Ecija")</f>
        <v>Nueva Ecija</v>
      </c>
      <c r="AM162" s="2">
        <f>IFERROR(__xludf.DUMMYFUNCTION("""COMPUTED_VALUE"""),3.0)</f>
        <v>3</v>
      </c>
      <c r="AN162" s="2" t="str">
        <f>IFERROR(__xludf.DUMMYFUNCTION("""COMPUTED_VALUE"""),"RCEF 23-09-21 Rebidding")</f>
        <v>RCEF 23-09-21 Rebidding</v>
      </c>
      <c r="AO162" s="2">
        <f>IFERROR(__xludf.DUMMYFUNCTION("""COMPUTED_VALUE"""),3.0)</f>
        <v>3</v>
      </c>
      <c r="AP162" s="2"/>
      <c r="AQ162" s="2"/>
      <c r="AR162" s="2"/>
      <c r="AS162" s="2"/>
      <c r="AT162" s="2"/>
      <c r="AU162" s="2"/>
      <c r="AV162" s="2"/>
      <c r="AW162" s="2"/>
      <c r="AX162" s="2"/>
      <c r="AY162" s="2"/>
      <c r="AZ162" s="2"/>
      <c r="BA162" s="2"/>
      <c r="BB162" s="2"/>
    </row>
    <row r="163">
      <c r="A163" s="2">
        <f>IFERROR(__xludf.DUMMYFUNCTION("""COMPUTED_VALUE"""),159.0)</f>
        <v>159</v>
      </c>
      <c r="B163" s="2" t="str">
        <f>IFERROR(__xludf.DUMMYFUNCTION("""COMPUTED_VALUE"""),"COMPLETED")</f>
        <v>COMPLETED</v>
      </c>
      <c r="C163" s="74">
        <f>IFERROR(__xludf.DUMMYFUNCTION("""COMPUTED_VALUE"""),45438.0)</f>
        <v>45438</v>
      </c>
      <c r="D163" s="71" t="str">
        <f>IFERROR(__xludf.DUMMYFUNCTION("""COMPUTED_VALUE"""),"KALAUKAN IRRIGATORS ASSOCIATION, INC.")</f>
        <v>KALAUKAN IRRIGATORS ASSOCIATION, INC.</v>
      </c>
      <c r="E163" s="71" t="str">
        <f>IFERROR(__xludf.DUMMYFUNCTION("""COMPUTED_VALUE"""),"Cullalabo San Antonio, Burgos, ISABELA")</f>
        <v>Cullalabo San Antonio, Burgos, ISABELA</v>
      </c>
      <c r="F163" s="2" t="str">
        <f>IFERROR(__xludf.DUMMYFUNCTION("""COMPUTED_VALUE"""),"AMOR FORONDA")</f>
        <v>AMOR FORONDA</v>
      </c>
      <c r="G163" s="2">
        <f>IFERROR(__xludf.DUMMYFUNCTION("""COMPUTED_VALUE"""),9.952941507E9)</f>
        <v>9952941507</v>
      </c>
      <c r="H163" s="2">
        <f>IFERROR(__xludf.DUMMYFUNCTION("""COMPUTED_VALUE"""),51.2)</f>
        <v>51.2</v>
      </c>
      <c r="I163" s="72" t="str">
        <f>IFERROR(__xludf.DUMMYFUNCTION("""COMPUTED_VALUE"""),"PMS")</f>
        <v>PMS</v>
      </c>
      <c r="J163" s="72" t="str">
        <f>IFERROR(__xludf.DUMMYFUNCTION("""COMPUTED_VALUE"""),"PMS")</f>
        <v>PMS</v>
      </c>
      <c r="K163" s="72" t="str">
        <f>IFERROR(__xludf.DUMMYFUNCTION("""COMPUTED_VALUE"""),"FIRTS PMS: SELF PMS")</f>
        <v>FIRTS PMS: SELF PMS</v>
      </c>
      <c r="L163" s="72" t="str">
        <f>IFERROR(__xludf.DUMMYFUNCTION("""COMPUTED_VALUE"""),"SELF PMS: FB: AMOR FORONDA: AGREEMENT SENT: FOR PRINT")</f>
        <v>SELF PMS: FB: AMOR FORONDA: AGREEMENT SENT: FOR PRINT</v>
      </c>
      <c r="M163" s="2"/>
      <c r="N163" s="2"/>
      <c r="O163" s="2" t="str">
        <f>IFERROR(__xludf.DUMMYFUNCTION("""COMPUTED_VALUE"""),"N/A")</f>
        <v>N/A</v>
      </c>
      <c r="P163" s="2"/>
      <c r="Q163" s="2"/>
      <c r="R163" s="74">
        <f>IFERROR(__xludf.DUMMYFUNCTION("""COMPUTED_VALUE"""),45438.0)</f>
        <v>45438</v>
      </c>
      <c r="S163" s="2" t="str">
        <f>IFERROR(__xludf.DUMMYFUNCTION("""COMPUTED_VALUE"""),"MYKEE")</f>
        <v>MYKEE</v>
      </c>
      <c r="T163" s="73" t="str">
        <f>IFERROR(__xludf.DUMMYFUNCTION("""COMPUTED_VALUE""")," N/A ")</f>
        <v>N/A</v>
      </c>
      <c r="U163" s="73" t="str">
        <f>IFERROR(__xludf.DUMMYFUNCTION("""COMPUTED_VALUE""")," NO CHARGE ")</f>
        <v>NO CHARGE</v>
      </c>
      <c r="V163" s="2"/>
      <c r="W163" s="2" t="str">
        <f>IFERROR(__xludf.DUMMYFUNCTION("""COMPUTED_VALUE"""),"N/A")</f>
        <v>N/A</v>
      </c>
      <c r="X163" s="2" t="str">
        <f>IFERROR(__xludf.DUMMYFUNCTION("""COMPUTED_VALUE"""),"N/A")</f>
        <v>N/A</v>
      </c>
      <c r="Y163" s="2" t="str">
        <f>IFERROR(__xludf.DUMMYFUNCTION("""COMPUTED_VALUE"""),"CJ")</f>
        <v>CJ</v>
      </c>
      <c r="Z163" s="2"/>
      <c r="AA163" s="2"/>
      <c r="AB163" s="2"/>
      <c r="AC163" s="2"/>
      <c r="AD163" s="2"/>
      <c r="AE163" s="2"/>
      <c r="AF163" s="2"/>
      <c r="AG163" s="2"/>
      <c r="AH163" s="2"/>
      <c r="AI163" s="2"/>
      <c r="AJ163" s="2" t="str">
        <f>IFERROR(__xludf.DUMMYFUNCTION("""COMPUTED_VALUE"""),"Cullalabo San Antonio")</f>
        <v>Cullalabo San Antonio</v>
      </c>
      <c r="AK163" s="2" t="str">
        <f>IFERROR(__xludf.DUMMYFUNCTION("""COMPUTED_VALUE"""),"Burgos")</f>
        <v>Burgos</v>
      </c>
      <c r="AL163" s="2" t="str">
        <f>IFERROR(__xludf.DUMMYFUNCTION("""COMPUTED_VALUE"""),"Isabela")</f>
        <v>Isabela</v>
      </c>
      <c r="AM163" s="2">
        <f>IFERROR(__xludf.DUMMYFUNCTION("""COMPUTED_VALUE"""),2.0)</f>
        <v>2</v>
      </c>
      <c r="AN163" s="2" t="str">
        <f>IFERROR(__xludf.DUMMYFUNCTION("""COMPUTED_VALUE"""),"RCEF 23-09-21 Rebidding")</f>
        <v>RCEF 23-09-21 Rebidding</v>
      </c>
      <c r="AO163" s="2">
        <f>IFERROR(__xludf.DUMMYFUNCTION("""COMPUTED_VALUE"""),9.0)</f>
        <v>9</v>
      </c>
      <c r="AP163" s="2"/>
      <c r="AQ163" s="2"/>
      <c r="AR163" s="2"/>
      <c r="AS163" s="2"/>
      <c r="AT163" s="2"/>
      <c r="AU163" s="2"/>
      <c r="AV163" s="2"/>
      <c r="AW163" s="2"/>
      <c r="AX163" s="2"/>
      <c r="AY163" s="2"/>
      <c r="AZ163" s="2"/>
      <c r="BA163" s="2"/>
      <c r="BB163" s="2"/>
    </row>
    <row r="164">
      <c r="A164" s="2">
        <f>IFERROR(__xludf.DUMMYFUNCTION("""COMPUTED_VALUE"""),160.0)</f>
        <v>160</v>
      </c>
      <c r="B164" s="2" t="str">
        <f>IFERROR(__xludf.DUMMYFUNCTION("""COMPUTED_VALUE"""),"COMPLETED")</f>
        <v>COMPLETED</v>
      </c>
      <c r="C164" s="74">
        <f>IFERROR(__xludf.DUMMYFUNCTION("""COMPUTED_VALUE"""),45438.0)</f>
        <v>45438</v>
      </c>
      <c r="D164" s="71" t="str">
        <f>IFERROR(__xludf.DUMMYFUNCTION("""COMPUTED_VALUE"""),"UPI FARMERS IRRIGATORS ASSOCIATION, INC.")</f>
        <v>UPI FARMERS IRRIGATORS ASSOCIATION, INC.</v>
      </c>
      <c r="E164" s="71" t="str">
        <f>IFERROR(__xludf.DUMMYFUNCTION("""COMPUTED_VALUE"""),"Upi, Gamu, ISABELA")</f>
        <v>Upi, Gamu, ISABELA</v>
      </c>
      <c r="F164" s="2" t="str">
        <f>IFERROR(__xludf.DUMMYFUNCTION("""COMPUTED_VALUE"""),"CRISPIN M PREZA")</f>
        <v>CRISPIN M PREZA</v>
      </c>
      <c r="G164" s="2">
        <f>IFERROR(__xludf.DUMMYFUNCTION("""COMPUTED_VALUE"""),9.956546522E9)</f>
        <v>9956546522</v>
      </c>
      <c r="H164" s="2">
        <f>IFERROR(__xludf.DUMMYFUNCTION("""COMPUTED_VALUE"""),50.09)</f>
        <v>50.09</v>
      </c>
      <c r="I164" s="72" t="str">
        <f>IFERROR(__xludf.DUMMYFUNCTION("""COMPUTED_VALUE"""),"PMS")</f>
        <v>PMS</v>
      </c>
      <c r="J164" s="72" t="str">
        <f>IFERROR(__xludf.DUMMYFUNCTION("""COMPUTED_VALUE"""),"PMS")</f>
        <v>PMS</v>
      </c>
      <c r="K164" s="72" t="str">
        <f>IFERROR(__xludf.DUMMYFUNCTION("""COMPUTED_VALUE"""),"FIRST PMS: SELF PMS")</f>
        <v>FIRST PMS: SELF PMS</v>
      </c>
      <c r="L164" s="72" t="str">
        <f>IFERROR(__xludf.DUMMYFUNCTION("""COMPUTED_VALUE"""),"SELF PMS: AGREEMENT SENT: FOR PRINT")</f>
        <v>SELF PMS: AGREEMENT SENT: FOR PRINT</v>
      </c>
      <c r="M164" s="2"/>
      <c r="N164" s="2"/>
      <c r="O164" s="2" t="str">
        <f>IFERROR(__xludf.DUMMYFUNCTION("""COMPUTED_VALUE"""),"N/A")</f>
        <v>N/A</v>
      </c>
      <c r="P164" s="2"/>
      <c r="Q164" s="2"/>
      <c r="R164" s="74" t="str">
        <f>IFERROR(__xludf.DUMMYFUNCTION("""COMPUTED_VALUE"""),"CANCELLED")</f>
        <v>CANCELLED</v>
      </c>
      <c r="S164" s="2" t="str">
        <f>IFERROR(__xludf.DUMMYFUNCTION("""COMPUTED_VALUE"""),"MYKEE")</f>
        <v>MYKEE</v>
      </c>
      <c r="T164" s="73" t="str">
        <f>IFERROR(__xludf.DUMMYFUNCTION("""COMPUTED_VALUE""")," N/A ")</f>
        <v>N/A</v>
      </c>
      <c r="U164" s="73" t="str">
        <f>IFERROR(__xludf.DUMMYFUNCTION("""COMPUTED_VALUE""")," NO CHARGE ")</f>
        <v>NO CHARGE</v>
      </c>
      <c r="V164" s="2"/>
      <c r="W164" s="2" t="str">
        <f>IFERROR(__xludf.DUMMYFUNCTION("""COMPUTED_VALUE"""),"N/A")</f>
        <v>N/A</v>
      </c>
      <c r="X164" s="2" t="str">
        <f>IFERROR(__xludf.DUMMYFUNCTION("""COMPUTED_VALUE"""),"N/A")</f>
        <v>N/A</v>
      </c>
      <c r="Y164" s="2" t="str">
        <f>IFERROR(__xludf.DUMMYFUNCTION("""COMPUTED_VALUE"""),"ERP")</f>
        <v>ERP</v>
      </c>
      <c r="Z164" s="2"/>
      <c r="AA164" s="2"/>
      <c r="AB164" s="2"/>
      <c r="AC164" s="2"/>
      <c r="AD164" s="2"/>
      <c r="AE164" s="2"/>
      <c r="AF164" s="2"/>
      <c r="AG164" s="2"/>
      <c r="AH164" s="2"/>
      <c r="AI164" s="2"/>
      <c r="AJ164" s="2" t="str">
        <f>IFERROR(__xludf.DUMMYFUNCTION("""COMPUTED_VALUE"""),"Upi")</f>
        <v>Upi</v>
      </c>
      <c r="AK164" s="2" t="str">
        <f>IFERROR(__xludf.DUMMYFUNCTION("""COMPUTED_VALUE"""),"Gamu")</f>
        <v>Gamu</v>
      </c>
      <c r="AL164" s="2" t="str">
        <f>IFERROR(__xludf.DUMMYFUNCTION("""COMPUTED_VALUE"""),"Isabela")</f>
        <v>Isabela</v>
      </c>
      <c r="AM164" s="2">
        <f>IFERROR(__xludf.DUMMYFUNCTION("""COMPUTED_VALUE"""),2.0)</f>
        <v>2</v>
      </c>
      <c r="AN164" s="2" t="str">
        <f>IFERROR(__xludf.DUMMYFUNCTION("""COMPUTED_VALUE"""),"RCEF 23-09-21 Rebidding")</f>
        <v>RCEF 23-09-21 Rebidding</v>
      </c>
      <c r="AO164" s="2">
        <f>IFERROR(__xludf.DUMMYFUNCTION("""COMPUTED_VALUE"""),1.0)</f>
        <v>1</v>
      </c>
      <c r="AP164" s="2"/>
      <c r="AQ164" s="2"/>
      <c r="AR164" s="2"/>
      <c r="AS164" s="2"/>
      <c r="AT164" s="2"/>
      <c r="AU164" s="2"/>
      <c r="AV164" s="2"/>
      <c r="AW164" s="2"/>
      <c r="AX164" s="2"/>
      <c r="AY164" s="2"/>
      <c r="AZ164" s="2"/>
      <c r="BA164" s="2"/>
      <c r="BB164" s="2"/>
    </row>
    <row r="165">
      <c r="A165" s="2">
        <f>IFERROR(__xludf.DUMMYFUNCTION("""COMPUTED_VALUE"""),161.0)</f>
        <v>161</v>
      </c>
      <c r="B165" s="2" t="str">
        <f>IFERROR(__xludf.DUMMYFUNCTION("""COMPUTED_VALUE"""),"COMPLETED")</f>
        <v>COMPLETED</v>
      </c>
      <c r="C165" s="74">
        <f>IFERROR(__xludf.DUMMYFUNCTION("""COMPUTED_VALUE"""),45439.0)</f>
        <v>45439</v>
      </c>
      <c r="D165" s="71" t="str">
        <f>IFERROR(__xludf.DUMMYFUNCTION("""COMPUTED_VALUE"""),"Golden Rising Sun Irrigators Association")</f>
        <v>Golden Rising Sun Irrigators Association</v>
      </c>
      <c r="E165" s="71" t="str">
        <f>IFERROR(__xludf.DUMMYFUNCTION("""COMPUTED_VALUE"""),"Panganiban, Tayug, PANGASINAN")</f>
        <v>Panganiban, Tayug, PANGASINAN</v>
      </c>
      <c r="F165" s="2" t="str">
        <f>IFERROR(__xludf.DUMMYFUNCTION("""COMPUTED_VALUE"""),"CELEDONIO LOPEZ")</f>
        <v>CELEDONIO LOPEZ</v>
      </c>
      <c r="G165" s="2">
        <f>IFERROR(__xludf.DUMMYFUNCTION("""COMPUTED_VALUE"""),9.639988852E9)</f>
        <v>9639988852</v>
      </c>
      <c r="H165" s="2">
        <f>IFERROR(__xludf.DUMMYFUNCTION("""COMPUTED_VALUE"""),46.0)</f>
        <v>46</v>
      </c>
      <c r="I165" s="72" t="str">
        <f>IFERROR(__xludf.DUMMYFUNCTION("""COMPUTED_VALUE"""),"PMS")</f>
        <v>PMS</v>
      </c>
      <c r="J165" s="72" t="str">
        <f>IFERROR(__xludf.DUMMYFUNCTION("""COMPUTED_VALUE"""),"PMS")</f>
        <v>PMS</v>
      </c>
      <c r="K165" s="72" t="str">
        <f>IFERROR(__xludf.DUMMYFUNCTION("""COMPUTED_VALUE"""),"FIRTS PMS: SELF PMS")</f>
        <v>FIRTS PMS: SELF PMS</v>
      </c>
      <c r="L165" s="72" t="str">
        <f>IFERROR(__xludf.DUMMYFUNCTION("""COMPUTED_VALUE"""),"SEND AGREEMENT:FB: CELEDONIO LOPEZ: AGREEMENT SENT: FOR PRINT")</f>
        <v>SEND AGREEMENT:FB: CELEDONIO LOPEZ: AGREEMENT SENT: FOR PRINT</v>
      </c>
      <c r="M165" s="2"/>
      <c r="N165" s="2"/>
      <c r="O165" s="2" t="str">
        <f>IFERROR(__xludf.DUMMYFUNCTION("""COMPUTED_VALUE"""),"N/A")</f>
        <v>N/A</v>
      </c>
      <c r="P165" s="2"/>
      <c r="Q165" s="2"/>
      <c r="R165" s="74">
        <f>IFERROR(__xludf.DUMMYFUNCTION("""COMPUTED_VALUE"""),45439.0)</f>
        <v>45439</v>
      </c>
      <c r="S165" s="2" t="str">
        <f>IFERROR(__xludf.DUMMYFUNCTION("""COMPUTED_VALUE"""),"MYKEE")</f>
        <v>MYKEE</v>
      </c>
      <c r="T165" s="73" t="str">
        <f>IFERROR(__xludf.DUMMYFUNCTION("""COMPUTED_VALUE""")," N/A ")</f>
        <v>N/A</v>
      </c>
      <c r="U165" s="73" t="str">
        <f>IFERROR(__xludf.DUMMYFUNCTION("""COMPUTED_VALUE""")," NO CHARGE ")</f>
        <v>NO CHARGE</v>
      </c>
      <c r="V165" s="2"/>
      <c r="W165" s="2" t="str">
        <f>IFERROR(__xludf.DUMMYFUNCTION("""COMPUTED_VALUE"""),"N/A")</f>
        <v>N/A</v>
      </c>
      <c r="X165" s="2" t="str">
        <f>IFERROR(__xludf.DUMMYFUNCTION("""COMPUTED_VALUE"""),"N/A")</f>
        <v>N/A</v>
      </c>
      <c r="Y165" s="2" t="str">
        <f>IFERROR(__xludf.DUMMYFUNCTION("""COMPUTED_VALUE"""),"JHP")</f>
        <v>JHP</v>
      </c>
      <c r="Z165" s="2"/>
      <c r="AA165" s="2"/>
      <c r="AB165" s="2"/>
      <c r="AC165" s="2"/>
      <c r="AD165" s="2"/>
      <c r="AE165" s="2"/>
      <c r="AF165" s="2"/>
      <c r="AG165" s="2"/>
      <c r="AH165" s="2"/>
      <c r="AI165" s="2"/>
      <c r="AJ165" s="2" t="str">
        <f>IFERROR(__xludf.DUMMYFUNCTION("""COMPUTED_VALUE"""),"Panganiban")</f>
        <v>Panganiban</v>
      </c>
      <c r="AK165" s="2" t="str">
        <f>IFERROR(__xludf.DUMMYFUNCTION("""COMPUTED_VALUE"""),"Tayug")</f>
        <v>Tayug</v>
      </c>
      <c r="AL165" s="2" t="str">
        <f>IFERROR(__xludf.DUMMYFUNCTION("""COMPUTED_VALUE"""),"Pangasinan")</f>
        <v>Pangasinan</v>
      </c>
      <c r="AM165" s="2">
        <f>IFERROR(__xludf.DUMMYFUNCTION("""COMPUTED_VALUE"""),1.0)</f>
        <v>1</v>
      </c>
      <c r="AN165" s="2" t="str">
        <f>IFERROR(__xludf.DUMMYFUNCTION("""COMPUTED_VALUE"""),"RCEF 23-09-21 Rebidding")</f>
        <v>RCEF 23-09-21 Rebidding</v>
      </c>
      <c r="AO165" s="2">
        <f>IFERROR(__xludf.DUMMYFUNCTION("""COMPUTED_VALUE"""),2.0)</f>
        <v>2</v>
      </c>
      <c r="AP165" s="2"/>
      <c r="AQ165" s="2"/>
      <c r="AR165" s="2"/>
      <c r="AS165" s="2"/>
      <c r="AT165" s="2"/>
      <c r="AU165" s="2"/>
      <c r="AV165" s="2"/>
      <c r="AW165" s="2"/>
      <c r="AX165" s="2"/>
      <c r="AY165" s="2"/>
      <c r="AZ165" s="2"/>
      <c r="BA165" s="2"/>
      <c r="BB165" s="2"/>
    </row>
    <row r="166">
      <c r="A166" s="2">
        <f>IFERROR(__xludf.DUMMYFUNCTION("""COMPUTED_VALUE"""),162.0)</f>
        <v>162</v>
      </c>
      <c r="B166" s="2" t="str">
        <f>IFERROR(__xludf.DUMMYFUNCTION("""COMPUTED_VALUE"""),"COMPLETED")</f>
        <v>COMPLETED</v>
      </c>
      <c r="C166" s="74">
        <f>IFERROR(__xludf.DUMMYFUNCTION("""COMPUTED_VALUE"""),45439.0)</f>
        <v>45439</v>
      </c>
      <c r="D166" s="71" t="str">
        <f>IFERROR(__xludf.DUMMYFUNCTION("""COMPUTED_VALUE"""),"LCCC-Lagasit Irrigators Association")</f>
        <v>LCCC-Lagasit Irrigators Association</v>
      </c>
      <c r="E166" s="71" t="str">
        <f>IFERROR(__xludf.DUMMYFUNCTION("""COMPUTED_VALUE"""),"Lagasit, San Quintin, PANGASINAN")</f>
        <v>Lagasit, San Quintin, PANGASINAN</v>
      </c>
      <c r="F166" s="2" t="str">
        <f>IFERROR(__xludf.DUMMYFUNCTION("""COMPUTED_VALUE"""),"SEDBES ABRA")</f>
        <v>SEDBES ABRA</v>
      </c>
      <c r="G166" s="2">
        <f>IFERROR(__xludf.DUMMYFUNCTION("""COMPUTED_VALUE"""),9.917371438E9)</f>
        <v>9917371438</v>
      </c>
      <c r="H166" s="2">
        <f>IFERROR(__xludf.DUMMYFUNCTION("""COMPUTED_VALUE"""),50.0)</f>
        <v>50</v>
      </c>
      <c r="I166" s="72" t="str">
        <f>IFERROR(__xludf.DUMMYFUNCTION("""COMPUTED_VALUE"""),"PMS")</f>
        <v>PMS</v>
      </c>
      <c r="J166" s="72" t="str">
        <f>IFERROR(__xludf.DUMMYFUNCTION("""COMPUTED_VALUE"""),"PMS")</f>
        <v>PMS</v>
      </c>
      <c r="K166" s="72" t="str">
        <f>IFERROR(__xludf.DUMMYFUNCTION("""COMPUTED_VALUE"""),"FIRTS PMS: SELF PMS")</f>
        <v>FIRTS PMS: SELF PMS</v>
      </c>
      <c r="L166" s="72" t="str">
        <f>IFERROR(__xludf.DUMMYFUNCTION("""COMPUTED_VALUE"""),"SELF PMS: FB: SEDBES OBRA: AGREEMENT SENT")</f>
        <v>SELF PMS: FB: SEDBES OBRA: AGREEMENT SENT</v>
      </c>
      <c r="M166" s="2"/>
      <c r="N166" s="2"/>
      <c r="O166" s="2" t="str">
        <f>IFERROR(__xludf.DUMMYFUNCTION("""COMPUTED_VALUE"""),"N/A")</f>
        <v>N/A</v>
      </c>
      <c r="P166" s="2"/>
      <c r="Q166" s="2"/>
      <c r="R166" s="74">
        <f>IFERROR(__xludf.DUMMYFUNCTION("""COMPUTED_VALUE"""),45439.0)</f>
        <v>45439</v>
      </c>
      <c r="S166" s="2" t="str">
        <f>IFERROR(__xludf.DUMMYFUNCTION("""COMPUTED_VALUE"""),"MYKEE")</f>
        <v>MYKEE</v>
      </c>
      <c r="T166" s="73" t="str">
        <f>IFERROR(__xludf.DUMMYFUNCTION("""COMPUTED_VALUE""")," N/A ")</f>
        <v>N/A</v>
      </c>
      <c r="U166" s="73" t="str">
        <f>IFERROR(__xludf.DUMMYFUNCTION("""COMPUTED_VALUE""")," NO CHARGE ")</f>
        <v>NO CHARGE</v>
      </c>
      <c r="V166" s="2"/>
      <c r="W166" s="2" t="str">
        <f>IFERROR(__xludf.DUMMYFUNCTION("""COMPUTED_VALUE"""),"N/A")</f>
        <v>N/A</v>
      </c>
      <c r="X166" s="2" t="str">
        <f>IFERROR(__xludf.DUMMYFUNCTION("""COMPUTED_VALUE"""),"N/A")</f>
        <v>N/A</v>
      </c>
      <c r="Y166" s="2" t="str">
        <f>IFERROR(__xludf.DUMMYFUNCTION("""COMPUTED_VALUE"""),"MYKEE")</f>
        <v>MYKEE</v>
      </c>
      <c r="Z166" s="2"/>
      <c r="AA166" s="2"/>
      <c r="AB166" s="2"/>
      <c r="AC166" s="2"/>
      <c r="AD166" s="2"/>
      <c r="AE166" s="2"/>
      <c r="AF166" s="2"/>
      <c r="AG166" s="2"/>
      <c r="AH166" s="2"/>
      <c r="AI166" s="2"/>
      <c r="AJ166" s="2" t="str">
        <f>IFERROR(__xludf.DUMMYFUNCTION("""COMPUTED_VALUE"""),"Lagasit")</f>
        <v>Lagasit</v>
      </c>
      <c r="AK166" s="2" t="str">
        <f>IFERROR(__xludf.DUMMYFUNCTION("""COMPUTED_VALUE"""),"San Quintin")</f>
        <v>San Quintin</v>
      </c>
      <c r="AL166" s="2" t="str">
        <f>IFERROR(__xludf.DUMMYFUNCTION("""COMPUTED_VALUE"""),"Pangasinan")</f>
        <v>Pangasinan</v>
      </c>
      <c r="AM166" s="2">
        <f>IFERROR(__xludf.DUMMYFUNCTION("""COMPUTED_VALUE"""),1.0)</f>
        <v>1</v>
      </c>
      <c r="AN166" s="2" t="str">
        <f>IFERROR(__xludf.DUMMYFUNCTION("""COMPUTED_VALUE"""),"RCEF 23-09-21 Rebidding")</f>
        <v>RCEF 23-09-21 Rebidding</v>
      </c>
      <c r="AO166" s="2">
        <f>IFERROR(__xludf.DUMMYFUNCTION("""COMPUTED_VALUE"""),2.0)</f>
        <v>2</v>
      </c>
      <c r="AP166" s="2"/>
      <c r="AQ166" s="2"/>
      <c r="AR166" s="2"/>
      <c r="AS166" s="2"/>
      <c r="AT166" s="2"/>
      <c r="AU166" s="2"/>
      <c r="AV166" s="2"/>
      <c r="AW166" s="2"/>
      <c r="AX166" s="2"/>
      <c r="AY166" s="2"/>
      <c r="AZ166" s="2"/>
      <c r="BA166" s="2"/>
      <c r="BB166" s="2"/>
    </row>
    <row r="167">
      <c r="A167" s="2">
        <f>IFERROR(__xludf.DUMMYFUNCTION("""COMPUTED_VALUE"""),163.0)</f>
        <v>163</v>
      </c>
      <c r="B167" s="2" t="str">
        <f>IFERROR(__xludf.DUMMYFUNCTION("""COMPUTED_VALUE"""),"COMPLETED")</f>
        <v>COMPLETED</v>
      </c>
      <c r="C167" s="74">
        <f>IFERROR(__xludf.DUMMYFUNCTION("""COMPUTED_VALUE"""),45439.0)</f>
        <v>45439</v>
      </c>
      <c r="D167" s="71" t="str">
        <f>IFERROR(__xludf.DUMMYFUNCTION("""COMPUTED_VALUE"""),"MULAWIN BATA IRRIGATORS ASSOCIATION, INC.")</f>
        <v>MULAWIN BATA IRRIGATORS ASSOCIATION, INC.</v>
      </c>
      <c r="E167" s="71" t="str">
        <f>IFERROR(__xludf.DUMMYFUNCTION("""COMPUTED_VALUE"""),"Tarcan, Baliuag, BULACAN")</f>
        <v>Tarcan, Baliuag, BULACAN</v>
      </c>
      <c r="F167" s="2" t="str">
        <f>IFERROR(__xludf.DUMMYFUNCTION("""COMPUTED_VALUE"""),"ERWIN MALACCA")</f>
        <v>ERWIN MALACCA</v>
      </c>
      <c r="G167" s="2">
        <f>IFERROR(__xludf.DUMMYFUNCTION("""COMPUTED_VALUE"""),9.323436446E9)</f>
        <v>9323436446</v>
      </c>
      <c r="H167" s="2">
        <f>IFERROR(__xludf.DUMMYFUNCTION("""COMPUTED_VALUE"""),60.0)</f>
        <v>60</v>
      </c>
      <c r="I167" s="72" t="str">
        <f>IFERROR(__xludf.DUMMYFUNCTION("""COMPUTED_VALUE"""),"PMS")</f>
        <v>PMS</v>
      </c>
      <c r="J167" s="72" t="str">
        <f>IFERROR(__xludf.DUMMYFUNCTION("""COMPUTED_VALUE"""),"PMS")</f>
        <v>PMS</v>
      </c>
      <c r="K167" s="72" t="str">
        <f>IFERROR(__xludf.DUMMYFUNCTION("""COMPUTED_VALUE"""),"FIRTS PMS")</f>
        <v>FIRTS PMS</v>
      </c>
      <c r="L167" s="72" t="str">
        <f>IFERROR(__xludf.DUMMYFUNCTION("""COMPUTED_VALUE"""),"EGT: DONE PMS")</f>
        <v>EGT: DONE PMS</v>
      </c>
      <c r="M167" s="2"/>
      <c r="N167" s="2"/>
      <c r="O167" s="2" t="str">
        <f>IFERROR(__xludf.DUMMYFUNCTION("""COMPUTED_VALUE"""),"NEED SERVICE REPORT")</f>
        <v>NEED SERVICE REPORT</v>
      </c>
      <c r="P167" s="2"/>
      <c r="Q167" s="2"/>
      <c r="R167" s="74">
        <f>IFERROR(__xludf.DUMMYFUNCTION("""COMPUTED_VALUE"""),45740.0)</f>
        <v>45740</v>
      </c>
      <c r="S167" s="2" t="str">
        <f>IFERROR(__xludf.DUMMYFUNCTION("""COMPUTED_VALUE"""),"EGT/DRM")</f>
        <v>EGT/DRM</v>
      </c>
      <c r="T167" s="73" t="str">
        <f>IFERROR(__xludf.DUMMYFUNCTION("""COMPUTED_VALUE""")," N/A ")</f>
        <v>N/A</v>
      </c>
      <c r="U167" s="73" t="str">
        <f>IFERROR(__xludf.DUMMYFUNCTION("""COMPUTED_VALUE""")," NO CHARGE ")</f>
        <v>NO CHARGE</v>
      </c>
      <c r="V167" s="2"/>
      <c r="W167" s="2" t="str">
        <f>IFERROR(__xludf.DUMMYFUNCTION("""COMPUTED_VALUE"""),"N/A")</f>
        <v>N/A</v>
      </c>
      <c r="X167" s="2" t="str">
        <f>IFERROR(__xludf.DUMMYFUNCTION("""COMPUTED_VALUE"""),"N/A")</f>
        <v>N/A</v>
      </c>
      <c r="Y167" s="2" t="str">
        <f>IFERROR(__xludf.DUMMYFUNCTION("""COMPUTED_VALUE"""),"PMS")</f>
        <v>PMS</v>
      </c>
      <c r="Z167" s="2"/>
      <c r="AA167" s="2"/>
      <c r="AB167" s="2"/>
      <c r="AC167" s="2"/>
      <c r="AD167" s="2"/>
      <c r="AE167" s="2"/>
      <c r="AF167" s="2"/>
      <c r="AG167" s="2"/>
      <c r="AH167" s="2"/>
      <c r="AI167" s="2"/>
      <c r="AJ167" s="2" t="str">
        <f>IFERROR(__xludf.DUMMYFUNCTION("""COMPUTED_VALUE"""),"Tarcan")</f>
        <v>Tarcan</v>
      </c>
      <c r="AK167" s="2" t="str">
        <f>IFERROR(__xludf.DUMMYFUNCTION("""COMPUTED_VALUE"""),"Baliuag")</f>
        <v>Baliuag</v>
      </c>
      <c r="AL167" s="2" t="str">
        <f>IFERROR(__xludf.DUMMYFUNCTION("""COMPUTED_VALUE"""),"Bulacan")</f>
        <v>Bulacan</v>
      </c>
      <c r="AM167" s="2">
        <f>IFERROR(__xludf.DUMMYFUNCTION("""COMPUTED_VALUE"""),3.0)</f>
        <v>3</v>
      </c>
      <c r="AN167" s="2" t="str">
        <f>IFERROR(__xludf.DUMMYFUNCTION("""COMPUTED_VALUE"""),"RCEF 23-09-21 Rebidding")</f>
        <v>RCEF 23-09-21 Rebidding</v>
      </c>
      <c r="AO167" s="2">
        <f>IFERROR(__xludf.DUMMYFUNCTION("""COMPUTED_VALUE"""),3.0)</f>
        <v>3</v>
      </c>
      <c r="AP167" s="2"/>
      <c r="AQ167" s="2"/>
      <c r="AR167" s="2"/>
      <c r="AS167" s="2"/>
      <c r="AT167" s="2"/>
      <c r="AU167" s="2"/>
      <c r="AV167" s="2"/>
      <c r="AW167" s="2"/>
      <c r="AX167" s="2"/>
      <c r="AY167" s="2"/>
      <c r="AZ167" s="2"/>
      <c r="BA167" s="2"/>
      <c r="BB167" s="2"/>
    </row>
    <row r="168">
      <c r="A168" s="2">
        <f>IFERROR(__xludf.DUMMYFUNCTION("""COMPUTED_VALUE"""),164.0)</f>
        <v>164</v>
      </c>
      <c r="B168" s="2" t="str">
        <f>IFERROR(__xludf.DUMMYFUNCTION("""COMPUTED_VALUE"""),"COMPLETED")</f>
        <v>COMPLETED</v>
      </c>
      <c r="C168" s="74">
        <f>IFERROR(__xludf.DUMMYFUNCTION("""COMPUTED_VALUE"""),45439.0)</f>
        <v>45439</v>
      </c>
      <c r="D168" s="71" t="str">
        <f>IFERROR(__xludf.DUMMYFUNCTION("""COMPUTED_VALUE"""),"MULAWIN BATA IRRIGATORS ASSOCIATION, INC.")</f>
        <v>MULAWIN BATA IRRIGATORS ASSOCIATION, INC.</v>
      </c>
      <c r="E168" s="71" t="str">
        <f>IFERROR(__xludf.DUMMYFUNCTION("""COMPUTED_VALUE"""),"Tarcan, Baliuag, BULACAN")</f>
        <v>Tarcan, Baliuag, BULACAN</v>
      </c>
      <c r="F168" s="2" t="str">
        <f>IFERROR(__xludf.DUMMYFUNCTION("""COMPUTED_VALUE"""),"ERWIN MALACCA")</f>
        <v>ERWIN MALACCA</v>
      </c>
      <c r="G168" s="2">
        <f>IFERROR(__xludf.DUMMYFUNCTION("""COMPUTED_VALUE"""),9.323436446E9)</f>
        <v>9323436446</v>
      </c>
      <c r="H168" s="2">
        <f>IFERROR(__xludf.DUMMYFUNCTION("""COMPUTED_VALUE"""),60.0)</f>
        <v>60</v>
      </c>
      <c r="I168" s="72" t="str">
        <f>IFERROR(__xludf.DUMMYFUNCTION("""COMPUTED_VALUE"""),"REPAIR - TRACTOR")</f>
        <v>REPAIR - TRACTOR</v>
      </c>
      <c r="J168" s="72" t="str">
        <f>IFERROR(__xludf.DUMMYFUNCTION("""COMPUTED_VALUE"""),"Engine - Overhaul")</f>
        <v>Engine - Overhaul</v>
      </c>
      <c r="K168" s="72" t="str">
        <f>IFERROR(__xludf.DUMMYFUNCTION("""COMPUTED_VALUE"""),"OVERHEAT: SERVICE REPORT: CELEANDER GASKET     
6/7/24:for check up, CYLINDER HEAD GASKET, CYLINDER HEAD, 8 VALVE SEAL, 4 PISTON RING, 4 PISTON.  BLOWBY       
JDP:6/20/24: OVERHAUL: MAY CRACK YUNG CYLINDER HEAD SA PANGATLONG BUTAS, UMAALOG YUNG PISTO"&amp;"N NUMBER 1 AND 4
2/27/25: UNDER REPAIR ANG UNIT: KULANG ANG PYESA 
PARTS: TURBO CHARGER, PIPE ASSEMBLY, EXHAUST MANIFOLD")</f>
        <v>OVERHEAT: SERVICE REPORT: CELEANDER GASKET     
6/7/24:for check up, CYLINDER HEAD GASKET, CYLINDER HEAD, 8 VALVE SEAL, 4 PISTON RING, 4 PISTON.  BLOWBY       
JDP:6/20/24: OVERHAUL: MAY CRACK YUNG CYLINDER HEAD SA PANGATLONG BUTAS, UMAALOG YUNG PISTON NUMBER 1 AND 4
2/27/25: UNDER REPAIR ANG UNIT: KULANG ANG PYESA 
PARTS: TURBO CHARGER, PIPE ASSEMBLY, EXHAUST MANIFOLD</v>
      </c>
      <c r="L168" s="72" t="str">
        <f>IFERROR(__xludf.DUMMYFUNCTION("""COMPUTED_VALUE"""),"JDP: Delivery of Overhauled Four Wheeled Tractor at San simon Warehouse Done: DELIVERED DONE")</f>
        <v>JDP: Delivery of Overhauled Four Wheeled Tractor at San simon Warehouse Done: DELIVERED DONE</v>
      </c>
      <c r="M168" s="2"/>
      <c r="N168" s="2" t="str">
        <f>IFERROR(__xludf.DUMMYFUNCTION("""COMPUTED_VALUE"""),"PARTS: 
1- ENGINE BLOCK ASSY
8- VALVE SEAL
4- PISTON ENGINE
4- PISTON RING SET
4- PISTON PIN
4- CONNECTING ROD BEARING
4- MAIN BEARING
4- CONNECTING ROD
8- RETAINING RING 
1- CYLINDER HEAD ASSY
1- CYLINDER HEAD GASKET
1- OIL FILTER")</f>
        <v>PARTS: 
1- ENGINE BLOCK ASSY
8- VALVE SEAL
4- PISTON ENGINE
4- PISTON RING SET
4- PISTON PIN
4- CONNECTING ROD BEARING
4- MAIN BEARING
4- CONNECTING ROD
8- RETAINING RING 
1- CYLINDER HEAD ASSY
1- CYLINDER HEAD GASKET
1- OIL FILTER</v>
      </c>
      <c r="O168" s="2" t="str">
        <f>IFERROR(__xludf.DUMMYFUNCTION("""COMPUTED_VALUE"""),"NEED SERVICE REPORT")</f>
        <v>NEED SERVICE REPORT</v>
      </c>
      <c r="P168" s="2"/>
      <c r="Q168" s="2"/>
      <c r="R168" s="74">
        <f>IFERROR(__xludf.DUMMYFUNCTION("""COMPUTED_VALUE"""),45730.0)</f>
        <v>45730</v>
      </c>
      <c r="S168" s="2" t="str">
        <f>IFERROR(__xludf.DUMMYFUNCTION("""COMPUTED_VALUE"""),"JHP/ACS/JDP")</f>
        <v>JHP/ACS/JDP</v>
      </c>
      <c r="T168" s="73" t="str">
        <f>IFERROR(__xludf.DUMMYFUNCTION("""COMPUTED_VALUE""")," N/A ")</f>
        <v>N/A</v>
      </c>
      <c r="U168" s="73" t="str">
        <f>IFERROR(__xludf.DUMMYFUNCTION("""COMPUTED_VALUE""")," NO CHARGE ")</f>
        <v>NO CHARGE</v>
      </c>
      <c r="V168" s="2"/>
      <c r="W168" s="2" t="str">
        <f>IFERROR(__xludf.DUMMYFUNCTION("""COMPUTED_VALUE"""),"N/A")</f>
        <v>N/A</v>
      </c>
      <c r="X168" s="2" t="str">
        <f>IFERROR(__xludf.DUMMYFUNCTION("""COMPUTED_VALUE"""),"N/A")</f>
        <v>N/A</v>
      </c>
      <c r="Y168" s="2"/>
      <c r="Z168" s="2"/>
      <c r="AA168" s="2" t="str">
        <f>IFERROR(__xludf.DUMMYFUNCTION("""COMPUTED_VALUE"""),"APPROVED")</f>
        <v>APPROVED</v>
      </c>
      <c r="AB168" s="2"/>
      <c r="AC168" s="2" t="str">
        <f>IFERROR(__xludf.DUMMYFUNCTION("""COMPUTED_VALUE"""),"Y")</f>
        <v>Y</v>
      </c>
      <c r="AD168" s="2"/>
      <c r="AE168" s="2"/>
      <c r="AF168" s="2"/>
      <c r="AG168" s="2"/>
      <c r="AH168" s="2"/>
      <c r="AI168" s="2"/>
      <c r="AJ168" s="2" t="str">
        <f>IFERROR(__xludf.DUMMYFUNCTION("""COMPUTED_VALUE"""),"Tarcan")</f>
        <v>Tarcan</v>
      </c>
      <c r="AK168" s="2" t="str">
        <f>IFERROR(__xludf.DUMMYFUNCTION("""COMPUTED_VALUE"""),"Baliuag")</f>
        <v>Baliuag</v>
      </c>
      <c r="AL168" s="2" t="str">
        <f>IFERROR(__xludf.DUMMYFUNCTION("""COMPUTED_VALUE"""),"Bulacan")</f>
        <v>Bulacan</v>
      </c>
      <c r="AM168" s="2">
        <f>IFERROR(__xludf.DUMMYFUNCTION("""COMPUTED_VALUE"""),3.0)</f>
        <v>3</v>
      </c>
      <c r="AN168" s="2" t="str">
        <f>IFERROR(__xludf.DUMMYFUNCTION("""COMPUTED_VALUE"""),"RCEF 23-09-21 Rebidding")</f>
        <v>RCEF 23-09-21 Rebidding</v>
      </c>
      <c r="AO168" s="2">
        <f>IFERROR(__xludf.DUMMYFUNCTION("""COMPUTED_VALUE"""),3.0)</f>
        <v>3</v>
      </c>
      <c r="AP168" s="2"/>
      <c r="AQ168" s="2"/>
      <c r="AR168" s="2"/>
      <c r="AS168" s="2"/>
      <c r="AT168" s="2"/>
      <c r="AU168" s="2"/>
      <c r="AV168" s="2"/>
      <c r="AW168" s="2"/>
      <c r="AX168" s="2"/>
      <c r="AY168" s="2"/>
      <c r="AZ168" s="2"/>
      <c r="BA168" s="2"/>
      <c r="BB168" s="2"/>
    </row>
    <row r="169">
      <c r="A169" s="2">
        <f>IFERROR(__xludf.DUMMYFUNCTION("""COMPUTED_VALUE"""),165.0)</f>
        <v>165</v>
      </c>
      <c r="B169" s="2" t="str">
        <f>IFERROR(__xludf.DUMMYFUNCTION("""COMPUTED_VALUE"""),"COMPLETED")</f>
        <v>COMPLETED</v>
      </c>
      <c r="C169" s="74">
        <f>IFERROR(__xludf.DUMMYFUNCTION("""COMPUTED_VALUE"""),45440.0)</f>
        <v>45440</v>
      </c>
      <c r="D169" s="71" t="str">
        <f>IFERROR(__xludf.DUMMYFUNCTION("""COMPUTED_VALUE"""),"ALOLA SAN JOSE ROQUE IRRIGATORS ASSOCIATION INC.")</f>
        <v>ALOLA SAN JOSE ROQUE IRRIGATORS ASSOCIATION INC.</v>
      </c>
      <c r="E169" s="71" t="str">
        <f>IFERROR(__xludf.DUMMYFUNCTION("""COMPUTED_VALUE"""),"San Jose, San Nicolas, PANGASINAN")</f>
        <v>San Jose, San Nicolas, PANGASINAN</v>
      </c>
      <c r="F169" s="2" t="str">
        <f>IFERROR(__xludf.DUMMYFUNCTION("""COMPUTED_VALUE"""),"NELIA CAOILE")</f>
        <v>NELIA CAOILE</v>
      </c>
      <c r="G169" s="2">
        <f>IFERROR(__xludf.DUMMYFUNCTION("""COMPUTED_VALUE"""),9.307466032E9)</f>
        <v>9307466032</v>
      </c>
      <c r="H169" s="2">
        <f>IFERROR(__xludf.DUMMYFUNCTION("""COMPUTED_VALUE"""),50.0)</f>
        <v>50</v>
      </c>
      <c r="I169" s="72" t="str">
        <f>IFERROR(__xludf.DUMMYFUNCTION("""COMPUTED_VALUE"""),"PMS")</f>
        <v>PMS</v>
      </c>
      <c r="J169" s="72" t="str">
        <f>IFERROR(__xludf.DUMMYFUNCTION("""COMPUTED_VALUE"""),"PMS")</f>
        <v>PMS</v>
      </c>
      <c r="K169" s="72" t="str">
        <f>IFERROR(__xludf.DUMMYFUNCTION("""COMPUTED_VALUE"""),"FIRTS PMS")</f>
        <v>FIRTS PMS</v>
      </c>
      <c r="L169" s="72" t="str">
        <f>IFERROR(__xludf.DUMMYFUNCTION("""COMPUTED_VALUE"""),"CHANGE OIL")</f>
        <v>CHANGE OIL</v>
      </c>
      <c r="M169" s="2"/>
      <c r="N169" s="2"/>
      <c r="O169" s="2" t="str">
        <f>IFERROR(__xludf.DUMMYFUNCTION("""COMPUTED_VALUE"""),"JIE-081")</f>
        <v>JIE-081</v>
      </c>
      <c r="P169" s="2"/>
      <c r="Q169" s="2"/>
      <c r="R169" s="74">
        <f>IFERROR(__xludf.DUMMYFUNCTION("""COMPUTED_VALUE"""),45443.0)</f>
        <v>45443</v>
      </c>
      <c r="S169" s="2" t="str">
        <f>IFERROR(__xludf.DUMMYFUNCTION("""COMPUTED_VALUE"""),"EGT/JDP")</f>
        <v>EGT/JDP</v>
      </c>
      <c r="T169" s="73" t="str">
        <f>IFERROR(__xludf.DUMMYFUNCTION("""COMPUTED_VALUE""")," N/A ")</f>
        <v>N/A</v>
      </c>
      <c r="U169" s="73" t="str">
        <f>IFERROR(__xludf.DUMMYFUNCTION("""COMPUTED_VALUE""")," NO CHARGE ")</f>
        <v>NO CHARGE</v>
      </c>
      <c r="V169" s="2"/>
      <c r="W169" s="2" t="str">
        <f>IFERROR(__xludf.DUMMYFUNCTION("""COMPUTED_VALUE"""),"N/A")</f>
        <v>N/A</v>
      </c>
      <c r="X169" s="2" t="str">
        <f>IFERROR(__xludf.DUMMYFUNCTION("""COMPUTED_VALUE"""),"N/A")</f>
        <v>N/A</v>
      </c>
      <c r="Y169" s="2" t="str">
        <f>IFERROR(__xludf.DUMMYFUNCTION("""COMPUTED_VALUE"""),"JHP")</f>
        <v>JHP</v>
      </c>
      <c r="Z169" s="2"/>
      <c r="AA169" s="2"/>
      <c r="AB169" s="2"/>
      <c r="AC169" s="2"/>
      <c r="AD169" s="2"/>
      <c r="AE169" s="2"/>
      <c r="AF169" s="2"/>
      <c r="AG169" s="2"/>
      <c r="AH169" s="2"/>
      <c r="AI169" s="2"/>
      <c r="AJ169" s="2" t="str">
        <f>IFERROR(__xludf.DUMMYFUNCTION("""COMPUTED_VALUE"""),"San Jose")</f>
        <v>San Jose</v>
      </c>
      <c r="AK169" s="2" t="str">
        <f>IFERROR(__xludf.DUMMYFUNCTION("""COMPUTED_VALUE"""),"San Nicolas")</f>
        <v>San Nicolas</v>
      </c>
      <c r="AL169" s="2" t="str">
        <f>IFERROR(__xludf.DUMMYFUNCTION("""COMPUTED_VALUE"""),"Pangasinan")</f>
        <v>Pangasinan</v>
      </c>
      <c r="AM169" s="2">
        <f>IFERROR(__xludf.DUMMYFUNCTION("""COMPUTED_VALUE"""),1.0)</f>
        <v>1</v>
      </c>
      <c r="AN169" s="2" t="str">
        <f>IFERROR(__xludf.DUMMYFUNCTION("""COMPUTED_VALUE"""),"RCEF 23-09-21 Rebidding")</f>
        <v>RCEF 23-09-21 Rebidding</v>
      </c>
      <c r="AO169" s="2">
        <f>IFERROR(__xludf.DUMMYFUNCTION("""COMPUTED_VALUE"""),2.0)</f>
        <v>2</v>
      </c>
      <c r="AP169" s="2"/>
      <c r="AQ169" s="2"/>
      <c r="AR169" s="2"/>
      <c r="AS169" s="2"/>
      <c r="AT169" s="2"/>
      <c r="AU169" s="2"/>
      <c r="AV169" s="2"/>
      <c r="AW169" s="2"/>
      <c r="AX169" s="2"/>
      <c r="AY169" s="2"/>
      <c r="AZ169" s="2"/>
      <c r="BA169" s="2"/>
      <c r="BB169" s="2"/>
    </row>
    <row r="170">
      <c r="A170" s="2">
        <f>IFERROR(__xludf.DUMMYFUNCTION("""COMPUTED_VALUE"""),166.0)</f>
        <v>166</v>
      </c>
      <c r="B170" s="2" t="str">
        <f>IFERROR(__xludf.DUMMYFUNCTION("""COMPUTED_VALUE"""),"COMPLETED")</f>
        <v>COMPLETED</v>
      </c>
      <c r="C170" s="74">
        <f>IFERROR(__xludf.DUMMYFUNCTION("""COMPUTED_VALUE"""),45440.0)</f>
        <v>45440</v>
      </c>
      <c r="D170" s="71" t="str">
        <f>IFERROR(__xludf.DUMMYFUNCTION("""COMPUTED_VALUE"""),"SITANGLAB IRRIGATORS ASSOCIATION, INC")</f>
        <v>SITANGLAB IRRIGATORS ASSOCIATION, INC</v>
      </c>
      <c r="E170" s="71" t="str">
        <f>IFERROR(__xludf.DUMMYFUNCTION("""COMPUTED_VALUE"""),"Tanggal Sawang, Umingan, PANGASINAN")</f>
        <v>Tanggal Sawang, Umingan, PANGASINAN</v>
      </c>
      <c r="F170" s="2" t="str">
        <f>IFERROR(__xludf.DUMMYFUNCTION("""COMPUTED_VALUE"""),"MARICEL ESCOBAR")</f>
        <v>MARICEL ESCOBAR</v>
      </c>
      <c r="G170" s="2">
        <f>IFERROR(__xludf.DUMMYFUNCTION("""COMPUTED_VALUE"""),9.318402147E9)</f>
        <v>9318402147</v>
      </c>
      <c r="H170" s="2">
        <f>IFERROR(__xludf.DUMMYFUNCTION("""COMPUTED_VALUE"""),50.0)</f>
        <v>50</v>
      </c>
      <c r="I170" s="72" t="str">
        <f>IFERROR(__xludf.DUMMYFUNCTION("""COMPUTED_VALUE"""),"PMS")</f>
        <v>PMS</v>
      </c>
      <c r="J170" s="72" t="str">
        <f>IFERROR(__xludf.DUMMYFUNCTION("""COMPUTED_VALUE"""),"PMS")</f>
        <v>PMS</v>
      </c>
      <c r="K170" s="72" t="str">
        <f>IFERROR(__xludf.DUMMYFUNCTION("""COMPUTED_VALUE"""),"FIRST PMS:SELF PMS")</f>
        <v>FIRST PMS:SELF PMS</v>
      </c>
      <c r="L170" s="72" t="str">
        <f>IFERROR(__xludf.DUMMYFUNCTION("""COMPUTED_VALUE"""),"SEND AGREEMENT:FB:MARICEL FRONDA ESCOBAR: AGREEMENT SENT: FOR PRINT")</f>
        <v>SEND AGREEMENT:FB:MARICEL FRONDA ESCOBAR: AGREEMENT SENT: FOR PRINT</v>
      </c>
      <c r="M170" s="2"/>
      <c r="N170" s="2"/>
      <c r="O170" s="2" t="str">
        <f>IFERROR(__xludf.DUMMYFUNCTION("""COMPUTED_VALUE"""),"N/A")</f>
        <v>N/A</v>
      </c>
      <c r="P170" s="2"/>
      <c r="Q170" s="2"/>
      <c r="R170" s="74">
        <f>IFERROR(__xludf.DUMMYFUNCTION("""COMPUTED_VALUE"""),45440.0)</f>
        <v>45440</v>
      </c>
      <c r="S170" s="2" t="str">
        <f>IFERROR(__xludf.DUMMYFUNCTION("""COMPUTED_VALUE"""),"MYKEE")</f>
        <v>MYKEE</v>
      </c>
      <c r="T170" s="73" t="str">
        <f>IFERROR(__xludf.DUMMYFUNCTION("""COMPUTED_VALUE""")," N/A ")</f>
        <v>N/A</v>
      </c>
      <c r="U170" s="73" t="str">
        <f>IFERROR(__xludf.DUMMYFUNCTION("""COMPUTED_VALUE""")," NO CHARGE ")</f>
        <v>NO CHARGE</v>
      </c>
      <c r="V170" s="2"/>
      <c r="W170" s="2" t="str">
        <f>IFERROR(__xludf.DUMMYFUNCTION("""COMPUTED_VALUE"""),"N/A")</f>
        <v>N/A</v>
      </c>
      <c r="X170" s="2" t="str">
        <f>IFERROR(__xludf.DUMMYFUNCTION("""COMPUTED_VALUE"""),"N/A")</f>
        <v>N/A</v>
      </c>
      <c r="Y170" s="2" t="str">
        <f>IFERROR(__xludf.DUMMYFUNCTION("""COMPUTED_VALUE"""),"JHP")</f>
        <v>JHP</v>
      </c>
      <c r="Z170" s="2"/>
      <c r="AA170" s="2"/>
      <c r="AB170" s="2"/>
      <c r="AC170" s="2"/>
      <c r="AD170" s="2"/>
      <c r="AE170" s="2"/>
      <c r="AF170" s="2"/>
      <c r="AG170" s="2"/>
      <c r="AH170" s="2"/>
      <c r="AI170" s="2"/>
      <c r="AJ170" s="2" t="str">
        <f>IFERROR(__xludf.DUMMYFUNCTION("""COMPUTED_VALUE"""),"Tanggal Sawang")</f>
        <v>Tanggal Sawang</v>
      </c>
      <c r="AK170" s="2" t="str">
        <f>IFERROR(__xludf.DUMMYFUNCTION("""COMPUTED_VALUE"""),"Umingan")</f>
        <v>Umingan</v>
      </c>
      <c r="AL170" s="2" t="str">
        <f>IFERROR(__xludf.DUMMYFUNCTION("""COMPUTED_VALUE"""),"Pangasinan")</f>
        <v>Pangasinan</v>
      </c>
      <c r="AM170" s="2">
        <f>IFERROR(__xludf.DUMMYFUNCTION("""COMPUTED_VALUE"""),1.0)</f>
        <v>1</v>
      </c>
      <c r="AN170" s="2" t="str">
        <f>IFERROR(__xludf.DUMMYFUNCTION("""COMPUTED_VALUE"""),"RCEF 23-09-21 Rebidding")</f>
        <v>RCEF 23-09-21 Rebidding</v>
      </c>
      <c r="AO170" s="2">
        <f>IFERROR(__xludf.DUMMYFUNCTION("""COMPUTED_VALUE"""),9.0)</f>
        <v>9</v>
      </c>
      <c r="AP170" s="2"/>
      <c r="AQ170" s="2"/>
      <c r="AR170" s="2"/>
      <c r="AS170" s="2"/>
      <c r="AT170" s="2"/>
      <c r="AU170" s="2"/>
      <c r="AV170" s="2"/>
      <c r="AW170" s="2"/>
      <c r="AX170" s="2"/>
      <c r="AY170" s="2"/>
      <c r="AZ170" s="2"/>
      <c r="BA170" s="2"/>
      <c r="BB170" s="2"/>
    </row>
    <row r="171">
      <c r="A171" s="2">
        <f>IFERROR(__xludf.DUMMYFUNCTION("""COMPUTED_VALUE"""),167.0)</f>
        <v>167</v>
      </c>
      <c r="B171" s="2" t="str">
        <f>IFERROR(__xludf.DUMMYFUNCTION("""COMPUTED_VALUE"""),"COMPLETED")</f>
        <v>COMPLETED</v>
      </c>
      <c r="C171" s="74">
        <f>IFERROR(__xludf.DUMMYFUNCTION("""COMPUTED_VALUE"""),45440.0)</f>
        <v>45440</v>
      </c>
      <c r="D171" s="71" t="str">
        <f>IFERROR(__xludf.DUMMYFUNCTION("""COMPUTED_VALUE"""),"ALOLA SAN JOSE ROQUE IRRIGATORS ASSOCIATION INC.")</f>
        <v>ALOLA SAN JOSE ROQUE IRRIGATORS ASSOCIATION INC.</v>
      </c>
      <c r="E171" s="71" t="str">
        <f>IFERROR(__xludf.DUMMYFUNCTION("""COMPUTED_VALUE"""),"San Jose, San Nicolas, PANGASINAN")</f>
        <v>San Jose, San Nicolas, PANGASINAN</v>
      </c>
      <c r="F171" s="2" t="str">
        <f>IFERROR(__xludf.DUMMYFUNCTION("""COMPUTED_VALUE"""),"NELIA CAOILE")</f>
        <v>NELIA CAOILE</v>
      </c>
      <c r="G171" s="2">
        <f>IFERROR(__xludf.DUMMYFUNCTION("""COMPUTED_VALUE"""),9.307456032E9)</f>
        <v>9307456032</v>
      </c>
      <c r="H171" s="2"/>
      <c r="I171" s="72" t="str">
        <f>IFERROR(__xludf.DUMMYFUNCTION("""COMPUTED_VALUE"""),"SPARE PARTS ACQUISITION")</f>
        <v>SPARE PARTS ACQUISITION</v>
      </c>
      <c r="J171" s="72" t="str">
        <f>IFERROR(__xludf.DUMMYFUNCTION("""COMPUTED_VALUE"""),"SPARE PARTS ACQUISITION")</f>
        <v>SPARE PARTS ACQUISITION</v>
      </c>
      <c r="K171" s="72" t="str">
        <f>IFERROR(__xludf.DUMMYFUNCTION("""COMPUTED_VALUE"""),"1 OIL FILTER")</f>
        <v>1 OIL FILTER</v>
      </c>
      <c r="L171" s="72" t="str">
        <f>IFERROR(__xludf.DUMMYFUNCTION("""COMPUTED_VALUE"""),"DELIVERED: TYM OIL FILTER")</f>
        <v>DELIVERED: TYM OIL FILTER</v>
      </c>
      <c r="M171" s="2"/>
      <c r="N171" s="2" t="str">
        <f>IFERROR(__xludf.DUMMYFUNCTION("""COMPUTED_VALUE"""),"OIL FILTER")</f>
        <v>OIL FILTER</v>
      </c>
      <c r="O171" s="2" t="str">
        <f>IFERROR(__xludf.DUMMYFUNCTION("""COMPUTED_VALUE"""),"N/A")</f>
        <v>N/A</v>
      </c>
      <c r="P171" s="2"/>
      <c r="Q171" s="2"/>
      <c r="R171" s="74">
        <f>IFERROR(__xludf.DUMMYFUNCTION("""COMPUTED_VALUE"""),45443.0)</f>
        <v>45443</v>
      </c>
      <c r="S171" s="2" t="str">
        <f>IFERROR(__xludf.DUMMYFUNCTION("""COMPUTED_VALUE"""),"JDP/EGT")</f>
        <v>JDP/EGT</v>
      </c>
      <c r="T171" s="73">
        <f>IFERROR(__xludf.DUMMYFUNCTION("""COMPUTED_VALUE"""),2837.5)</f>
        <v>2837.5</v>
      </c>
      <c r="U171" s="73" t="str">
        <f>IFERROR(__xludf.DUMMYFUNCTION("""COMPUTED_VALUE""")," REMITTED ")</f>
        <v>REMITTED</v>
      </c>
      <c r="V171" s="2"/>
      <c r="W171" s="2"/>
      <c r="X171" s="2"/>
      <c r="Y171" s="2" t="str">
        <f>IFERROR(__xludf.DUMMYFUNCTION("""COMPUTED_VALUE"""),"KFS")</f>
        <v>KFS</v>
      </c>
      <c r="Z171" s="2"/>
      <c r="AA171" s="2"/>
      <c r="AB171" s="2"/>
      <c r="AC171" s="2"/>
      <c r="AD171" s="2"/>
      <c r="AE171" s="2"/>
      <c r="AF171" s="2"/>
      <c r="AG171" s="2"/>
      <c r="AH171" s="2"/>
      <c r="AI171" s="2"/>
      <c r="AJ171" s="2" t="str">
        <f>IFERROR(__xludf.DUMMYFUNCTION("""COMPUTED_VALUE"""),"San Jose")</f>
        <v>San Jose</v>
      </c>
      <c r="AK171" s="2" t="str">
        <f>IFERROR(__xludf.DUMMYFUNCTION("""COMPUTED_VALUE"""),"San Nicolas")</f>
        <v>San Nicolas</v>
      </c>
      <c r="AL171" s="2" t="str">
        <f>IFERROR(__xludf.DUMMYFUNCTION("""COMPUTED_VALUE"""),"Pangasinan")</f>
        <v>Pangasinan</v>
      </c>
      <c r="AM171" s="2">
        <f>IFERROR(__xludf.DUMMYFUNCTION("""COMPUTED_VALUE"""),1.0)</f>
        <v>1</v>
      </c>
      <c r="AN171" s="2" t="str">
        <f>IFERROR(__xludf.DUMMYFUNCTION("""COMPUTED_VALUE"""),"RCEF 23-09-21 Rebidding")</f>
        <v>RCEF 23-09-21 Rebidding</v>
      </c>
      <c r="AO171" s="2">
        <f>IFERROR(__xludf.DUMMYFUNCTION("""COMPUTED_VALUE"""),2.0)</f>
        <v>2</v>
      </c>
      <c r="AP171" s="2"/>
      <c r="AQ171" s="2"/>
      <c r="AR171" s="2"/>
      <c r="AS171" s="2"/>
      <c r="AT171" s="2"/>
      <c r="AU171" s="2"/>
      <c r="AV171" s="2"/>
      <c r="AW171" s="2"/>
      <c r="AX171" s="2"/>
      <c r="AY171" s="2"/>
      <c r="AZ171" s="2"/>
      <c r="BA171" s="2"/>
      <c r="BB171" s="2"/>
    </row>
    <row r="172">
      <c r="A172" s="2">
        <f>IFERROR(__xludf.DUMMYFUNCTION("""COMPUTED_VALUE"""),168.0)</f>
        <v>168</v>
      </c>
      <c r="B172" s="2" t="str">
        <f>IFERROR(__xludf.DUMMYFUNCTION("""COMPUTED_VALUE"""),"COMPLETED")</f>
        <v>COMPLETED</v>
      </c>
      <c r="C172" s="74">
        <f>IFERROR(__xludf.DUMMYFUNCTION("""COMPUTED_VALUE"""),45440.0)</f>
        <v>45440</v>
      </c>
      <c r="D172" s="71" t="str">
        <f>IFERROR(__xludf.DUMMYFUNCTION("""COMPUTED_VALUE"""),"KALAUKAN IRRIGATORS ASSOCIATION, INC.")</f>
        <v>KALAUKAN IRRIGATORS ASSOCIATION, INC.</v>
      </c>
      <c r="E172" s="71" t="str">
        <f>IFERROR(__xludf.DUMMYFUNCTION("""COMPUTED_VALUE"""),"Cullalabo San Antonio, Burgos, ISABELA")</f>
        <v>Cullalabo San Antonio, Burgos, ISABELA</v>
      </c>
      <c r="F172" s="2" t="str">
        <f>IFERROR(__xludf.DUMMYFUNCTION("""COMPUTED_VALUE"""),"AMOR FORONDA")</f>
        <v>AMOR FORONDA</v>
      </c>
      <c r="G172" s="2">
        <f>IFERROR(__xludf.DUMMYFUNCTION("""COMPUTED_VALUE"""),9.952941507E9)</f>
        <v>9952941507</v>
      </c>
      <c r="H172" s="2">
        <f>IFERROR(__xludf.DUMMYFUNCTION("""COMPUTED_VALUE"""),51.2)</f>
        <v>51.2</v>
      </c>
      <c r="I172" s="72" t="str">
        <f>IFERROR(__xludf.DUMMYFUNCTION("""COMPUTED_VALUE"""),"SPARE PARTS ACQUISITION")</f>
        <v>SPARE PARTS ACQUISITION</v>
      </c>
      <c r="J172" s="72" t="str">
        <f>IFERROR(__xludf.DUMMYFUNCTION("""COMPUTED_VALUE"""),"SPARE PARTS ACQUISITION")</f>
        <v>SPARE PARTS ACQUISITION</v>
      </c>
      <c r="K172" s="72" t="str">
        <f>IFERROR(__xludf.DUMMYFUNCTION("""COMPUTED_VALUE"""),"NAPUTOL NILA YUNG LALAGYAN NG FILTER : FARMERS FAULT")</f>
        <v>NAPUTOL NILA YUNG LALAGYAN NG FILTER : FARMERS FAULT</v>
      </c>
      <c r="L172" s="72" t="str">
        <f>IFERROR(__xludf.DUMMYFUNCTION("""COMPUTED_VALUE"""),"KFS: C/O NATIN, HANAP NG MACHINE SHOP.     CFG:6/21/24: OK ITO NAKAUSAP KO NA PO ITO NA IPA MACHINE SHOP NALANG PO YUNG LALAGYAN NG FILTER. OK NADAW PO ANG UNIT NILA")</f>
        <v>KFS: C/O NATIN, HANAP NG MACHINE SHOP.     CFG:6/21/24: OK ITO NAKAUSAP KO NA PO ITO NA IPA MACHINE SHOP NALANG PO YUNG LALAGYAN NG FILTER. OK NADAW PO ANG UNIT NILA</v>
      </c>
      <c r="M172" s="2"/>
      <c r="N172" s="2"/>
      <c r="O172" s="2" t="str">
        <f>IFERROR(__xludf.DUMMYFUNCTION("""COMPUTED_VALUE"""),"N/A")</f>
        <v>N/A</v>
      </c>
      <c r="P172" s="2"/>
      <c r="Q172" s="2"/>
      <c r="R172" s="74">
        <f>IFERROR(__xludf.DUMMYFUNCTION("""COMPUTED_VALUE"""),45464.0)</f>
        <v>45464</v>
      </c>
      <c r="S172" s="2" t="str">
        <f>IFERROR(__xludf.DUMMYFUNCTION("""COMPUTED_VALUE"""),"CFG")</f>
        <v>CFG</v>
      </c>
      <c r="T172" s="73" t="str">
        <f>IFERROR(__xludf.DUMMYFUNCTION("""COMPUTED_VALUE""")," N/A ")</f>
        <v>N/A</v>
      </c>
      <c r="U172" s="73" t="str">
        <f>IFERROR(__xludf.DUMMYFUNCTION("""COMPUTED_VALUE""")," NO CHARGE ")</f>
        <v>NO CHARGE</v>
      </c>
      <c r="V172" s="2"/>
      <c r="W172" s="2" t="str">
        <f>IFERROR(__xludf.DUMMYFUNCTION("""COMPUTED_VALUE"""),"N/A")</f>
        <v>N/A</v>
      </c>
      <c r="X172" s="2" t="str">
        <f>IFERROR(__xludf.DUMMYFUNCTION("""COMPUTED_VALUE"""),"N/A")</f>
        <v>N/A</v>
      </c>
      <c r="Y172" s="2" t="str">
        <f>IFERROR(__xludf.DUMMYFUNCTION("""COMPUTED_VALUE"""),"CJ")</f>
        <v>CJ</v>
      </c>
      <c r="Z172" s="2"/>
      <c r="AA172" s="2"/>
      <c r="AB172" s="2"/>
      <c r="AC172" s="2"/>
      <c r="AD172" s="2"/>
      <c r="AE172" s="2"/>
      <c r="AF172" s="2"/>
      <c r="AG172" s="2"/>
      <c r="AH172" s="2"/>
      <c r="AI172" s="2"/>
      <c r="AJ172" s="2" t="str">
        <f>IFERROR(__xludf.DUMMYFUNCTION("""COMPUTED_VALUE"""),"Cullalabo San Antonio")</f>
        <v>Cullalabo San Antonio</v>
      </c>
      <c r="AK172" s="2" t="str">
        <f>IFERROR(__xludf.DUMMYFUNCTION("""COMPUTED_VALUE"""),"Burgos")</f>
        <v>Burgos</v>
      </c>
      <c r="AL172" s="2" t="str">
        <f>IFERROR(__xludf.DUMMYFUNCTION("""COMPUTED_VALUE"""),"Isabela")</f>
        <v>Isabela</v>
      </c>
      <c r="AM172" s="2">
        <f>IFERROR(__xludf.DUMMYFUNCTION("""COMPUTED_VALUE"""),2.0)</f>
        <v>2</v>
      </c>
      <c r="AN172" s="2" t="str">
        <f>IFERROR(__xludf.DUMMYFUNCTION("""COMPUTED_VALUE"""),"RCEF 23-09-21 Rebidding")</f>
        <v>RCEF 23-09-21 Rebidding</v>
      </c>
      <c r="AO172" s="2">
        <f>IFERROR(__xludf.DUMMYFUNCTION("""COMPUTED_VALUE"""),9.0)</f>
        <v>9</v>
      </c>
      <c r="AP172" s="2"/>
      <c r="AQ172" s="2"/>
      <c r="AR172" s="2"/>
      <c r="AS172" s="2"/>
      <c r="AT172" s="2"/>
      <c r="AU172" s="2"/>
      <c r="AV172" s="2"/>
      <c r="AW172" s="2"/>
      <c r="AX172" s="2"/>
      <c r="AY172" s="2"/>
      <c r="AZ172" s="2"/>
      <c r="BA172" s="2"/>
      <c r="BB172" s="2"/>
    </row>
    <row r="173">
      <c r="A173" s="2">
        <f>IFERROR(__xludf.DUMMYFUNCTION("""COMPUTED_VALUE"""),169.0)</f>
        <v>169</v>
      </c>
      <c r="B173" s="2" t="str">
        <f>IFERROR(__xludf.DUMMYFUNCTION("""COMPUTED_VALUE"""),"COMPLETED")</f>
        <v>COMPLETED</v>
      </c>
      <c r="C173" s="74">
        <f>IFERROR(__xludf.DUMMYFUNCTION("""COMPUTED_VALUE"""),45441.0)</f>
        <v>45441</v>
      </c>
      <c r="D173" s="71" t="str">
        <f>IFERROR(__xludf.DUMMYFUNCTION("""COMPUTED_VALUE"""),"SANMIGUELUNA RICE AND CORN FARMERS ASSN. INC.")</f>
        <v>SANMIGUELUNA RICE AND CORN FARMERS ASSN. INC.</v>
      </c>
      <c r="E173" s="71" t="str">
        <f>IFERROR(__xludf.DUMMYFUNCTION("""COMPUTED_VALUE"""),"San Miguel, Natividad, PANGASINAN")</f>
        <v>San Miguel, Natividad, PANGASINAN</v>
      </c>
      <c r="F173" s="2" t="str">
        <f>IFERROR(__xludf.DUMMYFUNCTION("""COMPUTED_VALUE"""),"PABLO JR. ESTILLORE")</f>
        <v>PABLO JR. ESTILLORE</v>
      </c>
      <c r="G173" s="2">
        <f>IFERROR(__xludf.DUMMYFUNCTION("""COMPUTED_VALUE"""),9.458644566E9)</f>
        <v>9458644566</v>
      </c>
      <c r="H173" s="2">
        <f>IFERROR(__xludf.DUMMYFUNCTION("""COMPUTED_VALUE"""),54.0)</f>
        <v>54</v>
      </c>
      <c r="I173" s="72" t="str">
        <f>IFERROR(__xludf.DUMMYFUNCTION("""COMPUTED_VALUE"""),"PMS")</f>
        <v>PMS</v>
      </c>
      <c r="J173" s="72" t="str">
        <f>IFERROR(__xludf.DUMMYFUNCTION("""COMPUTED_VALUE"""),"PMS")</f>
        <v>PMS</v>
      </c>
      <c r="K173" s="72" t="str">
        <f>IFERROR(__xludf.DUMMYFUNCTION("""COMPUTED_VALUE"""),"FIRTS PMS")</f>
        <v>FIRTS PMS</v>
      </c>
      <c r="L173" s="72" t="str">
        <f>IFERROR(__xludf.DUMMYFUNCTION("""COMPUTED_VALUE"""),"CHANGE OIL")</f>
        <v>CHANGE OIL</v>
      </c>
      <c r="M173" s="2"/>
      <c r="N173" s="2"/>
      <c r="O173" s="2" t="str">
        <f>IFERROR(__xludf.DUMMYFUNCTION("""COMPUTED_VALUE"""),"JIE-085")</f>
        <v>JIE-085</v>
      </c>
      <c r="P173" s="2"/>
      <c r="Q173" s="2"/>
      <c r="R173" s="74">
        <f>IFERROR(__xludf.DUMMYFUNCTION("""COMPUTED_VALUE"""),45447.0)</f>
        <v>45447</v>
      </c>
      <c r="S173" s="2"/>
      <c r="T173" s="73" t="str">
        <f>IFERROR(__xludf.DUMMYFUNCTION("""COMPUTED_VALUE""")," N/A ")</f>
        <v>N/A</v>
      </c>
      <c r="U173" s="73" t="str">
        <f>IFERROR(__xludf.DUMMYFUNCTION("""COMPUTED_VALUE""")," NO CHARGE ")</f>
        <v>NO CHARGE</v>
      </c>
      <c r="V173" s="2"/>
      <c r="W173" s="2" t="str">
        <f>IFERROR(__xludf.DUMMYFUNCTION("""COMPUTED_VALUE"""),"N/A")</f>
        <v>N/A</v>
      </c>
      <c r="X173" s="2" t="str">
        <f>IFERROR(__xludf.DUMMYFUNCTION("""COMPUTED_VALUE"""),"N/A")</f>
        <v>N/A</v>
      </c>
      <c r="Y173" s="2" t="str">
        <f>IFERROR(__xludf.DUMMYFUNCTION("""COMPUTED_VALUE"""),"KFS")</f>
        <v>KFS</v>
      </c>
      <c r="Z173" s="2"/>
      <c r="AA173" s="2"/>
      <c r="AB173" s="2"/>
      <c r="AC173" s="2"/>
      <c r="AD173" s="2"/>
      <c r="AE173" s="2"/>
      <c r="AF173" s="2"/>
      <c r="AG173" s="2"/>
      <c r="AH173" s="2"/>
      <c r="AI173" s="2"/>
      <c r="AJ173" s="2" t="str">
        <f>IFERROR(__xludf.DUMMYFUNCTION("""COMPUTED_VALUE"""),"San Miguel")</f>
        <v>San Miguel</v>
      </c>
      <c r="AK173" s="2" t="str">
        <f>IFERROR(__xludf.DUMMYFUNCTION("""COMPUTED_VALUE"""),"Natividad")</f>
        <v>Natividad</v>
      </c>
      <c r="AL173" s="2" t="str">
        <f>IFERROR(__xludf.DUMMYFUNCTION("""COMPUTED_VALUE"""),"Pangasinan")</f>
        <v>Pangasinan</v>
      </c>
      <c r="AM173" s="2">
        <f>IFERROR(__xludf.DUMMYFUNCTION("""COMPUTED_VALUE"""),1.0)</f>
        <v>1</v>
      </c>
      <c r="AN173" s="2" t="str">
        <f>IFERROR(__xludf.DUMMYFUNCTION("""COMPUTED_VALUE"""),"RCEF 23-09-21 Rebidding")</f>
        <v>RCEF 23-09-21 Rebidding</v>
      </c>
      <c r="AO173" s="2">
        <f>IFERROR(__xludf.DUMMYFUNCTION("""COMPUTED_VALUE"""),2.0)</f>
        <v>2</v>
      </c>
      <c r="AP173" s="2"/>
      <c r="AQ173" s="2"/>
      <c r="AR173" s="2"/>
      <c r="AS173" s="2"/>
      <c r="AT173" s="2"/>
      <c r="AU173" s="2"/>
      <c r="AV173" s="2"/>
      <c r="AW173" s="2"/>
      <c r="AX173" s="2"/>
      <c r="AY173" s="2"/>
      <c r="AZ173" s="2"/>
      <c r="BA173" s="2"/>
      <c r="BB173" s="2"/>
    </row>
    <row r="174">
      <c r="A174" s="2">
        <f>IFERROR(__xludf.DUMMYFUNCTION("""COMPUTED_VALUE"""),170.0)</f>
        <v>170</v>
      </c>
      <c r="B174" s="2" t="str">
        <f>IFERROR(__xludf.DUMMYFUNCTION("""COMPUTED_VALUE"""),"COMPLETED")</f>
        <v>COMPLETED</v>
      </c>
      <c r="C174" s="74">
        <f>IFERROR(__xludf.DUMMYFUNCTION("""COMPUTED_VALUE"""),45441.0)</f>
        <v>45441</v>
      </c>
      <c r="D174" s="71" t="str">
        <f>IFERROR(__xludf.DUMMYFUNCTION("""COMPUTED_VALUE"""),"Cabaruan Main Extension Irrigators Association, Inc.")</f>
        <v>Cabaruan Main Extension Irrigators Association, Inc.</v>
      </c>
      <c r="E174" s="71" t="str">
        <f>IFERROR(__xludf.DUMMYFUNCTION("""COMPUTED_VALUE"""),"Cabaruan, Maddela, QUIRINO")</f>
        <v>Cabaruan, Maddela, QUIRINO</v>
      </c>
      <c r="F174" s="2" t="str">
        <f>IFERROR(__xludf.DUMMYFUNCTION("""COMPUTED_VALUE"""),"(CABAROAN MPC)                   ROESEMARIE KARGANILLA")</f>
        <v>(CABAROAN MPC)                   ROESEMARIE KARGANILLA</v>
      </c>
      <c r="G174" s="2">
        <f>IFERROR(__xludf.DUMMYFUNCTION("""COMPUTED_VALUE"""),9.162822504E9)</f>
        <v>9162822504</v>
      </c>
      <c r="H174" s="2"/>
      <c r="I174" s="72" t="str">
        <f>IFERROR(__xludf.DUMMYFUNCTION("""COMPUTED_VALUE"""),"REPAIR - LOADER")</f>
        <v>REPAIR - LOADER</v>
      </c>
      <c r="J174" s="72" t="str">
        <f>IFERROR(__xludf.DUMMYFUNCTION("""COMPUTED_VALUE"""),"Leak")</f>
        <v>Leak</v>
      </c>
      <c r="K174" s="72" t="str">
        <f>IFERROR(__xludf.DUMMYFUNCTION("""COMPUTED_VALUE"""),"TUMATAGAS PA RIN YUNG HYDRAULIC PORT NG FONT LOADER")</f>
        <v>TUMATAGAS PA RIN YUNG HYDRAULIC PORT NG FONT LOADER</v>
      </c>
      <c r="L174" s="72" t="str">
        <f>IFERROR(__xludf.DUMMYFUNCTION("""COMPUTED_VALUE"""),"REPAIR HYDRAULIC VALVE LEAKING")</f>
        <v>REPAIR HYDRAULIC VALVE LEAKING</v>
      </c>
      <c r="M174" s="2"/>
      <c r="N174" s="2"/>
      <c r="O174" s="2" t="str">
        <f>IFERROR(__xludf.DUMMYFUNCTION("""COMPUTED_VALUE"""),"JIE-091")</f>
        <v>JIE-091</v>
      </c>
      <c r="P174" s="2"/>
      <c r="Q174" s="2"/>
      <c r="R174" s="74">
        <f>IFERROR(__xludf.DUMMYFUNCTION("""COMPUTED_VALUE"""),45448.0)</f>
        <v>45448</v>
      </c>
      <c r="S174" s="2"/>
      <c r="T174" s="73" t="str">
        <f>IFERROR(__xludf.DUMMYFUNCTION("""COMPUTED_VALUE""")," N/A ")</f>
        <v>N/A</v>
      </c>
      <c r="U174" s="73" t="str">
        <f>IFERROR(__xludf.DUMMYFUNCTION("""COMPUTED_VALUE""")," NO CHARGE ")</f>
        <v>NO CHARGE</v>
      </c>
      <c r="V174" s="2"/>
      <c r="W174" s="2" t="str">
        <f>IFERROR(__xludf.DUMMYFUNCTION("""COMPUTED_VALUE"""),"N/A")</f>
        <v>N/A</v>
      </c>
      <c r="X174" s="2" t="str">
        <f>IFERROR(__xludf.DUMMYFUNCTION("""COMPUTED_VALUE"""),"N/A")</f>
        <v>N/A</v>
      </c>
      <c r="Y174" s="2" t="str">
        <f>IFERROR(__xludf.DUMMYFUNCTION("""COMPUTED_VALUE"""),"KFS")</f>
        <v>KFS</v>
      </c>
      <c r="Z174" s="2"/>
      <c r="AA174" s="2"/>
      <c r="AB174" s="2"/>
      <c r="AC174" s="2"/>
      <c r="AD174" s="2"/>
      <c r="AE174" s="2"/>
      <c r="AF174" s="2"/>
      <c r="AG174" s="2"/>
      <c r="AH174" s="2"/>
      <c r="AI174" s="2"/>
      <c r="AJ174" s="2" t="str">
        <f>IFERROR(__xludf.DUMMYFUNCTION("""COMPUTED_VALUE"""),"Cabaruan")</f>
        <v>Cabaruan</v>
      </c>
      <c r="AK174" s="2" t="str">
        <f>IFERROR(__xludf.DUMMYFUNCTION("""COMPUTED_VALUE"""),"Maddela")</f>
        <v>Maddela</v>
      </c>
      <c r="AL174" s="2" t="str">
        <f>IFERROR(__xludf.DUMMYFUNCTION("""COMPUTED_VALUE"""),"Quirino")</f>
        <v>Quirino</v>
      </c>
      <c r="AM174" s="2">
        <f>IFERROR(__xludf.DUMMYFUNCTION("""COMPUTED_VALUE"""),2.0)</f>
        <v>2</v>
      </c>
      <c r="AN174" s="2" t="str">
        <f>IFERROR(__xludf.DUMMYFUNCTION("""COMPUTED_VALUE"""),"RCEF 23-09-21 Rebidding")</f>
        <v>RCEF 23-09-21 Rebidding</v>
      </c>
      <c r="AO174" s="2">
        <f>IFERROR(__xludf.DUMMYFUNCTION("""COMPUTED_VALUE"""),9.0)</f>
        <v>9</v>
      </c>
      <c r="AP174" s="2"/>
      <c r="AQ174" s="2"/>
      <c r="AR174" s="2"/>
      <c r="AS174" s="2"/>
      <c r="AT174" s="2"/>
      <c r="AU174" s="2"/>
      <c r="AV174" s="2"/>
      <c r="AW174" s="2"/>
      <c r="AX174" s="2"/>
      <c r="AY174" s="2"/>
      <c r="AZ174" s="2"/>
      <c r="BA174" s="2"/>
      <c r="BB174" s="2"/>
    </row>
    <row r="175">
      <c r="A175" s="2">
        <f>IFERROR(__xludf.DUMMYFUNCTION("""COMPUTED_VALUE"""),171.0)</f>
        <v>171</v>
      </c>
      <c r="B175" s="2" t="str">
        <f>IFERROR(__xludf.DUMMYFUNCTION("""COMPUTED_VALUE"""),"COMPLETED")</f>
        <v>COMPLETED</v>
      </c>
      <c r="C175" s="74">
        <f>IFERROR(__xludf.DUMMYFUNCTION("""COMPUTED_VALUE"""),45441.0)</f>
        <v>45441</v>
      </c>
      <c r="D175" s="71" t="str">
        <f>IFERROR(__xludf.DUMMYFUNCTION("""COMPUTED_VALUE"""),"BARAGAY SAN MIGUEL FARMERS ASSOCIATION")</f>
        <v>BARAGAY SAN MIGUEL FARMERS ASSOCIATION</v>
      </c>
      <c r="E175" s="71" t="str">
        <f>IFERROR(__xludf.DUMMYFUNCTION("""COMPUTED_VALUE"""),"San Miguel, Guimba, NUEVA ECIJA")</f>
        <v>San Miguel, Guimba, NUEVA ECIJA</v>
      </c>
      <c r="F175" s="2" t="str">
        <f>IFERROR(__xludf.DUMMYFUNCTION("""COMPUTED_VALUE"""),"DR. TERESITO G. AGUINALDO")</f>
        <v>DR. TERESITO G. AGUINALDO</v>
      </c>
      <c r="G175" s="2">
        <f>IFERROR(__xludf.DUMMYFUNCTION("""COMPUTED_VALUE"""),9.18918675E9)</f>
        <v>9189186750</v>
      </c>
      <c r="H175" s="2">
        <f>IFERROR(__xludf.DUMMYFUNCTION("""COMPUTED_VALUE"""),42.0)</f>
        <v>42</v>
      </c>
      <c r="I175" s="72" t="str">
        <f>IFERROR(__xludf.DUMMYFUNCTION("""COMPUTED_VALUE"""),"PMS")</f>
        <v>PMS</v>
      </c>
      <c r="J175" s="72" t="str">
        <f>IFERROR(__xludf.DUMMYFUNCTION("""COMPUTED_VALUE"""),"PMS")</f>
        <v>PMS</v>
      </c>
      <c r="K175" s="72" t="str">
        <f>IFERROR(__xludf.DUMMYFUNCTION("""COMPUTED_VALUE"""),"FIRTS PMS AND MACHINE INSPECTION")</f>
        <v>FIRTS PMS AND MACHINE INSPECTION</v>
      </c>
      <c r="L175" s="72" t="str">
        <f>IFERROR(__xludf.DUMMYFUNCTION("""COMPUTED_VALUE"""),"DENMARK: FIRST PMS DONE, INAYOS NADIN NAMIN YUNG BRAKE LIGHT")</f>
        <v>DENMARK: FIRST PMS DONE, INAYOS NADIN NAMIN YUNG BRAKE LIGHT</v>
      </c>
      <c r="M175" s="2"/>
      <c r="N175" s="2"/>
      <c r="O175" s="2" t="str">
        <f>IFERROR(__xludf.DUMMYFUNCTION("""COMPUTED_VALUE"""),"JIE-092")</f>
        <v>JIE-092</v>
      </c>
      <c r="P175" s="2"/>
      <c r="Q175" s="2"/>
      <c r="R175" s="74">
        <f>IFERROR(__xludf.DUMMYFUNCTION("""COMPUTED_VALUE"""),45450.0)</f>
        <v>45450</v>
      </c>
      <c r="S175" s="2" t="str">
        <f>IFERROR(__xludf.DUMMYFUNCTION("""COMPUTED_VALUE"""),"CFG/DSD")</f>
        <v>CFG/DSD</v>
      </c>
      <c r="T175" s="73" t="str">
        <f>IFERROR(__xludf.DUMMYFUNCTION("""COMPUTED_VALUE""")," N/A ")</f>
        <v>N/A</v>
      </c>
      <c r="U175" s="73" t="str">
        <f>IFERROR(__xludf.DUMMYFUNCTION("""COMPUTED_VALUE""")," NO CHARGE ")</f>
        <v>NO CHARGE</v>
      </c>
      <c r="V175" s="2"/>
      <c r="W175" s="2" t="str">
        <f>IFERROR(__xludf.DUMMYFUNCTION("""COMPUTED_VALUE"""),"N/A")</f>
        <v>N/A</v>
      </c>
      <c r="X175" s="2" t="str">
        <f>IFERROR(__xludf.DUMMYFUNCTION("""COMPUTED_VALUE"""),"N/A")</f>
        <v>N/A</v>
      </c>
      <c r="Y175" s="2" t="str">
        <f>IFERROR(__xludf.DUMMYFUNCTION("""COMPUTED_VALUE"""),"KFS")</f>
        <v>KFS</v>
      </c>
      <c r="Z175" s="2"/>
      <c r="AA175" s="2"/>
      <c r="AB175" s="2"/>
      <c r="AC175" s="2"/>
      <c r="AD175" s="2" t="str">
        <f>IFERROR(__xludf.DUMMYFUNCTION("""COMPUTED_VALUE"""),"REPORT")</f>
        <v>REPORT</v>
      </c>
      <c r="AE175" s="2"/>
      <c r="AF175" s="2"/>
      <c r="AG175" s="2"/>
      <c r="AH175" s="2"/>
      <c r="AI175" s="2"/>
      <c r="AJ175" s="2" t="str">
        <f>IFERROR(__xludf.DUMMYFUNCTION("""COMPUTED_VALUE"""),"San Miguel")</f>
        <v>San Miguel</v>
      </c>
      <c r="AK175" s="2" t="str">
        <f>IFERROR(__xludf.DUMMYFUNCTION("""COMPUTED_VALUE"""),"Guimba")</f>
        <v>Guimba</v>
      </c>
      <c r="AL175" s="2" t="str">
        <f>IFERROR(__xludf.DUMMYFUNCTION("""COMPUTED_VALUE"""),"Nueva Ecija")</f>
        <v>Nueva Ecija</v>
      </c>
      <c r="AM175" s="2">
        <f>IFERROR(__xludf.DUMMYFUNCTION("""COMPUTED_VALUE"""),3.0)</f>
        <v>3</v>
      </c>
      <c r="AN175" s="2" t="str">
        <f>IFERROR(__xludf.DUMMYFUNCTION("""COMPUTED_VALUE"""),"RCEF 23-09-21 Rebidding")</f>
        <v>RCEF 23-09-21 Rebidding</v>
      </c>
      <c r="AO175" s="2">
        <f>IFERROR(__xludf.DUMMYFUNCTION("""COMPUTED_VALUE"""),3.0)</f>
        <v>3</v>
      </c>
      <c r="AP175" s="2"/>
      <c r="AQ175" s="2"/>
      <c r="AR175" s="2"/>
      <c r="AS175" s="2"/>
      <c r="AT175" s="2"/>
      <c r="AU175" s="2"/>
      <c r="AV175" s="2"/>
      <c r="AW175" s="2"/>
      <c r="AX175" s="2"/>
      <c r="AY175" s="2"/>
      <c r="AZ175" s="2"/>
      <c r="BA175" s="2"/>
      <c r="BB175" s="2"/>
    </row>
    <row r="176">
      <c r="A176" s="2">
        <f>IFERROR(__xludf.DUMMYFUNCTION("""COMPUTED_VALUE"""),172.0)</f>
        <v>172</v>
      </c>
      <c r="B176" s="2" t="str">
        <f>IFERROR(__xludf.DUMMYFUNCTION("""COMPUTED_VALUE"""),"COMPLETED")</f>
        <v>COMPLETED</v>
      </c>
      <c r="C176" s="74">
        <f>IFERROR(__xludf.DUMMYFUNCTION("""COMPUTED_VALUE"""),45442.0)</f>
        <v>45442</v>
      </c>
      <c r="D176" s="71" t="str">
        <f>IFERROR(__xludf.DUMMYFUNCTION("""COMPUTED_VALUE"""),"BARING SAN NICOLAS FARMERS ASSOCIATION")</f>
        <v>BARING SAN NICOLAS FARMERS ASSOCIATION</v>
      </c>
      <c r="E176" s="71" t="str">
        <f>IFERROR(__xludf.DUMMYFUNCTION("""COMPUTED_VALUE"""),"San Nicolas, Castillejos, ZAMBALES")</f>
        <v>San Nicolas, Castillejos, ZAMBALES</v>
      </c>
      <c r="F176" s="2" t="str">
        <f>IFERROR(__xludf.DUMMYFUNCTION("""COMPUTED_VALUE"""),"EDUARDO A. MOJICA")</f>
        <v>EDUARDO A. MOJICA</v>
      </c>
      <c r="G176" s="2">
        <f>IFERROR(__xludf.DUMMYFUNCTION("""COMPUTED_VALUE"""),9.816762779E9)</f>
        <v>9816762779</v>
      </c>
      <c r="H176" s="2">
        <f>IFERROR(__xludf.DUMMYFUNCTION("""COMPUTED_VALUE"""),86.2)</f>
        <v>86.2</v>
      </c>
      <c r="I176" s="72" t="str">
        <f>IFERROR(__xludf.DUMMYFUNCTION("""COMPUTED_VALUE"""),"PMS")</f>
        <v>PMS</v>
      </c>
      <c r="J176" s="72" t="str">
        <f>IFERROR(__xludf.DUMMYFUNCTION("""COMPUTED_VALUE"""),"PMS")</f>
        <v>PMS</v>
      </c>
      <c r="K176" s="72" t="str">
        <f>IFERROR(__xludf.DUMMYFUNCTION("""COMPUTED_VALUE"""),"MASYADO MALAKAS MAG KONSUMO NG DIESEL")</f>
        <v>MASYADO MALAKAS MAG KONSUMO NG DIESEL</v>
      </c>
      <c r="L176" s="72" t="str">
        <f>IFERROR(__xludf.DUMMYFUNCTION("""COMPUTED_VALUE"""),"DONE: FIRST PMS, CHANGE OIL")</f>
        <v>DONE: FIRST PMS, CHANGE OIL</v>
      </c>
      <c r="M176" s="2"/>
      <c r="N176" s="2"/>
      <c r="O176" s="2" t="str">
        <f>IFERROR(__xludf.DUMMYFUNCTION("""COMPUTED_VALUE"""),"JIE-802")</f>
        <v>JIE-802</v>
      </c>
      <c r="P176" s="2"/>
      <c r="Q176" s="2"/>
      <c r="R176" s="74">
        <f>IFERROR(__xludf.DUMMYFUNCTION("""COMPUTED_VALUE"""),45456.0)</f>
        <v>45456</v>
      </c>
      <c r="S176" s="2" t="str">
        <f>IFERROR(__xludf.DUMMYFUNCTION("""COMPUTED_VALUE"""),"EGT/JDP")</f>
        <v>EGT/JDP</v>
      </c>
      <c r="T176" s="73" t="str">
        <f>IFERROR(__xludf.DUMMYFUNCTION("""COMPUTED_VALUE""")," N/A ")</f>
        <v>N/A</v>
      </c>
      <c r="U176" s="73" t="str">
        <f>IFERROR(__xludf.DUMMYFUNCTION("""COMPUTED_VALUE""")," NO CHARGE ")</f>
        <v>NO CHARGE</v>
      </c>
      <c r="V176" s="2"/>
      <c r="W176" s="2" t="str">
        <f>IFERROR(__xludf.DUMMYFUNCTION("""COMPUTED_VALUE"""),"N/A")</f>
        <v>N/A</v>
      </c>
      <c r="X176" s="2" t="str">
        <f>IFERROR(__xludf.DUMMYFUNCTION("""COMPUTED_VALUE"""),"N/A")</f>
        <v>N/A</v>
      </c>
      <c r="Y176" s="2" t="str">
        <f>IFERROR(__xludf.DUMMYFUNCTION("""COMPUTED_VALUE"""),"ERP")</f>
        <v>ERP</v>
      </c>
      <c r="Z176" s="2"/>
      <c r="AA176" s="2"/>
      <c r="AB176" s="2"/>
      <c r="AC176" s="2"/>
      <c r="AD176" s="2"/>
      <c r="AE176" s="2"/>
      <c r="AF176" s="2"/>
      <c r="AG176" s="2"/>
      <c r="AH176" s="2"/>
      <c r="AI176" s="2"/>
      <c r="AJ176" s="2" t="str">
        <f>IFERROR(__xludf.DUMMYFUNCTION("""COMPUTED_VALUE"""),"San Nicolas")</f>
        <v>San Nicolas</v>
      </c>
      <c r="AK176" s="2" t="str">
        <f>IFERROR(__xludf.DUMMYFUNCTION("""COMPUTED_VALUE"""),"Castillejos")</f>
        <v>Castillejos</v>
      </c>
      <c r="AL176" s="2" t="str">
        <f>IFERROR(__xludf.DUMMYFUNCTION("""COMPUTED_VALUE"""),"Zambales")</f>
        <v>Zambales</v>
      </c>
      <c r="AM176" s="2">
        <f>IFERROR(__xludf.DUMMYFUNCTION("""COMPUTED_VALUE"""),3.0)</f>
        <v>3</v>
      </c>
      <c r="AN176" s="2" t="str">
        <f>IFERROR(__xludf.DUMMYFUNCTION("""COMPUTED_VALUE"""),"RCEF 23-09-21 Rebidding")</f>
        <v>RCEF 23-09-21 Rebidding</v>
      </c>
      <c r="AO176" s="2">
        <f>IFERROR(__xludf.DUMMYFUNCTION("""COMPUTED_VALUE"""),3.0)</f>
        <v>3</v>
      </c>
      <c r="AP176" s="2"/>
      <c r="AQ176" s="2"/>
      <c r="AR176" s="2"/>
      <c r="AS176" s="2"/>
      <c r="AT176" s="2"/>
      <c r="AU176" s="2"/>
      <c r="AV176" s="2"/>
      <c r="AW176" s="2"/>
      <c r="AX176" s="2"/>
      <c r="AY176" s="2"/>
      <c r="AZ176" s="2"/>
      <c r="BA176" s="2"/>
      <c r="BB176" s="2"/>
    </row>
    <row r="177">
      <c r="A177" s="2">
        <f>IFERROR(__xludf.DUMMYFUNCTION("""COMPUTED_VALUE"""),173.0)</f>
        <v>173</v>
      </c>
      <c r="B177" s="2" t="str">
        <f>IFERROR(__xludf.DUMMYFUNCTION("""COMPUTED_VALUE"""),"COMPLETED")</f>
        <v>COMPLETED</v>
      </c>
      <c r="C177" s="74">
        <f>IFERROR(__xludf.DUMMYFUNCTION("""COMPUTED_VALUE"""),45443.0)</f>
        <v>45443</v>
      </c>
      <c r="D177" s="71" t="str">
        <f>IFERROR(__xludf.DUMMYFUNCTION("""COMPUTED_VALUE"""),"MUNICIPAL LOCAL GOVERNMENT UNIT OF ANGAT")</f>
        <v>MUNICIPAL LOCAL GOVERNMENT UNIT OF ANGAT</v>
      </c>
      <c r="E177" s="71" t="str">
        <f>IFERROR(__xludf.DUMMYFUNCTION("""COMPUTED_VALUE"""),"Poblacion, Angat, Bulacan")</f>
        <v>Poblacion, Angat, Bulacan</v>
      </c>
      <c r="F177" s="2" t="str">
        <f>IFERROR(__xludf.DUMMYFUNCTION("""COMPUTED_VALUE"""),"(MUNICIPAL GOVERMENT OF ANGAT)")</f>
        <v>(MUNICIPAL GOVERMENT OF ANGAT)</v>
      </c>
      <c r="G177" s="2">
        <f>IFERROR(__xludf.DUMMYFUNCTION("""COMPUTED_VALUE"""),9.179941102E9)</f>
        <v>9179941102</v>
      </c>
      <c r="H177" s="2"/>
      <c r="I177" s="72" t="str">
        <f>IFERROR(__xludf.DUMMYFUNCTION("""COMPUTED_VALUE"""),"REPAIR - ROTAVATOR")</f>
        <v>REPAIR - ROTAVATOR</v>
      </c>
      <c r="J177" s="72" t="str">
        <f>IFERROR(__xludf.DUMMYFUNCTION("""COMPUTED_VALUE"""),"Gearbox")</f>
        <v>Gearbox</v>
      </c>
      <c r="K177" s="72" t="str">
        <f>IFERROR(__xludf.DUMMYFUNCTION("""COMPUTED_VALUE"""),"NASIRA ULIT ANG GEAR: SERVICE REPORT      
6/3/24: PINION GEAR  FOR REPLACEMENT     
6/6/24: SIRA ANG SHAFTING (RIGHT)     
6/14/24: BINAKLAS NAMIN ANG ROTAVATOR AT NILAGYAN PO NAMIN NG GASKET PARA MAG LAYO ANG PINION GEAR AT BEVEL GEAR, TINESTING PO NAMI"&amp;"N HINDI NA PO MAIINIT.    
REMARKS: NEED TO REPLACE PTO SWITCH KASI PO BIGLA NALANG HUHINTO YUNG ROTA KAHIT NAKA ENGAGED PO ANG PTO SWITCH                   
BASE ON  RCG:NO REPORT: PTO CLUTCH PACK ANG SIRA NG UNIT
EGT:6/28/24: NAGLOLOKO PO KASI ANG ROTAV"&amp;"ATOR KAPAG UMIINIT NA PO BIGLA NALANG DI GUMAGANA YUNG ROTAVATOR NAGCHECK DAW PO SILA NG HYDROLIC OIL 32 LITERS LANG PO NAKUHA NUNG DRAIN PO SILA KULANG PO NG 8 LITERS NA HYDRAULIC OIL POSSIBLE NA MASIRA PO ANG CLUTCH PACK
CFG: 7/7/24: ANG SABI PO AY PTO "&amp;"CLUTCH PACK ANG SIRA, NAG CHECK NAMAN PO KAMI NG OIL GOODS NAMAN YUNG OIL, BAGO KAMI MAGBAKLAS MERON KAMI INADJUST NA PTO VALVE ,NAG OK NA ANG UNIT NILA GINAMIT NAMIN NG MAHIGIT 2HRS HINDI NA PAHINTO HINTO  PAG NILALIMAN YUNG KAIN NG ROTAVATOR, ANG PROBLE"&amp;"MA NAMAN AY PAG LUMAPIT SA IBANG AREA PAG TINATAAS YUNG ROTAVATOR MINSAN HINDI IIKOT YUNG ROTAVATOR , NAG ADJUST AKO SA MAY CENSOR GANUN PADIN , PAG INAAGAT AT IBABABA YUNG ROTA HINDI NANAMAN IIKOT. KAYA ANG PROBLEMA PO AY PTO SWITCH.")</f>
        <v>NASIRA ULIT ANG GEAR: SERVICE REPORT      
6/3/24: PINION GEAR  FOR REPLACEMENT     
6/6/24: SIRA ANG SHAFTING (RIGHT)     
6/14/24: BINAKLAS NAMIN ANG ROTAVATOR AT NILAGYAN PO NAMIN NG GASKET PARA MAG LAYO ANG PINION GEAR AT BEVEL GEAR, TINESTING PO NAMIN HINDI NA PO MAIINIT.    
REMARKS: NEED TO REPLACE PTO SWITCH KASI PO BIGLA NALANG HUHINTO YUNG ROTA KAHIT NAKA ENGAGED PO ANG PTO SWITCH                   
BASE ON  RCG:NO REPORT: PTO CLUTCH PACK ANG SIRA NG UNIT
EGT:6/28/24: NAGLOLOKO PO KASI ANG ROTAVATOR KAPAG UMIINIT NA PO BIGLA NALANG DI GUMAGANA YUNG ROTAVATOR NAGCHECK DAW PO SILA NG HYDROLIC OIL 32 LITERS LANG PO NAKUHA NUNG DRAIN PO SILA KULANG PO NG 8 LITERS NA HYDRAULIC OIL POSSIBLE NA MASIRA PO ANG CLUTCH PACK
CFG: 7/7/24: ANG SABI PO AY PTO CLUTCH PACK ANG SIRA, NAG CHECK NAMAN PO KAMI NG OIL GOODS NAMAN YUNG OIL, BAGO KAMI MAGBAKLAS MERON KAMI INADJUST NA PTO VALVE ,NAG OK NA ANG UNIT NILA GINAMIT NAMIN NG MAHIGIT 2HRS HINDI NA PAHINTO HINTO  PAG NILALIMAN YUNG KAIN NG ROTAVATOR, ANG PROBLEMA NAMAN AY PAG LUMAPIT SA IBANG AREA PAG TINATAAS YUNG ROTAVATOR MINSAN HINDI IIKOT YUNG ROTAVATOR , NAG ADJUST AKO SA MAY CENSOR GANUN PADIN , PAG INAAGAT AT IBABABA YUNG ROTA HINDI NANAMAN IIKOT. KAYA ANG PROBLEMA PO AY PTO SWITCH.</v>
      </c>
      <c r="L177" s="72" t="str">
        <f>IFERROR(__xludf.DUMMYFUNCTION("""COMPUTED_VALUE"""),"6/14/24: DSD: BINAKLAS NAMIN ANG ROTAVATOR AT NILAGYAN PO NAMIN NG GASKET PARA MAG LAYO ANG PINION GEAR AT BEVEL GEAR, TINESTING PO NAMIN HINDI NA PO MAIINIT.  
CFG: 7/8/24: FOR CLOSE NA ANG REPORT. OK NADAW PO ANG UNIT.")</f>
        <v>6/14/24: DSD: BINAKLAS NAMIN ANG ROTAVATOR AT NILAGYAN PO NAMIN NG GASKET PARA MAG LAYO ANG PINION GEAR AT BEVEL GEAR, TINESTING PO NAMIN HINDI NA PO MAIINIT.  
CFG: 7/8/24: FOR CLOSE NA ANG REPORT. OK NADAW PO ANG UNIT.</v>
      </c>
      <c r="M177" s="2"/>
      <c r="N177" s="2" t="str">
        <f>IFERROR(__xludf.DUMMYFUNCTION("""COMPUTED_VALUE"""),"PARTS:")</f>
        <v>PARTS:</v>
      </c>
      <c r="O177" s="2" t="str">
        <f>IFERROR(__xludf.DUMMYFUNCTION("""COMPUTED_VALUE"""),"JIE-836")</f>
        <v>JIE-836</v>
      </c>
      <c r="P177" s="2"/>
      <c r="Q177" s="2"/>
      <c r="R177" s="74">
        <f>IFERROR(__xludf.DUMMYFUNCTION("""COMPUTED_VALUE"""),45481.0)</f>
        <v>45481</v>
      </c>
      <c r="S177" s="2" t="str">
        <f>IFERROR(__xludf.DUMMYFUNCTION("""COMPUTED_VALUE"""),"CFG/JVV")</f>
        <v>CFG/JVV</v>
      </c>
      <c r="T177" s="73" t="str">
        <f>IFERROR(__xludf.DUMMYFUNCTION("""COMPUTED_VALUE""")," N/A ")</f>
        <v>N/A</v>
      </c>
      <c r="U177" s="73" t="str">
        <f>IFERROR(__xludf.DUMMYFUNCTION("""COMPUTED_VALUE""")," NO CHARGE ")</f>
        <v>NO CHARGE</v>
      </c>
      <c r="V177" s="2"/>
      <c r="W177" s="2" t="str">
        <f>IFERROR(__xludf.DUMMYFUNCTION("""COMPUTED_VALUE"""),"N/A")</f>
        <v>N/A</v>
      </c>
      <c r="X177" s="2" t="str">
        <f>IFERROR(__xludf.DUMMYFUNCTION("""COMPUTED_VALUE"""),"N/A")</f>
        <v>N/A</v>
      </c>
      <c r="Y177" s="2" t="str">
        <f>IFERROR(__xludf.DUMMYFUNCTION("""COMPUTED_VALUE"""),"ERP")</f>
        <v>ERP</v>
      </c>
      <c r="Z177" s="2"/>
      <c r="AA177" s="2"/>
      <c r="AB177" s="2"/>
      <c r="AC177" s="2" t="str">
        <f>IFERROR(__xludf.DUMMYFUNCTION("""COMPUTED_VALUE"""),"Y")</f>
        <v>Y</v>
      </c>
      <c r="AD177" s="2"/>
      <c r="AE177" s="2"/>
      <c r="AF177" s="2"/>
      <c r="AG177" s="2"/>
      <c r="AH177" s="2"/>
      <c r="AI177" s="2"/>
      <c r="AJ177" s="2" t="str">
        <f>IFERROR(__xludf.DUMMYFUNCTION("""COMPUTED_VALUE"""),"Poblacion")</f>
        <v>Poblacion</v>
      </c>
      <c r="AK177" s="2" t="str">
        <f>IFERROR(__xludf.DUMMYFUNCTION("""COMPUTED_VALUE"""),"Angat")</f>
        <v>Angat</v>
      </c>
      <c r="AL177" s="2" t="str">
        <f>IFERROR(__xludf.DUMMYFUNCTION("""COMPUTED_VALUE"""),"Bulacan")</f>
        <v>Bulacan</v>
      </c>
      <c r="AM177" s="2">
        <f>IFERROR(__xludf.DUMMYFUNCTION("""COMPUTED_VALUE"""),3.0)</f>
        <v>3</v>
      </c>
      <c r="AN177" s="2" t="str">
        <f>IFERROR(__xludf.DUMMYFUNCTION("""COMPUTED_VALUE"""),"RCEF 23-09-21 Rebidding")</f>
        <v>RCEF 23-09-21 Rebidding</v>
      </c>
      <c r="AO177" s="2">
        <f>IFERROR(__xludf.DUMMYFUNCTION("""COMPUTED_VALUE"""),3.0)</f>
        <v>3</v>
      </c>
      <c r="AP177" s="2"/>
      <c r="AQ177" s="2"/>
      <c r="AR177" s="2"/>
      <c r="AS177" s="2"/>
      <c r="AT177" s="2"/>
      <c r="AU177" s="2"/>
      <c r="AV177" s="2"/>
      <c r="AW177" s="2"/>
      <c r="AX177" s="2"/>
      <c r="AY177" s="2"/>
      <c r="AZ177" s="2"/>
      <c r="BA177" s="2"/>
      <c r="BB177" s="2"/>
    </row>
    <row r="178">
      <c r="A178" s="2">
        <f>IFERROR(__xludf.DUMMYFUNCTION("""COMPUTED_VALUE"""),174.0)</f>
        <v>174</v>
      </c>
      <c r="B178" s="2" t="str">
        <f>IFERROR(__xludf.DUMMYFUNCTION("""COMPUTED_VALUE"""),"COMPLETED")</f>
        <v>COMPLETED</v>
      </c>
      <c r="C178" s="74">
        <f>IFERROR(__xludf.DUMMYFUNCTION("""COMPUTED_VALUE"""),45444.0)</f>
        <v>45444</v>
      </c>
      <c r="D178" s="71" t="str">
        <f>IFERROR(__xludf.DUMMYFUNCTION("""COMPUTED_VALUE"""),"SINAPANGAN FARMERS IRRIGATORS ASSOCIATION OF BALAOAN, LA UNION, INC.")</f>
        <v>SINAPANGAN FARMERS IRRIGATORS ASSOCIATION OF BALAOAN, LA UNION, INC.</v>
      </c>
      <c r="E178" s="71" t="str">
        <f>IFERROR(__xludf.DUMMYFUNCTION("""COMPUTED_VALUE"""),"Sinapangan Norte, Balaoan, LA UNION")</f>
        <v>Sinapangan Norte, Balaoan, LA UNION</v>
      </c>
      <c r="F178" s="2" t="str">
        <f>IFERROR(__xludf.DUMMYFUNCTION("""COMPUTED_VALUE"""),"MEDARDO ORDINARIO")</f>
        <v>MEDARDO ORDINARIO</v>
      </c>
      <c r="G178" s="2">
        <f>IFERROR(__xludf.DUMMYFUNCTION("""COMPUTED_VALUE"""),9.15878003E9)</f>
        <v>9158780030</v>
      </c>
      <c r="H178" s="2">
        <f>IFERROR(__xludf.DUMMYFUNCTION("""COMPUTED_VALUE"""),50.0)</f>
        <v>50</v>
      </c>
      <c r="I178" s="72" t="str">
        <f>IFERROR(__xludf.DUMMYFUNCTION("""COMPUTED_VALUE"""),"PMS")</f>
        <v>PMS</v>
      </c>
      <c r="J178" s="72" t="str">
        <f>IFERROR(__xludf.DUMMYFUNCTION("""COMPUTED_VALUE"""),"PMS")</f>
        <v>PMS</v>
      </c>
      <c r="K178" s="72" t="str">
        <f>IFERROR(__xludf.DUMMYFUNCTION("""COMPUTED_VALUE"""),"FIRTS PMS")</f>
        <v>FIRTS PMS</v>
      </c>
      <c r="L178" s="72" t="str">
        <f>IFERROR(__xludf.DUMMYFUNCTION("""COMPUTED_VALUE"""),"CHANGE OIL: OIL FILTER PAID BY FCA")</f>
        <v>CHANGE OIL: OIL FILTER PAID BY FCA</v>
      </c>
      <c r="M178" s="2"/>
      <c r="N178" s="2" t="str">
        <f>IFERROR(__xludf.DUMMYFUNCTION("""COMPUTED_VALUE"""),"OIL FILTER")</f>
        <v>OIL FILTER</v>
      </c>
      <c r="O178" s="2" t="str">
        <f>IFERROR(__xludf.DUMMYFUNCTION("""COMPUTED_VALUE"""),"JIE-084")</f>
        <v>JIE-084</v>
      </c>
      <c r="P178" s="2"/>
      <c r="Q178" s="2"/>
      <c r="R178" s="74">
        <f>IFERROR(__xludf.DUMMYFUNCTION("""COMPUTED_VALUE"""),45446.0)</f>
        <v>45446</v>
      </c>
      <c r="S178" s="2" t="str">
        <f>IFERROR(__xludf.DUMMYFUNCTION("""COMPUTED_VALUE"""),"JHP/JDP")</f>
        <v>JHP/JDP</v>
      </c>
      <c r="T178" s="73">
        <f>IFERROR(__xludf.DUMMYFUNCTION("""COMPUTED_VALUE"""),2837.5)</f>
        <v>2837.5</v>
      </c>
      <c r="U178" s="73" t="str">
        <f>IFERROR(__xludf.DUMMYFUNCTION("""COMPUTED_VALUE""")," REMITTED ")</f>
        <v>REMITTED</v>
      </c>
      <c r="V178" s="2"/>
      <c r="W178" s="2"/>
      <c r="X178" s="2"/>
      <c r="Y178" s="2" t="str">
        <f>IFERROR(__xludf.DUMMYFUNCTION("""COMPUTED_VALUE"""),"KFS")</f>
        <v>KFS</v>
      </c>
      <c r="Z178" s="2"/>
      <c r="AA178" s="2"/>
      <c r="AB178" s="2"/>
      <c r="AC178" s="2"/>
      <c r="AD178" s="2"/>
      <c r="AE178" s="2"/>
      <c r="AF178" s="2"/>
      <c r="AG178" s="2"/>
      <c r="AH178" s="2"/>
      <c r="AI178" s="2"/>
      <c r="AJ178" s="2" t="str">
        <f>IFERROR(__xludf.DUMMYFUNCTION("""COMPUTED_VALUE"""),"Sinapangan Norte")</f>
        <v>Sinapangan Norte</v>
      </c>
      <c r="AK178" s="2" t="str">
        <f>IFERROR(__xludf.DUMMYFUNCTION("""COMPUTED_VALUE"""),"Balaoan")</f>
        <v>Balaoan</v>
      </c>
      <c r="AL178" s="2" t="str">
        <f>IFERROR(__xludf.DUMMYFUNCTION("""COMPUTED_VALUE"""),"La Union")</f>
        <v>La Union</v>
      </c>
      <c r="AM178" s="2">
        <f>IFERROR(__xludf.DUMMYFUNCTION("""COMPUTED_VALUE"""),1.0)</f>
        <v>1</v>
      </c>
      <c r="AN178" s="2" t="str">
        <f>IFERROR(__xludf.DUMMYFUNCTION("""COMPUTED_VALUE"""),"RCEF 23-09-21 Rebidding")</f>
        <v>RCEF 23-09-21 Rebidding</v>
      </c>
      <c r="AO178" s="2">
        <f>IFERROR(__xludf.DUMMYFUNCTION("""COMPUTED_VALUE"""),2.0)</f>
        <v>2</v>
      </c>
      <c r="AP178" s="2"/>
      <c r="AQ178" s="2"/>
      <c r="AR178" s="2"/>
      <c r="AS178" s="2"/>
      <c r="AT178" s="2"/>
      <c r="AU178" s="2"/>
      <c r="AV178" s="2"/>
      <c r="AW178" s="2"/>
      <c r="AX178" s="2"/>
      <c r="AY178" s="2"/>
      <c r="AZ178" s="2"/>
      <c r="BA178" s="2"/>
      <c r="BB178" s="2"/>
    </row>
    <row r="179">
      <c r="A179" s="2">
        <f>IFERROR(__xludf.DUMMYFUNCTION("""COMPUTED_VALUE"""),175.0)</f>
        <v>175</v>
      </c>
      <c r="B179" s="2" t="str">
        <f>IFERROR(__xludf.DUMMYFUNCTION("""COMPUTED_VALUE"""),"COMPLETED")</f>
        <v>COMPLETED</v>
      </c>
      <c r="C179" s="74">
        <f>IFERROR(__xludf.DUMMYFUNCTION("""COMPUTED_VALUE"""),45444.0)</f>
        <v>45444</v>
      </c>
      <c r="D179" s="71" t="str">
        <f>IFERROR(__xludf.DUMMYFUNCTION("""COMPUTED_VALUE"""),"Linang Farmers Agriculture Cooperative")</f>
        <v>Linang Farmers Agriculture Cooperative</v>
      </c>
      <c r="E179" s="71" t="str">
        <f>IFERROR(__xludf.DUMMYFUNCTION("""COMPUTED_VALUE"""),"Cabagoan, Paoay, ILOCOS NORTE")</f>
        <v>Cabagoan, Paoay, ILOCOS NORTE</v>
      </c>
      <c r="F179" s="2" t="str">
        <f>IFERROR(__xludf.DUMMYFUNCTION("""COMPUTED_VALUE"""),"RONALD LUTAP")</f>
        <v>RONALD LUTAP</v>
      </c>
      <c r="G179" s="2">
        <f>IFERROR(__xludf.DUMMYFUNCTION("""COMPUTED_VALUE"""),9.062869495E9)</f>
        <v>9062869495</v>
      </c>
      <c r="H179" s="2">
        <f>IFERROR(__xludf.DUMMYFUNCTION("""COMPUTED_VALUE"""),57.9)</f>
        <v>57.9</v>
      </c>
      <c r="I179" s="72" t="str">
        <f>IFERROR(__xludf.DUMMYFUNCTION("""COMPUTED_VALUE"""),"REPAIR - TRACTOR")</f>
        <v>REPAIR - TRACTOR</v>
      </c>
      <c r="J179" s="72" t="str">
        <f>IFERROR(__xludf.DUMMYFUNCTION("""COMPUTED_VALUE"""),"Training")</f>
        <v>Training</v>
      </c>
      <c r="K179" s="72" t="str">
        <f>IFERROR(__xludf.DUMMYFUNCTION("""COMPUTED_VALUE"""),"CONCERN: RAPID INCRESE OF TEMPERATURE ")</f>
        <v>CONCERN: RAPID INCRESE OF TEMPERATURE </v>
      </c>
      <c r="L179" s="72" t="str">
        <f>IFERROR(__xludf.DUMMYFUNCTION("""COMPUTED_VALUE"""),"JHP: TINURUAN KO NALANG KUNG PANO ANG DAPAT GAWIN PAG NATAAS ANG TEMPERATURE")</f>
        <v>JHP: TINURUAN KO NALANG KUNG PANO ANG DAPAT GAWIN PAG NATAAS ANG TEMPERATURE</v>
      </c>
      <c r="M179" s="2"/>
      <c r="N179" s="2"/>
      <c r="O179" s="2" t="str">
        <f>IFERROR(__xludf.DUMMYFUNCTION("""COMPUTED_VALUE"""),"N/A")</f>
        <v>N/A</v>
      </c>
      <c r="P179" s="2"/>
      <c r="Q179" s="2"/>
      <c r="R179" s="74">
        <f>IFERROR(__xludf.DUMMYFUNCTION("""COMPUTED_VALUE"""),45449.0)</f>
        <v>45449</v>
      </c>
      <c r="S179" s="2" t="str">
        <f>IFERROR(__xludf.DUMMYFUNCTION("""COMPUTED_VALUE"""),"JHP/JDP")</f>
        <v>JHP/JDP</v>
      </c>
      <c r="T179" s="73" t="str">
        <f>IFERROR(__xludf.DUMMYFUNCTION("""COMPUTED_VALUE""")," N/A ")</f>
        <v>N/A</v>
      </c>
      <c r="U179" s="73" t="str">
        <f>IFERROR(__xludf.DUMMYFUNCTION("""COMPUTED_VALUE""")," NO CHARGE ")</f>
        <v>NO CHARGE</v>
      </c>
      <c r="V179" s="2"/>
      <c r="W179" s="2" t="str">
        <f>IFERROR(__xludf.DUMMYFUNCTION("""COMPUTED_VALUE"""),"N/A")</f>
        <v>N/A</v>
      </c>
      <c r="X179" s="2" t="str">
        <f>IFERROR(__xludf.DUMMYFUNCTION("""COMPUTED_VALUE"""),"N/A")</f>
        <v>N/A</v>
      </c>
      <c r="Y179" s="2" t="str">
        <f>IFERROR(__xludf.DUMMYFUNCTION("""COMPUTED_VALUE"""),"KFS")</f>
        <v>KFS</v>
      </c>
      <c r="Z179" s="2"/>
      <c r="AA179" s="2"/>
      <c r="AB179" s="2"/>
      <c r="AC179" s="2"/>
      <c r="AD179" s="2"/>
      <c r="AE179" s="2"/>
      <c r="AF179" s="2"/>
      <c r="AG179" s="2"/>
      <c r="AH179" s="2"/>
      <c r="AI179" s="2"/>
      <c r="AJ179" s="2" t="str">
        <f>IFERROR(__xludf.DUMMYFUNCTION("""COMPUTED_VALUE"""),"Cabagoan")</f>
        <v>Cabagoan</v>
      </c>
      <c r="AK179" s="2" t="str">
        <f>IFERROR(__xludf.DUMMYFUNCTION("""COMPUTED_VALUE"""),"Paoay")</f>
        <v>Paoay</v>
      </c>
      <c r="AL179" s="2" t="str">
        <f>IFERROR(__xludf.DUMMYFUNCTION("""COMPUTED_VALUE"""),"Ilocos Norte")</f>
        <v>Ilocos Norte</v>
      </c>
      <c r="AM179" s="2">
        <f>IFERROR(__xludf.DUMMYFUNCTION("""COMPUTED_VALUE"""),1.0)</f>
        <v>1</v>
      </c>
      <c r="AN179" s="2" t="str">
        <f>IFERROR(__xludf.DUMMYFUNCTION("""COMPUTED_VALUE"""),"RCEF 23-09-21 Rebidding")</f>
        <v>RCEF 23-09-21 Rebidding</v>
      </c>
      <c r="AO179" s="2">
        <f>IFERROR(__xludf.DUMMYFUNCTION("""COMPUTED_VALUE"""),2.0)</f>
        <v>2</v>
      </c>
      <c r="AP179" s="2"/>
      <c r="AQ179" s="2"/>
      <c r="AR179" s="2"/>
      <c r="AS179" s="2"/>
      <c r="AT179" s="2"/>
      <c r="AU179" s="2"/>
      <c r="AV179" s="2"/>
      <c r="AW179" s="2"/>
      <c r="AX179" s="2"/>
      <c r="AY179" s="2"/>
      <c r="AZ179" s="2"/>
      <c r="BA179" s="2"/>
      <c r="BB179" s="2"/>
    </row>
    <row r="180">
      <c r="A180" s="2">
        <f>IFERROR(__xludf.DUMMYFUNCTION("""COMPUTED_VALUE"""),176.0)</f>
        <v>176</v>
      </c>
      <c r="B180" s="2" t="str">
        <f>IFERROR(__xludf.DUMMYFUNCTION("""COMPUTED_VALUE"""),"COMPLETED")</f>
        <v>COMPLETED</v>
      </c>
      <c r="C180" s="74">
        <f>IFERROR(__xludf.DUMMYFUNCTION("""COMPUTED_VALUE"""),45444.0)</f>
        <v>45444</v>
      </c>
      <c r="D180" s="71" t="str">
        <f>IFERROR(__xludf.DUMMYFUNCTION("""COMPUTED_VALUE"""),"BALINGAYAN FARMERS ASSOCIATION")</f>
        <v>BALINGAYAN FARMERS ASSOCIATION</v>
      </c>
      <c r="E180" s="71" t="str">
        <f>IFERROR(__xludf.DUMMYFUNCTION("""COMPUTED_VALUE"""),"Balingayan, Calapan City, Oriental Mindoro")</f>
        <v>Balingayan, Calapan City, Oriental Mindoro</v>
      </c>
      <c r="F180" s="2" t="str">
        <f>IFERROR(__xludf.DUMMYFUNCTION("""COMPUTED_VALUE"""),"DANTE DALISAY")</f>
        <v>DANTE DALISAY</v>
      </c>
      <c r="G180" s="2">
        <f>IFERROR(__xludf.DUMMYFUNCTION("""COMPUTED_VALUE"""),9.061004875E9)</f>
        <v>9061004875</v>
      </c>
      <c r="H180" s="2">
        <f>IFERROR(__xludf.DUMMYFUNCTION("""COMPUTED_VALUE"""),157.0)</f>
        <v>157</v>
      </c>
      <c r="I180" s="72" t="str">
        <f>IFERROR(__xludf.DUMMYFUNCTION("""COMPUTED_VALUE"""),"REPAIR - TRACTOR")</f>
        <v>REPAIR - TRACTOR</v>
      </c>
      <c r="J180" s="72" t="str">
        <f>IFERROR(__xludf.DUMMYFUNCTION("""COMPUTED_VALUE"""),"PST - Cylinder Leaking")</f>
        <v>PST - Cylinder Leaking</v>
      </c>
      <c r="K180" s="72" t="str">
        <f>IFERROR(__xludf.DUMMYFUNCTION("""COMPUTED_VALUE"""),"STEARING CYLINDER PROBLEM ")</f>
        <v>STEARING CYLINDER PROBLEM </v>
      </c>
      <c r="L180" s="72" t="str">
        <f>IFERROR(__xludf.DUMMYFUNCTION("""COMPUTED_VALUE"""),"RCG: NI DIY NALANG NI FARMER YUNG PARTS: BUT FILED FOR WARRANTY CLAIM")</f>
        <v>RCG: NI DIY NALANG NI FARMER YUNG PARTS: BUT FILED FOR WARRANTY CLAIM</v>
      </c>
      <c r="M180" s="2"/>
      <c r="N180" s="2"/>
      <c r="O180" s="2" t="str">
        <f>IFERROR(__xludf.DUMMYFUNCTION("""COMPUTED_VALUE"""),"N/A")</f>
        <v>N/A</v>
      </c>
      <c r="P180" s="2"/>
      <c r="Q180" s="2"/>
      <c r="R180" s="74">
        <f>IFERROR(__xludf.DUMMYFUNCTION("""COMPUTED_VALUE"""),45446.0)</f>
        <v>45446</v>
      </c>
      <c r="S180" s="2" t="str">
        <f>IFERROR(__xludf.DUMMYFUNCTION("""COMPUTED_VALUE"""),"RCG")</f>
        <v>RCG</v>
      </c>
      <c r="T180" s="73" t="str">
        <f>IFERROR(__xludf.DUMMYFUNCTION("""COMPUTED_VALUE""")," N/A ")</f>
        <v>N/A</v>
      </c>
      <c r="U180" s="73" t="str">
        <f>IFERROR(__xludf.DUMMYFUNCTION("""COMPUTED_VALUE""")," NO CHARGE ")</f>
        <v>NO CHARGE</v>
      </c>
      <c r="V180" s="2"/>
      <c r="W180" s="2" t="str">
        <f>IFERROR(__xludf.DUMMYFUNCTION("""COMPUTED_VALUE"""),"N/A")</f>
        <v>N/A</v>
      </c>
      <c r="X180" s="2" t="str">
        <f>IFERROR(__xludf.DUMMYFUNCTION("""COMPUTED_VALUE"""),"N/A")</f>
        <v>N/A</v>
      </c>
      <c r="Y180" s="2" t="str">
        <f>IFERROR(__xludf.DUMMYFUNCTION("""COMPUTED_VALUE"""),"RCG")</f>
        <v>RCG</v>
      </c>
      <c r="Z180" s="2"/>
      <c r="AA180" s="2" t="str">
        <f>IFERROR(__xludf.DUMMYFUNCTION("""COMPUTED_VALUE"""),"APPROVED")</f>
        <v>APPROVED</v>
      </c>
      <c r="AB180" s="2"/>
      <c r="AC180" s="2" t="str">
        <f>IFERROR(__xludf.DUMMYFUNCTION("""COMPUTED_VALUE"""),"Y")</f>
        <v>Y</v>
      </c>
      <c r="AD180" s="2"/>
      <c r="AE180" s="2"/>
      <c r="AF180" s="2"/>
      <c r="AG180" s="2"/>
      <c r="AH180" s="2"/>
      <c r="AI180" s="2"/>
      <c r="AJ180" s="2" t="str">
        <f>IFERROR(__xludf.DUMMYFUNCTION("""COMPUTED_VALUE"""),"Balingayan")</f>
        <v>Balingayan</v>
      </c>
      <c r="AK180" s="2" t="str">
        <f>IFERROR(__xludf.DUMMYFUNCTION("""COMPUTED_VALUE"""),"Calapan City")</f>
        <v>Calapan City</v>
      </c>
      <c r="AL180" s="2" t="str">
        <f>IFERROR(__xludf.DUMMYFUNCTION("""COMPUTED_VALUE"""),"Oriental Mindoro")</f>
        <v>Oriental Mindoro</v>
      </c>
      <c r="AM180" s="2" t="str">
        <f>IFERROR(__xludf.DUMMYFUNCTION("""COMPUTED_VALUE"""),"4B")</f>
        <v>4B</v>
      </c>
      <c r="AN180" s="2" t="str">
        <f>IFERROR(__xludf.DUMMYFUNCTION("""COMPUTED_VALUE"""),"RCEF 23-08-20 Rebidding")</f>
        <v>RCEF 23-08-20 Rebidding</v>
      </c>
      <c r="AO180" s="2">
        <f>IFERROR(__xludf.DUMMYFUNCTION("""COMPUTED_VALUE"""),1.0)</f>
        <v>1</v>
      </c>
      <c r="AP180" s="2"/>
      <c r="AQ180" s="2"/>
      <c r="AR180" s="2"/>
      <c r="AS180" s="2"/>
      <c r="AT180" s="2"/>
      <c r="AU180" s="2"/>
      <c r="AV180" s="2"/>
      <c r="AW180" s="2"/>
      <c r="AX180" s="2"/>
      <c r="AY180" s="2"/>
      <c r="AZ180" s="2"/>
      <c r="BA180" s="2"/>
      <c r="BB180" s="2"/>
    </row>
    <row r="181">
      <c r="A181" s="2">
        <f>IFERROR(__xludf.DUMMYFUNCTION("""COMPUTED_VALUE"""),177.0)</f>
        <v>177</v>
      </c>
      <c r="B181" s="2" t="str">
        <f>IFERROR(__xludf.DUMMYFUNCTION("""COMPUTED_VALUE"""),"COMPLETED")</f>
        <v>COMPLETED</v>
      </c>
      <c r="C181" s="74">
        <f>IFERROR(__xludf.DUMMYFUNCTION("""COMPUTED_VALUE"""),45445.0)</f>
        <v>45445</v>
      </c>
      <c r="D181" s="71" t="str">
        <f>IFERROR(__xludf.DUMMYFUNCTION("""COMPUTED_VALUE"""),"Pili Farmers Association")</f>
        <v>Pili Farmers Association</v>
      </c>
      <c r="E181" s="71" t="str">
        <f>IFERROR(__xludf.DUMMYFUNCTION("""COMPUTED_VALUE"""),"Pili, Ajuy, ILOILO")</f>
        <v>Pili, Ajuy, ILOILO</v>
      </c>
      <c r="F181" s="2" t="str">
        <f>IFERROR(__xludf.DUMMYFUNCTION("""COMPUTED_VALUE"""),"ARIEL ASONG")</f>
        <v>ARIEL ASONG</v>
      </c>
      <c r="G181" s="2">
        <f>IFERROR(__xludf.DUMMYFUNCTION("""COMPUTED_VALUE"""),9.363116441E9)</f>
        <v>9363116441</v>
      </c>
      <c r="H181" s="2"/>
      <c r="I181" s="72" t="str">
        <f>IFERROR(__xludf.DUMMYFUNCTION("""COMPUTED_VALUE"""),"REPAIR - DISC PLOW")</f>
        <v>REPAIR - DISC PLOW</v>
      </c>
      <c r="J181" s="72" t="str">
        <f>IFERROR(__xludf.DUMMYFUNCTION("""COMPUTED_VALUE"""),"Disc")</f>
        <v>Disc</v>
      </c>
      <c r="K181" s="72" t="str">
        <f>IFERROR(__xludf.DUMMYFUNCTION("""COMPUTED_VALUE"""),"HINDI UMIIKOT YUNG 2 BLADE ,YUNG NASA BUKANA NG DISC PLOW")</f>
        <v>HINDI UMIIKOT YUNG 2 BLADE ,YUNG NASA BUKANA NG DISC PLOW</v>
      </c>
      <c r="L181" s="72" t="str">
        <f>IFERROR(__xludf.DUMMYFUNCTION("""COMPUTED_VALUE"""),"CCB: NGAYUN AY GUMAGANA NA")</f>
        <v>CCB: NGAYUN AY GUMAGANA NA</v>
      </c>
      <c r="M181" s="2"/>
      <c r="N181" s="2"/>
      <c r="O181" s="2" t="str">
        <f>IFERROR(__xludf.DUMMYFUNCTION("""COMPUTED_VALUE"""),"N/A")</f>
        <v>N/A</v>
      </c>
      <c r="P181" s="2"/>
      <c r="Q181" s="2"/>
      <c r="R181" s="74">
        <f>IFERROR(__xludf.DUMMYFUNCTION("""COMPUTED_VALUE"""),45457.0)</f>
        <v>45457</v>
      </c>
      <c r="S181" s="2" t="str">
        <f>IFERROR(__xludf.DUMMYFUNCTION("""COMPUTED_VALUE"""),"CCB")</f>
        <v>CCB</v>
      </c>
      <c r="T181" s="73" t="str">
        <f>IFERROR(__xludf.DUMMYFUNCTION("""COMPUTED_VALUE""")," N/A ")</f>
        <v>N/A</v>
      </c>
      <c r="U181" s="73" t="str">
        <f>IFERROR(__xludf.DUMMYFUNCTION("""COMPUTED_VALUE""")," NO CHARGE ")</f>
        <v>NO CHARGE</v>
      </c>
      <c r="V181" s="2"/>
      <c r="W181" s="2" t="str">
        <f>IFERROR(__xludf.DUMMYFUNCTION("""COMPUTED_VALUE"""),"N/A")</f>
        <v>N/A</v>
      </c>
      <c r="X181" s="2" t="str">
        <f>IFERROR(__xludf.DUMMYFUNCTION("""COMPUTED_VALUE"""),"N/A")</f>
        <v>N/A</v>
      </c>
      <c r="Y181" s="2" t="str">
        <f>IFERROR(__xludf.DUMMYFUNCTION("""COMPUTED_VALUE"""),"CCB")</f>
        <v>CCB</v>
      </c>
      <c r="Z181" s="2"/>
      <c r="AA181" s="2"/>
      <c r="AB181" s="2"/>
      <c r="AC181" s="2"/>
      <c r="AD181" s="2"/>
      <c r="AE181" s="2"/>
      <c r="AF181" s="2"/>
      <c r="AG181" s="2"/>
      <c r="AH181" s="2"/>
      <c r="AI181" s="2"/>
      <c r="AJ181" s="2" t="str">
        <f>IFERROR(__xludf.DUMMYFUNCTION("""COMPUTED_VALUE"""),"Pili")</f>
        <v>Pili</v>
      </c>
      <c r="AK181" s="2" t="str">
        <f>IFERROR(__xludf.DUMMYFUNCTION("""COMPUTED_VALUE"""),"Ajuy")</f>
        <v>Ajuy</v>
      </c>
      <c r="AL181" s="2" t="str">
        <f>IFERROR(__xludf.DUMMYFUNCTION("""COMPUTED_VALUE"""),"Iloilo")</f>
        <v>Iloilo</v>
      </c>
      <c r="AM181" s="2">
        <f>IFERROR(__xludf.DUMMYFUNCTION("""COMPUTED_VALUE"""),6.0)</f>
        <v>6</v>
      </c>
      <c r="AN181" s="2" t="str">
        <f>IFERROR(__xludf.DUMMYFUNCTION("""COMPUTED_VALUE"""),"RCEF 23-09-21 Rebidding")</f>
        <v>RCEF 23-09-21 Rebidding</v>
      </c>
      <c r="AO181" s="2">
        <f>IFERROR(__xludf.DUMMYFUNCTION("""COMPUTED_VALUE"""),4.0)</f>
        <v>4</v>
      </c>
      <c r="AP181" s="2"/>
      <c r="AQ181" s="2"/>
      <c r="AR181" s="2"/>
      <c r="AS181" s="2"/>
      <c r="AT181" s="2"/>
      <c r="AU181" s="2"/>
      <c r="AV181" s="2"/>
      <c r="AW181" s="2"/>
      <c r="AX181" s="2"/>
      <c r="AY181" s="2"/>
      <c r="AZ181" s="2"/>
      <c r="BA181" s="2"/>
      <c r="BB181" s="2"/>
    </row>
    <row r="182">
      <c r="A182" s="2">
        <f>IFERROR(__xludf.DUMMYFUNCTION("""COMPUTED_VALUE"""),178.0)</f>
        <v>178</v>
      </c>
      <c r="B182" s="2" t="str">
        <f>IFERROR(__xludf.DUMMYFUNCTION("""COMPUTED_VALUE"""),"COMPLETED")</f>
        <v>COMPLETED</v>
      </c>
      <c r="C182" s="74">
        <f>IFERROR(__xludf.DUMMYFUNCTION("""COMPUTED_VALUE"""),45446.0)</f>
        <v>45446</v>
      </c>
      <c r="D182" s="71" t="str">
        <f>IFERROR(__xludf.DUMMYFUNCTION("""COMPUTED_VALUE"""),"GRUPO TI NAGAGAGET NGA MANNALON INC")</f>
        <v>GRUPO TI NAGAGAGET NGA MANNALON INC</v>
      </c>
      <c r="E182" s="71" t="str">
        <f>IFERROR(__xludf.DUMMYFUNCTION("""COMPUTED_VALUE""")," ")</f>
        <v> </v>
      </c>
      <c r="F182" s="2" t="str">
        <f>IFERROR(__xludf.DUMMYFUNCTION("""COMPUTED_VALUE"""),"NICOLAS SIBAYAN")</f>
        <v>NICOLAS SIBAYAN</v>
      </c>
      <c r="G182" s="2">
        <f>IFERROR(__xludf.DUMMYFUNCTION("""COMPUTED_VALUE"""),9.770687402E9)</f>
        <v>9770687402</v>
      </c>
      <c r="H182" s="2">
        <f>IFERROR(__xludf.DUMMYFUNCTION("""COMPUTED_VALUE"""),47.1)</f>
        <v>47.1</v>
      </c>
      <c r="I182" s="72" t="str">
        <f>IFERROR(__xludf.DUMMYFUNCTION("""COMPUTED_VALUE"""),"PMS")</f>
        <v>PMS</v>
      </c>
      <c r="J182" s="72" t="str">
        <f>IFERROR(__xludf.DUMMYFUNCTION("""COMPUTED_VALUE"""),"PMS")</f>
        <v>PMS</v>
      </c>
      <c r="K182" s="72" t="str">
        <f>IFERROR(__xludf.DUMMYFUNCTION("""COMPUTED_VALUE"""),"FIRTS PMS")</f>
        <v>FIRTS PMS</v>
      </c>
      <c r="L182" s="72" t="str">
        <f>IFERROR(__xludf.DUMMYFUNCTION("""COMPUTED_VALUE"""),"CHANGE OIL")</f>
        <v>CHANGE OIL</v>
      </c>
      <c r="M182" s="2"/>
      <c r="N182" s="2"/>
      <c r="O182" s="2" t="str">
        <f>IFERROR(__xludf.DUMMYFUNCTION("""COMPUTED_VALUE"""),"JIE-086")</f>
        <v>JIE-086</v>
      </c>
      <c r="P182" s="2"/>
      <c r="Q182" s="2"/>
      <c r="R182" s="74">
        <f>IFERROR(__xludf.DUMMYFUNCTION("""COMPUTED_VALUE"""),45447.0)</f>
        <v>45447</v>
      </c>
      <c r="S182" s="2"/>
      <c r="T182" s="73" t="str">
        <f>IFERROR(__xludf.DUMMYFUNCTION("""COMPUTED_VALUE""")," N/A ")</f>
        <v>N/A</v>
      </c>
      <c r="U182" s="73" t="str">
        <f>IFERROR(__xludf.DUMMYFUNCTION("""COMPUTED_VALUE""")," NO CHARGE ")</f>
        <v>NO CHARGE</v>
      </c>
      <c r="V182" s="2"/>
      <c r="W182" s="2" t="str">
        <f>IFERROR(__xludf.DUMMYFUNCTION("""COMPUTED_VALUE"""),"N/A")</f>
        <v>N/A</v>
      </c>
      <c r="X182" s="2" t="str">
        <f>IFERROR(__xludf.DUMMYFUNCTION("""COMPUTED_VALUE"""),"N/A")</f>
        <v>N/A</v>
      </c>
      <c r="Y182" s="2" t="str">
        <f>IFERROR(__xludf.DUMMYFUNCTION("""COMPUTED_VALUE"""),"KFS")</f>
        <v>KFS</v>
      </c>
      <c r="Z182" s="2"/>
      <c r="AA182" s="2"/>
      <c r="AB182" s="2"/>
      <c r="AC182" s="2"/>
      <c r="AD182" s="2"/>
      <c r="AE182" s="2"/>
      <c r="AF182" s="2"/>
      <c r="AG182" s="2"/>
      <c r="AH182" s="2"/>
      <c r="AI182" s="2"/>
      <c r="AJ182" s="2" t="str">
        <f>IFERROR(__xludf.DUMMYFUNCTION("""COMPUTED_VALUE"""),"")</f>
        <v/>
      </c>
      <c r="AK182" s="2" t="str">
        <f>IFERROR(__xludf.DUMMYFUNCTION("""COMPUTED_VALUE"""),"")</f>
        <v/>
      </c>
      <c r="AL182" s="2" t="str">
        <f>IFERROR(__xludf.DUMMYFUNCTION("""COMPUTED_VALUE"""),"")</f>
        <v/>
      </c>
      <c r="AM182" s="2" t="str">
        <f>IFERROR(__xludf.DUMMYFUNCTION("""COMPUTED_VALUE"""),"")</f>
        <v/>
      </c>
      <c r="AN182" s="2" t="str">
        <f>IFERROR(__xludf.DUMMYFUNCTION("""COMPUTED_VALUE""")," ")</f>
        <v> </v>
      </c>
      <c r="AO182" s="2" t="str">
        <f>IFERROR(__xludf.DUMMYFUNCTION("""COMPUTED_VALUE""")," ")</f>
        <v> </v>
      </c>
      <c r="AP182" s="2" t="str">
        <f>IFERROR(__xludf.DUMMYFUNCTION("""COMPUTED_VALUE"""),"")</f>
        <v/>
      </c>
      <c r="AQ182" s="2"/>
      <c r="AR182" s="2"/>
      <c r="AS182" s="2"/>
      <c r="AT182" s="2"/>
      <c r="AU182" s="2"/>
      <c r="AV182" s="2"/>
      <c r="AW182" s="2"/>
      <c r="AX182" s="2"/>
      <c r="AY182" s="2"/>
      <c r="AZ182" s="2"/>
      <c r="BA182" s="2"/>
      <c r="BB182" s="2"/>
    </row>
    <row r="183">
      <c r="A183" s="2">
        <f>IFERROR(__xludf.DUMMYFUNCTION("""COMPUTED_VALUE"""),179.0)</f>
        <v>179</v>
      </c>
      <c r="B183" s="2" t="str">
        <f>IFERROR(__xludf.DUMMYFUNCTION("""COMPUTED_VALUE"""),"COMPLETED")</f>
        <v>COMPLETED</v>
      </c>
      <c r="C183" s="74">
        <f>IFERROR(__xludf.DUMMYFUNCTION("""COMPUTED_VALUE"""),45446.0)</f>
        <v>45446</v>
      </c>
      <c r="D183" s="71" t="str">
        <f>IFERROR(__xludf.DUMMYFUNCTION("""COMPUTED_VALUE"""),"PEDERASYON NG MGA SAMAHAN NG MAGSASAKA NG TIAONG, QUEZON")</f>
        <v>PEDERASYON NG MGA SAMAHAN NG MAGSASAKA NG TIAONG, QUEZON</v>
      </c>
      <c r="E183" s="71" t="str">
        <f>IFERROR(__xludf.DUMMYFUNCTION("""COMPUTED_VALUE"""),"Poblacion 3, Tiaong, Quezon")</f>
        <v>Poblacion 3, Tiaong, Quezon</v>
      </c>
      <c r="F183" s="2" t="str">
        <f>IFERROR(__xludf.DUMMYFUNCTION("""COMPUTED_VALUE"""),"DANILO GUEVARA")</f>
        <v>DANILO GUEVARA</v>
      </c>
      <c r="G183" s="2">
        <f>IFERROR(__xludf.DUMMYFUNCTION("""COMPUTED_VALUE"""),9.282559507E9)</f>
        <v>9282559507</v>
      </c>
      <c r="H183" s="2">
        <f>IFERROR(__xludf.DUMMYFUNCTION("""COMPUTED_VALUE"""),48.0)</f>
        <v>48</v>
      </c>
      <c r="I183" s="72" t="str">
        <f>IFERROR(__xludf.DUMMYFUNCTION("""COMPUTED_VALUE"""),"PMS")</f>
        <v>PMS</v>
      </c>
      <c r="J183" s="72" t="str">
        <f>IFERROR(__xludf.DUMMYFUNCTION("""COMPUTED_VALUE"""),"PMS")</f>
        <v>PMS</v>
      </c>
      <c r="K183" s="72" t="str">
        <f>IFERROR(__xludf.DUMMYFUNCTION("""COMPUTED_VALUE"""),"FIRTS PMS")</f>
        <v>FIRTS PMS</v>
      </c>
      <c r="L183" s="72" t="str">
        <f>IFERROR(__xludf.DUMMYFUNCTION("""COMPUTED_VALUE"""),"CHANGE OIL")</f>
        <v>CHANGE OIL</v>
      </c>
      <c r="M183" s="2"/>
      <c r="N183" s="2" t="str">
        <f>IFERROR(__xludf.DUMMYFUNCTION("""COMPUTED_VALUE"""),"PARTS: 5L ENGINE OIL")</f>
        <v>PARTS: 5L ENGINE OIL</v>
      </c>
      <c r="O183" s="2" t="str">
        <f>IFERROR(__xludf.DUMMYFUNCTION("""COMPUTED_VALUE"""),"JIE-087")</f>
        <v>JIE-087</v>
      </c>
      <c r="P183" s="2"/>
      <c r="Q183" s="2"/>
      <c r="R183" s="74">
        <f>IFERROR(__xludf.DUMMYFUNCTION("""COMPUTED_VALUE"""),45447.0)</f>
        <v>45447</v>
      </c>
      <c r="S183" s="2" t="str">
        <f>IFERROR(__xludf.DUMMYFUNCTION("""COMPUTED_VALUE"""),"JTT")</f>
        <v>JTT</v>
      </c>
      <c r="T183" s="73">
        <f>IFERROR(__xludf.DUMMYFUNCTION("""COMPUTED_VALUE"""),1650.0)</f>
        <v>1650</v>
      </c>
      <c r="U183" s="73" t="str">
        <f>IFERROR(__xludf.DUMMYFUNCTION("""COMPUTED_VALUE""")," REMITTED ")</f>
        <v>REMITTED</v>
      </c>
      <c r="V183" s="2"/>
      <c r="W183" s="2"/>
      <c r="X183" s="2">
        <f>IFERROR(__xludf.DUMMYFUNCTION("""COMPUTED_VALUE"""),1150.0)</f>
        <v>1150</v>
      </c>
      <c r="Y183" s="2" t="str">
        <f>IFERROR(__xludf.DUMMYFUNCTION("""COMPUTED_VALUE"""),"JTT")</f>
        <v>JTT</v>
      </c>
      <c r="Z183" s="2"/>
      <c r="AA183" s="2"/>
      <c r="AB183" s="2"/>
      <c r="AC183" s="2"/>
      <c r="AD183" s="2"/>
      <c r="AE183" s="2"/>
      <c r="AF183" s="2"/>
      <c r="AG183" s="2"/>
      <c r="AH183" s="2"/>
      <c r="AI183" s="2"/>
      <c r="AJ183" s="2" t="str">
        <f>IFERROR(__xludf.DUMMYFUNCTION("""COMPUTED_VALUE"""),"Poblacion 3")</f>
        <v>Poblacion 3</v>
      </c>
      <c r="AK183" s="2" t="str">
        <f>IFERROR(__xludf.DUMMYFUNCTION("""COMPUTED_VALUE"""),"Tiaong")</f>
        <v>Tiaong</v>
      </c>
      <c r="AL183" s="2" t="str">
        <f>IFERROR(__xludf.DUMMYFUNCTION("""COMPUTED_VALUE"""),"Quezon")</f>
        <v>Quezon</v>
      </c>
      <c r="AM183" s="2" t="str">
        <f>IFERROR(__xludf.DUMMYFUNCTION("""COMPUTED_VALUE"""),"4A")</f>
        <v>4A</v>
      </c>
      <c r="AN183" s="2" t="str">
        <f>IFERROR(__xludf.DUMMYFUNCTION("""COMPUTED_VALUE"""),"RCEF 23-08-20 Rebidding")</f>
        <v>RCEF 23-08-20 Rebidding</v>
      </c>
      <c r="AO183" s="2">
        <f>IFERROR(__xludf.DUMMYFUNCTION("""COMPUTED_VALUE"""),1.0)</f>
        <v>1</v>
      </c>
      <c r="AP183" s="2"/>
      <c r="AQ183" s="2"/>
      <c r="AR183" s="2"/>
      <c r="AS183" s="2"/>
      <c r="AT183" s="2"/>
      <c r="AU183" s="2"/>
      <c r="AV183" s="2"/>
      <c r="AW183" s="2"/>
      <c r="AX183" s="2"/>
      <c r="AY183" s="2"/>
      <c r="AZ183" s="2"/>
      <c r="BA183" s="2"/>
      <c r="BB183" s="2"/>
    </row>
    <row r="184">
      <c r="A184" s="2">
        <f>IFERROR(__xludf.DUMMYFUNCTION("""COMPUTED_VALUE"""),180.0)</f>
        <v>180</v>
      </c>
      <c r="B184" s="2" t="str">
        <f>IFERROR(__xludf.DUMMYFUNCTION("""COMPUTED_VALUE"""),"COMPLETED")</f>
        <v>COMPLETED</v>
      </c>
      <c r="C184" s="74">
        <f>IFERROR(__xludf.DUMMYFUNCTION("""COMPUTED_VALUE"""),45446.0)</f>
        <v>45446</v>
      </c>
      <c r="D184" s="71" t="str">
        <f>IFERROR(__xludf.DUMMYFUNCTION("""COMPUTED_VALUE"""),"PEDERASYON NG MGA SAMAHAN NG MAGSASAKA NG TIAONG, QUEZON")</f>
        <v>PEDERASYON NG MGA SAMAHAN NG MAGSASAKA NG TIAONG, QUEZON</v>
      </c>
      <c r="E184" s="71" t="str">
        <f>IFERROR(__xludf.DUMMYFUNCTION("""COMPUTED_VALUE"""),"Poblacion 3, Tiaong, Quezon")</f>
        <v>Poblacion 3, Tiaong, Quezon</v>
      </c>
      <c r="F184" s="2" t="str">
        <f>IFERROR(__xludf.DUMMYFUNCTION("""COMPUTED_VALUE"""),"DANILO GUEVARA")</f>
        <v>DANILO GUEVARA</v>
      </c>
      <c r="G184" s="2">
        <f>IFERROR(__xludf.DUMMYFUNCTION("""COMPUTED_VALUE"""),9.282559507E9)</f>
        <v>9282559507</v>
      </c>
      <c r="H184" s="2">
        <f>IFERROR(__xludf.DUMMYFUNCTION("""COMPUTED_VALUE"""),48.0)</f>
        <v>48</v>
      </c>
      <c r="I184" s="72" t="str">
        <f>IFERROR(__xludf.DUMMYFUNCTION("""COMPUTED_VALUE"""),"REPAIR - DISC PLOW")</f>
        <v>REPAIR - DISC PLOW</v>
      </c>
      <c r="J184" s="72" t="str">
        <f>IFERROR(__xludf.DUMMYFUNCTION("""COMPUTED_VALUE"""),"Gearbox")</f>
        <v>Gearbox</v>
      </c>
      <c r="K184" s="72" t="str">
        <f>IFERROR(__xludf.DUMMYFUNCTION("""COMPUTED_VALUE"""),"CHECK UP OF UNIT")</f>
        <v>CHECK UP OF UNIT</v>
      </c>
      <c r="L184" s="72" t="str">
        <f>IFERROR(__xludf.DUMMYFUNCTION("""COMPUTED_VALUE"""),"REPAIR DISC PLOW")</f>
        <v>REPAIR DISC PLOW</v>
      </c>
      <c r="M184" s="2"/>
      <c r="N184" s="2"/>
      <c r="O184" s="2" t="str">
        <f>IFERROR(__xludf.DUMMYFUNCTION("""COMPUTED_VALUE"""),"JIE-088")</f>
        <v>JIE-088</v>
      </c>
      <c r="P184" s="2"/>
      <c r="Q184" s="2"/>
      <c r="R184" s="74">
        <f>IFERROR(__xludf.DUMMYFUNCTION("""COMPUTED_VALUE"""),45447.0)</f>
        <v>45447</v>
      </c>
      <c r="S184" s="2" t="str">
        <f>IFERROR(__xludf.DUMMYFUNCTION("""COMPUTED_VALUE"""),"JTT")</f>
        <v>JTT</v>
      </c>
      <c r="T184" s="73" t="str">
        <f>IFERROR(__xludf.DUMMYFUNCTION("""COMPUTED_VALUE""")," N/A ")</f>
        <v>N/A</v>
      </c>
      <c r="U184" s="73" t="str">
        <f>IFERROR(__xludf.DUMMYFUNCTION("""COMPUTED_VALUE""")," NO CHARGE ")</f>
        <v>NO CHARGE</v>
      </c>
      <c r="V184" s="2"/>
      <c r="W184" s="2" t="str">
        <f>IFERROR(__xludf.DUMMYFUNCTION("""COMPUTED_VALUE"""),"N/A")</f>
        <v>N/A</v>
      </c>
      <c r="X184" s="2" t="str">
        <f>IFERROR(__xludf.DUMMYFUNCTION("""COMPUTED_VALUE"""),"N/A")</f>
        <v>N/A</v>
      </c>
      <c r="Y184" s="2" t="str">
        <f>IFERROR(__xludf.DUMMYFUNCTION("""COMPUTED_VALUE"""),"JTT")</f>
        <v>JTT</v>
      </c>
      <c r="Z184" s="2"/>
      <c r="AA184" s="2"/>
      <c r="AB184" s="2"/>
      <c r="AC184" s="2"/>
      <c r="AD184" s="2"/>
      <c r="AE184" s="2"/>
      <c r="AF184" s="2"/>
      <c r="AG184" s="2"/>
      <c r="AH184" s="2"/>
      <c r="AI184" s="2"/>
      <c r="AJ184" s="2" t="str">
        <f>IFERROR(__xludf.DUMMYFUNCTION("""COMPUTED_VALUE"""),"Poblacion 3")</f>
        <v>Poblacion 3</v>
      </c>
      <c r="AK184" s="2" t="str">
        <f>IFERROR(__xludf.DUMMYFUNCTION("""COMPUTED_VALUE"""),"Tiaong")</f>
        <v>Tiaong</v>
      </c>
      <c r="AL184" s="2" t="str">
        <f>IFERROR(__xludf.DUMMYFUNCTION("""COMPUTED_VALUE"""),"Quezon")</f>
        <v>Quezon</v>
      </c>
      <c r="AM184" s="2" t="str">
        <f>IFERROR(__xludf.DUMMYFUNCTION("""COMPUTED_VALUE"""),"4A")</f>
        <v>4A</v>
      </c>
      <c r="AN184" s="2" t="str">
        <f>IFERROR(__xludf.DUMMYFUNCTION("""COMPUTED_VALUE"""),"RCEF 23-08-20 Rebidding")</f>
        <v>RCEF 23-08-20 Rebidding</v>
      </c>
      <c r="AO184" s="2">
        <f>IFERROR(__xludf.DUMMYFUNCTION("""COMPUTED_VALUE"""),1.0)</f>
        <v>1</v>
      </c>
      <c r="AP184" s="2"/>
      <c r="AQ184" s="2"/>
      <c r="AR184" s="2"/>
      <c r="AS184" s="2"/>
      <c r="AT184" s="2"/>
      <c r="AU184" s="2"/>
      <c r="AV184" s="2"/>
      <c r="AW184" s="2"/>
      <c r="AX184" s="2"/>
      <c r="AY184" s="2"/>
      <c r="AZ184" s="2"/>
      <c r="BA184" s="2"/>
      <c r="BB184" s="2"/>
    </row>
    <row r="185">
      <c r="A185" s="2">
        <f>IFERROR(__xludf.DUMMYFUNCTION("""COMPUTED_VALUE"""),181.0)</f>
        <v>181</v>
      </c>
      <c r="B185" s="2" t="str">
        <f>IFERROR(__xludf.DUMMYFUNCTION("""COMPUTED_VALUE"""),"COMPLETED")</f>
        <v>COMPLETED</v>
      </c>
      <c r="C185" s="74">
        <f>IFERROR(__xludf.DUMMYFUNCTION("""COMPUTED_VALUE"""),45446.0)</f>
        <v>45446</v>
      </c>
      <c r="D185" s="71" t="str">
        <f>IFERROR(__xludf.DUMMYFUNCTION("""COMPUTED_VALUE"""),"GALAS MAASIM PALAY AND VEGETABLE PRODUCERS ASSOCIATION")</f>
        <v>GALAS MAASIM PALAY AND VEGETABLE PRODUCERS ASSOCIATION</v>
      </c>
      <c r="E185" s="71" t="str">
        <f>IFERROR(__xludf.DUMMYFUNCTION("""COMPUTED_VALUE"""),"Maasim, San Rafael, BULACAN")</f>
        <v>Maasim, San Rafael, BULACAN</v>
      </c>
      <c r="F185" s="2" t="str">
        <f>IFERROR(__xludf.DUMMYFUNCTION("""COMPUTED_VALUE"""),"TRACILA DELA CRUZ")</f>
        <v>TRACILA DELA CRUZ</v>
      </c>
      <c r="G185" s="2">
        <f>IFERROR(__xludf.DUMMYFUNCTION("""COMPUTED_VALUE"""),9.238013249E9)</f>
        <v>9238013249</v>
      </c>
      <c r="H185" s="2">
        <f>IFERROR(__xludf.DUMMYFUNCTION("""COMPUTED_VALUE"""),74.0)</f>
        <v>74</v>
      </c>
      <c r="I185" s="72" t="str">
        <f>IFERROR(__xludf.DUMMYFUNCTION("""COMPUTED_VALUE"""),"REPAIR - TRACTOR")</f>
        <v>REPAIR - TRACTOR</v>
      </c>
      <c r="J185" s="72" t="str">
        <f>IFERROR(__xludf.DUMMYFUNCTION("""COMPUTED_VALUE"""),"Transmission - Clutch")</f>
        <v>Transmission - Clutch</v>
      </c>
      <c r="K185" s="72" t="str">
        <f>IFERROR(__xludf.DUMMYFUNCTION("""COMPUTED_VALUE"""),"PROBLEM WITH CLUTCH : SERVICE REPORT         ")</f>
        <v>PROBLEM WITH CLUTCH : SERVICE REPORT         </v>
      </c>
      <c r="L185" s="72" t="str">
        <f>IFERROR(__xludf.DUMMYFUNCTION("""COMPUTED_VALUE"""),"6/4/24: CLUTCH DISC PROBLEM, REPLACED CLUTCH DISC (19,044)")</f>
        <v>6/4/24: CLUTCH DISC PROBLEM, REPLACED CLUTCH DISC (19,044)</v>
      </c>
      <c r="M185" s="2"/>
      <c r="N185" s="2" t="str">
        <f>IFERROR(__xludf.DUMMYFUNCTION("""COMPUTED_VALUE"""),"CLUTCH DISC ASSY")</f>
        <v>CLUTCH DISC ASSY</v>
      </c>
      <c r="O185" s="2" t="str">
        <f>IFERROR(__xludf.DUMMYFUNCTION("""COMPUTED_VALUE"""),"JIE-089")</f>
        <v>JIE-089</v>
      </c>
      <c r="P185" s="2"/>
      <c r="Q185" s="2"/>
      <c r="R185" s="74">
        <f>IFERROR(__xludf.DUMMYFUNCTION("""COMPUTED_VALUE"""),45447.0)</f>
        <v>45447</v>
      </c>
      <c r="S185" s="2" t="str">
        <f>IFERROR(__xludf.DUMMYFUNCTION("""COMPUTED_VALUE"""),"EGT/DRM")</f>
        <v>EGT/DRM</v>
      </c>
      <c r="T185" s="73" t="str">
        <f>IFERROR(__xludf.DUMMYFUNCTION("""COMPUTED_VALUE""")," N/A ")</f>
        <v>N/A</v>
      </c>
      <c r="U185" s="73" t="str">
        <f>IFERROR(__xludf.DUMMYFUNCTION("""COMPUTED_VALUE""")," NO CHARGE ")</f>
        <v>NO CHARGE</v>
      </c>
      <c r="V185" s="2"/>
      <c r="W185" s="2" t="str">
        <f>IFERROR(__xludf.DUMMYFUNCTION("""COMPUTED_VALUE"""),"N/A")</f>
        <v>N/A</v>
      </c>
      <c r="X185" s="2" t="str">
        <f>IFERROR(__xludf.DUMMYFUNCTION("""COMPUTED_VALUE"""),"N/A")</f>
        <v>N/A</v>
      </c>
      <c r="Y185" s="2" t="str">
        <f>IFERROR(__xludf.DUMMYFUNCTION("""COMPUTED_VALUE"""),"BMD")</f>
        <v>BMD</v>
      </c>
      <c r="Z185" s="2" t="str">
        <f>IFERROR(__xludf.DUMMYFUNCTION("""COMPUTED_VALUE"""),"LEADS-TP-0003")</f>
        <v>LEADS-TP-0003</v>
      </c>
      <c r="AA185" s="2" t="str">
        <f>IFERROR(__xludf.DUMMYFUNCTION("""COMPUTED_VALUE"""),"APRROVED")</f>
        <v>APRROVED</v>
      </c>
      <c r="AB185" s="2"/>
      <c r="AC185" s="2" t="str">
        <f>IFERROR(__xludf.DUMMYFUNCTION("""COMPUTED_VALUE"""),"Y")</f>
        <v>Y</v>
      </c>
      <c r="AD185" s="2"/>
      <c r="AE185" s="2"/>
      <c r="AF185" s="2"/>
      <c r="AG185" s="2"/>
      <c r="AH185" s="2"/>
      <c r="AI185" s="2"/>
      <c r="AJ185" s="2" t="str">
        <f>IFERROR(__xludf.DUMMYFUNCTION("""COMPUTED_VALUE"""),"Maasim")</f>
        <v>Maasim</v>
      </c>
      <c r="AK185" s="2" t="str">
        <f>IFERROR(__xludf.DUMMYFUNCTION("""COMPUTED_VALUE"""),"San Rafael")</f>
        <v>San Rafael</v>
      </c>
      <c r="AL185" s="2" t="str">
        <f>IFERROR(__xludf.DUMMYFUNCTION("""COMPUTED_VALUE"""),"Bulacan")</f>
        <v>Bulacan</v>
      </c>
      <c r="AM185" s="2">
        <f>IFERROR(__xludf.DUMMYFUNCTION("""COMPUTED_VALUE"""),3.0)</f>
        <v>3</v>
      </c>
      <c r="AN185" s="2" t="str">
        <f>IFERROR(__xludf.DUMMYFUNCTION("""COMPUTED_VALUE"""),"RCEF 23-09-21 Rebidding")</f>
        <v>RCEF 23-09-21 Rebidding</v>
      </c>
      <c r="AO185" s="2">
        <f>IFERROR(__xludf.DUMMYFUNCTION("""COMPUTED_VALUE"""),3.0)</f>
        <v>3</v>
      </c>
      <c r="AP185" s="2"/>
      <c r="AQ185" s="2"/>
      <c r="AR185" s="2"/>
      <c r="AS185" s="2"/>
      <c r="AT185" s="2"/>
      <c r="AU185" s="2"/>
      <c r="AV185" s="2"/>
      <c r="AW185" s="2"/>
      <c r="AX185" s="2"/>
      <c r="AY185" s="2"/>
      <c r="AZ185" s="2"/>
      <c r="BA185" s="2"/>
      <c r="BB185" s="2"/>
    </row>
    <row r="186">
      <c r="A186" s="2">
        <f>IFERROR(__xludf.DUMMYFUNCTION("""COMPUTED_VALUE"""),182.0)</f>
        <v>182</v>
      </c>
      <c r="B186" s="2" t="str">
        <f>IFERROR(__xludf.DUMMYFUNCTION("""COMPUTED_VALUE"""),"COMPLETED")</f>
        <v>COMPLETED</v>
      </c>
      <c r="C186" s="74">
        <f>IFERROR(__xludf.DUMMYFUNCTION("""COMPUTED_VALUE"""),45446.0)</f>
        <v>45446</v>
      </c>
      <c r="D186" s="71" t="str">
        <f>IFERROR(__xludf.DUMMYFUNCTION("""COMPUTED_VALUE"""),"CAPATAG FARMERS IRRIGATION ASSOCIATION INC.")</f>
        <v>CAPATAG FARMERS IRRIGATION ASSOCIATION INC.</v>
      </c>
      <c r="E186" s="71" t="str">
        <f>IFERROR(__xludf.DUMMYFUNCTION("""COMPUTED_VALUE"""),"Nabaccayan, Gattaran, CAGAYAN")</f>
        <v>Nabaccayan, Gattaran, CAGAYAN</v>
      </c>
      <c r="F186" s="2" t="str">
        <f>IFERROR(__xludf.DUMMYFUNCTION("""COMPUTED_VALUE"""),"GERONIMO FORTALEZA")</f>
        <v>GERONIMO FORTALEZA</v>
      </c>
      <c r="G186" s="2">
        <f>IFERROR(__xludf.DUMMYFUNCTION("""COMPUTED_VALUE"""),9.162436594E9)</f>
        <v>9162436594</v>
      </c>
      <c r="H186" s="2">
        <f>IFERROR(__xludf.DUMMYFUNCTION("""COMPUTED_VALUE"""),45.0)</f>
        <v>45</v>
      </c>
      <c r="I186" s="72" t="str">
        <f>IFERROR(__xludf.DUMMYFUNCTION("""COMPUTED_VALUE"""),"PMS")</f>
        <v>PMS</v>
      </c>
      <c r="J186" s="72" t="str">
        <f>IFERROR(__xludf.DUMMYFUNCTION("""COMPUTED_VALUE"""),"PMS")</f>
        <v>PMS</v>
      </c>
      <c r="K186" s="72" t="str">
        <f>IFERROR(__xludf.DUMMYFUNCTION("""COMPUTED_VALUE"""),"FIRTS PMS: SELF PMS")</f>
        <v>FIRTS PMS: SELF PMS</v>
      </c>
      <c r="L186" s="72" t="str">
        <f>IFERROR(__xludf.DUMMYFUNCTION("""COMPUTED_VALUE"""),"SEND AGREEMENT:FB: GERRY FORTALEZA: AGREEMENT SENT")</f>
        <v>SEND AGREEMENT:FB: GERRY FORTALEZA: AGREEMENT SENT</v>
      </c>
      <c r="M186" s="2"/>
      <c r="N186" s="2"/>
      <c r="O186" s="2" t="str">
        <f>IFERROR(__xludf.DUMMYFUNCTION("""COMPUTED_VALUE"""),"N/A")</f>
        <v>N/A</v>
      </c>
      <c r="P186" s="2"/>
      <c r="Q186" s="2"/>
      <c r="R186" s="74">
        <f>IFERROR(__xludf.DUMMYFUNCTION("""COMPUTED_VALUE"""),45446.0)</f>
        <v>45446</v>
      </c>
      <c r="S186" s="2" t="str">
        <f>IFERROR(__xludf.DUMMYFUNCTION("""COMPUTED_VALUE"""),"MYKEE")</f>
        <v>MYKEE</v>
      </c>
      <c r="T186" s="73" t="str">
        <f>IFERROR(__xludf.DUMMYFUNCTION("""COMPUTED_VALUE""")," N/A ")</f>
        <v>N/A</v>
      </c>
      <c r="U186" s="73" t="str">
        <f>IFERROR(__xludf.DUMMYFUNCTION("""COMPUTED_VALUE""")," NO CHARGE ")</f>
        <v>NO CHARGE</v>
      </c>
      <c r="V186" s="2"/>
      <c r="W186" s="2" t="str">
        <f>IFERROR(__xludf.DUMMYFUNCTION("""COMPUTED_VALUE"""),"N/A")</f>
        <v>N/A</v>
      </c>
      <c r="X186" s="2" t="str">
        <f>IFERROR(__xludf.DUMMYFUNCTION("""COMPUTED_VALUE"""),"N/A")</f>
        <v>N/A</v>
      </c>
      <c r="Y186" s="2" t="str">
        <f>IFERROR(__xludf.DUMMYFUNCTION("""COMPUTED_VALUE"""),"ERP")</f>
        <v>ERP</v>
      </c>
      <c r="Z186" s="2"/>
      <c r="AA186" s="2"/>
      <c r="AB186" s="2"/>
      <c r="AC186" s="2"/>
      <c r="AD186" s="2"/>
      <c r="AE186" s="2"/>
      <c r="AF186" s="2"/>
      <c r="AG186" s="2"/>
      <c r="AH186" s="2"/>
      <c r="AI186" s="2"/>
      <c r="AJ186" s="2" t="str">
        <f>IFERROR(__xludf.DUMMYFUNCTION("""COMPUTED_VALUE"""),"Nabaccayan")</f>
        <v>Nabaccayan</v>
      </c>
      <c r="AK186" s="2" t="str">
        <f>IFERROR(__xludf.DUMMYFUNCTION("""COMPUTED_VALUE"""),"Gattaran")</f>
        <v>Gattaran</v>
      </c>
      <c r="AL186" s="2" t="str">
        <f>IFERROR(__xludf.DUMMYFUNCTION("""COMPUTED_VALUE"""),"Cagayan")</f>
        <v>Cagayan</v>
      </c>
      <c r="AM186" s="2">
        <f>IFERROR(__xludf.DUMMYFUNCTION("""COMPUTED_VALUE"""),2.0)</f>
        <v>2</v>
      </c>
      <c r="AN186" s="2" t="str">
        <f>IFERROR(__xludf.DUMMYFUNCTION("""COMPUTED_VALUE"""),"RCEF 23-09-21 Rebidding")</f>
        <v>RCEF 23-09-21 Rebidding</v>
      </c>
      <c r="AO186" s="2">
        <f>IFERROR(__xludf.DUMMYFUNCTION("""COMPUTED_VALUE"""),9.0)</f>
        <v>9</v>
      </c>
      <c r="AP186" s="2"/>
      <c r="AQ186" s="2"/>
      <c r="AR186" s="2"/>
      <c r="AS186" s="2"/>
      <c r="AT186" s="2"/>
      <c r="AU186" s="2"/>
      <c r="AV186" s="2"/>
      <c r="AW186" s="2"/>
      <c r="AX186" s="2"/>
      <c r="AY186" s="2"/>
      <c r="AZ186" s="2"/>
      <c r="BA186" s="2"/>
      <c r="BB186" s="2"/>
    </row>
    <row r="187">
      <c r="A187" s="2">
        <f>IFERROR(__xludf.DUMMYFUNCTION("""COMPUTED_VALUE"""),183.0)</f>
        <v>183</v>
      </c>
      <c r="B187" s="2" t="str">
        <f>IFERROR(__xludf.DUMMYFUNCTION("""COMPUTED_VALUE"""),"COMPLETED")</f>
        <v>COMPLETED</v>
      </c>
      <c r="C187" s="74">
        <f>IFERROR(__xludf.DUMMYFUNCTION("""COMPUTED_VALUE"""),45446.0)</f>
        <v>45446</v>
      </c>
      <c r="D187" s="71" t="str">
        <f>IFERROR(__xludf.DUMMYFUNCTION("""COMPUTED_VALUE"""),"BRGY. MALIMPEC, BAYAMBANG, PANGASINAN FARMERS ASSOCIATION")</f>
        <v>BRGY. MALIMPEC, BAYAMBANG, PANGASINAN FARMERS ASSOCIATION</v>
      </c>
      <c r="E187" s="71" t="str">
        <f>IFERROR(__xludf.DUMMYFUNCTION("""COMPUTED_VALUE"""),"Malimpec, Bayambang, PANGASINAN")</f>
        <v>Malimpec, Bayambang, PANGASINAN</v>
      </c>
      <c r="F187" s="2" t="str">
        <f>IFERROR(__xludf.DUMMYFUNCTION("""COMPUTED_VALUE"""),"WALLY SAYGO")</f>
        <v>WALLY SAYGO</v>
      </c>
      <c r="G187" s="2">
        <f>IFERROR(__xludf.DUMMYFUNCTION("""COMPUTED_VALUE"""),9.097159536E9)</f>
        <v>9097159536</v>
      </c>
      <c r="H187" s="2">
        <f>IFERROR(__xludf.DUMMYFUNCTION("""COMPUTED_VALUE"""),50.0)</f>
        <v>50</v>
      </c>
      <c r="I187" s="72" t="str">
        <f>IFERROR(__xludf.DUMMYFUNCTION("""COMPUTED_VALUE"""),"PMS")</f>
        <v>PMS</v>
      </c>
      <c r="J187" s="72" t="str">
        <f>IFERROR(__xludf.DUMMYFUNCTION("""COMPUTED_VALUE"""),"PMS")</f>
        <v>PMS</v>
      </c>
      <c r="K187" s="72" t="str">
        <f>IFERROR(__xludf.DUMMYFUNCTION("""COMPUTED_VALUE"""),"FIRTS PMS    6/7/24:ROY:FOR SELF PMS")</f>
        <v>FIRTS PMS    6/7/24:ROY:FOR SELF PMS</v>
      </c>
      <c r="L187" s="72" t="str">
        <f>IFERROR(__xludf.DUMMYFUNCTION("""COMPUTED_VALUE"""),"SEND AGREEMENT:FB: WALLY SAYGO: AGREEMENT SENT: FOR PRINT")</f>
        <v>SEND AGREEMENT:FB: WALLY SAYGO: AGREEMENT SENT: FOR PRINT</v>
      </c>
      <c r="M187" s="2"/>
      <c r="N187" s="2"/>
      <c r="O187" s="2" t="str">
        <f>IFERROR(__xludf.DUMMYFUNCTION("""COMPUTED_VALUE"""),"N/A")</f>
        <v>N/A</v>
      </c>
      <c r="P187" s="2"/>
      <c r="Q187" s="2"/>
      <c r="R187" s="74">
        <f>IFERROR(__xludf.DUMMYFUNCTION("""COMPUTED_VALUE"""),45446.0)</f>
        <v>45446</v>
      </c>
      <c r="S187" s="2" t="str">
        <f>IFERROR(__xludf.DUMMYFUNCTION("""COMPUTED_VALUE"""),"MYKEE")</f>
        <v>MYKEE</v>
      </c>
      <c r="T187" s="73" t="str">
        <f>IFERROR(__xludf.DUMMYFUNCTION("""COMPUTED_VALUE""")," N/A ")</f>
        <v>N/A</v>
      </c>
      <c r="U187" s="73" t="str">
        <f>IFERROR(__xludf.DUMMYFUNCTION("""COMPUTED_VALUE""")," NO CHARGE ")</f>
        <v>NO CHARGE</v>
      </c>
      <c r="V187" s="2"/>
      <c r="W187" s="2" t="str">
        <f>IFERROR(__xludf.DUMMYFUNCTION("""COMPUTED_VALUE"""),"N/A")</f>
        <v>N/A</v>
      </c>
      <c r="X187" s="2" t="str">
        <f>IFERROR(__xludf.DUMMYFUNCTION("""COMPUTED_VALUE"""),"N/A")</f>
        <v>N/A</v>
      </c>
      <c r="Y187" s="2" t="str">
        <f>IFERROR(__xludf.DUMMYFUNCTION("""COMPUTED_VALUE"""),"KFS")</f>
        <v>KFS</v>
      </c>
      <c r="Z187" s="2"/>
      <c r="AA187" s="2"/>
      <c r="AB187" s="2"/>
      <c r="AC187" s="2"/>
      <c r="AD187" s="2"/>
      <c r="AE187" s="2"/>
      <c r="AF187" s="2"/>
      <c r="AG187" s="2"/>
      <c r="AH187" s="2"/>
      <c r="AI187" s="2"/>
      <c r="AJ187" s="2" t="str">
        <f>IFERROR(__xludf.DUMMYFUNCTION("""COMPUTED_VALUE"""),"Malimpec")</f>
        <v>Malimpec</v>
      </c>
      <c r="AK187" s="2" t="str">
        <f>IFERROR(__xludf.DUMMYFUNCTION("""COMPUTED_VALUE"""),"Bayambang")</f>
        <v>Bayambang</v>
      </c>
      <c r="AL187" s="2" t="str">
        <f>IFERROR(__xludf.DUMMYFUNCTION("""COMPUTED_VALUE"""),"Pangasinan")</f>
        <v>Pangasinan</v>
      </c>
      <c r="AM187" s="2">
        <f>IFERROR(__xludf.DUMMYFUNCTION("""COMPUTED_VALUE"""),1.0)</f>
        <v>1</v>
      </c>
      <c r="AN187" s="2" t="str">
        <f>IFERROR(__xludf.DUMMYFUNCTION("""COMPUTED_VALUE"""),"RCEF 23-09-21 Rebidding")</f>
        <v>RCEF 23-09-21 Rebidding</v>
      </c>
      <c r="AO187" s="2">
        <f>IFERROR(__xludf.DUMMYFUNCTION("""COMPUTED_VALUE"""),2.0)</f>
        <v>2</v>
      </c>
      <c r="AP187" s="2"/>
      <c r="AQ187" s="2"/>
      <c r="AR187" s="2"/>
      <c r="AS187" s="2"/>
      <c r="AT187" s="2"/>
      <c r="AU187" s="2"/>
      <c r="AV187" s="2"/>
      <c r="AW187" s="2"/>
      <c r="AX187" s="2"/>
      <c r="AY187" s="2"/>
      <c r="AZ187" s="2"/>
      <c r="BA187" s="2"/>
      <c r="BB187" s="2"/>
    </row>
    <row r="188">
      <c r="A188" s="2">
        <f>IFERROR(__xludf.DUMMYFUNCTION("""COMPUTED_VALUE"""),184.0)</f>
        <v>184</v>
      </c>
      <c r="B188" s="2" t="str">
        <f>IFERROR(__xludf.DUMMYFUNCTION("""COMPUTED_VALUE"""),"COMPLETED")</f>
        <v>COMPLETED</v>
      </c>
      <c r="C188" s="74">
        <f>IFERROR(__xludf.DUMMYFUNCTION("""COMPUTED_VALUE"""),45446.0)</f>
        <v>45446</v>
      </c>
      <c r="D188" s="71" t="str">
        <f>IFERROR(__xludf.DUMMYFUNCTION("""COMPUTED_VALUE"""),"Butil, Gulayan, at Paghahayupan ng Magsasaka ng Bagong Barrio")</f>
        <v>Butil, Gulayan, at Paghahayupan ng Magsasaka ng Bagong Barrio</v>
      </c>
      <c r="E188" s="71" t="str">
        <f>IFERROR(__xludf.DUMMYFUNCTION("""COMPUTED_VALUE"""),"Bagong Barrio, Pandi, BULACAN")</f>
        <v>Bagong Barrio, Pandi, BULACAN</v>
      </c>
      <c r="F188" s="2" t="str">
        <f>IFERROR(__xludf.DUMMYFUNCTION("""COMPUTED_VALUE"""),"ADRIANO JHUN LANDAYAN")</f>
        <v>ADRIANO JHUN LANDAYAN</v>
      </c>
      <c r="G188" s="2">
        <f>IFERROR(__xludf.DUMMYFUNCTION("""COMPUTED_VALUE"""),9.150329828E9)</f>
        <v>9150329828</v>
      </c>
      <c r="H188" s="2">
        <f>IFERROR(__xludf.DUMMYFUNCTION("""COMPUTED_VALUE"""),50.0)</f>
        <v>50</v>
      </c>
      <c r="I188" s="72" t="str">
        <f>IFERROR(__xludf.DUMMYFUNCTION("""COMPUTED_VALUE"""),"REPAIR - LOADER")</f>
        <v>REPAIR - LOADER</v>
      </c>
      <c r="J188" s="72" t="str">
        <f>IFERROR(__xludf.DUMMYFUNCTION("""COMPUTED_VALUE"""),"Tooth")</f>
        <v>Tooth</v>
      </c>
      <c r="K188" s="72" t="str">
        <f>IFERROR(__xludf.DUMMYFUNCTION("""COMPUTED_VALUE"""),"NABALI DAW PO YUNG ISANG NGIPIN SA LOADER           ")</f>
        <v>NABALI DAW PO YUNG ISANG NGIPIN SA LOADER           </v>
      </c>
      <c r="L188" s="72" t="str">
        <f>IFERROR(__xludf.DUMMYFUNCTION("""COMPUTED_VALUE"""),"NO REPORT")</f>
        <v>NO REPORT</v>
      </c>
      <c r="M188" s="2"/>
      <c r="N188" s="2"/>
      <c r="O188" s="2" t="str">
        <f>IFERROR(__xludf.DUMMYFUNCTION("""COMPUTED_VALUE"""),"N/A")</f>
        <v>N/A</v>
      </c>
      <c r="P188" s="2"/>
      <c r="Q188" s="2"/>
      <c r="R188" s="74">
        <f>IFERROR(__xludf.DUMMYFUNCTION("""COMPUTED_VALUE"""),45444.0)</f>
        <v>45444</v>
      </c>
      <c r="S188" s="2" t="str">
        <f>IFERROR(__xludf.DUMMYFUNCTION("""COMPUTED_VALUE"""),"N/A")</f>
        <v>N/A</v>
      </c>
      <c r="T188" s="73" t="str">
        <f>IFERROR(__xludf.DUMMYFUNCTION("""COMPUTED_VALUE""")," N/A ")</f>
        <v>N/A</v>
      </c>
      <c r="U188" s="73" t="str">
        <f>IFERROR(__xludf.DUMMYFUNCTION("""COMPUTED_VALUE""")," NO CHARGE ")</f>
        <v>NO CHARGE</v>
      </c>
      <c r="V188" s="2"/>
      <c r="W188" s="2" t="str">
        <f>IFERROR(__xludf.DUMMYFUNCTION("""COMPUTED_VALUE"""),"N/A")</f>
        <v>N/A</v>
      </c>
      <c r="X188" s="2" t="str">
        <f>IFERROR(__xludf.DUMMYFUNCTION("""COMPUTED_VALUE"""),"N/A")</f>
        <v>N/A</v>
      </c>
      <c r="Y188" s="2" t="str">
        <f>IFERROR(__xludf.DUMMYFUNCTION("""COMPUTED_VALUE"""),"BMD")</f>
        <v>BMD</v>
      </c>
      <c r="Z188" s="2"/>
      <c r="AA188" s="2"/>
      <c r="AB188" s="2"/>
      <c r="AC188" s="2"/>
      <c r="AD188" s="2"/>
      <c r="AE188" s="2"/>
      <c r="AF188" s="2"/>
      <c r="AG188" s="2"/>
      <c r="AH188" s="2"/>
      <c r="AI188" s="2"/>
      <c r="AJ188" s="2" t="str">
        <f>IFERROR(__xludf.DUMMYFUNCTION("""COMPUTED_VALUE"""),"Bagong Barrio")</f>
        <v>Bagong Barrio</v>
      </c>
      <c r="AK188" s="2" t="str">
        <f>IFERROR(__xludf.DUMMYFUNCTION("""COMPUTED_VALUE"""),"Pandi")</f>
        <v>Pandi</v>
      </c>
      <c r="AL188" s="2" t="str">
        <f>IFERROR(__xludf.DUMMYFUNCTION("""COMPUTED_VALUE"""),"Bulacan")</f>
        <v>Bulacan</v>
      </c>
      <c r="AM188" s="2">
        <f>IFERROR(__xludf.DUMMYFUNCTION("""COMPUTED_VALUE"""),3.0)</f>
        <v>3</v>
      </c>
      <c r="AN188" s="2" t="str">
        <f>IFERROR(__xludf.DUMMYFUNCTION("""COMPUTED_VALUE"""),"RCEF 23-09-21 Rebidding")</f>
        <v>RCEF 23-09-21 Rebidding</v>
      </c>
      <c r="AO188" s="2">
        <f>IFERROR(__xludf.DUMMYFUNCTION("""COMPUTED_VALUE"""),3.0)</f>
        <v>3</v>
      </c>
      <c r="AP188" s="2"/>
      <c r="AQ188" s="2"/>
      <c r="AR188" s="2"/>
      <c r="AS188" s="2"/>
      <c r="AT188" s="2"/>
      <c r="AU188" s="2"/>
      <c r="AV188" s="2"/>
      <c r="AW188" s="2"/>
      <c r="AX188" s="2"/>
      <c r="AY188" s="2"/>
      <c r="AZ188" s="2"/>
      <c r="BA188" s="2"/>
      <c r="BB188" s="2"/>
    </row>
    <row r="189">
      <c r="A189" s="2">
        <f>IFERROR(__xludf.DUMMYFUNCTION("""COMPUTED_VALUE"""),185.0)</f>
        <v>185</v>
      </c>
      <c r="B189" s="2" t="str">
        <f>IFERROR(__xludf.DUMMYFUNCTION("""COMPUTED_VALUE"""),"COMPLETED")</f>
        <v>COMPLETED</v>
      </c>
      <c r="C189" s="74">
        <f>IFERROR(__xludf.DUMMYFUNCTION("""COMPUTED_VALUE"""),45446.0)</f>
        <v>45446</v>
      </c>
      <c r="D189" s="71" t="str">
        <f>IFERROR(__xludf.DUMMYFUNCTION("""COMPUTED_VALUE"""),"PUROK CALAPARAN MAGSAYSAY FARMERS ASSOCIATION")</f>
        <v>PUROK CALAPARAN MAGSAYSAY FARMERS ASSOCIATION</v>
      </c>
      <c r="E189" s="71" t="str">
        <f>IFERROR(__xludf.DUMMYFUNCTION("""COMPUTED_VALUE"""),"Magsaysay, Dumaran, Palawan")</f>
        <v>Magsaysay, Dumaran, Palawan</v>
      </c>
      <c r="F189" s="2" t="str">
        <f>IFERROR(__xludf.DUMMYFUNCTION("""COMPUTED_VALUE"""),"MECHELL MANGALAO")</f>
        <v>MECHELL MANGALAO</v>
      </c>
      <c r="G189" s="2">
        <f>IFERROR(__xludf.DUMMYFUNCTION("""COMPUTED_VALUE"""),9.128337122E9)</f>
        <v>9128337122</v>
      </c>
      <c r="H189" s="2">
        <f>IFERROR(__xludf.DUMMYFUNCTION("""COMPUTED_VALUE"""),125.0)</f>
        <v>125</v>
      </c>
      <c r="I189" s="72" t="str">
        <f>IFERROR(__xludf.DUMMYFUNCTION("""COMPUTED_VALUE"""),"REPAIR - ROTAVATOR")</f>
        <v>REPAIR - ROTAVATOR</v>
      </c>
      <c r="J189" s="72" t="str">
        <f>IFERROR(__xludf.DUMMYFUNCTION("""COMPUTED_VALUE"""),"Gearbox")</f>
        <v>Gearbox</v>
      </c>
      <c r="K189" s="72" t="str">
        <f>IFERROR(__xludf.DUMMYFUNCTION("""COMPUTED_VALUE"""),"ROTAVATOR PROBLEM, GEARBOX
RCG: HINDI PA MA CONTACT SI FARMER, MAHIRAP ANG SIGNAL, HINDI PA NABABAKLAS ANG UNIT PARA MALAMAN KUNG ANONG PARTS ANG KAYLANGAN")</f>
        <v>ROTAVATOR PROBLEM, GEARBOX
RCG: HINDI PA MA CONTACT SI FARMER, MAHIRAP ANG SIGNAL, HINDI PA NABABAKLAS ANG UNIT PARA MALAMAN KUNG ANONG PARTS ANG KAYLANGAN</v>
      </c>
      <c r="L189" s="72" t="str">
        <f>IFERROR(__xludf.DUMMYFUNCTION("""COMPUTED_VALUE"""),"RCG: 7/19/24: NAG OUTSOURCE NALANG SI FARMER NG BEARING, MARUNONG YUNG OPERATOR NILA. OK ANG UNIT")</f>
        <v>RCG: 7/19/24: NAG OUTSOURCE NALANG SI FARMER NG BEARING, MARUNONG YUNG OPERATOR NILA. OK ANG UNIT</v>
      </c>
      <c r="M189" s="2"/>
      <c r="N189" s="2"/>
      <c r="O189" s="2" t="str">
        <f>IFERROR(__xludf.DUMMYFUNCTION("""COMPUTED_VALUE"""),"N/A")</f>
        <v>N/A</v>
      </c>
      <c r="P189" s="2"/>
      <c r="Q189" s="2"/>
      <c r="R189" s="74">
        <f>IFERROR(__xludf.DUMMYFUNCTION("""COMPUTED_VALUE"""),45492.0)</f>
        <v>45492</v>
      </c>
      <c r="S189" s="2" t="str">
        <f>IFERROR(__xludf.DUMMYFUNCTION("""COMPUTED_VALUE"""),"RCG")</f>
        <v>RCG</v>
      </c>
      <c r="T189" s="2" t="str">
        <f>IFERROR(__xludf.DUMMYFUNCTION("""COMPUTED_VALUE"""),"N/A")</f>
        <v>N/A</v>
      </c>
      <c r="U189" s="73" t="str">
        <f>IFERROR(__xludf.DUMMYFUNCTION("""COMPUTED_VALUE""")," NO CHARGE ")</f>
        <v>NO CHARGE</v>
      </c>
      <c r="V189" s="2"/>
      <c r="W189" s="2" t="str">
        <f>IFERROR(__xludf.DUMMYFUNCTION("""COMPUTED_VALUE"""),"N/A")</f>
        <v>N/A</v>
      </c>
      <c r="X189" s="2" t="str">
        <f>IFERROR(__xludf.DUMMYFUNCTION("""COMPUTED_VALUE"""),"N/A")</f>
        <v>N/A</v>
      </c>
      <c r="Y189" s="2" t="str">
        <f>IFERROR(__xludf.DUMMYFUNCTION("""COMPUTED_VALUE"""),"RCG")</f>
        <v>RCG</v>
      </c>
      <c r="Z189" s="2"/>
      <c r="AA189" s="2"/>
      <c r="AB189" s="2"/>
      <c r="AC189" s="2"/>
      <c r="AD189" s="2"/>
      <c r="AE189" s="2"/>
      <c r="AF189" s="2"/>
      <c r="AG189" s="2"/>
      <c r="AH189" s="2"/>
      <c r="AI189" s="2"/>
      <c r="AJ189" s="2" t="str">
        <f>IFERROR(__xludf.DUMMYFUNCTION("""COMPUTED_VALUE"""),"Magsaysay")</f>
        <v>Magsaysay</v>
      </c>
      <c r="AK189" s="2" t="str">
        <f>IFERROR(__xludf.DUMMYFUNCTION("""COMPUTED_VALUE"""),"Dumaran")</f>
        <v>Dumaran</v>
      </c>
      <c r="AL189" s="2" t="str">
        <f>IFERROR(__xludf.DUMMYFUNCTION("""COMPUTED_VALUE"""),"Palawan")</f>
        <v>Palawan</v>
      </c>
      <c r="AM189" s="2" t="str">
        <f>IFERROR(__xludf.DUMMYFUNCTION("""COMPUTED_VALUE"""),"4B")</f>
        <v>4B</v>
      </c>
      <c r="AN189" s="2" t="str">
        <f>IFERROR(__xludf.DUMMYFUNCTION("""COMPUTED_VALUE"""),"RCEF 23-08-20 Rebidding")</f>
        <v>RCEF 23-08-20 Rebidding</v>
      </c>
      <c r="AO189" s="2">
        <f>IFERROR(__xludf.DUMMYFUNCTION("""COMPUTED_VALUE"""),1.0)</f>
        <v>1</v>
      </c>
      <c r="AP189" s="2"/>
      <c r="AQ189" s="2"/>
      <c r="AR189" s="2"/>
      <c r="AS189" s="2"/>
      <c r="AT189" s="2"/>
      <c r="AU189" s="2"/>
      <c r="AV189" s="2"/>
      <c r="AW189" s="2"/>
      <c r="AX189" s="2"/>
      <c r="AY189" s="2"/>
      <c r="AZ189" s="2"/>
      <c r="BA189" s="2"/>
      <c r="BB189" s="2"/>
    </row>
    <row r="190">
      <c r="A190" s="2">
        <f>IFERROR(__xludf.DUMMYFUNCTION("""COMPUTED_VALUE"""),186.0)</f>
        <v>186</v>
      </c>
      <c r="B190" s="2" t="str">
        <f>IFERROR(__xludf.DUMMYFUNCTION("""COMPUTED_VALUE"""),"COMPLETED")</f>
        <v>COMPLETED</v>
      </c>
      <c r="C190" s="74">
        <f>IFERROR(__xludf.DUMMYFUNCTION("""COMPUTED_VALUE"""),45446.0)</f>
        <v>45446</v>
      </c>
      <c r="D190" s="71" t="str">
        <f>IFERROR(__xludf.DUMMYFUNCTION("""COMPUTED_VALUE"""),"Butil, Gulayan, at Paghahayupan ng Magsasaka ng Bagong Barrio")</f>
        <v>Butil, Gulayan, at Paghahayupan ng Magsasaka ng Bagong Barrio</v>
      </c>
      <c r="E190" s="71" t="str">
        <f>IFERROR(__xludf.DUMMYFUNCTION("""COMPUTED_VALUE"""),"Bagong Barrio, Pandi, BULACAN")</f>
        <v>Bagong Barrio, Pandi, BULACAN</v>
      </c>
      <c r="F190" s="2" t="str">
        <f>IFERROR(__xludf.DUMMYFUNCTION("""COMPUTED_VALUE"""),"ADRIANO JHUN LANDAYAN")</f>
        <v>ADRIANO JHUN LANDAYAN</v>
      </c>
      <c r="G190" s="2">
        <f>IFERROR(__xludf.DUMMYFUNCTION("""COMPUTED_VALUE"""),9.150329828E9)</f>
        <v>9150329828</v>
      </c>
      <c r="H190" s="2">
        <f>IFERROR(__xludf.DUMMYFUNCTION("""COMPUTED_VALUE"""),50.0)</f>
        <v>50</v>
      </c>
      <c r="I190" s="72" t="str">
        <f>IFERROR(__xludf.DUMMYFUNCTION("""COMPUTED_VALUE"""),"PMS")</f>
        <v>PMS</v>
      </c>
      <c r="J190" s="72" t="str">
        <f>IFERROR(__xludf.DUMMYFUNCTION("""COMPUTED_VALUE"""),"PMS")</f>
        <v>PMS</v>
      </c>
      <c r="K190" s="72" t="str">
        <f>IFERROR(__xludf.DUMMYFUNCTION("""COMPUTED_VALUE"""),"FIRTS PMS    6/6/24: DONE, NEED REPORT FROM EDISON")</f>
        <v>FIRTS PMS    6/6/24: DONE, NEED REPORT FROM EDISON</v>
      </c>
      <c r="L190" s="72" t="str">
        <f>IFERROR(__xludf.DUMMYFUNCTION("""COMPUTED_VALUE"""),"DONE CHANGE OIL")</f>
        <v>DONE CHANGE OIL</v>
      </c>
      <c r="M190" s="2"/>
      <c r="N190" s="2"/>
      <c r="O190" s="2" t="str">
        <f>IFERROR(__xludf.DUMMYFUNCTION("""COMPUTED_VALUE"""),"JIE-815")</f>
        <v>JIE-815</v>
      </c>
      <c r="P190" s="2"/>
      <c r="Q190" s="2"/>
      <c r="R190" s="74">
        <f>IFERROR(__xludf.DUMMYFUNCTION("""COMPUTED_VALUE"""),45468.0)</f>
        <v>45468</v>
      </c>
      <c r="S190" s="2" t="str">
        <f>IFERROR(__xludf.DUMMYFUNCTION("""COMPUTED_VALUE"""),"EGT")</f>
        <v>EGT</v>
      </c>
      <c r="T190" s="73" t="str">
        <f>IFERROR(__xludf.DUMMYFUNCTION("""COMPUTED_VALUE""")," N/A ")</f>
        <v>N/A</v>
      </c>
      <c r="U190" s="73" t="str">
        <f>IFERROR(__xludf.DUMMYFUNCTION("""COMPUTED_VALUE""")," NO CHARGE ")</f>
        <v>NO CHARGE</v>
      </c>
      <c r="V190" s="2"/>
      <c r="W190" s="2" t="str">
        <f>IFERROR(__xludf.DUMMYFUNCTION("""COMPUTED_VALUE"""),"N/A")</f>
        <v>N/A</v>
      </c>
      <c r="X190" s="2" t="str">
        <f>IFERROR(__xludf.DUMMYFUNCTION("""COMPUTED_VALUE"""),"N/A")</f>
        <v>N/A</v>
      </c>
      <c r="Y190" s="2" t="str">
        <f>IFERROR(__xludf.DUMMYFUNCTION("""COMPUTED_VALUE"""),"BMD")</f>
        <v>BMD</v>
      </c>
      <c r="Z190" s="2"/>
      <c r="AA190" s="2"/>
      <c r="AB190" s="2"/>
      <c r="AC190" s="2"/>
      <c r="AD190" s="2"/>
      <c r="AE190" s="2"/>
      <c r="AF190" s="2"/>
      <c r="AG190" s="2"/>
      <c r="AH190" s="2"/>
      <c r="AI190" s="2"/>
      <c r="AJ190" s="2" t="str">
        <f>IFERROR(__xludf.DUMMYFUNCTION("""COMPUTED_VALUE"""),"Bagong Barrio")</f>
        <v>Bagong Barrio</v>
      </c>
      <c r="AK190" s="2" t="str">
        <f>IFERROR(__xludf.DUMMYFUNCTION("""COMPUTED_VALUE"""),"Pandi")</f>
        <v>Pandi</v>
      </c>
      <c r="AL190" s="2" t="str">
        <f>IFERROR(__xludf.DUMMYFUNCTION("""COMPUTED_VALUE"""),"Bulacan")</f>
        <v>Bulacan</v>
      </c>
      <c r="AM190" s="2">
        <f>IFERROR(__xludf.DUMMYFUNCTION("""COMPUTED_VALUE"""),3.0)</f>
        <v>3</v>
      </c>
      <c r="AN190" s="2" t="str">
        <f>IFERROR(__xludf.DUMMYFUNCTION("""COMPUTED_VALUE"""),"RCEF 23-09-21 Rebidding")</f>
        <v>RCEF 23-09-21 Rebidding</v>
      </c>
      <c r="AO190" s="2">
        <f>IFERROR(__xludf.DUMMYFUNCTION("""COMPUTED_VALUE"""),3.0)</f>
        <v>3</v>
      </c>
      <c r="AP190" s="2"/>
      <c r="AQ190" s="2"/>
      <c r="AR190" s="2"/>
      <c r="AS190" s="2"/>
      <c r="AT190" s="2"/>
      <c r="AU190" s="2"/>
      <c r="AV190" s="2"/>
      <c r="AW190" s="2"/>
      <c r="AX190" s="2"/>
      <c r="AY190" s="2"/>
      <c r="AZ190" s="2"/>
      <c r="BA190" s="2"/>
      <c r="BB190" s="2"/>
    </row>
    <row r="191">
      <c r="A191" s="2">
        <f>IFERROR(__xludf.DUMMYFUNCTION("""COMPUTED_VALUE"""),187.0)</f>
        <v>187</v>
      </c>
      <c r="B191" s="2" t="str">
        <f>IFERROR(__xludf.DUMMYFUNCTION("""COMPUTED_VALUE"""),"COMPLETED")</f>
        <v>COMPLETED</v>
      </c>
      <c r="C191" s="74">
        <f>IFERROR(__xludf.DUMMYFUNCTION("""COMPUTED_VALUE"""),45447.0)</f>
        <v>45447</v>
      </c>
      <c r="D191" s="71" t="str">
        <f>IFERROR(__xludf.DUMMYFUNCTION("""COMPUTED_VALUE"""),"BARACBAC ARB AND FARMERS ASSOCIATION INC.")</f>
        <v>BARACBAC ARB AND FARMERS ASSOCIATION INC.</v>
      </c>
      <c r="E191" s="71" t="str">
        <f>IFERROR(__xludf.DUMMYFUNCTION("""COMPUTED_VALUE"""),"BARACBAC, UMINGAN, PANGASINAN")</f>
        <v>BARACBAC, UMINGAN, PANGASINAN</v>
      </c>
      <c r="F191" s="2" t="str">
        <f>IFERROR(__xludf.DUMMYFUNCTION("""COMPUTED_VALUE"""),"CRUZALDO BALIGNASAY")</f>
        <v>CRUZALDO BALIGNASAY</v>
      </c>
      <c r="G191" s="2">
        <f>IFERROR(__xludf.DUMMYFUNCTION("""COMPUTED_VALUE"""),9.109963307E9)</f>
        <v>9109963307</v>
      </c>
      <c r="H191" s="2">
        <f>IFERROR(__xludf.DUMMYFUNCTION("""COMPUTED_VALUE"""),50.0)</f>
        <v>50</v>
      </c>
      <c r="I191" s="72" t="str">
        <f>IFERROR(__xludf.DUMMYFUNCTION("""COMPUTED_VALUE"""),"PMS")</f>
        <v>PMS</v>
      </c>
      <c r="J191" s="72" t="str">
        <f>IFERROR(__xludf.DUMMYFUNCTION("""COMPUTED_VALUE"""),"PMS")</f>
        <v>PMS</v>
      </c>
      <c r="K191" s="72" t="str">
        <f>IFERROR(__xludf.DUMMYFUNCTION("""COMPUTED_VALUE"""),"FIRTS PMS")</f>
        <v>FIRTS PMS</v>
      </c>
      <c r="L191" s="72" t="str">
        <f>IFERROR(__xludf.DUMMYFUNCTION("""COMPUTED_VALUE"""),"CHANGE OIL")</f>
        <v>CHANGE OIL</v>
      </c>
      <c r="M191" s="2"/>
      <c r="N191" s="2"/>
      <c r="O191" s="2" t="str">
        <f>IFERROR(__xludf.DUMMYFUNCTION("""COMPUTED_VALUE"""),"JIE-090")</f>
        <v>JIE-090</v>
      </c>
      <c r="P191" s="2"/>
      <c r="Q191" s="2"/>
      <c r="R191" s="74">
        <f>IFERROR(__xludf.DUMMYFUNCTION("""COMPUTED_VALUE"""),45447.0)</f>
        <v>45447</v>
      </c>
      <c r="S191" s="2" t="str">
        <f>IFERROR(__xludf.DUMMYFUNCTION("""COMPUTED_VALUE"""),"RCG/CCB")</f>
        <v>RCG/CCB</v>
      </c>
      <c r="T191" s="73" t="str">
        <f>IFERROR(__xludf.DUMMYFUNCTION("""COMPUTED_VALUE""")," N/A ")</f>
        <v>N/A</v>
      </c>
      <c r="U191" s="73" t="str">
        <f>IFERROR(__xludf.DUMMYFUNCTION("""COMPUTED_VALUE""")," NO CHARGE ")</f>
        <v>NO CHARGE</v>
      </c>
      <c r="V191" s="2"/>
      <c r="W191" s="2" t="str">
        <f>IFERROR(__xludf.DUMMYFUNCTION("""COMPUTED_VALUE"""),"N/A")</f>
        <v>N/A</v>
      </c>
      <c r="X191" s="2" t="str">
        <f>IFERROR(__xludf.DUMMYFUNCTION("""COMPUTED_VALUE"""),"N/A")</f>
        <v>N/A</v>
      </c>
      <c r="Y191" s="2" t="str">
        <f>IFERROR(__xludf.DUMMYFUNCTION("""COMPUTED_VALUE"""),"KFS")</f>
        <v>KFS</v>
      </c>
      <c r="Z191" s="2"/>
      <c r="AA191" s="2"/>
      <c r="AB191" s="2"/>
      <c r="AC191" s="2"/>
      <c r="AD191" s="2"/>
      <c r="AE191" s="2"/>
      <c r="AF191" s="2"/>
      <c r="AG191" s="2"/>
      <c r="AH191" s="2"/>
      <c r="AI191" s="2"/>
      <c r="AJ191" s="2" t="str">
        <f>IFERROR(__xludf.DUMMYFUNCTION("""COMPUTED_VALUE"""),"Baracbac")</f>
        <v>Baracbac</v>
      </c>
      <c r="AK191" s="2" t="str">
        <f>IFERROR(__xludf.DUMMYFUNCTION("""COMPUTED_VALUE"""),"Umingan")</f>
        <v>Umingan</v>
      </c>
      <c r="AL191" s="2" t="str">
        <f>IFERROR(__xludf.DUMMYFUNCTION("""COMPUTED_VALUE"""),"Pangasinan")</f>
        <v>Pangasinan</v>
      </c>
      <c r="AM191" s="2">
        <f>IFERROR(__xludf.DUMMYFUNCTION("""COMPUTED_VALUE"""),1.0)</f>
        <v>1</v>
      </c>
      <c r="AN191" s="2" t="str">
        <f>IFERROR(__xludf.DUMMYFUNCTION("""COMPUTED_VALUE"""),"RCEF 23-09-21 Rebidding")</f>
        <v>RCEF 23-09-21 Rebidding</v>
      </c>
      <c r="AO191" s="2">
        <f>IFERROR(__xludf.DUMMYFUNCTION("""COMPUTED_VALUE"""),2.0)</f>
        <v>2</v>
      </c>
      <c r="AP191" s="2"/>
      <c r="AQ191" s="2"/>
      <c r="AR191" s="2"/>
      <c r="AS191" s="2"/>
      <c r="AT191" s="2"/>
      <c r="AU191" s="2"/>
      <c r="AV191" s="2"/>
      <c r="AW191" s="2"/>
      <c r="AX191" s="2"/>
      <c r="AY191" s="2"/>
      <c r="AZ191" s="2"/>
      <c r="BA191" s="2"/>
      <c r="BB191" s="2"/>
    </row>
    <row r="192">
      <c r="A192" s="2">
        <f>IFERROR(__xludf.DUMMYFUNCTION("""COMPUTED_VALUE"""),188.0)</f>
        <v>188</v>
      </c>
      <c r="B192" s="2" t="str">
        <f>IFERROR(__xludf.DUMMYFUNCTION("""COMPUTED_VALUE"""),"COMPLETED")</f>
        <v>COMPLETED</v>
      </c>
      <c r="C192" s="74">
        <f>IFERROR(__xludf.DUMMYFUNCTION("""COMPUTED_VALUE"""),45447.0)</f>
        <v>45447</v>
      </c>
      <c r="D192" s="71" t="str">
        <f>IFERROR(__xludf.DUMMYFUNCTION("""COMPUTED_VALUE"""),"TIMPUYOG TI MANNALON ITI ROSALES INC.")</f>
        <v>TIMPUYOG TI MANNALON ITI ROSALES INC.</v>
      </c>
      <c r="E192" s="71" t="str">
        <f>IFERROR(__xludf.DUMMYFUNCTION("""COMPUTED_VALUE"""),"Zone V (Pob.), Rosales, Pangasinan")</f>
        <v>Zone V (Pob.), Rosales, Pangasinan</v>
      </c>
      <c r="F192" s="2" t="str">
        <f>IFERROR(__xludf.DUMMYFUNCTION("""COMPUTED_VALUE"""),"ROMEO LILAGAN JR.")</f>
        <v>ROMEO LILAGAN JR.</v>
      </c>
      <c r="G192" s="2">
        <f>IFERROR(__xludf.DUMMYFUNCTION("""COMPUTED_VALUE"""),9.564468235E9)</f>
        <v>9564468235</v>
      </c>
      <c r="H192" s="2">
        <f>IFERROR(__xludf.DUMMYFUNCTION("""COMPUTED_VALUE"""),50.0)</f>
        <v>50</v>
      </c>
      <c r="I192" s="72" t="str">
        <f>IFERROR(__xludf.DUMMYFUNCTION("""COMPUTED_VALUE"""),"PMS")</f>
        <v>PMS</v>
      </c>
      <c r="J192" s="72" t="str">
        <f>IFERROR(__xludf.DUMMYFUNCTION("""COMPUTED_VALUE"""),"PMS")</f>
        <v>PMS</v>
      </c>
      <c r="K192" s="72" t="str">
        <f>IFERROR(__xludf.DUMMYFUNCTION("""COMPUTED_VALUE"""),"FIRTS PMS")</f>
        <v>FIRTS PMS</v>
      </c>
      <c r="L192" s="72" t="str">
        <f>IFERROR(__xludf.DUMMYFUNCTION("""COMPUTED_VALUE"""),"CHANGE OIL")</f>
        <v>CHANGE OIL</v>
      </c>
      <c r="M192" s="2"/>
      <c r="N192" s="2"/>
      <c r="O192" s="2" t="str">
        <f>IFERROR(__xludf.DUMMYFUNCTION("""COMPUTED_VALUE"""),"JIE-093")</f>
        <v>JIE-093</v>
      </c>
      <c r="P192" s="2"/>
      <c r="Q192" s="2"/>
      <c r="R192" s="74">
        <f>IFERROR(__xludf.DUMMYFUNCTION("""COMPUTED_VALUE"""),45450.0)</f>
        <v>45450</v>
      </c>
      <c r="S192" s="2" t="str">
        <f>IFERROR(__xludf.DUMMYFUNCTION("""COMPUTED_VALUE"""),"RCG/CCB")</f>
        <v>RCG/CCB</v>
      </c>
      <c r="T192" s="73" t="str">
        <f>IFERROR(__xludf.DUMMYFUNCTION("""COMPUTED_VALUE""")," N/A ")</f>
        <v>N/A</v>
      </c>
      <c r="U192" s="73" t="str">
        <f>IFERROR(__xludf.DUMMYFUNCTION("""COMPUTED_VALUE""")," NO CHARGE ")</f>
        <v>NO CHARGE</v>
      </c>
      <c r="V192" s="2"/>
      <c r="W192" s="2" t="str">
        <f>IFERROR(__xludf.DUMMYFUNCTION("""COMPUTED_VALUE"""),"N/A")</f>
        <v>N/A</v>
      </c>
      <c r="X192" s="2" t="str">
        <f>IFERROR(__xludf.DUMMYFUNCTION("""COMPUTED_VALUE"""),"N/A")</f>
        <v>N/A</v>
      </c>
      <c r="Y192" s="2" t="str">
        <f>IFERROR(__xludf.DUMMYFUNCTION("""COMPUTED_VALUE"""),"KFS")</f>
        <v>KFS</v>
      </c>
      <c r="Z192" s="2"/>
      <c r="AA192" s="2"/>
      <c r="AB192" s="2"/>
      <c r="AC192" s="2"/>
      <c r="AD192" s="2"/>
      <c r="AE192" s="2"/>
      <c r="AF192" s="2"/>
      <c r="AG192" s="2"/>
      <c r="AH192" s="2"/>
      <c r="AI192" s="2"/>
      <c r="AJ192" s="2" t="str">
        <f>IFERROR(__xludf.DUMMYFUNCTION("""COMPUTED_VALUE"""),"Zone V (Pob.)")</f>
        <v>Zone V (Pob.)</v>
      </c>
      <c r="AK192" s="2" t="str">
        <f>IFERROR(__xludf.DUMMYFUNCTION("""COMPUTED_VALUE"""),"Rosales")</f>
        <v>Rosales</v>
      </c>
      <c r="AL192" s="2" t="str">
        <f>IFERROR(__xludf.DUMMYFUNCTION("""COMPUTED_VALUE"""),"Pangasinan")</f>
        <v>Pangasinan</v>
      </c>
      <c r="AM192" s="2">
        <f>IFERROR(__xludf.DUMMYFUNCTION("""COMPUTED_VALUE"""),1.0)</f>
        <v>1</v>
      </c>
      <c r="AN192" s="2" t="str">
        <f>IFERROR(__xludf.DUMMYFUNCTION("""COMPUTED_VALUE"""),"RCEF 23-09-21 Rebidding")</f>
        <v>RCEF 23-09-21 Rebidding</v>
      </c>
      <c r="AO192" s="2">
        <f>IFERROR(__xludf.DUMMYFUNCTION("""COMPUTED_VALUE"""),2.0)</f>
        <v>2</v>
      </c>
      <c r="AP192" s="2"/>
      <c r="AQ192" s="2"/>
      <c r="AR192" s="2"/>
      <c r="AS192" s="2"/>
      <c r="AT192" s="2"/>
      <c r="AU192" s="2"/>
      <c r="AV192" s="2"/>
      <c r="AW192" s="2"/>
      <c r="AX192" s="2"/>
      <c r="AY192" s="2"/>
      <c r="AZ192" s="2"/>
      <c r="BA192" s="2"/>
      <c r="BB192" s="2"/>
    </row>
    <row r="193">
      <c r="A193" s="2">
        <f>IFERROR(__xludf.DUMMYFUNCTION("""COMPUTED_VALUE"""),189.0)</f>
        <v>189</v>
      </c>
      <c r="B193" s="2" t="str">
        <f>IFERROR(__xludf.DUMMYFUNCTION("""COMPUTED_VALUE"""),"COMPLETED")</f>
        <v>COMPLETED</v>
      </c>
      <c r="C193" s="74">
        <f>IFERROR(__xludf.DUMMYFUNCTION("""COMPUTED_VALUE"""),45447.0)</f>
        <v>45447</v>
      </c>
      <c r="D193" s="71" t="str">
        <f>IFERROR(__xludf.DUMMYFUNCTION("""COMPUTED_VALUE"""),"CABAYUGAN FARMERS ASSOCIATION")</f>
        <v>CABAYUGAN FARMERS ASSOCIATION</v>
      </c>
      <c r="E193" s="71" t="str">
        <f>IFERROR(__xludf.DUMMYFUNCTION("""COMPUTED_VALUE"""),"Cabayugan, Puerto Princesa City, Palawan")</f>
        <v>Cabayugan, Puerto Princesa City, Palawan</v>
      </c>
      <c r="F193" s="2" t="str">
        <f>IFERROR(__xludf.DUMMYFUNCTION("""COMPUTED_VALUE"""),"LUOIE JOY A. AUNGON")</f>
        <v>LUOIE JOY A. AUNGON</v>
      </c>
      <c r="G193" s="2">
        <f>IFERROR(__xludf.DUMMYFUNCTION("""COMPUTED_VALUE"""),9.050960839E9)</f>
        <v>9050960839</v>
      </c>
      <c r="H193" s="2"/>
      <c r="I193" s="72" t="str">
        <f>IFERROR(__xludf.DUMMYFUNCTION("""COMPUTED_VALUE"""),"REPAIR - TRACTOR")</f>
        <v>REPAIR - TRACTOR</v>
      </c>
      <c r="J193" s="72" t="str">
        <f>IFERROR(__xludf.DUMMYFUNCTION("""COMPUTED_VALUE"""),"CHECK UP UNIT")</f>
        <v>CHECK UP UNIT</v>
      </c>
      <c r="K193" s="72" t="str">
        <f>IFERROR(__xludf.DUMMYFUNCTION("""COMPUTED_VALUE"""),"HINDI MAPAANDAR YUNG UNIT, HINDI NALABAS ANG NEUTRAL PERO NAKA NEUTRAL LAHAT NG LEVER")</f>
        <v>HINDI MAPAANDAR YUNG UNIT, HINDI NALABAS ANG NEUTRAL PERO NAKA NEUTRAL LAHAT NG LEVER</v>
      </c>
      <c r="L193" s="72" t="str">
        <f>IFERROR(__xludf.DUMMYFUNCTION("""COMPUTED_VALUE"""),"OK NA ANG UNIT.UMAANDAR NA PINA CHECK NILA SA MEKANIKO")</f>
        <v>OK NA ANG UNIT.UMAANDAR NA PINA CHECK NILA SA MEKANIKO</v>
      </c>
      <c r="M193" s="2"/>
      <c r="N193" s="2"/>
      <c r="O193" s="2" t="str">
        <f>IFERROR(__xludf.DUMMYFUNCTION("""COMPUTED_VALUE"""),"N/A")</f>
        <v>N/A</v>
      </c>
      <c r="P193" s="2"/>
      <c r="Q193" s="2"/>
      <c r="R193" s="74">
        <f>IFERROR(__xludf.DUMMYFUNCTION("""COMPUTED_VALUE"""),45448.0)</f>
        <v>45448</v>
      </c>
      <c r="S193" s="2" t="str">
        <f>IFERROR(__xludf.DUMMYFUNCTION("""COMPUTED_VALUE"""),"ERP")</f>
        <v>ERP</v>
      </c>
      <c r="T193" s="73" t="str">
        <f>IFERROR(__xludf.DUMMYFUNCTION("""COMPUTED_VALUE""")," N/A ")</f>
        <v>N/A</v>
      </c>
      <c r="U193" s="73" t="str">
        <f>IFERROR(__xludf.DUMMYFUNCTION("""COMPUTED_VALUE""")," NO CHARGE ")</f>
        <v>NO CHARGE</v>
      </c>
      <c r="V193" s="2"/>
      <c r="W193" s="2" t="str">
        <f>IFERROR(__xludf.DUMMYFUNCTION("""COMPUTED_VALUE"""),"N/A")</f>
        <v>N/A</v>
      </c>
      <c r="X193" s="2" t="str">
        <f>IFERROR(__xludf.DUMMYFUNCTION("""COMPUTED_VALUE"""),"N/A")</f>
        <v>N/A</v>
      </c>
      <c r="Y193" s="2" t="str">
        <f>IFERROR(__xludf.DUMMYFUNCTION("""COMPUTED_VALUE"""),"RCG")</f>
        <v>RCG</v>
      </c>
      <c r="Z193" s="2"/>
      <c r="AA193" s="2"/>
      <c r="AB193" s="2"/>
      <c r="AC193" s="2"/>
      <c r="AD193" s="2"/>
      <c r="AE193" s="2"/>
      <c r="AF193" s="2"/>
      <c r="AG193" s="2"/>
      <c r="AH193" s="2"/>
      <c r="AI193" s="2"/>
      <c r="AJ193" s="2" t="str">
        <f>IFERROR(__xludf.DUMMYFUNCTION("""COMPUTED_VALUE"""),"Cabayugan")</f>
        <v>Cabayugan</v>
      </c>
      <c r="AK193" s="2" t="str">
        <f>IFERROR(__xludf.DUMMYFUNCTION("""COMPUTED_VALUE"""),"Puerto Princesa City")</f>
        <v>Puerto Princesa City</v>
      </c>
      <c r="AL193" s="2" t="str">
        <f>IFERROR(__xludf.DUMMYFUNCTION("""COMPUTED_VALUE"""),"Palawan")</f>
        <v>Palawan</v>
      </c>
      <c r="AM193" s="2" t="str">
        <f>IFERROR(__xludf.DUMMYFUNCTION("""COMPUTED_VALUE"""),"4B")</f>
        <v>4B</v>
      </c>
      <c r="AN193" s="2" t="str">
        <f>IFERROR(__xludf.DUMMYFUNCTION("""COMPUTED_VALUE"""),"RCEF 23-08-20 Rebidding")</f>
        <v>RCEF 23-08-20 Rebidding</v>
      </c>
      <c r="AO193" s="2">
        <f>IFERROR(__xludf.DUMMYFUNCTION("""COMPUTED_VALUE"""),1.0)</f>
        <v>1</v>
      </c>
      <c r="AP193" s="2"/>
      <c r="AQ193" s="2"/>
      <c r="AR193" s="2"/>
      <c r="AS193" s="2"/>
      <c r="AT193" s="2"/>
      <c r="AU193" s="2"/>
      <c r="AV193" s="2"/>
      <c r="AW193" s="2"/>
      <c r="AX193" s="2"/>
      <c r="AY193" s="2"/>
      <c r="AZ193" s="2"/>
      <c r="BA193" s="2"/>
      <c r="BB193" s="2"/>
    </row>
    <row r="194">
      <c r="A194" s="2">
        <f>IFERROR(__xludf.DUMMYFUNCTION("""COMPUTED_VALUE"""),190.0)</f>
        <v>190</v>
      </c>
      <c r="B194" s="2" t="str">
        <f>IFERROR(__xludf.DUMMYFUNCTION("""COMPUTED_VALUE"""),"COMPLETED")</f>
        <v>COMPLETED</v>
      </c>
      <c r="C194" s="74">
        <f>IFERROR(__xludf.DUMMYFUNCTION("""COMPUTED_VALUE"""),45447.0)</f>
        <v>45447</v>
      </c>
      <c r="D194" s="71" t="str">
        <f>IFERROR(__xludf.DUMMYFUNCTION("""COMPUTED_VALUE"""),"CARIZ IRRIGATORS ASSOCIATION, INC.")</f>
        <v>CARIZ IRRIGATORS ASSOCIATION, INC.</v>
      </c>
      <c r="E194" s="71" t="str">
        <f>IFERROR(__xludf.DUMMYFUNCTION("""COMPUTED_VALUE"""),"Camaal, Quirino, ISABELA")</f>
        <v>Camaal, Quirino, ISABELA</v>
      </c>
      <c r="F194" s="2" t="str">
        <f>IFERROR(__xludf.DUMMYFUNCTION("""COMPUTED_VALUE"""),"REY DIAMPOC")</f>
        <v>REY DIAMPOC</v>
      </c>
      <c r="G194" s="2">
        <f>IFERROR(__xludf.DUMMYFUNCTION("""COMPUTED_VALUE"""),9.551131512E9)</f>
        <v>9551131512</v>
      </c>
      <c r="H194" s="2">
        <f>IFERROR(__xludf.DUMMYFUNCTION("""COMPUTED_VALUE"""),94.0)</f>
        <v>94</v>
      </c>
      <c r="I194" s="72" t="str">
        <f>IFERROR(__xludf.DUMMYFUNCTION("""COMPUTED_VALUE"""),"REPAIR - TRACTOR")</f>
        <v>REPAIR - TRACTOR</v>
      </c>
      <c r="J194" s="72" t="str">
        <f>IFERROR(__xludf.DUMMYFUNCTION("""COMPUTED_VALUE"""),"CHECK UP UNIT")</f>
        <v>CHECK UP UNIT</v>
      </c>
      <c r="K194" s="72" t="str">
        <f>IFERROR(__xludf.DUMMYFUNCTION("""COMPUTED_VALUE"""),"TURBO PROBLEM, AYAW GUMANA        
 6/6/24: FORWARDED TO JTT TO ASSIST VIA CALL")</f>
        <v>TURBO PROBLEM, AYAW GUMANA        
 6/6/24: FORWARDED TO JTT TO ASSIST VIA CALL</v>
      </c>
      <c r="L194" s="72" t="str">
        <f>IFERROR(__xludf.DUMMYFUNCTION("""COMPUTED_VALUE"""),"CALL JTT    6/13:14:CJ: NAKAUSAP KO NA SI REY DIAMPOC, HINDI KO NA PINAGAGAMIT YUNG UNIT NA MAY PROBLEMA SA TURBO AT BAKA MAY MADAMAY PA NA IBA SA ENGINE      
CFG: OK NAMAN ANG TURBO NG UNIT GUMAGANA NAMAN. MADUMI LANG YUNG AIR FILTER KAYA PO SINSABI NIL"&amp;"ANG HUMIHINA, ")</f>
        <v>CALL JTT    6/13:14:CJ: NAKAUSAP KO NA SI REY DIAMPOC, HINDI KO NA PINAGAGAMIT YUNG UNIT NA MAY PROBLEMA SA TURBO AT BAKA MAY MADAMAY PA NA IBA SA ENGINE      
CFG: OK NAMAN ANG TURBO NG UNIT GUMAGANA NAMAN. MADUMI LANG YUNG AIR FILTER KAYA PO SINSABI NILANG HUMIHINA, </v>
      </c>
      <c r="M194" s="2"/>
      <c r="N194" s="2"/>
      <c r="O194" s="2" t="str">
        <f>IFERROR(__xludf.DUMMYFUNCTION("""COMPUTED_VALUE"""),"JIE-826")</f>
        <v>JIE-826</v>
      </c>
      <c r="P194" s="2"/>
      <c r="Q194" s="2"/>
      <c r="R194" s="74">
        <f>IFERROR(__xludf.DUMMYFUNCTION("""COMPUTED_VALUE"""),45470.0)</f>
        <v>45470</v>
      </c>
      <c r="S194" s="2"/>
      <c r="T194" s="73" t="str">
        <f>IFERROR(__xludf.DUMMYFUNCTION("""COMPUTED_VALUE""")," N/A ")</f>
        <v>N/A</v>
      </c>
      <c r="U194" s="73" t="str">
        <f>IFERROR(__xludf.DUMMYFUNCTION("""COMPUTED_VALUE""")," NO CHARGE ")</f>
        <v>NO CHARGE</v>
      </c>
      <c r="V194" s="2"/>
      <c r="W194" s="2" t="str">
        <f>IFERROR(__xludf.DUMMYFUNCTION("""COMPUTED_VALUE"""),"N/A")</f>
        <v>N/A</v>
      </c>
      <c r="X194" s="2" t="str">
        <f>IFERROR(__xludf.DUMMYFUNCTION("""COMPUTED_VALUE"""),"N/A")</f>
        <v>N/A</v>
      </c>
      <c r="Y194" s="2" t="str">
        <f>IFERROR(__xludf.DUMMYFUNCTION("""COMPUTED_VALUE"""),"MYKEE")</f>
        <v>MYKEE</v>
      </c>
      <c r="Z194" s="2"/>
      <c r="AA194" s="2"/>
      <c r="AB194" s="2"/>
      <c r="AC194" s="2"/>
      <c r="AD194" s="2"/>
      <c r="AE194" s="2"/>
      <c r="AF194" s="2"/>
      <c r="AG194" s="2"/>
      <c r="AH194" s="2"/>
      <c r="AI194" s="2"/>
      <c r="AJ194" s="2" t="str">
        <f>IFERROR(__xludf.DUMMYFUNCTION("""COMPUTED_VALUE"""),"Camaal")</f>
        <v>Camaal</v>
      </c>
      <c r="AK194" s="2" t="str">
        <f>IFERROR(__xludf.DUMMYFUNCTION("""COMPUTED_VALUE"""),"Quirino")</f>
        <v>Quirino</v>
      </c>
      <c r="AL194" s="2" t="str">
        <f>IFERROR(__xludf.DUMMYFUNCTION("""COMPUTED_VALUE"""),"Isabela")</f>
        <v>Isabela</v>
      </c>
      <c r="AM194" s="2">
        <f>IFERROR(__xludf.DUMMYFUNCTION("""COMPUTED_VALUE"""),2.0)</f>
        <v>2</v>
      </c>
      <c r="AN194" s="2" t="str">
        <f>IFERROR(__xludf.DUMMYFUNCTION("""COMPUTED_VALUE"""),"RCEF 23-09-21 Rebidding")</f>
        <v>RCEF 23-09-21 Rebidding</v>
      </c>
      <c r="AO194" s="2">
        <f>IFERROR(__xludf.DUMMYFUNCTION("""COMPUTED_VALUE"""),9.0)</f>
        <v>9</v>
      </c>
      <c r="AP194" s="2"/>
      <c r="AQ194" s="2"/>
      <c r="AR194" s="2"/>
      <c r="AS194" s="2"/>
      <c r="AT194" s="2"/>
      <c r="AU194" s="2"/>
      <c r="AV194" s="2"/>
      <c r="AW194" s="2"/>
      <c r="AX194" s="2"/>
      <c r="AY194" s="2"/>
      <c r="AZ194" s="2"/>
      <c r="BA194" s="2"/>
      <c r="BB194" s="2"/>
    </row>
    <row r="195">
      <c r="A195" s="2">
        <f>IFERROR(__xludf.DUMMYFUNCTION("""COMPUTED_VALUE"""),191.0)</f>
        <v>191</v>
      </c>
      <c r="B195" s="2" t="str">
        <f>IFERROR(__xludf.DUMMYFUNCTION("""COMPUTED_VALUE"""),"COMPLETED")</f>
        <v>COMPLETED</v>
      </c>
      <c r="C195" s="74">
        <f>IFERROR(__xludf.DUMMYFUNCTION("""COMPUTED_VALUE"""),45448.0)</f>
        <v>45448</v>
      </c>
      <c r="D195" s="71" t="str">
        <f>IFERROR(__xludf.DUMMYFUNCTION("""COMPUTED_VALUE"""),"Mina East Farmers Association")</f>
        <v>Mina East Farmers Association</v>
      </c>
      <c r="E195" s="71" t="str">
        <f>IFERROR(__xludf.DUMMYFUNCTION("""COMPUTED_VALUE"""),"Mina East (Pob.), Mina, ILOILO")</f>
        <v>Mina East (Pob.), Mina, ILOILO</v>
      </c>
      <c r="F195" s="2" t="str">
        <f>IFERROR(__xludf.DUMMYFUNCTION("""COMPUTED_VALUE"""),"NENITA DEFENSOR")</f>
        <v>NENITA DEFENSOR</v>
      </c>
      <c r="G195" s="2">
        <f>IFERROR(__xludf.DUMMYFUNCTION("""COMPUTED_VALUE"""),9.184456077E9)</f>
        <v>9184456077</v>
      </c>
      <c r="H195" s="2">
        <f>IFERROR(__xludf.DUMMYFUNCTION("""COMPUTED_VALUE"""),66.0)</f>
        <v>66</v>
      </c>
      <c r="I195" s="72" t="str">
        <f>IFERROR(__xludf.DUMMYFUNCTION("""COMPUTED_VALUE"""),"PMS")</f>
        <v>PMS</v>
      </c>
      <c r="J195" s="72" t="str">
        <f>IFERROR(__xludf.DUMMYFUNCTION("""COMPUTED_VALUE"""),"PMS")</f>
        <v>PMS</v>
      </c>
      <c r="K195" s="72" t="str">
        <f>IFERROR(__xludf.DUMMYFUNCTION("""COMPUTED_VALUE"""),"FIRST PMS: ")</f>
        <v>FIRST PMS: </v>
      </c>
      <c r="L195" s="72" t="str">
        <f>IFERROR(__xludf.DUMMYFUNCTION("""COMPUTED_VALUE"""),"SEND AGREEMENT:VIBER:NENITA DEFENSOR: AGREEMENT SENT
SIR RANDY PERFORM THE 1ST PMS")</f>
        <v>SEND AGREEMENT:VIBER:NENITA DEFENSOR: AGREEMENT SENT
SIR RANDY PERFORM THE 1ST PMS</v>
      </c>
      <c r="M195" s="2"/>
      <c r="N195" s="2"/>
      <c r="O195" s="2">
        <f>IFERROR(__xludf.DUMMYFUNCTION("""COMPUTED_VALUE"""),52.0)</f>
        <v>52</v>
      </c>
      <c r="P195" s="2"/>
      <c r="Q195" s="2"/>
      <c r="R195" s="74">
        <f>IFERROR(__xludf.DUMMYFUNCTION("""COMPUTED_VALUE"""),45448.0)</f>
        <v>45448</v>
      </c>
      <c r="S195" s="2" t="str">
        <f>IFERROR(__xludf.DUMMYFUNCTION("""COMPUTED_VALUE"""),"RANDY ")</f>
        <v>RANDY </v>
      </c>
      <c r="T195" s="73" t="str">
        <f>IFERROR(__xludf.DUMMYFUNCTION("""COMPUTED_VALUE""")," N/A ")</f>
        <v>N/A</v>
      </c>
      <c r="U195" s="73" t="str">
        <f>IFERROR(__xludf.DUMMYFUNCTION("""COMPUTED_VALUE""")," NO CHARGE ")</f>
        <v>NO CHARGE</v>
      </c>
      <c r="V195" s="2"/>
      <c r="W195" s="2" t="str">
        <f>IFERROR(__xludf.DUMMYFUNCTION("""COMPUTED_VALUE"""),"N/A")</f>
        <v>N/A</v>
      </c>
      <c r="X195" s="2" t="str">
        <f>IFERROR(__xludf.DUMMYFUNCTION("""COMPUTED_VALUE"""),"N/A")</f>
        <v>N/A</v>
      </c>
      <c r="Y195" s="2" t="str">
        <f>IFERROR(__xludf.DUMMYFUNCTION("""COMPUTED_VALUE"""),"LTC-REG6-002")</f>
        <v>LTC-REG6-002</v>
      </c>
      <c r="Z195" s="2"/>
      <c r="AA195" s="2"/>
      <c r="AB195" s="2"/>
      <c r="AC195" s="2"/>
      <c r="AD195" s="2"/>
      <c r="AE195" s="2"/>
      <c r="AF195" s="2"/>
      <c r="AG195" s="2"/>
      <c r="AH195" s="2"/>
      <c r="AI195" s="2"/>
      <c r="AJ195" s="2" t="str">
        <f>IFERROR(__xludf.DUMMYFUNCTION("""COMPUTED_VALUE"""),"Mina East (Pob.)")</f>
        <v>Mina East (Pob.)</v>
      </c>
      <c r="AK195" s="2" t="str">
        <f>IFERROR(__xludf.DUMMYFUNCTION("""COMPUTED_VALUE"""),"Mina")</f>
        <v>Mina</v>
      </c>
      <c r="AL195" s="2" t="str">
        <f>IFERROR(__xludf.DUMMYFUNCTION("""COMPUTED_VALUE"""),"Iloilo")</f>
        <v>Iloilo</v>
      </c>
      <c r="AM195" s="2">
        <f>IFERROR(__xludf.DUMMYFUNCTION("""COMPUTED_VALUE"""),6.0)</f>
        <v>6</v>
      </c>
      <c r="AN195" s="2" t="str">
        <f>IFERROR(__xludf.DUMMYFUNCTION("""COMPUTED_VALUE"""),"RCEF 23-09-21 Rebidding")</f>
        <v>RCEF 23-09-21 Rebidding</v>
      </c>
      <c r="AO195" s="2">
        <f>IFERROR(__xludf.DUMMYFUNCTION("""COMPUTED_VALUE"""),4.0)</f>
        <v>4</v>
      </c>
      <c r="AP195" s="2"/>
      <c r="AQ195" s="2"/>
      <c r="AR195" s="2"/>
      <c r="AS195" s="2"/>
      <c r="AT195" s="2"/>
      <c r="AU195" s="2"/>
      <c r="AV195" s="2"/>
      <c r="AW195" s="2"/>
      <c r="AX195" s="2"/>
      <c r="AY195" s="2"/>
      <c r="AZ195" s="2"/>
      <c r="BA195" s="2"/>
      <c r="BB195" s="2"/>
    </row>
    <row r="196">
      <c r="A196" s="2">
        <f>IFERROR(__xludf.DUMMYFUNCTION("""COMPUTED_VALUE"""),192.0)</f>
        <v>192</v>
      </c>
      <c r="B196" s="2" t="str">
        <f>IFERROR(__xludf.DUMMYFUNCTION("""COMPUTED_VALUE"""),"COMPLETED")</f>
        <v>COMPLETED</v>
      </c>
      <c r="C196" s="74">
        <f>IFERROR(__xludf.DUMMYFUNCTION("""COMPUTED_VALUE"""),45448.0)</f>
        <v>45448</v>
      </c>
      <c r="D196" s="71" t="str">
        <f>IFERROR(__xludf.DUMMYFUNCTION("""COMPUTED_VALUE"""),"NARARAGAN CABAYU SAN JUAN VALLEY IRRIGATORS ASSOCIATION, INC.")</f>
        <v>NARARAGAN CABAYU SAN JUAN VALLEY IRRIGATORS ASSOCIATION, INC.</v>
      </c>
      <c r="E196" s="71" t="str">
        <f>IFERROR(__xludf.DUMMYFUNCTION("""COMPUTED_VALUE"""),"Cabayu, Ballesteros, CAGAYAN")</f>
        <v>Cabayu, Ballesteros, CAGAYAN</v>
      </c>
      <c r="F196" s="2" t="str">
        <f>IFERROR(__xludf.DUMMYFUNCTION("""COMPUTED_VALUE"""),"MANUEL RALLECA JR.")</f>
        <v>MANUEL RALLECA JR.</v>
      </c>
      <c r="G196" s="2">
        <f>IFERROR(__xludf.DUMMYFUNCTION("""COMPUTED_VALUE"""),9.264881045E9)</f>
        <v>9264881045</v>
      </c>
      <c r="H196" s="2">
        <f>IFERROR(__xludf.DUMMYFUNCTION("""COMPUTED_VALUE"""),50.0)</f>
        <v>50</v>
      </c>
      <c r="I196" s="72" t="str">
        <f>IFERROR(__xludf.DUMMYFUNCTION("""COMPUTED_VALUE"""),"PMS")</f>
        <v>PMS</v>
      </c>
      <c r="J196" s="72" t="str">
        <f>IFERROR(__xludf.DUMMYFUNCTION("""COMPUTED_VALUE"""),"PMS")</f>
        <v>PMS</v>
      </c>
      <c r="K196" s="72" t="str">
        <f>IFERROR(__xludf.DUMMYFUNCTION("""COMPUTED_VALUE"""),"FIRTS PMS: SELF PMS")</f>
        <v>FIRTS PMS: SELF PMS</v>
      </c>
      <c r="L196" s="72" t="str">
        <f>IFERROR(__xludf.DUMMYFUNCTION("""COMPUTED_VALUE"""),"SEND AGREEMENT: FB: Manuel Ralleca Jr.: AGREEMENT SENT: FOR PRINT")</f>
        <v>SEND AGREEMENT: FB: Manuel Ralleca Jr.: AGREEMENT SENT: FOR PRINT</v>
      </c>
      <c r="M196" s="2"/>
      <c r="N196" s="2"/>
      <c r="O196" s="2" t="str">
        <f>IFERROR(__xludf.DUMMYFUNCTION("""COMPUTED_VALUE"""),"N/A")</f>
        <v>N/A</v>
      </c>
      <c r="P196" s="2"/>
      <c r="Q196" s="2"/>
      <c r="R196" s="74">
        <f>IFERROR(__xludf.DUMMYFUNCTION("""COMPUTED_VALUE"""),45448.0)</f>
        <v>45448</v>
      </c>
      <c r="S196" s="2" t="str">
        <f>IFERROR(__xludf.DUMMYFUNCTION("""COMPUTED_VALUE"""),"MYKEE")</f>
        <v>MYKEE</v>
      </c>
      <c r="T196" s="73" t="str">
        <f>IFERROR(__xludf.DUMMYFUNCTION("""COMPUTED_VALUE""")," N/A ")</f>
        <v>N/A</v>
      </c>
      <c r="U196" s="73" t="str">
        <f>IFERROR(__xludf.DUMMYFUNCTION("""COMPUTED_VALUE""")," NO CHARGE ")</f>
        <v>NO CHARGE</v>
      </c>
      <c r="V196" s="2"/>
      <c r="W196" s="2" t="str">
        <f>IFERROR(__xludf.DUMMYFUNCTION("""COMPUTED_VALUE"""),"N/A")</f>
        <v>N/A</v>
      </c>
      <c r="X196" s="2" t="str">
        <f>IFERROR(__xludf.DUMMYFUNCTION("""COMPUTED_VALUE"""),"N/A")</f>
        <v>N/A</v>
      </c>
      <c r="Y196" s="2" t="str">
        <f>IFERROR(__xludf.DUMMYFUNCTION("""COMPUTED_VALUE"""),"KFS")</f>
        <v>KFS</v>
      </c>
      <c r="Z196" s="2"/>
      <c r="AA196" s="2"/>
      <c r="AB196" s="2"/>
      <c r="AC196" s="2"/>
      <c r="AD196" s="2"/>
      <c r="AE196" s="2"/>
      <c r="AF196" s="2"/>
      <c r="AG196" s="2"/>
      <c r="AH196" s="2"/>
      <c r="AI196" s="2"/>
      <c r="AJ196" s="2" t="str">
        <f>IFERROR(__xludf.DUMMYFUNCTION("""COMPUTED_VALUE"""),"Cabayu")</f>
        <v>Cabayu</v>
      </c>
      <c r="AK196" s="2" t="str">
        <f>IFERROR(__xludf.DUMMYFUNCTION("""COMPUTED_VALUE"""),"Ballesteros")</f>
        <v>Ballesteros</v>
      </c>
      <c r="AL196" s="2" t="str">
        <f>IFERROR(__xludf.DUMMYFUNCTION("""COMPUTED_VALUE"""),"Cagayan")</f>
        <v>Cagayan</v>
      </c>
      <c r="AM196" s="2">
        <f>IFERROR(__xludf.DUMMYFUNCTION("""COMPUTED_VALUE"""),2.0)</f>
        <v>2</v>
      </c>
      <c r="AN196" s="2" t="str">
        <f>IFERROR(__xludf.DUMMYFUNCTION("""COMPUTED_VALUE"""),"RCEF 23-09-21 Rebidding")</f>
        <v>RCEF 23-09-21 Rebidding</v>
      </c>
      <c r="AO196" s="2">
        <f>IFERROR(__xludf.DUMMYFUNCTION("""COMPUTED_VALUE"""),9.0)</f>
        <v>9</v>
      </c>
      <c r="AP196" s="2"/>
      <c r="AQ196" s="2"/>
      <c r="AR196" s="2"/>
      <c r="AS196" s="2"/>
      <c r="AT196" s="2"/>
      <c r="AU196" s="2"/>
      <c r="AV196" s="2"/>
      <c r="AW196" s="2"/>
      <c r="AX196" s="2"/>
      <c r="AY196" s="2"/>
      <c r="AZ196" s="2"/>
      <c r="BA196" s="2"/>
      <c r="BB196" s="2"/>
    </row>
    <row r="197">
      <c r="A197" s="2">
        <f>IFERROR(__xludf.DUMMYFUNCTION("""COMPUTED_VALUE"""),193.0)</f>
        <v>193</v>
      </c>
      <c r="B197" s="2" t="str">
        <f>IFERROR(__xludf.DUMMYFUNCTION("""COMPUTED_VALUE"""),"COMPLETED")</f>
        <v>COMPLETED</v>
      </c>
      <c r="C197" s="74">
        <f>IFERROR(__xludf.DUMMYFUNCTION("""COMPUTED_VALUE"""),45448.0)</f>
        <v>45448</v>
      </c>
      <c r="D197" s="71" t="str">
        <f>IFERROR(__xludf.DUMMYFUNCTION("""COMPUTED_VALUE"""),"BUED-CABILOCAAN IRRIGATORS ASSOCIATION, INC.")</f>
        <v>BUED-CABILOCAAN IRRIGATORS ASSOCIATION, INC.</v>
      </c>
      <c r="E197" s="71" t="str">
        <f>IFERROR(__xludf.DUMMYFUNCTION("""COMPUTED_VALUE"""),"Cabilocaan, Calasiao, PANGASINAN")</f>
        <v>Cabilocaan, Calasiao, PANGASINAN</v>
      </c>
      <c r="F197" s="2" t="str">
        <f>IFERROR(__xludf.DUMMYFUNCTION("""COMPUTED_VALUE"""),"KWD RONNIE GABRILLO")</f>
        <v>KWD RONNIE GABRILLO</v>
      </c>
      <c r="G197" s="2">
        <f>IFERROR(__xludf.DUMMYFUNCTION("""COMPUTED_VALUE"""),9.232175006E9)</f>
        <v>9232175006</v>
      </c>
      <c r="H197" s="2">
        <f>IFERROR(__xludf.DUMMYFUNCTION("""COMPUTED_VALUE"""),52.0)</f>
        <v>52</v>
      </c>
      <c r="I197" s="72" t="str">
        <f>IFERROR(__xludf.DUMMYFUNCTION("""COMPUTED_VALUE"""),"PMS")</f>
        <v>PMS</v>
      </c>
      <c r="J197" s="72" t="str">
        <f>IFERROR(__xludf.DUMMYFUNCTION("""COMPUTED_VALUE"""),"PMS")</f>
        <v>PMS</v>
      </c>
      <c r="K197" s="72" t="str">
        <f>IFERROR(__xludf.DUMMYFUNCTION("""COMPUTED_VALUE"""),"FIRTS PMS:SELF PMS")</f>
        <v>FIRTS PMS:SELF PMS</v>
      </c>
      <c r="L197" s="72" t="str">
        <f>IFERROR(__xludf.DUMMYFUNCTION("""COMPUTED_VALUE"""),"DONE CALL: SEND AGREEMENT:FB: RANY JAURIGE: AGREEMENT SENT")</f>
        <v>DONE CALL: SEND AGREEMENT:FB: RANY JAURIGE: AGREEMENT SENT</v>
      </c>
      <c r="M197" s="2"/>
      <c r="N197" s="2"/>
      <c r="O197" s="2" t="str">
        <f>IFERROR(__xludf.DUMMYFUNCTION("""COMPUTED_VALUE"""),"N/A")</f>
        <v>N/A</v>
      </c>
      <c r="P197" s="2"/>
      <c r="Q197" s="2"/>
      <c r="R197" s="74">
        <f>IFERROR(__xludf.DUMMYFUNCTION("""COMPUTED_VALUE"""),45448.0)</f>
        <v>45448</v>
      </c>
      <c r="S197" s="2" t="str">
        <f>IFERROR(__xludf.DUMMYFUNCTION("""COMPUTED_VALUE"""),"MYKEE")</f>
        <v>MYKEE</v>
      </c>
      <c r="T197" s="73" t="str">
        <f>IFERROR(__xludf.DUMMYFUNCTION("""COMPUTED_VALUE""")," N/A ")</f>
        <v>N/A</v>
      </c>
      <c r="U197" s="73" t="str">
        <f>IFERROR(__xludf.DUMMYFUNCTION("""COMPUTED_VALUE""")," NO CHARGE ")</f>
        <v>NO CHARGE</v>
      </c>
      <c r="V197" s="2"/>
      <c r="W197" s="2" t="str">
        <f>IFERROR(__xludf.DUMMYFUNCTION("""COMPUTED_VALUE"""),"N/A")</f>
        <v>N/A</v>
      </c>
      <c r="X197" s="2" t="str">
        <f>IFERROR(__xludf.DUMMYFUNCTION("""COMPUTED_VALUE"""),"N/A")</f>
        <v>N/A</v>
      </c>
      <c r="Y197" s="2" t="str">
        <f>IFERROR(__xludf.DUMMYFUNCTION("""COMPUTED_VALUE"""),"KFS")</f>
        <v>KFS</v>
      </c>
      <c r="Z197" s="2"/>
      <c r="AA197" s="2"/>
      <c r="AB197" s="2"/>
      <c r="AC197" s="2"/>
      <c r="AD197" s="2"/>
      <c r="AE197" s="2"/>
      <c r="AF197" s="2"/>
      <c r="AG197" s="2"/>
      <c r="AH197" s="2"/>
      <c r="AI197" s="2"/>
      <c r="AJ197" s="2" t="str">
        <f>IFERROR(__xludf.DUMMYFUNCTION("""COMPUTED_VALUE"""),"Cabilocaan")</f>
        <v>Cabilocaan</v>
      </c>
      <c r="AK197" s="2" t="str">
        <f>IFERROR(__xludf.DUMMYFUNCTION("""COMPUTED_VALUE"""),"Calasiao")</f>
        <v>Calasiao</v>
      </c>
      <c r="AL197" s="2" t="str">
        <f>IFERROR(__xludf.DUMMYFUNCTION("""COMPUTED_VALUE"""),"Pangasinan")</f>
        <v>Pangasinan</v>
      </c>
      <c r="AM197" s="2">
        <f>IFERROR(__xludf.DUMMYFUNCTION("""COMPUTED_VALUE"""),1.0)</f>
        <v>1</v>
      </c>
      <c r="AN197" s="2" t="str">
        <f>IFERROR(__xludf.DUMMYFUNCTION("""COMPUTED_VALUE"""),"RCEF 23-09-21 Rebidding")</f>
        <v>RCEF 23-09-21 Rebidding</v>
      </c>
      <c r="AO197" s="2">
        <f>IFERROR(__xludf.DUMMYFUNCTION("""COMPUTED_VALUE"""),2.0)</f>
        <v>2</v>
      </c>
      <c r="AP197" s="2"/>
      <c r="AQ197" s="2"/>
      <c r="AR197" s="2"/>
      <c r="AS197" s="2"/>
      <c r="AT197" s="2"/>
      <c r="AU197" s="2"/>
      <c r="AV197" s="2"/>
      <c r="AW197" s="2"/>
      <c r="AX197" s="2"/>
      <c r="AY197" s="2"/>
      <c r="AZ197" s="2"/>
      <c r="BA197" s="2"/>
      <c r="BB197" s="2"/>
    </row>
    <row r="198">
      <c r="A198" s="2">
        <f>IFERROR(__xludf.DUMMYFUNCTION("""COMPUTED_VALUE"""),194.0)</f>
        <v>194</v>
      </c>
      <c r="B198" s="2" t="str">
        <f>IFERROR(__xludf.DUMMYFUNCTION("""COMPUTED_VALUE"""),"COMPLETED")</f>
        <v>COMPLETED</v>
      </c>
      <c r="C198" s="74">
        <f>IFERROR(__xludf.DUMMYFUNCTION("""COMPUTED_VALUE"""),45448.0)</f>
        <v>45448</v>
      </c>
      <c r="D198" s="71" t="str">
        <f>IFERROR(__xludf.DUMMYFUNCTION("""COMPUTED_VALUE"""),"SAN JOSE SUR FARMERS IRRIGATORS ASSOCIATION, INC.")</f>
        <v>SAN JOSE SUR FARMERS IRRIGATORS ASSOCIATION, INC.</v>
      </c>
      <c r="E198" s="71" t="str">
        <f>IFERROR(__xludf.DUMMYFUNCTION("""COMPUTED_VALUE"""),"San Jose Sur, Mallig, ISABELA")</f>
        <v>San Jose Sur, Mallig, ISABELA</v>
      </c>
      <c r="F198" s="2" t="str">
        <f>IFERROR(__xludf.DUMMYFUNCTION("""COMPUTED_VALUE"""),"AMBROSIO VILLANUEVA")</f>
        <v>AMBROSIO VILLANUEVA</v>
      </c>
      <c r="G198" s="2">
        <f>IFERROR(__xludf.DUMMYFUNCTION("""COMPUTED_VALUE"""),9.70535117E8)</f>
        <v>970535117</v>
      </c>
      <c r="H198" s="2">
        <f>IFERROR(__xludf.DUMMYFUNCTION("""COMPUTED_VALUE"""),50.0)</f>
        <v>50</v>
      </c>
      <c r="I198" s="72" t="str">
        <f>IFERROR(__xludf.DUMMYFUNCTION("""COMPUTED_VALUE"""),"PMS")</f>
        <v>PMS</v>
      </c>
      <c r="J198" s="72" t="str">
        <f>IFERROR(__xludf.DUMMYFUNCTION("""COMPUTED_VALUE"""),"PMS")</f>
        <v>PMS</v>
      </c>
      <c r="K198" s="72" t="str">
        <f>IFERROR(__xludf.DUMMYFUNCTION("""COMPUTED_VALUE"""),"FIRTS PMS: CJ:CALL HINDI DAW PUMAPALO YUNG RPM SA DASHBOARD")</f>
        <v>FIRTS PMS: CJ:CALL HINDI DAW PUMAPALO YUNG RPM SA DASHBOARD</v>
      </c>
      <c r="L198" s="72" t="str">
        <f>IFERROR(__xludf.DUMMYFUNCTION("""COMPUTED_VALUE"""),"CFG: OK NA ANG DASHBOARD. :SELF PMS: SEND AGREEMENT: X NUMBER")</f>
        <v>CFG: OK NA ANG DASHBOARD. :SELF PMS: SEND AGREEMENT: X NUMBER</v>
      </c>
      <c r="M198" s="2"/>
      <c r="N198" s="2"/>
      <c r="O198" s="2" t="str">
        <f>IFERROR(__xludf.DUMMYFUNCTION("""COMPUTED_VALUE"""),"N/A")</f>
        <v>N/A</v>
      </c>
      <c r="P198" s="2"/>
      <c r="Q198" s="2"/>
      <c r="R198" s="74">
        <f>IFERROR(__xludf.DUMMYFUNCTION("""COMPUTED_VALUE"""),45470.0)</f>
        <v>45470</v>
      </c>
      <c r="S198" s="2" t="str">
        <f>IFERROR(__xludf.DUMMYFUNCTION("""COMPUTED_VALUE"""),"CFG/DRM")</f>
        <v>CFG/DRM</v>
      </c>
      <c r="T198" s="73" t="str">
        <f>IFERROR(__xludf.DUMMYFUNCTION("""COMPUTED_VALUE""")," N/A ")</f>
        <v>N/A</v>
      </c>
      <c r="U198" s="73" t="str">
        <f>IFERROR(__xludf.DUMMYFUNCTION("""COMPUTED_VALUE""")," NO CHARGE ")</f>
        <v>NO CHARGE</v>
      </c>
      <c r="V198" s="2"/>
      <c r="W198" s="2" t="str">
        <f>IFERROR(__xludf.DUMMYFUNCTION("""COMPUTED_VALUE"""),"N/A")</f>
        <v>N/A</v>
      </c>
      <c r="X198" s="2" t="str">
        <f>IFERROR(__xludf.DUMMYFUNCTION("""COMPUTED_VALUE"""),"N/A")</f>
        <v>N/A</v>
      </c>
      <c r="Y198" s="2" t="str">
        <f>IFERROR(__xludf.DUMMYFUNCTION("""COMPUTED_VALUE"""),"KFS")</f>
        <v>KFS</v>
      </c>
      <c r="Z198" s="2"/>
      <c r="AA198" s="2"/>
      <c r="AB198" s="2"/>
      <c r="AC198" s="2"/>
      <c r="AD198" s="2"/>
      <c r="AE198" s="2"/>
      <c r="AF198" s="2"/>
      <c r="AG198" s="2"/>
      <c r="AH198" s="2"/>
      <c r="AI198" s="2"/>
      <c r="AJ198" s="2" t="str">
        <f>IFERROR(__xludf.DUMMYFUNCTION("""COMPUTED_VALUE"""),"San Jose Sur")</f>
        <v>San Jose Sur</v>
      </c>
      <c r="AK198" s="2" t="str">
        <f>IFERROR(__xludf.DUMMYFUNCTION("""COMPUTED_VALUE"""),"Mallig")</f>
        <v>Mallig</v>
      </c>
      <c r="AL198" s="2" t="str">
        <f>IFERROR(__xludf.DUMMYFUNCTION("""COMPUTED_VALUE"""),"Isabela")</f>
        <v>Isabela</v>
      </c>
      <c r="AM198" s="2">
        <f>IFERROR(__xludf.DUMMYFUNCTION("""COMPUTED_VALUE"""),2.0)</f>
        <v>2</v>
      </c>
      <c r="AN198" s="2" t="str">
        <f>IFERROR(__xludf.DUMMYFUNCTION("""COMPUTED_VALUE"""),"RCEF 23-09-21 Rebidding")</f>
        <v>RCEF 23-09-21 Rebidding</v>
      </c>
      <c r="AO198" s="2">
        <f>IFERROR(__xludf.DUMMYFUNCTION("""COMPUTED_VALUE"""),1.0)</f>
        <v>1</v>
      </c>
      <c r="AP198" s="2"/>
      <c r="AQ198" s="2"/>
      <c r="AR198" s="2"/>
      <c r="AS198" s="2"/>
      <c r="AT198" s="2"/>
      <c r="AU198" s="2"/>
      <c r="AV198" s="2"/>
      <c r="AW198" s="2"/>
      <c r="AX198" s="2"/>
      <c r="AY198" s="2"/>
      <c r="AZ198" s="2"/>
      <c r="BA198" s="2"/>
      <c r="BB198" s="2"/>
    </row>
    <row r="199">
      <c r="A199" s="2">
        <f>IFERROR(__xludf.DUMMYFUNCTION("""COMPUTED_VALUE"""),195.0)</f>
        <v>195</v>
      </c>
      <c r="B199" s="2" t="str">
        <f>IFERROR(__xludf.DUMMYFUNCTION("""COMPUTED_VALUE"""),"COMPLETED")</f>
        <v>COMPLETED</v>
      </c>
      <c r="C199" s="74">
        <f>IFERROR(__xludf.DUMMYFUNCTION("""COMPUTED_VALUE"""),45448.0)</f>
        <v>45448</v>
      </c>
      <c r="D199" s="71" t="str">
        <f>IFERROR(__xludf.DUMMYFUNCTION("""COMPUTED_VALUE"""),"CABAYUGAN FARMERS ASSOCIATION")</f>
        <v>CABAYUGAN FARMERS ASSOCIATION</v>
      </c>
      <c r="E199" s="71" t="str">
        <f>IFERROR(__xludf.DUMMYFUNCTION("""COMPUTED_VALUE"""),"Cabayugan, Puerto Princesa City, Palawan")</f>
        <v>Cabayugan, Puerto Princesa City, Palawan</v>
      </c>
      <c r="F199" s="2" t="str">
        <f>IFERROR(__xludf.DUMMYFUNCTION("""COMPUTED_VALUE"""),"LOUIE AUNGON")</f>
        <v>LOUIE AUNGON</v>
      </c>
      <c r="G199" s="2">
        <f>IFERROR(__xludf.DUMMYFUNCTION("""COMPUTED_VALUE"""),9.050960839E9)</f>
        <v>9050960839</v>
      </c>
      <c r="H199" s="2"/>
      <c r="I199" s="72" t="str">
        <f>IFERROR(__xludf.DUMMYFUNCTION("""COMPUTED_VALUE"""),"REPAIR - TRACTOR")</f>
        <v>REPAIR - TRACTOR</v>
      </c>
      <c r="J199" s="72" t="str">
        <f>IFERROR(__xludf.DUMMYFUNCTION("""COMPUTED_VALUE"""),"Electrical - Sensor")</f>
        <v>Electrical - Sensor</v>
      </c>
      <c r="K199" s="72" t="str">
        <f>IFERROR(__xludf.DUMMYFUNCTION("""COMPUTED_VALUE"""),"2ND REPORT: NEED PALITAN NG SENSOR AS PER 1ST ASSESSMENT    (NEED PRICE)   
 6/7/24: FORWARD REVERCE SENSOR(CANCEL ORDER)")</f>
        <v>2ND REPORT: NEED PALITAN NG SENSOR AS PER 1ST ASSESSMENT    (NEED PRICE)   
 6/7/24: FORWARD REVERCE SENSOR(CANCEL ORDER)</v>
      </c>
      <c r="L199" s="72" t="str">
        <f>IFERROR(__xludf.DUMMYFUNCTION("""COMPUTED_VALUE"""),"CANCEL ORDER")</f>
        <v>CANCEL ORDER</v>
      </c>
      <c r="M199" s="2"/>
      <c r="N199" s="2" t="str">
        <f>IFERROR(__xludf.DUMMYFUNCTION("""COMPUTED_VALUE"""),"CANCEL ORDER")</f>
        <v>CANCEL ORDER</v>
      </c>
      <c r="O199" s="2" t="str">
        <f>IFERROR(__xludf.DUMMYFUNCTION("""COMPUTED_VALUE"""),"CANCELLED")</f>
        <v>CANCELLED</v>
      </c>
      <c r="P199" s="2"/>
      <c r="Q199" s="2"/>
      <c r="R199" s="74">
        <f>IFERROR(__xludf.DUMMYFUNCTION("""COMPUTED_VALUE"""),45463.0)</f>
        <v>45463</v>
      </c>
      <c r="S199" s="2" t="str">
        <f>IFERROR(__xludf.DUMMYFUNCTION("""COMPUTED_VALUE"""),"RCG")</f>
        <v>RCG</v>
      </c>
      <c r="T199" s="73" t="str">
        <f>IFERROR(__xludf.DUMMYFUNCTION("""COMPUTED_VALUE""")," N/A ")</f>
        <v>N/A</v>
      </c>
      <c r="U199" s="73" t="str">
        <f>IFERROR(__xludf.DUMMYFUNCTION("""COMPUTED_VALUE""")," NO CHARGE ")</f>
        <v>NO CHARGE</v>
      </c>
      <c r="V199" s="2"/>
      <c r="W199" s="2" t="str">
        <f>IFERROR(__xludf.DUMMYFUNCTION("""COMPUTED_VALUE"""),"N/A")</f>
        <v>N/A</v>
      </c>
      <c r="X199" s="2" t="str">
        <f>IFERROR(__xludf.DUMMYFUNCTION("""COMPUTED_VALUE"""),"N/A")</f>
        <v>N/A</v>
      </c>
      <c r="Y199" s="2" t="str">
        <f>IFERROR(__xludf.DUMMYFUNCTION("""COMPUTED_VALUE"""),"RCG")</f>
        <v>RCG</v>
      </c>
      <c r="Z199" s="2"/>
      <c r="AA199" s="2"/>
      <c r="AB199" s="2"/>
      <c r="AC199" s="2"/>
      <c r="AD199" s="2"/>
      <c r="AE199" s="2"/>
      <c r="AF199" s="2"/>
      <c r="AG199" s="2"/>
      <c r="AH199" s="2"/>
      <c r="AI199" s="2"/>
      <c r="AJ199" s="2" t="str">
        <f>IFERROR(__xludf.DUMMYFUNCTION("""COMPUTED_VALUE"""),"Cabayugan")</f>
        <v>Cabayugan</v>
      </c>
      <c r="AK199" s="2" t="str">
        <f>IFERROR(__xludf.DUMMYFUNCTION("""COMPUTED_VALUE"""),"Puerto Princesa City")</f>
        <v>Puerto Princesa City</v>
      </c>
      <c r="AL199" s="2" t="str">
        <f>IFERROR(__xludf.DUMMYFUNCTION("""COMPUTED_VALUE"""),"Palawan")</f>
        <v>Palawan</v>
      </c>
      <c r="AM199" s="2" t="str">
        <f>IFERROR(__xludf.DUMMYFUNCTION("""COMPUTED_VALUE"""),"4B")</f>
        <v>4B</v>
      </c>
      <c r="AN199" s="2" t="str">
        <f>IFERROR(__xludf.DUMMYFUNCTION("""COMPUTED_VALUE"""),"RCEF 23-08-20 Rebidding")</f>
        <v>RCEF 23-08-20 Rebidding</v>
      </c>
      <c r="AO199" s="2">
        <f>IFERROR(__xludf.DUMMYFUNCTION("""COMPUTED_VALUE"""),1.0)</f>
        <v>1</v>
      </c>
      <c r="AP199" s="2"/>
      <c r="AQ199" s="2"/>
      <c r="AR199" s="2"/>
      <c r="AS199" s="2"/>
      <c r="AT199" s="2"/>
      <c r="AU199" s="2"/>
      <c r="AV199" s="2"/>
      <c r="AW199" s="2"/>
      <c r="AX199" s="2"/>
      <c r="AY199" s="2"/>
      <c r="AZ199" s="2"/>
      <c r="BA199" s="2"/>
      <c r="BB199" s="2"/>
    </row>
    <row r="200">
      <c r="A200" s="2">
        <f>IFERROR(__xludf.DUMMYFUNCTION("""COMPUTED_VALUE"""),196.0)</f>
        <v>196</v>
      </c>
      <c r="B200" s="2" t="str">
        <f>IFERROR(__xludf.DUMMYFUNCTION("""COMPUTED_VALUE"""),"COMPLETED")</f>
        <v>COMPLETED</v>
      </c>
      <c r="C200" s="74">
        <f>IFERROR(__xludf.DUMMYFUNCTION("""COMPUTED_VALUE"""),45449.0)</f>
        <v>45449</v>
      </c>
      <c r="D200" s="71" t="str">
        <f>IFERROR(__xludf.DUMMYFUNCTION("""COMPUTED_VALUE"""),"BINHING BUTIL AGRICULTURAL MAKER ASSOCIATION (BBAMA)")</f>
        <v>BINHING BUTIL AGRICULTURAL MAKER ASSOCIATION (BBAMA)</v>
      </c>
      <c r="E200" s="71" t="str">
        <f>IFERROR(__xludf.DUMMYFUNCTION("""COMPUTED_VALUE"""),", Penaranda, NUEVA ECIJA")</f>
        <v>, Penaranda, NUEVA ECIJA</v>
      </c>
      <c r="F200" s="2" t="str">
        <f>IFERROR(__xludf.DUMMYFUNCTION("""COMPUTED_VALUE"""),"ROGELIO RAMOS JR.")</f>
        <v>ROGELIO RAMOS JR.</v>
      </c>
      <c r="G200" s="2">
        <f>IFERROR(__xludf.DUMMYFUNCTION("""COMPUTED_VALUE"""),9.614554945E9)</f>
        <v>9614554945</v>
      </c>
      <c r="H200" s="2">
        <f>IFERROR(__xludf.DUMMYFUNCTION("""COMPUTED_VALUE"""),28.2)</f>
        <v>28.2</v>
      </c>
      <c r="I200" s="72" t="str">
        <f>IFERROR(__xludf.DUMMYFUNCTION("""COMPUTED_VALUE"""),"REPAIR - TRACTOR")</f>
        <v>REPAIR - TRACTOR</v>
      </c>
      <c r="J200" s="72" t="str">
        <f>IFERROR(__xludf.DUMMYFUNCTION("""COMPUTED_VALUE"""),"Engine - Turbo Charger")</f>
        <v>Engine - Turbo Charger</v>
      </c>
      <c r="K200" s="72" t="str">
        <f>IFERROR(__xludf.DUMMYFUNCTION("""COMPUTED_VALUE"""),"JHP: UMUUSOK NA PUTI AT MAY LUMALABAS NA LANGIS SA TAMBUCHO                  
RBS: 6/6/24: NEED OVERHAUL NG MAKINA KASI NAGHALO NA ANG TUBUG AT LANGIS, UMUUSOK NG PUTI, NAGLALABAS NG LANGIS SA TAMBUCHO AT TURBO.   (TURBO CHARGER)")</f>
        <v>JHP: UMUUSOK NA PUTI AT MAY LUMALABAS NA LANGIS SA TAMBUCHO                  
RBS: 6/6/24: NEED OVERHAUL NG MAKINA KASI NAGHALO NA ANG TUBUG AT LANGIS, UMUUSOK NG PUTI, NAGLALABAS NG LANGIS SA TAMBUCHO AT TURBO.   (TURBO CHARGER)</v>
      </c>
      <c r="L200" s="72" t="str">
        <f>IFERROR(__xludf.DUMMYFUNCTION("""COMPUTED_VALUE"""),"ACS: REPLACED TURBO CHARGER(WARRANTY)")</f>
        <v>ACS: REPLACED TURBO CHARGER(WARRANTY)</v>
      </c>
      <c r="M200" s="2"/>
      <c r="N200" s="2" t="str">
        <f>IFERROR(__xludf.DUMMYFUNCTION("""COMPUTED_VALUE"""),"PARTS: TURBO CHARGER ")</f>
        <v>PARTS: TURBO CHARGER </v>
      </c>
      <c r="O200" s="2" t="str">
        <f>IFERROR(__xludf.DUMMYFUNCTION("""COMPUTED_VALUE"""),"JIE-807")</f>
        <v>JIE-807</v>
      </c>
      <c r="P200" s="2"/>
      <c r="Q200" s="2"/>
      <c r="R200" s="74">
        <f>IFERROR(__xludf.DUMMYFUNCTION("""COMPUTED_VALUE"""),45462.0)</f>
        <v>45462</v>
      </c>
      <c r="S200" s="2" t="str">
        <f>IFERROR(__xludf.DUMMYFUNCTION("""COMPUTED_VALUE"""),"JHP/ACS")</f>
        <v>JHP/ACS</v>
      </c>
      <c r="T200" s="2"/>
      <c r="U200" s="73" t="str">
        <f>IFERROR(__xludf.DUMMYFUNCTION("""COMPUTED_VALUE""")," NO CHARGE ")</f>
        <v>NO CHARGE</v>
      </c>
      <c r="V200" s="2"/>
      <c r="W200" s="2" t="str">
        <f>IFERROR(__xludf.DUMMYFUNCTION("""COMPUTED_VALUE"""),"N/A")</f>
        <v>N/A</v>
      </c>
      <c r="X200" s="2" t="str">
        <f>IFERROR(__xludf.DUMMYFUNCTION("""COMPUTED_VALUE"""),"N/A")</f>
        <v>N/A</v>
      </c>
      <c r="Y200" s="2"/>
      <c r="Z200" s="2"/>
      <c r="AA200" s="2"/>
      <c r="AB200" s="2"/>
      <c r="AC200" s="2" t="str">
        <f>IFERROR(__xludf.DUMMYFUNCTION("""COMPUTED_VALUE"""),"Y")</f>
        <v>Y</v>
      </c>
      <c r="AD200" s="2" t="str">
        <f>IFERROR(__xludf.DUMMYFUNCTION("""COMPUTED_VALUE"""),"pictures+video+kfs report+tech report+ltc service report")</f>
        <v>pictures+video+kfs report+tech report+ltc service report</v>
      </c>
      <c r="AE200" s="2"/>
      <c r="AF200" s="2"/>
      <c r="AG200" s="2"/>
      <c r="AH200" s="2"/>
      <c r="AI200" s="2"/>
      <c r="AJ200" s="2" t="str">
        <f>IFERROR(__xludf.DUMMYFUNCTION("""COMPUTED_VALUE"""),"")</f>
        <v/>
      </c>
      <c r="AK200" s="2" t="str">
        <f>IFERROR(__xludf.DUMMYFUNCTION("""COMPUTED_VALUE"""),"Penaranda")</f>
        <v>Penaranda</v>
      </c>
      <c r="AL200" s="2" t="str">
        <f>IFERROR(__xludf.DUMMYFUNCTION("""COMPUTED_VALUE"""),"Nueva Ecija")</f>
        <v>Nueva Ecija</v>
      </c>
      <c r="AM200" s="2">
        <f>IFERROR(__xludf.DUMMYFUNCTION("""COMPUTED_VALUE"""),3.0)</f>
        <v>3</v>
      </c>
      <c r="AN200" s="2" t="str">
        <f>IFERROR(__xludf.DUMMYFUNCTION("""COMPUTED_VALUE"""),"RCEF 23-09-21 Rebidding")</f>
        <v>RCEF 23-09-21 Rebidding</v>
      </c>
      <c r="AO200" s="2">
        <f>IFERROR(__xludf.DUMMYFUNCTION("""COMPUTED_VALUE"""),3.0)</f>
        <v>3</v>
      </c>
      <c r="AP200" s="2"/>
      <c r="AQ200" s="2"/>
      <c r="AR200" s="2"/>
      <c r="AS200" s="2"/>
      <c r="AT200" s="2"/>
      <c r="AU200" s="2"/>
      <c r="AV200" s="2"/>
      <c r="AW200" s="2"/>
      <c r="AX200" s="2"/>
      <c r="AY200" s="2"/>
      <c r="AZ200" s="2"/>
      <c r="BA200" s="2"/>
      <c r="BB200" s="2"/>
    </row>
    <row r="201">
      <c r="A201" s="2">
        <f>IFERROR(__xludf.DUMMYFUNCTION("""COMPUTED_VALUE"""),197.0)</f>
        <v>197</v>
      </c>
      <c r="B201" s="2" t="str">
        <f>IFERROR(__xludf.DUMMYFUNCTION("""COMPUTED_VALUE"""),"COMPLETED")</f>
        <v>COMPLETED</v>
      </c>
      <c r="C201" s="74">
        <f>IFERROR(__xludf.DUMMYFUNCTION("""COMPUTED_VALUE"""),45449.0)</f>
        <v>45449</v>
      </c>
      <c r="D201" s="71" t="str">
        <f>IFERROR(__xludf.DUMMYFUNCTION("""COMPUTED_VALUE"""),"BRGY. MAAB-ABACA IRRIGATORS ASSOCIATION INC.")</f>
        <v>BRGY. MAAB-ABACA IRRIGATORS ASSOCIATION INC.</v>
      </c>
      <c r="E201" s="71" t="str">
        <f>IFERROR(__xludf.DUMMYFUNCTION("""COMPUTED_VALUE"""),"Maab-abaca, Piddig, ILOCOS NORTE")</f>
        <v>Maab-abaca, Piddig, ILOCOS NORTE</v>
      </c>
      <c r="F201" s="2" t="str">
        <f>IFERROR(__xludf.DUMMYFUNCTION("""COMPUTED_VALUE"""),"FLORENTINO SORIANO")</f>
        <v>FLORENTINO SORIANO</v>
      </c>
      <c r="G201" s="2">
        <f>IFERROR(__xludf.DUMMYFUNCTION("""COMPUTED_VALUE"""),9.454591334E9)</f>
        <v>9454591334</v>
      </c>
      <c r="H201" s="2">
        <f>IFERROR(__xludf.DUMMYFUNCTION("""COMPUTED_VALUE"""),62.0)</f>
        <v>62</v>
      </c>
      <c r="I201" s="72" t="str">
        <f>IFERROR(__xludf.DUMMYFUNCTION("""COMPUTED_VALUE"""),"REPAIR - TRACTOR")</f>
        <v>REPAIR - TRACTOR</v>
      </c>
      <c r="J201" s="72" t="str">
        <f>IFERROR(__xludf.DUMMYFUNCTION("""COMPUTED_VALUE"""),"CHECK UP/ REPAIR")</f>
        <v>CHECK UP/ REPAIR</v>
      </c>
      <c r="K201" s="72" t="str">
        <f>IFERROR(__xludf.DUMMYFUNCTION("""COMPUTED_VALUE"""),"KFS: MAHINA NAG PRENO, AYAW MAG PIVOT ANG GULONG, YUNG BLADE MADALING KUMAPIT ANG STICKY O MALAKIT NA PUTI, MERON BANG AVAILABLE NA BLADE?                         ")</f>
        <v>KFS: MAHINA NAG PRENO, AYAW MAG PIVOT ANG GULONG, YUNG BLADE MADALING KUMAPIT ANG STICKY O MALAKIT NA PUTI, MERON BANG AVAILABLE NA BLADE?                         </v>
      </c>
      <c r="L201" s="72" t="str">
        <f>IFERROR(__xludf.DUMMYFUNCTION("""COMPUTED_VALUE"""),"6/7/24:JHP/JDP: OKAY NA YUNG BRAKE MAY KONTING PIVOT NADIN.                      
REMARKS: DUE FOR CHANGE OIL NA YUNG UNIT 50 HRS, 62 HRS NA NGAYON PERO AYAW PA NILA MAG PA CHANGE OIL")</f>
        <v>6/7/24:JHP/JDP: OKAY NA YUNG BRAKE MAY KONTING PIVOT NADIN.                      
REMARKS: DUE FOR CHANGE OIL NA YUNG UNIT 50 HRS, 62 HRS NA NGAYON PERO AYAW PA NILA MAG PA CHANGE OIL</v>
      </c>
      <c r="M201" s="2"/>
      <c r="N201" s="2"/>
      <c r="O201" s="2" t="str">
        <f>IFERROR(__xludf.DUMMYFUNCTION("""COMPUTED_VALUE"""),"JIE-094")</f>
        <v>JIE-094</v>
      </c>
      <c r="P201" s="2"/>
      <c r="Q201" s="2"/>
      <c r="R201" s="74">
        <f>IFERROR(__xludf.DUMMYFUNCTION("""COMPUTED_VALUE"""),45450.0)</f>
        <v>45450</v>
      </c>
      <c r="S201" s="2" t="str">
        <f>IFERROR(__xludf.DUMMYFUNCTION("""COMPUTED_VALUE"""),"JHP/JDS")</f>
        <v>JHP/JDS</v>
      </c>
      <c r="T201" s="73" t="str">
        <f>IFERROR(__xludf.DUMMYFUNCTION("""COMPUTED_VALUE""")," N/A ")</f>
        <v>N/A</v>
      </c>
      <c r="U201" s="73" t="str">
        <f>IFERROR(__xludf.DUMMYFUNCTION("""COMPUTED_VALUE""")," NO CHARGE ")</f>
        <v>NO CHARGE</v>
      </c>
      <c r="V201" s="2"/>
      <c r="W201" s="2" t="str">
        <f>IFERROR(__xludf.DUMMYFUNCTION("""COMPUTED_VALUE"""),"N/A")</f>
        <v>N/A</v>
      </c>
      <c r="X201" s="2" t="str">
        <f>IFERROR(__xludf.DUMMYFUNCTION("""COMPUTED_VALUE"""),"N/A")</f>
        <v>N/A</v>
      </c>
      <c r="Y201" s="2"/>
      <c r="Z201" s="2"/>
      <c r="AA201" s="2"/>
      <c r="AB201" s="2"/>
      <c r="AC201" s="2"/>
      <c r="AD201" s="2"/>
      <c r="AE201" s="2"/>
      <c r="AF201" s="2"/>
      <c r="AG201" s="2"/>
      <c r="AH201" s="2"/>
      <c r="AI201" s="2"/>
      <c r="AJ201" s="2" t="str">
        <f>IFERROR(__xludf.DUMMYFUNCTION("""COMPUTED_VALUE"""),"Maab-Abaca")</f>
        <v>Maab-Abaca</v>
      </c>
      <c r="AK201" s="2" t="str">
        <f>IFERROR(__xludf.DUMMYFUNCTION("""COMPUTED_VALUE"""),"Piddig")</f>
        <v>Piddig</v>
      </c>
      <c r="AL201" s="2" t="str">
        <f>IFERROR(__xludf.DUMMYFUNCTION("""COMPUTED_VALUE"""),"Ilocos Norte")</f>
        <v>Ilocos Norte</v>
      </c>
      <c r="AM201" s="2">
        <f>IFERROR(__xludf.DUMMYFUNCTION("""COMPUTED_VALUE"""),1.0)</f>
        <v>1</v>
      </c>
      <c r="AN201" s="2" t="str">
        <f>IFERROR(__xludf.DUMMYFUNCTION("""COMPUTED_VALUE"""),"RCEF 23-09-21 Rebidding")</f>
        <v>RCEF 23-09-21 Rebidding</v>
      </c>
      <c r="AO201" s="2">
        <f>IFERROR(__xludf.DUMMYFUNCTION("""COMPUTED_VALUE"""),2.0)</f>
        <v>2</v>
      </c>
      <c r="AP201" s="2"/>
      <c r="AQ201" s="2"/>
      <c r="AR201" s="2"/>
      <c r="AS201" s="2"/>
      <c r="AT201" s="2"/>
      <c r="AU201" s="2"/>
      <c r="AV201" s="2"/>
      <c r="AW201" s="2"/>
      <c r="AX201" s="2"/>
      <c r="AY201" s="2"/>
      <c r="AZ201" s="2"/>
      <c r="BA201" s="2"/>
      <c r="BB201" s="2"/>
    </row>
    <row r="202">
      <c r="A202" s="2">
        <f>IFERROR(__xludf.DUMMYFUNCTION("""COMPUTED_VALUE"""),198.0)</f>
        <v>198</v>
      </c>
      <c r="B202" s="2" t="str">
        <f>IFERROR(__xludf.DUMMYFUNCTION("""COMPUTED_VALUE"""),"COMPLETED")</f>
        <v>COMPLETED</v>
      </c>
      <c r="C202" s="74">
        <f>IFERROR(__xludf.DUMMYFUNCTION("""COMPUTED_VALUE"""),45449.0)</f>
        <v>45449</v>
      </c>
      <c r="D202" s="71" t="str">
        <f>IFERROR(__xludf.DUMMYFUNCTION("""COMPUTED_VALUE"""),"PASUGUE COMMUNITY FARMERS ASSOCIATION (PACFA)")</f>
        <v>PASUGUE COMMUNITY FARMERS ASSOCIATION (PACFA)</v>
      </c>
      <c r="E202" s="71" t="str">
        <f>IFERROR(__xludf.DUMMYFUNCTION("""COMPUTED_VALUE"""),"Pasugue, Panitan, CAPIZ")</f>
        <v>Pasugue, Panitan, CAPIZ</v>
      </c>
      <c r="F202" s="2" t="str">
        <f>IFERROR(__xludf.DUMMYFUNCTION("""COMPUTED_VALUE"""),"Eugene B. Degollado")</f>
        <v>Eugene B. Degollado</v>
      </c>
      <c r="G202" s="2">
        <f>IFERROR(__xludf.DUMMYFUNCTION("""COMPUTED_VALUE"""),9.751847134E9)</f>
        <v>9751847134</v>
      </c>
      <c r="H202" s="2">
        <f>IFERROR(__xludf.DUMMYFUNCTION("""COMPUTED_VALUE"""),128.6)</f>
        <v>128.6</v>
      </c>
      <c r="I202" s="72" t="str">
        <f>IFERROR(__xludf.DUMMYFUNCTION("""COMPUTED_VALUE"""),"REPAIR - TRACTOR")</f>
        <v>REPAIR - TRACTOR</v>
      </c>
      <c r="J202" s="72" t="str">
        <f>IFERROR(__xludf.DUMMYFUNCTION("""COMPUTED_VALUE"""),"Electrical - Wiring Harness")</f>
        <v>Electrical - Wiring Harness</v>
      </c>
      <c r="K202" s="72" t="str">
        <f>IFERROR(__xludf.DUMMYFUNCTION("""COMPUTED_VALUE"""),"ERP: FAULTY ELECTRICAL CONNECTION (BURNT WIRING)  ORDER: 1 OIL FILTER 1 HYDRAULIC FILTER, 60 AMP FUSE")</f>
        <v>ERP: FAULTY ELECTRICAL CONNECTION (BURNT WIRING)  ORDER: 1 OIL FILTER 1 HYDRAULIC FILTER, 60 AMP FUSE</v>
      </c>
      <c r="L202" s="72" t="str">
        <f>IFERROR(__xludf.DUMMYFUNCTION("""COMPUTED_VALUE"""),"CCB: NABIGAY NA OIL FILTER TO FF. ANG 60 AMP FUSE PERO NASA PHILMECH NA ANG PARTS.
CCB: 7/30/24: NAGPALIT NG MGA WIRES MULA KALIWANG BANDA NG BACK LIGHT HANGANG SA MAY FUSE BOX
RANDY:CHANGE OIL AND FIXING AND REWIRING OF HARNESS
")</f>
        <v>CCB: NABIGAY NA OIL FILTER TO FF. ANG 60 AMP FUSE PERO NASA PHILMECH NA ANG PARTS.
CCB: 7/30/24: NAGPALIT NG MGA WIRES MULA KALIWANG BANDA NG BACK LIGHT HANGANG SA MAY FUSE BOX
RANDY:CHANGE OIL AND FIXING AND REWIRING OF HARNESS
</v>
      </c>
      <c r="M202" s="2"/>
      <c r="N202" s="2" t="str">
        <f>IFERROR(__xludf.DUMMYFUNCTION("""COMPUTED_VALUE"""),"OIL FILTER PAID BY FCA C/O CCB
6O AMP FUSE PAID BY FCA C/O RBS")</f>
        <v>OIL FILTER PAID BY FCA C/O CCB
6O AMP FUSE PAID BY FCA C/O RBS</v>
      </c>
      <c r="O202" s="2">
        <f>IFERROR(__xludf.DUMMYFUNCTION("""COMPUTED_VALUE"""),53.0)</f>
        <v>53</v>
      </c>
      <c r="P202" s="2"/>
      <c r="Q202" s="2"/>
      <c r="R202" s="74">
        <f>IFERROR(__xludf.DUMMYFUNCTION("""COMPUTED_VALUE"""),45503.0)</f>
        <v>45503</v>
      </c>
      <c r="S202" s="2" t="str">
        <f>IFERROR(__xludf.DUMMYFUNCTION("""COMPUTED_VALUE"""),"RANDY/CCB/RBS")</f>
        <v>RANDY/CCB/RBS</v>
      </c>
      <c r="T202" s="73">
        <f>IFERROR(__xludf.DUMMYFUNCTION("""COMPUTED_VALUE"""),3025.5)</f>
        <v>3025.5</v>
      </c>
      <c r="U202" s="73" t="str">
        <f>IFERROR(__xludf.DUMMYFUNCTION("""COMPUTED_VALUE""")," REMITTED ")</f>
        <v>REMITTED</v>
      </c>
      <c r="V202" s="2"/>
      <c r="W202" s="2"/>
      <c r="X202" s="2">
        <f>IFERROR(__xludf.DUMMYFUNCTION("""COMPUTED_VALUE"""),1126.0)</f>
        <v>1126</v>
      </c>
      <c r="Y202" s="2" t="str">
        <f>IFERROR(__xludf.DUMMYFUNCTION("""COMPUTED_VALUE"""),"BALLANCE= 188
LTC-REG6-008
")</f>
        <v>BALLANCE= 188
LTC-REG6-008
</v>
      </c>
      <c r="Z202" s="2"/>
      <c r="AA202" s="2"/>
      <c r="AB202" s="2"/>
      <c r="AC202" s="2"/>
      <c r="AD202" s="2"/>
      <c r="AE202" s="2"/>
      <c r="AF202" s="2"/>
      <c r="AG202" s="2"/>
      <c r="AH202" s="2"/>
      <c r="AI202" s="2"/>
      <c r="AJ202" s="2" t="str">
        <f>IFERROR(__xludf.DUMMYFUNCTION("""COMPUTED_VALUE"""),"Pasugue")</f>
        <v>Pasugue</v>
      </c>
      <c r="AK202" s="2" t="str">
        <f>IFERROR(__xludf.DUMMYFUNCTION("""COMPUTED_VALUE"""),"Panitan")</f>
        <v>Panitan</v>
      </c>
      <c r="AL202" s="2" t="str">
        <f>IFERROR(__xludf.DUMMYFUNCTION("""COMPUTED_VALUE"""),"Capiz")</f>
        <v>Capiz</v>
      </c>
      <c r="AM202" s="2">
        <f>IFERROR(__xludf.DUMMYFUNCTION("""COMPUTED_VALUE"""),6.0)</f>
        <v>6</v>
      </c>
      <c r="AN202" s="2" t="str">
        <f>IFERROR(__xludf.DUMMYFUNCTION("""COMPUTED_VALUE"""),"RCEF 23-09-21 Rebidding")</f>
        <v>RCEF 23-09-21 Rebidding</v>
      </c>
      <c r="AO202" s="2">
        <f>IFERROR(__xludf.DUMMYFUNCTION("""COMPUTED_VALUE"""),4.0)</f>
        <v>4</v>
      </c>
      <c r="AP202" s="2"/>
      <c r="AQ202" s="2"/>
      <c r="AR202" s="2"/>
      <c r="AS202" s="2"/>
      <c r="AT202" s="2"/>
      <c r="AU202" s="2"/>
      <c r="AV202" s="2"/>
      <c r="AW202" s="2"/>
      <c r="AX202" s="2"/>
      <c r="AY202" s="2"/>
      <c r="AZ202" s="2"/>
      <c r="BA202" s="2"/>
      <c r="BB202" s="2"/>
    </row>
    <row r="203">
      <c r="A203" s="2">
        <f>IFERROR(__xludf.DUMMYFUNCTION("""COMPUTED_VALUE"""),199.0)</f>
        <v>199</v>
      </c>
      <c r="B203" s="2" t="str">
        <f>IFERROR(__xludf.DUMMYFUNCTION("""COMPUTED_VALUE"""),"COMPLETED")</f>
        <v>COMPLETED</v>
      </c>
      <c r="C203" s="74">
        <f>IFERROR(__xludf.DUMMYFUNCTION("""COMPUTED_VALUE"""),45449.0)</f>
        <v>45449</v>
      </c>
      <c r="D203" s="71" t="str">
        <f>IFERROR(__xludf.DUMMYFUNCTION("""COMPUTED_VALUE"""),"UPI FARMERS IRRIGATORS ASSOCIATION, INC.")</f>
        <v>UPI FARMERS IRRIGATORS ASSOCIATION, INC.</v>
      </c>
      <c r="E203" s="71" t="str">
        <f>IFERROR(__xludf.DUMMYFUNCTION("""COMPUTED_VALUE"""),"Upi, Gamu, ISABELA")</f>
        <v>Upi, Gamu, ISABELA</v>
      </c>
      <c r="F203" s="2" t="str">
        <f>IFERROR(__xludf.DUMMYFUNCTION("""COMPUTED_VALUE"""),"CRISPIN M PREZA")</f>
        <v>CRISPIN M PREZA</v>
      </c>
      <c r="G203" s="2">
        <f>IFERROR(__xludf.DUMMYFUNCTION("""COMPUTED_VALUE"""),9.956546522E9)</f>
        <v>9956546522</v>
      </c>
      <c r="H203" s="2">
        <f>IFERROR(__xludf.DUMMYFUNCTION("""COMPUTED_VALUE"""),76.0)</f>
        <v>76</v>
      </c>
      <c r="I203" s="72" t="str">
        <f>IFERROR(__xludf.DUMMYFUNCTION("""COMPUTED_VALUE"""),"PMS")</f>
        <v>PMS</v>
      </c>
      <c r="J203" s="72" t="str">
        <f>IFERROR(__xludf.DUMMYFUNCTION("""COMPUTED_VALUE"""),"PMS")</f>
        <v>PMS</v>
      </c>
      <c r="K203" s="72" t="str">
        <f>IFERROR(__xludf.DUMMYFUNCTION("""COMPUTED_VALUE"""),"FIRST PMS: SELF PMS")</f>
        <v>FIRST PMS: SELF PMS</v>
      </c>
      <c r="L203" s="72" t="str">
        <f>IFERROR(__xludf.DUMMYFUNCTION("""COMPUTED_VALUE"""),"DONE CHANGE OIL:FB: MODESTA TEDROS PREZA: PRINT AGREEMENT")</f>
        <v>DONE CHANGE OIL:FB: MODESTA TEDROS PREZA: PRINT AGREEMENT</v>
      </c>
      <c r="M203" s="2"/>
      <c r="N203" s="2"/>
      <c r="O203" s="2" t="str">
        <f>IFERROR(__xludf.DUMMYFUNCTION("""COMPUTED_VALUE"""),"N/A")</f>
        <v>N/A</v>
      </c>
      <c r="P203" s="2"/>
      <c r="Q203" s="2"/>
      <c r="R203" s="74">
        <f>IFERROR(__xludf.DUMMYFUNCTION("""COMPUTED_VALUE"""),45449.0)</f>
        <v>45449</v>
      </c>
      <c r="S203" s="2" t="str">
        <f>IFERROR(__xludf.DUMMYFUNCTION("""COMPUTED_VALUE"""),"MYKEE")</f>
        <v>MYKEE</v>
      </c>
      <c r="T203" s="73" t="str">
        <f>IFERROR(__xludf.DUMMYFUNCTION("""COMPUTED_VALUE""")," N/A ")</f>
        <v>N/A</v>
      </c>
      <c r="U203" s="73" t="str">
        <f>IFERROR(__xludf.DUMMYFUNCTION("""COMPUTED_VALUE""")," NO CHARGE ")</f>
        <v>NO CHARGE</v>
      </c>
      <c r="V203" s="2"/>
      <c r="W203" s="2" t="str">
        <f>IFERROR(__xludf.DUMMYFUNCTION("""COMPUTED_VALUE"""),"N/A")</f>
        <v>N/A</v>
      </c>
      <c r="X203" s="2" t="str">
        <f>IFERROR(__xludf.DUMMYFUNCTION("""COMPUTED_VALUE"""),"N/A")</f>
        <v>N/A</v>
      </c>
      <c r="Y203" s="2"/>
      <c r="Z203" s="2"/>
      <c r="AA203" s="2"/>
      <c r="AB203" s="2"/>
      <c r="AC203" s="2"/>
      <c r="AD203" s="2"/>
      <c r="AE203" s="2"/>
      <c r="AF203" s="2"/>
      <c r="AG203" s="2"/>
      <c r="AH203" s="2"/>
      <c r="AI203" s="2"/>
      <c r="AJ203" s="2" t="str">
        <f>IFERROR(__xludf.DUMMYFUNCTION("""COMPUTED_VALUE"""),"Upi")</f>
        <v>Upi</v>
      </c>
      <c r="AK203" s="2" t="str">
        <f>IFERROR(__xludf.DUMMYFUNCTION("""COMPUTED_VALUE"""),"Gamu")</f>
        <v>Gamu</v>
      </c>
      <c r="AL203" s="2" t="str">
        <f>IFERROR(__xludf.DUMMYFUNCTION("""COMPUTED_VALUE"""),"Isabela")</f>
        <v>Isabela</v>
      </c>
      <c r="AM203" s="2">
        <f>IFERROR(__xludf.DUMMYFUNCTION("""COMPUTED_VALUE"""),2.0)</f>
        <v>2</v>
      </c>
      <c r="AN203" s="2" t="str">
        <f>IFERROR(__xludf.DUMMYFUNCTION("""COMPUTED_VALUE"""),"RCEF 23-09-21 Rebidding")</f>
        <v>RCEF 23-09-21 Rebidding</v>
      </c>
      <c r="AO203" s="2">
        <f>IFERROR(__xludf.DUMMYFUNCTION("""COMPUTED_VALUE"""),1.0)</f>
        <v>1</v>
      </c>
      <c r="AP203" s="2"/>
      <c r="AQ203" s="2"/>
      <c r="AR203" s="2"/>
      <c r="AS203" s="2"/>
      <c r="AT203" s="2"/>
      <c r="AU203" s="2"/>
      <c r="AV203" s="2"/>
      <c r="AW203" s="2"/>
      <c r="AX203" s="2"/>
      <c r="AY203" s="2"/>
      <c r="AZ203" s="2"/>
      <c r="BA203" s="2"/>
      <c r="BB203" s="2"/>
    </row>
    <row r="204">
      <c r="A204" s="2">
        <f>IFERROR(__xludf.DUMMYFUNCTION("""COMPUTED_VALUE"""),200.0)</f>
        <v>200</v>
      </c>
      <c r="B204" s="2" t="str">
        <f>IFERROR(__xludf.DUMMYFUNCTION("""COMPUTED_VALUE"""),"COMPLETED")</f>
        <v>COMPLETED</v>
      </c>
      <c r="C204" s="74">
        <f>IFERROR(__xludf.DUMMYFUNCTION("""COMPUTED_VALUE"""),45449.0)</f>
        <v>45449</v>
      </c>
      <c r="D204" s="71" t="str">
        <f>IFERROR(__xludf.DUMMYFUNCTION("""COMPUTED_VALUE"""),"MAGSASAKA NG BAGONG HENERASYON NG BARANGAY SIMMINUBLAN (MBHBS)")</f>
        <v>MAGSASAKA NG BAGONG HENERASYON NG BARANGAY SIMMINUBLAN (MBHBS)</v>
      </c>
      <c r="E204" s="71" t="str">
        <f>IFERROR(__xludf.DUMMYFUNCTION("""COMPUTED_VALUE"""),"Siminublan, San Narciso, ZAMBALES")</f>
        <v>Siminublan, San Narciso, ZAMBALES</v>
      </c>
      <c r="F204" s="2" t="str">
        <f>IFERROR(__xludf.DUMMYFUNCTION("""COMPUTED_VALUE"""),"JACQUILINE DADURAL")</f>
        <v>JACQUILINE DADURAL</v>
      </c>
      <c r="G204" s="2">
        <f>IFERROR(__xludf.DUMMYFUNCTION("""COMPUTED_VALUE"""),9.100724561E9)</f>
        <v>9100724561</v>
      </c>
      <c r="H204" s="2">
        <f>IFERROR(__xludf.DUMMYFUNCTION("""COMPUTED_VALUE"""),130.0)</f>
        <v>130</v>
      </c>
      <c r="I204" s="72" t="str">
        <f>IFERROR(__xludf.DUMMYFUNCTION("""COMPUTED_VALUE"""),"REPAIR - TRACTOR")</f>
        <v>REPAIR - TRACTOR</v>
      </c>
      <c r="J204" s="72" t="str">
        <f>IFERROR(__xludf.DUMMYFUNCTION("""COMPUTED_VALUE"""),"Hydraulic Cylinder - Leaking")</f>
        <v>Hydraulic Cylinder - Leaking</v>
      </c>
      <c r="K204" s="72" t="str">
        <f>IFERROR(__xludf.DUMMYFUNCTION("""COMPUTED_VALUE"""),"HYDRAULIC LEAKED PROBLEM")</f>
        <v>HYDRAULIC LEAKED PROBLEM</v>
      </c>
      <c r="L204" s="72" t="str">
        <f>IFERROR(__xludf.DUMMYFUNCTION("""COMPUTED_VALUE"""),"JDP: NAGPALIT NG ORING SA CONTROL VALVE ASSEMBLY WALA PONG LEAK YUNG UNIT.")</f>
        <v>JDP: NAGPALIT NG ORING SA CONTROL VALVE ASSEMBLY WALA PONG LEAK YUNG UNIT.</v>
      </c>
      <c r="M204" s="2"/>
      <c r="N204" s="2" t="str">
        <f>IFERROR(__xludf.DUMMYFUNCTION("""COMPUTED_VALUE"""),"PARTS USED: 
1 ORING ")</f>
        <v>PARTS USED: 
1 ORING </v>
      </c>
      <c r="O204" s="2" t="str">
        <f>IFERROR(__xludf.DUMMYFUNCTION("""COMPUTED_VALUE"""),"JIE-803")</f>
        <v>JIE-803</v>
      </c>
      <c r="P204" s="2"/>
      <c r="Q204" s="2"/>
      <c r="R204" s="74">
        <f>IFERROR(__xludf.DUMMYFUNCTION("""COMPUTED_VALUE"""),45456.0)</f>
        <v>45456</v>
      </c>
      <c r="S204" s="2" t="str">
        <f>IFERROR(__xludf.DUMMYFUNCTION("""COMPUTED_VALUE"""),"EGT/JDP")</f>
        <v>EGT/JDP</v>
      </c>
      <c r="T204" s="2"/>
      <c r="U204" s="73" t="str">
        <f>IFERROR(__xludf.DUMMYFUNCTION("""COMPUTED_VALUE""")," FOR CONFIRMATION ")</f>
        <v>FOR CONFIRMATION</v>
      </c>
      <c r="V204" s="2"/>
      <c r="W204" s="2"/>
      <c r="X204" s="2"/>
      <c r="Y204" s="2" t="str">
        <f>IFERROR(__xludf.DUMMYFUNCTION("""COMPUTED_VALUE"""),"JHP")</f>
        <v>JHP</v>
      </c>
      <c r="Z204" s="2"/>
      <c r="AA204" s="2"/>
      <c r="AB204" s="2"/>
      <c r="AC204" s="2"/>
      <c r="AD204" s="2"/>
      <c r="AE204" s="2"/>
      <c r="AF204" s="2"/>
      <c r="AG204" s="2"/>
      <c r="AH204" s="2"/>
      <c r="AI204" s="2"/>
      <c r="AJ204" s="2" t="str">
        <f>IFERROR(__xludf.DUMMYFUNCTION("""COMPUTED_VALUE"""),"Siminublan")</f>
        <v>Siminublan</v>
      </c>
      <c r="AK204" s="2" t="str">
        <f>IFERROR(__xludf.DUMMYFUNCTION("""COMPUTED_VALUE"""),"San Narciso")</f>
        <v>San Narciso</v>
      </c>
      <c r="AL204" s="2" t="str">
        <f>IFERROR(__xludf.DUMMYFUNCTION("""COMPUTED_VALUE"""),"Zambales")</f>
        <v>Zambales</v>
      </c>
      <c r="AM204" s="2">
        <f>IFERROR(__xludf.DUMMYFUNCTION("""COMPUTED_VALUE"""),3.0)</f>
        <v>3</v>
      </c>
      <c r="AN204" s="2" t="str">
        <f>IFERROR(__xludf.DUMMYFUNCTION("""COMPUTED_VALUE"""),"RCEF 23-09-21 Rebidding")</f>
        <v>RCEF 23-09-21 Rebidding</v>
      </c>
      <c r="AO204" s="2">
        <f>IFERROR(__xludf.DUMMYFUNCTION("""COMPUTED_VALUE"""),9.0)</f>
        <v>9</v>
      </c>
      <c r="AP204" s="2"/>
      <c r="AQ204" s="2"/>
      <c r="AR204" s="2"/>
      <c r="AS204" s="2"/>
      <c r="AT204" s="2"/>
      <c r="AU204" s="2"/>
      <c r="AV204" s="2"/>
      <c r="AW204" s="2"/>
      <c r="AX204" s="2"/>
      <c r="AY204" s="2"/>
      <c r="AZ204" s="2"/>
      <c r="BA204" s="2"/>
      <c r="BB204" s="2"/>
    </row>
    <row r="205">
      <c r="A205" s="2">
        <f>IFERROR(__xludf.DUMMYFUNCTION("""COMPUTED_VALUE"""),201.0)</f>
        <v>201</v>
      </c>
      <c r="B205" s="2" t="str">
        <f>IFERROR(__xludf.DUMMYFUNCTION("""COMPUTED_VALUE"""),"COMPLETED")</f>
        <v>COMPLETED</v>
      </c>
      <c r="C205" s="74">
        <f>IFERROR(__xludf.DUMMYFUNCTION("""COMPUTED_VALUE"""),45449.0)</f>
        <v>45449</v>
      </c>
      <c r="D205" s="71" t="str">
        <f>IFERROR(__xludf.DUMMYFUNCTION("""COMPUTED_VALUE"""),"Tina Integrated Farmers Association")</f>
        <v>Tina Integrated Farmers Association</v>
      </c>
      <c r="E205" s="71" t="str">
        <f>IFERROR(__xludf.DUMMYFUNCTION("""COMPUTED_VALUE"""),"Tina, Badiangan, ILOILO")</f>
        <v>Tina, Badiangan, ILOILO</v>
      </c>
      <c r="F205" s="2" t="str">
        <f>IFERROR(__xludf.DUMMYFUNCTION("""COMPUTED_VALUE"""),"Gilbert P. Afinadad")</f>
        <v>Gilbert P. Afinadad</v>
      </c>
      <c r="G205" s="2" t="str">
        <f>IFERROR(__xludf.DUMMYFUNCTION("""COMPUTED_VALUE"""),"0909 528 5702")</f>
        <v>0909 528 5702</v>
      </c>
      <c r="H205" s="2">
        <f>IFERROR(__xludf.DUMMYFUNCTION("""COMPUTED_VALUE"""),60.0)</f>
        <v>60</v>
      </c>
      <c r="I205" s="72" t="str">
        <f>IFERROR(__xludf.DUMMYFUNCTION("""COMPUTED_VALUE"""),"REPAIR - TRACTOR")</f>
        <v>REPAIR - TRACTOR</v>
      </c>
      <c r="J205" s="72" t="str">
        <f>IFERROR(__xludf.DUMMYFUNCTION("""COMPUTED_VALUE"""),"Radiator")</f>
        <v>Radiator</v>
      </c>
      <c r="K205" s="72" t="str">
        <f>IFERROR(__xludf.DUMMYFUNCTION("""COMPUTED_VALUE"""),"ERP: FAULTY RADIATOR OVERHEATING OF ENGINE (TOP)")</f>
        <v>ERP: FAULTY RADIATOR OVERHEATING OF ENGINE (TOP)</v>
      </c>
      <c r="L205" s="72" t="str">
        <f>IFERROR(__xludf.DUMMYFUNCTION("""COMPUTED_VALUE"""),"CCB: REPLACED RADIATOR")</f>
        <v>CCB: REPLACED RADIATOR</v>
      </c>
      <c r="M205" s="2"/>
      <c r="N205" s="2" t="str">
        <f>IFERROR(__xludf.DUMMYFUNCTION("""COMPUTED_VALUE"""),"PARTS: RADIATOR")</f>
        <v>PARTS: RADIATOR</v>
      </c>
      <c r="O205" s="2">
        <f>IFERROR(__xludf.DUMMYFUNCTION("""COMPUTED_VALUE"""),54.0)</f>
        <v>54</v>
      </c>
      <c r="P205" s="2"/>
      <c r="Q205" s="2"/>
      <c r="R205" s="74">
        <f>IFERROR(__xludf.DUMMYFUNCTION("""COMPUTED_VALUE"""),45503.0)</f>
        <v>45503</v>
      </c>
      <c r="S205" s="2" t="str">
        <f>IFERROR(__xludf.DUMMYFUNCTION("""COMPUTED_VALUE"""),"RANDY")</f>
        <v>RANDY</v>
      </c>
      <c r="T205" s="73" t="str">
        <f>IFERROR(__xludf.DUMMYFUNCTION("""COMPUTED_VALUE""")," N/A ")</f>
        <v>N/A</v>
      </c>
      <c r="U205" s="73" t="str">
        <f>IFERROR(__xludf.DUMMYFUNCTION("""COMPUTED_VALUE""")," NO CHARGE ")</f>
        <v>NO CHARGE</v>
      </c>
      <c r="V205" s="2"/>
      <c r="W205" s="2" t="str">
        <f>IFERROR(__xludf.DUMMYFUNCTION("""COMPUTED_VALUE"""),"N/A")</f>
        <v>N/A</v>
      </c>
      <c r="X205" s="2" t="str">
        <f>IFERROR(__xludf.DUMMYFUNCTION("""COMPUTED_VALUE"""),"N/A")</f>
        <v>N/A</v>
      </c>
      <c r="Y205" s="2" t="str">
        <f>IFERROR(__xludf.DUMMYFUNCTION("""COMPUTED_VALUE"""),"LTC-REG6-006")</f>
        <v>LTC-REG6-006</v>
      </c>
      <c r="Z205" s="2" t="str">
        <f>IFERROR(__xludf.DUMMYFUNCTION("""COMPUTED_VALUE"""),"LEADS-RP-0030")</f>
        <v>LEADS-RP-0030</v>
      </c>
      <c r="AA205" s="2" t="str">
        <f>IFERROR(__xludf.DUMMYFUNCTION("""COMPUTED_VALUE"""),"APPROVED")</f>
        <v>APPROVED</v>
      </c>
      <c r="AB205" s="2"/>
      <c r="AC205" s="2" t="str">
        <f>IFERROR(__xludf.DUMMYFUNCTION("""COMPUTED_VALUE"""),"Y")</f>
        <v>Y</v>
      </c>
      <c r="AD205" s="2"/>
      <c r="AE205" s="2"/>
      <c r="AF205" s="2"/>
      <c r="AG205" s="2"/>
      <c r="AH205" s="2"/>
      <c r="AI205" s="2"/>
      <c r="AJ205" s="2" t="str">
        <f>IFERROR(__xludf.DUMMYFUNCTION("""COMPUTED_VALUE"""),"Tina")</f>
        <v>Tina</v>
      </c>
      <c r="AK205" s="2" t="str">
        <f>IFERROR(__xludf.DUMMYFUNCTION("""COMPUTED_VALUE"""),"Badiangan")</f>
        <v>Badiangan</v>
      </c>
      <c r="AL205" s="2" t="str">
        <f>IFERROR(__xludf.DUMMYFUNCTION("""COMPUTED_VALUE"""),"Iloilo")</f>
        <v>Iloilo</v>
      </c>
      <c r="AM205" s="2">
        <f>IFERROR(__xludf.DUMMYFUNCTION("""COMPUTED_VALUE"""),6.0)</f>
        <v>6</v>
      </c>
      <c r="AN205" s="2" t="str">
        <f>IFERROR(__xludf.DUMMYFUNCTION("""COMPUTED_VALUE"""),"RCEF 23-09-21 Rebidding")</f>
        <v>RCEF 23-09-21 Rebidding</v>
      </c>
      <c r="AO205" s="2">
        <f>IFERROR(__xludf.DUMMYFUNCTION("""COMPUTED_VALUE"""),4.0)</f>
        <v>4</v>
      </c>
      <c r="AP205" s="2"/>
      <c r="AQ205" s="2"/>
      <c r="AR205" s="2"/>
      <c r="AS205" s="2"/>
      <c r="AT205" s="2"/>
      <c r="AU205" s="2"/>
      <c r="AV205" s="2"/>
      <c r="AW205" s="2"/>
      <c r="AX205" s="2"/>
      <c r="AY205" s="2"/>
      <c r="AZ205" s="2"/>
      <c r="BA205" s="2"/>
      <c r="BB205" s="2"/>
    </row>
    <row r="206">
      <c r="A206" s="2">
        <f>IFERROR(__xludf.DUMMYFUNCTION("""COMPUTED_VALUE"""),202.0)</f>
        <v>202</v>
      </c>
      <c r="B206" s="2" t="str">
        <f>IFERROR(__xludf.DUMMYFUNCTION("""COMPUTED_VALUE"""),"COMPLETED")</f>
        <v>COMPLETED</v>
      </c>
      <c r="C206" s="74">
        <f>IFERROR(__xludf.DUMMYFUNCTION("""COMPUTED_VALUE"""),45449.0)</f>
        <v>45449</v>
      </c>
      <c r="D206" s="71" t="str">
        <f>IFERROR(__xludf.DUMMYFUNCTION("""COMPUTED_VALUE"""),"BARANGAY PAYAPA FARMERS ASSOCIATION")</f>
        <v>BARANGAY PAYAPA FARMERS ASSOCIATION</v>
      </c>
      <c r="E206" s="71" t="str">
        <f>IFERROR(__xludf.DUMMYFUNCTION("""COMPUTED_VALUE"""),"Payapa, Tagkawayan, Quezon")</f>
        <v>Payapa, Tagkawayan, Quezon</v>
      </c>
      <c r="F206" s="2" t="str">
        <f>IFERROR(__xludf.DUMMYFUNCTION("""COMPUTED_VALUE"""),"MARK ANTHONY PITA")</f>
        <v>MARK ANTHONY PITA</v>
      </c>
      <c r="G206" s="2">
        <f>IFERROR(__xludf.DUMMYFUNCTION("""COMPUTED_VALUE"""),9.319908416E9)</f>
        <v>9319908416</v>
      </c>
      <c r="H206" s="2">
        <f>IFERROR(__xludf.DUMMYFUNCTION("""COMPUTED_VALUE"""),60.0)</f>
        <v>60</v>
      </c>
      <c r="I206" s="72" t="str">
        <f>IFERROR(__xludf.DUMMYFUNCTION("""COMPUTED_VALUE"""),"PMS")</f>
        <v>PMS</v>
      </c>
      <c r="J206" s="72" t="str">
        <f>IFERROR(__xludf.DUMMYFUNCTION("""COMPUTED_VALUE"""),"PMS")</f>
        <v>PMS</v>
      </c>
      <c r="K206" s="72" t="str">
        <f>IFERROR(__xludf.DUMMYFUNCTION("""COMPUTED_VALUE"""),"FIRST PMS: SELF PMS")</f>
        <v>FIRST PMS: SELF PMS</v>
      </c>
      <c r="L206" s="72" t="str">
        <f>IFERROR(__xludf.DUMMYFUNCTION("""COMPUTED_VALUE"""),"SEND AGREEMENT:FB: MARK ANTONY PITA: AGREEMENT SENT: FOR PRINT")</f>
        <v>SEND AGREEMENT:FB: MARK ANTONY PITA: AGREEMENT SENT: FOR PRINT</v>
      </c>
      <c r="M206" s="2"/>
      <c r="N206" s="2"/>
      <c r="O206" s="2" t="str">
        <f>IFERROR(__xludf.DUMMYFUNCTION("""COMPUTED_VALUE"""),"N/A")</f>
        <v>N/A</v>
      </c>
      <c r="P206" s="2"/>
      <c r="Q206" s="2"/>
      <c r="R206" s="74">
        <f>IFERROR(__xludf.DUMMYFUNCTION("""COMPUTED_VALUE"""),45492.0)</f>
        <v>45492</v>
      </c>
      <c r="S206" s="2" t="str">
        <f>IFERROR(__xludf.DUMMYFUNCTION("""COMPUTED_VALUE"""),"MYKEE")</f>
        <v>MYKEE</v>
      </c>
      <c r="T206" s="73" t="str">
        <f>IFERROR(__xludf.DUMMYFUNCTION("""COMPUTED_VALUE""")," N/A ")</f>
        <v>N/A</v>
      </c>
      <c r="U206" s="73" t="str">
        <f>IFERROR(__xludf.DUMMYFUNCTION("""COMPUTED_VALUE""")," NO CHARGE ")</f>
        <v>NO CHARGE</v>
      </c>
      <c r="V206" s="2"/>
      <c r="W206" s="2" t="str">
        <f>IFERROR(__xludf.DUMMYFUNCTION("""COMPUTED_VALUE"""),"N/A")</f>
        <v>N/A</v>
      </c>
      <c r="X206" s="2" t="str">
        <f>IFERROR(__xludf.DUMMYFUNCTION("""COMPUTED_VALUE"""),"N/A")</f>
        <v>N/A</v>
      </c>
      <c r="Y206" s="2"/>
      <c r="Z206" s="2"/>
      <c r="AA206" s="2"/>
      <c r="AB206" s="2"/>
      <c r="AC206" s="2"/>
      <c r="AD206" s="2"/>
      <c r="AE206" s="2"/>
      <c r="AF206" s="2"/>
      <c r="AG206" s="2"/>
      <c r="AH206" s="2"/>
      <c r="AI206" s="2"/>
      <c r="AJ206" s="2" t="str">
        <f>IFERROR(__xludf.DUMMYFUNCTION("""COMPUTED_VALUE"""),"Payapa")</f>
        <v>Payapa</v>
      </c>
      <c r="AK206" s="2" t="str">
        <f>IFERROR(__xludf.DUMMYFUNCTION("""COMPUTED_VALUE"""),"Tagkawayan")</f>
        <v>Tagkawayan</v>
      </c>
      <c r="AL206" s="2" t="str">
        <f>IFERROR(__xludf.DUMMYFUNCTION("""COMPUTED_VALUE"""),"Quezon")</f>
        <v>Quezon</v>
      </c>
      <c r="AM206" s="2" t="str">
        <f>IFERROR(__xludf.DUMMYFUNCTION("""COMPUTED_VALUE"""),"4A")</f>
        <v>4A</v>
      </c>
      <c r="AN206" s="2" t="str">
        <f>IFERROR(__xludf.DUMMYFUNCTION("""COMPUTED_VALUE"""),"RCEF 23-08-20 Rebidding")</f>
        <v>RCEF 23-08-20 Rebidding</v>
      </c>
      <c r="AO206" s="2">
        <f>IFERROR(__xludf.DUMMYFUNCTION("""COMPUTED_VALUE"""),1.0)</f>
        <v>1</v>
      </c>
      <c r="AP206" s="2"/>
      <c r="AQ206" s="2"/>
      <c r="AR206" s="2"/>
      <c r="AS206" s="2"/>
      <c r="AT206" s="2"/>
      <c r="AU206" s="2"/>
      <c r="AV206" s="2"/>
      <c r="AW206" s="2"/>
      <c r="AX206" s="2"/>
      <c r="AY206" s="2"/>
      <c r="AZ206" s="2"/>
      <c r="BA206" s="2"/>
      <c r="BB206" s="2"/>
    </row>
    <row r="207">
      <c r="A207" s="2">
        <f>IFERROR(__xludf.DUMMYFUNCTION("""COMPUTED_VALUE"""),203.0)</f>
        <v>203</v>
      </c>
      <c r="B207" s="2" t="str">
        <f>IFERROR(__xludf.DUMMYFUNCTION("""COMPUTED_VALUE"""),"COMPLETED")</f>
        <v>COMPLETED</v>
      </c>
      <c r="C207" s="74">
        <f>IFERROR(__xludf.DUMMYFUNCTION("""COMPUTED_VALUE"""),45449.0)</f>
        <v>45449</v>
      </c>
      <c r="D207" s="71" t="str">
        <f>IFERROR(__xludf.DUMMYFUNCTION("""COMPUTED_VALUE"""),"San Miguel Farmer's Agriculture Cooperative")</f>
        <v>San Miguel Farmer's Agriculture Cooperative</v>
      </c>
      <c r="E207" s="71" t="str">
        <f>IFERROR(__xludf.DUMMYFUNCTION("""COMPUTED_VALUE"""),"Bgy. 8 Pob. (Montano - San Roque), San Miguel, ILOILO")</f>
        <v>Bgy. 8 Pob. (Montano - San Roque), San Miguel, ILOILO</v>
      </c>
      <c r="F207" s="2" t="str">
        <f>IFERROR(__xludf.DUMMYFUNCTION("""COMPUTED_VALUE"""),"Jose Pepe Caoyonan")</f>
        <v>Jose Pepe Caoyonan</v>
      </c>
      <c r="G207" s="2" t="str">
        <f>IFERROR(__xludf.DUMMYFUNCTION("""COMPUTED_VALUE"""),"9212472033/ 09077139009")</f>
        <v>9212472033/ 09077139009</v>
      </c>
      <c r="H207" s="2">
        <f>IFERROR(__xludf.DUMMYFUNCTION("""COMPUTED_VALUE"""),53.0)</f>
        <v>53</v>
      </c>
      <c r="I207" s="72" t="str">
        <f>IFERROR(__xludf.DUMMYFUNCTION("""COMPUTED_VALUE"""),"REPAIR - TRACTOR")</f>
        <v>REPAIR - TRACTOR</v>
      </c>
      <c r="J207" s="72" t="str">
        <f>IFERROR(__xludf.DUMMYFUNCTION("""COMPUTED_VALUE"""),"Radiator")</f>
        <v>Radiator</v>
      </c>
      <c r="K207" s="72" t="str">
        <f>IFERROR(__xludf.DUMMYFUNCTION("""COMPUTED_VALUE"""),"ERP: FAULTY RADIATOR (TOP)
CCB: 7/7/24: HEAT GUN
CCB: KAYLANGAN NA PALITAN BAGONG TOP YUN RADIATOR")</f>
        <v>ERP: FAULTY RADIATOR (TOP)
CCB: 7/7/24: HEAT GUN
CCB: KAYLANGAN NA PALITAN BAGONG TOP YUN RADIATOR</v>
      </c>
      <c r="L207" s="72" t="str">
        <f>IFERROR(__xludf.DUMMYFUNCTION("""COMPUTED_VALUE"""),"CCB: YUNG MGA GOODS NA COVER NG RADIATOR KAY TINA BADIANGAN AT NALOOK KALIBO ETO AY AKING PINAGKABITKABIT UPANG MAKABUO NG RADIATOR PARA KAY KAY SAN MIGUEL PERO NUNG SINUBUKAN KONANG IKABIT ANG TOP COVER ETO AY NAWALA SA PORMA AT KAILANGAN NG PALITAN NG S"&amp;"TAINLESS NA COVER")</f>
        <v>CCB: YUNG MGA GOODS NA COVER NG RADIATOR KAY TINA BADIANGAN AT NALOOK KALIBO ETO AY AKING PINAGKABITKABIT UPANG MAKABUO NG RADIATOR PARA KAY KAY SAN MIGUEL PERO NUNG SINUBUKAN KONANG IKABIT ANG TOP COVER ETO AY NAWALA SA PORMA AT KAILANGAN NG PALITAN NG STAINLESS NA COVER</v>
      </c>
      <c r="M207" s="2"/>
      <c r="N207" s="2" t="str">
        <f>IFERROR(__xludf.DUMMYFUNCTION("""COMPUTED_VALUE"""),"PARTS:
RADIATOR ASSY")</f>
        <v>PARTS:
RADIATOR ASSY</v>
      </c>
      <c r="O207" s="2" t="str">
        <f>IFERROR(__xludf.DUMMYFUNCTION("""COMPUTED_VALUE"""),"N/A")</f>
        <v>N/A</v>
      </c>
      <c r="P207" s="2"/>
      <c r="Q207" s="2"/>
      <c r="R207" s="74">
        <f>IFERROR(__xludf.DUMMYFUNCTION("""COMPUTED_VALUE"""),45593.0)</f>
        <v>45593</v>
      </c>
      <c r="S207" s="2" t="str">
        <f>IFERROR(__xludf.DUMMYFUNCTION("""COMPUTED_VALUE"""),"CCB")</f>
        <v>CCB</v>
      </c>
      <c r="T207" s="73" t="str">
        <f>IFERROR(__xludf.DUMMYFUNCTION("""COMPUTED_VALUE""")," N/A ")</f>
        <v>N/A</v>
      </c>
      <c r="U207" s="73" t="str">
        <f>IFERROR(__xludf.DUMMYFUNCTION("""COMPUTED_VALUE""")," NO CHARGE ")</f>
        <v>NO CHARGE</v>
      </c>
      <c r="V207" s="2"/>
      <c r="W207" s="2" t="str">
        <f>IFERROR(__xludf.DUMMYFUNCTION("""COMPUTED_VALUE"""),"N/A")</f>
        <v>N/A</v>
      </c>
      <c r="X207" s="2" t="str">
        <f>IFERROR(__xludf.DUMMYFUNCTION("""COMPUTED_VALUE"""),"N/A")</f>
        <v>N/A</v>
      </c>
      <c r="Y207" s="2" t="str">
        <f>IFERROR(__xludf.DUMMYFUNCTION("""COMPUTED_VALUE"""),"WITH PARTS")</f>
        <v>WITH PARTS</v>
      </c>
      <c r="Z207" s="2" t="str">
        <f>IFERROR(__xludf.DUMMYFUNCTION("""COMPUTED_VALUE"""),"LEADS-RP-0029")</f>
        <v>LEADS-RP-0029</v>
      </c>
      <c r="AA207" s="2" t="str">
        <f>IFERROR(__xludf.DUMMYFUNCTION("""COMPUTED_VALUE"""),"APPROVED")</f>
        <v>APPROVED</v>
      </c>
      <c r="AB207" s="2"/>
      <c r="AC207" s="2" t="str">
        <f>IFERROR(__xludf.DUMMYFUNCTION("""COMPUTED_VALUE"""),"Y")</f>
        <v>Y</v>
      </c>
      <c r="AD207" s="2"/>
      <c r="AE207" s="2"/>
      <c r="AF207" s="2"/>
      <c r="AG207" s="2"/>
      <c r="AH207" s="2"/>
      <c r="AI207" s="2"/>
      <c r="AJ207" s="2" t="str">
        <f>IFERROR(__xludf.DUMMYFUNCTION("""COMPUTED_VALUE"""),"Bgy. 8 Pob. (Montano - San Roque)")</f>
        <v>Bgy. 8 Pob. (Montano - San Roque)</v>
      </c>
      <c r="AK207" s="2" t="str">
        <f>IFERROR(__xludf.DUMMYFUNCTION("""COMPUTED_VALUE"""),"San Miguel")</f>
        <v>San Miguel</v>
      </c>
      <c r="AL207" s="2" t="str">
        <f>IFERROR(__xludf.DUMMYFUNCTION("""COMPUTED_VALUE"""),"Iloilo")</f>
        <v>Iloilo</v>
      </c>
      <c r="AM207" s="2">
        <f>IFERROR(__xludf.DUMMYFUNCTION("""COMPUTED_VALUE"""),6.0)</f>
        <v>6</v>
      </c>
      <c r="AN207" s="2" t="str">
        <f>IFERROR(__xludf.DUMMYFUNCTION("""COMPUTED_VALUE"""),"RCEF 23-09-21 Rebidding")</f>
        <v>RCEF 23-09-21 Rebidding</v>
      </c>
      <c r="AO207" s="2">
        <f>IFERROR(__xludf.DUMMYFUNCTION("""COMPUTED_VALUE"""),4.0)</f>
        <v>4</v>
      </c>
      <c r="AP207" s="2"/>
      <c r="AQ207" s="2"/>
      <c r="AR207" s="2"/>
      <c r="AS207" s="2"/>
      <c r="AT207" s="2"/>
      <c r="AU207" s="2"/>
      <c r="AV207" s="2"/>
      <c r="AW207" s="2"/>
      <c r="AX207" s="2"/>
      <c r="AY207" s="2"/>
      <c r="AZ207" s="2"/>
      <c r="BA207" s="2"/>
      <c r="BB207" s="2"/>
    </row>
    <row r="208">
      <c r="A208" s="2">
        <f>IFERROR(__xludf.DUMMYFUNCTION("""COMPUTED_VALUE"""),204.0)</f>
        <v>204</v>
      </c>
      <c r="B208" s="2" t="str">
        <f>IFERROR(__xludf.DUMMYFUNCTION("""COMPUTED_VALUE"""),"COMPLETED")</f>
        <v>COMPLETED</v>
      </c>
      <c r="C208" s="74">
        <f>IFERROR(__xludf.DUMMYFUNCTION("""COMPUTED_VALUE"""),45449.0)</f>
        <v>45449</v>
      </c>
      <c r="D208" s="71" t="str">
        <f>IFERROR(__xludf.DUMMYFUNCTION("""COMPUTED_VALUE"""),"BARANGAY PAYAPA FARMERS ASSOCIATION")</f>
        <v>BARANGAY PAYAPA FARMERS ASSOCIATION</v>
      </c>
      <c r="E208" s="71" t="str">
        <f>IFERROR(__xludf.DUMMYFUNCTION("""COMPUTED_VALUE"""),"Payapa, Tagkawayan, Quezon")</f>
        <v>Payapa, Tagkawayan, Quezon</v>
      </c>
      <c r="F208" s="2" t="str">
        <f>IFERROR(__xludf.DUMMYFUNCTION("""COMPUTED_VALUE"""),"MARK ANTHONY PITA")</f>
        <v>MARK ANTHONY PITA</v>
      </c>
      <c r="G208" s="2">
        <f>IFERROR(__xludf.DUMMYFUNCTION("""COMPUTED_VALUE"""),9.319908416E9)</f>
        <v>9319908416</v>
      </c>
      <c r="H208" s="2">
        <f>IFERROR(__xludf.DUMMYFUNCTION("""COMPUTED_VALUE"""),60.0)</f>
        <v>60</v>
      </c>
      <c r="I208" s="72" t="str">
        <f>IFERROR(__xludf.DUMMYFUNCTION("""COMPUTED_VALUE"""),"PMS")</f>
        <v>PMS</v>
      </c>
      <c r="J208" s="72" t="str">
        <f>IFERROR(__xludf.DUMMYFUNCTION("""COMPUTED_VALUE"""),"PMS")</f>
        <v>PMS</v>
      </c>
      <c r="K208" s="72" t="str">
        <f>IFERROR(__xludf.DUMMYFUNCTION("""COMPUTED_VALUE""")," CHE UP ROTAVATOR PROBLEM            
 6/18/24:JTT: SIRA ANG ROTAVATOR MAINGAY ANG GEARBOX TATLONG IKOT LANG NILA  NAG IINIT NA ANG GEARBOX ")</f>
        <v> CHE UP ROTAVATOR PROBLEM            
 6/18/24:JTT: SIRA ANG ROTAVATOR MAINGAY ANG GEARBOX TATLONG IKOT LANG NILA  NAG IINIT NA ANG GEARBOX </v>
      </c>
      <c r="L208" s="72" t="str">
        <f>IFERROR(__xludf.DUMMYFUNCTION("""COMPUTED_VALUE"""),"JTT;6/22/24: NI-ALINE LANG YUNG MGA ARM NG ROTAVATOR OK NA YUNG UNIT.")</f>
        <v>JTT;6/22/24: NI-ALINE LANG YUNG MGA ARM NG ROTAVATOR OK NA YUNG UNIT.</v>
      </c>
      <c r="M208" s="2"/>
      <c r="N208" s="2"/>
      <c r="O208" s="2" t="str">
        <f>IFERROR(__xludf.DUMMYFUNCTION("""COMPUTED_VALUE"""),"JIE-811")</f>
        <v>JIE-811</v>
      </c>
      <c r="P208" s="2"/>
      <c r="Q208" s="2"/>
      <c r="R208" s="74">
        <f>IFERROR(__xludf.DUMMYFUNCTION("""COMPUTED_VALUE"""),45465.0)</f>
        <v>45465</v>
      </c>
      <c r="S208" s="2" t="str">
        <f>IFERROR(__xludf.DUMMYFUNCTION("""COMPUTED_VALUE"""),"JTT")</f>
        <v>JTT</v>
      </c>
      <c r="T208" s="73" t="str">
        <f>IFERROR(__xludf.DUMMYFUNCTION("""COMPUTED_VALUE""")," N/A ")</f>
        <v>N/A</v>
      </c>
      <c r="U208" s="73" t="str">
        <f>IFERROR(__xludf.DUMMYFUNCTION("""COMPUTED_VALUE""")," NO CHARGE ")</f>
        <v>NO CHARGE</v>
      </c>
      <c r="V208" s="2"/>
      <c r="W208" s="2" t="str">
        <f>IFERROR(__xludf.DUMMYFUNCTION("""COMPUTED_VALUE"""),"N/A")</f>
        <v>N/A</v>
      </c>
      <c r="X208" s="2" t="str">
        <f>IFERROR(__xludf.DUMMYFUNCTION("""COMPUTED_VALUE"""),"N/A")</f>
        <v>N/A</v>
      </c>
      <c r="Y208" s="2" t="str">
        <f>IFERROR(__xludf.DUMMYFUNCTION("""COMPUTED_VALUE"""),"KFS")</f>
        <v>KFS</v>
      </c>
      <c r="Z208" s="2"/>
      <c r="AA208" s="2"/>
      <c r="AB208" s="2"/>
      <c r="AC208" s="2"/>
      <c r="AD208" s="2"/>
      <c r="AE208" s="2"/>
      <c r="AF208" s="2"/>
      <c r="AG208" s="2"/>
      <c r="AH208" s="2"/>
      <c r="AI208" s="2"/>
      <c r="AJ208" s="2" t="str">
        <f>IFERROR(__xludf.DUMMYFUNCTION("""COMPUTED_VALUE"""),"Payapa")</f>
        <v>Payapa</v>
      </c>
      <c r="AK208" s="2" t="str">
        <f>IFERROR(__xludf.DUMMYFUNCTION("""COMPUTED_VALUE"""),"Tagkawayan")</f>
        <v>Tagkawayan</v>
      </c>
      <c r="AL208" s="2" t="str">
        <f>IFERROR(__xludf.DUMMYFUNCTION("""COMPUTED_VALUE"""),"Quezon")</f>
        <v>Quezon</v>
      </c>
      <c r="AM208" s="2" t="str">
        <f>IFERROR(__xludf.DUMMYFUNCTION("""COMPUTED_VALUE"""),"4A")</f>
        <v>4A</v>
      </c>
      <c r="AN208" s="2" t="str">
        <f>IFERROR(__xludf.DUMMYFUNCTION("""COMPUTED_VALUE"""),"RCEF 23-08-20 Rebidding")</f>
        <v>RCEF 23-08-20 Rebidding</v>
      </c>
      <c r="AO208" s="2">
        <f>IFERROR(__xludf.DUMMYFUNCTION("""COMPUTED_VALUE"""),1.0)</f>
        <v>1</v>
      </c>
      <c r="AP208" s="2"/>
      <c r="AQ208" s="2"/>
      <c r="AR208" s="2"/>
      <c r="AS208" s="2"/>
      <c r="AT208" s="2"/>
      <c r="AU208" s="2"/>
      <c r="AV208" s="2"/>
      <c r="AW208" s="2"/>
      <c r="AX208" s="2"/>
      <c r="AY208" s="2"/>
      <c r="AZ208" s="2"/>
      <c r="BA208" s="2"/>
      <c r="BB208" s="2"/>
    </row>
    <row r="209">
      <c r="A209" s="2">
        <f>IFERROR(__xludf.DUMMYFUNCTION("""COMPUTED_VALUE"""),205.0)</f>
        <v>205</v>
      </c>
      <c r="B209" s="2" t="str">
        <f>IFERROR(__xludf.DUMMYFUNCTION("""COMPUTED_VALUE"""),"COMPLETED")</f>
        <v>COMPLETED</v>
      </c>
      <c r="C209" s="74">
        <f>IFERROR(__xludf.DUMMYFUNCTION("""COMPUTED_VALUE"""),45449.0)</f>
        <v>45449</v>
      </c>
      <c r="D209" s="71" t="str">
        <f>IFERROR(__xludf.DUMMYFUNCTION("""COMPUTED_VALUE"""),"Dalid Farmers Association")</f>
        <v>Dalid Farmers Association</v>
      </c>
      <c r="E209" s="71" t="str">
        <f>IFERROR(__xludf.DUMMYFUNCTION("""COMPUTED_VALUE"""),"Dalid, Alimodian, ILOILO")</f>
        <v>Dalid, Alimodian, ILOILO</v>
      </c>
      <c r="F209" s="2" t="str">
        <f>IFERROR(__xludf.DUMMYFUNCTION("""COMPUTED_VALUE"""),"Nida Andicoy")</f>
        <v>Nida Andicoy</v>
      </c>
      <c r="G209" s="2">
        <f>IFERROR(__xludf.DUMMYFUNCTION("""COMPUTED_VALUE"""),9.056654724E9)</f>
        <v>9056654724</v>
      </c>
      <c r="H209" s="2">
        <f>IFERROR(__xludf.DUMMYFUNCTION("""COMPUTED_VALUE"""),157.2)</f>
        <v>157.2</v>
      </c>
      <c r="I209" s="72" t="str">
        <f>IFERROR(__xludf.DUMMYFUNCTION("""COMPUTED_VALUE"""),"REPAIR - TRACTOR")</f>
        <v>REPAIR - TRACTOR</v>
      </c>
      <c r="J209" s="72" t="str">
        <f>IFERROR(__xludf.DUMMYFUNCTION("""COMPUTED_VALUE"""),"Hydraulic Cylinder - Leaking")</f>
        <v>Hydraulic Cylinder - Leaking</v>
      </c>
      <c r="K209" s="72" t="str">
        <f>IFERROR(__xludf.DUMMYFUNCTION("""COMPUTED_VALUE"""),"ERP: OIL LEAK")</f>
        <v>ERP: OIL LEAK</v>
      </c>
      <c r="L209" s="72" t="str">
        <f>IFERROR(__xludf.DUMMYFUNCTION("""COMPUTED_VALUE"""),"CCB: REPLACED O-RING")</f>
        <v>CCB: REPLACED O-RING</v>
      </c>
      <c r="M209" s="2"/>
      <c r="N209" s="2"/>
      <c r="O209" s="2" t="str">
        <f>IFERROR(__xludf.DUMMYFUNCTION("""COMPUTED_VALUE"""),"JIE-917")</f>
        <v>JIE-917</v>
      </c>
      <c r="P209" s="2"/>
      <c r="Q209" s="2"/>
      <c r="R209" s="74">
        <f>IFERROR(__xludf.DUMMYFUNCTION("""COMPUTED_VALUE"""),45503.0)</f>
        <v>45503</v>
      </c>
      <c r="S209" s="2" t="str">
        <f>IFERROR(__xludf.DUMMYFUNCTION("""COMPUTED_VALUE"""),"CCB")</f>
        <v>CCB</v>
      </c>
      <c r="T209" s="73" t="str">
        <f>IFERROR(__xludf.DUMMYFUNCTION("""COMPUTED_VALUE""")," N/A ")</f>
        <v>N/A</v>
      </c>
      <c r="U209" s="73" t="str">
        <f>IFERROR(__xludf.DUMMYFUNCTION("""COMPUTED_VALUE""")," NO CHARGE ")</f>
        <v>NO CHARGE</v>
      </c>
      <c r="V209" s="2"/>
      <c r="W209" s="2" t="str">
        <f>IFERROR(__xludf.DUMMYFUNCTION("""COMPUTED_VALUE"""),"N/A")</f>
        <v>N/A</v>
      </c>
      <c r="X209" s="2" t="str">
        <f>IFERROR(__xludf.DUMMYFUNCTION("""COMPUTED_VALUE"""),"N/A")</f>
        <v>N/A</v>
      </c>
      <c r="Y209" s="2"/>
      <c r="Z209" s="2"/>
      <c r="AA209" s="2"/>
      <c r="AB209" s="2"/>
      <c r="AC209" s="2"/>
      <c r="AD209" s="2"/>
      <c r="AE209" s="2"/>
      <c r="AF209" s="2"/>
      <c r="AG209" s="2"/>
      <c r="AH209" s="2"/>
      <c r="AI209" s="2"/>
      <c r="AJ209" s="2" t="str">
        <f>IFERROR(__xludf.DUMMYFUNCTION("""COMPUTED_VALUE"""),"Dalid")</f>
        <v>Dalid</v>
      </c>
      <c r="AK209" s="2" t="str">
        <f>IFERROR(__xludf.DUMMYFUNCTION("""COMPUTED_VALUE"""),"Alimodian")</f>
        <v>Alimodian</v>
      </c>
      <c r="AL209" s="2" t="str">
        <f>IFERROR(__xludf.DUMMYFUNCTION("""COMPUTED_VALUE"""),"Iloilo")</f>
        <v>Iloilo</v>
      </c>
      <c r="AM209" s="2">
        <f>IFERROR(__xludf.DUMMYFUNCTION("""COMPUTED_VALUE"""),6.0)</f>
        <v>6</v>
      </c>
      <c r="AN209" s="2" t="str">
        <f>IFERROR(__xludf.DUMMYFUNCTION("""COMPUTED_VALUE"""),"RCEF 23-09-21 Rebidding")</f>
        <v>RCEF 23-09-21 Rebidding</v>
      </c>
      <c r="AO209" s="2">
        <f>IFERROR(__xludf.DUMMYFUNCTION("""COMPUTED_VALUE"""),4.0)</f>
        <v>4</v>
      </c>
      <c r="AP209" s="2"/>
      <c r="AQ209" s="2"/>
      <c r="AR209" s="2"/>
      <c r="AS209" s="2"/>
      <c r="AT209" s="2"/>
      <c r="AU209" s="2"/>
      <c r="AV209" s="2"/>
      <c r="AW209" s="2"/>
      <c r="AX209" s="2"/>
      <c r="AY209" s="2"/>
      <c r="AZ209" s="2"/>
      <c r="BA209" s="2"/>
      <c r="BB209" s="2"/>
    </row>
    <row r="210">
      <c r="A210" s="2">
        <f>IFERROR(__xludf.DUMMYFUNCTION("""COMPUTED_VALUE"""),206.0)</f>
        <v>206</v>
      </c>
      <c r="B210" s="2" t="str">
        <f>IFERROR(__xludf.DUMMYFUNCTION("""COMPUTED_VALUE"""),"COMPLETED")</f>
        <v>COMPLETED</v>
      </c>
      <c r="C210" s="74">
        <f>IFERROR(__xludf.DUMMYFUNCTION("""COMPUTED_VALUE"""),45449.0)</f>
        <v>45449</v>
      </c>
      <c r="D210" s="71" t="str">
        <f>IFERROR(__xludf.DUMMYFUNCTION("""COMPUTED_VALUE"""),"LIOZON FISHERFOLKS AND FARMERS' ASSOCIATION")</f>
        <v>LIOZON FISHERFOLKS AND FARMERS' ASSOCIATION</v>
      </c>
      <c r="E210" s="71" t="str">
        <f>IFERROR(__xludf.DUMMYFUNCTION("""COMPUTED_VALUE"""),"Liozon, Palauig, ZAMBALES")</f>
        <v>Liozon, Palauig, ZAMBALES</v>
      </c>
      <c r="F210" s="2" t="str">
        <f>IFERROR(__xludf.DUMMYFUNCTION("""COMPUTED_VALUE"""),"RENE ALGABA ALVES")</f>
        <v>RENE ALGABA ALVES</v>
      </c>
      <c r="G210" s="2">
        <f>IFERROR(__xludf.DUMMYFUNCTION("""COMPUTED_VALUE"""),9.502454865E9)</f>
        <v>9502454865</v>
      </c>
      <c r="H210" s="2">
        <f>IFERROR(__xludf.DUMMYFUNCTION("""COMPUTED_VALUE"""),230.0)</f>
        <v>230</v>
      </c>
      <c r="I210" s="72" t="str">
        <f>IFERROR(__xludf.DUMMYFUNCTION("""COMPUTED_VALUE"""),"REPAIR - TRACTOR")</f>
        <v>REPAIR - TRACTOR</v>
      </c>
      <c r="J210" s="72" t="str">
        <f>IFERROR(__xludf.DUMMYFUNCTION("""COMPUTED_VALUE"""),"Radiator")</f>
        <v>Radiator</v>
      </c>
      <c r="K210" s="72" t="str">
        <f>IFERROR(__xludf.DUMMYFUNCTION("""COMPUTED_VALUE"""),"KFS: MAY SIRA ANG RADIATOR, STEERING WHEEL AT NEED CHANGE OIL              
 JDP:REMARKS: MAY LEAK ANG RADIATOR KAY NAGBABAWAS NG COOLANT, DEFORM NA YUNG LAGAYAN NG TAKIP AT MAY PINGAS , INIPIT ULIT NAMIN YUNG MGA LOCK PERO NAG LEAK PARIN.
EGT: HINDI P"&amp;"INA PULL OUT NI FARMER YUNG RADIATOR KASI GAGAMITIN PADAW PO NILA ANG UNIT.
")</f>
        <v>KFS: MAY SIRA ANG RADIATOR, STEERING WHEEL AT NEED CHANGE OIL              
 JDP:REMARKS: MAY LEAK ANG RADIATOR KAY NAGBABAWAS NG COOLANT, DEFORM NA YUNG LAGAYAN NG TAKIP AT MAY PINGAS , INIPIT ULIT NAMIN YUNG MGA LOCK PERO NAG LEAK PARIN.
EGT: HINDI PINA PULL OUT NI FARMER YUNG RADIATOR KASI GAGAMITIN PADAW PO NILA ANG UNIT.
</v>
      </c>
      <c r="L210" s="72" t="str">
        <f>IFERROR(__xludf.DUMMYFUNCTION("""COMPUTED_VALUE"""),"JDP: CHANGE OIL DONE, ETO PO YUNG UNIT NA NA OVERHAULSA WAREHOUSENSAN SIMON, OK NA YUNG UNIT HINDI NA LOW POWER NALINIS NA ANG FUEL FILTER KAYA NORMAL NA ULIT YUNG SUPPLY NG FUEL   
DSD: 8/2/24:check engine oil, check coolant, check radiator, Request for"&amp;" second PMS hindi pa po pina second PMS kasi wala pa daw po sila budget, Okay na po yung unit nakabit na po radiator, temp. Gauge okay, implements okay. ")</f>
        <v>JDP: CHANGE OIL DONE, ETO PO YUNG UNIT NA NA OVERHAULSA WAREHOUSENSAN SIMON, OK NA YUNG UNIT HINDI NA LOW POWER NALINIS NA ANG FUEL FILTER KAYA NORMAL NA ULIT YUNG SUPPLY NG FUEL   
DSD: 8/2/24:check engine oil, check coolant, check radiator, Request for second PMS hindi pa po pina second PMS kasi wala pa daw po sila budget, Okay na po yung unit nakabit na po radiator, temp. Gauge okay, implements okay. </v>
      </c>
      <c r="M210" s="2"/>
      <c r="N210" s="2" t="str">
        <f>IFERROR(__xludf.DUMMYFUNCTION("""COMPUTED_VALUE"""),"PARTS:
RADIATOR ASSY")</f>
        <v>PARTS:
RADIATOR ASSY</v>
      </c>
      <c r="O210" s="2" t="str">
        <f>IFERROR(__xludf.DUMMYFUNCTION("""COMPUTED_VALUE"""),"JIE-923")</f>
        <v>JIE-923</v>
      </c>
      <c r="P210" s="2"/>
      <c r="Q210" s="2"/>
      <c r="R210" s="74">
        <f>IFERROR(__xludf.DUMMYFUNCTION("""COMPUTED_VALUE"""),45506.0)</f>
        <v>45506</v>
      </c>
      <c r="S210" s="2" t="str">
        <f>IFERROR(__xludf.DUMMYFUNCTION("""COMPUTED_VALUE"""),"EGT/DSD")</f>
        <v>EGT/DSD</v>
      </c>
      <c r="T210" s="73" t="str">
        <f>IFERROR(__xludf.DUMMYFUNCTION("""COMPUTED_VALUE""")," N/A ")</f>
        <v>N/A</v>
      </c>
      <c r="U210" s="73" t="str">
        <f>IFERROR(__xludf.DUMMYFUNCTION("""COMPUTED_VALUE""")," NO CHARGE ")</f>
        <v>NO CHARGE</v>
      </c>
      <c r="V210" s="2"/>
      <c r="W210" s="2" t="str">
        <f>IFERROR(__xludf.DUMMYFUNCTION("""COMPUTED_VALUE"""),"N/A")</f>
        <v>N/A</v>
      </c>
      <c r="X210" s="2" t="str">
        <f>IFERROR(__xludf.DUMMYFUNCTION("""COMPUTED_VALUE"""),"N/A")</f>
        <v>N/A</v>
      </c>
      <c r="Y210" s="2" t="str">
        <f>IFERROR(__xludf.DUMMYFUNCTION("""COMPUTED_VALUE"""),"KFS")</f>
        <v>KFS</v>
      </c>
      <c r="Z210" s="2"/>
      <c r="AA210" s="2"/>
      <c r="AB210" s="2"/>
      <c r="AC210" s="2" t="str">
        <f>IFERROR(__xludf.DUMMYFUNCTION("""COMPUTED_VALUE"""),"Y")</f>
        <v>Y</v>
      </c>
      <c r="AD210" s="2"/>
      <c r="AE210" s="2"/>
      <c r="AF210" s="2"/>
      <c r="AG210" s="2"/>
      <c r="AH210" s="2"/>
      <c r="AI210" s="2"/>
      <c r="AJ210" s="2" t="str">
        <f>IFERROR(__xludf.DUMMYFUNCTION("""COMPUTED_VALUE"""),"Liozon")</f>
        <v>Liozon</v>
      </c>
      <c r="AK210" s="2" t="str">
        <f>IFERROR(__xludf.DUMMYFUNCTION("""COMPUTED_VALUE"""),"Palauig")</f>
        <v>Palauig</v>
      </c>
      <c r="AL210" s="2" t="str">
        <f>IFERROR(__xludf.DUMMYFUNCTION("""COMPUTED_VALUE"""),"Zambales")</f>
        <v>Zambales</v>
      </c>
      <c r="AM210" s="2">
        <f>IFERROR(__xludf.DUMMYFUNCTION("""COMPUTED_VALUE"""),3.0)</f>
        <v>3</v>
      </c>
      <c r="AN210" s="2" t="str">
        <f>IFERROR(__xludf.DUMMYFUNCTION("""COMPUTED_VALUE"""),"RCEF 23-09-21 Rebidding")</f>
        <v>RCEF 23-09-21 Rebidding</v>
      </c>
      <c r="AO210" s="2">
        <f>IFERROR(__xludf.DUMMYFUNCTION("""COMPUTED_VALUE"""),3.0)</f>
        <v>3</v>
      </c>
      <c r="AP210" s="2"/>
      <c r="AQ210" s="2"/>
      <c r="AR210" s="2"/>
      <c r="AS210" s="2"/>
      <c r="AT210" s="2"/>
      <c r="AU210" s="2"/>
      <c r="AV210" s="2"/>
      <c r="AW210" s="2"/>
      <c r="AX210" s="2"/>
      <c r="AY210" s="2"/>
      <c r="AZ210" s="2"/>
      <c r="BA210" s="2"/>
      <c r="BB210" s="2"/>
    </row>
    <row r="211">
      <c r="A211" s="2">
        <f>IFERROR(__xludf.DUMMYFUNCTION("""COMPUTED_VALUE"""),207.0)</f>
        <v>207</v>
      </c>
      <c r="B211" s="2" t="str">
        <f>IFERROR(__xludf.DUMMYFUNCTION("""COMPUTED_VALUE"""),"COMPLETED")</f>
        <v>COMPLETED</v>
      </c>
      <c r="C211" s="74">
        <f>IFERROR(__xludf.DUMMYFUNCTION("""COMPUTED_VALUE"""),45449.0)</f>
        <v>45449</v>
      </c>
      <c r="D211" s="71" t="str">
        <f>IFERROR(__xludf.DUMMYFUNCTION("""COMPUTED_VALUE"""),"CAMANGAAN WEST LANDOWNERS AND FARMERS IRRIGATORS ASSOCIATION INC.")</f>
        <v>CAMANGAAN WEST LANDOWNERS AND FARMERS IRRIGATORS ASSOCIATION INC.</v>
      </c>
      <c r="E211" s="71" t="str">
        <f>IFERROR(__xludf.DUMMYFUNCTION("""COMPUTED_VALUE"""),"Camangaan West, Moncada, TARLAC")</f>
        <v>Camangaan West, Moncada, TARLAC</v>
      </c>
      <c r="F211" s="2" t="str">
        <f>IFERROR(__xludf.DUMMYFUNCTION("""COMPUTED_VALUE"""),"NESTOR M. PORTUGUES ")</f>
        <v>NESTOR M. PORTUGUES </v>
      </c>
      <c r="G211" s="2">
        <f>IFERROR(__xludf.DUMMYFUNCTION("""COMPUTED_VALUE"""),9.285628422E9)</f>
        <v>9285628422</v>
      </c>
      <c r="H211" s="2">
        <f>IFERROR(__xludf.DUMMYFUNCTION("""COMPUTED_VALUE"""),392.0)</f>
        <v>392</v>
      </c>
      <c r="I211" s="72" t="str">
        <f>IFERROR(__xludf.DUMMYFUNCTION("""COMPUTED_VALUE"""),"PMS")</f>
        <v>PMS</v>
      </c>
      <c r="J211" s="72" t="str">
        <f>IFERROR(__xludf.DUMMYFUNCTION("""COMPUTED_VALUE"""),"PMS")</f>
        <v>PMS</v>
      </c>
      <c r="K211" s="72" t="str">
        <f>IFERROR(__xludf.DUMMYFUNCTION("""COMPUTED_VALUE"""),"SECOND PMS (BRING: OIL FILTER AND HYDRAULIC FILTER)
MYKEE: 7/4/24: CALL/TXT DAW SILA PAG MAG CHANGE OIL NA
JVV: 7/30/24: 2ND PMS , EGINE OIL AT ENGINE OIL FILTER  NAPALITAN,  YUNG SA HYDRAULIC OIL AT HYDRAULIC FILTER NIYA PO HINDI PA PO NAPAPALITAN AT WAL"&amp;"A PA DAW PONG BUDGET SI FARMER. FOLLOW UP SA AUGUST 15.
JHP: 8/19/24: Wala pa daw silang budget ma'am. Saka hindi na daw ginagamit yung unit")</f>
        <v>SECOND PMS (BRING: OIL FILTER AND HYDRAULIC FILTER)
MYKEE: 7/4/24: CALL/TXT DAW SILA PAG MAG CHANGE OIL NA
JVV: 7/30/24: 2ND PMS , EGINE OIL AT ENGINE OIL FILTER  NAPALITAN,  YUNG SA HYDRAULIC OIL AT HYDRAULIC FILTER NIYA PO HINDI PA PO NAPAPALITAN AT WALA PA DAW PONG BUDGET SI FARMER. FOLLOW UP SA AUGUST 15.
JHP: 8/19/24: Wala pa daw silang budget ma'am. Saka hindi na daw ginagamit yung unit</v>
      </c>
      <c r="L211" s="72" t="str">
        <f>IFERROR(__xludf.DUMMYFUNCTION("""COMPUTED_VALUE"""),"JVV: 7/30/24: 2ND PMS , EGINE OIL AT ENGINE OIL FILTER  PALANG ANG NAPALITAN, ")</f>
        <v>JVV: 7/30/24: 2ND PMS , EGINE OIL AT ENGINE OIL FILTER  PALANG ANG NAPALITAN, </v>
      </c>
      <c r="M211" s="2"/>
      <c r="N211" s="2" t="str">
        <f>IFERROR(__xludf.DUMMYFUNCTION("""COMPUTED_VALUE"""),"OIL FILTER PAID BY FCA")</f>
        <v>OIL FILTER PAID BY FCA</v>
      </c>
      <c r="O211" s="2" t="str">
        <f>IFERROR(__xludf.DUMMYFUNCTION("""COMPUTED_VALUE"""),"JIE-938")</f>
        <v>JIE-938</v>
      </c>
      <c r="P211" s="2"/>
      <c r="Q211" s="2"/>
      <c r="R211" s="74">
        <f>IFERROR(__xludf.DUMMYFUNCTION("""COMPUTED_VALUE"""),45523.0)</f>
        <v>45523</v>
      </c>
      <c r="S211" s="2" t="str">
        <f>IFERROR(__xludf.DUMMYFUNCTION("""COMPUTED_VALUE"""),"JVV/CFG")</f>
        <v>JVV/CFG</v>
      </c>
      <c r="T211" s="73">
        <f>IFERROR(__xludf.DUMMYFUNCTION("""COMPUTED_VALUE"""),2837.5)</f>
        <v>2837.5</v>
      </c>
      <c r="U211" s="73" t="str">
        <f>IFERROR(__xludf.DUMMYFUNCTION("""COMPUTED_VALUE""")," FOR REMIT ")</f>
        <v>FOR REMIT</v>
      </c>
      <c r="V211" s="2"/>
      <c r="W211" s="2">
        <f>IFERROR(__xludf.DUMMYFUNCTION("""COMPUTED_VALUE"""),1254.0)</f>
        <v>1254</v>
      </c>
      <c r="X211" s="2"/>
      <c r="Y211" s="2"/>
      <c r="Z211" s="2"/>
      <c r="AA211" s="2"/>
      <c r="AB211" s="2"/>
      <c r="AC211" s="2"/>
      <c r="AD211" s="2"/>
      <c r="AE211" s="2"/>
      <c r="AF211" s="2"/>
      <c r="AG211" s="2"/>
      <c r="AH211" s="2"/>
      <c r="AI211" s="2"/>
      <c r="AJ211" s="2" t="str">
        <f>IFERROR(__xludf.DUMMYFUNCTION("""COMPUTED_VALUE"""),"Camangaan West")</f>
        <v>Camangaan West</v>
      </c>
      <c r="AK211" s="2" t="str">
        <f>IFERROR(__xludf.DUMMYFUNCTION("""COMPUTED_VALUE"""),"Moncada")</f>
        <v>Moncada</v>
      </c>
      <c r="AL211" s="2" t="str">
        <f>IFERROR(__xludf.DUMMYFUNCTION("""COMPUTED_VALUE"""),"Tarlac")</f>
        <v>Tarlac</v>
      </c>
      <c r="AM211" s="2">
        <f>IFERROR(__xludf.DUMMYFUNCTION("""COMPUTED_VALUE"""),3.0)</f>
        <v>3</v>
      </c>
      <c r="AN211" s="2" t="str">
        <f>IFERROR(__xludf.DUMMYFUNCTION("""COMPUTED_VALUE"""),"RCEF 23-09-21 Rebidding")</f>
        <v>RCEF 23-09-21 Rebidding</v>
      </c>
      <c r="AO211" s="2">
        <f>IFERROR(__xludf.DUMMYFUNCTION("""COMPUTED_VALUE"""),3.0)</f>
        <v>3</v>
      </c>
      <c r="AP211" s="2"/>
      <c r="AQ211" s="2"/>
      <c r="AR211" s="2"/>
      <c r="AS211" s="2"/>
      <c r="AT211" s="2"/>
      <c r="AU211" s="2"/>
      <c r="AV211" s="2"/>
      <c r="AW211" s="2"/>
      <c r="AX211" s="2"/>
      <c r="AY211" s="2"/>
      <c r="AZ211" s="2"/>
      <c r="BA211" s="2"/>
      <c r="BB211" s="2"/>
    </row>
    <row r="212">
      <c r="A212" s="2">
        <f>IFERROR(__xludf.DUMMYFUNCTION("""COMPUTED_VALUE"""),208.0)</f>
        <v>208</v>
      </c>
      <c r="B212" s="2" t="str">
        <f>IFERROR(__xludf.DUMMYFUNCTION("""COMPUTED_VALUE"""),"COMPLETED")</f>
        <v>COMPLETED</v>
      </c>
      <c r="C212" s="74">
        <f>IFERROR(__xludf.DUMMYFUNCTION("""COMPUTED_VALUE"""),45450.0)</f>
        <v>45450</v>
      </c>
      <c r="D212" s="71" t="str">
        <f>IFERROR(__xludf.DUMMYFUNCTION("""COMPUTED_VALUE"""),"NGABANGAB RESOURCES FARMERS ASSOCIATION")</f>
        <v>NGABANGAB RESOURCES FARMERS ASSOCIATION</v>
      </c>
      <c r="E212" s="71" t="str">
        <f>IFERROR(__xludf.DUMMYFUNCTION("""COMPUTED_VALUE"""),"NGABANGAB, PASUQUIN, ILOCOS NORTE")</f>
        <v>NGABANGAB, PASUQUIN, ILOCOS NORTE</v>
      </c>
      <c r="F212" s="2" t="str">
        <f>IFERROR(__xludf.DUMMYFUNCTION("""COMPUTED_VALUE"""),"BALCIE GERVACIO")</f>
        <v>BALCIE GERVACIO</v>
      </c>
      <c r="G212" s="2">
        <f>IFERROR(__xludf.DUMMYFUNCTION("""COMPUTED_VALUE"""),9.10742153E9)</f>
        <v>9107421530</v>
      </c>
      <c r="H212" s="2">
        <f>IFERROR(__xludf.DUMMYFUNCTION("""COMPUTED_VALUE"""),62.0)</f>
        <v>62</v>
      </c>
      <c r="I212" s="72" t="str">
        <f>IFERROR(__xludf.DUMMYFUNCTION("""COMPUTED_VALUE"""),"PMS")</f>
        <v>PMS</v>
      </c>
      <c r="J212" s="72" t="str">
        <f>IFERROR(__xludf.DUMMYFUNCTION("""COMPUTED_VALUE"""),"PMS")</f>
        <v>PMS</v>
      </c>
      <c r="K212" s="72" t="str">
        <f>IFERROR(__xludf.DUMMYFUNCTION("""COMPUTED_VALUE"""),"JHP: FIRST PMS: SELF PMS  ")</f>
        <v>JHP: FIRST PMS: SELF PMS  </v>
      </c>
      <c r="L212" s="72" t="str">
        <f>IFERROR(__xludf.DUMMYFUNCTION("""COMPUTED_VALUE"""),"MYKEE:SELF PMS: SEND AGREEMENT:FB: BILLY GERVACIO: AGREEMENT SENT")</f>
        <v>MYKEE:SELF PMS: SEND AGREEMENT:FB: BILLY GERVACIO: AGREEMENT SENT</v>
      </c>
      <c r="M212" s="2"/>
      <c r="N212" s="2"/>
      <c r="O212" s="2" t="str">
        <f>IFERROR(__xludf.DUMMYFUNCTION("""COMPUTED_VALUE"""),"N/A")</f>
        <v>N/A</v>
      </c>
      <c r="P212" s="2"/>
      <c r="Q212" s="2"/>
      <c r="R212" s="74">
        <f>IFERROR(__xludf.DUMMYFUNCTION("""COMPUTED_VALUE"""),45457.0)</f>
        <v>45457</v>
      </c>
      <c r="S212" s="2" t="str">
        <f>IFERROR(__xludf.DUMMYFUNCTION("""COMPUTED_VALUE"""),"JHP")</f>
        <v>JHP</v>
      </c>
      <c r="T212" s="73" t="str">
        <f>IFERROR(__xludf.DUMMYFUNCTION("""COMPUTED_VALUE""")," N/A ")</f>
        <v>N/A</v>
      </c>
      <c r="U212" s="73" t="str">
        <f>IFERROR(__xludf.DUMMYFUNCTION("""COMPUTED_VALUE""")," NO CHARGE ")</f>
        <v>NO CHARGE</v>
      </c>
      <c r="V212" s="2"/>
      <c r="W212" s="2" t="str">
        <f>IFERROR(__xludf.DUMMYFUNCTION("""COMPUTED_VALUE"""),"N/A")</f>
        <v>N/A</v>
      </c>
      <c r="X212" s="2" t="str">
        <f>IFERROR(__xludf.DUMMYFUNCTION("""COMPUTED_VALUE"""),"N/A")</f>
        <v>N/A</v>
      </c>
      <c r="Y212" s="2"/>
      <c r="Z212" s="2"/>
      <c r="AA212" s="2"/>
      <c r="AB212" s="2"/>
      <c r="AC212" s="2"/>
      <c r="AD212" s="2"/>
      <c r="AE212" s="2"/>
      <c r="AF212" s="2"/>
      <c r="AG212" s="2"/>
      <c r="AH212" s="2"/>
      <c r="AI212" s="2"/>
      <c r="AJ212" s="2" t="str">
        <f>IFERROR(__xludf.DUMMYFUNCTION("""COMPUTED_VALUE"""),"Ngabangab")</f>
        <v>Ngabangab</v>
      </c>
      <c r="AK212" s="2" t="str">
        <f>IFERROR(__xludf.DUMMYFUNCTION("""COMPUTED_VALUE"""),"Pasuquin")</f>
        <v>Pasuquin</v>
      </c>
      <c r="AL212" s="2" t="str">
        <f>IFERROR(__xludf.DUMMYFUNCTION("""COMPUTED_VALUE"""),"Ilocos Norte")</f>
        <v>Ilocos Norte</v>
      </c>
      <c r="AM212" s="2">
        <f>IFERROR(__xludf.DUMMYFUNCTION("""COMPUTED_VALUE"""),1.0)</f>
        <v>1</v>
      </c>
      <c r="AN212" s="2" t="str">
        <f>IFERROR(__xludf.DUMMYFUNCTION("""COMPUTED_VALUE"""),"RCEF 23-09-21 Rebidding")</f>
        <v>RCEF 23-09-21 Rebidding</v>
      </c>
      <c r="AO212" s="2">
        <f>IFERROR(__xludf.DUMMYFUNCTION("""COMPUTED_VALUE"""),2.0)</f>
        <v>2</v>
      </c>
      <c r="AP212" s="2"/>
      <c r="AQ212" s="2"/>
      <c r="AR212" s="2"/>
      <c r="AS212" s="2"/>
      <c r="AT212" s="2"/>
      <c r="AU212" s="2"/>
      <c r="AV212" s="2"/>
      <c r="AW212" s="2"/>
      <c r="AX212" s="2"/>
      <c r="AY212" s="2"/>
      <c r="AZ212" s="2"/>
      <c r="BA212" s="2"/>
      <c r="BB212" s="2"/>
    </row>
    <row r="213">
      <c r="A213" s="2">
        <f>IFERROR(__xludf.DUMMYFUNCTION("""COMPUTED_VALUE"""),209.0)</f>
        <v>209</v>
      </c>
      <c r="B213" s="2" t="str">
        <f>IFERROR(__xludf.DUMMYFUNCTION("""COMPUTED_VALUE"""),"COMPLETED")</f>
        <v>COMPLETED</v>
      </c>
      <c r="C213" s="74">
        <f>IFERROR(__xludf.DUMMYFUNCTION("""COMPUTED_VALUE"""),45450.0)</f>
        <v>45450</v>
      </c>
      <c r="D213" s="71" t="str">
        <f>IFERROR(__xludf.DUMMYFUNCTION("""COMPUTED_VALUE"""),"BUYAN, CENTRO I-II LOBONG SAN JACINTO FARMERS ASSOCIATION INC")</f>
        <v>BUYAN, CENTRO I-II LOBONG SAN JACINTO FARMERS ASSOCIATION INC</v>
      </c>
      <c r="E213" s="71" t="str">
        <f>IFERROR(__xludf.DUMMYFUNCTION("""COMPUTED_VALUE"""),"Lobong, San Jacinto, PANGASINAN")</f>
        <v>Lobong, San Jacinto, PANGASINAN</v>
      </c>
      <c r="F213" s="2" t="str">
        <f>IFERROR(__xludf.DUMMYFUNCTION("""COMPUTED_VALUE"""),"FELICITAS L. QUEZON ")</f>
        <v>FELICITAS L. QUEZON </v>
      </c>
      <c r="G213" s="2">
        <f>IFERROR(__xludf.DUMMYFUNCTION("""COMPUTED_VALUE"""),9.934093686E9)</f>
        <v>9934093686</v>
      </c>
      <c r="H213" s="2"/>
      <c r="I213" s="72" t="str">
        <f>IFERROR(__xludf.DUMMYFUNCTION("""COMPUTED_VALUE"""),"REPAIR - TRACTOR")</f>
        <v>REPAIR - TRACTOR</v>
      </c>
      <c r="J213" s="72" t="str">
        <f>IFERROR(__xludf.DUMMYFUNCTION("""COMPUTED_VALUE"""),"Electrical - Dashboard")</f>
        <v>Electrical - Dashboard</v>
      </c>
      <c r="K213" s="72" t="str">
        <f>IFERROR(__xludf.DUMMYFUNCTION("""COMPUTED_VALUE"""),"KFS: HINDI MAKITA ANG MACHINE HOURS")</f>
        <v>KFS: HINDI MAKITA ANG MACHINE HOURS</v>
      </c>
      <c r="L213" s="72" t="str">
        <f>IFERROR(__xludf.DUMMYFUNCTION("""COMPUTED_VALUE"""),"RCG: REWIRING, UNIT OPERATIONAL")</f>
        <v>RCG: REWIRING, UNIT OPERATIONAL</v>
      </c>
      <c r="M213" s="2"/>
      <c r="N213" s="2"/>
      <c r="O213" s="2" t="str">
        <f>IFERROR(__xludf.DUMMYFUNCTION("""COMPUTED_VALUE"""),"N/A")</f>
        <v>N/A</v>
      </c>
      <c r="P213" s="2"/>
      <c r="Q213" s="2"/>
      <c r="R213" s="74">
        <f>IFERROR(__xludf.DUMMYFUNCTION("""COMPUTED_VALUE"""),45450.0)</f>
        <v>45450</v>
      </c>
      <c r="S213" s="2" t="str">
        <f>IFERROR(__xludf.DUMMYFUNCTION("""COMPUTED_VALUE"""),"RCG/CCB")</f>
        <v>RCG/CCB</v>
      </c>
      <c r="T213" s="73" t="str">
        <f>IFERROR(__xludf.DUMMYFUNCTION("""COMPUTED_VALUE""")," N/A ")</f>
        <v>N/A</v>
      </c>
      <c r="U213" s="73" t="str">
        <f>IFERROR(__xludf.DUMMYFUNCTION("""COMPUTED_VALUE""")," NO CHARGE ")</f>
        <v>NO CHARGE</v>
      </c>
      <c r="V213" s="2"/>
      <c r="W213" s="2" t="str">
        <f>IFERROR(__xludf.DUMMYFUNCTION("""COMPUTED_VALUE"""),"N/A")</f>
        <v>N/A</v>
      </c>
      <c r="X213" s="2" t="str">
        <f>IFERROR(__xludf.DUMMYFUNCTION("""COMPUTED_VALUE"""),"N/A")</f>
        <v>N/A</v>
      </c>
      <c r="Y213" s="2"/>
      <c r="Z213" s="2"/>
      <c r="AA213" s="2"/>
      <c r="AB213" s="2"/>
      <c r="AC213" s="2"/>
      <c r="AD213" s="2"/>
      <c r="AE213" s="2"/>
      <c r="AF213" s="2"/>
      <c r="AG213" s="2"/>
      <c r="AH213" s="2"/>
      <c r="AI213" s="2"/>
      <c r="AJ213" s="2" t="str">
        <f>IFERROR(__xludf.DUMMYFUNCTION("""COMPUTED_VALUE"""),"Lobong")</f>
        <v>Lobong</v>
      </c>
      <c r="AK213" s="2" t="str">
        <f>IFERROR(__xludf.DUMMYFUNCTION("""COMPUTED_VALUE"""),"San Jacinto")</f>
        <v>San Jacinto</v>
      </c>
      <c r="AL213" s="2" t="str">
        <f>IFERROR(__xludf.DUMMYFUNCTION("""COMPUTED_VALUE"""),"Pangasinan")</f>
        <v>Pangasinan</v>
      </c>
      <c r="AM213" s="2">
        <f>IFERROR(__xludf.DUMMYFUNCTION("""COMPUTED_VALUE"""),1.0)</f>
        <v>1</v>
      </c>
      <c r="AN213" s="2" t="str">
        <f>IFERROR(__xludf.DUMMYFUNCTION("""COMPUTED_VALUE"""),"RCEF 23-09-21 Rebidding")</f>
        <v>RCEF 23-09-21 Rebidding</v>
      </c>
      <c r="AO213" s="2">
        <f>IFERROR(__xludf.DUMMYFUNCTION("""COMPUTED_VALUE"""),2.0)</f>
        <v>2</v>
      </c>
      <c r="AP213" s="2"/>
      <c r="AQ213" s="2"/>
      <c r="AR213" s="2"/>
      <c r="AS213" s="2"/>
      <c r="AT213" s="2"/>
      <c r="AU213" s="2"/>
      <c r="AV213" s="2"/>
      <c r="AW213" s="2"/>
      <c r="AX213" s="2"/>
      <c r="AY213" s="2"/>
      <c r="AZ213" s="2"/>
      <c r="BA213" s="2"/>
      <c r="BB213" s="2"/>
    </row>
    <row r="214">
      <c r="A214" s="2">
        <f>IFERROR(__xludf.DUMMYFUNCTION("""COMPUTED_VALUE"""),210.0)</f>
        <v>210</v>
      </c>
      <c r="B214" s="2" t="str">
        <f>IFERROR(__xludf.DUMMYFUNCTION("""COMPUTED_VALUE"""),"COMPLETED")</f>
        <v>COMPLETED</v>
      </c>
      <c r="C214" s="74">
        <f>IFERROR(__xludf.DUMMYFUNCTION("""COMPUTED_VALUE"""),45450.0)</f>
        <v>45450</v>
      </c>
      <c r="D214" s="71" t="str">
        <f>IFERROR(__xludf.DUMMYFUNCTION("""COMPUTED_VALUE"""),"MUNICIPAL LOCAL GOVERNMENT UNIT OF GENERAL MAMERTO NATIVIDAD")</f>
        <v>MUNICIPAL LOCAL GOVERNMENT UNIT OF GENERAL MAMERTO NATIVIDAD</v>
      </c>
      <c r="E214" s="71" t="str">
        <f>IFERROR(__xludf.DUMMYFUNCTION("""COMPUTED_VALUE"""),"POBLACION, GENERAL MAMERTO NATIVIDAD, NUEVA ECIJA")</f>
        <v>POBLACION, GENERAL MAMERTO NATIVIDAD, NUEVA ECIJA</v>
      </c>
      <c r="F214" s="2" t="str">
        <f>IFERROR(__xludf.DUMMYFUNCTION("""COMPUTED_VALUE"""),"FERNANDO M. DEL PARTO JR.")</f>
        <v>FERNANDO M. DEL PARTO JR.</v>
      </c>
      <c r="G214" s="2">
        <f>IFERROR(__xludf.DUMMYFUNCTION("""COMPUTED_VALUE"""),9.171561074E9)</f>
        <v>9171561074</v>
      </c>
      <c r="H214" s="2">
        <f>IFERROR(__xludf.DUMMYFUNCTION("""COMPUTED_VALUE"""),50.0)</f>
        <v>50</v>
      </c>
      <c r="I214" s="72" t="str">
        <f>IFERROR(__xludf.DUMMYFUNCTION("""COMPUTED_VALUE"""),"REPAIR - TRACTOR")</f>
        <v>REPAIR - TRACTOR</v>
      </c>
      <c r="J214" s="72" t="str">
        <f>IFERROR(__xludf.DUMMYFUNCTION("""COMPUTED_VALUE"""),"Electrical - Neutral Switch")</f>
        <v>Electrical - Neutral Switch</v>
      </c>
      <c r="K214" s="72" t="str">
        <f>IFERROR(__xludf.DUMMYFUNCTION("""COMPUTED_VALUE"""),"OLIVER: MABILIS DAW TUMAAS ANG TEMPERATURE, MALAKAS MAG CONSUME NG COOLANT,          ACS: 6/19/24: SIRA ANG NNEUTRAL CONTACT SWITCH NIRETTA PALANG PO NAMIN PARA MAGAMIT NI RECIPIENT       
PARTS NEEDED: NEUTRAL CONTACT SWITCH 
ACS: WALA PA BUDGET SI FARME"&amp;"R
acs: 8/2/24: HINDI PA NA TURN OVER SA MUNISIPYO ANG TRACTORA KAYA HINDI PA MAKA PAG RELEASE PARA SA PANG BAYAD NG PARTS YUNG RECIPIENTS.
ACS: 8/19/24: KUKUNIN DAW YUNG PARTS, INAANTAY LANG MA TURN OVER YUN UNIT SA LGU.")</f>
        <v>OLIVER: MABILIS DAW TUMAAS ANG TEMPERATURE, MALAKAS MAG CONSUME NG COOLANT,          ACS: 6/19/24: SIRA ANG NNEUTRAL CONTACT SWITCH NIRETTA PALANG PO NAMIN PARA MAGAMIT NI RECIPIENT       
PARTS NEEDED: NEUTRAL CONTACT SWITCH 
ACS: WALA PA BUDGET SI FARMER
acs: 8/2/24: HINDI PA NA TURN OVER SA MUNISIPYO ANG TRACTORA KAYA HINDI PA MAKA PAG RELEASE PARA SA PANG BAYAD NG PARTS YUNG RECIPIENTS.
ACS: 8/19/24: KUKUNIN DAW YUNG PARTS, INAANTAY LANG MA TURN OVER YUN UNIT SA LGU.</v>
      </c>
      <c r="L214" s="72" t="str">
        <f>IFERROR(__xludf.DUMMYFUNCTION("""COMPUTED_VALUE"""),"CANCELLED")</f>
        <v>CANCELLED</v>
      </c>
      <c r="M214" s="2"/>
      <c r="N214" s="2" t="str">
        <f>IFERROR(__xludf.DUMMYFUNCTION("""COMPUTED_VALUE"""),"CANCELLED")</f>
        <v>CANCELLED</v>
      </c>
      <c r="O214" s="2" t="str">
        <f>IFERROR(__xludf.DUMMYFUNCTION("""COMPUTED_VALUE"""),"CANCELLED")</f>
        <v>CANCELLED</v>
      </c>
      <c r="P214" s="2"/>
      <c r="Q214" s="2"/>
      <c r="R214" s="74">
        <f>IFERROR(__xludf.DUMMYFUNCTION("""COMPUTED_VALUE"""),45565.0)</f>
        <v>45565</v>
      </c>
      <c r="S214" s="2" t="str">
        <f>IFERROR(__xludf.DUMMYFUNCTION("""COMPUTED_VALUE"""),"JHP/ACS")</f>
        <v>JHP/ACS</v>
      </c>
      <c r="T214" s="73" t="str">
        <f>IFERROR(__xludf.DUMMYFUNCTION("""COMPUTED_VALUE""")," N/A ")</f>
        <v>N/A</v>
      </c>
      <c r="U214" s="73" t="str">
        <f>IFERROR(__xludf.DUMMYFUNCTION("""COMPUTED_VALUE""")," NO CHARGE ")</f>
        <v>NO CHARGE</v>
      </c>
      <c r="V214" s="2"/>
      <c r="W214" s="2" t="str">
        <f>IFERROR(__xludf.DUMMYFUNCTION("""COMPUTED_VALUE"""),"N/A")</f>
        <v>N/A</v>
      </c>
      <c r="X214" s="2" t="str">
        <f>IFERROR(__xludf.DUMMYFUNCTION("""COMPUTED_VALUE"""),"N/A")</f>
        <v>N/A</v>
      </c>
      <c r="Y214" s="2" t="str">
        <f>IFERROR(__xludf.DUMMYFUNCTION("""COMPUTED_VALUE"""),"WITH PARTS")</f>
        <v>WITH PARTS</v>
      </c>
      <c r="Z214" s="2"/>
      <c r="AA214" s="2"/>
      <c r="AB214" s="2"/>
      <c r="AC214" s="2"/>
      <c r="AD214" s="2" t="str">
        <f>IFERROR(__xludf.DUMMYFUNCTION("""COMPUTED_VALUE"""),"report+picture")</f>
        <v>report+picture</v>
      </c>
      <c r="AE214" s="2"/>
      <c r="AF214" s="2"/>
      <c r="AG214" s="2"/>
      <c r="AH214" s="2"/>
      <c r="AI214" s="2"/>
      <c r="AJ214" s="2" t="str">
        <f>IFERROR(__xludf.DUMMYFUNCTION("""COMPUTED_VALUE"""),"Poblacion")</f>
        <v>Poblacion</v>
      </c>
      <c r="AK214" s="2" t="str">
        <f>IFERROR(__xludf.DUMMYFUNCTION("""COMPUTED_VALUE"""),"General Mamerto Natividad")</f>
        <v>General Mamerto Natividad</v>
      </c>
      <c r="AL214" s="2" t="str">
        <f>IFERROR(__xludf.DUMMYFUNCTION("""COMPUTED_VALUE"""),"Nueva Ecija")</f>
        <v>Nueva Ecija</v>
      </c>
      <c r="AM214" s="2">
        <f>IFERROR(__xludf.DUMMYFUNCTION("""COMPUTED_VALUE"""),3.0)</f>
        <v>3</v>
      </c>
      <c r="AN214" s="2" t="str">
        <f>IFERROR(__xludf.DUMMYFUNCTION("""COMPUTED_VALUE"""),"RCEF 23-09-21 Rebidding")</f>
        <v>RCEF 23-09-21 Rebidding</v>
      </c>
      <c r="AO214" s="2">
        <f>IFERROR(__xludf.DUMMYFUNCTION("""COMPUTED_VALUE"""),3.0)</f>
        <v>3</v>
      </c>
      <c r="AP214" s="2"/>
      <c r="AQ214" s="2"/>
      <c r="AR214" s="2"/>
      <c r="AS214" s="2"/>
      <c r="AT214" s="2"/>
      <c r="AU214" s="2"/>
      <c r="AV214" s="2"/>
      <c r="AW214" s="2"/>
      <c r="AX214" s="2"/>
      <c r="AY214" s="2"/>
      <c r="AZ214" s="2"/>
      <c r="BA214" s="2"/>
      <c r="BB214" s="2"/>
    </row>
    <row r="215">
      <c r="A215" s="2">
        <f>IFERROR(__xludf.DUMMYFUNCTION("""COMPUTED_VALUE"""),211.0)</f>
        <v>211</v>
      </c>
      <c r="B215" s="2" t="str">
        <f>IFERROR(__xludf.DUMMYFUNCTION("""COMPUTED_VALUE"""),"COMPLETED")</f>
        <v>COMPLETED</v>
      </c>
      <c r="C215" s="74">
        <f>IFERROR(__xludf.DUMMYFUNCTION("""COMPUTED_VALUE"""),45450.0)</f>
        <v>45450</v>
      </c>
      <c r="D215" s="71" t="str">
        <f>IFERROR(__xludf.DUMMYFUNCTION("""COMPUTED_VALUE"""),"MUNICIPAL LOCAL GOVERNMENT UNIT OF GENERAL MAMERTO NATIVIDAD")</f>
        <v>MUNICIPAL LOCAL GOVERNMENT UNIT OF GENERAL MAMERTO NATIVIDAD</v>
      </c>
      <c r="E215" s="71" t="str">
        <f>IFERROR(__xludf.DUMMYFUNCTION("""COMPUTED_VALUE"""),"POBLACION, GENERAL MAMERTO NATIVIDAD, NUEVA ECIJA")</f>
        <v>POBLACION, GENERAL MAMERTO NATIVIDAD, NUEVA ECIJA</v>
      </c>
      <c r="F215" s="2" t="str">
        <f>IFERROR(__xludf.DUMMYFUNCTION("""COMPUTED_VALUE"""),"FERNANDO M. DEL PARTO JR.")</f>
        <v>FERNANDO M. DEL PARTO JR.</v>
      </c>
      <c r="G215" s="2">
        <f>IFERROR(__xludf.DUMMYFUNCTION("""COMPUTED_VALUE"""),9.171561074E9)</f>
        <v>9171561074</v>
      </c>
      <c r="H215" s="2">
        <f>IFERROR(__xludf.DUMMYFUNCTION("""COMPUTED_VALUE"""),50.0)</f>
        <v>50</v>
      </c>
      <c r="I215" s="72" t="str">
        <f>IFERROR(__xludf.DUMMYFUNCTION("""COMPUTED_VALUE"""),"PMS")</f>
        <v>PMS</v>
      </c>
      <c r="J215" s="72" t="str">
        <f>IFERROR(__xludf.DUMMYFUNCTION("""COMPUTED_VALUE"""),"PMS")</f>
        <v>PMS</v>
      </c>
      <c r="K215" s="72" t="str">
        <f>IFERROR(__xludf.DUMMYFUNCTION("""COMPUTED_VALUE"""),"OLIVER: FIRST PMS: OIL FILTER: SELF PMS")</f>
        <v>OLIVER: FIRST PMS: OIL FILTER: SELF PMS</v>
      </c>
      <c r="L215" s="72" t="str">
        <f>IFERROR(__xludf.DUMMYFUNCTION("""COMPUTED_VALUE"""),"OIL FILTER PAID BY FCA: SEND AGREEMENT:FB:RAN DEL PARTO: AGREEMENT SENT")</f>
        <v>OIL FILTER PAID BY FCA: SEND AGREEMENT:FB:RAN DEL PARTO: AGREEMENT SENT</v>
      </c>
      <c r="M215" s="2"/>
      <c r="N215" s="2"/>
      <c r="O215" s="2" t="str">
        <f>IFERROR(__xludf.DUMMYFUNCTION("""COMPUTED_VALUE"""),"N/A")</f>
        <v>N/A</v>
      </c>
      <c r="P215" s="2"/>
      <c r="Q215" s="2"/>
      <c r="R215" s="74">
        <f>IFERROR(__xludf.DUMMYFUNCTION("""COMPUTED_VALUE"""),45450.0)</f>
        <v>45450</v>
      </c>
      <c r="S215" s="2" t="str">
        <f>IFERROR(__xludf.DUMMYFUNCTION("""COMPUTED_VALUE"""),"JHP/ACS")</f>
        <v>JHP/ACS</v>
      </c>
      <c r="T215" s="73">
        <f>IFERROR(__xludf.DUMMYFUNCTION("""COMPUTED_VALUE"""),2837.5)</f>
        <v>2837.5</v>
      </c>
      <c r="U215" s="73" t="str">
        <f>IFERROR(__xludf.DUMMYFUNCTION("""COMPUTED_VALUE""")," REMITTED ")</f>
        <v>REMITTED</v>
      </c>
      <c r="V215" s="2"/>
      <c r="W215" s="2"/>
      <c r="X215" s="2">
        <f>IFERROR(__xludf.DUMMYFUNCTION("""COMPUTED_VALUE"""),1119.0)</f>
        <v>1119</v>
      </c>
      <c r="Y215" s="2"/>
      <c r="Z215" s="2"/>
      <c r="AA215" s="2"/>
      <c r="AB215" s="2"/>
      <c r="AC215" s="2"/>
      <c r="AD215" s="2" t="str">
        <f>IFERROR(__xludf.DUMMYFUNCTION("""COMPUTED_VALUE"""),"report+picture")</f>
        <v>report+picture</v>
      </c>
      <c r="AE215" s="2"/>
      <c r="AF215" s="2"/>
      <c r="AG215" s="2"/>
      <c r="AH215" s="2"/>
      <c r="AI215" s="2"/>
      <c r="AJ215" s="2" t="str">
        <f>IFERROR(__xludf.DUMMYFUNCTION("""COMPUTED_VALUE"""),"Poblacion")</f>
        <v>Poblacion</v>
      </c>
      <c r="AK215" s="2" t="str">
        <f>IFERROR(__xludf.DUMMYFUNCTION("""COMPUTED_VALUE"""),"General Mamerto Natividad")</f>
        <v>General Mamerto Natividad</v>
      </c>
      <c r="AL215" s="2" t="str">
        <f>IFERROR(__xludf.DUMMYFUNCTION("""COMPUTED_VALUE"""),"Nueva Ecija")</f>
        <v>Nueva Ecija</v>
      </c>
      <c r="AM215" s="2">
        <f>IFERROR(__xludf.DUMMYFUNCTION("""COMPUTED_VALUE"""),3.0)</f>
        <v>3</v>
      </c>
      <c r="AN215" s="2" t="str">
        <f>IFERROR(__xludf.DUMMYFUNCTION("""COMPUTED_VALUE"""),"RCEF 23-09-21 Rebidding")</f>
        <v>RCEF 23-09-21 Rebidding</v>
      </c>
      <c r="AO215" s="2">
        <f>IFERROR(__xludf.DUMMYFUNCTION("""COMPUTED_VALUE"""),3.0)</f>
        <v>3</v>
      </c>
      <c r="AP215" s="2"/>
      <c r="AQ215" s="2"/>
      <c r="AR215" s="2"/>
      <c r="AS215" s="2"/>
      <c r="AT215" s="2"/>
      <c r="AU215" s="2"/>
      <c r="AV215" s="2"/>
      <c r="AW215" s="2"/>
      <c r="AX215" s="2"/>
      <c r="AY215" s="2"/>
      <c r="AZ215" s="2"/>
      <c r="BA215" s="2"/>
      <c r="BB215" s="2"/>
    </row>
    <row r="216">
      <c r="A216" s="2">
        <f>IFERROR(__xludf.DUMMYFUNCTION("""COMPUTED_VALUE"""),212.0)</f>
        <v>212</v>
      </c>
      <c r="B216" s="2" t="str">
        <f>IFERROR(__xludf.DUMMYFUNCTION("""COMPUTED_VALUE"""),"COMPLETED")</f>
        <v>COMPLETED</v>
      </c>
      <c r="C216" s="74">
        <f>IFERROR(__xludf.DUMMYFUNCTION("""COMPUTED_VALUE"""),45451.0)</f>
        <v>45451</v>
      </c>
      <c r="D216" s="71" t="str">
        <f>IFERROR(__xludf.DUMMYFUNCTION("""COMPUTED_VALUE"""),"San Miguel Farmer's Agriculture Cooperative")</f>
        <v>San Miguel Farmer's Agriculture Cooperative</v>
      </c>
      <c r="E216" s="71" t="str">
        <f>IFERROR(__xludf.DUMMYFUNCTION("""COMPUTED_VALUE"""),"Bgy. 8 Pob. (Montano - San Roque), San Miguel, ILOILO")</f>
        <v>Bgy. 8 Pob. (Montano - San Roque), San Miguel, ILOILO</v>
      </c>
      <c r="F216" s="2" t="str">
        <f>IFERROR(__xludf.DUMMYFUNCTION("""COMPUTED_VALUE"""),"TONY LIZA")</f>
        <v>TONY LIZA</v>
      </c>
      <c r="G216" s="2">
        <f>IFERROR(__xludf.DUMMYFUNCTION("""COMPUTED_VALUE"""),9.124550968E9)</f>
        <v>9124550968</v>
      </c>
      <c r="H216" s="2">
        <f>IFERROR(__xludf.DUMMYFUNCTION("""COMPUTED_VALUE"""),52.8)</f>
        <v>52.8</v>
      </c>
      <c r="I216" s="72" t="str">
        <f>IFERROR(__xludf.DUMMYFUNCTION("""COMPUTED_VALUE"""),"PMS")</f>
        <v>PMS</v>
      </c>
      <c r="J216" s="72" t="str">
        <f>IFERROR(__xludf.DUMMYFUNCTION("""COMPUTED_VALUE"""),"PMS")</f>
        <v>PMS</v>
      </c>
      <c r="K216" s="72" t="str">
        <f>IFERROR(__xludf.DUMMYFUNCTION("""COMPUTED_VALUE"""),"CCB: FIRST PMS: SELF PMS")</f>
        <v>CCB: FIRST PMS: SELF PMS</v>
      </c>
      <c r="L216" s="72" t="str">
        <f>IFERROR(__xludf.DUMMYFUNCTION("""COMPUTED_VALUE"""),"SELF PMS: SEND AGREEMENT: WAIT PA NAME NG PRESIDENT")</f>
        <v>SELF PMS: SEND AGREEMENT: WAIT PA NAME NG PRESIDENT</v>
      </c>
      <c r="M216" s="2"/>
      <c r="N216" s="2"/>
      <c r="O216" s="2" t="str">
        <f>IFERROR(__xludf.DUMMYFUNCTION("""COMPUTED_VALUE"""),"N/A")</f>
        <v>N/A</v>
      </c>
      <c r="P216" s="2"/>
      <c r="Q216" s="2"/>
      <c r="R216" s="74">
        <f>IFERROR(__xludf.DUMMYFUNCTION("""COMPUTED_VALUE"""),45451.0)</f>
        <v>45451</v>
      </c>
      <c r="S216" s="2" t="str">
        <f>IFERROR(__xludf.DUMMYFUNCTION("""COMPUTED_VALUE"""),"MYKEE")</f>
        <v>MYKEE</v>
      </c>
      <c r="T216" s="73" t="str">
        <f>IFERROR(__xludf.DUMMYFUNCTION("""COMPUTED_VALUE""")," N/A ")</f>
        <v>N/A</v>
      </c>
      <c r="U216" s="73" t="str">
        <f>IFERROR(__xludf.DUMMYFUNCTION("""COMPUTED_VALUE""")," NO CHARGE ")</f>
        <v>NO CHARGE</v>
      </c>
      <c r="V216" s="2"/>
      <c r="W216" s="2" t="str">
        <f>IFERROR(__xludf.DUMMYFUNCTION("""COMPUTED_VALUE"""),"N/A")</f>
        <v>N/A</v>
      </c>
      <c r="X216" s="2" t="str">
        <f>IFERROR(__xludf.DUMMYFUNCTION("""COMPUTED_VALUE"""),"N/A")</f>
        <v>N/A</v>
      </c>
      <c r="Y216" s="2"/>
      <c r="Z216" s="2"/>
      <c r="AA216" s="2"/>
      <c r="AB216" s="2"/>
      <c r="AC216" s="2"/>
      <c r="AD216" s="2"/>
      <c r="AE216" s="2"/>
      <c r="AF216" s="2"/>
      <c r="AG216" s="2"/>
      <c r="AH216" s="2"/>
      <c r="AI216" s="2"/>
      <c r="AJ216" s="2" t="str">
        <f>IFERROR(__xludf.DUMMYFUNCTION("""COMPUTED_VALUE"""),"Bgy. 8 Pob. (Montano - San Roque)")</f>
        <v>Bgy. 8 Pob. (Montano - San Roque)</v>
      </c>
      <c r="AK216" s="2" t="str">
        <f>IFERROR(__xludf.DUMMYFUNCTION("""COMPUTED_VALUE"""),"San Miguel")</f>
        <v>San Miguel</v>
      </c>
      <c r="AL216" s="2" t="str">
        <f>IFERROR(__xludf.DUMMYFUNCTION("""COMPUTED_VALUE"""),"Iloilo")</f>
        <v>Iloilo</v>
      </c>
      <c r="AM216" s="2">
        <f>IFERROR(__xludf.DUMMYFUNCTION("""COMPUTED_VALUE"""),6.0)</f>
        <v>6</v>
      </c>
      <c r="AN216" s="2" t="str">
        <f>IFERROR(__xludf.DUMMYFUNCTION("""COMPUTED_VALUE"""),"RCEF 23-09-21 Rebidding")</f>
        <v>RCEF 23-09-21 Rebidding</v>
      </c>
      <c r="AO216" s="2">
        <f>IFERROR(__xludf.DUMMYFUNCTION("""COMPUTED_VALUE"""),4.0)</f>
        <v>4</v>
      </c>
      <c r="AP216" s="2"/>
      <c r="AQ216" s="2"/>
      <c r="AR216" s="2"/>
      <c r="AS216" s="2"/>
      <c r="AT216" s="2"/>
      <c r="AU216" s="2"/>
      <c r="AV216" s="2"/>
      <c r="AW216" s="2"/>
      <c r="AX216" s="2"/>
      <c r="AY216" s="2"/>
      <c r="AZ216" s="2"/>
      <c r="BA216" s="2"/>
      <c r="BB216" s="2"/>
    </row>
    <row r="217">
      <c r="A217" s="2">
        <f>IFERROR(__xludf.DUMMYFUNCTION("""COMPUTED_VALUE"""),213.0)</f>
        <v>213</v>
      </c>
      <c r="B217" s="2" t="str">
        <f>IFERROR(__xludf.DUMMYFUNCTION("""COMPUTED_VALUE"""),"COMPLETED")</f>
        <v>COMPLETED</v>
      </c>
      <c r="C217" s="74">
        <f>IFERROR(__xludf.DUMMYFUNCTION("""COMPUTED_VALUE"""),45451.0)</f>
        <v>45451</v>
      </c>
      <c r="D217" s="71" t="str">
        <f>IFERROR(__xludf.DUMMYFUNCTION("""COMPUTED_VALUE"""),"Puente Bunglas Farmers Association")</f>
        <v>Puente Bunglas Farmers Association</v>
      </c>
      <c r="E217" s="71" t="str">
        <f>IFERROR(__xludf.DUMMYFUNCTION("""COMPUTED_VALUE"""),"Puente Bunglas, Ajuy, ILOILO")</f>
        <v>Puente Bunglas, Ajuy, ILOILO</v>
      </c>
      <c r="F217" s="2" t="str">
        <f>IFERROR(__xludf.DUMMYFUNCTION("""COMPUTED_VALUE"""),"RIZA ELER")</f>
        <v>RIZA ELER</v>
      </c>
      <c r="G217" s="2">
        <f>IFERROR(__xludf.DUMMYFUNCTION("""COMPUTED_VALUE"""),9.382247049E9)</f>
        <v>9382247049</v>
      </c>
      <c r="H217" s="2"/>
      <c r="I217" s="72" t="str">
        <f>IFERROR(__xludf.DUMMYFUNCTION("""COMPUTED_VALUE"""),"PMS")</f>
        <v>PMS</v>
      </c>
      <c r="J217" s="72" t="str">
        <f>IFERROR(__xludf.DUMMYFUNCTION("""COMPUTED_VALUE"""),"PMS")</f>
        <v>PMS</v>
      </c>
      <c r="K217" s="72" t="str">
        <f>IFERROR(__xludf.DUMMYFUNCTION("""COMPUTED_VALUE"""),"CCB: FIRST PMS: SELF PMS")</f>
        <v>CCB: FIRST PMS: SELF PMS</v>
      </c>
      <c r="L217" s="72" t="str">
        <f>IFERROR(__xludf.DUMMYFUNCTION("""COMPUTED_VALUE"""),"SELF PMS: SEND AGREEMENT: FB: RIZA ELER: AGREEMENT SENT")</f>
        <v>SELF PMS: SEND AGREEMENT: FB: RIZA ELER: AGREEMENT SENT</v>
      </c>
      <c r="M217" s="2"/>
      <c r="N217" s="2"/>
      <c r="O217" s="2" t="str">
        <f>IFERROR(__xludf.DUMMYFUNCTION("""COMPUTED_VALUE"""),"N/A")</f>
        <v>N/A</v>
      </c>
      <c r="P217" s="2"/>
      <c r="Q217" s="2"/>
      <c r="R217" s="74">
        <f>IFERROR(__xludf.DUMMYFUNCTION("""COMPUTED_VALUE"""),45451.0)</f>
        <v>45451</v>
      </c>
      <c r="S217" s="2" t="str">
        <f>IFERROR(__xludf.DUMMYFUNCTION("""COMPUTED_VALUE"""),"MYKEE")</f>
        <v>MYKEE</v>
      </c>
      <c r="T217" s="73" t="str">
        <f>IFERROR(__xludf.DUMMYFUNCTION("""COMPUTED_VALUE""")," N/A ")</f>
        <v>N/A</v>
      </c>
      <c r="U217" s="73" t="str">
        <f>IFERROR(__xludf.DUMMYFUNCTION("""COMPUTED_VALUE""")," NO CHARGE ")</f>
        <v>NO CHARGE</v>
      </c>
      <c r="V217" s="2"/>
      <c r="W217" s="2" t="str">
        <f>IFERROR(__xludf.DUMMYFUNCTION("""COMPUTED_VALUE"""),"N/A")</f>
        <v>N/A</v>
      </c>
      <c r="X217" s="2" t="str">
        <f>IFERROR(__xludf.DUMMYFUNCTION("""COMPUTED_VALUE"""),"N/A")</f>
        <v>N/A</v>
      </c>
      <c r="Y217" s="2"/>
      <c r="Z217" s="2"/>
      <c r="AA217" s="2"/>
      <c r="AB217" s="2"/>
      <c r="AC217" s="2"/>
      <c r="AD217" s="2"/>
      <c r="AE217" s="2"/>
      <c r="AF217" s="2"/>
      <c r="AG217" s="2"/>
      <c r="AH217" s="2"/>
      <c r="AI217" s="2"/>
      <c r="AJ217" s="2" t="str">
        <f>IFERROR(__xludf.DUMMYFUNCTION("""COMPUTED_VALUE"""),"Puente Bunglas")</f>
        <v>Puente Bunglas</v>
      </c>
      <c r="AK217" s="2" t="str">
        <f>IFERROR(__xludf.DUMMYFUNCTION("""COMPUTED_VALUE"""),"Ajuy")</f>
        <v>Ajuy</v>
      </c>
      <c r="AL217" s="2" t="str">
        <f>IFERROR(__xludf.DUMMYFUNCTION("""COMPUTED_VALUE"""),"Iloilo")</f>
        <v>Iloilo</v>
      </c>
      <c r="AM217" s="2">
        <f>IFERROR(__xludf.DUMMYFUNCTION("""COMPUTED_VALUE"""),6.0)</f>
        <v>6</v>
      </c>
      <c r="AN217" s="2" t="str">
        <f>IFERROR(__xludf.DUMMYFUNCTION("""COMPUTED_VALUE"""),"RCEF 23-09-21 Rebidding")</f>
        <v>RCEF 23-09-21 Rebidding</v>
      </c>
      <c r="AO217" s="2">
        <f>IFERROR(__xludf.DUMMYFUNCTION("""COMPUTED_VALUE"""),4.0)</f>
        <v>4</v>
      </c>
      <c r="AP217" s="2"/>
      <c r="AQ217" s="2"/>
      <c r="AR217" s="2"/>
      <c r="AS217" s="2"/>
      <c r="AT217" s="2"/>
      <c r="AU217" s="2"/>
      <c r="AV217" s="2"/>
      <c r="AW217" s="2"/>
      <c r="AX217" s="2"/>
      <c r="AY217" s="2"/>
      <c r="AZ217" s="2"/>
      <c r="BA217" s="2"/>
      <c r="BB217" s="2"/>
    </row>
    <row r="218">
      <c r="A218" s="2">
        <f>IFERROR(__xludf.DUMMYFUNCTION("""COMPUTED_VALUE"""),214.0)</f>
        <v>214</v>
      </c>
      <c r="B218" s="2" t="str">
        <f>IFERROR(__xludf.DUMMYFUNCTION("""COMPUTED_VALUE"""),"COMPLETED")</f>
        <v>COMPLETED</v>
      </c>
      <c r="C218" s="74">
        <f>IFERROR(__xludf.DUMMYFUNCTION("""COMPUTED_VALUE"""),45451.0)</f>
        <v>45451</v>
      </c>
      <c r="D218" s="71" t="str">
        <f>IFERROR(__xludf.DUMMYFUNCTION("""COMPUTED_VALUE"""),"Dugwakan Farmers Association")</f>
        <v>Dugwakan Farmers Association</v>
      </c>
      <c r="E218" s="71" t="str">
        <f>IFERROR(__xludf.DUMMYFUNCTION("""COMPUTED_VALUE"""),"Dugwakan, Banate, ILOILO")</f>
        <v>Dugwakan, Banate, ILOILO</v>
      </c>
      <c r="F218" s="2" t="str">
        <f>IFERROR(__xludf.DUMMYFUNCTION("""COMPUTED_VALUE"""),"MONIZA MARQUES")</f>
        <v>MONIZA MARQUES</v>
      </c>
      <c r="G218" s="2">
        <f>IFERROR(__xludf.DUMMYFUNCTION("""COMPUTED_VALUE"""),9.63525839E9)</f>
        <v>9635258390</v>
      </c>
      <c r="H218" s="2">
        <f>IFERROR(__xludf.DUMMYFUNCTION("""COMPUTED_VALUE"""),63.5)</f>
        <v>63.5</v>
      </c>
      <c r="I218" s="72" t="str">
        <f>IFERROR(__xludf.DUMMYFUNCTION("""COMPUTED_VALUE"""),"PMS")</f>
        <v>PMS</v>
      </c>
      <c r="J218" s="72" t="str">
        <f>IFERROR(__xludf.DUMMYFUNCTION("""COMPUTED_VALUE"""),"PMS")</f>
        <v>PMS</v>
      </c>
      <c r="K218" s="72" t="str">
        <f>IFERROR(__xludf.DUMMYFUNCTION("""COMPUTED_VALUE"""),"CCB: FIRST PMS: SELF PMS")</f>
        <v>CCB: FIRST PMS: SELF PMS</v>
      </c>
      <c r="L218" s="72" t="str">
        <f>IFERROR(__xludf.DUMMYFUNCTION("""COMPUTED_VALUE"""),"SELF PMS: SEND AGREEMENT:VIBER ACCT:MONALIZA MARQUEZ: AGREEMENT SENT")</f>
        <v>SELF PMS: SEND AGREEMENT:VIBER ACCT:MONALIZA MARQUEZ: AGREEMENT SENT</v>
      </c>
      <c r="M218" s="2"/>
      <c r="N218" s="2"/>
      <c r="O218" s="2" t="str">
        <f>IFERROR(__xludf.DUMMYFUNCTION("""COMPUTED_VALUE"""),"N/A")</f>
        <v>N/A</v>
      </c>
      <c r="P218" s="2"/>
      <c r="Q218" s="2"/>
      <c r="R218" s="74">
        <f>IFERROR(__xludf.DUMMYFUNCTION("""COMPUTED_VALUE"""),45451.0)</f>
        <v>45451</v>
      </c>
      <c r="S218" s="2" t="str">
        <f>IFERROR(__xludf.DUMMYFUNCTION("""COMPUTED_VALUE"""),"MYKEE")</f>
        <v>MYKEE</v>
      </c>
      <c r="T218" s="73" t="str">
        <f>IFERROR(__xludf.DUMMYFUNCTION("""COMPUTED_VALUE""")," N/A ")</f>
        <v>N/A</v>
      </c>
      <c r="U218" s="73" t="str">
        <f>IFERROR(__xludf.DUMMYFUNCTION("""COMPUTED_VALUE""")," NO CHARGE ")</f>
        <v>NO CHARGE</v>
      </c>
      <c r="V218" s="2"/>
      <c r="W218" s="2" t="str">
        <f>IFERROR(__xludf.DUMMYFUNCTION("""COMPUTED_VALUE"""),"N/A")</f>
        <v>N/A</v>
      </c>
      <c r="X218" s="2" t="str">
        <f>IFERROR(__xludf.DUMMYFUNCTION("""COMPUTED_VALUE"""),"N/A")</f>
        <v>N/A</v>
      </c>
      <c r="Y218" s="2"/>
      <c r="Z218" s="2"/>
      <c r="AA218" s="2"/>
      <c r="AB218" s="2"/>
      <c r="AC218" s="2"/>
      <c r="AD218" s="2"/>
      <c r="AE218" s="2"/>
      <c r="AF218" s="2"/>
      <c r="AG218" s="2"/>
      <c r="AH218" s="2"/>
      <c r="AI218" s="2"/>
      <c r="AJ218" s="2" t="str">
        <f>IFERROR(__xludf.DUMMYFUNCTION("""COMPUTED_VALUE"""),"Dugwakan")</f>
        <v>Dugwakan</v>
      </c>
      <c r="AK218" s="2" t="str">
        <f>IFERROR(__xludf.DUMMYFUNCTION("""COMPUTED_VALUE"""),"Banate")</f>
        <v>Banate</v>
      </c>
      <c r="AL218" s="2" t="str">
        <f>IFERROR(__xludf.DUMMYFUNCTION("""COMPUTED_VALUE"""),"Iloilo")</f>
        <v>Iloilo</v>
      </c>
      <c r="AM218" s="2">
        <f>IFERROR(__xludf.DUMMYFUNCTION("""COMPUTED_VALUE"""),6.0)</f>
        <v>6</v>
      </c>
      <c r="AN218" s="2" t="str">
        <f>IFERROR(__xludf.DUMMYFUNCTION("""COMPUTED_VALUE"""),"RCEF 23-09-21 Rebidding")</f>
        <v>RCEF 23-09-21 Rebidding</v>
      </c>
      <c r="AO218" s="2">
        <f>IFERROR(__xludf.DUMMYFUNCTION("""COMPUTED_VALUE"""),4.0)</f>
        <v>4</v>
      </c>
      <c r="AP218" s="2"/>
      <c r="AQ218" s="2"/>
      <c r="AR218" s="2"/>
      <c r="AS218" s="2"/>
      <c r="AT218" s="2"/>
      <c r="AU218" s="2"/>
      <c r="AV218" s="2"/>
      <c r="AW218" s="2"/>
      <c r="AX218" s="2"/>
      <c r="AY218" s="2"/>
      <c r="AZ218" s="2"/>
      <c r="BA218" s="2"/>
      <c r="BB218" s="2"/>
    </row>
    <row r="219">
      <c r="A219" s="2">
        <f>IFERROR(__xludf.DUMMYFUNCTION("""COMPUTED_VALUE"""),215.0)</f>
        <v>215</v>
      </c>
      <c r="B219" s="2" t="str">
        <f>IFERROR(__xludf.DUMMYFUNCTION("""COMPUTED_VALUE"""),"COMPLETED")</f>
        <v>COMPLETED</v>
      </c>
      <c r="C219" s="74">
        <f>IFERROR(__xludf.DUMMYFUNCTION("""COMPUTED_VALUE"""),45451.0)</f>
        <v>45451</v>
      </c>
      <c r="D219" s="71" t="str">
        <f>IFERROR(__xludf.DUMMYFUNCTION("""COMPUTED_VALUE"""),"Cabilauan Farmers Association")</f>
        <v>Cabilauan Farmers Association</v>
      </c>
      <c r="E219" s="71" t="str">
        <f>IFERROR(__xludf.DUMMYFUNCTION("""COMPUTED_VALUE"""),"Cabilauan, New Lucena, ILOILO")</f>
        <v>Cabilauan, New Lucena, ILOILO</v>
      </c>
      <c r="F219" s="2" t="str">
        <f>IFERROR(__xludf.DUMMYFUNCTION("""COMPUTED_VALUE"""),"CECILIO NIEGO")</f>
        <v>CECILIO NIEGO</v>
      </c>
      <c r="G219" s="2">
        <f>IFERROR(__xludf.DUMMYFUNCTION("""COMPUTED_VALUE"""),9.101237802E9)</f>
        <v>9101237802</v>
      </c>
      <c r="H219" s="2"/>
      <c r="I219" s="72" t="str">
        <f>IFERROR(__xludf.DUMMYFUNCTION("""COMPUTED_VALUE"""),"PMS")</f>
        <v>PMS</v>
      </c>
      <c r="J219" s="72" t="str">
        <f>IFERROR(__xludf.DUMMYFUNCTION("""COMPUTED_VALUE"""),"PMS")</f>
        <v>PMS</v>
      </c>
      <c r="K219" s="72" t="str">
        <f>IFERROR(__xludf.DUMMYFUNCTION("""COMPUTED_VALUE"""),"CCB: FIRST PMS: SELF PMS")</f>
        <v>CCB: FIRST PMS: SELF PMS</v>
      </c>
      <c r="L219" s="72" t="str">
        <f>IFERROR(__xludf.DUMMYFUNCTION("""COMPUTED_VALUE"""),"SELF PMS: SEND AGREEMENT:FB: CECILIO NIEGO: AGREEMENT SENT: FOR PRINT")</f>
        <v>SELF PMS: SEND AGREEMENT:FB: CECILIO NIEGO: AGREEMENT SENT: FOR PRINT</v>
      </c>
      <c r="M219" s="2"/>
      <c r="N219" s="2"/>
      <c r="O219" s="2" t="str">
        <f>IFERROR(__xludf.DUMMYFUNCTION("""COMPUTED_VALUE"""),"N/A")</f>
        <v>N/A</v>
      </c>
      <c r="P219" s="2"/>
      <c r="Q219" s="2"/>
      <c r="R219" s="74">
        <f>IFERROR(__xludf.DUMMYFUNCTION("""COMPUTED_VALUE"""),45451.0)</f>
        <v>45451</v>
      </c>
      <c r="S219" s="2" t="str">
        <f>IFERROR(__xludf.DUMMYFUNCTION("""COMPUTED_VALUE"""),"MYKEE")</f>
        <v>MYKEE</v>
      </c>
      <c r="T219" s="73" t="str">
        <f>IFERROR(__xludf.DUMMYFUNCTION("""COMPUTED_VALUE""")," N/A ")</f>
        <v>N/A</v>
      </c>
      <c r="U219" s="73" t="str">
        <f>IFERROR(__xludf.DUMMYFUNCTION("""COMPUTED_VALUE""")," NO CHARGE ")</f>
        <v>NO CHARGE</v>
      </c>
      <c r="V219" s="2"/>
      <c r="W219" s="2" t="str">
        <f>IFERROR(__xludf.DUMMYFUNCTION("""COMPUTED_VALUE"""),"N/A")</f>
        <v>N/A</v>
      </c>
      <c r="X219" s="2" t="str">
        <f>IFERROR(__xludf.DUMMYFUNCTION("""COMPUTED_VALUE"""),"N/A")</f>
        <v>N/A</v>
      </c>
      <c r="Y219" s="2"/>
      <c r="Z219" s="2"/>
      <c r="AA219" s="2"/>
      <c r="AB219" s="2"/>
      <c r="AC219" s="2"/>
      <c r="AD219" s="2"/>
      <c r="AE219" s="2"/>
      <c r="AF219" s="2"/>
      <c r="AG219" s="2"/>
      <c r="AH219" s="2"/>
      <c r="AI219" s="2"/>
      <c r="AJ219" s="2" t="str">
        <f>IFERROR(__xludf.DUMMYFUNCTION("""COMPUTED_VALUE"""),"Cabilauan")</f>
        <v>Cabilauan</v>
      </c>
      <c r="AK219" s="2" t="str">
        <f>IFERROR(__xludf.DUMMYFUNCTION("""COMPUTED_VALUE"""),"New Lucena")</f>
        <v>New Lucena</v>
      </c>
      <c r="AL219" s="2" t="str">
        <f>IFERROR(__xludf.DUMMYFUNCTION("""COMPUTED_VALUE"""),"Iloilo")</f>
        <v>Iloilo</v>
      </c>
      <c r="AM219" s="2">
        <f>IFERROR(__xludf.DUMMYFUNCTION("""COMPUTED_VALUE"""),6.0)</f>
        <v>6</v>
      </c>
      <c r="AN219" s="2" t="str">
        <f>IFERROR(__xludf.DUMMYFUNCTION("""COMPUTED_VALUE"""),"RCEF 23-09-21 Rebidding")</f>
        <v>RCEF 23-09-21 Rebidding</v>
      </c>
      <c r="AO219" s="2">
        <f>IFERROR(__xludf.DUMMYFUNCTION("""COMPUTED_VALUE"""),4.0)</f>
        <v>4</v>
      </c>
      <c r="AP219" s="2"/>
      <c r="AQ219" s="2"/>
      <c r="AR219" s="2"/>
      <c r="AS219" s="2"/>
      <c r="AT219" s="2"/>
      <c r="AU219" s="2"/>
      <c r="AV219" s="2"/>
      <c r="AW219" s="2"/>
      <c r="AX219" s="2"/>
      <c r="AY219" s="2"/>
      <c r="AZ219" s="2"/>
      <c r="BA219" s="2"/>
      <c r="BB219" s="2"/>
    </row>
    <row r="220">
      <c r="A220" s="2">
        <f>IFERROR(__xludf.DUMMYFUNCTION("""COMPUTED_VALUE"""),216.0)</f>
        <v>216</v>
      </c>
      <c r="B220" s="2" t="str">
        <f>IFERROR(__xludf.DUMMYFUNCTION("""COMPUTED_VALUE"""),"COMPLETED")</f>
        <v>COMPLETED</v>
      </c>
      <c r="C220" s="74">
        <f>IFERROR(__xludf.DUMMYFUNCTION("""COMPUTED_VALUE"""),45452.0)</f>
        <v>45452</v>
      </c>
      <c r="D220" s="71" t="str">
        <f>IFERROR(__xludf.DUMMYFUNCTION("""COMPUTED_VALUE"""),"Salay Farmers Association (SFA)")</f>
        <v>Salay Farmers Association (SFA)</v>
      </c>
      <c r="E220" s="71" t="str">
        <f>IFERROR(__xludf.DUMMYFUNCTION("""COMPUTED_VALUE"""),"Salay, San Agustin, ISABELA")</f>
        <v>Salay, San Agustin, ISABELA</v>
      </c>
      <c r="F220" s="2" t="str">
        <f>IFERROR(__xludf.DUMMYFUNCTION("""COMPUTED_VALUE"""),"SATURNINO DAQUIOAG")</f>
        <v>SATURNINO DAQUIOAG</v>
      </c>
      <c r="G220" s="2">
        <f>IFERROR(__xludf.DUMMYFUNCTION("""COMPUTED_VALUE"""),9.944347747E9)</f>
        <v>9944347747</v>
      </c>
      <c r="H220" s="2">
        <f>IFERROR(__xludf.DUMMYFUNCTION("""COMPUTED_VALUE"""),60.4)</f>
        <v>60.4</v>
      </c>
      <c r="I220" s="72" t="str">
        <f>IFERROR(__xludf.DUMMYFUNCTION("""COMPUTED_VALUE"""),"PMS")</f>
        <v>PMS</v>
      </c>
      <c r="J220" s="72" t="str">
        <f>IFERROR(__xludf.DUMMYFUNCTION("""COMPUTED_VALUE"""),"PMS")</f>
        <v>PMS</v>
      </c>
      <c r="K220" s="72" t="str">
        <f>IFERROR(__xludf.DUMMYFUNCTION("""COMPUTED_VALUE"""),"ERP: FIRST PMS")</f>
        <v>ERP: FIRST PMS</v>
      </c>
      <c r="L220" s="72" t="str">
        <f>IFERROR(__xludf.DUMMYFUNCTION("""COMPUTED_VALUE"""),"SEND AGREEMENT: CONNOT BE REACH")</f>
        <v>SEND AGREEMENT: CONNOT BE REACH</v>
      </c>
      <c r="M220" s="2"/>
      <c r="N220" s="2"/>
      <c r="O220" s="2" t="str">
        <f>IFERROR(__xludf.DUMMYFUNCTION("""COMPUTED_VALUE"""),"N/A")</f>
        <v>N/A</v>
      </c>
      <c r="P220" s="2"/>
      <c r="Q220" s="2"/>
      <c r="R220" s="74">
        <f>IFERROR(__xludf.DUMMYFUNCTION("""COMPUTED_VALUE"""),45452.0)</f>
        <v>45452</v>
      </c>
      <c r="S220" s="2" t="str">
        <f>IFERROR(__xludf.DUMMYFUNCTION("""COMPUTED_VALUE"""),"MYKEE")</f>
        <v>MYKEE</v>
      </c>
      <c r="T220" s="73" t="str">
        <f>IFERROR(__xludf.DUMMYFUNCTION("""COMPUTED_VALUE""")," N/A ")</f>
        <v>N/A</v>
      </c>
      <c r="U220" s="73" t="str">
        <f>IFERROR(__xludf.DUMMYFUNCTION("""COMPUTED_VALUE""")," NO CHARGE ")</f>
        <v>NO CHARGE</v>
      </c>
      <c r="V220" s="2"/>
      <c r="W220" s="2" t="str">
        <f>IFERROR(__xludf.DUMMYFUNCTION("""COMPUTED_VALUE"""),"N/A")</f>
        <v>N/A</v>
      </c>
      <c r="X220" s="2" t="str">
        <f>IFERROR(__xludf.DUMMYFUNCTION("""COMPUTED_VALUE"""),"N/A")</f>
        <v>N/A</v>
      </c>
      <c r="Y220" s="2"/>
      <c r="Z220" s="2"/>
      <c r="AA220" s="2"/>
      <c r="AB220" s="2"/>
      <c r="AC220" s="2"/>
      <c r="AD220" s="2"/>
      <c r="AE220" s="2"/>
      <c r="AF220" s="2"/>
      <c r="AG220" s="2"/>
      <c r="AH220" s="2"/>
      <c r="AI220" s="2"/>
      <c r="AJ220" s="2" t="str">
        <f>IFERROR(__xludf.DUMMYFUNCTION("""COMPUTED_VALUE"""),"Salay")</f>
        <v>Salay</v>
      </c>
      <c r="AK220" s="2" t="str">
        <f>IFERROR(__xludf.DUMMYFUNCTION("""COMPUTED_VALUE"""),"San Agustin")</f>
        <v>San Agustin</v>
      </c>
      <c r="AL220" s="2" t="str">
        <f>IFERROR(__xludf.DUMMYFUNCTION("""COMPUTED_VALUE"""),"Isabela")</f>
        <v>Isabela</v>
      </c>
      <c r="AM220" s="2">
        <f>IFERROR(__xludf.DUMMYFUNCTION("""COMPUTED_VALUE"""),2.0)</f>
        <v>2</v>
      </c>
      <c r="AN220" s="2" t="str">
        <f>IFERROR(__xludf.DUMMYFUNCTION("""COMPUTED_VALUE"""),"RCEF 23-09-21 Rebidding")</f>
        <v>RCEF 23-09-21 Rebidding</v>
      </c>
      <c r="AO220" s="2">
        <f>IFERROR(__xludf.DUMMYFUNCTION("""COMPUTED_VALUE"""),9.0)</f>
        <v>9</v>
      </c>
      <c r="AP220" s="2"/>
      <c r="AQ220" s="2"/>
      <c r="AR220" s="2"/>
      <c r="AS220" s="2"/>
      <c r="AT220" s="2"/>
      <c r="AU220" s="2"/>
      <c r="AV220" s="2"/>
      <c r="AW220" s="2"/>
      <c r="AX220" s="2"/>
      <c r="AY220" s="2"/>
      <c r="AZ220" s="2"/>
      <c r="BA220" s="2"/>
      <c r="BB220" s="2"/>
    </row>
    <row r="221">
      <c r="A221" s="2">
        <f>IFERROR(__xludf.DUMMYFUNCTION("""COMPUTED_VALUE"""),217.0)</f>
        <v>217</v>
      </c>
      <c r="B221" s="2" t="str">
        <f>IFERROR(__xludf.DUMMYFUNCTION("""COMPUTED_VALUE"""),"COMPLETED")</f>
        <v>COMPLETED</v>
      </c>
      <c r="C221" s="74">
        <f>IFERROR(__xludf.DUMMYFUNCTION("""COMPUTED_VALUE"""),45453.0)</f>
        <v>45453</v>
      </c>
      <c r="D221" s="71" t="str">
        <f>IFERROR(__xludf.DUMMYFUNCTION("""COMPUTED_VALUE"""),"TUMBAGA I BUCAL IRRIGATORS ASSOCIATION, INC.")</f>
        <v>TUMBAGA I BUCAL IRRIGATORS ASSOCIATION, INC.</v>
      </c>
      <c r="E221" s="71" t="str">
        <f>IFERROR(__xludf.DUMMYFUNCTION("""COMPUTED_VALUE"""),"Tumbaga I, Sariaya, Quezon")</f>
        <v>Tumbaga I, Sariaya, Quezon</v>
      </c>
      <c r="F221" s="2"/>
      <c r="G221" s="2"/>
      <c r="H221" s="2">
        <f>IFERROR(__xludf.DUMMYFUNCTION("""COMPUTED_VALUE"""),30.0)</f>
        <v>30</v>
      </c>
      <c r="I221" s="72" t="str">
        <f>IFERROR(__xludf.DUMMYFUNCTION("""COMPUTED_VALUE"""),"REPAIR - TRACTOR")</f>
        <v>REPAIR - TRACTOR</v>
      </c>
      <c r="J221" s="72" t="str">
        <f>IFERROR(__xludf.DUMMYFUNCTION("""COMPUTED_VALUE"""),"Electrical - PTO Switch")</f>
        <v>Electrical - PTO Switch</v>
      </c>
      <c r="K221" s="72" t="str">
        <f>IFERROR(__xludf.DUMMYFUNCTION("""COMPUTED_VALUE"""),"JTT: PTO STOCK: ASAP NASA GITNA NG BUKID")</f>
        <v>JTT: PTO STOCK: ASAP NASA GITNA NG BUKID</v>
      </c>
      <c r="L221" s="72" t="str">
        <f>IFERROR(__xludf.DUMMYFUNCTION("""COMPUTED_VALUE"""),"JTT: REPAIR PTO SWITCH, OPERATIONAL")</f>
        <v>JTT: REPAIR PTO SWITCH, OPERATIONAL</v>
      </c>
      <c r="M221" s="2"/>
      <c r="N221" s="2"/>
      <c r="O221" s="2" t="str">
        <f>IFERROR(__xludf.DUMMYFUNCTION("""COMPUTED_VALUE"""),"JIE-097")</f>
        <v>JIE-097</v>
      </c>
      <c r="P221" s="2"/>
      <c r="Q221" s="2"/>
      <c r="R221" s="74">
        <f>IFERROR(__xludf.DUMMYFUNCTION("""COMPUTED_VALUE"""),45454.0)</f>
        <v>45454</v>
      </c>
      <c r="S221" s="2" t="str">
        <f>IFERROR(__xludf.DUMMYFUNCTION("""COMPUTED_VALUE"""),"JTT")</f>
        <v>JTT</v>
      </c>
      <c r="T221" s="73" t="str">
        <f>IFERROR(__xludf.DUMMYFUNCTION("""COMPUTED_VALUE""")," N/A ")</f>
        <v>N/A</v>
      </c>
      <c r="U221" s="73" t="str">
        <f>IFERROR(__xludf.DUMMYFUNCTION("""COMPUTED_VALUE""")," NO CHARGE ")</f>
        <v>NO CHARGE</v>
      </c>
      <c r="V221" s="2"/>
      <c r="W221" s="2" t="str">
        <f>IFERROR(__xludf.DUMMYFUNCTION("""COMPUTED_VALUE"""),"N/A")</f>
        <v>N/A</v>
      </c>
      <c r="X221" s="2" t="str">
        <f>IFERROR(__xludf.DUMMYFUNCTION("""COMPUTED_VALUE"""),"N/A")</f>
        <v>N/A</v>
      </c>
      <c r="Y221" s="2"/>
      <c r="Z221" s="2"/>
      <c r="AA221" s="2"/>
      <c r="AB221" s="2"/>
      <c r="AC221" s="2"/>
      <c r="AD221" s="2"/>
      <c r="AE221" s="2"/>
      <c r="AF221" s="2"/>
      <c r="AG221" s="2"/>
      <c r="AH221" s="2"/>
      <c r="AI221" s="2"/>
      <c r="AJ221" s="2" t="str">
        <f>IFERROR(__xludf.DUMMYFUNCTION("""COMPUTED_VALUE"""),"Tumbaga I")</f>
        <v>Tumbaga I</v>
      </c>
      <c r="AK221" s="2" t="str">
        <f>IFERROR(__xludf.DUMMYFUNCTION("""COMPUTED_VALUE"""),"Sariaya")</f>
        <v>Sariaya</v>
      </c>
      <c r="AL221" s="2" t="str">
        <f>IFERROR(__xludf.DUMMYFUNCTION("""COMPUTED_VALUE"""),"Quezon")</f>
        <v>Quezon</v>
      </c>
      <c r="AM221" s="2" t="str">
        <f>IFERROR(__xludf.DUMMYFUNCTION("""COMPUTED_VALUE"""),"4A")</f>
        <v>4A</v>
      </c>
      <c r="AN221" s="2" t="str">
        <f>IFERROR(__xludf.DUMMYFUNCTION("""COMPUTED_VALUE"""),"RCEF 23-08-20 Rebidding")</f>
        <v>RCEF 23-08-20 Rebidding</v>
      </c>
      <c r="AO221" s="2">
        <f>IFERROR(__xludf.DUMMYFUNCTION("""COMPUTED_VALUE"""),1.0)</f>
        <v>1</v>
      </c>
      <c r="AP221" s="2"/>
      <c r="AQ221" s="2"/>
      <c r="AR221" s="2"/>
      <c r="AS221" s="2"/>
      <c r="AT221" s="2"/>
      <c r="AU221" s="2"/>
      <c r="AV221" s="2"/>
      <c r="AW221" s="2"/>
      <c r="AX221" s="2"/>
      <c r="AY221" s="2"/>
      <c r="AZ221" s="2"/>
      <c r="BA221" s="2"/>
      <c r="BB221" s="2"/>
    </row>
    <row r="222">
      <c r="A222" s="2">
        <f>IFERROR(__xludf.DUMMYFUNCTION("""COMPUTED_VALUE"""),218.0)</f>
        <v>218</v>
      </c>
      <c r="B222" s="2" t="str">
        <f>IFERROR(__xludf.DUMMYFUNCTION("""COMPUTED_VALUE"""),"COMPLETED")</f>
        <v>COMPLETED</v>
      </c>
      <c r="C222" s="74">
        <f>IFERROR(__xludf.DUMMYFUNCTION("""COMPUTED_VALUE"""),45453.0)</f>
        <v>45453</v>
      </c>
      <c r="D222" s="71" t="str">
        <f>IFERROR(__xludf.DUMMYFUNCTION("""COMPUTED_VALUE"""),"One Binyayan Farmers Agriculture Cooperative")</f>
        <v>One Binyayan Farmers Agriculture Cooperative</v>
      </c>
      <c r="E222" s="71" t="str">
        <f>IFERROR(__xludf.DUMMYFUNCTION("""COMPUTED_VALUE"""),"O'Donnell, Capas, TARLAC")</f>
        <v>O'Donnell, Capas, TARLAC</v>
      </c>
      <c r="F222" s="2" t="str">
        <f>IFERROR(__xludf.DUMMYFUNCTION("""COMPUTED_VALUE"""),"AURELIA M. VISTAN")</f>
        <v>AURELIA M. VISTAN</v>
      </c>
      <c r="G222" s="2">
        <f>IFERROR(__xludf.DUMMYFUNCTION("""COMPUTED_VALUE"""),9.087165492E9)</f>
        <v>9087165492</v>
      </c>
      <c r="H222" s="2"/>
      <c r="I222" s="72" t="str">
        <f>IFERROR(__xludf.DUMMYFUNCTION("""COMPUTED_VALUE"""),"REPAIR - TRACTOR")</f>
        <v>REPAIR - TRACTOR</v>
      </c>
      <c r="J222" s="72" t="str">
        <f>IFERROR(__xludf.DUMMYFUNCTION("""COMPUTED_VALUE"""),"CHECK UP UNIT")</f>
        <v>CHECK UP UNIT</v>
      </c>
      <c r="K222" s="72" t="str">
        <f>IFERROR(__xludf.DUMMYFUNCTION("""COMPUTED_VALUE"""),"ERP: OVERHEAT, (SENSOR MULFUNCTION) ROTABATOR DURING UP DOWN, ROTABATOR DESIGN WEAKNESS, CLOGGED WHEN WEEDED AND CLAY TYPE SOIL, HYDRAULIC UP DOWN TROUBLE")</f>
        <v>ERP: OVERHEAT, (SENSOR MULFUNCTION) ROTABATOR DURING UP DOWN, ROTABATOR DESIGN WEAKNESS, CLOGGED WHEN WEEDED AND CLAY TYPE SOIL, HYDRAULIC UP DOWN TROUBLE</v>
      </c>
      <c r="L222" s="72" t="str">
        <f>IFERROR(__xludf.DUMMYFUNCTION("""COMPUTED_VALUE"""),"ACS: ROTAVATOR PROBLEM OK NA PO")</f>
        <v>ACS: ROTAVATOR PROBLEM OK NA PO</v>
      </c>
      <c r="M222" s="2"/>
      <c r="N222" s="2"/>
      <c r="O222" s="2" t="str">
        <f>IFERROR(__xludf.DUMMYFUNCTION("""COMPUTED_VALUE"""),"JIE-804")</f>
        <v>JIE-804</v>
      </c>
      <c r="P222" s="2"/>
      <c r="Q222" s="2"/>
      <c r="R222" s="74">
        <f>IFERROR(__xludf.DUMMYFUNCTION("""COMPUTED_VALUE"""),45456.0)</f>
        <v>45456</v>
      </c>
      <c r="S222" s="2" t="str">
        <f>IFERROR(__xludf.DUMMYFUNCTION("""COMPUTED_VALUE"""),"JHP/ACS")</f>
        <v>JHP/ACS</v>
      </c>
      <c r="T222" s="73" t="str">
        <f>IFERROR(__xludf.DUMMYFUNCTION("""COMPUTED_VALUE""")," N/A ")</f>
        <v>N/A</v>
      </c>
      <c r="U222" s="73" t="str">
        <f>IFERROR(__xludf.DUMMYFUNCTION("""COMPUTED_VALUE""")," NO CHARGE ")</f>
        <v>NO CHARGE</v>
      </c>
      <c r="V222" s="2"/>
      <c r="W222" s="2" t="str">
        <f>IFERROR(__xludf.DUMMYFUNCTION("""COMPUTED_VALUE"""),"N/A")</f>
        <v>N/A</v>
      </c>
      <c r="X222" s="2" t="str">
        <f>IFERROR(__xludf.DUMMYFUNCTION("""COMPUTED_VALUE"""),"N/A")</f>
        <v>N/A</v>
      </c>
      <c r="Y222" s="2"/>
      <c r="Z222" s="2"/>
      <c r="AA222" s="2"/>
      <c r="AB222" s="2"/>
      <c r="AC222" s="2"/>
      <c r="AD222" s="2"/>
      <c r="AE222" s="2"/>
      <c r="AF222" s="2"/>
      <c r="AG222" s="2"/>
      <c r="AH222" s="2"/>
      <c r="AI222" s="2"/>
      <c r="AJ222" s="2" t="str">
        <f>IFERROR(__xludf.DUMMYFUNCTION("""COMPUTED_VALUE"""),"O'Donnell")</f>
        <v>O'Donnell</v>
      </c>
      <c r="AK222" s="2" t="str">
        <f>IFERROR(__xludf.DUMMYFUNCTION("""COMPUTED_VALUE"""),"Capas")</f>
        <v>Capas</v>
      </c>
      <c r="AL222" s="2" t="str">
        <f>IFERROR(__xludf.DUMMYFUNCTION("""COMPUTED_VALUE"""),"Tarlac")</f>
        <v>Tarlac</v>
      </c>
      <c r="AM222" s="2">
        <f>IFERROR(__xludf.DUMMYFUNCTION("""COMPUTED_VALUE"""),3.0)</f>
        <v>3</v>
      </c>
      <c r="AN222" s="2" t="str">
        <f>IFERROR(__xludf.DUMMYFUNCTION("""COMPUTED_VALUE"""),"RCEF 23-09-21 Rebidding")</f>
        <v>RCEF 23-09-21 Rebidding</v>
      </c>
      <c r="AO222" s="2">
        <f>IFERROR(__xludf.DUMMYFUNCTION("""COMPUTED_VALUE"""),3.0)</f>
        <v>3</v>
      </c>
      <c r="AP222" s="2"/>
      <c r="AQ222" s="2"/>
      <c r="AR222" s="2"/>
      <c r="AS222" s="2"/>
      <c r="AT222" s="2"/>
      <c r="AU222" s="2"/>
      <c r="AV222" s="2"/>
      <c r="AW222" s="2"/>
      <c r="AX222" s="2"/>
      <c r="AY222" s="2"/>
      <c r="AZ222" s="2"/>
      <c r="BA222" s="2"/>
      <c r="BB222" s="2"/>
    </row>
    <row r="223">
      <c r="A223" s="2">
        <f>IFERROR(__xludf.DUMMYFUNCTION("""COMPUTED_VALUE"""),219.0)</f>
        <v>219</v>
      </c>
      <c r="B223" s="2" t="str">
        <f>IFERROR(__xludf.DUMMYFUNCTION("""COMPUTED_VALUE"""),"COMPLETED")</f>
        <v>COMPLETED</v>
      </c>
      <c r="C223" s="74">
        <f>IFERROR(__xludf.DUMMYFUNCTION("""COMPUTED_VALUE"""),45453.0)</f>
        <v>45453</v>
      </c>
      <c r="D223" s="71" t="str">
        <f>IFERROR(__xludf.DUMMYFUNCTION("""COMPUTED_VALUE"""),"TAMBUGAN FARMERS ASSOCIATION")</f>
        <v>TAMBUGAN FARMERS ASSOCIATION</v>
      </c>
      <c r="E223" s="71" t="str">
        <f>IFERROR(__xludf.DUMMYFUNCTION("""COMPUTED_VALUE"""),"Tambugan, Camiling, TARLAC")</f>
        <v>Tambugan, Camiling, TARLAC</v>
      </c>
      <c r="F223" s="2" t="str">
        <f>IFERROR(__xludf.DUMMYFUNCTION("""COMPUTED_VALUE"""),"REYNALDO DATUIN")</f>
        <v>REYNALDO DATUIN</v>
      </c>
      <c r="G223" s="2">
        <f>IFERROR(__xludf.DUMMYFUNCTION("""COMPUTED_VALUE"""),9.40537727E8)</f>
        <v>940537727</v>
      </c>
      <c r="H223" s="2">
        <f>IFERROR(__xludf.DUMMYFUNCTION("""COMPUTED_VALUE"""),162.2)</f>
        <v>162.2</v>
      </c>
      <c r="I223" s="72" t="str">
        <f>IFERROR(__xludf.DUMMYFUNCTION("""COMPUTED_VALUE"""),"SPARE PARTS ACQUISITION")</f>
        <v>SPARE PARTS ACQUISITION</v>
      </c>
      <c r="J223" s="72" t="str">
        <f>IFERROR(__xludf.DUMMYFUNCTION("""COMPUTED_VALUE"""),"SPARE PARTS ACQUISITION")</f>
        <v>SPARE PARTS ACQUISITION</v>
      </c>
      <c r="K223" s="72" t="str">
        <f>IFERROR(__xludf.DUMMYFUNCTION("""COMPUTED_VALUE"""),"KFS: WECAN ROTAVATOR TRANSMISSION ROTAVATOR WR1750 LSGW, ROTAVATOR PROBLEM")</f>
        <v>KFS: WECAN ROTAVATOR TRANSMISSION ROTAVATOR WR1750 LSGW, ROTAVATOR PROBLEM</v>
      </c>
      <c r="L223" s="72" t="str">
        <f>IFERROR(__xludf.DUMMYFUNCTION("""COMPUTED_VALUE"""),"ACS: OK NA ANG ROTAVATOR, OIL FILTER PAID BY FCA")</f>
        <v>ACS: OK NA ANG ROTAVATOR, OIL FILTER PAID BY FCA</v>
      </c>
      <c r="M223" s="2"/>
      <c r="N223" s="2"/>
      <c r="O223" s="2" t="str">
        <f>IFERROR(__xludf.DUMMYFUNCTION("""COMPUTED_VALUE"""),"JIE-805")</f>
        <v>JIE-805</v>
      </c>
      <c r="P223" s="2"/>
      <c r="Q223" s="2"/>
      <c r="R223" s="74">
        <f>IFERROR(__xludf.DUMMYFUNCTION("""COMPUTED_VALUE"""),45457.0)</f>
        <v>45457</v>
      </c>
      <c r="S223" s="2" t="str">
        <f>IFERROR(__xludf.DUMMYFUNCTION("""COMPUTED_VALUE"""),"ACS/JHP")</f>
        <v>ACS/JHP</v>
      </c>
      <c r="T223" s="73">
        <f>IFERROR(__xludf.DUMMYFUNCTION("""COMPUTED_VALUE"""),2837.5)</f>
        <v>2837.5</v>
      </c>
      <c r="U223" s="73" t="str">
        <f>IFERROR(__xludf.DUMMYFUNCTION("""COMPUTED_VALUE""")," REMITTED ")</f>
        <v>REMITTED</v>
      </c>
      <c r="V223" s="2"/>
      <c r="W223" s="2"/>
      <c r="X223" s="2"/>
      <c r="Y223" s="2"/>
      <c r="Z223" s="2"/>
      <c r="AA223" s="2"/>
      <c r="AB223" s="2"/>
      <c r="AC223" s="2"/>
      <c r="AD223" s="2"/>
      <c r="AE223" s="2"/>
      <c r="AF223" s="2"/>
      <c r="AG223" s="2"/>
      <c r="AH223" s="2"/>
      <c r="AI223" s="2"/>
      <c r="AJ223" s="2" t="str">
        <f>IFERROR(__xludf.DUMMYFUNCTION("""COMPUTED_VALUE"""),"Tambugan")</f>
        <v>Tambugan</v>
      </c>
      <c r="AK223" s="2" t="str">
        <f>IFERROR(__xludf.DUMMYFUNCTION("""COMPUTED_VALUE"""),"Camiling")</f>
        <v>Camiling</v>
      </c>
      <c r="AL223" s="2" t="str">
        <f>IFERROR(__xludf.DUMMYFUNCTION("""COMPUTED_VALUE"""),"Tarlac")</f>
        <v>Tarlac</v>
      </c>
      <c r="AM223" s="2">
        <f>IFERROR(__xludf.DUMMYFUNCTION("""COMPUTED_VALUE"""),3.0)</f>
        <v>3</v>
      </c>
      <c r="AN223" s="2" t="str">
        <f>IFERROR(__xludf.DUMMYFUNCTION("""COMPUTED_VALUE"""),"RCEF 23-09-21 Rebidding")</f>
        <v>RCEF 23-09-21 Rebidding</v>
      </c>
      <c r="AO223" s="2">
        <f>IFERROR(__xludf.DUMMYFUNCTION("""COMPUTED_VALUE"""),3.0)</f>
        <v>3</v>
      </c>
      <c r="AP223" s="2"/>
      <c r="AQ223" s="2"/>
      <c r="AR223" s="2"/>
      <c r="AS223" s="2"/>
      <c r="AT223" s="2"/>
      <c r="AU223" s="2"/>
      <c r="AV223" s="2"/>
      <c r="AW223" s="2"/>
      <c r="AX223" s="2"/>
      <c r="AY223" s="2"/>
      <c r="AZ223" s="2"/>
      <c r="BA223" s="2"/>
      <c r="BB223" s="2"/>
    </row>
    <row r="224">
      <c r="A224" s="2">
        <f>IFERROR(__xludf.DUMMYFUNCTION("""COMPUTED_VALUE"""),220.0)</f>
        <v>220</v>
      </c>
      <c r="B224" s="2" t="str">
        <f>IFERROR(__xludf.DUMMYFUNCTION("""COMPUTED_VALUE"""),"COMPLETED")</f>
        <v>COMPLETED</v>
      </c>
      <c r="C224" s="74">
        <f>IFERROR(__xludf.DUMMYFUNCTION("""COMPUTED_VALUE"""),45453.0)</f>
        <v>45453</v>
      </c>
      <c r="D224" s="71" t="str">
        <f>IFERROR(__xludf.DUMMYFUNCTION("""COMPUTED_VALUE"""),"SAN MACARIO FARMER'S ASSOCIATION")</f>
        <v>SAN MACARIO FARMER'S ASSOCIATION</v>
      </c>
      <c r="E224" s="71" t="str">
        <f>IFERROR(__xludf.DUMMYFUNCTION("""COMPUTED_VALUE"""),"San Macario, Delfin Albano, ISABELA")</f>
        <v>San Macario, Delfin Albano, ISABELA</v>
      </c>
      <c r="F224" s="2" t="str">
        <f>IFERROR(__xludf.DUMMYFUNCTION("""COMPUTED_VALUE"""),"ARIEL BIDES")</f>
        <v>ARIEL BIDES</v>
      </c>
      <c r="G224" s="2">
        <f>IFERROR(__xludf.DUMMYFUNCTION("""COMPUTED_VALUE"""),9.263610336E9)</f>
        <v>9263610336</v>
      </c>
      <c r="H224" s="2">
        <f>IFERROR(__xludf.DUMMYFUNCTION("""COMPUTED_VALUE"""),60.0)</f>
        <v>60</v>
      </c>
      <c r="I224" s="72" t="str">
        <f>IFERROR(__xludf.DUMMYFUNCTION("""COMPUTED_VALUE"""),"PMS")</f>
        <v>PMS</v>
      </c>
      <c r="J224" s="72" t="str">
        <f>IFERROR(__xludf.DUMMYFUNCTION("""COMPUTED_VALUE"""),"PMS")</f>
        <v>PMS</v>
      </c>
      <c r="K224" s="72" t="str">
        <f>IFERROR(__xludf.DUMMYFUNCTION("""COMPUTED_VALUE"""),"ERP: FIRST PMS   CJ:SELF PMS")</f>
        <v>ERP: FIRST PMS   CJ:SELF PMS</v>
      </c>
      <c r="L224" s="72" t="str">
        <f>IFERROR(__xludf.DUMMYFUNCTION("""COMPUTED_VALUE"""),"SELF PMS: SEND AGREEMENT:FB: Mahnel BongTamayo Balucas Misdao: AGREEMENT SENT: FOR PRINT")</f>
        <v>SELF PMS: SEND AGREEMENT:FB: Mahnel BongTamayo Balucas Misdao: AGREEMENT SENT: FOR PRINT</v>
      </c>
      <c r="M224" s="2"/>
      <c r="N224" s="2"/>
      <c r="O224" s="2" t="str">
        <f>IFERROR(__xludf.DUMMYFUNCTION("""COMPUTED_VALUE"""),"N/A")</f>
        <v>N/A</v>
      </c>
      <c r="P224" s="2"/>
      <c r="Q224" s="2"/>
      <c r="R224" s="74">
        <f>IFERROR(__xludf.DUMMYFUNCTION("""COMPUTED_VALUE"""),45453.0)</f>
        <v>45453</v>
      </c>
      <c r="S224" s="2" t="str">
        <f>IFERROR(__xludf.DUMMYFUNCTION("""COMPUTED_VALUE"""),"MYKEE")</f>
        <v>MYKEE</v>
      </c>
      <c r="T224" s="73" t="str">
        <f>IFERROR(__xludf.DUMMYFUNCTION("""COMPUTED_VALUE""")," N/A ")</f>
        <v>N/A</v>
      </c>
      <c r="U224" s="73" t="str">
        <f>IFERROR(__xludf.DUMMYFUNCTION("""COMPUTED_VALUE""")," NO CHARGE ")</f>
        <v>NO CHARGE</v>
      </c>
      <c r="V224" s="2"/>
      <c r="W224" s="2" t="str">
        <f>IFERROR(__xludf.DUMMYFUNCTION("""COMPUTED_VALUE"""),"N/A")</f>
        <v>N/A</v>
      </c>
      <c r="X224" s="2" t="str">
        <f>IFERROR(__xludf.DUMMYFUNCTION("""COMPUTED_VALUE"""),"N/A")</f>
        <v>N/A</v>
      </c>
      <c r="Y224" s="2"/>
      <c r="Z224" s="2"/>
      <c r="AA224" s="2"/>
      <c r="AB224" s="2"/>
      <c r="AC224" s="2"/>
      <c r="AD224" s="2"/>
      <c r="AE224" s="2"/>
      <c r="AF224" s="2"/>
      <c r="AG224" s="2"/>
      <c r="AH224" s="2"/>
      <c r="AI224" s="2"/>
      <c r="AJ224" s="2" t="str">
        <f>IFERROR(__xludf.DUMMYFUNCTION("""COMPUTED_VALUE"""),"San Macario")</f>
        <v>San Macario</v>
      </c>
      <c r="AK224" s="2" t="str">
        <f>IFERROR(__xludf.DUMMYFUNCTION("""COMPUTED_VALUE"""),"Delfin Albano")</f>
        <v>Delfin Albano</v>
      </c>
      <c r="AL224" s="2" t="str">
        <f>IFERROR(__xludf.DUMMYFUNCTION("""COMPUTED_VALUE"""),"Isabela")</f>
        <v>Isabela</v>
      </c>
      <c r="AM224" s="2">
        <f>IFERROR(__xludf.DUMMYFUNCTION("""COMPUTED_VALUE"""),2.0)</f>
        <v>2</v>
      </c>
      <c r="AN224" s="2" t="str">
        <f>IFERROR(__xludf.DUMMYFUNCTION("""COMPUTED_VALUE"""),"RCEF 23-09-21 Rebidding")</f>
        <v>RCEF 23-09-21 Rebidding</v>
      </c>
      <c r="AO224" s="2">
        <f>IFERROR(__xludf.DUMMYFUNCTION("""COMPUTED_VALUE"""),9.0)</f>
        <v>9</v>
      </c>
      <c r="AP224" s="2"/>
      <c r="AQ224" s="2"/>
      <c r="AR224" s="2"/>
      <c r="AS224" s="2"/>
      <c r="AT224" s="2"/>
      <c r="AU224" s="2"/>
      <c r="AV224" s="2"/>
      <c r="AW224" s="2"/>
      <c r="AX224" s="2"/>
      <c r="AY224" s="2"/>
      <c r="AZ224" s="2"/>
      <c r="BA224" s="2"/>
      <c r="BB224" s="2"/>
    </row>
    <row r="225">
      <c r="A225" s="2">
        <f>IFERROR(__xludf.DUMMYFUNCTION("""COMPUTED_VALUE"""),221.0)</f>
        <v>221</v>
      </c>
      <c r="B225" s="2" t="str">
        <f>IFERROR(__xludf.DUMMYFUNCTION("""COMPUTED_VALUE"""),"COMPLETED")</f>
        <v>COMPLETED</v>
      </c>
      <c r="C225" s="74">
        <f>IFERROR(__xludf.DUMMYFUNCTION("""COMPUTED_VALUE"""),45453.0)</f>
        <v>45453</v>
      </c>
      <c r="D225" s="71" t="str">
        <f>IFERROR(__xludf.DUMMYFUNCTION("""COMPUTED_VALUE"""),"DTC-PRO Farmers Irrigators' Association, Inc.")</f>
        <v>DTC-PRO Farmers Irrigators' Association, Inc.</v>
      </c>
      <c r="E225" s="71" t="str">
        <f>IFERROR(__xludf.DUMMYFUNCTION("""COMPUTED_VALUE"""),"Dumga, Makato, AKLAN")</f>
        <v>Dumga, Makato, AKLAN</v>
      </c>
      <c r="F225" s="2" t="str">
        <f>IFERROR(__xludf.DUMMYFUNCTION("""COMPUTED_VALUE"""),"RAMON TOGOTO")</f>
        <v>RAMON TOGOTO</v>
      </c>
      <c r="G225" s="2">
        <f>IFERROR(__xludf.DUMMYFUNCTION("""COMPUTED_VALUE"""),9.099293299E9)</f>
        <v>9099293299</v>
      </c>
      <c r="H225" s="2">
        <f>IFERROR(__xludf.DUMMYFUNCTION("""COMPUTED_VALUE"""),18.3)</f>
        <v>18.3</v>
      </c>
      <c r="I225" s="72" t="str">
        <f>IFERROR(__xludf.DUMMYFUNCTION("""COMPUTED_VALUE"""),"REPAIR - TRACTOR")</f>
        <v>REPAIR - TRACTOR</v>
      </c>
      <c r="J225" s="72" t="str">
        <f>IFERROR(__xludf.DUMMYFUNCTION("""COMPUTED_VALUE"""),"Electrical - PTO Switch")</f>
        <v>Electrical - PTO Switch</v>
      </c>
      <c r="K225" s="72" t="str">
        <f>IFERROR(__xludf.DUMMYFUNCTION("""COMPUTED_VALUE"""),"ERP: PTO CONCERN  PARTS: PTO SWITCH
CCB: 7/1/24: HINDI KO MUNA KINABITAN NG PTO SWITCH KASI WALA PANG PAYMENT")</f>
        <v>ERP: PTO CONCERN  PARTS: PTO SWITCH
CCB: 7/1/24: HINDI KO MUNA KINABITAN NG PTO SWITCH KASI WALA PANG PAYMENT</v>
      </c>
      <c r="L225" s="72" t="str">
        <f>IFERROR(__xludf.DUMMYFUNCTION("""COMPUTED_VALUE"""),"CANCELLED")</f>
        <v>CANCELLED</v>
      </c>
      <c r="M225" s="2"/>
      <c r="N225" s="2" t="str">
        <f>IFERROR(__xludf.DUMMYFUNCTION("""COMPUTED_VALUE"""),"CANCELLED")</f>
        <v>CANCELLED</v>
      </c>
      <c r="O225" s="2" t="str">
        <f>IFERROR(__xludf.DUMMYFUNCTION("""COMPUTED_VALUE"""),"CANCELLED")</f>
        <v>CANCELLED</v>
      </c>
      <c r="P225" s="2"/>
      <c r="Q225" s="2"/>
      <c r="R225" s="74">
        <f>IFERROR(__xludf.DUMMYFUNCTION("""COMPUTED_VALUE"""),45523.0)</f>
        <v>45523</v>
      </c>
      <c r="S225" s="2" t="str">
        <f>IFERROR(__xludf.DUMMYFUNCTION("""COMPUTED_VALUE"""),"CCB")</f>
        <v>CCB</v>
      </c>
      <c r="T225" s="73" t="str">
        <f>IFERROR(__xludf.DUMMYFUNCTION("""COMPUTED_VALUE""")," N/A ")</f>
        <v>N/A</v>
      </c>
      <c r="U225" s="73" t="str">
        <f>IFERROR(__xludf.DUMMYFUNCTION("""COMPUTED_VALUE""")," NO CHARGE ")</f>
        <v>NO CHARGE</v>
      </c>
      <c r="V225" s="2"/>
      <c r="W225" s="2" t="str">
        <f>IFERROR(__xludf.DUMMYFUNCTION("""COMPUTED_VALUE"""),"N/A")</f>
        <v>N/A</v>
      </c>
      <c r="X225" s="2" t="str">
        <f>IFERROR(__xludf.DUMMYFUNCTION("""COMPUTED_VALUE"""),"N/A")</f>
        <v>N/A</v>
      </c>
      <c r="Y225" s="2"/>
      <c r="Z225" s="2"/>
      <c r="AA225" s="2"/>
      <c r="AB225" s="2"/>
      <c r="AC225" s="2"/>
      <c r="AD225" s="2"/>
      <c r="AE225" s="2"/>
      <c r="AF225" s="2"/>
      <c r="AG225" s="2"/>
      <c r="AH225" s="2"/>
      <c r="AI225" s="2"/>
      <c r="AJ225" s="2" t="str">
        <f>IFERROR(__xludf.DUMMYFUNCTION("""COMPUTED_VALUE"""),"Dumga")</f>
        <v>Dumga</v>
      </c>
      <c r="AK225" s="2" t="str">
        <f>IFERROR(__xludf.DUMMYFUNCTION("""COMPUTED_VALUE"""),"Makato")</f>
        <v>Makato</v>
      </c>
      <c r="AL225" s="2" t="str">
        <f>IFERROR(__xludf.DUMMYFUNCTION("""COMPUTED_VALUE"""),"Aklan")</f>
        <v>Aklan</v>
      </c>
      <c r="AM225" s="2">
        <f>IFERROR(__xludf.DUMMYFUNCTION("""COMPUTED_VALUE"""),6.0)</f>
        <v>6</v>
      </c>
      <c r="AN225" s="2" t="str">
        <f>IFERROR(__xludf.DUMMYFUNCTION("""COMPUTED_VALUE"""),"RCEF 23-09-21 Rebidding")</f>
        <v>RCEF 23-09-21 Rebidding</v>
      </c>
      <c r="AO225" s="2">
        <f>IFERROR(__xludf.DUMMYFUNCTION("""COMPUTED_VALUE"""),4.0)</f>
        <v>4</v>
      </c>
      <c r="AP225" s="2"/>
      <c r="AQ225" s="2"/>
      <c r="AR225" s="2"/>
      <c r="AS225" s="2"/>
      <c r="AT225" s="2"/>
      <c r="AU225" s="2"/>
      <c r="AV225" s="2"/>
      <c r="AW225" s="2"/>
      <c r="AX225" s="2"/>
      <c r="AY225" s="2"/>
      <c r="AZ225" s="2"/>
      <c r="BA225" s="2"/>
      <c r="BB225" s="2"/>
    </row>
    <row r="226">
      <c r="A226" s="2">
        <f>IFERROR(__xludf.DUMMYFUNCTION("""COMPUTED_VALUE"""),222.0)</f>
        <v>222</v>
      </c>
      <c r="B226" s="2" t="str">
        <f>IFERROR(__xludf.DUMMYFUNCTION("""COMPUTED_VALUE"""),"COMPLETED")</f>
        <v>COMPLETED</v>
      </c>
      <c r="C226" s="74">
        <f>IFERROR(__xludf.DUMMYFUNCTION("""COMPUTED_VALUE"""),45453.0)</f>
        <v>45453</v>
      </c>
      <c r="D226" s="71" t="str">
        <f>IFERROR(__xludf.DUMMYFUNCTION("""COMPUTED_VALUE"""),"Cordova Sur Farmers Association")</f>
        <v>Cordova Sur Farmers Association</v>
      </c>
      <c r="E226" s="71" t="str">
        <f>IFERROR(__xludf.DUMMYFUNCTION("""COMPUTED_VALUE"""),"Cordova Sur, Tigbauan, ILOILO")</f>
        <v>Cordova Sur, Tigbauan, ILOILO</v>
      </c>
      <c r="F226" s="2" t="str">
        <f>IFERROR(__xludf.DUMMYFUNCTION("""COMPUTED_VALUE"""),"REYNALDO CANSANCIO")</f>
        <v>REYNALDO CANSANCIO</v>
      </c>
      <c r="G226" s="2">
        <f>IFERROR(__xludf.DUMMYFUNCTION("""COMPUTED_VALUE"""),9.818094235E9)</f>
        <v>9818094235</v>
      </c>
      <c r="H226" s="2">
        <f>IFERROR(__xludf.DUMMYFUNCTION("""COMPUTED_VALUE"""),55.0)</f>
        <v>55</v>
      </c>
      <c r="I226" s="72" t="str">
        <f>IFERROR(__xludf.DUMMYFUNCTION("""COMPUTED_VALUE"""),"PMS")</f>
        <v>PMS</v>
      </c>
      <c r="J226" s="72" t="str">
        <f>IFERROR(__xludf.DUMMYFUNCTION("""COMPUTED_VALUE"""),"PMS")</f>
        <v>PMS</v>
      </c>
      <c r="K226" s="72" t="str">
        <f>IFERROR(__xludf.DUMMYFUNCTION("""COMPUTED_VALUE"""),"CCB: FIRTS PMS: SELF PMS")</f>
        <v>CCB: FIRTS PMS: SELF PMS</v>
      </c>
      <c r="L226" s="72" t="str">
        <f>IFERROR(__xludf.DUMMYFUNCTION("""COMPUTED_VALUE"""),"SELF PMS: SEND AGREEMENT: FB: Reynaldo Cansancio: AGREEMENT SENT: FOR PRINT")</f>
        <v>SELF PMS: SEND AGREEMENT: FB: Reynaldo Cansancio: AGREEMENT SENT: FOR PRINT</v>
      </c>
      <c r="M226" s="2"/>
      <c r="N226" s="2"/>
      <c r="O226" s="2" t="str">
        <f>IFERROR(__xludf.DUMMYFUNCTION("""COMPUTED_VALUE"""),"N/A")</f>
        <v>N/A</v>
      </c>
      <c r="P226" s="2"/>
      <c r="Q226" s="2"/>
      <c r="R226" s="74">
        <f>IFERROR(__xludf.DUMMYFUNCTION("""COMPUTED_VALUE"""),45453.0)</f>
        <v>45453</v>
      </c>
      <c r="S226" s="2" t="str">
        <f>IFERROR(__xludf.DUMMYFUNCTION("""COMPUTED_VALUE"""),"MYKEE")</f>
        <v>MYKEE</v>
      </c>
      <c r="T226" s="73" t="str">
        <f>IFERROR(__xludf.DUMMYFUNCTION("""COMPUTED_VALUE""")," N/A ")</f>
        <v>N/A</v>
      </c>
      <c r="U226" s="73" t="str">
        <f>IFERROR(__xludf.DUMMYFUNCTION("""COMPUTED_VALUE""")," NO CHARGE ")</f>
        <v>NO CHARGE</v>
      </c>
      <c r="V226" s="2"/>
      <c r="W226" s="2" t="str">
        <f>IFERROR(__xludf.DUMMYFUNCTION("""COMPUTED_VALUE"""),"N/A")</f>
        <v>N/A</v>
      </c>
      <c r="X226" s="2" t="str">
        <f>IFERROR(__xludf.DUMMYFUNCTION("""COMPUTED_VALUE"""),"N/A")</f>
        <v>N/A</v>
      </c>
      <c r="Y226" s="2"/>
      <c r="Z226" s="2"/>
      <c r="AA226" s="2"/>
      <c r="AB226" s="2"/>
      <c r="AC226" s="2"/>
      <c r="AD226" s="2"/>
      <c r="AE226" s="2"/>
      <c r="AF226" s="2"/>
      <c r="AG226" s="2"/>
      <c r="AH226" s="2"/>
      <c r="AI226" s="2"/>
      <c r="AJ226" s="2" t="str">
        <f>IFERROR(__xludf.DUMMYFUNCTION("""COMPUTED_VALUE"""),"Cordova Sur")</f>
        <v>Cordova Sur</v>
      </c>
      <c r="AK226" s="2" t="str">
        <f>IFERROR(__xludf.DUMMYFUNCTION("""COMPUTED_VALUE"""),"Tigbauan")</f>
        <v>Tigbauan</v>
      </c>
      <c r="AL226" s="2" t="str">
        <f>IFERROR(__xludf.DUMMYFUNCTION("""COMPUTED_VALUE"""),"Iloilo")</f>
        <v>Iloilo</v>
      </c>
      <c r="AM226" s="2">
        <f>IFERROR(__xludf.DUMMYFUNCTION("""COMPUTED_VALUE"""),6.0)</f>
        <v>6</v>
      </c>
      <c r="AN226" s="2" t="str">
        <f>IFERROR(__xludf.DUMMYFUNCTION("""COMPUTED_VALUE"""),"RCEF 23-09-21 Rebidding")</f>
        <v>RCEF 23-09-21 Rebidding</v>
      </c>
      <c r="AO226" s="2">
        <f>IFERROR(__xludf.DUMMYFUNCTION("""COMPUTED_VALUE"""),4.0)</f>
        <v>4</v>
      </c>
      <c r="AP226" s="2"/>
      <c r="AQ226" s="2"/>
      <c r="AR226" s="2"/>
      <c r="AS226" s="2"/>
      <c r="AT226" s="2"/>
      <c r="AU226" s="2"/>
      <c r="AV226" s="2"/>
      <c r="AW226" s="2"/>
      <c r="AX226" s="2"/>
      <c r="AY226" s="2"/>
      <c r="AZ226" s="2"/>
      <c r="BA226" s="2"/>
      <c r="BB226" s="2"/>
    </row>
    <row r="227">
      <c r="A227" s="2">
        <f>IFERROR(__xludf.DUMMYFUNCTION("""COMPUTED_VALUE"""),223.0)</f>
        <v>223</v>
      </c>
      <c r="B227" s="2" t="str">
        <f>IFERROR(__xludf.DUMMYFUNCTION("""COMPUTED_VALUE"""),"COMPLETED")</f>
        <v>COMPLETED</v>
      </c>
      <c r="C227" s="74">
        <f>IFERROR(__xludf.DUMMYFUNCTION("""COMPUTED_VALUE"""),45453.0)</f>
        <v>45453</v>
      </c>
      <c r="D227" s="71" t="str">
        <f>IFERROR(__xludf.DUMMYFUNCTION("""COMPUTED_VALUE"""),"Bugtongan Farmers Association")</f>
        <v>Bugtongan Farmers Association</v>
      </c>
      <c r="E227" s="71" t="str">
        <f>IFERROR(__xludf.DUMMYFUNCTION("""COMPUTED_VALUE"""),"Bugtongan, Duenas, ILOILO")</f>
        <v>Bugtongan, Duenas, ILOILO</v>
      </c>
      <c r="F227" s="2" t="str">
        <f>IFERROR(__xludf.DUMMYFUNCTION("""COMPUTED_VALUE"""),"NARCISO SORONGON")</f>
        <v>NARCISO SORONGON</v>
      </c>
      <c r="G227" s="2">
        <f>IFERROR(__xludf.DUMMYFUNCTION("""COMPUTED_VALUE"""),9.213188684E9)</f>
        <v>9213188684</v>
      </c>
      <c r="H227" s="2">
        <f>IFERROR(__xludf.DUMMYFUNCTION("""COMPUTED_VALUE"""),48.0)</f>
        <v>48</v>
      </c>
      <c r="I227" s="72" t="str">
        <f>IFERROR(__xludf.DUMMYFUNCTION("""COMPUTED_VALUE"""),"PMS")</f>
        <v>PMS</v>
      </c>
      <c r="J227" s="72" t="str">
        <f>IFERROR(__xludf.DUMMYFUNCTION("""COMPUTED_VALUE"""),"PMS")</f>
        <v>PMS</v>
      </c>
      <c r="K227" s="72" t="str">
        <f>IFERROR(__xludf.DUMMYFUNCTION("""COMPUTED_VALUE"""),"CCB: FIRTS PMS: SELF PMS")</f>
        <v>CCB: FIRTS PMS: SELF PMS</v>
      </c>
      <c r="L227" s="72" t="str">
        <f>IFERROR(__xludf.DUMMYFUNCTION("""COMPUTED_VALUE"""),"SELF PMS: SEND AGREEMENT:FB: NARCISO SORONGON: AGREEMENT SENT: FOR PRINT")</f>
        <v>SELF PMS: SEND AGREEMENT:FB: NARCISO SORONGON: AGREEMENT SENT: FOR PRINT</v>
      </c>
      <c r="M227" s="2"/>
      <c r="N227" s="2"/>
      <c r="O227" s="2" t="str">
        <f>IFERROR(__xludf.DUMMYFUNCTION("""COMPUTED_VALUE"""),"N/A")</f>
        <v>N/A</v>
      </c>
      <c r="P227" s="2"/>
      <c r="Q227" s="2"/>
      <c r="R227" s="74">
        <f>IFERROR(__xludf.DUMMYFUNCTION("""COMPUTED_VALUE"""),45453.0)</f>
        <v>45453</v>
      </c>
      <c r="S227" s="2" t="str">
        <f>IFERROR(__xludf.DUMMYFUNCTION("""COMPUTED_VALUE"""),"MYKEE")</f>
        <v>MYKEE</v>
      </c>
      <c r="T227" s="73" t="str">
        <f>IFERROR(__xludf.DUMMYFUNCTION("""COMPUTED_VALUE""")," N/A ")</f>
        <v>N/A</v>
      </c>
      <c r="U227" s="73" t="str">
        <f>IFERROR(__xludf.DUMMYFUNCTION("""COMPUTED_VALUE""")," NO CHARGE ")</f>
        <v>NO CHARGE</v>
      </c>
      <c r="V227" s="2"/>
      <c r="W227" s="2" t="str">
        <f>IFERROR(__xludf.DUMMYFUNCTION("""COMPUTED_VALUE"""),"N/A")</f>
        <v>N/A</v>
      </c>
      <c r="X227" s="2" t="str">
        <f>IFERROR(__xludf.DUMMYFUNCTION("""COMPUTED_VALUE"""),"N/A")</f>
        <v>N/A</v>
      </c>
      <c r="Y227" s="2"/>
      <c r="Z227" s="2"/>
      <c r="AA227" s="2"/>
      <c r="AB227" s="2"/>
      <c r="AC227" s="2"/>
      <c r="AD227" s="2"/>
      <c r="AE227" s="2"/>
      <c r="AF227" s="2"/>
      <c r="AG227" s="2"/>
      <c r="AH227" s="2"/>
      <c r="AI227" s="2"/>
      <c r="AJ227" s="2" t="str">
        <f>IFERROR(__xludf.DUMMYFUNCTION("""COMPUTED_VALUE"""),"Bugtongan")</f>
        <v>Bugtongan</v>
      </c>
      <c r="AK227" s="2" t="str">
        <f>IFERROR(__xludf.DUMMYFUNCTION("""COMPUTED_VALUE"""),"Duenas")</f>
        <v>Duenas</v>
      </c>
      <c r="AL227" s="2" t="str">
        <f>IFERROR(__xludf.DUMMYFUNCTION("""COMPUTED_VALUE"""),"Iloilo")</f>
        <v>Iloilo</v>
      </c>
      <c r="AM227" s="2">
        <f>IFERROR(__xludf.DUMMYFUNCTION("""COMPUTED_VALUE"""),6.0)</f>
        <v>6</v>
      </c>
      <c r="AN227" s="2" t="str">
        <f>IFERROR(__xludf.DUMMYFUNCTION("""COMPUTED_VALUE"""),"RCEF 23-09-21 Rebidding")</f>
        <v>RCEF 23-09-21 Rebidding</v>
      </c>
      <c r="AO227" s="2">
        <f>IFERROR(__xludf.DUMMYFUNCTION("""COMPUTED_VALUE"""),4.0)</f>
        <v>4</v>
      </c>
      <c r="AP227" s="2"/>
      <c r="AQ227" s="2"/>
      <c r="AR227" s="2"/>
      <c r="AS227" s="2"/>
      <c r="AT227" s="2"/>
      <c r="AU227" s="2"/>
      <c r="AV227" s="2"/>
      <c r="AW227" s="2"/>
      <c r="AX227" s="2"/>
      <c r="AY227" s="2"/>
      <c r="AZ227" s="2"/>
      <c r="BA227" s="2"/>
      <c r="BB227" s="2"/>
    </row>
    <row r="228">
      <c r="A228" s="2">
        <f>IFERROR(__xludf.DUMMYFUNCTION("""COMPUTED_VALUE"""),224.0)</f>
        <v>224</v>
      </c>
      <c r="B228" s="2" t="str">
        <f>IFERROR(__xludf.DUMMYFUNCTION("""COMPUTED_VALUE"""),"COMPLETED")</f>
        <v>COMPLETED</v>
      </c>
      <c r="C228" s="74">
        <f>IFERROR(__xludf.DUMMYFUNCTION("""COMPUTED_VALUE"""),45453.0)</f>
        <v>45453</v>
      </c>
      <c r="D228" s="71" t="str">
        <f>IFERROR(__xludf.DUMMYFUNCTION("""COMPUTED_VALUE"""),"Balibagan Farmers Association")</f>
        <v>Balibagan Farmers Association</v>
      </c>
      <c r="E228" s="71" t="str">
        <f>IFERROR(__xludf.DUMMYFUNCTION("""COMPUTED_VALUE"""),"Balibagan Este, Santa Barbara, ILOILO")</f>
        <v>Balibagan Este, Santa Barbara, ILOILO</v>
      </c>
      <c r="F228" s="2" t="str">
        <f>IFERROR(__xludf.DUMMYFUNCTION("""COMPUTED_VALUE"""),"ELISEO CORDOVA")</f>
        <v>ELISEO CORDOVA</v>
      </c>
      <c r="G228" s="2">
        <f>IFERROR(__xludf.DUMMYFUNCTION("""COMPUTED_VALUE"""),9.617954783E9)</f>
        <v>9617954783</v>
      </c>
      <c r="H228" s="2"/>
      <c r="I228" s="72" t="str">
        <f>IFERROR(__xludf.DUMMYFUNCTION("""COMPUTED_VALUE"""),"PMS")</f>
        <v>PMS</v>
      </c>
      <c r="J228" s="72" t="str">
        <f>IFERROR(__xludf.DUMMYFUNCTION("""COMPUTED_VALUE"""),"PMS")</f>
        <v>PMS</v>
      </c>
      <c r="K228" s="72" t="str">
        <f>IFERROR(__xludf.DUMMYFUNCTION("""COMPUTED_VALUE"""),"CFG: FIRST PMS: SELF PMS")</f>
        <v>CFG: FIRST PMS: SELF PMS</v>
      </c>
      <c r="L228" s="72" t="str">
        <f>IFERROR(__xludf.DUMMYFUNCTION("""COMPUTED_VALUE"""),"SEND AGREEMENT:FB:ELISEO CORDOVA:AGREEMENT SENT: FOR PRINT")</f>
        <v>SEND AGREEMENT:FB:ELISEO CORDOVA:AGREEMENT SENT: FOR PRINT</v>
      </c>
      <c r="M228" s="2"/>
      <c r="N228" s="2"/>
      <c r="O228" s="2" t="str">
        <f>IFERROR(__xludf.DUMMYFUNCTION("""COMPUTED_VALUE"""),"N/A")</f>
        <v>N/A</v>
      </c>
      <c r="P228" s="2"/>
      <c r="Q228" s="2"/>
      <c r="R228" s="74">
        <f>IFERROR(__xludf.DUMMYFUNCTION("""COMPUTED_VALUE"""),45453.0)</f>
        <v>45453</v>
      </c>
      <c r="S228" s="2" t="str">
        <f>IFERROR(__xludf.DUMMYFUNCTION("""COMPUTED_VALUE"""),"MYKEE")</f>
        <v>MYKEE</v>
      </c>
      <c r="T228" s="73" t="str">
        <f>IFERROR(__xludf.DUMMYFUNCTION("""COMPUTED_VALUE""")," N/A ")</f>
        <v>N/A</v>
      </c>
      <c r="U228" s="73" t="str">
        <f>IFERROR(__xludf.DUMMYFUNCTION("""COMPUTED_VALUE""")," NO CHARGE ")</f>
        <v>NO CHARGE</v>
      </c>
      <c r="V228" s="2"/>
      <c r="W228" s="2" t="str">
        <f>IFERROR(__xludf.DUMMYFUNCTION("""COMPUTED_VALUE"""),"N/A")</f>
        <v>N/A</v>
      </c>
      <c r="X228" s="2" t="str">
        <f>IFERROR(__xludf.DUMMYFUNCTION("""COMPUTED_VALUE"""),"N/A")</f>
        <v>N/A</v>
      </c>
      <c r="Y228" s="2"/>
      <c r="Z228" s="2"/>
      <c r="AA228" s="2"/>
      <c r="AB228" s="2"/>
      <c r="AC228" s="2"/>
      <c r="AD228" s="2"/>
      <c r="AE228" s="2"/>
      <c r="AF228" s="2"/>
      <c r="AG228" s="2"/>
      <c r="AH228" s="2"/>
      <c r="AI228" s="2"/>
      <c r="AJ228" s="2" t="str">
        <f>IFERROR(__xludf.DUMMYFUNCTION("""COMPUTED_VALUE"""),"Balibagan Este")</f>
        <v>Balibagan Este</v>
      </c>
      <c r="AK228" s="2" t="str">
        <f>IFERROR(__xludf.DUMMYFUNCTION("""COMPUTED_VALUE"""),"Santa Barbara")</f>
        <v>Santa Barbara</v>
      </c>
      <c r="AL228" s="2" t="str">
        <f>IFERROR(__xludf.DUMMYFUNCTION("""COMPUTED_VALUE"""),"Iloilo")</f>
        <v>Iloilo</v>
      </c>
      <c r="AM228" s="2">
        <f>IFERROR(__xludf.DUMMYFUNCTION("""COMPUTED_VALUE"""),6.0)</f>
        <v>6</v>
      </c>
      <c r="AN228" s="2" t="str">
        <f>IFERROR(__xludf.DUMMYFUNCTION("""COMPUTED_VALUE"""),"RCEF 23-09-21 Rebidding")</f>
        <v>RCEF 23-09-21 Rebidding</v>
      </c>
      <c r="AO228" s="2">
        <f>IFERROR(__xludf.DUMMYFUNCTION("""COMPUTED_VALUE"""),4.0)</f>
        <v>4</v>
      </c>
      <c r="AP228" s="2"/>
      <c r="AQ228" s="2"/>
      <c r="AR228" s="2"/>
      <c r="AS228" s="2"/>
      <c r="AT228" s="2"/>
      <c r="AU228" s="2"/>
      <c r="AV228" s="2"/>
      <c r="AW228" s="2"/>
      <c r="AX228" s="2"/>
      <c r="AY228" s="2"/>
      <c r="AZ228" s="2"/>
      <c r="BA228" s="2"/>
      <c r="BB228" s="2"/>
    </row>
    <row r="229">
      <c r="A229" s="2">
        <f>IFERROR(__xludf.DUMMYFUNCTION("""COMPUTED_VALUE"""),225.0)</f>
        <v>225</v>
      </c>
      <c r="B229" s="2" t="str">
        <f>IFERROR(__xludf.DUMMYFUNCTION("""COMPUTED_VALUE"""),"COMPLETED")</f>
        <v>COMPLETED</v>
      </c>
      <c r="C229" s="74">
        <f>IFERROR(__xludf.DUMMYFUNCTION("""COMPUTED_VALUE"""),45453.0)</f>
        <v>45453</v>
      </c>
      <c r="D229" s="71" t="str">
        <f>IFERROR(__xludf.DUMMYFUNCTION("""COMPUTED_VALUE"""),"TAGLOP BULIKAWA FARMERS ASSOCIATION")</f>
        <v>TAGLOP BULIKAWA FARMERS ASSOCIATION</v>
      </c>
      <c r="E229" s="71" t="str">
        <f>IFERROR(__xludf.DUMMYFUNCTION("""COMPUTED_VALUE"""),"Canipaan, Rizal, Palawan")</f>
        <v>Canipaan, Rizal, Palawan</v>
      </c>
      <c r="F229" s="2" t="str">
        <f>IFERROR(__xludf.DUMMYFUNCTION("""COMPUTED_VALUE"""),"MARVIN BLANDO")</f>
        <v>MARVIN BLANDO</v>
      </c>
      <c r="G229" s="2">
        <f>IFERROR(__xludf.DUMMYFUNCTION("""COMPUTED_VALUE"""),9.124142374E9)</f>
        <v>9124142374</v>
      </c>
      <c r="H229" s="2">
        <f>IFERROR(__xludf.DUMMYFUNCTION("""COMPUTED_VALUE"""),138.0)</f>
        <v>138</v>
      </c>
      <c r="I229" s="72" t="str">
        <f>IFERROR(__xludf.DUMMYFUNCTION("""COMPUTED_VALUE"""),"REPAIR - TRACTOR")</f>
        <v>REPAIR - TRACTOR</v>
      </c>
      <c r="J229" s="72" t="str">
        <f>IFERROR(__xludf.DUMMYFUNCTION("""COMPUTED_VALUE"""),"Engine - Leaking")</f>
        <v>Engine - Leaking</v>
      </c>
      <c r="K229" s="72" t="str">
        <f>IFERROR(__xludf.DUMMYFUNCTION("""COMPUTED_VALUE"""),"ROY: TUMATAGAS ANG IBABANG BAHAGI NG MAKINA ANG LANGIS     
6/21/24:RCG: SEGUNYAL OIL SEAL/ OIL SEAL (F)
RCG: 7/19/24: WAITING PA SA UPADATE NI FARMER, MAHIRAP ANG SIGNAL NI FARMER")</f>
        <v>ROY: TUMATAGAS ANG IBABANG BAHAGI NG MAKINA ANG LANGIS     
6/21/24:RCG: SEGUNYAL OIL SEAL/ OIL SEAL (F)
RCG: 7/19/24: WAITING PA SA UPADATE NI FARMER, MAHIRAP ANG SIGNAL NI FARMER</v>
      </c>
      <c r="L229" s="72" t="str">
        <f>IFERROR(__xludf.DUMMYFUNCTION("""COMPUTED_VALUE"""),"RCG: AS PER CLIENT, OK NA ANG UNIT NAWALA NA ANG LEAKING NYA, KASALUKUYAN HINDI NA NAGAGAMIT ANG UNIT DAHIL TAPOS NA ANG TRABAHO. PERO FOR OBSERVATION PADIN.")</f>
        <v>RCG: AS PER CLIENT, OK NA ANG UNIT NAWALA NA ANG LEAKING NYA, KASALUKUYAN HINDI NA NAGAGAMIT ANG UNIT DAHIL TAPOS NA ANG TRABAHO. PERO FOR OBSERVATION PADIN.</v>
      </c>
      <c r="M229" s="2"/>
      <c r="N229" s="2"/>
      <c r="O229" s="2" t="str">
        <f>IFERROR(__xludf.DUMMYFUNCTION("""COMPUTED_VALUE"""),"N/A")</f>
        <v>N/A</v>
      </c>
      <c r="P229" s="2"/>
      <c r="Q229" s="2"/>
      <c r="R229" s="74">
        <f>IFERROR(__xludf.DUMMYFUNCTION("""COMPUTED_VALUE"""),45500.0)</f>
        <v>45500</v>
      </c>
      <c r="S229" s="2" t="str">
        <f>IFERROR(__xludf.DUMMYFUNCTION("""COMPUTED_VALUE"""),"RCG")</f>
        <v>RCG</v>
      </c>
      <c r="T229" s="73" t="str">
        <f>IFERROR(__xludf.DUMMYFUNCTION("""COMPUTED_VALUE""")," N/A ")</f>
        <v>N/A</v>
      </c>
      <c r="U229" s="73" t="str">
        <f>IFERROR(__xludf.DUMMYFUNCTION("""COMPUTED_VALUE""")," NO CHARGE ")</f>
        <v>NO CHARGE</v>
      </c>
      <c r="V229" s="2"/>
      <c r="W229" s="2" t="str">
        <f>IFERROR(__xludf.DUMMYFUNCTION("""COMPUTED_VALUE"""),"N/A")</f>
        <v>N/A</v>
      </c>
      <c r="X229" s="2" t="str">
        <f>IFERROR(__xludf.DUMMYFUNCTION("""COMPUTED_VALUE"""),"N/A")</f>
        <v>N/A</v>
      </c>
      <c r="Y229" s="2"/>
      <c r="Z229" s="2"/>
      <c r="AA229" s="2"/>
      <c r="AB229" s="2"/>
      <c r="AC229" s="2"/>
      <c r="AD229" s="2"/>
      <c r="AE229" s="2"/>
      <c r="AF229" s="2"/>
      <c r="AG229" s="2"/>
      <c r="AH229" s="2"/>
      <c r="AI229" s="2"/>
      <c r="AJ229" s="2" t="str">
        <f>IFERROR(__xludf.DUMMYFUNCTION("""COMPUTED_VALUE"""),"Canipaan")</f>
        <v>Canipaan</v>
      </c>
      <c r="AK229" s="2" t="str">
        <f>IFERROR(__xludf.DUMMYFUNCTION("""COMPUTED_VALUE"""),"Rizal")</f>
        <v>Rizal</v>
      </c>
      <c r="AL229" s="2" t="str">
        <f>IFERROR(__xludf.DUMMYFUNCTION("""COMPUTED_VALUE"""),"Palawan")</f>
        <v>Palawan</v>
      </c>
      <c r="AM229" s="2" t="str">
        <f>IFERROR(__xludf.DUMMYFUNCTION("""COMPUTED_VALUE"""),"4B")</f>
        <v>4B</v>
      </c>
      <c r="AN229" s="2" t="str">
        <f>IFERROR(__xludf.DUMMYFUNCTION("""COMPUTED_VALUE"""),"RCEF 23-08-20 Rebidding")</f>
        <v>RCEF 23-08-20 Rebidding</v>
      </c>
      <c r="AO229" s="2">
        <f>IFERROR(__xludf.DUMMYFUNCTION("""COMPUTED_VALUE"""),1.0)</f>
        <v>1</v>
      </c>
      <c r="AP229" s="2"/>
      <c r="AQ229" s="2"/>
      <c r="AR229" s="2"/>
      <c r="AS229" s="2"/>
      <c r="AT229" s="2"/>
      <c r="AU229" s="2"/>
      <c r="AV229" s="2"/>
      <c r="AW229" s="2"/>
      <c r="AX229" s="2"/>
      <c r="AY229" s="2"/>
      <c r="AZ229" s="2"/>
      <c r="BA229" s="2"/>
      <c r="BB229" s="2"/>
    </row>
    <row r="230">
      <c r="A230" s="2">
        <f>IFERROR(__xludf.DUMMYFUNCTION("""COMPUTED_VALUE"""),226.0)</f>
        <v>226</v>
      </c>
      <c r="B230" s="2" t="str">
        <f>IFERROR(__xludf.DUMMYFUNCTION("""COMPUTED_VALUE"""),"COMPLETED")</f>
        <v>COMPLETED</v>
      </c>
      <c r="C230" s="74">
        <f>IFERROR(__xludf.DUMMYFUNCTION("""COMPUTED_VALUE"""),45453.0)</f>
        <v>45453</v>
      </c>
      <c r="D230" s="71" t="str">
        <f>IFERROR(__xludf.DUMMYFUNCTION("""COMPUTED_VALUE"""),"BRGY. MAAB-ABACA IRRIGATORS ASSOCIATION INC.")</f>
        <v>BRGY. MAAB-ABACA IRRIGATORS ASSOCIATION INC.</v>
      </c>
      <c r="E230" s="71" t="str">
        <f>IFERROR(__xludf.DUMMYFUNCTION("""COMPUTED_VALUE"""),"Maab-abaca, Piddig, ILOCOS NORTE")</f>
        <v>Maab-abaca, Piddig, ILOCOS NORTE</v>
      </c>
      <c r="F230" s="2" t="str">
        <f>IFERROR(__xludf.DUMMYFUNCTION("""COMPUTED_VALUE"""),"Florentino Soriano Jr.")</f>
        <v>Florentino Soriano Jr.</v>
      </c>
      <c r="G230" s="2" t="str">
        <f>IFERROR(__xludf.DUMMYFUNCTION("""COMPUTED_VALUE"""),"0945-459-1334/0963-993-4898")</f>
        <v>0945-459-1334/0963-993-4898</v>
      </c>
      <c r="H230" s="2">
        <f>IFERROR(__xludf.DUMMYFUNCTION("""COMPUTED_VALUE"""),85.6)</f>
        <v>85.6</v>
      </c>
      <c r="I230" s="72" t="str">
        <f>IFERROR(__xludf.DUMMYFUNCTION("""COMPUTED_VALUE"""),"REPAIR - TRACTOR")</f>
        <v>REPAIR - TRACTOR</v>
      </c>
      <c r="J230" s="72" t="str">
        <f>IFERROR(__xludf.DUMMYFUNCTION("""COMPUTED_VALUE"""),"PMS/Brake")</f>
        <v>PMS/Brake</v>
      </c>
      <c r="K230" s="72" t="str">
        <f>IFERROR(__xludf.DUMMYFUNCTION("""COMPUTED_VALUE"""),"JHP: 2 SETS OF DISC FRICTION, MAHINA ANG PIVOT AT BRAKE")</f>
        <v>JHP: 2 SETS OF DISC FRICTION, MAHINA ANG PIVOT AT BRAKE</v>
      </c>
      <c r="L230" s="72" t="str">
        <f>IFERROR(__xludf.DUMMYFUNCTION("""COMPUTED_VALUE"""),"ACS: FIRST PMS DONE")</f>
        <v>ACS: FIRST PMS DONE</v>
      </c>
      <c r="M230" s="2"/>
      <c r="N230" s="2" t="str">
        <f>IFERROR(__xludf.DUMMYFUNCTION("""COMPUTED_VALUE"""),"PARTS: OIL FILTER")</f>
        <v>PARTS: OIL FILTER</v>
      </c>
      <c r="O230" s="2" t="str">
        <f>IFERROR(__xludf.DUMMYFUNCTION("""COMPUTED_VALUE"""),"JIE-816")</f>
        <v>JIE-816</v>
      </c>
      <c r="P230" s="2"/>
      <c r="Q230" s="2"/>
      <c r="R230" s="74">
        <f>IFERROR(__xludf.DUMMYFUNCTION("""COMPUTED_VALUE"""),45468.0)</f>
        <v>45468</v>
      </c>
      <c r="S230" s="2" t="str">
        <f>IFERROR(__xludf.DUMMYFUNCTION("""COMPUTED_VALUE"""),"ACS/JHP")</f>
        <v>ACS/JHP</v>
      </c>
      <c r="T230" s="73">
        <f>IFERROR(__xludf.DUMMYFUNCTION("""COMPUTED_VALUE"""),2837.5)</f>
        <v>2837.5</v>
      </c>
      <c r="U230" s="73" t="str">
        <f>IFERROR(__xludf.DUMMYFUNCTION("""COMPUTED_VALUE""")," REMITTED ")</f>
        <v>REMITTED</v>
      </c>
      <c r="V230" s="2"/>
      <c r="W230" s="2"/>
      <c r="X230" s="2">
        <f>IFERROR(__xludf.DUMMYFUNCTION("""COMPUTED_VALUE"""),1124.0)</f>
        <v>1124</v>
      </c>
      <c r="Y230" s="2"/>
      <c r="Z230" s="2"/>
      <c r="AA230" s="2"/>
      <c r="AB230" s="2"/>
      <c r="AC230" s="2"/>
      <c r="AD230" s="2"/>
      <c r="AE230" s="2"/>
      <c r="AF230" s="2"/>
      <c r="AG230" s="2"/>
      <c r="AH230" s="2"/>
      <c r="AI230" s="2"/>
      <c r="AJ230" s="2" t="str">
        <f>IFERROR(__xludf.DUMMYFUNCTION("""COMPUTED_VALUE"""),"Maab-Abaca")</f>
        <v>Maab-Abaca</v>
      </c>
      <c r="AK230" s="2" t="str">
        <f>IFERROR(__xludf.DUMMYFUNCTION("""COMPUTED_VALUE"""),"Piddig")</f>
        <v>Piddig</v>
      </c>
      <c r="AL230" s="2" t="str">
        <f>IFERROR(__xludf.DUMMYFUNCTION("""COMPUTED_VALUE"""),"Ilocos Norte")</f>
        <v>Ilocos Norte</v>
      </c>
      <c r="AM230" s="2">
        <f>IFERROR(__xludf.DUMMYFUNCTION("""COMPUTED_VALUE"""),1.0)</f>
        <v>1</v>
      </c>
      <c r="AN230" s="2" t="str">
        <f>IFERROR(__xludf.DUMMYFUNCTION("""COMPUTED_VALUE"""),"RCEF 23-09-21 Rebidding")</f>
        <v>RCEF 23-09-21 Rebidding</v>
      </c>
      <c r="AO230" s="2">
        <f>IFERROR(__xludf.DUMMYFUNCTION("""COMPUTED_VALUE"""),2.0)</f>
        <v>2</v>
      </c>
      <c r="AP230" s="2"/>
      <c r="AQ230" s="2"/>
      <c r="AR230" s="2"/>
      <c r="AS230" s="2"/>
      <c r="AT230" s="2"/>
      <c r="AU230" s="2"/>
      <c r="AV230" s="2"/>
      <c r="AW230" s="2"/>
      <c r="AX230" s="2"/>
      <c r="AY230" s="2"/>
      <c r="AZ230" s="2"/>
      <c r="BA230" s="2"/>
      <c r="BB230" s="2"/>
    </row>
    <row r="231">
      <c r="A231" s="2">
        <f>IFERROR(__xludf.DUMMYFUNCTION("""COMPUTED_VALUE"""),227.0)</f>
        <v>227</v>
      </c>
      <c r="B231" s="2" t="str">
        <f>IFERROR(__xludf.DUMMYFUNCTION("""COMPUTED_VALUE"""),"COMPLETED")</f>
        <v>COMPLETED</v>
      </c>
      <c r="C231" s="74">
        <f>IFERROR(__xludf.DUMMYFUNCTION("""COMPUTED_VALUE"""),45453.0)</f>
        <v>45453</v>
      </c>
      <c r="D231" s="71" t="str">
        <f>IFERROR(__xludf.DUMMYFUNCTION("""COMPUTED_VALUE"""),"CUANTACLA FARMERS ASSOCIATION INC.")</f>
        <v>CUANTACLA FARMERS ASSOCIATION INC.</v>
      </c>
      <c r="E231" s="71" t="str">
        <f>IFERROR(__xludf.DUMMYFUNCTION("""COMPUTED_VALUE"""),"Cuantacla, Cabugao, Ilocos Sur")</f>
        <v>Cuantacla, Cabugao, Ilocos Sur</v>
      </c>
      <c r="F231" s="2" t="str">
        <f>IFERROR(__xludf.DUMMYFUNCTION("""COMPUTED_VALUE"""),"RUSVEL PALPAL-LATOC")</f>
        <v>RUSVEL PALPAL-LATOC</v>
      </c>
      <c r="G231" s="2">
        <f>IFERROR(__xludf.DUMMYFUNCTION("""COMPUTED_VALUE"""),9.954646517E9)</f>
        <v>9954646517</v>
      </c>
      <c r="H231" s="2">
        <f>IFERROR(__xludf.DUMMYFUNCTION("""COMPUTED_VALUE"""),6.0)</f>
        <v>6</v>
      </c>
      <c r="I231" s="72" t="str">
        <f>IFERROR(__xludf.DUMMYFUNCTION("""COMPUTED_VALUE"""),"REPAIR - ROTAVATOR")</f>
        <v>REPAIR - ROTAVATOR</v>
      </c>
      <c r="J231" s="72" t="str">
        <f>IFERROR(__xludf.DUMMYFUNCTION("""COMPUTED_VALUE"""),"Training")</f>
        <v>Training</v>
      </c>
      <c r="K231" s="72" t="str">
        <f>IFERROR(__xludf.DUMMYFUNCTION("""COMPUTED_VALUE"""),"KFS: KUMAKALOG/KUMAKALAMPAG YUNG ROTAVATOR WITH VIDEO")</f>
        <v>KFS: KUMAKALOG/KUMAKALAMPAG YUNG ROTAVATOR WITH VIDEO</v>
      </c>
      <c r="L231" s="72" t="str">
        <f>IFERROR(__xludf.DUMMYFUNCTION("""COMPUTED_VALUE"""),"ACS: ROTAVATOR PROBLEM OK NA PO")</f>
        <v>ACS: ROTAVATOR PROBLEM OK NA PO</v>
      </c>
      <c r="M231" s="2"/>
      <c r="N231" s="2"/>
      <c r="O231" s="2" t="str">
        <f>IFERROR(__xludf.DUMMYFUNCTION("""COMPUTED_VALUE"""),"JIE-817")</f>
        <v>JIE-817</v>
      </c>
      <c r="P231" s="2"/>
      <c r="Q231" s="2"/>
      <c r="R231" s="74">
        <f>IFERROR(__xludf.DUMMYFUNCTION("""COMPUTED_VALUE"""),45468.0)</f>
        <v>45468</v>
      </c>
      <c r="S231" s="2" t="str">
        <f>IFERROR(__xludf.DUMMYFUNCTION("""COMPUTED_VALUE"""),"ACS/JHP")</f>
        <v>ACS/JHP</v>
      </c>
      <c r="T231" s="73" t="str">
        <f>IFERROR(__xludf.DUMMYFUNCTION("""COMPUTED_VALUE""")," N/A ")</f>
        <v>N/A</v>
      </c>
      <c r="U231" s="73" t="str">
        <f>IFERROR(__xludf.DUMMYFUNCTION("""COMPUTED_VALUE""")," NO CHARGE ")</f>
        <v>NO CHARGE</v>
      </c>
      <c r="V231" s="2"/>
      <c r="W231" s="2" t="str">
        <f>IFERROR(__xludf.DUMMYFUNCTION("""COMPUTED_VALUE"""),"N/A")</f>
        <v>N/A</v>
      </c>
      <c r="X231" s="2" t="str">
        <f>IFERROR(__xludf.DUMMYFUNCTION("""COMPUTED_VALUE"""),"N/A")</f>
        <v>N/A</v>
      </c>
      <c r="Y231" s="2"/>
      <c r="Z231" s="2"/>
      <c r="AA231" s="2"/>
      <c r="AB231" s="2"/>
      <c r="AC231" s="2"/>
      <c r="AD231" s="2"/>
      <c r="AE231" s="2"/>
      <c r="AF231" s="2"/>
      <c r="AG231" s="2"/>
      <c r="AH231" s="2"/>
      <c r="AI231" s="2"/>
      <c r="AJ231" s="2" t="str">
        <f>IFERROR(__xludf.DUMMYFUNCTION("""COMPUTED_VALUE"""),"Cuantacla")</f>
        <v>Cuantacla</v>
      </c>
      <c r="AK231" s="2" t="str">
        <f>IFERROR(__xludf.DUMMYFUNCTION("""COMPUTED_VALUE"""),"Cabugao")</f>
        <v>Cabugao</v>
      </c>
      <c r="AL231" s="2" t="str">
        <f>IFERROR(__xludf.DUMMYFUNCTION("""COMPUTED_VALUE"""),"Ilocos Sur")</f>
        <v>Ilocos Sur</v>
      </c>
      <c r="AM231" s="2">
        <f>IFERROR(__xludf.DUMMYFUNCTION("""COMPUTED_VALUE"""),1.0)</f>
        <v>1</v>
      </c>
      <c r="AN231" s="2" t="str">
        <f>IFERROR(__xludf.DUMMYFUNCTION("""COMPUTED_VALUE"""),"RCEF 23-09-21 Rebidding")</f>
        <v>RCEF 23-09-21 Rebidding</v>
      </c>
      <c r="AO231" s="2">
        <f>IFERROR(__xludf.DUMMYFUNCTION("""COMPUTED_VALUE"""),2.0)</f>
        <v>2</v>
      </c>
      <c r="AP231" s="2"/>
      <c r="AQ231" s="2"/>
      <c r="AR231" s="2"/>
      <c r="AS231" s="2"/>
      <c r="AT231" s="2"/>
      <c r="AU231" s="2"/>
      <c r="AV231" s="2"/>
      <c r="AW231" s="2"/>
      <c r="AX231" s="2"/>
      <c r="AY231" s="2"/>
      <c r="AZ231" s="2"/>
      <c r="BA231" s="2"/>
      <c r="BB231" s="2"/>
    </row>
    <row r="232">
      <c r="A232" s="2">
        <f>IFERROR(__xludf.DUMMYFUNCTION("""COMPUTED_VALUE"""),228.0)</f>
        <v>228</v>
      </c>
      <c r="B232" s="2" t="str">
        <f>IFERROR(__xludf.DUMMYFUNCTION("""COMPUTED_VALUE"""),"COMPLETED")</f>
        <v>COMPLETED</v>
      </c>
      <c r="C232" s="74">
        <f>IFERROR(__xludf.DUMMYFUNCTION("""COMPUTED_VALUE"""),45453.0)</f>
        <v>45453</v>
      </c>
      <c r="D232" s="71" t="str">
        <f>IFERROR(__xludf.DUMMYFUNCTION("""COMPUTED_VALUE"""),"PCSC FARMERS IRRIGATORS' ASSOCIATION, INC.")</f>
        <v>PCSC FARMERS IRRIGATORS' ASSOCIATION, INC.</v>
      </c>
      <c r="E232" s="71" t="str">
        <f>IFERROR(__xludf.DUMMYFUNCTION("""COMPUTED_VALUE"""),"Curva, Pamplona, CAGAYAN")</f>
        <v>Curva, Pamplona, CAGAYAN</v>
      </c>
      <c r="F232" s="2" t="str">
        <f>IFERROR(__xludf.DUMMYFUNCTION("""COMPUTED_VALUE"""),"PIO TUBAO")</f>
        <v>PIO TUBAO</v>
      </c>
      <c r="G232" s="2">
        <f>IFERROR(__xludf.DUMMYFUNCTION("""COMPUTED_VALUE"""),9.77313292E9)</f>
        <v>9773132920</v>
      </c>
      <c r="H232" s="2">
        <f>IFERROR(__xludf.DUMMYFUNCTION("""COMPUTED_VALUE"""),4.0)</f>
        <v>4</v>
      </c>
      <c r="I232" s="72" t="str">
        <f>IFERROR(__xludf.DUMMYFUNCTION("""COMPUTED_VALUE"""),"REPAIR - TRACTOR")</f>
        <v>REPAIR - TRACTOR</v>
      </c>
      <c r="J232" s="72" t="str">
        <f>IFERROR(__xludf.DUMMYFUNCTION("""COMPUTED_VALUE"""),"Radiator")</f>
        <v>Radiator</v>
      </c>
      <c r="K232" s="72" t="str">
        <f>IFERROR(__xludf.DUMMYFUNCTION("""COMPUTED_VALUE"""),"ONAD: PUMUTOK ANG RADIATOR WITH PICTURES")</f>
        <v>ONAD: PUMUTOK ANG RADIATOR WITH PICTURES</v>
      </c>
      <c r="L232" s="72" t="str">
        <f>IFERROR(__xludf.DUMMYFUNCTION("""COMPUTED_VALUE"""),"CFG: OK NA PO ANG UNIT, NAPALITAN NA PO NG RADIATOR")</f>
        <v>CFG: OK NA PO ANG UNIT, NAPALITAN NA PO NG RADIATOR</v>
      </c>
      <c r="M232" s="2"/>
      <c r="N232" s="2" t="str">
        <f>IFERROR(__xludf.DUMMYFUNCTION("""COMPUTED_VALUE"""),"PARTS: RADIATOR")</f>
        <v>PARTS: RADIATOR</v>
      </c>
      <c r="O232" s="2" t="str">
        <f>IFERROR(__xludf.DUMMYFUNCTION("""COMPUTED_VALUE"""),"JIE-818")</f>
        <v>JIE-818</v>
      </c>
      <c r="P232" s="2"/>
      <c r="Q232" s="2"/>
      <c r="R232" s="74">
        <f>IFERROR(__xludf.DUMMYFUNCTION("""COMPUTED_VALUE"""),45468.0)</f>
        <v>45468</v>
      </c>
      <c r="S232" s="2" t="str">
        <f>IFERROR(__xludf.DUMMYFUNCTION("""COMPUTED_VALUE"""),"CFG/DRM")</f>
        <v>CFG/DRM</v>
      </c>
      <c r="T232" s="73" t="str">
        <f>IFERROR(__xludf.DUMMYFUNCTION("""COMPUTED_VALUE""")," N/A ")</f>
        <v>N/A</v>
      </c>
      <c r="U232" s="73" t="str">
        <f>IFERROR(__xludf.DUMMYFUNCTION("""COMPUTED_VALUE""")," NO CHARGE ")</f>
        <v>NO CHARGE</v>
      </c>
      <c r="V232" s="2"/>
      <c r="W232" s="2" t="str">
        <f>IFERROR(__xludf.DUMMYFUNCTION("""COMPUTED_VALUE"""),"N/A")</f>
        <v>N/A</v>
      </c>
      <c r="X232" s="2" t="str">
        <f>IFERROR(__xludf.DUMMYFUNCTION("""COMPUTED_VALUE"""),"N/A")</f>
        <v>N/A</v>
      </c>
      <c r="Y232" s="2"/>
      <c r="Z232" s="2" t="str">
        <f>IFERROR(__xludf.DUMMYFUNCTION("""COMPUTED_VALUE"""),"LEADS-RP-0023")</f>
        <v>LEADS-RP-0023</v>
      </c>
      <c r="AA232" s="2" t="str">
        <f>IFERROR(__xludf.DUMMYFUNCTION("""COMPUTED_VALUE"""),"APPROVED")</f>
        <v>APPROVED</v>
      </c>
      <c r="AB232" s="2"/>
      <c r="AC232" s="2" t="str">
        <f>IFERROR(__xludf.DUMMYFUNCTION("""COMPUTED_VALUE"""),"Y")</f>
        <v>Y</v>
      </c>
      <c r="AD232" s="2"/>
      <c r="AE232" s="2"/>
      <c r="AF232" s="2"/>
      <c r="AG232" s="2"/>
      <c r="AH232" s="2"/>
      <c r="AI232" s="2"/>
      <c r="AJ232" s="2" t="str">
        <f>IFERROR(__xludf.DUMMYFUNCTION("""COMPUTED_VALUE"""),"Curva")</f>
        <v>Curva</v>
      </c>
      <c r="AK232" s="2" t="str">
        <f>IFERROR(__xludf.DUMMYFUNCTION("""COMPUTED_VALUE"""),"Pamplona")</f>
        <v>Pamplona</v>
      </c>
      <c r="AL232" s="2" t="str">
        <f>IFERROR(__xludf.DUMMYFUNCTION("""COMPUTED_VALUE"""),"Cagayan")</f>
        <v>Cagayan</v>
      </c>
      <c r="AM232" s="2">
        <f>IFERROR(__xludf.DUMMYFUNCTION("""COMPUTED_VALUE"""),2.0)</f>
        <v>2</v>
      </c>
      <c r="AN232" s="2" t="str">
        <f>IFERROR(__xludf.DUMMYFUNCTION("""COMPUTED_VALUE"""),"RCEF 23-09-21 Rebidding")</f>
        <v>RCEF 23-09-21 Rebidding</v>
      </c>
      <c r="AO232" s="2">
        <f>IFERROR(__xludf.DUMMYFUNCTION("""COMPUTED_VALUE"""),1.0)</f>
        <v>1</v>
      </c>
      <c r="AP232" s="2"/>
      <c r="AQ232" s="2"/>
      <c r="AR232" s="2"/>
      <c r="AS232" s="2"/>
      <c r="AT232" s="2"/>
      <c r="AU232" s="2"/>
      <c r="AV232" s="2"/>
      <c r="AW232" s="2"/>
      <c r="AX232" s="2"/>
      <c r="AY232" s="2"/>
      <c r="AZ232" s="2"/>
      <c r="BA232" s="2"/>
      <c r="BB232" s="2"/>
    </row>
    <row r="233">
      <c r="A233" s="2">
        <f>IFERROR(__xludf.DUMMYFUNCTION("""COMPUTED_VALUE"""),229.0)</f>
        <v>229</v>
      </c>
      <c r="B233" s="2" t="str">
        <f>IFERROR(__xludf.DUMMYFUNCTION("""COMPUTED_VALUE"""),"COMPLETED")</f>
        <v>COMPLETED</v>
      </c>
      <c r="C233" s="74">
        <f>IFERROR(__xludf.DUMMYFUNCTION("""COMPUTED_VALUE"""),45453.0)</f>
        <v>45453</v>
      </c>
      <c r="D233" s="71" t="str">
        <f>IFERROR(__xludf.DUMMYFUNCTION("""COMPUTED_VALUE"""),"ALALAY GRANDE FARMERS IRRIGATOR ASSOCIATION INC.")</f>
        <v>ALALAY GRANDE FARMERS IRRIGATOR ASSOCIATION INC.</v>
      </c>
      <c r="E233" s="71" t="str">
        <f>IFERROR(__xludf.DUMMYFUNCTION("""COMPUTED_VALUE"""),"Alalay Grande, Lupao, NUEVA ECIJA")</f>
        <v>Alalay Grande, Lupao, NUEVA ECIJA</v>
      </c>
      <c r="F233" s="2" t="str">
        <f>IFERROR(__xludf.DUMMYFUNCTION("""COMPUTED_VALUE"""),"CELSO ADUCA")</f>
        <v>CELSO ADUCA</v>
      </c>
      <c r="G233" s="2">
        <f>IFERROR(__xludf.DUMMYFUNCTION("""COMPUTED_VALUE"""),9.650588069E9)</f>
        <v>9650588069</v>
      </c>
      <c r="H233" s="2"/>
      <c r="I233" s="72" t="str">
        <f>IFERROR(__xludf.DUMMYFUNCTION("""COMPUTED_VALUE"""),"PMS")</f>
        <v>PMS</v>
      </c>
      <c r="J233" s="72" t="str">
        <f>IFERROR(__xludf.DUMMYFUNCTION("""COMPUTED_VALUE"""),"PMS")</f>
        <v>PMS</v>
      </c>
      <c r="K233" s="72" t="str">
        <f>IFERROR(__xludf.DUMMYFUNCTION("""COMPUTED_VALUE"""),"JHP: 1ST PMS: AYAW MAPIHIT NG HYDRAULIC LOCK")</f>
        <v>JHP: 1ST PMS: AYAW MAPIHIT NG HYDRAULIC LOCK</v>
      </c>
      <c r="L233" s="72" t="str">
        <f>IFERROR(__xludf.DUMMYFUNCTION("""COMPUTED_VALUE"""),"RBS: DONE CHANGE OIL")</f>
        <v>RBS: DONE CHANGE OIL</v>
      </c>
      <c r="M233" s="2"/>
      <c r="N233" s="2"/>
      <c r="O233" s="2" t="str">
        <f>IFERROR(__xludf.DUMMYFUNCTION("""COMPUTED_VALUE"""),"JIE-100")</f>
        <v>JIE-100</v>
      </c>
      <c r="P233" s="2"/>
      <c r="Q233" s="2"/>
      <c r="R233" s="74">
        <f>IFERROR(__xludf.DUMMYFUNCTION("""COMPUTED_VALUE"""),45455.0)</f>
        <v>45455</v>
      </c>
      <c r="S233" s="2" t="str">
        <f>IFERROR(__xludf.DUMMYFUNCTION("""COMPUTED_VALUE"""),"RBS/DSD")</f>
        <v>RBS/DSD</v>
      </c>
      <c r="T233" s="73" t="str">
        <f>IFERROR(__xludf.DUMMYFUNCTION("""COMPUTED_VALUE""")," N/A ")</f>
        <v>N/A</v>
      </c>
      <c r="U233" s="73" t="str">
        <f>IFERROR(__xludf.DUMMYFUNCTION("""COMPUTED_VALUE""")," NO CHARGE ")</f>
        <v>NO CHARGE</v>
      </c>
      <c r="V233" s="2"/>
      <c r="W233" s="2" t="str">
        <f>IFERROR(__xludf.DUMMYFUNCTION("""COMPUTED_VALUE"""),"N/A")</f>
        <v>N/A</v>
      </c>
      <c r="X233" s="2" t="str">
        <f>IFERROR(__xludf.DUMMYFUNCTION("""COMPUTED_VALUE"""),"N/A")</f>
        <v>N/A</v>
      </c>
      <c r="Y233" s="2"/>
      <c r="Z233" s="2"/>
      <c r="AA233" s="2"/>
      <c r="AB233" s="2"/>
      <c r="AC233" s="2"/>
      <c r="AD233" s="2" t="str">
        <f>IFERROR(__xludf.DUMMYFUNCTION("""COMPUTED_VALUE"""),"report+picture")</f>
        <v>report+picture</v>
      </c>
      <c r="AE233" s="2"/>
      <c r="AF233" s="2"/>
      <c r="AG233" s="2"/>
      <c r="AH233" s="2"/>
      <c r="AI233" s="2"/>
      <c r="AJ233" s="2" t="str">
        <f>IFERROR(__xludf.DUMMYFUNCTION("""COMPUTED_VALUE"""),"Alalay Grande")</f>
        <v>Alalay Grande</v>
      </c>
      <c r="AK233" s="2" t="str">
        <f>IFERROR(__xludf.DUMMYFUNCTION("""COMPUTED_VALUE"""),"Lupao")</f>
        <v>Lupao</v>
      </c>
      <c r="AL233" s="2" t="str">
        <f>IFERROR(__xludf.DUMMYFUNCTION("""COMPUTED_VALUE"""),"Nueva Ecija")</f>
        <v>Nueva Ecija</v>
      </c>
      <c r="AM233" s="2">
        <f>IFERROR(__xludf.DUMMYFUNCTION("""COMPUTED_VALUE"""),3.0)</f>
        <v>3</v>
      </c>
      <c r="AN233" s="2" t="str">
        <f>IFERROR(__xludf.DUMMYFUNCTION("""COMPUTED_VALUE"""),"RCEF 23-09-21 Rebidding")</f>
        <v>RCEF 23-09-21 Rebidding</v>
      </c>
      <c r="AO233" s="2">
        <f>IFERROR(__xludf.DUMMYFUNCTION("""COMPUTED_VALUE"""),3.0)</f>
        <v>3</v>
      </c>
      <c r="AP233" s="2"/>
      <c r="AQ233" s="2"/>
      <c r="AR233" s="2"/>
      <c r="AS233" s="2"/>
      <c r="AT233" s="2"/>
      <c r="AU233" s="2"/>
      <c r="AV233" s="2"/>
      <c r="AW233" s="2"/>
      <c r="AX233" s="2"/>
      <c r="AY233" s="2"/>
      <c r="AZ233" s="2"/>
      <c r="BA233" s="2"/>
      <c r="BB233" s="2"/>
    </row>
    <row r="234">
      <c r="A234" s="2">
        <f>IFERROR(__xludf.DUMMYFUNCTION("""COMPUTED_VALUE"""),230.0)</f>
        <v>230</v>
      </c>
      <c r="B234" s="2" t="str">
        <f>IFERROR(__xludf.DUMMYFUNCTION("""COMPUTED_VALUE"""),"COMPLETED")</f>
        <v>COMPLETED</v>
      </c>
      <c r="C234" s="74">
        <f>IFERROR(__xludf.DUMMYFUNCTION("""COMPUTED_VALUE"""),45454.0)</f>
        <v>45454</v>
      </c>
      <c r="D234" s="71" t="str">
        <f>IFERROR(__xludf.DUMMYFUNCTION("""COMPUTED_VALUE"""),"SOLID PANAGANIAN FARMERS ASSOCIATION INC.")</f>
        <v>SOLID PANAGANIAN FARMERS ASSOCIATION INC.</v>
      </c>
      <c r="E234" s="71" t="str">
        <f>IFERROR(__xludf.DUMMYFUNCTION("""COMPUTED_VALUE"""),"Panaga, Laoac, PANGASINAN")</f>
        <v>Panaga, Laoac, PANGASINAN</v>
      </c>
      <c r="F234" s="2" t="str">
        <f>IFERROR(__xludf.DUMMYFUNCTION("""COMPUTED_VALUE"""),"MARIO B. BARLOLONG")</f>
        <v>MARIO B. BARLOLONG</v>
      </c>
      <c r="G234" s="2">
        <f>IFERROR(__xludf.DUMMYFUNCTION("""COMPUTED_VALUE"""),9.307879912E9)</f>
        <v>9307879912</v>
      </c>
      <c r="H234" s="2">
        <f>IFERROR(__xludf.DUMMYFUNCTION("""COMPUTED_VALUE"""),76.4)</f>
        <v>76.4</v>
      </c>
      <c r="I234" s="72" t="str">
        <f>IFERROR(__xludf.DUMMYFUNCTION("""COMPUTED_VALUE"""),"PMS")</f>
        <v>PMS</v>
      </c>
      <c r="J234" s="72" t="str">
        <f>IFERROR(__xludf.DUMMYFUNCTION("""COMPUTED_VALUE"""),"PMS")</f>
        <v>PMS</v>
      </c>
      <c r="K234" s="72" t="str">
        <f>IFERROR(__xludf.DUMMYFUNCTION("""COMPUTED_VALUE"""),"ACS: FIRST PMS")</f>
        <v>ACS: FIRST PMS</v>
      </c>
      <c r="L234" s="72" t="str">
        <f>IFERROR(__xludf.DUMMYFUNCTION("""COMPUTED_VALUE"""),"ACS/JHP: FIRST PMS DONE: OIL FILTER PAID BY FCA")</f>
        <v>ACS/JHP: FIRST PMS DONE: OIL FILTER PAID BY FCA</v>
      </c>
      <c r="M234" s="2"/>
      <c r="N234" s="2" t="str">
        <f>IFERROR(__xludf.DUMMYFUNCTION("""COMPUTED_VALUE"""),"OIL FILTER")</f>
        <v>OIL FILTER</v>
      </c>
      <c r="O234" s="2" t="str">
        <f>IFERROR(__xludf.DUMMYFUNCTION("""COMPUTED_VALUE"""),"JIE-098")</f>
        <v>JIE-098</v>
      </c>
      <c r="P234" s="2"/>
      <c r="Q234" s="2"/>
      <c r="R234" s="74">
        <f>IFERROR(__xludf.DUMMYFUNCTION("""COMPUTED_VALUE"""),45454.0)</f>
        <v>45454</v>
      </c>
      <c r="S234" s="2" t="str">
        <f>IFERROR(__xludf.DUMMYFUNCTION("""COMPUTED_VALUE"""),"ACS/ JHP")</f>
        <v>ACS/ JHP</v>
      </c>
      <c r="T234" s="73">
        <f>IFERROR(__xludf.DUMMYFUNCTION("""COMPUTED_VALUE"""),2837.5)</f>
        <v>2837.5</v>
      </c>
      <c r="U234" s="73" t="str">
        <f>IFERROR(__xludf.DUMMYFUNCTION("""COMPUTED_VALUE""")," REMITTED ")</f>
        <v>REMITTED</v>
      </c>
      <c r="V234" s="2"/>
      <c r="W234" s="2"/>
      <c r="X234" s="2">
        <f>IFERROR(__xludf.DUMMYFUNCTION("""COMPUTED_VALUE"""),1115.0)</f>
        <v>1115</v>
      </c>
      <c r="Y234" s="2"/>
      <c r="Z234" s="2"/>
      <c r="AA234" s="2"/>
      <c r="AB234" s="2"/>
      <c r="AC234" s="2"/>
      <c r="AD234" s="2"/>
      <c r="AE234" s="2"/>
      <c r="AF234" s="2"/>
      <c r="AG234" s="2"/>
      <c r="AH234" s="2"/>
      <c r="AI234" s="2"/>
      <c r="AJ234" s="2" t="str">
        <f>IFERROR(__xludf.DUMMYFUNCTION("""COMPUTED_VALUE"""),"Panaga")</f>
        <v>Panaga</v>
      </c>
      <c r="AK234" s="2" t="str">
        <f>IFERROR(__xludf.DUMMYFUNCTION("""COMPUTED_VALUE"""),"Laoac")</f>
        <v>Laoac</v>
      </c>
      <c r="AL234" s="2" t="str">
        <f>IFERROR(__xludf.DUMMYFUNCTION("""COMPUTED_VALUE"""),"Pangasinan")</f>
        <v>Pangasinan</v>
      </c>
      <c r="AM234" s="2">
        <f>IFERROR(__xludf.DUMMYFUNCTION("""COMPUTED_VALUE"""),1.0)</f>
        <v>1</v>
      </c>
      <c r="AN234" s="2" t="str">
        <f>IFERROR(__xludf.DUMMYFUNCTION("""COMPUTED_VALUE"""),"RCEF 23-09-21 Rebidding")</f>
        <v>RCEF 23-09-21 Rebidding</v>
      </c>
      <c r="AO234" s="2">
        <f>IFERROR(__xludf.DUMMYFUNCTION("""COMPUTED_VALUE"""),2.0)</f>
        <v>2</v>
      </c>
      <c r="AP234" s="2"/>
      <c r="AQ234" s="2"/>
      <c r="AR234" s="2"/>
      <c r="AS234" s="2"/>
      <c r="AT234" s="2"/>
      <c r="AU234" s="2"/>
      <c r="AV234" s="2"/>
      <c r="AW234" s="2"/>
      <c r="AX234" s="2"/>
      <c r="AY234" s="2"/>
      <c r="AZ234" s="2"/>
      <c r="BA234" s="2"/>
      <c r="BB234" s="2"/>
    </row>
    <row r="235">
      <c r="A235" s="2">
        <f>IFERROR(__xludf.DUMMYFUNCTION("""COMPUTED_VALUE"""),231.0)</f>
        <v>231</v>
      </c>
      <c r="B235" s="2" t="str">
        <f>IFERROR(__xludf.DUMMYFUNCTION("""COMPUTED_VALUE"""),"COMPLETED")</f>
        <v>COMPLETED</v>
      </c>
      <c r="C235" s="74">
        <f>IFERROR(__xludf.DUMMYFUNCTION("""COMPUTED_VALUE"""),45454.0)</f>
        <v>45454</v>
      </c>
      <c r="D235" s="71" t="str">
        <f>IFERROR(__xludf.DUMMYFUNCTION("""COMPUTED_VALUE"""),"Tenejero Pulilan Farmers Association")</f>
        <v>Tenejero Pulilan Farmers Association</v>
      </c>
      <c r="E235" s="71" t="str">
        <f>IFERROR(__xludf.DUMMYFUNCTION("""COMPUTED_VALUE"""),"Tinejero, Pulilan, BULACAN")</f>
        <v>Tinejero, Pulilan, BULACAN</v>
      </c>
      <c r="F235" s="2" t="str">
        <f>IFERROR(__xludf.DUMMYFUNCTION("""COMPUTED_VALUE"""),"JOSELITO C. ARCEO")</f>
        <v>JOSELITO C. ARCEO</v>
      </c>
      <c r="G235" s="2">
        <f>IFERROR(__xludf.DUMMYFUNCTION("""COMPUTED_VALUE"""),9.338659182E9)</f>
        <v>9338659182</v>
      </c>
      <c r="H235" s="2">
        <f>IFERROR(__xludf.DUMMYFUNCTION("""COMPUTED_VALUE"""),50.0)</f>
        <v>50</v>
      </c>
      <c r="I235" s="72" t="str">
        <f>IFERROR(__xludf.DUMMYFUNCTION("""COMPUTED_VALUE"""),"PMS")</f>
        <v>PMS</v>
      </c>
      <c r="J235" s="72" t="str">
        <f>IFERROR(__xludf.DUMMYFUNCTION("""COMPUTED_VALUE"""),"PMS")</f>
        <v>PMS</v>
      </c>
      <c r="K235" s="72" t="str">
        <f>IFERROR(__xludf.DUMMYFUNCTION("""COMPUTED_VALUE"""),"JHP: FIRTS PMS")</f>
        <v>JHP: FIRTS PMS</v>
      </c>
      <c r="L235" s="72" t="str">
        <f>IFERROR(__xludf.DUMMYFUNCTION("""COMPUTED_VALUE"""),"CHANGE OIL, KANILA ANG LANGIS")</f>
        <v>CHANGE OIL, KANILA ANG LANGIS</v>
      </c>
      <c r="M235" s="2"/>
      <c r="N235" s="2"/>
      <c r="O235" s="2" t="str">
        <f>IFERROR(__xludf.DUMMYFUNCTION("""COMPUTED_VALUE"""),"JIE-099")</f>
        <v>JIE-099</v>
      </c>
      <c r="P235" s="2"/>
      <c r="Q235" s="2"/>
      <c r="R235" s="74">
        <f>IFERROR(__xludf.DUMMYFUNCTION("""COMPUTED_VALUE"""),45454.0)</f>
        <v>45454</v>
      </c>
      <c r="S235" s="2" t="str">
        <f>IFERROR(__xludf.DUMMYFUNCTION("""COMPUTED_VALUE"""),"EGT/JDP")</f>
        <v>EGT/JDP</v>
      </c>
      <c r="T235" s="73" t="str">
        <f>IFERROR(__xludf.DUMMYFUNCTION("""COMPUTED_VALUE""")," N/A ")</f>
        <v>N/A</v>
      </c>
      <c r="U235" s="73" t="str">
        <f>IFERROR(__xludf.DUMMYFUNCTION("""COMPUTED_VALUE""")," NO CHARGE ")</f>
        <v>NO CHARGE</v>
      </c>
      <c r="V235" s="2"/>
      <c r="W235" s="2" t="str">
        <f>IFERROR(__xludf.DUMMYFUNCTION("""COMPUTED_VALUE"""),"N/A")</f>
        <v>N/A</v>
      </c>
      <c r="X235" s="2" t="str">
        <f>IFERROR(__xludf.DUMMYFUNCTION("""COMPUTED_VALUE"""),"N/A")</f>
        <v>N/A</v>
      </c>
      <c r="Y235" s="2"/>
      <c r="Z235" s="2"/>
      <c r="AA235" s="2"/>
      <c r="AB235" s="2"/>
      <c r="AC235" s="2"/>
      <c r="AD235" s="2"/>
      <c r="AE235" s="2"/>
      <c r="AF235" s="2"/>
      <c r="AG235" s="2"/>
      <c r="AH235" s="2"/>
      <c r="AI235" s="2"/>
      <c r="AJ235" s="2" t="str">
        <f>IFERROR(__xludf.DUMMYFUNCTION("""COMPUTED_VALUE"""),"Tinejero")</f>
        <v>Tinejero</v>
      </c>
      <c r="AK235" s="2" t="str">
        <f>IFERROR(__xludf.DUMMYFUNCTION("""COMPUTED_VALUE"""),"Pulilan")</f>
        <v>Pulilan</v>
      </c>
      <c r="AL235" s="2" t="str">
        <f>IFERROR(__xludf.DUMMYFUNCTION("""COMPUTED_VALUE"""),"Bulacan")</f>
        <v>Bulacan</v>
      </c>
      <c r="AM235" s="2">
        <f>IFERROR(__xludf.DUMMYFUNCTION("""COMPUTED_VALUE"""),3.0)</f>
        <v>3</v>
      </c>
      <c r="AN235" s="2" t="str">
        <f>IFERROR(__xludf.DUMMYFUNCTION("""COMPUTED_VALUE"""),"RCEF 23-09-21 Rebidding")</f>
        <v>RCEF 23-09-21 Rebidding</v>
      </c>
      <c r="AO235" s="2">
        <f>IFERROR(__xludf.DUMMYFUNCTION("""COMPUTED_VALUE"""),3.0)</f>
        <v>3</v>
      </c>
      <c r="AP235" s="2"/>
      <c r="AQ235" s="2"/>
      <c r="AR235" s="2"/>
      <c r="AS235" s="2"/>
      <c r="AT235" s="2"/>
      <c r="AU235" s="2"/>
      <c r="AV235" s="2"/>
      <c r="AW235" s="2"/>
      <c r="AX235" s="2"/>
      <c r="AY235" s="2"/>
      <c r="AZ235" s="2"/>
      <c r="BA235" s="2"/>
      <c r="BB235" s="2"/>
    </row>
    <row r="236">
      <c r="A236" s="2">
        <f>IFERROR(__xludf.DUMMYFUNCTION("""COMPUTED_VALUE"""),232.0)</f>
        <v>232</v>
      </c>
      <c r="B236" s="2" t="str">
        <f>IFERROR(__xludf.DUMMYFUNCTION("""COMPUTED_VALUE"""),"COMPLETED")</f>
        <v>COMPLETED</v>
      </c>
      <c r="C236" s="74">
        <f>IFERROR(__xludf.DUMMYFUNCTION("""COMPUTED_VALUE"""),45454.0)</f>
        <v>45454</v>
      </c>
      <c r="D236" s="71" t="str">
        <f>IFERROR(__xludf.DUMMYFUNCTION("""COMPUTED_VALUE"""),"Salay Farmers Association (SFA)")</f>
        <v>Salay Farmers Association (SFA)</v>
      </c>
      <c r="E236" s="71" t="str">
        <f>IFERROR(__xludf.DUMMYFUNCTION("""COMPUTED_VALUE"""),"Salay, San Agustin, ISABELA")</f>
        <v>Salay, San Agustin, ISABELA</v>
      </c>
      <c r="F236" s="2" t="str">
        <f>IFERROR(__xludf.DUMMYFUNCTION("""COMPUTED_VALUE"""),"SATURNINO P. DAQUIOAG")</f>
        <v>SATURNINO P. DAQUIOAG</v>
      </c>
      <c r="G236" s="2">
        <f>IFERROR(__xludf.DUMMYFUNCTION("""COMPUTED_VALUE"""),9.944347747E9)</f>
        <v>9944347747</v>
      </c>
      <c r="H236" s="2">
        <f>IFERROR(__xludf.DUMMYFUNCTION("""COMPUTED_VALUE"""),60.4)</f>
        <v>60.4</v>
      </c>
      <c r="I236" s="72" t="str">
        <f>IFERROR(__xludf.DUMMYFUNCTION("""COMPUTED_VALUE"""),"PMS")</f>
        <v>PMS</v>
      </c>
      <c r="J236" s="72" t="str">
        <f>IFERROR(__xludf.DUMMYFUNCTION("""COMPUTED_VALUE"""),"PMS")</f>
        <v>PMS</v>
      </c>
      <c r="K236" s="72" t="str">
        <f>IFERROR(__xludf.DUMMYFUNCTION("""COMPUTED_VALUE"""),"CJ: FIRTS PMS: SELF PMS")</f>
        <v>CJ: FIRTS PMS: SELF PMS</v>
      </c>
      <c r="L236" s="72" t="str">
        <f>IFERROR(__xludf.DUMMYFUNCTION("""COMPUTED_VALUE"""),"SEND AGREEMENT: FB: CHERIANNE DAQUIAOG: AGREEMENT SENT: FOR PRINT")</f>
        <v>SEND AGREEMENT: FB: CHERIANNE DAQUIAOG: AGREEMENT SENT: FOR PRINT</v>
      </c>
      <c r="M236" s="2"/>
      <c r="N236" s="2"/>
      <c r="O236" s="2" t="str">
        <f>IFERROR(__xludf.DUMMYFUNCTION("""COMPUTED_VALUE"""),"N/A")</f>
        <v>N/A</v>
      </c>
      <c r="P236" s="2"/>
      <c r="Q236" s="2"/>
      <c r="R236" s="74">
        <f>IFERROR(__xludf.DUMMYFUNCTION("""COMPUTED_VALUE"""),45454.0)</f>
        <v>45454</v>
      </c>
      <c r="S236" s="2" t="str">
        <f>IFERROR(__xludf.DUMMYFUNCTION("""COMPUTED_VALUE"""),"MYKEE")</f>
        <v>MYKEE</v>
      </c>
      <c r="T236" s="73" t="str">
        <f>IFERROR(__xludf.DUMMYFUNCTION("""COMPUTED_VALUE""")," N/A ")</f>
        <v>N/A</v>
      </c>
      <c r="U236" s="73" t="str">
        <f>IFERROR(__xludf.DUMMYFUNCTION("""COMPUTED_VALUE""")," NO CHARGE ")</f>
        <v>NO CHARGE</v>
      </c>
      <c r="V236" s="2"/>
      <c r="W236" s="2" t="str">
        <f>IFERROR(__xludf.DUMMYFUNCTION("""COMPUTED_VALUE"""),"N/A")</f>
        <v>N/A</v>
      </c>
      <c r="X236" s="2" t="str">
        <f>IFERROR(__xludf.DUMMYFUNCTION("""COMPUTED_VALUE"""),"N/A")</f>
        <v>N/A</v>
      </c>
      <c r="Y236" s="2"/>
      <c r="Z236" s="2"/>
      <c r="AA236" s="2"/>
      <c r="AB236" s="2"/>
      <c r="AC236" s="2"/>
      <c r="AD236" s="2"/>
      <c r="AE236" s="2"/>
      <c r="AF236" s="2"/>
      <c r="AG236" s="2"/>
      <c r="AH236" s="2"/>
      <c r="AI236" s="2"/>
      <c r="AJ236" s="2" t="str">
        <f>IFERROR(__xludf.DUMMYFUNCTION("""COMPUTED_VALUE"""),"Salay")</f>
        <v>Salay</v>
      </c>
      <c r="AK236" s="2" t="str">
        <f>IFERROR(__xludf.DUMMYFUNCTION("""COMPUTED_VALUE"""),"San Agustin")</f>
        <v>San Agustin</v>
      </c>
      <c r="AL236" s="2" t="str">
        <f>IFERROR(__xludf.DUMMYFUNCTION("""COMPUTED_VALUE"""),"Isabela")</f>
        <v>Isabela</v>
      </c>
      <c r="AM236" s="2">
        <f>IFERROR(__xludf.DUMMYFUNCTION("""COMPUTED_VALUE"""),2.0)</f>
        <v>2</v>
      </c>
      <c r="AN236" s="2" t="str">
        <f>IFERROR(__xludf.DUMMYFUNCTION("""COMPUTED_VALUE"""),"RCEF 23-09-21 Rebidding")</f>
        <v>RCEF 23-09-21 Rebidding</v>
      </c>
      <c r="AO236" s="2">
        <f>IFERROR(__xludf.DUMMYFUNCTION("""COMPUTED_VALUE"""),9.0)</f>
        <v>9</v>
      </c>
      <c r="AP236" s="2"/>
      <c r="AQ236" s="2"/>
      <c r="AR236" s="2"/>
      <c r="AS236" s="2"/>
      <c r="AT236" s="2"/>
      <c r="AU236" s="2"/>
      <c r="AV236" s="2"/>
      <c r="AW236" s="2"/>
      <c r="AX236" s="2"/>
      <c r="AY236" s="2"/>
      <c r="AZ236" s="2"/>
      <c r="BA236" s="2"/>
      <c r="BB236" s="2"/>
    </row>
    <row r="237">
      <c r="A237" s="2">
        <f>IFERROR(__xludf.DUMMYFUNCTION("""COMPUTED_VALUE"""),233.0)</f>
        <v>233</v>
      </c>
      <c r="B237" s="2" t="str">
        <f>IFERROR(__xludf.DUMMYFUNCTION("""COMPUTED_VALUE"""),"COMPLETED")</f>
        <v>COMPLETED</v>
      </c>
      <c r="C237" s="74">
        <f>IFERROR(__xludf.DUMMYFUNCTION("""COMPUTED_VALUE"""),45454.0)</f>
        <v>45454</v>
      </c>
      <c r="D237" s="71" t="str">
        <f>IFERROR(__xludf.DUMMYFUNCTION("""COMPUTED_VALUE"""),"MAUBAN FARMERS ASSOCIATION")</f>
        <v>MAUBAN FARMERS ASSOCIATION</v>
      </c>
      <c r="E237" s="71" t="str">
        <f>IFERROR(__xludf.DUMMYFUNCTION("""COMPUTED_VALUE"""),"Rizaliana, Mauban, Quezon")</f>
        <v>Rizaliana, Mauban, Quezon</v>
      </c>
      <c r="F237" s="2" t="str">
        <f>IFERROR(__xludf.DUMMYFUNCTION("""COMPUTED_VALUE"""),"ROLANDO SANTILLANA")</f>
        <v>ROLANDO SANTILLANA</v>
      </c>
      <c r="G237" s="2">
        <f>IFERROR(__xludf.DUMMYFUNCTION("""COMPUTED_VALUE"""),9.634781475E9)</f>
        <v>9634781475</v>
      </c>
      <c r="H237" s="2">
        <f>IFERROR(__xludf.DUMMYFUNCTION("""COMPUTED_VALUE"""),77.0)</f>
        <v>77</v>
      </c>
      <c r="I237" s="72" t="str">
        <f>IFERROR(__xludf.DUMMYFUNCTION("""COMPUTED_VALUE"""),"PMS")</f>
        <v>PMS</v>
      </c>
      <c r="J237" s="72" t="str">
        <f>IFERROR(__xludf.DUMMYFUNCTION("""COMPUTED_VALUE"""),"PMS")</f>
        <v>PMS</v>
      </c>
      <c r="K237" s="72" t="str">
        <f>IFERROR(__xludf.DUMMYFUNCTION("""COMPUTED_VALUE"""),"KFS: FIRST PMS: SELF PMS ")</f>
        <v>KFS: FIRST PMS: SELF PMS </v>
      </c>
      <c r="L237" s="72" t="str">
        <f>IFERROR(__xludf.DUMMYFUNCTION("""COMPUTED_VALUE"""),"SEND AGREEMENT:FB: Edlyn Gamogamo Santillana: AGREEMENT SENT: FOR PRINT:CANCELLED")</f>
        <v>SEND AGREEMENT:FB: Edlyn Gamogamo Santillana: AGREEMENT SENT: FOR PRINT:CANCELLED</v>
      </c>
      <c r="M237" s="2"/>
      <c r="N237" s="2"/>
      <c r="O237" s="2" t="str">
        <f>IFERROR(__xludf.DUMMYFUNCTION("""COMPUTED_VALUE"""),"N/A")</f>
        <v>N/A</v>
      </c>
      <c r="P237" s="2"/>
      <c r="Q237" s="2"/>
      <c r="R237" s="74">
        <f>IFERROR(__xludf.DUMMYFUNCTION("""COMPUTED_VALUE"""),45454.0)</f>
        <v>45454</v>
      </c>
      <c r="S237" s="2" t="str">
        <f>IFERROR(__xludf.DUMMYFUNCTION("""COMPUTED_VALUE"""),"RCG/LBA")</f>
        <v>RCG/LBA</v>
      </c>
      <c r="T237" s="73" t="str">
        <f>IFERROR(__xludf.DUMMYFUNCTION("""COMPUTED_VALUE""")," N/A ")</f>
        <v>N/A</v>
      </c>
      <c r="U237" s="73" t="str">
        <f>IFERROR(__xludf.DUMMYFUNCTION("""COMPUTED_VALUE""")," NO CHARGE ")</f>
        <v>NO CHARGE</v>
      </c>
      <c r="V237" s="2"/>
      <c r="W237" s="2" t="str">
        <f>IFERROR(__xludf.DUMMYFUNCTION("""COMPUTED_VALUE"""),"N/A")</f>
        <v>N/A</v>
      </c>
      <c r="X237" s="2" t="str">
        <f>IFERROR(__xludf.DUMMYFUNCTION("""COMPUTED_VALUE"""),"N/A")</f>
        <v>N/A</v>
      </c>
      <c r="Y237" s="2"/>
      <c r="Z237" s="2"/>
      <c r="AA237" s="2"/>
      <c r="AB237" s="2"/>
      <c r="AC237" s="2"/>
      <c r="AD237" s="2"/>
      <c r="AE237" s="2"/>
      <c r="AF237" s="2"/>
      <c r="AG237" s="2"/>
      <c r="AH237" s="2"/>
      <c r="AI237" s="2"/>
      <c r="AJ237" s="2" t="str">
        <f>IFERROR(__xludf.DUMMYFUNCTION("""COMPUTED_VALUE"""),"Rizaliana")</f>
        <v>Rizaliana</v>
      </c>
      <c r="AK237" s="2" t="str">
        <f>IFERROR(__xludf.DUMMYFUNCTION("""COMPUTED_VALUE"""),"Mauban")</f>
        <v>Mauban</v>
      </c>
      <c r="AL237" s="2" t="str">
        <f>IFERROR(__xludf.DUMMYFUNCTION("""COMPUTED_VALUE"""),"Quezon")</f>
        <v>Quezon</v>
      </c>
      <c r="AM237" s="2" t="str">
        <f>IFERROR(__xludf.DUMMYFUNCTION("""COMPUTED_VALUE"""),"4A")</f>
        <v>4A</v>
      </c>
      <c r="AN237" s="2" t="str">
        <f>IFERROR(__xludf.DUMMYFUNCTION("""COMPUTED_VALUE"""),"RCEF 23-08-20 Rebidding")</f>
        <v>RCEF 23-08-20 Rebidding</v>
      </c>
      <c r="AO237" s="2">
        <f>IFERROR(__xludf.DUMMYFUNCTION("""COMPUTED_VALUE"""),1.0)</f>
        <v>1</v>
      </c>
      <c r="AP237" s="2"/>
      <c r="AQ237" s="2"/>
      <c r="AR237" s="2"/>
      <c r="AS237" s="2"/>
      <c r="AT237" s="2"/>
      <c r="AU237" s="2"/>
      <c r="AV237" s="2"/>
      <c r="AW237" s="2"/>
      <c r="AX237" s="2"/>
      <c r="AY237" s="2"/>
      <c r="AZ237" s="2"/>
      <c r="BA237" s="2"/>
      <c r="BB237" s="2"/>
    </row>
    <row r="238">
      <c r="A238" s="2">
        <f>IFERROR(__xludf.DUMMYFUNCTION("""COMPUTED_VALUE"""),234.0)</f>
        <v>234</v>
      </c>
      <c r="B238" s="2" t="str">
        <f>IFERROR(__xludf.DUMMYFUNCTION("""COMPUTED_VALUE"""),"COMPLETED")</f>
        <v>COMPLETED</v>
      </c>
      <c r="C238" s="74">
        <f>IFERROR(__xludf.DUMMYFUNCTION("""COMPUTED_VALUE"""),45454.0)</f>
        <v>45454</v>
      </c>
      <c r="D238" s="71" t="str">
        <f>IFERROR(__xludf.DUMMYFUNCTION("""COMPUTED_VALUE"""),"ABERAWAN FARMER'S ASSOCIATION (AFA)")</f>
        <v>ABERAWAN FARMER'S ASSOCIATION (AFA)</v>
      </c>
      <c r="E238" s="71" t="str">
        <f>IFERROR(__xludf.DUMMYFUNCTION("""COMPUTED_VALUE"""),"Aberawan, El Nido, Palawan")</f>
        <v>Aberawan, El Nido, Palawan</v>
      </c>
      <c r="F238" s="2" t="str">
        <f>IFERROR(__xludf.DUMMYFUNCTION("""COMPUTED_VALUE"""),"MARLON PANONCIO")</f>
        <v>MARLON PANONCIO</v>
      </c>
      <c r="G238" s="2">
        <f>IFERROR(__xludf.DUMMYFUNCTION("""COMPUTED_VALUE"""),9.755570164E9)</f>
        <v>9755570164</v>
      </c>
      <c r="H238" s="2">
        <f>IFERROR(__xludf.DUMMYFUNCTION("""COMPUTED_VALUE"""),60.0)</f>
        <v>60</v>
      </c>
      <c r="I238" s="72" t="str">
        <f>IFERROR(__xludf.DUMMYFUNCTION("""COMPUTED_VALUE"""),"PMS")</f>
        <v>PMS</v>
      </c>
      <c r="J238" s="72" t="str">
        <f>IFERROR(__xludf.DUMMYFUNCTION("""COMPUTED_VALUE"""),"PMS")</f>
        <v>PMS</v>
      </c>
      <c r="K238" s="72" t="str">
        <f>IFERROR(__xludf.DUMMYFUNCTION("""COMPUTED_VALUE"""),"ROY: FIRTS PMS: SELF PMS")</f>
        <v>ROY: FIRTS PMS: SELF PMS</v>
      </c>
      <c r="L238" s="72" t="str">
        <f>IFERROR(__xludf.DUMMYFUNCTION("""COMPUTED_VALUE"""),"SEND AGREEMENT:FB: MARLO PANONCIO: AGREEMENT SENT")</f>
        <v>SEND AGREEMENT:FB: MARLO PANONCIO: AGREEMENT SENT</v>
      </c>
      <c r="M238" s="2"/>
      <c r="N238" s="2"/>
      <c r="O238" s="2" t="str">
        <f>IFERROR(__xludf.DUMMYFUNCTION("""COMPUTED_VALUE"""),"N/A")</f>
        <v>N/A</v>
      </c>
      <c r="P238" s="2"/>
      <c r="Q238" s="2"/>
      <c r="R238" s="74">
        <f>IFERROR(__xludf.DUMMYFUNCTION("""COMPUTED_VALUE"""),45454.0)</f>
        <v>45454</v>
      </c>
      <c r="S238" s="2" t="str">
        <f>IFERROR(__xludf.DUMMYFUNCTION("""COMPUTED_VALUE"""),"MYKEE")</f>
        <v>MYKEE</v>
      </c>
      <c r="T238" s="2" t="str">
        <f>IFERROR(__xludf.DUMMYFUNCTION("""COMPUTED_VALUE"""),"N/A")</f>
        <v>N/A</v>
      </c>
      <c r="U238" s="73" t="str">
        <f>IFERROR(__xludf.DUMMYFUNCTION("""COMPUTED_VALUE""")," NO CHARGE ")</f>
        <v>NO CHARGE</v>
      </c>
      <c r="V238" s="2"/>
      <c r="W238" s="2" t="str">
        <f>IFERROR(__xludf.DUMMYFUNCTION("""COMPUTED_VALUE"""),"N/A")</f>
        <v>N/A</v>
      </c>
      <c r="X238" s="2" t="str">
        <f>IFERROR(__xludf.DUMMYFUNCTION("""COMPUTED_VALUE"""),"N/A")</f>
        <v>N/A</v>
      </c>
      <c r="Y238" s="2"/>
      <c r="Z238" s="2"/>
      <c r="AA238" s="2"/>
      <c r="AB238" s="2"/>
      <c r="AC238" s="2"/>
      <c r="AD238" s="2"/>
      <c r="AE238" s="2"/>
      <c r="AF238" s="2"/>
      <c r="AG238" s="2"/>
      <c r="AH238" s="2"/>
      <c r="AI238" s="2"/>
      <c r="AJ238" s="2" t="str">
        <f>IFERROR(__xludf.DUMMYFUNCTION("""COMPUTED_VALUE"""),"Aberawan")</f>
        <v>Aberawan</v>
      </c>
      <c r="AK238" s="2" t="str">
        <f>IFERROR(__xludf.DUMMYFUNCTION("""COMPUTED_VALUE"""),"El Nido")</f>
        <v>El Nido</v>
      </c>
      <c r="AL238" s="2" t="str">
        <f>IFERROR(__xludf.DUMMYFUNCTION("""COMPUTED_VALUE"""),"Palawan")</f>
        <v>Palawan</v>
      </c>
      <c r="AM238" s="2" t="str">
        <f>IFERROR(__xludf.DUMMYFUNCTION("""COMPUTED_VALUE"""),"4B")</f>
        <v>4B</v>
      </c>
      <c r="AN238" s="2" t="str">
        <f>IFERROR(__xludf.DUMMYFUNCTION("""COMPUTED_VALUE"""),"RCEF 23-08-20 Rebidding")</f>
        <v>RCEF 23-08-20 Rebidding</v>
      </c>
      <c r="AO238" s="2">
        <f>IFERROR(__xludf.DUMMYFUNCTION("""COMPUTED_VALUE"""),1.0)</f>
        <v>1</v>
      </c>
      <c r="AP238" s="2"/>
      <c r="AQ238" s="2"/>
      <c r="AR238" s="2"/>
      <c r="AS238" s="2"/>
      <c r="AT238" s="2"/>
      <c r="AU238" s="2"/>
      <c r="AV238" s="2"/>
      <c r="AW238" s="2"/>
      <c r="AX238" s="2"/>
      <c r="AY238" s="2"/>
      <c r="AZ238" s="2"/>
      <c r="BA238" s="2"/>
      <c r="BB238" s="2"/>
    </row>
    <row r="239">
      <c r="A239" s="2">
        <f>IFERROR(__xludf.DUMMYFUNCTION("""COMPUTED_VALUE"""),235.0)</f>
        <v>235</v>
      </c>
      <c r="B239" s="2" t="str">
        <f>IFERROR(__xludf.DUMMYFUNCTION("""COMPUTED_VALUE"""),"COMPLETED")</f>
        <v>COMPLETED</v>
      </c>
      <c r="C239" s="74">
        <f>IFERROR(__xludf.DUMMYFUNCTION("""COMPUTED_VALUE"""),45454.0)</f>
        <v>45454</v>
      </c>
      <c r="D239" s="71" t="str">
        <f>IFERROR(__xludf.DUMMYFUNCTION("""COMPUTED_VALUE"""),"Municipal Local Government Unit of Llanera")</f>
        <v>Municipal Local Government Unit of Llanera</v>
      </c>
      <c r="E239" s="71" t="str">
        <f>IFERROR(__xludf.DUMMYFUNCTION("""COMPUTED_VALUE"""),"Victoria, Llanera, NUEVA ECIJA")</f>
        <v>Victoria, Llanera, NUEVA ECIJA</v>
      </c>
      <c r="F239" s="2" t="str">
        <f>IFERROR(__xludf.DUMMYFUNCTION("""COMPUTED_VALUE"""),"RONNIE G. PASCUAL")</f>
        <v>RONNIE G. PASCUAL</v>
      </c>
      <c r="G239" s="2" t="str">
        <f>IFERROR(__xludf.DUMMYFUNCTION("""COMPUTED_VALUE"""),"09295345719      /       09393036339")</f>
        <v>09295345719      /       09393036339</v>
      </c>
      <c r="H239" s="2"/>
      <c r="I239" s="72" t="str">
        <f>IFERROR(__xludf.DUMMYFUNCTION("""COMPUTED_VALUE"""),"PMS")</f>
        <v>PMS</v>
      </c>
      <c r="J239" s="72" t="str">
        <f>IFERROR(__xludf.DUMMYFUNCTION("""COMPUTED_VALUE"""),"PMS")</f>
        <v>PMS</v>
      </c>
      <c r="K239" s="72" t="str">
        <f>IFERROR(__xludf.DUMMYFUNCTION("""COMPUTED_VALUE"""),"DSD:FIRST PMS: SELF PMS")</f>
        <v>DSD:FIRST PMS: SELF PMS</v>
      </c>
      <c r="L239" s="72" t="str">
        <f>IFERROR(__xludf.DUMMYFUNCTION("""COMPUTED_VALUE"""),"SEND ANGREEMENT:FB: LOULEX CORPUZ: AGREEMENT SENT: FOR PRINT: PRINTED")</f>
        <v>SEND ANGREEMENT:FB: LOULEX CORPUZ: AGREEMENT SENT: FOR PRINT: PRINTED</v>
      </c>
      <c r="M239" s="2"/>
      <c r="N239" s="2"/>
      <c r="O239" s="2" t="str">
        <f>IFERROR(__xludf.DUMMYFUNCTION("""COMPUTED_VALUE"""),"N/A")</f>
        <v>N/A</v>
      </c>
      <c r="P239" s="2"/>
      <c r="Q239" s="2"/>
      <c r="R239" s="74">
        <f>IFERROR(__xludf.DUMMYFUNCTION("""COMPUTED_VALUE"""),45454.0)</f>
        <v>45454</v>
      </c>
      <c r="S239" s="2" t="str">
        <f>IFERROR(__xludf.DUMMYFUNCTION("""COMPUTED_VALUE"""),"MYKEE")</f>
        <v>MYKEE</v>
      </c>
      <c r="T239" s="73" t="str">
        <f>IFERROR(__xludf.DUMMYFUNCTION("""COMPUTED_VALUE""")," N/A ")</f>
        <v>N/A</v>
      </c>
      <c r="U239" s="73" t="str">
        <f>IFERROR(__xludf.DUMMYFUNCTION("""COMPUTED_VALUE""")," NO CHARGE ")</f>
        <v>NO CHARGE</v>
      </c>
      <c r="V239" s="2"/>
      <c r="W239" s="2" t="str">
        <f>IFERROR(__xludf.DUMMYFUNCTION("""COMPUTED_VALUE"""),"N/A")</f>
        <v>N/A</v>
      </c>
      <c r="X239" s="2" t="str">
        <f>IFERROR(__xludf.DUMMYFUNCTION("""COMPUTED_VALUE"""),"N/A")</f>
        <v>N/A</v>
      </c>
      <c r="Y239" s="2"/>
      <c r="Z239" s="2"/>
      <c r="AA239" s="2"/>
      <c r="AB239" s="2"/>
      <c r="AC239" s="2"/>
      <c r="AD239" s="2"/>
      <c r="AE239" s="2"/>
      <c r="AF239" s="2"/>
      <c r="AG239" s="2"/>
      <c r="AH239" s="2"/>
      <c r="AI239" s="2"/>
      <c r="AJ239" s="2" t="str">
        <f>IFERROR(__xludf.DUMMYFUNCTION("""COMPUTED_VALUE"""),"Victoria")</f>
        <v>Victoria</v>
      </c>
      <c r="AK239" s="2" t="str">
        <f>IFERROR(__xludf.DUMMYFUNCTION("""COMPUTED_VALUE"""),"Llanera")</f>
        <v>Llanera</v>
      </c>
      <c r="AL239" s="2" t="str">
        <f>IFERROR(__xludf.DUMMYFUNCTION("""COMPUTED_VALUE"""),"Nueva Ecija")</f>
        <v>Nueva Ecija</v>
      </c>
      <c r="AM239" s="2">
        <f>IFERROR(__xludf.DUMMYFUNCTION("""COMPUTED_VALUE"""),3.0)</f>
        <v>3</v>
      </c>
      <c r="AN239" s="2" t="str">
        <f>IFERROR(__xludf.DUMMYFUNCTION("""COMPUTED_VALUE"""),"RCEF 23-09-21 Rebidding")</f>
        <v>RCEF 23-09-21 Rebidding</v>
      </c>
      <c r="AO239" s="2">
        <f>IFERROR(__xludf.DUMMYFUNCTION("""COMPUTED_VALUE"""),3.0)</f>
        <v>3</v>
      </c>
      <c r="AP239" s="2"/>
      <c r="AQ239" s="2"/>
      <c r="AR239" s="2"/>
      <c r="AS239" s="2"/>
      <c r="AT239" s="2"/>
      <c r="AU239" s="2"/>
      <c r="AV239" s="2"/>
      <c r="AW239" s="2"/>
      <c r="AX239" s="2"/>
      <c r="AY239" s="2"/>
      <c r="AZ239" s="2"/>
      <c r="BA239" s="2"/>
      <c r="BB239" s="2"/>
    </row>
    <row r="240">
      <c r="A240" s="2">
        <f>IFERROR(__xludf.DUMMYFUNCTION("""COMPUTED_VALUE"""),236.0)</f>
        <v>236</v>
      </c>
      <c r="B240" s="2" t="str">
        <f>IFERROR(__xludf.DUMMYFUNCTION("""COMPUTED_VALUE"""),"COMPLETED")</f>
        <v>COMPLETED</v>
      </c>
      <c r="C240" s="74">
        <f>IFERROR(__xludf.DUMMYFUNCTION("""COMPUTED_VALUE"""),45454.0)</f>
        <v>45454</v>
      </c>
      <c r="D240" s="71" t="str">
        <f>IFERROR(__xludf.DUMMYFUNCTION("""COMPUTED_VALUE"""),"LURIMADEL IRRIGATORS' ASSOCIATION, INC.")</f>
        <v>LURIMADEL IRRIGATORS' ASSOCIATION, INC.</v>
      </c>
      <c r="E240" s="71" t="str">
        <f>IFERROR(__xludf.DUMMYFUNCTION("""COMPUTED_VALUE"""),"General Ricarte, Llanera, NUEVA ECIJA")</f>
        <v>General Ricarte, Llanera, NUEVA ECIJA</v>
      </c>
      <c r="F240" s="2" t="str">
        <f>IFERROR(__xludf.DUMMYFUNCTION("""COMPUTED_VALUE"""),"NICK M. CARA")</f>
        <v>NICK M. CARA</v>
      </c>
      <c r="G240" s="2">
        <f>IFERROR(__xludf.DUMMYFUNCTION("""COMPUTED_VALUE"""),9.268115331E9)</f>
        <v>9268115331</v>
      </c>
      <c r="H240" s="2"/>
      <c r="I240" s="72" t="str">
        <f>IFERROR(__xludf.DUMMYFUNCTION("""COMPUTED_VALUE"""),"PMS")</f>
        <v>PMS</v>
      </c>
      <c r="J240" s="72" t="str">
        <f>IFERROR(__xludf.DUMMYFUNCTION("""COMPUTED_VALUE"""),"PMS")</f>
        <v>PMS</v>
      </c>
      <c r="K240" s="72" t="str">
        <f>IFERROR(__xludf.DUMMYFUNCTION("""COMPUTED_VALUE"""),"DSD:FIRST PMS: SELF PMS")</f>
        <v>DSD:FIRST PMS: SELF PMS</v>
      </c>
      <c r="L240" s="72" t="str">
        <f>IFERROR(__xludf.DUMMYFUNCTION("""COMPUTED_VALUE"""),"SEND AGREEMENT: FB: NICK CARA: AGREEMENT SENT: FOR PRINT:PRINTED")</f>
        <v>SEND AGREEMENT: FB: NICK CARA: AGREEMENT SENT: FOR PRINT:PRINTED</v>
      </c>
      <c r="M240" s="2"/>
      <c r="N240" s="2"/>
      <c r="O240" s="2" t="str">
        <f>IFERROR(__xludf.DUMMYFUNCTION("""COMPUTED_VALUE"""),"N/A")</f>
        <v>N/A</v>
      </c>
      <c r="P240" s="2"/>
      <c r="Q240" s="2"/>
      <c r="R240" s="74">
        <f>IFERROR(__xludf.DUMMYFUNCTION("""COMPUTED_VALUE"""),45454.0)</f>
        <v>45454</v>
      </c>
      <c r="S240" s="2" t="str">
        <f>IFERROR(__xludf.DUMMYFUNCTION("""COMPUTED_VALUE"""),"MYKEE")</f>
        <v>MYKEE</v>
      </c>
      <c r="T240" s="73" t="str">
        <f>IFERROR(__xludf.DUMMYFUNCTION("""COMPUTED_VALUE""")," N/A ")</f>
        <v>N/A</v>
      </c>
      <c r="U240" s="73" t="str">
        <f>IFERROR(__xludf.DUMMYFUNCTION("""COMPUTED_VALUE""")," NO CHARGE ")</f>
        <v>NO CHARGE</v>
      </c>
      <c r="V240" s="2"/>
      <c r="W240" s="2" t="str">
        <f>IFERROR(__xludf.DUMMYFUNCTION("""COMPUTED_VALUE"""),"N/A")</f>
        <v>N/A</v>
      </c>
      <c r="X240" s="2" t="str">
        <f>IFERROR(__xludf.DUMMYFUNCTION("""COMPUTED_VALUE"""),"N/A")</f>
        <v>N/A</v>
      </c>
      <c r="Y240" s="2"/>
      <c r="Z240" s="2"/>
      <c r="AA240" s="2"/>
      <c r="AB240" s="2"/>
      <c r="AC240" s="2"/>
      <c r="AD240" s="2"/>
      <c r="AE240" s="2"/>
      <c r="AF240" s="2"/>
      <c r="AG240" s="2"/>
      <c r="AH240" s="2"/>
      <c r="AI240" s="2"/>
      <c r="AJ240" s="2" t="str">
        <f>IFERROR(__xludf.DUMMYFUNCTION("""COMPUTED_VALUE"""),"General Ricarte")</f>
        <v>General Ricarte</v>
      </c>
      <c r="AK240" s="2" t="str">
        <f>IFERROR(__xludf.DUMMYFUNCTION("""COMPUTED_VALUE"""),"Llanera")</f>
        <v>Llanera</v>
      </c>
      <c r="AL240" s="2" t="str">
        <f>IFERROR(__xludf.DUMMYFUNCTION("""COMPUTED_VALUE"""),"Nueva Ecija")</f>
        <v>Nueva Ecija</v>
      </c>
      <c r="AM240" s="2">
        <f>IFERROR(__xludf.DUMMYFUNCTION("""COMPUTED_VALUE"""),3.0)</f>
        <v>3</v>
      </c>
      <c r="AN240" s="2" t="str">
        <f>IFERROR(__xludf.DUMMYFUNCTION("""COMPUTED_VALUE"""),"RCEF 23-09-21 Rebidding")</f>
        <v>RCEF 23-09-21 Rebidding</v>
      </c>
      <c r="AO240" s="2">
        <f>IFERROR(__xludf.DUMMYFUNCTION("""COMPUTED_VALUE"""),3.0)</f>
        <v>3</v>
      </c>
      <c r="AP240" s="2"/>
      <c r="AQ240" s="2"/>
      <c r="AR240" s="2"/>
      <c r="AS240" s="2"/>
      <c r="AT240" s="2"/>
      <c r="AU240" s="2"/>
      <c r="AV240" s="2"/>
      <c r="AW240" s="2"/>
      <c r="AX240" s="2"/>
      <c r="AY240" s="2"/>
      <c r="AZ240" s="2"/>
      <c r="BA240" s="2"/>
      <c r="BB240" s="2"/>
    </row>
    <row r="241">
      <c r="A241" s="2">
        <f>IFERROR(__xludf.DUMMYFUNCTION("""COMPUTED_VALUE"""),237.0)</f>
        <v>237</v>
      </c>
      <c r="B241" s="2" t="str">
        <f>IFERROR(__xludf.DUMMYFUNCTION("""COMPUTED_VALUE"""),"COMPLETED")</f>
        <v>COMPLETED</v>
      </c>
      <c r="C241" s="74">
        <f>IFERROR(__xludf.DUMMYFUNCTION("""COMPUTED_VALUE"""),45454.0)</f>
        <v>45454</v>
      </c>
      <c r="D241" s="71" t="str">
        <f>IFERROR(__xludf.DUMMYFUNCTION("""COMPUTED_VALUE"""),"SITIO TUBONG UPLAND FARMERS ASSOCIATION INC.")</f>
        <v>SITIO TUBONG UPLAND FARMERS ASSOCIATION INC.</v>
      </c>
      <c r="E241" s="71" t="str">
        <f>IFERROR(__xludf.DUMMYFUNCTION("""COMPUTED_VALUE"""),"Bunga, Carranglan, NUEVA ECIJA")</f>
        <v>Bunga, Carranglan, NUEVA ECIJA</v>
      </c>
      <c r="F241" s="2" t="str">
        <f>IFERROR(__xludf.DUMMYFUNCTION("""COMPUTED_VALUE"""),"NENILDO NANTES")</f>
        <v>NENILDO NANTES</v>
      </c>
      <c r="G241" s="2">
        <f>IFERROR(__xludf.DUMMYFUNCTION("""COMPUTED_VALUE"""),9.926872542E9)</f>
        <v>9926872542</v>
      </c>
      <c r="H241" s="2"/>
      <c r="I241" s="72" t="str">
        <f>IFERROR(__xludf.DUMMYFUNCTION("""COMPUTED_VALUE"""),"PMS")</f>
        <v>PMS</v>
      </c>
      <c r="J241" s="72" t="str">
        <f>IFERROR(__xludf.DUMMYFUNCTION("""COMPUTED_VALUE"""),"PMS")</f>
        <v>PMS</v>
      </c>
      <c r="K241" s="72" t="str">
        <f>IFERROR(__xludf.DUMMYFUNCTION("""COMPUTED_VALUE"""),"DSD:FIRST PMS: SELF PMS")</f>
        <v>DSD:FIRST PMS: SELF PMS</v>
      </c>
      <c r="L241" s="72" t="str">
        <f>IFERROR(__xludf.DUMMYFUNCTION("""COMPUTED_VALUE"""),"SEND ANGREEMENT:FB; NENILDO C. NANTES: AGREEMENT SENT")</f>
        <v>SEND ANGREEMENT:FB; NENILDO C. NANTES: AGREEMENT SENT</v>
      </c>
      <c r="M241" s="2"/>
      <c r="N241" s="2"/>
      <c r="O241" s="2" t="str">
        <f>IFERROR(__xludf.DUMMYFUNCTION("""COMPUTED_VALUE"""),"N/A")</f>
        <v>N/A</v>
      </c>
      <c r="P241" s="2"/>
      <c r="Q241" s="2"/>
      <c r="R241" s="74">
        <f>IFERROR(__xludf.DUMMYFUNCTION("""COMPUTED_VALUE"""),45454.0)</f>
        <v>45454</v>
      </c>
      <c r="S241" s="2" t="str">
        <f>IFERROR(__xludf.DUMMYFUNCTION("""COMPUTED_VALUE"""),"MYKEE")</f>
        <v>MYKEE</v>
      </c>
      <c r="T241" s="73" t="str">
        <f>IFERROR(__xludf.DUMMYFUNCTION("""COMPUTED_VALUE""")," N/A ")</f>
        <v>N/A</v>
      </c>
      <c r="U241" s="73" t="str">
        <f>IFERROR(__xludf.DUMMYFUNCTION("""COMPUTED_VALUE""")," NO CHARGE ")</f>
        <v>NO CHARGE</v>
      </c>
      <c r="V241" s="2"/>
      <c r="W241" s="2" t="str">
        <f>IFERROR(__xludf.DUMMYFUNCTION("""COMPUTED_VALUE"""),"N/A")</f>
        <v>N/A</v>
      </c>
      <c r="X241" s="2" t="str">
        <f>IFERROR(__xludf.DUMMYFUNCTION("""COMPUTED_VALUE"""),"N/A")</f>
        <v>N/A</v>
      </c>
      <c r="Y241" s="2"/>
      <c r="Z241" s="2"/>
      <c r="AA241" s="2"/>
      <c r="AB241" s="2"/>
      <c r="AC241" s="2"/>
      <c r="AD241" s="2"/>
      <c r="AE241" s="2"/>
      <c r="AF241" s="2"/>
      <c r="AG241" s="2"/>
      <c r="AH241" s="2"/>
      <c r="AI241" s="2"/>
      <c r="AJ241" s="2" t="str">
        <f>IFERROR(__xludf.DUMMYFUNCTION("""COMPUTED_VALUE"""),"Bunga")</f>
        <v>Bunga</v>
      </c>
      <c r="AK241" s="2" t="str">
        <f>IFERROR(__xludf.DUMMYFUNCTION("""COMPUTED_VALUE"""),"Carranglan")</f>
        <v>Carranglan</v>
      </c>
      <c r="AL241" s="2" t="str">
        <f>IFERROR(__xludf.DUMMYFUNCTION("""COMPUTED_VALUE"""),"Nueva Ecija")</f>
        <v>Nueva Ecija</v>
      </c>
      <c r="AM241" s="2">
        <f>IFERROR(__xludf.DUMMYFUNCTION("""COMPUTED_VALUE"""),3.0)</f>
        <v>3</v>
      </c>
      <c r="AN241" s="2" t="str">
        <f>IFERROR(__xludf.DUMMYFUNCTION("""COMPUTED_VALUE"""),"RCEF 23-09-21 Rebidding")</f>
        <v>RCEF 23-09-21 Rebidding</v>
      </c>
      <c r="AO241" s="2">
        <f>IFERROR(__xludf.DUMMYFUNCTION("""COMPUTED_VALUE"""),3.0)</f>
        <v>3</v>
      </c>
      <c r="AP241" s="2"/>
      <c r="AQ241" s="2"/>
      <c r="AR241" s="2"/>
      <c r="AS241" s="2"/>
      <c r="AT241" s="2"/>
      <c r="AU241" s="2"/>
      <c r="AV241" s="2"/>
      <c r="AW241" s="2"/>
      <c r="AX241" s="2"/>
      <c r="AY241" s="2"/>
      <c r="AZ241" s="2"/>
      <c r="BA241" s="2"/>
      <c r="BB241" s="2"/>
    </row>
    <row r="242">
      <c r="A242" s="2">
        <f>IFERROR(__xludf.DUMMYFUNCTION("""COMPUTED_VALUE"""),238.0)</f>
        <v>238</v>
      </c>
      <c r="B242" s="2" t="str">
        <f>IFERROR(__xludf.DUMMYFUNCTION("""COMPUTED_VALUE"""),"COMPLETED")</f>
        <v>COMPLETED</v>
      </c>
      <c r="C242" s="74">
        <f>IFERROR(__xludf.DUMMYFUNCTION("""COMPUTED_VALUE"""),45454.0)</f>
        <v>45454</v>
      </c>
      <c r="D242" s="71" t="str">
        <f>IFERROR(__xludf.DUMMYFUNCTION("""COMPUTED_VALUE"""),"SANFELBIAG IRRIGATORS ASSOCIATION, INC.")</f>
        <v>SANFELBIAG IRRIGATORS ASSOCIATION, INC.</v>
      </c>
      <c r="E242" s="71" t="str">
        <f>IFERROR(__xludf.DUMMYFUNCTION("""COMPUTED_VALUE"""),"Bagumbayan (Pob.), Llanera, NUEVA ECIJA")</f>
        <v>Bagumbayan (Pob.), Llanera, NUEVA ECIJA</v>
      </c>
      <c r="F242" s="2" t="str">
        <f>IFERROR(__xludf.DUMMYFUNCTION("""COMPUTED_VALUE"""),"REYNALDO M. BUSTAMANTE")</f>
        <v>REYNALDO M. BUSTAMANTE</v>
      </c>
      <c r="G242" s="2">
        <f>IFERROR(__xludf.DUMMYFUNCTION("""COMPUTED_VALUE"""),9.050994599E9)</f>
        <v>9050994599</v>
      </c>
      <c r="H242" s="2"/>
      <c r="I242" s="72" t="str">
        <f>IFERROR(__xludf.DUMMYFUNCTION("""COMPUTED_VALUE"""),"PMS")</f>
        <v>PMS</v>
      </c>
      <c r="J242" s="72" t="str">
        <f>IFERROR(__xludf.DUMMYFUNCTION("""COMPUTED_VALUE"""),"PMS")</f>
        <v>PMS</v>
      </c>
      <c r="K242" s="72" t="str">
        <f>IFERROR(__xludf.DUMMYFUNCTION("""COMPUTED_VALUE"""),"DSD:FIRST PMS: SELF PMS")</f>
        <v>DSD:FIRST PMS: SELF PMS</v>
      </c>
      <c r="L242" s="72" t="str">
        <f>IFERROR(__xludf.DUMMYFUNCTION("""COMPUTED_VALUE"""),"SEND ANGREEMENT:FB: Reycard Toledo Esposo: AGREEMENT SENT")</f>
        <v>SEND ANGREEMENT:FB: Reycard Toledo Esposo: AGREEMENT SENT</v>
      </c>
      <c r="M242" s="2"/>
      <c r="N242" s="2"/>
      <c r="O242" s="2" t="str">
        <f>IFERROR(__xludf.DUMMYFUNCTION("""COMPUTED_VALUE"""),"N/A")</f>
        <v>N/A</v>
      </c>
      <c r="P242" s="2"/>
      <c r="Q242" s="2"/>
      <c r="R242" s="74">
        <f>IFERROR(__xludf.DUMMYFUNCTION("""COMPUTED_VALUE"""),45454.0)</f>
        <v>45454</v>
      </c>
      <c r="S242" s="2" t="str">
        <f>IFERROR(__xludf.DUMMYFUNCTION("""COMPUTED_VALUE"""),"MYKEE")</f>
        <v>MYKEE</v>
      </c>
      <c r="T242" s="2" t="str">
        <f>IFERROR(__xludf.DUMMYFUNCTION("""COMPUTED_VALUE"""),"N/A")</f>
        <v>N/A</v>
      </c>
      <c r="U242" s="73" t="str">
        <f>IFERROR(__xludf.DUMMYFUNCTION("""COMPUTED_VALUE""")," NO CHARGE ")</f>
        <v>NO CHARGE</v>
      </c>
      <c r="V242" s="2"/>
      <c r="W242" s="2" t="str">
        <f>IFERROR(__xludf.DUMMYFUNCTION("""COMPUTED_VALUE"""),"N/A")</f>
        <v>N/A</v>
      </c>
      <c r="X242" s="2" t="str">
        <f>IFERROR(__xludf.DUMMYFUNCTION("""COMPUTED_VALUE"""),"N/A")</f>
        <v>N/A</v>
      </c>
      <c r="Y242" s="2"/>
      <c r="Z242" s="2"/>
      <c r="AA242" s="2"/>
      <c r="AB242" s="2"/>
      <c r="AC242" s="2"/>
      <c r="AD242" s="2"/>
      <c r="AE242" s="2"/>
      <c r="AF242" s="2"/>
      <c r="AG242" s="2"/>
      <c r="AH242" s="2"/>
      <c r="AI242" s="2"/>
      <c r="AJ242" s="2" t="str">
        <f>IFERROR(__xludf.DUMMYFUNCTION("""COMPUTED_VALUE"""),"Bagumbayan (Pob.)")</f>
        <v>Bagumbayan (Pob.)</v>
      </c>
      <c r="AK242" s="2" t="str">
        <f>IFERROR(__xludf.DUMMYFUNCTION("""COMPUTED_VALUE"""),"Llanera")</f>
        <v>Llanera</v>
      </c>
      <c r="AL242" s="2" t="str">
        <f>IFERROR(__xludf.DUMMYFUNCTION("""COMPUTED_VALUE"""),"Nueva Ecija")</f>
        <v>Nueva Ecija</v>
      </c>
      <c r="AM242" s="2">
        <f>IFERROR(__xludf.DUMMYFUNCTION("""COMPUTED_VALUE"""),3.0)</f>
        <v>3</v>
      </c>
      <c r="AN242" s="2" t="str">
        <f>IFERROR(__xludf.DUMMYFUNCTION("""COMPUTED_VALUE"""),"RCEF 23-09-21 Rebidding")</f>
        <v>RCEF 23-09-21 Rebidding</v>
      </c>
      <c r="AO242" s="2">
        <f>IFERROR(__xludf.DUMMYFUNCTION("""COMPUTED_VALUE"""),3.0)</f>
        <v>3</v>
      </c>
      <c r="AP242" s="2"/>
      <c r="AQ242" s="2"/>
      <c r="AR242" s="2"/>
      <c r="AS242" s="2"/>
      <c r="AT242" s="2"/>
      <c r="AU242" s="2"/>
      <c r="AV242" s="2"/>
      <c r="AW242" s="2"/>
      <c r="AX242" s="2"/>
      <c r="AY242" s="2"/>
      <c r="AZ242" s="2"/>
      <c r="BA242" s="2"/>
      <c r="BB242" s="2"/>
    </row>
    <row r="243">
      <c r="A243" s="2">
        <f>IFERROR(__xludf.DUMMYFUNCTION("""COMPUTED_VALUE"""),239.0)</f>
        <v>239</v>
      </c>
      <c r="B243" s="2" t="str">
        <f>IFERROR(__xludf.DUMMYFUNCTION("""COMPUTED_VALUE"""),"COMPLETED")</f>
        <v>COMPLETED</v>
      </c>
      <c r="C243" s="74">
        <f>IFERROR(__xludf.DUMMYFUNCTION("""COMPUTED_VALUE"""),45454.0)</f>
        <v>45454</v>
      </c>
      <c r="D243" s="71" t="str">
        <f>IFERROR(__xludf.DUMMYFUNCTION("""COMPUTED_VALUE"""),"DILAKAY IRRIGATORS ASSOCIATION INC.")</f>
        <v>DILAKAY IRRIGATORS ASSOCIATION INC.</v>
      </c>
      <c r="E243" s="71" t="str">
        <f>IFERROR(__xludf.DUMMYFUNCTION("""COMPUTED_VALUE"""),"Cadaclan, Pantabangan, NUEVA ECIJA")</f>
        <v>Cadaclan, Pantabangan, NUEVA ECIJA</v>
      </c>
      <c r="F243" s="2" t="str">
        <f>IFERROR(__xludf.DUMMYFUNCTION("""COMPUTED_VALUE"""),"DANTE DM. ORMILON")</f>
        <v>DANTE DM. ORMILON</v>
      </c>
      <c r="G243" s="2" t="str">
        <f>IFERROR(__xludf.DUMMYFUNCTION("""COMPUTED_VALUE"""),"9977331755  /  09263471672")</f>
        <v>9977331755  /  09263471672</v>
      </c>
      <c r="H243" s="2">
        <f>IFERROR(__xludf.DUMMYFUNCTION("""COMPUTED_VALUE"""),70.0)</f>
        <v>70</v>
      </c>
      <c r="I243" s="72" t="str">
        <f>IFERROR(__xludf.DUMMYFUNCTION("""COMPUTED_VALUE"""),"PMS")</f>
        <v>PMS</v>
      </c>
      <c r="J243" s="72" t="str">
        <f>IFERROR(__xludf.DUMMYFUNCTION("""COMPUTED_VALUE"""),"PMS")</f>
        <v>PMS</v>
      </c>
      <c r="K243" s="72" t="str">
        <f>IFERROR(__xludf.DUMMYFUNCTION("""COMPUTED_VALUE"""),"DSD:FIRST PMS: SELF PMS")</f>
        <v>DSD:FIRST PMS: SELF PMS</v>
      </c>
      <c r="L243" s="72" t="str">
        <f>IFERROR(__xludf.DUMMYFUNCTION("""COMPUTED_VALUE"""),"SEND AGREEMENT: CONNOT BE REACH")</f>
        <v>SEND AGREEMENT: CONNOT BE REACH</v>
      </c>
      <c r="M243" s="2"/>
      <c r="N243" s="2"/>
      <c r="O243" s="2" t="str">
        <f>IFERROR(__xludf.DUMMYFUNCTION("""COMPUTED_VALUE"""),"N/A")</f>
        <v>N/A</v>
      </c>
      <c r="P243" s="2"/>
      <c r="Q243" s="2"/>
      <c r="R243" s="74">
        <f>IFERROR(__xludf.DUMMYFUNCTION("""COMPUTED_VALUE"""),45492.0)</f>
        <v>45492</v>
      </c>
      <c r="S243" s="2" t="str">
        <f>IFERROR(__xludf.DUMMYFUNCTION("""COMPUTED_VALUE"""),"MYKEE")</f>
        <v>MYKEE</v>
      </c>
      <c r="T243" s="2" t="str">
        <f>IFERROR(__xludf.DUMMYFUNCTION("""COMPUTED_VALUE"""),"N/A")</f>
        <v>N/A</v>
      </c>
      <c r="U243" s="73" t="str">
        <f>IFERROR(__xludf.DUMMYFUNCTION("""COMPUTED_VALUE""")," NO CHARGE ")</f>
        <v>NO CHARGE</v>
      </c>
      <c r="V243" s="2"/>
      <c r="W243" s="2" t="str">
        <f>IFERROR(__xludf.DUMMYFUNCTION("""COMPUTED_VALUE"""),"N/A")</f>
        <v>N/A</v>
      </c>
      <c r="X243" s="2" t="str">
        <f>IFERROR(__xludf.DUMMYFUNCTION("""COMPUTED_VALUE"""),"N/A")</f>
        <v>N/A</v>
      </c>
      <c r="Y243" s="2"/>
      <c r="Z243" s="2"/>
      <c r="AA243" s="2"/>
      <c r="AB243" s="2"/>
      <c r="AC243" s="2"/>
      <c r="AD243" s="2"/>
      <c r="AE243" s="2"/>
      <c r="AF243" s="2"/>
      <c r="AG243" s="2"/>
      <c r="AH243" s="2"/>
      <c r="AI243" s="2"/>
      <c r="AJ243" s="2" t="str">
        <f>IFERROR(__xludf.DUMMYFUNCTION("""COMPUTED_VALUE"""),"Cadaclan")</f>
        <v>Cadaclan</v>
      </c>
      <c r="AK243" s="2" t="str">
        <f>IFERROR(__xludf.DUMMYFUNCTION("""COMPUTED_VALUE"""),"Pantabangan")</f>
        <v>Pantabangan</v>
      </c>
      <c r="AL243" s="2" t="str">
        <f>IFERROR(__xludf.DUMMYFUNCTION("""COMPUTED_VALUE"""),"Nueva Ecija")</f>
        <v>Nueva Ecija</v>
      </c>
      <c r="AM243" s="2">
        <f>IFERROR(__xludf.DUMMYFUNCTION("""COMPUTED_VALUE"""),3.0)</f>
        <v>3</v>
      </c>
      <c r="AN243" s="2" t="str">
        <f>IFERROR(__xludf.DUMMYFUNCTION("""COMPUTED_VALUE"""),"RCEF 23-09-21 Rebidding")</f>
        <v>RCEF 23-09-21 Rebidding</v>
      </c>
      <c r="AO243" s="2">
        <f>IFERROR(__xludf.DUMMYFUNCTION("""COMPUTED_VALUE"""),3.0)</f>
        <v>3</v>
      </c>
      <c r="AP243" s="2"/>
      <c r="AQ243" s="2"/>
      <c r="AR243" s="2"/>
      <c r="AS243" s="2"/>
      <c r="AT243" s="2"/>
      <c r="AU243" s="2"/>
      <c r="AV243" s="2"/>
      <c r="AW243" s="2"/>
      <c r="AX243" s="2"/>
      <c r="AY243" s="2"/>
      <c r="AZ243" s="2"/>
      <c r="BA243" s="2"/>
      <c r="BB243" s="2"/>
    </row>
    <row r="244">
      <c r="A244" s="2">
        <f>IFERROR(__xludf.DUMMYFUNCTION("""COMPUTED_VALUE"""),240.0)</f>
        <v>240</v>
      </c>
      <c r="B244" s="2" t="str">
        <f>IFERROR(__xludf.DUMMYFUNCTION("""COMPUTED_VALUE"""),"COMPLETED")</f>
        <v>COMPLETED</v>
      </c>
      <c r="C244" s="74">
        <f>IFERROR(__xludf.DUMMYFUNCTION("""COMPUTED_VALUE"""),45455.0)</f>
        <v>45455</v>
      </c>
      <c r="D244" s="71" t="str">
        <f>IFERROR(__xludf.DUMMYFUNCTION("""COMPUTED_VALUE"""),"ORTIZ BUMA-A IRRIGATORS ASSOCIATION, INC.")</f>
        <v>ORTIZ BUMA-A IRRIGATORS ASSOCIATION, INC.</v>
      </c>
      <c r="E244" s="71" t="str">
        <f>IFERROR(__xludf.DUMMYFUNCTION("""COMPUTED_VALUE"""),"Samonte (Pob.), Quezon, ISABELA")</f>
        <v>Samonte (Pob.), Quezon, ISABELA</v>
      </c>
      <c r="F244" s="2"/>
      <c r="G244" s="2">
        <f>IFERROR(__xludf.DUMMYFUNCTION("""COMPUTED_VALUE"""),9.756593894E9)</f>
        <v>9756593894</v>
      </c>
      <c r="H244" s="2">
        <f>IFERROR(__xludf.DUMMYFUNCTION("""COMPUTED_VALUE"""),61.3)</f>
        <v>61.3</v>
      </c>
      <c r="I244" s="72" t="str">
        <f>IFERROR(__xludf.DUMMYFUNCTION("""COMPUTED_VALUE"""),"REPAIR - TRACTOR")</f>
        <v>REPAIR - TRACTOR</v>
      </c>
      <c r="J244" s="72" t="str">
        <f>IFERROR(__xludf.DUMMYFUNCTION("""COMPUTED_VALUE"""),"Electrical - Fuse Box")</f>
        <v>Electrical - Fuse Box</v>
      </c>
      <c r="K244" s="72" t="str">
        <f>IFERROR(__xludf.DUMMYFUNCTION("""COMPUTED_VALUE"""),"CJ: DOES NOT START  WHEN THE IGNITION IS TURNED TO START AND FOLLOW UP SPOTLIGHT SA LIKOD")</f>
        <v>CJ: DOES NOT START  WHEN THE IGNITION IS TURNED TO START AND FOLLOW UP SPOTLIGHT SA LIKOD</v>
      </c>
      <c r="L244" s="72" t="str">
        <f>IFERROR(__xludf.DUMMYFUNCTION("""COMPUTED_VALUE"""),"CJ: NAPUNTAHAN NA AT AYOS NA ANG UNIT, OK NA ULIT AT NAG START NA SA MAY IGNITION NG TRACTOR, SA MAY RELEY ANG PROBLEMA,NILAGYAN KO NALANG NG ELECTRICAL TAPE PARA HINIDI GAGALAW GALAW YUNG RELEY.")</f>
        <v>CJ: NAPUNTAHAN NA AT AYOS NA ANG UNIT, OK NA ULIT AT NAG START NA SA MAY IGNITION NG TRACTOR, SA MAY RELEY ANG PROBLEMA,NILAGYAN KO NALANG NG ELECTRICAL TAPE PARA HINIDI GAGALAW GALAW YUNG RELEY.</v>
      </c>
      <c r="M244" s="2"/>
      <c r="N244" s="2"/>
      <c r="O244" s="2" t="str">
        <f>IFERROR(__xludf.DUMMYFUNCTION("""COMPUTED_VALUE"""),"JIE-801")</f>
        <v>JIE-801</v>
      </c>
      <c r="P244" s="2"/>
      <c r="Q244" s="2"/>
      <c r="R244" s="74">
        <f>IFERROR(__xludf.DUMMYFUNCTION("""COMPUTED_VALUE"""),45455.0)</f>
        <v>45455</v>
      </c>
      <c r="S244" s="2" t="str">
        <f>IFERROR(__xludf.DUMMYFUNCTION("""COMPUTED_VALUE"""),"CFG/DRM")</f>
        <v>CFG/DRM</v>
      </c>
      <c r="T244" s="73" t="str">
        <f>IFERROR(__xludf.DUMMYFUNCTION("""COMPUTED_VALUE""")," N/A ")</f>
        <v>N/A</v>
      </c>
      <c r="U244" s="73" t="str">
        <f>IFERROR(__xludf.DUMMYFUNCTION("""COMPUTED_VALUE""")," NO CHARGE ")</f>
        <v>NO CHARGE</v>
      </c>
      <c r="V244" s="2"/>
      <c r="W244" s="2" t="str">
        <f>IFERROR(__xludf.DUMMYFUNCTION("""COMPUTED_VALUE"""),"N/A")</f>
        <v>N/A</v>
      </c>
      <c r="X244" s="2" t="str">
        <f>IFERROR(__xludf.DUMMYFUNCTION("""COMPUTED_VALUE"""),"N/A")</f>
        <v>N/A</v>
      </c>
      <c r="Y244" s="2"/>
      <c r="Z244" s="2"/>
      <c r="AA244" s="2"/>
      <c r="AB244" s="2"/>
      <c r="AC244" s="2"/>
      <c r="AD244" s="2"/>
      <c r="AE244" s="2"/>
      <c r="AF244" s="2"/>
      <c r="AG244" s="2"/>
      <c r="AH244" s="2"/>
      <c r="AI244" s="2"/>
      <c r="AJ244" s="2" t="str">
        <f>IFERROR(__xludf.DUMMYFUNCTION("""COMPUTED_VALUE"""),"Samonte (Pob.)")</f>
        <v>Samonte (Pob.)</v>
      </c>
      <c r="AK244" s="2" t="str">
        <f>IFERROR(__xludf.DUMMYFUNCTION("""COMPUTED_VALUE"""),"Quezon")</f>
        <v>Quezon</v>
      </c>
      <c r="AL244" s="2" t="str">
        <f>IFERROR(__xludf.DUMMYFUNCTION("""COMPUTED_VALUE"""),"Isabela")</f>
        <v>Isabela</v>
      </c>
      <c r="AM244" s="2">
        <f>IFERROR(__xludf.DUMMYFUNCTION("""COMPUTED_VALUE"""),2.0)</f>
        <v>2</v>
      </c>
      <c r="AN244" s="2" t="str">
        <f>IFERROR(__xludf.DUMMYFUNCTION("""COMPUTED_VALUE"""),"RCEF 23-09-21 Rebidding")</f>
        <v>RCEF 23-09-21 Rebidding</v>
      </c>
      <c r="AO244" s="2">
        <f>IFERROR(__xludf.DUMMYFUNCTION("""COMPUTED_VALUE"""),9.0)</f>
        <v>9</v>
      </c>
      <c r="AP244" s="2"/>
      <c r="AQ244" s="2"/>
      <c r="AR244" s="2"/>
      <c r="AS244" s="2"/>
      <c r="AT244" s="2"/>
      <c r="AU244" s="2"/>
      <c r="AV244" s="2"/>
      <c r="AW244" s="2"/>
      <c r="AX244" s="2"/>
      <c r="AY244" s="2"/>
      <c r="AZ244" s="2"/>
      <c r="BA244" s="2"/>
      <c r="BB244" s="2"/>
    </row>
    <row r="245">
      <c r="A245" s="2">
        <f>IFERROR(__xludf.DUMMYFUNCTION("""COMPUTED_VALUE"""),241.0)</f>
        <v>241</v>
      </c>
      <c r="B245" s="2" t="str">
        <f>IFERROR(__xludf.DUMMYFUNCTION("""COMPUTED_VALUE"""),"COMPLETED")</f>
        <v>COMPLETED</v>
      </c>
      <c r="C245" s="74">
        <f>IFERROR(__xludf.DUMMYFUNCTION("""COMPUTED_VALUE"""),45455.0)</f>
        <v>45455</v>
      </c>
      <c r="D245" s="71" t="str">
        <f>IFERROR(__xludf.DUMMYFUNCTION("""COMPUTED_VALUE"""),"PRADO SIONGCO RICE &amp; CORN FARMERS ASSOCIATION")</f>
        <v>PRADO SIONGCO RICE &amp; CORN FARMERS ASSOCIATION</v>
      </c>
      <c r="E245" s="71" t="str">
        <f>IFERROR(__xludf.DUMMYFUNCTION("""COMPUTED_VALUE"""),"Prado Siongco, Lubao, PAMPANGA")</f>
        <v>Prado Siongco, Lubao, PAMPANGA</v>
      </c>
      <c r="F245" s="2" t="str">
        <f>IFERROR(__xludf.DUMMYFUNCTION("""COMPUTED_VALUE"""),"RENATO RIVERA")</f>
        <v>RENATO RIVERA</v>
      </c>
      <c r="G245" s="2">
        <f>IFERROR(__xludf.DUMMYFUNCTION("""COMPUTED_VALUE"""),9.306360088E9)</f>
        <v>9306360088</v>
      </c>
      <c r="H245" s="2">
        <f>IFERROR(__xludf.DUMMYFUNCTION("""COMPUTED_VALUE"""),242.8)</f>
        <v>242.8</v>
      </c>
      <c r="I245" s="72" t="str">
        <f>IFERROR(__xludf.DUMMYFUNCTION("""COMPUTED_VALUE"""),"REPAIR - ROTAVATOR")</f>
        <v>REPAIR - ROTAVATOR</v>
      </c>
      <c r="J245" s="72" t="str">
        <f>IFERROR(__xludf.DUMMYFUNCTION("""COMPUTED_VALUE"""),"Gearbox")</f>
        <v>Gearbox</v>
      </c>
      <c r="K245" s="72" t="str">
        <f>IFERROR(__xludf.DUMMYFUNCTION("""COMPUTED_VALUE"""),"ERP: NASIRA ANG ROTAVATOR,  GEARBOX PROBLEM
 EGT:NEED PARTS: LSGW Drive Shaft, LSGW Bevel Gear(24T),  NUT M12*1.25P (B19), Spring Washer M12, Bolt M12*35*1.25P (B19)")</f>
        <v>ERP: NASIRA ANG ROTAVATOR,  GEARBOX PROBLEM
 EGT:NEED PARTS: LSGW Drive Shaft, LSGW Bevel Gear(24T),  NUT M12*1.25P (B19), Spring Washer M12, Bolt M12*35*1.25P (B19)</v>
      </c>
      <c r="L245" s="72" t="str">
        <f>IFERROR(__xludf.DUMMYFUNCTION("""COMPUTED_VALUE"""),"JDP: NAGPALIT PO KAMI NG SHAFTING AT BEVEL GEAR NG ROTAVATOR OK NA PO ANG ROTAVATOR")</f>
        <v>JDP: NAGPALIT PO KAMI NG SHAFTING AT BEVEL GEAR NG ROTAVATOR OK NA PO ANG ROTAVATOR</v>
      </c>
      <c r="M245" s="2"/>
      <c r="N245" s="2" t="str">
        <f>IFERROR(__xludf.DUMMYFUNCTION("""COMPUTED_VALUE"""),"PARTS USED: 
1 DRIVE SHAFT
1 BEVEL GEAR 24T")</f>
        <v>PARTS USED: 
1 DRIVE SHAFT
1 BEVEL GEAR 24T</v>
      </c>
      <c r="O245" s="2" t="str">
        <f>IFERROR(__xludf.DUMMYFUNCTION("""COMPUTED_VALUE"""),"JIE-832")</f>
        <v>JIE-832</v>
      </c>
      <c r="P245" s="2"/>
      <c r="Q245" s="2"/>
      <c r="R245" s="74">
        <f>IFERROR(__xludf.DUMMYFUNCTION("""COMPUTED_VALUE"""),45478.0)</f>
        <v>45478</v>
      </c>
      <c r="S245" s="2" t="str">
        <f>IFERROR(__xludf.DUMMYFUNCTION("""COMPUTED_VALUE"""),"EGT/JDP")</f>
        <v>EGT/JDP</v>
      </c>
      <c r="T245" s="2"/>
      <c r="U245" s="73" t="str">
        <f>IFERROR(__xludf.DUMMYFUNCTION("""COMPUTED_VALUE""")," FOR CONFIRMATION ")</f>
        <v>FOR CONFIRMATION</v>
      </c>
      <c r="V245" s="2"/>
      <c r="W245" s="2"/>
      <c r="X245" s="2"/>
      <c r="Y245" s="2"/>
      <c r="Z245" s="2"/>
      <c r="AA245" s="2"/>
      <c r="AB245" s="2"/>
      <c r="AC245" s="2" t="str">
        <f>IFERROR(__xludf.DUMMYFUNCTION("""COMPUTED_VALUE"""),"Y")</f>
        <v>Y</v>
      </c>
      <c r="AD245" s="2"/>
      <c r="AE245" s="2"/>
      <c r="AF245" s="2"/>
      <c r="AG245" s="2"/>
      <c r="AH245" s="2"/>
      <c r="AI245" s="2"/>
      <c r="AJ245" s="2" t="str">
        <f>IFERROR(__xludf.DUMMYFUNCTION("""COMPUTED_VALUE"""),"Prado Siongco")</f>
        <v>Prado Siongco</v>
      </c>
      <c r="AK245" s="2" t="str">
        <f>IFERROR(__xludf.DUMMYFUNCTION("""COMPUTED_VALUE"""),"Lubao")</f>
        <v>Lubao</v>
      </c>
      <c r="AL245" s="2" t="str">
        <f>IFERROR(__xludf.DUMMYFUNCTION("""COMPUTED_VALUE"""),"Pampanga")</f>
        <v>Pampanga</v>
      </c>
      <c r="AM245" s="2">
        <f>IFERROR(__xludf.DUMMYFUNCTION("""COMPUTED_VALUE"""),3.0)</f>
        <v>3</v>
      </c>
      <c r="AN245" s="2" t="str">
        <f>IFERROR(__xludf.DUMMYFUNCTION("""COMPUTED_VALUE"""),"RCEF 23-09-21 Rebidding")</f>
        <v>RCEF 23-09-21 Rebidding</v>
      </c>
      <c r="AO245" s="2">
        <f>IFERROR(__xludf.DUMMYFUNCTION("""COMPUTED_VALUE"""),3.0)</f>
        <v>3</v>
      </c>
      <c r="AP245" s="2"/>
      <c r="AQ245" s="2"/>
      <c r="AR245" s="2"/>
      <c r="AS245" s="2"/>
      <c r="AT245" s="2"/>
      <c r="AU245" s="2"/>
      <c r="AV245" s="2"/>
      <c r="AW245" s="2"/>
      <c r="AX245" s="2"/>
      <c r="AY245" s="2"/>
      <c r="AZ245" s="2"/>
      <c r="BA245" s="2"/>
      <c r="BB245" s="2"/>
    </row>
    <row r="246">
      <c r="A246" s="2">
        <f>IFERROR(__xludf.DUMMYFUNCTION("""COMPUTED_VALUE"""),242.0)</f>
        <v>242</v>
      </c>
      <c r="B246" s="2" t="str">
        <f>IFERROR(__xludf.DUMMYFUNCTION("""COMPUTED_VALUE"""),"COMPLETED")</f>
        <v>COMPLETED</v>
      </c>
      <c r="C246" s="74">
        <f>IFERROR(__xludf.DUMMYFUNCTION("""COMPUTED_VALUE"""),45456.0)</f>
        <v>45456</v>
      </c>
      <c r="D246" s="71" t="str">
        <f>IFERROR(__xludf.DUMMYFUNCTION("""COMPUTED_VALUE"""),"CULAT IRRIGATORS FARMERS ASSOCIATION.")</f>
        <v>CULAT IRRIGATORS FARMERS ASSOCIATION.</v>
      </c>
      <c r="E246" s="71" t="str">
        <f>IFERROR(__xludf.DUMMYFUNCTION("""COMPUTED_VALUE"""),"Culat, Casiguran, AURORA")</f>
        <v>Culat, Casiguran, AURORA</v>
      </c>
      <c r="F246" s="2" t="str">
        <f>IFERROR(__xludf.DUMMYFUNCTION("""COMPUTED_VALUE"""),"REYNALDO T. TORRE")</f>
        <v>REYNALDO T. TORRE</v>
      </c>
      <c r="G246" s="2">
        <f>IFERROR(__xludf.DUMMYFUNCTION("""COMPUTED_VALUE"""),9.207065957E9)</f>
        <v>9207065957</v>
      </c>
      <c r="H246" s="2"/>
      <c r="I246" s="72" t="str">
        <f>IFERROR(__xludf.DUMMYFUNCTION("""COMPUTED_VALUE"""),"REPAIR - ROTAVATOR")</f>
        <v>REPAIR - ROTAVATOR</v>
      </c>
      <c r="J246" s="72" t="str">
        <f>IFERROR(__xludf.DUMMYFUNCTION("""COMPUTED_VALUE"""),"Training")</f>
        <v>Training</v>
      </c>
      <c r="K246" s="72" t="str">
        <f>IFERROR(__xludf.DUMMYFUNCTION("""COMPUTED_VALUE"""),"ERP:NAG KA PROBLEMA PO SA UPS ANG DOWN NAG ROTOR HINDI NA TUMAAS SAKA MADIMG NAGLALAGLAGAN NA MAG TURNILYO,")</f>
        <v>ERP:NAG KA PROBLEMA PO SA UPS ANG DOWN NAG ROTOR HINDI NA TUMAAS SAKA MADIMG NAGLALAGLAGAN NA MAG TURNILYO,</v>
      </c>
      <c r="L246" s="72" t="str">
        <f>IFERROR(__xludf.DUMMYFUNCTION("""COMPUTED_VALUE"""),"JHP: NAKAUSAP KO NA ITO, YUNG ISANG KAMBYO GUMAGANA KAYA AYAW UMANGAT, OK NA ANG UNIT. NAITURO NADIN KUNG SAAN MGA NAKALAGAY ANG TURNILYO")</f>
        <v>JHP: NAKAUSAP KO NA ITO, YUNG ISANG KAMBYO GUMAGANA KAYA AYAW UMANGAT, OK NA ANG UNIT. NAITURO NADIN KUNG SAAN MGA NAKALAGAY ANG TURNILYO</v>
      </c>
      <c r="M246" s="2"/>
      <c r="N246" s="2"/>
      <c r="O246" s="2" t="str">
        <f>IFERROR(__xludf.DUMMYFUNCTION("""COMPUTED_VALUE"""),"N/A")</f>
        <v>N/A</v>
      </c>
      <c r="P246" s="2"/>
      <c r="Q246" s="2"/>
      <c r="R246" s="74">
        <f>IFERROR(__xludf.DUMMYFUNCTION("""COMPUTED_VALUE"""),45456.0)</f>
        <v>45456</v>
      </c>
      <c r="S246" s="2" t="str">
        <f>IFERROR(__xludf.DUMMYFUNCTION("""COMPUTED_VALUE"""),"JHP")</f>
        <v>JHP</v>
      </c>
      <c r="T246" s="73" t="str">
        <f>IFERROR(__xludf.DUMMYFUNCTION("""COMPUTED_VALUE""")," N/A ")</f>
        <v>N/A</v>
      </c>
      <c r="U246" s="73" t="str">
        <f>IFERROR(__xludf.DUMMYFUNCTION("""COMPUTED_VALUE""")," NO CHARGE ")</f>
        <v>NO CHARGE</v>
      </c>
      <c r="V246" s="2"/>
      <c r="W246" s="2" t="str">
        <f>IFERROR(__xludf.DUMMYFUNCTION("""COMPUTED_VALUE"""),"N/A")</f>
        <v>N/A</v>
      </c>
      <c r="X246" s="2" t="str">
        <f>IFERROR(__xludf.DUMMYFUNCTION("""COMPUTED_VALUE"""),"N/A")</f>
        <v>N/A</v>
      </c>
      <c r="Y246" s="2"/>
      <c r="Z246" s="2"/>
      <c r="AA246" s="2"/>
      <c r="AB246" s="2"/>
      <c r="AC246" s="2"/>
      <c r="AD246" s="2"/>
      <c r="AE246" s="2"/>
      <c r="AF246" s="2"/>
      <c r="AG246" s="2"/>
      <c r="AH246" s="2"/>
      <c r="AI246" s="2"/>
      <c r="AJ246" s="2" t="str">
        <f>IFERROR(__xludf.DUMMYFUNCTION("""COMPUTED_VALUE"""),"Culat")</f>
        <v>Culat</v>
      </c>
      <c r="AK246" s="2" t="str">
        <f>IFERROR(__xludf.DUMMYFUNCTION("""COMPUTED_VALUE"""),"Casiguran")</f>
        <v>Casiguran</v>
      </c>
      <c r="AL246" s="2" t="str">
        <f>IFERROR(__xludf.DUMMYFUNCTION("""COMPUTED_VALUE"""),"Aurora")</f>
        <v>Aurora</v>
      </c>
      <c r="AM246" s="2">
        <f>IFERROR(__xludf.DUMMYFUNCTION("""COMPUTED_VALUE"""),3.0)</f>
        <v>3</v>
      </c>
      <c r="AN246" s="2" t="str">
        <f>IFERROR(__xludf.DUMMYFUNCTION("""COMPUTED_VALUE"""),"RCEF 23-09-21 Rebidding")</f>
        <v>RCEF 23-09-21 Rebidding</v>
      </c>
      <c r="AO246" s="2">
        <f>IFERROR(__xludf.DUMMYFUNCTION("""COMPUTED_VALUE"""),3.0)</f>
        <v>3</v>
      </c>
      <c r="AP246" s="2"/>
      <c r="AQ246" s="2"/>
      <c r="AR246" s="2"/>
      <c r="AS246" s="2"/>
      <c r="AT246" s="2"/>
      <c r="AU246" s="2"/>
      <c r="AV246" s="2"/>
      <c r="AW246" s="2"/>
      <c r="AX246" s="2"/>
      <c r="AY246" s="2"/>
      <c r="AZ246" s="2"/>
      <c r="BA246" s="2"/>
      <c r="BB246" s="2"/>
    </row>
    <row r="247">
      <c r="A247" s="2">
        <f>IFERROR(__xludf.DUMMYFUNCTION("""COMPUTED_VALUE"""),243.0)</f>
        <v>243</v>
      </c>
      <c r="B247" s="2" t="str">
        <f>IFERROR(__xludf.DUMMYFUNCTION("""COMPUTED_VALUE"""),"COMPLETED")</f>
        <v>COMPLETED</v>
      </c>
      <c r="C247" s="74">
        <f>IFERROR(__xludf.DUMMYFUNCTION("""COMPUTED_VALUE"""),45456.0)</f>
        <v>45456</v>
      </c>
      <c r="D247" s="71" t="str">
        <f>IFERROR(__xludf.DUMMYFUNCTION("""COMPUTED_VALUE"""),"Pili Farmers Association")</f>
        <v>Pili Farmers Association</v>
      </c>
      <c r="E247" s="71" t="str">
        <f>IFERROR(__xludf.DUMMYFUNCTION("""COMPUTED_VALUE"""),"Pili, Ajuy, ILOILO")</f>
        <v>Pili, Ajuy, ILOILO</v>
      </c>
      <c r="F247" s="2" t="str">
        <f>IFERROR(__xludf.DUMMYFUNCTION("""COMPUTED_VALUE"""),"ARIEL ASONG")</f>
        <v>ARIEL ASONG</v>
      </c>
      <c r="G247" s="2">
        <f>IFERROR(__xludf.DUMMYFUNCTION("""COMPUTED_VALUE"""),9.363116441E9)</f>
        <v>9363116441</v>
      </c>
      <c r="H247" s="2">
        <f>IFERROR(__xludf.DUMMYFUNCTION("""COMPUTED_VALUE"""),51.8)</f>
        <v>51.8</v>
      </c>
      <c r="I247" s="72" t="str">
        <f>IFERROR(__xludf.DUMMYFUNCTION("""COMPUTED_VALUE"""),"PMS")</f>
        <v>PMS</v>
      </c>
      <c r="J247" s="72" t="str">
        <f>IFERROR(__xludf.DUMMYFUNCTION("""COMPUTED_VALUE"""),"PMS")</f>
        <v>PMS</v>
      </c>
      <c r="K247" s="72" t="str">
        <f>IFERROR(__xludf.DUMMYFUNCTION("""COMPUTED_VALUE"""),"CCB: FIRST PMS: SELF PMS")</f>
        <v>CCB: FIRST PMS: SELF PMS</v>
      </c>
      <c r="L247" s="72" t="str">
        <f>IFERROR(__xludf.DUMMYFUNCTION("""COMPUTED_VALUE"""),"SEND AGREEMENT: FB: Darlyn Quiles Laganipa: AGREEMENT SENT")</f>
        <v>SEND AGREEMENT: FB: Darlyn Quiles Laganipa: AGREEMENT SENT</v>
      </c>
      <c r="M247" s="2"/>
      <c r="N247" s="2"/>
      <c r="O247" s="2" t="str">
        <f>IFERROR(__xludf.DUMMYFUNCTION("""COMPUTED_VALUE"""),"N/A")</f>
        <v>N/A</v>
      </c>
      <c r="P247" s="2"/>
      <c r="Q247" s="2"/>
      <c r="R247" s="74">
        <f>IFERROR(__xludf.DUMMYFUNCTION("""COMPUTED_VALUE"""),45456.0)</f>
        <v>45456</v>
      </c>
      <c r="S247" s="2" t="str">
        <f>IFERROR(__xludf.DUMMYFUNCTION("""COMPUTED_VALUE"""),"MYKEE")</f>
        <v>MYKEE</v>
      </c>
      <c r="T247" s="2" t="str">
        <f>IFERROR(__xludf.DUMMYFUNCTION("""COMPUTED_VALUE"""),"N/A")</f>
        <v>N/A</v>
      </c>
      <c r="U247" s="73" t="str">
        <f>IFERROR(__xludf.DUMMYFUNCTION("""COMPUTED_VALUE""")," NO CHARGE ")</f>
        <v>NO CHARGE</v>
      </c>
      <c r="V247" s="2"/>
      <c r="W247" s="2" t="str">
        <f>IFERROR(__xludf.DUMMYFUNCTION("""COMPUTED_VALUE"""),"N/A")</f>
        <v>N/A</v>
      </c>
      <c r="X247" s="2" t="str">
        <f>IFERROR(__xludf.DUMMYFUNCTION("""COMPUTED_VALUE"""),"N/A")</f>
        <v>N/A</v>
      </c>
      <c r="Y247" s="2"/>
      <c r="Z247" s="2"/>
      <c r="AA247" s="2"/>
      <c r="AB247" s="2"/>
      <c r="AC247" s="2"/>
      <c r="AD247" s="2"/>
      <c r="AE247" s="2"/>
      <c r="AF247" s="2"/>
      <c r="AG247" s="2"/>
      <c r="AH247" s="2"/>
      <c r="AI247" s="2"/>
      <c r="AJ247" s="2" t="str">
        <f>IFERROR(__xludf.DUMMYFUNCTION("""COMPUTED_VALUE"""),"Pili")</f>
        <v>Pili</v>
      </c>
      <c r="AK247" s="2" t="str">
        <f>IFERROR(__xludf.DUMMYFUNCTION("""COMPUTED_VALUE"""),"Ajuy")</f>
        <v>Ajuy</v>
      </c>
      <c r="AL247" s="2" t="str">
        <f>IFERROR(__xludf.DUMMYFUNCTION("""COMPUTED_VALUE"""),"Iloilo")</f>
        <v>Iloilo</v>
      </c>
      <c r="AM247" s="2">
        <f>IFERROR(__xludf.DUMMYFUNCTION("""COMPUTED_VALUE"""),6.0)</f>
        <v>6</v>
      </c>
      <c r="AN247" s="2" t="str">
        <f>IFERROR(__xludf.DUMMYFUNCTION("""COMPUTED_VALUE"""),"RCEF 23-09-21 Rebidding")</f>
        <v>RCEF 23-09-21 Rebidding</v>
      </c>
      <c r="AO247" s="2">
        <f>IFERROR(__xludf.DUMMYFUNCTION("""COMPUTED_VALUE"""),4.0)</f>
        <v>4</v>
      </c>
      <c r="AP247" s="2"/>
      <c r="AQ247" s="2"/>
      <c r="AR247" s="2"/>
      <c r="AS247" s="2"/>
      <c r="AT247" s="2"/>
      <c r="AU247" s="2"/>
      <c r="AV247" s="2"/>
      <c r="AW247" s="2"/>
      <c r="AX247" s="2"/>
      <c r="AY247" s="2"/>
      <c r="AZ247" s="2"/>
      <c r="BA247" s="2"/>
      <c r="BB247" s="2"/>
    </row>
    <row r="248">
      <c r="A248" s="2">
        <f>IFERROR(__xludf.DUMMYFUNCTION("""COMPUTED_VALUE"""),244.0)</f>
        <v>244</v>
      </c>
      <c r="B248" s="2" t="str">
        <f>IFERROR(__xludf.DUMMYFUNCTION("""COMPUTED_VALUE"""),"COMPLETED")</f>
        <v>COMPLETED</v>
      </c>
      <c r="C248" s="74">
        <f>IFERROR(__xludf.DUMMYFUNCTION("""COMPUTED_VALUE"""),45456.0)</f>
        <v>45456</v>
      </c>
      <c r="D248" s="71" t="str">
        <f>IFERROR(__xludf.DUMMYFUNCTION("""COMPUTED_VALUE"""),"Mostro Farmers Association")</f>
        <v>Mostro Farmers Association</v>
      </c>
      <c r="E248" s="71" t="str">
        <f>IFERROR(__xludf.DUMMYFUNCTION("""COMPUTED_VALUE"""),"Mostro, Anilao, ILOILO")</f>
        <v>Mostro, Anilao, ILOILO</v>
      </c>
      <c r="F248" s="2" t="str">
        <f>IFERROR(__xludf.DUMMYFUNCTION("""COMPUTED_VALUE"""),"WILHELM G. PAUCHANO")</f>
        <v>WILHELM G. PAUCHANO</v>
      </c>
      <c r="G248" s="2">
        <f>IFERROR(__xludf.DUMMYFUNCTION("""COMPUTED_VALUE"""),9.309770845E9)</f>
        <v>9309770845</v>
      </c>
      <c r="H248" s="2">
        <f>IFERROR(__xludf.DUMMYFUNCTION("""COMPUTED_VALUE"""),53.4)</f>
        <v>53.4</v>
      </c>
      <c r="I248" s="72" t="str">
        <f>IFERROR(__xludf.DUMMYFUNCTION("""COMPUTED_VALUE"""),"PMS")</f>
        <v>PMS</v>
      </c>
      <c r="J248" s="72" t="str">
        <f>IFERROR(__xludf.DUMMYFUNCTION("""COMPUTED_VALUE"""),"PMS")</f>
        <v>PMS</v>
      </c>
      <c r="K248" s="72" t="str">
        <f>IFERROR(__xludf.DUMMYFUNCTION("""COMPUTED_VALUE"""),"CCB: FIRST PMS: SELF PMS")</f>
        <v>CCB: FIRST PMS: SELF PMS</v>
      </c>
      <c r="L248" s="72" t="str">
        <f>IFERROR(__xludf.DUMMYFUNCTION("""COMPUTED_VALUE"""),"SEND AGREEMENT:FB: WILHELM PAUCHANO: AGREEMENT SENT: FOR PRINT")</f>
        <v>SEND AGREEMENT:FB: WILHELM PAUCHANO: AGREEMENT SENT: FOR PRINT</v>
      </c>
      <c r="M248" s="2"/>
      <c r="N248" s="2"/>
      <c r="O248" s="2" t="str">
        <f>IFERROR(__xludf.DUMMYFUNCTION("""COMPUTED_VALUE"""),"N/A")</f>
        <v>N/A</v>
      </c>
      <c r="P248" s="2"/>
      <c r="Q248" s="2"/>
      <c r="R248" s="74">
        <f>IFERROR(__xludf.DUMMYFUNCTION("""COMPUTED_VALUE"""),45456.0)</f>
        <v>45456</v>
      </c>
      <c r="S248" s="2" t="str">
        <f>IFERROR(__xludf.DUMMYFUNCTION("""COMPUTED_VALUE"""),"MYKEE")</f>
        <v>MYKEE</v>
      </c>
      <c r="T248" s="2" t="str">
        <f>IFERROR(__xludf.DUMMYFUNCTION("""COMPUTED_VALUE"""),"N/A")</f>
        <v>N/A</v>
      </c>
      <c r="U248" s="73" t="str">
        <f>IFERROR(__xludf.DUMMYFUNCTION("""COMPUTED_VALUE""")," NO CHARGE ")</f>
        <v>NO CHARGE</v>
      </c>
      <c r="V248" s="2"/>
      <c r="W248" s="2" t="str">
        <f>IFERROR(__xludf.DUMMYFUNCTION("""COMPUTED_VALUE"""),"N/A")</f>
        <v>N/A</v>
      </c>
      <c r="X248" s="2" t="str">
        <f>IFERROR(__xludf.DUMMYFUNCTION("""COMPUTED_VALUE"""),"N/A")</f>
        <v>N/A</v>
      </c>
      <c r="Y248" s="2"/>
      <c r="Z248" s="2"/>
      <c r="AA248" s="2"/>
      <c r="AB248" s="2"/>
      <c r="AC248" s="2"/>
      <c r="AD248" s="2"/>
      <c r="AE248" s="2"/>
      <c r="AF248" s="2"/>
      <c r="AG248" s="2"/>
      <c r="AH248" s="2"/>
      <c r="AI248" s="2"/>
      <c r="AJ248" s="2" t="str">
        <f>IFERROR(__xludf.DUMMYFUNCTION("""COMPUTED_VALUE"""),"Mostro")</f>
        <v>Mostro</v>
      </c>
      <c r="AK248" s="2" t="str">
        <f>IFERROR(__xludf.DUMMYFUNCTION("""COMPUTED_VALUE"""),"Anilao")</f>
        <v>Anilao</v>
      </c>
      <c r="AL248" s="2" t="str">
        <f>IFERROR(__xludf.DUMMYFUNCTION("""COMPUTED_VALUE"""),"Iloilo")</f>
        <v>Iloilo</v>
      </c>
      <c r="AM248" s="2">
        <f>IFERROR(__xludf.DUMMYFUNCTION("""COMPUTED_VALUE"""),6.0)</f>
        <v>6</v>
      </c>
      <c r="AN248" s="2" t="str">
        <f>IFERROR(__xludf.DUMMYFUNCTION("""COMPUTED_VALUE"""),"RCEF 23-09-21 Rebidding")</f>
        <v>RCEF 23-09-21 Rebidding</v>
      </c>
      <c r="AO248" s="2">
        <f>IFERROR(__xludf.DUMMYFUNCTION("""COMPUTED_VALUE"""),4.0)</f>
        <v>4</v>
      </c>
      <c r="AP248" s="2"/>
      <c r="AQ248" s="2"/>
      <c r="AR248" s="2"/>
      <c r="AS248" s="2"/>
      <c r="AT248" s="2"/>
      <c r="AU248" s="2"/>
      <c r="AV248" s="2"/>
      <c r="AW248" s="2"/>
      <c r="AX248" s="2"/>
      <c r="AY248" s="2"/>
      <c r="AZ248" s="2"/>
      <c r="BA248" s="2"/>
      <c r="BB248" s="2"/>
    </row>
    <row r="249">
      <c r="A249" s="2">
        <f>IFERROR(__xludf.DUMMYFUNCTION("""COMPUTED_VALUE"""),245.0)</f>
        <v>245</v>
      </c>
      <c r="B249" s="2" t="str">
        <f>IFERROR(__xludf.DUMMYFUNCTION("""COMPUTED_VALUE"""),"COMPLETED")</f>
        <v>COMPLETED</v>
      </c>
      <c r="C249" s="74">
        <f>IFERROR(__xludf.DUMMYFUNCTION("""COMPUTED_VALUE"""),45456.0)</f>
        <v>45456</v>
      </c>
      <c r="D249" s="71" t="str">
        <f>IFERROR(__xludf.DUMMYFUNCTION("""COMPUTED_VALUE"""),"MUNICIPAL LOCAL GOVERNMENT UNIT OF LOOC")</f>
        <v>MUNICIPAL LOCAL GOVERNMENT UNIT OF LOOC</v>
      </c>
      <c r="E249" s="71" t="str">
        <f>IFERROR(__xludf.DUMMYFUNCTION("""COMPUTED_VALUE"""),"POBLACION GUITNA, LOOC, OCCIDENTAL MINDORO")</f>
        <v>POBLACION GUITNA, LOOC, OCCIDENTAL MINDORO</v>
      </c>
      <c r="F249" s="2"/>
      <c r="G249" s="2"/>
      <c r="H249" s="2"/>
      <c r="I249" s="72" t="str">
        <f>IFERROR(__xludf.DUMMYFUNCTION("""COMPUTED_VALUE"""),"REPAIR - TRACTOR")</f>
        <v>REPAIR - TRACTOR</v>
      </c>
      <c r="J249" s="72" t="str">
        <f>IFERROR(__xludf.DUMMYFUNCTION("""COMPUTED_VALUE"""),"CHECK UP UNIT")</f>
        <v>CHECK UP UNIT</v>
      </c>
      <c r="K249" s="72" t="str">
        <f>IFERROR(__xludf.DUMMYFUNCTION("""COMPUTED_VALUE"""),"RBS: AYAW UMIKOT NG ROTAVATOR, AT NAMAMATAY ANG MAKINA NG TRACTOR KAPAG NAG OOPERATE SA FIELD")</f>
        <v>RBS: AYAW UMIKOT NG ROTAVATOR, AT NAMAMATAY ANG MAKINA NG TRACTOR KAPAG NAG OOPERATE SA FIELD</v>
      </c>
      <c r="L249" s="72" t="str">
        <f>IFERROR(__xludf.DUMMYFUNCTION("""COMPUTED_VALUE"""),"6/13/24:RBS: RESOLVE VIA PHONE CALL: OK NA ULIT ANG UNIT HINDI NA NAMAMATAY, UMIIKOT NA ULIT ANG ROTAVATOR.")</f>
        <v>6/13/24:RBS: RESOLVE VIA PHONE CALL: OK NA ULIT ANG UNIT HINDI NA NAMAMATAY, UMIIKOT NA ULIT ANG ROTAVATOR.</v>
      </c>
      <c r="M249" s="2"/>
      <c r="N249" s="2"/>
      <c r="O249" s="2" t="str">
        <f>IFERROR(__xludf.DUMMYFUNCTION("""COMPUTED_VALUE"""),"N/A")</f>
        <v>N/A</v>
      </c>
      <c r="P249" s="2"/>
      <c r="Q249" s="2"/>
      <c r="R249" s="74">
        <f>IFERROR(__xludf.DUMMYFUNCTION("""COMPUTED_VALUE"""),45456.0)</f>
        <v>45456</v>
      </c>
      <c r="S249" s="2" t="str">
        <f>IFERROR(__xludf.DUMMYFUNCTION("""COMPUTED_VALUE"""),"RBS")</f>
        <v>RBS</v>
      </c>
      <c r="T249" s="73" t="str">
        <f>IFERROR(__xludf.DUMMYFUNCTION("""COMPUTED_VALUE""")," N/A ")</f>
        <v>N/A</v>
      </c>
      <c r="U249" s="73" t="str">
        <f>IFERROR(__xludf.DUMMYFUNCTION("""COMPUTED_VALUE""")," NO CHARGE ")</f>
        <v>NO CHARGE</v>
      </c>
      <c r="V249" s="2"/>
      <c r="W249" s="2" t="str">
        <f>IFERROR(__xludf.DUMMYFUNCTION("""COMPUTED_VALUE"""),"N/A")</f>
        <v>N/A</v>
      </c>
      <c r="X249" s="2" t="str">
        <f>IFERROR(__xludf.DUMMYFUNCTION("""COMPUTED_VALUE"""),"N/A")</f>
        <v>N/A</v>
      </c>
      <c r="Y249" s="2"/>
      <c r="Z249" s="2"/>
      <c r="AA249" s="2"/>
      <c r="AB249" s="2"/>
      <c r="AC249" s="2"/>
      <c r="AD249" s="2"/>
      <c r="AE249" s="2"/>
      <c r="AF249" s="2"/>
      <c r="AG249" s="2"/>
      <c r="AH249" s="2"/>
      <c r="AI249" s="2"/>
      <c r="AJ249" s="2" t="str">
        <f>IFERROR(__xludf.DUMMYFUNCTION("""COMPUTED_VALUE"""),"Poblacion Guitna")</f>
        <v>Poblacion Guitna</v>
      </c>
      <c r="AK249" s="2" t="str">
        <f>IFERROR(__xludf.DUMMYFUNCTION("""COMPUTED_VALUE"""),"Looc")</f>
        <v>Looc</v>
      </c>
      <c r="AL249" s="2" t="str">
        <f>IFERROR(__xludf.DUMMYFUNCTION("""COMPUTED_VALUE"""),"Occidental Mindoro")</f>
        <v>Occidental Mindoro</v>
      </c>
      <c r="AM249" s="2" t="str">
        <f>IFERROR(__xludf.DUMMYFUNCTION("""COMPUTED_VALUE"""),"4B")</f>
        <v>4B</v>
      </c>
      <c r="AN249" s="2" t="str">
        <f>IFERROR(__xludf.DUMMYFUNCTION("""COMPUTED_VALUE"""),"RCEF 23-08-20 Rebidding")</f>
        <v>RCEF 23-08-20 Rebidding</v>
      </c>
      <c r="AO249" s="2">
        <f>IFERROR(__xludf.DUMMYFUNCTION("""COMPUTED_VALUE"""),1.0)</f>
        <v>1</v>
      </c>
      <c r="AP249" s="2"/>
      <c r="AQ249" s="2"/>
      <c r="AR249" s="2"/>
      <c r="AS249" s="2"/>
      <c r="AT249" s="2"/>
      <c r="AU249" s="2"/>
      <c r="AV249" s="2"/>
      <c r="AW249" s="2"/>
      <c r="AX249" s="2"/>
      <c r="AY249" s="2"/>
      <c r="AZ249" s="2"/>
      <c r="BA249" s="2"/>
      <c r="BB249" s="2"/>
    </row>
    <row r="250">
      <c r="A250" s="2">
        <f>IFERROR(__xludf.DUMMYFUNCTION("""COMPUTED_VALUE"""),246.0)</f>
        <v>246</v>
      </c>
      <c r="B250" s="2" t="str">
        <f>IFERROR(__xludf.DUMMYFUNCTION("""COMPUTED_VALUE"""),"COMPLETED")</f>
        <v>COMPLETED</v>
      </c>
      <c r="C250" s="74">
        <f>IFERROR(__xludf.DUMMYFUNCTION("""COMPUTED_VALUE"""),45456.0)</f>
        <v>45456</v>
      </c>
      <c r="D250" s="71" t="str">
        <f>IFERROR(__xludf.DUMMYFUNCTION("""COMPUTED_VALUE"""),"TAGAD - DIBUL IRRIGATORS' ASSOCIATION, INC.")</f>
        <v>TAGAD - DIBUL IRRIGATORS' ASSOCIATION, INC.</v>
      </c>
      <c r="E250" s="71" t="str">
        <f>IFERROR(__xludf.DUMMYFUNCTION("""COMPUTED_VALUE"""),"Dibul, Saguday, QUIRINO")</f>
        <v>Dibul, Saguday, QUIRINO</v>
      </c>
      <c r="F250" s="2"/>
      <c r="G250" s="2">
        <f>IFERROR(__xludf.DUMMYFUNCTION("""COMPUTED_VALUE"""),9.533772457E9)</f>
        <v>9533772457</v>
      </c>
      <c r="H250" s="2">
        <f>IFERROR(__xludf.DUMMYFUNCTION("""COMPUTED_VALUE"""),64.0)</f>
        <v>64</v>
      </c>
      <c r="I250" s="72" t="str">
        <f>IFERROR(__xludf.DUMMYFUNCTION("""COMPUTED_VALUE"""),"REPAIR - TRACTOR")</f>
        <v>REPAIR - TRACTOR</v>
      </c>
      <c r="J250" s="72" t="str">
        <f>IFERROR(__xludf.DUMMYFUNCTION("""COMPUTED_VALUE"""),"PTO - Valve Assembly")</f>
        <v>PTO - Valve Assembly</v>
      </c>
      <c r="K250" s="72" t="str">
        <f>IFERROR(__xludf.DUMMYFUNCTION("""COMPUTED_VALUE"""),"CJ: PAHINTO HINTO ANG IKOT NG ROTAVATOR PAG NILALIMAN           
  CJ: PINUNTAHAN NA NAMIN ITO KANINA NA TESTING NAMIN SA AREA AT TAMA ANG SABI NILA, MAY MAINGAY SA TRANSMISSION PAG NILALIMAN ANG ROTAVATOR, NAG TANONG AKO KAY ARCHI KUNG ANO ANG PROBLEMA N"&amp;"G UNIT ANG SABI AY PTO CLUTCH PACK ANG PROBLEMA
DSD:7/9/24: 1st Problem: Pag nilaliman po kain ng rotavator sa lupa pahinto hinto po yung ikot ng rotavator., 2nd Problem: Bumuka po sa pagitan ng Column ass’y at PTO valve ass’y
DSD:Bago po sana palitan ng "&amp;"pto clutch pack, kailangan po muna sana namin Iadjust yung pto valve. Bigla namn po pumutok yung sa PST VALVE ASS’Y Nung pinaandar po namin.
Parts Needed:  STEERING, No. 30 PST VALVE ASS’Y
")</f>
        <v>CJ: PAHINTO HINTO ANG IKOT NG ROTAVATOR PAG NILALIMAN           
  CJ: PINUNTAHAN NA NAMIN ITO KANINA NA TESTING NAMIN SA AREA AT TAMA ANG SABI NILA, MAY MAINGAY SA TRANSMISSION PAG NILALIMAN ANG ROTAVATOR, NAG TANONG AKO KAY ARCHI KUNG ANO ANG PROBLEMA NG UNIT ANG SABI AY PTO CLUTCH PACK ANG PROBLEMA
DSD:7/9/24: 1st Problem: Pag nilaliman po kain ng rotavator sa lupa pahinto hinto po yung ikot ng rotavator., 2nd Problem: Bumuka po sa pagitan ng Column ass’y at PTO valve ass’y
DSD:Bago po sana palitan ng pto clutch pack, kailangan po muna sana namin Iadjust yung pto valve. Bigla namn po pumutok yung sa PST VALVE ASS’Y Nung pinaandar po namin.
Parts Needed:  STEERING, No. 30 PST VALVE ASS’Y
</v>
      </c>
      <c r="L250" s="72" t="str">
        <f>IFERROR(__xludf.DUMMYFUNCTION("""COMPUTED_VALUE"""),"DSD: Pinalitan po namin ng PST valve assembly then nag adjust po kami ng konti samay pto valve, okay na po yung unit at yung rotavator.")</f>
        <v>DSD: Pinalitan po namin ng PST valve assembly then nag adjust po kami ng konti samay pto valve, okay na po yung unit at yung rotavator.</v>
      </c>
      <c r="M250" s="2"/>
      <c r="N250" s="2" t="str">
        <f>IFERROR(__xludf.DUMMYFUNCTION("""COMPUTED_VALUE"""),"PARTS USED: 1 PST VALVE ASSY")</f>
        <v>PARTS USED: 1 PST VALVE ASSY</v>
      </c>
      <c r="O250" s="2" t="str">
        <f>IFERROR(__xludf.DUMMYFUNCTION("""COMPUTED_VALUE"""),"JIE-939")</f>
        <v>JIE-939</v>
      </c>
      <c r="P250" s="2"/>
      <c r="Q250" s="2"/>
      <c r="R250" s="74">
        <f>IFERROR(__xludf.DUMMYFUNCTION("""COMPUTED_VALUE"""),45522.0)</f>
        <v>45522</v>
      </c>
      <c r="S250" s="2" t="str">
        <f>IFERROR(__xludf.DUMMYFUNCTION("""COMPUTED_VALUE"""),"CFG/ DSD")</f>
        <v>CFG/ DSD</v>
      </c>
      <c r="T250" s="2"/>
      <c r="U250" s="73" t="str">
        <f>IFERROR(__xludf.DUMMYFUNCTION("""COMPUTED_VALUE""")," FOR CONFIRMATION ")</f>
        <v>FOR CONFIRMATION</v>
      </c>
      <c r="V250" s="2"/>
      <c r="W250" s="2"/>
      <c r="X250" s="2"/>
      <c r="Y250" s="2"/>
      <c r="Z250" s="2"/>
      <c r="AA250" s="2"/>
      <c r="AB250" s="2"/>
      <c r="AC250" s="2" t="str">
        <f>IFERROR(__xludf.DUMMYFUNCTION("""COMPUTED_VALUE"""),"Y")</f>
        <v>Y</v>
      </c>
      <c r="AD250" s="2"/>
      <c r="AE250" s="2"/>
      <c r="AF250" s="2"/>
      <c r="AG250" s="2"/>
      <c r="AH250" s="2"/>
      <c r="AI250" s="2"/>
      <c r="AJ250" s="2" t="str">
        <f>IFERROR(__xludf.DUMMYFUNCTION("""COMPUTED_VALUE"""),"Dibul")</f>
        <v>Dibul</v>
      </c>
      <c r="AK250" s="2" t="str">
        <f>IFERROR(__xludf.DUMMYFUNCTION("""COMPUTED_VALUE"""),"Saguday")</f>
        <v>Saguday</v>
      </c>
      <c r="AL250" s="2" t="str">
        <f>IFERROR(__xludf.DUMMYFUNCTION("""COMPUTED_VALUE"""),"Quirino")</f>
        <v>Quirino</v>
      </c>
      <c r="AM250" s="2">
        <f>IFERROR(__xludf.DUMMYFUNCTION("""COMPUTED_VALUE"""),2.0)</f>
        <v>2</v>
      </c>
      <c r="AN250" s="2" t="str">
        <f>IFERROR(__xludf.DUMMYFUNCTION("""COMPUTED_VALUE"""),"RCEF 23-09-21 Rebidding")</f>
        <v>RCEF 23-09-21 Rebidding</v>
      </c>
      <c r="AO250" s="2">
        <f>IFERROR(__xludf.DUMMYFUNCTION("""COMPUTED_VALUE"""),1.0)</f>
        <v>1</v>
      </c>
      <c r="AP250" s="2"/>
      <c r="AQ250" s="2"/>
      <c r="AR250" s="2"/>
      <c r="AS250" s="2"/>
      <c r="AT250" s="2"/>
      <c r="AU250" s="2"/>
      <c r="AV250" s="2"/>
      <c r="AW250" s="2"/>
      <c r="AX250" s="2"/>
      <c r="AY250" s="2"/>
      <c r="AZ250" s="2"/>
      <c r="BA250" s="2"/>
      <c r="BB250" s="2"/>
    </row>
    <row r="251">
      <c r="A251" s="2">
        <f>IFERROR(__xludf.DUMMYFUNCTION("""COMPUTED_VALUE"""),247.0)</f>
        <v>247</v>
      </c>
      <c r="B251" s="2" t="str">
        <f>IFERROR(__xludf.DUMMYFUNCTION("""COMPUTED_VALUE"""),"COMPLETED")</f>
        <v>COMPLETED</v>
      </c>
      <c r="C251" s="74">
        <f>IFERROR(__xludf.DUMMYFUNCTION("""COMPUTED_VALUE"""),45457.0)</f>
        <v>45457</v>
      </c>
      <c r="D251" s="71" t="str">
        <f>IFERROR(__xludf.DUMMYFUNCTION("""COMPUTED_VALUE"""),"BUYAN, CENTRO I-II LOBONG SAN JACINTO FARMERS ASSOCIATION INC")</f>
        <v>BUYAN, CENTRO I-II LOBONG SAN JACINTO FARMERS ASSOCIATION INC</v>
      </c>
      <c r="E251" s="71" t="str">
        <f>IFERROR(__xludf.DUMMYFUNCTION("""COMPUTED_VALUE"""),"Lobong, San Jacinto, PANGASINAN")</f>
        <v>Lobong, San Jacinto, PANGASINAN</v>
      </c>
      <c r="F251" s="2" t="str">
        <f>IFERROR(__xludf.DUMMYFUNCTION("""COMPUTED_VALUE"""),"FELICITAS L. QUEZON")</f>
        <v>FELICITAS L. QUEZON</v>
      </c>
      <c r="G251" s="2">
        <f>IFERROR(__xludf.DUMMYFUNCTION("""COMPUTED_VALUE"""),9.934093686E9)</f>
        <v>9934093686</v>
      </c>
      <c r="H251" s="2">
        <f>IFERROR(__xludf.DUMMYFUNCTION("""COMPUTED_VALUE"""),66.6)</f>
        <v>66.6</v>
      </c>
      <c r="I251" s="72" t="str">
        <f>IFERROR(__xludf.DUMMYFUNCTION("""COMPUTED_VALUE"""),"PMS")</f>
        <v>PMS</v>
      </c>
      <c r="J251" s="72" t="str">
        <f>IFERROR(__xludf.DUMMYFUNCTION("""COMPUTED_VALUE"""),"PMS")</f>
        <v>PMS</v>
      </c>
      <c r="K251" s="72" t="str">
        <f>IFERROR(__xludf.DUMMYFUNCTION("""COMPUTED_VALUE"""),"KFS: FIRST PMS")</f>
        <v>KFS: FIRST PMS</v>
      </c>
      <c r="L251" s="72" t="str">
        <f>IFERROR(__xludf.DUMMYFUNCTION("""COMPUTED_VALUE"""),"CHANGE OIL")</f>
        <v>CHANGE OIL</v>
      </c>
      <c r="M251" s="2"/>
      <c r="N251" s="2"/>
      <c r="O251" s="2" t="str">
        <f>IFERROR(__xludf.DUMMYFUNCTION("""COMPUTED_VALUE"""),"JIE-809")</f>
        <v>JIE-809</v>
      </c>
      <c r="P251" s="2"/>
      <c r="Q251" s="2"/>
      <c r="R251" s="74">
        <f>IFERROR(__xludf.DUMMYFUNCTION("""COMPUTED_VALUE"""),45463.0)</f>
        <v>45463</v>
      </c>
      <c r="S251" s="2" t="str">
        <f>IFERROR(__xludf.DUMMYFUNCTION("""COMPUTED_VALUE"""),"ACS/JHP")</f>
        <v>ACS/JHP</v>
      </c>
      <c r="T251" s="73" t="str">
        <f>IFERROR(__xludf.DUMMYFUNCTION("""COMPUTED_VALUE""")," N/A ")</f>
        <v>N/A</v>
      </c>
      <c r="U251" s="73" t="str">
        <f>IFERROR(__xludf.DUMMYFUNCTION("""COMPUTED_VALUE""")," NO CHARGE ")</f>
        <v>NO CHARGE</v>
      </c>
      <c r="V251" s="2"/>
      <c r="W251" s="2" t="str">
        <f>IFERROR(__xludf.DUMMYFUNCTION("""COMPUTED_VALUE"""),"N/A")</f>
        <v>N/A</v>
      </c>
      <c r="X251" s="2" t="str">
        <f>IFERROR(__xludf.DUMMYFUNCTION("""COMPUTED_VALUE"""),"N/A")</f>
        <v>N/A</v>
      </c>
      <c r="Y251" s="2"/>
      <c r="Z251" s="2"/>
      <c r="AA251" s="2"/>
      <c r="AB251" s="2"/>
      <c r="AC251" s="2"/>
      <c r="AD251" s="2"/>
      <c r="AE251" s="2"/>
      <c r="AF251" s="2"/>
      <c r="AG251" s="2"/>
      <c r="AH251" s="2"/>
      <c r="AI251" s="2"/>
      <c r="AJ251" s="2" t="str">
        <f>IFERROR(__xludf.DUMMYFUNCTION("""COMPUTED_VALUE"""),"Lobong")</f>
        <v>Lobong</v>
      </c>
      <c r="AK251" s="2" t="str">
        <f>IFERROR(__xludf.DUMMYFUNCTION("""COMPUTED_VALUE"""),"San Jacinto")</f>
        <v>San Jacinto</v>
      </c>
      <c r="AL251" s="2" t="str">
        <f>IFERROR(__xludf.DUMMYFUNCTION("""COMPUTED_VALUE"""),"Pangasinan")</f>
        <v>Pangasinan</v>
      </c>
      <c r="AM251" s="2">
        <f>IFERROR(__xludf.DUMMYFUNCTION("""COMPUTED_VALUE"""),1.0)</f>
        <v>1</v>
      </c>
      <c r="AN251" s="2" t="str">
        <f>IFERROR(__xludf.DUMMYFUNCTION("""COMPUTED_VALUE"""),"RCEF 23-09-21 Rebidding")</f>
        <v>RCEF 23-09-21 Rebidding</v>
      </c>
      <c r="AO251" s="2">
        <f>IFERROR(__xludf.DUMMYFUNCTION("""COMPUTED_VALUE"""),2.0)</f>
        <v>2</v>
      </c>
      <c r="AP251" s="2"/>
      <c r="AQ251" s="2"/>
      <c r="AR251" s="2"/>
      <c r="AS251" s="2"/>
      <c r="AT251" s="2"/>
      <c r="AU251" s="2"/>
      <c r="AV251" s="2"/>
      <c r="AW251" s="2"/>
      <c r="AX251" s="2"/>
      <c r="AY251" s="2"/>
      <c r="AZ251" s="2"/>
      <c r="BA251" s="2"/>
      <c r="BB251" s="2"/>
    </row>
    <row r="252">
      <c r="A252" s="2">
        <f>IFERROR(__xludf.DUMMYFUNCTION("""COMPUTED_VALUE"""),248.0)</f>
        <v>248</v>
      </c>
      <c r="B252" s="2" t="str">
        <f>IFERROR(__xludf.DUMMYFUNCTION("""COMPUTED_VALUE"""),"COMPLETED")</f>
        <v>COMPLETED</v>
      </c>
      <c r="C252" s="74">
        <f>IFERROR(__xludf.DUMMYFUNCTION("""COMPUTED_VALUE"""),45457.0)</f>
        <v>45457</v>
      </c>
      <c r="D252" s="71" t="str">
        <f>IFERROR(__xludf.DUMMYFUNCTION("""COMPUTED_VALUE"""),"PUR Credit Cooperative")</f>
        <v>PUR Credit Cooperative</v>
      </c>
      <c r="E252" s="71" t="str">
        <f>IFERROR(__xludf.DUMMYFUNCTION("""COMPUTED_VALUE"""),"Dilag, Tabuk City, KALINGA")</f>
        <v>Dilag, Tabuk City, KALINGA</v>
      </c>
      <c r="F252" s="2" t="str">
        <f>IFERROR(__xludf.DUMMYFUNCTION("""COMPUTED_VALUE"""),"FELIPE WASSIG")</f>
        <v>FELIPE WASSIG</v>
      </c>
      <c r="G252" s="2">
        <f>IFERROR(__xludf.DUMMYFUNCTION("""COMPUTED_VALUE"""),9.530095981E9)</f>
        <v>9530095981</v>
      </c>
      <c r="H252" s="2">
        <f>IFERROR(__xludf.DUMMYFUNCTION("""COMPUTED_VALUE"""),52.7)</f>
        <v>52.7</v>
      </c>
      <c r="I252" s="72" t="str">
        <f>IFERROR(__xludf.DUMMYFUNCTION("""COMPUTED_VALUE"""),"PMS")</f>
        <v>PMS</v>
      </c>
      <c r="J252" s="72" t="str">
        <f>IFERROR(__xludf.DUMMYFUNCTION("""COMPUTED_VALUE"""),"PMS")</f>
        <v>PMS</v>
      </c>
      <c r="K252" s="72" t="str">
        <f>IFERROR(__xludf.DUMMYFUNCTION("""COMPUTED_VALUE"""),"JHP: FIRTS PMS, KULANG DAW ANG YUNG GEAR OIL SA ROTAVATOR PWEDE DAW PADAGDAGAN?")</f>
        <v>JHP: FIRTS PMS, KULANG DAW ANG YUNG GEAR OIL SA ROTAVATOR PWEDE DAW PADAGDAGAN?</v>
      </c>
      <c r="L252" s="72" t="str">
        <f>IFERROR(__xludf.DUMMYFUNCTION("""COMPUTED_VALUE"""),"SEND AGREEMENT: FB: RHOD'S FINGKAW MAMARAT: AGREEMENT SENT: FOR PRINT")</f>
        <v>SEND AGREEMENT: FB: RHOD'S FINGKAW MAMARAT: AGREEMENT SENT: FOR PRINT</v>
      </c>
      <c r="M252" s="2"/>
      <c r="N252" s="2"/>
      <c r="O252" s="2" t="str">
        <f>IFERROR(__xludf.DUMMYFUNCTION("""COMPUTED_VALUE"""),"N/A")</f>
        <v>N/A</v>
      </c>
      <c r="P252" s="2"/>
      <c r="Q252" s="2"/>
      <c r="R252" s="74">
        <f>IFERROR(__xludf.DUMMYFUNCTION("""COMPUTED_VALUE"""),45457.0)</f>
        <v>45457</v>
      </c>
      <c r="S252" s="2" t="str">
        <f>IFERROR(__xludf.DUMMYFUNCTION("""COMPUTED_VALUE"""),"MYKEE")</f>
        <v>MYKEE</v>
      </c>
      <c r="T252" s="2" t="str">
        <f>IFERROR(__xludf.DUMMYFUNCTION("""COMPUTED_VALUE"""),"N/A")</f>
        <v>N/A</v>
      </c>
      <c r="U252" s="73" t="str">
        <f>IFERROR(__xludf.DUMMYFUNCTION("""COMPUTED_VALUE""")," NO CHARGE ")</f>
        <v>NO CHARGE</v>
      </c>
      <c r="V252" s="2"/>
      <c r="W252" s="2" t="str">
        <f>IFERROR(__xludf.DUMMYFUNCTION("""COMPUTED_VALUE"""),"N/A")</f>
        <v>N/A</v>
      </c>
      <c r="X252" s="2" t="str">
        <f>IFERROR(__xludf.DUMMYFUNCTION("""COMPUTED_VALUE"""),"N/A")</f>
        <v>N/A</v>
      </c>
      <c r="Y252" s="2"/>
      <c r="Z252" s="2"/>
      <c r="AA252" s="2"/>
      <c r="AB252" s="2"/>
      <c r="AC252" s="2"/>
      <c r="AD252" s="2"/>
      <c r="AE252" s="2"/>
      <c r="AF252" s="2"/>
      <c r="AG252" s="2"/>
      <c r="AH252" s="2"/>
      <c r="AI252" s="2"/>
      <c r="AJ252" s="2" t="str">
        <f>IFERROR(__xludf.DUMMYFUNCTION("""COMPUTED_VALUE"""),"Dilag")</f>
        <v>Dilag</v>
      </c>
      <c r="AK252" s="2" t="str">
        <f>IFERROR(__xludf.DUMMYFUNCTION("""COMPUTED_VALUE"""),"Tabuk City")</f>
        <v>Tabuk City</v>
      </c>
      <c r="AL252" s="2" t="str">
        <f>IFERROR(__xludf.DUMMYFUNCTION("""COMPUTED_VALUE"""),"Kalinga")</f>
        <v>Kalinga</v>
      </c>
      <c r="AM252" s="2" t="str">
        <f>IFERROR(__xludf.DUMMYFUNCTION("""COMPUTED_VALUE"""),"CAR")</f>
        <v>CAR</v>
      </c>
      <c r="AN252" s="2" t="str">
        <f>IFERROR(__xludf.DUMMYFUNCTION("""COMPUTED_VALUE"""),"RCEF 23-09-21 Rebidding")</f>
        <v>RCEF 23-09-21 Rebidding</v>
      </c>
      <c r="AO252" s="2">
        <f>IFERROR(__xludf.DUMMYFUNCTION("""COMPUTED_VALUE"""),1.0)</f>
        <v>1</v>
      </c>
      <c r="AP252" s="2"/>
      <c r="AQ252" s="2"/>
      <c r="AR252" s="2"/>
      <c r="AS252" s="2"/>
      <c r="AT252" s="2"/>
      <c r="AU252" s="2"/>
      <c r="AV252" s="2"/>
      <c r="AW252" s="2"/>
      <c r="AX252" s="2"/>
      <c r="AY252" s="2"/>
      <c r="AZ252" s="2"/>
      <c r="BA252" s="2"/>
      <c r="BB252" s="2"/>
    </row>
    <row r="253">
      <c r="A253" s="2">
        <f>IFERROR(__xludf.DUMMYFUNCTION("""COMPUTED_VALUE"""),249.0)</f>
        <v>249</v>
      </c>
      <c r="B253" s="2" t="str">
        <f>IFERROR(__xludf.DUMMYFUNCTION("""COMPUTED_VALUE"""),"COMPLETED")</f>
        <v>COMPLETED</v>
      </c>
      <c r="C253" s="74">
        <f>IFERROR(__xludf.DUMMYFUNCTION("""COMPUTED_VALUE"""),45459.0)</f>
        <v>45459</v>
      </c>
      <c r="D253" s="71" t="str">
        <f>IFERROR(__xludf.DUMMYFUNCTION("""COMPUTED_VALUE"""),"NEW PLANAS AGRICULTURE")</f>
        <v>NEW PLANAS AGRICULTURE</v>
      </c>
      <c r="E253" s="71" t="str">
        <f>IFERROR(__xludf.DUMMYFUNCTION("""COMPUTED_VALUE"""),"PLANAS, PORAC, PAMPANGA")</f>
        <v>PLANAS, PORAC, PAMPANGA</v>
      </c>
      <c r="F253" s="2" t="str">
        <f>IFERROR(__xludf.DUMMYFUNCTION("""COMPUTED_VALUE"""),"AMOR P. MALLARI")</f>
        <v>AMOR P. MALLARI</v>
      </c>
      <c r="G253" s="2">
        <f>IFERROR(__xludf.DUMMYFUNCTION("""COMPUTED_VALUE"""),9.093105708E9)</f>
        <v>9093105708</v>
      </c>
      <c r="H253" s="2">
        <f>IFERROR(__xludf.DUMMYFUNCTION("""COMPUTED_VALUE"""),57.0)</f>
        <v>57</v>
      </c>
      <c r="I253" s="72" t="str">
        <f>IFERROR(__xludf.DUMMYFUNCTION("""COMPUTED_VALUE"""),"PMS")</f>
        <v>PMS</v>
      </c>
      <c r="J253" s="72" t="str">
        <f>IFERROR(__xludf.DUMMYFUNCTION("""COMPUTED_VALUE"""),"PMS")</f>
        <v>PMS</v>
      </c>
      <c r="K253" s="72" t="str">
        <f>IFERROR(__xludf.DUMMYFUNCTION("""COMPUTED_VALUE"""),"JHP: FIRST PMS  
CFG: SELF PMS")</f>
        <v>JHP: FIRST PMS  
CFG: SELF PMS</v>
      </c>
      <c r="L253" s="72" t="str">
        <f>IFERROR(__xludf.DUMMYFUNCTION("""COMPUTED_VALUE"""),"SEND AGREEMENT:FB: AMOR PAYUMO MALLARI: AGREEMENT SENT")</f>
        <v>SEND AGREEMENT:FB: AMOR PAYUMO MALLARI: AGREEMENT SENT</v>
      </c>
      <c r="M253" s="2"/>
      <c r="N253" s="2"/>
      <c r="O253" s="2" t="str">
        <f>IFERROR(__xludf.DUMMYFUNCTION("""COMPUTED_VALUE"""),"N/A")</f>
        <v>N/A</v>
      </c>
      <c r="P253" s="2"/>
      <c r="Q253" s="2"/>
      <c r="R253" s="74">
        <f>IFERROR(__xludf.DUMMYFUNCTION("""COMPUTED_VALUE"""),45459.0)</f>
        <v>45459</v>
      </c>
      <c r="S253" s="2" t="str">
        <f>IFERROR(__xludf.DUMMYFUNCTION("""COMPUTED_VALUE"""),"MYKEE")</f>
        <v>MYKEE</v>
      </c>
      <c r="T253" s="2" t="str">
        <f>IFERROR(__xludf.DUMMYFUNCTION("""COMPUTED_VALUE"""),"N/A")</f>
        <v>N/A</v>
      </c>
      <c r="U253" s="73" t="str">
        <f>IFERROR(__xludf.DUMMYFUNCTION("""COMPUTED_VALUE""")," NO CHARGE ")</f>
        <v>NO CHARGE</v>
      </c>
      <c r="V253" s="2"/>
      <c r="W253" s="2" t="str">
        <f>IFERROR(__xludf.DUMMYFUNCTION("""COMPUTED_VALUE"""),"N/A")</f>
        <v>N/A</v>
      </c>
      <c r="X253" s="2" t="str">
        <f>IFERROR(__xludf.DUMMYFUNCTION("""COMPUTED_VALUE"""),"N/A")</f>
        <v>N/A</v>
      </c>
      <c r="Y253" s="2"/>
      <c r="Z253" s="2"/>
      <c r="AA253" s="2"/>
      <c r="AB253" s="2"/>
      <c r="AC253" s="2"/>
      <c r="AD253" s="2"/>
      <c r="AE253" s="2"/>
      <c r="AF253" s="2"/>
      <c r="AG253" s="2"/>
      <c r="AH253" s="2"/>
      <c r="AI253" s="2"/>
      <c r="AJ253" s="2" t="str">
        <f>IFERROR(__xludf.DUMMYFUNCTION("""COMPUTED_VALUE"""),"Planas")</f>
        <v>Planas</v>
      </c>
      <c r="AK253" s="2" t="str">
        <f>IFERROR(__xludf.DUMMYFUNCTION("""COMPUTED_VALUE"""),"Porac")</f>
        <v>Porac</v>
      </c>
      <c r="AL253" s="2" t="str">
        <f>IFERROR(__xludf.DUMMYFUNCTION("""COMPUTED_VALUE"""),"Pampanga")</f>
        <v>Pampanga</v>
      </c>
      <c r="AM253" s="2">
        <f>IFERROR(__xludf.DUMMYFUNCTION("""COMPUTED_VALUE"""),3.0)</f>
        <v>3</v>
      </c>
      <c r="AN253" s="2" t="str">
        <f>IFERROR(__xludf.DUMMYFUNCTION("""COMPUTED_VALUE"""),"RCEF 23-09-21 Rebidding")</f>
        <v>RCEF 23-09-21 Rebidding</v>
      </c>
      <c r="AO253" s="2">
        <f>IFERROR(__xludf.DUMMYFUNCTION("""COMPUTED_VALUE"""),9.0)</f>
        <v>9</v>
      </c>
      <c r="AP253" s="2"/>
      <c r="AQ253" s="2"/>
      <c r="AR253" s="2"/>
      <c r="AS253" s="2"/>
      <c r="AT253" s="2"/>
      <c r="AU253" s="2"/>
      <c r="AV253" s="2"/>
      <c r="AW253" s="2"/>
      <c r="AX253" s="2"/>
      <c r="AY253" s="2"/>
      <c r="AZ253" s="2"/>
      <c r="BA253" s="2"/>
      <c r="BB253" s="2"/>
    </row>
    <row r="254">
      <c r="A254" s="2">
        <f>IFERROR(__xludf.DUMMYFUNCTION("""COMPUTED_VALUE"""),250.0)</f>
        <v>250</v>
      </c>
      <c r="B254" s="2" t="str">
        <f>IFERROR(__xludf.DUMMYFUNCTION("""COMPUTED_VALUE"""),"COMPLETED")</f>
        <v>COMPLETED</v>
      </c>
      <c r="C254" s="74">
        <f>IFERROR(__xludf.DUMMYFUNCTION("""COMPUTED_VALUE"""),45460.0)</f>
        <v>45460</v>
      </c>
      <c r="D254" s="71" t="str">
        <f>IFERROR(__xludf.DUMMYFUNCTION("""COMPUTED_VALUE"""),"TUMBAGA I BUCAL IRRIGATORS ASSOCIATION, INC.")</f>
        <v>TUMBAGA I BUCAL IRRIGATORS ASSOCIATION, INC.</v>
      </c>
      <c r="E254" s="71" t="str">
        <f>IFERROR(__xludf.DUMMYFUNCTION("""COMPUTED_VALUE"""),"Tumbaga I, Sariaya, Quezon")</f>
        <v>Tumbaga I, Sariaya, Quezon</v>
      </c>
      <c r="F254" s="2" t="str">
        <f>IFERROR(__xludf.DUMMYFUNCTION("""COMPUTED_VALUE"""),"MARGARITA SARMIENTO")</f>
        <v>MARGARITA SARMIENTO</v>
      </c>
      <c r="G254" s="2">
        <f>IFERROR(__xludf.DUMMYFUNCTION("""COMPUTED_VALUE"""),9.565524962E9)</f>
        <v>9565524962</v>
      </c>
      <c r="H254" s="2">
        <f>IFERROR(__xludf.DUMMYFUNCTION("""COMPUTED_VALUE"""),50.0)</f>
        <v>50</v>
      </c>
      <c r="I254" s="72" t="str">
        <f>IFERROR(__xludf.DUMMYFUNCTION("""COMPUTED_VALUE"""),"PMS")</f>
        <v>PMS</v>
      </c>
      <c r="J254" s="72" t="str">
        <f>IFERROR(__xludf.DUMMYFUNCTION("""COMPUTED_VALUE"""),"PMS")</f>
        <v>PMS</v>
      </c>
      <c r="K254" s="72" t="str">
        <f>IFERROR(__xludf.DUMMYFUNCTION("""COMPUTED_VALUE"""),"JHP: FIRST PMS")</f>
        <v>JHP: FIRST PMS</v>
      </c>
      <c r="L254" s="72" t="str">
        <f>IFERROR(__xludf.DUMMYFUNCTION("""COMPUTED_VALUE"""),"JTT: DONE CAHNGE OIL")</f>
        <v>JTT: DONE CAHNGE OIL</v>
      </c>
      <c r="M254" s="2"/>
      <c r="N254" s="2"/>
      <c r="O254" s="2" t="str">
        <f>IFERROR(__xludf.DUMMYFUNCTION("""COMPUTED_VALUE"""),"JIE-812")</f>
        <v>JIE-812</v>
      </c>
      <c r="P254" s="2"/>
      <c r="Q254" s="2"/>
      <c r="R254" s="74">
        <f>IFERROR(__xludf.DUMMYFUNCTION("""COMPUTED_VALUE"""),45465.0)</f>
        <v>45465</v>
      </c>
      <c r="S254" s="2" t="str">
        <f>IFERROR(__xludf.DUMMYFUNCTION("""COMPUTED_VALUE"""),"JTT")</f>
        <v>JTT</v>
      </c>
      <c r="T254" s="73" t="str">
        <f>IFERROR(__xludf.DUMMYFUNCTION("""COMPUTED_VALUE""")," N/A ")</f>
        <v>N/A</v>
      </c>
      <c r="U254" s="73" t="str">
        <f>IFERROR(__xludf.DUMMYFUNCTION("""COMPUTED_VALUE""")," NO CHARGE ")</f>
        <v>NO CHARGE</v>
      </c>
      <c r="V254" s="2"/>
      <c r="W254" s="2" t="str">
        <f>IFERROR(__xludf.DUMMYFUNCTION("""COMPUTED_VALUE"""),"N/A")</f>
        <v>N/A</v>
      </c>
      <c r="X254" s="2" t="str">
        <f>IFERROR(__xludf.DUMMYFUNCTION("""COMPUTED_VALUE"""),"N/A")</f>
        <v>N/A</v>
      </c>
      <c r="Y254" s="2"/>
      <c r="Z254" s="2"/>
      <c r="AA254" s="2"/>
      <c r="AB254" s="2"/>
      <c r="AC254" s="2"/>
      <c r="AD254" s="2"/>
      <c r="AE254" s="2"/>
      <c r="AF254" s="2"/>
      <c r="AG254" s="2"/>
      <c r="AH254" s="2"/>
      <c r="AI254" s="2"/>
      <c r="AJ254" s="2" t="str">
        <f>IFERROR(__xludf.DUMMYFUNCTION("""COMPUTED_VALUE"""),"Tumbaga I")</f>
        <v>Tumbaga I</v>
      </c>
      <c r="AK254" s="2" t="str">
        <f>IFERROR(__xludf.DUMMYFUNCTION("""COMPUTED_VALUE"""),"Sariaya")</f>
        <v>Sariaya</v>
      </c>
      <c r="AL254" s="2" t="str">
        <f>IFERROR(__xludf.DUMMYFUNCTION("""COMPUTED_VALUE"""),"Quezon")</f>
        <v>Quezon</v>
      </c>
      <c r="AM254" s="2" t="str">
        <f>IFERROR(__xludf.DUMMYFUNCTION("""COMPUTED_VALUE"""),"4A")</f>
        <v>4A</v>
      </c>
      <c r="AN254" s="2" t="str">
        <f>IFERROR(__xludf.DUMMYFUNCTION("""COMPUTED_VALUE"""),"RCEF 23-08-20 Rebidding")</f>
        <v>RCEF 23-08-20 Rebidding</v>
      </c>
      <c r="AO254" s="2">
        <f>IFERROR(__xludf.DUMMYFUNCTION("""COMPUTED_VALUE"""),1.0)</f>
        <v>1</v>
      </c>
      <c r="AP254" s="2"/>
      <c r="AQ254" s="2"/>
      <c r="AR254" s="2"/>
      <c r="AS254" s="2"/>
      <c r="AT254" s="2"/>
      <c r="AU254" s="2"/>
      <c r="AV254" s="2"/>
      <c r="AW254" s="2"/>
      <c r="AX254" s="2"/>
      <c r="AY254" s="2"/>
      <c r="AZ254" s="2"/>
      <c r="BA254" s="2"/>
      <c r="BB254" s="2"/>
    </row>
    <row r="255">
      <c r="A255" s="2">
        <f>IFERROR(__xludf.DUMMYFUNCTION("""COMPUTED_VALUE"""),251.0)</f>
        <v>251</v>
      </c>
      <c r="B255" s="2" t="str">
        <f>IFERROR(__xludf.DUMMYFUNCTION("""COMPUTED_VALUE"""),"COMPLETED")</f>
        <v>COMPLETED</v>
      </c>
      <c r="C255" s="74">
        <f>IFERROR(__xludf.DUMMYFUNCTION("""COMPUTED_VALUE"""),45460.0)</f>
        <v>45460</v>
      </c>
      <c r="D255" s="71" t="str">
        <f>IFERROR(__xludf.DUMMYFUNCTION("""COMPUTED_VALUE"""),"BANGAR BUROBOR FARMERS ASSOCIATION, INC.")</f>
        <v>BANGAR BUROBOR FARMERS ASSOCIATION, INC.</v>
      </c>
      <c r="E255" s="71" t="str">
        <f>IFERROR(__xludf.DUMMYFUNCTION("""COMPUTED_VALUE"""),"SAN PEDRO, SARRAT, ILOCOS NORTE")</f>
        <v>SAN PEDRO, SARRAT, ILOCOS NORTE</v>
      </c>
      <c r="F255" s="2" t="str">
        <f>IFERROR(__xludf.DUMMYFUNCTION("""COMPUTED_VALUE"""),"WILSON R. VIADO")</f>
        <v>WILSON R. VIADO</v>
      </c>
      <c r="G255" s="2">
        <f>IFERROR(__xludf.DUMMYFUNCTION("""COMPUTED_VALUE"""),9.663581591E9)</f>
        <v>9663581591</v>
      </c>
      <c r="H255" s="2">
        <f>IFERROR(__xludf.DUMMYFUNCTION("""COMPUTED_VALUE"""),39.6)</f>
        <v>39.6</v>
      </c>
      <c r="I255" s="72" t="str">
        <f>IFERROR(__xludf.DUMMYFUNCTION("""COMPUTED_VALUE"""),"PMS")</f>
        <v>PMS</v>
      </c>
      <c r="J255" s="72" t="str">
        <f>IFERROR(__xludf.DUMMYFUNCTION("""COMPUTED_VALUE"""),"PMS")</f>
        <v>PMS</v>
      </c>
      <c r="K255" s="72" t="str">
        <f>IFERROR(__xludf.DUMMYFUNCTION("""COMPUTED_VALUE"""),"JHP: FIRST PMS")</f>
        <v>JHP: FIRST PMS</v>
      </c>
      <c r="L255" s="72" t="str">
        <f>IFERROR(__xludf.DUMMYFUNCTION("""COMPUTED_VALUE"""),"ACS: FIRST PMS DONE")</f>
        <v>ACS: FIRST PMS DONE</v>
      </c>
      <c r="M255" s="2"/>
      <c r="N255" s="2" t="str">
        <f>IFERROR(__xludf.DUMMYFUNCTION("""COMPUTED_VALUE"""),"PARTS: OIL FILTER")</f>
        <v>PARTS: OIL FILTER</v>
      </c>
      <c r="O255" s="2" t="str">
        <f>IFERROR(__xludf.DUMMYFUNCTION("""COMPUTED_VALUE"""),"JIE-819")</f>
        <v>JIE-819</v>
      </c>
      <c r="P255" s="2"/>
      <c r="Q255" s="2"/>
      <c r="R255" s="74">
        <f>IFERROR(__xludf.DUMMYFUNCTION("""COMPUTED_VALUE"""),45468.0)</f>
        <v>45468</v>
      </c>
      <c r="S255" s="2" t="str">
        <f>IFERROR(__xludf.DUMMYFUNCTION("""COMPUTED_VALUE"""),"ACS/JHP")</f>
        <v>ACS/JHP</v>
      </c>
      <c r="T255" s="73">
        <f>IFERROR(__xludf.DUMMYFUNCTION("""COMPUTED_VALUE"""),2837.5)</f>
        <v>2837.5</v>
      </c>
      <c r="U255" s="73" t="str">
        <f>IFERROR(__xludf.DUMMYFUNCTION("""COMPUTED_VALUE""")," REMITTED ")</f>
        <v>REMITTED</v>
      </c>
      <c r="V255" s="2"/>
      <c r="W255" s="2"/>
      <c r="X255" s="2">
        <f>IFERROR(__xludf.DUMMYFUNCTION("""COMPUTED_VALUE"""),1121.0)</f>
        <v>1121</v>
      </c>
      <c r="Y255" s="2"/>
      <c r="Z255" s="2"/>
      <c r="AA255" s="2"/>
      <c r="AB255" s="2"/>
      <c r="AC255" s="2"/>
      <c r="AD255" s="2"/>
      <c r="AE255" s="2"/>
      <c r="AF255" s="2"/>
      <c r="AG255" s="2"/>
      <c r="AH255" s="2"/>
      <c r="AI255" s="2"/>
      <c r="AJ255" s="2" t="str">
        <f>IFERROR(__xludf.DUMMYFUNCTION("""COMPUTED_VALUE"""),"San Pedro")</f>
        <v>San Pedro</v>
      </c>
      <c r="AK255" s="2" t="str">
        <f>IFERROR(__xludf.DUMMYFUNCTION("""COMPUTED_VALUE"""),"Sarrat")</f>
        <v>Sarrat</v>
      </c>
      <c r="AL255" s="2" t="str">
        <f>IFERROR(__xludf.DUMMYFUNCTION("""COMPUTED_VALUE"""),"Ilocos Norte")</f>
        <v>Ilocos Norte</v>
      </c>
      <c r="AM255" s="2">
        <f>IFERROR(__xludf.DUMMYFUNCTION("""COMPUTED_VALUE"""),1.0)</f>
        <v>1</v>
      </c>
      <c r="AN255" s="2" t="str">
        <f>IFERROR(__xludf.DUMMYFUNCTION("""COMPUTED_VALUE"""),"RCEF 23-09-21 Rebidding")</f>
        <v>RCEF 23-09-21 Rebidding</v>
      </c>
      <c r="AO255" s="2">
        <f>IFERROR(__xludf.DUMMYFUNCTION("""COMPUTED_VALUE"""),2.0)</f>
        <v>2</v>
      </c>
      <c r="AP255" s="2"/>
      <c r="AQ255" s="2"/>
      <c r="AR255" s="2"/>
      <c r="AS255" s="2"/>
      <c r="AT255" s="2"/>
      <c r="AU255" s="2"/>
      <c r="AV255" s="2"/>
      <c r="AW255" s="2"/>
      <c r="AX255" s="2"/>
      <c r="AY255" s="2"/>
      <c r="AZ255" s="2"/>
      <c r="BA255" s="2"/>
      <c r="BB255" s="2"/>
    </row>
    <row r="256">
      <c r="A256" s="2">
        <f>IFERROR(__xludf.DUMMYFUNCTION("""COMPUTED_VALUE"""),252.0)</f>
        <v>252</v>
      </c>
      <c r="B256" s="2" t="str">
        <f>IFERROR(__xludf.DUMMYFUNCTION("""COMPUTED_VALUE"""),"COMPLETED")</f>
        <v>COMPLETED</v>
      </c>
      <c r="C256" s="74">
        <f>IFERROR(__xludf.DUMMYFUNCTION("""COMPUTED_VALUE"""),45460.0)</f>
        <v>45460</v>
      </c>
      <c r="D256" s="71" t="str">
        <f>IFERROR(__xludf.DUMMYFUNCTION("""COMPUTED_VALUE"""),"UNITED SAN JUAN SOUTH FARMERS ASSOCIATION INC.")</f>
        <v>UNITED SAN JUAN SOUTH FARMERS ASSOCIATION INC.</v>
      </c>
      <c r="E256" s="71" t="str">
        <f>IFERROR(__xludf.DUMMYFUNCTION("""COMPUTED_VALUE"""),"SAN JUAN, SOLSONA, ILOCOS NORTE")</f>
        <v>SAN JUAN, SOLSONA, ILOCOS NORTE</v>
      </c>
      <c r="F256" s="2" t="str">
        <f>IFERROR(__xludf.DUMMYFUNCTION("""COMPUTED_VALUE"""),"REYNALDO BUMANGLAG")</f>
        <v>REYNALDO BUMANGLAG</v>
      </c>
      <c r="G256" s="2">
        <f>IFERROR(__xludf.DUMMYFUNCTION("""COMPUTED_VALUE"""),9.272457511E9)</f>
        <v>9272457511</v>
      </c>
      <c r="H256" s="2">
        <f>IFERROR(__xludf.DUMMYFUNCTION("""COMPUTED_VALUE"""),35.0)</f>
        <v>35</v>
      </c>
      <c r="I256" s="72" t="str">
        <f>IFERROR(__xludf.DUMMYFUNCTION("""COMPUTED_VALUE"""),"PMS")</f>
        <v>PMS</v>
      </c>
      <c r="J256" s="72" t="str">
        <f>IFERROR(__xludf.DUMMYFUNCTION("""COMPUTED_VALUE"""),"PMS")</f>
        <v>PMS</v>
      </c>
      <c r="K256" s="72" t="str">
        <f>IFERROR(__xludf.DUMMYFUNCTION("""COMPUTED_VALUE"""),"JHP: FIRST PMS")</f>
        <v>JHP: FIRST PMS</v>
      </c>
      <c r="L256" s="72" t="str">
        <f>IFERROR(__xludf.DUMMYFUNCTION("""COMPUTED_VALUE"""),"acs: FIRST PMS DONE")</f>
        <v>acs: FIRST PMS DONE</v>
      </c>
      <c r="M256" s="2"/>
      <c r="N256" s="2" t="str">
        <f>IFERROR(__xludf.DUMMYFUNCTION("""COMPUTED_VALUE"""),"PARTS: OIL FILTER")</f>
        <v>PARTS: OIL FILTER</v>
      </c>
      <c r="O256" s="2" t="str">
        <f>IFERROR(__xludf.DUMMYFUNCTION("""COMPUTED_VALUE"""),"JIE-820")</f>
        <v>JIE-820</v>
      </c>
      <c r="P256" s="2"/>
      <c r="Q256" s="2"/>
      <c r="R256" s="74">
        <f>IFERROR(__xludf.DUMMYFUNCTION("""COMPUTED_VALUE"""),45468.0)</f>
        <v>45468</v>
      </c>
      <c r="S256" s="2" t="str">
        <f>IFERROR(__xludf.DUMMYFUNCTION("""COMPUTED_VALUE"""),"ACS/JHP")</f>
        <v>ACS/JHP</v>
      </c>
      <c r="T256" s="73">
        <f>IFERROR(__xludf.DUMMYFUNCTION("""COMPUTED_VALUE"""),2837.5)</f>
        <v>2837.5</v>
      </c>
      <c r="U256" s="73" t="str">
        <f>IFERROR(__xludf.DUMMYFUNCTION("""COMPUTED_VALUE""")," REMITTED ")</f>
        <v>REMITTED</v>
      </c>
      <c r="V256" s="2"/>
      <c r="W256" s="2"/>
      <c r="X256" s="2">
        <f>IFERROR(__xludf.DUMMYFUNCTION("""COMPUTED_VALUE"""),1123.0)</f>
        <v>1123</v>
      </c>
      <c r="Y256" s="2"/>
      <c r="Z256" s="2"/>
      <c r="AA256" s="2"/>
      <c r="AB256" s="2"/>
      <c r="AC256" s="2"/>
      <c r="AD256" s="2"/>
      <c r="AE256" s="2"/>
      <c r="AF256" s="2"/>
      <c r="AG256" s="2"/>
      <c r="AH256" s="2"/>
      <c r="AI256" s="2"/>
      <c r="AJ256" s="2" t="str">
        <f>IFERROR(__xludf.DUMMYFUNCTION("""COMPUTED_VALUE"""),"San Juan")</f>
        <v>San Juan</v>
      </c>
      <c r="AK256" s="2" t="str">
        <f>IFERROR(__xludf.DUMMYFUNCTION("""COMPUTED_VALUE"""),"Solsona")</f>
        <v>Solsona</v>
      </c>
      <c r="AL256" s="2" t="str">
        <f>IFERROR(__xludf.DUMMYFUNCTION("""COMPUTED_VALUE"""),"Ilocos Norte")</f>
        <v>Ilocos Norte</v>
      </c>
      <c r="AM256" s="2">
        <f>IFERROR(__xludf.DUMMYFUNCTION("""COMPUTED_VALUE"""),1.0)</f>
        <v>1</v>
      </c>
      <c r="AN256" s="2" t="str">
        <f>IFERROR(__xludf.DUMMYFUNCTION("""COMPUTED_VALUE"""),"RCEF 23-09-21 Rebidding")</f>
        <v>RCEF 23-09-21 Rebidding</v>
      </c>
      <c r="AO256" s="2">
        <f>IFERROR(__xludf.DUMMYFUNCTION("""COMPUTED_VALUE"""),2.0)</f>
        <v>2</v>
      </c>
      <c r="AP256" s="2"/>
      <c r="AQ256" s="2"/>
      <c r="AR256" s="2"/>
      <c r="AS256" s="2"/>
      <c r="AT256" s="2"/>
      <c r="AU256" s="2"/>
      <c r="AV256" s="2"/>
      <c r="AW256" s="2"/>
      <c r="AX256" s="2"/>
      <c r="AY256" s="2"/>
      <c r="AZ256" s="2"/>
      <c r="BA256" s="2"/>
      <c r="BB256" s="2"/>
    </row>
    <row r="257">
      <c r="A257" s="2">
        <f>IFERROR(__xludf.DUMMYFUNCTION("""COMPUTED_VALUE"""),253.0)</f>
        <v>253</v>
      </c>
      <c r="B257" s="2" t="str">
        <f>IFERROR(__xludf.DUMMYFUNCTION("""COMPUTED_VALUE"""),"COMPLETED")</f>
        <v>COMPLETED</v>
      </c>
      <c r="C257" s="74">
        <f>IFERROR(__xludf.DUMMYFUNCTION("""COMPUTED_VALUE"""),45460.0)</f>
        <v>45460</v>
      </c>
      <c r="D257" s="71" t="str">
        <f>IFERROR(__xludf.DUMMYFUNCTION("""COMPUTED_VALUE"""),"Alpip-Caba-San Irrigators Association Inc.")</f>
        <v>Alpip-Caba-San Irrigators Association Inc.</v>
      </c>
      <c r="E257" s="71" t="str">
        <f>IFERROR(__xludf.DUMMYFUNCTION("""COMPUTED_VALUE"""),"Santo Domingo (Cabicalan), Alfonso Lista (Potia), IFUGAO")</f>
        <v>Santo Domingo (Cabicalan), Alfonso Lista (Potia), IFUGAO</v>
      </c>
      <c r="F257" s="2" t="str">
        <f>IFERROR(__xludf.DUMMYFUNCTION("""COMPUTED_VALUE"""),"ENGR. BERT P. KIMMAYONG")</f>
        <v>ENGR. BERT P. KIMMAYONG</v>
      </c>
      <c r="G257" s="2">
        <f>IFERROR(__xludf.DUMMYFUNCTION("""COMPUTED_VALUE"""),9.456128144E9)</f>
        <v>9456128144</v>
      </c>
      <c r="H257" s="2">
        <f>IFERROR(__xludf.DUMMYFUNCTION("""COMPUTED_VALUE"""),54.0)</f>
        <v>54</v>
      </c>
      <c r="I257" s="72" t="str">
        <f>IFERROR(__xludf.DUMMYFUNCTION("""COMPUTED_VALUE"""),"PMS")</f>
        <v>PMS</v>
      </c>
      <c r="J257" s="72" t="str">
        <f>IFERROR(__xludf.DUMMYFUNCTION("""COMPUTED_VALUE"""),"PMS")</f>
        <v>PMS</v>
      </c>
      <c r="K257" s="72" t="str">
        <f>IFERROR(__xludf.DUMMYFUNCTION("""COMPUTED_VALUE"""),"FIRST PMS")</f>
        <v>FIRST PMS</v>
      </c>
      <c r="L257" s="72" t="str">
        <f>IFERROR(__xludf.DUMMYFUNCTION("""COMPUTED_VALUE"""),"SEND AGREEMENT:FB: BERT KIMMAYONG: AGREEMENT SENT")</f>
        <v>SEND AGREEMENT:FB: BERT KIMMAYONG: AGREEMENT SENT</v>
      </c>
      <c r="M257" s="2"/>
      <c r="N257" s="2"/>
      <c r="O257" s="2" t="str">
        <f>IFERROR(__xludf.DUMMYFUNCTION("""COMPUTED_VALUE"""),"N/A")</f>
        <v>N/A</v>
      </c>
      <c r="P257" s="2"/>
      <c r="Q257" s="2"/>
      <c r="R257" s="74">
        <f>IFERROR(__xludf.DUMMYFUNCTION("""COMPUTED_VALUE"""),45460.0)</f>
        <v>45460</v>
      </c>
      <c r="S257" s="2" t="str">
        <f>IFERROR(__xludf.DUMMYFUNCTION("""COMPUTED_VALUE"""),"MYKEE")</f>
        <v>MYKEE</v>
      </c>
      <c r="T257" s="2" t="str">
        <f>IFERROR(__xludf.DUMMYFUNCTION("""COMPUTED_VALUE"""),"N/A")</f>
        <v>N/A</v>
      </c>
      <c r="U257" s="73" t="str">
        <f>IFERROR(__xludf.DUMMYFUNCTION("""COMPUTED_VALUE""")," NO CHARGE ")</f>
        <v>NO CHARGE</v>
      </c>
      <c r="V257" s="2"/>
      <c r="W257" s="2" t="str">
        <f>IFERROR(__xludf.DUMMYFUNCTION("""COMPUTED_VALUE"""),"N/A")</f>
        <v>N/A</v>
      </c>
      <c r="X257" s="2" t="str">
        <f>IFERROR(__xludf.DUMMYFUNCTION("""COMPUTED_VALUE"""),"N/A")</f>
        <v>N/A</v>
      </c>
      <c r="Y257" s="2"/>
      <c r="Z257" s="2"/>
      <c r="AA257" s="2"/>
      <c r="AB257" s="2"/>
      <c r="AC257" s="2"/>
      <c r="AD257" s="2"/>
      <c r="AE257" s="2"/>
      <c r="AF257" s="2"/>
      <c r="AG257" s="2"/>
      <c r="AH257" s="2"/>
      <c r="AI257" s="2"/>
      <c r="AJ257" s="2" t="str">
        <f>IFERROR(__xludf.DUMMYFUNCTION("""COMPUTED_VALUE"""),"Santo Domingo (Cabicalan)")</f>
        <v>Santo Domingo (Cabicalan)</v>
      </c>
      <c r="AK257" s="2" t="str">
        <f>IFERROR(__xludf.DUMMYFUNCTION("""COMPUTED_VALUE"""),"Alfonso Lista (Potia)")</f>
        <v>Alfonso Lista (Potia)</v>
      </c>
      <c r="AL257" s="2" t="str">
        <f>IFERROR(__xludf.DUMMYFUNCTION("""COMPUTED_VALUE"""),"Ifugao")</f>
        <v>Ifugao</v>
      </c>
      <c r="AM257" s="2" t="str">
        <f>IFERROR(__xludf.DUMMYFUNCTION("""COMPUTED_VALUE"""),"CAR")</f>
        <v>CAR</v>
      </c>
      <c r="AN257" s="2" t="str">
        <f>IFERROR(__xludf.DUMMYFUNCTION("""COMPUTED_VALUE"""),"RCEF 23-09-21 Rebidding")</f>
        <v>RCEF 23-09-21 Rebidding</v>
      </c>
      <c r="AO257" s="2">
        <f>IFERROR(__xludf.DUMMYFUNCTION("""COMPUTED_VALUE"""),1.0)</f>
        <v>1</v>
      </c>
      <c r="AP257" s="2"/>
      <c r="AQ257" s="2"/>
      <c r="AR257" s="2"/>
      <c r="AS257" s="2"/>
      <c r="AT257" s="2"/>
      <c r="AU257" s="2"/>
      <c r="AV257" s="2"/>
      <c r="AW257" s="2"/>
      <c r="AX257" s="2"/>
      <c r="AY257" s="2"/>
      <c r="AZ257" s="2"/>
      <c r="BA257" s="2"/>
      <c r="BB257" s="2"/>
    </row>
    <row r="258">
      <c r="A258" s="2">
        <f>IFERROR(__xludf.DUMMYFUNCTION("""COMPUTED_VALUE"""),254.0)</f>
        <v>254</v>
      </c>
      <c r="B258" s="2" t="str">
        <f>IFERROR(__xludf.DUMMYFUNCTION("""COMPUTED_VALUE"""),"COMPLETED")</f>
        <v>COMPLETED</v>
      </c>
      <c r="C258" s="74">
        <f>IFERROR(__xludf.DUMMYFUNCTION("""COMPUTED_VALUE"""),45460.0)</f>
        <v>45460</v>
      </c>
      <c r="D258" s="71" t="str">
        <f>IFERROR(__xludf.DUMMYFUNCTION("""COMPUTED_VALUE"""),"STA. RITA RICE, CORN, HVCC AND LIVESTOCK FARMERS ASSOCIATION")</f>
        <v>STA. RITA RICE, CORN, HVCC AND LIVESTOCK FARMERS ASSOCIATION</v>
      </c>
      <c r="E258" s="71" t="str">
        <f>IFERROR(__xludf.DUMMYFUNCTION("""COMPUTED_VALUE""")," ")</f>
        <v> </v>
      </c>
      <c r="F258" s="2" t="str">
        <f>IFERROR(__xludf.DUMMYFUNCTION("""COMPUTED_VALUE"""),"FLORENTINO CALAWAGAN")</f>
        <v>FLORENTINO CALAWAGAN</v>
      </c>
      <c r="G258" s="2">
        <f>IFERROR(__xludf.DUMMYFUNCTION("""COMPUTED_VALUE"""),9.46278586E9)</f>
        <v>9462785860</v>
      </c>
      <c r="H258" s="2">
        <f>IFERROR(__xludf.DUMMYFUNCTION("""COMPUTED_VALUE"""),22.0)</f>
        <v>22</v>
      </c>
      <c r="I258" s="72" t="str">
        <f>IFERROR(__xludf.DUMMYFUNCTION("""COMPUTED_VALUE"""),"REPAIR - TRACTOR")</f>
        <v>REPAIR - TRACTOR</v>
      </c>
      <c r="J258" s="72" t="str">
        <f>IFERROR(__xludf.DUMMYFUNCTION("""COMPUTED_VALUE"""),"Radiator")</f>
        <v>Radiator</v>
      </c>
      <c r="K258" s="72" t="str">
        <f>IFERROR(__xludf.DUMMYFUNCTION("""COMPUTED_VALUE"""),"KFS: ILALIM NG RADIATOR MAY TAGAS")</f>
        <v>KFS: ILALIM NG RADIATOR MAY TAGAS</v>
      </c>
      <c r="L258" s="72" t="str">
        <f>IFERROR(__xludf.DUMMYFUNCTION("""COMPUTED_VALUE"""),"DSD: HINDI PO GANANONG NAKA PRESS YUNG LOCK NYA KAYA MERON PO LEAK, KAYA PRINESS NALANG PO NAMIN AT OK NA PO ANG UNIT.")</f>
        <v>DSD: HINDI PO GANANONG NAKA PRESS YUNG LOCK NYA KAYA MERON PO LEAK, KAYA PRINESS NALANG PO NAMIN AT OK NA PO ANG UNIT.</v>
      </c>
      <c r="M258" s="2"/>
      <c r="N258" s="2"/>
      <c r="O258" s="2" t="str">
        <f>IFERROR(__xludf.DUMMYFUNCTION("""COMPUTED_VALUE"""),"N/A")</f>
        <v>N/A</v>
      </c>
      <c r="P258" s="2"/>
      <c r="Q258" s="2"/>
      <c r="R258" s="74">
        <f>IFERROR(__xludf.DUMMYFUNCTION("""COMPUTED_VALUE"""),45470.0)</f>
        <v>45470</v>
      </c>
      <c r="S258" s="2" t="str">
        <f>IFERROR(__xludf.DUMMYFUNCTION("""COMPUTED_VALUE"""),"EGT/DSD")</f>
        <v>EGT/DSD</v>
      </c>
      <c r="T258" s="73" t="str">
        <f>IFERROR(__xludf.DUMMYFUNCTION("""COMPUTED_VALUE""")," N/A ")</f>
        <v>N/A</v>
      </c>
      <c r="U258" s="73" t="str">
        <f>IFERROR(__xludf.DUMMYFUNCTION("""COMPUTED_VALUE""")," NO CHARGE ")</f>
        <v>NO CHARGE</v>
      </c>
      <c r="V258" s="2"/>
      <c r="W258" s="2" t="str">
        <f>IFERROR(__xludf.DUMMYFUNCTION("""COMPUTED_VALUE"""),"N/A")</f>
        <v>N/A</v>
      </c>
      <c r="X258" s="2" t="str">
        <f>IFERROR(__xludf.DUMMYFUNCTION("""COMPUTED_VALUE"""),"N/A")</f>
        <v>N/A</v>
      </c>
      <c r="Y258" s="2"/>
      <c r="Z258" s="2"/>
      <c r="AA258" s="2"/>
      <c r="AB258" s="2"/>
      <c r="AC258" s="2"/>
      <c r="AD258" s="2"/>
      <c r="AE258" s="2"/>
      <c r="AF258" s="2"/>
      <c r="AG258" s="2"/>
      <c r="AH258" s="2"/>
      <c r="AI258" s="2"/>
      <c r="AJ258" s="2" t="str">
        <f>IFERROR(__xludf.DUMMYFUNCTION("""COMPUTED_VALUE"""),"")</f>
        <v/>
      </c>
      <c r="AK258" s="2" t="str">
        <f>IFERROR(__xludf.DUMMYFUNCTION("""COMPUTED_VALUE"""),"")</f>
        <v/>
      </c>
      <c r="AL258" s="2" t="str">
        <f>IFERROR(__xludf.DUMMYFUNCTION("""COMPUTED_VALUE"""),"")</f>
        <v/>
      </c>
      <c r="AM258" s="2" t="str">
        <f>IFERROR(__xludf.DUMMYFUNCTION("""COMPUTED_VALUE"""),"")</f>
        <v/>
      </c>
      <c r="AN258" s="2" t="str">
        <f>IFERROR(__xludf.DUMMYFUNCTION("""COMPUTED_VALUE""")," ")</f>
        <v> </v>
      </c>
      <c r="AO258" s="2" t="str">
        <f>IFERROR(__xludf.DUMMYFUNCTION("""COMPUTED_VALUE""")," ")</f>
        <v> </v>
      </c>
      <c r="AP258" s="2" t="str">
        <f>IFERROR(__xludf.DUMMYFUNCTION("""COMPUTED_VALUE"""),"")</f>
        <v/>
      </c>
      <c r="AQ258" s="2"/>
      <c r="AR258" s="2"/>
      <c r="AS258" s="2"/>
      <c r="AT258" s="2"/>
      <c r="AU258" s="2"/>
      <c r="AV258" s="2"/>
      <c r="AW258" s="2"/>
      <c r="AX258" s="2"/>
      <c r="AY258" s="2"/>
      <c r="AZ258" s="2"/>
      <c r="BA258" s="2"/>
      <c r="BB258" s="2"/>
    </row>
    <row r="259">
      <c r="A259" s="2">
        <f>IFERROR(__xludf.DUMMYFUNCTION("""COMPUTED_VALUE"""),255.0)</f>
        <v>255</v>
      </c>
      <c r="B259" s="2" t="str">
        <f>IFERROR(__xludf.DUMMYFUNCTION("""COMPUTED_VALUE"""),"COMPLETED")</f>
        <v>COMPLETED</v>
      </c>
      <c r="C259" s="74">
        <f>IFERROR(__xludf.DUMMYFUNCTION("""COMPUTED_VALUE"""),45461.0)</f>
        <v>45461</v>
      </c>
      <c r="D259" s="71" t="str">
        <f>IFERROR(__xludf.DUMMYFUNCTION("""COMPUTED_VALUE"""),"BAGONG BUHAY FARMERS ASSOCIATION")</f>
        <v>BAGONG BUHAY FARMERS ASSOCIATION</v>
      </c>
      <c r="E259" s="71" t="str">
        <f>IFERROR(__xludf.DUMMYFUNCTION("""COMPUTED_VALUE"""),"Bagong Buhay, naujan, Oriental Mindoro")</f>
        <v>Bagong Buhay, naujan, Oriental Mindoro</v>
      </c>
      <c r="F259" s="2" t="str">
        <f>IFERROR(__xludf.DUMMYFUNCTION("""COMPUTED_VALUE"""),"ALEXIS MIRANDA   /
BAGONG BUHAY FARMERS ASSOCAITION")</f>
        <v>ALEXIS MIRANDA   /
BAGONG BUHAY FARMERS ASSOCAITION</v>
      </c>
      <c r="G259" s="2">
        <f>IFERROR(__xludf.DUMMYFUNCTION("""COMPUTED_VALUE"""),9.224881297E9)</f>
        <v>9224881297</v>
      </c>
      <c r="H259" s="2">
        <f>IFERROR(__xludf.DUMMYFUNCTION("""COMPUTED_VALUE"""),120.0)</f>
        <v>120</v>
      </c>
      <c r="I259" s="72" t="str">
        <f>IFERROR(__xludf.DUMMYFUNCTION("""COMPUTED_VALUE"""),"PMS")</f>
        <v>PMS</v>
      </c>
      <c r="J259" s="72" t="str">
        <f>IFERROR(__xludf.DUMMYFUNCTION("""COMPUTED_VALUE"""),"PMS")</f>
        <v>PMS</v>
      </c>
      <c r="K259" s="72" t="str">
        <f>IFERROR(__xludf.DUMMYFUNCTION("""COMPUTED_VALUE"""),"KFS: FIRST PMS")</f>
        <v>KFS: FIRST PMS</v>
      </c>
      <c r="L259" s="72" t="str">
        <f>IFERROR(__xludf.DUMMYFUNCTION("""COMPUTED_VALUE"""),"JDP: FIRTS PMS DONE, OIL FILTER AND ENGINE OIL PAID BY FCA")</f>
        <v>JDP: FIRTS PMS DONE, OIL FILTER AND ENGINE OIL PAID BY FCA</v>
      </c>
      <c r="M259" s="2"/>
      <c r="N259" s="2" t="str">
        <f>IFERROR(__xludf.DUMMYFUNCTION("""COMPUTED_VALUE"""),"PARTS: OIL FILTER, ENGINE OIL")</f>
        <v>PARTS: OIL FILTER, ENGINE OIL</v>
      </c>
      <c r="O259" s="2" t="str">
        <f>IFERROR(__xludf.DUMMYFUNCTION("""COMPUTED_VALUE"""),"JIE-808")</f>
        <v>JIE-808</v>
      </c>
      <c r="P259" s="2"/>
      <c r="Q259" s="2"/>
      <c r="R259" s="74">
        <f>IFERROR(__xludf.DUMMYFUNCTION("""COMPUTED_VALUE"""),45462.0)</f>
        <v>45462</v>
      </c>
      <c r="S259" s="2" t="str">
        <f>IFERROR(__xludf.DUMMYFUNCTION("""COMPUTED_VALUE"""),"JDP/JVV")</f>
        <v>JDP/JVV</v>
      </c>
      <c r="T259" s="73">
        <f>IFERROR(__xludf.DUMMYFUNCTION("""COMPUTED_VALUE"""),5431.25)</f>
        <v>5431.25</v>
      </c>
      <c r="U259" s="73" t="str">
        <f>IFERROR(__xludf.DUMMYFUNCTION("""COMPUTED_VALUE""")," REMITTED ")</f>
        <v>REMITTED</v>
      </c>
      <c r="V259" s="2"/>
      <c r="W259" s="2"/>
      <c r="X259" s="2"/>
      <c r="Y259" s="2"/>
      <c r="Z259" s="2"/>
      <c r="AA259" s="2"/>
      <c r="AB259" s="2"/>
      <c r="AC259" s="2"/>
      <c r="AD259" s="2" t="str">
        <f>IFERROR(__xludf.DUMMYFUNCTION("""COMPUTED_VALUE"""),"jdp accom+")</f>
        <v>jdp accom+</v>
      </c>
      <c r="AE259" s="2"/>
      <c r="AF259" s="2"/>
      <c r="AG259" s="2"/>
      <c r="AH259" s="2"/>
      <c r="AI259" s="2"/>
      <c r="AJ259" s="2" t="str">
        <f>IFERROR(__xludf.DUMMYFUNCTION("""COMPUTED_VALUE"""),"Bagong Buhay")</f>
        <v>Bagong Buhay</v>
      </c>
      <c r="AK259" s="2" t="str">
        <f>IFERROR(__xludf.DUMMYFUNCTION("""COMPUTED_VALUE"""),"Naujan")</f>
        <v>Naujan</v>
      </c>
      <c r="AL259" s="2" t="str">
        <f>IFERROR(__xludf.DUMMYFUNCTION("""COMPUTED_VALUE"""),"Oriental Mindoro")</f>
        <v>Oriental Mindoro</v>
      </c>
      <c r="AM259" s="2" t="str">
        <f>IFERROR(__xludf.DUMMYFUNCTION("""COMPUTED_VALUE"""),"4B")</f>
        <v>4B</v>
      </c>
      <c r="AN259" s="2" t="str">
        <f>IFERROR(__xludf.DUMMYFUNCTION("""COMPUTED_VALUE"""),"RCEF 23-08-20 Rebidding")</f>
        <v>RCEF 23-08-20 Rebidding</v>
      </c>
      <c r="AO259" s="2">
        <f>IFERROR(__xludf.DUMMYFUNCTION("""COMPUTED_VALUE"""),1.0)</f>
        <v>1</v>
      </c>
      <c r="AP259" s="2"/>
      <c r="AQ259" s="2"/>
      <c r="AR259" s="2"/>
      <c r="AS259" s="2"/>
      <c r="AT259" s="2"/>
      <c r="AU259" s="2"/>
      <c r="AV259" s="2"/>
      <c r="AW259" s="2"/>
      <c r="AX259" s="2"/>
      <c r="AY259" s="2"/>
      <c r="AZ259" s="2"/>
      <c r="BA259" s="2"/>
      <c r="BB259" s="2"/>
    </row>
    <row r="260">
      <c r="A260" s="2">
        <f>IFERROR(__xludf.DUMMYFUNCTION("""COMPUTED_VALUE"""),256.0)</f>
        <v>256</v>
      </c>
      <c r="B260" s="2" t="str">
        <f>IFERROR(__xludf.DUMMYFUNCTION("""COMPUTED_VALUE"""),"COMPLETED")</f>
        <v>COMPLETED</v>
      </c>
      <c r="C260" s="74">
        <f>IFERROR(__xludf.DUMMYFUNCTION("""COMPUTED_VALUE"""),45461.0)</f>
        <v>45461</v>
      </c>
      <c r="D260" s="71" t="str">
        <f>IFERROR(__xludf.DUMMYFUNCTION("""COMPUTED_VALUE"""),"Golden Rising Sun Irrigators Association")</f>
        <v>Golden Rising Sun Irrigators Association</v>
      </c>
      <c r="E260" s="71" t="str">
        <f>IFERROR(__xludf.DUMMYFUNCTION("""COMPUTED_VALUE"""),"Panganiban, Tayug, PANGASINAN")</f>
        <v>Panganiban, Tayug, PANGASINAN</v>
      </c>
      <c r="F260" s="2" t="str">
        <f>IFERROR(__xludf.DUMMYFUNCTION("""COMPUTED_VALUE"""),"CELEDENIO E. LOPEZ")</f>
        <v>CELEDENIO E. LOPEZ</v>
      </c>
      <c r="G260" s="2" t="str">
        <f>IFERROR(__xludf.DUMMYFUNCTION("""COMPUTED_VALUE"""),"09639988852   /    09920475541")</f>
        <v>09639988852   /    09920475541</v>
      </c>
      <c r="H260" s="2">
        <f>IFERROR(__xludf.DUMMYFUNCTION("""COMPUTED_VALUE"""),109.5)</f>
        <v>109.5</v>
      </c>
      <c r="I260" s="72" t="str">
        <f>IFERROR(__xludf.DUMMYFUNCTION("""COMPUTED_VALUE"""),"REPAIR - TRACTOR")</f>
        <v>REPAIR - TRACTOR</v>
      </c>
      <c r="J260" s="72" t="str">
        <f>IFERROR(__xludf.DUMMYFUNCTION("""COMPUTED_VALUE"""),"Radiator")</f>
        <v>Radiator</v>
      </c>
      <c r="K260" s="72" t="str">
        <f>IFERROR(__xludf.DUMMYFUNCTION("""COMPUTED_VALUE"""),"KFS: PUMUTOK ANG RADIATOR")</f>
        <v>KFS: PUMUTOK ANG RADIATOR</v>
      </c>
      <c r="L260" s="72" t="str">
        <f>IFERROR(__xludf.DUMMYFUNCTION("""COMPUTED_VALUE"""),"ACS: REPLACED RADIATOR")</f>
        <v>ACS: REPLACED RADIATOR</v>
      </c>
      <c r="M260" s="2"/>
      <c r="N260" s="2" t="str">
        <f>IFERROR(__xludf.DUMMYFUNCTION("""COMPUTED_VALUE"""),"PARTS:
RADIATOR ASSY")</f>
        <v>PARTS:
RADIATOR ASSY</v>
      </c>
      <c r="O260" s="2" t="str">
        <f>IFERROR(__xludf.DUMMYFUNCTION("""COMPUTED_VALUE"""),"JIE-810")</f>
        <v>JIE-810</v>
      </c>
      <c r="P260" s="2"/>
      <c r="Q260" s="2"/>
      <c r="R260" s="74">
        <f>IFERROR(__xludf.DUMMYFUNCTION("""COMPUTED_VALUE"""),45463.0)</f>
        <v>45463</v>
      </c>
      <c r="S260" s="2" t="str">
        <f>IFERROR(__xludf.DUMMYFUNCTION("""COMPUTED_VALUE"""),"ACS/JHP")</f>
        <v>ACS/JHP</v>
      </c>
      <c r="T260" s="73" t="str">
        <f>IFERROR(__xludf.DUMMYFUNCTION("""COMPUTED_VALUE""")," N/A ")</f>
        <v>N/A</v>
      </c>
      <c r="U260" s="73" t="str">
        <f>IFERROR(__xludf.DUMMYFUNCTION("""COMPUTED_VALUE""")," NO CHARGE ")</f>
        <v>NO CHARGE</v>
      </c>
      <c r="V260" s="2"/>
      <c r="W260" s="2" t="str">
        <f>IFERROR(__xludf.DUMMYFUNCTION("""COMPUTED_VALUE"""),"N/A")</f>
        <v>N/A</v>
      </c>
      <c r="X260" s="2" t="str">
        <f>IFERROR(__xludf.DUMMYFUNCTION("""COMPUTED_VALUE"""),"N/A")</f>
        <v>N/A</v>
      </c>
      <c r="Y260" s="2"/>
      <c r="Z260" s="2"/>
      <c r="AA260" s="2"/>
      <c r="AB260" s="2"/>
      <c r="AC260" s="2" t="str">
        <f>IFERROR(__xludf.DUMMYFUNCTION("""COMPUTED_VALUE"""),"Y")</f>
        <v>Y</v>
      </c>
      <c r="AD260" s="2"/>
      <c r="AE260" s="2"/>
      <c r="AF260" s="2"/>
      <c r="AG260" s="2"/>
      <c r="AH260" s="2"/>
      <c r="AI260" s="2"/>
      <c r="AJ260" s="2" t="str">
        <f>IFERROR(__xludf.DUMMYFUNCTION("""COMPUTED_VALUE"""),"Panganiban")</f>
        <v>Panganiban</v>
      </c>
      <c r="AK260" s="2" t="str">
        <f>IFERROR(__xludf.DUMMYFUNCTION("""COMPUTED_VALUE"""),"Tayug")</f>
        <v>Tayug</v>
      </c>
      <c r="AL260" s="2" t="str">
        <f>IFERROR(__xludf.DUMMYFUNCTION("""COMPUTED_VALUE"""),"Pangasinan")</f>
        <v>Pangasinan</v>
      </c>
      <c r="AM260" s="2">
        <f>IFERROR(__xludf.DUMMYFUNCTION("""COMPUTED_VALUE"""),1.0)</f>
        <v>1</v>
      </c>
      <c r="AN260" s="2" t="str">
        <f>IFERROR(__xludf.DUMMYFUNCTION("""COMPUTED_VALUE"""),"RCEF 23-09-21 Rebidding")</f>
        <v>RCEF 23-09-21 Rebidding</v>
      </c>
      <c r="AO260" s="2">
        <f>IFERROR(__xludf.DUMMYFUNCTION("""COMPUTED_VALUE"""),2.0)</f>
        <v>2</v>
      </c>
      <c r="AP260" s="2"/>
      <c r="AQ260" s="2"/>
      <c r="AR260" s="2"/>
      <c r="AS260" s="2"/>
      <c r="AT260" s="2"/>
      <c r="AU260" s="2"/>
      <c r="AV260" s="2"/>
      <c r="AW260" s="2"/>
      <c r="AX260" s="2"/>
      <c r="AY260" s="2"/>
      <c r="AZ260" s="2"/>
      <c r="BA260" s="2"/>
      <c r="BB260" s="2"/>
    </row>
    <row r="261">
      <c r="A261" s="2">
        <f>IFERROR(__xludf.DUMMYFUNCTION("""COMPUTED_VALUE"""),257.0)</f>
        <v>257</v>
      </c>
      <c r="B261" s="2" t="str">
        <f>IFERROR(__xludf.DUMMYFUNCTION("""COMPUTED_VALUE"""),"COMPLETED")</f>
        <v>COMPLETED</v>
      </c>
      <c r="C261" s="74">
        <f>IFERROR(__xludf.DUMMYFUNCTION("""COMPUTED_VALUE"""),45461.0)</f>
        <v>45461</v>
      </c>
      <c r="D261" s="71" t="str">
        <f>IFERROR(__xludf.DUMMYFUNCTION("""COMPUTED_VALUE"""),"PANINAAN-DAYA FARMERS ASSOCIATION INC.")</f>
        <v>PANINAAN-DAYA FARMERS ASSOCIATION INC.</v>
      </c>
      <c r="E261" s="71" t="str">
        <f>IFERROR(__xludf.DUMMYFUNCTION("""COMPUTED_VALUE"""),"PANINAAN, BACARRA, ILOCOS NORTE")</f>
        <v>PANINAAN, BACARRA, ILOCOS NORTE</v>
      </c>
      <c r="F261" s="2" t="str">
        <f>IFERROR(__xludf.DUMMYFUNCTION("""COMPUTED_VALUE"""),"ANTONIO T. LOMOTAN")</f>
        <v>ANTONIO T. LOMOTAN</v>
      </c>
      <c r="G261" s="2">
        <f>IFERROR(__xludf.DUMMYFUNCTION("""COMPUTED_VALUE"""),9.279337034E9)</f>
        <v>9279337034</v>
      </c>
      <c r="H261" s="2">
        <f>IFERROR(__xludf.DUMMYFUNCTION("""COMPUTED_VALUE"""),118.0)</f>
        <v>118</v>
      </c>
      <c r="I261" s="72" t="str">
        <f>IFERROR(__xludf.DUMMYFUNCTION("""COMPUTED_VALUE"""),"REPAIR - TRACTOR")</f>
        <v>REPAIR - TRACTOR</v>
      </c>
      <c r="J261" s="72" t="str">
        <f>IFERROR(__xludf.DUMMYFUNCTION("""COMPUTED_VALUE"""),"Transmission - Case")</f>
        <v>Transmission - Case</v>
      </c>
      <c r="K261" s="72" t="str">
        <f>IFERROR(__xludf.DUMMYFUNCTION("""COMPUTED_VALUE"""),"KFS: CRACKED TRANSMISSION CASING NEEDS IMMEDIATE REPAIR                     
ACS:6/26/24: WITH SERVICE REPORT FORM : 
NEED TO REPLACE TRANSMISSION CASE")</f>
        <v>KFS: CRACKED TRANSMISSION CASING NEEDS IMMEDIATE REPAIR                     
ACS:6/26/24: WITH SERVICE REPORT FORM : 
NEED TO REPLACE TRANSMISSION CASE</v>
      </c>
      <c r="L261" s="72" t="str">
        <f>IFERROR(__xludf.DUMMYFUNCTION("""COMPUTED_VALUE"""),"DSD: REPLACED TRANSMISSION CASE ")</f>
        <v>DSD: REPLACED TRANSMISSION CASE </v>
      </c>
      <c r="M261" s="2"/>
      <c r="N261" s="2" t="str">
        <f>IFERROR(__xludf.DUMMYFUNCTION("""COMPUTED_VALUE"""),"PARTS: 
TRANSMISSION CASE/ CLUTCH HOUSING")</f>
        <v>PARTS: 
TRANSMISSION CASE/ CLUTCH HOUSING</v>
      </c>
      <c r="O261" s="2">
        <f>IFERROR(__xludf.DUMMYFUNCTION("""COMPUTED_VALUE"""),1216.0)</f>
        <v>1216</v>
      </c>
      <c r="P261" s="2"/>
      <c r="Q261" s="2" t="str">
        <f>IFERROR(__xludf.DUMMYFUNCTION("""COMPUTED_VALUE"""),"Y")</f>
        <v>Y</v>
      </c>
      <c r="R261" s="74">
        <f>IFERROR(__xludf.DUMMYFUNCTION("""COMPUTED_VALUE"""),45672.0)</f>
        <v>45672</v>
      </c>
      <c r="S261" s="2" t="str">
        <f>IFERROR(__xludf.DUMMYFUNCTION("""COMPUTED_VALUE"""),"DSD/JHP/ACS")</f>
        <v>DSD/JHP/ACS</v>
      </c>
      <c r="T261" s="73" t="str">
        <f>IFERROR(__xludf.DUMMYFUNCTION("""COMPUTED_VALUE""")," N/A ")</f>
        <v>N/A</v>
      </c>
      <c r="U261" s="73" t="str">
        <f>IFERROR(__xludf.DUMMYFUNCTION("""COMPUTED_VALUE""")," NO CHARGE ")</f>
        <v>NO CHARGE</v>
      </c>
      <c r="V261" s="2"/>
      <c r="W261" s="2" t="str">
        <f>IFERROR(__xludf.DUMMYFUNCTION("""COMPUTED_VALUE"""),"N/A")</f>
        <v>N/A</v>
      </c>
      <c r="X261" s="2" t="str">
        <f>IFERROR(__xludf.DUMMYFUNCTION("""COMPUTED_VALUE"""),"N/A")</f>
        <v>N/A</v>
      </c>
      <c r="Y261" s="2" t="str">
        <f>IFERROR(__xludf.DUMMYFUNCTION("""COMPUTED_VALUE"""),"NO PARTS")</f>
        <v>NO PARTS</v>
      </c>
      <c r="Z261" s="2" t="str">
        <f>IFERROR(__xludf.DUMMYFUNCTION("""COMPUTED_VALUE"""),"LEADS-TP-0026")</f>
        <v>LEADS-TP-0026</v>
      </c>
      <c r="AA261" s="2" t="str">
        <f>IFERROR(__xludf.DUMMYFUNCTION("""COMPUTED_VALUE"""),"APPROVED")</f>
        <v>APPROVED</v>
      </c>
      <c r="AB261" s="2"/>
      <c r="AC261" s="2" t="str">
        <f>IFERROR(__xludf.DUMMYFUNCTION("""COMPUTED_VALUE"""),"Y")</f>
        <v>Y</v>
      </c>
      <c r="AD261" s="2"/>
      <c r="AE261" s="2"/>
      <c r="AF261" s="2"/>
      <c r="AG261" s="2"/>
      <c r="AH261" s="2"/>
      <c r="AI261" s="2"/>
      <c r="AJ261" s="2" t="str">
        <f>IFERROR(__xludf.DUMMYFUNCTION("""COMPUTED_VALUE"""),"Paninaan")</f>
        <v>Paninaan</v>
      </c>
      <c r="AK261" s="2" t="str">
        <f>IFERROR(__xludf.DUMMYFUNCTION("""COMPUTED_VALUE"""),"Bacarra")</f>
        <v>Bacarra</v>
      </c>
      <c r="AL261" s="2" t="str">
        <f>IFERROR(__xludf.DUMMYFUNCTION("""COMPUTED_VALUE"""),"Ilocos Norte")</f>
        <v>Ilocos Norte</v>
      </c>
      <c r="AM261" s="2">
        <f>IFERROR(__xludf.DUMMYFUNCTION("""COMPUTED_VALUE"""),1.0)</f>
        <v>1</v>
      </c>
      <c r="AN261" s="2" t="str">
        <f>IFERROR(__xludf.DUMMYFUNCTION("""COMPUTED_VALUE"""),"RCEF 23-09-21 Rebidding")</f>
        <v>RCEF 23-09-21 Rebidding</v>
      </c>
      <c r="AO261" s="2">
        <f>IFERROR(__xludf.DUMMYFUNCTION("""COMPUTED_VALUE"""),2.0)</f>
        <v>2</v>
      </c>
      <c r="AP261" s="2"/>
      <c r="AQ261" s="2"/>
      <c r="AR261" s="2"/>
      <c r="AS261" s="2"/>
      <c r="AT261" s="2"/>
      <c r="AU261" s="2"/>
      <c r="AV261" s="2"/>
      <c r="AW261" s="2"/>
      <c r="AX261" s="2"/>
      <c r="AY261" s="2"/>
      <c r="AZ261" s="2"/>
      <c r="BA261" s="2"/>
      <c r="BB261" s="2"/>
    </row>
    <row r="262">
      <c r="A262" s="2">
        <f>IFERROR(__xludf.DUMMYFUNCTION("""COMPUTED_VALUE"""),258.0)</f>
        <v>258</v>
      </c>
      <c r="B262" s="2" t="str">
        <f>IFERROR(__xludf.DUMMYFUNCTION("""COMPUTED_VALUE"""),"COMPLETED")</f>
        <v>COMPLETED</v>
      </c>
      <c r="C262" s="74">
        <f>IFERROR(__xludf.DUMMYFUNCTION("""COMPUTED_VALUE"""),45461.0)</f>
        <v>45461</v>
      </c>
      <c r="D262" s="71" t="str">
        <f>IFERROR(__xludf.DUMMYFUNCTION("""COMPUTED_VALUE"""),"BANCAGAN NAGUILIAN IRRIGATORS ASOCIATION INC.")</f>
        <v>BANCAGAN NAGUILIAN IRRIGATORS ASOCIATION INC.</v>
      </c>
      <c r="E262" s="71" t="str">
        <f>IFERROR(__xludf.DUMMYFUNCTION("""COMPUTED_VALUE"""),"Bancagan, Naguilian, LA UNION")</f>
        <v>Bancagan, Naguilian, LA UNION</v>
      </c>
      <c r="F262" s="2" t="str">
        <f>IFERROR(__xludf.DUMMYFUNCTION("""COMPUTED_VALUE"""),"EDGAR ESPINUEBA")</f>
        <v>EDGAR ESPINUEBA</v>
      </c>
      <c r="G262" s="2">
        <f>IFERROR(__xludf.DUMMYFUNCTION("""COMPUTED_VALUE"""),9.362655713E9)</f>
        <v>9362655713</v>
      </c>
      <c r="H262" s="2">
        <f>IFERROR(__xludf.DUMMYFUNCTION("""COMPUTED_VALUE"""),68.0)</f>
        <v>68</v>
      </c>
      <c r="I262" s="72" t="str">
        <f>IFERROR(__xludf.DUMMYFUNCTION("""COMPUTED_VALUE"""),"PMS")</f>
        <v>PMS</v>
      </c>
      <c r="J262" s="72" t="str">
        <f>IFERROR(__xludf.DUMMYFUNCTION("""COMPUTED_VALUE"""),"PMS")</f>
        <v>PMS</v>
      </c>
      <c r="K262" s="72" t="str">
        <f>IFERROR(__xludf.DUMMYFUNCTION("""COMPUTED_VALUE"""),"KFS: FIRST PMS, ADJUST BRAKES AND CLUTCH")</f>
        <v>KFS: FIRST PMS, ADJUST BRAKES AND CLUTCH</v>
      </c>
      <c r="L262" s="72" t="str">
        <f>IFERROR(__xludf.DUMMYFUNCTION("""COMPUTED_VALUE"""),"ACS: ADJUST BRAKE AND CLUTCH
SEND AGREEMENT")</f>
        <v>ACS: ADJUST BRAKE AND CLUTCH
SEND AGREEMENT</v>
      </c>
      <c r="M262" s="2"/>
      <c r="N262" s="2"/>
      <c r="O262" s="2" t="str">
        <f>IFERROR(__xludf.DUMMYFUNCTION("""COMPUTED_VALUE"""),"JIE-827")</f>
        <v>JIE-827</v>
      </c>
      <c r="P262" s="2"/>
      <c r="Q262" s="2"/>
      <c r="R262" s="74">
        <f>IFERROR(__xludf.DUMMYFUNCTION("""COMPUTED_VALUE"""),45470.0)</f>
        <v>45470</v>
      </c>
      <c r="S262" s="2" t="str">
        <f>IFERROR(__xludf.DUMMYFUNCTION("""COMPUTED_VALUE"""),"ACS/JHP")</f>
        <v>ACS/JHP</v>
      </c>
      <c r="T262" s="73" t="str">
        <f>IFERROR(__xludf.DUMMYFUNCTION("""COMPUTED_VALUE""")," N/A ")</f>
        <v>N/A</v>
      </c>
      <c r="U262" s="73" t="str">
        <f>IFERROR(__xludf.DUMMYFUNCTION("""COMPUTED_VALUE""")," NO CHARGE ")</f>
        <v>NO CHARGE</v>
      </c>
      <c r="V262" s="2"/>
      <c r="W262" s="2" t="str">
        <f>IFERROR(__xludf.DUMMYFUNCTION("""COMPUTED_VALUE"""),"N/A")</f>
        <v>N/A</v>
      </c>
      <c r="X262" s="2" t="str">
        <f>IFERROR(__xludf.DUMMYFUNCTION("""COMPUTED_VALUE"""),"N/A")</f>
        <v>N/A</v>
      </c>
      <c r="Y262" s="2"/>
      <c r="Z262" s="2"/>
      <c r="AA262" s="2"/>
      <c r="AB262" s="2"/>
      <c r="AC262" s="2"/>
      <c r="AD262" s="2"/>
      <c r="AE262" s="2"/>
      <c r="AF262" s="2"/>
      <c r="AG262" s="2"/>
      <c r="AH262" s="2"/>
      <c r="AI262" s="2"/>
      <c r="AJ262" s="2" t="str">
        <f>IFERROR(__xludf.DUMMYFUNCTION("""COMPUTED_VALUE"""),"Bancagan")</f>
        <v>Bancagan</v>
      </c>
      <c r="AK262" s="2" t="str">
        <f>IFERROR(__xludf.DUMMYFUNCTION("""COMPUTED_VALUE"""),"Naguilian")</f>
        <v>Naguilian</v>
      </c>
      <c r="AL262" s="2" t="str">
        <f>IFERROR(__xludf.DUMMYFUNCTION("""COMPUTED_VALUE"""),"La Union")</f>
        <v>La Union</v>
      </c>
      <c r="AM262" s="2">
        <f>IFERROR(__xludf.DUMMYFUNCTION("""COMPUTED_VALUE"""),1.0)</f>
        <v>1</v>
      </c>
      <c r="AN262" s="2" t="str">
        <f>IFERROR(__xludf.DUMMYFUNCTION("""COMPUTED_VALUE"""),"RCEF 23-09-21 Rebidding")</f>
        <v>RCEF 23-09-21 Rebidding</v>
      </c>
      <c r="AO262" s="2">
        <f>IFERROR(__xludf.DUMMYFUNCTION("""COMPUTED_VALUE"""),2.0)</f>
        <v>2</v>
      </c>
      <c r="AP262" s="2"/>
      <c r="AQ262" s="2"/>
      <c r="AR262" s="2"/>
      <c r="AS262" s="2"/>
      <c r="AT262" s="2"/>
      <c r="AU262" s="2"/>
      <c r="AV262" s="2"/>
      <c r="AW262" s="2"/>
      <c r="AX262" s="2"/>
      <c r="AY262" s="2"/>
      <c r="AZ262" s="2"/>
      <c r="BA262" s="2"/>
      <c r="BB262" s="2"/>
    </row>
    <row r="263">
      <c r="A263" s="2">
        <f>IFERROR(__xludf.DUMMYFUNCTION("""COMPUTED_VALUE"""),259.0)</f>
        <v>259</v>
      </c>
      <c r="B263" s="2" t="str">
        <f>IFERROR(__xludf.DUMMYFUNCTION("""COMPUTED_VALUE"""),"COMPLETED")</f>
        <v>COMPLETED</v>
      </c>
      <c r="C263" s="74">
        <f>IFERROR(__xludf.DUMMYFUNCTION("""COMPUTED_VALUE"""),45461.0)</f>
        <v>45461</v>
      </c>
      <c r="D263" s="71" t="str">
        <f>IFERROR(__xludf.DUMMYFUNCTION("""COMPUTED_VALUE"""),"Nalook Farmers' Association")</f>
        <v>Nalook Farmers' Association</v>
      </c>
      <c r="E263" s="71" t="str">
        <f>IFERROR(__xludf.DUMMYFUNCTION("""COMPUTED_VALUE"""),"Nalook, Kalibo, AKLAN")</f>
        <v>Nalook, Kalibo, AKLAN</v>
      </c>
      <c r="F263" s="2" t="str">
        <f>IFERROR(__xludf.DUMMYFUNCTION("""COMPUTED_VALUE"""),"EVELYN SIOCO")</f>
        <v>EVELYN SIOCO</v>
      </c>
      <c r="G263" s="2">
        <f>IFERROR(__xludf.DUMMYFUNCTION("""COMPUTED_VALUE"""),9.999451766E9)</f>
        <v>9999451766</v>
      </c>
      <c r="H263" s="2">
        <f>IFERROR(__xludf.DUMMYFUNCTION("""COMPUTED_VALUE"""),11.6)</f>
        <v>11.6</v>
      </c>
      <c r="I263" s="72" t="str">
        <f>IFERROR(__xludf.DUMMYFUNCTION("""COMPUTED_VALUE"""),"REPAIR - TRACTOR")</f>
        <v>REPAIR - TRACTOR</v>
      </c>
      <c r="J263" s="72" t="str">
        <f>IFERROR(__xludf.DUMMYFUNCTION("""COMPUTED_VALUE"""),"Radiator")</f>
        <v>Radiator</v>
      </c>
      <c r="K263" s="72" t="str">
        <f>IFERROR(__xludf.DUMMYFUNCTION("""COMPUTED_VALUE"""),"CCB: REPLACEMENT RADIATOR: MAY LEAK SA ILALIM  (BABA)")</f>
        <v>CCB: REPLACEMENT RADIATOR: MAY LEAK SA ILALIM  (BABA)</v>
      </c>
      <c r="L263" s="72" t="str">
        <f>IFERROR(__xludf.DUMMYFUNCTION("""COMPUTED_VALUE"""),"CCB: RADIATOR REPLACEMENT")</f>
        <v>CCB: RADIATOR REPLACEMENT</v>
      </c>
      <c r="M263" s="2"/>
      <c r="N263" s="2" t="str">
        <f>IFERROR(__xludf.DUMMYFUNCTION("""COMPUTED_VALUE"""),"PARTS: RADIATOR")</f>
        <v>PARTS: RADIATOR</v>
      </c>
      <c r="O263" s="2" t="str">
        <f>IFERROR(__xludf.DUMMYFUNCTION("""COMPUTED_VALUE"""),"JIE-831")</f>
        <v>JIE-831</v>
      </c>
      <c r="P263" s="2"/>
      <c r="Q263" s="2"/>
      <c r="R263" s="74">
        <f>IFERROR(__xludf.DUMMYFUNCTION("""COMPUTED_VALUE"""),45474.0)</f>
        <v>45474</v>
      </c>
      <c r="S263" s="2" t="str">
        <f>IFERROR(__xludf.DUMMYFUNCTION("""COMPUTED_VALUE"""),"CCB")</f>
        <v>CCB</v>
      </c>
      <c r="T263" s="73" t="str">
        <f>IFERROR(__xludf.DUMMYFUNCTION("""COMPUTED_VALUE""")," N/A ")</f>
        <v>N/A</v>
      </c>
      <c r="U263" s="73" t="str">
        <f>IFERROR(__xludf.DUMMYFUNCTION("""COMPUTED_VALUE""")," NO CHARGE ")</f>
        <v>NO CHARGE</v>
      </c>
      <c r="V263" s="2"/>
      <c r="W263" s="2" t="str">
        <f>IFERROR(__xludf.DUMMYFUNCTION("""COMPUTED_VALUE"""),"N/A")</f>
        <v>N/A</v>
      </c>
      <c r="X263" s="2" t="str">
        <f>IFERROR(__xludf.DUMMYFUNCTION("""COMPUTED_VALUE"""),"N/A")</f>
        <v>N/A</v>
      </c>
      <c r="Y263" s="2"/>
      <c r="Z263" s="2" t="str">
        <f>IFERROR(__xludf.DUMMYFUNCTION("""COMPUTED_VALUE"""),"LEADS-RP-0025")</f>
        <v>LEADS-RP-0025</v>
      </c>
      <c r="AA263" s="2" t="str">
        <f>IFERROR(__xludf.DUMMYFUNCTION("""COMPUTED_VALUE"""),"APPROVED")</f>
        <v>APPROVED</v>
      </c>
      <c r="AB263" s="2"/>
      <c r="AC263" s="2" t="str">
        <f>IFERROR(__xludf.DUMMYFUNCTION("""COMPUTED_VALUE"""),"Y")</f>
        <v>Y</v>
      </c>
      <c r="AD263" s="2"/>
      <c r="AE263" s="2"/>
      <c r="AF263" s="2"/>
      <c r="AG263" s="2"/>
      <c r="AH263" s="2"/>
      <c r="AI263" s="2"/>
      <c r="AJ263" s="2" t="str">
        <f>IFERROR(__xludf.DUMMYFUNCTION("""COMPUTED_VALUE"""),"Nalook")</f>
        <v>Nalook</v>
      </c>
      <c r="AK263" s="2" t="str">
        <f>IFERROR(__xludf.DUMMYFUNCTION("""COMPUTED_VALUE"""),"Kalibo")</f>
        <v>Kalibo</v>
      </c>
      <c r="AL263" s="2" t="str">
        <f>IFERROR(__xludf.DUMMYFUNCTION("""COMPUTED_VALUE"""),"Aklan")</f>
        <v>Aklan</v>
      </c>
      <c r="AM263" s="2">
        <f>IFERROR(__xludf.DUMMYFUNCTION("""COMPUTED_VALUE"""),6.0)</f>
        <v>6</v>
      </c>
      <c r="AN263" s="2" t="str">
        <f>IFERROR(__xludf.DUMMYFUNCTION("""COMPUTED_VALUE"""),"RCEF 23-09-21 Rebidding")</f>
        <v>RCEF 23-09-21 Rebidding</v>
      </c>
      <c r="AO263" s="2">
        <f>IFERROR(__xludf.DUMMYFUNCTION("""COMPUTED_VALUE"""),4.0)</f>
        <v>4</v>
      </c>
      <c r="AP263" s="2"/>
      <c r="AQ263" s="2"/>
      <c r="AR263" s="2"/>
      <c r="AS263" s="2"/>
      <c r="AT263" s="2"/>
      <c r="AU263" s="2"/>
      <c r="AV263" s="2"/>
      <c r="AW263" s="2"/>
      <c r="AX263" s="2"/>
      <c r="AY263" s="2"/>
      <c r="AZ263" s="2"/>
      <c r="BA263" s="2"/>
      <c r="BB263" s="2"/>
    </row>
    <row r="264">
      <c r="A264" s="2">
        <f>IFERROR(__xludf.DUMMYFUNCTION("""COMPUTED_VALUE"""),260.0)</f>
        <v>260</v>
      </c>
      <c r="B264" s="2" t="str">
        <f>IFERROR(__xludf.DUMMYFUNCTION("""COMPUTED_VALUE"""),"COMPLETED")</f>
        <v>COMPLETED</v>
      </c>
      <c r="C264" s="74">
        <f>IFERROR(__xludf.DUMMYFUNCTION("""COMPUTED_VALUE"""),45462.0)</f>
        <v>45462</v>
      </c>
      <c r="D264" s="71" t="str">
        <f>IFERROR(__xludf.DUMMYFUNCTION("""COMPUTED_VALUE"""),"PARDOK IRRIGATORS ASSOCIATION INC.")</f>
        <v>PARDOK IRRIGATORS ASSOCIATION INC.</v>
      </c>
      <c r="E264" s="71" t="str">
        <f>IFERROR(__xludf.DUMMYFUNCTION("""COMPUTED_VALUE"""),"POBLOOACION, BURGOS, ILOCOS NORTE")</f>
        <v>POBLOOACION, BURGOS, ILOCOS NORTE</v>
      </c>
      <c r="F264" s="2" t="str">
        <f>IFERROR(__xludf.DUMMYFUNCTION("""COMPUTED_VALUE"""),"CARMELO P. CAGAOAN JR.")</f>
        <v>CARMELO P. CAGAOAN JR.</v>
      </c>
      <c r="G264" s="2">
        <f>IFERROR(__xludf.DUMMYFUNCTION("""COMPUTED_VALUE"""),9.635173603E9)</f>
        <v>9635173603</v>
      </c>
      <c r="H264" s="2">
        <f>IFERROR(__xludf.DUMMYFUNCTION("""COMPUTED_VALUE"""),49.0)</f>
        <v>49</v>
      </c>
      <c r="I264" s="72" t="str">
        <f>IFERROR(__xludf.DUMMYFUNCTION("""COMPUTED_VALUE"""),"PMS")</f>
        <v>PMS</v>
      </c>
      <c r="J264" s="72" t="str">
        <f>IFERROR(__xludf.DUMMYFUNCTION("""COMPUTED_VALUE"""),"PMS")</f>
        <v>PMS</v>
      </c>
      <c r="K264" s="72" t="str">
        <f>IFERROR(__xludf.DUMMYFUNCTION("""COMPUTED_VALUE"""),"JHP: FIRST PMS")</f>
        <v>JHP: FIRST PMS</v>
      </c>
      <c r="L264" s="72" t="str">
        <f>IFERROR(__xludf.DUMMYFUNCTION("""COMPUTED_VALUE"""),"ACS: FIRST PMS DONE")</f>
        <v>ACS: FIRST PMS DONE</v>
      </c>
      <c r="M264" s="2"/>
      <c r="N264" s="2" t="str">
        <f>IFERROR(__xludf.DUMMYFUNCTION("""COMPUTED_VALUE"""),"PARTS: OIL FILTER")</f>
        <v>PARTS: OIL FILTER</v>
      </c>
      <c r="O264" s="2" t="str">
        <f>IFERROR(__xludf.DUMMYFUNCTION("""COMPUTED_VALUE"""),"JIE-824")</f>
        <v>JIE-824</v>
      </c>
      <c r="P264" s="2"/>
      <c r="Q264" s="2"/>
      <c r="R264" s="74">
        <f>IFERROR(__xludf.DUMMYFUNCTION("""COMPUTED_VALUE"""),45469.0)</f>
        <v>45469</v>
      </c>
      <c r="S264" s="2" t="str">
        <f>IFERROR(__xludf.DUMMYFUNCTION("""COMPUTED_VALUE"""),"ACS/JHP")</f>
        <v>ACS/JHP</v>
      </c>
      <c r="T264" s="73">
        <f>IFERROR(__xludf.DUMMYFUNCTION("""COMPUTED_VALUE"""),2837.0)</f>
        <v>2837</v>
      </c>
      <c r="U264" s="73" t="str">
        <f>IFERROR(__xludf.DUMMYFUNCTION("""COMPUTED_VALUE""")," REMITTED ")</f>
        <v>REMITTED</v>
      </c>
      <c r="V264" s="2"/>
      <c r="W264" s="2"/>
      <c r="X264" s="2">
        <f>IFERROR(__xludf.DUMMYFUNCTION("""COMPUTED_VALUE"""),1125.0)</f>
        <v>1125</v>
      </c>
      <c r="Y264" s="2"/>
      <c r="Z264" s="2"/>
      <c r="AA264" s="2"/>
      <c r="AB264" s="2"/>
      <c r="AC264" s="2"/>
      <c r="AD264" s="2"/>
      <c r="AE264" s="2"/>
      <c r="AF264" s="2"/>
      <c r="AG264" s="2"/>
      <c r="AH264" s="2"/>
      <c r="AI264" s="2"/>
      <c r="AJ264" s="2" t="str">
        <f>IFERROR(__xludf.DUMMYFUNCTION("""COMPUTED_VALUE"""),"Poblooacion")</f>
        <v>Poblooacion</v>
      </c>
      <c r="AK264" s="2" t="str">
        <f>IFERROR(__xludf.DUMMYFUNCTION("""COMPUTED_VALUE"""),"Burgos")</f>
        <v>Burgos</v>
      </c>
      <c r="AL264" s="2" t="str">
        <f>IFERROR(__xludf.DUMMYFUNCTION("""COMPUTED_VALUE"""),"Ilocos Norte")</f>
        <v>Ilocos Norte</v>
      </c>
      <c r="AM264" s="2">
        <f>IFERROR(__xludf.DUMMYFUNCTION("""COMPUTED_VALUE"""),1.0)</f>
        <v>1</v>
      </c>
      <c r="AN264" s="2" t="str">
        <f>IFERROR(__xludf.DUMMYFUNCTION("""COMPUTED_VALUE"""),"RCEF 23-09-21 Rebidding")</f>
        <v>RCEF 23-09-21 Rebidding</v>
      </c>
      <c r="AO264" s="2">
        <f>IFERROR(__xludf.DUMMYFUNCTION("""COMPUTED_VALUE"""),2.0)</f>
        <v>2</v>
      </c>
      <c r="AP264" s="2"/>
      <c r="AQ264" s="2"/>
      <c r="AR264" s="2"/>
      <c r="AS264" s="2"/>
      <c r="AT264" s="2"/>
      <c r="AU264" s="2"/>
      <c r="AV264" s="2"/>
      <c r="AW264" s="2"/>
      <c r="AX264" s="2"/>
      <c r="AY264" s="2"/>
      <c r="AZ264" s="2"/>
      <c r="BA264" s="2"/>
      <c r="BB264" s="2"/>
    </row>
    <row r="265">
      <c r="A265" s="2">
        <f>IFERROR(__xludf.DUMMYFUNCTION("""COMPUTED_VALUE"""),261.0)</f>
        <v>261</v>
      </c>
      <c r="B265" s="2" t="str">
        <f>IFERROR(__xludf.DUMMYFUNCTION("""COMPUTED_VALUE"""),"COMPLETED")</f>
        <v>COMPLETED</v>
      </c>
      <c r="C265" s="74">
        <f>IFERROR(__xludf.DUMMYFUNCTION("""COMPUTED_VALUE"""),45463.0)</f>
        <v>45463</v>
      </c>
      <c r="D265" s="71" t="str">
        <f>IFERROR(__xludf.DUMMYFUNCTION("""COMPUTED_VALUE"""),"UNITED SAN JUAN SOUTH FARMERS ASSOCIATION INC.")</f>
        <v>UNITED SAN JUAN SOUTH FARMERS ASSOCIATION INC.</v>
      </c>
      <c r="E265" s="71" t="str">
        <f>IFERROR(__xludf.DUMMYFUNCTION("""COMPUTED_VALUE"""),"SAN JUAN, SOLSONA, ILOCOS NORTE")</f>
        <v>SAN JUAN, SOLSONA, ILOCOS NORTE</v>
      </c>
      <c r="F265" s="2" t="str">
        <f>IFERROR(__xludf.DUMMYFUNCTION("""COMPUTED_VALUE"""),"REY BUMANGLAG")</f>
        <v>REY BUMANGLAG</v>
      </c>
      <c r="G265" s="2">
        <f>IFERROR(__xludf.DUMMYFUNCTION("""COMPUTED_VALUE"""),9.272457511E9)</f>
        <v>9272457511</v>
      </c>
      <c r="H265" s="2">
        <f>IFERROR(__xludf.DUMMYFUNCTION("""COMPUTED_VALUE"""),28.0)</f>
        <v>28</v>
      </c>
      <c r="I265" s="72" t="str">
        <f>IFERROR(__xludf.DUMMYFUNCTION("""COMPUTED_VALUE"""),"REPAIR - TRACTOR")</f>
        <v>REPAIR - TRACTOR</v>
      </c>
      <c r="J265" s="72" t="str">
        <f>IFERROR(__xludf.DUMMYFUNCTION("""COMPUTED_VALUE"""),"CHECK UP UNIT")</f>
        <v>CHECK UP UNIT</v>
      </c>
      <c r="K265" s="72" t="str">
        <f>IFERROR(__xludf.DUMMYFUNCTION("""COMPUTED_VALUE"""),"KFS: MABABAW ANG NAROROTOR")</f>
        <v>KFS: MABABAW ANG NAROROTOR</v>
      </c>
      <c r="L265" s="72" t="str">
        <f>IFERROR(__xludf.DUMMYFUNCTION("""COMPUTED_VALUE"""),"ACS: OK NA ANG UNIT, KULANG LANG YUNG ADJUST KAYA NASABING MABABAW YUNG KAIN SA LUPA NG ROTA.")</f>
        <v>ACS: OK NA ANG UNIT, KULANG LANG YUNG ADJUST KAYA NASABING MABABAW YUNG KAIN SA LUPA NG ROTA.</v>
      </c>
      <c r="M265" s="2"/>
      <c r="N265" s="2"/>
      <c r="O265" s="2" t="str">
        <f>IFERROR(__xludf.DUMMYFUNCTION("""COMPUTED_VALUE"""),"JIE-821")</f>
        <v>JIE-821</v>
      </c>
      <c r="P265" s="2"/>
      <c r="Q265" s="2"/>
      <c r="R265" s="74">
        <f>IFERROR(__xludf.DUMMYFUNCTION("""COMPUTED_VALUE"""),45468.0)</f>
        <v>45468</v>
      </c>
      <c r="S265" s="2" t="str">
        <f>IFERROR(__xludf.DUMMYFUNCTION("""COMPUTED_VALUE"""),"ACS/JHP")</f>
        <v>ACS/JHP</v>
      </c>
      <c r="T265" s="73" t="str">
        <f>IFERROR(__xludf.DUMMYFUNCTION("""COMPUTED_VALUE""")," N/A ")</f>
        <v>N/A</v>
      </c>
      <c r="U265" s="73" t="str">
        <f>IFERROR(__xludf.DUMMYFUNCTION("""COMPUTED_VALUE""")," NO CHARGE ")</f>
        <v>NO CHARGE</v>
      </c>
      <c r="V265" s="2"/>
      <c r="W265" s="2" t="str">
        <f>IFERROR(__xludf.DUMMYFUNCTION("""COMPUTED_VALUE"""),"N/A")</f>
        <v>N/A</v>
      </c>
      <c r="X265" s="2" t="str">
        <f>IFERROR(__xludf.DUMMYFUNCTION("""COMPUTED_VALUE"""),"N/A")</f>
        <v>N/A</v>
      </c>
      <c r="Y265" s="2"/>
      <c r="Z265" s="2"/>
      <c r="AA265" s="2"/>
      <c r="AB265" s="2"/>
      <c r="AC265" s="2"/>
      <c r="AD265" s="2"/>
      <c r="AE265" s="2"/>
      <c r="AF265" s="2"/>
      <c r="AG265" s="2"/>
      <c r="AH265" s="2"/>
      <c r="AI265" s="2"/>
      <c r="AJ265" s="2" t="str">
        <f>IFERROR(__xludf.DUMMYFUNCTION("""COMPUTED_VALUE"""),"San Juan")</f>
        <v>San Juan</v>
      </c>
      <c r="AK265" s="2" t="str">
        <f>IFERROR(__xludf.DUMMYFUNCTION("""COMPUTED_VALUE"""),"Solsona")</f>
        <v>Solsona</v>
      </c>
      <c r="AL265" s="2" t="str">
        <f>IFERROR(__xludf.DUMMYFUNCTION("""COMPUTED_VALUE"""),"Ilocos Norte")</f>
        <v>Ilocos Norte</v>
      </c>
      <c r="AM265" s="2">
        <f>IFERROR(__xludf.DUMMYFUNCTION("""COMPUTED_VALUE"""),1.0)</f>
        <v>1</v>
      </c>
      <c r="AN265" s="2" t="str">
        <f>IFERROR(__xludf.DUMMYFUNCTION("""COMPUTED_VALUE"""),"RCEF 23-09-21 Rebidding")</f>
        <v>RCEF 23-09-21 Rebidding</v>
      </c>
      <c r="AO265" s="2">
        <f>IFERROR(__xludf.DUMMYFUNCTION("""COMPUTED_VALUE"""),2.0)</f>
        <v>2</v>
      </c>
      <c r="AP265" s="2"/>
      <c r="AQ265" s="2"/>
      <c r="AR265" s="2"/>
      <c r="AS265" s="2"/>
      <c r="AT265" s="2"/>
      <c r="AU265" s="2"/>
      <c r="AV265" s="2"/>
      <c r="AW265" s="2"/>
      <c r="AX265" s="2"/>
      <c r="AY265" s="2"/>
      <c r="AZ265" s="2"/>
      <c r="BA265" s="2"/>
      <c r="BB265" s="2"/>
    </row>
    <row r="266">
      <c r="A266" s="2">
        <f>IFERROR(__xludf.DUMMYFUNCTION("""COMPUTED_VALUE"""),262.0)</f>
        <v>262</v>
      </c>
      <c r="B266" s="2" t="str">
        <f>IFERROR(__xludf.DUMMYFUNCTION("""COMPUTED_VALUE"""),"COMPLETED")</f>
        <v>COMPLETED</v>
      </c>
      <c r="C266" s="74">
        <f>IFERROR(__xludf.DUMMYFUNCTION("""COMPUTED_VALUE"""),45463.0)</f>
        <v>45463</v>
      </c>
      <c r="D266" s="71" t="str">
        <f>IFERROR(__xludf.DUMMYFUNCTION("""COMPUTED_VALUE"""),"Tabuk Farmers Multipurpose Cooperative")</f>
        <v>Tabuk Farmers Multipurpose Cooperative</v>
      </c>
      <c r="E266" s="71" t="str">
        <f>IFERROR(__xludf.DUMMYFUNCTION("""COMPUTED_VALUE"""),"Casigayan, Tabuk City, KALINGA")</f>
        <v>Casigayan, Tabuk City, KALINGA</v>
      </c>
      <c r="F266" s="2" t="str">
        <f>IFERROR(__xludf.DUMMYFUNCTION("""COMPUTED_VALUE"""),"JOSEPH A. PAGA")</f>
        <v>JOSEPH A. PAGA</v>
      </c>
      <c r="G266" s="2">
        <f>IFERROR(__xludf.DUMMYFUNCTION("""COMPUTED_VALUE"""),9.46530713E9)</f>
        <v>9465307130</v>
      </c>
      <c r="H266" s="2">
        <f>IFERROR(__xludf.DUMMYFUNCTION("""COMPUTED_VALUE"""),45.0)</f>
        <v>45</v>
      </c>
      <c r="I266" s="72" t="str">
        <f>IFERROR(__xludf.DUMMYFUNCTION("""COMPUTED_VALUE"""),"PMS")</f>
        <v>PMS</v>
      </c>
      <c r="J266" s="72" t="str">
        <f>IFERROR(__xludf.DUMMYFUNCTION("""COMPUTED_VALUE"""),"PMS")</f>
        <v>PMS</v>
      </c>
      <c r="K266" s="72" t="str">
        <f>IFERROR(__xludf.DUMMYFUNCTION("""COMPUTED_VALUE"""),"CFG: FIRST PMS: SELF PMS")</f>
        <v>CFG: FIRST PMS: SELF PMS</v>
      </c>
      <c r="L266" s="72" t="str">
        <f>IFERROR(__xludf.DUMMYFUNCTION("""COMPUTED_VALUE"""),"SEND AGREEMENT:FB:JOSEPH PAGA: AGREEMENT SENT")</f>
        <v>SEND AGREEMENT:FB:JOSEPH PAGA: AGREEMENT SENT</v>
      </c>
      <c r="M266" s="2"/>
      <c r="N266" s="2"/>
      <c r="O266" s="2" t="str">
        <f>IFERROR(__xludf.DUMMYFUNCTION("""COMPUTED_VALUE"""),"N/A")</f>
        <v>N/A</v>
      </c>
      <c r="P266" s="2"/>
      <c r="Q266" s="2"/>
      <c r="R266" s="74">
        <f>IFERROR(__xludf.DUMMYFUNCTION("""COMPUTED_VALUE"""),45463.0)</f>
        <v>45463</v>
      </c>
      <c r="S266" s="2" t="str">
        <f>IFERROR(__xludf.DUMMYFUNCTION("""COMPUTED_VALUE"""),"MYKEE")</f>
        <v>MYKEE</v>
      </c>
      <c r="T266" s="2" t="str">
        <f>IFERROR(__xludf.DUMMYFUNCTION("""COMPUTED_VALUE"""),"N/A")</f>
        <v>N/A</v>
      </c>
      <c r="U266" s="73" t="str">
        <f>IFERROR(__xludf.DUMMYFUNCTION("""COMPUTED_VALUE""")," NO CHARGE ")</f>
        <v>NO CHARGE</v>
      </c>
      <c r="V266" s="2"/>
      <c r="W266" s="2" t="str">
        <f>IFERROR(__xludf.DUMMYFUNCTION("""COMPUTED_VALUE"""),"N/A")</f>
        <v>N/A</v>
      </c>
      <c r="X266" s="2" t="str">
        <f>IFERROR(__xludf.DUMMYFUNCTION("""COMPUTED_VALUE"""),"N/A")</f>
        <v>N/A</v>
      </c>
      <c r="Y266" s="2"/>
      <c r="Z266" s="2"/>
      <c r="AA266" s="2"/>
      <c r="AB266" s="2"/>
      <c r="AC266" s="2"/>
      <c r="AD266" s="2"/>
      <c r="AE266" s="2"/>
      <c r="AF266" s="2"/>
      <c r="AG266" s="2"/>
      <c r="AH266" s="2"/>
      <c r="AI266" s="2"/>
      <c r="AJ266" s="2" t="str">
        <f>IFERROR(__xludf.DUMMYFUNCTION("""COMPUTED_VALUE"""),"Casigayan")</f>
        <v>Casigayan</v>
      </c>
      <c r="AK266" s="2" t="str">
        <f>IFERROR(__xludf.DUMMYFUNCTION("""COMPUTED_VALUE"""),"Tabuk City")</f>
        <v>Tabuk City</v>
      </c>
      <c r="AL266" s="2" t="str">
        <f>IFERROR(__xludf.DUMMYFUNCTION("""COMPUTED_VALUE"""),"Kalinga")</f>
        <v>Kalinga</v>
      </c>
      <c r="AM266" s="2" t="str">
        <f>IFERROR(__xludf.DUMMYFUNCTION("""COMPUTED_VALUE"""),"CAR")</f>
        <v>CAR</v>
      </c>
      <c r="AN266" s="2" t="str">
        <f>IFERROR(__xludf.DUMMYFUNCTION("""COMPUTED_VALUE"""),"RCEF 23-09-21 Rebidding")</f>
        <v>RCEF 23-09-21 Rebidding</v>
      </c>
      <c r="AO266" s="2">
        <f>IFERROR(__xludf.DUMMYFUNCTION("""COMPUTED_VALUE"""),1.0)</f>
        <v>1</v>
      </c>
      <c r="AP266" s="2"/>
      <c r="AQ266" s="2"/>
      <c r="AR266" s="2"/>
      <c r="AS266" s="2"/>
      <c r="AT266" s="2"/>
      <c r="AU266" s="2"/>
      <c r="AV266" s="2"/>
      <c r="AW266" s="2"/>
      <c r="AX266" s="2"/>
      <c r="AY266" s="2"/>
      <c r="AZ266" s="2"/>
      <c r="BA266" s="2"/>
      <c r="BB266" s="2"/>
    </row>
    <row r="267">
      <c r="A267" s="2">
        <f>IFERROR(__xludf.DUMMYFUNCTION("""COMPUTED_VALUE"""),263.0)</f>
        <v>263</v>
      </c>
      <c r="B267" s="2" t="str">
        <f>IFERROR(__xludf.DUMMYFUNCTION("""COMPUTED_VALUE"""),"COMPLETED")</f>
        <v>COMPLETED</v>
      </c>
      <c r="C267" s="74">
        <f>IFERROR(__xludf.DUMMYFUNCTION("""COMPUTED_VALUE"""),45464.0)</f>
        <v>45464</v>
      </c>
      <c r="D267" s="71" t="str">
        <f>IFERROR(__xludf.DUMMYFUNCTION("""COMPUTED_VALUE"""),"Lucena City Farmers Federation Multi-Purpose Cooperative")</f>
        <v>Lucena City Farmers Federation Multi-Purpose Cooperative</v>
      </c>
      <c r="E267" s="71" t="str">
        <f>IFERROR(__xludf.DUMMYFUNCTION("""COMPUTED_VALUE"""),"Salinas, Lucena City, Quezon")</f>
        <v>Salinas, Lucena City, Quezon</v>
      </c>
      <c r="F267" s="2" t="str">
        <f>IFERROR(__xludf.DUMMYFUNCTION("""COMPUTED_VALUE"""),"ILDEFONSO FORMALEJO")</f>
        <v>ILDEFONSO FORMALEJO</v>
      </c>
      <c r="G267" s="2">
        <f>IFERROR(__xludf.DUMMYFUNCTION("""COMPUTED_VALUE"""),9.300519773E9)</f>
        <v>9300519773</v>
      </c>
      <c r="H267" s="2">
        <f>IFERROR(__xludf.DUMMYFUNCTION("""COMPUTED_VALUE"""),17.5)</f>
        <v>17.5</v>
      </c>
      <c r="I267" s="72" t="str">
        <f>IFERROR(__xludf.DUMMYFUNCTION("""COMPUTED_VALUE"""),"REPAIR - TRACTOR")</f>
        <v>REPAIR - TRACTOR</v>
      </c>
      <c r="J267" s="72" t="str">
        <f>IFERROR(__xludf.DUMMYFUNCTION("""COMPUTED_VALUE"""),"Transmission - Clutch")</f>
        <v>Transmission - Clutch</v>
      </c>
      <c r="K267" s="72" t="str">
        <f>IFERROR(__xludf.DUMMYFUNCTION("""COMPUTED_VALUE"""),"CCB: KUMAPIT DAW ANG CLUTCH AT BIGLA DAW TUMIGIL YUNG TRACTOR")</f>
        <v>CCB: KUMAPIT DAW ANG CLUTCH AT BIGLA DAW TUMIGIL YUNG TRACTOR</v>
      </c>
      <c r="L267" s="72" t="str">
        <f>IFERROR(__xludf.DUMMYFUNCTION("""COMPUTED_VALUE"""),"JTT: ADJUSTMENR LANG NG CLUTCH PEDAL OK NA YUNG UNIT")</f>
        <v>JTT: ADJUSTMENR LANG NG CLUTCH PEDAL OK NA YUNG UNIT</v>
      </c>
      <c r="M267" s="2"/>
      <c r="N267" s="2"/>
      <c r="O267" s="2" t="str">
        <f>IFERROR(__xludf.DUMMYFUNCTION("""COMPUTED_VALUE"""),"JIE-813")</f>
        <v>JIE-813</v>
      </c>
      <c r="P267" s="2"/>
      <c r="Q267" s="2"/>
      <c r="R267" s="74">
        <f>IFERROR(__xludf.DUMMYFUNCTION("""COMPUTED_VALUE"""),45465.0)</f>
        <v>45465</v>
      </c>
      <c r="S267" s="2" t="str">
        <f>IFERROR(__xludf.DUMMYFUNCTION("""COMPUTED_VALUE"""),"JTT")</f>
        <v>JTT</v>
      </c>
      <c r="T267" s="73" t="str">
        <f>IFERROR(__xludf.DUMMYFUNCTION("""COMPUTED_VALUE""")," N/A ")</f>
        <v>N/A</v>
      </c>
      <c r="U267" s="73" t="str">
        <f>IFERROR(__xludf.DUMMYFUNCTION("""COMPUTED_VALUE""")," NO CHARGE ")</f>
        <v>NO CHARGE</v>
      </c>
      <c r="V267" s="2"/>
      <c r="W267" s="2" t="str">
        <f>IFERROR(__xludf.DUMMYFUNCTION("""COMPUTED_VALUE"""),"N/A")</f>
        <v>N/A</v>
      </c>
      <c r="X267" s="2" t="str">
        <f>IFERROR(__xludf.DUMMYFUNCTION("""COMPUTED_VALUE"""),"N/A")</f>
        <v>N/A</v>
      </c>
      <c r="Y267" s="2"/>
      <c r="Z267" s="2"/>
      <c r="AA267" s="2"/>
      <c r="AB267" s="2"/>
      <c r="AC267" s="2"/>
      <c r="AD267" s="2"/>
      <c r="AE267" s="2"/>
      <c r="AF267" s="2"/>
      <c r="AG267" s="2"/>
      <c r="AH267" s="2"/>
      <c r="AI267" s="2"/>
      <c r="AJ267" s="2" t="str">
        <f>IFERROR(__xludf.DUMMYFUNCTION("""COMPUTED_VALUE"""),"Salinas")</f>
        <v>Salinas</v>
      </c>
      <c r="AK267" s="2" t="str">
        <f>IFERROR(__xludf.DUMMYFUNCTION("""COMPUTED_VALUE"""),"Lucena City")</f>
        <v>Lucena City</v>
      </c>
      <c r="AL267" s="2" t="str">
        <f>IFERROR(__xludf.DUMMYFUNCTION("""COMPUTED_VALUE"""),"Quezon")</f>
        <v>Quezon</v>
      </c>
      <c r="AM267" s="2" t="str">
        <f>IFERROR(__xludf.DUMMYFUNCTION("""COMPUTED_VALUE"""),"4A")</f>
        <v>4A</v>
      </c>
      <c r="AN267" s="2" t="str">
        <f>IFERROR(__xludf.DUMMYFUNCTION("""COMPUTED_VALUE"""),"RCEF 23-08-20 Rebidding")</f>
        <v>RCEF 23-08-20 Rebidding</v>
      </c>
      <c r="AO267" s="2">
        <f>IFERROR(__xludf.DUMMYFUNCTION("""COMPUTED_VALUE"""),1.0)</f>
        <v>1</v>
      </c>
      <c r="AP267" s="2"/>
      <c r="AQ267" s="2"/>
      <c r="AR267" s="2"/>
      <c r="AS267" s="2"/>
      <c r="AT267" s="2"/>
      <c r="AU267" s="2"/>
      <c r="AV267" s="2"/>
      <c r="AW267" s="2"/>
      <c r="AX267" s="2"/>
      <c r="AY267" s="2"/>
      <c r="AZ267" s="2"/>
      <c r="BA267" s="2"/>
      <c r="BB267" s="2"/>
    </row>
    <row r="268">
      <c r="A268" s="2">
        <f>IFERROR(__xludf.DUMMYFUNCTION("""COMPUTED_VALUE"""),264.0)</f>
        <v>264</v>
      </c>
      <c r="B268" s="2" t="str">
        <f>IFERROR(__xludf.DUMMYFUNCTION("""COMPUTED_VALUE"""),"COMPLETED")</f>
        <v>COMPLETED</v>
      </c>
      <c r="C268" s="74">
        <f>IFERROR(__xludf.DUMMYFUNCTION("""COMPUTED_VALUE"""),45464.0)</f>
        <v>45464</v>
      </c>
      <c r="D268" s="71" t="str">
        <f>IFERROR(__xludf.DUMMYFUNCTION("""COMPUTED_VALUE"""),"CABAYUGAN FARMERS ASSOCIATION")</f>
        <v>CABAYUGAN FARMERS ASSOCIATION</v>
      </c>
      <c r="E268" s="71" t="str">
        <f>IFERROR(__xludf.DUMMYFUNCTION("""COMPUTED_VALUE"""),"Cabayugan, Puerto Princesa City, Palawan")</f>
        <v>Cabayugan, Puerto Princesa City, Palawan</v>
      </c>
      <c r="F268" s="2" t="str">
        <f>IFERROR(__xludf.DUMMYFUNCTION("""COMPUTED_VALUE"""),"LOUIE AUNGON")</f>
        <v>LOUIE AUNGON</v>
      </c>
      <c r="G268" s="2">
        <f>IFERROR(__xludf.DUMMYFUNCTION("""COMPUTED_VALUE"""),9.050960839E9)</f>
        <v>9050960839</v>
      </c>
      <c r="H268" s="2"/>
      <c r="I268" s="72" t="str">
        <f>IFERROR(__xludf.DUMMYFUNCTION("""COMPUTED_VALUE"""),"SPARE PARTS ACQUISITION")</f>
        <v>SPARE PARTS ACQUISITION</v>
      </c>
      <c r="J268" s="72" t="str">
        <f>IFERROR(__xludf.DUMMYFUNCTION("""COMPUTED_VALUE"""),"SPARE PARTS ACQUISITION")</f>
        <v>SPARE PARTS ACQUISITION</v>
      </c>
      <c r="K268" s="72" t="str">
        <f>IFERROR(__xludf.DUMMYFUNCTION("""COMPUTED_VALUE"""),"RCG: SLINE (ASKING PRICE)
")</f>
        <v>RCG: SLINE (ASKING PRICE)
</v>
      </c>
      <c r="L268" s="72" t="str">
        <f>IFERROR(__xludf.DUMMYFUNCTION("""COMPUTED_VALUE"""),"CANCEL ORDER")</f>
        <v>CANCEL ORDER</v>
      </c>
      <c r="M268" s="2"/>
      <c r="N268" s="2" t="str">
        <f>IFERROR(__xludf.DUMMYFUNCTION("""COMPUTED_VALUE"""),"CANCEL ORDER")</f>
        <v>CANCEL ORDER</v>
      </c>
      <c r="O268" s="2" t="str">
        <f>IFERROR(__xludf.DUMMYFUNCTION("""COMPUTED_VALUE"""),"CANCELLED")</f>
        <v>CANCELLED</v>
      </c>
      <c r="P268" s="2"/>
      <c r="Q268" s="2"/>
      <c r="R268" s="74">
        <f>IFERROR(__xludf.DUMMYFUNCTION("""COMPUTED_VALUE"""),45492.0)</f>
        <v>45492</v>
      </c>
      <c r="S268" s="2" t="str">
        <f>IFERROR(__xludf.DUMMYFUNCTION("""COMPUTED_VALUE"""),"RCG")</f>
        <v>RCG</v>
      </c>
      <c r="T268" s="73" t="str">
        <f>IFERROR(__xludf.DUMMYFUNCTION("""COMPUTED_VALUE""")," N/A ")</f>
        <v>N/A</v>
      </c>
      <c r="U268" s="73" t="str">
        <f>IFERROR(__xludf.DUMMYFUNCTION("""COMPUTED_VALUE""")," NO CHARGE ")</f>
        <v>NO CHARGE</v>
      </c>
      <c r="V268" s="2"/>
      <c r="W268" s="2" t="str">
        <f>IFERROR(__xludf.DUMMYFUNCTION("""COMPUTED_VALUE"""),"N/A")</f>
        <v>N/A</v>
      </c>
      <c r="X268" s="2" t="str">
        <f>IFERROR(__xludf.DUMMYFUNCTION("""COMPUTED_VALUE"""),"N/A")</f>
        <v>N/A</v>
      </c>
      <c r="Y268" s="2"/>
      <c r="Z268" s="2"/>
      <c r="AA268" s="2"/>
      <c r="AB268" s="2"/>
      <c r="AC268" s="2"/>
      <c r="AD268" s="2"/>
      <c r="AE268" s="2"/>
      <c r="AF268" s="2"/>
      <c r="AG268" s="2"/>
      <c r="AH268" s="2"/>
      <c r="AI268" s="2"/>
      <c r="AJ268" s="2" t="str">
        <f>IFERROR(__xludf.DUMMYFUNCTION("""COMPUTED_VALUE"""),"Cabayugan")</f>
        <v>Cabayugan</v>
      </c>
      <c r="AK268" s="2" t="str">
        <f>IFERROR(__xludf.DUMMYFUNCTION("""COMPUTED_VALUE"""),"Puerto Princesa City")</f>
        <v>Puerto Princesa City</v>
      </c>
      <c r="AL268" s="2" t="str">
        <f>IFERROR(__xludf.DUMMYFUNCTION("""COMPUTED_VALUE"""),"Palawan")</f>
        <v>Palawan</v>
      </c>
      <c r="AM268" s="2" t="str">
        <f>IFERROR(__xludf.DUMMYFUNCTION("""COMPUTED_VALUE"""),"4B")</f>
        <v>4B</v>
      </c>
      <c r="AN268" s="2" t="str">
        <f>IFERROR(__xludf.DUMMYFUNCTION("""COMPUTED_VALUE"""),"RCEF 23-08-20 Rebidding")</f>
        <v>RCEF 23-08-20 Rebidding</v>
      </c>
      <c r="AO268" s="2">
        <f>IFERROR(__xludf.DUMMYFUNCTION("""COMPUTED_VALUE"""),1.0)</f>
        <v>1</v>
      </c>
      <c r="AP268" s="2"/>
      <c r="AQ268" s="2"/>
      <c r="AR268" s="2"/>
      <c r="AS268" s="2"/>
      <c r="AT268" s="2"/>
      <c r="AU268" s="2"/>
      <c r="AV268" s="2"/>
      <c r="AW268" s="2"/>
      <c r="AX268" s="2"/>
      <c r="AY268" s="2"/>
      <c r="AZ268" s="2"/>
      <c r="BA268" s="2"/>
      <c r="BB268" s="2"/>
    </row>
    <row r="269">
      <c r="A269" s="2">
        <f>IFERROR(__xludf.DUMMYFUNCTION("""COMPUTED_VALUE"""),265.0)</f>
        <v>265</v>
      </c>
      <c r="B269" s="2" t="str">
        <f>IFERROR(__xludf.DUMMYFUNCTION("""COMPUTED_VALUE"""),"COMPLETED")</f>
        <v>COMPLETED</v>
      </c>
      <c r="C269" s="74">
        <f>IFERROR(__xludf.DUMMYFUNCTION("""COMPUTED_VALUE"""),45465.0)</f>
        <v>45465</v>
      </c>
      <c r="D269" s="71" t="str">
        <f>IFERROR(__xludf.DUMMYFUNCTION("""COMPUTED_VALUE"""),"BINHING BUTIL AGRICULTURAL MAKER ASSOCIATION (BBAMA)")</f>
        <v>BINHING BUTIL AGRICULTURAL MAKER ASSOCIATION (BBAMA)</v>
      </c>
      <c r="E269" s="71" t="str">
        <f>IFERROR(__xludf.DUMMYFUNCTION("""COMPUTED_VALUE"""),", Penaranda, NUEVA ECIJA")</f>
        <v>, Penaranda, NUEVA ECIJA</v>
      </c>
      <c r="F269" s="2" t="str">
        <f>IFERROR(__xludf.DUMMYFUNCTION("""COMPUTED_VALUE"""),"ROGELIO RAMOS")</f>
        <v>ROGELIO RAMOS</v>
      </c>
      <c r="G269" s="2">
        <f>IFERROR(__xludf.DUMMYFUNCTION("""COMPUTED_VALUE"""),9.614554945E9)</f>
        <v>9614554945</v>
      </c>
      <c r="H269" s="2">
        <f>IFERROR(__xludf.DUMMYFUNCTION("""COMPUTED_VALUE"""),39.0)</f>
        <v>39</v>
      </c>
      <c r="I269" s="72" t="str">
        <f>IFERROR(__xludf.DUMMYFUNCTION("""COMPUTED_VALUE"""),"REPAIR - TRACTOR")</f>
        <v>REPAIR - TRACTOR</v>
      </c>
      <c r="J269" s="72" t="str">
        <f>IFERROR(__xludf.DUMMYFUNCTION("""COMPUTED_VALUE"""),"Engine -  Overhaul")</f>
        <v>Engine -  Overhaul</v>
      </c>
      <c r="K269" s="72" t="str">
        <f>IFERROR(__xludf.DUMMYFUNCTION("""COMPUTED_VALUE"""),"JHP: NAGBABAWAS NG ENGINE OIL, 3L PER DAY ANG NABABAWAS SA ENGINE OIL
JDP: 6/29/24: AFTER DAW PO MAPALITAN NG TURBO GINAMIT NA YUNG UNIT PARA MATEST PAGKA START PO UMUSOK NA NG PUTI PERO NUNG UMINIT NA PO NAWALA NADAW PO YUNG USOK AFTER NILA GAMITIN YUNG "&amp;"UNIT NAG CHECK SILA NG ENGINE OIL AT NAKITA NILANG MADAMING BAWAS ANG LANGIS.
JDP:7/2/24: TURBO CHARGER 
EGT: 7/15/24: PARTS: 4 PISTON, 4 PISTON RING, 1 CYLINDER HEAD GASKET, 8 VALVE SEAL, 1 TURBO CHARGER
")</f>
        <v>JHP: NAGBABAWAS NG ENGINE OIL, 3L PER DAY ANG NABABAWAS SA ENGINE OIL
JDP: 6/29/24: AFTER DAW PO MAPALITAN NG TURBO GINAMIT NA YUNG UNIT PARA MATEST PAGKA START PO UMUSOK NA NG PUTI PERO NUNG UMINIT NA PO NAWALA NADAW PO YUNG USOK AFTER NILA GAMITIN YUNG UNIT NAG CHECK SILA NG ENGINE OIL AT NAKITA NILANG MADAMING BAWAS ANG LANGIS.
JDP:7/2/24: TURBO CHARGER 
EGT: 7/15/24: PARTS: 4 PISTON, 4 PISTON RING, 1 CYLINDER HEAD GASKET, 8 VALVE SEAL, 1 TURBO CHARGER
</v>
      </c>
      <c r="L269" s="72" t="str">
        <f>IFERROR(__xludf.DUMMYFUNCTION("""COMPUTED_VALUE"""),"JDP: 6/29/24: CHINECK PO NAMIN YUNG ENGINE WALANG LEAK, CHECK TUBIG AT LANGIS OK NAMAN PO. CHINECK ANG TURBO DUN NAMIN NAKITA NA NAG LEAK YUNG ENGINE OIL TINANGAL PO NAMIN YUNG MANIFOLD NG TURBO GOING TO INTAKE MANIFOLD MAS MARAMI PO KAMING NAKITANG LANGI"&amp;"S DOON.
1337: DSD: 12/27/24: DISASSEMBLE ENGINE (CYLINDER HEAD, PISTON, OIL FAN) 
PARTS: TURBO, VALVE SEAL, SILICON, GRINDING COMPOUND, SHIMP BEARING, PISTON RING, PISTON. (PRINTED)
1103:DSD: 1/17/25:OVERHAUL THE ENGINE, REPLACED   VALVE SEAL, TURBO, C"&amp;"ONNECTING ROD NO.1 PISTON, PISTON RING, CONNECTING ROD BEARING , CYLINDER HEAD GASKET.")</f>
        <v>JDP: 6/29/24: CHINECK PO NAMIN YUNG ENGINE WALANG LEAK, CHECK TUBIG AT LANGIS OK NAMAN PO. CHINECK ANG TURBO DUN NAMIN NAKITA NA NAG LEAK YUNG ENGINE OIL TINANGAL PO NAMIN YUNG MANIFOLD NG TURBO GOING TO INTAKE MANIFOLD MAS MARAMI PO KAMING NAKITANG LANGIS DOON.
1337: DSD: 12/27/24: DISASSEMBLE ENGINE (CYLINDER HEAD, PISTON, OIL FAN) 
PARTS: TURBO, VALVE SEAL, SILICON, GRINDING COMPOUND, SHIMP BEARING, PISTON RING, PISTON. (PRINTED)
1103:DSD: 1/17/25:OVERHAUL THE ENGINE, REPLACED   VALVE SEAL, TURBO, CONNECTING ROD NO.1 PISTON, PISTON RING, CONNECTING ROD BEARING , CYLINDER HEAD GASKET.</v>
      </c>
      <c r="M269" s="2"/>
      <c r="N269" s="2" t="str">
        <f>IFERROR(__xludf.DUMMYFUNCTION("""COMPUTED_VALUE"""),"PARTS: 
OIL FILTER,
ENGINE OIL, 
8 VALVE SEAL, 
TURBO, 
CONNECTING ROD NO.1 , 
4 PISTON, 
4 PISTON RING SET , 
8 CONNECTING ROD BEARING , 
1 CYLINDER HEAD GASKET.")</f>
        <v>PARTS: 
OIL FILTER,
ENGINE OIL, 
8 VALVE SEAL, 
TURBO, 
CONNECTING ROD NO.1 , 
4 PISTON, 
4 PISTON RING SET , 
8 CONNECTING ROD BEARING , 
1 CYLINDER HEAD GASKET.</v>
      </c>
      <c r="O269" s="2">
        <f>IFERROR(__xludf.DUMMYFUNCTION("""COMPUTED_VALUE"""),1103.0)</f>
        <v>1103</v>
      </c>
      <c r="P269" s="2"/>
      <c r="Q269" s="2" t="str">
        <f>IFERROR(__xludf.DUMMYFUNCTION("""COMPUTED_VALUE"""),"Y")</f>
        <v>Y</v>
      </c>
      <c r="R269" s="74">
        <f>IFERROR(__xludf.DUMMYFUNCTION("""COMPUTED_VALUE"""),45674.0)</f>
        <v>45674</v>
      </c>
      <c r="S269" s="2" t="str">
        <f>IFERROR(__xludf.DUMMYFUNCTION("""COMPUTED_VALUE"""),"JVV/DSD/EGT")</f>
        <v>JVV/DSD/EGT</v>
      </c>
      <c r="T269" s="2" t="str">
        <f>IFERROR(__xludf.DUMMYFUNCTION("""COMPUTED_VALUE"""),"N/A")</f>
        <v>N/A</v>
      </c>
      <c r="U269" s="73" t="str">
        <f>IFERROR(__xludf.DUMMYFUNCTION("""COMPUTED_VALUE""")," NO CHARGE ")</f>
        <v>NO CHARGE</v>
      </c>
      <c r="V269" s="2"/>
      <c r="W269" s="2" t="str">
        <f>IFERROR(__xludf.DUMMYFUNCTION("""COMPUTED_VALUE"""),"N/A")</f>
        <v>N/A</v>
      </c>
      <c r="X269" s="2" t="str">
        <f>IFERROR(__xludf.DUMMYFUNCTION("""COMPUTED_VALUE"""),"N/A")</f>
        <v>N/A</v>
      </c>
      <c r="Y269" s="2"/>
      <c r="Z269" s="2"/>
      <c r="AA269" s="2"/>
      <c r="AB269" s="2" t="str">
        <f>IFERROR(__xludf.DUMMYFUNCTION("""COMPUTED_VALUE"""),"ACCOMPLISHED")</f>
        <v>ACCOMPLISHED</v>
      </c>
      <c r="AC269" s="2" t="str">
        <f>IFERROR(__xludf.DUMMYFUNCTION("""COMPUTED_VALUE"""),"Y")</f>
        <v>Y</v>
      </c>
      <c r="AD269" s="2"/>
      <c r="AE269" s="2"/>
      <c r="AF269" s="2"/>
      <c r="AG269" s="2"/>
      <c r="AH269" s="2"/>
      <c r="AI269" s="2"/>
      <c r="AJ269" s="2" t="str">
        <f>IFERROR(__xludf.DUMMYFUNCTION("""COMPUTED_VALUE"""),"")</f>
        <v/>
      </c>
      <c r="AK269" s="2" t="str">
        <f>IFERROR(__xludf.DUMMYFUNCTION("""COMPUTED_VALUE"""),"Penaranda")</f>
        <v>Penaranda</v>
      </c>
      <c r="AL269" s="2" t="str">
        <f>IFERROR(__xludf.DUMMYFUNCTION("""COMPUTED_VALUE"""),"Nueva Ecija")</f>
        <v>Nueva Ecija</v>
      </c>
      <c r="AM269" s="2">
        <f>IFERROR(__xludf.DUMMYFUNCTION("""COMPUTED_VALUE"""),3.0)</f>
        <v>3</v>
      </c>
      <c r="AN269" s="2" t="str">
        <f>IFERROR(__xludf.DUMMYFUNCTION("""COMPUTED_VALUE"""),"RCEF 23-09-21 Rebidding")</f>
        <v>RCEF 23-09-21 Rebidding</v>
      </c>
      <c r="AO269" s="2">
        <f>IFERROR(__xludf.DUMMYFUNCTION("""COMPUTED_VALUE"""),3.0)</f>
        <v>3</v>
      </c>
      <c r="AP269" s="2"/>
      <c r="AQ269" s="2"/>
      <c r="AR269" s="2"/>
      <c r="AS269" s="2"/>
      <c r="AT269" s="2"/>
      <c r="AU269" s="2"/>
      <c r="AV269" s="2"/>
      <c r="AW269" s="2"/>
      <c r="AX269" s="2"/>
      <c r="AY269" s="2"/>
      <c r="AZ269" s="2"/>
      <c r="BA269" s="2"/>
      <c r="BB269" s="2"/>
    </row>
    <row r="270">
      <c r="A270" s="2">
        <f>IFERROR(__xludf.DUMMYFUNCTION("""COMPUTED_VALUE"""),266.0)</f>
        <v>266</v>
      </c>
      <c r="B270" s="2" t="str">
        <f>IFERROR(__xludf.DUMMYFUNCTION("""COMPUTED_VALUE"""),"COMPLETED")</f>
        <v>COMPLETED</v>
      </c>
      <c r="C270" s="74">
        <f>IFERROR(__xludf.DUMMYFUNCTION("""COMPUTED_VALUE"""),45465.0)</f>
        <v>45465</v>
      </c>
      <c r="D270" s="71" t="str">
        <f>IFERROR(__xludf.DUMMYFUNCTION("""COMPUTED_VALUE"""),"Brgy. Caraisan Farmers Association Incorporated")</f>
        <v>Brgy. Caraisan Farmers Association Incorporated</v>
      </c>
      <c r="E270" s="71" t="str">
        <f>IFERROR(__xludf.DUMMYFUNCTION("""COMPUTED_VALUE"""),"CARAISAN, MAGSINGAL, ILOCOS SUR")</f>
        <v>CARAISAN, MAGSINGAL, ILOCOS SUR</v>
      </c>
      <c r="F270" s="2" t="str">
        <f>IFERROR(__xludf.DUMMYFUNCTION("""COMPUTED_VALUE"""),"KEVIN BONG SABARILLO")</f>
        <v>KEVIN BONG SABARILLO</v>
      </c>
      <c r="G270" s="2" t="str">
        <f>IFERROR(__xludf.DUMMYFUNCTION("""COMPUTED_VALUE"""),"0966-1926-533")</f>
        <v>0966-1926-533</v>
      </c>
      <c r="H270" s="2">
        <f>IFERROR(__xludf.DUMMYFUNCTION("""COMPUTED_VALUE"""),50.0)</f>
        <v>50</v>
      </c>
      <c r="I270" s="72" t="str">
        <f>IFERROR(__xludf.DUMMYFUNCTION("""COMPUTED_VALUE"""),"PMS")</f>
        <v>PMS</v>
      </c>
      <c r="J270" s="72" t="str">
        <f>IFERROR(__xludf.DUMMYFUNCTION("""COMPUTED_VALUE"""),"PMS")</f>
        <v>PMS</v>
      </c>
      <c r="K270" s="72" t="str">
        <f>IFERROR(__xludf.DUMMYFUNCTION("""COMPUTED_VALUE"""),"KFS: FIRST PMS")</f>
        <v>KFS: FIRST PMS</v>
      </c>
      <c r="L270" s="72" t="str">
        <f>IFERROR(__xludf.DUMMYFUNCTION("""COMPUTED_VALUE"""),"ACS: FIRST PMS DONE")</f>
        <v>ACS: FIRST PMS DONE</v>
      </c>
      <c r="M270" s="2"/>
      <c r="N270" s="2"/>
      <c r="O270" s="2" t="str">
        <f>IFERROR(__xludf.DUMMYFUNCTION("""COMPUTED_VALUE"""),"JIE-822")</f>
        <v>JIE-822</v>
      </c>
      <c r="P270" s="2"/>
      <c r="Q270" s="2"/>
      <c r="R270" s="74">
        <f>IFERROR(__xludf.DUMMYFUNCTION("""COMPUTED_VALUE"""),45468.0)</f>
        <v>45468</v>
      </c>
      <c r="S270" s="2" t="str">
        <f>IFERROR(__xludf.DUMMYFUNCTION("""COMPUTED_VALUE"""),"JHP/ACS")</f>
        <v>JHP/ACS</v>
      </c>
      <c r="T270" s="73" t="str">
        <f>IFERROR(__xludf.DUMMYFUNCTION("""COMPUTED_VALUE""")," N/A ")</f>
        <v>N/A</v>
      </c>
      <c r="U270" s="73" t="str">
        <f>IFERROR(__xludf.DUMMYFUNCTION("""COMPUTED_VALUE""")," NO CHARGE ")</f>
        <v>NO CHARGE</v>
      </c>
      <c r="V270" s="2"/>
      <c r="W270" s="2" t="str">
        <f>IFERROR(__xludf.DUMMYFUNCTION("""COMPUTED_VALUE"""),"N/A")</f>
        <v>N/A</v>
      </c>
      <c r="X270" s="2" t="str">
        <f>IFERROR(__xludf.DUMMYFUNCTION("""COMPUTED_VALUE"""),"N/A")</f>
        <v>N/A</v>
      </c>
      <c r="Y270" s="2"/>
      <c r="Z270" s="2"/>
      <c r="AA270" s="2"/>
      <c r="AB270" s="2"/>
      <c r="AC270" s="2"/>
      <c r="AD270" s="2"/>
      <c r="AE270" s="2"/>
      <c r="AF270" s="2"/>
      <c r="AG270" s="2"/>
      <c r="AH270" s="2"/>
      <c r="AI270" s="2"/>
      <c r="AJ270" s="2" t="str">
        <f>IFERROR(__xludf.DUMMYFUNCTION("""COMPUTED_VALUE"""),"Caraisan")</f>
        <v>Caraisan</v>
      </c>
      <c r="AK270" s="2" t="str">
        <f>IFERROR(__xludf.DUMMYFUNCTION("""COMPUTED_VALUE"""),"Magsingal")</f>
        <v>Magsingal</v>
      </c>
      <c r="AL270" s="2" t="str">
        <f>IFERROR(__xludf.DUMMYFUNCTION("""COMPUTED_VALUE"""),"Ilocos Sur")</f>
        <v>Ilocos Sur</v>
      </c>
      <c r="AM270" s="2">
        <f>IFERROR(__xludf.DUMMYFUNCTION("""COMPUTED_VALUE"""),1.0)</f>
        <v>1</v>
      </c>
      <c r="AN270" s="2" t="str">
        <f>IFERROR(__xludf.DUMMYFUNCTION("""COMPUTED_VALUE"""),"RCEF 23-09-21 Rebidding")</f>
        <v>RCEF 23-09-21 Rebidding</v>
      </c>
      <c r="AO270" s="2">
        <f>IFERROR(__xludf.DUMMYFUNCTION("""COMPUTED_VALUE"""),2.0)</f>
        <v>2</v>
      </c>
      <c r="AP270" s="2"/>
      <c r="AQ270" s="2"/>
      <c r="AR270" s="2"/>
      <c r="AS270" s="2"/>
      <c r="AT270" s="2"/>
      <c r="AU270" s="2"/>
      <c r="AV270" s="2"/>
      <c r="AW270" s="2"/>
      <c r="AX270" s="2"/>
      <c r="AY270" s="2"/>
      <c r="AZ270" s="2"/>
      <c r="BA270" s="2"/>
      <c r="BB270" s="2"/>
    </row>
    <row r="271">
      <c r="A271" s="2">
        <f>IFERROR(__xludf.DUMMYFUNCTION("""COMPUTED_VALUE"""),267.0)</f>
        <v>267</v>
      </c>
      <c r="B271" s="2" t="str">
        <f>IFERROR(__xludf.DUMMYFUNCTION("""COMPUTED_VALUE"""),"COMPLETED")</f>
        <v>COMPLETED</v>
      </c>
      <c r="C271" s="74">
        <f>IFERROR(__xludf.DUMMYFUNCTION("""COMPUTED_VALUE"""),45465.0)</f>
        <v>45465</v>
      </c>
      <c r="D271" s="71" t="str">
        <f>IFERROR(__xludf.DUMMYFUNCTION("""COMPUTED_VALUE"""),"STA. CRUZ RIVER IRRIGATION SYSTEM IRRIGATORS ASSOCIATION, INC.")</f>
        <v>STA. CRUZ RIVER IRRIGATION SYSTEM IRRIGATORS ASSOCIATION, INC.</v>
      </c>
      <c r="E271" s="71" t="str">
        <f>IFERROR(__xludf.DUMMYFUNCTION("""COMPUTED_VALUE"""),"Gatid, Santa Cruz, Laguna")</f>
        <v>Gatid, Santa Cruz, Laguna</v>
      </c>
      <c r="F271" s="2" t="str">
        <f>IFERROR(__xludf.DUMMYFUNCTION("""COMPUTED_VALUE"""),"ROBERTO RAMOS")</f>
        <v>ROBERTO RAMOS</v>
      </c>
      <c r="G271" s="2" t="str">
        <f>IFERROR(__xludf.DUMMYFUNCTION("""COMPUTED_VALUE"""),"0968-6060-896")</f>
        <v>0968-6060-896</v>
      </c>
      <c r="H271" s="2">
        <f>IFERROR(__xludf.DUMMYFUNCTION("""COMPUTED_VALUE"""),300.0)</f>
        <v>300</v>
      </c>
      <c r="I271" s="72" t="str">
        <f>IFERROR(__xludf.DUMMYFUNCTION("""COMPUTED_VALUE"""),"REPAIR - ROTAVATOR")</f>
        <v>REPAIR - ROTAVATOR</v>
      </c>
      <c r="J271" s="72" t="str">
        <f>IFERROR(__xludf.DUMMYFUNCTION("""COMPUTED_VALUE"""),"Gearbox")</f>
        <v>Gearbox</v>
      </c>
      <c r="K271" s="72" t="str">
        <f>IFERROR(__xludf.DUMMYFUNCTION("""COMPUTED_VALUE"""),"KFS: MAINGAY YUNG DIFFERENTIALNG ROTAVATOR ( SUBJECT FOR 2ND PMS)       
 CCB:6/25/24 FOR QOUTATION MUNa: LSGW PINION GEAR (11T),  LSGW BEVEL GEAR (24t) MAY TANGUS NA KAYA NADAPLIS
JTT: NAMAMAHALAN SI FARMER SA PRESYO NG PARTS")</f>
        <v>KFS: MAINGAY YUNG DIFFERENTIALNG ROTAVATOR ( SUBJECT FOR 2ND PMS)       
 CCB:6/25/24 FOR QOUTATION MUNa: LSGW PINION GEAR (11T),  LSGW BEVEL GEAR (24t) MAY TANGUS NA KAYA NADAPLIS
JTT: NAMAMAHALAN SI FARMER SA PRESYO NG PARTS</v>
      </c>
      <c r="L271" s="72" t="str">
        <f>IFERROR(__xludf.DUMMYFUNCTION("""COMPUTED_VALUE"""),"CANCELLED: MAY NABILIHAN SILANG IBA SA CALOOCAN: BUT FILED FOR WARRANTY CLAIM")</f>
        <v>CANCELLED: MAY NABILIHAN SILANG IBA SA CALOOCAN: BUT FILED FOR WARRANTY CLAIM</v>
      </c>
      <c r="M271" s="2"/>
      <c r="N271" s="2" t="str">
        <f>IFERROR(__xludf.DUMMYFUNCTION("""COMPUTED_VALUE"""),"PARTS:
BEVEL GEAR 24T
PINION GEAR 11T")</f>
        <v>PARTS:
BEVEL GEAR 24T
PINION GEAR 11T</v>
      </c>
      <c r="O271" s="2" t="str">
        <f>IFERROR(__xludf.DUMMYFUNCTION("""COMPUTED_VALUE"""),"CANCELLED")</f>
        <v>CANCELLED</v>
      </c>
      <c r="P271" s="2"/>
      <c r="Q271" s="2"/>
      <c r="R271" s="74">
        <f>IFERROR(__xludf.DUMMYFUNCTION("""COMPUTED_VALUE"""),45506.0)</f>
        <v>45506</v>
      </c>
      <c r="S271" s="2" t="str">
        <f>IFERROR(__xludf.DUMMYFUNCTION("""COMPUTED_VALUE"""),"JTT")</f>
        <v>JTT</v>
      </c>
      <c r="T271" s="73" t="str">
        <f>IFERROR(__xludf.DUMMYFUNCTION("""COMPUTED_VALUE""")," N/A ")</f>
        <v>N/A</v>
      </c>
      <c r="U271" s="73" t="str">
        <f>IFERROR(__xludf.DUMMYFUNCTION("""COMPUTED_VALUE""")," NO CHARGE ")</f>
        <v>NO CHARGE</v>
      </c>
      <c r="V271" s="2"/>
      <c r="W271" s="2" t="str">
        <f>IFERROR(__xludf.DUMMYFUNCTION("""COMPUTED_VALUE"""),"N/A")</f>
        <v>N/A</v>
      </c>
      <c r="X271" s="2" t="str">
        <f>IFERROR(__xludf.DUMMYFUNCTION("""COMPUTED_VALUE"""),"N/A")</f>
        <v>N/A</v>
      </c>
      <c r="Y271" s="2"/>
      <c r="Z271" s="2"/>
      <c r="AA271" s="2"/>
      <c r="AB271" s="2"/>
      <c r="AC271" s="2" t="str">
        <f>IFERROR(__xludf.DUMMYFUNCTION("""COMPUTED_VALUE"""),"Y")</f>
        <v>Y</v>
      </c>
      <c r="AD271" s="2"/>
      <c r="AE271" s="2"/>
      <c r="AF271" s="2"/>
      <c r="AG271" s="2"/>
      <c r="AH271" s="2"/>
      <c r="AI271" s="2"/>
      <c r="AJ271" s="2" t="str">
        <f>IFERROR(__xludf.DUMMYFUNCTION("""COMPUTED_VALUE"""),"Gatid")</f>
        <v>Gatid</v>
      </c>
      <c r="AK271" s="2" t="str">
        <f>IFERROR(__xludf.DUMMYFUNCTION("""COMPUTED_VALUE"""),"Santa Cruz")</f>
        <v>Santa Cruz</v>
      </c>
      <c r="AL271" s="2" t="str">
        <f>IFERROR(__xludf.DUMMYFUNCTION("""COMPUTED_VALUE"""),"Laguna")</f>
        <v>Laguna</v>
      </c>
      <c r="AM271" s="2" t="str">
        <f>IFERROR(__xludf.DUMMYFUNCTION("""COMPUTED_VALUE"""),"4A")</f>
        <v>4A</v>
      </c>
      <c r="AN271" s="2" t="str">
        <f>IFERROR(__xludf.DUMMYFUNCTION("""COMPUTED_VALUE"""),"RCEF 23-08-20 Rebidding")</f>
        <v>RCEF 23-08-20 Rebidding</v>
      </c>
      <c r="AO271" s="2">
        <f>IFERROR(__xludf.DUMMYFUNCTION("""COMPUTED_VALUE"""),1.0)</f>
        <v>1</v>
      </c>
      <c r="AP271" s="2"/>
      <c r="AQ271" s="2"/>
      <c r="AR271" s="2"/>
      <c r="AS271" s="2"/>
      <c r="AT271" s="2"/>
      <c r="AU271" s="2"/>
      <c r="AV271" s="2"/>
      <c r="AW271" s="2"/>
      <c r="AX271" s="2"/>
      <c r="AY271" s="2"/>
      <c r="AZ271" s="2"/>
      <c r="BA271" s="2"/>
      <c r="BB271" s="2"/>
    </row>
    <row r="272">
      <c r="A272" s="2">
        <f>IFERROR(__xludf.DUMMYFUNCTION("""COMPUTED_VALUE"""),268.0)</f>
        <v>268</v>
      </c>
      <c r="B272" s="2" t="str">
        <f>IFERROR(__xludf.DUMMYFUNCTION("""COMPUTED_VALUE"""),"COMPLETED")</f>
        <v>COMPLETED</v>
      </c>
      <c r="C272" s="74">
        <f>IFERROR(__xludf.DUMMYFUNCTION("""COMPUTED_VALUE"""),45467.0)</f>
        <v>45467</v>
      </c>
      <c r="D272" s="71" t="str">
        <f>IFERROR(__xludf.DUMMYFUNCTION("""COMPUTED_VALUE"""),"MATALADTAD FARMERS IRRIGATORS ASSOCIATION INC.")</f>
        <v>MATALADTAD FARMERS IRRIGATORS ASSOCIATION INC.</v>
      </c>
      <c r="E272" s="71" t="str">
        <f>IFERROR(__xludf.DUMMYFUNCTION("""COMPUTED_VALUE"""),"Papaya, San Antonio, NUEVA ECIJA")</f>
        <v>Papaya, San Antonio, NUEVA ECIJA</v>
      </c>
      <c r="F272" s="2" t="str">
        <f>IFERROR(__xludf.DUMMYFUNCTION("""COMPUTED_VALUE"""),"RAYMUNDO SULIT")</f>
        <v>RAYMUNDO SULIT</v>
      </c>
      <c r="G272" s="2">
        <f>IFERROR(__xludf.DUMMYFUNCTION("""COMPUTED_VALUE"""),9.532449768E9)</f>
        <v>9532449768</v>
      </c>
      <c r="H272" s="2">
        <f>IFERROR(__xludf.DUMMYFUNCTION("""COMPUTED_VALUE"""),12.2)</f>
        <v>12.2</v>
      </c>
      <c r="I272" s="72" t="str">
        <f>IFERROR(__xludf.DUMMYFUNCTION("""COMPUTED_VALUE"""),"REPAIR - DISC PLOW")</f>
        <v>REPAIR - DISC PLOW</v>
      </c>
      <c r="J272" s="72" t="str">
        <f>IFERROR(__xludf.DUMMYFUNCTION("""COMPUTED_VALUE"""),"Gearbox")</f>
        <v>Gearbox</v>
      </c>
      <c r="K272" s="72" t="str">
        <f>IFERROR(__xludf.DUMMYFUNCTION("""COMPUTED_VALUE"""),"JVV/EGT: NUNG PINAIKOT NILA MAY NARINIG NA SILANG TUMUTUNOG SA LOOB NUNG BINAKLAS NAMIN MAY BUNGAL NA YUNG GEAR NIYA  AT NAPUTOL YUNG DUGTUNGAN NG DALAWANG GEAR SA LOOB KAYA DIN NASIRA ANG BEARING      
EGT:6/25/24: PARTS NEEDED: 1pc oil seal     45*85*12"&amp;"T 
1pc Taper roller bearing  #30208
1pc Bever gear 14T-3n 
1pc Bevel gear 14T -1n 
1pc sprocket 15T 
1pc bevel gear 14T-2n 
1pc blot M14*110*1.5p                                        
1pc BUCKET TOOTH")</f>
        <v>JVV/EGT: NUNG PINAIKOT NILA MAY NARINIG NA SILANG TUMUTUNOG SA LOOB NUNG BINAKLAS NAMIN MAY BUNGAL NA YUNG GEAR NIYA  AT NAPUTOL YUNG DUGTUNGAN NG DALAWANG GEAR SA LOOB KAYA DIN NASIRA ANG BEARING      
EGT:6/25/24: PARTS NEEDED: 1pc oil seal     45*85*12T 
1pc Taper roller bearing  #30208
1pc Bever gear 14T-3n 
1pc Bevel gear 14T -1n 
1pc sprocket 15T 
1pc bevel gear 14T-2n 
1pc blot M14*110*1.5p                                        
1pc BUCKET TOOTH</v>
      </c>
      <c r="L272" s="72" t="str">
        <f>IFERROR(__xludf.DUMMYFUNCTION("""COMPUTED_VALUE"""),"JDP: NAGPALIT PO KAMI NG BEVEL GEAR ASSEMBLY., BEARING AT OIL SEAL OK NA PO YUNG UNIT.")</f>
        <v>JDP: NAGPALIT PO KAMI NG BEVEL GEAR ASSEMBLY., BEARING AT OIL SEAL OK NA PO YUNG UNIT.</v>
      </c>
      <c r="M272" s="2"/>
      <c r="N272" s="2" t="str">
        <f>IFERROR(__xludf.DUMMYFUNCTION("""COMPUTED_VALUE"""),"PARTS USED: 
1 BEVEL GEAR ASSEMBLY
1 TAPER ROLLER BEARING #30208
1 OIL SEAL 45-85-12T")</f>
        <v>PARTS USED: 
1 BEVEL GEAR ASSEMBLY
1 TAPER ROLLER BEARING #30208
1 OIL SEAL 45-85-12T</v>
      </c>
      <c r="O272" s="2" t="str">
        <f>IFERROR(__xludf.DUMMYFUNCTION("""COMPUTED_VALUE"""),"JIE-833")</f>
        <v>JIE-833</v>
      </c>
      <c r="P272" s="2"/>
      <c r="Q272" s="2"/>
      <c r="R272" s="74">
        <f>IFERROR(__xludf.DUMMYFUNCTION("""COMPUTED_VALUE"""),45478.0)</f>
        <v>45478</v>
      </c>
      <c r="S272" s="2" t="str">
        <f>IFERROR(__xludf.DUMMYFUNCTION("""COMPUTED_VALUE"""),"JDP/EGT")</f>
        <v>JDP/EGT</v>
      </c>
      <c r="T272" s="2"/>
      <c r="U272" s="73" t="str">
        <f>IFERROR(__xludf.DUMMYFUNCTION("""COMPUTED_VALUE""")," FOR CONFIRMATION ")</f>
        <v>FOR CONFIRMATION</v>
      </c>
      <c r="V272" s="2"/>
      <c r="W272" s="2"/>
      <c r="X272" s="2"/>
      <c r="Y272" s="2"/>
      <c r="Z272" s="2"/>
      <c r="AA272" s="2"/>
      <c r="AB272" s="2"/>
      <c r="AC272" s="2" t="str">
        <f>IFERROR(__xludf.DUMMYFUNCTION("""COMPUTED_VALUE"""),"Y")</f>
        <v>Y</v>
      </c>
      <c r="AD272" s="2" t="str">
        <f>IFERROR(__xludf.DUMMYFUNCTION("""COMPUTED_VALUE"""),"1st assessment+1st accomplishment+video+pictures")</f>
        <v>1st assessment+1st accomplishment+video+pictures</v>
      </c>
      <c r="AE272" s="2"/>
      <c r="AF272" s="2"/>
      <c r="AG272" s="2"/>
      <c r="AH272" s="2"/>
      <c r="AI272" s="2"/>
      <c r="AJ272" s="2" t="str">
        <f>IFERROR(__xludf.DUMMYFUNCTION("""COMPUTED_VALUE"""),"Papaya")</f>
        <v>Papaya</v>
      </c>
      <c r="AK272" s="2" t="str">
        <f>IFERROR(__xludf.DUMMYFUNCTION("""COMPUTED_VALUE"""),"San Antonio")</f>
        <v>San Antonio</v>
      </c>
      <c r="AL272" s="2" t="str">
        <f>IFERROR(__xludf.DUMMYFUNCTION("""COMPUTED_VALUE"""),"Nueva Ecija")</f>
        <v>Nueva Ecija</v>
      </c>
      <c r="AM272" s="2">
        <f>IFERROR(__xludf.DUMMYFUNCTION("""COMPUTED_VALUE"""),3.0)</f>
        <v>3</v>
      </c>
      <c r="AN272" s="2" t="str">
        <f>IFERROR(__xludf.DUMMYFUNCTION("""COMPUTED_VALUE"""),"RCEF 23-09-21 Rebidding")</f>
        <v>RCEF 23-09-21 Rebidding</v>
      </c>
      <c r="AO272" s="2">
        <f>IFERROR(__xludf.DUMMYFUNCTION("""COMPUTED_VALUE"""),3.0)</f>
        <v>3</v>
      </c>
      <c r="AP272" s="2"/>
      <c r="AQ272" s="2"/>
      <c r="AR272" s="2"/>
      <c r="AS272" s="2"/>
      <c r="AT272" s="2"/>
      <c r="AU272" s="2"/>
      <c r="AV272" s="2"/>
      <c r="AW272" s="2"/>
      <c r="AX272" s="2"/>
      <c r="AY272" s="2"/>
      <c r="AZ272" s="2"/>
      <c r="BA272" s="2"/>
      <c r="BB272" s="2"/>
    </row>
    <row r="273">
      <c r="A273" s="2">
        <f>IFERROR(__xludf.DUMMYFUNCTION("""COMPUTED_VALUE"""),269.0)</f>
        <v>269</v>
      </c>
      <c r="B273" s="2" t="str">
        <f>IFERROR(__xludf.DUMMYFUNCTION("""COMPUTED_VALUE"""),"COMPLETED")</f>
        <v>COMPLETED</v>
      </c>
      <c r="C273" s="74">
        <f>IFERROR(__xludf.DUMMYFUNCTION("""COMPUTED_VALUE"""),45467.0)</f>
        <v>45467</v>
      </c>
      <c r="D273" s="71" t="str">
        <f>IFERROR(__xludf.DUMMYFUNCTION("""COMPUTED_VALUE"""),"Nangalisan Multi Purpose Cooperative Inc.")</f>
        <v>Nangalisan Multi Purpose Cooperative Inc.</v>
      </c>
      <c r="E273" s="71" t="str">
        <f>IFERROR(__xludf.DUMMYFUNCTION("""COMPUTED_VALUE"""),"Nangalisan, Bacnotan, LA UNION")</f>
        <v>Nangalisan, Bacnotan, LA UNION</v>
      </c>
      <c r="F273" s="2" t="str">
        <f>IFERROR(__xludf.DUMMYFUNCTION("""COMPUTED_VALUE"""),"ROGELIO R. RINON")</f>
        <v>ROGELIO R. RINON</v>
      </c>
      <c r="G273" s="2">
        <f>IFERROR(__xludf.DUMMYFUNCTION("""COMPUTED_VALUE"""),9.109779348E9)</f>
        <v>9109779348</v>
      </c>
      <c r="H273" s="2">
        <f>IFERROR(__xludf.DUMMYFUNCTION("""COMPUTED_VALUE"""),49.0)</f>
        <v>49</v>
      </c>
      <c r="I273" s="72" t="str">
        <f>IFERROR(__xludf.DUMMYFUNCTION("""COMPUTED_VALUE"""),"PMS")</f>
        <v>PMS</v>
      </c>
      <c r="J273" s="72" t="str">
        <f>IFERROR(__xludf.DUMMYFUNCTION("""COMPUTED_VALUE"""),"PMS")</f>
        <v>PMS</v>
      </c>
      <c r="K273" s="72" t="str">
        <f>IFERROR(__xludf.DUMMYFUNCTION("""COMPUTED_VALUE"""),"RCG: FIRST PMS")</f>
        <v>RCG: FIRST PMS</v>
      </c>
      <c r="L273" s="72" t="str">
        <f>IFERROR(__xludf.DUMMYFUNCTION("""COMPUTED_VALUE"""),"CHANGE OIL")</f>
        <v>CHANGE OIL</v>
      </c>
      <c r="M273" s="2"/>
      <c r="N273" s="2" t="str">
        <f>IFERROR(__xludf.DUMMYFUNCTION("""COMPUTED_VALUE"""),"PARTS: OIL FILTER")</f>
        <v>PARTS: OIL FILTER</v>
      </c>
      <c r="O273" s="2" t="str">
        <f>IFERROR(__xludf.DUMMYFUNCTION("""COMPUTED_VALUE"""),"JIE-814")</f>
        <v>JIE-814</v>
      </c>
      <c r="P273" s="2"/>
      <c r="Q273" s="2"/>
      <c r="R273" s="74">
        <f>IFERROR(__xludf.DUMMYFUNCTION("""COMPUTED_VALUE"""),45467.0)</f>
        <v>45467</v>
      </c>
      <c r="S273" s="2" t="str">
        <f>IFERROR(__xludf.DUMMYFUNCTION("""COMPUTED_VALUE"""),"JHP/ACS")</f>
        <v>JHP/ACS</v>
      </c>
      <c r="T273" s="73">
        <f>IFERROR(__xludf.DUMMYFUNCTION("""COMPUTED_VALUE"""),2837.5)</f>
        <v>2837.5</v>
      </c>
      <c r="U273" s="73" t="str">
        <f>IFERROR(__xludf.DUMMYFUNCTION("""COMPUTED_VALUE""")," REMITTED ")</f>
        <v>REMITTED</v>
      </c>
      <c r="V273" s="2"/>
      <c r="W273" s="2"/>
      <c r="X273" s="2">
        <f>IFERROR(__xludf.DUMMYFUNCTION("""COMPUTED_VALUE"""),1120.0)</f>
        <v>1120</v>
      </c>
      <c r="Y273" s="2"/>
      <c r="Z273" s="2"/>
      <c r="AA273" s="2"/>
      <c r="AB273" s="2"/>
      <c r="AC273" s="2"/>
      <c r="AD273" s="2"/>
      <c r="AE273" s="2"/>
      <c r="AF273" s="2"/>
      <c r="AG273" s="2"/>
      <c r="AH273" s="2"/>
      <c r="AI273" s="2"/>
      <c r="AJ273" s="2" t="str">
        <f>IFERROR(__xludf.DUMMYFUNCTION("""COMPUTED_VALUE"""),"Nangalisan")</f>
        <v>Nangalisan</v>
      </c>
      <c r="AK273" s="2" t="str">
        <f>IFERROR(__xludf.DUMMYFUNCTION("""COMPUTED_VALUE"""),"Bacnotan")</f>
        <v>Bacnotan</v>
      </c>
      <c r="AL273" s="2" t="str">
        <f>IFERROR(__xludf.DUMMYFUNCTION("""COMPUTED_VALUE"""),"La Union")</f>
        <v>La Union</v>
      </c>
      <c r="AM273" s="2">
        <f>IFERROR(__xludf.DUMMYFUNCTION("""COMPUTED_VALUE"""),1.0)</f>
        <v>1</v>
      </c>
      <c r="AN273" s="2" t="str">
        <f>IFERROR(__xludf.DUMMYFUNCTION("""COMPUTED_VALUE"""),"RCEF 23-09-21 Rebidding")</f>
        <v>RCEF 23-09-21 Rebidding</v>
      </c>
      <c r="AO273" s="2">
        <f>IFERROR(__xludf.DUMMYFUNCTION("""COMPUTED_VALUE"""),2.0)</f>
        <v>2</v>
      </c>
      <c r="AP273" s="2"/>
      <c r="AQ273" s="2"/>
      <c r="AR273" s="2"/>
      <c r="AS273" s="2"/>
      <c r="AT273" s="2"/>
      <c r="AU273" s="2"/>
      <c r="AV273" s="2"/>
      <c r="AW273" s="2"/>
      <c r="AX273" s="2"/>
      <c r="AY273" s="2"/>
      <c r="AZ273" s="2"/>
      <c r="BA273" s="2"/>
      <c r="BB273" s="2"/>
    </row>
    <row r="274">
      <c r="A274" s="2">
        <f>IFERROR(__xludf.DUMMYFUNCTION("""COMPUTED_VALUE"""),270.0)</f>
        <v>270</v>
      </c>
      <c r="B274" s="2" t="str">
        <f>IFERROR(__xludf.DUMMYFUNCTION("""COMPUTED_VALUE"""),"COMPLETED")</f>
        <v>COMPLETED</v>
      </c>
      <c r="C274" s="74">
        <f>IFERROR(__xludf.DUMMYFUNCTION("""COMPUTED_VALUE"""),45467.0)</f>
        <v>45467</v>
      </c>
      <c r="D274" s="71" t="str">
        <f>IFERROR(__xludf.DUMMYFUNCTION("""COMPUTED_VALUE"""),"Free Farmers Multi Purpose Cooperative")</f>
        <v>Free Farmers Multi Purpose Cooperative</v>
      </c>
      <c r="E274" s="71" t="str">
        <f>IFERROR(__xludf.DUMMYFUNCTION("""COMPUTED_VALUE"""),"SAYAGADEN, CABUGAO, ILOCOS SUR")</f>
        <v>SAYAGADEN, CABUGAO, ILOCOS SUR</v>
      </c>
      <c r="F274" s="2" t="str">
        <f>IFERROR(__xludf.DUMMYFUNCTION("""COMPUTED_VALUE"""),"ZOSIMO SAYABAC")</f>
        <v>ZOSIMO SAYABAC</v>
      </c>
      <c r="G274" s="2">
        <f>IFERROR(__xludf.DUMMYFUNCTION("""COMPUTED_VALUE"""),9.977808595E9)</f>
        <v>9977808595</v>
      </c>
      <c r="H274" s="2">
        <f>IFERROR(__xludf.DUMMYFUNCTION("""COMPUTED_VALUE"""),56.0)</f>
        <v>56</v>
      </c>
      <c r="I274" s="72" t="str">
        <f>IFERROR(__xludf.DUMMYFUNCTION("""COMPUTED_VALUE"""),"PMS")</f>
        <v>PMS</v>
      </c>
      <c r="J274" s="72" t="str">
        <f>IFERROR(__xludf.DUMMYFUNCTION("""COMPUTED_VALUE"""),"PMS")</f>
        <v>PMS</v>
      </c>
      <c r="K274" s="72" t="str">
        <f>IFERROR(__xludf.DUMMYFUNCTION("""COMPUTED_VALUE"""),"KFS: FIRST PMS")</f>
        <v>KFS: FIRST PMS</v>
      </c>
      <c r="L274" s="72" t="str">
        <f>IFERROR(__xludf.DUMMYFUNCTION("""COMPUTED_VALUE"""),"ACS: FIRST PMS DONE")</f>
        <v>ACS: FIRST PMS DONE</v>
      </c>
      <c r="M274" s="2"/>
      <c r="N274" s="2" t="str">
        <f>IFERROR(__xludf.DUMMYFUNCTION("""COMPUTED_VALUE"""),"PATRS: OIL FILTER")</f>
        <v>PATRS: OIL FILTER</v>
      </c>
      <c r="O274" s="2" t="str">
        <f>IFERROR(__xludf.DUMMYFUNCTION("""COMPUTED_VALUE"""),"JIE-823")</f>
        <v>JIE-823</v>
      </c>
      <c r="P274" s="2"/>
      <c r="Q274" s="2"/>
      <c r="R274" s="74">
        <f>IFERROR(__xludf.DUMMYFUNCTION("""COMPUTED_VALUE"""),45468.0)</f>
        <v>45468</v>
      </c>
      <c r="S274" s="2" t="str">
        <f>IFERROR(__xludf.DUMMYFUNCTION("""COMPUTED_VALUE"""),"JHP/ACS")</f>
        <v>JHP/ACS</v>
      </c>
      <c r="T274" s="73">
        <f>IFERROR(__xludf.DUMMYFUNCTION("""COMPUTED_VALUE"""),2837.5)</f>
        <v>2837.5</v>
      </c>
      <c r="U274" s="73" t="str">
        <f>IFERROR(__xludf.DUMMYFUNCTION("""COMPUTED_VALUE""")," REMITTED ")</f>
        <v>REMITTED</v>
      </c>
      <c r="V274" s="2"/>
      <c r="W274" s="2"/>
      <c r="X274" s="2">
        <f>IFERROR(__xludf.DUMMYFUNCTION("""COMPUTED_VALUE"""),1122.0)</f>
        <v>1122</v>
      </c>
      <c r="Y274" s="2"/>
      <c r="Z274" s="2"/>
      <c r="AA274" s="2"/>
      <c r="AB274" s="2"/>
      <c r="AC274" s="2"/>
      <c r="AD274" s="2"/>
      <c r="AE274" s="2"/>
      <c r="AF274" s="2"/>
      <c r="AG274" s="2"/>
      <c r="AH274" s="2"/>
      <c r="AI274" s="2"/>
      <c r="AJ274" s="2" t="str">
        <f>IFERROR(__xludf.DUMMYFUNCTION("""COMPUTED_VALUE"""),"Sayagaden")</f>
        <v>Sayagaden</v>
      </c>
      <c r="AK274" s="2" t="str">
        <f>IFERROR(__xludf.DUMMYFUNCTION("""COMPUTED_VALUE"""),"Cabugao")</f>
        <v>Cabugao</v>
      </c>
      <c r="AL274" s="2" t="str">
        <f>IFERROR(__xludf.DUMMYFUNCTION("""COMPUTED_VALUE"""),"Ilocos Sur")</f>
        <v>Ilocos Sur</v>
      </c>
      <c r="AM274" s="2">
        <f>IFERROR(__xludf.DUMMYFUNCTION("""COMPUTED_VALUE"""),1.0)</f>
        <v>1</v>
      </c>
      <c r="AN274" s="2" t="str">
        <f>IFERROR(__xludf.DUMMYFUNCTION("""COMPUTED_VALUE"""),"RCEF 23-09-21 Rebidding")</f>
        <v>RCEF 23-09-21 Rebidding</v>
      </c>
      <c r="AO274" s="2">
        <f>IFERROR(__xludf.DUMMYFUNCTION("""COMPUTED_VALUE"""),2.0)</f>
        <v>2</v>
      </c>
      <c r="AP274" s="2"/>
      <c r="AQ274" s="2"/>
      <c r="AR274" s="2"/>
      <c r="AS274" s="2"/>
      <c r="AT274" s="2"/>
      <c r="AU274" s="2"/>
      <c r="AV274" s="2"/>
      <c r="AW274" s="2"/>
      <c r="AX274" s="2"/>
      <c r="AY274" s="2"/>
      <c r="AZ274" s="2"/>
      <c r="BA274" s="2"/>
      <c r="BB274" s="2"/>
    </row>
    <row r="275">
      <c r="A275" s="2">
        <f>IFERROR(__xludf.DUMMYFUNCTION("""COMPUTED_VALUE"""),271.0)</f>
        <v>271</v>
      </c>
      <c r="B275" s="2" t="str">
        <f>IFERROR(__xludf.DUMMYFUNCTION("""COMPUTED_VALUE"""),"COMPLETED")</f>
        <v>COMPLETED</v>
      </c>
      <c r="C275" s="74">
        <f>IFERROR(__xludf.DUMMYFUNCTION("""COMPUTED_VALUE"""),45467.0)</f>
        <v>45467</v>
      </c>
      <c r="D275" s="71" t="str">
        <f>IFERROR(__xludf.DUMMYFUNCTION("""COMPUTED_VALUE"""),"NEW PLANAS AGRICULTURE")</f>
        <v>NEW PLANAS AGRICULTURE</v>
      </c>
      <c r="E275" s="71" t="str">
        <f>IFERROR(__xludf.DUMMYFUNCTION("""COMPUTED_VALUE"""),"PLANAS, PORAC, PAMPANGA")</f>
        <v>PLANAS, PORAC, PAMPANGA</v>
      </c>
      <c r="F275" s="2" t="str">
        <f>IFERROR(__xludf.DUMMYFUNCTION("""COMPUTED_VALUE"""),"AMOR P. MALLARI")</f>
        <v>AMOR P. MALLARI</v>
      </c>
      <c r="G275" s="2">
        <f>IFERROR(__xludf.DUMMYFUNCTION("""COMPUTED_VALUE"""),9.093105708E9)</f>
        <v>9093105708</v>
      </c>
      <c r="H275" s="2">
        <f>IFERROR(__xludf.DUMMYFUNCTION("""COMPUTED_VALUE"""),105.0)</f>
        <v>105</v>
      </c>
      <c r="I275" s="72" t="str">
        <f>IFERROR(__xludf.DUMMYFUNCTION("""COMPUTED_VALUE"""),"REPAIR - TRACTOR")</f>
        <v>REPAIR - TRACTOR</v>
      </c>
      <c r="J275" s="72" t="str">
        <f>IFERROR(__xludf.DUMMYFUNCTION("""COMPUTED_VALUE"""),"Radiator")</f>
        <v>Radiator</v>
      </c>
      <c r="K275" s="72" t="str">
        <f>IFERROR(__xludf.DUMMYFUNCTION("""COMPUTED_VALUE"""),"JVV: BUMULWAK ANG TOP PLASTIC NG RADIATOR
DSD:6/27/24: BITAK PO YUNG UPPER PARTS NG RADIATOR, KAYA BINAKLAS PO NAMIN AT KINUHA")</f>
        <v>JVV: BUMULWAK ANG TOP PLASTIC NG RADIATOR
DSD:6/27/24: BITAK PO YUNG UPPER PARTS NG RADIATOR, KAYA BINAKLAS PO NAMIN AT KINUHA</v>
      </c>
      <c r="L275" s="72" t="str">
        <f>IFERROR(__xludf.DUMMYFUNCTION("""COMPUTED_VALUE"""),"ACS: REPLACED RADIATOR ")</f>
        <v>ACS: REPLACED RADIATOR </v>
      </c>
      <c r="M275" s="2"/>
      <c r="N275" s="2" t="str">
        <f>IFERROR(__xludf.DUMMYFUNCTION("""COMPUTED_VALUE"""),"RADIATOR ASSY")</f>
        <v>RADIATOR ASSY</v>
      </c>
      <c r="O275" s="2" t="str">
        <f>IFERROR(__xludf.DUMMYFUNCTION("""COMPUTED_VALUE"""),"JIE-830")</f>
        <v>JIE-830</v>
      </c>
      <c r="P275" s="2"/>
      <c r="Q275" s="2"/>
      <c r="R275" s="74">
        <f>IFERROR(__xludf.DUMMYFUNCTION("""COMPUTED_VALUE"""),45471.0)</f>
        <v>45471</v>
      </c>
      <c r="S275" s="2" t="str">
        <f>IFERROR(__xludf.DUMMYFUNCTION("""COMPUTED_VALUE"""),"ACS/JHP")</f>
        <v>ACS/JHP</v>
      </c>
      <c r="T275" s="73" t="str">
        <f>IFERROR(__xludf.DUMMYFUNCTION("""COMPUTED_VALUE""")," N/A ")</f>
        <v>N/A</v>
      </c>
      <c r="U275" s="73" t="str">
        <f>IFERROR(__xludf.DUMMYFUNCTION("""COMPUTED_VALUE""")," NO CHARGE ")</f>
        <v>NO CHARGE</v>
      </c>
      <c r="V275" s="2"/>
      <c r="W275" s="2" t="str">
        <f>IFERROR(__xludf.DUMMYFUNCTION("""COMPUTED_VALUE"""),"N/A")</f>
        <v>N/A</v>
      </c>
      <c r="X275" s="2" t="str">
        <f>IFERROR(__xludf.DUMMYFUNCTION("""COMPUTED_VALUE"""),"N/A")</f>
        <v>N/A</v>
      </c>
      <c r="Y275" s="2"/>
      <c r="Z275" s="2"/>
      <c r="AA275" s="2"/>
      <c r="AB275" s="2"/>
      <c r="AC275" s="2" t="str">
        <f>IFERROR(__xludf.DUMMYFUNCTION("""COMPUTED_VALUE"""),"Y")</f>
        <v>Y</v>
      </c>
      <c r="AD275" s="2"/>
      <c r="AE275" s="2"/>
      <c r="AF275" s="2"/>
      <c r="AG275" s="2"/>
      <c r="AH275" s="2"/>
      <c r="AI275" s="2"/>
      <c r="AJ275" s="2" t="str">
        <f>IFERROR(__xludf.DUMMYFUNCTION("""COMPUTED_VALUE"""),"Planas")</f>
        <v>Planas</v>
      </c>
      <c r="AK275" s="2" t="str">
        <f>IFERROR(__xludf.DUMMYFUNCTION("""COMPUTED_VALUE"""),"Porac")</f>
        <v>Porac</v>
      </c>
      <c r="AL275" s="2" t="str">
        <f>IFERROR(__xludf.DUMMYFUNCTION("""COMPUTED_VALUE"""),"Pampanga")</f>
        <v>Pampanga</v>
      </c>
      <c r="AM275" s="2">
        <f>IFERROR(__xludf.DUMMYFUNCTION("""COMPUTED_VALUE"""),3.0)</f>
        <v>3</v>
      </c>
      <c r="AN275" s="2" t="str">
        <f>IFERROR(__xludf.DUMMYFUNCTION("""COMPUTED_VALUE"""),"RCEF 23-09-21 Rebidding")</f>
        <v>RCEF 23-09-21 Rebidding</v>
      </c>
      <c r="AO275" s="2">
        <f>IFERROR(__xludf.DUMMYFUNCTION("""COMPUTED_VALUE"""),9.0)</f>
        <v>9</v>
      </c>
      <c r="AP275" s="2"/>
      <c r="AQ275" s="2"/>
      <c r="AR275" s="2"/>
      <c r="AS275" s="2"/>
      <c r="AT275" s="2"/>
      <c r="AU275" s="2"/>
      <c r="AV275" s="2"/>
      <c r="AW275" s="2"/>
      <c r="AX275" s="2"/>
      <c r="AY275" s="2"/>
      <c r="AZ275" s="2"/>
      <c r="BA275" s="2"/>
      <c r="BB275" s="2"/>
    </row>
    <row r="276">
      <c r="A276" s="2">
        <f>IFERROR(__xludf.DUMMYFUNCTION("""COMPUTED_VALUE"""),272.0)</f>
        <v>272</v>
      </c>
      <c r="B276" s="2" t="str">
        <f>IFERROR(__xludf.DUMMYFUNCTION("""COMPUTED_VALUE"""),"COMPLETED")</f>
        <v>COMPLETED</v>
      </c>
      <c r="C276" s="74">
        <f>IFERROR(__xludf.DUMMYFUNCTION("""COMPUTED_VALUE"""),45467.0)</f>
        <v>45467</v>
      </c>
      <c r="D276" s="71" t="str">
        <f>IFERROR(__xludf.DUMMYFUNCTION("""COMPUTED_VALUE"""),"MULANAY RICE FARMERS FEDERATION")</f>
        <v>MULANAY RICE FARMERS FEDERATION</v>
      </c>
      <c r="E276" s="71" t="str">
        <f>IFERROR(__xludf.DUMMYFUNCTION("""COMPUTED_VALUE"""),"Barangay 1, Malunay, Quezon")</f>
        <v>Barangay 1, Malunay, Quezon</v>
      </c>
      <c r="F276" s="2" t="str">
        <f>IFERROR(__xludf.DUMMYFUNCTION("""COMPUTED_VALUE"""),"JOHNNY DIGNOSANTO")</f>
        <v>JOHNNY DIGNOSANTO</v>
      </c>
      <c r="G276" s="2">
        <f>IFERROR(__xludf.DUMMYFUNCTION("""COMPUTED_VALUE"""),9.306260278E9)</f>
        <v>9306260278</v>
      </c>
      <c r="H276" s="2">
        <f>IFERROR(__xludf.DUMMYFUNCTION("""COMPUTED_VALUE"""),50.0)</f>
        <v>50</v>
      </c>
      <c r="I276" s="72" t="str">
        <f>IFERROR(__xludf.DUMMYFUNCTION("""COMPUTED_VALUE"""),"PMS")</f>
        <v>PMS</v>
      </c>
      <c r="J276" s="72" t="str">
        <f>IFERROR(__xludf.DUMMYFUNCTION("""COMPUTED_VALUE"""),"PMS")</f>
        <v>PMS</v>
      </c>
      <c r="K276" s="72" t="str">
        <f>IFERROR(__xludf.DUMMYFUNCTION("""COMPUTED_VALUE"""),"ERP: FIRST PMS: SELF PMS")</f>
        <v>ERP: FIRST PMS: SELF PMS</v>
      </c>
      <c r="L276" s="72" t="str">
        <f>IFERROR(__xludf.DUMMYFUNCTION("""COMPUTED_VALUE"""),"SEND AGREEMENT:FB:JOHNNY DIGNOSANTO: AGREEMENT SENT")</f>
        <v>SEND AGREEMENT:FB:JOHNNY DIGNOSANTO: AGREEMENT SENT</v>
      </c>
      <c r="M276" s="2"/>
      <c r="N276" s="2"/>
      <c r="O276" s="2" t="str">
        <f>IFERROR(__xludf.DUMMYFUNCTION("""COMPUTED_VALUE"""),"N/A")</f>
        <v>N/A</v>
      </c>
      <c r="P276" s="2"/>
      <c r="Q276" s="2"/>
      <c r="R276" s="74">
        <f>IFERROR(__xludf.DUMMYFUNCTION("""COMPUTED_VALUE"""),45467.0)</f>
        <v>45467</v>
      </c>
      <c r="S276" s="2" t="str">
        <f>IFERROR(__xludf.DUMMYFUNCTION("""COMPUTED_VALUE"""),"MYKEE")</f>
        <v>MYKEE</v>
      </c>
      <c r="T276" s="73" t="str">
        <f>IFERROR(__xludf.DUMMYFUNCTION("""COMPUTED_VALUE""")," N/A ")</f>
        <v>N/A</v>
      </c>
      <c r="U276" s="73" t="str">
        <f>IFERROR(__xludf.DUMMYFUNCTION("""COMPUTED_VALUE""")," NO CHARGE ")</f>
        <v>NO CHARGE</v>
      </c>
      <c r="V276" s="2"/>
      <c r="W276" s="2" t="str">
        <f>IFERROR(__xludf.DUMMYFUNCTION("""COMPUTED_VALUE"""),"N/A")</f>
        <v>N/A</v>
      </c>
      <c r="X276" s="2" t="str">
        <f>IFERROR(__xludf.DUMMYFUNCTION("""COMPUTED_VALUE"""),"N/A")</f>
        <v>N/A</v>
      </c>
      <c r="Y276" s="2"/>
      <c r="Z276" s="2"/>
      <c r="AA276" s="2"/>
      <c r="AB276" s="2"/>
      <c r="AC276" s="2"/>
      <c r="AD276" s="2"/>
      <c r="AE276" s="2"/>
      <c r="AF276" s="2"/>
      <c r="AG276" s="2"/>
      <c r="AH276" s="2"/>
      <c r="AI276" s="2"/>
      <c r="AJ276" s="2" t="str">
        <f>IFERROR(__xludf.DUMMYFUNCTION("""COMPUTED_VALUE"""),"Barangay 1")</f>
        <v>Barangay 1</v>
      </c>
      <c r="AK276" s="2" t="str">
        <f>IFERROR(__xludf.DUMMYFUNCTION("""COMPUTED_VALUE"""),"Malunay")</f>
        <v>Malunay</v>
      </c>
      <c r="AL276" s="2" t="str">
        <f>IFERROR(__xludf.DUMMYFUNCTION("""COMPUTED_VALUE"""),"Quezon")</f>
        <v>Quezon</v>
      </c>
      <c r="AM276" s="2" t="str">
        <f>IFERROR(__xludf.DUMMYFUNCTION("""COMPUTED_VALUE"""),"4A")</f>
        <v>4A</v>
      </c>
      <c r="AN276" s="2" t="str">
        <f>IFERROR(__xludf.DUMMYFUNCTION("""COMPUTED_VALUE"""),"RCEF 23-08-20 Rebidding")</f>
        <v>RCEF 23-08-20 Rebidding</v>
      </c>
      <c r="AO276" s="2">
        <f>IFERROR(__xludf.DUMMYFUNCTION("""COMPUTED_VALUE"""),1.0)</f>
        <v>1</v>
      </c>
      <c r="AP276" s="2"/>
      <c r="AQ276" s="2"/>
      <c r="AR276" s="2"/>
      <c r="AS276" s="2"/>
      <c r="AT276" s="2"/>
      <c r="AU276" s="2"/>
      <c r="AV276" s="2"/>
      <c r="AW276" s="2"/>
      <c r="AX276" s="2"/>
      <c r="AY276" s="2"/>
      <c r="AZ276" s="2"/>
      <c r="BA276" s="2"/>
      <c r="BB276" s="2"/>
    </row>
    <row r="277">
      <c r="A277" s="2">
        <f>IFERROR(__xludf.DUMMYFUNCTION("""COMPUTED_VALUE"""),273.0)</f>
        <v>273</v>
      </c>
      <c r="B277" s="2" t="str">
        <f>IFERROR(__xludf.DUMMYFUNCTION("""COMPUTED_VALUE"""),"COMPLETED")</f>
        <v>COMPLETED</v>
      </c>
      <c r="C277" s="74">
        <f>IFERROR(__xludf.DUMMYFUNCTION("""COMPUTED_VALUE"""),45467.0)</f>
        <v>45467</v>
      </c>
      <c r="D277" s="71" t="str">
        <f>IFERROR(__xludf.DUMMYFUNCTION("""COMPUTED_VALUE"""),"ORTIZ BUMA-A IRRIGATORS ASSOCIATION, INC.")</f>
        <v>ORTIZ BUMA-A IRRIGATORS ASSOCIATION, INC.</v>
      </c>
      <c r="E277" s="71" t="str">
        <f>IFERROR(__xludf.DUMMYFUNCTION("""COMPUTED_VALUE"""),"Samonte (Pob.), Quezon, ISABELA")</f>
        <v>Samonte (Pob.), Quezon, ISABELA</v>
      </c>
      <c r="F277" s="2"/>
      <c r="G277" s="2">
        <f>IFERROR(__xludf.DUMMYFUNCTION("""COMPUTED_VALUE"""),9.756593894E9)</f>
        <v>9756593894</v>
      </c>
      <c r="H277" s="2">
        <f>IFERROR(__xludf.DUMMYFUNCTION("""COMPUTED_VALUE"""),61.3)</f>
        <v>61.3</v>
      </c>
      <c r="I277" s="72" t="str">
        <f>IFERROR(__xludf.DUMMYFUNCTION("""COMPUTED_VALUE"""),"REPAIR - TRACTOR")</f>
        <v>REPAIR - TRACTOR</v>
      </c>
      <c r="J277" s="72" t="str">
        <f>IFERROR(__xludf.DUMMYFUNCTION("""COMPUTED_VALUE"""),"Electrical - Fuse Box")</f>
        <v>Electrical - Fuse Box</v>
      </c>
      <c r="K277" s="72" t="str">
        <f>IFERROR(__xludf.DUMMYFUNCTION("""COMPUTED_VALUE"""),"ERP: NEED  REPLACEMENT NG RELAY AT SPOTLIGHT
CFG: 7/10/24: NABIGAY NA PO NMAIN YUNG RELAY, KAYA LANG PO HINDI NAMIN NAKABIT KASI GINAGAMIT YUNG UNIT SA BUKID, AT SINABI KO PO DIN NA TO FOLLOW YUNG SPOTLIGHT")</f>
        <v>ERP: NEED  REPLACEMENT NG RELAY AT SPOTLIGHT
CFG: 7/10/24: NABIGAY NA PO NMAIN YUNG RELAY, KAYA LANG PO HINDI NAMIN NAKABIT KASI GINAGAMIT YUNG UNIT SA BUKID, AT SINABI KO PO DIN NA TO FOLLOW YUNG SPOTLIGHT</v>
      </c>
      <c r="L277" s="72" t="str">
        <f>IFERROR(__xludf.DUMMYFUNCTION("""COMPUTED_VALUE"""),"CFG: SILA NA ANG BUMILI NG SPOTLIGHT")</f>
        <v>CFG: SILA NA ANG BUMILI NG SPOTLIGHT</v>
      </c>
      <c r="M277" s="2"/>
      <c r="N277" s="2" t="str">
        <f>IFERROR(__xludf.DUMMYFUNCTION("""COMPUTED_VALUE"""),"PARTS USED: RELAY")</f>
        <v>PARTS USED: RELAY</v>
      </c>
      <c r="O277" s="2" t="str">
        <f>IFERROR(__xludf.DUMMYFUNCTION("""COMPUTED_VALUE"""),"JIE-934")</f>
        <v>JIE-934</v>
      </c>
      <c r="P277" s="2"/>
      <c r="Q277" s="2"/>
      <c r="R277" s="74">
        <f>IFERROR(__xludf.DUMMYFUNCTION("""COMPUTED_VALUE"""),45520.0)</f>
        <v>45520</v>
      </c>
      <c r="S277" s="2" t="str">
        <f>IFERROR(__xludf.DUMMYFUNCTION("""COMPUTED_VALUE"""),"CFG/DSD")</f>
        <v>CFG/DSD</v>
      </c>
      <c r="T277" s="2"/>
      <c r="U277" s="73" t="str">
        <f>IFERROR(__xludf.DUMMYFUNCTION("""COMPUTED_VALUE""")," NO CHARGE ")</f>
        <v>NO CHARGE</v>
      </c>
      <c r="V277" s="2"/>
      <c r="W277" s="2" t="str">
        <f>IFERROR(__xludf.DUMMYFUNCTION("""COMPUTED_VALUE"""),"N/A")</f>
        <v>N/A</v>
      </c>
      <c r="X277" s="2" t="str">
        <f>IFERROR(__xludf.DUMMYFUNCTION("""COMPUTED_VALUE"""),"N/A")</f>
        <v>N/A</v>
      </c>
      <c r="Y277" s="2"/>
      <c r="Z277" s="2"/>
      <c r="AA277" s="2"/>
      <c r="AB277" s="2"/>
      <c r="AC277" s="2"/>
      <c r="AD277" s="2"/>
      <c r="AE277" s="2"/>
      <c r="AF277" s="2"/>
      <c r="AG277" s="2"/>
      <c r="AH277" s="2"/>
      <c r="AI277" s="2"/>
      <c r="AJ277" s="2" t="str">
        <f>IFERROR(__xludf.DUMMYFUNCTION("""COMPUTED_VALUE"""),"Samonte (Pob.)")</f>
        <v>Samonte (Pob.)</v>
      </c>
      <c r="AK277" s="2" t="str">
        <f>IFERROR(__xludf.DUMMYFUNCTION("""COMPUTED_VALUE"""),"Quezon")</f>
        <v>Quezon</v>
      </c>
      <c r="AL277" s="2" t="str">
        <f>IFERROR(__xludf.DUMMYFUNCTION("""COMPUTED_VALUE"""),"Isabela")</f>
        <v>Isabela</v>
      </c>
      <c r="AM277" s="2">
        <f>IFERROR(__xludf.DUMMYFUNCTION("""COMPUTED_VALUE"""),2.0)</f>
        <v>2</v>
      </c>
      <c r="AN277" s="2" t="str">
        <f>IFERROR(__xludf.DUMMYFUNCTION("""COMPUTED_VALUE"""),"RCEF 23-09-21 Rebidding")</f>
        <v>RCEF 23-09-21 Rebidding</v>
      </c>
      <c r="AO277" s="2">
        <f>IFERROR(__xludf.DUMMYFUNCTION("""COMPUTED_VALUE"""),9.0)</f>
        <v>9</v>
      </c>
      <c r="AP277" s="2"/>
      <c r="AQ277" s="2"/>
      <c r="AR277" s="2"/>
      <c r="AS277" s="2"/>
      <c r="AT277" s="2"/>
      <c r="AU277" s="2"/>
      <c r="AV277" s="2"/>
      <c r="AW277" s="2"/>
      <c r="AX277" s="2"/>
      <c r="AY277" s="2"/>
      <c r="AZ277" s="2"/>
      <c r="BA277" s="2"/>
      <c r="BB277" s="2"/>
    </row>
    <row r="278">
      <c r="A278" s="2">
        <f>IFERROR(__xludf.DUMMYFUNCTION("""COMPUTED_VALUE"""),274.0)</f>
        <v>274</v>
      </c>
      <c r="B278" s="2" t="str">
        <f>IFERROR(__xludf.DUMMYFUNCTION("""COMPUTED_VALUE"""),"COMPLETED")</f>
        <v>COMPLETED</v>
      </c>
      <c r="C278" s="74">
        <f>IFERROR(__xludf.DUMMYFUNCTION("""COMPUTED_VALUE"""),45468.0)</f>
        <v>45468</v>
      </c>
      <c r="D278" s="71" t="str">
        <f>IFERROR(__xludf.DUMMYFUNCTION("""COMPUTED_VALUE"""),"RANG-AY FARMERS IRRIGATORS' ASSOCIATION, INC.")</f>
        <v>RANG-AY FARMERS IRRIGATORS' ASSOCIATION, INC.</v>
      </c>
      <c r="E278" s="71" t="str">
        <f>IFERROR(__xludf.DUMMYFUNCTION("""COMPUTED_VALUE"""),"Arcon, Tumauini, ISABELA")</f>
        <v>Arcon, Tumauini, ISABELA</v>
      </c>
      <c r="F278" s="2" t="str">
        <f>IFERROR(__xludf.DUMMYFUNCTION("""COMPUTED_VALUE"""),"ARNEL B. LOZANO")</f>
        <v>ARNEL B. LOZANO</v>
      </c>
      <c r="G278" s="2">
        <f>IFERROR(__xludf.DUMMYFUNCTION("""COMPUTED_VALUE"""),9.368701007E9)</f>
        <v>9368701007</v>
      </c>
      <c r="H278" s="2">
        <f>IFERROR(__xludf.DUMMYFUNCTION("""COMPUTED_VALUE"""),50.0)</f>
        <v>50</v>
      </c>
      <c r="I278" s="72" t="str">
        <f>IFERROR(__xludf.DUMMYFUNCTION("""COMPUTED_VALUE"""),"PMS")</f>
        <v>PMS</v>
      </c>
      <c r="J278" s="72" t="str">
        <f>IFERROR(__xludf.DUMMYFUNCTION("""COMPUTED_VALUE"""),"PMS")</f>
        <v>PMS</v>
      </c>
      <c r="K278" s="72" t="str">
        <f>IFERROR(__xludf.DUMMYFUNCTION("""COMPUTED_VALUE"""),"ERP: FIRST PMS")</f>
        <v>ERP: FIRST PMS</v>
      </c>
      <c r="L278" s="72" t="str">
        <f>IFERROR(__xludf.DUMMYFUNCTION("""COMPUTED_VALUE"""),"CFG: DONE CHANGE OIL.")</f>
        <v>CFG: DONE CHANGE OIL.</v>
      </c>
      <c r="M278" s="2"/>
      <c r="N278" s="2"/>
      <c r="O278" s="2" t="str">
        <f>IFERROR(__xludf.DUMMYFUNCTION("""COMPUTED_VALUE"""),"JIE-828")</f>
        <v>JIE-828</v>
      </c>
      <c r="P278" s="2"/>
      <c r="Q278" s="2"/>
      <c r="R278" s="74">
        <f>IFERROR(__xludf.DUMMYFUNCTION("""COMPUTED_VALUE"""),45470.0)</f>
        <v>45470</v>
      </c>
      <c r="S278" s="2" t="str">
        <f>IFERROR(__xludf.DUMMYFUNCTION("""COMPUTED_VALUE"""),"CFG/DRM")</f>
        <v>CFG/DRM</v>
      </c>
      <c r="T278" s="73" t="str">
        <f>IFERROR(__xludf.DUMMYFUNCTION("""COMPUTED_VALUE""")," N/A ")</f>
        <v>N/A</v>
      </c>
      <c r="U278" s="73" t="str">
        <f>IFERROR(__xludf.DUMMYFUNCTION("""COMPUTED_VALUE""")," NO CHARGE ")</f>
        <v>NO CHARGE</v>
      </c>
      <c r="V278" s="2"/>
      <c r="W278" s="2" t="str">
        <f>IFERROR(__xludf.DUMMYFUNCTION("""COMPUTED_VALUE"""),"N/A")</f>
        <v>N/A</v>
      </c>
      <c r="X278" s="2" t="str">
        <f>IFERROR(__xludf.DUMMYFUNCTION("""COMPUTED_VALUE"""),"N/A")</f>
        <v>N/A</v>
      </c>
      <c r="Y278" s="2"/>
      <c r="Z278" s="2"/>
      <c r="AA278" s="2"/>
      <c r="AB278" s="2"/>
      <c r="AC278" s="2"/>
      <c r="AD278" s="2"/>
      <c r="AE278" s="2"/>
      <c r="AF278" s="2"/>
      <c r="AG278" s="2"/>
      <c r="AH278" s="2"/>
      <c r="AI278" s="2"/>
      <c r="AJ278" s="2" t="str">
        <f>IFERROR(__xludf.DUMMYFUNCTION("""COMPUTED_VALUE"""),"Arcon")</f>
        <v>Arcon</v>
      </c>
      <c r="AK278" s="2" t="str">
        <f>IFERROR(__xludf.DUMMYFUNCTION("""COMPUTED_VALUE"""),"Tumauini")</f>
        <v>Tumauini</v>
      </c>
      <c r="AL278" s="2" t="str">
        <f>IFERROR(__xludf.DUMMYFUNCTION("""COMPUTED_VALUE"""),"Isabela")</f>
        <v>Isabela</v>
      </c>
      <c r="AM278" s="2">
        <f>IFERROR(__xludf.DUMMYFUNCTION("""COMPUTED_VALUE"""),2.0)</f>
        <v>2</v>
      </c>
      <c r="AN278" s="2" t="str">
        <f>IFERROR(__xludf.DUMMYFUNCTION("""COMPUTED_VALUE"""),"RCEF 23-09-21 Rebidding")</f>
        <v>RCEF 23-09-21 Rebidding</v>
      </c>
      <c r="AO278" s="2">
        <f>IFERROR(__xludf.DUMMYFUNCTION("""COMPUTED_VALUE"""),1.0)</f>
        <v>1</v>
      </c>
      <c r="AP278" s="2"/>
      <c r="AQ278" s="2"/>
      <c r="AR278" s="2"/>
      <c r="AS278" s="2"/>
      <c r="AT278" s="2"/>
      <c r="AU278" s="2"/>
      <c r="AV278" s="2"/>
      <c r="AW278" s="2"/>
      <c r="AX278" s="2"/>
      <c r="AY278" s="2"/>
      <c r="AZ278" s="2"/>
      <c r="BA278" s="2"/>
      <c r="BB278" s="2"/>
    </row>
    <row r="279">
      <c r="A279" s="2">
        <f>IFERROR(__xludf.DUMMYFUNCTION("""COMPUTED_VALUE"""),275.0)</f>
        <v>275</v>
      </c>
      <c r="B279" s="2" t="str">
        <f>IFERROR(__xludf.DUMMYFUNCTION("""COMPUTED_VALUE"""),"COMPLETED")</f>
        <v>COMPLETED</v>
      </c>
      <c r="C279" s="74">
        <f>IFERROR(__xludf.DUMMYFUNCTION("""COMPUTED_VALUE"""),45468.0)</f>
        <v>45468</v>
      </c>
      <c r="D279" s="71" t="str">
        <f>IFERROR(__xludf.DUMMYFUNCTION("""COMPUTED_VALUE"""),"RANG-AY FARMERS IRRIGATORS' ASSOCIATION, INC.")</f>
        <v>RANG-AY FARMERS IRRIGATORS' ASSOCIATION, INC.</v>
      </c>
      <c r="E279" s="71" t="str">
        <f>IFERROR(__xludf.DUMMYFUNCTION("""COMPUTED_VALUE"""),"Arcon, Tumauini, ISABELA")</f>
        <v>Arcon, Tumauini, ISABELA</v>
      </c>
      <c r="F279" s="2" t="str">
        <f>IFERROR(__xludf.DUMMYFUNCTION("""COMPUTED_VALUE"""),"ARNEL B. LOZANO")</f>
        <v>ARNEL B. LOZANO</v>
      </c>
      <c r="G279" s="2">
        <f>IFERROR(__xludf.DUMMYFUNCTION("""COMPUTED_VALUE"""),9.368701007E9)</f>
        <v>9368701007</v>
      </c>
      <c r="H279" s="2">
        <f>IFERROR(__xludf.DUMMYFUNCTION("""COMPUTED_VALUE"""),50.0)</f>
        <v>50</v>
      </c>
      <c r="I279" s="72" t="str">
        <f>IFERROR(__xludf.DUMMYFUNCTION("""COMPUTED_VALUE"""),"REPAIR - DISC PLOW")</f>
        <v>REPAIR - DISC PLOW</v>
      </c>
      <c r="J279" s="72" t="str">
        <f>IFERROR(__xludf.DUMMYFUNCTION("""COMPUTED_VALUE"""),"Leak")</f>
        <v>Leak</v>
      </c>
      <c r="K279" s="72" t="str">
        <f>IFERROR(__xludf.DUMMYFUNCTION("""COMPUTED_VALUE"""),"ERP: LEAK SA DISC PLOW       
 CFG:6/27/24: SIRA PO ANG OIL SEALNG DISC PLOW OIL SEAL SIZE 45-85-12")</f>
        <v>ERP: LEAK SA DISC PLOW       
 CFG:6/27/24: SIRA PO ANG OIL SEALNG DISC PLOW OIL SEAL SIZE 45-85-12</v>
      </c>
      <c r="L279" s="72" t="str">
        <f>IFERROR(__xludf.DUMMYFUNCTION("""COMPUTED_VALUE"""),"CFG: DONE CHANGE OIL.
DSD: NAPALITAN NA PO NAMIN NG OIL SEAL, OK NA PO ANG UNIT.")</f>
        <v>CFG: DONE CHANGE OIL.
DSD: NAPALITAN NA PO NAMIN NG OIL SEAL, OK NA PO ANG UNIT.</v>
      </c>
      <c r="M279" s="2"/>
      <c r="N279" s="2" t="str">
        <f>IFERROR(__xludf.DUMMYFUNCTION("""COMPUTED_VALUE"""),"PARTS USED:1 OIL SEAL SIZE 45-85-12")</f>
        <v>PARTS USED:1 OIL SEAL SIZE 45-85-12</v>
      </c>
      <c r="O279" s="2" t="str">
        <f>IFERROR(__xludf.DUMMYFUNCTION("""COMPUTED_VALUE"""),"JIE-837")</f>
        <v>JIE-837</v>
      </c>
      <c r="P279" s="2"/>
      <c r="Q279" s="2"/>
      <c r="R279" s="74">
        <f>IFERROR(__xludf.DUMMYFUNCTION("""COMPUTED_VALUE"""),45482.0)</f>
        <v>45482</v>
      </c>
      <c r="S279" s="2" t="str">
        <f>IFERROR(__xludf.DUMMYFUNCTION("""COMPUTED_VALUE"""),"CFG/DSD")</f>
        <v>CFG/DSD</v>
      </c>
      <c r="T279" s="2"/>
      <c r="U279" s="73" t="str">
        <f>IFERROR(__xludf.DUMMYFUNCTION("""COMPUTED_VALUE""")," FOR CONFIRMATION ")</f>
        <v>FOR CONFIRMATION</v>
      </c>
      <c r="V279" s="2"/>
      <c r="W279" s="2"/>
      <c r="X279" s="2"/>
      <c r="Y279" s="2"/>
      <c r="Z279" s="2"/>
      <c r="AA279" s="2"/>
      <c r="AB279" s="2"/>
      <c r="AC279" s="2"/>
      <c r="AD279" s="2"/>
      <c r="AE279" s="2"/>
      <c r="AF279" s="2"/>
      <c r="AG279" s="2"/>
      <c r="AH279" s="2"/>
      <c r="AI279" s="2"/>
      <c r="AJ279" s="2" t="str">
        <f>IFERROR(__xludf.DUMMYFUNCTION("""COMPUTED_VALUE"""),"Arcon")</f>
        <v>Arcon</v>
      </c>
      <c r="AK279" s="2" t="str">
        <f>IFERROR(__xludf.DUMMYFUNCTION("""COMPUTED_VALUE"""),"Tumauini")</f>
        <v>Tumauini</v>
      </c>
      <c r="AL279" s="2" t="str">
        <f>IFERROR(__xludf.DUMMYFUNCTION("""COMPUTED_VALUE"""),"Isabela")</f>
        <v>Isabela</v>
      </c>
      <c r="AM279" s="2">
        <f>IFERROR(__xludf.DUMMYFUNCTION("""COMPUTED_VALUE"""),2.0)</f>
        <v>2</v>
      </c>
      <c r="AN279" s="2" t="str">
        <f>IFERROR(__xludf.DUMMYFUNCTION("""COMPUTED_VALUE"""),"RCEF 23-09-21 Rebidding")</f>
        <v>RCEF 23-09-21 Rebidding</v>
      </c>
      <c r="AO279" s="2">
        <f>IFERROR(__xludf.DUMMYFUNCTION("""COMPUTED_VALUE"""),1.0)</f>
        <v>1</v>
      </c>
      <c r="AP279" s="2"/>
      <c r="AQ279" s="2"/>
      <c r="AR279" s="2"/>
      <c r="AS279" s="2"/>
      <c r="AT279" s="2"/>
      <c r="AU279" s="2"/>
      <c r="AV279" s="2"/>
      <c r="AW279" s="2"/>
      <c r="AX279" s="2"/>
      <c r="AY279" s="2"/>
      <c r="AZ279" s="2"/>
      <c r="BA279" s="2"/>
      <c r="BB279" s="2"/>
    </row>
    <row r="280">
      <c r="A280" s="2">
        <f>IFERROR(__xludf.DUMMYFUNCTION("""COMPUTED_VALUE"""),276.0)</f>
        <v>276</v>
      </c>
      <c r="B280" s="2" t="str">
        <f>IFERROR(__xludf.DUMMYFUNCTION("""COMPUTED_VALUE"""),"COMPLETED")</f>
        <v>COMPLETED</v>
      </c>
      <c r="C280" s="74">
        <f>IFERROR(__xludf.DUMMYFUNCTION("""COMPUTED_VALUE"""),45468.0)</f>
        <v>45468</v>
      </c>
      <c r="D280" s="71" t="str">
        <f>IFERROR(__xludf.DUMMYFUNCTION("""COMPUTED_VALUE"""),"Lucena City Farmers Federation Multi-Purpose Cooperative")</f>
        <v>Lucena City Farmers Federation Multi-Purpose Cooperative</v>
      </c>
      <c r="E280" s="71" t="str">
        <f>IFERROR(__xludf.DUMMYFUNCTION("""COMPUTED_VALUE"""),"Salinas, Lucena City, Quezon")</f>
        <v>Salinas, Lucena City, Quezon</v>
      </c>
      <c r="F280" s="2" t="str">
        <f>IFERROR(__xludf.DUMMYFUNCTION("""COMPUTED_VALUE"""),"ILDEFONSO FORMALEJO")</f>
        <v>ILDEFONSO FORMALEJO</v>
      </c>
      <c r="G280" s="2">
        <f>IFERROR(__xludf.DUMMYFUNCTION("""COMPUTED_VALUE"""),9.300519773E9)</f>
        <v>9300519773</v>
      </c>
      <c r="H280" s="2">
        <f>IFERROR(__xludf.DUMMYFUNCTION("""COMPUTED_VALUE"""),17.5)</f>
        <v>17.5</v>
      </c>
      <c r="I280" s="72" t="str">
        <f>IFERROR(__xludf.DUMMYFUNCTION("""COMPUTED_VALUE"""),"REPAIR - TRACTOR")</f>
        <v>REPAIR - TRACTOR</v>
      </c>
      <c r="J280" s="72" t="str">
        <f>IFERROR(__xludf.DUMMYFUNCTION("""COMPUTED_VALUE"""),"Transmission - Clutch")</f>
        <v>Transmission - Clutch</v>
      </c>
      <c r="K280" s="72" t="str">
        <f>IFERROR(__xludf.DUMMYFUNCTION("""COMPUTED_VALUE"""),"JTT: CLUTCH LINING PROBLEM PARTS:CLUTCH DISC ASSY
RCG: 7/12/24: CLUTCH DISC PROBLEM
JTT: NAMAMAHALAN SI FARMER SA PRESYO")</f>
        <v>JTT: CLUTCH LINING PROBLEM PARTS:CLUTCH DISC ASSY
RCG: 7/12/24: CLUTCH DISC PROBLEM
JTT: NAMAMAHALAN SI FARMER SA PRESYO</v>
      </c>
      <c r="L280" s="72" t="str">
        <f>IFERROR(__xludf.DUMMYFUNCTION("""COMPUTED_VALUE"""),"JTT: REPLACED CLUTCH DISC ASSY ")</f>
        <v>JTT: REPLACED CLUTCH DISC ASSY </v>
      </c>
      <c r="M280" s="2"/>
      <c r="N280" s="2" t="str">
        <f>IFERROR(__xludf.DUMMYFUNCTION("""COMPUTED_VALUE"""),"PARTS USED: CLUTCH DISC ASSY ")</f>
        <v>PARTS USED: CLUTCH DISC ASSY </v>
      </c>
      <c r="O280" s="2">
        <f>IFERROR(__xludf.DUMMYFUNCTION("""COMPUTED_VALUE"""),852.0)</f>
        <v>852</v>
      </c>
      <c r="P280" s="2"/>
      <c r="Q280" s="2" t="str">
        <f>IFERROR(__xludf.DUMMYFUNCTION("""COMPUTED_VALUE"""),"Y")</f>
        <v>Y</v>
      </c>
      <c r="R280" s="74">
        <f>IFERROR(__xludf.DUMMYFUNCTION("""COMPUTED_VALUE"""),45545.0)</f>
        <v>45545</v>
      </c>
      <c r="S280" s="2" t="str">
        <f>IFERROR(__xludf.DUMMYFUNCTION("""COMPUTED_VALUE"""),"JTT/PPS")</f>
        <v>JTT/PPS</v>
      </c>
      <c r="T280" s="73" t="str">
        <f>IFERROR(__xludf.DUMMYFUNCTION("""COMPUTED_VALUE""")," N/A ")</f>
        <v>N/A</v>
      </c>
      <c r="U280" s="73" t="str">
        <f>IFERROR(__xludf.DUMMYFUNCTION("""COMPUTED_VALUE""")," NO CHARGE ")</f>
        <v>NO CHARGE</v>
      </c>
      <c r="V280" s="2"/>
      <c r="W280" s="2" t="str">
        <f>IFERROR(__xludf.DUMMYFUNCTION("""COMPUTED_VALUE"""),"N/A")</f>
        <v>N/A</v>
      </c>
      <c r="X280" s="2" t="str">
        <f>IFERROR(__xludf.DUMMYFUNCTION("""COMPUTED_VALUE"""),"N/A")</f>
        <v>N/A</v>
      </c>
      <c r="Y280" s="2"/>
      <c r="Z280" s="2"/>
      <c r="AA280" s="2"/>
      <c r="AB280" s="2"/>
      <c r="AC280" s="2" t="str">
        <f>IFERROR(__xludf.DUMMYFUNCTION("""COMPUTED_VALUE"""),"N")</f>
        <v>N</v>
      </c>
      <c r="AD280" s="2"/>
      <c r="AE280" s="2"/>
      <c r="AF280" s="2"/>
      <c r="AG280" s="2"/>
      <c r="AH280" s="2"/>
      <c r="AI280" s="2"/>
      <c r="AJ280" s="2" t="str">
        <f>IFERROR(__xludf.DUMMYFUNCTION("""COMPUTED_VALUE"""),"Salinas")</f>
        <v>Salinas</v>
      </c>
      <c r="AK280" s="2" t="str">
        <f>IFERROR(__xludf.DUMMYFUNCTION("""COMPUTED_VALUE"""),"Lucena City")</f>
        <v>Lucena City</v>
      </c>
      <c r="AL280" s="2" t="str">
        <f>IFERROR(__xludf.DUMMYFUNCTION("""COMPUTED_VALUE"""),"Quezon")</f>
        <v>Quezon</v>
      </c>
      <c r="AM280" s="2" t="str">
        <f>IFERROR(__xludf.DUMMYFUNCTION("""COMPUTED_VALUE"""),"4A")</f>
        <v>4A</v>
      </c>
      <c r="AN280" s="2" t="str">
        <f>IFERROR(__xludf.DUMMYFUNCTION("""COMPUTED_VALUE"""),"RCEF 23-08-20 Rebidding")</f>
        <v>RCEF 23-08-20 Rebidding</v>
      </c>
      <c r="AO280" s="2">
        <f>IFERROR(__xludf.DUMMYFUNCTION("""COMPUTED_VALUE"""),1.0)</f>
        <v>1</v>
      </c>
      <c r="AP280" s="2"/>
      <c r="AQ280" s="2"/>
      <c r="AR280" s="2"/>
      <c r="AS280" s="2"/>
      <c r="AT280" s="2"/>
      <c r="AU280" s="2"/>
      <c r="AV280" s="2"/>
      <c r="AW280" s="2"/>
      <c r="AX280" s="2"/>
      <c r="AY280" s="2"/>
      <c r="AZ280" s="2"/>
      <c r="BA280" s="2"/>
      <c r="BB280" s="2"/>
    </row>
    <row r="281">
      <c r="A281" s="2">
        <f>IFERROR(__xludf.DUMMYFUNCTION("""COMPUTED_VALUE"""),277.0)</f>
        <v>277</v>
      </c>
      <c r="B281" s="2" t="str">
        <f>IFERROR(__xludf.DUMMYFUNCTION("""COMPUTED_VALUE"""),"COMPLETED")</f>
        <v>COMPLETED</v>
      </c>
      <c r="C281" s="74">
        <f>IFERROR(__xludf.DUMMYFUNCTION("""COMPUTED_VALUE"""),45468.0)</f>
        <v>45468</v>
      </c>
      <c r="D281" s="71" t="str">
        <f>IFERROR(__xludf.DUMMYFUNCTION("""COMPUTED_VALUE"""),"KANDAMPOL FARMERS IRRIGATORS ASSOCIATION, INC.")</f>
        <v>KANDAMPOL FARMERS IRRIGATORS ASSOCIATION, INC.</v>
      </c>
      <c r="E281" s="71" t="str">
        <f>IFERROR(__xludf.DUMMYFUNCTION("""COMPUTED_VALUE"""),"Santa Isabel, Cabiao, NUEVA ECIJA")</f>
        <v>Santa Isabel, Cabiao, NUEVA ECIJA</v>
      </c>
      <c r="F281" s="2"/>
      <c r="G281" s="2"/>
      <c r="H281" s="2">
        <f>IFERROR(__xludf.DUMMYFUNCTION("""COMPUTED_VALUE"""),72.6)</f>
        <v>72.6</v>
      </c>
      <c r="I281" s="72" t="str">
        <f>IFERROR(__xludf.DUMMYFUNCTION("""COMPUTED_VALUE"""),"PMS")</f>
        <v>PMS</v>
      </c>
      <c r="J281" s="72" t="str">
        <f>IFERROR(__xludf.DUMMYFUNCTION("""COMPUTED_VALUE"""),"PMS")</f>
        <v>PMS</v>
      </c>
      <c r="K281" s="72" t="str">
        <f>IFERROR(__xludf.DUMMYFUNCTION("""COMPUTED_VALUE"""),"DSD:FIRST PMS")</f>
        <v>DSD:FIRST PMS</v>
      </c>
      <c r="L281" s="72" t="str">
        <f>IFERROR(__xludf.DUMMYFUNCTION("""COMPUTED_VALUE"""),"DSD: DONE CHANGE OIL")</f>
        <v>DSD: DONE CHANGE OIL</v>
      </c>
      <c r="M281" s="2"/>
      <c r="N281" s="2"/>
      <c r="O281" s="2" t="str">
        <f>IFERROR(__xludf.DUMMYFUNCTION("""COMPUTED_VALUE"""),"JIE-825")</f>
        <v>JIE-825</v>
      </c>
      <c r="P281" s="2"/>
      <c r="Q281" s="2"/>
      <c r="R281" s="74">
        <f>IFERROR(__xludf.DUMMYFUNCTION("""COMPUTED_VALUE"""),45469.0)</f>
        <v>45469</v>
      </c>
      <c r="S281" s="2" t="str">
        <f>IFERROR(__xludf.DUMMYFUNCTION("""COMPUTED_VALUE"""),"EGT/DSD/JVV/JDP")</f>
        <v>EGT/DSD/JVV/JDP</v>
      </c>
      <c r="T281" s="73" t="str">
        <f>IFERROR(__xludf.DUMMYFUNCTION("""COMPUTED_VALUE""")," N/A ")</f>
        <v>N/A</v>
      </c>
      <c r="U281" s="73" t="str">
        <f>IFERROR(__xludf.DUMMYFUNCTION("""COMPUTED_VALUE""")," NO CHARGE ")</f>
        <v>NO CHARGE</v>
      </c>
      <c r="V281" s="2"/>
      <c r="W281" s="2" t="str">
        <f>IFERROR(__xludf.DUMMYFUNCTION("""COMPUTED_VALUE"""),"N/A")</f>
        <v>N/A</v>
      </c>
      <c r="X281" s="2" t="str">
        <f>IFERROR(__xludf.DUMMYFUNCTION("""COMPUTED_VALUE"""),"N/A")</f>
        <v>N/A</v>
      </c>
      <c r="Y281" s="2"/>
      <c r="Z281" s="2"/>
      <c r="AA281" s="2"/>
      <c r="AB281" s="2"/>
      <c r="AC281" s="2"/>
      <c r="AD281" s="2" t="str">
        <f>IFERROR(__xludf.DUMMYFUNCTION("""COMPUTED_VALUE"""),"accomplishment+picture")</f>
        <v>accomplishment+picture</v>
      </c>
      <c r="AE281" s="2"/>
      <c r="AF281" s="2"/>
      <c r="AG281" s="2"/>
      <c r="AH281" s="2"/>
      <c r="AI281" s="2"/>
      <c r="AJ281" s="2" t="str">
        <f>IFERROR(__xludf.DUMMYFUNCTION("""COMPUTED_VALUE"""),"Santa Isabel")</f>
        <v>Santa Isabel</v>
      </c>
      <c r="AK281" s="2" t="str">
        <f>IFERROR(__xludf.DUMMYFUNCTION("""COMPUTED_VALUE"""),"Cabiao")</f>
        <v>Cabiao</v>
      </c>
      <c r="AL281" s="2" t="str">
        <f>IFERROR(__xludf.DUMMYFUNCTION("""COMPUTED_VALUE"""),"Nueva Ecija")</f>
        <v>Nueva Ecija</v>
      </c>
      <c r="AM281" s="2">
        <f>IFERROR(__xludf.DUMMYFUNCTION("""COMPUTED_VALUE"""),3.0)</f>
        <v>3</v>
      </c>
      <c r="AN281" s="2" t="str">
        <f>IFERROR(__xludf.DUMMYFUNCTION("""COMPUTED_VALUE"""),"RCEF 23-09-21 Rebidding")</f>
        <v>RCEF 23-09-21 Rebidding</v>
      </c>
      <c r="AO281" s="2">
        <f>IFERROR(__xludf.DUMMYFUNCTION("""COMPUTED_VALUE"""),3.0)</f>
        <v>3</v>
      </c>
      <c r="AP281" s="2"/>
      <c r="AQ281" s="2"/>
      <c r="AR281" s="2"/>
      <c r="AS281" s="2"/>
      <c r="AT281" s="2"/>
      <c r="AU281" s="2"/>
      <c r="AV281" s="2"/>
      <c r="AW281" s="2"/>
      <c r="AX281" s="2"/>
      <c r="AY281" s="2"/>
      <c r="AZ281" s="2"/>
      <c r="BA281" s="2"/>
      <c r="BB281" s="2"/>
    </row>
    <row r="282">
      <c r="A282" s="2">
        <f>IFERROR(__xludf.DUMMYFUNCTION("""COMPUTED_VALUE"""),278.0)</f>
        <v>278</v>
      </c>
      <c r="B282" s="2" t="str">
        <f>IFERROR(__xludf.DUMMYFUNCTION("""COMPUTED_VALUE"""),"COMPLETED")</f>
        <v>COMPLETED</v>
      </c>
      <c r="C282" s="74">
        <f>IFERROR(__xludf.DUMMYFUNCTION("""COMPUTED_VALUE"""),45469.0)</f>
        <v>45469</v>
      </c>
      <c r="D282" s="71" t="str">
        <f>IFERROR(__xludf.DUMMYFUNCTION("""COMPUTED_VALUE"""),"MALLALATANG GRANDE AND VILLADOR FARMERS ASSOCIATION")</f>
        <v>MALLALATANG GRANDE AND VILLADOR FARMERS ASSOCIATION</v>
      </c>
      <c r="E282" s="71" t="str">
        <f>IFERROR(__xludf.DUMMYFUNCTION("""COMPUTED_VALUE"""),"Villador, Reina Mercedes, ISABELA")</f>
        <v>Villador, Reina Mercedes, ISABELA</v>
      </c>
      <c r="F282" s="2" t="str">
        <f>IFERROR(__xludf.DUMMYFUNCTION("""COMPUTED_VALUE"""),"JONEL F. ACOB")</f>
        <v>JONEL F. ACOB</v>
      </c>
      <c r="G282" s="2">
        <f>IFERROR(__xludf.DUMMYFUNCTION("""COMPUTED_VALUE"""),9.654799576E9)</f>
        <v>9654799576</v>
      </c>
      <c r="H282" s="2">
        <f>IFERROR(__xludf.DUMMYFUNCTION("""COMPUTED_VALUE"""),51.3)</f>
        <v>51.3</v>
      </c>
      <c r="I282" s="72" t="str">
        <f>IFERROR(__xludf.DUMMYFUNCTION("""COMPUTED_VALUE"""),"PMS")</f>
        <v>PMS</v>
      </c>
      <c r="J282" s="72" t="str">
        <f>IFERROR(__xludf.DUMMYFUNCTION("""COMPUTED_VALUE"""),"PMS")</f>
        <v>PMS</v>
      </c>
      <c r="K282" s="72" t="str">
        <f>IFERROR(__xludf.DUMMYFUNCTION("""COMPUTED_VALUE"""),"CFG: FIRST PMS: SELF PMS")</f>
        <v>CFG: FIRST PMS: SELF PMS</v>
      </c>
      <c r="L282" s="72" t="str">
        <f>IFERROR(__xludf.DUMMYFUNCTION("""COMPUTED_VALUE"""),"SEND AGREEMENT: FB: Jonel Fontanilla Acob: AGREEMENT SENT")</f>
        <v>SEND AGREEMENT: FB: Jonel Fontanilla Acob: AGREEMENT SENT</v>
      </c>
      <c r="M282" s="2"/>
      <c r="N282" s="2"/>
      <c r="O282" s="2" t="str">
        <f>IFERROR(__xludf.DUMMYFUNCTION("""COMPUTED_VALUE"""),"N/A")</f>
        <v>N/A</v>
      </c>
      <c r="P282" s="2"/>
      <c r="Q282" s="2"/>
      <c r="R282" s="74">
        <f>IFERROR(__xludf.DUMMYFUNCTION("""COMPUTED_VALUE"""),45469.0)</f>
        <v>45469</v>
      </c>
      <c r="S282" s="2" t="str">
        <f>IFERROR(__xludf.DUMMYFUNCTION("""COMPUTED_VALUE"""),"MYKEE")</f>
        <v>MYKEE</v>
      </c>
      <c r="T282" s="73" t="str">
        <f>IFERROR(__xludf.DUMMYFUNCTION("""COMPUTED_VALUE""")," N/A ")</f>
        <v>N/A</v>
      </c>
      <c r="U282" s="73" t="str">
        <f>IFERROR(__xludf.DUMMYFUNCTION("""COMPUTED_VALUE""")," NO CHARGE ")</f>
        <v>NO CHARGE</v>
      </c>
      <c r="V282" s="2"/>
      <c r="W282" s="2" t="str">
        <f>IFERROR(__xludf.DUMMYFUNCTION("""COMPUTED_VALUE"""),"N/A")</f>
        <v>N/A</v>
      </c>
      <c r="X282" s="2" t="str">
        <f>IFERROR(__xludf.DUMMYFUNCTION("""COMPUTED_VALUE"""),"N/A")</f>
        <v>N/A</v>
      </c>
      <c r="Y282" s="2"/>
      <c r="Z282" s="2"/>
      <c r="AA282" s="2"/>
      <c r="AB282" s="2"/>
      <c r="AC282" s="2"/>
      <c r="AD282" s="2"/>
      <c r="AE282" s="2"/>
      <c r="AF282" s="2"/>
      <c r="AG282" s="2"/>
      <c r="AH282" s="2"/>
      <c r="AI282" s="2"/>
      <c r="AJ282" s="2" t="str">
        <f>IFERROR(__xludf.DUMMYFUNCTION("""COMPUTED_VALUE"""),"Villador")</f>
        <v>Villador</v>
      </c>
      <c r="AK282" s="2" t="str">
        <f>IFERROR(__xludf.DUMMYFUNCTION("""COMPUTED_VALUE"""),"Reina Mercedes")</f>
        <v>Reina Mercedes</v>
      </c>
      <c r="AL282" s="2" t="str">
        <f>IFERROR(__xludf.DUMMYFUNCTION("""COMPUTED_VALUE"""),"Isabela")</f>
        <v>Isabela</v>
      </c>
      <c r="AM282" s="2">
        <f>IFERROR(__xludf.DUMMYFUNCTION("""COMPUTED_VALUE"""),2.0)</f>
        <v>2</v>
      </c>
      <c r="AN282" s="2" t="str">
        <f>IFERROR(__xludf.DUMMYFUNCTION("""COMPUTED_VALUE"""),"RCEF 23-09-21 Rebidding")</f>
        <v>RCEF 23-09-21 Rebidding</v>
      </c>
      <c r="AO282" s="2">
        <f>IFERROR(__xludf.DUMMYFUNCTION("""COMPUTED_VALUE"""),9.0)</f>
        <v>9</v>
      </c>
      <c r="AP282" s="2"/>
      <c r="AQ282" s="2"/>
      <c r="AR282" s="2"/>
      <c r="AS282" s="2"/>
      <c r="AT282" s="2"/>
      <c r="AU282" s="2"/>
      <c r="AV282" s="2"/>
      <c r="AW282" s="2"/>
      <c r="AX282" s="2"/>
      <c r="AY282" s="2"/>
      <c r="AZ282" s="2"/>
      <c r="BA282" s="2"/>
      <c r="BB282" s="2"/>
    </row>
    <row r="283">
      <c r="A283" s="2">
        <f>IFERROR(__xludf.DUMMYFUNCTION("""COMPUTED_VALUE"""),279.0)</f>
        <v>279</v>
      </c>
      <c r="B283" s="2" t="str">
        <f>IFERROR(__xludf.DUMMYFUNCTION("""COMPUTED_VALUE"""),"COMPLETED")</f>
        <v>COMPLETED</v>
      </c>
      <c r="C283" s="74">
        <f>IFERROR(__xludf.DUMMYFUNCTION("""COMPUTED_VALUE"""),45469.0)</f>
        <v>45469</v>
      </c>
      <c r="D283" s="71" t="str">
        <f>IFERROR(__xludf.DUMMYFUNCTION("""COMPUTED_VALUE"""),"SARANAY FARMERS ASSOCIATION")</f>
        <v>SARANAY FARMERS ASSOCIATION</v>
      </c>
      <c r="E283" s="71" t="str">
        <f>IFERROR(__xludf.DUMMYFUNCTION("""COMPUTED_VALUE"""),"Mabini, Baggao, CAGAYAN")</f>
        <v>Mabini, Baggao, CAGAYAN</v>
      </c>
      <c r="F283" s="2" t="str">
        <f>IFERROR(__xludf.DUMMYFUNCTION("""COMPUTED_VALUE"""),"REMEDIOS AMAR")</f>
        <v>REMEDIOS AMAR</v>
      </c>
      <c r="G283" s="2" t="str">
        <f>IFERROR(__xludf.DUMMYFUNCTION("""COMPUTED_VALUE"""),"0953-4810-783")</f>
        <v>0953-4810-783</v>
      </c>
      <c r="H283" s="2">
        <f>IFERROR(__xludf.DUMMYFUNCTION("""COMPUTED_VALUE"""),204.0)</f>
        <v>204</v>
      </c>
      <c r="I283" s="72" t="str">
        <f>IFERROR(__xludf.DUMMYFUNCTION("""COMPUTED_VALUE"""),"REPAIR - ROTAVATOR")</f>
        <v>REPAIR - ROTAVATOR</v>
      </c>
      <c r="J283" s="72" t="str">
        <f>IFERROR(__xludf.DUMMYFUNCTION("""COMPUTED_VALUE"""),"Gearbox")</f>
        <v>Gearbox</v>
      </c>
      <c r="K283" s="72" t="str">
        <f>IFERROR(__xludf.DUMMYFUNCTION("""COMPUTED_VALUE"""),"DRM: NASIRA PO YUNG LAMAN NG GEAR BOX. SHAFTING RIGHT AT BEVEL GEAR  DAHIL KUMALAS YUNG LOCK SA MAY SHAFTING PARTS: LSGW Drive Shaft,  LSGW Bevel Gear(24T), Taper Roller Bearing #32211     
CFG: 2/25/25: PARTS REQUEST: ROTA: LGW DRIVE SHAFT SPACER 60.5X4"&amp;"5X12T , OIL SEAL COLLAR")</f>
        <v>DRM: NASIRA PO YUNG LAMAN NG GEAR BOX. SHAFTING RIGHT AT BEVEL GEAR  DAHIL KUMALAS YUNG LOCK SA MAY SHAFTING PARTS: LSGW Drive Shaft,  LSGW Bevel Gear(24T), Taper Roller Bearing #32211     
CFG: 2/25/25: PARTS REQUEST: ROTA: LGW DRIVE SHAFT SPACER 60.5X45X12T , OIL SEAL COLLAR</v>
      </c>
      <c r="L283" s="72" t="str">
        <f>IFERROR(__xludf.DUMMYFUNCTION("""COMPUTED_VALUE"""),"CFG: Replacement parts
1 pc oil seal 55-80-12
1 pc oil seal collar
1 pc LSGW drive shaft spacer
1 pc LSGW drive shaft 
1 pc bevel gear 24t
2 pcs hard lock nut m35x1 5p")</f>
        <v>CFG: Replacement parts
1 pc oil seal 55-80-12
1 pc oil seal collar
1 pc LSGW drive shaft spacer
1 pc LSGW drive shaft 
1 pc bevel gear 24t
2 pcs hard lock nut m35x1 5p</v>
      </c>
      <c r="M283" s="2"/>
      <c r="N283" s="2" t="str">
        <f>IFERROR(__xludf.DUMMYFUNCTION("""COMPUTED_VALUE"""),"PARTS: 
1 pc oil seal 55-80-12
1 pc oil seal collar
1 pc LSGW drive shaft spacer
1 pc LSGW drive shaft 
1 pc bevel gear 24t
2 pcs hard lock nut m35x1 5p")</f>
        <v>PARTS: 
1 pc oil seal 55-80-12
1 pc oil seal collar
1 pc LSGW drive shaft spacer
1 pc LSGW drive shaft 
1 pc bevel gear 24t
2 pcs hard lock nut m35x1 5p</v>
      </c>
      <c r="O283" s="2">
        <f>IFERROR(__xludf.DUMMYFUNCTION("""COMPUTED_VALUE"""),1189.0)</f>
        <v>1189</v>
      </c>
      <c r="P283" s="2"/>
      <c r="Q283" s="2" t="str">
        <f>IFERROR(__xludf.DUMMYFUNCTION("""COMPUTED_VALUE"""),"Y")</f>
        <v>Y</v>
      </c>
      <c r="R283" s="74">
        <f>IFERROR(__xludf.DUMMYFUNCTION("""COMPUTED_VALUE"""),45861.0)</f>
        <v>45861</v>
      </c>
      <c r="S283" s="2" t="str">
        <f>IFERROR(__xludf.DUMMYFUNCTION("""COMPUTED_VALUE"""),"CFG/ACS")</f>
        <v>CFG/ACS</v>
      </c>
      <c r="T283" s="73" t="str">
        <f>IFERROR(__xludf.DUMMYFUNCTION("""COMPUTED_VALUE""")," N/A ")</f>
        <v>N/A</v>
      </c>
      <c r="U283" s="73" t="str">
        <f>IFERROR(__xludf.DUMMYFUNCTION("""COMPUTED_VALUE""")," FOR CONFIRMATION ")</f>
        <v>FOR CONFIRMATION</v>
      </c>
      <c r="V283" s="2"/>
      <c r="W283" s="2"/>
      <c r="X283" s="2"/>
      <c r="Y283" s="2"/>
      <c r="Z283" s="2"/>
      <c r="AA283" s="2"/>
      <c r="AB283" s="2"/>
      <c r="AC283" s="2" t="str">
        <f>IFERROR(__xludf.DUMMYFUNCTION("""COMPUTED_VALUE"""),"N")</f>
        <v>N</v>
      </c>
      <c r="AD283" s="2"/>
      <c r="AE283" s="2"/>
      <c r="AF283" s="2"/>
      <c r="AG283" s="2"/>
      <c r="AH283" s="2"/>
      <c r="AI283" s="2"/>
      <c r="AJ283" s="2" t="str">
        <f>IFERROR(__xludf.DUMMYFUNCTION("""COMPUTED_VALUE"""),"Mabini")</f>
        <v>Mabini</v>
      </c>
      <c r="AK283" s="2" t="str">
        <f>IFERROR(__xludf.DUMMYFUNCTION("""COMPUTED_VALUE"""),"Baggao")</f>
        <v>Baggao</v>
      </c>
      <c r="AL283" s="2" t="str">
        <f>IFERROR(__xludf.DUMMYFUNCTION("""COMPUTED_VALUE"""),"Cagayan")</f>
        <v>Cagayan</v>
      </c>
      <c r="AM283" s="2">
        <f>IFERROR(__xludf.DUMMYFUNCTION("""COMPUTED_VALUE"""),2.0)</f>
        <v>2</v>
      </c>
      <c r="AN283" s="2" t="str">
        <f>IFERROR(__xludf.DUMMYFUNCTION("""COMPUTED_VALUE"""),"RCEF 23-09-21 Rebidding")</f>
        <v>RCEF 23-09-21 Rebidding</v>
      </c>
      <c r="AO283" s="2">
        <f>IFERROR(__xludf.DUMMYFUNCTION("""COMPUTED_VALUE"""),9.0)</f>
        <v>9</v>
      </c>
      <c r="AP283" s="2"/>
      <c r="AQ283" s="2"/>
      <c r="AR283" s="2"/>
      <c r="AS283" s="2"/>
      <c r="AT283" s="2"/>
      <c r="AU283" s="2"/>
      <c r="AV283" s="2"/>
      <c r="AW283" s="2"/>
      <c r="AX283" s="2"/>
      <c r="AY283" s="2"/>
      <c r="AZ283" s="2"/>
      <c r="BA283" s="2"/>
      <c r="BB283" s="2"/>
    </row>
    <row r="284">
      <c r="A284" s="2">
        <f>IFERROR(__xludf.DUMMYFUNCTION("""COMPUTED_VALUE"""),280.0)</f>
        <v>280</v>
      </c>
      <c r="B284" s="2" t="str">
        <f>IFERROR(__xludf.DUMMYFUNCTION("""COMPUTED_VALUE"""),"COMPLETED")</f>
        <v>COMPLETED</v>
      </c>
      <c r="C284" s="74">
        <f>IFERROR(__xludf.DUMMYFUNCTION("""COMPUTED_VALUE"""),45469.0)</f>
        <v>45469</v>
      </c>
      <c r="D284" s="71" t="str">
        <f>IFERROR(__xludf.DUMMYFUNCTION("""COMPUTED_VALUE"""),"Inagdangan Centro Farmers Association (ICFA)")</f>
        <v>Inagdangan Centro Farmers Association (ICFA)</v>
      </c>
      <c r="E284" s="71" t="str">
        <f>IFERROR(__xludf.DUMMYFUNCTION("""COMPUTED_VALUE"""),"Inagdangan Centro, Zarraga, ILOILO")</f>
        <v>Inagdangan Centro, Zarraga, ILOILO</v>
      </c>
      <c r="F284" s="2" t="str">
        <f>IFERROR(__xludf.DUMMYFUNCTION("""COMPUTED_VALUE"""),"NOEL AMAR/ REMEDIOS AMAR")</f>
        <v>NOEL AMAR/ REMEDIOS AMAR</v>
      </c>
      <c r="G284" s="2">
        <f>IFERROR(__xludf.DUMMYFUNCTION("""COMPUTED_VALUE"""),9.05521968E9)</f>
        <v>9055219680</v>
      </c>
      <c r="H284" s="2">
        <f>IFERROR(__xludf.DUMMYFUNCTION("""COMPUTED_VALUE"""),60.0)</f>
        <v>60</v>
      </c>
      <c r="I284" s="72" t="str">
        <f>IFERROR(__xludf.DUMMYFUNCTION("""COMPUTED_VALUE"""),"PMS")</f>
        <v>PMS</v>
      </c>
      <c r="J284" s="72" t="str">
        <f>IFERROR(__xludf.DUMMYFUNCTION("""COMPUTED_VALUE"""),"PMS")</f>
        <v>PMS</v>
      </c>
      <c r="K284" s="72" t="str">
        <f>IFERROR(__xludf.DUMMYFUNCTION("""COMPUTED_VALUE"""),"CCB: FIRTS PMS: SELF PMS")</f>
        <v>CCB: FIRTS PMS: SELF PMS</v>
      </c>
      <c r="L284" s="72" t="str">
        <f>IFERROR(__xludf.DUMMYFUNCTION("""COMPUTED_VALUE"""),"SEND AGREEMENT")</f>
        <v>SEND AGREEMENT</v>
      </c>
      <c r="M284" s="2"/>
      <c r="N284" s="2"/>
      <c r="O284" s="2" t="str">
        <f>IFERROR(__xludf.DUMMYFUNCTION("""COMPUTED_VALUE"""),"N/A")</f>
        <v>N/A</v>
      </c>
      <c r="P284" s="2"/>
      <c r="Q284" s="2"/>
      <c r="R284" s="74">
        <f>IFERROR(__xludf.DUMMYFUNCTION("""COMPUTED_VALUE"""),45469.0)</f>
        <v>45469</v>
      </c>
      <c r="S284" s="2" t="str">
        <f>IFERROR(__xludf.DUMMYFUNCTION("""COMPUTED_VALUE"""),"MYKEE")</f>
        <v>MYKEE</v>
      </c>
      <c r="T284" s="73" t="str">
        <f>IFERROR(__xludf.DUMMYFUNCTION("""COMPUTED_VALUE""")," N/A ")</f>
        <v>N/A</v>
      </c>
      <c r="U284" s="73" t="str">
        <f>IFERROR(__xludf.DUMMYFUNCTION("""COMPUTED_VALUE""")," NO CHARGE ")</f>
        <v>NO CHARGE</v>
      </c>
      <c r="V284" s="2"/>
      <c r="W284" s="2" t="str">
        <f>IFERROR(__xludf.DUMMYFUNCTION("""COMPUTED_VALUE"""),"N/A")</f>
        <v>N/A</v>
      </c>
      <c r="X284" s="2" t="str">
        <f>IFERROR(__xludf.DUMMYFUNCTION("""COMPUTED_VALUE"""),"N/A")</f>
        <v>N/A</v>
      </c>
      <c r="Y284" s="2"/>
      <c r="Z284" s="2"/>
      <c r="AA284" s="2"/>
      <c r="AB284" s="2"/>
      <c r="AC284" s="2"/>
      <c r="AD284" s="2"/>
      <c r="AE284" s="2"/>
      <c r="AF284" s="2"/>
      <c r="AG284" s="2"/>
      <c r="AH284" s="2"/>
      <c r="AI284" s="2"/>
      <c r="AJ284" s="2" t="str">
        <f>IFERROR(__xludf.DUMMYFUNCTION("""COMPUTED_VALUE"""),"Inagdangan Centro")</f>
        <v>Inagdangan Centro</v>
      </c>
      <c r="AK284" s="2" t="str">
        <f>IFERROR(__xludf.DUMMYFUNCTION("""COMPUTED_VALUE"""),"Zarraga")</f>
        <v>Zarraga</v>
      </c>
      <c r="AL284" s="2" t="str">
        <f>IFERROR(__xludf.DUMMYFUNCTION("""COMPUTED_VALUE"""),"Iloilo")</f>
        <v>Iloilo</v>
      </c>
      <c r="AM284" s="2">
        <f>IFERROR(__xludf.DUMMYFUNCTION("""COMPUTED_VALUE"""),6.0)</f>
        <v>6</v>
      </c>
      <c r="AN284" s="2" t="str">
        <f>IFERROR(__xludf.DUMMYFUNCTION("""COMPUTED_VALUE"""),"RCEF 23-09-21 Rebidding")</f>
        <v>RCEF 23-09-21 Rebidding</v>
      </c>
      <c r="AO284" s="2">
        <f>IFERROR(__xludf.DUMMYFUNCTION("""COMPUTED_VALUE"""),4.0)</f>
        <v>4</v>
      </c>
      <c r="AP284" s="2"/>
      <c r="AQ284" s="2"/>
      <c r="AR284" s="2"/>
      <c r="AS284" s="2"/>
      <c r="AT284" s="2"/>
      <c r="AU284" s="2"/>
      <c r="AV284" s="2"/>
      <c r="AW284" s="2"/>
      <c r="AX284" s="2"/>
      <c r="AY284" s="2"/>
      <c r="AZ284" s="2"/>
      <c r="BA284" s="2"/>
      <c r="BB284" s="2"/>
    </row>
    <row r="285">
      <c r="A285" s="2">
        <f>IFERROR(__xludf.DUMMYFUNCTION("""COMPUTED_VALUE"""),281.0)</f>
        <v>281</v>
      </c>
      <c r="B285" s="2" t="str">
        <f>IFERROR(__xludf.DUMMYFUNCTION("""COMPUTED_VALUE"""),"COMPLETED")</f>
        <v>COMPLETED</v>
      </c>
      <c r="C285" s="74">
        <f>IFERROR(__xludf.DUMMYFUNCTION("""COMPUTED_VALUE"""),45469.0)</f>
        <v>45469</v>
      </c>
      <c r="D285" s="71" t="str">
        <f>IFERROR(__xludf.DUMMYFUNCTION("""COMPUTED_VALUE"""),"Inagdangan Centro Farmers Association (ICFA)")</f>
        <v>Inagdangan Centro Farmers Association (ICFA)</v>
      </c>
      <c r="E285" s="71" t="str">
        <f>IFERROR(__xludf.DUMMYFUNCTION("""COMPUTED_VALUE"""),"Inagdangan Centro, Zarraga, ILOILO")</f>
        <v>Inagdangan Centro, Zarraga, ILOILO</v>
      </c>
      <c r="F285" s="2" t="str">
        <f>IFERROR(__xludf.DUMMYFUNCTION("""COMPUTED_VALUE"""),"REMEDIOS AMAR")</f>
        <v>REMEDIOS AMAR</v>
      </c>
      <c r="G285" s="2">
        <f>IFERROR(__xludf.DUMMYFUNCTION("""COMPUTED_VALUE"""),9.12408021E9)</f>
        <v>9124080210</v>
      </c>
      <c r="H285" s="2">
        <f>IFERROR(__xludf.DUMMYFUNCTION("""COMPUTED_VALUE"""),65.0)</f>
        <v>65</v>
      </c>
      <c r="I285" s="72" t="str">
        <f>IFERROR(__xludf.DUMMYFUNCTION("""COMPUTED_VALUE"""),"PMS")</f>
        <v>PMS</v>
      </c>
      <c r="J285" s="72" t="str">
        <f>IFERROR(__xludf.DUMMYFUNCTION("""COMPUTED_VALUE"""),"PMS")</f>
        <v>PMS</v>
      </c>
      <c r="K285" s="72" t="str">
        <f>IFERROR(__xludf.DUMMYFUNCTION("""COMPUTED_VALUE"""),"CCB: FIRST PMS: SELF PMS")</f>
        <v>CCB: FIRST PMS: SELF PMS</v>
      </c>
      <c r="L285" s="72" t="str">
        <f>IFERROR(__xludf.DUMMYFUNCTION("""COMPUTED_VALUE"""),"SEND AGREEMENT")</f>
        <v>SEND AGREEMENT</v>
      </c>
      <c r="M285" s="2"/>
      <c r="N285" s="2"/>
      <c r="O285" s="2" t="str">
        <f>IFERROR(__xludf.DUMMYFUNCTION("""COMPUTED_VALUE"""),"N/A")</f>
        <v>N/A</v>
      </c>
      <c r="P285" s="2"/>
      <c r="Q285" s="2"/>
      <c r="R285" s="74">
        <f>IFERROR(__xludf.DUMMYFUNCTION("""COMPUTED_VALUE"""),45469.0)</f>
        <v>45469</v>
      </c>
      <c r="S285" s="2" t="str">
        <f>IFERROR(__xludf.DUMMYFUNCTION("""COMPUTED_VALUE"""),"MYKEE")</f>
        <v>MYKEE</v>
      </c>
      <c r="T285" s="73" t="str">
        <f>IFERROR(__xludf.DUMMYFUNCTION("""COMPUTED_VALUE""")," N/A ")</f>
        <v>N/A</v>
      </c>
      <c r="U285" s="73" t="str">
        <f>IFERROR(__xludf.DUMMYFUNCTION("""COMPUTED_VALUE""")," NO CHARGE ")</f>
        <v>NO CHARGE</v>
      </c>
      <c r="V285" s="2"/>
      <c r="W285" s="2" t="str">
        <f>IFERROR(__xludf.DUMMYFUNCTION("""COMPUTED_VALUE"""),"N/A")</f>
        <v>N/A</v>
      </c>
      <c r="X285" s="2" t="str">
        <f>IFERROR(__xludf.DUMMYFUNCTION("""COMPUTED_VALUE"""),"N/A")</f>
        <v>N/A</v>
      </c>
      <c r="Y285" s="2"/>
      <c r="Z285" s="2"/>
      <c r="AA285" s="2"/>
      <c r="AB285" s="2"/>
      <c r="AC285" s="2"/>
      <c r="AD285" s="2"/>
      <c r="AE285" s="2"/>
      <c r="AF285" s="2"/>
      <c r="AG285" s="2"/>
      <c r="AH285" s="2"/>
      <c r="AI285" s="2"/>
      <c r="AJ285" s="2" t="str">
        <f>IFERROR(__xludf.DUMMYFUNCTION("""COMPUTED_VALUE"""),"Inagdangan Centro")</f>
        <v>Inagdangan Centro</v>
      </c>
      <c r="AK285" s="2" t="str">
        <f>IFERROR(__xludf.DUMMYFUNCTION("""COMPUTED_VALUE"""),"Zarraga")</f>
        <v>Zarraga</v>
      </c>
      <c r="AL285" s="2" t="str">
        <f>IFERROR(__xludf.DUMMYFUNCTION("""COMPUTED_VALUE"""),"Iloilo")</f>
        <v>Iloilo</v>
      </c>
      <c r="AM285" s="2">
        <f>IFERROR(__xludf.DUMMYFUNCTION("""COMPUTED_VALUE"""),6.0)</f>
        <v>6</v>
      </c>
      <c r="AN285" s="2" t="str">
        <f>IFERROR(__xludf.DUMMYFUNCTION("""COMPUTED_VALUE"""),"RCEF 23-09-21 Rebidding")</f>
        <v>RCEF 23-09-21 Rebidding</v>
      </c>
      <c r="AO285" s="2">
        <f>IFERROR(__xludf.DUMMYFUNCTION("""COMPUTED_VALUE"""),4.0)</f>
        <v>4</v>
      </c>
      <c r="AP285" s="2"/>
      <c r="AQ285" s="2"/>
      <c r="AR285" s="2"/>
      <c r="AS285" s="2"/>
      <c r="AT285" s="2"/>
      <c r="AU285" s="2"/>
      <c r="AV285" s="2"/>
      <c r="AW285" s="2"/>
      <c r="AX285" s="2"/>
      <c r="AY285" s="2"/>
      <c r="AZ285" s="2"/>
      <c r="BA285" s="2"/>
      <c r="BB285" s="2"/>
    </row>
    <row r="286">
      <c r="A286" s="2">
        <f>IFERROR(__xludf.DUMMYFUNCTION("""COMPUTED_VALUE"""),282.0)</f>
        <v>282</v>
      </c>
      <c r="B286" s="2" t="str">
        <f>IFERROR(__xludf.DUMMYFUNCTION("""COMPUTED_VALUE"""),"COMPLETED")</f>
        <v>COMPLETED</v>
      </c>
      <c r="C286" s="74">
        <f>IFERROR(__xludf.DUMMYFUNCTION("""COMPUTED_VALUE"""),45469.0)</f>
        <v>45469</v>
      </c>
      <c r="D286" s="71" t="str">
        <f>IFERROR(__xludf.DUMMYFUNCTION("""COMPUTED_VALUE"""),"Aquino Cluster Farmers Association")</f>
        <v>Aquino Cluster Farmers Association</v>
      </c>
      <c r="E286" s="71" t="str">
        <f>IFERROR(__xludf.DUMMYFUNCTION("""COMPUTED_VALUE"""),"Aquino, Ibajay, AKLAN")</f>
        <v>Aquino, Ibajay, AKLAN</v>
      </c>
      <c r="F286" s="2" t="str">
        <f>IFERROR(__xludf.DUMMYFUNCTION("""COMPUTED_VALUE"""),"SEMUNDO CONANAN")</f>
        <v>SEMUNDO CONANAN</v>
      </c>
      <c r="G286" s="2">
        <f>IFERROR(__xludf.DUMMYFUNCTION("""COMPUTED_VALUE"""),9.108744791E9)</f>
        <v>9108744791</v>
      </c>
      <c r="H286" s="2">
        <f>IFERROR(__xludf.DUMMYFUNCTION("""COMPUTED_VALUE"""),40.0)</f>
        <v>40</v>
      </c>
      <c r="I286" s="72" t="str">
        <f>IFERROR(__xludf.DUMMYFUNCTION("""COMPUTED_VALUE"""),"REPAIR - TRACTOR")</f>
        <v>REPAIR - TRACTOR</v>
      </c>
      <c r="J286" s="72" t="str">
        <f>IFERROR(__xludf.DUMMYFUNCTION("""COMPUTED_VALUE"""),"Radiator")</f>
        <v>Radiator</v>
      </c>
      <c r="K286" s="72" t="str">
        <f>IFERROR(__xludf.DUMMYFUNCTION("""COMPUTED_VALUE"""),"CCB: PUMUTOK YUNG RADIATOR (TOP)")</f>
        <v>CCB: PUMUTOK YUNG RADIATOR (TOP)</v>
      </c>
      <c r="L286" s="72" t="str">
        <f>IFERROR(__xludf.DUMMYFUNCTION("""COMPUTED_VALUE"""),"CCB: REPLACED RADIATOR")</f>
        <v>CCB: REPLACED RADIATOR</v>
      </c>
      <c r="M286" s="2"/>
      <c r="N286" s="2" t="str">
        <f>IFERROR(__xludf.DUMMYFUNCTION("""COMPUTED_VALUE"""),"PARTS: RADIATOR")</f>
        <v>PARTS: RADIATOR</v>
      </c>
      <c r="O286" s="2" t="str">
        <f>IFERROR(__xludf.DUMMYFUNCTION("""COMPUTED_VALUE"""),"JIE-918")</f>
        <v>JIE-918</v>
      </c>
      <c r="P286" s="2"/>
      <c r="Q286" s="2"/>
      <c r="R286" s="74">
        <f>IFERROR(__xludf.DUMMYFUNCTION("""COMPUTED_VALUE"""),45503.0)</f>
        <v>45503</v>
      </c>
      <c r="S286" s="2" t="str">
        <f>IFERROR(__xludf.DUMMYFUNCTION("""COMPUTED_VALUE"""),"CCB")</f>
        <v>CCB</v>
      </c>
      <c r="T286" s="73" t="str">
        <f>IFERROR(__xludf.DUMMYFUNCTION("""COMPUTED_VALUE""")," N/A ")</f>
        <v>N/A</v>
      </c>
      <c r="U286" s="73" t="str">
        <f>IFERROR(__xludf.DUMMYFUNCTION("""COMPUTED_VALUE""")," NO CHARGE ")</f>
        <v>NO CHARGE</v>
      </c>
      <c r="V286" s="2"/>
      <c r="W286" s="2" t="str">
        <f>IFERROR(__xludf.DUMMYFUNCTION("""COMPUTED_VALUE"""),"N/A")</f>
        <v>N/A</v>
      </c>
      <c r="X286" s="2" t="str">
        <f>IFERROR(__xludf.DUMMYFUNCTION("""COMPUTED_VALUE"""),"N/A")</f>
        <v>N/A</v>
      </c>
      <c r="Y286" s="2"/>
      <c r="Z286" s="2"/>
      <c r="AA286" s="2"/>
      <c r="AB286" s="2"/>
      <c r="AC286" s="2" t="str">
        <f>IFERROR(__xludf.DUMMYFUNCTION("""COMPUTED_VALUE"""),"Y")</f>
        <v>Y</v>
      </c>
      <c r="AD286" s="2"/>
      <c r="AE286" s="2"/>
      <c r="AF286" s="2"/>
      <c r="AG286" s="2"/>
      <c r="AH286" s="2"/>
      <c r="AI286" s="2"/>
      <c r="AJ286" s="2" t="str">
        <f>IFERROR(__xludf.DUMMYFUNCTION("""COMPUTED_VALUE"""),"Aquino")</f>
        <v>Aquino</v>
      </c>
      <c r="AK286" s="2" t="str">
        <f>IFERROR(__xludf.DUMMYFUNCTION("""COMPUTED_VALUE"""),"Ibajay")</f>
        <v>Ibajay</v>
      </c>
      <c r="AL286" s="2" t="str">
        <f>IFERROR(__xludf.DUMMYFUNCTION("""COMPUTED_VALUE"""),"Aklan")</f>
        <v>Aklan</v>
      </c>
      <c r="AM286" s="2">
        <f>IFERROR(__xludf.DUMMYFUNCTION("""COMPUTED_VALUE"""),6.0)</f>
        <v>6</v>
      </c>
      <c r="AN286" s="2" t="str">
        <f>IFERROR(__xludf.DUMMYFUNCTION("""COMPUTED_VALUE"""),"RCEF 23-09-21 Rebidding")</f>
        <v>RCEF 23-09-21 Rebidding</v>
      </c>
      <c r="AO286" s="2">
        <f>IFERROR(__xludf.DUMMYFUNCTION("""COMPUTED_VALUE"""),4.0)</f>
        <v>4</v>
      </c>
      <c r="AP286" s="2"/>
      <c r="AQ286" s="2"/>
      <c r="AR286" s="2"/>
      <c r="AS286" s="2"/>
      <c r="AT286" s="2"/>
      <c r="AU286" s="2"/>
      <c r="AV286" s="2"/>
      <c r="AW286" s="2"/>
      <c r="AX286" s="2"/>
      <c r="AY286" s="2"/>
      <c r="AZ286" s="2"/>
      <c r="BA286" s="2"/>
      <c r="BB286" s="2"/>
    </row>
    <row r="287">
      <c r="A287" s="2">
        <f>IFERROR(__xludf.DUMMYFUNCTION("""COMPUTED_VALUE"""),283.0)</f>
        <v>283</v>
      </c>
      <c r="B287" s="2" t="str">
        <f>IFERROR(__xludf.DUMMYFUNCTION("""COMPUTED_VALUE"""),"COMPLETED")</f>
        <v>COMPLETED</v>
      </c>
      <c r="C287" s="74">
        <f>IFERROR(__xludf.DUMMYFUNCTION("""COMPUTED_VALUE"""),45470.0)</f>
        <v>45470</v>
      </c>
      <c r="D287" s="71" t="str">
        <f>IFERROR(__xludf.DUMMYFUNCTION("""COMPUTED_VALUE"""),"MAGSASAKA NG BRGY. SANTOR IRRIGATORS ASSOCIATION INC")</f>
        <v>MAGSASAKA NG BRGY. SANTOR IRRIGATORS ASSOCIATION INC</v>
      </c>
      <c r="E287" s="71" t="str">
        <f>IFERROR(__xludf.DUMMYFUNCTION("""COMPUTED_VALUE"""),"Santor, Bongabon, NUEVA ECIJA")</f>
        <v>Santor, Bongabon, NUEVA ECIJA</v>
      </c>
      <c r="F287" s="2" t="str">
        <f>IFERROR(__xludf.DUMMYFUNCTION("""COMPUTED_VALUE"""),"ROLANDO SORIBEN")</f>
        <v>ROLANDO SORIBEN</v>
      </c>
      <c r="G287" s="2">
        <f>IFERROR(__xludf.DUMMYFUNCTION("""COMPUTED_VALUE"""),9.556278587E9)</f>
        <v>9556278587</v>
      </c>
      <c r="H287" s="2">
        <f>IFERROR(__xludf.DUMMYFUNCTION("""COMPUTED_VALUE"""),300.0)</f>
        <v>300</v>
      </c>
      <c r="I287" s="72" t="str">
        <f>IFERROR(__xludf.DUMMYFUNCTION("""COMPUTED_VALUE"""),"REPAIR - DISC PLOW")</f>
        <v>REPAIR - DISC PLOW</v>
      </c>
      <c r="J287" s="72" t="str">
        <f>IFERROR(__xludf.DUMMYFUNCTION("""COMPUTED_VALUE"""),"Gearbox")</f>
        <v>Gearbox</v>
      </c>
      <c r="K287" s="72" t="str">
        <f>IFERROR(__xludf.DUMMYFUNCTION("""COMPUTED_VALUE"""),"MYKEE: STOCK UP DISC PLOW
JDP:6/29/24: STUCK UP PO YUNG TAPER ROLLER BEARING #32208 , OIL SEAL 35*80*12T. NG BEVEL PINION KAYA PO HINDI NAIKOT YUNG DISC PLAW KINUHA NA PO NAMIN YUNG PARTS NA DAPAT IREPAIR.")</f>
        <v>MYKEE: STOCK UP DISC PLOW
JDP:6/29/24: STUCK UP PO YUNG TAPER ROLLER BEARING #32208 , OIL SEAL 35*80*12T. NG BEVEL PINION KAYA PO HINDI NAIKOT YUNG DISC PLAW KINUHA NA PO NAMIN YUNG PARTS NA DAPAT IREPAIR.</v>
      </c>
      <c r="L287" s="72" t="str">
        <f>IFERROR(__xludf.DUMMYFUNCTION("""COMPUTED_VALUE"""),"JDP: NAPALITAN NAPO NAMIN YUNG NASIRANG BEARING NG PINION GEAR")</f>
        <v>JDP: NAPALITAN NAPO NAMIN YUNG NASIRANG BEARING NG PINION GEAR</v>
      </c>
      <c r="M287" s="2"/>
      <c r="N287" s="2" t="str">
        <f>IFERROR(__xludf.DUMMYFUNCTION("""COMPUTED_VALUE"""),"PARTS USED: 
1 TAPER ROLLER BEARING #32208")</f>
        <v>PARTS USED: 
1 TAPER ROLLER BEARING #32208</v>
      </c>
      <c r="O287" s="2" t="str">
        <f>IFERROR(__xludf.DUMMYFUNCTION("""COMPUTED_VALUE"""),"JIE-834")</f>
        <v>JIE-834</v>
      </c>
      <c r="P287" s="2"/>
      <c r="Q287" s="2"/>
      <c r="R287" s="74">
        <f>IFERROR(__xludf.DUMMYFUNCTION("""COMPUTED_VALUE"""),45478.0)</f>
        <v>45478</v>
      </c>
      <c r="S287" s="2" t="str">
        <f>IFERROR(__xludf.DUMMYFUNCTION("""COMPUTED_VALUE"""),"EGT/JDP")</f>
        <v>EGT/JDP</v>
      </c>
      <c r="T287" s="2"/>
      <c r="U287" s="73" t="str">
        <f>IFERROR(__xludf.DUMMYFUNCTION("""COMPUTED_VALUE""")," FOR CONFIRMATION ")</f>
        <v>FOR CONFIRMATION</v>
      </c>
      <c r="V287" s="2"/>
      <c r="W287" s="2"/>
      <c r="X287" s="2"/>
      <c r="Y287" s="2"/>
      <c r="Z287" s="2"/>
      <c r="AA287" s="2"/>
      <c r="AB287" s="2"/>
      <c r="AC287" s="2" t="str">
        <f>IFERROR(__xludf.DUMMYFUNCTION("""COMPUTED_VALUE"""),"Y")</f>
        <v>Y</v>
      </c>
      <c r="AD287" s="2"/>
      <c r="AE287" s="2"/>
      <c r="AF287" s="2"/>
      <c r="AG287" s="2"/>
      <c r="AH287" s="2"/>
      <c r="AI287" s="2"/>
      <c r="AJ287" s="2" t="str">
        <f>IFERROR(__xludf.DUMMYFUNCTION("""COMPUTED_VALUE"""),"Santor")</f>
        <v>Santor</v>
      </c>
      <c r="AK287" s="2" t="str">
        <f>IFERROR(__xludf.DUMMYFUNCTION("""COMPUTED_VALUE"""),"Bongabon")</f>
        <v>Bongabon</v>
      </c>
      <c r="AL287" s="2" t="str">
        <f>IFERROR(__xludf.DUMMYFUNCTION("""COMPUTED_VALUE"""),"Nueva Ecija")</f>
        <v>Nueva Ecija</v>
      </c>
      <c r="AM287" s="2">
        <f>IFERROR(__xludf.DUMMYFUNCTION("""COMPUTED_VALUE"""),3.0)</f>
        <v>3</v>
      </c>
      <c r="AN287" s="2" t="str">
        <f>IFERROR(__xludf.DUMMYFUNCTION("""COMPUTED_VALUE"""),"RCEF 23-09-21 Rebidding")</f>
        <v>RCEF 23-09-21 Rebidding</v>
      </c>
      <c r="AO287" s="2">
        <f>IFERROR(__xludf.DUMMYFUNCTION("""COMPUTED_VALUE"""),3.0)</f>
        <v>3</v>
      </c>
      <c r="AP287" s="2"/>
      <c r="AQ287" s="2"/>
      <c r="AR287" s="2"/>
      <c r="AS287" s="2"/>
      <c r="AT287" s="2"/>
      <c r="AU287" s="2"/>
      <c r="AV287" s="2"/>
      <c r="AW287" s="2"/>
      <c r="AX287" s="2"/>
      <c r="AY287" s="2"/>
      <c r="AZ287" s="2"/>
      <c r="BA287" s="2"/>
      <c r="BB287" s="2"/>
    </row>
    <row r="288">
      <c r="A288" s="2">
        <f>IFERROR(__xludf.DUMMYFUNCTION("""COMPUTED_VALUE"""),284.0)</f>
        <v>284</v>
      </c>
      <c r="B288" s="2" t="str">
        <f>IFERROR(__xludf.DUMMYFUNCTION("""COMPUTED_VALUE"""),"COMPLETED")</f>
        <v>COMPLETED</v>
      </c>
      <c r="C288" s="74">
        <f>IFERROR(__xludf.DUMMYFUNCTION("""COMPUTED_VALUE"""),45470.0)</f>
        <v>45470</v>
      </c>
      <c r="D288" s="71" t="str">
        <f>IFERROR(__xludf.DUMMYFUNCTION("""COMPUTED_VALUE"""),"AGOS NG PAG-ASA KATAKIAN IRRIGATORS' ASSOCIATION INCORPORATED")</f>
        <v>AGOS NG PAG-ASA KATAKIAN IRRIGATORS' ASSOCIATION INCORPORATED</v>
      </c>
      <c r="E288" s="71" t="str">
        <f>IFERROR(__xludf.DUMMYFUNCTION("""COMPUTED_VALUE"""),"Landing, Tagkawayan, Quezon")</f>
        <v>Landing, Tagkawayan, Quezon</v>
      </c>
      <c r="F288" s="2" t="str">
        <f>IFERROR(__xludf.DUMMYFUNCTION("""COMPUTED_VALUE"""),"RUEL R. GONZAGA")</f>
        <v>RUEL R. GONZAGA</v>
      </c>
      <c r="G288" s="2">
        <f>IFERROR(__xludf.DUMMYFUNCTION("""COMPUTED_VALUE"""),9.12624391E9)</f>
        <v>9126243910</v>
      </c>
      <c r="H288" s="2">
        <f>IFERROR(__xludf.DUMMYFUNCTION("""COMPUTED_VALUE"""),50.0)</f>
        <v>50</v>
      </c>
      <c r="I288" s="72" t="str">
        <f>IFERROR(__xludf.DUMMYFUNCTION("""COMPUTED_VALUE"""),"PMS")</f>
        <v>PMS</v>
      </c>
      <c r="J288" s="72" t="str">
        <f>IFERROR(__xludf.DUMMYFUNCTION("""COMPUTED_VALUE"""),"PMS")</f>
        <v>PMS</v>
      </c>
      <c r="K288" s="72" t="str">
        <f>IFERROR(__xludf.DUMMYFUNCTION("""COMPUTED_VALUE"""),"ERP: FIRST PMS
JTT: WALANG TAO NUNG PUMUNTA AKO")</f>
        <v>ERP: FIRST PMS
JTT: WALANG TAO NUNG PUMUNTA AKO</v>
      </c>
      <c r="L288" s="72" t="str">
        <f>IFERROR(__xludf.DUMMYFUNCTION("""COMPUTED_VALUE"""),"CANCELLED")</f>
        <v>CANCELLED</v>
      </c>
      <c r="M288" s="2"/>
      <c r="N288" s="2"/>
      <c r="O288" s="2" t="str">
        <f>IFERROR(__xludf.DUMMYFUNCTION("""COMPUTED_VALUE"""),"CANCELLED")</f>
        <v>CANCELLED</v>
      </c>
      <c r="P288" s="2"/>
      <c r="Q288" s="2"/>
      <c r="R288" s="74">
        <f>IFERROR(__xludf.DUMMYFUNCTION("""COMPUTED_VALUE"""),45470.0)</f>
        <v>45470</v>
      </c>
      <c r="S288" s="2" t="str">
        <f>IFERROR(__xludf.DUMMYFUNCTION("""COMPUTED_VALUE"""),"JTT")</f>
        <v>JTT</v>
      </c>
      <c r="T288" s="73" t="str">
        <f>IFERROR(__xludf.DUMMYFUNCTION("""COMPUTED_VALUE""")," N/A ")</f>
        <v>N/A</v>
      </c>
      <c r="U288" s="73" t="str">
        <f>IFERROR(__xludf.DUMMYFUNCTION("""COMPUTED_VALUE""")," NO CHARGE ")</f>
        <v>NO CHARGE</v>
      </c>
      <c r="V288" s="2"/>
      <c r="W288" s="2" t="str">
        <f>IFERROR(__xludf.DUMMYFUNCTION("""COMPUTED_VALUE"""),"N/A")</f>
        <v>N/A</v>
      </c>
      <c r="X288" s="2" t="str">
        <f>IFERROR(__xludf.DUMMYFUNCTION("""COMPUTED_VALUE"""),"N/A")</f>
        <v>N/A</v>
      </c>
      <c r="Y288" s="2"/>
      <c r="Z288" s="2"/>
      <c r="AA288" s="2"/>
      <c r="AB288" s="2"/>
      <c r="AC288" s="2"/>
      <c r="AD288" s="2"/>
      <c r="AE288" s="2"/>
      <c r="AF288" s="2"/>
      <c r="AG288" s="2"/>
      <c r="AH288" s="2"/>
      <c r="AI288" s="2"/>
      <c r="AJ288" s="2" t="str">
        <f>IFERROR(__xludf.DUMMYFUNCTION("""COMPUTED_VALUE"""),"Landing")</f>
        <v>Landing</v>
      </c>
      <c r="AK288" s="2" t="str">
        <f>IFERROR(__xludf.DUMMYFUNCTION("""COMPUTED_VALUE"""),"Tagkawayan")</f>
        <v>Tagkawayan</v>
      </c>
      <c r="AL288" s="2" t="str">
        <f>IFERROR(__xludf.DUMMYFUNCTION("""COMPUTED_VALUE"""),"Quezon")</f>
        <v>Quezon</v>
      </c>
      <c r="AM288" s="2" t="str">
        <f>IFERROR(__xludf.DUMMYFUNCTION("""COMPUTED_VALUE"""),"4A")</f>
        <v>4A</v>
      </c>
      <c r="AN288" s="2" t="str">
        <f>IFERROR(__xludf.DUMMYFUNCTION("""COMPUTED_VALUE"""),"RCEF 23-08-20 Rebidding")</f>
        <v>RCEF 23-08-20 Rebidding</v>
      </c>
      <c r="AO288" s="2">
        <f>IFERROR(__xludf.DUMMYFUNCTION("""COMPUTED_VALUE"""),1.0)</f>
        <v>1</v>
      </c>
      <c r="AP288" s="2"/>
      <c r="AQ288" s="2"/>
      <c r="AR288" s="2"/>
      <c r="AS288" s="2"/>
      <c r="AT288" s="2"/>
      <c r="AU288" s="2"/>
      <c r="AV288" s="2"/>
      <c r="AW288" s="2"/>
      <c r="AX288" s="2"/>
      <c r="AY288" s="2"/>
      <c r="AZ288" s="2"/>
      <c r="BA288" s="2"/>
      <c r="BB288" s="2"/>
    </row>
    <row r="289">
      <c r="A289" s="2">
        <f>IFERROR(__xludf.DUMMYFUNCTION("""COMPUTED_VALUE"""),285.0)</f>
        <v>285</v>
      </c>
      <c r="B289" s="2" t="str">
        <f>IFERROR(__xludf.DUMMYFUNCTION("""COMPUTED_VALUE"""),"COMPLETED")</f>
        <v>COMPLETED</v>
      </c>
      <c r="C289" s="74">
        <f>IFERROR(__xludf.DUMMYFUNCTION("""COMPUTED_VALUE"""),45470.0)</f>
        <v>45470</v>
      </c>
      <c r="D289" s="71" t="str">
        <f>IFERROR(__xludf.DUMMYFUNCTION("""COMPUTED_VALUE"""),"MULANAY RICE FARMERS FEDERATION")</f>
        <v>MULANAY RICE FARMERS FEDERATION</v>
      </c>
      <c r="E289" s="71" t="str">
        <f>IFERROR(__xludf.DUMMYFUNCTION("""COMPUTED_VALUE"""),"Barangay 1, Malunay, Quezon")</f>
        <v>Barangay 1, Malunay, Quezon</v>
      </c>
      <c r="F289" s="2" t="str">
        <f>IFERROR(__xludf.DUMMYFUNCTION("""COMPUTED_VALUE"""),"JOHNNY DIGNOSANTO")</f>
        <v>JOHNNY DIGNOSANTO</v>
      </c>
      <c r="G289" s="2">
        <f>IFERROR(__xludf.DUMMYFUNCTION("""COMPUTED_VALUE"""),9.306260278E9)</f>
        <v>9306260278</v>
      </c>
      <c r="H289" s="2">
        <f>IFERROR(__xludf.DUMMYFUNCTION("""COMPUTED_VALUE"""),50.0)</f>
        <v>50</v>
      </c>
      <c r="I289" s="72" t="str">
        <f>IFERROR(__xludf.DUMMYFUNCTION("""COMPUTED_VALUE"""),"REPAIR - TRACTOR")</f>
        <v>REPAIR - TRACTOR</v>
      </c>
      <c r="J289" s="72" t="str">
        <f>IFERROR(__xludf.DUMMYFUNCTION("""COMPUTED_VALUE"""),"Training")</f>
        <v>Training</v>
      </c>
      <c r="K289" s="72" t="str">
        <f>IFERROR(__xludf.DUMMYFUNCTION("""COMPUTED_VALUE"""),"MYKEE: MALAKAS MAG KONSUMO NG GASOLINA (1,900= 4HRS) LANG DAW.")</f>
        <v>MYKEE: MALAKAS MAG KONSUMO NG GASOLINA (1,900= 4HRS) LANG DAW.</v>
      </c>
      <c r="L289" s="72" t="str">
        <f>IFERROR(__xludf.DUMMYFUNCTION("""COMPUTED_VALUE"""),"CALL BY MYKEE: THEN EXPLAIN")</f>
        <v>CALL BY MYKEE: THEN EXPLAIN</v>
      </c>
      <c r="M289" s="2"/>
      <c r="N289" s="2"/>
      <c r="O289" s="2" t="str">
        <f>IFERROR(__xludf.DUMMYFUNCTION("""COMPUTED_VALUE"""),"N/A")</f>
        <v>N/A</v>
      </c>
      <c r="P289" s="2"/>
      <c r="Q289" s="2"/>
      <c r="R289" s="74">
        <f>IFERROR(__xludf.DUMMYFUNCTION("""COMPUTED_VALUE"""),45473.0)</f>
        <v>45473</v>
      </c>
      <c r="S289" s="2" t="str">
        <f>IFERROR(__xludf.DUMMYFUNCTION("""COMPUTED_VALUE"""),"MYKEE")</f>
        <v>MYKEE</v>
      </c>
      <c r="T289" s="73" t="str">
        <f>IFERROR(__xludf.DUMMYFUNCTION("""COMPUTED_VALUE""")," N/A ")</f>
        <v>N/A</v>
      </c>
      <c r="U289" s="73" t="str">
        <f>IFERROR(__xludf.DUMMYFUNCTION("""COMPUTED_VALUE""")," NO CHARGE ")</f>
        <v>NO CHARGE</v>
      </c>
      <c r="V289" s="2"/>
      <c r="W289" s="2" t="str">
        <f>IFERROR(__xludf.DUMMYFUNCTION("""COMPUTED_VALUE"""),"N/A")</f>
        <v>N/A</v>
      </c>
      <c r="X289" s="2" t="str">
        <f>IFERROR(__xludf.DUMMYFUNCTION("""COMPUTED_VALUE"""),"N/A")</f>
        <v>N/A</v>
      </c>
      <c r="Y289" s="2"/>
      <c r="Z289" s="2"/>
      <c r="AA289" s="2"/>
      <c r="AB289" s="2"/>
      <c r="AC289" s="2"/>
      <c r="AD289" s="2"/>
      <c r="AE289" s="2"/>
      <c r="AF289" s="2"/>
      <c r="AG289" s="2"/>
      <c r="AH289" s="2"/>
      <c r="AI289" s="2"/>
      <c r="AJ289" s="2" t="str">
        <f>IFERROR(__xludf.DUMMYFUNCTION("""COMPUTED_VALUE"""),"Barangay 1")</f>
        <v>Barangay 1</v>
      </c>
      <c r="AK289" s="2" t="str">
        <f>IFERROR(__xludf.DUMMYFUNCTION("""COMPUTED_VALUE"""),"Malunay")</f>
        <v>Malunay</v>
      </c>
      <c r="AL289" s="2" t="str">
        <f>IFERROR(__xludf.DUMMYFUNCTION("""COMPUTED_VALUE"""),"Quezon")</f>
        <v>Quezon</v>
      </c>
      <c r="AM289" s="2" t="str">
        <f>IFERROR(__xludf.DUMMYFUNCTION("""COMPUTED_VALUE"""),"4A")</f>
        <v>4A</v>
      </c>
      <c r="AN289" s="2" t="str">
        <f>IFERROR(__xludf.DUMMYFUNCTION("""COMPUTED_VALUE"""),"RCEF 23-08-20 Rebidding")</f>
        <v>RCEF 23-08-20 Rebidding</v>
      </c>
      <c r="AO289" s="2">
        <f>IFERROR(__xludf.DUMMYFUNCTION("""COMPUTED_VALUE"""),1.0)</f>
        <v>1</v>
      </c>
      <c r="AP289" s="2"/>
      <c r="AQ289" s="2"/>
      <c r="AR289" s="2"/>
      <c r="AS289" s="2"/>
      <c r="AT289" s="2"/>
      <c r="AU289" s="2"/>
      <c r="AV289" s="2"/>
      <c r="AW289" s="2"/>
      <c r="AX289" s="2"/>
      <c r="AY289" s="2"/>
      <c r="AZ289" s="2"/>
      <c r="BA289" s="2"/>
      <c r="BB289" s="2"/>
    </row>
    <row r="290">
      <c r="A290" s="2">
        <f>IFERROR(__xludf.DUMMYFUNCTION("""COMPUTED_VALUE"""),286.0)</f>
        <v>286</v>
      </c>
      <c r="B290" s="2" t="str">
        <f>IFERROR(__xludf.DUMMYFUNCTION("""COMPUTED_VALUE"""),"COMPLETED")</f>
        <v>COMPLETED</v>
      </c>
      <c r="C290" s="74">
        <f>IFERROR(__xludf.DUMMYFUNCTION("""COMPUTED_VALUE"""),45471.0)</f>
        <v>45471</v>
      </c>
      <c r="D290" s="71" t="str">
        <f>IFERROR(__xludf.DUMMYFUNCTION("""COMPUTED_VALUE"""),"KABAGIS FARMERS AGRICULTURE COOPERATIVE")</f>
        <v>KABAGIS FARMERS AGRICULTURE COOPERATIVE</v>
      </c>
      <c r="E290" s="71" t="str">
        <f>IFERROR(__xludf.DUMMYFUNCTION("""COMPUTED_VALUE"""),", NATIVIDAD, PANGASINAN")</f>
        <v>, NATIVIDAD, PANGASINAN</v>
      </c>
      <c r="F290" s="2"/>
      <c r="G290" s="2">
        <f>IFERROR(__xludf.DUMMYFUNCTION("""COMPUTED_VALUE"""),9.478710777E9)</f>
        <v>9478710777</v>
      </c>
      <c r="H290" s="2">
        <f>IFERROR(__xludf.DUMMYFUNCTION("""COMPUTED_VALUE"""),46.0)</f>
        <v>46</v>
      </c>
      <c r="I290" s="72" t="str">
        <f>IFERROR(__xludf.DUMMYFUNCTION("""COMPUTED_VALUE"""),"PMS")</f>
        <v>PMS</v>
      </c>
      <c r="J290" s="72" t="str">
        <f>IFERROR(__xludf.DUMMYFUNCTION("""COMPUTED_VALUE"""),"PMS")</f>
        <v>PMS</v>
      </c>
      <c r="K290" s="72" t="str">
        <f>IFERROR(__xludf.DUMMYFUNCTION("""COMPUTED_VALUE"""),"KFS: FIRST PMS")</f>
        <v>KFS: FIRST PMS</v>
      </c>
      <c r="L290" s="72" t="str">
        <f>IFERROR(__xludf.DUMMYFUNCTION("""COMPUTED_VALUE"""),"ACS: FIRST PMS DONE")</f>
        <v>ACS: FIRST PMS DONE</v>
      </c>
      <c r="M290" s="2"/>
      <c r="N290" s="2"/>
      <c r="O290" s="2" t="str">
        <f>IFERROR(__xludf.DUMMYFUNCTION("""COMPUTED_VALUE"""),"JIE-838")</f>
        <v>JIE-838</v>
      </c>
      <c r="P290" s="2"/>
      <c r="Q290" s="2"/>
      <c r="R290" s="74">
        <f>IFERROR(__xludf.DUMMYFUNCTION("""COMPUTED_VALUE"""),45482.0)</f>
        <v>45482</v>
      </c>
      <c r="S290" s="2" t="str">
        <f>IFERROR(__xludf.DUMMYFUNCTION("""COMPUTED_VALUE"""),"JHP/ACS")</f>
        <v>JHP/ACS</v>
      </c>
      <c r="T290" s="73" t="str">
        <f>IFERROR(__xludf.DUMMYFUNCTION("""COMPUTED_VALUE""")," N/A ")</f>
        <v>N/A</v>
      </c>
      <c r="U290" s="73" t="str">
        <f>IFERROR(__xludf.DUMMYFUNCTION("""COMPUTED_VALUE""")," NO CHARGE ")</f>
        <v>NO CHARGE</v>
      </c>
      <c r="V290" s="2"/>
      <c r="W290" s="2" t="str">
        <f>IFERROR(__xludf.DUMMYFUNCTION("""COMPUTED_VALUE"""),"N/A")</f>
        <v>N/A</v>
      </c>
      <c r="X290" s="2" t="str">
        <f>IFERROR(__xludf.DUMMYFUNCTION("""COMPUTED_VALUE"""),"N/A")</f>
        <v>N/A</v>
      </c>
      <c r="Y290" s="2"/>
      <c r="Z290" s="2"/>
      <c r="AA290" s="2"/>
      <c r="AB290" s="2"/>
      <c r="AC290" s="2"/>
      <c r="AD290" s="2"/>
      <c r="AE290" s="2"/>
      <c r="AF290" s="2"/>
      <c r="AG290" s="2"/>
      <c r="AH290" s="2"/>
      <c r="AI290" s="2"/>
      <c r="AJ290" s="2" t="str">
        <f>IFERROR(__xludf.DUMMYFUNCTION("""COMPUTED_VALUE"""),"")</f>
        <v/>
      </c>
      <c r="AK290" s="2" t="str">
        <f>IFERROR(__xludf.DUMMYFUNCTION("""COMPUTED_VALUE"""),"Natividad")</f>
        <v>Natividad</v>
      </c>
      <c r="AL290" s="2" t="str">
        <f>IFERROR(__xludf.DUMMYFUNCTION("""COMPUTED_VALUE"""),"Pangasinan")</f>
        <v>Pangasinan</v>
      </c>
      <c r="AM290" s="2">
        <f>IFERROR(__xludf.DUMMYFUNCTION("""COMPUTED_VALUE"""),1.0)</f>
        <v>1</v>
      </c>
      <c r="AN290" s="2" t="str">
        <f>IFERROR(__xludf.DUMMYFUNCTION("""COMPUTED_VALUE"""),"RCEF 23-09-21 Rebidding")</f>
        <v>RCEF 23-09-21 Rebidding</v>
      </c>
      <c r="AO290" s="2">
        <f>IFERROR(__xludf.DUMMYFUNCTION("""COMPUTED_VALUE"""),2.0)</f>
        <v>2</v>
      </c>
      <c r="AP290" s="2"/>
      <c r="AQ290" s="2"/>
      <c r="AR290" s="2"/>
      <c r="AS290" s="2"/>
      <c r="AT290" s="2"/>
      <c r="AU290" s="2"/>
      <c r="AV290" s="2"/>
      <c r="AW290" s="2"/>
      <c r="AX290" s="2"/>
      <c r="AY290" s="2"/>
      <c r="AZ290" s="2"/>
      <c r="BA290" s="2"/>
      <c r="BB290" s="2"/>
    </row>
    <row r="291">
      <c r="A291" s="2">
        <f>IFERROR(__xludf.DUMMYFUNCTION("""COMPUTED_VALUE"""),287.0)</f>
        <v>287</v>
      </c>
      <c r="B291" s="2" t="str">
        <f>IFERROR(__xludf.DUMMYFUNCTION("""COMPUTED_VALUE"""),"COMPLETED")</f>
        <v>COMPLETED</v>
      </c>
      <c r="C291" s="74">
        <f>IFERROR(__xludf.DUMMYFUNCTION("""COMPUTED_VALUE"""),45471.0)</f>
        <v>45471</v>
      </c>
      <c r="D291" s="71" t="str">
        <f>IFERROR(__xludf.DUMMYFUNCTION("""COMPUTED_VALUE"""),"MAGSASAKA NG BRGY. SANTOR IRRIGATORS ASSOCIATION INC")</f>
        <v>MAGSASAKA NG BRGY. SANTOR IRRIGATORS ASSOCIATION INC</v>
      </c>
      <c r="E291" s="71" t="str">
        <f>IFERROR(__xludf.DUMMYFUNCTION("""COMPUTED_VALUE"""),"Santor, Bongabon, NUEVA ECIJA")</f>
        <v>Santor, Bongabon, NUEVA ECIJA</v>
      </c>
      <c r="F291" s="2" t="str">
        <f>IFERROR(__xludf.DUMMYFUNCTION("""COMPUTED_VALUE"""),"ROLANDO SORIBEN")</f>
        <v>ROLANDO SORIBEN</v>
      </c>
      <c r="G291" s="2">
        <f>IFERROR(__xludf.DUMMYFUNCTION("""COMPUTED_VALUE"""),9.556278587E9)</f>
        <v>9556278587</v>
      </c>
      <c r="H291" s="2">
        <f>IFERROR(__xludf.DUMMYFUNCTION("""COMPUTED_VALUE"""),300.0)</f>
        <v>300</v>
      </c>
      <c r="I291" s="72" t="str">
        <f>IFERROR(__xludf.DUMMYFUNCTION("""COMPUTED_VALUE"""),"REPAIR - TRACTOR")</f>
        <v>REPAIR - TRACTOR</v>
      </c>
      <c r="J291" s="72" t="str">
        <f>IFERROR(__xludf.DUMMYFUNCTION("""COMPUTED_VALUE"""),"Electrical - Neutral Switch")</f>
        <v>Electrical - Neutral Switch</v>
      </c>
      <c r="K291" s="72" t="str">
        <f>IFERROR(__xludf.DUMMYFUNCTION("""COMPUTED_VALUE"""),"JDP: SIRA PO YUNG NEUTRAL CONTROL SWITCH TINANGAL PO NILA AT DIRECT PO NILA PINAG DIKIT YUNG WIRE PARA MAPAANDAR YUNG TRACTOR.
EGT:7/5/24: WALA PANG BUDGET SI FARMER
ACS: 8/2/24: WALLA PADING BUDGET SI FARMER")</f>
        <v>JDP: SIRA PO YUNG NEUTRAL CONTROL SWITCH TINANGAL PO NILA AT DIRECT PO NILA PINAG DIKIT YUNG WIRE PARA MAPAANDAR YUNG TRACTOR.
EGT:7/5/24: WALA PANG BUDGET SI FARMER
ACS: 8/2/24: WALLA PADING BUDGET SI FARMER</v>
      </c>
      <c r="L291" s="72" t="str">
        <f>IFERROR(__xludf.DUMMYFUNCTION("""COMPUTED_VALUE"""),"CANCELLED")</f>
        <v>CANCELLED</v>
      </c>
      <c r="M291" s="2"/>
      <c r="N291" s="2"/>
      <c r="O291" s="2" t="str">
        <f>IFERROR(__xludf.DUMMYFUNCTION("""COMPUTED_VALUE"""),"CANCELLED")</f>
        <v>CANCELLED</v>
      </c>
      <c r="P291" s="2"/>
      <c r="Q291" s="2"/>
      <c r="R291" s="74">
        <f>IFERROR(__xludf.DUMMYFUNCTION("""COMPUTED_VALUE"""),45523.0)</f>
        <v>45523</v>
      </c>
      <c r="S291" s="2" t="str">
        <f>IFERROR(__xludf.DUMMYFUNCTION("""COMPUTED_VALUE"""),"ACS/JHP/EGT")</f>
        <v>ACS/JHP/EGT</v>
      </c>
      <c r="T291" s="73" t="str">
        <f>IFERROR(__xludf.DUMMYFUNCTION("""COMPUTED_VALUE""")," N/A ")</f>
        <v>N/A</v>
      </c>
      <c r="U291" s="73" t="str">
        <f>IFERROR(__xludf.DUMMYFUNCTION("""COMPUTED_VALUE""")," NO CHARGE ")</f>
        <v>NO CHARGE</v>
      </c>
      <c r="V291" s="2"/>
      <c r="W291" s="2" t="str">
        <f>IFERROR(__xludf.DUMMYFUNCTION("""COMPUTED_VALUE"""),"N/A")</f>
        <v>N/A</v>
      </c>
      <c r="X291" s="2" t="str">
        <f>IFERROR(__xludf.DUMMYFUNCTION("""COMPUTED_VALUE"""),"N/A")</f>
        <v>N/A</v>
      </c>
      <c r="Y291" s="2"/>
      <c r="Z291" s="2"/>
      <c r="AA291" s="2"/>
      <c r="AB291" s="2"/>
      <c r="AC291" s="2"/>
      <c r="AD291" s="2"/>
      <c r="AE291" s="2"/>
      <c r="AF291" s="2"/>
      <c r="AG291" s="2"/>
      <c r="AH291" s="2"/>
      <c r="AI291" s="2"/>
      <c r="AJ291" s="2" t="str">
        <f>IFERROR(__xludf.DUMMYFUNCTION("""COMPUTED_VALUE"""),"Santor")</f>
        <v>Santor</v>
      </c>
      <c r="AK291" s="2" t="str">
        <f>IFERROR(__xludf.DUMMYFUNCTION("""COMPUTED_VALUE"""),"Bongabon")</f>
        <v>Bongabon</v>
      </c>
      <c r="AL291" s="2" t="str">
        <f>IFERROR(__xludf.DUMMYFUNCTION("""COMPUTED_VALUE"""),"Nueva Ecija")</f>
        <v>Nueva Ecija</v>
      </c>
      <c r="AM291" s="2">
        <f>IFERROR(__xludf.DUMMYFUNCTION("""COMPUTED_VALUE"""),3.0)</f>
        <v>3</v>
      </c>
      <c r="AN291" s="2" t="str">
        <f>IFERROR(__xludf.DUMMYFUNCTION("""COMPUTED_VALUE"""),"RCEF 23-09-21 Rebidding")</f>
        <v>RCEF 23-09-21 Rebidding</v>
      </c>
      <c r="AO291" s="2">
        <f>IFERROR(__xludf.DUMMYFUNCTION("""COMPUTED_VALUE"""),3.0)</f>
        <v>3</v>
      </c>
      <c r="AP291" s="2"/>
      <c r="AQ291" s="2"/>
      <c r="AR291" s="2"/>
      <c r="AS291" s="2"/>
      <c r="AT291" s="2"/>
      <c r="AU291" s="2"/>
      <c r="AV291" s="2"/>
      <c r="AW291" s="2"/>
      <c r="AX291" s="2"/>
      <c r="AY291" s="2"/>
      <c r="AZ291" s="2"/>
      <c r="BA291" s="2"/>
      <c r="BB291" s="2"/>
    </row>
    <row r="292">
      <c r="A292" s="2">
        <f>IFERROR(__xludf.DUMMYFUNCTION("""COMPUTED_VALUE"""),288.0)</f>
        <v>288</v>
      </c>
      <c r="B292" s="2" t="str">
        <f>IFERROR(__xludf.DUMMYFUNCTION("""COMPUTED_VALUE"""),"COMPLETED")</f>
        <v>COMPLETED</v>
      </c>
      <c r="C292" s="74">
        <f>IFERROR(__xludf.DUMMYFUNCTION("""COMPUTED_VALUE"""),45474.0)</f>
        <v>45474</v>
      </c>
      <c r="D292" s="71" t="str">
        <f>IFERROR(__xludf.DUMMYFUNCTION("""COMPUTED_VALUE"""),"Southern BugueyAgrarian Reform Beneficiary Cooperative")</f>
        <v>Southern BugueyAgrarian Reform Beneficiary Cooperative</v>
      </c>
      <c r="E292" s="71" t="str">
        <f>IFERROR(__xludf.DUMMYFUNCTION("""COMPUTED_VALUE"""),"Santa Isabel, Buguey, CAGAYAN")</f>
        <v>Santa Isabel, Buguey, CAGAYAN</v>
      </c>
      <c r="F292" s="2" t="str">
        <f>IFERROR(__xludf.DUMMYFUNCTION("""COMPUTED_VALUE"""),"RAMIL FONTIVEROS")</f>
        <v>RAMIL FONTIVEROS</v>
      </c>
      <c r="G292" s="2">
        <f>IFERROR(__xludf.DUMMYFUNCTION("""COMPUTED_VALUE"""),9.05667596E9)</f>
        <v>9056675960</v>
      </c>
      <c r="H292" s="2">
        <f>IFERROR(__xludf.DUMMYFUNCTION("""COMPUTED_VALUE"""),50.0)</f>
        <v>50</v>
      </c>
      <c r="I292" s="72" t="str">
        <f>IFERROR(__xludf.DUMMYFUNCTION("""COMPUTED_VALUE"""),"PMS")</f>
        <v>PMS</v>
      </c>
      <c r="J292" s="72" t="str">
        <f>IFERROR(__xludf.DUMMYFUNCTION("""COMPUTED_VALUE"""),"PMS")</f>
        <v>PMS</v>
      </c>
      <c r="K292" s="72" t="str">
        <f>IFERROR(__xludf.DUMMYFUNCTION("""COMPUTED_VALUE"""),"KFS/RBS: FIRST PMS")</f>
        <v>KFS/RBS: FIRST PMS</v>
      </c>
      <c r="L292" s="72" t="str">
        <f>IFERROR(__xludf.DUMMYFUNCTION("""COMPUTED_VALUE"""),"DSD: FIRST PMS DONE")</f>
        <v>DSD: FIRST PMS DONE</v>
      </c>
      <c r="M292" s="2"/>
      <c r="N292" s="2"/>
      <c r="O292" s="2" t="str">
        <f>IFERROR(__xludf.DUMMYFUNCTION("""COMPUTED_VALUE"""),"JIE-844")</f>
        <v>JIE-844</v>
      </c>
      <c r="P292" s="2"/>
      <c r="Q292" s="2"/>
      <c r="R292" s="74">
        <f>IFERROR(__xludf.DUMMYFUNCTION("""COMPUTED_VALUE"""),45485.0)</f>
        <v>45485</v>
      </c>
      <c r="S292" s="2" t="str">
        <f>IFERROR(__xludf.DUMMYFUNCTION("""COMPUTED_VALUE"""),"CFG/DSD")</f>
        <v>CFG/DSD</v>
      </c>
      <c r="T292" s="73" t="str">
        <f>IFERROR(__xludf.DUMMYFUNCTION("""COMPUTED_VALUE""")," N/A ")</f>
        <v>N/A</v>
      </c>
      <c r="U292" s="73" t="str">
        <f>IFERROR(__xludf.DUMMYFUNCTION("""COMPUTED_VALUE""")," NO CHARGE ")</f>
        <v>NO CHARGE</v>
      </c>
      <c r="V292" s="2"/>
      <c r="W292" s="2" t="str">
        <f>IFERROR(__xludf.DUMMYFUNCTION("""COMPUTED_VALUE"""),"N/A")</f>
        <v>N/A</v>
      </c>
      <c r="X292" s="2" t="str">
        <f>IFERROR(__xludf.DUMMYFUNCTION("""COMPUTED_VALUE"""),"N/A")</f>
        <v>N/A</v>
      </c>
      <c r="Y292" s="2"/>
      <c r="Z292" s="2"/>
      <c r="AA292" s="2"/>
      <c r="AB292" s="2"/>
      <c r="AC292" s="2"/>
      <c r="AD292" s="2"/>
      <c r="AE292" s="2"/>
      <c r="AF292" s="2"/>
      <c r="AG292" s="2"/>
      <c r="AH292" s="2"/>
      <c r="AI292" s="2"/>
      <c r="AJ292" s="2" t="str">
        <f>IFERROR(__xludf.DUMMYFUNCTION("""COMPUTED_VALUE"""),"Santa Isabel")</f>
        <v>Santa Isabel</v>
      </c>
      <c r="AK292" s="2" t="str">
        <f>IFERROR(__xludf.DUMMYFUNCTION("""COMPUTED_VALUE"""),"Buguey")</f>
        <v>Buguey</v>
      </c>
      <c r="AL292" s="2" t="str">
        <f>IFERROR(__xludf.DUMMYFUNCTION("""COMPUTED_VALUE"""),"Cagayan")</f>
        <v>Cagayan</v>
      </c>
      <c r="AM292" s="2">
        <f>IFERROR(__xludf.DUMMYFUNCTION("""COMPUTED_VALUE"""),2.0)</f>
        <v>2</v>
      </c>
      <c r="AN292" s="2" t="str">
        <f>IFERROR(__xludf.DUMMYFUNCTION("""COMPUTED_VALUE"""),"RCEF 23-09-21 Rebidding")</f>
        <v>RCEF 23-09-21 Rebidding</v>
      </c>
      <c r="AO292" s="2">
        <f>IFERROR(__xludf.DUMMYFUNCTION("""COMPUTED_VALUE"""),1.0)</f>
        <v>1</v>
      </c>
      <c r="AP292" s="2"/>
      <c r="AQ292" s="2"/>
      <c r="AR292" s="2"/>
      <c r="AS292" s="2"/>
      <c r="AT292" s="2"/>
      <c r="AU292" s="2"/>
      <c r="AV292" s="2"/>
      <c r="AW292" s="2"/>
      <c r="AX292" s="2"/>
      <c r="AY292" s="2"/>
      <c r="AZ292" s="2"/>
      <c r="BA292" s="2"/>
      <c r="BB292" s="2"/>
    </row>
    <row r="293">
      <c r="A293" s="2">
        <f>IFERROR(__xludf.DUMMYFUNCTION("""COMPUTED_VALUE"""),289.0)</f>
        <v>289</v>
      </c>
      <c r="B293" s="2" t="str">
        <f>IFERROR(__xludf.DUMMYFUNCTION("""COMPUTED_VALUE"""),"COMPLETED")</f>
        <v>COMPLETED</v>
      </c>
      <c r="C293" s="74">
        <f>IFERROR(__xludf.DUMMYFUNCTION("""COMPUTED_VALUE"""),45474.0)</f>
        <v>45474</v>
      </c>
      <c r="D293" s="71" t="str">
        <f>IFERROR(__xludf.DUMMYFUNCTION("""COMPUTED_VALUE"""),"NAGUILIAN IRRIGATORS' ASSOCIATION, INC.")</f>
        <v>NAGUILIAN IRRIGATORS' ASSOCIATION, INC.</v>
      </c>
      <c r="E293" s="71" t="str">
        <f>IFERROR(__xludf.DUMMYFUNCTION("""COMPUTED_VALUE"""),"Naguilian, Lal-lo, CAGAYAN")</f>
        <v>Naguilian, Lal-lo, CAGAYAN</v>
      </c>
      <c r="F293" s="2" t="str">
        <f>IFERROR(__xludf.DUMMYFUNCTION("""COMPUTED_VALUE"""),"DIOSDADO URMATAM")</f>
        <v>DIOSDADO URMATAM</v>
      </c>
      <c r="G293" s="2">
        <f>IFERROR(__xludf.DUMMYFUNCTION("""COMPUTED_VALUE"""),9.061000932E9)</f>
        <v>9061000932</v>
      </c>
      <c r="H293" s="2">
        <f>IFERROR(__xludf.DUMMYFUNCTION("""COMPUTED_VALUE"""),380.0)</f>
        <v>380</v>
      </c>
      <c r="I293" s="72" t="str">
        <f>IFERROR(__xludf.DUMMYFUNCTION("""COMPUTED_VALUE"""),"PMS")</f>
        <v>PMS</v>
      </c>
      <c r="J293" s="72" t="str">
        <f>IFERROR(__xludf.DUMMYFUNCTION("""COMPUTED_VALUE"""),"PMS")</f>
        <v>PMS</v>
      </c>
      <c r="K293" s="72" t="str">
        <f>IFERROR(__xludf.DUMMYFUNCTION("""COMPUTED_VALUE"""),"ERP: SECOND PMS: SELF PMS")</f>
        <v>ERP: SECOND PMS: SELF PMS</v>
      </c>
      <c r="L293" s="72" t="str">
        <f>IFERROR(__xludf.DUMMYFUNCTION("""COMPUTED_VALUE"""),"SEND AGREEMENT: FB: DIOSDADO URMATAM")</f>
        <v>SEND AGREEMENT: FB: DIOSDADO URMATAM</v>
      </c>
      <c r="M293" s="2"/>
      <c r="N293" s="2"/>
      <c r="O293" s="2" t="str">
        <f>IFERROR(__xludf.DUMMYFUNCTION("""COMPUTED_VALUE"""),"N/A")</f>
        <v>N/A</v>
      </c>
      <c r="P293" s="2"/>
      <c r="Q293" s="2"/>
      <c r="R293" s="74">
        <f>IFERROR(__xludf.DUMMYFUNCTION("""COMPUTED_VALUE"""),45474.0)</f>
        <v>45474</v>
      </c>
      <c r="S293" s="2" t="str">
        <f>IFERROR(__xludf.DUMMYFUNCTION("""COMPUTED_VALUE"""),"MYKEE")</f>
        <v>MYKEE</v>
      </c>
      <c r="T293" s="73" t="str">
        <f>IFERROR(__xludf.DUMMYFUNCTION("""COMPUTED_VALUE""")," N/A ")</f>
        <v>N/A</v>
      </c>
      <c r="U293" s="73" t="str">
        <f>IFERROR(__xludf.DUMMYFUNCTION("""COMPUTED_VALUE""")," NO CHARGE ")</f>
        <v>NO CHARGE</v>
      </c>
      <c r="V293" s="2"/>
      <c r="W293" s="2" t="str">
        <f>IFERROR(__xludf.DUMMYFUNCTION("""COMPUTED_VALUE"""),"N/A")</f>
        <v>N/A</v>
      </c>
      <c r="X293" s="2" t="str">
        <f>IFERROR(__xludf.DUMMYFUNCTION("""COMPUTED_VALUE"""),"N/A")</f>
        <v>N/A</v>
      </c>
      <c r="Y293" s="2"/>
      <c r="Z293" s="2"/>
      <c r="AA293" s="2"/>
      <c r="AB293" s="2"/>
      <c r="AC293" s="2"/>
      <c r="AD293" s="2"/>
      <c r="AE293" s="2"/>
      <c r="AF293" s="2"/>
      <c r="AG293" s="2"/>
      <c r="AH293" s="2"/>
      <c r="AI293" s="2"/>
      <c r="AJ293" s="2" t="str">
        <f>IFERROR(__xludf.DUMMYFUNCTION("""COMPUTED_VALUE"""),"Naguilian")</f>
        <v>Naguilian</v>
      </c>
      <c r="AK293" s="2" t="str">
        <f>IFERROR(__xludf.DUMMYFUNCTION("""COMPUTED_VALUE"""),"Lal-Lo")</f>
        <v>Lal-Lo</v>
      </c>
      <c r="AL293" s="2" t="str">
        <f>IFERROR(__xludf.DUMMYFUNCTION("""COMPUTED_VALUE"""),"Cagayan")</f>
        <v>Cagayan</v>
      </c>
      <c r="AM293" s="2">
        <f>IFERROR(__xludf.DUMMYFUNCTION("""COMPUTED_VALUE"""),2.0)</f>
        <v>2</v>
      </c>
      <c r="AN293" s="2" t="str">
        <f>IFERROR(__xludf.DUMMYFUNCTION("""COMPUTED_VALUE"""),"RCEF 23-09-21 Rebidding")</f>
        <v>RCEF 23-09-21 Rebidding</v>
      </c>
      <c r="AO293" s="2">
        <f>IFERROR(__xludf.DUMMYFUNCTION("""COMPUTED_VALUE"""),9.0)</f>
        <v>9</v>
      </c>
      <c r="AP293" s="2"/>
      <c r="AQ293" s="2"/>
      <c r="AR293" s="2"/>
      <c r="AS293" s="2"/>
      <c r="AT293" s="2"/>
      <c r="AU293" s="2"/>
      <c r="AV293" s="2"/>
      <c r="AW293" s="2"/>
      <c r="AX293" s="2"/>
      <c r="AY293" s="2"/>
      <c r="AZ293" s="2"/>
      <c r="BA293" s="2"/>
      <c r="BB293" s="2"/>
    </row>
    <row r="294">
      <c r="A294" s="2">
        <f>IFERROR(__xludf.DUMMYFUNCTION("""COMPUTED_VALUE"""),290.0)</f>
        <v>290</v>
      </c>
      <c r="B294" s="2" t="str">
        <f>IFERROR(__xludf.DUMMYFUNCTION("""COMPUTED_VALUE"""),"COMPLETED")</f>
        <v>COMPLETED</v>
      </c>
      <c r="C294" s="74">
        <f>IFERROR(__xludf.DUMMYFUNCTION("""COMPUTED_VALUE"""),45474.0)</f>
        <v>45474</v>
      </c>
      <c r="D294" s="71" t="str">
        <f>IFERROR(__xludf.DUMMYFUNCTION("""COMPUTED_VALUE"""),"NAGUILIAN IRRIGATORS' ASSOCIATION, INC.")</f>
        <v>NAGUILIAN IRRIGATORS' ASSOCIATION, INC.</v>
      </c>
      <c r="E294" s="71" t="str">
        <f>IFERROR(__xludf.DUMMYFUNCTION("""COMPUTED_VALUE"""),"Naguilian, Lal-lo, CAGAYAN")</f>
        <v>Naguilian, Lal-lo, CAGAYAN</v>
      </c>
      <c r="F294" s="2" t="str">
        <f>IFERROR(__xludf.DUMMYFUNCTION("""COMPUTED_VALUE"""),"DIOSDADO URMATAM")</f>
        <v>DIOSDADO URMATAM</v>
      </c>
      <c r="G294" s="2">
        <f>IFERROR(__xludf.DUMMYFUNCTION("""COMPUTED_VALUE"""),9.061000932E9)</f>
        <v>9061000932</v>
      </c>
      <c r="H294" s="2">
        <f>IFERROR(__xludf.DUMMYFUNCTION("""COMPUTED_VALUE"""),380.0)</f>
        <v>380</v>
      </c>
      <c r="I294" s="72" t="str">
        <f>IFERROR(__xludf.DUMMYFUNCTION("""COMPUTED_VALUE"""),"REPAIR - TRACTOR")</f>
        <v>REPAIR - TRACTOR</v>
      </c>
      <c r="J294" s="72" t="str">
        <f>IFERROR(__xludf.DUMMYFUNCTION("""COMPUTED_VALUE"""),"CHECK UP UNIT")</f>
        <v>CHECK UP UNIT</v>
      </c>
      <c r="K294" s="72" t="str">
        <f>IFERROR(__xludf.DUMMYFUNCTION("""COMPUTED_VALUE"""),"ERP: MAY TUMATAGAS NA LANGIS GALING MAKINA (REQUEST MAPUNTAHAN YUNG UNIT)")</f>
        <v>ERP: MAY TUMATAGAS NA LANGIS GALING MAKINA (REQUEST MAPUNTAHAN YUNG UNIT)</v>
      </c>
      <c r="L294" s="72" t="str">
        <f>IFERROR(__xludf.DUMMYFUNCTION("""COMPUTED_VALUE"""),"CFG: PINAKITA DAW PO NILA SA MEKANIKO DOON SA KANILA , OK NADAW PO ANG UNIT")</f>
        <v>CFG: PINAKITA DAW PO NILA SA MEKANIKO DOON SA KANILA , OK NADAW PO ANG UNIT</v>
      </c>
      <c r="M294" s="2"/>
      <c r="N294" s="2"/>
      <c r="O294" s="2" t="str">
        <f>IFERROR(__xludf.DUMMYFUNCTION("""COMPUTED_VALUE"""),"N/A")</f>
        <v>N/A</v>
      </c>
      <c r="P294" s="2"/>
      <c r="Q294" s="2"/>
      <c r="R294" s="74">
        <f>IFERROR(__xludf.DUMMYFUNCTION("""COMPUTED_VALUE"""),45481.0)</f>
        <v>45481</v>
      </c>
      <c r="S294" s="2" t="str">
        <f>IFERROR(__xludf.DUMMYFUNCTION("""COMPUTED_VALUE"""),"CFG")</f>
        <v>CFG</v>
      </c>
      <c r="T294" s="73" t="str">
        <f>IFERROR(__xludf.DUMMYFUNCTION("""COMPUTED_VALUE""")," N/A ")</f>
        <v>N/A</v>
      </c>
      <c r="U294" s="73" t="str">
        <f>IFERROR(__xludf.DUMMYFUNCTION("""COMPUTED_VALUE""")," NO CHARGE ")</f>
        <v>NO CHARGE</v>
      </c>
      <c r="V294" s="2"/>
      <c r="W294" s="2" t="str">
        <f>IFERROR(__xludf.DUMMYFUNCTION("""COMPUTED_VALUE"""),"N/A")</f>
        <v>N/A</v>
      </c>
      <c r="X294" s="2" t="str">
        <f>IFERROR(__xludf.DUMMYFUNCTION("""COMPUTED_VALUE"""),"N/A")</f>
        <v>N/A</v>
      </c>
      <c r="Y294" s="2"/>
      <c r="Z294" s="2"/>
      <c r="AA294" s="2"/>
      <c r="AB294" s="2"/>
      <c r="AC294" s="2"/>
      <c r="AD294" s="2"/>
      <c r="AE294" s="2"/>
      <c r="AF294" s="2"/>
      <c r="AG294" s="2"/>
      <c r="AH294" s="2"/>
      <c r="AI294" s="2"/>
      <c r="AJ294" s="2" t="str">
        <f>IFERROR(__xludf.DUMMYFUNCTION("""COMPUTED_VALUE"""),"Naguilian")</f>
        <v>Naguilian</v>
      </c>
      <c r="AK294" s="2" t="str">
        <f>IFERROR(__xludf.DUMMYFUNCTION("""COMPUTED_VALUE"""),"Lal-Lo")</f>
        <v>Lal-Lo</v>
      </c>
      <c r="AL294" s="2" t="str">
        <f>IFERROR(__xludf.DUMMYFUNCTION("""COMPUTED_VALUE"""),"Cagayan")</f>
        <v>Cagayan</v>
      </c>
      <c r="AM294" s="2">
        <f>IFERROR(__xludf.DUMMYFUNCTION("""COMPUTED_VALUE"""),2.0)</f>
        <v>2</v>
      </c>
      <c r="AN294" s="2" t="str">
        <f>IFERROR(__xludf.DUMMYFUNCTION("""COMPUTED_VALUE"""),"RCEF 23-09-21 Rebidding")</f>
        <v>RCEF 23-09-21 Rebidding</v>
      </c>
      <c r="AO294" s="2">
        <f>IFERROR(__xludf.DUMMYFUNCTION("""COMPUTED_VALUE"""),9.0)</f>
        <v>9</v>
      </c>
      <c r="AP294" s="2"/>
      <c r="AQ294" s="2"/>
      <c r="AR294" s="2"/>
      <c r="AS294" s="2"/>
      <c r="AT294" s="2"/>
      <c r="AU294" s="2"/>
      <c r="AV294" s="2"/>
      <c r="AW294" s="2"/>
      <c r="AX294" s="2"/>
      <c r="AY294" s="2"/>
      <c r="AZ294" s="2"/>
      <c r="BA294" s="2"/>
      <c r="BB294" s="2"/>
    </row>
    <row r="295">
      <c r="A295" s="2">
        <f>IFERROR(__xludf.DUMMYFUNCTION("""COMPUTED_VALUE"""),291.0)</f>
        <v>291</v>
      </c>
      <c r="B295" s="2" t="str">
        <f>IFERROR(__xludf.DUMMYFUNCTION("""COMPUTED_VALUE"""),"COMPLETED")</f>
        <v>COMPLETED</v>
      </c>
      <c r="C295" s="74">
        <f>IFERROR(__xludf.DUMMYFUNCTION("""COMPUTED_VALUE"""),45474.0)</f>
        <v>45474</v>
      </c>
      <c r="D295" s="71" t="str">
        <f>IFERROR(__xludf.DUMMYFUNCTION("""COMPUTED_VALUE"""),"Southern BugueyAgrarian Reform Beneficiary Cooperative")</f>
        <v>Southern BugueyAgrarian Reform Beneficiary Cooperative</v>
      </c>
      <c r="E295" s="71" t="str">
        <f>IFERROR(__xludf.DUMMYFUNCTION("""COMPUTED_VALUE"""),"Santa Isabel, Buguey, CAGAYAN")</f>
        <v>Santa Isabel, Buguey, CAGAYAN</v>
      </c>
      <c r="F295" s="2" t="str">
        <f>IFERROR(__xludf.DUMMYFUNCTION("""COMPUTED_VALUE"""),"RAMIL FONTIVEROS")</f>
        <v>RAMIL FONTIVEROS</v>
      </c>
      <c r="G295" s="2">
        <f>IFERROR(__xludf.DUMMYFUNCTION("""COMPUTED_VALUE"""),9.05667596E9)</f>
        <v>9056675960</v>
      </c>
      <c r="H295" s="2">
        <f>IFERROR(__xludf.DUMMYFUNCTION("""COMPUTED_VALUE"""),50.0)</f>
        <v>50</v>
      </c>
      <c r="I295" s="72" t="str">
        <f>IFERROR(__xludf.DUMMYFUNCTION("""COMPUTED_VALUE"""),"REPAIR - TRACTOR")</f>
        <v>REPAIR - TRACTOR</v>
      </c>
      <c r="J295" s="72" t="str">
        <f>IFERROR(__xludf.DUMMYFUNCTION("""COMPUTED_VALUE"""),"Radiator")</f>
        <v>Radiator</v>
      </c>
      <c r="K295" s="72" t="str">
        <f>IFERROR(__xludf.DUMMYFUNCTION("""COMPUTED_VALUE"""),"KFS/RBS: RADIATOR TROUBLE
CFG:7/1/24: NAKAUSAP KO NA PO ITO, HINDI MUNA NILA GAGAMITIN YUNG UNIT. BUMUKA ANG IBABABAW NG RADIATOR, FOR TROUBLESHOOT.")</f>
        <v>KFS/RBS: RADIATOR TROUBLE
CFG:7/1/24: NAKAUSAP KO NA PO ITO, HINDI MUNA NILA GAGAMITIN YUNG UNIT. BUMUKA ANG IBABABAW NG RADIATOR, FOR TROUBLESHOOT.</v>
      </c>
      <c r="L295" s="72" t="str">
        <f>IFERROR(__xludf.DUMMYFUNCTION("""COMPUTED_VALUE"""),"DSD: REPLACED RADIATOR")</f>
        <v>DSD: REPLACED RADIATOR</v>
      </c>
      <c r="M295" s="2"/>
      <c r="N295" s="2" t="str">
        <f>IFERROR(__xludf.DUMMYFUNCTION("""COMPUTED_VALUE"""),"PARTS: RADIATOR")</f>
        <v>PARTS: RADIATOR</v>
      </c>
      <c r="O295" s="2" t="str">
        <f>IFERROR(__xludf.DUMMYFUNCTION("""COMPUTED_VALUE"""),"JIE-845")</f>
        <v>JIE-845</v>
      </c>
      <c r="P295" s="2"/>
      <c r="Q295" s="2"/>
      <c r="R295" s="74">
        <f>IFERROR(__xludf.DUMMYFUNCTION("""COMPUTED_VALUE"""),45485.0)</f>
        <v>45485</v>
      </c>
      <c r="S295" s="2" t="str">
        <f>IFERROR(__xludf.DUMMYFUNCTION("""COMPUTED_VALUE"""),"CFG/DSD")</f>
        <v>CFG/DSD</v>
      </c>
      <c r="T295" s="73" t="str">
        <f>IFERROR(__xludf.DUMMYFUNCTION("""COMPUTED_VALUE""")," N/A ")</f>
        <v>N/A</v>
      </c>
      <c r="U295" s="73" t="str">
        <f>IFERROR(__xludf.DUMMYFUNCTION("""COMPUTED_VALUE""")," NO CHARGE ")</f>
        <v>NO CHARGE</v>
      </c>
      <c r="V295" s="2"/>
      <c r="W295" s="2" t="str">
        <f>IFERROR(__xludf.DUMMYFUNCTION("""COMPUTED_VALUE"""),"N/A")</f>
        <v>N/A</v>
      </c>
      <c r="X295" s="2" t="str">
        <f>IFERROR(__xludf.DUMMYFUNCTION("""COMPUTED_VALUE"""),"N/A")</f>
        <v>N/A</v>
      </c>
      <c r="Y295" s="2"/>
      <c r="Z295" s="2"/>
      <c r="AA295" s="2"/>
      <c r="AB295" s="2"/>
      <c r="AC295" s="2" t="str">
        <f>IFERROR(__xludf.DUMMYFUNCTION("""COMPUTED_VALUE"""),"Y")</f>
        <v>Y</v>
      </c>
      <c r="AD295" s="2"/>
      <c r="AE295" s="2"/>
      <c r="AF295" s="2"/>
      <c r="AG295" s="2"/>
      <c r="AH295" s="2"/>
      <c r="AI295" s="2"/>
      <c r="AJ295" s="2" t="str">
        <f>IFERROR(__xludf.DUMMYFUNCTION("""COMPUTED_VALUE"""),"Santa Isabel")</f>
        <v>Santa Isabel</v>
      </c>
      <c r="AK295" s="2" t="str">
        <f>IFERROR(__xludf.DUMMYFUNCTION("""COMPUTED_VALUE"""),"Buguey")</f>
        <v>Buguey</v>
      </c>
      <c r="AL295" s="2" t="str">
        <f>IFERROR(__xludf.DUMMYFUNCTION("""COMPUTED_VALUE"""),"Cagayan")</f>
        <v>Cagayan</v>
      </c>
      <c r="AM295" s="2">
        <f>IFERROR(__xludf.DUMMYFUNCTION("""COMPUTED_VALUE"""),2.0)</f>
        <v>2</v>
      </c>
      <c r="AN295" s="2" t="str">
        <f>IFERROR(__xludf.DUMMYFUNCTION("""COMPUTED_VALUE"""),"RCEF 23-09-21 Rebidding")</f>
        <v>RCEF 23-09-21 Rebidding</v>
      </c>
      <c r="AO295" s="2">
        <f>IFERROR(__xludf.DUMMYFUNCTION("""COMPUTED_VALUE"""),1.0)</f>
        <v>1</v>
      </c>
      <c r="AP295" s="2"/>
      <c r="AQ295" s="2"/>
      <c r="AR295" s="2"/>
      <c r="AS295" s="2"/>
      <c r="AT295" s="2"/>
      <c r="AU295" s="2"/>
      <c r="AV295" s="2"/>
      <c r="AW295" s="2"/>
      <c r="AX295" s="2"/>
      <c r="AY295" s="2"/>
      <c r="AZ295" s="2"/>
      <c r="BA295" s="2"/>
      <c r="BB295" s="2"/>
    </row>
    <row r="296">
      <c r="A296" s="2">
        <f>IFERROR(__xludf.DUMMYFUNCTION("""COMPUTED_VALUE"""),292.0)</f>
        <v>292</v>
      </c>
      <c r="B296" s="2" t="str">
        <f>IFERROR(__xludf.DUMMYFUNCTION("""COMPUTED_VALUE"""),"COMPLETED")</f>
        <v>COMPLETED</v>
      </c>
      <c r="C296" s="74">
        <f>IFERROR(__xludf.DUMMYFUNCTION("""COMPUTED_VALUE"""),45474.0)</f>
        <v>45474</v>
      </c>
      <c r="D296" s="71" t="str">
        <f>IFERROR(__xludf.DUMMYFUNCTION("""COMPUTED_VALUE"""),"LAYUNIN NG MAPAYAPANG PAG-UNLAD ASSOCIATION, INCORPORATED")</f>
        <v>LAYUNIN NG MAPAYAPANG PAG-UNLAD ASSOCIATION, INCORPORATED</v>
      </c>
      <c r="E296" s="71" t="str">
        <f>IFERROR(__xludf.DUMMYFUNCTION("""COMPUTED_VALUE"""),"Boboy, Agno, PANGASINAN")</f>
        <v>Boboy, Agno, PANGASINAN</v>
      </c>
      <c r="F296" s="2" t="str">
        <f>IFERROR(__xludf.DUMMYFUNCTION("""COMPUTED_VALUE"""),"NOLY V. OIGA")</f>
        <v>NOLY V. OIGA</v>
      </c>
      <c r="G296" s="2">
        <f>IFERROR(__xludf.DUMMYFUNCTION("""COMPUTED_VALUE"""),9.076484565E9)</f>
        <v>9076484565</v>
      </c>
      <c r="H296" s="2">
        <f>IFERROR(__xludf.DUMMYFUNCTION("""COMPUTED_VALUE"""),216.0)</f>
        <v>216</v>
      </c>
      <c r="I296" s="72" t="str">
        <f>IFERROR(__xludf.DUMMYFUNCTION("""COMPUTED_VALUE"""),"REPAIR - TRACTOR")</f>
        <v>REPAIR - TRACTOR</v>
      </c>
      <c r="J296" s="72" t="str">
        <f>IFERROR(__xludf.DUMMYFUNCTION("""COMPUTED_VALUE"""),"Transmission - Clutch")</f>
        <v>Transmission - Clutch</v>
      </c>
      <c r="K296" s="72" t="str">
        <f>IFERROR(__xludf.DUMMYFUNCTION("""COMPUTED_VALUE"""),"KFS: SIRA ANG CLUTCH PARTS: CLUTCH DISC ASSY
ACS:7/10/24: PROBLEM SA RELEASE BEARING AT CLUTCH ASSY,  PARTS NEEDED: RELEASE BEARING AND CLUTCH COVER ASSY
ACS/JHP: NAGBAGO NA ISIP NI FARMER, AYAW NA MAG BAYAD")</f>
        <v>KFS: SIRA ANG CLUTCH PARTS: CLUTCH DISC ASSY
ACS:7/10/24: PROBLEM SA RELEASE BEARING AT CLUTCH ASSY,  PARTS NEEDED: RELEASE BEARING AND CLUTCH COVER ASSY
ACS/JHP: NAGBAGO NA ISIP NI FARMER, AYAW NA MAG BAYAD</v>
      </c>
      <c r="L296" s="72" t="str">
        <f>IFERROR(__xludf.DUMMYFUNCTION("""COMPUTED_VALUE"""),"CANCELLED: BUT FILED FOR WARRANTY CLAIM")</f>
        <v>CANCELLED: BUT FILED FOR WARRANTY CLAIM</v>
      </c>
      <c r="M296" s="2"/>
      <c r="N296" s="2" t="str">
        <f>IFERROR(__xludf.DUMMYFUNCTION("""COMPUTED_VALUE"""),"PARTS:
RELEASE BEARING
CLUTCH COVER ASSY
")</f>
        <v>PARTS:
RELEASE BEARING
CLUTCH COVER ASSY
</v>
      </c>
      <c r="O296" s="2" t="str">
        <f>IFERROR(__xludf.DUMMYFUNCTION("""COMPUTED_VALUE"""),"CANCELLED")</f>
        <v>CANCELLED</v>
      </c>
      <c r="P296" s="2"/>
      <c r="Q296" s="2"/>
      <c r="R296" s="74">
        <f>IFERROR(__xludf.DUMMYFUNCTION("""COMPUTED_VALUE"""),45523.0)</f>
        <v>45523</v>
      </c>
      <c r="S296" s="2" t="str">
        <f>IFERROR(__xludf.DUMMYFUNCTION("""COMPUTED_VALUE"""),"ACS/JHP")</f>
        <v>ACS/JHP</v>
      </c>
      <c r="T296" s="73" t="str">
        <f>IFERROR(__xludf.DUMMYFUNCTION("""COMPUTED_VALUE""")," N/A ")</f>
        <v>N/A</v>
      </c>
      <c r="U296" s="73" t="str">
        <f>IFERROR(__xludf.DUMMYFUNCTION("""COMPUTED_VALUE""")," NO CHARGE ")</f>
        <v>NO CHARGE</v>
      </c>
      <c r="V296" s="2"/>
      <c r="W296" s="2" t="str">
        <f>IFERROR(__xludf.DUMMYFUNCTION("""COMPUTED_VALUE"""),"N/A")</f>
        <v>N/A</v>
      </c>
      <c r="X296" s="2" t="str">
        <f>IFERROR(__xludf.DUMMYFUNCTION("""COMPUTED_VALUE"""),"N/A")</f>
        <v>N/A</v>
      </c>
      <c r="Y296" s="2"/>
      <c r="Z296" s="2"/>
      <c r="AA296" s="2"/>
      <c r="AB296" s="2"/>
      <c r="AC296" s="2" t="str">
        <f>IFERROR(__xludf.DUMMYFUNCTION("""COMPUTED_VALUE"""),"Y")</f>
        <v>Y</v>
      </c>
      <c r="AD296" s="2"/>
      <c r="AE296" s="2"/>
      <c r="AF296" s="2"/>
      <c r="AG296" s="2"/>
      <c r="AH296" s="2"/>
      <c r="AI296" s="2"/>
      <c r="AJ296" s="2" t="str">
        <f>IFERROR(__xludf.DUMMYFUNCTION("""COMPUTED_VALUE"""),"Boboy")</f>
        <v>Boboy</v>
      </c>
      <c r="AK296" s="2" t="str">
        <f>IFERROR(__xludf.DUMMYFUNCTION("""COMPUTED_VALUE"""),"Agno")</f>
        <v>Agno</v>
      </c>
      <c r="AL296" s="2" t="str">
        <f>IFERROR(__xludf.DUMMYFUNCTION("""COMPUTED_VALUE"""),"Pangasinan")</f>
        <v>Pangasinan</v>
      </c>
      <c r="AM296" s="2">
        <f>IFERROR(__xludf.DUMMYFUNCTION("""COMPUTED_VALUE"""),1.0)</f>
        <v>1</v>
      </c>
      <c r="AN296" s="2" t="str">
        <f>IFERROR(__xludf.DUMMYFUNCTION("""COMPUTED_VALUE"""),"RCEF 23-09-21 Rebidding")</f>
        <v>RCEF 23-09-21 Rebidding</v>
      </c>
      <c r="AO296" s="2">
        <f>IFERROR(__xludf.DUMMYFUNCTION("""COMPUTED_VALUE"""),2.0)</f>
        <v>2</v>
      </c>
      <c r="AP296" s="2"/>
      <c r="AQ296" s="2"/>
      <c r="AR296" s="2"/>
      <c r="AS296" s="2"/>
      <c r="AT296" s="2"/>
      <c r="AU296" s="2"/>
      <c r="AV296" s="2"/>
      <c r="AW296" s="2"/>
      <c r="AX296" s="2"/>
      <c r="AY296" s="2"/>
      <c r="AZ296" s="2"/>
      <c r="BA296" s="2"/>
      <c r="BB296" s="2"/>
    </row>
    <row r="297">
      <c r="A297" s="2">
        <f>IFERROR(__xludf.DUMMYFUNCTION("""COMPUTED_VALUE"""),293.0)</f>
        <v>293</v>
      </c>
      <c r="B297" s="2" t="str">
        <f>IFERROR(__xludf.DUMMYFUNCTION("""COMPUTED_VALUE"""),"COMPLETED")</f>
        <v>COMPLETED</v>
      </c>
      <c r="C297" s="74">
        <f>IFERROR(__xludf.DUMMYFUNCTION("""COMPUTED_VALUE"""),45474.0)</f>
        <v>45474</v>
      </c>
      <c r="D297" s="71" t="str">
        <f>IFERROR(__xludf.DUMMYFUNCTION("""COMPUTED_VALUE"""),"Ilucban Agrarian Reform Farmers and Community Organization")</f>
        <v>Ilucban Agrarian Reform Farmers and Community Organization</v>
      </c>
      <c r="E297" s="71" t="str">
        <f>IFERROR(__xludf.DUMMYFUNCTION("""COMPUTED_VALUE"""),"Lucban, Lamut, IFUGAO")</f>
        <v>Lucban, Lamut, IFUGAO</v>
      </c>
      <c r="F297" s="2" t="str">
        <f>IFERROR(__xludf.DUMMYFUNCTION("""COMPUTED_VALUE"""),"LUIS IN-UYAY")</f>
        <v>LUIS IN-UYAY</v>
      </c>
      <c r="G297" s="2">
        <f>IFERROR(__xludf.DUMMYFUNCTION("""COMPUTED_VALUE"""),9.296017316E9)</f>
        <v>9296017316</v>
      </c>
      <c r="H297" s="2">
        <f>IFERROR(__xludf.DUMMYFUNCTION("""COMPUTED_VALUE"""),26.0)</f>
        <v>26</v>
      </c>
      <c r="I297" s="72" t="str">
        <f>IFERROR(__xludf.DUMMYFUNCTION("""COMPUTED_VALUE"""),"REPAIR - TRACTOR")</f>
        <v>REPAIR - TRACTOR</v>
      </c>
      <c r="J297" s="72" t="str">
        <f>IFERROR(__xludf.DUMMYFUNCTION("""COMPUTED_VALUE"""),"Electrical - PTO Switch")</f>
        <v>Electrical - PTO Switch</v>
      </c>
      <c r="K297" s="72" t="str">
        <f>IFERROR(__xludf.DUMMYFUNCTION("""COMPUTED_VALUE"""),"RBS: PTO SWITCH DEFECTIVE")</f>
        <v>RBS: PTO SWITCH DEFECTIVE</v>
      </c>
      <c r="L297" s="72" t="str">
        <f>IFERROR(__xludf.DUMMYFUNCTION("""COMPUTED_VALUE"""),"DSD: OK NA PO YUNG SWITCH, PINALITAN PO MUNA NAMIN PANSAMANTALANG SWITCH (TOGGLE SWITCH)")</f>
        <v>DSD: OK NA PO YUNG SWITCH, PINALITAN PO MUNA NAMIN PANSAMANTALANG SWITCH (TOGGLE SWITCH)</v>
      </c>
      <c r="M297" s="2"/>
      <c r="N297" s="2" t="str">
        <f>IFERROR(__xludf.DUMMYFUNCTION("""COMPUTED_VALUE"""),"TOGGLE SWITCH (OUTSOURCE)")</f>
        <v>TOGGLE SWITCH (OUTSOURCE)</v>
      </c>
      <c r="O297" s="2" t="str">
        <f>IFERROR(__xludf.DUMMYFUNCTION("""COMPUTED_VALUE"""),"JIE-850")</f>
        <v>JIE-850</v>
      </c>
      <c r="P297" s="2"/>
      <c r="Q297" s="2"/>
      <c r="R297" s="74">
        <f>IFERROR(__xludf.DUMMYFUNCTION("""COMPUTED_VALUE"""),45486.0)</f>
        <v>45486</v>
      </c>
      <c r="S297" s="2" t="str">
        <f>IFERROR(__xludf.DUMMYFUNCTION("""COMPUTED_VALUE"""),"CFG/DSD")</f>
        <v>CFG/DSD</v>
      </c>
      <c r="T297" s="73">
        <f>IFERROR(__xludf.DUMMYFUNCTION("""COMPUTED_VALUE"""),120.0)</f>
        <v>120</v>
      </c>
      <c r="U297" s="73" t="str">
        <f>IFERROR(__xludf.DUMMYFUNCTION("""COMPUTED_VALUE""")," REMITTED ")</f>
        <v>REMITTED</v>
      </c>
      <c r="V297" s="2"/>
      <c r="W297" s="2"/>
      <c r="X297" s="2"/>
      <c r="Y297" s="2"/>
      <c r="Z297" s="2"/>
      <c r="AA297" s="2"/>
      <c r="AB297" s="2"/>
      <c r="AC297" s="2"/>
      <c r="AD297" s="2"/>
      <c r="AE297" s="2"/>
      <c r="AF297" s="2"/>
      <c r="AG297" s="2"/>
      <c r="AH297" s="2"/>
      <c r="AI297" s="2"/>
      <c r="AJ297" s="2" t="str">
        <f>IFERROR(__xludf.DUMMYFUNCTION("""COMPUTED_VALUE"""),"Lucban")</f>
        <v>Lucban</v>
      </c>
      <c r="AK297" s="2" t="str">
        <f>IFERROR(__xludf.DUMMYFUNCTION("""COMPUTED_VALUE"""),"Lamut")</f>
        <v>Lamut</v>
      </c>
      <c r="AL297" s="2" t="str">
        <f>IFERROR(__xludf.DUMMYFUNCTION("""COMPUTED_VALUE"""),"Ifugao")</f>
        <v>Ifugao</v>
      </c>
      <c r="AM297" s="2" t="str">
        <f>IFERROR(__xludf.DUMMYFUNCTION("""COMPUTED_VALUE"""),"CAR")</f>
        <v>CAR</v>
      </c>
      <c r="AN297" s="2" t="str">
        <f>IFERROR(__xludf.DUMMYFUNCTION("""COMPUTED_VALUE"""),"RCEF 23-09-21 Rebidding")</f>
        <v>RCEF 23-09-21 Rebidding</v>
      </c>
      <c r="AO297" s="2">
        <f>IFERROR(__xludf.DUMMYFUNCTION("""COMPUTED_VALUE"""),1.0)</f>
        <v>1</v>
      </c>
      <c r="AP297" s="2"/>
      <c r="AQ297" s="2"/>
      <c r="AR297" s="2"/>
      <c r="AS297" s="2"/>
      <c r="AT297" s="2"/>
      <c r="AU297" s="2"/>
      <c r="AV297" s="2"/>
      <c r="AW297" s="2"/>
      <c r="AX297" s="2"/>
      <c r="AY297" s="2"/>
      <c r="AZ297" s="2"/>
      <c r="BA297" s="2"/>
      <c r="BB297" s="2"/>
    </row>
    <row r="298">
      <c r="A298" s="2">
        <f>IFERROR(__xludf.DUMMYFUNCTION("""COMPUTED_VALUE"""),294.0)</f>
        <v>294</v>
      </c>
      <c r="B298" s="2" t="str">
        <f>IFERROR(__xludf.DUMMYFUNCTION("""COMPUTED_VALUE"""),"COMPLETED")</f>
        <v>COMPLETED</v>
      </c>
      <c r="C298" s="74">
        <f>IFERROR(__xludf.DUMMYFUNCTION("""COMPUTED_VALUE"""),45475.0)</f>
        <v>45475</v>
      </c>
      <c r="D298" s="71" t="str">
        <f>IFERROR(__xludf.DUMMYFUNCTION("""COMPUTED_VALUE"""),"MALLALATANG GRANDE AND VILLADOR FARMERS ASSOCIATION")</f>
        <v>MALLALATANG GRANDE AND VILLADOR FARMERS ASSOCIATION</v>
      </c>
      <c r="E298" s="71" t="str">
        <f>IFERROR(__xludf.DUMMYFUNCTION("""COMPUTED_VALUE"""),"Villador, Reina Mercedes, ISABELA")</f>
        <v>Villador, Reina Mercedes, ISABELA</v>
      </c>
      <c r="F298" s="2" t="str">
        <f>IFERROR(__xludf.DUMMYFUNCTION("""COMPUTED_VALUE"""),"JONEL F. ACOB")</f>
        <v>JONEL F. ACOB</v>
      </c>
      <c r="G298" s="2">
        <f>IFERROR(__xludf.DUMMYFUNCTION("""COMPUTED_VALUE"""),9.654799576E9)</f>
        <v>9654799576</v>
      </c>
      <c r="H298" s="2">
        <f>IFERROR(__xludf.DUMMYFUNCTION("""COMPUTED_VALUE"""),51.3)</f>
        <v>51.3</v>
      </c>
      <c r="I298" s="72" t="str">
        <f>IFERROR(__xludf.DUMMYFUNCTION("""COMPUTED_VALUE"""),"REPAIR - TRACTOR")</f>
        <v>REPAIR - TRACTOR</v>
      </c>
      <c r="J298" s="72" t="str">
        <f>IFERROR(__xludf.DUMMYFUNCTION("""COMPUTED_VALUE"""),"Hydraulic Cylinder - Leaking")</f>
        <v>Hydraulic Cylinder - Leaking</v>
      </c>
      <c r="K298" s="72" t="str">
        <f>IFERROR(__xludf.DUMMYFUNCTION("""COMPUTED_VALUE"""),"MYKEE: LEAKING SA HYDRAULIC PUMP 
JTT: PARTS: O-RING
CFG: BETA GREY (C/O FARMER)")</f>
        <v>MYKEE: LEAKING SA HYDRAULIC PUMP 
JTT: PARTS: O-RING
CFG: BETA GREY (C/O FARMER)</v>
      </c>
      <c r="L298" s="72" t="str">
        <f>IFERROR(__xludf.DUMMYFUNCTION("""COMPUTED_VALUE"""),"DSD:Hinigpitan po namin yung hose samay hydrolic pump, antabay po muna kung mag leak pa kasi hindi po naka press yung sa hose.")</f>
        <v>DSD:Hinigpitan po namin yung hose samay hydrolic pump, antabay po muna kung mag leak pa kasi hindi po naka press yung sa hose.</v>
      </c>
      <c r="M298" s="2"/>
      <c r="N298" s="2"/>
      <c r="O298" s="2" t="str">
        <f>IFERROR(__xludf.DUMMYFUNCTION("""COMPUTED_VALUE"""),"JIE-839")</f>
        <v>JIE-839</v>
      </c>
      <c r="P298" s="2"/>
      <c r="Q298" s="2"/>
      <c r="R298" s="74">
        <f>IFERROR(__xludf.DUMMYFUNCTION("""COMPUTED_VALUE"""),45482.0)</f>
        <v>45482</v>
      </c>
      <c r="S298" s="2" t="str">
        <f>IFERROR(__xludf.DUMMYFUNCTION("""COMPUTED_VALUE"""),"CFG/DSD")</f>
        <v>CFG/DSD</v>
      </c>
      <c r="T298" s="73" t="str">
        <f>IFERROR(__xludf.DUMMYFUNCTION("""COMPUTED_VALUE""")," N/A ")</f>
        <v>N/A</v>
      </c>
      <c r="U298" s="73" t="str">
        <f>IFERROR(__xludf.DUMMYFUNCTION("""COMPUTED_VALUE""")," NO CHARGE ")</f>
        <v>NO CHARGE</v>
      </c>
      <c r="V298" s="2"/>
      <c r="W298" s="2" t="str">
        <f>IFERROR(__xludf.DUMMYFUNCTION("""COMPUTED_VALUE"""),"N/A")</f>
        <v>N/A</v>
      </c>
      <c r="X298" s="2" t="str">
        <f>IFERROR(__xludf.DUMMYFUNCTION("""COMPUTED_VALUE"""),"N/A")</f>
        <v>N/A</v>
      </c>
      <c r="Y298" s="2"/>
      <c r="Z298" s="2"/>
      <c r="AA298" s="2"/>
      <c r="AB298" s="2"/>
      <c r="AC298" s="2"/>
      <c r="AD298" s="2"/>
      <c r="AE298" s="2"/>
      <c r="AF298" s="2"/>
      <c r="AG298" s="2"/>
      <c r="AH298" s="2"/>
      <c r="AI298" s="2"/>
      <c r="AJ298" s="2" t="str">
        <f>IFERROR(__xludf.DUMMYFUNCTION("""COMPUTED_VALUE"""),"Villador")</f>
        <v>Villador</v>
      </c>
      <c r="AK298" s="2" t="str">
        <f>IFERROR(__xludf.DUMMYFUNCTION("""COMPUTED_VALUE"""),"Reina Mercedes")</f>
        <v>Reina Mercedes</v>
      </c>
      <c r="AL298" s="2" t="str">
        <f>IFERROR(__xludf.DUMMYFUNCTION("""COMPUTED_VALUE"""),"Isabela")</f>
        <v>Isabela</v>
      </c>
      <c r="AM298" s="2">
        <f>IFERROR(__xludf.DUMMYFUNCTION("""COMPUTED_VALUE"""),2.0)</f>
        <v>2</v>
      </c>
      <c r="AN298" s="2" t="str">
        <f>IFERROR(__xludf.DUMMYFUNCTION("""COMPUTED_VALUE"""),"RCEF 23-09-21 Rebidding")</f>
        <v>RCEF 23-09-21 Rebidding</v>
      </c>
      <c r="AO298" s="2">
        <f>IFERROR(__xludf.DUMMYFUNCTION("""COMPUTED_VALUE"""),9.0)</f>
        <v>9</v>
      </c>
      <c r="AP298" s="2"/>
      <c r="AQ298" s="2"/>
      <c r="AR298" s="2"/>
      <c r="AS298" s="2"/>
      <c r="AT298" s="2"/>
      <c r="AU298" s="2"/>
      <c r="AV298" s="2"/>
      <c r="AW298" s="2"/>
      <c r="AX298" s="2"/>
      <c r="AY298" s="2"/>
      <c r="AZ298" s="2"/>
      <c r="BA298" s="2"/>
      <c r="BB298" s="2"/>
    </row>
    <row r="299">
      <c r="A299" s="2">
        <f>IFERROR(__xludf.DUMMYFUNCTION("""COMPUTED_VALUE"""),295.0)</f>
        <v>295</v>
      </c>
      <c r="B299" s="2" t="str">
        <f>IFERROR(__xludf.DUMMYFUNCTION("""COMPUTED_VALUE"""),"COMPLETED")</f>
        <v>COMPLETED</v>
      </c>
      <c r="C299" s="74">
        <f>IFERROR(__xludf.DUMMYFUNCTION("""COMPUTED_VALUE"""),45475.0)</f>
        <v>45475</v>
      </c>
      <c r="D299" s="71" t="str">
        <f>IFERROR(__xludf.DUMMYFUNCTION("""COMPUTED_VALUE"""),"LINMASANGAN MANGATAREM FARMERS IRRIGATORS ASSOCIATION INC.")</f>
        <v>LINMASANGAN MANGATAREM FARMERS IRRIGATORS ASSOCIATION INC.</v>
      </c>
      <c r="E299" s="71" t="str">
        <f>IFERROR(__xludf.DUMMYFUNCTION("""COMPUTED_VALUE""")," ")</f>
        <v> </v>
      </c>
      <c r="F299" s="2" t="str">
        <f>IFERROR(__xludf.DUMMYFUNCTION("""COMPUTED_VALUE"""),"VIRGILIO DANCEL JR.")</f>
        <v>VIRGILIO DANCEL JR.</v>
      </c>
      <c r="G299" s="2" t="str">
        <f>IFERROR(__xludf.DUMMYFUNCTION("""COMPUTED_VALUE"""),"0950-193-0581")</f>
        <v>0950-193-0581</v>
      </c>
      <c r="H299" s="2">
        <f>IFERROR(__xludf.DUMMYFUNCTION("""COMPUTED_VALUE"""),50.0)</f>
        <v>50</v>
      </c>
      <c r="I299" s="72" t="str">
        <f>IFERROR(__xludf.DUMMYFUNCTION("""COMPUTED_VALUE"""),"PMS")</f>
        <v>PMS</v>
      </c>
      <c r="J299" s="72" t="str">
        <f>IFERROR(__xludf.DUMMYFUNCTION("""COMPUTED_VALUE"""),"PMS")</f>
        <v>PMS</v>
      </c>
      <c r="K299" s="72" t="str">
        <f>IFERROR(__xludf.DUMMYFUNCTION("""COMPUTED_VALUE"""),"KFS: FCA: SEVEN BARANGAYS OF MANGATAREM IRRIG. ASSC. : ADDRESS : MARAVILLA, MANGATAREM, PANGASINAN
 KFS: FIRST PMS: SELF PMS")</f>
        <v>KFS: FCA: SEVEN BARANGAYS OF MANGATAREM IRRIG. ASSC. : ADDRESS : MARAVILLA, MANGATAREM, PANGASINAN
 KFS: FIRST PMS: SELF PMS</v>
      </c>
      <c r="L299" s="72" t="str">
        <f>IFERROR(__xludf.DUMMYFUNCTION("""COMPUTED_VALUE"""),"SEND AGREEMENT: FB: VIRGILIO DANCEL JR.: CANCELLED")</f>
        <v>SEND AGREEMENT: FB: VIRGILIO DANCEL JR.: CANCELLED</v>
      </c>
      <c r="M299" s="2"/>
      <c r="N299" s="2"/>
      <c r="O299" s="2" t="str">
        <f>IFERROR(__xludf.DUMMYFUNCTION("""COMPUTED_VALUE"""),"N/A")</f>
        <v>N/A</v>
      </c>
      <c r="P299" s="2"/>
      <c r="Q299" s="2"/>
      <c r="R299" s="74">
        <f>IFERROR(__xludf.DUMMYFUNCTION("""COMPUTED_VALUE"""),45485.0)</f>
        <v>45485</v>
      </c>
      <c r="S299" s="2" t="str">
        <f>IFERROR(__xludf.DUMMYFUNCTION("""COMPUTED_VALUE"""),"MYKEE")</f>
        <v>MYKEE</v>
      </c>
      <c r="T299" s="73" t="str">
        <f>IFERROR(__xludf.DUMMYFUNCTION("""COMPUTED_VALUE""")," N/A ")</f>
        <v>N/A</v>
      </c>
      <c r="U299" s="73" t="str">
        <f>IFERROR(__xludf.DUMMYFUNCTION("""COMPUTED_VALUE""")," NO CHARGE ")</f>
        <v>NO CHARGE</v>
      </c>
      <c r="V299" s="2"/>
      <c r="W299" s="2" t="str">
        <f>IFERROR(__xludf.DUMMYFUNCTION("""COMPUTED_VALUE"""),"N/A")</f>
        <v>N/A</v>
      </c>
      <c r="X299" s="2" t="str">
        <f>IFERROR(__xludf.DUMMYFUNCTION("""COMPUTED_VALUE"""),"N/A")</f>
        <v>N/A</v>
      </c>
      <c r="Y299" s="2"/>
      <c r="Z299" s="2"/>
      <c r="AA299" s="2"/>
      <c r="AB299" s="2"/>
      <c r="AC299" s="2"/>
      <c r="AD299" s="2"/>
      <c r="AE299" s="2"/>
      <c r="AF299" s="2"/>
      <c r="AG299" s="2"/>
      <c r="AH299" s="2"/>
      <c r="AI299" s="2"/>
      <c r="AJ299" s="2" t="str">
        <f>IFERROR(__xludf.DUMMYFUNCTION("""COMPUTED_VALUE"""),"")</f>
        <v/>
      </c>
      <c r="AK299" s="2" t="str">
        <f>IFERROR(__xludf.DUMMYFUNCTION("""COMPUTED_VALUE"""),"")</f>
        <v/>
      </c>
      <c r="AL299" s="2" t="str">
        <f>IFERROR(__xludf.DUMMYFUNCTION("""COMPUTED_VALUE"""),"")</f>
        <v/>
      </c>
      <c r="AM299" s="2" t="str">
        <f>IFERROR(__xludf.DUMMYFUNCTION("""COMPUTED_VALUE"""),"")</f>
        <v/>
      </c>
      <c r="AN299" s="2" t="str">
        <f>IFERROR(__xludf.DUMMYFUNCTION("""COMPUTED_VALUE""")," ")</f>
        <v> </v>
      </c>
      <c r="AO299" s="2" t="str">
        <f>IFERROR(__xludf.DUMMYFUNCTION("""COMPUTED_VALUE""")," ")</f>
        <v> </v>
      </c>
      <c r="AP299" s="2" t="str">
        <f>IFERROR(__xludf.DUMMYFUNCTION("""COMPUTED_VALUE"""),"")</f>
        <v/>
      </c>
      <c r="AQ299" s="2"/>
      <c r="AR299" s="2"/>
      <c r="AS299" s="2"/>
      <c r="AT299" s="2"/>
      <c r="AU299" s="2"/>
      <c r="AV299" s="2"/>
      <c r="AW299" s="2"/>
      <c r="AX299" s="2"/>
      <c r="AY299" s="2"/>
      <c r="AZ299" s="2"/>
      <c r="BA299" s="2"/>
      <c r="BB299" s="2"/>
    </row>
    <row r="300">
      <c r="A300" s="2">
        <f>IFERROR(__xludf.DUMMYFUNCTION("""COMPUTED_VALUE"""),296.0)</f>
        <v>296</v>
      </c>
      <c r="B300" s="2" t="str">
        <f>IFERROR(__xludf.DUMMYFUNCTION("""COMPUTED_VALUE"""),"COMPLETED")</f>
        <v>COMPLETED</v>
      </c>
      <c r="C300" s="74">
        <f>IFERROR(__xludf.DUMMYFUNCTION("""COMPUTED_VALUE"""),45475.0)</f>
        <v>45475</v>
      </c>
      <c r="D300" s="71" t="str">
        <f>IFERROR(__xludf.DUMMYFUNCTION("""COMPUTED_VALUE"""),"BARANGAY PAYAPA FARMERS ASSOCIATION")</f>
        <v>BARANGAY PAYAPA FARMERS ASSOCIATION</v>
      </c>
      <c r="E300" s="71" t="str">
        <f>IFERROR(__xludf.DUMMYFUNCTION("""COMPUTED_VALUE"""),"Payapa, Tagkawayan, Quezon")</f>
        <v>Payapa, Tagkawayan, Quezon</v>
      </c>
      <c r="F300" s="2" t="str">
        <f>IFERROR(__xludf.DUMMYFUNCTION("""COMPUTED_VALUE"""),"MARK ANTHONY PITA")</f>
        <v>MARK ANTHONY PITA</v>
      </c>
      <c r="G300" s="2">
        <f>IFERROR(__xludf.DUMMYFUNCTION("""COMPUTED_VALUE"""),9.319908416E9)</f>
        <v>9319908416</v>
      </c>
      <c r="H300" s="2">
        <f>IFERROR(__xludf.DUMMYFUNCTION("""COMPUTED_VALUE"""),160.0)</f>
        <v>160</v>
      </c>
      <c r="I300" s="72" t="str">
        <f>IFERROR(__xludf.DUMMYFUNCTION("""COMPUTED_VALUE"""),"REPAIR - ROTAVATOR")</f>
        <v>REPAIR - ROTAVATOR</v>
      </c>
      <c r="J300" s="72" t="str">
        <f>IFERROR(__xludf.DUMMYFUNCTION("""COMPUTED_VALUE"""),"Gearbox")</f>
        <v>Gearbox</v>
      </c>
      <c r="K300" s="72" t="str">
        <f>IFERROR(__xludf.DUMMYFUNCTION("""COMPUTED_VALUE"""),"JTT: MAINGAY ANG ROTAVATOR SA GEARBOX PARTS: LSGW PINION GEAR (11T),  LSGW BEVEL GEAR (24t)")</f>
        <v>JTT: MAINGAY ANG ROTAVATOR SA GEARBOX PARTS: LSGW PINION GEAR (11T),  LSGW BEVEL GEAR (24t)</v>
      </c>
      <c r="L300" s="72" t="str">
        <f>IFERROR(__xludf.DUMMYFUNCTION("""COMPUTED_VALUE"""),"JTT: 7/29/24: OPERATORS  ERROR KAYA NAG IINGAY, WALANG SIRA ANG ROTAVATOR.")</f>
        <v>JTT: 7/29/24: OPERATORS  ERROR KAYA NAG IINGAY, WALANG SIRA ANG ROTAVATOR.</v>
      </c>
      <c r="M300" s="2"/>
      <c r="N300" s="2"/>
      <c r="O300" s="2" t="str">
        <f>IFERROR(__xludf.DUMMYFUNCTION("""COMPUTED_VALUE"""),"N/A")</f>
        <v>N/A</v>
      </c>
      <c r="P300" s="2"/>
      <c r="Q300" s="2"/>
      <c r="R300" s="74">
        <f>IFERROR(__xludf.DUMMYFUNCTION("""COMPUTED_VALUE"""),45502.0)</f>
        <v>45502</v>
      </c>
      <c r="S300" s="2" t="str">
        <f>IFERROR(__xludf.DUMMYFUNCTION("""COMPUTED_VALUE"""),"JTT")</f>
        <v>JTT</v>
      </c>
      <c r="T300" s="73" t="str">
        <f>IFERROR(__xludf.DUMMYFUNCTION("""COMPUTED_VALUE""")," N/A ")</f>
        <v>N/A</v>
      </c>
      <c r="U300" s="73" t="str">
        <f>IFERROR(__xludf.DUMMYFUNCTION("""COMPUTED_VALUE""")," NO CHARGE ")</f>
        <v>NO CHARGE</v>
      </c>
      <c r="V300" s="2"/>
      <c r="W300" s="2" t="str">
        <f>IFERROR(__xludf.DUMMYFUNCTION("""COMPUTED_VALUE"""),"N/A")</f>
        <v>N/A</v>
      </c>
      <c r="X300" s="2" t="str">
        <f>IFERROR(__xludf.DUMMYFUNCTION("""COMPUTED_VALUE"""),"N/A")</f>
        <v>N/A</v>
      </c>
      <c r="Y300" s="2"/>
      <c r="Z300" s="2"/>
      <c r="AA300" s="2"/>
      <c r="AB300" s="2"/>
      <c r="AC300" s="2" t="str">
        <f>IFERROR(__xludf.DUMMYFUNCTION("""COMPUTED_VALUE"""),"N")</f>
        <v>N</v>
      </c>
      <c r="AD300" s="2"/>
      <c r="AE300" s="2"/>
      <c r="AF300" s="2"/>
      <c r="AG300" s="2"/>
      <c r="AH300" s="2"/>
      <c r="AI300" s="2"/>
      <c r="AJ300" s="2" t="str">
        <f>IFERROR(__xludf.DUMMYFUNCTION("""COMPUTED_VALUE"""),"Payapa")</f>
        <v>Payapa</v>
      </c>
      <c r="AK300" s="2" t="str">
        <f>IFERROR(__xludf.DUMMYFUNCTION("""COMPUTED_VALUE"""),"Tagkawayan")</f>
        <v>Tagkawayan</v>
      </c>
      <c r="AL300" s="2" t="str">
        <f>IFERROR(__xludf.DUMMYFUNCTION("""COMPUTED_VALUE"""),"Quezon")</f>
        <v>Quezon</v>
      </c>
      <c r="AM300" s="2" t="str">
        <f>IFERROR(__xludf.DUMMYFUNCTION("""COMPUTED_VALUE"""),"4A")</f>
        <v>4A</v>
      </c>
      <c r="AN300" s="2" t="str">
        <f>IFERROR(__xludf.DUMMYFUNCTION("""COMPUTED_VALUE"""),"RCEF 23-08-20 Rebidding")</f>
        <v>RCEF 23-08-20 Rebidding</v>
      </c>
      <c r="AO300" s="2">
        <f>IFERROR(__xludf.DUMMYFUNCTION("""COMPUTED_VALUE"""),1.0)</f>
        <v>1</v>
      </c>
      <c r="AP300" s="2"/>
      <c r="AQ300" s="2"/>
      <c r="AR300" s="2"/>
      <c r="AS300" s="2"/>
      <c r="AT300" s="2"/>
      <c r="AU300" s="2"/>
      <c r="AV300" s="2"/>
      <c r="AW300" s="2"/>
      <c r="AX300" s="2"/>
      <c r="AY300" s="2"/>
      <c r="AZ300" s="2"/>
      <c r="BA300" s="2"/>
      <c r="BB300" s="2"/>
    </row>
    <row r="301">
      <c r="A301" s="2">
        <f>IFERROR(__xludf.DUMMYFUNCTION("""COMPUTED_VALUE"""),297.0)</f>
        <v>297</v>
      </c>
      <c r="B301" s="2" t="str">
        <f>IFERROR(__xludf.DUMMYFUNCTION("""COMPUTED_VALUE"""),"COMPLETED")</f>
        <v>COMPLETED</v>
      </c>
      <c r="C301" s="74">
        <f>IFERROR(__xludf.DUMMYFUNCTION("""COMPUTED_VALUE"""),45475.0)</f>
        <v>45475</v>
      </c>
      <c r="D301" s="71" t="str">
        <f>IFERROR(__xludf.DUMMYFUNCTION("""COMPUTED_VALUE"""),"PEDERASYON NG MGA SAMAHAN NG MAGSASAKA NG TIAONG, QUEZON")</f>
        <v>PEDERASYON NG MGA SAMAHAN NG MAGSASAKA NG TIAONG, QUEZON</v>
      </c>
      <c r="E301" s="71" t="str">
        <f>IFERROR(__xludf.DUMMYFUNCTION("""COMPUTED_VALUE"""),"Poblacion 3, Tiaong, Quezon")</f>
        <v>Poblacion 3, Tiaong, Quezon</v>
      </c>
      <c r="F301" s="2" t="str">
        <f>IFERROR(__xludf.DUMMYFUNCTION("""COMPUTED_VALUE"""),"DANILO GUEVARA")</f>
        <v>DANILO GUEVARA</v>
      </c>
      <c r="G301" s="2">
        <f>IFERROR(__xludf.DUMMYFUNCTION("""COMPUTED_VALUE"""),9.282559507E9)</f>
        <v>9282559507</v>
      </c>
      <c r="H301" s="2">
        <f>IFERROR(__xludf.DUMMYFUNCTION("""COMPUTED_VALUE"""),48.0)</f>
        <v>48</v>
      </c>
      <c r="I301" s="72" t="str">
        <f>IFERROR(__xludf.DUMMYFUNCTION("""COMPUTED_VALUE"""),"REPAIR - TRACTOR")</f>
        <v>REPAIR - TRACTOR</v>
      </c>
      <c r="J301" s="72" t="str">
        <f>IFERROR(__xludf.DUMMYFUNCTION("""COMPUTED_VALUE"""),"Transmission - Clutch")</f>
        <v>Transmission - Clutch</v>
      </c>
      <c r="K301" s="72" t="str">
        <f>IFERROR(__xludf.DUMMYFUNCTION("""COMPUTED_VALUE"""),"JTT: CLUTCH LINING PROBLEM PARTS:CLUTCH DISC ASSY")</f>
        <v>JTT: CLUTCH LINING PROBLEM PARTS:CLUTCH DISC ASSY</v>
      </c>
      <c r="L301" s="72" t="str">
        <f>IFERROR(__xludf.DUMMYFUNCTION("""COMPUTED_VALUE"""),"RCG: Assessed unit,Checkup all shifting lever if working,check clutch pedal,.checkup clutch lining
Split tractor and ReplaceD clutch lining assy.")</f>
        <v>RCG: Assessed unit,Checkup all shifting lever if working,check clutch pedal,.checkup clutch lining
Split tractor and ReplaceD clutch lining assy.</v>
      </c>
      <c r="M301" s="2"/>
      <c r="N301" s="2" t="str">
        <f>IFERROR(__xludf.DUMMYFUNCTION("""COMPUTED_VALUE"""),"CLUTCH DISC ASSY")</f>
        <v>CLUTCH DISC ASSY</v>
      </c>
      <c r="O301" s="2" t="str">
        <f>IFERROR(__xludf.DUMMYFUNCTION("""COMPUTED_VALUE"""),"JIE-931")</f>
        <v>JIE-931</v>
      </c>
      <c r="P301" s="2"/>
      <c r="Q301" s="2"/>
      <c r="R301" s="74">
        <f>IFERROR(__xludf.DUMMYFUNCTION("""COMPUTED_VALUE"""),45517.0)</f>
        <v>45517</v>
      </c>
      <c r="S301" s="2" t="str">
        <f>IFERROR(__xludf.DUMMYFUNCTION("""COMPUTED_VALUE"""),"RCG/LBA")</f>
        <v>RCG/LBA</v>
      </c>
      <c r="T301" s="73">
        <f>IFERROR(__xludf.DUMMYFUNCTION("""COMPUTED_VALUE"""),21330.0)</f>
        <v>21330</v>
      </c>
      <c r="U301" s="73" t="str">
        <f>IFERROR(__xludf.DUMMYFUNCTION("""COMPUTED_VALUE""")," REMITTED ")</f>
        <v>REMITTED</v>
      </c>
      <c r="V301" s="2"/>
      <c r="W301" s="2"/>
      <c r="X301" s="2">
        <f>IFERROR(__xludf.DUMMYFUNCTION("""COMPUTED_VALUE"""),1136.0)</f>
        <v>1136</v>
      </c>
      <c r="Y301" s="2"/>
      <c r="Z301" s="2"/>
      <c r="AA301" s="2"/>
      <c r="AB301" s="2"/>
      <c r="AC301" s="2" t="str">
        <f>IFERROR(__xludf.DUMMYFUNCTION("""COMPUTED_VALUE"""),"N")</f>
        <v>N</v>
      </c>
      <c r="AD301" s="2"/>
      <c r="AE301" s="2"/>
      <c r="AF301" s="2"/>
      <c r="AG301" s="2"/>
      <c r="AH301" s="2"/>
      <c r="AI301" s="2"/>
      <c r="AJ301" s="2" t="str">
        <f>IFERROR(__xludf.DUMMYFUNCTION("""COMPUTED_VALUE"""),"Poblacion 3")</f>
        <v>Poblacion 3</v>
      </c>
      <c r="AK301" s="2" t="str">
        <f>IFERROR(__xludf.DUMMYFUNCTION("""COMPUTED_VALUE"""),"Tiaong")</f>
        <v>Tiaong</v>
      </c>
      <c r="AL301" s="2" t="str">
        <f>IFERROR(__xludf.DUMMYFUNCTION("""COMPUTED_VALUE"""),"Quezon")</f>
        <v>Quezon</v>
      </c>
      <c r="AM301" s="2" t="str">
        <f>IFERROR(__xludf.DUMMYFUNCTION("""COMPUTED_VALUE"""),"4A")</f>
        <v>4A</v>
      </c>
      <c r="AN301" s="2" t="str">
        <f>IFERROR(__xludf.DUMMYFUNCTION("""COMPUTED_VALUE"""),"RCEF 23-08-20 Rebidding")</f>
        <v>RCEF 23-08-20 Rebidding</v>
      </c>
      <c r="AO301" s="2">
        <f>IFERROR(__xludf.DUMMYFUNCTION("""COMPUTED_VALUE"""),1.0)</f>
        <v>1</v>
      </c>
      <c r="AP301" s="2"/>
      <c r="AQ301" s="2"/>
      <c r="AR301" s="2"/>
      <c r="AS301" s="2"/>
      <c r="AT301" s="2"/>
      <c r="AU301" s="2"/>
      <c r="AV301" s="2"/>
      <c r="AW301" s="2"/>
      <c r="AX301" s="2"/>
      <c r="AY301" s="2"/>
      <c r="AZ301" s="2"/>
      <c r="BA301" s="2"/>
      <c r="BB301" s="2"/>
    </row>
    <row r="302">
      <c r="A302" s="2">
        <f>IFERROR(__xludf.DUMMYFUNCTION("""COMPUTED_VALUE"""),298.0)</f>
        <v>298</v>
      </c>
      <c r="B302" s="2" t="str">
        <f>IFERROR(__xludf.DUMMYFUNCTION("""COMPUTED_VALUE"""),"COMPLETED")</f>
        <v>COMPLETED</v>
      </c>
      <c r="C302" s="74">
        <f>IFERROR(__xludf.DUMMYFUNCTION("""COMPUTED_VALUE"""),45476.0)</f>
        <v>45476</v>
      </c>
      <c r="D302" s="71" t="str">
        <f>IFERROR(__xludf.DUMMYFUNCTION("""COMPUTED_VALUE"""),"Madarag Farmers Association")</f>
        <v>Madarag Farmers Association</v>
      </c>
      <c r="E302" s="71" t="str">
        <f>IFERROR(__xludf.DUMMYFUNCTION("""COMPUTED_VALUE"""),"Madarag, San Enrique, ILOILO")</f>
        <v>Madarag, San Enrique, ILOILO</v>
      </c>
      <c r="F302" s="2" t="str">
        <f>IFERROR(__xludf.DUMMYFUNCTION("""COMPUTED_VALUE"""),"MELO SATUNERO")</f>
        <v>MELO SATUNERO</v>
      </c>
      <c r="G302" s="2">
        <f>IFERROR(__xludf.DUMMYFUNCTION("""COMPUTED_VALUE"""),9.498348434E9)</f>
        <v>9498348434</v>
      </c>
      <c r="H302" s="2"/>
      <c r="I302" s="72" t="str">
        <f>IFERROR(__xludf.DUMMYFUNCTION("""COMPUTED_VALUE"""),"REPAIR - DISC PLOW")</f>
        <v>REPAIR - DISC PLOW</v>
      </c>
      <c r="J302" s="72" t="str">
        <f>IFERROR(__xludf.DUMMYFUNCTION("""COMPUTED_VALUE"""),"Disc")</f>
        <v>Disc</v>
      </c>
      <c r="K302" s="72" t="str">
        <f>IFERROR(__xludf.DUMMYFUNCTION("""COMPUTED_VALUE"""),"CCB: NAG WIGGLE LAHAT NG BLADE SA DIC PLOW")</f>
        <v>CCB: NAG WIGGLE LAHAT NG BLADE SA DIC PLOW</v>
      </c>
      <c r="L302" s="72" t="str">
        <f>IFERROR(__xludf.DUMMYFUNCTION("""COMPUTED_VALUE"""),"OK NA: NEED REPORT")</f>
        <v>OK NA: NEED REPORT</v>
      </c>
      <c r="M302" s="2"/>
      <c r="N302" s="2"/>
      <c r="O302" s="2" t="str">
        <f>IFERROR(__xludf.DUMMYFUNCTION("""COMPUTED_VALUE"""),"N/A")</f>
        <v>N/A</v>
      </c>
      <c r="P302" s="2"/>
      <c r="Q302" s="2"/>
      <c r="R302" s="74">
        <f>IFERROR(__xludf.DUMMYFUNCTION("""COMPUTED_VALUE"""),45476.0)</f>
        <v>45476</v>
      </c>
      <c r="S302" s="2" t="str">
        <f>IFERROR(__xludf.DUMMYFUNCTION("""COMPUTED_VALUE"""),"CCB")</f>
        <v>CCB</v>
      </c>
      <c r="T302" s="73" t="str">
        <f>IFERROR(__xludf.DUMMYFUNCTION("""COMPUTED_VALUE""")," N/A ")</f>
        <v>N/A</v>
      </c>
      <c r="U302" s="73" t="str">
        <f>IFERROR(__xludf.DUMMYFUNCTION("""COMPUTED_VALUE""")," NO CHARGE ")</f>
        <v>NO CHARGE</v>
      </c>
      <c r="V302" s="2"/>
      <c r="W302" s="2" t="str">
        <f>IFERROR(__xludf.DUMMYFUNCTION("""COMPUTED_VALUE"""),"N/A")</f>
        <v>N/A</v>
      </c>
      <c r="X302" s="2" t="str">
        <f>IFERROR(__xludf.DUMMYFUNCTION("""COMPUTED_VALUE"""),"N/A")</f>
        <v>N/A</v>
      </c>
      <c r="Y302" s="2" t="str">
        <f>IFERROR(__xludf.DUMMYFUNCTION("""COMPUTED_VALUE"""),"DONE")</f>
        <v>DONE</v>
      </c>
      <c r="Z302" s="2"/>
      <c r="AA302" s="2"/>
      <c r="AB302" s="2"/>
      <c r="AC302" s="2"/>
      <c r="AD302" s="2"/>
      <c r="AE302" s="2"/>
      <c r="AF302" s="2"/>
      <c r="AG302" s="2"/>
      <c r="AH302" s="2"/>
      <c r="AI302" s="2"/>
      <c r="AJ302" s="2" t="str">
        <f>IFERROR(__xludf.DUMMYFUNCTION("""COMPUTED_VALUE"""),"Madarag")</f>
        <v>Madarag</v>
      </c>
      <c r="AK302" s="2" t="str">
        <f>IFERROR(__xludf.DUMMYFUNCTION("""COMPUTED_VALUE"""),"San Enrique")</f>
        <v>San Enrique</v>
      </c>
      <c r="AL302" s="2" t="str">
        <f>IFERROR(__xludf.DUMMYFUNCTION("""COMPUTED_VALUE"""),"Iloilo")</f>
        <v>Iloilo</v>
      </c>
      <c r="AM302" s="2">
        <f>IFERROR(__xludf.DUMMYFUNCTION("""COMPUTED_VALUE"""),6.0)</f>
        <v>6</v>
      </c>
      <c r="AN302" s="2" t="str">
        <f>IFERROR(__xludf.DUMMYFUNCTION("""COMPUTED_VALUE"""),"RCEF 23-09-21 Rebidding")</f>
        <v>RCEF 23-09-21 Rebidding</v>
      </c>
      <c r="AO302" s="2">
        <f>IFERROR(__xludf.DUMMYFUNCTION("""COMPUTED_VALUE"""),4.0)</f>
        <v>4</v>
      </c>
      <c r="AP302" s="2"/>
      <c r="AQ302" s="2"/>
      <c r="AR302" s="2"/>
      <c r="AS302" s="2"/>
      <c r="AT302" s="2"/>
      <c r="AU302" s="2"/>
      <c r="AV302" s="2"/>
      <c r="AW302" s="2"/>
      <c r="AX302" s="2"/>
      <c r="AY302" s="2"/>
      <c r="AZ302" s="2"/>
      <c r="BA302" s="2"/>
      <c r="BB302" s="2"/>
    </row>
    <row r="303">
      <c r="A303" s="2">
        <f>IFERROR(__xludf.DUMMYFUNCTION("""COMPUTED_VALUE"""),299.0)</f>
        <v>299</v>
      </c>
      <c r="B303" s="2" t="str">
        <f>IFERROR(__xludf.DUMMYFUNCTION("""COMPUTED_VALUE"""),"COMPLETED")</f>
        <v>COMPLETED</v>
      </c>
      <c r="C303" s="74">
        <f>IFERROR(__xludf.DUMMYFUNCTION("""COMPUTED_VALUE"""),45477.0)</f>
        <v>45477</v>
      </c>
      <c r="D303" s="71" t="str">
        <f>IFERROR(__xludf.DUMMYFUNCTION("""COMPUTED_VALUE"""),"David Communal Irrigators Association Incorporated")</f>
        <v>David Communal Irrigators Association Incorporated</v>
      </c>
      <c r="E303" s="71" t="str">
        <f>IFERROR(__xludf.DUMMYFUNCTION("""COMPUTED_VALUE"""),"David, San Jose, TARLAC")</f>
        <v>David, San Jose, TARLAC</v>
      </c>
      <c r="F303" s="2" t="str">
        <f>IFERROR(__xludf.DUMMYFUNCTION("""COMPUTED_VALUE"""),"BERNADE MACADANGDANG")</f>
        <v>BERNADE MACADANGDANG</v>
      </c>
      <c r="G303" s="2">
        <f>IFERROR(__xludf.DUMMYFUNCTION("""COMPUTED_VALUE"""),9.647599445E9)</f>
        <v>9647599445</v>
      </c>
      <c r="H303" s="2">
        <f>IFERROR(__xludf.DUMMYFUNCTION("""COMPUTED_VALUE"""),97.3)</f>
        <v>97.3</v>
      </c>
      <c r="I303" s="72" t="str">
        <f>IFERROR(__xludf.DUMMYFUNCTION("""COMPUTED_VALUE"""),"REPAIR - TRACTOR")</f>
        <v>REPAIR - TRACTOR</v>
      </c>
      <c r="J303" s="72" t="str">
        <f>IFERROR(__xludf.DUMMYFUNCTION("""COMPUTED_VALUE"""),"CHECK UP/ REPAIR")</f>
        <v>CHECK UP/ REPAIR</v>
      </c>
      <c r="K303" s="72" t="str">
        <f>IFERROR(__xludf.DUMMYFUNCTION("""COMPUTED_VALUE"""),"MYKEE: STOCK YUNG ROTAVATOR, KADA 2 ORAS NAMAMATAY
")</f>
        <v>MYKEE: STOCK YUNG ROTAVATOR, KADA 2 ORAS NAMAMATAY
</v>
      </c>
      <c r="L303" s="72" t="str">
        <f>IFERROR(__xludf.DUMMYFUNCTION("""COMPUTED_VALUE"""),"JVV: GINAWA PO NAMIN NI ADJUST PO ANG PTO VALVE , TAPOS PO PINATESTING NAMIN SA OPERATOR AT INOBSERBAHAN, HINDI NAMAN NA PO TUMIGIL O HUMHINTO.")</f>
        <v>JVV: GINAWA PO NAMIN NI ADJUST PO ANG PTO VALVE , TAPOS PO PINATESTING NAMIN SA OPERATOR AT INOBSERBAHAN, HINDI NAMAN NA PO TUMIGIL O HUMHINTO.</v>
      </c>
      <c r="M303" s="2"/>
      <c r="N303" s="2"/>
      <c r="O303" s="2" t="str">
        <f>IFERROR(__xludf.DUMMYFUNCTION("""COMPUTED_VALUE"""),"JIE-843")</f>
        <v>JIE-843</v>
      </c>
      <c r="P303" s="2"/>
      <c r="Q303" s="2"/>
      <c r="R303" s="74">
        <f>IFERROR(__xludf.DUMMYFUNCTION("""COMPUTED_VALUE"""),45484.0)</f>
        <v>45484</v>
      </c>
      <c r="S303" s="2" t="str">
        <f>IFERROR(__xludf.DUMMYFUNCTION("""COMPUTED_VALUE"""),"EGT/JVV")</f>
        <v>EGT/JVV</v>
      </c>
      <c r="T303" s="73" t="str">
        <f>IFERROR(__xludf.DUMMYFUNCTION("""COMPUTED_VALUE""")," N/A ")</f>
        <v>N/A</v>
      </c>
      <c r="U303" s="73" t="str">
        <f>IFERROR(__xludf.DUMMYFUNCTION("""COMPUTED_VALUE""")," NO CHARGE ")</f>
        <v>NO CHARGE</v>
      </c>
      <c r="V303" s="2"/>
      <c r="W303" s="2" t="str">
        <f>IFERROR(__xludf.DUMMYFUNCTION("""COMPUTED_VALUE"""),"N/A")</f>
        <v>N/A</v>
      </c>
      <c r="X303" s="2" t="str">
        <f>IFERROR(__xludf.DUMMYFUNCTION("""COMPUTED_VALUE"""),"N/A")</f>
        <v>N/A</v>
      </c>
      <c r="Y303" s="2"/>
      <c r="Z303" s="2"/>
      <c r="AA303" s="2"/>
      <c r="AB303" s="2"/>
      <c r="AC303" s="2"/>
      <c r="AD303" s="2"/>
      <c r="AE303" s="2"/>
      <c r="AF303" s="2"/>
      <c r="AG303" s="2"/>
      <c r="AH303" s="2"/>
      <c r="AI303" s="2"/>
      <c r="AJ303" s="2" t="str">
        <f>IFERROR(__xludf.DUMMYFUNCTION("""COMPUTED_VALUE"""),"David")</f>
        <v>David</v>
      </c>
      <c r="AK303" s="2" t="str">
        <f>IFERROR(__xludf.DUMMYFUNCTION("""COMPUTED_VALUE"""),"San Jose")</f>
        <v>San Jose</v>
      </c>
      <c r="AL303" s="2" t="str">
        <f>IFERROR(__xludf.DUMMYFUNCTION("""COMPUTED_VALUE"""),"Tarlac")</f>
        <v>Tarlac</v>
      </c>
      <c r="AM303" s="2">
        <f>IFERROR(__xludf.DUMMYFUNCTION("""COMPUTED_VALUE"""),3.0)</f>
        <v>3</v>
      </c>
      <c r="AN303" s="2" t="str">
        <f>IFERROR(__xludf.DUMMYFUNCTION("""COMPUTED_VALUE"""),"RCEF 23-09-21 Rebidding")</f>
        <v>RCEF 23-09-21 Rebidding</v>
      </c>
      <c r="AO303" s="2">
        <f>IFERROR(__xludf.DUMMYFUNCTION("""COMPUTED_VALUE"""),3.0)</f>
        <v>3</v>
      </c>
      <c r="AP303" s="2"/>
      <c r="AQ303" s="2"/>
      <c r="AR303" s="2"/>
      <c r="AS303" s="2"/>
      <c r="AT303" s="2"/>
      <c r="AU303" s="2"/>
      <c r="AV303" s="2"/>
      <c r="AW303" s="2"/>
      <c r="AX303" s="2"/>
      <c r="AY303" s="2"/>
      <c r="AZ303" s="2"/>
      <c r="BA303" s="2"/>
      <c r="BB303" s="2"/>
    </row>
    <row r="304">
      <c r="A304" s="2">
        <f>IFERROR(__xludf.DUMMYFUNCTION("""COMPUTED_VALUE"""),300.0)</f>
        <v>300</v>
      </c>
      <c r="B304" s="2" t="str">
        <f>IFERROR(__xludf.DUMMYFUNCTION("""COMPUTED_VALUE"""),"COMPLETED")</f>
        <v>COMPLETED</v>
      </c>
      <c r="C304" s="74">
        <f>IFERROR(__xludf.DUMMYFUNCTION("""COMPUTED_VALUE"""),45478.0)</f>
        <v>45478</v>
      </c>
      <c r="D304" s="71" t="str">
        <f>IFERROR(__xludf.DUMMYFUNCTION("""COMPUTED_VALUE"""),"BARANGAY BATONG BUHAY FARMER'S ASSOCIATION")</f>
        <v>BARANGAY BATONG BUHAY FARMER'S ASSOCIATION</v>
      </c>
      <c r="E304" s="71" t="str">
        <f>IFERROR(__xludf.DUMMYFUNCTION("""COMPUTED_VALUE"""),"BATONG BUHAY, SABLAYAN, OCCIDENTAL MINDORO")</f>
        <v>BATONG BUHAY, SABLAYAN, OCCIDENTAL MINDORO</v>
      </c>
      <c r="F304" s="2" t="str">
        <f>IFERROR(__xludf.DUMMYFUNCTION("""COMPUTED_VALUE"""),"JOEY AMOYEN")</f>
        <v>JOEY AMOYEN</v>
      </c>
      <c r="G304" s="2">
        <f>IFERROR(__xludf.DUMMYFUNCTION("""COMPUTED_VALUE"""),9.158306197E9)</f>
        <v>9158306197</v>
      </c>
      <c r="H304" s="2">
        <f>IFERROR(__xludf.DUMMYFUNCTION("""COMPUTED_VALUE"""),400.0)</f>
        <v>400</v>
      </c>
      <c r="I304" s="72" t="str">
        <f>IFERROR(__xludf.DUMMYFUNCTION("""COMPUTED_VALUE"""),"PMS")</f>
        <v>PMS</v>
      </c>
      <c r="J304" s="72" t="str">
        <f>IFERROR(__xludf.DUMMYFUNCTION("""COMPUTED_VALUE"""),"PMS")</f>
        <v>PMS</v>
      </c>
      <c r="K304" s="72" t="str">
        <f>IFERROR(__xludf.DUMMYFUNCTION("""COMPUTED_VALUE"""),"SECOND PMS")</f>
        <v>SECOND PMS</v>
      </c>
      <c r="L304" s="72" t="str">
        <f>IFERROR(__xludf.DUMMYFUNCTION("""COMPUTED_VALUE"""),"2ND PMS DONE: OIL FILTER AND HYDRAULIC FILTER PAID BY FCA")</f>
        <v>2ND PMS DONE: OIL FILTER AND HYDRAULIC FILTER PAID BY FCA</v>
      </c>
      <c r="M304" s="2"/>
      <c r="N304" s="2" t="str">
        <f>IFERROR(__xludf.DUMMYFUNCTION("""COMPUTED_VALUE"""),"OIL FILTER
HYDRAULIC FILTER")</f>
        <v>OIL FILTER
HYDRAULIC FILTER</v>
      </c>
      <c r="O304" s="2" t="str">
        <f>IFERROR(__xludf.DUMMYFUNCTION("""COMPUTED_VALUE"""),"JIE-835")</f>
        <v>JIE-835</v>
      </c>
      <c r="P304" s="2"/>
      <c r="Q304" s="2"/>
      <c r="R304" s="74">
        <f>IFERROR(__xludf.DUMMYFUNCTION("""COMPUTED_VALUE"""),45478.0)</f>
        <v>45478</v>
      </c>
      <c r="S304" s="2" t="str">
        <f>IFERROR(__xludf.DUMMYFUNCTION("""COMPUTED_VALUE"""),"SUSHI/JTT")</f>
        <v>SUSHI/JTT</v>
      </c>
      <c r="T304" s="73">
        <f>IFERROR(__xludf.DUMMYFUNCTION("""COMPUTED_VALUE"""),5072.0)</f>
        <v>5072</v>
      </c>
      <c r="U304" s="73" t="str">
        <f>IFERROR(__xludf.DUMMYFUNCTION("""COMPUTED_VALUE""")," REMITTED ")</f>
        <v>REMITTED</v>
      </c>
      <c r="V304" s="2"/>
      <c r="W304" s="2"/>
      <c r="X304" s="2"/>
      <c r="Y304" s="2"/>
      <c r="Z304" s="2"/>
      <c r="AA304" s="2"/>
      <c r="AB304" s="2"/>
      <c r="AC304" s="2"/>
      <c r="AD304" s="2"/>
      <c r="AE304" s="2"/>
      <c r="AF304" s="2"/>
      <c r="AG304" s="2"/>
      <c r="AH304" s="2"/>
      <c r="AI304" s="2"/>
      <c r="AJ304" s="2" t="str">
        <f>IFERROR(__xludf.DUMMYFUNCTION("""COMPUTED_VALUE"""),"Batong Buhay")</f>
        <v>Batong Buhay</v>
      </c>
      <c r="AK304" s="2" t="str">
        <f>IFERROR(__xludf.DUMMYFUNCTION("""COMPUTED_VALUE"""),"Sablayan")</f>
        <v>Sablayan</v>
      </c>
      <c r="AL304" s="2" t="str">
        <f>IFERROR(__xludf.DUMMYFUNCTION("""COMPUTED_VALUE"""),"Occidental Mindoro")</f>
        <v>Occidental Mindoro</v>
      </c>
      <c r="AM304" s="2" t="str">
        <f>IFERROR(__xludf.DUMMYFUNCTION("""COMPUTED_VALUE"""),"4B")</f>
        <v>4B</v>
      </c>
      <c r="AN304" s="2" t="str">
        <f>IFERROR(__xludf.DUMMYFUNCTION("""COMPUTED_VALUE"""),"RCEF 23-08-20 Rebidding")</f>
        <v>RCEF 23-08-20 Rebidding</v>
      </c>
      <c r="AO304" s="2">
        <f>IFERROR(__xludf.DUMMYFUNCTION("""COMPUTED_VALUE"""),1.0)</f>
        <v>1</v>
      </c>
      <c r="AP304" s="2"/>
      <c r="AQ304" s="2"/>
      <c r="AR304" s="2"/>
      <c r="AS304" s="2"/>
      <c r="AT304" s="2"/>
      <c r="AU304" s="2"/>
      <c r="AV304" s="2"/>
      <c r="AW304" s="2"/>
      <c r="AX304" s="2"/>
      <c r="AY304" s="2"/>
      <c r="AZ304" s="2"/>
      <c r="BA304" s="2"/>
      <c r="BB304" s="2"/>
    </row>
    <row r="305">
      <c r="A305" s="2">
        <f>IFERROR(__xludf.DUMMYFUNCTION("""COMPUTED_VALUE"""),301.0)</f>
        <v>301</v>
      </c>
      <c r="B305" s="2" t="str">
        <f>IFERROR(__xludf.DUMMYFUNCTION("""COMPUTED_VALUE"""),"COMPLETED")</f>
        <v>COMPLETED</v>
      </c>
      <c r="C305" s="74">
        <f>IFERROR(__xludf.DUMMYFUNCTION("""COMPUTED_VALUE"""),45478.0)</f>
        <v>45478</v>
      </c>
      <c r="D305" s="71" t="str">
        <f>IFERROR(__xludf.DUMMYFUNCTION("""COMPUTED_VALUE"""),"GUMAWISAN MAPACO FARMERS ASSOCIATION")</f>
        <v>GUMAWISAN MAPACO FARMERS ASSOCIATION</v>
      </c>
      <c r="E305" s="71" t="str">
        <f>IFERROR(__xludf.DUMMYFUNCTION("""COMPUTED_VALUE"""),"Mapaco, Pinukpuk, KALINGA")</f>
        <v>Mapaco, Pinukpuk, KALINGA</v>
      </c>
      <c r="F305" s="2" t="str">
        <f>IFERROR(__xludf.DUMMYFUNCTION("""COMPUTED_VALUE"""),"MELVIN LEE R. MANGWAS")</f>
        <v>MELVIN LEE R. MANGWAS</v>
      </c>
      <c r="G305" s="2">
        <f>IFERROR(__xludf.DUMMYFUNCTION("""COMPUTED_VALUE"""),9.069310401E9)</f>
        <v>9069310401</v>
      </c>
      <c r="H305" s="2">
        <f>IFERROR(__xludf.DUMMYFUNCTION("""COMPUTED_VALUE"""),7.0)</f>
        <v>7</v>
      </c>
      <c r="I305" s="72" t="str">
        <f>IFERROR(__xludf.DUMMYFUNCTION("""COMPUTED_VALUE"""),"REPAIR - TRACTOR")</f>
        <v>REPAIR - TRACTOR</v>
      </c>
      <c r="J305" s="72" t="str">
        <f>IFERROR(__xludf.DUMMYFUNCTION("""COMPUTED_VALUE"""),"Transmission - Clutch")</f>
        <v>Transmission - Clutch</v>
      </c>
      <c r="K305" s="72" t="str">
        <f>IFERROR(__xludf.DUMMYFUNCTION("""COMPUTED_VALUE"""),"CFG:THE TRACTOR CANNOT MOVE FORWARD AND REVERCE 
JTT: PATRTS: CLUTCH DISC ASSY
DSD: 8/15/24: Biniyak po namin yung unit then tinignan po namin yung lining at
Release bearing okay naman po pinilitan po namin ng bago na clutch lining then binalik po namin m"&amp;"alambot pa din po ang clutch 
PARTS: CLUTCH COVER ASSY
JHP: 10/2/24: Reported on July 5, 2024 and the FCA sent videos which was interpreted by Supplier.
August 2024 the suplier visited the site and mis interpreted the concern.
September 2024 misinterprete"&amp;"d again. 
Hindi po siya narepair
PARTS: FLY WHEEL
JHP/ACS: 10/9/24: SHAFTING FORWARD REVERSE (SHUTTLE FORK)
")</f>
        <v>CFG:THE TRACTOR CANNOT MOVE FORWARD AND REVERCE 
JTT: PATRTS: CLUTCH DISC ASSY
DSD: 8/15/24: Biniyak po namin yung unit then tinignan po namin yung lining at
Release bearing okay naman po pinilitan po namin ng bago na clutch lining then binalik po namin malambot pa din po ang clutch 
PARTS: CLUTCH COVER ASSY
JHP: 10/2/24: Reported on July 5, 2024 and the FCA sent videos which was interpreted by Supplier.
August 2024 the suplier visited the site and mis interpreted the concern.
September 2024 misinterpreted again. 
Hindi po siya narepair
PARTS: FLY WHEEL
JHP/ACS: 10/9/24: SHAFTING FORWARD REVERSE (SHUTTLE FORK)
</v>
      </c>
      <c r="L305" s="72" t="str">
        <f>IFERROR(__xludf.DUMMYFUNCTION("""COMPUTED_VALUE"""),"JHP/ACS: REPLACED FORK SHUTTLE SHIFT")</f>
        <v>JHP/ACS: REPLACED FORK SHUTTLE SHIFT</v>
      </c>
      <c r="M305" s="2"/>
      <c r="N305" s="2" t="str">
        <f>IFERROR(__xludf.DUMMYFUNCTION("""COMPUTED_VALUE"""),"PARTS: CLUTCH COVER ASSY, FORK SHUTTLE SHIFT")</f>
        <v>PARTS: CLUTCH COVER ASSY, FORK SHUTTLE SHIFT</v>
      </c>
      <c r="O305" s="2" t="str">
        <f>IFERROR(__xludf.DUMMYFUNCTION("""COMPUTED_VALUE"""),"1ST: 0580
2ND: 0594")</f>
        <v>1ST: 0580
2ND: 0594</v>
      </c>
      <c r="P305" s="2"/>
      <c r="Q305" s="2"/>
      <c r="R305" s="74">
        <f>IFERROR(__xludf.DUMMYFUNCTION("""COMPUTED_VALUE"""),45613.0)</f>
        <v>45613</v>
      </c>
      <c r="S305" s="2" t="str">
        <f>IFERROR(__xludf.DUMMYFUNCTION("""COMPUTED_VALUE"""),"JHP/ACS")</f>
        <v>JHP/ACS</v>
      </c>
      <c r="T305" s="73" t="str">
        <f>IFERROR(__xludf.DUMMYFUNCTION("""COMPUTED_VALUE""")," N/A ")</f>
        <v>N/A</v>
      </c>
      <c r="U305" s="73" t="str">
        <f>IFERROR(__xludf.DUMMYFUNCTION("""COMPUTED_VALUE""")," NO CHARGE ")</f>
        <v>NO CHARGE</v>
      </c>
      <c r="V305" s="2"/>
      <c r="W305" s="2" t="str">
        <f>IFERROR(__xludf.DUMMYFUNCTION("""COMPUTED_VALUE"""),"N/A")</f>
        <v>N/A</v>
      </c>
      <c r="X305" s="2" t="str">
        <f>IFERROR(__xludf.DUMMYFUNCTION("""COMPUTED_VALUE"""),"N/A")</f>
        <v>N/A</v>
      </c>
      <c r="Y305" s="2" t="str">
        <f>IFERROR(__xludf.DUMMYFUNCTION("""COMPUTED_VALUE"""),"NO PARTS")</f>
        <v>NO PARTS</v>
      </c>
      <c r="Z305" s="2"/>
      <c r="AA305" s="2"/>
      <c r="AB305" s="2"/>
      <c r="AC305" s="2" t="str">
        <f>IFERROR(__xludf.DUMMYFUNCTION("""COMPUTED_VALUE"""),"N")</f>
        <v>N</v>
      </c>
      <c r="AD305" s="2"/>
      <c r="AE305" s="2"/>
      <c r="AF305" s="2"/>
      <c r="AG305" s="2"/>
      <c r="AH305" s="2"/>
      <c r="AI305" s="2"/>
      <c r="AJ305" s="2" t="str">
        <f>IFERROR(__xludf.DUMMYFUNCTION("""COMPUTED_VALUE"""),"Mapaco")</f>
        <v>Mapaco</v>
      </c>
      <c r="AK305" s="2" t="str">
        <f>IFERROR(__xludf.DUMMYFUNCTION("""COMPUTED_VALUE"""),"Pinukpuk")</f>
        <v>Pinukpuk</v>
      </c>
      <c r="AL305" s="2" t="str">
        <f>IFERROR(__xludf.DUMMYFUNCTION("""COMPUTED_VALUE"""),"Kalinga")</f>
        <v>Kalinga</v>
      </c>
      <c r="AM305" s="2" t="str">
        <f>IFERROR(__xludf.DUMMYFUNCTION("""COMPUTED_VALUE"""),"CAR")</f>
        <v>CAR</v>
      </c>
      <c r="AN305" s="2" t="str">
        <f>IFERROR(__xludf.DUMMYFUNCTION("""COMPUTED_VALUE"""),"RCEF 23-09-21 Rebidding")</f>
        <v>RCEF 23-09-21 Rebidding</v>
      </c>
      <c r="AO305" s="2">
        <f>IFERROR(__xludf.DUMMYFUNCTION("""COMPUTED_VALUE"""),1.0)</f>
        <v>1</v>
      </c>
      <c r="AP305" s="2"/>
      <c r="AQ305" s="2"/>
      <c r="AR305" s="2"/>
      <c r="AS305" s="2"/>
      <c r="AT305" s="2"/>
      <c r="AU305" s="2"/>
      <c r="AV305" s="2"/>
      <c r="AW305" s="2"/>
      <c r="AX305" s="2"/>
      <c r="AY305" s="2"/>
      <c r="AZ305" s="2"/>
      <c r="BA305" s="2"/>
      <c r="BB305" s="2"/>
    </row>
    <row r="306">
      <c r="A306" s="2">
        <f>IFERROR(__xludf.DUMMYFUNCTION("""COMPUTED_VALUE"""),302.0)</f>
        <v>302</v>
      </c>
      <c r="B306" s="2" t="str">
        <f>IFERROR(__xludf.DUMMYFUNCTION("""COMPUTED_VALUE"""),"COMPLETED")</f>
        <v>COMPLETED</v>
      </c>
      <c r="C306" s="74">
        <f>IFERROR(__xludf.DUMMYFUNCTION("""COMPUTED_VALUE"""),45481.0)</f>
        <v>45481</v>
      </c>
      <c r="D306" s="71" t="str">
        <f>IFERROR(__xludf.DUMMYFUNCTION("""COMPUTED_VALUE"""),"Agribusiness Farmworker's Livelihood and Agriculture Cooperative (AFLAC)")</f>
        <v>Agribusiness Farmworker's Livelihood and Agriculture Cooperative (AFLAC)</v>
      </c>
      <c r="E306" s="71" t="str">
        <f>IFERROR(__xludf.DUMMYFUNCTION("""COMPUTED_VALUE"""),"Capihan, San Rafael, BULACAN")</f>
        <v>Capihan, San Rafael, BULACAN</v>
      </c>
      <c r="F306" s="2" t="str">
        <f>IFERROR(__xludf.DUMMYFUNCTION("""COMPUTED_VALUE"""),"ANGELITO VERDILLO")</f>
        <v>ANGELITO VERDILLO</v>
      </c>
      <c r="G306" s="2">
        <f>IFERROR(__xludf.DUMMYFUNCTION("""COMPUTED_VALUE"""),9.325674073E9)</f>
        <v>9325674073</v>
      </c>
      <c r="H306" s="2">
        <f>IFERROR(__xludf.DUMMYFUNCTION("""COMPUTED_VALUE"""),58.4)</f>
        <v>58.4</v>
      </c>
      <c r="I306" s="72" t="str">
        <f>IFERROR(__xludf.DUMMYFUNCTION("""COMPUTED_VALUE"""),"REPAIR - TRACTOR")</f>
        <v>REPAIR - TRACTOR</v>
      </c>
      <c r="J306" s="72" t="str">
        <f>IFERROR(__xludf.DUMMYFUNCTION("""COMPUTED_VALUE"""),"Transmission - Main Drive")</f>
        <v>Transmission - Main Drive</v>
      </c>
      <c r="K306" s="72" t="str">
        <f>IFERROR(__xludf.DUMMYFUNCTION("""COMPUTED_VALUE"""),"MYKEE: HARD TO SHIFT GEARS FOR FIRTS AND SECOND GEARS")</f>
        <v>MYKEE: HARD TO SHIFT GEARS FOR FIRTS AND SECOND GEARS</v>
      </c>
      <c r="L306" s="72" t="str">
        <f>IFERROR(__xludf.DUMMYFUNCTION("""COMPUTED_VALUE"""),"JVV: BINAKLAS PO NAMIN YUNG SHIFTING GEAR TSAKA PO NAMIN NILAGYAN NG WD40 PARA PO MATANGAL YUNG KALAWANG, TAPOS NUNG KINABIT PO NAMIN , OK NAMAN NA PO MADALI NA SYANG I SHIFTDINA NA PO NAMAMAKAT.")</f>
        <v>JVV: BINAKLAS PO NAMIN YUNG SHIFTING GEAR TSAKA PO NAMIN NILAGYAN NG WD40 PARA PO MATANGAL YUNG KALAWANG, TAPOS NUNG KINABIT PO NAMIN , OK NAMAN NA PO MADALI NA SYANG I SHIFTDINA NA PO NAMAMAKAT.</v>
      </c>
      <c r="M306" s="2"/>
      <c r="N306" s="2"/>
      <c r="O306" s="2" t="str">
        <f>IFERROR(__xludf.DUMMYFUNCTION("""COMPUTED_VALUE"""),"JIE-840")</f>
        <v>JIE-840</v>
      </c>
      <c r="P306" s="2"/>
      <c r="Q306" s="2"/>
      <c r="R306" s="74">
        <f>IFERROR(__xludf.DUMMYFUNCTION("""COMPUTED_VALUE"""),45482.0)</f>
        <v>45482</v>
      </c>
      <c r="S306" s="2" t="str">
        <f>IFERROR(__xludf.DUMMYFUNCTION("""COMPUTED_VALUE"""),"EGT/JVV")</f>
        <v>EGT/JVV</v>
      </c>
      <c r="T306" s="73" t="str">
        <f>IFERROR(__xludf.DUMMYFUNCTION("""COMPUTED_VALUE""")," N/A ")</f>
        <v>N/A</v>
      </c>
      <c r="U306" s="73" t="str">
        <f>IFERROR(__xludf.DUMMYFUNCTION("""COMPUTED_VALUE""")," NO CHARGE ")</f>
        <v>NO CHARGE</v>
      </c>
      <c r="V306" s="2"/>
      <c r="W306" s="2" t="str">
        <f>IFERROR(__xludf.DUMMYFUNCTION("""COMPUTED_VALUE"""),"N/A")</f>
        <v>N/A</v>
      </c>
      <c r="X306" s="2" t="str">
        <f>IFERROR(__xludf.DUMMYFUNCTION("""COMPUTED_VALUE"""),"N/A")</f>
        <v>N/A</v>
      </c>
      <c r="Y306" s="2"/>
      <c r="Z306" s="2"/>
      <c r="AA306" s="2"/>
      <c r="AB306" s="2"/>
      <c r="AC306" s="2"/>
      <c r="AD306" s="2"/>
      <c r="AE306" s="2"/>
      <c r="AF306" s="2"/>
      <c r="AG306" s="2"/>
      <c r="AH306" s="2"/>
      <c r="AI306" s="2"/>
      <c r="AJ306" s="2" t="str">
        <f>IFERROR(__xludf.DUMMYFUNCTION("""COMPUTED_VALUE"""),"Capihan")</f>
        <v>Capihan</v>
      </c>
      <c r="AK306" s="2" t="str">
        <f>IFERROR(__xludf.DUMMYFUNCTION("""COMPUTED_VALUE"""),"San Rafael")</f>
        <v>San Rafael</v>
      </c>
      <c r="AL306" s="2" t="str">
        <f>IFERROR(__xludf.DUMMYFUNCTION("""COMPUTED_VALUE"""),"Bulacan")</f>
        <v>Bulacan</v>
      </c>
      <c r="AM306" s="2">
        <f>IFERROR(__xludf.DUMMYFUNCTION("""COMPUTED_VALUE"""),3.0)</f>
        <v>3</v>
      </c>
      <c r="AN306" s="2" t="str">
        <f>IFERROR(__xludf.DUMMYFUNCTION("""COMPUTED_VALUE"""),"RCEF 23-09-21 Rebidding")</f>
        <v>RCEF 23-09-21 Rebidding</v>
      </c>
      <c r="AO306" s="2">
        <f>IFERROR(__xludf.DUMMYFUNCTION("""COMPUTED_VALUE"""),3.0)</f>
        <v>3</v>
      </c>
      <c r="AP306" s="2"/>
      <c r="AQ306" s="2"/>
      <c r="AR306" s="2"/>
      <c r="AS306" s="2"/>
      <c r="AT306" s="2"/>
      <c r="AU306" s="2"/>
      <c r="AV306" s="2"/>
      <c r="AW306" s="2"/>
      <c r="AX306" s="2"/>
      <c r="AY306" s="2"/>
      <c r="AZ306" s="2"/>
      <c r="BA306" s="2"/>
      <c r="BB306" s="2"/>
    </row>
    <row r="307">
      <c r="A307" s="2">
        <f>IFERROR(__xludf.DUMMYFUNCTION("""COMPUTED_VALUE"""),303.0)</f>
        <v>303</v>
      </c>
      <c r="B307" s="2" t="str">
        <f>IFERROR(__xludf.DUMMYFUNCTION("""COMPUTED_VALUE"""),"COMPLETED")</f>
        <v>COMPLETED</v>
      </c>
      <c r="C307" s="74">
        <f>IFERROR(__xludf.DUMMYFUNCTION("""COMPUTED_VALUE"""),45481.0)</f>
        <v>45481</v>
      </c>
      <c r="D307" s="71" t="str">
        <f>IFERROR(__xludf.DUMMYFUNCTION("""COMPUTED_VALUE"""),"TAYAK AGRI-FISHERY PRODUCERS ASSOCIATION")</f>
        <v>TAYAK AGRI-FISHERY PRODUCERS ASSOCIATION</v>
      </c>
      <c r="E307" s="71" t="str">
        <f>IFERROR(__xludf.DUMMYFUNCTION("""COMPUTED_VALUE"""),"Siguiran, Abulug, CAGAYAN")</f>
        <v>Siguiran, Abulug, CAGAYAN</v>
      </c>
      <c r="F307" s="2" t="str">
        <f>IFERROR(__xludf.DUMMYFUNCTION("""COMPUTED_VALUE"""),"CRISTOFFER BAYANI")</f>
        <v>CRISTOFFER BAYANI</v>
      </c>
      <c r="G307" s="2">
        <f>IFERROR(__xludf.DUMMYFUNCTION("""COMPUTED_VALUE"""),9.273062333E9)</f>
        <v>9273062333</v>
      </c>
      <c r="H307" s="2">
        <f>IFERROR(__xludf.DUMMYFUNCTION("""COMPUTED_VALUE"""),295.0)</f>
        <v>295</v>
      </c>
      <c r="I307" s="72" t="str">
        <f>IFERROR(__xludf.DUMMYFUNCTION("""COMPUTED_VALUE"""),"PMS")</f>
        <v>PMS</v>
      </c>
      <c r="J307" s="72" t="str">
        <f>IFERROR(__xludf.DUMMYFUNCTION("""COMPUTED_VALUE"""),"PMS")</f>
        <v>PMS</v>
      </c>
      <c r="K307" s="72" t="str">
        <f>IFERROR(__xludf.DUMMYFUNCTION("""COMPUTED_VALUE"""),"JHP: SECOND PMS")</f>
        <v>JHP: SECOND PMS</v>
      </c>
      <c r="L307" s="72" t="str">
        <f>IFERROR(__xludf.DUMMYFUNCTION("""COMPUTED_VALUE"""),"CFG: SECOND PMS DONE, PINAPAPALITAN NALNAG PO NAMIN YUNG LANGIS NG GEAR OIL
FCA: PAID HYDRAULIC FILTER")</f>
        <v>CFG: SECOND PMS DONE, PINAPAPALITAN NALNAG PO NAMIN YUNG LANGIS NG GEAR OIL
FCA: PAID HYDRAULIC FILTER</v>
      </c>
      <c r="M307" s="2"/>
      <c r="N307" s="2" t="str">
        <f>IFERROR(__xludf.DUMMYFUNCTION("""COMPUTED_VALUE"""),"HYDRAULIC FILTER")</f>
        <v>HYDRAULIC FILTER</v>
      </c>
      <c r="O307" s="2" t="str">
        <f>IFERROR(__xludf.DUMMYFUNCTION("""COMPUTED_VALUE"""),"JIE-846")</f>
        <v>JIE-846</v>
      </c>
      <c r="P307" s="2"/>
      <c r="Q307" s="2"/>
      <c r="R307" s="74">
        <f>IFERROR(__xludf.DUMMYFUNCTION("""COMPUTED_VALUE"""),45485.0)</f>
        <v>45485</v>
      </c>
      <c r="S307" s="2" t="str">
        <f>IFERROR(__xludf.DUMMYFUNCTION("""COMPUTED_VALUE"""),"CFG/DSD")</f>
        <v>CFG/DSD</v>
      </c>
      <c r="T307" s="73">
        <f>IFERROR(__xludf.DUMMYFUNCTION("""COMPUTED_VALUE"""),5087.5)</f>
        <v>5087.5</v>
      </c>
      <c r="U307" s="73" t="str">
        <f>IFERROR(__xludf.DUMMYFUNCTION("""COMPUTED_VALUE""")," REMITTED ")</f>
        <v>REMITTED</v>
      </c>
      <c r="V307" s="2"/>
      <c r="W307" s="2"/>
      <c r="X307" s="2"/>
      <c r="Y307" s="2"/>
      <c r="Z307" s="2"/>
      <c r="AA307" s="2"/>
      <c r="AB307" s="2"/>
      <c r="AC307" s="2"/>
      <c r="AD307" s="2"/>
      <c r="AE307" s="2"/>
      <c r="AF307" s="2"/>
      <c r="AG307" s="2"/>
      <c r="AH307" s="2"/>
      <c r="AI307" s="2"/>
      <c r="AJ307" s="2" t="str">
        <f>IFERROR(__xludf.DUMMYFUNCTION("""COMPUTED_VALUE"""),"Siguiran")</f>
        <v>Siguiran</v>
      </c>
      <c r="AK307" s="2" t="str">
        <f>IFERROR(__xludf.DUMMYFUNCTION("""COMPUTED_VALUE"""),"Abulug")</f>
        <v>Abulug</v>
      </c>
      <c r="AL307" s="2" t="str">
        <f>IFERROR(__xludf.DUMMYFUNCTION("""COMPUTED_VALUE"""),"Cagayan")</f>
        <v>Cagayan</v>
      </c>
      <c r="AM307" s="2">
        <f>IFERROR(__xludf.DUMMYFUNCTION("""COMPUTED_VALUE"""),2.0)</f>
        <v>2</v>
      </c>
      <c r="AN307" s="2" t="str">
        <f>IFERROR(__xludf.DUMMYFUNCTION("""COMPUTED_VALUE"""),"RCEF 23-09-21 Rebidding")</f>
        <v>RCEF 23-09-21 Rebidding</v>
      </c>
      <c r="AO307" s="2">
        <f>IFERROR(__xludf.DUMMYFUNCTION("""COMPUTED_VALUE"""),9.0)</f>
        <v>9</v>
      </c>
      <c r="AP307" s="2"/>
      <c r="AQ307" s="2"/>
      <c r="AR307" s="2"/>
      <c r="AS307" s="2"/>
      <c r="AT307" s="2"/>
      <c r="AU307" s="2"/>
      <c r="AV307" s="2"/>
      <c r="AW307" s="2"/>
      <c r="AX307" s="2"/>
      <c r="AY307" s="2"/>
      <c r="AZ307" s="2"/>
      <c r="BA307" s="2"/>
      <c r="BB307" s="2"/>
    </row>
    <row r="308">
      <c r="A308" s="2">
        <f>IFERROR(__xludf.DUMMYFUNCTION("""COMPUTED_VALUE"""),304.0)</f>
        <v>304</v>
      </c>
      <c r="B308" s="2" t="str">
        <f>IFERROR(__xludf.DUMMYFUNCTION("""COMPUTED_VALUE"""),"COMPLETED")</f>
        <v>COMPLETED</v>
      </c>
      <c r="C308" s="74">
        <f>IFERROR(__xludf.DUMMYFUNCTION("""COMPUTED_VALUE"""),45481.0)</f>
        <v>45481</v>
      </c>
      <c r="D308" s="71" t="str">
        <f>IFERROR(__xludf.DUMMYFUNCTION("""COMPUTED_VALUE"""),"MALLING PROGRESSIVE FARMERS ASSOCIATION")</f>
        <v>MALLING PROGRESSIVE FARMERS ASSOCIATION</v>
      </c>
      <c r="E308" s="71" t="str">
        <f>IFERROR(__xludf.DUMMYFUNCTION("""COMPUTED_VALUE"""),"Pugol (Ifugao Reservation), Lamut, IFUGAO")</f>
        <v>Pugol (Ifugao Reservation), Lamut, IFUGAO</v>
      </c>
      <c r="F308" s="2" t="str">
        <f>IFERROR(__xludf.DUMMYFUNCTION("""COMPUTED_VALUE"""),"JENNY B. GASMIN")</f>
        <v>JENNY B. GASMIN</v>
      </c>
      <c r="G308" s="2" t="str">
        <f>IFERROR(__xludf.DUMMYFUNCTION("""COMPUTED_VALUE"""),"09362869753  /   09151319699")</f>
        <v>09362869753  /   09151319699</v>
      </c>
      <c r="H308" s="2">
        <f>IFERROR(__xludf.DUMMYFUNCTION("""COMPUTED_VALUE"""),85.2)</f>
        <v>85.2</v>
      </c>
      <c r="I308" s="72" t="str">
        <f>IFERROR(__xludf.DUMMYFUNCTION("""COMPUTED_VALUE"""),"REPAIR - TRACTOR")</f>
        <v>REPAIR - TRACTOR</v>
      </c>
      <c r="J308" s="72" t="str">
        <f>IFERROR(__xludf.DUMMYFUNCTION("""COMPUTED_VALUE"""),"Radiator")</f>
        <v>Radiator</v>
      </c>
      <c r="K308" s="72" t="str">
        <f>IFERROR(__xludf.DUMMYFUNCTION("""COMPUTED_VALUE"""),"RBS: PUMUTOK ANG IBABAW NG RADIATOR")</f>
        <v>RBS: PUMUTOK ANG IBABAW NG RADIATOR</v>
      </c>
      <c r="L308" s="72" t="str">
        <f>IFERROR(__xludf.DUMMYFUNCTION("""COMPUTED_VALUE"""),"DSD: PINALITAN NA PO NAMIN NG RADIATOR")</f>
        <v>DSD: PINALITAN NA PO NAMIN NG RADIATOR</v>
      </c>
      <c r="M308" s="2"/>
      <c r="N308" s="2" t="str">
        <f>IFERROR(__xludf.DUMMYFUNCTION("""COMPUTED_VALUE"""),"PARTS: RADIATOR")</f>
        <v>PARTS: RADIATOR</v>
      </c>
      <c r="O308" s="2" t="str">
        <f>IFERROR(__xludf.DUMMYFUNCTION("""COMPUTED_VALUE"""),"JIE-901")</f>
        <v>JIE-901</v>
      </c>
      <c r="P308" s="2"/>
      <c r="Q308" s="2"/>
      <c r="R308" s="74">
        <f>IFERROR(__xludf.DUMMYFUNCTION("""COMPUTED_VALUE"""),45486.0)</f>
        <v>45486</v>
      </c>
      <c r="S308" s="2" t="str">
        <f>IFERROR(__xludf.DUMMYFUNCTION("""COMPUTED_VALUE"""),"CFG/DSD")</f>
        <v>CFG/DSD</v>
      </c>
      <c r="T308" s="73" t="str">
        <f>IFERROR(__xludf.DUMMYFUNCTION("""COMPUTED_VALUE""")," N/A ")</f>
        <v>N/A</v>
      </c>
      <c r="U308" s="73" t="str">
        <f>IFERROR(__xludf.DUMMYFUNCTION("""COMPUTED_VALUE""")," NO CHARGE ")</f>
        <v>NO CHARGE</v>
      </c>
      <c r="V308" s="2"/>
      <c r="W308" s="2" t="str">
        <f>IFERROR(__xludf.DUMMYFUNCTION("""COMPUTED_VALUE"""),"N/A")</f>
        <v>N/A</v>
      </c>
      <c r="X308" s="2" t="str">
        <f>IFERROR(__xludf.DUMMYFUNCTION("""COMPUTED_VALUE"""),"N/A")</f>
        <v>N/A</v>
      </c>
      <c r="Y308" s="2"/>
      <c r="Z308" s="2"/>
      <c r="AA308" s="2"/>
      <c r="AB308" s="2"/>
      <c r="AC308" s="2" t="str">
        <f>IFERROR(__xludf.DUMMYFUNCTION("""COMPUTED_VALUE"""),"Y")</f>
        <v>Y</v>
      </c>
      <c r="AD308" s="2"/>
      <c r="AE308" s="2"/>
      <c r="AF308" s="2"/>
      <c r="AG308" s="2"/>
      <c r="AH308" s="2"/>
      <c r="AI308" s="2"/>
      <c r="AJ308" s="2" t="str">
        <f>IFERROR(__xludf.DUMMYFUNCTION("""COMPUTED_VALUE"""),"Pugol (Ifugao Reservation)")</f>
        <v>Pugol (Ifugao Reservation)</v>
      </c>
      <c r="AK308" s="2" t="str">
        <f>IFERROR(__xludf.DUMMYFUNCTION("""COMPUTED_VALUE"""),"Lamut")</f>
        <v>Lamut</v>
      </c>
      <c r="AL308" s="2" t="str">
        <f>IFERROR(__xludf.DUMMYFUNCTION("""COMPUTED_VALUE"""),"Ifugao")</f>
        <v>Ifugao</v>
      </c>
      <c r="AM308" s="2" t="str">
        <f>IFERROR(__xludf.DUMMYFUNCTION("""COMPUTED_VALUE"""),"CAR")</f>
        <v>CAR</v>
      </c>
      <c r="AN308" s="2" t="str">
        <f>IFERROR(__xludf.DUMMYFUNCTION("""COMPUTED_VALUE"""),"RCEF 23-09-21 Rebidding")</f>
        <v>RCEF 23-09-21 Rebidding</v>
      </c>
      <c r="AO308" s="2">
        <f>IFERROR(__xludf.DUMMYFUNCTION("""COMPUTED_VALUE"""),1.0)</f>
        <v>1</v>
      </c>
      <c r="AP308" s="2"/>
      <c r="AQ308" s="2"/>
      <c r="AR308" s="2"/>
      <c r="AS308" s="2"/>
      <c r="AT308" s="2"/>
      <c r="AU308" s="2"/>
      <c r="AV308" s="2"/>
      <c r="AW308" s="2"/>
      <c r="AX308" s="2"/>
      <c r="AY308" s="2"/>
      <c r="AZ308" s="2"/>
      <c r="BA308" s="2"/>
      <c r="BB308" s="2"/>
    </row>
    <row r="309">
      <c r="A309" s="2">
        <f>IFERROR(__xludf.DUMMYFUNCTION("""COMPUTED_VALUE"""),305.0)</f>
        <v>305</v>
      </c>
      <c r="B309" s="2" t="str">
        <f>IFERROR(__xludf.DUMMYFUNCTION("""COMPUTED_VALUE"""),"COMPLETED")</f>
        <v>COMPLETED</v>
      </c>
      <c r="C309" s="74">
        <f>IFERROR(__xludf.DUMMYFUNCTION("""COMPUTED_VALUE"""),45481.0)</f>
        <v>45481</v>
      </c>
      <c r="D309" s="71" t="str">
        <f>IFERROR(__xludf.DUMMYFUNCTION("""COMPUTED_VALUE"""),"STA. CATALINA MATANDA-BUBULONG MALAKI IRRIGATORS ASSOCIATION INC.")</f>
        <v>STA. CATALINA MATANDA-BUBULONG MALAKI IRRIGATORS ASSOCIATION INC.</v>
      </c>
      <c r="E309" s="71" t="str">
        <f>IFERROR(__xludf.DUMMYFUNCTION("""COMPUTED_VALUE"""),"Sta. Catalina, San Ildefonso, BULACAN")</f>
        <v>Sta. Catalina, San Ildefonso, BULACAN</v>
      </c>
      <c r="F309" s="2"/>
      <c r="G309" s="2">
        <f>IFERROR(__xludf.DUMMYFUNCTION("""COMPUTED_VALUE"""),9.357281256E9)</f>
        <v>9357281256</v>
      </c>
      <c r="H309" s="2"/>
      <c r="I309" s="72" t="str">
        <f>IFERROR(__xludf.DUMMYFUNCTION("""COMPUTED_VALUE"""),"PMS")</f>
        <v>PMS</v>
      </c>
      <c r="J309" s="72" t="str">
        <f>IFERROR(__xludf.DUMMYFUNCTION("""COMPUTED_VALUE"""),"PMS")</f>
        <v>PMS</v>
      </c>
      <c r="K309" s="72" t="str">
        <f>IFERROR(__xludf.DUMMYFUNCTION("""COMPUTED_VALUE"""),"MYKEE, EGT: FIRST PMS
ACS: 7/18/24: WALANG BUDGET SI FARMER, TATAWAG NALANG DAW PAG MAG PA PMS")</f>
        <v>MYKEE, EGT: FIRST PMS
ACS: 7/18/24: WALANG BUDGET SI FARMER, TATAWAG NALANG DAW PAG MAG PA PMS</v>
      </c>
      <c r="L309" s="72" t="str">
        <f>IFERROR(__xludf.DUMMYFUNCTION("""COMPUTED_VALUE"""),"CANCELLED: WALA NANG FEEDBACK SI FARMER")</f>
        <v>CANCELLED: WALA NANG FEEDBACK SI FARMER</v>
      </c>
      <c r="M309" s="2"/>
      <c r="N309" s="2"/>
      <c r="O309" s="2" t="str">
        <f>IFERROR(__xludf.DUMMYFUNCTION("""COMPUTED_VALUE"""),"CANCELLED")</f>
        <v>CANCELLED</v>
      </c>
      <c r="P309" s="2"/>
      <c r="Q309" s="2"/>
      <c r="R309" s="74">
        <f>IFERROR(__xludf.DUMMYFUNCTION("""COMPUTED_VALUE"""),45523.0)</f>
        <v>45523</v>
      </c>
      <c r="S309" s="2" t="str">
        <f>IFERROR(__xludf.DUMMYFUNCTION("""COMPUTED_VALUE"""),"EGT")</f>
        <v>EGT</v>
      </c>
      <c r="T309" s="73" t="str">
        <f>IFERROR(__xludf.DUMMYFUNCTION("""COMPUTED_VALUE""")," N/A ")</f>
        <v>N/A</v>
      </c>
      <c r="U309" s="73" t="str">
        <f>IFERROR(__xludf.DUMMYFUNCTION("""COMPUTED_VALUE""")," NO CHARGE ")</f>
        <v>NO CHARGE</v>
      </c>
      <c r="V309" s="2"/>
      <c r="W309" s="2" t="str">
        <f>IFERROR(__xludf.DUMMYFUNCTION("""COMPUTED_VALUE"""),"N/A")</f>
        <v>N/A</v>
      </c>
      <c r="X309" s="2" t="str">
        <f>IFERROR(__xludf.DUMMYFUNCTION("""COMPUTED_VALUE"""),"N/A")</f>
        <v>N/A</v>
      </c>
      <c r="Y309" s="2"/>
      <c r="Z309" s="2"/>
      <c r="AA309" s="2"/>
      <c r="AB309" s="2"/>
      <c r="AC309" s="2"/>
      <c r="AD309" s="2"/>
      <c r="AE309" s="2"/>
      <c r="AF309" s="2"/>
      <c r="AG309" s="2"/>
      <c r="AH309" s="2"/>
      <c r="AI309" s="2"/>
      <c r="AJ309" s="2" t="str">
        <f>IFERROR(__xludf.DUMMYFUNCTION("""COMPUTED_VALUE"""),"Sta. Catalina")</f>
        <v>Sta. Catalina</v>
      </c>
      <c r="AK309" s="2" t="str">
        <f>IFERROR(__xludf.DUMMYFUNCTION("""COMPUTED_VALUE"""),"San Ildefonso")</f>
        <v>San Ildefonso</v>
      </c>
      <c r="AL309" s="2" t="str">
        <f>IFERROR(__xludf.DUMMYFUNCTION("""COMPUTED_VALUE"""),"Bulacan")</f>
        <v>Bulacan</v>
      </c>
      <c r="AM309" s="2">
        <f>IFERROR(__xludf.DUMMYFUNCTION("""COMPUTED_VALUE"""),3.0)</f>
        <v>3</v>
      </c>
      <c r="AN309" s="2" t="str">
        <f>IFERROR(__xludf.DUMMYFUNCTION("""COMPUTED_VALUE"""),"RCEF 23-09-21 Rebidding")</f>
        <v>RCEF 23-09-21 Rebidding</v>
      </c>
      <c r="AO309" s="2">
        <f>IFERROR(__xludf.DUMMYFUNCTION("""COMPUTED_VALUE"""),3.0)</f>
        <v>3</v>
      </c>
      <c r="AP309" s="2"/>
      <c r="AQ309" s="2"/>
      <c r="AR309" s="2"/>
      <c r="AS309" s="2"/>
      <c r="AT309" s="2"/>
      <c r="AU309" s="2"/>
      <c r="AV309" s="2"/>
      <c r="AW309" s="2"/>
      <c r="AX309" s="2"/>
      <c r="AY309" s="2"/>
      <c r="AZ309" s="2"/>
      <c r="BA309" s="2"/>
      <c r="BB309" s="2"/>
    </row>
    <row r="310">
      <c r="A310" s="2">
        <f>IFERROR(__xludf.DUMMYFUNCTION("""COMPUTED_VALUE"""),306.0)</f>
        <v>306</v>
      </c>
      <c r="B310" s="2" t="str">
        <f>IFERROR(__xludf.DUMMYFUNCTION("""COMPUTED_VALUE"""),"COMPLETED")</f>
        <v>COMPLETED</v>
      </c>
      <c r="C310" s="74">
        <f>IFERROR(__xludf.DUMMYFUNCTION("""COMPUTED_VALUE"""),45481.0)</f>
        <v>45481</v>
      </c>
      <c r="D310" s="71" t="str">
        <f>IFERROR(__xludf.DUMMYFUNCTION("""COMPUTED_VALUE"""),"Plaridel-Malolos Irrigators Association Inc.")</f>
        <v>Plaridel-Malolos Irrigators Association Inc.</v>
      </c>
      <c r="E310" s="71" t="str">
        <f>IFERROR(__xludf.DUMMYFUNCTION("""COMPUTED_VALUE"""),"Barilan, Malolos, Bulacan")</f>
        <v>Barilan, Malolos, Bulacan</v>
      </c>
      <c r="F310" s="2" t="str">
        <f>IFERROR(__xludf.DUMMYFUNCTION("""COMPUTED_VALUE"""),"MAXIMA VALENTINO")</f>
        <v>MAXIMA VALENTINO</v>
      </c>
      <c r="G310" s="2">
        <f>IFERROR(__xludf.DUMMYFUNCTION("""COMPUTED_VALUE"""),9.361370538E9)</f>
        <v>9361370538</v>
      </c>
      <c r="H310" s="2"/>
      <c r="I310" s="72" t="str">
        <f>IFERROR(__xludf.DUMMYFUNCTION("""COMPUTED_VALUE"""),"REPAIR - TRACTOR")</f>
        <v>REPAIR - TRACTOR</v>
      </c>
      <c r="J310" s="72" t="str">
        <f>IFERROR(__xludf.DUMMYFUNCTION("""COMPUTED_VALUE"""),"GPS")</f>
        <v>GPS</v>
      </c>
      <c r="K310" s="72" t="str">
        <f>IFERROR(__xludf.DUMMYFUNCTION("""COMPUTED_VALUE"""),"MYKEE: GPS ERROR")</f>
        <v>MYKEE: GPS ERROR</v>
      </c>
      <c r="L310" s="72" t="str">
        <f>IFERROR(__xludf.DUMMYFUNCTION("""COMPUTED_VALUE"""),"THRU CALL: EXPLAINATION")</f>
        <v>THRU CALL: EXPLAINATION</v>
      </c>
      <c r="M310" s="2"/>
      <c r="N310" s="2"/>
      <c r="O310" s="2" t="str">
        <f>IFERROR(__xludf.DUMMYFUNCTION("""COMPUTED_VALUE"""),"N/A")</f>
        <v>N/A</v>
      </c>
      <c r="P310" s="2"/>
      <c r="Q310" s="2"/>
      <c r="R310" s="74">
        <f>IFERROR(__xludf.DUMMYFUNCTION("""COMPUTED_VALUE"""),45483.0)</f>
        <v>45483</v>
      </c>
      <c r="S310" s="2" t="str">
        <f>IFERROR(__xludf.DUMMYFUNCTION("""COMPUTED_VALUE"""),"MYKEE")</f>
        <v>MYKEE</v>
      </c>
      <c r="T310" s="73" t="str">
        <f>IFERROR(__xludf.DUMMYFUNCTION("""COMPUTED_VALUE""")," N/A ")</f>
        <v>N/A</v>
      </c>
      <c r="U310" s="73" t="str">
        <f>IFERROR(__xludf.DUMMYFUNCTION("""COMPUTED_VALUE""")," NO CHARGE ")</f>
        <v>NO CHARGE</v>
      </c>
      <c r="V310" s="2"/>
      <c r="W310" s="2" t="str">
        <f>IFERROR(__xludf.DUMMYFUNCTION("""COMPUTED_VALUE"""),"N/A")</f>
        <v>N/A</v>
      </c>
      <c r="X310" s="2" t="str">
        <f>IFERROR(__xludf.DUMMYFUNCTION("""COMPUTED_VALUE"""),"N/A")</f>
        <v>N/A</v>
      </c>
      <c r="Y310" s="2"/>
      <c r="Z310" s="2"/>
      <c r="AA310" s="2"/>
      <c r="AB310" s="2"/>
      <c r="AC310" s="2"/>
      <c r="AD310" s="2"/>
      <c r="AE310" s="2"/>
      <c r="AF310" s="2"/>
      <c r="AG310" s="2"/>
      <c r="AH310" s="2"/>
      <c r="AI310" s="2"/>
      <c r="AJ310" s="2" t="str">
        <f>IFERROR(__xludf.DUMMYFUNCTION("""COMPUTED_VALUE"""),"Barilan")</f>
        <v>Barilan</v>
      </c>
      <c r="AK310" s="2" t="str">
        <f>IFERROR(__xludf.DUMMYFUNCTION("""COMPUTED_VALUE"""),"Malolos")</f>
        <v>Malolos</v>
      </c>
      <c r="AL310" s="2" t="str">
        <f>IFERROR(__xludf.DUMMYFUNCTION("""COMPUTED_VALUE"""),"Bulacan")</f>
        <v>Bulacan</v>
      </c>
      <c r="AM310" s="2">
        <f>IFERROR(__xludf.DUMMYFUNCTION("""COMPUTED_VALUE"""),3.0)</f>
        <v>3</v>
      </c>
      <c r="AN310" s="2" t="str">
        <f>IFERROR(__xludf.DUMMYFUNCTION("""COMPUTED_VALUE"""),"RCEF 23-09-21 Rebidding")</f>
        <v>RCEF 23-09-21 Rebidding</v>
      </c>
      <c r="AO310" s="2">
        <f>IFERROR(__xludf.DUMMYFUNCTION("""COMPUTED_VALUE"""),9.0)</f>
        <v>9</v>
      </c>
      <c r="AP310" s="2"/>
      <c r="AQ310" s="2"/>
      <c r="AR310" s="2"/>
      <c r="AS310" s="2"/>
      <c r="AT310" s="2"/>
      <c r="AU310" s="2"/>
      <c r="AV310" s="2"/>
      <c r="AW310" s="2"/>
      <c r="AX310" s="2"/>
      <c r="AY310" s="2"/>
      <c r="AZ310" s="2"/>
      <c r="BA310" s="2"/>
      <c r="BB310" s="2"/>
    </row>
    <row r="311">
      <c r="A311" s="2">
        <f>IFERROR(__xludf.DUMMYFUNCTION("""COMPUTED_VALUE"""),307.0)</f>
        <v>307</v>
      </c>
      <c r="B311" s="2" t="str">
        <f>IFERROR(__xludf.DUMMYFUNCTION("""COMPUTED_VALUE"""),"COMPLETED")</f>
        <v>COMPLETED</v>
      </c>
      <c r="C311" s="74">
        <f>IFERROR(__xludf.DUMMYFUNCTION("""COMPUTED_VALUE"""),45481.0)</f>
        <v>45481</v>
      </c>
      <c r="D311" s="71" t="str">
        <f>IFERROR(__xludf.DUMMYFUNCTION("""COMPUTED_VALUE"""),"SOLID PANAGANIAN FARMERS ASSOCIATION INC.")</f>
        <v>SOLID PANAGANIAN FARMERS ASSOCIATION INC.</v>
      </c>
      <c r="E311" s="71" t="str">
        <f>IFERROR(__xludf.DUMMYFUNCTION("""COMPUTED_VALUE"""),"Panaga, Laoac, PANGASINAN")</f>
        <v>Panaga, Laoac, PANGASINAN</v>
      </c>
      <c r="F311" s="2" t="str">
        <f>IFERROR(__xludf.DUMMYFUNCTION("""COMPUTED_VALUE"""),"Mario B. Barlolong")</f>
        <v>Mario B. Barlolong</v>
      </c>
      <c r="G311" s="2" t="str">
        <f>IFERROR(__xludf.DUMMYFUNCTION("""COMPUTED_VALUE"""),"0945 328 4125")</f>
        <v>0945 328 4125</v>
      </c>
      <c r="H311" s="2">
        <f>IFERROR(__xludf.DUMMYFUNCTION("""COMPUTED_VALUE"""),176.3)</f>
        <v>176.3</v>
      </c>
      <c r="I311" s="72" t="str">
        <f>IFERROR(__xludf.DUMMYFUNCTION("""COMPUTED_VALUE"""),"REPAIR - ROTAVATOR")</f>
        <v>REPAIR - ROTAVATOR</v>
      </c>
      <c r="J311" s="72" t="str">
        <f>IFERROR(__xludf.DUMMYFUNCTION("""COMPUTED_VALUE"""),"Gearbox")</f>
        <v>Gearbox</v>
      </c>
      <c r="K311" s="72" t="str">
        <f>IFERROR(__xludf.DUMMYFUNCTION("""COMPUTED_VALUE"""),"ACS: NEED TO REPLACE BEVEL GEAR 24T KASI NABUNGI PO YUNG TATLONG IPIN NG GEAR")</f>
        <v>ACS: NEED TO REPLACE BEVEL GEAR 24T KASI NABUNGI PO YUNG TATLONG IPIN NG GEAR</v>
      </c>
      <c r="L311" s="72" t="str">
        <f>IFERROR(__xludf.DUMMYFUNCTION("""COMPUTED_VALUE"""),"ACS: REPLACED BEVEL GEAR 24T")</f>
        <v>ACS: REPLACED BEVEL GEAR 24T</v>
      </c>
      <c r="M311" s="2"/>
      <c r="N311" s="2" t="str">
        <f>IFERROR(__xludf.DUMMYFUNCTION("""COMPUTED_VALUE"""),"BEVEL GEAR 24T ")</f>
        <v>BEVEL GEAR 24T </v>
      </c>
      <c r="O311" s="2" t="str">
        <f>IFERROR(__xludf.DUMMYFUNCTION("""COMPUTED_VALUE"""),"JIE-924")</f>
        <v>JIE-924</v>
      </c>
      <c r="P311" s="2"/>
      <c r="Q311" s="2"/>
      <c r="R311" s="74">
        <f>IFERROR(__xludf.DUMMYFUNCTION("""COMPUTED_VALUE"""),45506.0)</f>
        <v>45506</v>
      </c>
      <c r="S311" s="2" t="str">
        <f>IFERROR(__xludf.DUMMYFUNCTION("""COMPUTED_VALUE"""),"JHP/ACS")</f>
        <v>JHP/ACS</v>
      </c>
      <c r="T311" s="73">
        <f>IFERROR(__xludf.DUMMYFUNCTION("""COMPUTED_VALUE"""),13600.0)</f>
        <v>13600</v>
      </c>
      <c r="U311" s="73" t="str">
        <f>IFERROR(__xludf.DUMMYFUNCTION("""COMPUTED_VALUE""")," REMITTED ")</f>
        <v>REMITTED</v>
      </c>
      <c r="V311" s="2"/>
      <c r="W311" s="2"/>
      <c r="X311" s="2"/>
      <c r="Y311" s="2"/>
      <c r="Z311" s="2"/>
      <c r="AA311" s="2"/>
      <c r="AB311" s="2"/>
      <c r="AC311" s="2" t="str">
        <f>IFERROR(__xludf.DUMMYFUNCTION("""COMPUTED_VALUE"""),"Y")</f>
        <v>Y</v>
      </c>
      <c r="AD311" s="2"/>
      <c r="AE311" s="2"/>
      <c r="AF311" s="2"/>
      <c r="AG311" s="2"/>
      <c r="AH311" s="2"/>
      <c r="AI311" s="2"/>
      <c r="AJ311" s="2" t="str">
        <f>IFERROR(__xludf.DUMMYFUNCTION("""COMPUTED_VALUE"""),"Panaga")</f>
        <v>Panaga</v>
      </c>
      <c r="AK311" s="2" t="str">
        <f>IFERROR(__xludf.DUMMYFUNCTION("""COMPUTED_VALUE"""),"Laoac")</f>
        <v>Laoac</v>
      </c>
      <c r="AL311" s="2" t="str">
        <f>IFERROR(__xludf.DUMMYFUNCTION("""COMPUTED_VALUE"""),"Pangasinan")</f>
        <v>Pangasinan</v>
      </c>
      <c r="AM311" s="2">
        <f>IFERROR(__xludf.DUMMYFUNCTION("""COMPUTED_VALUE"""),1.0)</f>
        <v>1</v>
      </c>
      <c r="AN311" s="2" t="str">
        <f>IFERROR(__xludf.DUMMYFUNCTION("""COMPUTED_VALUE"""),"RCEF 23-09-21 Rebidding")</f>
        <v>RCEF 23-09-21 Rebidding</v>
      </c>
      <c r="AO311" s="2">
        <f>IFERROR(__xludf.DUMMYFUNCTION("""COMPUTED_VALUE"""),2.0)</f>
        <v>2</v>
      </c>
      <c r="AP311" s="2"/>
      <c r="AQ311" s="2"/>
      <c r="AR311" s="2"/>
      <c r="AS311" s="2"/>
      <c r="AT311" s="2"/>
      <c r="AU311" s="2"/>
      <c r="AV311" s="2"/>
      <c r="AW311" s="2"/>
      <c r="AX311" s="2"/>
      <c r="AY311" s="2"/>
      <c r="AZ311" s="2"/>
      <c r="BA311" s="2"/>
      <c r="BB311" s="2"/>
    </row>
    <row r="312">
      <c r="A312" s="2">
        <f>IFERROR(__xludf.DUMMYFUNCTION("""COMPUTED_VALUE"""),308.0)</f>
        <v>308</v>
      </c>
      <c r="B312" s="2" t="str">
        <f>IFERROR(__xludf.DUMMYFUNCTION("""COMPUTED_VALUE"""),"COMPLETED")</f>
        <v>COMPLETED</v>
      </c>
      <c r="C312" s="74">
        <f>IFERROR(__xludf.DUMMYFUNCTION("""COMPUTED_VALUE"""),45482.0)</f>
        <v>45482</v>
      </c>
      <c r="D312" s="71" t="str">
        <f>IFERROR(__xludf.DUMMYFUNCTION("""COMPUTED_VALUE"""),"Kabagis Farmers Agriculture Cooperative")</f>
        <v>Kabagis Farmers Agriculture Cooperative</v>
      </c>
      <c r="E312" s="71" t="str">
        <f>IFERROR(__xludf.DUMMYFUNCTION("""COMPUTED_VALUE"""),", NATIVIDAD, PANGASINAN")</f>
        <v>, NATIVIDAD, PANGASINAN</v>
      </c>
      <c r="F312" s="2" t="str">
        <f>IFERROR(__xludf.DUMMYFUNCTION("""COMPUTED_VALUE"""),"KABAGIS FARMERS AGRICULTURE COOP.")</f>
        <v>KABAGIS FARMERS AGRICULTURE COOP.</v>
      </c>
      <c r="G312" s="2">
        <f>IFERROR(__xludf.DUMMYFUNCTION("""COMPUTED_VALUE"""),9.478710777E9)</f>
        <v>9478710777</v>
      </c>
      <c r="H312" s="2">
        <f>IFERROR(__xludf.DUMMYFUNCTION("""COMPUTED_VALUE"""),50.0)</f>
        <v>50</v>
      </c>
      <c r="I312" s="72" t="str">
        <f>IFERROR(__xludf.DUMMYFUNCTION("""COMPUTED_VALUE"""),"PMS")</f>
        <v>PMS</v>
      </c>
      <c r="J312" s="72" t="str">
        <f>IFERROR(__xludf.DUMMYFUNCTION("""COMPUTED_VALUE"""),"PMS")</f>
        <v>PMS</v>
      </c>
      <c r="K312" s="72" t="str">
        <f>IFERROR(__xludf.DUMMYFUNCTION("""COMPUTED_VALUE"""),"KFS: FIRST PMS")</f>
        <v>KFS: FIRST PMS</v>
      </c>
      <c r="L312" s="72" t="str">
        <f>IFERROR(__xludf.DUMMYFUNCTION("""COMPUTED_VALUE"""),"ACS: 1ST PMS DONE")</f>
        <v>ACS: 1ST PMS DONE</v>
      </c>
      <c r="M312" s="2"/>
      <c r="N312" s="2"/>
      <c r="O312" s="2" t="str">
        <f>IFERROR(__xludf.DUMMYFUNCTION("""COMPUTED_VALUE"""),"JIE-841")</f>
        <v>JIE-841</v>
      </c>
      <c r="P312" s="2"/>
      <c r="Q312" s="2"/>
      <c r="R312" s="74">
        <f>IFERROR(__xludf.DUMMYFUNCTION("""COMPUTED_VALUE"""),45482.0)</f>
        <v>45482</v>
      </c>
      <c r="S312" s="2" t="str">
        <f>IFERROR(__xludf.DUMMYFUNCTION("""COMPUTED_VALUE"""),"ACS/JHP")</f>
        <v>ACS/JHP</v>
      </c>
      <c r="T312" s="73" t="str">
        <f>IFERROR(__xludf.DUMMYFUNCTION("""COMPUTED_VALUE""")," N/A ")</f>
        <v>N/A</v>
      </c>
      <c r="U312" s="73" t="str">
        <f>IFERROR(__xludf.DUMMYFUNCTION("""COMPUTED_VALUE""")," NO CHARGE ")</f>
        <v>NO CHARGE</v>
      </c>
      <c r="V312" s="2"/>
      <c r="W312" s="2" t="str">
        <f>IFERROR(__xludf.DUMMYFUNCTION("""COMPUTED_VALUE"""),"N/A")</f>
        <v>N/A</v>
      </c>
      <c r="X312" s="2" t="str">
        <f>IFERROR(__xludf.DUMMYFUNCTION("""COMPUTED_VALUE"""),"N/A")</f>
        <v>N/A</v>
      </c>
      <c r="Y312" s="2"/>
      <c r="Z312" s="2"/>
      <c r="AA312" s="2"/>
      <c r="AB312" s="2"/>
      <c r="AC312" s="2"/>
      <c r="AD312" s="2"/>
      <c r="AE312" s="2"/>
      <c r="AF312" s="2"/>
      <c r="AG312" s="2"/>
      <c r="AH312" s="2"/>
      <c r="AI312" s="2"/>
      <c r="AJ312" s="2" t="str">
        <f>IFERROR(__xludf.DUMMYFUNCTION("""COMPUTED_VALUE"""),"")</f>
        <v/>
      </c>
      <c r="AK312" s="2" t="str">
        <f>IFERROR(__xludf.DUMMYFUNCTION("""COMPUTED_VALUE"""),"Natividad")</f>
        <v>Natividad</v>
      </c>
      <c r="AL312" s="2" t="str">
        <f>IFERROR(__xludf.DUMMYFUNCTION("""COMPUTED_VALUE"""),"Pangasinan")</f>
        <v>Pangasinan</v>
      </c>
      <c r="AM312" s="2">
        <f>IFERROR(__xludf.DUMMYFUNCTION("""COMPUTED_VALUE"""),1.0)</f>
        <v>1</v>
      </c>
      <c r="AN312" s="2" t="str">
        <f>IFERROR(__xludf.DUMMYFUNCTION("""COMPUTED_VALUE"""),"RCEF 23-09-21 Rebidding")</f>
        <v>RCEF 23-09-21 Rebidding</v>
      </c>
      <c r="AO312" s="2">
        <f>IFERROR(__xludf.DUMMYFUNCTION("""COMPUTED_VALUE"""),2.0)</f>
        <v>2</v>
      </c>
      <c r="AP312" s="2"/>
      <c r="AQ312" s="2"/>
      <c r="AR312" s="2"/>
      <c r="AS312" s="2"/>
      <c r="AT312" s="2"/>
      <c r="AU312" s="2"/>
      <c r="AV312" s="2"/>
      <c r="AW312" s="2"/>
      <c r="AX312" s="2"/>
      <c r="AY312" s="2"/>
      <c r="AZ312" s="2"/>
      <c r="BA312" s="2"/>
      <c r="BB312" s="2"/>
    </row>
    <row r="313">
      <c r="A313" s="2">
        <f>IFERROR(__xludf.DUMMYFUNCTION("""COMPUTED_VALUE"""),309.0)</f>
        <v>309</v>
      </c>
      <c r="B313" s="2" t="str">
        <f>IFERROR(__xludf.DUMMYFUNCTION("""COMPUTED_VALUE"""),"COMPLETED")</f>
        <v>COMPLETED</v>
      </c>
      <c r="C313" s="74">
        <f>IFERROR(__xludf.DUMMYFUNCTION("""COMPUTED_VALUE"""),45482.0)</f>
        <v>45482</v>
      </c>
      <c r="D313" s="71" t="str">
        <f>IFERROR(__xludf.DUMMYFUNCTION("""COMPUTED_VALUE"""),"SANDOVAL FARMERS ASSOCIATON")</f>
        <v>SANDOVAL FARMERS ASSOCIATON</v>
      </c>
      <c r="E313" s="71" t="str">
        <f>IFERROR(__xludf.DUMMYFUNCTION("""COMPUTED_VALUE"""),"Sandoval, Taytay, Palawan")</f>
        <v>Sandoval, Taytay, Palawan</v>
      </c>
      <c r="F313" s="2" t="str">
        <f>IFERROR(__xludf.DUMMYFUNCTION("""COMPUTED_VALUE"""),"ISAGANI REPE")</f>
        <v>ISAGANI REPE</v>
      </c>
      <c r="G313" s="2">
        <f>IFERROR(__xludf.DUMMYFUNCTION("""COMPUTED_VALUE"""),9.466248004E9)</f>
        <v>9466248004</v>
      </c>
      <c r="H313" s="2">
        <f>IFERROR(__xludf.DUMMYFUNCTION("""COMPUTED_VALUE"""),65.0)</f>
        <v>65</v>
      </c>
      <c r="I313" s="72" t="str">
        <f>IFERROR(__xludf.DUMMYFUNCTION("""COMPUTED_VALUE"""),"PMS")</f>
        <v>PMS</v>
      </c>
      <c r="J313" s="72" t="str">
        <f>IFERROR(__xludf.DUMMYFUNCTION("""COMPUTED_VALUE"""),"PMS")</f>
        <v>PMS</v>
      </c>
      <c r="K313" s="72" t="str">
        <f>IFERROR(__xludf.DUMMYFUNCTION("""COMPUTED_VALUE"""),"RCG: FIRST PMS")</f>
        <v>RCG: FIRST PMS</v>
      </c>
      <c r="L313" s="72" t="str">
        <f>IFERROR(__xludf.DUMMYFUNCTION("""COMPUTED_VALUE"""),"CHANGE OIL")</f>
        <v>CHANGE OIL</v>
      </c>
      <c r="M313" s="2"/>
      <c r="N313" s="2"/>
      <c r="O313" s="2" t="str">
        <f>IFERROR(__xludf.DUMMYFUNCTION("""COMPUTED_VALUE"""),"JIE-906")</f>
        <v>JIE-906</v>
      </c>
      <c r="P313" s="2"/>
      <c r="Q313" s="2"/>
      <c r="R313" s="74">
        <f>IFERROR(__xludf.DUMMYFUNCTION("""COMPUTED_VALUE"""),45492.0)</f>
        <v>45492</v>
      </c>
      <c r="S313" s="2" t="str">
        <f>IFERROR(__xludf.DUMMYFUNCTION("""COMPUTED_VALUE"""),"RCG/ BASTE TEAM")</f>
        <v>RCG/ BASTE TEAM</v>
      </c>
      <c r="T313" s="73" t="str">
        <f>IFERROR(__xludf.DUMMYFUNCTION("""COMPUTED_VALUE""")," N/A ")</f>
        <v>N/A</v>
      </c>
      <c r="U313" s="73" t="str">
        <f>IFERROR(__xludf.DUMMYFUNCTION("""COMPUTED_VALUE""")," NO CHARGE ")</f>
        <v>NO CHARGE</v>
      </c>
      <c r="V313" s="2"/>
      <c r="W313" s="2" t="str">
        <f>IFERROR(__xludf.DUMMYFUNCTION("""COMPUTED_VALUE"""),"N/A")</f>
        <v>N/A</v>
      </c>
      <c r="X313" s="2" t="str">
        <f>IFERROR(__xludf.DUMMYFUNCTION("""COMPUTED_VALUE"""),"N/A")</f>
        <v>N/A</v>
      </c>
      <c r="Y313" s="2"/>
      <c r="Z313" s="2"/>
      <c r="AA313" s="2"/>
      <c r="AB313" s="2"/>
      <c r="AC313" s="2"/>
      <c r="AD313" s="2"/>
      <c r="AE313" s="2"/>
      <c r="AF313" s="2"/>
      <c r="AG313" s="2"/>
      <c r="AH313" s="2"/>
      <c r="AI313" s="2"/>
      <c r="AJ313" s="2" t="str">
        <f>IFERROR(__xludf.DUMMYFUNCTION("""COMPUTED_VALUE"""),"Sandoval")</f>
        <v>Sandoval</v>
      </c>
      <c r="AK313" s="2" t="str">
        <f>IFERROR(__xludf.DUMMYFUNCTION("""COMPUTED_VALUE"""),"Taytay")</f>
        <v>Taytay</v>
      </c>
      <c r="AL313" s="2" t="str">
        <f>IFERROR(__xludf.DUMMYFUNCTION("""COMPUTED_VALUE"""),"Palawan")</f>
        <v>Palawan</v>
      </c>
      <c r="AM313" s="2" t="str">
        <f>IFERROR(__xludf.DUMMYFUNCTION("""COMPUTED_VALUE"""),"4B")</f>
        <v>4B</v>
      </c>
      <c r="AN313" s="2" t="str">
        <f>IFERROR(__xludf.DUMMYFUNCTION("""COMPUTED_VALUE"""),"RCEF 23-08-20 Rebidding")</f>
        <v>RCEF 23-08-20 Rebidding</v>
      </c>
      <c r="AO313" s="2">
        <f>IFERROR(__xludf.DUMMYFUNCTION("""COMPUTED_VALUE"""),1.0)</f>
        <v>1</v>
      </c>
      <c r="AP313" s="2"/>
      <c r="AQ313" s="2"/>
      <c r="AR313" s="2"/>
      <c r="AS313" s="2"/>
      <c r="AT313" s="2"/>
      <c r="AU313" s="2"/>
      <c r="AV313" s="2"/>
      <c r="AW313" s="2"/>
      <c r="AX313" s="2"/>
      <c r="AY313" s="2"/>
      <c r="AZ313" s="2"/>
      <c r="BA313" s="2"/>
      <c r="BB313" s="2"/>
    </row>
    <row r="314">
      <c r="A314" s="2">
        <f>IFERROR(__xludf.DUMMYFUNCTION("""COMPUTED_VALUE"""),310.0)</f>
        <v>310</v>
      </c>
      <c r="B314" s="2" t="str">
        <f>IFERROR(__xludf.DUMMYFUNCTION("""COMPUTED_VALUE"""),"COMPLETED")</f>
        <v>COMPLETED</v>
      </c>
      <c r="C314" s="74">
        <f>IFERROR(__xludf.DUMMYFUNCTION("""COMPUTED_VALUE"""),45483.0)</f>
        <v>45483</v>
      </c>
      <c r="D314" s="71" t="str">
        <f>IFERROR(__xludf.DUMMYFUNCTION("""COMPUTED_VALUE"""),"NAGUILIAN IRRIGATORS' ASSOCIATION, INC.")</f>
        <v>NAGUILIAN IRRIGATORS' ASSOCIATION, INC.</v>
      </c>
      <c r="E314" s="71" t="str">
        <f>IFERROR(__xludf.DUMMYFUNCTION("""COMPUTED_VALUE"""),"Naguilian, Lal-lo, CAGAYAN")</f>
        <v>Naguilian, Lal-lo, CAGAYAN</v>
      </c>
      <c r="F314" s="2" t="str">
        <f>IFERROR(__xludf.DUMMYFUNCTION("""COMPUTED_VALUE"""),"DIOSDADO URMATAM")</f>
        <v>DIOSDADO URMATAM</v>
      </c>
      <c r="G314" s="2">
        <f>IFERROR(__xludf.DUMMYFUNCTION("""COMPUTED_VALUE"""),9.061000932E9)</f>
        <v>9061000932</v>
      </c>
      <c r="H314" s="2"/>
      <c r="I314" s="72" t="str">
        <f>IFERROR(__xludf.DUMMYFUNCTION("""COMPUTED_VALUE"""),"SPARE PARTS ACQUISITION")</f>
        <v>SPARE PARTS ACQUISITION</v>
      </c>
      <c r="J314" s="72" t="str">
        <f>IFERROR(__xludf.DUMMYFUNCTION("""COMPUTED_VALUE"""),"SPARE PARTS ACQUISITION")</f>
        <v>SPARE PARTS ACQUISITION</v>
      </c>
      <c r="K314" s="72" t="str">
        <f>IFERROR(__xludf.DUMMYFUNCTION("""COMPUTED_VALUE"""),"CFG: HYDRAULIC FILTER 5,087.50")</f>
        <v>CFG: HYDRAULIC FILTER 5,087.50</v>
      </c>
      <c r="L314" s="72" t="str">
        <f>IFERROR(__xludf.DUMMYFUNCTION("""COMPUTED_VALUE"""),"DELIVERED HYRDAULIC FILTER")</f>
        <v>DELIVERED HYRDAULIC FILTER</v>
      </c>
      <c r="M314" s="2"/>
      <c r="N314" s="2" t="str">
        <f>IFERROR(__xludf.DUMMYFUNCTION("""COMPUTED_VALUE""")," HYRDAULIC FILTER")</f>
        <v> HYRDAULIC FILTER</v>
      </c>
      <c r="O314" s="2" t="str">
        <f>IFERROR(__xludf.DUMMYFUNCTION("""COMPUTED_VALUE"""),"N/A")</f>
        <v>N/A</v>
      </c>
      <c r="P314" s="2"/>
      <c r="Q314" s="2"/>
      <c r="R314" s="74">
        <f>IFERROR(__xludf.DUMMYFUNCTION("""COMPUTED_VALUE"""),45484.0)</f>
        <v>45484</v>
      </c>
      <c r="S314" s="2" t="str">
        <f>IFERROR(__xludf.DUMMYFUNCTION("""COMPUTED_VALUE"""),"CFG")</f>
        <v>CFG</v>
      </c>
      <c r="T314" s="73">
        <f>IFERROR(__xludf.DUMMYFUNCTION("""COMPUTED_VALUE"""),5087.5)</f>
        <v>5087.5</v>
      </c>
      <c r="U314" s="73" t="str">
        <f>IFERROR(__xludf.DUMMYFUNCTION("""COMPUTED_VALUE""")," NO CHARGE ")</f>
        <v>NO CHARGE</v>
      </c>
      <c r="V314" s="2"/>
      <c r="W314" s="2" t="str">
        <f>IFERROR(__xludf.DUMMYFUNCTION("""COMPUTED_VALUE"""),"N/A")</f>
        <v>N/A</v>
      </c>
      <c r="X314" s="2" t="str">
        <f>IFERROR(__xludf.DUMMYFUNCTION("""COMPUTED_VALUE"""),"N/A")</f>
        <v>N/A</v>
      </c>
      <c r="Y314" s="2"/>
      <c r="Z314" s="2"/>
      <c r="AA314" s="2"/>
      <c r="AB314" s="2"/>
      <c r="AC314" s="2"/>
      <c r="AD314" s="2"/>
      <c r="AE314" s="2"/>
      <c r="AF314" s="2"/>
      <c r="AG314" s="2"/>
      <c r="AH314" s="2"/>
      <c r="AI314" s="2"/>
      <c r="AJ314" s="2" t="str">
        <f>IFERROR(__xludf.DUMMYFUNCTION("""COMPUTED_VALUE"""),"Naguilian")</f>
        <v>Naguilian</v>
      </c>
      <c r="AK314" s="2" t="str">
        <f>IFERROR(__xludf.DUMMYFUNCTION("""COMPUTED_VALUE"""),"Lal-Lo")</f>
        <v>Lal-Lo</v>
      </c>
      <c r="AL314" s="2" t="str">
        <f>IFERROR(__xludf.DUMMYFUNCTION("""COMPUTED_VALUE"""),"Cagayan")</f>
        <v>Cagayan</v>
      </c>
      <c r="AM314" s="2">
        <f>IFERROR(__xludf.DUMMYFUNCTION("""COMPUTED_VALUE"""),2.0)</f>
        <v>2</v>
      </c>
      <c r="AN314" s="2" t="str">
        <f>IFERROR(__xludf.DUMMYFUNCTION("""COMPUTED_VALUE"""),"RCEF 23-09-21 Rebidding")</f>
        <v>RCEF 23-09-21 Rebidding</v>
      </c>
      <c r="AO314" s="2">
        <f>IFERROR(__xludf.DUMMYFUNCTION("""COMPUTED_VALUE"""),9.0)</f>
        <v>9</v>
      </c>
      <c r="AP314" s="2"/>
      <c r="AQ314" s="2"/>
      <c r="AR314" s="2"/>
      <c r="AS314" s="2"/>
      <c r="AT314" s="2"/>
      <c r="AU314" s="2"/>
      <c r="AV314" s="2"/>
      <c r="AW314" s="2"/>
      <c r="AX314" s="2"/>
      <c r="AY314" s="2"/>
      <c r="AZ314" s="2"/>
      <c r="BA314" s="2"/>
      <c r="BB314" s="2"/>
    </row>
    <row r="315">
      <c r="A315" s="2">
        <f>IFERROR(__xludf.DUMMYFUNCTION("""COMPUTED_VALUE"""),311.0)</f>
        <v>311</v>
      </c>
      <c r="B315" s="2" t="str">
        <f>IFERROR(__xludf.DUMMYFUNCTION("""COMPUTED_VALUE"""),"COMPLETED")</f>
        <v>COMPLETED</v>
      </c>
      <c r="C315" s="74">
        <f>IFERROR(__xludf.DUMMYFUNCTION("""COMPUTED_VALUE"""),45483.0)</f>
        <v>45483</v>
      </c>
      <c r="D315" s="71" t="str">
        <f>IFERROR(__xludf.DUMMYFUNCTION("""COMPUTED_VALUE"""),"BARANGAY SAN LUIS 1 HEALTHY FARMING ASSOCIATION")</f>
        <v>BARANGAY SAN LUIS 1 HEALTHY FARMING ASSOCIATION</v>
      </c>
      <c r="E315" s="71" t="str">
        <f>IFERROR(__xludf.DUMMYFUNCTION("""COMPUTED_VALUE"""),"San Luis 1, Guinayangan, Quezon")</f>
        <v>San Luis 1, Guinayangan, Quezon</v>
      </c>
      <c r="F315" s="2" t="str">
        <f>IFERROR(__xludf.DUMMYFUNCTION("""COMPUTED_VALUE"""),"AVELINO TOLENTINO")</f>
        <v>AVELINO TOLENTINO</v>
      </c>
      <c r="G315" s="2"/>
      <c r="H315" s="2" t="str">
        <f>IFERROR(__xludf.DUMMYFUNCTION("""COMPUTED_VALUE"""),"45 MINUTES")</f>
        <v>45 MINUTES</v>
      </c>
      <c r="I315" s="72" t="str">
        <f>IFERROR(__xludf.DUMMYFUNCTION("""COMPUTED_VALUE"""),"REPAIR - TRACTOR")</f>
        <v>REPAIR - TRACTOR</v>
      </c>
      <c r="J315" s="72" t="str">
        <f>IFERROR(__xludf.DUMMYFUNCTION("""COMPUTED_VALUE"""),"Transmission - Clutch")</f>
        <v>Transmission - Clutch</v>
      </c>
      <c r="K315" s="72" t="str">
        <f>IFERROR(__xludf.DUMMYFUNCTION("""COMPUTED_VALUE"""),"KFS: NAWALAN PO NG BATAK, DI UMIIKOT ANG GULONG")</f>
        <v>KFS: NAWALAN PO NG BATAK, DI UMIIKOT ANG GULONG</v>
      </c>
      <c r="L315" s="72"/>
      <c r="M315" s="2"/>
      <c r="N315" s="2"/>
      <c r="O315" s="2" t="str">
        <f>IFERROR(__xludf.DUMMYFUNCTION("""COMPUTED_VALUE"""),"N/A")</f>
        <v>N/A</v>
      </c>
      <c r="P315" s="2"/>
      <c r="Q315" s="2"/>
      <c r="R315" s="74">
        <f>IFERROR(__xludf.DUMMYFUNCTION("""COMPUTED_VALUE"""),45502.0)</f>
        <v>45502</v>
      </c>
      <c r="S315" s="2" t="str">
        <f>IFERROR(__xludf.DUMMYFUNCTION("""COMPUTED_VALUE"""),"JTT")</f>
        <v>JTT</v>
      </c>
      <c r="T315" s="73" t="str">
        <f>IFERROR(__xludf.DUMMYFUNCTION("""COMPUTED_VALUE""")," N/A ")</f>
        <v>N/A</v>
      </c>
      <c r="U315" s="73" t="str">
        <f>IFERROR(__xludf.DUMMYFUNCTION("""COMPUTED_VALUE""")," NO CHARGE ")</f>
        <v>NO CHARGE</v>
      </c>
      <c r="V315" s="2"/>
      <c r="W315" s="2" t="str">
        <f>IFERROR(__xludf.DUMMYFUNCTION("""COMPUTED_VALUE"""),"N/A")</f>
        <v>N/A</v>
      </c>
      <c r="X315" s="2" t="str">
        <f>IFERROR(__xludf.DUMMYFUNCTION("""COMPUTED_VALUE"""),"N/A")</f>
        <v>N/A</v>
      </c>
      <c r="Y315" s="2"/>
      <c r="Z315" s="2"/>
      <c r="AA315" s="2"/>
      <c r="AB315" s="2"/>
      <c r="AC315" s="2"/>
      <c r="AD315" s="2"/>
      <c r="AE315" s="2"/>
      <c r="AF315" s="2"/>
      <c r="AG315" s="2"/>
      <c r="AH315" s="2"/>
      <c r="AI315" s="2"/>
      <c r="AJ315" s="2" t="str">
        <f>IFERROR(__xludf.DUMMYFUNCTION("""COMPUTED_VALUE"""),"San Luis 1")</f>
        <v>San Luis 1</v>
      </c>
      <c r="AK315" s="2" t="str">
        <f>IFERROR(__xludf.DUMMYFUNCTION("""COMPUTED_VALUE"""),"Guinayangan")</f>
        <v>Guinayangan</v>
      </c>
      <c r="AL315" s="2" t="str">
        <f>IFERROR(__xludf.DUMMYFUNCTION("""COMPUTED_VALUE"""),"Quezon")</f>
        <v>Quezon</v>
      </c>
      <c r="AM315" s="2" t="str">
        <f>IFERROR(__xludf.DUMMYFUNCTION("""COMPUTED_VALUE"""),"4A")</f>
        <v>4A</v>
      </c>
      <c r="AN315" s="2" t="str">
        <f>IFERROR(__xludf.DUMMYFUNCTION("""COMPUTED_VALUE"""),"RCEF 23-08-20 Rebidding")</f>
        <v>RCEF 23-08-20 Rebidding</v>
      </c>
      <c r="AO315" s="2">
        <f>IFERROR(__xludf.DUMMYFUNCTION("""COMPUTED_VALUE"""),1.0)</f>
        <v>1</v>
      </c>
      <c r="AP315" s="2"/>
      <c r="AQ315" s="2"/>
      <c r="AR315" s="2"/>
      <c r="AS315" s="2"/>
      <c r="AT315" s="2"/>
      <c r="AU315" s="2"/>
      <c r="AV315" s="2"/>
      <c r="AW315" s="2"/>
      <c r="AX315" s="2"/>
      <c r="AY315" s="2"/>
      <c r="AZ315" s="2"/>
      <c r="BA315" s="2"/>
      <c r="BB315" s="2"/>
    </row>
    <row r="316">
      <c r="A316" s="2">
        <f>IFERROR(__xludf.DUMMYFUNCTION("""COMPUTED_VALUE"""),312.0)</f>
        <v>312</v>
      </c>
      <c r="B316" s="2" t="str">
        <f>IFERROR(__xludf.DUMMYFUNCTION("""COMPUTED_VALUE"""),"COMPLETED")</f>
        <v>COMPLETED</v>
      </c>
      <c r="C316" s="74">
        <f>IFERROR(__xludf.DUMMYFUNCTION("""COMPUTED_VALUE"""),45484.0)</f>
        <v>45484</v>
      </c>
      <c r="D316" s="71" t="str">
        <f>IFERROR(__xludf.DUMMYFUNCTION("""COMPUTED_VALUE"""),"ANDARAYAN CANTOR SMALL WATER IRRIGATION SYSTEM ASSOCIATION")</f>
        <v>ANDARAYAN CANTOR SMALL WATER IRRIGATION SYSTEM ASSOCIATION</v>
      </c>
      <c r="E316" s="71" t="str">
        <f>IFERROR(__xludf.DUMMYFUNCTION("""COMPUTED_VALUE"""),"SANTOR, RIZAL., KALINGA")</f>
        <v>SANTOR, RIZAL., KALINGA</v>
      </c>
      <c r="F316" s="2" t="str">
        <f>IFERROR(__xludf.DUMMYFUNCTION("""COMPUTED_VALUE"""),"ANDARAYAN SANTOR SMALL WATER IRRIGATION SYSTEM ASSC.  /  ROGER MILLAN")</f>
        <v>ANDARAYAN SANTOR SMALL WATER IRRIGATION SYSTEM ASSC.  /  ROGER MILLAN</v>
      </c>
      <c r="G316" s="2">
        <f>IFERROR(__xludf.DUMMYFUNCTION("""COMPUTED_VALUE"""),9.355260831E9)</f>
        <v>9355260831</v>
      </c>
      <c r="H316" s="2">
        <f>IFERROR(__xludf.DUMMYFUNCTION("""COMPUTED_VALUE"""),46.0)</f>
        <v>46</v>
      </c>
      <c r="I316" s="72" t="str">
        <f>IFERROR(__xludf.DUMMYFUNCTION("""COMPUTED_VALUE"""),"PMS")</f>
        <v>PMS</v>
      </c>
      <c r="J316" s="72" t="str">
        <f>IFERROR(__xludf.DUMMYFUNCTION("""COMPUTED_VALUE"""),"PMS")</f>
        <v>PMS</v>
      </c>
      <c r="K316" s="72" t="str">
        <f>IFERROR(__xludf.DUMMYFUNCTION("""COMPUTED_VALUE"""),"KFS: FIRST PMS
mykee: 7/13/24:saturday: connot be reach, ginabi nadin sila kaya hindi na napuntahan.")</f>
        <v>KFS: FIRST PMS
mykee: 7/13/24:saturday: connot be reach, ginabi nadin sila kaya hindi na napuntahan.</v>
      </c>
      <c r="L316" s="72" t="str">
        <f>IFERROR(__xludf.DUMMYFUNCTION("""COMPUTED_VALUE"""),"FOR FF. UP CALL-CFG")</f>
        <v>FOR FF. UP CALL-CFG</v>
      </c>
      <c r="M316" s="2"/>
      <c r="N316" s="2"/>
      <c r="O316" s="2" t="str">
        <f>IFERROR(__xludf.DUMMYFUNCTION("""COMPUTED_VALUE"""),"N/A")</f>
        <v>N/A</v>
      </c>
      <c r="P316" s="2"/>
      <c r="Q316" s="2"/>
      <c r="R316" s="74">
        <f>IFERROR(__xludf.DUMMYFUNCTION("""COMPUTED_VALUE"""),45484.0)</f>
        <v>45484</v>
      </c>
      <c r="S316" s="2" t="str">
        <f>IFERROR(__xludf.DUMMYFUNCTION("""COMPUTED_VALUE"""),"MYKEE")</f>
        <v>MYKEE</v>
      </c>
      <c r="T316" s="73" t="str">
        <f>IFERROR(__xludf.DUMMYFUNCTION("""COMPUTED_VALUE""")," N/A ")</f>
        <v>N/A</v>
      </c>
      <c r="U316" s="73" t="str">
        <f>IFERROR(__xludf.DUMMYFUNCTION("""COMPUTED_VALUE""")," NO CHARGE ")</f>
        <v>NO CHARGE</v>
      </c>
      <c r="V316" s="2"/>
      <c r="W316" s="2" t="str">
        <f>IFERROR(__xludf.DUMMYFUNCTION("""COMPUTED_VALUE"""),"N/A")</f>
        <v>N/A</v>
      </c>
      <c r="X316" s="2" t="str">
        <f>IFERROR(__xludf.DUMMYFUNCTION("""COMPUTED_VALUE"""),"N/A")</f>
        <v>N/A</v>
      </c>
      <c r="Y316" s="2"/>
      <c r="Z316" s="2"/>
      <c r="AA316" s="2"/>
      <c r="AB316" s="2"/>
      <c r="AC316" s="2"/>
      <c r="AD316" s="2"/>
      <c r="AE316" s="2"/>
      <c r="AF316" s="2"/>
      <c r="AG316" s="2"/>
      <c r="AH316" s="2"/>
      <c r="AI316" s="2"/>
      <c r="AJ316" s="2" t="str">
        <f>IFERROR(__xludf.DUMMYFUNCTION("""COMPUTED_VALUE"""),"Santor")</f>
        <v>Santor</v>
      </c>
      <c r="AK316" s="2" t="str">
        <f>IFERROR(__xludf.DUMMYFUNCTION("""COMPUTED_VALUE"""),"Rizal.")</f>
        <v>Rizal.</v>
      </c>
      <c r="AL316" s="2" t="str">
        <f>IFERROR(__xludf.DUMMYFUNCTION("""COMPUTED_VALUE"""),"Kalinga")</f>
        <v>Kalinga</v>
      </c>
      <c r="AM316" s="2" t="str">
        <f>IFERROR(__xludf.DUMMYFUNCTION("""COMPUTED_VALUE"""),"CAR")</f>
        <v>CAR</v>
      </c>
      <c r="AN316" s="2" t="str">
        <f>IFERROR(__xludf.DUMMYFUNCTION("""COMPUTED_VALUE"""),"RCEF 23-09-21 Rebidding")</f>
        <v>RCEF 23-09-21 Rebidding</v>
      </c>
      <c r="AO316" s="2">
        <f>IFERROR(__xludf.DUMMYFUNCTION("""COMPUTED_VALUE"""),1.0)</f>
        <v>1</v>
      </c>
      <c r="AP316" s="2"/>
      <c r="AQ316" s="2"/>
      <c r="AR316" s="2"/>
      <c r="AS316" s="2"/>
      <c r="AT316" s="2"/>
      <c r="AU316" s="2"/>
      <c r="AV316" s="2"/>
      <c r="AW316" s="2"/>
      <c r="AX316" s="2"/>
      <c r="AY316" s="2"/>
      <c r="AZ316" s="2"/>
      <c r="BA316" s="2"/>
      <c r="BB316" s="2"/>
    </row>
    <row r="317">
      <c r="A317" s="2">
        <f>IFERROR(__xludf.DUMMYFUNCTION("""COMPUTED_VALUE"""),313.0)</f>
        <v>313</v>
      </c>
      <c r="B317" s="2" t="str">
        <f>IFERROR(__xludf.DUMMYFUNCTION("""COMPUTED_VALUE"""),"COMPLETED")</f>
        <v>COMPLETED</v>
      </c>
      <c r="C317" s="74">
        <f>IFERROR(__xludf.DUMMYFUNCTION("""COMPUTED_VALUE"""),45485.0)</f>
        <v>45485</v>
      </c>
      <c r="D317" s="71" t="str">
        <f>IFERROR(__xludf.DUMMYFUNCTION("""COMPUTED_VALUE"""),"TANDOC SILAG KALUNGKONG FARMERS IRRIGATORS ASSOCIATION")</f>
        <v>TANDOC SILAG KALUNGKONG FARMERS IRRIGATORS ASSOCIATION</v>
      </c>
      <c r="E317" s="71" t="str">
        <f>IFERROR(__xludf.DUMMYFUNCTION("""COMPUTED_VALUE"""),"Uyong, Labrador, PANGASINAN")</f>
        <v>Uyong, Labrador, PANGASINAN</v>
      </c>
      <c r="F317" s="2"/>
      <c r="G317" s="2"/>
      <c r="H317" s="2">
        <f>IFERROR(__xludf.DUMMYFUNCTION("""COMPUTED_VALUE"""),88.6)</f>
        <v>88.6</v>
      </c>
      <c r="I317" s="72" t="str">
        <f>IFERROR(__xludf.DUMMYFUNCTION("""COMPUTED_VALUE"""),"PMS")</f>
        <v>PMS</v>
      </c>
      <c r="J317" s="72" t="str">
        <f>IFERROR(__xludf.DUMMYFUNCTION("""COMPUTED_VALUE"""),"PMS")</f>
        <v>PMS</v>
      </c>
      <c r="K317" s="72" t="str">
        <f>IFERROR(__xludf.DUMMYFUNCTION("""COMPUTED_VALUE"""),"ACS: FIRST PMS")</f>
        <v>ACS: FIRST PMS</v>
      </c>
      <c r="L317" s="72" t="str">
        <f>IFERROR(__xludf.DUMMYFUNCTION("""COMPUTED_VALUE"""),"ACS: FIRST PMS DONE
OIL FILTER PAID BY FCA")</f>
        <v>ACS: FIRST PMS DONE
OIL FILTER PAID BY FCA</v>
      </c>
      <c r="M317" s="2"/>
      <c r="N317" s="2" t="str">
        <f>IFERROR(__xludf.DUMMYFUNCTION("""COMPUTED_VALUE"""),"OIL FILTER")</f>
        <v>OIL FILTER</v>
      </c>
      <c r="O317" s="2" t="str">
        <f>IFERROR(__xludf.DUMMYFUNCTION("""COMPUTED_VALUE"""),"JIE-847")</f>
        <v>JIE-847</v>
      </c>
      <c r="P317" s="2"/>
      <c r="Q317" s="2"/>
      <c r="R317" s="74">
        <f>IFERROR(__xludf.DUMMYFUNCTION("""COMPUTED_VALUE"""),45485.0)</f>
        <v>45485</v>
      </c>
      <c r="S317" s="2" t="str">
        <f>IFERROR(__xludf.DUMMYFUNCTION("""COMPUTED_VALUE"""),"ACS/JHP")</f>
        <v>ACS/JHP</v>
      </c>
      <c r="T317" s="73">
        <f>IFERROR(__xludf.DUMMYFUNCTION("""COMPUTED_VALUE"""),2837.5)</f>
        <v>2837.5</v>
      </c>
      <c r="U317" s="73" t="str">
        <f>IFERROR(__xludf.DUMMYFUNCTION("""COMPUTED_VALUE""")," REMITTED ")</f>
        <v>REMITTED</v>
      </c>
      <c r="V317" s="2"/>
      <c r="W317" s="2"/>
      <c r="X317" s="2">
        <f>IFERROR(__xludf.DUMMYFUNCTION("""COMPUTED_VALUE"""),1130.0)</f>
        <v>1130</v>
      </c>
      <c r="Y317" s="2"/>
      <c r="Z317" s="2"/>
      <c r="AA317" s="2"/>
      <c r="AB317" s="2"/>
      <c r="AC317" s="2"/>
      <c r="AD317" s="2"/>
      <c r="AE317" s="2"/>
      <c r="AF317" s="2"/>
      <c r="AG317" s="2"/>
      <c r="AH317" s="2"/>
      <c r="AI317" s="2"/>
      <c r="AJ317" s="2" t="str">
        <f>IFERROR(__xludf.DUMMYFUNCTION("""COMPUTED_VALUE"""),"Uyong")</f>
        <v>Uyong</v>
      </c>
      <c r="AK317" s="2" t="str">
        <f>IFERROR(__xludf.DUMMYFUNCTION("""COMPUTED_VALUE"""),"Labrador")</f>
        <v>Labrador</v>
      </c>
      <c r="AL317" s="2" t="str">
        <f>IFERROR(__xludf.DUMMYFUNCTION("""COMPUTED_VALUE"""),"Pangasinan")</f>
        <v>Pangasinan</v>
      </c>
      <c r="AM317" s="2">
        <f>IFERROR(__xludf.DUMMYFUNCTION("""COMPUTED_VALUE"""),1.0)</f>
        <v>1</v>
      </c>
      <c r="AN317" s="2" t="str">
        <f>IFERROR(__xludf.DUMMYFUNCTION("""COMPUTED_VALUE"""),"RCEF 23-09-21 Rebidding")</f>
        <v>RCEF 23-09-21 Rebidding</v>
      </c>
      <c r="AO317" s="2">
        <f>IFERROR(__xludf.DUMMYFUNCTION("""COMPUTED_VALUE"""),2.0)</f>
        <v>2</v>
      </c>
      <c r="AP317" s="2"/>
      <c r="AQ317" s="2"/>
      <c r="AR317" s="2"/>
      <c r="AS317" s="2"/>
      <c r="AT317" s="2"/>
      <c r="AU317" s="2"/>
      <c r="AV317" s="2"/>
      <c r="AW317" s="2"/>
      <c r="AX317" s="2"/>
      <c r="AY317" s="2"/>
      <c r="AZ317" s="2"/>
      <c r="BA317" s="2"/>
      <c r="BB317" s="2"/>
    </row>
    <row r="318">
      <c r="A318" s="2">
        <f>IFERROR(__xludf.DUMMYFUNCTION("""COMPUTED_VALUE"""),314.0)</f>
        <v>314</v>
      </c>
      <c r="B318" s="2" t="str">
        <f>IFERROR(__xludf.DUMMYFUNCTION("""COMPUTED_VALUE"""),"COMPLETED")</f>
        <v>COMPLETED</v>
      </c>
      <c r="C318" s="74">
        <f>IFERROR(__xludf.DUMMYFUNCTION("""COMPUTED_VALUE"""),45485.0)</f>
        <v>45485</v>
      </c>
      <c r="D318" s="71" t="str">
        <f>IFERROR(__xludf.DUMMYFUNCTION("""COMPUTED_VALUE"""),"Seven Barangays of Mangatarem Irrigators Association, Inc.")</f>
        <v>Seven Barangays of Mangatarem Irrigators Association, Inc.</v>
      </c>
      <c r="E318" s="71" t="str">
        <f>IFERROR(__xludf.DUMMYFUNCTION("""COMPUTED_VALUE"""),", Mangatarem, Pangasinan")</f>
        <v>, Mangatarem, Pangasinan</v>
      </c>
      <c r="F318" s="2" t="str">
        <f>IFERROR(__xludf.DUMMYFUNCTION("""COMPUTED_VALUE"""),"SEVEN BARANGAY OF MANGATAREM IRRIG. ASSC.   /   VIRGILIO DANCEL JR.")</f>
        <v>SEVEN BARANGAY OF MANGATAREM IRRIG. ASSC.   /   VIRGILIO DANCEL JR.</v>
      </c>
      <c r="G318" s="2" t="str">
        <f>IFERROR(__xludf.DUMMYFUNCTION("""COMPUTED_VALUE"""),"0950-193-0581")</f>
        <v>0950-193-0581</v>
      </c>
      <c r="H318" s="2">
        <f>IFERROR(__xludf.DUMMYFUNCTION("""COMPUTED_VALUE"""),58.5)</f>
        <v>58.5</v>
      </c>
      <c r="I318" s="72" t="str">
        <f>IFERROR(__xludf.DUMMYFUNCTION("""COMPUTED_VALUE"""),"PMS")</f>
        <v>PMS</v>
      </c>
      <c r="J318" s="72" t="str">
        <f>IFERROR(__xludf.DUMMYFUNCTION("""COMPUTED_VALUE"""),"PMS")</f>
        <v>PMS</v>
      </c>
      <c r="K318" s="72" t="str">
        <f>IFERROR(__xludf.DUMMYFUNCTION("""COMPUTED_VALUE"""),"ACS: FIRST PMS")</f>
        <v>ACS: FIRST PMS</v>
      </c>
      <c r="L318" s="72" t="str">
        <f>IFERROR(__xludf.DUMMYFUNCTION("""COMPUTED_VALUE"""),"ACS: FIRST PMS DONE
OIL FILTER PAID BY FCA")</f>
        <v>ACS: FIRST PMS DONE
OIL FILTER PAID BY FCA</v>
      </c>
      <c r="M318" s="2"/>
      <c r="N318" s="2" t="str">
        <f>IFERROR(__xludf.DUMMYFUNCTION("""COMPUTED_VALUE"""),"OIL FILTER")</f>
        <v>OIL FILTER</v>
      </c>
      <c r="O318" s="2" t="str">
        <f>IFERROR(__xludf.DUMMYFUNCTION("""COMPUTED_VALUE"""),"JIE-848")</f>
        <v>JIE-848</v>
      </c>
      <c r="P318" s="2"/>
      <c r="Q318" s="2"/>
      <c r="R318" s="74">
        <f>IFERROR(__xludf.DUMMYFUNCTION("""COMPUTED_VALUE"""),45485.0)</f>
        <v>45485</v>
      </c>
      <c r="S318" s="2" t="str">
        <f>IFERROR(__xludf.DUMMYFUNCTION("""COMPUTED_VALUE"""),"ACS/JHP")</f>
        <v>ACS/JHP</v>
      </c>
      <c r="T318" s="73">
        <f>IFERROR(__xludf.DUMMYFUNCTION("""COMPUTED_VALUE"""),2837.5)</f>
        <v>2837.5</v>
      </c>
      <c r="U318" s="73" t="str">
        <f>IFERROR(__xludf.DUMMYFUNCTION("""COMPUTED_VALUE""")," REMITTED ")</f>
        <v>REMITTED</v>
      </c>
      <c r="V318" s="2"/>
      <c r="W318" s="2"/>
      <c r="X318" s="2">
        <f>IFERROR(__xludf.DUMMYFUNCTION("""COMPUTED_VALUE"""),1131.0)</f>
        <v>1131</v>
      </c>
      <c r="Y318" s="2"/>
      <c r="Z318" s="2"/>
      <c r="AA318" s="2"/>
      <c r="AB318" s="2"/>
      <c r="AC318" s="2"/>
      <c r="AD318" s="2"/>
      <c r="AE318" s="2"/>
      <c r="AF318" s="2"/>
      <c r="AG318" s="2"/>
      <c r="AH318" s="2"/>
      <c r="AI318" s="2"/>
      <c r="AJ318" s="2" t="str">
        <f>IFERROR(__xludf.DUMMYFUNCTION("""COMPUTED_VALUE"""),"")</f>
        <v/>
      </c>
      <c r="AK318" s="2" t="str">
        <f>IFERROR(__xludf.DUMMYFUNCTION("""COMPUTED_VALUE"""),"Mangatarem")</f>
        <v>Mangatarem</v>
      </c>
      <c r="AL318" s="2" t="str">
        <f>IFERROR(__xludf.DUMMYFUNCTION("""COMPUTED_VALUE"""),"Pangasinan")</f>
        <v>Pangasinan</v>
      </c>
      <c r="AM318" s="2">
        <f>IFERROR(__xludf.DUMMYFUNCTION("""COMPUTED_VALUE"""),1.0)</f>
        <v>1</v>
      </c>
      <c r="AN318" s="2" t="str">
        <f>IFERROR(__xludf.DUMMYFUNCTION("""COMPUTED_VALUE"""),"RCEF 23-09-21 Rebidding")</f>
        <v>RCEF 23-09-21 Rebidding</v>
      </c>
      <c r="AO318" s="2">
        <f>IFERROR(__xludf.DUMMYFUNCTION("""COMPUTED_VALUE"""),2.0)</f>
        <v>2</v>
      </c>
      <c r="AP318" s="2"/>
      <c r="AQ318" s="2"/>
      <c r="AR318" s="2"/>
      <c r="AS318" s="2"/>
      <c r="AT318" s="2"/>
      <c r="AU318" s="2"/>
      <c r="AV318" s="2"/>
      <c r="AW318" s="2"/>
      <c r="AX318" s="2"/>
      <c r="AY318" s="2"/>
      <c r="AZ318" s="2"/>
      <c r="BA318" s="2"/>
      <c r="BB318" s="2"/>
    </row>
    <row r="319">
      <c r="A319" s="2">
        <f>IFERROR(__xludf.DUMMYFUNCTION("""COMPUTED_VALUE"""),315.0)</f>
        <v>315</v>
      </c>
      <c r="B319" s="2" t="str">
        <f>IFERROR(__xludf.DUMMYFUNCTION("""COMPUTED_VALUE"""),"COMPLETED")</f>
        <v>COMPLETED</v>
      </c>
      <c r="C319" s="74">
        <f>IFERROR(__xludf.DUMMYFUNCTION("""COMPUTED_VALUE"""),45485.0)</f>
        <v>45485</v>
      </c>
      <c r="D319" s="71" t="str">
        <f>IFERROR(__xludf.DUMMYFUNCTION("""COMPUTED_VALUE"""),"MAUBAN FARMERS ASSOCIATION")</f>
        <v>MAUBAN FARMERS ASSOCIATION</v>
      </c>
      <c r="E319" s="71" t="str">
        <f>IFERROR(__xludf.DUMMYFUNCTION("""COMPUTED_VALUE"""),"Rizaliana, Mauban, Quezon")</f>
        <v>Rizaliana, Mauban, Quezon</v>
      </c>
      <c r="F319" s="2" t="str">
        <f>IFERROR(__xludf.DUMMYFUNCTION("""COMPUTED_VALUE"""),"SERIO CONCHADA JR.")</f>
        <v>SERIO CONCHADA JR.</v>
      </c>
      <c r="G319" s="2">
        <f>IFERROR(__xludf.DUMMYFUNCTION("""COMPUTED_VALUE"""),9.088729939E9)</f>
        <v>9088729939</v>
      </c>
      <c r="H319" s="2">
        <f>IFERROR(__xludf.DUMMYFUNCTION("""COMPUTED_VALUE"""),78.0)</f>
        <v>78</v>
      </c>
      <c r="I319" s="72" t="str">
        <f>IFERROR(__xludf.DUMMYFUNCTION("""COMPUTED_VALUE"""),"PMS")</f>
        <v>PMS</v>
      </c>
      <c r="J319" s="72" t="str">
        <f>IFERROR(__xludf.DUMMYFUNCTION("""COMPUTED_VALUE"""),"PMS")</f>
        <v>PMS</v>
      </c>
      <c r="K319" s="72" t="str">
        <f>IFERROR(__xludf.DUMMYFUNCTION("""COMPUTED_VALUE"""),"RCG: FIRST PMS")</f>
        <v>RCG: FIRST PMS</v>
      </c>
      <c r="L319" s="72" t="str">
        <f>IFERROR(__xludf.DUMMYFUNCTION("""COMPUTED_VALUE"""),"RCG: FIRST PMS DONE, AND CHECK UP UNIT")</f>
        <v>RCG: FIRST PMS DONE, AND CHECK UP UNIT</v>
      </c>
      <c r="M319" s="2"/>
      <c r="N319" s="2"/>
      <c r="O319" s="2" t="str">
        <f>IFERROR(__xludf.DUMMYFUNCTION("""COMPUTED_VALUE"""),"JIE-849")</f>
        <v>JIE-849</v>
      </c>
      <c r="P319" s="2"/>
      <c r="Q319" s="2"/>
      <c r="R319" s="74">
        <f>IFERROR(__xludf.DUMMYFUNCTION("""COMPUTED_VALUE"""),45485.0)</f>
        <v>45485</v>
      </c>
      <c r="S319" s="2" t="str">
        <f>IFERROR(__xludf.DUMMYFUNCTION("""COMPUTED_VALUE"""),"RCG/LBA")</f>
        <v>RCG/LBA</v>
      </c>
      <c r="T319" s="73" t="str">
        <f>IFERROR(__xludf.DUMMYFUNCTION("""COMPUTED_VALUE""")," N/A ")</f>
        <v>N/A</v>
      </c>
      <c r="U319" s="73" t="str">
        <f>IFERROR(__xludf.DUMMYFUNCTION("""COMPUTED_VALUE""")," NO CHARGE ")</f>
        <v>NO CHARGE</v>
      </c>
      <c r="V319" s="2"/>
      <c r="W319" s="2" t="str">
        <f>IFERROR(__xludf.DUMMYFUNCTION("""COMPUTED_VALUE"""),"N/A")</f>
        <v>N/A</v>
      </c>
      <c r="X319" s="2" t="str">
        <f>IFERROR(__xludf.DUMMYFUNCTION("""COMPUTED_VALUE"""),"N/A")</f>
        <v>N/A</v>
      </c>
      <c r="Y319" s="2"/>
      <c r="Z319" s="2"/>
      <c r="AA319" s="2"/>
      <c r="AB319" s="2"/>
      <c r="AC319" s="2"/>
      <c r="AD319" s="2"/>
      <c r="AE319" s="2"/>
      <c r="AF319" s="2"/>
      <c r="AG319" s="2"/>
      <c r="AH319" s="2"/>
      <c r="AI319" s="2"/>
      <c r="AJ319" s="2" t="str">
        <f>IFERROR(__xludf.DUMMYFUNCTION("""COMPUTED_VALUE"""),"Rizaliana")</f>
        <v>Rizaliana</v>
      </c>
      <c r="AK319" s="2" t="str">
        <f>IFERROR(__xludf.DUMMYFUNCTION("""COMPUTED_VALUE"""),"Mauban")</f>
        <v>Mauban</v>
      </c>
      <c r="AL319" s="2" t="str">
        <f>IFERROR(__xludf.DUMMYFUNCTION("""COMPUTED_VALUE"""),"Quezon")</f>
        <v>Quezon</v>
      </c>
      <c r="AM319" s="2" t="str">
        <f>IFERROR(__xludf.DUMMYFUNCTION("""COMPUTED_VALUE"""),"4A")</f>
        <v>4A</v>
      </c>
      <c r="AN319" s="2" t="str">
        <f>IFERROR(__xludf.DUMMYFUNCTION("""COMPUTED_VALUE"""),"RCEF 23-08-20 Rebidding")</f>
        <v>RCEF 23-08-20 Rebidding</v>
      </c>
      <c r="AO319" s="2">
        <f>IFERROR(__xludf.DUMMYFUNCTION("""COMPUTED_VALUE"""),1.0)</f>
        <v>1</v>
      </c>
      <c r="AP319" s="2"/>
      <c r="AQ319" s="2"/>
      <c r="AR319" s="2"/>
      <c r="AS319" s="2"/>
      <c r="AT319" s="2"/>
      <c r="AU319" s="2"/>
      <c r="AV319" s="2"/>
      <c r="AW319" s="2"/>
      <c r="AX319" s="2"/>
      <c r="AY319" s="2"/>
      <c r="AZ319" s="2"/>
      <c r="BA319" s="2"/>
      <c r="BB319" s="2"/>
    </row>
    <row r="320">
      <c r="A320" s="2">
        <f>IFERROR(__xludf.DUMMYFUNCTION("""COMPUTED_VALUE"""),316.0)</f>
        <v>316</v>
      </c>
      <c r="B320" s="2" t="str">
        <f>IFERROR(__xludf.DUMMYFUNCTION("""COMPUTED_VALUE"""),"COMPLETED")</f>
        <v>COMPLETED</v>
      </c>
      <c r="C320" s="74">
        <f>IFERROR(__xludf.DUMMYFUNCTION("""COMPUTED_VALUE"""),45485.0)</f>
        <v>45485</v>
      </c>
      <c r="D320" s="71" t="str">
        <f>IFERROR(__xludf.DUMMYFUNCTION("""COMPUTED_VALUE"""),"BARANGAY SAN LUIS 1 HEALTHY FARMING ASSOCIATION")</f>
        <v>BARANGAY SAN LUIS 1 HEALTHY FARMING ASSOCIATION</v>
      </c>
      <c r="E320" s="71" t="str">
        <f>IFERROR(__xludf.DUMMYFUNCTION("""COMPUTED_VALUE"""),"San Luis 1, Guinayangan, Quezon")</f>
        <v>San Luis 1, Guinayangan, Quezon</v>
      </c>
      <c r="F320" s="2" t="str">
        <f>IFERROR(__xludf.DUMMYFUNCTION("""COMPUTED_VALUE"""),"AVELINO TOLENTINO")</f>
        <v>AVELINO TOLENTINO</v>
      </c>
      <c r="G320" s="2">
        <f>IFERROR(__xludf.DUMMYFUNCTION("""COMPUTED_VALUE"""),9.30743885E8)</f>
        <v>930743885</v>
      </c>
      <c r="H320" s="2">
        <f>IFERROR(__xludf.DUMMYFUNCTION("""COMPUTED_VALUE"""),27.0)</f>
        <v>27</v>
      </c>
      <c r="I320" s="72" t="str">
        <f>IFERROR(__xludf.DUMMYFUNCTION("""COMPUTED_VALUE"""),"REPAIR - TRACTOR")</f>
        <v>REPAIR - TRACTOR</v>
      </c>
      <c r="J320" s="72" t="str">
        <f>IFERROR(__xludf.DUMMYFUNCTION("""COMPUTED_VALUE"""),"Transmission - Clutch")</f>
        <v>Transmission - Clutch</v>
      </c>
      <c r="K320" s="72" t="str">
        <f>IFERROR(__xludf.DUMMYFUNCTION("""COMPUTED_VALUE"""),"JTT: CLUTCH LINING PROBLEM PARTS:CLUTCH DISC ASSY
RCG: 8/21/24: may pressure plate po ba tayo.palitin na din po kz yung dito sa guinayangan.
PARTS: CLUTCH COVER ASSY / PRESSURE PLATE")</f>
        <v>JTT: CLUTCH LINING PROBLEM PARTS:CLUTCH DISC ASSY
RCG: 8/21/24: may pressure plate po ba tayo.palitin na din po kz yung dito sa guinayangan.
PARTS: CLUTCH COVER ASSY / PRESSURE PLATE</v>
      </c>
      <c r="L320" s="72" t="str">
        <f>IFERROR(__xludf.DUMMYFUNCTION("""COMPUTED_VALUE"""),"JTT: REPLACED CLUTCH DISC ASSY AND CLUTCH COVER ASSY")</f>
        <v>JTT: REPLACED CLUTCH DISC ASSY AND CLUTCH COVER ASSY</v>
      </c>
      <c r="M320" s="2"/>
      <c r="N320" s="2" t="str">
        <f>IFERROR(__xludf.DUMMYFUNCTION("""COMPUTED_VALUE"""),"PARTS USED: CLUTCH DISC ASSY AND CLUTCH COVER ASSY")</f>
        <v>PARTS USED: CLUTCH DISC ASSY AND CLUTCH COVER ASSY</v>
      </c>
      <c r="O320" s="2">
        <f>IFERROR(__xludf.DUMMYFUNCTION("""COMPUTED_VALUE"""),851.0)</f>
        <v>851</v>
      </c>
      <c r="P320" s="2"/>
      <c r="Q320" s="2" t="str">
        <f>IFERROR(__xludf.DUMMYFUNCTION("""COMPUTED_VALUE"""),"Y")</f>
        <v>Y</v>
      </c>
      <c r="R320" s="74">
        <f>IFERROR(__xludf.DUMMYFUNCTION("""COMPUTED_VALUE"""),45544.0)</f>
        <v>45544</v>
      </c>
      <c r="S320" s="2" t="str">
        <f>IFERROR(__xludf.DUMMYFUNCTION("""COMPUTED_VALUE"""),"JTT/PPS")</f>
        <v>JTT/PPS</v>
      </c>
      <c r="T320" s="73" t="str">
        <f>IFERROR(__xludf.DUMMYFUNCTION("""COMPUTED_VALUE""")," N/A ")</f>
        <v>N/A</v>
      </c>
      <c r="U320" s="73" t="str">
        <f>IFERROR(__xludf.DUMMYFUNCTION("""COMPUTED_VALUE""")," NO CHARGE ")</f>
        <v>NO CHARGE</v>
      </c>
      <c r="V320" s="2"/>
      <c r="W320" s="2" t="str">
        <f>IFERROR(__xludf.DUMMYFUNCTION("""COMPUTED_VALUE"""),"N/A")</f>
        <v>N/A</v>
      </c>
      <c r="X320" s="2" t="str">
        <f>IFERROR(__xludf.DUMMYFUNCTION("""COMPUTED_VALUE"""),"N/A")</f>
        <v>N/A</v>
      </c>
      <c r="Y320" s="2"/>
      <c r="Z320" s="2"/>
      <c r="AA320" s="2"/>
      <c r="AB320" s="2"/>
      <c r="AC320" s="2" t="str">
        <f>IFERROR(__xludf.DUMMYFUNCTION("""COMPUTED_VALUE"""),"Y")</f>
        <v>Y</v>
      </c>
      <c r="AD320" s="2"/>
      <c r="AE320" s="2"/>
      <c r="AF320" s="2"/>
      <c r="AG320" s="2"/>
      <c r="AH320" s="2"/>
      <c r="AI320" s="2"/>
      <c r="AJ320" s="2" t="str">
        <f>IFERROR(__xludf.DUMMYFUNCTION("""COMPUTED_VALUE"""),"San Luis 1")</f>
        <v>San Luis 1</v>
      </c>
      <c r="AK320" s="2" t="str">
        <f>IFERROR(__xludf.DUMMYFUNCTION("""COMPUTED_VALUE"""),"Guinayangan")</f>
        <v>Guinayangan</v>
      </c>
      <c r="AL320" s="2" t="str">
        <f>IFERROR(__xludf.DUMMYFUNCTION("""COMPUTED_VALUE"""),"Quezon")</f>
        <v>Quezon</v>
      </c>
      <c r="AM320" s="2" t="str">
        <f>IFERROR(__xludf.DUMMYFUNCTION("""COMPUTED_VALUE"""),"4A")</f>
        <v>4A</v>
      </c>
      <c r="AN320" s="2" t="str">
        <f>IFERROR(__xludf.DUMMYFUNCTION("""COMPUTED_VALUE"""),"RCEF 23-08-20 Rebidding")</f>
        <v>RCEF 23-08-20 Rebidding</v>
      </c>
      <c r="AO320" s="2">
        <f>IFERROR(__xludf.DUMMYFUNCTION("""COMPUTED_VALUE"""),1.0)</f>
        <v>1</v>
      </c>
      <c r="AP320" s="2"/>
      <c r="AQ320" s="2"/>
      <c r="AR320" s="2"/>
      <c r="AS320" s="2"/>
      <c r="AT320" s="2"/>
      <c r="AU320" s="2"/>
      <c r="AV320" s="2"/>
      <c r="AW320" s="2"/>
      <c r="AX320" s="2"/>
      <c r="AY320" s="2"/>
      <c r="AZ320" s="2"/>
      <c r="BA320" s="2"/>
      <c r="BB320" s="2"/>
    </row>
    <row r="321">
      <c r="A321" s="2">
        <f>IFERROR(__xludf.DUMMYFUNCTION("""COMPUTED_VALUE"""),317.0)</f>
        <v>317</v>
      </c>
      <c r="B321" s="2" t="str">
        <f>IFERROR(__xludf.DUMMYFUNCTION("""COMPUTED_VALUE"""),"COMPLETED")</f>
        <v>COMPLETED</v>
      </c>
      <c r="C321" s="74">
        <f>IFERROR(__xludf.DUMMYFUNCTION("""COMPUTED_VALUE"""),45485.0)</f>
        <v>45485</v>
      </c>
      <c r="D321" s="71" t="str">
        <f>IFERROR(__xludf.DUMMYFUNCTION("""COMPUTED_VALUE"""),"SAN ISIDRO FARMER'S ASSOCIATION")</f>
        <v>SAN ISIDRO FARMER'S ASSOCIATION</v>
      </c>
      <c r="E321" s="71" t="str">
        <f>IFERROR(__xludf.DUMMYFUNCTION("""COMPUTED_VALUE"""),"San Isidro, Tiaong, Quezon")</f>
        <v>San Isidro, Tiaong, Quezon</v>
      </c>
      <c r="F321" s="2" t="str">
        <f>IFERROR(__xludf.DUMMYFUNCTION("""COMPUTED_VALUE"""),"EUSEBIO SILANG")</f>
        <v>EUSEBIO SILANG</v>
      </c>
      <c r="G321" s="2">
        <f>IFERROR(__xludf.DUMMYFUNCTION("""COMPUTED_VALUE"""),9.462300989E9)</f>
        <v>9462300989</v>
      </c>
      <c r="H321" s="2">
        <f>IFERROR(__xludf.DUMMYFUNCTION("""COMPUTED_VALUE"""),32.8)</f>
        <v>32.8</v>
      </c>
      <c r="I321" s="72" t="str">
        <f>IFERROR(__xludf.DUMMYFUNCTION("""COMPUTED_VALUE"""),"REPAIR - TRACTOR")</f>
        <v>REPAIR - TRACTOR</v>
      </c>
      <c r="J321" s="72" t="str">
        <f>IFERROR(__xludf.DUMMYFUNCTION("""COMPUTED_VALUE"""),"Radiator")</f>
        <v>Radiator</v>
      </c>
      <c r="K321" s="72" t="str">
        <f>IFERROR(__xludf.DUMMYFUNCTION("""COMPUTED_VALUE"""),"RCG: RADIATOR TOP COVER CRACK")</f>
        <v>RCG: RADIATOR TOP COVER CRACK</v>
      </c>
      <c r="L321" s="72" t="str">
        <f>IFERROR(__xludf.DUMMYFUNCTION("""COMPUTED_VALUE"""),"RCG:Assessed unit,Checkup Radiator and coolant level,check thermostat.
Replace Radiator assy.
")</f>
        <v>RCG:Assessed unit,Checkup Radiator and coolant level,check thermostat.
Replace Radiator assy.
</v>
      </c>
      <c r="M321" s="2"/>
      <c r="N321" s="2" t="str">
        <f>IFERROR(__xludf.DUMMYFUNCTION("""COMPUTED_VALUE"""),"PARTS: RADIATOR ASSY")</f>
        <v>PARTS: RADIATOR ASSY</v>
      </c>
      <c r="O321" s="2" t="str">
        <f>IFERROR(__xludf.DUMMYFUNCTION("""COMPUTED_VALUE"""),"JIE-932")</f>
        <v>JIE-932</v>
      </c>
      <c r="P321" s="2"/>
      <c r="Q321" s="2"/>
      <c r="R321" s="74">
        <f>IFERROR(__xludf.DUMMYFUNCTION("""COMPUTED_VALUE"""),45517.0)</f>
        <v>45517</v>
      </c>
      <c r="S321" s="2" t="str">
        <f>IFERROR(__xludf.DUMMYFUNCTION("""COMPUTED_VALUE"""),"RCG/LBA")</f>
        <v>RCG/LBA</v>
      </c>
      <c r="T321" s="73" t="str">
        <f>IFERROR(__xludf.DUMMYFUNCTION("""COMPUTED_VALUE""")," N/A ")</f>
        <v>N/A</v>
      </c>
      <c r="U321" s="73" t="str">
        <f>IFERROR(__xludf.DUMMYFUNCTION("""COMPUTED_VALUE""")," NO CHARGE ")</f>
        <v>NO CHARGE</v>
      </c>
      <c r="V321" s="2"/>
      <c r="W321" s="2" t="str">
        <f>IFERROR(__xludf.DUMMYFUNCTION("""COMPUTED_VALUE"""),"N/A")</f>
        <v>N/A</v>
      </c>
      <c r="X321" s="2" t="str">
        <f>IFERROR(__xludf.DUMMYFUNCTION("""COMPUTED_VALUE"""),"N/A")</f>
        <v>N/A</v>
      </c>
      <c r="Y321" s="2"/>
      <c r="Z321" s="2"/>
      <c r="AA321" s="2"/>
      <c r="AB321" s="2"/>
      <c r="AC321" s="2" t="str">
        <f>IFERROR(__xludf.DUMMYFUNCTION("""COMPUTED_VALUE"""),"Y")</f>
        <v>Y</v>
      </c>
      <c r="AD321" s="2"/>
      <c r="AE321" s="2"/>
      <c r="AF321" s="2"/>
      <c r="AG321" s="2"/>
      <c r="AH321" s="2"/>
      <c r="AI321" s="2"/>
      <c r="AJ321" s="2" t="str">
        <f>IFERROR(__xludf.DUMMYFUNCTION("""COMPUTED_VALUE"""),"San Isidro")</f>
        <v>San Isidro</v>
      </c>
      <c r="AK321" s="2" t="str">
        <f>IFERROR(__xludf.DUMMYFUNCTION("""COMPUTED_VALUE"""),"Tiaong")</f>
        <v>Tiaong</v>
      </c>
      <c r="AL321" s="2" t="str">
        <f>IFERROR(__xludf.DUMMYFUNCTION("""COMPUTED_VALUE"""),"Quezon")</f>
        <v>Quezon</v>
      </c>
      <c r="AM321" s="2" t="str">
        <f>IFERROR(__xludf.DUMMYFUNCTION("""COMPUTED_VALUE"""),"4A")</f>
        <v>4A</v>
      </c>
      <c r="AN321" s="2" t="str">
        <f>IFERROR(__xludf.DUMMYFUNCTION("""COMPUTED_VALUE"""),"RCEF 23-08-20 Rebidding")</f>
        <v>RCEF 23-08-20 Rebidding</v>
      </c>
      <c r="AO321" s="2">
        <f>IFERROR(__xludf.DUMMYFUNCTION("""COMPUTED_VALUE"""),1.0)</f>
        <v>1</v>
      </c>
      <c r="AP321" s="2"/>
      <c r="AQ321" s="2"/>
      <c r="AR321" s="2"/>
      <c r="AS321" s="2"/>
      <c r="AT321" s="2"/>
      <c r="AU321" s="2"/>
      <c r="AV321" s="2"/>
      <c r="AW321" s="2"/>
      <c r="AX321" s="2"/>
      <c r="AY321" s="2"/>
      <c r="AZ321" s="2"/>
      <c r="BA321" s="2"/>
      <c r="BB321" s="2"/>
    </row>
    <row r="322">
      <c r="A322" s="2">
        <f>IFERROR(__xludf.DUMMYFUNCTION("""COMPUTED_VALUE"""),318.0)</f>
        <v>318</v>
      </c>
      <c r="B322" s="2" t="str">
        <f>IFERROR(__xludf.DUMMYFUNCTION("""COMPUTED_VALUE"""),"COMPLETED")</f>
        <v>COMPLETED</v>
      </c>
      <c r="C322" s="74">
        <f>IFERROR(__xludf.DUMMYFUNCTION("""COMPUTED_VALUE"""),45487.0)</f>
        <v>45487</v>
      </c>
      <c r="D322" s="71" t="str">
        <f>IFERROR(__xludf.DUMMYFUNCTION("""COMPUTED_VALUE"""),"SANDOVAL FARMERS ASSOCIATON")</f>
        <v>SANDOVAL FARMERS ASSOCIATON</v>
      </c>
      <c r="E322" s="71" t="str">
        <f>IFERROR(__xludf.DUMMYFUNCTION("""COMPUTED_VALUE"""),"Sandoval, Taytay, Palawan")</f>
        <v>Sandoval, Taytay, Palawan</v>
      </c>
      <c r="F322" s="2" t="str">
        <f>IFERROR(__xludf.DUMMYFUNCTION("""COMPUTED_VALUE"""),"ISAGANI REPE")</f>
        <v>ISAGANI REPE</v>
      </c>
      <c r="G322" s="2">
        <f>IFERROR(__xludf.DUMMYFUNCTION("""COMPUTED_VALUE"""),9.466248004E9)</f>
        <v>9466248004</v>
      </c>
      <c r="H322" s="2">
        <f>IFERROR(__xludf.DUMMYFUNCTION("""COMPUTED_VALUE"""),60.0)</f>
        <v>60</v>
      </c>
      <c r="I322" s="72" t="str">
        <f>IFERROR(__xludf.DUMMYFUNCTION("""COMPUTED_VALUE"""),"REPAIR - TRACTOR")</f>
        <v>REPAIR - TRACTOR</v>
      </c>
      <c r="J322" s="72" t="str">
        <f>IFERROR(__xludf.DUMMYFUNCTION("""COMPUTED_VALUE"""),"Radiator")</f>
        <v>Radiator</v>
      </c>
      <c r="K322" s="72" t="str">
        <f>IFERROR(__xludf.DUMMYFUNCTION("""COMPUTED_VALUE"""),"RCG: RADIATOR LEAKING
RCG: PINA GAWA NG TAO NI SIR BASTE PERO NAG LEAK PADIN
RCG: PAPALITAN NG BOTTOM COVER
")</f>
        <v>RCG: RADIATOR LEAKING
RCG: PINA GAWA NG TAO NI SIR BASTE PERO NAG LEAK PADIN
RCG: PAPALITAN NG BOTTOM COVER
</v>
      </c>
      <c r="L322" s="72" t="str">
        <f>IFERROR(__xludf.DUMMYFUNCTION("""COMPUTED_VALUE"""),"RCG: 7/30/24: ASSESSED UNIT BY SIR BASTE TEAM THRU PHONE CALL, CHECKED RADIATOR LEAKING, CHECKED ENGINE OIL LEVEL IF CONTAMINATED BY WATER, THEN REPAIR RADAITOR, CONVERT (RADIATOR) TOP AND BOTTOM COVER FROM PLASTIC TO COPPER. ")</f>
        <v>RCG: 7/30/24: ASSESSED UNIT BY SIR BASTE TEAM THRU PHONE CALL, CHECKED RADIATOR LEAKING, CHECKED ENGINE OIL LEVEL IF CONTAMINATED BY WATER, THEN REPAIR RADAITOR, CONVERT (RADIATOR) TOP AND BOTTOM COVER FROM PLASTIC TO COPPER. </v>
      </c>
      <c r="M322" s="2"/>
      <c r="N322" s="2"/>
      <c r="O322" s="2" t="str">
        <f>IFERROR(__xludf.DUMMYFUNCTION("""COMPUTED_VALUE"""),"JIE-919")</f>
        <v>JIE-919</v>
      </c>
      <c r="P322" s="2"/>
      <c r="Q322" s="2"/>
      <c r="R322" s="74">
        <f>IFERROR(__xludf.DUMMYFUNCTION("""COMPUTED_VALUE"""),45503.0)</f>
        <v>45503</v>
      </c>
      <c r="S322" s="2" t="str">
        <f>IFERROR(__xludf.DUMMYFUNCTION("""COMPUTED_VALUE"""),"RCG")</f>
        <v>RCG</v>
      </c>
      <c r="T322" s="73" t="str">
        <f>IFERROR(__xludf.DUMMYFUNCTION("""COMPUTED_VALUE""")," N/A ")</f>
        <v>N/A</v>
      </c>
      <c r="U322" s="73" t="str">
        <f>IFERROR(__xludf.DUMMYFUNCTION("""COMPUTED_VALUE""")," NO CHARGE ")</f>
        <v>NO CHARGE</v>
      </c>
      <c r="V322" s="2"/>
      <c r="W322" s="2" t="str">
        <f>IFERROR(__xludf.DUMMYFUNCTION("""COMPUTED_VALUE"""),"N/A")</f>
        <v>N/A</v>
      </c>
      <c r="X322" s="2" t="str">
        <f>IFERROR(__xludf.DUMMYFUNCTION("""COMPUTED_VALUE"""),"N/A")</f>
        <v>N/A</v>
      </c>
      <c r="Y322" s="2"/>
      <c r="Z322" s="2"/>
      <c r="AA322" s="2"/>
      <c r="AB322" s="2"/>
      <c r="AC322" s="2"/>
      <c r="AD322" s="2"/>
      <c r="AE322" s="2"/>
      <c r="AF322" s="2"/>
      <c r="AG322" s="2"/>
      <c r="AH322" s="2"/>
      <c r="AI322" s="2"/>
      <c r="AJ322" s="2" t="str">
        <f>IFERROR(__xludf.DUMMYFUNCTION("""COMPUTED_VALUE"""),"Sandoval")</f>
        <v>Sandoval</v>
      </c>
      <c r="AK322" s="2" t="str">
        <f>IFERROR(__xludf.DUMMYFUNCTION("""COMPUTED_VALUE"""),"Taytay")</f>
        <v>Taytay</v>
      </c>
      <c r="AL322" s="2" t="str">
        <f>IFERROR(__xludf.DUMMYFUNCTION("""COMPUTED_VALUE"""),"Palawan")</f>
        <v>Palawan</v>
      </c>
      <c r="AM322" s="2" t="str">
        <f>IFERROR(__xludf.DUMMYFUNCTION("""COMPUTED_VALUE"""),"4B")</f>
        <v>4B</v>
      </c>
      <c r="AN322" s="2" t="str">
        <f>IFERROR(__xludf.DUMMYFUNCTION("""COMPUTED_VALUE"""),"RCEF 23-08-20 Rebidding")</f>
        <v>RCEF 23-08-20 Rebidding</v>
      </c>
      <c r="AO322" s="2">
        <f>IFERROR(__xludf.DUMMYFUNCTION("""COMPUTED_VALUE"""),1.0)</f>
        <v>1</v>
      </c>
      <c r="AP322" s="2"/>
      <c r="AQ322" s="2"/>
      <c r="AR322" s="2"/>
      <c r="AS322" s="2"/>
      <c r="AT322" s="2"/>
      <c r="AU322" s="2"/>
      <c r="AV322" s="2"/>
      <c r="AW322" s="2"/>
      <c r="AX322" s="2"/>
      <c r="AY322" s="2"/>
      <c r="AZ322" s="2"/>
      <c r="BA322" s="2"/>
      <c r="BB322" s="2"/>
    </row>
    <row r="323">
      <c r="A323" s="2">
        <f>IFERROR(__xludf.DUMMYFUNCTION("""COMPUTED_VALUE"""),319.0)</f>
        <v>319</v>
      </c>
      <c r="B323" s="2" t="str">
        <f>IFERROR(__xludf.DUMMYFUNCTION("""COMPUTED_VALUE"""),"COMPLETED")</f>
        <v>COMPLETED</v>
      </c>
      <c r="C323" s="74">
        <f>IFERROR(__xludf.DUMMYFUNCTION("""COMPUTED_VALUE"""),45488.0)</f>
        <v>45488</v>
      </c>
      <c r="D323" s="71" t="str">
        <f>IFERROR(__xludf.DUMMYFUNCTION("""COMPUTED_VALUE"""),"PUROK CALAPARAN MAGSAYSAY FARMERS ASSOCIATION")</f>
        <v>PUROK CALAPARAN MAGSAYSAY FARMERS ASSOCIATION</v>
      </c>
      <c r="E323" s="71" t="str">
        <f>IFERROR(__xludf.DUMMYFUNCTION("""COMPUTED_VALUE"""),"Magsaysay, Dumaran, Palawan")</f>
        <v>Magsaysay, Dumaran, Palawan</v>
      </c>
      <c r="F323" s="2" t="str">
        <f>IFERROR(__xludf.DUMMYFUNCTION("""COMPUTED_VALUE"""),"CIRIACO CAMPILLANOS AQUINO")</f>
        <v>CIRIACO CAMPILLANOS AQUINO</v>
      </c>
      <c r="G323" s="2">
        <f>IFERROR(__xludf.DUMMYFUNCTION("""COMPUTED_VALUE"""),9.703024263E9)</f>
        <v>9703024263</v>
      </c>
      <c r="H323" s="2">
        <f>IFERROR(__xludf.DUMMYFUNCTION("""COMPUTED_VALUE"""),350.0)</f>
        <v>350</v>
      </c>
      <c r="I323" s="72" t="str">
        <f>IFERROR(__xludf.DUMMYFUNCTION("""COMPUTED_VALUE"""),"REPAIR - TRACTOR")</f>
        <v>REPAIR - TRACTOR</v>
      </c>
      <c r="J323" s="72" t="str">
        <f>IFERROR(__xludf.DUMMYFUNCTION("""COMPUTED_VALUE"""),"CHECK UP UNIT")</f>
        <v>CHECK UP UNIT</v>
      </c>
      <c r="K323" s="72" t="str">
        <f>IFERROR(__xludf.DUMMYFUNCTION("""COMPUTED_VALUE"""),"KFS: NALAGLAG YUNG TRAKTORA, BAKA NAG HALO ANG TUBIG AT LANGIS KASI PINAANDAR PA NILA KAHIT NAPASUKAN NA")</f>
        <v>KFS: NALAGLAG YUNG TRAKTORA, BAKA NAG HALO ANG TUBIG AT LANGIS KASI PINAANDAR PA NILA KAHIT NAPASUKAN NA</v>
      </c>
      <c r="L323" s="72" t="str">
        <f>IFERROR(__xludf.DUMMYFUNCTION("""COMPUTED_VALUE"""),"RCG: PINA CHECK YUNG UNIT, HINDI NAG HALO ANG LANGIS AT TUBIG OK NAMAN ANG RADIATOR, WALA NAMAN HUMALONG TUBIG, OK NA ANG UNIT")</f>
        <v>RCG: PINA CHECK YUNG UNIT, HINDI NAG HALO ANG LANGIS AT TUBIG OK NAMAN ANG RADIATOR, WALA NAMAN HUMALONG TUBIG, OK NA ANG UNIT</v>
      </c>
      <c r="M323" s="2"/>
      <c r="N323" s="2"/>
      <c r="O323" s="2" t="str">
        <f>IFERROR(__xludf.DUMMYFUNCTION("""COMPUTED_VALUE"""),"JIE-907")</f>
        <v>JIE-907</v>
      </c>
      <c r="P323" s="2"/>
      <c r="Q323" s="2"/>
      <c r="R323" s="74">
        <f>IFERROR(__xludf.DUMMYFUNCTION("""COMPUTED_VALUE"""),45492.0)</f>
        <v>45492</v>
      </c>
      <c r="S323" s="2" t="str">
        <f>IFERROR(__xludf.DUMMYFUNCTION("""COMPUTED_VALUE"""),"RCG")</f>
        <v>RCG</v>
      </c>
      <c r="T323" s="73" t="str">
        <f>IFERROR(__xludf.DUMMYFUNCTION("""COMPUTED_VALUE""")," N/A ")</f>
        <v>N/A</v>
      </c>
      <c r="U323" s="73" t="str">
        <f>IFERROR(__xludf.DUMMYFUNCTION("""COMPUTED_VALUE""")," NO CHARGE ")</f>
        <v>NO CHARGE</v>
      </c>
      <c r="V323" s="2"/>
      <c r="W323" s="2" t="str">
        <f>IFERROR(__xludf.DUMMYFUNCTION("""COMPUTED_VALUE"""),"N/A")</f>
        <v>N/A</v>
      </c>
      <c r="X323" s="2" t="str">
        <f>IFERROR(__xludf.DUMMYFUNCTION("""COMPUTED_VALUE"""),"N/A")</f>
        <v>N/A</v>
      </c>
      <c r="Y323" s="2"/>
      <c r="Z323" s="2"/>
      <c r="AA323" s="2"/>
      <c r="AB323" s="2"/>
      <c r="AC323" s="2"/>
      <c r="AD323" s="2"/>
      <c r="AE323" s="2"/>
      <c r="AF323" s="2"/>
      <c r="AG323" s="2"/>
      <c r="AH323" s="2"/>
      <c r="AI323" s="2"/>
      <c r="AJ323" s="2" t="str">
        <f>IFERROR(__xludf.DUMMYFUNCTION("""COMPUTED_VALUE"""),"Magsaysay")</f>
        <v>Magsaysay</v>
      </c>
      <c r="AK323" s="2" t="str">
        <f>IFERROR(__xludf.DUMMYFUNCTION("""COMPUTED_VALUE"""),"Dumaran")</f>
        <v>Dumaran</v>
      </c>
      <c r="AL323" s="2" t="str">
        <f>IFERROR(__xludf.DUMMYFUNCTION("""COMPUTED_VALUE"""),"Palawan")</f>
        <v>Palawan</v>
      </c>
      <c r="AM323" s="2" t="str">
        <f>IFERROR(__xludf.DUMMYFUNCTION("""COMPUTED_VALUE"""),"4B")</f>
        <v>4B</v>
      </c>
      <c r="AN323" s="2" t="str">
        <f>IFERROR(__xludf.DUMMYFUNCTION("""COMPUTED_VALUE"""),"RCEF 23-08-20 Rebidding")</f>
        <v>RCEF 23-08-20 Rebidding</v>
      </c>
      <c r="AO323" s="2">
        <f>IFERROR(__xludf.DUMMYFUNCTION("""COMPUTED_VALUE"""),1.0)</f>
        <v>1</v>
      </c>
      <c r="AP323" s="2"/>
      <c r="AQ323" s="2"/>
      <c r="AR323" s="2"/>
      <c r="AS323" s="2"/>
      <c r="AT323" s="2"/>
      <c r="AU323" s="2"/>
      <c r="AV323" s="2"/>
      <c r="AW323" s="2"/>
      <c r="AX323" s="2"/>
      <c r="AY323" s="2"/>
      <c r="AZ323" s="2"/>
      <c r="BA323" s="2"/>
      <c r="BB323" s="2"/>
    </row>
    <row r="324">
      <c r="A324" s="2">
        <f>IFERROR(__xludf.DUMMYFUNCTION("""COMPUTED_VALUE"""),320.0)</f>
        <v>320</v>
      </c>
      <c r="B324" s="2" t="str">
        <f>IFERROR(__xludf.DUMMYFUNCTION("""COMPUTED_VALUE"""),"COMPLETED")</f>
        <v>COMPLETED</v>
      </c>
      <c r="C324" s="74">
        <f>IFERROR(__xludf.DUMMYFUNCTION("""COMPUTED_VALUE"""),45488.0)</f>
        <v>45488</v>
      </c>
      <c r="D324" s="71" t="str">
        <f>IFERROR(__xludf.DUMMYFUNCTION("""COMPUTED_VALUE"""),"LUCBAN-GABRIELA IRRIGATORS ASSOCIATION INC.")</f>
        <v>LUCBAN-GABRIELA IRRIGATORS ASSOCIATION INC.</v>
      </c>
      <c r="E324" s="71" t="str">
        <f>IFERROR(__xludf.DUMMYFUNCTION("""COMPUTED_VALUE"""),"Gabriela Silang, Diffun, QUIRINO")</f>
        <v>Gabriela Silang, Diffun, QUIRINO</v>
      </c>
      <c r="F324" s="2" t="str">
        <f>IFERROR(__xludf.DUMMYFUNCTION("""COMPUTED_VALUE"""),"DOMINADOR J. DIMAS")</f>
        <v>DOMINADOR J. DIMAS</v>
      </c>
      <c r="G324" s="2">
        <f>IFERROR(__xludf.DUMMYFUNCTION("""COMPUTED_VALUE"""),9.059742999E9)</f>
        <v>9059742999</v>
      </c>
      <c r="H324" s="2">
        <f>IFERROR(__xludf.DUMMYFUNCTION("""COMPUTED_VALUE"""),300.0)</f>
        <v>300</v>
      </c>
      <c r="I324" s="72" t="str">
        <f>IFERROR(__xludf.DUMMYFUNCTION("""COMPUTED_VALUE"""),"REPAIR - ROTAVATOR")</f>
        <v>REPAIR - ROTAVATOR</v>
      </c>
      <c r="J324" s="72" t="str">
        <f>IFERROR(__xludf.DUMMYFUNCTION("""COMPUTED_VALUE"""),"Gearbox")</f>
        <v>Gearbox</v>
      </c>
      <c r="K324" s="72" t="str">
        <f>IFERROR(__xludf.DUMMYFUNCTION("""COMPUTED_VALUE"""),"CFG: ROTAVATOR PROBLEM: NASIRA PO YUNG LAMAN NG GEAR BOX ,KUMALAS PO  YUNG LOCK NYA SA MAY SHAFTING
PARTS: LSGW Drive Shaft, LSGW Bevel Gear 24T,  Taper Roller Bearing#30309, LSGW Gearbox Packing(LH) Gasket-0.8T, Taper Roller Bearing#32211, Hard Lock Nut("&amp;"Old Type)M35*1.5P
DSD : 8/18/24: UPON REPAIR , TRACTOR SUBJECT FOR 2ND PMS, PERO Sila na daw po mag change oil, titingin daw po muna sila sa labas ng hydraulic filter kung wala daw po makita bibili daw po sila sa atin.")</f>
        <v>CFG: ROTAVATOR PROBLEM: NASIRA PO YUNG LAMAN NG GEAR BOX ,KUMALAS PO  YUNG LOCK NYA SA MAY SHAFTING
PARTS: LSGW Drive Shaft, LSGW Bevel Gear 24T,  Taper Roller Bearing#30309, LSGW Gearbox Packing(LH) Gasket-0.8T, Taper Roller Bearing#32211, Hard Lock Nut(Old Type)M35*1.5P
DSD : 8/18/24: UPON REPAIR , TRACTOR SUBJECT FOR 2ND PMS, PERO Sila na daw po mag change oil, titingin daw po muna sila sa labas ng hydraulic filter kung wala daw po makita bibili daw po sila sa atin.</v>
      </c>
      <c r="L324" s="72" t="str">
        <f>IFERROR(__xludf.DUMMYFUNCTION("""COMPUTED_VALUE"""),"DSD: Nag palit po kami ng Drive shaft, bevel gear, oil seal, bearing.
")</f>
        <v>DSD: Nag palit po kami ng Drive shaft, bevel gear, oil seal, bearing.
</v>
      </c>
      <c r="M324" s="2"/>
      <c r="N324" s="2" t="str">
        <f>IFERROR(__xludf.DUMMYFUNCTION("""COMPUTED_VALUE"""),"PARTS USED: LSGW DRIVE SHAFT, 
LSGW BEVEL GEAR 24T,  
TAPER ROLLER BEARING #32211, 
2 HARD  LOCK NUT (OLD TYPE) M35*1.5P")</f>
        <v>PARTS USED: LSGW DRIVE SHAFT, 
LSGW BEVEL GEAR 24T,  
TAPER ROLLER BEARING #32211, 
2 HARD  LOCK NUT (OLD TYPE) M35*1.5P</v>
      </c>
      <c r="O324" s="2" t="str">
        <f>IFERROR(__xludf.DUMMYFUNCTION("""COMPUTED_VALUE"""),"JIE-935")</f>
        <v>JIE-935</v>
      </c>
      <c r="P324" s="2"/>
      <c r="Q324" s="2"/>
      <c r="R324" s="74">
        <f>IFERROR(__xludf.DUMMYFUNCTION("""COMPUTED_VALUE"""),45520.0)</f>
        <v>45520</v>
      </c>
      <c r="S324" s="2" t="str">
        <f>IFERROR(__xludf.DUMMYFUNCTION("""COMPUTED_VALUE"""),"CFG/DSD")</f>
        <v>CFG/DSD</v>
      </c>
      <c r="T324" s="2"/>
      <c r="U324" s="73" t="str">
        <f>IFERROR(__xludf.DUMMYFUNCTION("""COMPUTED_VALUE""")," FOR CONFIRMATION ")</f>
        <v>FOR CONFIRMATION</v>
      </c>
      <c r="V324" s="2"/>
      <c r="W324" s="2"/>
      <c r="X324" s="2"/>
      <c r="Y324" s="2"/>
      <c r="Z324" s="2"/>
      <c r="AA324" s="2"/>
      <c r="AB324" s="2"/>
      <c r="AC324" s="2" t="str">
        <f>IFERROR(__xludf.DUMMYFUNCTION("""COMPUTED_VALUE"""),"Y")</f>
        <v>Y</v>
      </c>
      <c r="AD324" s="2"/>
      <c r="AE324" s="2"/>
      <c r="AF324" s="2"/>
      <c r="AG324" s="2"/>
      <c r="AH324" s="2"/>
      <c r="AI324" s="2"/>
      <c r="AJ324" s="2" t="str">
        <f>IFERROR(__xludf.DUMMYFUNCTION("""COMPUTED_VALUE"""),"Gabriela Silang")</f>
        <v>Gabriela Silang</v>
      </c>
      <c r="AK324" s="2" t="str">
        <f>IFERROR(__xludf.DUMMYFUNCTION("""COMPUTED_VALUE"""),"Diffun")</f>
        <v>Diffun</v>
      </c>
      <c r="AL324" s="2" t="str">
        <f>IFERROR(__xludf.DUMMYFUNCTION("""COMPUTED_VALUE"""),"Quirino")</f>
        <v>Quirino</v>
      </c>
      <c r="AM324" s="2">
        <f>IFERROR(__xludf.DUMMYFUNCTION("""COMPUTED_VALUE"""),2.0)</f>
        <v>2</v>
      </c>
      <c r="AN324" s="2" t="str">
        <f>IFERROR(__xludf.DUMMYFUNCTION("""COMPUTED_VALUE"""),"RCEF 23-09-21 Rebidding")</f>
        <v>RCEF 23-09-21 Rebidding</v>
      </c>
      <c r="AO324" s="2">
        <f>IFERROR(__xludf.DUMMYFUNCTION("""COMPUTED_VALUE"""),9.0)</f>
        <v>9</v>
      </c>
      <c r="AP324" s="2"/>
      <c r="AQ324" s="2"/>
      <c r="AR324" s="2"/>
      <c r="AS324" s="2"/>
      <c r="AT324" s="2"/>
      <c r="AU324" s="2"/>
      <c r="AV324" s="2"/>
      <c r="AW324" s="2"/>
      <c r="AX324" s="2"/>
      <c r="AY324" s="2"/>
      <c r="AZ324" s="2"/>
      <c r="BA324" s="2"/>
      <c r="BB324" s="2"/>
    </row>
    <row r="325">
      <c r="A325" s="2">
        <f>IFERROR(__xludf.DUMMYFUNCTION("""COMPUTED_VALUE"""),321.0)</f>
        <v>321</v>
      </c>
      <c r="B325" s="2" t="str">
        <f>IFERROR(__xludf.DUMMYFUNCTION("""COMPUTED_VALUE"""),"COMPLETED")</f>
        <v>COMPLETED</v>
      </c>
      <c r="C325" s="74">
        <f>IFERROR(__xludf.DUMMYFUNCTION("""COMPUTED_VALUE"""),45488.0)</f>
        <v>45488</v>
      </c>
      <c r="D325" s="71" t="str">
        <f>IFERROR(__xludf.DUMMYFUNCTION("""COMPUTED_VALUE"""),"PUROK CALAPARAN MAGSAYSAY FARMERS ASSOCIATION")</f>
        <v>PUROK CALAPARAN MAGSAYSAY FARMERS ASSOCIATION</v>
      </c>
      <c r="E325" s="71" t="str">
        <f>IFERROR(__xludf.DUMMYFUNCTION("""COMPUTED_VALUE"""),"Magsaysay, Dumaran, Palawan")</f>
        <v>Magsaysay, Dumaran, Palawan</v>
      </c>
      <c r="F325" s="2" t="str">
        <f>IFERROR(__xludf.DUMMYFUNCTION("""COMPUTED_VALUE"""),"CIRIACO CAMPILLANOS AQUINO")</f>
        <v>CIRIACO CAMPILLANOS AQUINO</v>
      </c>
      <c r="G325" s="2">
        <f>IFERROR(__xludf.DUMMYFUNCTION("""COMPUTED_VALUE"""),9.703024263E9)</f>
        <v>9703024263</v>
      </c>
      <c r="H325" s="2">
        <f>IFERROR(__xludf.DUMMYFUNCTION("""COMPUTED_VALUE"""),350.0)</f>
        <v>350</v>
      </c>
      <c r="I325" s="72" t="str">
        <f>IFERROR(__xludf.DUMMYFUNCTION("""COMPUTED_VALUE"""),"PMS")</f>
        <v>PMS</v>
      </c>
      <c r="J325" s="72" t="str">
        <f>IFERROR(__xludf.DUMMYFUNCTION("""COMPUTED_VALUE"""),"PMS")</f>
        <v>PMS</v>
      </c>
      <c r="K325" s="72" t="str">
        <f>IFERROR(__xludf.DUMMYFUNCTION("""COMPUTED_VALUE"""),"KFS: SECOND PMS (OIL FILTER, HYDRAULIC FILTER, HYDRAULIC OIL)
RCG: 8/16/24: NO ADDRESS YET.
RCG:8/27/24: UNDECIDED PA DAHIL SA PRICE
RCG: ORDER: 1 HYDRAULIC FILTER, 1 OIL FILTER, 38L HYDRAULIC OIL")</f>
        <v>KFS: SECOND PMS (OIL FILTER, HYDRAULIC FILTER, HYDRAULIC OIL)
RCG: 8/16/24: NO ADDRESS YET.
RCG:8/27/24: UNDECIDED PA DAHIL SA PRICE
RCG: ORDER: 1 HYDRAULIC FILTER, 1 OIL FILTER, 38L HYDRAULIC OIL</v>
      </c>
      <c r="L325" s="72" t="str">
        <f>IFERROR(__xludf.DUMMYFUNCTION("""COMPUTED_VALUE"""),"RCG: PINA PALITAN YUNG ENGINE OIL MUNA, PENDING PADIN ANG PAGPALIT NG HYDRAULIC OIL")</f>
        <v>RCG: PINA PALITAN YUNG ENGINE OIL MUNA, PENDING PADIN ANG PAGPALIT NG HYDRAULIC OIL</v>
      </c>
      <c r="M325" s="2"/>
      <c r="N325" s="2" t="str">
        <f>IFERROR(__xludf.DUMMYFUNCTION("""COMPUTED_VALUE"""),"PARTS USED: 1 HYDRRAULIC FILTER, 1 ENGINE OIL FILTER")</f>
        <v>PARTS USED: 1 HYDRRAULIC FILTER, 1 ENGINE OIL FILTER</v>
      </c>
      <c r="O325" s="2" t="str">
        <f>IFERROR(__xludf.DUMMYFUNCTION("""COMPUTED_VALUE"""),"JIE-966")</f>
        <v>JIE-966</v>
      </c>
      <c r="P325" s="2"/>
      <c r="Q325" s="2"/>
      <c r="R325" s="74">
        <f>IFERROR(__xludf.DUMMYFUNCTION("""COMPUTED_VALUE"""),45633.0)</f>
        <v>45633</v>
      </c>
      <c r="S325" s="2" t="str">
        <f>IFERROR(__xludf.DUMMYFUNCTION("""COMPUTED_VALUE"""),"JTT")</f>
        <v>JTT</v>
      </c>
      <c r="T325" s="73">
        <f>IFERROR(__xludf.DUMMYFUNCTION("""COMPUTED_VALUE"""),4281.0)</f>
        <v>4281</v>
      </c>
      <c r="U325" s="73" t="str">
        <f>IFERROR(__xludf.DUMMYFUNCTION("""COMPUTED_VALUE""")," REMITTED ")</f>
        <v>REMITTED</v>
      </c>
      <c r="V325" s="2"/>
      <c r="W325" s="2">
        <f>IFERROR(__xludf.DUMMYFUNCTION("""COMPUTED_VALUE"""),1218.0)</f>
        <v>1218</v>
      </c>
      <c r="X325" s="2">
        <f>IFERROR(__xludf.DUMMYFUNCTION("""COMPUTED_VALUE"""),1290.0)</f>
        <v>1290</v>
      </c>
      <c r="Y325" s="2"/>
      <c r="Z325" s="2"/>
      <c r="AA325" s="2"/>
      <c r="AB325" s="2"/>
      <c r="AC325" s="2"/>
      <c r="AD325" s="2"/>
      <c r="AE325" s="2"/>
      <c r="AF325" s="2"/>
      <c r="AG325" s="2"/>
      <c r="AH325" s="2"/>
      <c r="AI325" s="2"/>
      <c r="AJ325" s="2" t="str">
        <f>IFERROR(__xludf.DUMMYFUNCTION("""COMPUTED_VALUE"""),"Magsaysay")</f>
        <v>Magsaysay</v>
      </c>
      <c r="AK325" s="2" t="str">
        <f>IFERROR(__xludf.DUMMYFUNCTION("""COMPUTED_VALUE"""),"Dumaran")</f>
        <v>Dumaran</v>
      </c>
      <c r="AL325" s="2" t="str">
        <f>IFERROR(__xludf.DUMMYFUNCTION("""COMPUTED_VALUE"""),"Palawan")</f>
        <v>Palawan</v>
      </c>
      <c r="AM325" s="2" t="str">
        <f>IFERROR(__xludf.DUMMYFUNCTION("""COMPUTED_VALUE"""),"4B")</f>
        <v>4B</v>
      </c>
      <c r="AN325" s="2" t="str">
        <f>IFERROR(__xludf.DUMMYFUNCTION("""COMPUTED_VALUE"""),"RCEF 23-08-20 Rebidding")</f>
        <v>RCEF 23-08-20 Rebidding</v>
      </c>
      <c r="AO325" s="2">
        <f>IFERROR(__xludf.DUMMYFUNCTION("""COMPUTED_VALUE"""),1.0)</f>
        <v>1</v>
      </c>
      <c r="AP325" s="2"/>
      <c r="AQ325" s="2"/>
      <c r="AR325" s="2"/>
      <c r="AS325" s="2"/>
      <c r="AT325" s="2"/>
      <c r="AU325" s="2"/>
      <c r="AV325" s="2"/>
      <c r="AW325" s="2"/>
      <c r="AX325" s="2"/>
      <c r="AY325" s="2"/>
      <c r="AZ325" s="2"/>
      <c r="BA325" s="2"/>
      <c r="BB325" s="2"/>
    </row>
    <row r="326">
      <c r="A326" s="2">
        <f>IFERROR(__xludf.DUMMYFUNCTION("""COMPUTED_VALUE"""),322.0)</f>
        <v>322</v>
      </c>
      <c r="B326" s="2" t="str">
        <f>IFERROR(__xludf.DUMMYFUNCTION("""COMPUTED_VALUE"""),"COMPLETED")</f>
        <v>COMPLETED</v>
      </c>
      <c r="C326" s="74">
        <f>IFERROR(__xludf.DUMMYFUNCTION("""COMPUTED_VALUE"""),45488.0)</f>
        <v>45488</v>
      </c>
      <c r="D326" s="71" t="str">
        <f>IFERROR(__xludf.DUMMYFUNCTION("""COMPUTED_VALUE"""),"MUNTING NAYON AGRICULTURAL PRODUCERS ASSOCIATION (MNAPA))")</f>
        <v>MUNTING NAYON AGRICULTURAL PRODUCERS ASSOCIATION (MNAPA))</v>
      </c>
      <c r="E326" s="71" t="str">
        <f>IFERROR(__xludf.DUMMYFUNCTION("""COMPUTED_VALUE"""),", Penaranda, NUEVA ECIJA")</f>
        <v>, Penaranda, NUEVA ECIJA</v>
      </c>
      <c r="F326" s="2"/>
      <c r="G326" s="2">
        <f>IFERROR(__xludf.DUMMYFUNCTION("""COMPUTED_VALUE"""),9.229299627E9)</f>
        <v>9229299627</v>
      </c>
      <c r="H326" s="2">
        <f>IFERROR(__xludf.DUMMYFUNCTION("""COMPUTED_VALUE"""),34.0)</f>
        <v>34</v>
      </c>
      <c r="I326" s="72" t="str">
        <f>IFERROR(__xludf.DUMMYFUNCTION("""COMPUTED_VALUE"""),"REPAIR - TRACTOR")</f>
        <v>REPAIR - TRACTOR</v>
      </c>
      <c r="J326" s="72" t="str">
        <f>IFERROR(__xludf.DUMMYFUNCTION("""COMPUTED_VALUE"""),"Electrical - PTO Switch")</f>
        <v>Electrical - PTO Switch</v>
      </c>
      <c r="K326" s="72" t="str">
        <f>IFERROR(__xludf.DUMMYFUNCTION("""COMPUTED_VALUE"""),"EGT: PTO SWITCH")</f>
        <v>EGT: PTO SWITCH</v>
      </c>
      <c r="L326" s="72" t="str">
        <f>IFERROR(__xludf.DUMMYFUNCTION("""COMPUTED_VALUE"""),"REPLACED PTO SWITCH")</f>
        <v>REPLACED PTO SWITCH</v>
      </c>
      <c r="M326" s="2"/>
      <c r="N326" s="2" t="str">
        <f>IFERROR(__xludf.DUMMYFUNCTION("""COMPUTED_VALUE"""),"REPLACED PTO SWITCH")</f>
        <v>REPLACED PTO SWITCH</v>
      </c>
      <c r="O326" s="2" t="str">
        <f>IFERROR(__xludf.DUMMYFUNCTION("""COMPUTED_VALUE"""),"JIE-903")</f>
        <v>JIE-903</v>
      </c>
      <c r="P326" s="2"/>
      <c r="Q326" s="2"/>
      <c r="R326" s="74">
        <f>IFERROR(__xludf.DUMMYFUNCTION("""COMPUTED_VALUE"""),45488.0)</f>
        <v>45488</v>
      </c>
      <c r="S326" s="2" t="str">
        <f>IFERROR(__xludf.DUMMYFUNCTION("""COMPUTED_VALUE"""),"JHP / EGT")</f>
        <v>JHP / EGT</v>
      </c>
      <c r="T326" s="73">
        <f>IFERROR(__xludf.DUMMYFUNCTION("""COMPUTED_VALUE"""),4410.0)</f>
        <v>4410</v>
      </c>
      <c r="U326" s="73" t="str">
        <f>IFERROR(__xludf.DUMMYFUNCTION("""COMPUTED_VALUE""")," REMITTED ")</f>
        <v>REMITTED</v>
      </c>
      <c r="V326" s="2"/>
      <c r="W326" s="2"/>
      <c r="X326" s="2">
        <f>IFERROR(__xludf.DUMMYFUNCTION("""COMPUTED_VALUE"""),1132.0)</f>
        <v>1132</v>
      </c>
      <c r="Y326" s="2"/>
      <c r="Z326" s="2"/>
      <c r="AA326" s="2"/>
      <c r="AB326" s="2"/>
      <c r="AC326" s="2"/>
      <c r="AD326" s="2"/>
      <c r="AE326" s="2"/>
      <c r="AF326" s="2"/>
      <c r="AG326" s="2"/>
      <c r="AH326" s="2"/>
      <c r="AI326" s="2"/>
      <c r="AJ326" s="2" t="str">
        <f>IFERROR(__xludf.DUMMYFUNCTION("""COMPUTED_VALUE"""),"")</f>
        <v/>
      </c>
      <c r="AK326" s="2" t="str">
        <f>IFERROR(__xludf.DUMMYFUNCTION("""COMPUTED_VALUE"""),"Penaranda")</f>
        <v>Penaranda</v>
      </c>
      <c r="AL326" s="2" t="str">
        <f>IFERROR(__xludf.DUMMYFUNCTION("""COMPUTED_VALUE"""),"Nueva Ecija")</f>
        <v>Nueva Ecija</v>
      </c>
      <c r="AM326" s="2">
        <f>IFERROR(__xludf.DUMMYFUNCTION("""COMPUTED_VALUE"""),3.0)</f>
        <v>3</v>
      </c>
      <c r="AN326" s="2" t="str">
        <f>IFERROR(__xludf.DUMMYFUNCTION("""COMPUTED_VALUE"""),"RCEF 23-09-21 Rebidding")</f>
        <v>RCEF 23-09-21 Rebidding</v>
      </c>
      <c r="AO326" s="2">
        <f>IFERROR(__xludf.DUMMYFUNCTION("""COMPUTED_VALUE"""),3.0)</f>
        <v>3</v>
      </c>
      <c r="AP326" s="2"/>
      <c r="AQ326" s="2"/>
      <c r="AR326" s="2"/>
      <c r="AS326" s="2"/>
      <c r="AT326" s="2"/>
      <c r="AU326" s="2"/>
      <c r="AV326" s="2"/>
      <c r="AW326" s="2"/>
      <c r="AX326" s="2"/>
      <c r="AY326" s="2"/>
      <c r="AZ326" s="2"/>
      <c r="BA326" s="2"/>
      <c r="BB326" s="2"/>
    </row>
    <row r="327">
      <c r="A327" s="2">
        <f>IFERROR(__xludf.DUMMYFUNCTION("""COMPUTED_VALUE"""),323.0)</f>
        <v>323</v>
      </c>
      <c r="B327" s="2" t="str">
        <f>IFERROR(__xludf.DUMMYFUNCTION("""COMPUTED_VALUE"""),"COMPLETED")</f>
        <v>COMPLETED</v>
      </c>
      <c r="C327" s="74">
        <f>IFERROR(__xludf.DUMMYFUNCTION("""COMPUTED_VALUE"""),45489.0)</f>
        <v>45489</v>
      </c>
      <c r="D327" s="71" t="str">
        <f>IFERROR(__xludf.DUMMYFUNCTION("""COMPUTED_VALUE"""),"One Binyayan Farmers Agriculture Cooperative")</f>
        <v>One Binyayan Farmers Agriculture Cooperative</v>
      </c>
      <c r="E327" s="71" t="str">
        <f>IFERROR(__xludf.DUMMYFUNCTION("""COMPUTED_VALUE"""),"O'Donnell, Capas, TARLAC")</f>
        <v>O'Donnell, Capas, TARLAC</v>
      </c>
      <c r="F327" s="2" t="str">
        <f>IFERROR(__xludf.DUMMYFUNCTION("""COMPUTED_VALUE"""),"JOHN VISTAN")</f>
        <v>JOHN VISTAN</v>
      </c>
      <c r="G327" s="2">
        <f>IFERROR(__xludf.DUMMYFUNCTION("""COMPUTED_VALUE"""),9.561195434E9)</f>
        <v>9561195434</v>
      </c>
      <c r="H327" s="2">
        <f>IFERROR(__xludf.DUMMYFUNCTION("""COMPUTED_VALUE"""),214.4)</f>
        <v>214.4</v>
      </c>
      <c r="I327" s="72" t="str">
        <f>IFERROR(__xludf.DUMMYFUNCTION("""COMPUTED_VALUE"""),"REPAIR - TRACTOR")</f>
        <v>REPAIR - TRACTOR</v>
      </c>
      <c r="J327" s="72" t="str">
        <f>IFERROR(__xludf.DUMMYFUNCTION("""COMPUTED_VALUE"""),"Electrical - PTO Switch")</f>
        <v>Electrical - PTO Switch</v>
      </c>
      <c r="K327" s="72" t="str">
        <f>IFERROR(__xludf.DUMMYFUNCTION("""COMPUTED_VALUE"""),"DSD: SIRA ANG PTO SWITCH AT KULANG NADIN ANG HYDRAULIC OIL")</f>
        <v>DSD: SIRA ANG PTO SWITCH AT KULANG NADIN ANG HYDRAULIC OIL</v>
      </c>
      <c r="L327" s="72" t="str">
        <f>IFERROR(__xludf.DUMMYFUNCTION("""COMPUTED_VALUE"""),"DSD: PINALITAN PO NAMIN NG TOGGLE SWITCH, NAG DAGDAG DIN PO KAMI NG HYDRAULIC OIL")</f>
        <v>DSD: PINALITAN PO NAMIN NG TOGGLE SWITCH, NAG DAGDAG DIN PO KAMI NG HYDRAULIC OIL</v>
      </c>
      <c r="M327" s="2"/>
      <c r="N327" s="2"/>
      <c r="O327" s="2" t="str">
        <f>IFERROR(__xludf.DUMMYFUNCTION("""COMPUTED_VALUE"""),"JIE-904")</f>
        <v>JIE-904</v>
      </c>
      <c r="P327" s="2"/>
      <c r="Q327" s="2"/>
      <c r="R327" s="74">
        <f>IFERROR(__xludf.DUMMYFUNCTION("""COMPUTED_VALUE"""),45489.0)</f>
        <v>45489</v>
      </c>
      <c r="S327" s="2" t="str">
        <f>IFERROR(__xludf.DUMMYFUNCTION("""COMPUTED_VALUE"""),"CFG/DSD")</f>
        <v>CFG/DSD</v>
      </c>
      <c r="T327" s="73" t="str">
        <f>IFERROR(__xludf.DUMMYFUNCTION("""COMPUTED_VALUE""")," N/A ")</f>
        <v>N/A</v>
      </c>
      <c r="U327" s="73" t="str">
        <f>IFERROR(__xludf.DUMMYFUNCTION("""COMPUTED_VALUE""")," NO CHARGE ")</f>
        <v>NO CHARGE</v>
      </c>
      <c r="V327" s="2"/>
      <c r="W327" s="2" t="str">
        <f>IFERROR(__xludf.DUMMYFUNCTION("""COMPUTED_VALUE"""),"N/A")</f>
        <v>N/A</v>
      </c>
      <c r="X327" s="2" t="str">
        <f>IFERROR(__xludf.DUMMYFUNCTION("""COMPUTED_VALUE"""),"N/A")</f>
        <v>N/A</v>
      </c>
      <c r="Y327" s="2"/>
      <c r="Z327" s="2"/>
      <c r="AA327" s="2"/>
      <c r="AB327" s="2"/>
      <c r="AC327" s="2"/>
      <c r="AD327" s="2"/>
      <c r="AE327" s="2"/>
      <c r="AF327" s="2"/>
      <c r="AG327" s="2"/>
      <c r="AH327" s="2"/>
      <c r="AI327" s="2"/>
      <c r="AJ327" s="2" t="str">
        <f>IFERROR(__xludf.DUMMYFUNCTION("""COMPUTED_VALUE"""),"O'Donnell")</f>
        <v>O'Donnell</v>
      </c>
      <c r="AK327" s="2" t="str">
        <f>IFERROR(__xludf.DUMMYFUNCTION("""COMPUTED_VALUE"""),"Capas")</f>
        <v>Capas</v>
      </c>
      <c r="AL327" s="2" t="str">
        <f>IFERROR(__xludf.DUMMYFUNCTION("""COMPUTED_VALUE"""),"Tarlac")</f>
        <v>Tarlac</v>
      </c>
      <c r="AM327" s="2">
        <f>IFERROR(__xludf.DUMMYFUNCTION("""COMPUTED_VALUE"""),3.0)</f>
        <v>3</v>
      </c>
      <c r="AN327" s="2" t="str">
        <f>IFERROR(__xludf.DUMMYFUNCTION("""COMPUTED_VALUE"""),"RCEF 23-09-21 Rebidding")</f>
        <v>RCEF 23-09-21 Rebidding</v>
      </c>
      <c r="AO327" s="2">
        <f>IFERROR(__xludf.DUMMYFUNCTION("""COMPUTED_VALUE"""),3.0)</f>
        <v>3</v>
      </c>
      <c r="AP327" s="2"/>
      <c r="AQ327" s="2"/>
      <c r="AR327" s="2"/>
      <c r="AS327" s="2"/>
      <c r="AT327" s="2"/>
      <c r="AU327" s="2"/>
      <c r="AV327" s="2"/>
      <c r="AW327" s="2"/>
      <c r="AX327" s="2"/>
      <c r="AY327" s="2"/>
      <c r="AZ327" s="2"/>
      <c r="BA327" s="2"/>
      <c r="BB327" s="2"/>
    </row>
    <row r="328">
      <c r="A328" s="2">
        <f>IFERROR(__xludf.DUMMYFUNCTION("""COMPUTED_VALUE"""),324.0)</f>
        <v>324</v>
      </c>
      <c r="B328" s="2" t="str">
        <f>IFERROR(__xludf.DUMMYFUNCTION("""COMPUTED_VALUE"""),"COMPLETED")</f>
        <v>COMPLETED</v>
      </c>
      <c r="C328" s="74">
        <f>IFERROR(__xludf.DUMMYFUNCTION("""COMPUTED_VALUE"""),45489.0)</f>
        <v>45489</v>
      </c>
      <c r="D328" s="71" t="str">
        <f>IFERROR(__xludf.DUMMYFUNCTION("""COMPUTED_VALUE"""),"Plaridel-Malolos Irrigators Association Inc.")</f>
        <v>Plaridel-Malolos Irrigators Association Inc.</v>
      </c>
      <c r="E328" s="71" t="str">
        <f>IFERROR(__xludf.DUMMYFUNCTION("""COMPUTED_VALUE"""),"Barilan, Malolos, Bulacan")</f>
        <v>Barilan, Malolos, Bulacan</v>
      </c>
      <c r="F328" s="2" t="str">
        <f>IFERROR(__xludf.DUMMYFUNCTION("""COMPUTED_VALUE"""),"MAXIMA E. VALENTINO")</f>
        <v>MAXIMA E. VALENTINO</v>
      </c>
      <c r="G328" s="2" t="str">
        <f>IFERROR(__xludf.DUMMYFUNCTION("""COMPUTED_VALUE"""),"09361370538 / 09173933929")</f>
        <v>09361370538 / 09173933929</v>
      </c>
      <c r="H328" s="2">
        <f>IFERROR(__xludf.DUMMYFUNCTION("""COMPUTED_VALUE"""),89.0)</f>
        <v>89</v>
      </c>
      <c r="I328" s="72" t="str">
        <f>IFERROR(__xludf.DUMMYFUNCTION("""COMPUTED_VALUE"""),"PMS")</f>
        <v>PMS</v>
      </c>
      <c r="J328" s="72" t="str">
        <f>IFERROR(__xludf.DUMMYFUNCTION("""COMPUTED_VALUE"""),"PMS")</f>
        <v>PMS</v>
      </c>
      <c r="K328" s="72" t="str">
        <f>IFERROR(__xludf.DUMMYFUNCTION("""COMPUTED_VALUE"""),"JVV: FIRST PMS")</f>
        <v>JVV: FIRST PMS</v>
      </c>
      <c r="L328" s="72" t="str">
        <f>IFERROR(__xludf.DUMMYFUNCTION("""COMPUTED_VALUE"""),"ACS: CHANGE OIL, OIL FILTER PAID BY FCA")</f>
        <v>ACS: CHANGE OIL, OIL FILTER PAID BY FCA</v>
      </c>
      <c r="M328" s="2"/>
      <c r="N328" s="2" t="str">
        <f>IFERROR(__xludf.DUMMYFUNCTION("""COMPUTED_VALUE"""),"OIL FILTER")</f>
        <v>OIL FILTER</v>
      </c>
      <c r="O328" s="2" t="str">
        <f>IFERROR(__xludf.DUMMYFUNCTION("""COMPUTED_VALUE"""),"JIE-905")</f>
        <v>JIE-905</v>
      </c>
      <c r="P328" s="2"/>
      <c r="Q328" s="2"/>
      <c r="R328" s="74">
        <f>IFERROR(__xludf.DUMMYFUNCTION("""COMPUTED_VALUE"""),45490.0)</f>
        <v>45490</v>
      </c>
      <c r="S328" s="2" t="str">
        <f>IFERROR(__xludf.DUMMYFUNCTION("""COMPUTED_VALUE"""),"JVV/ACS")</f>
        <v>JVV/ACS</v>
      </c>
      <c r="T328" s="73">
        <f>IFERROR(__xludf.DUMMYFUNCTION("""COMPUTED_VALUE"""),2837.0)</f>
        <v>2837</v>
      </c>
      <c r="U328" s="73" t="str">
        <f>IFERROR(__xludf.DUMMYFUNCTION("""COMPUTED_VALUE""")," REMITTED ")</f>
        <v>REMITTED</v>
      </c>
      <c r="V328" s="2"/>
      <c r="W328" s="2"/>
      <c r="X328" s="2"/>
      <c r="Y328" s="2"/>
      <c r="Z328" s="2"/>
      <c r="AA328" s="2"/>
      <c r="AB328" s="2"/>
      <c r="AC328" s="2"/>
      <c r="AD328" s="2"/>
      <c r="AE328" s="2"/>
      <c r="AF328" s="2"/>
      <c r="AG328" s="2"/>
      <c r="AH328" s="2"/>
      <c r="AI328" s="2"/>
      <c r="AJ328" s="2" t="str">
        <f>IFERROR(__xludf.DUMMYFUNCTION("""COMPUTED_VALUE"""),"Barilan")</f>
        <v>Barilan</v>
      </c>
      <c r="AK328" s="2" t="str">
        <f>IFERROR(__xludf.DUMMYFUNCTION("""COMPUTED_VALUE"""),"Malolos")</f>
        <v>Malolos</v>
      </c>
      <c r="AL328" s="2" t="str">
        <f>IFERROR(__xludf.DUMMYFUNCTION("""COMPUTED_VALUE"""),"Bulacan")</f>
        <v>Bulacan</v>
      </c>
      <c r="AM328" s="2">
        <f>IFERROR(__xludf.DUMMYFUNCTION("""COMPUTED_VALUE"""),3.0)</f>
        <v>3</v>
      </c>
      <c r="AN328" s="2" t="str">
        <f>IFERROR(__xludf.DUMMYFUNCTION("""COMPUTED_VALUE"""),"RCEF 23-09-21 Rebidding")</f>
        <v>RCEF 23-09-21 Rebidding</v>
      </c>
      <c r="AO328" s="2">
        <f>IFERROR(__xludf.DUMMYFUNCTION("""COMPUTED_VALUE"""),9.0)</f>
        <v>9</v>
      </c>
      <c r="AP328" s="2"/>
      <c r="AQ328" s="2"/>
      <c r="AR328" s="2"/>
      <c r="AS328" s="2"/>
      <c r="AT328" s="2"/>
      <c r="AU328" s="2"/>
      <c r="AV328" s="2"/>
      <c r="AW328" s="2"/>
      <c r="AX328" s="2"/>
      <c r="AY328" s="2"/>
      <c r="AZ328" s="2"/>
      <c r="BA328" s="2"/>
      <c r="BB328" s="2"/>
    </row>
    <row r="329">
      <c r="A329" s="2">
        <f>IFERROR(__xludf.DUMMYFUNCTION("""COMPUTED_VALUE"""),325.0)</f>
        <v>325</v>
      </c>
      <c r="B329" s="2" t="str">
        <f>IFERROR(__xludf.DUMMYFUNCTION("""COMPUTED_VALUE"""),"COMPLETED")</f>
        <v>COMPLETED</v>
      </c>
      <c r="C329" s="74">
        <f>IFERROR(__xludf.DUMMYFUNCTION("""COMPUTED_VALUE"""),45489.0)</f>
        <v>45489</v>
      </c>
      <c r="D329" s="71" t="str">
        <f>IFERROR(__xludf.DUMMYFUNCTION("""COMPUTED_VALUE"""),"Tabuk Farmers Multipurpose Cooperative")</f>
        <v>Tabuk Farmers Multipurpose Cooperative</v>
      </c>
      <c r="E329" s="71" t="str">
        <f>IFERROR(__xludf.DUMMYFUNCTION("""COMPUTED_VALUE"""),"Casigayan, Tabuk City, KALINGA")</f>
        <v>Casigayan, Tabuk City, KALINGA</v>
      </c>
      <c r="F329" s="2" t="str">
        <f>IFERROR(__xludf.DUMMYFUNCTION("""COMPUTED_VALUE"""),"MARY JEAN ELLA")</f>
        <v>MARY JEAN ELLA</v>
      </c>
      <c r="G329" s="2">
        <f>IFERROR(__xludf.DUMMYFUNCTION("""COMPUTED_VALUE"""),9.168978026E9)</f>
        <v>9168978026</v>
      </c>
      <c r="H329" s="2">
        <f>IFERROR(__xludf.DUMMYFUNCTION("""COMPUTED_VALUE"""),50.0)</f>
        <v>50</v>
      </c>
      <c r="I329" s="72" t="str">
        <f>IFERROR(__xludf.DUMMYFUNCTION("""COMPUTED_VALUE"""),"PMS")</f>
        <v>PMS</v>
      </c>
      <c r="J329" s="72" t="str">
        <f>IFERROR(__xludf.DUMMYFUNCTION("""COMPUTED_VALUE"""),"PMS")</f>
        <v>PMS</v>
      </c>
      <c r="K329" s="72" t="str">
        <f>IFERROR(__xludf.DUMMYFUNCTION("""COMPUTED_VALUE"""),"JVV: FIRST PMS 
CFG: SELF PMS")</f>
        <v>JVV: FIRST PMS 
CFG: SELF PMS</v>
      </c>
      <c r="L329" s="72" t="str">
        <f>IFERROR(__xludf.DUMMYFUNCTION("""COMPUTED_VALUE"""),"SEND AGREEMENT")</f>
        <v>SEND AGREEMENT</v>
      </c>
      <c r="M329" s="2"/>
      <c r="N329" s="2"/>
      <c r="O329" s="2" t="str">
        <f>IFERROR(__xludf.DUMMYFUNCTION("""COMPUTED_VALUE"""),"N/A")</f>
        <v>N/A</v>
      </c>
      <c r="P329" s="2"/>
      <c r="Q329" s="2"/>
      <c r="R329" s="74">
        <f>IFERROR(__xludf.DUMMYFUNCTION("""COMPUTED_VALUE"""),45498.0)</f>
        <v>45498</v>
      </c>
      <c r="S329" s="2" t="str">
        <f>IFERROR(__xludf.DUMMYFUNCTION("""COMPUTED_VALUE"""),"MYKEE")</f>
        <v>MYKEE</v>
      </c>
      <c r="T329" s="73" t="str">
        <f>IFERROR(__xludf.DUMMYFUNCTION("""COMPUTED_VALUE""")," N/A ")</f>
        <v>N/A</v>
      </c>
      <c r="U329" s="73" t="str">
        <f>IFERROR(__xludf.DUMMYFUNCTION("""COMPUTED_VALUE""")," NO CHARGE ")</f>
        <v>NO CHARGE</v>
      </c>
      <c r="V329" s="2"/>
      <c r="W329" s="2" t="str">
        <f>IFERROR(__xludf.DUMMYFUNCTION("""COMPUTED_VALUE"""),"N/A")</f>
        <v>N/A</v>
      </c>
      <c r="X329" s="2" t="str">
        <f>IFERROR(__xludf.DUMMYFUNCTION("""COMPUTED_VALUE"""),"N/A")</f>
        <v>N/A</v>
      </c>
      <c r="Y329" s="2"/>
      <c r="Z329" s="2"/>
      <c r="AA329" s="2"/>
      <c r="AB329" s="2"/>
      <c r="AC329" s="2"/>
      <c r="AD329" s="2"/>
      <c r="AE329" s="2"/>
      <c r="AF329" s="2"/>
      <c r="AG329" s="2"/>
      <c r="AH329" s="2"/>
      <c r="AI329" s="2"/>
      <c r="AJ329" s="2" t="str">
        <f>IFERROR(__xludf.DUMMYFUNCTION("""COMPUTED_VALUE"""),"Casigayan")</f>
        <v>Casigayan</v>
      </c>
      <c r="AK329" s="2" t="str">
        <f>IFERROR(__xludf.DUMMYFUNCTION("""COMPUTED_VALUE"""),"Tabuk City")</f>
        <v>Tabuk City</v>
      </c>
      <c r="AL329" s="2" t="str">
        <f>IFERROR(__xludf.DUMMYFUNCTION("""COMPUTED_VALUE"""),"Kalinga")</f>
        <v>Kalinga</v>
      </c>
      <c r="AM329" s="2" t="str">
        <f>IFERROR(__xludf.DUMMYFUNCTION("""COMPUTED_VALUE"""),"CAR")</f>
        <v>CAR</v>
      </c>
      <c r="AN329" s="2" t="str">
        <f>IFERROR(__xludf.DUMMYFUNCTION("""COMPUTED_VALUE"""),"RCEF 23-09-21 Rebidding")</f>
        <v>RCEF 23-09-21 Rebidding</v>
      </c>
      <c r="AO329" s="2">
        <f>IFERROR(__xludf.DUMMYFUNCTION("""COMPUTED_VALUE"""),1.0)</f>
        <v>1</v>
      </c>
      <c r="AP329" s="2"/>
      <c r="AQ329" s="2"/>
      <c r="AR329" s="2"/>
      <c r="AS329" s="2"/>
      <c r="AT329" s="2"/>
      <c r="AU329" s="2"/>
      <c r="AV329" s="2"/>
      <c r="AW329" s="2"/>
      <c r="AX329" s="2"/>
      <c r="AY329" s="2"/>
      <c r="AZ329" s="2"/>
      <c r="BA329" s="2"/>
      <c r="BB329" s="2"/>
    </row>
    <row r="330">
      <c r="A330" s="2">
        <f>IFERROR(__xludf.DUMMYFUNCTION("""COMPUTED_VALUE"""),326.0)</f>
        <v>326</v>
      </c>
      <c r="B330" s="2" t="str">
        <f>IFERROR(__xludf.DUMMYFUNCTION("""COMPUTED_VALUE"""),"COMPLETED")</f>
        <v>COMPLETED</v>
      </c>
      <c r="C330" s="74">
        <f>IFERROR(__xludf.DUMMYFUNCTION("""COMPUTED_VALUE"""),45489.0)</f>
        <v>45489</v>
      </c>
      <c r="D330" s="71" t="str">
        <f>IFERROR(__xludf.DUMMYFUNCTION("""COMPUTED_VALUE"""),"APO SENYONG FARMERS ASSOCIATION")</f>
        <v>APO SENYONG FARMERS ASSOCIATION</v>
      </c>
      <c r="E330" s="71" t="str">
        <f>IFERROR(__xludf.DUMMYFUNCTION("""COMPUTED_VALUE"""),"Vega, Bongabon, NUEVA ECIJA")</f>
        <v>Vega, Bongabon, NUEVA ECIJA</v>
      </c>
      <c r="F330" s="2" t="str">
        <f>IFERROR(__xludf.DUMMYFUNCTION("""COMPUTED_VALUE"""),"ROGELIO ALMERA")</f>
        <v>ROGELIO ALMERA</v>
      </c>
      <c r="G330" s="2">
        <f>IFERROR(__xludf.DUMMYFUNCTION("""COMPUTED_VALUE"""),9.975310433E9)</f>
        <v>9975310433</v>
      </c>
      <c r="H330" s="2">
        <f>IFERROR(__xludf.DUMMYFUNCTION("""COMPUTED_VALUE"""),42.0)</f>
        <v>42</v>
      </c>
      <c r="I330" s="72" t="str">
        <f>IFERROR(__xludf.DUMMYFUNCTION("""COMPUTED_VALUE"""),"REPAIR - TRACTOR")</f>
        <v>REPAIR - TRACTOR</v>
      </c>
      <c r="J330" s="72" t="str">
        <f>IFERROR(__xludf.DUMMYFUNCTION("""COMPUTED_VALUE"""),"PMS")</f>
        <v>PMS</v>
      </c>
      <c r="K330" s="72" t="str">
        <f>IFERROR(__xludf.DUMMYFUNCTION("""COMPUTED_VALUE"""),"JHP: FIRST PMS")</f>
        <v>JHP: FIRST PMS</v>
      </c>
      <c r="L330" s="72" t="str">
        <f>IFERROR(__xludf.DUMMYFUNCTION("""COMPUTED_VALUE"""),"EGT: CHANGE OIL ")</f>
        <v>EGT: CHANGE OIL </v>
      </c>
      <c r="M330" s="2"/>
      <c r="N330" s="2" t="str">
        <f>IFERROR(__xludf.DUMMYFUNCTION("""COMPUTED_VALUE"""),"OIL FILTER PAID BY FCA")</f>
        <v>OIL FILTER PAID BY FCA</v>
      </c>
      <c r="O330" s="2" t="str">
        <f>IFERROR(__xludf.DUMMYFUNCTION("""COMPUTED_VALUE"""),"JIE-908")</f>
        <v>JIE-908</v>
      </c>
      <c r="P330" s="2"/>
      <c r="Q330" s="2"/>
      <c r="R330" s="74">
        <f>IFERROR(__xludf.DUMMYFUNCTION("""COMPUTED_VALUE"""),45492.0)</f>
        <v>45492</v>
      </c>
      <c r="S330" s="2" t="str">
        <f>IFERROR(__xludf.DUMMYFUNCTION("""COMPUTED_VALUE"""),"EGT")</f>
        <v>EGT</v>
      </c>
      <c r="T330" s="73">
        <f>IFERROR(__xludf.DUMMYFUNCTION("""COMPUTED_VALUE"""),2837.0)</f>
        <v>2837</v>
      </c>
      <c r="U330" s="73" t="str">
        <f>IFERROR(__xludf.DUMMYFUNCTION("""COMPUTED_VALUE""")," REMITTED ")</f>
        <v>REMITTED</v>
      </c>
      <c r="V330" s="2"/>
      <c r="W330" s="2"/>
      <c r="X330" s="2">
        <f>IFERROR(__xludf.DUMMYFUNCTION("""COMPUTED_VALUE"""),1133.0)</f>
        <v>1133</v>
      </c>
      <c r="Y330" s="2"/>
      <c r="Z330" s="2"/>
      <c r="AA330" s="2"/>
      <c r="AB330" s="2"/>
      <c r="AC330" s="2"/>
      <c r="AD330" s="2"/>
      <c r="AE330" s="2"/>
      <c r="AF330" s="2"/>
      <c r="AG330" s="2"/>
      <c r="AH330" s="2"/>
      <c r="AI330" s="2"/>
      <c r="AJ330" s="2" t="str">
        <f>IFERROR(__xludf.DUMMYFUNCTION("""COMPUTED_VALUE"""),"Vega")</f>
        <v>Vega</v>
      </c>
      <c r="AK330" s="2" t="str">
        <f>IFERROR(__xludf.DUMMYFUNCTION("""COMPUTED_VALUE"""),"Bongabon")</f>
        <v>Bongabon</v>
      </c>
      <c r="AL330" s="2" t="str">
        <f>IFERROR(__xludf.DUMMYFUNCTION("""COMPUTED_VALUE"""),"Nueva Ecija")</f>
        <v>Nueva Ecija</v>
      </c>
      <c r="AM330" s="2">
        <f>IFERROR(__xludf.DUMMYFUNCTION("""COMPUTED_VALUE"""),3.0)</f>
        <v>3</v>
      </c>
      <c r="AN330" s="2" t="str">
        <f>IFERROR(__xludf.DUMMYFUNCTION("""COMPUTED_VALUE"""),"RCEF 23-09-21 Rebidding")</f>
        <v>RCEF 23-09-21 Rebidding</v>
      </c>
      <c r="AO330" s="2">
        <f>IFERROR(__xludf.DUMMYFUNCTION("""COMPUTED_VALUE"""),9.0)</f>
        <v>9</v>
      </c>
      <c r="AP330" s="2"/>
      <c r="AQ330" s="2"/>
      <c r="AR330" s="2"/>
      <c r="AS330" s="2"/>
      <c r="AT330" s="2"/>
      <c r="AU330" s="2"/>
      <c r="AV330" s="2"/>
      <c r="AW330" s="2"/>
      <c r="AX330" s="2"/>
      <c r="AY330" s="2"/>
      <c r="AZ330" s="2"/>
      <c r="BA330" s="2"/>
      <c r="BB330" s="2"/>
    </row>
    <row r="331">
      <c r="A331" s="2">
        <f>IFERROR(__xludf.DUMMYFUNCTION("""COMPUTED_VALUE"""),327.0)</f>
        <v>327</v>
      </c>
      <c r="B331" s="2" t="str">
        <f>IFERROR(__xludf.DUMMYFUNCTION("""COMPUTED_VALUE"""),"COMPLETED")</f>
        <v>COMPLETED</v>
      </c>
      <c r="C331" s="74">
        <f>IFERROR(__xludf.DUMMYFUNCTION("""COMPUTED_VALUE"""),45490.0)</f>
        <v>45490</v>
      </c>
      <c r="D331" s="71" t="str">
        <f>IFERROR(__xludf.DUMMYFUNCTION("""COMPUTED_VALUE"""),"Laguinbanua West Farmers Association")</f>
        <v>Laguinbanua West Farmers Association</v>
      </c>
      <c r="E331" s="71" t="str">
        <f>IFERROR(__xludf.DUMMYFUNCTION("""COMPUTED_VALUE"""),"Laguinbanua West, Numancia, AKLAN")</f>
        <v>Laguinbanua West, Numancia, AKLAN</v>
      </c>
      <c r="F331" s="2" t="str">
        <f>IFERROR(__xludf.DUMMYFUNCTION("""COMPUTED_VALUE"""),"LEONARDO B. DE MIGUEL")</f>
        <v>LEONARDO B. DE MIGUEL</v>
      </c>
      <c r="G331" s="2">
        <f>IFERROR(__xludf.DUMMYFUNCTION("""COMPUTED_VALUE"""),9.184482414E9)</f>
        <v>9184482414</v>
      </c>
      <c r="H331" s="2"/>
      <c r="I331" s="72" t="str">
        <f>IFERROR(__xludf.DUMMYFUNCTION("""COMPUTED_VALUE"""),"REPAIR - TRACTOR")</f>
        <v>REPAIR - TRACTOR</v>
      </c>
      <c r="J331" s="72" t="str">
        <f>IFERROR(__xludf.DUMMYFUNCTION("""COMPUTED_VALUE"""),"Radiator")</f>
        <v>Radiator</v>
      </c>
      <c r="K331" s="72" t="str">
        <f>IFERROR(__xludf.DUMMYFUNCTION("""COMPUTED_VALUE"""),"CCB: PUMUTOK ANG TOP COVER NG RADIATOR")</f>
        <v>CCB: PUMUTOK ANG TOP COVER NG RADIATOR</v>
      </c>
      <c r="L331" s="72" t="str">
        <f>IFERROR(__xludf.DUMMYFUNCTION("""COMPUTED_VALUE"""),"FARMER: OK NADAW ANG RADIATOR NILA: BUT FILED FOR WARRANTY CLAIM")</f>
        <v>FARMER: OK NADAW ANG RADIATOR NILA: BUT FILED FOR WARRANTY CLAIM</v>
      </c>
      <c r="M331" s="2"/>
      <c r="N331" s="2" t="str">
        <f>IFERROR(__xludf.DUMMYFUNCTION("""COMPUTED_VALUE"""),"PARTS: 
RADIATOR ASSY")</f>
        <v>PARTS: 
RADIATOR ASSY</v>
      </c>
      <c r="O331" s="2" t="str">
        <f>IFERROR(__xludf.DUMMYFUNCTION("""COMPUTED_VALUE"""),"N/A")</f>
        <v>N/A</v>
      </c>
      <c r="P331" s="2"/>
      <c r="Q331" s="2"/>
      <c r="R331" s="74">
        <f>IFERROR(__xludf.DUMMYFUNCTION("""COMPUTED_VALUE"""),45566.0)</f>
        <v>45566</v>
      </c>
      <c r="S331" s="2" t="str">
        <f>IFERROR(__xludf.DUMMYFUNCTION("""COMPUTED_VALUE"""),"ATTY. TUPAZ TEAM")</f>
        <v>ATTY. TUPAZ TEAM</v>
      </c>
      <c r="T331" s="73" t="str">
        <f>IFERROR(__xludf.DUMMYFUNCTION("""COMPUTED_VALUE""")," N/A ")</f>
        <v>N/A</v>
      </c>
      <c r="U331" s="73" t="str">
        <f>IFERROR(__xludf.DUMMYFUNCTION("""COMPUTED_VALUE""")," NO CHARGE ")</f>
        <v>NO CHARGE</v>
      </c>
      <c r="V331" s="2"/>
      <c r="W331" s="2" t="str">
        <f>IFERROR(__xludf.DUMMYFUNCTION("""COMPUTED_VALUE"""),"N/A")</f>
        <v>N/A</v>
      </c>
      <c r="X331" s="2" t="str">
        <f>IFERROR(__xludf.DUMMYFUNCTION("""COMPUTED_VALUE"""),"N/A")</f>
        <v>N/A</v>
      </c>
      <c r="Y331" s="2" t="str">
        <f>IFERROR(__xludf.DUMMYFUNCTION("""COMPUTED_VALUE"""),"NO PARTS")</f>
        <v>NO PARTS</v>
      </c>
      <c r="Z331" s="2"/>
      <c r="AA331" s="2"/>
      <c r="AB331" s="2"/>
      <c r="AC331" s="2" t="str">
        <f>IFERROR(__xludf.DUMMYFUNCTION("""COMPUTED_VALUE"""),"N")</f>
        <v>N</v>
      </c>
      <c r="AD331" s="2"/>
      <c r="AE331" s="2"/>
      <c r="AF331" s="2"/>
      <c r="AG331" s="2"/>
      <c r="AH331" s="2"/>
      <c r="AI331" s="2"/>
      <c r="AJ331" s="2" t="str">
        <f>IFERROR(__xludf.DUMMYFUNCTION("""COMPUTED_VALUE"""),"Laguinbanua West")</f>
        <v>Laguinbanua West</v>
      </c>
      <c r="AK331" s="2" t="str">
        <f>IFERROR(__xludf.DUMMYFUNCTION("""COMPUTED_VALUE"""),"Numancia")</f>
        <v>Numancia</v>
      </c>
      <c r="AL331" s="2" t="str">
        <f>IFERROR(__xludf.DUMMYFUNCTION("""COMPUTED_VALUE"""),"Aklan")</f>
        <v>Aklan</v>
      </c>
      <c r="AM331" s="2">
        <f>IFERROR(__xludf.DUMMYFUNCTION("""COMPUTED_VALUE"""),6.0)</f>
        <v>6</v>
      </c>
      <c r="AN331" s="2" t="str">
        <f>IFERROR(__xludf.DUMMYFUNCTION("""COMPUTED_VALUE"""),"RCEF 23-09-21 Rebidding")</f>
        <v>RCEF 23-09-21 Rebidding</v>
      </c>
      <c r="AO331" s="2">
        <f>IFERROR(__xludf.DUMMYFUNCTION("""COMPUTED_VALUE"""),4.0)</f>
        <v>4</v>
      </c>
      <c r="AP331" s="2"/>
      <c r="AQ331" s="2"/>
      <c r="AR331" s="2"/>
      <c r="AS331" s="2"/>
      <c r="AT331" s="2"/>
      <c r="AU331" s="2"/>
      <c r="AV331" s="2"/>
      <c r="AW331" s="2"/>
      <c r="AX331" s="2"/>
      <c r="AY331" s="2"/>
      <c r="AZ331" s="2"/>
      <c r="BA331" s="2"/>
      <c r="BB331" s="2"/>
    </row>
    <row r="332">
      <c r="A332" s="2">
        <f>IFERROR(__xludf.DUMMYFUNCTION("""COMPUTED_VALUE"""),328.0)</f>
        <v>328</v>
      </c>
      <c r="B332" s="2" t="str">
        <f>IFERROR(__xludf.DUMMYFUNCTION("""COMPUTED_VALUE"""),"COMPLETED")</f>
        <v>COMPLETED</v>
      </c>
      <c r="C332" s="74">
        <f>IFERROR(__xludf.DUMMYFUNCTION("""COMPUTED_VALUE"""),45492.0)</f>
        <v>45492</v>
      </c>
      <c r="D332" s="71" t="str">
        <f>IFERROR(__xludf.DUMMYFUNCTION("""COMPUTED_VALUE"""),"Bulusukan Farmers Palay and Vegetable Producers Cooperative")</f>
        <v>Bulusukan Farmers Palay and Vegetable Producers Cooperative</v>
      </c>
      <c r="E332" s="71" t="str">
        <f>IFERROR(__xludf.DUMMYFUNCTION("""COMPUTED_VALUE"""),"Bulusukan, San Ildefonso, BULACAN")</f>
        <v>Bulusukan, San Ildefonso, BULACAN</v>
      </c>
      <c r="F332" s="2" t="str">
        <f>IFERROR(__xludf.DUMMYFUNCTION("""COMPUTED_VALUE"""),"NALDY NUNEZ")</f>
        <v>NALDY NUNEZ</v>
      </c>
      <c r="G332" s="2">
        <f>IFERROR(__xludf.DUMMYFUNCTION("""COMPUTED_VALUE"""),9.128630521E9)</f>
        <v>9128630521</v>
      </c>
      <c r="H332" s="2">
        <f>IFERROR(__xludf.DUMMYFUNCTION("""COMPUTED_VALUE"""),110.0)</f>
        <v>110</v>
      </c>
      <c r="I332" s="72" t="str">
        <f>IFERROR(__xludf.DUMMYFUNCTION("""COMPUTED_VALUE"""),"PMS")</f>
        <v>PMS</v>
      </c>
      <c r="J332" s="72" t="str">
        <f>IFERROR(__xludf.DUMMYFUNCTION("""COMPUTED_VALUE"""),"PMS")</f>
        <v>PMS</v>
      </c>
      <c r="K332" s="72" t="str">
        <f>IFERROR(__xludf.DUMMYFUNCTION("""COMPUTED_VALUE"""),"EGT: FIRST PMS")</f>
        <v>EGT: FIRST PMS</v>
      </c>
      <c r="L332" s="72" t="str">
        <f>IFERROR(__xludf.DUMMYFUNCTION("""COMPUTED_VALUE"""),"CHANGE OIL: OIL FILTER PAID BY FCA")</f>
        <v>CHANGE OIL: OIL FILTER PAID BY FCA</v>
      </c>
      <c r="M332" s="2"/>
      <c r="N332" s="2" t="str">
        <f>IFERROR(__xludf.DUMMYFUNCTION("""COMPUTED_VALUE"""),"OIL FILTER")</f>
        <v>OIL FILTER</v>
      </c>
      <c r="O332" s="2" t="str">
        <f>IFERROR(__xludf.DUMMYFUNCTION("""COMPUTED_VALUE"""),"JIE-909")</f>
        <v>JIE-909</v>
      </c>
      <c r="P332" s="2"/>
      <c r="Q332" s="2"/>
      <c r="R332" s="74">
        <f>IFERROR(__xludf.DUMMYFUNCTION("""COMPUTED_VALUE"""),45496.0)</f>
        <v>45496</v>
      </c>
      <c r="S332" s="2" t="str">
        <f>IFERROR(__xludf.DUMMYFUNCTION("""COMPUTED_VALUE"""),"DSD")</f>
        <v>DSD</v>
      </c>
      <c r="T332" s="73">
        <f>IFERROR(__xludf.DUMMYFUNCTION("""COMPUTED_VALUE"""),2837.0)</f>
        <v>2837</v>
      </c>
      <c r="U332" s="73" t="str">
        <f>IFERROR(__xludf.DUMMYFUNCTION("""COMPUTED_VALUE""")," REMITTED ")</f>
        <v>REMITTED</v>
      </c>
      <c r="V332" s="2"/>
      <c r="W332" s="2"/>
      <c r="X332" s="2">
        <f>IFERROR(__xludf.DUMMYFUNCTION("""COMPUTED_VALUE"""),1134.0)</f>
        <v>1134</v>
      </c>
      <c r="Y332" s="2"/>
      <c r="Z332" s="2"/>
      <c r="AA332" s="2"/>
      <c r="AB332" s="2"/>
      <c r="AC332" s="2"/>
      <c r="AD332" s="2"/>
      <c r="AE332" s="2"/>
      <c r="AF332" s="2"/>
      <c r="AG332" s="2"/>
      <c r="AH332" s="2"/>
      <c r="AI332" s="2"/>
      <c r="AJ332" s="2" t="str">
        <f>IFERROR(__xludf.DUMMYFUNCTION("""COMPUTED_VALUE"""),"Bulusukan")</f>
        <v>Bulusukan</v>
      </c>
      <c r="AK332" s="2" t="str">
        <f>IFERROR(__xludf.DUMMYFUNCTION("""COMPUTED_VALUE"""),"San Ildefonso")</f>
        <v>San Ildefonso</v>
      </c>
      <c r="AL332" s="2" t="str">
        <f>IFERROR(__xludf.DUMMYFUNCTION("""COMPUTED_VALUE"""),"Bulacan")</f>
        <v>Bulacan</v>
      </c>
      <c r="AM332" s="2">
        <f>IFERROR(__xludf.DUMMYFUNCTION("""COMPUTED_VALUE"""),3.0)</f>
        <v>3</v>
      </c>
      <c r="AN332" s="2" t="str">
        <f>IFERROR(__xludf.DUMMYFUNCTION("""COMPUTED_VALUE"""),"RCEF 23-09-21 Rebidding")</f>
        <v>RCEF 23-09-21 Rebidding</v>
      </c>
      <c r="AO332" s="2">
        <f>IFERROR(__xludf.DUMMYFUNCTION("""COMPUTED_VALUE"""),9.0)</f>
        <v>9</v>
      </c>
      <c r="AP332" s="2"/>
      <c r="AQ332" s="2"/>
      <c r="AR332" s="2"/>
      <c r="AS332" s="2"/>
      <c r="AT332" s="2"/>
      <c r="AU332" s="2"/>
      <c r="AV332" s="2"/>
      <c r="AW332" s="2"/>
      <c r="AX332" s="2"/>
      <c r="AY332" s="2"/>
      <c r="AZ332" s="2"/>
      <c r="BA332" s="2"/>
      <c r="BB332" s="2"/>
    </row>
    <row r="333">
      <c r="A333" s="2">
        <f>IFERROR(__xludf.DUMMYFUNCTION("""COMPUTED_VALUE"""),329.0)</f>
        <v>329</v>
      </c>
      <c r="B333" s="2" t="str">
        <f>IFERROR(__xludf.DUMMYFUNCTION("""COMPUTED_VALUE"""),"COMPLETED")</f>
        <v>COMPLETED</v>
      </c>
      <c r="C333" s="74">
        <f>IFERROR(__xludf.DUMMYFUNCTION("""COMPUTED_VALUE"""),45492.0)</f>
        <v>45492</v>
      </c>
      <c r="D333" s="71" t="str">
        <f>IFERROR(__xludf.DUMMYFUNCTION("""COMPUTED_VALUE"""),"Bagong Pag-asa Larcon Farmers Association")</f>
        <v>Bagong Pag-asa Larcon Farmers Association</v>
      </c>
      <c r="E333" s="71" t="str">
        <f>IFERROR(__xludf.DUMMYFUNCTION("""COMPUTED_VALUE"""),"Larcon, Bongabon, NUEVA ECIJA")</f>
        <v>Larcon, Bongabon, NUEVA ECIJA</v>
      </c>
      <c r="F333" s="2" t="str">
        <f>IFERROR(__xludf.DUMMYFUNCTION("""COMPUTED_VALUE"""),"MARLON LORENZO")</f>
        <v>MARLON LORENZO</v>
      </c>
      <c r="G333" s="2">
        <f>IFERROR(__xludf.DUMMYFUNCTION("""COMPUTED_VALUE"""),9.361802825E9)</f>
        <v>9361802825</v>
      </c>
      <c r="H333" s="2">
        <f>IFERROR(__xludf.DUMMYFUNCTION("""COMPUTED_VALUE"""),55.0)</f>
        <v>55</v>
      </c>
      <c r="I333" s="72" t="str">
        <f>IFERROR(__xludf.DUMMYFUNCTION("""COMPUTED_VALUE"""),"PMS")</f>
        <v>PMS</v>
      </c>
      <c r="J333" s="72" t="str">
        <f>IFERROR(__xludf.DUMMYFUNCTION("""COMPUTED_VALUE"""),"PMS")</f>
        <v>PMS</v>
      </c>
      <c r="K333" s="72" t="str">
        <f>IFERROR(__xludf.DUMMYFUNCTION("""COMPUTED_VALUE"""),"KFS: FIRST PMS")</f>
        <v>KFS: FIRST PMS</v>
      </c>
      <c r="L333" s="72" t="str">
        <f>IFERROR(__xludf.DUMMYFUNCTION("""COMPUTED_VALUE"""),"CHANGE OIL: OIL FILTER PAID BY FCA")</f>
        <v>CHANGE OIL: OIL FILTER PAID BY FCA</v>
      </c>
      <c r="M333" s="2"/>
      <c r="N333" s="2" t="str">
        <f>IFERROR(__xludf.DUMMYFUNCTION("""COMPUTED_VALUE"""),"OIL FILTER")</f>
        <v>OIL FILTER</v>
      </c>
      <c r="O333" s="2" t="str">
        <f>IFERROR(__xludf.DUMMYFUNCTION("""COMPUTED_VALUE"""),"JIE-910")</f>
        <v>JIE-910</v>
      </c>
      <c r="P333" s="2"/>
      <c r="Q333" s="2"/>
      <c r="R333" s="74">
        <f>IFERROR(__xludf.DUMMYFUNCTION("""COMPUTED_VALUE"""),45496.0)</f>
        <v>45496</v>
      </c>
      <c r="S333" s="2" t="str">
        <f>IFERROR(__xludf.DUMMYFUNCTION("""COMPUTED_VALUE"""),"DSD")</f>
        <v>DSD</v>
      </c>
      <c r="T333" s="73">
        <f>IFERROR(__xludf.DUMMYFUNCTION("""COMPUTED_VALUE"""),2837.0)</f>
        <v>2837</v>
      </c>
      <c r="U333" s="73" t="str">
        <f>IFERROR(__xludf.DUMMYFUNCTION("""COMPUTED_VALUE""")," REMITTED ")</f>
        <v>REMITTED</v>
      </c>
      <c r="V333" s="2"/>
      <c r="W333" s="2">
        <f>IFERROR(__xludf.DUMMYFUNCTION("""COMPUTED_VALUE"""),1467.0)</f>
        <v>1467</v>
      </c>
      <c r="X333" s="2">
        <f>IFERROR(__xludf.DUMMYFUNCTION("""COMPUTED_VALUE"""),1288.0)</f>
        <v>1288</v>
      </c>
      <c r="Y333" s="2"/>
      <c r="Z333" s="2"/>
      <c r="AA333" s="2"/>
      <c r="AB333" s="2"/>
      <c r="AC333" s="2"/>
      <c r="AD333" s="2"/>
      <c r="AE333" s="2"/>
      <c r="AF333" s="2"/>
      <c r="AG333" s="2"/>
      <c r="AH333" s="2"/>
      <c r="AI333" s="2"/>
      <c r="AJ333" s="2" t="str">
        <f>IFERROR(__xludf.DUMMYFUNCTION("""COMPUTED_VALUE"""),"Larcon")</f>
        <v>Larcon</v>
      </c>
      <c r="AK333" s="2" t="str">
        <f>IFERROR(__xludf.DUMMYFUNCTION("""COMPUTED_VALUE"""),"Bongabon")</f>
        <v>Bongabon</v>
      </c>
      <c r="AL333" s="2" t="str">
        <f>IFERROR(__xludf.DUMMYFUNCTION("""COMPUTED_VALUE"""),"Nueva Ecija")</f>
        <v>Nueva Ecija</v>
      </c>
      <c r="AM333" s="2">
        <f>IFERROR(__xludf.DUMMYFUNCTION("""COMPUTED_VALUE"""),3.0)</f>
        <v>3</v>
      </c>
      <c r="AN333" s="2" t="str">
        <f>IFERROR(__xludf.DUMMYFUNCTION("""COMPUTED_VALUE"""),"RCEF 23-09-21 Rebidding")</f>
        <v>RCEF 23-09-21 Rebidding</v>
      </c>
      <c r="AO333" s="2">
        <f>IFERROR(__xludf.DUMMYFUNCTION("""COMPUTED_VALUE"""),3.0)</f>
        <v>3</v>
      </c>
      <c r="AP333" s="2"/>
      <c r="AQ333" s="2"/>
      <c r="AR333" s="2"/>
      <c r="AS333" s="2"/>
      <c r="AT333" s="2"/>
      <c r="AU333" s="2"/>
      <c r="AV333" s="2"/>
      <c r="AW333" s="2"/>
      <c r="AX333" s="2"/>
      <c r="AY333" s="2"/>
      <c r="AZ333" s="2"/>
      <c r="BA333" s="2"/>
      <c r="BB333" s="2"/>
    </row>
    <row r="334">
      <c r="A334" s="2">
        <f>IFERROR(__xludf.DUMMYFUNCTION("""COMPUTED_VALUE"""),330.0)</f>
        <v>330</v>
      </c>
      <c r="B334" s="2" t="str">
        <f>IFERROR(__xludf.DUMMYFUNCTION("""COMPUTED_VALUE"""),"COMPLETED")</f>
        <v>COMPLETED</v>
      </c>
      <c r="C334" s="74">
        <f>IFERROR(__xludf.DUMMYFUNCTION("""COMPUTED_VALUE"""),45496.0)</f>
        <v>45496</v>
      </c>
      <c r="D334" s="71" t="str">
        <f>IFERROR(__xludf.DUMMYFUNCTION("""COMPUTED_VALUE"""),"PANAGDUR-AS TI MANNALON KEN MANGANGALAP TI BARAOAS NORTE ASSOCIATION INC.")</f>
        <v>PANAGDUR-AS TI MANNALON KEN MANGANGALAP TI BARAOAS NORTE ASSOCIATION INC.</v>
      </c>
      <c r="E334" s="71" t="str">
        <f>IFERROR(__xludf.DUMMYFUNCTION("""COMPUTED_VALUE"""),"Lioac Sur, Naguilian, LA UNION")</f>
        <v>Lioac Sur, Naguilian, LA UNION</v>
      </c>
      <c r="F334" s="2" t="str">
        <f>IFERROR(__xludf.DUMMYFUNCTION("""COMPUTED_VALUE"""),"MARCIAL S. FLORENDO")</f>
        <v>MARCIAL S. FLORENDO</v>
      </c>
      <c r="G334" s="2">
        <f>IFERROR(__xludf.DUMMYFUNCTION("""COMPUTED_VALUE"""),9.299657623E9)</f>
        <v>9299657623</v>
      </c>
      <c r="H334" s="2">
        <f>IFERROR(__xludf.DUMMYFUNCTION("""COMPUTED_VALUE"""),98.7)</f>
        <v>98.7</v>
      </c>
      <c r="I334" s="72" t="str">
        <f>IFERROR(__xludf.DUMMYFUNCTION("""COMPUTED_VALUE"""),"PMS")</f>
        <v>PMS</v>
      </c>
      <c r="J334" s="72" t="str">
        <f>IFERROR(__xludf.DUMMYFUNCTION("""COMPUTED_VALUE"""),"PMS")</f>
        <v>PMS</v>
      </c>
      <c r="K334" s="72" t="str">
        <f>IFERROR(__xludf.DUMMYFUNCTION("""COMPUTED_VALUE"""),"ACS: FIRST PMS")</f>
        <v>ACS: FIRST PMS</v>
      </c>
      <c r="L334" s="72" t="str">
        <f>IFERROR(__xludf.DUMMYFUNCTION("""COMPUTED_VALUE"""),"CHANGE OIL: OIL FILTER PAID BY FCA")</f>
        <v>CHANGE OIL: OIL FILTER PAID BY FCA</v>
      </c>
      <c r="M334" s="2"/>
      <c r="N334" s="2" t="str">
        <f>IFERROR(__xludf.DUMMYFUNCTION("""COMPUTED_VALUE"""),"OIL FILTER")</f>
        <v>OIL FILTER</v>
      </c>
      <c r="O334" s="2" t="str">
        <f>IFERROR(__xludf.DUMMYFUNCTION("""COMPUTED_VALUE"""),"JIE-911")</f>
        <v>JIE-911</v>
      </c>
      <c r="P334" s="2"/>
      <c r="Q334" s="2"/>
      <c r="R334" s="74">
        <f>IFERROR(__xludf.DUMMYFUNCTION("""COMPUTED_VALUE"""),45496.0)</f>
        <v>45496</v>
      </c>
      <c r="S334" s="2" t="str">
        <f>IFERROR(__xludf.DUMMYFUNCTION("""COMPUTED_VALUE"""),"ACS/JHP")</f>
        <v>ACS/JHP</v>
      </c>
      <c r="T334" s="73">
        <f>IFERROR(__xludf.DUMMYFUNCTION("""COMPUTED_VALUE"""),2837.0)</f>
        <v>2837</v>
      </c>
      <c r="U334" s="73" t="str">
        <f>IFERROR(__xludf.DUMMYFUNCTION("""COMPUTED_VALUE""")," REMITTED ")</f>
        <v>REMITTED</v>
      </c>
      <c r="V334" s="2"/>
      <c r="W334" s="2"/>
      <c r="X334" s="2"/>
      <c r="Y334" s="2"/>
      <c r="Z334" s="2"/>
      <c r="AA334" s="2"/>
      <c r="AB334" s="2"/>
      <c r="AC334" s="2"/>
      <c r="AD334" s="2"/>
      <c r="AE334" s="2"/>
      <c r="AF334" s="2"/>
      <c r="AG334" s="2"/>
      <c r="AH334" s="2"/>
      <c r="AI334" s="2"/>
      <c r="AJ334" s="2" t="str">
        <f>IFERROR(__xludf.DUMMYFUNCTION("""COMPUTED_VALUE"""),"Lioac Sur")</f>
        <v>Lioac Sur</v>
      </c>
      <c r="AK334" s="2" t="str">
        <f>IFERROR(__xludf.DUMMYFUNCTION("""COMPUTED_VALUE"""),"Naguilian")</f>
        <v>Naguilian</v>
      </c>
      <c r="AL334" s="2" t="str">
        <f>IFERROR(__xludf.DUMMYFUNCTION("""COMPUTED_VALUE"""),"La Union")</f>
        <v>La Union</v>
      </c>
      <c r="AM334" s="2">
        <f>IFERROR(__xludf.DUMMYFUNCTION("""COMPUTED_VALUE"""),1.0)</f>
        <v>1</v>
      </c>
      <c r="AN334" s="2" t="str">
        <f>IFERROR(__xludf.DUMMYFUNCTION("""COMPUTED_VALUE"""),"RCEF 23-09-21 Rebidding")</f>
        <v>RCEF 23-09-21 Rebidding</v>
      </c>
      <c r="AO334" s="2">
        <f>IFERROR(__xludf.DUMMYFUNCTION("""COMPUTED_VALUE"""),9.0)</f>
        <v>9</v>
      </c>
      <c r="AP334" s="2"/>
      <c r="AQ334" s="2"/>
      <c r="AR334" s="2"/>
      <c r="AS334" s="2"/>
      <c r="AT334" s="2"/>
      <c r="AU334" s="2"/>
      <c r="AV334" s="2"/>
      <c r="AW334" s="2"/>
      <c r="AX334" s="2"/>
      <c r="AY334" s="2"/>
      <c r="AZ334" s="2"/>
      <c r="BA334" s="2"/>
      <c r="BB334" s="2"/>
    </row>
    <row r="335">
      <c r="A335" s="2">
        <f>IFERROR(__xludf.DUMMYFUNCTION("""COMPUTED_VALUE"""),331.0)</f>
        <v>331</v>
      </c>
      <c r="B335" s="2" t="str">
        <f>IFERROR(__xludf.DUMMYFUNCTION("""COMPUTED_VALUE"""),"COMPLETED")</f>
        <v>COMPLETED</v>
      </c>
      <c r="C335" s="74">
        <f>IFERROR(__xludf.DUMMYFUNCTION("""COMPUTED_VALUE"""),45497.0)</f>
        <v>45497</v>
      </c>
      <c r="D335" s="71" t="str">
        <f>IFERROR(__xludf.DUMMYFUNCTION("""COMPUTED_VALUE"""),"Samput Farmers Association Inc.")</f>
        <v>Samput Farmers Association Inc.</v>
      </c>
      <c r="E335" s="71" t="str">
        <f>IFERROR(__xludf.DUMMYFUNCTION("""COMPUTED_VALUE"""),"Samput, Paniqui, TARLAC")</f>
        <v>Samput, Paniqui, TARLAC</v>
      </c>
      <c r="F335" s="2" t="str">
        <f>IFERROR(__xludf.DUMMYFUNCTION("""COMPUTED_VALUE"""),"HEROLIMO S. VERGARA")</f>
        <v>HEROLIMO S. VERGARA</v>
      </c>
      <c r="G335" s="2">
        <f>IFERROR(__xludf.DUMMYFUNCTION("""COMPUTED_VALUE"""),9.095098491E9)</f>
        <v>9095098491</v>
      </c>
      <c r="H335" s="2">
        <f>IFERROR(__xludf.DUMMYFUNCTION("""COMPUTED_VALUE"""),210.3)</f>
        <v>210.3</v>
      </c>
      <c r="I335" s="72" t="str">
        <f>IFERROR(__xludf.DUMMYFUNCTION("""COMPUTED_VALUE"""),"REPAIR - TRACTOR")</f>
        <v>REPAIR - TRACTOR</v>
      </c>
      <c r="J335" s="72" t="str">
        <f>IFERROR(__xludf.DUMMYFUNCTION("""COMPUTED_VALUE"""),"CHECK UP")</f>
        <v>CHECK UP</v>
      </c>
      <c r="K335" s="72" t="str">
        <f>IFERROR(__xludf.DUMMYFUNCTION("""COMPUTED_VALUE"""),"DSD: CHECK UP UNIT")</f>
        <v>DSD: CHECK UP UNIT</v>
      </c>
      <c r="L335" s="72" t="str">
        <f>IFERROR(__xludf.DUMMYFUNCTION("""COMPUTED_VALUE"""),"CHECK TRACTOR AND ROTAVATOR, OK ANG MGA UNIT")</f>
        <v>CHECK TRACTOR AND ROTAVATOR, OK ANG MGA UNIT</v>
      </c>
      <c r="M335" s="2"/>
      <c r="N335" s="2"/>
      <c r="O335" s="2" t="str">
        <f>IFERROR(__xludf.DUMMYFUNCTION("""COMPUTED_VALUE"""),"JIE-912")</f>
        <v>JIE-912</v>
      </c>
      <c r="P335" s="2"/>
      <c r="Q335" s="2"/>
      <c r="R335" s="74">
        <f>IFERROR(__xludf.DUMMYFUNCTION("""COMPUTED_VALUE"""),45497.0)</f>
        <v>45497</v>
      </c>
      <c r="S335" s="2" t="str">
        <f>IFERROR(__xludf.DUMMYFUNCTION("""COMPUTED_VALUE"""),"DSD")</f>
        <v>DSD</v>
      </c>
      <c r="T335" s="73" t="str">
        <f>IFERROR(__xludf.DUMMYFUNCTION("""COMPUTED_VALUE""")," N/A ")</f>
        <v>N/A</v>
      </c>
      <c r="U335" s="73" t="str">
        <f>IFERROR(__xludf.DUMMYFUNCTION("""COMPUTED_VALUE""")," NO CHARGE ")</f>
        <v>NO CHARGE</v>
      </c>
      <c r="V335" s="2"/>
      <c r="W335" s="2" t="str">
        <f>IFERROR(__xludf.DUMMYFUNCTION("""COMPUTED_VALUE"""),"N/A")</f>
        <v>N/A</v>
      </c>
      <c r="X335" s="2" t="str">
        <f>IFERROR(__xludf.DUMMYFUNCTION("""COMPUTED_VALUE"""),"N/A")</f>
        <v>N/A</v>
      </c>
      <c r="Y335" s="2"/>
      <c r="Z335" s="2"/>
      <c r="AA335" s="2"/>
      <c r="AB335" s="2"/>
      <c r="AC335" s="2"/>
      <c r="AD335" s="2"/>
      <c r="AE335" s="2"/>
      <c r="AF335" s="2"/>
      <c r="AG335" s="2"/>
      <c r="AH335" s="2"/>
      <c r="AI335" s="2"/>
      <c r="AJ335" s="2" t="str">
        <f>IFERROR(__xludf.DUMMYFUNCTION("""COMPUTED_VALUE"""),"Samput")</f>
        <v>Samput</v>
      </c>
      <c r="AK335" s="2" t="str">
        <f>IFERROR(__xludf.DUMMYFUNCTION("""COMPUTED_VALUE"""),"Paniqui")</f>
        <v>Paniqui</v>
      </c>
      <c r="AL335" s="2" t="str">
        <f>IFERROR(__xludf.DUMMYFUNCTION("""COMPUTED_VALUE"""),"Tarlac")</f>
        <v>Tarlac</v>
      </c>
      <c r="AM335" s="2">
        <f>IFERROR(__xludf.DUMMYFUNCTION("""COMPUTED_VALUE"""),3.0)</f>
        <v>3</v>
      </c>
      <c r="AN335" s="2" t="str">
        <f>IFERROR(__xludf.DUMMYFUNCTION("""COMPUTED_VALUE"""),"RCEF 23-09-21 Rebidding")</f>
        <v>RCEF 23-09-21 Rebidding</v>
      </c>
      <c r="AO335" s="2">
        <f>IFERROR(__xludf.DUMMYFUNCTION("""COMPUTED_VALUE"""),3.0)</f>
        <v>3</v>
      </c>
      <c r="AP335" s="2"/>
      <c r="AQ335" s="2"/>
      <c r="AR335" s="2"/>
      <c r="AS335" s="2"/>
      <c r="AT335" s="2"/>
      <c r="AU335" s="2"/>
      <c r="AV335" s="2"/>
      <c r="AW335" s="2"/>
      <c r="AX335" s="2"/>
      <c r="AY335" s="2"/>
      <c r="AZ335" s="2"/>
      <c r="BA335" s="2"/>
      <c r="BB335" s="2"/>
    </row>
    <row r="336">
      <c r="A336" s="2">
        <f>IFERROR(__xludf.DUMMYFUNCTION("""COMPUTED_VALUE"""),332.0)</f>
        <v>332</v>
      </c>
      <c r="B336" s="2" t="str">
        <f>IFERROR(__xludf.DUMMYFUNCTION("""COMPUTED_VALUE"""),"COMPLETED")</f>
        <v>COMPLETED</v>
      </c>
      <c r="C336" s="74">
        <f>IFERROR(__xludf.DUMMYFUNCTION("""COMPUTED_VALUE"""),45497.0)</f>
        <v>45497</v>
      </c>
      <c r="D336" s="71" t="str">
        <f>IFERROR(__xludf.DUMMYFUNCTION("""COMPUTED_VALUE"""),"ACOCOLAO AGRI-FARMER'S ASSOCIATION")</f>
        <v>ACOCOLAO AGRI-FARMER'S ASSOCIATION</v>
      </c>
      <c r="E336" s="71" t="str">
        <f>IFERROR(__xludf.DUMMYFUNCTION("""COMPUTED_VALUE"""),"Acocolao, Paniqui, TARLAC")</f>
        <v>Acocolao, Paniqui, TARLAC</v>
      </c>
      <c r="F336" s="2" t="str">
        <f>IFERROR(__xludf.DUMMYFUNCTION("""COMPUTED_VALUE"""),"REYNALDO N. SUNIO")</f>
        <v>REYNALDO N. SUNIO</v>
      </c>
      <c r="G336" s="2">
        <f>IFERROR(__xludf.DUMMYFUNCTION("""COMPUTED_VALUE"""),9.16251917E9)</f>
        <v>9162519170</v>
      </c>
      <c r="H336" s="2">
        <f>IFERROR(__xludf.DUMMYFUNCTION("""COMPUTED_VALUE"""),205.6)</f>
        <v>205.6</v>
      </c>
      <c r="I336" s="72" t="str">
        <f>IFERROR(__xludf.DUMMYFUNCTION("""COMPUTED_VALUE"""),"PMS")</f>
        <v>PMS</v>
      </c>
      <c r="J336" s="72" t="str">
        <f>IFERROR(__xludf.DUMMYFUNCTION("""COMPUTED_VALUE"""),"PMS")</f>
        <v>PMS</v>
      </c>
      <c r="K336" s="72" t="str">
        <f>IFERROR(__xludf.DUMMYFUNCTION("""COMPUTED_VALUE"""),"DSD: HINDI KO MUNA PINAGAMIT ANG UNIT DAHIL HINDI PA NA FIRST PMS")</f>
        <v>DSD: HINDI KO MUNA PINAGAMIT ANG UNIT DAHIL HINDI PA NA FIRST PMS</v>
      </c>
      <c r="L336" s="72" t="str">
        <f>IFERROR(__xludf.DUMMYFUNCTION("""COMPUTED_VALUE"""),"JVV: change oil and check the implements 
")</f>
        <v>JVV: change oil and check the implements 
</v>
      </c>
      <c r="M336" s="2"/>
      <c r="N336" s="2"/>
      <c r="O336" s="2" t="str">
        <f>IFERROR(__xludf.DUMMYFUNCTION("""COMPUTED_VALUE"""),"JIE-920")</f>
        <v>JIE-920</v>
      </c>
      <c r="P336" s="2"/>
      <c r="Q336" s="2"/>
      <c r="R336" s="74">
        <f>IFERROR(__xludf.DUMMYFUNCTION("""COMPUTED_VALUE"""),45503.0)</f>
        <v>45503</v>
      </c>
      <c r="S336" s="2" t="str">
        <f>IFERROR(__xludf.DUMMYFUNCTION("""COMPUTED_VALUE"""),"JVV/CFG")</f>
        <v>JVV/CFG</v>
      </c>
      <c r="T336" s="73" t="str">
        <f>IFERROR(__xludf.DUMMYFUNCTION("""COMPUTED_VALUE""")," N/A ")</f>
        <v>N/A</v>
      </c>
      <c r="U336" s="73" t="str">
        <f>IFERROR(__xludf.DUMMYFUNCTION("""COMPUTED_VALUE""")," NO CHARGE ")</f>
        <v>NO CHARGE</v>
      </c>
      <c r="V336" s="2"/>
      <c r="W336" s="2" t="str">
        <f>IFERROR(__xludf.DUMMYFUNCTION("""COMPUTED_VALUE"""),"N/A")</f>
        <v>N/A</v>
      </c>
      <c r="X336" s="2" t="str">
        <f>IFERROR(__xludf.DUMMYFUNCTION("""COMPUTED_VALUE"""),"N/A")</f>
        <v>N/A</v>
      </c>
      <c r="Y336" s="2"/>
      <c r="Z336" s="2"/>
      <c r="AA336" s="2"/>
      <c r="AB336" s="2"/>
      <c r="AC336" s="2"/>
      <c r="AD336" s="2"/>
      <c r="AE336" s="2"/>
      <c r="AF336" s="2"/>
      <c r="AG336" s="2"/>
      <c r="AH336" s="2"/>
      <c r="AI336" s="2"/>
      <c r="AJ336" s="2" t="str">
        <f>IFERROR(__xludf.DUMMYFUNCTION("""COMPUTED_VALUE"""),"Acocolao")</f>
        <v>Acocolao</v>
      </c>
      <c r="AK336" s="2" t="str">
        <f>IFERROR(__xludf.DUMMYFUNCTION("""COMPUTED_VALUE"""),"Paniqui")</f>
        <v>Paniqui</v>
      </c>
      <c r="AL336" s="2" t="str">
        <f>IFERROR(__xludf.DUMMYFUNCTION("""COMPUTED_VALUE"""),"Tarlac")</f>
        <v>Tarlac</v>
      </c>
      <c r="AM336" s="2">
        <f>IFERROR(__xludf.DUMMYFUNCTION("""COMPUTED_VALUE"""),3.0)</f>
        <v>3</v>
      </c>
      <c r="AN336" s="2" t="str">
        <f>IFERROR(__xludf.DUMMYFUNCTION("""COMPUTED_VALUE"""),"RCEF 23-09-21 Rebidding")</f>
        <v>RCEF 23-09-21 Rebidding</v>
      </c>
      <c r="AO336" s="2">
        <f>IFERROR(__xludf.DUMMYFUNCTION("""COMPUTED_VALUE"""),3.0)</f>
        <v>3</v>
      </c>
      <c r="AP336" s="2"/>
      <c r="AQ336" s="2"/>
      <c r="AR336" s="2"/>
      <c r="AS336" s="2"/>
      <c r="AT336" s="2"/>
      <c r="AU336" s="2"/>
      <c r="AV336" s="2"/>
      <c r="AW336" s="2"/>
      <c r="AX336" s="2"/>
      <c r="AY336" s="2"/>
      <c r="AZ336" s="2"/>
      <c r="BA336" s="2"/>
      <c r="BB336" s="2"/>
    </row>
    <row r="337">
      <c r="A337" s="2">
        <f>IFERROR(__xludf.DUMMYFUNCTION("""COMPUTED_VALUE"""),333.0)</f>
        <v>333</v>
      </c>
      <c r="B337" s="2" t="str">
        <f>IFERROR(__xludf.DUMMYFUNCTION("""COMPUTED_VALUE"""),"COMPLETED")</f>
        <v>COMPLETED</v>
      </c>
      <c r="C337" s="74">
        <f>IFERROR(__xludf.DUMMYFUNCTION("""COMPUTED_VALUE"""),45497.0)</f>
        <v>45497</v>
      </c>
      <c r="D337" s="71" t="str">
        <f>IFERROR(__xludf.DUMMYFUNCTION("""COMPUTED_VALUE"""),"Bakara Farmers Agriculture Cooperative (BFAC)")</f>
        <v>Bakara Farmers Agriculture Cooperative (BFAC)</v>
      </c>
      <c r="E337" s="71" t="str">
        <f>IFERROR(__xludf.DUMMYFUNCTION("""COMPUTED_VALUE"""),"Toledo, Ramos, TARLAC")</f>
        <v>Toledo, Ramos, TARLAC</v>
      </c>
      <c r="F337" s="2" t="str">
        <f>IFERROR(__xludf.DUMMYFUNCTION("""COMPUTED_VALUE"""),"OLIVER R. MANDAPAT")</f>
        <v>OLIVER R. MANDAPAT</v>
      </c>
      <c r="G337" s="2">
        <f>IFERROR(__xludf.DUMMYFUNCTION("""COMPUTED_VALUE"""),9.103656889E9)</f>
        <v>9103656889</v>
      </c>
      <c r="H337" s="2">
        <f>IFERROR(__xludf.DUMMYFUNCTION("""COMPUTED_VALUE"""),193.3)</f>
        <v>193.3</v>
      </c>
      <c r="I337" s="72" t="str">
        <f>IFERROR(__xludf.DUMMYFUNCTION("""COMPUTED_VALUE"""),"PMS")</f>
        <v>PMS</v>
      </c>
      <c r="J337" s="72" t="str">
        <f>IFERROR(__xludf.DUMMYFUNCTION("""COMPUTED_VALUE"""),"PMS")</f>
        <v>PMS</v>
      </c>
      <c r="K337" s="72" t="str">
        <f>IFERROR(__xludf.DUMMYFUNCTION("""COMPUTED_VALUE"""),"DSD: HINDI KO MUNA PINAGAMIT ANG UNIT DAHIL HINDI PA NA FIRST PMS")</f>
        <v>DSD: HINDI KO MUNA PINAGAMIT ANG UNIT DAHIL HINDI PA NA FIRST PMS</v>
      </c>
      <c r="L337" s="72" t="str">
        <f>IFERROR(__xludf.DUMMYFUNCTION("""COMPUTED_VALUE"""),"JVV, CFG: Update po sa Toledo, Ramos Tarlac na pms na po nila Yung unit chineck naden po Namin Yung implements ung sa disc plow po kulang ng gear oil kabilaan, bili nalang daw po sila, sila na daw po mag dadagdag")</f>
        <v>JVV, CFG: Update po sa Toledo, Ramos Tarlac na pms na po nila Yung unit chineck naden po Namin Yung implements ung sa disc plow po kulang ng gear oil kabilaan, bili nalang daw po sila, sila na daw po mag dadagdag</v>
      </c>
      <c r="M337" s="2"/>
      <c r="N337" s="2"/>
      <c r="O337" s="2" t="str">
        <f>IFERROR(__xludf.DUMMYFUNCTION("""COMPUTED_VALUE"""),"JIE-921")</f>
        <v>JIE-921</v>
      </c>
      <c r="P337" s="2"/>
      <c r="Q337" s="2"/>
      <c r="R337" s="74">
        <f>IFERROR(__xludf.DUMMYFUNCTION("""COMPUTED_VALUE"""),45503.0)</f>
        <v>45503</v>
      </c>
      <c r="S337" s="2" t="str">
        <f>IFERROR(__xludf.DUMMYFUNCTION("""COMPUTED_VALUE"""),"JVV/CFG")</f>
        <v>JVV/CFG</v>
      </c>
      <c r="T337" s="73" t="str">
        <f>IFERROR(__xludf.DUMMYFUNCTION("""COMPUTED_VALUE""")," N/A ")</f>
        <v>N/A</v>
      </c>
      <c r="U337" s="73" t="str">
        <f>IFERROR(__xludf.DUMMYFUNCTION("""COMPUTED_VALUE""")," NO CHARGE ")</f>
        <v>NO CHARGE</v>
      </c>
      <c r="V337" s="2"/>
      <c r="W337" s="2" t="str">
        <f>IFERROR(__xludf.DUMMYFUNCTION("""COMPUTED_VALUE"""),"N/A")</f>
        <v>N/A</v>
      </c>
      <c r="X337" s="2" t="str">
        <f>IFERROR(__xludf.DUMMYFUNCTION("""COMPUTED_VALUE"""),"N/A")</f>
        <v>N/A</v>
      </c>
      <c r="Y337" s="2"/>
      <c r="Z337" s="2"/>
      <c r="AA337" s="2"/>
      <c r="AB337" s="2"/>
      <c r="AC337" s="2"/>
      <c r="AD337" s="2"/>
      <c r="AE337" s="2"/>
      <c r="AF337" s="2"/>
      <c r="AG337" s="2"/>
      <c r="AH337" s="2"/>
      <c r="AI337" s="2"/>
      <c r="AJ337" s="2" t="str">
        <f>IFERROR(__xludf.DUMMYFUNCTION("""COMPUTED_VALUE"""),"Toledo")</f>
        <v>Toledo</v>
      </c>
      <c r="AK337" s="2" t="str">
        <f>IFERROR(__xludf.DUMMYFUNCTION("""COMPUTED_VALUE"""),"Ramos")</f>
        <v>Ramos</v>
      </c>
      <c r="AL337" s="2" t="str">
        <f>IFERROR(__xludf.DUMMYFUNCTION("""COMPUTED_VALUE"""),"Tarlac")</f>
        <v>Tarlac</v>
      </c>
      <c r="AM337" s="2">
        <f>IFERROR(__xludf.DUMMYFUNCTION("""COMPUTED_VALUE"""),3.0)</f>
        <v>3</v>
      </c>
      <c r="AN337" s="2" t="str">
        <f>IFERROR(__xludf.DUMMYFUNCTION("""COMPUTED_VALUE"""),"RCEF 23-09-21 Rebidding")</f>
        <v>RCEF 23-09-21 Rebidding</v>
      </c>
      <c r="AO337" s="2">
        <f>IFERROR(__xludf.DUMMYFUNCTION("""COMPUTED_VALUE"""),3.0)</f>
        <v>3</v>
      </c>
      <c r="AP337" s="2"/>
      <c r="AQ337" s="2"/>
      <c r="AR337" s="2"/>
      <c r="AS337" s="2"/>
      <c r="AT337" s="2"/>
      <c r="AU337" s="2"/>
      <c r="AV337" s="2"/>
      <c r="AW337" s="2"/>
      <c r="AX337" s="2"/>
      <c r="AY337" s="2"/>
      <c r="AZ337" s="2"/>
      <c r="BA337" s="2"/>
      <c r="BB337" s="2"/>
    </row>
    <row r="338">
      <c r="A338" s="2">
        <f>IFERROR(__xludf.DUMMYFUNCTION("""COMPUTED_VALUE"""),334.0)</f>
        <v>334</v>
      </c>
      <c r="B338" s="2" t="str">
        <f>IFERROR(__xludf.DUMMYFUNCTION("""COMPUTED_VALUE"""),"COMPLETED")</f>
        <v>COMPLETED</v>
      </c>
      <c r="C338" s="74">
        <f>IFERROR(__xludf.DUMMYFUNCTION("""COMPUTED_VALUE"""),45497.0)</f>
        <v>45497</v>
      </c>
      <c r="D338" s="71" t="str">
        <f>IFERROR(__xludf.DUMMYFUNCTION("""COMPUTED_VALUE"""),"WEST DULLAO FARMERS ASSOCIATIN IN.,")</f>
        <v>WEST DULLAO FARMERS ASSOCIATIN IN.,</v>
      </c>
      <c r="E338" s="71" t="str">
        <f>IFERROR(__xludf.DUMMYFUNCTION("""COMPUTED_VALUE"""),"Dullao, Bambang, Nueva Vizcaya")</f>
        <v>Dullao, Bambang, Nueva Vizcaya</v>
      </c>
      <c r="F338" s="2" t="str">
        <f>IFERROR(__xludf.DUMMYFUNCTION("""COMPUTED_VALUE"""),"LEONARDO CABICAL")</f>
        <v>LEONARDO CABICAL</v>
      </c>
      <c r="G338" s="2">
        <f>IFERROR(__xludf.DUMMYFUNCTION("""COMPUTED_VALUE"""),9.453782386E9)</f>
        <v>9453782386</v>
      </c>
      <c r="H338" s="2">
        <f>IFERROR(__xludf.DUMMYFUNCTION("""COMPUTED_VALUE"""),50.0)</f>
        <v>50</v>
      </c>
      <c r="I338" s="72" t="str">
        <f>IFERROR(__xludf.DUMMYFUNCTION("""COMPUTED_VALUE"""),"PMS")</f>
        <v>PMS</v>
      </c>
      <c r="J338" s="72" t="str">
        <f>IFERROR(__xludf.DUMMYFUNCTION("""COMPUTED_VALUE"""),"PMS")</f>
        <v>PMS</v>
      </c>
      <c r="K338" s="72" t="str">
        <f>IFERROR(__xludf.DUMMYFUNCTION("""COMPUTED_VALUE"""),"RBS: FIRST PMS
CFG: 7/29/24:SELF PMS")</f>
        <v>RBS: FIRST PMS
CFG: 7/29/24:SELF PMS</v>
      </c>
      <c r="L338" s="72" t="str">
        <f>IFERROR(__xludf.DUMMYFUNCTION("""COMPUTED_VALUE"""),"SEND AGREEMENT")</f>
        <v>SEND AGREEMENT</v>
      </c>
      <c r="M338" s="2"/>
      <c r="N338" s="2"/>
      <c r="O338" s="2" t="str">
        <f>IFERROR(__xludf.DUMMYFUNCTION("""COMPUTED_VALUE"""),"N/A")</f>
        <v>N/A</v>
      </c>
      <c r="P338" s="2"/>
      <c r="Q338" s="2"/>
      <c r="R338" s="74">
        <f>IFERROR(__xludf.DUMMYFUNCTION("""COMPUTED_VALUE"""),45497.0)</f>
        <v>45497</v>
      </c>
      <c r="S338" s="2" t="str">
        <f>IFERROR(__xludf.DUMMYFUNCTION("""COMPUTED_VALUE"""),"MYKEE")</f>
        <v>MYKEE</v>
      </c>
      <c r="T338" s="73" t="str">
        <f>IFERROR(__xludf.DUMMYFUNCTION("""COMPUTED_VALUE""")," N/A ")</f>
        <v>N/A</v>
      </c>
      <c r="U338" s="73" t="str">
        <f>IFERROR(__xludf.DUMMYFUNCTION("""COMPUTED_VALUE""")," NO CHARGE ")</f>
        <v>NO CHARGE</v>
      </c>
      <c r="V338" s="2"/>
      <c r="W338" s="2" t="str">
        <f>IFERROR(__xludf.DUMMYFUNCTION("""COMPUTED_VALUE"""),"N/A")</f>
        <v>N/A</v>
      </c>
      <c r="X338" s="2" t="str">
        <f>IFERROR(__xludf.DUMMYFUNCTION("""COMPUTED_VALUE"""),"N/A")</f>
        <v>N/A</v>
      </c>
      <c r="Y338" s="2"/>
      <c r="Z338" s="2"/>
      <c r="AA338" s="2"/>
      <c r="AB338" s="2"/>
      <c r="AC338" s="2"/>
      <c r="AD338" s="2"/>
      <c r="AE338" s="2"/>
      <c r="AF338" s="2"/>
      <c r="AG338" s="2"/>
      <c r="AH338" s="2"/>
      <c r="AI338" s="2"/>
      <c r="AJ338" s="2" t="str">
        <f>IFERROR(__xludf.DUMMYFUNCTION("""COMPUTED_VALUE"""),"Dullao")</f>
        <v>Dullao</v>
      </c>
      <c r="AK338" s="2" t="str">
        <f>IFERROR(__xludf.DUMMYFUNCTION("""COMPUTED_VALUE"""),"Bambang")</f>
        <v>Bambang</v>
      </c>
      <c r="AL338" s="2" t="str">
        <f>IFERROR(__xludf.DUMMYFUNCTION("""COMPUTED_VALUE"""),"Nueva Vizcaya")</f>
        <v>Nueva Vizcaya</v>
      </c>
      <c r="AM338" s="2">
        <f>IFERROR(__xludf.DUMMYFUNCTION("""COMPUTED_VALUE"""),2.0)</f>
        <v>2</v>
      </c>
      <c r="AN338" s="2" t="str">
        <f>IFERROR(__xludf.DUMMYFUNCTION("""COMPUTED_VALUE"""),"RCEF 23-09-21 Rebidding")</f>
        <v>RCEF 23-09-21 Rebidding</v>
      </c>
      <c r="AO338" s="2">
        <f>IFERROR(__xludf.DUMMYFUNCTION("""COMPUTED_VALUE"""),9.0)</f>
        <v>9</v>
      </c>
      <c r="AP338" s="2"/>
      <c r="AQ338" s="2"/>
      <c r="AR338" s="2"/>
      <c r="AS338" s="2"/>
      <c r="AT338" s="2"/>
      <c r="AU338" s="2"/>
      <c r="AV338" s="2"/>
      <c r="AW338" s="2"/>
      <c r="AX338" s="2"/>
      <c r="AY338" s="2"/>
      <c r="AZ338" s="2"/>
      <c r="BA338" s="2"/>
      <c r="BB338" s="2"/>
    </row>
    <row r="339">
      <c r="A339" s="2">
        <f>IFERROR(__xludf.DUMMYFUNCTION("""COMPUTED_VALUE"""),335.0)</f>
        <v>335</v>
      </c>
      <c r="B339" s="2" t="str">
        <f>IFERROR(__xludf.DUMMYFUNCTION("""COMPUTED_VALUE"""),"COMPLETED")</f>
        <v>COMPLETED</v>
      </c>
      <c r="C339" s="74">
        <f>IFERROR(__xludf.DUMMYFUNCTION("""COMPUTED_VALUE"""),45497.0)</f>
        <v>45497</v>
      </c>
      <c r="D339" s="71" t="str">
        <f>IFERROR(__xludf.DUMMYFUNCTION("""COMPUTED_VALUE"""),"MANNALON NGA NAURNOS TI PURA FARMERS ASSOCIATION Inc.")</f>
        <v>MANNALON NGA NAURNOS TI PURA FARMERS ASSOCIATION Inc.</v>
      </c>
      <c r="E339" s="71" t="str">
        <f>IFERROR(__xludf.DUMMYFUNCTION("""COMPUTED_VALUE"""),"Estipona, Pura, TARLAC")</f>
        <v>Estipona, Pura, TARLAC</v>
      </c>
      <c r="F339" s="2" t="str">
        <f>IFERROR(__xludf.DUMMYFUNCTION("""COMPUTED_VALUE"""),"CEFERINA PASCUA")</f>
        <v>CEFERINA PASCUA</v>
      </c>
      <c r="G339" s="2">
        <f>IFERROR(__xludf.DUMMYFUNCTION("""COMPUTED_VALUE"""),9.973003011E9)</f>
        <v>9973003011</v>
      </c>
      <c r="H339" s="2">
        <f>IFERROR(__xludf.DUMMYFUNCTION("""COMPUTED_VALUE"""),230.0)</f>
        <v>230</v>
      </c>
      <c r="I339" s="72" t="str">
        <f>IFERROR(__xludf.DUMMYFUNCTION("""COMPUTED_VALUE"""),"REPAIR - TRACTOR")</f>
        <v>REPAIR - TRACTOR</v>
      </c>
      <c r="J339" s="72" t="str">
        <f>IFERROR(__xludf.DUMMYFUNCTION("""COMPUTED_VALUE"""),"Transmission - Clutch")</f>
        <v>Transmission - Clutch</v>
      </c>
      <c r="K339" s="72" t="str">
        <f>IFERROR(__xludf.DUMMYFUNCTION("""COMPUTED_VALUE"""),"KFS: CLUTCH LINING PROBLEM
PARTS: CLUCTH DISC ASSY
EGT: HINDI SUMANGAYON ANG MGA FARMER SA PRESYO NG CLUTCH LINING.")</f>
        <v>KFS: CLUTCH LINING PROBLEM
PARTS: CLUCTH DISC ASSY
EGT: HINDI SUMANGAYON ANG MGA FARMER SA PRESYO NG CLUTCH LINING.</v>
      </c>
      <c r="L339" s="72" t="str">
        <f>IFERROR(__xludf.DUMMYFUNCTION("""COMPUTED_VALUE"""),"CANCELLED")</f>
        <v>CANCELLED</v>
      </c>
      <c r="M339" s="2"/>
      <c r="N339" s="2"/>
      <c r="O339" s="2" t="str">
        <f>IFERROR(__xludf.DUMMYFUNCTION("""COMPUTED_VALUE"""),"CANCELLED")</f>
        <v>CANCELLED</v>
      </c>
      <c r="P339" s="2"/>
      <c r="Q339" s="2"/>
      <c r="R339" s="74">
        <f>IFERROR(__xludf.DUMMYFUNCTION("""COMPUTED_VALUE"""),45523.0)</f>
        <v>45523</v>
      </c>
      <c r="S339" s="2" t="str">
        <f>IFERROR(__xludf.DUMMYFUNCTION("""COMPUTED_VALUE"""),"EGT")</f>
        <v>EGT</v>
      </c>
      <c r="T339" s="73" t="str">
        <f>IFERROR(__xludf.DUMMYFUNCTION("""COMPUTED_VALUE""")," N/A ")</f>
        <v>N/A</v>
      </c>
      <c r="U339" s="73" t="str">
        <f>IFERROR(__xludf.DUMMYFUNCTION("""COMPUTED_VALUE""")," NO CHARGE ")</f>
        <v>NO CHARGE</v>
      </c>
      <c r="V339" s="2"/>
      <c r="W339" s="2" t="str">
        <f>IFERROR(__xludf.DUMMYFUNCTION("""COMPUTED_VALUE"""),"N/A")</f>
        <v>N/A</v>
      </c>
      <c r="X339" s="2" t="str">
        <f>IFERROR(__xludf.DUMMYFUNCTION("""COMPUTED_VALUE"""),"N/A")</f>
        <v>N/A</v>
      </c>
      <c r="Y339" s="2" t="str">
        <f>IFERROR(__xludf.DUMMYFUNCTION("""COMPUTED_VALUE"""),"CANCELLED REPORT")</f>
        <v>CANCELLED REPORT</v>
      </c>
      <c r="Z339" s="2"/>
      <c r="AA339" s="2"/>
      <c r="AB339" s="2"/>
      <c r="AC339" s="2" t="str">
        <f>IFERROR(__xludf.DUMMYFUNCTION("""COMPUTED_VALUE"""),"N")</f>
        <v>N</v>
      </c>
      <c r="AD339" s="2"/>
      <c r="AE339" s="2"/>
      <c r="AF339" s="2"/>
      <c r="AG339" s="2"/>
      <c r="AH339" s="2"/>
      <c r="AI339" s="2"/>
      <c r="AJ339" s="2" t="str">
        <f>IFERROR(__xludf.DUMMYFUNCTION("""COMPUTED_VALUE"""),"Estipona")</f>
        <v>Estipona</v>
      </c>
      <c r="AK339" s="2" t="str">
        <f>IFERROR(__xludf.DUMMYFUNCTION("""COMPUTED_VALUE"""),"Pura")</f>
        <v>Pura</v>
      </c>
      <c r="AL339" s="2" t="str">
        <f>IFERROR(__xludf.DUMMYFUNCTION("""COMPUTED_VALUE"""),"Tarlac")</f>
        <v>Tarlac</v>
      </c>
      <c r="AM339" s="2">
        <f>IFERROR(__xludf.DUMMYFUNCTION("""COMPUTED_VALUE"""),3.0)</f>
        <v>3</v>
      </c>
      <c r="AN339" s="2" t="str">
        <f>IFERROR(__xludf.DUMMYFUNCTION("""COMPUTED_VALUE"""),"RCEF 23-09-21 Rebidding")</f>
        <v>RCEF 23-09-21 Rebidding</v>
      </c>
      <c r="AO339" s="2">
        <f>IFERROR(__xludf.DUMMYFUNCTION("""COMPUTED_VALUE"""),3.0)</f>
        <v>3</v>
      </c>
      <c r="AP339" s="2"/>
      <c r="AQ339" s="2"/>
      <c r="AR339" s="2"/>
      <c r="AS339" s="2"/>
      <c r="AT339" s="2"/>
      <c r="AU339" s="2"/>
      <c r="AV339" s="2"/>
      <c r="AW339" s="2"/>
      <c r="AX339" s="2"/>
      <c r="AY339" s="2"/>
      <c r="AZ339" s="2"/>
      <c r="BA339" s="2"/>
      <c r="BB339" s="2"/>
    </row>
    <row r="340">
      <c r="A340" s="2">
        <f>IFERROR(__xludf.DUMMYFUNCTION("""COMPUTED_VALUE"""),336.0)</f>
        <v>336</v>
      </c>
      <c r="B340" s="2" t="str">
        <f>IFERROR(__xludf.DUMMYFUNCTION("""COMPUTED_VALUE"""),"COMPLETED")</f>
        <v>COMPLETED</v>
      </c>
      <c r="C340" s="74">
        <f>IFERROR(__xludf.DUMMYFUNCTION("""COMPUTED_VALUE"""),45497.0)</f>
        <v>45497</v>
      </c>
      <c r="D340" s="71" t="str">
        <f>IFERROR(__xludf.DUMMYFUNCTION("""COMPUTED_VALUE"""),"BARAGAY SAN MIGUEL FARMERS ASSOCIATION")</f>
        <v>BARAGAY SAN MIGUEL FARMERS ASSOCIATION</v>
      </c>
      <c r="E340" s="71" t="str">
        <f>IFERROR(__xludf.DUMMYFUNCTION("""COMPUTED_VALUE"""),"San Miguel, Guimba, NUEVA ECIJA")</f>
        <v>San Miguel, Guimba, NUEVA ECIJA</v>
      </c>
      <c r="F340" s="2" t="str">
        <f>IFERROR(__xludf.DUMMYFUNCTION("""COMPUTED_VALUE"""),"TERERITO G. AGUINALDO")</f>
        <v>TERERITO G. AGUINALDO</v>
      </c>
      <c r="G340" s="2">
        <f>IFERROR(__xludf.DUMMYFUNCTION("""COMPUTED_VALUE"""),9.18918675E9)</f>
        <v>9189186750</v>
      </c>
      <c r="H340" s="2">
        <f>IFERROR(__xludf.DUMMYFUNCTION("""COMPUTED_VALUE"""),128.1)</f>
        <v>128.1</v>
      </c>
      <c r="I340" s="72" t="str">
        <f>IFERROR(__xludf.DUMMYFUNCTION("""COMPUTED_VALUE"""),"REPAIR - ROTAVATOR")</f>
        <v>REPAIR - ROTAVATOR</v>
      </c>
      <c r="J340" s="72" t="str">
        <f>IFERROR(__xludf.DUMMYFUNCTION("""COMPUTED_VALUE"""),"Training")</f>
        <v>Training</v>
      </c>
      <c r="K340" s="72" t="str">
        <f>IFERROR(__xludf.DUMMYFUNCTION("""COMPUTED_VALUE"""),"ACS; LAGI NABABARAHAN ANG ROTAVATOR")</f>
        <v>ACS; LAGI NABABARAHAN ANG ROTAVATOR</v>
      </c>
      <c r="L340" s="72" t="str">
        <f>IFERROR(__xludf.DUMMYFUNCTION("""COMPUTED_VALUE"""),"ACS; CHECK UP TRACTOR AND IMPLEMENTS AT NAGBAWAS PO KAMI NG ROTABATOR BLADE")</f>
        <v>ACS; CHECK UP TRACTOR AND IMPLEMENTS AT NAGBAWAS PO KAMI NG ROTABATOR BLADE</v>
      </c>
      <c r="M340" s="2"/>
      <c r="N340" s="2"/>
      <c r="O340" s="2" t="str">
        <f>IFERROR(__xludf.DUMMYFUNCTION("""COMPUTED_VALUE"""),"JIE-913")</f>
        <v>JIE-913</v>
      </c>
      <c r="P340" s="2"/>
      <c r="Q340" s="2"/>
      <c r="R340" s="74">
        <f>IFERROR(__xludf.DUMMYFUNCTION("""COMPUTED_VALUE"""),45497.0)</f>
        <v>45497</v>
      </c>
      <c r="S340" s="2" t="str">
        <f>IFERROR(__xludf.DUMMYFUNCTION("""COMPUTED_VALUE"""),"ACS/JHP")</f>
        <v>ACS/JHP</v>
      </c>
      <c r="T340" s="73" t="str">
        <f>IFERROR(__xludf.DUMMYFUNCTION("""COMPUTED_VALUE""")," N/A ")</f>
        <v>N/A</v>
      </c>
      <c r="U340" s="73" t="str">
        <f>IFERROR(__xludf.DUMMYFUNCTION("""COMPUTED_VALUE""")," NO CHARGE ")</f>
        <v>NO CHARGE</v>
      </c>
      <c r="V340" s="2"/>
      <c r="W340" s="2" t="str">
        <f>IFERROR(__xludf.DUMMYFUNCTION("""COMPUTED_VALUE"""),"N/A")</f>
        <v>N/A</v>
      </c>
      <c r="X340" s="2" t="str">
        <f>IFERROR(__xludf.DUMMYFUNCTION("""COMPUTED_VALUE"""),"N/A")</f>
        <v>N/A</v>
      </c>
      <c r="Y340" s="2"/>
      <c r="Z340" s="2"/>
      <c r="AA340" s="2"/>
      <c r="AB340" s="2"/>
      <c r="AC340" s="2"/>
      <c r="AD340" s="2"/>
      <c r="AE340" s="2"/>
      <c r="AF340" s="2"/>
      <c r="AG340" s="2"/>
      <c r="AH340" s="2"/>
      <c r="AI340" s="2"/>
      <c r="AJ340" s="2" t="str">
        <f>IFERROR(__xludf.DUMMYFUNCTION("""COMPUTED_VALUE"""),"San Miguel")</f>
        <v>San Miguel</v>
      </c>
      <c r="AK340" s="2" t="str">
        <f>IFERROR(__xludf.DUMMYFUNCTION("""COMPUTED_VALUE"""),"Guimba")</f>
        <v>Guimba</v>
      </c>
      <c r="AL340" s="2" t="str">
        <f>IFERROR(__xludf.DUMMYFUNCTION("""COMPUTED_VALUE"""),"Nueva Ecija")</f>
        <v>Nueva Ecija</v>
      </c>
      <c r="AM340" s="2">
        <f>IFERROR(__xludf.DUMMYFUNCTION("""COMPUTED_VALUE"""),3.0)</f>
        <v>3</v>
      </c>
      <c r="AN340" s="2" t="str">
        <f>IFERROR(__xludf.DUMMYFUNCTION("""COMPUTED_VALUE"""),"RCEF 23-09-21 Rebidding")</f>
        <v>RCEF 23-09-21 Rebidding</v>
      </c>
      <c r="AO340" s="2">
        <f>IFERROR(__xludf.DUMMYFUNCTION("""COMPUTED_VALUE"""),3.0)</f>
        <v>3</v>
      </c>
      <c r="AP340" s="2"/>
      <c r="AQ340" s="2"/>
      <c r="AR340" s="2"/>
      <c r="AS340" s="2"/>
      <c r="AT340" s="2"/>
      <c r="AU340" s="2"/>
      <c r="AV340" s="2"/>
      <c r="AW340" s="2"/>
      <c r="AX340" s="2"/>
      <c r="AY340" s="2"/>
      <c r="AZ340" s="2"/>
      <c r="BA340" s="2"/>
      <c r="BB340" s="2"/>
    </row>
    <row r="341">
      <c r="A341" s="2">
        <f>IFERROR(__xludf.DUMMYFUNCTION("""COMPUTED_VALUE"""),337.0)</f>
        <v>337</v>
      </c>
      <c r="B341" s="2" t="str">
        <f>IFERROR(__xludf.DUMMYFUNCTION("""COMPUTED_VALUE"""),"COMPLETED")</f>
        <v>COMPLETED</v>
      </c>
      <c r="C341" s="74">
        <f>IFERROR(__xludf.DUMMYFUNCTION("""COMPUTED_VALUE"""),45498.0)</f>
        <v>45498</v>
      </c>
      <c r="D341" s="71" t="str">
        <f>IFERROR(__xludf.DUMMYFUNCTION("""COMPUTED_VALUE"""),"BARAGAY SAN MIGUEL FARMERS ASSOCIATION")</f>
        <v>BARAGAY SAN MIGUEL FARMERS ASSOCIATION</v>
      </c>
      <c r="E341" s="71" t="str">
        <f>IFERROR(__xludf.DUMMYFUNCTION("""COMPUTED_VALUE"""),"San Miguel, Guimba, NUEVA ECIJA")</f>
        <v>San Miguel, Guimba, NUEVA ECIJA</v>
      </c>
      <c r="F341" s="2" t="str">
        <f>IFERROR(__xludf.DUMMYFUNCTION("""COMPUTED_VALUE"""),"TERERITO G. AGUINALDO")</f>
        <v>TERERITO G. AGUINALDO</v>
      </c>
      <c r="G341" s="2">
        <f>IFERROR(__xludf.DUMMYFUNCTION("""COMPUTED_VALUE"""),9.18918675E9)</f>
        <v>9189186750</v>
      </c>
      <c r="H341" s="2">
        <f>IFERROR(__xludf.DUMMYFUNCTION("""COMPUTED_VALUE"""),128.1)</f>
        <v>128.1</v>
      </c>
      <c r="I341" s="72" t="str">
        <f>IFERROR(__xludf.DUMMYFUNCTION("""COMPUTED_VALUE"""),"REPAIR - ROTAVATOR")</f>
        <v>REPAIR - ROTAVATOR</v>
      </c>
      <c r="J341" s="72" t="str">
        <f>IFERROR(__xludf.DUMMYFUNCTION("""COMPUTED_VALUE"""),"Gearbox")</f>
        <v>Gearbox</v>
      </c>
      <c r="K341" s="72" t="str">
        <f>IFERROR(__xludf.DUMMYFUNCTION("""COMPUTED_VALUE"""),"ACS: NABALI PO YONG BOLT AT NATUNAW NAPO YUNG ISTAPER NG GEAR")</f>
        <v>ACS: NABALI PO YONG BOLT AT NATUNAW NAPO YUNG ISTAPER NG GEAR</v>
      </c>
      <c r="L341" s="72" t="str">
        <f>IFERROR(__xludf.DUMMYFUNCTION("""COMPUTED_VALUE"""),"ACS: NAGPALIT PO KAMI NG BOLT AT ISTAPER NG GEAR (UNDER WARRANTY AS PER KFS)")</f>
        <v>ACS: NAGPALIT PO KAMI NG BOLT AT ISTAPER NG GEAR (UNDER WARRANTY AS PER KFS)</v>
      </c>
      <c r="M341" s="2"/>
      <c r="N341" s="2" t="str">
        <f>IFERROR(__xludf.DUMMYFUNCTION("""COMPUTED_VALUE"""),"PART USED:
1 BOLT
1 ISTAPER")</f>
        <v>PART USED:
1 BOLT
1 ISTAPER</v>
      </c>
      <c r="O341" s="2" t="str">
        <f>IFERROR(__xludf.DUMMYFUNCTION("""COMPUTED_VALUE"""),"JIE-915")</f>
        <v>JIE-915</v>
      </c>
      <c r="P341" s="2"/>
      <c r="Q341" s="2"/>
      <c r="R341" s="74">
        <f>IFERROR(__xludf.DUMMYFUNCTION("""COMPUTED_VALUE"""),45498.0)</f>
        <v>45498</v>
      </c>
      <c r="S341" s="2" t="str">
        <f>IFERROR(__xludf.DUMMYFUNCTION("""COMPUTED_VALUE"""),"ACS/JHP")</f>
        <v>ACS/JHP</v>
      </c>
      <c r="T341" s="73" t="str">
        <f>IFERROR(__xludf.DUMMYFUNCTION("""COMPUTED_VALUE""")," N/A ")</f>
        <v>N/A</v>
      </c>
      <c r="U341" s="73" t="str">
        <f>IFERROR(__xludf.DUMMYFUNCTION("""COMPUTED_VALUE""")," NO CHARGE ")</f>
        <v>NO CHARGE</v>
      </c>
      <c r="V341" s="2"/>
      <c r="W341" s="2" t="str">
        <f>IFERROR(__xludf.DUMMYFUNCTION("""COMPUTED_VALUE"""),"N/A")</f>
        <v>N/A</v>
      </c>
      <c r="X341" s="2" t="str">
        <f>IFERROR(__xludf.DUMMYFUNCTION("""COMPUTED_VALUE"""),"N/A")</f>
        <v>N/A</v>
      </c>
      <c r="Y341" s="2"/>
      <c r="Z341" s="2"/>
      <c r="AA341" s="2"/>
      <c r="AB341" s="2"/>
      <c r="AC341" s="2" t="str">
        <f>IFERROR(__xludf.DUMMYFUNCTION("""COMPUTED_VALUE"""),"Y")</f>
        <v>Y</v>
      </c>
      <c r="AD341" s="2"/>
      <c r="AE341" s="2"/>
      <c r="AF341" s="2"/>
      <c r="AG341" s="2"/>
      <c r="AH341" s="2"/>
      <c r="AI341" s="2"/>
      <c r="AJ341" s="2" t="str">
        <f>IFERROR(__xludf.DUMMYFUNCTION("""COMPUTED_VALUE"""),"San Miguel")</f>
        <v>San Miguel</v>
      </c>
      <c r="AK341" s="2" t="str">
        <f>IFERROR(__xludf.DUMMYFUNCTION("""COMPUTED_VALUE"""),"Guimba")</f>
        <v>Guimba</v>
      </c>
      <c r="AL341" s="2" t="str">
        <f>IFERROR(__xludf.DUMMYFUNCTION("""COMPUTED_VALUE"""),"Nueva Ecija")</f>
        <v>Nueva Ecija</v>
      </c>
      <c r="AM341" s="2">
        <f>IFERROR(__xludf.DUMMYFUNCTION("""COMPUTED_VALUE"""),3.0)</f>
        <v>3</v>
      </c>
      <c r="AN341" s="2" t="str">
        <f>IFERROR(__xludf.DUMMYFUNCTION("""COMPUTED_VALUE"""),"RCEF 23-09-21 Rebidding")</f>
        <v>RCEF 23-09-21 Rebidding</v>
      </c>
      <c r="AO341" s="2">
        <f>IFERROR(__xludf.DUMMYFUNCTION("""COMPUTED_VALUE"""),3.0)</f>
        <v>3</v>
      </c>
      <c r="AP341" s="2"/>
      <c r="AQ341" s="2"/>
      <c r="AR341" s="2"/>
      <c r="AS341" s="2"/>
      <c r="AT341" s="2"/>
      <c r="AU341" s="2"/>
      <c r="AV341" s="2"/>
      <c r="AW341" s="2"/>
      <c r="AX341" s="2"/>
      <c r="AY341" s="2"/>
      <c r="AZ341" s="2"/>
      <c r="BA341" s="2"/>
      <c r="BB341" s="2"/>
    </row>
    <row r="342">
      <c r="A342" s="2">
        <f>IFERROR(__xludf.DUMMYFUNCTION("""COMPUTED_VALUE"""),338.0)</f>
        <v>338</v>
      </c>
      <c r="B342" s="2" t="str">
        <f>IFERROR(__xludf.DUMMYFUNCTION("""COMPUTED_VALUE"""),"COMPLETED")</f>
        <v>COMPLETED</v>
      </c>
      <c r="C342" s="74">
        <f>IFERROR(__xludf.DUMMYFUNCTION("""COMPUTED_VALUE"""),45498.0)</f>
        <v>45498</v>
      </c>
      <c r="D342" s="71" t="str">
        <f>IFERROR(__xludf.DUMMYFUNCTION("""COMPUTED_VALUE"""),"Samput Farmers Association Inc.")</f>
        <v>Samput Farmers Association Inc.</v>
      </c>
      <c r="E342" s="71" t="str">
        <f>IFERROR(__xludf.DUMMYFUNCTION("""COMPUTED_VALUE"""),"Samput, Paniqui, TARLAC")</f>
        <v>Samput, Paniqui, TARLAC</v>
      </c>
      <c r="F342" s="2" t="str">
        <f>IFERROR(__xludf.DUMMYFUNCTION("""COMPUTED_VALUE"""),"HEROLIMO S. VERGARA")</f>
        <v>HEROLIMO S. VERGARA</v>
      </c>
      <c r="G342" s="2">
        <f>IFERROR(__xludf.DUMMYFUNCTION("""COMPUTED_VALUE"""),9.095098491E9)</f>
        <v>9095098491</v>
      </c>
      <c r="H342" s="2">
        <f>IFERROR(__xludf.DUMMYFUNCTION("""COMPUTED_VALUE"""),210.3)</f>
        <v>210.3</v>
      </c>
      <c r="I342" s="72" t="str">
        <f>IFERROR(__xludf.DUMMYFUNCTION("""COMPUTED_VALUE"""),"REPAIR - TRACTOR")</f>
        <v>REPAIR - TRACTOR</v>
      </c>
      <c r="J342" s="72" t="str">
        <f>IFERROR(__xludf.DUMMYFUNCTION("""COMPUTED_VALUE"""),"CHECK UP")</f>
        <v>CHECK UP</v>
      </c>
      <c r="K342" s="72" t="str">
        <f>IFERROR(__xludf.DUMMYFUNCTION("""COMPUTED_VALUE"""),"CHECK UP OF UNIT")</f>
        <v>CHECK UP OF UNIT</v>
      </c>
      <c r="L342" s="72" t="str">
        <f>IFERROR(__xludf.DUMMYFUNCTION("""COMPUTED_VALUE"""),"CHECK UP UNIT AND IMPLEMENTS")</f>
        <v>CHECK UP UNIT AND IMPLEMENTS</v>
      </c>
      <c r="M342" s="2"/>
      <c r="N342" s="2"/>
      <c r="O342" s="2" t="str">
        <f>IFERROR(__xludf.DUMMYFUNCTION("""COMPUTED_VALUE"""),"N/A")</f>
        <v>N/A</v>
      </c>
      <c r="P342" s="2"/>
      <c r="Q342" s="2"/>
      <c r="R342" s="74">
        <f>IFERROR(__xludf.DUMMYFUNCTION("""COMPUTED_VALUE"""),45498.0)</f>
        <v>45498</v>
      </c>
      <c r="S342" s="2" t="str">
        <f>IFERROR(__xludf.DUMMYFUNCTION("""COMPUTED_VALUE"""),"DSD")</f>
        <v>DSD</v>
      </c>
      <c r="T342" s="73" t="str">
        <f>IFERROR(__xludf.DUMMYFUNCTION("""COMPUTED_VALUE""")," N/A ")</f>
        <v>N/A</v>
      </c>
      <c r="U342" s="73" t="str">
        <f>IFERROR(__xludf.DUMMYFUNCTION("""COMPUTED_VALUE""")," NO CHARGE ")</f>
        <v>NO CHARGE</v>
      </c>
      <c r="V342" s="2"/>
      <c r="W342" s="2" t="str">
        <f>IFERROR(__xludf.DUMMYFUNCTION("""COMPUTED_VALUE"""),"N/A")</f>
        <v>N/A</v>
      </c>
      <c r="X342" s="2" t="str">
        <f>IFERROR(__xludf.DUMMYFUNCTION("""COMPUTED_VALUE"""),"N/A")</f>
        <v>N/A</v>
      </c>
      <c r="Y342" s="2"/>
      <c r="Z342" s="2"/>
      <c r="AA342" s="2"/>
      <c r="AB342" s="2"/>
      <c r="AC342" s="2"/>
      <c r="AD342" s="2"/>
      <c r="AE342" s="2"/>
      <c r="AF342" s="2"/>
      <c r="AG342" s="2"/>
      <c r="AH342" s="2"/>
      <c r="AI342" s="2"/>
      <c r="AJ342" s="2" t="str">
        <f>IFERROR(__xludf.DUMMYFUNCTION("""COMPUTED_VALUE"""),"Samput")</f>
        <v>Samput</v>
      </c>
      <c r="AK342" s="2" t="str">
        <f>IFERROR(__xludf.DUMMYFUNCTION("""COMPUTED_VALUE"""),"Paniqui")</f>
        <v>Paniqui</v>
      </c>
      <c r="AL342" s="2" t="str">
        <f>IFERROR(__xludf.DUMMYFUNCTION("""COMPUTED_VALUE"""),"Tarlac")</f>
        <v>Tarlac</v>
      </c>
      <c r="AM342" s="2">
        <f>IFERROR(__xludf.DUMMYFUNCTION("""COMPUTED_VALUE"""),3.0)</f>
        <v>3</v>
      </c>
      <c r="AN342" s="2" t="str">
        <f>IFERROR(__xludf.DUMMYFUNCTION("""COMPUTED_VALUE"""),"RCEF 23-09-21 Rebidding")</f>
        <v>RCEF 23-09-21 Rebidding</v>
      </c>
      <c r="AO342" s="2">
        <f>IFERROR(__xludf.DUMMYFUNCTION("""COMPUTED_VALUE"""),3.0)</f>
        <v>3</v>
      </c>
      <c r="AP342" s="2"/>
      <c r="AQ342" s="2"/>
      <c r="AR342" s="2"/>
      <c r="AS342" s="2"/>
      <c r="AT342" s="2"/>
      <c r="AU342" s="2"/>
      <c r="AV342" s="2"/>
      <c r="AW342" s="2"/>
      <c r="AX342" s="2"/>
      <c r="AY342" s="2"/>
      <c r="AZ342" s="2"/>
      <c r="BA342" s="2"/>
      <c r="BB342" s="2"/>
    </row>
    <row r="343">
      <c r="A343" s="2">
        <f>IFERROR(__xludf.DUMMYFUNCTION("""COMPUTED_VALUE"""),339.0)</f>
        <v>339</v>
      </c>
      <c r="B343" s="2" t="str">
        <f>IFERROR(__xludf.DUMMYFUNCTION("""COMPUTED_VALUE"""),"COMPLETED")</f>
        <v>COMPLETED</v>
      </c>
      <c r="C343" s="74">
        <f>IFERROR(__xludf.DUMMYFUNCTION("""COMPUTED_VALUE"""),45498.0)</f>
        <v>45498</v>
      </c>
      <c r="D343" s="71" t="str">
        <f>IFERROR(__xludf.DUMMYFUNCTION("""COMPUTED_VALUE"""),"SAINT JOSEPH THE WORKER FARMERS ASSOCIATION INC.")</f>
        <v>SAINT JOSEPH THE WORKER FARMERS ASSOCIATION INC.</v>
      </c>
      <c r="E343" s="71" t="str">
        <f>IFERROR(__xludf.DUMMYFUNCTION("""COMPUTED_VALUE"""),"San Jose North, Anao, TARLAC")</f>
        <v>San Jose North, Anao, TARLAC</v>
      </c>
      <c r="F343" s="2" t="str">
        <f>IFERROR(__xludf.DUMMYFUNCTION("""COMPUTED_VALUE"""),"JESUS F. BARTOLOME JR.")</f>
        <v>JESUS F. BARTOLOME JR.</v>
      </c>
      <c r="G343" s="2">
        <f>IFERROR(__xludf.DUMMYFUNCTION("""COMPUTED_VALUE"""),9.38603195E9)</f>
        <v>9386031950</v>
      </c>
      <c r="H343" s="2">
        <f>IFERROR(__xludf.DUMMYFUNCTION("""COMPUTED_VALUE"""),237.8)</f>
        <v>237.8</v>
      </c>
      <c r="I343" s="72" t="str">
        <f>IFERROR(__xludf.DUMMYFUNCTION("""COMPUTED_VALUE"""),"REPAIR - TRACTOR")</f>
        <v>REPAIR - TRACTOR</v>
      </c>
      <c r="J343" s="72" t="str">
        <f>IFERROR(__xludf.DUMMYFUNCTION("""COMPUTED_VALUE"""),"CHECK UP")</f>
        <v>CHECK UP</v>
      </c>
      <c r="K343" s="72" t="str">
        <f>IFERROR(__xludf.DUMMYFUNCTION("""COMPUTED_VALUE"""),"CHECK UP OF UNIT")</f>
        <v>CHECK UP OF UNIT</v>
      </c>
      <c r="L343" s="72" t="str">
        <f>IFERROR(__xludf.DUMMYFUNCTION("""COMPUTED_VALUE"""),"CHECK UP UNIT AND IMPLEMENTS")</f>
        <v>CHECK UP UNIT AND IMPLEMENTS</v>
      </c>
      <c r="M343" s="2"/>
      <c r="N343" s="2"/>
      <c r="O343" s="2" t="str">
        <f>IFERROR(__xludf.DUMMYFUNCTION("""COMPUTED_VALUE"""),"N/A")</f>
        <v>N/A</v>
      </c>
      <c r="P343" s="2"/>
      <c r="Q343" s="2"/>
      <c r="R343" s="74">
        <f>IFERROR(__xludf.DUMMYFUNCTION("""COMPUTED_VALUE"""),45498.0)</f>
        <v>45498</v>
      </c>
      <c r="S343" s="2" t="str">
        <f>IFERROR(__xludf.DUMMYFUNCTION("""COMPUTED_VALUE"""),"DSD")</f>
        <v>DSD</v>
      </c>
      <c r="T343" s="73" t="str">
        <f>IFERROR(__xludf.DUMMYFUNCTION("""COMPUTED_VALUE""")," N/A ")</f>
        <v>N/A</v>
      </c>
      <c r="U343" s="73" t="str">
        <f>IFERROR(__xludf.DUMMYFUNCTION("""COMPUTED_VALUE""")," NO CHARGE ")</f>
        <v>NO CHARGE</v>
      </c>
      <c r="V343" s="2"/>
      <c r="W343" s="2" t="str">
        <f>IFERROR(__xludf.DUMMYFUNCTION("""COMPUTED_VALUE"""),"N/A")</f>
        <v>N/A</v>
      </c>
      <c r="X343" s="2" t="str">
        <f>IFERROR(__xludf.DUMMYFUNCTION("""COMPUTED_VALUE"""),"N/A")</f>
        <v>N/A</v>
      </c>
      <c r="Y343" s="2"/>
      <c r="Z343" s="2"/>
      <c r="AA343" s="2"/>
      <c r="AB343" s="2"/>
      <c r="AC343" s="2"/>
      <c r="AD343" s="2"/>
      <c r="AE343" s="2"/>
      <c r="AF343" s="2"/>
      <c r="AG343" s="2"/>
      <c r="AH343" s="2"/>
      <c r="AI343" s="2"/>
      <c r="AJ343" s="2" t="str">
        <f>IFERROR(__xludf.DUMMYFUNCTION("""COMPUTED_VALUE"""),"San Jose North")</f>
        <v>San Jose North</v>
      </c>
      <c r="AK343" s="2" t="str">
        <f>IFERROR(__xludf.DUMMYFUNCTION("""COMPUTED_VALUE"""),"Anao")</f>
        <v>Anao</v>
      </c>
      <c r="AL343" s="2" t="str">
        <f>IFERROR(__xludf.DUMMYFUNCTION("""COMPUTED_VALUE"""),"Tarlac")</f>
        <v>Tarlac</v>
      </c>
      <c r="AM343" s="2">
        <f>IFERROR(__xludf.DUMMYFUNCTION("""COMPUTED_VALUE"""),3.0)</f>
        <v>3</v>
      </c>
      <c r="AN343" s="2" t="str">
        <f>IFERROR(__xludf.DUMMYFUNCTION("""COMPUTED_VALUE"""),"RCEF 23-09-21 Rebidding")</f>
        <v>RCEF 23-09-21 Rebidding</v>
      </c>
      <c r="AO343" s="2">
        <f>IFERROR(__xludf.DUMMYFUNCTION("""COMPUTED_VALUE"""),3.0)</f>
        <v>3</v>
      </c>
      <c r="AP343" s="2"/>
      <c r="AQ343" s="2"/>
      <c r="AR343" s="2"/>
      <c r="AS343" s="2"/>
      <c r="AT343" s="2"/>
      <c r="AU343" s="2"/>
      <c r="AV343" s="2"/>
      <c r="AW343" s="2"/>
      <c r="AX343" s="2"/>
      <c r="AY343" s="2"/>
      <c r="AZ343" s="2"/>
      <c r="BA343" s="2"/>
      <c r="BB343" s="2"/>
    </row>
    <row r="344">
      <c r="A344" s="2">
        <f>IFERROR(__xludf.DUMMYFUNCTION("""COMPUTED_VALUE"""),340.0)</f>
        <v>340</v>
      </c>
      <c r="B344" s="2" t="str">
        <f>IFERROR(__xludf.DUMMYFUNCTION("""COMPUTED_VALUE"""),"COMPLETED")</f>
        <v>COMPLETED</v>
      </c>
      <c r="C344" s="74">
        <f>IFERROR(__xludf.DUMMYFUNCTION("""COMPUTED_VALUE"""),45498.0)</f>
        <v>45498</v>
      </c>
      <c r="D344" s="71" t="str">
        <f>IFERROR(__xludf.DUMMYFUNCTION("""COMPUTED_VALUE"""),"David Communal Irrigators Association Incorporated")</f>
        <v>David Communal Irrigators Association Incorporated</v>
      </c>
      <c r="E344" s="71" t="str">
        <f>IFERROR(__xludf.DUMMYFUNCTION("""COMPUTED_VALUE"""),"David, San Jose, TARLAC")</f>
        <v>David, San Jose, TARLAC</v>
      </c>
      <c r="F344" s="2" t="str">
        <f>IFERROR(__xludf.DUMMYFUNCTION("""COMPUTED_VALUE"""),"BERNABE F. MACADANGDANG JR.")</f>
        <v>BERNABE F. MACADANGDANG JR.</v>
      </c>
      <c r="G344" s="2">
        <f>IFERROR(__xludf.DUMMYFUNCTION("""COMPUTED_VALUE"""),9.647599445E9)</f>
        <v>9647599445</v>
      </c>
      <c r="H344" s="2">
        <f>IFERROR(__xludf.DUMMYFUNCTION("""COMPUTED_VALUE"""),150.3)</f>
        <v>150.3</v>
      </c>
      <c r="I344" s="72" t="str">
        <f>IFERROR(__xludf.DUMMYFUNCTION("""COMPUTED_VALUE"""),"REPAIR - TRACTOR")</f>
        <v>REPAIR - TRACTOR</v>
      </c>
      <c r="J344" s="72" t="str">
        <f>IFERROR(__xludf.DUMMYFUNCTION("""COMPUTED_VALUE"""),"CHECK UP")</f>
        <v>CHECK UP</v>
      </c>
      <c r="K344" s="72" t="str">
        <f>IFERROR(__xludf.DUMMYFUNCTION("""COMPUTED_VALUE"""),"CHECK UP OF UNIT")</f>
        <v>CHECK UP OF UNIT</v>
      </c>
      <c r="L344" s="72" t="str">
        <f>IFERROR(__xludf.DUMMYFUNCTION("""COMPUTED_VALUE"""),"CHECK UP UNIT AND IMPLEMENTS")</f>
        <v>CHECK UP UNIT AND IMPLEMENTS</v>
      </c>
      <c r="M344" s="2"/>
      <c r="N344" s="2"/>
      <c r="O344" s="2" t="str">
        <f>IFERROR(__xludf.DUMMYFUNCTION("""COMPUTED_VALUE"""),"N/A")</f>
        <v>N/A</v>
      </c>
      <c r="P344" s="2"/>
      <c r="Q344" s="2"/>
      <c r="R344" s="74">
        <f>IFERROR(__xludf.DUMMYFUNCTION("""COMPUTED_VALUE"""),45498.0)</f>
        <v>45498</v>
      </c>
      <c r="S344" s="2" t="str">
        <f>IFERROR(__xludf.DUMMYFUNCTION("""COMPUTED_VALUE"""),"DSD")</f>
        <v>DSD</v>
      </c>
      <c r="T344" s="73" t="str">
        <f>IFERROR(__xludf.DUMMYFUNCTION("""COMPUTED_VALUE""")," N/A ")</f>
        <v>N/A</v>
      </c>
      <c r="U344" s="73" t="str">
        <f>IFERROR(__xludf.DUMMYFUNCTION("""COMPUTED_VALUE""")," NO CHARGE ")</f>
        <v>NO CHARGE</v>
      </c>
      <c r="V344" s="2"/>
      <c r="W344" s="2" t="str">
        <f>IFERROR(__xludf.DUMMYFUNCTION("""COMPUTED_VALUE"""),"N/A")</f>
        <v>N/A</v>
      </c>
      <c r="X344" s="2" t="str">
        <f>IFERROR(__xludf.DUMMYFUNCTION("""COMPUTED_VALUE"""),"N/A")</f>
        <v>N/A</v>
      </c>
      <c r="Y344" s="2"/>
      <c r="Z344" s="2"/>
      <c r="AA344" s="2"/>
      <c r="AB344" s="2"/>
      <c r="AC344" s="2"/>
      <c r="AD344" s="2"/>
      <c r="AE344" s="2"/>
      <c r="AF344" s="2"/>
      <c r="AG344" s="2"/>
      <c r="AH344" s="2"/>
      <c r="AI344" s="2"/>
      <c r="AJ344" s="2" t="str">
        <f>IFERROR(__xludf.DUMMYFUNCTION("""COMPUTED_VALUE"""),"David")</f>
        <v>David</v>
      </c>
      <c r="AK344" s="2" t="str">
        <f>IFERROR(__xludf.DUMMYFUNCTION("""COMPUTED_VALUE"""),"San Jose")</f>
        <v>San Jose</v>
      </c>
      <c r="AL344" s="2" t="str">
        <f>IFERROR(__xludf.DUMMYFUNCTION("""COMPUTED_VALUE"""),"Tarlac")</f>
        <v>Tarlac</v>
      </c>
      <c r="AM344" s="2">
        <f>IFERROR(__xludf.DUMMYFUNCTION("""COMPUTED_VALUE"""),3.0)</f>
        <v>3</v>
      </c>
      <c r="AN344" s="2" t="str">
        <f>IFERROR(__xludf.DUMMYFUNCTION("""COMPUTED_VALUE"""),"RCEF 23-09-21 Rebidding")</f>
        <v>RCEF 23-09-21 Rebidding</v>
      </c>
      <c r="AO344" s="2">
        <f>IFERROR(__xludf.DUMMYFUNCTION("""COMPUTED_VALUE"""),3.0)</f>
        <v>3</v>
      </c>
      <c r="AP344" s="2"/>
      <c r="AQ344" s="2"/>
      <c r="AR344" s="2"/>
      <c r="AS344" s="2"/>
      <c r="AT344" s="2"/>
      <c r="AU344" s="2"/>
      <c r="AV344" s="2"/>
      <c r="AW344" s="2"/>
      <c r="AX344" s="2"/>
      <c r="AY344" s="2"/>
      <c r="AZ344" s="2"/>
      <c r="BA344" s="2"/>
      <c r="BB344" s="2"/>
    </row>
    <row r="345">
      <c r="A345" s="2">
        <f>IFERROR(__xludf.DUMMYFUNCTION("""COMPUTED_VALUE"""),341.0)</f>
        <v>341</v>
      </c>
      <c r="B345" s="2" t="str">
        <f>IFERROR(__xludf.DUMMYFUNCTION("""COMPUTED_VALUE"""),"COMPLETED")</f>
        <v>COMPLETED</v>
      </c>
      <c r="C345" s="74">
        <f>IFERROR(__xludf.DUMMYFUNCTION("""COMPUTED_VALUE"""),45498.0)</f>
        <v>45498</v>
      </c>
      <c r="D345" s="71" t="str">
        <f>IFERROR(__xludf.DUMMYFUNCTION("""COMPUTED_VALUE"""),"FARMERS IRRIGATORS ASSOCATION POB. 2 PURA TARLAC, INC.")</f>
        <v>FARMERS IRRIGATORS ASSOCATION POB. 2 PURA TARLAC, INC.</v>
      </c>
      <c r="E345" s="71" t="str">
        <f>IFERROR(__xludf.DUMMYFUNCTION("""COMPUTED_VALUE"""),"Poblacion 2, Pura, TARLAC")</f>
        <v>Poblacion 2, Pura, TARLAC</v>
      </c>
      <c r="F345" s="2" t="str">
        <f>IFERROR(__xludf.DUMMYFUNCTION("""COMPUTED_VALUE"""),"DIONISIO A. JAVIER")</f>
        <v>DIONISIO A. JAVIER</v>
      </c>
      <c r="G345" s="2">
        <f>IFERROR(__xludf.DUMMYFUNCTION("""COMPUTED_VALUE"""),9.318097583E9)</f>
        <v>9318097583</v>
      </c>
      <c r="H345" s="2">
        <f>IFERROR(__xludf.DUMMYFUNCTION("""COMPUTED_VALUE"""),289.5)</f>
        <v>289.5</v>
      </c>
      <c r="I345" s="72" t="str">
        <f>IFERROR(__xludf.DUMMYFUNCTION("""COMPUTED_VALUE"""),"REPAIR - TRACTOR")</f>
        <v>REPAIR - TRACTOR</v>
      </c>
      <c r="J345" s="72" t="str">
        <f>IFERROR(__xludf.DUMMYFUNCTION("""COMPUTED_VALUE"""),"CHECK UP")</f>
        <v>CHECK UP</v>
      </c>
      <c r="K345" s="72" t="str">
        <f>IFERROR(__xludf.DUMMYFUNCTION("""COMPUTED_VALUE"""),"CHECK UP OF UNIT")</f>
        <v>CHECK UP OF UNIT</v>
      </c>
      <c r="L345" s="72" t="str">
        <f>IFERROR(__xludf.DUMMYFUNCTION("""COMPUTED_VALUE"""),"CHECK UP UNIT AND IMPLEMENTS")</f>
        <v>CHECK UP UNIT AND IMPLEMENTS</v>
      </c>
      <c r="M345" s="2"/>
      <c r="N345" s="2"/>
      <c r="O345" s="2" t="str">
        <f>IFERROR(__xludf.DUMMYFUNCTION("""COMPUTED_VALUE"""),"N/A")</f>
        <v>N/A</v>
      </c>
      <c r="P345" s="2"/>
      <c r="Q345" s="2"/>
      <c r="R345" s="74">
        <f>IFERROR(__xludf.DUMMYFUNCTION("""COMPUTED_VALUE"""),45498.0)</f>
        <v>45498</v>
      </c>
      <c r="S345" s="2" t="str">
        <f>IFERROR(__xludf.DUMMYFUNCTION("""COMPUTED_VALUE"""),"DSD")</f>
        <v>DSD</v>
      </c>
      <c r="T345" s="73" t="str">
        <f>IFERROR(__xludf.DUMMYFUNCTION("""COMPUTED_VALUE""")," N/A ")</f>
        <v>N/A</v>
      </c>
      <c r="U345" s="73" t="str">
        <f>IFERROR(__xludf.DUMMYFUNCTION("""COMPUTED_VALUE""")," NO CHARGE ")</f>
        <v>NO CHARGE</v>
      </c>
      <c r="V345" s="2"/>
      <c r="W345" s="2" t="str">
        <f>IFERROR(__xludf.DUMMYFUNCTION("""COMPUTED_VALUE"""),"N/A")</f>
        <v>N/A</v>
      </c>
      <c r="X345" s="2" t="str">
        <f>IFERROR(__xludf.DUMMYFUNCTION("""COMPUTED_VALUE"""),"N/A")</f>
        <v>N/A</v>
      </c>
      <c r="Y345" s="2"/>
      <c r="Z345" s="2"/>
      <c r="AA345" s="2"/>
      <c r="AB345" s="2"/>
      <c r="AC345" s="2"/>
      <c r="AD345" s="2"/>
      <c r="AE345" s="2"/>
      <c r="AF345" s="2"/>
      <c r="AG345" s="2"/>
      <c r="AH345" s="2"/>
      <c r="AI345" s="2"/>
      <c r="AJ345" s="2" t="str">
        <f>IFERROR(__xludf.DUMMYFUNCTION("""COMPUTED_VALUE"""),"Poblacion 2")</f>
        <v>Poblacion 2</v>
      </c>
      <c r="AK345" s="2" t="str">
        <f>IFERROR(__xludf.DUMMYFUNCTION("""COMPUTED_VALUE"""),"Pura")</f>
        <v>Pura</v>
      </c>
      <c r="AL345" s="2" t="str">
        <f>IFERROR(__xludf.DUMMYFUNCTION("""COMPUTED_VALUE"""),"Tarlac")</f>
        <v>Tarlac</v>
      </c>
      <c r="AM345" s="2">
        <f>IFERROR(__xludf.DUMMYFUNCTION("""COMPUTED_VALUE"""),3.0)</f>
        <v>3</v>
      </c>
      <c r="AN345" s="2" t="str">
        <f>IFERROR(__xludf.DUMMYFUNCTION("""COMPUTED_VALUE"""),"RCEF 23-09-21 Rebidding")</f>
        <v>RCEF 23-09-21 Rebidding</v>
      </c>
      <c r="AO345" s="2">
        <f>IFERROR(__xludf.DUMMYFUNCTION("""COMPUTED_VALUE"""),3.0)</f>
        <v>3</v>
      </c>
      <c r="AP345" s="2"/>
      <c r="AQ345" s="2"/>
      <c r="AR345" s="2"/>
      <c r="AS345" s="2"/>
      <c r="AT345" s="2"/>
      <c r="AU345" s="2"/>
      <c r="AV345" s="2"/>
      <c r="AW345" s="2"/>
      <c r="AX345" s="2"/>
      <c r="AY345" s="2"/>
      <c r="AZ345" s="2"/>
      <c r="BA345" s="2"/>
      <c r="BB345" s="2"/>
    </row>
    <row r="346">
      <c r="A346" s="2">
        <f>IFERROR(__xludf.DUMMYFUNCTION("""COMPUTED_VALUE"""),342.0)</f>
        <v>342</v>
      </c>
      <c r="B346" s="2" t="str">
        <f>IFERROR(__xludf.DUMMYFUNCTION("""COMPUTED_VALUE"""),"COMPLETED")</f>
        <v>COMPLETED</v>
      </c>
      <c r="C346" s="74">
        <f>IFERROR(__xludf.DUMMYFUNCTION("""COMPUTED_VALUE"""),45498.0)</f>
        <v>45498</v>
      </c>
      <c r="D346" s="71" t="str">
        <f>IFERROR(__xludf.DUMMYFUNCTION("""COMPUTED_VALUE"""),"ORTIZ BUMA-A IRRIGATORS ASSOCIATION, INC.")</f>
        <v>ORTIZ BUMA-A IRRIGATORS ASSOCIATION, INC.</v>
      </c>
      <c r="E346" s="71" t="str">
        <f>IFERROR(__xludf.DUMMYFUNCTION("""COMPUTED_VALUE"""),"Samonte (Pob.), Quezon, ISABELA")</f>
        <v>Samonte (Pob.), Quezon, ISABELA</v>
      </c>
      <c r="F346" s="2" t="str">
        <f>IFERROR(__xludf.DUMMYFUNCTION("""COMPUTED_VALUE"""),"MR. ANDRES")</f>
        <v>MR. ANDRES</v>
      </c>
      <c r="G346" s="2">
        <f>IFERROR(__xludf.DUMMYFUNCTION("""COMPUTED_VALUE"""),9.756593894E9)</f>
        <v>9756593894</v>
      </c>
      <c r="H346" s="2">
        <f>IFERROR(__xludf.DUMMYFUNCTION("""COMPUTED_VALUE"""),98.0)</f>
        <v>98</v>
      </c>
      <c r="I346" s="72" t="str">
        <f>IFERROR(__xludf.DUMMYFUNCTION("""COMPUTED_VALUE"""),"REPAIR - ROTAVATOR")</f>
        <v>REPAIR - ROTAVATOR</v>
      </c>
      <c r="J346" s="72" t="str">
        <f>IFERROR(__xludf.DUMMYFUNCTION("""COMPUTED_VALUE"""),"Gearbox")</f>
        <v>Gearbox</v>
      </c>
      <c r="K346" s="72" t="str">
        <f>IFERROR(__xludf.DUMMYFUNCTION("""COMPUTED_VALUE"""),"CFG: PAHINTO HINTO DAW PO YUNG ROTAVATOR NG UNIT NILA: GUSTO DAW PO NILANG MAPAPUNTAHAN YUNG UNIT NILA
CFG:7/29/24: NASIRA PO YUNG LAMAN NG GEARBOX, TULAD PO NUNG SHAFTING RIGHT AT BEVEL GEAR SA KADAHILANAN PO NA KUMALAS PO YUNG LOCK NUT NYA SA MAY SHAFTI"&amp;"NG
PARTS NEEDED: 1 SHAFTING RIGHT,1 BEVEL GEAR 24T,  BEARING #32211 AND #30309 AND LOCK NUT
CFG:7/29/24: NEED TO REPLACE SHAFTING RIGHT AND BEVEL GEAR 24T ")</f>
        <v>CFG: PAHINTO HINTO DAW PO YUNG ROTAVATOR NG UNIT NILA: GUSTO DAW PO NILANG MAPAPUNTAHAN YUNG UNIT NILA
CFG:7/29/24: NASIRA PO YUNG LAMAN NG GEARBOX, TULAD PO NUNG SHAFTING RIGHT AT BEVEL GEAR SA KADAHILANAN PO NA KUMALAS PO YUNG LOCK NUT NYA SA MAY SHAFTING
PARTS NEEDED: 1 SHAFTING RIGHT,1 BEVEL GEAR 24T,  BEARING #32211 AND #30309 AND LOCK NUT
CFG:7/29/24: NEED TO REPLACE SHAFTING RIGHT AND BEVEL GEAR 24T </v>
      </c>
      <c r="L346" s="72" t="str">
        <f>IFERROR(__xludf.DUMMYFUNCTION("""COMPUTED_VALUE"""),"DSD: Okay na po Rotavator, pinalitan po namin yung shafting, bearing, oil seal, bevel gear, nut  (257.6 HRS)")</f>
        <v>DSD: Okay na po Rotavator, pinalitan po namin yung shafting, bearing, oil seal, bevel gear, nut  (257.6 HRS)</v>
      </c>
      <c r="M346" s="2"/>
      <c r="N346" s="2" t="str">
        <f>IFERROR(__xludf.DUMMYFUNCTION("""COMPUTED_VALUE"""),"
DSD: USED PARTS : 
1 DRIVE SHAFT, 
1 BEVEL GEAR 24T, 
1 BEARING #32211, 
1 LOCK NUT")</f>
        <v>
DSD: USED PARTS : 
1 DRIVE SHAFT, 
1 BEVEL GEAR 24T, 
1 BEARING #32211, 
1 LOCK NUT</v>
      </c>
      <c r="O346" s="2" t="str">
        <f>IFERROR(__xludf.DUMMYFUNCTION("""COMPUTED_VALUE"""),"JIE-933")</f>
        <v>JIE-933</v>
      </c>
      <c r="P346" s="2"/>
      <c r="Q346" s="2"/>
      <c r="R346" s="74">
        <f>IFERROR(__xludf.DUMMYFUNCTION("""COMPUTED_VALUE"""),45518.0)</f>
        <v>45518</v>
      </c>
      <c r="S346" s="2" t="str">
        <f>IFERROR(__xludf.DUMMYFUNCTION("""COMPUTED_VALUE"""),"CFG/DSD")</f>
        <v>CFG/DSD</v>
      </c>
      <c r="T346" s="73" t="str">
        <f>IFERROR(__xludf.DUMMYFUNCTION("""COMPUTED_VALUE""")," N/A ")</f>
        <v>N/A</v>
      </c>
      <c r="U346" s="73" t="str">
        <f>IFERROR(__xludf.DUMMYFUNCTION("""COMPUTED_VALUE""")," NO CHARGE ")</f>
        <v>NO CHARGE</v>
      </c>
      <c r="V346" s="2"/>
      <c r="W346" s="2" t="str">
        <f>IFERROR(__xludf.DUMMYFUNCTION("""COMPUTED_VALUE"""),"N/A")</f>
        <v>N/A</v>
      </c>
      <c r="X346" s="2" t="str">
        <f>IFERROR(__xludf.DUMMYFUNCTION("""COMPUTED_VALUE"""),"N/A")</f>
        <v>N/A</v>
      </c>
      <c r="Y346" s="2"/>
      <c r="Z346" s="2"/>
      <c r="AA346" s="2"/>
      <c r="AB346" s="2"/>
      <c r="AC346" s="2" t="str">
        <f>IFERROR(__xludf.DUMMYFUNCTION("""COMPUTED_VALUE"""),"N")</f>
        <v>N</v>
      </c>
      <c r="AD346" s="2"/>
      <c r="AE346" s="2"/>
      <c r="AF346" s="2"/>
      <c r="AG346" s="2"/>
      <c r="AH346" s="2"/>
      <c r="AI346" s="2"/>
      <c r="AJ346" s="2" t="str">
        <f>IFERROR(__xludf.DUMMYFUNCTION("""COMPUTED_VALUE"""),"Samonte (Pob.)")</f>
        <v>Samonte (Pob.)</v>
      </c>
      <c r="AK346" s="2" t="str">
        <f>IFERROR(__xludf.DUMMYFUNCTION("""COMPUTED_VALUE"""),"Quezon")</f>
        <v>Quezon</v>
      </c>
      <c r="AL346" s="2" t="str">
        <f>IFERROR(__xludf.DUMMYFUNCTION("""COMPUTED_VALUE"""),"Isabela")</f>
        <v>Isabela</v>
      </c>
      <c r="AM346" s="2">
        <f>IFERROR(__xludf.DUMMYFUNCTION("""COMPUTED_VALUE"""),2.0)</f>
        <v>2</v>
      </c>
      <c r="AN346" s="2" t="str">
        <f>IFERROR(__xludf.DUMMYFUNCTION("""COMPUTED_VALUE"""),"RCEF 23-09-21 Rebidding")</f>
        <v>RCEF 23-09-21 Rebidding</v>
      </c>
      <c r="AO346" s="2">
        <f>IFERROR(__xludf.DUMMYFUNCTION("""COMPUTED_VALUE"""),9.0)</f>
        <v>9</v>
      </c>
      <c r="AP346" s="2"/>
      <c r="AQ346" s="2"/>
      <c r="AR346" s="2"/>
      <c r="AS346" s="2"/>
      <c r="AT346" s="2"/>
      <c r="AU346" s="2"/>
      <c r="AV346" s="2"/>
      <c r="AW346" s="2"/>
      <c r="AX346" s="2"/>
      <c r="AY346" s="2"/>
      <c r="AZ346" s="2"/>
      <c r="BA346" s="2"/>
      <c r="BB346" s="2"/>
    </row>
    <row r="347">
      <c r="A347" s="2">
        <f>IFERROR(__xludf.DUMMYFUNCTION("""COMPUTED_VALUE"""),343.0)</f>
        <v>343</v>
      </c>
      <c r="B347" s="2" t="str">
        <f>IFERROR(__xludf.DUMMYFUNCTION("""COMPUTED_VALUE"""),"COMPLETED")</f>
        <v>COMPLETED</v>
      </c>
      <c r="C347" s="74">
        <f>IFERROR(__xludf.DUMMYFUNCTION("""COMPUTED_VALUE"""),45498.0)</f>
        <v>45498</v>
      </c>
      <c r="D347" s="71" t="str">
        <f>IFERROR(__xludf.DUMMYFUNCTION("""COMPUTED_VALUE"""),"BARAGAY SAN MIGUEL FARMERS ASSOCIATION")</f>
        <v>BARAGAY SAN MIGUEL FARMERS ASSOCIATION</v>
      </c>
      <c r="E347" s="71" t="str">
        <f>IFERROR(__xludf.DUMMYFUNCTION("""COMPUTED_VALUE"""),"San Miguel, Guimba, NUEVA ECIJA")</f>
        <v>San Miguel, Guimba, NUEVA ECIJA</v>
      </c>
      <c r="F347" s="2" t="str">
        <f>IFERROR(__xludf.DUMMYFUNCTION("""COMPUTED_VALUE"""),"TERERITO G. AGUINALDO")</f>
        <v>TERERITO G. AGUINALDO</v>
      </c>
      <c r="G347" s="2">
        <f>IFERROR(__xludf.DUMMYFUNCTION("""COMPUTED_VALUE"""),9.18918675E9)</f>
        <v>9189186750</v>
      </c>
      <c r="H347" s="2">
        <f>IFERROR(__xludf.DUMMYFUNCTION("""COMPUTED_VALUE"""),128.1)</f>
        <v>128.1</v>
      </c>
      <c r="I347" s="72" t="str">
        <f>IFERROR(__xludf.DUMMYFUNCTION("""COMPUTED_VALUE"""),"REPAIR - ROTAVATOR")</f>
        <v>REPAIR - ROTAVATOR</v>
      </c>
      <c r="J347" s="72" t="str">
        <f>IFERROR(__xludf.DUMMYFUNCTION("""COMPUTED_VALUE"""),"Training")</f>
        <v>Training</v>
      </c>
      <c r="K347" s="72" t="str">
        <f>IFERROR(__xludf.DUMMYFUNCTION("""COMPUTED_VALUE"""),"ACS: LAGING NABABARAHAN YUNG ROTAVATOR")</f>
        <v>ACS: LAGING NABABARAHAN YUNG ROTAVATOR</v>
      </c>
      <c r="L347" s="72" t="str">
        <f>IFERROR(__xludf.DUMMYFUNCTION("""COMPUTED_VALUE"""),"ACS: CHECK UP UNIT AND IMPLEMENTS NAG BAWAS DIN PO KAMI NG ROTAVATOR BLADE")</f>
        <v>ACS: CHECK UP UNIT AND IMPLEMENTS NAG BAWAS DIN PO KAMI NG ROTAVATOR BLADE</v>
      </c>
      <c r="M347" s="2"/>
      <c r="N347" s="2"/>
      <c r="O347" s="2" t="str">
        <f>IFERROR(__xludf.DUMMYFUNCTION("""COMPUTED_VALUE"""),"JIE-914")</f>
        <v>JIE-914</v>
      </c>
      <c r="P347" s="2"/>
      <c r="Q347" s="2"/>
      <c r="R347" s="74">
        <f>IFERROR(__xludf.DUMMYFUNCTION("""COMPUTED_VALUE"""),45498.0)</f>
        <v>45498</v>
      </c>
      <c r="S347" s="2" t="str">
        <f>IFERROR(__xludf.DUMMYFUNCTION("""COMPUTED_VALUE"""),"ACS/JHP")</f>
        <v>ACS/JHP</v>
      </c>
      <c r="T347" s="73" t="str">
        <f>IFERROR(__xludf.DUMMYFUNCTION("""COMPUTED_VALUE""")," N/A ")</f>
        <v>N/A</v>
      </c>
      <c r="U347" s="73" t="str">
        <f>IFERROR(__xludf.DUMMYFUNCTION("""COMPUTED_VALUE""")," NO CHARGE ")</f>
        <v>NO CHARGE</v>
      </c>
      <c r="V347" s="2"/>
      <c r="W347" s="2" t="str">
        <f>IFERROR(__xludf.DUMMYFUNCTION("""COMPUTED_VALUE"""),"N/A")</f>
        <v>N/A</v>
      </c>
      <c r="X347" s="2" t="str">
        <f>IFERROR(__xludf.DUMMYFUNCTION("""COMPUTED_VALUE"""),"N/A")</f>
        <v>N/A</v>
      </c>
      <c r="Y347" s="2"/>
      <c r="Z347" s="2"/>
      <c r="AA347" s="2"/>
      <c r="AB347" s="2"/>
      <c r="AC347" s="2"/>
      <c r="AD347" s="2"/>
      <c r="AE347" s="2"/>
      <c r="AF347" s="2"/>
      <c r="AG347" s="2"/>
      <c r="AH347" s="2"/>
      <c r="AI347" s="2"/>
      <c r="AJ347" s="2" t="str">
        <f>IFERROR(__xludf.DUMMYFUNCTION("""COMPUTED_VALUE"""),"San Miguel")</f>
        <v>San Miguel</v>
      </c>
      <c r="AK347" s="2" t="str">
        <f>IFERROR(__xludf.DUMMYFUNCTION("""COMPUTED_VALUE"""),"Guimba")</f>
        <v>Guimba</v>
      </c>
      <c r="AL347" s="2" t="str">
        <f>IFERROR(__xludf.DUMMYFUNCTION("""COMPUTED_VALUE"""),"Nueva Ecija")</f>
        <v>Nueva Ecija</v>
      </c>
      <c r="AM347" s="2">
        <f>IFERROR(__xludf.DUMMYFUNCTION("""COMPUTED_VALUE"""),3.0)</f>
        <v>3</v>
      </c>
      <c r="AN347" s="2" t="str">
        <f>IFERROR(__xludf.DUMMYFUNCTION("""COMPUTED_VALUE"""),"RCEF 23-09-21 Rebidding")</f>
        <v>RCEF 23-09-21 Rebidding</v>
      </c>
      <c r="AO347" s="2">
        <f>IFERROR(__xludf.DUMMYFUNCTION("""COMPUTED_VALUE"""),3.0)</f>
        <v>3</v>
      </c>
      <c r="AP347" s="2"/>
      <c r="AQ347" s="2"/>
      <c r="AR347" s="2"/>
      <c r="AS347" s="2"/>
      <c r="AT347" s="2"/>
      <c r="AU347" s="2"/>
      <c r="AV347" s="2"/>
      <c r="AW347" s="2"/>
      <c r="AX347" s="2"/>
      <c r="AY347" s="2"/>
      <c r="AZ347" s="2"/>
      <c r="BA347" s="2"/>
      <c r="BB347" s="2"/>
    </row>
    <row r="348">
      <c r="A348" s="2">
        <f>IFERROR(__xludf.DUMMYFUNCTION("""COMPUTED_VALUE"""),344.0)</f>
        <v>344</v>
      </c>
      <c r="B348" s="2" t="str">
        <f>IFERROR(__xludf.DUMMYFUNCTION("""COMPUTED_VALUE"""),"COMPLETED")</f>
        <v>COMPLETED</v>
      </c>
      <c r="C348" s="74">
        <f>IFERROR(__xludf.DUMMYFUNCTION("""COMPUTED_VALUE"""),45499.0)</f>
        <v>45499</v>
      </c>
      <c r="D348" s="71" t="str">
        <f>IFERROR(__xludf.DUMMYFUNCTION("""COMPUTED_VALUE"""),"Try Me Agriculture Cooperative (TMAC)")</f>
        <v>Try Me Agriculture Cooperative (TMAC)</v>
      </c>
      <c r="E348" s="71" t="str">
        <f>IFERROR(__xludf.DUMMYFUNCTION("""COMPUTED_VALUE"""),"Poblacion West, Science City of Munoz, Nueva Ecija")</f>
        <v>Poblacion West, Science City of Munoz, Nueva Ecija</v>
      </c>
      <c r="F348" s="2"/>
      <c r="G348" s="2"/>
      <c r="H348" s="2">
        <f>IFERROR(__xludf.DUMMYFUNCTION("""COMPUTED_VALUE"""),221.6)</f>
        <v>221.6</v>
      </c>
      <c r="I348" s="72" t="str">
        <f>IFERROR(__xludf.DUMMYFUNCTION("""COMPUTED_VALUE"""),"REPAIR - TRACTOR")</f>
        <v>REPAIR - TRACTOR</v>
      </c>
      <c r="J348" s="72" t="str">
        <f>IFERROR(__xludf.DUMMYFUNCTION("""COMPUTED_VALUE"""),"CHECK UP")</f>
        <v>CHECK UP</v>
      </c>
      <c r="K348" s="72" t="str">
        <f>IFERROR(__xludf.DUMMYFUNCTION("""COMPUTED_VALUE"""),"ACS: CHECK UP UNIT")</f>
        <v>ACS: CHECK UP UNIT</v>
      </c>
      <c r="L348" s="72" t="str">
        <f>IFERROR(__xludf.DUMMYFUNCTION("""COMPUTED_VALUE"""),"ACS: DONE CHECK UP UNIT AND IMPLEMENTS, ALL GOODS")</f>
        <v>ACS: DONE CHECK UP UNIT AND IMPLEMENTS, ALL GOODS</v>
      </c>
      <c r="M348" s="2"/>
      <c r="N348" s="2"/>
      <c r="O348" s="2" t="str">
        <f>IFERROR(__xludf.DUMMYFUNCTION("""COMPUTED_VALUE"""),"JIE-916")</f>
        <v>JIE-916</v>
      </c>
      <c r="P348" s="2"/>
      <c r="Q348" s="2"/>
      <c r="R348" s="74">
        <f>IFERROR(__xludf.DUMMYFUNCTION("""COMPUTED_VALUE"""),45499.0)</f>
        <v>45499</v>
      </c>
      <c r="S348" s="2" t="str">
        <f>IFERROR(__xludf.DUMMYFUNCTION("""COMPUTED_VALUE"""),"ACS/ JHP")</f>
        <v>ACS/ JHP</v>
      </c>
      <c r="T348" s="73" t="str">
        <f>IFERROR(__xludf.DUMMYFUNCTION("""COMPUTED_VALUE""")," N/A ")</f>
        <v>N/A</v>
      </c>
      <c r="U348" s="73" t="str">
        <f>IFERROR(__xludf.DUMMYFUNCTION("""COMPUTED_VALUE""")," NO CHARGE ")</f>
        <v>NO CHARGE</v>
      </c>
      <c r="V348" s="2"/>
      <c r="W348" s="2" t="str">
        <f>IFERROR(__xludf.DUMMYFUNCTION("""COMPUTED_VALUE"""),"N/A")</f>
        <v>N/A</v>
      </c>
      <c r="X348" s="2" t="str">
        <f>IFERROR(__xludf.DUMMYFUNCTION("""COMPUTED_VALUE"""),"N/A")</f>
        <v>N/A</v>
      </c>
      <c r="Y348" s="2"/>
      <c r="Z348" s="2"/>
      <c r="AA348" s="2"/>
      <c r="AB348" s="2"/>
      <c r="AC348" s="2"/>
      <c r="AD348" s="2"/>
      <c r="AE348" s="2"/>
      <c r="AF348" s="2"/>
      <c r="AG348" s="2"/>
      <c r="AH348" s="2"/>
      <c r="AI348" s="2"/>
      <c r="AJ348" s="2" t="str">
        <f>IFERROR(__xludf.DUMMYFUNCTION("""COMPUTED_VALUE"""),"Poblacion West")</f>
        <v>Poblacion West</v>
      </c>
      <c r="AK348" s="2" t="str">
        <f>IFERROR(__xludf.DUMMYFUNCTION("""COMPUTED_VALUE"""),"Science City Of Munoz")</f>
        <v>Science City Of Munoz</v>
      </c>
      <c r="AL348" s="2" t="str">
        <f>IFERROR(__xludf.DUMMYFUNCTION("""COMPUTED_VALUE"""),"Nueva Ecija")</f>
        <v>Nueva Ecija</v>
      </c>
      <c r="AM348" s="2">
        <f>IFERROR(__xludf.DUMMYFUNCTION("""COMPUTED_VALUE"""),3.0)</f>
        <v>3</v>
      </c>
      <c r="AN348" s="2" t="str">
        <f>IFERROR(__xludf.DUMMYFUNCTION("""COMPUTED_VALUE"""),"RCEF 23-09-21 Rebidding")</f>
        <v>RCEF 23-09-21 Rebidding</v>
      </c>
      <c r="AO348" s="2">
        <f>IFERROR(__xludf.DUMMYFUNCTION("""COMPUTED_VALUE"""),3.0)</f>
        <v>3</v>
      </c>
      <c r="AP348" s="2"/>
      <c r="AQ348" s="2"/>
      <c r="AR348" s="2"/>
      <c r="AS348" s="2"/>
      <c r="AT348" s="2"/>
      <c r="AU348" s="2"/>
      <c r="AV348" s="2"/>
      <c r="AW348" s="2"/>
      <c r="AX348" s="2"/>
      <c r="AY348" s="2"/>
      <c r="AZ348" s="2"/>
      <c r="BA348" s="2"/>
      <c r="BB348" s="2"/>
    </row>
    <row r="349">
      <c r="A349" s="2">
        <f>IFERROR(__xludf.DUMMYFUNCTION("""COMPUTED_VALUE"""),345.0)</f>
        <v>345</v>
      </c>
      <c r="B349" s="2" t="str">
        <f>IFERROR(__xludf.DUMMYFUNCTION("""COMPUTED_VALUE"""),"COMPLETED")</f>
        <v>COMPLETED</v>
      </c>
      <c r="C349" s="74">
        <f>IFERROR(__xludf.DUMMYFUNCTION("""COMPUTED_VALUE"""),45502.0)</f>
        <v>45502</v>
      </c>
      <c r="D349" s="71" t="str">
        <f>IFERROR(__xludf.DUMMYFUNCTION("""COMPUTED_VALUE"""),"ASSOCIATION OF HARDWORKING FARMERS OF SAN JOSE")</f>
        <v>ASSOCIATION OF HARDWORKING FARMERS OF SAN JOSE</v>
      </c>
      <c r="E349" s="71" t="str">
        <f>IFERROR(__xludf.DUMMYFUNCTION("""COMPUTED_VALUE"""),"Mababanaba, San Jose, TARLAC")</f>
        <v>Mababanaba, San Jose, TARLAC</v>
      </c>
      <c r="F349" s="2"/>
      <c r="G349" s="2"/>
      <c r="H349" s="2">
        <f>IFERROR(__xludf.DUMMYFUNCTION("""COMPUTED_VALUE"""),305.7)</f>
        <v>305.7</v>
      </c>
      <c r="I349" s="72" t="str">
        <f>IFERROR(__xludf.DUMMYFUNCTION("""COMPUTED_VALUE"""),"REPAIR - TRACTOR")</f>
        <v>REPAIR - TRACTOR</v>
      </c>
      <c r="J349" s="72" t="str">
        <f>IFERROR(__xludf.DUMMYFUNCTION("""COMPUTED_VALUE"""),"CHECK UP")</f>
        <v>CHECK UP</v>
      </c>
      <c r="K349" s="72" t="str">
        <f>IFERROR(__xludf.DUMMYFUNCTION("""COMPUTED_VALUE"""),"JVV: CHECK UP UNIT")</f>
        <v>JVV: CHECK UP UNIT</v>
      </c>
      <c r="L349" s="72" t="str">
        <f>IFERROR(__xludf.DUMMYFUNCTION("""COMPUTED_VALUE"""),"JVV: CHECK UP TRACTOR AND IMPLEMENTS GEAR OIL")</f>
        <v>JVV: CHECK UP TRACTOR AND IMPLEMENTS GEAR OIL</v>
      </c>
      <c r="M349" s="2"/>
      <c r="N349" s="2"/>
      <c r="O349" s="2" t="str">
        <f>IFERROR(__xludf.DUMMYFUNCTION("""COMPUTED_VALUE"""),"N/A")</f>
        <v>N/A</v>
      </c>
      <c r="P349" s="2"/>
      <c r="Q349" s="2"/>
      <c r="R349" s="74">
        <f>IFERROR(__xludf.DUMMYFUNCTION("""COMPUTED_VALUE"""),45502.0)</f>
        <v>45502</v>
      </c>
      <c r="S349" s="2" t="str">
        <f>IFERROR(__xludf.DUMMYFUNCTION("""COMPUTED_VALUE"""),"JVV/CFG")</f>
        <v>JVV/CFG</v>
      </c>
      <c r="T349" s="73" t="str">
        <f>IFERROR(__xludf.DUMMYFUNCTION("""COMPUTED_VALUE""")," N/A ")</f>
        <v>N/A</v>
      </c>
      <c r="U349" s="73" t="str">
        <f>IFERROR(__xludf.DUMMYFUNCTION("""COMPUTED_VALUE""")," NO CHARGE ")</f>
        <v>NO CHARGE</v>
      </c>
      <c r="V349" s="2"/>
      <c r="W349" s="2" t="str">
        <f>IFERROR(__xludf.DUMMYFUNCTION("""COMPUTED_VALUE"""),"N/A")</f>
        <v>N/A</v>
      </c>
      <c r="X349" s="2" t="str">
        <f>IFERROR(__xludf.DUMMYFUNCTION("""COMPUTED_VALUE"""),"N/A")</f>
        <v>N/A</v>
      </c>
      <c r="Y349" s="2"/>
      <c r="Z349" s="2"/>
      <c r="AA349" s="2"/>
      <c r="AB349" s="2"/>
      <c r="AC349" s="2"/>
      <c r="AD349" s="2"/>
      <c r="AE349" s="2"/>
      <c r="AF349" s="2"/>
      <c r="AG349" s="2"/>
      <c r="AH349" s="2"/>
      <c r="AI349" s="2"/>
      <c r="AJ349" s="2" t="str">
        <f>IFERROR(__xludf.DUMMYFUNCTION("""COMPUTED_VALUE"""),"Mababanaba")</f>
        <v>Mababanaba</v>
      </c>
      <c r="AK349" s="2" t="str">
        <f>IFERROR(__xludf.DUMMYFUNCTION("""COMPUTED_VALUE"""),"San Jose")</f>
        <v>San Jose</v>
      </c>
      <c r="AL349" s="2" t="str">
        <f>IFERROR(__xludf.DUMMYFUNCTION("""COMPUTED_VALUE"""),"Tarlac")</f>
        <v>Tarlac</v>
      </c>
      <c r="AM349" s="2">
        <f>IFERROR(__xludf.DUMMYFUNCTION("""COMPUTED_VALUE"""),3.0)</f>
        <v>3</v>
      </c>
      <c r="AN349" s="2" t="str">
        <f>IFERROR(__xludf.DUMMYFUNCTION("""COMPUTED_VALUE"""),"RCEF 23-09-21 Rebidding")</f>
        <v>RCEF 23-09-21 Rebidding</v>
      </c>
      <c r="AO349" s="2">
        <f>IFERROR(__xludf.DUMMYFUNCTION("""COMPUTED_VALUE"""),3.0)</f>
        <v>3</v>
      </c>
      <c r="AP349" s="2"/>
      <c r="AQ349" s="2"/>
      <c r="AR349" s="2"/>
      <c r="AS349" s="2"/>
      <c r="AT349" s="2"/>
      <c r="AU349" s="2"/>
      <c r="AV349" s="2"/>
      <c r="AW349" s="2"/>
      <c r="AX349" s="2"/>
      <c r="AY349" s="2"/>
      <c r="AZ349" s="2"/>
      <c r="BA349" s="2"/>
      <c r="BB349" s="2"/>
    </row>
    <row r="350">
      <c r="A350" s="2">
        <f>IFERROR(__xludf.DUMMYFUNCTION("""COMPUTED_VALUE"""),346.0)</f>
        <v>346</v>
      </c>
      <c r="B350" s="2" t="str">
        <f>IFERROR(__xludf.DUMMYFUNCTION("""COMPUTED_VALUE"""),"COMPLETED")</f>
        <v>COMPLETED</v>
      </c>
      <c r="C350" s="74">
        <f>IFERROR(__xludf.DUMMYFUNCTION("""COMPUTED_VALUE"""),45502.0)</f>
        <v>45502</v>
      </c>
      <c r="D350" s="71" t="str">
        <f>IFERROR(__xludf.DUMMYFUNCTION("""COMPUTED_VALUE"""),"TRICUL FARMER IRRIGATORS ASSOCIATION, INC.")</f>
        <v>TRICUL FARMER IRRIGATORS ASSOCIATION, INC.</v>
      </c>
      <c r="E350" s="71" t="str">
        <f>IFERROR(__xludf.DUMMYFUNCTION("""COMPUTED_VALUE"""),"Culipat, Tarlac City, TARLAC")</f>
        <v>Culipat, Tarlac City, TARLAC</v>
      </c>
      <c r="F350" s="2"/>
      <c r="G350" s="2"/>
      <c r="H350" s="2">
        <f>IFERROR(__xludf.DUMMYFUNCTION("""COMPUTED_VALUE"""),93.8)</f>
        <v>93.8</v>
      </c>
      <c r="I350" s="72" t="str">
        <f>IFERROR(__xludf.DUMMYFUNCTION("""COMPUTED_VALUE"""),"REPAIR - TRACTOR")</f>
        <v>REPAIR - TRACTOR</v>
      </c>
      <c r="J350" s="72" t="str">
        <f>IFERROR(__xludf.DUMMYFUNCTION("""COMPUTED_VALUE"""),"CHECK UP ")</f>
        <v>CHECK UP </v>
      </c>
      <c r="K350" s="72" t="str">
        <f>IFERROR(__xludf.DUMMYFUNCTION("""COMPUTED_VALUE"""),"JVV: CHECK UP UNIT")</f>
        <v>JVV: CHECK UP UNIT</v>
      </c>
      <c r="L350" s="72" t="str">
        <f>IFERROR(__xludf.DUMMYFUNCTION("""COMPUTED_VALUE"""),"JVV: CHECK UP TRACTOR AND IMPLEMENTS, YUNG DISC PLOW KULANG ANG GEAR OIL, SABI NG RECIPIENTS BIBILI NALANG DAW SILA AT SILA NA ANG MAGDADAGDAG, OK NAMAN ANG GEAR OIL NG ROTAVATOR")</f>
        <v>JVV: CHECK UP TRACTOR AND IMPLEMENTS, YUNG DISC PLOW KULANG ANG GEAR OIL, SABI NG RECIPIENTS BIBILI NALANG DAW SILA AT SILA NA ANG MAGDADAGDAG, OK NAMAN ANG GEAR OIL NG ROTAVATOR</v>
      </c>
      <c r="M350" s="2"/>
      <c r="N350" s="2"/>
      <c r="O350" s="2" t="str">
        <f>IFERROR(__xludf.DUMMYFUNCTION("""COMPUTED_VALUE"""),"N/A")</f>
        <v>N/A</v>
      </c>
      <c r="P350" s="2"/>
      <c r="Q350" s="2"/>
      <c r="R350" s="74">
        <f>IFERROR(__xludf.DUMMYFUNCTION("""COMPUTED_VALUE"""),45502.0)</f>
        <v>45502</v>
      </c>
      <c r="S350" s="2" t="str">
        <f>IFERROR(__xludf.DUMMYFUNCTION("""COMPUTED_VALUE"""),"JVV/CFG")</f>
        <v>JVV/CFG</v>
      </c>
      <c r="T350" s="73" t="str">
        <f>IFERROR(__xludf.DUMMYFUNCTION("""COMPUTED_VALUE""")," N/A ")</f>
        <v>N/A</v>
      </c>
      <c r="U350" s="73" t="str">
        <f>IFERROR(__xludf.DUMMYFUNCTION("""COMPUTED_VALUE""")," NO CHARGE ")</f>
        <v>NO CHARGE</v>
      </c>
      <c r="V350" s="2"/>
      <c r="W350" s="2" t="str">
        <f>IFERROR(__xludf.DUMMYFUNCTION("""COMPUTED_VALUE"""),"N/A")</f>
        <v>N/A</v>
      </c>
      <c r="X350" s="2" t="str">
        <f>IFERROR(__xludf.DUMMYFUNCTION("""COMPUTED_VALUE"""),"N/A")</f>
        <v>N/A</v>
      </c>
      <c r="Y350" s="2"/>
      <c r="Z350" s="2"/>
      <c r="AA350" s="2"/>
      <c r="AB350" s="2"/>
      <c r="AC350" s="2"/>
      <c r="AD350" s="2"/>
      <c r="AE350" s="2"/>
      <c r="AF350" s="2"/>
      <c r="AG350" s="2"/>
      <c r="AH350" s="2"/>
      <c r="AI350" s="2"/>
      <c r="AJ350" s="2" t="str">
        <f>IFERROR(__xludf.DUMMYFUNCTION("""COMPUTED_VALUE"""),"Culipat")</f>
        <v>Culipat</v>
      </c>
      <c r="AK350" s="2" t="str">
        <f>IFERROR(__xludf.DUMMYFUNCTION("""COMPUTED_VALUE"""),"Tarlac City")</f>
        <v>Tarlac City</v>
      </c>
      <c r="AL350" s="2" t="str">
        <f>IFERROR(__xludf.DUMMYFUNCTION("""COMPUTED_VALUE"""),"Tarlac")</f>
        <v>Tarlac</v>
      </c>
      <c r="AM350" s="2">
        <f>IFERROR(__xludf.DUMMYFUNCTION("""COMPUTED_VALUE"""),3.0)</f>
        <v>3</v>
      </c>
      <c r="AN350" s="2" t="str">
        <f>IFERROR(__xludf.DUMMYFUNCTION("""COMPUTED_VALUE"""),"RCEF 23-09-21 Rebidding")</f>
        <v>RCEF 23-09-21 Rebidding</v>
      </c>
      <c r="AO350" s="2">
        <f>IFERROR(__xludf.DUMMYFUNCTION("""COMPUTED_VALUE"""),3.0)</f>
        <v>3</v>
      </c>
      <c r="AP350" s="2"/>
      <c r="AQ350" s="2"/>
      <c r="AR350" s="2"/>
      <c r="AS350" s="2"/>
      <c r="AT350" s="2"/>
      <c r="AU350" s="2"/>
      <c r="AV350" s="2"/>
      <c r="AW350" s="2"/>
      <c r="AX350" s="2"/>
      <c r="AY350" s="2"/>
      <c r="AZ350" s="2"/>
      <c r="BA350" s="2"/>
      <c r="BB350" s="2"/>
    </row>
    <row r="351">
      <c r="A351" s="2">
        <f>IFERROR(__xludf.DUMMYFUNCTION("""COMPUTED_VALUE"""),347.0)</f>
        <v>347</v>
      </c>
      <c r="B351" s="2" t="str">
        <f>IFERROR(__xludf.DUMMYFUNCTION("""COMPUTED_VALUE"""),"COMPLETED")</f>
        <v>COMPLETED</v>
      </c>
      <c r="C351" s="74">
        <f>IFERROR(__xludf.DUMMYFUNCTION("""COMPUTED_VALUE"""),45502.0)</f>
        <v>45502</v>
      </c>
      <c r="D351" s="71" t="str">
        <f>IFERROR(__xludf.DUMMYFUNCTION("""COMPUTED_VALUE"""),"TAGABASA IRRIGATORS' ASSOCIATION, INC.")</f>
        <v>TAGABASA IRRIGATORS' ASSOCIATION, INC.</v>
      </c>
      <c r="E351" s="71" t="str">
        <f>IFERROR(__xludf.DUMMYFUNCTION("""COMPUTED_VALUE"""),"Tagaytay, Talavera, NUEVA ECIJA")</f>
        <v>Tagaytay, Talavera, NUEVA ECIJA</v>
      </c>
      <c r="F351" s="2" t="str">
        <f>IFERROR(__xludf.DUMMYFUNCTION("""COMPUTED_VALUE"""),"ROGELIO C. LAUGO")</f>
        <v>ROGELIO C. LAUGO</v>
      </c>
      <c r="G351" s="2">
        <f>IFERROR(__xludf.DUMMYFUNCTION("""COMPUTED_VALUE"""),9.510990098E9)</f>
        <v>9510990098</v>
      </c>
      <c r="H351" s="2">
        <f>IFERROR(__xludf.DUMMYFUNCTION("""COMPUTED_VALUE"""),117.3)</f>
        <v>117.3</v>
      </c>
      <c r="I351" s="72" t="str">
        <f>IFERROR(__xludf.DUMMYFUNCTION("""COMPUTED_VALUE"""),"REPAIR - TRACTOR")</f>
        <v>REPAIR - TRACTOR</v>
      </c>
      <c r="J351" s="72" t="str">
        <f>IFERROR(__xludf.DUMMYFUNCTION("""COMPUTED_VALUE"""),"CHECK UP")</f>
        <v>CHECK UP</v>
      </c>
      <c r="K351" s="72" t="str">
        <f>IFERROR(__xludf.DUMMYFUNCTION("""COMPUTED_VALUE"""),"ACS: CHECK UP UNIT")</f>
        <v>ACS: CHECK UP UNIT</v>
      </c>
      <c r="L351" s="72" t="str">
        <f>IFERROR(__xludf.DUMMYFUNCTION("""COMPUTED_VALUE"""),"ACS: CHECK UP TRACTOR AND IMPLEMENTS")</f>
        <v>ACS: CHECK UP TRACTOR AND IMPLEMENTS</v>
      </c>
      <c r="M351" s="2"/>
      <c r="N351" s="2"/>
      <c r="O351" s="2" t="str">
        <f>IFERROR(__xludf.DUMMYFUNCTION("""COMPUTED_VALUE"""),"N/A")</f>
        <v>N/A</v>
      </c>
      <c r="P351" s="2"/>
      <c r="Q351" s="2"/>
      <c r="R351" s="74">
        <f>IFERROR(__xludf.DUMMYFUNCTION("""COMPUTED_VALUE"""),45502.0)</f>
        <v>45502</v>
      </c>
      <c r="S351" s="2" t="str">
        <f>IFERROR(__xludf.DUMMYFUNCTION("""COMPUTED_VALUE"""),"ACS/ JHP")</f>
        <v>ACS/ JHP</v>
      </c>
      <c r="T351" s="73" t="str">
        <f>IFERROR(__xludf.DUMMYFUNCTION("""COMPUTED_VALUE""")," N/A ")</f>
        <v>N/A</v>
      </c>
      <c r="U351" s="73" t="str">
        <f>IFERROR(__xludf.DUMMYFUNCTION("""COMPUTED_VALUE""")," NO CHARGE ")</f>
        <v>NO CHARGE</v>
      </c>
      <c r="V351" s="2"/>
      <c r="W351" s="2" t="str">
        <f>IFERROR(__xludf.DUMMYFUNCTION("""COMPUTED_VALUE"""),"N/A")</f>
        <v>N/A</v>
      </c>
      <c r="X351" s="2" t="str">
        <f>IFERROR(__xludf.DUMMYFUNCTION("""COMPUTED_VALUE"""),"N/A")</f>
        <v>N/A</v>
      </c>
      <c r="Y351" s="2"/>
      <c r="Z351" s="2"/>
      <c r="AA351" s="2"/>
      <c r="AB351" s="2"/>
      <c r="AC351" s="2"/>
      <c r="AD351" s="2"/>
      <c r="AE351" s="2"/>
      <c r="AF351" s="2"/>
      <c r="AG351" s="2"/>
      <c r="AH351" s="2"/>
      <c r="AI351" s="2"/>
      <c r="AJ351" s="2" t="str">
        <f>IFERROR(__xludf.DUMMYFUNCTION("""COMPUTED_VALUE"""),"Tagaytay")</f>
        <v>Tagaytay</v>
      </c>
      <c r="AK351" s="2" t="str">
        <f>IFERROR(__xludf.DUMMYFUNCTION("""COMPUTED_VALUE"""),"Talavera")</f>
        <v>Talavera</v>
      </c>
      <c r="AL351" s="2" t="str">
        <f>IFERROR(__xludf.DUMMYFUNCTION("""COMPUTED_VALUE"""),"Nueva Ecija")</f>
        <v>Nueva Ecija</v>
      </c>
      <c r="AM351" s="2">
        <f>IFERROR(__xludf.DUMMYFUNCTION("""COMPUTED_VALUE"""),3.0)</f>
        <v>3</v>
      </c>
      <c r="AN351" s="2" t="str">
        <f>IFERROR(__xludf.DUMMYFUNCTION("""COMPUTED_VALUE"""),"RCEF 23-09-21 Rebidding")</f>
        <v>RCEF 23-09-21 Rebidding</v>
      </c>
      <c r="AO351" s="2">
        <f>IFERROR(__xludf.DUMMYFUNCTION("""COMPUTED_VALUE"""),3.0)</f>
        <v>3</v>
      </c>
      <c r="AP351" s="2"/>
      <c r="AQ351" s="2"/>
      <c r="AR351" s="2"/>
      <c r="AS351" s="2"/>
      <c r="AT351" s="2"/>
      <c r="AU351" s="2"/>
      <c r="AV351" s="2"/>
      <c r="AW351" s="2"/>
      <c r="AX351" s="2"/>
      <c r="AY351" s="2"/>
      <c r="AZ351" s="2"/>
      <c r="BA351" s="2"/>
      <c r="BB351" s="2"/>
    </row>
    <row r="352">
      <c r="A352" s="2">
        <f>IFERROR(__xludf.DUMMYFUNCTION("""COMPUTED_VALUE"""),348.0)</f>
        <v>348</v>
      </c>
      <c r="B352" s="2" t="str">
        <f>IFERROR(__xludf.DUMMYFUNCTION("""COMPUTED_VALUE"""),"COMPLETED")</f>
        <v>COMPLETED</v>
      </c>
      <c r="C352" s="74">
        <f>IFERROR(__xludf.DUMMYFUNCTION("""COMPUTED_VALUE"""),45502.0)</f>
        <v>45502</v>
      </c>
      <c r="D352" s="71" t="str">
        <f>IFERROR(__xludf.DUMMYFUNCTION("""COMPUTED_VALUE"""),"COLLADO IRRIGATORS' ASSOCIATION, INC.")</f>
        <v>COLLADO IRRIGATORS' ASSOCIATION, INC.</v>
      </c>
      <c r="E352" s="71" t="str">
        <f>IFERROR(__xludf.DUMMYFUNCTION("""COMPUTED_VALUE"""),"Collado, Talavera, NUEVA ECIJA")</f>
        <v>Collado, Talavera, NUEVA ECIJA</v>
      </c>
      <c r="F352" s="2" t="str">
        <f>IFERROR(__xludf.DUMMYFUNCTION("""COMPUTED_VALUE"""),"GODOFREDO M. SABATE")</f>
        <v>GODOFREDO M. SABATE</v>
      </c>
      <c r="G352" s="2">
        <f>IFERROR(__xludf.DUMMYFUNCTION("""COMPUTED_VALUE"""),9.076176814E9)</f>
        <v>9076176814</v>
      </c>
      <c r="H352" s="2">
        <f>IFERROR(__xludf.DUMMYFUNCTION("""COMPUTED_VALUE"""),306.2)</f>
        <v>306.2</v>
      </c>
      <c r="I352" s="72" t="str">
        <f>IFERROR(__xludf.DUMMYFUNCTION("""COMPUTED_VALUE"""),"REPAIR - TRACTOR")</f>
        <v>REPAIR - TRACTOR</v>
      </c>
      <c r="J352" s="72" t="str">
        <f>IFERROR(__xludf.DUMMYFUNCTION("""COMPUTED_VALUE"""),"Engine - Thermostat")</f>
        <v>Engine - Thermostat</v>
      </c>
      <c r="K352" s="72" t="str">
        <f>IFERROR(__xludf.DUMMYFUNCTION("""COMPUTED_VALUE"""),"MYKEE; FOR CHECK UP MAY LEAK ANG MAKINA
ACS: 7/29/24: HINDI GUMAGANA ANG THERMOSTAT
PARTS NEEDED: THERMOSTAT AND STOP LIGHT CONTACT SWITCH
ACS: MAY 8/2/24: MAY THERMOSTAT SA WH, FOR REQUEST YUNG STOP LIGHT CONTACT SWITCH
SUBJECT FOR 2ND PMS")</f>
        <v>MYKEE; FOR CHECK UP MAY LEAK ANG MAKINA
ACS: 7/29/24: HINDI GUMAGANA ANG THERMOSTAT
PARTS NEEDED: THERMOSTAT AND STOP LIGHT CONTACT SWITCH
ACS: MAY 8/2/24: MAY THERMOSTAT SA WH, FOR REQUEST YUNG STOP LIGHT CONTACT SWITCH
SUBJECT FOR 2ND PMS</v>
      </c>
      <c r="L352" s="72" t="str">
        <f>IFERROR(__xludf.DUMMYFUNCTION("""COMPUTED_VALUE"""),"ACS: TINANGAL NA PO NAMIN ANG THERMOSTAT, NEED TO REPLACE
CCB/DSD: NADALA NA PO NAMIN ANG TERMOSTAT , HINDI PO MUNA KINUHA ANG STOP LAMP SWITCH.")</f>
        <v>ACS: TINANGAL NA PO NAMIN ANG THERMOSTAT, NEED TO REPLACE
CCB/DSD: NADALA NA PO NAMIN ANG TERMOSTAT , HINDI PO MUNA KINUHA ANG STOP LAMP SWITCH.</v>
      </c>
      <c r="M352" s="2"/>
      <c r="N352" s="2" t="str">
        <f>IFERROR(__xludf.DUMMYFUNCTION("""COMPUTED_VALUE"""),"THERMOSTAT")</f>
        <v>THERMOSTAT</v>
      </c>
      <c r="O352" s="2" t="str">
        <f>IFERROR(__xludf.DUMMYFUNCTION("""COMPUTED_VALUE"""),"JIE-950")</f>
        <v>JIE-950</v>
      </c>
      <c r="P352" s="2"/>
      <c r="Q352" s="2"/>
      <c r="R352" s="74">
        <f>IFERROR(__xludf.DUMMYFUNCTION("""COMPUTED_VALUE"""),45545.0)</f>
        <v>45545</v>
      </c>
      <c r="S352" s="2" t="str">
        <f>IFERROR(__xludf.DUMMYFUNCTION("""COMPUTED_VALUE"""),"CCB/DSD")</f>
        <v>CCB/DSD</v>
      </c>
      <c r="T352" s="73">
        <f>IFERROR(__xludf.DUMMYFUNCTION("""COMPUTED_VALUE"""),1618.0)</f>
        <v>1618</v>
      </c>
      <c r="U352" s="73" t="str">
        <f>IFERROR(__xludf.DUMMYFUNCTION("""COMPUTED_VALUE""")," FOR REMIT ")</f>
        <v>FOR REMIT</v>
      </c>
      <c r="V352" s="2"/>
      <c r="W352" s="2"/>
      <c r="X352" s="2"/>
      <c r="Y352" s="2" t="str">
        <f>IFERROR(__xludf.DUMMYFUNCTION("""COMPUTED_VALUE"""),"PAYMENT C/O CCB")</f>
        <v>PAYMENT C/O CCB</v>
      </c>
      <c r="Z352" s="2"/>
      <c r="AA352" s="2"/>
      <c r="AB352" s="2"/>
      <c r="AC352" s="2"/>
      <c r="AD352" s="2"/>
      <c r="AE352" s="2"/>
      <c r="AF352" s="2"/>
      <c r="AG352" s="2"/>
      <c r="AH352" s="2"/>
      <c r="AI352" s="2"/>
      <c r="AJ352" s="2" t="str">
        <f>IFERROR(__xludf.DUMMYFUNCTION("""COMPUTED_VALUE"""),"Collado")</f>
        <v>Collado</v>
      </c>
      <c r="AK352" s="2" t="str">
        <f>IFERROR(__xludf.DUMMYFUNCTION("""COMPUTED_VALUE"""),"Talavera")</f>
        <v>Talavera</v>
      </c>
      <c r="AL352" s="2" t="str">
        <f>IFERROR(__xludf.DUMMYFUNCTION("""COMPUTED_VALUE"""),"Nueva Ecija")</f>
        <v>Nueva Ecija</v>
      </c>
      <c r="AM352" s="2">
        <f>IFERROR(__xludf.DUMMYFUNCTION("""COMPUTED_VALUE"""),3.0)</f>
        <v>3</v>
      </c>
      <c r="AN352" s="2" t="str">
        <f>IFERROR(__xludf.DUMMYFUNCTION("""COMPUTED_VALUE"""),"RCEF 23-09-21 Rebidding")</f>
        <v>RCEF 23-09-21 Rebidding</v>
      </c>
      <c r="AO352" s="2">
        <f>IFERROR(__xludf.DUMMYFUNCTION("""COMPUTED_VALUE"""),3.0)</f>
        <v>3</v>
      </c>
      <c r="AP352" s="2"/>
      <c r="AQ352" s="2"/>
      <c r="AR352" s="2"/>
      <c r="AS352" s="2"/>
      <c r="AT352" s="2"/>
      <c r="AU352" s="2"/>
      <c r="AV352" s="2"/>
      <c r="AW352" s="2"/>
      <c r="AX352" s="2"/>
      <c r="AY352" s="2"/>
      <c r="AZ352" s="2"/>
      <c r="BA352" s="2"/>
      <c r="BB352" s="2"/>
    </row>
    <row r="353">
      <c r="A353" s="2">
        <f>IFERROR(__xludf.DUMMYFUNCTION("""COMPUTED_VALUE"""),349.0)</f>
        <v>349</v>
      </c>
      <c r="B353" s="2" t="str">
        <f>IFERROR(__xludf.DUMMYFUNCTION("""COMPUTED_VALUE"""),"COMPLETED")</f>
        <v>COMPLETED</v>
      </c>
      <c r="C353" s="74">
        <f>IFERROR(__xludf.DUMMYFUNCTION("""COMPUTED_VALUE"""),45503.0)</f>
        <v>45503</v>
      </c>
      <c r="D353" s="71" t="str">
        <f>IFERROR(__xludf.DUMMYFUNCTION("""COMPUTED_VALUE"""),"MAPAGONG FARMERS IRROGATORS ASSN. INC.")</f>
        <v>MAPAGONG FARMERS IRROGATORS ASSN. INC.</v>
      </c>
      <c r="E353" s="71" t="str">
        <f>IFERROR(__xludf.DUMMYFUNCTION("""COMPUTED_VALUE"""),"Mapagong, Pagbilao, Quezon")</f>
        <v>Mapagong, Pagbilao, Quezon</v>
      </c>
      <c r="F353" s="2" t="str">
        <f>IFERROR(__xludf.DUMMYFUNCTION("""COMPUTED_VALUE"""),"JELOY")</f>
        <v>JELOY</v>
      </c>
      <c r="G353" s="2">
        <f>IFERROR(__xludf.DUMMYFUNCTION("""COMPUTED_VALUE"""),9.512413777E9)</f>
        <v>9512413777</v>
      </c>
      <c r="H353" s="2">
        <f>IFERROR(__xludf.DUMMYFUNCTION("""COMPUTED_VALUE"""),241.8)</f>
        <v>241.8</v>
      </c>
      <c r="I353" s="72" t="str">
        <f>IFERROR(__xludf.DUMMYFUNCTION("""COMPUTED_VALUE"""),"REPAIR - TRACTOR")</f>
        <v>REPAIR - TRACTOR</v>
      </c>
      <c r="J353" s="72" t="str">
        <f>IFERROR(__xludf.DUMMYFUNCTION("""COMPUTED_VALUE"""),"PTO - Clutch Pack")</f>
        <v>PTO - Clutch Pack</v>
      </c>
      <c r="K353" s="72" t="str">
        <f>IFERROR(__xludf.DUMMYFUNCTION("""COMPUTED_VALUE"""),"JTT: MAINGAY PTO COUPLING
PARTS NEEDED: PTO COUPLING and PTO CLUTCH PACK
JTT:11/15/24: PTO CLUTCH PACK LINING 6PCS")</f>
        <v>JTT: MAINGAY PTO COUPLING
PARTS NEEDED: PTO COUPLING and PTO CLUTCH PACK
JTT:11/15/24: PTO CLUTCH PACK LINING 6PCS</v>
      </c>
      <c r="L353" s="72" t="str">
        <f>IFERROR(__xludf.DUMMYFUNCTION("""COMPUTED_VALUE"""),"JTT: PTO CLUTCH PACK REPLACEMENT")</f>
        <v>JTT: PTO CLUTCH PACK REPLACEMENT</v>
      </c>
      <c r="M353" s="2"/>
      <c r="N353" s="2" t="str">
        <f>IFERROR(__xludf.DUMMYFUNCTION("""COMPUTED_VALUE"""),"PARTS: 6PCS PTO CLUTCH PACK LINING ")</f>
        <v>PARTS: 6PCS PTO CLUTCH PACK LINING </v>
      </c>
      <c r="O353" s="2">
        <f>IFERROR(__xludf.DUMMYFUNCTION("""COMPUTED_VALUE"""),4.0)</f>
        <v>4</v>
      </c>
      <c r="P353" s="2"/>
      <c r="Q353" s="2" t="str">
        <f>IFERROR(__xludf.DUMMYFUNCTION("""COMPUTED_VALUE"""),"Y")</f>
        <v>Y</v>
      </c>
      <c r="R353" s="74">
        <f>IFERROR(__xludf.DUMMYFUNCTION("""COMPUTED_VALUE"""),45639.0)</f>
        <v>45639</v>
      </c>
      <c r="S353" s="2" t="str">
        <f>IFERROR(__xludf.DUMMYFUNCTION("""COMPUTED_VALUE"""),"JTT")</f>
        <v>JTT</v>
      </c>
      <c r="T353" s="73">
        <f>IFERROR(__xludf.DUMMYFUNCTION("""COMPUTED_VALUE"""),6000.0)</f>
        <v>6000</v>
      </c>
      <c r="U353" s="73" t="str">
        <f>IFERROR(__xludf.DUMMYFUNCTION("""COMPUTED_VALUE""")," REMITTED ")</f>
        <v>REMITTED</v>
      </c>
      <c r="V353" s="2"/>
      <c r="W353" s="2">
        <f>IFERROR(__xludf.DUMMYFUNCTION("""COMPUTED_VALUE"""),1223.0)</f>
        <v>1223</v>
      </c>
      <c r="X353" s="2">
        <f>IFERROR(__xludf.DUMMYFUNCTION("""COMPUTED_VALUE"""),1295.0)</f>
        <v>1295</v>
      </c>
      <c r="Y353" s="2"/>
      <c r="Z353" s="2"/>
      <c r="AA353" s="2"/>
      <c r="AB353" s="2"/>
      <c r="AC353" s="2" t="str">
        <f>IFERROR(__xludf.DUMMYFUNCTION("""COMPUTED_VALUE"""),"To continue")</f>
        <v>To continue</v>
      </c>
      <c r="AD353" s="2"/>
      <c r="AE353" s="2"/>
      <c r="AF353" s="2"/>
      <c r="AG353" s="2"/>
      <c r="AH353" s="2"/>
      <c r="AI353" s="2"/>
      <c r="AJ353" s="2" t="str">
        <f>IFERROR(__xludf.DUMMYFUNCTION("""COMPUTED_VALUE"""),"Mapagong")</f>
        <v>Mapagong</v>
      </c>
      <c r="AK353" s="2" t="str">
        <f>IFERROR(__xludf.DUMMYFUNCTION("""COMPUTED_VALUE"""),"Pagbilao")</f>
        <v>Pagbilao</v>
      </c>
      <c r="AL353" s="2" t="str">
        <f>IFERROR(__xludf.DUMMYFUNCTION("""COMPUTED_VALUE"""),"Quezon")</f>
        <v>Quezon</v>
      </c>
      <c r="AM353" s="2" t="str">
        <f>IFERROR(__xludf.DUMMYFUNCTION("""COMPUTED_VALUE"""),"4A")</f>
        <v>4A</v>
      </c>
      <c r="AN353" s="2" t="str">
        <f>IFERROR(__xludf.DUMMYFUNCTION("""COMPUTED_VALUE"""),"RCEF 23-08-20 Rebidding")</f>
        <v>RCEF 23-08-20 Rebidding</v>
      </c>
      <c r="AO353" s="2">
        <f>IFERROR(__xludf.DUMMYFUNCTION("""COMPUTED_VALUE"""),1.0)</f>
        <v>1</v>
      </c>
      <c r="AP353" s="2"/>
      <c r="AQ353" s="2"/>
      <c r="AR353" s="2"/>
      <c r="AS353" s="2"/>
      <c r="AT353" s="2"/>
      <c r="AU353" s="2"/>
      <c r="AV353" s="2"/>
      <c r="AW353" s="2"/>
      <c r="AX353" s="2"/>
      <c r="AY353" s="2"/>
      <c r="AZ353" s="2"/>
      <c r="BA353" s="2"/>
      <c r="BB353" s="2"/>
    </row>
    <row r="354">
      <c r="A354" s="2">
        <f>IFERROR(__xludf.DUMMYFUNCTION("""COMPUTED_VALUE"""),350.0)</f>
        <v>350</v>
      </c>
      <c r="B354" s="2" t="str">
        <f>IFERROR(__xludf.DUMMYFUNCTION("""COMPUTED_VALUE"""),"COMPLETED")</f>
        <v>COMPLETED</v>
      </c>
      <c r="C354" s="74">
        <f>IFERROR(__xludf.DUMMYFUNCTION("""COMPUTED_VALUE"""),45503.0)</f>
        <v>45503</v>
      </c>
      <c r="D354" s="71" t="str">
        <f>IFERROR(__xludf.DUMMYFUNCTION("""COMPUTED_VALUE"""),"NAGKAKAISANG MAGSASAKA NG BANTIGUE IRRIGATORS ASSN., INC.")</f>
        <v>NAGKAKAISANG MAGSASAKA NG BANTIGUE IRRIGATORS ASSN., INC.</v>
      </c>
      <c r="E354" s="71" t="str">
        <f>IFERROR(__xludf.DUMMYFUNCTION("""COMPUTED_VALUE"""),"Bantigue, Pagbilao, Quezon")</f>
        <v>Bantigue, Pagbilao, Quezon</v>
      </c>
      <c r="F354" s="2" t="str">
        <f>IFERROR(__xludf.DUMMYFUNCTION("""COMPUTED_VALUE"""),"BOYET")</f>
        <v>BOYET</v>
      </c>
      <c r="G354" s="2">
        <f>IFERROR(__xludf.DUMMYFUNCTION("""COMPUTED_VALUE"""),9.687066101E9)</f>
        <v>9687066101</v>
      </c>
      <c r="H354" s="2">
        <f>IFERROR(__xludf.DUMMYFUNCTION("""COMPUTED_VALUE"""),173.6)</f>
        <v>173.6</v>
      </c>
      <c r="I354" s="72" t="str">
        <f>IFERROR(__xludf.DUMMYFUNCTION("""COMPUTED_VALUE"""),"REPAIR - TRACTOR")</f>
        <v>REPAIR - TRACTOR</v>
      </c>
      <c r="J354" s="72" t="str">
        <f>IFERROR(__xludf.DUMMYFUNCTION("""COMPUTED_VALUE"""),"PTO - Clutch Pack/Coupling")</f>
        <v>PTO - Clutch Pack/Coupling</v>
      </c>
      <c r="K354" s="72" t="str">
        <f>IFERROR(__xludf.DUMMYFUNCTION("""COMPUTED_VALUE"""),"JTT: PROBLEM PTO COUPLING AND PTO CLUTCH PACK
PARTS NEEDE: PTO COUPLING AND PTO CLUTCH PACK LINING 6PCS")</f>
        <v>JTT: PROBLEM PTO COUPLING AND PTO CLUTCH PACK
PARTS NEEDE: PTO COUPLING AND PTO CLUTCH PACK LINING 6PCS</v>
      </c>
      <c r="L354" s="72" t="str">
        <f>IFERROR(__xludf.DUMMYFUNCTION("""COMPUTED_VALUE"""),"JTT: WALANG BUDGET YUNG FARMER")</f>
        <v>JTT: WALANG BUDGET YUNG FARMER</v>
      </c>
      <c r="M354" s="2"/>
      <c r="N354" s="2"/>
      <c r="O354" s="2" t="str">
        <f>IFERROR(__xludf.DUMMYFUNCTION("""COMPUTED_VALUE"""),"N/A")</f>
        <v>N/A</v>
      </c>
      <c r="P354" s="2"/>
      <c r="Q354" s="2"/>
      <c r="R354" s="74">
        <f>IFERROR(__xludf.DUMMYFUNCTION("""COMPUTED_VALUE"""),45644.0)</f>
        <v>45644</v>
      </c>
      <c r="S354" s="2" t="str">
        <f>IFERROR(__xludf.DUMMYFUNCTION("""COMPUTED_VALUE"""),"JTT")</f>
        <v>JTT</v>
      </c>
      <c r="T354" s="73" t="str">
        <f>IFERROR(__xludf.DUMMYFUNCTION("""COMPUTED_VALUE""")," N/A  ")</f>
        <v>N/A </v>
      </c>
      <c r="U354" s="73" t="str">
        <f>IFERROR(__xludf.DUMMYFUNCTION("""COMPUTED_VALUE""")," NO CHARGE ")</f>
        <v>NO CHARGE</v>
      </c>
      <c r="V354" s="2"/>
      <c r="W354" s="2" t="str">
        <f>IFERROR(__xludf.DUMMYFUNCTION("""COMPUTED_VALUE"""),"N/A")</f>
        <v>N/A</v>
      </c>
      <c r="X354" s="2" t="str">
        <f>IFERROR(__xludf.DUMMYFUNCTION("""COMPUTED_VALUE"""),"N/A")</f>
        <v>N/A</v>
      </c>
      <c r="Y354" s="2"/>
      <c r="Z354" s="2"/>
      <c r="AA354" s="2"/>
      <c r="AB354" s="2"/>
      <c r="AC354" s="2" t="str">
        <f>IFERROR(__xludf.DUMMYFUNCTION("""COMPUTED_VALUE"""),"N")</f>
        <v>N</v>
      </c>
      <c r="AD354" s="2"/>
      <c r="AE354" s="2"/>
      <c r="AF354" s="2"/>
      <c r="AG354" s="2"/>
      <c r="AH354" s="2"/>
      <c r="AI354" s="2"/>
      <c r="AJ354" s="2" t="str">
        <f>IFERROR(__xludf.DUMMYFUNCTION("""COMPUTED_VALUE"""),"Bantigue")</f>
        <v>Bantigue</v>
      </c>
      <c r="AK354" s="2" t="str">
        <f>IFERROR(__xludf.DUMMYFUNCTION("""COMPUTED_VALUE"""),"Pagbilao")</f>
        <v>Pagbilao</v>
      </c>
      <c r="AL354" s="2" t="str">
        <f>IFERROR(__xludf.DUMMYFUNCTION("""COMPUTED_VALUE"""),"Quezon")</f>
        <v>Quezon</v>
      </c>
      <c r="AM354" s="2" t="str">
        <f>IFERROR(__xludf.DUMMYFUNCTION("""COMPUTED_VALUE"""),"4A")</f>
        <v>4A</v>
      </c>
      <c r="AN354" s="2" t="str">
        <f>IFERROR(__xludf.DUMMYFUNCTION("""COMPUTED_VALUE"""),"RCEF 23-08-20 Rebidding")</f>
        <v>RCEF 23-08-20 Rebidding</v>
      </c>
      <c r="AO354" s="2">
        <f>IFERROR(__xludf.DUMMYFUNCTION("""COMPUTED_VALUE"""),1.0)</f>
        <v>1</v>
      </c>
      <c r="AP354" s="2"/>
      <c r="AQ354" s="2"/>
      <c r="AR354" s="2"/>
      <c r="AS354" s="2"/>
      <c r="AT354" s="2"/>
      <c r="AU354" s="2"/>
      <c r="AV354" s="2"/>
      <c r="AW354" s="2"/>
      <c r="AX354" s="2"/>
      <c r="AY354" s="2"/>
      <c r="AZ354" s="2"/>
      <c r="BA354" s="2"/>
      <c r="BB354" s="2"/>
    </row>
    <row r="355">
      <c r="A355" s="2">
        <f>IFERROR(__xludf.DUMMYFUNCTION("""COMPUTED_VALUE"""),351.0)</f>
        <v>351</v>
      </c>
      <c r="B355" s="2" t="str">
        <f>IFERROR(__xludf.DUMMYFUNCTION("""COMPUTED_VALUE"""),"COMPLETED")</f>
        <v>COMPLETED</v>
      </c>
      <c r="C355" s="74">
        <f>IFERROR(__xludf.DUMMYFUNCTION("""COMPUTED_VALUE"""),45503.0)</f>
        <v>45503</v>
      </c>
      <c r="D355" s="71" t="str">
        <f>IFERROR(__xludf.DUMMYFUNCTION("""COMPUTED_VALUE"""),"Bakara Farmers Agriculture Cooperative (BFAC)")</f>
        <v>Bakara Farmers Agriculture Cooperative (BFAC)</v>
      </c>
      <c r="E355" s="71" t="str">
        <f>IFERROR(__xludf.DUMMYFUNCTION("""COMPUTED_VALUE"""),"Toledo, Ramos, TARLAC")</f>
        <v>Toledo, Ramos, TARLAC</v>
      </c>
      <c r="F355" s="2"/>
      <c r="G355" s="2"/>
      <c r="H355" s="2"/>
      <c r="I355" s="72" t="str">
        <f>IFERROR(__xludf.DUMMYFUNCTION("""COMPUTED_VALUE"""),"REPAIR - TRACTOR")</f>
        <v>REPAIR - TRACTOR</v>
      </c>
      <c r="J355" s="72" t="str">
        <f>IFERROR(__xludf.DUMMYFUNCTION("""COMPUTED_VALUE"""),"CHECK UP")</f>
        <v>CHECK UP</v>
      </c>
      <c r="K355" s="72" t="str">
        <f>IFERROR(__xludf.DUMMYFUNCTION("""COMPUTED_VALUE"""),"JVV: UPON CHECK UP, NA PMS NADAW PO NILA ANG UNIT NILA, KULANG ANG GEAR OIL NG IMPLEMENTS, SILA NALANG DAW PO ANG BIBILI NG GEAR OIL NILA, SILA NADAW PO ANG MAGDAGDAG.")</f>
        <v>JVV: UPON CHECK UP, NA PMS NADAW PO NILA ANG UNIT NILA, KULANG ANG GEAR OIL NG IMPLEMENTS, SILA NALANG DAW PO ANG BIBILI NG GEAR OIL NILA, SILA NADAW PO ANG MAGDAGDAG.</v>
      </c>
      <c r="L355" s="72"/>
      <c r="M355" s="2"/>
      <c r="N355" s="2"/>
      <c r="O355" s="2" t="str">
        <f>IFERROR(__xludf.DUMMYFUNCTION("""COMPUTED_VALUE"""),"N/A")</f>
        <v>N/A</v>
      </c>
      <c r="P355" s="2"/>
      <c r="Q355" s="2"/>
      <c r="R355" s="74">
        <f>IFERROR(__xludf.DUMMYFUNCTION("""COMPUTED_VALUE"""),45503.0)</f>
        <v>45503</v>
      </c>
      <c r="S355" s="2" t="str">
        <f>IFERROR(__xludf.DUMMYFUNCTION("""COMPUTED_VALUE"""),"JVV/ CFG")</f>
        <v>JVV/ CFG</v>
      </c>
      <c r="T355" s="73" t="str">
        <f>IFERROR(__xludf.DUMMYFUNCTION("""COMPUTED_VALUE""")," N/A ")</f>
        <v>N/A</v>
      </c>
      <c r="U355" s="73" t="str">
        <f>IFERROR(__xludf.DUMMYFUNCTION("""COMPUTED_VALUE""")," NO CHARGE ")</f>
        <v>NO CHARGE</v>
      </c>
      <c r="V355" s="2"/>
      <c r="W355" s="2" t="str">
        <f>IFERROR(__xludf.DUMMYFUNCTION("""COMPUTED_VALUE"""),"N/A")</f>
        <v>N/A</v>
      </c>
      <c r="X355" s="2" t="str">
        <f>IFERROR(__xludf.DUMMYFUNCTION("""COMPUTED_VALUE"""),"N/A")</f>
        <v>N/A</v>
      </c>
      <c r="Y355" s="2"/>
      <c r="Z355" s="2"/>
      <c r="AA355" s="2"/>
      <c r="AB355" s="2"/>
      <c r="AC355" s="2"/>
      <c r="AD355" s="2"/>
      <c r="AE355" s="2"/>
      <c r="AF355" s="2"/>
      <c r="AG355" s="2"/>
      <c r="AH355" s="2"/>
      <c r="AI355" s="2"/>
      <c r="AJ355" s="2" t="str">
        <f>IFERROR(__xludf.DUMMYFUNCTION("""COMPUTED_VALUE"""),"Toledo")</f>
        <v>Toledo</v>
      </c>
      <c r="AK355" s="2" t="str">
        <f>IFERROR(__xludf.DUMMYFUNCTION("""COMPUTED_VALUE"""),"Ramos")</f>
        <v>Ramos</v>
      </c>
      <c r="AL355" s="2" t="str">
        <f>IFERROR(__xludf.DUMMYFUNCTION("""COMPUTED_VALUE"""),"Tarlac")</f>
        <v>Tarlac</v>
      </c>
      <c r="AM355" s="2">
        <f>IFERROR(__xludf.DUMMYFUNCTION("""COMPUTED_VALUE"""),3.0)</f>
        <v>3</v>
      </c>
      <c r="AN355" s="2" t="str">
        <f>IFERROR(__xludf.DUMMYFUNCTION("""COMPUTED_VALUE"""),"RCEF 23-09-21 Rebidding")</f>
        <v>RCEF 23-09-21 Rebidding</v>
      </c>
      <c r="AO355" s="2">
        <f>IFERROR(__xludf.DUMMYFUNCTION("""COMPUTED_VALUE"""),3.0)</f>
        <v>3</v>
      </c>
      <c r="AP355" s="2"/>
      <c r="AQ355" s="2"/>
      <c r="AR355" s="2"/>
      <c r="AS355" s="2"/>
      <c r="AT355" s="2"/>
      <c r="AU355" s="2"/>
      <c r="AV355" s="2"/>
      <c r="AW355" s="2"/>
      <c r="AX355" s="2"/>
      <c r="AY355" s="2"/>
      <c r="AZ355" s="2"/>
      <c r="BA355" s="2"/>
      <c r="BB355" s="2"/>
    </row>
    <row r="356">
      <c r="A356" s="2">
        <f>IFERROR(__xludf.DUMMYFUNCTION("""COMPUTED_VALUE"""),352.0)</f>
        <v>352</v>
      </c>
      <c r="B356" s="2" t="str">
        <f>IFERROR(__xludf.DUMMYFUNCTION("""COMPUTED_VALUE"""),"COMPLETED")</f>
        <v>COMPLETED</v>
      </c>
      <c r="C356" s="74">
        <f>IFERROR(__xludf.DUMMYFUNCTION("""COMPUTED_VALUE"""),45503.0)</f>
        <v>45503</v>
      </c>
      <c r="D356" s="71" t="str">
        <f>IFERROR(__xludf.DUMMYFUNCTION("""COMPUTED_VALUE"""),"SIASON FARMERS IRRIGATOR'S ASSOCIATION, INC.")</f>
        <v>SIASON FARMERS IRRIGATOR'S ASSOCIATION, INC.</v>
      </c>
      <c r="E356" s="71" t="str">
        <f>IFERROR(__xludf.DUMMYFUNCTION("""COMPUTED_VALUE"""),"Santa Rita, Quezon, NUEVA ECIJA")</f>
        <v>Santa Rita, Quezon, NUEVA ECIJA</v>
      </c>
      <c r="F356" s="2" t="str">
        <f>IFERROR(__xludf.DUMMYFUNCTION("""COMPUTED_VALUE"""),"FILICIANO C. DORONIO")</f>
        <v>FILICIANO C. DORONIO</v>
      </c>
      <c r="G356" s="2">
        <f>IFERROR(__xludf.DUMMYFUNCTION("""COMPUTED_VALUE"""),9.385642182E9)</f>
        <v>9385642182</v>
      </c>
      <c r="H356" s="2"/>
      <c r="I356" s="72" t="str">
        <f>IFERROR(__xludf.DUMMYFUNCTION("""COMPUTED_VALUE"""),"REPAIR - TRACTOR")</f>
        <v>REPAIR - TRACTOR</v>
      </c>
      <c r="J356" s="72" t="str">
        <f>IFERROR(__xludf.DUMMYFUNCTION("""COMPUTED_VALUE"""),"CHECK UP")</f>
        <v>CHECK UP</v>
      </c>
      <c r="K356" s="72" t="str">
        <f>IFERROR(__xludf.DUMMYFUNCTION("""COMPUTED_VALUE"""),"ACS: WALA DAW PO ANG UNIT, KAYA KINAUSAP NALANG PO NAMIN SI FCA KONG ANUNG NAGIGING PROBLEMA NIL SA UNIT, SABI NAMAN PO NYA WALA NAMAN DAW PONG PROBLEMA, OK NAMAN DAW PO ANG UNIT  SAKA NA CHECK NA NILA ANG GEAR OIL NG IMPLEMENTS GOODS NAMAN.")</f>
        <v>ACS: WALA DAW PO ANG UNIT, KAYA KINAUSAP NALANG PO NAMIN SI FCA KONG ANUNG NAGIGING PROBLEMA NIL SA UNIT, SABI NAMAN PO NYA WALA NAMAN DAW PONG PROBLEMA, OK NAMAN DAW PO ANG UNIT  SAKA NA CHECK NA NILA ANG GEAR OIL NG IMPLEMENTS GOODS NAMAN.</v>
      </c>
      <c r="L356" s="72"/>
      <c r="M356" s="2"/>
      <c r="N356" s="2"/>
      <c r="O356" s="2" t="str">
        <f>IFERROR(__xludf.DUMMYFUNCTION("""COMPUTED_VALUE"""),"N/A")</f>
        <v>N/A</v>
      </c>
      <c r="P356" s="2"/>
      <c r="Q356" s="2"/>
      <c r="R356" s="74">
        <f>IFERROR(__xludf.DUMMYFUNCTION("""COMPUTED_VALUE"""),45503.0)</f>
        <v>45503</v>
      </c>
      <c r="S356" s="2" t="str">
        <f>IFERROR(__xludf.DUMMYFUNCTION("""COMPUTED_VALUE"""),"ACS/ JHP")</f>
        <v>ACS/ JHP</v>
      </c>
      <c r="T356" s="73" t="str">
        <f>IFERROR(__xludf.DUMMYFUNCTION("""COMPUTED_VALUE""")," N/A ")</f>
        <v>N/A</v>
      </c>
      <c r="U356" s="73" t="str">
        <f>IFERROR(__xludf.DUMMYFUNCTION("""COMPUTED_VALUE""")," NO CHARGE ")</f>
        <v>NO CHARGE</v>
      </c>
      <c r="V356" s="2"/>
      <c r="W356" s="2" t="str">
        <f>IFERROR(__xludf.DUMMYFUNCTION("""COMPUTED_VALUE"""),"N/A")</f>
        <v>N/A</v>
      </c>
      <c r="X356" s="2" t="str">
        <f>IFERROR(__xludf.DUMMYFUNCTION("""COMPUTED_VALUE"""),"N/A")</f>
        <v>N/A</v>
      </c>
      <c r="Y356" s="2"/>
      <c r="Z356" s="2"/>
      <c r="AA356" s="2"/>
      <c r="AB356" s="2"/>
      <c r="AC356" s="2"/>
      <c r="AD356" s="2"/>
      <c r="AE356" s="2"/>
      <c r="AF356" s="2"/>
      <c r="AG356" s="2"/>
      <c r="AH356" s="2"/>
      <c r="AI356" s="2"/>
      <c r="AJ356" s="2" t="str">
        <f>IFERROR(__xludf.DUMMYFUNCTION("""COMPUTED_VALUE"""),"Santa Rita")</f>
        <v>Santa Rita</v>
      </c>
      <c r="AK356" s="2" t="str">
        <f>IFERROR(__xludf.DUMMYFUNCTION("""COMPUTED_VALUE"""),"Quezon")</f>
        <v>Quezon</v>
      </c>
      <c r="AL356" s="2" t="str">
        <f>IFERROR(__xludf.DUMMYFUNCTION("""COMPUTED_VALUE"""),"Nueva Ecija")</f>
        <v>Nueva Ecija</v>
      </c>
      <c r="AM356" s="2">
        <f>IFERROR(__xludf.DUMMYFUNCTION("""COMPUTED_VALUE"""),3.0)</f>
        <v>3</v>
      </c>
      <c r="AN356" s="2" t="str">
        <f>IFERROR(__xludf.DUMMYFUNCTION("""COMPUTED_VALUE"""),"RCEF 23-09-21 Rebidding")</f>
        <v>RCEF 23-09-21 Rebidding</v>
      </c>
      <c r="AO356" s="2">
        <f>IFERROR(__xludf.DUMMYFUNCTION("""COMPUTED_VALUE"""),3.0)</f>
        <v>3</v>
      </c>
      <c r="AP356" s="2"/>
      <c r="AQ356" s="2"/>
      <c r="AR356" s="2"/>
      <c r="AS356" s="2"/>
      <c r="AT356" s="2"/>
      <c r="AU356" s="2"/>
      <c r="AV356" s="2"/>
      <c r="AW356" s="2"/>
      <c r="AX356" s="2"/>
      <c r="AY356" s="2"/>
      <c r="AZ356" s="2"/>
      <c r="BA356" s="2"/>
      <c r="BB356" s="2"/>
    </row>
    <row r="357">
      <c r="A357" s="2">
        <f>IFERROR(__xludf.DUMMYFUNCTION("""COMPUTED_VALUE"""),353.0)</f>
        <v>353</v>
      </c>
      <c r="B357" s="2" t="str">
        <f>IFERROR(__xludf.DUMMYFUNCTION("""COMPUTED_VALUE"""),"COMPLETED")</f>
        <v>COMPLETED</v>
      </c>
      <c r="C357" s="74">
        <f>IFERROR(__xludf.DUMMYFUNCTION("""COMPUTED_VALUE"""),45503.0)</f>
        <v>45503</v>
      </c>
      <c r="D357" s="71" t="str">
        <f>IFERROR(__xludf.DUMMYFUNCTION("""COMPUTED_VALUE"""),"Good Farmers Agriculture Cooperative")</f>
        <v>Good Farmers Agriculture Cooperative</v>
      </c>
      <c r="E357" s="71" t="str">
        <f>IFERROR(__xludf.DUMMYFUNCTION("""COMPUTED_VALUE"""),"Santa Rita, Quezon, NUEVA ECIJA")</f>
        <v>Santa Rita, Quezon, NUEVA ECIJA</v>
      </c>
      <c r="F357" s="2" t="str">
        <f>IFERROR(__xludf.DUMMYFUNCTION("""COMPUTED_VALUE"""),"NARCISO U. JULIAN")</f>
        <v>NARCISO U. JULIAN</v>
      </c>
      <c r="G357" s="2">
        <f>IFERROR(__xludf.DUMMYFUNCTION("""COMPUTED_VALUE"""),9.071142587E9)</f>
        <v>9071142587</v>
      </c>
      <c r="H357" s="2"/>
      <c r="I357" s="72" t="str">
        <f>IFERROR(__xludf.DUMMYFUNCTION("""COMPUTED_VALUE"""),"REPAIR - TRACTOR")</f>
        <v>REPAIR - TRACTOR</v>
      </c>
      <c r="J357" s="72" t="str">
        <f>IFERROR(__xludf.DUMMYFUNCTION("""COMPUTED_VALUE"""),"CHECK UP")</f>
        <v>CHECK UP</v>
      </c>
      <c r="K357" s="72" t="str">
        <f>IFERROR(__xludf.DUMMYFUNCTION("""COMPUTED_VALUE"""),"ACS: WALA DAW PO ANG UNIT, KAYA KINAUSAP NALANG PO NAMIN SI FCA KONG ANUNG NAGIGING PROBLEMA NIL SA UNIT, SABI NAMAN PO NYA WALA NAMAN DAW PONG PROBLEMA, OK NAMAN DAW PO ANG UNIT  SAKA NA CHECK NA NILA ANG GEAR OIL NG IMPLEMENTS GOODS NAMAN.")</f>
        <v>ACS: WALA DAW PO ANG UNIT, KAYA KINAUSAP NALANG PO NAMIN SI FCA KONG ANUNG NAGIGING PROBLEMA NIL SA UNIT, SABI NAMAN PO NYA WALA NAMAN DAW PONG PROBLEMA, OK NAMAN DAW PO ANG UNIT  SAKA NA CHECK NA NILA ANG GEAR OIL NG IMPLEMENTS GOODS NAMAN.</v>
      </c>
      <c r="L357" s="72"/>
      <c r="M357" s="2"/>
      <c r="N357" s="2"/>
      <c r="O357" s="2" t="str">
        <f>IFERROR(__xludf.DUMMYFUNCTION("""COMPUTED_VALUE"""),"N/A")</f>
        <v>N/A</v>
      </c>
      <c r="P357" s="2"/>
      <c r="Q357" s="2"/>
      <c r="R357" s="74">
        <f>IFERROR(__xludf.DUMMYFUNCTION("""COMPUTED_VALUE"""),45503.0)</f>
        <v>45503</v>
      </c>
      <c r="S357" s="2" t="str">
        <f>IFERROR(__xludf.DUMMYFUNCTION("""COMPUTED_VALUE"""),"ACS/ JHP")</f>
        <v>ACS/ JHP</v>
      </c>
      <c r="T357" s="73" t="str">
        <f>IFERROR(__xludf.DUMMYFUNCTION("""COMPUTED_VALUE""")," N/A ")</f>
        <v>N/A</v>
      </c>
      <c r="U357" s="73" t="str">
        <f>IFERROR(__xludf.DUMMYFUNCTION("""COMPUTED_VALUE""")," NO CHARGE ")</f>
        <v>NO CHARGE</v>
      </c>
      <c r="V357" s="2"/>
      <c r="W357" s="2" t="str">
        <f>IFERROR(__xludf.DUMMYFUNCTION("""COMPUTED_VALUE"""),"N/A")</f>
        <v>N/A</v>
      </c>
      <c r="X357" s="2" t="str">
        <f>IFERROR(__xludf.DUMMYFUNCTION("""COMPUTED_VALUE"""),"N/A")</f>
        <v>N/A</v>
      </c>
      <c r="Y357" s="2"/>
      <c r="Z357" s="2"/>
      <c r="AA357" s="2"/>
      <c r="AB357" s="2"/>
      <c r="AC357" s="2"/>
      <c r="AD357" s="2"/>
      <c r="AE357" s="2"/>
      <c r="AF357" s="2"/>
      <c r="AG357" s="2"/>
      <c r="AH357" s="2"/>
      <c r="AI357" s="2"/>
      <c r="AJ357" s="2" t="str">
        <f>IFERROR(__xludf.DUMMYFUNCTION("""COMPUTED_VALUE"""),"Santa Rita")</f>
        <v>Santa Rita</v>
      </c>
      <c r="AK357" s="2" t="str">
        <f>IFERROR(__xludf.DUMMYFUNCTION("""COMPUTED_VALUE"""),"Quezon")</f>
        <v>Quezon</v>
      </c>
      <c r="AL357" s="2" t="str">
        <f>IFERROR(__xludf.DUMMYFUNCTION("""COMPUTED_VALUE"""),"Nueva Ecija")</f>
        <v>Nueva Ecija</v>
      </c>
      <c r="AM357" s="2">
        <f>IFERROR(__xludf.DUMMYFUNCTION("""COMPUTED_VALUE"""),3.0)</f>
        <v>3</v>
      </c>
      <c r="AN357" s="2" t="str">
        <f>IFERROR(__xludf.DUMMYFUNCTION("""COMPUTED_VALUE"""),"RCEF 23-09-21 Rebidding")</f>
        <v>RCEF 23-09-21 Rebidding</v>
      </c>
      <c r="AO357" s="2">
        <f>IFERROR(__xludf.DUMMYFUNCTION("""COMPUTED_VALUE"""),3.0)</f>
        <v>3</v>
      </c>
      <c r="AP357" s="2"/>
      <c r="AQ357" s="2"/>
      <c r="AR357" s="2"/>
      <c r="AS357" s="2"/>
      <c r="AT357" s="2"/>
      <c r="AU357" s="2"/>
      <c r="AV357" s="2"/>
      <c r="AW357" s="2"/>
      <c r="AX357" s="2"/>
      <c r="AY357" s="2"/>
      <c r="AZ357" s="2"/>
      <c r="BA357" s="2"/>
      <c r="BB357" s="2"/>
    </row>
    <row r="358">
      <c r="A358" s="2">
        <f>IFERROR(__xludf.DUMMYFUNCTION("""COMPUTED_VALUE"""),354.0)</f>
        <v>354</v>
      </c>
      <c r="B358" s="2" t="str">
        <f>IFERROR(__xludf.DUMMYFUNCTION("""COMPUTED_VALUE"""),"COMPLETED")</f>
        <v>COMPLETED</v>
      </c>
      <c r="C358" s="74">
        <f>IFERROR(__xludf.DUMMYFUNCTION("""COMPUTED_VALUE"""),45503.0)</f>
        <v>45503</v>
      </c>
      <c r="D358" s="71" t="str">
        <f>IFERROR(__xludf.DUMMYFUNCTION("""COMPUTED_VALUE"""),"SAN CRISTOBAL FARMERS IRRIGATORS' ASSOCIATION, INC.")</f>
        <v>SAN CRISTOBAL FARMERS IRRIGATORS' ASSOCIATION, INC.</v>
      </c>
      <c r="E358" s="71" t="str">
        <f>IFERROR(__xludf.DUMMYFUNCTION("""COMPUTED_VALUE"""),"San Cristobal, Licab, NUEVA ECIJA")</f>
        <v>San Cristobal, Licab, NUEVA ECIJA</v>
      </c>
      <c r="F358" s="2" t="str">
        <f>IFERROR(__xludf.DUMMYFUNCTION("""COMPUTED_VALUE"""),"ALFREDO M. LOZANO")</f>
        <v>ALFREDO M. LOZANO</v>
      </c>
      <c r="G358" s="2">
        <f>IFERROR(__xludf.DUMMYFUNCTION("""COMPUTED_VALUE"""),9.067332025E9)</f>
        <v>9067332025</v>
      </c>
      <c r="H358" s="2">
        <f>IFERROR(__xludf.DUMMYFUNCTION("""COMPUTED_VALUE"""),144.0)</f>
        <v>144</v>
      </c>
      <c r="I358" s="72" t="str">
        <f>IFERROR(__xludf.DUMMYFUNCTION("""COMPUTED_VALUE"""),"REPAIR - TRACTOR")</f>
        <v>REPAIR - TRACTOR</v>
      </c>
      <c r="J358" s="72" t="str">
        <f>IFERROR(__xludf.DUMMYFUNCTION("""COMPUTED_VALUE"""),"CHECK UP")</f>
        <v>CHECK UP</v>
      </c>
      <c r="K358" s="72" t="str">
        <f>IFERROR(__xludf.DUMMYFUNCTION("""COMPUTED_VALUE"""),"ACS: CHECK UP UNIT")</f>
        <v>ACS: CHECK UP UNIT</v>
      </c>
      <c r="L358" s="72" t="str">
        <f>IFERROR(__xludf.DUMMYFUNCTION("""COMPUTED_VALUE"""),"ACS: CHECK TYM TRACTOR AND IMPLEMENTS ALL GOODS NAMAN PO")</f>
        <v>ACS: CHECK TYM TRACTOR AND IMPLEMENTS ALL GOODS NAMAN PO</v>
      </c>
      <c r="M358" s="2"/>
      <c r="N358" s="2"/>
      <c r="O358" s="2" t="str">
        <f>IFERROR(__xludf.DUMMYFUNCTION("""COMPUTED_VALUE"""),"N/A")</f>
        <v>N/A</v>
      </c>
      <c r="P358" s="2"/>
      <c r="Q358" s="2"/>
      <c r="R358" s="74">
        <f>IFERROR(__xludf.DUMMYFUNCTION("""COMPUTED_VALUE"""),45503.0)</f>
        <v>45503</v>
      </c>
      <c r="S358" s="2" t="str">
        <f>IFERROR(__xludf.DUMMYFUNCTION("""COMPUTED_VALUE"""),"ACS/JHP")</f>
        <v>ACS/JHP</v>
      </c>
      <c r="T358" s="73" t="str">
        <f>IFERROR(__xludf.DUMMYFUNCTION("""COMPUTED_VALUE""")," N/A ")</f>
        <v>N/A</v>
      </c>
      <c r="U358" s="73" t="str">
        <f>IFERROR(__xludf.DUMMYFUNCTION("""COMPUTED_VALUE""")," NO CHARGE ")</f>
        <v>NO CHARGE</v>
      </c>
      <c r="V358" s="2"/>
      <c r="W358" s="2" t="str">
        <f>IFERROR(__xludf.DUMMYFUNCTION("""COMPUTED_VALUE"""),"N/A")</f>
        <v>N/A</v>
      </c>
      <c r="X358" s="2" t="str">
        <f>IFERROR(__xludf.DUMMYFUNCTION("""COMPUTED_VALUE"""),"N/A")</f>
        <v>N/A</v>
      </c>
      <c r="Y358" s="2"/>
      <c r="Z358" s="2"/>
      <c r="AA358" s="2"/>
      <c r="AB358" s="2"/>
      <c r="AC358" s="2"/>
      <c r="AD358" s="2"/>
      <c r="AE358" s="2"/>
      <c r="AF358" s="2"/>
      <c r="AG358" s="2"/>
      <c r="AH358" s="2"/>
      <c r="AI358" s="2"/>
      <c r="AJ358" s="2" t="str">
        <f>IFERROR(__xludf.DUMMYFUNCTION("""COMPUTED_VALUE"""),"San Cristobal")</f>
        <v>San Cristobal</v>
      </c>
      <c r="AK358" s="2" t="str">
        <f>IFERROR(__xludf.DUMMYFUNCTION("""COMPUTED_VALUE"""),"Licab")</f>
        <v>Licab</v>
      </c>
      <c r="AL358" s="2" t="str">
        <f>IFERROR(__xludf.DUMMYFUNCTION("""COMPUTED_VALUE"""),"Nueva Ecija")</f>
        <v>Nueva Ecija</v>
      </c>
      <c r="AM358" s="2">
        <f>IFERROR(__xludf.DUMMYFUNCTION("""COMPUTED_VALUE"""),3.0)</f>
        <v>3</v>
      </c>
      <c r="AN358" s="2" t="str">
        <f>IFERROR(__xludf.DUMMYFUNCTION("""COMPUTED_VALUE"""),"RCEF 23-09-21 Rebidding")</f>
        <v>RCEF 23-09-21 Rebidding</v>
      </c>
      <c r="AO358" s="2">
        <f>IFERROR(__xludf.DUMMYFUNCTION("""COMPUTED_VALUE"""),3.0)</f>
        <v>3</v>
      </c>
      <c r="AP358" s="2"/>
      <c r="AQ358" s="2"/>
      <c r="AR358" s="2"/>
      <c r="AS358" s="2"/>
      <c r="AT358" s="2"/>
      <c r="AU358" s="2"/>
      <c r="AV358" s="2"/>
      <c r="AW358" s="2"/>
      <c r="AX358" s="2"/>
      <c r="AY358" s="2"/>
      <c r="AZ358" s="2"/>
      <c r="BA358" s="2"/>
      <c r="BB358" s="2"/>
    </row>
    <row r="359">
      <c r="A359" s="2">
        <f>IFERROR(__xludf.DUMMYFUNCTION("""COMPUTED_VALUE"""),355.0)</f>
        <v>355</v>
      </c>
      <c r="B359" s="2" t="str">
        <f>IFERROR(__xludf.DUMMYFUNCTION("""COMPUTED_VALUE"""),"COMPLETED")</f>
        <v>COMPLETED</v>
      </c>
      <c r="C359" s="74">
        <f>IFERROR(__xludf.DUMMYFUNCTION("""COMPUTED_VALUE"""),45503.0)</f>
        <v>45503</v>
      </c>
      <c r="D359" s="71" t="str">
        <f>IFERROR(__xludf.DUMMYFUNCTION("""COMPUTED_VALUE"""),"Good Farmers Agriculture Cooperative")</f>
        <v>Good Farmers Agriculture Cooperative</v>
      </c>
      <c r="E359" s="71" t="str">
        <f>IFERROR(__xludf.DUMMYFUNCTION("""COMPUTED_VALUE"""),"Santa Rita, Quezon, NUEVA ECIJA")</f>
        <v>Santa Rita, Quezon, NUEVA ECIJA</v>
      </c>
      <c r="F359" s="2" t="str">
        <f>IFERROR(__xludf.DUMMYFUNCTION("""COMPUTED_VALUE"""),"NARCISO U. JULIAN")</f>
        <v>NARCISO U. JULIAN</v>
      </c>
      <c r="G359" s="2">
        <f>IFERROR(__xludf.DUMMYFUNCTION("""COMPUTED_VALUE"""),9.071142587E9)</f>
        <v>9071142587</v>
      </c>
      <c r="H359" s="2"/>
      <c r="I359" s="72" t="str">
        <f>IFERROR(__xludf.DUMMYFUNCTION("""COMPUTED_VALUE"""),"REPAIR - TRACTOR")</f>
        <v>REPAIR - TRACTOR</v>
      </c>
      <c r="J359" s="72" t="str">
        <f>IFERROR(__xludf.DUMMYFUNCTION("""COMPUTED_VALUE"""),"CHECK UP")</f>
        <v>CHECK UP</v>
      </c>
      <c r="K359" s="72" t="str">
        <f>IFERROR(__xludf.DUMMYFUNCTION("""COMPUTED_VALUE"""),"CHECK UP UNIT")</f>
        <v>CHECK UP UNIT</v>
      </c>
      <c r="L359" s="72" t="str">
        <f>IFERROR(__xludf.DUMMYFUNCTION("""COMPUTED_VALUE"""),"ACS: Wala daw po yong unit kaya kinausap nalang po namin si FCA Kong ano po Ang nagiging problem nila about sa unit. Sabi Naman po nya wala Naman daw pong problema ok Naman daw po Ang unit Saka na check na nila mga gear oil Ng implements goods Naman 
")</f>
        <v>ACS: Wala daw po yong unit kaya kinausap nalang po namin si FCA Kong ano po Ang nagiging problem nila about sa unit. Sabi Naman po nya wala Naman daw pong problema ok Naman daw po Ang unit Saka na check na nila mga gear oil Ng implements goods Naman 
</v>
      </c>
      <c r="M359" s="2"/>
      <c r="N359" s="2"/>
      <c r="O359" s="2" t="str">
        <f>IFERROR(__xludf.DUMMYFUNCTION("""COMPUTED_VALUE"""),"N/A")</f>
        <v>N/A</v>
      </c>
      <c r="P359" s="2"/>
      <c r="Q359" s="2"/>
      <c r="R359" s="74">
        <f>IFERROR(__xludf.DUMMYFUNCTION("""COMPUTED_VALUE"""),45503.0)</f>
        <v>45503</v>
      </c>
      <c r="S359" s="2" t="str">
        <f>IFERROR(__xludf.DUMMYFUNCTION("""COMPUTED_VALUE"""),"ACS/JHP")</f>
        <v>ACS/JHP</v>
      </c>
      <c r="T359" s="73" t="str">
        <f>IFERROR(__xludf.DUMMYFUNCTION("""COMPUTED_VALUE""")," N/A ")</f>
        <v>N/A</v>
      </c>
      <c r="U359" s="73" t="str">
        <f>IFERROR(__xludf.DUMMYFUNCTION("""COMPUTED_VALUE""")," NO CHARGE ")</f>
        <v>NO CHARGE</v>
      </c>
      <c r="V359" s="2"/>
      <c r="W359" s="2" t="str">
        <f>IFERROR(__xludf.DUMMYFUNCTION("""COMPUTED_VALUE"""),"N/A")</f>
        <v>N/A</v>
      </c>
      <c r="X359" s="2" t="str">
        <f>IFERROR(__xludf.DUMMYFUNCTION("""COMPUTED_VALUE"""),"N/A")</f>
        <v>N/A</v>
      </c>
      <c r="Y359" s="2"/>
      <c r="Z359" s="2"/>
      <c r="AA359" s="2"/>
      <c r="AB359" s="2"/>
      <c r="AC359" s="2"/>
      <c r="AD359" s="2"/>
      <c r="AE359" s="2"/>
      <c r="AF359" s="2"/>
      <c r="AG359" s="2"/>
      <c r="AH359" s="2"/>
      <c r="AI359" s="2"/>
      <c r="AJ359" s="2" t="str">
        <f>IFERROR(__xludf.DUMMYFUNCTION("""COMPUTED_VALUE"""),"Santa Rita")</f>
        <v>Santa Rita</v>
      </c>
      <c r="AK359" s="2" t="str">
        <f>IFERROR(__xludf.DUMMYFUNCTION("""COMPUTED_VALUE"""),"Quezon")</f>
        <v>Quezon</v>
      </c>
      <c r="AL359" s="2" t="str">
        <f>IFERROR(__xludf.DUMMYFUNCTION("""COMPUTED_VALUE"""),"Nueva Ecija")</f>
        <v>Nueva Ecija</v>
      </c>
      <c r="AM359" s="2">
        <f>IFERROR(__xludf.DUMMYFUNCTION("""COMPUTED_VALUE"""),3.0)</f>
        <v>3</v>
      </c>
      <c r="AN359" s="2" t="str">
        <f>IFERROR(__xludf.DUMMYFUNCTION("""COMPUTED_VALUE"""),"RCEF 23-09-21 Rebidding")</f>
        <v>RCEF 23-09-21 Rebidding</v>
      </c>
      <c r="AO359" s="2">
        <f>IFERROR(__xludf.DUMMYFUNCTION("""COMPUTED_VALUE"""),3.0)</f>
        <v>3</v>
      </c>
      <c r="AP359" s="2"/>
      <c r="AQ359" s="2"/>
      <c r="AR359" s="2"/>
      <c r="AS359" s="2"/>
      <c r="AT359" s="2"/>
      <c r="AU359" s="2"/>
      <c r="AV359" s="2"/>
      <c r="AW359" s="2"/>
      <c r="AX359" s="2"/>
      <c r="AY359" s="2"/>
      <c r="AZ359" s="2"/>
      <c r="BA359" s="2"/>
      <c r="BB359" s="2"/>
    </row>
    <row r="360">
      <c r="A360" s="2">
        <f>IFERROR(__xludf.DUMMYFUNCTION("""COMPUTED_VALUE"""),356.0)</f>
        <v>356</v>
      </c>
      <c r="B360" s="2" t="str">
        <f>IFERROR(__xludf.DUMMYFUNCTION("""COMPUTED_VALUE"""),"COMPLETED")</f>
        <v>COMPLETED</v>
      </c>
      <c r="C360" s="74">
        <f>IFERROR(__xludf.DUMMYFUNCTION("""COMPUTED_VALUE"""),45503.0)</f>
        <v>45503</v>
      </c>
      <c r="D360" s="71" t="str">
        <f>IFERROR(__xludf.DUMMYFUNCTION("""COMPUTED_VALUE"""),"SIASON FARMERS IRRIGATOR'S ASSOCIATION, INC.")</f>
        <v>SIASON FARMERS IRRIGATOR'S ASSOCIATION, INC.</v>
      </c>
      <c r="E360" s="71" t="str">
        <f>IFERROR(__xludf.DUMMYFUNCTION("""COMPUTED_VALUE"""),"Santa Rita, Quezon, NUEVA ECIJA")</f>
        <v>Santa Rita, Quezon, NUEVA ECIJA</v>
      </c>
      <c r="F360" s="2" t="str">
        <f>IFERROR(__xludf.DUMMYFUNCTION("""COMPUTED_VALUE"""),"Filiciano C. Doronio")</f>
        <v>Filiciano C. Doronio</v>
      </c>
      <c r="G360" s="2">
        <f>IFERROR(__xludf.DUMMYFUNCTION("""COMPUTED_VALUE"""),9.385642182E9)</f>
        <v>9385642182</v>
      </c>
      <c r="H360" s="2"/>
      <c r="I360" s="72" t="str">
        <f>IFERROR(__xludf.DUMMYFUNCTION("""COMPUTED_VALUE"""),"REPAIR - TRACTOR")</f>
        <v>REPAIR - TRACTOR</v>
      </c>
      <c r="J360" s="72" t="str">
        <f>IFERROR(__xludf.DUMMYFUNCTION("""COMPUTED_VALUE"""),"CHECK UP")</f>
        <v>CHECK UP</v>
      </c>
      <c r="K360" s="72" t="str">
        <f>IFERROR(__xludf.DUMMYFUNCTION("""COMPUTED_VALUE"""),"CHECK UP UNIT")</f>
        <v>CHECK UP UNIT</v>
      </c>
      <c r="L360" s="72" t="str">
        <f>IFERROR(__xludf.DUMMYFUNCTION("""COMPUTED_VALUE"""),"ACS: Wala daw po yong unit kaya kinausap nalang po namin si FCA Kong ano po Ang nagiging problem nila about sa unit. Sabi Naman po nya wala Naman daw pong problema ok Naman daw po Ang unit Saka na check na nila mga gear oil Ng implements goods Naman 
")</f>
        <v>ACS: Wala daw po yong unit kaya kinausap nalang po namin si FCA Kong ano po Ang nagiging problem nila about sa unit. Sabi Naman po nya wala Naman daw pong problema ok Naman daw po Ang unit Saka na check na nila mga gear oil Ng implements goods Naman 
</v>
      </c>
      <c r="M360" s="2"/>
      <c r="N360" s="2"/>
      <c r="O360" s="2" t="str">
        <f>IFERROR(__xludf.DUMMYFUNCTION("""COMPUTED_VALUE"""),"N/A")</f>
        <v>N/A</v>
      </c>
      <c r="P360" s="2"/>
      <c r="Q360" s="2"/>
      <c r="R360" s="74">
        <f>IFERROR(__xludf.DUMMYFUNCTION("""COMPUTED_VALUE"""),45503.0)</f>
        <v>45503</v>
      </c>
      <c r="S360" s="2" t="str">
        <f>IFERROR(__xludf.DUMMYFUNCTION("""COMPUTED_VALUE"""),"ACS/JHP")</f>
        <v>ACS/JHP</v>
      </c>
      <c r="T360" s="73" t="str">
        <f>IFERROR(__xludf.DUMMYFUNCTION("""COMPUTED_VALUE""")," N/A ")</f>
        <v>N/A</v>
      </c>
      <c r="U360" s="73" t="str">
        <f>IFERROR(__xludf.DUMMYFUNCTION("""COMPUTED_VALUE""")," NO CHARGE ")</f>
        <v>NO CHARGE</v>
      </c>
      <c r="V360" s="2"/>
      <c r="W360" s="2" t="str">
        <f>IFERROR(__xludf.DUMMYFUNCTION("""COMPUTED_VALUE"""),"N/A")</f>
        <v>N/A</v>
      </c>
      <c r="X360" s="2" t="str">
        <f>IFERROR(__xludf.DUMMYFUNCTION("""COMPUTED_VALUE"""),"N/A")</f>
        <v>N/A</v>
      </c>
      <c r="Y360" s="2"/>
      <c r="Z360" s="2"/>
      <c r="AA360" s="2"/>
      <c r="AB360" s="2"/>
      <c r="AC360" s="2"/>
      <c r="AD360" s="2"/>
      <c r="AE360" s="2"/>
      <c r="AF360" s="2"/>
      <c r="AG360" s="2"/>
      <c r="AH360" s="2"/>
      <c r="AI360" s="2"/>
      <c r="AJ360" s="2" t="str">
        <f>IFERROR(__xludf.DUMMYFUNCTION("""COMPUTED_VALUE"""),"Santa Rita")</f>
        <v>Santa Rita</v>
      </c>
      <c r="AK360" s="2" t="str">
        <f>IFERROR(__xludf.DUMMYFUNCTION("""COMPUTED_VALUE"""),"Quezon")</f>
        <v>Quezon</v>
      </c>
      <c r="AL360" s="2" t="str">
        <f>IFERROR(__xludf.DUMMYFUNCTION("""COMPUTED_VALUE"""),"Nueva Ecija")</f>
        <v>Nueva Ecija</v>
      </c>
      <c r="AM360" s="2">
        <f>IFERROR(__xludf.DUMMYFUNCTION("""COMPUTED_VALUE"""),3.0)</f>
        <v>3</v>
      </c>
      <c r="AN360" s="2" t="str">
        <f>IFERROR(__xludf.DUMMYFUNCTION("""COMPUTED_VALUE"""),"RCEF 23-09-21 Rebidding")</f>
        <v>RCEF 23-09-21 Rebidding</v>
      </c>
      <c r="AO360" s="2">
        <f>IFERROR(__xludf.DUMMYFUNCTION("""COMPUTED_VALUE"""),3.0)</f>
        <v>3</v>
      </c>
      <c r="AP360" s="2"/>
      <c r="AQ360" s="2"/>
      <c r="AR360" s="2"/>
      <c r="AS360" s="2"/>
      <c r="AT360" s="2"/>
      <c r="AU360" s="2"/>
      <c r="AV360" s="2"/>
      <c r="AW360" s="2"/>
      <c r="AX360" s="2"/>
      <c r="AY360" s="2"/>
      <c r="AZ360" s="2"/>
      <c r="BA360" s="2"/>
      <c r="BB360" s="2"/>
    </row>
    <row r="361">
      <c r="A361" s="2">
        <f>IFERROR(__xludf.DUMMYFUNCTION("""COMPUTED_VALUE"""),357.0)</f>
        <v>357</v>
      </c>
      <c r="B361" s="2" t="str">
        <f>IFERROR(__xludf.DUMMYFUNCTION("""COMPUTED_VALUE"""),"COMPLETED")</f>
        <v>COMPLETED</v>
      </c>
      <c r="C361" s="74">
        <f>IFERROR(__xludf.DUMMYFUNCTION("""COMPUTED_VALUE"""),45503.0)</f>
        <v>45503</v>
      </c>
      <c r="D361" s="71" t="str">
        <f>IFERROR(__xludf.DUMMYFUNCTION("""COMPUTED_VALUE"""),"KAISAHAN IRRIGATOR'S ASSOCIATION INC.")</f>
        <v>KAISAHAN IRRIGATOR'S ASSOCIATION INC.</v>
      </c>
      <c r="E361" s="71" t="str">
        <f>IFERROR(__xludf.DUMMYFUNCTION("""COMPUTED_VALUE"""),"San Fabian, Santo Domingo, NUEVA ECIJA")</f>
        <v>San Fabian, Santo Domingo, NUEVA ECIJA</v>
      </c>
      <c r="F361" s="2" t="str">
        <f>IFERROR(__xludf.DUMMYFUNCTION("""COMPUTED_VALUE"""),"DARWIN D. CACAL")</f>
        <v>DARWIN D. CACAL</v>
      </c>
      <c r="G361" s="2">
        <f>IFERROR(__xludf.DUMMYFUNCTION("""COMPUTED_VALUE"""),9.757212437E9)</f>
        <v>9757212437</v>
      </c>
      <c r="H361" s="2">
        <f>IFERROR(__xludf.DUMMYFUNCTION("""COMPUTED_VALUE"""),385.0)</f>
        <v>385</v>
      </c>
      <c r="I361" s="72" t="str">
        <f>IFERROR(__xludf.DUMMYFUNCTION("""COMPUTED_VALUE"""),"REPAIR - TRACTOR")</f>
        <v>REPAIR - TRACTOR</v>
      </c>
      <c r="J361" s="72" t="str">
        <f>IFERROR(__xludf.DUMMYFUNCTION("""COMPUTED_VALUE"""),"CHECK UP")</f>
        <v>CHECK UP</v>
      </c>
      <c r="K361" s="72" t="str">
        <f>IFERROR(__xludf.DUMMYFUNCTION("""COMPUTED_VALUE"""),"ACS: UPON CHECK UP, FOR SECOND PMS NA ANG UNIT
ACS: 1ST WEEK OF AUGUST, DAHIL WALA PANG BUDGET SI FARMER
ACS, JHP: 8/19/24: NAG PAPACHAGE OIL NA, NEED NALANG PUNTAHAN THIS WEEK")</f>
        <v>ACS: UPON CHECK UP, FOR SECOND PMS NA ANG UNIT
ACS: 1ST WEEK OF AUGUST, DAHIL WALA PANG BUDGET SI FARMER
ACS, JHP: 8/19/24: NAG PAPACHAGE OIL NA, NEED NALANG PUNTAHAN THIS WEEK</v>
      </c>
      <c r="L361" s="72" t="str">
        <f>IFERROR(__xludf.DUMMYFUNCTION("""COMPUTED_VALUE"""),"ACS: need napo ma second pms Sabi Naman po ni FCA sa last week nalang daw po Ng October Kasi wala pa daw po Silang badjet Saka nd na daw po nila ginagamit yong unit.
CANCELLED 2ND PMS")</f>
        <v>ACS: need napo ma second pms Sabi Naman po ni FCA sa last week nalang daw po Ng October Kasi wala pa daw po Silang badjet Saka nd na daw po nila ginagamit yong unit.
CANCELLED 2ND PMS</v>
      </c>
      <c r="M361" s="2"/>
      <c r="N361" s="2"/>
      <c r="O361" s="2" t="str">
        <f>IFERROR(__xludf.DUMMYFUNCTION("""COMPUTED_VALUE"""),"JIE-941")</f>
        <v>JIE-941</v>
      </c>
      <c r="P361" s="2"/>
      <c r="Q361" s="2"/>
      <c r="R361" s="74">
        <f>IFERROR(__xludf.DUMMYFUNCTION("""COMPUTED_VALUE"""),45525.0)</f>
        <v>45525</v>
      </c>
      <c r="S361" s="2" t="str">
        <f>IFERROR(__xludf.DUMMYFUNCTION("""COMPUTED_VALUE"""),"ACS/JHP")</f>
        <v>ACS/JHP</v>
      </c>
      <c r="T361" s="73" t="str">
        <f>IFERROR(__xludf.DUMMYFUNCTION("""COMPUTED_VALUE""")," N/A ")</f>
        <v>N/A</v>
      </c>
      <c r="U361" s="73" t="str">
        <f>IFERROR(__xludf.DUMMYFUNCTION("""COMPUTED_VALUE""")," NO CHARGE ")</f>
        <v>NO CHARGE</v>
      </c>
      <c r="V361" s="2"/>
      <c r="W361" s="2" t="str">
        <f>IFERROR(__xludf.DUMMYFUNCTION("""COMPUTED_VALUE"""),"N/A")</f>
        <v>N/A</v>
      </c>
      <c r="X361" s="2" t="str">
        <f>IFERROR(__xludf.DUMMYFUNCTION("""COMPUTED_VALUE"""),"N/A")</f>
        <v>N/A</v>
      </c>
      <c r="Y361" s="2"/>
      <c r="Z361" s="2"/>
      <c r="AA361" s="2"/>
      <c r="AB361" s="2"/>
      <c r="AC361" s="2"/>
      <c r="AD361" s="2"/>
      <c r="AE361" s="2"/>
      <c r="AF361" s="2"/>
      <c r="AG361" s="2"/>
      <c r="AH361" s="2"/>
      <c r="AI361" s="2"/>
      <c r="AJ361" s="2" t="str">
        <f>IFERROR(__xludf.DUMMYFUNCTION("""COMPUTED_VALUE"""),"San Fabian")</f>
        <v>San Fabian</v>
      </c>
      <c r="AK361" s="2" t="str">
        <f>IFERROR(__xludf.DUMMYFUNCTION("""COMPUTED_VALUE"""),"Santo Domingo")</f>
        <v>Santo Domingo</v>
      </c>
      <c r="AL361" s="2" t="str">
        <f>IFERROR(__xludf.DUMMYFUNCTION("""COMPUTED_VALUE"""),"Nueva Ecija")</f>
        <v>Nueva Ecija</v>
      </c>
      <c r="AM361" s="2">
        <f>IFERROR(__xludf.DUMMYFUNCTION("""COMPUTED_VALUE"""),3.0)</f>
        <v>3</v>
      </c>
      <c r="AN361" s="2" t="str">
        <f>IFERROR(__xludf.DUMMYFUNCTION("""COMPUTED_VALUE"""),"RCEF 23-09-21 Rebidding")</f>
        <v>RCEF 23-09-21 Rebidding</v>
      </c>
      <c r="AO361" s="2">
        <f>IFERROR(__xludf.DUMMYFUNCTION("""COMPUTED_VALUE"""),3.0)</f>
        <v>3</v>
      </c>
      <c r="AP361" s="2"/>
      <c r="AQ361" s="2"/>
      <c r="AR361" s="2"/>
      <c r="AS361" s="2"/>
      <c r="AT361" s="2"/>
      <c r="AU361" s="2"/>
      <c r="AV361" s="2"/>
      <c r="AW361" s="2"/>
      <c r="AX361" s="2"/>
      <c r="AY361" s="2"/>
      <c r="AZ361" s="2"/>
      <c r="BA361" s="2"/>
      <c r="BB361" s="2"/>
    </row>
    <row r="362">
      <c r="A362" s="2">
        <f>IFERROR(__xludf.DUMMYFUNCTION("""COMPUTED_VALUE"""),358.0)</f>
        <v>358</v>
      </c>
      <c r="B362" s="2" t="str">
        <f>IFERROR(__xludf.DUMMYFUNCTION("""COMPUTED_VALUE"""),"COMPLETED")</f>
        <v>COMPLETED</v>
      </c>
      <c r="C362" s="74">
        <f>IFERROR(__xludf.DUMMYFUNCTION("""COMPUTED_VALUE"""),45504.0)</f>
        <v>45504</v>
      </c>
      <c r="D362" s="71" t="str">
        <f>IFERROR(__xludf.DUMMYFUNCTION("""COMPUTED_VALUE"""),"Mapalad Farmers Field School Agriculture Cooperative")</f>
        <v>Mapalad Farmers Field School Agriculture Cooperative</v>
      </c>
      <c r="E362" s="71" t="str">
        <f>IFERROR(__xludf.DUMMYFUNCTION("""COMPUTED_VALUE"""),"Lomboy, La Paz, TARLAC")</f>
        <v>Lomboy, La Paz, TARLAC</v>
      </c>
      <c r="F362" s="2"/>
      <c r="G362" s="2"/>
      <c r="H362" s="2"/>
      <c r="I362" s="72" t="str">
        <f>IFERROR(__xludf.DUMMYFUNCTION("""COMPUTED_VALUE"""),"REPAIR - TRACTOR")</f>
        <v>REPAIR - TRACTOR</v>
      </c>
      <c r="J362" s="72" t="str">
        <f>IFERROR(__xludf.DUMMYFUNCTION("""COMPUTED_VALUE"""),"CHECK UP")</f>
        <v>CHECK UP</v>
      </c>
      <c r="K362" s="72" t="str">
        <f>IFERROR(__xludf.DUMMYFUNCTION("""COMPUTED_VALUE"""),"JVV: CHECK UP UNIT
NEED 2ND PMS")</f>
        <v>JVV: CHECK UP UNIT
NEED 2ND PMS</v>
      </c>
      <c r="L362" s="72" t="str">
        <f>IFERROR(__xludf.DUMMYFUNCTION("""COMPUTED_VALUE"""),"JVV: OK NAMAN YUNG UNIT, YUNG IMPLEMENTS NAMAN PO KULANG NG GEAR OIL SINABI PO NMAIN NA  DAGDAGAN NALANG, SIANBI DIN PO NAMIN NA MAG PA 2ND PMS NA SILA KASI 311 HRS NA ANG UNIT , ANG SABI PO AY TATAWAG NALANG DAW PO KASI YUNG PRESIDENTE NILA AY NASA MEETI"&amp;"NG  HAPON NA PO MAKAKAUWI KAYA HINDI NA PO NAMIN ININTAY.")</f>
        <v>JVV: OK NAMAN YUNG UNIT, YUNG IMPLEMENTS NAMAN PO KULANG NG GEAR OIL SINABI PO NMAIN NA  DAGDAGAN NALANG, SIANBI DIN PO NAMIN NA MAG PA 2ND PMS NA SILA KASI 311 HRS NA ANG UNIT , ANG SABI PO AY TATAWAG NALANG DAW PO KASI YUNG PRESIDENTE NILA AY NASA MEETING  HAPON NA PO MAKAKAUWI KAYA HINDI NA PO NAMIN ININTAY.</v>
      </c>
      <c r="M362" s="2"/>
      <c r="N362" s="2"/>
      <c r="O362" s="2" t="str">
        <f>IFERROR(__xludf.DUMMYFUNCTION("""COMPUTED_VALUE"""),"N/A")</f>
        <v>N/A</v>
      </c>
      <c r="P362" s="2"/>
      <c r="Q362" s="2"/>
      <c r="R362" s="74">
        <f>IFERROR(__xludf.DUMMYFUNCTION("""COMPUTED_VALUE"""),45504.0)</f>
        <v>45504</v>
      </c>
      <c r="S362" s="2" t="str">
        <f>IFERROR(__xludf.DUMMYFUNCTION("""COMPUTED_VALUE"""),"JVV/CFG")</f>
        <v>JVV/CFG</v>
      </c>
      <c r="T362" s="73" t="str">
        <f>IFERROR(__xludf.DUMMYFUNCTION("""COMPUTED_VALUE""")," N/A ")</f>
        <v>N/A</v>
      </c>
      <c r="U362" s="73" t="str">
        <f>IFERROR(__xludf.DUMMYFUNCTION("""COMPUTED_VALUE""")," NO CHARGE ")</f>
        <v>NO CHARGE</v>
      </c>
      <c r="V362" s="2"/>
      <c r="W362" s="2" t="str">
        <f>IFERROR(__xludf.DUMMYFUNCTION("""COMPUTED_VALUE"""),"N/A")</f>
        <v>N/A</v>
      </c>
      <c r="X362" s="2" t="str">
        <f>IFERROR(__xludf.DUMMYFUNCTION("""COMPUTED_VALUE"""),"N/A")</f>
        <v>N/A</v>
      </c>
      <c r="Y362" s="2"/>
      <c r="Z362" s="2"/>
      <c r="AA362" s="2"/>
      <c r="AB362" s="2"/>
      <c r="AC362" s="2"/>
      <c r="AD362" s="2"/>
      <c r="AE362" s="2"/>
      <c r="AF362" s="2"/>
      <c r="AG362" s="2"/>
      <c r="AH362" s="2"/>
      <c r="AI362" s="2"/>
      <c r="AJ362" s="2" t="str">
        <f>IFERROR(__xludf.DUMMYFUNCTION("""COMPUTED_VALUE"""),"Lomboy")</f>
        <v>Lomboy</v>
      </c>
      <c r="AK362" s="2" t="str">
        <f>IFERROR(__xludf.DUMMYFUNCTION("""COMPUTED_VALUE"""),"La Paz")</f>
        <v>La Paz</v>
      </c>
      <c r="AL362" s="2" t="str">
        <f>IFERROR(__xludf.DUMMYFUNCTION("""COMPUTED_VALUE"""),"Tarlac")</f>
        <v>Tarlac</v>
      </c>
      <c r="AM362" s="2">
        <f>IFERROR(__xludf.DUMMYFUNCTION("""COMPUTED_VALUE"""),3.0)</f>
        <v>3</v>
      </c>
      <c r="AN362" s="2" t="str">
        <f>IFERROR(__xludf.DUMMYFUNCTION("""COMPUTED_VALUE"""),"RCEF 23-09-21 Rebidding")</f>
        <v>RCEF 23-09-21 Rebidding</v>
      </c>
      <c r="AO362" s="2">
        <f>IFERROR(__xludf.DUMMYFUNCTION("""COMPUTED_VALUE"""),3.0)</f>
        <v>3</v>
      </c>
      <c r="AP362" s="2"/>
      <c r="AQ362" s="2"/>
      <c r="AR362" s="2"/>
      <c r="AS362" s="2"/>
      <c r="AT362" s="2"/>
      <c r="AU362" s="2"/>
      <c r="AV362" s="2"/>
      <c r="AW362" s="2"/>
      <c r="AX362" s="2"/>
      <c r="AY362" s="2"/>
      <c r="AZ362" s="2"/>
      <c r="BA362" s="2"/>
      <c r="BB362" s="2"/>
    </row>
    <row r="363">
      <c r="A363" s="2">
        <f>IFERROR(__xludf.DUMMYFUNCTION("""COMPUTED_VALUE"""),359.0)</f>
        <v>359</v>
      </c>
      <c r="B363" s="2" t="str">
        <f>IFERROR(__xludf.DUMMYFUNCTION("""COMPUTED_VALUE"""),"COMPLETED")</f>
        <v>COMPLETED</v>
      </c>
      <c r="C363" s="74">
        <f>IFERROR(__xludf.DUMMYFUNCTION("""COMPUTED_VALUE"""),45504.0)</f>
        <v>45504</v>
      </c>
      <c r="D363" s="71" t="str">
        <f>IFERROR(__xludf.DUMMYFUNCTION("""COMPUTED_VALUE"""),"Lucky 9 Farmers Agriculture Cooperative")</f>
        <v>Lucky 9 Farmers Agriculture Cooperative</v>
      </c>
      <c r="E363" s="71" t="str">
        <f>IFERROR(__xludf.DUMMYFUNCTION("""COMPUTED_VALUE"""),"Dolores, Capas, TARLAC")</f>
        <v>Dolores, Capas, TARLAC</v>
      </c>
      <c r="F363" s="2" t="str">
        <f>IFERROR(__xludf.DUMMYFUNCTION("""COMPUTED_VALUE"""),"GERARDO S. GARCIA")</f>
        <v>GERARDO S. GARCIA</v>
      </c>
      <c r="G363" s="2">
        <f>IFERROR(__xludf.DUMMYFUNCTION("""COMPUTED_VALUE"""),9.07964626E9)</f>
        <v>9079646260</v>
      </c>
      <c r="H363" s="2">
        <f>IFERROR(__xludf.DUMMYFUNCTION("""COMPUTED_VALUE"""),129.0)</f>
        <v>129</v>
      </c>
      <c r="I363" s="72" t="str">
        <f>IFERROR(__xludf.DUMMYFUNCTION("""COMPUTED_VALUE"""),"REPAIR - TRACTOR")</f>
        <v>REPAIR - TRACTOR</v>
      </c>
      <c r="J363" s="72" t="str">
        <f>IFERROR(__xludf.DUMMYFUNCTION("""COMPUTED_VALUE"""),"CHECK UP")</f>
        <v>CHECK UP</v>
      </c>
      <c r="K363" s="72" t="str">
        <f>IFERROR(__xludf.DUMMYFUNCTION("""COMPUTED_VALUE"""),"CFG: CHECK UP UNIT")</f>
        <v>CFG: CHECK UP UNIT</v>
      </c>
      <c r="L363" s="72" t="str">
        <f>IFERROR(__xludf.DUMMYFUNCTION("""COMPUTED_VALUE"""),"CFG: CHECK TYM TRACTOR AND IMPLEMENTS ALL GOODS NAMAN PO")</f>
        <v>CFG: CHECK TYM TRACTOR AND IMPLEMENTS ALL GOODS NAMAN PO</v>
      </c>
      <c r="M363" s="2"/>
      <c r="N363" s="2"/>
      <c r="O363" s="2" t="str">
        <f>IFERROR(__xludf.DUMMYFUNCTION("""COMPUTED_VALUE"""),"N/A")</f>
        <v>N/A</v>
      </c>
      <c r="P363" s="2"/>
      <c r="Q363" s="2"/>
      <c r="R363" s="74">
        <f>IFERROR(__xludf.DUMMYFUNCTION("""COMPUTED_VALUE"""),45504.0)</f>
        <v>45504</v>
      </c>
      <c r="S363" s="2" t="str">
        <f>IFERROR(__xludf.DUMMYFUNCTION("""COMPUTED_VALUE"""),"JVV/CFG")</f>
        <v>JVV/CFG</v>
      </c>
      <c r="T363" s="73" t="str">
        <f>IFERROR(__xludf.DUMMYFUNCTION("""COMPUTED_VALUE""")," N/A ")</f>
        <v>N/A</v>
      </c>
      <c r="U363" s="73" t="str">
        <f>IFERROR(__xludf.DUMMYFUNCTION("""COMPUTED_VALUE""")," NO CHARGE ")</f>
        <v>NO CHARGE</v>
      </c>
      <c r="V363" s="2"/>
      <c r="W363" s="2" t="str">
        <f>IFERROR(__xludf.DUMMYFUNCTION("""COMPUTED_VALUE"""),"N/A")</f>
        <v>N/A</v>
      </c>
      <c r="X363" s="2" t="str">
        <f>IFERROR(__xludf.DUMMYFUNCTION("""COMPUTED_VALUE"""),"N/A")</f>
        <v>N/A</v>
      </c>
      <c r="Y363" s="2"/>
      <c r="Z363" s="2"/>
      <c r="AA363" s="2"/>
      <c r="AB363" s="2"/>
      <c r="AC363" s="2"/>
      <c r="AD363" s="2"/>
      <c r="AE363" s="2"/>
      <c r="AF363" s="2"/>
      <c r="AG363" s="2"/>
      <c r="AH363" s="2"/>
      <c r="AI363" s="2"/>
      <c r="AJ363" s="2" t="str">
        <f>IFERROR(__xludf.DUMMYFUNCTION("""COMPUTED_VALUE"""),"Dolores")</f>
        <v>Dolores</v>
      </c>
      <c r="AK363" s="2" t="str">
        <f>IFERROR(__xludf.DUMMYFUNCTION("""COMPUTED_VALUE"""),"Capas")</f>
        <v>Capas</v>
      </c>
      <c r="AL363" s="2" t="str">
        <f>IFERROR(__xludf.DUMMYFUNCTION("""COMPUTED_VALUE"""),"Tarlac")</f>
        <v>Tarlac</v>
      </c>
      <c r="AM363" s="2">
        <f>IFERROR(__xludf.DUMMYFUNCTION("""COMPUTED_VALUE"""),3.0)</f>
        <v>3</v>
      </c>
      <c r="AN363" s="2" t="str">
        <f>IFERROR(__xludf.DUMMYFUNCTION("""COMPUTED_VALUE"""),"RCEF 23-09-21 Rebidding")</f>
        <v>RCEF 23-09-21 Rebidding</v>
      </c>
      <c r="AO363" s="2">
        <f>IFERROR(__xludf.DUMMYFUNCTION("""COMPUTED_VALUE"""),3.0)</f>
        <v>3</v>
      </c>
      <c r="AP363" s="2"/>
      <c r="AQ363" s="2"/>
      <c r="AR363" s="2"/>
      <c r="AS363" s="2"/>
      <c r="AT363" s="2"/>
      <c r="AU363" s="2"/>
      <c r="AV363" s="2"/>
      <c r="AW363" s="2"/>
      <c r="AX363" s="2"/>
      <c r="AY363" s="2"/>
      <c r="AZ363" s="2"/>
      <c r="BA363" s="2"/>
      <c r="BB363" s="2"/>
    </row>
    <row r="364">
      <c r="A364" s="2">
        <f>IFERROR(__xludf.DUMMYFUNCTION("""COMPUTED_VALUE"""),360.0)</f>
        <v>360</v>
      </c>
      <c r="B364" s="2" t="str">
        <f>IFERROR(__xludf.DUMMYFUNCTION("""COMPUTED_VALUE"""),"COMPLETED")</f>
        <v>COMPLETED</v>
      </c>
      <c r="C364" s="74">
        <f>IFERROR(__xludf.DUMMYFUNCTION("""COMPUTED_VALUE"""),45504.0)</f>
        <v>45504</v>
      </c>
      <c r="D364" s="71" t="str">
        <f>IFERROR(__xludf.DUMMYFUNCTION("""COMPUTED_VALUE"""),"BAMBAN AGRICULTURAL FARMERS ASSOCIATION")</f>
        <v>BAMBAN AGRICULTURAL FARMERS ASSOCIATION</v>
      </c>
      <c r="E364" s="71" t="str">
        <f>IFERROR(__xludf.DUMMYFUNCTION("""COMPUTED_VALUE"""),"Anupul, Bamban, TARLAC")</f>
        <v>Anupul, Bamban, TARLAC</v>
      </c>
      <c r="F364" s="2"/>
      <c r="G364" s="2"/>
      <c r="H364" s="2"/>
      <c r="I364" s="72" t="str">
        <f>IFERROR(__xludf.DUMMYFUNCTION("""COMPUTED_VALUE"""),"REPAIR - TRACTOR")</f>
        <v>REPAIR - TRACTOR</v>
      </c>
      <c r="J364" s="72" t="str">
        <f>IFERROR(__xludf.DUMMYFUNCTION("""COMPUTED_VALUE"""),"CHECK UP")</f>
        <v>CHECK UP</v>
      </c>
      <c r="K364" s="72" t="str">
        <f>IFERROR(__xludf.DUMMYFUNCTION("""COMPUTED_VALUE"""),"CHECK UP UNIT")</f>
        <v>CHECK UP UNIT</v>
      </c>
      <c r="L364" s="72" t="str">
        <f>IFERROR(__xludf.DUMMYFUNCTION("""COMPUTED_VALUE"""),"JVV: OK NAMAN DAW PO ANG UNIT, TSAKA HINDI PA DAW PO NAGAGAMIT ANG UNIT KASI  HINDI PA DAW PO MASYADDO MARUNONG ANG OPERATOR KAY HINDI DAW NAGAGAMIT SA BUKID")</f>
        <v>JVV: OK NAMAN DAW PO ANG UNIT, TSAKA HINDI PA DAW PO NAGAGAMIT ANG UNIT KASI  HINDI PA DAW PO MASYADDO MARUNONG ANG OPERATOR KAY HINDI DAW NAGAGAMIT SA BUKID</v>
      </c>
      <c r="M364" s="2"/>
      <c r="N364" s="2"/>
      <c r="O364" s="2" t="str">
        <f>IFERROR(__xludf.DUMMYFUNCTION("""COMPUTED_VALUE"""),"N/A")</f>
        <v>N/A</v>
      </c>
      <c r="P364" s="2"/>
      <c r="Q364" s="2"/>
      <c r="R364" s="74">
        <f>IFERROR(__xludf.DUMMYFUNCTION("""COMPUTED_VALUE"""),45504.0)</f>
        <v>45504</v>
      </c>
      <c r="S364" s="2" t="str">
        <f>IFERROR(__xludf.DUMMYFUNCTION("""COMPUTED_VALUE"""),"JVV/CFG")</f>
        <v>JVV/CFG</v>
      </c>
      <c r="T364" s="73" t="str">
        <f>IFERROR(__xludf.DUMMYFUNCTION("""COMPUTED_VALUE""")," N/A ")</f>
        <v>N/A</v>
      </c>
      <c r="U364" s="73" t="str">
        <f>IFERROR(__xludf.DUMMYFUNCTION("""COMPUTED_VALUE""")," NO CHARGE ")</f>
        <v>NO CHARGE</v>
      </c>
      <c r="V364" s="2"/>
      <c r="W364" s="2" t="str">
        <f>IFERROR(__xludf.DUMMYFUNCTION("""COMPUTED_VALUE"""),"N/A")</f>
        <v>N/A</v>
      </c>
      <c r="X364" s="2" t="str">
        <f>IFERROR(__xludf.DUMMYFUNCTION("""COMPUTED_VALUE"""),"N/A")</f>
        <v>N/A</v>
      </c>
      <c r="Y364" s="2"/>
      <c r="Z364" s="2"/>
      <c r="AA364" s="2"/>
      <c r="AB364" s="2"/>
      <c r="AC364" s="2"/>
      <c r="AD364" s="2"/>
      <c r="AE364" s="2"/>
      <c r="AF364" s="2"/>
      <c r="AG364" s="2"/>
      <c r="AH364" s="2"/>
      <c r="AI364" s="2"/>
      <c r="AJ364" s="2" t="str">
        <f>IFERROR(__xludf.DUMMYFUNCTION("""COMPUTED_VALUE"""),"Anupul")</f>
        <v>Anupul</v>
      </c>
      <c r="AK364" s="2" t="str">
        <f>IFERROR(__xludf.DUMMYFUNCTION("""COMPUTED_VALUE"""),"Bamban")</f>
        <v>Bamban</v>
      </c>
      <c r="AL364" s="2" t="str">
        <f>IFERROR(__xludf.DUMMYFUNCTION("""COMPUTED_VALUE"""),"Tarlac")</f>
        <v>Tarlac</v>
      </c>
      <c r="AM364" s="2">
        <f>IFERROR(__xludf.DUMMYFUNCTION("""COMPUTED_VALUE"""),3.0)</f>
        <v>3</v>
      </c>
      <c r="AN364" s="2" t="str">
        <f>IFERROR(__xludf.DUMMYFUNCTION("""COMPUTED_VALUE"""),"RCEF 23-09-21 Rebidding")</f>
        <v>RCEF 23-09-21 Rebidding</v>
      </c>
      <c r="AO364" s="2">
        <f>IFERROR(__xludf.DUMMYFUNCTION("""COMPUTED_VALUE"""),3.0)</f>
        <v>3</v>
      </c>
      <c r="AP364" s="2"/>
      <c r="AQ364" s="2"/>
      <c r="AR364" s="2"/>
      <c r="AS364" s="2"/>
      <c r="AT364" s="2"/>
      <c r="AU364" s="2"/>
      <c r="AV364" s="2"/>
      <c r="AW364" s="2"/>
      <c r="AX364" s="2"/>
      <c r="AY364" s="2"/>
      <c r="AZ364" s="2"/>
      <c r="BA364" s="2"/>
      <c r="BB364" s="2"/>
    </row>
    <row r="365">
      <c r="A365" s="2">
        <f>IFERROR(__xludf.DUMMYFUNCTION("""COMPUTED_VALUE"""),361.0)</f>
        <v>361</v>
      </c>
      <c r="B365" s="2" t="str">
        <f>IFERROR(__xludf.DUMMYFUNCTION("""COMPUTED_VALUE"""),"COMPLETED")</f>
        <v>COMPLETED</v>
      </c>
      <c r="C365" s="74">
        <f>IFERROR(__xludf.DUMMYFUNCTION("""COMPUTED_VALUE"""),45504.0)</f>
        <v>45504</v>
      </c>
      <c r="D365" s="71" t="str">
        <f>IFERROR(__xludf.DUMMYFUNCTION("""COMPUTED_VALUE"""),"SITIO TUBONG UPLAND FARMERS ASSOCIATION INC.")</f>
        <v>SITIO TUBONG UPLAND FARMERS ASSOCIATION INC.</v>
      </c>
      <c r="E365" s="71" t="str">
        <f>IFERROR(__xludf.DUMMYFUNCTION("""COMPUTED_VALUE"""),"Bunga, Carranglan, NUEVA ECIJA")</f>
        <v>Bunga, Carranglan, NUEVA ECIJA</v>
      </c>
      <c r="F365" s="2" t="str">
        <f>IFERROR(__xludf.DUMMYFUNCTION("""COMPUTED_VALUE"""),"NENILDO C. NANTES")</f>
        <v>NENILDO C. NANTES</v>
      </c>
      <c r="G365" s="2">
        <f>IFERROR(__xludf.DUMMYFUNCTION("""COMPUTED_VALUE"""),9.652746082E9)</f>
        <v>9652746082</v>
      </c>
      <c r="H365" s="2">
        <f>IFERROR(__xludf.DUMMYFUNCTION("""COMPUTED_VALUE"""),301.4)</f>
        <v>301.4</v>
      </c>
      <c r="I365" s="72" t="str">
        <f>IFERROR(__xludf.DUMMYFUNCTION("""COMPUTED_VALUE"""),"REPAIR - TRACTOR")</f>
        <v>REPAIR - TRACTOR</v>
      </c>
      <c r="J365" s="72" t="str">
        <f>IFERROR(__xludf.DUMMYFUNCTION("""COMPUTED_VALUE"""),"CHECK UP")</f>
        <v>CHECK UP</v>
      </c>
      <c r="K365" s="72" t="str">
        <f>IFERROR(__xludf.DUMMYFUNCTION("""COMPUTED_VALUE"""),"ACS: CHEK UP UNIT/ FOR 2ND PMS")</f>
        <v>ACS: CHEK UP UNIT/ FOR 2ND PMS</v>
      </c>
      <c r="L365" s="72" t="str">
        <f>IFERROR(__xludf.DUMMYFUNCTION("""COMPUTED_VALUE"""),"ACS: SECOND PMS DONE")</f>
        <v>ACS: SECOND PMS DONE</v>
      </c>
      <c r="M365" s="2"/>
      <c r="N365" s="2" t="str">
        <f>IFERROR(__xludf.DUMMYFUNCTION("""COMPUTED_VALUE"""),"OIL FILTER AND HYRDRAULIC FILTER PAIND BY FCA")</f>
        <v>OIL FILTER AND HYRDRAULIC FILTER PAIND BY FCA</v>
      </c>
      <c r="O365" s="2" t="str">
        <f>IFERROR(__xludf.DUMMYFUNCTION("""COMPUTED_VALUE"""),"JIE-922")</f>
        <v>JIE-922</v>
      </c>
      <c r="P365" s="2"/>
      <c r="Q365" s="2"/>
      <c r="R365" s="74">
        <f>IFERROR(__xludf.DUMMYFUNCTION("""COMPUTED_VALUE"""),45504.0)</f>
        <v>45504</v>
      </c>
      <c r="S365" s="2" t="str">
        <f>IFERROR(__xludf.DUMMYFUNCTION("""COMPUTED_VALUE"""),"ACS/JHP")</f>
        <v>ACS/JHP</v>
      </c>
      <c r="T365" s="73">
        <f>IFERROR(__xludf.DUMMYFUNCTION("""COMPUTED_VALUE"""),7937.0)</f>
        <v>7937</v>
      </c>
      <c r="U365" s="73" t="str">
        <f>IFERROR(__xludf.DUMMYFUNCTION("""COMPUTED_VALUE""")," REMITTED ")</f>
        <v>REMITTED</v>
      </c>
      <c r="V365" s="2"/>
      <c r="W365" s="2"/>
      <c r="X365" s="2"/>
      <c r="Y365" s="2"/>
      <c r="Z365" s="2"/>
      <c r="AA365" s="2"/>
      <c r="AB365" s="2"/>
      <c r="AC365" s="2"/>
      <c r="AD365" s="2"/>
      <c r="AE365" s="2"/>
      <c r="AF365" s="2"/>
      <c r="AG365" s="2"/>
      <c r="AH365" s="2"/>
      <c r="AI365" s="2"/>
      <c r="AJ365" s="2" t="str">
        <f>IFERROR(__xludf.DUMMYFUNCTION("""COMPUTED_VALUE"""),"Bunga")</f>
        <v>Bunga</v>
      </c>
      <c r="AK365" s="2" t="str">
        <f>IFERROR(__xludf.DUMMYFUNCTION("""COMPUTED_VALUE"""),"Carranglan")</f>
        <v>Carranglan</v>
      </c>
      <c r="AL365" s="2" t="str">
        <f>IFERROR(__xludf.DUMMYFUNCTION("""COMPUTED_VALUE"""),"Nueva Ecija")</f>
        <v>Nueva Ecija</v>
      </c>
      <c r="AM365" s="2">
        <f>IFERROR(__xludf.DUMMYFUNCTION("""COMPUTED_VALUE"""),3.0)</f>
        <v>3</v>
      </c>
      <c r="AN365" s="2" t="str">
        <f>IFERROR(__xludf.DUMMYFUNCTION("""COMPUTED_VALUE"""),"RCEF 23-09-21 Rebidding")</f>
        <v>RCEF 23-09-21 Rebidding</v>
      </c>
      <c r="AO365" s="2">
        <f>IFERROR(__xludf.DUMMYFUNCTION("""COMPUTED_VALUE"""),3.0)</f>
        <v>3</v>
      </c>
      <c r="AP365" s="2"/>
      <c r="AQ365" s="2"/>
      <c r="AR365" s="2"/>
      <c r="AS365" s="2"/>
      <c r="AT365" s="2"/>
      <c r="AU365" s="2"/>
      <c r="AV365" s="2"/>
      <c r="AW365" s="2"/>
      <c r="AX365" s="2"/>
      <c r="AY365" s="2"/>
      <c r="AZ365" s="2"/>
      <c r="BA365" s="2"/>
      <c r="BB365" s="2"/>
    </row>
    <row r="366">
      <c r="A366" s="2">
        <f>IFERROR(__xludf.DUMMYFUNCTION("""COMPUTED_VALUE"""),362.0)</f>
        <v>362</v>
      </c>
      <c r="B366" s="2" t="str">
        <f>IFERROR(__xludf.DUMMYFUNCTION("""COMPUTED_VALUE"""),"COMPLETED")</f>
        <v>COMPLETED</v>
      </c>
      <c r="C366" s="74">
        <f>IFERROR(__xludf.DUMMYFUNCTION("""COMPUTED_VALUE"""),45504.0)</f>
        <v>45504</v>
      </c>
      <c r="D366" s="71" t="str">
        <f>IFERROR(__xludf.DUMMYFUNCTION("""COMPUTED_VALUE"""),"MAKALIGAYA IRRIGATORS ASSOCIATION INC.")</f>
        <v>MAKALIGAYA IRRIGATORS ASSOCIATION INC.</v>
      </c>
      <c r="E366" s="71" t="str">
        <f>IFERROR(__xludf.DUMMYFUNCTION("""COMPUTED_VALUE"""),"Maligaya, Science City of Munoz, Nueva Ecija")</f>
        <v>Maligaya, Science City of Munoz, Nueva Ecija</v>
      </c>
      <c r="F366" s="2" t="str">
        <f>IFERROR(__xludf.DUMMYFUNCTION("""COMPUTED_VALUE"""),"BEN GAGELONIA")</f>
        <v>BEN GAGELONIA</v>
      </c>
      <c r="G366" s="2">
        <f>IFERROR(__xludf.DUMMYFUNCTION("""COMPUTED_VALUE"""),9.959450742E9)</f>
        <v>9959450742</v>
      </c>
      <c r="H366" s="2">
        <f>IFERROR(__xludf.DUMMYFUNCTION("""COMPUTED_VALUE"""),86.0)</f>
        <v>86</v>
      </c>
      <c r="I366" s="72" t="str">
        <f>IFERROR(__xludf.DUMMYFUNCTION("""COMPUTED_VALUE"""),"REPAIR - TRACTOR")</f>
        <v>REPAIR - TRACTOR</v>
      </c>
      <c r="J366" s="72" t="str">
        <f>IFERROR(__xludf.DUMMYFUNCTION("""COMPUTED_VALUE"""),"CHECK UP")</f>
        <v>CHECK UP</v>
      </c>
      <c r="K366" s="72" t="str">
        <f>IFERROR(__xludf.DUMMYFUNCTION("""COMPUTED_VALUE"""),"ACS: CHECK UP UNIT
NEED FIRST PMS, KASO WALA DAW BUDGET SI FARMER")</f>
        <v>ACS: CHECK UP UNIT
NEED FIRST PMS, KASO WALA DAW BUDGET SI FARMER</v>
      </c>
      <c r="L366" s="72" t="str">
        <f>IFERROR(__xludf.DUMMYFUNCTION("""COMPUTED_VALUE"""),"ACS: CHECK TYM TRACTOR AND IMPLEMENTS ALL GOODS NAMAN PO")</f>
        <v>ACS: CHECK TYM TRACTOR AND IMPLEMENTS ALL GOODS NAMAN PO</v>
      </c>
      <c r="M366" s="2"/>
      <c r="N366" s="2"/>
      <c r="O366" s="2" t="str">
        <f>IFERROR(__xludf.DUMMYFUNCTION("""COMPUTED_VALUE"""),"N/A")</f>
        <v>N/A</v>
      </c>
      <c r="P366" s="2"/>
      <c r="Q366" s="2"/>
      <c r="R366" s="74">
        <f>IFERROR(__xludf.DUMMYFUNCTION("""COMPUTED_VALUE"""),45504.0)</f>
        <v>45504</v>
      </c>
      <c r="S366" s="2" t="str">
        <f>IFERROR(__xludf.DUMMYFUNCTION("""COMPUTED_VALUE"""),"ACS/JHP")</f>
        <v>ACS/JHP</v>
      </c>
      <c r="T366" s="73" t="str">
        <f>IFERROR(__xludf.DUMMYFUNCTION("""COMPUTED_VALUE""")," N/A ")</f>
        <v>N/A</v>
      </c>
      <c r="U366" s="73" t="str">
        <f>IFERROR(__xludf.DUMMYFUNCTION("""COMPUTED_VALUE""")," NO CHARGE ")</f>
        <v>NO CHARGE</v>
      </c>
      <c r="V366" s="2"/>
      <c r="W366" s="2" t="str">
        <f>IFERROR(__xludf.DUMMYFUNCTION("""COMPUTED_VALUE"""),"N/A")</f>
        <v>N/A</v>
      </c>
      <c r="X366" s="2" t="str">
        <f>IFERROR(__xludf.DUMMYFUNCTION("""COMPUTED_VALUE"""),"N/A")</f>
        <v>N/A</v>
      </c>
      <c r="Y366" s="2"/>
      <c r="Z366" s="2"/>
      <c r="AA366" s="2"/>
      <c r="AB366" s="2"/>
      <c r="AC366" s="2"/>
      <c r="AD366" s="2"/>
      <c r="AE366" s="2"/>
      <c r="AF366" s="2"/>
      <c r="AG366" s="2"/>
      <c r="AH366" s="2"/>
      <c r="AI366" s="2"/>
      <c r="AJ366" s="2" t="str">
        <f>IFERROR(__xludf.DUMMYFUNCTION("""COMPUTED_VALUE"""),"Maligaya")</f>
        <v>Maligaya</v>
      </c>
      <c r="AK366" s="2" t="str">
        <f>IFERROR(__xludf.DUMMYFUNCTION("""COMPUTED_VALUE"""),"Science City Of Munoz")</f>
        <v>Science City Of Munoz</v>
      </c>
      <c r="AL366" s="2" t="str">
        <f>IFERROR(__xludf.DUMMYFUNCTION("""COMPUTED_VALUE"""),"Nueva Ecija")</f>
        <v>Nueva Ecija</v>
      </c>
      <c r="AM366" s="2">
        <f>IFERROR(__xludf.DUMMYFUNCTION("""COMPUTED_VALUE"""),3.0)</f>
        <v>3</v>
      </c>
      <c r="AN366" s="2" t="str">
        <f>IFERROR(__xludf.DUMMYFUNCTION("""COMPUTED_VALUE"""),"RCEF 23-09-21 Rebidding")</f>
        <v>RCEF 23-09-21 Rebidding</v>
      </c>
      <c r="AO366" s="2">
        <f>IFERROR(__xludf.DUMMYFUNCTION("""COMPUTED_VALUE"""),3.0)</f>
        <v>3</v>
      </c>
      <c r="AP366" s="2"/>
      <c r="AQ366" s="2"/>
      <c r="AR366" s="2"/>
      <c r="AS366" s="2"/>
      <c r="AT366" s="2"/>
      <c r="AU366" s="2"/>
      <c r="AV366" s="2"/>
      <c r="AW366" s="2"/>
      <c r="AX366" s="2"/>
      <c r="AY366" s="2"/>
      <c r="AZ366" s="2"/>
      <c r="BA366" s="2"/>
      <c r="BB366" s="2"/>
    </row>
    <row r="367">
      <c r="A367" s="2">
        <f>IFERROR(__xludf.DUMMYFUNCTION("""COMPUTED_VALUE"""),363.0)</f>
        <v>363</v>
      </c>
      <c r="B367" s="2" t="str">
        <f>IFERROR(__xludf.DUMMYFUNCTION("""COMPUTED_VALUE"""),"COMPLETED")</f>
        <v>COMPLETED</v>
      </c>
      <c r="C367" s="74">
        <f>IFERROR(__xludf.DUMMYFUNCTION("""COMPUTED_VALUE"""),45504.0)</f>
        <v>45504</v>
      </c>
      <c r="D367" s="71" t="str">
        <f>IFERROR(__xludf.DUMMYFUNCTION("""COMPUTED_VALUE"""),"SAMAHANG NG LEHITIMONG MAGSASAKA")</f>
        <v>SAMAHANG NG LEHITIMONG MAGSASAKA</v>
      </c>
      <c r="E367" s="71" t="str">
        <f>IFERROR(__xludf.DUMMYFUNCTION("""COMPUTED_VALUE"""),"Santo Niño 3rd, San Jose City, NUEVA ECIJA")</f>
        <v>Santo Niño 3rd, San Jose City, NUEVA ECIJA</v>
      </c>
      <c r="F367" s="2" t="str">
        <f>IFERROR(__xludf.DUMMYFUNCTION("""COMPUTED_VALUE"""),"APOLINARIO C. AGUILAR")</f>
        <v>APOLINARIO C. AGUILAR</v>
      </c>
      <c r="G367" s="2">
        <f>IFERROR(__xludf.DUMMYFUNCTION("""COMPUTED_VALUE"""),9.352619291E9)</f>
        <v>9352619291</v>
      </c>
      <c r="H367" s="2">
        <f>IFERROR(__xludf.DUMMYFUNCTION("""COMPUTED_VALUE"""),216.8)</f>
        <v>216.8</v>
      </c>
      <c r="I367" s="72" t="str">
        <f>IFERROR(__xludf.DUMMYFUNCTION("""COMPUTED_VALUE"""),"REPAIR - TRACTOR")</f>
        <v>REPAIR - TRACTOR</v>
      </c>
      <c r="J367" s="72" t="str">
        <f>IFERROR(__xludf.DUMMYFUNCTION("""COMPUTED_VALUE"""),"CHECK UP")</f>
        <v>CHECK UP</v>
      </c>
      <c r="K367" s="72" t="str">
        <f>IFERROR(__xludf.DUMMYFUNCTION("""COMPUTED_VALUE"""),"ACS: CHECK UP UNIT")</f>
        <v>ACS: CHECK UP UNIT</v>
      </c>
      <c r="L367" s="72" t="str">
        <f>IFERROR(__xludf.DUMMYFUNCTION("""COMPUTED_VALUE"""),"ACS: CHECK TYM TRACTOR AND IMPLEMENTS ALL GOODS NAMAN PO")</f>
        <v>ACS: CHECK TYM TRACTOR AND IMPLEMENTS ALL GOODS NAMAN PO</v>
      </c>
      <c r="M367" s="2"/>
      <c r="N367" s="2"/>
      <c r="O367" s="2" t="str">
        <f>IFERROR(__xludf.DUMMYFUNCTION("""COMPUTED_VALUE"""),"N/A")</f>
        <v>N/A</v>
      </c>
      <c r="P367" s="2"/>
      <c r="Q367" s="2"/>
      <c r="R367" s="74">
        <f>IFERROR(__xludf.DUMMYFUNCTION("""COMPUTED_VALUE"""),45504.0)</f>
        <v>45504</v>
      </c>
      <c r="S367" s="2" t="str">
        <f>IFERROR(__xludf.DUMMYFUNCTION("""COMPUTED_VALUE"""),"ACS/JHP")</f>
        <v>ACS/JHP</v>
      </c>
      <c r="T367" s="73" t="str">
        <f>IFERROR(__xludf.DUMMYFUNCTION("""COMPUTED_VALUE""")," N/A ")</f>
        <v>N/A</v>
      </c>
      <c r="U367" s="73" t="str">
        <f>IFERROR(__xludf.DUMMYFUNCTION("""COMPUTED_VALUE""")," NO CHARGE ")</f>
        <v>NO CHARGE</v>
      </c>
      <c r="V367" s="2"/>
      <c r="W367" s="2" t="str">
        <f>IFERROR(__xludf.DUMMYFUNCTION("""COMPUTED_VALUE"""),"N/A")</f>
        <v>N/A</v>
      </c>
      <c r="X367" s="2" t="str">
        <f>IFERROR(__xludf.DUMMYFUNCTION("""COMPUTED_VALUE"""),"N/A")</f>
        <v>N/A</v>
      </c>
      <c r="Y367" s="2"/>
      <c r="Z367" s="2"/>
      <c r="AA367" s="2"/>
      <c r="AB367" s="2"/>
      <c r="AC367" s="2"/>
      <c r="AD367" s="2"/>
      <c r="AE367" s="2"/>
      <c r="AF367" s="2"/>
      <c r="AG367" s="2"/>
      <c r="AH367" s="2"/>
      <c r="AI367" s="2"/>
      <c r="AJ367" s="2" t="str">
        <f>IFERROR(__xludf.DUMMYFUNCTION("""COMPUTED_VALUE"""),"Santo Niño 3Rd")</f>
        <v>Santo Niño 3Rd</v>
      </c>
      <c r="AK367" s="2" t="str">
        <f>IFERROR(__xludf.DUMMYFUNCTION("""COMPUTED_VALUE"""),"San Jose City")</f>
        <v>San Jose City</v>
      </c>
      <c r="AL367" s="2" t="str">
        <f>IFERROR(__xludf.DUMMYFUNCTION("""COMPUTED_VALUE"""),"Nueva Ecija")</f>
        <v>Nueva Ecija</v>
      </c>
      <c r="AM367" s="2">
        <f>IFERROR(__xludf.DUMMYFUNCTION("""COMPUTED_VALUE"""),3.0)</f>
        <v>3</v>
      </c>
      <c r="AN367" s="2" t="str">
        <f>IFERROR(__xludf.DUMMYFUNCTION("""COMPUTED_VALUE"""),"RCEF 23-09-21 Rebidding")</f>
        <v>RCEF 23-09-21 Rebidding</v>
      </c>
      <c r="AO367" s="2">
        <f>IFERROR(__xludf.DUMMYFUNCTION("""COMPUTED_VALUE"""),3.0)</f>
        <v>3</v>
      </c>
      <c r="AP367" s="2"/>
      <c r="AQ367" s="2"/>
      <c r="AR367" s="2"/>
      <c r="AS367" s="2"/>
      <c r="AT367" s="2"/>
      <c r="AU367" s="2"/>
      <c r="AV367" s="2"/>
      <c r="AW367" s="2"/>
      <c r="AX367" s="2"/>
      <c r="AY367" s="2"/>
      <c r="AZ367" s="2"/>
      <c r="BA367" s="2"/>
      <c r="BB367" s="2"/>
    </row>
    <row r="368">
      <c r="A368" s="2">
        <f>IFERROR(__xludf.DUMMYFUNCTION("""COMPUTED_VALUE"""),364.0)</f>
        <v>364</v>
      </c>
      <c r="B368" s="2" t="str">
        <f>IFERROR(__xludf.DUMMYFUNCTION("""COMPUTED_VALUE"""),"COMPLETED")</f>
        <v>COMPLETED</v>
      </c>
      <c r="C368" s="74">
        <f>IFERROR(__xludf.DUMMYFUNCTION("""COMPUTED_VALUE"""),45505.0)</f>
        <v>45505</v>
      </c>
      <c r="D368" s="71" t="str">
        <f>IFERROR(__xludf.DUMMYFUNCTION("""COMPUTED_VALUE"""),"MARAGOL IRRIGATORS ASSOCIATION INC.")</f>
        <v>MARAGOL IRRIGATORS ASSOCIATION INC.</v>
      </c>
      <c r="E368" s="71" t="str">
        <f>IFERROR(__xludf.DUMMYFUNCTION("""COMPUTED_VALUE"""),"Maragol, Science City of Munoz, Nueva Ecija")</f>
        <v>Maragol, Science City of Munoz, Nueva Ecija</v>
      </c>
      <c r="F368" s="2" t="str">
        <f>IFERROR(__xludf.DUMMYFUNCTION("""COMPUTED_VALUE"""),"ROMULO BAUTISTA")</f>
        <v>ROMULO BAUTISTA</v>
      </c>
      <c r="G368" s="2">
        <f>IFERROR(__xludf.DUMMYFUNCTION("""COMPUTED_VALUE"""),9.954685455E9)</f>
        <v>9954685455</v>
      </c>
      <c r="H368" s="2">
        <f>IFERROR(__xludf.DUMMYFUNCTION("""COMPUTED_VALUE"""),62.8)</f>
        <v>62.8</v>
      </c>
      <c r="I368" s="72" t="str">
        <f>IFERROR(__xludf.DUMMYFUNCTION("""COMPUTED_VALUE"""),"REPAIR - TRACTOR")</f>
        <v>REPAIR - TRACTOR</v>
      </c>
      <c r="J368" s="72" t="str">
        <f>IFERROR(__xludf.DUMMYFUNCTION("""COMPUTED_VALUE"""),"CHECK UP")</f>
        <v>CHECK UP</v>
      </c>
      <c r="K368" s="72" t="str">
        <f>IFERROR(__xludf.DUMMYFUNCTION("""COMPUTED_VALUE"""),"CHECK UP UNIT
ACS: TAWAG NALANG DAW PO SI FCA PARA SA FIRST PMS")</f>
        <v>CHECK UP UNIT
ACS: TAWAG NALANG DAW PO SI FCA PARA SA FIRST PMS</v>
      </c>
      <c r="L368" s="72" t="str">
        <f>IFERROR(__xludf.DUMMYFUNCTION("""COMPUTED_VALUE"""),"ACS: CHECK TYM TRACTOR AND IMPLEMENTS ALL GOODS NAMAN PO")</f>
        <v>ACS: CHECK TYM TRACTOR AND IMPLEMENTS ALL GOODS NAMAN PO</v>
      </c>
      <c r="M368" s="2"/>
      <c r="N368" s="2"/>
      <c r="O368" s="2" t="str">
        <f>IFERROR(__xludf.DUMMYFUNCTION("""COMPUTED_VALUE"""),"N/A")</f>
        <v>N/A</v>
      </c>
      <c r="P368" s="2"/>
      <c r="Q368" s="2"/>
      <c r="R368" s="74">
        <f>IFERROR(__xludf.DUMMYFUNCTION("""COMPUTED_VALUE"""),45505.0)</f>
        <v>45505</v>
      </c>
      <c r="S368" s="2" t="str">
        <f>IFERROR(__xludf.DUMMYFUNCTION("""COMPUTED_VALUE"""),"ACS/JHP")</f>
        <v>ACS/JHP</v>
      </c>
      <c r="T368" s="73" t="str">
        <f>IFERROR(__xludf.DUMMYFUNCTION("""COMPUTED_VALUE""")," N/A ")</f>
        <v>N/A</v>
      </c>
      <c r="U368" s="73" t="str">
        <f>IFERROR(__xludf.DUMMYFUNCTION("""COMPUTED_VALUE""")," NO CHARGE ")</f>
        <v>NO CHARGE</v>
      </c>
      <c r="V368" s="2"/>
      <c r="W368" s="2" t="str">
        <f>IFERROR(__xludf.DUMMYFUNCTION("""COMPUTED_VALUE"""),"N/A")</f>
        <v>N/A</v>
      </c>
      <c r="X368" s="2" t="str">
        <f>IFERROR(__xludf.DUMMYFUNCTION("""COMPUTED_VALUE"""),"N/A")</f>
        <v>N/A</v>
      </c>
      <c r="Y368" s="2"/>
      <c r="Z368" s="2"/>
      <c r="AA368" s="2"/>
      <c r="AB368" s="2"/>
      <c r="AC368" s="2"/>
      <c r="AD368" s="2"/>
      <c r="AE368" s="2"/>
      <c r="AF368" s="2"/>
      <c r="AG368" s="2"/>
      <c r="AH368" s="2"/>
      <c r="AI368" s="2"/>
      <c r="AJ368" s="2" t="str">
        <f>IFERROR(__xludf.DUMMYFUNCTION("""COMPUTED_VALUE"""),"Maragol")</f>
        <v>Maragol</v>
      </c>
      <c r="AK368" s="2" t="str">
        <f>IFERROR(__xludf.DUMMYFUNCTION("""COMPUTED_VALUE"""),"Science City Of Munoz")</f>
        <v>Science City Of Munoz</v>
      </c>
      <c r="AL368" s="2" t="str">
        <f>IFERROR(__xludf.DUMMYFUNCTION("""COMPUTED_VALUE"""),"Nueva Ecija")</f>
        <v>Nueva Ecija</v>
      </c>
      <c r="AM368" s="2">
        <f>IFERROR(__xludf.DUMMYFUNCTION("""COMPUTED_VALUE"""),3.0)</f>
        <v>3</v>
      </c>
      <c r="AN368" s="2" t="str">
        <f>IFERROR(__xludf.DUMMYFUNCTION("""COMPUTED_VALUE"""),"RCEF 23-09-21 Rebidding")</f>
        <v>RCEF 23-09-21 Rebidding</v>
      </c>
      <c r="AO368" s="2">
        <f>IFERROR(__xludf.DUMMYFUNCTION("""COMPUTED_VALUE"""),3.0)</f>
        <v>3</v>
      </c>
      <c r="AP368" s="2"/>
      <c r="AQ368" s="2"/>
      <c r="AR368" s="2"/>
      <c r="AS368" s="2"/>
      <c r="AT368" s="2"/>
      <c r="AU368" s="2"/>
      <c r="AV368" s="2"/>
      <c r="AW368" s="2"/>
      <c r="AX368" s="2"/>
      <c r="AY368" s="2"/>
      <c r="AZ368" s="2"/>
      <c r="BA368" s="2"/>
      <c r="BB368" s="2"/>
    </row>
    <row r="369">
      <c r="A369" s="2">
        <f>IFERROR(__xludf.DUMMYFUNCTION("""COMPUTED_VALUE"""),365.0)</f>
        <v>365</v>
      </c>
      <c r="B369" s="2" t="str">
        <f>IFERROR(__xludf.DUMMYFUNCTION("""COMPUTED_VALUE"""),"COMPLETED")</f>
        <v>COMPLETED</v>
      </c>
      <c r="C369" s="74">
        <f>IFERROR(__xludf.DUMMYFUNCTION("""COMPUTED_VALUE"""),45505.0)</f>
        <v>45505</v>
      </c>
      <c r="D369" s="71" t="str">
        <f>IFERROR(__xludf.DUMMYFUNCTION("""COMPUTED_VALUE"""),"CORON FARMER'S FEDERATION")</f>
        <v>CORON FARMER'S FEDERATION</v>
      </c>
      <c r="E369" s="71" t="str">
        <f>IFERROR(__xludf.DUMMYFUNCTION("""COMPUTED_VALUE"""),"Borac, Coron, Palawan")</f>
        <v>Borac, Coron, Palawan</v>
      </c>
      <c r="F369" s="2" t="str">
        <f>IFERROR(__xludf.DUMMYFUNCTION("""COMPUTED_VALUE"""),"Numeriano Echague")</f>
        <v>Numeriano Echague</v>
      </c>
      <c r="G369" s="2" t="str">
        <f>IFERROR(__xludf.DUMMYFUNCTION("""COMPUTED_VALUE"""),"0975 848 5785")</f>
        <v>0975 848 5785</v>
      </c>
      <c r="H369" s="2"/>
      <c r="I369" s="72" t="str">
        <f>IFERROR(__xludf.DUMMYFUNCTION("""COMPUTED_VALUE"""),"REPAIR - TRACTOR")</f>
        <v>REPAIR - TRACTOR</v>
      </c>
      <c r="J369" s="72" t="str">
        <f>IFERROR(__xludf.DUMMYFUNCTION("""COMPUTED_VALUE"""),"Electrical - Dashboard")</f>
        <v>Electrical - Dashboard</v>
      </c>
      <c r="K369" s="72" t="str">
        <f>IFERROR(__xludf.DUMMYFUNCTION("""COMPUTED_VALUE"""),"ERP: HINID GUMAGALAW ANG ODOMETER NG ENGINE NG TRACTORA")</f>
        <v>ERP: HINID GUMAGALAW ANG ODOMETER NG ENGINE NG TRACTORA</v>
      </c>
      <c r="L369" s="72" t="str">
        <f>IFERROR(__xludf.DUMMYFUNCTION("""COMPUTED_VALUE"""),"RCG: ASSESSED UNIT, VIA PHONE CALL , CHECKED WIRING AND SENSORS, CHECKED SOCKET AND TERMINALIF HAVE RUSTED OR WORN OUT (DONE). CLEAN RUSTED SOCKETABD SENSORSTERMINAL")</f>
        <v>RCG: ASSESSED UNIT, VIA PHONE CALL , CHECKED WIRING AND SENSORS, CHECKED SOCKET AND TERMINALIF HAVE RUSTED OR WORN OUT (DONE). CLEAN RUSTED SOCKETABD SENSORSTERMINAL</v>
      </c>
      <c r="M369" s="2"/>
      <c r="N369" s="2"/>
      <c r="O369" s="2" t="str">
        <f>IFERROR(__xludf.DUMMYFUNCTION("""COMPUTED_VALUE"""),"N/A")</f>
        <v>N/A</v>
      </c>
      <c r="P369" s="2"/>
      <c r="Q369" s="2"/>
      <c r="R369" s="74">
        <f>IFERROR(__xludf.DUMMYFUNCTION("""COMPUTED_VALUE"""),45506.0)</f>
        <v>45506</v>
      </c>
      <c r="S369" s="2" t="str">
        <f>IFERROR(__xludf.DUMMYFUNCTION("""COMPUTED_VALUE"""),"RCG")</f>
        <v>RCG</v>
      </c>
      <c r="T369" s="73" t="str">
        <f>IFERROR(__xludf.DUMMYFUNCTION("""COMPUTED_VALUE""")," N/A ")</f>
        <v>N/A</v>
      </c>
      <c r="U369" s="73" t="str">
        <f>IFERROR(__xludf.DUMMYFUNCTION("""COMPUTED_VALUE""")," NO CHARGE ")</f>
        <v>NO CHARGE</v>
      </c>
      <c r="V369" s="2"/>
      <c r="W369" s="2" t="str">
        <f>IFERROR(__xludf.DUMMYFUNCTION("""COMPUTED_VALUE"""),"N/A")</f>
        <v>N/A</v>
      </c>
      <c r="X369" s="2" t="str">
        <f>IFERROR(__xludf.DUMMYFUNCTION("""COMPUTED_VALUE"""),"N/A")</f>
        <v>N/A</v>
      </c>
      <c r="Y369" s="2"/>
      <c r="Z369" s="2"/>
      <c r="AA369" s="2"/>
      <c r="AB369" s="2"/>
      <c r="AC369" s="2"/>
      <c r="AD369" s="2"/>
      <c r="AE369" s="2"/>
      <c r="AF369" s="2"/>
      <c r="AG369" s="2"/>
      <c r="AH369" s="2"/>
      <c r="AI369" s="2"/>
      <c r="AJ369" s="2" t="str">
        <f>IFERROR(__xludf.DUMMYFUNCTION("""COMPUTED_VALUE"""),"Borac")</f>
        <v>Borac</v>
      </c>
      <c r="AK369" s="2" t="str">
        <f>IFERROR(__xludf.DUMMYFUNCTION("""COMPUTED_VALUE"""),"Coron")</f>
        <v>Coron</v>
      </c>
      <c r="AL369" s="2" t="str">
        <f>IFERROR(__xludf.DUMMYFUNCTION("""COMPUTED_VALUE"""),"Palawan")</f>
        <v>Palawan</v>
      </c>
      <c r="AM369" s="2" t="str">
        <f>IFERROR(__xludf.DUMMYFUNCTION("""COMPUTED_VALUE"""),"4B")</f>
        <v>4B</v>
      </c>
      <c r="AN369" s="2" t="str">
        <f>IFERROR(__xludf.DUMMYFUNCTION("""COMPUTED_VALUE"""),"RCEF 23-08-20 Rebidding")</f>
        <v>RCEF 23-08-20 Rebidding</v>
      </c>
      <c r="AO369" s="2">
        <f>IFERROR(__xludf.DUMMYFUNCTION("""COMPUTED_VALUE"""),1.0)</f>
        <v>1</v>
      </c>
      <c r="AP369" s="2"/>
      <c r="AQ369" s="2"/>
      <c r="AR369" s="2"/>
      <c r="AS369" s="2"/>
      <c r="AT369" s="2"/>
      <c r="AU369" s="2"/>
      <c r="AV369" s="2"/>
      <c r="AW369" s="2"/>
      <c r="AX369" s="2"/>
      <c r="AY369" s="2"/>
      <c r="AZ369" s="2"/>
      <c r="BA369" s="2"/>
      <c r="BB369" s="2"/>
    </row>
    <row r="370">
      <c r="A370" s="2">
        <f>IFERROR(__xludf.DUMMYFUNCTION("""COMPUTED_VALUE"""),366.0)</f>
        <v>366</v>
      </c>
      <c r="B370" s="2" t="str">
        <f>IFERROR(__xludf.DUMMYFUNCTION("""COMPUTED_VALUE"""),"COMPLETED")</f>
        <v>COMPLETED</v>
      </c>
      <c r="C370" s="74">
        <f>IFERROR(__xludf.DUMMYFUNCTION("""COMPUTED_VALUE"""),45505.0)</f>
        <v>45505</v>
      </c>
      <c r="D370" s="71" t="str">
        <f>IFERROR(__xludf.DUMMYFUNCTION("""COMPUTED_VALUE"""),"Municipal Local Government unit of Talugtug")</f>
        <v>Municipal Local Government unit of Talugtug</v>
      </c>
      <c r="E370" s="71" t="str">
        <f>IFERROR(__xludf.DUMMYFUNCTION("""COMPUTED_VALUE"""),", Talugtug, NUEVA ECIJA")</f>
        <v>, Talugtug, NUEVA ECIJA</v>
      </c>
      <c r="F370" s="2" t="str">
        <f>IFERROR(__xludf.DUMMYFUNCTION("""COMPUTED_VALUE"""),"PACIFICO B. MONTA")</f>
        <v>PACIFICO B. MONTA</v>
      </c>
      <c r="G370" s="2">
        <f>IFERROR(__xludf.DUMMYFUNCTION("""COMPUTED_VALUE"""),9.175653351E9)</f>
        <v>9175653351</v>
      </c>
      <c r="H370" s="2">
        <f>IFERROR(__xludf.DUMMYFUNCTION("""COMPUTED_VALUE"""),131.4)</f>
        <v>131.4</v>
      </c>
      <c r="I370" s="72" t="str">
        <f>IFERROR(__xludf.DUMMYFUNCTION("""COMPUTED_VALUE"""),"REPAIR - TRACTOR")</f>
        <v>REPAIR - TRACTOR</v>
      </c>
      <c r="J370" s="72" t="str">
        <f>IFERROR(__xludf.DUMMYFUNCTION("""COMPUTED_VALUE"""),"CHECK UP")</f>
        <v>CHECK UP</v>
      </c>
      <c r="K370" s="72" t="str">
        <f>IFERROR(__xludf.DUMMYFUNCTION("""COMPUTED_VALUE"""),"CHECK UP UNIT
ACS: TAWAG NALANG DAW PO SI FCA PARA SA FIRST PMS")</f>
        <v>CHECK UP UNIT
ACS: TAWAG NALANG DAW PO SI FCA PARA SA FIRST PMS</v>
      </c>
      <c r="L370" s="72" t="str">
        <f>IFERROR(__xludf.DUMMYFUNCTION("""COMPUTED_VALUE"""),"ACS: CHECK TYM TRACTOR AND IMPLEMENTS ALL GOODS NAMAN PO")</f>
        <v>ACS: CHECK TYM TRACTOR AND IMPLEMENTS ALL GOODS NAMAN PO</v>
      </c>
      <c r="M370" s="2"/>
      <c r="N370" s="2"/>
      <c r="O370" s="2" t="str">
        <f>IFERROR(__xludf.DUMMYFUNCTION("""COMPUTED_VALUE"""),"N/A")</f>
        <v>N/A</v>
      </c>
      <c r="P370" s="2"/>
      <c r="Q370" s="2"/>
      <c r="R370" s="74">
        <f>IFERROR(__xludf.DUMMYFUNCTION("""COMPUTED_VALUE"""),45505.0)</f>
        <v>45505</v>
      </c>
      <c r="S370" s="2" t="str">
        <f>IFERROR(__xludf.DUMMYFUNCTION("""COMPUTED_VALUE"""),"ACS/JHP")</f>
        <v>ACS/JHP</v>
      </c>
      <c r="T370" s="73" t="str">
        <f>IFERROR(__xludf.DUMMYFUNCTION("""COMPUTED_VALUE""")," N/A ")</f>
        <v>N/A</v>
      </c>
      <c r="U370" s="73" t="str">
        <f>IFERROR(__xludf.DUMMYFUNCTION("""COMPUTED_VALUE""")," NO CHARGE ")</f>
        <v>NO CHARGE</v>
      </c>
      <c r="V370" s="2"/>
      <c r="W370" s="2" t="str">
        <f>IFERROR(__xludf.DUMMYFUNCTION("""COMPUTED_VALUE"""),"N/A")</f>
        <v>N/A</v>
      </c>
      <c r="X370" s="2" t="str">
        <f>IFERROR(__xludf.DUMMYFUNCTION("""COMPUTED_VALUE"""),"N/A")</f>
        <v>N/A</v>
      </c>
      <c r="Y370" s="2"/>
      <c r="Z370" s="2"/>
      <c r="AA370" s="2"/>
      <c r="AB370" s="2"/>
      <c r="AC370" s="2"/>
      <c r="AD370" s="2"/>
      <c r="AE370" s="2"/>
      <c r="AF370" s="2"/>
      <c r="AG370" s="2"/>
      <c r="AH370" s="2"/>
      <c r="AI370" s="2"/>
      <c r="AJ370" s="2" t="str">
        <f>IFERROR(__xludf.DUMMYFUNCTION("""COMPUTED_VALUE"""),"")</f>
        <v/>
      </c>
      <c r="AK370" s="2" t="str">
        <f>IFERROR(__xludf.DUMMYFUNCTION("""COMPUTED_VALUE"""),"Talugtug")</f>
        <v>Talugtug</v>
      </c>
      <c r="AL370" s="2" t="str">
        <f>IFERROR(__xludf.DUMMYFUNCTION("""COMPUTED_VALUE"""),"Nueva Ecija")</f>
        <v>Nueva Ecija</v>
      </c>
      <c r="AM370" s="2">
        <f>IFERROR(__xludf.DUMMYFUNCTION("""COMPUTED_VALUE"""),3.0)</f>
        <v>3</v>
      </c>
      <c r="AN370" s="2" t="str">
        <f>IFERROR(__xludf.DUMMYFUNCTION("""COMPUTED_VALUE"""),"RCEF 23-09-21 Rebidding")</f>
        <v>RCEF 23-09-21 Rebidding</v>
      </c>
      <c r="AO370" s="2">
        <f>IFERROR(__xludf.DUMMYFUNCTION("""COMPUTED_VALUE"""),3.0)</f>
        <v>3</v>
      </c>
      <c r="AP370" s="2"/>
      <c r="AQ370" s="2"/>
      <c r="AR370" s="2"/>
      <c r="AS370" s="2"/>
      <c r="AT370" s="2"/>
      <c r="AU370" s="2"/>
      <c r="AV370" s="2"/>
      <c r="AW370" s="2"/>
      <c r="AX370" s="2"/>
      <c r="AY370" s="2"/>
      <c r="AZ370" s="2"/>
      <c r="BA370" s="2"/>
      <c r="BB370" s="2"/>
    </row>
    <row r="371">
      <c r="A371" s="2">
        <f>IFERROR(__xludf.DUMMYFUNCTION("""COMPUTED_VALUE"""),367.0)</f>
        <v>367</v>
      </c>
      <c r="B371" s="2" t="str">
        <f>IFERROR(__xludf.DUMMYFUNCTION("""COMPUTED_VALUE"""),"COMPLETED")</f>
        <v>COMPLETED</v>
      </c>
      <c r="C371" s="74">
        <f>IFERROR(__xludf.DUMMYFUNCTION("""COMPUTED_VALUE"""),45505.0)</f>
        <v>45505</v>
      </c>
      <c r="D371" s="71" t="str">
        <f>IFERROR(__xludf.DUMMYFUNCTION("""COMPUTED_VALUE"""),"SAVERS FARMERS ASSOCIATION, INC.")</f>
        <v>SAVERS FARMERS ASSOCIATION, INC.</v>
      </c>
      <c r="E371" s="71" t="str">
        <f>IFERROR(__xludf.DUMMYFUNCTION("""COMPUTED_VALUE"""),"Saverona, Talugtug, NUEVA ECIJA")</f>
        <v>Saverona, Talugtug, NUEVA ECIJA</v>
      </c>
      <c r="F371" s="2" t="str">
        <f>IFERROR(__xludf.DUMMYFUNCTION("""COMPUTED_VALUE"""),"RUDY M. BOADO")</f>
        <v>RUDY M. BOADO</v>
      </c>
      <c r="G371" s="2">
        <f>IFERROR(__xludf.DUMMYFUNCTION("""COMPUTED_VALUE"""),9.362390565E9)</f>
        <v>9362390565</v>
      </c>
      <c r="H371" s="2">
        <f>IFERROR(__xludf.DUMMYFUNCTION("""COMPUTED_VALUE"""),138.3)</f>
        <v>138.3</v>
      </c>
      <c r="I371" s="72" t="str">
        <f>IFERROR(__xludf.DUMMYFUNCTION("""COMPUTED_VALUE"""),"REPAIR - TRACTOR")</f>
        <v>REPAIR - TRACTOR</v>
      </c>
      <c r="J371" s="72" t="str">
        <f>IFERROR(__xludf.DUMMYFUNCTION("""COMPUTED_VALUE"""),"CHECK UP")</f>
        <v>CHECK UP</v>
      </c>
      <c r="K371" s="72" t="str">
        <f>IFERROR(__xludf.DUMMYFUNCTION("""COMPUTED_VALUE"""),"CHECK UP UNIT")</f>
        <v>CHECK UP UNIT</v>
      </c>
      <c r="L371" s="72" t="str">
        <f>IFERROR(__xludf.DUMMYFUNCTION("""COMPUTED_VALUE"""),"ACS: CHECK TYM TRACTOR AND IMPLEMENTS ALL GOODS NAMAN PO")</f>
        <v>ACS: CHECK TYM TRACTOR AND IMPLEMENTS ALL GOODS NAMAN PO</v>
      </c>
      <c r="M371" s="2"/>
      <c r="N371" s="2"/>
      <c r="O371" s="2" t="str">
        <f>IFERROR(__xludf.DUMMYFUNCTION("""COMPUTED_VALUE"""),"N/A")</f>
        <v>N/A</v>
      </c>
      <c r="P371" s="2"/>
      <c r="Q371" s="2"/>
      <c r="R371" s="74">
        <f>IFERROR(__xludf.DUMMYFUNCTION("""COMPUTED_VALUE"""),45505.0)</f>
        <v>45505</v>
      </c>
      <c r="S371" s="2" t="str">
        <f>IFERROR(__xludf.DUMMYFUNCTION("""COMPUTED_VALUE"""),"ACS/JHP")</f>
        <v>ACS/JHP</v>
      </c>
      <c r="T371" s="73" t="str">
        <f>IFERROR(__xludf.DUMMYFUNCTION("""COMPUTED_VALUE""")," N/A ")</f>
        <v>N/A</v>
      </c>
      <c r="U371" s="73" t="str">
        <f>IFERROR(__xludf.DUMMYFUNCTION("""COMPUTED_VALUE""")," NO CHARGE ")</f>
        <v>NO CHARGE</v>
      </c>
      <c r="V371" s="2"/>
      <c r="W371" s="2" t="str">
        <f>IFERROR(__xludf.DUMMYFUNCTION("""COMPUTED_VALUE"""),"N/A")</f>
        <v>N/A</v>
      </c>
      <c r="X371" s="2" t="str">
        <f>IFERROR(__xludf.DUMMYFUNCTION("""COMPUTED_VALUE"""),"N/A")</f>
        <v>N/A</v>
      </c>
      <c r="Y371" s="2"/>
      <c r="Z371" s="2"/>
      <c r="AA371" s="2"/>
      <c r="AB371" s="2"/>
      <c r="AC371" s="2"/>
      <c r="AD371" s="2"/>
      <c r="AE371" s="2"/>
      <c r="AF371" s="2"/>
      <c r="AG371" s="2"/>
      <c r="AH371" s="2"/>
      <c r="AI371" s="2"/>
      <c r="AJ371" s="2" t="str">
        <f>IFERROR(__xludf.DUMMYFUNCTION("""COMPUTED_VALUE"""),"Saverona")</f>
        <v>Saverona</v>
      </c>
      <c r="AK371" s="2" t="str">
        <f>IFERROR(__xludf.DUMMYFUNCTION("""COMPUTED_VALUE"""),"Talugtug")</f>
        <v>Talugtug</v>
      </c>
      <c r="AL371" s="2" t="str">
        <f>IFERROR(__xludf.DUMMYFUNCTION("""COMPUTED_VALUE"""),"Nueva Ecija")</f>
        <v>Nueva Ecija</v>
      </c>
      <c r="AM371" s="2">
        <f>IFERROR(__xludf.DUMMYFUNCTION("""COMPUTED_VALUE"""),3.0)</f>
        <v>3</v>
      </c>
      <c r="AN371" s="2" t="str">
        <f>IFERROR(__xludf.DUMMYFUNCTION("""COMPUTED_VALUE"""),"RCEF 23-09-21 Rebidding")</f>
        <v>RCEF 23-09-21 Rebidding</v>
      </c>
      <c r="AO371" s="2">
        <f>IFERROR(__xludf.DUMMYFUNCTION("""COMPUTED_VALUE"""),3.0)</f>
        <v>3</v>
      </c>
      <c r="AP371" s="2"/>
      <c r="AQ371" s="2"/>
      <c r="AR371" s="2"/>
      <c r="AS371" s="2"/>
      <c r="AT371" s="2"/>
      <c r="AU371" s="2"/>
      <c r="AV371" s="2"/>
      <c r="AW371" s="2"/>
      <c r="AX371" s="2"/>
      <c r="AY371" s="2"/>
      <c r="AZ371" s="2"/>
      <c r="BA371" s="2"/>
      <c r="BB371" s="2"/>
    </row>
    <row r="372">
      <c r="A372" s="2">
        <f>IFERROR(__xludf.DUMMYFUNCTION("""COMPUTED_VALUE"""),368.0)</f>
        <v>368</v>
      </c>
      <c r="B372" s="2" t="str">
        <f>IFERROR(__xludf.DUMMYFUNCTION("""COMPUTED_VALUE"""),"COMPLETED")</f>
        <v>COMPLETED</v>
      </c>
      <c r="C372" s="74">
        <f>IFERROR(__xludf.DUMMYFUNCTION("""COMPUTED_VALUE"""),45505.0)</f>
        <v>45505</v>
      </c>
      <c r="D372" s="71" t="str">
        <f>IFERROR(__xludf.DUMMYFUNCTION("""COMPUTED_VALUE"""),"Municipal Local Government Unit of Nampicuan")</f>
        <v>Municipal Local Government Unit of Nampicuan</v>
      </c>
      <c r="E372" s="71" t="str">
        <f>IFERROR(__xludf.DUMMYFUNCTION("""COMPUTED_VALUE"""),"North Poblacion, Nampicuan, NUEVA ECIJA")</f>
        <v>North Poblacion, Nampicuan, NUEVA ECIJA</v>
      </c>
      <c r="F372" s="2" t="str">
        <f>IFERROR(__xludf.DUMMYFUNCTION("""COMPUTED_VALUE"""),"VICTOR M. BADAR")</f>
        <v>VICTOR M. BADAR</v>
      </c>
      <c r="G372" s="2">
        <f>IFERROR(__xludf.DUMMYFUNCTION("""COMPUTED_VALUE"""),9.197922884E9)</f>
        <v>9197922884</v>
      </c>
      <c r="H372" s="2">
        <f>IFERROR(__xludf.DUMMYFUNCTION("""COMPUTED_VALUE"""),14.7)</f>
        <v>14.7</v>
      </c>
      <c r="I372" s="72" t="str">
        <f>IFERROR(__xludf.DUMMYFUNCTION("""COMPUTED_VALUE"""),"REPAIR - TRACTOR")</f>
        <v>REPAIR - TRACTOR</v>
      </c>
      <c r="J372" s="72" t="str">
        <f>IFERROR(__xludf.DUMMYFUNCTION("""COMPUTED_VALUE"""),"CHECK UP")</f>
        <v>CHECK UP</v>
      </c>
      <c r="K372" s="72" t="str">
        <f>IFERROR(__xludf.DUMMYFUNCTION("""COMPUTED_VALUE"""),"CHECK UP UNIT")</f>
        <v>CHECK UP UNIT</v>
      </c>
      <c r="L372" s="72" t="str">
        <f>IFERROR(__xludf.DUMMYFUNCTION("""COMPUTED_VALUE"""),"ACS: CHECK TYM TRACTOR AND IMPLEMENTS ALL GOODS NAMAN PO")</f>
        <v>ACS: CHECK TYM TRACTOR AND IMPLEMENTS ALL GOODS NAMAN PO</v>
      </c>
      <c r="M372" s="2"/>
      <c r="N372" s="2"/>
      <c r="O372" s="2" t="str">
        <f>IFERROR(__xludf.DUMMYFUNCTION("""COMPUTED_VALUE"""),"N/A")</f>
        <v>N/A</v>
      </c>
      <c r="P372" s="2"/>
      <c r="Q372" s="2"/>
      <c r="R372" s="74">
        <f>IFERROR(__xludf.DUMMYFUNCTION("""COMPUTED_VALUE"""),45505.0)</f>
        <v>45505</v>
      </c>
      <c r="S372" s="2" t="str">
        <f>IFERROR(__xludf.DUMMYFUNCTION("""COMPUTED_VALUE"""),"ACS/JHP")</f>
        <v>ACS/JHP</v>
      </c>
      <c r="T372" s="73" t="str">
        <f>IFERROR(__xludf.DUMMYFUNCTION("""COMPUTED_VALUE""")," N/A ")</f>
        <v>N/A</v>
      </c>
      <c r="U372" s="73" t="str">
        <f>IFERROR(__xludf.DUMMYFUNCTION("""COMPUTED_VALUE""")," NO CHARGE ")</f>
        <v>NO CHARGE</v>
      </c>
      <c r="V372" s="2"/>
      <c r="W372" s="2" t="str">
        <f>IFERROR(__xludf.DUMMYFUNCTION("""COMPUTED_VALUE"""),"N/A")</f>
        <v>N/A</v>
      </c>
      <c r="X372" s="2" t="str">
        <f>IFERROR(__xludf.DUMMYFUNCTION("""COMPUTED_VALUE"""),"N/A")</f>
        <v>N/A</v>
      </c>
      <c r="Y372" s="2"/>
      <c r="Z372" s="2"/>
      <c r="AA372" s="2"/>
      <c r="AB372" s="2"/>
      <c r="AC372" s="2"/>
      <c r="AD372" s="2"/>
      <c r="AE372" s="2"/>
      <c r="AF372" s="2"/>
      <c r="AG372" s="2"/>
      <c r="AH372" s="2"/>
      <c r="AI372" s="2"/>
      <c r="AJ372" s="2" t="str">
        <f>IFERROR(__xludf.DUMMYFUNCTION("""COMPUTED_VALUE"""),"North Poblacion")</f>
        <v>North Poblacion</v>
      </c>
      <c r="AK372" s="2" t="str">
        <f>IFERROR(__xludf.DUMMYFUNCTION("""COMPUTED_VALUE"""),"Nampicuan")</f>
        <v>Nampicuan</v>
      </c>
      <c r="AL372" s="2" t="str">
        <f>IFERROR(__xludf.DUMMYFUNCTION("""COMPUTED_VALUE"""),"Nueva Ecija")</f>
        <v>Nueva Ecija</v>
      </c>
      <c r="AM372" s="2">
        <f>IFERROR(__xludf.DUMMYFUNCTION("""COMPUTED_VALUE"""),3.0)</f>
        <v>3</v>
      </c>
      <c r="AN372" s="2" t="str">
        <f>IFERROR(__xludf.DUMMYFUNCTION("""COMPUTED_VALUE"""),"RCEF 23-09-21 Rebidding")</f>
        <v>RCEF 23-09-21 Rebidding</v>
      </c>
      <c r="AO372" s="2">
        <f>IFERROR(__xludf.DUMMYFUNCTION("""COMPUTED_VALUE"""),3.0)</f>
        <v>3</v>
      </c>
      <c r="AP372" s="2"/>
      <c r="AQ372" s="2"/>
      <c r="AR372" s="2"/>
      <c r="AS372" s="2"/>
      <c r="AT372" s="2"/>
      <c r="AU372" s="2"/>
      <c r="AV372" s="2"/>
      <c r="AW372" s="2"/>
      <c r="AX372" s="2"/>
      <c r="AY372" s="2"/>
      <c r="AZ372" s="2"/>
      <c r="BA372" s="2"/>
      <c r="BB372" s="2"/>
    </row>
    <row r="373">
      <c r="A373" s="2">
        <f>IFERROR(__xludf.DUMMYFUNCTION("""COMPUTED_VALUE"""),369.0)</f>
        <v>369</v>
      </c>
      <c r="B373" s="2" t="str">
        <f>IFERROR(__xludf.DUMMYFUNCTION("""COMPUTED_VALUE"""),"COMPLETED")</f>
        <v>COMPLETED</v>
      </c>
      <c r="C373" s="74">
        <f>IFERROR(__xludf.DUMMYFUNCTION("""COMPUTED_VALUE"""),45505.0)</f>
        <v>45505</v>
      </c>
      <c r="D373" s="71" t="str">
        <f>IFERROR(__xludf.DUMMYFUNCTION("""COMPUTED_VALUE"""),"Sabit Agricultural Cooperative (SACO)")</f>
        <v>Sabit Agricultural Cooperative (SACO)</v>
      </c>
      <c r="E373" s="71" t="str">
        <f>IFERROR(__xludf.DUMMYFUNCTION("""COMPUTED_VALUE"""),", Cuyapo, NUEVA ECIJA")</f>
        <v>, Cuyapo, NUEVA ECIJA</v>
      </c>
      <c r="F373" s="2" t="str">
        <f>IFERROR(__xludf.DUMMYFUNCTION("""COMPUTED_VALUE"""),"ANTONIO M. ESTEBAN")</f>
        <v>ANTONIO M. ESTEBAN</v>
      </c>
      <c r="G373" s="2">
        <f>IFERROR(__xludf.DUMMYFUNCTION("""COMPUTED_VALUE"""),9.255528584E9)</f>
        <v>9255528584</v>
      </c>
      <c r="H373" s="2">
        <f>IFERROR(__xludf.DUMMYFUNCTION("""COMPUTED_VALUE"""),131.0)</f>
        <v>131</v>
      </c>
      <c r="I373" s="72" t="str">
        <f>IFERROR(__xludf.DUMMYFUNCTION("""COMPUTED_VALUE"""),"REPAIR - TRACTOR")</f>
        <v>REPAIR - TRACTOR</v>
      </c>
      <c r="J373" s="72" t="str">
        <f>IFERROR(__xludf.DUMMYFUNCTION("""COMPUTED_VALUE"""),"CHECK UP")</f>
        <v>CHECK UP</v>
      </c>
      <c r="K373" s="72" t="str">
        <f>IFERROR(__xludf.DUMMYFUNCTION("""COMPUTED_VALUE"""),"CHECK UP UNIT
FOR FIRST PMS, TATAWAG NALANG DAW PO SILA FOR FIRST PMS")</f>
        <v>CHECK UP UNIT
FOR FIRST PMS, TATAWAG NALANG DAW PO SILA FOR FIRST PMS</v>
      </c>
      <c r="L373" s="72" t="str">
        <f>IFERROR(__xludf.DUMMYFUNCTION("""COMPUTED_VALUE"""),"ACS: CHECK TYM TRACTOR AND IMPLEMENTS ALL GOODS NAMAN PO")</f>
        <v>ACS: CHECK TYM TRACTOR AND IMPLEMENTS ALL GOODS NAMAN PO</v>
      </c>
      <c r="M373" s="2"/>
      <c r="N373" s="2"/>
      <c r="O373" s="2" t="str">
        <f>IFERROR(__xludf.DUMMYFUNCTION("""COMPUTED_VALUE"""),"N/A")</f>
        <v>N/A</v>
      </c>
      <c r="P373" s="2"/>
      <c r="Q373" s="2"/>
      <c r="R373" s="74">
        <f>IFERROR(__xludf.DUMMYFUNCTION("""COMPUTED_VALUE"""),45505.0)</f>
        <v>45505</v>
      </c>
      <c r="S373" s="2" t="str">
        <f>IFERROR(__xludf.DUMMYFUNCTION("""COMPUTED_VALUE"""),"ACS/JHP")</f>
        <v>ACS/JHP</v>
      </c>
      <c r="T373" s="73" t="str">
        <f>IFERROR(__xludf.DUMMYFUNCTION("""COMPUTED_VALUE""")," N/A ")</f>
        <v>N/A</v>
      </c>
      <c r="U373" s="73" t="str">
        <f>IFERROR(__xludf.DUMMYFUNCTION("""COMPUTED_VALUE""")," NO CHARGE ")</f>
        <v>NO CHARGE</v>
      </c>
      <c r="V373" s="2"/>
      <c r="W373" s="2" t="str">
        <f>IFERROR(__xludf.DUMMYFUNCTION("""COMPUTED_VALUE"""),"N/A")</f>
        <v>N/A</v>
      </c>
      <c r="X373" s="2" t="str">
        <f>IFERROR(__xludf.DUMMYFUNCTION("""COMPUTED_VALUE"""),"N/A")</f>
        <v>N/A</v>
      </c>
      <c r="Y373" s="2"/>
      <c r="Z373" s="2"/>
      <c r="AA373" s="2"/>
      <c r="AB373" s="2"/>
      <c r="AC373" s="2"/>
      <c r="AD373" s="2"/>
      <c r="AE373" s="2"/>
      <c r="AF373" s="2"/>
      <c r="AG373" s="2"/>
      <c r="AH373" s="2"/>
      <c r="AI373" s="2"/>
      <c r="AJ373" s="2" t="str">
        <f>IFERROR(__xludf.DUMMYFUNCTION("""COMPUTED_VALUE"""),"")</f>
        <v/>
      </c>
      <c r="AK373" s="2" t="str">
        <f>IFERROR(__xludf.DUMMYFUNCTION("""COMPUTED_VALUE"""),"Cuyapo")</f>
        <v>Cuyapo</v>
      </c>
      <c r="AL373" s="2" t="str">
        <f>IFERROR(__xludf.DUMMYFUNCTION("""COMPUTED_VALUE"""),"Nueva Ecija")</f>
        <v>Nueva Ecija</v>
      </c>
      <c r="AM373" s="2">
        <f>IFERROR(__xludf.DUMMYFUNCTION("""COMPUTED_VALUE"""),3.0)</f>
        <v>3</v>
      </c>
      <c r="AN373" s="2" t="str">
        <f>IFERROR(__xludf.DUMMYFUNCTION("""COMPUTED_VALUE"""),"RCEF 23-09-21 Rebidding")</f>
        <v>RCEF 23-09-21 Rebidding</v>
      </c>
      <c r="AO373" s="2">
        <f>IFERROR(__xludf.DUMMYFUNCTION("""COMPUTED_VALUE"""),3.0)</f>
        <v>3</v>
      </c>
      <c r="AP373" s="2"/>
      <c r="AQ373" s="2"/>
      <c r="AR373" s="2"/>
      <c r="AS373" s="2"/>
      <c r="AT373" s="2"/>
      <c r="AU373" s="2"/>
      <c r="AV373" s="2"/>
      <c r="AW373" s="2"/>
      <c r="AX373" s="2"/>
      <c r="AY373" s="2"/>
      <c r="AZ373" s="2"/>
      <c r="BA373" s="2"/>
      <c r="BB373" s="2"/>
    </row>
    <row r="374">
      <c r="A374" s="2">
        <f>IFERROR(__xludf.DUMMYFUNCTION("""COMPUTED_VALUE"""),370.0)</f>
        <v>370</v>
      </c>
      <c r="B374" s="2" t="str">
        <f>IFERROR(__xludf.DUMMYFUNCTION("""COMPUTED_VALUE"""),"COMPLETED")</f>
        <v>COMPLETED</v>
      </c>
      <c r="C374" s="74">
        <f>IFERROR(__xludf.DUMMYFUNCTION("""COMPUTED_VALUE"""),45505.0)</f>
        <v>45505</v>
      </c>
      <c r="D374" s="71" t="str">
        <f>IFERROR(__xludf.DUMMYFUNCTION("""COMPUTED_VALUE"""),"NAGMISAHAN FARMERS ASSOCIATION")</f>
        <v>NAGMISAHAN FARMERS ASSOCIATION</v>
      </c>
      <c r="E374" s="71" t="str">
        <f>IFERROR(__xludf.DUMMYFUNCTION("""COMPUTED_VALUE"""),"Nagmisahan, Cuyapo, NUEVA ECIJA")</f>
        <v>Nagmisahan, Cuyapo, NUEVA ECIJA</v>
      </c>
      <c r="F374" s="2" t="str">
        <f>IFERROR(__xludf.DUMMYFUNCTION("""COMPUTED_VALUE"""),"DYNA F. CASTILLO")</f>
        <v>DYNA F. CASTILLO</v>
      </c>
      <c r="G374" s="2">
        <f>IFERROR(__xludf.DUMMYFUNCTION("""COMPUTED_VALUE"""),9.159762051E9)</f>
        <v>9159762051</v>
      </c>
      <c r="H374" s="2">
        <f>IFERROR(__xludf.DUMMYFUNCTION("""COMPUTED_VALUE"""),45.2)</f>
        <v>45.2</v>
      </c>
      <c r="I374" s="72" t="str">
        <f>IFERROR(__xludf.DUMMYFUNCTION("""COMPUTED_VALUE"""),"REPAIR - TRACTOR")</f>
        <v>REPAIR - TRACTOR</v>
      </c>
      <c r="J374" s="72" t="str">
        <f>IFERROR(__xludf.DUMMYFUNCTION("""COMPUTED_VALUE"""),"CHECK UP")</f>
        <v>CHECK UP</v>
      </c>
      <c r="K374" s="72" t="str">
        <f>IFERROR(__xludf.DUMMYFUNCTION("""COMPUTED_VALUE"""),"CHECK UP UNIT
TAWAG NALANG DAW PO SI FCA PARA SA FIRTS PMS")</f>
        <v>CHECK UP UNIT
TAWAG NALANG DAW PO SI FCA PARA SA FIRTS PMS</v>
      </c>
      <c r="L374" s="72" t="str">
        <f>IFERROR(__xludf.DUMMYFUNCTION("""COMPUTED_VALUE"""),"ACS: CHECK TYM TRACTOR AND IMPLEMENTS ALL GOODS NAMAN PO")</f>
        <v>ACS: CHECK TYM TRACTOR AND IMPLEMENTS ALL GOODS NAMAN PO</v>
      </c>
      <c r="M374" s="2"/>
      <c r="N374" s="2"/>
      <c r="O374" s="2" t="str">
        <f>IFERROR(__xludf.DUMMYFUNCTION("""COMPUTED_VALUE"""),"N/A")</f>
        <v>N/A</v>
      </c>
      <c r="P374" s="2"/>
      <c r="Q374" s="2"/>
      <c r="R374" s="74">
        <f>IFERROR(__xludf.DUMMYFUNCTION("""COMPUTED_VALUE"""),45505.0)</f>
        <v>45505</v>
      </c>
      <c r="S374" s="2" t="str">
        <f>IFERROR(__xludf.DUMMYFUNCTION("""COMPUTED_VALUE"""),"ACS/JHP")</f>
        <v>ACS/JHP</v>
      </c>
      <c r="T374" s="73" t="str">
        <f>IFERROR(__xludf.DUMMYFUNCTION("""COMPUTED_VALUE""")," N/A ")</f>
        <v>N/A</v>
      </c>
      <c r="U374" s="73" t="str">
        <f>IFERROR(__xludf.DUMMYFUNCTION("""COMPUTED_VALUE""")," NO CHARGE ")</f>
        <v>NO CHARGE</v>
      </c>
      <c r="V374" s="2"/>
      <c r="W374" s="2" t="str">
        <f>IFERROR(__xludf.DUMMYFUNCTION("""COMPUTED_VALUE"""),"N/A")</f>
        <v>N/A</v>
      </c>
      <c r="X374" s="2" t="str">
        <f>IFERROR(__xludf.DUMMYFUNCTION("""COMPUTED_VALUE"""),"N/A")</f>
        <v>N/A</v>
      </c>
      <c r="Y374" s="2"/>
      <c r="Z374" s="2"/>
      <c r="AA374" s="2"/>
      <c r="AB374" s="2"/>
      <c r="AC374" s="2"/>
      <c r="AD374" s="2"/>
      <c r="AE374" s="2"/>
      <c r="AF374" s="2"/>
      <c r="AG374" s="2"/>
      <c r="AH374" s="2"/>
      <c r="AI374" s="2"/>
      <c r="AJ374" s="2" t="str">
        <f>IFERROR(__xludf.DUMMYFUNCTION("""COMPUTED_VALUE"""),"Nagmisahan")</f>
        <v>Nagmisahan</v>
      </c>
      <c r="AK374" s="2" t="str">
        <f>IFERROR(__xludf.DUMMYFUNCTION("""COMPUTED_VALUE"""),"Cuyapo")</f>
        <v>Cuyapo</v>
      </c>
      <c r="AL374" s="2" t="str">
        <f>IFERROR(__xludf.DUMMYFUNCTION("""COMPUTED_VALUE"""),"Nueva Ecija")</f>
        <v>Nueva Ecija</v>
      </c>
      <c r="AM374" s="2">
        <f>IFERROR(__xludf.DUMMYFUNCTION("""COMPUTED_VALUE"""),3.0)</f>
        <v>3</v>
      </c>
      <c r="AN374" s="2" t="str">
        <f>IFERROR(__xludf.DUMMYFUNCTION("""COMPUTED_VALUE"""),"RCEF 23-09-21 Rebidding")</f>
        <v>RCEF 23-09-21 Rebidding</v>
      </c>
      <c r="AO374" s="2">
        <f>IFERROR(__xludf.DUMMYFUNCTION("""COMPUTED_VALUE"""),3.0)</f>
        <v>3</v>
      </c>
      <c r="AP374" s="2"/>
      <c r="AQ374" s="2"/>
      <c r="AR374" s="2"/>
      <c r="AS374" s="2"/>
      <c r="AT374" s="2"/>
      <c r="AU374" s="2"/>
      <c r="AV374" s="2"/>
      <c r="AW374" s="2"/>
      <c r="AX374" s="2"/>
      <c r="AY374" s="2"/>
      <c r="AZ374" s="2"/>
      <c r="BA374" s="2"/>
      <c r="BB374" s="2"/>
    </row>
    <row r="375">
      <c r="A375" s="2">
        <f>IFERROR(__xludf.DUMMYFUNCTION("""COMPUTED_VALUE"""),371.0)</f>
        <v>371</v>
      </c>
      <c r="B375" s="2" t="str">
        <f>IFERROR(__xludf.DUMMYFUNCTION("""COMPUTED_VALUE"""),"COMPLETED")</f>
        <v>COMPLETED</v>
      </c>
      <c r="C375" s="74">
        <f>IFERROR(__xludf.DUMMYFUNCTION("""COMPUTED_VALUE"""),45505.0)</f>
        <v>45505</v>
      </c>
      <c r="D375" s="71" t="str">
        <f>IFERROR(__xludf.DUMMYFUNCTION("""COMPUTED_VALUE"""),"Farmers League Agriculture Cooperative")</f>
        <v>Farmers League Agriculture Cooperative</v>
      </c>
      <c r="E375" s="71" t="str">
        <f>IFERROR(__xludf.DUMMYFUNCTION("""COMPUTED_VALUE"""),"Nagmisahan, Cuyapo, NUEVA ECIJA")</f>
        <v>Nagmisahan, Cuyapo, NUEVA ECIJA</v>
      </c>
      <c r="F375" s="2" t="str">
        <f>IFERROR(__xludf.DUMMYFUNCTION("""COMPUTED_VALUE"""),"CRISPPIN A. CARINO")</f>
        <v>CRISPPIN A. CARINO</v>
      </c>
      <c r="G375" s="2">
        <f>IFERROR(__xludf.DUMMYFUNCTION("""COMPUTED_VALUE"""),9.177171446E9)</f>
        <v>9177171446</v>
      </c>
      <c r="H375" s="2">
        <f>IFERROR(__xludf.DUMMYFUNCTION("""COMPUTED_VALUE"""),90.4)</f>
        <v>90.4</v>
      </c>
      <c r="I375" s="72" t="str">
        <f>IFERROR(__xludf.DUMMYFUNCTION("""COMPUTED_VALUE"""),"REPAIR - TRACTOR")</f>
        <v>REPAIR - TRACTOR</v>
      </c>
      <c r="J375" s="72" t="str">
        <f>IFERROR(__xludf.DUMMYFUNCTION("""COMPUTED_VALUE"""),"CHECK UP")</f>
        <v>CHECK UP</v>
      </c>
      <c r="K375" s="72" t="str">
        <f>IFERROR(__xludf.DUMMYFUNCTION("""COMPUTED_VALUE"""),"CHECK UP UNIT
TAWAG NALANG DAW PO SI FCA PARA SA FIRTS PMS")</f>
        <v>CHECK UP UNIT
TAWAG NALANG DAW PO SI FCA PARA SA FIRTS PMS</v>
      </c>
      <c r="L375" s="72" t="str">
        <f>IFERROR(__xludf.DUMMYFUNCTION("""COMPUTED_VALUE"""),"ACS: CHECK TYM TRACTOR AND IMPLEMENTS ALL GOODS NAMAN PO")</f>
        <v>ACS: CHECK TYM TRACTOR AND IMPLEMENTS ALL GOODS NAMAN PO</v>
      </c>
      <c r="M375" s="2"/>
      <c r="N375" s="2"/>
      <c r="O375" s="2" t="str">
        <f>IFERROR(__xludf.DUMMYFUNCTION("""COMPUTED_VALUE"""),"N/A")</f>
        <v>N/A</v>
      </c>
      <c r="P375" s="2"/>
      <c r="Q375" s="2"/>
      <c r="R375" s="74">
        <f>IFERROR(__xludf.DUMMYFUNCTION("""COMPUTED_VALUE"""),45505.0)</f>
        <v>45505</v>
      </c>
      <c r="S375" s="2" t="str">
        <f>IFERROR(__xludf.DUMMYFUNCTION("""COMPUTED_VALUE"""),"ACS/JHP")</f>
        <v>ACS/JHP</v>
      </c>
      <c r="T375" s="73" t="str">
        <f>IFERROR(__xludf.DUMMYFUNCTION("""COMPUTED_VALUE""")," N/A ")</f>
        <v>N/A</v>
      </c>
      <c r="U375" s="73" t="str">
        <f>IFERROR(__xludf.DUMMYFUNCTION("""COMPUTED_VALUE""")," NO CHARGE ")</f>
        <v>NO CHARGE</v>
      </c>
      <c r="V375" s="2"/>
      <c r="W375" s="2" t="str">
        <f>IFERROR(__xludf.DUMMYFUNCTION("""COMPUTED_VALUE"""),"N/A")</f>
        <v>N/A</v>
      </c>
      <c r="X375" s="2" t="str">
        <f>IFERROR(__xludf.DUMMYFUNCTION("""COMPUTED_VALUE"""),"N/A")</f>
        <v>N/A</v>
      </c>
      <c r="Y375" s="2"/>
      <c r="Z375" s="2"/>
      <c r="AA375" s="2"/>
      <c r="AB375" s="2"/>
      <c r="AC375" s="2"/>
      <c r="AD375" s="2"/>
      <c r="AE375" s="2"/>
      <c r="AF375" s="2"/>
      <c r="AG375" s="2"/>
      <c r="AH375" s="2"/>
      <c r="AI375" s="2"/>
      <c r="AJ375" s="2" t="str">
        <f>IFERROR(__xludf.DUMMYFUNCTION("""COMPUTED_VALUE"""),"Nagmisahan")</f>
        <v>Nagmisahan</v>
      </c>
      <c r="AK375" s="2" t="str">
        <f>IFERROR(__xludf.DUMMYFUNCTION("""COMPUTED_VALUE"""),"Cuyapo")</f>
        <v>Cuyapo</v>
      </c>
      <c r="AL375" s="2" t="str">
        <f>IFERROR(__xludf.DUMMYFUNCTION("""COMPUTED_VALUE"""),"Nueva Ecija")</f>
        <v>Nueva Ecija</v>
      </c>
      <c r="AM375" s="2">
        <f>IFERROR(__xludf.DUMMYFUNCTION("""COMPUTED_VALUE"""),3.0)</f>
        <v>3</v>
      </c>
      <c r="AN375" s="2" t="str">
        <f>IFERROR(__xludf.DUMMYFUNCTION("""COMPUTED_VALUE"""),"RCEF 23-09-21 Rebidding")</f>
        <v>RCEF 23-09-21 Rebidding</v>
      </c>
      <c r="AO375" s="2">
        <f>IFERROR(__xludf.DUMMYFUNCTION("""COMPUTED_VALUE"""),9.0)</f>
        <v>9</v>
      </c>
      <c r="AP375" s="2"/>
      <c r="AQ375" s="2"/>
      <c r="AR375" s="2"/>
      <c r="AS375" s="2"/>
      <c r="AT375" s="2"/>
      <c r="AU375" s="2"/>
      <c r="AV375" s="2"/>
      <c r="AW375" s="2"/>
      <c r="AX375" s="2"/>
      <c r="AY375" s="2"/>
      <c r="AZ375" s="2"/>
      <c r="BA375" s="2"/>
      <c r="BB375" s="2"/>
    </row>
    <row r="376">
      <c r="A376" s="2">
        <f>IFERROR(__xludf.DUMMYFUNCTION("""COMPUTED_VALUE"""),372.0)</f>
        <v>372</v>
      </c>
      <c r="B376" s="2" t="str">
        <f>IFERROR(__xludf.DUMMYFUNCTION("""COMPUTED_VALUE"""),"COMPLETED")</f>
        <v>COMPLETED</v>
      </c>
      <c r="C376" s="74">
        <f>IFERROR(__xludf.DUMMYFUNCTION("""COMPUTED_VALUE"""),45506.0)</f>
        <v>45506</v>
      </c>
      <c r="D376" s="71" t="str">
        <f>IFERROR(__xludf.DUMMYFUNCTION("""COMPUTED_VALUE"""),"SANDOVAL FARMERS ASSOCIATON")</f>
        <v>SANDOVAL FARMERS ASSOCIATON</v>
      </c>
      <c r="E376" s="71" t="str">
        <f>IFERROR(__xludf.DUMMYFUNCTION("""COMPUTED_VALUE"""),"Sandoval, Taytay, Palawan")</f>
        <v>Sandoval, Taytay, Palawan</v>
      </c>
      <c r="F376" s="2" t="str">
        <f>IFERROR(__xludf.DUMMYFUNCTION("""COMPUTED_VALUE"""),"ISAGANI REPE")</f>
        <v>ISAGANI REPE</v>
      </c>
      <c r="G376" s="2">
        <f>IFERROR(__xludf.DUMMYFUNCTION("""COMPUTED_VALUE"""),9.466248004E9)</f>
        <v>9466248004</v>
      </c>
      <c r="H376" s="2">
        <f>IFERROR(__xludf.DUMMYFUNCTION("""COMPUTED_VALUE"""),100.0)</f>
        <v>100</v>
      </c>
      <c r="I376" s="72" t="str">
        <f>IFERROR(__xludf.DUMMYFUNCTION("""COMPUTED_VALUE"""),"REPAIR - TRACTOR")</f>
        <v>REPAIR - TRACTOR</v>
      </c>
      <c r="J376" s="72" t="str">
        <f>IFERROR(__xludf.DUMMYFUNCTION("""COMPUTED_VALUE"""),"Engine - Overhaul")</f>
        <v>Engine - Overhaul</v>
      </c>
      <c r="K376" s="72" t="str">
        <f>IFERROR(__xludf.DUMMYFUNCTION("""COMPUTED_VALUE"""),"RCG: NAGHALO NA ANG TUBIG AT LANGIS
PARTS: CYLINDER HEAD GASKET (FOR LBC)
8/28/24: NAPADALA NA ANG PYESA
RCG: 9/13/24: MAY DAMAGED DIN ANG CYLINDER HEAD, FOR CONFIMATION PA KUNG MAY TAMA DIN ANG BLOCK. 
MYKEE: INTAYIN KO PA ANG MGA PICTURES
PARTS: CYLINDE"&amp;"R HEAD GASKET, CYLINDER BLOCK,  CYLINDER HEAD, VALVE SEAL, PISTON, PISTON RING
JTT: 11/29/24: UPON ASSESSMENT CYLINDER HEAD LANG ANG PROBLEMA
PARTS: CYLINDER HEAD ASSY")</f>
        <v>RCG: NAGHALO NA ANG TUBIG AT LANGIS
PARTS: CYLINDER HEAD GASKET (FOR LBC)
8/28/24: NAPADALA NA ANG PYESA
RCG: 9/13/24: MAY DAMAGED DIN ANG CYLINDER HEAD, FOR CONFIMATION PA KUNG MAY TAMA DIN ANG BLOCK. 
MYKEE: INTAYIN KO PA ANG MGA PICTURES
PARTS: CYLINDER HEAD GASKET, CYLINDER BLOCK,  CYLINDER HEAD, VALVE SEAL, PISTON, PISTON RING
JTT: 11/29/24: UPON ASSESSMENT CYLINDER HEAD LANG ANG PROBLEMA
PARTS: CYLINDER HEAD ASSY</v>
      </c>
      <c r="L376" s="72" t="str">
        <f>IFERROR(__xludf.DUMMYFUNCTION("""COMPUTED_VALUE"""),"JTT: REPLACED CYLINDER HEAD ASSEMBLY 1 HOSE INTER COOLER")</f>
        <v>JTT: REPLACED CYLINDER HEAD ASSEMBLY 1 HOSE INTER COOLER</v>
      </c>
      <c r="M376" s="2"/>
      <c r="N376" s="2" t="str">
        <f>IFERROR(__xludf.DUMMYFUNCTION("""COMPUTED_VALUE"""),"PARTS: 
CYLINDER HEAD GASKET, 
CYLINDER HEAD ASSY")</f>
        <v>PARTS: 
CYLINDER HEAD GASKET, 
CYLINDER HEAD ASSY</v>
      </c>
      <c r="O376" s="2">
        <f>IFERROR(__xludf.DUMMYFUNCTION("""COMPUTED_VALUE"""),2.0)</f>
        <v>2</v>
      </c>
      <c r="P376" s="2"/>
      <c r="Q376" s="2" t="str">
        <f>IFERROR(__xludf.DUMMYFUNCTION("""COMPUTED_VALUE"""),"Y")</f>
        <v>Y</v>
      </c>
      <c r="R376" s="74">
        <f>IFERROR(__xludf.DUMMYFUNCTION("""COMPUTED_VALUE"""),45630.0)</f>
        <v>45630</v>
      </c>
      <c r="S376" s="2" t="str">
        <f>IFERROR(__xludf.DUMMYFUNCTION("""COMPUTED_VALUE"""),"JTT/LBA")</f>
        <v>JTT/LBA</v>
      </c>
      <c r="T376" s="73" t="str">
        <f>IFERROR(__xludf.DUMMYFUNCTION("""COMPUTED_VALUE""")," N/A ")</f>
        <v>N/A</v>
      </c>
      <c r="U376" s="73" t="str">
        <f>IFERROR(__xludf.DUMMYFUNCTION("""COMPUTED_VALUE""")," NO CHARGE ")</f>
        <v>NO CHARGE</v>
      </c>
      <c r="V376" s="2"/>
      <c r="W376" s="2" t="str">
        <f>IFERROR(__xludf.DUMMYFUNCTION("""COMPUTED_VALUE"""),"N/A")</f>
        <v>N/A</v>
      </c>
      <c r="X376" s="2" t="str">
        <f>IFERROR(__xludf.DUMMYFUNCTION("""COMPUTED_VALUE"""),"N/A")</f>
        <v>N/A</v>
      </c>
      <c r="Y376" s="2"/>
      <c r="Z376" s="2"/>
      <c r="AA376" s="2"/>
      <c r="AB376" s="2" t="str">
        <f>IFERROR(__xludf.DUMMYFUNCTION("""COMPUTED_VALUE"""),"ACCOMPLISHED")</f>
        <v>ACCOMPLISHED</v>
      </c>
      <c r="AC376" s="2" t="str">
        <f>IFERROR(__xludf.DUMMYFUNCTION("""COMPUTED_VALUE"""),"N")</f>
        <v>N</v>
      </c>
      <c r="AD376" s="2"/>
      <c r="AE376" s="2"/>
      <c r="AF376" s="2"/>
      <c r="AG376" s="2"/>
      <c r="AH376" s="2"/>
      <c r="AI376" s="2"/>
      <c r="AJ376" s="2" t="str">
        <f>IFERROR(__xludf.DUMMYFUNCTION("""COMPUTED_VALUE"""),"Sandoval")</f>
        <v>Sandoval</v>
      </c>
      <c r="AK376" s="2" t="str">
        <f>IFERROR(__xludf.DUMMYFUNCTION("""COMPUTED_VALUE"""),"Taytay")</f>
        <v>Taytay</v>
      </c>
      <c r="AL376" s="2" t="str">
        <f>IFERROR(__xludf.DUMMYFUNCTION("""COMPUTED_VALUE"""),"Palawan")</f>
        <v>Palawan</v>
      </c>
      <c r="AM376" s="2" t="str">
        <f>IFERROR(__xludf.DUMMYFUNCTION("""COMPUTED_VALUE"""),"4B")</f>
        <v>4B</v>
      </c>
      <c r="AN376" s="2" t="str">
        <f>IFERROR(__xludf.DUMMYFUNCTION("""COMPUTED_VALUE"""),"RCEF 23-08-20 Rebidding")</f>
        <v>RCEF 23-08-20 Rebidding</v>
      </c>
      <c r="AO376" s="2">
        <f>IFERROR(__xludf.DUMMYFUNCTION("""COMPUTED_VALUE"""),1.0)</f>
        <v>1</v>
      </c>
      <c r="AP376" s="2"/>
      <c r="AQ376" s="2"/>
      <c r="AR376" s="2"/>
      <c r="AS376" s="2"/>
      <c r="AT376" s="2"/>
      <c r="AU376" s="2"/>
      <c r="AV376" s="2"/>
      <c r="AW376" s="2"/>
      <c r="AX376" s="2"/>
      <c r="AY376" s="2"/>
      <c r="AZ376" s="2"/>
      <c r="BA376" s="2"/>
      <c r="BB376" s="2"/>
    </row>
    <row r="377">
      <c r="A377" s="2">
        <f>IFERROR(__xludf.DUMMYFUNCTION("""COMPUTED_VALUE"""),373.0)</f>
        <v>373</v>
      </c>
      <c r="B377" s="2" t="str">
        <f>IFERROR(__xludf.DUMMYFUNCTION("""COMPUTED_VALUE"""),"COMPLETED")</f>
        <v>COMPLETED</v>
      </c>
      <c r="C377" s="74">
        <f>IFERROR(__xludf.DUMMYFUNCTION("""COMPUTED_VALUE"""),45506.0)</f>
        <v>45506</v>
      </c>
      <c r="D377" s="71" t="str">
        <f>IFERROR(__xludf.DUMMYFUNCTION("""COMPUTED_VALUE"""),"BARING SAN NICOLAS FARMERS ASSOCIATION")</f>
        <v>BARING SAN NICOLAS FARMERS ASSOCIATION</v>
      </c>
      <c r="E377" s="71" t="str">
        <f>IFERROR(__xludf.DUMMYFUNCTION("""COMPUTED_VALUE"""),"San Nicolas, Castillejos, ZAMBALES")</f>
        <v>San Nicolas, Castillejos, ZAMBALES</v>
      </c>
      <c r="F377" s="2" t="str">
        <f>IFERROR(__xludf.DUMMYFUNCTION("""COMPUTED_VALUE"""),"MILAGROS G. FREZADO")</f>
        <v>MILAGROS G. FREZADO</v>
      </c>
      <c r="G377" s="2">
        <f>IFERROR(__xludf.DUMMYFUNCTION("""COMPUTED_VALUE"""),9.099687461E9)</f>
        <v>9099687461</v>
      </c>
      <c r="H377" s="2">
        <f>IFERROR(__xludf.DUMMYFUNCTION("""COMPUTED_VALUE"""),143.9)</f>
        <v>143.9</v>
      </c>
      <c r="I377" s="72" t="str">
        <f>IFERROR(__xludf.DUMMYFUNCTION("""COMPUTED_VALUE"""),"REPAIR - TRACTOR")</f>
        <v>REPAIR - TRACTOR</v>
      </c>
      <c r="J377" s="72" t="str">
        <f>IFERROR(__xludf.DUMMYFUNCTION("""COMPUTED_VALUE"""),"CHECK UP")</f>
        <v>CHECK UP</v>
      </c>
      <c r="K377" s="72" t="str">
        <f>IFERROR(__xludf.DUMMYFUNCTION("""COMPUTED_VALUE"""),"CHECK UP UNIT")</f>
        <v>CHECK UP UNIT</v>
      </c>
      <c r="L377" s="72" t="str">
        <f>IFERROR(__xludf.DUMMYFUNCTION("""COMPUTED_VALUE"""),"DSD: OKAY NAMAN PO ANG UNIT, NAG DAGDAG PO KAMI NG GEAR OIL SA DISC PLOW")</f>
        <v>DSD: OKAY NAMAN PO ANG UNIT, NAG DAGDAG PO KAMI NG GEAR OIL SA DISC PLOW</v>
      </c>
      <c r="M377" s="2"/>
      <c r="N377" s="2"/>
      <c r="O377" s="2" t="str">
        <f>IFERROR(__xludf.DUMMYFUNCTION("""COMPUTED_VALUE"""),"JIE-925")</f>
        <v>JIE-925</v>
      </c>
      <c r="P377" s="2"/>
      <c r="Q377" s="2"/>
      <c r="R377" s="74">
        <f>IFERROR(__xludf.DUMMYFUNCTION("""COMPUTED_VALUE"""),45506.0)</f>
        <v>45506</v>
      </c>
      <c r="S377" s="2" t="str">
        <f>IFERROR(__xludf.DUMMYFUNCTION("""COMPUTED_VALUE"""),"DSD / EGT")</f>
        <v>DSD / EGT</v>
      </c>
      <c r="T377" s="73" t="str">
        <f>IFERROR(__xludf.DUMMYFUNCTION("""COMPUTED_VALUE""")," N/A ")</f>
        <v>N/A</v>
      </c>
      <c r="U377" s="73" t="str">
        <f>IFERROR(__xludf.DUMMYFUNCTION("""COMPUTED_VALUE""")," NO CHARGE ")</f>
        <v>NO CHARGE</v>
      </c>
      <c r="V377" s="2"/>
      <c r="W377" s="2" t="str">
        <f>IFERROR(__xludf.DUMMYFUNCTION("""COMPUTED_VALUE"""),"N/A")</f>
        <v>N/A</v>
      </c>
      <c r="X377" s="2" t="str">
        <f>IFERROR(__xludf.DUMMYFUNCTION("""COMPUTED_VALUE"""),"N/A")</f>
        <v>N/A</v>
      </c>
      <c r="Y377" s="2"/>
      <c r="Z377" s="2"/>
      <c r="AA377" s="2"/>
      <c r="AB377" s="2"/>
      <c r="AC377" s="2"/>
      <c r="AD377" s="2"/>
      <c r="AE377" s="2"/>
      <c r="AF377" s="2"/>
      <c r="AG377" s="2"/>
      <c r="AH377" s="2"/>
      <c r="AI377" s="2"/>
      <c r="AJ377" s="2" t="str">
        <f>IFERROR(__xludf.DUMMYFUNCTION("""COMPUTED_VALUE"""),"San Nicolas")</f>
        <v>San Nicolas</v>
      </c>
      <c r="AK377" s="2" t="str">
        <f>IFERROR(__xludf.DUMMYFUNCTION("""COMPUTED_VALUE"""),"Castillejos")</f>
        <v>Castillejos</v>
      </c>
      <c r="AL377" s="2" t="str">
        <f>IFERROR(__xludf.DUMMYFUNCTION("""COMPUTED_VALUE"""),"Zambales")</f>
        <v>Zambales</v>
      </c>
      <c r="AM377" s="2">
        <f>IFERROR(__xludf.DUMMYFUNCTION("""COMPUTED_VALUE"""),3.0)</f>
        <v>3</v>
      </c>
      <c r="AN377" s="2" t="str">
        <f>IFERROR(__xludf.DUMMYFUNCTION("""COMPUTED_VALUE"""),"RCEF 23-09-21 Rebidding")</f>
        <v>RCEF 23-09-21 Rebidding</v>
      </c>
      <c r="AO377" s="2">
        <f>IFERROR(__xludf.DUMMYFUNCTION("""COMPUTED_VALUE"""),3.0)</f>
        <v>3</v>
      </c>
      <c r="AP377" s="2"/>
      <c r="AQ377" s="2"/>
      <c r="AR377" s="2"/>
      <c r="AS377" s="2"/>
      <c r="AT377" s="2"/>
      <c r="AU377" s="2"/>
      <c r="AV377" s="2"/>
      <c r="AW377" s="2"/>
      <c r="AX377" s="2"/>
      <c r="AY377" s="2"/>
      <c r="AZ377" s="2"/>
      <c r="BA377" s="2"/>
      <c r="BB377" s="2"/>
    </row>
    <row r="378">
      <c r="A378" s="2">
        <f>IFERROR(__xludf.DUMMYFUNCTION("""COMPUTED_VALUE"""),374.0)</f>
        <v>374</v>
      </c>
      <c r="B378" s="2" t="str">
        <f>IFERROR(__xludf.DUMMYFUNCTION("""COMPUTED_VALUE"""),"COMPLETED")</f>
        <v>COMPLETED</v>
      </c>
      <c r="C378" s="74">
        <f>IFERROR(__xludf.DUMMYFUNCTION("""COMPUTED_VALUE"""),45506.0)</f>
        <v>45506</v>
      </c>
      <c r="D378" s="71" t="str">
        <f>IFERROR(__xludf.DUMMYFUNCTION("""COMPUTED_VALUE"""),"MASAGANANG BUKIRIN FARMERS ASSOCIATION")</f>
        <v>MASAGANANG BUKIRIN FARMERS ASSOCIATION</v>
      </c>
      <c r="E378" s="71" t="str">
        <f>IFERROR(__xludf.DUMMYFUNCTION("""COMPUTED_VALUE"""),"La Paz (Pob.), San Marcelino, ZAMBALES")</f>
        <v>La Paz (Pob.), San Marcelino, ZAMBALES</v>
      </c>
      <c r="F378" s="2" t="str">
        <f>IFERROR(__xludf.DUMMYFUNCTION("""COMPUTED_VALUE"""),"ALBERT B. MENDOZA")</f>
        <v>ALBERT B. MENDOZA</v>
      </c>
      <c r="G378" s="2">
        <f>IFERROR(__xludf.DUMMYFUNCTION("""COMPUTED_VALUE"""),9.38723368E9)</f>
        <v>9387233680</v>
      </c>
      <c r="H378" s="2">
        <f>IFERROR(__xludf.DUMMYFUNCTION("""COMPUTED_VALUE"""),408.7)</f>
        <v>408.7</v>
      </c>
      <c r="I378" s="72" t="str">
        <f>IFERROR(__xludf.DUMMYFUNCTION("""COMPUTED_VALUE"""),"REPAIR - TRACTOR")</f>
        <v>REPAIR - TRACTOR</v>
      </c>
      <c r="J378" s="72" t="str">
        <f>IFERROR(__xludf.DUMMYFUNCTION("""COMPUTED_VALUE"""),"CHECK UP")</f>
        <v>CHECK UP</v>
      </c>
      <c r="K378" s="72" t="str">
        <f>IFERROR(__xludf.DUMMYFUNCTION("""COMPUTED_VALUE"""),"CHECK UP UNIT")</f>
        <v>CHECK UP UNIT</v>
      </c>
      <c r="L378" s="72" t="str">
        <f>IFERROR(__xludf.DUMMYFUNCTION("""COMPUTED_VALUE"""),"DSD: CHECK UP UNIT AND IMPLEMENTS, NAGDAGDAG PO KAMI NG GEAR OIL SA DISC PLOW")</f>
        <v>DSD: CHECK UP UNIT AND IMPLEMENTS, NAGDAGDAG PO KAMI NG GEAR OIL SA DISC PLOW</v>
      </c>
      <c r="M378" s="2"/>
      <c r="N378" s="2"/>
      <c r="O378" s="2" t="str">
        <f>IFERROR(__xludf.DUMMYFUNCTION("""COMPUTED_VALUE"""),"JIE-926")</f>
        <v>JIE-926</v>
      </c>
      <c r="P378" s="2"/>
      <c r="Q378" s="2"/>
      <c r="R378" s="74">
        <f>IFERROR(__xludf.DUMMYFUNCTION("""COMPUTED_VALUE"""),45506.0)</f>
        <v>45506</v>
      </c>
      <c r="S378" s="2" t="str">
        <f>IFERROR(__xludf.DUMMYFUNCTION("""COMPUTED_VALUE"""),"DSD / EGT")</f>
        <v>DSD / EGT</v>
      </c>
      <c r="T378" s="73" t="str">
        <f>IFERROR(__xludf.DUMMYFUNCTION("""COMPUTED_VALUE""")," N/A ")</f>
        <v>N/A</v>
      </c>
      <c r="U378" s="73" t="str">
        <f>IFERROR(__xludf.DUMMYFUNCTION("""COMPUTED_VALUE""")," NO CHARGE ")</f>
        <v>NO CHARGE</v>
      </c>
      <c r="V378" s="2"/>
      <c r="W378" s="2" t="str">
        <f>IFERROR(__xludf.DUMMYFUNCTION("""COMPUTED_VALUE"""),"N/A")</f>
        <v>N/A</v>
      </c>
      <c r="X378" s="2" t="str">
        <f>IFERROR(__xludf.DUMMYFUNCTION("""COMPUTED_VALUE"""),"N/A")</f>
        <v>N/A</v>
      </c>
      <c r="Y378" s="2"/>
      <c r="Z378" s="2"/>
      <c r="AA378" s="2"/>
      <c r="AB378" s="2"/>
      <c r="AC378" s="2"/>
      <c r="AD378" s="2"/>
      <c r="AE378" s="2"/>
      <c r="AF378" s="2"/>
      <c r="AG378" s="2"/>
      <c r="AH378" s="2"/>
      <c r="AI378" s="2"/>
      <c r="AJ378" s="2" t="str">
        <f>IFERROR(__xludf.DUMMYFUNCTION("""COMPUTED_VALUE"""),"La Paz (Pob.)")</f>
        <v>La Paz (Pob.)</v>
      </c>
      <c r="AK378" s="2" t="str">
        <f>IFERROR(__xludf.DUMMYFUNCTION("""COMPUTED_VALUE"""),"San Marcelino")</f>
        <v>San Marcelino</v>
      </c>
      <c r="AL378" s="2" t="str">
        <f>IFERROR(__xludf.DUMMYFUNCTION("""COMPUTED_VALUE"""),"Zambales")</f>
        <v>Zambales</v>
      </c>
      <c r="AM378" s="2">
        <f>IFERROR(__xludf.DUMMYFUNCTION("""COMPUTED_VALUE"""),3.0)</f>
        <v>3</v>
      </c>
      <c r="AN378" s="2" t="str">
        <f>IFERROR(__xludf.DUMMYFUNCTION("""COMPUTED_VALUE"""),"RCEF 23-09-21 Rebidding")</f>
        <v>RCEF 23-09-21 Rebidding</v>
      </c>
      <c r="AO378" s="2">
        <f>IFERROR(__xludf.DUMMYFUNCTION("""COMPUTED_VALUE"""),9.0)</f>
        <v>9</v>
      </c>
      <c r="AP378" s="2"/>
      <c r="AQ378" s="2"/>
      <c r="AR378" s="2"/>
      <c r="AS378" s="2"/>
      <c r="AT378" s="2"/>
      <c r="AU378" s="2"/>
      <c r="AV378" s="2"/>
      <c r="AW378" s="2"/>
      <c r="AX378" s="2"/>
      <c r="AY378" s="2"/>
      <c r="AZ378" s="2"/>
      <c r="BA378" s="2"/>
      <c r="BB378" s="2"/>
    </row>
    <row r="379">
      <c r="A379" s="2">
        <f>IFERROR(__xludf.DUMMYFUNCTION("""COMPUTED_VALUE"""),375.0)</f>
        <v>375</v>
      </c>
      <c r="B379" s="2" t="str">
        <f>IFERROR(__xludf.DUMMYFUNCTION("""COMPUTED_VALUE"""),"COMPLETED")</f>
        <v>COMPLETED</v>
      </c>
      <c r="C379" s="74">
        <f>IFERROR(__xludf.DUMMYFUNCTION("""COMPUTED_VALUE"""),45506.0)</f>
        <v>45506</v>
      </c>
      <c r="D379" s="71" t="str">
        <f>IFERROR(__xludf.DUMMYFUNCTION("""COMPUTED_VALUE"""),"MAGSASAKA NG BAGONG HENERASYON NG BARANGAY SIMMINUBLAN (MBHBS)")</f>
        <v>MAGSASAKA NG BAGONG HENERASYON NG BARANGAY SIMMINUBLAN (MBHBS)</v>
      </c>
      <c r="E379" s="71" t="str">
        <f>IFERROR(__xludf.DUMMYFUNCTION("""COMPUTED_VALUE"""),"Siminublan, San Narciso, ZAMBALES")</f>
        <v>Siminublan, San Narciso, ZAMBALES</v>
      </c>
      <c r="F379" s="2" t="str">
        <f>IFERROR(__xludf.DUMMYFUNCTION("""COMPUTED_VALUE"""),"WILFREDO G. ALETA")</f>
        <v>WILFREDO G. ALETA</v>
      </c>
      <c r="G379" s="2">
        <f>IFERROR(__xludf.DUMMYFUNCTION("""COMPUTED_VALUE"""),9.100724561E9)</f>
        <v>9100724561</v>
      </c>
      <c r="H379" s="2">
        <f>IFERROR(__xludf.DUMMYFUNCTION("""COMPUTED_VALUE"""),165.1)</f>
        <v>165.1</v>
      </c>
      <c r="I379" s="72" t="str">
        <f>IFERROR(__xludf.DUMMYFUNCTION("""COMPUTED_VALUE"""),"REPAIR - TRACTOR")</f>
        <v>REPAIR - TRACTOR</v>
      </c>
      <c r="J379" s="72" t="str">
        <f>IFERROR(__xludf.DUMMYFUNCTION("""COMPUTED_VALUE"""),"CHECK UP")</f>
        <v>CHECK UP</v>
      </c>
      <c r="K379" s="72" t="str">
        <f>IFERROR(__xludf.DUMMYFUNCTION("""COMPUTED_VALUE"""),"CHECK UP UNIT")</f>
        <v>CHECK UP UNIT</v>
      </c>
      <c r="L379" s="72" t="str">
        <f>IFERROR(__xludf.DUMMYFUNCTION("""COMPUTED_VALUE"""),"DSD: CHECK UP UNIT AND IMPLEMENTS, NAGDAGDAG PO KAMI NG GEAR OIL SA DISC PLOW")</f>
        <v>DSD: CHECK UP UNIT AND IMPLEMENTS, NAGDAGDAG PO KAMI NG GEAR OIL SA DISC PLOW</v>
      </c>
      <c r="M379" s="2"/>
      <c r="N379" s="2"/>
      <c r="O379" s="2" t="str">
        <f>IFERROR(__xludf.DUMMYFUNCTION("""COMPUTED_VALUE"""),"JIE-927")</f>
        <v>JIE-927</v>
      </c>
      <c r="P379" s="2"/>
      <c r="Q379" s="2"/>
      <c r="R379" s="74">
        <f>IFERROR(__xludf.DUMMYFUNCTION("""COMPUTED_VALUE"""),45506.0)</f>
        <v>45506</v>
      </c>
      <c r="S379" s="2" t="str">
        <f>IFERROR(__xludf.DUMMYFUNCTION("""COMPUTED_VALUE"""),"DSD / EGT")</f>
        <v>DSD / EGT</v>
      </c>
      <c r="T379" s="73" t="str">
        <f>IFERROR(__xludf.DUMMYFUNCTION("""COMPUTED_VALUE""")," N/A ")</f>
        <v>N/A</v>
      </c>
      <c r="U379" s="73" t="str">
        <f>IFERROR(__xludf.DUMMYFUNCTION("""COMPUTED_VALUE""")," NO CHARGE ")</f>
        <v>NO CHARGE</v>
      </c>
      <c r="V379" s="2"/>
      <c r="W379" s="2" t="str">
        <f>IFERROR(__xludf.DUMMYFUNCTION("""COMPUTED_VALUE"""),"N/A")</f>
        <v>N/A</v>
      </c>
      <c r="X379" s="2" t="str">
        <f>IFERROR(__xludf.DUMMYFUNCTION("""COMPUTED_VALUE"""),"N/A")</f>
        <v>N/A</v>
      </c>
      <c r="Y379" s="2"/>
      <c r="Z379" s="2"/>
      <c r="AA379" s="2"/>
      <c r="AB379" s="2"/>
      <c r="AC379" s="2"/>
      <c r="AD379" s="2"/>
      <c r="AE379" s="2"/>
      <c r="AF379" s="2"/>
      <c r="AG379" s="2"/>
      <c r="AH379" s="2"/>
      <c r="AI379" s="2"/>
      <c r="AJ379" s="2" t="str">
        <f>IFERROR(__xludf.DUMMYFUNCTION("""COMPUTED_VALUE"""),"Siminublan")</f>
        <v>Siminublan</v>
      </c>
      <c r="AK379" s="2" t="str">
        <f>IFERROR(__xludf.DUMMYFUNCTION("""COMPUTED_VALUE"""),"San Narciso")</f>
        <v>San Narciso</v>
      </c>
      <c r="AL379" s="2" t="str">
        <f>IFERROR(__xludf.DUMMYFUNCTION("""COMPUTED_VALUE"""),"Zambales")</f>
        <v>Zambales</v>
      </c>
      <c r="AM379" s="2">
        <f>IFERROR(__xludf.DUMMYFUNCTION("""COMPUTED_VALUE"""),3.0)</f>
        <v>3</v>
      </c>
      <c r="AN379" s="2" t="str">
        <f>IFERROR(__xludf.DUMMYFUNCTION("""COMPUTED_VALUE"""),"RCEF 23-09-21 Rebidding")</f>
        <v>RCEF 23-09-21 Rebidding</v>
      </c>
      <c r="AO379" s="2">
        <f>IFERROR(__xludf.DUMMYFUNCTION("""COMPUTED_VALUE"""),9.0)</f>
        <v>9</v>
      </c>
      <c r="AP379" s="2"/>
      <c r="AQ379" s="2"/>
      <c r="AR379" s="2"/>
      <c r="AS379" s="2"/>
      <c r="AT379" s="2"/>
      <c r="AU379" s="2"/>
      <c r="AV379" s="2"/>
      <c r="AW379" s="2"/>
      <c r="AX379" s="2"/>
      <c r="AY379" s="2"/>
      <c r="AZ379" s="2"/>
      <c r="BA379" s="2"/>
      <c r="BB379" s="2"/>
    </row>
    <row r="380">
      <c r="A380" s="2">
        <f>IFERROR(__xludf.DUMMYFUNCTION("""COMPUTED_VALUE"""),376.0)</f>
        <v>376</v>
      </c>
      <c r="B380" s="2" t="str">
        <f>IFERROR(__xludf.DUMMYFUNCTION("""COMPUTED_VALUE"""),"COMPLETED")</f>
        <v>COMPLETED</v>
      </c>
      <c r="C380" s="74">
        <f>IFERROR(__xludf.DUMMYFUNCTION("""COMPUTED_VALUE"""),45506.0)</f>
        <v>45506</v>
      </c>
      <c r="D380" s="71" t="str">
        <f>IFERROR(__xludf.DUMMYFUNCTION("""COMPUTED_VALUE"""),"Guinabon Multipurpose Cooperative,Inc.")</f>
        <v>Guinabon Multipurpose Cooperative,Inc.</v>
      </c>
      <c r="E380" s="71" t="str">
        <f>IFERROR(__xludf.DUMMYFUNCTION("""COMPUTED_VALUE"""),"Guinabon, Santa Cruz, ZAMBALES")</f>
        <v>Guinabon, Santa Cruz, ZAMBALES</v>
      </c>
      <c r="F380" s="2" t="str">
        <f>IFERROR(__xludf.DUMMYFUNCTION("""COMPUTED_VALUE"""),"MARGIE M. ALOTA")</f>
        <v>MARGIE M. ALOTA</v>
      </c>
      <c r="G380" s="2">
        <f>IFERROR(__xludf.DUMMYFUNCTION("""COMPUTED_VALUE"""),9.106933876E9)</f>
        <v>9106933876</v>
      </c>
      <c r="H380" s="2">
        <f>IFERROR(__xludf.DUMMYFUNCTION("""COMPUTED_VALUE"""),145.9)</f>
        <v>145.9</v>
      </c>
      <c r="I380" s="72" t="str">
        <f>IFERROR(__xludf.DUMMYFUNCTION("""COMPUTED_VALUE"""),"REPAIR - TRACTOR")</f>
        <v>REPAIR - TRACTOR</v>
      </c>
      <c r="J380" s="72" t="str">
        <f>IFERROR(__xludf.DUMMYFUNCTION("""COMPUTED_VALUE"""),"CHECK UP")</f>
        <v>CHECK UP</v>
      </c>
      <c r="K380" s="72" t="str">
        <f>IFERROR(__xludf.DUMMYFUNCTION("""COMPUTED_VALUE"""),"DSD: 1ST PMS")</f>
        <v>DSD: 1ST PMS</v>
      </c>
      <c r="L380" s="72" t="str">
        <f>IFERROR(__xludf.DUMMYFUNCTION("""COMPUTED_VALUE"""),"DSD: First PMS done, gear oil okay, kanila po yung engine oil and hinugasan nalng po yung oil filter second PMS nalng daw po sila bibili ng oil filter and hydraulic filter")</f>
        <v>DSD: First PMS done, gear oil okay, kanila po yung engine oil and hinugasan nalng po yung oil filter second PMS nalng daw po sila bibili ng oil filter and hydraulic filter</v>
      </c>
      <c r="M380" s="2"/>
      <c r="N380" s="2"/>
      <c r="O380" s="2" t="str">
        <f>IFERROR(__xludf.DUMMYFUNCTION("""COMPUTED_VALUE"""),"JIE-928")</f>
        <v>JIE-928</v>
      </c>
      <c r="P380" s="2"/>
      <c r="Q380" s="2"/>
      <c r="R380" s="74">
        <f>IFERROR(__xludf.DUMMYFUNCTION("""COMPUTED_VALUE"""),45506.0)</f>
        <v>45506</v>
      </c>
      <c r="S380" s="2" t="str">
        <f>IFERROR(__xludf.DUMMYFUNCTION("""COMPUTED_VALUE"""),"DSD/EGT")</f>
        <v>DSD/EGT</v>
      </c>
      <c r="T380" s="73" t="str">
        <f>IFERROR(__xludf.DUMMYFUNCTION("""COMPUTED_VALUE""")," N/A ")</f>
        <v>N/A</v>
      </c>
      <c r="U380" s="73" t="str">
        <f>IFERROR(__xludf.DUMMYFUNCTION("""COMPUTED_VALUE""")," NO CHARGE ")</f>
        <v>NO CHARGE</v>
      </c>
      <c r="V380" s="2"/>
      <c r="W380" s="2" t="str">
        <f>IFERROR(__xludf.DUMMYFUNCTION("""COMPUTED_VALUE"""),"N/A")</f>
        <v>N/A</v>
      </c>
      <c r="X380" s="2" t="str">
        <f>IFERROR(__xludf.DUMMYFUNCTION("""COMPUTED_VALUE"""),"N/A")</f>
        <v>N/A</v>
      </c>
      <c r="Y380" s="2"/>
      <c r="Z380" s="2"/>
      <c r="AA380" s="2"/>
      <c r="AB380" s="2"/>
      <c r="AC380" s="2"/>
      <c r="AD380" s="2"/>
      <c r="AE380" s="2"/>
      <c r="AF380" s="2"/>
      <c r="AG380" s="2"/>
      <c r="AH380" s="2"/>
      <c r="AI380" s="2"/>
      <c r="AJ380" s="2" t="str">
        <f>IFERROR(__xludf.DUMMYFUNCTION("""COMPUTED_VALUE"""),"Guinabon")</f>
        <v>Guinabon</v>
      </c>
      <c r="AK380" s="2" t="str">
        <f>IFERROR(__xludf.DUMMYFUNCTION("""COMPUTED_VALUE"""),"Santa Cruz")</f>
        <v>Santa Cruz</v>
      </c>
      <c r="AL380" s="2" t="str">
        <f>IFERROR(__xludf.DUMMYFUNCTION("""COMPUTED_VALUE"""),"Zambales")</f>
        <v>Zambales</v>
      </c>
      <c r="AM380" s="2">
        <f>IFERROR(__xludf.DUMMYFUNCTION("""COMPUTED_VALUE"""),3.0)</f>
        <v>3</v>
      </c>
      <c r="AN380" s="2" t="str">
        <f>IFERROR(__xludf.DUMMYFUNCTION("""COMPUTED_VALUE"""),"RCEF 23-09-21 Rebidding")</f>
        <v>RCEF 23-09-21 Rebidding</v>
      </c>
      <c r="AO380" s="2">
        <f>IFERROR(__xludf.DUMMYFUNCTION("""COMPUTED_VALUE"""),3.0)</f>
        <v>3</v>
      </c>
      <c r="AP380" s="2"/>
      <c r="AQ380" s="2"/>
      <c r="AR380" s="2"/>
      <c r="AS380" s="2"/>
      <c r="AT380" s="2"/>
      <c r="AU380" s="2"/>
      <c r="AV380" s="2"/>
      <c r="AW380" s="2"/>
      <c r="AX380" s="2"/>
      <c r="AY380" s="2"/>
      <c r="AZ380" s="2"/>
      <c r="BA380" s="2"/>
      <c r="BB380" s="2"/>
    </row>
    <row r="381">
      <c r="A381" s="2">
        <f>IFERROR(__xludf.DUMMYFUNCTION("""COMPUTED_VALUE"""),377.0)</f>
        <v>377</v>
      </c>
      <c r="B381" s="2" t="str">
        <f>IFERROR(__xludf.DUMMYFUNCTION("""COMPUTED_VALUE"""),"COMPLETED")</f>
        <v>COMPLETED</v>
      </c>
      <c r="C381" s="74">
        <f>IFERROR(__xludf.DUMMYFUNCTION("""COMPUTED_VALUE"""),45506.0)</f>
        <v>45506</v>
      </c>
      <c r="D381" s="71" t="str">
        <f>IFERROR(__xludf.DUMMYFUNCTION("""COMPUTED_VALUE"""),"MASAGANANG BUKIRIN FARMERS ASSOCIATION")</f>
        <v>MASAGANANG BUKIRIN FARMERS ASSOCIATION</v>
      </c>
      <c r="E381" s="71" t="str">
        <f>IFERROR(__xludf.DUMMYFUNCTION("""COMPUTED_VALUE"""),"La Paz (Pob.), San Marcelino, ZAMBALES")</f>
        <v>La Paz (Pob.), San Marcelino, ZAMBALES</v>
      </c>
      <c r="F381" s="2" t="str">
        <f>IFERROR(__xludf.DUMMYFUNCTION("""COMPUTED_VALUE"""),"ALBERT B. MENDOZA")</f>
        <v>ALBERT B. MENDOZA</v>
      </c>
      <c r="G381" s="2">
        <f>IFERROR(__xludf.DUMMYFUNCTION("""COMPUTED_VALUE"""),9.38723368E9)</f>
        <v>9387233680</v>
      </c>
      <c r="H381" s="2">
        <f>IFERROR(__xludf.DUMMYFUNCTION("""COMPUTED_VALUE"""),408.7)</f>
        <v>408.7</v>
      </c>
      <c r="I381" s="72" t="str">
        <f>IFERROR(__xludf.DUMMYFUNCTION("""COMPUTED_VALUE"""),"PMS")</f>
        <v>PMS</v>
      </c>
      <c r="J381" s="72" t="str">
        <f>IFERROR(__xludf.DUMMYFUNCTION("""COMPUTED_VALUE"""),"PMS")</f>
        <v>PMS</v>
      </c>
      <c r="K381" s="72" t="str">
        <f>IFERROR(__xludf.DUMMYFUNCTION("""COMPUTED_VALUE"""),"DSD: UPON CHECK UP SUBJECT FOR PMS: 2ND PMS
MAG WITHDRAW DAW MUN SILA, IPAPARATING DAW MUNA SA MGA KA MYEMBRO
JHP: HINDI MATAWAGAN")</f>
        <v>DSD: UPON CHECK UP SUBJECT FOR PMS: 2ND PMS
MAG WITHDRAW DAW MUN SILA, IPAPARATING DAW MUNA SA MGA KA MYEMBRO
JHP: HINDI MATAWAGAN</v>
      </c>
      <c r="L381" s="72" t="str">
        <f>IFERROR(__xludf.DUMMYFUNCTION("""COMPUTED_VALUE"""),"CANCELLED")</f>
        <v>CANCELLED</v>
      </c>
      <c r="M381" s="2"/>
      <c r="N381" s="2"/>
      <c r="O381" s="2" t="str">
        <f>IFERROR(__xludf.DUMMYFUNCTION("""COMPUTED_VALUE"""),"CANCELLED")</f>
        <v>CANCELLED</v>
      </c>
      <c r="P381" s="2"/>
      <c r="Q381" s="2"/>
      <c r="R381" s="74">
        <f>IFERROR(__xludf.DUMMYFUNCTION("""COMPUTED_VALUE"""),45566.0)</f>
        <v>45566</v>
      </c>
      <c r="S381" s="2" t="str">
        <f>IFERROR(__xludf.DUMMYFUNCTION("""COMPUTED_VALUE"""),"MYKEE")</f>
        <v>MYKEE</v>
      </c>
      <c r="T381" s="73" t="str">
        <f>IFERROR(__xludf.DUMMYFUNCTION("""COMPUTED_VALUE""")," N/A ")</f>
        <v>N/A</v>
      </c>
      <c r="U381" s="73" t="str">
        <f>IFERROR(__xludf.DUMMYFUNCTION("""COMPUTED_VALUE""")," NO CHARGE ")</f>
        <v>NO CHARGE</v>
      </c>
      <c r="V381" s="2"/>
      <c r="W381" s="2" t="str">
        <f>IFERROR(__xludf.DUMMYFUNCTION("""COMPUTED_VALUE"""),"N/A")</f>
        <v>N/A</v>
      </c>
      <c r="X381" s="2" t="str">
        <f>IFERROR(__xludf.DUMMYFUNCTION("""COMPUTED_VALUE"""),"N/A")</f>
        <v>N/A</v>
      </c>
      <c r="Y381" s="2"/>
      <c r="Z381" s="2"/>
      <c r="AA381" s="2"/>
      <c r="AB381" s="2"/>
      <c r="AC381" s="2"/>
      <c r="AD381" s="2"/>
      <c r="AE381" s="2"/>
      <c r="AF381" s="2"/>
      <c r="AG381" s="2"/>
      <c r="AH381" s="2"/>
      <c r="AI381" s="2"/>
      <c r="AJ381" s="2" t="str">
        <f>IFERROR(__xludf.DUMMYFUNCTION("""COMPUTED_VALUE"""),"La Paz (Pob.)")</f>
        <v>La Paz (Pob.)</v>
      </c>
      <c r="AK381" s="2" t="str">
        <f>IFERROR(__xludf.DUMMYFUNCTION("""COMPUTED_VALUE"""),"San Marcelino")</f>
        <v>San Marcelino</v>
      </c>
      <c r="AL381" s="2" t="str">
        <f>IFERROR(__xludf.DUMMYFUNCTION("""COMPUTED_VALUE"""),"Zambales")</f>
        <v>Zambales</v>
      </c>
      <c r="AM381" s="2">
        <f>IFERROR(__xludf.DUMMYFUNCTION("""COMPUTED_VALUE"""),3.0)</f>
        <v>3</v>
      </c>
      <c r="AN381" s="2" t="str">
        <f>IFERROR(__xludf.DUMMYFUNCTION("""COMPUTED_VALUE"""),"RCEF 23-09-21 Rebidding")</f>
        <v>RCEF 23-09-21 Rebidding</v>
      </c>
      <c r="AO381" s="2">
        <f>IFERROR(__xludf.DUMMYFUNCTION("""COMPUTED_VALUE"""),9.0)</f>
        <v>9</v>
      </c>
      <c r="AP381" s="2"/>
      <c r="AQ381" s="2"/>
      <c r="AR381" s="2"/>
      <c r="AS381" s="2"/>
      <c r="AT381" s="2"/>
      <c r="AU381" s="2"/>
      <c r="AV381" s="2"/>
      <c r="AW381" s="2"/>
      <c r="AX381" s="2"/>
      <c r="AY381" s="2"/>
      <c r="AZ381" s="2"/>
      <c r="BA381" s="2"/>
      <c r="BB381" s="2"/>
    </row>
    <row r="382">
      <c r="A382" s="2">
        <f>IFERROR(__xludf.DUMMYFUNCTION("""COMPUTED_VALUE"""),378.0)</f>
        <v>378</v>
      </c>
      <c r="B382" s="2" t="str">
        <f>IFERROR(__xludf.DUMMYFUNCTION("""COMPUTED_VALUE"""),"COMPLETED")</f>
        <v>COMPLETED</v>
      </c>
      <c r="C382" s="74">
        <f>IFERROR(__xludf.DUMMYFUNCTION("""COMPUTED_VALUE"""),45507.0)</f>
        <v>45507</v>
      </c>
      <c r="D382" s="71" t="str">
        <f>IFERROR(__xludf.DUMMYFUNCTION("""COMPUTED_VALUE"""),"San Jose Farmers and Workers Association (SJFWA)")</f>
        <v>San Jose Farmers and Workers Association (SJFWA)</v>
      </c>
      <c r="E382" s="71" t="str">
        <f>IFERROR(__xludf.DUMMYFUNCTION("""COMPUTED_VALUE"""),"San Jose, Roxas City, CAPIZ")</f>
        <v>San Jose, Roxas City, CAPIZ</v>
      </c>
      <c r="F382" s="2" t="str">
        <f>IFERROR(__xludf.DUMMYFUNCTION("""COMPUTED_VALUE"""),"Rodulfo C
Capapas")</f>
        <v>Rodulfo C
Capapas</v>
      </c>
      <c r="G382" s="2" t="str">
        <f>IFERROR(__xludf.DUMMYFUNCTION("""COMPUTED_VALUE"""),"0907-210-2733")</f>
        <v>0907-210-2733</v>
      </c>
      <c r="H382" s="2">
        <f>IFERROR(__xludf.DUMMYFUNCTION("""COMPUTED_VALUE"""),60.7)</f>
        <v>60.7</v>
      </c>
      <c r="I382" s="72" t="str">
        <f>IFERROR(__xludf.DUMMYFUNCTION("""COMPUTED_VALUE"""),"PMS")</f>
        <v>PMS</v>
      </c>
      <c r="J382" s="72" t="str">
        <f>IFERROR(__xludf.DUMMYFUNCTION("""COMPUTED_VALUE"""),"PMS")</f>
        <v>PMS</v>
      </c>
      <c r="K382" s="72" t="str">
        <f>IFERROR(__xludf.DUMMYFUNCTION("""COMPUTED_VALUE"""),"CCB/DEXTER: FIRST PMS: SELF PMS")</f>
        <v>CCB/DEXTER: FIRST PMS: SELF PMS</v>
      </c>
      <c r="L382" s="72" t="str">
        <f>IFERROR(__xludf.DUMMYFUNCTION("""COMPUTED_VALUE"""),"SEND AGREEMENT: FB: ROSE CAPAPAS:AGREEMENT  SENT: SIGNED: FOR PRINT")</f>
        <v>SEND AGREEMENT: FB: ROSE CAPAPAS:AGREEMENT  SENT: SIGNED: FOR PRINT</v>
      </c>
      <c r="M382" s="2"/>
      <c r="N382" s="2"/>
      <c r="O382" s="2" t="str">
        <f>IFERROR(__xludf.DUMMYFUNCTION("""COMPUTED_VALUE"""),"N/A")</f>
        <v>N/A</v>
      </c>
      <c r="P382" s="2"/>
      <c r="Q382" s="2"/>
      <c r="R382" s="74">
        <f>IFERROR(__xludf.DUMMYFUNCTION("""COMPUTED_VALUE"""),45507.0)</f>
        <v>45507</v>
      </c>
      <c r="S382" s="2" t="str">
        <f>IFERROR(__xludf.DUMMYFUNCTION("""COMPUTED_VALUE"""),"MYKEE")</f>
        <v>MYKEE</v>
      </c>
      <c r="T382" s="73" t="str">
        <f>IFERROR(__xludf.DUMMYFUNCTION("""COMPUTED_VALUE""")," N/A ")</f>
        <v>N/A</v>
      </c>
      <c r="U382" s="73" t="str">
        <f>IFERROR(__xludf.DUMMYFUNCTION("""COMPUTED_VALUE""")," NO CHARGE ")</f>
        <v>NO CHARGE</v>
      </c>
      <c r="V382" s="2"/>
      <c r="W382" s="2" t="str">
        <f>IFERROR(__xludf.DUMMYFUNCTION("""COMPUTED_VALUE"""),"N/A")</f>
        <v>N/A</v>
      </c>
      <c r="X382" s="2" t="str">
        <f>IFERROR(__xludf.DUMMYFUNCTION("""COMPUTED_VALUE"""),"N/A")</f>
        <v>N/A</v>
      </c>
      <c r="Y382" s="2"/>
      <c r="Z382" s="2"/>
      <c r="AA382" s="2"/>
      <c r="AB382" s="2"/>
      <c r="AC382" s="2"/>
      <c r="AD382" s="2"/>
      <c r="AE382" s="2"/>
      <c r="AF382" s="2"/>
      <c r="AG382" s="2"/>
      <c r="AH382" s="2"/>
      <c r="AI382" s="2"/>
      <c r="AJ382" s="2" t="str">
        <f>IFERROR(__xludf.DUMMYFUNCTION("""COMPUTED_VALUE"""),"San Jose")</f>
        <v>San Jose</v>
      </c>
      <c r="AK382" s="2" t="str">
        <f>IFERROR(__xludf.DUMMYFUNCTION("""COMPUTED_VALUE"""),"Roxas City")</f>
        <v>Roxas City</v>
      </c>
      <c r="AL382" s="2" t="str">
        <f>IFERROR(__xludf.DUMMYFUNCTION("""COMPUTED_VALUE"""),"Capiz")</f>
        <v>Capiz</v>
      </c>
      <c r="AM382" s="2">
        <f>IFERROR(__xludf.DUMMYFUNCTION("""COMPUTED_VALUE"""),6.0)</f>
        <v>6</v>
      </c>
      <c r="AN382" s="2" t="str">
        <f>IFERROR(__xludf.DUMMYFUNCTION("""COMPUTED_VALUE"""),"RCEF 23-09-21 Rebidding")</f>
        <v>RCEF 23-09-21 Rebidding</v>
      </c>
      <c r="AO382" s="2">
        <f>IFERROR(__xludf.DUMMYFUNCTION("""COMPUTED_VALUE"""),4.0)</f>
        <v>4</v>
      </c>
      <c r="AP382" s="2"/>
      <c r="AQ382" s="2"/>
      <c r="AR382" s="2"/>
      <c r="AS382" s="2"/>
      <c r="AT382" s="2"/>
      <c r="AU382" s="2"/>
      <c r="AV382" s="2"/>
      <c r="AW382" s="2"/>
      <c r="AX382" s="2"/>
      <c r="AY382" s="2"/>
      <c r="AZ382" s="2"/>
      <c r="BA382" s="2"/>
      <c r="BB382" s="2"/>
    </row>
    <row r="383">
      <c r="A383" s="2">
        <f>IFERROR(__xludf.DUMMYFUNCTION("""COMPUTED_VALUE"""),379.0)</f>
        <v>379</v>
      </c>
      <c r="B383" s="2" t="str">
        <f>IFERROR(__xludf.DUMMYFUNCTION("""COMPUTED_VALUE"""),"COMPLETED")</f>
        <v>COMPLETED</v>
      </c>
      <c r="C383" s="74">
        <f>IFERROR(__xludf.DUMMYFUNCTION("""COMPUTED_VALUE"""),45507.0)</f>
        <v>45507</v>
      </c>
      <c r="D383" s="71" t="str">
        <f>IFERROR(__xludf.DUMMYFUNCTION("""COMPUTED_VALUE"""),"Aquino Cluster Farmers Association")</f>
        <v>Aquino Cluster Farmers Association</v>
      </c>
      <c r="E383" s="71" t="str">
        <f>IFERROR(__xludf.DUMMYFUNCTION("""COMPUTED_VALUE"""),"Aquino, Ibajay, AKLAN")</f>
        <v>Aquino, Ibajay, AKLAN</v>
      </c>
      <c r="F383" s="2" t="str">
        <f>IFERROR(__xludf.DUMMYFUNCTION("""COMPUTED_VALUE"""),"sermundo conan ")</f>
        <v>sermundo conan </v>
      </c>
      <c r="G383" s="2" t="str">
        <f>IFERROR(__xludf.DUMMYFUNCTION("""COMPUTED_VALUE"""),"0910-874-4791")</f>
        <v>0910-874-4791</v>
      </c>
      <c r="H383" s="2">
        <f>IFERROR(__xludf.DUMMYFUNCTION("""COMPUTED_VALUE"""),129.0)</f>
        <v>129</v>
      </c>
      <c r="I383" s="72" t="str">
        <f>IFERROR(__xludf.DUMMYFUNCTION("""COMPUTED_VALUE"""),"PMS")</f>
        <v>PMS</v>
      </c>
      <c r="J383" s="72" t="str">
        <f>IFERROR(__xludf.DUMMYFUNCTION("""COMPUTED_VALUE"""),"PMS")</f>
        <v>PMS</v>
      </c>
      <c r="K383" s="72" t="str">
        <f>IFERROR(__xludf.DUMMYFUNCTION("""COMPUTED_VALUE"""),"CCB: FIRTS PMS: SELF PMS")</f>
        <v>CCB: FIRTS PMS: SELF PMS</v>
      </c>
      <c r="L383" s="72" t="str">
        <f>IFERROR(__xludf.DUMMYFUNCTION("""COMPUTED_VALUE"""),"SEND AGREEMENT")</f>
        <v>SEND AGREEMENT</v>
      </c>
      <c r="M383" s="2"/>
      <c r="N383" s="2"/>
      <c r="O383" s="2" t="str">
        <f>IFERROR(__xludf.DUMMYFUNCTION("""COMPUTED_VALUE"""),"N/A")</f>
        <v>N/A</v>
      </c>
      <c r="P383" s="2"/>
      <c r="Q383" s="2"/>
      <c r="R383" s="74">
        <f>IFERROR(__xludf.DUMMYFUNCTION("""COMPUTED_VALUE"""),45507.0)</f>
        <v>45507</v>
      </c>
      <c r="S383" s="2" t="str">
        <f>IFERROR(__xludf.DUMMYFUNCTION("""COMPUTED_VALUE"""),"MYKEE")</f>
        <v>MYKEE</v>
      </c>
      <c r="T383" s="73" t="str">
        <f>IFERROR(__xludf.DUMMYFUNCTION("""COMPUTED_VALUE""")," N/A ")</f>
        <v>N/A</v>
      </c>
      <c r="U383" s="73" t="str">
        <f>IFERROR(__xludf.DUMMYFUNCTION("""COMPUTED_VALUE""")," NO CHARGE ")</f>
        <v>NO CHARGE</v>
      </c>
      <c r="V383" s="2"/>
      <c r="W383" s="2" t="str">
        <f>IFERROR(__xludf.DUMMYFUNCTION("""COMPUTED_VALUE"""),"N/A")</f>
        <v>N/A</v>
      </c>
      <c r="X383" s="2" t="str">
        <f>IFERROR(__xludf.DUMMYFUNCTION("""COMPUTED_VALUE"""),"N/A")</f>
        <v>N/A</v>
      </c>
      <c r="Y383" s="2"/>
      <c r="Z383" s="2"/>
      <c r="AA383" s="2"/>
      <c r="AB383" s="2"/>
      <c r="AC383" s="2"/>
      <c r="AD383" s="2"/>
      <c r="AE383" s="2"/>
      <c r="AF383" s="2"/>
      <c r="AG383" s="2"/>
      <c r="AH383" s="2"/>
      <c r="AI383" s="2"/>
      <c r="AJ383" s="2" t="str">
        <f>IFERROR(__xludf.DUMMYFUNCTION("""COMPUTED_VALUE"""),"Aquino")</f>
        <v>Aquino</v>
      </c>
      <c r="AK383" s="2" t="str">
        <f>IFERROR(__xludf.DUMMYFUNCTION("""COMPUTED_VALUE"""),"Ibajay")</f>
        <v>Ibajay</v>
      </c>
      <c r="AL383" s="2" t="str">
        <f>IFERROR(__xludf.DUMMYFUNCTION("""COMPUTED_VALUE"""),"Aklan")</f>
        <v>Aklan</v>
      </c>
      <c r="AM383" s="2">
        <f>IFERROR(__xludf.DUMMYFUNCTION("""COMPUTED_VALUE"""),6.0)</f>
        <v>6</v>
      </c>
      <c r="AN383" s="2" t="str">
        <f>IFERROR(__xludf.DUMMYFUNCTION("""COMPUTED_VALUE"""),"RCEF 23-09-21 Rebidding")</f>
        <v>RCEF 23-09-21 Rebidding</v>
      </c>
      <c r="AO383" s="2">
        <f>IFERROR(__xludf.DUMMYFUNCTION("""COMPUTED_VALUE"""),4.0)</f>
        <v>4</v>
      </c>
      <c r="AP383" s="2"/>
      <c r="AQ383" s="2"/>
      <c r="AR383" s="2"/>
      <c r="AS383" s="2"/>
      <c r="AT383" s="2"/>
      <c r="AU383" s="2"/>
      <c r="AV383" s="2"/>
      <c r="AW383" s="2"/>
      <c r="AX383" s="2"/>
      <c r="AY383" s="2"/>
      <c r="AZ383" s="2"/>
      <c r="BA383" s="2"/>
      <c r="BB383" s="2"/>
    </row>
    <row r="384">
      <c r="A384" s="2">
        <f>IFERROR(__xludf.DUMMYFUNCTION("""COMPUTED_VALUE"""),380.0)</f>
        <v>380</v>
      </c>
      <c r="B384" s="2" t="str">
        <f>IFERROR(__xludf.DUMMYFUNCTION("""COMPUTED_VALUE"""),"COMPLETED")</f>
        <v>COMPLETED</v>
      </c>
      <c r="C384" s="74">
        <f>IFERROR(__xludf.DUMMYFUNCTION("""COMPUTED_VALUE"""),45507.0)</f>
        <v>45507</v>
      </c>
      <c r="D384" s="71" t="str">
        <f>IFERROR(__xludf.DUMMYFUNCTION("""COMPUTED_VALUE"""),"Laguinbanua Integrated Farmers Association")</f>
        <v>Laguinbanua Integrated Farmers Association</v>
      </c>
      <c r="E384" s="71" t="str">
        <f>IFERROR(__xludf.DUMMYFUNCTION("""COMPUTED_VALUE"""),"Laguinbanua, Ibajay, AKLAN")</f>
        <v>Laguinbanua, Ibajay, AKLAN</v>
      </c>
      <c r="F384" s="2" t="str">
        <f>IFERROR(__xludf.DUMMYFUNCTION("""COMPUTED_VALUE"""),"Chevy Fernandez ")</f>
        <v>Chevy Fernandez </v>
      </c>
      <c r="G384" s="2" t="str">
        <f>IFERROR(__xludf.DUMMYFUNCTION("""COMPUTED_VALUE"""),"0919-241-3021")</f>
        <v>0919-241-3021</v>
      </c>
      <c r="H384" s="2">
        <f>IFERROR(__xludf.DUMMYFUNCTION("""COMPUTED_VALUE"""),19.0)</f>
        <v>19</v>
      </c>
      <c r="I384" s="72" t="str">
        <f>IFERROR(__xludf.DUMMYFUNCTION("""COMPUTED_VALUE"""),"REPAIR - TRACTOR")</f>
        <v>REPAIR - TRACTOR</v>
      </c>
      <c r="J384" s="72" t="str">
        <f>IFERROR(__xludf.DUMMYFUNCTION("""COMPUTED_VALUE"""),"RADIATOR")</f>
        <v>RADIATOR</v>
      </c>
      <c r="K384" s="72" t="str">
        <f>IFERROR(__xludf.DUMMYFUNCTION("""COMPUTED_VALUE"""),"CCB: Faulty  RADIATOR (top)")</f>
        <v>CCB: Faulty  RADIATOR (top)</v>
      </c>
      <c r="L384" s="72" t="str">
        <f>IFERROR(__xludf.DUMMYFUNCTION("""COMPUTED_VALUE"""),"FARMER: OK NAMAN ANG RADIATOR NILA  WALA DAW SIRA")</f>
        <v>FARMER: OK NAMAN ANG RADIATOR NILA  WALA DAW SIRA</v>
      </c>
      <c r="M384" s="2"/>
      <c r="N384" s="2"/>
      <c r="O384" s="2" t="str">
        <f>IFERROR(__xludf.DUMMYFUNCTION("""COMPUTED_VALUE"""),"N/A")</f>
        <v>N/A</v>
      </c>
      <c r="P384" s="2"/>
      <c r="Q384" s="2"/>
      <c r="R384" s="74">
        <f>IFERROR(__xludf.DUMMYFUNCTION("""COMPUTED_VALUE"""),45566.0)</f>
        <v>45566</v>
      </c>
      <c r="S384" s="2" t="str">
        <f>IFERROR(__xludf.DUMMYFUNCTION("""COMPUTED_VALUE"""),"MYKEE")</f>
        <v>MYKEE</v>
      </c>
      <c r="T384" s="73" t="str">
        <f>IFERROR(__xludf.DUMMYFUNCTION("""COMPUTED_VALUE""")," N/A ")</f>
        <v>N/A</v>
      </c>
      <c r="U384" s="73" t="str">
        <f>IFERROR(__xludf.DUMMYFUNCTION("""COMPUTED_VALUE""")," NO CHARGE ")</f>
        <v>NO CHARGE</v>
      </c>
      <c r="V384" s="2"/>
      <c r="W384" s="2" t="str">
        <f>IFERROR(__xludf.DUMMYFUNCTION("""COMPUTED_VALUE"""),"N/A")</f>
        <v>N/A</v>
      </c>
      <c r="X384" s="2" t="str">
        <f>IFERROR(__xludf.DUMMYFUNCTION("""COMPUTED_VALUE"""),"N/A")</f>
        <v>N/A</v>
      </c>
      <c r="Y384" s="2"/>
      <c r="Z384" s="2"/>
      <c r="AA384" s="2"/>
      <c r="AB384" s="2"/>
      <c r="AC384" s="2" t="str">
        <f>IFERROR(__xludf.DUMMYFUNCTION("""COMPUTED_VALUE"""),"N")</f>
        <v>N</v>
      </c>
      <c r="AD384" s="2"/>
      <c r="AE384" s="2"/>
      <c r="AF384" s="2"/>
      <c r="AG384" s="2"/>
      <c r="AH384" s="2"/>
      <c r="AI384" s="2"/>
      <c r="AJ384" s="2" t="str">
        <f>IFERROR(__xludf.DUMMYFUNCTION("""COMPUTED_VALUE"""),"Laguinbanua")</f>
        <v>Laguinbanua</v>
      </c>
      <c r="AK384" s="2" t="str">
        <f>IFERROR(__xludf.DUMMYFUNCTION("""COMPUTED_VALUE"""),"Ibajay")</f>
        <v>Ibajay</v>
      </c>
      <c r="AL384" s="2" t="str">
        <f>IFERROR(__xludf.DUMMYFUNCTION("""COMPUTED_VALUE"""),"Aklan")</f>
        <v>Aklan</v>
      </c>
      <c r="AM384" s="2">
        <f>IFERROR(__xludf.DUMMYFUNCTION("""COMPUTED_VALUE"""),6.0)</f>
        <v>6</v>
      </c>
      <c r="AN384" s="2" t="str">
        <f>IFERROR(__xludf.DUMMYFUNCTION("""COMPUTED_VALUE"""),"RCEF 23-09-21 Rebidding")</f>
        <v>RCEF 23-09-21 Rebidding</v>
      </c>
      <c r="AO384" s="2">
        <f>IFERROR(__xludf.DUMMYFUNCTION("""COMPUTED_VALUE"""),4.0)</f>
        <v>4</v>
      </c>
      <c r="AP384" s="2"/>
      <c r="AQ384" s="2"/>
      <c r="AR384" s="2"/>
      <c r="AS384" s="2"/>
      <c r="AT384" s="2"/>
      <c r="AU384" s="2"/>
      <c r="AV384" s="2"/>
      <c r="AW384" s="2"/>
      <c r="AX384" s="2"/>
      <c r="AY384" s="2"/>
      <c r="AZ384" s="2"/>
      <c r="BA384" s="2"/>
      <c r="BB384" s="2"/>
    </row>
    <row r="385">
      <c r="A385" s="2">
        <f>IFERROR(__xludf.DUMMYFUNCTION("""COMPUTED_VALUE"""),381.0)</f>
        <v>381</v>
      </c>
      <c r="B385" s="2" t="str">
        <f>IFERROR(__xludf.DUMMYFUNCTION("""COMPUTED_VALUE"""),"COMPLETED")</f>
        <v>COMPLETED</v>
      </c>
      <c r="C385" s="74">
        <f>IFERROR(__xludf.DUMMYFUNCTION("""COMPUTED_VALUE"""),45507.0)</f>
        <v>45507</v>
      </c>
      <c r="D385" s="71" t="str">
        <f>IFERROR(__xludf.DUMMYFUNCTION("""COMPUTED_VALUE"""),"Capisanan Agrarian Reform Cooperative")</f>
        <v>Capisanan Agrarian Reform Cooperative</v>
      </c>
      <c r="E385" s="71" t="str">
        <f>IFERROR(__xludf.DUMMYFUNCTION("""COMPUTED_VALUE"""),"Capinang, San Dionisio, ILOILO")</f>
        <v>Capinang, San Dionisio, ILOILO</v>
      </c>
      <c r="F385" s="2" t="str">
        <f>IFERROR(__xludf.DUMMYFUNCTION("""COMPUTED_VALUE"""),"JULIUS G. BOLIVAR")</f>
        <v>JULIUS G. BOLIVAR</v>
      </c>
      <c r="G385" s="2" t="str">
        <f>IFERROR(__xludf.DUMMYFUNCTION("""COMPUTED_VALUE"""),"0907-210-2733")</f>
        <v>0907-210-2733</v>
      </c>
      <c r="H385" s="2">
        <f>IFERROR(__xludf.DUMMYFUNCTION("""COMPUTED_VALUE"""),97.0)</f>
        <v>97</v>
      </c>
      <c r="I385" s="72" t="str">
        <f>IFERROR(__xludf.DUMMYFUNCTION("""COMPUTED_VALUE"""),"REPAIR - TRACTOR")</f>
        <v>REPAIR - TRACTOR</v>
      </c>
      <c r="J385" s="72" t="str">
        <f>IFERROR(__xludf.DUMMYFUNCTION("""COMPUTED_VALUE"""),"CHECK UP")</f>
        <v>CHECK UP</v>
      </c>
      <c r="K385" s="72" t="str">
        <f>IFERROR(__xludf.DUMMYFUNCTION("""COMPUTED_VALUE"""),"CCB:Report - may tumatagas na hydraulic sa ilalim ng salinan ng hydraulic")</f>
        <v>CCB:Report - may tumatagas na hydraulic sa ilalim ng salinan ng hydraulic</v>
      </c>
      <c r="L385" s="72" t="str">
        <f>IFERROR(__xludf.DUMMYFUNCTION("""COMPUTED_VALUE"""),"FARMER: OK NAMAN ANG UNIT, HINDI NAMAN GANON KALAKAS ANG TAGAS")</f>
        <v>FARMER: OK NAMAN ANG UNIT, HINDI NAMAN GANON KALAKAS ANG TAGAS</v>
      </c>
      <c r="M385" s="2"/>
      <c r="N385" s="2"/>
      <c r="O385" s="2" t="str">
        <f>IFERROR(__xludf.DUMMYFUNCTION("""COMPUTED_VALUE"""),"N/A")</f>
        <v>N/A</v>
      </c>
      <c r="P385" s="2"/>
      <c r="Q385" s="2"/>
      <c r="R385" s="74">
        <f>IFERROR(__xludf.DUMMYFUNCTION("""COMPUTED_VALUE"""),45574.0)</f>
        <v>45574</v>
      </c>
      <c r="S385" s="2" t="str">
        <f>IFERROR(__xludf.DUMMYFUNCTION("""COMPUTED_VALUE"""),"MYKEE")</f>
        <v>MYKEE</v>
      </c>
      <c r="T385" s="73" t="str">
        <f>IFERROR(__xludf.DUMMYFUNCTION("""COMPUTED_VALUE""")," N/A ")</f>
        <v>N/A</v>
      </c>
      <c r="U385" s="73" t="str">
        <f>IFERROR(__xludf.DUMMYFUNCTION("""COMPUTED_VALUE""")," NO CHARGE ")</f>
        <v>NO CHARGE</v>
      </c>
      <c r="V385" s="2"/>
      <c r="W385" s="2" t="str">
        <f>IFERROR(__xludf.DUMMYFUNCTION("""COMPUTED_VALUE"""),"N/A")</f>
        <v>N/A</v>
      </c>
      <c r="X385" s="2" t="str">
        <f>IFERROR(__xludf.DUMMYFUNCTION("""COMPUTED_VALUE"""),"N/A")</f>
        <v>N/A</v>
      </c>
      <c r="Y385" s="2"/>
      <c r="Z385" s="2"/>
      <c r="AA385" s="2"/>
      <c r="AB385" s="2"/>
      <c r="AC385" s="2"/>
      <c r="AD385" s="2"/>
      <c r="AE385" s="2"/>
      <c r="AF385" s="2"/>
      <c r="AG385" s="2"/>
      <c r="AH385" s="2"/>
      <c r="AI385" s="2"/>
      <c r="AJ385" s="2" t="str">
        <f>IFERROR(__xludf.DUMMYFUNCTION("""COMPUTED_VALUE"""),"Capinang")</f>
        <v>Capinang</v>
      </c>
      <c r="AK385" s="2" t="str">
        <f>IFERROR(__xludf.DUMMYFUNCTION("""COMPUTED_VALUE"""),"San Dionisio")</f>
        <v>San Dionisio</v>
      </c>
      <c r="AL385" s="2" t="str">
        <f>IFERROR(__xludf.DUMMYFUNCTION("""COMPUTED_VALUE"""),"Iloilo")</f>
        <v>Iloilo</v>
      </c>
      <c r="AM385" s="2">
        <f>IFERROR(__xludf.DUMMYFUNCTION("""COMPUTED_VALUE"""),6.0)</f>
        <v>6</v>
      </c>
      <c r="AN385" s="2" t="str">
        <f>IFERROR(__xludf.DUMMYFUNCTION("""COMPUTED_VALUE"""),"RCEF 23-09-21 Rebidding")</f>
        <v>RCEF 23-09-21 Rebidding</v>
      </c>
      <c r="AO385" s="2">
        <f>IFERROR(__xludf.DUMMYFUNCTION("""COMPUTED_VALUE"""),4.0)</f>
        <v>4</v>
      </c>
      <c r="AP385" s="2"/>
      <c r="AQ385" s="2"/>
      <c r="AR385" s="2"/>
      <c r="AS385" s="2"/>
      <c r="AT385" s="2"/>
      <c r="AU385" s="2"/>
      <c r="AV385" s="2"/>
      <c r="AW385" s="2"/>
      <c r="AX385" s="2"/>
      <c r="AY385" s="2"/>
      <c r="AZ385" s="2"/>
      <c r="BA385" s="2"/>
      <c r="BB385" s="2"/>
    </row>
    <row r="386">
      <c r="A386" s="2">
        <f>IFERROR(__xludf.DUMMYFUNCTION("""COMPUTED_VALUE"""),382.0)</f>
        <v>382</v>
      </c>
      <c r="B386" s="2" t="str">
        <f>IFERROR(__xludf.DUMMYFUNCTION("""COMPUTED_VALUE"""),"COMPLETED")</f>
        <v>COMPLETED</v>
      </c>
      <c r="C386" s="74">
        <f>IFERROR(__xludf.DUMMYFUNCTION("""COMPUTED_VALUE"""),45509.0)</f>
        <v>45509</v>
      </c>
      <c r="D386" s="71" t="str">
        <f>IFERROR(__xludf.DUMMYFUNCTION("""COMPUTED_VALUE"""),"Masalipit Small Water Irrigation System Association Inc.")</f>
        <v>Masalipit Small Water Irrigation System Association Inc.</v>
      </c>
      <c r="E386" s="71" t="str">
        <f>IFERROR(__xludf.DUMMYFUNCTION("""COMPUTED_VALUE"""),"Masalipit, San Miguel, BULACAN")</f>
        <v>Masalipit, San Miguel, BULACAN</v>
      </c>
      <c r="F386" s="2" t="str">
        <f>IFERROR(__xludf.DUMMYFUNCTION("""COMPUTED_VALUE"""),"Bernardo Lusano")</f>
        <v>Bernardo Lusano</v>
      </c>
      <c r="G386" s="2" t="str">
        <f>IFERROR(__xludf.DUMMYFUNCTION("""COMPUTED_VALUE"""),"0935-952-6857")</f>
        <v>0935-952-6857</v>
      </c>
      <c r="H386" s="2">
        <f>IFERROR(__xludf.DUMMYFUNCTION("""COMPUTED_VALUE"""),192.0)</f>
        <v>192</v>
      </c>
      <c r="I386" s="72" t="str">
        <f>IFERROR(__xludf.DUMMYFUNCTION("""COMPUTED_VALUE"""),"REPAIR - TRACTOR")</f>
        <v>REPAIR - TRACTOR</v>
      </c>
      <c r="J386" s="72" t="str">
        <f>IFERROR(__xludf.DUMMYFUNCTION("""COMPUTED_VALUE"""),"TRANSMISSION - Clutch")</f>
        <v>TRANSMISSION - Clutch</v>
      </c>
      <c r="K386" s="72" t="str">
        <f>IFERROR(__xludf.DUMMYFUNCTION("""COMPUTED_VALUE"""),"mykee: Maam good morning po, ireport ko lang po sana yung isang unit po natin sa San Miguel Bulacan. Nagkaproblema daw po yung four wheel nila sa clutch, ayaw daw po kumagat ng clutch.")</f>
        <v>mykee: Maam good morning po, ireport ko lang po sana yung isang unit po natin sa San Miguel Bulacan. Nagkaproblema daw po yung four wheel nila sa clutch, ayaw daw po kumagat ng clutch.</v>
      </c>
      <c r="L386" s="72" t="str">
        <f>IFERROR(__xludf.DUMMYFUNCTION("""COMPUTED_VALUE"""),"JDP: Upon assesment,  continues po yung andar ng tractor kahit nakatapak sa clutch pedal
CANCELLED WALANG BUDGET SI FARMER")</f>
        <v>JDP: Upon assesment,  continues po yung andar ng tractor kahit nakatapak sa clutch pedal
CANCELLED WALANG BUDGET SI FARMER</v>
      </c>
      <c r="M386" s="2"/>
      <c r="N386" s="2"/>
      <c r="O386" s="2" t="str">
        <f>IFERROR(__xludf.DUMMYFUNCTION("""COMPUTED_VALUE"""),"N/A")</f>
        <v>N/A</v>
      </c>
      <c r="P386" s="2"/>
      <c r="Q386" s="2"/>
      <c r="R386" s="74">
        <f>IFERROR(__xludf.DUMMYFUNCTION("""COMPUTED_VALUE"""),45525.0)</f>
        <v>45525</v>
      </c>
      <c r="S386" s="2" t="str">
        <f>IFERROR(__xludf.DUMMYFUNCTION("""COMPUTED_VALUE"""),"JDP/CFG/EGT")</f>
        <v>JDP/CFG/EGT</v>
      </c>
      <c r="T386" s="73" t="str">
        <f>IFERROR(__xludf.DUMMYFUNCTION("""COMPUTED_VALUE""")," N/A ")</f>
        <v>N/A</v>
      </c>
      <c r="U386" s="73" t="str">
        <f>IFERROR(__xludf.DUMMYFUNCTION("""COMPUTED_VALUE""")," NO CHARGE ")</f>
        <v>NO CHARGE</v>
      </c>
      <c r="V386" s="2"/>
      <c r="W386" s="2" t="str">
        <f>IFERROR(__xludf.DUMMYFUNCTION("""COMPUTED_VALUE"""),"N/A")</f>
        <v>N/A</v>
      </c>
      <c r="X386" s="2" t="str">
        <f>IFERROR(__xludf.DUMMYFUNCTION("""COMPUTED_VALUE"""),"N/A")</f>
        <v>N/A</v>
      </c>
      <c r="Y386" s="2"/>
      <c r="Z386" s="2"/>
      <c r="AA386" s="2"/>
      <c r="AB386" s="2"/>
      <c r="AC386" s="2"/>
      <c r="AD386" s="2"/>
      <c r="AE386" s="2"/>
      <c r="AF386" s="2"/>
      <c r="AG386" s="2"/>
      <c r="AH386" s="2"/>
      <c r="AI386" s="2"/>
      <c r="AJ386" s="2" t="str">
        <f>IFERROR(__xludf.DUMMYFUNCTION("""COMPUTED_VALUE"""),"Masalipit")</f>
        <v>Masalipit</v>
      </c>
      <c r="AK386" s="2" t="str">
        <f>IFERROR(__xludf.DUMMYFUNCTION("""COMPUTED_VALUE"""),"San Miguel")</f>
        <v>San Miguel</v>
      </c>
      <c r="AL386" s="2" t="str">
        <f>IFERROR(__xludf.DUMMYFUNCTION("""COMPUTED_VALUE"""),"Bulacan")</f>
        <v>Bulacan</v>
      </c>
      <c r="AM386" s="2">
        <f>IFERROR(__xludf.DUMMYFUNCTION("""COMPUTED_VALUE"""),3.0)</f>
        <v>3</v>
      </c>
      <c r="AN386" s="2" t="str">
        <f>IFERROR(__xludf.DUMMYFUNCTION("""COMPUTED_VALUE"""),"RCEF 23-09-21 Rebidding")</f>
        <v>RCEF 23-09-21 Rebidding</v>
      </c>
      <c r="AO386" s="2">
        <f>IFERROR(__xludf.DUMMYFUNCTION("""COMPUTED_VALUE"""),3.0)</f>
        <v>3</v>
      </c>
      <c r="AP386" s="2"/>
      <c r="AQ386" s="2"/>
      <c r="AR386" s="2"/>
      <c r="AS386" s="2"/>
      <c r="AT386" s="2"/>
      <c r="AU386" s="2"/>
      <c r="AV386" s="2"/>
      <c r="AW386" s="2"/>
      <c r="AX386" s="2"/>
      <c r="AY386" s="2"/>
      <c r="AZ386" s="2"/>
      <c r="BA386" s="2"/>
      <c r="BB386" s="2"/>
    </row>
    <row r="387">
      <c r="A387" s="2">
        <f>IFERROR(__xludf.DUMMYFUNCTION("""COMPUTED_VALUE"""),383.0)</f>
        <v>383</v>
      </c>
      <c r="B387" s="2" t="str">
        <f>IFERROR(__xludf.DUMMYFUNCTION("""COMPUTED_VALUE"""),"COMPLETED")</f>
        <v>COMPLETED</v>
      </c>
      <c r="C387" s="74">
        <f>IFERROR(__xludf.DUMMYFUNCTION("""COMPUTED_VALUE"""),45511.0)</f>
        <v>45511</v>
      </c>
      <c r="D387" s="71" t="str">
        <f>IFERROR(__xludf.DUMMYFUNCTION("""COMPUTED_VALUE"""),"STA. RITA RICE, CORN, HVCC AND LIVESTOCK FARMERS ASSOCIATION")</f>
        <v>STA. RITA RICE, CORN, HVCC AND LIVESTOCK FARMERS ASSOCIATION</v>
      </c>
      <c r="E387" s="71" t="str">
        <f>IFERROR(__xludf.DUMMYFUNCTION("""COMPUTED_VALUE""")," ")</f>
        <v> </v>
      </c>
      <c r="F387" s="2" t="str">
        <f>IFERROR(__xludf.DUMMYFUNCTION("""COMPUTED_VALUE"""),"FLORENTINO I. CALAWAGAN JR.")</f>
        <v>FLORENTINO I. CALAWAGAN JR.</v>
      </c>
      <c r="G387" s="2">
        <f>IFERROR(__xludf.DUMMYFUNCTION("""COMPUTED_VALUE"""),9.46278586E9)</f>
        <v>9462785860</v>
      </c>
      <c r="H387" s="2">
        <f>IFERROR(__xludf.DUMMYFUNCTION("""COMPUTED_VALUE"""),82.4)</f>
        <v>82.4</v>
      </c>
      <c r="I387" s="72" t="str">
        <f>IFERROR(__xludf.DUMMYFUNCTION("""COMPUTED_VALUE"""),"PMS")</f>
        <v>PMS</v>
      </c>
      <c r="J387" s="72" t="str">
        <f>IFERROR(__xludf.DUMMYFUNCTION("""COMPUTED_VALUE"""),"PMS")</f>
        <v>PMS</v>
      </c>
      <c r="K387" s="72" t="str">
        <f>IFERROR(__xludf.DUMMYFUNCTION("""COMPUTED_VALUE"""),"DSD: 1ST PMS")</f>
        <v>DSD: 1ST PMS</v>
      </c>
      <c r="L387" s="72" t="str">
        <f>IFERROR(__xludf.DUMMYFUNCTION("""COMPUTED_VALUE"""),"DSD: FIRST PMS DONE")</f>
        <v>DSD: FIRST PMS DONE</v>
      </c>
      <c r="M387" s="2"/>
      <c r="N387" s="2" t="str">
        <f>IFERROR(__xludf.DUMMYFUNCTION("""COMPUTED_VALUE"""),"OIL FILTER")</f>
        <v>OIL FILTER</v>
      </c>
      <c r="O387" s="2" t="str">
        <f>IFERROR(__xludf.DUMMYFUNCTION("""COMPUTED_VALUE"""),"JIE-929")</f>
        <v>JIE-929</v>
      </c>
      <c r="P387" s="2"/>
      <c r="Q387" s="2"/>
      <c r="R387" s="74">
        <f>IFERROR(__xludf.DUMMYFUNCTION("""COMPUTED_VALUE"""),45511.0)</f>
        <v>45511</v>
      </c>
      <c r="S387" s="2" t="str">
        <f>IFERROR(__xludf.DUMMYFUNCTION("""COMPUTED_VALUE"""),"DSD/EGT/JVV")</f>
        <v>DSD/EGT/JVV</v>
      </c>
      <c r="T387" s="73">
        <f>IFERROR(__xludf.DUMMYFUNCTION("""COMPUTED_VALUE"""),2837.0)</f>
        <v>2837</v>
      </c>
      <c r="U387" s="73" t="str">
        <f>IFERROR(__xludf.DUMMYFUNCTION("""COMPUTED_VALUE""")," NO CHARGE ")</f>
        <v>NO CHARGE</v>
      </c>
      <c r="V387" s="2"/>
      <c r="W387" s="2" t="str">
        <f>IFERROR(__xludf.DUMMYFUNCTION("""COMPUTED_VALUE"""),"N/A")</f>
        <v>N/A</v>
      </c>
      <c r="X387" s="2" t="str">
        <f>IFERROR(__xludf.DUMMYFUNCTION("""COMPUTED_VALUE"""),"N/A")</f>
        <v>N/A</v>
      </c>
      <c r="Y387" s="2"/>
      <c r="Z387" s="2"/>
      <c r="AA387" s="2"/>
      <c r="AB387" s="2"/>
      <c r="AC387" s="2"/>
      <c r="AD387" s="2"/>
      <c r="AE387" s="2"/>
      <c r="AF387" s="2"/>
      <c r="AG387" s="2"/>
      <c r="AH387" s="2"/>
      <c r="AI387" s="2"/>
      <c r="AJ387" s="2" t="str">
        <f>IFERROR(__xludf.DUMMYFUNCTION("""COMPUTED_VALUE"""),"")</f>
        <v/>
      </c>
      <c r="AK387" s="2" t="str">
        <f>IFERROR(__xludf.DUMMYFUNCTION("""COMPUTED_VALUE"""),"")</f>
        <v/>
      </c>
      <c r="AL387" s="2" t="str">
        <f>IFERROR(__xludf.DUMMYFUNCTION("""COMPUTED_VALUE"""),"")</f>
        <v/>
      </c>
      <c r="AM387" s="2" t="str">
        <f>IFERROR(__xludf.DUMMYFUNCTION("""COMPUTED_VALUE"""),"")</f>
        <v/>
      </c>
      <c r="AN387" s="2" t="str">
        <f>IFERROR(__xludf.DUMMYFUNCTION("""COMPUTED_VALUE""")," ")</f>
        <v> </v>
      </c>
      <c r="AO387" s="2" t="str">
        <f>IFERROR(__xludf.DUMMYFUNCTION("""COMPUTED_VALUE""")," ")</f>
        <v> </v>
      </c>
      <c r="AP387" s="2" t="str">
        <f>IFERROR(__xludf.DUMMYFUNCTION("""COMPUTED_VALUE"""),"")</f>
        <v/>
      </c>
      <c r="AQ387" s="2"/>
      <c r="AR387" s="2"/>
      <c r="AS387" s="2"/>
      <c r="AT387" s="2"/>
      <c r="AU387" s="2"/>
      <c r="AV387" s="2"/>
      <c r="AW387" s="2"/>
      <c r="AX387" s="2"/>
      <c r="AY387" s="2"/>
      <c r="AZ387" s="2"/>
      <c r="BA387" s="2"/>
      <c r="BB387" s="2"/>
    </row>
    <row r="388">
      <c r="A388" s="2">
        <f>IFERROR(__xludf.DUMMYFUNCTION("""COMPUTED_VALUE"""),384.0)</f>
        <v>384</v>
      </c>
      <c r="B388" s="2" t="str">
        <f>IFERROR(__xludf.DUMMYFUNCTION("""COMPUTED_VALUE"""),"COMPLETED")</f>
        <v>COMPLETED</v>
      </c>
      <c r="C388" s="74">
        <f>IFERROR(__xludf.DUMMYFUNCTION("""COMPUTED_VALUE"""),45513.0)</f>
        <v>45513</v>
      </c>
      <c r="D388" s="71" t="str">
        <f>IFERROR(__xludf.DUMMYFUNCTION("""COMPUTED_VALUE"""),"MALATGAO QUEZON FARMERS IRRIGATORS' ASSOCIATION, INC.")</f>
        <v>MALATGAO QUEZON FARMERS IRRIGATORS' ASSOCIATION, INC.</v>
      </c>
      <c r="E388" s="71" t="str">
        <f>IFERROR(__xludf.DUMMYFUNCTION("""COMPUTED_VALUE"""),"Malatgao, Quezon, Palawan")</f>
        <v>Malatgao, Quezon, Palawan</v>
      </c>
      <c r="F388" s="2" t="str">
        <f>IFERROR(__xludf.DUMMYFUNCTION("""COMPUTED_VALUE"""),"Raymund Talon")</f>
        <v>Raymund Talon</v>
      </c>
      <c r="G388" s="2" t="str">
        <f>IFERROR(__xludf.DUMMYFUNCTION("""COMPUTED_VALUE"""),"0908 209 1466
")</f>
        <v>0908 209 1466
</v>
      </c>
      <c r="H388" s="2">
        <f>IFERROR(__xludf.DUMMYFUNCTION("""COMPUTED_VALUE"""),885.1)</f>
        <v>885.1</v>
      </c>
      <c r="I388" s="72" t="str">
        <f>IFERROR(__xludf.DUMMYFUNCTION("""COMPUTED_VALUE"""),"SPARE PARTS ACQUISITION")</f>
        <v>SPARE PARTS ACQUISITION</v>
      </c>
      <c r="J388" s="72" t="str">
        <f>IFERROR(__xludf.DUMMYFUNCTION("""COMPUTED_VALUE"""),"PMS")</f>
        <v>PMS</v>
      </c>
      <c r="K388" s="72" t="str">
        <f>IFERROR(__xludf.DUMMYFUNCTION("""COMPUTED_VALUE"""),"RCG: Need na palitan ang FUEL AND WATER SEPERATOR ASSY / FUEL FILTER
RCG: PRICE NEEDED
RCG:8/19/24: 1 FUEL FILTER, 1 HYDRAULIC FILTER
RCG:8/29/24: WALA PA RESPOSE REGARDING SA PRICE KUNG IPAPADALA
RCG: ORDER: 1 HYDRAULIC FILTER")</f>
        <v>RCG: Need na palitan ang FUEL AND WATER SEPERATOR ASSY / FUEL FILTER
RCG: PRICE NEEDED
RCG:8/19/24: 1 FUEL FILTER, 1 HYDRAULIC FILTER
RCG:8/29/24: WALA PA RESPOSE REGARDING SA PRICE KUNG IPAPADALA
RCG: ORDER: 1 HYDRAULIC FILTER</v>
      </c>
      <c r="L388" s="72" t="str">
        <f>IFERROR(__xludf.DUMMYFUNCTION("""COMPUTED_VALUE"""),"DELIVERED HYDRAULIC FILTER")</f>
        <v>DELIVERED HYDRAULIC FILTER</v>
      </c>
      <c r="M388" s="2"/>
      <c r="N388" s="2" t="str">
        <f>IFERROR(__xludf.DUMMYFUNCTION("""COMPUTED_VALUE"""),"PARTS: HYDRAULIC FILTER")</f>
        <v>PARTS: HYDRAULIC FILTER</v>
      </c>
      <c r="O388" s="2" t="str">
        <f>IFERROR(__xludf.DUMMYFUNCTION("""COMPUTED_VALUE"""),"N/A")</f>
        <v>N/A</v>
      </c>
      <c r="P388" s="2"/>
      <c r="Q388" s="2"/>
      <c r="R388" s="74">
        <f>IFERROR(__xludf.DUMMYFUNCTION("""COMPUTED_VALUE"""),45646.0)</f>
        <v>45646</v>
      </c>
      <c r="S388" s="2"/>
      <c r="T388" s="73">
        <f>IFERROR(__xludf.DUMMYFUNCTION("""COMPUTED_VALUE"""),2748.0)</f>
        <v>2748</v>
      </c>
      <c r="U388" s="73" t="str">
        <f>IFERROR(__xludf.DUMMYFUNCTION("""COMPUTED_VALUE""")," REMITTED ")</f>
        <v>REMITTED</v>
      </c>
      <c r="V388" s="2"/>
      <c r="W388" s="2">
        <f>IFERROR(__xludf.DUMMYFUNCTION("""COMPUTED_VALUE"""),1173.0)</f>
        <v>1173</v>
      </c>
      <c r="X388" s="2">
        <f>IFERROR(__xludf.DUMMYFUNCTION("""COMPUTED_VALUE"""),1262.0)</f>
        <v>1262</v>
      </c>
      <c r="Y388" s="2" t="str">
        <f>IFERROR(__xludf.DUMMYFUNCTION("""COMPUTED_VALUE"""),"WITH PARTS")</f>
        <v>WITH PARTS</v>
      </c>
      <c r="Z388" s="2"/>
      <c r="AA388" s="2"/>
      <c r="AB388" s="2"/>
      <c r="AC388" s="2"/>
      <c r="AD388" s="2"/>
      <c r="AE388" s="2"/>
      <c r="AF388" s="2"/>
      <c r="AG388" s="2"/>
      <c r="AH388" s="2"/>
      <c r="AI388" s="2"/>
      <c r="AJ388" s="2" t="str">
        <f>IFERROR(__xludf.DUMMYFUNCTION("""COMPUTED_VALUE"""),"Malatgao")</f>
        <v>Malatgao</v>
      </c>
      <c r="AK388" s="2" t="str">
        <f>IFERROR(__xludf.DUMMYFUNCTION("""COMPUTED_VALUE"""),"Quezon")</f>
        <v>Quezon</v>
      </c>
      <c r="AL388" s="2" t="str">
        <f>IFERROR(__xludf.DUMMYFUNCTION("""COMPUTED_VALUE"""),"Palawan")</f>
        <v>Palawan</v>
      </c>
      <c r="AM388" s="2" t="str">
        <f>IFERROR(__xludf.DUMMYFUNCTION("""COMPUTED_VALUE"""),"4B")</f>
        <v>4B</v>
      </c>
      <c r="AN388" s="2" t="str">
        <f>IFERROR(__xludf.DUMMYFUNCTION("""COMPUTED_VALUE"""),"RCEF 23-08-20 Rebidding")</f>
        <v>RCEF 23-08-20 Rebidding</v>
      </c>
      <c r="AO388" s="2">
        <f>IFERROR(__xludf.DUMMYFUNCTION("""COMPUTED_VALUE"""),1.0)</f>
        <v>1</v>
      </c>
      <c r="AP388" s="2"/>
      <c r="AQ388" s="2"/>
      <c r="AR388" s="2"/>
      <c r="AS388" s="2"/>
      <c r="AT388" s="2"/>
      <c r="AU388" s="2"/>
      <c r="AV388" s="2"/>
      <c r="AW388" s="2"/>
      <c r="AX388" s="2"/>
      <c r="AY388" s="2"/>
      <c r="AZ388" s="2"/>
      <c r="BA388" s="2"/>
      <c r="BB388" s="2"/>
    </row>
    <row r="389">
      <c r="A389" s="2">
        <f>IFERROR(__xludf.DUMMYFUNCTION("""COMPUTED_VALUE"""),385.0)</f>
        <v>385</v>
      </c>
      <c r="B389" s="2" t="str">
        <f>IFERROR(__xludf.DUMMYFUNCTION("""COMPUTED_VALUE"""),"COMPLETED")</f>
        <v>COMPLETED</v>
      </c>
      <c r="C389" s="74">
        <f>IFERROR(__xludf.DUMMYFUNCTION("""COMPUTED_VALUE"""),45516.0)</f>
        <v>45516</v>
      </c>
      <c r="D389" s="71" t="str">
        <f>IFERROR(__xludf.DUMMYFUNCTION("""COMPUTED_VALUE"""),"MUNICIPAL LOCAL GOVERNMENT UNIT OF ANGAT")</f>
        <v>MUNICIPAL LOCAL GOVERNMENT UNIT OF ANGAT</v>
      </c>
      <c r="E389" s="71" t="str">
        <f>IFERROR(__xludf.DUMMYFUNCTION("""COMPUTED_VALUE"""),"Poblacion, Angat, Bulacan")</f>
        <v>Poblacion, Angat, Bulacan</v>
      </c>
      <c r="F389" s="2"/>
      <c r="G389" s="2"/>
      <c r="H389" s="2"/>
      <c r="I389" s="72" t="str">
        <f>IFERROR(__xludf.DUMMYFUNCTION("""COMPUTED_VALUE"""),"REPAIR - ROTAVATOR")</f>
        <v>REPAIR - ROTAVATOR</v>
      </c>
      <c r="J389" s="72" t="str">
        <f>IFERROR(__xludf.DUMMYFUNCTION("""COMPUTED_VALUE"""),"Training")</f>
        <v>Training</v>
      </c>
      <c r="K389" s="72" t="str">
        <f>IFERROR(__xludf.DUMMYFUNCTION("""COMPUTED_VALUE"""),"EGT: nag-papacheck din sila ng unit kasi daw hirap daw umangat yung rotavator nila")</f>
        <v>EGT: nag-papacheck din sila ng unit kasi daw hirap daw umangat yung rotavator nila</v>
      </c>
      <c r="L389" s="72" t="str">
        <f>IFERROR(__xludf.DUMMYFUNCTION("""COMPUTED_VALUE"""),"JVV: okay naman po Yung sa Rotavator niya may nagalaw lang po sila Yung Lever D control at Lever P control 
Nag palit naden po kami ng hydraulic filter ")</f>
        <v>JVV: okay naman po Yung sa Rotavator niya may nagalaw lang po sila Yung Lever D control at Lever P control 
Nag palit naden po kami ng hydraulic filter </v>
      </c>
      <c r="M389" s="2"/>
      <c r="N389" s="2"/>
      <c r="O389" s="2" t="str">
        <f>IFERROR(__xludf.DUMMYFUNCTION("""COMPUTED_VALUE"""),"JIE-930")</f>
        <v>JIE-930</v>
      </c>
      <c r="P389" s="2"/>
      <c r="Q389" s="2"/>
      <c r="R389" s="74">
        <f>IFERROR(__xludf.DUMMYFUNCTION("""COMPUTED_VALUE"""),45516.0)</f>
        <v>45516</v>
      </c>
      <c r="S389" s="2" t="str">
        <f>IFERROR(__xludf.DUMMYFUNCTION("""COMPUTED_VALUE"""),"CFG/JVV")</f>
        <v>CFG/JVV</v>
      </c>
      <c r="T389" s="73" t="str">
        <f>IFERROR(__xludf.DUMMYFUNCTION("""COMPUTED_VALUE""")," N/A ")</f>
        <v>N/A</v>
      </c>
      <c r="U389" s="73" t="str">
        <f>IFERROR(__xludf.DUMMYFUNCTION("""COMPUTED_VALUE""")," NO CHARGE ")</f>
        <v>NO CHARGE</v>
      </c>
      <c r="V389" s="2"/>
      <c r="W389" s="2" t="str">
        <f>IFERROR(__xludf.DUMMYFUNCTION("""COMPUTED_VALUE"""),"N/A")</f>
        <v>N/A</v>
      </c>
      <c r="X389" s="2" t="str">
        <f>IFERROR(__xludf.DUMMYFUNCTION("""COMPUTED_VALUE"""),"N/A")</f>
        <v>N/A</v>
      </c>
      <c r="Y389" s="2"/>
      <c r="Z389" s="2"/>
      <c r="AA389" s="2"/>
      <c r="AB389" s="2"/>
      <c r="AC389" s="2"/>
      <c r="AD389" s="2"/>
      <c r="AE389" s="2"/>
      <c r="AF389" s="2"/>
      <c r="AG389" s="2"/>
      <c r="AH389" s="2"/>
      <c r="AI389" s="2"/>
      <c r="AJ389" s="2" t="str">
        <f>IFERROR(__xludf.DUMMYFUNCTION("""COMPUTED_VALUE"""),"Poblacion")</f>
        <v>Poblacion</v>
      </c>
      <c r="AK389" s="2" t="str">
        <f>IFERROR(__xludf.DUMMYFUNCTION("""COMPUTED_VALUE"""),"Angat")</f>
        <v>Angat</v>
      </c>
      <c r="AL389" s="2" t="str">
        <f>IFERROR(__xludf.DUMMYFUNCTION("""COMPUTED_VALUE"""),"Bulacan")</f>
        <v>Bulacan</v>
      </c>
      <c r="AM389" s="2">
        <f>IFERROR(__xludf.DUMMYFUNCTION("""COMPUTED_VALUE"""),3.0)</f>
        <v>3</v>
      </c>
      <c r="AN389" s="2" t="str">
        <f>IFERROR(__xludf.DUMMYFUNCTION("""COMPUTED_VALUE"""),"RCEF 23-09-21 Rebidding")</f>
        <v>RCEF 23-09-21 Rebidding</v>
      </c>
      <c r="AO389" s="2">
        <f>IFERROR(__xludf.DUMMYFUNCTION("""COMPUTED_VALUE"""),3.0)</f>
        <v>3</v>
      </c>
      <c r="AP389" s="2"/>
      <c r="AQ389" s="2"/>
      <c r="AR389" s="2"/>
      <c r="AS389" s="2"/>
      <c r="AT389" s="2"/>
      <c r="AU389" s="2"/>
      <c r="AV389" s="2"/>
      <c r="AW389" s="2"/>
      <c r="AX389" s="2"/>
      <c r="AY389" s="2"/>
      <c r="AZ389" s="2"/>
      <c r="BA389" s="2"/>
      <c r="BB389" s="2"/>
    </row>
    <row r="390">
      <c r="A390" s="2">
        <f>IFERROR(__xludf.DUMMYFUNCTION("""COMPUTED_VALUE"""),386.0)</f>
        <v>386</v>
      </c>
      <c r="B390" s="2" t="str">
        <f>IFERROR(__xludf.DUMMYFUNCTION("""COMPUTED_VALUE"""),"COMPLETED")</f>
        <v>COMPLETED</v>
      </c>
      <c r="C390" s="74">
        <f>IFERROR(__xludf.DUMMYFUNCTION("""COMPUTED_VALUE"""),45516.0)</f>
        <v>45516</v>
      </c>
      <c r="D390" s="71" t="str">
        <f>IFERROR(__xludf.DUMMYFUNCTION("""COMPUTED_VALUE"""),"SAMAHANG MANUNUBIG NG CULANDANUM FARMERS, ABORLAN, PALAWAN, INC.")</f>
        <v>SAMAHANG MANUNUBIG NG CULANDANUM FARMERS, ABORLAN, PALAWAN, INC.</v>
      </c>
      <c r="E390" s="71" t="str">
        <f>IFERROR(__xludf.DUMMYFUNCTION("""COMPUTED_VALUE"""),"Culandanum, Aborlan, Palawan")</f>
        <v>Culandanum, Aborlan, Palawan</v>
      </c>
      <c r="F390" s="2" t="str">
        <f>IFERROR(__xludf.DUMMYFUNCTION("""COMPUTED_VALUE"""),"Nestor Valmoria")</f>
        <v>Nestor Valmoria</v>
      </c>
      <c r="G390" s="2"/>
      <c r="H390" s="2">
        <f>IFERROR(__xludf.DUMMYFUNCTION("""COMPUTED_VALUE"""),350.0)</f>
        <v>350</v>
      </c>
      <c r="I390" s="72" t="str">
        <f>IFERROR(__xludf.DUMMYFUNCTION("""COMPUTED_VALUE"""),"PMS")</f>
        <v>PMS</v>
      </c>
      <c r="J390" s="72" t="str">
        <f>IFERROR(__xludf.DUMMYFUNCTION("""COMPUTED_VALUE"""),"PMS")</f>
        <v>PMS</v>
      </c>
      <c r="K390" s="72" t="str">
        <f>IFERROR(__xludf.DUMMYFUNCTION("""COMPUTED_VALUE"""),"RCG: 2ND PMS
RCG: 8/29/24: HINDI MATAWAGAN, WALA PANG RESPONSE ULIT")</f>
        <v>RCG: 2ND PMS
RCG: 8/29/24: HINDI MATAWAGAN, WALA PANG RESPONSE ULIT</v>
      </c>
      <c r="L390" s="72" t="str">
        <f>IFERROR(__xludf.DUMMYFUNCTION("""COMPUTED_VALUE"""),"DELIVERED HYDRAULIC FILTER
2ND PMS DONE")</f>
        <v>DELIVERED HYDRAULIC FILTER
2ND PMS DONE</v>
      </c>
      <c r="M390" s="2"/>
      <c r="N390" s="2" t="str">
        <f>IFERROR(__xludf.DUMMYFUNCTION("""COMPUTED_VALUE"""),"PARTS: HYDRAULIC FILTER")</f>
        <v>PARTS: HYDRAULIC FILTER</v>
      </c>
      <c r="O390" s="2">
        <f>IFERROR(__xludf.DUMMYFUNCTION("""COMPUTED_VALUE"""),113.0)</f>
        <v>113</v>
      </c>
      <c r="P390" s="2"/>
      <c r="Q390" s="2" t="str">
        <f>IFERROR(__xludf.DUMMYFUNCTION("""COMPUTED_VALUE"""),"Y")</f>
        <v>Y</v>
      </c>
      <c r="R390" s="74">
        <f>IFERROR(__xludf.DUMMYFUNCTION("""COMPUTED_VALUE"""),45646.0)</f>
        <v>45646</v>
      </c>
      <c r="S390" s="2" t="str">
        <f>IFERROR(__xludf.DUMMYFUNCTION("""COMPUTED_VALUE"""),"N/A")</f>
        <v>N/A</v>
      </c>
      <c r="T390" s="73">
        <f>IFERROR(__xludf.DUMMYFUNCTION("""COMPUTED_VALUE"""),2748.0)</f>
        <v>2748</v>
      </c>
      <c r="U390" s="73" t="str">
        <f>IFERROR(__xludf.DUMMYFUNCTION("""COMPUTED_VALUE""")," REMITTED ")</f>
        <v>REMITTED</v>
      </c>
      <c r="V390" s="2"/>
      <c r="W390" s="2">
        <f>IFERROR(__xludf.DUMMYFUNCTION("""COMPUTED_VALUE"""),1175.0)</f>
        <v>1175</v>
      </c>
      <c r="X390" s="2">
        <f>IFERROR(__xludf.DUMMYFUNCTION("""COMPUTED_VALUE"""),1264.0)</f>
        <v>1264</v>
      </c>
      <c r="Y390" s="2" t="str">
        <f>IFERROR(__xludf.DUMMYFUNCTION("""COMPUTED_VALUE"""),"PMS")</f>
        <v>PMS</v>
      </c>
      <c r="Z390" s="2"/>
      <c r="AA390" s="2"/>
      <c r="AB390" s="2"/>
      <c r="AC390" s="2"/>
      <c r="AD390" s="2"/>
      <c r="AE390" s="2"/>
      <c r="AF390" s="2"/>
      <c r="AG390" s="2"/>
      <c r="AH390" s="2"/>
      <c r="AI390" s="2"/>
      <c r="AJ390" s="2" t="str">
        <f>IFERROR(__xludf.DUMMYFUNCTION("""COMPUTED_VALUE"""),"Culandanum")</f>
        <v>Culandanum</v>
      </c>
      <c r="AK390" s="2" t="str">
        <f>IFERROR(__xludf.DUMMYFUNCTION("""COMPUTED_VALUE"""),"Aborlan")</f>
        <v>Aborlan</v>
      </c>
      <c r="AL390" s="2" t="str">
        <f>IFERROR(__xludf.DUMMYFUNCTION("""COMPUTED_VALUE"""),"Palawan")</f>
        <v>Palawan</v>
      </c>
      <c r="AM390" s="2" t="str">
        <f>IFERROR(__xludf.DUMMYFUNCTION("""COMPUTED_VALUE"""),"4B")</f>
        <v>4B</v>
      </c>
      <c r="AN390" s="2" t="str">
        <f>IFERROR(__xludf.DUMMYFUNCTION("""COMPUTED_VALUE"""),"RCEF 23-08-20 Rebidding")</f>
        <v>RCEF 23-08-20 Rebidding</v>
      </c>
      <c r="AO390" s="2">
        <f>IFERROR(__xludf.DUMMYFUNCTION("""COMPUTED_VALUE"""),1.0)</f>
        <v>1</v>
      </c>
      <c r="AP390" s="2"/>
      <c r="AQ390" s="2"/>
      <c r="AR390" s="2"/>
      <c r="AS390" s="2"/>
      <c r="AT390" s="2"/>
      <c r="AU390" s="2"/>
      <c r="AV390" s="2"/>
      <c r="AW390" s="2"/>
      <c r="AX390" s="2"/>
      <c r="AY390" s="2"/>
      <c r="AZ390" s="2"/>
      <c r="BA390" s="2"/>
      <c r="BB390" s="2"/>
    </row>
    <row r="391">
      <c r="A391" s="2">
        <f>IFERROR(__xludf.DUMMYFUNCTION("""COMPUTED_VALUE"""),387.0)</f>
        <v>387</v>
      </c>
      <c r="B391" s="2" t="str">
        <f>IFERROR(__xludf.DUMMYFUNCTION("""COMPUTED_VALUE"""),"COMPLETED")</f>
        <v>COMPLETED</v>
      </c>
      <c r="C391" s="74">
        <f>IFERROR(__xludf.DUMMYFUNCTION("""COMPUTED_VALUE"""),45516.0)</f>
        <v>45516</v>
      </c>
      <c r="D391" s="71" t="str">
        <f>IFERROR(__xludf.DUMMYFUNCTION("""COMPUTED_VALUE"""),"MUNICIPAL LOCAL GOVERNMENT UNIT OF ANGAT")</f>
        <v>MUNICIPAL LOCAL GOVERNMENT UNIT OF ANGAT</v>
      </c>
      <c r="E391" s="71" t="str">
        <f>IFERROR(__xludf.DUMMYFUNCTION("""COMPUTED_VALUE"""),"Poblacion, Angat, Bulacan")</f>
        <v>Poblacion, Angat, Bulacan</v>
      </c>
      <c r="F391" s="2"/>
      <c r="G391" s="2"/>
      <c r="H391" s="2"/>
      <c r="I391" s="72" t="str">
        <f>IFERROR(__xludf.DUMMYFUNCTION("""COMPUTED_VALUE"""),"SPARE PARTS ACQUISITION")</f>
        <v>SPARE PARTS ACQUISITION</v>
      </c>
      <c r="J391" s="72" t="str">
        <f>IFERROR(__xludf.DUMMYFUNCTION("""COMPUTED_VALUE"""),"SPARE PARTS ACQUISITION")</f>
        <v>SPARE PARTS ACQUISITION</v>
      </c>
      <c r="K391" s="72" t="str">
        <f>IFERROR(__xludf.DUMMYFUNCTION("""COMPUTED_VALUE"""),"EGT: HYDRAULIC OIL FILTER")</f>
        <v>EGT: HYDRAULIC OIL FILTER</v>
      </c>
      <c r="L391" s="72" t="str">
        <f>IFERROR(__xludf.DUMMYFUNCTION("""COMPUTED_VALUE"""),"JVV: DELIVERED AND REPLCAED HYDARULIC FILTER")</f>
        <v>JVV: DELIVERED AND REPLCAED HYDARULIC FILTER</v>
      </c>
      <c r="M391" s="2"/>
      <c r="N391" s="2" t="str">
        <f>IFERROR(__xludf.DUMMYFUNCTION("""COMPUTED_VALUE"""),"HYDRAULIC FILTER")</f>
        <v>HYDRAULIC FILTER</v>
      </c>
      <c r="O391" s="2" t="str">
        <f>IFERROR(__xludf.DUMMYFUNCTION("""COMPUTED_VALUE"""),"N/A")</f>
        <v>N/A</v>
      </c>
      <c r="P391" s="2"/>
      <c r="Q391" s="2"/>
      <c r="R391" s="74">
        <f>IFERROR(__xludf.DUMMYFUNCTION("""COMPUTED_VALUE"""),45516.0)</f>
        <v>45516</v>
      </c>
      <c r="S391" s="2" t="str">
        <f>IFERROR(__xludf.DUMMYFUNCTION("""COMPUTED_VALUE"""),"CFG/JVV")</f>
        <v>CFG/JVV</v>
      </c>
      <c r="T391" s="73">
        <f>IFERROR(__xludf.DUMMYFUNCTION("""COMPUTED_VALUE"""),5087.5)</f>
        <v>5087.5</v>
      </c>
      <c r="U391" s="73" t="str">
        <f>IFERROR(__xludf.DUMMYFUNCTION("""COMPUTED_VALUE""")," FOR REMIT ")</f>
        <v>FOR REMIT</v>
      </c>
      <c r="V391" s="2"/>
      <c r="W391" s="2">
        <f>IFERROR(__xludf.DUMMYFUNCTION("""COMPUTED_VALUE"""),1256.0)</f>
        <v>1256</v>
      </c>
      <c r="X391" s="2"/>
      <c r="Y391" s="2"/>
      <c r="Z391" s="2"/>
      <c r="AA391" s="2"/>
      <c r="AB391" s="2"/>
      <c r="AC391" s="2"/>
      <c r="AD391" s="2"/>
      <c r="AE391" s="2"/>
      <c r="AF391" s="2"/>
      <c r="AG391" s="2"/>
      <c r="AH391" s="2"/>
      <c r="AI391" s="2"/>
      <c r="AJ391" s="2" t="str">
        <f>IFERROR(__xludf.DUMMYFUNCTION("""COMPUTED_VALUE"""),"Poblacion")</f>
        <v>Poblacion</v>
      </c>
      <c r="AK391" s="2" t="str">
        <f>IFERROR(__xludf.DUMMYFUNCTION("""COMPUTED_VALUE"""),"Angat")</f>
        <v>Angat</v>
      </c>
      <c r="AL391" s="2" t="str">
        <f>IFERROR(__xludf.DUMMYFUNCTION("""COMPUTED_VALUE"""),"Bulacan")</f>
        <v>Bulacan</v>
      </c>
      <c r="AM391" s="2">
        <f>IFERROR(__xludf.DUMMYFUNCTION("""COMPUTED_VALUE"""),3.0)</f>
        <v>3</v>
      </c>
      <c r="AN391" s="2" t="str">
        <f>IFERROR(__xludf.DUMMYFUNCTION("""COMPUTED_VALUE"""),"RCEF 23-09-21 Rebidding")</f>
        <v>RCEF 23-09-21 Rebidding</v>
      </c>
      <c r="AO391" s="2">
        <f>IFERROR(__xludf.DUMMYFUNCTION("""COMPUTED_VALUE"""),3.0)</f>
        <v>3</v>
      </c>
      <c r="AP391" s="2"/>
      <c r="AQ391" s="2"/>
      <c r="AR391" s="2"/>
      <c r="AS391" s="2"/>
      <c r="AT391" s="2"/>
      <c r="AU391" s="2"/>
      <c r="AV391" s="2"/>
      <c r="AW391" s="2"/>
      <c r="AX391" s="2"/>
      <c r="AY391" s="2"/>
      <c r="AZ391" s="2"/>
      <c r="BA391" s="2"/>
      <c r="BB391" s="2"/>
    </row>
    <row r="392">
      <c r="A392" s="2">
        <f>IFERROR(__xludf.DUMMYFUNCTION("""COMPUTED_VALUE"""),388.0)</f>
        <v>388</v>
      </c>
      <c r="B392" s="2" t="str">
        <f>IFERROR(__xludf.DUMMYFUNCTION("""COMPUTED_VALUE"""),"COMPLETED")</f>
        <v>COMPLETED</v>
      </c>
      <c r="C392" s="74">
        <f>IFERROR(__xludf.DUMMYFUNCTION("""COMPUTED_VALUE"""),45517.0)</f>
        <v>45517</v>
      </c>
      <c r="D392" s="71" t="str">
        <f>IFERROR(__xludf.DUMMYFUNCTION("""COMPUTED_VALUE"""),"San Gregorio Farmers Association")</f>
        <v>San Gregorio Farmers Association</v>
      </c>
      <c r="E392" s="71" t="str">
        <f>IFERROR(__xludf.DUMMYFUNCTION("""COMPUTED_VALUE"""),"San Gregorio, Lambunao, ILOILO")</f>
        <v>San Gregorio, Lambunao, ILOILO</v>
      </c>
      <c r="F392" s="2" t="str">
        <f>IFERROR(__xludf.DUMMYFUNCTION("""COMPUTED_VALUE"""),"Jose Glenn L . LASADO")</f>
        <v>Jose Glenn L . LASADO</v>
      </c>
      <c r="G392" s="2">
        <f>IFERROR(__xludf.DUMMYFUNCTION("""COMPUTED_VALUE"""),9.203469339E9)</f>
        <v>9203469339</v>
      </c>
      <c r="H392" s="2">
        <f>IFERROR(__xludf.DUMMYFUNCTION("""COMPUTED_VALUE"""),14.0)</f>
        <v>14</v>
      </c>
      <c r="I392" s="72" t="str">
        <f>IFERROR(__xludf.DUMMYFUNCTION("""COMPUTED_VALUE"""),"REPAIR - TRACTOR")</f>
        <v>REPAIR - TRACTOR</v>
      </c>
      <c r="J392" s="72" t="str">
        <f>IFERROR(__xludf.DUMMYFUNCTION("""COMPUTED_VALUE"""),"Engine - Injection Pump / Electrical - Neutral Switch")</f>
        <v>Engine - Injection Pump / Electrical - Neutral Switch</v>
      </c>
      <c r="K392" s="72" t="str">
        <f>IFERROR(__xludf.DUMMYFUNCTION("""COMPUTED_VALUE"""),"CCB: low power (hanggang 15 ang RPM)   
EGT: HANGANG 1-12 RPM LANG, POSIBLENG PISTON O PISTON RING ANG SIRA.
EGT: Defective Injection pump and Nuetral Switch
PARTS: INJECTION PUMP AND NEUTRAL SWITCH 
JHP: FUEL PUMP
")</f>
        <v>CCB: low power (hanggang 15 ang RPM)   
EGT: HANGANG 1-12 RPM LANG, POSIBLENG PISTON O PISTON RING ANG SIRA.
EGT: Defective Injection pump and Nuetral Switch
PARTS: INJECTION PUMP AND NEUTRAL SWITCH 
JHP: FUEL PUMP
</v>
      </c>
      <c r="L392" s="72" t="str">
        <f>IFERROR(__xludf.DUMMYFUNCTION("""COMPUTED_VALUE"""),"1316
EGT: REPLACED NEUTRAL SWITCH,  STILL PENDING
1348: REPLACED THE INJECTION PUMP AND CHECK THE UNIT")</f>
        <v>1316
EGT: REPLACED NEUTRAL SWITCH,  STILL PENDING
1348: REPLACED THE INJECTION PUMP AND CHECK THE UNIT</v>
      </c>
      <c r="M392" s="2"/>
      <c r="N392" s="2" t="str">
        <f>IFERROR(__xludf.DUMMYFUNCTION("""COMPUTED_VALUE"""),"PARTS: NEUTRAL SWITCH
PARTS: FUEL INJECTION PUMP")</f>
        <v>PARTS: NEUTRAL SWITCH
PARTS: FUEL INJECTION PUMP</v>
      </c>
      <c r="O392" s="2">
        <f>IFERROR(__xludf.DUMMYFUNCTION("""COMPUTED_VALUE"""),1348.0)</f>
        <v>1348</v>
      </c>
      <c r="P392" s="2"/>
      <c r="Q392" s="2" t="str">
        <f>IFERROR(__xludf.DUMMYFUNCTION("""COMPUTED_VALUE"""),"Y")</f>
        <v>Y</v>
      </c>
      <c r="R392" s="74">
        <f>IFERROR(__xludf.DUMMYFUNCTION("""COMPUTED_VALUE"""),45696.0)</f>
        <v>45696</v>
      </c>
      <c r="S392" s="2" t="str">
        <f>IFERROR(__xludf.DUMMYFUNCTION("""COMPUTED_VALUE"""),"EGT/DRM")</f>
        <v>EGT/DRM</v>
      </c>
      <c r="T392" s="73" t="str">
        <f>IFERROR(__xludf.DUMMYFUNCTION("""COMPUTED_VALUE""")," N/A ")</f>
        <v>N/A</v>
      </c>
      <c r="U392" s="73" t="str">
        <f>IFERROR(__xludf.DUMMYFUNCTION("""COMPUTED_VALUE""")," NO CHARGE ")</f>
        <v>NO CHARGE</v>
      </c>
      <c r="V392" s="2"/>
      <c r="W392" s="2" t="str">
        <f>IFERROR(__xludf.DUMMYFUNCTION("""COMPUTED_VALUE"""),"N/A")</f>
        <v>N/A</v>
      </c>
      <c r="X392" s="2" t="str">
        <f>IFERROR(__xludf.DUMMYFUNCTION("""COMPUTED_VALUE"""),"N/A")</f>
        <v>N/A</v>
      </c>
      <c r="Y392" s="2" t="str">
        <f>IFERROR(__xludf.DUMMYFUNCTION("""COMPUTED_VALUE"""),"1316: PRINTED SAVE TO FOLDER (SOFT COPY)")</f>
        <v>1316: PRINTED SAVE TO FOLDER (SOFT COPY)</v>
      </c>
      <c r="Z392" s="2"/>
      <c r="AA392" s="2"/>
      <c r="AB392" s="2"/>
      <c r="AC392" s="2"/>
      <c r="AD392" s="2"/>
      <c r="AE392" s="2"/>
      <c r="AF392" s="2"/>
      <c r="AG392" s="2"/>
      <c r="AH392" s="2"/>
      <c r="AI392" s="2"/>
      <c r="AJ392" s="2" t="str">
        <f>IFERROR(__xludf.DUMMYFUNCTION("""COMPUTED_VALUE"""),"San Gregorio")</f>
        <v>San Gregorio</v>
      </c>
      <c r="AK392" s="2" t="str">
        <f>IFERROR(__xludf.DUMMYFUNCTION("""COMPUTED_VALUE"""),"Lambunao")</f>
        <v>Lambunao</v>
      </c>
      <c r="AL392" s="2" t="str">
        <f>IFERROR(__xludf.DUMMYFUNCTION("""COMPUTED_VALUE"""),"Iloilo")</f>
        <v>Iloilo</v>
      </c>
      <c r="AM392" s="2">
        <f>IFERROR(__xludf.DUMMYFUNCTION("""COMPUTED_VALUE"""),6.0)</f>
        <v>6</v>
      </c>
      <c r="AN392" s="2" t="str">
        <f>IFERROR(__xludf.DUMMYFUNCTION("""COMPUTED_VALUE"""),"RCEF 23-09-21 Rebidding")</f>
        <v>RCEF 23-09-21 Rebidding</v>
      </c>
      <c r="AO392" s="2">
        <f>IFERROR(__xludf.DUMMYFUNCTION("""COMPUTED_VALUE"""),4.0)</f>
        <v>4</v>
      </c>
      <c r="AP392" s="2"/>
      <c r="AQ392" s="2"/>
      <c r="AR392" s="2"/>
      <c r="AS392" s="2"/>
      <c r="AT392" s="2"/>
      <c r="AU392" s="2"/>
      <c r="AV392" s="2"/>
      <c r="AW392" s="2"/>
      <c r="AX392" s="2"/>
      <c r="AY392" s="2"/>
      <c r="AZ392" s="2"/>
      <c r="BA392" s="2"/>
      <c r="BB392" s="2"/>
    </row>
    <row r="393">
      <c r="A393" s="2">
        <f>IFERROR(__xludf.DUMMYFUNCTION("""COMPUTED_VALUE"""),389.0)</f>
        <v>389</v>
      </c>
      <c r="B393" s="2" t="str">
        <f>IFERROR(__xludf.DUMMYFUNCTION("""COMPUTED_VALUE"""),"COMPLETED")</f>
        <v>COMPLETED</v>
      </c>
      <c r="C393" s="74">
        <f>IFERROR(__xludf.DUMMYFUNCTION("""COMPUTED_VALUE"""),45517.0)</f>
        <v>45517</v>
      </c>
      <c r="D393" s="71" t="str">
        <f>IFERROR(__xludf.DUMMYFUNCTION("""COMPUTED_VALUE"""),"SAN LUIS CONDEZ TIG-ANIT FARMERS IRRIGATORS ASSOCIATION")</f>
        <v>SAN LUIS CONDEZ TIG-ANIT FARMERS IRRIGATORS ASSOCIATION</v>
      </c>
      <c r="E393" s="71" t="str">
        <f>IFERROR(__xludf.DUMMYFUNCTION("""COMPUTED_VALUE"""),"San Luis, Culasi, ANTIQUE")</f>
        <v>San Luis, Culasi, ANTIQUE</v>
      </c>
      <c r="F393" s="2" t="str">
        <f>IFERROR(__xludf.DUMMYFUNCTION("""COMPUTED_VALUE"""),"RODOLFO ALORO")</f>
        <v>RODOLFO ALORO</v>
      </c>
      <c r="G393" s="2" t="str">
        <f>IFERROR(__xludf.DUMMYFUNCTION("""COMPUTED_VALUE"""),"0909-837-5026   /    +639364375842")</f>
        <v>0909-837-5026   /    +639364375842</v>
      </c>
      <c r="H393" s="2"/>
      <c r="I393" s="72" t="str">
        <f>IFERROR(__xludf.DUMMYFUNCTION("""COMPUTED_VALUE"""),"REPAIR - TRACTOR")</f>
        <v>REPAIR - TRACTOR</v>
      </c>
      <c r="J393" s="72" t="str">
        <f>IFERROR(__xludf.DUMMYFUNCTION("""COMPUTED_VALUE"""),"Tire")</f>
        <v>Tire</v>
      </c>
      <c r="K393" s="72" t="str">
        <f>IFERROR(__xludf.DUMMYFUNCTION("""COMPUTED_VALUE"""),"ERP:  Pumutok rear wheel")</f>
        <v>ERP:  Pumutok rear wheel</v>
      </c>
      <c r="L393" s="72" t="str">
        <f>IFERROR(__xludf.DUMMYFUNCTION("""COMPUTED_VALUE"""),"CCB:Matawagan ko na po yan ma'am..Bibili na lng daw Sila ng pang loob..at tinuro ko kung saan Sila makakabile ng interyor")</f>
        <v>CCB:Matawagan ko na po yan ma'am..Bibili na lng daw Sila ng pang loob..at tinuro ko kung saan Sila makakabile ng interyor</v>
      </c>
      <c r="M393" s="2"/>
      <c r="N393" s="2"/>
      <c r="O393" s="2" t="str">
        <f>IFERROR(__xludf.DUMMYFUNCTION("""COMPUTED_VALUE"""),"N/A")</f>
        <v>N/A</v>
      </c>
      <c r="P393" s="2"/>
      <c r="Q393" s="2"/>
      <c r="R393" s="74">
        <f>IFERROR(__xludf.DUMMYFUNCTION("""COMPUTED_VALUE"""),45519.0)</f>
        <v>45519</v>
      </c>
      <c r="S393" s="2" t="str">
        <f>IFERROR(__xludf.DUMMYFUNCTION("""COMPUTED_VALUE"""),"CCB")</f>
        <v>CCB</v>
      </c>
      <c r="T393" s="73" t="str">
        <f>IFERROR(__xludf.DUMMYFUNCTION("""COMPUTED_VALUE""")," N/A ")</f>
        <v>N/A</v>
      </c>
      <c r="U393" s="73" t="str">
        <f>IFERROR(__xludf.DUMMYFUNCTION("""COMPUTED_VALUE""")," NO CHARGE ")</f>
        <v>NO CHARGE</v>
      </c>
      <c r="V393" s="2"/>
      <c r="W393" s="2" t="str">
        <f>IFERROR(__xludf.DUMMYFUNCTION("""COMPUTED_VALUE"""),"N/A")</f>
        <v>N/A</v>
      </c>
      <c r="X393" s="2" t="str">
        <f>IFERROR(__xludf.DUMMYFUNCTION("""COMPUTED_VALUE"""),"N/A")</f>
        <v>N/A</v>
      </c>
      <c r="Y393" s="2"/>
      <c r="Z393" s="2"/>
      <c r="AA393" s="2"/>
      <c r="AB393" s="2"/>
      <c r="AC393" s="2"/>
      <c r="AD393" s="2"/>
      <c r="AE393" s="2"/>
      <c r="AF393" s="2"/>
      <c r="AG393" s="2"/>
      <c r="AH393" s="2"/>
      <c r="AI393" s="2"/>
      <c r="AJ393" s="2" t="str">
        <f>IFERROR(__xludf.DUMMYFUNCTION("""COMPUTED_VALUE"""),"San Luis")</f>
        <v>San Luis</v>
      </c>
      <c r="AK393" s="2" t="str">
        <f>IFERROR(__xludf.DUMMYFUNCTION("""COMPUTED_VALUE"""),"Culasi")</f>
        <v>Culasi</v>
      </c>
      <c r="AL393" s="2" t="str">
        <f>IFERROR(__xludf.DUMMYFUNCTION("""COMPUTED_VALUE"""),"Antique")</f>
        <v>Antique</v>
      </c>
      <c r="AM393" s="2">
        <f>IFERROR(__xludf.DUMMYFUNCTION("""COMPUTED_VALUE"""),6.0)</f>
        <v>6</v>
      </c>
      <c r="AN393" s="2" t="str">
        <f>IFERROR(__xludf.DUMMYFUNCTION("""COMPUTED_VALUE"""),"RCEF 23-09-21 Rebidding")</f>
        <v>RCEF 23-09-21 Rebidding</v>
      </c>
      <c r="AO393" s="2">
        <f>IFERROR(__xludf.DUMMYFUNCTION("""COMPUTED_VALUE"""),4.0)</f>
        <v>4</v>
      </c>
      <c r="AP393" s="2"/>
      <c r="AQ393" s="2"/>
      <c r="AR393" s="2"/>
      <c r="AS393" s="2"/>
      <c r="AT393" s="2"/>
      <c r="AU393" s="2"/>
      <c r="AV393" s="2"/>
      <c r="AW393" s="2"/>
      <c r="AX393" s="2"/>
      <c r="AY393" s="2"/>
      <c r="AZ393" s="2"/>
      <c r="BA393" s="2"/>
      <c r="BB393" s="2"/>
    </row>
    <row r="394">
      <c r="A394" s="2">
        <f>IFERROR(__xludf.DUMMYFUNCTION("""COMPUTED_VALUE"""),390.0)</f>
        <v>390</v>
      </c>
      <c r="B394" s="2" t="str">
        <f>IFERROR(__xludf.DUMMYFUNCTION("""COMPUTED_VALUE"""),"COMPLETED")</f>
        <v>COMPLETED</v>
      </c>
      <c r="C394" s="74">
        <f>IFERROR(__xludf.DUMMYFUNCTION("""COMPUTED_VALUE"""),45518.0)</f>
        <v>45518</v>
      </c>
      <c r="D394" s="71" t="str">
        <f>IFERROR(__xludf.DUMMYFUNCTION("""COMPUTED_VALUE"""),"BANCA-BANCA, SAN FRANCISCO, SAN FELIX, SAN ROQUE IRRIGATORS ASSOCIATION, INC.")</f>
        <v>BANCA-BANCA, SAN FRANCISCO, SAN FELIX, SAN ROQUE IRRIGATORS ASSOCIATION, INC.</v>
      </c>
      <c r="E394" s="71" t="str">
        <f>IFERROR(__xludf.DUMMYFUNCTION("""COMPUTED_VALUE"""),"SAN FRANCISCO, VICTORIA, LAGUNA")</f>
        <v>SAN FRANCISCO, VICTORIA, LAGUNA</v>
      </c>
      <c r="F394" s="2" t="str">
        <f>IFERROR(__xludf.DUMMYFUNCTION("""COMPUTED_VALUE"""),"Leonardo Lospe Jr")</f>
        <v>Leonardo Lospe Jr</v>
      </c>
      <c r="G394" s="2">
        <f>IFERROR(__xludf.DUMMYFUNCTION("""COMPUTED_VALUE"""),9.932492063E9)</f>
        <v>9932492063</v>
      </c>
      <c r="H394" s="2">
        <f>IFERROR(__xludf.DUMMYFUNCTION("""COMPUTED_VALUE"""),390.0)</f>
        <v>390</v>
      </c>
      <c r="I394" s="72" t="str">
        <f>IFERROR(__xludf.DUMMYFUNCTION("""COMPUTED_VALUE"""),"REPAIR - TRACTOR")</f>
        <v>REPAIR - TRACTOR</v>
      </c>
      <c r="J394" s="72" t="str">
        <f>IFERROR(__xludf.DUMMYFUNCTION("""COMPUTED_VALUE"""),"RADIATOR")</f>
        <v>RADIATOR</v>
      </c>
      <c r="K394" s="72" t="str">
        <f>IFERROR(__xludf.DUMMYFUNCTION("""COMPUTED_VALUE"""),"KFS: top RADIATOR broken")</f>
        <v>KFS: top RADIATOR broken</v>
      </c>
      <c r="L394" s="72" t="str">
        <f>IFERROR(__xludf.DUMMYFUNCTION("""COMPUTED_VALUE"""),"RCG: REPAIR BY THE FARMER, OR DIY THE RADIATOR")</f>
        <v>RCG: REPAIR BY THE FARMER, OR DIY THE RADIATOR</v>
      </c>
      <c r="M394" s="2"/>
      <c r="N394" s="2"/>
      <c r="O394" s="2" t="str">
        <f>IFERROR(__xludf.DUMMYFUNCTION("""COMPUTED_VALUE"""),"N/A")</f>
        <v>N/A</v>
      </c>
      <c r="P394" s="2"/>
      <c r="Q394" s="2"/>
      <c r="R394" s="74">
        <f>IFERROR(__xludf.DUMMYFUNCTION("""COMPUTED_VALUE"""),45525.0)</f>
        <v>45525</v>
      </c>
      <c r="S394" s="2" t="str">
        <f>IFERROR(__xludf.DUMMYFUNCTION("""COMPUTED_VALUE"""),"RCG/LBA")</f>
        <v>RCG/LBA</v>
      </c>
      <c r="T394" s="73" t="str">
        <f>IFERROR(__xludf.DUMMYFUNCTION("""COMPUTED_VALUE""")," N/A ")</f>
        <v>N/A</v>
      </c>
      <c r="U394" s="73" t="str">
        <f>IFERROR(__xludf.DUMMYFUNCTION("""COMPUTED_VALUE""")," NO CHARGE ")</f>
        <v>NO CHARGE</v>
      </c>
      <c r="V394" s="2"/>
      <c r="W394" s="2" t="str">
        <f>IFERROR(__xludf.DUMMYFUNCTION("""COMPUTED_VALUE"""),"N/A")</f>
        <v>N/A</v>
      </c>
      <c r="X394" s="2" t="str">
        <f>IFERROR(__xludf.DUMMYFUNCTION("""COMPUTED_VALUE"""),"N/A")</f>
        <v>N/A</v>
      </c>
      <c r="Y394" s="2"/>
      <c r="Z394" s="2"/>
      <c r="AA394" s="2"/>
      <c r="AB394" s="2"/>
      <c r="AC394" s="2"/>
      <c r="AD394" s="2"/>
      <c r="AE394" s="2"/>
      <c r="AF394" s="2"/>
      <c r="AG394" s="2"/>
      <c r="AH394" s="2"/>
      <c r="AI394" s="2"/>
      <c r="AJ394" s="2" t="str">
        <f>IFERROR(__xludf.DUMMYFUNCTION("""COMPUTED_VALUE"""),"San Francisco")</f>
        <v>San Francisco</v>
      </c>
      <c r="AK394" s="2" t="str">
        <f>IFERROR(__xludf.DUMMYFUNCTION("""COMPUTED_VALUE"""),"Victoria")</f>
        <v>Victoria</v>
      </c>
      <c r="AL394" s="2" t="str">
        <f>IFERROR(__xludf.DUMMYFUNCTION("""COMPUTED_VALUE"""),"Laguna")</f>
        <v>Laguna</v>
      </c>
      <c r="AM394" s="2" t="str">
        <f>IFERROR(__xludf.DUMMYFUNCTION("""COMPUTED_VALUE"""),"4A")</f>
        <v>4A</v>
      </c>
      <c r="AN394" s="2" t="str">
        <f>IFERROR(__xludf.DUMMYFUNCTION("""COMPUTED_VALUE"""),"RCEF 23-08-20 Rebidding")</f>
        <v>RCEF 23-08-20 Rebidding</v>
      </c>
      <c r="AO394" s="2">
        <f>IFERROR(__xludf.DUMMYFUNCTION("""COMPUTED_VALUE"""),1.0)</f>
        <v>1</v>
      </c>
      <c r="AP394" s="2"/>
      <c r="AQ394" s="2"/>
      <c r="AR394" s="2"/>
      <c r="AS394" s="2"/>
      <c r="AT394" s="2"/>
      <c r="AU394" s="2"/>
      <c r="AV394" s="2"/>
      <c r="AW394" s="2"/>
      <c r="AX394" s="2"/>
      <c r="AY394" s="2"/>
      <c r="AZ394" s="2"/>
      <c r="BA394" s="2"/>
      <c r="BB394" s="2"/>
    </row>
    <row r="395">
      <c r="A395" s="2">
        <f>IFERROR(__xludf.DUMMYFUNCTION("""COMPUTED_VALUE"""),391.0)</f>
        <v>391</v>
      </c>
      <c r="B395" s="2" t="str">
        <f>IFERROR(__xludf.DUMMYFUNCTION("""COMPUTED_VALUE"""),"COMPLETED")</f>
        <v>COMPLETED</v>
      </c>
      <c r="C395" s="74">
        <f>IFERROR(__xludf.DUMMYFUNCTION("""COMPUTED_VALUE"""),45519.0)</f>
        <v>45519</v>
      </c>
      <c r="D395" s="71" t="str">
        <f>IFERROR(__xludf.DUMMYFUNCTION("""COMPUTED_VALUE"""),"BAGONG BUHAY, FARMERS ASSOCIATION, INC.")</f>
        <v>BAGONG BUHAY, FARMERS ASSOCIATION, INC.</v>
      </c>
      <c r="E395" s="71" t="str">
        <f>IFERROR(__xludf.DUMMYFUNCTION("""COMPUTED_VALUE"""),"Concepcion, San Simon, PAMPANGA")</f>
        <v>Concepcion, San Simon, PAMPANGA</v>
      </c>
      <c r="F395" s="2" t="str">
        <f>IFERROR(__xludf.DUMMYFUNCTION("""COMPUTED_VALUE"""),"MANOLITO P. PADANON")</f>
        <v>MANOLITO P. PADANON</v>
      </c>
      <c r="G395" s="2">
        <f>IFERROR(__xludf.DUMMYFUNCTION("""COMPUTED_VALUE"""),9.776048249E9)</f>
        <v>9776048249</v>
      </c>
      <c r="H395" s="2">
        <f>IFERROR(__xludf.DUMMYFUNCTION("""COMPUTED_VALUE"""),164.7)</f>
        <v>164.7</v>
      </c>
      <c r="I395" s="72" t="str">
        <f>IFERROR(__xludf.DUMMYFUNCTION("""COMPUTED_VALUE"""),"REPAIR - TRACTOR")</f>
        <v>REPAIR - TRACTOR</v>
      </c>
      <c r="J395" s="72" t="str">
        <f>IFERROR(__xludf.DUMMYFUNCTION("""COMPUTED_VALUE"""),"CHECK UP")</f>
        <v>CHECK UP</v>
      </c>
      <c r="K395" s="72" t="str">
        <f>IFERROR(__xludf.DUMMYFUNCTION("""COMPUTED_VALUE"""),"EGT: CHECK UP UNTI AND IMPLEMENTS")</f>
        <v>EGT: CHECK UP UNTI AND IMPLEMENTS</v>
      </c>
      <c r="L395" s="72" t="str">
        <f>IFERROR(__xludf.DUMMYFUNCTION("""COMPUTED_VALUE"""),"EGT: Okay po yung gear oil ng disc plow ,Rotavator  at Yung unit ")</f>
        <v>EGT: Okay po yung gear oil ng disc plow ,Rotavator  at Yung unit </v>
      </c>
      <c r="M395" s="2"/>
      <c r="N395" s="2"/>
      <c r="O395" s="2" t="str">
        <f>IFERROR(__xludf.DUMMYFUNCTION("""COMPUTED_VALUE"""),"N/A")</f>
        <v>N/A</v>
      </c>
      <c r="P395" s="2"/>
      <c r="Q395" s="2"/>
      <c r="R395" s="74">
        <f>IFERROR(__xludf.DUMMYFUNCTION("""COMPUTED_VALUE"""),45519.0)</f>
        <v>45519</v>
      </c>
      <c r="S395" s="2" t="str">
        <f>IFERROR(__xludf.DUMMYFUNCTION("""COMPUTED_VALUE"""),"EGT/DRM")</f>
        <v>EGT/DRM</v>
      </c>
      <c r="T395" s="73" t="str">
        <f>IFERROR(__xludf.DUMMYFUNCTION("""COMPUTED_VALUE""")," N/A ")</f>
        <v>N/A</v>
      </c>
      <c r="U395" s="73" t="str">
        <f>IFERROR(__xludf.DUMMYFUNCTION("""COMPUTED_VALUE""")," NO CHARGE ")</f>
        <v>NO CHARGE</v>
      </c>
      <c r="V395" s="2"/>
      <c r="W395" s="2" t="str">
        <f>IFERROR(__xludf.DUMMYFUNCTION("""COMPUTED_VALUE"""),"N/A")</f>
        <v>N/A</v>
      </c>
      <c r="X395" s="2" t="str">
        <f>IFERROR(__xludf.DUMMYFUNCTION("""COMPUTED_VALUE"""),"N/A")</f>
        <v>N/A</v>
      </c>
      <c r="Y395" s="2"/>
      <c r="Z395" s="2"/>
      <c r="AA395" s="2"/>
      <c r="AB395" s="2"/>
      <c r="AC395" s="2"/>
      <c r="AD395" s="2"/>
      <c r="AE395" s="2"/>
      <c r="AF395" s="2"/>
      <c r="AG395" s="2"/>
      <c r="AH395" s="2"/>
      <c r="AI395" s="2"/>
      <c r="AJ395" s="2" t="str">
        <f>IFERROR(__xludf.DUMMYFUNCTION("""COMPUTED_VALUE"""),"Concepcion")</f>
        <v>Concepcion</v>
      </c>
      <c r="AK395" s="2" t="str">
        <f>IFERROR(__xludf.DUMMYFUNCTION("""COMPUTED_VALUE"""),"San Simon")</f>
        <v>San Simon</v>
      </c>
      <c r="AL395" s="2" t="str">
        <f>IFERROR(__xludf.DUMMYFUNCTION("""COMPUTED_VALUE"""),"Pampanga")</f>
        <v>Pampanga</v>
      </c>
      <c r="AM395" s="2">
        <f>IFERROR(__xludf.DUMMYFUNCTION("""COMPUTED_VALUE"""),3.0)</f>
        <v>3</v>
      </c>
      <c r="AN395" s="2" t="str">
        <f>IFERROR(__xludf.DUMMYFUNCTION("""COMPUTED_VALUE"""),"RCEF 23-09-21 Rebidding")</f>
        <v>RCEF 23-09-21 Rebidding</v>
      </c>
      <c r="AO395" s="2">
        <f>IFERROR(__xludf.DUMMYFUNCTION("""COMPUTED_VALUE"""),3.0)</f>
        <v>3</v>
      </c>
      <c r="AP395" s="2"/>
      <c r="AQ395" s="2"/>
      <c r="AR395" s="2"/>
      <c r="AS395" s="2"/>
      <c r="AT395" s="2"/>
      <c r="AU395" s="2"/>
      <c r="AV395" s="2"/>
      <c r="AW395" s="2"/>
      <c r="AX395" s="2"/>
      <c r="AY395" s="2"/>
      <c r="AZ395" s="2"/>
      <c r="BA395" s="2"/>
      <c r="BB395" s="2"/>
    </row>
    <row r="396">
      <c r="A396" s="2">
        <f>IFERROR(__xludf.DUMMYFUNCTION("""COMPUTED_VALUE"""),392.0)</f>
        <v>392</v>
      </c>
      <c r="B396" s="2" t="str">
        <f>IFERROR(__xludf.DUMMYFUNCTION("""COMPUTED_VALUE"""),"COMPLETED")</f>
        <v>COMPLETED</v>
      </c>
      <c r="C396" s="74">
        <f>IFERROR(__xludf.DUMMYFUNCTION("""COMPUTED_VALUE"""),45519.0)</f>
        <v>45519</v>
      </c>
      <c r="D396" s="71" t="str">
        <f>IFERROR(__xludf.DUMMYFUNCTION("""COMPUTED_VALUE"""),"Sapang Buhay Agriculture Cooperative")</f>
        <v>Sapang Buhay Agriculture Cooperative</v>
      </c>
      <c r="E396" s="71" t="str">
        <f>IFERROR(__xludf.DUMMYFUNCTION("""COMPUTED_VALUE"""),"Tagpos, Santa Rosa, NUEVA ECIJA")</f>
        <v>Tagpos, Santa Rosa, NUEVA ECIJA</v>
      </c>
      <c r="F396" s="2" t="str">
        <f>IFERROR(__xludf.DUMMYFUNCTION("""COMPUTED_VALUE"""),"ROBERTO DIAZ")</f>
        <v>ROBERTO DIAZ</v>
      </c>
      <c r="G396" s="2">
        <f>IFERROR(__xludf.DUMMYFUNCTION("""COMPUTED_VALUE"""),9.952919405E9)</f>
        <v>9952919405</v>
      </c>
      <c r="H396" s="2">
        <f>IFERROR(__xludf.DUMMYFUNCTION("""COMPUTED_VALUE"""),127.0)</f>
        <v>127</v>
      </c>
      <c r="I396" s="72" t="str">
        <f>IFERROR(__xludf.DUMMYFUNCTION("""COMPUTED_VALUE"""),"REPAIR - TRACTOR")</f>
        <v>REPAIR - TRACTOR</v>
      </c>
      <c r="J396" s="72" t="str">
        <f>IFERROR(__xludf.DUMMYFUNCTION("""COMPUTED_VALUE"""),"CHECK UP")</f>
        <v>CHECK UP</v>
      </c>
      <c r="K396" s="72" t="str">
        <f>IFERROR(__xludf.DUMMYFUNCTION("""COMPUTED_VALUE"""),"EGT: CHECK UP UNTI AND IMPLEMENTS")</f>
        <v>EGT: CHECK UP UNTI AND IMPLEMENTS</v>
      </c>
      <c r="L396" s="72" t="str">
        <f>IFERROR(__xludf.DUMMYFUNCTION("""COMPUTED_VALUE"""),"EGT: Okay po yung gear oil ng disc plow ,Rotavator  at Yung unit ")</f>
        <v>EGT: Okay po yung gear oil ng disc plow ,Rotavator  at Yung unit </v>
      </c>
      <c r="M396" s="2"/>
      <c r="N396" s="2"/>
      <c r="O396" s="2" t="str">
        <f>IFERROR(__xludf.DUMMYFUNCTION("""COMPUTED_VALUE"""),"N/A")</f>
        <v>N/A</v>
      </c>
      <c r="P396" s="2"/>
      <c r="Q396" s="2"/>
      <c r="R396" s="74">
        <f>IFERROR(__xludf.DUMMYFUNCTION("""COMPUTED_VALUE"""),45519.0)</f>
        <v>45519</v>
      </c>
      <c r="S396" s="2" t="str">
        <f>IFERROR(__xludf.DUMMYFUNCTION("""COMPUTED_VALUE"""),"EGT/DRM")</f>
        <v>EGT/DRM</v>
      </c>
      <c r="T396" s="73" t="str">
        <f>IFERROR(__xludf.DUMMYFUNCTION("""COMPUTED_VALUE""")," N/A ")</f>
        <v>N/A</v>
      </c>
      <c r="U396" s="73" t="str">
        <f>IFERROR(__xludf.DUMMYFUNCTION("""COMPUTED_VALUE""")," NO CHARGE ")</f>
        <v>NO CHARGE</v>
      </c>
      <c r="V396" s="2"/>
      <c r="W396" s="2" t="str">
        <f>IFERROR(__xludf.DUMMYFUNCTION("""COMPUTED_VALUE"""),"N/A")</f>
        <v>N/A</v>
      </c>
      <c r="X396" s="2" t="str">
        <f>IFERROR(__xludf.DUMMYFUNCTION("""COMPUTED_VALUE"""),"N/A")</f>
        <v>N/A</v>
      </c>
      <c r="Y396" s="2"/>
      <c r="Z396" s="2"/>
      <c r="AA396" s="2"/>
      <c r="AB396" s="2"/>
      <c r="AC396" s="2"/>
      <c r="AD396" s="2"/>
      <c r="AE396" s="2"/>
      <c r="AF396" s="2"/>
      <c r="AG396" s="2"/>
      <c r="AH396" s="2"/>
      <c r="AI396" s="2"/>
      <c r="AJ396" s="2" t="str">
        <f>IFERROR(__xludf.DUMMYFUNCTION("""COMPUTED_VALUE"""),"Tagpos")</f>
        <v>Tagpos</v>
      </c>
      <c r="AK396" s="2" t="str">
        <f>IFERROR(__xludf.DUMMYFUNCTION("""COMPUTED_VALUE"""),"Santa Rosa")</f>
        <v>Santa Rosa</v>
      </c>
      <c r="AL396" s="2" t="str">
        <f>IFERROR(__xludf.DUMMYFUNCTION("""COMPUTED_VALUE"""),"Nueva Ecija")</f>
        <v>Nueva Ecija</v>
      </c>
      <c r="AM396" s="2">
        <f>IFERROR(__xludf.DUMMYFUNCTION("""COMPUTED_VALUE"""),3.0)</f>
        <v>3</v>
      </c>
      <c r="AN396" s="2" t="str">
        <f>IFERROR(__xludf.DUMMYFUNCTION("""COMPUTED_VALUE"""),"RCEF 23-09-21 Rebidding")</f>
        <v>RCEF 23-09-21 Rebidding</v>
      </c>
      <c r="AO396" s="2">
        <f>IFERROR(__xludf.DUMMYFUNCTION("""COMPUTED_VALUE"""),3.0)</f>
        <v>3</v>
      </c>
      <c r="AP396" s="2"/>
      <c r="AQ396" s="2"/>
      <c r="AR396" s="2"/>
      <c r="AS396" s="2"/>
      <c r="AT396" s="2"/>
      <c r="AU396" s="2"/>
      <c r="AV396" s="2"/>
      <c r="AW396" s="2"/>
      <c r="AX396" s="2"/>
      <c r="AY396" s="2"/>
      <c r="AZ396" s="2"/>
      <c r="BA396" s="2"/>
      <c r="BB396" s="2"/>
    </row>
    <row r="397">
      <c r="A397" s="2">
        <f>IFERROR(__xludf.DUMMYFUNCTION("""COMPUTED_VALUE"""),393.0)</f>
        <v>393</v>
      </c>
      <c r="B397" s="2" t="str">
        <f>IFERROR(__xludf.DUMMYFUNCTION("""COMPUTED_VALUE"""),"COMPLETED")</f>
        <v>COMPLETED</v>
      </c>
      <c r="C397" s="74">
        <f>IFERROR(__xludf.DUMMYFUNCTION("""COMPUTED_VALUE"""),45519.0)</f>
        <v>45519</v>
      </c>
      <c r="D397" s="71" t="str">
        <f>IFERROR(__xludf.DUMMYFUNCTION("""COMPUTED_VALUE"""),"RAJAL CENTRO IRRIGATORS ASSOCIATION, INC.")</f>
        <v>RAJAL CENTRO IRRIGATORS ASSOCIATION, INC.</v>
      </c>
      <c r="E397" s="71" t="str">
        <f>IFERROR(__xludf.DUMMYFUNCTION("""COMPUTED_VALUE"""),"Rajal Centro, Santa Rosa, NUEVA ECIJA")</f>
        <v>Rajal Centro, Santa Rosa, NUEVA ECIJA</v>
      </c>
      <c r="F397" s="2" t="str">
        <f>IFERROR(__xludf.DUMMYFUNCTION("""COMPUTED_VALUE"""),"Victor Hernandez")</f>
        <v>Victor Hernandez</v>
      </c>
      <c r="G397" s="2">
        <f>IFERROR(__xludf.DUMMYFUNCTION("""COMPUTED_VALUE"""),9.274708816E9)</f>
        <v>9274708816</v>
      </c>
      <c r="H397" s="2">
        <f>IFERROR(__xludf.DUMMYFUNCTION("""COMPUTED_VALUE"""),109.0)</f>
        <v>109</v>
      </c>
      <c r="I397" s="72" t="str">
        <f>IFERROR(__xludf.DUMMYFUNCTION("""COMPUTED_VALUE"""),"REPAIR - TRACTOR")</f>
        <v>REPAIR - TRACTOR</v>
      </c>
      <c r="J397" s="72" t="str">
        <f>IFERROR(__xludf.DUMMYFUNCTION("""COMPUTED_VALUE"""),"CHECK UP")</f>
        <v>CHECK UP</v>
      </c>
      <c r="K397" s="72" t="str">
        <f>IFERROR(__xludf.DUMMYFUNCTION("""COMPUTED_VALUE"""),"EGT: CHECK UP UNTI AND IMPLEMENTS")</f>
        <v>EGT: CHECK UP UNTI AND IMPLEMENTS</v>
      </c>
      <c r="L397" s="72" t="str">
        <f>IFERROR(__xludf.DUMMYFUNCTION("""COMPUTED_VALUE"""),"EGT: Okay po yung gear oil ng disc plow ,Rotavator  at Yung unit ")</f>
        <v>EGT: Okay po yung gear oil ng disc plow ,Rotavator  at Yung unit </v>
      </c>
      <c r="M397" s="2"/>
      <c r="N397" s="2"/>
      <c r="O397" s="2" t="str">
        <f>IFERROR(__xludf.DUMMYFUNCTION("""COMPUTED_VALUE"""),"N/A")</f>
        <v>N/A</v>
      </c>
      <c r="P397" s="2"/>
      <c r="Q397" s="2"/>
      <c r="R397" s="74">
        <f>IFERROR(__xludf.DUMMYFUNCTION("""COMPUTED_VALUE"""),45519.0)</f>
        <v>45519</v>
      </c>
      <c r="S397" s="2" t="str">
        <f>IFERROR(__xludf.DUMMYFUNCTION("""COMPUTED_VALUE"""),"EGT/DRM")</f>
        <v>EGT/DRM</v>
      </c>
      <c r="T397" s="73" t="str">
        <f>IFERROR(__xludf.DUMMYFUNCTION("""COMPUTED_VALUE""")," N/A ")</f>
        <v>N/A</v>
      </c>
      <c r="U397" s="73" t="str">
        <f>IFERROR(__xludf.DUMMYFUNCTION("""COMPUTED_VALUE""")," NO CHARGE ")</f>
        <v>NO CHARGE</v>
      </c>
      <c r="V397" s="2"/>
      <c r="W397" s="2" t="str">
        <f>IFERROR(__xludf.DUMMYFUNCTION("""COMPUTED_VALUE"""),"N/A")</f>
        <v>N/A</v>
      </c>
      <c r="X397" s="2" t="str">
        <f>IFERROR(__xludf.DUMMYFUNCTION("""COMPUTED_VALUE"""),"N/A")</f>
        <v>N/A</v>
      </c>
      <c r="Y397" s="2"/>
      <c r="Z397" s="2"/>
      <c r="AA397" s="2"/>
      <c r="AB397" s="2"/>
      <c r="AC397" s="2"/>
      <c r="AD397" s="2"/>
      <c r="AE397" s="2"/>
      <c r="AF397" s="2"/>
      <c r="AG397" s="2"/>
      <c r="AH397" s="2"/>
      <c r="AI397" s="2"/>
      <c r="AJ397" s="2" t="str">
        <f>IFERROR(__xludf.DUMMYFUNCTION("""COMPUTED_VALUE"""),"Rajal Centro")</f>
        <v>Rajal Centro</v>
      </c>
      <c r="AK397" s="2" t="str">
        <f>IFERROR(__xludf.DUMMYFUNCTION("""COMPUTED_VALUE"""),"Santa Rosa")</f>
        <v>Santa Rosa</v>
      </c>
      <c r="AL397" s="2" t="str">
        <f>IFERROR(__xludf.DUMMYFUNCTION("""COMPUTED_VALUE"""),"Nueva Ecija")</f>
        <v>Nueva Ecija</v>
      </c>
      <c r="AM397" s="2">
        <f>IFERROR(__xludf.DUMMYFUNCTION("""COMPUTED_VALUE"""),3.0)</f>
        <v>3</v>
      </c>
      <c r="AN397" s="2" t="str">
        <f>IFERROR(__xludf.DUMMYFUNCTION("""COMPUTED_VALUE"""),"RCEF 23-09-21 Rebidding")</f>
        <v>RCEF 23-09-21 Rebidding</v>
      </c>
      <c r="AO397" s="2">
        <f>IFERROR(__xludf.DUMMYFUNCTION("""COMPUTED_VALUE"""),3.0)</f>
        <v>3</v>
      </c>
      <c r="AP397" s="2"/>
      <c r="AQ397" s="2"/>
      <c r="AR397" s="2"/>
      <c r="AS397" s="2"/>
      <c r="AT397" s="2"/>
      <c r="AU397" s="2"/>
      <c r="AV397" s="2"/>
      <c r="AW397" s="2"/>
      <c r="AX397" s="2"/>
      <c r="AY397" s="2"/>
      <c r="AZ397" s="2"/>
      <c r="BA397" s="2"/>
      <c r="BB397" s="2"/>
    </row>
    <row r="398">
      <c r="A398" s="2">
        <f>IFERROR(__xludf.DUMMYFUNCTION("""COMPUTED_VALUE"""),394.0)</f>
        <v>394</v>
      </c>
      <c r="B398" s="2" t="str">
        <f>IFERROR(__xludf.DUMMYFUNCTION("""COMPUTED_VALUE"""),"COMPLETED")</f>
        <v>COMPLETED</v>
      </c>
      <c r="C398" s="74">
        <f>IFERROR(__xludf.DUMMYFUNCTION("""COMPUTED_VALUE"""),45520.0)</f>
        <v>45520</v>
      </c>
      <c r="D398" s="71" t="str">
        <f>IFERROR(__xludf.DUMMYFUNCTION("""COMPUTED_VALUE"""),"PANTOC FARMER'S ASSOCIATION")</f>
        <v>PANTOC FARMER'S ASSOCIATION</v>
      </c>
      <c r="E398" s="71" t="str">
        <f>IFERROR(__xludf.DUMMYFUNCTION("""COMPUTED_VALUE"""),"Pantoc, Gabaldon, NUEVA ECIJA")</f>
        <v>Pantoc, Gabaldon, NUEVA ECIJA</v>
      </c>
      <c r="F398" s="2" t="str">
        <f>IFERROR(__xludf.DUMMYFUNCTION("""COMPUTED_VALUE"""),"Victor Dacumos")</f>
        <v>Victor Dacumos</v>
      </c>
      <c r="G398" s="2">
        <f>IFERROR(__xludf.DUMMYFUNCTION("""COMPUTED_VALUE"""),9.569688856E9)</f>
        <v>9569688856</v>
      </c>
      <c r="H398" s="2">
        <f>IFERROR(__xludf.DUMMYFUNCTION("""COMPUTED_VALUE"""),81.0)</f>
        <v>81</v>
      </c>
      <c r="I398" s="72" t="str">
        <f>IFERROR(__xludf.DUMMYFUNCTION("""COMPUTED_VALUE"""),"REPAIR - TRACTOR")</f>
        <v>REPAIR - TRACTOR</v>
      </c>
      <c r="J398" s="72" t="str">
        <f>IFERROR(__xludf.DUMMYFUNCTION("""COMPUTED_VALUE"""),"RADIATOR")</f>
        <v>RADIATOR</v>
      </c>
      <c r="K398" s="72" t="str">
        <f>IFERROR(__xludf.DUMMYFUNCTION("""COMPUTED_VALUE"""),"EGT: LEAK AT THE RADIATOR
KFS:  replacement of plastic top cover of radiator ")</f>
        <v>EGT: LEAK AT THE RADIATOR
KFS:  replacement of plastic top cover of radiator </v>
      </c>
      <c r="L398" s="72" t="str">
        <f>IFERROR(__xludf.DUMMYFUNCTION("""COMPUTED_VALUE"""),"ACS: replace radiator done")</f>
        <v>ACS: replace radiator done</v>
      </c>
      <c r="M398" s="2"/>
      <c r="N398" s="2" t="str">
        <f>IFERROR(__xludf.DUMMYFUNCTION("""COMPUTED_VALUE"""),"PARTS: RADIATOR ASSY")</f>
        <v>PARTS: RADIATOR ASSY</v>
      </c>
      <c r="O398" s="2" t="str">
        <f>IFERROR(__xludf.DUMMYFUNCTION("""COMPUTED_VALUE"""),"JIE-940")</f>
        <v>JIE-940</v>
      </c>
      <c r="P398" s="2"/>
      <c r="Q398" s="2"/>
      <c r="R398" s="74">
        <f>IFERROR(__xludf.DUMMYFUNCTION("""COMPUTED_VALUE"""),45524.0)</f>
        <v>45524</v>
      </c>
      <c r="S398" s="2" t="str">
        <f>IFERROR(__xludf.DUMMYFUNCTION("""COMPUTED_VALUE"""),"ACS/JHP")</f>
        <v>ACS/JHP</v>
      </c>
      <c r="T398" s="73" t="str">
        <f>IFERROR(__xludf.DUMMYFUNCTION("""COMPUTED_VALUE""")," N/A ")</f>
        <v>N/A</v>
      </c>
      <c r="U398" s="73" t="str">
        <f>IFERROR(__xludf.DUMMYFUNCTION("""COMPUTED_VALUE""")," NO CHARGE ")</f>
        <v>NO CHARGE</v>
      </c>
      <c r="V398" s="2"/>
      <c r="W398" s="2" t="str">
        <f>IFERROR(__xludf.DUMMYFUNCTION("""COMPUTED_VALUE"""),"N/A")</f>
        <v>N/A</v>
      </c>
      <c r="X398" s="2" t="str">
        <f>IFERROR(__xludf.DUMMYFUNCTION("""COMPUTED_VALUE"""),"N/A")</f>
        <v>N/A</v>
      </c>
      <c r="Y398" s="2"/>
      <c r="Z398" s="2"/>
      <c r="AA398" s="2"/>
      <c r="AB398" s="2"/>
      <c r="AC398" s="2"/>
      <c r="AD398" s="2"/>
      <c r="AE398" s="2"/>
      <c r="AF398" s="2"/>
      <c r="AG398" s="2"/>
      <c r="AH398" s="2"/>
      <c r="AI398" s="2"/>
      <c r="AJ398" s="2" t="str">
        <f>IFERROR(__xludf.DUMMYFUNCTION("""COMPUTED_VALUE"""),"Pantoc")</f>
        <v>Pantoc</v>
      </c>
      <c r="AK398" s="2" t="str">
        <f>IFERROR(__xludf.DUMMYFUNCTION("""COMPUTED_VALUE"""),"Gabaldon")</f>
        <v>Gabaldon</v>
      </c>
      <c r="AL398" s="2" t="str">
        <f>IFERROR(__xludf.DUMMYFUNCTION("""COMPUTED_VALUE"""),"Nueva Ecija")</f>
        <v>Nueva Ecija</v>
      </c>
      <c r="AM398" s="2">
        <f>IFERROR(__xludf.DUMMYFUNCTION("""COMPUTED_VALUE"""),3.0)</f>
        <v>3</v>
      </c>
      <c r="AN398" s="2" t="str">
        <f>IFERROR(__xludf.DUMMYFUNCTION("""COMPUTED_VALUE"""),"RCEF 23-09-21 Rebidding")</f>
        <v>RCEF 23-09-21 Rebidding</v>
      </c>
      <c r="AO398" s="2">
        <f>IFERROR(__xludf.DUMMYFUNCTION("""COMPUTED_VALUE"""),3.0)</f>
        <v>3</v>
      </c>
      <c r="AP398" s="2"/>
      <c r="AQ398" s="2"/>
      <c r="AR398" s="2"/>
      <c r="AS398" s="2"/>
      <c r="AT398" s="2"/>
      <c r="AU398" s="2"/>
      <c r="AV398" s="2"/>
      <c r="AW398" s="2"/>
      <c r="AX398" s="2"/>
      <c r="AY398" s="2"/>
      <c r="AZ398" s="2"/>
      <c r="BA398" s="2"/>
      <c r="BB398" s="2"/>
    </row>
    <row r="399">
      <c r="A399" s="2">
        <f>IFERROR(__xludf.DUMMYFUNCTION("""COMPUTED_VALUE"""),395.0)</f>
        <v>395</v>
      </c>
      <c r="B399" s="2" t="str">
        <f>IFERROR(__xludf.DUMMYFUNCTION("""COMPUTED_VALUE"""),"COMPLETED")</f>
        <v>COMPLETED</v>
      </c>
      <c r="C399" s="74">
        <f>IFERROR(__xludf.DUMMYFUNCTION("""COMPUTED_VALUE"""),45520.0)</f>
        <v>45520</v>
      </c>
      <c r="D399" s="71" t="str">
        <f>IFERROR(__xludf.DUMMYFUNCTION("""COMPUTED_VALUE"""),"PANTOC FARMER'S ASSOCIATION")</f>
        <v>PANTOC FARMER'S ASSOCIATION</v>
      </c>
      <c r="E399" s="71" t="str">
        <f>IFERROR(__xludf.DUMMYFUNCTION("""COMPUTED_VALUE"""),"Pantoc, Gabaldon, NUEVA ECIJA")</f>
        <v>Pantoc, Gabaldon, NUEVA ECIJA</v>
      </c>
      <c r="F399" s="2" t="str">
        <f>IFERROR(__xludf.DUMMYFUNCTION("""COMPUTED_VALUE"""),"Victor Dacumos")</f>
        <v>Victor Dacumos</v>
      </c>
      <c r="G399" s="2">
        <f>IFERROR(__xludf.DUMMYFUNCTION("""COMPUTED_VALUE"""),9.569688856E9)</f>
        <v>9569688856</v>
      </c>
      <c r="H399" s="2">
        <f>IFERROR(__xludf.DUMMYFUNCTION("""COMPUTED_VALUE"""),80.9)</f>
        <v>80.9</v>
      </c>
      <c r="I399" s="72" t="str">
        <f>IFERROR(__xludf.DUMMYFUNCTION("""COMPUTED_VALUE"""),"PMS")</f>
        <v>PMS</v>
      </c>
      <c r="J399" s="72" t="str">
        <f>IFERROR(__xludf.DUMMYFUNCTION("""COMPUTED_VALUE"""),"PMS")</f>
        <v>PMS</v>
      </c>
      <c r="K399" s="72" t="str">
        <f>IFERROR(__xludf.DUMMYFUNCTION("""COMPUTED_VALUE"""),"EGT: FIRST PMS")</f>
        <v>EGT: FIRST PMS</v>
      </c>
      <c r="L399" s="72" t="str">
        <f>IFERROR(__xludf.DUMMYFUNCTION("""COMPUTED_VALUE"""),"EGT: FIRST PMS DONE")</f>
        <v>EGT: FIRST PMS DONE</v>
      </c>
      <c r="M399" s="2"/>
      <c r="N399" s="2"/>
      <c r="O399" s="2" t="str">
        <f>IFERROR(__xludf.DUMMYFUNCTION("""COMPUTED_VALUE"""),"JIE-936")</f>
        <v>JIE-936</v>
      </c>
      <c r="P399" s="2"/>
      <c r="Q399" s="2"/>
      <c r="R399" s="74">
        <f>IFERROR(__xludf.DUMMYFUNCTION("""COMPUTED_VALUE"""),45520.0)</f>
        <v>45520</v>
      </c>
      <c r="S399" s="2" t="str">
        <f>IFERROR(__xludf.DUMMYFUNCTION("""COMPUTED_VALUE"""),"EGT/DRM")</f>
        <v>EGT/DRM</v>
      </c>
      <c r="T399" s="73" t="str">
        <f>IFERROR(__xludf.DUMMYFUNCTION("""COMPUTED_VALUE""")," N/A ")</f>
        <v>N/A</v>
      </c>
      <c r="U399" s="73" t="str">
        <f>IFERROR(__xludf.DUMMYFUNCTION("""COMPUTED_VALUE""")," NO CHARGE ")</f>
        <v>NO CHARGE</v>
      </c>
      <c r="V399" s="2"/>
      <c r="W399" s="2" t="str">
        <f>IFERROR(__xludf.DUMMYFUNCTION("""COMPUTED_VALUE"""),"N/A")</f>
        <v>N/A</v>
      </c>
      <c r="X399" s="2" t="str">
        <f>IFERROR(__xludf.DUMMYFUNCTION("""COMPUTED_VALUE"""),"N/A")</f>
        <v>N/A</v>
      </c>
      <c r="Y399" s="2"/>
      <c r="Z399" s="2"/>
      <c r="AA399" s="2"/>
      <c r="AB399" s="2"/>
      <c r="AC399" s="2"/>
      <c r="AD399" s="2"/>
      <c r="AE399" s="2"/>
      <c r="AF399" s="2"/>
      <c r="AG399" s="2"/>
      <c r="AH399" s="2"/>
      <c r="AI399" s="2"/>
      <c r="AJ399" s="2" t="str">
        <f>IFERROR(__xludf.DUMMYFUNCTION("""COMPUTED_VALUE"""),"Pantoc")</f>
        <v>Pantoc</v>
      </c>
      <c r="AK399" s="2" t="str">
        <f>IFERROR(__xludf.DUMMYFUNCTION("""COMPUTED_VALUE"""),"Gabaldon")</f>
        <v>Gabaldon</v>
      </c>
      <c r="AL399" s="2" t="str">
        <f>IFERROR(__xludf.DUMMYFUNCTION("""COMPUTED_VALUE"""),"Nueva Ecija")</f>
        <v>Nueva Ecija</v>
      </c>
      <c r="AM399" s="2">
        <f>IFERROR(__xludf.DUMMYFUNCTION("""COMPUTED_VALUE"""),3.0)</f>
        <v>3</v>
      </c>
      <c r="AN399" s="2" t="str">
        <f>IFERROR(__xludf.DUMMYFUNCTION("""COMPUTED_VALUE"""),"RCEF 23-09-21 Rebidding")</f>
        <v>RCEF 23-09-21 Rebidding</v>
      </c>
      <c r="AO399" s="2">
        <f>IFERROR(__xludf.DUMMYFUNCTION("""COMPUTED_VALUE"""),3.0)</f>
        <v>3</v>
      </c>
      <c r="AP399" s="2"/>
      <c r="AQ399" s="2"/>
      <c r="AR399" s="2"/>
      <c r="AS399" s="2"/>
      <c r="AT399" s="2"/>
      <c r="AU399" s="2"/>
      <c r="AV399" s="2"/>
      <c r="AW399" s="2"/>
      <c r="AX399" s="2"/>
      <c r="AY399" s="2"/>
      <c r="AZ399" s="2"/>
      <c r="BA399" s="2"/>
      <c r="BB399" s="2"/>
    </row>
    <row r="400">
      <c r="A400" s="2">
        <f>IFERROR(__xludf.DUMMYFUNCTION("""COMPUTED_VALUE"""),396.0)</f>
        <v>396</v>
      </c>
      <c r="B400" s="2" t="str">
        <f>IFERROR(__xludf.DUMMYFUNCTION("""COMPUTED_VALUE"""),"COMPLETED")</f>
        <v>COMPLETED</v>
      </c>
      <c r="C400" s="74">
        <f>IFERROR(__xludf.DUMMYFUNCTION("""COMPUTED_VALUE"""),45520.0)</f>
        <v>45520</v>
      </c>
      <c r="D400" s="71" t="str">
        <f>IFERROR(__xludf.DUMMYFUNCTION("""COMPUTED_VALUE"""),"SAMAHANG MAGSASAKA NA MAY IISANG LAYUNIN AT ADHIKAIN")</f>
        <v>SAMAHANG MAGSASAKA NA MAY IISANG LAYUNIN AT ADHIKAIN</v>
      </c>
      <c r="E400" s="71" t="str">
        <f>IFERROR(__xludf.DUMMYFUNCTION("""COMPUTED_VALUE"""),"Bugnan, Gabaldon, NUEVA ECIJA")</f>
        <v>Bugnan, Gabaldon, NUEVA ECIJA</v>
      </c>
      <c r="F400" s="2" t="str">
        <f>IFERROR(__xludf.DUMMYFUNCTION("""COMPUTED_VALUE"""),"Jocelyn Arunang")</f>
        <v>Jocelyn Arunang</v>
      </c>
      <c r="G400" s="2" t="str">
        <f>IFERROR(__xludf.DUMMYFUNCTION("""COMPUTED_VALUE"""),"0955 995 7862")</f>
        <v>0955 995 7862</v>
      </c>
      <c r="H400" s="2">
        <f>IFERROR(__xludf.DUMMYFUNCTION("""COMPUTED_VALUE"""),65.5)</f>
        <v>65.5</v>
      </c>
      <c r="I400" s="72" t="str">
        <f>IFERROR(__xludf.DUMMYFUNCTION("""COMPUTED_VALUE"""),"PMS")</f>
        <v>PMS</v>
      </c>
      <c r="J400" s="72" t="str">
        <f>IFERROR(__xludf.DUMMYFUNCTION("""COMPUTED_VALUE"""),"PMS")</f>
        <v>PMS</v>
      </c>
      <c r="K400" s="72" t="str">
        <f>IFERROR(__xludf.DUMMYFUNCTION("""COMPUTED_VALUE"""),"EGT: FIRST PMS")</f>
        <v>EGT: FIRST PMS</v>
      </c>
      <c r="L400" s="72" t="str">
        <f>IFERROR(__xludf.DUMMYFUNCTION("""COMPUTED_VALUE"""),"EGT: FIRST PMS DONE")</f>
        <v>EGT: FIRST PMS DONE</v>
      </c>
      <c r="M400" s="2"/>
      <c r="N400" s="2"/>
      <c r="O400" s="2" t="str">
        <f>IFERROR(__xludf.DUMMYFUNCTION("""COMPUTED_VALUE"""),"JIE-937")</f>
        <v>JIE-937</v>
      </c>
      <c r="P400" s="2"/>
      <c r="Q400" s="2"/>
      <c r="R400" s="74">
        <f>IFERROR(__xludf.DUMMYFUNCTION("""COMPUTED_VALUE"""),45520.0)</f>
        <v>45520</v>
      </c>
      <c r="S400" s="2" t="str">
        <f>IFERROR(__xludf.DUMMYFUNCTION("""COMPUTED_VALUE"""),"EGT/DRM")</f>
        <v>EGT/DRM</v>
      </c>
      <c r="T400" s="73" t="str">
        <f>IFERROR(__xludf.DUMMYFUNCTION("""COMPUTED_VALUE""")," N/A ")</f>
        <v>N/A</v>
      </c>
      <c r="U400" s="73" t="str">
        <f>IFERROR(__xludf.DUMMYFUNCTION("""COMPUTED_VALUE""")," NO CHARGE ")</f>
        <v>NO CHARGE</v>
      </c>
      <c r="V400" s="2"/>
      <c r="W400" s="2" t="str">
        <f>IFERROR(__xludf.DUMMYFUNCTION("""COMPUTED_VALUE"""),"N/A")</f>
        <v>N/A</v>
      </c>
      <c r="X400" s="2" t="str">
        <f>IFERROR(__xludf.DUMMYFUNCTION("""COMPUTED_VALUE"""),"N/A")</f>
        <v>N/A</v>
      </c>
      <c r="Y400" s="2"/>
      <c r="Z400" s="2"/>
      <c r="AA400" s="2"/>
      <c r="AB400" s="2"/>
      <c r="AC400" s="2"/>
      <c r="AD400" s="2"/>
      <c r="AE400" s="2"/>
      <c r="AF400" s="2"/>
      <c r="AG400" s="2"/>
      <c r="AH400" s="2"/>
      <c r="AI400" s="2"/>
      <c r="AJ400" s="2" t="str">
        <f>IFERROR(__xludf.DUMMYFUNCTION("""COMPUTED_VALUE"""),"Bugnan")</f>
        <v>Bugnan</v>
      </c>
      <c r="AK400" s="2" t="str">
        <f>IFERROR(__xludf.DUMMYFUNCTION("""COMPUTED_VALUE"""),"Gabaldon")</f>
        <v>Gabaldon</v>
      </c>
      <c r="AL400" s="2" t="str">
        <f>IFERROR(__xludf.DUMMYFUNCTION("""COMPUTED_VALUE"""),"Nueva Ecija")</f>
        <v>Nueva Ecija</v>
      </c>
      <c r="AM400" s="2">
        <f>IFERROR(__xludf.DUMMYFUNCTION("""COMPUTED_VALUE"""),3.0)</f>
        <v>3</v>
      </c>
      <c r="AN400" s="2" t="str">
        <f>IFERROR(__xludf.DUMMYFUNCTION("""COMPUTED_VALUE"""),"RCEF 23-09-21 Rebidding")</f>
        <v>RCEF 23-09-21 Rebidding</v>
      </c>
      <c r="AO400" s="2">
        <f>IFERROR(__xludf.DUMMYFUNCTION("""COMPUTED_VALUE"""),3.0)</f>
        <v>3</v>
      </c>
      <c r="AP400" s="2"/>
      <c r="AQ400" s="2"/>
      <c r="AR400" s="2"/>
      <c r="AS400" s="2"/>
      <c r="AT400" s="2"/>
      <c r="AU400" s="2"/>
      <c r="AV400" s="2"/>
      <c r="AW400" s="2"/>
      <c r="AX400" s="2"/>
      <c r="AY400" s="2"/>
      <c r="AZ400" s="2"/>
      <c r="BA400" s="2"/>
      <c r="BB400" s="2"/>
    </row>
    <row r="401">
      <c r="A401" s="2">
        <f>IFERROR(__xludf.DUMMYFUNCTION("""COMPUTED_VALUE"""),397.0)</f>
        <v>397</v>
      </c>
      <c r="B401" s="2" t="str">
        <f>IFERROR(__xludf.DUMMYFUNCTION("""COMPUTED_VALUE"""),"COMPLETED")</f>
        <v>COMPLETED</v>
      </c>
      <c r="C401" s="74">
        <f>IFERROR(__xludf.DUMMYFUNCTION("""COMPUTED_VALUE"""),45520.0)</f>
        <v>45520</v>
      </c>
      <c r="D401" s="71" t="str">
        <f>IFERROR(__xludf.DUMMYFUNCTION("""COMPUTED_VALUE"""),"SAN VICENTE-ALINTUTUAN IRRIGATORS ASSOCIATION INC.")</f>
        <v>SAN VICENTE-ALINTUTUAN IRRIGATORS ASSOCIATION INC.</v>
      </c>
      <c r="E401" s="71" t="str">
        <f>IFERROR(__xludf.DUMMYFUNCTION("""COMPUTED_VALUE"""),"San Vicente, Laur, NUEVA ECIJA")</f>
        <v>San Vicente, Laur, NUEVA ECIJA</v>
      </c>
      <c r="F401" s="2" t="str">
        <f>IFERROR(__xludf.DUMMYFUNCTION("""COMPUTED_VALUE"""),"Erwin De Guzman ")</f>
        <v>Erwin De Guzman </v>
      </c>
      <c r="G401" s="2">
        <f>IFERROR(__xludf.DUMMYFUNCTION("""COMPUTED_VALUE"""),9.29318522E9)</f>
        <v>9293185220</v>
      </c>
      <c r="H401" s="2">
        <f>IFERROR(__xludf.DUMMYFUNCTION("""COMPUTED_VALUE"""),99.0)</f>
        <v>99</v>
      </c>
      <c r="I401" s="72" t="str">
        <f>IFERROR(__xludf.DUMMYFUNCTION("""COMPUTED_VALUE"""),"PMS")</f>
        <v>PMS</v>
      </c>
      <c r="J401" s="72" t="str">
        <f>IFERROR(__xludf.DUMMYFUNCTION("""COMPUTED_VALUE"""),"PMS")</f>
        <v>PMS</v>
      </c>
      <c r="K401" s="72" t="str">
        <f>IFERROR(__xludf.DUMMYFUNCTION("""COMPUTED_VALUE"""),"EGT: FIRST PMS")</f>
        <v>EGT: FIRST PMS</v>
      </c>
      <c r="L401" s="72" t="str">
        <f>IFERROR(__xludf.DUMMYFUNCTION("""COMPUTED_VALUE"""),"EGT: FIRST PMS DONE")</f>
        <v>EGT: FIRST PMS DONE</v>
      </c>
      <c r="M401" s="2"/>
      <c r="N401" s="2" t="str">
        <f>IFERROR(__xludf.DUMMYFUNCTION("""COMPUTED_VALUE"""),"PARTS: OIL FILTER, ENGINE OIL")</f>
        <v>PARTS: OIL FILTER, ENGINE OIL</v>
      </c>
      <c r="O401" s="2">
        <f>IFERROR(__xludf.DUMMYFUNCTION("""COMPUTED_VALUE"""),1127.0)</f>
        <v>1127</v>
      </c>
      <c r="P401" s="2"/>
      <c r="Q401" s="2" t="str">
        <f>IFERROR(__xludf.DUMMYFUNCTION("""COMPUTED_VALUE"""),"Y")</f>
        <v>Y</v>
      </c>
      <c r="R401" s="74">
        <f>IFERROR(__xludf.DUMMYFUNCTION("""COMPUTED_VALUE"""),45520.0)</f>
        <v>45520</v>
      </c>
      <c r="S401" s="2" t="str">
        <f>IFERROR(__xludf.DUMMYFUNCTION("""COMPUTED_VALUE"""),"EGT/DRM")</f>
        <v>EGT/DRM</v>
      </c>
      <c r="T401" s="73" t="str">
        <f>IFERROR(__xludf.DUMMYFUNCTION("""COMPUTED_VALUE""")," N/A ")</f>
        <v>N/A</v>
      </c>
      <c r="U401" s="73" t="str">
        <f>IFERROR(__xludf.DUMMYFUNCTION("""COMPUTED_VALUE""")," NO CHARGE ")</f>
        <v>NO CHARGE</v>
      </c>
      <c r="V401" s="2"/>
      <c r="W401" s="2" t="str">
        <f>IFERROR(__xludf.DUMMYFUNCTION("""COMPUTED_VALUE"""),"N/A")</f>
        <v>N/A</v>
      </c>
      <c r="X401" s="2" t="str">
        <f>IFERROR(__xludf.DUMMYFUNCTION("""COMPUTED_VALUE"""),"N/A")</f>
        <v>N/A</v>
      </c>
      <c r="Y401" s="2"/>
      <c r="Z401" s="2"/>
      <c r="AA401" s="2"/>
      <c r="AB401" s="2"/>
      <c r="AC401" s="2"/>
      <c r="AD401" s="2"/>
      <c r="AE401" s="2"/>
      <c r="AF401" s="2"/>
      <c r="AG401" s="2"/>
      <c r="AH401" s="2"/>
      <c r="AI401" s="2"/>
      <c r="AJ401" s="2" t="str">
        <f>IFERROR(__xludf.DUMMYFUNCTION("""COMPUTED_VALUE"""),"San Vicente")</f>
        <v>San Vicente</v>
      </c>
      <c r="AK401" s="2" t="str">
        <f>IFERROR(__xludf.DUMMYFUNCTION("""COMPUTED_VALUE"""),"Laur")</f>
        <v>Laur</v>
      </c>
      <c r="AL401" s="2" t="str">
        <f>IFERROR(__xludf.DUMMYFUNCTION("""COMPUTED_VALUE"""),"Nueva Ecija")</f>
        <v>Nueva Ecija</v>
      </c>
      <c r="AM401" s="2">
        <f>IFERROR(__xludf.DUMMYFUNCTION("""COMPUTED_VALUE"""),3.0)</f>
        <v>3</v>
      </c>
      <c r="AN401" s="2" t="str">
        <f>IFERROR(__xludf.DUMMYFUNCTION("""COMPUTED_VALUE"""),"RCEF 23-09-21 Rebidding")</f>
        <v>RCEF 23-09-21 Rebidding</v>
      </c>
      <c r="AO401" s="2">
        <f>IFERROR(__xludf.DUMMYFUNCTION("""COMPUTED_VALUE"""),3.0)</f>
        <v>3</v>
      </c>
      <c r="AP401" s="2"/>
      <c r="AQ401" s="2"/>
      <c r="AR401" s="2"/>
      <c r="AS401" s="2"/>
      <c r="AT401" s="2"/>
      <c r="AU401" s="2"/>
      <c r="AV401" s="2"/>
      <c r="AW401" s="2"/>
      <c r="AX401" s="2"/>
      <c r="AY401" s="2"/>
      <c r="AZ401" s="2"/>
      <c r="BA401" s="2"/>
      <c r="BB401" s="2"/>
    </row>
    <row r="402">
      <c r="A402" s="2">
        <f>IFERROR(__xludf.DUMMYFUNCTION("""COMPUTED_VALUE"""),398.0)</f>
        <v>398</v>
      </c>
      <c r="B402" s="2" t="str">
        <f>IFERROR(__xludf.DUMMYFUNCTION("""COMPUTED_VALUE"""),"COMPLETED")</f>
        <v>COMPLETED</v>
      </c>
      <c r="C402" s="74">
        <f>IFERROR(__xludf.DUMMYFUNCTION("""COMPUTED_VALUE"""),45520.0)</f>
        <v>45520</v>
      </c>
      <c r="D402" s="71" t="str">
        <f>IFERROR(__xludf.DUMMYFUNCTION("""COMPUTED_VALUE"""),"SAN VICENTE-ALINTUTUAN IRRIGATORS ASSOCIATION INC.")</f>
        <v>SAN VICENTE-ALINTUTUAN IRRIGATORS ASSOCIATION INC.</v>
      </c>
      <c r="E402" s="71" t="str">
        <f>IFERROR(__xludf.DUMMYFUNCTION("""COMPUTED_VALUE"""),"San Vicente, Laur, NUEVA ECIJA")</f>
        <v>San Vicente, Laur, NUEVA ECIJA</v>
      </c>
      <c r="F402" s="2" t="str">
        <f>IFERROR(__xludf.DUMMYFUNCTION("""COMPUTED_VALUE"""),"Erwin De Guzman ")</f>
        <v>Erwin De Guzman </v>
      </c>
      <c r="G402" s="2">
        <f>IFERROR(__xludf.DUMMYFUNCTION("""COMPUTED_VALUE"""),9.29318522E9)</f>
        <v>9293185220</v>
      </c>
      <c r="H402" s="2">
        <f>IFERROR(__xludf.DUMMYFUNCTION("""COMPUTED_VALUE"""),99.0)</f>
        <v>99</v>
      </c>
      <c r="I402" s="72" t="str">
        <f>IFERROR(__xludf.DUMMYFUNCTION("""COMPUTED_VALUE"""),"REPAIR - TRACTOR")</f>
        <v>REPAIR - TRACTOR</v>
      </c>
      <c r="J402" s="72" t="str">
        <f>IFERROR(__xludf.DUMMYFUNCTION("""COMPUTED_VALUE"""),"CHECK UP")</f>
        <v>CHECK UP</v>
      </c>
      <c r="K402" s="72" t="str">
        <f>IFERROR(__xludf.DUMMYFUNCTION("""COMPUTED_VALUE"""),"EGT: CHECK UP UNIT AND IMPLEMENTS")</f>
        <v>EGT: CHECK UP UNIT AND IMPLEMENTS</v>
      </c>
      <c r="L402" s="72" t="str">
        <f>IFERROR(__xludf.DUMMYFUNCTION("""COMPUTED_VALUE"""),"EGT: Okay po yung gear oil ng disc plow ,Rotavator  at Yung unit ")</f>
        <v>EGT: Okay po yung gear oil ng disc plow ,Rotavator  at Yung unit </v>
      </c>
      <c r="M402" s="2"/>
      <c r="N402" s="2"/>
      <c r="O402" s="2" t="str">
        <f>IFERROR(__xludf.DUMMYFUNCTION("""COMPUTED_VALUE"""),"N/A")</f>
        <v>N/A</v>
      </c>
      <c r="P402" s="2"/>
      <c r="Q402" s="2"/>
      <c r="R402" s="74">
        <f>IFERROR(__xludf.DUMMYFUNCTION("""COMPUTED_VALUE"""),45520.0)</f>
        <v>45520</v>
      </c>
      <c r="S402" s="2" t="str">
        <f>IFERROR(__xludf.DUMMYFUNCTION("""COMPUTED_VALUE"""),"EGT/DRM")</f>
        <v>EGT/DRM</v>
      </c>
      <c r="T402" s="73" t="str">
        <f>IFERROR(__xludf.DUMMYFUNCTION("""COMPUTED_VALUE""")," N/A ")</f>
        <v>N/A</v>
      </c>
      <c r="U402" s="73" t="str">
        <f>IFERROR(__xludf.DUMMYFUNCTION("""COMPUTED_VALUE""")," NO CHARGE ")</f>
        <v>NO CHARGE</v>
      </c>
      <c r="V402" s="2"/>
      <c r="W402" s="2" t="str">
        <f>IFERROR(__xludf.DUMMYFUNCTION("""COMPUTED_VALUE"""),"N/A")</f>
        <v>N/A</v>
      </c>
      <c r="X402" s="2" t="str">
        <f>IFERROR(__xludf.DUMMYFUNCTION("""COMPUTED_VALUE"""),"N/A")</f>
        <v>N/A</v>
      </c>
      <c r="Y402" s="2"/>
      <c r="Z402" s="2"/>
      <c r="AA402" s="2"/>
      <c r="AB402" s="2"/>
      <c r="AC402" s="2"/>
      <c r="AD402" s="2"/>
      <c r="AE402" s="2"/>
      <c r="AF402" s="2"/>
      <c r="AG402" s="2"/>
      <c r="AH402" s="2"/>
      <c r="AI402" s="2"/>
      <c r="AJ402" s="2" t="str">
        <f>IFERROR(__xludf.DUMMYFUNCTION("""COMPUTED_VALUE"""),"San Vicente")</f>
        <v>San Vicente</v>
      </c>
      <c r="AK402" s="2" t="str">
        <f>IFERROR(__xludf.DUMMYFUNCTION("""COMPUTED_VALUE"""),"Laur")</f>
        <v>Laur</v>
      </c>
      <c r="AL402" s="2" t="str">
        <f>IFERROR(__xludf.DUMMYFUNCTION("""COMPUTED_VALUE"""),"Nueva Ecija")</f>
        <v>Nueva Ecija</v>
      </c>
      <c r="AM402" s="2">
        <f>IFERROR(__xludf.DUMMYFUNCTION("""COMPUTED_VALUE"""),3.0)</f>
        <v>3</v>
      </c>
      <c r="AN402" s="2" t="str">
        <f>IFERROR(__xludf.DUMMYFUNCTION("""COMPUTED_VALUE"""),"RCEF 23-09-21 Rebidding")</f>
        <v>RCEF 23-09-21 Rebidding</v>
      </c>
      <c r="AO402" s="2">
        <f>IFERROR(__xludf.DUMMYFUNCTION("""COMPUTED_VALUE"""),3.0)</f>
        <v>3</v>
      </c>
      <c r="AP402" s="2"/>
      <c r="AQ402" s="2"/>
      <c r="AR402" s="2"/>
      <c r="AS402" s="2"/>
      <c r="AT402" s="2"/>
      <c r="AU402" s="2"/>
      <c r="AV402" s="2"/>
      <c r="AW402" s="2"/>
      <c r="AX402" s="2"/>
      <c r="AY402" s="2"/>
      <c r="AZ402" s="2"/>
      <c r="BA402" s="2"/>
      <c r="BB402" s="2"/>
    </row>
    <row r="403">
      <c r="A403" s="2">
        <f>IFERROR(__xludf.DUMMYFUNCTION("""COMPUTED_VALUE"""),399.0)</f>
        <v>399</v>
      </c>
      <c r="B403" s="2" t="str">
        <f>IFERROR(__xludf.DUMMYFUNCTION("""COMPUTED_VALUE"""),"COMPLETED")</f>
        <v>COMPLETED</v>
      </c>
      <c r="C403" s="74">
        <f>IFERROR(__xludf.DUMMYFUNCTION("""COMPUTED_VALUE"""),45520.0)</f>
        <v>45520</v>
      </c>
      <c r="D403" s="71" t="str">
        <f>IFERROR(__xludf.DUMMYFUNCTION("""COMPUTED_VALUE"""),"PANTOC FARMER'S ASSOCIATION")</f>
        <v>PANTOC FARMER'S ASSOCIATION</v>
      </c>
      <c r="E403" s="71" t="str">
        <f>IFERROR(__xludf.DUMMYFUNCTION("""COMPUTED_VALUE"""),"Pantoc, Gabaldon, NUEVA ECIJA")</f>
        <v>Pantoc, Gabaldon, NUEVA ECIJA</v>
      </c>
      <c r="F403" s="2" t="str">
        <f>IFERROR(__xludf.DUMMYFUNCTION("""COMPUTED_VALUE"""),"Victor Dacumos")</f>
        <v>Victor Dacumos</v>
      </c>
      <c r="G403" s="2">
        <f>IFERROR(__xludf.DUMMYFUNCTION("""COMPUTED_VALUE"""),9.569688856E9)</f>
        <v>9569688856</v>
      </c>
      <c r="H403" s="2">
        <f>IFERROR(__xludf.DUMMYFUNCTION("""COMPUTED_VALUE"""),80.9)</f>
        <v>80.9</v>
      </c>
      <c r="I403" s="72" t="str">
        <f>IFERROR(__xludf.DUMMYFUNCTION("""COMPUTED_VALUE"""),"REPAIR - TRACTOR")</f>
        <v>REPAIR - TRACTOR</v>
      </c>
      <c r="J403" s="72" t="str">
        <f>IFERROR(__xludf.DUMMYFUNCTION("""COMPUTED_VALUE"""),"CHECK UP")</f>
        <v>CHECK UP</v>
      </c>
      <c r="K403" s="72" t="str">
        <f>IFERROR(__xludf.DUMMYFUNCTION("""COMPUTED_VALUE"""),"EGT: CHECK UP UNTI AND IMPLEMENTS")</f>
        <v>EGT: CHECK UP UNTI AND IMPLEMENTS</v>
      </c>
      <c r="L403" s="72" t="str">
        <f>IFERROR(__xludf.DUMMYFUNCTION("""COMPUTED_VALUE"""),"EGT: Okay po yung gear oil ng disc plow ,Rotavator  at Yung unit ")</f>
        <v>EGT: Okay po yung gear oil ng disc plow ,Rotavator  at Yung unit </v>
      </c>
      <c r="M403" s="2"/>
      <c r="N403" s="2"/>
      <c r="O403" s="2" t="str">
        <f>IFERROR(__xludf.DUMMYFUNCTION("""COMPUTED_VALUE"""),"N/A")</f>
        <v>N/A</v>
      </c>
      <c r="P403" s="2"/>
      <c r="Q403" s="2"/>
      <c r="R403" s="74">
        <f>IFERROR(__xludf.DUMMYFUNCTION("""COMPUTED_VALUE"""),45520.0)</f>
        <v>45520</v>
      </c>
      <c r="S403" s="2" t="str">
        <f>IFERROR(__xludf.DUMMYFUNCTION("""COMPUTED_VALUE"""),"EGT/DRM")</f>
        <v>EGT/DRM</v>
      </c>
      <c r="T403" s="73" t="str">
        <f>IFERROR(__xludf.DUMMYFUNCTION("""COMPUTED_VALUE""")," N/A ")</f>
        <v>N/A</v>
      </c>
      <c r="U403" s="73" t="str">
        <f>IFERROR(__xludf.DUMMYFUNCTION("""COMPUTED_VALUE""")," NO CHARGE ")</f>
        <v>NO CHARGE</v>
      </c>
      <c r="V403" s="2"/>
      <c r="W403" s="2" t="str">
        <f>IFERROR(__xludf.DUMMYFUNCTION("""COMPUTED_VALUE"""),"N/A")</f>
        <v>N/A</v>
      </c>
      <c r="X403" s="2" t="str">
        <f>IFERROR(__xludf.DUMMYFUNCTION("""COMPUTED_VALUE"""),"N/A")</f>
        <v>N/A</v>
      </c>
      <c r="Y403" s="2"/>
      <c r="Z403" s="2"/>
      <c r="AA403" s="2"/>
      <c r="AB403" s="2"/>
      <c r="AC403" s="2"/>
      <c r="AD403" s="2"/>
      <c r="AE403" s="2"/>
      <c r="AF403" s="2"/>
      <c r="AG403" s="2"/>
      <c r="AH403" s="2"/>
      <c r="AI403" s="2"/>
      <c r="AJ403" s="2" t="str">
        <f>IFERROR(__xludf.DUMMYFUNCTION("""COMPUTED_VALUE"""),"Pantoc")</f>
        <v>Pantoc</v>
      </c>
      <c r="AK403" s="2" t="str">
        <f>IFERROR(__xludf.DUMMYFUNCTION("""COMPUTED_VALUE"""),"Gabaldon")</f>
        <v>Gabaldon</v>
      </c>
      <c r="AL403" s="2" t="str">
        <f>IFERROR(__xludf.DUMMYFUNCTION("""COMPUTED_VALUE"""),"Nueva Ecija")</f>
        <v>Nueva Ecija</v>
      </c>
      <c r="AM403" s="2">
        <f>IFERROR(__xludf.DUMMYFUNCTION("""COMPUTED_VALUE"""),3.0)</f>
        <v>3</v>
      </c>
      <c r="AN403" s="2" t="str">
        <f>IFERROR(__xludf.DUMMYFUNCTION("""COMPUTED_VALUE"""),"RCEF 23-09-21 Rebidding")</f>
        <v>RCEF 23-09-21 Rebidding</v>
      </c>
      <c r="AO403" s="2">
        <f>IFERROR(__xludf.DUMMYFUNCTION("""COMPUTED_VALUE"""),3.0)</f>
        <v>3</v>
      </c>
      <c r="AP403" s="2"/>
      <c r="AQ403" s="2"/>
      <c r="AR403" s="2"/>
      <c r="AS403" s="2"/>
      <c r="AT403" s="2"/>
      <c r="AU403" s="2"/>
      <c r="AV403" s="2"/>
      <c r="AW403" s="2"/>
      <c r="AX403" s="2"/>
      <c r="AY403" s="2"/>
      <c r="AZ403" s="2"/>
      <c r="BA403" s="2"/>
      <c r="BB403" s="2"/>
    </row>
    <row r="404">
      <c r="A404" s="2">
        <f>IFERROR(__xludf.DUMMYFUNCTION("""COMPUTED_VALUE"""),400.0)</f>
        <v>400</v>
      </c>
      <c r="B404" s="2" t="str">
        <f>IFERROR(__xludf.DUMMYFUNCTION("""COMPUTED_VALUE"""),"COMPLETED")</f>
        <v>COMPLETED</v>
      </c>
      <c r="C404" s="74">
        <f>IFERROR(__xludf.DUMMYFUNCTION("""COMPUTED_VALUE"""),45520.0)</f>
        <v>45520</v>
      </c>
      <c r="D404" s="71" t="str">
        <f>IFERROR(__xludf.DUMMYFUNCTION("""COMPUTED_VALUE"""),"SAMAHANG MAGSASAKA NA MAY IISANG LAYUNIN AT ADHIKAIN")</f>
        <v>SAMAHANG MAGSASAKA NA MAY IISANG LAYUNIN AT ADHIKAIN</v>
      </c>
      <c r="E404" s="71" t="str">
        <f>IFERROR(__xludf.DUMMYFUNCTION("""COMPUTED_VALUE"""),"Bugnan, Gabaldon, NUEVA ECIJA")</f>
        <v>Bugnan, Gabaldon, NUEVA ECIJA</v>
      </c>
      <c r="F404" s="2" t="str">
        <f>IFERROR(__xludf.DUMMYFUNCTION("""COMPUTED_VALUE"""),"Jocelyn Arunang")</f>
        <v>Jocelyn Arunang</v>
      </c>
      <c r="G404" s="2" t="str">
        <f>IFERROR(__xludf.DUMMYFUNCTION("""COMPUTED_VALUE"""),"0955 995 7862")</f>
        <v>0955 995 7862</v>
      </c>
      <c r="H404" s="2">
        <f>IFERROR(__xludf.DUMMYFUNCTION("""COMPUTED_VALUE"""),65.5)</f>
        <v>65.5</v>
      </c>
      <c r="I404" s="72" t="str">
        <f>IFERROR(__xludf.DUMMYFUNCTION("""COMPUTED_VALUE"""),"REPAIR - TRACTOR")</f>
        <v>REPAIR - TRACTOR</v>
      </c>
      <c r="J404" s="72" t="str">
        <f>IFERROR(__xludf.DUMMYFUNCTION("""COMPUTED_VALUE"""),"CHECK UP")</f>
        <v>CHECK UP</v>
      </c>
      <c r="K404" s="72" t="str">
        <f>IFERROR(__xludf.DUMMYFUNCTION("""COMPUTED_VALUE"""),"EGT: CHECK UP UNTI AND IMPLEMENTS")</f>
        <v>EGT: CHECK UP UNTI AND IMPLEMENTS</v>
      </c>
      <c r="L404" s="72" t="str">
        <f>IFERROR(__xludf.DUMMYFUNCTION("""COMPUTED_VALUE"""),"EGT: Okay po yung gear oil ng disc plow ,Rotavator  at Yung unit ")</f>
        <v>EGT: Okay po yung gear oil ng disc plow ,Rotavator  at Yung unit </v>
      </c>
      <c r="M404" s="2"/>
      <c r="N404" s="2"/>
      <c r="O404" s="2" t="str">
        <f>IFERROR(__xludf.DUMMYFUNCTION("""COMPUTED_VALUE"""),"N/A")</f>
        <v>N/A</v>
      </c>
      <c r="P404" s="2"/>
      <c r="Q404" s="2"/>
      <c r="R404" s="74">
        <f>IFERROR(__xludf.DUMMYFUNCTION("""COMPUTED_VALUE"""),45520.0)</f>
        <v>45520</v>
      </c>
      <c r="S404" s="2" t="str">
        <f>IFERROR(__xludf.DUMMYFUNCTION("""COMPUTED_VALUE"""),"EGT/DRM")</f>
        <v>EGT/DRM</v>
      </c>
      <c r="T404" s="73" t="str">
        <f>IFERROR(__xludf.DUMMYFUNCTION("""COMPUTED_VALUE""")," N/A ")</f>
        <v>N/A</v>
      </c>
      <c r="U404" s="73" t="str">
        <f>IFERROR(__xludf.DUMMYFUNCTION("""COMPUTED_VALUE""")," NO CHARGE ")</f>
        <v>NO CHARGE</v>
      </c>
      <c r="V404" s="2"/>
      <c r="W404" s="2" t="str">
        <f>IFERROR(__xludf.DUMMYFUNCTION("""COMPUTED_VALUE"""),"N/A")</f>
        <v>N/A</v>
      </c>
      <c r="X404" s="2" t="str">
        <f>IFERROR(__xludf.DUMMYFUNCTION("""COMPUTED_VALUE"""),"N/A")</f>
        <v>N/A</v>
      </c>
      <c r="Y404" s="2"/>
      <c r="Z404" s="2"/>
      <c r="AA404" s="2"/>
      <c r="AB404" s="2"/>
      <c r="AC404" s="2"/>
      <c r="AD404" s="2"/>
      <c r="AE404" s="2"/>
      <c r="AF404" s="2"/>
      <c r="AG404" s="2"/>
      <c r="AH404" s="2"/>
      <c r="AI404" s="2"/>
      <c r="AJ404" s="2" t="str">
        <f>IFERROR(__xludf.DUMMYFUNCTION("""COMPUTED_VALUE"""),"Bugnan")</f>
        <v>Bugnan</v>
      </c>
      <c r="AK404" s="2" t="str">
        <f>IFERROR(__xludf.DUMMYFUNCTION("""COMPUTED_VALUE"""),"Gabaldon")</f>
        <v>Gabaldon</v>
      </c>
      <c r="AL404" s="2" t="str">
        <f>IFERROR(__xludf.DUMMYFUNCTION("""COMPUTED_VALUE"""),"Nueva Ecija")</f>
        <v>Nueva Ecija</v>
      </c>
      <c r="AM404" s="2">
        <f>IFERROR(__xludf.DUMMYFUNCTION("""COMPUTED_VALUE"""),3.0)</f>
        <v>3</v>
      </c>
      <c r="AN404" s="2" t="str">
        <f>IFERROR(__xludf.DUMMYFUNCTION("""COMPUTED_VALUE"""),"RCEF 23-09-21 Rebidding")</f>
        <v>RCEF 23-09-21 Rebidding</v>
      </c>
      <c r="AO404" s="2">
        <f>IFERROR(__xludf.DUMMYFUNCTION("""COMPUTED_VALUE"""),3.0)</f>
        <v>3</v>
      </c>
      <c r="AP404" s="2"/>
      <c r="AQ404" s="2"/>
      <c r="AR404" s="2"/>
      <c r="AS404" s="2"/>
      <c r="AT404" s="2"/>
      <c r="AU404" s="2"/>
      <c r="AV404" s="2"/>
      <c r="AW404" s="2"/>
      <c r="AX404" s="2"/>
      <c r="AY404" s="2"/>
      <c r="AZ404" s="2"/>
      <c r="BA404" s="2"/>
      <c r="BB404" s="2"/>
    </row>
    <row r="405">
      <c r="A405" s="2">
        <f>IFERROR(__xludf.DUMMYFUNCTION("""COMPUTED_VALUE"""),401.0)</f>
        <v>401</v>
      </c>
      <c r="B405" s="2" t="str">
        <f>IFERROR(__xludf.DUMMYFUNCTION("""COMPUTED_VALUE"""),"COMPLETED")</f>
        <v>COMPLETED</v>
      </c>
      <c r="C405" s="74">
        <f>IFERROR(__xludf.DUMMYFUNCTION("""COMPUTED_VALUE"""),45520.0)</f>
        <v>45520</v>
      </c>
      <c r="D405" s="71" t="str">
        <f>IFERROR(__xludf.DUMMYFUNCTION("""COMPUTED_VALUE"""),"Casa Real Primary Multipurpose Cooperative")</f>
        <v>Casa Real Primary Multipurpose Cooperative</v>
      </c>
      <c r="E405" s="71" t="str">
        <f>IFERROR(__xludf.DUMMYFUNCTION("""COMPUTED_VALUE"""),"San Isidro, Laur, NUEVA ECIJA")</f>
        <v>San Isidro, Laur, NUEVA ECIJA</v>
      </c>
      <c r="F405" s="2" t="str">
        <f>IFERROR(__xludf.DUMMYFUNCTION("""COMPUTED_VALUE"""),"Romeo Ambog ")</f>
        <v>Romeo Ambog </v>
      </c>
      <c r="G405" s="2">
        <f>IFERROR(__xludf.DUMMYFUNCTION("""COMPUTED_VALUE"""),9.184127469E9)</f>
        <v>9184127469</v>
      </c>
      <c r="H405" s="2">
        <f>IFERROR(__xludf.DUMMYFUNCTION("""COMPUTED_VALUE"""),301.9)</f>
        <v>301.9</v>
      </c>
      <c r="I405" s="72" t="str">
        <f>IFERROR(__xludf.DUMMYFUNCTION("""COMPUTED_VALUE"""),"REPAIR - TRACTOR")</f>
        <v>REPAIR - TRACTOR</v>
      </c>
      <c r="J405" s="72" t="str">
        <f>IFERROR(__xludf.DUMMYFUNCTION("""COMPUTED_VALUE"""),"CHECK UP")</f>
        <v>CHECK UP</v>
      </c>
      <c r="K405" s="72" t="str">
        <f>IFERROR(__xludf.DUMMYFUNCTION("""COMPUTED_VALUE"""),"EGT: CHECK UP UNTI AND IMPLEMENTS")</f>
        <v>EGT: CHECK UP UNTI AND IMPLEMENTS</v>
      </c>
      <c r="L405" s="72" t="str">
        <f>IFERROR(__xludf.DUMMYFUNCTION("""COMPUTED_VALUE"""),"EGT: Okay po yung gear oil ng disc plow ,Rotavator  at Yung unit ")</f>
        <v>EGT: Okay po yung gear oil ng disc plow ,Rotavator  at Yung unit </v>
      </c>
      <c r="M405" s="2"/>
      <c r="N405" s="2"/>
      <c r="O405" s="2" t="str">
        <f>IFERROR(__xludf.DUMMYFUNCTION("""COMPUTED_VALUE"""),"N/A")</f>
        <v>N/A</v>
      </c>
      <c r="P405" s="2"/>
      <c r="Q405" s="2"/>
      <c r="R405" s="74">
        <f>IFERROR(__xludf.DUMMYFUNCTION("""COMPUTED_VALUE"""),45520.0)</f>
        <v>45520</v>
      </c>
      <c r="S405" s="2" t="str">
        <f>IFERROR(__xludf.DUMMYFUNCTION("""COMPUTED_VALUE"""),"EGT/DRM")</f>
        <v>EGT/DRM</v>
      </c>
      <c r="T405" s="73" t="str">
        <f>IFERROR(__xludf.DUMMYFUNCTION("""COMPUTED_VALUE""")," N/A ")</f>
        <v>N/A</v>
      </c>
      <c r="U405" s="73" t="str">
        <f>IFERROR(__xludf.DUMMYFUNCTION("""COMPUTED_VALUE""")," NO CHARGE ")</f>
        <v>NO CHARGE</v>
      </c>
      <c r="V405" s="2"/>
      <c r="W405" s="2" t="str">
        <f>IFERROR(__xludf.DUMMYFUNCTION("""COMPUTED_VALUE"""),"N/A")</f>
        <v>N/A</v>
      </c>
      <c r="X405" s="2" t="str">
        <f>IFERROR(__xludf.DUMMYFUNCTION("""COMPUTED_VALUE"""),"N/A")</f>
        <v>N/A</v>
      </c>
      <c r="Y405" s="2"/>
      <c r="Z405" s="2"/>
      <c r="AA405" s="2"/>
      <c r="AB405" s="2"/>
      <c r="AC405" s="2"/>
      <c r="AD405" s="2"/>
      <c r="AE405" s="2"/>
      <c r="AF405" s="2"/>
      <c r="AG405" s="2"/>
      <c r="AH405" s="2"/>
      <c r="AI405" s="2"/>
      <c r="AJ405" s="2" t="str">
        <f>IFERROR(__xludf.DUMMYFUNCTION("""COMPUTED_VALUE"""),"San Isidro")</f>
        <v>San Isidro</v>
      </c>
      <c r="AK405" s="2" t="str">
        <f>IFERROR(__xludf.DUMMYFUNCTION("""COMPUTED_VALUE"""),"Laur")</f>
        <v>Laur</v>
      </c>
      <c r="AL405" s="2" t="str">
        <f>IFERROR(__xludf.DUMMYFUNCTION("""COMPUTED_VALUE"""),"Nueva Ecija")</f>
        <v>Nueva Ecija</v>
      </c>
      <c r="AM405" s="2">
        <f>IFERROR(__xludf.DUMMYFUNCTION("""COMPUTED_VALUE"""),3.0)</f>
        <v>3</v>
      </c>
      <c r="AN405" s="2" t="str">
        <f>IFERROR(__xludf.DUMMYFUNCTION("""COMPUTED_VALUE"""),"RCEF 23-09-21 Rebidding")</f>
        <v>RCEF 23-09-21 Rebidding</v>
      </c>
      <c r="AO405" s="2">
        <f>IFERROR(__xludf.DUMMYFUNCTION("""COMPUTED_VALUE"""),3.0)</f>
        <v>3</v>
      </c>
      <c r="AP405" s="2"/>
      <c r="AQ405" s="2"/>
      <c r="AR405" s="2"/>
      <c r="AS405" s="2"/>
      <c r="AT405" s="2"/>
      <c r="AU405" s="2"/>
      <c r="AV405" s="2"/>
      <c r="AW405" s="2"/>
      <c r="AX405" s="2"/>
      <c r="AY405" s="2"/>
      <c r="AZ405" s="2"/>
      <c r="BA405" s="2"/>
      <c r="BB405" s="2"/>
    </row>
    <row r="406">
      <c r="A406" s="2">
        <f>IFERROR(__xludf.DUMMYFUNCTION("""COMPUTED_VALUE"""),402.0)</f>
        <v>402</v>
      </c>
      <c r="B406" s="2" t="str">
        <f>IFERROR(__xludf.DUMMYFUNCTION("""COMPUTED_VALUE"""),"COMPLETED")</f>
        <v>COMPLETED</v>
      </c>
      <c r="C406" s="74">
        <f>IFERROR(__xludf.DUMMYFUNCTION("""COMPUTED_VALUE"""),45520.0)</f>
        <v>45520</v>
      </c>
      <c r="D406" s="71" t="str">
        <f>IFERROR(__xludf.DUMMYFUNCTION("""COMPUTED_VALUE"""),"Casa Real Primary Multipurpose Cooperative")</f>
        <v>Casa Real Primary Multipurpose Cooperative</v>
      </c>
      <c r="E406" s="71" t="str">
        <f>IFERROR(__xludf.DUMMYFUNCTION("""COMPUTED_VALUE"""),"San Isidro, Laur, NUEVA ECIJA")</f>
        <v>San Isidro, Laur, NUEVA ECIJA</v>
      </c>
      <c r="F406" s="2" t="str">
        <f>IFERROR(__xludf.DUMMYFUNCTION("""COMPUTED_VALUE"""),"Romeo Ambog ")</f>
        <v>Romeo Ambog </v>
      </c>
      <c r="G406" s="2">
        <f>IFERROR(__xludf.DUMMYFUNCTION("""COMPUTED_VALUE"""),9.184127469E9)</f>
        <v>9184127469</v>
      </c>
      <c r="H406" s="2">
        <f>IFERROR(__xludf.DUMMYFUNCTION("""COMPUTED_VALUE"""),301.9)</f>
        <v>301.9</v>
      </c>
      <c r="I406" s="72" t="str">
        <f>IFERROR(__xludf.DUMMYFUNCTION("""COMPUTED_VALUE"""),"PMS")</f>
        <v>PMS</v>
      </c>
      <c r="J406" s="72" t="str">
        <f>IFERROR(__xludf.DUMMYFUNCTION("""COMPUTED_VALUE"""),"PMS")</f>
        <v>PMS</v>
      </c>
      <c r="K406" s="72" t="str">
        <f>IFERROR(__xludf.DUMMYFUNCTION("""COMPUTED_VALUE"""),"EGT: UPON CHECK UP, Hndi pa po namin na pms kasi wala po yung pangulo nila 300 hours na po mahigit hndi pa po nappms 
JHP: 8/29/24: HINDI MATAWAGAN
JDP: 8/30/24: Wala pa daw po silang budget pang PMS ")</f>
        <v>EGT: UPON CHECK UP, Hndi pa po namin na pms kasi wala po yung pangulo nila 300 hours na po mahigit hndi pa po nappms 
JHP: 8/29/24: HINDI MATAWAGAN
JDP: 8/30/24: Wala pa daw po silang budget pang PMS </v>
      </c>
      <c r="L406" s="72" t="str">
        <f>IFERROR(__xludf.DUMMYFUNCTION("""COMPUTED_VALUE"""),"CANCELLED")</f>
        <v>CANCELLED</v>
      </c>
      <c r="M406" s="2"/>
      <c r="N406" s="2" t="str">
        <f>IFERROR(__xludf.DUMMYFUNCTION("""COMPUTED_VALUE"""),"CANCELLED")</f>
        <v>CANCELLED</v>
      </c>
      <c r="O406" s="2" t="str">
        <f>IFERROR(__xludf.DUMMYFUNCTION("""COMPUTED_VALUE"""),"N/A")</f>
        <v>N/A</v>
      </c>
      <c r="P406" s="2"/>
      <c r="Q406" s="2"/>
      <c r="R406" s="74">
        <f>IFERROR(__xludf.DUMMYFUNCTION("""COMPUTED_VALUE"""),45557.0)</f>
        <v>45557</v>
      </c>
      <c r="S406" s="2" t="str">
        <f>IFERROR(__xludf.DUMMYFUNCTION("""COMPUTED_VALUE"""),"N/A")</f>
        <v>N/A</v>
      </c>
      <c r="T406" s="73" t="str">
        <f>IFERROR(__xludf.DUMMYFUNCTION("""COMPUTED_VALUE""")," N/A ")</f>
        <v>N/A</v>
      </c>
      <c r="U406" s="73" t="str">
        <f>IFERROR(__xludf.DUMMYFUNCTION("""COMPUTED_VALUE""")," NO CHARGE ")</f>
        <v>NO CHARGE</v>
      </c>
      <c r="V406" s="2"/>
      <c r="W406" s="2" t="str">
        <f>IFERROR(__xludf.DUMMYFUNCTION("""COMPUTED_VALUE"""),"N/A")</f>
        <v>N/A</v>
      </c>
      <c r="X406" s="2" t="str">
        <f>IFERROR(__xludf.DUMMYFUNCTION("""COMPUTED_VALUE"""),"N/A")</f>
        <v>N/A</v>
      </c>
      <c r="Y406" s="2" t="str">
        <f>IFERROR(__xludf.DUMMYFUNCTION("""COMPUTED_VALUE"""),"PMS")</f>
        <v>PMS</v>
      </c>
      <c r="Z406" s="2"/>
      <c r="AA406" s="2"/>
      <c r="AB406" s="2"/>
      <c r="AC406" s="2"/>
      <c r="AD406" s="2"/>
      <c r="AE406" s="2"/>
      <c r="AF406" s="2"/>
      <c r="AG406" s="2"/>
      <c r="AH406" s="2"/>
      <c r="AI406" s="2"/>
      <c r="AJ406" s="2" t="str">
        <f>IFERROR(__xludf.DUMMYFUNCTION("""COMPUTED_VALUE"""),"San Isidro")</f>
        <v>San Isidro</v>
      </c>
      <c r="AK406" s="2" t="str">
        <f>IFERROR(__xludf.DUMMYFUNCTION("""COMPUTED_VALUE"""),"Laur")</f>
        <v>Laur</v>
      </c>
      <c r="AL406" s="2" t="str">
        <f>IFERROR(__xludf.DUMMYFUNCTION("""COMPUTED_VALUE"""),"Nueva Ecija")</f>
        <v>Nueva Ecija</v>
      </c>
      <c r="AM406" s="2">
        <f>IFERROR(__xludf.DUMMYFUNCTION("""COMPUTED_VALUE"""),3.0)</f>
        <v>3</v>
      </c>
      <c r="AN406" s="2" t="str">
        <f>IFERROR(__xludf.DUMMYFUNCTION("""COMPUTED_VALUE"""),"RCEF 23-09-21 Rebidding")</f>
        <v>RCEF 23-09-21 Rebidding</v>
      </c>
      <c r="AO406" s="2">
        <f>IFERROR(__xludf.DUMMYFUNCTION("""COMPUTED_VALUE"""),3.0)</f>
        <v>3</v>
      </c>
      <c r="AP406" s="2"/>
      <c r="AQ406" s="2"/>
      <c r="AR406" s="2"/>
      <c r="AS406" s="2"/>
      <c r="AT406" s="2"/>
      <c r="AU406" s="2"/>
      <c r="AV406" s="2"/>
      <c r="AW406" s="2"/>
      <c r="AX406" s="2"/>
      <c r="AY406" s="2"/>
      <c r="AZ406" s="2"/>
      <c r="BA406" s="2"/>
      <c r="BB406" s="2"/>
    </row>
    <row r="407">
      <c r="A407" s="2">
        <f>IFERROR(__xludf.DUMMYFUNCTION("""COMPUTED_VALUE"""),403.0)</f>
        <v>403</v>
      </c>
      <c r="B407" s="2" t="str">
        <f>IFERROR(__xludf.DUMMYFUNCTION("""COMPUTED_VALUE"""),"COMPLETED")</f>
        <v>COMPLETED</v>
      </c>
      <c r="C407" s="74">
        <f>IFERROR(__xludf.DUMMYFUNCTION("""COMPUTED_VALUE"""),45522.0)</f>
        <v>45522</v>
      </c>
      <c r="D407" s="71" t="str">
        <f>IFERROR(__xludf.DUMMYFUNCTION("""COMPUTED_VALUE"""),"POBLACION-NEW DAGUPAN FARMER-IRRIGATORS' ASSOCIATION (PoNDAFIA) INC.")</f>
        <v>POBLACION-NEW DAGUPAN FARMER-IRRIGATORS' ASSOCIATION (PoNDAFIA) INC.</v>
      </c>
      <c r="E407" s="71" t="str">
        <f>IFERROR(__xludf.DUMMYFUNCTION("""COMPUTED_VALUE"""),"POBLACION, CALinTAAN, OCCIDENTAL MINDORO")</f>
        <v>POBLACION, CALinTAAN, OCCIDENTAL MINDORO</v>
      </c>
      <c r="F407" s="2" t="str">
        <f>IFERROR(__xludf.DUMMYFUNCTION("""COMPUTED_VALUE"""),"Manuel Francisco")</f>
        <v>Manuel Francisco</v>
      </c>
      <c r="G407" s="2">
        <f>IFERROR(__xludf.DUMMYFUNCTION("""COMPUTED_VALUE"""),9.653476498E9)</f>
        <v>9653476498</v>
      </c>
      <c r="H407" s="2">
        <f>IFERROR(__xludf.DUMMYFUNCTION("""COMPUTED_VALUE"""),459.0)</f>
        <v>459</v>
      </c>
      <c r="I407" s="72"/>
      <c r="J407" s="72"/>
      <c r="K407" s="72" t="str">
        <f>IFERROR(__xludf.DUMMYFUNCTION("""COMPUTED_VALUE"""),"LBA: Pacheck na din daw ng PT Pump sabi ni Mr.Park gawa hindi tumutunog")</f>
        <v>LBA: Pacheck na din daw ng PT Pump sabi ni Mr.Park gawa hindi tumutunog</v>
      </c>
      <c r="L407" s="72" t="str">
        <f>IFERROR(__xludf.DUMMYFUNCTION("""COMPUTED_VALUE"""),"RCG: OK LANG YUNG GANUN, BASTA NAANDAR PADIN ANG UNIT")</f>
        <v>RCG: OK LANG YUNG GANUN, BASTA NAANDAR PADIN ANG UNIT</v>
      </c>
      <c r="M407" s="2"/>
      <c r="N407" s="2"/>
      <c r="O407" s="2" t="str">
        <f>IFERROR(__xludf.DUMMYFUNCTION("""COMPUTED_VALUE"""),"N/A")</f>
        <v>N/A</v>
      </c>
      <c r="P407" s="2"/>
      <c r="Q407" s="2"/>
      <c r="R407" s="74">
        <f>IFERROR(__xludf.DUMMYFUNCTION("""COMPUTED_VALUE"""),45559.0)</f>
        <v>45559</v>
      </c>
      <c r="S407" s="2" t="str">
        <f>IFERROR(__xludf.DUMMYFUNCTION("""COMPUTED_VALUE"""),"RCG")</f>
        <v>RCG</v>
      </c>
      <c r="T407" s="73" t="str">
        <f>IFERROR(__xludf.DUMMYFUNCTION("""COMPUTED_VALUE""")," N/A ")</f>
        <v>N/A</v>
      </c>
      <c r="U407" s="73" t="str">
        <f>IFERROR(__xludf.DUMMYFUNCTION("""COMPUTED_VALUE""")," NO CHARGE ")</f>
        <v>NO CHARGE</v>
      </c>
      <c r="V407" s="2"/>
      <c r="W407" s="2" t="str">
        <f>IFERROR(__xludf.DUMMYFUNCTION("""COMPUTED_VALUE"""),"N/A")</f>
        <v>N/A</v>
      </c>
      <c r="X407" s="2" t="str">
        <f>IFERROR(__xludf.DUMMYFUNCTION("""COMPUTED_VALUE"""),"N/A")</f>
        <v>N/A</v>
      </c>
      <c r="Y407" s="2"/>
      <c r="Z407" s="2"/>
      <c r="AA407" s="2"/>
      <c r="AB407" s="2"/>
      <c r="AC407" s="2"/>
      <c r="AD407" s="2"/>
      <c r="AE407" s="2"/>
      <c r="AF407" s="2"/>
      <c r="AG407" s="2"/>
      <c r="AH407" s="2"/>
      <c r="AI407" s="2"/>
      <c r="AJ407" s="2" t="str">
        <f>IFERROR(__xludf.DUMMYFUNCTION("""COMPUTED_VALUE"""),"Poblacion")</f>
        <v>Poblacion</v>
      </c>
      <c r="AK407" s="2" t="str">
        <f>IFERROR(__xludf.DUMMYFUNCTION("""COMPUTED_VALUE"""),"Calintaan")</f>
        <v>Calintaan</v>
      </c>
      <c r="AL407" s="2" t="str">
        <f>IFERROR(__xludf.DUMMYFUNCTION("""COMPUTED_VALUE"""),"Occidental Mindoro")</f>
        <v>Occidental Mindoro</v>
      </c>
      <c r="AM407" s="2" t="str">
        <f>IFERROR(__xludf.DUMMYFUNCTION("""COMPUTED_VALUE"""),"4B")</f>
        <v>4B</v>
      </c>
      <c r="AN407" s="2" t="str">
        <f>IFERROR(__xludf.DUMMYFUNCTION("""COMPUTED_VALUE"""),"RCEF 23-08-20 Rebidding")</f>
        <v>RCEF 23-08-20 Rebidding</v>
      </c>
      <c r="AO407" s="2">
        <f>IFERROR(__xludf.DUMMYFUNCTION("""COMPUTED_VALUE"""),1.0)</f>
        <v>1</v>
      </c>
      <c r="AP407" s="2"/>
      <c r="AQ407" s="2"/>
      <c r="AR407" s="2"/>
      <c r="AS407" s="2"/>
      <c r="AT407" s="2"/>
      <c r="AU407" s="2"/>
      <c r="AV407" s="2"/>
      <c r="AW407" s="2"/>
      <c r="AX407" s="2"/>
      <c r="AY407" s="2"/>
      <c r="AZ407" s="2"/>
      <c r="BA407" s="2"/>
      <c r="BB407" s="2"/>
    </row>
    <row r="408">
      <c r="A408" s="2">
        <f>IFERROR(__xludf.DUMMYFUNCTION("""COMPUTED_VALUE"""),404.0)</f>
        <v>404</v>
      </c>
      <c r="B408" s="2" t="str">
        <f>IFERROR(__xludf.DUMMYFUNCTION("""COMPUTED_VALUE"""),"COMPLETED")</f>
        <v>COMPLETED</v>
      </c>
      <c r="C408" s="74">
        <f>IFERROR(__xludf.DUMMYFUNCTION("""COMPUTED_VALUE"""),45523.0)</f>
        <v>45523</v>
      </c>
      <c r="D408" s="71" t="str">
        <f>IFERROR(__xludf.DUMMYFUNCTION("""COMPUTED_VALUE"""),"LIOZON FISHERFOLKS AND FARMERS' ASSOCIATION")</f>
        <v>LIOZON FISHERFOLKS AND FARMERS' ASSOCIATION</v>
      </c>
      <c r="E408" s="71" t="str">
        <f>IFERROR(__xludf.DUMMYFUNCTION("""COMPUTED_VALUE"""),"Liozon, Palauig, ZAMBALES")</f>
        <v>Liozon, Palauig, ZAMBALES</v>
      </c>
      <c r="F408" s="2" t="str">
        <f>IFERROR(__xludf.DUMMYFUNCTION("""COMPUTED_VALUE"""),"RENE A. ALVES")</f>
        <v>RENE A. ALVES</v>
      </c>
      <c r="G408" s="2">
        <f>IFERROR(__xludf.DUMMYFUNCTION("""COMPUTED_VALUE"""),9.502454865E9)</f>
        <v>9502454865</v>
      </c>
      <c r="H408" s="2">
        <f>IFERROR(__xludf.DUMMYFUNCTION("""COMPUTED_VALUE"""),318.9)</f>
        <v>318.9</v>
      </c>
      <c r="I408" s="72" t="str">
        <f>IFERROR(__xludf.DUMMYFUNCTION("""COMPUTED_VALUE"""),"REPAIR - TRACTOR")</f>
        <v>REPAIR - TRACTOR</v>
      </c>
      <c r="J408" s="72" t="str">
        <f>IFERROR(__xludf.DUMMYFUNCTION("""COMPUTED_VALUE"""),"Engine - Overhaul / Front Axle - Leaking")</f>
        <v>Engine - Overhaul / Front Axle - Leaking</v>
      </c>
      <c r="K408" s="72" t="str">
        <f>IFERROR(__xludf.DUMMYFUNCTION("""COMPUTED_VALUE"""),"EGT:May tagas po sa harap ng gulong tapos tumakaw daw po sa tubig yung radiator 
DSD: 8/27/24: MALAKAS ANG TAGAS NG RADIATOR KAHIT NAKA GARAHE, MAY TAGAS NADIN SA HARAPANG GULONG,
JDP: 8/28/24: 324.3 HRS: nagbabawas po ng tubig at langis ..bumubulwak di"&amp;"n po ng tubig sa radiator gasgas din po yung bore number 3 ng cylinder block, same case po nung unang nangyare sa unit nila, defective cylinder block po need po ng overhaul or engine block replacement
PARTS NEEDED: REFACE CYLINDER HEAD, CYLINDER BLOCK, CY"&amp;"LINDER HEAD GASKET, 8 VALVE SEAL, 4 PISTON RING, 4 PISTON ")</f>
        <v>EGT:May tagas po sa harap ng gulong tapos tumakaw daw po sa tubig yung radiator 
DSD: 8/27/24: MALAKAS ANG TAGAS NG RADIATOR KAHIT NAKA GARAHE, MAY TAGAS NADIN SA HARAPANG GULONG,
JDP: 8/28/24: 324.3 HRS: nagbabawas po ng tubig at langis ..bumubulwak din po ng tubig sa radiator gasgas din po yung bore number 3 ng cylinder block, same case po nung unang nangyare sa unit nila, defective cylinder block po need po ng overhaul or engine block replacement
PARTS NEEDED: REFACE CYLINDER HEAD, CYLINDER BLOCK, CYLINDER HEAD GASKET, 8 VALVE SEAL, 4 PISTON RING, 4 PISTON </v>
      </c>
      <c r="L408" s="72" t="str">
        <f>IFERROR(__xludf.DUMMYFUNCTION("""COMPUTED_VALUE"""),"EGT: DEFECTIVE DIESEL ENGINE AND FRONT AXLE OIL SEAL, GENERAL PMS
EGT: REPLACED DIESEL ENGINE, FRONT AXLE OIL SEAL, AND CONDUCT GENERAL PMS")</f>
        <v>EGT: DEFECTIVE DIESEL ENGINE AND FRONT AXLE OIL SEAL, GENERAL PMS
EGT: REPLACED DIESEL ENGINE, FRONT AXLE OIL SEAL, AND CONDUCT GENERAL PMS</v>
      </c>
      <c r="M408" s="2"/>
      <c r="N408" s="2" t="str">
        <f>IFERROR(__xludf.DUMMYFUNCTION("""COMPUTED_VALUE"""),"PARTS: 
FRONT AXLE OIL SEAL, 
HYDRAULIC FILTER, 
OIL FILTER,  
DIESEL ENGINE")</f>
        <v>PARTS: 
FRONT AXLE OIL SEAL, 
HYDRAULIC FILTER, 
OIL FILTER,  
DIESEL ENGINE</v>
      </c>
      <c r="O408" s="2">
        <f>IFERROR(__xludf.DUMMYFUNCTION("""COMPUTED_VALUE"""),1336.0)</f>
        <v>1336</v>
      </c>
      <c r="P408" s="2"/>
      <c r="Q408" s="2" t="str">
        <f>IFERROR(__xludf.DUMMYFUNCTION("""COMPUTED_VALUE"""),"Y")</f>
        <v>Y</v>
      </c>
      <c r="R408" s="74">
        <f>IFERROR(__xludf.DUMMYFUNCTION("""COMPUTED_VALUE"""),45672.0)</f>
        <v>45672</v>
      </c>
      <c r="S408" s="2" t="str">
        <f>IFERROR(__xludf.DUMMYFUNCTION("""COMPUTED_VALUE"""),"EGT/DRM")</f>
        <v>EGT/DRM</v>
      </c>
      <c r="T408" s="73">
        <f>IFERROR(__xludf.DUMMYFUNCTION("""COMPUTED_VALUE"""),7661.0)</f>
        <v>7661</v>
      </c>
      <c r="U408" s="73" t="str">
        <f>IFERROR(__xludf.DUMMYFUNCTION("""COMPUTED_VALUE""")," FOR REMIT ")</f>
        <v>FOR REMIT</v>
      </c>
      <c r="V408" s="2"/>
      <c r="W408" s="2"/>
      <c r="X408" s="2"/>
      <c r="Y408" s="2"/>
      <c r="Z408" s="2"/>
      <c r="AA408" s="2"/>
      <c r="AB408" s="2" t="str">
        <f>IFERROR(__xludf.DUMMYFUNCTION("""COMPUTED_VALUE"""),"ACCOMPLISHED")</f>
        <v>ACCOMPLISHED</v>
      </c>
      <c r="AC408" s="2" t="str">
        <f>IFERROR(__xludf.DUMMYFUNCTION("""COMPUTED_VALUE"""),"N")</f>
        <v>N</v>
      </c>
      <c r="AD408" s="2"/>
      <c r="AE408" s="2"/>
      <c r="AF408" s="2"/>
      <c r="AG408" s="2"/>
      <c r="AH408" s="2"/>
      <c r="AI408" s="2"/>
      <c r="AJ408" s="2" t="str">
        <f>IFERROR(__xludf.DUMMYFUNCTION("""COMPUTED_VALUE"""),"Liozon")</f>
        <v>Liozon</v>
      </c>
      <c r="AK408" s="2" t="str">
        <f>IFERROR(__xludf.DUMMYFUNCTION("""COMPUTED_VALUE"""),"Palauig")</f>
        <v>Palauig</v>
      </c>
      <c r="AL408" s="2" t="str">
        <f>IFERROR(__xludf.DUMMYFUNCTION("""COMPUTED_VALUE"""),"Zambales")</f>
        <v>Zambales</v>
      </c>
      <c r="AM408" s="2">
        <f>IFERROR(__xludf.DUMMYFUNCTION("""COMPUTED_VALUE"""),3.0)</f>
        <v>3</v>
      </c>
      <c r="AN408" s="2" t="str">
        <f>IFERROR(__xludf.DUMMYFUNCTION("""COMPUTED_VALUE"""),"RCEF 23-09-21 Rebidding")</f>
        <v>RCEF 23-09-21 Rebidding</v>
      </c>
      <c r="AO408" s="2">
        <f>IFERROR(__xludf.DUMMYFUNCTION("""COMPUTED_VALUE"""),3.0)</f>
        <v>3</v>
      </c>
      <c r="AP408" s="2"/>
      <c r="AQ408" s="2"/>
      <c r="AR408" s="2"/>
      <c r="AS408" s="2"/>
      <c r="AT408" s="2"/>
      <c r="AU408" s="2"/>
      <c r="AV408" s="2"/>
      <c r="AW408" s="2"/>
      <c r="AX408" s="2"/>
      <c r="AY408" s="2"/>
      <c r="AZ408" s="2"/>
      <c r="BA408" s="2"/>
      <c r="BB408" s="2"/>
    </row>
    <row r="409">
      <c r="A409" s="2">
        <f>IFERROR(__xludf.DUMMYFUNCTION("""COMPUTED_VALUE"""),405.0)</f>
        <v>405</v>
      </c>
      <c r="B409" s="2" t="str">
        <f>IFERROR(__xludf.DUMMYFUNCTION("""COMPUTED_VALUE"""),"COMPLETED")</f>
        <v>COMPLETED</v>
      </c>
      <c r="C409" s="74">
        <f>IFERROR(__xludf.DUMMYFUNCTION("""COMPUTED_VALUE"""),45523.0)</f>
        <v>45523</v>
      </c>
      <c r="D409" s="71" t="str">
        <f>IFERROR(__xludf.DUMMYFUNCTION("""COMPUTED_VALUE"""),"MAGSASAKA NG BRGY. SANTOR IRRIGATORS ASSOCIATION INC")</f>
        <v>MAGSASAKA NG BRGY. SANTOR IRRIGATORS ASSOCIATION INC</v>
      </c>
      <c r="E409" s="71" t="str">
        <f>IFERROR(__xludf.DUMMYFUNCTION("""COMPUTED_VALUE"""),"Santor, Bongabon, NUEVA ECIJA")</f>
        <v>Santor, Bongabon, NUEVA ECIJA</v>
      </c>
      <c r="F409" s="2" t="str">
        <f>IFERROR(__xludf.DUMMYFUNCTION("""COMPUTED_VALUE"""),"ROLANDO SORIBEN")</f>
        <v>ROLANDO SORIBEN</v>
      </c>
      <c r="G409" s="2">
        <f>IFERROR(__xludf.DUMMYFUNCTION("""COMPUTED_VALUE"""),9.556278587E9)</f>
        <v>9556278587</v>
      </c>
      <c r="H409" s="2">
        <f>IFERROR(__xludf.DUMMYFUNCTION("""COMPUTED_VALUE"""),370.0)</f>
        <v>370</v>
      </c>
      <c r="I409" s="72" t="str">
        <f>IFERROR(__xludf.DUMMYFUNCTION("""COMPUTED_VALUE"""),"REPAIR - TRACTOR")</f>
        <v>REPAIR - TRACTOR</v>
      </c>
      <c r="J409" s="72" t="str">
        <f>IFERROR(__xludf.DUMMYFUNCTION("""COMPUTED_VALUE"""),"Engine - Overhaul")</f>
        <v>Engine - Overhaul</v>
      </c>
      <c r="K409" s="72" t="str">
        <f>IFERROR(__xludf.DUMMYFUNCTION("""COMPUTED_VALUE"""),"MYKEE: UPON CHECK UP WITH TYM, RADIATOR CONCERN, LINISAN MUNA ANG RADIATOR AT COOLANT NA ANG GAGAMITIN,  IF SAME CASE PADIN POSIBLE NANG SA LOOB NG MAKINA ANG PROBLEMA
ACS: 8/21/24: 2nd pms done at yong cylinder block sleeve 2and 3 may gasgas po, need to "&amp;"replace cylinder block or engine at nag palit po kami Ng Head gasket, walang problema ang head.
PARTS NEEDED: CYLINDER BLOCK, 4 PISTON, 4 PISTON RING, 8 VALVE SEAL, ")</f>
        <v>MYKEE: UPON CHECK UP WITH TYM, RADIATOR CONCERN, LINISAN MUNA ANG RADIATOR AT COOLANT NA ANG GAGAMITIN,  IF SAME CASE PADIN POSIBLE NANG SA LOOB NG MAKINA ANG PROBLEMA
ACS: 8/21/24: 2nd pms done at yong cylinder block sleeve 2and 3 may gasgas po, need to replace cylinder block or engine at nag palit po kami Ng Head gasket, walang problema ang head.
PARTS NEEDED: CYLINDER BLOCK, 4 PISTON, 4 PISTON RING, 8 VALVE SEAL, </v>
      </c>
      <c r="L409" s="72" t="str">
        <f>IFERROR(__xludf.DUMMYFUNCTION("""COMPUTED_VALUE"""),"ACS: TOP OVERHAUL THE UNIT")</f>
        <v>ACS: TOP OVERHAUL THE UNIT</v>
      </c>
      <c r="M409" s="2"/>
      <c r="N409" s="2" t="str">
        <f>IFERROR(__xludf.DUMMYFUNCTION("""COMPUTED_VALUE"""),"PARTS USED: 
2 CYLINDER HEAD GASKET, 
4 PISTON, 
4 SETS OF PISTON RING, 
3 CONNECTING ROD ")</f>
        <v>PARTS USED: 
2 CYLINDER HEAD GASKET, 
4 PISTON, 
4 SETS OF PISTON RING, 
3 CONNECTING ROD </v>
      </c>
      <c r="O409" s="2">
        <f>IFERROR(__xludf.DUMMYFUNCTION("""COMPUTED_VALUE"""),1232.0)</f>
        <v>1232</v>
      </c>
      <c r="P409" s="2"/>
      <c r="Q409" s="2" t="str">
        <f>IFERROR(__xludf.DUMMYFUNCTION("""COMPUTED_VALUE"""),"Y")</f>
        <v>Y</v>
      </c>
      <c r="R409" s="74">
        <f>IFERROR(__xludf.DUMMYFUNCTION("""COMPUTED_VALUE"""),45751.0)</f>
        <v>45751</v>
      </c>
      <c r="S409" s="2" t="str">
        <f>IFERROR(__xludf.DUMMYFUNCTION("""COMPUTED_VALUE"""),"ACS/JHP")</f>
        <v>ACS/JHP</v>
      </c>
      <c r="T409" s="73" t="str">
        <f>IFERROR(__xludf.DUMMYFUNCTION("""COMPUTED_VALUE""")," N//A ")</f>
        <v>N//A</v>
      </c>
      <c r="U409" s="73" t="str">
        <f>IFERROR(__xludf.DUMMYFUNCTION("""COMPUTED_VALUE""")," NO CHARGE ")</f>
        <v>NO CHARGE</v>
      </c>
      <c r="V409" s="2"/>
      <c r="W409" s="2" t="str">
        <f>IFERROR(__xludf.DUMMYFUNCTION("""COMPUTED_VALUE"""),"N/A")</f>
        <v>N/A</v>
      </c>
      <c r="X409" s="2" t="str">
        <f>IFERROR(__xludf.DUMMYFUNCTION("""COMPUTED_VALUE"""),"N/A")</f>
        <v>N/A</v>
      </c>
      <c r="Y409" s="2"/>
      <c r="Z409" s="2"/>
      <c r="AA409" s="2" t="str">
        <f>IFERROR(__xludf.DUMMYFUNCTION("""COMPUTED_VALUE"""),"APPROVED")</f>
        <v>APPROVED</v>
      </c>
      <c r="AB409" s="2"/>
      <c r="AC409" s="2"/>
      <c r="AD409" s="2"/>
      <c r="AE409" s="2"/>
      <c r="AF409" s="2"/>
      <c r="AG409" s="2"/>
      <c r="AH409" s="2"/>
      <c r="AI409" s="2"/>
      <c r="AJ409" s="2" t="str">
        <f>IFERROR(__xludf.DUMMYFUNCTION("""COMPUTED_VALUE"""),"Santor")</f>
        <v>Santor</v>
      </c>
      <c r="AK409" s="2" t="str">
        <f>IFERROR(__xludf.DUMMYFUNCTION("""COMPUTED_VALUE"""),"Bongabon")</f>
        <v>Bongabon</v>
      </c>
      <c r="AL409" s="2" t="str">
        <f>IFERROR(__xludf.DUMMYFUNCTION("""COMPUTED_VALUE"""),"Nueva Ecija")</f>
        <v>Nueva Ecija</v>
      </c>
      <c r="AM409" s="2">
        <f>IFERROR(__xludf.DUMMYFUNCTION("""COMPUTED_VALUE"""),3.0)</f>
        <v>3</v>
      </c>
      <c r="AN409" s="2" t="str">
        <f>IFERROR(__xludf.DUMMYFUNCTION("""COMPUTED_VALUE"""),"RCEF 23-09-21 Rebidding")</f>
        <v>RCEF 23-09-21 Rebidding</v>
      </c>
      <c r="AO409" s="2">
        <f>IFERROR(__xludf.DUMMYFUNCTION("""COMPUTED_VALUE"""),3.0)</f>
        <v>3</v>
      </c>
      <c r="AP409" s="2"/>
      <c r="AQ409" s="2"/>
      <c r="AR409" s="2"/>
      <c r="AS409" s="2"/>
      <c r="AT409" s="2"/>
      <c r="AU409" s="2"/>
      <c r="AV409" s="2"/>
      <c r="AW409" s="2"/>
      <c r="AX409" s="2"/>
      <c r="AY409" s="2"/>
      <c r="AZ409" s="2"/>
      <c r="BA409" s="2"/>
      <c r="BB409" s="2"/>
    </row>
    <row r="410">
      <c r="A410" s="2">
        <f>IFERROR(__xludf.DUMMYFUNCTION("""COMPUTED_VALUE"""),406.0)</f>
        <v>406</v>
      </c>
      <c r="B410" s="2" t="str">
        <f>IFERROR(__xludf.DUMMYFUNCTION("""COMPUTED_VALUE"""),"COMPLETED")</f>
        <v>COMPLETED</v>
      </c>
      <c r="C410" s="74">
        <f>IFERROR(__xludf.DUMMYFUNCTION("""COMPUTED_VALUE"""),45523.0)</f>
        <v>45523</v>
      </c>
      <c r="D410" s="71" t="str">
        <f>IFERROR(__xludf.DUMMYFUNCTION("""COMPUTED_VALUE"""),"MALLING PROGRESSIVE FARMERS ASSOCIATION")</f>
        <v>MALLING PROGRESSIVE FARMERS ASSOCIATION</v>
      </c>
      <c r="E410" s="71" t="str">
        <f>IFERROR(__xludf.DUMMYFUNCTION("""COMPUTED_VALUE"""),"Pugol (Ifugao Reservation), Lamut, IFUGAO")</f>
        <v>Pugol (Ifugao Reservation), Lamut, IFUGAO</v>
      </c>
      <c r="F410" s="2" t="str">
        <f>IFERROR(__xludf.DUMMYFUNCTION("""COMPUTED_VALUE"""),"jenny B, gasmin FCA sec")</f>
        <v>jenny B, gasmin FCA sec</v>
      </c>
      <c r="G410" s="2">
        <f>IFERROR(__xludf.DUMMYFUNCTION("""COMPUTED_VALUE"""),9.151329699E9)</f>
        <v>9151329699</v>
      </c>
      <c r="H410" s="2">
        <f>IFERROR(__xludf.DUMMYFUNCTION("""COMPUTED_VALUE"""),130.0)</f>
        <v>130</v>
      </c>
      <c r="I410" s="72" t="str">
        <f>IFERROR(__xludf.DUMMYFUNCTION("""COMPUTED_VALUE"""),"REPAIR - TRACTOR")</f>
        <v>REPAIR - TRACTOR</v>
      </c>
      <c r="J410" s="72" t="str">
        <f>IFERROR(__xludf.DUMMYFUNCTION("""COMPUTED_VALUE"""),"Transmission - Clutch")</f>
        <v>Transmission - Clutch</v>
      </c>
      <c r="K410" s="72" t="str">
        <f>IFERROR(__xludf.DUMMYFUNCTION("""COMPUTED_VALUE"""),"CFG: pag pinaandar po yung tractor at I clucth po may maingay  na  kakaiba ,maingay po pag idiin  ang  clucth po,
PARTS: CLUTCH DISC ASSY AND RELEASE BEARING")</f>
        <v>CFG: pag pinaandar po yung tractor at I clucth po may maingay  na  kakaiba ,maingay po pag idiin  ang  clucth po,
PARTS: CLUTCH DISC ASSY AND RELEASE BEARING</v>
      </c>
      <c r="L410" s="72" t="str">
        <f>IFERROR(__xludf.DUMMYFUNCTION("""COMPUTED_VALUE"""),"ACS: Replace clutch cover and release Bering WITH PDF REPORT
MYKEE: SEND PAYMENT AGREEMENT: FB: Jenny Balaino Gasmin:
")</f>
        <v>ACS: Replace clutch cover and release Bering WITH PDF REPORT
MYKEE: SEND PAYMENT AGREEMENT: FB: Jenny Balaino Gasmin:
</v>
      </c>
      <c r="M410" s="2"/>
      <c r="N410" s="2" t="str">
        <f>IFERROR(__xludf.DUMMYFUNCTION("""COMPUTED_VALUE"""),"PARTS: CLUTCH COVER ASSY , RELEASE BEARING 
PARTIAL : 13,000
BALANCE: 12,000 (Hindi na sisingilin kay farmer dahil nag Escalate ang Focal)")</f>
        <v>PARTS: CLUTCH COVER ASSY , RELEASE BEARING 
PARTIAL : 13,000
BALANCE: 12,000 (Hindi na sisingilin kay farmer dahil nag Escalate ang Focal)</v>
      </c>
      <c r="O410" s="2">
        <f>IFERROR(__xludf.DUMMYFUNCTION("""COMPUTED_VALUE"""),570.0)</f>
        <v>570</v>
      </c>
      <c r="P410" s="2"/>
      <c r="Q410" s="2"/>
      <c r="R410" s="74">
        <f>IFERROR(__xludf.DUMMYFUNCTION("""COMPUTED_VALUE"""),45561.0)</f>
        <v>45561</v>
      </c>
      <c r="S410" s="2" t="str">
        <f>IFERROR(__xludf.DUMMYFUNCTION("""COMPUTED_VALUE"""),"JHP/ACS")</f>
        <v>JHP/ACS</v>
      </c>
      <c r="T410" s="73">
        <f>IFERROR(__xludf.DUMMYFUNCTION("""COMPUTED_VALUE"""),13000.0)</f>
        <v>13000</v>
      </c>
      <c r="U410" s="73" t="str">
        <f>IFERROR(__xludf.DUMMYFUNCTION("""COMPUTED_VALUE""")," REMITTED ")</f>
        <v>REMITTED</v>
      </c>
      <c r="V410" s="2"/>
      <c r="W410" s="2"/>
      <c r="X410" s="2">
        <f>IFERROR(__xludf.DUMMYFUNCTION("""COMPUTED_VALUE"""),1179.0)</f>
        <v>1179</v>
      </c>
      <c r="Y410" s="2"/>
      <c r="Z410" s="2"/>
      <c r="AA410" s="2"/>
      <c r="AB410" s="2"/>
      <c r="AC410" s="2"/>
      <c r="AD410" s="2"/>
      <c r="AE410" s="2"/>
      <c r="AF410" s="2"/>
      <c r="AG410" s="2"/>
      <c r="AH410" s="2"/>
      <c r="AI410" s="2"/>
      <c r="AJ410" s="2" t="str">
        <f>IFERROR(__xludf.DUMMYFUNCTION("""COMPUTED_VALUE"""),"Pugol (Ifugao Reservation)")</f>
        <v>Pugol (Ifugao Reservation)</v>
      </c>
      <c r="AK410" s="2" t="str">
        <f>IFERROR(__xludf.DUMMYFUNCTION("""COMPUTED_VALUE"""),"Lamut")</f>
        <v>Lamut</v>
      </c>
      <c r="AL410" s="2" t="str">
        <f>IFERROR(__xludf.DUMMYFUNCTION("""COMPUTED_VALUE"""),"Ifugao")</f>
        <v>Ifugao</v>
      </c>
      <c r="AM410" s="2" t="str">
        <f>IFERROR(__xludf.DUMMYFUNCTION("""COMPUTED_VALUE"""),"CAR")</f>
        <v>CAR</v>
      </c>
      <c r="AN410" s="2" t="str">
        <f>IFERROR(__xludf.DUMMYFUNCTION("""COMPUTED_VALUE"""),"RCEF 23-09-21 Rebidding")</f>
        <v>RCEF 23-09-21 Rebidding</v>
      </c>
      <c r="AO410" s="2">
        <f>IFERROR(__xludf.DUMMYFUNCTION("""COMPUTED_VALUE"""),1.0)</f>
        <v>1</v>
      </c>
      <c r="AP410" s="2"/>
      <c r="AQ410" s="2"/>
      <c r="AR410" s="2"/>
      <c r="AS410" s="2"/>
      <c r="AT410" s="2"/>
      <c r="AU410" s="2"/>
      <c r="AV410" s="2"/>
      <c r="AW410" s="2"/>
      <c r="AX410" s="2"/>
      <c r="AY410" s="2"/>
      <c r="AZ410" s="2"/>
      <c r="BA410" s="2"/>
      <c r="BB410" s="2"/>
    </row>
    <row r="411">
      <c r="A411" s="2">
        <f>IFERROR(__xludf.DUMMYFUNCTION("""COMPUTED_VALUE"""),407.0)</f>
        <v>407</v>
      </c>
      <c r="B411" s="2" t="str">
        <f>IFERROR(__xludf.DUMMYFUNCTION("""COMPUTED_VALUE"""),"COMPLETED")</f>
        <v>COMPLETED</v>
      </c>
      <c r="C411" s="74">
        <f>IFERROR(__xludf.DUMMYFUNCTION("""COMPUTED_VALUE"""),45523.0)</f>
        <v>45523</v>
      </c>
      <c r="D411" s="71" t="str">
        <f>IFERROR(__xludf.DUMMYFUNCTION("""COMPUTED_VALUE"""),"Magarang Bagahabag Lower Moton Irrigators Association Inc.")</f>
        <v>Magarang Bagahabag Lower Moton Irrigators Association Inc.</v>
      </c>
      <c r="E411" s="71" t="str">
        <f>IFERROR(__xludf.DUMMYFUNCTION("""COMPUTED_VALUE"""),"Bagahabag, Solano, NUEVA VIZCAYA")</f>
        <v>Bagahabag, Solano, NUEVA VIZCAYA</v>
      </c>
      <c r="F411" s="2" t="str">
        <f>IFERROR(__xludf.DUMMYFUNCTION("""COMPUTED_VALUE"""),"Mario m Moreno")</f>
        <v>Mario m Moreno</v>
      </c>
      <c r="G411" s="2">
        <f>IFERROR(__xludf.DUMMYFUNCTION("""COMPUTED_VALUE"""),9.977017159E9)</f>
        <v>9977017159</v>
      </c>
      <c r="H411" s="2">
        <f>IFERROR(__xludf.DUMMYFUNCTION("""COMPUTED_VALUE"""),157.0)</f>
        <v>157</v>
      </c>
      <c r="I411" s="72" t="str">
        <f>IFERROR(__xludf.DUMMYFUNCTION("""COMPUTED_VALUE"""),"REPAIR - TRACTOR")</f>
        <v>REPAIR - TRACTOR</v>
      </c>
      <c r="J411" s="72" t="str">
        <f>IFERROR(__xludf.DUMMYFUNCTION("""COMPUTED_VALUE"""),"PTO - Valve Solenoid")</f>
        <v>PTO - Valve Solenoid</v>
      </c>
      <c r="K411" s="72" t="str">
        <f>IFERROR(__xludf.DUMMYFUNCTION("""COMPUTED_VALUE"""),"CFG: Pakitignan po unit po namin kc po pahintohinto po ang ikot ng rotavetor po namin. hindi po kami maka pag operate.
CFG: Nakausap ko na po ito pinacheck ko po ratovetor. at ung PTO switch. hintay ko po unit tawag nila. 
CFG:8/23/24: GUSTONG MAPUNTAHAN "&amp;"SI FARMER, (ADJUSTMENT LANG) 
CFG: 8/30/24/; Nacheck ko na po unit po nila. nag adjust PTO valve at sersor. nag testing po ako ganong parin po. kaya ang sira po PTO switch. hintay nlng dw po nila ung dadalhin ko na PTO Switch kaysa bibili dw po sila ng ta"&amp;"gel switch. kasi natapos na dw po ung mga area na irorotor po nila.  wala po akong dalang PTO Switch po. ang sabi po kasi gumagawa nmn ang PTO SWITCH nila. 
ERP/EGT: HINDI PTO ANG SIRA, TOOLS NEEDED: TESTER, klaseng Wiring ang problema
""ERP: PUMUTOK NA "&amp;"HOSE SA ROTAVATOR KASI NOON HINDI NAG ADJUST YUNG MEKANIKO SA MAY BABA NYA WALANG ABERYA NAGAGAMIT NAMIN NG MAAYOS , NGAYON ANG LOADER PUMUTPK ANG HOSE, PAKIBALIK PO SANA SA DATI 
JVV: 11/14/24: PAHINTO HINTO ANG ROTAVATOR PAG MAINIT NA""
PARTS: SOLINOID"&amp;" PTO VLAVE
CFG: 1/3/24: PARTS: PTO CLUTCH PACK ")</f>
        <v>CFG: Pakitignan po unit po namin kc po pahintohinto po ang ikot ng rotavetor po namin. hindi po kami maka pag operate.
CFG: Nakausap ko na po ito pinacheck ko po ratovetor. at ung PTO switch. hintay ko po unit tawag nila. 
CFG:8/23/24: GUSTONG MAPUNTAHAN SI FARMER, (ADJUSTMENT LANG) 
CFG: 8/30/24/; Nacheck ko na po unit po nila. nag adjust PTO valve at sersor. nag testing po ako ganong parin po. kaya ang sira po PTO switch. hintay nlng dw po nila ung dadalhin ko na PTO Switch kaysa bibili dw po sila ng tagel switch. kasi natapos na dw po ung mga area na irorotor po nila.  wala po akong dalang PTO Switch po. ang sabi po kasi gumagawa nmn ang PTO SWITCH nila. 
ERP/EGT: HINDI PTO ANG SIRA, TOOLS NEEDED: TESTER, klaseng Wiring ang problema
"ERP: PUMUTOK NA HOSE SA ROTAVATOR KASI NOON HINDI NAG ADJUST YUNG MEKANIKO SA MAY BABA NYA WALANG ABERYA NAGAGAMIT NAMIN NG MAAYOS , NGAYON ANG LOADER PUMUTPK ANG HOSE, PAKIBALIK PO SANA SA DATI 
JVV: 11/14/24: PAHINTO HINTO ANG ROTAVATOR PAG MAINIT NA"
PARTS: SOLINOID PTO VLAVE
CFG: 1/3/24: PARTS: PTO CLUTCH PACK </v>
      </c>
      <c r="L411" s="72" t="str">
        <f>IFERROR(__xludf.DUMMYFUNCTION("""COMPUTED_VALUE"""),"JDP: DEFECTIVE SOLINIOD PTO VALVE, 
REPLACED SOLINIOD PTO VALVE AND ADJUST ARM LIFTER SENSOR")</f>
        <v>JDP: DEFECTIVE SOLINIOD PTO VALVE, 
REPLACED SOLINIOD PTO VALVE AND ADJUST ARM LIFTER SENSOR</v>
      </c>
      <c r="M411" s="2"/>
      <c r="N411" s="2" t="str">
        <f>IFERROR(__xludf.DUMMYFUNCTION("""COMPUTED_VALUE"""),"PARTS: PTO VALVE SOLENOID")</f>
        <v>PARTS: PTO VALVE SOLENOID</v>
      </c>
      <c r="O411" s="2">
        <f>IFERROR(__xludf.DUMMYFUNCTION("""COMPUTED_VALUE"""),1165.0)</f>
        <v>1165</v>
      </c>
      <c r="P411" s="2"/>
      <c r="Q411" s="2" t="str">
        <f>IFERROR(__xludf.DUMMYFUNCTION("""COMPUTED_VALUE"""),"Y")</f>
        <v>Y</v>
      </c>
      <c r="R411" s="74">
        <f>IFERROR(__xludf.DUMMYFUNCTION("""COMPUTED_VALUE"""),45664.0)</f>
        <v>45664</v>
      </c>
      <c r="S411" s="2" t="str">
        <f>IFERROR(__xludf.DUMMYFUNCTION("""COMPUTED_VALUE"""),"CFG/JDP")</f>
        <v>CFG/JDP</v>
      </c>
      <c r="T411" s="73">
        <f>IFERROR(__xludf.DUMMYFUNCTION("""COMPUTED_VALUE"""),15000.0)</f>
        <v>15000</v>
      </c>
      <c r="U411" s="73" t="str">
        <f>IFERROR(__xludf.DUMMYFUNCTION("""COMPUTED_VALUE""")," REMITTED ")</f>
        <v>REMITTED</v>
      </c>
      <c r="V411" s="2"/>
      <c r="W411" s="2">
        <f>IFERROR(__xludf.DUMMYFUNCTION("""COMPUTED_VALUE"""),1294.0)</f>
        <v>1294</v>
      </c>
      <c r="X411" s="2">
        <f>IFERROR(__xludf.DUMMYFUNCTION("""COMPUTED_VALUE"""),1508.0)</f>
        <v>1508</v>
      </c>
      <c r="Y411" s="2"/>
      <c r="Z411" s="2"/>
      <c r="AA411" s="2"/>
      <c r="AB411" s="2"/>
      <c r="AC411" s="2"/>
      <c r="AD411" s="2"/>
      <c r="AE411" s="2"/>
      <c r="AF411" s="2"/>
      <c r="AG411" s="2"/>
      <c r="AH411" s="2"/>
      <c r="AI411" s="2"/>
      <c r="AJ411" s="2" t="str">
        <f>IFERROR(__xludf.DUMMYFUNCTION("""COMPUTED_VALUE"""),"Bagahabag")</f>
        <v>Bagahabag</v>
      </c>
      <c r="AK411" s="2" t="str">
        <f>IFERROR(__xludf.DUMMYFUNCTION("""COMPUTED_VALUE"""),"Solano")</f>
        <v>Solano</v>
      </c>
      <c r="AL411" s="2" t="str">
        <f>IFERROR(__xludf.DUMMYFUNCTION("""COMPUTED_VALUE"""),"Nueva Vizcaya")</f>
        <v>Nueva Vizcaya</v>
      </c>
      <c r="AM411" s="2">
        <f>IFERROR(__xludf.DUMMYFUNCTION("""COMPUTED_VALUE"""),2.0)</f>
        <v>2</v>
      </c>
      <c r="AN411" s="2" t="str">
        <f>IFERROR(__xludf.DUMMYFUNCTION("""COMPUTED_VALUE"""),"RCEF 23-09-21 Rebidding")</f>
        <v>RCEF 23-09-21 Rebidding</v>
      </c>
      <c r="AO411" s="2">
        <f>IFERROR(__xludf.DUMMYFUNCTION("""COMPUTED_VALUE"""),9.0)</f>
        <v>9</v>
      </c>
      <c r="AP411" s="2"/>
      <c r="AQ411" s="2"/>
      <c r="AR411" s="2"/>
      <c r="AS411" s="2"/>
      <c r="AT411" s="2"/>
      <c r="AU411" s="2"/>
      <c r="AV411" s="2"/>
      <c r="AW411" s="2"/>
      <c r="AX411" s="2"/>
      <c r="AY411" s="2"/>
      <c r="AZ411" s="2"/>
      <c r="BA411" s="2"/>
      <c r="BB411" s="2"/>
    </row>
    <row r="412">
      <c r="A412" s="2">
        <f>IFERROR(__xludf.DUMMYFUNCTION("""COMPUTED_VALUE"""),408.0)</f>
        <v>408</v>
      </c>
      <c r="B412" s="2" t="str">
        <f>IFERROR(__xludf.DUMMYFUNCTION("""COMPUTED_VALUE"""),"COMPLETED")</f>
        <v>COMPLETED</v>
      </c>
      <c r="C412" s="74">
        <f>IFERROR(__xludf.DUMMYFUNCTION("""COMPUTED_VALUE"""),45523.0)</f>
        <v>45523</v>
      </c>
      <c r="D412" s="71" t="str">
        <f>IFERROR(__xludf.DUMMYFUNCTION("""COMPUTED_VALUE"""),"Pila Laguna Agriculture Cooperative (PILAC)")</f>
        <v>Pila Laguna Agriculture Cooperative (PILAC)</v>
      </c>
      <c r="E412" s="71" t="str">
        <f>IFERROR(__xludf.DUMMYFUNCTION("""COMPUTED_VALUE"""),"PANSOL, PILA, LAGUNA")</f>
        <v>PANSOL, PILA, LAGUNA</v>
      </c>
      <c r="F412" s="2"/>
      <c r="G412" s="2">
        <f>IFERROR(__xludf.DUMMYFUNCTION("""COMPUTED_VALUE"""),9.750884823E9)</f>
        <v>9750884823</v>
      </c>
      <c r="H412" s="2">
        <f>IFERROR(__xludf.DUMMYFUNCTION("""COMPUTED_VALUE"""),535.2)</f>
        <v>535.2</v>
      </c>
      <c r="I412" s="72" t="str">
        <f>IFERROR(__xludf.DUMMYFUNCTION("""COMPUTED_VALUE"""),"REPAIR - TRACTOR")</f>
        <v>REPAIR - TRACTOR</v>
      </c>
      <c r="J412" s="72" t="str">
        <f>IFERROR(__xludf.DUMMYFUNCTION("""COMPUTED_VALUE"""),"FUEL PUMP")</f>
        <v>FUEL PUMP</v>
      </c>
      <c r="K412" s="72" t="str">
        <f>IFERROR(__xludf.DUMMYFUNCTION("""COMPUTED_VALUE"""),"MYKEE: UPON CHECK UP,  SUBJECT FOR 3RD PMS
FUEL PUMP FOR REPLACEMENT
FUEL AND WATER SEPERATOR FOR REPLCAMENT")</f>
        <v>MYKEE: UPON CHECK UP,  SUBJECT FOR 3RD PMS
FUEL PUMP FOR REPLACEMENT
FUEL AND WATER SEPERATOR FOR REPLCAMENT</v>
      </c>
      <c r="L412" s="72" t="str">
        <f>IFERROR(__xludf.DUMMYFUNCTION("""COMPUTED_VALUE"""),"CANCELLED")</f>
        <v>CANCELLED</v>
      </c>
      <c r="M412" s="2"/>
      <c r="N412" s="2" t="str">
        <f>IFERROR(__xludf.DUMMYFUNCTION("""COMPUTED_VALUE"""),"CANCELLED")</f>
        <v>CANCELLED</v>
      </c>
      <c r="O412" s="2" t="str">
        <f>IFERROR(__xludf.DUMMYFUNCTION("""COMPUTED_VALUE"""),"N/A")</f>
        <v>N/A</v>
      </c>
      <c r="P412" s="2"/>
      <c r="Q412" s="2"/>
      <c r="R412" s="74">
        <f>IFERROR(__xludf.DUMMYFUNCTION("""COMPUTED_VALUE"""),45559.0)</f>
        <v>45559</v>
      </c>
      <c r="S412" s="2" t="str">
        <f>IFERROR(__xludf.DUMMYFUNCTION("""COMPUTED_VALUE"""),"JTT")</f>
        <v>JTT</v>
      </c>
      <c r="T412" s="73" t="str">
        <f>IFERROR(__xludf.DUMMYFUNCTION("""COMPUTED_VALUE""")," N/A ")</f>
        <v>N/A</v>
      </c>
      <c r="U412" s="73" t="str">
        <f>IFERROR(__xludf.DUMMYFUNCTION("""COMPUTED_VALUE""")," NO CHARGE ")</f>
        <v>NO CHARGE</v>
      </c>
      <c r="V412" s="2"/>
      <c r="W412" s="2" t="str">
        <f>IFERROR(__xludf.DUMMYFUNCTION("""COMPUTED_VALUE"""),"N/A")</f>
        <v>N/A</v>
      </c>
      <c r="X412" s="2" t="str">
        <f>IFERROR(__xludf.DUMMYFUNCTION("""COMPUTED_VALUE"""),"N/A")</f>
        <v>N/A</v>
      </c>
      <c r="Y412" s="2"/>
      <c r="Z412" s="2"/>
      <c r="AA412" s="2"/>
      <c r="AB412" s="2"/>
      <c r="AC412" s="2"/>
      <c r="AD412" s="2"/>
      <c r="AE412" s="2"/>
      <c r="AF412" s="2"/>
      <c r="AG412" s="2"/>
      <c r="AH412" s="2"/>
      <c r="AI412" s="2"/>
      <c r="AJ412" s="2" t="str">
        <f>IFERROR(__xludf.DUMMYFUNCTION("""COMPUTED_VALUE"""),"Pansol")</f>
        <v>Pansol</v>
      </c>
      <c r="AK412" s="2" t="str">
        <f>IFERROR(__xludf.DUMMYFUNCTION("""COMPUTED_VALUE"""),"Pila")</f>
        <v>Pila</v>
      </c>
      <c r="AL412" s="2" t="str">
        <f>IFERROR(__xludf.DUMMYFUNCTION("""COMPUTED_VALUE"""),"Laguna")</f>
        <v>Laguna</v>
      </c>
      <c r="AM412" s="2" t="str">
        <f>IFERROR(__xludf.DUMMYFUNCTION("""COMPUTED_VALUE"""),"4A")</f>
        <v>4A</v>
      </c>
      <c r="AN412" s="2" t="str">
        <f>IFERROR(__xludf.DUMMYFUNCTION("""COMPUTED_VALUE"""),"RCEF 23-08-20 Rebidding")</f>
        <v>RCEF 23-08-20 Rebidding</v>
      </c>
      <c r="AO412" s="2">
        <f>IFERROR(__xludf.DUMMYFUNCTION("""COMPUTED_VALUE"""),1.0)</f>
        <v>1</v>
      </c>
      <c r="AP412" s="2"/>
      <c r="AQ412" s="2"/>
      <c r="AR412" s="2"/>
      <c r="AS412" s="2"/>
      <c r="AT412" s="2"/>
      <c r="AU412" s="2"/>
      <c r="AV412" s="2"/>
      <c r="AW412" s="2"/>
      <c r="AX412" s="2"/>
      <c r="AY412" s="2"/>
      <c r="AZ412" s="2"/>
      <c r="BA412" s="2"/>
      <c r="BB412" s="2"/>
    </row>
    <row r="413">
      <c r="A413" s="2">
        <f>IFERROR(__xludf.DUMMYFUNCTION("""COMPUTED_VALUE"""),409.0)</f>
        <v>409</v>
      </c>
      <c r="B413" s="2" t="str">
        <f>IFERROR(__xludf.DUMMYFUNCTION("""COMPUTED_VALUE"""),"COMPLETED")</f>
        <v>COMPLETED</v>
      </c>
      <c r="C413" s="74">
        <f>IFERROR(__xludf.DUMMYFUNCTION("""COMPUTED_VALUE"""),45523.0)</f>
        <v>45523</v>
      </c>
      <c r="D413" s="71" t="str">
        <f>IFERROR(__xludf.DUMMYFUNCTION("""COMPUTED_VALUE"""),"MAGSASAKA NG BRGY. SANTOR IRRIGATORS ASSOCIATION INC")</f>
        <v>MAGSASAKA NG BRGY. SANTOR IRRIGATORS ASSOCIATION INC</v>
      </c>
      <c r="E413" s="71" t="str">
        <f>IFERROR(__xludf.DUMMYFUNCTION("""COMPUTED_VALUE"""),"Santor, Bongabon, NUEVA ECIJA")</f>
        <v>Santor, Bongabon, NUEVA ECIJA</v>
      </c>
      <c r="F413" s="2" t="str">
        <f>IFERROR(__xludf.DUMMYFUNCTION("""COMPUTED_VALUE"""),"ROLANDO SORIBEN")</f>
        <v>ROLANDO SORIBEN</v>
      </c>
      <c r="G413" s="2">
        <f>IFERROR(__xludf.DUMMYFUNCTION("""COMPUTED_VALUE"""),9.556278587E9)</f>
        <v>9556278587</v>
      </c>
      <c r="H413" s="2">
        <f>IFERROR(__xludf.DUMMYFUNCTION("""COMPUTED_VALUE"""),370.0)</f>
        <v>370</v>
      </c>
      <c r="I413" s="72" t="str">
        <f>IFERROR(__xludf.DUMMYFUNCTION("""COMPUTED_VALUE"""),"PMS")</f>
        <v>PMS</v>
      </c>
      <c r="J413" s="72" t="str">
        <f>IFERROR(__xludf.DUMMYFUNCTION("""COMPUTED_VALUE"""),"PMS")</f>
        <v>PMS</v>
      </c>
      <c r="K413" s="72" t="str">
        <f>IFERROR(__xludf.DUMMYFUNCTION("""COMPUTED_VALUE"""),"2ND PMS")</f>
        <v>2ND PMS</v>
      </c>
      <c r="L413" s="72" t="str">
        <f>IFERROR(__xludf.DUMMYFUNCTION("""COMPUTED_VALUE"""),"ACS: 2ND PMS DONE")</f>
        <v>ACS: 2ND PMS DONE</v>
      </c>
      <c r="M413" s="2"/>
      <c r="N413" s="2" t="str">
        <f>IFERROR(__xludf.DUMMYFUNCTION("""COMPUTED_VALUE"""),"PARTS USED: 
ENGINE OIL FILTER , 
HYDRAULIC FILTER")</f>
        <v>PARTS USED: 
ENGINE OIL FILTER , 
HYDRAULIC FILTER</v>
      </c>
      <c r="O413" s="2" t="str">
        <f>IFERROR(__xludf.DUMMYFUNCTION("""COMPUTED_VALUE"""),"JIE-942")</f>
        <v>JIE-942</v>
      </c>
      <c r="P413" s="2"/>
      <c r="Q413" s="2"/>
      <c r="R413" s="74">
        <f>IFERROR(__xludf.DUMMYFUNCTION("""COMPUTED_VALUE"""),45525.0)</f>
        <v>45525</v>
      </c>
      <c r="S413" s="2" t="str">
        <f>IFERROR(__xludf.DUMMYFUNCTION("""COMPUTED_VALUE"""),"ACS/JHP")</f>
        <v>ACS/JHP</v>
      </c>
      <c r="T413" s="73">
        <f>IFERROR(__xludf.DUMMYFUNCTION("""COMPUTED_VALUE"""),7925.0)</f>
        <v>7925</v>
      </c>
      <c r="U413" s="73" t="str">
        <f>IFERROR(__xludf.DUMMYFUNCTION("""COMPUTED_VALUE""")," FOR COLLECTION ")</f>
        <v>FOR COLLECTION</v>
      </c>
      <c r="V413" s="2"/>
      <c r="W413" s="2"/>
      <c r="X413" s="2"/>
      <c r="Y413" s="2" t="str">
        <f>IFERROR(__xludf.DUMMYFUNCTION("""COMPUTED_VALUE"""),"TOKEN FOR WAITING OVERHAUL ")</f>
        <v>TOKEN FOR WAITING OVERHAUL </v>
      </c>
      <c r="Z413" s="2"/>
      <c r="AA413" s="2"/>
      <c r="AB413" s="2"/>
      <c r="AC413" s="2"/>
      <c r="AD413" s="2"/>
      <c r="AE413" s="2"/>
      <c r="AF413" s="2"/>
      <c r="AG413" s="2"/>
      <c r="AH413" s="2"/>
      <c r="AI413" s="2"/>
      <c r="AJ413" s="2" t="str">
        <f>IFERROR(__xludf.DUMMYFUNCTION("""COMPUTED_VALUE"""),"Santor")</f>
        <v>Santor</v>
      </c>
      <c r="AK413" s="2" t="str">
        <f>IFERROR(__xludf.DUMMYFUNCTION("""COMPUTED_VALUE"""),"Bongabon")</f>
        <v>Bongabon</v>
      </c>
      <c r="AL413" s="2" t="str">
        <f>IFERROR(__xludf.DUMMYFUNCTION("""COMPUTED_VALUE"""),"Nueva Ecija")</f>
        <v>Nueva Ecija</v>
      </c>
      <c r="AM413" s="2">
        <f>IFERROR(__xludf.DUMMYFUNCTION("""COMPUTED_VALUE"""),3.0)</f>
        <v>3</v>
      </c>
      <c r="AN413" s="2" t="str">
        <f>IFERROR(__xludf.DUMMYFUNCTION("""COMPUTED_VALUE"""),"RCEF 23-09-21 Rebidding")</f>
        <v>RCEF 23-09-21 Rebidding</v>
      </c>
      <c r="AO413" s="2">
        <f>IFERROR(__xludf.DUMMYFUNCTION("""COMPUTED_VALUE"""),3.0)</f>
        <v>3</v>
      </c>
      <c r="AP413" s="2"/>
      <c r="AQ413" s="2"/>
      <c r="AR413" s="2"/>
      <c r="AS413" s="2"/>
      <c r="AT413" s="2"/>
      <c r="AU413" s="2"/>
      <c r="AV413" s="2"/>
      <c r="AW413" s="2"/>
      <c r="AX413" s="2"/>
      <c r="AY413" s="2"/>
      <c r="AZ413" s="2"/>
      <c r="BA413" s="2"/>
      <c r="BB413" s="2"/>
    </row>
    <row r="414">
      <c r="A414" s="2">
        <f>IFERROR(__xludf.DUMMYFUNCTION("""COMPUTED_VALUE"""),410.0)</f>
        <v>410</v>
      </c>
      <c r="B414" s="2" t="str">
        <f>IFERROR(__xludf.DUMMYFUNCTION("""COMPUTED_VALUE"""),"COMPLETED")</f>
        <v>COMPLETED</v>
      </c>
      <c r="C414" s="74">
        <f>IFERROR(__xludf.DUMMYFUNCTION("""COMPUTED_VALUE"""),45524.0)</f>
        <v>45524</v>
      </c>
      <c r="D414" s="71" t="str">
        <f>IFERROR(__xludf.DUMMYFUNCTION("""COMPUTED_VALUE"""),"MANNALON NGA NAURNOS TI PURA FARMERS ASSOCIATION Inc.")</f>
        <v>MANNALON NGA NAURNOS TI PURA FARMERS ASSOCIATION Inc.</v>
      </c>
      <c r="E414" s="71" t="str">
        <f>IFERROR(__xludf.DUMMYFUNCTION("""COMPUTED_VALUE"""),"Estipona, Pura, TARLAC")</f>
        <v>Estipona, Pura, TARLAC</v>
      </c>
      <c r="F414" s="2" t="str">
        <f>IFERROR(__xludf.DUMMYFUNCTION("""COMPUTED_VALUE"""),"CEFERINA PASCUA")</f>
        <v>CEFERINA PASCUA</v>
      </c>
      <c r="G414" s="2">
        <f>IFERROR(__xludf.DUMMYFUNCTION("""COMPUTED_VALUE"""),9.973003011E9)</f>
        <v>9973003011</v>
      </c>
      <c r="H414" s="2">
        <f>IFERROR(__xludf.DUMMYFUNCTION("""COMPUTED_VALUE"""),230.0)</f>
        <v>230</v>
      </c>
      <c r="I414" s="72" t="str">
        <f>IFERROR(__xludf.DUMMYFUNCTION("""COMPUTED_VALUE"""),"SPARE PARTS ACQUISITION")</f>
        <v>SPARE PARTS ACQUISITION</v>
      </c>
      <c r="J414" s="72" t="str">
        <f>IFERROR(__xludf.DUMMYFUNCTION("""COMPUTED_VALUE"""),"Transmission")</f>
        <v>Transmission</v>
      </c>
      <c r="K414" s="72" t="str">
        <f>IFERROR(__xludf.DUMMYFUNCTION("""COMPUTED_VALUE"""),"KFS: SEND PAYMENT AGREEMENT
CLUTCH DISC ASSY")</f>
        <v>KFS: SEND PAYMENT AGREEMENT
CLUTCH DISC ASSY</v>
      </c>
      <c r="L414" s="72" t="str">
        <f>IFERROR(__xludf.DUMMYFUNCTION("""COMPUTED_VALUE"""),"DSD: Nag palit po kami ng clutch disc, Okay na po yung Unit
MYKEE: SEND PAYMENT AGREEMENT: FB: LINA GABRIEL")</f>
        <v>DSD: Nag palit po kami ng clutch disc, Okay na po yung Unit
MYKEE: SEND PAYMENT AGREEMENT: FB: LINA GABRIEL</v>
      </c>
      <c r="M414" s="2"/>
      <c r="N414" s="2" t="str">
        <f>IFERROR(__xludf.DUMMYFUNCTION("""COMPUTED_VALUE"""),"WITH PAYMENT AGREEMENT
DSD: PART USED: CLUTCH DISC ASSY
PARTIAL: 15,000
BALANCE: 10,280
11/1/24: FULLY PAID")</f>
        <v>WITH PAYMENT AGREEMENT
DSD: PART USED: CLUTCH DISC ASSY
PARTIAL: 15,000
BALANCE: 10,280
11/1/24: FULLY PAID</v>
      </c>
      <c r="O414" s="2" t="str">
        <f>IFERROR(__xludf.DUMMYFUNCTION("""COMPUTED_VALUE"""),"JIE-943")</f>
        <v>JIE-943</v>
      </c>
      <c r="P414" s="2"/>
      <c r="Q414" s="2"/>
      <c r="R414" s="74">
        <f>IFERROR(__xludf.DUMMYFUNCTION("""COMPUTED_VALUE"""),45527.0)</f>
        <v>45527</v>
      </c>
      <c r="S414" s="2" t="str">
        <f>IFERROR(__xludf.DUMMYFUNCTION("""COMPUTED_VALUE"""),"DSD/EGT/DRM")</f>
        <v>DSD/EGT/DRM</v>
      </c>
      <c r="T414" s="73">
        <f>IFERROR(__xludf.DUMMYFUNCTION("""COMPUTED_VALUE"""),25280.0)</f>
        <v>25280</v>
      </c>
      <c r="U414" s="73" t="str">
        <f>IFERROR(__xludf.DUMMYFUNCTION("""COMPUTED_VALUE""")," REMITTED ")</f>
        <v>REMITTED</v>
      </c>
      <c r="V414" s="2"/>
      <c r="W414" s="2">
        <f>IFERROR(__xludf.DUMMYFUNCTION("""COMPUTED_VALUE"""),1307.0)</f>
        <v>1307</v>
      </c>
      <c r="X414" s="2" t="str">
        <f>IFERROR(__xludf.DUMMYFUNCTION("""COMPUTED_VALUE"""),"1140/1208")</f>
        <v>1140/1208</v>
      </c>
      <c r="Y414" s="2" t="str">
        <f>IFERROR(__xludf.DUMMYFUNCTION("""COMPUTED_VALUE"""),"SUSHI - PARTICAL PAYMENT 15,000.00 09042024
DUE DATE: OCTOBER 31, 2024 
FULLY PAID 11//1/24")</f>
        <v>SUSHI - PARTICAL PAYMENT 15,000.00 09042024
DUE DATE: OCTOBER 31, 2024 
FULLY PAID 11//1/24</v>
      </c>
      <c r="Z414" s="2"/>
      <c r="AA414" s="2"/>
      <c r="AB414" s="2"/>
      <c r="AC414" s="2"/>
      <c r="AD414" s="2"/>
      <c r="AE414" s="2"/>
      <c r="AF414" s="2"/>
      <c r="AG414" s="2"/>
      <c r="AH414" s="2"/>
      <c r="AI414" s="2"/>
      <c r="AJ414" s="2" t="str">
        <f>IFERROR(__xludf.DUMMYFUNCTION("""COMPUTED_VALUE"""),"Estipona")</f>
        <v>Estipona</v>
      </c>
      <c r="AK414" s="2" t="str">
        <f>IFERROR(__xludf.DUMMYFUNCTION("""COMPUTED_VALUE"""),"Pura")</f>
        <v>Pura</v>
      </c>
      <c r="AL414" s="2" t="str">
        <f>IFERROR(__xludf.DUMMYFUNCTION("""COMPUTED_VALUE"""),"Tarlac")</f>
        <v>Tarlac</v>
      </c>
      <c r="AM414" s="2">
        <f>IFERROR(__xludf.DUMMYFUNCTION("""COMPUTED_VALUE"""),3.0)</f>
        <v>3</v>
      </c>
      <c r="AN414" s="2" t="str">
        <f>IFERROR(__xludf.DUMMYFUNCTION("""COMPUTED_VALUE"""),"RCEF 23-09-21 Rebidding")</f>
        <v>RCEF 23-09-21 Rebidding</v>
      </c>
      <c r="AO414" s="2">
        <f>IFERROR(__xludf.DUMMYFUNCTION("""COMPUTED_VALUE"""),3.0)</f>
        <v>3</v>
      </c>
      <c r="AP414" s="2"/>
      <c r="AQ414" s="2"/>
      <c r="AR414" s="2"/>
      <c r="AS414" s="2"/>
      <c r="AT414" s="2"/>
      <c r="AU414" s="2"/>
      <c r="AV414" s="2"/>
      <c r="AW414" s="2"/>
      <c r="AX414" s="2"/>
      <c r="AY414" s="2"/>
      <c r="AZ414" s="2"/>
      <c r="BA414" s="2"/>
      <c r="BB414" s="2"/>
    </row>
    <row r="415">
      <c r="A415" s="2">
        <f>IFERROR(__xludf.DUMMYFUNCTION("""COMPUTED_VALUE"""),411.0)</f>
        <v>411</v>
      </c>
      <c r="B415" s="2" t="str">
        <f>IFERROR(__xludf.DUMMYFUNCTION("""COMPUTED_VALUE"""),"COMPLETED")</f>
        <v>COMPLETED</v>
      </c>
      <c r="C415" s="74">
        <f>IFERROR(__xludf.DUMMYFUNCTION("""COMPUTED_VALUE"""),45524.0)</f>
        <v>45524</v>
      </c>
      <c r="D415" s="71" t="str">
        <f>IFERROR(__xludf.DUMMYFUNCTION("""COMPUTED_VALUE"""),"UNITED IGBONGLO FARMERS ASSOCIATION (UNIFA), INC.")</f>
        <v>UNITED IGBONGLO FARMERS ASSOCIATION (UNIFA), INC.</v>
      </c>
      <c r="E415" s="71" t="str">
        <f>IFERROR(__xludf.DUMMYFUNCTION("""COMPUTED_VALUE"""),"Igbonglo, San Jose, ANTIQUE")</f>
        <v>Igbonglo, San Jose, ANTIQUE</v>
      </c>
      <c r="F415" s="2" t="str">
        <f>IFERROR(__xludf.DUMMYFUNCTION("""COMPUTED_VALUE"""),"RENE A. SIBA")</f>
        <v>RENE A. SIBA</v>
      </c>
      <c r="G415" s="2">
        <f>IFERROR(__xludf.DUMMYFUNCTION("""COMPUTED_VALUE"""),9.653946886E9)</f>
        <v>9653946886</v>
      </c>
      <c r="H415" s="2"/>
      <c r="I415" s="72" t="str">
        <f>IFERROR(__xludf.DUMMYFUNCTION("""COMPUTED_VALUE"""),"REPAIR - TRACTOR")</f>
        <v>REPAIR - TRACTOR</v>
      </c>
      <c r="J415" s="72" t="str">
        <f>IFERROR(__xludf.DUMMYFUNCTION("""COMPUTED_VALUE"""),"PENDING DELIVERIES")</f>
        <v>PENDING DELIVERIES</v>
      </c>
      <c r="K415" s="72" t="str">
        <f>IFERROR(__xludf.DUMMYFUNCTION("""COMPUTED_VALUE"""),"ERP: DAMAGED TURN SIGNAL LIGHT (FRONT RIGHT SIDE)")</f>
        <v>ERP: DAMAGED TURN SIGNAL LIGHT (FRONT RIGHT SIDE)</v>
      </c>
      <c r="L415" s="72" t="str">
        <f>IFERROR(__xludf.DUMMYFUNCTION("""COMPUTED_VALUE"""),"CHANGE OIL ABD REPAIR SIGNAL LIGHT AND STOP LIGHT")</f>
        <v>CHANGE OIL ABD REPAIR SIGNAL LIGHT AND STOP LIGHT</v>
      </c>
      <c r="M415" s="2"/>
      <c r="N415" s="2"/>
      <c r="O415" s="2">
        <f>IFERROR(__xludf.DUMMYFUNCTION("""COMPUTED_VALUE"""),1329.0)</f>
        <v>1329</v>
      </c>
      <c r="P415" s="2"/>
      <c r="Q415" s="2" t="str">
        <f>IFERROR(__xludf.DUMMYFUNCTION("""COMPUTED_VALUE"""),"Y")</f>
        <v>Y</v>
      </c>
      <c r="R415" s="74">
        <f>IFERROR(__xludf.DUMMYFUNCTION("""COMPUTED_VALUE"""),45574.0)</f>
        <v>45574</v>
      </c>
      <c r="S415" s="2" t="str">
        <f>IFERROR(__xludf.DUMMYFUNCTION("""COMPUTED_VALUE"""),"EGT/DRM")</f>
        <v>EGT/DRM</v>
      </c>
      <c r="T415" s="73" t="str">
        <f>IFERROR(__xludf.DUMMYFUNCTION("""COMPUTED_VALUE""")," N/A ")</f>
        <v>N/A</v>
      </c>
      <c r="U415" s="73" t="str">
        <f>IFERROR(__xludf.DUMMYFUNCTION("""COMPUTED_VALUE""")," NO CHARGE ")</f>
        <v>NO CHARGE</v>
      </c>
      <c r="V415" s="2"/>
      <c r="W415" s="2" t="str">
        <f>IFERROR(__xludf.DUMMYFUNCTION("""COMPUTED_VALUE"""),"N/A")</f>
        <v>N/A</v>
      </c>
      <c r="X415" s="2" t="str">
        <f>IFERROR(__xludf.DUMMYFUNCTION("""COMPUTED_VALUE"""),"N/A")</f>
        <v>N/A</v>
      </c>
      <c r="Y415" s="2" t="str">
        <f>IFERROR(__xludf.DUMMYFUNCTION("""COMPUTED_VALUE"""),"PENDING DELIVERY")</f>
        <v>PENDING DELIVERY</v>
      </c>
      <c r="Z415" s="2"/>
      <c r="AA415" s="2"/>
      <c r="AB415" s="2"/>
      <c r="AC415" s="2"/>
      <c r="AD415" s="2"/>
      <c r="AE415" s="2"/>
      <c r="AF415" s="2"/>
      <c r="AG415" s="2"/>
      <c r="AH415" s="2"/>
      <c r="AI415" s="2"/>
      <c r="AJ415" s="2" t="str">
        <f>IFERROR(__xludf.DUMMYFUNCTION("""COMPUTED_VALUE"""),"Igbonglo")</f>
        <v>Igbonglo</v>
      </c>
      <c r="AK415" s="2" t="str">
        <f>IFERROR(__xludf.DUMMYFUNCTION("""COMPUTED_VALUE"""),"San Jose")</f>
        <v>San Jose</v>
      </c>
      <c r="AL415" s="2" t="str">
        <f>IFERROR(__xludf.DUMMYFUNCTION("""COMPUTED_VALUE"""),"Antique")</f>
        <v>Antique</v>
      </c>
      <c r="AM415" s="2">
        <f>IFERROR(__xludf.DUMMYFUNCTION("""COMPUTED_VALUE"""),6.0)</f>
        <v>6</v>
      </c>
      <c r="AN415" s="2" t="str">
        <f>IFERROR(__xludf.DUMMYFUNCTION("""COMPUTED_VALUE"""),"RCEF 23-09-21 Rebidding")</f>
        <v>RCEF 23-09-21 Rebidding</v>
      </c>
      <c r="AO415" s="2">
        <f>IFERROR(__xludf.DUMMYFUNCTION("""COMPUTED_VALUE"""),4.0)</f>
        <v>4</v>
      </c>
      <c r="AP415" s="2"/>
      <c r="AQ415" s="2"/>
      <c r="AR415" s="2"/>
      <c r="AS415" s="2"/>
      <c r="AT415" s="2"/>
      <c r="AU415" s="2"/>
      <c r="AV415" s="2"/>
      <c r="AW415" s="2"/>
      <c r="AX415" s="2"/>
      <c r="AY415" s="2"/>
      <c r="AZ415" s="2"/>
      <c r="BA415" s="2"/>
      <c r="BB415" s="2"/>
    </row>
    <row r="416">
      <c r="A416" s="2">
        <f>IFERROR(__xludf.DUMMYFUNCTION("""COMPUTED_VALUE"""),412.0)</f>
        <v>412</v>
      </c>
      <c r="B416" s="2" t="str">
        <f>IFERROR(__xludf.DUMMYFUNCTION("""COMPUTED_VALUE"""),"COMPLETED")</f>
        <v>COMPLETED</v>
      </c>
      <c r="C416" s="74">
        <f>IFERROR(__xludf.DUMMYFUNCTION("""COMPUTED_VALUE"""),45524.0)</f>
        <v>45524</v>
      </c>
      <c r="D416" s="71" t="str">
        <f>IFERROR(__xludf.DUMMYFUNCTION("""COMPUTED_VALUE"""),"Aglanot Pinoy Agri Farmers Association (APAFA)")</f>
        <v>Aglanot Pinoy Agri Farmers Association (APAFA)</v>
      </c>
      <c r="E416" s="71" t="str">
        <f>IFERROR(__xludf.DUMMYFUNCTION("""COMPUTED_VALUE"""),"Aglanot, Dumarao, CAPIZ")</f>
        <v>Aglanot, Dumarao, CAPIZ</v>
      </c>
      <c r="F416" s="2" t="str">
        <f>IFERROR(__xludf.DUMMYFUNCTION("""COMPUTED_VALUE"""),"MA. LINA ALVAREZ")</f>
        <v>MA. LINA ALVAREZ</v>
      </c>
      <c r="G416" s="2">
        <f>IFERROR(__xludf.DUMMYFUNCTION("""COMPUTED_VALUE"""),9.319369156E9)</f>
        <v>9319369156</v>
      </c>
      <c r="H416" s="2"/>
      <c r="I416" s="72" t="str">
        <f>IFERROR(__xludf.DUMMYFUNCTION("""COMPUTED_VALUE"""),"PMS")</f>
        <v>PMS</v>
      </c>
      <c r="J416" s="72" t="str">
        <f>IFERROR(__xludf.DUMMYFUNCTION("""COMPUTED_VALUE"""),"PMS")</f>
        <v>PMS</v>
      </c>
      <c r="K416" s="72" t="str">
        <f>IFERROR(__xludf.DUMMYFUNCTION("""COMPUTED_VALUE"""),"CCB; FOR FIRST PMS: SELF PMS")</f>
        <v>CCB; FOR FIRST PMS: SELF PMS</v>
      </c>
      <c r="L416" s="72" t="str">
        <f>IFERROR(__xludf.DUMMYFUNCTION("""COMPUTED_VALUE"""),"CALL:SEND AGREEMENT:")</f>
        <v>CALL:SEND AGREEMENT:</v>
      </c>
      <c r="M416" s="2"/>
      <c r="N416" s="2"/>
      <c r="O416" s="2" t="str">
        <f>IFERROR(__xludf.DUMMYFUNCTION("""COMPUTED_VALUE"""),"N/A")</f>
        <v>N/A</v>
      </c>
      <c r="P416" s="2"/>
      <c r="Q416" s="2"/>
      <c r="R416" s="74">
        <f>IFERROR(__xludf.DUMMYFUNCTION("""COMPUTED_VALUE"""),45550.0)</f>
        <v>45550</v>
      </c>
      <c r="S416" s="2" t="str">
        <f>IFERROR(__xludf.DUMMYFUNCTION("""COMPUTED_VALUE"""),"MYKEE")</f>
        <v>MYKEE</v>
      </c>
      <c r="T416" s="73" t="str">
        <f>IFERROR(__xludf.DUMMYFUNCTION("""COMPUTED_VALUE""")," N/A ")</f>
        <v>N/A</v>
      </c>
      <c r="U416" s="73" t="str">
        <f>IFERROR(__xludf.DUMMYFUNCTION("""COMPUTED_VALUE""")," NO CHARGE ")</f>
        <v>NO CHARGE</v>
      </c>
      <c r="V416" s="2"/>
      <c r="W416" s="2" t="str">
        <f>IFERROR(__xludf.DUMMYFUNCTION("""COMPUTED_VALUE"""),"N/A")</f>
        <v>N/A</v>
      </c>
      <c r="X416" s="2" t="str">
        <f>IFERROR(__xludf.DUMMYFUNCTION("""COMPUTED_VALUE"""),"N/A")</f>
        <v>N/A</v>
      </c>
      <c r="Y416" s="2"/>
      <c r="Z416" s="2"/>
      <c r="AA416" s="2"/>
      <c r="AB416" s="2"/>
      <c r="AC416" s="2"/>
      <c r="AD416" s="2"/>
      <c r="AE416" s="2"/>
      <c r="AF416" s="2"/>
      <c r="AG416" s="2"/>
      <c r="AH416" s="2"/>
      <c r="AI416" s="2"/>
      <c r="AJ416" s="2" t="str">
        <f>IFERROR(__xludf.DUMMYFUNCTION("""COMPUTED_VALUE"""),"Aglanot")</f>
        <v>Aglanot</v>
      </c>
      <c r="AK416" s="2" t="str">
        <f>IFERROR(__xludf.DUMMYFUNCTION("""COMPUTED_VALUE"""),"Dumarao")</f>
        <v>Dumarao</v>
      </c>
      <c r="AL416" s="2" t="str">
        <f>IFERROR(__xludf.DUMMYFUNCTION("""COMPUTED_VALUE"""),"Capiz")</f>
        <v>Capiz</v>
      </c>
      <c r="AM416" s="2">
        <f>IFERROR(__xludf.DUMMYFUNCTION("""COMPUTED_VALUE"""),6.0)</f>
        <v>6</v>
      </c>
      <c r="AN416" s="2" t="str">
        <f>IFERROR(__xludf.DUMMYFUNCTION("""COMPUTED_VALUE"""),"RCEF 23-09-21 Rebidding")</f>
        <v>RCEF 23-09-21 Rebidding</v>
      </c>
      <c r="AO416" s="2">
        <f>IFERROR(__xludf.DUMMYFUNCTION("""COMPUTED_VALUE"""),4.0)</f>
        <v>4</v>
      </c>
      <c r="AP416" s="2"/>
      <c r="AQ416" s="2"/>
      <c r="AR416" s="2"/>
      <c r="AS416" s="2"/>
      <c r="AT416" s="2"/>
      <c r="AU416" s="2"/>
      <c r="AV416" s="2"/>
      <c r="AW416" s="2"/>
      <c r="AX416" s="2"/>
      <c r="AY416" s="2"/>
      <c r="AZ416" s="2"/>
      <c r="BA416" s="2"/>
      <c r="BB416" s="2"/>
    </row>
    <row r="417">
      <c r="A417" s="2">
        <f>IFERROR(__xludf.DUMMYFUNCTION("""COMPUTED_VALUE"""),413.0)</f>
        <v>413</v>
      </c>
      <c r="B417" s="2" t="str">
        <f>IFERROR(__xludf.DUMMYFUNCTION("""COMPUTED_VALUE"""),"COMPLETED")</f>
        <v>COMPLETED</v>
      </c>
      <c r="C417" s="74">
        <f>IFERROR(__xludf.DUMMYFUNCTION("""COMPUTED_VALUE"""),45524.0)</f>
        <v>45524</v>
      </c>
      <c r="D417" s="71" t="str">
        <f>IFERROR(__xludf.DUMMYFUNCTION("""COMPUTED_VALUE"""),"(BBCM) BINANU-AN BINANGBANG CENTRO-CUBAY-MAGTULIS IRRIGATORS ASSOCIATION, INC.")</f>
        <v>(BBCM) BINANU-AN BINANGBANG CENTRO-CUBAY-MAGTULIS IRRIGATORS ASSOCIATION, INC.</v>
      </c>
      <c r="E417" s="71" t="str">
        <f>IFERROR(__xludf.DUMMYFUNCTION("""COMPUTED_VALUE"""),"Binanu-an, Barbaza, ANTIQUE")</f>
        <v>Binanu-an, Barbaza, ANTIQUE</v>
      </c>
      <c r="F417" s="2" t="str">
        <f>IFERROR(__xludf.DUMMYFUNCTION("""COMPUTED_VALUE"""),"Votaire B. Chavoso")</f>
        <v>Votaire B. Chavoso</v>
      </c>
      <c r="G417" s="2" t="str">
        <f>IFERROR(__xludf.DUMMYFUNCTION("""COMPUTED_VALUE"""),"0905-107-1789")</f>
        <v>0905-107-1789</v>
      </c>
      <c r="H417" s="2"/>
      <c r="I417" s="72" t="str">
        <f>IFERROR(__xludf.DUMMYFUNCTION("""COMPUTED_VALUE"""),"REPAIR - TRACTOR")</f>
        <v>REPAIR - TRACTOR</v>
      </c>
      <c r="J417" s="72" t="str">
        <f>IFERROR(__xludf.DUMMYFUNCTION("""COMPUTED_VALUE"""),"PENDING DELIVERIES")</f>
        <v>PENDING DELIVERIES</v>
      </c>
      <c r="K417" s="72" t="str">
        <f>IFERROR(__xludf.DUMMYFUNCTION("""COMPUTED_VALUE"""),"ERP: DAMAGED TURN SIGNAL LIGHT (FRONT RIGHT SIDE)")</f>
        <v>ERP: DAMAGED TURN SIGNAL LIGHT (FRONT RIGHT SIDE)</v>
      </c>
      <c r="L417" s="72" t="str">
        <f>IFERROR(__xludf.DUMMYFUNCTION("""COMPUTED_VALUE"""),"PENDING DELIVERIES")</f>
        <v>PENDING DELIVERIES</v>
      </c>
      <c r="M417" s="2"/>
      <c r="N417" s="2" t="str">
        <f>IFERROR(__xludf.DUMMYFUNCTION("""COMPUTED_VALUE"""),"PENDING DELIVERIES")</f>
        <v>PENDING DELIVERIES</v>
      </c>
      <c r="O417" s="2" t="str">
        <f>IFERROR(__xludf.DUMMYFUNCTION("""COMPUTED_VALUE"""),"N/A")</f>
        <v>N/A</v>
      </c>
      <c r="P417" s="2"/>
      <c r="Q417" s="2"/>
      <c r="R417" s="74">
        <f>IFERROR(__xludf.DUMMYFUNCTION("""COMPUTED_VALUE"""),45574.0)</f>
        <v>45574</v>
      </c>
      <c r="S417" s="2" t="str">
        <f>IFERROR(__xludf.DUMMYFUNCTION("""COMPUTED_VALUE"""),"EGT/DRM")</f>
        <v>EGT/DRM</v>
      </c>
      <c r="T417" s="73" t="str">
        <f>IFERROR(__xludf.DUMMYFUNCTION("""COMPUTED_VALUE""")," N/A ")</f>
        <v>N/A</v>
      </c>
      <c r="U417" s="73" t="str">
        <f>IFERROR(__xludf.DUMMYFUNCTION("""COMPUTED_VALUE""")," N/A ")</f>
        <v>N/A</v>
      </c>
      <c r="V417" s="2"/>
      <c r="W417" s="2"/>
      <c r="X417" s="2"/>
      <c r="Y417" s="2" t="str">
        <f>IFERROR(__xludf.DUMMYFUNCTION("""COMPUTED_VALUE"""),"PENDING DELIVERY")</f>
        <v>PENDING DELIVERY</v>
      </c>
      <c r="Z417" s="2"/>
      <c r="AA417" s="2"/>
      <c r="AB417" s="2"/>
      <c r="AC417" s="2"/>
      <c r="AD417" s="2"/>
      <c r="AE417" s="2"/>
      <c r="AF417" s="2"/>
      <c r="AG417" s="2"/>
      <c r="AH417" s="2"/>
      <c r="AI417" s="2"/>
      <c r="AJ417" s="2" t="str">
        <f>IFERROR(__xludf.DUMMYFUNCTION("""COMPUTED_VALUE"""),"Binanu-An")</f>
        <v>Binanu-An</v>
      </c>
      <c r="AK417" s="2" t="str">
        <f>IFERROR(__xludf.DUMMYFUNCTION("""COMPUTED_VALUE"""),"Barbaza")</f>
        <v>Barbaza</v>
      </c>
      <c r="AL417" s="2" t="str">
        <f>IFERROR(__xludf.DUMMYFUNCTION("""COMPUTED_VALUE"""),"Antique")</f>
        <v>Antique</v>
      </c>
      <c r="AM417" s="2">
        <f>IFERROR(__xludf.DUMMYFUNCTION("""COMPUTED_VALUE"""),6.0)</f>
        <v>6</v>
      </c>
      <c r="AN417" s="2" t="str">
        <f>IFERROR(__xludf.DUMMYFUNCTION("""COMPUTED_VALUE"""),"RCEF 23-09-21 Rebidding")</f>
        <v>RCEF 23-09-21 Rebidding</v>
      </c>
      <c r="AO417" s="2">
        <f>IFERROR(__xludf.DUMMYFUNCTION("""COMPUTED_VALUE"""),4.0)</f>
        <v>4</v>
      </c>
      <c r="AP417" s="2"/>
      <c r="AQ417" s="2"/>
      <c r="AR417" s="2"/>
      <c r="AS417" s="2"/>
      <c r="AT417" s="2"/>
      <c r="AU417" s="2"/>
      <c r="AV417" s="2"/>
      <c r="AW417" s="2"/>
      <c r="AX417" s="2"/>
      <c r="AY417" s="2"/>
      <c r="AZ417" s="2"/>
      <c r="BA417" s="2"/>
      <c r="BB417" s="2"/>
    </row>
    <row r="418">
      <c r="A418" s="2">
        <f>IFERROR(__xludf.DUMMYFUNCTION("""COMPUTED_VALUE"""),414.0)</f>
        <v>414</v>
      </c>
      <c r="B418" s="2" t="str">
        <f>IFERROR(__xludf.DUMMYFUNCTION("""COMPUTED_VALUE"""),"COMPLETED")</f>
        <v>COMPLETED</v>
      </c>
      <c r="C418" s="74">
        <f>IFERROR(__xludf.DUMMYFUNCTION("""COMPUTED_VALUE"""),45524.0)</f>
        <v>45524</v>
      </c>
      <c r="D418" s="71" t="str">
        <f>IFERROR(__xludf.DUMMYFUNCTION("""COMPUTED_VALUE"""),"CAPOYUAN FARMERS ASSOCIATION")</f>
        <v>CAPOYUAN FARMERS ASSOCIATION</v>
      </c>
      <c r="E418" s="71" t="str">
        <f>IFERROR(__xludf.DUMMYFUNCTION("""COMPUTED_VALUE"""),"Capoyuan, Barbaza, ANTIQUE")</f>
        <v>Capoyuan, Barbaza, ANTIQUE</v>
      </c>
      <c r="F418" s="2" t="str">
        <f>IFERROR(__xludf.DUMMYFUNCTION("""COMPUTED_VALUE"""),"Rodulfo M. Remo")</f>
        <v>Rodulfo M. Remo</v>
      </c>
      <c r="G418" s="2">
        <f>IFERROR(__xludf.DUMMYFUNCTION("""COMPUTED_VALUE"""),9.477650687E9)</f>
        <v>9477650687</v>
      </c>
      <c r="H418" s="2"/>
      <c r="I418" s="72" t="str">
        <f>IFERROR(__xludf.DUMMYFUNCTION("""COMPUTED_VALUE"""),"REPAIR - TRACTOR")</f>
        <v>REPAIR - TRACTOR</v>
      </c>
      <c r="J418" s="72" t="str">
        <f>IFERROR(__xludf.DUMMYFUNCTION("""COMPUTED_VALUE"""),"PENDING DELIVERIES")</f>
        <v>PENDING DELIVERIES</v>
      </c>
      <c r="K418" s="72" t="str">
        <f>IFERROR(__xludf.DUMMYFUNCTION("""COMPUTED_VALUE"""),"ERP: NO COIL RING FOR BUCKET (LEFT HANDSIDE)")</f>
        <v>ERP: NO COIL RING FOR BUCKET (LEFT HANDSIDE)</v>
      </c>
      <c r="L418" s="72" t="str">
        <f>IFERROR(__xludf.DUMMYFUNCTION("""COMPUTED_VALUE"""),"PENDING DELIVERIES")</f>
        <v>PENDING DELIVERIES</v>
      </c>
      <c r="M418" s="2"/>
      <c r="N418" s="2" t="str">
        <f>IFERROR(__xludf.DUMMYFUNCTION("""COMPUTED_VALUE"""),"PENDING DELIVERIES")</f>
        <v>PENDING DELIVERIES</v>
      </c>
      <c r="O418" s="2" t="str">
        <f>IFERROR(__xludf.DUMMYFUNCTION("""COMPUTED_VALUE"""),"N/A")</f>
        <v>N/A</v>
      </c>
      <c r="P418" s="2"/>
      <c r="Q418" s="2"/>
      <c r="R418" s="74">
        <f>IFERROR(__xludf.DUMMYFUNCTION("""COMPUTED_VALUE"""),45574.0)</f>
        <v>45574</v>
      </c>
      <c r="S418" s="2" t="str">
        <f>IFERROR(__xludf.DUMMYFUNCTION("""COMPUTED_VALUE"""),"EGT/DRM")</f>
        <v>EGT/DRM</v>
      </c>
      <c r="T418" s="73" t="str">
        <f>IFERROR(__xludf.DUMMYFUNCTION("""COMPUTED_VALUE""")," N/A ")</f>
        <v>N/A</v>
      </c>
      <c r="U418" s="73" t="str">
        <f>IFERROR(__xludf.DUMMYFUNCTION("""COMPUTED_VALUE""")," N/A ")</f>
        <v>N/A</v>
      </c>
      <c r="V418" s="2"/>
      <c r="W418" s="2"/>
      <c r="X418" s="2"/>
      <c r="Y418" s="2" t="str">
        <f>IFERROR(__xludf.DUMMYFUNCTION("""COMPUTED_VALUE"""),"PENDING DELIVERY")</f>
        <v>PENDING DELIVERY</v>
      </c>
      <c r="Z418" s="2"/>
      <c r="AA418" s="2"/>
      <c r="AB418" s="2"/>
      <c r="AC418" s="2"/>
      <c r="AD418" s="2"/>
      <c r="AE418" s="2"/>
      <c r="AF418" s="2"/>
      <c r="AG418" s="2"/>
      <c r="AH418" s="2"/>
      <c r="AI418" s="2"/>
      <c r="AJ418" s="2" t="str">
        <f>IFERROR(__xludf.DUMMYFUNCTION("""COMPUTED_VALUE"""),"Capoyuan")</f>
        <v>Capoyuan</v>
      </c>
      <c r="AK418" s="2" t="str">
        <f>IFERROR(__xludf.DUMMYFUNCTION("""COMPUTED_VALUE"""),"Barbaza")</f>
        <v>Barbaza</v>
      </c>
      <c r="AL418" s="2" t="str">
        <f>IFERROR(__xludf.DUMMYFUNCTION("""COMPUTED_VALUE"""),"Antique")</f>
        <v>Antique</v>
      </c>
      <c r="AM418" s="2">
        <f>IFERROR(__xludf.DUMMYFUNCTION("""COMPUTED_VALUE"""),6.0)</f>
        <v>6</v>
      </c>
      <c r="AN418" s="2" t="str">
        <f>IFERROR(__xludf.DUMMYFUNCTION("""COMPUTED_VALUE"""),"RCEF 23-09-21 Rebidding")</f>
        <v>RCEF 23-09-21 Rebidding</v>
      </c>
      <c r="AO418" s="2">
        <f>IFERROR(__xludf.DUMMYFUNCTION("""COMPUTED_VALUE"""),4.0)</f>
        <v>4</v>
      </c>
      <c r="AP418" s="2"/>
      <c r="AQ418" s="2"/>
      <c r="AR418" s="2"/>
      <c r="AS418" s="2"/>
      <c r="AT418" s="2"/>
      <c r="AU418" s="2"/>
      <c r="AV418" s="2"/>
      <c r="AW418" s="2"/>
      <c r="AX418" s="2"/>
      <c r="AY418" s="2"/>
      <c r="AZ418" s="2"/>
      <c r="BA418" s="2"/>
      <c r="BB418" s="2"/>
    </row>
    <row r="419">
      <c r="A419" s="2">
        <f>IFERROR(__xludf.DUMMYFUNCTION("""COMPUTED_VALUE"""),415.0)</f>
        <v>415</v>
      </c>
      <c r="B419" s="2" t="str">
        <f>IFERROR(__xludf.DUMMYFUNCTION("""COMPUTED_VALUE"""),"COMPLETED")</f>
        <v>COMPLETED</v>
      </c>
      <c r="C419" s="74">
        <f>IFERROR(__xludf.DUMMYFUNCTION("""COMPUTED_VALUE"""),45524.0)</f>
        <v>45524</v>
      </c>
      <c r="D419" s="71" t="str">
        <f>IFERROR(__xludf.DUMMYFUNCTION("""COMPUTED_VALUE"""),"La Rioja Farmers Association")</f>
        <v>La Rioja Farmers Association</v>
      </c>
      <c r="E419" s="71" t="str">
        <f>IFERROR(__xludf.DUMMYFUNCTION("""COMPUTED_VALUE"""),"La Rioja, Patnongon, ANTIQUE")</f>
        <v>La Rioja, Patnongon, ANTIQUE</v>
      </c>
      <c r="F419" s="2" t="str">
        <f>IFERROR(__xludf.DUMMYFUNCTION("""COMPUTED_VALUE"""),"Alipio E. Guzman")</f>
        <v>Alipio E. Guzman</v>
      </c>
      <c r="G419" s="2" t="str">
        <f>IFERROR(__xludf.DUMMYFUNCTION("""COMPUTED_VALUE"""),"0997-962-1463")</f>
        <v>0997-962-1463</v>
      </c>
      <c r="H419" s="2"/>
      <c r="I419" s="72" t="str">
        <f>IFERROR(__xludf.DUMMYFUNCTION("""COMPUTED_VALUE"""),"REPAIR - TRACTOR")</f>
        <v>REPAIR - TRACTOR</v>
      </c>
      <c r="J419" s="72" t="str">
        <f>IFERROR(__xludf.DUMMYFUNCTION("""COMPUTED_VALUE"""),"PENDING DELIVERIES")</f>
        <v>PENDING DELIVERIES</v>
      </c>
      <c r="K419" s="72" t="str">
        <f>IFERROR(__xludf.DUMMYFUNCTION("""COMPUTED_VALUE"""),"ERP: NO HYDRAULIC HOSE HOLDER FOR THE BUCKET")</f>
        <v>ERP: NO HYDRAULIC HOSE HOLDER FOR THE BUCKET</v>
      </c>
      <c r="L419" s="72" t="str">
        <f>IFERROR(__xludf.DUMMYFUNCTION("""COMPUTED_VALUE"""),"PENDING DELIVERIES")</f>
        <v>PENDING DELIVERIES</v>
      </c>
      <c r="M419" s="2"/>
      <c r="N419" s="2" t="str">
        <f>IFERROR(__xludf.DUMMYFUNCTION("""COMPUTED_VALUE"""),"PENDING DELIVERIES")</f>
        <v>PENDING DELIVERIES</v>
      </c>
      <c r="O419" s="2" t="str">
        <f>IFERROR(__xludf.DUMMYFUNCTION("""COMPUTED_VALUE"""),"N/A")</f>
        <v>N/A</v>
      </c>
      <c r="P419" s="2"/>
      <c r="Q419" s="2"/>
      <c r="R419" s="74">
        <f>IFERROR(__xludf.DUMMYFUNCTION("""COMPUTED_VALUE"""),45574.0)</f>
        <v>45574</v>
      </c>
      <c r="S419" s="2" t="str">
        <f>IFERROR(__xludf.DUMMYFUNCTION("""COMPUTED_VALUE"""),"EGT/DRM")</f>
        <v>EGT/DRM</v>
      </c>
      <c r="T419" s="73" t="str">
        <f>IFERROR(__xludf.DUMMYFUNCTION("""COMPUTED_VALUE""")," N/A ")</f>
        <v>N/A</v>
      </c>
      <c r="U419" s="73" t="str">
        <f>IFERROR(__xludf.DUMMYFUNCTION("""COMPUTED_VALUE""")," N/A ")</f>
        <v>N/A</v>
      </c>
      <c r="V419" s="2"/>
      <c r="W419" s="2"/>
      <c r="X419" s="2"/>
      <c r="Y419" s="2" t="str">
        <f>IFERROR(__xludf.DUMMYFUNCTION("""COMPUTED_VALUE"""),"PENDING DELIVERY")</f>
        <v>PENDING DELIVERY</v>
      </c>
      <c r="Z419" s="2"/>
      <c r="AA419" s="2"/>
      <c r="AB419" s="2"/>
      <c r="AC419" s="2"/>
      <c r="AD419" s="2"/>
      <c r="AE419" s="2"/>
      <c r="AF419" s="2"/>
      <c r="AG419" s="2"/>
      <c r="AH419" s="2"/>
      <c r="AI419" s="2"/>
      <c r="AJ419" s="2" t="str">
        <f>IFERROR(__xludf.DUMMYFUNCTION("""COMPUTED_VALUE"""),"La Rioja")</f>
        <v>La Rioja</v>
      </c>
      <c r="AK419" s="2" t="str">
        <f>IFERROR(__xludf.DUMMYFUNCTION("""COMPUTED_VALUE"""),"Patnongon")</f>
        <v>Patnongon</v>
      </c>
      <c r="AL419" s="2" t="str">
        <f>IFERROR(__xludf.DUMMYFUNCTION("""COMPUTED_VALUE"""),"Antique")</f>
        <v>Antique</v>
      </c>
      <c r="AM419" s="2">
        <f>IFERROR(__xludf.DUMMYFUNCTION("""COMPUTED_VALUE"""),6.0)</f>
        <v>6</v>
      </c>
      <c r="AN419" s="2" t="str">
        <f>IFERROR(__xludf.DUMMYFUNCTION("""COMPUTED_VALUE"""),"RCEF 23-09-21 Rebidding")</f>
        <v>RCEF 23-09-21 Rebidding</v>
      </c>
      <c r="AO419" s="2">
        <f>IFERROR(__xludf.DUMMYFUNCTION("""COMPUTED_VALUE"""),4.0)</f>
        <v>4</v>
      </c>
      <c r="AP419" s="2"/>
      <c r="AQ419" s="2"/>
      <c r="AR419" s="2"/>
      <c r="AS419" s="2"/>
      <c r="AT419" s="2"/>
      <c r="AU419" s="2"/>
      <c r="AV419" s="2"/>
      <c r="AW419" s="2"/>
      <c r="AX419" s="2"/>
      <c r="AY419" s="2"/>
      <c r="AZ419" s="2"/>
      <c r="BA419" s="2"/>
      <c r="BB419" s="2"/>
    </row>
    <row r="420">
      <c r="A420" s="2">
        <f>IFERROR(__xludf.DUMMYFUNCTION("""COMPUTED_VALUE"""),416.0)</f>
        <v>416</v>
      </c>
      <c r="B420" s="2" t="str">
        <f>IFERROR(__xludf.DUMMYFUNCTION("""COMPUTED_VALUE"""),"COMPLETED")</f>
        <v>COMPLETED</v>
      </c>
      <c r="C420" s="74">
        <f>IFERROR(__xludf.DUMMYFUNCTION("""COMPUTED_VALUE"""),45524.0)</f>
        <v>45524</v>
      </c>
      <c r="D420" s="71" t="str">
        <f>IFERROR(__xludf.DUMMYFUNCTION("""COMPUTED_VALUE"""),"Inabasan Small Farmers Association")</f>
        <v>Inabasan Small Farmers Association</v>
      </c>
      <c r="E420" s="71" t="str">
        <f>IFERROR(__xludf.DUMMYFUNCTION("""COMPUTED_VALUE"""),"Inabasan, San Jose, ANTIQUE")</f>
        <v>Inabasan, San Jose, ANTIQUE</v>
      </c>
      <c r="F420" s="2" t="str">
        <f>IFERROR(__xludf.DUMMYFUNCTION("""COMPUTED_VALUE"""),"Joebert E. Daniel")</f>
        <v>Joebert E. Daniel</v>
      </c>
      <c r="G420" s="2" t="str">
        <f>IFERROR(__xludf.DUMMYFUNCTION("""COMPUTED_VALUE"""),"0955-987-8800")</f>
        <v>0955-987-8800</v>
      </c>
      <c r="H420" s="2"/>
      <c r="I420" s="72" t="str">
        <f>IFERROR(__xludf.DUMMYFUNCTION("""COMPUTED_VALUE"""),"REPAIR - TRACTOR")</f>
        <v>REPAIR - TRACTOR</v>
      </c>
      <c r="J420" s="72" t="str">
        <f>IFERROR(__xludf.DUMMYFUNCTION("""COMPUTED_VALUE"""),"PENDING DELIVERIES")</f>
        <v>PENDING DELIVERIES</v>
      </c>
      <c r="K420" s="72" t="str">
        <f>IFERROR(__xludf.DUMMYFUNCTION("""COMPUTED_VALUE"""),"ERP: NEED TO ADD MORE GEAR OIL DUE TO LEAK")</f>
        <v>ERP: NEED TO ADD MORE GEAR OIL DUE TO LEAK</v>
      </c>
      <c r="L420" s="72" t="str">
        <f>IFERROR(__xludf.DUMMYFUNCTION("""COMPUTED_VALUE"""),"PENDING DELIVERIES")</f>
        <v>PENDING DELIVERIES</v>
      </c>
      <c r="M420" s="2"/>
      <c r="N420" s="2" t="str">
        <f>IFERROR(__xludf.DUMMYFUNCTION("""COMPUTED_VALUE"""),"PENDING DELIVERIES")</f>
        <v>PENDING DELIVERIES</v>
      </c>
      <c r="O420" s="2" t="str">
        <f>IFERROR(__xludf.DUMMYFUNCTION("""COMPUTED_VALUE"""),"N/A")</f>
        <v>N/A</v>
      </c>
      <c r="P420" s="2"/>
      <c r="Q420" s="2"/>
      <c r="R420" s="74">
        <f>IFERROR(__xludf.DUMMYFUNCTION("""COMPUTED_VALUE"""),45574.0)</f>
        <v>45574</v>
      </c>
      <c r="S420" s="2" t="str">
        <f>IFERROR(__xludf.DUMMYFUNCTION("""COMPUTED_VALUE"""),"EGT/DRM")</f>
        <v>EGT/DRM</v>
      </c>
      <c r="T420" s="73" t="str">
        <f>IFERROR(__xludf.DUMMYFUNCTION("""COMPUTED_VALUE""")," N/A ")</f>
        <v>N/A</v>
      </c>
      <c r="U420" s="73" t="str">
        <f>IFERROR(__xludf.DUMMYFUNCTION("""COMPUTED_VALUE""")," N/A ")</f>
        <v>N/A</v>
      </c>
      <c r="V420" s="2"/>
      <c r="W420" s="2"/>
      <c r="X420" s="2"/>
      <c r="Y420" s="2" t="str">
        <f>IFERROR(__xludf.DUMMYFUNCTION("""COMPUTED_VALUE"""),"PENDING DELIVERY")</f>
        <v>PENDING DELIVERY</v>
      </c>
      <c r="Z420" s="2"/>
      <c r="AA420" s="2"/>
      <c r="AB420" s="2"/>
      <c r="AC420" s="2"/>
      <c r="AD420" s="2"/>
      <c r="AE420" s="2"/>
      <c r="AF420" s="2"/>
      <c r="AG420" s="2"/>
      <c r="AH420" s="2"/>
      <c r="AI420" s="2"/>
      <c r="AJ420" s="2" t="str">
        <f>IFERROR(__xludf.DUMMYFUNCTION("""COMPUTED_VALUE"""),"Inabasan")</f>
        <v>Inabasan</v>
      </c>
      <c r="AK420" s="2" t="str">
        <f>IFERROR(__xludf.DUMMYFUNCTION("""COMPUTED_VALUE"""),"San Jose")</f>
        <v>San Jose</v>
      </c>
      <c r="AL420" s="2" t="str">
        <f>IFERROR(__xludf.DUMMYFUNCTION("""COMPUTED_VALUE"""),"Antique")</f>
        <v>Antique</v>
      </c>
      <c r="AM420" s="2">
        <f>IFERROR(__xludf.DUMMYFUNCTION("""COMPUTED_VALUE"""),6.0)</f>
        <v>6</v>
      </c>
      <c r="AN420" s="2" t="str">
        <f>IFERROR(__xludf.DUMMYFUNCTION("""COMPUTED_VALUE"""),"RCEF 23-09-21 Rebidding")</f>
        <v>RCEF 23-09-21 Rebidding</v>
      </c>
      <c r="AO420" s="2">
        <f>IFERROR(__xludf.DUMMYFUNCTION("""COMPUTED_VALUE"""),4.0)</f>
        <v>4</v>
      </c>
      <c r="AP420" s="2"/>
      <c r="AQ420" s="2"/>
      <c r="AR420" s="2"/>
      <c r="AS420" s="2"/>
      <c r="AT420" s="2"/>
      <c r="AU420" s="2"/>
      <c r="AV420" s="2"/>
      <c r="AW420" s="2"/>
      <c r="AX420" s="2"/>
      <c r="AY420" s="2"/>
      <c r="AZ420" s="2"/>
      <c r="BA420" s="2"/>
      <c r="BB420" s="2"/>
    </row>
    <row r="421">
      <c r="A421" s="2">
        <f>IFERROR(__xludf.DUMMYFUNCTION("""COMPUTED_VALUE"""),417.0)</f>
        <v>417</v>
      </c>
      <c r="B421" s="2" t="str">
        <f>IFERROR(__xludf.DUMMYFUNCTION("""COMPUTED_VALUE"""),"COMPLETED")</f>
        <v>COMPLETED</v>
      </c>
      <c r="C421" s="74">
        <f>IFERROR(__xludf.DUMMYFUNCTION("""COMPUTED_VALUE"""),45524.0)</f>
        <v>45524</v>
      </c>
      <c r="D421" s="71" t="str">
        <f>IFERROR(__xludf.DUMMYFUNCTION("""COMPUTED_VALUE"""),"BANDOJA SAN FRANCISCO SUR SAN FRANCISCO NORTE SAN ISIDRO IRRIGATORS ASSOCIATION (BASFICIA) INC.")</f>
        <v>BANDOJA SAN FRANCISCO SUR SAN FRANCISCO NORTE SAN ISIDRO IRRIGATORS ASSOCIATION (BASFICIA) INC.</v>
      </c>
      <c r="E421" s="71" t="str">
        <f>IFERROR(__xludf.DUMMYFUNCTION("""COMPUTED_VALUE"""),"San Francisco Sur, Tibiao, ANTIQUE")</f>
        <v>San Francisco Sur, Tibiao, ANTIQUE</v>
      </c>
      <c r="F421" s="2" t="str">
        <f>IFERROR(__xludf.DUMMYFUNCTION("""COMPUTED_VALUE"""),"JOEL ANDRES")</f>
        <v>JOEL ANDRES</v>
      </c>
      <c r="G421" s="2">
        <f>IFERROR(__xludf.DUMMYFUNCTION("""COMPUTED_VALUE"""),9.651166825E9)</f>
        <v>9651166825</v>
      </c>
      <c r="H421" s="2"/>
      <c r="I421" s="72" t="str">
        <f>IFERROR(__xludf.DUMMYFUNCTION("""COMPUTED_VALUE"""),"REPAIR - TRACTOR")</f>
        <v>REPAIR - TRACTOR</v>
      </c>
      <c r="J421" s="72" t="str">
        <f>IFERROR(__xludf.DUMMYFUNCTION("""COMPUTED_VALUE"""),"PENDING DELIVERIES")</f>
        <v>PENDING DELIVERIES</v>
      </c>
      <c r="K421" s="72" t="str">
        <f>IFERROR(__xludf.DUMMYFUNCTION("""COMPUTED_VALUE"""),"ERP: LACKS 1 PC BOLT AND NUT FOR THE TOOTH OF BUCKET")</f>
        <v>ERP: LACKS 1 PC BOLT AND NUT FOR THE TOOTH OF BUCKET</v>
      </c>
      <c r="L421" s="72" t="str">
        <f>IFERROR(__xludf.DUMMYFUNCTION("""COMPUTED_VALUE"""),"PENDING DELIVERIES")</f>
        <v>PENDING DELIVERIES</v>
      </c>
      <c r="M421" s="2"/>
      <c r="N421" s="2" t="str">
        <f>IFERROR(__xludf.DUMMYFUNCTION("""COMPUTED_VALUE"""),"PENDING DELIVERIES")</f>
        <v>PENDING DELIVERIES</v>
      </c>
      <c r="O421" s="2" t="str">
        <f>IFERROR(__xludf.DUMMYFUNCTION("""COMPUTED_VALUE"""),"N/A")</f>
        <v>N/A</v>
      </c>
      <c r="P421" s="2"/>
      <c r="Q421" s="2"/>
      <c r="R421" s="74">
        <f>IFERROR(__xludf.DUMMYFUNCTION("""COMPUTED_VALUE"""),45574.0)</f>
        <v>45574</v>
      </c>
      <c r="S421" s="2" t="str">
        <f>IFERROR(__xludf.DUMMYFUNCTION("""COMPUTED_VALUE"""),"EGT/DRM")</f>
        <v>EGT/DRM</v>
      </c>
      <c r="T421" s="73" t="str">
        <f>IFERROR(__xludf.DUMMYFUNCTION("""COMPUTED_VALUE""")," N/A ")</f>
        <v>N/A</v>
      </c>
      <c r="U421" s="73" t="str">
        <f>IFERROR(__xludf.DUMMYFUNCTION("""COMPUTED_VALUE""")," N/A ")</f>
        <v>N/A</v>
      </c>
      <c r="V421" s="2"/>
      <c r="W421" s="2"/>
      <c r="X421" s="2"/>
      <c r="Y421" s="2" t="str">
        <f>IFERROR(__xludf.DUMMYFUNCTION("""COMPUTED_VALUE"""),"PENDING DELIVERY")</f>
        <v>PENDING DELIVERY</v>
      </c>
      <c r="Z421" s="2"/>
      <c r="AA421" s="2"/>
      <c r="AB421" s="2"/>
      <c r="AC421" s="2"/>
      <c r="AD421" s="2"/>
      <c r="AE421" s="2"/>
      <c r="AF421" s="2"/>
      <c r="AG421" s="2"/>
      <c r="AH421" s="2"/>
      <c r="AI421" s="2"/>
      <c r="AJ421" s="2" t="str">
        <f>IFERROR(__xludf.DUMMYFUNCTION("""COMPUTED_VALUE"""),"San Francisco Sur")</f>
        <v>San Francisco Sur</v>
      </c>
      <c r="AK421" s="2" t="str">
        <f>IFERROR(__xludf.DUMMYFUNCTION("""COMPUTED_VALUE"""),"Tibiao")</f>
        <v>Tibiao</v>
      </c>
      <c r="AL421" s="2" t="str">
        <f>IFERROR(__xludf.DUMMYFUNCTION("""COMPUTED_VALUE"""),"Antique")</f>
        <v>Antique</v>
      </c>
      <c r="AM421" s="2">
        <f>IFERROR(__xludf.DUMMYFUNCTION("""COMPUTED_VALUE"""),6.0)</f>
        <v>6</v>
      </c>
      <c r="AN421" s="2" t="str">
        <f>IFERROR(__xludf.DUMMYFUNCTION("""COMPUTED_VALUE"""),"RCEF 23-09-21 Rebidding")</f>
        <v>RCEF 23-09-21 Rebidding</v>
      </c>
      <c r="AO421" s="2">
        <f>IFERROR(__xludf.DUMMYFUNCTION("""COMPUTED_VALUE"""),4.0)</f>
        <v>4</v>
      </c>
      <c r="AP421" s="2"/>
      <c r="AQ421" s="2"/>
      <c r="AR421" s="2"/>
      <c r="AS421" s="2"/>
      <c r="AT421" s="2"/>
      <c r="AU421" s="2"/>
      <c r="AV421" s="2"/>
      <c r="AW421" s="2"/>
      <c r="AX421" s="2"/>
      <c r="AY421" s="2"/>
      <c r="AZ421" s="2"/>
      <c r="BA421" s="2"/>
      <c r="BB421" s="2"/>
    </row>
    <row r="422">
      <c r="A422" s="2">
        <f>IFERROR(__xludf.DUMMYFUNCTION("""COMPUTED_VALUE"""),418.0)</f>
        <v>418</v>
      </c>
      <c r="B422" s="2" t="str">
        <f>IFERROR(__xludf.DUMMYFUNCTION("""COMPUTED_VALUE"""),"COMPLETED")</f>
        <v>COMPLETED</v>
      </c>
      <c r="C422" s="74">
        <f>IFERROR(__xludf.DUMMYFUNCTION("""COMPUTED_VALUE"""),45525.0)</f>
        <v>45525</v>
      </c>
      <c r="D422" s="71" t="str">
        <f>IFERROR(__xludf.DUMMYFUNCTION("""COMPUTED_VALUE"""),"Holy Trinity Cathedral Multipurpose Cooperative")</f>
        <v>Holy Trinity Cathedral Multipurpose Cooperative</v>
      </c>
      <c r="E422" s="71" t="str">
        <f>IFERROR(__xludf.DUMMYFUNCTION("""COMPUTED_VALUE"""),"Bulanao, Tabuk City, KALINGA")</f>
        <v>Bulanao, Tabuk City, KALINGA</v>
      </c>
      <c r="F422" s="2" t="str">
        <f>IFERROR(__xludf.DUMMYFUNCTION("""COMPUTED_VALUE"""),"Roland B. Kimmayong ")</f>
        <v>Roland B. Kimmayong </v>
      </c>
      <c r="G422" s="2">
        <f>IFERROR(__xludf.DUMMYFUNCTION("""COMPUTED_VALUE"""),9.363540178E9)</f>
        <v>9363540178</v>
      </c>
      <c r="H422" s="2">
        <f>IFERROR(__xludf.DUMMYFUNCTION("""COMPUTED_VALUE"""),60.0)</f>
        <v>60</v>
      </c>
      <c r="I422" s="72" t="str">
        <f>IFERROR(__xludf.DUMMYFUNCTION("""COMPUTED_VALUE"""),"PMS")</f>
        <v>PMS</v>
      </c>
      <c r="J422" s="72" t="str">
        <f>IFERROR(__xludf.DUMMYFUNCTION("""COMPUTED_VALUE"""),"PMS")</f>
        <v>PMS</v>
      </c>
      <c r="K422" s="72" t="str">
        <f>IFERROR(__xludf.DUMMYFUNCTION("""COMPUTED_VALUE"""),"CFG: Needs change oil as scheduled in the operation manual, Nakausap ko na po ito. sila nalng dw po mag change oil kasi kailangan na dw po nila. hnd na dw po nila ako mahintay: SELF PMS")</f>
        <v>CFG: Needs change oil as scheduled in the operation manual, Nakausap ko na po ito. sila nalng dw po mag change oil kasi kailangan na dw po nila. hnd na dw po nila ako mahintay: SELF PMS</v>
      </c>
      <c r="L422" s="72" t="str">
        <f>IFERROR(__xludf.DUMMYFUNCTION("""COMPUTED_VALUE"""),"SEND AGREEMENT: FB: Roland Kimmayong")</f>
        <v>SEND AGREEMENT: FB: Roland Kimmayong</v>
      </c>
      <c r="M422" s="2"/>
      <c r="N422" s="2"/>
      <c r="O422" s="2" t="str">
        <f>IFERROR(__xludf.DUMMYFUNCTION("""COMPUTED_VALUE"""),"N/A")</f>
        <v>N/A</v>
      </c>
      <c r="P422" s="2"/>
      <c r="Q422" s="2"/>
      <c r="R422" s="74">
        <f>IFERROR(__xludf.DUMMYFUNCTION("""COMPUTED_VALUE"""),45525.0)</f>
        <v>45525</v>
      </c>
      <c r="S422" s="2" t="str">
        <f>IFERROR(__xludf.DUMMYFUNCTION("""COMPUTED_VALUE"""),"MYKEE")</f>
        <v>MYKEE</v>
      </c>
      <c r="T422" s="73" t="str">
        <f>IFERROR(__xludf.DUMMYFUNCTION("""COMPUTED_VALUE""")," N/A ")</f>
        <v>N/A</v>
      </c>
      <c r="U422" s="73" t="str">
        <f>IFERROR(__xludf.DUMMYFUNCTION("""COMPUTED_VALUE""")," NO CHARGE ")</f>
        <v>NO CHARGE</v>
      </c>
      <c r="V422" s="2"/>
      <c r="W422" s="2" t="str">
        <f>IFERROR(__xludf.DUMMYFUNCTION("""COMPUTED_VALUE"""),"N/A")</f>
        <v>N/A</v>
      </c>
      <c r="X422" s="2" t="str">
        <f>IFERROR(__xludf.DUMMYFUNCTION("""COMPUTED_VALUE"""),"N/A")</f>
        <v>N/A</v>
      </c>
      <c r="Y422" s="2"/>
      <c r="Z422" s="2"/>
      <c r="AA422" s="2"/>
      <c r="AB422" s="2"/>
      <c r="AC422" s="2"/>
      <c r="AD422" s="2"/>
      <c r="AE422" s="2"/>
      <c r="AF422" s="2"/>
      <c r="AG422" s="2"/>
      <c r="AH422" s="2"/>
      <c r="AI422" s="2"/>
      <c r="AJ422" s="2" t="str">
        <f>IFERROR(__xludf.DUMMYFUNCTION("""COMPUTED_VALUE"""),"Bulanao")</f>
        <v>Bulanao</v>
      </c>
      <c r="AK422" s="2" t="str">
        <f>IFERROR(__xludf.DUMMYFUNCTION("""COMPUTED_VALUE"""),"Tabuk City")</f>
        <v>Tabuk City</v>
      </c>
      <c r="AL422" s="2" t="str">
        <f>IFERROR(__xludf.DUMMYFUNCTION("""COMPUTED_VALUE"""),"Kalinga")</f>
        <v>Kalinga</v>
      </c>
      <c r="AM422" s="2" t="str">
        <f>IFERROR(__xludf.DUMMYFUNCTION("""COMPUTED_VALUE"""),"CAR")</f>
        <v>CAR</v>
      </c>
      <c r="AN422" s="2" t="str">
        <f>IFERROR(__xludf.DUMMYFUNCTION("""COMPUTED_VALUE"""),"RCEF 23-09-21 Rebidding")</f>
        <v>RCEF 23-09-21 Rebidding</v>
      </c>
      <c r="AO422" s="2">
        <f>IFERROR(__xludf.DUMMYFUNCTION("""COMPUTED_VALUE"""),1.0)</f>
        <v>1</v>
      </c>
      <c r="AP422" s="2"/>
      <c r="AQ422" s="2"/>
      <c r="AR422" s="2"/>
      <c r="AS422" s="2"/>
      <c r="AT422" s="2"/>
      <c r="AU422" s="2"/>
      <c r="AV422" s="2"/>
      <c r="AW422" s="2"/>
      <c r="AX422" s="2"/>
      <c r="AY422" s="2"/>
      <c r="AZ422" s="2"/>
      <c r="BA422" s="2"/>
      <c r="BB422" s="2"/>
    </row>
    <row r="423">
      <c r="A423" s="2">
        <f>IFERROR(__xludf.DUMMYFUNCTION("""COMPUTED_VALUE"""),419.0)</f>
        <v>419</v>
      </c>
      <c r="B423" s="2" t="str">
        <f>IFERROR(__xludf.DUMMYFUNCTION("""COMPUTED_VALUE"""),"COMPLETED")</f>
        <v>COMPLETED</v>
      </c>
      <c r="C423" s="74">
        <f>IFERROR(__xludf.DUMMYFUNCTION("""COMPUTED_VALUE"""),45526.0)</f>
        <v>45526</v>
      </c>
      <c r="D423" s="71" t="str">
        <f>IFERROR(__xludf.DUMMYFUNCTION("""COMPUTED_VALUE"""),"LIWAN EAST FARMERS ASSOCIATION")</f>
        <v>LIWAN EAST FARMERS ASSOCIATION</v>
      </c>
      <c r="E423" s="71" t="str">
        <f>IFERROR(__xludf.DUMMYFUNCTION("""COMPUTED_VALUE"""),"Liwan East, Rizal (Liwan), KALINGA")</f>
        <v>Liwan East, Rizal (Liwan), KALINGA</v>
      </c>
      <c r="F423" s="2"/>
      <c r="G423" s="2">
        <f>IFERROR(__xludf.DUMMYFUNCTION("""COMPUTED_VALUE"""),9.566606933E9)</f>
        <v>9566606933</v>
      </c>
      <c r="H423" s="2">
        <f>IFERROR(__xludf.DUMMYFUNCTION("""COMPUTED_VALUE"""),50.0)</f>
        <v>50</v>
      </c>
      <c r="I423" s="72" t="str">
        <f>IFERROR(__xludf.DUMMYFUNCTION("""COMPUTED_VALUE"""),"PMS")</f>
        <v>PMS</v>
      </c>
      <c r="J423" s="72" t="str">
        <f>IFERROR(__xludf.DUMMYFUNCTION("""COMPUTED_VALUE"""),"PMS")</f>
        <v>PMS</v>
      </c>
      <c r="K423" s="72" t="str">
        <f>IFERROR(__xludf.DUMMYFUNCTION("""COMPUTED_VALUE"""),"RBS: FIRST PMS
CFG: 8/29/24: SELF PMS")</f>
        <v>RBS: FIRST PMS
CFG: 8/29/24: SELF PMS</v>
      </c>
      <c r="L423" s="72" t="str">
        <f>IFERROR(__xludf.DUMMYFUNCTION("""COMPUTED_VALUE"""),"SEND AGREEMENT: FB: CARMEN COTENG")</f>
        <v>SEND AGREEMENT: FB: CARMEN COTENG</v>
      </c>
      <c r="M423" s="2"/>
      <c r="N423" s="2"/>
      <c r="O423" s="2" t="str">
        <f>IFERROR(__xludf.DUMMYFUNCTION("""COMPUTED_VALUE"""),"N/A")</f>
        <v>N/A</v>
      </c>
      <c r="P423" s="2"/>
      <c r="Q423" s="2"/>
      <c r="R423" s="74">
        <f>IFERROR(__xludf.DUMMYFUNCTION("""COMPUTED_VALUE"""),45533.0)</f>
        <v>45533</v>
      </c>
      <c r="S423" s="2" t="str">
        <f>IFERROR(__xludf.DUMMYFUNCTION("""COMPUTED_VALUE"""),"MYKEE")</f>
        <v>MYKEE</v>
      </c>
      <c r="T423" s="73" t="str">
        <f>IFERROR(__xludf.DUMMYFUNCTION("""COMPUTED_VALUE""")," N/A ")</f>
        <v>N/A</v>
      </c>
      <c r="U423" s="73" t="str">
        <f>IFERROR(__xludf.DUMMYFUNCTION("""COMPUTED_VALUE""")," NO CHARGE ")</f>
        <v>NO CHARGE</v>
      </c>
      <c r="V423" s="2"/>
      <c r="W423" s="2" t="str">
        <f>IFERROR(__xludf.DUMMYFUNCTION("""COMPUTED_VALUE"""),"N/A")</f>
        <v>N/A</v>
      </c>
      <c r="X423" s="2" t="str">
        <f>IFERROR(__xludf.DUMMYFUNCTION("""COMPUTED_VALUE"""),"N/A")</f>
        <v>N/A</v>
      </c>
      <c r="Y423" s="2"/>
      <c r="Z423" s="2"/>
      <c r="AA423" s="2"/>
      <c r="AB423" s="2"/>
      <c r="AC423" s="2"/>
      <c r="AD423" s="2"/>
      <c r="AE423" s="2"/>
      <c r="AF423" s="2"/>
      <c r="AG423" s="2"/>
      <c r="AH423" s="2"/>
      <c r="AI423" s="2"/>
      <c r="AJ423" s="2" t="str">
        <f>IFERROR(__xludf.DUMMYFUNCTION("""COMPUTED_VALUE"""),"Liwan East")</f>
        <v>Liwan East</v>
      </c>
      <c r="AK423" s="2" t="str">
        <f>IFERROR(__xludf.DUMMYFUNCTION("""COMPUTED_VALUE"""),"Rizal (Liwan)")</f>
        <v>Rizal (Liwan)</v>
      </c>
      <c r="AL423" s="2" t="str">
        <f>IFERROR(__xludf.DUMMYFUNCTION("""COMPUTED_VALUE"""),"Kalinga")</f>
        <v>Kalinga</v>
      </c>
      <c r="AM423" s="2" t="str">
        <f>IFERROR(__xludf.DUMMYFUNCTION("""COMPUTED_VALUE"""),"CAR")</f>
        <v>CAR</v>
      </c>
      <c r="AN423" s="2" t="str">
        <f>IFERROR(__xludf.DUMMYFUNCTION("""COMPUTED_VALUE"""),"RCEF 23-09-21 Rebidding")</f>
        <v>RCEF 23-09-21 Rebidding</v>
      </c>
      <c r="AO423" s="2">
        <f>IFERROR(__xludf.DUMMYFUNCTION("""COMPUTED_VALUE"""),1.0)</f>
        <v>1</v>
      </c>
      <c r="AP423" s="2"/>
      <c r="AQ423" s="2"/>
      <c r="AR423" s="2"/>
      <c r="AS423" s="2"/>
      <c r="AT423" s="2"/>
      <c r="AU423" s="2"/>
      <c r="AV423" s="2"/>
      <c r="AW423" s="2"/>
      <c r="AX423" s="2"/>
      <c r="AY423" s="2"/>
      <c r="AZ423" s="2"/>
      <c r="BA423" s="2"/>
      <c r="BB423" s="2"/>
    </row>
    <row r="424">
      <c r="A424" s="2">
        <f>IFERROR(__xludf.DUMMYFUNCTION("""COMPUTED_VALUE"""),420.0)</f>
        <v>420</v>
      </c>
      <c r="B424" s="2" t="str">
        <f>IFERROR(__xludf.DUMMYFUNCTION("""COMPUTED_VALUE"""),"COMPLETED")</f>
        <v>COMPLETED</v>
      </c>
      <c r="C424" s="74">
        <f>IFERROR(__xludf.DUMMYFUNCTION("""COMPUTED_VALUE"""),45527.0)</f>
        <v>45527</v>
      </c>
      <c r="D424" s="71" t="str">
        <f>IFERROR(__xludf.DUMMYFUNCTION("""COMPUTED_VALUE"""),"SAMAHANG MAGSASAKA NA MAY IISANG LAYUNIN AT ADHIKAIN")</f>
        <v>SAMAHANG MAGSASAKA NA MAY IISANG LAYUNIN AT ADHIKAIN</v>
      </c>
      <c r="E424" s="71" t="str">
        <f>IFERROR(__xludf.DUMMYFUNCTION("""COMPUTED_VALUE"""),"Bugnan, Gabaldon, NUEVA ECIJA")</f>
        <v>Bugnan, Gabaldon, NUEVA ECIJA</v>
      </c>
      <c r="F424" s="2" t="str">
        <f>IFERROR(__xludf.DUMMYFUNCTION("""COMPUTED_VALUE"""),"JOSELYN ANURAN")</f>
        <v>JOSELYN ANURAN</v>
      </c>
      <c r="G424" s="2" t="str">
        <f>IFERROR(__xludf.DUMMYFUNCTION("""COMPUTED_VALUE"""),"0955 995 7862")</f>
        <v>0955 995 7862</v>
      </c>
      <c r="H424" s="2">
        <f>IFERROR(__xludf.DUMMYFUNCTION("""COMPUTED_VALUE"""),67.0)</f>
        <v>67</v>
      </c>
      <c r="I424" s="72" t="str">
        <f>IFERROR(__xludf.DUMMYFUNCTION("""COMPUTED_VALUE"""),"REPAIR - TRACTOR")</f>
        <v>REPAIR - TRACTOR</v>
      </c>
      <c r="J424" s="72" t="str">
        <f>IFERROR(__xludf.DUMMYFUNCTION("""COMPUTED_VALUE"""),"RADIATOR")</f>
        <v>RADIATOR</v>
      </c>
      <c r="K424" s="72" t="str">
        <f>IFERROR(__xludf.DUMMYFUNCTION("""COMPUTED_VALUE"""),"JHP: SUMABOG ANG RADIATOR")</f>
        <v>JHP: SUMABOG ANG RADIATOR</v>
      </c>
      <c r="L424" s="72" t="str">
        <f>IFERROR(__xludf.DUMMYFUNCTION("""COMPUTED_VALUE"""),"JDP: napalitan na po namin yung sumabog na radiator")</f>
        <v>JDP: napalitan na po namin yung sumabog na radiator</v>
      </c>
      <c r="M424" s="2"/>
      <c r="N424" s="2" t="str">
        <f>IFERROR(__xludf.DUMMYFUNCTION("""COMPUTED_VALUE"""),"PARTS: RADIATOR ASSY")</f>
        <v>PARTS: RADIATOR ASSY</v>
      </c>
      <c r="O424" s="2" t="str">
        <f>IFERROR(__xludf.DUMMYFUNCTION("""COMPUTED_VALUE"""),"JIE-945")</f>
        <v>JIE-945</v>
      </c>
      <c r="P424" s="2"/>
      <c r="Q424" s="2"/>
      <c r="R424" s="74">
        <f>IFERROR(__xludf.DUMMYFUNCTION("""COMPUTED_VALUE"""),45533.0)</f>
        <v>45533</v>
      </c>
      <c r="S424" s="2" t="str">
        <f>IFERROR(__xludf.DUMMYFUNCTION("""COMPUTED_VALUE"""),"JHP/ACS/JDP")</f>
        <v>JHP/ACS/JDP</v>
      </c>
      <c r="T424" s="73" t="str">
        <f>IFERROR(__xludf.DUMMYFUNCTION("""COMPUTED_VALUE""")," N/A ")</f>
        <v>N/A</v>
      </c>
      <c r="U424" s="73" t="str">
        <f>IFERROR(__xludf.DUMMYFUNCTION("""COMPUTED_VALUE""")," NO CHARGE ")</f>
        <v>NO CHARGE</v>
      </c>
      <c r="V424" s="2"/>
      <c r="W424" s="2" t="str">
        <f>IFERROR(__xludf.DUMMYFUNCTION("""COMPUTED_VALUE"""),"N/A")</f>
        <v>N/A</v>
      </c>
      <c r="X424" s="2" t="str">
        <f>IFERROR(__xludf.DUMMYFUNCTION("""COMPUTED_VALUE"""),"N/A")</f>
        <v>N/A</v>
      </c>
      <c r="Y424" s="2"/>
      <c r="Z424" s="2"/>
      <c r="AA424" s="2"/>
      <c r="AB424" s="2"/>
      <c r="AC424" s="2"/>
      <c r="AD424" s="2"/>
      <c r="AE424" s="2"/>
      <c r="AF424" s="2"/>
      <c r="AG424" s="2"/>
      <c r="AH424" s="2"/>
      <c r="AI424" s="2"/>
      <c r="AJ424" s="2" t="str">
        <f>IFERROR(__xludf.DUMMYFUNCTION("""COMPUTED_VALUE"""),"Bugnan")</f>
        <v>Bugnan</v>
      </c>
      <c r="AK424" s="2" t="str">
        <f>IFERROR(__xludf.DUMMYFUNCTION("""COMPUTED_VALUE"""),"Gabaldon")</f>
        <v>Gabaldon</v>
      </c>
      <c r="AL424" s="2" t="str">
        <f>IFERROR(__xludf.DUMMYFUNCTION("""COMPUTED_VALUE"""),"Nueva Ecija")</f>
        <v>Nueva Ecija</v>
      </c>
      <c r="AM424" s="2">
        <f>IFERROR(__xludf.DUMMYFUNCTION("""COMPUTED_VALUE"""),3.0)</f>
        <v>3</v>
      </c>
      <c r="AN424" s="2" t="str">
        <f>IFERROR(__xludf.DUMMYFUNCTION("""COMPUTED_VALUE"""),"RCEF 23-09-21 Rebidding")</f>
        <v>RCEF 23-09-21 Rebidding</v>
      </c>
      <c r="AO424" s="2">
        <f>IFERROR(__xludf.DUMMYFUNCTION("""COMPUTED_VALUE"""),3.0)</f>
        <v>3</v>
      </c>
      <c r="AP424" s="2"/>
      <c r="AQ424" s="2"/>
      <c r="AR424" s="2"/>
      <c r="AS424" s="2"/>
      <c r="AT424" s="2"/>
      <c r="AU424" s="2"/>
      <c r="AV424" s="2"/>
      <c r="AW424" s="2"/>
      <c r="AX424" s="2"/>
      <c r="AY424" s="2"/>
      <c r="AZ424" s="2"/>
      <c r="BA424" s="2"/>
      <c r="BB424" s="2"/>
    </row>
    <row r="425">
      <c r="A425" s="2">
        <f>IFERROR(__xludf.DUMMYFUNCTION("""COMPUTED_VALUE"""),421.0)</f>
        <v>421</v>
      </c>
      <c r="B425" s="2" t="str">
        <f>IFERROR(__xludf.DUMMYFUNCTION("""COMPUTED_VALUE"""),"COMPLETED")</f>
        <v>COMPLETED</v>
      </c>
      <c r="C425" s="74">
        <f>IFERROR(__xludf.DUMMYFUNCTION("""COMPUTED_VALUE"""),45527.0)</f>
        <v>45527</v>
      </c>
      <c r="D425" s="71" t="str">
        <f>IFERROR(__xludf.DUMMYFUNCTION("""COMPUTED_VALUE"""),"Magsaysay Farmer's Association")</f>
        <v>Magsaysay Farmer's Association</v>
      </c>
      <c r="E425" s="71" t="str">
        <f>IFERROR(__xludf.DUMMYFUNCTION("""COMPUTED_VALUE"""),"Magsaysay, Patnongon, ANTIQUE")</f>
        <v>Magsaysay, Patnongon, ANTIQUE</v>
      </c>
      <c r="F425" s="2" t="str">
        <f>IFERROR(__xludf.DUMMYFUNCTION("""COMPUTED_VALUE"""),"Felix C. Molining")</f>
        <v>Felix C. Molining</v>
      </c>
      <c r="G425" s="2" t="str">
        <f>IFERROR(__xludf.DUMMYFUNCTION("""COMPUTED_VALUE"""),"0906-919-3017")</f>
        <v>0906-919-3017</v>
      </c>
      <c r="H425" s="2"/>
      <c r="I425" s="72" t="str">
        <f>IFERROR(__xludf.DUMMYFUNCTION("""COMPUTED_VALUE"""),"TRAINING REQUEST")</f>
        <v>TRAINING REQUEST</v>
      </c>
      <c r="J425" s="72" t="str">
        <f>IFERROR(__xludf.DUMMYFUNCTION("""COMPUTED_VALUE"""),"TRAINING")</f>
        <v>TRAINING</v>
      </c>
      <c r="K425" s="72" t="str">
        <f>IFERROR(__xludf.DUMMYFUNCTION("""COMPUTED_VALUE"""),"ERP: Requesting training on how to remove Front Loader
")</f>
        <v>ERP: Requesting training on how to remove Front Loader
</v>
      </c>
      <c r="L425" s="72" t="str">
        <f>IFERROR(__xludf.DUMMYFUNCTION("""COMPUTED_VALUE"""),"DRM: Tapos na po yang na training sa pag baklas,Kabit ng front loader")</f>
        <v>DRM: Tapos na po yang na training sa pag baklas,Kabit ng front loader</v>
      </c>
      <c r="M425" s="2"/>
      <c r="N425" s="2"/>
      <c r="O425" s="2" t="str">
        <f>IFERROR(__xludf.DUMMYFUNCTION("""COMPUTED_VALUE"""),"N/A")</f>
        <v>N/A</v>
      </c>
      <c r="P425" s="2"/>
      <c r="Q425" s="2"/>
      <c r="R425" s="74">
        <f>IFERROR(__xludf.DUMMYFUNCTION("""COMPUTED_VALUE"""),45586.0)</f>
        <v>45586</v>
      </c>
      <c r="S425" s="2" t="str">
        <f>IFERROR(__xludf.DUMMYFUNCTION("""COMPUTED_VALUE"""),"DRM/EGT")</f>
        <v>DRM/EGT</v>
      </c>
      <c r="T425" s="73" t="str">
        <f>IFERROR(__xludf.DUMMYFUNCTION("""COMPUTED_VALUE""")," N/A ")</f>
        <v>N/A</v>
      </c>
      <c r="U425" s="73" t="str">
        <f>IFERROR(__xludf.DUMMYFUNCTION("""COMPUTED_VALUE""")," NO CHARGE ")</f>
        <v>NO CHARGE</v>
      </c>
      <c r="V425" s="2"/>
      <c r="W425" s="2" t="str">
        <f>IFERROR(__xludf.DUMMYFUNCTION("""COMPUTED_VALUE"""),"N/A")</f>
        <v>N/A</v>
      </c>
      <c r="X425" s="2" t="str">
        <f>IFERROR(__xludf.DUMMYFUNCTION("""COMPUTED_VALUE"""),"N/A")</f>
        <v>N/A</v>
      </c>
      <c r="Y425" s="2"/>
      <c r="Z425" s="2"/>
      <c r="AA425" s="2"/>
      <c r="AB425" s="2"/>
      <c r="AC425" s="2"/>
      <c r="AD425" s="2"/>
      <c r="AE425" s="2"/>
      <c r="AF425" s="2"/>
      <c r="AG425" s="2"/>
      <c r="AH425" s="2"/>
      <c r="AI425" s="2"/>
      <c r="AJ425" s="2" t="str">
        <f>IFERROR(__xludf.DUMMYFUNCTION("""COMPUTED_VALUE"""),"Magsaysay")</f>
        <v>Magsaysay</v>
      </c>
      <c r="AK425" s="2" t="str">
        <f>IFERROR(__xludf.DUMMYFUNCTION("""COMPUTED_VALUE"""),"Patnongon")</f>
        <v>Patnongon</v>
      </c>
      <c r="AL425" s="2" t="str">
        <f>IFERROR(__xludf.DUMMYFUNCTION("""COMPUTED_VALUE"""),"Antique")</f>
        <v>Antique</v>
      </c>
      <c r="AM425" s="2">
        <f>IFERROR(__xludf.DUMMYFUNCTION("""COMPUTED_VALUE"""),6.0)</f>
        <v>6</v>
      </c>
      <c r="AN425" s="2" t="str">
        <f>IFERROR(__xludf.DUMMYFUNCTION("""COMPUTED_VALUE"""),"RCEF 23-09-21 Rebidding")</f>
        <v>RCEF 23-09-21 Rebidding</v>
      </c>
      <c r="AO425" s="2">
        <f>IFERROR(__xludf.DUMMYFUNCTION("""COMPUTED_VALUE"""),4.0)</f>
        <v>4</v>
      </c>
      <c r="AP425" s="2"/>
      <c r="AQ425" s="2"/>
      <c r="AR425" s="2"/>
      <c r="AS425" s="2"/>
      <c r="AT425" s="2"/>
      <c r="AU425" s="2"/>
      <c r="AV425" s="2"/>
      <c r="AW425" s="2"/>
      <c r="AX425" s="2"/>
      <c r="AY425" s="2"/>
      <c r="AZ425" s="2"/>
      <c r="BA425" s="2"/>
      <c r="BB425" s="2"/>
    </row>
    <row r="426">
      <c r="A426" s="2">
        <f>IFERROR(__xludf.DUMMYFUNCTION("""COMPUTED_VALUE"""),422.0)</f>
        <v>422</v>
      </c>
      <c r="B426" s="2" t="str">
        <f>IFERROR(__xludf.DUMMYFUNCTION("""COMPUTED_VALUE"""),"COMPLETED")</f>
        <v>COMPLETED</v>
      </c>
      <c r="C426" s="74">
        <f>IFERROR(__xludf.DUMMYFUNCTION("""COMPUTED_VALUE"""),45530.0)</f>
        <v>45530</v>
      </c>
      <c r="D426" s="71" t="str">
        <f>IFERROR(__xludf.DUMMYFUNCTION("""COMPUTED_VALUE"""),"SOLANO CAMCAM WEST APAD II FARMERS ASSOCIATION INC.,")</f>
        <v>SOLANO CAMCAM WEST APAD II FARMERS ASSOCIATION INC.,</v>
      </c>
      <c r="E426" s="71" t="str">
        <f>IFERROR(__xludf.DUMMYFUNCTION("""COMPUTED_VALUE"""),", SOLANO, NUEVA VIZCAYA")</f>
        <v>, SOLANO, NUEVA VIZCAYA</v>
      </c>
      <c r="F426" s="2" t="str">
        <f>IFERROR(__xludf.DUMMYFUNCTION("""COMPUTED_VALUE"""),"Fernando F. Domingo")</f>
        <v>Fernando F. Domingo</v>
      </c>
      <c r="G426" s="2">
        <f>IFERROR(__xludf.DUMMYFUNCTION("""COMPUTED_VALUE"""),9.368088307E9)</f>
        <v>9368088307</v>
      </c>
      <c r="H426" s="2">
        <f>IFERROR(__xludf.DUMMYFUNCTION("""COMPUTED_VALUE"""),48.0)</f>
        <v>48</v>
      </c>
      <c r="I426" s="72" t="str">
        <f>IFERROR(__xludf.DUMMYFUNCTION("""COMPUTED_VALUE"""),"PMS")</f>
        <v>PMS</v>
      </c>
      <c r="J426" s="72" t="str">
        <f>IFERROR(__xludf.DUMMYFUNCTION("""COMPUTED_VALUE"""),"PMS")</f>
        <v>PMS</v>
      </c>
      <c r="K426" s="72" t="str">
        <f>IFERROR(__xludf.DUMMYFUNCTION("""COMPUTED_VALUE"""),"ACS: request first PMS
")</f>
        <v>ACS: request first PMS
</v>
      </c>
      <c r="L426" s="72" t="str">
        <f>IFERROR(__xludf.DUMMYFUNCTION("""COMPUTED_VALUE"""),"CFG: CHANGE OIL DONE
KANILA ANG LANGIS, HINDI NAGPALIT NG OIL FILTER")</f>
        <v>CFG: CHANGE OIL DONE
KANILA ANG LANGIS, HINDI NAGPALIT NG OIL FILTER</v>
      </c>
      <c r="M426" s="2"/>
      <c r="N426" s="2"/>
      <c r="O426" s="2" t="str">
        <f>IFERROR(__xludf.DUMMYFUNCTION("""COMPUTED_VALUE"""),"JIE-946")</f>
        <v>JIE-946</v>
      </c>
      <c r="P426" s="2"/>
      <c r="Q426" s="2"/>
      <c r="R426" s="74">
        <f>IFERROR(__xludf.DUMMYFUNCTION("""COMPUTED_VALUE"""),45534.0)</f>
        <v>45534</v>
      </c>
      <c r="S426" s="2" t="str">
        <f>IFERROR(__xludf.DUMMYFUNCTION("""COMPUTED_VALUE"""),"CFG")</f>
        <v>CFG</v>
      </c>
      <c r="T426" s="73" t="str">
        <f>IFERROR(__xludf.DUMMYFUNCTION("""COMPUTED_VALUE""")," N/A ")</f>
        <v>N/A</v>
      </c>
      <c r="U426" s="73" t="str">
        <f>IFERROR(__xludf.DUMMYFUNCTION("""COMPUTED_VALUE""")," NO CHARGE ")</f>
        <v>NO CHARGE</v>
      </c>
      <c r="V426" s="2"/>
      <c r="W426" s="2" t="str">
        <f>IFERROR(__xludf.DUMMYFUNCTION("""COMPUTED_VALUE"""),"N/A")</f>
        <v>N/A</v>
      </c>
      <c r="X426" s="2" t="str">
        <f>IFERROR(__xludf.DUMMYFUNCTION("""COMPUTED_VALUE"""),"N/A")</f>
        <v>N/A</v>
      </c>
      <c r="Y426" s="2"/>
      <c r="Z426" s="2"/>
      <c r="AA426" s="2"/>
      <c r="AB426" s="2"/>
      <c r="AC426" s="2"/>
      <c r="AD426" s="2"/>
      <c r="AE426" s="2"/>
      <c r="AF426" s="2"/>
      <c r="AG426" s="2"/>
      <c r="AH426" s="2"/>
      <c r="AI426" s="2"/>
      <c r="AJ426" s="2" t="str">
        <f>IFERROR(__xludf.DUMMYFUNCTION("""COMPUTED_VALUE"""),"")</f>
        <v/>
      </c>
      <c r="AK426" s="2" t="str">
        <f>IFERROR(__xludf.DUMMYFUNCTION("""COMPUTED_VALUE"""),"Solano")</f>
        <v>Solano</v>
      </c>
      <c r="AL426" s="2" t="str">
        <f>IFERROR(__xludf.DUMMYFUNCTION("""COMPUTED_VALUE"""),"Nueva Vizcaya")</f>
        <v>Nueva Vizcaya</v>
      </c>
      <c r="AM426" s="2">
        <f>IFERROR(__xludf.DUMMYFUNCTION("""COMPUTED_VALUE"""),2.0)</f>
        <v>2</v>
      </c>
      <c r="AN426" s="2" t="str">
        <f>IFERROR(__xludf.DUMMYFUNCTION("""COMPUTED_VALUE"""),"RCEF 23-09-21 Rebidding")</f>
        <v>RCEF 23-09-21 Rebidding</v>
      </c>
      <c r="AO426" s="2">
        <f>IFERROR(__xludf.DUMMYFUNCTION("""COMPUTED_VALUE"""),9.0)</f>
        <v>9</v>
      </c>
      <c r="AP426" s="2"/>
      <c r="AQ426" s="2"/>
      <c r="AR426" s="2"/>
      <c r="AS426" s="2"/>
      <c r="AT426" s="2"/>
      <c r="AU426" s="2"/>
      <c r="AV426" s="2"/>
      <c r="AW426" s="2"/>
      <c r="AX426" s="2"/>
      <c r="AY426" s="2"/>
      <c r="AZ426" s="2"/>
      <c r="BA426" s="2"/>
      <c r="BB426" s="2"/>
    </row>
    <row r="427">
      <c r="A427" s="2">
        <f>IFERROR(__xludf.DUMMYFUNCTION("""COMPUTED_VALUE"""),423.0)</f>
        <v>423</v>
      </c>
      <c r="B427" s="2" t="str">
        <f>IFERROR(__xludf.DUMMYFUNCTION("""COMPUTED_VALUE"""),"COMPLETED")</f>
        <v>COMPLETED</v>
      </c>
      <c r="C427" s="74">
        <f>IFERROR(__xludf.DUMMYFUNCTION("""COMPUTED_VALUE"""),45530.0)</f>
        <v>45530</v>
      </c>
      <c r="D427" s="71" t="str">
        <f>IFERROR(__xludf.DUMMYFUNCTION("""COMPUTED_VALUE"""),"NEW PLANAS AGRICULTURE")</f>
        <v>NEW PLANAS AGRICULTURE</v>
      </c>
      <c r="E427" s="71" t="str">
        <f>IFERROR(__xludf.DUMMYFUNCTION("""COMPUTED_VALUE"""),"PLANAS, PORAC, PAMPANGA")</f>
        <v>PLANAS, PORAC, PAMPANGA</v>
      </c>
      <c r="F427" s="2" t="str">
        <f>IFERROR(__xludf.DUMMYFUNCTION("""COMPUTED_VALUE"""),"Amor P Mallari")</f>
        <v>Amor P Mallari</v>
      </c>
      <c r="G427" s="2">
        <f>IFERROR(__xludf.DUMMYFUNCTION("""COMPUTED_VALUE"""),9.09315708E8)</f>
        <v>909315708</v>
      </c>
      <c r="H427" s="2">
        <f>IFERROR(__xludf.DUMMYFUNCTION("""COMPUTED_VALUE"""),105.0)</f>
        <v>105</v>
      </c>
      <c r="I427" s="72" t="str">
        <f>IFERROR(__xludf.DUMMYFUNCTION("""COMPUTED_VALUE"""),"REPAIR - TRACTOR")</f>
        <v>REPAIR - TRACTOR</v>
      </c>
      <c r="J427" s="72" t="str">
        <f>IFERROR(__xludf.DUMMYFUNCTION("""COMPUTED_VALUE"""),"Transmission - Clutch")</f>
        <v>Transmission - Clutch</v>
      </c>
      <c r="K427" s="72" t="str">
        <f>IFERROR(__xludf.DUMMYFUNCTION("""COMPUTED_VALUE"""),"EGT: Ayaw pumasok yung kambyo at nangamoy daw po yung clutch 
PARTS NEEDED: CLUTCH DISC ASSY
EGT:9/2/24:  TINAWAGAN NA PO ITO PINAALAM NA MAYKAYLANGAN PIRAMAHAN NA AGREEMENT, PERO ANG GUSTO NI FARMER AY IPASOK SA WARRANTY DAHIL IILANG ORAS PALANG DAW ITO "&amp;"NAGAGAMIT. SA TINGIN KO PO AY SA PAG GAMIGT NG LOADER DOON NA PWEPWERSA ANG LINING KAYA NASUSUNOG.
")</f>
        <v>EGT: Ayaw pumasok yung kambyo at nangamoy daw po yung clutch 
PARTS NEEDED: CLUTCH DISC ASSY
EGT:9/2/24:  TINAWAGAN NA PO ITO PINAALAM NA MAYKAYLANGAN PIRAMAHAN NA AGREEMENT, PERO ANG GUSTO NI FARMER AY IPASOK SA WARRANTY DAHIL IILANG ORAS PALANG DAW ITO NAGAGAMIT. SA TINGIN KO PO AY SA PAG GAMIGT NG LOADER DOON NA PWEPWERSA ANG LINING KAYA NASUSUNOG.
</v>
      </c>
      <c r="L427" s="72" t="str">
        <f>IFERROR(__xludf.DUMMYFUNCTION("""COMPUTED_VALUE"""),"EGT: REPLACE NEW CLUTCH DICS ASSY AND CHECK UP UNIT")</f>
        <v>EGT: REPLACE NEW CLUTCH DICS ASSY AND CHECK UP UNIT</v>
      </c>
      <c r="M427" s="2"/>
      <c r="N427" s="2" t="str">
        <f>IFERROR(__xludf.DUMMYFUNCTION("""COMPUTED_VALUE"""),"PARTS USED: CLUTCH DISC ASSY")</f>
        <v>PARTS USED: CLUTCH DISC ASSY</v>
      </c>
      <c r="O427" s="2" t="str">
        <f>IFERROR(__xludf.DUMMYFUNCTION("""COMPUTED_VALUE"""),"JIE-949")</f>
        <v>JIE-949</v>
      </c>
      <c r="P427" s="2"/>
      <c r="Q427" s="2"/>
      <c r="R427" s="74">
        <f>IFERROR(__xludf.DUMMYFUNCTION("""COMPUTED_VALUE"""),45541.0)</f>
        <v>45541</v>
      </c>
      <c r="S427" s="2" t="str">
        <f>IFERROR(__xludf.DUMMYFUNCTION("""COMPUTED_VALUE"""),"RCG/EGT")</f>
        <v>RCG/EGT</v>
      </c>
      <c r="T427" s="73">
        <f>IFERROR(__xludf.DUMMYFUNCTION("""COMPUTED_VALUE"""),22000.0)</f>
        <v>22000</v>
      </c>
      <c r="U427" s="73" t="str">
        <f>IFERROR(__xludf.DUMMYFUNCTION("""COMPUTED_VALUE""")," REMITTED ")</f>
        <v>REMITTED</v>
      </c>
      <c r="V427" s="2"/>
      <c r="W427" s="2"/>
      <c r="X427" s="2">
        <f>IFERROR(__xludf.DUMMYFUNCTION("""COMPUTED_VALUE"""),1213.0)</f>
        <v>1213</v>
      </c>
      <c r="Y427" s="2"/>
      <c r="Z427" s="2"/>
      <c r="AA427" s="2"/>
      <c r="AB427" s="2"/>
      <c r="AC427" s="2" t="str">
        <f>IFERROR(__xludf.DUMMYFUNCTION("""COMPUTED_VALUE"""),"N")</f>
        <v>N</v>
      </c>
      <c r="AD427" s="2"/>
      <c r="AE427" s="2"/>
      <c r="AF427" s="2"/>
      <c r="AG427" s="2"/>
      <c r="AH427" s="2"/>
      <c r="AI427" s="2"/>
      <c r="AJ427" s="2" t="str">
        <f>IFERROR(__xludf.DUMMYFUNCTION("""COMPUTED_VALUE"""),"Planas")</f>
        <v>Planas</v>
      </c>
      <c r="AK427" s="2" t="str">
        <f>IFERROR(__xludf.DUMMYFUNCTION("""COMPUTED_VALUE"""),"Porac")</f>
        <v>Porac</v>
      </c>
      <c r="AL427" s="2" t="str">
        <f>IFERROR(__xludf.DUMMYFUNCTION("""COMPUTED_VALUE"""),"Pampanga")</f>
        <v>Pampanga</v>
      </c>
      <c r="AM427" s="2">
        <f>IFERROR(__xludf.DUMMYFUNCTION("""COMPUTED_VALUE"""),3.0)</f>
        <v>3</v>
      </c>
      <c r="AN427" s="2" t="str">
        <f>IFERROR(__xludf.DUMMYFUNCTION("""COMPUTED_VALUE"""),"RCEF 23-09-21 Rebidding")</f>
        <v>RCEF 23-09-21 Rebidding</v>
      </c>
      <c r="AO427" s="2">
        <f>IFERROR(__xludf.DUMMYFUNCTION("""COMPUTED_VALUE"""),9.0)</f>
        <v>9</v>
      </c>
      <c r="AP427" s="2"/>
      <c r="AQ427" s="2"/>
      <c r="AR427" s="2"/>
      <c r="AS427" s="2"/>
      <c r="AT427" s="2"/>
      <c r="AU427" s="2"/>
      <c r="AV427" s="2"/>
      <c r="AW427" s="2"/>
      <c r="AX427" s="2"/>
      <c r="AY427" s="2"/>
      <c r="AZ427" s="2"/>
      <c r="BA427" s="2"/>
      <c r="BB427" s="2"/>
    </row>
    <row r="428">
      <c r="A428" s="2">
        <f>IFERROR(__xludf.DUMMYFUNCTION("""COMPUTED_VALUE"""),424.0)</f>
        <v>424</v>
      </c>
      <c r="B428" s="2" t="str">
        <f>IFERROR(__xludf.DUMMYFUNCTION("""COMPUTED_VALUE"""),"COMPLETED")</f>
        <v>COMPLETED</v>
      </c>
      <c r="C428" s="74">
        <f>IFERROR(__xludf.DUMMYFUNCTION("""COMPUTED_VALUE"""),45531.0)</f>
        <v>45531</v>
      </c>
      <c r="D428" s="71" t="str">
        <f>IFERROR(__xludf.DUMMYFUNCTION("""COMPUTED_VALUE"""),"Tina Integrated Farmers Association")</f>
        <v>Tina Integrated Farmers Association</v>
      </c>
      <c r="E428" s="71" t="str">
        <f>IFERROR(__xludf.DUMMYFUNCTION("""COMPUTED_VALUE"""),"Tina, Badiangan, ILOILO")</f>
        <v>Tina, Badiangan, ILOILO</v>
      </c>
      <c r="F428" s="2" t="str">
        <f>IFERROR(__xludf.DUMMYFUNCTION("""COMPUTED_VALUE"""),"Gilbert afinidad ")</f>
        <v>Gilbert afinidad </v>
      </c>
      <c r="G428" s="2">
        <f>IFERROR(__xludf.DUMMYFUNCTION("""COMPUTED_VALUE"""),9.095285702E9)</f>
        <v>9095285702</v>
      </c>
      <c r="H428" s="2">
        <f>IFERROR(__xludf.DUMMYFUNCTION("""COMPUTED_VALUE"""),60.0)</f>
        <v>60</v>
      </c>
      <c r="I428" s="72" t="str">
        <f>IFERROR(__xludf.DUMMYFUNCTION("""COMPUTED_VALUE"""),"REPAIR - TRACTOR")</f>
        <v>REPAIR - TRACTOR</v>
      </c>
      <c r="J428" s="72" t="str">
        <f>IFERROR(__xludf.DUMMYFUNCTION("""COMPUTED_VALUE"""),"Battery")</f>
        <v>Battery</v>
      </c>
      <c r="K428" s="72" t="str">
        <f>IFERROR(__xludf.DUMMYFUNCTION("""COMPUTED_VALUE"""),"CCB: HINDI NAANDAR
PMS")</f>
        <v>CCB: HINDI NAANDAR
PMS</v>
      </c>
      <c r="L428" s="72" t="str">
        <f>IFERROR(__xludf.DUMMYFUNCTION("""COMPUTED_VALUE"""),"CCB (ATTY. STAFF): RECHARGE BATTERY
RANDY: 1ST PMS DONE")</f>
        <v>CCB (ATTY. STAFF): RECHARGE BATTERY
RANDY: 1ST PMS DONE</v>
      </c>
      <c r="M428" s="2"/>
      <c r="N428" s="2"/>
      <c r="O428" s="2" t="str">
        <f>IFERROR(__xludf.DUMMYFUNCTION("""COMPUTED_VALUE"""),"JIE-944")</f>
        <v>JIE-944</v>
      </c>
      <c r="P428" s="2"/>
      <c r="Q428" s="2"/>
      <c r="R428" s="74">
        <f>IFERROR(__xludf.DUMMYFUNCTION("""COMPUTED_VALUE"""),45531.0)</f>
        <v>45531</v>
      </c>
      <c r="S428" s="2" t="str">
        <f>IFERROR(__xludf.DUMMYFUNCTION("""COMPUTED_VALUE"""),"CCB")</f>
        <v>CCB</v>
      </c>
      <c r="T428" s="73" t="str">
        <f>IFERROR(__xludf.DUMMYFUNCTION("""COMPUTED_VALUE""")," N/A ")</f>
        <v>N/A</v>
      </c>
      <c r="U428" s="73" t="str">
        <f>IFERROR(__xludf.DUMMYFUNCTION("""COMPUTED_VALUE""")," NO CHARGE ")</f>
        <v>NO CHARGE</v>
      </c>
      <c r="V428" s="2"/>
      <c r="W428" s="2" t="str">
        <f>IFERROR(__xludf.DUMMYFUNCTION("""COMPUTED_VALUE"""),"N/A")</f>
        <v>N/A</v>
      </c>
      <c r="X428" s="2" t="str">
        <f>IFERROR(__xludf.DUMMYFUNCTION("""COMPUTED_VALUE"""),"N/A")</f>
        <v>N/A</v>
      </c>
      <c r="Y428" s="2" t="str">
        <f>IFERROR(__xludf.DUMMYFUNCTION("""COMPUTED_VALUE"""),"LTC-REG6-006")</f>
        <v>LTC-REG6-006</v>
      </c>
      <c r="Z428" s="2"/>
      <c r="AA428" s="2"/>
      <c r="AB428" s="2"/>
      <c r="AC428" s="2"/>
      <c r="AD428" s="2"/>
      <c r="AE428" s="2"/>
      <c r="AF428" s="2"/>
      <c r="AG428" s="2"/>
      <c r="AH428" s="2"/>
      <c r="AI428" s="2"/>
      <c r="AJ428" s="2" t="str">
        <f>IFERROR(__xludf.DUMMYFUNCTION("""COMPUTED_VALUE"""),"Tina")</f>
        <v>Tina</v>
      </c>
      <c r="AK428" s="2" t="str">
        <f>IFERROR(__xludf.DUMMYFUNCTION("""COMPUTED_VALUE"""),"Badiangan")</f>
        <v>Badiangan</v>
      </c>
      <c r="AL428" s="2" t="str">
        <f>IFERROR(__xludf.DUMMYFUNCTION("""COMPUTED_VALUE"""),"Iloilo")</f>
        <v>Iloilo</v>
      </c>
      <c r="AM428" s="2">
        <f>IFERROR(__xludf.DUMMYFUNCTION("""COMPUTED_VALUE"""),6.0)</f>
        <v>6</v>
      </c>
      <c r="AN428" s="2" t="str">
        <f>IFERROR(__xludf.DUMMYFUNCTION("""COMPUTED_VALUE"""),"RCEF 23-09-21 Rebidding")</f>
        <v>RCEF 23-09-21 Rebidding</v>
      </c>
      <c r="AO428" s="2">
        <f>IFERROR(__xludf.DUMMYFUNCTION("""COMPUTED_VALUE"""),4.0)</f>
        <v>4</v>
      </c>
      <c r="AP428" s="2"/>
      <c r="AQ428" s="2"/>
      <c r="AR428" s="2"/>
      <c r="AS428" s="2"/>
      <c r="AT428" s="2"/>
      <c r="AU428" s="2"/>
      <c r="AV428" s="2"/>
      <c r="AW428" s="2"/>
      <c r="AX428" s="2"/>
      <c r="AY428" s="2"/>
      <c r="AZ428" s="2"/>
      <c r="BA428" s="2"/>
      <c r="BB428" s="2"/>
    </row>
    <row r="429">
      <c r="A429" s="2">
        <f>IFERROR(__xludf.DUMMYFUNCTION("""COMPUTED_VALUE"""),425.0)</f>
        <v>425</v>
      </c>
      <c r="B429" s="2" t="str">
        <f>IFERROR(__xludf.DUMMYFUNCTION("""COMPUTED_VALUE"""),"COMPLETED")</f>
        <v>COMPLETED</v>
      </c>
      <c r="C429" s="74">
        <f>IFERROR(__xludf.DUMMYFUNCTION("""COMPUTED_VALUE"""),45532.0)</f>
        <v>45532</v>
      </c>
      <c r="D429" s="71" t="str">
        <f>IFERROR(__xludf.DUMMYFUNCTION("""COMPUTED_VALUE"""),"PEDERASYON NG MGA SAMAHAN NG MAGSASAKA NG TIAONG, QUEZON")</f>
        <v>PEDERASYON NG MGA SAMAHAN NG MAGSASAKA NG TIAONG, QUEZON</v>
      </c>
      <c r="E429" s="71" t="str">
        <f>IFERROR(__xludf.DUMMYFUNCTION("""COMPUTED_VALUE"""),"Poblacion 3, Tiaong, Quezon")</f>
        <v>Poblacion 3, Tiaong, Quezon</v>
      </c>
      <c r="F429" s="2" t="str">
        <f>IFERROR(__xludf.DUMMYFUNCTION("""COMPUTED_VALUE"""),"DANILO GUEVARA")</f>
        <v>DANILO GUEVARA</v>
      </c>
      <c r="G429" s="2">
        <f>IFERROR(__xludf.DUMMYFUNCTION("""COMPUTED_VALUE"""),9.282559507E9)</f>
        <v>9282559507</v>
      </c>
      <c r="H429" s="2">
        <f>IFERROR(__xludf.DUMMYFUNCTION("""COMPUTED_VALUE"""),50.0)</f>
        <v>50</v>
      </c>
      <c r="I429" s="72" t="str">
        <f>IFERROR(__xludf.DUMMYFUNCTION("""COMPUTED_VALUE"""),"REPAIR - TRACTOR")</f>
        <v>REPAIR - TRACTOR</v>
      </c>
      <c r="J429" s="72" t="str">
        <f>IFERROR(__xludf.DUMMYFUNCTION("""COMPUTED_VALUE"""),"RADIATOR")</f>
        <v>RADIATOR</v>
      </c>
      <c r="K429" s="72" t="str">
        <f>IFERROR(__xludf.DUMMYFUNCTION("""COMPUTED_VALUE"""),"MYKEE: RADIATOR PROBLEM")</f>
        <v>MYKEE: RADIATOR PROBLEM</v>
      </c>
      <c r="L429" s="72" t="str">
        <f>IFERROR(__xludf.DUMMYFUNCTION("""COMPUTED_VALUE"""),"JTT: REPLACED RADIATOR NEW")</f>
        <v>JTT: REPLACED RADIATOR NEW</v>
      </c>
      <c r="M429" s="2"/>
      <c r="N429" s="2" t="str">
        <f>IFERROR(__xludf.DUMMYFUNCTION("""COMPUTED_VALUE"""),"PART USED: RADIATOR NEW")</f>
        <v>PART USED: RADIATOR NEW</v>
      </c>
      <c r="O429" s="2">
        <f>IFERROR(__xludf.DUMMYFUNCTION("""COMPUTED_VALUE"""),853.0)</f>
        <v>853</v>
      </c>
      <c r="P429" s="2"/>
      <c r="Q429" s="2" t="str">
        <f>IFERROR(__xludf.DUMMYFUNCTION("""COMPUTED_VALUE"""),"Y")</f>
        <v>Y</v>
      </c>
      <c r="R429" s="74">
        <f>IFERROR(__xludf.DUMMYFUNCTION("""COMPUTED_VALUE"""),45545.0)</f>
        <v>45545</v>
      </c>
      <c r="S429" s="2" t="str">
        <f>IFERROR(__xludf.DUMMYFUNCTION("""COMPUTED_VALUE"""),"JTT/PPS")</f>
        <v>JTT/PPS</v>
      </c>
      <c r="T429" s="73" t="str">
        <f>IFERROR(__xludf.DUMMYFUNCTION("""COMPUTED_VALUE""")," N/A ")</f>
        <v>N/A</v>
      </c>
      <c r="U429" s="73" t="str">
        <f>IFERROR(__xludf.DUMMYFUNCTION("""COMPUTED_VALUE""")," NO CHARGE ")</f>
        <v>NO CHARGE</v>
      </c>
      <c r="V429" s="2"/>
      <c r="W429" s="2" t="str">
        <f>IFERROR(__xludf.DUMMYFUNCTION("""COMPUTED_VALUE"""),"N/A")</f>
        <v>N/A</v>
      </c>
      <c r="X429" s="2" t="str">
        <f>IFERROR(__xludf.DUMMYFUNCTION("""COMPUTED_VALUE"""),"N/A")</f>
        <v>N/A</v>
      </c>
      <c r="Y429" s="2"/>
      <c r="Z429" s="2"/>
      <c r="AA429" s="2"/>
      <c r="AB429" s="2"/>
      <c r="AC429" s="2" t="str">
        <f>IFERROR(__xludf.DUMMYFUNCTION("""COMPUTED_VALUE"""),"N")</f>
        <v>N</v>
      </c>
      <c r="AD429" s="2"/>
      <c r="AE429" s="2"/>
      <c r="AF429" s="2"/>
      <c r="AG429" s="2"/>
      <c r="AH429" s="2"/>
      <c r="AI429" s="2"/>
      <c r="AJ429" s="2" t="str">
        <f>IFERROR(__xludf.DUMMYFUNCTION("""COMPUTED_VALUE"""),"Poblacion 3")</f>
        <v>Poblacion 3</v>
      </c>
      <c r="AK429" s="2" t="str">
        <f>IFERROR(__xludf.DUMMYFUNCTION("""COMPUTED_VALUE"""),"Tiaong")</f>
        <v>Tiaong</v>
      </c>
      <c r="AL429" s="2" t="str">
        <f>IFERROR(__xludf.DUMMYFUNCTION("""COMPUTED_VALUE"""),"Quezon")</f>
        <v>Quezon</v>
      </c>
      <c r="AM429" s="2" t="str">
        <f>IFERROR(__xludf.DUMMYFUNCTION("""COMPUTED_VALUE"""),"4A")</f>
        <v>4A</v>
      </c>
      <c r="AN429" s="2" t="str">
        <f>IFERROR(__xludf.DUMMYFUNCTION("""COMPUTED_VALUE"""),"RCEF 23-08-20 Rebidding")</f>
        <v>RCEF 23-08-20 Rebidding</v>
      </c>
      <c r="AO429" s="2">
        <f>IFERROR(__xludf.DUMMYFUNCTION("""COMPUTED_VALUE"""),1.0)</f>
        <v>1</v>
      </c>
      <c r="AP429" s="2"/>
      <c r="AQ429" s="2"/>
      <c r="AR429" s="2"/>
      <c r="AS429" s="2"/>
      <c r="AT429" s="2"/>
      <c r="AU429" s="2"/>
      <c r="AV429" s="2"/>
      <c r="AW429" s="2"/>
      <c r="AX429" s="2"/>
      <c r="AY429" s="2"/>
      <c r="AZ429" s="2"/>
      <c r="BA429" s="2"/>
      <c r="BB429" s="2"/>
    </row>
    <row r="430">
      <c r="A430" s="2">
        <f>IFERROR(__xludf.DUMMYFUNCTION("""COMPUTED_VALUE"""),426.0)</f>
        <v>426</v>
      </c>
      <c r="B430" s="2" t="str">
        <f>IFERROR(__xludf.DUMMYFUNCTION("""COMPUTED_VALUE"""),"COMPLETED")</f>
        <v>COMPLETED</v>
      </c>
      <c r="C430" s="74">
        <f>IFERROR(__xludf.DUMMYFUNCTION("""COMPUTED_VALUE"""),45532.0)</f>
        <v>45532</v>
      </c>
      <c r="D430" s="71" t="str">
        <f>IFERROR(__xludf.DUMMYFUNCTION("""COMPUTED_VALUE"""),"Bulusukan Farmers Palay and Vegetable Producers Cooperative")</f>
        <v>Bulusukan Farmers Palay and Vegetable Producers Cooperative</v>
      </c>
      <c r="E430" s="71" t="str">
        <f>IFERROR(__xludf.DUMMYFUNCTION("""COMPUTED_VALUE"""),"Bulusukan, San Ildefonso, BULACAN")</f>
        <v>Bulusukan, San Ildefonso, BULACAN</v>
      </c>
      <c r="F430" s="2" t="str">
        <f>IFERROR(__xludf.DUMMYFUNCTION("""COMPUTED_VALUE"""),"Naldy T. Nunez")</f>
        <v>Naldy T. Nunez</v>
      </c>
      <c r="G430" s="2" t="str">
        <f>IFERROR(__xludf.DUMMYFUNCTION("""COMPUTED_VALUE"""),"0955-307-1974")</f>
        <v>0955-307-1974</v>
      </c>
      <c r="H430" s="2"/>
      <c r="I430" s="72" t="str">
        <f>IFERROR(__xludf.DUMMYFUNCTION("""COMPUTED_VALUE"""),"SPARE PARTS ACQUISITION")</f>
        <v>SPARE PARTS ACQUISITION</v>
      </c>
      <c r="J430" s="72"/>
      <c r="K430" s="72" t="str">
        <f>IFERROR(__xludf.DUMMYFUNCTION("""COMPUTED_VALUE"""),"JHP: ORDER RIGHT SIDE HEAD LIGHT")</f>
        <v>JHP: ORDER RIGHT SIDE HEAD LIGHT</v>
      </c>
      <c r="L430" s="72" t="str">
        <f>IFERROR(__xludf.DUMMYFUNCTION("""COMPUTED_VALUE"""),"CANCELLED")</f>
        <v>CANCELLED</v>
      </c>
      <c r="M430" s="2"/>
      <c r="N430" s="2"/>
      <c r="O430" s="2" t="str">
        <f>IFERROR(__xludf.DUMMYFUNCTION("""COMPUTED_VALUE"""),"N/A")</f>
        <v>N/A</v>
      </c>
      <c r="P430" s="2"/>
      <c r="Q430" s="2"/>
      <c r="R430" s="74">
        <f>IFERROR(__xludf.DUMMYFUNCTION("""COMPUTED_VALUE"""),45788.0)</f>
        <v>45788</v>
      </c>
      <c r="S430" s="2" t="str">
        <f>IFERROR(__xludf.DUMMYFUNCTION("""COMPUTED_VALUE"""),"N/A")</f>
        <v>N/A</v>
      </c>
      <c r="T430" s="73" t="str">
        <f>IFERROR(__xludf.DUMMYFUNCTION("""COMPUTED_VALUE""")," N/A ")</f>
        <v>N/A</v>
      </c>
      <c r="U430" s="73" t="str">
        <f>IFERROR(__xludf.DUMMYFUNCTION("""COMPUTED_VALUE""")," NO CHARGE ")</f>
        <v>NO CHARGE</v>
      </c>
      <c r="V430" s="2"/>
      <c r="W430" s="2" t="str">
        <f>IFERROR(__xludf.DUMMYFUNCTION("""COMPUTED_VALUE"""),"N/A")</f>
        <v>N/A</v>
      </c>
      <c r="X430" s="2" t="str">
        <f>IFERROR(__xludf.DUMMYFUNCTION("""COMPUTED_VALUE"""),"N/A")</f>
        <v>N/A</v>
      </c>
      <c r="Y430" s="2"/>
      <c r="Z430" s="2"/>
      <c r="AA430" s="2"/>
      <c r="AB430" s="2"/>
      <c r="AC430" s="2"/>
      <c r="AD430" s="2"/>
      <c r="AE430" s="2"/>
      <c r="AF430" s="2"/>
      <c r="AG430" s="2"/>
      <c r="AH430" s="2"/>
      <c r="AI430" s="2"/>
      <c r="AJ430" s="2" t="str">
        <f>IFERROR(__xludf.DUMMYFUNCTION("""COMPUTED_VALUE"""),"Bulusukan")</f>
        <v>Bulusukan</v>
      </c>
      <c r="AK430" s="2" t="str">
        <f>IFERROR(__xludf.DUMMYFUNCTION("""COMPUTED_VALUE"""),"San Ildefonso")</f>
        <v>San Ildefonso</v>
      </c>
      <c r="AL430" s="2" t="str">
        <f>IFERROR(__xludf.DUMMYFUNCTION("""COMPUTED_VALUE"""),"Bulacan")</f>
        <v>Bulacan</v>
      </c>
      <c r="AM430" s="2">
        <f>IFERROR(__xludf.DUMMYFUNCTION("""COMPUTED_VALUE"""),3.0)</f>
        <v>3</v>
      </c>
      <c r="AN430" s="2" t="str">
        <f>IFERROR(__xludf.DUMMYFUNCTION("""COMPUTED_VALUE"""),"RCEF 23-09-21 Rebidding")</f>
        <v>RCEF 23-09-21 Rebidding</v>
      </c>
      <c r="AO430" s="2">
        <f>IFERROR(__xludf.DUMMYFUNCTION("""COMPUTED_VALUE"""),9.0)</f>
        <v>9</v>
      </c>
      <c r="AP430" s="2"/>
      <c r="AQ430" s="2"/>
      <c r="AR430" s="2"/>
      <c r="AS430" s="2"/>
      <c r="AT430" s="2"/>
      <c r="AU430" s="2"/>
      <c r="AV430" s="2"/>
      <c r="AW430" s="2"/>
      <c r="AX430" s="2"/>
      <c r="AY430" s="2"/>
      <c r="AZ430" s="2"/>
      <c r="BA430" s="2"/>
      <c r="BB430" s="2"/>
    </row>
    <row r="431">
      <c r="A431" s="2">
        <f>IFERROR(__xludf.DUMMYFUNCTION("""COMPUTED_VALUE"""),427.0)</f>
        <v>427</v>
      </c>
      <c r="B431" s="2" t="str">
        <f>IFERROR(__xludf.DUMMYFUNCTION("""COMPUTED_VALUE"""),"COMPLETED")</f>
        <v>COMPLETED</v>
      </c>
      <c r="C431" s="74">
        <f>IFERROR(__xludf.DUMMYFUNCTION("""COMPUTED_VALUE"""),45532.0)</f>
        <v>45532</v>
      </c>
      <c r="D431" s="71" t="str">
        <f>IFERROR(__xludf.DUMMYFUNCTION("""COMPUTED_VALUE"""),"AGKAKARUBA IRRIGATORS ASSOCIATION, INC.")</f>
        <v>AGKAKARUBA IRRIGATORS ASSOCIATION, INC.</v>
      </c>
      <c r="E431" s="71" t="str">
        <f>IFERROR(__xludf.DUMMYFUNCTION("""COMPUTED_VALUE"""),"Plaridel, Aborlan, Palawan")</f>
        <v>Plaridel, Aborlan, Palawan</v>
      </c>
      <c r="F431" s="2" t="str">
        <f>IFERROR(__xludf.DUMMYFUNCTION("""COMPUTED_VALUE"""),"BUENAVENTURA ROSARIO")</f>
        <v>BUENAVENTURA ROSARIO</v>
      </c>
      <c r="G431" s="2" t="str">
        <f>IFERROR(__xludf.DUMMYFUNCTION("""COMPUTED_VALUE"""),"0926-954-3849")</f>
        <v>0926-954-3849</v>
      </c>
      <c r="H431" s="2"/>
      <c r="I431" s="72" t="str">
        <f>IFERROR(__xludf.DUMMYFUNCTION("""COMPUTED_VALUE"""),"SPARE PARTS ACQUISITION")</f>
        <v>SPARE PARTS ACQUISITION</v>
      </c>
      <c r="J431" s="72"/>
      <c r="K431" s="72" t="str">
        <f>IFERROR(__xludf.DUMMYFUNCTION("""COMPUTED_VALUE"""),"RCG: OIL SEAL (TC60430000A)
RCG: 9/13/24: HINDI SIGURADO KUNG PEREHAS LANG BA ANG OIL SEAL NA TO SA MANUAL, IBA ANG PARTS CODE
")</f>
        <v>RCG: OIL SEAL (TC60430000A)
RCG: 9/13/24: HINDI SIGURADO KUNG PEREHAS LANG BA ANG OIL SEAL NA TO SA MANUAL, IBA ANG PARTS CODE
</v>
      </c>
      <c r="L431" s="72" t="str">
        <f>IFERROR(__xludf.DUMMYFUNCTION("""COMPUTED_VALUE"""),"CANCEL ORDER")</f>
        <v>CANCEL ORDER</v>
      </c>
      <c r="M431" s="2"/>
      <c r="N431" s="2"/>
      <c r="O431" s="2" t="str">
        <f>IFERROR(__xludf.DUMMYFUNCTION("""COMPUTED_VALUE"""),"CANCELLED")</f>
        <v>CANCELLED</v>
      </c>
      <c r="P431" s="2"/>
      <c r="Q431" s="2"/>
      <c r="R431" s="74">
        <f>IFERROR(__xludf.DUMMYFUNCTION("""COMPUTED_VALUE"""),45551.0)</f>
        <v>45551</v>
      </c>
      <c r="S431" s="2" t="str">
        <f>IFERROR(__xludf.DUMMYFUNCTION("""COMPUTED_VALUE"""),"RCG")</f>
        <v>RCG</v>
      </c>
      <c r="T431" s="73" t="str">
        <f>IFERROR(__xludf.DUMMYFUNCTION("""COMPUTED_VALUE""")," N/A ")</f>
        <v>N/A</v>
      </c>
      <c r="U431" s="73" t="str">
        <f>IFERROR(__xludf.DUMMYFUNCTION("""COMPUTED_VALUE""")," NO CHARGE ")</f>
        <v>NO CHARGE</v>
      </c>
      <c r="V431" s="2"/>
      <c r="W431" s="2" t="str">
        <f>IFERROR(__xludf.DUMMYFUNCTION("""COMPUTED_VALUE"""),"N/A")</f>
        <v>N/A</v>
      </c>
      <c r="X431" s="2" t="str">
        <f>IFERROR(__xludf.DUMMYFUNCTION("""COMPUTED_VALUE"""),"N/A")</f>
        <v>N/A</v>
      </c>
      <c r="Y431" s="2"/>
      <c r="Z431" s="2"/>
      <c r="AA431" s="2"/>
      <c r="AB431" s="2"/>
      <c r="AC431" s="2"/>
      <c r="AD431" s="2"/>
      <c r="AE431" s="2"/>
      <c r="AF431" s="2"/>
      <c r="AG431" s="2"/>
      <c r="AH431" s="2"/>
      <c r="AI431" s="2"/>
      <c r="AJ431" s="2" t="str">
        <f>IFERROR(__xludf.DUMMYFUNCTION("""COMPUTED_VALUE"""),"Plaridel")</f>
        <v>Plaridel</v>
      </c>
      <c r="AK431" s="2" t="str">
        <f>IFERROR(__xludf.DUMMYFUNCTION("""COMPUTED_VALUE"""),"Aborlan")</f>
        <v>Aborlan</v>
      </c>
      <c r="AL431" s="2" t="str">
        <f>IFERROR(__xludf.DUMMYFUNCTION("""COMPUTED_VALUE"""),"Palawan")</f>
        <v>Palawan</v>
      </c>
      <c r="AM431" s="2" t="str">
        <f>IFERROR(__xludf.DUMMYFUNCTION("""COMPUTED_VALUE"""),"4B")</f>
        <v>4B</v>
      </c>
      <c r="AN431" s="2" t="str">
        <f>IFERROR(__xludf.DUMMYFUNCTION("""COMPUTED_VALUE"""),"RCEF 23-08-20 Rebidding")</f>
        <v>RCEF 23-08-20 Rebidding</v>
      </c>
      <c r="AO431" s="2">
        <f>IFERROR(__xludf.DUMMYFUNCTION("""COMPUTED_VALUE"""),1.0)</f>
        <v>1</v>
      </c>
      <c r="AP431" s="2"/>
      <c r="AQ431" s="2"/>
      <c r="AR431" s="2"/>
      <c r="AS431" s="2"/>
      <c r="AT431" s="2"/>
      <c r="AU431" s="2"/>
      <c r="AV431" s="2"/>
      <c r="AW431" s="2"/>
      <c r="AX431" s="2"/>
      <c r="AY431" s="2"/>
      <c r="AZ431" s="2"/>
      <c r="BA431" s="2"/>
      <c r="BB431" s="2"/>
    </row>
    <row r="432">
      <c r="A432" s="2">
        <f>IFERROR(__xludf.DUMMYFUNCTION("""COMPUTED_VALUE"""),428.0)</f>
        <v>428</v>
      </c>
      <c r="B432" s="2" t="str">
        <f>IFERROR(__xludf.DUMMYFUNCTION("""COMPUTED_VALUE"""),"COMPLETED")</f>
        <v>COMPLETED</v>
      </c>
      <c r="C432" s="74">
        <f>IFERROR(__xludf.DUMMYFUNCTION("""COMPUTED_VALUE"""),45532.0)</f>
        <v>45532</v>
      </c>
      <c r="D432" s="71" t="str">
        <f>IFERROR(__xludf.DUMMYFUNCTION("""COMPUTED_VALUE"""),"Try Me Agriculture Cooperative (TMAC)")</f>
        <v>Try Me Agriculture Cooperative (TMAC)</v>
      </c>
      <c r="E432" s="71" t="str">
        <f>IFERROR(__xludf.DUMMYFUNCTION("""COMPUTED_VALUE"""),"Poblacion West, Science City of Munoz, Nueva Ecija")</f>
        <v>Poblacion West, Science City of Munoz, Nueva Ecija</v>
      </c>
      <c r="F432" s="2" t="str">
        <f>IFERROR(__xludf.DUMMYFUNCTION("""COMPUTED_VALUE"""),"Sofronio G Padua")</f>
        <v>Sofronio G Padua</v>
      </c>
      <c r="G432" s="2" t="str">
        <f>IFERROR(__xludf.DUMMYFUNCTION("""COMPUTED_VALUE"""),"0917-988-2079")</f>
        <v>0917-988-2079</v>
      </c>
      <c r="H432" s="2">
        <f>IFERROR(__xludf.DUMMYFUNCTION("""COMPUTED_VALUE"""),250.9)</f>
        <v>250.9</v>
      </c>
      <c r="I432" s="72" t="str">
        <f>IFERROR(__xludf.DUMMYFUNCTION("""COMPUTED_VALUE"""),"REPAIR - TRACTOR")</f>
        <v>REPAIR - TRACTOR</v>
      </c>
      <c r="J432" s="72" t="str">
        <f>IFERROR(__xludf.DUMMYFUNCTION("""COMPUTED_VALUE"""),"Electrical - Fuse Box")</f>
        <v>Electrical - Fuse Box</v>
      </c>
      <c r="K432" s="72" t="str">
        <f>IFERROR(__xludf.DUMMYFUNCTION("""COMPUTED_VALUE"""),"EGT: AYAW UMIKOT NG ROTAVATOR, POSIBLENG PTO SWITCH ANG PROBLEMA")</f>
        <v>EGT: AYAW UMIKOT NG ROTAVATOR, POSIBLENG PTO SWITCH ANG PROBLEMA</v>
      </c>
      <c r="L432" s="72" t="str">
        <f>IFERROR(__xludf.DUMMYFUNCTION("""COMPUTED_VALUE"""),"JDP: Busted po yung fuse ng PTO kaya po ayaw gumana, pinalitan napo namin yung fuse and chineck nadin po namin yung unit okay naman po lahat
Note: pinalit po namin yung reserve na fuse sa fuse box ng tractor")</f>
        <v>JDP: Busted po yung fuse ng PTO kaya po ayaw gumana, pinalitan napo namin yung fuse and chineck nadin po namin yung unit okay naman po lahat
Note: pinalit po namin yung reserve na fuse sa fuse box ng tractor</v>
      </c>
      <c r="M432" s="2"/>
      <c r="N432" s="2"/>
      <c r="O432" s="2">
        <f>IFERROR(__xludf.DUMMYFUNCTION("""COMPUTED_VALUE"""),583.0)</f>
        <v>583</v>
      </c>
      <c r="P432" s="2"/>
      <c r="Q432" s="2" t="str">
        <f>IFERROR(__xludf.DUMMYFUNCTION("""COMPUTED_VALUE"""),"Y")</f>
        <v>Y</v>
      </c>
      <c r="R432" s="74">
        <f>IFERROR(__xludf.DUMMYFUNCTION("""COMPUTED_VALUE"""),45534.0)</f>
        <v>45534</v>
      </c>
      <c r="S432" s="2" t="str">
        <f>IFERROR(__xludf.DUMMYFUNCTION("""COMPUTED_VALUE"""),"JHP/ACS/JDP")</f>
        <v>JHP/ACS/JDP</v>
      </c>
      <c r="T432" s="73" t="str">
        <f>IFERROR(__xludf.DUMMYFUNCTION("""COMPUTED_VALUE""")," N/A ")</f>
        <v>N/A</v>
      </c>
      <c r="U432" s="73" t="str">
        <f>IFERROR(__xludf.DUMMYFUNCTION("""COMPUTED_VALUE""")," NO CHARGE ")</f>
        <v>NO CHARGE</v>
      </c>
      <c r="V432" s="2"/>
      <c r="W432" s="2" t="str">
        <f>IFERROR(__xludf.DUMMYFUNCTION("""COMPUTED_VALUE"""),"N/A")</f>
        <v>N/A</v>
      </c>
      <c r="X432" s="2" t="str">
        <f>IFERROR(__xludf.DUMMYFUNCTION("""COMPUTED_VALUE"""),"N/A")</f>
        <v>N/A</v>
      </c>
      <c r="Y432" s="2" t="str">
        <f>IFERROR(__xludf.DUMMYFUNCTION("""COMPUTED_VALUE"""),"PRINTED/ SAVE TO FOLDER (SOFT COPY)")</f>
        <v>PRINTED/ SAVE TO FOLDER (SOFT COPY)</v>
      </c>
      <c r="Z432" s="2"/>
      <c r="AA432" s="2"/>
      <c r="AB432" s="2"/>
      <c r="AC432" s="2"/>
      <c r="AD432" s="2"/>
      <c r="AE432" s="2"/>
      <c r="AF432" s="2"/>
      <c r="AG432" s="2"/>
      <c r="AH432" s="2"/>
      <c r="AI432" s="2"/>
      <c r="AJ432" s="2" t="str">
        <f>IFERROR(__xludf.DUMMYFUNCTION("""COMPUTED_VALUE"""),"Poblacion West")</f>
        <v>Poblacion West</v>
      </c>
      <c r="AK432" s="2" t="str">
        <f>IFERROR(__xludf.DUMMYFUNCTION("""COMPUTED_VALUE"""),"Science City Of Munoz")</f>
        <v>Science City Of Munoz</v>
      </c>
      <c r="AL432" s="2" t="str">
        <f>IFERROR(__xludf.DUMMYFUNCTION("""COMPUTED_VALUE"""),"Nueva Ecija")</f>
        <v>Nueva Ecija</v>
      </c>
      <c r="AM432" s="2">
        <f>IFERROR(__xludf.DUMMYFUNCTION("""COMPUTED_VALUE"""),3.0)</f>
        <v>3</v>
      </c>
      <c r="AN432" s="2" t="str">
        <f>IFERROR(__xludf.DUMMYFUNCTION("""COMPUTED_VALUE"""),"RCEF 23-09-21 Rebidding")</f>
        <v>RCEF 23-09-21 Rebidding</v>
      </c>
      <c r="AO432" s="2">
        <f>IFERROR(__xludf.DUMMYFUNCTION("""COMPUTED_VALUE"""),3.0)</f>
        <v>3</v>
      </c>
      <c r="AP432" s="2"/>
      <c r="AQ432" s="2"/>
      <c r="AR432" s="2"/>
      <c r="AS432" s="2"/>
      <c r="AT432" s="2"/>
      <c r="AU432" s="2"/>
      <c r="AV432" s="2"/>
      <c r="AW432" s="2"/>
      <c r="AX432" s="2"/>
      <c r="AY432" s="2"/>
      <c r="AZ432" s="2"/>
      <c r="BA432" s="2"/>
      <c r="BB432" s="2"/>
    </row>
    <row r="433">
      <c r="A433" s="2">
        <f>IFERROR(__xludf.DUMMYFUNCTION("""COMPUTED_VALUE"""),429.0)</f>
        <v>429</v>
      </c>
      <c r="B433" s="2" t="str">
        <f>IFERROR(__xludf.DUMMYFUNCTION("""COMPUTED_VALUE"""),"COMPLETED")</f>
        <v>COMPLETED</v>
      </c>
      <c r="C433" s="74">
        <f>IFERROR(__xludf.DUMMYFUNCTION("""COMPUTED_VALUE"""),45533.0)</f>
        <v>45533</v>
      </c>
      <c r="D433" s="71" t="str">
        <f>IFERROR(__xludf.DUMMYFUNCTION("""COMPUTED_VALUE"""),"Kirang Impounding Aritao Irrigators Association Inc.")</f>
        <v>Kirang Impounding Aritao Irrigators Association Inc.</v>
      </c>
      <c r="E433" s="71" t="str">
        <f>IFERROR(__xludf.DUMMYFUNCTION("""COMPUTED_VALUE""")," ")</f>
        <v> </v>
      </c>
      <c r="F433" s="2" t="str">
        <f>IFERROR(__xludf.DUMMYFUNCTION("""COMPUTED_VALUE"""),"TERESITO c. FLORES")</f>
        <v>TERESITO c. FLORES</v>
      </c>
      <c r="G433" s="2">
        <f>IFERROR(__xludf.DUMMYFUNCTION("""COMPUTED_VALUE"""),9.291895337E9)</f>
        <v>9291895337</v>
      </c>
      <c r="H433" s="2">
        <f>IFERROR(__xludf.DUMMYFUNCTION("""COMPUTED_VALUE"""),50.0)</f>
        <v>50</v>
      </c>
      <c r="I433" s="72" t="str">
        <f>IFERROR(__xludf.DUMMYFUNCTION("""COMPUTED_VALUE"""),"PMS")</f>
        <v>PMS</v>
      </c>
      <c r="J433" s="72" t="str">
        <f>IFERROR(__xludf.DUMMYFUNCTION("""COMPUTED_VALUE"""),"PMS")</f>
        <v>PMS</v>
      </c>
      <c r="K433" s="72" t="str">
        <f>IFERROR(__xludf.DUMMYFUNCTION("""COMPUTED_VALUE"""),"RBS: FIRST PMS")</f>
        <v>RBS: FIRST PMS</v>
      </c>
      <c r="L433" s="72" t="str">
        <f>IFERROR(__xludf.DUMMYFUNCTION("""COMPUTED_VALUE"""),"CFG: FIRST 50 HRS PMS CHANGE OIL DONE")</f>
        <v>CFG: FIRST 50 HRS PMS CHANGE OIL DONE</v>
      </c>
      <c r="M433" s="2"/>
      <c r="N433" s="2" t="str">
        <f>IFERROR(__xludf.DUMMYFUNCTION("""COMPUTED_VALUE"""),"PARTS USED: OIL FILTER")</f>
        <v>PARTS USED: OIL FILTER</v>
      </c>
      <c r="O433" s="2" t="str">
        <f>IFERROR(__xludf.DUMMYFUNCTION("""COMPUTED_VALUE"""),"JIE-947")</f>
        <v>JIE-947</v>
      </c>
      <c r="P433" s="2"/>
      <c r="Q433" s="2"/>
      <c r="R433" s="74">
        <f>IFERROR(__xludf.DUMMYFUNCTION("""COMPUTED_VALUE"""),45534.0)</f>
        <v>45534</v>
      </c>
      <c r="S433" s="2" t="str">
        <f>IFERROR(__xludf.DUMMYFUNCTION("""COMPUTED_VALUE"""),"CFG")</f>
        <v>CFG</v>
      </c>
      <c r="T433" s="73">
        <f>IFERROR(__xludf.DUMMYFUNCTION("""COMPUTED_VALUE"""),2838.0)</f>
        <v>2838</v>
      </c>
      <c r="U433" s="73" t="str">
        <f>IFERROR(__xludf.DUMMYFUNCTION("""COMPUTED_VALUE""")," FOR REMIT ")</f>
        <v>FOR REMIT</v>
      </c>
      <c r="V433" s="2"/>
      <c r="W433" s="2">
        <f>IFERROR(__xludf.DUMMYFUNCTION("""COMPUTED_VALUE"""),1257.0)</f>
        <v>1257</v>
      </c>
      <c r="X433" s="2"/>
      <c r="Y433" s="2"/>
      <c r="Z433" s="2"/>
      <c r="AA433" s="2"/>
      <c r="AB433" s="2"/>
      <c r="AC433" s="2"/>
      <c r="AD433" s="2"/>
      <c r="AE433" s="2"/>
      <c r="AF433" s="2"/>
      <c r="AG433" s="2"/>
      <c r="AH433" s="2"/>
      <c r="AI433" s="2"/>
      <c r="AJ433" s="2" t="str">
        <f>IFERROR(__xludf.DUMMYFUNCTION("""COMPUTED_VALUE"""),"")</f>
        <v/>
      </c>
      <c r="AK433" s="2" t="str">
        <f>IFERROR(__xludf.DUMMYFUNCTION("""COMPUTED_VALUE"""),"")</f>
        <v/>
      </c>
      <c r="AL433" s="2" t="str">
        <f>IFERROR(__xludf.DUMMYFUNCTION("""COMPUTED_VALUE"""),"")</f>
        <v/>
      </c>
      <c r="AM433" s="2" t="str">
        <f>IFERROR(__xludf.DUMMYFUNCTION("""COMPUTED_VALUE"""),"")</f>
        <v/>
      </c>
      <c r="AN433" s="2" t="str">
        <f>IFERROR(__xludf.DUMMYFUNCTION("""COMPUTED_VALUE""")," ")</f>
        <v> </v>
      </c>
      <c r="AO433" s="2" t="str">
        <f>IFERROR(__xludf.DUMMYFUNCTION("""COMPUTED_VALUE""")," ")</f>
        <v> </v>
      </c>
      <c r="AP433" s="2" t="str">
        <f>IFERROR(__xludf.DUMMYFUNCTION("""COMPUTED_VALUE"""),"")</f>
        <v/>
      </c>
      <c r="AQ433" s="2"/>
      <c r="AR433" s="2"/>
      <c r="AS433" s="2"/>
      <c r="AT433" s="2"/>
      <c r="AU433" s="2"/>
      <c r="AV433" s="2"/>
      <c r="AW433" s="2"/>
      <c r="AX433" s="2"/>
      <c r="AY433" s="2"/>
      <c r="AZ433" s="2"/>
      <c r="BA433" s="2"/>
      <c r="BB433" s="2"/>
    </row>
    <row r="434">
      <c r="A434" s="2">
        <f>IFERROR(__xludf.DUMMYFUNCTION("""COMPUTED_VALUE"""),430.0)</f>
        <v>430</v>
      </c>
      <c r="B434" s="2" t="str">
        <f>IFERROR(__xludf.DUMMYFUNCTION("""COMPUTED_VALUE"""),"COMPLETED")</f>
        <v>COMPLETED</v>
      </c>
      <c r="C434" s="74">
        <f>IFERROR(__xludf.DUMMYFUNCTION("""COMPUTED_VALUE"""),45533.0)</f>
        <v>45533</v>
      </c>
      <c r="D434" s="71" t="str">
        <f>IFERROR(__xludf.DUMMYFUNCTION("""COMPUTED_VALUE"""),"Gaub Farmers Association")</f>
        <v>Gaub Farmers Association</v>
      </c>
      <c r="E434" s="71" t="str">
        <f>IFERROR(__xludf.DUMMYFUNCTION("""COMPUTED_VALUE"""),"Gaub, Cabatuan, ILOILO")</f>
        <v>Gaub, Cabatuan, ILOILO</v>
      </c>
      <c r="F434" s="2" t="str">
        <f>IFERROR(__xludf.DUMMYFUNCTION("""COMPUTED_VALUE"""),"Rosanne A. Paniagua")</f>
        <v>Rosanne A. Paniagua</v>
      </c>
      <c r="G434" s="2">
        <f>IFERROR(__xludf.DUMMYFUNCTION("""COMPUTED_VALUE"""),9.177914376E9)</f>
        <v>9177914376</v>
      </c>
      <c r="H434" s="2">
        <f>IFERROR(__xludf.DUMMYFUNCTION("""COMPUTED_VALUE"""),25.6)</f>
        <v>25.6</v>
      </c>
      <c r="I434" s="72" t="str">
        <f>IFERROR(__xludf.DUMMYFUNCTION("""COMPUTED_VALUE"""),"REPAIR - ROTAVATOR")</f>
        <v>REPAIR - ROTAVATOR</v>
      </c>
      <c r="J434" s="72" t="str">
        <f>IFERROR(__xludf.DUMMYFUNCTION("""COMPUTED_VALUE"""),"Propeller")</f>
        <v>Propeller</v>
      </c>
      <c r="K434" s="72" t="str">
        <f>IFERROR(__xludf.DUMMYFUNCTION("""COMPUTED_VALUE"""),"MYKEE: UNANG GAMIT NG ROTAVATOR, 6000 SQM PALANG ANG NAGAWA UMINIT NA SYA AT NAG AMOY SUNOG
KFS: SEND PHOTOS AT LTC SOUTH
PARTS: CLUTCH LINING NG PROPPELER (2) (C/O RANNDY)")</f>
        <v>MYKEE: UNANG GAMIT NG ROTAVATOR, 6000 SQM PALANG ANG NAGAWA UMINIT NA SYA AT NAG AMOY SUNOG
KFS: SEND PHOTOS AT LTC SOUTH
PARTS: CLUTCH LINING NG PROPPELER (2) (C/O RANNDY)</v>
      </c>
      <c r="L434" s="72" t="str">
        <f>IFERROR(__xludf.DUMMYFUNCTION("""COMPUTED_VALUE"""),"MYKEE: DONE LBC PARTS TO SIR RANDY
RANDY: REPLACED CLUTCH LINING OF PROPELER ")</f>
        <v>MYKEE: DONE LBC PARTS TO SIR RANDY
RANDY: REPLACED CLUTCH LINING OF PROPELER </v>
      </c>
      <c r="M434" s="2"/>
      <c r="N434" s="2" t="str">
        <f>IFERROR(__xludf.DUMMYFUNCTION("""COMPUTED_VALUE"""),"PARTS: 
CLUTCH LINING OF PROPELER")</f>
        <v>PARTS: 
CLUTCH LINING OF PROPELER</v>
      </c>
      <c r="O434" s="2">
        <f>IFERROR(__xludf.DUMMYFUNCTION("""COMPUTED_VALUE"""),55.0)</f>
        <v>55</v>
      </c>
      <c r="P434" s="2"/>
      <c r="Q434" s="2"/>
      <c r="R434" s="74">
        <f>IFERROR(__xludf.DUMMYFUNCTION("""COMPUTED_VALUE"""),45666.0)</f>
        <v>45666</v>
      </c>
      <c r="S434" s="2" t="str">
        <f>IFERROR(__xludf.DUMMYFUNCTION("""COMPUTED_VALUE"""),"RANDY")</f>
        <v>RANDY</v>
      </c>
      <c r="T434" s="73" t="str">
        <f>IFERROR(__xludf.DUMMYFUNCTION("""COMPUTED_VALUE""")," N/A ")</f>
        <v>N/A</v>
      </c>
      <c r="U434" s="73" t="str">
        <f>IFERROR(__xludf.DUMMYFUNCTION("""COMPUTED_VALUE""")," NO CHARGE ")</f>
        <v>NO CHARGE</v>
      </c>
      <c r="V434" s="2"/>
      <c r="W434" s="2" t="str">
        <f>IFERROR(__xludf.DUMMYFUNCTION("""COMPUTED_VALUE"""),"N/A")</f>
        <v>N/A</v>
      </c>
      <c r="X434" s="2" t="str">
        <f>IFERROR(__xludf.DUMMYFUNCTION("""COMPUTED_VALUE"""),"N/A")</f>
        <v>N/A</v>
      </c>
      <c r="Y434" s="2" t="str">
        <f>IFERROR(__xludf.DUMMYFUNCTION("""COMPUTED_VALUE"""),"LTC-REG6-003")</f>
        <v>LTC-REG6-003</v>
      </c>
      <c r="Z434" s="2"/>
      <c r="AA434" s="2"/>
      <c r="AB434" s="2"/>
      <c r="AC434" s="2"/>
      <c r="AD434" s="2"/>
      <c r="AE434" s="2"/>
      <c r="AF434" s="2"/>
      <c r="AG434" s="2"/>
      <c r="AH434" s="2"/>
      <c r="AI434" s="2"/>
      <c r="AJ434" s="2" t="str">
        <f>IFERROR(__xludf.DUMMYFUNCTION("""COMPUTED_VALUE"""),"Gaub")</f>
        <v>Gaub</v>
      </c>
      <c r="AK434" s="2" t="str">
        <f>IFERROR(__xludf.DUMMYFUNCTION("""COMPUTED_VALUE"""),"Cabatuan")</f>
        <v>Cabatuan</v>
      </c>
      <c r="AL434" s="2" t="str">
        <f>IFERROR(__xludf.DUMMYFUNCTION("""COMPUTED_VALUE"""),"Iloilo")</f>
        <v>Iloilo</v>
      </c>
      <c r="AM434" s="2">
        <f>IFERROR(__xludf.DUMMYFUNCTION("""COMPUTED_VALUE"""),6.0)</f>
        <v>6</v>
      </c>
      <c r="AN434" s="2" t="str">
        <f>IFERROR(__xludf.DUMMYFUNCTION("""COMPUTED_VALUE"""),"RCEF 23-09-21 Rebidding")</f>
        <v>RCEF 23-09-21 Rebidding</v>
      </c>
      <c r="AO434" s="2">
        <f>IFERROR(__xludf.DUMMYFUNCTION("""COMPUTED_VALUE"""),4.0)</f>
        <v>4</v>
      </c>
      <c r="AP434" s="2"/>
      <c r="AQ434" s="2"/>
      <c r="AR434" s="2"/>
      <c r="AS434" s="2"/>
      <c r="AT434" s="2"/>
      <c r="AU434" s="2"/>
      <c r="AV434" s="2"/>
      <c r="AW434" s="2"/>
      <c r="AX434" s="2"/>
      <c r="AY434" s="2"/>
      <c r="AZ434" s="2"/>
      <c r="BA434" s="2"/>
      <c r="BB434" s="2"/>
    </row>
    <row r="435">
      <c r="A435" s="2">
        <f>IFERROR(__xludf.DUMMYFUNCTION("""COMPUTED_VALUE"""),431.0)</f>
        <v>431</v>
      </c>
      <c r="B435" s="2" t="str">
        <f>IFERROR(__xludf.DUMMYFUNCTION("""COMPUTED_VALUE"""),"COMPLETED")</f>
        <v>COMPLETED</v>
      </c>
      <c r="C435" s="74">
        <f>IFERROR(__xludf.DUMMYFUNCTION("""COMPUTED_VALUE"""),45533.0)</f>
        <v>45533</v>
      </c>
      <c r="D435" s="71" t="str">
        <f>IFERROR(__xludf.DUMMYFUNCTION("""COMPUTED_VALUE"""),"Brgy. Mañacabac Farmers Association")</f>
        <v>Brgy. Mañacabac Farmers Association</v>
      </c>
      <c r="E435" s="71" t="str">
        <f>IFERROR(__xludf.DUMMYFUNCTION("""COMPUTED_VALUE"""),"Manacabac, Janiuay, ILOILO")</f>
        <v>Manacabac, Janiuay, ILOILO</v>
      </c>
      <c r="F435" s="2" t="str">
        <f>IFERROR(__xludf.DUMMYFUNCTION("""COMPUTED_VALUE"""),"Rodolfo A. Palizada jr")</f>
        <v>Rodolfo A. Palizada jr</v>
      </c>
      <c r="G435" s="2">
        <f>IFERROR(__xludf.DUMMYFUNCTION("""COMPUTED_VALUE"""),9.073101243E9)</f>
        <v>9073101243</v>
      </c>
      <c r="H435" s="2">
        <f>IFERROR(__xludf.DUMMYFUNCTION("""COMPUTED_VALUE"""),58.9)</f>
        <v>58.9</v>
      </c>
      <c r="I435" s="72" t="str">
        <f>IFERROR(__xludf.DUMMYFUNCTION("""COMPUTED_VALUE"""),"PMS")</f>
        <v>PMS</v>
      </c>
      <c r="J435" s="72" t="str">
        <f>IFERROR(__xludf.DUMMYFUNCTION("""COMPUTED_VALUE"""),"PMS")</f>
        <v>PMS</v>
      </c>
      <c r="K435" s="72" t="str">
        <f>IFERROR(__xludf.DUMMYFUNCTION("""COMPUTED_VALUE"""),"CCB; FOR FIRST PMS: ")</f>
        <v>CCB; FOR FIRST PMS: </v>
      </c>
      <c r="L435" s="72" t="str">
        <f>IFERROR(__xludf.DUMMYFUNCTION("""COMPUTED_VALUE"""),"EGT: 1ST PMS DONE : MAY SARILING FILTER SI FARMER")</f>
        <v>EGT: 1ST PMS DONE : MAY SARILING FILTER SI FARMER</v>
      </c>
      <c r="M435" s="2"/>
      <c r="N435" s="2"/>
      <c r="O435" s="2">
        <f>IFERROR(__xludf.DUMMYFUNCTION("""COMPUTED_VALUE"""),1307.0)</f>
        <v>1307</v>
      </c>
      <c r="P435" s="2"/>
      <c r="Q435" s="2" t="str">
        <f>IFERROR(__xludf.DUMMYFUNCTION("""COMPUTED_VALUE"""),"Y")</f>
        <v>Y</v>
      </c>
      <c r="R435" s="74">
        <f>IFERROR(__xludf.DUMMYFUNCTION("""COMPUTED_VALUE"""),45570.0)</f>
        <v>45570</v>
      </c>
      <c r="S435" s="2" t="str">
        <f>IFERROR(__xludf.DUMMYFUNCTION("""COMPUTED_VALUE"""),"EGT/DRM")</f>
        <v>EGT/DRM</v>
      </c>
      <c r="T435" s="73" t="str">
        <f>IFERROR(__xludf.DUMMYFUNCTION("""COMPUTED_VALUE""")," N/A ")</f>
        <v>N/A</v>
      </c>
      <c r="U435" s="73" t="str">
        <f>IFERROR(__xludf.DUMMYFUNCTION("""COMPUTED_VALUE""")," NO CHARGE ")</f>
        <v>NO CHARGE</v>
      </c>
      <c r="V435" s="2"/>
      <c r="W435" s="2" t="str">
        <f>IFERROR(__xludf.DUMMYFUNCTION("""COMPUTED_VALUE"""),"N/A")</f>
        <v>N/A</v>
      </c>
      <c r="X435" s="2" t="str">
        <f>IFERROR(__xludf.DUMMYFUNCTION("""COMPUTED_VALUE"""),"N/A")</f>
        <v>N/A</v>
      </c>
      <c r="Y435" s="2"/>
      <c r="Z435" s="2"/>
      <c r="AA435" s="2"/>
      <c r="AB435" s="2"/>
      <c r="AC435" s="2"/>
      <c r="AD435" s="2"/>
      <c r="AE435" s="2"/>
      <c r="AF435" s="2"/>
      <c r="AG435" s="2"/>
      <c r="AH435" s="2"/>
      <c r="AI435" s="2"/>
      <c r="AJ435" s="2" t="str">
        <f>IFERROR(__xludf.DUMMYFUNCTION("""COMPUTED_VALUE"""),"Manacabac")</f>
        <v>Manacabac</v>
      </c>
      <c r="AK435" s="2" t="str">
        <f>IFERROR(__xludf.DUMMYFUNCTION("""COMPUTED_VALUE"""),"Janiuay")</f>
        <v>Janiuay</v>
      </c>
      <c r="AL435" s="2" t="str">
        <f>IFERROR(__xludf.DUMMYFUNCTION("""COMPUTED_VALUE"""),"Iloilo")</f>
        <v>Iloilo</v>
      </c>
      <c r="AM435" s="2">
        <f>IFERROR(__xludf.DUMMYFUNCTION("""COMPUTED_VALUE"""),6.0)</f>
        <v>6</v>
      </c>
      <c r="AN435" s="2" t="str">
        <f>IFERROR(__xludf.DUMMYFUNCTION("""COMPUTED_VALUE"""),"RCEF 23-09-21 Rebidding")</f>
        <v>RCEF 23-09-21 Rebidding</v>
      </c>
      <c r="AO435" s="2">
        <f>IFERROR(__xludf.DUMMYFUNCTION("""COMPUTED_VALUE"""),4.0)</f>
        <v>4</v>
      </c>
      <c r="AP435" s="2"/>
      <c r="AQ435" s="2"/>
      <c r="AR435" s="2"/>
      <c r="AS435" s="2"/>
      <c r="AT435" s="2"/>
      <c r="AU435" s="2"/>
      <c r="AV435" s="2"/>
      <c r="AW435" s="2"/>
      <c r="AX435" s="2"/>
      <c r="AY435" s="2"/>
      <c r="AZ435" s="2"/>
      <c r="BA435" s="2"/>
      <c r="BB435" s="2"/>
    </row>
    <row r="436">
      <c r="A436" s="2">
        <f>IFERROR(__xludf.DUMMYFUNCTION("""COMPUTED_VALUE"""),432.0)</f>
        <v>432</v>
      </c>
      <c r="B436" s="2" t="str">
        <f>IFERROR(__xludf.DUMMYFUNCTION("""COMPUTED_VALUE"""),"COMPLETED")</f>
        <v>COMPLETED</v>
      </c>
      <c r="C436" s="74">
        <f>IFERROR(__xludf.DUMMYFUNCTION("""COMPUTED_VALUE"""),45533.0)</f>
        <v>45533</v>
      </c>
      <c r="D436" s="71" t="str">
        <f>IFERROR(__xludf.DUMMYFUNCTION("""COMPUTED_VALUE"""),"Aglanot Pinoy Agri Farmers Association (APAFA)")</f>
        <v>Aglanot Pinoy Agri Farmers Association (APAFA)</v>
      </c>
      <c r="E436" s="71" t="str">
        <f>IFERROR(__xludf.DUMMYFUNCTION("""COMPUTED_VALUE"""),"Aglanot, Dumarao, CAPIZ")</f>
        <v>Aglanot, Dumarao, CAPIZ</v>
      </c>
      <c r="F436" s="2" t="str">
        <f>IFERROR(__xludf.DUMMYFUNCTION("""COMPUTED_VALUE"""),"LINA ALVAREZ")</f>
        <v>LINA ALVAREZ</v>
      </c>
      <c r="G436" s="2">
        <f>IFERROR(__xludf.DUMMYFUNCTION("""COMPUTED_VALUE"""),9.3139369156E10)</f>
        <v>93139369156</v>
      </c>
      <c r="H436" s="2">
        <f>IFERROR(__xludf.DUMMYFUNCTION("""COMPUTED_VALUE"""),52.0)</f>
        <v>52</v>
      </c>
      <c r="I436" s="72" t="str">
        <f>IFERROR(__xludf.DUMMYFUNCTION("""COMPUTED_VALUE"""),"PMS")</f>
        <v>PMS</v>
      </c>
      <c r="J436" s="72" t="str">
        <f>IFERROR(__xludf.DUMMYFUNCTION("""COMPUTED_VALUE"""),"PMS")</f>
        <v>PMS</v>
      </c>
      <c r="K436" s="72" t="str">
        <f>IFERROR(__xludf.DUMMYFUNCTION("""COMPUTED_VALUE"""),"CCB; FOR FIRST PMS")</f>
        <v>CCB; FOR FIRST PMS</v>
      </c>
      <c r="L436" s="72" t="str">
        <f>IFERROR(__xludf.DUMMYFUNCTION("""COMPUTED_VALUE"""),"EGT: 1ST PMS DONE")</f>
        <v>EGT: 1ST PMS DONE</v>
      </c>
      <c r="M436" s="2"/>
      <c r="N436" s="2" t="str">
        <f>IFERROR(__xludf.DUMMYFUNCTION("""COMPUTED_VALUE"""),"PARTS: OIL FILTER")</f>
        <v>PARTS: OIL FILTER</v>
      </c>
      <c r="O436" s="2">
        <f>IFERROR(__xludf.DUMMYFUNCTION("""COMPUTED_VALUE"""),1308.0)</f>
        <v>1308</v>
      </c>
      <c r="P436" s="2" t="str">
        <f>IFERROR(__xludf.DUMMYFUNCTION("""COMPUTED_VALUE"""),"AGLANOT PINOY AGRI FARMERS ASSOCIATION (APAFA)10-14-2024 .pdf")</f>
        <v>AGLANOT PINOY AGRI FARMERS ASSOCIATION (APAFA)10-14-2024 .pdf</v>
      </c>
      <c r="Q436" s="2" t="str">
        <f>IFERROR(__xludf.DUMMYFUNCTION("""COMPUTED_VALUE"""),"Y")</f>
        <v>Y</v>
      </c>
      <c r="R436" s="74">
        <f>IFERROR(__xludf.DUMMYFUNCTION("""COMPUTED_VALUE"""),45572.0)</f>
        <v>45572</v>
      </c>
      <c r="S436" s="2" t="str">
        <f>IFERROR(__xludf.DUMMYFUNCTION("""COMPUTED_VALUE"""),"EGT/DRM")</f>
        <v>EGT/DRM</v>
      </c>
      <c r="T436" s="73">
        <f>IFERROR(__xludf.DUMMYFUNCTION("""COMPUTED_VALUE"""),1533.0)</f>
        <v>1533</v>
      </c>
      <c r="U436" s="73" t="str">
        <f>IFERROR(__xludf.DUMMYFUNCTION("""COMPUTED_VALUE""")," REMITTED ")</f>
        <v>REMITTED</v>
      </c>
      <c r="V436" s="2"/>
      <c r="W436" s="2">
        <f>IFERROR(__xludf.DUMMYFUNCTION("""COMPUTED_VALUE"""),1317.0)</f>
        <v>1317</v>
      </c>
      <c r="X436" s="2">
        <f>IFERROR(__xludf.DUMMYFUNCTION("""COMPUTED_VALUE"""),1222.0)</f>
        <v>1222</v>
      </c>
      <c r="Y436" s="2"/>
      <c r="Z436" s="2"/>
      <c r="AA436" s="2"/>
      <c r="AB436" s="2"/>
      <c r="AC436" s="2"/>
      <c r="AD436" s="2"/>
      <c r="AE436" s="2"/>
      <c r="AF436" s="2"/>
      <c r="AG436" s="2"/>
      <c r="AH436" s="2"/>
      <c r="AI436" s="2"/>
      <c r="AJ436" s="2" t="str">
        <f>IFERROR(__xludf.DUMMYFUNCTION("""COMPUTED_VALUE"""),"Aglanot")</f>
        <v>Aglanot</v>
      </c>
      <c r="AK436" s="2" t="str">
        <f>IFERROR(__xludf.DUMMYFUNCTION("""COMPUTED_VALUE"""),"Dumarao")</f>
        <v>Dumarao</v>
      </c>
      <c r="AL436" s="2" t="str">
        <f>IFERROR(__xludf.DUMMYFUNCTION("""COMPUTED_VALUE"""),"Capiz")</f>
        <v>Capiz</v>
      </c>
      <c r="AM436" s="2">
        <f>IFERROR(__xludf.DUMMYFUNCTION("""COMPUTED_VALUE"""),6.0)</f>
        <v>6</v>
      </c>
      <c r="AN436" s="2" t="str">
        <f>IFERROR(__xludf.DUMMYFUNCTION("""COMPUTED_VALUE"""),"RCEF 23-09-21 Rebidding")</f>
        <v>RCEF 23-09-21 Rebidding</v>
      </c>
      <c r="AO436" s="2">
        <f>IFERROR(__xludf.DUMMYFUNCTION("""COMPUTED_VALUE"""),4.0)</f>
        <v>4</v>
      </c>
      <c r="AP436" s="2"/>
      <c r="AQ436" s="2"/>
      <c r="AR436" s="2"/>
      <c r="AS436" s="2"/>
      <c r="AT436" s="2"/>
      <c r="AU436" s="2"/>
      <c r="AV436" s="2"/>
      <c r="AW436" s="2"/>
      <c r="AX436" s="2"/>
      <c r="AY436" s="2"/>
      <c r="AZ436" s="2"/>
      <c r="BA436" s="2"/>
      <c r="BB436" s="2"/>
    </row>
    <row r="437">
      <c r="A437" s="2">
        <f>IFERROR(__xludf.DUMMYFUNCTION("""COMPUTED_VALUE"""),433.0)</f>
        <v>433</v>
      </c>
      <c r="B437" s="2" t="str">
        <f>IFERROR(__xludf.DUMMYFUNCTION("""COMPUTED_VALUE"""),"COMPLETED")</f>
        <v>COMPLETED</v>
      </c>
      <c r="C437" s="74">
        <f>IFERROR(__xludf.DUMMYFUNCTION("""COMPUTED_VALUE"""),45537.0)</f>
        <v>45537</v>
      </c>
      <c r="D437" s="71" t="str">
        <f>IFERROR(__xludf.DUMMYFUNCTION("""COMPUTED_VALUE"""),"MANNALON NGA NAURNOS TI PURA FARMERS ASSOCIATION Inc.")</f>
        <v>MANNALON NGA NAURNOS TI PURA FARMERS ASSOCIATION Inc.</v>
      </c>
      <c r="E437" s="71" t="str">
        <f>IFERROR(__xludf.DUMMYFUNCTION("""COMPUTED_VALUE"""),"Estipona, Pura, TARLAC")</f>
        <v>Estipona, Pura, TARLAC</v>
      </c>
      <c r="F437" s="2" t="str">
        <f>IFERROR(__xludf.DUMMYFUNCTION("""COMPUTED_VALUE"""),"COLEMINA G. PASCUA")</f>
        <v>COLEMINA G. PASCUA</v>
      </c>
      <c r="G437" s="2">
        <f>IFERROR(__xludf.DUMMYFUNCTION("""COMPUTED_VALUE"""),9.973003011E9)</f>
        <v>9973003011</v>
      </c>
      <c r="H437" s="2">
        <f>IFERROR(__xludf.DUMMYFUNCTION("""COMPUTED_VALUE"""),281.0)</f>
        <v>281</v>
      </c>
      <c r="I437" s="72" t="str">
        <f>IFERROR(__xludf.DUMMYFUNCTION("""COMPUTED_VALUE"""),"REPAIR - TRACTOR")</f>
        <v>REPAIR - TRACTOR</v>
      </c>
      <c r="J437" s="72" t="str">
        <f>IFERROR(__xludf.DUMMYFUNCTION("""COMPUTED_VALUE"""),"Electrical - Fuse Box")</f>
        <v>Electrical - Fuse Box</v>
      </c>
      <c r="K437" s="72" t="str">
        <f>IFERROR(__xludf.DUMMYFUNCTION("""COMPUTED_VALUE"""),"DSD: AYAW GUMANA NG PANEL BOARD")</f>
        <v>DSD: AYAW GUMANA NG PANEL BOARD</v>
      </c>
      <c r="L437" s="72" t="str">
        <f>IFERROR(__xludf.DUMMYFUNCTION("""COMPUTED_VALUE"""),"DSD: Pinalitan po namin yung fuse 5A, Okay na po yung unit, yung fuse po na pinalit po namin ay yung extra nya po na fuse
")</f>
        <v>DSD: Pinalitan po namin yung fuse 5A, Okay na po yung unit, yung fuse po na pinalit po namin ay yung extra nya po na fuse
</v>
      </c>
      <c r="M437" s="2"/>
      <c r="N437" s="2"/>
      <c r="O437" s="2" t="str">
        <f>IFERROR(__xludf.DUMMYFUNCTION("""COMPUTED_VALUE"""),"JIE-948")</f>
        <v>JIE-948</v>
      </c>
      <c r="P437" s="2"/>
      <c r="Q437" s="2"/>
      <c r="R437" s="74">
        <f>IFERROR(__xludf.DUMMYFUNCTION("""COMPUTED_VALUE"""),45537.0)</f>
        <v>45537</v>
      </c>
      <c r="S437" s="2" t="str">
        <f>IFERROR(__xludf.DUMMYFUNCTION("""COMPUTED_VALUE"""),"EGT/DRM/DSD/ACS/JDP")</f>
        <v>EGT/DRM/DSD/ACS/JDP</v>
      </c>
      <c r="T437" s="73" t="str">
        <f>IFERROR(__xludf.DUMMYFUNCTION("""COMPUTED_VALUE""")," N/A ")</f>
        <v>N/A</v>
      </c>
      <c r="U437" s="73" t="str">
        <f>IFERROR(__xludf.DUMMYFUNCTION("""COMPUTED_VALUE""")," NO CHARGE ")</f>
        <v>NO CHARGE</v>
      </c>
      <c r="V437" s="2"/>
      <c r="W437" s="2" t="str">
        <f>IFERROR(__xludf.DUMMYFUNCTION("""COMPUTED_VALUE"""),"N/A")</f>
        <v>N/A</v>
      </c>
      <c r="X437" s="2" t="str">
        <f>IFERROR(__xludf.DUMMYFUNCTION("""COMPUTED_VALUE"""),"N/A")</f>
        <v>N/A</v>
      </c>
      <c r="Y437" s="2"/>
      <c r="Z437" s="2"/>
      <c r="AA437" s="2"/>
      <c r="AB437" s="2"/>
      <c r="AC437" s="2"/>
      <c r="AD437" s="2"/>
      <c r="AE437" s="2"/>
      <c r="AF437" s="2"/>
      <c r="AG437" s="2"/>
      <c r="AH437" s="2"/>
      <c r="AI437" s="2"/>
      <c r="AJ437" s="2" t="str">
        <f>IFERROR(__xludf.DUMMYFUNCTION("""COMPUTED_VALUE"""),"Estipona")</f>
        <v>Estipona</v>
      </c>
      <c r="AK437" s="2" t="str">
        <f>IFERROR(__xludf.DUMMYFUNCTION("""COMPUTED_VALUE"""),"Pura")</f>
        <v>Pura</v>
      </c>
      <c r="AL437" s="2" t="str">
        <f>IFERROR(__xludf.DUMMYFUNCTION("""COMPUTED_VALUE"""),"Tarlac")</f>
        <v>Tarlac</v>
      </c>
      <c r="AM437" s="2">
        <f>IFERROR(__xludf.DUMMYFUNCTION("""COMPUTED_VALUE"""),3.0)</f>
        <v>3</v>
      </c>
      <c r="AN437" s="2" t="str">
        <f>IFERROR(__xludf.DUMMYFUNCTION("""COMPUTED_VALUE"""),"RCEF 23-09-21 Rebidding")</f>
        <v>RCEF 23-09-21 Rebidding</v>
      </c>
      <c r="AO437" s="2">
        <f>IFERROR(__xludf.DUMMYFUNCTION("""COMPUTED_VALUE"""),3.0)</f>
        <v>3</v>
      </c>
      <c r="AP437" s="2"/>
      <c r="AQ437" s="2"/>
      <c r="AR437" s="2"/>
      <c r="AS437" s="2"/>
      <c r="AT437" s="2"/>
      <c r="AU437" s="2"/>
      <c r="AV437" s="2"/>
      <c r="AW437" s="2"/>
      <c r="AX437" s="2"/>
      <c r="AY437" s="2"/>
      <c r="AZ437" s="2"/>
      <c r="BA437" s="2"/>
      <c r="BB437" s="2"/>
    </row>
    <row r="438">
      <c r="A438" s="2">
        <f>IFERROR(__xludf.DUMMYFUNCTION("""COMPUTED_VALUE"""),434.0)</f>
        <v>434</v>
      </c>
      <c r="B438" s="2" t="str">
        <f>IFERROR(__xludf.DUMMYFUNCTION("""COMPUTED_VALUE"""),"COMPLETED")</f>
        <v>COMPLETED</v>
      </c>
      <c r="C438" s="74">
        <f>IFERROR(__xludf.DUMMYFUNCTION("""COMPUTED_VALUE"""),45541.0)</f>
        <v>45541</v>
      </c>
      <c r="D438" s="71" t="str">
        <f>IFERROR(__xludf.DUMMYFUNCTION("""COMPUTED_VALUE"""),"NAGUILIAN IRRIGATORS' ASSOCIATION, INC.")</f>
        <v>NAGUILIAN IRRIGATORS' ASSOCIATION, INC.</v>
      </c>
      <c r="E438" s="71" t="str">
        <f>IFERROR(__xludf.DUMMYFUNCTION("""COMPUTED_VALUE"""),"Naguilian, Lal-lo, CAGAYAN")</f>
        <v>Naguilian, Lal-lo, CAGAYAN</v>
      </c>
      <c r="F438" s="2" t="str">
        <f>IFERROR(__xludf.DUMMYFUNCTION("""COMPUTED_VALUE"""),"DIOSDADO URMATAM")</f>
        <v>DIOSDADO URMATAM</v>
      </c>
      <c r="G438" s="2">
        <f>IFERROR(__xludf.DUMMYFUNCTION("""COMPUTED_VALUE"""),9.061000932E9)</f>
        <v>9061000932</v>
      </c>
      <c r="H438" s="2"/>
      <c r="I438" s="72" t="str">
        <f>IFERROR(__xludf.DUMMYFUNCTION("""COMPUTED_VALUE"""),"SPARE PARTS ACQUISITION")</f>
        <v>SPARE PARTS ACQUISITION</v>
      </c>
      <c r="J438" s="72"/>
      <c r="K438" s="72" t="str">
        <f>IFERROR(__xludf.DUMMYFUNCTION("""COMPUTED_VALUE"""),"MYKEE: OIL SEAL  45-83-12")</f>
        <v>MYKEE: OIL SEAL  45-83-12</v>
      </c>
      <c r="L438" s="72" t="str">
        <f>IFERROR(__xludf.DUMMYFUNCTION("""COMPUTED_VALUE"""),"MYKEE: OUTSOURCE 2 PCS OIL SEAL 45-82-12 BY JTT")</f>
        <v>MYKEE: OUTSOURCE 2 PCS OIL SEAL 45-82-12 BY JTT</v>
      </c>
      <c r="M438" s="2"/>
      <c r="N438" s="2" t="str">
        <f>IFERROR(__xludf.DUMMYFUNCTION("""COMPUTED_VALUE"""),"PARTS USED: 
2PCS OIL SEAL 45-82-12")</f>
        <v>PARTS USED: 
2PCS OIL SEAL 45-82-12</v>
      </c>
      <c r="O438" s="2" t="str">
        <f>IFERROR(__xludf.DUMMYFUNCTION("""COMPUTED_VALUE"""),"N/A")</f>
        <v>N/A</v>
      </c>
      <c r="P438" s="2"/>
      <c r="Q438" s="2"/>
      <c r="R438" s="74">
        <f>IFERROR(__xludf.DUMMYFUNCTION("""COMPUTED_VALUE"""),45553.0)</f>
        <v>45553</v>
      </c>
      <c r="S438" s="2" t="str">
        <f>IFERROR(__xludf.DUMMYFUNCTION("""COMPUTED_VALUE"""),"MYKEE/JTT")</f>
        <v>MYKEE/JTT</v>
      </c>
      <c r="T438" s="73">
        <f>IFERROR(__xludf.DUMMYFUNCTION("""COMPUTED_VALUE"""),2650.0)</f>
        <v>2650</v>
      </c>
      <c r="U438" s="73" t="str">
        <f>IFERROR(__xludf.DUMMYFUNCTION("""COMPUTED_VALUE""")," NO CHARGE ")</f>
        <v>NO CHARGE</v>
      </c>
      <c r="V438" s="2"/>
      <c r="W438" s="2" t="str">
        <f>IFERROR(__xludf.DUMMYFUNCTION("""COMPUTED_VALUE"""),"N/A")</f>
        <v>N/A</v>
      </c>
      <c r="X438" s="2" t="str">
        <f>IFERROR(__xludf.DUMMYFUNCTION("""COMPUTED_VALUE"""),"N/A")</f>
        <v>N/A</v>
      </c>
      <c r="Y438" s="2"/>
      <c r="Z438" s="2"/>
      <c r="AA438" s="2"/>
      <c r="AB438" s="2"/>
      <c r="AC438" s="2"/>
      <c r="AD438" s="2"/>
      <c r="AE438" s="2"/>
      <c r="AF438" s="2"/>
      <c r="AG438" s="2"/>
      <c r="AH438" s="2"/>
      <c r="AI438" s="2"/>
      <c r="AJ438" s="2" t="str">
        <f>IFERROR(__xludf.DUMMYFUNCTION("""COMPUTED_VALUE"""),"Naguilian")</f>
        <v>Naguilian</v>
      </c>
      <c r="AK438" s="2" t="str">
        <f>IFERROR(__xludf.DUMMYFUNCTION("""COMPUTED_VALUE"""),"Lal-Lo")</f>
        <v>Lal-Lo</v>
      </c>
      <c r="AL438" s="2" t="str">
        <f>IFERROR(__xludf.DUMMYFUNCTION("""COMPUTED_VALUE"""),"Cagayan")</f>
        <v>Cagayan</v>
      </c>
      <c r="AM438" s="2">
        <f>IFERROR(__xludf.DUMMYFUNCTION("""COMPUTED_VALUE"""),2.0)</f>
        <v>2</v>
      </c>
      <c r="AN438" s="2" t="str">
        <f>IFERROR(__xludf.DUMMYFUNCTION("""COMPUTED_VALUE"""),"RCEF 23-09-21 Rebidding")</f>
        <v>RCEF 23-09-21 Rebidding</v>
      </c>
      <c r="AO438" s="2">
        <f>IFERROR(__xludf.DUMMYFUNCTION("""COMPUTED_VALUE"""),9.0)</f>
        <v>9</v>
      </c>
      <c r="AP438" s="2"/>
      <c r="AQ438" s="2"/>
      <c r="AR438" s="2"/>
      <c r="AS438" s="2"/>
      <c r="AT438" s="2"/>
      <c r="AU438" s="2"/>
      <c r="AV438" s="2"/>
      <c r="AW438" s="2"/>
      <c r="AX438" s="2"/>
      <c r="AY438" s="2"/>
      <c r="AZ438" s="2"/>
      <c r="BA438" s="2"/>
      <c r="BB438" s="2"/>
    </row>
    <row r="439">
      <c r="A439" s="2">
        <f>IFERROR(__xludf.DUMMYFUNCTION("""COMPUTED_VALUE"""),435.0)</f>
        <v>435</v>
      </c>
      <c r="B439" s="2" t="str">
        <f>IFERROR(__xludf.DUMMYFUNCTION("""COMPUTED_VALUE"""),"COMPLETED")</f>
        <v>COMPLETED</v>
      </c>
      <c r="C439" s="74">
        <f>IFERROR(__xludf.DUMMYFUNCTION("""COMPUTED_VALUE"""),45544.0)</f>
        <v>45544</v>
      </c>
      <c r="D439" s="71" t="str">
        <f>IFERROR(__xludf.DUMMYFUNCTION("""COMPUTED_VALUE"""),"GINTONG SAMAHAN NG MAGSASAKA NG PAGALANGGANG")</f>
        <v>GINTONG SAMAHAN NG MAGSASAKA NG PAGALANGGANG</v>
      </c>
      <c r="E439" s="71" t="str">
        <f>IFERROR(__xludf.DUMMYFUNCTION("""COMPUTED_VALUE"""),"Pagalanggang, Dinalupihan, BATAAN")</f>
        <v>Pagalanggang, Dinalupihan, BATAAN</v>
      </c>
      <c r="F439" s="2" t="str">
        <f>IFERROR(__xludf.DUMMYFUNCTION("""COMPUTED_VALUE"""),"Edgardo M. De Guzman")</f>
        <v>Edgardo M. De Guzman</v>
      </c>
      <c r="G439" s="2" t="str">
        <f>IFERROR(__xludf.DUMMYFUNCTION("""COMPUTED_VALUE"""),"0999-429-7657/ 0948-984-8571
+639300528002
09926881565")</f>
        <v>0999-429-7657/ 0948-984-8571
+639300528002
09926881565</v>
      </c>
      <c r="H439" s="2">
        <f>IFERROR(__xludf.DUMMYFUNCTION("""COMPUTED_VALUE"""),226.3)</f>
        <v>226.3</v>
      </c>
      <c r="I439" s="72" t="str">
        <f>IFERROR(__xludf.DUMMYFUNCTION("""COMPUTED_VALUE"""),"PMS")</f>
        <v>PMS</v>
      </c>
      <c r="J439" s="72" t="str">
        <f>IFERROR(__xludf.DUMMYFUNCTION("""COMPUTED_VALUE"""),"PMS")</f>
        <v>PMS</v>
      </c>
      <c r="K439" s="72" t="str">
        <f>IFERROR(__xludf.DUMMYFUNCTION("""COMPUTED_VALUE"""),"UPON TYM CAMPAIGN: SUBJECT FOR FIRST/2ND PMS
JDP: 10/2/24: May engine oil na daw po sila oil filter na lang daw po ang bibilhin sa atin")</f>
        <v>UPON TYM CAMPAIGN: SUBJECT FOR FIRST/2ND PMS
JDP: 10/2/24: May engine oil na daw po sila oil filter na lang daw po ang bibilhin sa atin</v>
      </c>
      <c r="L439" s="72" t="str">
        <f>IFERROR(__xludf.DUMMYFUNCTION("""COMPUTED_VALUE"""),"ACS: 2nd pms done
")</f>
        <v>ACS: 2nd pms done
</v>
      </c>
      <c r="M439" s="2"/>
      <c r="N439" s="2" t="str">
        <f>IFERROR(__xludf.DUMMYFUNCTION("""COMPUTED_VALUE"""),"PARTS: OIL FILTER, HYDRAULIC FILTER")</f>
        <v>PARTS: OIL FILTER, HYDRAULIC FILTER</v>
      </c>
      <c r="O439" s="2">
        <f>IFERROR(__xludf.DUMMYFUNCTION("""COMPUTED_VALUE"""),577.0)</f>
        <v>577</v>
      </c>
      <c r="P439" s="2"/>
      <c r="Q439" s="2" t="str">
        <f>IFERROR(__xludf.DUMMYFUNCTION("""COMPUTED_VALUE"""),"Y")</f>
        <v>Y</v>
      </c>
      <c r="R439" s="74">
        <f>IFERROR(__xludf.DUMMYFUNCTION("""COMPUTED_VALUE"""),45568.0)</f>
        <v>45568</v>
      </c>
      <c r="S439" s="2" t="str">
        <f>IFERROR(__xludf.DUMMYFUNCTION("""COMPUTED_VALUE"""),"ACS/JHP")</f>
        <v>ACS/JHP</v>
      </c>
      <c r="T439" s="73">
        <f>IFERROR(__xludf.DUMMYFUNCTION("""COMPUTED_VALUE"""),4400.0)</f>
        <v>4400</v>
      </c>
      <c r="U439" s="73" t="str">
        <f>IFERROR(__xludf.DUMMYFUNCTION("""COMPUTED_VALUE""")," REMITTED ")</f>
        <v>REMITTED</v>
      </c>
      <c r="V439" s="2"/>
      <c r="W439" s="2"/>
      <c r="X439" s="2">
        <f>IFERROR(__xludf.DUMMYFUNCTION("""COMPUTED_VALUE"""),1182.0)</f>
        <v>1182</v>
      </c>
      <c r="Y439" s="2"/>
      <c r="Z439" s="2"/>
      <c r="AA439" s="2"/>
      <c r="AB439" s="2"/>
      <c r="AC439" s="2"/>
      <c r="AD439" s="2"/>
      <c r="AE439" s="2"/>
      <c r="AF439" s="2"/>
      <c r="AG439" s="2"/>
      <c r="AH439" s="2"/>
      <c r="AI439" s="2"/>
      <c r="AJ439" s="2" t="str">
        <f>IFERROR(__xludf.DUMMYFUNCTION("""COMPUTED_VALUE"""),"Pagalanggang")</f>
        <v>Pagalanggang</v>
      </c>
      <c r="AK439" s="2" t="str">
        <f>IFERROR(__xludf.DUMMYFUNCTION("""COMPUTED_VALUE"""),"Dinalupihan")</f>
        <v>Dinalupihan</v>
      </c>
      <c r="AL439" s="2" t="str">
        <f>IFERROR(__xludf.DUMMYFUNCTION("""COMPUTED_VALUE"""),"Bataan")</f>
        <v>Bataan</v>
      </c>
      <c r="AM439" s="2">
        <f>IFERROR(__xludf.DUMMYFUNCTION("""COMPUTED_VALUE"""),3.0)</f>
        <v>3</v>
      </c>
      <c r="AN439" s="2" t="str">
        <f>IFERROR(__xludf.DUMMYFUNCTION("""COMPUTED_VALUE"""),"RCEF 23-09-21 Rebidding")</f>
        <v>RCEF 23-09-21 Rebidding</v>
      </c>
      <c r="AO439" s="2">
        <f>IFERROR(__xludf.DUMMYFUNCTION("""COMPUTED_VALUE"""),3.0)</f>
        <v>3</v>
      </c>
      <c r="AP439" s="2"/>
      <c r="AQ439" s="2"/>
      <c r="AR439" s="2"/>
      <c r="AS439" s="2"/>
      <c r="AT439" s="2"/>
      <c r="AU439" s="2"/>
      <c r="AV439" s="2"/>
      <c r="AW439" s="2"/>
      <c r="AX439" s="2"/>
      <c r="AY439" s="2"/>
      <c r="AZ439" s="2"/>
      <c r="BA439" s="2"/>
      <c r="BB439" s="2"/>
    </row>
    <row r="440">
      <c r="A440" s="2">
        <f>IFERROR(__xludf.DUMMYFUNCTION("""COMPUTED_VALUE"""),436.0)</f>
        <v>436</v>
      </c>
      <c r="B440" s="2" t="str">
        <f>IFERROR(__xludf.DUMMYFUNCTION("""COMPUTED_VALUE"""),"COMPLETED")</f>
        <v>COMPLETED</v>
      </c>
      <c r="C440" s="74">
        <f>IFERROR(__xludf.DUMMYFUNCTION("""COMPUTED_VALUE"""),45544.0)</f>
        <v>45544</v>
      </c>
      <c r="D440" s="71" t="str">
        <f>IFERROR(__xludf.DUMMYFUNCTION("""COMPUTED_VALUE"""),"Pura Farmers Agriculture Cooperative (PFAC)")</f>
        <v>Pura Farmers Agriculture Cooperative (PFAC)</v>
      </c>
      <c r="E440" s="71" t="str">
        <f>IFERROR(__xludf.DUMMYFUNCTION("""COMPUTED_VALUE"""),"Poblacion 2, Pura, TARLAC")</f>
        <v>Poblacion 2, Pura, TARLAC</v>
      </c>
      <c r="F440" s="2" t="str">
        <f>IFERROR(__xludf.DUMMYFUNCTION("""COMPUTED_VALUE"""),"Severino P. Mendoza Jr.")</f>
        <v>Severino P. Mendoza Jr.</v>
      </c>
      <c r="G440" s="2" t="str">
        <f>IFERROR(__xludf.DUMMYFUNCTION("""COMPUTED_VALUE"""),"0917-709-5703")</f>
        <v>0917-709-5703</v>
      </c>
      <c r="H440" s="2">
        <f>IFERROR(__xludf.DUMMYFUNCTION("""COMPUTED_VALUE"""),314.9)</f>
        <v>314.9</v>
      </c>
      <c r="I440" s="72" t="str">
        <f>IFERROR(__xludf.DUMMYFUNCTION("""COMPUTED_VALUE"""),"PMS")</f>
        <v>PMS</v>
      </c>
      <c r="J440" s="72" t="str">
        <f>IFERROR(__xludf.DUMMYFUNCTION("""COMPUTED_VALUE"""),"PMS")</f>
        <v>PMS</v>
      </c>
      <c r="K440" s="72" t="str">
        <f>IFERROR(__xludf.DUMMYFUNCTION("""COMPUTED_VALUE"""),"UPON TYM CAMPAIGN: SUBJECT FOR 2ND PMS + 2 BLADES
JDP: 11/10/24: REQUEST 2ND PMS
EGT: HINDI NAPUNTAHAN DAHIL PAG MIMEETINGAN DAW PO MUNA NILA")</f>
        <v>UPON TYM CAMPAIGN: SUBJECT FOR 2ND PMS + 2 BLADES
JDP: 11/10/24: REQUEST 2ND PMS
EGT: HINDI NAPUNTAHAN DAHIL PAG MIMEETINGAN DAW PO MUNA NILA</v>
      </c>
      <c r="L440" s="72" t="str">
        <f>IFERROR(__xludf.DUMMYFUNCTION("""COMPUTED_VALUE"""),"EGT: DONE 2ND PMS")</f>
        <v>EGT: DONE 2ND PMS</v>
      </c>
      <c r="M440" s="2"/>
      <c r="N440" s="2" t="str">
        <f>IFERROR(__xludf.DUMMYFUNCTION("""COMPUTED_VALUE"""),"PARTS: HYDRAULIC FILTER")</f>
        <v>PARTS: HYDRAULIC FILTER</v>
      </c>
      <c r="O440" s="2">
        <f>IFERROR(__xludf.DUMMYFUNCTION("""COMPUTED_VALUE"""),1328.0)</f>
        <v>1328</v>
      </c>
      <c r="P440" s="2"/>
      <c r="Q440" s="2" t="str">
        <f>IFERROR(__xludf.DUMMYFUNCTION("""COMPUTED_VALUE"""),"Y")</f>
        <v>Y</v>
      </c>
      <c r="R440" s="74">
        <f>IFERROR(__xludf.DUMMYFUNCTION("""COMPUTED_VALUE"""),45634.0)</f>
        <v>45634</v>
      </c>
      <c r="S440" s="2" t="str">
        <f>IFERROR(__xludf.DUMMYFUNCTION("""COMPUTED_VALUE"""),"EGT/DRM")</f>
        <v>EGT/DRM</v>
      </c>
      <c r="T440" s="73">
        <f>IFERROR(__xludf.DUMMYFUNCTION("""COMPUTED_VALUE"""),2748.0)</f>
        <v>2748</v>
      </c>
      <c r="U440" s="73" t="str">
        <f>IFERROR(__xludf.DUMMYFUNCTION("""COMPUTED_VALUE""")," REMITTED ")</f>
        <v>REMITTED</v>
      </c>
      <c r="V440" s="2"/>
      <c r="W440" s="2">
        <f>IFERROR(__xludf.DUMMYFUNCTION("""COMPUTED_VALUE"""),1342.0)</f>
        <v>1342</v>
      </c>
      <c r="X440" s="2">
        <f>IFERROR(__xludf.DUMMYFUNCTION("""COMPUTED_VALUE"""),1272.0)</f>
        <v>1272</v>
      </c>
      <c r="Y440" s="2"/>
      <c r="Z440" s="2"/>
      <c r="AA440" s="2"/>
      <c r="AB440" s="2"/>
      <c r="AC440" s="2"/>
      <c r="AD440" s="2"/>
      <c r="AE440" s="2"/>
      <c r="AF440" s="2"/>
      <c r="AG440" s="2"/>
      <c r="AH440" s="2"/>
      <c r="AI440" s="2"/>
      <c r="AJ440" s="2" t="str">
        <f>IFERROR(__xludf.DUMMYFUNCTION("""COMPUTED_VALUE"""),"Poblacion 2")</f>
        <v>Poblacion 2</v>
      </c>
      <c r="AK440" s="2" t="str">
        <f>IFERROR(__xludf.DUMMYFUNCTION("""COMPUTED_VALUE"""),"Pura")</f>
        <v>Pura</v>
      </c>
      <c r="AL440" s="2" t="str">
        <f>IFERROR(__xludf.DUMMYFUNCTION("""COMPUTED_VALUE"""),"Tarlac")</f>
        <v>Tarlac</v>
      </c>
      <c r="AM440" s="2">
        <f>IFERROR(__xludf.DUMMYFUNCTION("""COMPUTED_VALUE"""),3.0)</f>
        <v>3</v>
      </c>
      <c r="AN440" s="2" t="str">
        <f>IFERROR(__xludf.DUMMYFUNCTION("""COMPUTED_VALUE"""),"RCEF 23-09-21 Rebidding")</f>
        <v>RCEF 23-09-21 Rebidding</v>
      </c>
      <c r="AO440" s="2">
        <f>IFERROR(__xludf.DUMMYFUNCTION("""COMPUTED_VALUE"""),3.0)</f>
        <v>3</v>
      </c>
      <c r="AP440" s="2"/>
      <c r="AQ440" s="2"/>
      <c r="AR440" s="2"/>
      <c r="AS440" s="2"/>
      <c r="AT440" s="2"/>
      <c r="AU440" s="2"/>
      <c r="AV440" s="2"/>
      <c r="AW440" s="2"/>
      <c r="AX440" s="2"/>
      <c r="AY440" s="2"/>
      <c r="AZ440" s="2"/>
      <c r="BA440" s="2"/>
      <c r="BB440" s="2"/>
    </row>
    <row r="441">
      <c r="A441" s="2">
        <f>IFERROR(__xludf.DUMMYFUNCTION("""COMPUTED_VALUE"""),437.0)</f>
        <v>437</v>
      </c>
      <c r="B441" s="2" t="str">
        <f>IFERROR(__xludf.DUMMYFUNCTION("""COMPUTED_VALUE"""),"COMPLETED")</f>
        <v>COMPLETED</v>
      </c>
      <c r="C441" s="74">
        <f>IFERROR(__xludf.DUMMYFUNCTION("""COMPUTED_VALUE"""),45544.0)</f>
        <v>45544</v>
      </c>
      <c r="D441" s="71" t="str">
        <f>IFERROR(__xludf.DUMMYFUNCTION("""COMPUTED_VALUE"""),"Samput Farmers Association Inc.")</f>
        <v>Samput Farmers Association Inc.</v>
      </c>
      <c r="E441" s="71" t="str">
        <f>IFERROR(__xludf.DUMMYFUNCTION("""COMPUTED_VALUE"""),"Samput, Paniqui, TARLAC")</f>
        <v>Samput, Paniqui, TARLAC</v>
      </c>
      <c r="F441" s="2" t="str">
        <f>IFERROR(__xludf.DUMMYFUNCTION("""COMPUTED_VALUE"""),"Herolimo S. Vergara")</f>
        <v>Herolimo S. Vergara</v>
      </c>
      <c r="G441" s="2" t="str">
        <f>IFERROR(__xludf.DUMMYFUNCTION("""COMPUTED_VALUE"""),"0909-509-8491")</f>
        <v>0909-509-8491</v>
      </c>
      <c r="H441" s="2">
        <f>IFERROR(__xludf.DUMMYFUNCTION("""COMPUTED_VALUE"""),320.0)</f>
        <v>320</v>
      </c>
      <c r="I441" s="72" t="str">
        <f>IFERROR(__xludf.DUMMYFUNCTION("""COMPUTED_VALUE"""),"PMS")</f>
        <v>PMS</v>
      </c>
      <c r="J441" s="72" t="str">
        <f>IFERROR(__xludf.DUMMYFUNCTION("""COMPUTED_VALUE"""),"PMS")</f>
        <v>PMS</v>
      </c>
      <c r="K441" s="72" t="str">
        <f>IFERROR(__xludf.DUMMYFUNCTION("""COMPUTED_VALUE"""),"UPON TYM CAMPAIGN: SUBJECT FOR 2ND PMS")</f>
        <v>UPON TYM CAMPAIGN: SUBJECT FOR 2ND PMS</v>
      </c>
      <c r="L441" s="72" t="str">
        <f>IFERROR(__xludf.DUMMYFUNCTION("""COMPUTED_VALUE"""),"EGT:GENERAL PMS DONE")</f>
        <v>EGT:GENERAL PMS DONE</v>
      </c>
      <c r="M441" s="2"/>
      <c r="N441" s="2" t="str">
        <f>IFERROR(__xludf.DUMMYFUNCTION("""COMPUTED_VALUE"""),"PARTS: HYDRAULIC FILTER")</f>
        <v>PARTS: HYDRAULIC FILTER</v>
      </c>
      <c r="O441" s="2">
        <f>IFERROR(__xludf.DUMMYFUNCTION("""COMPUTED_VALUE"""),1332.0)</f>
        <v>1332</v>
      </c>
      <c r="P441" s="2"/>
      <c r="Q441" s="2" t="str">
        <f>IFERROR(__xludf.DUMMYFUNCTION("""COMPUTED_VALUE"""),"Y")</f>
        <v>Y</v>
      </c>
      <c r="R441" s="74">
        <f>IFERROR(__xludf.DUMMYFUNCTION("""COMPUTED_VALUE"""),45631.0)</f>
        <v>45631</v>
      </c>
      <c r="S441" s="2" t="str">
        <f>IFERROR(__xludf.DUMMYFUNCTION("""COMPUTED_VALUE"""),"EGT/DRM")</f>
        <v>EGT/DRM</v>
      </c>
      <c r="T441" s="73">
        <f>IFERROR(__xludf.DUMMYFUNCTION("""COMPUTED_VALUE"""),2748.0)</f>
        <v>2748</v>
      </c>
      <c r="U441" s="73" t="str">
        <f>IFERROR(__xludf.DUMMYFUNCTION("""COMPUTED_VALUE""")," REMITTED ")</f>
        <v>REMITTED</v>
      </c>
      <c r="V441" s="2"/>
      <c r="W441" s="2">
        <f>IFERROR(__xludf.DUMMYFUNCTION("""COMPUTED_VALUE"""),1343.0)</f>
        <v>1343</v>
      </c>
      <c r="X441" s="2">
        <f>IFERROR(__xludf.DUMMYFUNCTION("""COMPUTED_VALUE"""),1273.0)</f>
        <v>1273</v>
      </c>
      <c r="Y441" s="2"/>
      <c r="Z441" s="2"/>
      <c r="AA441" s="2"/>
      <c r="AB441" s="2"/>
      <c r="AC441" s="2"/>
      <c r="AD441" s="2"/>
      <c r="AE441" s="2"/>
      <c r="AF441" s="2"/>
      <c r="AG441" s="2"/>
      <c r="AH441" s="2"/>
      <c r="AI441" s="2"/>
      <c r="AJ441" s="2" t="str">
        <f>IFERROR(__xludf.DUMMYFUNCTION("""COMPUTED_VALUE"""),"Samput")</f>
        <v>Samput</v>
      </c>
      <c r="AK441" s="2" t="str">
        <f>IFERROR(__xludf.DUMMYFUNCTION("""COMPUTED_VALUE"""),"Paniqui")</f>
        <v>Paniqui</v>
      </c>
      <c r="AL441" s="2" t="str">
        <f>IFERROR(__xludf.DUMMYFUNCTION("""COMPUTED_VALUE"""),"Tarlac")</f>
        <v>Tarlac</v>
      </c>
      <c r="AM441" s="2">
        <f>IFERROR(__xludf.DUMMYFUNCTION("""COMPUTED_VALUE"""),3.0)</f>
        <v>3</v>
      </c>
      <c r="AN441" s="2" t="str">
        <f>IFERROR(__xludf.DUMMYFUNCTION("""COMPUTED_VALUE"""),"RCEF 23-09-21 Rebidding")</f>
        <v>RCEF 23-09-21 Rebidding</v>
      </c>
      <c r="AO441" s="2">
        <f>IFERROR(__xludf.DUMMYFUNCTION("""COMPUTED_VALUE"""),3.0)</f>
        <v>3</v>
      </c>
      <c r="AP441" s="2"/>
      <c r="AQ441" s="2"/>
      <c r="AR441" s="2"/>
      <c r="AS441" s="2"/>
      <c r="AT441" s="2"/>
      <c r="AU441" s="2"/>
      <c r="AV441" s="2"/>
      <c r="AW441" s="2"/>
      <c r="AX441" s="2"/>
      <c r="AY441" s="2"/>
      <c r="AZ441" s="2"/>
      <c r="BA441" s="2"/>
      <c r="BB441" s="2"/>
    </row>
    <row r="442">
      <c r="A442" s="2">
        <f>IFERROR(__xludf.DUMMYFUNCTION("""COMPUTED_VALUE"""),438.0)</f>
        <v>438</v>
      </c>
      <c r="B442" s="2" t="str">
        <f>IFERROR(__xludf.DUMMYFUNCTION("""COMPUTED_VALUE"""),"COMPLETED")</f>
        <v>COMPLETED</v>
      </c>
      <c r="C442" s="74">
        <f>IFERROR(__xludf.DUMMYFUNCTION("""COMPUTED_VALUE"""),45544.0)</f>
        <v>45544</v>
      </c>
      <c r="D442" s="71" t="str">
        <f>IFERROR(__xludf.DUMMYFUNCTION("""COMPUTED_VALUE"""),"MUNICIPAL LOCAL GOVERNMENT UNIT OF ABUCAY")</f>
        <v>MUNICIPAL LOCAL GOVERNMENT UNIT OF ABUCAY</v>
      </c>
      <c r="E442" s="71" t="str">
        <f>IFERROR(__xludf.DUMMYFUNCTION("""COMPUTED_VALUE"""),"Calaylayan (Pob.), Abucay, BATAAN")</f>
        <v>Calaylayan (Pob.), Abucay, BATAAN</v>
      </c>
      <c r="F442" s="2" t="str">
        <f>IFERROR(__xludf.DUMMYFUNCTION("""COMPUTED_VALUE"""),"Mayor- Liberato P. Santiago Jr./ MA- Eraño Marabe")</f>
        <v>Mayor- Liberato P. Santiago Jr./ MA- Eraño Marabe</v>
      </c>
      <c r="G442" s="2" t="str">
        <f>IFERROR(__xludf.DUMMYFUNCTION("""COMPUTED_VALUE"""),"0918-587-3906")</f>
        <v>0918-587-3906</v>
      </c>
      <c r="H442" s="2">
        <f>IFERROR(__xludf.DUMMYFUNCTION("""COMPUTED_VALUE"""),258.9)</f>
        <v>258.9</v>
      </c>
      <c r="I442" s="72" t="str">
        <f>IFERROR(__xludf.DUMMYFUNCTION("""COMPUTED_VALUE"""),"PMS")</f>
        <v>PMS</v>
      </c>
      <c r="J442" s="72" t="str">
        <f>IFERROR(__xludf.DUMMYFUNCTION("""COMPUTED_VALUE"""),"PMS")</f>
        <v>PMS</v>
      </c>
      <c r="K442" s="72" t="str">
        <f>IFERROR(__xludf.DUMMYFUNCTION("""COMPUTED_VALUE"""),"UPON TYM CAMPAIGN: SUBJECT FOR 2ND PMS
JDP:10//24/24: 2ND PMS, OIL AND HYDRAULIC FILTER ANG BIBILHIN SATIN, MAY STOCK SILANG LANGIS")</f>
        <v>UPON TYM CAMPAIGN: SUBJECT FOR 2ND PMS
JDP:10//24/24: 2ND PMS, OIL AND HYDRAULIC FILTER ANG BIBILHIN SATIN, MAY STOCK SILANG LANGIS</v>
      </c>
      <c r="L442" s="72" t="str">
        <f>IFERROR(__xludf.DUMMYFUNCTION("""COMPUTED_VALUE"""),"JDP: SELF PMS: DELIVER OIL FILTER AND HYDRAULIC FILTER
SEND AGREEMENT: FB: Rdz Agri Gardener : ARGEEMENT SENT
2ND PMS ")</f>
        <v>JDP: SELF PMS: DELIVER OIL FILTER AND HYDRAULIC FILTER
SEND AGREEMENT: FB: Rdz Agri Gardener : ARGEEMENT SENT
2ND PMS </v>
      </c>
      <c r="M442" s="2"/>
      <c r="N442" s="2" t="str">
        <f>IFERROR(__xludf.DUMMYFUNCTION("""COMPUTED_VALUE"""),"PARTS: OIL FILTER. HYDRAULIC FILTER")</f>
        <v>PARTS: OIL FILTER. HYDRAULIC FILTER</v>
      </c>
      <c r="O442" s="2">
        <f>IFERROR(__xludf.DUMMYFUNCTION("""COMPUTED_VALUE"""),1362.0)</f>
        <v>1362</v>
      </c>
      <c r="P442" s="2"/>
      <c r="Q442" s="2" t="str">
        <f>IFERROR(__xludf.DUMMYFUNCTION("""COMPUTED_VALUE"""),"Y")</f>
        <v>Y</v>
      </c>
      <c r="R442" s="74">
        <f>IFERROR(__xludf.DUMMYFUNCTION("""COMPUTED_VALUE"""),45612.0)</f>
        <v>45612</v>
      </c>
      <c r="S442" s="2" t="str">
        <f>IFERROR(__xludf.DUMMYFUNCTION("""COMPUTED_VALUE"""),"JDP/DSD")</f>
        <v>JDP/DSD</v>
      </c>
      <c r="T442" s="73">
        <f>IFERROR(__xludf.DUMMYFUNCTION("""COMPUTED_VALUE"""),4281.0)</f>
        <v>4281</v>
      </c>
      <c r="U442" s="73" t="str">
        <f>IFERROR(__xludf.DUMMYFUNCTION("""COMPUTED_VALUE""")," REMITTED ")</f>
        <v>REMITTED</v>
      </c>
      <c r="V442" s="2"/>
      <c r="W442" s="2">
        <f>IFERROR(__xludf.DUMMYFUNCTION("""COMPUTED_VALUE"""),1456.0)</f>
        <v>1456</v>
      </c>
      <c r="X442" s="2">
        <f>IFERROR(__xludf.DUMMYFUNCTION("""COMPUTED_VALUE"""),1242.0)</f>
        <v>1242</v>
      </c>
      <c r="Y442" s="2" t="str">
        <f>IFERROR(__xludf.DUMMYFUNCTION("""COMPUTED_VALUE"""),"PRINTED/ SAVE TO FOLDER (SOFT COPY)")</f>
        <v>PRINTED/ SAVE TO FOLDER (SOFT COPY)</v>
      </c>
      <c r="Z442" s="2"/>
      <c r="AA442" s="2"/>
      <c r="AB442" s="2"/>
      <c r="AC442" s="2"/>
      <c r="AD442" s="2"/>
      <c r="AE442" s="2"/>
      <c r="AF442" s="2"/>
      <c r="AG442" s="2"/>
      <c r="AH442" s="2"/>
      <c r="AI442" s="2"/>
      <c r="AJ442" s="2" t="str">
        <f>IFERROR(__xludf.DUMMYFUNCTION("""COMPUTED_VALUE"""),"Calaylayan (Pob.)")</f>
        <v>Calaylayan (Pob.)</v>
      </c>
      <c r="AK442" s="2" t="str">
        <f>IFERROR(__xludf.DUMMYFUNCTION("""COMPUTED_VALUE"""),"Abucay")</f>
        <v>Abucay</v>
      </c>
      <c r="AL442" s="2" t="str">
        <f>IFERROR(__xludf.DUMMYFUNCTION("""COMPUTED_VALUE"""),"Bataan")</f>
        <v>Bataan</v>
      </c>
      <c r="AM442" s="2">
        <f>IFERROR(__xludf.DUMMYFUNCTION("""COMPUTED_VALUE"""),3.0)</f>
        <v>3</v>
      </c>
      <c r="AN442" s="2" t="str">
        <f>IFERROR(__xludf.DUMMYFUNCTION("""COMPUTED_VALUE"""),"RCEF 23-09-21 Rebidding")</f>
        <v>RCEF 23-09-21 Rebidding</v>
      </c>
      <c r="AO442" s="2">
        <f>IFERROR(__xludf.DUMMYFUNCTION("""COMPUTED_VALUE"""),3.0)</f>
        <v>3</v>
      </c>
      <c r="AP442" s="2"/>
      <c r="AQ442" s="2"/>
      <c r="AR442" s="2"/>
      <c r="AS442" s="2"/>
      <c r="AT442" s="2"/>
      <c r="AU442" s="2"/>
      <c r="AV442" s="2"/>
      <c r="AW442" s="2"/>
      <c r="AX442" s="2"/>
      <c r="AY442" s="2"/>
      <c r="AZ442" s="2"/>
      <c r="BA442" s="2"/>
      <c r="BB442" s="2"/>
    </row>
    <row r="443">
      <c r="A443" s="2">
        <f>IFERROR(__xludf.DUMMYFUNCTION("""COMPUTED_VALUE"""),439.0)</f>
        <v>439</v>
      </c>
      <c r="B443" s="2" t="str">
        <f>IFERROR(__xludf.DUMMYFUNCTION("""COMPUTED_VALUE"""),"COMPLETED")</f>
        <v>COMPLETED</v>
      </c>
      <c r="C443" s="74">
        <f>IFERROR(__xludf.DUMMYFUNCTION("""COMPUTED_VALUE"""),45544.0)</f>
        <v>45544</v>
      </c>
      <c r="D443" s="71" t="str">
        <f>IFERROR(__xludf.DUMMYFUNCTION("""COMPUTED_VALUE"""),"Sabit Agricultural Cooperative (SACO)")</f>
        <v>Sabit Agricultural Cooperative (SACO)</v>
      </c>
      <c r="E443" s="71" t="str">
        <f>IFERROR(__xludf.DUMMYFUNCTION("""COMPUTED_VALUE"""),", Cuyapo, NUEVA ECIJA")</f>
        <v>, Cuyapo, NUEVA ECIJA</v>
      </c>
      <c r="F443" s="2" t="str">
        <f>IFERROR(__xludf.DUMMYFUNCTION("""COMPUTED_VALUE"""),"Antonio M. Esteban")</f>
        <v>Antonio M. Esteban</v>
      </c>
      <c r="G443" s="2" t="str">
        <f>IFERROR(__xludf.DUMMYFUNCTION("""COMPUTED_VALUE"""),"0925-552-8584")</f>
        <v>0925-552-8584</v>
      </c>
      <c r="H443" s="2">
        <f>IFERROR(__xludf.DUMMYFUNCTION("""COMPUTED_VALUE"""),135.3)</f>
        <v>135.3</v>
      </c>
      <c r="I443" s="72" t="str">
        <f>IFERROR(__xludf.DUMMYFUNCTION("""COMPUTED_VALUE"""),"PMS")</f>
        <v>PMS</v>
      </c>
      <c r="J443" s="72" t="str">
        <f>IFERROR(__xludf.DUMMYFUNCTION("""COMPUTED_VALUE"""),"PMS")</f>
        <v>PMS</v>
      </c>
      <c r="K443" s="72" t="str">
        <f>IFERROR(__xludf.DUMMYFUNCTION("""COMPUTED_VALUE"""),"UPON TYM CAMPAIGN: SUBJECT FOR 2ND PMS")</f>
        <v>UPON TYM CAMPAIGN: SUBJECT FOR 2ND PMS</v>
      </c>
      <c r="L443" s="72" t="str">
        <f>IFERROR(__xludf.DUMMYFUNCTION("""COMPUTED_VALUE"""),"CANCELLED")</f>
        <v>CANCELLED</v>
      </c>
      <c r="M443" s="2"/>
      <c r="N443" s="2"/>
      <c r="O443" s="2" t="str">
        <f>IFERROR(__xludf.DUMMYFUNCTION("""COMPUTED_VALUE"""),"CANCELLED")</f>
        <v>CANCELLED</v>
      </c>
      <c r="P443" s="2"/>
      <c r="Q443" s="2"/>
      <c r="R443" s="74">
        <f>IFERROR(__xludf.DUMMYFUNCTION("""COMPUTED_VALUE"""),45565.0)</f>
        <v>45565</v>
      </c>
      <c r="S443" s="2" t="str">
        <f>IFERROR(__xludf.DUMMYFUNCTION("""COMPUTED_VALUE"""),"JHP/ACS")</f>
        <v>JHP/ACS</v>
      </c>
      <c r="T443" s="73" t="str">
        <f>IFERROR(__xludf.DUMMYFUNCTION("""COMPUTED_VALUE""")," N/A ")</f>
        <v>N/A</v>
      </c>
      <c r="U443" s="73" t="str">
        <f>IFERROR(__xludf.DUMMYFUNCTION("""COMPUTED_VALUE""")," NO CHARGE ")</f>
        <v>NO CHARGE</v>
      </c>
      <c r="V443" s="2"/>
      <c r="W443" s="2" t="str">
        <f>IFERROR(__xludf.DUMMYFUNCTION("""COMPUTED_VALUE"""),"N/A")</f>
        <v>N/A</v>
      </c>
      <c r="X443" s="2" t="str">
        <f>IFERROR(__xludf.DUMMYFUNCTION("""COMPUTED_VALUE"""),"N/A")</f>
        <v>N/A</v>
      </c>
      <c r="Y443" s="2"/>
      <c r="Z443" s="2"/>
      <c r="AA443" s="2"/>
      <c r="AB443" s="2"/>
      <c r="AC443" s="2"/>
      <c r="AD443" s="2"/>
      <c r="AE443" s="2"/>
      <c r="AF443" s="2"/>
      <c r="AG443" s="2"/>
      <c r="AH443" s="2"/>
      <c r="AI443" s="2"/>
      <c r="AJ443" s="2" t="str">
        <f>IFERROR(__xludf.DUMMYFUNCTION("""COMPUTED_VALUE"""),"")</f>
        <v/>
      </c>
      <c r="AK443" s="2" t="str">
        <f>IFERROR(__xludf.DUMMYFUNCTION("""COMPUTED_VALUE"""),"Cuyapo")</f>
        <v>Cuyapo</v>
      </c>
      <c r="AL443" s="2" t="str">
        <f>IFERROR(__xludf.DUMMYFUNCTION("""COMPUTED_VALUE"""),"Nueva Ecija")</f>
        <v>Nueva Ecija</v>
      </c>
      <c r="AM443" s="2">
        <f>IFERROR(__xludf.DUMMYFUNCTION("""COMPUTED_VALUE"""),3.0)</f>
        <v>3</v>
      </c>
      <c r="AN443" s="2" t="str">
        <f>IFERROR(__xludf.DUMMYFUNCTION("""COMPUTED_VALUE"""),"RCEF 23-09-21 Rebidding")</f>
        <v>RCEF 23-09-21 Rebidding</v>
      </c>
      <c r="AO443" s="2">
        <f>IFERROR(__xludf.DUMMYFUNCTION("""COMPUTED_VALUE"""),3.0)</f>
        <v>3</v>
      </c>
      <c r="AP443" s="2"/>
      <c r="AQ443" s="2"/>
      <c r="AR443" s="2"/>
      <c r="AS443" s="2"/>
      <c r="AT443" s="2"/>
      <c r="AU443" s="2"/>
      <c r="AV443" s="2"/>
      <c r="AW443" s="2"/>
      <c r="AX443" s="2"/>
      <c r="AY443" s="2"/>
      <c r="AZ443" s="2"/>
      <c r="BA443" s="2"/>
      <c r="BB443" s="2"/>
    </row>
    <row r="444">
      <c r="A444" s="2">
        <f>IFERROR(__xludf.DUMMYFUNCTION("""COMPUTED_VALUE"""),440.0)</f>
        <v>440</v>
      </c>
      <c r="B444" s="2" t="str">
        <f>IFERROR(__xludf.DUMMYFUNCTION("""COMPUTED_VALUE"""),"COMPLETED")</f>
        <v>COMPLETED</v>
      </c>
      <c r="C444" s="74">
        <f>IFERROR(__xludf.DUMMYFUNCTION("""COMPUTED_VALUE"""),45544.0)</f>
        <v>45544</v>
      </c>
      <c r="D444" s="71" t="str">
        <f>IFERROR(__xludf.DUMMYFUNCTION("""COMPUTED_VALUE"""),"Farmers League Agriculture Cooperative")</f>
        <v>Farmers League Agriculture Cooperative</v>
      </c>
      <c r="E444" s="71" t="str">
        <f>IFERROR(__xludf.DUMMYFUNCTION("""COMPUTED_VALUE"""),"Nagmisahan, Cuyapo, NUEVA ECIJA")</f>
        <v>Nagmisahan, Cuyapo, NUEVA ECIJA</v>
      </c>
      <c r="F444" s="2" t="str">
        <f>IFERROR(__xludf.DUMMYFUNCTION("""COMPUTED_VALUE"""),"Crispin A. Carino")</f>
        <v>Crispin A. Carino</v>
      </c>
      <c r="G444" s="2" t="str">
        <f>IFERROR(__xludf.DUMMYFUNCTION("""COMPUTED_VALUE"""),"0917-717-1446/ 0955-675-6655")</f>
        <v>0917-717-1446/ 0955-675-6655</v>
      </c>
      <c r="H444" s="2">
        <f>IFERROR(__xludf.DUMMYFUNCTION("""COMPUTED_VALUE"""),91.7)</f>
        <v>91.7</v>
      </c>
      <c r="I444" s="72" t="str">
        <f>IFERROR(__xludf.DUMMYFUNCTION("""COMPUTED_VALUE"""),"PMS")</f>
        <v>PMS</v>
      </c>
      <c r="J444" s="72" t="str">
        <f>IFERROR(__xludf.DUMMYFUNCTION("""COMPUTED_VALUE"""),"PMS")</f>
        <v>PMS</v>
      </c>
      <c r="K444" s="72" t="str">
        <f>IFERROR(__xludf.DUMMYFUNCTION("""COMPUTED_VALUE"""),"UPON TYM CAMPAIGN: SUBJECT FOR FIRST PMS")</f>
        <v>UPON TYM CAMPAIGN: SUBJECT FOR FIRST PMS</v>
      </c>
      <c r="L444" s="72" t="str">
        <f>IFERROR(__xludf.DUMMYFUNCTION("""COMPUTED_VALUE"""),"CANCELLED")</f>
        <v>CANCELLED</v>
      </c>
      <c r="M444" s="2"/>
      <c r="N444" s="2"/>
      <c r="O444" s="2" t="str">
        <f>IFERROR(__xludf.DUMMYFUNCTION("""COMPUTED_VALUE"""),"CANCELLED")</f>
        <v>CANCELLED</v>
      </c>
      <c r="P444" s="2"/>
      <c r="Q444" s="2"/>
      <c r="R444" s="74">
        <f>IFERROR(__xludf.DUMMYFUNCTION("""COMPUTED_VALUE"""),45565.0)</f>
        <v>45565</v>
      </c>
      <c r="S444" s="2" t="str">
        <f>IFERROR(__xludf.DUMMYFUNCTION("""COMPUTED_VALUE"""),"JHP/ACS")</f>
        <v>JHP/ACS</v>
      </c>
      <c r="T444" s="73" t="str">
        <f>IFERROR(__xludf.DUMMYFUNCTION("""COMPUTED_VALUE""")," N/A ")</f>
        <v>N/A</v>
      </c>
      <c r="U444" s="73" t="str">
        <f>IFERROR(__xludf.DUMMYFUNCTION("""COMPUTED_VALUE""")," NO CHARGE ")</f>
        <v>NO CHARGE</v>
      </c>
      <c r="V444" s="2"/>
      <c r="W444" s="2" t="str">
        <f>IFERROR(__xludf.DUMMYFUNCTION("""COMPUTED_VALUE"""),"N/A")</f>
        <v>N/A</v>
      </c>
      <c r="X444" s="2" t="str">
        <f>IFERROR(__xludf.DUMMYFUNCTION("""COMPUTED_VALUE"""),"N/A")</f>
        <v>N/A</v>
      </c>
      <c r="Y444" s="2"/>
      <c r="Z444" s="2"/>
      <c r="AA444" s="2"/>
      <c r="AB444" s="2"/>
      <c r="AC444" s="2"/>
      <c r="AD444" s="2"/>
      <c r="AE444" s="2"/>
      <c r="AF444" s="2"/>
      <c r="AG444" s="2"/>
      <c r="AH444" s="2"/>
      <c r="AI444" s="2"/>
      <c r="AJ444" s="2" t="str">
        <f>IFERROR(__xludf.DUMMYFUNCTION("""COMPUTED_VALUE"""),"Nagmisahan")</f>
        <v>Nagmisahan</v>
      </c>
      <c r="AK444" s="2" t="str">
        <f>IFERROR(__xludf.DUMMYFUNCTION("""COMPUTED_VALUE"""),"Cuyapo")</f>
        <v>Cuyapo</v>
      </c>
      <c r="AL444" s="2" t="str">
        <f>IFERROR(__xludf.DUMMYFUNCTION("""COMPUTED_VALUE"""),"Nueva Ecija")</f>
        <v>Nueva Ecija</v>
      </c>
      <c r="AM444" s="2">
        <f>IFERROR(__xludf.DUMMYFUNCTION("""COMPUTED_VALUE"""),3.0)</f>
        <v>3</v>
      </c>
      <c r="AN444" s="2" t="str">
        <f>IFERROR(__xludf.DUMMYFUNCTION("""COMPUTED_VALUE"""),"RCEF 23-09-21 Rebidding")</f>
        <v>RCEF 23-09-21 Rebidding</v>
      </c>
      <c r="AO444" s="2">
        <f>IFERROR(__xludf.DUMMYFUNCTION("""COMPUTED_VALUE"""),9.0)</f>
        <v>9</v>
      </c>
      <c r="AP444" s="2"/>
      <c r="AQ444" s="2"/>
      <c r="AR444" s="2"/>
      <c r="AS444" s="2"/>
      <c r="AT444" s="2"/>
      <c r="AU444" s="2"/>
      <c r="AV444" s="2"/>
      <c r="AW444" s="2"/>
      <c r="AX444" s="2"/>
      <c r="AY444" s="2"/>
      <c r="AZ444" s="2"/>
      <c r="BA444" s="2"/>
      <c r="BB444" s="2"/>
    </row>
    <row r="445">
      <c r="A445" s="2">
        <f>IFERROR(__xludf.DUMMYFUNCTION("""COMPUTED_VALUE"""),441.0)</f>
        <v>441</v>
      </c>
      <c r="B445" s="2" t="str">
        <f>IFERROR(__xludf.DUMMYFUNCTION("""COMPUTED_VALUE"""),"COMPLETED")</f>
        <v>COMPLETED</v>
      </c>
      <c r="C445" s="74">
        <f>IFERROR(__xludf.DUMMYFUNCTION("""COMPUTED_VALUE"""),45544.0)</f>
        <v>45544</v>
      </c>
      <c r="D445" s="71" t="str">
        <f>IFERROR(__xludf.DUMMYFUNCTION("""COMPUTED_VALUE"""),"GREATEST MANIMAS FARMERS AND FISHERFOLKS ASSOCIATION")</f>
        <v>GREATEST MANIMAS FARMERS AND FISHERFOLKS ASSOCIATION</v>
      </c>
      <c r="E445" s="71" t="str">
        <f>IFERROR(__xludf.DUMMYFUNCTION("""COMPUTED_VALUE"""),"Cataning, Balanga City, BATAAN")</f>
        <v>Cataning, Balanga City, BATAAN</v>
      </c>
      <c r="F445" s="2" t="str">
        <f>IFERROR(__xludf.DUMMYFUNCTION("""COMPUTED_VALUE"""),"Renato S. Carig")</f>
        <v>Renato S. Carig</v>
      </c>
      <c r="G445" s="2" t="str">
        <f>IFERROR(__xludf.DUMMYFUNCTION("""COMPUTED_VALUE"""),"0939-958-8174
09164729992")</f>
        <v>0939-958-8174
09164729992</v>
      </c>
      <c r="H445" s="2">
        <f>IFERROR(__xludf.DUMMYFUNCTION("""COMPUTED_VALUE"""),238.0)</f>
        <v>238</v>
      </c>
      <c r="I445" s="72" t="str">
        <f>IFERROR(__xludf.DUMMYFUNCTION("""COMPUTED_VALUE"""),"PMS")</f>
        <v>PMS</v>
      </c>
      <c r="J445" s="72" t="str">
        <f>IFERROR(__xludf.DUMMYFUNCTION("""COMPUTED_VALUE"""),"PMS")</f>
        <v>PMS</v>
      </c>
      <c r="K445" s="72" t="str">
        <f>IFERROR(__xludf.DUMMYFUNCTION("""COMPUTED_VALUE"""),"UPON TYM CAMPAIGN: SUBJECT FOR 2ND PMS")</f>
        <v>UPON TYM CAMPAIGN: SUBJECT FOR 2ND PMS</v>
      </c>
      <c r="L445" s="72" t="str">
        <f>IFERROR(__xludf.DUMMYFUNCTION("""COMPUTED_VALUE"""),"CANCELLED")</f>
        <v>CANCELLED</v>
      </c>
      <c r="M445" s="2"/>
      <c r="N445" s="2"/>
      <c r="O445" s="2" t="str">
        <f>IFERROR(__xludf.DUMMYFUNCTION("""COMPUTED_VALUE"""),"CANCELLED")</f>
        <v>CANCELLED</v>
      </c>
      <c r="P445" s="2"/>
      <c r="Q445" s="2"/>
      <c r="R445" s="74">
        <f>IFERROR(__xludf.DUMMYFUNCTION("""COMPUTED_VALUE"""),45567.0)</f>
        <v>45567</v>
      </c>
      <c r="S445" s="2" t="str">
        <f>IFERROR(__xludf.DUMMYFUNCTION("""COMPUTED_VALUE"""),"ACS")</f>
        <v>ACS</v>
      </c>
      <c r="T445" s="73" t="str">
        <f>IFERROR(__xludf.DUMMYFUNCTION("""COMPUTED_VALUE""")," N/A ")</f>
        <v>N/A</v>
      </c>
      <c r="U445" s="73" t="str">
        <f>IFERROR(__xludf.DUMMYFUNCTION("""COMPUTED_VALUE""")," NO CHARGE ")</f>
        <v>NO CHARGE</v>
      </c>
      <c r="V445" s="2"/>
      <c r="W445" s="2" t="str">
        <f>IFERROR(__xludf.DUMMYFUNCTION("""COMPUTED_VALUE"""),"N/A")</f>
        <v>N/A</v>
      </c>
      <c r="X445" s="2" t="str">
        <f>IFERROR(__xludf.DUMMYFUNCTION("""COMPUTED_VALUE"""),"N/A")</f>
        <v>N/A</v>
      </c>
      <c r="Y445" s="2"/>
      <c r="Z445" s="2"/>
      <c r="AA445" s="2"/>
      <c r="AB445" s="2"/>
      <c r="AC445" s="2"/>
      <c r="AD445" s="2"/>
      <c r="AE445" s="2"/>
      <c r="AF445" s="2"/>
      <c r="AG445" s="2"/>
      <c r="AH445" s="2"/>
      <c r="AI445" s="2"/>
      <c r="AJ445" s="2" t="str">
        <f>IFERROR(__xludf.DUMMYFUNCTION("""COMPUTED_VALUE"""),"Cataning")</f>
        <v>Cataning</v>
      </c>
      <c r="AK445" s="2" t="str">
        <f>IFERROR(__xludf.DUMMYFUNCTION("""COMPUTED_VALUE"""),"Balanga City")</f>
        <v>Balanga City</v>
      </c>
      <c r="AL445" s="2" t="str">
        <f>IFERROR(__xludf.DUMMYFUNCTION("""COMPUTED_VALUE"""),"Bataan")</f>
        <v>Bataan</v>
      </c>
      <c r="AM445" s="2">
        <f>IFERROR(__xludf.DUMMYFUNCTION("""COMPUTED_VALUE"""),3.0)</f>
        <v>3</v>
      </c>
      <c r="AN445" s="2" t="str">
        <f>IFERROR(__xludf.DUMMYFUNCTION("""COMPUTED_VALUE"""),"RCEF 23-09-21 Rebidding")</f>
        <v>RCEF 23-09-21 Rebidding</v>
      </c>
      <c r="AO445" s="2">
        <f>IFERROR(__xludf.DUMMYFUNCTION("""COMPUTED_VALUE"""),3.0)</f>
        <v>3</v>
      </c>
      <c r="AP445" s="2"/>
      <c r="AQ445" s="2"/>
      <c r="AR445" s="2"/>
      <c r="AS445" s="2"/>
      <c r="AT445" s="2"/>
      <c r="AU445" s="2"/>
      <c r="AV445" s="2"/>
      <c r="AW445" s="2"/>
      <c r="AX445" s="2"/>
      <c r="AY445" s="2"/>
      <c r="AZ445" s="2"/>
      <c r="BA445" s="2"/>
      <c r="BB445" s="2"/>
    </row>
    <row r="446">
      <c r="A446" s="2">
        <f>IFERROR(__xludf.DUMMYFUNCTION("""COMPUTED_VALUE"""),442.0)</f>
        <v>442</v>
      </c>
      <c r="B446" s="2" t="str">
        <f>IFERROR(__xludf.DUMMYFUNCTION("""COMPUTED_VALUE"""),"COMPLETED")</f>
        <v>COMPLETED</v>
      </c>
      <c r="C446" s="74">
        <f>IFERROR(__xludf.DUMMYFUNCTION("""COMPUTED_VALUE"""),45544.0)</f>
        <v>45544</v>
      </c>
      <c r="D446" s="71" t="str">
        <f>IFERROR(__xludf.DUMMYFUNCTION("""COMPUTED_VALUE"""),"KADENA IRRIGATORS ASSOCIATION, INC.")</f>
        <v>KADENA IRRIGATORS ASSOCIATION, INC.</v>
      </c>
      <c r="E446" s="71" t="str">
        <f>IFERROR(__xludf.DUMMYFUNCTION("""COMPUTED_VALUE"""),"Paligui, Candaba, PAMPANGA")</f>
        <v>Paligui, Candaba, PAMPANGA</v>
      </c>
      <c r="F446" s="2" t="str">
        <f>IFERROR(__xludf.DUMMYFUNCTION("""COMPUTED_VALUE"""),"GRACIANO R. MANIO")</f>
        <v>GRACIANO R. MANIO</v>
      </c>
      <c r="G446" s="2" t="str">
        <f>IFERROR(__xludf.DUMMYFUNCTION("""COMPUTED_VALUE"""),"0942-558-7043")</f>
        <v>0942-558-7043</v>
      </c>
      <c r="H446" s="2">
        <f>IFERROR(__xludf.DUMMYFUNCTION("""COMPUTED_VALUE"""),39.0)</f>
        <v>39</v>
      </c>
      <c r="I446" s="72" t="str">
        <f>IFERROR(__xludf.DUMMYFUNCTION("""COMPUTED_VALUE"""),"PMS")</f>
        <v>PMS</v>
      </c>
      <c r="J446" s="72" t="str">
        <f>IFERROR(__xludf.DUMMYFUNCTION("""COMPUTED_VALUE"""),"PMS")</f>
        <v>PMS</v>
      </c>
      <c r="K446" s="72" t="str">
        <f>IFERROR(__xludf.DUMMYFUNCTION("""COMPUTED_VALUE"""),"UPON TYM CAMPAIGN: FOR SELF PMS")</f>
        <v>UPON TYM CAMPAIGN: FOR SELF PMS</v>
      </c>
      <c r="L446" s="72" t="str">
        <f>IFERROR(__xludf.DUMMYFUNCTION("""COMPUTED_VALUE"""),"CANCELLED")</f>
        <v>CANCELLED</v>
      </c>
      <c r="M446" s="2"/>
      <c r="N446" s="2"/>
      <c r="O446" s="2" t="str">
        <f>IFERROR(__xludf.DUMMYFUNCTION("""COMPUTED_VALUE"""),"CANCELLED")</f>
        <v>CANCELLED</v>
      </c>
      <c r="P446" s="2"/>
      <c r="Q446" s="2"/>
      <c r="R446" s="74">
        <f>IFERROR(__xludf.DUMMYFUNCTION("""COMPUTED_VALUE"""),45566.0)</f>
        <v>45566</v>
      </c>
      <c r="S446" s="2" t="str">
        <f>IFERROR(__xludf.DUMMYFUNCTION("""COMPUTED_VALUE"""),"MYKEE")</f>
        <v>MYKEE</v>
      </c>
      <c r="T446" s="73" t="str">
        <f>IFERROR(__xludf.DUMMYFUNCTION("""COMPUTED_VALUE""")," N/A ")</f>
        <v>N/A</v>
      </c>
      <c r="U446" s="73" t="str">
        <f>IFERROR(__xludf.DUMMYFUNCTION("""COMPUTED_VALUE""")," NO CHARGE ")</f>
        <v>NO CHARGE</v>
      </c>
      <c r="V446" s="2"/>
      <c r="W446" s="2" t="str">
        <f>IFERROR(__xludf.DUMMYFUNCTION("""COMPUTED_VALUE"""),"N/A")</f>
        <v>N/A</v>
      </c>
      <c r="X446" s="2" t="str">
        <f>IFERROR(__xludf.DUMMYFUNCTION("""COMPUTED_VALUE"""),"N/A")</f>
        <v>N/A</v>
      </c>
      <c r="Y446" s="2"/>
      <c r="Z446" s="2"/>
      <c r="AA446" s="2"/>
      <c r="AB446" s="2"/>
      <c r="AC446" s="2"/>
      <c r="AD446" s="2"/>
      <c r="AE446" s="2"/>
      <c r="AF446" s="2"/>
      <c r="AG446" s="2"/>
      <c r="AH446" s="2"/>
      <c r="AI446" s="2"/>
      <c r="AJ446" s="2" t="str">
        <f>IFERROR(__xludf.DUMMYFUNCTION("""COMPUTED_VALUE"""),"Paligui")</f>
        <v>Paligui</v>
      </c>
      <c r="AK446" s="2" t="str">
        <f>IFERROR(__xludf.DUMMYFUNCTION("""COMPUTED_VALUE"""),"Candaba")</f>
        <v>Candaba</v>
      </c>
      <c r="AL446" s="2" t="str">
        <f>IFERROR(__xludf.DUMMYFUNCTION("""COMPUTED_VALUE"""),"Pampanga")</f>
        <v>Pampanga</v>
      </c>
      <c r="AM446" s="2">
        <f>IFERROR(__xludf.DUMMYFUNCTION("""COMPUTED_VALUE"""),3.0)</f>
        <v>3</v>
      </c>
      <c r="AN446" s="2" t="str">
        <f>IFERROR(__xludf.DUMMYFUNCTION("""COMPUTED_VALUE"""),"RCEF 23-09-21 Rebidding")</f>
        <v>RCEF 23-09-21 Rebidding</v>
      </c>
      <c r="AO446" s="2">
        <f>IFERROR(__xludf.DUMMYFUNCTION("""COMPUTED_VALUE"""),3.0)</f>
        <v>3</v>
      </c>
      <c r="AP446" s="2"/>
      <c r="AQ446" s="2"/>
      <c r="AR446" s="2"/>
      <c r="AS446" s="2"/>
      <c r="AT446" s="2"/>
      <c r="AU446" s="2"/>
      <c r="AV446" s="2"/>
      <c r="AW446" s="2"/>
      <c r="AX446" s="2"/>
      <c r="AY446" s="2"/>
      <c r="AZ446" s="2"/>
      <c r="BA446" s="2"/>
      <c r="BB446" s="2"/>
    </row>
    <row r="447">
      <c r="A447" s="2">
        <f>IFERROR(__xludf.DUMMYFUNCTION("""COMPUTED_VALUE"""),443.0)</f>
        <v>443</v>
      </c>
      <c r="B447" s="2" t="str">
        <f>IFERROR(__xludf.DUMMYFUNCTION("""COMPUTED_VALUE"""),"COMPLETED")</f>
        <v>COMPLETED</v>
      </c>
      <c r="C447" s="74">
        <f>IFERROR(__xludf.DUMMYFUNCTION("""COMPUTED_VALUE"""),45544.0)</f>
        <v>45544</v>
      </c>
      <c r="D447" s="71" t="str">
        <f>IFERROR(__xludf.DUMMYFUNCTION("""COMPUTED_VALUE"""),"PRADO SIONGCO RICE &amp; CORN FARMERS ASSOCIATION")</f>
        <v>PRADO SIONGCO RICE &amp; CORN FARMERS ASSOCIATION</v>
      </c>
      <c r="E447" s="71" t="str">
        <f>IFERROR(__xludf.DUMMYFUNCTION("""COMPUTED_VALUE"""),"Prado Siongco, Lubao, PAMPANGA")</f>
        <v>Prado Siongco, Lubao, PAMPANGA</v>
      </c>
      <c r="F447" s="2" t="str">
        <f>IFERROR(__xludf.DUMMYFUNCTION("""COMPUTED_VALUE"""),"EDGAR M. ROQUE")</f>
        <v>EDGAR M. ROQUE</v>
      </c>
      <c r="G447" s="2" t="str">
        <f>IFERROR(__xludf.DUMMYFUNCTION("""COMPUTED_VALUE"""),"0950-939-3306/ 0946-838-3228")</f>
        <v>0950-939-3306/ 0946-838-3228</v>
      </c>
      <c r="H447" s="2">
        <f>IFERROR(__xludf.DUMMYFUNCTION("""COMPUTED_VALUE"""),380.0)</f>
        <v>380</v>
      </c>
      <c r="I447" s="72" t="str">
        <f>IFERROR(__xludf.DUMMYFUNCTION("""COMPUTED_VALUE"""),"PMS")</f>
        <v>PMS</v>
      </c>
      <c r="J447" s="72" t="str">
        <f>IFERROR(__xludf.DUMMYFUNCTION("""COMPUTED_VALUE"""),"PMS")</f>
        <v>PMS</v>
      </c>
      <c r="K447" s="72" t="str">
        <f>IFERROR(__xludf.DUMMYFUNCTION("""COMPUTED_VALUE"""),"UPON TYM CAMPAIGN: SUBJECT FOR 2ND PMS")</f>
        <v>UPON TYM CAMPAIGN: SUBJECT FOR 2ND PMS</v>
      </c>
      <c r="L447" s="72" t="str">
        <f>IFERROR(__xludf.DUMMYFUNCTION("""COMPUTED_VALUE"""),"JDP: 2ND PMS DONE")</f>
        <v>JDP: 2ND PMS DONE</v>
      </c>
      <c r="M447" s="2"/>
      <c r="N447" s="2" t="str">
        <f>IFERROR(__xludf.DUMMYFUNCTION("""COMPUTED_VALUE"""),"PARTS: HYDRAULIC OIL FILTER")</f>
        <v>PARTS: HYDRAULIC OIL FILTER</v>
      </c>
      <c r="O447" s="2">
        <f>IFERROR(__xludf.DUMMYFUNCTION("""COMPUTED_VALUE"""),1358.0)</f>
        <v>1358</v>
      </c>
      <c r="P447" s="2"/>
      <c r="Q447" s="2" t="str">
        <f>IFERROR(__xludf.DUMMYFUNCTION("""COMPUTED_VALUE"""),"Y")</f>
        <v>Y</v>
      </c>
      <c r="R447" s="74">
        <f>IFERROR(__xludf.DUMMYFUNCTION("""COMPUTED_VALUE"""),45589.0)</f>
        <v>45589</v>
      </c>
      <c r="S447" s="2" t="str">
        <f>IFERROR(__xludf.DUMMYFUNCTION("""COMPUTED_VALUE"""),"JDP/DSD")</f>
        <v>JDP/DSD</v>
      </c>
      <c r="T447" s="73">
        <f>IFERROR(__xludf.DUMMYFUNCTION("""COMPUTED_VALUE"""),2748.0)</f>
        <v>2748</v>
      </c>
      <c r="U447" s="73" t="str">
        <f>IFERROR(__xludf.DUMMYFUNCTION("""COMPUTED_VALUE""")," REMITTED ")</f>
        <v>REMITTED</v>
      </c>
      <c r="V447" s="2"/>
      <c r="W447" s="2"/>
      <c r="X447" s="2">
        <f>IFERROR(__xludf.DUMMYFUNCTION("""COMPUTED_VALUE"""),1196.0)</f>
        <v>1196</v>
      </c>
      <c r="Y447" s="2"/>
      <c r="Z447" s="2"/>
      <c r="AA447" s="2"/>
      <c r="AB447" s="2"/>
      <c r="AC447" s="2"/>
      <c r="AD447" s="2"/>
      <c r="AE447" s="2"/>
      <c r="AF447" s="2"/>
      <c r="AG447" s="2"/>
      <c r="AH447" s="2"/>
      <c r="AI447" s="2"/>
      <c r="AJ447" s="2" t="str">
        <f>IFERROR(__xludf.DUMMYFUNCTION("""COMPUTED_VALUE"""),"Prado Siongco")</f>
        <v>Prado Siongco</v>
      </c>
      <c r="AK447" s="2" t="str">
        <f>IFERROR(__xludf.DUMMYFUNCTION("""COMPUTED_VALUE"""),"Lubao")</f>
        <v>Lubao</v>
      </c>
      <c r="AL447" s="2" t="str">
        <f>IFERROR(__xludf.DUMMYFUNCTION("""COMPUTED_VALUE"""),"Pampanga")</f>
        <v>Pampanga</v>
      </c>
      <c r="AM447" s="2">
        <f>IFERROR(__xludf.DUMMYFUNCTION("""COMPUTED_VALUE"""),3.0)</f>
        <v>3</v>
      </c>
      <c r="AN447" s="2" t="str">
        <f>IFERROR(__xludf.DUMMYFUNCTION("""COMPUTED_VALUE"""),"RCEF 23-09-21 Rebidding")</f>
        <v>RCEF 23-09-21 Rebidding</v>
      </c>
      <c r="AO447" s="2">
        <f>IFERROR(__xludf.DUMMYFUNCTION("""COMPUTED_VALUE"""),3.0)</f>
        <v>3</v>
      </c>
      <c r="AP447" s="2"/>
      <c r="AQ447" s="2"/>
      <c r="AR447" s="2"/>
      <c r="AS447" s="2"/>
      <c r="AT447" s="2"/>
      <c r="AU447" s="2"/>
      <c r="AV447" s="2"/>
      <c r="AW447" s="2"/>
      <c r="AX447" s="2"/>
      <c r="AY447" s="2"/>
      <c r="AZ447" s="2"/>
      <c r="BA447" s="2"/>
      <c r="BB447" s="2"/>
    </row>
    <row r="448">
      <c r="A448" s="2">
        <f>IFERROR(__xludf.DUMMYFUNCTION("""COMPUTED_VALUE"""),444.0)</f>
        <v>444</v>
      </c>
      <c r="B448" s="2" t="str">
        <f>IFERROR(__xludf.DUMMYFUNCTION("""COMPUTED_VALUE"""),"COMPLETED")</f>
        <v>COMPLETED</v>
      </c>
      <c r="C448" s="74">
        <f>IFERROR(__xludf.DUMMYFUNCTION("""COMPUTED_VALUE"""),45544.0)</f>
        <v>45544</v>
      </c>
      <c r="D448" s="71" t="str">
        <f>IFERROR(__xludf.DUMMYFUNCTION("""COMPUTED_VALUE"""),"San Roque Farmers Agriculture Cooperative")</f>
        <v>San Roque Farmers Agriculture Cooperative</v>
      </c>
      <c r="E448" s="71" t="str">
        <f>IFERROR(__xludf.DUMMYFUNCTION("""COMPUTED_VALUE"""),"Sepung Bulaun, Porac, PAMPANGA")</f>
        <v>Sepung Bulaun, Porac, PAMPANGA</v>
      </c>
      <c r="F448" s="2" t="str">
        <f>IFERROR(__xludf.DUMMYFUNCTION("""COMPUTED_VALUE"""),"GLEN OCAMPO")</f>
        <v>GLEN OCAMPO</v>
      </c>
      <c r="G448" s="2" t="str">
        <f>IFERROR(__xludf.DUMMYFUNCTION("""COMPUTED_VALUE"""),"0908-226-1441")</f>
        <v>0908-226-1441</v>
      </c>
      <c r="H448" s="2">
        <f>IFERROR(__xludf.DUMMYFUNCTION("""COMPUTED_VALUE"""),214.0)</f>
        <v>214</v>
      </c>
      <c r="I448" s="72" t="str">
        <f>IFERROR(__xludf.DUMMYFUNCTION("""COMPUTED_VALUE"""),"PMS")</f>
        <v>PMS</v>
      </c>
      <c r="J448" s="72" t="str">
        <f>IFERROR(__xludf.DUMMYFUNCTION("""COMPUTED_VALUE"""),"PMS")</f>
        <v>PMS</v>
      </c>
      <c r="K448" s="72" t="str">
        <f>IFERROR(__xludf.DUMMYFUNCTION("""COMPUTED_VALUE"""),"UPON TYM CAMPAIGN: SUBJECT FOR 2ND PMS")</f>
        <v>UPON TYM CAMPAIGN: SUBJECT FOR 2ND PMS</v>
      </c>
      <c r="L448" s="72" t="str">
        <f>IFERROR(__xludf.DUMMYFUNCTION("""COMPUTED_VALUE"""),"CLOSED")</f>
        <v>CLOSED</v>
      </c>
      <c r="M448" s="2"/>
      <c r="N448" s="2"/>
      <c r="O448" s="2" t="str">
        <f>IFERROR(__xludf.DUMMYFUNCTION("""COMPUTED_VALUE"""),"N/A")</f>
        <v>N/A</v>
      </c>
      <c r="P448" s="2"/>
      <c r="Q448" s="2"/>
      <c r="R448" s="74">
        <f>IFERROR(__xludf.DUMMYFUNCTION("""COMPUTED_VALUE"""),45613.0)</f>
        <v>45613</v>
      </c>
      <c r="S448" s="2" t="str">
        <f>IFERROR(__xludf.DUMMYFUNCTION("""COMPUTED_VALUE"""),"n/a")</f>
        <v>n/a</v>
      </c>
      <c r="T448" s="73" t="str">
        <f>IFERROR(__xludf.DUMMYFUNCTION("""COMPUTED_VALUE""")," N/A ")</f>
        <v>N/A</v>
      </c>
      <c r="U448" s="73" t="str">
        <f>IFERROR(__xludf.DUMMYFUNCTION("""COMPUTED_VALUE""")," NO CHARGE ")</f>
        <v>NO CHARGE</v>
      </c>
      <c r="V448" s="2"/>
      <c r="W448" s="2" t="str">
        <f>IFERROR(__xludf.DUMMYFUNCTION("""COMPUTED_VALUE"""),"N/A")</f>
        <v>N/A</v>
      </c>
      <c r="X448" s="2" t="str">
        <f>IFERROR(__xludf.DUMMYFUNCTION("""COMPUTED_VALUE"""),"N/A")</f>
        <v>N/A</v>
      </c>
      <c r="Y448" s="2"/>
      <c r="Z448" s="2"/>
      <c r="AA448" s="2"/>
      <c r="AB448" s="2"/>
      <c r="AC448" s="2"/>
      <c r="AD448" s="2"/>
      <c r="AE448" s="2"/>
      <c r="AF448" s="2"/>
      <c r="AG448" s="2"/>
      <c r="AH448" s="2"/>
      <c r="AI448" s="2"/>
      <c r="AJ448" s="2" t="str">
        <f>IFERROR(__xludf.DUMMYFUNCTION("""COMPUTED_VALUE"""),"Sepung Bulaun")</f>
        <v>Sepung Bulaun</v>
      </c>
      <c r="AK448" s="2" t="str">
        <f>IFERROR(__xludf.DUMMYFUNCTION("""COMPUTED_VALUE"""),"Porac")</f>
        <v>Porac</v>
      </c>
      <c r="AL448" s="2" t="str">
        <f>IFERROR(__xludf.DUMMYFUNCTION("""COMPUTED_VALUE"""),"Pampanga")</f>
        <v>Pampanga</v>
      </c>
      <c r="AM448" s="2">
        <f>IFERROR(__xludf.DUMMYFUNCTION("""COMPUTED_VALUE"""),3.0)</f>
        <v>3</v>
      </c>
      <c r="AN448" s="2" t="str">
        <f>IFERROR(__xludf.DUMMYFUNCTION("""COMPUTED_VALUE"""),"RCEF 23-09-21 Rebidding")</f>
        <v>RCEF 23-09-21 Rebidding</v>
      </c>
      <c r="AO448" s="2">
        <f>IFERROR(__xludf.DUMMYFUNCTION("""COMPUTED_VALUE"""),3.0)</f>
        <v>3</v>
      </c>
      <c r="AP448" s="2"/>
      <c r="AQ448" s="2"/>
      <c r="AR448" s="2"/>
      <c r="AS448" s="2"/>
      <c r="AT448" s="2"/>
      <c r="AU448" s="2"/>
      <c r="AV448" s="2"/>
      <c r="AW448" s="2"/>
      <c r="AX448" s="2"/>
      <c r="AY448" s="2"/>
      <c r="AZ448" s="2"/>
      <c r="BA448" s="2"/>
      <c r="BB448" s="2"/>
    </row>
    <row r="449">
      <c r="A449" s="2">
        <f>IFERROR(__xludf.DUMMYFUNCTION("""COMPUTED_VALUE"""),445.0)</f>
        <v>445</v>
      </c>
      <c r="B449" s="2" t="str">
        <f>IFERROR(__xludf.DUMMYFUNCTION("""COMPUTED_VALUE"""),"COMPLETED")</f>
        <v>COMPLETED</v>
      </c>
      <c r="C449" s="74">
        <f>IFERROR(__xludf.DUMMYFUNCTION("""COMPUTED_VALUE"""),45544.0)</f>
        <v>45544</v>
      </c>
      <c r="D449" s="71" t="str">
        <f>IFERROR(__xludf.DUMMYFUNCTION("""COMPUTED_VALUE"""),"FARMERS ASSOCIATION OF SAN JOSE MABANGKUANG INC.")</f>
        <v>FARMERS ASSOCIATION OF SAN JOSE MABANGKUANG INC.</v>
      </c>
      <c r="E449" s="71" t="str">
        <f>IFERROR(__xludf.DUMMYFUNCTION("""COMPUTED_VALUE"""),"San Jose, Floridablanca, PAMPANGA")</f>
        <v>San Jose, Floridablanca, PAMPANGA</v>
      </c>
      <c r="F449" s="2" t="str">
        <f>IFERROR(__xludf.DUMMYFUNCTION("""COMPUTED_VALUE"""),"REMIGIO S. ICBAN")</f>
        <v>REMIGIO S. ICBAN</v>
      </c>
      <c r="G449" s="2" t="str">
        <f>IFERROR(__xludf.DUMMYFUNCTION("""COMPUTED_VALUE"""),"0910-659-5825")</f>
        <v>0910-659-5825</v>
      </c>
      <c r="H449" s="2">
        <f>IFERROR(__xludf.DUMMYFUNCTION("""COMPUTED_VALUE"""),90.2)</f>
        <v>90.2</v>
      </c>
      <c r="I449" s="72" t="str">
        <f>IFERROR(__xludf.DUMMYFUNCTION("""COMPUTED_VALUE"""),"PMS")</f>
        <v>PMS</v>
      </c>
      <c r="J449" s="72" t="str">
        <f>IFERROR(__xludf.DUMMYFUNCTION("""COMPUTED_VALUE"""),"PMS")</f>
        <v>PMS</v>
      </c>
      <c r="K449" s="72" t="str">
        <f>IFERROR(__xludf.DUMMYFUNCTION("""COMPUTED_VALUE"""),"UPON TYM CAMPAIGN: SUBJECT FOR FIRST PMS")</f>
        <v>UPON TYM CAMPAIGN: SUBJECT FOR FIRST PMS</v>
      </c>
      <c r="L449" s="72" t="str">
        <f>IFERROR(__xludf.DUMMYFUNCTION("""COMPUTED_VALUE"""),"CLOSED")</f>
        <v>CLOSED</v>
      </c>
      <c r="M449" s="2"/>
      <c r="N449" s="2"/>
      <c r="O449" s="2" t="str">
        <f>IFERROR(__xludf.DUMMYFUNCTION("""COMPUTED_VALUE"""),"N/A")</f>
        <v>N/A</v>
      </c>
      <c r="P449" s="2"/>
      <c r="Q449" s="2"/>
      <c r="R449" s="74">
        <f>IFERROR(__xludf.DUMMYFUNCTION("""COMPUTED_VALUE"""),45613.0)</f>
        <v>45613</v>
      </c>
      <c r="S449" s="2" t="str">
        <f>IFERROR(__xludf.DUMMYFUNCTION("""COMPUTED_VALUE"""),"n/a")</f>
        <v>n/a</v>
      </c>
      <c r="T449" s="73" t="str">
        <f>IFERROR(__xludf.DUMMYFUNCTION("""COMPUTED_VALUE""")," N/A ")</f>
        <v>N/A</v>
      </c>
      <c r="U449" s="73" t="str">
        <f>IFERROR(__xludf.DUMMYFUNCTION("""COMPUTED_VALUE""")," NO CHARGE ")</f>
        <v>NO CHARGE</v>
      </c>
      <c r="V449" s="2"/>
      <c r="W449" s="2" t="str">
        <f>IFERROR(__xludf.DUMMYFUNCTION("""COMPUTED_VALUE"""),"N/A")</f>
        <v>N/A</v>
      </c>
      <c r="X449" s="2" t="str">
        <f>IFERROR(__xludf.DUMMYFUNCTION("""COMPUTED_VALUE"""),"N/A")</f>
        <v>N/A</v>
      </c>
      <c r="Y449" s="2"/>
      <c r="Z449" s="2"/>
      <c r="AA449" s="2"/>
      <c r="AB449" s="2"/>
      <c r="AC449" s="2"/>
      <c r="AD449" s="2"/>
      <c r="AE449" s="2"/>
      <c r="AF449" s="2"/>
      <c r="AG449" s="2"/>
      <c r="AH449" s="2"/>
      <c r="AI449" s="2"/>
      <c r="AJ449" s="2" t="str">
        <f>IFERROR(__xludf.DUMMYFUNCTION("""COMPUTED_VALUE"""),"San Jose")</f>
        <v>San Jose</v>
      </c>
      <c r="AK449" s="2" t="str">
        <f>IFERROR(__xludf.DUMMYFUNCTION("""COMPUTED_VALUE"""),"Floridablanca")</f>
        <v>Floridablanca</v>
      </c>
      <c r="AL449" s="2" t="str">
        <f>IFERROR(__xludf.DUMMYFUNCTION("""COMPUTED_VALUE"""),"Pampanga")</f>
        <v>Pampanga</v>
      </c>
      <c r="AM449" s="2">
        <f>IFERROR(__xludf.DUMMYFUNCTION("""COMPUTED_VALUE"""),3.0)</f>
        <v>3</v>
      </c>
      <c r="AN449" s="2" t="str">
        <f>IFERROR(__xludf.DUMMYFUNCTION("""COMPUTED_VALUE"""),"RCEF 23-09-21 Rebidding")</f>
        <v>RCEF 23-09-21 Rebidding</v>
      </c>
      <c r="AO449" s="2">
        <f>IFERROR(__xludf.DUMMYFUNCTION("""COMPUTED_VALUE"""),3.0)</f>
        <v>3</v>
      </c>
      <c r="AP449" s="2"/>
      <c r="AQ449" s="2"/>
      <c r="AR449" s="2"/>
      <c r="AS449" s="2"/>
      <c r="AT449" s="2"/>
      <c r="AU449" s="2"/>
      <c r="AV449" s="2"/>
      <c r="AW449" s="2"/>
      <c r="AX449" s="2"/>
      <c r="AY449" s="2"/>
      <c r="AZ449" s="2"/>
      <c r="BA449" s="2"/>
      <c r="BB449" s="2"/>
    </row>
    <row r="450">
      <c r="A450" s="2">
        <f>IFERROR(__xludf.DUMMYFUNCTION("""COMPUTED_VALUE"""),446.0)</f>
        <v>446</v>
      </c>
      <c r="B450" s="2" t="str">
        <f>IFERROR(__xludf.DUMMYFUNCTION("""COMPUTED_VALUE"""),"COMPLETED")</f>
        <v>COMPLETED</v>
      </c>
      <c r="C450" s="74">
        <f>IFERROR(__xludf.DUMMYFUNCTION("""COMPUTED_VALUE"""),45544.0)</f>
        <v>45544</v>
      </c>
      <c r="D450" s="71" t="str">
        <f>IFERROR(__xludf.DUMMYFUNCTION("""COMPUTED_VALUE"""),"MAGSASAKA NG BAGONG HENERASYON NG BARANGAY SIMMINUBLAN (MBHBS)")</f>
        <v>MAGSASAKA NG BAGONG HENERASYON NG BARANGAY SIMMINUBLAN (MBHBS)</v>
      </c>
      <c r="E450" s="71" t="str">
        <f>IFERROR(__xludf.DUMMYFUNCTION("""COMPUTED_VALUE"""),"Siminublan, San Narciso, ZAMBALES")</f>
        <v>Siminublan, San Narciso, ZAMBALES</v>
      </c>
      <c r="F450" s="2" t="str">
        <f>IFERROR(__xludf.DUMMYFUNCTION("""COMPUTED_VALUE"""),"Wilfredo G. Aleta")</f>
        <v>Wilfredo G. Aleta</v>
      </c>
      <c r="G450" s="2" t="str">
        <f>IFERROR(__xludf.DUMMYFUNCTION("""COMPUTED_VALUE"""),"0910-072-4561")</f>
        <v>0910-072-4561</v>
      </c>
      <c r="H450" s="2">
        <f>IFERROR(__xludf.DUMMYFUNCTION("""COMPUTED_VALUE"""),165.3)</f>
        <v>165.3</v>
      </c>
      <c r="I450" s="72" t="str">
        <f>IFERROR(__xludf.DUMMYFUNCTION("""COMPUTED_VALUE"""),"REPAIR - TRACTOR")</f>
        <v>REPAIR - TRACTOR</v>
      </c>
      <c r="J450" s="72" t="str">
        <f>IFERROR(__xludf.DUMMYFUNCTION("""COMPUTED_VALUE"""),"Engine - Leaking")</f>
        <v>Engine - Leaking</v>
      </c>
      <c r="K450" s="72" t="str">
        <f>IFERROR(__xludf.DUMMYFUNCTION("""COMPUTED_VALUE"""),"JDP: UPON TYM CAMPAIGN: ENGINE OIL LEAK
")</f>
        <v>JDP: UPON TYM CAMPAIGN: ENGINE OIL LEAK
</v>
      </c>
      <c r="L450" s="72" t="str">
        <f>IFERROR(__xludf.DUMMYFUNCTION("""COMPUTED_VALUE"""),"FARMER: OK NAMAN NA ANG UNIT, OPERATIONAL")</f>
        <v>FARMER: OK NAMAN NA ANG UNIT, OPERATIONAL</v>
      </c>
      <c r="M450" s="2"/>
      <c r="N450" s="2"/>
      <c r="O450" s="2" t="str">
        <f>IFERROR(__xludf.DUMMYFUNCTION("""COMPUTED_VALUE"""),"N/A")</f>
        <v>N/A</v>
      </c>
      <c r="P450" s="2"/>
      <c r="Q450" s="2"/>
      <c r="R450" s="74">
        <f>IFERROR(__xludf.DUMMYFUNCTION("""COMPUTED_VALUE"""),45566.0)</f>
        <v>45566</v>
      </c>
      <c r="S450" s="2" t="str">
        <f>IFERROR(__xludf.DUMMYFUNCTION("""COMPUTED_VALUE"""),"MYKEE")</f>
        <v>MYKEE</v>
      </c>
      <c r="T450" s="73" t="str">
        <f>IFERROR(__xludf.DUMMYFUNCTION("""COMPUTED_VALUE""")," N/A ")</f>
        <v>N/A</v>
      </c>
      <c r="U450" s="73" t="str">
        <f>IFERROR(__xludf.DUMMYFUNCTION("""COMPUTED_VALUE""")," NO CHARGE ")</f>
        <v>NO CHARGE</v>
      </c>
      <c r="V450" s="2"/>
      <c r="W450" s="2" t="str">
        <f>IFERROR(__xludf.DUMMYFUNCTION("""COMPUTED_VALUE"""),"N/A")</f>
        <v>N/A</v>
      </c>
      <c r="X450" s="2" t="str">
        <f>IFERROR(__xludf.DUMMYFUNCTION("""COMPUTED_VALUE"""),"N/A")</f>
        <v>N/A</v>
      </c>
      <c r="Y450" s="2"/>
      <c r="Z450" s="2"/>
      <c r="AA450" s="2"/>
      <c r="AB450" s="2"/>
      <c r="AC450" s="2"/>
      <c r="AD450" s="2"/>
      <c r="AE450" s="2"/>
      <c r="AF450" s="2"/>
      <c r="AG450" s="2"/>
      <c r="AH450" s="2"/>
      <c r="AI450" s="2"/>
      <c r="AJ450" s="2" t="str">
        <f>IFERROR(__xludf.DUMMYFUNCTION("""COMPUTED_VALUE"""),"Siminublan")</f>
        <v>Siminublan</v>
      </c>
      <c r="AK450" s="2" t="str">
        <f>IFERROR(__xludf.DUMMYFUNCTION("""COMPUTED_VALUE"""),"San Narciso")</f>
        <v>San Narciso</v>
      </c>
      <c r="AL450" s="2" t="str">
        <f>IFERROR(__xludf.DUMMYFUNCTION("""COMPUTED_VALUE"""),"Zambales")</f>
        <v>Zambales</v>
      </c>
      <c r="AM450" s="2">
        <f>IFERROR(__xludf.DUMMYFUNCTION("""COMPUTED_VALUE"""),3.0)</f>
        <v>3</v>
      </c>
      <c r="AN450" s="2" t="str">
        <f>IFERROR(__xludf.DUMMYFUNCTION("""COMPUTED_VALUE"""),"RCEF 23-09-21 Rebidding")</f>
        <v>RCEF 23-09-21 Rebidding</v>
      </c>
      <c r="AO450" s="2">
        <f>IFERROR(__xludf.DUMMYFUNCTION("""COMPUTED_VALUE"""),9.0)</f>
        <v>9</v>
      </c>
      <c r="AP450" s="2"/>
      <c r="AQ450" s="2"/>
      <c r="AR450" s="2"/>
      <c r="AS450" s="2"/>
      <c r="AT450" s="2"/>
      <c r="AU450" s="2"/>
      <c r="AV450" s="2"/>
      <c r="AW450" s="2"/>
      <c r="AX450" s="2"/>
      <c r="AY450" s="2"/>
      <c r="AZ450" s="2"/>
      <c r="BA450" s="2"/>
      <c r="BB450" s="2"/>
    </row>
    <row r="451">
      <c r="A451" s="2">
        <f>IFERROR(__xludf.DUMMYFUNCTION("""COMPUTED_VALUE"""),447.0)</f>
        <v>447</v>
      </c>
      <c r="B451" s="2" t="str">
        <f>IFERROR(__xludf.DUMMYFUNCTION("""COMPUTED_VALUE"""),"COMPLETED")</f>
        <v>COMPLETED</v>
      </c>
      <c r="C451" s="74">
        <f>IFERROR(__xludf.DUMMYFUNCTION("""COMPUTED_VALUE"""),45544.0)</f>
        <v>45544</v>
      </c>
      <c r="D451" s="71" t="str">
        <f>IFERROR(__xludf.DUMMYFUNCTION("""COMPUTED_VALUE"""),"MASAGANANG BUKIRIN FARMERS ASSOCIATION")</f>
        <v>MASAGANANG BUKIRIN FARMERS ASSOCIATION</v>
      </c>
      <c r="E451" s="71" t="str">
        <f>IFERROR(__xludf.DUMMYFUNCTION("""COMPUTED_VALUE"""),"La Paz (Pob.), San Marcelino, ZAMBALES")</f>
        <v>La Paz (Pob.), San Marcelino, ZAMBALES</v>
      </c>
      <c r="F451" s="2" t="str">
        <f>IFERROR(__xludf.DUMMYFUNCTION("""COMPUTED_VALUE"""),"Albert B. Mendoza")</f>
        <v>Albert B. Mendoza</v>
      </c>
      <c r="G451" s="2" t="str">
        <f>IFERROR(__xludf.DUMMYFUNCTION("""COMPUTED_VALUE"""),"0938-723-3680")</f>
        <v>0938-723-3680</v>
      </c>
      <c r="H451" s="2">
        <f>IFERROR(__xludf.DUMMYFUNCTION("""COMPUTED_VALUE"""),422.1)</f>
        <v>422.1</v>
      </c>
      <c r="I451" s="72" t="str">
        <f>IFERROR(__xludf.DUMMYFUNCTION("""COMPUTED_VALUE"""),"PMS")</f>
        <v>PMS</v>
      </c>
      <c r="J451" s="72" t="str">
        <f>IFERROR(__xludf.DUMMYFUNCTION("""COMPUTED_VALUE"""),"PMS")</f>
        <v>PMS</v>
      </c>
      <c r="K451" s="72" t="str">
        <f>IFERROR(__xludf.DUMMYFUNCTION("""COMPUTED_VALUE"""),"UPON TYM CAMPAIGN: SUBJECT FOR 2ND PMS: SELF PMS")</f>
        <v>UPON TYM CAMPAIGN: SUBJECT FOR 2ND PMS: SELF PMS</v>
      </c>
      <c r="L451" s="72" t="str">
        <f>IFERROR(__xludf.DUMMYFUNCTION("""COMPUTED_VALUE"""),"SEND  AGREEMENT: FB: MASAGANANG BUKIRIN: AGREEMENT SENT:")</f>
        <v>SEND  AGREEMENT: FB: MASAGANANG BUKIRIN: AGREEMENT SENT:</v>
      </c>
      <c r="M451" s="2"/>
      <c r="N451" s="2"/>
      <c r="O451" s="2" t="str">
        <f>IFERROR(__xludf.DUMMYFUNCTION("""COMPUTED_VALUE"""),"N/A")</f>
        <v>N/A</v>
      </c>
      <c r="P451" s="2"/>
      <c r="Q451" s="2"/>
      <c r="R451" s="74">
        <f>IFERROR(__xludf.DUMMYFUNCTION("""COMPUTED_VALUE"""),45567.0)</f>
        <v>45567</v>
      </c>
      <c r="S451" s="2" t="str">
        <f>IFERROR(__xludf.DUMMYFUNCTION("""COMPUTED_VALUE"""),"MYKEE")</f>
        <v>MYKEE</v>
      </c>
      <c r="T451" s="2" t="str">
        <f>IFERROR(__xludf.DUMMYFUNCTION("""COMPUTED_VALUE"""),"N/A")</f>
        <v>N/A</v>
      </c>
      <c r="U451" s="73" t="str">
        <f>IFERROR(__xludf.DUMMYFUNCTION("""COMPUTED_VALUE""")," NO CHARGE ")</f>
        <v>NO CHARGE</v>
      </c>
      <c r="V451" s="2"/>
      <c r="W451" s="2" t="str">
        <f>IFERROR(__xludf.DUMMYFUNCTION("""COMPUTED_VALUE"""),"N/A")</f>
        <v>N/A</v>
      </c>
      <c r="X451" s="2" t="str">
        <f>IFERROR(__xludf.DUMMYFUNCTION("""COMPUTED_VALUE"""),"N/A")</f>
        <v>N/A</v>
      </c>
      <c r="Y451" s="2"/>
      <c r="Z451" s="2"/>
      <c r="AA451" s="2"/>
      <c r="AB451" s="2"/>
      <c r="AC451" s="2"/>
      <c r="AD451" s="2"/>
      <c r="AE451" s="2"/>
      <c r="AF451" s="2"/>
      <c r="AG451" s="2"/>
      <c r="AH451" s="2"/>
      <c r="AI451" s="2"/>
      <c r="AJ451" s="2" t="str">
        <f>IFERROR(__xludf.DUMMYFUNCTION("""COMPUTED_VALUE"""),"La Paz (Pob.)")</f>
        <v>La Paz (Pob.)</v>
      </c>
      <c r="AK451" s="2" t="str">
        <f>IFERROR(__xludf.DUMMYFUNCTION("""COMPUTED_VALUE"""),"San Marcelino")</f>
        <v>San Marcelino</v>
      </c>
      <c r="AL451" s="2" t="str">
        <f>IFERROR(__xludf.DUMMYFUNCTION("""COMPUTED_VALUE"""),"Zambales")</f>
        <v>Zambales</v>
      </c>
      <c r="AM451" s="2">
        <f>IFERROR(__xludf.DUMMYFUNCTION("""COMPUTED_VALUE"""),3.0)</f>
        <v>3</v>
      </c>
      <c r="AN451" s="2" t="str">
        <f>IFERROR(__xludf.DUMMYFUNCTION("""COMPUTED_VALUE"""),"RCEF 23-09-21 Rebidding")</f>
        <v>RCEF 23-09-21 Rebidding</v>
      </c>
      <c r="AO451" s="2">
        <f>IFERROR(__xludf.DUMMYFUNCTION("""COMPUTED_VALUE"""),9.0)</f>
        <v>9</v>
      </c>
      <c r="AP451" s="2"/>
      <c r="AQ451" s="2"/>
      <c r="AR451" s="2"/>
      <c r="AS451" s="2"/>
      <c r="AT451" s="2"/>
      <c r="AU451" s="2"/>
      <c r="AV451" s="2"/>
      <c r="AW451" s="2"/>
      <c r="AX451" s="2"/>
      <c r="AY451" s="2"/>
      <c r="AZ451" s="2"/>
      <c r="BA451" s="2"/>
      <c r="BB451" s="2"/>
    </row>
    <row r="452">
      <c r="A452" s="2">
        <f>IFERROR(__xludf.DUMMYFUNCTION("""COMPUTED_VALUE"""),448.0)</f>
        <v>448</v>
      </c>
      <c r="B452" s="2" t="str">
        <f>IFERROR(__xludf.DUMMYFUNCTION("""COMPUTED_VALUE"""),"COMPLETED")</f>
        <v>COMPLETED</v>
      </c>
      <c r="C452" s="74">
        <f>IFERROR(__xludf.DUMMYFUNCTION("""COMPUTED_VALUE"""),45544.0)</f>
        <v>45544</v>
      </c>
      <c r="D452" s="71" t="str">
        <f>IFERROR(__xludf.DUMMYFUNCTION("""COMPUTED_VALUE"""),"MASAGANANG BUKIRIN FARMERS ASSOCIATION")</f>
        <v>MASAGANANG BUKIRIN FARMERS ASSOCIATION</v>
      </c>
      <c r="E452" s="71" t="str">
        <f>IFERROR(__xludf.DUMMYFUNCTION("""COMPUTED_VALUE"""),"La Paz (Pob.), San Marcelino, ZAMBALES")</f>
        <v>La Paz (Pob.), San Marcelino, ZAMBALES</v>
      </c>
      <c r="F452" s="2" t="str">
        <f>IFERROR(__xludf.DUMMYFUNCTION("""COMPUTED_VALUE"""),"Albert B. Mendoza")</f>
        <v>Albert B. Mendoza</v>
      </c>
      <c r="G452" s="2" t="str">
        <f>IFERROR(__xludf.DUMMYFUNCTION("""COMPUTED_VALUE"""),"0938-723-3680")</f>
        <v>0938-723-3680</v>
      </c>
      <c r="H452" s="2">
        <f>IFERROR(__xludf.DUMMYFUNCTION("""COMPUTED_VALUE"""),422.1)</f>
        <v>422.1</v>
      </c>
      <c r="I452" s="72" t="str">
        <f>IFERROR(__xludf.DUMMYFUNCTION("""COMPUTED_VALUE"""),"REPAIR - TRACTOR")</f>
        <v>REPAIR - TRACTOR</v>
      </c>
      <c r="J452" s="72" t="str">
        <f>IFERROR(__xludf.DUMMYFUNCTION("""COMPUTED_VALUE"""),"Electrical - Wire Harness")</f>
        <v>Electrical - Wire Harness</v>
      </c>
      <c r="K452" s="72" t="str">
        <f>IFERROR(__xludf.DUMMYFUNCTION("""COMPUTED_VALUE"""),"JDP UPON TYM CAMPAIGN: NOT FUNCTIONING SIGNAL LIGHT, HAZZARD LIGHT, METER ASSY, HORN")</f>
        <v>JDP UPON TYM CAMPAIGN: NOT FUNCTIONING SIGNAL LIGHT, HAZZARD LIGHT, METER ASSY, HORN</v>
      </c>
      <c r="L452" s="72" t="str">
        <f>IFERROR(__xludf.DUMMYFUNCTION("""COMPUTED_VALUE"""),"CLOSED")</f>
        <v>CLOSED</v>
      </c>
      <c r="M452" s="2"/>
      <c r="N452" s="2"/>
      <c r="O452" s="2" t="str">
        <f>IFERROR(__xludf.DUMMYFUNCTION("""COMPUTED_VALUE"""),"N/A")</f>
        <v>N/A</v>
      </c>
      <c r="P452" s="2"/>
      <c r="Q452" s="2"/>
      <c r="R452" s="74">
        <f>IFERROR(__xludf.DUMMYFUNCTION("""COMPUTED_VALUE"""),45567.0)</f>
        <v>45567</v>
      </c>
      <c r="S452" s="2" t="str">
        <f>IFERROR(__xludf.DUMMYFUNCTION("""COMPUTED_VALUE"""),"MYKEE")</f>
        <v>MYKEE</v>
      </c>
      <c r="T452" s="2" t="str">
        <f>IFERROR(__xludf.DUMMYFUNCTION("""COMPUTED_VALUE"""),"N/A")</f>
        <v>N/A</v>
      </c>
      <c r="U452" s="73" t="str">
        <f>IFERROR(__xludf.DUMMYFUNCTION("""COMPUTED_VALUE""")," NO CHARGE ")</f>
        <v>NO CHARGE</v>
      </c>
      <c r="V452" s="2"/>
      <c r="W452" s="2" t="str">
        <f>IFERROR(__xludf.DUMMYFUNCTION("""COMPUTED_VALUE"""),"N/A")</f>
        <v>N/A</v>
      </c>
      <c r="X452" s="2" t="str">
        <f>IFERROR(__xludf.DUMMYFUNCTION("""COMPUTED_VALUE"""),"N/A")</f>
        <v>N/A</v>
      </c>
      <c r="Y452" s="2"/>
      <c r="Z452" s="2"/>
      <c r="AA452" s="2"/>
      <c r="AB452" s="2"/>
      <c r="AC452" s="2"/>
      <c r="AD452" s="2"/>
      <c r="AE452" s="2"/>
      <c r="AF452" s="2"/>
      <c r="AG452" s="2"/>
      <c r="AH452" s="2"/>
      <c r="AI452" s="2"/>
      <c r="AJ452" s="2" t="str">
        <f>IFERROR(__xludf.DUMMYFUNCTION("""COMPUTED_VALUE"""),"La Paz (Pob.)")</f>
        <v>La Paz (Pob.)</v>
      </c>
      <c r="AK452" s="2" t="str">
        <f>IFERROR(__xludf.DUMMYFUNCTION("""COMPUTED_VALUE"""),"San Marcelino")</f>
        <v>San Marcelino</v>
      </c>
      <c r="AL452" s="2" t="str">
        <f>IFERROR(__xludf.DUMMYFUNCTION("""COMPUTED_VALUE"""),"Zambales")</f>
        <v>Zambales</v>
      </c>
      <c r="AM452" s="2">
        <f>IFERROR(__xludf.DUMMYFUNCTION("""COMPUTED_VALUE"""),3.0)</f>
        <v>3</v>
      </c>
      <c r="AN452" s="2" t="str">
        <f>IFERROR(__xludf.DUMMYFUNCTION("""COMPUTED_VALUE"""),"RCEF 23-09-21 Rebidding")</f>
        <v>RCEF 23-09-21 Rebidding</v>
      </c>
      <c r="AO452" s="2">
        <f>IFERROR(__xludf.DUMMYFUNCTION("""COMPUTED_VALUE"""),9.0)</f>
        <v>9</v>
      </c>
      <c r="AP452" s="2"/>
      <c r="AQ452" s="2"/>
      <c r="AR452" s="2"/>
      <c r="AS452" s="2"/>
      <c r="AT452" s="2"/>
      <c r="AU452" s="2"/>
      <c r="AV452" s="2"/>
      <c r="AW452" s="2"/>
      <c r="AX452" s="2"/>
      <c r="AY452" s="2"/>
      <c r="AZ452" s="2"/>
      <c r="BA452" s="2"/>
      <c r="BB452" s="2"/>
    </row>
    <row r="453">
      <c r="A453" s="2">
        <f>IFERROR(__xludf.DUMMYFUNCTION("""COMPUTED_VALUE"""),449.0)</f>
        <v>449</v>
      </c>
      <c r="B453" s="2" t="str">
        <f>IFERROR(__xludf.DUMMYFUNCTION("""COMPUTED_VALUE"""),"COMPLETED")</f>
        <v>COMPLETED</v>
      </c>
      <c r="C453" s="74">
        <f>IFERROR(__xludf.DUMMYFUNCTION("""COMPUTED_VALUE"""),45544.0)</f>
        <v>45544</v>
      </c>
      <c r="D453" s="71" t="str">
        <f>IFERROR(__xludf.DUMMYFUNCTION("""COMPUTED_VALUE"""),"PARAPAL SMALL WATER IMPOUNDING SYSTEM ASSOCIATION")</f>
        <v>PARAPAL SMALL WATER IMPOUNDING SYSTEM ASSOCIATION</v>
      </c>
      <c r="E453" s="71" t="str">
        <f>IFERROR(__xludf.DUMMYFUNCTION("""COMPUTED_VALUE"""),"Mabiga, Hermosa, BATAAN")</f>
        <v>Mabiga, Hermosa, BATAAN</v>
      </c>
      <c r="F453" s="2" t="str">
        <f>IFERROR(__xludf.DUMMYFUNCTION("""COMPUTED_VALUE"""),"Leonardo Cruz")</f>
        <v>Leonardo Cruz</v>
      </c>
      <c r="G453" s="2" t="str">
        <f>IFERROR(__xludf.DUMMYFUNCTION("""COMPUTED_VALUE"""),"0948-976-1312
09926881565")</f>
        <v>0948-976-1312
09926881565</v>
      </c>
      <c r="H453" s="2">
        <f>IFERROR(__xludf.DUMMYFUNCTION("""COMPUTED_VALUE"""),191.8)</f>
        <v>191.8</v>
      </c>
      <c r="I453" s="72" t="str">
        <f>IFERROR(__xludf.DUMMYFUNCTION("""COMPUTED_VALUE"""),"PMS")</f>
        <v>PMS</v>
      </c>
      <c r="J453" s="72" t="str">
        <f>IFERROR(__xludf.DUMMYFUNCTION("""COMPUTED_VALUE"""),"PMS")</f>
        <v>PMS</v>
      </c>
      <c r="K453" s="72" t="str">
        <f>IFERROR(__xludf.DUMMYFUNCTION("""COMPUTED_VALUE"""),"UPON TYM CAMPAIGN: SUBJECT FOR FIRST PMS")</f>
        <v>UPON TYM CAMPAIGN: SUBJECT FOR FIRST PMS</v>
      </c>
      <c r="L453" s="72" t="str">
        <f>IFERROR(__xludf.DUMMYFUNCTION("""COMPUTED_VALUE"""),"CLOSED")</f>
        <v>CLOSED</v>
      </c>
      <c r="M453" s="2"/>
      <c r="N453" s="2"/>
      <c r="O453" s="2" t="str">
        <f>IFERROR(__xludf.DUMMYFUNCTION("""COMPUTED_VALUE"""),"N/A")</f>
        <v>N/A</v>
      </c>
      <c r="P453" s="2"/>
      <c r="Q453" s="2"/>
      <c r="R453" s="74">
        <f>IFERROR(__xludf.DUMMYFUNCTION("""COMPUTED_VALUE"""),45613.0)</f>
        <v>45613</v>
      </c>
      <c r="S453" s="2" t="str">
        <f>IFERROR(__xludf.DUMMYFUNCTION("""COMPUTED_VALUE"""),"n/a")</f>
        <v>n/a</v>
      </c>
      <c r="T453" s="73" t="str">
        <f>IFERROR(__xludf.DUMMYFUNCTION("""COMPUTED_VALUE""")," N/A ")</f>
        <v>N/A</v>
      </c>
      <c r="U453" s="73" t="str">
        <f>IFERROR(__xludf.DUMMYFUNCTION("""COMPUTED_VALUE""")," NO CHARGE ")</f>
        <v>NO CHARGE</v>
      </c>
      <c r="V453" s="2"/>
      <c r="W453" s="2" t="str">
        <f>IFERROR(__xludf.DUMMYFUNCTION("""COMPUTED_VALUE"""),"N/A")</f>
        <v>N/A</v>
      </c>
      <c r="X453" s="2" t="str">
        <f>IFERROR(__xludf.DUMMYFUNCTION("""COMPUTED_VALUE"""),"N/A")</f>
        <v>N/A</v>
      </c>
      <c r="Y453" s="2"/>
      <c r="Z453" s="2"/>
      <c r="AA453" s="2"/>
      <c r="AB453" s="2"/>
      <c r="AC453" s="2"/>
      <c r="AD453" s="2"/>
      <c r="AE453" s="2"/>
      <c r="AF453" s="2"/>
      <c r="AG453" s="2"/>
      <c r="AH453" s="2"/>
      <c r="AI453" s="2"/>
      <c r="AJ453" s="2" t="str">
        <f>IFERROR(__xludf.DUMMYFUNCTION("""COMPUTED_VALUE"""),"Mabiga")</f>
        <v>Mabiga</v>
      </c>
      <c r="AK453" s="2" t="str">
        <f>IFERROR(__xludf.DUMMYFUNCTION("""COMPUTED_VALUE"""),"Hermosa")</f>
        <v>Hermosa</v>
      </c>
      <c r="AL453" s="2" t="str">
        <f>IFERROR(__xludf.DUMMYFUNCTION("""COMPUTED_VALUE"""),"Bataan")</f>
        <v>Bataan</v>
      </c>
      <c r="AM453" s="2">
        <f>IFERROR(__xludf.DUMMYFUNCTION("""COMPUTED_VALUE"""),3.0)</f>
        <v>3</v>
      </c>
      <c r="AN453" s="2" t="str">
        <f>IFERROR(__xludf.DUMMYFUNCTION("""COMPUTED_VALUE"""),"RCEF 23-09-21 Rebidding")</f>
        <v>RCEF 23-09-21 Rebidding</v>
      </c>
      <c r="AO453" s="2">
        <f>IFERROR(__xludf.DUMMYFUNCTION("""COMPUTED_VALUE"""),3.0)</f>
        <v>3</v>
      </c>
      <c r="AP453" s="2"/>
      <c r="AQ453" s="2"/>
      <c r="AR453" s="2"/>
      <c r="AS453" s="2"/>
      <c r="AT453" s="2"/>
      <c r="AU453" s="2"/>
      <c r="AV453" s="2"/>
      <c r="AW453" s="2"/>
      <c r="AX453" s="2"/>
      <c r="AY453" s="2"/>
      <c r="AZ453" s="2"/>
      <c r="BA453" s="2"/>
      <c r="BB453" s="2"/>
    </row>
    <row r="454">
      <c r="A454" s="2">
        <f>IFERROR(__xludf.DUMMYFUNCTION("""COMPUTED_VALUE"""),450.0)</f>
        <v>450</v>
      </c>
      <c r="B454" s="2" t="str">
        <f>IFERROR(__xludf.DUMMYFUNCTION("""COMPUTED_VALUE"""),"COMPLETED")</f>
        <v>COMPLETED</v>
      </c>
      <c r="C454" s="74">
        <f>IFERROR(__xludf.DUMMYFUNCTION("""COMPUTED_VALUE"""),45544.0)</f>
        <v>45544</v>
      </c>
      <c r="D454" s="71" t="str">
        <f>IFERROR(__xludf.DUMMYFUNCTION("""COMPUTED_VALUE"""),"SAINT JOSEPH THE WORKER FARMERS ASSOCIATION INC.")</f>
        <v>SAINT JOSEPH THE WORKER FARMERS ASSOCIATION INC.</v>
      </c>
      <c r="E454" s="71" t="str">
        <f>IFERROR(__xludf.DUMMYFUNCTION("""COMPUTED_VALUE"""),"San Jose North, Anao, TARLAC")</f>
        <v>San Jose North, Anao, TARLAC</v>
      </c>
      <c r="F454" s="2" t="str">
        <f>IFERROR(__xludf.DUMMYFUNCTION("""COMPUTED_VALUE"""),"Jesus F. Bartolome Jr.")</f>
        <v>Jesus F. Bartolome Jr.</v>
      </c>
      <c r="G454" s="2" t="str">
        <f>IFERROR(__xludf.DUMMYFUNCTION("""COMPUTED_VALUE"""),"0917-136-2169")</f>
        <v>0917-136-2169</v>
      </c>
      <c r="H454" s="2">
        <f>IFERROR(__xludf.DUMMYFUNCTION("""COMPUTED_VALUE"""),242.0)</f>
        <v>242</v>
      </c>
      <c r="I454" s="72" t="str">
        <f>IFERROR(__xludf.DUMMYFUNCTION("""COMPUTED_VALUE"""),"PMS")</f>
        <v>PMS</v>
      </c>
      <c r="J454" s="72" t="str">
        <f>IFERROR(__xludf.DUMMYFUNCTION("""COMPUTED_VALUE"""),"PMS")</f>
        <v>PMS</v>
      </c>
      <c r="K454" s="72" t="str">
        <f>IFERROR(__xludf.DUMMYFUNCTION("""COMPUTED_VALUE"""),"UPON TYM CAMPAIGN: SUBJECT FOR 2ND PMS")</f>
        <v>UPON TYM CAMPAIGN: SUBJECT FOR 2ND PMS</v>
      </c>
      <c r="L454" s="72" t="str">
        <f>IFERROR(__xludf.DUMMYFUNCTION("""COMPUTED_VALUE"""),"CLOSED")</f>
        <v>CLOSED</v>
      </c>
      <c r="M454" s="2"/>
      <c r="N454" s="2"/>
      <c r="O454" s="2" t="str">
        <f>IFERROR(__xludf.DUMMYFUNCTION("""COMPUTED_VALUE"""),"N/A")</f>
        <v>N/A</v>
      </c>
      <c r="P454" s="2"/>
      <c r="Q454" s="2"/>
      <c r="R454" s="74">
        <f>IFERROR(__xludf.DUMMYFUNCTION("""COMPUTED_VALUE"""),45613.0)</f>
        <v>45613</v>
      </c>
      <c r="S454" s="2" t="str">
        <f>IFERROR(__xludf.DUMMYFUNCTION("""COMPUTED_VALUE"""),"N/A")</f>
        <v>N/A</v>
      </c>
      <c r="T454" s="73" t="str">
        <f>IFERROR(__xludf.DUMMYFUNCTION("""COMPUTED_VALUE""")," N/A ")</f>
        <v>N/A</v>
      </c>
      <c r="U454" s="73" t="str">
        <f>IFERROR(__xludf.DUMMYFUNCTION("""COMPUTED_VALUE""")," NO CHARGE ")</f>
        <v>NO CHARGE</v>
      </c>
      <c r="V454" s="2"/>
      <c r="W454" s="2" t="str">
        <f>IFERROR(__xludf.DUMMYFUNCTION("""COMPUTED_VALUE"""),"N/A")</f>
        <v>N/A</v>
      </c>
      <c r="X454" s="2" t="str">
        <f>IFERROR(__xludf.DUMMYFUNCTION("""COMPUTED_VALUE"""),"N/A")</f>
        <v>N/A</v>
      </c>
      <c r="Y454" s="2"/>
      <c r="Z454" s="2"/>
      <c r="AA454" s="2"/>
      <c r="AB454" s="2"/>
      <c r="AC454" s="2"/>
      <c r="AD454" s="2"/>
      <c r="AE454" s="2"/>
      <c r="AF454" s="2"/>
      <c r="AG454" s="2"/>
      <c r="AH454" s="2"/>
      <c r="AI454" s="2"/>
      <c r="AJ454" s="2" t="str">
        <f>IFERROR(__xludf.DUMMYFUNCTION("""COMPUTED_VALUE"""),"San Jose North")</f>
        <v>San Jose North</v>
      </c>
      <c r="AK454" s="2" t="str">
        <f>IFERROR(__xludf.DUMMYFUNCTION("""COMPUTED_VALUE"""),"Anao")</f>
        <v>Anao</v>
      </c>
      <c r="AL454" s="2" t="str">
        <f>IFERROR(__xludf.DUMMYFUNCTION("""COMPUTED_VALUE"""),"Tarlac")</f>
        <v>Tarlac</v>
      </c>
      <c r="AM454" s="2">
        <f>IFERROR(__xludf.DUMMYFUNCTION("""COMPUTED_VALUE"""),3.0)</f>
        <v>3</v>
      </c>
      <c r="AN454" s="2" t="str">
        <f>IFERROR(__xludf.DUMMYFUNCTION("""COMPUTED_VALUE"""),"RCEF 23-09-21 Rebidding")</f>
        <v>RCEF 23-09-21 Rebidding</v>
      </c>
      <c r="AO454" s="2">
        <f>IFERROR(__xludf.DUMMYFUNCTION("""COMPUTED_VALUE"""),3.0)</f>
        <v>3</v>
      </c>
      <c r="AP454" s="2"/>
      <c r="AQ454" s="2"/>
      <c r="AR454" s="2"/>
      <c r="AS454" s="2"/>
      <c r="AT454" s="2"/>
      <c r="AU454" s="2"/>
      <c r="AV454" s="2"/>
      <c r="AW454" s="2"/>
      <c r="AX454" s="2"/>
      <c r="AY454" s="2"/>
      <c r="AZ454" s="2"/>
      <c r="BA454" s="2"/>
      <c r="BB454" s="2"/>
    </row>
    <row r="455">
      <c r="A455" s="2">
        <f>IFERROR(__xludf.DUMMYFUNCTION("""COMPUTED_VALUE"""),451.0)</f>
        <v>451</v>
      </c>
      <c r="B455" s="2" t="str">
        <f>IFERROR(__xludf.DUMMYFUNCTION("""COMPUTED_VALUE"""),"COMPLETED")</f>
        <v>COMPLETED</v>
      </c>
      <c r="C455" s="74">
        <f>IFERROR(__xludf.DUMMYFUNCTION("""COMPUTED_VALUE"""),45544.0)</f>
        <v>45544</v>
      </c>
      <c r="D455" s="71" t="str">
        <f>IFERROR(__xludf.DUMMYFUNCTION("""COMPUTED_VALUE"""),"Bakara Farmers Agriculture Cooperative (BFAC)")</f>
        <v>Bakara Farmers Agriculture Cooperative (BFAC)</v>
      </c>
      <c r="E455" s="71" t="str">
        <f>IFERROR(__xludf.DUMMYFUNCTION("""COMPUTED_VALUE"""),"Toledo, Ramos, TARLAC")</f>
        <v>Toledo, Ramos, TARLAC</v>
      </c>
      <c r="F455" s="2" t="str">
        <f>IFERROR(__xludf.DUMMYFUNCTION("""COMPUTED_VALUE"""),"Oliver R. Mandapat")</f>
        <v>Oliver R. Mandapat</v>
      </c>
      <c r="G455" s="2" t="str">
        <f>IFERROR(__xludf.DUMMYFUNCTION("""COMPUTED_VALUE"""),"0939-512-2970")</f>
        <v>0939-512-2970</v>
      </c>
      <c r="H455" s="2">
        <f>IFERROR(__xludf.DUMMYFUNCTION("""COMPUTED_VALUE"""),216.9)</f>
        <v>216.9</v>
      </c>
      <c r="I455" s="72" t="str">
        <f>IFERROR(__xludf.DUMMYFUNCTION("""COMPUTED_VALUE"""),"PMS")</f>
        <v>PMS</v>
      </c>
      <c r="J455" s="72" t="str">
        <f>IFERROR(__xludf.DUMMYFUNCTION("""COMPUTED_VALUE"""),"PMS")</f>
        <v>PMS</v>
      </c>
      <c r="K455" s="72" t="str">
        <f>IFERROR(__xludf.DUMMYFUNCTION("""COMPUTED_VALUE"""),"UPON TYM CAMPAIGN: SUBJECT FOR 2ND PMS")</f>
        <v>UPON TYM CAMPAIGN: SUBJECT FOR 2ND PMS</v>
      </c>
      <c r="L455" s="72" t="str">
        <f>IFERROR(__xludf.DUMMYFUNCTION("""COMPUTED_VALUE"""),"CLOSED")</f>
        <v>CLOSED</v>
      </c>
      <c r="M455" s="2"/>
      <c r="N455" s="2"/>
      <c r="O455" s="2" t="str">
        <f>IFERROR(__xludf.DUMMYFUNCTION("""COMPUTED_VALUE"""),"N/A")</f>
        <v>N/A</v>
      </c>
      <c r="P455" s="2"/>
      <c r="Q455" s="2"/>
      <c r="R455" s="74">
        <f>IFERROR(__xludf.DUMMYFUNCTION("""COMPUTED_VALUE"""),45613.0)</f>
        <v>45613</v>
      </c>
      <c r="S455" s="2" t="str">
        <f>IFERROR(__xludf.DUMMYFUNCTION("""COMPUTED_VALUE"""),"N/A")</f>
        <v>N/A</v>
      </c>
      <c r="T455" s="73" t="str">
        <f>IFERROR(__xludf.DUMMYFUNCTION("""COMPUTED_VALUE""")," N/A ")</f>
        <v>N/A</v>
      </c>
      <c r="U455" s="73" t="str">
        <f>IFERROR(__xludf.DUMMYFUNCTION("""COMPUTED_VALUE""")," NO CHARGE ")</f>
        <v>NO CHARGE</v>
      </c>
      <c r="V455" s="2"/>
      <c r="W455" s="2" t="str">
        <f>IFERROR(__xludf.DUMMYFUNCTION("""COMPUTED_VALUE"""),"N/A")</f>
        <v>N/A</v>
      </c>
      <c r="X455" s="2" t="str">
        <f>IFERROR(__xludf.DUMMYFUNCTION("""COMPUTED_VALUE"""),"N/A")</f>
        <v>N/A</v>
      </c>
      <c r="Y455" s="2"/>
      <c r="Z455" s="2"/>
      <c r="AA455" s="2"/>
      <c r="AB455" s="2"/>
      <c r="AC455" s="2"/>
      <c r="AD455" s="2"/>
      <c r="AE455" s="2"/>
      <c r="AF455" s="2"/>
      <c r="AG455" s="2"/>
      <c r="AH455" s="2"/>
      <c r="AI455" s="2"/>
      <c r="AJ455" s="2" t="str">
        <f>IFERROR(__xludf.DUMMYFUNCTION("""COMPUTED_VALUE"""),"Toledo")</f>
        <v>Toledo</v>
      </c>
      <c r="AK455" s="2" t="str">
        <f>IFERROR(__xludf.DUMMYFUNCTION("""COMPUTED_VALUE"""),"Ramos")</f>
        <v>Ramos</v>
      </c>
      <c r="AL455" s="2" t="str">
        <f>IFERROR(__xludf.DUMMYFUNCTION("""COMPUTED_VALUE"""),"Tarlac")</f>
        <v>Tarlac</v>
      </c>
      <c r="AM455" s="2">
        <f>IFERROR(__xludf.DUMMYFUNCTION("""COMPUTED_VALUE"""),3.0)</f>
        <v>3</v>
      </c>
      <c r="AN455" s="2" t="str">
        <f>IFERROR(__xludf.DUMMYFUNCTION("""COMPUTED_VALUE"""),"RCEF 23-09-21 Rebidding")</f>
        <v>RCEF 23-09-21 Rebidding</v>
      </c>
      <c r="AO455" s="2">
        <f>IFERROR(__xludf.DUMMYFUNCTION("""COMPUTED_VALUE"""),3.0)</f>
        <v>3</v>
      </c>
      <c r="AP455" s="2"/>
      <c r="AQ455" s="2"/>
      <c r="AR455" s="2"/>
      <c r="AS455" s="2"/>
      <c r="AT455" s="2"/>
      <c r="AU455" s="2"/>
      <c r="AV455" s="2"/>
      <c r="AW455" s="2"/>
      <c r="AX455" s="2"/>
      <c r="AY455" s="2"/>
      <c r="AZ455" s="2"/>
      <c r="BA455" s="2"/>
      <c r="BB455" s="2"/>
    </row>
    <row r="456">
      <c r="A456" s="2">
        <f>IFERROR(__xludf.DUMMYFUNCTION("""COMPUTED_VALUE"""),452.0)</f>
        <v>452</v>
      </c>
      <c r="B456" s="2" t="str">
        <f>IFERROR(__xludf.DUMMYFUNCTION("""COMPUTED_VALUE"""),"COMPLETED")</f>
        <v>COMPLETED</v>
      </c>
      <c r="C456" s="74">
        <f>IFERROR(__xludf.DUMMYFUNCTION("""COMPUTED_VALUE"""),45544.0)</f>
        <v>45544</v>
      </c>
      <c r="D456" s="71" t="str">
        <f>IFERROR(__xludf.DUMMYFUNCTION("""COMPUTED_VALUE"""),"BAMBAN FARMERS AND LIVESTOCK ASSOCIATION")</f>
        <v>BAMBAN FARMERS AND LIVESTOCK ASSOCIATION</v>
      </c>
      <c r="E456" s="71" t="str">
        <f>IFERROR(__xludf.DUMMYFUNCTION("""COMPUTED_VALUE"""),"Bamban, San Clemente, TARLAC")</f>
        <v>Bamban, San Clemente, TARLAC</v>
      </c>
      <c r="F456" s="2" t="str">
        <f>IFERROR(__xludf.DUMMYFUNCTION("""COMPUTED_VALUE"""),"Modesto Alcala Jr.")</f>
        <v>Modesto Alcala Jr.</v>
      </c>
      <c r="G456" s="2" t="str">
        <f>IFERROR(__xludf.DUMMYFUNCTION("""COMPUTED_VALUE"""),"0910-140-0813")</f>
        <v>0910-140-0813</v>
      </c>
      <c r="H456" s="2">
        <f>IFERROR(__xludf.DUMMYFUNCTION("""COMPUTED_VALUE"""),73.4)</f>
        <v>73.4</v>
      </c>
      <c r="I456" s="72" t="str">
        <f>IFERROR(__xludf.DUMMYFUNCTION("""COMPUTED_VALUE"""),"PMS")</f>
        <v>PMS</v>
      </c>
      <c r="J456" s="72" t="str">
        <f>IFERROR(__xludf.DUMMYFUNCTION("""COMPUTED_VALUE"""),"PMS")</f>
        <v>PMS</v>
      </c>
      <c r="K456" s="72" t="str">
        <f>IFERROR(__xludf.DUMMYFUNCTION("""COMPUTED_VALUE"""),"UPON TYM CAMPAIGN: SUBJECT FOR FIRST PMS")</f>
        <v>UPON TYM CAMPAIGN: SUBJECT FOR FIRST PMS</v>
      </c>
      <c r="L456" s="72" t="str">
        <f>IFERROR(__xludf.DUMMYFUNCTION("""COMPUTED_VALUE"""),"CLOSED")</f>
        <v>CLOSED</v>
      </c>
      <c r="M456" s="2"/>
      <c r="N456" s="2"/>
      <c r="O456" s="2" t="str">
        <f>IFERROR(__xludf.DUMMYFUNCTION("""COMPUTED_VALUE"""),"N/A")</f>
        <v>N/A</v>
      </c>
      <c r="P456" s="2"/>
      <c r="Q456" s="2"/>
      <c r="R456" s="74">
        <f>IFERROR(__xludf.DUMMYFUNCTION("""COMPUTED_VALUE"""),45613.0)</f>
        <v>45613</v>
      </c>
      <c r="S456" s="2" t="str">
        <f>IFERROR(__xludf.DUMMYFUNCTION("""COMPUTED_VALUE"""),"N/A")</f>
        <v>N/A</v>
      </c>
      <c r="T456" s="73" t="str">
        <f>IFERROR(__xludf.DUMMYFUNCTION("""COMPUTED_VALUE""")," N/A ")</f>
        <v>N/A</v>
      </c>
      <c r="U456" s="73" t="str">
        <f>IFERROR(__xludf.DUMMYFUNCTION("""COMPUTED_VALUE""")," NO CHARGE ")</f>
        <v>NO CHARGE</v>
      </c>
      <c r="V456" s="2"/>
      <c r="W456" s="2" t="str">
        <f>IFERROR(__xludf.DUMMYFUNCTION("""COMPUTED_VALUE"""),"N/A")</f>
        <v>N/A</v>
      </c>
      <c r="X456" s="2" t="str">
        <f>IFERROR(__xludf.DUMMYFUNCTION("""COMPUTED_VALUE"""),"N/A")</f>
        <v>N/A</v>
      </c>
      <c r="Y456" s="2"/>
      <c r="Z456" s="2"/>
      <c r="AA456" s="2"/>
      <c r="AB456" s="2"/>
      <c r="AC456" s="2"/>
      <c r="AD456" s="2"/>
      <c r="AE456" s="2"/>
      <c r="AF456" s="2"/>
      <c r="AG456" s="2"/>
      <c r="AH456" s="2"/>
      <c r="AI456" s="2"/>
      <c r="AJ456" s="2" t="str">
        <f>IFERROR(__xludf.DUMMYFUNCTION("""COMPUTED_VALUE"""),"Bamban")</f>
        <v>Bamban</v>
      </c>
      <c r="AK456" s="2" t="str">
        <f>IFERROR(__xludf.DUMMYFUNCTION("""COMPUTED_VALUE"""),"San Clemente")</f>
        <v>San Clemente</v>
      </c>
      <c r="AL456" s="2" t="str">
        <f>IFERROR(__xludf.DUMMYFUNCTION("""COMPUTED_VALUE"""),"Tarlac")</f>
        <v>Tarlac</v>
      </c>
      <c r="AM456" s="2">
        <f>IFERROR(__xludf.DUMMYFUNCTION("""COMPUTED_VALUE"""),3.0)</f>
        <v>3</v>
      </c>
      <c r="AN456" s="2" t="str">
        <f>IFERROR(__xludf.DUMMYFUNCTION("""COMPUTED_VALUE"""),"RCEF 23-09-21 Rebidding")</f>
        <v>RCEF 23-09-21 Rebidding</v>
      </c>
      <c r="AO456" s="2">
        <f>IFERROR(__xludf.DUMMYFUNCTION("""COMPUTED_VALUE"""),3.0)</f>
        <v>3</v>
      </c>
      <c r="AP456" s="2"/>
      <c r="AQ456" s="2"/>
      <c r="AR456" s="2"/>
      <c r="AS456" s="2"/>
      <c r="AT456" s="2"/>
      <c r="AU456" s="2"/>
      <c r="AV456" s="2"/>
      <c r="AW456" s="2"/>
      <c r="AX456" s="2"/>
      <c r="AY456" s="2"/>
      <c r="AZ456" s="2"/>
      <c r="BA456" s="2"/>
      <c r="BB456" s="2"/>
    </row>
    <row r="457">
      <c r="A457" s="2">
        <f>IFERROR(__xludf.DUMMYFUNCTION("""COMPUTED_VALUE"""),453.0)</f>
        <v>453</v>
      </c>
      <c r="B457" s="2" t="str">
        <f>IFERROR(__xludf.DUMMYFUNCTION("""COMPUTED_VALUE"""),"COMPLETED")</f>
        <v>COMPLETED</v>
      </c>
      <c r="C457" s="74">
        <f>IFERROR(__xludf.DUMMYFUNCTION("""COMPUTED_VALUE"""),45544.0)</f>
        <v>45544</v>
      </c>
      <c r="D457" s="71" t="str">
        <f>IFERROR(__xludf.DUMMYFUNCTION("""COMPUTED_VALUE"""),"NAGMISAHAN FARMERS ASSOCIATION")</f>
        <v>NAGMISAHAN FARMERS ASSOCIATION</v>
      </c>
      <c r="E457" s="71" t="str">
        <f>IFERROR(__xludf.DUMMYFUNCTION("""COMPUTED_VALUE"""),"Nagmisahan, Cuyapo, NUEVA ECIJA")</f>
        <v>Nagmisahan, Cuyapo, NUEVA ECIJA</v>
      </c>
      <c r="F457" s="2" t="str">
        <f>IFERROR(__xludf.DUMMYFUNCTION("""COMPUTED_VALUE"""),"Dyna F. Castillo")</f>
        <v>Dyna F. Castillo</v>
      </c>
      <c r="G457" s="2" t="str">
        <f>IFERROR(__xludf.DUMMYFUNCTION("""COMPUTED_VALUE"""),"0915 976 2051")</f>
        <v>0915 976 2051</v>
      </c>
      <c r="H457" s="2">
        <f>IFERROR(__xludf.DUMMYFUNCTION("""COMPUTED_VALUE"""),43.2)</f>
        <v>43.2</v>
      </c>
      <c r="I457" s="72" t="str">
        <f>IFERROR(__xludf.DUMMYFUNCTION("""COMPUTED_VALUE"""),"PMS")</f>
        <v>PMS</v>
      </c>
      <c r="J457" s="72" t="str">
        <f>IFERROR(__xludf.DUMMYFUNCTION("""COMPUTED_VALUE"""),"PMS")</f>
        <v>PMS</v>
      </c>
      <c r="K457" s="72" t="str">
        <f>IFERROR(__xludf.DUMMYFUNCTION("""COMPUTED_VALUE"""),"UPON TYM CAMPAIGN: SUBJECT FOR FIRST PMS")</f>
        <v>UPON TYM CAMPAIGN: SUBJECT FOR FIRST PMS</v>
      </c>
      <c r="L457" s="72" t="str">
        <f>IFERROR(__xludf.DUMMYFUNCTION("""COMPUTED_VALUE"""),"CANCELLED")</f>
        <v>CANCELLED</v>
      </c>
      <c r="M457" s="2"/>
      <c r="N457" s="2"/>
      <c r="O457" s="2" t="str">
        <f>IFERROR(__xludf.DUMMYFUNCTION("""COMPUTED_VALUE"""),"CANCELLED")</f>
        <v>CANCELLED</v>
      </c>
      <c r="P457" s="2"/>
      <c r="Q457" s="2"/>
      <c r="R457" s="74">
        <f>IFERROR(__xludf.DUMMYFUNCTION("""COMPUTED_VALUE"""),45565.0)</f>
        <v>45565</v>
      </c>
      <c r="S457" s="2" t="str">
        <f>IFERROR(__xludf.DUMMYFUNCTION("""COMPUTED_VALUE"""),"JHP/ACS")</f>
        <v>JHP/ACS</v>
      </c>
      <c r="T457" s="73" t="str">
        <f>IFERROR(__xludf.DUMMYFUNCTION("""COMPUTED_VALUE""")," N/A ")</f>
        <v>N/A</v>
      </c>
      <c r="U457" s="73" t="str">
        <f>IFERROR(__xludf.DUMMYFUNCTION("""COMPUTED_VALUE""")," NO CHARGE ")</f>
        <v>NO CHARGE</v>
      </c>
      <c r="V457" s="2"/>
      <c r="W457" s="2" t="str">
        <f>IFERROR(__xludf.DUMMYFUNCTION("""COMPUTED_VALUE"""),"N/A")</f>
        <v>N/A</v>
      </c>
      <c r="X457" s="2" t="str">
        <f>IFERROR(__xludf.DUMMYFUNCTION("""COMPUTED_VALUE"""),"N/A")</f>
        <v>N/A</v>
      </c>
      <c r="Y457" s="2"/>
      <c r="Z457" s="2"/>
      <c r="AA457" s="2"/>
      <c r="AB457" s="2"/>
      <c r="AC457" s="2"/>
      <c r="AD457" s="2"/>
      <c r="AE457" s="2"/>
      <c r="AF457" s="2"/>
      <c r="AG457" s="2"/>
      <c r="AH457" s="2"/>
      <c r="AI457" s="2"/>
      <c r="AJ457" s="2" t="str">
        <f>IFERROR(__xludf.DUMMYFUNCTION("""COMPUTED_VALUE"""),"Nagmisahan")</f>
        <v>Nagmisahan</v>
      </c>
      <c r="AK457" s="2" t="str">
        <f>IFERROR(__xludf.DUMMYFUNCTION("""COMPUTED_VALUE"""),"Cuyapo")</f>
        <v>Cuyapo</v>
      </c>
      <c r="AL457" s="2" t="str">
        <f>IFERROR(__xludf.DUMMYFUNCTION("""COMPUTED_VALUE"""),"Nueva Ecija")</f>
        <v>Nueva Ecija</v>
      </c>
      <c r="AM457" s="2">
        <f>IFERROR(__xludf.DUMMYFUNCTION("""COMPUTED_VALUE"""),3.0)</f>
        <v>3</v>
      </c>
      <c r="AN457" s="2" t="str">
        <f>IFERROR(__xludf.DUMMYFUNCTION("""COMPUTED_VALUE"""),"RCEF 23-09-21 Rebidding")</f>
        <v>RCEF 23-09-21 Rebidding</v>
      </c>
      <c r="AO457" s="2">
        <f>IFERROR(__xludf.DUMMYFUNCTION("""COMPUTED_VALUE"""),3.0)</f>
        <v>3</v>
      </c>
      <c r="AP457" s="2"/>
      <c r="AQ457" s="2"/>
      <c r="AR457" s="2"/>
      <c r="AS457" s="2"/>
      <c r="AT457" s="2"/>
      <c r="AU457" s="2"/>
      <c r="AV457" s="2"/>
      <c r="AW457" s="2"/>
      <c r="AX457" s="2"/>
      <c r="AY457" s="2"/>
      <c r="AZ457" s="2"/>
      <c r="BA457" s="2"/>
      <c r="BB457" s="2"/>
    </row>
    <row r="458">
      <c r="A458" s="2">
        <f>IFERROR(__xludf.DUMMYFUNCTION("""COMPUTED_VALUE"""),454.0)</f>
        <v>454</v>
      </c>
      <c r="B458" s="2" t="str">
        <f>IFERROR(__xludf.DUMMYFUNCTION("""COMPUTED_VALUE"""),"COMPLETED")</f>
        <v>COMPLETED</v>
      </c>
      <c r="C458" s="74">
        <f>IFERROR(__xludf.DUMMYFUNCTION("""COMPUTED_VALUE"""),45544.0)</f>
        <v>45544</v>
      </c>
      <c r="D458" s="71" t="str">
        <f>IFERROR(__xludf.DUMMYFUNCTION("""COMPUTED_VALUE"""),"SAVERS FARMERS ASSOCIATION, INC.")</f>
        <v>SAVERS FARMERS ASSOCIATION, INC.</v>
      </c>
      <c r="E458" s="71" t="str">
        <f>IFERROR(__xludf.DUMMYFUNCTION("""COMPUTED_VALUE"""),"Saverona, Talugtug, NUEVA ECIJA")</f>
        <v>Saverona, Talugtug, NUEVA ECIJA</v>
      </c>
      <c r="F458" s="2" t="str">
        <f>IFERROR(__xludf.DUMMYFUNCTION("""COMPUTED_VALUE"""),"Rudy M. Boado")</f>
        <v>Rudy M. Boado</v>
      </c>
      <c r="G458" s="2" t="str">
        <f>IFERROR(__xludf.DUMMYFUNCTION("""COMPUTED_VALUE"""),"0936-239-0565")</f>
        <v>0936-239-0565</v>
      </c>
      <c r="H458" s="2">
        <f>IFERROR(__xludf.DUMMYFUNCTION("""COMPUTED_VALUE"""),188.5)</f>
        <v>188.5</v>
      </c>
      <c r="I458" s="72" t="str">
        <f>IFERROR(__xludf.DUMMYFUNCTION("""COMPUTED_VALUE"""),"PMS")</f>
        <v>PMS</v>
      </c>
      <c r="J458" s="72" t="str">
        <f>IFERROR(__xludf.DUMMYFUNCTION("""COMPUTED_VALUE"""),"PMS")</f>
        <v>PMS</v>
      </c>
      <c r="K458" s="72" t="str">
        <f>IFERROR(__xludf.DUMMYFUNCTION("""COMPUTED_VALUE"""),"UPON TYM CAMPAIGN: SUBJECT FOR FIRST PMS")</f>
        <v>UPON TYM CAMPAIGN: SUBJECT FOR FIRST PMS</v>
      </c>
      <c r="L458" s="72" t="str">
        <f>IFERROR(__xludf.DUMMYFUNCTION("""COMPUTED_VALUE"""),"CANCELLED")</f>
        <v>CANCELLED</v>
      </c>
      <c r="M458" s="2"/>
      <c r="N458" s="2"/>
      <c r="O458" s="2" t="str">
        <f>IFERROR(__xludf.DUMMYFUNCTION("""COMPUTED_VALUE"""),"CANCELLED")</f>
        <v>CANCELLED</v>
      </c>
      <c r="P458" s="2"/>
      <c r="Q458" s="2"/>
      <c r="R458" s="74">
        <f>IFERROR(__xludf.DUMMYFUNCTION("""COMPUTED_VALUE"""),45565.0)</f>
        <v>45565</v>
      </c>
      <c r="S458" s="2" t="str">
        <f>IFERROR(__xludf.DUMMYFUNCTION("""COMPUTED_VALUE"""),"JHP/ACS")</f>
        <v>JHP/ACS</v>
      </c>
      <c r="T458" s="73" t="str">
        <f>IFERROR(__xludf.DUMMYFUNCTION("""COMPUTED_VALUE""")," N/A ")</f>
        <v>N/A</v>
      </c>
      <c r="U458" s="73" t="str">
        <f>IFERROR(__xludf.DUMMYFUNCTION("""COMPUTED_VALUE""")," NO CHARGE ")</f>
        <v>NO CHARGE</v>
      </c>
      <c r="V458" s="2"/>
      <c r="W458" s="2" t="str">
        <f>IFERROR(__xludf.DUMMYFUNCTION("""COMPUTED_VALUE"""),"N/A")</f>
        <v>N/A</v>
      </c>
      <c r="X458" s="2" t="str">
        <f>IFERROR(__xludf.DUMMYFUNCTION("""COMPUTED_VALUE"""),"N/A")</f>
        <v>N/A</v>
      </c>
      <c r="Y458" s="2"/>
      <c r="Z458" s="2"/>
      <c r="AA458" s="2"/>
      <c r="AB458" s="2"/>
      <c r="AC458" s="2"/>
      <c r="AD458" s="2"/>
      <c r="AE458" s="2"/>
      <c r="AF458" s="2"/>
      <c r="AG458" s="2"/>
      <c r="AH458" s="2"/>
      <c r="AI458" s="2"/>
      <c r="AJ458" s="2" t="str">
        <f>IFERROR(__xludf.DUMMYFUNCTION("""COMPUTED_VALUE"""),"Saverona")</f>
        <v>Saverona</v>
      </c>
      <c r="AK458" s="2" t="str">
        <f>IFERROR(__xludf.DUMMYFUNCTION("""COMPUTED_VALUE"""),"Talugtug")</f>
        <v>Talugtug</v>
      </c>
      <c r="AL458" s="2" t="str">
        <f>IFERROR(__xludf.DUMMYFUNCTION("""COMPUTED_VALUE"""),"Nueva Ecija")</f>
        <v>Nueva Ecija</v>
      </c>
      <c r="AM458" s="2">
        <f>IFERROR(__xludf.DUMMYFUNCTION("""COMPUTED_VALUE"""),3.0)</f>
        <v>3</v>
      </c>
      <c r="AN458" s="2" t="str">
        <f>IFERROR(__xludf.DUMMYFUNCTION("""COMPUTED_VALUE"""),"RCEF 23-09-21 Rebidding")</f>
        <v>RCEF 23-09-21 Rebidding</v>
      </c>
      <c r="AO458" s="2">
        <f>IFERROR(__xludf.DUMMYFUNCTION("""COMPUTED_VALUE"""),3.0)</f>
        <v>3</v>
      </c>
      <c r="AP458" s="2"/>
      <c r="AQ458" s="2"/>
      <c r="AR458" s="2"/>
      <c r="AS458" s="2"/>
      <c r="AT458" s="2"/>
      <c r="AU458" s="2"/>
      <c r="AV458" s="2"/>
      <c r="AW458" s="2"/>
      <c r="AX458" s="2"/>
      <c r="AY458" s="2"/>
      <c r="AZ458" s="2"/>
      <c r="BA458" s="2"/>
      <c r="BB458" s="2"/>
    </row>
    <row r="459">
      <c r="A459" s="2">
        <f>IFERROR(__xludf.DUMMYFUNCTION("""COMPUTED_VALUE"""),455.0)</f>
        <v>455</v>
      </c>
      <c r="B459" s="2" t="str">
        <f>IFERROR(__xludf.DUMMYFUNCTION("""COMPUTED_VALUE"""),"COMPLETED")</f>
        <v>COMPLETED</v>
      </c>
      <c r="C459" s="74">
        <f>IFERROR(__xludf.DUMMYFUNCTION("""COMPUTED_VALUE"""),45544.0)</f>
        <v>45544</v>
      </c>
      <c r="D459" s="71" t="str">
        <f>IFERROR(__xludf.DUMMYFUNCTION("""COMPUTED_VALUE"""),"Municipal Local Government unit of Talugtug")</f>
        <v>Municipal Local Government unit of Talugtug</v>
      </c>
      <c r="E459" s="71" t="str">
        <f>IFERROR(__xludf.DUMMYFUNCTION("""COMPUTED_VALUE"""),", Talugtug, NUEVA ECIJA")</f>
        <v>, Talugtug, NUEVA ECIJA</v>
      </c>
      <c r="F459" s="2" t="str">
        <f>IFERROR(__xludf.DUMMYFUNCTION("""COMPUTED_VALUE"""),"Pacifico B. Monta")</f>
        <v>Pacifico B. Monta</v>
      </c>
      <c r="G459" s="2" t="str">
        <f>IFERROR(__xludf.DUMMYFUNCTION("""COMPUTED_VALUE"""),"0917-565-3351")</f>
        <v>0917-565-3351</v>
      </c>
      <c r="H459" s="2">
        <f>IFERROR(__xludf.DUMMYFUNCTION("""COMPUTED_VALUE"""),148.9)</f>
        <v>148.9</v>
      </c>
      <c r="I459" s="72" t="str">
        <f>IFERROR(__xludf.DUMMYFUNCTION("""COMPUTED_VALUE"""),"PMS")</f>
        <v>PMS</v>
      </c>
      <c r="J459" s="72" t="str">
        <f>IFERROR(__xludf.DUMMYFUNCTION("""COMPUTED_VALUE"""),"PMS")</f>
        <v>PMS</v>
      </c>
      <c r="K459" s="72" t="str">
        <f>IFERROR(__xludf.DUMMYFUNCTION("""COMPUTED_VALUE"""),"UPON TYM CAMPAIGN: SUBJECT FOR FIRST PMS")</f>
        <v>UPON TYM CAMPAIGN: SUBJECT FOR FIRST PMS</v>
      </c>
      <c r="L459" s="72" t="str">
        <f>IFERROR(__xludf.DUMMYFUNCTION("""COMPUTED_VALUE"""),"CANCELLED")</f>
        <v>CANCELLED</v>
      </c>
      <c r="M459" s="2"/>
      <c r="N459" s="2"/>
      <c r="O459" s="2" t="str">
        <f>IFERROR(__xludf.DUMMYFUNCTION("""COMPUTED_VALUE"""),"CANCELLED")</f>
        <v>CANCELLED</v>
      </c>
      <c r="P459" s="2"/>
      <c r="Q459" s="2"/>
      <c r="R459" s="74">
        <f>IFERROR(__xludf.DUMMYFUNCTION("""COMPUTED_VALUE"""),45565.0)</f>
        <v>45565</v>
      </c>
      <c r="S459" s="2" t="str">
        <f>IFERROR(__xludf.DUMMYFUNCTION("""COMPUTED_VALUE"""),"JHP/ACS")</f>
        <v>JHP/ACS</v>
      </c>
      <c r="T459" s="73" t="str">
        <f>IFERROR(__xludf.DUMMYFUNCTION("""COMPUTED_VALUE""")," N/A ")</f>
        <v>N/A</v>
      </c>
      <c r="U459" s="73" t="str">
        <f>IFERROR(__xludf.DUMMYFUNCTION("""COMPUTED_VALUE""")," NO CHARGE ")</f>
        <v>NO CHARGE</v>
      </c>
      <c r="V459" s="2"/>
      <c r="W459" s="2" t="str">
        <f>IFERROR(__xludf.DUMMYFUNCTION("""COMPUTED_VALUE"""),"N/A")</f>
        <v>N/A</v>
      </c>
      <c r="X459" s="2" t="str">
        <f>IFERROR(__xludf.DUMMYFUNCTION("""COMPUTED_VALUE"""),"N/A")</f>
        <v>N/A</v>
      </c>
      <c r="Y459" s="2"/>
      <c r="Z459" s="2"/>
      <c r="AA459" s="2"/>
      <c r="AB459" s="2"/>
      <c r="AC459" s="2"/>
      <c r="AD459" s="2"/>
      <c r="AE459" s="2"/>
      <c r="AF459" s="2"/>
      <c r="AG459" s="2"/>
      <c r="AH459" s="2"/>
      <c r="AI459" s="2"/>
      <c r="AJ459" s="2" t="str">
        <f>IFERROR(__xludf.DUMMYFUNCTION("""COMPUTED_VALUE"""),"")</f>
        <v/>
      </c>
      <c r="AK459" s="2" t="str">
        <f>IFERROR(__xludf.DUMMYFUNCTION("""COMPUTED_VALUE"""),"Talugtug")</f>
        <v>Talugtug</v>
      </c>
      <c r="AL459" s="2" t="str">
        <f>IFERROR(__xludf.DUMMYFUNCTION("""COMPUTED_VALUE"""),"Nueva Ecija")</f>
        <v>Nueva Ecija</v>
      </c>
      <c r="AM459" s="2">
        <f>IFERROR(__xludf.DUMMYFUNCTION("""COMPUTED_VALUE"""),3.0)</f>
        <v>3</v>
      </c>
      <c r="AN459" s="2" t="str">
        <f>IFERROR(__xludf.DUMMYFUNCTION("""COMPUTED_VALUE"""),"RCEF 23-09-21 Rebidding")</f>
        <v>RCEF 23-09-21 Rebidding</v>
      </c>
      <c r="AO459" s="2">
        <f>IFERROR(__xludf.DUMMYFUNCTION("""COMPUTED_VALUE"""),3.0)</f>
        <v>3</v>
      </c>
      <c r="AP459" s="2"/>
      <c r="AQ459" s="2"/>
      <c r="AR459" s="2"/>
      <c r="AS459" s="2"/>
      <c r="AT459" s="2"/>
      <c r="AU459" s="2"/>
      <c r="AV459" s="2"/>
      <c r="AW459" s="2"/>
      <c r="AX459" s="2"/>
      <c r="AY459" s="2"/>
      <c r="AZ459" s="2"/>
      <c r="BA459" s="2"/>
      <c r="BB459" s="2"/>
    </row>
    <row r="460">
      <c r="A460" s="2">
        <f>IFERROR(__xludf.DUMMYFUNCTION("""COMPUTED_VALUE"""),456.0)</f>
        <v>456</v>
      </c>
      <c r="B460" s="2" t="str">
        <f>IFERROR(__xludf.DUMMYFUNCTION("""COMPUTED_VALUE"""),"COMPLETED")</f>
        <v>COMPLETED</v>
      </c>
      <c r="C460" s="74">
        <f>IFERROR(__xludf.DUMMYFUNCTION("""COMPUTED_VALUE"""),45545.0)</f>
        <v>45545</v>
      </c>
      <c r="D460" s="71" t="str">
        <f>IFERROR(__xludf.DUMMYFUNCTION("""COMPUTED_VALUE"""),"ALAMINOS CITY AGRICULTURE COOPERATIVE")</f>
        <v>ALAMINOS CITY AGRICULTURE COOPERATIVE</v>
      </c>
      <c r="E460" s="71" t="str">
        <f>IFERROR(__xludf.DUMMYFUNCTION("""COMPUTED_VALUE"""),"San Antonio (R. Magsaysay), Alaminos City, PANGASINAN")</f>
        <v>San Antonio (R. Magsaysay), Alaminos City, PANGASINAN</v>
      </c>
      <c r="F460" s="2" t="str">
        <f>IFERROR(__xludf.DUMMYFUNCTION("""COMPUTED_VALUE"""),"Letecia Dela Cruz")</f>
        <v>Letecia Dela Cruz</v>
      </c>
      <c r="G460" s="2">
        <f>IFERROR(__xludf.DUMMYFUNCTION("""COMPUTED_VALUE"""),9.157489034E9)</f>
        <v>9157489034</v>
      </c>
      <c r="H460" s="2">
        <f>IFERROR(__xludf.DUMMYFUNCTION("""COMPUTED_VALUE"""),342.9)</f>
        <v>342.9</v>
      </c>
      <c r="I460" s="72" t="str">
        <f>IFERROR(__xludf.DUMMYFUNCTION("""COMPUTED_VALUE"""),"REPAIR - TRACTOR")</f>
        <v>REPAIR - TRACTOR</v>
      </c>
      <c r="J460" s="72" t="str">
        <f>IFERROR(__xludf.DUMMYFUNCTION("""COMPUTED_VALUE"""),"RADIATOR")</f>
        <v>RADIATOR</v>
      </c>
      <c r="K460" s="72" t="str">
        <f>IFERROR(__xludf.DUMMYFUNCTION("""COMPUTED_VALUE"""),"KFS: PUMUTOK ANG RADIATOR
LBA: Nagcrack yung plastic sa cover ng radiator..
Nag 1st PMS ng hindi na din po daw sinabi sa atin at sila na lang nag PMS
")</f>
        <v>KFS: PUMUTOK ANG RADIATOR
LBA: Nagcrack yung plastic sa cover ng radiator..
Nag 1st PMS ng hindi na din po daw sinabi sa atin at sila na lang nag PMS
</v>
      </c>
      <c r="L460" s="72" t="str">
        <f>IFERROR(__xludf.DUMMYFUNCTION("""COMPUTED_VALUE"""),"EGT: REPLACED RADIATOR")</f>
        <v>EGT: REPLACED RADIATOR</v>
      </c>
      <c r="M460" s="2"/>
      <c r="N460" s="2" t="str">
        <f>IFERROR(__xludf.DUMMYFUNCTION("""COMPUTED_VALUE"""),"PART USED: RADIATOR")</f>
        <v>PART USED: RADIATOR</v>
      </c>
      <c r="O460" s="2">
        <f>IFERROR(__xludf.DUMMYFUNCTION("""COMPUTED_VALUE"""),1302.0)</f>
        <v>1302</v>
      </c>
      <c r="P460" s="2" t="str">
        <f>IFERROR(__xludf.DUMMYFUNCTION("""COMPUTED_VALUE"""),"1302-ALAMINOS CITY AGRICULTURE COOPERATIVE.pdf")</f>
        <v>1302-ALAMINOS CITY AGRICULTURE COOPERATIVE.pdf</v>
      </c>
      <c r="Q460" s="2" t="str">
        <f>IFERROR(__xludf.DUMMYFUNCTION("""COMPUTED_VALUE"""),"Y")</f>
        <v>Y</v>
      </c>
      <c r="R460" s="74">
        <f>IFERROR(__xludf.DUMMYFUNCTION("""COMPUTED_VALUE"""),45548.0)</f>
        <v>45548</v>
      </c>
      <c r="S460" s="2" t="str">
        <f>IFERROR(__xludf.DUMMYFUNCTION("""COMPUTED_VALUE"""),"EGT")</f>
        <v>EGT</v>
      </c>
      <c r="T460" s="73">
        <f>IFERROR(__xludf.DUMMYFUNCTION("""COMPUTED_VALUE"""),14000.0)</f>
        <v>14000</v>
      </c>
      <c r="U460" s="73" t="str">
        <f>IFERROR(__xludf.DUMMYFUNCTION("""COMPUTED_VALUE""")," REMITTED ")</f>
        <v>REMITTED</v>
      </c>
      <c r="V460" s="2"/>
      <c r="W460" s="2">
        <f>IFERROR(__xludf.DUMMYFUNCTION("""COMPUTED_VALUE"""),1309.0)</f>
        <v>1309</v>
      </c>
      <c r="X460" s="2">
        <f>IFERROR(__xludf.DUMMYFUNCTION("""COMPUTED_VALUE"""),1214.0)</f>
        <v>1214</v>
      </c>
      <c r="Y460" s="2"/>
      <c r="Z460" s="2"/>
      <c r="AA460" s="2"/>
      <c r="AB460" s="2"/>
      <c r="AC460" s="2"/>
      <c r="AD460" s="2"/>
      <c r="AE460" s="2"/>
      <c r="AF460" s="2"/>
      <c r="AG460" s="2"/>
      <c r="AH460" s="2"/>
      <c r="AI460" s="2"/>
      <c r="AJ460" s="2" t="str">
        <f>IFERROR(__xludf.DUMMYFUNCTION("""COMPUTED_VALUE"""),"San Antonio (R. Magsaysay)")</f>
        <v>San Antonio (R. Magsaysay)</v>
      </c>
      <c r="AK460" s="2" t="str">
        <f>IFERROR(__xludf.DUMMYFUNCTION("""COMPUTED_VALUE"""),"Alaminos City")</f>
        <v>Alaminos City</v>
      </c>
      <c r="AL460" s="2" t="str">
        <f>IFERROR(__xludf.DUMMYFUNCTION("""COMPUTED_VALUE"""),"Pangasinan")</f>
        <v>Pangasinan</v>
      </c>
      <c r="AM460" s="2">
        <f>IFERROR(__xludf.DUMMYFUNCTION("""COMPUTED_VALUE"""),1.0)</f>
        <v>1</v>
      </c>
      <c r="AN460" s="2" t="str">
        <f>IFERROR(__xludf.DUMMYFUNCTION("""COMPUTED_VALUE"""),"RCEF 23-09-21 Rebidding")</f>
        <v>RCEF 23-09-21 Rebidding</v>
      </c>
      <c r="AO460" s="2">
        <f>IFERROR(__xludf.DUMMYFUNCTION("""COMPUTED_VALUE"""),9.0)</f>
        <v>9</v>
      </c>
      <c r="AP460" s="2"/>
      <c r="AQ460" s="2"/>
      <c r="AR460" s="2"/>
      <c r="AS460" s="2"/>
      <c r="AT460" s="2"/>
      <c r="AU460" s="2"/>
      <c r="AV460" s="2"/>
      <c r="AW460" s="2"/>
      <c r="AX460" s="2"/>
      <c r="AY460" s="2"/>
      <c r="AZ460" s="2"/>
      <c r="BA460" s="2"/>
      <c r="BB460" s="2"/>
    </row>
    <row r="461">
      <c r="A461" s="2">
        <f>IFERROR(__xludf.DUMMYFUNCTION("""COMPUTED_VALUE"""),457.0)</f>
        <v>457</v>
      </c>
      <c r="B461" s="2" t="str">
        <f>IFERROR(__xludf.DUMMYFUNCTION("""COMPUTED_VALUE"""),"COMPLETED")</f>
        <v>COMPLETED</v>
      </c>
      <c r="C461" s="74">
        <f>IFERROR(__xludf.DUMMYFUNCTION("""COMPUTED_VALUE"""),45545.0)</f>
        <v>45545</v>
      </c>
      <c r="D461" s="71" t="str">
        <f>IFERROR(__xludf.DUMMYFUNCTION("""COMPUTED_VALUE"""),"CALUBANG FARMERS CLUSTER ASSOCIATION")</f>
        <v>CALUBANG FARMERS CLUSTER ASSOCIATION</v>
      </c>
      <c r="E461" s="71" t="str">
        <f>IFERROR(__xludf.DUMMYFUNCTION("""COMPUTED_VALUE"""),"Calubang, Ilog, NEGROS OCCIDENTAL")</f>
        <v>Calubang, Ilog, NEGROS OCCIDENTAL</v>
      </c>
      <c r="F461" s="2" t="str">
        <f>IFERROR(__xludf.DUMMYFUNCTION("""COMPUTED_VALUE"""),"dandy v. Balinas Sr ")</f>
        <v>dandy v. Balinas Sr </v>
      </c>
      <c r="G461" s="2" t="str">
        <f>IFERROR(__xludf.DUMMYFUNCTION("""COMPUTED_VALUE"""),"0948-443-1137")</f>
        <v>0948-443-1137</v>
      </c>
      <c r="H461" s="2">
        <f>IFERROR(__xludf.DUMMYFUNCTION("""COMPUTED_VALUE"""),49.0)</f>
        <v>49</v>
      </c>
      <c r="I461" s="72" t="str">
        <f>IFERROR(__xludf.DUMMYFUNCTION("""COMPUTED_VALUE"""),"PMS")</f>
        <v>PMS</v>
      </c>
      <c r="J461" s="72" t="str">
        <f>IFERROR(__xludf.DUMMYFUNCTION("""COMPUTED_VALUE"""),"PMS")</f>
        <v>PMS</v>
      </c>
      <c r="K461" s="72" t="str">
        <f>IFERROR(__xludf.DUMMYFUNCTION("""COMPUTED_VALUE"""),"CCB; FOR FIRST PMS: SELF PMS")</f>
        <v>CCB; FOR FIRST PMS: SELF PMS</v>
      </c>
      <c r="L461" s="72" t="str">
        <f>IFERROR(__xludf.DUMMYFUNCTION("""COMPUTED_VALUE"""),"CALL:SEND AGREEMENT:FB: CHING KIE: AGREEMENT SENT: SIGNED FOR PRINT")</f>
        <v>CALL:SEND AGREEMENT:FB: CHING KIE: AGREEMENT SENT: SIGNED FOR PRINT</v>
      </c>
      <c r="M461" s="2"/>
      <c r="N461" s="2"/>
      <c r="O461" s="2" t="str">
        <f>IFERROR(__xludf.DUMMYFUNCTION("""COMPUTED_VALUE"""),"N/A")</f>
        <v>N/A</v>
      </c>
      <c r="P461" s="2"/>
      <c r="Q461" s="2"/>
      <c r="R461" s="74">
        <f>IFERROR(__xludf.DUMMYFUNCTION("""COMPUTED_VALUE"""),45550.0)</f>
        <v>45550</v>
      </c>
      <c r="S461" s="2" t="str">
        <f>IFERROR(__xludf.DUMMYFUNCTION("""COMPUTED_VALUE"""),"MYKEE")</f>
        <v>MYKEE</v>
      </c>
      <c r="T461" s="73" t="str">
        <f>IFERROR(__xludf.DUMMYFUNCTION("""COMPUTED_VALUE""")," N/A ")</f>
        <v>N/A</v>
      </c>
      <c r="U461" s="73" t="str">
        <f>IFERROR(__xludf.DUMMYFUNCTION("""COMPUTED_VALUE""")," NO CHARGE ")</f>
        <v>NO CHARGE</v>
      </c>
      <c r="V461" s="2">
        <f>IFERROR(__xludf.DUMMYFUNCTION("""COMPUTED_VALUE"""),1301.0)</f>
        <v>1301</v>
      </c>
      <c r="W461" s="2" t="str">
        <f>IFERROR(__xludf.DUMMYFUNCTION("""COMPUTED_VALUE"""),"N/A")</f>
        <v>N/A</v>
      </c>
      <c r="X461" s="2" t="str">
        <f>IFERROR(__xludf.DUMMYFUNCTION("""COMPUTED_VALUE"""),"N/A")</f>
        <v>N/A</v>
      </c>
      <c r="Y461" s="2"/>
      <c r="Z461" s="2"/>
      <c r="AA461" s="2"/>
      <c r="AB461" s="2"/>
      <c r="AC461" s="2"/>
      <c r="AD461" s="2"/>
      <c r="AE461" s="2"/>
      <c r="AF461" s="2"/>
      <c r="AG461" s="2"/>
      <c r="AH461" s="2"/>
      <c r="AI461" s="2"/>
      <c r="AJ461" s="2" t="str">
        <f>IFERROR(__xludf.DUMMYFUNCTION("""COMPUTED_VALUE"""),"Calubang")</f>
        <v>Calubang</v>
      </c>
      <c r="AK461" s="2" t="str">
        <f>IFERROR(__xludf.DUMMYFUNCTION("""COMPUTED_VALUE"""),"Ilog")</f>
        <v>Ilog</v>
      </c>
      <c r="AL461" s="2" t="str">
        <f>IFERROR(__xludf.DUMMYFUNCTION("""COMPUTED_VALUE"""),"Negros Occidental")</f>
        <v>Negros Occidental</v>
      </c>
      <c r="AM461" s="2">
        <f>IFERROR(__xludf.DUMMYFUNCTION("""COMPUTED_VALUE"""),6.0)</f>
        <v>6</v>
      </c>
      <c r="AN461" s="2" t="str">
        <f>IFERROR(__xludf.DUMMYFUNCTION("""COMPUTED_VALUE"""),"RCEF 23-09-21 Rebidding")</f>
        <v>RCEF 23-09-21 Rebidding</v>
      </c>
      <c r="AO461" s="2">
        <f>IFERROR(__xludf.DUMMYFUNCTION("""COMPUTED_VALUE"""),4.0)</f>
        <v>4</v>
      </c>
      <c r="AP461" s="2"/>
      <c r="AQ461" s="2"/>
      <c r="AR461" s="2"/>
      <c r="AS461" s="2"/>
      <c r="AT461" s="2"/>
      <c r="AU461" s="2"/>
      <c r="AV461" s="2"/>
      <c r="AW461" s="2"/>
      <c r="AX461" s="2"/>
      <c r="AY461" s="2"/>
      <c r="AZ461" s="2"/>
      <c r="BA461" s="2"/>
      <c r="BB461" s="2"/>
    </row>
    <row r="462">
      <c r="A462" s="2">
        <f>IFERROR(__xludf.DUMMYFUNCTION("""COMPUTED_VALUE"""),458.0)</f>
        <v>458</v>
      </c>
      <c r="B462" s="2" t="str">
        <f>IFERROR(__xludf.DUMMYFUNCTION("""COMPUTED_VALUE"""),"COMPLETED")</f>
        <v>COMPLETED</v>
      </c>
      <c r="C462" s="74">
        <f>IFERROR(__xludf.DUMMYFUNCTION("""COMPUTED_VALUE"""),45546.0)</f>
        <v>45546</v>
      </c>
      <c r="D462" s="71" t="str">
        <f>IFERROR(__xludf.DUMMYFUNCTION("""COMPUTED_VALUE"""),"Municipal Local Government Unit of Tagudin")</f>
        <v>Municipal Local Government Unit of Tagudin</v>
      </c>
      <c r="E462" s="71" t="str">
        <f>IFERROR(__xludf.DUMMYFUNCTION("""COMPUTED_VALUE"""),"RIZAL (POB.), TAGUDIN, ILOCOS SUR")</f>
        <v>RIZAL (POB.), TAGUDIN, ILOCOS SUR</v>
      </c>
      <c r="F462" s="2" t="str">
        <f>IFERROR(__xludf.DUMMYFUNCTION("""COMPUTED_VALUE"""),"AMELYN RAMAJO")</f>
        <v>AMELYN RAMAJO</v>
      </c>
      <c r="G462" s="2" t="str">
        <f>IFERROR(__xludf.DUMMYFUNCTION("""COMPUTED_VALUE"""),"0951-917-8330")</f>
        <v>0951-917-8330</v>
      </c>
      <c r="H462" s="2">
        <f>IFERROR(__xludf.DUMMYFUNCTION("""COMPUTED_VALUE"""),120.0)</f>
        <v>120</v>
      </c>
      <c r="I462" s="72" t="str">
        <f>IFERROR(__xludf.DUMMYFUNCTION("""COMPUTED_VALUE"""),"PMS")</f>
        <v>PMS</v>
      </c>
      <c r="J462" s="72" t="str">
        <f>IFERROR(__xludf.DUMMYFUNCTION("""COMPUTED_VALUE"""),"PMS")</f>
        <v>PMS</v>
      </c>
      <c r="K462" s="72" t="str">
        <f>IFERROR(__xludf.DUMMYFUNCTION("""COMPUTED_VALUE"""),"UPON TYM CAMPAIGN: FOR SELF PMS")</f>
        <v>UPON TYM CAMPAIGN: FOR SELF PMS</v>
      </c>
      <c r="L462" s="72" t="str">
        <f>IFERROR(__xludf.DUMMYFUNCTION("""COMPUTED_VALUE"""),"SEND 1ST PMS AGREEMENT")</f>
        <v>SEND 1ST PMS AGREEMENT</v>
      </c>
      <c r="M462" s="2"/>
      <c r="N462" s="2"/>
      <c r="O462" s="2" t="str">
        <f>IFERROR(__xludf.DUMMYFUNCTION("""COMPUTED_VALUE"""),"N/A")</f>
        <v>N/A</v>
      </c>
      <c r="P462" s="2"/>
      <c r="Q462" s="2"/>
      <c r="R462" s="74">
        <f>IFERROR(__xludf.DUMMYFUNCTION("""COMPUTED_VALUE"""),45613.0)</f>
        <v>45613</v>
      </c>
      <c r="S462" s="2" t="str">
        <f>IFERROR(__xludf.DUMMYFUNCTION("""COMPUTED_VALUE"""),"N/A")</f>
        <v>N/A</v>
      </c>
      <c r="T462" s="73" t="str">
        <f>IFERROR(__xludf.DUMMYFUNCTION("""COMPUTED_VALUE""")," N/A ")</f>
        <v>N/A</v>
      </c>
      <c r="U462" s="73" t="str">
        <f>IFERROR(__xludf.DUMMYFUNCTION("""COMPUTED_VALUE""")," NO CHARGE ")</f>
        <v>NO CHARGE</v>
      </c>
      <c r="V462" s="2"/>
      <c r="W462" s="2" t="str">
        <f>IFERROR(__xludf.DUMMYFUNCTION("""COMPUTED_VALUE"""),"N/A")</f>
        <v>N/A</v>
      </c>
      <c r="X462" s="2" t="str">
        <f>IFERROR(__xludf.DUMMYFUNCTION("""COMPUTED_VALUE"""),"N/A")</f>
        <v>N/A</v>
      </c>
      <c r="Y462" s="2"/>
      <c r="Z462" s="2"/>
      <c r="AA462" s="2"/>
      <c r="AB462" s="2"/>
      <c r="AC462" s="2"/>
      <c r="AD462" s="2"/>
      <c r="AE462" s="2"/>
      <c r="AF462" s="2"/>
      <c r="AG462" s="2"/>
      <c r="AH462" s="2"/>
      <c r="AI462" s="2"/>
      <c r="AJ462" s="2" t="str">
        <f>IFERROR(__xludf.DUMMYFUNCTION("""COMPUTED_VALUE"""),"Rizal (Pob.)")</f>
        <v>Rizal (Pob.)</v>
      </c>
      <c r="AK462" s="2" t="str">
        <f>IFERROR(__xludf.DUMMYFUNCTION("""COMPUTED_VALUE"""),"Tagudin")</f>
        <v>Tagudin</v>
      </c>
      <c r="AL462" s="2" t="str">
        <f>IFERROR(__xludf.DUMMYFUNCTION("""COMPUTED_VALUE"""),"Ilocos Sur")</f>
        <v>Ilocos Sur</v>
      </c>
      <c r="AM462" s="2">
        <f>IFERROR(__xludf.DUMMYFUNCTION("""COMPUTED_VALUE"""),1.0)</f>
        <v>1</v>
      </c>
      <c r="AN462" s="2" t="str">
        <f>IFERROR(__xludf.DUMMYFUNCTION("""COMPUTED_VALUE"""),"RCEF 23-09-21 Rebidding")</f>
        <v>RCEF 23-09-21 Rebidding</v>
      </c>
      <c r="AO462" s="2">
        <f>IFERROR(__xludf.DUMMYFUNCTION("""COMPUTED_VALUE"""),2.0)</f>
        <v>2</v>
      </c>
      <c r="AP462" s="2"/>
      <c r="AQ462" s="2"/>
      <c r="AR462" s="2"/>
      <c r="AS462" s="2"/>
      <c r="AT462" s="2"/>
      <c r="AU462" s="2"/>
      <c r="AV462" s="2"/>
      <c r="AW462" s="2"/>
      <c r="AX462" s="2"/>
      <c r="AY462" s="2"/>
      <c r="AZ462" s="2"/>
      <c r="BA462" s="2"/>
      <c r="BB462" s="2"/>
    </row>
    <row r="463">
      <c r="A463" s="2">
        <f>IFERROR(__xludf.DUMMYFUNCTION("""COMPUTED_VALUE"""),459.0)</f>
        <v>459</v>
      </c>
      <c r="B463" s="2" t="str">
        <f>IFERROR(__xludf.DUMMYFUNCTION("""COMPUTED_VALUE"""),"COMPLETED")</f>
        <v>COMPLETED</v>
      </c>
      <c r="C463" s="74">
        <f>IFERROR(__xludf.DUMMYFUNCTION("""COMPUTED_VALUE"""),45546.0)</f>
        <v>45546</v>
      </c>
      <c r="D463" s="71" t="str">
        <f>IFERROR(__xludf.DUMMYFUNCTION("""COMPUTED_VALUE"""),"Malabobo Farmers Association, Inc.")</f>
        <v>Malabobo Farmers Association, Inc.</v>
      </c>
      <c r="E463" s="71" t="str">
        <f>IFERROR(__xludf.DUMMYFUNCTION("""COMPUTED_VALUE"""),"Malabobo, Mangatarem, PANGASINAN")</f>
        <v>Malabobo, Mangatarem, PANGASINAN</v>
      </c>
      <c r="F463" s="2" t="str">
        <f>IFERROR(__xludf.DUMMYFUNCTION("""COMPUTED_VALUE"""),"Adriano B. Laruta")</f>
        <v>Adriano B. Laruta</v>
      </c>
      <c r="G463" s="2">
        <f>IFERROR(__xludf.DUMMYFUNCTION("""COMPUTED_VALUE"""),9.99752251E9)</f>
        <v>9997522510</v>
      </c>
      <c r="H463" s="2">
        <f>IFERROR(__xludf.DUMMYFUNCTION("""COMPUTED_VALUE"""),53.8)</f>
        <v>53.8</v>
      </c>
      <c r="I463" s="72" t="str">
        <f>IFERROR(__xludf.DUMMYFUNCTION("""COMPUTED_VALUE"""),"PMS")</f>
        <v>PMS</v>
      </c>
      <c r="J463" s="72" t="str">
        <f>IFERROR(__xludf.DUMMYFUNCTION("""COMPUTED_VALUE"""),"PMS")</f>
        <v>PMS</v>
      </c>
      <c r="K463" s="72" t="str">
        <f>IFERROR(__xludf.DUMMYFUNCTION("""COMPUTED_VALUE"""),"LBA: UPON TYM CAMPAIGN: FOR FIRST PMS")</f>
        <v>LBA: UPON TYM CAMPAIGN: FOR FIRST PMS</v>
      </c>
      <c r="L463" s="72" t="str">
        <f>IFERROR(__xludf.DUMMYFUNCTION("""COMPUTED_VALUE"""),"CLOSED")</f>
        <v>CLOSED</v>
      </c>
      <c r="M463" s="2"/>
      <c r="N463" s="2"/>
      <c r="O463" s="2" t="str">
        <f>IFERROR(__xludf.DUMMYFUNCTION("""COMPUTED_VALUE"""),"N/A")</f>
        <v>N/A</v>
      </c>
      <c r="P463" s="2"/>
      <c r="Q463" s="2"/>
      <c r="R463" s="74">
        <f>IFERROR(__xludf.DUMMYFUNCTION("""COMPUTED_VALUE"""),45613.0)</f>
        <v>45613</v>
      </c>
      <c r="S463" s="2" t="str">
        <f>IFERROR(__xludf.DUMMYFUNCTION("""COMPUTED_VALUE"""),"N/A")</f>
        <v>N/A</v>
      </c>
      <c r="T463" s="73" t="str">
        <f>IFERROR(__xludf.DUMMYFUNCTION("""COMPUTED_VALUE""")," N/A ")</f>
        <v>N/A</v>
      </c>
      <c r="U463" s="73" t="str">
        <f>IFERROR(__xludf.DUMMYFUNCTION("""COMPUTED_VALUE""")," NO CHARGE ")</f>
        <v>NO CHARGE</v>
      </c>
      <c r="V463" s="2"/>
      <c r="W463" s="2" t="str">
        <f>IFERROR(__xludf.DUMMYFUNCTION("""COMPUTED_VALUE"""),"N/A")</f>
        <v>N/A</v>
      </c>
      <c r="X463" s="2" t="str">
        <f>IFERROR(__xludf.DUMMYFUNCTION("""COMPUTED_VALUE"""),"N/A")</f>
        <v>N/A</v>
      </c>
      <c r="Y463" s="2"/>
      <c r="Z463" s="2"/>
      <c r="AA463" s="2"/>
      <c r="AB463" s="2"/>
      <c r="AC463" s="2"/>
      <c r="AD463" s="2"/>
      <c r="AE463" s="2"/>
      <c r="AF463" s="2"/>
      <c r="AG463" s="2"/>
      <c r="AH463" s="2"/>
      <c r="AI463" s="2"/>
      <c r="AJ463" s="2" t="str">
        <f>IFERROR(__xludf.DUMMYFUNCTION("""COMPUTED_VALUE"""),"Malabobo")</f>
        <v>Malabobo</v>
      </c>
      <c r="AK463" s="2" t="str">
        <f>IFERROR(__xludf.DUMMYFUNCTION("""COMPUTED_VALUE"""),"Mangatarem")</f>
        <v>Mangatarem</v>
      </c>
      <c r="AL463" s="2" t="str">
        <f>IFERROR(__xludf.DUMMYFUNCTION("""COMPUTED_VALUE"""),"Pangasinan")</f>
        <v>Pangasinan</v>
      </c>
      <c r="AM463" s="2">
        <f>IFERROR(__xludf.DUMMYFUNCTION("""COMPUTED_VALUE"""),1.0)</f>
        <v>1</v>
      </c>
      <c r="AN463" s="2" t="str">
        <f>IFERROR(__xludf.DUMMYFUNCTION("""COMPUTED_VALUE"""),"RCEF 23-09-21 Rebidding")</f>
        <v>RCEF 23-09-21 Rebidding</v>
      </c>
      <c r="AO463" s="2">
        <f>IFERROR(__xludf.DUMMYFUNCTION("""COMPUTED_VALUE"""),2.0)</f>
        <v>2</v>
      </c>
      <c r="AP463" s="2"/>
      <c r="AQ463" s="2"/>
      <c r="AR463" s="2"/>
      <c r="AS463" s="2"/>
      <c r="AT463" s="2"/>
      <c r="AU463" s="2"/>
      <c r="AV463" s="2"/>
      <c r="AW463" s="2"/>
      <c r="AX463" s="2"/>
      <c r="AY463" s="2"/>
      <c r="AZ463" s="2"/>
      <c r="BA463" s="2"/>
      <c r="BB463" s="2"/>
    </row>
    <row r="464">
      <c r="A464" s="2">
        <f>IFERROR(__xludf.DUMMYFUNCTION("""COMPUTED_VALUE"""),460.0)</f>
        <v>460</v>
      </c>
      <c r="B464" s="2" t="str">
        <f>IFERROR(__xludf.DUMMYFUNCTION("""COMPUTED_VALUE"""),"COMPLETED")</f>
        <v>COMPLETED</v>
      </c>
      <c r="C464" s="74">
        <f>IFERROR(__xludf.DUMMYFUNCTION("""COMPUTED_VALUE"""),45546.0)</f>
        <v>45546</v>
      </c>
      <c r="D464" s="71" t="str">
        <f>IFERROR(__xludf.DUMMYFUNCTION("""COMPUTED_VALUE"""),"VILLANUEVA FARMERS ASSOCIATION")</f>
        <v>VILLANUEVA FARMERS ASSOCIATION</v>
      </c>
      <c r="E464" s="71" t="str">
        <f>IFERROR(__xludf.DUMMYFUNCTION("""COMPUTED_VALUE"""),"Villanueva, Bautista, PANGASINAN")</f>
        <v>Villanueva, Bautista, PANGASINAN</v>
      </c>
      <c r="F464" s="2" t="str">
        <f>IFERROR(__xludf.DUMMYFUNCTION("""COMPUTED_VALUE"""),"Marietes P. Maregmen")</f>
        <v>Marietes P. Maregmen</v>
      </c>
      <c r="G464" s="2">
        <f>IFERROR(__xludf.DUMMYFUNCTION("""COMPUTED_VALUE"""),9.624251098E9)</f>
        <v>9624251098</v>
      </c>
      <c r="H464" s="2">
        <f>IFERROR(__xludf.DUMMYFUNCTION("""COMPUTED_VALUE"""),72.7)</f>
        <v>72.7</v>
      </c>
      <c r="I464" s="72" t="str">
        <f>IFERROR(__xludf.DUMMYFUNCTION("""COMPUTED_VALUE"""),"PMS")</f>
        <v>PMS</v>
      </c>
      <c r="J464" s="72" t="str">
        <f>IFERROR(__xludf.DUMMYFUNCTION("""COMPUTED_VALUE"""),"PMS")</f>
        <v>PMS</v>
      </c>
      <c r="K464" s="72" t="str">
        <f>IFERROR(__xludf.DUMMYFUNCTION("""COMPUTED_VALUE"""),"LBA: UPON TYM CAMPAIGN: FOR FIRST PMS")</f>
        <v>LBA: UPON TYM CAMPAIGN: FOR FIRST PMS</v>
      </c>
      <c r="L464" s="72" t="str">
        <f>IFERROR(__xludf.DUMMYFUNCTION("""COMPUTED_VALUE"""),"CLOSED")</f>
        <v>CLOSED</v>
      </c>
      <c r="M464" s="2"/>
      <c r="N464" s="2"/>
      <c r="O464" s="2" t="str">
        <f>IFERROR(__xludf.DUMMYFUNCTION("""COMPUTED_VALUE"""),"N/A")</f>
        <v>N/A</v>
      </c>
      <c r="P464" s="2"/>
      <c r="Q464" s="2"/>
      <c r="R464" s="74">
        <f>IFERROR(__xludf.DUMMYFUNCTION("""COMPUTED_VALUE"""),45613.0)</f>
        <v>45613</v>
      </c>
      <c r="S464" s="2" t="str">
        <f>IFERROR(__xludf.DUMMYFUNCTION("""COMPUTED_VALUE"""),"N/A")</f>
        <v>N/A</v>
      </c>
      <c r="T464" s="73" t="str">
        <f>IFERROR(__xludf.DUMMYFUNCTION("""COMPUTED_VALUE""")," N/A ")</f>
        <v>N/A</v>
      </c>
      <c r="U464" s="73" t="str">
        <f>IFERROR(__xludf.DUMMYFUNCTION("""COMPUTED_VALUE""")," NO CHARGE ")</f>
        <v>NO CHARGE</v>
      </c>
      <c r="V464" s="2"/>
      <c r="W464" s="2" t="str">
        <f>IFERROR(__xludf.DUMMYFUNCTION("""COMPUTED_VALUE"""),"N/A")</f>
        <v>N/A</v>
      </c>
      <c r="X464" s="2" t="str">
        <f>IFERROR(__xludf.DUMMYFUNCTION("""COMPUTED_VALUE"""),"N/A")</f>
        <v>N/A</v>
      </c>
      <c r="Y464" s="2"/>
      <c r="Z464" s="2"/>
      <c r="AA464" s="2"/>
      <c r="AB464" s="2"/>
      <c r="AC464" s="2"/>
      <c r="AD464" s="2"/>
      <c r="AE464" s="2"/>
      <c r="AF464" s="2"/>
      <c r="AG464" s="2"/>
      <c r="AH464" s="2"/>
      <c r="AI464" s="2"/>
      <c r="AJ464" s="2" t="str">
        <f>IFERROR(__xludf.DUMMYFUNCTION("""COMPUTED_VALUE"""),"Villanueva")</f>
        <v>Villanueva</v>
      </c>
      <c r="AK464" s="2" t="str">
        <f>IFERROR(__xludf.DUMMYFUNCTION("""COMPUTED_VALUE"""),"Bautista")</f>
        <v>Bautista</v>
      </c>
      <c r="AL464" s="2" t="str">
        <f>IFERROR(__xludf.DUMMYFUNCTION("""COMPUTED_VALUE"""),"Pangasinan")</f>
        <v>Pangasinan</v>
      </c>
      <c r="AM464" s="2">
        <f>IFERROR(__xludf.DUMMYFUNCTION("""COMPUTED_VALUE"""),1.0)</f>
        <v>1</v>
      </c>
      <c r="AN464" s="2" t="str">
        <f>IFERROR(__xludf.DUMMYFUNCTION("""COMPUTED_VALUE"""),"RCEF 23-09-21 Rebidding")</f>
        <v>RCEF 23-09-21 Rebidding</v>
      </c>
      <c r="AO464" s="2">
        <f>IFERROR(__xludf.DUMMYFUNCTION("""COMPUTED_VALUE"""),2.0)</f>
        <v>2</v>
      </c>
      <c r="AP464" s="2"/>
      <c r="AQ464" s="2"/>
      <c r="AR464" s="2"/>
      <c r="AS464" s="2"/>
      <c r="AT464" s="2"/>
      <c r="AU464" s="2"/>
      <c r="AV464" s="2"/>
      <c r="AW464" s="2"/>
      <c r="AX464" s="2"/>
      <c r="AY464" s="2"/>
      <c r="AZ464" s="2"/>
      <c r="BA464" s="2"/>
      <c r="BB464" s="2"/>
    </row>
    <row r="465">
      <c r="A465" s="2">
        <f>IFERROR(__xludf.DUMMYFUNCTION("""COMPUTED_VALUE"""),461.0)</f>
        <v>461</v>
      </c>
      <c r="B465" s="2" t="str">
        <f>IFERROR(__xludf.DUMMYFUNCTION("""COMPUTED_VALUE"""),"COMPLETED")</f>
        <v>COMPLETED</v>
      </c>
      <c r="C465" s="74">
        <f>IFERROR(__xludf.DUMMYFUNCTION("""COMPUTED_VALUE"""),45546.0)</f>
        <v>45546</v>
      </c>
      <c r="D465" s="71" t="str">
        <f>IFERROR(__xludf.DUMMYFUNCTION("""COMPUTED_VALUE"""),"Lambes Farmers Agriculture Cooperative")</f>
        <v>Lambes Farmers Agriculture Cooperative</v>
      </c>
      <c r="E465" s="71" t="str">
        <f>IFERROR(__xludf.DUMMYFUNCTION("""COMPUTED_VALUE"""),"LAMBES, BOLINAO, PANGASINAN")</f>
        <v>LAMBES, BOLINAO, PANGASINAN</v>
      </c>
      <c r="F465" s="2" t="str">
        <f>IFERROR(__xludf.DUMMYFUNCTION("""COMPUTED_VALUE"""),"Romeo G. Gabor")</f>
        <v>Romeo G. Gabor</v>
      </c>
      <c r="G465" s="2">
        <f>IFERROR(__xludf.DUMMYFUNCTION("""COMPUTED_VALUE"""),9.499870897E9)</f>
        <v>9499870897</v>
      </c>
      <c r="H465" s="2">
        <f>IFERROR(__xludf.DUMMYFUNCTION("""COMPUTED_VALUE"""),166.1)</f>
        <v>166.1</v>
      </c>
      <c r="I465" s="72" t="str">
        <f>IFERROR(__xludf.DUMMYFUNCTION("""COMPUTED_VALUE"""),"REPAIR - DISC PLOW")</f>
        <v>REPAIR - DISC PLOW</v>
      </c>
      <c r="J465" s="72" t="str">
        <f>IFERROR(__xludf.DUMMYFUNCTION("""COMPUTED_VALUE"""),"Leak")</f>
        <v>Leak</v>
      </c>
      <c r="K465" s="72" t="str">
        <f>IFERROR(__xludf.DUMMYFUNCTION("""COMPUTED_VALUE"""),"LBA: Sira yung Disk Plow, Sila na din nag 1st PMS,pati yung PTO switch sila na din po nagpalit ng hindi na pinaalam sa atin
PARTS: DRIVEN DISC
JDP: LEAK SA LEFT SIDE NG CENTER DISC NG DISCPLOW ")</f>
        <v>LBA: Sira yung Disk Plow, Sila na din nag 1st PMS,pati yung PTO switch sila na din po nagpalit ng hindi na pinaalam sa atin
PARTS: DRIVEN DISC
JDP: LEAK SA LEFT SIDE NG CENTER DISC NG DISCPLOW </v>
      </c>
      <c r="L465" s="72" t="str">
        <f>IFERROR(__xludf.DUMMYFUNCTION("""COMPUTED_VALUE"""),"JHP: REPLACED OIL SEAL 45-85-12T
")</f>
        <v>JHP: REPLACED OIL SEAL 45-85-12T
</v>
      </c>
      <c r="M465" s="2"/>
      <c r="N465" s="2" t="str">
        <f>IFERROR(__xludf.DUMMYFUNCTION("""COMPUTED_VALUE"""),"PARTS: OIL SEAL 45-85-12T")</f>
        <v>PARTS: OIL SEAL 45-85-12T</v>
      </c>
      <c r="O465" s="2">
        <f>IFERROR(__xludf.DUMMYFUNCTION("""COMPUTED_VALUE"""),1373.0)</f>
        <v>1373</v>
      </c>
      <c r="P465" s="2"/>
      <c r="Q465" s="2" t="str">
        <f>IFERROR(__xludf.DUMMYFUNCTION("""COMPUTED_VALUE"""),"Y")</f>
        <v>Y</v>
      </c>
      <c r="R465" s="74">
        <f>IFERROR(__xludf.DUMMYFUNCTION("""COMPUTED_VALUE"""),45615.0)</f>
        <v>45615</v>
      </c>
      <c r="S465" s="2" t="str">
        <f>IFERROR(__xludf.DUMMYFUNCTION("""COMPUTED_VALUE"""),"JDP/EGT")</f>
        <v>JDP/EGT</v>
      </c>
      <c r="T465" s="73">
        <f>IFERROR(__xludf.DUMMYFUNCTION("""COMPUTED_VALUE"""),410.0)</f>
        <v>410</v>
      </c>
      <c r="U465" s="73" t="str">
        <f>IFERROR(__xludf.DUMMYFUNCTION("""COMPUTED_VALUE""")," REMITTED ")</f>
        <v>REMITTED</v>
      </c>
      <c r="V465" s="2"/>
      <c r="W465" s="2">
        <f>IFERROR(__xludf.DUMMYFUNCTION("""COMPUTED_VALUE"""),1336.0)</f>
        <v>1336</v>
      </c>
      <c r="X465" s="2">
        <f>IFERROR(__xludf.DUMMYFUNCTION("""COMPUTED_VALUE"""),1266.0)</f>
        <v>1266</v>
      </c>
      <c r="Y465" s="2"/>
      <c r="Z465" s="2"/>
      <c r="AA465" s="2"/>
      <c r="AB465" s="2"/>
      <c r="AC465" s="2"/>
      <c r="AD465" s="2"/>
      <c r="AE465" s="2"/>
      <c r="AF465" s="2"/>
      <c r="AG465" s="2"/>
      <c r="AH465" s="2"/>
      <c r="AI465" s="2"/>
      <c r="AJ465" s="2" t="str">
        <f>IFERROR(__xludf.DUMMYFUNCTION("""COMPUTED_VALUE"""),"Lambes")</f>
        <v>Lambes</v>
      </c>
      <c r="AK465" s="2" t="str">
        <f>IFERROR(__xludf.DUMMYFUNCTION("""COMPUTED_VALUE"""),"Bolinao")</f>
        <v>Bolinao</v>
      </c>
      <c r="AL465" s="2" t="str">
        <f>IFERROR(__xludf.DUMMYFUNCTION("""COMPUTED_VALUE"""),"Pangasinan")</f>
        <v>Pangasinan</v>
      </c>
      <c r="AM465" s="2">
        <f>IFERROR(__xludf.DUMMYFUNCTION("""COMPUTED_VALUE"""),1.0)</f>
        <v>1</v>
      </c>
      <c r="AN465" s="2" t="str">
        <f>IFERROR(__xludf.DUMMYFUNCTION("""COMPUTED_VALUE"""),"RCEF 23-09-21 Rebidding")</f>
        <v>RCEF 23-09-21 Rebidding</v>
      </c>
      <c r="AO465" s="2">
        <f>IFERROR(__xludf.DUMMYFUNCTION("""COMPUTED_VALUE"""),2.0)</f>
        <v>2</v>
      </c>
      <c r="AP465" s="2"/>
      <c r="AQ465" s="2"/>
      <c r="AR465" s="2"/>
      <c r="AS465" s="2"/>
      <c r="AT465" s="2"/>
      <c r="AU465" s="2"/>
      <c r="AV465" s="2"/>
      <c r="AW465" s="2"/>
      <c r="AX465" s="2"/>
      <c r="AY465" s="2"/>
      <c r="AZ465" s="2"/>
      <c r="BA465" s="2"/>
      <c r="BB465" s="2"/>
    </row>
    <row r="466">
      <c r="A466" s="2">
        <f>IFERROR(__xludf.DUMMYFUNCTION("""COMPUTED_VALUE"""),462.0)</f>
        <v>462</v>
      </c>
      <c r="B466" s="2" t="str">
        <f>IFERROR(__xludf.DUMMYFUNCTION("""COMPUTED_VALUE"""),"COMPLETED")</f>
        <v>COMPLETED</v>
      </c>
      <c r="C466" s="74">
        <f>IFERROR(__xludf.DUMMYFUNCTION("""COMPUTED_VALUE"""),45546.0)</f>
        <v>45546</v>
      </c>
      <c r="D466" s="71" t="str">
        <f>IFERROR(__xludf.DUMMYFUNCTION("""COMPUTED_VALUE"""),"MAAYOS FARMERS ASSOCIATION OF TAMAYO, SAN CARLOS CITY, PANGASINAN INC.")</f>
        <v>MAAYOS FARMERS ASSOCIATION OF TAMAYO, SAN CARLOS CITY, PANGASINAN INC.</v>
      </c>
      <c r="E466" s="71" t="str">
        <f>IFERROR(__xludf.DUMMYFUNCTION("""COMPUTED_VALUE"""),"Tamayo, San Carlos City, PANGASINAN")</f>
        <v>Tamayo, San Carlos City, PANGASINAN</v>
      </c>
      <c r="F466" s="2" t="str">
        <f>IFERROR(__xludf.DUMMYFUNCTION("""COMPUTED_VALUE"""),"Rhoderick Bulatao")</f>
        <v>Rhoderick Bulatao</v>
      </c>
      <c r="G466" s="2">
        <f>IFERROR(__xludf.DUMMYFUNCTION("""COMPUTED_VALUE"""),9.954372874E9)</f>
        <v>9954372874</v>
      </c>
      <c r="H466" s="2" t="str">
        <f>IFERROR(__xludf.DUMMYFUNCTION("""COMPUTED_VALUE"""),"N/A")</f>
        <v>N/A</v>
      </c>
      <c r="I466" s="72" t="str">
        <f>IFERROR(__xludf.DUMMYFUNCTION("""COMPUTED_VALUE"""),"REPAIR - TRACTOR")</f>
        <v>REPAIR - TRACTOR</v>
      </c>
      <c r="J466" s="72" t="str">
        <f>IFERROR(__xludf.DUMMYFUNCTION("""COMPUTED_VALUE"""),"Engine - Overhaul")</f>
        <v>Engine - Overhaul</v>
      </c>
      <c r="K466" s="72" t="str">
        <f>IFERROR(__xludf.DUMMYFUNCTION("""COMPUTED_VALUE"""),"LBA: Cylinder Head Block Crack, Binaklas na nila yung Cylinder Head block
Nag 1st PMS din sila ng hindi na tinawag sa opisina
Nag crack din yung Radiator nila,pinagawa na nila sa iba ng hindi na din po nireport, Hindi qna din po napicturan odo nyan kc bak"&amp;"las na")</f>
        <v>LBA: Cylinder Head Block Crack, Binaklas na nila yung Cylinder Head block
Nag 1st PMS din sila ng hindi na tinawag sa opisina
Nag crack din yung Radiator nila,pinagawa na nila sa iba ng hindi na din po nireport, Hindi qna din po napicturan odo nyan kc baklas na</v>
      </c>
      <c r="L466" s="72" t="str">
        <f>IFERROR(__xludf.DUMMYFUNCTION("""COMPUTED_VALUE"""),"ACS: ENGINE OVERHAUL REPLACE ENGINE BLOCK , CYLINDER HEAD, PISTON, PISTONG RING, HEAD GASKET, THERMOSTAT, OIL FILTER")</f>
        <v>ACS: ENGINE OVERHAUL REPLACE ENGINE BLOCK , CYLINDER HEAD, PISTON, PISTONG RING, HEAD GASKET, THERMOSTAT, OIL FILTER</v>
      </c>
      <c r="M466" s="2"/>
      <c r="N466" s="2" t="str">
        <f>IFERROR(__xludf.DUMMYFUNCTION("""COMPUTED_VALUE"""),"PARTS: 
CYLINDER BLOCK, 
CYLINDER HEAD ASSY, 
CYLINDER HEAD GASKET, 
4 THRUST BEAING ASSY, 
4 PISTON RING SET, 
4 PISTON, 
THERMOSTAT")</f>
        <v>PARTS: 
CYLINDER BLOCK, 
CYLINDER HEAD ASSY, 
CYLINDER HEAD GASKET, 
4 THRUST BEAING ASSY, 
4 PISTON RING SET, 
4 PISTON, 
THERMOSTAT</v>
      </c>
      <c r="O466" s="2">
        <f>IFERROR(__xludf.DUMMYFUNCTION("""COMPUTED_VALUE"""),1233.0)</f>
        <v>1233</v>
      </c>
      <c r="P466" s="2"/>
      <c r="Q466" s="2" t="str">
        <f>IFERROR(__xludf.DUMMYFUNCTION("""COMPUTED_VALUE"""),"Y")</f>
        <v>Y</v>
      </c>
      <c r="R466" s="74">
        <f>IFERROR(__xludf.DUMMYFUNCTION("""COMPUTED_VALUE"""),45762.0)</f>
        <v>45762</v>
      </c>
      <c r="S466" s="2" t="str">
        <f>IFERROR(__xludf.DUMMYFUNCTION("""COMPUTED_VALUE"""),"JHP/ACS")</f>
        <v>JHP/ACS</v>
      </c>
      <c r="T466" s="73" t="str">
        <f>IFERROR(__xludf.DUMMYFUNCTION("""COMPUTED_VALUE""")," N/A ")</f>
        <v>N/A</v>
      </c>
      <c r="U466" s="73" t="str">
        <f>IFERROR(__xludf.DUMMYFUNCTION("""COMPUTED_VALUE""")," NO CHARGE ")</f>
        <v>NO CHARGE</v>
      </c>
      <c r="V466" s="2"/>
      <c r="W466" s="2" t="str">
        <f>IFERROR(__xludf.DUMMYFUNCTION("""COMPUTED_VALUE"""),"N/A")</f>
        <v>N/A</v>
      </c>
      <c r="X466" s="2" t="str">
        <f>IFERROR(__xludf.DUMMYFUNCTION("""COMPUTED_VALUE"""),"N/A")</f>
        <v>N/A</v>
      </c>
      <c r="Y466" s="2"/>
      <c r="Z466" s="2"/>
      <c r="AA466" s="2" t="str">
        <f>IFERROR(__xludf.DUMMYFUNCTION("""COMPUTED_VALUE"""),"APPROVED")</f>
        <v>APPROVED</v>
      </c>
      <c r="AB466" s="2"/>
      <c r="AC466" s="2"/>
      <c r="AD466" s="2"/>
      <c r="AE466" s="2"/>
      <c r="AF466" s="2"/>
      <c r="AG466" s="2"/>
      <c r="AH466" s="2"/>
      <c r="AI466" s="2"/>
      <c r="AJ466" s="2" t="str">
        <f>IFERROR(__xludf.DUMMYFUNCTION("""COMPUTED_VALUE"""),"Tamayo")</f>
        <v>Tamayo</v>
      </c>
      <c r="AK466" s="2" t="str">
        <f>IFERROR(__xludf.DUMMYFUNCTION("""COMPUTED_VALUE"""),"San Carlos City")</f>
        <v>San Carlos City</v>
      </c>
      <c r="AL466" s="2" t="str">
        <f>IFERROR(__xludf.DUMMYFUNCTION("""COMPUTED_VALUE"""),"Pangasinan")</f>
        <v>Pangasinan</v>
      </c>
      <c r="AM466" s="2">
        <f>IFERROR(__xludf.DUMMYFUNCTION("""COMPUTED_VALUE"""),1.0)</f>
        <v>1</v>
      </c>
      <c r="AN466" s="2" t="str">
        <f>IFERROR(__xludf.DUMMYFUNCTION("""COMPUTED_VALUE"""),"RCEF 23-09-21 Rebidding")</f>
        <v>RCEF 23-09-21 Rebidding</v>
      </c>
      <c r="AO466" s="2">
        <f>IFERROR(__xludf.DUMMYFUNCTION("""COMPUTED_VALUE"""),2.0)</f>
        <v>2</v>
      </c>
      <c r="AP466" s="2"/>
      <c r="AQ466" s="2"/>
      <c r="AR466" s="2"/>
      <c r="AS466" s="2"/>
      <c r="AT466" s="2"/>
      <c r="AU466" s="2"/>
      <c r="AV466" s="2"/>
      <c r="AW466" s="2"/>
      <c r="AX466" s="2"/>
      <c r="AY466" s="2"/>
      <c r="AZ466" s="2"/>
      <c r="BA466" s="2"/>
      <c r="BB466" s="2"/>
    </row>
    <row r="467">
      <c r="A467" s="2">
        <f>IFERROR(__xludf.DUMMYFUNCTION("""COMPUTED_VALUE"""),463.0)</f>
        <v>463</v>
      </c>
      <c r="B467" s="2" t="str">
        <f>IFERROR(__xludf.DUMMYFUNCTION("""COMPUTED_VALUE"""),"COMPLETED")</f>
        <v>COMPLETED</v>
      </c>
      <c r="C467" s="74">
        <f>IFERROR(__xludf.DUMMYFUNCTION("""COMPUTED_VALUE"""),45546.0)</f>
        <v>45546</v>
      </c>
      <c r="D467" s="71" t="str">
        <f>IFERROR(__xludf.DUMMYFUNCTION("""COMPUTED_VALUE"""),"TANDOC SILAG KALUNGKONG FARMERS IRRIGATORS ASSOCIATION")</f>
        <v>TANDOC SILAG KALUNGKONG FARMERS IRRIGATORS ASSOCIATION</v>
      </c>
      <c r="E467" s="71" t="str">
        <f>IFERROR(__xludf.DUMMYFUNCTION("""COMPUTED_VALUE"""),"Uyong, Labrador, PANGASINAN")</f>
        <v>Uyong, Labrador, PANGASINAN</v>
      </c>
      <c r="F467" s="2" t="str">
        <f>IFERROR(__xludf.DUMMYFUNCTION("""COMPUTED_VALUE"""),"Rogelio R. Doton")</f>
        <v>Rogelio R. Doton</v>
      </c>
      <c r="G467" s="2">
        <f>IFERROR(__xludf.DUMMYFUNCTION("""COMPUTED_VALUE"""),9.219478838E9)</f>
        <v>9219478838</v>
      </c>
      <c r="H467" s="2">
        <f>IFERROR(__xludf.DUMMYFUNCTION("""COMPUTED_VALUE"""),117.0)</f>
        <v>117</v>
      </c>
      <c r="I467" s="72" t="str">
        <f>IFERROR(__xludf.DUMMYFUNCTION("""COMPUTED_VALUE"""),"REPAIR - TRACTOR")</f>
        <v>REPAIR - TRACTOR</v>
      </c>
      <c r="J467" s="72" t="str">
        <f>IFERROR(__xludf.DUMMYFUNCTION("""COMPUTED_VALUE"""),"CHECK UP/ REPAIR")</f>
        <v>CHECK UP/ REPAIR</v>
      </c>
      <c r="K467" s="72" t="str">
        <f>IFERROR(__xludf.DUMMYFUNCTION("""COMPUTED_VALUE"""),"LBA: Need Check Sensor of Forward/Reverse SwitcH")</f>
        <v>LBA: Need Check Sensor of Forward/Reverse SwitcH</v>
      </c>
      <c r="L467" s="72" t="str">
        <f>IFERROR(__xludf.DUMMYFUNCTION("""COMPUTED_VALUE"""),"JHP: NINGATNGAT NG DAGA ANG MGA WIRE, Reconnected damaged wires; unit is now operational.
")</f>
        <v>JHP: NINGATNGAT NG DAGA ANG MGA WIRE, Reconnected damaged wires; unit is now operational.
</v>
      </c>
      <c r="M467" s="2"/>
      <c r="N467" s="2"/>
      <c r="O467" s="2" t="str">
        <f>IFERROR(__xludf.DUMMYFUNCTION("""COMPUTED_VALUE"""),"JIE-953")</f>
        <v>JIE-953</v>
      </c>
      <c r="P467" s="2"/>
      <c r="Q467" s="2"/>
      <c r="R467" s="74">
        <f>IFERROR(__xludf.DUMMYFUNCTION("""COMPUTED_VALUE"""),45559.0)</f>
        <v>45559</v>
      </c>
      <c r="S467" s="2" t="str">
        <f>IFERROR(__xludf.DUMMYFUNCTION("""COMPUTED_VALUE"""),"JHP")</f>
        <v>JHP</v>
      </c>
      <c r="T467" s="73" t="str">
        <f>IFERROR(__xludf.DUMMYFUNCTION("""COMPUTED_VALUE""")," N/A ")</f>
        <v>N/A</v>
      </c>
      <c r="U467" s="73" t="str">
        <f>IFERROR(__xludf.DUMMYFUNCTION("""COMPUTED_VALUE""")," NO CHARGE ")</f>
        <v>NO CHARGE</v>
      </c>
      <c r="V467" s="2"/>
      <c r="W467" s="2" t="str">
        <f>IFERROR(__xludf.DUMMYFUNCTION("""COMPUTED_VALUE"""),"N/A")</f>
        <v>N/A</v>
      </c>
      <c r="X467" s="2" t="str">
        <f>IFERROR(__xludf.DUMMYFUNCTION("""COMPUTED_VALUE"""),"N/A")</f>
        <v>N/A</v>
      </c>
      <c r="Y467" s="2"/>
      <c r="Z467" s="2"/>
      <c r="AA467" s="2"/>
      <c r="AB467" s="2"/>
      <c r="AC467" s="2"/>
      <c r="AD467" s="2"/>
      <c r="AE467" s="2"/>
      <c r="AF467" s="2"/>
      <c r="AG467" s="2"/>
      <c r="AH467" s="2"/>
      <c r="AI467" s="2"/>
      <c r="AJ467" s="2" t="str">
        <f>IFERROR(__xludf.DUMMYFUNCTION("""COMPUTED_VALUE"""),"Uyong")</f>
        <v>Uyong</v>
      </c>
      <c r="AK467" s="2" t="str">
        <f>IFERROR(__xludf.DUMMYFUNCTION("""COMPUTED_VALUE"""),"Labrador")</f>
        <v>Labrador</v>
      </c>
      <c r="AL467" s="2" t="str">
        <f>IFERROR(__xludf.DUMMYFUNCTION("""COMPUTED_VALUE"""),"Pangasinan")</f>
        <v>Pangasinan</v>
      </c>
      <c r="AM467" s="2">
        <f>IFERROR(__xludf.DUMMYFUNCTION("""COMPUTED_VALUE"""),1.0)</f>
        <v>1</v>
      </c>
      <c r="AN467" s="2" t="str">
        <f>IFERROR(__xludf.DUMMYFUNCTION("""COMPUTED_VALUE"""),"RCEF 23-09-21 Rebidding")</f>
        <v>RCEF 23-09-21 Rebidding</v>
      </c>
      <c r="AO467" s="2">
        <f>IFERROR(__xludf.DUMMYFUNCTION("""COMPUTED_VALUE"""),2.0)</f>
        <v>2</v>
      </c>
      <c r="AP467" s="2"/>
      <c r="AQ467" s="2"/>
      <c r="AR467" s="2"/>
      <c r="AS467" s="2"/>
      <c r="AT467" s="2"/>
      <c r="AU467" s="2"/>
      <c r="AV467" s="2"/>
      <c r="AW467" s="2"/>
      <c r="AX467" s="2"/>
      <c r="AY467" s="2"/>
      <c r="AZ467" s="2"/>
      <c r="BA467" s="2"/>
      <c r="BB467" s="2"/>
    </row>
    <row r="468">
      <c r="A468" s="2">
        <f>IFERROR(__xludf.DUMMYFUNCTION("""COMPUTED_VALUE"""),464.0)</f>
        <v>464</v>
      </c>
      <c r="B468" s="2" t="str">
        <f>IFERROR(__xludf.DUMMYFUNCTION("""COMPUTED_VALUE"""),"COMPLETED")</f>
        <v>COMPLETED</v>
      </c>
      <c r="C468" s="74">
        <f>IFERROR(__xludf.DUMMYFUNCTION("""COMPUTED_VALUE"""),45547.0)</f>
        <v>45547</v>
      </c>
      <c r="D468" s="71" t="str">
        <f>IFERROR(__xludf.DUMMYFUNCTION("""COMPUTED_VALUE"""),"Plaridel-Malolos Irrigators Association Inc.")</f>
        <v>Plaridel-Malolos Irrigators Association Inc.</v>
      </c>
      <c r="E468" s="71" t="str">
        <f>IFERROR(__xludf.DUMMYFUNCTION("""COMPUTED_VALUE"""),"Barilan, Malolos, Bulacan")</f>
        <v>Barilan, Malolos, Bulacan</v>
      </c>
      <c r="F468" s="2" t="str">
        <f>IFERROR(__xludf.DUMMYFUNCTION("""COMPUTED_VALUE"""),"Maxima E. Valentino")</f>
        <v>Maxima E. Valentino</v>
      </c>
      <c r="G468" s="2" t="str">
        <f>IFERROR(__xludf.DUMMYFUNCTION("""COMPUTED_VALUE"""),"9361370538 / 09173933929")</f>
        <v>9361370538 / 09173933929</v>
      </c>
      <c r="H468" s="2">
        <f>IFERROR(__xludf.DUMMYFUNCTION("""COMPUTED_VALUE"""),96.5)</f>
        <v>96.5</v>
      </c>
      <c r="I468" s="72" t="str">
        <f>IFERROR(__xludf.DUMMYFUNCTION("""COMPUTED_VALUE"""),"REPAIR - TRACTOR")</f>
        <v>REPAIR - TRACTOR</v>
      </c>
      <c r="J468" s="72" t="str">
        <f>IFERROR(__xludf.DUMMYFUNCTION("""COMPUTED_VALUE"""),"Engine - Overhaul")</f>
        <v>Engine - Overhaul</v>
      </c>
      <c r="K468" s="72" t="str">
        <f>IFERROR(__xludf.DUMMYFUNCTION("""COMPUTED_VALUE"""),"LBA: Matakaw daw masyado mag coolant,pero wala naman tagas yung Unit,saka malinis naman din
JDP: 9/24/24:  BLOW-BY, SOBRA DIN SA ENGINE OIL 
PARTS: CYLINDER BLOCK, CYLINDER HEAD, CYLINDER HEAD GASKET, 4 PISTON, 4 PISTON RING, 8 VALVE SEAL
WITH VIDEO")</f>
        <v>LBA: Matakaw daw masyado mag coolant,pero wala naman tagas yung Unit,saka malinis naman din
JDP: 9/24/24:  BLOW-BY, SOBRA DIN SA ENGINE OIL 
PARTS: CYLINDER BLOCK, CYLINDER HEAD, CYLINDER HEAD GASKET, 4 PISTON, 4 PISTON RING, 8 VALVE SEAL
WITH VIDEO</v>
      </c>
      <c r="L468" s="72" t="str">
        <f>IFERROR(__xludf.DUMMYFUNCTION("""COMPUTED_VALUE"""),"JTT: TOP OVERHAUL THE UNIT")</f>
        <v>JTT: TOP OVERHAUL THE UNIT</v>
      </c>
      <c r="M468" s="2"/>
      <c r="N468" s="2" t="str">
        <f>IFERROR(__xludf.DUMMYFUNCTION("""COMPUTED_VALUE"""),"PARTS: CYLINDER HEAD GASKET")</f>
        <v>PARTS: CYLINDER HEAD GASKET</v>
      </c>
      <c r="O468" s="2" t="str">
        <f>IFERROR(__xludf.DUMMYFUNCTION("""COMPUTED_VALUE"""),"NEED SERVICE REPORT")</f>
        <v>NEED SERVICE REPORT</v>
      </c>
      <c r="P468" s="2"/>
      <c r="Q468" s="2"/>
      <c r="R468" s="74">
        <f>IFERROR(__xludf.DUMMYFUNCTION("""COMPUTED_VALUE"""),45751.0)</f>
        <v>45751</v>
      </c>
      <c r="S468" s="2" t="str">
        <f>IFERROR(__xludf.DUMMYFUNCTION("""COMPUTED_VALUE"""),"JTT/EGT")</f>
        <v>JTT/EGT</v>
      </c>
      <c r="T468" s="73" t="str">
        <f>IFERROR(__xludf.DUMMYFUNCTION("""COMPUTED_VALUE""")," N/A ")</f>
        <v>N/A</v>
      </c>
      <c r="U468" s="73" t="str">
        <f>IFERROR(__xludf.DUMMYFUNCTION("""COMPUTED_VALUE""")," NO CHARGE ")</f>
        <v>NO CHARGE</v>
      </c>
      <c r="V468" s="2"/>
      <c r="W468" s="2" t="str">
        <f>IFERROR(__xludf.DUMMYFUNCTION("""COMPUTED_VALUE"""),"N/A")</f>
        <v>N/A</v>
      </c>
      <c r="X468" s="2" t="str">
        <f>IFERROR(__xludf.DUMMYFUNCTION("""COMPUTED_VALUE"""),"N/A")</f>
        <v>N/A</v>
      </c>
      <c r="Y468" s="2"/>
      <c r="Z468" s="2"/>
      <c r="AA468" s="2"/>
      <c r="AB468" s="2" t="str">
        <f>IFERROR(__xludf.DUMMYFUNCTION("""COMPUTED_VALUE"""),"PARTS UNAVAILABLE")</f>
        <v>PARTS UNAVAILABLE</v>
      </c>
      <c r="AC468" s="2"/>
      <c r="AD468" s="2"/>
      <c r="AE468" s="2"/>
      <c r="AF468" s="2"/>
      <c r="AG468" s="2"/>
      <c r="AH468" s="2"/>
      <c r="AI468" s="2"/>
      <c r="AJ468" s="2" t="str">
        <f>IFERROR(__xludf.DUMMYFUNCTION("""COMPUTED_VALUE"""),"Barilan")</f>
        <v>Barilan</v>
      </c>
      <c r="AK468" s="2" t="str">
        <f>IFERROR(__xludf.DUMMYFUNCTION("""COMPUTED_VALUE"""),"Malolos")</f>
        <v>Malolos</v>
      </c>
      <c r="AL468" s="2" t="str">
        <f>IFERROR(__xludf.DUMMYFUNCTION("""COMPUTED_VALUE"""),"Bulacan")</f>
        <v>Bulacan</v>
      </c>
      <c r="AM468" s="2">
        <f>IFERROR(__xludf.DUMMYFUNCTION("""COMPUTED_VALUE"""),3.0)</f>
        <v>3</v>
      </c>
      <c r="AN468" s="2" t="str">
        <f>IFERROR(__xludf.DUMMYFUNCTION("""COMPUTED_VALUE"""),"RCEF 23-09-21 Rebidding")</f>
        <v>RCEF 23-09-21 Rebidding</v>
      </c>
      <c r="AO468" s="2">
        <f>IFERROR(__xludf.DUMMYFUNCTION("""COMPUTED_VALUE"""),9.0)</f>
        <v>9</v>
      </c>
      <c r="AP468" s="2"/>
      <c r="AQ468" s="2"/>
      <c r="AR468" s="2"/>
      <c r="AS468" s="2"/>
      <c r="AT468" s="2"/>
      <c r="AU468" s="2"/>
      <c r="AV468" s="2"/>
      <c r="AW468" s="2"/>
      <c r="AX468" s="2"/>
      <c r="AY468" s="2"/>
      <c r="AZ468" s="2"/>
      <c r="BA468" s="2"/>
      <c r="BB468" s="2"/>
    </row>
    <row r="469">
      <c r="A469" s="2">
        <f>IFERROR(__xludf.DUMMYFUNCTION("""COMPUTED_VALUE"""),465.0)</f>
        <v>465</v>
      </c>
      <c r="B469" s="2" t="str">
        <f>IFERROR(__xludf.DUMMYFUNCTION("""COMPUTED_VALUE"""),"COMPLETED")</f>
        <v>COMPLETED</v>
      </c>
      <c r="C469" s="74">
        <f>IFERROR(__xludf.DUMMYFUNCTION("""COMPUTED_VALUE"""),45547.0)</f>
        <v>45547</v>
      </c>
      <c r="D469" s="71" t="str">
        <f>IFERROR(__xludf.DUMMYFUNCTION("""COMPUTED_VALUE"""),"PASIMA MULTI-PURPOSE COOPERATIVE")</f>
        <v>PASIMA MULTI-PURPOSE COOPERATIVE</v>
      </c>
      <c r="E469" s="71" t="str">
        <f>IFERROR(__xludf.DUMMYFUNCTION("""COMPUTED_VALUE"""),"Pasima, Malasiqui, PANGASINAN")</f>
        <v>Pasima, Malasiqui, PANGASINAN</v>
      </c>
      <c r="F469" s="2" t="str">
        <f>IFERROR(__xludf.DUMMYFUNCTION("""COMPUTED_VALUE"""),"Jonathan A. Rangel")</f>
        <v>Jonathan A. Rangel</v>
      </c>
      <c r="G469" s="2">
        <f>IFERROR(__xludf.DUMMYFUNCTION("""COMPUTED_VALUE"""),9.63155161E9)</f>
        <v>9631551610</v>
      </c>
      <c r="H469" s="2">
        <f>IFERROR(__xludf.DUMMYFUNCTION("""COMPUTED_VALUE"""),74.4)</f>
        <v>74.4</v>
      </c>
      <c r="I469" s="72" t="str">
        <f>IFERROR(__xludf.DUMMYFUNCTION("""COMPUTED_VALUE"""),"PMS")</f>
        <v>PMS</v>
      </c>
      <c r="J469" s="72" t="str">
        <f>IFERROR(__xludf.DUMMYFUNCTION("""COMPUTED_VALUE"""),"PMS")</f>
        <v>PMS</v>
      </c>
      <c r="K469" s="72" t="str">
        <f>IFERROR(__xludf.DUMMYFUNCTION("""COMPUTED_VALUE"""),"LBA: UPON TYM CAMPAIGN: FOR FIRST PMS")</f>
        <v>LBA: UPON TYM CAMPAIGN: FOR FIRST PMS</v>
      </c>
      <c r="L469" s="72" t="str">
        <f>IFERROR(__xludf.DUMMYFUNCTION("""COMPUTED_VALUE"""),"JDP:  1ST PMS DONE")</f>
        <v>JDP:  1ST PMS DONE</v>
      </c>
      <c r="M469" s="2"/>
      <c r="N469" s="2" t="str">
        <f>IFERROR(__xludf.DUMMYFUNCTION("""COMPUTED_VALUE"""),"PARTS: 5L ENGINE OIL, OIL FILTER")</f>
        <v>PARTS: 5L ENGINE OIL, OIL FILTER</v>
      </c>
      <c r="O469" s="2">
        <f>IFERROR(__xludf.DUMMYFUNCTION("""COMPUTED_VALUE"""),1370.0)</f>
        <v>1370</v>
      </c>
      <c r="P469" s="2"/>
      <c r="Q469" s="2" t="str">
        <f>IFERROR(__xludf.DUMMYFUNCTION("""COMPUTED_VALUE"""),"Y")</f>
        <v>Y</v>
      </c>
      <c r="R469" s="74">
        <f>IFERROR(__xludf.DUMMYFUNCTION("""COMPUTED_VALUE"""),45610.0)</f>
        <v>45610</v>
      </c>
      <c r="S469" s="2" t="str">
        <f>IFERROR(__xludf.DUMMYFUNCTION("""COMPUTED_VALUE"""),"JDP/EGT")</f>
        <v>JDP/EGT</v>
      </c>
      <c r="T469" s="73">
        <f>IFERROR(__xludf.DUMMYFUNCTION("""COMPUTED_VALUE"""),3193.0)</f>
        <v>3193</v>
      </c>
      <c r="U469" s="73" t="str">
        <f>IFERROR(__xludf.DUMMYFUNCTION("""COMPUTED_VALUE""")," REMITTED ")</f>
        <v>REMITTED</v>
      </c>
      <c r="V469" s="2"/>
      <c r="W469" s="2">
        <f>IFERROR(__xludf.DUMMYFUNCTION("""COMPUTED_VALUE"""),1134.0)</f>
        <v>1134</v>
      </c>
      <c r="X469" s="2">
        <f>IFERROR(__xludf.DUMMYFUNCTION("""COMPUTED_VALUE"""),1239.0)</f>
        <v>1239</v>
      </c>
      <c r="Y469" s="2"/>
      <c r="Z469" s="2"/>
      <c r="AA469" s="2"/>
      <c r="AB469" s="2"/>
      <c r="AC469" s="2"/>
      <c r="AD469" s="2"/>
      <c r="AE469" s="2"/>
      <c r="AF469" s="2"/>
      <c r="AG469" s="2"/>
      <c r="AH469" s="2"/>
      <c r="AI469" s="2"/>
      <c r="AJ469" s="2" t="str">
        <f>IFERROR(__xludf.DUMMYFUNCTION("""COMPUTED_VALUE"""),"Pasima")</f>
        <v>Pasima</v>
      </c>
      <c r="AK469" s="2" t="str">
        <f>IFERROR(__xludf.DUMMYFUNCTION("""COMPUTED_VALUE"""),"Malasiqui")</f>
        <v>Malasiqui</v>
      </c>
      <c r="AL469" s="2" t="str">
        <f>IFERROR(__xludf.DUMMYFUNCTION("""COMPUTED_VALUE"""),"Pangasinan")</f>
        <v>Pangasinan</v>
      </c>
      <c r="AM469" s="2">
        <f>IFERROR(__xludf.DUMMYFUNCTION("""COMPUTED_VALUE"""),1.0)</f>
        <v>1</v>
      </c>
      <c r="AN469" s="2" t="str">
        <f>IFERROR(__xludf.DUMMYFUNCTION("""COMPUTED_VALUE"""),"RCEF 23-09-21 Rebidding")</f>
        <v>RCEF 23-09-21 Rebidding</v>
      </c>
      <c r="AO469" s="2">
        <f>IFERROR(__xludf.DUMMYFUNCTION("""COMPUTED_VALUE"""),2.0)</f>
        <v>2</v>
      </c>
      <c r="AP469" s="2"/>
      <c r="AQ469" s="2"/>
      <c r="AR469" s="2"/>
      <c r="AS469" s="2"/>
      <c r="AT469" s="2"/>
      <c r="AU469" s="2"/>
      <c r="AV469" s="2"/>
      <c r="AW469" s="2"/>
      <c r="AX469" s="2"/>
      <c r="AY469" s="2"/>
      <c r="AZ469" s="2"/>
      <c r="BA469" s="2"/>
      <c r="BB469" s="2"/>
    </row>
    <row r="470">
      <c r="A470" s="2">
        <f>IFERROR(__xludf.DUMMYFUNCTION("""COMPUTED_VALUE"""),466.0)</f>
        <v>466</v>
      </c>
      <c r="B470" s="2" t="str">
        <f>IFERROR(__xludf.DUMMYFUNCTION("""COMPUTED_VALUE"""),"COMPLETED")</f>
        <v>COMPLETED</v>
      </c>
      <c r="C470" s="74">
        <f>IFERROR(__xludf.DUMMYFUNCTION("""COMPUTED_VALUE"""),45547.0)</f>
        <v>45547</v>
      </c>
      <c r="D470" s="71" t="str">
        <f>IFERROR(__xludf.DUMMYFUNCTION("""COMPUTED_VALUE"""),"LOMBOY FARMERS AND FARMWORKERS ASSOCIATION")</f>
        <v>LOMBOY FARMERS AND FARMWORKERS ASSOCIATION</v>
      </c>
      <c r="E470" s="71" t="str">
        <f>IFERROR(__xludf.DUMMYFUNCTION("""COMPUTED_VALUE"""),"Labit, Villasis, PANGASINAN")</f>
        <v>Labit, Villasis, PANGASINAN</v>
      </c>
      <c r="F470" s="2" t="str">
        <f>IFERROR(__xludf.DUMMYFUNCTION("""COMPUTED_VALUE"""),"Gregoria B. Nebres")</f>
        <v>Gregoria B. Nebres</v>
      </c>
      <c r="G470" s="2">
        <f>IFERROR(__xludf.DUMMYFUNCTION("""COMPUTED_VALUE"""),9.179187543E9)</f>
        <v>9179187543</v>
      </c>
      <c r="H470" s="2">
        <f>IFERROR(__xludf.DUMMYFUNCTION("""COMPUTED_VALUE"""),155.8)</f>
        <v>155.8</v>
      </c>
      <c r="I470" s="72" t="str">
        <f>IFERROR(__xludf.DUMMYFUNCTION("""COMPUTED_VALUE"""),"PMS")</f>
        <v>PMS</v>
      </c>
      <c r="J470" s="72" t="str">
        <f>IFERROR(__xludf.DUMMYFUNCTION("""COMPUTED_VALUE"""),"PMS")</f>
        <v>PMS</v>
      </c>
      <c r="K470" s="72" t="str">
        <f>IFERROR(__xludf.DUMMYFUNCTION("""COMPUTED_VALUE"""),"LBA: UPON TYM CAMPAIGN: FOR FIRST PMS")</f>
        <v>LBA: UPON TYM CAMPAIGN: FOR FIRST PMS</v>
      </c>
      <c r="L470" s="72" t="str">
        <f>IFERROR(__xludf.DUMMYFUNCTION("""COMPUTED_VALUE"""),"CLOSED")</f>
        <v>CLOSED</v>
      </c>
      <c r="M470" s="2"/>
      <c r="N470" s="2"/>
      <c r="O470" s="2" t="str">
        <f>IFERROR(__xludf.DUMMYFUNCTION("""COMPUTED_VALUE"""),"N/A")</f>
        <v>N/A</v>
      </c>
      <c r="P470" s="2"/>
      <c r="Q470" s="2"/>
      <c r="R470" s="74">
        <f>IFERROR(__xludf.DUMMYFUNCTION("""COMPUTED_VALUE"""),45613.0)</f>
        <v>45613</v>
      </c>
      <c r="S470" s="2" t="str">
        <f>IFERROR(__xludf.DUMMYFUNCTION("""COMPUTED_VALUE"""),"N/A")</f>
        <v>N/A</v>
      </c>
      <c r="T470" s="73" t="str">
        <f>IFERROR(__xludf.DUMMYFUNCTION("""COMPUTED_VALUE""")," N/A ")</f>
        <v>N/A</v>
      </c>
      <c r="U470" s="73" t="str">
        <f>IFERROR(__xludf.DUMMYFUNCTION("""COMPUTED_VALUE""")," NO CHARGE ")</f>
        <v>NO CHARGE</v>
      </c>
      <c r="V470" s="2"/>
      <c r="W470" s="2" t="str">
        <f>IFERROR(__xludf.DUMMYFUNCTION("""COMPUTED_VALUE"""),"N/A")</f>
        <v>N/A</v>
      </c>
      <c r="X470" s="2" t="str">
        <f>IFERROR(__xludf.DUMMYFUNCTION("""COMPUTED_VALUE"""),"N/A")</f>
        <v>N/A</v>
      </c>
      <c r="Y470" s="2"/>
      <c r="Z470" s="2"/>
      <c r="AA470" s="2"/>
      <c r="AB470" s="2"/>
      <c r="AC470" s="2"/>
      <c r="AD470" s="2"/>
      <c r="AE470" s="2"/>
      <c r="AF470" s="2"/>
      <c r="AG470" s="2"/>
      <c r="AH470" s="2"/>
      <c r="AI470" s="2"/>
      <c r="AJ470" s="2" t="str">
        <f>IFERROR(__xludf.DUMMYFUNCTION("""COMPUTED_VALUE"""),"Labit")</f>
        <v>Labit</v>
      </c>
      <c r="AK470" s="2" t="str">
        <f>IFERROR(__xludf.DUMMYFUNCTION("""COMPUTED_VALUE"""),"Villasis")</f>
        <v>Villasis</v>
      </c>
      <c r="AL470" s="2" t="str">
        <f>IFERROR(__xludf.DUMMYFUNCTION("""COMPUTED_VALUE"""),"Pangasinan")</f>
        <v>Pangasinan</v>
      </c>
      <c r="AM470" s="2">
        <f>IFERROR(__xludf.DUMMYFUNCTION("""COMPUTED_VALUE"""),1.0)</f>
        <v>1</v>
      </c>
      <c r="AN470" s="2" t="str">
        <f>IFERROR(__xludf.DUMMYFUNCTION("""COMPUTED_VALUE"""),"RCEF 23-09-21 Rebidding")</f>
        <v>RCEF 23-09-21 Rebidding</v>
      </c>
      <c r="AO470" s="2">
        <f>IFERROR(__xludf.DUMMYFUNCTION("""COMPUTED_VALUE"""),2.0)</f>
        <v>2</v>
      </c>
      <c r="AP470" s="2"/>
      <c r="AQ470" s="2"/>
      <c r="AR470" s="2"/>
      <c r="AS470" s="2"/>
      <c r="AT470" s="2"/>
      <c r="AU470" s="2"/>
      <c r="AV470" s="2"/>
      <c r="AW470" s="2"/>
      <c r="AX470" s="2"/>
      <c r="AY470" s="2"/>
      <c r="AZ470" s="2"/>
      <c r="BA470" s="2"/>
      <c r="BB470" s="2"/>
    </row>
    <row r="471">
      <c r="A471" s="2">
        <f>IFERROR(__xludf.DUMMYFUNCTION("""COMPUTED_VALUE"""),467.0)</f>
        <v>467</v>
      </c>
      <c r="B471" s="2" t="str">
        <f>IFERROR(__xludf.DUMMYFUNCTION("""COMPUTED_VALUE"""),"COMPLETED")</f>
        <v>COMPLETED</v>
      </c>
      <c r="C471" s="74">
        <f>IFERROR(__xludf.DUMMYFUNCTION("""COMPUTED_VALUE"""),45547.0)</f>
        <v>45547</v>
      </c>
      <c r="D471" s="71" t="str">
        <f>IFERROR(__xludf.DUMMYFUNCTION("""COMPUTED_VALUE"""),"Good Farmers Agriculture Cooperative")</f>
        <v>Good Farmers Agriculture Cooperative</v>
      </c>
      <c r="E471" s="71" t="str">
        <f>IFERROR(__xludf.DUMMYFUNCTION("""COMPUTED_VALUE"""),"Santa Rita, Quezon, NUEVA ECIJA")</f>
        <v>Santa Rita, Quezon, NUEVA ECIJA</v>
      </c>
      <c r="F471" s="2" t="str">
        <f>IFERROR(__xludf.DUMMYFUNCTION("""COMPUTED_VALUE"""),"ALEJANDRO LIQUIRAN")</f>
        <v>ALEJANDRO LIQUIRAN</v>
      </c>
      <c r="G471" s="2">
        <f>IFERROR(__xludf.DUMMYFUNCTION("""COMPUTED_VALUE"""),9.352613178E9)</f>
        <v>9352613178</v>
      </c>
      <c r="H471" s="2">
        <f>IFERROR(__xludf.DUMMYFUNCTION("""COMPUTED_VALUE"""),119.5)</f>
        <v>119.5</v>
      </c>
      <c r="I471" s="72" t="str">
        <f>IFERROR(__xludf.DUMMYFUNCTION("""COMPUTED_VALUE"""),"PMS")</f>
        <v>PMS</v>
      </c>
      <c r="J471" s="72" t="str">
        <f>IFERROR(__xludf.DUMMYFUNCTION("""COMPUTED_VALUE"""),"PMS")</f>
        <v>PMS</v>
      </c>
      <c r="K471" s="72" t="str">
        <f>IFERROR(__xludf.DUMMYFUNCTION("""COMPUTED_VALUE"""),"UPON TYM CAMPAIGN: SUBJECT FOR FIRST PMS UNIT 2")</f>
        <v>UPON TYM CAMPAIGN: SUBJECT FOR FIRST PMS UNIT 2</v>
      </c>
      <c r="L471" s="72" t="str">
        <f>IFERROR(__xludf.DUMMYFUNCTION("""COMPUTED_VALUE"""),"JDP: DONE FIRST PMS")</f>
        <v>JDP: DONE FIRST PMS</v>
      </c>
      <c r="M471" s="2"/>
      <c r="N471" s="2" t="str">
        <f>IFERROR(__xludf.DUMMYFUNCTION("""COMPUTED_VALUE"""),"COLLECTIONS: 1 OIL FILTER- 1,533, 5L ENGINE OIL- 1.660")</f>
        <v>COLLECTIONS: 1 OIL FILTER- 1,533, 5L ENGINE OIL- 1.660</v>
      </c>
      <c r="O471" s="2">
        <f>IFERROR(__xludf.DUMMYFUNCTION("""COMPUTED_VALUE"""),1351.0)</f>
        <v>1351</v>
      </c>
      <c r="P471" s="2"/>
      <c r="Q471" s="2" t="str">
        <f>IFERROR(__xludf.DUMMYFUNCTION("""COMPUTED_VALUE"""),"Y")</f>
        <v>Y</v>
      </c>
      <c r="R471" s="74">
        <f>IFERROR(__xludf.DUMMYFUNCTION("""COMPUTED_VALUE"""),45555.0)</f>
        <v>45555</v>
      </c>
      <c r="S471" s="2" t="str">
        <f>IFERROR(__xludf.DUMMYFUNCTION("""COMPUTED_VALUE"""),"JDP/DSD")</f>
        <v>JDP/DSD</v>
      </c>
      <c r="T471" s="73">
        <f>IFERROR(__xludf.DUMMYFUNCTION("""COMPUTED_VALUE"""),3193.0)</f>
        <v>3193</v>
      </c>
      <c r="U471" s="73" t="str">
        <f>IFERROR(__xludf.DUMMYFUNCTION("""COMPUTED_VALUE""")," REMITTED ")</f>
        <v>REMITTED</v>
      </c>
      <c r="V471" s="2"/>
      <c r="W471" s="2"/>
      <c r="X471" s="2">
        <f>IFERROR(__xludf.DUMMYFUNCTION("""COMPUTED_VALUE"""),1186.0)</f>
        <v>1186</v>
      </c>
      <c r="Y471" s="2"/>
      <c r="Z471" s="2"/>
      <c r="AA471" s="2"/>
      <c r="AB471" s="2"/>
      <c r="AC471" s="2"/>
      <c r="AD471" s="2"/>
      <c r="AE471" s="2"/>
      <c r="AF471" s="2"/>
      <c r="AG471" s="2"/>
      <c r="AH471" s="2"/>
      <c r="AI471" s="2"/>
      <c r="AJ471" s="2" t="str">
        <f>IFERROR(__xludf.DUMMYFUNCTION("""COMPUTED_VALUE"""),"Santa Rita")</f>
        <v>Santa Rita</v>
      </c>
      <c r="AK471" s="2" t="str">
        <f>IFERROR(__xludf.DUMMYFUNCTION("""COMPUTED_VALUE"""),"Quezon")</f>
        <v>Quezon</v>
      </c>
      <c r="AL471" s="2" t="str">
        <f>IFERROR(__xludf.DUMMYFUNCTION("""COMPUTED_VALUE"""),"Nueva Ecija")</f>
        <v>Nueva Ecija</v>
      </c>
      <c r="AM471" s="2">
        <f>IFERROR(__xludf.DUMMYFUNCTION("""COMPUTED_VALUE"""),3.0)</f>
        <v>3</v>
      </c>
      <c r="AN471" s="2" t="str">
        <f>IFERROR(__xludf.DUMMYFUNCTION("""COMPUTED_VALUE"""),"RCEF 23-09-21 Rebidding")</f>
        <v>RCEF 23-09-21 Rebidding</v>
      </c>
      <c r="AO471" s="2">
        <f>IFERROR(__xludf.DUMMYFUNCTION("""COMPUTED_VALUE"""),3.0)</f>
        <v>3</v>
      </c>
      <c r="AP471" s="2"/>
      <c r="AQ471" s="2"/>
      <c r="AR471" s="2"/>
      <c r="AS471" s="2"/>
      <c r="AT471" s="2"/>
      <c r="AU471" s="2"/>
      <c r="AV471" s="2"/>
      <c r="AW471" s="2"/>
      <c r="AX471" s="2"/>
      <c r="AY471" s="2"/>
      <c r="AZ471" s="2"/>
      <c r="BA471" s="2"/>
      <c r="BB471" s="2"/>
    </row>
    <row r="472">
      <c r="A472" s="2">
        <f>IFERROR(__xludf.DUMMYFUNCTION("""COMPUTED_VALUE"""),468.0)</f>
        <v>468</v>
      </c>
      <c r="B472" s="2" t="str">
        <f>IFERROR(__xludf.DUMMYFUNCTION("""COMPUTED_VALUE"""),"COMPLETED")</f>
        <v>COMPLETED</v>
      </c>
      <c r="C472" s="74">
        <f>IFERROR(__xludf.DUMMYFUNCTION("""COMPUTED_VALUE"""),45547.0)</f>
        <v>45547</v>
      </c>
      <c r="D472" s="71" t="str">
        <f>IFERROR(__xludf.DUMMYFUNCTION("""COMPUTED_VALUE"""),"Good Farmers Agriculture Cooperative")</f>
        <v>Good Farmers Agriculture Cooperative</v>
      </c>
      <c r="E472" s="71" t="str">
        <f>IFERROR(__xludf.DUMMYFUNCTION("""COMPUTED_VALUE"""),"Santa Rita, Quezon, NUEVA ECIJA")</f>
        <v>Santa Rita, Quezon, NUEVA ECIJA</v>
      </c>
      <c r="F472" s="2" t="str">
        <f>IFERROR(__xludf.DUMMYFUNCTION("""COMPUTED_VALUE"""),"ALEJANDRO LIQUIRAN")</f>
        <v>ALEJANDRO LIQUIRAN</v>
      </c>
      <c r="G472" s="2">
        <f>IFERROR(__xludf.DUMMYFUNCTION("""COMPUTED_VALUE"""),9.352613178E9)</f>
        <v>9352613178</v>
      </c>
      <c r="H472" s="2">
        <f>IFERROR(__xludf.DUMMYFUNCTION("""COMPUTED_VALUE"""),119.5)</f>
        <v>119.5</v>
      </c>
      <c r="I472" s="72" t="str">
        <f>IFERROR(__xludf.DUMMYFUNCTION("""COMPUTED_VALUE"""),"PMS")</f>
        <v>PMS</v>
      </c>
      <c r="J472" s="72" t="str">
        <f>IFERROR(__xludf.DUMMYFUNCTION("""COMPUTED_VALUE"""),"PMS")</f>
        <v>PMS</v>
      </c>
      <c r="K472" s="72" t="str">
        <f>IFERROR(__xludf.DUMMYFUNCTION("""COMPUTED_VALUE"""),"UPON TYM CAMPAIGN: SUBJECT FOR FIRST PMS UNIT 2")</f>
        <v>UPON TYM CAMPAIGN: SUBJECT FOR FIRST PMS UNIT 2</v>
      </c>
      <c r="L472" s="72" t="str">
        <f>IFERROR(__xludf.DUMMYFUNCTION("""COMPUTED_VALUE"""),"JDP: DONE FIRST PMS")</f>
        <v>JDP: DONE FIRST PMS</v>
      </c>
      <c r="M472" s="2"/>
      <c r="N472" s="2" t="str">
        <f>IFERROR(__xludf.DUMMYFUNCTION("""COMPUTED_VALUE"""),"COLLECTIONS: 1 OIL FILTER- 1,533, 5L ENGINE OIL- 1.660")</f>
        <v>COLLECTIONS: 1 OIL FILTER- 1,533, 5L ENGINE OIL- 1.660</v>
      </c>
      <c r="O472" s="2">
        <f>IFERROR(__xludf.DUMMYFUNCTION("""COMPUTED_VALUE"""),1352.0)</f>
        <v>1352</v>
      </c>
      <c r="P472" s="2"/>
      <c r="Q472" s="2" t="str">
        <f>IFERROR(__xludf.DUMMYFUNCTION("""COMPUTED_VALUE"""),"Y")</f>
        <v>Y</v>
      </c>
      <c r="R472" s="74">
        <f>IFERROR(__xludf.DUMMYFUNCTION("""COMPUTED_VALUE"""),45558.0)</f>
        <v>45558</v>
      </c>
      <c r="S472" s="2" t="str">
        <f>IFERROR(__xludf.DUMMYFUNCTION("""COMPUTED_VALUE"""),"JDP/DSD")</f>
        <v>JDP/DSD</v>
      </c>
      <c r="T472" s="73">
        <f>IFERROR(__xludf.DUMMYFUNCTION("""COMPUTED_VALUE"""),3193.0)</f>
        <v>3193</v>
      </c>
      <c r="U472" s="73" t="str">
        <f>IFERROR(__xludf.DUMMYFUNCTION("""COMPUTED_VALUE""")," REMITTED ")</f>
        <v>REMITTED</v>
      </c>
      <c r="V472" s="2"/>
      <c r="W472" s="2"/>
      <c r="X472" s="2">
        <f>IFERROR(__xludf.DUMMYFUNCTION("""COMPUTED_VALUE"""),1185.0)</f>
        <v>1185</v>
      </c>
      <c r="Y472" s="2"/>
      <c r="Z472" s="2"/>
      <c r="AA472" s="2"/>
      <c r="AB472" s="2"/>
      <c r="AC472" s="2"/>
      <c r="AD472" s="2"/>
      <c r="AE472" s="2"/>
      <c r="AF472" s="2"/>
      <c r="AG472" s="2"/>
      <c r="AH472" s="2"/>
      <c r="AI472" s="2"/>
      <c r="AJ472" s="2" t="str">
        <f>IFERROR(__xludf.DUMMYFUNCTION("""COMPUTED_VALUE"""),"Santa Rita")</f>
        <v>Santa Rita</v>
      </c>
      <c r="AK472" s="2" t="str">
        <f>IFERROR(__xludf.DUMMYFUNCTION("""COMPUTED_VALUE"""),"Quezon")</f>
        <v>Quezon</v>
      </c>
      <c r="AL472" s="2" t="str">
        <f>IFERROR(__xludf.DUMMYFUNCTION("""COMPUTED_VALUE"""),"Nueva Ecija")</f>
        <v>Nueva Ecija</v>
      </c>
      <c r="AM472" s="2">
        <f>IFERROR(__xludf.DUMMYFUNCTION("""COMPUTED_VALUE"""),3.0)</f>
        <v>3</v>
      </c>
      <c r="AN472" s="2" t="str">
        <f>IFERROR(__xludf.DUMMYFUNCTION("""COMPUTED_VALUE"""),"RCEF 23-09-21 Rebidding")</f>
        <v>RCEF 23-09-21 Rebidding</v>
      </c>
      <c r="AO472" s="2">
        <f>IFERROR(__xludf.DUMMYFUNCTION("""COMPUTED_VALUE"""),3.0)</f>
        <v>3</v>
      </c>
      <c r="AP472" s="2"/>
      <c r="AQ472" s="2"/>
      <c r="AR472" s="2"/>
      <c r="AS472" s="2"/>
      <c r="AT472" s="2"/>
      <c r="AU472" s="2"/>
      <c r="AV472" s="2"/>
      <c r="AW472" s="2"/>
      <c r="AX472" s="2"/>
      <c r="AY472" s="2"/>
      <c r="AZ472" s="2"/>
      <c r="BA472" s="2"/>
      <c r="BB472" s="2"/>
    </row>
    <row r="473">
      <c r="A473" s="2">
        <f>IFERROR(__xludf.DUMMYFUNCTION("""COMPUTED_VALUE"""),469.0)</f>
        <v>469</v>
      </c>
      <c r="B473" s="2" t="str">
        <f>IFERROR(__xludf.DUMMYFUNCTION("""COMPUTED_VALUE"""),"COMPLETED")</f>
        <v>COMPLETED</v>
      </c>
      <c r="C473" s="74">
        <f>IFERROR(__xludf.DUMMYFUNCTION("""COMPUTED_VALUE"""),45548.0)</f>
        <v>45548</v>
      </c>
      <c r="D473" s="71" t="str">
        <f>IFERROR(__xludf.DUMMYFUNCTION("""COMPUTED_VALUE"""),"LACARON FARMERS ASSOCIATION")</f>
        <v>LACARON FARMERS ASSOCIATION</v>
      </c>
      <c r="E473" s="71" t="str">
        <f>IFERROR(__xludf.DUMMYFUNCTION("""COMPUTED_VALUE"""),"Lacaron, Sibalom, ANTIQUE")</f>
        <v>Lacaron, Sibalom, ANTIQUE</v>
      </c>
      <c r="F473" s="2" t="str">
        <f>IFERROR(__xludf.DUMMYFUNCTION("""COMPUTED_VALUE"""),"JENEY IVEY ASOY")</f>
        <v>JENEY IVEY ASOY</v>
      </c>
      <c r="G473" s="2">
        <f>IFERROR(__xludf.DUMMYFUNCTION("""COMPUTED_VALUE"""),9.675834836E9)</f>
        <v>9675834836</v>
      </c>
      <c r="H473" s="2"/>
      <c r="I473" s="72" t="str">
        <f>IFERROR(__xludf.DUMMYFUNCTION("""COMPUTED_VALUE"""),"PMS")</f>
        <v>PMS</v>
      </c>
      <c r="J473" s="72" t="str">
        <f>IFERROR(__xludf.DUMMYFUNCTION("""COMPUTED_VALUE"""),"PMS")</f>
        <v>PMS</v>
      </c>
      <c r="K473" s="72" t="str">
        <f>IFERROR(__xludf.DUMMYFUNCTION("""COMPUTED_VALUE"""),"ERP: FIRST PMS: SELF PMS")</f>
        <v>ERP: FIRST PMS: SELF PMS</v>
      </c>
      <c r="L473" s="72" t="str">
        <f>IFERROR(__xludf.DUMMYFUNCTION("""COMPUTED_VALUE"""),"CALL:SEND AGREEMENT: FB; JENE IVEY ASOY: AGREEMENT SENT")</f>
        <v>CALL:SEND AGREEMENT: FB; JENE IVEY ASOY: AGREEMENT SENT</v>
      </c>
      <c r="M473" s="2"/>
      <c r="N473" s="2"/>
      <c r="O473" s="2" t="str">
        <f>IFERROR(__xludf.DUMMYFUNCTION("""COMPUTED_VALUE"""),"N/A")</f>
        <v>N/A</v>
      </c>
      <c r="P473" s="2"/>
      <c r="Q473" s="2"/>
      <c r="R473" s="74">
        <f>IFERROR(__xludf.DUMMYFUNCTION("""COMPUTED_VALUE"""),45550.0)</f>
        <v>45550</v>
      </c>
      <c r="S473" s="2" t="str">
        <f>IFERROR(__xludf.DUMMYFUNCTION("""COMPUTED_VALUE"""),"MYKEE")</f>
        <v>MYKEE</v>
      </c>
      <c r="T473" s="73" t="str">
        <f>IFERROR(__xludf.DUMMYFUNCTION("""COMPUTED_VALUE""")," N/A ")</f>
        <v>N/A</v>
      </c>
      <c r="U473" s="73" t="str">
        <f>IFERROR(__xludf.DUMMYFUNCTION("""COMPUTED_VALUE""")," NO CHARGE ")</f>
        <v>NO CHARGE</v>
      </c>
      <c r="V473" s="2"/>
      <c r="W473" s="2" t="str">
        <f>IFERROR(__xludf.DUMMYFUNCTION("""COMPUTED_VALUE"""),"N/A")</f>
        <v>N/A</v>
      </c>
      <c r="X473" s="2" t="str">
        <f>IFERROR(__xludf.DUMMYFUNCTION("""COMPUTED_VALUE"""),"N/A")</f>
        <v>N/A</v>
      </c>
      <c r="Y473" s="2"/>
      <c r="Z473" s="2"/>
      <c r="AA473" s="2"/>
      <c r="AB473" s="2"/>
      <c r="AC473" s="2"/>
      <c r="AD473" s="2"/>
      <c r="AE473" s="2"/>
      <c r="AF473" s="2"/>
      <c r="AG473" s="2"/>
      <c r="AH473" s="2"/>
      <c r="AI473" s="2"/>
      <c r="AJ473" s="2" t="str">
        <f>IFERROR(__xludf.DUMMYFUNCTION("""COMPUTED_VALUE"""),"Lacaron")</f>
        <v>Lacaron</v>
      </c>
      <c r="AK473" s="2" t="str">
        <f>IFERROR(__xludf.DUMMYFUNCTION("""COMPUTED_VALUE"""),"Sibalom")</f>
        <v>Sibalom</v>
      </c>
      <c r="AL473" s="2" t="str">
        <f>IFERROR(__xludf.DUMMYFUNCTION("""COMPUTED_VALUE"""),"Antique")</f>
        <v>Antique</v>
      </c>
      <c r="AM473" s="2">
        <f>IFERROR(__xludf.DUMMYFUNCTION("""COMPUTED_VALUE"""),6.0)</f>
        <v>6</v>
      </c>
      <c r="AN473" s="2" t="str">
        <f>IFERROR(__xludf.DUMMYFUNCTION("""COMPUTED_VALUE"""),"RCEF 23-09-21 Rebidding")</f>
        <v>RCEF 23-09-21 Rebidding</v>
      </c>
      <c r="AO473" s="2">
        <f>IFERROR(__xludf.DUMMYFUNCTION("""COMPUTED_VALUE"""),4.0)</f>
        <v>4</v>
      </c>
      <c r="AP473" s="2"/>
      <c r="AQ473" s="2"/>
      <c r="AR473" s="2"/>
      <c r="AS473" s="2"/>
      <c r="AT473" s="2"/>
      <c r="AU473" s="2"/>
      <c r="AV473" s="2"/>
      <c r="AW473" s="2"/>
      <c r="AX473" s="2"/>
      <c r="AY473" s="2"/>
      <c r="AZ473" s="2"/>
      <c r="BA473" s="2"/>
      <c r="BB473" s="2"/>
    </row>
    <row r="474">
      <c r="A474" s="2">
        <f>IFERROR(__xludf.DUMMYFUNCTION("""COMPUTED_VALUE"""),470.0)</f>
        <v>470</v>
      </c>
      <c r="B474" s="2" t="str">
        <f>IFERROR(__xludf.DUMMYFUNCTION("""COMPUTED_VALUE"""),"COMPLETED")</f>
        <v>COMPLETED</v>
      </c>
      <c r="C474" s="74">
        <f>IFERROR(__xludf.DUMMYFUNCTION("""COMPUTED_VALUE"""),45548.0)</f>
        <v>45548</v>
      </c>
      <c r="D474" s="71" t="str">
        <f>IFERROR(__xludf.DUMMYFUNCTION("""COMPUTED_VALUE"""),"SAN LUIS CONDEZ TIG-ANIT FARMERS IRRIGATORS ASSOCIATION")</f>
        <v>SAN LUIS CONDEZ TIG-ANIT FARMERS IRRIGATORS ASSOCIATION</v>
      </c>
      <c r="E474" s="71" t="str">
        <f>IFERROR(__xludf.DUMMYFUNCTION("""COMPUTED_VALUE"""),"San Luis, Culasi, ANTIQUE")</f>
        <v>San Luis, Culasi, ANTIQUE</v>
      </c>
      <c r="F474" s="2" t="str">
        <f>IFERROR(__xludf.DUMMYFUNCTION("""COMPUTED_VALUE"""),"DANDY V. BALINAS SR.")</f>
        <v>DANDY V. BALINAS SR.</v>
      </c>
      <c r="G474" s="2">
        <f>IFERROR(__xludf.DUMMYFUNCTION("""COMPUTED_VALUE"""),9.098375026E9)</f>
        <v>9098375026</v>
      </c>
      <c r="H474" s="2">
        <f>IFERROR(__xludf.DUMMYFUNCTION("""COMPUTED_VALUE"""),79.0)</f>
        <v>79</v>
      </c>
      <c r="I474" s="72" t="str">
        <f>IFERROR(__xludf.DUMMYFUNCTION("""COMPUTED_VALUE"""),"REPAIR - DISC PLOW")</f>
        <v>REPAIR - DISC PLOW</v>
      </c>
      <c r="J474" s="72" t="str">
        <f>IFERROR(__xludf.DUMMYFUNCTION("""COMPUTED_VALUE"""),"Disc")</f>
        <v>Disc</v>
      </c>
      <c r="K474" s="72" t="str">
        <f>IFERROR(__xludf.DUMMYFUNCTION("""COMPUTED_VALUE"""),"ERP: DISC PLOW PROBLEM
EGT: NAPUTOL ANG PINAG WELDINGAN NG DISC, 2 DRIVEN DISC (38,000)
MYKEE: CONNOT BE REACH")</f>
        <v>ERP: DISC PLOW PROBLEM
EGT: NAPUTOL ANG PINAG WELDINGAN NG DISC, 2 DRIVEN DISC (38,000)
MYKEE: CONNOT BE REACH</v>
      </c>
      <c r="L474" s="72" t="str">
        <f>IFERROR(__xludf.DUMMYFUNCTION("""COMPUTED_VALUE"""),"EGT: OK NA PINA WELDING NALANG NILA")</f>
        <v>EGT: OK NA PINA WELDING NALANG NILA</v>
      </c>
      <c r="M474" s="2"/>
      <c r="N474" s="2"/>
      <c r="O474" s="2" t="str">
        <f>IFERROR(__xludf.DUMMYFUNCTION("""COMPUTED_VALUE"""),"N/A")</f>
        <v>N/A</v>
      </c>
      <c r="P474" s="2"/>
      <c r="Q474" s="2"/>
      <c r="R474" s="74">
        <f>IFERROR(__xludf.DUMMYFUNCTION("""COMPUTED_VALUE"""),45695.0)</f>
        <v>45695</v>
      </c>
      <c r="S474" s="2" t="str">
        <f>IFERROR(__xludf.DUMMYFUNCTION("""COMPUTED_VALUE"""),"EGT/DRM")</f>
        <v>EGT/DRM</v>
      </c>
      <c r="T474" s="73" t="str">
        <f>IFERROR(__xludf.DUMMYFUNCTION("""COMPUTED_VALUE""")," N/A ")</f>
        <v>N/A</v>
      </c>
      <c r="U474" s="73" t="str">
        <f>IFERROR(__xludf.DUMMYFUNCTION("""COMPUTED_VALUE""")," NO CHARGE ")</f>
        <v>NO CHARGE</v>
      </c>
      <c r="V474" s="2"/>
      <c r="W474" s="2" t="str">
        <f>IFERROR(__xludf.DUMMYFUNCTION("""COMPUTED_VALUE"""),"N/A")</f>
        <v>N/A</v>
      </c>
      <c r="X474" s="2" t="str">
        <f>IFERROR(__xludf.DUMMYFUNCTION("""COMPUTED_VALUE"""),"N/A")</f>
        <v>N/A</v>
      </c>
      <c r="Y474" s="2"/>
      <c r="Z474" s="2"/>
      <c r="AA474" s="2"/>
      <c r="AB474" s="2"/>
      <c r="AC474" s="2" t="str">
        <f>IFERROR(__xludf.DUMMYFUNCTION("""COMPUTED_VALUE"""),"liri")</f>
        <v>liri</v>
      </c>
      <c r="AD474" s="2"/>
      <c r="AE474" s="2"/>
      <c r="AF474" s="2"/>
      <c r="AG474" s="2"/>
      <c r="AH474" s="2"/>
      <c r="AI474" s="2"/>
      <c r="AJ474" s="2" t="str">
        <f>IFERROR(__xludf.DUMMYFUNCTION("""COMPUTED_VALUE"""),"San Luis")</f>
        <v>San Luis</v>
      </c>
      <c r="AK474" s="2" t="str">
        <f>IFERROR(__xludf.DUMMYFUNCTION("""COMPUTED_VALUE"""),"Culasi")</f>
        <v>Culasi</v>
      </c>
      <c r="AL474" s="2" t="str">
        <f>IFERROR(__xludf.DUMMYFUNCTION("""COMPUTED_VALUE"""),"Antique")</f>
        <v>Antique</v>
      </c>
      <c r="AM474" s="2">
        <f>IFERROR(__xludf.DUMMYFUNCTION("""COMPUTED_VALUE"""),6.0)</f>
        <v>6</v>
      </c>
      <c r="AN474" s="2" t="str">
        <f>IFERROR(__xludf.DUMMYFUNCTION("""COMPUTED_VALUE"""),"RCEF 23-09-21 Rebidding")</f>
        <v>RCEF 23-09-21 Rebidding</v>
      </c>
      <c r="AO474" s="2">
        <f>IFERROR(__xludf.DUMMYFUNCTION("""COMPUTED_VALUE"""),4.0)</f>
        <v>4</v>
      </c>
      <c r="AP474" s="2"/>
      <c r="AQ474" s="2"/>
      <c r="AR474" s="2"/>
      <c r="AS474" s="2"/>
      <c r="AT474" s="2"/>
      <c r="AU474" s="2"/>
      <c r="AV474" s="2"/>
      <c r="AW474" s="2"/>
      <c r="AX474" s="2"/>
      <c r="AY474" s="2"/>
      <c r="AZ474" s="2"/>
      <c r="BA474" s="2"/>
      <c r="BB474" s="2"/>
    </row>
    <row r="475">
      <c r="A475" s="2">
        <f>IFERROR(__xludf.DUMMYFUNCTION("""COMPUTED_VALUE"""),471.0)</f>
        <v>471</v>
      </c>
      <c r="B475" s="2" t="str">
        <f>IFERROR(__xludf.DUMMYFUNCTION("""COMPUTED_VALUE"""),"COMPLETED")</f>
        <v>COMPLETED</v>
      </c>
      <c r="C475" s="74">
        <f>IFERROR(__xludf.DUMMYFUNCTION("""COMPUTED_VALUE"""),45548.0)</f>
        <v>45548</v>
      </c>
      <c r="D475" s="71" t="str">
        <f>IFERROR(__xludf.DUMMYFUNCTION("""COMPUTED_VALUE"""),"Provincial Local Government Unit of Nueva Ecija")</f>
        <v>Provincial Local Government Unit of Nueva Ecija</v>
      </c>
      <c r="E475" s="71" t="str">
        <f>IFERROR(__xludf.DUMMYFUNCTION("""COMPUTED_VALUE"""),"Singalat, Palayan City, NUEVA ECIJA")</f>
        <v>Singalat, Palayan City, NUEVA ECIJA</v>
      </c>
      <c r="F475" s="2"/>
      <c r="G475" s="2"/>
      <c r="H475" s="2"/>
      <c r="I475" s="72" t="str">
        <f>IFERROR(__xludf.DUMMYFUNCTION("""COMPUTED_VALUE"""),"REPAIR - TRACTOR")</f>
        <v>REPAIR - TRACTOR</v>
      </c>
      <c r="J475" s="72" t="str">
        <f>IFERROR(__xludf.DUMMYFUNCTION("""COMPUTED_VALUE"""),"GPS")</f>
        <v>GPS</v>
      </c>
      <c r="K475" s="72" t="str">
        <f>IFERROR(__xludf.DUMMYFUNCTION("""COMPUTED_VALUE"""),"ACS: 2 UNITS NO GPS")</f>
        <v>ACS: 2 UNITS NO GPS</v>
      </c>
      <c r="L475" s="72" t="str">
        <f>IFERROR(__xludf.DUMMYFUNCTION("""COMPUTED_VALUE"""),"DSD: DONE INSTALL GPS")</f>
        <v>DSD: DONE INSTALL GPS</v>
      </c>
      <c r="M475" s="2"/>
      <c r="N475" s="2"/>
      <c r="O475" s="2">
        <f>IFERROR(__xludf.DUMMYFUNCTION("""COMPUTED_VALUE"""),1057.0)</f>
        <v>1057</v>
      </c>
      <c r="P475" s="2"/>
      <c r="Q475" s="2" t="str">
        <f>IFERROR(__xludf.DUMMYFUNCTION("""COMPUTED_VALUE"""),"Y")</f>
        <v>Y</v>
      </c>
      <c r="R475" s="74">
        <f>IFERROR(__xludf.DUMMYFUNCTION("""COMPUTED_VALUE"""),45636.0)</f>
        <v>45636</v>
      </c>
      <c r="S475" s="2" t="str">
        <f>IFERROR(__xludf.DUMMYFUNCTION("""COMPUTED_VALUE"""),"DSD/ACS")</f>
        <v>DSD/ACS</v>
      </c>
      <c r="T475" s="73" t="str">
        <f>IFERROR(__xludf.DUMMYFUNCTION("""COMPUTED_VALUE""")," N/A ")</f>
        <v>N/A</v>
      </c>
      <c r="U475" s="73" t="str">
        <f>IFERROR(__xludf.DUMMYFUNCTION("""COMPUTED_VALUE""")," NO CHARGE ")</f>
        <v>NO CHARGE</v>
      </c>
      <c r="V475" s="2"/>
      <c r="W475" s="2" t="str">
        <f>IFERROR(__xludf.DUMMYFUNCTION("""COMPUTED_VALUE"""),"N/A")</f>
        <v>N/A</v>
      </c>
      <c r="X475" s="2" t="str">
        <f>IFERROR(__xludf.DUMMYFUNCTION("""COMPUTED_VALUE"""),"N/A")</f>
        <v>N/A</v>
      </c>
      <c r="Y475" s="2"/>
      <c r="Z475" s="2"/>
      <c r="AA475" s="2"/>
      <c r="AB475" s="2"/>
      <c r="AC475" s="2"/>
      <c r="AD475" s="2"/>
      <c r="AE475" s="2"/>
      <c r="AF475" s="2"/>
      <c r="AG475" s="2"/>
      <c r="AH475" s="2"/>
      <c r="AI475" s="2"/>
      <c r="AJ475" s="2" t="str">
        <f>IFERROR(__xludf.DUMMYFUNCTION("""COMPUTED_VALUE"""),"Singalat")</f>
        <v>Singalat</v>
      </c>
      <c r="AK475" s="2" t="str">
        <f>IFERROR(__xludf.DUMMYFUNCTION("""COMPUTED_VALUE"""),"Palayan City")</f>
        <v>Palayan City</v>
      </c>
      <c r="AL475" s="2" t="str">
        <f>IFERROR(__xludf.DUMMYFUNCTION("""COMPUTED_VALUE"""),"Nueva Ecija")</f>
        <v>Nueva Ecija</v>
      </c>
      <c r="AM475" s="2">
        <f>IFERROR(__xludf.DUMMYFUNCTION("""COMPUTED_VALUE"""),3.0)</f>
        <v>3</v>
      </c>
      <c r="AN475" s="2" t="str">
        <f>IFERROR(__xludf.DUMMYFUNCTION("""COMPUTED_VALUE"""),"RCEF 23-09-21 Rebidding")</f>
        <v>RCEF 23-09-21 Rebidding</v>
      </c>
      <c r="AO475" s="2">
        <f>IFERROR(__xludf.DUMMYFUNCTION("""COMPUTED_VALUE"""),3.0)</f>
        <v>3</v>
      </c>
      <c r="AP475" s="2"/>
      <c r="AQ475" s="2"/>
      <c r="AR475" s="2"/>
      <c r="AS475" s="2"/>
      <c r="AT475" s="2"/>
      <c r="AU475" s="2"/>
      <c r="AV475" s="2"/>
      <c r="AW475" s="2"/>
      <c r="AX475" s="2"/>
      <c r="AY475" s="2"/>
      <c r="AZ475" s="2"/>
      <c r="BA475" s="2"/>
      <c r="BB475" s="2"/>
    </row>
    <row r="476">
      <c r="A476" s="2">
        <f>IFERROR(__xludf.DUMMYFUNCTION("""COMPUTED_VALUE"""),472.0)</f>
        <v>472</v>
      </c>
      <c r="B476" s="2" t="str">
        <f>IFERROR(__xludf.DUMMYFUNCTION("""COMPUTED_VALUE"""),"COMPLETED")</f>
        <v>COMPLETED</v>
      </c>
      <c r="C476" s="74">
        <f>IFERROR(__xludf.DUMMYFUNCTION("""COMPUTED_VALUE"""),45548.0)</f>
        <v>45548</v>
      </c>
      <c r="D476" s="71" t="str">
        <f>IFERROR(__xludf.DUMMYFUNCTION("""COMPUTED_VALUE"""),"Provincial Local Government Unit of Nueva Ecija")</f>
        <v>Provincial Local Government Unit of Nueva Ecija</v>
      </c>
      <c r="E476" s="71" t="str">
        <f>IFERROR(__xludf.DUMMYFUNCTION("""COMPUTED_VALUE"""),"Singalat, Palayan City, NUEVA ECIJA")</f>
        <v>Singalat, Palayan City, NUEVA ECIJA</v>
      </c>
      <c r="F476" s="2"/>
      <c r="G476" s="2"/>
      <c r="H476" s="2"/>
      <c r="I476" s="72" t="str">
        <f>IFERROR(__xludf.DUMMYFUNCTION("""COMPUTED_VALUE"""),"REPAIR - TRACTOR")</f>
        <v>REPAIR - TRACTOR</v>
      </c>
      <c r="J476" s="72" t="str">
        <f>IFERROR(__xludf.DUMMYFUNCTION("""COMPUTED_VALUE"""),"GPS")</f>
        <v>GPS</v>
      </c>
      <c r="K476" s="72" t="str">
        <f>IFERROR(__xludf.DUMMYFUNCTION("""COMPUTED_VALUE"""),"ACS: 2 UNITS NO GPS")</f>
        <v>ACS: 2 UNITS NO GPS</v>
      </c>
      <c r="L476" s="72" t="str">
        <f>IFERROR(__xludf.DUMMYFUNCTION("""COMPUTED_VALUE"""),"DSD: DONE INSTALL GPS")</f>
        <v>DSD: DONE INSTALL GPS</v>
      </c>
      <c r="M476" s="2"/>
      <c r="N476" s="2"/>
      <c r="O476" s="2">
        <f>IFERROR(__xludf.DUMMYFUNCTION("""COMPUTED_VALUE"""),1058.0)</f>
        <v>1058</v>
      </c>
      <c r="P476" s="2"/>
      <c r="Q476" s="2" t="str">
        <f>IFERROR(__xludf.DUMMYFUNCTION("""COMPUTED_VALUE"""),"Y")</f>
        <v>Y</v>
      </c>
      <c r="R476" s="74">
        <f>IFERROR(__xludf.DUMMYFUNCTION("""COMPUTED_VALUE"""),45636.0)</f>
        <v>45636</v>
      </c>
      <c r="S476" s="2" t="str">
        <f>IFERROR(__xludf.DUMMYFUNCTION("""COMPUTED_VALUE"""),"DSD/ACS")</f>
        <v>DSD/ACS</v>
      </c>
      <c r="T476" s="73" t="str">
        <f>IFERROR(__xludf.DUMMYFUNCTION("""COMPUTED_VALUE""")," N/A ")</f>
        <v>N/A</v>
      </c>
      <c r="U476" s="73" t="str">
        <f>IFERROR(__xludf.DUMMYFUNCTION("""COMPUTED_VALUE""")," NO CHARGE ")</f>
        <v>NO CHARGE</v>
      </c>
      <c r="V476" s="2"/>
      <c r="W476" s="2" t="str">
        <f>IFERROR(__xludf.DUMMYFUNCTION("""COMPUTED_VALUE"""),"N/A")</f>
        <v>N/A</v>
      </c>
      <c r="X476" s="2" t="str">
        <f>IFERROR(__xludf.DUMMYFUNCTION("""COMPUTED_VALUE"""),"N/A")</f>
        <v>N/A</v>
      </c>
      <c r="Y476" s="2"/>
      <c r="Z476" s="2"/>
      <c r="AA476" s="2"/>
      <c r="AB476" s="2"/>
      <c r="AC476" s="2"/>
      <c r="AD476" s="2"/>
      <c r="AE476" s="2"/>
      <c r="AF476" s="2"/>
      <c r="AG476" s="2"/>
      <c r="AH476" s="2"/>
      <c r="AI476" s="2"/>
      <c r="AJ476" s="2" t="str">
        <f>IFERROR(__xludf.DUMMYFUNCTION("""COMPUTED_VALUE"""),"Singalat")</f>
        <v>Singalat</v>
      </c>
      <c r="AK476" s="2" t="str">
        <f>IFERROR(__xludf.DUMMYFUNCTION("""COMPUTED_VALUE"""),"Palayan City")</f>
        <v>Palayan City</v>
      </c>
      <c r="AL476" s="2" t="str">
        <f>IFERROR(__xludf.DUMMYFUNCTION("""COMPUTED_VALUE"""),"Nueva Ecija")</f>
        <v>Nueva Ecija</v>
      </c>
      <c r="AM476" s="2">
        <f>IFERROR(__xludf.DUMMYFUNCTION("""COMPUTED_VALUE"""),3.0)</f>
        <v>3</v>
      </c>
      <c r="AN476" s="2" t="str">
        <f>IFERROR(__xludf.DUMMYFUNCTION("""COMPUTED_VALUE"""),"RCEF 23-09-21 Rebidding")</f>
        <v>RCEF 23-09-21 Rebidding</v>
      </c>
      <c r="AO476" s="2">
        <f>IFERROR(__xludf.DUMMYFUNCTION("""COMPUTED_VALUE"""),3.0)</f>
        <v>3</v>
      </c>
      <c r="AP476" s="2"/>
      <c r="AQ476" s="2"/>
      <c r="AR476" s="2"/>
      <c r="AS476" s="2"/>
      <c r="AT476" s="2"/>
      <c r="AU476" s="2"/>
      <c r="AV476" s="2"/>
      <c r="AW476" s="2"/>
      <c r="AX476" s="2"/>
      <c r="AY476" s="2"/>
      <c r="AZ476" s="2"/>
      <c r="BA476" s="2"/>
      <c r="BB476" s="2"/>
    </row>
    <row r="477">
      <c r="A477" s="2">
        <f>IFERROR(__xludf.DUMMYFUNCTION("""COMPUTED_VALUE"""),473.0)</f>
        <v>473</v>
      </c>
      <c r="B477" s="2" t="str">
        <f>IFERROR(__xludf.DUMMYFUNCTION("""COMPUTED_VALUE"""),"COMPLETED")</f>
        <v>COMPLETED</v>
      </c>
      <c r="C477" s="74">
        <f>IFERROR(__xludf.DUMMYFUNCTION("""COMPUTED_VALUE"""),45548.0)</f>
        <v>45548</v>
      </c>
      <c r="D477" s="71" t="str">
        <f>IFERROR(__xludf.DUMMYFUNCTION("""COMPUTED_VALUE"""),"SAN CRISTOBAL FARMERS IRRIGATORS' ASSOCIATION, INC.")</f>
        <v>SAN CRISTOBAL FARMERS IRRIGATORS' ASSOCIATION, INC.</v>
      </c>
      <c r="E477" s="71" t="str">
        <f>IFERROR(__xludf.DUMMYFUNCTION("""COMPUTED_VALUE"""),"San Cristobal, Licab, NUEVA ECIJA")</f>
        <v>San Cristobal, Licab, NUEVA ECIJA</v>
      </c>
      <c r="F477" s="2" t="str">
        <f>IFERROR(__xludf.DUMMYFUNCTION("""COMPUTED_VALUE"""),"Alfredo M. Lozano")</f>
        <v>Alfredo M. Lozano</v>
      </c>
      <c r="G477" s="2" t="str">
        <f>IFERROR(__xludf.DUMMYFUNCTION("""COMPUTED_VALUE"""),"0906-733-2025")</f>
        <v>0906-733-2025</v>
      </c>
      <c r="H477" s="2"/>
      <c r="I477" s="72" t="str">
        <f>IFERROR(__xludf.DUMMYFUNCTION("""COMPUTED_VALUE"""),"REPAIR - TRACTOR")</f>
        <v>REPAIR - TRACTOR</v>
      </c>
      <c r="J477" s="72" t="str">
        <f>IFERROR(__xludf.DUMMYFUNCTION("""COMPUTED_VALUE"""),"GPS")</f>
        <v>GPS</v>
      </c>
      <c r="K477" s="72" t="str">
        <f>IFERROR(__xludf.DUMMYFUNCTION("""COMPUTED_VALUE"""),"JHP: NO GPS")</f>
        <v>JHP: NO GPS</v>
      </c>
      <c r="L477" s="72" t="str">
        <f>IFERROR(__xludf.DUMMYFUNCTION("""COMPUTED_VALUE"""),"EGT: DONE")</f>
        <v>EGT: DONE</v>
      </c>
      <c r="M477" s="2"/>
      <c r="N477" s="2"/>
      <c r="O477" s="2" t="str">
        <f>IFERROR(__xludf.DUMMYFUNCTION("""COMPUTED_VALUE"""),"N/A")</f>
        <v>N/A</v>
      </c>
      <c r="P477" s="2"/>
      <c r="Q477" s="2"/>
      <c r="R477" s="74">
        <f>IFERROR(__xludf.DUMMYFUNCTION("""COMPUTED_VALUE"""),45618.0)</f>
        <v>45618</v>
      </c>
      <c r="S477" s="2" t="str">
        <f>IFERROR(__xludf.DUMMYFUNCTION("""COMPUTED_VALUE"""),"EGT")</f>
        <v>EGT</v>
      </c>
      <c r="T477" s="73" t="str">
        <f>IFERROR(__xludf.DUMMYFUNCTION("""COMPUTED_VALUE""")," N/A ")</f>
        <v>N/A</v>
      </c>
      <c r="U477" s="73" t="str">
        <f>IFERROR(__xludf.DUMMYFUNCTION("""COMPUTED_VALUE""")," NO CHARGE ")</f>
        <v>NO CHARGE</v>
      </c>
      <c r="V477" s="2"/>
      <c r="W477" s="2" t="str">
        <f>IFERROR(__xludf.DUMMYFUNCTION("""COMPUTED_VALUE"""),"N/A")</f>
        <v>N/A</v>
      </c>
      <c r="X477" s="2" t="str">
        <f>IFERROR(__xludf.DUMMYFUNCTION("""COMPUTED_VALUE"""),"N/A")</f>
        <v>N/A</v>
      </c>
      <c r="Y477" s="2"/>
      <c r="Z477" s="2"/>
      <c r="AA477" s="2"/>
      <c r="AB477" s="2"/>
      <c r="AC477" s="2"/>
      <c r="AD477" s="2"/>
      <c r="AE477" s="2"/>
      <c r="AF477" s="2"/>
      <c r="AG477" s="2"/>
      <c r="AH477" s="2"/>
      <c r="AI477" s="2"/>
      <c r="AJ477" s="2" t="str">
        <f>IFERROR(__xludf.DUMMYFUNCTION("""COMPUTED_VALUE"""),"San Cristobal")</f>
        <v>San Cristobal</v>
      </c>
      <c r="AK477" s="2" t="str">
        <f>IFERROR(__xludf.DUMMYFUNCTION("""COMPUTED_VALUE"""),"Licab")</f>
        <v>Licab</v>
      </c>
      <c r="AL477" s="2" t="str">
        <f>IFERROR(__xludf.DUMMYFUNCTION("""COMPUTED_VALUE"""),"Nueva Ecija")</f>
        <v>Nueva Ecija</v>
      </c>
      <c r="AM477" s="2">
        <f>IFERROR(__xludf.DUMMYFUNCTION("""COMPUTED_VALUE"""),3.0)</f>
        <v>3</v>
      </c>
      <c r="AN477" s="2" t="str">
        <f>IFERROR(__xludf.DUMMYFUNCTION("""COMPUTED_VALUE"""),"RCEF 23-09-21 Rebidding")</f>
        <v>RCEF 23-09-21 Rebidding</v>
      </c>
      <c r="AO477" s="2">
        <f>IFERROR(__xludf.DUMMYFUNCTION("""COMPUTED_VALUE"""),3.0)</f>
        <v>3</v>
      </c>
      <c r="AP477" s="2"/>
      <c r="AQ477" s="2"/>
      <c r="AR477" s="2"/>
      <c r="AS477" s="2"/>
      <c r="AT477" s="2"/>
      <c r="AU477" s="2"/>
      <c r="AV477" s="2"/>
      <c r="AW477" s="2"/>
      <c r="AX477" s="2"/>
      <c r="AY477" s="2"/>
      <c r="AZ477" s="2"/>
      <c r="BA477" s="2"/>
      <c r="BB477" s="2"/>
    </row>
    <row r="478">
      <c r="A478" s="2">
        <f>IFERROR(__xludf.DUMMYFUNCTION("""COMPUTED_VALUE"""),474.0)</f>
        <v>474</v>
      </c>
      <c r="B478" s="2" t="str">
        <f>IFERROR(__xludf.DUMMYFUNCTION("""COMPUTED_VALUE"""),"COMPLETED")</f>
        <v>COMPLETED</v>
      </c>
      <c r="C478" s="74">
        <f>IFERROR(__xludf.DUMMYFUNCTION("""COMPUTED_VALUE"""),45549.0)</f>
        <v>45549</v>
      </c>
      <c r="D478" s="71" t="str">
        <f>IFERROR(__xludf.DUMMYFUNCTION("""COMPUTED_VALUE"""),"Magsaysay Farmer's Association")</f>
        <v>Magsaysay Farmer's Association</v>
      </c>
      <c r="E478" s="71" t="str">
        <f>IFERROR(__xludf.DUMMYFUNCTION("""COMPUTED_VALUE"""),"Magsaysay, Patnongon, ANTIQUE")</f>
        <v>Magsaysay, Patnongon, ANTIQUE</v>
      </c>
      <c r="F478" s="2" t="str">
        <f>IFERROR(__xludf.DUMMYFUNCTION("""COMPUTED_VALUE"""),"Felix C. Molining")</f>
        <v>Felix C. Molining</v>
      </c>
      <c r="G478" s="2" t="str">
        <f>IFERROR(__xludf.DUMMYFUNCTION("""COMPUTED_VALUE"""),"0906-919-3017")</f>
        <v>0906-919-3017</v>
      </c>
      <c r="H478" s="2"/>
      <c r="I478" s="72" t="str">
        <f>IFERROR(__xludf.DUMMYFUNCTION("""COMPUTED_VALUE"""),"PMS")</f>
        <v>PMS</v>
      </c>
      <c r="J478" s="72" t="str">
        <f>IFERROR(__xludf.DUMMYFUNCTION("""COMPUTED_VALUE"""),"PMS")</f>
        <v>PMS</v>
      </c>
      <c r="K478" s="72" t="str">
        <f>IFERROR(__xludf.DUMMYFUNCTION("""COMPUTED_VALUE"""),"MYKEE: FIRST PMS, SELF PMS")</f>
        <v>MYKEE: FIRST PMS, SELF PMS</v>
      </c>
      <c r="L478" s="72" t="str">
        <f>IFERROR(__xludf.DUMMYFUNCTION("""COMPUTED_VALUE"""),"CALL:SEND AGREEMENT: FB: FELIX MOLINING: AGREEMENT SENT")</f>
        <v>CALL:SEND AGREEMENT: FB: FELIX MOLINING: AGREEMENT SENT</v>
      </c>
      <c r="M478" s="2"/>
      <c r="N478" s="2"/>
      <c r="O478" s="2" t="str">
        <f>IFERROR(__xludf.DUMMYFUNCTION("""COMPUTED_VALUE"""),"N/A")</f>
        <v>N/A</v>
      </c>
      <c r="P478" s="2"/>
      <c r="Q478" s="2"/>
      <c r="R478" s="74">
        <f>IFERROR(__xludf.DUMMYFUNCTION("""COMPUTED_VALUE"""),45550.0)</f>
        <v>45550</v>
      </c>
      <c r="S478" s="2" t="str">
        <f>IFERROR(__xludf.DUMMYFUNCTION("""COMPUTED_VALUE"""),"MYKEE")</f>
        <v>MYKEE</v>
      </c>
      <c r="T478" s="73" t="str">
        <f>IFERROR(__xludf.DUMMYFUNCTION("""COMPUTED_VALUE""")," N/A ")</f>
        <v>N/A</v>
      </c>
      <c r="U478" s="73" t="str">
        <f>IFERROR(__xludf.DUMMYFUNCTION("""COMPUTED_VALUE""")," NO CHARGE ")</f>
        <v>NO CHARGE</v>
      </c>
      <c r="V478" s="2"/>
      <c r="W478" s="2" t="str">
        <f>IFERROR(__xludf.DUMMYFUNCTION("""COMPUTED_VALUE"""),"N/A")</f>
        <v>N/A</v>
      </c>
      <c r="X478" s="2" t="str">
        <f>IFERROR(__xludf.DUMMYFUNCTION("""COMPUTED_VALUE"""),"N/A")</f>
        <v>N/A</v>
      </c>
      <c r="Y478" s="2"/>
      <c r="Z478" s="2"/>
      <c r="AA478" s="2"/>
      <c r="AB478" s="2"/>
      <c r="AC478" s="2"/>
      <c r="AD478" s="2"/>
      <c r="AE478" s="2"/>
      <c r="AF478" s="2"/>
      <c r="AG478" s="2"/>
      <c r="AH478" s="2"/>
      <c r="AI478" s="2"/>
      <c r="AJ478" s="2" t="str">
        <f>IFERROR(__xludf.DUMMYFUNCTION("""COMPUTED_VALUE"""),"Magsaysay")</f>
        <v>Magsaysay</v>
      </c>
      <c r="AK478" s="2" t="str">
        <f>IFERROR(__xludf.DUMMYFUNCTION("""COMPUTED_VALUE"""),"Patnongon")</f>
        <v>Patnongon</v>
      </c>
      <c r="AL478" s="2" t="str">
        <f>IFERROR(__xludf.DUMMYFUNCTION("""COMPUTED_VALUE"""),"Antique")</f>
        <v>Antique</v>
      </c>
      <c r="AM478" s="2">
        <f>IFERROR(__xludf.DUMMYFUNCTION("""COMPUTED_VALUE"""),6.0)</f>
        <v>6</v>
      </c>
      <c r="AN478" s="2" t="str">
        <f>IFERROR(__xludf.DUMMYFUNCTION("""COMPUTED_VALUE"""),"RCEF 23-09-21 Rebidding")</f>
        <v>RCEF 23-09-21 Rebidding</v>
      </c>
      <c r="AO478" s="2">
        <f>IFERROR(__xludf.DUMMYFUNCTION("""COMPUTED_VALUE"""),4.0)</f>
        <v>4</v>
      </c>
      <c r="AP478" s="2"/>
      <c r="AQ478" s="2"/>
      <c r="AR478" s="2"/>
      <c r="AS478" s="2"/>
      <c r="AT478" s="2"/>
      <c r="AU478" s="2"/>
      <c r="AV478" s="2"/>
      <c r="AW478" s="2"/>
      <c r="AX478" s="2"/>
      <c r="AY478" s="2"/>
      <c r="AZ478" s="2"/>
      <c r="BA478" s="2"/>
      <c r="BB478" s="2"/>
    </row>
    <row r="479">
      <c r="A479" s="2">
        <f>IFERROR(__xludf.DUMMYFUNCTION("""COMPUTED_VALUE"""),475.0)</f>
        <v>475</v>
      </c>
      <c r="B479" s="2" t="str">
        <f>IFERROR(__xludf.DUMMYFUNCTION("""COMPUTED_VALUE"""),"COMPLETED")</f>
        <v>COMPLETED</v>
      </c>
      <c r="C479" s="74">
        <f>IFERROR(__xludf.DUMMYFUNCTION("""COMPUTED_VALUE"""),45551.0)</f>
        <v>45551</v>
      </c>
      <c r="D479" s="71" t="str">
        <f>IFERROR(__xludf.DUMMYFUNCTION("""COMPUTED_VALUE"""),"ILAGBATA IRRIGATORS' ASSOCIATION")</f>
        <v>ILAGBATA IRRIGATORS' ASSOCIATION</v>
      </c>
      <c r="E479" s="71" t="str">
        <f>IFERROR(__xludf.DUMMYFUNCTION("""COMPUTED_VALUE"""),"Bacong, Dumangas, ILOILO")</f>
        <v>Bacong, Dumangas, ILOILO</v>
      </c>
      <c r="F479" s="2" t="str">
        <f>IFERROR(__xludf.DUMMYFUNCTION("""COMPUTED_VALUE"""),"Rogelio D. Diamante")</f>
        <v>Rogelio D. Diamante</v>
      </c>
      <c r="G479" s="2">
        <f>IFERROR(__xludf.DUMMYFUNCTION("""COMPUTED_VALUE"""),9.617884936E9)</f>
        <v>9617884936</v>
      </c>
      <c r="H479" s="2"/>
      <c r="I479" s="72" t="str">
        <f>IFERROR(__xludf.DUMMYFUNCTION("""COMPUTED_VALUE"""),"PMS")</f>
        <v>PMS</v>
      </c>
      <c r="J479" s="72" t="str">
        <f>IFERROR(__xludf.DUMMYFUNCTION("""COMPUTED_VALUE"""),"PMS")</f>
        <v>PMS</v>
      </c>
      <c r="K479" s="72" t="str">
        <f>IFERROR(__xludf.DUMMYFUNCTION("""COMPUTED_VALUE"""),"ERP: FIRST PMS: ")</f>
        <v>ERP: FIRST PMS: </v>
      </c>
      <c r="L479" s="72" t="str">
        <f>IFERROR(__xludf.DUMMYFUNCTION("""COMPUTED_VALUE"""),"FARMER: MAY NAG CHANGE NA DAW SA KANILA, PILAY DAW TAUHAN DAW NG ATTY. NAG BAYAD SILA PARA SA LABOR MAY RESIBO.
RANDY: 1ST PMS DONE")</f>
        <v>FARMER: MAY NAG CHANGE NA DAW SA KANILA, PILAY DAW TAUHAN DAW NG ATTY. NAG BAYAD SILA PARA SA LABOR MAY RESIBO.
RANDY: 1ST PMS DONE</v>
      </c>
      <c r="M479" s="2"/>
      <c r="N479" s="2"/>
      <c r="O479" s="2">
        <f>IFERROR(__xludf.DUMMYFUNCTION("""COMPUTED_VALUE"""),56.0)</f>
        <v>56</v>
      </c>
      <c r="P479" s="2"/>
      <c r="Q479" s="2"/>
      <c r="R479" s="74">
        <f>IFERROR(__xludf.DUMMYFUNCTION("""COMPUTED_VALUE"""),45560.0)</f>
        <v>45560</v>
      </c>
      <c r="S479" s="2" t="str">
        <f>IFERROR(__xludf.DUMMYFUNCTION("""COMPUTED_VALUE"""),"RANDY")</f>
        <v>RANDY</v>
      </c>
      <c r="T479" s="73" t="str">
        <f>IFERROR(__xludf.DUMMYFUNCTION("""COMPUTED_VALUE""")," N/A ")</f>
        <v>N/A</v>
      </c>
      <c r="U479" s="73" t="str">
        <f>IFERROR(__xludf.DUMMYFUNCTION("""COMPUTED_VALUE""")," NO CHARGE ")</f>
        <v>NO CHARGE</v>
      </c>
      <c r="V479" s="2"/>
      <c r="W479" s="2" t="str">
        <f>IFERROR(__xludf.DUMMYFUNCTION("""COMPUTED_VALUE"""),"N/A")</f>
        <v>N/A</v>
      </c>
      <c r="X479" s="2" t="str">
        <f>IFERROR(__xludf.DUMMYFUNCTION("""COMPUTED_VALUE"""),"N/A")</f>
        <v>N/A</v>
      </c>
      <c r="Y479" s="2" t="str">
        <f>IFERROR(__xludf.DUMMYFUNCTION("""COMPUTED_VALUE"""),"LTC-REG6-001")</f>
        <v>LTC-REG6-001</v>
      </c>
      <c r="Z479" s="2"/>
      <c r="AA479" s="2"/>
      <c r="AB479" s="2"/>
      <c r="AC479" s="2"/>
      <c r="AD479" s="2"/>
      <c r="AE479" s="2"/>
      <c r="AF479" s="2"/>
      <c r="AG479" s="2"/>
      <c r="AH479" s="2"/>
      <c r="AI479" s="2"/>
      <c r="AJ479" s="2" t="str">
        <f>IFERROR(__xludf.DUMMYFUNCTION("""COMPUTED_VALUE"""),"Bacong")</f>
        <v>Bacong</v>
      </c>
      <c r="AK479" s="2" t="str">
        <f>IFERROR(__xludf.DUMMYFUNCTION("""COMPUTED_VALUE"""),"Dumangas")</f>
        <v>Dumangas</v>
      </c>
      <c r="AL479" s="2" t="str">
        <f>IFERROR(__xludf.DUMMYFUNCTION("""COMPUTED_VALUE"""),"Iloilo")</f>
        <v>Iloilo</v>
      </c>
      <c r="AM479" s="2">
        <f>IFERROR(__xludf.DUMMYFUNCTION("""COMPUTED_VALUE"""),6.0)</f>
        <v>6</v>
      </c>
      <c r="AN479" s="2" t="str">
        <f>IFERROR(__xludf.DUMMYFUNCTION("""COMPUTED_VALUE"""),"RCEF 23-09-21 Rebidding")</f>
        <v>RCEF 23-09-21 Rebidding</v>
      </c>
      <c r="AO479" s="2">
        <f>IFERROR(__xludf.DUMMYFUNCTION("""COMPUTED_VALUE"""),4.0)</f>
        <v>4</v>
      </c>
      <c r="AP479" s="2"/>
      <c r="AQ479" s="2"/>
      <c r="AR479" s="2"/>
      <c r="AS479" s="2"/>
      <c r="AT479" s="2"/>
      <c r="AU479" s="2"/>
      <c r="AV479" s="2"/>
      <c r="AW479" s="2"/>
      <c r="AX479" s="2"/>
      <c r="AY479" s="2"/>
      <c r="AZ479" s="2"/>
      <c r="BA479" s="2"/>
      <c r="BB479" s="2"/>
    </row>
    <row r="480">
      <c r="A480" s="2">
        <f>IFERROR(__xludf.DUMMYFUNCTION("""COMPUTED_VALUE"""),476.0)</f>
        <v>476</v>
      </c>
      <c r="B480" s="2" t="str">
        <f>IFERROR(__xludf.DUMMYFUNCTION("""COMPUTED_VALUE"""),"COMPLETED")</f>
        <v>COMPLETED</v>
      </c>
      <c r="C480" s="74">
        <f>IFERROR(__xludf.DUMMYFUNCTION("""COMPUTED_VALUE"""),45551.0)</f>
        <v>45551</v>
      </c>
      <c r="D480" s="71" t="str">
        <f>IFERROR(__xludf.DUMMYFUNCTION("""COMPUTED_VALUE"""),"Baras Farmers Association")</f>
        <v>Baras Farmers Association</v>
      </c>
      <c r="E480" s="71" t="str">
        <f>IFERROR(__xludf.DUMMYFUNCTION("""COMPUTED_VALUE"""),"Baras, Barotac Nuevo, ILOILO")</f>
        <v>Baras, Barotac Nuevo, ILOILO</v>
      </c>
      <c r="F480" s="2" t="str">
        <f>IFERROR(__xludf.DUMMYFUNCTION("""COMPUTED_VALUE"""),"Mario B. Boglosa")</f>
        <v>Mario B. Boglosa</v>
      </c>
      <c r="G480" s="2">
        <f>IFERROR(__xludf.DUMMYFUNCTION("""COMPUTED_VALUE"""),9.951876513E9)</f>
        <v>9951876513</v>
      </c>
      <c r="H480" s="2"/>
      <c r="I480" s="72" t="str">
        <f>IFERROR(__xludf.DUMMYFUNCTION("""COMPUTED_VALUE"""),"PMS")</f>
        <v>PMS</v>
      </c>
      <c r="J480" s="72" t="str">
        <f>IFERROR(__xludf.DUMMYFUNCTION("""COMPUTED_VALUE"""),"PMS")</f>
        <v>PMS</v>
      </c>
      <c r="K480" s="72" t="str">
        <f>IFERROR(__xludf.DUMMYFUNCTION("""COMPUTED_VALUE"""),"ERP: FIRST PMS")</f>
        <v>ERP: FIRST PMS</v>
      </c>
      <c r="L480" s="72" t="str">
        <f>IFERROR(__xludf.DUMMYFUNCTION("""COMPUTED_VALUE"""),"FARMER: MAY PUMUNTANG TECHNICIANS NA DAW PO , ASSIGNED AT PANAY.  RANDY DAW PO ANG PANGALAN, SININGIL SILA NG 2900 PARA SA FILTER AT LANGIS
RANDY : 1ST PMS DONE")</f>
        <v>FARMER: MAY PUMUNTANG TECHNICIANS NA DAW PO , ASSIGNED AT PANAY.  RANDY DAW PO ANG PANGALAN, SININGIL SILA NG 2900 PARA SA FILTER AT LANGIS
RANDY : 1ST PMS DONE</v>
      </c>
      <c r="M480" s="2"/>
      <c r="N480" s="2"/>
      <c r="O480" s="2" t="str">
        <f>IFERROR(__xludf.DUMMYFUNCTION("""COMPUTED_VALUE"""),"1315 / 57")</f>
        <v>1315 / 57</v>
      </c>
      <c r="P480" s="2"/>
      <c r="Q480" s="2"/>
      <c r="R480" s="74">
        <f>IFERROR(__xludf.DUMMYFUNCTION("""COMPUTED_VALUE"""),45551.0)</f>
        <v>45551</v>
      </c>
      <c r="S480" s="2" t="str">
        <f>IFERROR(__xludf.DUMMYFUNCTION("""COMPUTED_VALUE"""),"RANDY")</f>
        <v>RANDY</v>
      </c>
      <c r="T480" s="73" t="str">
        <f>IFERROR(__xludf.DUMMYFUNCTION("""COMPUTED_VALUE""")," N/A ")</f>
        <v>N/A</v>
      </c>
      <c r="U480" s="73" t="str">
        <f>IFERROR(__xludf.DUMMYFUNCTION("""COMPUTED_VALUE""")," NO CHARGE ")</f>
        <v>NO CHARGE</v>
      </c>
      <c r="V480" s="2"/>
      <c r="W480" s="2" t="str">
        <f>IFERROR(__xludf.DUMMYFUNCTION("""COMPUTED_VALUE"""),"N/A")</f>
        <v>N/A</v>
      </c>
      <c r="X480" s="2" t="str">
        <f>IFERROR(__xludf.DUMMYFUNCTION("""COMPUTED_VALUE"""),"N/A")</f>
        <v>N/A</v>
      </c>
      <c r="Y480" s="2" t="str">
        <f>IFERROR(__xludf.DUMMYFUNCTION("""COMPUTED_VALUE"""),"LTC-REG6-007")</f>
        <v>LTC-REG6-007</v>
      </c>
      <c r="Z480" s="2"/>
      <c r="AA480" s="2"/>
      <c r="AB480" s="2"/>
      <c r="AC480" s="2"/>
      <c r="AD480" s="2"/>
      <c r="AE480" s="2"/>
      <c r="AF480" s="2"/>
      <c r="AG480" s="2"/>
      <c r="AH480" s="2"/>
      <c r="AI480" s="2"/>
      <c r="AJ480" s="2" t="str">
        <f>IFERROR(__xludf.DUMMYFUNCTION("""COMPUTED_VALUE"""),"Baras")</f>
        <v>Baras</v>
      </c>
      <c r="AK480" s="2" t="str">
        <f>IFERROR(__xludf.DUMMYFUNCTION("""COMPUTED_VALUE"""),"Barotac Nuevo")</f>
        <v>Barotac Nuevo</v>
      </c>
      <c r="AL480" s="2" t="str">
        <f>IFERROR(__xludf.DUMMYFUNCTION("""COMPUTED_VALUE"""),"Iloilo")</f>
        <v>Iloilo</v>
      </c>
      <c r="AM480" s="2">
        <f>IFERROR(__xludf.DUMMYFUNCTION("""COMPUTED_VALUE"""),6.0)</f>
        <v>6</v>
      </c>
      <c r="AN480" s="2" t="str">
        <f>IFERROR(__xludf.DUMMYFUNCTION("""COMPUTED_VALUE"""),"RCEF 23-09-21 Rebidding")</f>
        <v>RCEF 23-09-21 Rebidding</v>
      </c>
      <c r="AO480" s="2">
        <f>IFERROR(__xludf.DUMMYFUNCTION("""COMPUTED_VALUE"""),4.0)</f>
        <v>4</v>
      </c>
      <c r="AP480" s="2"/>
      <c r="AQ480" s="2"/>
      <c r="AR480" s="2"/>
      <c r="AS480" s="2"/>
      <c r="AT480" s="2"/>
      <c r="AU480" s="2"/>
      <c r="AV480" s="2"/>
      <c r="AW480" s="2"/>
      <c r="AX480" s="2"/>
      <c r="AY480" s="2"/>
      <c r="AZ480" s="2"/>
      <c r="BA480" s="2"/>
      <c r="BB480" s="2"/>
    </row>
    <row r="481">
      <c r="A481" s="2">
        <f>IFERROR(__xludf.DUMMYFUNCTION("""COMPUTED_VALUE"""),477.0)</f>
        <v>477</v>
      </c>
      <c r="B481" s="2" t="str">
        <f>IFERROR(__xludf.DUMMYFUNCTION("""COMPUTED_VALUE"""),"COMPLETED")</f>
        <v>COMPLETED</v>
      </c>
      <c r="C481" s="74">
        <f>IFERROR(__xludf.DUMMYFUNCTION("""COMPUTED_VALUE"""),45552.0)</f>
        <v>45552</v>
      </c>
      <c r="D481" s="71" t="str">
        <f>IFERROR(__xludf.DUMMYFUNCTION("""COMPUTED_VALUE"""),"Inabasan Small Farmers Association")</f>
        <v>Inabasan Small Farmers Association</v>
      </c>
      <c r="E481" s="71" t="str">
        <f>IFERROR(__xludf.DUMMYFUNCTION("""COMPUTED_VALUE"""),"Inabasan, San Jose, ANTIQUE")</f>
        <v>Inabasan, San Jose, ANTIQUE</v>
      </c>
      <c r="F481" s="2" t="str">
        <f>IFERROR(__xludf.DUMMYFUNCTION("""COMPUTED_VALUE"""),"JOEBERT DANIEL")</f>
        <v>JOEBERT DANIEL</v>
      </c>
      <c r="G481" s="2">
        <f>IFERROR(__xludf.DUMMYFUNCTION("""COMPUTED_VALUE"""),9.5598788E9)</f>
        <v>9559878800</v>
      </c>
      <c r="H481" s="2"/>
      <c r="I481" s="72" t="str">
        <f>IFERROR(__xludf.DUMMYFUNCTION("""COMPUTED_VALUE"""),"PMS")</f>
        <v>PMS</v>
      </c>
      <c r="J481" s="72" t="str">
        <f>IFERROR(__xludf.DUMMYFUNCTION("""COMPUTED_VALUE"""),"PMS")</f>
        <v>PMS</v>
      </c>
      <c r="K481" s="72" t="str">
        <f>IFERROR(__xludf.DUMMYFUNCTION("""COMPUTED_VALUE"""),"ERP: FIRST PMS: SELF PMS")</f>
        <v>ERP: FIRST PMS: SELF PMS</v>
      </c>
      <c r="L481" s="72" t="str">
        <f>IFERROR(__xludf.DUMMYFUNCTION("""COMPUTED_VALUE"""),"CALL:SEND AGREEMENT:FB; HUNIO NUEVE: AGREEMENT SENT")</f>
        <v>CALL:SEND AGREEMENT:FB; HUNIO NUEVE: AGREEMENT SENT</v>
      </c>
      <c r="M481" s="2"/>
      <c r="N481" s="2"/>
      <c r="O481" s="2" t="str">
        <f>IFERROR(__xludf.DUMMYFUNCTION("""COMPUTED_VALUE"""),"N/A")</f>
        <v>N/A</v>
      </c>
      <c r="P481" s="2"/>
      <c r="Q481" s="2"/>
      <c r="R481" s="74">
        <f>IFERROR(__xludf.DUMMYFUNCTION("""COMPUTED_VALUE"""),45557.0)</f>
        <v>45557</v>
      </c>
      <c r="S481" s="2" t="str">
        <f>IFERROR(__xludf.DUMMYFUNCTION("""COMPUTED_VALUE"""),"MYKEE")</f>
        <v>MYKEE</v>
      </c>
      <c r="T481" s="73" t="str">
        <f>IFERROR(__xludf.DUMMYFUNCTION("""COMPUTED_VALUE""")," N/A ")</f>
        <v>N/A</v>
      </c>
      <c r="U481" s="73" t="str">
        <f>IFERROR(__xludf.DUMMYFUNCTION("""COMPUTED_VALUE""")," NO CHARGE ")</f>
        <v>NO CHARGE</v>
      </c>
      <c r="V481" s="2"/>
      <c r="W481" s="2" t="str">
        <f>IFERROR(__xludf.DUMMYFUNCTION("""COMPUTED_VALUE"""),"N/A")</f>
        <v>N/A</v>
      </c>
      <c r="X481" s="2" t="str">
        <f>IFERROR(__xludf.DUMMYFUNCTION("""COMPUTED_VALUE"""),"N/A")</f>
        <v>N/A</v>
      </c>
      <c r="Y481" s="2"/>
      <c r="Z481" s="2"/>
      <c r="AA481" s="2"/>
      <c r="AB481" s="2"/>
      <c r="AC481" s="2"/>
      <c r="AD481" s="2"/>
      <c r="AE481" s="2"/>
      <c r="AF481" s="2"/>
      <c r="AG481" s="2"/>
      <c r="AH481" s="2"/>
      <c r="AI481" s="2"/>
      <c r="AJ481" s="2" t="str">
        <f>IFERROR(__xludf.DUMMYFUNCTION("""COMPUTED_VALUE"""),"Inabasan")</f>
        <v>Inabasan</v>
      </c>
      <c r="AK481" s="2" t="str">
        <f>IFERROR(__xludf.DUMMYFUNCTION("""COMPUTED_VALUE"""),"San Jose")</f>
        <v>San Jose</v>
      </c>
      <c r="AL481" s="2" t="str">
        <f>IFERROR(__xludf.DUMMYFUNCTION("""COMPUTED_VALUE"""),"Antique")</f>
        <v>Antique</v>
      </c>
      <c r="AM481" s="2">
        <f>IFERROR(__xludf.DUMMYFUNCTION("""COMPUTED_VALUE"""),6.0)</f>
        <v>6</v>
      </c>
      <c r="AN481" s="2" t="str">
        <f>IFERROR(__xludf.DUMMYFUNCTION("""COMPUTED_VALUE"""),"RCEF 23-09-21 Rebidding")</f>
        <v>RCEF 23-09-21 Rebidding</v>
      </c>
      <c r="AO481" s="2">
        <f>IFERROR(__xludf.DUMMYFUNCTION("""COMPUTED_VALUE"""),4.0)</f>
        <v>4</v>
      </c>
      <c r="AP481" s="2"/>
      <c r="AQ481" s="2"/>
      <c r="AR481" s="2"/>
      <c r="AS481" s="2"/>
      <c r="AT481" s="2"/>
      <c r="AU481" s="2"/>
      <c r="AV481" s="2"/>
      <c r="AW481" s="2"/>
      <c r="AX481" s="2"/>
      <c r="AY481" s="2"/>
      <c r="AZ481" s="2"/>
      <c r="BA481" s="2"/>
      <c r="BB481" s="2"/>
    </row>
    <row r="482">
      <c r="A482" s="2">
        <f>IFERROR(__xludf.DUMMYFUNCTION("""COMPUTED_VALUE"""),478.0)</f>
        <v>478</v>
      </c>
      <c r="B482" s="2" t="str">
        <f>IFERROR(__xludf.DUMMYFUNCTION("""COMPUTED_VALUE"""),"COMPLETED")</f>
        <v>COMPLETED</v>
      </c>
      <c r="C482" s="74">
        <f>IFERROR(__xludf.DUMMYFUNCTION("""COMPUTED_VALUE"""),45552.0)</f>
        <v>45552</v>
      </c>
      <c r="D482" s="71" t="str">
        <f>IFERROR(__xludf.DUMMYFUNCTION("""COMPUTED_VALUE"""),"BALINGAYAN FARMERS ASSOCIATION")</f>
        <v>BALINGAYAN FARMERS ASSOCIATION</v>
      </c>
      <c r="E482" s="71" t="str">
        <f>IFERROR(__xludf.DUMMYFUNCTION("""COMPUTED_VALUE"""),"Balingayan, Calapan City, Oriental Mindoro")</f>
        <v>Balingayan, Calapan City, Oriental Mindoro</v>
      </c>
      <c r="F482" s="2"/>
      <c r="G482" s="2"/>
      <c r="H482" s="2"/>
      <c r="I482" s="72" t="str">
        <f>IFERROR(__xludf.DUMMYFUNCTION("""COMPUTED_VALUE"""),"SPARE PARTS ACQUISITION")</f>
        <v>SPARE PARTS ACQUISITION</v>
      </c>
      <c r="J482" s="72" t="str">
        <f>IFERROR(__xludf.DUMMYFUNCTION("""COMPUTED_VALUE"""),"SPARE PARTS ACQUISITION")</f>
        <v>SPARE PARTS ACQUISITION</v>
      </c>
      <c r="K482" s="72" t="str">
        <f>IFERROR(__xludf.DUMMYFUNCTION("""COMPUTED_VALUE"""),"RCG: 1 HYDRAULIC FILTER")</f>
        <v>RCG: 1 HYDRAULIC FILTER</v>
      </c>
      <c r="L482" s="72"/>
      <c r="M482" s="2"/>
      <c r="N482" s="2" t="str">
        <f>IFERROR(__xludf.DUMMYFUNCTION("""COMPUTED_VALUE"""),"RCG: 1 HYDRAULIC FILTER")</f>
        <v>RCG: 1 HYDRAULIC FILTER</v>
      </c>
      <c r="O482" s="2" t="str">
        <f>IFERROR(__xludf.DUMMYFUNCTION("""COMPUTED_VALUE"""),"N/A")</f>
        <v>N/A</v>
      </c>
      <c r="P482" s="2"/>
      <c r="Q482" s="2"/>
      <c r="R482" s="74">
        <f>IFERROR(__xludf.DUMMYFUNCTION("""COMPUTED_VALUE"""),45552.0)</f>
        <v>45552</v>
      </c>
      <c r="S482" s="2" t="str">
        <f>IFERROR(__xludf.DUMMYFUNCTION("""COMPUTED_VALUE"""),"RCG")</f>
        <v>RCG</v>
      </c>
      <c r="T482" s="73">
        <f>IFERROR(__xludf.DUMMYFUNCTION("""COMPUTED_VALUE"""),2748.0)</f>
        <v>2748</v>
      </c>
      <c r="U482" s="73" t="str">
        <f>IFERROR(__xludf.DUMMYFUNCTION("""COMPUTED_VALUE""")," REMITTED ")</f>
        <v>REMITTED</v>
      </c>
      <c r="V482" s="2"/>
      <c r="W482" s="2"/>
      <c r="X482" s="2">
        <f>IFERROR(__xludf.DUMMYFUNCTION("""COMPUTED_VALUE"""),1155.0)</f>
        <v>1155</v>
      </c>
      <c r="Y482" s="2"/>
      <c r="Z482" s="2"/>
      <c r="AA482" s="2"/>
      <c r="AB482" s="2"/>
      <c r="AC482" s="2"/>
      <c r="AD482" s="2"/>
      <c r="AE482" s="2"/>
      <c r="AF482" s="2"/>
      <c r="AG482" s="2"/>
      <c r="AH482" s="2"/>
      <c r="AI482" s="2"/>
      <c r="AJ482" s="2" t="str">
        <f>IFERROR(__xludf.DUMMYFUNCTION("""COMPUTED_VALUE"""),"Balingayan")</f>
        <v>Balingayan</v>
      </c>
      <c r="AK482" s="2" t="str">
        <f>IFERROR(__xludf.DUMMYFUNCTION("""COMPUTED_VALUE"""),"Calapan City")</f>
        <v>Calapan City</v>
      </c>
      <c r="AL482" s="2" t="str">
        <f>IFERROR(__xludf.DUMMYFUNCTION("""COMPUTED_VALUE"""),"Oriental Mindoro")</f>
        <v>Oriental Mindoro</v>
      </c>
      <c r="AM482" s="2" t="str">
        <f>IFERROR(__xludf.DUMMYFUNCTION("""COMPUTED_VALUE"""),"4B")</f>
        <v>4B</v>
      </c>
      <c r="AN482" s="2" t="str">
        <f>IFERROR(__xludf.DUMMYFUNCTION("""COMPUTED_VALUE"""),"RCEF 23-08-20 Rebidding")</f>
        <v>RCEF 23-08-20 Rebidding</v>
      </c>
      <c r="AO482" s="2">
        <f>IFERROR(__xludf.DUMMYFUNCTION("""COMPUTED_VALUE"""),1.0)</f>
        <v>1</v>
      </c>
      <c r="AP482" s="2"/>
      <c r="AQ482" s="2"/>
      <c r="AR482" s="2"/>
      <c r="AS482" s="2"/>
      <c r="AT482" s="2"/>
      <c r="AU482" s="2"/>
      <c r="AV482" s="2"/>
      <c r="AW482" s="2"/>
      <c r="AX482" s="2"/>
      <c r="AY482" s="2"/>
      <c r="AZ482" s="2"/>
      <c r="BA482" s="2"/>
      <c r="BB482" s="2"/>
    </row>
    <row r="483">
      <c r="A483" s="2">
        <f>IFERROR(__xludf.DUMMYFUNCTION("""COMPUTED_VALUE"""),479.0)</f>
        <v>479</v>
      </c>
      <c r="B483" s="2" t="str">
        <f>IFERROR(__xludf.DUMMYFUNCTION("""COMPUTED_VALUE"""),"COMPLETED")</f>
        <v>COMPLETED</v>
      </c>
      <c r="C483" s="74">
        <f>IFERROR(__xludf.DUMMYFUNCTION("""COMPUTED_VALUE"""),45552.0)</f>
        <v>45552</v>
      </c>
      <c r="D483" s="71" t="str">
        <f>IFERROR(__xludf.DUMMYFUNCTION("""COMPUTED_VALUE"""),"BAGONG BUHAY FARMERS ASSOCIATION")</f>
        <v>BAGONG BUHAY FARMERS ASSOCIATION</v>
      </c>
      <c r="E483" s="71" t="str">
        <f>IFERROR(__xludf.DUMMYFUNCTION("""COMPUTED_VALUE"""),"Bagong Buhay, naujan, Oriental Mindoro")</f>
        <v>Bagong Buhay, naujan, Oriental Mindoro</v>
      </c>
      <c r="F483" s="2"/>
      <c r="G483" s="2"/>
      <c r="H483" s="2"/>
      <c r="I483" s="72" t="str">
        <f>IFERROR(__xludf.DUMMYFUNCTION("""COMPUTED_VALUE"""),"SPARE PARTS ACQUISITION")</f>
        <v>SPARE PARTS ACQUISITION</v>
      </c>
      <c r="J483" s="72" t="str">
        <f>IFERROR(__xludf.DUMMYFUNCTION("""COMPUTED_VALUE"""),"SPARE PARTS ACQUISITION")</f>
        <v>SPARE PARTS ACQUISITION</v>
      </c>
      <c r="K483" s="72" t="str">
        <f>IFERROR(__xludf.DUMMYFUNCTION("""COMPUTED_VALUE"""),"RCG: 1 HYDRAULIC FILTER")</f>
        <v>RCG: 1 HYDRAULIC FILTER</v>
      </c>
      <c r="L483" s="72"/>
      <c r="M483" s="2"/>
      <c r="N483" s="2" t="str">
        <f>IFERROR(__xludf.DUMMYFUNCTION("""COMPUTED_VALUE"""),"RCG: 1 HYDRAULIC FILTER")</f>
        <v>RCG: 1 HYDRAULIC FILTER</v>
      </c>
      <c r="O483" s="2" t="str">
        <f>IFERROR(__xludf.DUMMYFUNCTION("""COMPUTED_VALUE"""),"N/A")</f>
        <v>N/A</v>
      </c>
      <c r="P483" s="2"/>
      <c r="Q483" s="2"/>
      <c r="R483" s="74">
        <f>IFERROR(__xludf.DUMMYFUNCTION("""COMPUTED_VALUE"""),45552.0)</f>
        <v>45552</v>
      </c>
      <c r="S483" s="2" t="str">
        <f>IFERROR(__xludf.DUMMYFUNCTION("""COMPUTED_VALUE"""),"RCG")</f>
        <v>RCG</v>
      </c>
      <c r="T483" s="73">
        <f>IFERROR(__xludf.DUMMYFUNCTION("""COMPUTED_VALUE"""),2748.0)</f>
        <v>2748</v>
      </c>
      <c r="U483" s="73" t="str">
        <f>IFERROR(__xludf.DUMMYFUNCTION("""COMPUTED_VALUE""")," REMITTED ")</f>
        <v>REMITTED</v>
      </c>
      <c r="V483" s="2"/>
      <c r="W483" s="2"/>
      <c r="X483" s="2">
        <f>IFERROR(__xludf.DUMMYFUNCTION("""COMPUTED_VALUE"""),1156.0)</f>
        <v>1156</v>
      </c>
      <c r="Y483" s="2"/>
      <c r="Z483" s="2"/>
      <c r="AA483" s="2"/>
      <c r="AB483" s="2"/>
      <c r="AC483" s="2"/>
      <c r="AD483" s="2"/>
      <c r="AE483" s="2"/>
      <c r="AF483" s="2"/>
      <c r="AG483" s="2"/>
      <c r="AH483" s="2"/>
      <c r="AI483" s="2"/>
      <c r="AJ483" s="2" t="str">
        <f>IFERROR(__xludf.DUMMYFUNCTION("""COMPUTED_VALUE"""),"Bagong Buhay")</f>
        <v>Bagong Buhay</v>
      </c>
      <c r="AK483" s="2" t="str">
        <f>IFERROR(__xludf.DUMMYFUNCTION("""COMPUTED_VALUE"""),"Naujan")</f>
        <v>Naujan</v>
      </c>
      <c r="AL483" s="2" t="str">
        <f>IFERROR(__xludf.DUMMYFUNCTION("""COMPUTED_VALUE"""),"Oriental Mindoro")</f>
        <v>Oriental Mindoro</v>
      </c>
      <c r="AM483" s="2" t="str">
        <f>IFERROR(__xludf.DUMMYFUNCTION("""COMPUTED_VALUE"""),"4B")</f>
        <v>4B</v>
      </c>
      <c r="AN483" s="2" t="str">
        <f>IFERROR(__xludf.DUMMYFUNCTION("""COMPUTED_VALUE"""),"RCEF 23-08-20 Rebidding")</f>
        <v>RCEF 23-08-20 Rebidding</v>
      </c>
      <c r="AO483" s="2">
        <f>IFERROR(__xludf.DUMMYFUNCTION("""COMPUTED_VALUE"""),1.0)</f>
        <v>1</v>
      </c>
      <c r="AP483" s="2"/>
      <c r="AQ483" s="2"/>
      <c r="AR483" s="2"/>
      <c r="AS483" s="2"/>
      <c r="AT483" s="2"/>
      <c r="AU483" s="2"/>
      <c r="AV483" s="2"/>
      <c r="AW483" s="2"/>
      <c r="AX483" s="2"/>
      <c r="AY483" s="2"/>
      <c r="AZ483" s="2"/>
      <c r="BA483" s="2"/>
      <c r="BB483" s="2"/>
    </row>
    <row r="484">
      <c r="A484" s="2">
        <f>IFERROR(__xludf.DUMMYFUNCTION("""COMPUTED_VALUE"""),480.0)</f>
        <v>480</v>
      </c>
      <c r="B484" s="2" t="str">
        <f>IFERROR(__xludf.DUMMYFUNCTION("""COMPUTED_VALUE"""),"COMPLETED")</f>
        <v>COMPLETED</v>
      </c>
      <c r="C484" s="74">
        <f>IFERROR(__xludf.DUMMYFUNCTION("""COMPUTED_VALUE"""),45552.0)</f>
        <v>45552</v>
      </c>
      <c r="D484" s="71" t="str">
        <f>IFERROR(__xludf.DUMMYFUNCTION("""COMPUTED_VALUE"""),"A. BONIFACIO FARMERS ASSOCIATION")</f>
        <v>A. BONIFACIO FARMERS ASSOCIATION</v>
      </c>
      <c r="E484" s="71" t="str">
        <f>IFERROR(__xludf.DUMMYFUNCTION("""COMPUTED_VALUE"""),"A. Bonifacio, Gloria, Oriental Mindoro")</f>
        <v>A. Bonifacio, Gloria, Oriental Mindoro</v>
      </c>
      <c r="F484" s="2"/>
      <c r="G484" s="2"/>
      <c r="H484" s="2"/>
      <c r="I484" s="72" t="str">
        <f>IFERROR(__xludf.DUMMYFUNCTION("""COMPUTED_VALUE"""),"SPARE PARTS ACQUISITION")</f>
        <v>SPARE PARTS ACQUISITION</v>
      </c>
      <c r="J484" s="72"/>
      <c r="K484" s="72" t="str">
        <f>IFERROR(__xludf.DUMMYFUNCTION("""COMPUTED_VALUE"""),"RCG: OIL SEAL ")</f>
        <v>RCG: OIL SEAL </v>
      </c>
      <c r="L484" s="72"/>
      <c r="M484" s="2"/>
      <c r="N484" s="2" t="str">
        <f>IFERROR(__xludf.DUMMYFUNCTION("""COMPUTED_VALUE"""),"RCG: OIL SEAL ")</f>
        <v>RCG: OIL SEAL </v>
      </c>
      <c r="O484" s="2" t="str">
        <f>IFERROR(__xludf.DUMMYFUNCTION("""COMPUTED_VALUE"""),"N/A")</f>
        <v>N/A</v>
      </c>
      <c r="P484" s="2"/>
      <c r="Q484" s="2"/>
      <c r="R484" s="74">
        <f>IFERROR(__xludf.DUMMYFUNCTION("""COMPUTED_VALUE"""),45552.0)</f>
        <v>45552</v>
      </c>
      <c r="S484" s="2" t="str">
        <f>IFERROR(__xludf.DUMMYFUNCTION("""COMPUTED_VALUE"""),"RCG")</f>
        <v>RCG</v>
      </c>
      <c r="T484" s="73">
        <f>IFERROR(__xludf.DUMMYFUNCTION("""COMPUTED_VALUE"""),350.0)</f>
        <v>350</v>
      </c>
      <c r="U484" s="73" t="str">
        <f>IFERROR(__xludf.DUMMYFUNCTION("""COMPUTED_VALUE""")," REMITTED ")</f>
        <v>REMITTED</v>
      </c>
      <c r="V484" s="2"/>
      <c r="W484" s="2"/>
      <c r="X484" s="2">
        <f>IFERROR(__xludf.DUMMYFUNCTION("""COMPUTED_VALUE"""),1162.0)</f>
        <v>1162</v>
      </c>
      <c r="Y484" s="2"/>
      <c r="Z484" s="2"/>
      <c r="AA484" s="2"/>
      <c r="AB484" s="2"/>
      <c r="AC484" s="2"/>
      <c r="AD484" s="2"/>
      <c r="AE484" s="2"/>
      <c r="AF484" s="2"/>
      <c r="AG484" s="2"/>
      <c r="AH484" s="2"/>
      <c r="AI484" s="2"/>
      <c r="AJ484" s="2" t="str">
        <f>IFERROR(__xludf.DUMMYFUNCTION("""COMPUTED_VALUE"""),"A. Bonifacio")</f>
        <v>A. Bonifacio</v>
      </c>
      <c r="AK484" s="2" t="str">
        <f>IFERROR(__xludf.DUMMYFUNCTION("""COMPUTED_VALUE"""),"Gloria")</f>
        <v>Gloria</v>
      </c>
      <c r="AL484" s="2" t="str">
        <f>IFERROR(__xludf.DUMMYFUNCTION("""COMPUTED_VALUE"""),"Oriental Mindoro")</f>
        <v>Oriental Mindoro</v>
      </c>
      <c r="AM484" s="2" t="str">
        <f>IFERROR(__xludf.DUMMYFUNCTION("""COMPUTED_VALUE"""),"4B")</f>
        <v>4B</v>
      </c>
      <c r="AN484" s="2" t="str">
        <f>IFERROR(__xludf.DUMMYFUNCTION("""COMPUTED_VALUE"""),"RCEF 23-08-20 Rebidding")</f>
        <v>RCEF 23-08-20 Rebidding</v>
      </c>
      <c r="AO484" s="2">
        <f>IFERROR(__xludf.DUMMYFUNCTION("""COMPUTED_VALUE"""),1.0)</f>
        <v>1</v>
      </c>
      <c r="AP484" s="2"/>
      <c r="AQ484" s="2"/>
      <c r="AR484" s="2"/>
      <c r="AS484" s="2"/>
      <c r="AT484" s="2"/>
      <c r="AU484" s="2"/>
      <c r="AV484" s="2"/>
      <c r="AW484" s="2"/>
      <c r="AX484" s="2"/>
      <c r="AY484" s="2"/>
      <c r="AZ484" s="2"/>
      <c r="BA484" s="2"/>
      <c r="BB484" s="2"/>
    </row>
    <row r="485">
      <c r="A485" s="2">
        <f>IFERROR(__xludf.DUMMYFUNCTION("""COMPUTED_VALUE"""),481.0)</f>
        <v>481</v>
      </c>
      <c r="B485" s="2" t="str">
        <f>IFERROR(__xludf.DUMMYFUNCTION("""COMPUTED_VALUE"""),"COMPLETED")</f>
        <v>COMPLETED</v>
      </c>
      <c r="C485" s="74">
        <f>IFERROR(__xludf.DUMMYFUNCTION("""COMPUTED_VALUE"""),45552.0)</f>
        <v>45552</v>
      </c>
      <c r="D485" s="71" t="str">
        <f>IFERROR(__xludf.DUMMYFUNCTION("""COMPUTED_VALUE"""),"Nagkakaisang Lakas Multi-Purpose Cooperative")</f>
        <v>Nagkakaisang Lakas Multi-Purpose Cooperative</v>
      </c>
      <c r="E485" s="71" t="str">
        <f>IFERROR(__xludf.DUMMYFUNCTION("""COMPUTED_VALUE"""),"LABANGAN POBLACION, SAN JOSE, OCCIDENTAL MINDORO")</f>
        <v>LABANGAN POBLACION, SAN JOSE, OCCIDENTAL MINDORO</v>
      </c>
      <c r="F485" s="2" t="str">
        <f>IFERROR(__xludf.DUMMYFUNCTION("""COMPUTED_VALUE"""),"Josephine Mallari")</f>
        <v>Josephine Mallari</v>
      </c>
      <c r="G485" s="2">
        <f>IFERROR(__xludf.DUMMYFUNCTION("""COMPUTED_VALUE"""),9.17839428E9)</f>
        <v>9178394280</v>
      </c>
      <c r="H485" s="2">
        <f>IFERROR(__xludf.DUMMYFUNCTION("""COMPUTED_VALUE"""),347.0)</f>
        <v>347</v>
      </c>
      <c r="I485" s="72" t="str">
        <f>IFERROR(__xludf.DUMMYFUNCTION("""COMPUTED_VALUE"""),"PMS")</f>
        <v>PMS</v>
      </c>
      <c r="J485" s="72" t="str">
        <f>IFERROR(__xludf.DUMMYFUNCTION("""COMPUTED_VALUE"""),"PMS")</f>
        <v>PMS</v>
      </c>
      <c r="K485" s="72" t="str">
        <f>IFERROR(__xludf.DUMMYFUNCTION("""COMPUTED_VALUE"""),"LBA: UPON TYM CAMPAIGN: SUBJECT FOR 2ND PMS")</f>
        <v>LBA: UPON TYM CAMPAIGN: SUBJECT FOR 2ND PMS</v>
      </c>
      <c r="L485" s="72" t="str">
        <f>IFERROR(__xludf.DUMMYFUNCTION("""COMPUTED_VALUE"""),"RCG: 1 HYDRAULIC FILTER , 1 OIL FILTER PAID BY FCA")</f>
        <v>RCG: 1 HYDRAULIC FILTER , 1 OIL FILTER PAID BY FCA</v>
      </c>
      <c r="M485" s="2"/>
      <c r="N485" s="2" t="str">
        <f>IFERROR(__xludf.DUMMYFUNCTION("""COMPUTED_VALUE"""),"PARTS:  HYDRAULIC FILTER ,  OIL FILTER ")</f>
        <v>PARTS:  HYDRAULIC FILTER ,  OIL FILTER </v>
      </c>
      <c r="O485" s="2" t="str">
        <f>IFERROR(__xludf.DUMMYFUNCTION("""COMPUTED_VALUE"""),"N/A")</f>
        <v>N/A</v>
      </c>
      <c r="P485" s="2"/>
      <c r="Q485" s="2"/>
      <c r="R485" s="74">
        <f>IFERROR(__xludf.DUMMYFUNCTION("""COMPUTED_VALUE"""),45554.0)</f>
        <v>45554</v>
      </c>
      <c r="S485" s="2" t="str">
        <f>IFERROR(__xludf.DUMMYFUNCTION("""COMPUTED_VALUE"""),"RCG")</f>
        <v>RCG</v>
      </c>
      <c r="T485" s="73">
        <f>IFERROR(__xludf.DUMMYFUNCTION("""COMPUTED_VALUE"""),4281.0)</f>
        <v>4281</v>
      </c>
      <c r="U485" s="73" t="str">
        <f>IFERROR(__xludf.DUMMYFUNCTION("""COMPUTED_VALUE""")," REMITTED ")</f>
        <v>REMITTED</v>
      </c>
      <c r="V485" s="2"/>
      <c r="W485" s="2"/>
      <c r="X485" s="2">
        <f>IFERROR(__xludf.DUMMYFUNCTION("""COMPUTED_VALUE"""),1157.0)</f>
        <v>1157</v>
      </c>
      <c r="Y485" s="2"/>
      <c r="Z485" s="2"/>
      <c r="AA485" s="2"/>
      <c r="AB485" s="2"/>
      <c r="AC485" s="2"/>
      <c r="AD485" s="2"/>
      <c r="AE485" s="2"/>
      <c r="AF485" s="2"/>
      <c r="AG485" s="2"/>
      <c r="AH485" s="2"/>
      <c r="AI485" s="2"/>
      <c r="AJ485" s="2" t="str">
        <f>IFERROR(__xludf.DUMMYFUNCTION("""COMPUTED_VALUE"""),"Labangan Poblacion")</f>
        <v>Labangan Poblacion</v>
      </c>
      <c r="AK485" s="2" t="str">
        <f>IFERROR(__xludf.DUMMYFUNCTION("""COMPUTED_VALUE"""),"San Jose")</f>
        <v>San Jose</v>
      </c>
      <c r="AL485" s="2" t="str">
        <f>IFERROR(__xludf.DUMMYFUNCTION("""COMPUTED_VALUE"""),"Occidental Mindoro")</f>
        <v>Occidental Mindoro</v>
      </c>
      <c r="AM485" s="2" t="str">
        <f>IFERROR(__xludf.DUMMYFUNCTION("""COMPUTED_VALUE"""),"4B")</f>
        <v>4B</v>
      </c>
      <c r="AN485" s="2" t="str">
        <f>IFERROR(__xludf.DUMMYFUNCTION("""COMPUTED_VALUE"""),"RCEF 23-08-20 Rebidding")</f>
        <v>RCEF 23-08-20 Rebidding</v>
      </c>
      <c r="AO485" s="2">
        <f>IFERROR(__xludf.DUMMYFUNCTION("""COMPUTED_VALUE"""),1.0)</f>
        <v>1</v>
      </c>
      <c r="AP485" s="2"/>
      <c r="AQ485" s="2"/>
      <c r="AR485" s="2"/>
      <c r="AS485" s="2"/>
      <c r="AT485" s="2"/>
      <c r="AU485" s="2"/>
      <c r="AV485" s="2"/>
      <c r="AW485" s="2"/>
      <c r="AX485" s="2"/>
      <c r="AY485" s="2"/>
      <c r="AZ485" s="2"/>
      <c r="BA485" s="2"/>
      <c r="BB485" s="2"/>
    </row>
    <row r="486">
      <c r="A486" s="2">
        <f>IFERROR(__xludf.DUMMYFUNCTION("""COMPUTED_VALUE"""),482.0)</f>
        <v>482</v>
      </c>
      <c r="B486" s="2" t="str">
        <f>IFERROR(__xludf.DUMMYFUNCTION("""COMPUTED_VALUE"""),"COMPLETED")</f>
        <v>COMPLETED</v>
      </c>
      <c r="C486" s="74">
        <f>IFERROR(__xludf.DUMMYFUNCTION("""COMPUTED_VALUE"""),45553.0)</f>
        <v>45553</v>
      </c>
      <c r="D486" s="71" t="str">
        <f>IFERROR(__xludf.DUMMYFUNCTION("""COMPUTED_VALUE"""),"Magsaysay Farmer's Association")</f>
        <v>Magsaysay Farmer's Association</v>
      </c>
      <c r="E486" s="71" t="str">
        <f>IFERROR(__xludf.DUMMYFUNCTION("""COMPUTED_VALUE"""),"Magsaysay, Patnongon, ANTIQUE")</f>
        <v>Magsaysay, Patnongon, ANTIQUE</v>
      </c>
      <c r="F486" s="2" t="str">
        <f>IFERROR(__xludf.DUMMYFUNCTION("""COMPUTED_VALUE"""),"Felix C. Molining")</f>
        <v>Felix C. Molining</v>
      </c>
      <c r="G486" s="2" t="str">
        <f>IFERROR(__xludf.DUMMYFUNCTION("""COMPUTED_VALUE"""),"0906-919-3017")</f>
        <v>0906-919-3017</v>
      </c>
      <c r="H486" s="2"/>
      <c r="I486" s="72" t="str">
        <f>IFERROR(__xludf.DUMMYFUNCTION("""COMPUTED_VALUE"""),"SPARE PARTS ACQUISITION")</f>
        <v>SPARE PARTS ACQUISITION</v>
      </c>
      <c r="J486" s="72" t="str">
        <f>IFERROR(__xludf.DUMMYFUNCTION("""COMPUTED_VALUE"""),"SPARE PARTS ACQUISITION")</f>
        <v>SPARE PARTS ACQUISITION</v>
      </c>
      <c r="K486" s="72" t="str">
        <f>IFERROR(__xludf.DUMMYFUNCTION("""COMPUTED_VALUE"""),"MYKEE: 1 OIL FILTER ")</f>
        <v>MYKEE: 1 OIL FILTER </v>
      </c>
      <c r="L486" s="72" t="str">
        <f>IFERROR(__xludf.DUMMYFUNCTION("""COMPUTED_VALUE"""),"FARMER: BINAYARAN KO NA SAKANILA NUNG PUMUNTA SILA DITO")</f>
        <v>FARMER: BINAYARAN KO NA SAKANILA NUNG PUMUNTA SILA DITO</v>
      </c>
      <c r="M486" s="2"/>
      <c r="N486" s="2" t="str">
        <f>IFERROR(__xludf.DUMMYFUNCTION("""COMPUTED_VALUE"""),"PARTS: OIL FILTER")</f>
        <v>PARTS: OIL FILTER</v>
      </c>
      <c r="O486" s="2">
        <f>IFERROR(__xludf.DUMMYFUNCTION("""COMPUTED_VALUE"""),1304.0)</f>
        <v>1304</v>
      </c>
      <c r="P486" s="2"/>
      <c r="Q486" s="2" t="str">
        <f>IFERROR(__xludf.DUMMYFUNCTION("""COMPUTED_VALUE"""),"Y")</f>
        <v>Y</v>
      </c>
      <c r="R486" s="74">
        <f>IFERROR(__xludf.DUMMYFUNCTION("""COMPUTED_VALUE"""),45567.0)</f>
        <v>45567</v>
      </c>
      <c r="S486" s="2" t="str">
        <f>IFERROR(__xludf.DUMMYFUNCTION("""COMPUTED_VALUE"""),"EGT/DRM")</f>
        <v>EGT/DRM</v>
      </c>
      <c r="T486" s="73">
        <f>IFERROR(__xludf.DUMMYFUNCTION("""COMPUTED_VALUE"""),1533.0)</f>
        <v>1533</v>
      </c>
      <c r="U486" s="73" t="str">
        <f>IFERROR(__xludf.DUMMYFUNCTION("""COMPUTED_VALUE""")," REMITTED ")</f>
        <v>REMITTED</v>
      </c>
      <c r="V486" s="2"/>
      <c r="W486" s="2">
        <f>IFERROR(__xludf.DUMMYFUNCTION("""COMPUTED_VALUE"""),1314.0)</f>
        <v>1314</v>
      </c>
      <c r="X486" s="2">
        <f>IFERROR(__xludf.DUMMYFUNCTION("""COMPUTED_VALUE"""),1219.0)</f>
        <v>1219</v>
      </c>
      <c r="Y486" s="2"/>
      <c r="Z486" s="2"/>
      <c r="AA486" s="2"/>
      <c r="AB486" s="2"/>
      <c r="AC486" s="2"/>
      <c r="AD486" s="2"/>
      <c r="AE486" s="2"/>
      <c r="AF486" s="2"/>
      <c r="AG486" s="2"/>
      <c r="AH486" s="2"/>
      <c r="AI486" s="2"/>
      <c r="AJ486" s="2" t="str">
        <f>IFERROR(__xludf.DUMMYFUNCTION("""COMPUTED_VALUE"""),"Magsaysay")</f>
        <v>Magsaysay</v>
      </c>
      <c r="AK486" s="2" t="str">
        <f>IFERROR(__xludf.DUMMYFUNCTION("""COMPUTED_VALUE"""),"Patnongon")</f>
        <v>Patnongon</v>
      </c>
      <c r="AL486" s="2" t="str">
        <f>IFERROR(__xludf.DUMMYFUNCTION("""COMPUTED_VALUE"""),"Antique")</f>
        <v>Antique</v>
      </c>
      <c r="AM486" s="2">
        <f>IFERROR(__xludf.DUMMYFUNCTION("""COMPUTED_VALUE"""),6.0)</f>
        <v>6</v>
      </c>
      <c r="AN486" s="2" t="str">
        <f>IFERROR(__xludf.DUMMYFUNCTION("""COMPUTED_VALUE"""),"RCEF 23-09-21 Rebidding")</f>
        <v>RCEF 23-09-21 Rebidding</v>
      </c>
      <c r="AO486" s="2">
        <f>IFERROR(__xludf.DUMMYFUNCTION("""COMPUTED_VALUE"""),4.0)</f>
        <v>4</v>
      </c>
      <c r="AP486" s="2"/>
      <c r="AQ486" s="2"/>
      <c r="AR486" s="2"/>
      <c r="AS486" s="2"/>
      <c r="AT486" s="2"/>
      <c r="AU486" s="2"/>
      <c r="AV486" s="2"/>
      <c r="AW486" s="2"/>
      <c r="AX486" s="2"/>
      <c r="AY486" s="2"/>
      <c r="AZ486" s="2"/>
      <c r="BA486" s="2"/>
      <c r="BB486" s="2"/>
    </row>
    <row r="487">
      <c r="A487" s="2">
        <f>IFERROR(__xludf.DUMMYFUNCTION("""COMPUTED_VALUE"""),483.0)</f>
        <v>483</v>
      </c>
      <c r="B487" s="2" t="str">
        <f>IFERROR(__xludf.DUMMYFUNCTION("""COMPUTED_VALUE"""),"COMPLETED")</f>
        <v>COMPLETED</v>
      </c>
      <c r="C487" s="74">
        <f>IFERROR(__xludf.DUMMYFUNCTION("""COMPUTED_VALUE"""),45553.0)</f>
        <v>45553</v>
      </c>
      <c r="D487" s="71" t="str">
        <f>IFERROR(__xludf.DUMMYFUNCTION("""COMPUTED_VALUE"""),"SAMAHANG MAGPAPATUBIG NG BALUGO STA. MARIA AT VILLA CELESTIAL INC.")</f>
        <v>SAMAHANG MAGPAPATUBIG NG BALUGO STA. MARIA AT VILLA CELESTIAL INC.</v>
      </c>
      <c r="E487" s="71" t="str">
        <f>IFERROR(__xludf.DUMMYFUNCTION("""COMPUTED_VALUE"""),"Balugo, Mansalay, Oriental Mindoro")</f>
        <v>Balugo, Mansalay, Oriental Mindoro</v>
      </c>
      <c r="F487" s="2" t="str">
        <f>IFERROR(__xludf.DUMMYFUNCTION("""COMPUTED_VALUE"""),"MARIVIC DIONISIO")</f>
        <v>MARIVIC DIONISIO</v>
      </c>
      <c r="G487" s="2">
        <f>IFERROR(__xludf.DUMMYFUNCTION("""COMPUTED_VALUE"""),9.756580836E9)</f>
        <v>9756580836</v>
      </c>
      <c r="H487" s="2">
        <f>IFERROR(__xludf.DUMMYFUNCTION("""COMPUTED_VALUE"""),273.0)</f>
        <v>273</v>
      </c>
      <c r="I487" s="72" t="str">
        <f>IFERROR(__xludf.DUMMYFUNCTION("""COMPUTED_VALUE"""),"REPAIR - ROTAVATOR")</f>
        <v>REPAIR - ROTAVATOR</v>
      </c>
      <c r="J487" s="72" t="str">
        <f>IFERROR(__xludf.DUMMYFUNCTION("""COMPUTED_VALUE"""),"Gearbox")</f>
        <v>Gearbox</v>
      </c>
      <c r="K487" s="72" t="str">
        <f>IFERROR(__xludf.DUMMYFUNCTION("""COMPUTED_VALUE"""),"RCG: assessed unit,check gear oil.checkup gear box.binuksan ko po yung gearbox.dun ko nakita na nagka bungi yung LSGW Bevel gear na 24T.
Parts Needed:LSGW Bevel Gear 24T
RCG: Retry to fix the bevel gear.
magkaiba yung bevel gear na luma at yung bagong pa"&amp;"rts
")</f>
        <v>RCG: assessed unit,check gear oil.checkup gear box.binuksan ko po yung gearbox.dun ko nakita na nagka bungi yung LSGW Bevel gear na 24T.
Parts Needed:LSGW Bevel Gear 24T
RCG: Retry to fix the bevel gear.
magkaiba yung bevel gear na luma at yung bagong parts
</v>
      </c>
      <c r="L487" s="72" t="str">
        <f>IFERROR(__xludf.DUMMYFUNCTION("""COMPUTED_VALUE"""),"RCG: REPLACED BEVEL GEAR 24T")</f>
        <v>RCG: REPLACED BEVEL GEAR 24T</v>
      </c>
      <c r="M487" s="2"/>
      <c r="N487" s="2" t="str">
        <f>IFERROR(__xludf.DUMMYFUNCTION("""COMPUTED_VALUE"""),"PARTS: BEVEL GEAR 24T")</f>
        <v>PARTS: BEVEL GEAR 24T</v>
      </c>
      <c r="O487" s="2" t="str">
        <f>IFERROR(__xludf.DUMMYFUNCTION("""COMPUTED_VALUE"""),"NEED SERVICE REPORT")</f>
        <v>NEED SERVICE REPORT</v>
      </c>
      <c r="P487" s="2"/>
      <c r="Q487" s="2"/>
      <c r="R487" s="74">
        <f>IFERROR(__xludf.DUMMYFUNCTION("""COMPUTED_VALUE"""),45712.0)</f>
        <v>45712</v>
      </c>
      <c r="S487" s="2" t="str">
        <f>IFERROR(__xludf.DUMMYFUNCTION("""COMPUTED_VALUE"""),"ECM/RBS")</f>
        <v>ECM/RBS</v>
      </c>
      <c r="T487" s="73">
        <f>IFERROR(__xludf.DUMMYFUNCTION("""COMPUTED_VALUE"""),13000.0)</f>
        <v>13000</v>
      </c>
      <c r="U487" s="73" t="str">
        <f>IFERROR(__xludf.DUMMYFUNCTION("""COMPUTED_VALUE""")," REMITTED ")</f>
        <v>REMITTED</v>
      </c>
      <c r="V487" s="2"/>
      <c r="W487" s="2">
        <f>IFERROR(__xludf.DUMMYFUNCTION("""COMPUTED_VALUE"""),1417.0)</f>
        <v>1417</v>
      </c>
      <c r="X487" s="2">
        <f>IFERROR(__xludf.DUMMYFUNCTION("""COMPUTED_VALUE"""),1407.0)</f>
        <v>1407</v>
      </c>
      <c r="Y487" s="2"/>
      <c r="Z487" s="2"/>
      <c r="AA487" s="2"/>
      <c r="AB487" s="2"/>
      <c r="AC487" s="2"/>
      <c r="AD487" s="2"/>
      <c r="AE487" s="2"/>
      <c r="AF487" s="2"/>
      <c r="AG487" s="2"/>
      <c r="AH487" s="2"/>
      <c r="AI487" s="2"/>
      <c r="AJ487" s="2" t="str">
        <f>IFERROR(__xludf.DUMMYFUNCTION("""COMPUTED_VALUE"""),"Balugo")</f>
        <v>Balugo</v>
      </c>
      <c r="AK487" s="2" t="str">
        <f>IFERROR(__xludf.DUMMYFUNCTION("""COMPUTED_VALUE"""),"Mansalay")</f>
        <v>Mansalay</v>
      </c>
      <c r="AL487" s="2" t="str">
        <f>IFERROR(__xludf.DUMMYFUNCTION("""COMPUTED_VALUE"""),"Oriental Mindoro")</f>
        <v>Oriental Mindoro</v>
      </c>
      <c r="AM487" s="2" t="str">
        <f>IFERROR(__xludf.DUMMYFUNCTION("""COMPUTED_VALUE"""),"4B")</f>
        <v>4B</v>
      </c>
      <c r="AN487" s="2" t="str">
        <f>IFERROR(__xludf.DUMMYFUNCTION("""COMPUTED_VALUE"""),"RCEF 23-08-20 Rebidding")</f>
        <v>RCEF 23-08-20 Rebidding</v>
      </c>
      <c r="AO487" s="2">
        <f>IFERROR(__xludf.DUMMYFUNCTION("""COMPUTED_VALUE"""),1.0)</f>
        <v>1</v>
      </c>
      <c r="AP487" s="2"/>
      <c r="AQ487" s="2"/>
      <c r="AR487" s="2"/>
      <c r="AS487" s="2"/>
      <c r="AT487" s="2"/>
      <c r="AU487" s="2"/>
      <c r="AV487" s="2"/>
      <c r="AW487" s="2"/>
      <c r="AX487" s="2"/>
      <c r="AY487" s="2"/>
      <c r="AZ487" s="2"/>
      <c r="BA487" s="2"/>
      <c r="BB487" s="2"/>
    </row>
    <row r="488">
      <c r="A488" s="2">
        <f>IFERROR(__xludf.DUMMYFUNCTION("""COMPUTED_VALUE"""),484.0)</f>
        <v>484</v>
      </c>
      <c r="B488" s="2" t="str">
        <f>IFERROR(__xludf.DUMMYFUNCTION("""COMPUTED_VALUE"""),"COMPLETED")</f>
        <v>COMPLETED</v>
      </c>
      <c r="C488" s="74">
        <f>IFERROR(__xludf.DUMMYFUNCTION("""COMPUTED_VALUE"""),45554.0)</f>
        <v>45554</v>
      </c>
      <c r="D488" s="71" t="str">
        <f>IFERROR(__xludf.DUMMYFUNCTION("""COMPUTED_VALUE"""),"Matabiaga Malawaan Irrigators Association, Inc.")</f>
        <v>Matabiaga Malawaan Irrigators Association, Inc.</v>
      </c>
      <c r="E488" s="71" t="str">
        <f>IFERROR(__xludf.DUMMYFUNCTION("""COMPUTED_VALUE"""),"MALAWAAN, RIZAL, OCCIDENTAL MINDORO")</f>
        <v>MALAWAAN, RIZAL, OCCIDENTAL MINDORO</v>
      </c>
      <c r="F488" s="2"/>
      <c r="G488" s="2"/>
      <c r="H488" s="2"/>
      <c r="I488" s="72" t="str">
        <f>IFERROR(__xludf.DUMMYFUNCTION("""COMPUTED_VALUE"""),"SPARE PARTS ACQUISITION")</f>
        <v>SPARE PARTS ACQUISITION</v>
      </c>
      <c r="J488" s="72"/>
      <c r="K488" s="72" t="str">
        <f>IFERROR(__xludf.DUMMYFUNCTION("""COMPUTED_VALUE"""),"RCG: 1 HYDRAULIC FILTER, 1 OIL FILTER")</f>
        <v>RCG: 1 HYDRAULIC FILTER, 1 OIL FILTER</v>
      </c>
      <c r="L488" s="72"/>
      <c r="M488" s="2"/>
      <c r="N488" s="2" t="str">
        <f>IFERROR(__xludf.DUMMYFUNCTION("""COMPUTED_VALUE"""),"RCG: 
1 HYDRAULIC FILTER,
1 OIL FILTER")</f>
        <v>RCG: 
1 HYDRAULIC FILTER,
1 OIL FILTER</v>
      </c>
      <c r="O488" s="2" t="str">
        <f>IFERROR(__xludf.DUMMYFUNCTION("""COMPUTED_VALUE"""),"N/A")</f>
        <v>N/A</v>
      </c>
      <c r="P488" s="2"/>
      <c r="Q488" s="2"/>
      <c r="R488" s="74">
        <f>IFERROR(__xludf.DUMMYFUNCTION("""COMPUTED_VALUE"""),45554.0)</f>
        <v>45554</v>
      </c>
      <c r="S488" s="2" t="str">
        <f>IFERROR(__xludf.DUMMYFUNCTION("""COMPUTED_VALUE"""),"RCG")</f>
        <v>RCG</v>
      </c>
      <c r="T488" s="73">
        <f>IFERROR(__xludf.DUMMYFUNCTION("""COMPUTED_VALUE"""),4281.0)</f>
        <v>4281</v>
      </c>
      <c r="U488" s="73" t="str">
        <f>IFERROR(__xludf.DUMMYFUNCTION("""COMPUTED_VALUE""")," REMITTED ")</f>
        <v>REMITTED</v>
      </c>
      <c r="V488" s="2"/>
      <c r="W488" s="2"/>
      <c r="X488" s="2">
        <f>IFERROR(__xludf.DUMMYFUNCTION("""COMPUTED_VALUE"""),1158.0)</f>
        <v>1158</v>
      </c>
      <c r="Y488" s="2"/>
      <c r="Z488" s="2"/>
      <c r="AA488" s="2"/>
      <c r="AB488" s="2"/>
      <c r="AC488" s="2"/>
      <c r="AD488" s="2"/>
      <c r="AE488" s="2"/>
      <c r="AF488" s="2"/>
      <c r="AG488" s="2"/>
      <c r="AH488" s="2"/>
      <c r="AI488" s="2"/>
      <c r="AJ488" s="2" t="str">
        <f>IFERROR(__xludf.DUMMYFUNCTION("""COMPUTED_VALUE"""),"Malawaan")</f>
        <v>Malawaan</v>
      </c>
      <c r="AK488" s="2" t="str">
        <f>IFERROR(__xludf.DUMMYFUNCTION("""COMPUTED_VALUE"""),"Rizal")</f>
        <v>Rizal</v>
      </c>
      <c r="AL488" s="2" t="str">
        <f>IFERROR(__xludf.DUMMYFUNCTION("""COMPUTED_VALUE"""),"Occidental Mindoro")</f>
        <v>Occidental Mindoro</v>
      </c>
      <c r="AM488" s="2" t="str">
        <f>IFERROR(__xludf.DUMMYFUNCTION("""COMPUTED_VALUE"""),"4B")</f>
        <v>4B</v>
      </c>
      <c r="AN488" s="2" t="str">
        <f>IFERROR(__xludf.DUMMYFUNCTION("""COMPUTED_VALUE"""),"RCEF 23-08-20 Rebidding")</f>
        <v>RCEF 23-08-20 Rebidding</v>
      </c>
      <c r="AO488" s="2">
        <f>IFERROR(__xludf.DUMMYFUNCTION("""COMPUTED_VALUE"""),1.0)</f>
        <v>1</v>
      </c>
      <c r="AP488" s="2"/>
      <c r="AQ488" s="2"/>
      <c r="AR488" s="2"/>
      <c r="AS488" s="2"/>
      <c r="AT488" s="2"/>
      <c r="AU488" s="2"/>
      <c r="AV488" s="2"/>
      <c r="AW488" s="2"/>
      <c r="AX488" s="2"/>
      <c r="AY488" s="2"/>
      <c r="AZ488" s="2"/>
      <c r="BA488" s="2"/>
      <c r="BB488" s="2"/>
    </row>
    <row r="489">
      <c r="A489" s="2">
        <f>IFERROR(__xludf.DUMMYFUNCTION("""COMPUTED_VALUE"""),485.0)</f>
        <v>485</v>
      </c>
      <c r="B489" s="2" t="str">
        <f>IFERROR(__xludf.DUMMYFUNCTION("""COMPUTED_VALUE"""),"COMPLETED")</f>
        <v>COMPLETED</v>
      </c>
      <c r="C489" s="74">
        <f>IFERROR(__xludf.DUMMYFUNCTION("""COMPUTED_VALUE"""),45554.0)</f>
        <v>45554</v>
      </c>
      <c r="D489" s="71" t="str">
        <f>IFERROR(__xludf.DUMMYFUNCTION("""COMPUTED_VALUE"""),"KAINGIN TAGUMPAY FARMERS AND IRRIGATORS ASSOCIATION (KATFAIA)")</f>
        <v>KAINGIN TAGUMPAY FARMERS AND IRRIGATORS ASSOCIATION (KATFAIA)</v>
      </c>
      <c r="E489" s="71" t="str">
        <f>IFERROR(__xludf.DUMMYFUNCTION("""COMPUTED_VALUE"""),"TAGUMPAY, SABLAYAN, OCCIDENTAL MINDORO")</f>
        <v>TAGUMPAY, SABLAYAN, OCCIDENTAL MINDORO</v>
      </c>
      <c r="F489" s="2"/>
      <c r="G489" s="2"/>
      <c r="H489" s="2"/>
      <c r="I489" s="72" t="str">
        <f>IFERROR(__xludf.DUMMYFUNCTION("""COMPUTED_VALUE"""),"SPARE PARTS ACQUISITION")</f>
        <v>SPARE PARTS ACQUISITION</v>
      </c>
      <c r="J489" s="72"/>
      <c r="K489" s="72" t="str">
        <f>IFERROR(__xludf.DUMMYFUNCTION("""COMPUTED_VALUE"""),"RCG: 1 HYDRAULIC FILTER, 1 OIL FILTER")</f>
        <v>RCG: 1 HYDRAULIC FILTER, 1 OIL FILTER</v>
      </c>
      <c r="L489" s="72"/>
      <c r="M489" s="2"/>
      <c r="N489" s="2" t="str">
        <f>IFERROR(__xludf.DUMMYFUNCTION("""COMPUTED_VALUE"""),"RCG: 
1 HYDRAULIC FILTER,
1 OIL FILTER")</f>
        <v>RCG: 
1 HYDRAULIC FILTER,
1 OIL FILTER</v>
      </c>
      <c r="O489" s="2" t="str">
        <f>IFERROR(__xludf.DUMMYFUNCTION("""COMPUTED_VALUE"""),"N/A")</f>
        <v>N/A</v>
      </c>
      <c r="P489" s="2"/>
      <c r="Q489" s="2"/>
      <c r="R489" s="74">
        <f>IFERROR(__xludf.DUMMYFUNCTION("""COMPUTED_VALUE"""),45554.0)</f>
        <v>45554</v>
      </c>
      <c r="S489" s="2" t="str">
        <f>IFERROR(__xludf.DUMMYFUNCTION("""COMPUTED_VALUE"""),"RCG")</f>
        <v>RCG</v>
      </c>
      <c r="T489" s="73">
        <f>IFERROR(__xludf.DUMMYFUNCTION("""COMPUTED_VALUE"""),4281.0)</f>
        <v>4281</v>
      </c>
      <c r="U489" s="73" t="str">
        <f>IFERROR(__xludf.DUMMYFUNCTION("""COMPUTED_VALUE""")," REMITTED ")</f>
        <v>REMITTED</v>
      </c>
      <c r="V489" s="2"/>
      <c r="W489" s="2"/>
      <c r="X489" s="2">
        <f>IFERROR(__xludf.DUMMYFUNCTION("""COMPUTED_VALUE"""),1160.0)</f>
        <v>1160</v>
      </c>
      <c r="Y489" s="2"/>
      <c r="Z489" s="2"/>
      <c r="AA489" s="2"/>
      <c r="AB489" s="2"/>
      <c r="AC489" s="2"/>
      <c r="AD489" s="2"/>
      <c r="AE489" s="2"/>
      <c r="AF489" s="2"/>
      <c r="AG489" s="2"/>
      <c r="AH489" s="2"/>
      <c r="AI489" s="2"/>
      <c r="AJ489" s="2" t="str">
        <f>IFERROR(__xludf.DUMMYFUNCTION("""COMPUTED_VALUE"""),"Tagumpay")</f>
        <v>Tagumpay</v>
      </c>
      <c r="AK489" s="2" t="str">
        <f>IFERROR(__xludf.DUMMYFUNCTION("""COMPUTED_VALUE"""),"Sablayan")</f>
        <v>Sablayan</v>
      </c>
      <c r="AL489" s="2" t="str">
        <f>IFERROR(__xludf.DUMMYFUNCTION("""COMPUTED_VALUE"""),"Occidental Mindoro")</f>
        <v>Occidental Mindoro</v>
      </c>
      <c r="AM489" s="2" t="str">
        <f>IFERROR(__xludf.DUMMYFUNCTION("""COMPUTED_VALUE"""),"4B")</f>
        <v>4B</v>
      </c>
      <c r="AN489" s="2" t="str">
        <f>IFERROR(__xludf.DUMMYFUNCTION("""COMPUTED_VALUE"""),"RCEF 23-08-20 Rebidding")</f>
        <v>RCEF 23-08-20 Rebidding</v>
      </c>
      <c r="AO489" s="2">
        <f>IFERROR(__xludf.DUMMYFUNCTION("""COMPUTED_VALUE"""),1.0)</f>
        <v>1</v>
      </c>
      <c r="AP489" s="2"/>
      <c r="AQ489" s="2"/>
      <c r="AR489" s="2"/>
      <c r="AS489" s="2"/>
      <c r="AT489" s="2"/>
      <c r="AU489" s="2"/>
      <c r="AV489" s="2"/>
      <c r="AW489" s="2"/>
      <c r="AX489" s="2"/>
      <c r="AY489" s="2"/>
      <c r="AZ489" s="2"/>
      <c r="BA489" s="2"/>
      <c r="BB489" s="2"/>
    </row>
    <row r="490">
      <c r="A490" s="2">
        <f>IFERROR(__xludf.DUMMYFUNCTION("""COMPUTED_VALUE"""),486.0)</f>
        <v>486</v>
      </c>
      <c r="B490" s="2" t="str">
        <f>IFERROR(__xludf.DUMMYFUNCTION("""COMPUTED_VALUE"""),"COMPLETED")</f>
        <v>COMPLETED</v>
      </c>
      <c r="C490" s="74">
        <f>IFERROR(__xludf.DUMMYFUNCTION("""COMPUTED_VALUE"""),45554.0)</f>
        <v>45554</v>
      </c>
      <c r="D490" s="71" t="str">
        <f>IFERROR(__xludf.DUMMYFUNCTION("""COMPUTED_VALUE"""),"GINTONG BUTIL FARMERS ASSOCIATION")</f>
        <v>GINTONG BUTIL FARMERS ASSOCIATION</v>
      </c>
      <c r="E490" s="71" t="str">
        <f>IFERROR(__xludf.DUMMYFUNCTION("""COMPUTED_VALUE"""),"PINAGTURIHAN, SANTA CRUZ, OCCIDENTAL MINDORO")</f>
        <v>PINAGTURIHAN, SANTA CRUZ, OCCIDENTAL MINDORO</v>
      </c>
      <c r="F490" s="2"/>
      <c r="G490" s="2"/>
      <c r="H490" s="2"/>
      <c r="I490" s="72" t="str">
        <f>IFERROR(__xludf.DUMMYFUNCTION("""COMPUTED_VALUE"""),"SPARE PARTS ACQUISITION")</f>
        <v>SPARE PARTS ACQUISITION</v>
      </c>
      <c r="J490" s="72"/>
      <c r="K490" s="72" t="str">
        <f>IFERROR(__xludf.DUMMYFUNCTION("""COMPUTED_VALUE"""),"RCG: 1 HYDRAULIC FILTER, 2 OIL FILTER")</f>
        <v>RCG: 1 HYDRAULIC FILTER, 2 OIL FILTER</v>
      </c>
      <c r="L490" s="72"/>
      <c r="M490" s="2"/>
      <c r="N490" s="2" t="str">
        <f>IFERROR(__xludf.DUMMYFUNCTION("""COMPUTED_VALUE"""),"RCG: 
1 HYDRAULIC FILTER,
2 OIL FILTER")</f>
        <v>RCG: 
1 HYDRAULIC FILTER,
2 OIL FILTER</v>
      </c>
      <c r="O490" s="2" t="str">
        <f>IFERROR(__xludf.DUMMYFUNCTION("""COMPUTED_VALUE"""),"N/A")</f>
        <v>N/A</v>
      </c>
      <c r="P490" s="2"/>
      <c r="Q490" s="2"/>
      <c r="R490" s="74">
        <f>IFERROR(__xludf.DUMMYFUNCTION("""COMPUTED_VALUE"""),45554.0)</f>
        <v>45554</v>
      </c>
      <c r="S490" s="2" t="str">
        <f>IFERROR(__xludf.DUMMYFUNCTION("""COMPUTED_VALUE"""),"RCG")</f>
        <v>RCG</v>
      </c>
      <c r="T490" s="73">
        <f>IFERROR(__xludf.DUMMYFUNCTION("""COMPUTED_VALUE"""),5814.0)</f>
        <v>5814</v>
      </c>
      <c r="U490" s="73" t="str">
        <f>IFERROR(__xludf.DUMMYFUNCTION("""COMPUTED_VALUE""")," REMITTED ")</f>
        <v>REMITTED</v>
      </c>
      <c r="V490" s="2"/>
      <c r="W490" s="2"/>
      <c r="X490" s="2">
        <f>IFERROR(__xludf.DUMMYFUNCTION("""COMPUTED_VALUE"""),1161.0)</f>
        <v>1161</v>
      </c>
      <c r="Y490" s="2"/>
      <c r="Z490" s="2"/>
      <c r="AA490" s="2"/>
      <c r="AB490" s="2"/>
      <c r="AC490" s="2"/>
      <c r="AD490" s="2"/>
      <c r="AE490" s="2"/>
      <c r="AF490" s="2"/>
      <c r="AG490" s="2"/>
      <c r="AH490" s="2"/>
      <c r="AI490" s="2"/>
      <c r="AJ490" s="2" t="str">
        <f>IFERROR(__xludf.DUMMYFUNCTION("""COMPUTED_VALUE"""),"Pinagturihan")</f>
        <v>Pinagturihan</v>
      </c>
      <c r="AK490" s="2" t="str">
        <f>IFERROR(__xludf.DUMMYFUNCTION("""COMPUTED_VALUE"""),"Santa Cruz")</f>
        <v>Santa Cruz</v>
      </c>
      <c r="AL490" s="2" t="str">
        <f>IFERROR(__xludf.DUMMYFUNCTION("""COMPUTED_VALUE"""),"Occidental Mindoro")</f>
        <v>Occidental Mindoro</v>
      </c>
      <c r="AM490" s="2" t="str">
        <f>IFERROR(__xludf.DUMMYFUNCTION("""COMPUTED_VALUE"""),"4B")</f>
        <v>4B</v>
      </c>
      <c r="AN490" s="2" t="str">
        <f>IFERROR(__xludf.DUMMYFUNCTION("""COMPUTED_VALUE"""),"RCEF 23-08-20 Rebidding")</f>
        <v>RCEF 23-08-20 Rebidding</v>
      </c>
      <c r="AO490" s="2">
        <f>IFERROR(__xludf.DUMMYFUNCTION("""COMPUTED_VALUE"""),1.0)</f>
        <v>1</v>
      </c>
      <c r="AP490" s="2"/>
      <c r="AQ490" s="2"/>
      <c r="AR490" s="2"/>
      <c r="AS490" s="2"/>
      <c r="AT490" s="2"/>
      <c r="AU490" s="2"/>
      <c r="AV490" s="2"/>
      <c r="AW490" s="2"/>
      <c r="AX490" s="2"/>
      <c r="AY490" s="2"/>
      <c r="AZ490" s="2"/>
      <c r="BA490" s="2"/>
      <c r="BB490" s="2"/>
    </row>
    <row r="491">
      <c r="A491" s="2">
        <f>IFERROR(__xludf.DUMMYFUNCTION("""COMPUTED_VALUE"""),487.0)</f>
        <v>487</v>
      </c>
      <c r="B491" s="2" t="str">
        <f>IFERROR(__xludf.DUMMYFUNCTION("""COMPUTED_VALUE"""),"COMPLETED")</f>
        <v>COMPLETED</v>
      </c>
      <c r="C491" s="74">
        <f>IFERROR(__xludf.DUMMYFUNCTION("""COMPUTED_VALUE"""),45554.0)</f>
        <v>45554</v>
      </c>
      <c r="D491" s="71" t="str">
        <f>IFERROR(__xludf.DUMMYFUNCTION("""COMPUTED_VALUE"""),"MATALADTAD FARMERS IRRIGATORS ASSOCIATION INC.")</f>
        <v>MATALADTAD FARMERS IRRIGATORS ASSOCIATION INC.</v>
      </c>
      <c r="E491" s="71" t="str">
        <f>IFERROR(__xludf.DUMMYFUNCTION("""COMPUTED_VALUE"""),"Papaya, San Antonio, NUEVA ECIJA")</f>
        <v>Papaya, San Antonio, NUEVA ECIJA</v>
      </c>
      <c r="F491" s="2" t="str">
        <f>IFERROR(__xludf.DUMMYFUNCTION("""COMPUTED_VALUE"""),"RAYMUNDO SULIT")</f>
        <v>RAYMUNDO SULIT</v>
      </c>
      <c r="G491" s="2">
        <f>IFERROR(__xludf.DUMMYFUNCTION("""COMPUTED_VALUE"""),9.532449768E9)</f>
        <v>9532449768</v>
      </c>
      <c r="H491" s="2"/>
      <c r="I491" s="72" t="str">
        <f>IFERROR(__xludf.DUMMYFUNCTION("""COMPUTED_VALUE"""),"REPAIR - TRACTOR")</f>
        <v>REPAIR - TRACTOR</v>
      </c>
      <c r="J491" s="72" t="str">
        <f>IFERROR(__xludf.DUMMYFUNCTION("""COMPUTED_VALUE"""),"RADIATOR")</f>
        <v>RADIATOR</v>
      </c>
      <c r="K491" s="72" t="str">
        <f>IFERROR(__xludf.DUMMYFUNCTION("""COMPUTED_VALUE"""),"JDP: Sumabog po yung Radiator ng unit nila dinikitan nlang po nila ng epoxy pang samantala (DIY)")</f>
        <v>JDP: Sumabog po yung Radiator ng unit nila dinikitan nlang po nila ng epoxy pang samantala (DIY)</v>
      </c>
      <c r="L491" s="72" t="str">
        <f>IFERROR(__xludf.DUMMYFUNCTION("""COMPUTED_VALUE"""),"dinikitan nlang po nila ng epoxy pang samantala (DIY)")</f>
        <v>dinikitan nlang po nila ng epoxy pang samantala (DIY)</v>
      </c>
      <c r="M491" s="2"/>
      <c r="N491" s="2"/>
      <c r="O491" s="2" t="str">
        <f>IFERROR(__xludf.DUMMYFUNCTION("""COMPUTED_VALUE"""),"N/A")</f>
        <v>N/A</v>
      </c>
      <c r="P491" s="2"/>
      <c r="Q491" s="2"/>
      <c r="R491" s="74">
        <f>IFERROR(__xludf.DUMMYFUNCTION("""COMPUTED_VALUE"""),45554.0)</f>
        <v>45554</v>
      </c>
      <c r="S491" s="2" t="str">
        <f>IFERROR(__xludf.DUMMYFUNCTION("""COMPUTED_VALUE"""),"JDP/DSD")</f>
        <v>JDP/DSD</v>
      </c>
      <c r="T491" s="73" t="str">
        <f>IFERROR(__xludf.DUMMYFUNCTION("""COMPUTED_VALUE""")," N/A ")</f>
        <v>N/A</v>
      </c>
      <c r="U491" s="73" t="str">
        <f>IFERROR(__xludf.DUMMYFUNCTION("""COMPUTED_VALUE""")," NO CHARGE ")</f>
        <v>NO CHARGE</v>
      </c>
      <c r="V491" s="2"/>
      <c r="W491" s="2" t="str">
        <f>IFERROR(__xludf.DUMMYFUNCTION("""COMPUTED_VALUE"""),"N/A")</f>
        <v>N/A</v>
      </c>
      <c r="X491" s="2" t="str">
        <f>IFERROR(__xludf.DUMMYFUNCTION("""COMPUTED_VALUE"""),"N/A")</f>
        <v>N/A</v>
      </c>
      <c r="Y491" s="2"/>
      <c r="Z491" s="2"/>
      <c r="AA491" s="2"/>
      <c r="AB491" s="2"/>
      <c r="AC491" s="2"/>
      <c r="AD491" s="2"/>
      <c r="AE491" s="2"/>
      <c r="AF491" s="2"/>
      <c r="AG491" s="2"/>
      <c r="AH491" s="2"/>
      <c r="AI491" s="2"/>
      <c r="AJ491" s="2" t="str">
        <f>IFERROR(__xludf.DUMMYFUNCTION("""COMPUTED_VALUE"""),"Papaya")</f>
        <v>Papaya</v>
      </c>
      <c r="AK491" s="2" t="str">
        <f>IFERROR(__xludf.DUMMYFUNCTION("""COMPUTED_VALUE"""),"San Antonio")</f>
        <v>San Antonio</v>
      </c>
      <c r="AL491" s="2" t="str">
        <f>IFERROR(__xludf.DUMMYFUNCTION("""COMPUTED_VALUE"""),"Nueva Ecija")</f>
        <v>Nueva Ecija</v>
      </c>
      <c r="AM491" s="2">
        <f>IFERROR(__xludf.DUMMYFUNCTION("""COMPUTED_VALUE"""),3.0)</f>
        <v>3</v>
      </c>
      <c r="AN491" s="2" t="str">
        <f>IFERROR(__xludf.DUMMYFUNCTION("""COMPUTED_VALUE"""),"RCEF 23-09-21 Rebidding")</f>
        <v>RCEF 23-09-21 Rebidding</v>
      </c>
      <c r="AO491" s="2">
        <f>IFERROR(__xludf.DUMMYFUNCTION("""COMPUTED_VALUE"""),3.0)</f>
        <v>3</v>
      </c>
      <c r="AP491" s="2"/>
      <c r="AQ491" s="2"/>
      <c r="AR491" s="2"/>
      <c r="AS491" s="2"/>
      <c r="AT491" s="2"/>
      <c r="AU491" s="2"/>
      <c r="AV491" s="2"/>
      <c r="AW491" s="2"/>
      <c r="AX491" s="2"/>
      <c r="AY491" s="2"/>
      <c r="AZ491" s="2"/>
      <c r="BA491" s="2"/>
      <c r="BB491" s="2"/>
    </row>
    <row r="492">
      <c r="A492" s="2">
        <f>IFERROR(__xludf.DUMMYFUNCTION("""COMPUTED_VALUE"""),488.0)</f>
        <v>488</v>
      </c>
      <c r="B492" s="2" t="str">
        <f>IFERROR(__xludf.DUMMYFUNCTION("""COMPUTED_VALUE"""),"COMPLETED")</f>
        <v>COMPLETED</v>
      </c>
      <c r="C492" s="74">
        <f>IFERROR(__xludf.DUMMYFUNCTION("""COMPUTED_VALUE"""),45555.0)</f>
        <v>45555</v>
      </c>
      <c r="D492" s="71" t="str">
        <f>IFERROR(__xludf.DUMMYFUNCTION("""COMPUTED_VALUE"""),"Lamut Grassroots Savings and Development Cooperative")</f>
        <v>Lamut Grassroots Savings and Development Cooperative</v>
      </c>
      <c r="E492" s="71" t="str">
        <f>IFERROR(__xludf.DUMMYFUNCTION("""COMPUTED_VALUE"""),"Poblacion East, Lamut, IFUGAO")</f>
        <v>Poblacion East, Lamut, IFUGAO</v>
      </c>
      <c r="F492" s="2" t="str">
        <f>IFERROR(__xludf.DUMMYFUNCTION("""COMPUTED_VALUE"""),"Danilo V Sera")</f>
        <v>Danilo V Sera</v>
      </c>
      <c r="G492" s="2">
        <f>IFERROR(__xludf.DUMMYFUNCTION("""COMPUTED_VALUE"""),9.171105531E9)</f>
        <v>9171105531</v>
      </c>
      <c r="H492" s="2">
        <f>IFERROR(__xludf.DUMMYFUNCTION("""COMPUTED_VALUE"""),72.6)</f>
        <v>72.6</v>
      </c>
      <c r="I492" s="72" t="str">
        <f>IFERROR(__xludf.DUMMYFUNCTION("""COMPUTED_VALUE"""),"REPAIR - TRACTOR")</f>
        <v>REPAIR - TRACTOR</v>
      </c>
      <c r="J492" s="72" t="str">
        <f>IFERROR(__xludf.DUMMYFUNCTION("""COMPUTED_VALUE"""),"PMS")</f>
        <v>PMS</v>
      </c>
      <c r="K492" s="72" t="str">
        <f>IFERROR(__xludf.DUMMYFUNCTION("""COMPUTED_VALUE"""),"ACS: FIRST PMS")</f>
        <v>ACS: FIRST PMS</v>
      </c>
      <c r="L492" s="72" t="str">
        <f>IFERROR(__xludf.DUMMYFUNCTION("""COMPUTED_VALUE"""),"ACS: FIRST PMS DONE")</f>
        <v>ACS: FIRST PMS DONE</v>
      </c>
      <c r="M492" s="2"/>
      <c r="N492" s="2"/>
      <c r="O492" s="2" t="str">
        <f>IFERROR(__xludf.DUMMYFUNCTION("""COMPUTED_VALUE"""),"JIE-952")</f>
        <v>JIE-952</v>
      </c>
      <c r="P492" s="2"/>
      <c r="Q492" s="2"/>
      <c r="R492" s="74">
        <f>IFERROR(__xludf.DUMMYFUNCTION("""COMPUTED_VALUE"""),45555.0)</f>
        <v>45555</v>
      </c>
      <c r="S492" s="2" t="str">
        <f>IFERROR(__xludf.DUMMYFUNCTION("""COMPUTED_VALUE"""),"ACS/EGT")</f>
        <v>ACS/EGT</v>
      </c>
      <c r="T492" s="73" t="str">
        <f>IFERROR(__xludf.DUMMYFUNCTION("""COMPUTED_VALUE""")," N/A ")</f>
        <v>N/A</v>
      </c>
      <c r="U492" s="73" t="str">
        <f>IFERROR(__xludf.DUMMYFUNCTION("""COMPUTED_VALUE""")," NO CHARGE ")</f>
        <v>NO CHARGE</v>
      </c>
      <c r="V492" s="2"/>
      <c r="W492" s="2" t="str">
        <f>IFERROR(__xludf.DUMMYFUNCTION("""COMPUTED_VALUE"""),"N/A")</f>
        <v>N/A</v>
      </c>
      <c r="X492" s="2" t="str">
        <f>IFERROR(__xludf.DUMMYFUNCTION("""COMPUTED_VALUE"""),"N/A")</f>
        <v>N/A</v>
      </c>
      <c r="Y492" s="2"/>
      <c r="Z492" s="2"/>
      <c r="AA492" s="2"/>
      <c r="AB492" s="2"/>
      <c r="AC492" s="2"/>
      <c r="AD492" s="2"/>
      <c r="AE492" s="2"/>
      <c r="AF492" s="2"/>
      <c r="AG492" s="2"/>
      <c r="AH492" s="2"/>
      <c r="AI492" s="2"/>
      <c r="AJ492" s="2" t="str">
        <f>IFERROR(__xludf.DUMMYFUNCTION("""COMPUTED_VALUE"""),"Poblacion East")</f>
        <v>Poblacion East</v>
      </c>
      <c r="AK492" s="2" t="str">
        <f>IFERROR(__xludf.DUMMYFUNCTION("""COMPUTED_VALUE"""),"Lamut")</f>
        <v>Lamut</v>
      </c>
      <c r="AL492" s="2" t="str">
        <f>IFERROR(__xludf.DUMMYFUNCTION("""COMPUTED_VALUE"""),"Ifugao")</f>
        <v>Ifugao</v>
      </c>
      <c r="AM492" s="2" t="str">
        <f>IFERROR(__xludf.DUMMYFUNCTION("""COMPUTED_VALUE"""),"CAR")</f>
        <v>CAR</v>
      </c>
      <c r="AN492" s="2" t="str">
        <f>IFERROR(__xludf.DUMMYFUNCTION("""COMPUTED_VALUE"""),"RCEF 23-09-21 Rebidding")</f>
        <v>RCEF 23-09-21 Rebidding</v>
      </c>
      <c r="AO492" s="2">
        <f>IFERROR(__xludf.DUMMYFUNCTION("""COMPUTED_VALUE"""),1.0)</f>
        <v>1</v>
      </c>
      <c r="AP492" s="2"/>
      <c r="AQ492" s="2"/>
      <c r="AR492" s="2"/>
      <c r="AS492" s="2"/>
      <c r="AT492" s="2"/>
      <c r="AU492" s="2"/>
      <c r="AV492" s="2"/>
      <c r="AW492" s="2"/>
      <c r="AX492" s="2"/>
      <c r="AY492" s="2"/>
      <c r="AZ492" s="2"/>
      <c r="BA492" s="2"/>
      <c r="BB492" s="2"/>
    </row>
    <row r="493">
      <c r="A493" s="2">
        <f>IFERROR(__xludf.DUMMYFUNCTION("""COMPUTED_VALUE"""),489.0)</f>
        <v>489</v>
      </c>
      <c r="B493" s="2" t="str">
        <f>IFERROR(__xludf.DUMMYFUNCTION("""COMPUTED_VALUE"""),"COMPLETED")</f>
        <v>COMPLETED</v>
      </c>
      <c r="C493" s="74">
        <f>IFERROR(__xludf.DUMMYFUNCTION("""COMPUTED_VALUE"""),45557.0)</f>
        <v>45557</v>
      </c>
      <c r="D493" s="71" t="str">
        <f>IFERROR(__xludf.DUMMYFUNCTION("""COMPUTED_VALUE"""),"SAMPALUCAN IRRIGATORS ASSOCIATION INC.")</f>
        <v>SAMPALUCAN IRRIGATORS ASSOCIATION INC.</v>
      </c>
      <c r="E493" s="71" t="str">
        <f>IFERROR(__xludf.DUMMYFUNCTION("""COMPUTED_VALUE"""),"Pulo, San Isidro, NUEVA ECIJA")</f>
        <v>Pulo, San Isidro, NUEVA ECIJA</v>
      </c>
      <c r="F493" s="2" t="str">
        <f>IFERROR(__xludf.DUMMYFUNCTION("""COMPUTED_VALUE"""),"Fernando Magbitang")</f>
        <v>Fernando Magbitang</v>
      </c>
      <c r="G493" s="2" t="str">
        <f>IFERROR(__xludf.DUMMYFUNCTION("""COMPUTED_VALUE"""),"0997-502-5628")</f>
        <v>0997-502-5628</v>
      </c>
      <c r="H493" s="2">
        <f>IFERROR(__xludf.DUMMYFUNCTION("""COMPUTED_VALUE"""),181.7)</f>
        <v>181.7</v>
      </c>
      <c r="I493" s="72" t="str">
        <f>IFERROR(__xludf.DUMMYFUNCTION("""COMPUTED_VALUE"""),"REPAIR - TRACTOR")</f>
        <v>REPAIR - TRACTOR</v>
      </c>
      <c r="J493" s="72" t="str">
        <f>IFERROR(__xludf.DUMMYFUNCTION("""COMPUTED_VALUE"""),"RADIATOR")</f>
        <v>RADIATOR</v>
      </c>
      <c r="K493" s="72" t="str">
        <f>IFERROR(__xludf.DUMMYFUNCTION("""COMPUTED_VALUE"""),"UPON CAMPAIGN: RADIATOR EXPLOSION")</f>
        <v>UPON CAMPAIGN: RADIATOR EXPLOSION</v>
      </c>
      <c r="L493" s="72" t="str">
        <f>IFERROR(__xludf.DUMMYFUNCTION("""COMPUTED_VALUE"""),"JHP: PINAGAWA NALANG NI FARMER (DIY)")</f>
        <v>JHP: PINAGAWA NALANG NI FARMER (DIY)</v>
      </c>
      <c r="M493" s="2"/>
      <c r="N493" s="2" t="str">
        <f>IFERROR(__xludf.DUMMYFUNCTION("""COMPUTED_VALUE"""),"PARTS:
RADIATOR ASSY")</f>
        <v>PARTS:
RADIATOR ASSY</v>
      </c>
      <c r="O493" s="2" t="str">
        <f>IFERROR(__xludf.DUMMYFUNCTION("""COMPUTED_VALUE"""),"N/A")</f>
        <v>N/A</v>
      </c>
      <c r="P493" s="2"/>
      <c r="Q493" s="2"/>
      <c r="R493" s="74">
        <f>IFERROR(__xludf.DUMMYFUNCTION("""COMPUTED_VALUE"""),45565.0)</f>
        <v>45565</v>
      </c>
      <c r="S493" s="2" t="str">
        <f>IFERROR(__xludf.DUMMYFUNCTION("""COMPUTED_VALUE"""),"JHP/ACS")</f>
        <v>JHP/ACS</v>
      </c>
      <c r="T493" s="73" t="str">
        <f>IFERROR(__xludf.DUMMYFUNCTION("""COMPUTED_VALUE""")," N/A ")</f>
        <v>N/A</v>
      </c>
      <c r="U493" s="73" t="str">
        <f>IFERROR(__xludf.DUMMYFUNCTION("""COMPUTED_VALUE""")," NO CHARGE ")</f>
        <v>NO CHARGE</v>
      </c>
      <c r="V493" s="2"/>
      <c r="W493" s="2" t="str">
        <f>IFERROR(__xludf.DUMMYFUNCTION("""COMPUTED_VALUE"""),"N/A")</f>
        <v>N/A</v>
      </c>
      <c r="X493" s="2" t="str">
        <f>IFERROR(__xludf.DUMMYFUNCTION("""COMPUTED_VALUE"""),"N/A")</f>
        <v>N/A</v>
      </c>
      <c r="Y493" s="2"/>
      <c r="Z493" s="2"/>
      <c r="AA493" s="2"/>
      <c r="AB493" s="2"/>
      <c r="AC493" s="2"/>
      <c r="AD493" s="2"/>
      <c r="AE493" s="2"/>
      <c r="AF493" s="2"/>
      <c r="AG493" s="2"/>
      <c r="AH493" s="2"/>
      <c r="AI493" s="2"/>
      <c r="AJ493" s="2" t="str">
        <f>IFERROR(__xludf.DUMMYFUNCTION("""COMPUTED_VALUE"""),"Pulo")</f>
        <v>Pulo</v>
      </c>
      <c r="AK493" s="2" t="str">
        <f>IFERROR(__xludf.DUMMYFUNCTION("""COMPUTED_VALUE"""),"San Isidro")</f>
        <v>San Isidro</v>
      </c>
      <c r="AL493" s="2" t="str">
        <f>IFERROR(__xludf.DUMMYFUNCTION("""COMPUTED_VALUE"""),"Nueva Ecija")</f>
        <v>Nueva Ecija</v>
      </c>
      <c r="AM493" s="2">
        <f>IFERROR(__xludf.DUMMYFUNCTION("""COMPUTED_VALUE"""),3.0)</f>
        <v>3</v>
      </c>
      <c r="AN493" s="2" t="str">
        <f>IFERROR(__xludf.DUMMYFUNCTION("""COMPUTED_VALUE"""),"RCEF 23-09-21 Rebidding")</f>
        <v>RCEF 23-09-21 Rebidding</v>
      </c>
      <c r="AO493" s="2">
        <f>IFERROR(__xludf.DUMMYFUNCTION("""COMPUTED_VALUE"""),3.0)</f>
        <v>3</v>
      </c>
      <c r="AP493" s="2"/>
      <c r="AQ493" s="2"/>
      <c r="AR493" s="2"/>
      <c r="AS493" s="2"/>
      <c r="AT493" s="2"/>
      <c r="AU493" s="2"/>
      <c r="AV493" s="2"/>
      <c r="AW493" s="2"/>
      <c r="AX493" s="2"/>
      <c r="AY493" s="2"/>
      <c r="AZ493" s="2"/>
      <c r="BA493" s="2"/>
      <c r="BB493" s="2"/>
    </row>
    <row r="494">
      <c r="A494" s="2">
        <f>IFERROR(__xludf.DUMMYFUNCTION("""COMPUTED_VALUE"""),490.0)</f>
        <v>490</v>
      </c>
      <c r="B494" s="2" t="str">
        <f>IFERROR(__xludf.DUMMYFUNCTION("""COMPUTED_VALUE"""),"COMPLETED")</f>
        <v>COMPLETED</v>
      </c>
      <c r="C494" s="74">
        <f>IFERROR(__xludf.DUMMYFUNCTION("""COMPUTED_VALUE"""),45557.0)</f>
        <v>45557</v>
      </c>
      <c r="D494" s="71" t="str">
        <f>IFERROR(__xludf.DUMMYFUNCTION("""COMPUTED_VALUE"""),"POBLACION-NEW DAGUPAN FARMER-IRRIGATORS' ASSOCIATION (PONDAFIA) INC.")</f>
        <v>POBLACION-NEW DAGUPAN FARMER-IRRIGATORS' ASSOCIATION (PONDAFIA) INC.</v>
      </c>
      <c r="E494" s="71" t="str">
        <f>IFERROR(__xludf.DUMMYFUNCTION("""COMPUTED_VALUE"""),"POBLACION, CALinTAAN, OCCIDENTAL MINDORO")</f>
        <v>POBLACION, CALinTAAN, OCCIDENTAL MINDORO</v>
      </c>
      <c r="F494" s="2" t="str">
        <f>IFERROR(__xludf.DUMMYFUNCTION("""COMPUTED_VALUE"""),"Manuel A. Francisco")</f>
        <v>Manuel A. Francisco</v>
      </c>
      <c r="G494" s="2" t="str">
        <f>IFERROR(__xludf.DUMMYFUNCTION("""COMPUTED_VALUE"""),"0935 417 5163")</f>
        <v>0935 417 5163</v>
      </c>
      <c r="H494" s="2">
        <f>IFERROR(__xludf.DUMMYFUNCTION("""COMPUTED_VALUE"""),459.0)</f>
        <v>459</v>
      </c>
      <c r="I494" s="72" t="str">
        <f>IFERROR(__xludf.DUMMYFUNCTION("""COMPUTED_VALUE"""),"PMS")</f>
        <v>PMS</v>
      </c>
      <c r="J494" s="72" t="str">
        <f>IFERROR(__xludf.DUMMYFUNCTION("""COMPUTED_VALUE"""),"PMS")</f>
        <v>PMS</v>
      </c>
      <c r="K494" s="72" t="str">
        <f>IFERROR(__xludf.DUMMYFUNCTION("""COMPUTED_VALUE"""),"UPON CAMPAIGN: 2ND PMS")</f>
        <v>UPON CAMPAIGN: 2ND PMS</v>
      </c>
      <c r="L494" s="72" t="str">
        <f>IFERROR(__xludf.DUMMYFUNCTION("""COMPUTED_VALUE"""),"RCG: 1 HYDRAULIC FILTER , 1 OIL FILTER PAID BY FCA")</f>
        <v>RCG: 1 HYDRAULIC FILTER , 1 OIL FILTER PAID BY FCA</v>
      </c>
      <c r="M494" s="2"/>
      <c r="N494" s="2" t="str">
        <f>IFERROR(__xludf.DUMMYFUNCTION("""COMPUTED_VALUE"""),"PARTS: 
1 HYDRAULIC FILTER , 
1 OIL FILTER ")</f>
        <v>PARTS: 
1 HYDRAULIC FILTER , 
1 OIL FILTER </v>
      </c>
      <c r="O494" s="2" t="str">
        <f>IFERROR(__xludf.DUMMYFUNCTION("""COMPUTED_VALUE"""),"JIE-951")</f>
        <v>JIE-951</v>
      </c>
      <c r="P494" s="2"/>
      <c r="Q494" s="2"/>
      <c r="R494" s="74">
        <f>IFERROR(__xludf.DUMMYFUNCTION("""COMPUTED_VALUE"""),45554.0)</f>
        <v>45554</v>
      </c>
      <c r="S494" s="2" t="str">
        <f>IFERROR(__xludf.DUMMYFUNCTION("""COMPUTED_VALUE"""),"RCG")</f>
        <v>RCG</v>
      </c>
      <c r="T494" s="73">
        <f>IFERROR(__xludf.DUMMYFUNCTION("""COMPUTED_VALUE"""),4281.0)</f>
        <v>4281</v>
      </c>
      <c r="U494" s="73" t="str">
        <f>IFERROR(__xludf.DUMMYFUNCTION("""COMPUTED_VALUE""")," REMITTED ")</f>
        <v>REMITTED</v>
      </c>
      <c r="V494" s="2"/>
      <c r="W494" s="2"/>
      <c r="X494" s="2">
        <f>IFERROR(__xludf.DUMMYFUNCTION("""COMPUTED_VALUE"""),1159.0)</f>
        <v>1159</v>
      </c>
      <c r="Y494" s="2"/>
      <c r="Z494" s="2"/>
      <c r="AA494" s="2"/>
      <c r="AB494" s="2"/>
      <c r="AC494" s="2"/>
      <c r="AD494" s="2"/>
      <c r="AE494" s="2"/>
      <c r="AF494" s="2"/>
      <c r="AG494" s="2"/>
      <c r="AH494" s="2"/>
      <c r="AI494" s="2"/>
      <c r="AJ494" s="2" t="str">
        <f>IFERROR(__xludf.DUMMYFUNCTION("""COMPUTED_VALUE"""),"Poblacion")</f>
        <v>Poblacion</v>
      </c>
      <c r="AK494" s="2" t="str">
        <f>IFERROR(__xludf.DUMMYFUNCTION("""COMPUTED_VALUE"""),"Calintaan")</f>
        <v>Calintaan</v>
      </c>
      <c r="AL494" s="2" t="str">
        <f>IFERROR(__xludf.DUMMYFUNCTION("""COMPUTED_VALUE"""),"Occidental Mindoro")</f>
        <v>Occidental Mindoro</v>
      </c>
      <c r="AM494" s="2" t="str">
        <f>IFERROR(__xludf.DUMMYFUNCTION("""COMPUTED_VALUE"""),"4B")</f>
        <v>4B</v>
      </c>
      <c r="AN494" s="2" t="str">
        <f>IFERROR(__xludf.DUMMYFUNCTION("""COMPUTED_VALUE"""),"RCEF 23-08-20 Rebidding")</f>
        <v>RCEF 23-08-20 Rebidding</v>
      </c>
      <c r="AO494" s="2">
        <f>IFERROR(__xludf.DUMMYFUNCTION("""COMPUTED_VALUE"""),1.0)</f>
        <v>1</v>
      </c>
      <c r="AP494" s="2"/>
      <c r="AQ494" s="2"/>
      <c r="AR494" s="2"/>
      <c r="AS494" s="2"/>
      <c r="AT494" s="2"/>
      <c r="AU494" s="2"/>
      <c r="AV494" s="2"/>
      <c r="AW494" s="2"/>
      <c r="AX494" s="2"/>
      <c r="AY494" s="2"/>
      <c r="AZ494" s="2"/>
      <c r="BA494" s="2"/>
      <c r="BB494" s="2"/>
    </row>
    <row r="495">
      <c r="A495" s="2">
        <f>IFERROR(__xludf.DUMMYFUNCTION("""COMPUTED_VALUE"""),491.0)</f>
        <v>491</v>
      </c>
      <c r="B495" s="2" t="str">
        <f>IFERROR(__xludf.DUMMYFUNCTION("""COMPUTED_VALUE"""),"COMPLETED")</f>
        <v>COMPLETED</v>
      </c>
      <c r="C495" s="74">
        <f>IFERROR(__xludf.DUMMYFUNCTION("""COMPUTED_VALUE"""),45557.0)</f>
        <v>45557</v>
      </c>
      <c r="D495" s="71" t="str">
        <f>IFERROR(__xludf.DUMMYFUNCTION("""COMPUTED_VALUE"""),"TUBIG BIYAYA IRRIGATORS' ASSOCIATION, INC.")</f>
        <v>TUBIG BIYAYA IRRIGATORS' ASSOCIATION, INC.</v>
      </c>
      <c r="E495" s="71" t="str">
        <f>IFERROR(__xludf.DUMMYFUNCTION("""COMPUTED_VALUE"""),"Binahaan, Pagbilao, Quezon")</f>
        <v>Binahaan, Pagbilao, Quezon</v>
      </c>
      <c r="F495" s="2" t="str">
        <f>IFERROR(__xludf.DUMMYFUNCTION("""COMPUTED_VALUE"""),"Primitiva C. Memorando")</f>
        <v>Primitiva C. Memorando</v>
      </c>
      <c r="G495" s="2" t="str">
        <f>IFERROR(__xludf.DUMMYFUNCTION("""COMPUTED_VALUE"""),"0998-881-3869")</f>
        <v>0998-881-3869</v>
      </c>
      <c r="H495" s="2">
        <f>IFERROR(__xludf.DUMMYFUNCTION("""COMPUTED_VALUE"""),232.0)</f>
        <v>232</v>
      </c>
      <c r="I495" s="72" t="str">
        <f>IFERROR(__xludf.DUMMYFUNCTION("""COMPUTED_VALUE"""),"REPAIR - TRACTOR")</f>
        <v>REPAIR - TRACTOR</v>
      </c>
      <c r="J495" s="72" t="str">
        <f>IFERROR(__xludf.DUMMYFUNCTION("""COMPUTED_VALUE"""),"Fuel Filter")</f>
        <v>Fuel Filter</v>
      </c>
      <c r="K495" s="72" t="str">
        <f>IFERROR(__xludf.DUMMYFUNCTION("""COMPUTED_VALUE"""),"CCB; UPON CAMPAIGN: FUEL PUMP BROKEN, GPS NOT WORKING
JTT: FUEL FILTER ANG SIRA")</f>
        <v>CCB; UPON CAMPAIGN: FUEL PUMP BROKEN, GPS NOT WORKING
JTT: FUEL FILTER ANG SIRA</v>
      </c>
      <c r="L495" s="72" t="str">
        <f>IFERROR(__xludf.DUMMYFUNCTION("""COMPUTED_VALUE"""),"JTT: FIRST PMS DONE")</f>
        <v>JTT: FIRST PMS DONE</v>
      </c>
      <c r="M495" s="2"/>
      <c r="N495" s="2" t="str">
        <f>IFERROR(__xludf.DUMMYFUNCTION("""COMPUTED_VALUE"""),"PARTS: OIL FILTER, HYDRAULIC FILTER, ENGINE OIL FILTER")</f>
        <v>PARTS: OIL FILTER, HYDRAULIC FILTER, ENGINE OIL FILTER</v>
      </c>
      <c r="O495" s="2">
        <f>IFERROR(__xludf.DUMMYFUNCTION("""COMPUTED_VALUE"""),5.0)</f>
        <v>5</v>
      </c>
      <c r="P495" s="2"/>
      <c r="Q495" s="2" t="str">
        <f>IFERROR(__xludf.DUMMYFUNCTION("""COMPUTED_VALUE"""),"Y")</f>
        <v>Y</v>
      </c>
      <c r="R495" s="74">
        <f>IFERROR(__xludf.DUMMYFUNCTION("""COMPUTED_VALUE"""),45638.0)</f>
        <v>45638</v>
      </c>
      <c r="S495" s="2" t="str">
        <f>IFERROR(__xludf.DUMMYFUNCTION("""COMPUTED_VALUE"""),"JTT")</f>
        <v>JTT</v>
      </c>
      <c r="T495" s="73">
        <f>IFERROR(__xludf.DUMMYFUNCTION("""COMPUTED_VALUE"""),5941.0)</f>
        <v>5941</v>
      </c>
      <c r="U495" s="73" t="str">
        <f>IFERROR(__xludf.DUMMYFUNCTION("""COMPUTED_VALUE""")," REMITTED ")</f>
        <v>REMITTED</v>
      </c>
      <c r="V495" s="2"/>
      <c r="W495" s="2">
        <f>IFERROR(__xludf.DUMMYFUNCTION("""COMPUTED_VALUE"""),1222.0)</f>
        <v>1222</v>
      </c>
      <c r="X495" s="2">
        <f>IFERROR(__xludf.DUMMYFUNCTION("""COMPUTED_VALUE"""),1294.0)</f>
        <v>1294</v>
      </c>
      <c r="Y495" s="2"/>
      <c r="Z495" s="2"/>
      <c r="AA495" s="2"/>
      <c r="AB495" s="2"/>
      <c r="AC495" s="2"/>
      <c r="AD495" s="2"/>
      <c r="AE495" s="2"/>
      <c r="AF495" s="2"/>
      <c r="AG495" s="2"/>
      <c r="AH495" s="2"/>
      <c r="AI495" s="2"/>
      <c r="AJ495" s="2" t="str">
        <f>IFERROR(__xludf.DUMMYFUNCTION("""COMPUTED_VALUE"""),"Binahaan")</f>
        <v>Binahaan</v>
      </c>
      <c r="AK495" s="2" t="str">
        <f>IFERROR(__xludf.DUMMYFUNCTION("""COMPUTED_VALUE"""),"Pagbilao")</f>
        <v>Pagbilao</v>
      </c>
      <c r="AL495" s="2" t="str">
        <f>IFERROR(__xludf.DUMMYFUNCTION("""COMPUTED_VALUE"""),"Quezon")</f>
        <v>Quezon</v>
      </c>
      <c r="AM495" s="2" t="str">
        <f>IFERROR(__xludf.DUMMYFUNCTION("""COMPUTED_VALUE"""),"4A")</f>
        <v>4A</v>
      </c>
      <c r="AN495" s="2" t="str">
        <f>IFERROR(__xludf.DUMMYFUNCTION("""COMPUTED_VALUE"""),"RCEF 23-08-20 Rebidding")</f>
        <v>RCEF 23-08-20 Rebidding</v>
      </c>
      <c r="AO495" s="2">
        <f>IFERROR(__xludf.DUMMYFUNCTION("""COMPUTED_VALUE"""),1.0)</f>
        <v>1</v>
      </c>
      <c r="AP495" s="2"/>
      <c r="AQ495" s="2"/>
      <c r="AR495" s="2"/>
      <c r="AS495" s="2"/>
      <c r="AT495" s="2"/>
      <c r="AU495" s="2"/>
      <c r="AV495" s="2"/>
      <c r="AW495" s="2"/>
      <c r="AX495" s="2"/>
      <c r="AY495" s="2"/>
      <c r="AZ495" s="2"/>
      <c r="BA495" s="2"/>
      <c r="BB495" s="2"/>
    </row>
    <row r="496">
      <c r="A496" s="2">
        <f>IFERROR(__xludf.DUMMYFUNCTION("""COMPUTED_VALUE"""),492.0)</f>
        <v>492</v>
      </c>
      <c r="B496" s="2" t="str">
        <f>IFERROR(__xludf.DUMMYFUNCTION("""COMPUTED_VALUE"""),"COMPLETED")</f>
        <v>COMPLETED</v>
      </c>
      <c r="C496" s="74">
        <f>IFERROR(__xludf.DUMMYFUNCTION("""COMPUTED_VALUE"""),45557.0)</f>
        <v>45557</v>
      </c>
      <c r="D496" s="71" t="str">
        <f>IFERROR(__xludf.DUMMYFUNCTION("""COMPUTED_VALUE"""),"TUBUAN-TANZA IRRIGATORS ASSOCIATION, INC.")</f>
        <v>TUBUAN-TANZA IRRIGATORS ASSOCIATION, INC.</v>
      </c>
      <c r="E496" s="71" t="str">
        <f>IFERROR(__xludf.DUMMYFUNCTION("""COMPUTED_VALUE"""),"TUBUAN, PILA, LAGUNA")</f>
        <v>TUBUAN, PILA, LAGUNA</v>
      </c>
      <c r="F496" s="2" t="str">
        <f>IFERROR(__xludf.DUMMYFUNCTION("""COMPUTED_VALUE"""),"Virgilio Cortes")</f>
        <v>Virgilio Cortes</v>
      </c>
      <c r="G496" s="2" t="str">
        <f>IFERROR(__xludf.DUMMYFUNCTION("""COMPUTED_VALUE"""),"0935 4386 214")</f>
        <v>0935 4386 214</v>
      </c>
      <c r="H496" s="2">
        <f>IFERROR(__xludf.DUMMYFUNCTION("""COMPUTED_VALUE"""),459.0)</f>
        <v>459</v>
      </c>
      <c r="I496" s="72" t="str">
        <f>IFERROR(__xludf.DUMMYFUNCTION("""COMPUTED_VALUE"""),"PMS")</f>
        <v>PMS</v>
      </c>
      <c r="J496" s="72" t="str">
        <f>IFERROR(__xludf.DUMMYFUNCTION("""COMPUTED_VALUE"""),"PMS")</f>
        <v>PMS</v>
      </c>
      <c r="K496" s="72" t="str">
        <f>IFERROR(__xludf.DUMMYFUNCTION("""COMPUTED_VALUE"""),"UPON CAMPAIGN: 3RD PMS")</f>
        <v>UPON CAMPAIGN: 3RD PMS</v>
      </c>
      <c r="L496" s="72" t="str">
        <f>IFERROR(__xludf.DUMMYFUNCTION("""COMPUTED_VALUE"""),"CANCELLED")</f>
        <v>CANCELLED</v>
      </c>
      <c r="M496" s="2"/>
      <c r="N496" s="2"/>
      <c r="O496" s="2" t="str">
        <f>IFERROR(__xludf.DUMMYFUNCTION("""COMPUTED_VALUE"""),"CANCELLED")</f>
        <v>CANCELLED</v>
      </c>
      <c r="P496" s="2"/>
      <c r="Q496" s="2"/>
      <c r="R496" s="74">
        <f>IFERROR(__xludf.DUMMYFUNCTION("""COMPUTED_VALUE"""),45604.0)</f>
        <v>45604</v>
      </c>
      <c r="S496" s="2" t="str">
        <f>IFERROR(__xludf.DUMMYFUNCTION("""COMPUTED_VALUE"""),"JTT")</f>
        <v>JTT</v>
      </c>
      <c r="T496" s="73" t="str">
        <f>IFERROR(__xludf.DUMMYFUNCTION("""COMPUTED_VALUE""")," N/A ")</f>
        <v>N/A</v>
      </c>
      <c r="U496" s="73" t="str">
        <f>IFERROR(__xludf.DUMMYFUNCTION("""COMPUTED_VALUE""")," NO CHARGE ")</f>
        <v>NO CHARGE</v>
      </c>
      <c r="V496" s="2"/>
      <c r="W496" s="2" t="str">
        <f>IFERROR(__xludf.DUMMYFUNCTION("""COMPUTED_VALUE"""),"N/A")</f>
        <v>N/A</v>
      </c>
      <c r="X496" s="2" t="str">
        <f>IFERROR(__xludf.DUMMYFUNCTION("""COMPUTED_VALUE"""),"N/A")</f>
        <v>N/A</v>
      </c>
      <c r="Y496" s="2"/>
      <c r="Z496" s="2"/>
      <c r="AA496" s="2"/>
      <c r="AB496" s="2"/>
      <c r="AC496" s="2"/>
      <c r="AD496" s="2"/>
      <c r="AE496" s="2"/>
      <c r="AF496" s="2"/>
      <c r="AG496" s="2"/>
      <c r="AH496" s="2"/>
      <c r="AI496" s="2"/>
      <c r="AJ496" s="2" t="str">
        <f>IFERROR(__xludf.DUMMYFUNCTION("""COMPUTED_VALUE"""),"Tubuan")</f>
        <v>Tubuan</v>
      </c>
      <c r="AK496" s="2" t="str">
        <f>IFERROR(__xludf.DUMMYFUNCTION("""COMPUTED_VALUE"""),"Pila")</f>
        <v>Pila</v>
      </c>
      <c r="AL496" s="2" t="str">
        <f>IFERROR(__xludf.DUMMYFUNCTION("""COMPUTED_VALUE"""),"Laguna")</f>
        <v>Laguna</v>
      </c>
      <c r="AM496" s="2" t="str">
        <f>IFERROR(__xludf.DUMMYFUNCTION("""COMPUTED_VALUE"""),"4A")</f>
        <v>4A</v>
      </c>
      <c r="AN496" s="2" t="str">
        <f>IFERROR(__xludf.DUMMYFUNCTION("""COMPUTED_VALUE"""),"RCEF 23-08-20 Rebidding")</f>
        <v>RCEF 23-08-20 Rebidding</v>
      </c>
      <c r="AO496" s="2">
        <f>IFERROR(__xludf.DUMMYFUNCTION("""COMPUTED_VALUE"""),1.0)</f>
        <v>1</v>
      </c>
      <c r="AP496" s="2"/>
      <c r="AQ496" s="2"/>
      <c r="AR496" s="2"/>
      <c r="AS496" s="2"/>
      <c r="AT496" s="2"/>
      <c r="AU496" s="2"/>
      <c r="AV496" s="2"/>
      <c r="AW496" s="2"/>
      <c r="AX496" s="2"/>
      <c r="AY496" s="2"/>
      <c r="AZ496" s="2"/>
      <c r="BA496" s="2"/>
      <c r="BB496" s="2"/>
    </row>
    <row r="497">
      <c r="A497" s="2">
        <f>IFERROR(__xludf.DUMMYFUNCTION("""COMPUTED_VALUE"""),493.0)</f>
        <v>493</v>
      </c>
      <c r="B497" s="2" t="str">
        <f>IFERROR(__xludf.DUMMYFUNCTION("""COMPUTED_VALUE"""),"COMPLETED")</f>
        <v>COMPLETED</v>
      </c>
      <c r="C497" s="74">
        <f>IFERROR(__xludf.DUMMYFUNCTION("""COMPUTED_VALUE"""),45557.0)</f>
        <v>45557</v>
      </c>
      <c r="D497" s="71" t="str">
        <f>IFERROR(__xludf.DUMMYFUNCTION("""COMPUTED_VALUE"""),"STA. CRUZ RIVER IRRIGATION SYSTEM IRRIGATORS ASSOCIATION, INC.")</f>
        <v>STA. CRUZ RIVER IRRIGATION SYSTEM IRRIGATORS ASSOCIATION, INC.</v>
      </c>
      <c r="E497" s="71" t="str">
        <f>IFERROR(__xludf.DUMMYFUNCTION("""COMPUTED_VALUE"""),"Gatid, Santa Cruz, Laguna")</f>
        <v>Gatid, Santa Cruz, Laguna</v>
      </c>
      <c r="F497" s="2" t="str">
        <f>IFERROR(__xludf.DUMMYFUNCTION("""COMPUTED_VALUE"""),"Roberto Ramos")</f>
        <v>Roberto Ramos</v>
      </c>
      <c r="G497" s="2" t="str">
        <f>IFERROR(__xludf.DUMMYFUNCTION("""COMPUTED_VALUE"""),"0968 606 0896")</f>
        <v>0968 606 0896</v>
      </c>
      <c r="H497" s="2">
        <f>IFERROR(__xludf.DUMMYFUNCTION("""COMPUTED_VALUE"""),531.0)</f>
        <v>531</v>
      </c>
      <c r="I497" s="72" t="str">
        <f>IFERROR(__xludf.DUMMYFUNCTION("""COMPUTED_VALUE"""),"PMS")</f>
        <v>PMS</v>
      </c>
      <c r="J497" s="72" t="str">
        <f>IFERROR(__xludf.DUMMYFUNCTION("""COMPUTED_VALUE"""),"PMS")</f>
        <v>PMS</v>
      </c>
      <c r="K497" s="72" t="str">
        <f>IFERROR(__xludf.DUMMYFUNCTION("""COMPUTED_VALUE"""),"CCB: UPON CAMPAIGN: GENERAL PMS")</f>
        <v>CCB: UPON CAMPAIGN: GENERAL PMS</v>
      </c>
      <c r="L497" s="72" t="str">
        <f>IFERROR(__xludf.DUMMYFUNCTION("""COMPUTED_VALUE"""),"JTT: HINDI NADAW MUNA")</f>
        <v>JTT: HINDI NADAW MUNA</v>
      </c>
      <c r="M497" s="2"/>
      <c r="N497" s="2"/>
      <c r="O497" s="2" t="str">
        <f>IFERROR(__xludf.DUMMYFUNCTION("""COMPUTED_VALUE"""),"N/A")</f>
        <v>N/A</v>
      </c>
      <c r="P497" s="2"/>
      <c r="Q497" s="2"/>
      <c r="R497" s="74">
        <f>IFERROR(__xludf.DUMMYFUNCTION("""COMPUTED_VALUE"""),45572.0)</f>
        <v>45572</v>
      </c>
      <c r="S497" s="2" t="str">
        <f>IFERROR(__xludf.DUMMYFUNCTION("""COMPUTED_VALUE"""),"JTT")</f>
        <v>JTT</v>
      </c>
      <c r="T497" s="73" t="str">
        <f>IFERROR(__xludf.DUMMYFUNCTION("""COMPUTED_VALUE""")," N/A ")</f>
        <v>N/A</v>
      </c>
      <c r="U497" s="73" t="str">
        <f>IFERROR(__xludf.DUMMYFUNCTION("""COMPUTED_VALUE""")," NO CHARGE ")</f>
        <v>NO CHARGE</v>
      </c>
      <c r="V497" s="2"/>
      <c r="W497" s="2" t="str">
        <f>IFERROR(__xludf.DUMMYFUNCTION("""COMPUTED_VALUE"""),"N/A")</f>
        <v>N/A</v>
      </c>
      <c r="X497" s="2" t="str">
        <f>IFERROR(__xludf.DUMMYFUNCTION("""COMPUTED_VALUE"""),"N/A")</f>
        <v>N/A</v>
      </c>
      <c r="Y497" s="2"/>
      <c r="Z497" s="2"/>
      <c r="AA497" s="2"/>
      <c r="AB497" s="2"/>
      <c r="AC497" s="2"/>
      <c r="AD497" s="2"/>
      <c r="AE497" s="2"/>
      <c r="AF497" s="2"/>
      <c r="AG497" s="2"/>
      <c r="AH497" s="2"/>
      <c r="AI497" s="2"/>
      <c r="AJ497" s="2" t="str">
        <f>IFERROR(__xludf.DUMMYFUNCTION("""COMPUTED_VALUE"""),"Gatid")</f>
        <v>Gatid</v>
      </c>
      <c r="AK497" s="2" t="str">
        <f>IFERROR(__xludf.DUMMYFUNCTION("""COMPUTED_VALUE"""),"Santa Cruz")</f>
        <v>Santa Cruz</v>
      </c>
      <c r="AL497" s="2" t="str">
        <f>IFERROR(__xludf.DUMMYFUNCTION("""COMPUTED_VALUE"""),"Laguna")</f>
        <v>Laguna</v>
      </c>
      <c r="AM497" s="2" t="str">
        <f>IFERROR(__xludf.DUMMYFUNCTION("""COMPUTED_VALUE"""),"4A")</f>
        <v>4A</v>
      </c>
      <c r="AN497" s="2" t="str">
        <f>IFERROR(__xludf.DUMMYFUNCTION("""COMPUTED_VALUE"""),"RCEF 23-08-20 Rebidding")</f>
        <v>RCEF 23-08-20 Rebidding</v>
      </c>
      <c r="AO497" s="2">
        <f>IFERROR(__xludf.DUMMYFUNCTION("""COMPUTED_VALUE"""),1.0)</f>
        <v>1</v>
      </c>
      <c r="AP497" s="2"/>
      <c r="AQ497" s="2"/>
      <c r="AR497" s="2"/>
      <c r="AS497" s="2"/>
      <c r="AT497" s="2"/>
      <c r="AU497" s="2"/>
      <c r="AV497" s="2"/>
      <c r="AW497" s="2"/>
      <c r="AX497" s="2"/>
      <c r="AY497" s="2"/>
      <c r="AZ497" s="2"/>
      <c r="BA497" s="2"/>
      <c r="BB497" s="2"/>
    </row>
    <row r="498">
      <c r="A498" s="2">
        <f>IFERROR(__xludf.DUMMYFUNCTION("""COMPUTED_VALUE"""),494.0)</f>
        <v>494</v>
      </c>
      <c r="B498" s="2" t="str">
        <f>IFERROR(__xludf.DUMMYFUNCTION("""COMPUTED_VALUE"""),"COMPLETED")</f>
        <v>COMPLETED</v>
      </c>
      <c r="C498" s="74">
        <f>IFERROR(__xludf.DUMMYFUNCTION("""COMPUTED_VALUE"""),45557.0)</f>
        <v>45557</v>
      </c>
      <c r="D498" s="71" t="str">
        <f>IFERROR(__xludf.DUMMYFUNCTION("""COMPUTED_VALUE"""),"TAMBOLI FARMERS ASSOCIATION")</f>
        <v>TAMBOLI FARMERS ASSOCIATION</v>
      </c>
      <c r="E498" s="71" t="str">
        <f>IFERROR(__xludf.DUMMYFUNCTION("""COMPUTED_VALUE"""),"Tamboli, Allacapan, CAGAYAN")</f>
        <v>Tamboli, Allacapan, CAGAYAN</v>
      </c>
      <c r="F498" s="2" t="str">
        <f>IFERROR(__xludf.DUMMYFUNCTION("""COMPUTED_VALUE"""),"Patrocinio R. Cortez")</f>
        <v>Patrocinio R. Cortez</v>
      </c>
      <c r="G498" s="2" t="str">
        <f>IFERROR(__xludf.DUMMYFUNCTION("""COMPUTED_VALUE"""),"0927-312-9829")</f>
        <v>0927-312-9829</v>
      </c>
      <c r="H498" s="2">
        <f>IFERROR(__xludf.DUMMYFUNCTION("""COMPUTED_VALUE"""),111.0)</f>
        <v>111</v>
      </c>
      <c r="I498" s="72"/>
      <c r="J498" s="72"/>
      <c r="K498" s="72" t="str">
        <f>IFERROR(__xludf.DUMMYFUNCTION("""COMPUTED_VALUE"""),"ERP/DRM: UPON CAMPAIGN: HIGH DIESEL CONSUMPTION")</f>
        <v>ERP/DRM: UPON CAMPAIGN: HIGH DIESEL CONSUMPTION</v>
      </c>
      <c r="L498" s="72" t="str">
        <f>IFERROR(__xludf.DUMMYFUNCTION("""COMPUTED_VALUE"""),"CLOSED")</f>
        <v>CLOSED</v>
      </c>
      <c r="M498" s="2"/>
      <c r="N498" s="2"/>
      <c r="O498" s="2" t="str">
        <f>IFERROR(__xludf.DUMMYFUNCTION("""COMPUTED_VALUE"""),"N/A")</f>
        <v>N/A</v>
      </c>
      <c r="P498" s="2"/>
      <c r="Q498" s="2"/>
      <c r="R498" s="74">
        <f>IFERROR(__xludf.DUMMYFUNCTION("""COMPUTED_VALUE"""),45574.0)</f>
        <v>45574</v>
      </c>
      <c r="S498" s="2" t="str">
        <f>IFERROR(__xludf.DUMMYFUNCTION("""COMPUTED_VALUE"""),"EGT")</f>
        <v>EGT</v>
      </c>
      <c r="T498" s="73" t="str">
        <f>IFERROR(__xludf.DUMMYFUNCTION("""COMPUTED_VALUE""")," N/A ")</f>
        <v>N/A</v>
      </c>
      <c r="U498" s="73" t="str">
        <f>IFERROR(__xludf.DUMMYFUNCTION("""COMPUTED_VALUE""")," NO CHARGE ")</f>
        <v>NO CHARGE</v>
      </c>
      <c r="V498" s="2"/>
      <c r="W498" s="2" t="str">
        <f>IFERROR(__xludf.DUMMYFUNCTION("""COMPUTED_VALUE"""),"N/A")</f>
        <v>N/A</v>
      </c>
      <c r="X498" s="2" t="str">
        <f>IFERROR(__xludf.DUMMYFUNCTION("""COMPUTED_VALUE"""),"N/A")</f>
        <v>N/A</v>
      </c>
      <c r="Y498" s="2"/>
      <c r="Z498" s="2"/>
      <c r="AA498" s="2"/>
      <c r="AB498" s="2"/>
      <c r="AC498" s="2"/>
      <c r="AD498" s="2"/>
      <c r="AE498" s="2"/>
      <c r="AF498" s="2"/>
      <c r="AG498" s="2"/>
      <c r="AH498" s="2"/>
      <c r="AI498" s="2"/>
      <c r="AJ498" s="2" t="str">
        <f>IFERROR(__xludf.DUMMYFUNCTION("""COMPUTED_VALUE"""),"Tamboli")</f>
        <v>Tamboli</v>
      </c>
      <c r="AK498" s="2" t="str">
        <f>IFERROR(__xludf.DUMMYFUNCTION("""COMPUTED_VALUE"""),"Allacapan")</f>
        <v>Allacapan</v>
      </c>
      <c r="AL498" s="2" t="str">
        <f>IFERROR(__xludf.DUMMYFUNCTION("""COMPUTED_VALUE"""),"Cagayan")</f>
        <v>Cagayan</v>
      </c>
      <c r="AM498" s="2">
        <f>IFERROR(__xludf.DUMMYFUNCTION("""COMPUTED_VALUE"""),2.0)</f>
        <v>2</v>
      </c>
      <c r="AN498" s="2" t="str">
        <f>IFERROR(__xludf.DUMMYFUNCTION("""COMPUTED_VALUE"""),"RCEF 23-09-21 Rebidding")</f>
        <v>RCEF 23-09-21 Rebidding</v>
      </c>
      <c r="AO498" s="2">
        <f>IFERROR(__xludf.DUMMYFUNCTION("""COMPUTED_VALUE"""),9.0)</f>
        <v>9</v>
      </c>
      <c r="AP498" s="2"/>
      <c r="AQ498" s="2"/>
      <c r="AR498" s="2"/>
      <c r="AS498" s="2"/>
      <c r="AT498" s="2"/>
      <c r="AU498" s="2"/>
      <c r="AV498" s="2"/>
      <c r="AW498" s="2"/>
      <c r="AX498" s="2"/>
      <c r="AY498" s="2"/>
      <c r="AZ498" s="2"/>
      <c r="BA498" s="2"/>
      <c r="BB498" s="2"/>
    </row>
    <row r="499">
      <c r="A499" s="2">
        <f>IFERROR(__xludf.DUMMYFUNCTION("""COMPUTED_VALUE"""),495.0)</f>
        <v>495</v>
      </c>
      <c r="B499" s="2" t="str">
        <f>IFERROR(__xludf.DUMMYFUNCTION("""COMPUTED_VALUE"""),"COMPLETED")</f>
        <v>COMPLETED</v>
      </c>
      <c r="C499" s="74">
        <f>IFERROR(__xludf.DUMMYFUNCTION("""COMPUTED_VALUE"""),45557.0)</f>
        <v>45557</v>
      </c>
      <c r="D499" s="71" t="str">
        <f>IFERROR(__xludf.DUMMYFUNCTION("""COMPUTED_VALUE"""),"NARARAGAN CABAYU SAN JUAN VALLEY IRRIGATORS ASSOCIATION, INC.")</f>
        <v>NARARAGAN CABAYU SAN JUAN VALLEY IRRIGATORS ASSOCIATION, INC.</v>
      </c>
      <c r="E499" s="71" t="str">
        <f>IFERROR(__xludf.DUMMYFUNCTION("""COMPUTED_VALUE"""),"Cabayu, Ballesteros, CAGAYAN")</f>
        <v>Cabayu, Ballesteros, CAGAYAN</v>
      </c>
      <c r="F499" s="2" t="str">
        <f>IFERROR(__xludf.DUMMYFUNCTION("""COMPUTED_VALUE"""),"Manuel F. Ralleca")</f>
        <v>Manuel F. Ralleca</v>
      </c>
      <c r="G499" s="2">
        <f>IFERROR(__xludf.DUMMYFUNCTION("""COMPUTED_VALUE"""),9.264881045E9)</f>
        <v>9264881045</v>
      </c>
      <c r="H499" s="2">
        <f>IFERROR(__xludf.DUMMYFUNCTION("""COMPUTED_VALUE"""),110.0)</f>
        <v>110</v>
      </c>
      <c r="I499" s="72"/>
      <c r="J499" s="72"/>
      <c r="K499" s="72" t="str">
        <f>IFERROR(__xludf.DUMMYFUNCTION("""COMPUTED_VALUE"""),"ERP/DRM: UPON CAMPAIGN: HIGH DIESEL CONSUMPTION")</f>
        <v>ERP/DRM: UPON CAMPAIGN: HIGH DIESEL CONSUMPTION</v>
      </c>
      <c r="L499" s="72" t="str">
        <f>IFERROR(__xludf.DUMMYFUNCTION("""COMPUTED_VALUE"""),"CLOSED")</f>
        <v>CLOSED</v>
      </c>
      <c r="M499" s="2"/>
      <c r="N499" s="2"/>
      <c r="O499" s="2" t="str">
        <f>IFERROR(__xludf.DUMMYFUNCTION("""COMPUTED_VALUE"""),"N/A")</f>
        <v>N/A</v>
      </c>
      <c r="P499" s="2"/>
      <c r="Q499" s="2"/>
      <c r="R499" s="74">
        <f>IFERROR(__xludf.DUMMYFUNCTION("""COMPUTED_VALUE"""),45574.0)</f>
        <v>45574</v>
      </c>
      <c r="S499" s="2" t="str">
        <f>IFERROR(__xludf.DUMMYFUNCTION("""COMPUTED_VALUE"""),"EGT")</f>
        <v>EGT</v>
      </c>
      <c r="T499" s="73" t="str">
        <f>IFERROR(__xludf.DUMMYFUNCTION("""COMPUTED_VALUE""")," N/A ")</f>
        <v>N/A</v>
      </c>
      <c r="U499" s="73" t="str">
        <f>IFERROR(__xludf.DUMMYFUNCTION("""COMPUTED_VALUE""")," NO CHARGE ")</f>
        <v>NO CHARGE</v>
      </c>
      <c r="V499" s="2"/>
      <c r="W499" s="2" t="str">
        <f>IFERROR(__xludf.DUMMYFUNCTION("""COMPUTED_VALUE"""),"N/A")</f>
        <v>N/A</v>
      </c>
      <c r="X499" s="2" t="str">
        <f>IFERROR(__xludf.DUMMYFUNCTION("""COMPUTED_VALUE"""),"N/A")</f>
        <v>N/A</v>
      </c>
      <c r="Y499" s="2"/>
      <c r="Z499" s="2"/>
      <c r="AA499" s="2"/>
      <c r="AB499" s="2"/>
      <c r="AC499" s="2"/>
      <c r="AD499" s="2"/>
      <c r="AE499" s="2"/>
      <c r="AF499" s="2"/>
      <c r="AG499" s="2"/>
      <c r="AH499" s="2"/>
      <c r="AI499" s="2"/>
      <c r="AJ499" s="2" t="str">
        <f>IFERROR(__xludf.DUMMYFUNCTION("""COMPUTED_VALUE"""),"Cabayu")</f>
        <v>Cabayu</v>
      </c>
      <c r="AK499" s="2" t="str">
        <f>IFERROR(__xludf.DUMMYFUNCTION("""COMPUTED_VALUE"""),"Ballesteros")</f>
        <v>Ballesteros</v>
      </c>
      <c r="AL499" s="2" t="str">
        <f>IFERROR(__xludf.DUMMYFUNCTION("""COMPUTED_VALUE"""),"Cagayan")</f>
        <v>Cagayan</v>
      </c>
      <c r="AM499" s="2">
        <f>IFERROR(__xludf.DUMMYFUNCTION("""COMPUTED_VALUE"""),2.0)</f>
        <v>2</v>
      </c>
      <c r="AN499" s="2" t="str">
        <f>IFERROR(__xludf.DUMMYFUNCTION("""COMPUTED_VALUE"""),"RCEF 23-09-21 Rebidding")</f>
        <v>RCEF 23-09-21 Rebidding</v>
      </c>
      <c r="AO499" s="2">
        <f>IFERROR(__xludf.DUMMYFUNCTION("""COMPUTED_VALUE"""),9.0)</f>
        <v>9</v>
      </c>
      <c r="AP499" s="2"/>
      <c r="AQ499" s="2"/>
      <c r="AR499" s="2"/>
      <c r="AS499" s="2"/>
      <c r="AT499" s="2"/>
      <c r="AU499" s="2"/>
      <c r="AV499" s="2"/>
      <c r="AW499" s="2"/>
      <c r="AX499" s="2"/>
      <c r="AY499" s="2"/>
      <c r="AZ499" s="2"/>
      <c r="BA499" s="2"/>
      <c r="BB499" s="2"/>
    </row>
    <row r="500">
      <c r="A500" s="2">
        <f>IFERROR(__xludf.DUMMYFUNCTION("""COMPUTED_VALUE"""),496.0)</f>
        <v>496</v>
      </c>
      <c r="B500" s="2" t="str">
        <f>IFERROR(__xludf.DUMMYFUNCTION("""COMPUTED_VALUE"""),"COMPLETED")</f>
        <v>COMPLETED</v>
      </c>
      <c r="C500" s="74">
        <f>IFERROR(__xludf.DUMMYFUNCTION("""COMPUTED_VALUE"""),45557.0)</f>
        <v>45557</v>
      </c>
      <c r="D500" s="71" t="str">
        <f>IFERROR(__xludf.DUMMYFUNCTION("""COMPUTED_VALUE"""),"Mannalon ti Babalag West Farmers Association")</f>
        <v>Mannalon ti Babalag West Farmers Association</v>
      </c>
      <c r="E500" s="71" t="str">
        <f>IFERROR(__xludf.DUMMYFUNCTION("""COMPUTED_VALUE"""),"Babalag West (Pob.), Rizal (Liwan), KALINGA")</f>
        <v>Babalag West (Pob.), Rizal (Liwan), KALINGA</v>
      </c>
      <c r="F500" s="2" t="str">
        <f>IFERROR(__xludf.DUMMYFUNCTION("""COMPUTED_VALUE"""),"Frederick L. Licupa")</f>
        <v>Frederick L. Licupa</v>
      </c>
      <c r="G500" s="2">
        <f>IFERROR(__xludf.DUMMYFUNCTION("""COMPUTED_VALUE"""),9.059734095E9)</f>
        <v>9059734095</v>
      </c>
      <c r="H500" s="2">
        <f>IFERROR(__xludf.DUMMYFUNCTION("""COMPUTED_VALUE"""),70.0)</f>
        <v>70</v>
      </c>
      <c r="I500" s="72"/>
      <c r="J500" s="72"/>
      <c r="K500" s="72" t="str">
        <f>IFERROR(__xludf.DUMMYFUNCTION("""COMPUTED_VALUE"""),"ERP/DRM: UPON CAMPAIGN: HIGH DIESEL CONSUMPTION")</f>
        <v>ERP/DRM: UPON CAMPAIGN: HIGH DIESEL CONSUMPTION</v>
      </c>
      <c r="L500" s="72" t="str">
        <f>IFERROR(__xludf.DUMMYFUNCTION("""COMPUTED_VALUE"""),"CLOSED")</f>
        <v>CLOSED</v>
      </c>
      <c r="M500" s="2"/>
      <c r="N500" s="2"/>
      <c r="O500" s="2" t="str">
        <f>IFERROR(__xludf.DUMMYFUNCTION("""COMPUTED_VALUE"""),"N/A")</f>
        <v>N/A</v>
      </c>
      <c r="P500" s="2"/>
      <c r="Q500" s="2"/>
      <c r="R500" s="74">
        <f>IFERROR(__xludf.DUMMYFUNCTION("""COMPUTED_VALUE"""),45574.0)</f>
        <v>45574</v>
      </c>
      <c r="S500" s="2" t="str">
        <f>IFERROR(__xludf.DUMMYFUNCTION("""COMPUTED_VALUE"""),"N/A")</f>
        <v>N/A</v>
      </c>
      <c r="T500" s="73" t="str">
        <f>IFERROR(__xludf.DUMMYFUNCTION("""COMPUTED_VALUE""")," N/A ")</f>
        <v>N/A</v>
      </c>
      <c r="U500" s="73" t="str">
        <f>IFERROR(__xludf.DUMMYFUNCTION("""COMPUTED_VALUE""")," NO CHARGE ")</f>
        <v>NO CHARGE</v>
      </c>
      <c r="V500" s="2"/>
      <c r="W500" s="2" t="str">
        <f>IFERROR(__xludf.DUMMYFUNCTION("""COMPUTED_VALUE"""),"N/A")</f>
        <v>N/A</v>
      </c>
      <c r="X500" s="2" t="str">
        <f>IFERROR(__xludf.DUMMYFUNCTION("""COMPUTED_VALUE"""),"N/A")</f>
        <v>N/A</v>
      </c>
      <c r="Y500" s="2"/>
      <c r="Z500" s="2"/>
      <c r="AA500" s="2"/>
      <c r="AB500" s="2"/>
      <c r="AC500" s="2"/>
      <c r="AD500" s="2"/>
      <c r="AE500" s="2"/>
      <c r="AF500" s="2"/>
      <c r="AG500" s="2"/>
      <c r="AH500" s="2"/>
      <c r="AI500" s="2"/>
      <c r="AJ500" s="2" t="str">
        <f>IFERROR(__xludf.DUMMYFUNCTION("""COMPUTED_VALUE"""),"Babalag West (Pob.)")</f>
        <v>Babalag West (Pob.)</v>
      </c>
      <c r="AK500" s="2" t="str">
        <f>IFERROR(__xludf.DUMMYFUNCTION("""COMPUTED_VALUE"""),"Rizal (Liwan)")</f>
        <v>Rizal (Liwan)</v>
      </c>
      <c r="AL500" s="2" t="str">
        <f>IFERROR(__xludf.DUMMYFUNCTION("""COMPUTED_VALUE"""),"Kalinga")</f>
        <v>Kalinga</v>
      </c>
      <c r="AM500" s="2" t="str">
        <f>IFERROR(__xludf.DUMMYFUNCTION("""COMPUTED_VALUE"""),"CAR")</f>
        <v>CAR</v>
      </c>
      <c r="AN500" s="2" t="str">
        <f>IFERROR(__xludf.DUMMYFUNCTION("""COMPUTED_VALUE"""),"RCEF 23-09-21 Rebidding")</f>
        <v>RCEF 23-09-21 Rebidding</v>
      </c>
      <c r="AO500" s="2">
        <f>IFERROR(__xludf.DUMMYFUNCTION("""COMPUTED_VALUE"""),1.0)</f>
        <v>1</v>
      </c>
      <c r="AP500" s="2"/>
      <c r="AQ500" s="2"/>
      <c r="AR500" s="2"/>
      <c r="AS500" s="2"/>
      <c r="AT500" s="2"/>
      <c r="AU500" s="2"/>
      <c r="AV500" s="2"/>
      <c r="AW500" s="2"/>
      <c r="AX500" s="2"/>
      <c r="AY500" s="2"/>
      <c r="AZ500" s="2"/>
      <c r="BA500" s="2"/>
      <c r="BB500" s="2"/>
    </row>
    <row r="501">
      <c r="A501" s="2">
        <f>IFERROR(__xludf.DUMMYFUNCTION("""COMPUTED_VALUE"""),497.0)</f>
        <v>497</v>
      </c>
      <c r="B501" s="2" t="str">
        <f>IFERROR(__xludf.DUMMYFUNCTION("""COMPUTED_VALUE"""),"COMPLETED")</f>
        <v>COMPLETED</v>
      </c>
      <c r="C501" s="74">
        <f>IFERROR(__xludf.DUMMYFUNCTION("""COMPUTED_VALUE"""),45557.0)</f>
        <v>45557</v>
      </c>
      <c r="D501" s="71" t="str">
        <f>IFERROR(__xludf.DUMMYFUNCTION("""COMPUTED_VALUE"""),"Mannalon ti Babalag West Farmers Association")</f>
        <v>Mannalon ti Babalag West Farmers Association</v>
      </c>
      <c r="E501" s="71" t="str">
        <f>IFERROR(__xludf.DUMMYFUNCTION("""COMPUTED_VALUE"""),"Babalag West (Pob.), Rizal (Liwan), KALINGA")</f>
        <v>Babalag West (Pob.), Rizal (Liwan), KALINGA</v>
      </c>
      <c r="F501" s="2" t="str">
        <f>IFERROR(__xludf.DUMMYFUNCTION("""COMPUTED_VALUE"""),"Frederick L. Licupa")</f>
        <v>Frederick L. Licupa</v>
      </c>
      <c r="G501" s="2">
        <f>IFERROR(__xludf.DUMMYFUNCTION("""COMPUTED_VALUE"""),9.059734095E9)</f>
        <v>9059734095</v>
      </c>
      <c r="H501" s="2">
        <f>IFERROR(__xludf.DUMMYFUNCTION("""COMPUTED_VALUE"""),70.0)</f>
        <v>70</v>
      </c>
      <c r="I501" s="72" t="str">
        <f>IFERROR(__xludf.DUMMYFUNCTION("""COMPUTED_VALUE"""),"PMS")</f>
        <v>PMS</v>
      </c>
      <c r="J501" s="72" t="str">
        <f>IFERROR(__xludf.DUMMYFUNCTION("""COMPUTED_VALUE"""),"PMS")</f>
        <v>PMS</v>
      </c>
      <c r="K501" s="72" t="str">
        <f>IFERROR(__xludf.DUMMYFUNCTION("""COMPUTED_VALUE"""),"ERP/DRM: UPON CAMPAIGN: FIRST PMS : SELF PMS")</f>
        <v>ERP/DRM: UPON CAMPAIGN: FIRST PMS : SELF PMS</v>
      </c>
      <c r="L501" s="72" t="str">
        <f>IFERROR(__xludf.DUMMYFUNCTION("""COMPUTED_VALUE"""),"SEND AGREEMENT: FB: FREDERICK LICUPA: ")</f>
        <v>SEND AGREEMENT: FB: FREDERICK LICUPA: </v>
      </c>
      <c r="M501" s="2"/>
      <c r="N501" s="2"/>
      <c r="O501" s="2" t="str">
        <f>IFERROR(__xludf.DUMMYFUNCTION("""COMPUTED_VALUE"""),"N/A")</f>
        <v>N/A</v>
      </c>
      <c r="P501" s="2"/>
      <c r="Q501" s="2"/>
      <c r="R501" s="74">
        <f>IFERROR(__xludf.DUMMYFUNCTION("""COMPUTED_VALUE"""),45574.0)</f>
        <v>45574</v>
      </c>
      <c r="S501" s="2" t="str">
        <f>IFERROR(__xludf.DUMMYFUNCTION("""COMPUTED_VALUE"""),"MYKEE")</f>
        <v>MYKEE</v>
      </c>
      <c r="T501" s="73" t="str">
        <f>IFERROR(__xludf.DUMMYFUNCTION("""COMPUTED_VALUE""")," N/A ")</f>
        <v>N/A</v>
      </c>
      <c r="U501" s="73" t="str">
        <f>IFERROR(__xludf.DUMMYFUNCTION("""COMPUTED_VALUE""")," NO CHARGE ")</f>
        <v>NO CHARGE</v>
      </c>
      <c r="V501" s="2"/>
      <c r="W501" s="2" t="str">
        <f>IFERROR(__xludf.DUMMYFUNCTION("""COMPUTED_VALUE"""),"N/A")</f>
        <v>N/A</v>
      </c>
      <c r="X501" s="2" t="str">
        <f>IFERROR(__xludf.DUMMYFUNCTION("""COMPUTED_VALUE"""),"N/A")</f>
        <v>N/A</v>
      </c>
      <c r="Y501" s="2"/>
      <c r="Z501" s="2"/>
      <c r="AA501" s="2"/>
      <c r="AB501" s="2"/>
      <c r="AC501" s="2"/>
      <c r="AD501" s="2"/>
      <c r="AE501" s="2"/>
      <c r="AF501" s="2"/>
      <c r="AG501" s="2"/>
      <c r="AH501" s="2"/>
      <c r="AI501" s="2"/>
      <c r="AJ501" s="2" t="str">
        <f>IFERROR(__xludf.DUMMYFUNCTION("""COMPUTED_VALUE"""),"Babalag West (Pob.)")</f>
        <v>Babalag West (Pob.)</v>
      </c>
      <c r="AK501" s="2" t="str">
        <f>IFERROR(__xludf.DUMMYFUNCTION("""COMPUTED_VALUE"""),"Rizal (Liwan)")</f>
        <v>Rizal (Liwan)</v>
      </c>
      <c r="AL501" s="2" t="str">
        <f>IFERROR(__xludf.DUMMYFUNCTION("""COMPUTED_VALUE"""),"Kalinga")</f>
        <v>Kalinga</v>
      </c>
      <c r="AM501" s="2" t="str">
        <f>IFERROR(__xludf.DUMMYFUNCTION("""COMPUTED_VALUE"""),"CAR")</f>
        <v>CAR</v>
      </c>
      <c r="AN501" s="2" t="str">
        <f>IFERROR(__xludf.DUMMYFUNCTION("""COMPUTED_VALUE"""),"RCEF 23-09-21 Rebidding")</f>
        <v>RCEF 23-09-21 Rebidding</v>
      </c>
      <c r="AO501" s="2">
        <f>IFERROR(__xludf.DUMMYFUNCTION("""COMPUTED_VALUE"""),1.0)</f>
        <v>1</v>
      </c>
      <c r="AP501" s="2"/>
      <c r="AQ501" s="2"/>
      <c r="AR501" s="2"/>
      <c r="AS501" s="2"/>
      <c r="AT501" s="2"/>
      <c r="AU501" s="2"/>
      <c r="AV501" s="2"/>
      <c r="AW501" s="2"/>
      <c r="AX501" s="2"/>
      <c r="AY501" s="2"/>
      <c r="AZ501" s="2"/>
      <c r="BA501" s="2"/>
      <c r="BB501" s="2"/>
    </row>
    <row r="502">
      <c r="A502" s="2">
        <f>IFERROR(__xludf.DUMMYFUNCTION("""COMPUTED_VALUE"""),498.0)</f>
        <v>498</v>
      </c>
      <c r="B502" s="2" t="str">
        <f>IFERROR(__xludf.DUMMYFUNCTION("""COMPUTED_VALUE"""),"COMPLETED")</f>
        <v>COMPLETED</v>
      </c>
      <c r="C502" s="74">
        <f>IFERROR(__xludf.DUMMYFUNCTION("""COMPUTED_VALUE"""),45557.0)</f>
        <v>45557</v>
      </c>
      <c r="D502" s="71" t="str">
        <f>IFERROR(__xludf.DUMMYFUNCTION("""COMPUTED_VALUE"""),"Municipal Local Government Unit of Kalayaan")</f>
        <v>Municipal Local Government Unit of Kalayaan</v>
      </c>
      <c r="E502" s="71" t="str">
        <f>IFERROR(__xludf.DUMMYFUNCTION("""COMPUTED_VALUE"""),"San Juan, Kalayaan, Laguna")</f>
        <v>San Juan, Kalayaan, Laguna</v>
      </c>
      <c r="F502" s="2" t="str">
        <f>IFERROR(__xludf.DUMMYFUNCTION("""COMPUTED_VALUE"""),"Hon. Sandy P. Laganapan")</f>
        <v>Hon. Sandy P. Laganapan</v>
      </c>
      <c r="G502" s="2" t="str">
        <f>IFERROR(__xludf.DUMMYFUNCTION("""COMPUTED_VALUE"""),"0926 242 9624")</f>
        <v>0926 242 9624</v>
      </c>
      <c r="H502" s="2">
        <f>IFERROR(__xludf.DUMMYFUNCTION("""COMPUTED_VALUE"""),297.3)</f>
        <v>297.3</v>
      </c>
      <c r="I502" s="72" t="str">
        <f>IFERROR(__xludf.DUMMYFUNCTION("""COMPUTED_VALUE"""),"PMS")</f>
        <v>PMS</v>
      </c>
      <c r="J502" s="72" t="str">
        <f>IFERROR(__xludf.DUMMYFUNCTION("""COMPUTED_VALUE"""),"PMS")</f>
        <v>PMS</v>
      </c>
      <c r="K502" s="72" t="str">
        <f>IFERROR(__xludf.DUMMYFUNCTION("""COMPUTED_VALUE"""),"UPON CAMPAIGN: 2ND PMS")</f>
        <v>UPON CAMPAIGN: 2ND PMS</v>
      </c>
      <c r="L502" s="72" t="str">
        <f>IFERROR(__xludf.DUMMYFUNCTION("""COMPUTED_VALUE"""),"CALL SEND AGREEMENT: EMAIL: zhane1009@yahoo.com")</f>
        <v>CALL SEND AGREEMENT: EMAIL: zhane1009@yahoo.com</v>
      </c>
      <c r="M502" s="2"/>
      <c r="N502" s="2"/>
      <c r="O502" s="2" t="str">
        <f>IFERROR(__xludf.DUMMYFUNCTION("""COMPUTED_VALUE"""),"N/A")</f>
        <v>N/A</v>
      </c>
      <c r="P502" s="2"/>
      <c r="Q502" s="2"/>
      <c r="R502" s="74">
        <f>IFERROR(__xludf.DUMMYFUNCTION("""COMPUTED_VALUE"""),45576.0)</f>
        <v>45576</v>
      </c>
      <c r="S502" s="2" t="str">
        <f>IFERROR(__xludf.DUMMYFUNCTION("""COMPUTED_VALUE"""),"MYKEE")</f>
        <v>MYKEE</v>
      </c>
      <c r="T502" s="73" t="str">
        <f>IFERROR(__xludf.DUMMYFUNCTION("""COMPUTED_VALUE""")," N/A ")</f>
        <v>N/A</v>
      </c>
      <c r="U502" s="73" t="str">
        <f>IFERROR(__xludf.DUMMYFUNCTION("""COMPUTED_VALUE""")," NO CHARGE ")</f>
        <v>NO CHARGE</v>
      </c>
      <c r="V502" s="2"/>
      <c r="W502" s="2" t="str">
        <f>IFERROR(__xludf.DUMMYFUNCTION("""COMPUTED_VALUE"""),"N/A")</f>
        <v>N/A</v>
      </c>
      <c r="X502" s="2" t="str">
        <f>IFERROR(__xludf.DUMMYFUNCTION("""COMPUTED_VALUE"""),"N/A")</f>
        <v>N/A</v>
      </c>
      <c r="Y502" s="2"/>
      <c r="Z502" s="2"/>
      <c r="AA502" s="2"/>
      <c r="AB502" s="2"/>
      <c r="AC502" s="2"/>
      <c r="AD502" s="2"/>
      <c r="AE502" s="2"/>
      <c r="AF502" s="2"/>
      <c r="AG502" s="2"/>
      <c r="AH502" s="2"/>
      <c r="AI502" s="2"/>
      <c r="AJ502" s="2" t="str">
        <f>IFERROR(__xludf.DUMMYFUNCTION("""COMPUTED_VALUE"""),"San Juan")</f>
        <v>San Juan</v>
      </c>
      <c r="AK502" s="2" t="str">
        <f>IFERROR(__xludf.DUMMYFUNCTION("""COMPUTED_VALUE"""),"Kalayaan")</f>
        <v>Kalayaan</v>
      </c>
      <c r="AL502" s="2" t="str">
        <f>IFERROR(__xludf.DUMMYFUNCTION("""COMPUTED_VALUE"""),"Laguna")</f>
        <v>Laguna</v>
      </c>
      <c r="AM502" s="2" t="str">
        <f>IFERROR(__xludf.DUMMYFUNCTION("""COMPUTED_VALUE"""),"4A")</f>
        <v>4A</v>
      </c>
      <c r="AN502" s="2" t="str">
        <f>IFERROR(__xludf.DUMMYFUNCTION("""COMPUTED_VALUE"""),"RCEF 23-08-20 Rebidding")</f>
        <v>RCEF 23-08-20 Rebidding</v>
      </c>
      <c r="AO502" s="2">
        <f>IFERROR(__xludf.DUMMYFUNCTION("""COMPUTED_VALUE"""),1.0)</f>
        <v>1</v>
      </c>
      <c r="AP502" s="2"/>
      <c r="AQ502" s="2"/>
      <c r="AR502" s="2"/>
      <c r="AS502" s="2"/>
      <c r="AT502" s="2"/>
      <c r="AU502" s="2"/>
      <c r="AV502" s="2"/>
      <c r="AW502" s="2"/>
      <c r="AX502" s="2"/>
      <c r="AY502" s="2"/>
      <c r="AZ502" s="2"/>
      <c r="BA502" s="2"/>
      <c r="BB502" s="2"/>
    </row>
    <row r="503">
      <c r="A503" s="2">
        <f>IFERROR(__xludf.DUMMYFUNCTION("""COMPUTED_VALUE"""),499.0)</f>
        <v>499</v>
      </c>
      <c r="B503" s="2" t="str">
        <f>IFERROR(__xludf.DUMMYFUNCTION("""COMPUTED_VALUE"""),"COMPLETED")</f>
        <v>COMPLETED</v>
      </c>
      <c r="C503" s="74">
        <f>IFERROR(__xludf.DUMMYFUNCTION("""COMPUTED_VALUE"""),45557.0)</f>
        <v>45557</v>
      </c>
      <c r="D503" s="71" t="str">
        <f>IFERROR(__xludf.DUMMYFUNCTION("""COMPUTED_VALUE"""),"ORTIZ BUMA-A IRRIGATORS ASSOCIATION, INC.")</f>
        <v>ORTIZ BUMA-A IRRIGATORS ASSOCIATION, INC.</v>
      </c>
      <c r="E503" s="71" t="str">
        <f>IFERROR(__xludf.DUMMYFUNCTION("""COMPUTED_VALUE"""),"Samonte (Pob.), Quezon, ISABELA")</f>
        <v>Samonte (Pob.), Quezon, ISABELA</v>
      </c>
      <c r="F503" s="2" t="str">
        <f>IFERROR(__xludf.DUMMYFUNCTION("""COMPUTED_VALUE"""),"Andres A. Madarang")</f>
        <v>Andres A. Madarang</v>
      </c>
      <c r="G503" s="2">
        <f>IFERROR(__xludf.DUMMYFUNCTION("""COMPUTED_VALUE"""),9.756593894E9)</f>
        <v>9756593894</v>
      </c>
      <c r="H503" s="2">
        <f>IFERROR(__xludf.DUMMYFUNCTION("""COMPUTED_VALUE"""),319.0)</f>
        <v>319</v>
      </c>
      <c r="I503" s="72"/>
      <c r="J503" s="72"/>
      <c r="K503" s="72" t="str">
        <f>IFERROR(__xludf.DUMMYFUNCTION("""COMPUTED_VALUE"""),"ERP/DRM: UPON CAMPAIGN: HYDRAULIC HOSE PUMUTOK")</f>
        <v>ERP/DRM: UPON CAMPAIGN: HYDRAULIC HOSE PUMUTOK</v>
      </c>
      <c r="L503" s="72" t="str">
        <f>IFERROR(__xludf.DUMMYFUNCTION("""COMPUTED_VALUE"""),"ACS: PINALITAN NA NILA YUNG HYDRAULIC HOSE")</f>
        <v>ACS: PINALITAN NA NILA YUNG HYDRAULIC HOSE</v>
      </c>
      <c r="M503" s="2"/>
      <c r="N503" s="2"/>
      <c r="O503" s="2">
        <f>IFERROR(__xludf.DUMMYFUNCTION("""COMPUTED_VALUE"""),582.0)</f>
        <v>582</v>
      </c>
      <c r="P503" s="2"/>
      <c r="Q503" s="2"/>
      <c r="R503" s="74">
        <f>IFERROR(__xludf.DUMMYFUNCTION("""COMPUTED_VALUE"""),45579.0)</f>
        <v>45579</v>
      </c>
      <c r="S503" s="2" t="str">
        <f>IFERROR(__xludf.DUMMYFUNCTION("""COMPUTED_VALUE"""),"JHP/ACS")</f>
        <v>JHP/ACS</v>
      </c>
      <c r="T503" s="73" t="str">
        <f>IFERROR(__xludf.DUMMYFUNCTION("""COMPUTED_VALUE""")," N/A ")</f>
        <v>N/A</v>
      </c>
      <c r="U503" s="73" t="str">
        <f>IFERROR(__xludf.DUMMYFUNCTION("""COMPUTED_VALUE""")," NO CHARGE ")</f>
        <v>NO CHARGE</v>
      </c>
      <c r="V503" s="2"/>
      <c r="W503" s="2" t="str">
        <f>IFERROR(__xludf.DUMMYFUNCTION("""COMPUTED_VALUE"""),"N/A")</f>
        <v>N/A</v>
      </c>
      <c r="X503" s="2" t="str">
        <f>IFERROR(__xludf.DUMMYFUNCTION("""COMPUTED_VALUE"""),"N/A")</f>
        <v>N/A</v>
      </c>
      <c r="Y503" s="2"/>
      <c r="Z503" s="2"/>
      <c r="AA503" s="2"/>
      <c r="AB503" s="2"/>
      <c r="AC503" s="2"/>
      <c r="AD503" s="2"/>
      <c r="AE503" s="2"/>
      <c r="AF503" s="2"/>
      <c r="AG503" s="2"/>
      <c r="AH503" s="2"/>
      <c r="AI503" s="2"/>
      <c r="AJ503" s="2" t="str">
        <f>IFERROR(__xludf.DUMMYFUNCTION("""COMPUTED_VALUE"""),"Samonte (Pob.)")</f>
        <v>Samonte (Pob.)</v>
      </c>
      <c r="AK503" s="2" t="str">
        <f>IFERROR(__xludf.DUMMYFUNCTION("""COMPUTED_VALUE"""),"Quezon")</f>
        <v>Quezon</v>
      </c>
      <c r="AL503" s="2" t="str">
        <f>IFERROR(__xludf.DUMMYFUNCTION("""COMPUTED_VALUE"""),"Isabela")</f>
        <v>Isabela</v>
      </c>
      <c r="AM503" s="2">
        <f>IFERROR(__xludf.DUMMYFUNCTION("""COMPUTED_VALUE"""),2.0)</f>
        <v>2</v>
      </c>
      <c r="AN503" s="2" t="str">
        <f>IFERROR(__xludf.DUMMYFUNCTION("""COMPUTED_VALUE"""),"RCEF 23-09-21 Rebidding")</f>
        <v>RCEF 23-09-21 Rebidding</v>
      </c>
      <c r="AO503" s="2">
        <f>IFERROR(__xludf.DUMMYFUNCTION("""COMPUTED_VALUE"""),9.0)</f>
        <v>9</v>
      </c>
      <c r="AP503" s="2"/>
      <c r="AQ503" s="2"/>
      <c r="AR503" s="2"/>
      <c r="AS503" s="2"/>
      <c r="AT503" s="2"/>
      <c r="AU503" s="2"/>
      <c r="AV503" s="2"/>
      <c r="AW503" s="2"/>
      <c r="AX503" s="2"/>
      <c r="AY503" s="2"/>
      <c r="AZ503" s="2"/>
      <c r="BA503" s="2"/>
      <c r="BB503" s="2"/>
    </row>
    <row r="504">
      <c r="A504" s="2">
        <f>IFERROR(__xludf.DUMMYFUNCTION("""COMPUTED_VALUE"""),500.0)</f>
        <v>500</v>
      </c>
      <c r="B504" s="2" t="str">
        <f>IFERROR(__xludf.DUMMYFUNCTION("""COMPUTED_VALUE"""),"COMPLETED")</f>
        <v>COMPLETED</v>
      </c>
      <c r="C504" s="74">
        <f>IFERROR(__xludf.DUMMYFUNCTION("""COMPUTED_VALUE"""),45557.0)</f>
        <v>45557</v>
      </c>
      <c r="D504" s="71" t="str">
        <f>IFERROR(__xludf.DUMMYFUNCTION("""COMPUTED_VALUE"""),"SINAPANGAN FARMERS IRRIGATORS ASSOCIATION OF BALAOAN, LA UNION, INC.")</f>
        <v>SINAPANGAN FARMERS IRRIGATORS ASSOCIATION OF BALAOAN, LA UNION, INC.</v>
      </c>
      <c r="E504" s="71" t="str">
        <f>IFERROR(__xludf.DUMMYFUNCTION("""COMPUTED_VALUE"""),"Sinapangan Norte, Balaoan, LA UNION")</f>
        <v>Sinapangan Norte, Balaoan, LA UNION</v>
      </c>
      <c r="F504" s="2" t="str">
        <f>IFERROR(__xludf.DUMMYFUNCTION("""COMPUTED_VALUE"""),"Menardo O. Ordinario")</f>
        <v>Menardo O. Ordinario</v>
      </c>
      <c r="G504" s="2">
        <f>IFERROR(__xludf.DUMMYFUNCTION("""COMPUTED_VALUE"""),9.359992556E9)</f>
        <v>9359992556</v>
      </c>
      <c r="H504" s="2">
        <f>IFERROR(__xludf.DUMMYFUNCTION("""COMPUTED_VALUE"""),198.0)</f>
        <v>198</v>
      </c>
      <c r="I504" s="72" t="str">
        <f>IFERROR(__xludf.DUMMYFUNCTION("""COMPUTED_VALUE"""),"REPAIR - TRACTOR")</f>
        <v>REPAIR - TRACTOR</v>
      </c>
      <c r="J504" s="72" t="str">
        <f>IFERROR(__xludf.DUMMYFUNCTION("""COMPUTED_VALUE"""),"RADIATOR")</f>
        <v>RADIATOR</v>
      </c>
      <c r="K504" s="72" t="str">
        <f>IFERROR(__xludf.DUMMYFUNCTION("""COMPUTED_VALUE"""),"UPON CAMPAIGN: RADIATOR LEAK")</f>
        <v>UPON CAMPAIGN: RADIATOR LEAK</v>
      </c>
      <c r="L504" s="72" t="str">
        <f>IFERROR(__xludf.DUMMYFUNCTION("""COMPUTED_VALUE"""),"JTT: REPLACED NEW RADIATOR ")</f>
        <v>JTT: REPLACED NEW RADIATOR </v>
      </c>
      <c r="M504" s="2"/>
      <c r="N504" s="2" t="str">
        <f>IFERROR(__xludf.DUMMYFUNCTION("""COMPUTED_VALUE"""),"PARTS: RADIATOR ASSY")</f>
        <v>PARTS: RADIATOR ASSY</v>
      </c>
      <c r="O504" s="2">
        <f>IFERROR(__xludf.DUMMYFUNCTION("""COMPUTED_VALUE"""),863.0)</f>
        <v>863</v>
      </c>
      <c r="P504" s="2"/>
      <c r="Q504" s="2"/>
      <c r="R504" s="74">
        <f>IFERROR(__xludf.DUMMYFUNCTION("""COMPUTED_VALUE"""),45602.0)</f>
        <v>45602</v>
      </c>
      <c r="S504" s="2" t="str">
        <f>IFERROR(__xludf.DUMMYFUNCTION("""COMPUTED_VALUE"""),"JTT")</f>
        <v>JTT</v>
      </c>
      <c r="T504" s="73" t="str">
        <f>IFERROR(__xludf.DUMMYFUNCTION("""COMPUTED_VALUE""")," N/A ")</f>
        <v>N/A</v>
      </c>
      <c r="U504" s="73" t="str">
        <f>IFERROR(__xludf.DUMMYFUNCTION("""COMPUTED_VALUE""")," NO CHARGE ")</f>
        <v>NO CHARGE</v>
      </c>
      <c r="V504" s="2"/>
      <c r="W504" s="2" t="str">
        <f>IFERROR(__xludf.DUMMYFUNCTION("""COMPUTED_VALUE"""),"N/A")</f>
        <v>N/A</v>
      </c>
      <c r="X504" s="2" t="str">
        <f>IFERROR(__xludf.DUMMYFUNCTION("""COMPUTED_VALUE"""),"N/A")</f>
        <v>N/A</v>
      </c>
      <c r="Y504" s="2"/>
      <c r="Z504" s="2"/>
      <c r="AA504" s="2"/>
      <c r="AB504" s="2"/>
      <c r="AC504" s="2"/>
      <c r="AD504" s="2"/>
      <c r="AE504" s="2"/>
      <c r="AF504" s="2"/>
      <c r="AG504" s="2"/>
      <c r="AH504" s="2"/>
      <c r="AI504" s="2"/>
      <c r="AJ504" s="2" t="str">
        <f>IFERROR(__xludf.DUMMYFUNCTION("""COMPUTED_VALUE"""),"Sinapangan Norte")</f>
        <v>Sinapangan Norte</v>
      </c>
      <c r="AK504" s="2" t="str">
        <f>IFERROR(__xludf.DUMMYFUNCTION("""COMPUTED_VALUE"""),"Balaoan")</f>
        <v>Balaoan</v>
      </c>
      <c r="AL504" s="2" t="str">
        <f>IFERROR(__xludf.DUMMYFUNCTION("""COMPUTED_VALUE"""),"La Union")</f>
        <v>La Union</v>
      </c>
      <c r="AM504" s="2">
        <f>IFERROR(__xludf.DUMMYFUNCTION("""COMPUTED_VALUE"""),1.0)</f>
        <v>1</v>
      </c>
      <c r="AN504" s="2" t="str">
        <f>IFERROR(__xludf.DUMMYFUNCTION("""COMPUTED_VALUE"""),"RCEF 23-09-21 Rebidding")</f>
        <v>RCEF 23-09-21 Rebidding</v>
      </c>
      <c r="AO504" s="2">
        <f>IFERROR(__xludf.DUMMYFUNCTION("""COMPUTED_VALUE"""),2.0)</f>
        <v>2</v>
      </c>
      <c r="AP504" s="2"/>
      <c r="AQ504" s="2"/>
      <c r="AR504" s="2"/>
      <c r="AS504" s="2"/>
      <c r="AT504" s="2"/>
      <c r="AU504" s="2"/>
      <c r="AV504" s="2"/>
      <c r="AW504" s="2"/>
      <c r="AX504" s="2"/>
      <c r="AY504" s="2"/>
      <c r="AZ504" s="2"/>
      <c r="BA504" s="2"/>
      <c r="BB504" s="2"/>
    </row>
    <row r="505">
      <c r="A505" s="2">
        <f>IFERROR(__xludf.DUMMYFUNCTION("""COMPUTED_VALUE"""),501.0)</f>
        <v>501</v>
      </c>
      <c r="B505" s="2" t="str">
        <f>IFERROR(__xludf.DUMMYFUNCTION("""COMPUTED_VALUE"""),"COMPLETED")</f>
        <v>COMPLETED</v>
      </c>
      <c r="C505" s="74">
        <f>IFERROR(__xludf.DUMMYFUNCTION("""COMPUTED_VALUE"""),45557.0)</f>
        <v>45557</v>
      </c>
      <c r="D505" s="71" t="str">
        <f>IFERROR(__xludf.DUMMYFUNCTION("""COMPUTED_VALUE"""),"TAYAK AGRI-FISHERY PRODUCERS ASSOCIATION")</f>
        <v>TAYAK AGRI-FISHERY PRODUCERS ASSOCIATION</v>
      </c>
      <c r="E505" s="71" t="str">
        <f>IFERROR(__xludf.DUMMYFUNCTION("""COMPUTED_VALUE"""),"Siguiran, Abulug, CAGAYAN")</f>
        <v>Siguiran, Abulug, CAGAYAN</v>
      </c>
      <c r="F505" s="2" t="str">
        <f>IFERROR(__xludf.DUMMYFUNCTION("""COMPUTED_VALUE"""),"CRISTOFFER BAYANI")</f>
        <v>CRISTOFFER BAYANI</v>
      </c>
      <c r="G505" s="2">
        <f>IFERROR(__xludf.DUMMYFUNCTION("""COMPUTED_VALUE"""),9.273062333E9)</f>
        <v>9273062333</v>
      </c>
      <c r="H505" s="2">
        <f>IFERROR(__xludf.DUMMYFUNCTION("""COMPUTED_VALUE"""),323.0)</f>
        <v>323</v>
      </c>
      <c r="I505" s="72" t="str">
        <f>IFERROR(__xludf.DUMMYFUNCTION("""COMPUTED_VALUE"""),"REPAIR - TRACTOR")</f>
        <v>REPAIR - TRACTOR</v>
      </c>
      <c r="J505" s="72" t="str">
        <f>IFERROR(__xludf.DUMMYFUNCTION("""COMPUTED_VALUE"""),"Front Axle - Leaking")</f>
        <v>Front Axle - Leaking</v>
      </c>
      <c r="K505" s="72" t="str">
        <f>IFERROR(__xludf.DUMMYFUNCTION("""COMPUTED_VALUE"""),"ERP/DRM: UPON CAMPAIGN: LEAK FRONT WHEELA AND HIGH CONSUMPTION OF DIESEL")</f>
        <v>ERP/DRM: UPON CAMPAIGN: LEAK FRONT WHEELA AND HIGH CONSUMPTION OF DIESEL</v>
      </c>
      <c r="L505" s="72" t="str">
        <f>IFERROR(__xludf.DUMMYFUNCTION("""COMPUTED_VALUE"""),"JVV: DEFECTIVE FRONT AXLE OIL SEAL, REPLACED FRONT AXLE OIL SEAL")</f>
        <v>JVV: DEFECTIVE FRONT AXLE OIL SEAL, REPLACED FRONT AXLE OIL SEAL</v>
      </c>
      <c r="M505" s="2"/>
      <c r="N505" s="2" t="str">
        <f>IFERROR(__xludf.DUMMYFUNCTION("""COMPUTED_VALUE"""),"PARTS: FRONT AXLE OIL SEAL TA00041359")</f>
        <v>PARTS: FRONT AXLE OIL SEAL TA00041359</v>
      </c>
      <c r="O505" s="2">
        <f>IFERROR(__xludf.DUMMYFUNCTION("""COMPUTED_VALUE"""),1152.0)</f>
        <v>1152</v>
      </c>
      <c r="P505" s="2"/>
      <c r="Q505" s="2"/>
      <c r="R505" s="74">
        <f>IFERROR(__xludf.DUMMYFUNCTION("""COMPUTED_VALUE"""),45604.0)</f>
        <v>45604</v>
      </c>
      <c r="S505" s="2" t="str">
        <f>IFERROR(__xludf.DUMMYFUNCTION("""COMPUTED_VALUE"""),"CFG/JVV")</f>
        <v>CFG/JVV</v>
      </c>
      <c r="T505" s="73">
        <f>IFERROR(__xludf.DUMMYFUNCTION("""COMPUTED_VALUE"""),3375.0)</f>
        <v>3375</v>
      </c>
      <c r="U505" s="73" t="str">
        <f>IFERROR(__xludf.DUMMYFUNCTION("""COMPUTED_VALUE""")," REMITTED ")</f>
        <v>REMITTED</v>
      </c>
      <c r="V505" s="2"/>
      <c r="W505" s="2">
        <f>IFERROR(__xludf.DUMMYFUNCTION("""COMPUTED_VALUE"""),1282.0)</f>
        <v>1282</v>
      </c>
      <c r="X505" s="2">
        <f>IFERROR(__xludf.DUMMYFUNCTION("""COMPUTED_VALUE"""),1297.0)</f>
        <v>1297</v>
      </c>
      <c r="Y505" s="2"/>
      <c r="Z505" s="2"/>
      <c r="AA505" s="2"/>
      <c r="AB505" s="2"/>
      <c r="AC505" s="2"/>
      <c r="AD505" s="2"/>
      <c r="AE505" s="2"/>
      <c r="AF505" s="2"/>
      <c r="AG505" s="2"/>
      <c r="AH505" s="2"/>
      <c r="AI505" s="2"/>
      <c r="AJ505" s="2" t="str">
        <f>IFERROR(__xludf.DUMMYFUNCTION("""COMPUTED_VALUE"""),"Siguiran")</f>
        <v>Siguiran</v>
      </c>
      <c r="AK505" s="2" t="str">
        <f>IFERROR(__xludf.DUMMYFUNCTION("""COMPUTED_VALUE"""),"Abulug")</f>
        <v>Abulug</v>
      </c>
      <c r="AL505" s="2" t="str">
        <f>IFERROR(__xludf.DUMMYFUNCTION("""COMPUTED_VALUE"""),"Cagayan")</f>
        <v>Cagayan</v>
      </c>
      <c r="AM505" s="2">
        <f>IFERROR(__xludf.DUMMYFUNCTION("""COMPUTED_VALUE"""),2.0)</f>
        <v>2</v>
      </c>
      <c r="AN505" s="2" t="str">
        <f>IFERROR(__xludf.DUMMYFUNCTION("""COMPUTED_VALUE"""),"RCEF 23-09-21 Rebidding")</f>
        <v>RCEF 23-09-21 Rebidding</v>
      </c>
      <c r="AO505" s="2">
        <f>IFERROR(__xludf.DUMMYFUNCTION("""COMPUTED_VALUE"""),9.0)</f>
        <v>9</v>
      </c>
      <c r="AP505" s="2"/>
      <c r="AQ505" s="2"/>
      <c r="AR505" s="2"/>
      <c r="AS505" s="2"/>
      <c r="AT505" s="2"/>
      <c r="AU505" s="2"/>
      <c r="AV505" s="2"/>
      <c r="AW505" s="2"/>
      <c r="AX505" s="2"/>
      <c r="AY505" s="2"/>
      <c r="AZ505" s="2"/>
      <c r="BA505" s="2"/>
      <c r="BB505" s="2"/>
    </row>
    <row r="506">
      <c r="A506" s="2">
        <f>IFERROR(__xludf.DUMMYFUNCTION("""COMPUTED_VALUE"""),502.0)</f>
        <v>502</v>
      </c>
      <c r="B506" s="2" t="str">
        <f>IFERROR(__xludf.DUMMYFUNCTION("""COMPUTED_VALUE"""),"COMPLETED")</f>
        <v>COMPLETED</v>
      </c>
      <c r="C506" s="74">
        <f>IFERROR(__xludf.DUMMYFUNCTION("""COMPUTED_VALUE"""),45557.0)</f>
        <v>45557</v>
      </c>
      <c r="D506" s="71" t="str">
        <f>IFERROR(__xludf.DUMMYFUNCTION("""COMPUTED_VALUE"""),"Municipal Local Government Unit of Cavinti")</f>
        <v>Municipal Local Government Unit of Cavinti</v>
      </c>
      <c r="E506" s="71" t="str">
        <f>IFERROR(__xludf.DUMMYFUNCTION("""COMPUTED_VALUE"""),"Poblacion, Cavinti, Laguna")</f>
        <v>Poblacion, Cavinti, Laguna</v>
      </c>
      <c r="F506" s="2" t="str">
        <f>IFERROR(__xludf.DUMMYFUNCTION("""COMPUTED_VALUE"""),"Hon. Milbert L. Olivares")</f>
        <v>Hon. Milbert L. Olivares</v>
      </c>
      <c r="G506" s="2" t="str">
        <f>IFERROR(__xludf.DUMMYFUNCTION("""COMPUTED_VALUE"""),"0919 002 7529")</f>
        <v>0919 002 7529</v>
      </c>
      <c r="H506" s="2">
        <f>IFERROR(__xludf.DUMMYFUNCTION("""COMPUTED_VALUE"""),20.6)</f>
        <v>20.6</v>
      </c>
      <c r="I506" s="72" t="str">
        <f>IFERROR(__xludf.DUMMYFUNCTION("""COMPUTED_VALUE"""),"REPAIR - TRACTOR")</f>
        <v>REPAIR - TRACTOR</v>
      </c>
      <c r="J506" s="72" t="str">
        <f>IFERROR(__xludf.DUMMYFUNCTION("""COMPUTED_VALUE"""),"GPS")</f>
        <v>GPS</v>
      </c>
      <c r="K506" s="72" t="str">
        <f>IFERROR(__xludf.DUMMYFUNCTION("""COMPUTED_VALUE"""),"CCB: UPON CAMPAIGN: GPS NOT ACTIVATED
CCB: 9/25/24: KAYLANGAN PALITAN NG GPS, NI RESTART KO NA AT TANGAL GANUN PADIN.")</f>
        <v>CCB: UPON CAMPAIGN: GPS NOT ACTIVATED
CCB: 9/25/24: KAYLANGAN PALITAN NG GPS, NI RESTART KO NA AT TANGAL GANUN PADIN.</v>
      </c>
      <c r="L506" s="72"/>
      <c r="M506" s="2"/>
      <c r="N506" s="2"/>
      <c r="O506" s="2" t="str">
        <f>IFERROR(__xludf.DUMMYFUNCTION("""COMPUTED_VALUE"""),"N/A")</f>
        <v>N/A</v>
      </c>
      <c r="P506" s="2"/>
      <c r="Q506" s="2"/>
      <c r="R506" s="74">
        <f>IFERROR(__xludf.DUMMYFUNCTION("""COMPUTED_VALUE"""),45620.0)</f>
        <v>45620</v>
      </c>
      <c r="S506" s="2"/>
      <c r="T506" s="73" t="str">
        <f>IFERROR(__xludf.DUMMYFUNCTION("""COMPUTED_VALUE""")," N/A ")</f>
        <v>N/A</v>
      </c>
      <c r="U506" s="73" t="str">
        <f>IFERROR(__xludf.DUMMYFUNCTION("""COMPUTED_VALUE""")," NO CHARGE ")</f>
        <v>NO CHARGE</v>
      </c>
      <c r="V506" s="2"/>
      <c r="W506" s="2" t="str">
        <f>IFERROR(__xludf.DUMMYFUNCTION("""COMPUTED_VALUE"""),"N/A")</f>
        <v>N/A</v>
      </c>
      <c r="X506" s="2" t="str">
        <f>IFERROR(__xludf.DUMMYFUNCTION("""COMPUTED_VALUE"""),"N/A")</f>
        <v>N/A</v>
      </c>
      <c r="Y506" s="2"/>
      <c r="Z506" s="2"/>
      <c r="AA506" s="2"/>
      <c r="AB506" s="2"/>
      <c r="AC506" s="2"/>
      <c r="AD506" s="2"/>
      <c r="AE506" s="2"/>
      <c r="AF506" s="2"/>
      <c r="AG506" s="2"/>
      <c r="AH506" s="2"/>
      <c r="AI506" s="2"/>
      <c r="AJ506" s="2" t="str">
        <f>IFERROR(__xludf.DUMMYFUNCTION("""COMPUTED_VALUE"""),"Poblacion")</f>
        <v>Poblacion</v>
      </c>
      <c r="AK506" s="2" t="str">
        <f>IFERROR(__xludf.DUMMYFUNCTION("""COMPUTED_VALUE"""),"Cavinti")</f>
        <v>Cavinti</v>
      </c>
      <c r="AL506" s="2" t="str">
        <f>IFERROR(__xludf.DUMMYFUNCTION("""COMPUTED_VALUE"""),"Laguna")</f>
        <v>Laguna</v>
      </c>
      <c r="AM506" s="2" t="str">
        <f>IFERROR(__xludf.DUMMYFUNCTION("""COMPUTED_VALUE"""),"4A")</f>
        <v>4A</v>
      </c>
      <c r="AN506" s="2" t="str">
        <f>IFERROR(__xludf.DUMMYFUNCTION("""COMPUTED_VALUE"""),"RCEF 23-08-20 Rebidding")</f>
        <v>RCEF 23-08-20 Rebidding</v>
      </c>
      <c r="AO506" s="2">
        <f>IFERROR(__xludf.DUMMYFUNCTION("""COMPUTED_VALUE"""),1.0)</f>
        <v>1</v>
      </c>
      <c r="AP506" s="2"/>
      <c r="AQ506" s="2"/>
      <c r="AR506" s="2"/>
      <c r="AS506" s="2"/>
      <c r="AT506" s="2"/>
      <c r="AU506" s="2"/>
      <c r="AV506" s="2"/>
      <c r="AW506" s="2"/>
      <c r="AX506" s="2"/>
      <c r="AY506" s="2"/>
      <c r="AZ506" s="2"/>
      <c r="BA506" s="2"/>
      <c r="BB506" s="2"/>
    </row>
    <row r="507">
      <c r="A507" s="2">
        <f>IFERROR(__xludf.DUMMYFUNCTION("""COMPUTED_VALUE"""),503.0)</f>
        <v>503</v>
      </c>
      <c r="B507" s="2" t="str">
        <f>IFERROR(__xludf.DUMMYFUNCTION("""COMPUTED_VALUE"""),"COMPLETED")</f>
        <v>COMPLETED</v>
      </c>
      <c r="C507" s="74">
        <f>IFERROR(__xludf.DUMMYFUNCTION("""COMPUTED_VALUE"""),45557.0)</f>
        <v>45557</v>
      </c>
      <c r="D507" s="71" t="str">
        <f>IFERROR(__xludf.DUMMYFUNCTION("""COMPUTED_VALUE"""),"ZANJERA BILIBIGAO FARMERS IRRIGATORS ASSOCIATION INC.")</f>
        <v>ZANJERA BILIBIGAO FARMERS IRRIGATORS ASSOCIATION INC.</v>
      </c>
      <c r="E507" s="71" t="str">
        <f>IFERROR(__xludf.DUMMYFUNCTION("""COMPUTED_VALUE"""),"Bilibigao, Claveria, CAGAYAN")</f>
        <v>Bilibigao, Claveria, CAGAYAN</v>
      </c>
      <c r="F507" s="2" t="str">
        <f>IFERROR(__xludf.DUMMYFUNCTION("""COMPUTED_VALUE"""),"Nixon A. Alipio")</f>
        <v>Nixon A. Alipio</v>
      </c>
      <c r="G507" s="2">
        <f>IFERROR(__xludf.DUMMYFUNCTION("""COMPUTED_VALUE"""),9.777372618E9)</f>
        <v>9777372618</v>
      </c>
      <c r="H507" s="2">
        <f>IFERROR(__xludf.DUMMYFUNCTION("""COMPUTED_VALUE"""),123.5)</f>
        <v>123.5</v>
      </c>
      <c r="I507" s="72"/>
      <c r="J507" s="72"/>
      <c r="K507" s="72" t="str">
        <f>IFERROR(__xludf.DUMMYFUNCTION("""COMPUTED_VALUE"""),"ERP/DRM: UPON CAMPAIGN: HIGH DIESEL CONSUMPTION")</f>
        <v>ERP/DRM: UPON CAMPAIGN: HIGH DIESEL CONSUMPTION</v>
      </c>
      <c r="L507" s="72" t="str">
        <f>IFERROR(__xludf.DUMMYFUNCTION("""COMPUTED_VALUE"""),"CLOSED")</f>
        <v>CLOSED</v>
      </c>
      <c r="M507" s="2"/>
      <c r="N507" s="2"/>
      <c r="O507" s="2" t="str">
        <f>IFERROR(__xludf.DUMMYFUNCTION("""COMPUTED_VALUE"""),"N/A")</f>
        <v>N/A</v>
      </c>
      <c r="P507" s="2"/>
      <c r="Q507" s="2"/>
      <c r="R507" s="74">
        <f>IFERROR(__xludf.DUMMYFUNCTION("""COMPUTED_VALUE"""),45605.0)</f>
        <v>45605</v>
      </c>
      <c r="S507" s="2" t="str">
        <f>IFERROR(__xludf.DUMMYFUNCTION("""COMPUTED_VALUE"""),"CFG/JVV")</f>
        <v>CFG/JVV</v>
      </c>
      <c r="T507" s="73" t="str">
        <f>IFERROR(__xludf.DUMMYFUNCTION("""COMPUTED_VALUE""")," N/A ")</f>
        <v>N/A</v>
      </c>
      <c r="U507" s="73" t="str">
        <f>IFERROR(__xludf.DUMMYFUNCTION("""COMPUTED_VALUE""")," NO CHARGE ")</f>
        <v>NO CHARGE</v>
      </c>
      <c r="V507" s="2"/>
      <c r="W507" s="2" t="str">
        <f>IFERROR(__xludf.DUMMYFUNCTION("""COMPUTED_VALUE"""),"N/A")</f>
        <v>N/A</v>
      </c>
      <c r="X507" s="2" t="str">
        <f>IFERROR(__xludf.DUMMYFUNCTION("""COMPUTED_VALUE"""),"N/A")</f>
        <v>N/A</v>
      </c>
      <c r="Y507" s="2"/>
      <c r="Z507" s="2"/>
      <c r="AA507" s="2"/>
      <c r="AB507" s="2"/>
      <c r="AC507" s="2"/>
      <c r="AD507" s="2"/>
      <c r="AE507" s="2"/>
      <c r="AF507" s="2"/>
      <c r="AG507" s="2"/>
      <c r="AH507" s="2"/>
      <c r="AI507" s="2"/>
      <c r="AJ507" s="2" t="str">
        <f>IFERROR(__xludf.DUMMYFUNCTION("""COMPUTED_VALUE"""),"Bilibigao")</f>
        <v>Bilibigao</v>
      </c>
      <c r="AK507" s="2" t="str">
        <f>IFERROR(__xludf.DUMMYFUNCTION("""COMPUTED_VALUE"""),"Claveria")</f>
        <v>Claveria</v>
      </c>
      <c r="AL507" s="2" t="str">
        <f>IFERROR(__xludf.DUMMYFUNCTION("""COMPUTED_VALUE"""),"Cagayan")</f>
        <v>Cagayan</v>
      </c>
      <c r="AM507" s="2">
        <f>IFERROR(__xludf.DUMMYFUNCTION("""COMPUTED_VALUE"""),2.0)</f>
        <v>2</v>
      </c>
      <c r="AN507" s="2" t="str">
        <f>IFERROR(__xludf.DUMMYFUNCTION("""COMPUTED_VALUE"""),"RCEF 23-09-21 Rebidding")</f>
        <v>RCEF 23-09-21 Rebidding</v>
      </c>
      <c r="AO507" s="2">
        <f>IFERROR(__xludf.DUMMYFUNCTION("""COMPUTED_VALUE"""),1.0)</f>
        <v>1</v>
      </c>
      <c r="AP507" s="2"/>
      <c r="AQ507" s="2"/>
      <c r="AR507" s="2"/>
      <c r="AS507" s="2"/>
      <c r="AT507" s="2"/>
      <c r="AU507" s="2"/>
      <c r="AV507" s="2"/>
      <c r="AW507" s="2"/>
      <c r="AX507" s="2"/>
      <c r="AY507" s="2"/>
      <c r="AZ507" s="2"/>
      <c r="BA507" s="2"/>
      <c r="BB507" s="2"/>
    </row>
    <row r="508">
      <c r="A508" s="2">
        <f>IFERROR(__xludf.DUMMYFUNCTION("""COMPUTED_VALUE"""),504.0)</f>
        <v>504</v>
      </c>
      <c r="B508" s="2" t="str">
        <f>IFERROR(__xludf.DUMMYFUNCTION("""COMPUTED_VALUE"""),"COMPLETED")</f>
        <v>COMPLETED</v>
      </c>
      <c r="C508" s="74">
        <f>IFERROR(__xludf.DUMMYFUNCTION("""COMPUTED_VALUE"""),45557.0)</f>
        <v>45557</v>
      </c>
      <c r="D508" s="71" t="str">
        <f>IFERROR(__xludf.DUMMYFUNCTION("""COMPUTED_VALUE"""),"SWISA VILA ROSARIO LA UNION INC.")</f>
        <v>SWISA VILA ROSARIO LA UNION INC.</v>
      </c>
      <c r="E508" s="71" t="str">
        <f>IFERROR(__xludf.DUMMYFUNCTION("""COMPUTED_VALUE"""),"Vila, Rosario, LA UNION")</f>
        <v>Vila, Rosario, LA UNION</v>
      </c>
      <c r="F508" s="2" t="str">
        <f>IFERROR(__xludf.DUMMYFUNCTION("""COMPUTED_VALUE"""),"Mario A. Paneda")</f>
        <v>Mario A. Paneda</v>
      </c>
      <c r="G508" s="2" t="str">
        <f>IFERROR(__xludf.DUMMYFUNCTION("""COMPUTED_VALUE"""),"0909-114-8840")</f>
        <v>0909-114-8840</v>
      </c>
      <c r="H508" s="2">
        <f>IFERROR(__xludf.DUMMYFUNCTION("""COMPUTED_VALUE"""),67.0)</f>
        <v>67</v>
      </c>
      <c r="I508" s="72" t="str">
        <f>IFERROR(__xludf.DUMMYFUNCTION("""COMPUTED_VALUE"""),"PMS")</f>
        <v>PMS</v>
      </c>
      <c r="J508" s="72" t="str">
        <f>IFERROR(__xludf.DUMMYFUNCTION("""COMPUTED_VALUE"""),"PMS")</f>
        <v>PMS</v>
      </c>
      <c r="K508" s="72" t="str">
        <f>IFERROR(__xludf.DUMMYFUNCTION("""COMPUTED_VALUE"""),"UPON TYM CAMPAIGN: SUBJECT FOR FIRST PMS")</f>
        <v>UPON TYM CAMPAIGN: SUBJECT FOR FIRST PMS</v>
      </c>
      <c r="L508" s="72" t="str">
        <f>IFERROR(__xludf.DUMMYFUNCTION("""COMPUTED_VALUE"""),"CLOSED")</f>
        <v>CLOSED</v>
      </c>
      <c r="M508" s="2"/>
      <c r="N508" s="2"/>
      <c r="O508" s="2" t="str">
        <f>IFERROR(__xludf.DUMMYFUNCTION("""COMPUTED_VALUE"""),"N/A")</f>
        <v>N/A</v>
      </c>
      <c r="P508" s="2"/>
      <c r="Q508" s="2"/>
      <c r="R508" s="74">
        <f>IFERROR(__xludf.DUMMYFUNCTION("""COMPUTED_VALUE"""),45613.0)</f>
        <v>45613</v>
      </c>
      <c r="S508" s="2" t="str">
        <f>IFERROR(__xludf.DUMMYFUNCTION("""COMPUTED_VALUE"""),"N/A")</f>
        <v>N/A</v>
      </c>
      <c r="T508" s="73" t="str">
        <f>IFERROR(__xludf.DUMMYFUNCTION("""COMPUTED_VALUE""")," N/A ")</f>
        <v>N/A</v>
      </c>
      <c r="U508" s="73" t="str">
        <f>IFERROR(__xludf.DUMMYFUNCTION("""COMPUTED_VALUE""")," NO CHARGE ")</f>
        <v>NO CHARGE</v>
      </c>
      <c r="V508" s="2"/>
      <c r="W508" s="2" t="str">
        <f>IFERROR(__xludf.DUMMYFUNCTION("""COMPUTED_VALUE"""),"N/A")</f>
        <v>N/A</v>
      </c>
      <c r="X508" s="2" t="str">
        <f>IFERROR(__xludf.DUMMYFUNCTION("""COMPUTED_VALUE"""),"N/A")</f>
        <v>N/A</v>
      </c>
      <c r="Y508" s="2"/>
      <c r="Z508" s="2"/>
      <c r="AA508" s="2"/>
      <c r="AB508" s="2"/>
      <c r="AC508" s="2"/>
      <c r="AD508" s="2"/>
      <c r="AE508" s="2"/>
      <c r="AF508" s="2"/>
      <c r="AG508" s="2"/>
      <c r="AH508" s="2"/>
      <c r="AI508" s="2"/>
      <c r="AJ508" s="2" t="str">
        <f>IFERROR(__xludf.DUMMYFUNCTION("""COMPUTED_VALUE"""),"Vila")</f>
        <v>Vila</v>
      </c>
      <c r="AK508" s="2" t="str">
        <f>IFERROR(__xludf.DUMMYFUNCTION("""COMPUTED_VALUE"""),"Rosario")</f>
        <v>Rosario</v>
      </c>
      <c r="AL508" s="2" t="str">
        <f>IFERROR(__xludf.DUMMYFUNCTION("""COMPUTED_VALUE"""),"La Union")</f>
        <v>La Union</v>
      </c>
      <c r="AM508" s="2">
        <f>IFERROR(__xludf.DUMMYFUNCTION("""COMPUTED_VALUE"""),1.0)</f>
        <v>1</v>
      </c>
      <c r="AN508" s="2" t="str">
        <f>IFERROR(__xludf.DUMMYFUNCTION("""COMPUTED_VALUE"""),"RCEF 23-09-21 Rebidding")</f>
        <v>RCEF 23-09-21 Rebidding</v>
      </c>
      <c r="AO508" s="2">
        <f>IFERROR(__xludf.DUMMYFUNCTION("""COMPUTED_VALUE"""),2.0)</f>
        <v>2</v>
      </c>
      <c r="AP508" s="2"/>
      <c r="AQ508" s="2"/>
      <c r="AR508" s="2"/>
      <c r="AS508" s="2"/>
      <c r="AT508" s="2"/>
      <c r="AU508" s="2"/>
      <c r="AV508" s="2"/>
      <c r="AW508" s="2"/>
      <c r="AX508" s="2"/>
      <c r="AY508" s="2"/>
      <c r="AZ508" s="2"/>
      <c r="BA508" s="2"/>
      <c r="BB508" s="2"/>
    </row>
    <row r="509">
      <c r="A509" s="2">
        <f>IFERROR(__xludf.DUMMYFUNCTION("""COMPUTED_VALUE"""),505.0)</f>
        <v>505</v>
      </c>
      <c r="B509" s="2" t="str">
        <f>IFERROR(__xludf.DUMMYFUNCTION("""COMPUTED_VALUE"""),"COMPLETED")</f>
        <v>COMPLETED</v>
      </c>
      <c r="C509" s="74">
        <f>IFERROR(__xludf.DUMMYFUNCTION("""COMPUTED_VALUE"""),45557.0)</f>
        <v>45557</v>
      </c>
      <c r="D509" s="71" t="str">
        <f>IFERROR(__xludf.DUMMYFUNCTION("""COMPUTED_VALUE"""),"CAURINGAN ASAN FARMERS IRRIGATORS' ASSOCIATION, INC.")</f>
        <v>CAURINGAN ASAN FARMERS IRRIGATORS' ASSOCIATION, INC.</v>
      </c>
      <c r="E509" s="71" t="str">
        <f>IFERROR(__xludf.DUMMYFUNCTION("""COMPUTED_VALUE"""),"Poblacion Central, Sison, PANGASINAN")</f>
        <v>Poblacion Central, Sison, PANGASINAN</v>
      </c>
      <c r="F509" s="2" t="str">
        <f>IFERROR(__xludf.DUMMYFUNCTION("""COMPUTED_VALUE"""),"Johnny N. Ellana")</f>
        <v>Johnny N. Ellana</v>
      </c>
      <c r="G509" s="2" t="str">
        <f>IFERROR(__xludf.DUMMYFUNCTION("""COMPUTED_VALUE"""),"0912-621-2047")</f>
        <v>0912-621-2047</v>
      </c>
      <c r="H509" s="2">
        <f>IFERROR(__xludf.DUMMYFUNCTION("""COMPUTED_VALUE"""),49.0)</f>
        <v>49</v>
      </c>
      <c r="I509" s="72" t="str">
        <f>IFERROR(__xludf.DUMMYFUNCTION("""COMPUTED_VALUE"""),"PMS")</f>
        <v>PMS</v>
      </c>
      <c r="J509" s="72" t="str">
        <f>IFERROR(__xludf.DUMMYFUNCTION("""COMPUTED_VALUE"""),"PMS")</f>
        <v>PMS</v>
      </c>
      <c r="K509" s="72" t="str">
        <f>IFERROR(__xludf.DUMMYFUNCTION("""COMPUTED_VALUE"""),"UPON TYM CAMPAIGN: SUBJECT FOR FIRST PMS")</f>
        <v>UPON TYM CAMPAIGN: SUBJECT FOR FIRST PMS</v>
      </c>
      <c r="L509" s="72" t="str">
        <f>IFERROR(__xludf.DUMMYFUNCTION("""COMPUTED_VALUE"""),"JDP: 1ST PMS DONE")</f>
        <v>JDP: 1ST PMS DONE</v>
      </c>
      <c r="M509" s="2"/>
      <c r="N509" s="2" t="str">
        <f>IFERROR(__xludf.DUMMYFUNCTION("""COMPUTED_VALUE"""),"PARTS: 5L ENGINE OIL, OIL FILTER")</f>
        <v>PARTS: 5L ENGINE OIL, OIL FILTER</v>
      </c>
      <c r="O509" s="2">
        <f>IFERROR(__xludf.DUMMYFUNCTION("""COMPUTED_VALUE"""),1371.0)</f>
        <v>1371</v>
      </c>
      <c r="P509" s="2"/>
      <c r="Q509" s="2"/>
      <c r="R509" s="74">
        <f>IFERROR(__xludf.DUMMYFUNCTION("""COMPUTED_VALUE"""),45614.0)</f>
        <v>45614</v>
      </c>
      <c r="S509" s="2" t="str">
        <f>IFERROR(__xludf.DUMMYFUNCTION("""COMPUTED_VALUE"""),"JDP/EGT")</f>
        <v>JDP/EGT</v>
      </c>
      <c r="T509" s="73">
        <f>IFERROR(__xludf.DUMMYFUNCTION("""COMPUTED_VALUE"""),3193.0)</f>
        <v>3193</v>
      </c>
      <c r="U509" s="73" t="str">
        <f>IFERROR(__xludf.DUMMYFUNCTION("""COMPUTED_VALUE""")," REMITTED ")</f>
        <v>REMITTED</v>
      </c>
      <c r="V509" s="2"/>
      <c r="W509" s="2">
        <f>IFERROR(__xludf.DUMMYFUNCTION("""COMPUTED_VALUE"""),1335.0)</f>
        <v>1335</v>
      </c>
      <c r="X509" s="2">
        <f>IFERROR(__xludf.DUMMYFUNCTION("""COMPUTED_VALUE"""),1265.0)</f>
        <v>1265</v>
      </c>
      <c r="Y509" s="2"/>
      <c r="Z509" s="2"/>
      <c r="AA509" s="2"/>
      <c r="AB509" s="2"/>
      <c r="AC509" s="2"/>
      <c r="AD509" s="2"/>
      <c r="AE509" s="2"/>
      <c r="AF509" s="2"/>
      <c r="AG509" s="2"/>
      <c r="AH509" s="2"/>
      <c r="AI509" s="2"/>
      <c r="AJ509" s="2" t="str">
        <f>IFERROR(__xludf.DUMMYFUNCTION("""COMPUTED_VALUE"""),"Poblacion Central")</f>
        <v>Poblacion Central</v>
      </c>
      <c r="AK509" s="2" t="str">
        <f>IFERROR(__xludf.DUMMYFUNCTION("""COMPUTED_VALUE"""),"Sison")</f>
        <v>Sison</v>
      </c>
      <c r="AL509" s="2" t="str">
        <f>IFERROR(__xludf.DUMMYFUNCTION("""COMPUTED_VALUE"""),"Pangasinan")</f>
        <v>Pangasinan</v>
      </c>
      <c r="AM509" s="2">
        <f>IFERROR(__xludf.DUMMYFUNCTION("""COMPUTED_VALUE"""),1.0)</f>
        <v>1</v>
      </c>
      <c r="AN509" s="2" t="str">
        <f>IFERROR(__xludf.DUMMYFUNCTION("""COMPUTED_VALUE"""),"RCEF 23-09-21 Rebidding")</f>
        <v>RCEF 23-09-21 Rebidding</v>
      </c>
      <c r="AO509" s="2">
        <f>IFERROR(__xludf.DUMMYFUNCTION("""COMPUTED_VALUE"""),2.0)</f>
        <v>2</v>
      </c>
      <c r="AP509" s="2"/>
      <c r="AQ509" s="2"/>
      <c r="AR509" s="2"/>
      <c r="AS509" s="2"/>
      <c r="AT509" s="2"/>
      <c r="AU509" s="2"/>
      <c r="AV509" s="2"/>
      <c r="AW509" s="2"/>
      <c r="AX509" s="2"/>
      <c r="AY509" s="2"/>
      <c r="AZ509" s="2"/>
      <c r="BA509" s="2"/>
      <c r="BB509" s="2"/>
    </row>
    <row r="510">
      <c r="A510" s="2">
        <f>IFERROR(__xludf.DUMMYFUNCTION("""COMPUTED_VALUE"""),506.0)</f>
        <v>506</v>
      </c>
      <c r="B510" s="2" t="str">
        <f>IFERROR(__xludf.DUMMYFUNCTION("""COMPUTED_VALUE"""),"COMPLETED")</f>
        <v>COMPLETED</v>
      </c>
      <c r="C510" s="74">
        <f>IFERROR(__xludf.DUMMYFUNCTION("""COMPUTED_VALUE"""),45557.0)</f>
        <v>45557</v>
      </c>
      <c r="D510" s="71" t="str">
        <f>IFERROR(__xludf.DUMMYFUNCTION("""COMPUTED_VALUE"""),"ALOLA SAN JOSE ROQUE IRRIGATORS ASSOCIATION INC.")</f>
        <v>ALOLA SAN JOSE ROQUE IRRIGATORS ASSOCIATION INC.</v>
      </c>
      <c r="E510" s="71" t="str">
        <f>IFERROR(__xludf.DUMMYFUNCTION("""COMPUTED_VALUE"""),"San Jose, San Nicolas, PANGASINAN")</f>
        <v>San Jose, San Nicolas, PANGASINAN</v>
      </c>
      <c r="F510" s="2" t="str">
        <f>IFERROR(__xludf.DUMMYFUNCTION("""COMPUTED_VALUE"""),"Gregorio L. Belmoro")</f>
        <v>Gregorio L. Belmoro</v>
      </c>
      <c r="G510" s="2" t="str">
        <f>IFERROR(__xludf.DUMMYFUNCTION("""COMPUTED_VALUE"""),"0999-332-5063")</f>
        <v>0999-332-5063</v>
      </c>
      <c r="H510" s="2">
        <f>IFERROR(__xludf.DUMMYFUNCTION("""COMPUTED_VALUE"""),426.0)</f>
        <v>426</v>
      </c>
      <c r="I510" s="72" t="str">
        <f>IFERROR(__xludf.DUMMYFUNCTION("""COMPUTED_VALUE"""),"REPAIR - TRACTOR")</f>
        <v>REPAIR - TRACTOR</v>
      </c>
      <c r="J510" s="72" t="str">
        <f>IFERROR(__xludf.DUMMYFUNCTION("""COMPUTED_VALUE"""),"CHECK UP/ REPAIR")</f>
        <v>CHECK UP/ REPAIR</v>
      </c>
      <c r="K510" s="72" t="str">
        <f>IFERROR(__xludf.DUMMYFUNCTION("""COMPUTED_VALUE"""),"UPON CAMPAIGN: 42L PER HECTAR DIESEL CONSUMPTION VERY HIGH, OIL SEAL PROBLEM ON THE FRONT LEFT SIDE OF THE TRACTOR
PARTS: FRONT AXLE OIL SEAL
JDP: PAHINTO HINTO ANG AUTOMATIC NG PTO SWITCH")</f>
        <v>UPON CAMPAIGN: 42L PER HECTAR DIESEL CONSUMPTION VERY HIGH, OIL SEAL PROBLEM ON THE FRONT LEFT SIDE OF THE TRACTOR
PARTS: FRONT AXLE OIL SEAL
JDP: PAHINTO HINTO ANG AUTOMATIC NG PTO SWITCH</v>
      </c>
      <c r="L510" s="72" t="str">
        <f>IFERROR(__xludf.DUMMYFUNCTION("""COMPUTED_VALUE"""),"JDP: TROUBLE SHOOT AND ADJUST OF LIFT ARM SENSOR
REMARKS: SILA NA ANG NAGPALIT NG OILSEAL
CANCELLED PARTS")</f>
        <v>JDP: TROUBLE SHOOT AND ADJUST OF LIFT ARM SENSOR
REMARKS: SILA NA ANG NAGPALIT NG OILSEAL
CANCELLED PARTS</v>
      </c>
      <c r="M510" s="2"/>
      <c r="N510" s="2"/>
      <c r="O510" s="2">
        <f>IFERROR(__xludf.DUMMYFUNCTION("""COMPUTED_VALUE"""),1372.0)</f>
        <v>1372</v>
      </c>
      <c r="P510" s="2" t="str">
        <f>IFERROR(__xludf.DUMMYFUNCTION("""COMPUTED_VALUE"""),"ALOLA SAN JOSE ROQUE IRRIGATORS ASSOCIATION INC..pdf")</f>
        <v>ALOLA SAN JOSE ROQUE IRRIGATORS ASSOCIATION INC..pdf</v>
      </c>
      <c r="Q510" s="2"/>
      <c r="R510" s="74">
        <f>IFERROR(__xludf.DUMMYFUNCTION("""COMPUTED_VALUE"""),45614.0)</f>
        <v>45614</v>
      </c>
      <c r="S510" s="2" t="str">
        <f>IFERROR(__xludf.DUMMYFUNCTION("""COMPUTED_VALUE"""),"JDP/EGT")</f>
        <v>JDP/EGT</v>
      </c>
      <c r="T510" s="73" t="str">
        <f>IFERROR(__xludf.DUMMYFUNCTION("""COMPUTED_VALUE""")," N/A ")</f>
        <v>N/A</v>
      </c>
      <c r="U510" s="73" t="str">
        <f>IFERROR(__xludf.DUMMYFUNCTION("""COMPUTED_VALUE""")," NO CHARGE ")</f>
        <v>NO CHARGE</v>
      </c>
      <c r="V510" s="2"/>
      <c r="W510" s="2" t="str">
        <f>IFERROR(__xludf.DUMMYFUNCTION("""COMPUTED_VALUE"""),"N/A")</f>
        <v>N/A</v>
      </c>
      <c r="X510" s="2" t="str">
        <f>IFERROR(__xludf.DUMMYFUNCTION("""COMPUTED_VALUE"""),"N/A")</f>
        <v>N/A</v>
      </c>
      <c r="Y510" s="2"/>
      <c r="Z510" s="2"/>
      <c r="AA510" s="2"/>
      <c r="AB510" s="2"/>
      <c r="AC510" s="2"/>
      <c r="AD510" s="2"/>
      <c r="AE510" s="2"/>
      <c r="AF510" s="2"/>
      <c r="AG510" s="2"/>
      <c r="AH510" s="2"/>
      <c r="AI510" s="2"/>
      <c r="AJ510" s="2" t="str">
        <f>IFERROR(__xludf.DUMMYFUNCTION("""COMPUTED_VALUE"""),"San Jose")</f>
        <v>San Jose</v>
      </c>
      <c r="AK510" s="2" t="str">
        <f>IFERROR(__xludf.DUMMYFUNCTION("""COMPUTED_VALUE"""),"San Nicolas")</f>
        <v>San Nicolas</v>
      </c>
      <c r="AL510" s="2" t="str">
        <f>IFERROR(__xludf.DUMMYFUNCTION("""COMPUTED_VALUE"""),"Pangasinan")</f>
        <v>Pangasinan</v>
      </c>
      <c r="AM510" s="2">
        <f>IFERROR(__xludf.DUMMYFUNCTION("""COMPUTED_VALUE"""),1.0)</f>
        <v>1</v>
      </c>
      <c r="AN510" s="2" t="str">
        <f>IFERROR(__xludf.DUMMYFUNCTION("""COMPUTED_VALUE"""),"RCEF 23-09-21 Rebidding")</f>
        <v>RCEF 23-09-21 Rebidding</v>
      </c>
      <c r="AO510" s="2">
        <f>IFERROR(__xludf.DUMMYFUNCTION("""COMPUTED_VALUE"""),2.0)</f>
        <v>2</v>
      </c>
      <c r="AP510" s="2"/>
      <c r="AQ510" s="2"/>
      <c r="AR510" s="2"/>
      <c r="AS510" s="2"/>
      <c r="AT510" s="2"/>
      <c r="AU510" s="2"/>
      <c r="AV510" s="2"/>
      <c r="AW510" s="2"/>
      <c r="AX510" s="2"/>
      <c r="AY510" s="2"/>
      <c r="AZ510" s="2"/>
      <c r="BA510" s="2"/>
      <c r="BB510" s="2"/>
    </row>
    <row r="511">
      <c r="A511" s="2">
        <f>IFERROR(__xludf.DUMMYFUNCTION("""COMPUTED_VALUE"""),507.0)</f>
        <v>507</v>
      </c>
      <c r="B511" s="2" t="str">
        <f>IFERROR(__xludf.DUMMYFUNCTION("""COMPUTED_VALUE"""),"COMPLETED")</f>
        <v>COMPLETED</v>
      </c>
      <c r="C511" s="74">
        <f>IFERROR(__xludf.DUMMYFUNCTION("""COMPUTED_VALUE"""),45557.0)</f>
        <v>45557</v>
      </c>
      <c r="D511" s="71" t="str">
        <f>IFERROR(__xludf.DUMMYFUNCTION("""COMPUTED_VALUE"""),"SAMAHAN NG MAGSASAKA NG BARANGAY NANGUMA (SAMABANA)")</f>
        <v>SAMAHAN NG MAGSASAKA NG BARANGAY NANGUMA (SAMABANA)</v>
      </c>
      <c r="E511" s="71" t="str">
        <f>IFERROR(__xludf.DUMMYFUNCTION("""COMPUTED_VALUE"""),"Nanguma, Mabitac, Laguna")</f>
        <v>Nanguma, Mabitac, Laguna</v>
      </c>
      <c r="F511" s="2" t="str">
        <f>IFERROR(__xludf.DUMMYFUNCTION("""COMPUTED_VALUE"""),"LORETO D. PEREZ")</f>
        <v>LORETO D. PEREZ</v>
      </c>
      <c r="G511" s="2" t="str">
        <f>IFERROR(__xludf.DUMMYFUNCTION("""COMPUTED_VALUE"""),"0927-910-0483")</f>
        <v>0927-910-0483</v>
      </c>
      <c r="H511" s="2">
        <f>IFERROR(__xludf.DUMMYFUNCTION("""COMPUTED_VALUE"""),222.0)</f>
        <v>222</v>
      </c>
      <c r="I511" s="72" t="str">
        <f>IFERROR(__xludf.DUMMYFUNCTION("""COMPUTED_VALUE"""),"REPAIR - TRACTOR")</f>
        <v>REPAIR - TRACTOR</v>
      </c>
      <c r="J511" s="72" t="str">
        <f>IFERROR(__xludf.DUMMYFUNCTION("""COMPUTED_VALUE"""),"GPS")</f>
        <v>GPS</v>
      </c>
      <c r="K511" s="72" t="str">
        <f>IFERROR(__xludf.DUMMYFUNCTION("""COMPUTED_VALUE"""),"CCB: UPON CAMPAIGN: GPS NOT ACTIVATED
CCB: 9/25/24: KAYLANGAN PALITAN NG GPS, NI RESTART KO NA AT TANGAL GANUN PADIN.")</f>
        <v>CCB: UPON CAMPAIGN: GPS NOT ACTIVATED
CCB: 9/25/24: KAYLANGAN PALITAN NG GPS, NI RESTART KO NA AT TANGAL GANUN PADIN.</v>
      </c>
      <c r="L511" s="72"/>
      <c r="M511" s="2"/>
      <c r="N511" s="2"/>
      <c r="O511" s="2" t="str">
        <f>IFERROR(__xludf.DUMMYFUNCTION("""COMPUTED_VALUE"""),"N/A")</f>
        <v>N/A</v>
      </c>
      <c r="P511" s="2"/>
      <c r="Q511" s="2"/>
      <c r="R511" s="74">
        <f>IFERROR(__xludf.DUMMYFUNCTION("""COMPUTED_VALUE"""),45620.0)</f>
        <v>45620</v>
      </c>
      <c r="S511" s="2"/>
      <c r="T511" s="73" t="str">
        <f>IFERROR(__xludf.DUMMYFUNCTION("""COMPUTED_VALUE""")," N/A ")</f>
        <v>N/A</v>
      </c>
      <c r="U511" s="73" t="str">
        <f>IFERROR(__xludf.DUMMYFUNCTION("""COMPUTED_VALUE""")," NO CHARGE ")</f>
        <v>NO CHARGE</v>
      </c>
      <c r="V511" s="2"/>
      <c r="W511" s="2" t="str">
        <f>IFERROR(__xludf.DUMMYFUNCTION("""COMPUTED_VALUE"""),"N/A")</f>
        <v>N/A</v>
      </c>
      <c r="X511" s="2" t="str">
        <f>IFERROR(__xludf.DUMMYFUNCTION("""COMPUTED_VALUE"""),"N/A")</f>
        <v>N/A</v>
      </c>
      <c r="Y511" s="2"/>
      <c r="Z511" s="2"/>
      <c r="AA511" s="2"/>
      <c r="AB511" s="2"/>
      <c r="AC511" s="2"/>
      <c r="AD511" s="2"/>
      <c r="AE511" s="2"/>
      <c r="AF511" s="2"/>
      <c r="AG511" s="2"/>
      <c r="AH511" s="2"/>
      <c r="AI511" s="2"/>
      <c r="AJ511" s="2" t="str">
        <f>IFERROR(__xludf.DUMMYFUNCTION("""COMPUTED_VALUE"""),"Nanguma")</f>
        <v>Nanguma</v>
      </c>
      <c r="AK511" s="2" t="str">
        <f>IFERROR(__xludf.DUMMYFUNCTION("""COMPUTED_VALUE"""),"Mabitac")</f>
        <v>Mabitac</v>
      </c>
      <c r="AL511" s="2" t="str">
        <f>IFERROR(__xludf.DUMMYFUNCTION("""COMPUTED_VALUE"""),"Laguna")</f>
        <v>Laguna</v>
      </c>
      <c r="AM511" s="2" t="str">
        <f>IFERROR(__xludf.DUMMYFUNCTION("""COMPUTED_VALUE"""),"4A")</f>
        <v>4A</v>
      </c>
      <c r="AN511" s="2" t="str">
        <f>IFERROR(__xludf.DUMMYFUNCTION("""COMPUTED_VALUE"""),"RCEF 23-08-20 Rebidding")</f>
        <v>RCEF 23-08-20 Rebidding</v>
      </c>
      <c r="AO511" s="2">
        <f>IFERROR(__xludf.DUMMYFUNCTION("""COMPUTED_VALUE"""),1.0)</f>
        <v>1</v>
      </c>
      <c r="AP511" s="2"/>
      <c r="AQ511" s="2"/>
      <c r="AR511" s="2"/>
      <c r="AS511" s="2"/>
      <c r="AT511" s="2"/>
      <c r="AU511" s="2"/>
      <c r="AV511" s="2"/>
      <c r="AW511" s="2"/>
      <c r="AX511" s="2"/>
      <c r="AY511" s="2"/>
      <c r="AZ511" s="2"/>
      <c r="BA511" s="2"/>
      <c r="BB511" s="2"/>
    </row>
    <row r="512">
      <c r="A512" s="2">
        <f>IFERROR(__xludf.DUMMYFUNCTION("""COMPUTED_VALUE"""),508.0)</f>
        <v>508</v>
      </c>
      <c r="B512" s="2" t="str">
        <f>IFERROR(__xludf.DUMMYFUNCTION("""COMPUTED_VALUE"""),"COMPLETED")</f>
        <v>COMPLETED</v>
      </c>
      <c r="C512" s="74">
        <f>IFERROR(__xludf.DUMMYFUNCTION("""COMPUTED_VALUE"""),45557.0)</f>
        <v>45557</v>
      </c>
      <c r="D512" s="71" t="str">
        <f>IFERROR(__xludf.DUMMYFUNCTION("""COMPUTED_VALUE"""),"SAMAHANG MAGPAPATUBIG NG DAMBO-ASUFRE PANGIL, LAGUNA INC.")</f>
        <v>SAMAHANG MAGPAPATUBIG NG DAMBO-ASUFRE PANGIL, LAGUNA INC.</v>
      </c>
      <c r="E512" s="71" t="str">
        <f>IFERROR(__xludf.DUMMYFUNCTION("""COMPUTED_VALUE"""),"Dambo, Pangil, Laguna")</f>
        <v>Dambo, Pangil, Laguna</v>
      </c>
      <c r="F512" s="2" t="str">
        <f>IFERROR(__xludf.DUMMYFUNCTION("""COMPUTED_VALUE"""),"Jonathan B. De Guia")</f>
        <v>Jonathan B. De Guia</v>
      </c>
      <c r="G512" s="2" t="str">
        <f>IFERROR(__xludf.DUMMYFUNCTION("""COMPUTED_VALUE"""),"0935-519-1312")</f>
        <v>0935-519-1312</v>
      </c>
      <c r="H512" s="2">
        <f>IFERROR(__xludf.DUMMYFUNCTION("""COMPUTED_VALUE"""),136.0)</f>
        <v>136</v>
      </c>
      <c r="I512" s="72" t="str">
        <f>IFERROR(__xludf.DUMMYFUNCTION("""COMPUTED_VALUE"""),"REPAIR - TRACTOR")</f>
        <v>REPAIR - TRACTOR</v>
      </c>
      <c r="J512" s="72" t="str">
        <f>IFERROR(__xludf.DUMMYFUNCTION("""COMPUTED_VALUE"""),"GPS")</f>
        <v>GPS</v>
      </c>
      <c r="K512" s="72" t="str">
        <f>IFERROR(__xludf.DUMMYFUNCTION("""COMPUTED_VALUE"""),"CCB: UPON CAMPAIGN: GPS NOT ACTIVATED
CCB: 9/25/24: KAYLANGAN PALITAN NG GPS, NI RESTART KO NA AT TANGAL GANUN PADIN.")</f>
        <v>CCB: UPON CAMPAIGN: GPS NOT ACTIVATED
CCB: 9/25/24: KAYLANGAN PALITAN NG GPS, NI RESTART KO NA AT TANGAL GANUN PADIN.</v>
      </c>
      <c r="L512" s="72" t="str">
        <f>IFERROR(__xludf.DUMMYFUNCTION("""COMPUTED_VALUE"""),"JTT: 2/11/25: MERON NA YUN DATI")</f>
        <v>JTT: 2/11/25: MERON NA YUN DATI</v>
      </c>
      <c r="M512" s="2"/>
      <c r="N512" s="2"/>
      <c r="O512" s="2" t="str">
        <f>IFERROR(__xludf.DUMMYFUNCTION("""COMPUTED_VALUE"""),"N/A")</f>
        <v>N/A</v>
      </c>
      <c r="P512" s="2"/>
      <c r="Q512" s="2"/>
      <c r="R512" s="74">
        <f>IFERROR(__xludf.DUMMYFUNCTION("""COMPUTED_VALUE"""),45620.0)</f>
        <v>45620</v>
      </c>
      <c r="S512" s="2"/>
      <c r="T512" s="73" t="str">
        <f>IFERROR(__xludf.DUMMYFUNCTION("""COMPUTED_VALUE""")," N/A ")</f>
        <v>N/A</v>
      </c>
      <c r="U512" s="73" t="str">
        <f>IFERROR(__xludf.DUMMYFUNCTION("""COMPUTED_VALUE""")," NO CHARGE ")</f>
        <v>NO CHARGE</v>
      </c>
      <c r="V512" s="2"/>
      <c r="W512" s="2" t="str">
        <f>IFERROR(__xludf.DUMMYFUNCTION("""COMPUTED_VALUE"""),"N/A")</f>
        <v>N/A</v>
      </c>
      <c r="X512" s="2" t="str">
        <f>IFERROR(__xludf.DUMMYFUNCTION("""COMPUTED_VALUE"""),"N/A")</f>
        <v>N/A</v>
      </c>
      <c r="Y512" s="2"/>
      <c r="Z512" s="2"/>
      <c r="AA512" s="2"/>
      <c r="AB512" s="2"/>
      <c r="AC512" s="2"/>
      <c r="AD512" s="2"/>
      <c r="AE512" s="2"/>
      <c r="AF512" s="2"/>
      <c r="AG512" s="2"/>
      <c r="AH512" s="2"/>
      <c r="AI512" s="2"/>
      <c r="AJ512" s="2" t="str">
        <f>IFERROR(__xludf.DUMMYFUNCTION("""COMPUTED_VALUE"""),"Dambo")</f>
        <v>Dambo</v>
      </c>
      <c r="AK512" s="2" t="str">
        <f>IFERROR(__xludf.DUMMYFUNCTION("""COMPUTED_VALUE"""),"Pangil")</f>
        <v>Pangil</v>
      </c>
      <c r="AL512" s="2" t="str">
        <f>IFERROR(__xludf.DUMMYFUNCTION("""COMPUTED_VALUE"""),"Laguna")</f>
        <v>Laguna</v>
      </c>
      <c r="AM512" s="2" t="str">
        <f>IFERROR(__xludf.DUMMYFUNCTION("""COMPUTED_VALUE"""),"4A")</f>
        <v>4A</v>
      </c>
      <c r="AN512" s="2" t="str">
        <f>IFERROR(__xludf.DUMMYFUNCTION("""COMPUTED_VALUE"""),"RCEF 23-08-20 Rebidding")</f>
        <v>RCEF 23-08-20 Rebidding</v>
      </c>
      <c r="AO512" s="2">
        <f>IFERROR(__xludf.DUMMYFUNCTION("""COMPUTED_VALUE"""),1.0)</f>
        <v>1</v>
      </c>
      <c r="AP512" s="2"/>
      <c r="AQ512" s="2"/>
      <c r="AR512" s="2"/>
      <c r="AS512" s="2"/>
      <c r="AT512" s="2"/>
      <c r="AU512" s="2"/>
      <c r="AV512" s="2"/>
      <c r="AW512" s="2"/>
      <c r="AX512" s="2"/>
      <c r="AY512" s="2"/>
      <c r="AZ512" s="2"/>
      <c r="BA512" s="2"/>
      <c r="BB512" s="2"/>
    </row>
    <row r="513">
      <c r="A513" s="2">
        <f>IFERROR(__xludf.DUMMYFUNCTION("""COMPUTED_VALUE"""),509.0)</f>
        <v>509</v>
      </c>
      <c r="B513" s="2" t="str">
        <f>IFERROR(__xludf.DUMMYFUNCTION("""COMPUTED_VALUE"""),"COMPLETED")</f>
        <v>COMPLETED</v>
      </c>
      <c r="C513" s="74">
        <f>IFERROR(__xludf.DUMMYFUNCTION("""COMPUTED_VALUE"""),45557.0)</f>
        <v>45557</v>
      </c>
      <c r="D513" s="71" t="str">
        <f>IFERROR(__xludf.DUMMYFUNCTION("""COMPUTED_VALUE"""),"ZANJERA DAGOC-STO. TOMAS FARMERS ASSOCIATION, INC.")</f>
        <v>ZANJERA DAGOC-STO. TOMAS FARMERS ASSOCIATION, INC.</v>
      </c>
      <c r="E513" s="71" t="str">
        <f>IFERROR(__xludf.DUMMYFUNCTION("""COMPUTED_VALUE"""),"Santo Tomas, Claveria, CAGAYAN")</f>
        <v>Santo Tomas, Claveria, CAGAYAN</v>
      </c>
      <c r="F513" s="2" t="str">
        <f>IFERROR(__xludf.DUMMYFUNCTION("""COMPUTED_VALUE"""),"Roderick A. Agustin")</f>
        <v>Roderick A. Agustin</v>
      </c>
      <c r="G513" s="2">
        <f>IFERROR(__xludf.DUMMYFUNCTION("""COMPUTED_VALUE"""),9.232710227E9)</f>
        <v>9232710227</v>
      </c>
      <c r="H513" s="2">
        <f>IFERROR(__xludf.DUMMYFUNCTION("""COMPUTED_VALUE"""),168.6)</f>
        <v>168.6</v>
      </c>
      <c r="I513" s="72" t="str">
        <f>IFERROR(__xludf.DUMMYFUNCTION("""COMPUTED_VALUE"""),"REPAIR - TRACTOR")</f>
        <v>REPAIR - TRACTOR</v>
      </c>
      <c r="J513" s="72" t="str">
        <f>IFERROR(__xludf.DUMMYFUNCTION("""COMPUTED_VALUE"""),"PST/PTO VALVE")</f>
        <v>PST/PTO VALVE</v>
      </c>
      <c r="K513" s="72" t="str">
        <f>IFERROR(__xludf.DUMMYFUNCTION("""COMPUTED_VALUE"""),"ERP/DRM: UPON CAMPAIGN: PTO SWITCH NOT WORKING
JVV:11/9/24:Hindi po nagawa ang unit dahil hindi po sa PTO Swtich ang sira, pinalitan napo namin siya ng bagong PTO Switch nag adjust naden po kami sa PTO Valve at Sensor chineck den po namin mga wirings niy"&amp;"a pero ganon paren po ayaw gumana ng automatic niya pag sa individual naman po gagana siya pero pag inoff napo ulit ayaw nanaman umikot matagal bago nanaman siya umikot
Kaya ang posibleng sira po nito ay yung sa Solenoid niya po sa PTO Valve
PARTS: SOLIN"&amp;"OID PTO VALVE
JDP: 1/10/25: after po namin mapalitan ng PTO CLUTCH PACK at mapalitan ng hydraulic oil upon testing po ng unit bumigay yung PST VALVE ASSY
KFS: PST VALVE ASSY FOR WARRANTY
")</f>
        <v>ERP/DRM: UPON CAMPAIGN: PTO SWITCH NOT WORKING
JVV:11/9/24:Hindi po nagawa ang unit dahil hindi po sa PTO Swtich ang sira, pinalitan napo namin siya ng bagong PTO Switch nag adjust naden po kami sa PTO Valve at Sensor chineck den po namin mga wirings niya pero ganon paren po ayaw gumana ng automatic niya pag sa individual naman po gagana siya pero pag inoff napo ulit ayaw nanaman umikot matagal bago nanaman siya umikot
Kaya ang posibleng sira po nito ay yung sa Solenoid niya po sa PTO Valve
PARTS: SOLINOID PTO VALVE
JDP: 1/10/25: after po namin mapalitan ng PTO CLUTCH PACK at mapalitan ng hydraulic oil upon testing po ng unit bumigay yung PST VALVE ASSY
KFS: PST VALVE ASSY FOR WARRANTY
</v>
      </c>
      <c r="L513" s="72" t="str">
        <f>IFERROR(__xludf.DUMMYFUNCTION("""COMPUTED_VALUE"""),"1153: 1160:JVV: REPLACED DAMAGED PTO SWITCH
HINDI SININGIL
1160:JVV: INSTALLED NE SOLENOID PTO VALVE
CFG: 5/24/25: 1181: Oky na po unit nila pinalitan ko po yong PTO valve and PST valve nag Testing na din po kami ng isang oras oky na po units nila")</f>
        <v>1153: 1160:JVV: REPLACED DAMAGED PTO SWITCH
HINDI SININGIL
1160:JVV: INSTALLED NE SOLENOID PTO VALVE
CFG: 5/24/25: 1181: Oky na po unit nila pinalitan ko po yong PTO valve and PST valve nag Testing na din po kami ng isang oras oky na po units nila</v>
      </c>
      <c r="M513" s="2"/>
      <c r="N513" s="2" t="str">
        <f>IFERROR(__xludf.DUMMYFUNCTION("""COMPUTED_VALUE"""),"PARTS: PTO SWITCH
PARTS:
SOLENOID PTO VALVE
1 pc PTO valve NTA 205000
1 pc PST valve -NT 3301000D3")</f>
        <v>PARTS: PTO SWITCH
PARTS:
SOLENOID PTO VALVE
1 pc PTO valve NTA 205000
1 pc PST valve -NT 3301000D3</v>
      </c>
      <c r="O513" s="2">
        <f>IFERROR(__xludf.DUMMYFUNCTION("""COMPUTED_VALUE"""),1181.0)</f>
        <v>1181</v>
      </c>
      <c r="P513" s="2"/>
      <c r="Q513" s="2"/>
      <c r="R513" s="74">
        <f>IFERROR(__xludf.DUMMYFUNCTION("""COMPUTED_VALUE"""),45801.0)</f>
        <v>45801</v>
      </c>
      <c r="S513" s="2" t="str">
        <f>IFERROR(__xludf.DUMMYFUNCTION("""COMPUTED_VALUE"""),"CFG/JVV")</f>
        <v>CFG/JVV</v>
      </c>
      <c r="T513" s="73">
        <f>IFERROR(__xludf.DUMMYFUNCTION("""COMPUTED_VALUE"""),16000.0)</f>
        <v>16000</v>
      </c>
      <c r="U513" s="73" t="str">
        <f>IFERROR(__xludf.DUMMYFUNCTION("""COMPUTED_VALUE""")," FOR REMIT ")</f>
        <v>FOR REMIT</v>
      </c>
      <c r="V513" s="2"/>
      <c r="W513" s="2">
        <f>IFERROR(__xludf.DUMMYFUNCTION("""COMPUTED_VALUE"""),1290.0)</f>
        <v>1290</v>
      </c>
      <c r="X513" s="2"/>
      <c r="Y513" s="2"/>
      <c r="Z513" s="2"/>
      <c r="AA513" s="2"/>
      <c r="AB513" s="2"/>
      <c r="AC513" s="2"/>
      <c r="AD513" s="2"/>
      <c r="AE513" s="2"/>
      <c r="AF513" s="2"/>
      <c r="AG513" s="2"/>
      <c r="AH513" s="2"/>
      <c r="AI513" s="2"/>
      <c r="AJ513" s="2" t="str">
        <f>IFERROR(__xludf.DUMMYFUNCTION("""COMPUTED_VALUE"""),"Santo Tomas")</f>
        <v>Santo Tomas</v>
      </c>
      <c r="AK513" s="2" t="str">
        <f>IFERROR(__xludf.DUMMYFUNCTION("""COMPUTED_VALUE"""),"Claveria")</f>
        <v>Claveria</v>
      </c>
      <c r="AL513" s="2" t="str">
        <f>IFERROR(__xludf.DUMMYFUNCTION("""COMPUTED_VALUE"""),"Cagayan")</f>
        <v>Cagayan</v>
      </c>
      <c r="AM513" s="2">
        <f>IFERROR(__xludf.DUMMYFUNCTION("""COMPUTED_VALUE"""),2.0)</f>
        <v>2</v>
      </c>
      <c r="AN513" s="2" t="str">
        <f>IFERROR(__xludf.DUMMYFUNCTION("""COMPUTED_VALUE"""),"RCEF 23-09-21 Rebidding")</f>
        <v>RCEF 23-09-21 Rebidding</v>
      </c>
      <c r="AO513" s="2">
        <f>IFERROR(__xludf.DUMMYFUNCTION("""COMPUTED_VALUE"""),9.0)</f>
        <v>9</v>
      </c>
      <c r="AP513" s="2"/>
      <c r="AQ513" s="2"/>
      <c r="AR513" s="2"/>
      <c r="AS513" s="2"/>
      <c r="AT513" s="2"/>
      <c r="AU513" s="2"/>
      <c r="AV513" s="2"/>
      <c r="AW513" s="2"/>
      <c r="AX513" s="2"/>
      <c r="AY513" s="2"/>
      <c r="AZ513" s="2"/>
      <c r="BA513" s="2"/>
      <c r="BB513" s="2"/>
    </row>
    <row r="514">
      <c r="A514" s="2">
        <f>IFERROR(__xludf.DUMMYFUNCTION("""COMPUTED_VALUE"""),510.0)</f>
        <v>510</v>
      </c>
      <c r="B514" s="2" t="str">
        <f>IFERROR(__xludf.DUMMYFUNCTION("""COMPUTED_VALUE"""),"COMPLETED")</f>
        <v>COMPLETED</v>
      </c>
      <c r="C514" s="74">
        <f>IFERROR(__xludf.DUMMYFUNCTION("""COMPUTED_VALUE"""),45557.0)</f>
        <v>45557</v>
      </c>
      <c r="D514" s="71" t="str">
        <f>IFERROR(__xludf.DUMMYFUNCTION("""COMPUTED_VALUE"""),"PINUPUK SMALL WATER IRRIGATION SYSTEM ASSOCIATION INC.")</f>
        <v>PINUPUK SMALL WATER IRRIGATION SYSTEM ASSOCIATION INC.</v>
      </c>
      <c r="E514" s="71" t="str">
        <f>IFERROR(__xludf.DUMMYFUNCTION("""COMPUTED_VALUE"""),"Santiago, Iguig, CAGAYAN")</f>
        <v>Santiago, Iguig, CAGAYAN</v>
      </c>
      <c r="F514" s="2" t="str">
        <f>IFERROR(__xludf.DUMMYFUNCTION("""COMPUTED_VALUE"""),"Maylene R.Najorra")</f>
        <v>Maylene R.Najorra</v>
      </c>
      <c r="G514" s="2">
        <f>IFERROR(__xludf.DUMMYFUNCTION("""COMPUTED_VALUE"""),9.169272276E9)</f>
        <v>9169272276</v>
      </c>
      <c r="H514" s="2">
        <f>IFERROR(__xludf.DUMMYFUNCTION("""COMPUTED_VALUE"""),109.0)</f>
        <v>109</v>
      </c>
      <c r="I514" s="72" t="str">
        <f>IFERROR(__xludf.DUMMYFUNCTION("""COMPUTED_VALUE"""),"REPAIR - TRACTOR")</f>
        <v>REPAIR - TRACTOR</v>
      </c>
      <c r="J514" s="72" t="str">
        <f>IFERROR(__xludf.DUMMYFUNCTION("""COMPUTED_VALUE"""),"Interior Wheel")</f>
        <v>Interior Wheel</v>
      </c>
      <c r="K514" s="72" t="str">
        <f>IFERROR(__xludf.DUMMYFUNCTION("""COMPUTED_VALUE"""),"ERP/DRM: UPON CAMPAIGN:ORDER LOCK PIN 3PT HITCH, INTERIOR REAR WHEEL
JVV: 10/24/24: FOLLOW UP REAR WHEEL INTERIOR
")</f>
        <v>ERP/DRM: UPON CAMPAIGN:ORDER LOCK PIN 3PT HITCH, INTERIOR REAR WHEEL
JVV: 10/24/24: FOLLOW UP REAR WHEEL INTERIOR
</v>
      </c>
      <c r="L514" s="72" t="str">
        <f>IFERROR(__xludf.DUMMYFUNCTION("""COMPUTED_VALUE"""),"CLOSED: MAY NAHANAP NA SI FARMER")</f>
        <v>CLOSED: MAY NAHANAP NA SI FARMER</v>
      </c>
      <c r="M514" s="2"/>
      <c r="N514" s="2" t="str">
        <f>IFERROR(__xludf.DUMMYFUNCTION("""COMPUTED_VALUE"""),"CLOSED")</f>
        <v>CLOSED</v>
      </c>
      <c r="O514" s="2" t="str">
        <f>IFERROR(__xludf.DUMMYFUNCTION("""COMPUTED_VALUE"""),"N/A")</f>
        <v>N/A</v>
      </c>
      <c r="P514" s="2"/>
      <c r="Q514" s="2"/>
      <c r="R514" s="74" t="str">
        <f>IFERROR(__xludf.DUMMYFUNCTION("""COMPUTED_VALUE"""),"DATE UNKNOWN ")</f>
        <v>DATE UNKNOWN </v>
      </c>
      <c r="S514" s="2" t="str">
        <f>IFERROR(__xludf.DUMMYFUNCTION("""COMPUTED_VALUE"""),"N/A")</f>
        <v>N/A</v>
      </c>
      <c r="T514" s="73" t="str">
        <f>IFERROR(__xludf.DUMMYFUNCTION("""COMPUTED_VALUE""")," N/A ")</f>
        <v>N/A</v>
      </c>
      <c r="U514" s="73" t="str">
        <f>IFERROR(__xludf.DUMMYFUNCTION("""COMPUTED_VALUE""")," NO CHARGE ")</f>
        <v>NO CHARGE</v>
      </c>
      <c r="V514" s="2"/>
      <c r="W514" s="2" t="str">
        <f>IFERROR(__xludf.DUMMYFUNCTION("""COMPUTED_VALUE"""),"N/A")</f>
        <v>N/A</v>
      </c>
      <c r="X514" s="2" t="str">
        <f>IFERROR(__xludf.DUMMYFUNCTION("""COMPUTED_VALUE"""),"N/A")</f>
        <v>N/A</v>
      </c>
      <c r="Y514" s="2"/>
      <c r="Z514" s="2"/>
      <c r="AA514" s="2"/>
      <c r="AB514" s="2"/>
      <c r="AC514" s="2"/>
      <c r="AD514" s="2"/>
      <c r="AE514" s="2"/>
      <c r="AF514" s="2"/>
      <c r="AG514" s="2"/>
      <c r="AH514" s="2"/>
      <c r="AI514" s="2"/>
      <c r="AJ514" s="2" t="str">
        <f>IFERROR(__xludf.DUMMYFUNCTION("""COMPUTED_VALUE"""),"Santiago")</f>
        <v>Santiago</v>
      </c>
      <c r="AK514" s="2" t="str">
        <f>IFERROR(__xludf.DUMMYFUNCTION("""COMPUTED_VALUE"""),"Iguig")</f>
        <v>Iguig</v>
      </c>
      <c r="AL514" s="2" t="str">
        <f>IFERROR(__xludf.DUMMYFUNCTION("""COMPUTED_VALUE"""),"Cagayan")</f>
        <v>Cagayan</v>
      </c>
      <c r="AM514" s="2">
        <f>IFERROR(__xludf.DUMMYFUNCTION("""COMPUTED_VALUE"""),2.0)</f>
        <v>2</v>
      </c>
      <c r="AN514" s="2" t="str">
        <f>IFERROR(__xludf.DUMMYFUNCTION("""COMPUTED_VALUE"""),"RCEF 23-09-21 Rebidding")</f>
        <v>RCEF 23-09-21 Rebidding</v>
      </c>
      <c r="AO514" s="2">
        <f>IFERROR(__xludf.DUMMYFUNCTION("""COMPUTED_VALUE"""),1.0)</f>
        <v>1</v>
      </c>
      <c r="AP514" s="2"/>
      <c r="AQ514" s="2"/>
      <c r="AR514" s="2"/>
      <c r="AS514" s="2"/>
      <c r="AT514" s="2"/>
      <c r="AU514" s="2"/>
      <c r="AV514" s="2"/>
      <c r="AW514" s="2"/>
      <c r="AX514" s="2"/>
      <c r="AY514" s="2"/>
      <c r="AZ514" s="2"/>
      <c r="BA514" s="2"/>
      <c r="BB514" s="2"/>
    </row>
    <row r="515">
      <c r="A515" s="2">
        <f>IFERROR(__xludf.DUMMYFUNCTION("""COMPUTED_VALUE"""),511.0)</f>
        <v>511</v>
      </c>
      <c r="B515" s="2" t="str">
        <f>IFERROR(__xludf.DUMMYFUNCTION("""COMPUTED_VALUE"""),"COMPLETED")</f>
        <v>COMPLETED</v>
      </c>
      <c r="C515" s="74">
        <f>IFERROR(__xludf.DUMMYFUNCTION("""COMPUTED_VALUE"""),45557.0)</f>
        <v>45557</v>
      </c>
      <c r="D515" s="71" t="str">
        <f>IFERROR(__xludf.DUMMYFUNCTION("""COMPUTED_VALUE"""),"LACARON FARMERS ASSOCIATION")</f>
        <v>LACARON FARMERS ASSOCIATION</v>
      </c>
      <c r="E515" s="71" t="str">
        <f>IFERROR(__xludf.DUMMYFUNCTION("""COMPUTED_VALUE"""),"Lacaron, Sibalom, ANTIQUE")</f>
        <v>Lacaron, Sibalom, ANTIQUE</v>
      </c>
      <c r="F515" s="2" t="str">
        <f>IFERROR(__xludf.DUMMYFUNCTION("""COMPUTED_VALUE"""),"JENEY IVEY ASOY")</f>
        <v>JENEY IVEY ASOY</v>
      </c>
      <c r="G515" s="2">
        <f>IFERROR(__xludf.DUMMYFUNCTION("""COMPUTED_VALUE"""),9.675834836E9)</f>
        <v>9675834836</v>
      </c>
      <c r="H515" s="2"/>
      <c r="I515" s="72" t="str">
        <f>IFERROR(__xludf.DUMMYFUNCTION("""COMPUTED_VALUE"""),"SPARE PARTS ACQUISITION")</f>
        <v>SPARE PARTS ACQUISITION</v>
      </c>
      <c r="J515" s="72"/>
      <c r="K515" s="72" t="str">
        <f>IFERROR(__xludf.DUMMYFUNCTION("""COMPUTED_VALUE"""),"MYKEE: 2 ENGINE OIL FILTER")</f>
        <v>MYKEE: 2 ENGINE OIL FILTER</v>
      </c>
      <c r="L515" s="72" t="str">
        <f>IFERROR(__xludf.DUMMYFUNCTION("""COMPUTED_VALUE"""),"JTT: LBC 2 OIL FILTER- SF PAID VIA BPI BANK")</f>
        <v>JTT: LBC 2 OIL FILTER- SF PAID VIA BPI BANK</v>
      </c>
      <c r="M515" s="2"/>
      <c r="N515" s="2" t="str">
        <f>IFERROR(__xludf.DUMMYFUNCTION("""COMPUTED_VALUE"""),"PARTS: 
2 OIL FILTER ")</f>
        <v>PARTS: 
2 OIL FILTER </v>
      </c>
      <c r="O515" s="2" t="str">
        <f>IFERROR(__xludf.DUMMYFUNCTION("""COMPUTED_VALUE"""),"N/A")</f>
        <v>N/A</v>
      </c>
      <c r="P515" s="2"/>
      <c r="Q515" s="2"/>
      <c r="R515" s="74">
        <f>IFERROR(__xludf.DUMMYFUNCTION("""COMPUTED_VALUE"""),45559.0)</f>
        <v>45559</v>
      </c>
      <c r="S515" s="2" t="str">
        <f>IFERROR(__xludf.DUMMYFUNCTION("""COMPUTED_VALUE"""),"JTT/MYKEE")</f>
        <v>JTT/MYKEE</v>
      </c>
      <c r="T515" s="73">
        <f>IFERROR(__xludf.DUMMYFUNCTION("""COMPUTED_VALUE"""),3339.0)</f>
        <v>3339</v>
      </c>
      <c r="U515" s="73" t="str">
        <f>IFERROR(__xludf.DUMMYFUNCTION("""COMPUTED_VALUE""")," NO CHARGE ")</f>
        <v>NO CHARGE</v>
      </c>
      <c r="V515" s="2"/>
      <c r="W515" s="2" t="str">
        <f>IFERROR(__xludf.DUMMYFUNCTION("""COMPUTED_VALUE"""),"N/A")</f>
        <v>N/A</v>
      </c>
      <c r="X515" s="2" t="str">
        <f>IFERROR(__xludf.DUMMYFUNCTION("""COMPUTED_VALUE"""),"N/A")</f>
        <v>N/A</v>
      </c>
      <c r="Y515" s="2"/>
      <c r="Z515" s="2"/>
      <c r="AA515" s="2"/>
      <c r="AB515" s="2"/>
      <c r="AC515" s="2"/>
      <c r="AD515" s="2"/>
      <c r="AE515" s="2"/>
      <c r="AF515" s="2"/>
      <c r="AG515" s="2"/>
      <c r="AH515" s="2"/>
      <c r="AI515" s="2"/>
      <c r="AJ515" s="2" t="str">
        <f>IFERROR(__xludf.DUMMYFUNCTION("""COMPUTED_VALUE"""),"Lacaron")</f>
        <v>Lacaron</v>
      </c>
      <c r="AK515" s="2" t="str">
        <f>IFERROR(__xludf.DUMMYFUNCTION("""COMPUTED_VALUE"""),"Sibalom")</f>
        <v>Sibalom</v>
      </c>
      <c r="AL515" s="2" t="str">
        <f>IFERROR(__xludf.DUMMYFUNCTION("""COMPUTED_VALUE"""),"Antique")</f>
        <v>Antique</v>
      </c>
      <c r="AM515" s="2">
        <f>IFERROR(__xludf.DUMMYFUNCTION("""COMPUTED_VALUE"""),6.0)</f>
        <v>6</v>
      </c>
      <c r="AN515" s="2" t="str">
        <f>IFERROR(__xludf.DUMMYFUNCTION("""COMPUTED_VALUE"""),"RCEF 23-09-21 Rebidding")</f>
        <v>RCEF 23-09-21 Rebidding</v>
      </c>
      <c r="AO515" s="2">
        <f>IFERROR(__xludf.DUMMYFUNCTION("""COMPUTED_VALUE"""),4.0)</f>
        <v>4</v>
      </c>
      <c r="AP515" s="2"/>
      <c r="AQ515" s="2"/>
      <c r="AR515" s="2"/>
      <c r="AS515" s="2"/>
      <c r="AT515" s="2"/>
      <c r="AU515" s="2"/>
      <c r="AV515" s="2"/>
      <c r="AW515" s="2"/>
      <c r="AX515" s="2"/>
      <c r="AY515" s="2"/>
      <c r="AZ515" s="2"/>
      <c r="BA515" s="2"/>
      <c r="BB515" s="2"/>
    </row>
    <row r="516">
      <c r="A516" s="2">
        <f>IFERROR(__xludf.DUMMYFUNCTION("""COMPUTED_VALUE"""),512.0)</f>
        <v>512</v>
      </c>
      <c r="B516" s="2" t="str">
        <f>IFERROR(__xludf.DUMMYFUNCTION("""COMPUTED_VALUE"""),"COMPLETED")</f>
        <v>COMPLETED</v>
      </c>
      <c r="C516" s="74">
        <f>IFERROR(__xludf.DUMMYFUNCTION("""COMPUTED_VALUE"""),45557.0)</f>
        <v>45557</v>
      </c>
      <c r="D516" s="71" t="str">
        <f>IFERROR(__xludf.DUMMYFUNCTION("""COMPUTED_VALUE"""),"BARANGAY NABUSLOT PINAMALAYAN FARMERS ASSOCIATION INC.")</f>
        <v>BARANGAY NABUSLOT PINAMALAYAN FARMERS ASSOCIATION INC.</v>
      </c>
      <c r="E516" s="71" t="str">
        <f>IFERROR(__xludf.DUMMYFUNCTION("""COMPUTED_VALUE"""),"Nabuslot, Pinamalayan, Oriental Mindoro")</f>
        <v>Nabuslot, Pinamalayan, Oriental Mindoro</v>
      </c>
      <c r="F516" s="2" t="str">
        <f>IFERROR(__xludf.DUMMYFUNCTION("""COMPUTED_VALUE"""),"NICANOR J. LUMALANG")</f>
        <v>NICANOR J. LUMALANG</v>
      </c>
      <c r="G516" s="2" t="str">
        <f>IFERROR(__xludf.DUMMYFUNCTION("""COMPUTED_VALUE"""),"0917 563 3431  /  09682505699")</f>
        <v>0917 563 3431  /  09682505699</v>
      </c>
      <c r="H516" s="2">
        <f>IFERROR(__xludf.DUMMYFUNCTION("""COMPUTED_VALUE"""),528.6)</f>
        <v>528.6</v>
      </c>
      <c r="I516" s="72" t="str">
        <f>IFERROR(__xludf.DUMMYFUNCTION("""COMPUTED_VALUE"""),"PMS")</f>
        <v>PMS</v>
      </c>
      <c r="J516" s="72" t="str">
        <f>IFERROR(__xludf.DUMMYFUNCTION("""COMPUTED_VALUE"""),"PMS")</f>
        <v>PMS</v>
      </c>
      <c r="K516" s="72" t="str">
        <f>IFERROR(__xludf.DUMMYFUNCTION("""COMPUTED_VALUE"""),"UPON CAMPAIGN: 3RD PMS")</f>
        <v>UPON CAMPAIGN: 3RD PMS</v>
      </c>
      <c r="L516" s="72" t="str">
        <f>IFERROR(__xludf.DUMMYFUNCTION("""COMPUTED_VALUE"""),"RCG: checkup unit,Change oil of Unit")</f>
        <v>RCG: checkup unit,Change oil of Unit</v>
      </c>
      <c r="M516" s="2"/>
      <c r="N516" s="2" t="str">
        <f>IFERROR(__xludf.DUMMYFUNCTION("""COMPUTED_VALUE"""),"PARTS: HYDRAULIC FILTER")</f>
        <v>PARTS: HYDRAULIC FILTER</v>
      </c>
      <c r="O516" s="2">
        <f>IFERROR(__xludf.DUMMYFUNCTION("""COMPUTED_VALUE"""),979.0)</f>
        <v>979</v>
      </c>
      <c r="P516" s="2"/>
      <c r="Q516" s="2"/>
      <c r="R516" s="74">
        <f>IFERROR(__xludf.DUMMYFUNCTION("""COMPUTED_VALUE"""),45601.0)</f>
        <v>45601</v>
      </c>
      <c r="S516" s="2" t="str">
        <f>IFERROR(__xludf.DUMMYFUNCTION("""COMPUTED_VALUE"""),"RCG/RBS")</f>
        <v>RCG/RBS</v>
      </c>
      <c r="T516" s="73">
        <f>IFERROR(__xludf.DUMMYFUNCTION("""COMPUTED_VALUE"""),2748.0)</f>
        <v>2748</v>
      </c>
      <c r="U516" s="73" t="str">
        <f>IFERROR(__xludf.DUMMYFUNCTION("""COMPUTED_VALUE""")," REMITTED ")</f>
        <v>REMITTED</v>
      </c>
      <c r="V516" s="2"/>
      <c r="W516" s="2"/>
      <c r="X516" s="2">
        <f>IFERROR(__xludf.DUMMYFUNCTION("""COMPUTED_VALUE"""),1209.0)</f>
        <v>1209</v>
      </c>
      <c r="Y516" s="2"/>
      <c r="Z516" s="2"/>
      <c r="AA516" s="2"/>
      <c r="AB516" s="2"/>
      <c r="AC516" s="2"/>
      <c r="AD516" s="2"/>
      <c r="AE516" s="2"/>
      <c r="AF516" s="2"/>
      <c r="AG516" s="2"/>
      <c r="AH516" s="2"/>
      <c r="AI516" s="2"/>
      <c r="AJ516" s="2" t="str">
        <f>IFERROR(__xludf.DUMMYFUNCTION("""COMPUTED_VALUE"""),"Nabuslot")</f>
        <v>Nabuslot</v>
      </c>
      <c r="AK516" s="2" t="str">
        <f>IFERROR(__xludf.DUMMYFUNCTION("""COMPUTED_VALUE"""),"Pinamalayan")</f>
        <v>Pinamalayan</v>
      </c>
      <c r="AL516" s="2" t="str">
        <f>IFERROR(__xludf.DUMMYFUNCTION("""COMPUTED_VALUE"""),"Oriental Mindoro")</f>
        <v>Oriental Mindoro</v>
      </c>
      <c r="AM516" s="2" t="str">
        <f>IFERROR(__xludf.DUMMYFUNCTION("""COMPUTED_VALUE"""),"4B")</f>
        <v>4B</v>
      </c>
      <c r="AN516" s="2" t="str">
        <f>IFERROR(__xludf.DUMMYFUNCTION("""COMPUTED_VALUE"""),"RCEF 23-08-20 Rebidding")</f>
        <v>RCEF 23-08-20 Rebidding</v>
      </c>
      <c r="AO516" s="2">
        <f>IFERROR(__xludf.DUMMYFUNCTION("""COMPUTED_VALUE"""),1.0)</f>
        <v>1</v>
      </c>
      <c r="AP516" s="2"/>
      <c r="AQ516" s="2"/>
      <c r="AR516" s="2"/>
      <c r="AS516" s="2"/>
      <c r="AT516" s="2"/>
      <c r="AU516" s="2"/>
      <c r="AV516" s="2"/>
      <c r="AW516" s="2"/>
      <c r="AX516" s="2"/>
      <c r="AY516" s="2"/>
      <c r="AZ516" s="2"/>
      <c r="BA516" s="2"/>
      <c r="BB516" s="2"/>
    </row>
    <row r="517">
      <c r="A517" s="2">
        <f>IFERROR(__xludf.DUMMYFUNCTION("""COMPUTED_VALUE"""),513.0)</f>
        <v>513</v>
      </c>
      <c r="B517" s="2" t="str">
        <f>IFERROR(__xludf.DUMMYFUNCTION("""COMPUTED_VALUE"""),"COMPLETED")</f>
        <v>COMPLETED</v>
      </c>
      <c r="C517" s="74">
        <f>IFERROR(__xludf.DUMMYFUNCTION("""COMPUTED_VALUE"""),45557.0)</f>
        <v>45557</v>
      </c>
      <c r="D517" s="71" t="str">
        <f>IFERROR(__xludf.DUMMYFUNCTION("""COMPUTED_VALUE"""),"Mapalad Farmers Field School Agriculture Cooperative")</f>
        <v>Mapalad Farmers Field School Agriculture Cooperative</v>
      </c>
      <c r="E517" s="71" t="str">
        <f>IFERROR(__xludf.DUMMYFUNCTION("""COMPUTED_VALUE"""),"Lomboy, La Paz, TARLAC")</f>
        <v>Lomboy, La Paz, TARLAC</v>
      </c>
      <c r="F517" s="2" t="str">
        <f>IFERROR(__xludf.DUMMYFUNCTION("""COMPUTED_VALUE"""),"Nelylane B. Manzano")</f>
        <v>Nelylane B. Manzano</v>
      </c>
      <c r="G517" s="2" t="str">
        <f>IFERROR(__xludf.DUMMYFUNCTION("""COMPUTED_VALUE"""),"0907-795-2582")</f>
        <v>0907-795-2582</v>
      </c>
      <c r="H517" s="2">
        <f>IFERROR(__xludf.DUMMYFUNCTION("""COMPUTED_VALUE"""),340.0)</f>
        <v>340</v>
      </c>
      <c r="I517" s="72" t="str">
        <f>IFERROR(__xludf.DUMMYFUNCTION("""COMPUTED_VALUE"""),"PMS")</f>
        <v>PMS</v>
      </c>
      <c r="J517" s="72" t="str">
        <f>IFERROR(__xludf.DUMMYFUNCTION("""COMPUTED_VALUE"""),"PMS")</f>
        <v>PMS</v>
      </c>
      <c r="K517" s="72" t="str">
        <f>IFERROR(__xludf.DUMMYFUNCTION("""COMPUTED_VALUE"""),"UPON TYM CAMPAIGN: SUBJECT FOR 2ND PMS")</f>
        <v>UPON TYM CAMPAIGN: SUBJECT FOR 2ND PMS</v>
      </c>
      <c r="L517" s="72" t="str">
        <f>IFERROR(__xludf.DUMMYFUNCTION("""COMPUTED_VALUE"""),"CLOSED")</f>
        <v>CLOSED</v>
      </c>
      <c r="M517" s="2"/>
      <c r="N517" s="2"/>
      <c r="O517" s="2" t="str">
        <f>IFERROR(__xludf.DUMMYFUNCTION("""COMPUTED_VALUE"""),"N/A")</f>
        <v>N/A</v>
      </c>
      <c r="P517" s="2"/>
      <c r="Q517" s="2"/>
      <c r="R517" s="74">
        <f>IFERROR(__xludf.DUMMYFUNCTION("""COMPUTED_VALUE"""),45613.0)</f>
        <v>45613</v>
      </c>
      <c r="S517" s="2" t="str">
        <f>IFERROR(__xludf.DUMMYFUNCTION("""COMPUTED_VALUE"""),"N/A")</f>
        <v>N/A</v>
      </c>
      <c r="T517" s="73" t="str">
        <f>IFERROR(__xludf.DUMMYFUNCTION("""COMPUTED_VALUE""")," N/A ")</f>
        <v>N/A</v>
      </c>
      <c r="U517" s="73" t="str">
        <f>IFERROR(__xludf.DUMMYFUNCTION("""COMPUTED_VALUE""")," NO CHARGE ")</f>
        <v>NO CHARGE</v>
      </c>
      <c r="V517" s="2"/>
      <c r="W517" s="2" t="str">
        <f>IFERROR(__xludf.DUMMYFUNCTION("""COMPUTED_VALUE"""),"N/A")</f>
        <v>N/A</v>
      </c>
      <c r="X517" s="2" t="str">
        <f>IFERROR(__xludf.DUMMYFUNCTION("""COMPUTED_VALUE"""),"N/A")</f>
        <v>N/A</v>
      </c>
      <c r="Y517" s="2"/>
      <c r="Z517" s="2"/>
      <c r="AA517" s="2"/>
      <c r="AB517" s="2"/>
      <c r="AC517" s="2"/>
      <c r="AD517" s="2"/>
      <c r="AE517" s="2"/>
      <c r="AF517" s="2"/>
      <c r="AG517" s="2"/>
      <c r="AH517" s="2"/>
      <c r="AI517" s="2"/>
      <c r="AJ517" s="2" t="str">
        <f>IFERROR(__xludf.DUMMYFUNCTION("""COMPUTED_VALUE"""),"Lomboy")</f>
        <v>Lomboy</v>
      </c>
      <c r="AK517" s="2" t="str">
        <f>IFERROR(__xludf.DUMMYFUNCTION("""COMPUTED_VALUE"""),"La Paz")</f>
        <v>La Paz</v>
      </c>
      <c r="AL517" s="2" t="str">
        <f>IFERROR(__xludf.DUMMYFUNCTION("""COMPUTED_VALUE"""),"Tarlac")</f>
        <v>Tarlac</v>
      </c>
      <c r="AM517" s="2">
        <f>IFERROR(__xludf.DUMMYFUNCTION("""COMPUTED_VALUE"""),3.0)</f>
        <v>3</v>
      </c>
      <c r="AN517" s="2" t="str">
        <f>IFERROR(__xludf.DUMMYFUNCTION("""COMPUTED_VALUE"""),"RCEF 23-09-21 Rebidding")</f>
        <v>RCEF 23-09-21 Rebidding</v>
      </c>
      <c r="AO517" s="2">
        <f>IFERROR(__xludf.DUMMYFUNCTION("""COMPUTED_VALUE"""),3.0)</f>
        <v>3</v>
      </c>
      <c r="AP517" s="2"/>
      <c r="AQ517" s="2"/>
      <c r="AR517" s="2"/>
      <c r="AS517" s="2"/>
      <c r="AT517" s="2"/>
      <c r="AU517" s="2"/>
      <c r="AV517" s="2"/>
      <c r="AW517" s="2"/>
      <c r="AX517" s="2"/>
      <c r="AY517" s="2"/>
      <c r="AZ517" s="2"/>
      <c r="BA517" s="2"/>
      <c r="BB517" s="2"/>
    </row>
    <row r="518">
      <c r="A518" s="2">
        <f>IFERROR(__xludf.DUMMYFUNCTION("""COMPUTED_VALUE"""),514.0)</f>
        <v>514</v>
      </c>
      <c r="B518" s="2" t="str">
        <f>IFERROR(__xludf.DUMMYFUNCTION("""COMPUTED_VALUE"""),"COMPLETED")</f>
        <v>COMPLETED</v>
      </c>
      <c r="C518" s="74">
        <f>IFERROR(__xludf.DUMMYFUNCTION("""COMPUTED_VALUE"""),45557.0)</f>
        <v>45557</v>
      </c>
      <c r="D518" s="71" t="str">
        <f>IFERROR(__xludf.DUMMYFUNCTION("""COMPUTED_VALUE"""),"CRISTAMAKITA FARMERS IRRIGATORS' ASSOCIATION, INC")</f>
        <v>CRISTAMAKITA FARMERS IRRIGATORS' ASSOCIATION, INC</v>
      </c>
      <c r="E518" s="71" t="str">
        <f>IFERROR(__xludf.DUMMYFUNCTION("""COMPUTED_VALUE"""),"Malasin, San Jose City, NUEVA ECIJA")</f>
        <v>Malasin, San Jose City, NUEVA ECIJA</v>
      </c>
      <c r="F518" s="2" t="str">
        <f>IFERROR(__xludf.DUMMYFUNCTION("""COMPUTED_VALUE"""),"Danilo R. Salvador")</f>
        <v>Danilo R. Salvador</v>
      </c>
      <c r="G518" s="2" t="str">
        <f>IFERROR(__xludf.DUMMYFUNCTION("""COMPUTED_VALUE"""),"0926-485-1014")</f>
        <v>0926-485-1014</v>
      </c>
      <c r="H518" s="2">
        <f>IFERROR(__xludf.DUMMYFUNCTION("""COMPUTED_VALUE"""),51.0)</f>
        <v>51</v>
      </c>
      <c r="I518" s="72" t="str">
        <f>IFERROR(__xludf.DUMMYFUNCTION("""COMPUTED_VALUE"""),"PMS")</f>
        <v>PMS</v>
      </c>
      <c r="J518" s="72" t="str">
        <f>IFERROR(__xludf.DUMMYFUNCTION("""COMPUTED_VALUE"""),"PMS")</f>
        <v>PMS</v>
      </c>
      <c r="K518" s="72" t="str">
        <f>IFERROR(__xludf.DUMMYFUNCTION("""COMPUTED_VALUE"""),"UPON TYM CAMPAIGN: SUBJECT FOR FIRST PMS")</f>
        <v>UPON TYM CAMPAIGN: SUBJECT FOR FIRST PMS</v>
      </c>
      <c r="L518" s="72" t="str">
        <f>IFERROR(__xludf.DUMMYFUNCTION("""COMPUTED_VALUE"""),"CANCELLED")</f>
        <v>CANCELLED</v>
      </c>
      <c r="M518" s="2"/>
      <c r="N518" s="2"/>
      <c r="O518" s="2" t="str">
        <f>IFERROR(__xludf.DUMMYFUNCTION("""COMPUTED_VALUE"""),"CANCELLED")</f>
        <v>CANCELLED</v>
      </c>
      <c r="P518" s="2"/>
      <c r="Q518" s="2"/>
      <c r="R518" s="74">
        <f>IFERROR(__xludf.DUMMYFUNCTION("""COMPUTED_VALUE"""),45565.0)</f>
        <v>45565</v>
      </c>
      <c r="S518" s="2" t="str">
        <f>IFERROR(__xludf.DUMMYFUNCTION("""COMPUTED_VALUE"""),"JHP/ACS")</f>
        <v>JHP/ACS</v>
      </c>
      <c r="T518" s="73" t="str">
        <f>IFERROR(__xludf.DUMMYFUNCTION("""COMPUTED_VALUE""")," N/A ")</f>
        <v>N/A</v>
      </c>
      <c r="U518" s="73" t="str">
        <f>IFERROR(__xludf.DUMMYFUNCTION("""COMPUTED_VALUE""")," NO CHARGE ")</f>
        <v>NO CHARGE</v>
      </c>
      <c r="V518" s="2"/>
      <c r="W518" s="2" t="str">
        <f>IFERROR(__xludf.DUMMYFUNCTION("""COMPUTED_VALUE"""),"N/A")</f>
        <v>N/A</v>
      </c>
      <c r="X518" s="2" t="str">
        <f>IFERROR(__xludf.DUMMYFUNCTION("""COMPUTED_VALUE"""),"N/A")</f>
        <v>N/A</v>
      </c>
      <c r="Y518" s="2"/>
      <c r="Z518" s="2"/>
      <c r="AA518" s="2"/>
      <c r="AB518" s="2"/>
      <c r="AC518" s="2"/>
      <c r="AD518" s="2"/>
      <c r="AE518" s="2"/>
      <c r="AF518" s="2"/>
      <c r="AG518" s="2"/>
      <c r="AH518" s="2"/>
      <c r="AI518" s="2"/>
      <c r="AJ518" s="2" t="str">
        <f>IFERROR(__xludf.DUMMYFUNCTION("""COMPUTED_VALUE"""),"Malasin")</f>
        <v>Malasin</v>
      </c>
      <c r="AK518" s="2" t="str">
        <f>IFERROR(__xludf.DUMMYFUNCTION("""COMPUTED_VALUE"""),"San Jose City")</f>
        <v>San Jose City</v>
      </c>
      <c r="AL518" s="2" t="str">
        <f>IFERROR(__xludf.DUMMYFUNCTION("""COMPUTED_VALUE"""),"Nueva Ecija")</f>
        <v>Nueva Ecija</v>
      </c>
      <c r="AM518" s="2">
        <f>IFERROR(__xludf.DUMMYFUNCTION("""COMPUTED_VALUE"""),3.0)</f>
        <v>3</v>
      </c>
      <c r="AN518" s="2" t="str">
        <f>IFERROR(__xludf.DUMMYFUNCTION("""COMPUTED_VALUE"""),"RCEF 23-09-21 Rebidding")</f>
        <v>RCEF 23-09-21 Rebidding</v>
      </c>
      <c r="AO518" s="2">
        <f>IFERROR(__xludf.DUMMYFUNCTION("""COMPUTED_VALUE"""),3.0)</f>
        <v>3</v>
      </c>
      <c r="AP518" s="2"/>
      <c r="AQ518" s="2"/>
      <c r="AR518" s="2"/>
      <c r="AS518" s="2"/>
      <c r="AT518" s="2"/>
      <c r="AU518" s="2"/>
      <c r="AV518" s="2"/>
      <c r="AW518" s="2"/>
      <c r="AX518" s="2"/>
      <c r="AY518" s="2"/>
      <c r="AZ518" s="2"/>
      <c r="BA518" s="2"/>
      <c r="BB518" s="2"/>
    </row>
    <row r="519">
      <c r="A519" s="2">
        <f>IFERROR(__xludf.DUMMYFUNCTION("""COMPUTED_VALUE"""),515.0)</f>
        <v>515</v>
      </c>
      <c r="B519" s="2" t="str">
        <f>IFERROR(__xludf.DUMMYFUNCTION("""COMPUTED_VALUE"""),"COMPLETED")</f>
        <v>COMPLETED</v>
      </c>
      <c r="C519" s="74">
        <f>IFERROR(__xludf.DUMMYFUNCTION("""COMPUTED_VALUE"""),45557.0)</f>
        <v>45557</v>
      </c>
      <c r="D519" s="71" t="str">
        <f>IFERROR(__xludf.DUMMYFUNCTION("""COMPUTED_VALUE"""),"MALAPAD FARMERS ASSOCIATION")</f>
        <v>MALAPAD FARMERS ASSOCIATION</v>
      </c>
      <c r="E519" s="71" t="str">
        <f>IFERROR(__xludf.DUMMYFUNCTION("""COMPUTED_VALUE"""),"Malapad, Baco, Oriental Mindoro")</f>
        <v>Malapad, Baco, Oriental Mindoro</v>
      </c>
      <c r="F519" s="2" t="str">
        <f>IFERROR(__xludf.DUMMYFUNCTION("""COMPUTED_VALUE"""),"ROLANDO MANDITA")</f>
        <v>ROLANDO MANDITA</v>
      </c>
      <c r="G519" s="2" t="str">
        <f>IFERROR(__xludf.DUMMYFUNCTION("""COMPUTED_VALUE"""),"0955 378 7221")</f>
        <v>0955 378 7221</v>
      </c>
      <c r="H519" s="2">
        <f>IFERROR(__xludf.DUMMYFUNCTION("""COMPUTED_VALUE"""),168.0)</f>
        <v>168</v>
      </c>
      <c r="I519" s="72" t="str">
        <f>IFERROR(__xludf.DUMMYFUNCTION("""COMPUTED_VALUE"""),"REPAIR - LOADER")</f>
        <v>REPAIR - LOADER</v>
      </c>
      <c r="J519" s="72" t="str">
        <f>IFERROR(__xludf.DUMMYFUNCTION("""COMPUTED_VALUE"""),"Leak")</f>
        <v>Leak</v>
      </c>
      <c r="K519" s="72" t="str">
        <f>IFERROR(__xludf.DUMMYFUNCTION("""COMPUTED_VALUE"""),"RBS: UPON TYM CAMPAIGN: HYDRAULIC HOSE PROBLEM FOR B LOADER, 
3 POINT HIB PROBLEM UP AND DOWN NOT FUNCTION
RCG: Front Loader hose leaking and up and down of tractor Lifting arm.")</f>
        <v>RBS: UPON TYM CAMPAIGN: HYDRAULIC HOSE PROBLEM FOR B LOADER, 
3 POINT HIB PROBLEM UP AND DOWN NOT FUNCTION
RCG: Front Loader hose leaking and up and down of tractor Lifting arm.</v>
      </c>
      <c r="L519" s="72" t="str">
        <f>IFERROR(__xludf.DUMMYFUNCTION("""COMPUTED_VALUE"""),"RCG: pinalitan po namin yung hydraulic hose,nagpa crimp kami ng bago.check na din namin yung hydraulic.ok nman.
Replace new Hydraulic hose.pinasok sa warranty yung pinalit na hydraulic hose.
Remarks:Nag change oil na sila ng transmission dahil na contam"&amp;"inate ng tubig yung hydraulic oil nila.
")</f>
        <v>RCG: pinalitan po namin yung hydraulic hose,nagpa crimp kami ng bago.check na din namin yung hydraulic.ok nman.
Replace new Hydraulic hose.pinasok sa warranty yung pinalit na hydraulic hose.
Remarks:Nag change oil na sila ng transmission dahil na contaminate ng tubig yung hydraulic oil nila.
</v>
      </c>
      <c r="M519" s="2"/>
      <c r="N519" s="2" t="str">
        <f>IFERROR(__xludf.DUMMYFUNCTION("""COMPUTED_VALUE"""),"HYDRAULIC HOSE (OUTSOURCED)
")</f>
        <v>HYDRAULIC HOSE (OUTSOURCED)
</v>
      </c>
      <c r="O519" s="2" t="str">
        <f>IFERROR(__xludf.DUMMYFUNCTION("""COMPUTED_VALUE"""),"JIE-959")</f>
        <v>JIE-959</v>
      </c>
      <c r="P519" s="2"/>
      <c r="Q519" s="2"/>
      <c r="R519" s="74">
        <f>IFERROR(__xludf.DUMMYFUNCTION("""COMPUTED_VALUE"""),45601.0)</f>
        <v>45601</v>
      </c>
      <c r="S519" s="2" t="str">
        <f>IFERROR(__xludf.DUMMYFUNCTION("""COMPUTED_VALUE"""),"RCG/RBS")</f>
        <v>RCG/RBS</v>
      </c>
      <c r="T519" s="73">
        <f>IFERROR(__xludf.DUMMYFUNCTION("""COMPUTED_VALUE"""),1400.0)</f>
        <v>1400</v>
      </c>
      <c r="U519" s="73" t="str">
        <f>IFERROR(__xludf.DUMMYFUNCTION("""COMPUTED_VALUE""")," FOR CONFIRMATION ")</f>
        <v>FOR CONFIRMATION</v>
      </c>
      <c r="V519" s="2"/>
      <c r="W519" s="2"/>
      <c r="X519" s="2"/>
      <c r="Y519" s="2"/>
      <c r="Z519" s="2"/>
      <c r="AA519" s="2"/>
      <c r="AB519" s="2"/>
      <c r="AC519" s="2"/>
      <c r="AD519" s="2"/>
      <c r="AE519" s="2"/>
      <c r="AF519" s="2"/>
      <c r="AG519" s="2"/>
      <c r="AH519" s="2"/>
      <c r="AI519" s="2"/>
      <c r="AJ519" s="2" t="str">
        <f>IFERROR(__xludf.DUMMYFUNCTION("""COMPUTED_VALUE"""),"Malapad")</f>
        <v>Malapad</v>
      </c>
      <c r="AK519" s="2" t="str">
        <f>IFERROR(__xludf.DUMMYFUNCTION("""COMPUTED_VALUE"""),"Baco")</f>
        <v>Baco</v>
      </c>
      <c r="AL519" s="2" t="str">
        <f>IFERROR(__xludf.DUMMYFUNCTION("""COMPUTED_VALUE"""),"Oriental Mindoro")</f>
        <v>Oriental Mindoro</v>
      </c>
      <c r="AM519" s="2" t="str">
        <f>IFERROR(__xludf.DUMMYFUNCTION("""COMPUTED_VALUE"""),"4B")</f>
        <v>4B</v>
      </c>
      <c r="AN519" s="2" t="str">
        <f>IFERROR(__xludf.DUMMYFUNCTION("""COMPUTED_VALUE"""),"RCEF 23-08-20 Rebidding")</f>
        <v>RCEF 23-08-20 Rebidding</v>
      </c>
      <c r="AO519" s="2">
        <f>IFERROR(__xludf.DUMMYFUNCTION("""COMPUTED_VALUE"""),1.0)</f>
        <v>1</v>
      </c>
      <c r="AP519" s="2"/>
      <c r="AQ519" s="2"/>
      <c r="AR519" s="2"/>
      <c r="AS519" s="2"/>
      <c r="AT519" s="2"/>
      <c r="AU519" s="2"/>
      <c r="AV519" s="2"/>
      <c r="AW519" s="2"/>
      <c r="AX519" s="2"/>
      <c r="AY519" s="2"/>
      <c r="AZ519" s="2"/>
      <c r="BA519" s="2"/>
      <c r="BB519" s="2"/>
    </row>
    <row r="520">
      <c r="A520" s="2">
        <f>IFERROR(__xludf.DUMMYFUNCTION("""COMPUTED_VALUE"""),516.0)</f>
        <v>516</v>
      </c>
      <c r="B520" s="2" t="str">
        <f>IFERROR(__xludf.DUMMYFUNCTION("""COMPUTED_VALUE"""),"COMPLETED")</f>
        <v>COMPLETED</v>
      </c>
      <c r="C520" s="74">
        <f>IFERROR(__xludf.DUMMYFUNCTION("""COMPUTED_VALUE"""),45557.0)</f>
        <v>45557</v>
      </c>
      <c r="D520" s="71" t="str">
        <f>IFERROR(__xludf.DUMMYFUNCTION("""COMPUTED_VALUE"""),"Anduyan Multipurpose Cooperative")</f>
        <v>Anduyan Multipurpose Cooperative</v>
      </c>
      <c r="E520" s="71" t="str">
        <f>IFERROR(__xludf.DUMMYFUNCTION("""COMPUTED_VALUE"""),"Anduyan, Tubao, LA UNION")</f>
        <v>Anduyan, Tubao, LA UNION</v>
      </c>
      <c r="F520" s="2" t="str">
        <f>IFERROR(__xludf.DUMMYFUNCTION("""COMPUTED_VALUE"""),"Gina L. Boac")</f>
        <v>Gina L. Boac</v>
      </c>
      <c r="G520" s="2" t="str">
        <f>IFERROR(__xludf.DUMMYFUNCTION("""COMPUTED_VALUE"""),"0912-712-5735 / 0918-269-2147")</f>
        <v>0912-712-5735 / 0918-269-2147</v>
      </c>
      <c r="H520" s="2">
        <f>IFERROR(__xludf.DUMMYFUNCTION("""COMPUTED_VALUE"""),175.0)</f>
        <v>175</v>
      </c>
      <c r="I520" s="72" t="str">
        <f>IFERROR(__xludf.DUMMYFUNCTION("""COMPUTED_VALUE"""),"PMS")</f>
        <v>PMS</v>
      </c>
      <c r="J520" s="72" t="str">
        <f>IFERROR(__xludf.DUMMYFUNCTION("""COMPUTED_VALUE"""),"PMS")</f>
        <v>PMS</v>
      </c>
      <c r="K520" s="72" t="str">
        <f>IFERROR(__xludf.DUMMYFUNCTION("""COMPUTED_VALUE"""),"UPON TYM CAMPAIGN: SUBJECT FOR FIRST PMS
JDP: 10/24/24: 1ST PMS,MAY ENGINE OIL NA SILA , OIL FILTER NALNAG ANG BIBILHIN SATIN")</f>
        <v>UPON TYM CAMPAIGN: SUBJECT FOR FIRST PMS
JDP: 10/24/24: 1ST PMS,MAY ENGINE OIL NA SILA , OIL FILTER NALNAG ANG BIBILHIN SATIN</v>
      </c>
      <c r="L520" s="72" t="str">
        <f>IFERROR(__xludf.DUMMYFUNCTION("""COMPUTED_VALUE"""),"JTT: 1ST PMS DONE")</f>
        <v>JTT: 1ST PMS DONE</v>
      </c>
      <c r="M520" s="2"/>
      <c r="N520" s="2" t="str">
        <f>IFERROR(__xludf.DUMMYFUNCTION("""COMPUTED_VALUE"""),"PARTS: OIL FILTER")</f>
        <v>PARTS: OIL FILTER</v>
      </c>
      <c r="O520" s="2" t="str">
        <f>IFERROR(__xludf.DUMMYFUNCTION("""COMPUTED_VALUE"""),"JIE-960")</f>
        <v>JIE-960</v>
      </c>
      <c r="P520" s="2"/>
      <c r="Q520" s="2"/>
      <c r="R520" s="74">
        <f>IFERROR(__xludf.DUMMYFUNCTION("""COMPUTED_VALUE"""),45602.0)</f>
        <v>45602</v>
      </c>
      <c r="S520" s="2" t="str">
        <f>IFERROR(__xludf.DUMMYFUNCTION("""COMPUTED_VALUE"""),"JTT")</f>
        <v>JTT</v>
      </c>
      <c r="T520" s="73">
        <f>IFERROR(__xludf.DUMMYFUNCTION("""COMPUTED_VALUE"""),1533.0)</f>
        <v>1533</v>
      </c>
      <c r="U520" s="73" t="str">
        <f>IFERROR(__xludf.DUMMYFUNCTION("""COMPUTED_VALUE""")," FOR REMIT ")</f>
        <v>FOR REMIT</v>
      </c>
      <c r="V520" s="2"/>
      <c r="W520" s="2">
        <f>IFERROR(__xludf.DUMMYFUNCTION("""COMPUTED_VALUE"""),1214.0)</f>
        <v>1214</v>
      </c>
      <c r="X520" s="2"/>
      <c r="Y520" s="2"/>
      <c r="Z520" s="2"/>
      <c r="AA520" s="2"/>
      <c r="AB520" s="2"/>
      <c r="AC520" s="2"/>
      <c r="AD520" s="2"/>
      <c r="AE520" s="2"/>
      <c r="AF520" s="2"/>
      <c r="AG520" s="2"/>
      <c r="AH520" s="2"/>
      <c r="AI520" s="2"/>
      <c r="AJ520" s="2" t="str">
        <f>IFERROR(__xludf.DUMMYFUNCTION("""COMPUTED_VALUE"""),"Anduyan")</f>
        <v>Anduyan</v>
      </c>
      <c r="AK520" s="2" t="str">
        <f>IFERROR(__xludf.DUMMYFUNCTION("""COMPUTED_VALUE"""),"Tubao")</f>
        <v>Tubao</v>
      </c>
      <c r="AL520" s="2" t="str">
        <f>IFERROR(__xludf.DUMMYFUNCTION("""COMPUTED_VALUE"""),"La Union")</f>
        <v>La Union</v>
      </c>
      <c r="AM520" s="2">
        <f>IFERROR(__xludf.DUMMYFUNCTION("""COMPUTED_VALUE"""),1.0)</f>
        <v>1</v>
      </c>
      <c r="AN520" s="2" t="str">
        <f>IFERROR(__xludf.DUMMYFUNCTION("""COMPUTED_VALUE"""),"RCEF 23-09-21 Rebidding")</f>
        <v>RCEF 23-09-21 Rebidding</v>
      </c>
      <c r="AO520" s="2">
        <f>IFERROR(__xludf.DUMMYFUNCTION("""COMPUTED_VALUE"""),2.0)</f>
        <v>2</v>
      </c>
      <c r="AP520" s="2"/>
      <c r="AQ520" s="2"/>
      <c r="AR520" s="2"/>
      <c r="AS520" s="2"/>
      <c r="AT520" s="2"/>
      <c r="AU520" s="2"/>
      <c r="AV520" s="2"/>
      <c r="AW520" s="2"/>
      <c r="AX520" s="2"/>
      <c r="AY520" s="2"/>
      <c r="AZ520" s="2"/>
      <c r="BA520" s="2"/>
      <c r="BB520" s="2"/>
    </row>
    <row r="521">
      <c r="A521" s="2">
        <f>IFERROR(__xludf.DUMMYFUNCTION("""COMPUTED_VALUE"""),517.0)</f>
        <v>517</v>
      </c>
      <c r="B521" s="2" t="str">
        <f>IFERROR(__xludf.DUMMYFUNCTION("""COMPUTED_VALUE"""),"COMPLETED")</f>
        <v>COMPLETED</v>
      </c>
      <c r="C521" s="74">
        <f>IFERROR(__xludf.DUMMYFUNCTION("""COMPUTED_VALUE"""),45557.0)</f>
        <v>45557</v>
      </c>
      <c r="D521" s="71" t="str">
        <f>IFERROR(__xludf.DUMMYFUNCTION("""COMPUTED_VALUE"""),"TAYAK AGRI-FISHERY PRODUCERS ASSOCIATION")</f>
        <v>TAYAK AGRI-FISHERY PRODUCERS ASSOCIATION</v>
      </c>
      <c r="E521" s="71" t="str">
        <f>IFERROR(__xludf.DUMMYFUNCTION("""COMPUTED_VALUE"""),"Siguiran, Abulug, CAGAYAN")</f>
        <v>Siguiran, Abulug, CAGAYAN</v>
      </c>
      <c r="F521" s="2" t="str">
        <f>IFERROR(__xludf.DUMMYFUNCTION("""COMPUTED_VALUE"""),"CRISTOFFER BAYANI")</f>
        <v>CRISTOFFER BAYANI</v>
      </c>
      <c r="G521" s="2">
        <f>IFERROR(__xludf.DUMMYFUNCTION("""COMPUTED_VALUE"""),9.273062333E9)</f>
        <v>9273062333</v>
      </c>
      <c r="H521" s="2">
        <f>IFERROR(__xludf.DUMMYFUNCTION("""COMPUTED_VALUE"""),323.0)</f>
        <v>323</v>
      </c>
      <c r="I521" s="72" t="str">
        <f>IFERROR(__xludf.DUMMYFUNCTION("""COMPUTED_VALUE"""),"REPAIR - TRACTOR")</f>
        <v>REPAIR - TRACTOR</v>
      </c>
      <c r="J521" s="72" t="str">
        <f>IFERROR(__xludf.DUMMYFUNCTION("""COMPUTED_VALUE"""),"PTO - Valve Repair")</f>
        <v>PTO - Valve Repair</v>
      </c>
      <c r="K521" s="72" t="str">
        <f>IFERROR(__xludf.DUMMYFUNCTION("""COMPUTED_VALUE"""),"ERP/DRM: UPON CAMPAIGN: ROTAVATOR NAHINTO")</f>
        <v>ERP/DRM: UPON CAMPAIGN: ROTAVATOR NAHINTO</v>
      </c>
      <c r="L521" s="72" t="str">
        <f>IFERROR(__xludf.DUMMYFUNCTION("""COMPUTED_VALUE"""),"JVV: Pag pinakain ng malalim yung Rotavator may tumutunog na maingay sa transmission kaya ang ginawa po namin nag adjust kami sa PTO Valve niya tapos pina testing po ulit namin sa operator ng 20 to 30 minutes okay naman na po Siya nawala na yung tumutunog"&amp;",")</f>
        <v>JVV: Pag pinakain ng malalim yung Rotavator may tumutunog na maingay sa transmission kaya ang ginawa po namin nag adjust kami sa PTO Valve niya tapos pina testing po ulit namin sa operator ng 20 to 30 minutes okay naman na po Siya nawala na yung tumutunog,</v>
      </c>
      <c r="M521" s="2"/>
      <c r="N521" s="2"/>
      <c r="O521" s="2" t="str">
        <f>IFERROR(__xludf.DUMMYFUNCTION("""COMPUTED_VALUE"""),"JIE-962")</f>
        <v>JIE-962</v>
      </c>
      <c r="P521" s="2"/>
      <c r="Q521" s="2"/>
      <c r="R521" s="74">
        <f>IFERROR(__xludf.DUMMYFUNCTION("""COMPUTED_VALUE"""),45605.0)</f>
        <v>45605</v>
      </c>
      <c r="S521" s="2" t="str">
        <f>IFERROR(__xludf.DUMMYFUNCTION("""COMPUTED_VALUE"""),"CFG/JVV")</f>
        <v>CFG/JVV</v>
      </c>
      <c r="T521" s="73" t="str">
        <f>IFERROR(__xludf.DUMMYFUNCTION("""COMPUTED_VALUE""")," N/A ")</f>
        <v>N/A</v>
      </c>
      <c r="U521" s="73" t="str">
        <f>IFERROR(__xludf.DUMMYFUNCTION("""COMPUTED_VALUE""")," NO CHARGE ")</f>
        <v>NO CHARGE</v>
      </c>
      <c r="V521" s="2"/>
      <c r="W521" s="2" t="str">
        <f>IFERROR(__xludf.DUMMYFUNCTION("""COMPUTED_VALUE"""),"N/A")</f>
        <v>N/A</v>
      </c>
      <c r="X521" s="2" t="str">
        <f>IFERROR(__xludf.DUMMYFUNCTION("""COMPUTED_VALUE"""),"N/A")</f>
        <v>N/A</v>
      </c>
      <c r="Y521" s="2"/>
      <c r="Z521" s="2"/>
      <c r="AA521" s="2"/>
      <c r="AB521" s="2"/>
      <c r="AC521" s="2"/>
      <c r="AD521" s="2"/>
      <c r="AE521" s="2"/>
      <c r="AF521" s="2"/>
      <c r="AG521" s="2"/>
      <c r="AH521" s="2"/>
      <c r="AI521" s="2"/>
      <c r="AJ521" s="2" t="str">
        <f>IFERROR(__xludf.DUMMYFUNCTION("""COMPUTED_VALUE"""),"Siguiran")</f>
        <v>Siguiran</v>
      </c>
      <c r="AK521" s="2" t="str">
        <f>IFERROR(__xludf.DUMMYFUNCTION("""COMPUTED_VALUE"""),"Abulug")</f>
        <v>Abulug</v>
      </c>
      <c r="AL521" s="2" t="str">
        <f>IFERROR(__xludf.DUMMYFUNCTION("""COMPUTED_VALUE"""),"Cagayan")</f>
        <v>Cagayan</v>
      </c>
      <c r="AM521" s="2">
        <f>IFERROR(__xludf.DUMMYFUNCTION("""COMPUTED_VALUE"""),2.0)</f>
        <v>2</v>
      </c>
      <c r="AN521" s="2" t="str">
        <f>IFERROR(__xludf.DUMMYFUNCTION("""COMPUTED_VALUE"""),"RCEF 23-09-21 Rebidding")</f>
        <v>RCEF 23-09-21 Rebidding</v>
      </c>
      <c r="AO521" s="2">
        <f>IFERROR(__xludf.DUMMYFUNCTION("""COMPUTED_VALUE"""),9.0)</f>
        <v>9</v>
      </c>
      <c r="AP521" s="2"/>
      <c r="AQ521" s="2"/>
      <c r="AR521" s="2"/>
      <c r="AS521" s="2"/>
      <c r="AT521" s="2"/>
      <c r="AU521" s="2"/>
      <c r="AV521" s="2"/>
      <c r="AW521" s="2"/>
      <c r="AX521" s="2"/>
      <c r="AY521" s="2"/>
      <c r="AZ521" s="2"/>
      <c r="BA521" s="2"/>
      <c r="BB521" s="2"/>
    </row>
    <row r="522">
      <c r="A522" s="2">
        <f>IFERROR(__xludf.DUMMYFUNCTION("""COMPUTED_VALUE"""),518.0)</f>
        <v>518</v>
      </c>
      <c r="B522" s="2" t="str">
        <f>IFERROR(__xludf.DUMMYFUNCTION("""COMPUTED_VALUE"""),"COMPLETED")</f>
        <v>COMPLETED</v>
      </c>
      <c r="C522" s="74">
        <f>IFERROR(__xludf.DUMMYFUNCTION("""COMPUTED_VALUE"""),45557.0)</f>
        <v>45557</v>
      </c>
      <c r="D522" s="71" t="str">
        <f>IFERROR(__xludf.DUMMYFUNCTION("""COMPUTED_VALUE"""),"BESSANG SMALL WATER IMPOUNDING SYSTEM ASSOCIATION (BESWISA)")</f>
        <v>BESSANG SMALL WATER IMPOUNDING SYSTEM ASSOCIATION (BESWISA)</v>
      </c>
      <c r="E522" s="71" t="str">
        <f>IFERROR(__xludf.DUMMYFUNCTION("""COMPUTED_VALUE"""),"Bessang, Allacapan, CAGAYAN")</f>
        <v>Bessang, Allacapan, CAGAYAN</v>
      </c>
      <c r="F522" s="2" t="str">
        <f>IFERROR(__xludf.DUMMYFUNCTION("""COMPUTED_VALUE"""),"Maximo T. Vicerra")</f>
        <v>Maximo T. Vicerra</v>
      </c>
      <c r="G522" s="2">
        <f>IFERROR(__xludf.DUMMYFUNCTION("""COMPUTED_VALUE"""),9.178227233E9)</f>
        <v>9178227233</v>
      </c>
      <c r="H522" s="2">
        <f>IFERROR(__xludf.DUMMYFUNCTION("""COMPUTED_VALUE"""),291.0)</f>
        <v>291</v>
      </c>
      <c r="I522" s="72" t="str">
        <f>IFERROR(__xludf.DUMMYFUNCTION("""COMPUTED_VALUE"""),"REPAIR - TRACTOR")</f>
        <v>REPAIR - TRACTOR</v>
      </c>
      <c r="J522" s="72" t="str">
        <f>IFERROR(__xludf.DUMMYFUNCTION("""COMPUTED_VALUE"""),"Hydraulic Hose Leak")</f>
        <v>Hydraulic Hose Leak</v>
      </c>
      <c r="K522" s="72" t="str">
        <f>IFERROR(__xludf.DUMMYFUNCTION("""COMPUTED_VALUE"""),"ERP/DRM: UPON COMPAIGN: LEAK HYDRAULIC HOSE")</f>
        <v>ERP/DRM: UPON COMPAIGN: LEAK HYDRAULIC HOSE</v>
      </c>
      <c r="L522" s="72" t="str">
        <f>IFERROR(__xludf.DUMMYFUNCTION("""COMPUTED_VALUE"""),"CFG: bessang allacapan oky na din po un mam")</f>
        <v>CFG: bessang allacapan oky na din po un mam</v>
      </c>
      <c r="M522" s="2"/>
      <c r="N522" s="2"/>
      <c r="O522" s="2" t="str">
        <f>IFERROR(__xludf.DUMMYFUNCTION("""COMPUTED_VALUE"""),"JIE-963")</f>
        <v>JIE-963</v>
      </c>
      <c r="P522" s="2"/>
      <c r="Q522" s="2"/>
      <c r="R522" s="74">
        <f>IFERROR(__xludf.DUMMYFUNCTION("""COMPUTED_VALUE"""),45607.0)</f>
        <v>45607</v>
      </c>
      <c r="S522" s="2" t="str">
        <f>IFERROR(__xludf.DUMMYFUNCTION("""COMPUTED_VALUE"""),"CFG/JVV")</f>
        <v>CFG/JVV</v>
      </c>
      <c r="T522" s="73" t="str">
        <f>IFERROR(__xludf.DUMMYFUNCTION("""COMPUTED_VALUE""")," N/A ")</f>
        <v>N/A</v>
      </c>
      <c r="U522" s="73" t="str">
        <f>IFERROR(__xludf.DUMMYFUNCTION("""COMPUTED_VALUE""")," NO CHARGE ")</f>
        <v>NO CHARGE</v>
      </c>
      <c r="V522" s="2"/>
      <c r="W522" s="2" t="str">
        <f>IFERROR(__xludf.DUMMYFUNCTION("""COMPUTED_VALUE"""),"N/A")</f>
        <v>N/A</v>
      </c>
      <c r="X522" s="2" t="str">
        <f>IFERROR(__xludf.DUMMYFUNCTION("""COMPUTED_VALUE"""),"N/A")</f>
        <v>N/A</v>
      </c>
      <c r="Y522" s="2"/>
      <c r="Z522" s="2"/>
      <c r="AA522" s="2"/>
      <c r="AB522" s="2"/>
      <c r="AC522" s="2"/>
      <c r="AD522" s="2"/>
      <c r="AE522" s="2"/>
      <c r="AF522" s="2"/>
      <c r="AG522" s="2"/>
      <c r="AH522" s="2"/>
      <c r="AI522" s="2"/>
      <c r="AJ522" s="2" t="str">
        <f>IFERROR(__xludf.DUMMYFUNCTION("""COMPUTED_VALUE"""),"Bessang")</f>
        <v>Bessang</v>
      </c>
      <c r="AK522" s="2" t="str">
        <f>IFERROR(__xludf.DUMMYFUNCTION("""COMPUTED_VALUE"""),"Allacapan")</f>
        <v>Allacapan</v>
      </c>
      <c r="AL522" s="2" t="str">
        <f>IFERROR(__xludf.DUMMYFUNCTION("""COMPUTED_VALUE"""),"Cagayan")</f>
        <v>Cagayan</v>
      </c>
      <c r="AM522" s="2">
        <f>IFERROR(__xludf.DUMMYFUNCTION("""COMPUTED_VALUE"""),2.0)</f>
        <v>2</v>
      </c>
      <c r="AN522" s="2" t="str">
        <f>IFERROR(__xludf.DUMMYFUNCTION("""COMPUTED_VALUE"""),"RCEF 23-09-21 Rebidding")</f>
        <v>RCEF 23-09-21 Rebidding</v>
      </c>
      <c r="AO522" s="2">
        <f>IFERROR(__xludf.DUMMYFUNCTION("""COMPUTED_VALUE"""),1.0)</f>
        <v>1</v>
      </c>
      <c r="AP522" s="2"/>
      <c r="AQ522" s="2"/>
      <c r="AR522" s="2"/>
      <c r="AS522" s="2"/>
      <c r="AT522" s="2"/>
      <c r="AU522" s="2"/>
      <c r="AV522" s="2"/>
      <c r="AW522" s="2"/>
      <c r="AX522" s="2"/>
      <c r="AY522" s="2"/>
      <c r="AZ522" s="2"/>
      <c r="BA522" s="2"/>
      <c r="BB522" s="2"/>
    </row>
    <row r="523">
      <c r="A523" s="2">
        <f>IFERROR(__xludf.DUMMYFUNCTION("""COMPUTED_VALUE"""),519.0)</f>
        <v>519</v>
      </c>
      <c r="B523" s="2" t="str">
        <f>IFERROR(__xludf.DUMMYFUNCTION("""COMPUTED_VALUE"""),"COMPLETED")</f>
        <v>COMPLETED</v>
      </c>
      <c r="C523" s="74">
        <f>IFERROR(__xludf.DUMMYFUNCTION("""COMPUTED_VALUE"""),45557.0)</f>
        <v>45557</v>
      </c>
      <c r="D523" s="71" t="str">
        <f>IFERROR(__xludf.DUMMYFUNCTION("""COMPUTED_VALUE"""),"MATALADTAD FARMERS IRRIGATORS ASSOCIATION INC.")</f>
        <v>MATALADTAD FARMERS IRRIGATORS ASSOCIATION INC.</v>
      </c>
      <c r="E523" s="71" t="str">
        <f>IFERROR(__xludf.DUMMYFUNCTION("""COMPUTED_VALUE"""),"Papaya, San Antonio, NUEVA ECIJA")</f>
        <v>Papaya, San Antonio, NUEVA ECIJA</v>
      </c>
      <c r="F523" s="2" t="str">
        <f>IFERROR(__xludf.DUMMYFUNCTION("""COMPUTED_VALUE"""),"Raymundo S. Sulit")</f>
        <v>Raymundo S. Sulit</v>
      </c>
      <c r="G523" s="2" t="str">
        <f>IFERROR(__xludf.DUMMYFUNCTION("""COMPUTED_VALUE"""),"0965-716-9673")</f>
        <v>0965-716-9673</v>
      </c>
      <c r="H523" s="2">
        <f>IFERROR(__xludf.DUMMYFUNCTION("""COMPUTED_VALUE"""),46.5)</f>
        <v>46.5</v>
      </c>
      <c r="I523" s="72" t="str">
        <f>IFERROR(__xludf.DUMMYFUNCTION("""COMPUTED_VALUE"""),"PMS")</f>
        <v>PMS</v>
      </c>
      <c r="J523" s="72" t="str">
        <f>IFERROR(__xludf.DUMMYFUNCTION("""COMPUTED_VALUE"""),"PMS")</f>
        <v>PMS</v>
      </c>
      <c r="K523" s="72" t="str">
        <f>IFERROR(__xludf.DUMMYFUNCTION("""COMPUTED_VALUE"""),"UPON TYM CAMPAIGN: SUBJECT FOR FIRST PMS")</f>
        <v>UPON TYM CAMPAIGN: SUBJECT FOR FIRST PMS</v>
      </c>
      <c r="L523" s="72" t="str">
        <f>IFERROR(__xludf.DUMMYFUNCTION("""COMPUTED_VALUE"""),"CANCELLED")</f>
        <v>CANCELLED</v>
      </c>
      <c r="M523" s="2"/>
      <c r="N523" s="2"/>
      <c r="O523" s="2" t="str">
        <f>IFERROR(__xludf.DUMMYFUNCTION("""COMPUTED_VALUE"""),"CANCELLED")</f>
        <v>CANCELLED</v>
      </c>
      <c r="P523" s="2"/>
      <c r="Q523" s="2"/>
      <c r="R523" s="74">
        <f>IFERROR(__xludf.DUMMYFUNCTION("""COMPUTED_VALUE"""),45565.0)</f>
        <v>45565</v>
      </c>
      <c r="S523" s="2" t="str">
        <f>IFERROR(__xludf.DUMMYFUNCTION("""COMPUTED_VALUE"""),"JHP/ACS")</f>
        <v>JHP/ACS</v>
      </c>
      <c r="T523" s="73" t="str">
        <f>IFERROR(__xludf.DUMMYFUNCTION("""COMPUTED_VALUE""")," N/A ")</f>
        <v>N/A</v>
      </c>
      <c r="U523" s="73" t="str">
        <f>IFERROR(__xludf.DUMMYFUNCTION("""COMPUTED_VALUE""")," NO CHARGE ")</f>
        <v>NO CHARGE</v>
      </c>
      <c r="V523" s="2"/>
      <c r="W523" s="2" t="str">
        <f>IFERROR(__xludf.DUMMYFUNCTION("""COMPUTED_VALUE"""),"N/A")</f>
        <v>N/A</v>
      </c>
      <c r="X523" s="2" t="str">
        <f>IFERROR(__xludf.DUMMYFUNCTION("""COMPUTED_VALUE"""),"N/A")</f>
        <v>N/A</v>
      </c>
      <c r="Y523" s="2"/>
      <c r="Z523" s="2"/>
      <c r="AA523" s="2"/>
      <c r="AB523" s="2"/>
      <c r="AC523" s="2"/>
      <c r="AD523" s="2"/>
      <c r="AE523" s="2"/>
      <c r="AF523" s="2"/>
      <c r="AG523" s="2"/>
      <c r="AH523" s="2"/>
      <c r="AI523" s="2"/>
      <c r="AJ523" s="2" t="str">
        <f>IFERROR(__xludf.DUMMYFUNCTION("""COMPUTED_VALUE"""),"Papaya")</f>
        <v>Papaya</v>
      </c>
      <c r="AK523" s="2" t="str">
        <f>IFERROR(__xludf.DUMMYFUNCTION("""COMPUTED_VALUE"""),"San Antonio")</f>
        <v>San Antonio</v>
      </c>
      <c r="AL523" s="2" t="str">
        <f>IFERROR(__xludf.DUMMYFUNCTION("""COMPUTED_VALUE"""),"Nueva Ecija")</f>
        <v>Nueva Ecija</v>
      </c>
      <c r="AM523" s="2">
        <f>IFERROR(__xludf.DUMMYFUNCTION("""COMPUTED_VALUE"""),3.0)</f>
        <v>3</v>
      </c>
      <c r="AN523" s="2" t="str">
        <f>IFERROR(__xludf.DUMMYFUNCTION("""COMPUTED_VALUE"""),"RCEF 23-09-21 Rebidding")</f>
        <v>RCEF 23-09-21 Rebidding</v>
      </c>
      <c r="AO523" s="2">
        <f>IFERROR(__xludf.DUMMYFUNCTION("""COMPUTED_VALUE"""),3.0)</f>
        <v>3</v>
      </c>
      <c r="AP523" s="2"/>
      <c r="AQ523" s="2"/>
      <c r="AR523" s="2"/>
      <c r="AS523" s="2"/>
      <c r="AT523" s="2"/>
      <c r="AU523" s="2"/>
      <c r="AV523" s="2"/>
      <c r="AW523" s="2"/>
      <c r="AX523" s="2"/>
      <c r="AY523" s="2"/>
      <c r="AZ523" s="2"/>
      <c r="BA523" s="2"/>
      <c r="BB523" s="2"/>
    </row>
    <row r="524">
      <c r="A524" s="2">
        <f>IFERROR(__xludf.DUMMYFUNCTION("""COMPUTED_VALUE"""),520.0)</f>
        <v>520</v>
      </c>
      <c r="B524" s="2" t="str">
        <f>IFERROR(__xludf.DUMMYFUNCTION("""COMPUTED_VALUE"""),"COMPLETED")</f>
        <v>COMPLETED</v>
      </c>
      <c r="C524" s="74">
        <f>IFERROR(__xludf.DUMMYFUNCTION("""COMPUTED_VALUE"""),45557.0)</f>
        <v>45557</v>
      </c>
      <c r="D524" s="71" t="str">
        <f>IFERROR(__xludf.DUMMYFUNCTION("""COMPUTED_VALUE"""),"MARELO FARMERS IRRIGATORS ASSOCIATION INC.")</f>
        <v>MARELO FARMERS IRRIGATORS ASSOCIATION INC.</v>
      </c>
      <c r="E524" s="71" t="str">
        <f>IFERROR(__xludf.DUMMYFUNCTION("""COMPUTED_VALUE"""),"Marelo, Gapan City, NUEVA ECIJA")</f>
        <v>Marelo, Gapan City, NUEVA ECIJA</v>
      </c>
      <c r="F524" s="2" t="str">
        <f>IFERROR(__xludf.DUMMYFUNCTION("""COMPUTED_VALUE"""),"Leoncio DG. Dela Cruz")</f>
        <v>Leoncio DG. Dela Cruz</v>
      </c>
      <c r="G524" s="2" t="str">
        <f>IFERROR(__xludf.DUMMYFUNCTION("""COMPUTED_VALUE"""),"0997-833-9241")</f>
        <v>0997-833-9241</v>
      </c>
      <c r="H524" s="2">
        <f>IFERROR(__xludf.DUMMYFUNCTION("""COMPUTED_VALUE"""),43.0)</f>
        <v>43</v>
      </c>
      <c r="I524" s="72" t="str">
        <f>IFERROR(__xludf.DUMMYFUNCTION("""COMPUTED_VALUE"""),"REPAIR - TRACTOR")</f>
        <v>REPAIR - TRACTOR</v>
      </c>
      <c r="J524" s="72" t="str">
        <f>IFERROR(__xludf.DUMMYFUNCTION("""COMPUTED_VALUE"""),"Electrical - PTO Switch")</f>
        <v>Electrical - PTO Switch</v>
      </c>
      <c r="K524" s="72" t="str">
        <f>IFERROR(__xludf.DUMMYFUNCTION("""COMPUTED_VALUE"""),"UPON CAMPAIGN: PTO DEFECTIVE
PTO SWITCH
EGT:HINDI SUMAGSAGOT NUNG TINATAWAGAN, MALAYO KAYA NI KUMPIRMA MUNA KUNG PWEDE PUNTAHAN KASO WALANG SAGOT, KAYA HINID NA MUNA PINUNTAHAN.")</f>
        <v>UPON CAMPAIGN: PTO DEFECTIVE
PTO SWITCH
EGT:HINDI SUMAGSAGOT NUNG TINATAWAGAN, MALAYO KAYA NI KUMPIRMA MUNA KUNG PWEDE PUNTAHAN KASO WALANG SAGOT, KAYA HINID NA MUNA PINUNTAHAN.</v>
      </c>
      <c r="L524" s="72" t="str">
        <f>IFERROR(__xludf.DUMMYFUNCTION("""COMPUTED_VALUE"""),"DDS: Yaan po yung tinawagan namin ni juvien non ma'am ang sabi po hindi daw po muna nagamit po na hospital po yung apo")</f>
        <v>DDS: Yaan po yung tinawagan namin ni juvien non ma'am ang sabi po hindi daw po muna nagamit po na hospital po yung apo</v>
      </c>
      <c r="M524" s="2"/>
      <c r="N524" s="2"/>
      <c r="O524" s="2" t="str">
        <f>IFERROR(__xludf.DUMMYFUNCTION("""COMPUTED_VALUE"""),"N/A")</f>
        <v>N/A</v>
      </c>
      <c r="P524" s="2"/>
      <c r="Q524" s="2"/>
      <c r="R524" s="74">
        <f>IFERROR(__xludf.DUMMYFUNCTION("""COMPUTED_VALUE"""),45630.0)</f>
        <v>45630</v>
      </c>
      <c r="S524" s="2" t="str">
        <f>IFERROR(__xludf.DUMMYFUNCTION("""COMPUTED_VALUE"""),"DSD")</f>
        <v>DSD</v>
      </c>
      <c r="T524" s="73" t="str">
        <f>IFERROR(__xludf.DUMMYFUNCTION("""COMPUTED_VALUE""")," N/A ")</f>
        <v>N/A</v>
      </c>
      <c r="U524" s="73" t="str">
        <f>IFERROR(__xludf.DUMMYFUNCTION("""COMPUTED_VALUE""")," NO CHARGE ")</f>
        <v>NO CHARGE</v>
      </c>
      <c r="V524" s="2"/>
      <c r="W524" s="2" t="str">
        <f>IFERROR(__xludf.DUMMYFUNCTION("""COMPUTED_VALUE"""),"N/A")</f>
        <v>N/A</v>
      </c>
      <c r="X524" s="2" t="str">
        <f>IFERROR(__xludf.DUMMYFUNCTION("""COMPUTED_VALUE"""),"N/A")</f>
        <v>N/A</v>
      </c>
      <c r="Y524" s="2"/>
      <c r="Z524" s="2"/>
      <c r="AA524" s="2"/>
      <c r="AB524" s="2"/>
      <c r="AC524" s="2"/>
      <c r="AD524" s="2"/>
      <c r="AE524" s="2"/>
      <c r="AF524" s="2"/>
      <c r="AG524" s="2"/>
      <c r="AH524" s="2"/>
      <c r="AI524" s="2"/>
      <c r="AJ524" s="2" t="str">
        <f>IFERROR(__xludf.DUMMYFUNCTION("""COMPUTED_VALUE"""),"Marelo")</f>
        <v>Marelo</v>
      </c>
      <c r="AK524" s="2" t="str">
        <f>IFERROR(__xludf.DUMMYFUNCTION("""COMPUTED_VALUE"""),"Gapan City")</f>
        <v>Gapan City</v>
      </c>
      <c r="AL524" s="2" t="str">
        <f>IFERROR(__xludf.DUMMYFUNCTION("""COMPUTED_VALUE"""),"Nueva Ecija")</f>
        <v>Nueva Ecija</v>
      </c>
      <c r="AM524" s="2">
        <f>IFERROR(__xludf.DUMMYFUNCTION("""COMPUTED_VALUE"""),3.0)</f>
        <v>3</v>
      </c>
      <c r="AN524" s="2" t="str">
        <f>IFERROR(__xludf.DUMMYFUNCTION("""COMPUTED_VALUE"""),"RCEF 23-09-21 Rebidding")</f>
        <v>RCEF 23-09-21 Rebidding</v>
      </c>
      <c r="AO524" s="2">
        <f>IFERROR(__xludf.DUMMYFUNCTION("""COMPUTED_VALUE"""),3.0)</f>
        <v>3</v>
      </c>
      <c r="AP524" s="2"/>
      <c r="AQ524" s="2"/>
      <c r="AR524" s="2"/>
      <c r="AS524" s="2"/>
      <c r="AT524" s="2"/>
      <c r="AU524" s="2"/>
      <c r="AV524" s="2"/>
      <c r="AW524" s="2"/>
      <c r="AX524" s="2"/>
      <c r="AY524" s="2"/>
      <c r="AZ524" s="2"/>
      <c r="BA524" s="2"/>
      <c r="BB524" s="2"/>
    </row>
    <row r="525">
      <c r="A525" s="2">
        <f>IFERROR(__xludf.DUMMYFUNCTION("""COMPUTED_VALUE"""),521.0)</f>
        <v>521</v>
      </c>
      <c r="B525" s="2" t="str">
        <f>IFERROR(__xludf.DUMMYFUNCTION("""COMPUTED_VALUE"""),"COMPLETED")</f>
        <v>COMPLETED</v>
      </c>
      <c r="C525" s="74">
        <f>IFERROR(__xludf.DUMMYFUNCTION("""COMPUTED_VALUE"""),45558.0)</f>
        <v>45558</v>
      </c>
      <c r="D525" s="71" t="str">
        <f>IFERROR(__xludf.DUMMYFUNCTION("""COMPUTED_VALUE"""),"KULTIHAN-KAMPUKLO-TUBUHAN-POOK (KTTP) FARMERS ASSOCIATION")</f>
        <v>KULTIHAN-KAMPUKLO-TUBUHAN-POOK (KTTP) FARMERS ASSOCIATION</v>
      </c>
      <c r="E525" s="71" t="str">
        <f>IFERROR(__xludf.DUMMYFUNCTION("""COMPUTED_VALUE"""),"Buenavista West, Candelaria, Quezon")</f>
        <v>Buenavista West, Candelaria, Quezon</v>
      </c>
      <c r="F525" s="2" t="str">
        <f>IFERROR(__xludf.DUMMYFUNCTION("""COMPUTED_VALUE"""),"Eladio C. Mercado")</f>
        <v>Eladio C. Mercado</v>
      </c>
      <c r="G525" s="2" t="str">
        <f>IFERROR(__xludf.DUMMYFUNCTION("""COMPUTED_VALUE"""),"0951 731 5092")</f>
        <v>0951 731 5092</v>
      </c>
      <c r="H525" s="2">
        <f>IFERROR(__xludf.DUMMYFUNCTION("""COMPUTED_VALUE"""),50.0)</f>
        <v>50</v>
      </c>
      <c r="I525" s="72" t="str">
        <f>IFERROR(__xludf.DUMMYFUNCTION("""COMPUTED_VALUE"""),"PMS")</f>
        <v>PMS</v>
      </c>
      <c r="J525" s="72" t="str">
        <f>IFERROR(__xludf.DUMMYFUNCTION("""COMPUTED_VALUE"""),"PMS")</f>
        <v>PMS</v>
      </c>
      <c r="K525" s="72" t="str">
        <f>IFERROR(__xludf.DUMMYFUNCTION("""COMPUTED_VALUE"""),"JTT: FIRST PMS")</f>
        <v>JTT: FIRST PMS</v>
      </c>
      <c r="L525" s="72" t="str">
        <f>IFERROR(__xludf.DUMMYFUNCTION("""COMPUTED_VALUE"""),"JTT: FIRST PMS DONE WITH PDF REPORT")</f>
        <v>JTT: FIRST PMS DONE WITH PDF REPORT</v>
      </c>
      <c r="M525" s="2"/>
      <c r="N525" s="2" t="str">
        <f>IFERROR(__xludf.DUMMYFUNCTION("""COMPUTED_VALUE"""),"PARTS: OIL FILTER, ENGINE OIL ")</f>
        <v>PARTS: OIL FILTER, ENGINE OIL </v>
      </c>
      <c r="O525" s="2" t="str">
        <f>IFERROR(__xludf.DUMMYFUNCTION("""COMPUTED_VALUE"""),"JIE-954")</f>
        <v>JIE-954</v>
      </c>
      <c r="P525" s="2"/>
      <c r="Q525" s="2"/>
      <c r="R525" s="74">
        <f>IFERROR(__xludf.DUMMYFUNCTION("""COMPUTED_VALUE"""),45560.0)</f>
        <v>45560</v>
      </c>
      <c r="S525" s="2" t="str">
        <f>IFERROR(__xludf.DUMMYFUNCTION("""COMPUTED_VALUE"""),"JTT")</f>
        <v>JTT</v>
      </c>
      <c r="T525" s="73">
        <f>IFERROR(__xludf.DUMMYFUNCTION("""COMPUTED_VALUE"""),3183.0)</f>
        <v>3183</v>
      </c>
      <c r="U525" s="73" t="str">
        <f>IFERROR(__xludf.DUMMYFUNCTION("""COMPUTED_VALUE""")," REMITTED ")</f>
        <v>REMITTED</v>
      </c>
      <c r="V525" s="2"/>
      <c r="W525" s="2"/>
      <c r="X525" s="2">
        <f>IFERROR(__xludf.DUMMYFUNCTION("""COMPUTED_VALUE"""),1148.0)</f>
        <v>1148</v>
      </c>
      <c r="Y525" s="2"/>
      <c r="Z525" s="2"/>
      <c r="AA525" s="2"/>
      <c r="AB525" s="2"/>
      <c r="AC525" s="2"/>
      <c r="AD525" s="2"/>
      <c r="AE525" s="2"/>
      <c r="AF525" s="2"/>
      <c r="AG525" s="2"/>
      <c r="AH525" s="2"/>
      <c r="AI525" s="2"/>
      <c r="AJ525" s="2" t="str">
        <f>IFERROR(__xludf.DUMMYFUNCTION("""COMPUTED_VALUE"""),"Buenavista West")</f>
        <v>Buenavista West</v>
      </c>
      <c r="AK525" s="2" t="str">
        <f>IFERROR(__xludf.DUMMYFUNCTION("""COMPUTED_VALUE"""),"Candelaria")</f>
        <v>Candelaria</v>
      </c>
      <c r="AL525" s="2" t="str">
        <f>IFERROR(__xludf.DUMMYFUNCTION("""COMPUTED_VALUE"""),"Quezon")</f>
        <v>Quezon</v>
      </c>
      <c r="AM525" s="2" t="str">
        <f>IFERROR(__xludf.DUMMYFUNCTION("""COMPUTED_VALUE"""),"4A")</f>
        <v>4A</v>
      </c>
      <c r="AN525" s="2" t="str">
        <f>IFERROR(__xludf.DUMMYFUNCTION("""COMPUTED_VALUE"""),"RCEF 23-08-20 Rebidding")</f>
        <v>RCEF 23-08-20 Rebidding</v>
      </c>
      <c r="AO525" s="2">
        <f>IFERROR(__xludf.DUMMYFUNCTION("""COMPUTED_VALUE"""),1.0)</f>
        <v>1</v>
      </c>
      <c r="AP525" s="2"/>
      <c r="AQ525" s="2"/>
      <c r="AR525" s="2"/>
      <c r="AS525" s="2"/>
      <c r="AT525" s="2"/>
      <c r="AU525" s="2"/>
      <c r="AV525" s="2"/>
      <c r="AW525" s="2"/>
      <c r="AX525" s="2"/>
      <c r="AY525" s="2"/>
      <c r="AZ525" s="2"/>
      <c r="BA525" s="2"/>
      <c r="BB525" s="2"/>
    </row>
    <row r="526">
      <c r="A526" s="2">
        <f>IFERROR(__xludf.DUMMYFUNCTION("""COMPUTED_VALUE"""),522.0)</f>
        <v>522</v>
      </c>
      <c r="B526" s="2" t="str">
        <f>IFERROR(__xludf.DUMMYFUNCTION("""COMPUTED_VALUE"""),"COMPLETED")</f>
        <v>COMPLETED</v>
      </c>
      <c r="C526" s="74">
        <f>IFERROR(__xludf.DUMMYFUNCTION("""COMPUTED_VALUE"""),45558.0)</f>
        <v>45558</v>
      </c>
      <c r="D526" s="71" t="str">
        <f>IFERROR(__xludf.DUMMYFUNCTION("""COMPUTED_VALUE"""),"ALISTO STO. NINO FARMERS ASSOCIATION INC.")</f>
        <v>ALISTO STO. NINO FARMERS ASSOCIATION INC.</v>
      </c>
      <c r="E526" s="71" t="str">
        <f>IFERROR(__xludf.DUMMYFUNCTION("""COMPUTED_VALUE"""),"Santo Niño, Binalonan, PANGASINAN")</f>
        <v>Santo Niño, Binalonan, PANGASINAN</v>
      </c>
      <c r="F526" s="2" t="str">
        <f>IFERROR(__xludf.DUMMYFUNCTION("""COMPUTED_VALUE"""),"Jericho U. Gabot")</f>
        <v>Jericho U. Gabot</v>
      </c>
      <c r="G526" s="2" t="str">
        <f>IFERROR(__xludf.DUMMYFUNCTION("""COMPUTED_VALUE"""),"0919-447-8358")</f>
        <v>0919-447-8358</v>
      </c>
      <c r="H526" s="2">
        <f>IFERROR(__xludf.DUMMYFUNCTION("""COMPUTED_VALUE"""),241.0)</f>
        <v>241</v>
      </c>
      <c r="I526" s="72" t="str">
        <f>IFERROR(__xludf.DUMMYFUNCTION("""COMPUTED_VALUE"""),"REPAIR - TRACTOR")</f>
        <v>REPAIR - TRACTOR</v>
      </c>
      <c r="J526" s="72" t="str">
        <f>IFERROR(__xludf.DUMMYFUNCTION("""COMPUTED_VALUE"""),"Transmission - Clutch")</f>
        <v>Transmission - Clutch</v>
      </c>
      <c r="K526" s="72" t="str">
        <f>IFERROR(__xludf.DUMMYFUNCTION("""COMPUTED_VALUE"""),"JTT; MAHINA DAW BUMATAK
KFS: Clutch system problem
PARTS: CLUTCH DISC ASSY")</f>
        <v>JTT; MAHINA DAW BUMATAK
KFS: Clutch system problem
PARTS: CLUTCH DISC ASSY</v>
      </c>
      <c r="L526" s="72" t="str">
        <f>IFERROR(__xludf.DUMMYFUNCTION("""COMPUTED_VALUE"""),"JHP: CANCELLED , PINABUKSAN SA IBANG MEKANIKO ")</f>
        <v>JHP: CANCELLED , PINABUKSAN SA IBANG MEKANIKO </v>
      </c>
      <c r="M526" s="2"/>
      <c r="N526" s="2"/>
      <c r="O526" s="2" t="str">
        <f>IFERROR(__xludf.DUMMYFUNCTION("""COMPUTED_VALUE"""),"CANCELLED")</f>
        <v>CANCELLED</v>
      </c>
      <c r="P526" s="2"/>
      <c r="Q526" s="2"/>
      <c r="R526" s="74">
        <f>IFERROR(__xludf.DUMMYFUNCTION("""COMPUTED_VALUE"""),45565.0)</f>
        <v>45565</v>
      </c>
      <c r="S526" s="2" t="str">
        <f>IFERROR(__xludf.DUMMYFUNCTION("""COMPUTED_VALUE"""),"JHP")</f>
        <v>JHP</v>
      </c>
      <c r="T526" s="73" t="str">
        <f>IFERROR(__xludf.DUMMYFUNCTION("""COMPUTED_VALUE""")," N/A ")</f>
        <v>N/A</v>
      </c>
      <c r="U526" s="73" t="str">
        <f>IFERROR(__xludf.DUMMYFUNCTION("""COMPUTED_VALUE""")," NO CHARGE ")</f>
        <v>NO CHARGE</v>
      </c>
      <c r="V526" s="2"/>
      <c r="W526" s="2" t="str">
        <f>IFERROR(__xludf.DUMMYFUNCTION("""COMPUTED_VALUE"""),"N/A")</f>
        <v>N/A</v>
      </c>
      <c r="X526" s="2" t="str">
        <f>IFERROR(__xludf.DUMMYFUNCTION("""COMPUTED_VALUE"""),"N/A")</f>
        <v>N/A</v>
      </c>
      <c r="Y526" s="2"/>
      <c r="Z526" s="2"/>
      <c r="AA526" s="2"/>
      <c r="AB526" s="2"/>
      <c r="AC526" s="2"/>
      <c r="AD526" s="2"/>
      <c r="AE526" s="2"/>
      <c r="AF526" s="2"/>
      <c r="AG526" s="2"/>
      <c r="AH526" s="2"/>
      <c r="AI526" s="2"/>
      <c r="AJ526" s="2" t="str">
        <f>IFERROR(__xludf.DUMMYFUNCTION("""COMPUTED_VALUE"""),"Santo Niño")</f>
        <v>Santo Niño</v>
      </c>
      <c r="AK526" s="2" t="str">
        <f>IFERROR(__xludf.DUMMYFUNCTION("""COMPUTED_VALUE"""),"Binalonan")</f>
        <v>Binalonan</v>
      </c>
      <c r="AL526" s="2" t="str">
        <f>IFERROR(__xludf.DUMMYFUNCTION("""COMPUTED_VALUE"""),"Pangasinan")</f>
        <v>Pangasinan</v>
      </c>
      <c r="AM526" s="2">
        <f>IFERROR(__xludf.DUMMYFUNCTION("""COMPUTED_VALUE"""),1.0)</f>
        <v>1</v>
      </c>
      <c r="AN526" s="2" t="str">
        <f>IFERROR(__xludf.DUMMYFUNCTION("""COMPUTED_VALUE"""),"RCEF 23-09-21 Rebidding")</f>
        <v>RCEF 23-09-21 Rebidding</v>
      </c>
      <c r="AO526" s="2">
        <f>IFERROR(__xludf.DUMMYFUNCTION("""COMPUTED_VALUE"""),2.0)</f>
        <v>2</v>
      </c>
      <c r="AP526" s="2"/>
      <c r="AQ526" s="2"/>
      <c r="AR526" s="2"/>
      <c r="AS526" s="2"/>
      <c r="AT526" s="2"/>
      <c r="AU526" s="2"/>
      <c r="AV526" s="2"/>
      <c r="AW526" s="2"/>
      <c r="AX526" s="2"/>
      <c r="AY526" s="2"/>
      <c r="AZ526" s="2"/>
      <c r="BA526" s="2"/>
      <c r="BB526" s="2"/>
    </row>
    <row r="527">
      <c r="A527" s="2">
        <f>IFERROR(__xludf.DUMMYFUNCTION("""COMPUTED_VALUE"""),523.0)</f>
        <v>523</v>
      </c>
      <c r="B527" s="2" t="str">
        <f>IFERROR(__xludf.DUMMYFUNCTION("""COMPUTED_VALUE"""),"COMPLETED")</f>
        <v>COMPLETED</v>
      </c>
      <c r="C527" s="74">
        <f>IFERROR(__xludf.DUMMYFUNCTION("""COMPUTED_VALUE"""),45559.0)</f>
        <v>45559</v>
      </c>
      <c r="D527" s="71" t="str">
        <f>IFERROR(__xludf.DUMMYFUNCTION("""COMPUTED_VALUE"""),"CARIZ IRRIGATORS ASSOCIATION, INC.")</f>
        <v>CARIZ IRRIGATORS ASSOCIATION, INC.</v>
      </c>
      <c r="E527" s="71" t="str">
        <f>IFERROR(__xludf.DUMMYFUNCTION("""COMPUTED_VALUE"""),"Camaal, Quirino, ISABELA")</f>
        <v>Camaal, Quirino, ISABELA</v>
      </c>
      <c r="F527" s="2" t="str">
        <f>IFERROR(__xludf.DUMMYFUNCTION("""COMPUTED_VALUE"""),"Ray S. Diampoc")</f>
        <v>Ray S. Diampoc</v>
      </c>
      <c r="G527" s="2">
        <f>IFERROR(__xludf.DUMMYFUNCTION("""COMPUTED_VALUE"""),9.676227404E9)</f>
        <v>9676227404</v>
      </c>
      <c r="H527" s="2">
        <f>IFERROR(__xludf.DUMMYFUNCTION("""COMPUTED_VALUE"""),192.1)</f>
        <v>192.1</v>
      </c>
      <c r="I527" s="72" t="str">
        <f>IFERROR(__xludf.DUMMYFUNCTION("""COMPUTED_VALUE"""),"REPAIR - TRACTOR")</f>
        <v>REPAIR - TRACTOR</v>
      </c>
      <c r="J527" s="72" t="str">
        <f>IFERROR(__xludf.DUMMYFUNCTION("""COMPUTED_VALUE"""),"Front Axle - Leaking")</f>
        <v>Front Axle - Leaking</v>
      </c>
      <c r="K527" s="72" t="str">
        <f>IFERROR(__xludf.DUMMYFUNCTION("""COMPUTED_VALUE"""),"ERP: Front Rear Axle leak (reported to CFG 2 weeks ago, no report)
PARTS: FRONT AXLE OIL SEAL, REAR AXLE OIL SEAL")</f>
        <v>ERP: Front Rear Axle leak (reported to CFG 2 weeks ago, no report)
PARTS: FRONT AXLE OIL SEAL, REAR AXLE OIL SEAL</v>
      </c>
      <c r="L527" s="72" t="str">
        <f>IFERROR(__xludf.DUMMYFUNCTION("""COMPUTED_VALUE"""),"ACS: FRONT AXLE LEAK, REPLACED FRONT AXLE OIL SEAL")</f>
        <v>ACS: FRONT AXLE LEAK, REPLACED FRONT AXLE OIL SEAL</v>
      </c>
      <c r="M527" s="2"/>
      <c r="N527" s="2" t="str">
        <f>IFERROR(__xludf.DUMMYFUNCTION("""COMPUTED_VALUE"""),"PARTS: 1 FRONT AXLE OIL SEAL")</f>
        <v>PARTS: 1 FRONT AXLE OIL SEAL</v>
      </c>
      <c r="O527" s="2">
        <f>IFERROR(__xludf.DUMMYFUNCTION("""COMPUTED_VALUE"""),571.0)</f>
        <v>571</v>
      </c>
      <c r="P527" s="2"/>
      <c r="Q527" s="2"/>
      <c r="R527" s="74">
        <f>IFERROR(__xludf.DUMMYFUNCTION("""COMPUTED_VALUE"""),45562.0)</f>
        <v>45562</v>
      </c>
      <c r="S527" s="2" t="str">
        <f>IFERROR(__xludf.DUMMYFUNCTION("""COMPUTED_VALUE"""),"JHP/ACS")</f>
        <v>JHP/ACS</v>
      </c>
      <c r="T527" s="73">
        <f>IFERROR(__xludf.DUMMYFUNCTION("""COMPUTED_VALUE"""),3400.0)</f>
        <v>3400</v>
      </c>
      <c r="U527" s="73" t="str">
        <f>IFERROR(__xludf.DUMMYFUNCTION("""COMPUTED_VALUE""")," REMITTED ")</f>
        <v>REMITTED</v>
      </c>
      <c r="V527" s="2"/>
      <c r="W527" s="2"/>
      <c r="X527" s="2">
        <f>IFERROR(__xludf.DUMMYFUNCTION("""COMPUTED_VALUE"""),1178.0)</f>
        <v>1178</v>
      </c>
      <c r="Y527" s="2"/>
      <c r="Z527" s="2"/>
      <c r="AA527" s="2"/>
      <c r="AB527" s="2"/>
      <c r="AC527" s="2"/>
      <c r="AD527" s="2"/>
      <c r="AE527" s="2"/>
      <c r="AF527" s="2"/>
      <c r="AG527" s="2"/>
      <c r="AH527" s="2"/>
      <c r="AI527" s="2"/>
      <c r="AJ527" s="2" t="str">
        <f>IFERROR(__xludf.DUMMYFUNCTION("""COMPUTED_VALUE"""),"Camaal")</f>
        <v>Camaal</v>
      </c>
      <c r="AK527" s="2" t="str">
        <f>IFERROR(__xludf.DUMMYFUNCTION("""COMPUTED_VALUE"""),"Quirino")</f>
        <v>Quirino</v>
      </c>
      <c r="AL527" s="2" t="str">
        <f>IFERROR(__xludf.DUMMYFUNCTION("""COMPUTED_VALUE"""),"Isabela")</f>
        <v>Isabela</v>
      </c>
      <c r="AM527" s="2">
        <f>IFERROR(__xludf.DUMMYFUNCTION("""COMPUTED_VALUE"""),2.0)</f>
        <v>2</v>
      </c>
      <c r="AN527" s="2" t="str">
        <f>IFERROR(__xludf.DUMMYFUNCTION("""COMPUTED_VALUE"""),"RCEF 23-09-21 Rebidding")</f>
        <v>RCEF 23-09-21 Rebidding</v>
      </c>
      <c r="AO527" s="2">
        <f>IFERROR(__xludf.DUMMYFUNCTION("""COMPUTED_VALUE"""),9.0)</f>
        <v>9</v>
      </c>
      <c r="AP527" s="2"/>
      <c r="AQ527" s="2"/>
      <c r="AR527" s="2"/>
      <c r="AS527" s="2"/>
      <c r="AT527" s="2"/>
      <c r="AU527" s="2"/>
      <c r="AV527" s="2"/>
      <c r="AW527" s="2"/>
      <c r="AX527" s="2"/>
      <c r="AY527" s="2"/>
      <c r="AZ527" s="2"/>
      <c r="BA527" s="2"/>
      <c r="BB527" s="2"/>
    </row>
    <row r="528">
      <c r="A528" s="2">
        <f>IFERROR(__xludf.DUMMYFUNCTION("""COMPUTED_VALUE"""),524.0)</f>
        <v>524</v>
      </c>
      <c r="B528" s="2" t="str">
        <f>IFERROR(__xludf.DUMMYFUNCTION("""COMPUTED_VALUE"""),"COMPLETED")</f>
        <v>COMPLETED</v>
      </c>
      <c r="C528" s="74">
        <f>IFERROR(__xludf.DUMMYFUNCTION("""COMPUTED_VALUE"""),45559.0)</f>
        <v>45559</v>
      </c>
      <c r="D528" s="71" t="str">
        <f>IFERROR(__xludf.DUMMYFUNCTION("""COMPUTED_VALUE"""),"Alfonso Lista Rice Cluster Farmers Federation Incorporated")</f>
        <v>Alfonso Lista Rice Cluster Farmers Federation Incorporated</v>
      </c>
      <c r="E528" s="71" t="str">
        <f>IFERROR(__xludf.DUMMYFUNCTION("""COMPUTED_VALUE"""),"Santa Maria, Alfonso Lista (Potia), IFUGAO")</f>
        <v>Santa Maria, Alfonso Lista (Potia), IFUGAO</v>
      </c>
      <c r="F528" s="2" t="str">
        <f>IFERROR(__xludf.DUMMYFUNCTION("""COMPUTED_VALUE"""),"Jeffrey Gaspar")</f>
        <v>Jeffrey Gaspar</v>
      </c>
      <c r="G528" s="2">
        <f>IFERROR(__xludf.DUMMYFUNCTION("""COMPUTED_VALUE"""),9.758950983E9)</f>
        <v>9758950983</v>
      </c>
      <c r="H528" s="2"/>
      <c r="I528" s="72" t="str">
        <f>IFERROR(__xludf.DUMMYFUNCTION("""COMPUTED_VALUE"""),"REPAIR - ROTAVATOR")</f>
        <v>REPAIR - ROTAVATOR</v>
      </c>
      <c r="J528" s="72"/>
      <c r="K528" s="72" t="str">
        <f>IFERROR(__xludf.DUMMYFUNCTION("""COMPUTED_VALUE"""),"JVV: Hindi po umikot ung mismong gear ng rotavator")</f>
        <v>JVV: Hindi po umikot ung mismong gear ng rotavator</v>
      </c>
      <c r="L528" s="72"/>
      <c r="M528" s="2"/>
      <c r="N528" s="2"/>
      <c r="O528" s="2" t="str">
        <f>IFERROR(__xludf.DUMMYFUNCTION("""COMPUTED_VALUE"""),"N/A")</f>
        <v>N/A</v>
      </c>
      <c r="P528" s="2"/>
      <c r="Q528" s="2"/>
      <c r="R528" s="74">
        <f>IFERROR(__xludf.DUMMYFUNCTION("""COMPUTED_VALUE"""),45567.0)</f>
        <v>45567</v>
      </c>
      <c r="S528" s="2" t="str">
        <f>IFERROR(__xludf.DUMMYFUNCTION("""COMPUTED_VALUE"""),"JHP/ACS")</f>
        <v>JHP/ACS</v>
      </c>
      <c r="T528" s="73" t="str">
        <f>IFERROR(__xludf.DUMMYFUNCTION("""COMPUTED_VALUE""")," N/A ")</f>
        <v>N/A</v>
      </c>
      <c r="U528" s="73" t="str">
        <f>IFERROR(__xludf.DUMMYFUNCTION("""COMPUTED_VALUE""")," NO CHARGE ")</f>
        <v>NO CHARGE</v>
      </c>
      <c r="V528" s="2"/>
      <c r="W528" s="2" t="str">
        <f>IFERROR(__xludf.DUMMYFUNCTION("""COMPUTED_VALUE"""),"N/A")</f>
        <v>N/A</v>
      </c>
      <c r="X528" s="2" t="str">
        <f>IFERROR(__xludf.DUMMYFUNCTION("""COMPUTED_VALUE"""),"N/A")</f>
        <v>N/A</v>
      </c>
      <c r="Y528" s="2"/>
      <c r="Z528" s="2"/>
      <c r="AA528" s="2"/>
      <c r="AB528" s="2"/>
      <c r="AC528" s="2"/>
      <c r="AD528" s="2"/>
      <c r="AE528" s="2"/>
      <c r="AF528" s="2"/>
      <c r="AG528" s="2"/>
      <c r="AH528" s="2"/>
      <c r="AI528" s="2"/>
      <c r="AJ528" s="2" t="str">
        <f>IFERROR(__xludf.DUMMYFUNCTION("""COMPUTED_VALUE"""),"Santa Maria")</f>
        <v>Santa Maria</v>
      </c>
      <c r="AK528" s="2" t="str">
        <f>IFERROR(__xludf.DUMMYFUNCTION("""COMPUTED_VALUE"""),"Alfonso Lista (Potia)")</f>
        <v>Alfonso Lista (Potia)</v>
      </c>
      <c r="AL528" s="2" t="str">
        <f>IFERROR(__xludf.DUMMYFUNCTION("""COMPUTED_VALUE"""),"Ifugao")</f>
        <v>Ifugao</v>
      </c>
      <c r="AM528" s="2" t="str">
        <f>IFERROR(__xludf.DUMMYFUNCTION("""COMPUTED_VALUE"""),"CAR")</f>
        <v>CAR</v>
      </c>
      <c r="AN528" s="2" t="str">
        <f>IFERROR(__xludf.DUMMYFUNCTION("""COMPUTED_VALUE"""),"RCEF 23-09-21 Rebidding")</f>
        <v>RCEF 23-09-21 Rebidding</v>
      </c>
      <c r="AO528" s="2">
        <f>IFERROR(__xludf.DUMMYFUNCTION("""COMPUTED_VALUE"""),1.0)</f>
        <v>1</v>
      </c>
      <c r="AP528" s="2"/>
      <c r="AQ528" s="2"/>
      <c r="AR528" s="2"/>
      <c r="AS528" s="2"/>
      <c r="AT528" s="2"/>
      <c r="AU528" s="2"/>
      <c r="AV528" s="2"/>
      <c r="AW528" s="2"/>
      <c r="AX528" s="2"/>
      <c r="AY528" s="2"/>
      <c r="AZ528" s="2"/>
      <c r="BA528" s="2"/>
      <c r="BB528" s="2"/>
    </row>
    <row r="529">
      <c r="A529" s="2">
        <f>IFERROR(__xludf.DUMMYFUNCTION("""COMPUTED_VALUE"""),525.0)</f>
        <v>525</v>
      </c>
      <c r="B529" s="2" t="str">
        <f>IFERROR(__xludf.DUMMYFUNCTION("""COMPUTED_VALUE"""),"COMPLETED")</f>
        <v>COMPLETED</v>
      </c>
      <c r="C529" s="74">
        <f>IFERROR(__xludf.DUMMYFUNCTION("""COMPUTED_VALUE"""),45559.0)</f>
        <v>45559</v>
      </c>
      <c r="D529" s="71" t="str">
        <f>IFERROR(__xludf.DUMMYFUNCTION("""COMPUTED_VALUE"""),"THE FARMERS OF LUNA AGRICULTURE COOPERATIVE")</f>
        <v>THE FARMERS OF LUNA AGRICULTURE COOPERATIVE</v>
      </c>
      <c r="E529" s="71" t="str">
        <f>IFERROR(__xludf.DUMMYFUNCTION("""COMPUTED_VALUE"""),"Centro 2, Luna, Isabela")</f>
        <v>Centro 2, Luna, Isabela</v>
      </c>
      <c r="F529" s="2" t="str">
        <f>IFERROR(__xludf.DUMMYFUNCTION("""COMPUTED_VALUE"""),"Arvin Salvador")</f>
        <v>Arvin Salvador</v>
      </c>
      <c r="G529" s="2">
        <f>IFERROR(__xludf.DUMMYFUNCTION("""COMPUTED_VALUE"""),9.056918861E9)</f>
        <v>9056918861</v>
      </c>
      <c r="H529" s="2">
        <f>IFERROR(__xludf.DUMMYFUNCTION("""COMPUTED_VALUE"""),452.8)</f>
        <v>452.8</v>
      </c>
      <c r="I529" s="72" t="str">
        <f>IFERROR(__xludf.DUMMYFUNCTION("""COMPUTED_VALUE"""),"REPAIR - TRACTOR")</f>
        <v>REPAIR - TRACTOR</v>
      </c>
      <c r="J529" s="72" t="str">
        <f>IFERROR(__xludf.DUMMYFUNCTION("""COMPUTED_VALUE"""),"Rear Axle - Leaking")</f>
        <v>Rear Axle - Leaking</v>
      </c>
      <c r="K529" s="72" t="str">
        <f>IFERROR(__xludf.DUMMYFUNCTION("""COMPUTED_VALUE"""),"ERP: Rear Axle wheel leak (right side)
^baak na to, tas may konting tama yung gearbox, prepare na din ng oil paper seal
PARTS: REAR AXLE OIL SEAL")</f>
        <v>ERP: Rear Axle wheel leak (right side)
^baak na to, tas may konting tama yung gearbox, prepare na din ng oil paper seal
PARTS: REAR AXLE OIL SEAL</v>
      </c>
      <c r="L529" s="72" t="str">
        <f>IFERROR(__xludf.DUMMYFUNCTION("""COMPUTED_VALUE"""),"ACS: REPLCAE REAR AXLE OIL SEAL AND HYDRAULIC FILTER")</f>
        <v>ACS: REPLCAE REAR AXLE OIL SEAL AND HYDRAULIC FILTER</v>
      </c>
      <c r="M529" s="2"/>
      <c r="N529" s="2" t="str">
        <f>IFERROR(__xludf.DUMMYFUNCTION("""COMPUTED_VALUE"""),"PARTS: REAR AXLE OIL SEAL, 1 HYDRAULIC FILTER")</f>
        <v>PARTS: REAR AXLE OIL SEAL, 1 HYDRAULIC FILTER</v>
      </c>
      <c r="O529" s="2">
        <f>IFERROR(__xludf.DUMMYFUNCTION("""COMPUTED_VALUE"""),579.0)</f>
        <v>579</v>
      </c>
      <c r="P529" s="2"/>
      <c r="Q529" s="2"/>
      <c r="R529" s="74">
        <f>IFERROR(__xludf.DUMMYFUNCTION("""COMPUTED_VALUE"""),45579.0)</f>
        <v>45579</v>
      </c>
      <c r="S529" s="2" t="str">
        <f>IFERROR(__xludf.DUMMYFUNCTION("""COMPUTED_VALUE"""),"JHP/ACS")</f>
        <v>JHP/ACS</v>
      </c>
      <c r="T529" s="73">
        <f>IFERROR(__xludf.DUMMYFUNCTION("""COMPUTED_VALUE"""),8800.0)</f>
        <v>8800</v>
      </c>
      <c r="U529" s="73" t="str">
        <f>IFERROR(__xludf.DUMMYFUNCTION("""COMPUTED_VALUE""")," REMITTED ")</f>
        <v>REMITTED</v>
      </c>
      <c r="V529" s="2"/>
      <c r="W529" s="2"/>
      <c r="X529" s="2">
        <f>IFERROR(__xludf.DUMMYFUNCTION("""COMPUTED_VALUE"""),1184.0)</f>
        <v>1184</v>
      </c>
      <c r="Y529" s="2"/>
      <c r="Z529" s="2"/>
      <c r="AA529" s="2"/>
      <c r="AB529" s="2"/>
      <c r="AC529" s="2"/>
      <c r="AD529" s="2"/>
      <c r="AE529" s="2"/>
      <c r="AF529" s="2"/>
      <c r="AG529" s="2"/>
      <c r="AH529" s="2"/>
      <c r="AI529" s="2"/>
      <c r="AJ529" s="2" t="str">
        <f>IFERROR(__xludf.DUMMYFUNCTION("""COMPUTED_VALUE"""),"Centro 2")</f>
        <v>Centro 2</v>
      </c>
      <c r="AK529" s="2" t="str">
        <f>IFERROR(__xludf.DUMMYFUNCTION("""COMPUTED_VALUE"""),"Luna")</f>
        <v>Luna</v>
      </c>
      <c r="AL529" s="2" t="str">
        <f>IFERROR(__xludf.DUMMYFUNCTION("""COMPUTED_VALUE"""),"Isabela")</f>
        <v>Isabela</v>
      </c>
      <c r="AM529" s="2">
        <f>IFERROR(__xludf.DUMMYFUNCTION("""COMPUTED_VALUE"""),2.0)</f>
        <v>2</v>
      </c>
      <c r="AN529" s="2" t="str">
        <f>IFERROR(__xludf.DUMMYFUNCTION("""COMPUTED_VALUE"""),"RCEF 23-09-21 Rebidding")</f>
        <v>RCEF 23-09-21 Rebidding</v>
      </c>
      <c r="AO529" s="2">
        <f>IFERROR(__xludf.DUMMYFUNCTION("""COMPUTED_VALUE"""),9.0)</f>
        <v>9</v>
      </c>
      <c r="AP529" s="2"/>
      <c r="AQ529" s="2"/>
      <c r="AR529" s="2"/>
      <c r="AS529" s="2"/>
      <c r="AT529" s="2"/>
      <c r="AU529" s="2"/>
      <c r="AV529" s="2"/>
      <c r="AW529" s="2"/>
      <c r="AX529" s="2"/>
      <c r="AY529" s="2"/>
      <c r="AZ529" s="2"/>
      <c r="BA529" s="2"/>
      <c r="BB529" s="2"/>
    </row>
    <row r="530">
      <c r="A530" s="2">
        <f>IFERROR(__xludf.DUMMYFUNCTION("""COMPUTED_VALUE"""),526.0)</f>
        <v>526</v>
      </c>
      <c r="B530" s="2" t="str">
        <f>IFERROR(__xludf.DUMMYFUNCTION("""COMPUTED_VALUE"""),"COMPLETED")</f>
        <v>COMPLETED</v>
      </c>
      <c r="C530" s="74">
        <f>IFERROR(__xludf.DUMMYFUNCTION("""COMPUTED_VALUE"""),45559.0)</f>
        <v>45559</v>
      </c>
      <c r="D530" s="71" t="str">
        <f>IFERROR(__xludf.DUMMYFUNCTION("""COMPUTED_VALUE"""),"SOLID ALLIANCE OF NEIGHBORS FOR DEVELOPMENT THROUGH IRRIGATOS ASSOCIATION AND TECHNOLOGY (SANDIAT) COUNCIL OF IRRIGATORS ASSOCIATION, INC.")</f>
        <v>SOLID ALLIANCE OF NEIGHBORS FOR DEVELOPMENT THROUGH IRRIGATOS ASSOCIATION AND TECHNOLOGY (SANDIAT) COUNCIL OF IRRIGATORS ASSOCIATION, INC.</v>
      </c>
      <c r="E530" s="71" t="str">
        <f>IFERROR(__xludf.DUMMYFUNCTION("""COMPUTED_VALUE"""),"District 1 (Pob.), San Manuel (Callang), ISABELA")</f>
        <v>District 1 (Pob.), San Manuel (Callang), ISABELA</v>
      </c>
      <c r="F530" s="2" t="str">
        <f>IFERROR(__xludf.DUMMYFUNCTION("""COMPUTED_VALUE"""),"Guillermo P. Ignacio")</f>
        <v>Guillermo P. Ignacio</v>
      </c>
      <c r="G530" s="2">
        <f>IFERROR(__xludf.DUMMYFUNCTION("""COMPUTED_VALUE"""),9.156339108E9)</f>
        <v>9156339108</v>
      </c>
      <c r="H530" s="2"/>
      <c r="I530" s="72" t="str">
        <f>IFERROR(__xludf.DUMMYFUNCTION("""COMPUTED_VALUE"""),"REPAIR - TRACTOR")</f>
        <v>REPAIR - TRACTOR</v>
      </c>
      <c r="J530" s="72" t="str">
        <f>IFERROR(__xludf.DUMMYFUNCTION("""COMPUTED_VALUE"""),"Rear Axle - Leaking")</f>
        <v>Rear Axle - Leaking</v>
      </c>
      <c r="K530" s="72" t="str">
        <f>IFERROR(__xludf.DUMMYFUNCTION("""COMPUTED_VALUE"""),"ERP: Rear Axle Wheel Leaks (Both)
PARTS: OIL SEAL REAR AXLE")</f>
        <v>ERP: Rear Axle Wheel Leaks (Both)
PARTS: OIL SEAL REAR AXLE</v>
      </c>
      <c r="L530" s="72" t="str">
        <f>IFERROR(__xludf.DUMMYFUNCTION("""COMPUTED_VALUE"""),"CLOSED NEED SERVICE REPORT")</f>
        <v>CLOSED NEED SERVICE REPORT</v>
      </c>
      <c r="M530" s="2"/>
      <c r="N530" s="2" t="str">
        <f>IFERROR(__xludf.DUMMYFUNCTION("""COMPUTED_VALUE"""),"PARTS: OIL FILTER")</f>
        <v>PARTS: OIL FILTER</v>
      </c>
      <c r="O530" s="2">
        <f>IFERROR(__xludf.DUMMYFUNCTION("""COMPUTED_VALUE"""),1320.0)</f>
        <v>1320</v>
      </c>
      <c r="P530" s="2"/>
      <c r="Q530" s="2"/>
      <c r="R530" s="74">
        <f>IFERROR(__xludf.DUMMYFUNCTION("""COMPUTED_VALUE"""),45604.0)</f>
        <v>45604</v>
      </c>
      <c r="S530" s="2" t="str">
        <f>IFERROR(__xludf.DUMMYFUNCTION("""COMPUTED_VALUE"""),"DRM/EGT")</f>
        <v>DRM/EGT</v>
      </c>
      <c r="T530" s="73">
        <f>IFERROR(__xludf.DUMMYFUNCTION("""COMPUTED_VALUE"""),1533.0)</f>
        <v>1533</v>
      </c>
      <c r="U530" s="73" t="str">
        <f>IFERROR(__xludf.DUMMYFUNCTION("""COMPUTED_VALUE""")," REMITTED ")</f>
        <v>REMITTED</v>
      </c>
      <c r="V530" s="2"/>
      <c r="W530" s="2">
        <f>IFERROR(__xludf.DUMMYFUNCTION("""COMPUTED_VALUE"""),1323.0)</f>
        <v>1323</v>
      </c>
      <c r="X530" s="2">
        <f>IFERROR(__xludf.DUMMYFUNCTION("""COMPUTED_VALUE"""),1229.0)</f>
        <v>1229</v>
      </c>
      <c r="Y530" s="2"/>
      <c r="Z530" s="2"/>
      <c r="AA530" s="2"/>
      <c r="AB530" s="2"/>
      <c r="AC530" s="2"/>
      <c r="AD530" s="2"/>
      <c r="AE530" s="2"/>
      <c r="AF530" s="2"/>
      <c r="AG530" s="2"/>
      <c r="AH530" s="2"/>
      <c r="AI530" s="2"/>
      <c r="AJ530" s="2" t="str">
        <f>IFERROR(__xludf.DUMMYFUNCTION("""COMPUTED_VALUE"""),"District 1 (Pob.)")</f>
        <v>District 1 (Pob.)</v>
      </c>
      <c r="AK530" s="2" t="str">
        <f>IFERROR(__xludf.DUMMYFUNCTION("""COMPUTED_VALUE"""),"San Manuel (Callang)")</f>
        <v>San Manuel (Callang)</v>
      </c>
      <c r="AL530" s="2" t="str">
        <f>IFERROR(__xludf.DUMMYFUNCTION("""COMPUTED_VALUE"""),"Isabela")</f>
        <v>Isabela</v>
      </c>
      <c r="AM530" s="2">
        <f>IFERROR(__xludf.DUMMYFUNCTION("""COMPUTED_VALUE"""),2.0)</f>
        <v>2</v>
      </c>
      <c r="AN530" s="2" t="str">
        <f>IFERROR(__xludf.DUMMYFUNCTION("""COMPUTED_VALUE"""),"RCEF 23-09-21 Rebidding")</f>
        <v>RCEF 23-09-21 Rebidding</v>
      </c>
      <c r="AO530" s="2">
        <f>IFERROR(__xludf.DUMMYFUNCTION("""COMPUTED_VALUE"""),1.0)</f>
        <v>1</v>
      </c>
      <c r="AP530" s="2"/>
      <c r="AQ530" s="2"/>
      <c r="AR530" s="2"/>
      <c r="AS530" s="2"/>
      <c r="AT530" s="2"/>
      <c r="AU530" s="2"/>
      <c r="AV530" s="2"/>
      <c r="AW530" s="2"/>
      <c r="AX530" s="2"/>
      <c r="AY530" s="2"/>
      <c r="AZ530" s="2"/>
      <c r="BA530" s="2"/>
      <c r="BB530" s="2"/>
    </row>
    <row r="531">
      <c r="A531" s="2">
        <f>IFERROR(__xludf.DUMMYFUNCTION("""COMPUTED_VALUE"""),527.0)</f>
        <v>527</v>
      </c>
      <c r="B531" s="2" t="str">
        <f>IFERROR(__xludf.DUMMYFUNCTION("""COMPUTED_VALUE"""),"COMPLETED")</f>
        <v>COMPLETED</v>
      </c>
      <c r="C531" s="74">
        <f>IFERROR(__xludf.DUMMYFUNCTION("""COMPUTED_VALUE"""),45559.0)</f>
        <v>45559</v>
      </c>
      <c r="D531" s="71" t="str">
        <f>IFERROR(__xludf.DUMMYFUNCTION("""COMPUTED_VALUE"""),"MARCEL DEL PILAR FARMERS ASSOCIATION (MDPILFA)")</f>
        <v>MARCEL DEL PILAR FARMERS ASSOCIATION (MDPILFA)</v>
      </c>
      <c r="E531" s="71" t="str">
        <f>IFERROR(__xludf.DUMMYFUNCTION("""COMPUTED_VALUE"""),"M. H. Del Pilar, Pontevedra, NEGROS OCCIDENTAL")</f>
        <v>M. H. Del Pilar, Pontevedra, NEGROS OCCIDENTAL</v>
      </c>
      <c r="F531" s="2" t="str">
        <f>IFERROR(__xludf.DUMMYFUNCTION("""COMPUTED_VALUE"""),"JENNY E. SALIDARES")</f>
        <v>JENNY E. SALIDARES</v>
      </c>
      <c r="G531" s="2">
        <f>IFERROR(__xludf.DUMMYFUNCTION("""COMPUTED_VALUE"""),9.338192826E9)</f>
        <v>9338192826</v>
      </c>
      <c r="H531" s="2">
        <f>IFERROR(__xludf.DUMMYFUNCTION("""COMPUTED_VALUE"""),56.0)</f>
        <v>56</v>
      </c>
      <c r="I531" s="72" t="str">
        <f>IFERROR(__xludf.DUMMYFUNCTION("""COMPUTED_VALUE"""),"PMS")</f>
        <v>PMS</v>
      </c>
      <c r="J531" s="72" t="str">
        <f>IFERROR(__xludf.DUMMYFUNCTION("""COMPUTED_VALUE"""),"PMS")</f>
        <v>PMS</v>
      </c>
      <c r="K531" s="72" t="str">
        <f>IFERROR(__xludf.DUMMYFUNCTION("""COMPUTED_VALUE"""),"MYKEE; FIRST PMS")</f>
        <v>MYKEE; FIRST PMS</v>
      </c>
      <c r="L531" s="72" t="str">
        <f>IFERROR(__xludf.DUMMYFUNCTION("""COMPUTED_VALUE"""),"CALL")</f>
        <v>CALL</v>
      </c>
      <c r="M531" s="2"/>
      <c r="N531" s="2"/>
      <c r="O531" s="2" t="str">
        <f>IFERROR(__xludf.DUMMYFUNCTION("""COMPUTED_VALUE"""),"N/A")</f>
        <v>N/A</v>
      </c>
      <c r="P531" s="2"/>
      <c r="Q531" s="2"/>
      <c r="R531" s="74">
        <f>IFERROR(__xludf.DUMMYFUNCTION("""COMPUTED_VALUE"""),45574.0)</f>
        <v>45574</v>
      </c>
      <c r="S531" s="2"/>
      <c r="T531" s="73" t="str">
        <f>IFERROR(__xludf.DUMMYFUNCTION("""COMPUTED_VALUE""")," N/A ")</f>
        <v>N/A</v>
      </c>
      <c r="U531" s="73" t="str">
        <f>IFERROR(__xludf.DUMMYFUNCTION("""COMPUTED_VALUE""")," NO CHARGE ")</f>
        <v>NO CHARGE</v>
      </c>
      <c r="V531" s="2" t="str">
        <f>IFERROR(__xludf.DUMMYFUNCTION("""COMPUTED_VALUE"""),"N/A")</f>
        <v>N/A</v>
      </c>
      <c r="W531" s="2" t="str">
        <f>IFERROR(__xludf.DUMMYFUNCTION("""COMPUTED_VALUE"""),"N/A")</f>
        <v>N/A</v>
      </c>
      <c r="X531" s="2" t="str">
        <f>IFERROR(__xludf.DUMMYFUNCTION("""COMPUTED_VALUE"""),"N/A")</f>
        <v>N/A</v>
      </c>
      <c r="Y531" s="2"/>
      <c r="Z531" s="2"/>
      <c r="AA531" s="2"/>
      <c r="AB531" s="2"/>
      <c r="AC531" s="2"/>
      <c r="AD531" s="2"/>
      <c r="AE531" s="2"/>
      <c r="AF531" s="2"/>
      <c r="AG531" s="2"/>
      <c r="AH531" s="2"/>
      <c r="AI531" s="2"/>
      <c r="AJ531" s="2" t="str">
        <f>IFERROR(__xludf.DUMMYFUNCTION("""COMPUTED_VALUE"""),"M. H. Del Pilar")</f>
        <v>M. H. Del Pilar</v>
      </c>
      <c r="AK531" s="2" t="str">
        <f>IFERROR(__xludf.DUMMYFUNCTION("""COMPUTED_VALUE"""),"Pontevedra")</f>
        <v>Pontevedra</v>
      </c>
      <c r="AL531" s="2" t="str">
        <f>IFERROR(__xludf.DUMMYFUNCTION("""COMPUTED_VALUE"""),"Negros Occidental")</f>
        <v>Negros Occidental</v>
      </c>
      <c r="AM531" s="2">
        <f>IFERROR(__xludf.DUMMYFUNCTION("""COMPUTED_VALUE"""),6.0)</f>
        <v>6</v>
      </c>
      <c r="AN531" s="2" t="str">
        <f>IFERROR(__xludf.DUMMYFUNCTION("""COMPUTED_VALUE"""),"RCEF 23-09-21 Rebidding")</f>
        <v>RCEF 23-09-21 Rebidding</v>
      </c>
      <c r="AO531" s="2">
        <f>IFERROR(__xludf.DUMMYFUNCTION("""COMPUTED_VALUE"""),4.0)</f>
        <v>4</v>
      </c>
      <c r="AP531" s="2"/>
      <c r="AQ531" s="2"/>
      <c r="AR531" s="2"/>
      <c r="AS531" s="2"/>
      <c r="AT531" s="2"/>
      <c r="AU531" s="2"/>
      <c r="AV531" s="2"/>
      <c r="AW531" s="2"/>
      <c r="AX531" s="2"/>
      <c r="AY531" s="2"/>
      <c r="AZ531" s="2"/>
      <c r="BA531" s="2"/>
      <c r="BB531" s="2"/>
    </row>
    <row r="532">
      <c r="A532" s="2">
        <f>IFERROR(__xludf.DUMMYFUNCTION("""COMPUTED_VALUE"""),528.0)</f>
        <v>528</v>
      </c>
      <c r="B532" s="2" t="str">
        <f>IFERROR(__xludf.DUMMYFUNCTION("""COMPUTED_VALUE"""),"COMPLETED")</f>
        <v>COMPLETED</v>
      </c>
      <c r="C532" s="74">
        <f>IFERROR(__xludf.DUMMYFUNCTION("""COMPUTED_VALUE"""),45559.0)</f>
        <v>45559</v>
      </c>
      <c r="D532" s="71" t="str">
        <f>IFERROR(__xludf.DUMMYFUNCTION("""COMPUTED_VALUE"""),"Talanghauan Farmers Association")</f>
        <v>Talanghauan Farmers Association</v>
      </c>
      <c r="E532" s="71" t="str">
        <f>IFERROR(__xludf.DUMMYFUNCTION("""COMPUTED_VALUE"""),"Talanghauan, Cabatuan, ILOILO")</f>
        <v>Talanghauan, Cabatuan, ILOILO</v>
      </c>
      <c r="F532" s="2" t="str">
        <f>IFERROR(__xludf.DUMMYFUNCTION("""COMPUTED_VALUE"""),"ABERLADO BUYSING 3")</f>
        <v>ABERLADO BUYSING 3</v>
      </c>
      <c r="G532" s="2" t="str">
        <f>IFERROR(__xludf.DUMMYFUNCTION("""COMPUTED_VALUE"""),"(033) 332 5792")</f>
        <v>(033) 332 5792</v>
      </c>
      <c r="H532" s="2"/>
      <c r="I532" s="72" t="str">
        <f>IFERROR(__xludf.DUMMYFUNCTION("""COMPUTED_VALUE"""),"REPAIR - TRACTOR")</f>
        <v>REPAIR - TRACTOR</v>
      </c>
      <c r="J532" s="72" t="str">
        <f>IFERROR(__xludf.DUMMYFUNCTION("""COMPUTED_VALUE"""),"RADIATOR")</f>
        <v>RADIATOR</v>
      </c>
      <c r="K532" s="72" t="str">
        <f>IFERROR(__xludf.DUMMYFUNCTION("""COMPUTED_VALUE"""),"MYKEE: RADIATOR PROBLEM ")</f>
        <v>MYKEE: RADIATOR PROBLEM </v>
      </c>
      <c r="L532" s="72" t="str">
        <f>IFERROR(__xludf.DUMMYFUNCTION("""COMPUTED_VALUE"""),"MYKEE: OK NA , PINAGAWA NA NG FARMER ")</f>
        <v>MYKEE: OK NA , PINAGAWA NA NG FARMER </v>
      </c>
      <c r="M532" s="2"/>
      <c r="N532" s="2"/>
      <c r="O532" s="2" t="str">
        <f>IFERROR(__xludf.DUMMYFUNCTION("""COMPUTED_VALUE"""),"N/A")</f>
        <v>N/A</v>
      </c>
      <c r="P532" s="2"/>
      <c r="Q532" s="2"/>
      <c r="R532" s="74">
        <f>IFERROR(__xludf.DUMMYFUNCTION("""COMPUTED_VALUE"""),45588.0)</f>
        <v>45588</v>
      </c>
      <c r="S532" s="2" t="str">
        <f>IFERROR(__xludf.DUMMYFUNCTION("""COMPUTED_VALUE"""),"MYKEE")</f>
        <v>MYKEE</v>
      </c>
      <c r="T532" s="73" t="str">
        <f>IFERROR(__xludf.DUMMYFUNCTION("""COMPUTED_VALUE""")," N/A ")</f>
        <v>N/A</v>
      </c>
      <c r="U532" s="73" t="str">
        <f>IFERROR(__xludf.DUMMYFUNCTION("""COMPUTED_VALUE""")," NO CHARGE ")</f>
        <v>NO CHARGE</v>
      </c>
      <c r="V532" s="2"/>
      <c r="W532" s="2" t="str">
        <f>IFERROR(__xludf.DUMMYFUNCTION("""COMPUTED_VALUE"""),"N/A")</f>
        <v>N/A</v>
      </c>
      <c r="X532" s="2" t="str">
        <f>IFERROR(__xludf.DUMMYFUNCTION("""COMPUTED_VALUE"""),"N/A")</f>
        <v>N/A</v>
      </c>
      <c r="Y532" s="2"/>
      <c r="Z532" s="2"/>
      <c r="AA532" s="2"/>
      <c r="AB532" s="2"/>
      <c r="AC532" s="2"/>
      <c r="AD532" s="2"/>
      <c r="AE532" s="2"/>
      <c r="AF532" s="2"/>
      <c r="AG532" s="2"/>
      <c r="AH532" s="2"/>
      <c r="AI532" s="2"/>
      <c r="AJ532" s="2" t="str">
        <f>IFERROR(__xludf.DUMMYFUNCTION("""COMPUTED_VALUE"""),"Talanghauan")</f>
        <v>Talanghauan</v>
      </c>
      <c r="AK532" s="2" t="str">
        <f>IFERROR(__xludf.DUMMYFUNCTION("""COMPUTED_VALUE"""),"Cabatuan")</f>
        <v>Cabatuan</v>
      </c>
      <c r="AL532" s="2" t="str">
        <f>IFERROR(__xludf.DUMMYFUNCTION("""COMPUTED_VALUE"""),"Iloilo")</f>
        <v>Iloilo</v>
      </c>
      <c r="AM532" s="2">
        <f>IFERROR(__xludf.DUMMYFUNCTION("""COMPUTED_VALUE"""),6.0)</f>
        <v>6</v>
      </c>
      <c r="AN532" s="2" t="str">
        <f>IFERROR(__xludf.DUMMYFUNCTION("""COMPUTED_VALUE"""),"RCEF 23-09-21 Rebidding")</f>
        <v>RCEF 23-09-21 Rebidding</v>
      </c>
      <c r="AO532" s="2">
        <f>IFERROR(__xludf.DUMMYFUNCTION("""COMPUTED_VALUE"""),4.0)</f>
        <v>4</v>
      </c>
      <c r="AP532" s="2"/>
      <c r="AQ532" s="2"/>
      <c r="AR532" s="2"/>
      <c r="AS532" s="2"/>
      <c r="AT532" s="2"/>
      <c r="AU532" s="2"/>
      <c r="AV532" s="2"/>
      <c r="AW532" s="2"/>
      <c r="AX532" s="2"/>
      <c r="AY532" s="2"/>
      <c r="AZ532" s="2"/>
      <c r="BA532" s="2"/>
      <c r="BB532" s="2"/>
    </row>
    <row r="533">
      <c r="A533" s="2">
        <f>IFERROR(__xludf.DUMMYFUNCTION("""COMPUTED_VALUE"""),529.0)</f>
        <v>529</v>
      </c>
      <c r="B533" s="2" t="str">
        <f>IFERROR(__xludf.DUMMYFUNCTION("""COMPUTED_VALUE"""),"COMPLETED")</f>
        <v>COMPLETED</v>
      </c>
      <c r="C533" s="74">
        <f>IFERROR(__xludf.DUMMYFUNCTION("""COMPUTED_VALUE"""),45560.0)</f>
        <v>45560</v>
      </c>
      <c r="D533" s="71" t="str">
        <f>IFERROR(__xludf.DUMMYFUNCTION("""COMPUTED_VALUE"""),"SAMAHAN NG MGA MAGSASAKA NG PAHINGA NORTE")</f>
        <v>SAMAHAN NG MGA MAGSASAKA NG PAHINGA NORTE</v>
      </c>
      <c r="E533" s="71" t="str">
        <f>IFERROR(__xludf.DUMMYFUNCTION("""COMPUTED_VALUE"""),"Pahinga Norte, Candelaria, Quezon")</f>
        <v>Pahinga Norte, Candelaria, Quezon</v>
      </c>
      <c r="F533" s="2" t="str">
        <f>IFERROR(__xludf.DUMMYFUNCTION("""COMPUTED_VALUE"""),"Roberto Ebora")</f>
        <v>Roberto Ebora</v>
      </c>
      <c r="G533" s="2" t="str">
        <f>IFERROR(__xludf.DUMMYFUNCTION("""COMPUTED_VALUE"""),"0936-915-6875")</f>
        <v>0936-915-6875</v>
      </c>
      <c r="H533" s="2"/>
      <c r="I533" s="72" t="str">
        <f>IFERROR(__xludf.DUMMYFUNCTION("""COMPUTED_VALUE"""),"PMS")</f>
        <v>PMS</v>
      </c>
      <c r="J533" s="72" t="str">
        <f>IFERROR(__xludf.DUMMYFUNCTION("""COMPUTED_VALUE"""),"PMS")</f>
        <v>PMS</v>
      </c>
      <c r="K533" s="72" t="str">
        <f>IFERROR(__xludf.DUMMYFUNCTION("""COMPUTED_VALUE"""),"JTT: FIRST PMS")</f>
        <v>JTT: FIRST PMS</v>
      </c>
      <c r="L533" s="72" t="str">
        <f>IFERROR(__xludf.DUMMYFUNCTION("""COMPUTED_VALUE"""),"JTT: FIRST PMS DONE WITH PDF REPORT")</f>
        <v>JTT: FIRST PMS DONE WITH PDF REPORT</v>
      </c>
      <c r="M533" s="2"/>
      <c r="N533" s="2" t="str">
        <f>IFERROR(__xludf.DUMMYFUNCTION("""COMPUTED_VALUE"""),"PARTS: OIL FILTER")</f>
        <v>PARTS: OIL FILTER</v>
      </c>
      <c r="O533" s="2" t="str">
        <f>IFERROR(__xludf.DUMMYFUNCTION("""COMPUTED_VALUE"""),"JIE-955")</f>
        <v>JIE-955</v>
      </c>
      <c r="P533" s="2"/>
      <c r="Q533" s="2"/>
      <c r="R533" s="74">
        <f>IFERROR(__xludf.DUMMYFUNCTION("""COMPUTED_VALUE"""),45560.0)</f>
        <v>45560</v>
      </c>
      <c r="S533" s="2" t="str">
        <f>IFERROR(__xludf.DUMMYFUNCTION("""COMPUTED_VALUE"""),"JTT")</f>
        <v>JTT</v>
      </c>
      <c r="T533" s="73">
        <f>IFERROR(__xludf.DUMMYFUNCTION("""COMPUTED_VALUE"""),1533.0)</f>
        <v>1533</v>
      </c>
      <c r="U533" s="73" t="str">
        <f>IFERROR(__xludf.DUMMYFUNCTION("""COMPUTED_VALUE""")," REMITTED ")</f>
        <v>REMITTED</v>
      </c>
      <c r="V533" s="2"/>
      <c r="W533" s="2"/>
      <c r="X533" s="2">
        <f>IFERROR(__xludf.DUMMYFUNCTION("""COMPUTED_VALUE"""),1144.0)</f>
        <v>1144</v>
      </c>
      <c r="Y533" s="2"/>
      <c r="Z533" s="2"/>
      <c r="AA533" s="2"/>
      <c r="AB533" s="2"/>
      <c r="AC533" s="2"/>
      <c r="AD533" s="2"/>
      <c r="AE533" s="2"/>
      <c r="AF533" s="2"/>
      <c r="AG533" s="2"/>
      <c r="AH533" s="2"/>
      <c r="AI533" s="2"/>
      <c r="AJ533" s="2" t="str">
        <f>IFERROR(__xludf.DUMMYFUNCTION("""COMPUTED_VALUE"""),"Pahinga Norte")</f>
        <v>Pahinga Norte</v>
      </c>
      <c r="AK533" s="2" t="str">
        <f>IFERROR(__xludf.DUMMYFUNCTION("""COMPUTED_VALUE"""),"Candelaria")</f>
        <v>Candelaria</v>
      </c>
      <c r="AL533" s="2" t="str">
        <f>IFERROR(__xludf.DUMMYFUNCTION("""COMPUTED_VALUE"""),"Quezon")</f>
        <v>Quezon</v>
      </c>
      <c r="AM533" s="2" t="str">
        <f>IFERROR(__xludf.DUMMYFUNCTION("""COMPUTED_VALUE"""),"4A")</f>
        <v>4A</v>
      </c>
      <c r="AN533" s="2" t="str">
        <f>IFERROR(__xludf.DUMMYFUNCTION("""COMPUTED_VALUE"""),"RCEF 23-08-20 Rebidding")</f>
        <v>RCEF 23-08-20 Rebidding</v>
      </c>
      <c r="AO533" s="2">
        <f>IFERROR(__xludf.DUMMYFUNCTION("""COMPUTED_VALUE"""),1.0)</f>
        <v>1</v>
      </c>
      <c r="AP533" s="2"/>
      <c r="AQ533" s="2"/>
      <c r="AR533" s="2"/>
      <c r="AS533" s="2"/>
      <c r="AT533" s="2"/>
      <c r="AU533" s="2"/>
      <c r="AV533" s="2"/>
      <c r="AW533" s="2"/>
      <c r="AX533" s="2"/>
      <c r="AY533" s="2"/>
      <c r="AZ533" s="2"/>
      <c r="BA533" s="2"/>
      <c r="BB533" s="2"/>
    </row>
    <row r="534">
      <c r="A534" s="2">
        <f>IFERROR(__xludf.DUMMYFUNCTION("""COMPUTED_VALUE"""),530.0)</f>
        <v>530</v>
      </c>
      <c r="B534" s="2" t="str">
        <f>IFERROR(__xludf.DUMMYFUNCTION("""COMPUTED_VALUE"""),"COMPLETED")</f>
        <v>COMPLETED</v>
      </c>
      <c r="C534" s="74">
        <f>IFERROR(__xludf.DUMMYFUNCTION("""COMPUTED_VALUE"""),45560.0)</f>
        <v>45560</v>
      </c>
      <c r="D534" s="71" t="str">
        <f>IFERROR(__xludf.DUMMYFUNCTION("""COMPUTED_VALUE"""),"RIMAPI Farmers Association")</f>
        <v>RIMAPI Farmers Association</v>
      </c>
      <c r="E534" s="71" t="str">
        <f>IFERROR(__xludf.DUMMYFUNCTION("""COMPUTED_VALUE"""),"Mainit Sur, Perez, Quezon")</f>
        <v>Mainit Sur, Perez, Quezon</v>
      </c>
      <c r="F534" s="2"/>
      <c r="G534" s="2"/>
      <c r="H534" s="2"/>
      <c r="I534" s="72" t="str">
        <f>IFERROR(__xludf.DUMMYFUNCTION("""COMPUTED_VALUE"""),"SPARE PARTS ACQUISITION")</f>
        <v>SPARE PARTS ACQUISITION</v>
      </c>
      <c r="J534" s="72" t="str">
        <f>IFERROR(__xludf.DUMMYFUNCTION("""COMPUTED_VALUE"""),"SPARE PARTS ACQUISITION")</f>
        <v>SPARE PARTS ACQUISITION</v>
      </c>
      <c r="K534" s="72" t="str">
        <f>IFERROR(__xludf.DUMMYFUNCTION("""COMPUTED_VALUE"""),"OIL FILTER, 5L ENGINE OIL")</f>
        <v>OIL FILTER, 5L ENGINE OIL</v>
      </c>
      <c r="L534" s="72" t="str">
        <f>IFERROR(__xludf.DUMMYFUNCTION("""COMPUTED_VALUE"""),"DELIVERED")</f>
        <v>DELIVERED</v>
      </c>
      <c r="M534" s="2"/>
      <c r="N534" s="2" t="str">
        <f>IFERROR(__xludf.DUMMYFUNCTION("""COMPUTED_VALUE"""),"PARTS: OIL FILTER, 5L HYDRAULIC FILTER")</f>
        <v>PARTS: OIL FILTER, 5L HYDRAULIC FILTER</v>
      </c>
      <c r="O534" s="2" t="str">
        <f>IFERROR(__xludf.DUMMYFUNCTION("""COMPUTED_VALUE"""),"N/A")</f>
        <v>N/A</v>
      </c>
      <c r="P534" s="2"/>
      <c r="Q534" s="2"/>
      <c r="R534" s="74">
        <f>IFERROR(__xludf.DUMMYFUNCTION("""COMPUTED_VALUE"""),45560.0)</f>
        <v>45560</v>
      </c>
      <c r="S534" s="2" t="str">
        <f>IFERROR(__xludf.DUMMYFUNCTION("""COMPUTED_VALUE"""),"JTT")</f>
        <v>JTT</v>
      </c>
      <c r="T534" s="73">
        <f>IFERROR(__xludf.DUMMYFUNCTION("""COMPUTED_VALUE"""),3183.0)</f>
        <v>3183</v>
      </c>
      <c r="U534" s="73" t="str">
        <f>IFERROR(__xludf.DUMMYFUNCTION("""COMPUTED_VALUE""")," REMITTED ")</f>
        <v>REMITTED</v>
      </c>
      <c r="V534" s="2"/>
      <c r="W534" s="2"/>
      <c r="X534" s="2">
        <f>IFERROR(__xludf.DUMMYFUNCTION("""COMPUTED_VALUE"""),1145.0)</f>
        <v>1145</v>
      </c>
      <c r="Y534" s="2"/>
      <c r="Z534" s="2"/>
      <c r="AA534" s="2"/>
      <c r="AB534" s="2"/>
      <c r="AC534" s="2"/>
      <c r="AD534" s="2"/>
      <c r="AE534" s="2"/>
      <c r="AF534" s="2"/>
      <c r="AG534" s="2"/>
      <c r="AH534" s="2"/>
      <c r="AI534" s="2"/>
      <c r="AJ534" s="2" t="str">
        <f>IFERROR(__xludf.DUMMYFUNCTION("""COMPUTED_VALUE"""),"Mainit Sur")</f>
        <v>Mainit Sur</v>
      </c>
      <c r="AK534" s="2" t="str">
        <f>IFERROR(__xludf.DUMMYFUNCTION("""COMPUTED_VALUE"""),"Perez")</f>
        <v>Perez</v>
      </c>
      <c r="AL534" s="2" t="str">
        <f>IFERROR(__xludf.DUMMYFUNCTION("""COMPUTED_VALUE"""),"Quezon")</f>
        <v>Quezon</v>
      </c>
      <c r="AM534" s="2" t="str">
        <f>IFERROR(__xludf.DUMMYFUNCTION("""COMPUTED_VALUE"""),"4A")</f>
        <v>4A</v>
      </c>
      <c r="AN534" s="2" t="str">
        <f>IFERROR(__xludf.DUMMYFUNCTION("""COMPUTED_VALUE"""),"RCEF 23-08-20 Rebidding")</f>
        <v>RCEF 23-08-20 Rebidding</v>
      </c>
      <c r="AO534" s="2">
        <f>IFERROR(__xludf.DUMMYFUNCTION("""COMPUTED_VALUE"""),1.0)</f>
        <v>1</v>
      </c>
      <c r="AP534" s="2"/>
      <c r="AQ534" s="2"/>
      <c r="AR534" s="2"/>
      <c r="AS534" s="2"/>
      <c r="AT534" s="2"/>
      <c r="AU534" s="2"/>
      <c r="AV534" s="2"/>
      <c r="AW534" s="2"/>
      <c r="AX534" s="2"/>
      <c r="AY534" s="2"/>
      <c r="AZ534" s="2"/>
      <c r="BA534" s="2"/>
      <c r="BB534" s="2"/>
    </row>
    <row r="535">
      <c r="A535" s="2">
        <f>IFERROR(__xludf.DUMMYFUNCTION("""COMPUTED_VALUE"""),531.0)</f>
        <v>531</v>
      </c>
      <c r="B535" s="2" t="str">
        <f>IFERROR(__xludf.DUMMYFUNCTION("""COMPUTED_VALUE"""),"COMPLETED")</f>
        <v>COMPLETED</v>
      </c>
      <c r="C535" s="74">
        <f>IFERROR(__xludf.DUMMYFUNCTION("""COMPUTED_VALUE"""),45561.0)</f>
        <v>45561</v>
      </c>
      <c r="D535" s="71" t="str">
        <f>IFERROR(__xludf.DUMMYFUNCTION("""COMPUTED_VALUE"""),"Community Savers Agriculture Cooperative")</f>
        <v>Community Savers Agriculture Cooperative</v>
      </c>
      <c r="E535" s="71" t="str">
        <f>IFERROR(__xludf.DUMMYFUNCTION("""COMPUTED_VALUE"""),"Banawang, Bagac, BATAAN")</f>
        <v>Banawang, Bagac, BATAAN</v>
      </c>
      <c r="F535" s="2" t="str">
        <f>IFERROR(__xludf.DUMMYFUNCTION("""COMPUTED_VALUE"""),"Ermilita Quiroz")</f>
        <v>Ermilita Quiroz</v>
      </c>
      <c r="G535" s="2">
        <f>IFERROR(__xludf.DUMMYFUNCTION("""COMPUTED_VALUE"""),9.776753817E9)</f>
        <v>9776753817</v>
      </c>
      <c r="H535" s="2">
        <f>IFERROR(__xludf.DUMMYFUNCTION("""COMPUTED_VALUE"""),118.3)</f>
        <v>118.3</v>
      </c>
      <c r="I535" s="72" t="str">
        <f>IFERROR(__xludf.DUMMYFUNCTION("""COMPUTED_VALUE"""),"PMS")</f>
        <v>PMS</v>
      </c>
      <c r="J535" s="72" t="str">
        <f>IFERROR(__xludf.DUMMYFUNCTION("""COMPUTED_VALUE"""),"PMS")</f>
        <v>PMS</v>
      </c>
      <c r="K535" s="72" t="str">
        <f>IFERROR(__xludf.DUMMYFUNCTION("""COMPUTED_VALUE"""),"JDP: FIRST PMS")</f>
        <v>JDP: FIRST PMS</v>
      </c>
      <c r="L535" s="72" t="str">
        <f>IFERROR(__xludf.DUMMYFUNCTION("""COMPUTED_VALUE"""),"ACS: 1st pms done")</f>
        <v>ACS: 1st pms done</v>
      </c>
      <c r="M535" s="2"/>
      <c r="N535" s="2" t="str">
        <f>IFERROR(__xludf.DUMMYFUNCTION("""COMPUTED_VALUE"""),"PARTS: OIL FILTER")</f>
        <v>PARTS: OIL FILTER</v>
      </c>
      <c r="O535" s="2">
        <f>IFERROR(__xludf.DUMMYFUNCTION("""COMPUTED_VALUE"""),578.0)</f>
        <v>578</v>
      </c>
      <c r="P535" s="2"/>
      <c r="Q535" s="2"/>
      <c r="R535" s="74">
        <f>IFERROR(__xludf.DUMMYFUNCTION("""COMPUTED_VALUE"""),45568.0)</f>
        <v>45568</v>
      </c>
      <c r="S535" s="2" t="str">
        <f>IFERROR(__xludf.DUMMYFUNCTION("""COMPUTED_VALUE"""),"ACS/JHP")</f>
        <v>ACS/JHP</v>
      </c>
      <c r="T535" s="73">
        <f>IFERROR(__xludf.DUMMYFUNCTION("""COMPUTED_VALUE"""),1600.0)</f>
        <v>1600</v>
      </c>
      <c r="U535" s="73" t="str">
        <f>IFERROR(__xludf.DUMMYFUNCTION("""COMPUTED_VALUE""")," REMITTED ")</f>
        <v>REMITTED</v>
      </c>
      <c r="V535" s="2"/>
      <c r="W535" s="2"/>
      <c r="X535" s="2">
        <f>IFERROR(__xludf.DUMMYFUNCTION("""COMPUTED_VALUE"""),1183.0)</f>
        <v>1183</v>
      </c>
      <c r="Y535" s="2"/>
      <c r="Z535" s="2"/>
      <c r="AA535" s="2"/>
      <c r="AB535" s="2"/>
      <c r="AC535" s="2"/>
      <c r="AD535" s="2"/>
      <c r="AE535" s="2"/>
      <c r="AF535" s="2"/>
      <c r="AG535" s="2"/>
      <c r="AH535" s="2"/>
      <c r="AI535" s="2"/>
      <c r="AJ535" s="2" t="str">
        <f>IFERROR(__xludf.DUMMYFUNCTION("""COMPUTED_VALUE"""),"Banawang")</f>
        <v>Banawang</v>
      </c>
      <c r="AK535" s="2" t="str">
        <f>IFERROR(__xludf.DUMMYFUNCTION("""COMPUTED_VALUE"""),"Bagac")</f>
        <v>Bagac</v>
      </c>
      <c r="AL535" s="2" t="str">
        <f>IFERROR(__xludf.DUMMYFUNCTION("""COMPUTED_VALUE"""),"Bataan")</f>
        <v>Bataan</v>
      </c>
      <c r="AM535" s="2">
        <f>IFERROR(__xludf.DUMMYFUNCTION("""COMPUTED_VALUE"""),3.0)</f>
        <v>3</v>
      </c>
      <c r="AN535" s="2" t="str">
        <f>IFERROR(__xludf.DUMMYFUNCTION("""COMPUTED_VALUE"""),"RCEF 23-09-21 Rebidding")</f>
        <v>RCEF 23-09-21 Rebidding</v>
      </c>
      <c r="AO535" s="2">
        <f>IFERROR(__xludf.DUMMYFUNCTION("""COMPUTED_VALUE"""),3.0)</f>
        <v>3</v>
      </c>
      <c r="AP535" s="2"/>
      <c r="AQ535" s="2"/>
      <c r="AR535" s="2"/>
      <c r="AS535" s="2"/>
      <c r="AT535" s="2"/>
      <c r="AU535" s="2"/>
      <c r="AV535" s="2"/>
      <c r="AW535" s="2"/>
      <c r="AX535" s="2"/>
      <c r="AY535" s="2"/>
      <c r="AZ535" s="2"/>
      <c r="BA535" s="2"/>
      <c r="BB535" s="2"/>
    </row>
    <row r="536">
      <c r="A536" s="2">
        <f>IFERROR(__xludf.DUMMYFUNCTION("""COMPUTED_VALUE"""),532.0)</f>
        <v>532</v>
      </c>
      <c r="B536" s="2" t="str">
        <f>IFERROR(__xludf.DUMMYFUNCTION("""COMPUTED_VALUE"""),"COMPLETED")</f>
        <v>COMPLETED</v>
      </c>
      <c r="C536" s="74">
        <f>IFERROR(__xludf.DUMMYFUNCTION("""COMPUTED_VALUE"""),45561.0)</f>
        <v>45561</v>
      </c>
      <c r="D536" s="71" t="str">
        <f>IFERROR(__xludf.DUMMYFUNCTION("""COMPUTED_VALUE"""),"Astorga Farmers Association")</f>
        <v>Astorga Farmers Association</v>
      </c>
      <c r="E536" s="71" t="str">
        <f>IFERROR(__xludf.DUMMYFUNCTION("""COMPUTED_VALUE"""),"Astorga, Dumarao, CAPIZ")</f>
        <v>Astorga, Dumarao, CAPIZ</v>
      </c>
      <c r="F536" s="2" t="str">
        <f>IFERROR(__xludf.DUMMYFUNCTION("""COMPUTED_VALUE"""),"Roberto E. Marcelino Sr.")</f>
        <v>Roberto E. Marcelino Sr.</v>
      </c>
      <c r="G536" s="2">
        <f>IFERROR(__xludf.DUMMYFUNCTION("""COMPUTED_VALUE"""),9.176888094E9)</f>
        <v>9176888094</v>
      </c>
      <c r="H536" s="2">
        <f>IFERROR(__xludf.DUMMYFUNCTION("""COMPUTED_VALUE"""),70.0)</f>
        <v>70</v>
      </c>
      <c r="I536" s="72" t="str">
        <f>IFERROR(__xludf.DUMMYFUNCTION("""COMPUTED_VALUE"""),"PMS")</f>
        <v>PMS</v>
      </c>
      <c r="J536" s="72" t="str">
        <f>IFERROR(__xludf.DUMMYFUNCTION("""COMPUTED_VALUE"""),"PMS")</f>
        <v>PMS</v>
      </c>
      <c r="K536" s="72" t="str">
        <f>IFERROR(__xludf.DUMMYFUNCTION("""COMPUTED_VALUE"""),"MYKEE: FIRST PMS: SELF PMS")</f>
        <v>MYKEE: FIRST PMS: SELF PMS</v>
      </c>
      <c r="L536" s="72" t="str">
        <f>IFERROR(__xludf.DUMMYFUNCTION("""COMPUTED_VALUE"""),"SEND AGREEMENT:FB: ROBERTO MARCELLINO SR.: AGREEMENT SENT:")</f>
        <v>SEND AGREEMENT:FB: ROBERTO MARCELLINO SR.: AGREEMENT SENT:</v>
      </c>
      <c r="M536" s="2"/>
      <c r="N536" s="2"/>
      <c r="O536" s="2" t="str">
        <f>IFERROR(__xludf.DUMMYFUNCTION("""COMPUTED_VALUE"""),"N/A")</f>
        <v>N/A</v>
      </c>
      <c r="P536" s="2"/>
      <c r="Q536" s="2"/>
      <c r="R536" s="74">
        <f>IFERROR(__xludf.DUMMYFUNCTION("""COMPUTED_VALUE"""),45566.0)</f>
        <v>45566</v>
      </c>
      <c r="S536" s="2" t="str">
        <f>IFERROR(__xludf.DUMMYFUNCTION("""COMPUTED_VALUE"""),"MYKEE")</f>
        <v>MYKEE</v>
      </c>
      <c r="T536" s="73" t="str">
        <f>IFERROR(__xludf.DUMMYFUNCTION("""COMPUTED_VALUE""")," N/A ")</f>
        <v>N/A</v>
      </c>
      <c r="U536" s="73" t="str">
        <f>IFERROR(__xludf.DUMMYFUNCTION("""COMPUTED_VALUE""")," NO CHARGE ")</f>
        <v>NO CHARGE</v>
      </c>
      <c r="V536" s="2"/>
      <c r="W536" s="2" t="str">
        <f>IFERROR(__xludf.DUMMYFUNCTION("""COMPUTED_VALUE"""),"N/A")</f>
        <v>N/A</v>
      </c>
      <c r="X536" s="2" t="str">
        <f>IFERROR(__xludf.DUMMYFUNCTION("""COMPUTED_VALUE"""),"N/A")</f>
        <v>N/A</v>
      </c>
      <c r="Y536" s="2"/>
      <c r="Z536" s="2"/>
      <c r="AA536" s="2"/>
      <c r="AB536" s="2"/>
      <c r="AC536" s="2"/>
      <c r="AD536" s="2"/>
      <c r="AE536" s="2"/>
      <c r="AF536" s="2"/>
      <c r="AG536" s="2"/>
      <c r="AH536" s="2"/>
      <c r="AI536" s="2"/>
      <c r="AJ536" s="2" t="str">
        <f>IFERROR(__xludf.DUMMYFUNCTION("""COMPUTED_VALUE"""),"Astorga")</f>
        <v>Astorga</v>
      </c>
      <c r="AK536" s="2" t="str">
        <f>IFERROR(__xludf.DUMMYFUNCTION("""COMPUTED_VALUE"""),"Dumarao")</f>
        <v>Dumarao</v>
      </c>
      <c r="AL536" s="2" t="str">
        <f>IFERROR(__xludf.DUMMYFUNCTION("""COMPUTED_VALUE"""),"Capiz")</f>
        <v>Capiz</v>
      </c>
      <c r="AM536" s="2">
        <f>IFERROR(__xludf.DUMMYFUNCTION("""COMPUTED_VALUE"""),6.0)</f>
        <v>6</v>
      </c>
      <c r="AN536" s="2" t="str">
        <f>IFERROR(__xludf.DUMMYFUNCTION("""COMPUTED_VALUE"""),"RCEF 23-09-21 Rebidding")</f>
        <v>RCEF 23-09-21 Rebidding</v>
      </c>
      <c r="AO536" s="2">
        <f>IFERROR(__xludf.DUMMYFUNCTION("""COMPUTED_VALUE"""),4.0)</f>
        <v>4</v>
      </c>
      <c r="AP536" s="2"/>
      <c r="AQ536" s="2"/>
      <c r="AR536" s="2"/>
      <c r="AS536" s="2"/>
      <c r="AT536" s="2"/>
      <c r="AU536" s="2"/>
      <c r="AV536" s="2"/>
      <c r="AW536" s="2"/>
      <c r="AX536" s="2"/>
      <c r="AY536" s="2"/>
      <c r="AZ536" s="2"/>
      <c r="BA536" s="2"/>
      <c r="BB536" s="2"/>
    </row>
    <row r="537">
      <c r="A537" s="2">
        <f>IFERROR(__xludf.DUMMYFUNCTION("""COMPUTED_VALUE"""),533.0)</f>
        <v>533</v>
      </c>
      <c r="B537" s="2" t="str">
        <f>IFERROR(__xludf.DUMMYFUNCTION("""COMPUTED_VALUE"""),"COMPLETED")</f>
        <v>COMPLETED</v>
      </c>
      <c r="C537" s="74">
        <f>IFERROR(__xludf.DUMMYFUNCTION("""COMPUTED_VALUE"""),45561.0)</f>
        <v>45561</v>
      </c>
      <c r="D537" s="71" t="str">
        <f>IFERROR(__xludf.DUMMYFUNCTION("""COMPUTED_VALUE"""),"Mostro Farmers Association")</f>
        <v>Mostro Farmers Association</v>
      </c>
      <c r="E537" s="71" t="str">
        <f>IFERROR(__xludf.DUMMYFUNCTION("""COMPUTED_VALUE"""),"Mostro, Anilao, ILOILO")</f>
        <v>Mostro, Anilao, ILOILO</v>
      </c>
      <c r="F537" s="2" t="str">
        <f>IFERROR(__xludf.DUMMYFUNCTION("""COMPUTED_VALUE"""),"Wilhem G. Pauchano")</f>
        <v>Wilhem G. Pauchano</v>
      </c>
      <c r="G537" s="2" t="str">
        <f>IFERROR(__xludf.DUMMYFUNCTION("""COMPUTED_VALUE"""),"0930 977 0845")</f>
        <v>0930 977 0845</v>
      </c>
      <c r="H537" s="2">
        <f>IFERROR(__xludf.DUMMYFUNCTION("""COMPUTED_VALUE"""),216.0)</f>
        <v>216</v>
      </c>
      <c r="I537" s="72" t="str">
        <f>IFERROR(__xludf.DUMMYFUNCTION("""COMPUTED_VALUE"""),"REPAIR - TRACTOR")</f>
        <v>REPAIR - TRACTOR</v>
      </c>
      <c r="J537" s="72" t="str">
        <f>IFERROR(__xludf.DUMMYFUNCTION("""COMPUTED_VALUE"""),"RADIATOR")</f>
        <v>RADIATOR</v>
      </c>
      <c r="K537" s="72" t="str">
        <f>IFERROR(__xludf.DUMMYFUNCTION("""COMPUTED_VALUE"""),"MYKEE: RADIATOR PROBLEM (TOP)")</f>
        <v>MYKEE: RADIATOR PROBLEM (TOP)</v>
      </c>
      <c r="L537" s="72" t="str">
        <f>IFERROR(__xludf.DUMMYFUNCTION("""COMPUTED_VALUE"""),"MYKEE: OK NA , PINAGAWA NA NG FARMER ")</f>
        <v>MYKEE: OK NA , PINAGAWA NA NG FARMER </v>
      </c>
      <c r="M537" s="2"/>
      <c r="N537" s="2"/>
      <c r="O537" s="2" t="str">
        <f>IFERROR(__xludf.DUMMYFUNCTION("""COMPUTED_VALUE"""),"N/A")</f>
        <v>N/A</v>
      </c>
      <c r="P537" s="2"/>
      <c r="Q537" s="2"/>
      <c r="R537" s="74">
        <f>IFERROR(__xludf.DUMMYFUNCTION("""COMPUTED_VALUE"""),45588.0)</f>
        <v>45588</v>
      </c>
      <c r="S537" s="2" t="str">
        <f>IFERROR(__xludf.DUMMYFUNCTION("""COMPUTED_VALUE"""),"MYKEE")</f>
        <v>MYKEE</v>
      </c>
      <c r="T537" s="73" t="str">
        <f>IFERROR(__xludf.DUMMYFUNCTION("""COMPUTED_VALUE""")," N/A ")</f>
        <v>N/A</v>
      </c>
      <c r="U537" s="73" t="str">
        <f>IFERROR(__xludf.DUMMYFUNCTION("""COMPUTED_VALUE""")," NO CHARGE ")</f>
        <v>NO CHARGE</v>
      </c>
      <c r="V537" s="2"/>
      <c r="W537" s="2" t="str">
        <f>IFERROR(__xludf.DUMMYFUNCTION("""COMPUTED_VALUE"""),"N/A")</f>
        <v>N/A</v>
      </c>
      <c r="X537" s="2" t="str">
        <f>IFERROR(__xludf.DUMMYFUNCTION("""COMPUTED_VALUE"""),"N/A")</f>
        <v>N/A</v>
      </c>
      <c r="Y537" s="2"/>
      <c r="Z537" s="2"/>
      <c r="AA537" s="2"/>
      <c r="AB537" s="2"/>
      <c r="AC537" s="2"/>
      <c r="AD537" s="2"/>
      <c r="AE537" s="2"/>
      <c r="AF537" s="2"/>
      <c r="AG537" s="2"/>
      <c r="AH537" s="2"/>
      <c r="AI537" s="2"/>
      <c r="AJ537" s="2" t="str">
        <f>IFERROR(__xludf.DUMMYFUNCTION("""COMPUTED_VALUE"""),"Mostro")</f>
        <v>Mostro</v>
      </c>
      <c r="AK537" s="2" t="str">
        <f>IFERROR(__xludf.DUMMYFUNCTION("""COMPUTED_VALUE"""),"Anilao")</f>
        <v>Anilao</v>
      </c>
      <c r="AL537" s="2" t="str">
        <f>IFERROR(__xludf.DUMMYFUNCTION("""COMPUTED_VALUE"""),"Iloilo")</f>
        <v>Iloilo</v>
      </c>
      <c r="AM537" s="2">
        <f>IFERROR(__xludf.DUMMYFUNCTION("""COMPUTED_VALUE"""),6.0)</f>
        <v>6</v>
      </c>
      <c r="AN537" s="2" t="str">
        <f>IFERROR(__xludf.DUMMYFUNCTION("""COMPUTED_VALUE"""),"RCEF 23-09-21 Rebidding")</f>
        <v>RCEF 23-09-21 Rebidding</v>
      </c>
      <c r="AO537" s="2">
        <f>IFERROR(__xludf.DUMMYFUNCTION("""COMPUTED_VALUE"""),4.0)</f>
        <v>4</v>
      </c>
      <c r="AP537" s="2"/>
      <c r="AQ537" s="2"/>
      <c r="AR537" s="2"/>
      <c r="AS537" s="2"/>
      <c r="AT537" s="2"/>
      <c r="AU537" s="2"/>
      <c r="AV537" s="2"/>
      <c r="AW537" s="2"/>
      <c r="AX537" s="2"/>
      <c r="AY537" s="2"/>
      <c r="AZ537" s="2"/>
      <c r="BA537" s="2"/>
      <c r="BB537" s="2"/>
    </row>
    <row r="538">
      <c r="A538" s="2">
        <f>IFERROR(__xludf.DUMMYFUNCTION("""COMPUTED_VALUE"""),534.0)</f>
        <v>534</v>
      </c>
      <c r="B538" s="2" t="str">
        <f>IFERROR(__xludf.DUMMYFUNCTION("""COMPUTED_VALUE"""),"COMPLETED")</f>
        <v>COMPLETED</v>
      </c>
      <c r="C538" s="74">
        <f>IFERROR(__xludf.DUMMYFUNCTION("""COMPUTED_VALUE"""),45562.0)</f>
        <v>45562</v>
      </c>
      <c r="D538" s="71" t="str">
        <f>IFERROR(__xludf.DUMMYFUNCTION("""COMPUTED_VALUE"""),"Nasunogan Farmers Association")</f>
        <v>Nasunogan Farmers Association</v>
      </c>
      <c r="E538" s="71" t="str">
        <f>IFERROR(__xludf.DUMMYFUNCTION("""COMPUTED_VALUE"""),"Nasunogan, Dao, CAPIZ")</f>
        <v>Nasunogan, Dao, CAPIZ</v>
      </c>
      <c r="F538" s="2" t="str">
        <f>IFERROR(__xludf.DUMMYFUNCTION("""COMPUTED_VALUE"""),"Leonardo G. Venus")</f>
        <v>Leonardo G. Venus</v>
      </c>
      <c r="G538" s="2" t="str">
        <f>IFERROR(__xludf.DUMMYFUNCTION("""COMPUTED_VALUE"""),"0963-433-3468")</f>
        <v>0963-433-3468</v>
      </c>
      <c r="H538" s="2" t="str">
        <f>IFERROR(__xludf.DUMMYFUNCTION("""COMPUTED_VALUE"""),"lgu")</f>
        <v>lgu</v>
      </c>
      <c r="I538" s="72" t="str">
        <f>IFERROR(__xludf.DUMMYFUNCTION("""COMPUTED_VALUE"""),"REPAIR - TRACTOR")</f>
        <v>REPAIR - TRACTOR</v>
      </c>
      <c r="J538" s="72" t="str">
        <f>IFERROR(__xludf.DUMMYFUNCTION("""COMPUTED_VALUE"""),"RADIATOR")</f>
        <v>RADIATOR</v>
      </c>
      <c r="K538" s="72" t="str">
        <f>IFERROR(__xludf.DUMMYFUNCTION("""COMPUTED_VALUE"""),"MYKEE: OVERHEAT, 3 HRS OPERATION, LEAK SA TAAS NG RADIATOR")</f>
        <v>MYKEE: OVERHEAT, 3 HRS OPERATION, LEAK SA TAAS NG RADIATOR</v>
      </c>
      <c r="L538" s="72" t="str">
        <f>IFERROR(__xludf.DUMMYFUNCTION("""COMPUTED_VALUE"""),"EGT: REPLACED NEW RADIATOR ASSY")</f>
        <v>EGT: REPLACED NEW RADIATOR ASSY</v>
      </c>
      <c r="M538" s="2"/>
      <c r="N538" s="2" t="str">
        <f>IFERROR(__xludf.DUMMYFUNCTION("""COMPUTED_VALUE"""),"PARTS: RADIATOR ASSY")</f>
        <v>PARTS: RADIATOR ASSY</v>
      </c>
      <c r="O538" s="2">
        <f>IFERROR(__xludf.DUMMYFUNCTION("""COMPUTED_VALUE"""),1309.0)</f>
        <v>1309</v>
      </c>
      <c r="P538" s="2"/>
      <c r="Q538" s="2"/>
      <c r="R538" s="74">
        <f>IFERROR(__xludf.DUMMYFUNCTION("""COMPUTED_VALUE"""),45572.0)</f>
        <v>45572</v>
      </c>
      <c r="S538" s="2" t="str">
        <f>IFERROR(__xludf.DUMMYFUNCTION("""COMPUTED_VALUE"""),"EGT/DRM")</f>
        <v>EGT/DRM</v>
      </c>
      <c r="T538" s="73" t="str">
        <f>IFERROR(__xludf.DUMMYFUNCTION("""COMPUTED_VALUE""")," N/A ")</f>
        <v>N/A</v>
      </c>
      <c r="U538" s="73" t="str">
        <f>IFERROR(__xludf.DUMMYFUNCTION("""COMPUTED_VALUE""")," NO CHARGE ")</f>
        <v>NO CHARGE</v>
      </c>
      <c r="V538" s="2"/>
      <c r="W538" s="2" t="str">
        <f>IFERROR(__xludf.DUMMYFUNCTION("""COMPUTED_VALUE"""),"N/A")</f>
        <v>N/A</v>
      </c>
      <c r="X538" s="2" t="str">
        <f>IFERROR(__xludf.DUMMYFUNCTION("""COMPUTED_VALUE"""),"N/A")</f>
        <v>N/A</v>
      </c>
      <c r="Y538" s="2"/>
      <c r="Z538" s="2"/>
      <c r="AA538" s="2"/>
      <c r="AB538" s="2"/>
      <c r="AC538" s="2"/>
      <c r="AD538" s="2"/>
      <c r="AE538" s="2"/>
      <c r="AF538" s="2"/>
      <c r="AG538" s="2"/>
      <c r="AH538" s="2"/>
      <c r="AI538" s="2"/>
      <c r="AJ538" s="2" t="str">
        <f>IFERROR(__xludf.DUMMYFUNCTION("""COMPUTED_VALUE"""),"Nasunogan")</f>
        <v>Nasunogan</v>
      </c>
      <c r="AK538" s="2" t="str">
        <f>IFERROR(__xludf.DUMMYFUNCTION("""COMPUTED_VALUE"""),"Dao")</f>
        <v>Dao</v>
      </c>
      <c r="AL538" s="2" t="str">
        <f>IFERROR(__xludf.DUMMYFUNCTION("""COMPUTED_VALUE"""),"Capiz")</f>
        <v>Capiz</v>
      </c>
      <c r="AM538" s="2">
        <f>IFERROR(__xludf.DUMMYFUNCTION("""COMPUTED_VALUE"""),6.0)</f>
        <v>6</v>
      </c>
      <c r="AN538" s="2" t="str">
        <f>IFERROR(__xludf.DUMMYFUNCTION("""COMPUTED_VALUE"""),"RCEF 23-09-21 Rebidding")</f>
        <v>RCEF 23-09-21 Rebidding</v>
      </c>
      <c r="AO538" s="2">
        <f>IFERROR(__xludf.DUMMYFUNCTION("""COMPUTED_VALUE"""),4.0)</f>
        <v>4</v>
      </c>
      <c r="AP538" s="2"/>
      <c r="AQ538" s="2"/>
      <c r="AR538" s="2"/>
      <c r="AS538" s="2"/>
      <c r="AT538" s="2"/>
      <c r="AU538" s="2"/>
      <c r="AV538" s="2"/>
      <c r="AW538" s="2"/>
      <c r="AX538" s="2"/>
      <c r="AY538" s="2"/>
      <c r="AZ538" s="2"/>
      <c r="BA538" s="2"/>
      <c r="BB538" s="2"/>
    </row>
    <row r="539">
      <c r="A539" s="2">
        <f>IFERROR(__xludf.DUMMYFUNCTION("""COMPUTED_VALUE"""),535.0)</f>
        <v>535</v>
      </c>
      <c r="B539" s="2" t="str">
        <f>IFERROR(__xludf.DUMMYFUNCTION("""COMPUTED_VALUE"""),"COMPLETED")</f>
        <v>COMPLETED</v>
      </c>
      <c r="C539" s="74">
        <f>IFERROR(__xludf.DUMMYFUNCTION("""COMPUTED_VALUE"""),45562.0)</f>
        <v>45562</v>
      </c>
      <c r="D539" s="71" t="str">
        <f>IFERROR(__xludf.DUMMYFUNCTION("""COMPUTED_VALUE"""),"CARIZ IRRIGATORS ASSOCIATION, INC.")</f>
        <v>CARIZ IRRIGATORS ASSOCIATION, INC.</v>
      </c>
      <c r="E539" s="71" t="str">
        <f>IFERROR(__xludf.DUMMYFUNCTION("""COMPUTED_VALUE"""),"Camaal, Quirino, ISABELA")</f>
        <v>Camaal, Quirino, ISABELA</v>
      </c>
      <c r="F539" s="2" t="str">
        <f>IFERROR(__xludf.DUMMYFUNCTION("""COMPUTED_VALUE"""),"Ray S. Diampoc")</f>
        <v>Ray S. Diampoc</v>
      </c>
      <c r="G539" s="2">
        <f>IFERROR(__xludf.DUMMYFUNCTION("""COMPUTED_VALUE"""),9.676227404E9)</f>
        <v>9676227404</v>
      </c>
      <c r="H539" s="2">
        <f>IFERROR(__xludf.DUMMYFUNCTION("""COMPUTED_VALUE"""),192.1)</f>
        <v>192.1</v>
      </c>
      <c r="I539" s="72" t="str">
        <f>IFERROR(__xludf.DUMMYFUNCTION("""COMPUTED_VALUE"""),"SPARE PARTS ACQUISITION")</f>
        <v>SPARE PARTS ACQUISITION</v>
      </c>
      <c r="J539" s="72" t="str">
        <f>IFERROR(__xludf.DUMMYFUNCTION("""COMPUTED_VALUE"""),"SPARE PARTS ACQUISITION")</f>
        <v>SPARE PARTS ACQUISITION</v>
      </c>
      <c r="K539" s="72" t="str">
        <f>IFERROR(__xludf.DUMMYFUNCTION("""COMPUTED_VALUE"""),"ACS: FUEL CUP (2,100)")</f>
        <v>ACS: FUEL CUP (2,100)</v>
      </c>
      <c r="L539" s="72" t="str">
        <f>IFERROR(__xludf.DUMMYFUNCTION("""COMPUTED_VALUE"""),"DELIVERED")</f>
        <v>DELIVERED</v>
      </c>
      <c r="M539" s="2"/>
      <c r="N539" s="2" t="str">
        <f>IFERROR(__xludf.DUMMYFUNCTION("""COMPUTED_VALUE"""),"PARTS: FUEL CAP")</f>
        <v>PARTS: FUEL CAP</v>
      </c>
      <c r="O539" s="2" t="str">
        <f>IFERROR(__xludf.DUMMYFUNCTION("""COMPUTED_VALUE"""),"N/A")</f>
        <v>N/A</v>
      </c>
      <c r="P539" s="2"/>
      <c r="Q539" s="2"/>
      <c r="R539" s="74">
        <f>IFERROR(__xludf.DUMMYFUNCTION("""COMPUTED_VALUE"""),45611.0)</f>
        <v>45611</v>
      </c>
      <c r="S539" s="2" t="str">
        <f>IFERROR(__xludf.DUMMYFUNCTION("""COMPUTED_VALUE"""),"EGT/DRM")</f>
        <v>EGT/DRM</v>
      </c>
      <c r="T539" s="73">
        <f>IFERROR(__xludf.DUMMYFUNCTION("""COMPUTED_VALUE"""),2025.0)</f>
        <v>2025</v>
      </c>
      <c r="U539" s="73" t="str">
        <f>IFERROR(__xludf.DUMMYFUNCTION("""COMPUTED_VALUE""")," REMITTED ")</f>
        <v>REMITTED</v>
      </c>
      <c r="V539" s="2"/>
      <c r="W539" s="2">
        <f>IFERROR(__xludf.DUMMYFUNCTION("""COMPUTED_VALUE"""),1324.0)</f>
        <v>1324</v>
      </c>
      <c r="X539" s="2">
        <f>IFERROR(__xludf.DUMMYFUNCTION("""COMPUTED_VALUE"""),1230.0)</f>
        <v>1230</v>
      </c>
      <c r="Y539" s="2"/>
      <c r="Z539" s="2"/>
      <c r="AA539" s="2"/>
      <c r="AB539" s="2"/>
      <c r="AC539" s="2"/>
      <c r="AD539" s="2"/>
      <c r="AE539" s="2"/>
      <c r="AF539" s="2"/>
      <c r="AG539" s="2"/>
      <c r="AH539" s="2"/>
      <c r="AI539" s="2"/>
      <c r="AJ539" s="2" t="str">
        <f>IFERROR(__xludf.DUMMYFUNCTION("""COMPUTED_VALUE"""),"Camaal")</f>
        <v>Camaal</v>
      </c>
      <c r="AK539" s="2" t="str">
        <f>IFERROR(__xludf.DUMMYFUNCTION("""COMPUTED_VALUE"""),"Quirino")</f>
        <v>Quirino</v>
      </c>
      <c r="AL539" s="2" t="str">
        <f>IFERROR(__xludf.DUMMYFUNCTION("""COMPUTED_VALUE"""),"Isabela")</f>
        <v>Isabela</v>
      </c>
      <c r="AM539" s="2">
        <f>IFERROR(__xludf.DUMMYFUNCTION("""COMPUTED_VALUE"""),2.0)</f>
        <v>2</v>
      </c>
      <c r="AN539" s="2" t="str">
        <f>IFERROR(__xludf.DUMMYFUNCTION("""COMPUTED_VALUE"""),"RCEF 23-09-21 Rebidding")</f>
        <v>RCEF 23-09-21 Rebidding</v>
      </c>
      <c r="AO539" s="2">
        <f>IFERROR(__xludf.DUMMYFUNCTION("""COMPUTED_VALUE"""),9.0)</f>
        <v>9</v>
      </c>
      <c r="AP539" s="2"/>
      <c r="AQ539" s="2"/>
      <c r="AR539" s="2"/>
      <c r="AS539" s="2"/>
      <c r="AT539" s="2"/>
      <c r="AU539" s="2"/>
      <c r="AV539" s="2"/>
      <c r="AW539" s="2"/>
      <c r="AX539" s="2"/>
      <c r="AY539" s="2"/>
      <c r="AZ539" s="2"/>
      <c r="BA539" s="2"/>
      <c r="BB539" s="2"/>
    </row>
    <row r="540">
      <c r="A540" s="2">
        <f>IFERROR(__xludf.DUMMYFUNCTION("""COMPUTED_VALUE"""),536.0)</f>
        <v>536</v>
      </c>
      <c r="B540" s="2" t="str">
        <f>IFERROR(__xludf.DUMMYFUNCTION("""COMPUTED_VALUE"""),"COMPLETED")</f>
        <v>COMPLETED</v>
      </c>
      <c r="C540" s="74">
        <f>IFERROR(__xludf.DUMMYFUNCTION("""COMPUTED_VALUE"""),45563.0)</f>
        <v>45563</v>
      </c>
      <c r="D540" s="71" t="str">
        <f>IFERROR(__xludf.DUMMYFUNCTION("""COMPUTED_VALUE"""),"SADIRI IRRIGATORS ASSOCIATION, INC.")</f>
        <v>SADIRI IRRIGATORS ASSOCIATION, INC.</v>
      </c>
      <c r="E540" s="71" t="str">
        <f>IFERROR(__xludf.DUMMYFUNCTION("""COMPUTED_VALUE"""),"Santa Monica, Echague, ISABELA")</f>
        <v>Santa Monica, Echague, ISABELA</v>
      </c>
      <c r="F540" s="2" t="str">
        <f>IFERROR(__xludf.DUMMYFUNCTION("""COMPUTED_VALUE"""),"Junar M. Lagmay")</f>
        <v>Junar M. Lagmay</v>
      </c>
      <c r="G540" s="2" t="str">
        <f>IFERROR(__xludf.DUMMYFUNCTION("""COMPUTED_VALUE"""),"0949-370-8604")</f>
        <v>0949-370-8604</v>
      </c>
      <c r="H540" s="2">
        <f>IFERROR(__xludf.DUMMYFUNCTION("""COMPUTED_VALUE"""),250.0)</f>
        <v>250</v>
      </c>
      <c r="I540" s="72" t="str">
        <f>IFERROR(__xludf.DUMMYFUNCTION("""COMPUTED_VALUE"""),"REPAIR - TRACTOR")</f>
        <v>REPAIR - TRACTOR</v>
      </c>
      <c r="J540" s="72" t="str">
        <f>IFERROR(__xludf.DUMMYFUNCTION("""COMPUTED_VALUE"""),"Front Axle - Leaking")</f>
        <v>Front Axle - Leaking</v>
      </c>
      <c r="K540" s="72" t="str">
        <f>IFERROR(__xludf.DUMMYFUNCTION("""COMPUTED_VALUE"""),"CFG: OIL SEAL
PARTS: FRONT AXLE OIL SEAL (CFG) ")</f>
        <v>CFG: OIL SEAL
PARTS: FRONT AXLE OIL SEAL (CFG) </v>
      </c>
      <c r="L540" s="72" t="str">
        <f>IFERROR(__xludf.DUMMYFUNCTION("""COMPUTED_VALUE"""),"EGT: REPLACE FRONT AXLE OIL SEAL AND ENGINE CHANGE OIL")</f>
        <v>EGT: REPLACE FRONT AXLE OIL SEAL AND ENGINE CHANGE OIL</v>
      </c>
      <c r="M540" s="2"/>
      <c r="N540" s="2" t="str">
        <f>IFERROR(__xludf.DUMMYFUNCTION("""COMPUTED_VALUE"""),"PARTS: FRONT AXLE OIL SEAL (TA00041359)")</f>
        <v>PARTS: FRONT AXLE OIL SEAL (TA00041359)</v>
      </c>
      <c r="O540" s="2">
        <f>IFERROR(__xludf.DUMMYFUNCTION("""COMPUTED_VALUE"""),1321.0)</f>
        <v>1321</v>
      </c>
      <c r="P540" s="2"/>
      <c r="Q540" s="2"/>
      <c r="R540" s="74">
        <f>IFERROR(__xludf.DUMMYFUNCTION("""COMPUTED_VALUE"""),45604.0)</f>
        <v>45604</v>
      </c>
      <c r="S540" s="2" t="str">
        <f>IFERROR(__xludf.DUMMYFUNCTION("""COMPUTED_VALUE"""),"CFG")</f>
        <v>CFG</v>
      </c>
      <c r="T540" s="73">
        <f>IFERROR(__xludf.DUMMYFUNCTION("""COMPUTED_VALUE"""),3375.0)</f>
        <v>3375</v>
      </c>
      <c r="U540" s="73" t="str">
        <f>IFERROR(__xludf.DUMMYFUNCTION("""COMPUTED_VALUE""")," REMITTED ")</f>
        <v>REMITTED</v>
      </c>
      <c r="V540" s="2"/>
      <c r="W540" s="2">
        <f>IFERROR(__xludf.DUMMYFUNCTION("""COMPUTED_VALUE"""),1281.0)</f>
        <v>1281</v>
      </c>
      <c r="X540" s="2">
        <f>IFERROR(__xludf.DUMMYFUNCTION("""COMPUTED_VALUE"""),1296.0)</f>
        <v>1296</v>
      </c>
      <c r="Y540" s="2"/>
      <c r="Z540" s="2"/>
      <c r="AA540" s="2"/>
      <c r="AB540" s="2"/>
      <c r="AC540" s="2"/>
      <c r="AD540" s="2"/>
      <c r="AE540" s="2"/>
      <c r="AF540" s="2"/>
      <c r="AG540" s="2"/>
      <c r="AH540" s="2"/>
      <c r="AI540" s="2"/>
      <c r="AJ540" s="2" t="str">
        <f>IFERROR(__xludf.DUMMYFUNCTION("""COMPUTED_VALUE"""),"Santa Monica")</f>
        <v>Santa Monica</v>
      </c>
      <c r="AK540" s="2" t="str">
        <f>IFERROR(__xludf.DUMMYFUNCTION("""COMPUTED_VALUE"""),"Echague")</f>
        <v>Echague</v>
      </c>
      <c r="AL540" s="2" t="str">
        <f>IFERROR(__xludf.DUMMYFUNCTION("""COMPUTED_VALUE"""),"Isabela")</f>
        <v>Isabela</v>
      </c>
      <c r="AM540" s="2">
        <f>IFERROR(__xludf.DUMMYFUNCTION("""COMPUTED_VALUE"""),2.0)</f>
        <v>2</v>
      </c>
      <c r="AN540" s="2" t="str">
        <f>IFERROR(__xludf.DUMMYFUNCTION("""COMPUTED_VALUE"""),"RCEF 23-09-21 Rebidding")</f>
        <v>RCEF 23-09-21 Rebidding</v>
      </c>
      <c r="AO540" s="2">
        <f>IFERROR(__xludf.DUMMYFUNCTION("""COMPUTED_VALUE"""),9.0)</f>
        <v>9</v>
      </c>
      <c r="AP540" s="2"/>
      <c r="AQ540" s="2"/>
      <c r="AR540" s="2"/>
      <c r="AS540" s="2"/>
      <c r="AT540" s="2"/>
      <c r="AU540" s="2"/>
      <c r="AV540" s="2"/>
      <c r="AW540" s="2"/>
      <c r="AX540" s="2"/>
      <c r="AY540" s="2"/>
      <c r="AZ540" s="2"/>
      <c r="BA540" s="2"/>
      <c r="BB540" s="2"/>
    </row>
    <row r="541">
      <c r="A541" s="2">
        <f>IFERROR(__xludf.DUMMYFUNCTION("""COMPUTED_VALUE"""),537.0)</f>
        <v>537</v>
      </c>
      <c r="B541" s="2" t="str">
        <f>IFERROR(__xludf.DUMMYFUNCTION("""COMPUTED_VALUE"""),"COMPLETED")</f>
        <v>COMPLETED</v>
      </c>
      <c r="C541" s="74">
        <f>IFERROR(__xludf.DUMMYFUNCTION("""COMPUTED_VALUE"""),45563.0)</f>
        <v>45563</v>
      </c>
      <c r="D541" s="71" t="str">
        <f>IFERROR(__xludf.DUMMYFUNCTION("""COMPUTED_VALUE"""),"Mapalad Farmers Field School Agriculture Cooperative")</f>
        <v>Mapalad Farmers Field School Agriculture Cooperative</v>
      </c>
      <c r="E541" s="71" t="str">
        <f>IFERROR(__xludf.DUMMYFUNCTION("""COMPUTED_VALUE"""),"Lomboy, La Paz, TARLAC")</f>
        <v>Lomboy, La Paz, TARLAC</v>
      </c>
      <c r="F541" s="2" t="str">
        <f>IFERROR(__xludf.DUMMYFUNCTION("""COMPUTED_VALUE"""),"Nelylane Manzano")</f>
        <v>Nelylane Manzano</v>
      </c>
      <c r="G541" s="2">
        <f>IFERROR(__xludf.DUMMYFUNCTION("""COMPUTED_VALUE"""),9.911809235E9)</f>
        <v>9911809235</v>
      </c>
      <c r="H541" s="2">
        <f>IFERROR(__xludf.DUMMYFUNCTION("""COMPUTED_VALUE"""),409.8)</f>
        <v>409.8</v>
      </c>
      <c r="I541" s="72" t="str">
        <f>IFERROR(__xludf.DUMMYFUNCTION("""COMPUTED_VALUE"""),"REPAIR - TRACTOR")</f>
        <v>REPAIR - TRACTOR</v>
      </c>
      <c r="J541" s="72" t="str">
        <f>IFERROR(__xludf.DUMMYFUNCTION("""COMPUTED_VALUE"""),"Electrical - Fuse Box")</f>
        <v>Electrical - Fuse Box</v>
      </c>
      <c r="K541" s="72" t="str">
        <f>IFERROR(__xludf.DUMMYFUNCTION("""COMPUTED_VALUE"""),"DSD: Sunog fuse box, 2nd PMS
PARTS: FUSE BOX ASSY")</f>
        <v>DSD: Sunog fuse box, 2nd PMS
PARTS: FUSE BOX ASSY</v>
      </c>
      <c r="L541" s="72" t="str">
        <f>IFERROR(__xludf.DUMMYFUNCTION("""COMPUTED_VALUE"""),"MYK: OPERARIONAL NA ANG TRACTOR, PINAGAWA NA SA IBA")</f>
        <v>MYK: OPERARIONAL NA ANG TRACTOR, PINAGAWA NA SA IBA</v>
      </c>
      <c r="M541" s="2"/>
      <c r="N541" s="2"/>
      <c r="O541" s="2" t="str">
        <f>IFERROR(__xludf.DUMMYFUNCTION("""COMPUTED_VALUE"""),"N/A")</f>
        <v>N/A</v>
      </c>
      <c r="P541" s="2"/>
      <c r="Q541" s="2"/>
      <c r="R541" s="74">
        <f>IFERROR(__xludf.DUMMYFUNCTION("""COMPUTED_VALUE"""),45988.0)</f>
        <v>45988</v>
      </c>
      <c r="S541" s="2" t="str">
        <f>IFERROR(__xludf.DUMMYFUNCTION("""COMPUTED_VALUE"""),"MYKEE")</f>
        <v>MYKEE</v>
      </c>
      <c r="T541" s="73" t="str">
        <f>IFERROR(__xludf.DUMMYFUNCTION("""COMPUTED_VALUE""")," N/A ")</f>
        <v>N/A</v>
      </c>
      <c r="U541" s="73" t="str">
        <f>IFERROR(__xludf.DUMMYFUNCTION("""COMPUTED_VALUE""")," NO CHARGE ")</f>
        <v>NO CHARGE</v>
      </c>
      <c r="V541" s="2"/>
      <c r="W541" s="2" t="str">
        <f>IFERROR(__xludf.DUMMYFUNCTION("""COMPUTED_VALUE"""),"N/A")</f>
        <v>N/A</v>
      </c>
      <c r="X541" s="2" t="str">
        <f>IFERROR(__xludf.DUMMYFUNCTION("""COMPUTED_VALUE"""),"N/A")</f>
        <v>N/A</v>
      </c>
      <c r="Y541" s="2"/>
      <c r="Z541" s="2"/>
      <c r="AA541" s="2"/>
      <c r="AB541" s="2"/>
      <c r="AC541" s="2"/>
      <c r="AD541" s="2"/>
      <c r="AE541" s="2"/>
      <c r="AF541" s="2"/>
      <c r="AG541" s="2"/>
      <c r="AH541" s="2"/>
      <c r="AI541" s="2"/>
      <c r="AJ541" s="2" t="str">
        <f>IFERROR(__xludf.DUMMYFUNCTION("""COMPUTED_VALUE"""),"Lomboy")</f>
        <v>Lomboy</v>
      </c>
      <c r="AK541" s="2" t="str">
        <f>IFERROR(__xludf.DUMMYFUNCTION("""COMPUTED_VALUE"""),"La Paz")</f>
        <v>La Paz</v>
      </c>
      <c r="AL541" s="2" t="str">
        <f>IFERROR(__xludf.DUMMYFUNCTION("""COMPUTED_VALUE"""),"Tarlac")</f>
        <v>Tarlac</v>
      </c>
      <c r="AM541" s="2">
        <f>IFERROR(__xludf.DUMMYFUNCTION("""COMPUTED_VALUE"""),3.0)</f>
        <v>3</v>
      </c>
      <c r="AN541" s="2" t="str">
        <f>IFERROR(__xludf.DUMMYFUNCTION("""COMPUTED_VALUE"""),"RCEF 23-09-21 Rebidding")</f>
        <v>RCEF 23-09-21 Rebidding</v>
      </c>
      <c r="AO541" s="2">
        <f>IFERROR(__xludf.DUMMYFUNCTION("""COMPUTED_VALUE"""),3.0)</f>
        <v>3</v>
      </c>
      <c r="AP541" s="2"/>
      <c r="AQ541" s="2"/>
      <c r="AR541" s="2"/>
      <c r="AS541" s="2"/>
      <c r="AT541" s="2"/>
      <c r="AU541" s="2"/>
      <c r="AV541" s="2"/>
      <c r="AW541" s="2"/>
      <c r="AX541" s="2"/>
      <c r="AY541" s="2"/>
      <c r="AZ541" s="2"/>
      <c r="BA541" s="2"/>
      <c r="BB541" s="2"/>
    </row>
    <row r="542">
      <c r="A542" s="2">
        <f>IFERROR(__xludf.DUMMYFUNCTION("""COMPUTED_VALUE"""),538.0)</f>
        <v>538</v>
      </c>
      <c r="B542" s="2" t="str">
        <f>IFERROR(__xludf.DUMMYFUNCTION("""COMPUTED_VALUE"""),"COMPLETED")</f>
        <v>COMPLETED</v>
      </c>
      <c r="C542" s="74">
        <f>IFERROR(__xludf.DUMMYFUNCTION("""COMPUTED_VALUE"""),45565.0)</f>
        <v>45565</v>
      </c>
      <c r="D542" s="71"/>
      <c r="E542" s="71" t="str">
        <f>IFERROR(__xludf.DUMMYFUNCTION("""COMPUTED_VALUE""")," ")</f>
        <v> </v>
      </c>
      <c r="F542" s="2"/>
      <c r="G542" s="2"/>
      <c r="H542" s="2">
        <f>IFERROR(__xludf.DUMMYFUNCTION("""COMPUTED_VALUE"""),8.6)</f>
        <v>8.6</v>
      </c>
      <c r="I542" s="72" t="str">
        <f>IFERROR(__xludf.DUMMYFUNCTION("""COMPUTED_VALUE"""),"REPAIR - TRACTOR")</f>
        <v>REPAIR - TRACTOR</v>
      </c>
      <c r="J542" s="72" t="str">
        <f>IFERROR(__xludf.DUMMYFUNCTION("""COMPUTED_VALUE"""),"PTO SWITCH")</f>
        <v>PTO SWITCH</v>
      </c>
      <c r="K542" s="72" t="str">
        <f>IFERROR(__xludf.DUMMYFUNCTION("""COMPUTED_VALUE"""),"ACS: Broken PTO switch ")</f>
        <v>ACS: Broken PTO switch </v>
      </c>
      <c r="L542" s="72" t="str">
        <f>IFERROR(__xludf.DUMMYFUNCTION("""COMPUTED_VALUE"""),"ACS: Replace pto switch ")</f>
        <v>ACS: Replace pto switch </v>
      </c>
      <c r="M542" s="2"/>
      <c r="N542" s="2" t="str">
        <f>IFERROR(__xludf.DUMMYFUNCTION("""COMPUTED_VALUE"""),"PARTS: PTO SWITCH")</f>
        <v>PARTS: PTO SWITCH</v>
      </c>
      <c r="O542" s="2"/>
      <c r="P542" s="2"/>
      <c r="Q542" s="2"/>
      <c r="R542" s="74">
        <f>IFERROR(__xludf.DUMMYFUNCTION("""COMPUTED_VALUE"""),45565.0)</f>
        <v>45565</v>
      </c>
      <c r="S542" s="2" t="str">
        <f>IFERROR(__xludf.DUMMYFUNCTION("""COMPUTED_VALUE"""),"JHP/ACS")</f>
        <v>JHP/ACS</v>
      </c>
      <c r="T542" s="73">
        <f>IFERROR(__xludf.DUMMYFUNCTION("""COMPUTED_VALUE"""),4410.0)</f>
        <v>4410</v>
      </c>
      <c r="U542" s="73" t="str">
        <f>IFERROR(__xludf.DUMMYFUNCTION("""COMPUTED_VALUE""")," REMITTED ")</f>
        <v>REMITTED</v>
      </c>
      <c r="V542" s="2"/>
      <c r="W542" s="2"/>
      <c r="X542" s="2">
        <f>IFERROR(__xludf.DUMMYFUNCTION("""COMPUTED_VALUE"""),1180.0)</f>
        <v>1180</v>
      </c>
      <c r="Y542" s="2"/>
      <c r="Z542" s="2"/>
      <c r="AA542" s="2"/>
      <c r="AB542" s="2"/>
      <c r="AC542" s="2"/>
      <c r="AD542" s="2"/>
      <c r="AE542" s="2"/>
      <c r="AF542" s="2"/>
      <c r="AG542" s="2"/>
      <c r="AH542" s="2"/>
      <c r="AI542" s="2"/>
      <c r="AJ542" s="2" t="str">
        <f>IFERROR(__xludf.DUMMYFUNCTION("""COMPUTED_VALUE"""),"")</f>
        <v/>
      </c>
      <c r="AK542" s="2" t="str">
        <f>IFERROR(__xludf.DUMMYFUNCTION("""COMPUTED_VALUE"""),"")</f>
        <v/>
      </c>
      <c r="AL542" s="2" t="str">
        <f>IFERROR(__xludf.DUMMYFUNCTION("""COMPUTED_VALUE"""),"")</f>
        <v/>
      </c>
      <c r="AM542" s="2" t="str">
        <f>IFERROR(__xludf.DUMMYFUNCTION("""COMPUTED_VALUE"""),"")</f>
        <v/>
      </c>
      <c r="AN542" s="2" t="str">
        <f>IFERROR(__xludf.DUMMYFUNCTION("""COMPUTED_VALUE""")," ")</f>
        <v> </v>
      </c>
      <c r="AO542" s="2" t="str">
        <f>IFERROR(__xludf.DUMMYFUNCTION("""COMPUTED_VALUE""")," ")</f>
        <v> </v>
      </c>
      <c r="AP542" s="2" t="str">
        <f>IFERROR(__xludf.DUMMYFUNCTION("""COMPUTED_VALUE"""),"")</f>
        <v/>
      </c>
      <c r="AQ542" s="2"/>
      <c r="AR542" s="2"/>
      <c r="AS542" s="2"/>
      <c r="AT542" s="2"/>
      <c r="AU542" s="2"/>
      <c r="AV542" s="2"/>
      <c r="AW542" s="2"/>
      <c r="AX542" s="2"/>
      <c r="AY542" s="2"/>
      <c r="AZ542" s="2"/>
      <c r="BA542" s="2"/>
      <c r="BB542" s="2"/>
    </row>
    <row r="543">
      <c r="A543" s="2">
        <f>IFERROR(__xludf.DUMMYFUNCTION("""COMPUTED_VALUE"""),539.0)</f>
        <v>539</v>
      </c>
      <c r="B543" s="2" t="str">
        <f>IFERROR(__xludf.DUMMYFUNCTION("""COMPUTED_VALUE"""),"COMPLETED")</f>
        <v>COMPLETED</v>
      </c>
      <c r="C543" s="74">
        <f>IFERROR(__xludf.DUMMYFUNCTION("""COMPUTED_VALUE"""),45565.0)</f>
        <v>45565</v>
      </c>
      <c r="D543" s="71" t="str">
        <f>IFERROR(__xludf.DUMMYFUNCTION("""COMPUTED_VALUE"""),"SOLID PANAGANIAN FARMERS ASSOCIATION INC.")</f>
        <v>SOLID PANAGANIAN FARMERS ASSOCIATION INC.</v>
      </c>
      <c r="E543" s="71" t="str">
        <f>IFERROR(__xludf.DUMMYFUNCTION("""COMPUTED_VALUE"""),"Panaga, Laoac, PANGASINAN")</f>
        <v>Panaga, Laoac, PANGASINAN</v>
      </c>
      <c r="F543" s="2"/>
      <c r="G543" s="2"/>
      <c r="H543" s="2">
        <f>IFERROR(__xludf.DUMMYFUNCTION("""COMPUTED_VALUE"""),278.0)</f>
        <v>278</v>
      </c>
      <c r="I543" s="72" t="str">
        <f>IFERROR(__xludf.DUMMYFUNCTION("""COMPUTED_VALUE"""),"REPAIR - TRACTOR")</f>
        <v>REPAIR - TRACTOR</v>
      </c>
      <c r="J543" s="72" t="str">
        <f>IFERROR(__xludf.DUMMYFUNCTION("""COMPUTED_VALUE"""),"Buzzer")</f>
        <v>Buzzer</v>
      </c>
      <c r="K543" s="72" t="str">
        <f>IFERROR(__xludf.DUMMYFUNCTION("""COMPUTED_VALUE"""),"JHP: KAANDAR PALANG NATUNOG ANG BUZZER")</f>
        <v>JHP: KAANDAR PALANG NATUNOG ANG BUZZER</v>
      </c>
      <c r="L543" s="72" t="str">
        <f>IFERROR(__xludf.DUMMYFUNCTION("""COMPUTED_VALUE"""),"ACS REPLACED BUZZER")</f>
        <v>ACS REPLACED BUZZER</v>
      </c>
      <c r="M543" s="2"/>
      <c r="N543" s="2"/>
      <c r="O543" s="2" t="str">
        <f>IFERROR(__xludf.DUMMYFUNCTION("""COMPUTED_VALUE"""),"JIE-956")</f>
        <v>JIE-956</v>
      </c>
      <c r="P543" s="2"/>
      <c r="Q543" s="2"/>
      <c r="R543" s="74">
        <f>IFERROR(__xludf.DUMMYFUNCTION("""COMPUTED_VALUE"""),45566.0)</f>
        <v>45566</v>
      </c>
      <c r="S543" s="2" t="str">
        <f>IFERROR(__xludf.DUMMYFUNCTION("""COMPUTED_VALUE"""),"ACS/JHP")</f>
        <v>ACS/JHP</v>
      </c>
      <c r="T543" s="73" t="str">
        <f>IFERROR(__xludf.DUMMYFUNCTION("""COMPUTED_VALUE""")," N/A ")</f>
        <v>N/A</v>
      </c>
      <c r="U543" s="73" t="str">
        <f>IFERROR(__xludf.DUMMYFUNCTION("""COMPUTED_VALUE""")," NO CHARGE ")</f>
        <v>NO CHARGE</v>
      </c>
      <c r="V543" s="2"/>
      <c r="W543" s="2" t="str">
        <f>IFERROR(__xludf.DUMMYFUNCTION("""COMPUTED_VALUE"""),"N/A")</f>
        <v>N/A</v>
      </c>
      <c r="X543" s="2" t="str">
        <f>IFERROR(__xludf.DUMMYFUNCTION("""COMPUTED_VALUE"""),"N/A")</f>
        <v>N/A</v>
      </c>
      <c r="Y543" s="2"/>
      <c r="Z543" s="2"/>
      <c r="AA543" s="2"/>
      <c r="AB543" s="2"/>
      <c r="AC543" s="2"/>
      <c r="AD543" s="2"/>
      <c r="AE543" s="2"/>
      <c r="AF543" s="2"/>
      <c r="AG543" s="2"/>
      <c r="AH543" s="2"/>
      <c r="AI543" s="2"/>
      <c r="AJ543" s="2" t="str">
        <f>IFERROR(__xludf.DUMMYFUNCTION("""COMPUTED_VALUE"""),"Panaga")</f>
        <v>Panaga</v>
      </c>
      <c r="AK543" s="2" t="str">
        <f>IFERROR(__xludf.DUMMYFUNCTION("""COMPUTED_VALUE"""),"Laoac")</f>
        <v>Laoac</v>
      </c>
      <c r="AL543" s="2" t="str">
        <f>IFERROR(__xludf.DUMMYFUNCTION("""COMPUTED_VALUE"""),"Pangasinan")</f>
        <v>Pangasinan</v>
      </c>
      <c r="AM543" s="2">
        <f>IFERROR(__xludf.DUMMYFUNCTION("""COMPUTED_VALUE"""),1.0)</f>
        <v>1</v>
      </c>
      <c r="AN543" s="2" t="str">
        <f>IFERROR(__xludf.DUMMYFUNCTION("""COMPUTED_VALUE"""),"RCEF 23-09-21 Rebidding")</f>
        <v>RCEF 23-09-21 Rebidding</v>
      </c>
      <c r="AO543" s="2">
        <f>IFERROR(__xludf.DUMMYFUNCTION("""COMPUTED_VALUE"""),2.0)</f>
        <v>2</v>
      </c>
      <c r="AP543" s="2"/>
      <c r="AQ543" s="2"/>
      <c r="AR543" s="2"/>
      <c r="AS543" s="2"/>
      <c r="AT543" s="2"/>
      <c r="AU543" s="2"/>
      <c r="AV543" s="2"/>
      <c r="AW543" s="2"/>
      <c r="AX543" s="2"/>
      <c r="AY543" s="2"/>
      <c r="AZ543" s="2"/>
      <c r="BA543" s="2"/>
      <c r="BB543" s="2"/>
    </row>
    <row r="544">
      <c r="A544" s="2">
        <f>IFERROR(__xludf.DUMMYFUNCTION("""COMPUTED_VALUE"""),540.0)</f>
        <v>540</v>
      </c>
      <c r="B544" s="2" t="str">
        <f>IFERROR(__xludf.DUMMYFUNCTION("""COMPUTED_VALUE"""),"COMPLETED")</f>
        <v>COMPLETED</v>
      </c>
      <c r="C544" s="74">
        <f>IFERROR(__xludf.DUMMYFUNCTION("""COMPUTED_VALUE"""),45565.0)</f>
        <v>45565</v>
      </c>
      <c r="D544" s="71" t="str">
        <f>IFERROR(__xludf.DUMMYFUNCTION("""COMPUTED_VALUE"""),"BURAYOC LINGLINGAY FARMERS ASSOCIATION INC.")</f>
        <v>BURAYOC LINGLINGAY FARMERS ASSOCIATION INC.</v>
      </c>
      <c r="E544" s="71" t="str">
        <f>IFERROR(__xludf.DUMMYFUNCTION("""COMPUTED_VALUE"""),"Burayoc, Pagudpud, ILOCOS NORTE")</f>
        <v>Burayoc, Pagudpud, ILOCOS NORTE</v>
      </c>
      <c r="F544" s="2"/>
      <c r="G544" s="2"/>
      <c r="H544" s="2"/>
      <c r="I544" s="72" t="str">
        <f>IFERROR(__xludf.DUMMYFUNCTION("""COMPUTED_VALUE"""),"SPARE PARTS ACQUISITION")</f>
        <v>SPARE PARTS ACQUISITION</v>
      </c>
      <c r="J544" s="72" t="str">
        <f>IFERROR(__xludf.DUMMYFUNCTION("""COMPUTED_VALUE"""),"PMS")</f>
        <v>PMS</v>
      </c>
      <c r="K544" s="72" t="str">
        <f>IFERROR(__xludf.DUMMYFUNCTION("""COMPUTED_VALUE"""),"JHP: SELF PMS: 1 OIL FILTER")</f>
        <v>JHP: SELF PMS: 1 OIL FILTER</v>
      </c>
      <c r="L544" s="72" t="str">
        <f>IFERROR(__xludf.DUMMYFUNCTION("""COMPUTED_VALUE"""),"SEND AGREEMENT")</f>
        <v>SEND AGREEMENT</v>
      </c>
      <c r="M544" s="2"/>
      <c r="N544" s="2" t="str">
        <f>IFERROR(__xludf.DUMMYFUNCTION("""COMPUTED_VALUE"""),"PARTS: 1 OIL FILTER")</f>
        <v>PARTS: 1 OIL FILTER</v>
      </c>
      <c r="O544" s="2" t="str">
        <f>IFERROR(__xludf.DUMMYFUNCTION("""COMPUTED_VALUE"""),"N/A")</f>
        <v>N/A</v>
      </c>
      <c r="P544" s="2"/>
      <c r="Q544" s="2"/>
      <c r="R544" s="74">
        <f>IFERROR(__xludf.DUMMYFUNCTION("""COMPUTED_VALUE"""),45565.0)</f>
        <v>45565</v>
      </c>
      <c r="S544" s="2" t="str">
        <f>IFERROR(__xludf.DUMMYFUNCTION("""COMPUTED_VALUE"""),"JHP")</f>
        <v>JHP</v>
      </c>
      <c r="T544" s="73">
        <f>IFERROR(__xludf.DUMMYFUNCTION("""COMPUTED_VALUE"""),2837.0)</f>
        <v>2837</v>
      </c>
      <c r="U544" s="73" t="str">
        <f>IFERROR(__xludf.DUMMYFUNCTION("""COMPUTED_VALUE""")," REMITTED ")</f>
        <v>REMITTED</v>
      </c>
      <c r="V544" s="2"/>
      <c r="W544" s="2"/>
      <c r="X544" s="2">
        <f>IFERROR(__xludf.DUMMYFUNCTION("""COMPUTED_VALUE"""),1195.0)</f>
        <v>1195</v>
      </c>
      <c r="Y544" s="2"/>
      <c r="Z544" s="2"/>
      <c r="AA544" s="2"/>
      <c r="AB544" s="2"/>
      <c r="AC544" s="2"/>
      <c r="AD544" s="2"/>
      <c r="AE544" s="2"/>
      <c r="AF544" s="2"/>
      <c r="AG544" s="2"/>
      <c r="AH544" s="2"/>
      <c r="AI544" s="2"/>
      <c r="AJ544" s="2" t="str">
        <f>IFERROR(__xludf.DUMMYFUNCTION("""COMPUTED_VALUE"""),"Burayoc")</f>
        <v>Burayoc</v>
      </c>
      <c r="AK544" s="2" t="str">
        <f>IFERROR(__xludf.DUMMYFUNCTION("""COMPUTED_VALUE"""),"Pagudpud")</f>
        <v>Pagudpud</v>
      </c>
      <c r="AL544" s="2" t="str">
        <f>IFERROR(__xludf.DUMMYFUNCTION("""COMPUTED_VALUE"""),"Ilocos Norte")</f>
        <v>Ilocos Norte</v>
      </c>
      <c r="AM544" s="2">
        <f>IFERROR(__xludf.DUMMYFUNCTION("""COMPUTED_VALUE"""),1.0)</f>
        <v>1</v>
      </c>
      <c r="AN544" s="2" t="str">
        <f>IFERROR(__xludf.DUMMYFUNCTION("""COMPUTED_VALUE"""),"RCEF 23-09-21 Rebidding")</f>
        <v>RCEF 23-09-21 Rebidding</v>
      </c>
      <c r="AO544" s="2">
        <f>IFERROR(__xludf.DUMMYFUNCTION("""COMPUTED_VALUE"""),2.0)</f>
        <v>2</v>
      </c>
      <c r="AP544" s="2"/>
      <c r="AQ544" s="2"/>
      <c r="AR544" s="2"/>
      <c r="AS544" s="2"/>
      <c r="AT544" s="2"/>
      <c r="AU544" s="2"/>
      <c r="AV544" s="2"/>
      <c r="AW544" s="2"/>
      <c r="AX544" s="2"/>
      <c r="AY544" s="2"/>
      <c r="AZ544" s="2"/>
      <c r="BA544" s="2"/>
      <c r="BB544" s="2"/>
    </row>
    <row r="545">
      <c r="A545" s="2">
        <f>IFERROR(__xludf.DUMMYFUNCTION("""COMPUTED_VALUE"""),541.0)</f>
        <v>541</v>
      </c>
      <c r="B545" s="2" t="str">
        <f>IFERROR(__xludf.DUMMYFUNCTION("""COMPUTED_VALUE"""),"COMPLETED")</f>
        <v>COMPLETED</v>
      </c>
      <c r="C545" s="74">
        <f>IFERROR(__xludf.DUMMYFUNCTION("""COMPUTED_VALUE"""),45565.0)</f>
        <v>45565</v>
      </c>
      <c r="D545" s="71" t="str">
        <f>IFERROR(__xludf.DUMMYFUNCTION("""COMPUTED_VALUE"""),"62-A NAVOTAS FARMERS ASSOCIATION, INCORPORATED")</f>
        <v>62-A NAVOTAS FARMERS ASSOCIATION, INCORPORATED</v>
      </c>
      <c r="E545" s="71" t="str">
        <f>IFERROR(__xludf.DUMMYFUNCTION("""COMPUTED_VALUE""")," ")</f>
        <v> </v>
      </c>
      <c r="F545" s="2"/>
      <c r="G545" s="2"/>
      <c r="H545" s="2"/>
      <c r="I545" s="72" t="str">
        <f>IFERROR(__xludf.DUMMYFUNCTION("""COMPUTED_VALUE"""),"SPARE PARTS ACQUISITION")</f>
        <v>SPARE PARTS ACQUISITION</v>
      </c>
      <c r="J545" s="72" t="str">
        <f>IFERROR(__xludf.DUMMYFUNCTION("""COMPUTED_VALUE"""),"PMS")</f>
        <v>PMS</v>
      </c>
      <c r="K545" s="72" t="str">
        <f>IFERROR(__xludf.DUMMYFUNCTION("""COMPUTED_VALUE"""),"JHP: SELF PMS: 1 OIL FILTER")</f>
        <v>JHP: SELF PMS: 1 OIL FILTER</v>
      </c>
      <c r="L545" s="72" t="str">
        <f>IFERROR(__xludf.DUMMYFUNCTION("""COMPUTED_VALUE"""),"SEND AGREEMENT")</f>
        <v>SEND AGREEMENT</v>
      </c>
      <c r="M545" s="2"/>
      <c r="N545" s="2" t="str">
        <f>IFERROR(__xludf.DUMMYFUNCTION("""COMPUTED_VALUE"""),"PARTS: 1 OIL FILTER")</f>
        <v>PARTS: 1 OIL FILTER</v>
      </c>
      <c r="O545" s="2" t="str">
        <f>IFERROR(__xludf.DUMMYFUNCTION("""COMPUTED_VALUE"""),"N/A")</f>
        <v>N/A</v>
      </c>
      <c r="P545" s="2"/>
      <c r="Q545" s="2"/>
      <c r="R545" s="74">
        <f>IFERROR(__xludf.DUMMYFUNCTION("""COMPUTED_VALUE"""),45565.0)</f>
        <v>45565</v>
      </c>
      <c r="S545" s="2" t="str">
        <f>IFERROR(__xludf.DUMMYFUNCTION("""COMPUTED_VALUE"""),"JHP")</f>
        <v>JHP</v>
      </c>
      <c r="T545" s="73">
        <f>IFERROR(__xludf.DUMMYFUNCTION("""COMPUTED_VALUE"""),2837.0)</f>
        <v>2837</v>
      </c>
      <c r="U545" s="73" t="str">
        <f>IFERROR(__xludf.DUMMYFUNCTION("""COMPUTED_VALUE""")," REMITTED ")</f>
        <v>REMITTED</v>
      </c>
      <c r="V545" s="2"/>
      <c r="W545" s="2"/>
      <c r="X545" s="2">
        <f>IFERROR(__xludf.DUMMYFUNCTION("""COMPUTED_VALUE"""),1187.0)</f>
        <v>1187</v>
      </c>
      <c r="Y545" s="2"/>
      <c r="Z545" s="2"/>
      <c r="AA545" s="2"/>
      <c r="AB545" s="2"/>
      <c r="AC545" s="2"/>
      <c r="AD545" s="2"/>
      <c r="AE545" s="2"/>
      <c r="AF545" s="2"/>
      <c r="AG545" s="2"/>
      <c r="AH545" s="2"/>
      <c r="AI545" s="2"/>
      <c r="AJ545" s="2" t="str">
        <f>IFERROR(__xludf.DUMMYFUNCTION("""COMPUTED_VALUE"""),"")</f>
        <v/>
      </c>
      <c r="AK545" s="2" t="str">
        <f>IFERROR(__xludf.DUMMYFUNCTION("""COMPUTED_VALUE"""),"")</f>
        <v/>
      </c>
      <c r="AL545" s="2" t="str">
        <f>IFERROR(__xludf.DUMMYFUNCTION("""COMPUTED_VALUE"""),"")</f>
        <v/>
      </c>
      <c r="AM545" s="2" t="str">
        <f>IFERROR(__xludf.DUMMYFUNCTION("""COMPUTED_VALUE"""),"")</f>
        <v/>
      </c>
      <c r="AN545" s="2" t="str">
        <f>IFERROR(__xludf.DUMMYFUNCTION("""COMPUTED_VALUE""")," ")</f>
        <v> </v>
      </c>
      <c r="AO545" s="2" t="str">
        <f>IFERROR(__xludf.DUMMYFUNCTION("""COMPUTED_VALUE""")," ")</f>
        <v> </v>
      </c>
      <c r="AP545" s="2" t="str">
        <f>IFERROR(__xludf.DUMMYFUNCTION("""COMPUTED_VALUE"""),"")</f>
        <v/>
      </c>
      <c r="AQ545" s="2"/>
      <c r="AR545" s="2"/>
      <c r="AS545" s="2"/>
      <c r="AT545" s="2"/>
      <c r="AU545" s="2"/>
      <c r="AV545" s="2"/>
      <c r="AW545" s="2"/>
      <c r="AX545" s="2"/>
      <c r="AY545" s="2"/>
      <c r="AZ545" s="2"/>
      <c r="BA545" s="2"/>
      <c r="BB545" s="2"/>
    </row>
    <row r="546">
      <c r="A546" s="2">
        <f>IFERROR(__xludf.DUMMYFUNCTION("""COMPUTED_VALUE"""),542.0)</f>
        <v>542</v>
      </c>
      <c r="B546" s="2" t="str">
        <f>IFERROR(__xludf.DUMMYFUNCTION("""COMPUTED_VALUE"""),"COMPLETED")</f>
        <v>COMPLETED</v>
      </c>
      <c r="C546" s="74">
        <f>IFERROR(__xludf.DUMMYFUNCTION("""COMPUTED_VALUE"""),45565.0)</f>
        <v>45565</v>
      </c>
      <c r="D546" s="71" t="str">
        <f>IFERROR(__xludf.DUMMYFUNCTION("""COMPUTED_VALUE"""),"Nag-iisang Masikap Primary Multipurpose Cooperative")</f>
        <v>Nag-iisang Masikap Primary Multipurpose Cooperative</v>
      </c>
      <c r="E546" s="71" t="str">
        <f>IFERROR(__xludf.DUMMYFUNCTION("""COMPUTED_VALUE"""),"Balangkare Sur, General Mamerto Natividad, NUEVA ECIJA")</f>
        <v>Balangkare Sur, General Mamerto Natividad, NUEVA ECIJA</v>
      </c>
      <c r="F546" s="2"/>
      <c r="G546" s="2"/>
      <c r="H546" s="2">
        <f>IFERROR(__xludf.DUMMYFUNCTION("""COMPUTED_VALUE"""),307.0)</f>
        <v>307</v>
      </c>
      <c r="I546" s="72" t="str">
        <f>IFERROR(__xludf.DUMMYFUNCTION("""COMPUTED_VALUE"""),"REPAIR - TRACTOR")</f>
        <v>REPAIR - TRACTOR</v>
      </c>
      <c r="J546" s="72" t="str">
        <f>IFERROR(__xludf.DUMMYFUNCTION("""COMPUTED_VALUE"""),"Front Axle - Leaking")</f>
        <v>Front Axle - Leaking</v>
      </c>
      <c r="K546" s="72" t="str">
        <f>IFERROR(__xludf.DUMMYFUNCTION("""COMPUTED_VALUE"""),"ACS: FRONT AXLE LEAKING
PARTS: FRONT AXLE OIL SEAL")</f>
        <v>ACS: FRONT AXLE LEAKING
PARTS: FRONT AXLE OIL SEAL</v>
      </c>
      <c r="L546" s="72" t="str">
        <f>IFERROR(__xludf.DUMMYFUNCTION("""COMPUTED_VALUE"""),"ACS: REPLACED FRONT AXLE OIL SEAL")</f>
        <v>ACS: REPLACED FRONT AXLE OIL SEAL</v>
      </c>
      <c r="M546" s="2"/>
      <c r="N546" s="2" t="str">
        <f>IFERROR(__xludf.DUMMYFUNCTION("""COMPUTED_VALUE"""),"PARTS: FRONT AXLE OIL SEAL (TA00041359)")</f>
        <v>PARTS: FRONT AXLE OIL SEAL (TA00041359)</v>
      </c>
      <c r="O546" s="2">
        <f>IFERROR(__xludf.DUMMYFUNCTION("""COMPUTED_VALUE"""),1204.0)</f>
        <v>1204</v>
      </c>
      <c r="P546" s="2"/>
      <c r="Q546" s="2" t="str">
        <f>IFERROR(__xludf.DUMMYFUNCTION("""COMPUTED_VALUE"""),"Y")</f>
        <v>Y</v>
      </c>
      <c r="R546" s="74">
        <f>IFERROR(__xludf.DUMMYFUNCTION("""COMPUTED_VALUE"""),45622.0)</f>
        <v>45622</v>
      </c>
      <c r="S546" s="2" t="str">
        <f>IFERROR(__xludf.DUMMYFUNCTION("""COMPUTED_VALUE"""),"JHP/ACS")</f>
        <v>JHP/ACS</v>
      </c>
      <c r="T546" s="73">
        <f>IFERROR(__xludf.DUMMYFUNCTION("""COMPUTED_VALUE"""),3400.0)</f>
        <v>3400</v>
      </c>
      <c r="U546" s="73" t="str">
        <f>IFERROR(__xludf.DUMMYFUNCTION("""COMPUTED_VALUE""")," REMITTED ")</f>
        <v>REMITTED</v>
      </c>
      <c r="V546" s="2"/>
      <c r="W546" s="2">
        <f>IFERROR(__xludf.DUMMYFUNCTION("""COMPUTED_VALUE"""),1145.0)</f>
        <v>1145</v>
      </c>
      <c r="X546" s="2">
        <f>IFERROR(__xludf.DUMMYFUNCTION("""COMPUTED_VALUE"""),1280.0)</f>
        <v>1280</v>
      </c>
      <c r="Y546" s="2"/>
      <c r="Z546" s="2"/>
      <c r="AA546" s="2"/>
      <c r="AB546" s="2"/>
      <c r="AC546" s="2"/>
      <c r="AD546" s="2"/>
      <c r="AE546" s="2"/>
      <c r="AF546" s="2"/>
      <c r="AG546" s="2"/>
      <c r="AH546" s="2"/>
      <c r="AI546" s="2"/>
      <c r="AJ546" s="2" t="str">
        <f>IFERROR(__xludf.DUMMYFUNCTION("""COMPUTED_VALUE"""),"Balangkare Sur")</f>
        <v>Balangkare Sur</v>
      </c>
      <c r="AK546" s="2" t="str">
        <f>IFERROR(__xludf.DUMMYFUNCTION("""COMPUTED_VALUE"""),"General Mamerto Natividad")</f>
        <v>General Mamerto Natividad</v>
      </c>
      <c r="AL546" s="2" t="str">
        <f>IFERROR(__xludf.DUMMYFUNCTION("""COMPUTED_VALUE"""),"Nueva Ecija")</f>
        <v>Nueva Ecija</v>
      </c>
      <c r="AM546" s="2">
        <f>IFERROR(__xludf.DUMMYFUNCTION("""COMPUTED_VALUE"""),3.0)</f>
        <v>3</v>
      </c>
      <c r="AN546" s="2" t="str">
        <f>IFERROR(__xludf.DUMMYFUNCTION("""COMPUTED_VALUE"""),"RCEF 23-09-21 Rebidding")</f>
        <v>RCEF 23-09-21 Rebidding</v>
      </c>
      <c r="AO546" s="2">
        <f>IFERROR(__xludf.DUMMYFUNCTION("""COMPUTED_VALUE"""),3.0)</f>
        <v>3</v>
      </c>
      <c r="AP546" s="2"/>
      <c r="AQ546" s="2"/>
      <c r="AR546" s="2"/>
      <c r="AS546" s="2"/>
      <c r="AT546" s="2"/>
      <c r="AU546" s="2"/>
      <c r="AV546" s="2"/>
      <c r="AW546" s="2"/>
      <c r="AX546" s="2"/>
      <c r="AY546" s="2"/>
      <c r="AZ546" s="2"/>
      <c r="BA546" s="2"/>
      <c r="BB546" s="2"/>
    </row>
    <row r="547">
      <c r="A547" s="2">
        <f>IFERROR(__xludf.DUMMYFUNCTION("""COMPUTED_VALUE"""),543.0)</f>
        <v>543</v>
      </c>
      <c r="B547" s="2" t="str">
        <f>IFERROR(__xludf.DUMMYFUNCTION("""COMPUTED_VALUE"""),"COMPLETED")</f>
        <v>COMPLETED</v>
      </c>
      <c r="C547" s="74">
        <f>IFERROR(__xludf.DUMMYFUNCTION("""COMPUTED_VALUE"""),45566.0)</f>
        <v>45566</v>
      </c>
      <c r="D547" s="71" t="str">
        <f>IFERROR(__xludf.DUMMYFUNCTION("""COMPUTED_VALUE"""),"Santiago Nagkakaisa Agriculture Cooperative")</f>
        <v>Santiago Nagkakaisa Agriculture Cooperative</v>
      </c>
      <c r="E547" s="71" t="str">
        <f>IFERROR(__xludf.DUMMYFUNCTION("""COMPUTED_VALUE"""),"Santiago, Gerona, TARLAC")</f>
        <v>Santiago, Gerona, TARLAC</v>
      </c>
      <c r="F547" s="2" t="str">
        <f>IFERROR(__xludf.DUMMYFUNCTION("""COMPUTED_VALUE"""),"edwin i benitez                                      ")</f>
        <v>edwin i benitez                                      </v>
      </c>
      <c r="G547" s="2">
        <f>IFERROR(__xludf.DUMMYFUNCTION("""COMPUTED_VALUE"""),9.702027176E9)</f>
        <v>9702027176</v>
      </c>
      <c r="H547" s="2">
        <f>IFERROR(__xludf.DUMMYFUNCTION("""COMPUTED_VALUE"""),347.8)</f>
        <v>347.8</v>
      </c>
      <c r="I547" s="72" t="str">
        <f>IFERROR(__xludf.DUMMYFUNCTION("""COMPUTED_VALUE"""),"PMS")</f>
        <v>PMS</v>
      </c>
      <c r="J547" s="72" t="str">
        <f>IFERROR(__xludf.DUMMYFUNCTION("""COMPUTED_VALUE"""),"PMS")</f>
        <v>PMS</v>
      </c>
      <c r="K547" s="72" t="str">
        <f>IFERROR(__xludf.DUMMYFUNCTION("""COMPUTED_VALUE"""),"ACS: 2ND PMS ")</f>
        <v>ACS: 2ND PMS </v>
      </c>
      <c r="L547" s="72" t="str">
        <f>IFERROR(__xludf.DUMMYFUNCTION("""COMPUTED_VALUE"""),"ACS: 2ND PMS DONE, 1 HYDRAULIC FILTER PAID BY FCA")</f>
        <v>ACS: 2ND PMS DONE, 1 HYDRAULIC FILTER PAID BY FCA</v>
      </c>
      <c r="M547" s="2"/>
      <c r="N547" s="2" t="str">
        <f>IFERROR(__xludf.DUMMYFUNCTION("""COMPUTED_VALUE"""),"PARTS: 1 HYDRAULIC FILTER")</f>
        <v>PARTS: 1 HYDRAULIC FILTER</v>
      </c>
      <c r="O547" s="2">
        <f>IFERROR(__xludf.DUMMYFUNCTION("""COMPUTED_VALUE"""),573.0)</f>
        <v>573</v>
      </c>
      <c r="P547" s="2"/>
      <c r="Q547" s="2" t="str">
        <f>IFERROR(__xludf.DUMMYFUNCTION("""COMPUTED_VALUE"""),"Y")</f>
        <v>Y</v>
      </c>
      <c r="R547" s="74">
        <f>IFERROR(__xludf.DUMMYFUNCTION("""COMPUTED_VALUE"""),45566.0)</f>
        <v>45566</v>
      </c>
      <c r="S547" s="2" t="str">
        <f>IFERROR(__xludf.DUMMYFUNCTION("""COMPUTED_VALUE"""),"JHP/ACS")</f>
        <v>JHP/ACS</v>
      </c>
      <c r="T547" s="73">
        <f>IFERROR(__xludf.DUMMYFUNCTION("""COMPUTED_VALUE"""),5100.0)</f>
        <v>5100</v>
      </c>
      <c r="U547" s="73" t="str">
        <f>IFERROR(__xludf.DUMMYFUNCTION("""COMPUTED_VALUE""")," REMITTED ")</f>
        <v>REMITTED</v>
      </c>
      <c r="V547" s="2"/>
      <c r="W547" s="2"/>
      <c r="X547" s="2">
        <f>IFERROR(__xludf.DUMMYFUNCTION("""COMPUTED_VALUE"""),1181.0)</f>
        <v>1181</v>
      </c>
      <c r="Y547" s="2"/>
      <c r="Z547" s="2"/>
      <c r="AA547" s="2"/>
      <c r="AB547" s="2"/>
      <c r="AC547" s="2"/>
      <c r="AD547" s="2"/>
      <c r="AE547" s="2"/>
      <c r="AF547" s="2"/>
      <c r="AG547" s="2"/>
      <c r="AH547" s="2"/>
      <c r="AI547" s="2"/>
      <c r="AJ547" s="2" t="str">
        <f>IFERROR(__xludf.DUMMYFUNCTION("""COMPUTED_VALUE"""),"Santiago")</f>
        <v>Santiago</v>
      </c>
      <c r="AK547" s="2" t="str">
        <f>IFERROR(__xludf.DUMMYFUNCTION("""COMPUTED_VALUE"""),"Gerona")</f>
        <v>Gerona</v>
      </c>
      <c r="AL547" s="2" t="str">
        <f>IFERROR(__xludf.DUMMYFUNCTION("""COMPUTED_VALUE"""),"Tarlac")</f>
        <v>Tarlac</v>
      </c>
      <c r="AM547" s="2">
        <f>IFERROR(__xludf.DUMMYFUNCTION("""COMPUTED_VALUE"""),3.0)</f>
        <v>3</v>
      </c>
      <c r="AN547" s="2" t="str">
        <f>IFERROR(__xludf.DUMMYFUNCTION("""COMPUTED_VALUE"""),"RCEF 23-09-21 Rebidding")</f>
        <v>RCEF 23-09-21 Rebidding</v>
      </c>
      <c r="AO547" s="2">
        <f>IFERROR(__xludf.DUMMYFUNCTION("""COMPUTED_VALUE"""),3.0)</f>
        <v>3</v>
      </c>
      <c r="AP547" s="2"/>
      <c r="AQ547" s="2"/>
      <c r="AR547" s="2"/>
      <c r="AS547" s="2"/>
      <c r="AT547" s="2"/>
      <c r="AU547" s="2"/>
      <c r="AV547" s="2"/>
      <c r="AW547" s="2"/>
      <c r="AX547" s="2"/>
      <c r="AY547" s="2"/>
      <c r="AZ547" s="2"/>
      <c r="BA547" s="2"/>
      <c r="BB547" s="2"/>
    </row>
    <row r="548">
      <c r="A548" s="2">
        <f>IFERROR(__xludf.DUMMYFUNCTION("""COMPUTED_VALUE"""),544.0)</f>
        <v>544</v>
      </c>
      <c r="B548" s="2" t="str">
        <f>IFERROR(__xludf.DUMMYFUNCTION("""COMPUTED_VALUE"""),"COMPLETED")</f>
        <v>COMPLETED</v>
      </c>
      <c r="C548" s="74">
        <f>IFERROR(__xludf.DUMMYFUNCTION("""COMPUTED_VALUE"""),45566.0)</f>
        <v>45566</v>
      </c>
      <c r="D548" s="71" t="str">
        <f>IFERROR(__xludf.DUMMYFUNCTION("""COMPUTED_VALUE"""),"Busilac Green Land Agro-Industrial Farmers and Irrigators Association Inc.")</f>
        <v>Busilac Green Land Agro-Industrial Farmers and Irrigators Association Inc.</v>
      </c>
      <c r="E548" s="71" t="str">
        <f>IFERROR(__xludf.DUMMYFUNCTION("""COMPUTED_VALUE""")," ")</f>
        <v> </v>
      </c>
      <c r="F548" s="2" t="str">
        <f>IFERROR(__xludf.DUMMYFUNCTION("""COMPUTED_VALUE"""),"ROBERT LAGNOY")</f>
        <v>ROBERT LAGNOY</v>
      </c>
      <c r="G548" s="2">
        <f>IFERROR(__xludf.DUMMYFUNCTION("""COMPUTED_VALUE"""),9.169787416E9)</f>
        <v>9169787416</v>
      </c>
      <c r="H548" s="2">
        <f>IFERROR(__xludf.DUMMYFUNCTION("""COMPUTED_VALUE"""),70.0)</f>
        <v>70</v>
      </c>
      <c r="I548" s="72" t="str">
        <f>IFERROR(__xludf.DUMMYFUNCTION("""COMPUTED_VALUE"""),"PMS")</f>
        <v>PMS</v>
      </c>
      <c r="J548" s="72" t="str">
        <f>IFERROR(__xludf.DUMMYFUNCTION("""COMPUTED_VALUE"""),"PMS")</f>
        <v>PMS</v>
      </c>
      <c r="K548" s="72" t="str">
        <f>IFERROR(__xludf.DUMMYFUNCTION("""COMPUTED_VALUE"""),"ERP: FIRST PMS")</f>
        <v>ERP: FIRST PMS</v>
      </c>
      <c r="L548" s="72" t="str">
        <f>IFERROR(__xludf.DUMMYFUNCTION("""COMPUTED_VALUE"""),"ACS: 1ST PMS DONE")</f>
        <v>ACS: 1ST PMS DONE</v>
      </c>
      <c r="M548" s="2"/>
      <c r="N548" s="2" t="str">
        <f>IFERROR(__xludf.DUMMYFUNCTION("""COMPUTED_VALUE"""),"PARTS: OIL FILTER, ENGINE OIL")</f>
        <v>PARTS: OIL FILTER, ENGINE OIL</v>
      </c>
      <c r="O548" s="2">
        <f>IFERROR(__xludf.DUMMYFUNCTION("""COMPUTED_VALUE"""),581.0)</f>
        <v>581</v>
      </c>
      <c r="P548" s="2"/>
      <c r="Q548" s="2"/>
      <c r="R548" s="74">
        <f>IFERROR(__xludf.DUMMYFUNCTION("""COMPUTED_VALUE"""),45579.0)</f>
        <v>45579</v>
      </c>
      <c r="S548" s="2" t="str">
        <f>IFERROR(__xludf.DUMMYFUNCTION("""COMPUTED_VALUE"""),"JHP/ACS")</f>
        <v>JHP/ACS</v>
      </c>
      <c r="T548" s="73">
        <f>IFERROR(__xludf.DUMMYFUNCTION("""COMPUTED_VALUE"""),3200.0)</f>
        <v>3200</v>
      </c>
      <c r="U548" s="73" t="str">
        <f>IFERROR(__xludf.DUMMYFUNCTION("""COMPUTED_VALUE""")," REMITTED ")</f>
        <v>REMITTED</v>
      </c>
      <c r="V548" s="2"/>
      <c r="W548" s="2"/>
      <c r="X548" s="2">
        <f>IFERROR(__xludf.DUMMYFUNCTION("""COMPUTED_VALUE"""),1188.0)</f>
        <v>1188</v>
      </c>
      <c r="Y548" s="2"/>
      <c r="Z548" s="2"/>
      <c r="AA548" s="2"/>
      <c r="AB548" s="2"/>
      <c r="AC548" s="2"/>
      <c r="AD548" s="2"/>
      <c r="AE548" s="2"/>
      <c r="AF548" s="2"/>
      <c r="AG548" s="2"/>
      <c r="AH548" s="2"/>
      <c r="AI548" s="2"/>
      <c r="AJ548" s="2" t="str">
        <f>IFERROR(__xludf.DUMMYFUNCTION("""COMPUTED_VALUE"""),"")</f>
        <v/>
      </c>
      <c r="AK548" s="2" t="str">
        <f>IFERROR(__xludf.DUMMYFUNCTION("""COMPUTED_VALUE"""),"")</f>
        <v/>
      </c>
      <c r="AL548" s="2" t="str">
        <f>IFERROR(__xludf.DUMMYFUNCTION("""COMPUTED_VALUE"""),"")</f>
        <v/>
      </c>
      <c r="AM548" s="2" t="str">
        <f>IFERROR(__xludf.DUMMYFUNCTION("""COMPUTED_VALUE"""),"")</f>
        <v/>
      </c>
      <c r="AN548" s="2" t="str">
        <f>IFERROR(__xludf.DUMMYFUNCTION("""COMPUTED_VALUE""")," ")</f>
        <v> </v>
      </c>
      <c r="AO548" s="2" t="str">
        <f>IFERROR(__xludf.DUMMYFUNCTION("""COMPUTED_VALUE""")," ")</f>
        <v> </v>
      </c>
      <c r="AP548" s="2" t="str">
        <f>IFERROR(__xludf.DUMMYFUNCTION("""COMPUTED_VALUE"""),"")</f>
        <v/>
      </c>
      <c r="AQ548" s="2"/>
      <c r="AR548" s="2"/>
      <c r="AS548" s="2"/>
      <c r="AT548" s="2"/>
      <c r="AU548" s="2"/>
      <c r="AV548" s="2"/>
      <c r="AW548" s="2"/>
      <c r="AX548" s="2"/>
      <c r="AY548" s="2"/>
      <c r="AZ548" s="2"/>
      <c r="BA548" s="2"/>
      <c r="BB548" s="2"/>
    </row>
    <row r="549">
      <c r="A549" s="2">
        <f>IFERROR(__xludf.DUMMYFUNCTION("""COMPUTED_VALUE"""),545.0)</f>
        <v>545</v>
      </c>
      <c r="B549" s="2" t="str">
        <f>IFERROR(__xludf.DUMMYFUNCTION("""COMPUTED_VALUE"""),"COMPLETED")</f>
        <v>COMPLETED</v>
      </c>
      <c r="C549" s="74">
        <f>IFERROR(__xludf.DUMMYFUNCTION("""COMPUTED_VALUE"""),45567.0)</f>
        <v>45567</v>
      </c>
      <c r="D549" s="71" t="str">
        <f>IFERROR(__xludf.DUMMYFUNCTION("""COMPUTED_VALUE"""),"AGOS NG PAG-ASA KATAKIAN IRRIGATORS' ASSOCIATION INCORPORATED")</f>
        <v>AGOS NG PAG-ASA KATAKIAN IRRIGATORS' ASSOCIATION INCORPORATED</v>
      </c>
      <c r="E549" s="71" t="str">
        <f>IFERROR(__xludf.DUMMYFUNCTION("""COMPUTED_VALUE"""),"Landing, Tagkawayan, Quezon")</f>
        <v>Landing, Tagkawayan, Quezon</v>
      </c>
      <c r="F549" s="2" t="str">
        <f>IFERROR(__xludf.DUMMYFUNCTION("""COMPUTED_VALUE"""),"RUEL GONZAGA")</f>
        <v>RUEL GONZAGA</v>
      </c>
      <c r="G549" s="2" t="str">
        <f>IFERROR(__xludf.DUMMYFUNCTION("""COMPUTED_VALUE"""),"0998 333 6165")</f>
        <v>0998 333 6165</v>
      </c>
      <c r="H549" s="2">
        <f>IFERROR(__xludf.DUMMYFUNCTION("""COMPUTED_VALUE"""),258.0)</f>
        <v>258</v>
      </c>
      <c r="I549" s="72" t="str">
        <f>IFERROR(__xludf.DUMMYFUNCTION("""COMPUTED_VALUE"""),"REPAIR - ROTAVATOR")</f>
        <v>REPAIR - ROTAVATOR</v>
      </c>
      <c r="J549" s="72" t="str">
        <f>IFERROR(__xludf.DUMMYFUNCTION("""COMPUTED_VALUE"""),"Gearbox")</f>
        <v>Gearbox</v>
      </c>
      <c r="K549" s="72" t="str">
        <f>IFERROR(__xludf.DUMMYFUNCTION("""COMPUTED_VALUE"""),"MYKEE: Rotovator gear, Nut Damage
PART: BEVEL GEAR 24T, NUT WASHER
PARTS: PINION GEAR 11T ")</f>
        <v>MYKEE: Rotovator gear, Nut Damage
PART: BEVEL GEAR 24T, NUT WASHER
PARTS: PINION GEAR 11T </v>
      </c>
      <c r="L549" s="72" t="str">
        <f>IFERROR(__xludf.DUMMYFUNCTION("""COMPUTED_VALUE"""),"JHP: CLOSE MUNA DAHIL WALA PANG BUDGET SI FARMER")</f>
        <v>JHP: CLOSE MUNA DAHIL WALA PANG BUDGET SI FARMER</v>
      </c>
      <c r="M549" s="2"/>
      <c r="N549" s="2"/>
      <c r="O549" s="2" t="str">
        <f>IFERROR(__xludf.DUMMYFUNCTION("""COMPUTED_VALUE"""),"N/A")</f>
        <v>N/A</v>
      </c>
      <c r="P549" s="2"/>
      <c r="Q549" s="2"/>
      <c r="R549" s="74">
        <f>IFERROR(__xludf.DUMMYFUNCTION("""COMPUTED_VALUE"""),45684.0)</f>
        <v>45684</v>
      </c>
      <c r="S549" s="2" t="str">
        <f>IFERROR(__xludf.DUMMYFUNCTION("""COMPUTED_VALUE"""),"JTT")</f>
        <v>JTT</v>
      </c>
      <c r="T549" s="73" t="str">
        <f>IFERROR(__xludf.DUMMYFUNCTION("""COMPUTED_VALUE""")," N/A ")</f>
        <v>N/A</v>
      </c>
      <c r="U549" s="73" t="str">
        <f>IFERROR(__xludf.DUMMYFUNCTION("""COMPUTED_VALUE""")," NO CHARGE ")</f>
        <v>NO CHARGE</v>
      </c>
      <c r="V549" s="2"/>
      <c r="W549" s="2" t="str">
        <f>IFERROR(__xludf.DUMMYFUNCTION("""COMPUTED_VALUE"""),"N/A")</f>
        <v>N/A</v>
      </c>
      <c r="X549" s="2" t="str">
        <f>IFERROR(__xludf.DUMMYFUNCTION("""COMPUTED_VALUE"""),"N/A")</f>
        <v>N/A</v>
      </c>
      <c r="Y549" s="2"/>
      <c r="Z549" s="2"/>
      <c r="AA549" s="2"/>
      <c r="AB549" s="2"/>
      <c r="AC549" s="2"/>
      <c r="AD549" s="2"/>
      <c r="AE549" s="2" t="str">
        <f>IFERROR(__xludf.DUMMYFUNCTION("""COMPUTED_VALUE"""),"65a67e0a-8417-44af-a92f-7136827a2f1a.jpg")</f>
        <v>65a67e0a-8417-44af-a92f-7136827a2f1a.jpg</v>
      </c>
      <c r="AF549" s="2" t="str">
        <f>IFERROR(__xludf.DUMMYFUNCTION("""COMPUTED_VALUE"""),"65a67e0a-8417-44af-a92f-7136827a2f1a.jpg")</f>
        <v>65a67e0a-8417-44af-a92f-7136827a2f1a.jpg</v>
      </c>
      <c r="AG549" s="2" t="str">
        <f>IFERROR(__xludf.DUMMYFUNCTION("""COMPUTED_VALUE"""),"aa9a273b-f34e-4124-84a2-4d7914de27c7.jpg")</f>
        <v>aa9a273b-f34e-4124-84a2-4d7914de27c7.jpg</v>
      </c>
      <c r="AH549" s="2"/>
      <c r="AI549" s="2"/>
      <c r="AJ549" s="2" t="str">
        <f>IFERROR(__xludf.DUMMYFUNCTION("""COMPUTED_VALUE"""),"Landing")</f>
        <v>Landing</v>
      </c>
      <c r="AK549" s="2" t="str">
        <f>IFERROR(__xludf.DUMMYFUNCTION("""COMPUTED_VALUE"""),"Tagkawayan")</f>
        <v>Tagkawayan</v>
      </c>
      <c r="AL549" s="2" t="str">
        <f>IFERROR(__xludf.DUMMYFUNCTION("""COMPUTED_VALUE"""),"Quezon")</f>
        <v>Quezon</v>
      </c>
      <c r="AM549" s="2" t="str">
        <f>IFERROR(__xludf.DUMMYFUNCTION("""COMPUTED_VALUE"""),"4A")</f>
        <v>4A</v>
      </c>
      <c r="AN549" s="2" t="str">
        <f>IFERROR(__xludf.DUMMYFUNCTION("""COMPUTED_VALUE"""),"RCEF 23-08-20 Rebidding")</f>
        <v>RCEF 23-08-20 Rebidding</v>
      </c>
      <c r="AO549" s="2">
        <f>IFERROR(__xludf.DUMMYFUNCTION("""COMPUTED_VALUE"""),1.0)</f>
        <v>1</v>
      </c>
      <c r="AP549" s="2"/>
      <c r="AQ549" s="2"/>
      <c r="AR549" s="2"/>
      <c r="AS549" s="2"/>
      <c r="AT549" s="2"/>
      <c r="AU549" s="2"/>
      <c r="AV549" s="2"/>
      <c r="AW549" s="2"/>
      <c r="AX549" s="2"/>
      <c r="AY549" s="2"/>
      <c r="AZ549" s="2"/>
      <c r="BA549" s="2"/>
      <c r="BB549" s="2"/>
    </row>
    <row r="550">
      <c r="A550" s="2">
        <f>IFERROR(__xludf.DUMMYFUNCTION("""COMPUTED_VALUE"""),546.0)</f>
        <v>546</v>
      </c>
      <c r="B550" s="2" t="str">
        <f>IFERROR(__xludf.DUMMYFUNCTION("""COMPUTED_VALUE"""),"COMPLETED")</f>
        <v>COMPLETED</v>
      </c>
      <c r="C550" s="74">
        <f>IFERROR(__xludf.DUMMYFUNCTION("""COMPUTED_VALUE"""),45567.0)</f>
        <v>45567</v>
      </c>
      <c r="D550" s="71" t="str">
        <f>IFERROR(__xludf.DUMMYFUNCTION("""COMPUTED_VALUE"""),"IRAGA Water Pump Irrigators Association Inc. (IWPIA)")</f>
        <v>IRAGA Water Pump Irrigators Association Inc. (IWPIA)</v>
      </c>
      <c r="E550" s="71" t="str">
        <f>IFERROR(__xludf.DUMMYFUNCTION("""COMPUTED_VALUE"""),"Iraga, Solana, CAGAYAN")</f>
        <v>Iraga, Solana, CAGAYAN</v>
      </c>
      <c r="F550" s="2" t="str">
        <f>IFERROR(__xludf.DUMMYFUNCTION("""COMPUTED_VALUE"""),"Dumon Mabborang")</f>
        <v>Dumon Mabborang</v>
      </c>
      <c r="G550" s="2" t="str">
        <f>IFERROR(__xludf.DUMMYFUNCTION("""COMPUTED_VALUE"""),"0927 339 1144")</f>
        <v>0927 339 1144</v>
      </c>
      <c r="H550" s="2">
        <f>IFERROR(__xludf.DUMMYFUNCTION("""COMPUTED_VALUE"""),23.9)</f>
        <v>23.9</v>
      </c>
      <c r="I550" s="72" t="str">
        <f>IFERROR(__xludf.DUMMYFUNCTION("""COMPUTED_VALUE"""),"REPAIR - TRACTOR")</f>
        <v>REPAIR - TRACTOR</v>
      </c>
      <c r="J550" s="72" t="str">
        <f>IFERROR(__xludf.DUMMYFUNCTION("""COMPUTED_VALUE"""),"PTO - Valve Repair")</f>
        <v>PTO - Valve Repair</v>
      </c>
      <c r="K550" s="72" t="str">
        <f>IFERROR(__xludf.DUMMYFUNCTION("""COMPUTED_VALUE"""),"BMD: Mababaw lang ang kayang ikain ng Rotavator sa lupa (2-3in). Pag nilaliman ng konti, ayaw nang umikot. Kahit binawasan na nila ng blade as per recommended ng technician nyo noong tinignan nila")</f>
        <v>BMD: Mababaw lang ang kayang ikain ng Rotavator sa lupa (2-3in). Pag nilaliman ng konti, ayaw nang umikot. Kahit binawasan na nila ng blade as per recommended ng technician nyo noong tinignan nila</v>
      </c>
      <c r="L550" s="72" t="str">
        <f>IFERROR(__xludf.DUMMYFUNCTION("""COMPUTED_VALUE"""),"JVV:  NAG ADJUST KAMI SA PTO VLAVE ")</f>
        <v>JVV:  NAG ADJUST KAMI SA PTO VLAVE </v>
      </c>
      <c r="M550" s="2"/>
      <c r="N550" s="2"/>
      <c r="O550" s="2">
        <f>IFERROR(__xludf.DUMMYFUNCTION("""COMPUTED_VALUE"""),1154.0)</f>
        <v>1154</v>
      </c>
      <c r="P550" s="2"/>
      <c r="Q550" s="2"/>
      <c r="R550" s="74">
        <f>IFERROR(__xludf.DUMMYFUNCTION("""COMPUTED_VALUE"""),45606.0)</f>
        <v>45606</v>
      </c>
      <c r="S550" s="2" t="str">
        <f>IFERROR(__xludf.DUMMYFUNCTION("""COMPUTED_VALUE"""),"CFG/JVV")</f>
        <v>CFG/JVV</v>
      </c>
      <c r="T550" s="73" t="str">
        <f>IFERROR(__xludf.DUMMYFUNCTION("""COMPUTED_VALUE""")," N/A ")</f>
        <v>N/A</v>
      </c>
      <c r="U550" s="73" t="str">
        <f>IFERROR(__xludf.DUMMYFUNCTION("""COMPUTED_VALUE""")," NO CHARGE ")</f>
        <v>NO CHARGE</v>
      </c>
      <c r="V550" s="2"/>
      <c r="W550" s="2" t="str">
        <f>IFERROR(__xludf.DUMMYFUNCTION("""COMPUTED_VALUE"""),"N/A")</f>
        <v>N/A</v>
      </c>
      <c r="X550" s="2" t="str">
        <f>IFERROR(__xludf.DUMMYFUNCTION("""COMPUTED_VALUE"""),"N/A")</f>
        <v>N/A</v>
      </c>
      <c r="Y550" s="2"/>
      <c r="Z550" s="2"/>
      <c r="AA550" s="2"/>
      <c r="AB550" s="2"/>
      <c r="AC550" s="2"/>
      <c r="AD550" s="2"/>
      <c r="AE550" s="2"/>
      <c r="AF550" s="2"/>
      <c r="AG550" s="2"/>
      <c r="AH550" s="2"/>
      <c r="AI550" s="2"/>
      <c r="AJ550" s="2" t="str">
        <f>IFERROR(__xludf.DUMMYFUNCTION("""COMPUTED_VALUE"""),"Iraga")</f>
        <v>Iraga</v>
      </c>
      <c r="AK550" s="2" t="str">
        <f>IFERROR(__xludf.DUMMYFUNCTION("""COMPUTED_VALUE"""),"Solana")</f>
        <v>Solana</v>
      </c>
      <c r="AL550" s="2" t="str">
        <f>IFERROR(__xludf.DUMMYFUNCTION("""COMPUTED_VALUE"""),"Cagayan")</f>
        <v>Cagayan</v>
      </c>
      <c r="AM550" s="2">
        <f>IFERROR(__xludf.DUMMYFUNCTION("""COMPUTED_VALUE"""),2.0)</f>
        <v>2</v>
      </c>
      <c r="AN550" s="2" t="str">
        <f>IFERROR(__xludf.DUMMYFUNCTION("""COMPUTED_VALUE"""),"RCEF 23-09-21 Rebidding")</f>
        <v>RCEF 23-09-21 Rebidding</v>
      </c>
      <c r="AO550" s="2">
        <f>IFERROR(__xludf.DUMMYFUNCTION("""COMPUTED_VALUE"""),1.0)</f>
        <v>1</v>
      </c>
      <c r="AP550" s="2"/>
      <c r="AQ550" s="2"/>
      <c r="AR550" s="2"/>
      <c r="AS550" s="2"/>
      <c r="AT550" s="2"/>
      <c r="AU550" s="2"/>
      <c r="AV550" s="2"/>
      <c r="AW550" s="2"/>
      <c r="AX550" s="2"/>
      <c r="AY550" s="2"/>
      <c r="AZ550" s="2"/>
      <c r="BA550" s="2"/>
      <c r="BB550" s="2"/>
    </row>
    <row r="551">
      <c r="A551" s="2">
        <f>IFERROR(__xludf.DUMMYFUNCTION("""COMPUTED_VALUE"""),547.0)</f>
        <v>547</v>
      </c>
      <c r="B551" s="2" t="str">
        <f>IFERROR(__xludf.DUMMYFUNCTION("""COMPUTED_VALUE"""),"COMPLETED")</f>
        <v>COMPLETED</v>
      </c>
      <c r="C551" s="74">
        <f>IFERROR(__xludf.DUMMYFUNCTION("""COMPUTED_VALUE"""),45567.0)</f>
        <v>45567</v>
      </c>
      <c r="D551" s="71" t="str">
        <f>IFERROR(__xludf.DUMMYFUNCTION("""COMPUTED_VALUE"""),"La Rioja Farmers Association")</f>
        <v>La Rioja Farmers Association</v>
      </c>
      <c r="E551" s="71" t="str">
        <f>IFERROR(__xludf.DUMMYFUNCTION("""COMPUTED_VALUE"""),"La Rioja, Patnongon, ANTIQUE")</f>
        <v>La Rioja, Patnongon, ANTIQUE</v>
      </c>
      <c r="F551" s="2" t="str">
        <f>IFERROR(__xludf.DUMMYFUNCTION("""COMPUTED_VALUE"""),"Alipio E. Guzman")</f>
        <v>Alipio E. Guzman</v>
      </c>
      <c r="G551" s="2" t="str">
        <f>IFERROR(__xludf.DUMMYFUNCTION("""COMPUTED_VALUE"""),"0997-962-1463")</f>
        <v>0997-962-1463</v>
      </c>
      <c r="H551" s="2">
        <f>IFERROR(__xludf.DUMMYFUNCTION("""COMPUTED_VALUE"""),66.0)</f>
        <v>66</v>
      </c>
      <c r="I551" s="72" t="str">
        <f>IFERROR(__xludf.DUMMYFUNCTION("""COMPUTED_VALUE"""),"REPAIR - TRACTOR")</f>
        <v>REPAIR - TRACTOR</v>
      </c>
      <c r="J551" s="72" t="str">
        <f>IFERROR(__xludf.DUMMYFUNCTION("""COMPUTED_VALUE"""),"Electrical - Ignition")</f>
        <v>Electrical - Ignition</v>
      </c>
      <c r="K551" s="72" t="str">
        <f>IFERROR(__xludf.DUMMYFUNCTION("""COMPUTED_VALUE"""),"EGT: Naputol ang susi nung 40 hours palang po
EGT: KAYLANGAN NG PALITAN NG BAGONG IGNITION SWITCH, MALALIM NA PO TALAGA")</f>
        <v>EGT: Naputol ang susi nung 40 hours palang po
EGT: KAYLANGAN NG PALITAN NG BAGONG IGNITION SWITCH, MALALIM NA PO TALAGA</v>
      </c>
      <c r="L551" s="72" t="str">
        <f>IFERROR(__xludf.DUMMYFUNCTION("""COMPUTED_VALUE"""),"EGT#1305: NILAGYAN LANG NG STEEL EPOXY NI FARMER.")</f>
        <v>EGT#1305: NILAGYAN LANG NG STEEL EPOXY NI FARMER.</v>
      </c>
      <c r="M551" s="2"/>
      <c r="N551" s="2"/>
      <c r="O551" s="2" t="str">
        <f>IFERROR(__xludf.DUMMYFUNCTION("""COMPUTED_VALUE"""),"N/A")</f>
        <v>N/A</v>
      </c>
      <c r="P551" s="2"/>
      <c r="Q551" s="2"/>
      <c r="R551" s="74">
        <f>IFERROR(__xludf.DUMMYFUNCTION("""COMPUTED_VALUE"""),45646.0)</f>
        <v>45646</v>
      </c>
      <c r="S551" s="2" t="str">
        <f>IFERROR(__xludf.DUMMYFUNCTION("""COMPUTED_VALUE"""),"MYKEE")</f>
        <v>MYKEE</v>
      </c>
      <c r="T551" s="73" t="str">
        <f>IFERROR(__xludf.DUMMYFUNCTION("""COMPUTED_VALUE""")," N/A ")</f>
        <v>N/A</v>
      </c>
      <c r="U551" s="73" t="str">
        <f>IFERROR(__xludf.DUMMYFUNCTION("""COMPUTED_VALUE""")," NO CHARGE ")</f>
        <v>NO CHARGE</v>
      </c>
      <c r="V551" s="2"/>
      <c r="W551" s="2" t="str">
        <f>IFERROR(__xludf.DUMMYFUNCTION("""COMPUTED_VALUE"""),"N/A")</f>
        <v>N/A</v>
      </c>
      <c r="X551" s="2" t="str">
        <f>IFERROR(__xludf.DUMMYFUNCTION("""COMPUTED_VALUE"""),"N/A")</f>
        <v>N/A</v>
      </c>
      <c r="Y551" s="2"/>
      <c r="Z551" s="2"/>
      <c r="AA551" s="2"/>
      <c r="AB551" s="2"/>
      <c r="AC551" s="2"/>
      <c r="AD551" s="2"/>
      <c r="AE551" s="2"/>
      <c r="AF551" s="2"/>
      <c r="AG551" s="2"/>
      <c r="AH551" s="2"/>
      <c r="AI551" s="2"/>
      <c r="AJ551" s="2" t="str">
        <f>IFERROR(__xludf.DUMMYFUNCTION("""COMPUTED_VALUE"""),"La Rioja")</f>
        <v>La Rioja</v>
      </c>
      <c r="AK551" s="2" t="str">
        <f>IFERROR(__xludf.DUMMYFUNCTION("""COMPUTED_VALUE"""),"Patnongon")</f>
        <v>Patnongon</v>
      </c>
      <c r="AL551" s="2" t="str">
        <f>IFERROR(__xludf.DUMMYFUNCTION("""COMPUTED_VALUE"""),"Antique")</f>
        <v>Antique</v>
      </c>
      <c r="AM551" s="2">
        <f>IFERROR(__xludf.DUMMYFUNCTION("""COMPUTED_VALUE"""),6.0)</f>
        <v>6</v>
      </c>
      <c r="AN551" s="2" t="str">
        <f>IFERROR(__xludf.DUMMYFUNCTION("""COMPUTED_VALUE"""),"RCEF 23-09-21 Rebidding")</f>
        <v>RCEF 23-09-21 Rebidding</v>
      </c>
      <c r="AO551" s="2">
        <f>IFERROR(__xludf.DUMMYFUNCTION("""COMPUTED_VALUE"""),4.0)</f>
        <v>4</v>
      </c>
      <c r="AP551" s="2"/>
      <c r="AQ551" s="2"/>
      <c r="AR551" s="2"/>
      <c r="AS551" s="2"/>
      <c r="AT551" s="2"/>
      <c r="AU551" s="2"/>
      <c r="AV551" s="2"/>
      <c r="AW551" s="2"/>
      <c r="AX551" s="2"/>
      <c r="AY551" s="2"/>
      <c r="AZ551" s="2"/>
      <c r="BA551" s="2"/>
      <c r="BB551" s="2"/>
    </row>
    <row r="552">
      <c r="A552" s="2">
        <f>IFERROR(__xludf.DUMMYFUNCTION("""COMPUTED_VALUE"""),548.0)</f>
        <v>548</v>
      </c>
      <c r="B552" s="2" t="str">
        <f>IFERROR(__xludf.DUMMYFUNCTION("""COMPUTED_VALUE"""),"COMPLETED")</f>
        <v>COMPLETED</v>
      </c>
      <c r="C552" s="74">
        <f>IFERROR(__xludf.DUMMYFUNCTION("""COMPUTED_VALUE"""),45567.0)</f>
        <v>45567</v>
      </c>
      <c r="D552" s="71" t="str">
        <f>IFERROR(__xludf.DUMMYFUNCTION("""COMPUTED_VALUE"""),"Capisanan Agrarian Reform Cooperative")</f>
        <v>Capisanan Agrarian Reform Cooperative</v>
      </c>
      <c r="E552" s="71" t="str">
        <f>IFERROR(__xludf.DUMMYFUNCTION("""COMPUTED_VALUE"""),"Capinang, San Dionisio, ILOILO")</f>
        <v>Capinang, San Dionisio, ILOILO</v>
      </c>
      <c r="F552" s="2" t="str">
        <f>IFERROR(__xludf.DUMMYFUNCTION("""COMPUTED_VALUE"""),"JULIUS G. BOLIVAR")</f>
        <v>JULIUS G. BOLIVAR</v>
      </c>
      <c r="G552" s="2" t="str">
        <f>IFERROR(__xludf.DUMMYFUNCTION("""COMPUTED_VALUE"""),"0907-210-2733")</f>
        <v>0907-210-2733</v>
      </c>
      <c r="H552" s="2"/>
      <c r="I552" s="72" t="str">
        <f>IFERROR(__xludf.DUMMYFUNCTION("""COMPUTED_VALUE"""),"REPAIR - TRACTOR")</f>
        <v>REPAIR - TRACTOR</v>
      </c>
      <c r="J552" s="72" t="str">
        <f>IFERROR(__xludf.DUMMYFUNCTION("""COMPUTED_VALUE"""),"Hydraulic Filter - Leak")</f>
        <v>Hydraulic Filter - Leak</v>
      </c>
      <c r="K552" s="72" t="str">
        <f>IFERROR(__xludf.DUMMYFUNCTION("""COMPUTED_VALUE"""),"MYKEE: may tumatagas na hydraulic sa ilalim ng salinan ng hydraulic
PARTS BY JTT: SILICON GASKET
EGT: 11/15/24: POSIBLENG SA ORING NAMAN ITO")</f>
        <v>MYKEE: may tumatagas na hydraulic sa ilalim ng salinan ng hydraulic
PARTS BY JTT: SILICON GASKET
EGT: 11/15/24: POSIBLENG SA ORING NAMAN ITO</v>
      </c>
      <c r="L552" s="72" t="str">
        <f>IFERROR(__xludf.DUMMYFUNCTION("""COMPUTED_VALUE"""),"OPERATOR: OK NADAW ANG UNIT")</f>
        <v>OPERATOR: OK NADAW ANG UNIT</v>
      </c>
      <c r="M552" s="2"/>
      <c r="N552" s="2"/>
      <c r="O552" s="2" t="str">
        <f>IFERROR(__xludf.DUMMYFUNCTION("""COMPUTED_VALUE"""),"N/A")</f>
        <v>N/A</v>
      </c>
      <c r="P552" s="2"/>
      <c r="Q552" s="2"/>
      <c r="R552" s="74">
        <f>IFERROR(__xludf.DUMMYFUNCTION("""COMPUTED_VALUE"""),45681.0)</f>
        <v>45681</v>
      </c>
      <c r="S552" s="2" t="str">
        <f>IFERROR(__xludf.DUMMYFUNCTION("""COMPUTED_VALUE"""),"MYKEE")</f>
        <v>MYKEE</v>
      </c>
      <c r="T552" s="73" t="str">
        <f>IFERROR(__xludf.DUMMYFUNCTION("""COMPUTED_VALUE""")," N/A ")</f>
        <v>N/A</v>
      </c>
      <c r="U552" s="73" t="str">
        <f>IFERROR(__xludf.DUMMYFUNCTION("""COMPUTED_VALUE""")," NO CHARGE ")</f>
        <v>NO CHARGE</v>
      </c>
      <c r="V552" s="2"/>
      <c r="W552" s="2" t="str">
        <f>IFERROR(__xludf.DUMMYFUNCTION("""COMPUTED_VALUE"""),"N/A")</f>
        <v>N/A</v>
      </c>
      <c r="X552" s="2" t="str">
        <f>IFERROR(__xludf.DUMMYFUNCTION("""COMPUTED_VALUE"""),"N/A")</f>
        <v>N/A</v>
      </c>
      <c r="Y552" s="2"/>
      <c r="Z552" s="2"/>
      <c r="AA552" s="2"/>
      <c r="AB552" s="2"/>
      <c r="AC552" s="2"/>
      <c r="AD552" s="2"/>
      <c r="AE552" s="2"/>
      <c r="AF552" s="2"/>
      <c r="AG552" s="2"/>
      <c r="AH552" s="2"/>
      <c r="AI552" s="2"/>
      <c r="AJ552" s="2" t="str">
        <f>IFERROR(__xludf.DUMMYFUNCTION("""COMPUTED_VALUE"""),"Capinang")</f>
        <v>Capinang</v>
      </c>
      <c r="AK552" s="2" t="str">
        <f>IFERROR(__xludf.DUMMYFUNCTION("""COMPUTED_VALUE"""),"San Dionisio")</f>
        <v>San Dionisio</v>
      </c>
      <c r="AL552" s="2" t="str">
        <f>IFERROR(__xludf.DUMMYFUNCTION("""COMPUTED_VALUE"""),"Iloilo")</f>
        <v>Iloilo</v>
      </c>
      <c r="AM552" s="2">
        <f>IFERROR(__xludf.DUMMYFUNCTION("""COMPUTED_VALUE"""),6.0)</f>
        <v>6</v>
      </c>
      <c r="AN552" s="2" t="str">
        <f>IFERROR(__xludf.DUMMYFUNCTION("""COMPUTED_VALUE"""),"RCEF 23-09-21 Rebidding")</f>
        <v>RCEF 23-09-21 Rebidding</v>
      </c>
      <c r="AO552" s="2">
        <f>IFERROR(__xludf.DUMMYFUNCTION("""COMPUTED_VALUE"""),4.0)</f>
        <v>4</v>
      </c>
      <c r="AP552" s="2"/>
      <c r="AQ552" s="2"/>
      <c r="AR552" s="2"/>
      <c r="AS552" s="2"/>
      <c r="AT552" s="2"/>
      <c r="AU552" s="2"/>
      <c r="AV552" s="2"/>
      <c r="AW552" s="2"/>
      <c r="AX552" s="2"/>
      <c r="AY552" s="2"/>
      <c r="AZ552" s="2"/>
      <c r="BA552" s="2"/>
      <c r="BB552" s="2"/>
    </row>
    <row r="553">
      <c r="A553" s="2">
        <f>IFERROR(__xludf.DUMMYFUNCTION("""COMPUTED_VALUE"""),549.0)</f>
        <v>549</v>
      </c>
      <c r="B553" s="2" t="str">
        <f>IFERROR(__xludf.DUMMYFUNCTION("""COMPUTED_VALUE"""),"COMPLETED")</f>
        <v>COMPLETED</v>
      </c>
      <c r="C553" s="74">
        <f>IFERROR(__xludf.DUMMYFUNCTION("""COMPUTED_VALUE"""),45567.0)</f>
        <v>45567</v>
      </c>
      <c r="D553" s="71" t="str">
        <f>IFERROR(__xludf.DUMMYFUNCTION("""COMPUTED_VALUE"""),"Madarag Farmers Association")</f>
        <v>Madarag Farmers Association</v>
      </c>
      <c r="E553" s="71" t="str">
        <f>IFERROR(__xludf.DUMMYFUNCTION("""COMPUTED_VALUE"""),"Madarag, San Enrique, ILOILO")</f>
        <v>Madarag, San Enrique, ILOILO</v>
      </c>
      <c r="F553" s="2" t="str">
        <f>IFERROR(__xludf.DUMMYFUNCTION("""COMPUTED_VALUE"""),"Fernando N. Agnes Jr.")</f>
        <v>Fernando N. Agnes Jr.</v>
      </c>
      <c r="G553" s="2" t="str">
        <f>IFERROR(__xludf.DUMMYFUNCTION("""COMPUTED_VALUE"""),"0912 443 2584")</f>
        <v>0912 443 2584</v>
      </c>
      <c r="H553" s="2">
        <f>IFERROR(__xludf.DUMMYFUNCTION("""COMPUTED_VALUE"""),269.0)</f>
        <v>269</v>
      </c>
      <c r="I553" s="72" t="str">
        <f>IFERROR(__xludf.DUMMYFUNCTION("""COMPUTED_VALUE"""),"REPAIR - TRACTOR")</f>
        <v>REPAIR - TRACTOR</v>
      </c>
      <c r="J553" s="72" t="str">
        <f>IFERROR(__xludf.DUMMYFUNCTION("""COMPUTED_VALUE"""),"Electrical - Starter Motor")</f>
        <v>Electrical - Starter Motor</v>
      </c>
      <c r="K553" s="72" t="str">
        <f>IFERROR(__xludf.DUMMYFUNCTION("""COMPUTED_VALUE"""),"EGT: DISC PLOW PROBLEM (FOR ASSESSMENT)
HINDI NADAANAN KASI OUT OF WAY SYA
IBA NA ANG CONTACT PERSON
Melo Satunero
 09512122473
Madarag FA President
FARMER: NAG UUSOK ANG STARTER")</f>
        <v>EGT: DISC PLOW PROBLEM (FOR ASSESSMENT)
HINDI NADAANAN KASI OUT OF WAY SYA
IBA NA ANG CONTACT PERSON
Melo Satunero
 09512122473
Madarag FA President
FARMER: NAG UUSOK ANG STARTER</v>
      </c>
      <c r="L553" s="72" t="str">
        <f>IFERROR(__xludf.DUMMYFUNCTION("""COMPUTED_VALUE"""),"EGT: PINA REWIND NALANG NILA YUNG STARTER, TAPOS TINURO NALANG NAMIN KUNG ANO ANG GAGAWIN SA CONCERN NILA SA DISCPLOW ")</f>
        <v>EGT: PINA REWIND NALANG NILA YUNG STARTER, TAPOS TINURO NALANG NAMIN KUNG ANO ANG GAGAWIN SA CONCERN NILA SA DISCPLOW </v>
      </c>
      <c r="M553" s="2"/>
      <c r="N553" s="2"/>
      <c r="O553" s="2" t="str">
        <f>IFERROR(__xludf.DUMMYFUNCTION("""COMPUTED_VALUE"""),"N/A")</f>
        <v>N/A</v>
      </c>
      <c r="P553" s="2"/>
      <c r="Q553" s="2"/>
      <c r="R553" s="74">
        <f>IFERROR(__xludf.DUMMYFUNCTION("""COMPUTED_VALUE"""),45698.0)</f>
        <v>45698</v>
      </c>
      <c r="S553" s="2" t="str">
        <f>IFERROR(__xludf.DUMMYFUNCTION("""COMPUTED_VALUE"""),"EGT/DRM")</f>
        <v>EGT/DRM</v>
      </c>
      <c r="T553" s="73" t="str">
        <f>IFERROR(__xludf.DUMMYFUNCTION("""COMPUTED_VALUE""")," N/A ")</f>
        <v>N/A</v>
      </c>
      <c r="U553" s="73" t="str">
        <f>IFERROR(__xludf.DUMMYFUNCTION("""COMPUTED_VALUE""")," NO CHARGE ")</f>
        <v>NO CHARGE</v>
      </c>
      <c r="V553" s="2"/>
      <c r="W553" s="2" t="str">
        <f>IFERROR(__xludf.DUMMYFUNCTION("""COMPUTED_VALUE"""),"N/A")</f>
        <v>N/A</v>
      </c>
      <c r="X553" s="2" t="str">
        <f>IFERROR(__xludf.DUMMYFUNCTION("""COMPUTED_VALUE"""),"N/A")</f>
        <v>N/A</v>
      </c>
      <c r="Y553" s="2"/>
      <c r="Z553" s="2"/>
      <c r="AA553" s="2"/>
      <c r="AB553" s="2"/>
      <c r="AC553" s="2"/>
      <c r="AD553" s="2"/>
      <c r="AE553" s="2"/>
      <c r="AF553" s="2"/>
      <c r="AG553" s="2"/>
      <c r="AH553" s="2"/>
      <c r="AI553" s="2"/>
      <c r="AJ553" s="2" t="str">
        <f>IFERROR(__xludf.DUMMYFUNCTION("""COMPUTED_VALUE"""),"Madarag")</f>
        <v>Madarag</v>
      </c>
      <c r="AK553" s="2" t="str">
        <f>IFERROR(__xludf.DUMMYFUNCTION("""COMPUTED_VALUE"""),"San Enrique")</f>
        <v>San Enrique</v>
      </c>
      <c r="AL553" s="2" t="str">
        <f>IFERROR(__xludf.DUMMYFUNCTION("""COMPUTED_VALUE"""),"Iloilo")</f>
        <v>Iloilo</v>
      </c>
      <c r="AM553" s="2">
        <f>IFERROR(__xludf.DUMMYFUNCTION("""COMPUTED_VALUE"""),6.0)</f>
        <v>6</v>
      </c>
      <c r="AN553" s="2" t="str">
        <f>IFERROR(__xludf.DUMMYFUNCTION("""COMPUTED_VALUE"""),"RCEF 23-09-21 Rebidding")</f>
        <v>RCEF 23-09-21 Rebidding</v>
      </c>
      <c r="AO553" s="2">
        <f>IFERROR(__xludf.DUMMYFUNCTION("""COMPUTED_VALUE"""),4.0)</f>
        <v>4</v>
      </c>
      <c r="AP553" s="2"/>
      <c r="AQ553" s="2"/>
      <c r="AR553" s="2"/>
      <c r="AS553" s="2"/>
      <c r="AT553" s="2"/>
      <c r="AU553" s="2"/>
      <c r="AV553" s="2"/>
      <c r="AW553" s="2"/>
      <c r="AX553" s="2"/>
      <c r="AY553" s="2"/>
      <c r="AZ553" s="2"/>
      <c r="BA553" s="2"/>
      <c r="BB553" s="2"/>
    </row>
    <row r="554">
      <c r="A554" s="2">
        <f>IFERROR(__xludf.DUMMYFUNCTION("""COMPUTED_VALUE"""),550.0)</f>
        <v>550</v>
      </c>
      <c r="B554" s="2" t="str">
        <f>IFERROR(__xludf.DUMMYFUNCTION("""COMPUTED_VALUE"""),"COMPLETED")</f>
        <v>COMPLETED</v>
      </c>
      <c r="C554" s="74">
        <f>IFERROR(__xludf.DUMMYFUNCTION("""COMPUTED_VALUE"""),45567.0)</f>
        <v>45567</v>
      </c>
      <c r="D554" s="71" t="str">
        <f>IFERROR(__xludf.DUMMYFUNCTION("""COMPUTED_VALUE"""),"CAMANGAAN WEST LANDOWNERS AND FARMERS IRRIGATORS ASSOCIATION INC.")</f>
        <v>CAMANGAAN WEST LANDOWNERS AND FARMERS IRRIGATORS ASSOCIATION INC.</v>
      </c>
      <c r="E554" s="71" t="str">
        <f>IFERROR(__xludf.DUMMYFUNCTION("""COMPUTED_VALUE"""),"Camangaan West, Moncada, TARLAC")</f>
        <v>Camangaan West, Moncada, TARLAC</v>
      </c>
      <c r="F554" s="2" t="str">
        <f>IFERROR(__xludf.DUMMYFUNCTION("""COMPUTED_VALUE"""),"Nestor M. Portuguez")</f>
        <v>Nestor M. Portuguez</v>
      </c>
      <c r="G554" s="2" t="str">
        <f>IFERROR(__xludf.DUMMYFUNCTION("""COMPUTED_VALUE"""),"0928-562-8422")</f>
        <v>0928-562-8422</v>
      </c>
      <c r="H554" s="2">
        <f>IFERROR(__xludf.DUMMYFUNCTION("""COMPUTED_VALUE"""),487.0)</f>
        <v>487</v>
      </c>
      <c r="I554" s="72" t="str">
        <f>IFERROR(__xludf.DUMMYFUNCTION("""COMPUTED_VALUE"""),"REPAIR - ROTAVATOR")</f>
        <v>REPAIR - ROTAVATOR</v>
      </c>
      <c r="J554" s="72" t="str">
        <f>IFERROR(__xludf.DUMMYFUNCTION("""COMPUTED_VALUE"""),"Gearbox")</f>
        <v>Gearbox</v>
      </c>
      <c r="K554" s="72" t="str">
        <f>IFERROR(__xludf.DUMMYFUNCTION("""COMPUTED_VALUE"""),"573: ACS: MULFUNCTION OF ROTAVATOR, (PRINTED)
Need parts:
1. Bevel gear 24T 
2. Pinion gear 11T
3. Drive shaft 
4. Taper roller bearing #32211- 2pcs
5. Oil seal 55*85*12T
6.Gasket 0.5T
7.Gasket 0.8T
8. Hard lock nut M35*1.5P-2pcs")</f>
        <v>573: ACS: MULFUNCTION OF ROTAVATOR, (PRINTED)
Need parts:
1. Bevel gear 24T 
2. Pinion gear 11T
3. Drive shaft 
4. Taper roller bearing #32211- 2pcs
5. Oil seal 55*85*12T
6.Gasket 0.5T
7.Gasket 0.8T
8. Hard lock nut M35*1.5P-2pcs</v>
      </c>
      <c r="L554" s="72" t="str">
        <f>IFERROR(__xludf.DUMMYFUNCTION("""COMPUTED_VALUE"""),"CANCELED: HINDI NA BUMALIK SI FARMER BAKA NAKA BILI NA NG BAGONG UNIT")</f>
        <v>CANCELED: HINDI NA BUMALIK SI FARMER BAKA NAKA BILI NA NG BAGONG UNIT</v>
      </c>
      <c r="M554" s="2"/>
      <c r="N554" s="2"/>
      <c r="O554" s="2" t="str">
        <f>IFERROR(__xludf.DUMMYFUNCTION("""COMPUTED_VALUE"""),"N/A")</f>
        <v>N/A</v>
      </c>
      <c r="P554" s="2"/>
      <c r="Q554" s="2"/>
      <c r="R554" s="74">
        <f>IFERROR(__xludf.DUMMYFUNCTION("""COMPUTED_VALUE"""),45673.0)</f>
        <v>45673</v>
      </c>
      <c r="S554" s="2" t="str">
        <f>IFERROR(__xludf.DUMMYFUNCTION("""COMPUTED_VALUE"""),"JHP/ACS")</f>
        <v>JHP/ACS</v>
      </c>
      <c r="T554" s="73" t="str">
        <f>IFERROR(__xludf.DUMMYFUNCTION("""COMPUTED_VALUE""")," N/A ")</f>
        <v>N/A</v>
      </c>
      <c r="U554" s="73" t="str">
        <f>IFERROR(__xludf.DUMMYFUNCTION("""COMPUTED_VALUE""")," NO CHARGE ")</f>
        <v>NO CHARGE</v>
      </c>
      <c r="V554" s="2"/>
      <c r="W554" s="2" t="str">
        <f>IFERROR(__xludf.DUMMYFUNCTION("""COMPUTED_VALUE"""),"N/A")</f>
        <v>N/A</v>
      </c>
      <c r="X554" s="2" t="str">
        <f>IFERROR(__xludf.DUMMYFUNCTION("""COMPUTED_VALUE"""),"N/A")</f>
        <v>N/A</v>
      </c>
      <c r="Y554" s="2"/>
      <c r="Z554" s="2"/>
      <c r="AA554" s="2"/>
      <c r="AB554" s="2"/>
      <c r="AC554" s="2"/>
      <c r="AD554" s="2"/>
      <c r="AE554" s="2"/>
      <c r="AF554" s="2"/>
      <c r="AG554" s="2"/>
      <c r="AH554" s="2"/>
      <c r="AI554" s="2"/>
      <c r="AJ554" s="2" t="str">
        <f>IFERROR(__xludf.DUMMYFUNCTION("""COMPUTED_VALUE"""),"Camangaan West")</f>
        <v>Camangaan West</v>
      </c>
      <c r="AK554" s="2" t="str">
        <f>IFERROR(__xludf.DUMMYFUNCTION("""COMPUTED_VALUE"""),"Moncada")</f>
        <v>Moncada</v>
      </c>
      <c r="AL554" s="2" t="str">
        <f>IFERROR(__xludf.DUMMYFUNCTION("""COMPUTED_VALUE"""),"Tarlac")</f>
        <v>Tarlac</v>
      </c>
      <c r="AM554" s="2">
        <f>IFERROR(__xludf.DUMMYFUNCTION("""COMPUTED_VALUE"""),3.0)</f>
        <v>3</v>
      </c>
      <c r="AN554" s="2" t="str">
        <f>IFERROR(__xludf.DUMMYFUNCTION("""COMPUTED_VALUE"""),"RCEF 23-09-21 Rebidding")</f>
        <v>RCEF 23-09-21 Rebidding</v>
      </c>
      <c r="AO554" s="2">
        <f>IFERROR(__xludf.DUMMYFUNCTION("""COMPUTED_VALUE"""),3.0)</f>
        <v>3</v>
      </c>
      <c r="AP554" s="2"/>
      <c r="AQ554" s="2"/>
      <c r="AR554" s="2"/>
      <c r="AS554" s="2"/>
      <c r="AT554" s="2"/>
      <c r="AU554" s="2"/>
      <c r="AV554" s="2"/>
      <c r="AW554" s="2"/>
      <c r="AX554" s="2"/>
      <c r="AY554" s="2"/>
      <c r="AZ554" s="2"/>
      <c r="BA554" s="2"/>
      <c r="BB554" s="2"/>
    </row>
    <row r="555">
      <c r="A555" s="2">
        <f>IFERROR(__xludf.DUMMYFUNCTION("""COMPUTED_VALUE"""),551.0)</f>
        <v>551</v>
      </c>
      <c r="B555" s="2" t="str">
        <f>IFERROR(__xludf.DUMMYFUNCTION("""COMPUTED_VALUE"""),"COMPLETED")</f>
        <v>COMPLETED</v>
      </c>
      <c r="C555" s="74">
        <f>IFERROR(__xludf.DUMMYFUNCTION("""COMPUTED_VALUE"""),45570.0)</f>
        <v>45570</v>
      </c>
      <c r="D555" s="71" t="str">
        <f>IFERROR(__xludf.DUMMYFUNCTION("""COMPUTED_VALUE"""),"POBLACION ILAYA PANIT-AN FARMERS ASSOCIATION")</f>
        <v>POBLACION ILAYA PANIT-AN FARMERS ASSOCIATION</v>
      </c>
      <c r="E555" s="71" t="str">
        <f>IFERROR(__xludf.DUMMYFUNCTION("""COMPUTED_VALUE"""),"Poblacion Ilaya, Panitan, CAPIZ")</f>
        <v>Poblacion Ilaya, Panitan, CAPIZ</v>
      </c>
      <c r="F555" s="2" t="str">
        <f>IFERROR(__xludf.DUMMYFUNCTION("""COMPUTED_VALUE"""),"BERTITO DEQUINA")</f>
        <v>BERTITO DEQUINA</v>
      </c>
      <c r="G555" s="2" t="str">
        <f>IFERROR(__xludf.DUMMYFUNCTION("""COMPUTED_VALUE"""),"9083939128  ""0927-029-3201
09950317595
""")</f>
        <v>9083939128  "0927-029-3201
09950317595
"</v>
      </c>
      <c r="H555" s="2"/>
      <c r="I555" s="72" t="str">
        <f>IFERROR(__xludf.DUMMYFUNCTION("""COMPUTED_VALUE"""),"PMS")</f>
        <v>PMS</v>
      </c>
      <c r="J555" s="72" t="str">
        <f>IFERROR(__xludf.DUMMYFUNCTION("""COMPUTED_VALUE"""),"PMS")</f>
        <v>PMS</v>
      </c>
      <c r="K555" s="72" t="str">
        <f>IFERROR(__xludf.DUMMYFUNCTION("""COMPUTED_VALUE"""),"JVV: 1ST PMS")</f>
        <v>JVV: 1ST PMS</v>
      </c>
      <c r="L555" s="72" t="str">
        <f>IFERROR(__xludf.DUMMYFUNCTION("""COMPUTED_VALUE"""),"JVV: 1ST PMS DONE")</f>
        <v>JVV: 1ST PMS DONE</v>
      </c>
      <c r="M555" s="2"/>
      <c r="N555" s="2" t="str">
        <f>IFERROR(__xludf.DUMMYFUNCTION("""COMPUTED_VALUE"""),"PARTS: OIL FILTER")</f>
        <v>PARTS: OIL FILTER</v>
      </c>
      <c r="O555" s="2">
        <f>IFERROR(__xludf.DUMMYFUNCTION("""COMPUTED_VALUE"""),1202.0)</f>
        <v>1202</v>
      </c>
      <c r="P555" s="2"/>
      <c r="Q555" s="2"/>
      <c r="R555" s="74">
        <f>IFERROR(__xludf.DUMMYFUNCTION("""COMPUTED_VALUE"""),45570.0)</f>
        <v>45570</v>
      </c>
      <c r="S555" s="2" t="str">
        <f>IFERROR(__xludf.DUMMYFUNCTION("""COMPUTED_VALUE"""),"CFG/JVV")</f>
        <v>CFG/JVV</v>
      </c>
      <c r="T555" s="73">
        <f>IFERROR(__xludf.DUMMYFUNCTION("""COMPUTED_VALUE"""),1533.0)</f>
        <v>1533</v>
      </c>
      <c r="U555" s="73" t="str">
        <f>IFERROR(__xludf.DUMMYFUNCTION("""COMPUTED_VALUE""")," REMITTED ")</f>
        <v>REMITTED</v>
      </c>
      <c r="V555" s="2"/>
      <c r="W555" s="2"/>
      <c r="X555" s="2">
        <f>IFERROR(__xludf.DUMMYFUNCTION("""COMPUTED_VALUE"""),1203.0)</f>
        <v>1203</v>
      </c>
      <c r="Y555" s="2"/>
      <c r="Z555" s="2"/>
      <c r="AA555" s="2"/>
      <c r="AB555" s="2"/>
      <c r="AC555" s="2"/>
      <c r="AD555" s="2"/>
      <c r="AE555" s="2"/>
      <c r="AF555" s="2"/>
      <c r="AG555" s="2"/>
      <c r="AH555" s="2"/>
      <c r="AI555" s="2"/>
      <c r="AJ555" s="2" t="str">
        <f>IFERROR(__xludf.DUMMYFUNCTION("""COMPUTED_VALUE"""),"Poblacion Ilaya")</f>
        <v>Poblacion Ilaya</v>
      </c>
      <c r="AK555" s="2" t="str">
        <f>IFERROR(__xludf.DUMMYFUNCTION("""COMPUTED_VALUE"""),"Panitan")</f>
        <v>Panitan</v>
      </c>
      <c r="AL555" s="2" t="str">
        <f>IFERROR(__xludf.DUMMYFUNCTION("""COMPUTED_VALUE"""),"Capiz")</f>
        <v>Capiz</v>
      </c>
      <c r="AM555" s="2">
        <f>IFERROR(__xludf.DUMMYFUNCTION("""COMPUTED_VALUE"""),6.0)</f>
        <v>6</v>
      </c>
      <c r="AN555" s="2" t="str">
        <f>IFERROR(__xludf.DUMMYFUNCTION("""COMPUTED_VALUE"""),"RCEF 23-09-21 Rebidding")</f>
        <v>RCEF 23-09-21 Rebidding</v>
      </c>
      <c r="AO555" s="2">
        <f>IFERROR(__xludf.DUMMYFUNCTION("""COMPUTED_VALUE"""),4.0)</f>
        <v>4</v>
      </c>
      <c r="AP555" s="2"/>
      <c r="AQ555" s="2"/>
      <c r="AR555" s="2"/>
      <c r="AS555" s="2"/>
      <c r="AT555" s="2"/>
      <c r="AU555" s="2"/>
      <c r="AV555" s="2"/>
      <c r="AW555" s="2"/>
      <c r="AX555" s="2"/>
      <c r="AY555" s="2"/>
      <c r="AZ555" s="2"/>
      <c r="BA555" s="2"/>
      <c r="BB555" s="2"/>
    </row>
    <row r="556">
      <c r="A556" s="2">
        <f>IFERROR(__xludf.DUMMYFUNCTION("""COMPUTED_VALUE"""),552.0)</f>
        <v>552</v>
      </c>
      <c r="B556" s="2" t="str">
        <f>IFERROR(__xludf.DUMMYFUNCTION("""COMPUTED_VALUE"""),"COMPLETED")</f>
        <v>COMPLETED</v>
      </c>
      <c r="C556" s="74">
        <f>IFERROR(__xludf.DUMMYFUNCTION("""COMPUTED_VALUE"""),45572.0)</f>
        <v>45572</v>
      </c>
      <c r="D556" s="71" t="str">
        <f>IFERROR(__xludf.DUMMYFUNCTION("""COMPUTED_VALUE"""),"INTEGRATED BARANGAYS OF NUMANCIA MULTI-PURPOSE COOPERATIVE (IBON MPC)")</f>
        <v>INTEGRATED BARANGAYS OF NUMANCIA MULTI-PURPOSE COOPERATIVE (IBON MPC)</v>
      </c>
      <c r="E556" s="71" t="str">
        <f>IFERROR(__xludf.DUMMYFUNCTION("""COMPUTED_VALUE"""),"Pusiw, Numancia, AKLAN")</f>
        <v>Pusiw, Numancia, AKLAN</v>
      </c>
      <c r="F556" s="2" t="str">
        <f>IFERROR(__xludf.DUMMYFUNCTION("""COMPUTED_VALUE"""),"Stineli F. Barrios")</f>
        <v>Stineli F. Barrios</v>
      </c>
      <c r="G556" s="2" t="str">
        <f>IFERROR(__xludf.DUMMYFUNCTION("""COMPUTED_VALUE"""),"0948-151-6655")</f>
        <v>0948-151-6655</v>
      </c>
      <c r="H556" s="2"/>
      <c r="I556" s="72" t="str">
        <f>IFERROR(__xludf.DUMMYFUNCTION("""COMPUTED_VALUE"""),"REPAIR - DISC PLOW")</f>
        <v>REPAIR - DISC PLOW</v>
      </c>
      <c r="J556" s="72" t="str">
        <f>IFERROR(__xludf.DUMMYFUNCTION("""COMPUTED_VALUE"""),"Gearbox")</f>
        <v>Gearbox</v>
      </c>
      <c r="K556" s="72" t="str">
        <f>IFERROR(__xludf.DUMMYFUNCTION("""COMPUTED_VALUE"""),"SHIELA PHILMECH: Nasira dw po ang yong gear ng front disc plow po nila.
PARTS: DISC FLANGE AXIS, TAPER ROLLER BEARING  #30208, OIL SEAL 45*85*12T (
MYKEE: DISCLOSED DAW MUNA NYA SA OPERATOR NILA")</f>
        <v>SHIELA PHILMECH: Nasira dw po ang yong gear ng front disc plow po nila.
PARTS: DISC FLANGE AXIS, TAPER ROLLER BEARING  #30208, OIL SEAL 45*85*12T (
MYKEE: DISCLOSED DAW MUNA NYA SA OPERATOR NILA</v>
      </c>
      <c r="L556" s="72" t="str">
        <f>IFERROR(__xludf.DUMMYFUNCTION("""COMPUTED_VALUE"""),"EGT: REPLACED DISCK PLANGE OIL SEAL AND BEARING")</f>
        <v>EGT: REPLACED DISCK PLANGE OIL SEAL AND BEARING</v>
      </c>
      <c r="M556" s="2"/>
      <c r="N556" s="2" t="str">
        <f>IFERROR(__xludf.DUMMYFUNCTION("""COMPUTED_VALUE"""),"PARTS: 
BEARING #30208, 
OIL SEAL 458512T, 
DISK FLANGE (WARRANTY BY LTC)")</f>
        <v>PARTS: 
BEARING #30208, 
OIL SEAL 458512T, 
DISK FLANGE (WARRANTY BY LTC)</v>
      </c>
      <c r="O556" s="2">
        <f>IFERROR(__xludf.DUMMYFUNCTION("""COMPUTED_VALUE"""),1108.0)</f>
        <v>1108</v>
      </c>
      <c r="P556" s="2"/>
      <c r="Q556" s="2"/>
      <c r="R556" s="74">
        <f>IFERROR(__xludf.DUMMYFUNCTION("""COMPUTED_VALUE"""),45702.0)</f>
        <v>45702</v>
      </c>
      <c r="S556" s="2" t="str">
        <f>IFERROR(__xludf.DUMMYFUNCTION("""COMPUTED_VALUE"""),"EGT/DRM")</f>
        <v>EGT/DRM</v>
      </c>
      <c r="T556" s="73">
        <f>IFERROR(__xludf.DUMMYFUNCTION("""COMPUTED_VALUE"""),2300.0)</f>
        <v>2300</v>
      </c>
      <c r="U556" s="73" t="str">
        <f>IFERROR(__xludf.DUMMYFUNCTION("""COMPUTED_VALUE""")," FOR REMIT ")</f>
        <v>FOR REMIT</v>
      </c>
      <c r="V556" s="2"/>
      <c r="W556" s="2"/>
      <c r="X556" s="2"/>
      <c r="Y556" s="2"/>
      <c r="Z556" s="2"/>
      <c r="AA556" s="2"/>
      <c r="AB556" s="2"/>
      <c r="AC556" s="2"/>
      <c r="AD556" s="2"/>
      <c r="AE556" s="2"/>
      <c r="AF556" s="2"/>
      <c r="AG556" s="2"/>
      <c r="AH556" s="2"/>
      <c r="AI556" s="2"/>
      <c r="AJ556" s="2" t="str">
        <f>IFERROR(__xludf.DUMMYFUNCTION("""COMPUTED_VALUE"""),"Pusiw")</f>
        <v>Pusiw</v>
      </c>
      <c r="AK556" s="2" t="str">
        <f>IFERROR(__xludf.DUMMYFUNCTION("""COMPUTED_VALUE"""),"Numancia")</f>
        <v>Numancia</v>
      </c>
      <c r="AL556" s="2" t="str">
        <f>IFERROR(__xludf.DUMMYFUNCTION("""COMPUTED_VALUE"""),"Aklan")</f>
        <v>Aklan</v>
      </c>
      <c r="AM556" s="2">
        <f>IFERROR(__xludf.DUMMYFUNCTION("""COMPUTED_VALUE"""),6.0)</f>
        <v>6</v>
      </c>
      <c r="AN556" s="2" t="str">
        <f>IFERROR(__xludf.DUMMYFUNCTION("""COMPUTED_VALUE"""),"RCEF 23-09-21 Rebidding")</f>
        <v>RCEF 23-09-21 Rebidding</v>
      </c>
      <c r="AO556" s="2">
        <f>IFERROR(__xludf.DUMMYFUNCTION("""COMPUTED_VALUE"""),4.0)</f>
        <v>4</v>
      </c>
      <c r="AP556" s="2"/>
      <c r="AQ556" s="2"/>
      <c r="AR556" s="2"/>
      <c r="AS556" s="2"/>
      <c r="AT556" s="2"/>
      <c r="AU556" s="2"/>
      <c r="AV556" s="2"/>
      <c r="AW556" s="2"/>
      <c r="AX556" s="2"/>
      <c r="AY556" s="2"/>
      <c r="AZ556" s="2"/>
      <c r="BA556" s="2"/>
      <c r="BB556" s="2"/>
    </row>
    <row r="557">
      <c r="A557" s="2">
        <f>IFERROR(__xludf.DUMMYFUNCTION("""COMPUTED_VALUE"""),553.0)</f>
        <v>553</v>
      </c>
      <c r="B557" s="2" t="str">
        <f>IFERROR(__xludf.DUMMYFUNCTION("""COMPUTED_VALUE"""),"COMPLETED")</f>
        <v>COMPLETED</v>
      </c>
      <c r="C557" s="74">
        <f>IFERROR(__xludf.DUMMYFUNCTION("""COMPUTED_VALUE"""),45572.0)</f>
        <v>45572</v>
      </c>
      <c r="D557" s="71" t="str">
        <f>IFERROR(__xludf.DUMMYFUNCTION("""COMPUTED_VALUE"""),"Banila Dupax Sur Irrigators Inc.")</f>
        <v>Banila Dupax Sur Irrigators Inc.</v>
      </c>
      <c r="E557" s="71" t="str">
        <f>IFERROR(__xludf.DUMMYFUNCTION("""COMPUTED_VALUE""")," ")</f>
        <v> </v>
      </c>
      <c r="F557" s="2"/>
      <c r="G557" s="2">
        <f>IFERROR(__xludf.DUMMYFUNCTION("""COMPUTED_VALUE"""),9.753468102E9)</f>
        <v>9753468102</v>
      </c>
      <c r="H557" s="2">
        <f>IFERROR(__xludf.DUMMYFUNCTION("""COMPUTED_VALUE"""),41.6)</f>
        <v>41.6</v>
      </c>
      <c r="I557" s="72" t="str">
        <f>IFERROR(__xludf.DUMMYFUNCTION("""COMPUTED_VALUE"""),"REPAIR - TRACTOR")</f>
        <v>REPAIR - TRACTOR</v>
      </c>
      <c r="J557" s="72" t="str">
        <f>IFERROR(__xludf.DUMMYFUNCTION("""COMPUTED_VALUE"""),"FR SWITCH")</f>
        <v>FR SWITCH</v>
      </c>
      <c r="K557" s="72" t="str">
        <f>IFERROR(__xludf.DUMMYFUNCTION("""COMPUTED_VALUE"""),"CFG/JVV: UPON CAMPAIGN: NEED NEUTRAL SWITCH REPLACEMENT")</f>
        <v>CFG/JVV: UPON CAMPAIGN: NEED NEUTRAL SWITCH REPLACEMENT</v>
      </c>
      <c r="L557" s="72" t="str">
        <f>IFERROR(__xludf.DUMMYFUNCTION("""COMPUTED_VALUE"""),"JVV: REPLACED NEUTRAL CONTACT SWITCH
HINDI SININGIL")</f>
        <v>JVV: REPLACED NEUTRAL CONTACT SWITCH
HINDI SININGIL</v>
      </c>
      <c r="M557" s="2"/>
      <c r="N557" s="2" t="str">
        <f>IFERROR(__xludf.DUMMYFUNCTION("""COMPUTED_VALUE"""),"PARTS: 
NEUTRAL SWITCH/  F/R SWITCH")</f>
        <v>PARTS: 
NEUTRAL SWITCH/  F/R SWITCH</v>
      </c>
      <c r="O557" s="2">
        <f>IFERROR(__xludf.DUMMYFUNCTION("""COMPUTED_VALUE"""),1151.0)</f>
        <v>1151</v>
      </c>
      <c r="P557" s="2"/>
      <c r="Q557" s="2"/>
      <c r="R557" s="74">
        <f>IFERROR(__xludf.DUMMYFUNCTION("""COMPUTED_VALUE"""),45600.0)</f>
        <v>45600</v>
      </c>
      <c r="S557" s="2" t="str">
        <f>IFERROR(__xludf.DUMMYFUNCTION("""COMPUTED_VALUE"""),"CFG/JVV")</f>
        <v>CFG/JVV</v>
      </c>
      <c r="T557" s="2"/>
      <c r="U557" s="73" t="str">
        <f>IFERROR(__xludf.DUMMYFUNCTION("""COMPUTED_VALUE""")," FOR CONFIRMATION ")</f>
        <v>FOR CONFIRMATION</v>
      </c>
      <c r="V557" s="2"/>
      <c r="W557" s="2"/>
      <c r="X557" s="2"/>
      <c r="Y557" s="2"/>
      <c r="Z557" s="2"/>
      <c r="AA557" s="2"/>
      <c r="AB557" s="2"/>
      <c r="AC557" s="2"/>
      <c r="AD557" s="2"/>
      <c r="AE557" s="2"/>
      <c r="AF557" s="2"/>
      <c r="AG557" s="2"/>
      <c r="AH557" s="2"/>
      <c r="AI557" s="2"/>
      <c r="AJ557" s="2" t="str">
        <f>IFERROR(__xludf.DUMMYFUNCTION("""COMPUTED_VALUE"""),"")</f>
        <v/>
      </c>
      <c r="AK557" s="2" t="str">
        <f>IFERROR(__xludf.DUMMYFUNCTION("""COMPUTED_VALUE"""),"")</f>
        <v/>
      </c>
      <c r="AL557" s="2" t="str">
        <f>IFERROR(__xludf.DUMMYFUNCTION("""COMPUTED_VALUE"""),"")</f>
        <v/>
      </c>
      <c r="AM557" s="2" t="str">
        <f>IFERROR(__xludf.DUMMYFUNCTION("""COMPUTED_VALUE"""),"")</f>
        <v/>
      </c>
      <c r="AN557" s="2" t="str">
        <f>IFERROR(__xludf.DUMMYFUNCTION("""COMPUTED_VALUE""")," ")</f>
        <v> </v>
      </c>
      <c r="AO557" s="2" t="str">
        <f>IFERROR(__xludf.DUMMYFUNCTION("""COMPUTED_VALUE""")," ")</f>
        <v> </v>
      </c>
      <c r="AP557" s="2" t="str">
        <f>IFERROR(__xludf.DUMMYFUNCTION("""COMPUTED_VALUE"""),"")</f>
        <v/>
      </c>
      <c r="AQ557" s="2"/>
      <c r="AR557" s="2"/>
      <c r="AS557" s="2"/>
      <c r="AT557" s="2"/>
      <c r="AU557" s="2"/>
      <c r="AV557" s="2"/>
      <c r="AW557" s="2"/>
      <c r="AX557" s="2"/>
      <c r="AY557" s="2"/>
      <c r="AZ557" s="2"/>
      <c r="BA557" s="2"/>
      <c r="BB557" s="2"/>
    </row>
    <row r="558">
      <c r="A558" s="2">
        <f>IFERROR(__xludf.DUMMYFUNCTION("""COMPUTED_VALUE"""),554.0)</f>
        <v>554</v>
      </c>
      <c r="B558" s="2" t="str">
        <f>IFERROR(__xludf.DUMMYFUNCTION("""COMPUTED_VALUE"""),"COMPLETED")</f>
        <v>COMPLETED</v>
      </c>
      <c r="C558" s="74">
        <f>IFERROR(__xludf.DUMMYFUNCTION("""COMPUTED_VALUE"""),45572.0)</f>
        <v>45572</v>
      </c>
      <c r="D558" s="71" t="str">
        <f>IFERROR(__xludf.DUMMYFUNCTION("""COMPUTED_VALUE"""),"SAN JUAN IA/FARMERS ASSOCIATION")</f>
        <v>SAN JUAN IA/FARMERS ASSOCIATION</v>
      </c>
      <c r="E558" s="71" t="str">
        <f>IFERROR(__xludf.DUMMYFUNCTION("""COMPUTED_VALUE"""),"San Juan, Alfonso Lista (Potia), IFUGAO")</f>
        <v>San Juan, Alfonso Lista (Potia), IFUGAO</v>
      </c>
      <c r="F558" s="2" t="str">
        <f>IFERROR(__xludf.DUMMYFUNCTION("""COMPUTED_VALUE"""),"ESMENIA S. BORJA")</f>
        <v>ESMENIA S. BORJA</v>
      </c>
      <c r="G558" s="2">
        <f>IFERROR(__xludf.DUMMYFUNCTION("""COMPUTED_VALUE"""),9.554952463E9)</f>
        <v>9554952463</v>
      </c>
      <c r="H558" s="2">
        <f>IFERROR(__xludf.DUMMYFUNCTION("""COMPUTED_VALUE"""),50.0)</f>
        <v>50</v>
      </c>
      <c r="I558" s="72" t="str">
        <f>IFERROR(__xludf.DUMMYFUNCTION("""COMPUTED_VALUE"""),"PMS")</f>
        <v>PMS</v>
      </c>
      <c r="J558" s="72" t="str">
        <f>IFERROR(__xludf.DUMMYFUNCTION("""COMPUTED_VALUE"""),"PMS")</f>
        <v>PMS</v>
      </c>
      <c r="K558" s="72" t="str">
        <f>IFERROR(__xludf.DUMMYFUNCTION("""COMPUTED_VALUE"""),"PMS: FIRST PMS: SELF PMS")</f>
        <v>PMS: FIRST PMS: SELF PMS</v>
      </c>
      <c r="L558" s="72" t="str">
        <f>IFERROR(__xludf.DUMMYFUNCTION("""COMPUTED_VALUE"""),"CALL: SEND AGREEMENT: ")</f>
        <v>CALL: SEND AGREEMENT: </v>
      </c>
      <c r="M558" s="2"/>
      <c r="N558" s="2"/>
      <c r="O558" s="2" t="str">
        <f>IFERROR(__xludf.DUMMYFUNCTION("""COMPUTED_VALUE"""),"N/A")</f>
        <v>N/A</v>
      </c>
      <c r="P558" s="2"/>
      <c r="Q558" s="2"/>
      <c r="R558" s="74">
        <f>IFERROR(__xludf.DUMMYFUNCTION("""COMPUTED_VALUE"""),45575.0)</f>
        <v>45575</v>
      </c>
      <c r="S558" s="2" t="str">
        <f>IFERROR(__xludf.DUMMYFUNCTION("""COMPUTED_VALUE"""),"MYKEE")</f>
        <v>MYKEE</v>
      </c>
      <c r="T558" s="73" t="str">
        <f>IFERROR(__xludf.DUMMYFUNCTION("""COMPUTED_VALUE""")," N/A ")</f>
        <v>N/A</v>
      </c>
      <c r="U558" s="73" t="str">
        <f>IFERROR(__xludf.DUMMYFUNCTION("""COMPUTED_VALUE""")," NO CHARGE ")</f>
        <v>NO CHARGE</v>
      </c>
      <c r="V558" s="2"/>
      <c r="W558" s="2" t="str">
        <f>IFERROR(__xludf.DUMMYFUNCTION("""COMPUTED_VALUE"""),"N/A")</f>
        <v>N/A</v>
      </c>
      <c r="X558" s="2" t="str">
        <f>IFERROR(__xludf.DUMMYFUNCTION("""COMPUTED_VALUE"""),"N/A")</f>
        <v>N/A</v>
      </c>
      <c r="Y558" s="2"/>
      <c r="Z558" s="2"/>
      <c r="AA558" s="2"/>
      <c r="AB558" s="2"/>
      <c r="AC558" s="2"/>
      <c r="AD558" s="2"/>
      <c r="AE558" s="2"/>
      <c r="AF558" s="2"/>
      <c r="AG558" s="2"/>
      <c r="AH558" s="2"/>
      <c r="AI558" s="2"/>
      <c r="AJ558" s="2" t="str">
        <f>IFERROR(__xludf.DUMMYFUNCTION("""COMPUTED_VALUE"""),"San Juan")</f>
        <v>San Juan</v>
      </c>
      <c r="AK558" s="2" t="str">
        <f>IFERROR(__xludf.DUMMYFUNCTION("""COMPUTED_VALUE"""),"Alfonso Lista (Potia)")</f>
        <v>Alfonso Lista (Potia)</v>
      </c>
      <c r="AL558" s="2" t="str">
        <f>IFERROR(__xludf.DUMMYFUNCTION("""COMPUTED_VALUE"""),"Ifugao")</f>
        <v>Ifugao</v>
      </c>
      <c r="AM558" s="2" t="str">
        <f>IFERROR(__xludf.DUMMYFUNCTION("""COMPUTED_VALUE"""),"CAR")</f>
        <v>CAR</v>
      </c>
      <c r="AN558" s="2" t="str">
        <f>IFERROR(__xludf.DUMMYFUNCTION("""COMPUTED_VALUE"""),"RCEF 23-09-21 Rebidding")</f>
        <v>RCEF 23-09-21 Rebidding</v>
      </c>
      <c r="AO558" s="2">
        <f>IFERROR(__xludf.DUMMYFUNCTION("""COMPUTED_VALUE"""),1.0)</f>
        <v>1</v>
      </c>
      <c r="AP558" s="2"/>
      <c r="AQ558" s="2"/>
      <c r="AR558" s="2"/>
      <c r="AS558" s="2"/>
      <c r="AT558" s="2"/>
      <c r="AU558" s="2"/>
      <c r="AV558" s="2"/>
      <c r="AW558" s="2"/>
      <c r="AX558" s="2"/>
      <c r="AY558" s="2"/>
      <c r="AZ558" s="2"/>
      <c r="BA558" s="2"/>
      <c r="BB558" s="2"/>
    </row>
    <row r="559">
      <c r="A559" s="2">
        <f>IFERROR(__xludf.DUMMYFUNCTION("""COMPUTED_VALUE"""),555.0)</f>
        <v>555</v>
      </c>
      <c r="B559" s="2" t="str">
        <f>IFERROR(__xludf.DUMMYFUNCTION("""COMPUTED_VALUE"""),"COMPLETED")</f>
        <v>COMPLETED</v>
      </c>
      <c r="C559" s="74">
        <f>IFERROR(__xludf.DUMMYFUNCTION("""COMPUTED_VALUE"""),45573.0)</f>
        <v>45573</v>
      </c>
      <c r="D559" s="71" t="str">
        <f>IFERROR(__xludf.DUMMYFUNCTION("""COMPUTED_VALUE"""),"Nagsulang Farmers Association")</f>
        <v>Nagsulang Farmers Association</v>
      </c>
      <c r="E559" s="71" t="str">
        <f>IFERROR(__xludf.DUMMYFUNCTION("""COMPUTED_VALUE"""),"Nagsulang, Dumarao, CAPIZ")</f>
        <v>Nagsulang, Dumarao, CAPIZ</v>
      </c>
      <c r="F559" s="2" t="str">
        <f>IFERROR(__xludf.DUMMYFUNCTION("""COMPUTED_VALUE"""),"Thelso V. Barrera")</f>
        <v>Thelso V. Barrera</v>
      </c>
      <c r="G559" s="2" t="str">
        <f>IFERROR(__xludf.DUMMYFUNCTION("""COMPUTED_VALUE"""),"0955-430-0391 / 0997-637-7468")</f>
        <v>0955-430-0391 / 0997-637-7468</v>
      </c>
      <c r="H559" s="2"/>
      <c r="I559" s="72" t="str">
        <f>IFERROR(__xludf.DUMMYFUNCTION("""COMPUTED_VALUE"""),"PMS")</f>
        <v>PMS</v>
      </c>
      <c r="J559" s="72" t="str">
        <f>IFERROR(__xludf.DUMMYFUNCTION("""COMPUTED_VALUE"""),"PMS")</f>
        <v>PMS</v>
      </c>
      <c r="K559" s="72" t="str">
        <f>IFERROR(__xludf.DUMMYFUNCTION("""COMPUTED_VALUE"""),"DRM: 1ST PMS: SELF PMS")</f>
        <v>DRM: 1ST PMS: SELF PMS</v>
      </c>
      <c r="L559" s="72" t="str">
        <f>IFERROR(__xludf.DUMMYFUNCTION("""COMPUTED_VALUE"""),"MYKEE: 1ST PMS DONE BY FARMER: SEND AGREEMENT: FB: ")</f>
        <v>MYKEE: 1ST PMS DONE BY FARMER: SEND AGREEMENT: FB: </v>
      </c>
      <c r="M559" s="2"/>
      <c r="N559" s="2"/>
      <c r="O559" s="2" t="str">
        <f>IFERROR(__xludf.DUMMYFUNCTION("""COMPUTED_VALUE"""),"N/A")</f>
        <v>N/A</v>
      </c>
      <c r="P559" s="2"/>
      <c r="Q559" s="2"/>
      <c r="R559" s="74">
        <f>IFERROR(__xludf.DUMMYFUNCTION("""COMPUTED_VALUE"""),45611.0)</f>
        <v>45611</v>
      </c>
      <c r="S559" s="2"/>
      <c r="T559" s="2"/>
      <c r="U559" s="2"/>
      <c r="V559" s="2"/>
      <c r="W559" s="2"/>
      <c r="X559" s="2"/>
      <c r="Y559" s="2"/>
      <c r="Z559" s="2"/>
      <c r="AA559" s="2"/>
      <c r="AB559" s="2"/>
      <c r="AC559" s="2"/>
      <c r="AD559" s="2"/>
      <c r="AE559" s="2"/>
      <c r="AF559" s="2"/>
      <c r="AG559" s="2"/>
      <c r="AH559" s="2"/>
      <c r="AI559" s="2"/>
      <c r="AJ559" s="2" t="str">
        <f>IFERROR(__xludf.DUMMYFUNCTION("""COMPUTED_VALUE"""),"Nagsulang")</f>
        <v>Nagsulang</v>
      </c>
      <c r="AK559" s="2" t="str">
        <f>IFERROR(__xludf.DUMMYFUNCTION("""COMPUTED_VALUE"""),"Dumarao")</f>
        <v>Dumarao</v>
      </c>
      <c r="AL559" s="2" t="str">
        <f>IFERROR(__xludf.DUMMYFUNCTION("""COMPUTED_VALUE"""),"Capiz")</f>
        <v>Capiz</v>
      </c>
      <c r="AM559" s="2">
        <f>IFERROR(__xludf.DUMMYFUNCTION("""COMPUTED_VALUE"""),6.0)</f>
        <v>6</v>
      </c>
      <c r="AN559" s="2" t="str">
        <f>IFERROR(__xludf.DUMMYFUNCTION("""COMPUTED_VALUE"""),"RCEF 23-09-21 Rebidding")</f>
        <v>RCEF 23-09-21 Rebidding</v>
      </c>
      <c r="AO559" s="2">
        <f>IFERROR(__xludf.DUMMYFUNCTION("""COMPUTED_VALUE"""),4.0)</f>
        <v>4</v>
      </c>
      <c r="AP559" s="2"/>
      <c r="AQ559" s="2"/>
      <c r="AR559" s="2"/>
      <c r="AS559" s="2"/>
      <c r="AT559" s="2"/>
      <c r="AU559" s="2"/>
      <c r="AV559" s="2"/>
      <c r="AW559" s="2"/>
      <c r="AX559" s="2"/>
      <c r="AY559" s="2"/>
      <c r="AZ559" s="2"/>
      <c r="BA559" s="2"/>
      <c r="BB559" s="2"/>
    </row>
    <row r="560">
      <c r="A560" s="2">
        <f>IFERROR(__xludf.DUMMYFUNCTION("""COMPUTED_VALUE"""),556.0)</f>
        <v>556</v>
      </c>
      <c r="B560" s="2" t="str">
        <f>IFERROR(__xludf.DUMMYFUNCTION("""COMPUTED_VALUE"""),"COMPLETED")</f>
        <v>COMPLETED</v>
      </c>
      <c r="C560" s="74">
        <f>IFERROR(__xludf.DUMMYFUNCTION("""COMPUTED_VALUE"""),45573.0)</f>
        <v>45573</v>
      </c>
      <c r="D560" s="71" t="str">
        <f>IFERROR(__xludf.DUMMYFUNCTION("""COMPUTED_VALUE"""),"Agtanguay Small Farmers Association")</f>
        <v>Agtanguay Small Farmers Association</v>
      </c>
      <c r="E560" s="71" t="str">
        <f>IFERROR(__xludf.DUMMYFUNCTION("""COMPUTED_VALUE"""),"Agtanguay, Dao, CAPIZ")</f>
        <v>Agtanguay, Dao, CAPIZ</v>
      </c>
      <c r="F560" s="2" t="str">
        <f>IFERROR(__xludf.DUMMYFUNCTION("""COMPUTED_VALUE"""),"Janet A. Beter")</f>
        <v>Janet A. Beter</v>
      </c>
      <c r="G560" s="2" t="str">
        <f>IFERROR(__xludf.DUMMYFUNCTION("""COMPUTED_VALUE"""),"0950-912-9065")</f>
        <v>0950-912-9065</v>
      </c>
      <c r="H560" s="2"/>
      <c r="I560" s="72" t="str">
        <f>IFERROR(__xludf.DUMMYFUNCTION("""COMPUTED_VALUE"""),"PMS")</f>
        <v>PMS</v>
      </c>
      <c r="J560" s="72" t="str">
        <f>IFERROR(__xludf.DUMMYFUNCTION("""COMPUTED_VALUE"""),"PMS")</f>
        <v>PMS</v>
      </c>
      <c r="K560" s="72" t="str">
        <f>IFERROR(__xludf.DUMMYFUNCTION("""COMPUTED_VALUE"""),"DRM: 1ST PMS
(OUT OF COVERAGE AREA)")</f>
        <v>DRM: 1ST PMS
(OUT OF COVERAGE AREA)</v>
      </c>
      <c r="L560" s="72" t="str">
        <f>IFERROR(__xludf.DUMMYFUNCTION("""COMPUTED_VALUE"""),"12/20/24: HINDI MATAWAGAN,: CANCELLED")</f>
        <v>12/20/24: HINDI MATAWAGAN,: CANCELLED</v>
      </c>
      <c r="M560" s="2"/>
      <c r="N560" s="2"/>
      <c r="O560" s="2" t="str">
        <f>IFERROR(__xludf.DUMMYFUNCTION("""COMPUTED_VALUE"""),"N/A")</f>
        <v>N/A</v>
      </c>
      <c r="P560" s="2"/>
      <c r="Q560" s="2"/>
      <c r="R560" s="74">
        <f>IFERROR(__xludf.DUMMYFUNCTION("""COMPUTED_VALUE"""),45646.0)</f>
        <v>45646</v>
      </c>
      <c r="S560" s="2" t="str">
        <f>IFERROR(__xludf.DUMMYFUNCTION("""COMPUTED_VALUE"""),"MYKEE")</f>
        <v>MYKEE</v>
      </c>
      <c r="T560" s="73" t="str">
        <f>IFERROR(__xludf.DUMMYFUNCTION("""COMPUTED_VALUE""")," N/A ")</f>
        <v>N/A</v>
      </c>
      <c r="U560" s="73" t="str">
        <f>IFERROR(__xludf.DUMMYFUNCTION("""COMPUTED_VALUE""")," NO CHARGE ")</f>
        <v>NO CHARGE</v>
      </c>
      <c r="V560" s="2"/>
      <c r="W560" s="2" t="str">
        <f>IFERROR(__xludf.DUMMYFUNCTION("""COMPUTED_VALUE"""),"N/A")</f>
        <v>N/A</v>
      </c>
      <c r="X560" s="2" t="str">
        <f>IFERROR(__xludf.DUMMYFUNCTION("""COMPUTED_VALUE"""),"N/A")</f>
        <v>N/A</v>
      </c>
      <c r="Y560" s="2"/>
      <c r="Z560" s="2"/>
      <c r="AA560" s="2"/>
      <c r="AB560" s="2"/>
      <c r="AC560" s="2"/>
      <c r="AD560" s="2"/>
      <c r="AE560" s="2"/>
      <c r="AF560" s="2"/>
      <c r="AG560" s="2"/>
      <c r="AH560" s="2"/>
      <c r="AI560" s="2"/>
      <c r="AJ560" s="2" t="str">
        <f>IFERROR(__xludf.DUMMYFUNCTION("""COMPUTED_VALUE"""),"Agtanguay")</f>
        <v>Agtanguay</v>
      </c>
      <c r="AK560" s="2" t="str">
        <f>IFERROR(__xludf.DUMMYFUNCTION("""COMPUTED_VALUE"""),"Dao")</f>
        <v>Dao</v>
      </c>
      <c r="AL560" s="2" t="str">
        <f>IFERROR(__xludf.DUMMYFUNCTION("""COMPUTED_VALUE"""),"Capiz")</f>
        <v>Capiz</v>
      </c>
      <c r="AM560" s="2">
        <f>IFERROR(__xludf.DUMMYFUNCTION("""COMPUTED_VALUE"""),6.0)</f>
        <v>6</v>
      </c>
      <c r="AN560" s="2" t="str">
        <f>IFERROR(__xludf.DUMMYFUNCTION("""COMPUTED_VALUE"""),"RCEF 23-09-21 Rebidding")</f>
        <v>RCEF 23-09-21 Rebidding</v>
      </c>
      <c r="AO560" s="2">
        <f>IFERROR(__xludf.DUMMYFUNCTION("""COMPUTED_VALUE"""),4.0)</f>
        <v>4</v>
      </c>
      <c r="AP560" s="2"/>
      <c r="AQ560" s="2"/>
      <c r="AR560" s="2"/>
      <c r="AS560" s="2"/>
      <c r="AT560" s="2"/>
      <c r="AU560" s="2"/>
      <c r="AV560" s="2"/>
      <c r="AW560" s="2"/>
      <c r="AX560" s="2"/>
      <c r="AY560" s="2"/>
      <c r="AZ560" s="2"/>
      <c r="BA560" s="2"/>
      <c r="BB560" s="2"/>
    </row>
    <row r="561">
      <c r="A561" s="2">
        <f>IFERROR(__xludf.DUMMYFUNCTION("""COMPUTED_VALUE"""),557.0)</f>
        <v>557</v>
      </c>
      <c r="B561" s="2" t="str">
        <f>IFERROR(__xludf.DUMMYFUNCTION("""COMPUTED_VALUE"""),"COMPLETED")</f>
        <v>COMPLETED</v>
      </c>
      <c r="C561" s="74">
        <f>IFERROR(__xludf.DUMMYFUNCTION("""COMPUTED_VALUE"""),45573.0)</f>
        <v>45573</v>
      </c>
      <c r="D561" s="71" t="str">
        <f>IFERROR(__xludf.DUMMYFUNCTION("""COMPUTED_VALUE"""),"SANDIGAN NG MGA MANGGAGAWA SA AGRIKULTURA SA KANAYUNAN (SAMAKA)")</f>
        <v>SANDIGAN NG MGA MANGGAGAWA SA AGRIKULTURA SA KANAYUNAN (SAMAKA)</v>
      </c>
      <c r="E561" s="71" t="str">
        <f>IFERROR(__xludf.DUMMYFUNCTION("""COMPUTED_VALUE"""),"Calucmoy, Socorro, Oriental Mindoro")</f>
        <v>Calucmoy, Socorro, Oriental Mindoro</v>
      </c>
      <c r="F561" s="2" t="str">
        <f>IFERROR(__xludf.DUMMYFUNCTION("""COMPUTED_VALUE"""),"Rex Olivar Maaño")</f>
        <v>Rex Olivar Maaño</v>
      </c>
      <c r="G561" s="2">
        <f>IFERROR(__xludf.DUMMYFUNCTION("""COMPUTED_VALUE"""),9.50137721E9)</f>
        <v>9501377210</v>
      </c>
      <c r="H561" s="2">
        <f>IFERROR(__xludf.DUMMYFUNCTION("""COMPUTED_VALUE"""),330.0)</f>
        <v>330</v>
      </c>
      <c r="I561" s="72" t="str">
        <f>IFERROR(__xludf.DUMMYFUNCTION("""COMPUTED_VALUE"""),"REPAIR - TRACTOR")</f>
        <v>REPAIR - TRACTOR</v>
      </c>
      <c r="J561" s="72" t="str">
        <f>IFERROR(__xludf.DUMMYFUNCTION("""COMPUTED_VALUE"""),"Transmission - Differential                             Rear Axle - Leaking")</f>
        <v>Transmission - Differential                             Rear Axle - Leaking</v>
      </c>
      <c r="K561" s="72" t="str">
        <f>IFERROR(__xludf.DUMMYFUNCTION("""COMPUTED_VALUE"""),"RCG: DRIVE PINION worn out. 
RCG: PINANGHAHATAK LANG NG HARVESTER YUNG UNIT, 
""RCG: OIL LEAKING SA REAR AXLE BOTH SIDE 
PARTS: (2) REAR AXLE OIL SEAL  Oil Seal - TA000333423A""")</f>
        <v>RCG: DRIVE PINION worn out. 
RCG: PINANGHAHATAK LANG NG HARVESTER YUNG UNIT, 
"RCG: OIL LEAKING SA REAR AXLE BOTH SIDE 
PARTS: (2) REAR AXLE OIL SEAL  Oil Seal - TA000333423A"</v>
      </c>
      <c r="L561" s="72" t="str">
        <f>IFERROR(__xludf.DUMMYFUNCTION("""COMPUTED_VALUE"""),"RCG: Replace drive pinion gear,replace oilseal for drive pinion (outsource).checkup and clean the front axle,checkup bearings.replace gear oil.replace engine oil.
monitor the tractor when they use the front drive during operation.
")</f>
        <v>RCG: Replace drive pinion gear,replace oilseal for drive pinion (outsource).checkup and clean the front axle,checkup bearings.replace gear oil.replace engine oil.
monitor the tractor when they use the front drive during operation.
</v>
      </c>
      <c r="M561" s="2"/>
      <c r="N561" s="2" t="str">
        <f>IFERROR(__xludf.DUMMYFUNCTION("""COMPUTED_VALUE"""),"PARTS: 
DRIVE PINION (WARRANTY BY LTC)")</f>
        <v>PARTS: 
DRIVE PINION (WARRANTY BY LTC)</v>
      </c>
      <c r="O561" s="2">
        <f>IFERROR(__xludf.DUMMYFUNCTION("""COMPUTED_VALUE"""),982.0)</f>
        <v>982</v>
      </c>
      <c r="P561" s="2"/>
      <c r="Q561" s="2"/>
      <c r="R561" s="74">
        <f>IFERROR(__xludf.DUMMYFUNCTION("""COMPUTED_VALUE"""),45604.0)</f>
        <v>45604</v>
      </c>
      <c r="S561" s="2" t="str">
        <f>IFERROR(__xludf.DUMMYFUNCTION("""COMPUTED_VALUE"""),"RCG/RBS")</f>
        <v>RCG/RBS</v>
      </c>
      <c r="T561" s="73" t="str">
        <f>IFERROR(__xludf.DUMMYFUNCTION("""COMPUTED_VALUE""")," N/A ")</f>
        <v>N/A</v>
      </c>
      <c r="U561" s="73" t="str">
        <f>IFERROR(__xludf.DUMMYFUNCTION("""COMPUTED_VALUE""")," NO CHARGE ")</f>
        <v>NO CHARGE</v>
      </c>
      <c r="V561" s="2"/>
      <c r="W561" s="2" t="str">
        <f>IFERROR(__xludf.DUMMYFUNCTION("""COMPUTED_VALUE"""),"N/A")</f>
        <v>N/A</v>
      </c>
      <c r="X561" s="2" t="str">
        <f>IFERROR(__xludf.DUMMYFUNCTION("""COMPUTED_VALUE"""),"N/A")</f>
        <v>N/A</v>
      </c>
      <c r="Y561" s="2"/>
      <c r="Z561" s="2"/>
      <c r="AA561" s="2"/>
      <c r="AB561" s="2"/>
      <c r="AC561" s="2"/>
      <c r="AD561" s="2"/>
      <c r="AE561" s="2"/>
      <c r="AF561" s="2"/>
      <c r="AG561" s="2"/>
      <c r="AH561" s="2"/>
      <c r="AI561" s="2"/>
      <c r="AJ561" s="2" t="str">
        <f>IFERROR(__xludf.DUMMYFUNCTION("""COMPUTED_VALUE"""),"Calucmoy")</f>
        <v>Calucmoy</v>
      </c>
      <c r="AK561" s="2" t="str">
        <f>IFERROR(__xludf.DUMMYFUNCTION("""COMPUTED_VALUE"""),"Socorro")</f>
        <v>Socorro</v>
      </c>
      <c r="AL561" s="2" t="str">
        <f>IFERROR(__xludf.DUMMYFUNCTION("""COMPUTED_VALUE"""),"Oriental Mindoro")</f>
        <v>Oriental Mindoro</v>
      </c>
      <c r="AM561" s="2" t="str">
        <f>IFERROR(__xludf.DUMMYFUNCTION("""COMPUTED_VALUE"""),"4B")</f>
        <v>4B</v>
      </c>
      <c r="AN561" s="2" t="str">
        <f>IFERROR(__xludf.DUMMYFUNCTION("""COMPUTED_VALUE"""),"RCEF 23-08-20 Rebidding")</f>
        <v>RCEF 23-08-20 Rebidding</v>
      </c>
      <c r="AO561" s="2">
        <f>IFERROR(__xludf.DUMMYFUNCTION("""COMPUTED_VALUE"""),1.0)</f>
        <v>1</v>
      </c>
      <c r="AP561" s="2"/>
      <c r="AQ561" s="2"/>
      <c r="AR561" s="2"/>
      <c r="AS561" s="2"/>
      <c r="AT561" s="2"/>
      <c r="AU561" s="2"/>
      <c r="AV561" s="2"/>
      <c r="AW561" s="2"/>
      <c r="AX561" s="2"/>
      <c r="AY561" s="2"/>
      <c r="AZ561" s="2"/>
      <c r="BA561" s="2"/>
      <c r="BB561" s="2"/>
    </row>
    <row r="562">
      <c r="A562" s="2">
        <f>IFERROR(__xludf.DUMMYFUNCTION("""COMPUTED_VALUE"""),558.0)</f>
        <v>558</v>
      </c>
      <c r="B562" s="2" t="str">
        <f>IFERROR(__xludf.DUMMYFUNCTION("""COMPUTED_VALUE"""),"COMPLETED")</f>
        <v>COMPLETED</v>
      </c>
      <c r="C562" s="74">
        <f>IFERROR(__xludf.DUMMYFUNCTION("""COMPUTED_VALUE"""),45574.0)</f>
        <v>45574</v>
      </c>
      <c r="D562" s="71" t="str">
        <f>IFERROR(__xludf.DUMMYFUNCTION("""COMPUTED_VALUE"""),"BARANGAY PAYAPA FARMERS ASSOCIATION")</f>
        <v>BARANGAY PAYAPA FARMERS ASSOCIATION</v>
      </c>
      <c r="E562" s="71" t="str">
        <f>IFERROR(__xludf.DUMMYFUNCTION("""COMPUTED_VALUE"""),"Payapa, Tagkawayan, Quezon")</f>
        <v>Payapa, Tagkawayan, Quezon</v>
      </c>
      <c r="F562" s="2" t="str">
        <f>IFERROR(__xludf.DUMMYFUNCTION("""COMPUTED_VALUE"""),"MARK ANTHONY PITA")</f>
        <v>MARK ANTHONY PITA</v>
      </c>
      <c r="G562" s="2"/>
      <c r="H562" s="2">
        <f>IFERROR(__xludf.DUMMYFUNCTION("""COMPUTED_VALUE"""),350.0)</f>
        <v>350</v>
      </c>
      <c r="I562" s="72" t="str">
        <f>IFERROR(__xludf.DUMMYFUNCTION("""COMPUTED_VALUE"""),"PMS")</f>
        <v>PMS</v>
      </c>
      <c r="J562" s="72" t="str">
        <f>IFERROR(__xludf.DUMMYFUNCTION("""COMPUTED_VALUE"""),"PMS")</f>
        <v>PMS</v>
      </c>
      <c r="K562" s="72" t="str">
        <f>IFERROR(__xludf.DUMMYFUNCTION("""COMPUTED_VALUE"""),"JTT: 2ND PMS")</f>
        <v>JTT: 2ND PMS</v>
      </c>
      <c r="L562" s="72" t="str">
        <f>IFERROR(__xludf.DUMMYFUNCTION("""COMPUTED_VALUE"""),"JTT: DONE 2MD PMS")</f>
        <v>JTT: DONE 2MD PMS</v>
      </c>
      <c r="M562" s="2"/>
      <c r="N562" s="2" t="str">
        <f>IFERROR(__xludf.DUMMYFUNCTION("""COMPUTED_VALUE"""),"PARTS: OIL FILTER, HYDRAULIC FILTER, 5L ENGINE OIL, 40L HYDRAULIC OIL")</f>
        <v>PARTS: OIL FILTER, HYDRAULIC FILTER, 5L ENGINE OIL, 40L HYDRAULIC OIL</v>
      </c>
      <c r="O562" s="2" t="str">
        <f>IFERROR(__xludf.DUMMYFUNCTION("""COMPUTED_VALUE"""),"JIE-957")</f>
        <v>JIE-957</v>
      </c>
      <c r="P562" s="2"/>
      <c r="Q562" s="2"/>
      <c r="R562" s="74">
        <f>IFERROR(__xludf.DUMMYFUNCTION("""COMPUTED_VALUE"""),45579.0)</f>
        <v>45579</v>
      </c>
      <c r="S562" s="2" t="str">
        <f>IFERROR(__xludf.DUMMYFUNCTION("""COMPUTED_VALUE"""),"JTT")</f>
        <v>JTT</v>
      </c>
      <c r="T562" s="73">
        <f>IFERROR(__xludf.DUMMYFUNCTION("""COMPUTED_VALUE"""),17061.0)</f>
        <v>17061</v>
      </c>
      <c r="U562" s="73" t="str">
        <f>IFERROR(__xludf.DUMMYFUNCTION("""COMPUTED_VALUE""")," REMITTED ")</f>
        <v>REMITTED</v>
      </c>
      <c r="V562" s="2"/>
      <c r="W562" s="2"/>
      <c r="X562" s="2">
        <f>IFERROR(__xludf.DUMMYFUNCTION("""COMPUTED_VALUE"""),1163.0)</f>
        <v>1163</v>
      </c>
      <c r="Y562" s="2"/>
      <c r="Z562" s="2"/>
      <c r="AA562" s="2"/>
      <c r="AB562" s="2"/>
      <c r="AC562" s="2"/>
      <c r="AD562" s="2"/>
      <c r="AE562" s="2"/>
      <c r="AF562" s="2"/>
      <c r="AG562" s="2"/>
      <c r="AH562" s="2"/>
      <c r="AI562" s="2"/>
      <c r="AJ562" s="2" t="str">
        <f>IFERROR(__xludf.DUMMYFUNCTION("""COMPUTED_VALUE"""),"Payapa")</f>
        <v>Payapa</v>
      </c>
      <c r="AK562" s="2" t="str">
        <f>IFERROR(__xludf.DUMMYFUNCTION("""COMPUTED_VALUE"""),"Tagkawayan")</f>
        <v>Tagkawayan</v>
      </c>
      <c r="AL562" s="2" t="str">
        <f>IFERROR(__xludf.DUMMYFUNCTION("""COMPUTED_VALUE"""),"Quezon")</f>
        <v>Quezon</v>
      </c>
      <c r="AM562" s="2" t="str">
        <f>IFERROR(__xludf.DUMMYFUNCTION("""COMPUTED_VALUE"""),"4A")</f>
        <v>4A</v>
      </c>
      <c r="AN562" s="2" t="str">
        <f>IFERROR(__xludf.DUMMYFUNCTION("""COMPUTED_VALUE"""),"RCEF 23-08-20 Rebidding")</f>
        <v>RCEF 23-08-20 Rebidding</v>
      </c>
      <c r="AO562" s="2">
        <f>IFERROR(__xludf.DUMMYFUNCTION("""COMPUTED_VALUE"""),1.0)</f>
        <v>1</v>
      </c>
      <c r="AP562" s="2"/>
      <c r="AQ562" s="2"/>
      <c r="AR562" s="2"/>
      <c r="AS562" s="2"/>
      <c r="AT562" s="2"/>
      <c r="AU562" s="2"/>
      <c r="AV562" s="2"/>
      <c r="AW562" s="2"/>
      <c r="AX562" s="2"/>
      <c r="AY562" s="2"/>
      <c r="AZ562" s="2"/>
      <c r="BA562" s="2"/>
      <c r="BB562" s="2"/>
    </row>
    <row r="563">
      <c r="A563" s="2">
        <f>IFERROR(__xludf.DUMMYFUNCTION("""COMPUTED_VALUE"""),559.0)</f>
        <v>559</v>
      </c>
      <c r="B563" s="2" t="str">
        <f>IFERROR(__xludf.DUMMYFUNCTION("""COMPUTED_VALUE"""),"COMPLETED")</f>
        <v>COMPLETED</v>
      </c>
      <c r="C563" s="74">
        <f>IFERROR(__xludf.DUMMYFUNCTION("""COMPUTED_VALUE"""),45574.0)</f>
        <v>45574</v>
      </c>
      <c r="D563" s="71" t="str">
        <f>IFERROR(__xludf.DUMMYFUNCTION("""COMPUTED_VALUE"""),"Inabasan Small Farmers Association")</f>
        <v>Inabasan Small Farmers Association</v>
      </c>
      <c r="E563" s="71" t="str">
        <f>IFERROR(__xludf.DUMMYFUNCTION("""COMPUTED_VALUE"""),"Inabasan, San Jose, ANTIQUE")</f>
        <v>Inabasan, San Jose, ANTIQUE</v>
      </c>
      <c r="F563" s="2" t="str">
        <f>IFERROR(__xludf.DUMMYFUNCTION("""COMPUTED_VALUE"""),"Joebert E. Daniel")</f>
        <v>Joebert E. Daniel</v>
      </c>
      <c r="G563" s="2">
        <f>IFERROR(__xludf.DUMMYFUNCTION("""COMPUTED_VALUE"""),9.5598788E9)</f>
        <v>9559878800</v>
      </c>
      <c r="H563" s="2">
        <f>IFERROR(__xludf.DUMMYFUNCTION("""COMPUTED_VALUE"""),146.0)</f>
        <v>146</v>
      </c>
      <c r="I563" s="72" t="str">
        <f>IFERROR(__xludf.DUMMYFUNCTION("""COMPUTED_VALUE"""),"REPAIR - TRACTOR")</f>
        <v>REPAIR - TRACTOR</v>
      </c>
      <c r="J563" s="72" t="str">
        <f>IFERROR(__xludf.DUMMYFUNCTION("""COMPUTED_VALUE"""),"Transmission - Clutch")</f>
        <v>Transmission - Clutch</v>
      </c>
      <c r="K563" s="72" t="str">
        <f>IFERROR(__xludf.DUMMYFUNCTION("""COMPUTED_VALUE"""),"MYKEE: AAYAW NANG MAG FORWARD REVERSE, PERO NA KAKAMBYO PA NAMAN
EGT: CLUTCH LINING PROBLEM
PARTS: CLUTCH DISC ASSY
DRM:10/27/24: PARTS: CLUTCH DISC ASSY, CLUTCH COVER ASSY
CLUTCH DISC-  naupod
 PRESSURE PLATE-  may kayod. medyo malalim.need po na palitan"&amp;" ng bago. Try daw po nila mag outsource  bukas. kung wala daw po silang mahanap. padala nalang po ng bagong pressure plate ")</f>
        <v>MYKEE: AAYAW NANG MAG FORWARD REVERSE, PERO NA KAKAMBYO PA NAMAN
EGT: CLUTCH LINING PROBLEM
PARTS: CLUTCH DISC ASSY
DRM:10/27/24: PARTS: CLUTCH DISC ASSY, CLUTCH COVER ASSY
CLUTCH DISC-  naupod
 PRESSURE PLATE-  may kayod. medyo malalim.need po na palitan ng bago. Try daw po nila mag outsource  bukas. kung wala daw po silang mahanap. padala nalang po ng bagong pressure plate </v>
      </c>
      <c r="L563" s="72" t="str">
        <f>IFERROR(__xludf.DUMMYFUNCTION("""COMPUTED_VALUE"""),"DRM/EGT: REPLACED NEW CLUTCH DISC ASSY")</f>
        <v>DRM/EGT: REPLACED NEW CLUTCH DISC ASSY</v>
      </c>
      <c r="M563" s="2"/>
      <c r="N563" s="2" t="str">
        <f>IFERROR(__xludf.DUMMYFUNCTION("""COMPUTED_VALUE"""),"PARTS: CLUTCH DISC ASSY")</f>
        <v>PARTS: CLUTCH DISC ASSY</v>
      </c>
      <c r="O563" s="2">
        <f>IFERROR(__xludf.DUMMYFUNCTION("""COMPUTED_VALUE"""),1317.0)</f>
        <v>1317</v>
      </c>
      <c r="P563" s="2"/>
      <c r="Q563" s="2" t="str">
        <f>IFERROR(__xludf.DUMMYFUNCTION("""COMPUTED_VALUE"""),"Y")</f>
        <v>Y</v>
      </c>
      <c r="R563" s="74">
        <f>IFERROR(__xludf.DUMMYFUNCTION("""COMPUTED_VALUE"""),45591.0)</f>
        <v>45591</v>
      </c>
      <c r="S563" s="2" t="str">
        <f>IFERROR(__xludf.DUMMYFUNCTION("""COMPUTED_VALUE"""),"EGT/DRM")</f>
        <v>EGT/DRM</v>
      </c>
      <c r="T563" s="73">
        <f>IFERROR(__xludf.DUMMYFUNCTION("""COMPUTED_VALUE"""),22000.0)</f>
        <v>22000</v>
      </c>
      <c r="U563" s="73" t="str">
        <f>IFERROR(__xludf.DUMMYFUNCTION("""COMPUTED_VALUE""")," REMITTED ")</f>
        <v>REMITTED</v>
      </c>
      <c r="V563" s="2"/>
      <c r="W563" s="2">
        <f>IFERROR(__xludf.DUMMYFUNCTION("""COMPUTED_VALUE"""),1321.0)</f>
        <v>1321</v>
      </c>
      <c r="X563" s="2">
        <f>IFERROR(__xludf.DUMMYFUNCTION("""COMPUTED_VALUE"""),1226.0)</f>
        <v>1226</v>
      </c>
      <c r="Y563" s="2" t="str">
        <f>IFERROR(__xludf.DUMMYFUNCTION("""COMPUTED_VALUE"""),"PRINTED/ SAVE TO FOLDER (SOFT COPY)")</f>
        <v>PRINTED/ SAVE TO FOLDER (SOFT COPY)</v>
      </c>
      <c r="Z563" s="2"/>
      <c r="AA563" s="2"/>
      <c r="AB563" s="2"/>
      <c r="AC563" s="2"/>
      <c r="AD563" s="2"/>
      <c r="AE563" s="2"/>
      <c r="AF563" s="2"/>
      <c r="AG563" s="2"/>
      <c r="AH563" s="2"/>
      <c r="AI563" s="2"/>
      <c r="AJ563" s="2" t="str">
        <f>IFERROR(__xludf.DUMMYFUNCTION("""COMPUTED_VALUE"""),"Inabasan")</f>
        <v>Inabasan</v>
      </c>
      <c r="AK563" s="2" t="str">
        <f>IFERROR(__xludf.DUMMYFUNCTION("""COMPUTED_VALUE"""),"San Jose")</f>
        <v>San Jose</v>
      </c>
      <c r="AL563" s="2" t="str">
        <f>IFERROR(__xludf.DUMMYFUNCTION("""COMPUTED_VALUE"""),"Antique")</f>
        <v>Antique</v>
      </c>
      <c r="AM563" s="2">
        <f>IFERROR(__xludf.DUMMYFUNCTION("""COMPUTED_VALUE"""),6.0)</f>
        <v>6</v>
      </c>
      <c r="AN563" s="2" t="str">
        <f>IFERROR(__xludf.DUMMYFUNCTION("""COMPUTED_VALUE"""),"RCEF 23-09-21 Rebidding")</f>
        <v>RCEF 23-09-21 Rebidding</v>
      </c>
      <c r="AO563" s="2">
        <f>IFERROR(__xludf.DUMMYFUNCTION("""COMPUTED_VALUE"""),4.0)</f>
        <v>4</v>
      </c>
      <c r="AP563" s="2"/>
      <c r="AQ563" s="2"/>
      <c r="AR563" s="2"/>
      <c r="AS563" s="2"/>
      <c r="AT563" s="2"/>
      <c r="AU563" s="2"/>
      <c r="AV563" s="2"/>
      <c r="AW563" s="2"/>
      <c r="AX563" s="2"/>
      <c r="AY563" s="2"/>
      <c r="AZ563" s="2"/>
      <c r="BA563" s="2"/>
      <c r="BB563" s="2"/>
    </row>
    <row r="564">
      <c r="A564" s="2">
        <f>IFERROR(__xludf.DUMMYFUNCTION("""COMPUTED_VALUE"""),560.0)</f>
        <v>560</v>
      </c>
      <c r="B564" s="2" t="str">
        <f>IFERROR(__xludf.DUMMYFUNCTION("""COMPUTED_VALUE"""),"COMPLETED")</f>
        <v>COMPLETED</v>
      </c>
      <c r="C564" s="74">
        <f>IFERROR(__xludf.DUMMYFUNCTION("""COMPUTED_VALUE"""),45574.0)</f>
        <v>45574</v>
      </c>
      <c r="D564" s="71" t="str">
        <f>IFERROR(__xludf.DUMMYFUNCTION("""COMPUTED_VALUE"""),"Intampilan Farmers Association")</f>
        <v>Intampilan Farmers Association</v>
      </c>
      <c r="E564" s="71" t="str">
        <f>IFERROR(__xludf.DUMMYFUNCTION("""COMPUTED_VALUE"""),"Intampilan, Panitan, CAPIZ")</f>
        <v>Intampilan, Panitan, CAPIZ</v>
      </c>
      <c r="F564" s="2"/>
      <c r="G564" s="2"/>
      <c r="H564" s="2"/>
      <c r="I564" s="72" t="str">
        <f>IFERROR(__xludf.DUMMYFUNCTION("""COMPUTED_VALUE"""),"SPARE PARTS ACQUISITION")</f>
        <v>SPARE PARTS ACQUISITION</v>
      </c>
      <c r="J564" s="72" t="str">
        <f>IFERROR(__xludf.DUMMYFUNCTION("""COMPUTED_VALUE"""),"SPARE PARTS ACQUISITION")</f>
        <v>SPARE PARTS ACQUISITION</v>
      </c>
      <c r="K564" s="72" t="str">
        <f>IFERROR(__xludf.DUMMYFUNCTION("""COMPUTED_VALUE"""),"OIL FILTER")</f>
        <v>OIL FILTER</v>
      </c>
      <c r="L564" s="72" t="str">
        <f>IFERROR(__xludf.DUMMYFUNCTION("""COMPUTED_VALUE"""),"DELIVERED")</f>
        <v>DELIVERED</v>
      </c>
      <c r="M564" s="2"/>
      <c r="N564" s="2" t="str">
        <f>IFERROR(__xludf.DUMMYFUNCTION("""COMPUTED_VALUE"""),"PARTS: OIL FILTER")</f>
        <v>PARTS: OIL FILTER</v>
      </c>
      <c r="O564" s="2" t="str">
        <f>IFERROR(__xludf.DUMMYFUNCTION("""COMPUTED_VALUE"""),"N/A")</f>
        <v>N/A</v>
      </c>
      <c r="P564" s="2"/>
      <c r="Q564" s="2"/>
      <c r="R564" s="74">
        <f>IFERROR(__xludf.DUMMYFUNCTION("""COMPUTED_VALUE"""),45594.0)</f>
        <v>45594</v>
      </c>
      <c r="S564" s="2" t="str">
        <f>IFERROR(__xludf.DUMMYFUNCTION("""COMPUTED_VALUE"""),"CFG")</f>
        <v>CFG</v>
      </c>
      <c r="T564" s="73">
        <f>IFERROR(__xludf.DUMMYFUNCTION("""COMPUTED_VALUE"""),1533.0)</f>
        <v>1533</v>
      </c>
      <c r="U564" s="73" t="str">
        <f>IFERROR(__xludf.DUMMYFUNCTION("""COMPUTED_VALUE""")," REMITTED ")</f>
        <v>REMITTED</v>
      </c>
      <c r="V564" s="2"/>
      <c r="W564" s="2"/>
      <c r="X564" s="2">
        <f>IFERROR(__xludf.DUMMYFUNCTION("""COMPUTED_VALUE"""),1206.0)</f>
        <v>1206</v>
      </c>
      <c r="Y564" s="2"/>
      <c r="Z564" s="2"/>
      <c r="AA564" s="2"/>
      <c r="AB564" s="2"/>
      <c r="AC564" s="2"/>
      <c r="AD564" s="2"/>
      <c r="AE564" s="2"/>
      <c r="AF564" s="2"/>
      <c r="AG564" s="2"/>
      <c r="AH564" s="2"/>
      <c r="AI564" s="2"/>
      <c r="AJ564" s="2" t="str">
        <f>IFERROR(__xludf.DUMMYFUNCTION("""COMPUTED_VALUE"""),"Intampilan")</f>
        <v>Intampilan</v>
      </c>
      <c r="AK564" s="2" t="str">
        <f>IFERROR(__xludf.DUMMYFUNCTION("""COMPUTED_VALUE"""),"Panitan")</f>
        <v>Panitan</v>
      </c>
      <c r="AL564" s="2" t="str">
        <f>IFERROR(__xludf.DUMMYFUNCTION("""COMPUTED_VALUE"""),"Capiz")</f>
        <v>Capiz</v>
      </c>
      <c r="AM564" s="2">
        <f>IFERROR(__xludf.DUMMYFUNCTION("""COMPUTED_VALUE"""),6.0)</f>
        <v>6</v>
      </c>
      <c r="AN564" s="2" t="str">
        <f>IFERROR(__xludf.DUMMYFUNCTION("""COMPUTED_VALUE"""),"RCEF 23-09-21 Rebidding")</f>
        <v>RCEF 23-09-21 Rebidding</v>
      </c>
      <c r="AO564" s="2">
        <f>IFERROR(__xludf.DUMMYFUNCTION("""COMPUTED_VALUE"""),4.0)</f>
        <v>4</v>
      </c>
      <c r="AP564" s="2"/>
      <c r="AQ564" s="2"/>
      <c r="AR564" s="2"/>
      <c r="AS564" s="2"/>
      <c r="AT564" s="2"/>
      <c r="AU564" s="2"/>
      <c r="AV564" s="2"/>
      <c r="AW564" s="2"/>
      <c r="AX564" s="2"/>
      <c r="AY564" s="2"/>
      <c r="AZ564" s="2"/>
      <c r="BA564" s="2"/>
      <c r="BB564" s="2"/>
    </row>
    <row r="565">
      <c r="A565" s="2">
        <f>IFERROR(__xludf.DUMMYFUNCTION("""COMPUTED_VALUE"""),561.0)</f>
        <v>561</v>
      </c>
      <c r="B565" s="2" t="str">
        <f>IFERROR(__xludf.DUMMYFUNCTION("""COMPUTED_VALUE"""),"COMPLETED")</f>
        <v>COMPLETED</v>
      </c>
      <c r="C565" s="74">
        <f>IFERROR(__xludf.DUMMYFUNCTION("""COMPUTED_VALUE"""),45575.0)</f>
        <v>45575</v>
      </c>
      <c r="D565" s="71" t="str">
        <f>IFERROR(__xludf.DUMMYFUNCTION("""COMPUTED_VALUE"""),"BANCA-BANCA, SAN FRANCISCO, SAN FELIX, SAN ROQUE IRRIGATORS ASSOCIATION, INC.")</f>
        <v>BANCA-BANCA, SAN FRANCISCO, SAN FELIX, SAN ROQUE IRRIGATORS ASSOCIATION, INC.</v>
      </c>
      <c r="E565" s="71" t="str">
        <f>IFERROR(__xludf.DUMMYFUNCTION("""COMPUTED_VALUE"""),"SAN FRANCISCO, VICTORIA, LAGUNA")</f>
        <v>SAN FRANCISCO, VICTORIA, LAGUNA</v>
      </c>
      <c r="F565" s="2" t="str">
        <f>IFERROR(__xludf.DUMMYFUNCTION("""COMPUTED_VALUE"""),"Francisco Gonzales")</f>
        <v>Francisco Gonzales</v>
      </c>
      <c r="G565" s="2" t="str">
        <f>IFERROR(__xludf.DUMMYFUNCTION("""COMPUTED_VALUE"""),"VICTORIA, LAGUNA")</f>
        <v>VICTORIA, LAGUNA</v>
      </c>
      <c r="H565" s="2"/>
      <c r="I565" s="72" t="str">
        <f>IFERROR(__xludf.DUMMYFUNCTION("""COMPUTED_VALUE"""),"PMS")</f>
        <v>PMS</v>
      </c>
      <c r="J565" s="72" t="str">
        <f>IFERROR(__xludf.DUMMYFUNCTION("""COMPUTED_VALUE"""),"PMS")</f>
        <v>PMS</v>
      </c>
      <c r="K565" s="72" t="str">
        <f>IFERROR(__xludf.DUMMYFUNCTION("""COMPUTED_VALUE"""),"PMS: 2ND PMS")</f>
        <v>PMS: 2ND PMS</v>
      </c>
      <c r="L565" s="72" t="str">
        <f>IFERROR(__xludf.DUMMYFUNCTION("""COMPUTED_VALUE"""),"JTT: DONE 2MD PMS")</f>
        <v>JTT: DONE 2MD PMS</v>
      </c>
      <c r="M565" s="2"/>
      <c r="N565" s="2" t="str">
        <f>IFERROR(__xludf.DUMMYFUNCTION("""COMPUTED_VALUE"""),"PARTS: 
OIL FILTER, 
HYDRAULIC FILTER, 
5L ENGINE OIL, 
40L HYDRAULIC OIL")</f>
        <v>PARTS: 
OIL FILTER, 
HYDRAULIC FILTER, 
5L ENGINE OIL, 
40L HYDRAULIC OIL</v>
      </c>
      <c r="O565" s="2" t="str">
        <f>IFERROR(__xludf.DUMMYFUNCTION("""COMPUTED_VALUE"""),"JIE-958")</f>
        <v>JIE-958</v>
      </c>
      <c r="P565" s="2"/>
      <c r="Q565" s="2"/>
      <c r="R565" s="74">
        <f>IFERROR(__xludf.DUMMYFUNCTION("""COMPUTED_VALUE"""),45579.0)</f>
        <v>45579</v>
      </c>
      <c r="S565" s="2" t="str">
        <f>IFERROR(__xludf.DUMMYFUNCTION("""COMPUTED_VALUE"""),"JTT")</f>
        <v>JTT</v>
      </c>
      <c r="T565" s="73">
        <f>IFERROR(__xludf.DUMMYFUNCTION("""COMPUTED_VALUE"""),17061.0)</f>
        <v>17061</v>
      </c>
      <c r="U565" s="73" t="str">
        <f>IFERROR(__xludf.DUMMYFUNCTION("""COMPUTED_VALUE""")," REMITTED ")</f>
        <v>REMITTED</v>
      </c>
      <c r="V565" s="2"/>
      <c r="W565" s="2"/>
      <c r="X565" s="2">
        <f>IFERROR(__xludf.DUMMYFUNCTION("""COMPUTED_VALUE"""),1164.0)</f>
        <v>1164</v>
      </c>
      <c r="Y565" s="2"/>
      <c r="Z565" s="2"/>
      <c r="AA565" s="2"/>
      <c r="AB565" s="2"/>
      <c r="AC565" s="2"/>
      <c r="AD565" s="2"/>
      <c r="AE565" s="2"/>
      <c r="AF565" s="2"/>
      <c r="AG565" s="2"/>
      <c r="AH565" s="2"/>
      <c r="AI565" s="2"/>
      <c r="AJ565" s="2" t="str">
        <f>IFERROR(__xludf.DUMMYFUNCTION("""COMPUTED_VALUE"""),"San Francisco")</f>
        <v>San Francisco</v>
      </c>
      <c r="AK565" s="2" t="str">
        <f>IFERROR(__xludf.DUMMYFUNCTION("""COMPUTED_VALUE"""),"Victoria")</f>
        <v>Victoria</v>
      </c>
      <c r="AL565" s="2" t="str">
        <f>IFERROR(__xludf.DUMMYFUNCTION("""COMPUTED_VALUE"""),"Laguna")</f>
        <v>Laguna</v>
      </c>
      <c r="AM565" s="2" t="str">
        <f>IFERROR(__xludf.DUMMYFUNCTION("""COMPUTED_VALUE"""),"4A")</f>
        <v>4A</v>
      </c>
      <c r="AN565" s="2" t="str">
        <f>IFERROR(__xludf.DUMMYFUNCTION("""COMPUTED_VALUE"""),"RCEF 23-08-20 Rebidding")</f>
        <v>RCEF 23-08-20 Rebidding</v>
      </c>
      <c r="AO565" s="2">
        <f>IFERROR(__xludf.DUMMYFUNCTION("""COMPUTED_VALUE"""),1.0)</f>
        <v>1</v>
      </c>
      <c r="AP565" s="2"/>
      <c r="AQ565" s="2"/>
      <c r="AR565" s="2"/>
      <c r="AS565" s="2"/>
      <c r="AT565" s="2"/>
      <c r="AU565" s="2"/>
      <c r="AV565" s="2"/>
      <c r="AW565" s="2"/>
      <c r="AX565" s="2"/>
      <c r="AY565" s="2"/>
      <c r="AZ565" s="2"/>
      <c r="BA565" s="2"/>
      <c r="BB565" s="2"/>
    </row>
    <row r="566">
      <c r="A566" s="2">
        <f>IFERROR(__xludf.DUMMYFUNCTION("""COMPUTED_VALUE"""),562.0)</f>
        <v>562</v>
      </c>
      <c r="B566" s="2" t="str">
        <f>IFERROR(__xludf.DUMMYFUNCTION("""COMPUTED_VALUE"""),"COMPLETED")</f>
        <v>COMPLETED</v>
      </c>
      <c r="C566" s="74">
        <f>IFERROR(__xludf.DUMMYFUNCTION("""COMPUTED_VALUE"""),45575.0)</f>
        <v>45575</v>
      </c>
      <c r="D566" s="71" t="str">
        <f>IFERROR(__xludf.DUMMYFUNCTION("""COMPUTED_VALUE"""),"BANCA-BANCA, SAN FRANCISCO, SAN FELIX, SAN ROQUE IRRIGATORS ASSOCIATION, INC.")</f>
        <v>BANCA-BANCA, SAN FRANCISCO, SAN FELIX, SAN ROQUE IRRIGATORS ASSOCIATION, INC.</v>
      </c>
      <c r="E566" s="71" t="str">
        <f>IFERROR(__xludf.DUMMYFUNCTION("""COMPUTED_VALUE"""),"SAN FRANCISCO, VICTORIA, LAGUNA")</f>
        <v>SAN FRANCISCO, VICTORIA, LAGUNA</v>
      </c>
      <c r="F566" s="2" t="str">
        <f>IFERROR(__xludf.DUMMYFUNCTION("""COMPUTED_VALUE"""),"Francisco Gonzales
VICTORIA LAGUNA")</f>
        <v>Francisco Gonzales
VICTORIA LAGUNA</v>
      </c>
      <c r="G566" s="2" t="str">
        <f>IFERROR(__xludf.DUMMYFUNCTION("""COMPUTED_VALUE"""),"VICTORIA, LAGUNA")</f>
        <v>VICTORIA, LAGUNA</v>
      </c>
      <c r="H566" s="2"/>
      <c r="I566" s="72" t="str">
        <f>IFERROR(__xludf.DUMMYFUNCTION("""COMPUTED_VALUE"""),"REPAIR - TRACTOR")</f>
        <v>REPAIR - TRACTOR</v>
      </c>
      <c r="J566" s="72" t="str">
        <f>IFERROR(__xludf.DUMMYFUNCTION("""COMPUTED_VALUE"""),"RADIATOR")</f>
        <v>RADIATOR</v>
      </c>
      <c r="K566" s="72" t="str">
        <f>IFERROR(__xludf.DUMMYFUNCTION("""COMPUTED_VALUE"""),"JTT: RADIATOR PROBLEM")</f>
        <v>JTT: RADIATOR PROBLEM</v>
      </c>
      <c r="L566" s="72" t="str">
        <f>IFERROR(__xludf.DUMMYFUNCTION("""COMPUTED_VALUE"""),"JTT: REPLACED RADIATOR ASSY (REPAIRED)")</f>
        <v>JTT: REPLACED RADIATOR ASSY (REPAIRED)</v>
      </c>
      <c r="M566" s="2"/>
      <c r="N566" s="2" t="str">
        <f>IFERROR(__xludf.DUMMYFUNCTION("""COMPUTED_VALUE"""),"WITH PAYMENT AGREEMENT
PARTS: RADIATOR ASSY (REPAIRED)")</f>
        <v>WITH PAYMENT AGREEMENT
PARTS: RADIATOR ASSY (REPAIRED)</v>
      </c>
      <c r="O566" s="2">
        <f>IFERROR(__xludf.DUMMYFUNCTION("""COMPUTED_VALUE"""),25.0)</f>
        <v>25</v>
      </c>
      <c r="P566" s="2"/>
      <c r="Q566" s="2"/>
      <c r="R566" s="74">
        <f>IFERROR(__xludf.DUMMYFUNCTION("""COMPUTED_VALUE"""),45579.0)</f>
        <v>45579</v>
      </c>
      <c r="S566" s="2" t="str">
        <f>IFERROR(__xludf.DUMMYFUNCTION("""COMPUTED_VALUE"""),"JTT")</f>
        <v>JTT</v>
      </c>
      <c r="T566" s="73">
        <f>IFERROR(__xludf.DUMMYFUNCTION("""COMPUTED_VALUE"""),15000.0)</f>
        <v>15000</v>
      </c>
      <c r="U566" s="73" t="str">
        <f>IFERROR(__xludf.DUMMYFUNCTION("""COMPUTED_VALUE""")," REMITTED ")</f>
        <v>REMITTED</v>
      </c>
      <c r="V566" s="2"/>
      <c r="W566" s="2">
        <f>IFERROR(__xludf.DUMMYFUNCTION("""COMPUTED_VALUE"""),1224.0)</f>
        <v>1224</v>
      </c>
      <c r="X566" s="2">
        <f>IFERROR(__xludf.DUMMYFUNCTION("""COMPUTED_VALUE"""),1304.0)</f>
        <v>1304</v>
      </c>
      <c r="Y566" s="2"/>
      <c r="Z566" s="2"/>
      <c r="AA566" s="2"/>
      <c r="AB566" s="2"/>
      <c r="AC566" s="2"/>
      <c r="AD566" s="2"/>
      <c r="AE566" s="2"/>
      <c r="AF566" s="2"/>
      <c r="AG566" s="2"/>
      <c r="AH566" s="2"/>
      <c r="AI566" s="2"/>
      <c r="AJ566" s="2" t="str">
        <f>IFERROR(__xludf.DUMMYFUNCTION("""COMPUTED_VALUE"""),"San Francisco")</f>
        <v>San Francisco</v>
      </c>
      <c r="AK566" s="2" t="str">
        <f>IFERROR(__xludf.DUMMYFUNCTION("""COMPUTED_VALUE"""),"Victoria")</f>
        <v>Victoria</v>
      </c>
      <c r="AL566" s="2" t="str">
        <f>IFERROR(__xludf.DUMMYFUNCTION("""COMPUTED_VALUE"""),"Laguna")</f>
        <v>Laguna</v>
      </c>
      <c r="AM566" s="2" t="str">
        <f>IFERROR(__xludf.DUMMYFUNCTION("""COMPUTED_VALUE"""),"4A")</f>
        <v>4A</v>
      </c>
      <c r="AN566" s="2" t="str">
        <f>IFERROR(__xludf.DUMMYFUNCTION("""COMPUTED_VALUE"""),"RCEF 23-08-20 Rebidding")</f>
        <v>RCEF 23-08-20 Rebidding</v>
      </c>
      <c r="AO566" s="2">
        <f>IFERROR(__xludf.DUMMYFUNCTION("""COMPUTED_VALUE"""),1.0)</f>
        <v>1</v>
      </c>
      <c r="AP566" s="2"/>
      <c r="AQ566" s="2"/>
      <c r="AR566" s="2"/>
      <c r="AS566" s="2"/>
      <c r="AT566" s="2"/>
      <c r="AU566" s="2"/>
      <c r="AV566" s="2"/>
      <c r="AW566" s="2"/>
      <c r="AX566" s="2"/>
      <c r="AY566" s="2"/>
      <c r="AZ566" s="2"/>
      <c r="BA566" s="2"/>
      <c r="BB566" s="2"/>
    </row>
    <row r="567">
      <c r="A567" s="2">
        <f>IFERROR(__xludf.DUMMYFUNCTION("""COMPUTED_VALUE"""),563.0)</f>
        <v>563</v>
      </c>
      <c r="B567" s="2" t="str">
        <f>IFERROR(__xludf.DUMMYFUNCTION("""COMPUTED_VALUE"""),"COMPLETED")</f>
        <v>COMPLETED</v>
      </c>
      <c r="C567" s="74">
        <f>IFERROR(__xludf.DUMMYFUNCTION("""COMPUTED_VALUE"""),45575.0)</f>
        <v>45575</v>
      </c>
      <c r="D567" s="71" t="str">
        <f>IFERROR(__xludf.DUMMYFUNCTION("""COMPUTED_VALUE"""),"Alpip-Caba-San Irrigators Association Inc.")</f>
        <v>Alpip-Caba-San Irrigators Association Inc.</v>
      </c>
      <c r="E567" s="71" t="str">
        <f>IFERROR(__xludf.DUMMYFUNCTION("""COMPUTED_VALUE"""),"Santo Domingo (Cabicalan), Alfonso Lista (Potia), IFUGAO")</f>
        <v>Santo Domingo (Cabicalan), Alfonso Lista (Potia), IFUGAO</v>
      </c>
      <c r="F567" s="2" t="str">
        <f>IFERROR(__xludf.DUMMYFUNCTION("""COMPUTED_VALUE"""),"BERT P. KAMMAYON")</f>
        <v>BERT P. KAMMAYON</v>
      </c>
      <c r="G567" s="2">
        <f>IFERROR(__xludf.DUMMYFUNCTION("""COMPUTED_VALUE"""),9.456128144E9)</f>
        <v>9456128144</v>
      </c>
      <c r="H567" s="2">
        <f>IFERROR(__xludf.DUMMYFUNCTION("""COMPUTED_VALUE"""),150.0)</f>
        <v>150</v>
      </c>
      <c r="I567" s="72" t="str">
        <f>IFERROR(__xludf.DUMMYFUNCTION("""COMPUTED_VALUE"""),"PMS")</f>
        <v>PMS</v>
      </c>
      <c r="J567" s="72" t="str">
        <f>IFERROR(__xludf.DUMMYFUNCTION("""COMPUTED_VALUE"""),"PMS")</f>
        <v>PMS</v>
      </c>
      <c r="K567" s="72" t="str">
        <f>IFERROR(__xludf.DUMMYFUNCTION("""COMPUTED_VALUE"""),"CFG: 1ST PMS , DAHIL HINDI NAPALITAN NG LANGIS NUNG UNANG 50HRS.")</f>
        <v>CFG: 1ST PMS , DAHIL HINDI NAPALITAN NG LANGIS NUNG UNANG 50HRS.</v>
      </c>
      <c r="L567" s="72" t="str">
        <f>IFERROR(__xludf.DUMMYFUNCTION("""COMPUTED_VALUE"""),"SEND AGREEMENT:FB: BERT KIMMAYONG: AGREEMENT SENT")</f>
        <v>SEND AGREEMENT:FB: BERT KIMMAYONG: AGREEMENT SENT</v>
      </c>
      <c r="M567" s="2"/>
      <c r="N567" s="2"/>
      <c r="O567" s="2" t="str">
        <f>IFERROR(__xludf.DUMMYFUNCTION("""COMPUTED_VALUE"""),"N/A")</f>
        <v>N/A</v>
      </c>
      <c r="P567" s="2"/>
      <c r="Q567" s="2"/>
      <c r="R567" s="74">
        <f>IFERROR(__xludf.DUMMYFUNCTION("""COMPUTED_VALUE"""),45575.0)</f>
        <v>45575</v>
      </c>
      <c r="S567" s="2" t="str">
        <f>IFERROR(__xludf.DUMMYFUNCTION("""COMPUTED_VALUE"""),"MYKEE")</f>
        <v>MYKEE</v>
      </c>
      <c r="T567" s="73" t="str">
        <f>IFERROR(__xludf.DUMMYFUNCTION("""COMPUTED_VALUE""")," N/A ")</f>
        <v>N/A</v>
      </c>
      <c r="U567" s="73" t="str">
        <f>IFERROR(__xludf.DUMMYFUNCTION("""COMPUTED_VALUE""")," NO CHARGE ")</f>
        <v>NO CHARGE</v>
      </c>
      <c r="V567" s="2"/>
      <c r="W567" s="2" t="str">
        <f>IFERROR(__xludf.DUMMYFUNCTION("""COMPUTED_VALUE"""),"N/A")</f>
        <v>N/A</v>
      </c>
      <c r="X567" s="2" t="str">
        <f>IFERROR(__xludf.DUMMYFUNCTION("""COMPUTED_VALUE"""),"N/A")</f>
        <v>N/A</v>
      </c>
      <c r="Y567" s="2"/>
      <c r="Z567" s="2"/>
      <c r="AA567" s="2"/>
      <c r="AB567" s="2"/>
      <c r="AC567" s="2"/>
      <c r="AD567" s="2"/>
      <c r="AE567" s="2"/>
      <c r="AF567" s="2"/>
      <c r="AG567" s="2"/>
      <c r="AH567" s="2"/>
      <c r="AI567" s="2"/>
      <c r="AJ567" s="2" t="str">
        <f>IFERROR(__xludf.DUMMYFUNCTION("""COMPUTED_VALUE"""),"Santo Domingo (Cabicalan)")</f>
        <v>Santo Domingo (Cabicalan)</v>
      </c>
      <c r="AK567" s="2" t="str">
        <f>IFERROR(__xludf.DUMMYFUNCTION("""COMPUTED_VALUE"""),"Alfonso Lista (Potia)")</f>
        <v>Alfonso Lista (Potia)</v>
      </c>
      <c r="AL567" s="2" t="str">
        <f>IFERROR(__xludf.DUMMYFUNCTION("""COMPUTED_VALUE"""),"Ifugao")</f>
        <v>Ifugao</v>
      </c>
      <c r="AM567" s="2" t="str">
        <f>IFERROR(__xludf.DUMMYFUNCTION("""COMPUTED_VALUE"""),"CAR")</f>
        <v>CAR</v>
      </c>
      <c r="AN567" s="2" t="str">
        <f>IFERROR(__xludf.DUMMYFUNCTION("""COMPUTED_VALUE"""),"RCEF 23-09-21 Rebidding")</f>
        <v>RCEF 23-09-21 Rebidding</v>
      </c>
      <c r="AO567" s="2">
        <f>IFERROR(__xludf.DUMMYFUNCTION("""COMPUTED_VALUE"""),1.0)</f>
        <v>1</v>
      </c>
      <c r="AP567" s="2"/>
      <c r="AQ567" s="2"/>
      <c r="AR567" s="2"/>
      <c r="AS567" s="2"/>
      <c r="AT567" s="2"/>
      <c r="AU567" s="2"/>
      <c r="AV567" s="2"/>
      <c r="AW567" s="2"/>
      <c r="AX567" s="2"/>
      <c r="AY567" s="2"/>
      <c r="AZ567" s="2"/>
      <c r="BA567" s="2"/>
      <c r="BB567" s="2"/>
    </row>
    <row r="568">
      <c r="A568" s="2">
        <f>IFERROR(__xludf.DUMMYFUNCTION("""COMPUTED_VALUE"""),564.0)</f>
        <v>564</v>
      </c>
      <c r="B568" s="2" t="str">
        <f>IFERROR(__xludf.DUMMYFUNCTION("""COMPUTED_VALUE"""),"COMPLETED")</f>
        <v>COMPLETED</v>
      </c>
      <c r="C568" s="74">
        <f>IFERROR(__xludf.DUMMYFUNCTION("""COMPUTED_VALUE"""),45575.0)</f>
        <v>45575</v>
      </c>
      <c r="D568" s="71"/>
      <c r="E568" s="71" t="str">
        <f>IFERROR(__xludf.DUMMYFUNCTION("""COMPUTED_VALUE""")," ")</f>
        <v> </v>
      </c>
      <c r="F568" s="2" t="str">
        <f>IFERROR(__xludf.DUMMYFUNCTION("""COMPUTED_VALUE"""),"NESTOR D. DEPITA")</f>
        <v>NESTOR D. DEPITA</v>
      </c>
      <c r="G568" s="2">
        <f>IFERROR(__xludf.DUMMYFUNCTION("""COMPUTED_VALUE"""),9.363381102E9)</f>
        <v>9363381102</v>
      </c>
      <c r="H568" s="2">
        <f>IFERROR(__xludf.DUMMYFUNCTION("""COMPUTED_VALUE"""),92.0)</f>
        <v>92</v>
      </c>
      <c r="I568" s="72" t="str">
        <f>IFERROR(__xludf.DUMMYFUNCTION("""COMPUTED_VALUE"""),"PMS")</f>
        <v>PMS</v>
      </c>
      <c r="J568" s="72" t="str">
        <f>IFERROR(__xludf.DUMMYFUNCTION("""COMPUTED_VALUE"""),"PMS")</f>
        <v>PMS</v>
      </c>
      <c r="K568" s="72" t="str">
        <f>IFERROR(__xludf.DUMMYFUNCTION("""COMPUTED_VALUE"""),"PMS: FIRST PMS: SELF PMS")</f>
        <v>PMS: FIRST PMS: SELF PMS</v>
      </c>
      <c r="L568" s="72" t="str">
        <f>IFERROR(__xludf.DUMMYFUNCTION("""COMPUTED_VALUE"""),"SEND AGREEMENT: FB: NESTOR DEPITA")</f>
        <v>SEND AGREEMENT: FB: NESTOR DEPITA</v>
      </c>
      <c r="M568" s="2"/>
      <c r="N568" s="2"/>
      <c r="O568" s="2" t="str">
        <f>IFERROR(__xludf.DUMMYFUNCTION("""COMPUTED_VALUE"""),"N/A")</f>
        <v>N/A</v>
      </c>
      <c r="P568" s="2"/>
      <c r="Q568" s="2"/>
      <c r="R568" s="74">
        <f>IFERROR(__xludf.DUMMYFUNCTION("""COMPUTED_VALUE"""),45575.0)</f>
        <v>45575</v>
      </c>
      <c r="S568" s="2" t="str">
        <f>IFERROR(__xludf.DUMMYFUNCTION("""COMPUTED_VALUE"""),"MYKEE")</f>
        <v>MYKEE</v>
      </c>
      <c r="T568" s="73" t="str">
        <f>IFERROR(__xludf.DUMMYFUNCTION("""COMPUTED_VALUE""")," N/A ")</f>
        <v>N/A</v>
      </c>
      <c r="U568" s="73" t="str">
        <f>IFERROR(__xludf.DUMMYFUNCTION("""COMPUTED_VALUE""")," NO CHARGE ")</f>
        <v>NO CHARGE</v>
      </c>
      <c r="V568" s="2"/>
      <c r="W568" s="2" t="str">
        <f>IFERROR(__xludf.DUMMYFUNCTION("""COMPUTED_VALUE"""),"N/A")</f>
        <v>N/A</v>
      </c>
      <c r="X568" s="2" t="str">
        <f>IFERROR(__xludf.DUMMYFUNCTION("""COMPUTED_VALUE"""),"N/A")</f>
        <v>N/A</v>
      </c>
      <c r="Y568" s="2"/>
      <c r="Z568" s="2"/>
      <c r="AA568" s="2"/>
      <c r="AB568" s="2"/>
      <c r="AC568" s="2"/>
      <c r="AD568" s="2"/>
      <c r="AE568" s="2"/>
      <c r="AF568" s="2"/>
      <c r="AG568" s="2"/>
      <c r="AH568" s="2"/>
      <c r="AI568" s="2"/>
      <c r="AJ568" s="2" t="str">
        <f>IFERROR(__xludf.DUMMYFUNCTION("""COMPUTED_VALUE"""),"")</f>
        <v/>
      </c>
      <c r="AK568" s="2" t="str">
        <f>IFERROR(__xludf.DUMMYFUNCTION("""COMPUTED_VALUE"""),"")</f>
        <v/>
      </c>
      <c r="AL568" s="2" t="str">
        <f>IFERROR(__xludf.DUMMYFUNCTION("""COMPUTED_VALUE"""),"")</f>
        <v/>
      </c>
      <c r="AM568" s="2" t="str">
        <f>IFERROR(__xludf.DUMMYFUNCTION("""COMPUTED_VALUE"""),"")</f>
        <v/>
      </c>
      <c r="AN568" s="2" t="str">
        <f>IFERROR(__xludf.DUMMYFUNCTION("""COMPUTED_VALUE""")," ")</f>
        <v> </v>
      </c>
      <c r="AO568" s="2" t="str">
        <f>IFERROR(__xludf.DUMMYFUNCTION("""COMPUTED_VALUE""")," ")</f>
        <v> </v>
      </c>
      <c r="AP568" s="2" t="str">
        <f>IFERROR(__xludf.DUMMYFUNCTION("""COMPUTED_VALUE"""),"")</f>
        <v/>
      </c>
      <c r="AQ568" s="2"/>
      <c r="AR568" s="2"/>
      <c r="AS568" s="2"/>
      <c r="AT568" s="2"/>
      <c r="AU568" s="2"/>
      <c r="AV568" s="2"/>
      <c r="AW568" s="2"/>
      <c r="AX568" s="2"/>
      <c r="AY568" s="2"/>
      <c r="AZ568" s="2"/>
      <c r="BA568" s="2"/>
      <c r="BB568" s="2"/>
    </row>
    <row r="569">
      <c r="A569" s="2">
        <f>IFERROR(__xludf.DUMMYFUNCTION("""COMPUTED_VALUE"""),565.0)</f>
        <v>565</v>
      </c>
      <c r="B569" s="2" t="str">
        <f>IFERROR(__xludf.DUMMYFUNCTION("""COMPUTED_VALUE"""),"COMPLETED")</f>
        <v>COMPLETED</v>
      </c>
      <c r="C569" s="74">
        <f>IFERROR(__xludf.DUMMYFUNCTION("""COMPUTED_VALUE"""),45576.0)</f>
        <v>45576</v>
      </c>
      <c r="D569" s="71" t="str">
        <f>IFERROR(__xludf.DUMMYFUNCTION("""COMPUTED_VALUE"""),"MAMBOG TAAL LOOK IRRIGATORS ASSOCIATION INC.")</f>
        <v>MAMBOG TAAL LOOK IRRIGATORS ASSOCIATION INC.</v>
      </c>
      <c r="E569" s="71" t="str">
        <f>IFERROR(__xludf.DUMMYFUNCTION("""COMPUTED_VALUE"""),"Mambog, Malolos City, BULACAN")</f>
        <v>Mambog, Malolos City, BULACAN</v>
      </c>
      <c r="F569" s="2" t="str">
        <f>IFERROR(__xludf.DUMMYFUNCTION("""COMPUTED_VALUE"""),"RAMIRO DELA CRUZ")</f>
        <v>RAMIRO DELA CRUZ</v>
      </c>
      <c r="G569" s="2">
        <f>IFERROR(__xludf.DUMMYFUNCTION("""COMPUTED_VALUE"""),9.3507699919E10)</f>
        <v>93507699919</v>
      </c>
      <c r="H569" s="2">
        <f>IFERROR(__xludf.DUMMYFUNCTION("""COMPUTED_VALUE"""),227.0)</f>
        <v>227</v>
      </c>
      <c r="I569" s="72" t="str">
        <f>IFERROR(__xludf.DUMMYFUNCTION("""COMPUTED_VALUE"""),"PMS")</f>
        <v>PMS</v>
      </c>
      <c r="J569" s="72" t="str">
        <f>IFERROR(__xludf.DUMMYFUNCTION("""COMPUTED_VALUE"""),"PMS")</f>
        <v>PMS</v>
      </c>
      <c r="K569" s="72" t="str">
        <f>IFERROR(__xludf.DUMMYFUNCTION("""COMPUTED_VALUE"""),"JDP: FIRST PMS")</f>
        <v>JDP: FIRST PMS</v>
      </c>
      <c r="L569" s="72" t="str">
        <f>IFERROR(__xludf.DUMMYFUNCTION("""COMPUTED_VALUE"""),"JDP: 1ST PMS DONE")</f>
        <v>JDP: 1ST PMS DONE</v>
      </c>
      <c r="M569" s="2"/>
      <c r="N569" s="2" t="str">
        <f>IFERROR(__xludf.DUMMYFUNCTION("""COMPUTED_VALUE"""),"PARTS: 
OIL FILTER (OUTSOURCE), 
5L ENGINE OIL")</f>
        <v>PARTS: 
OIL FILTER (OUTSOURCE), 
5L ENGINE OIL</v>
      </c>
      <c r="O569" s="2">
        <f>IFERROR(__xludf.DUMMYFUNCTION("""COMPUTED_VALUE"""),1353.0)</f>
        <v>1353</v>
      </c>
      <c r="P569" s="2"/>
      <c r="Q569" s="2" t="str">
        <f>IFERROR(__xludf.DUMMYFUNCTION("""COMPUTED_VALUE"""),"Y")</f>
        <v>Y</v>
      </c>
      <c r="R569" s="74">
        <f>IFERROR(__xludf.DUMMYFUNCTION("""COMPUTED_VALUE"""),45576.0)</f>
        <v>45576</v>
      </c>
      <c r="S569" s="2" t="str">
        <f>IFERROR(__xludf.DUMMYFUNCTION("""COMPUTED_VALUE"""),"JDP/DSD")</f>
        <v>JDP/DSD</v>
      </c>
      <c r="T569" s="73">
        <f>IFERROR(__xludf.DUMMYFUNCTION("""COMPUTED_VALUE"""),2560.0)</f>
        <v>2560</v>
      </c>
      <c r="U569" s="73" t="str">
        <f>IFERROR(__xludf.DUMMYFUNCTION("""COMPUTED_VALUE""")," REMITTED ")</f>
        <v>REMITTED</v>
      </c>
      <c r="V569" s="2"/>
      <c r="W569" s="2">
        <f>IFERROR(__xludf.DUMMYFUNCTION("""COMPUTED_VALUE"""),1451.0)</f>
        <v>1451</v>
      </c>
      <c r="X569" s="2">
        <f>IFERROR(__xludf.DUMMYFUNCTION("""COMPUTED_VALUE"""),1175.0)</f>
        <v>1175</v>
      </c>
      <c r="Y569" s="2"/>
      <c r="Z569" s="2"/>
      <c r="AA569" s="2"/>
      <c r="AB569" s="2"/>
      <c r="AC569" s="2"/>
      <c r="AD569" s="2"/>
      <c r="AE569" s="2"/>
      <c r="AF569" s="2"/>
      <c r="AG569" s="2"/>
      <c r="AH569" s="2"/>
      <c r="AI569" s="2"/>
      <c r="AJ569" s="2" t="str">
        <f>IFERROR(__xludf.DUMMYFUNCTION("""COMPUTED_VALUE"""),"Mambog")</f>
        <v>Mambog</v>
      </c>
      <c r="AK569" s="2" t="str">
        <f>IFERROR(__xludf.DUMMYFUNCTION("""COMPUTED_VALUE"""),"Malolos City")</f>
        <v>Malolos City</v>
      </c>
      <c r="AL569" s="2" t="str">
        <f>IFERROR(__xludf.DUMMYFUNCTION("""COMPUTED_VALUE"""),"Bulacan")</f>
        <v>Bulacan</v>
      </c>
      <c r="AM569" s="2">
        <f>IFERROR(__xludf.DUMMYFUNCTION("""COMPUTED_VALUE"""),3.0)</f>
        <v>3</v>
      </c>
      <c r="AN569" s="2" t="str">
        <f>IFERROR(__xludf.DUMMYFUNCTION("""COMPUTED_VALUE"""),"RCEF 23-09-21 Rebidding")</f>
        <v>RCEF 23-09-21 Rebidding</v>
      </c>
      <c r="AO569" s="2">
        <f>IFERROR(__xludf.DUMMYFUNCTION("""COMPUTED_VALUE"""),3.0)</f>
        <v>3</v>
      </c>
      <c r="AP569" s="2"/>
      <c r="AQ569" s="2"/>
      <c r="AR569" s="2"/>
      <c r="AS569" s="2"/>
      <c r="AT569" s="2"/>
      <c r="AU569" s="2"/>
      <c r="AV569" s="2"/>
      <c r="AW569" s="2"/>
      <c r="AX569" s="2"/>
      <c r="AY569" s="2"/>
      <c r="AZ569" s="2"/>
      <c r="BA569" s="2"/>
      <c r="BB569" s="2"/>
    </row>
    <row r="570">
      <c r="A570" s="2">
        <f>IFERROR(__xludf.DUMMYFUNCTION("""COMPUTED_VALUE"""),566.0)</f>
        <v>566</v>
      </c>
      <c r="B570" s="2" t="str">
        <f>IFERROR(__xludf.DUMMYFUNCTION("""COMPUTED_VALUE"""),"COMPLETED")</f>
        <v>COMPLETED</v>
      </c>
      <c r="C570" s="74">
        <f>IFERROR(__xludf.DUMMYFUNCTION("""COMPUTED_VALUE"""),45576.0)</f>
        <v>45576</v>
      </c>
      <c r="D570" s="71" t="str">
        <f>IFERROR(__xludf.DUMMYFUNCTION("""COMPUTED_VALUE"""),"LCCC-Lagasit Irrigators Association")</f>
        <v>LCCC-Lagasit Irrigators Association</v>
      </c>
      <c r="E570" s="71" t="str">
        <f>IFERROR(__xludf.DUMMYFUNCTION("""COMPUTED_VALUE"""),"Lagasit, San Quintin, PANGASINAN")</f>
        <v>Lagasit, San Quintin, PANGASINAN</v>
      </c>
      <c r="F570" s="2" t="str">
        <f>IFERROR(__xludf.DUMMYFUNCTION("""COMPUTED_VALUE"""),"BENITO H. OBRA")</f>
        <v>BENITO H. OBRA</v>
      </c>
      <c r="G570" s="2">
        <f>IFERROR(__xludf.DUMMYFUNCTION("""COMPUTED_VALUE"""),9.307994454E9)</f>
        <v>9307994454</v>
      </c>
      <c r="H570" s="2">
        <f>IFERROR(__xludf.DUMMYFUNCTION("""COMPUTED_VALUE"""),360.0)</f>
        <v>360</v>
      </c>
      <c r="I570" s="72" t="str">
        <f>IFERROR(__xludf.DUMMYFUNCTION("""COMPUTED_VALUE"""),"PMS")</f>
        <v>PMS</v>
      </c>
      <c r="J570" s="72" t="str">
        <f>IFERROR(__xludf.DUMMYFUNCTION("""COMPUTED_VALUE"""),"PMS")</f>
        <v>PMS</v>
      </c>
      <c r="K570" s="72" t="str">
        <f>IFERROR(__xludf.DUMMYFUNCTION("""COMPUTED_VALUE"""),"KFS: 2ND PMS (LANGIS AT FILTER ATIN)")</f>
        <v>KFS: 2ND PMS (LANGIS AT FILTER ATIN)</v>
      </c>
      <c r="L570" s="72" t="str">
        <f>IFERROR(__xludf.DUMMYFUNCTION("""COMPUTED_VALUE"""),"JDP: 2ND PMS DONE")</f>
        <v>JDP: 2ND PMS DONE</v>
      </c>
      <c r="M570" s="2"/>
      <c r="N570" s="2" t="str">
        <f>IFERROR(__xludf.DUMMYFUNCTION("""COMPUTED_VALUE"""),"PARTS: 
ENGINE OIL FILTER, 
HYDRAULIC FILTER, 
40L HYDRAULIC OIL , 
5L ENGINE OIL")</f>
        <v>PARTS: 
ENGINE OIL FILTER, 
HYDRAULIC FILTER, 
40L HYDRAULIC OIL , 
5L ENGINE OIL</v>
      </c>
      <c r="O570" s="2">
        <f>IFERROR(__xludf.DUMMYFUNCTION("""COMPUTED_VALUE"""),1354.0)</f>
        <v>1354</v>
      </c>
      <c r="P570" s="2"/>
      <c r="Q570" s="2" t="str">
        <f>IFERROR(__xludf.DUMMYFUNCTION("""COMPUTED_VALUE"""),"Y")</f>
        <v>Y</v>
      </c>
      <c r="R570" s="74">
        <f>IFERROR(__xludf.DUMMYFUNCTION("""COMPUTED_VALUE"""),45581.0)</f>
        <v>45581</v>
      </c>
      <c r="S570" s="2" t="str">
        <f>IFERROR(__xludf.DUMMYFUNCTION("""COMPUTED_VALUE"""),"JDP/DSD")</f>
        <v>JDP/DSD</v>
      </c>
      <c r="T570" s="73">
        <f>IFERROR(__xludf.DUMMYFUNCTION("""COMPUTED_VALUE"""),17061.0)</f>
        <v>17061</v>
      </c>
      <c r="U570" s="73" t="str">
        <f>IFERROR(__xludf.DUMMYFUNCTION("""COMPUTED_VALUE""")," REMITTED ")</f>
        <v>REMITTED</v>
      </c>
      <c r="V570" s="2"/>
      <c r="W570" s="2">
        <f>IFERROR(__xludf.DUMMYFUNCTION("""COMPUTED_VALUE"""),1452.0)</f>
        <v>1452</v>
      </c>
      <c r="X570" s="2">
        <f>IFERROR(__xludf.DUMMYFUNCTION("""COMPUTED_VALUE"""),1176.0)</f>
        <v>1176</v>
      </c>
      <c r="Y570" s="2" t="str">
        <f>IFERROR(__xludf.DUMMYFUNCTION("""COMPUTED_VALUE"""),"PRINTED/ SAVE TO FOLDER (SOFT COPY)")</f>
        <v>PRINTED/ SAVE TO FOLDER (SOFT COPY)</v>
      </c>
      <c r="Z570" s="2"/>
      <c r="AA570" s="2"/>
      <c r="AB570" s="2"/>
      <c r="AC570" s="2"/>
      <c r="AD570" s="2"/>
      <c r="AE570" s="2"/>
      <c r="AF570" s="2"/>
      <c r="AG570" s="2"/>
      <c r="AH570" s="2"/>
      <c r="AI570" s="2"/>
      <c r="AJ570" s="2" t="str">
        <f>IFERROR(__xludf.DUMMYFUNCTION("""COMPUTED_VALUE"""),"Lagasit")</f>
        <v>Lagasit</v>
      </c>
      <c r="AK570" s="2" t="str">
        <f>IFERROR(__xludf.DUMMYFUNCTION("""COMPUTED_VALUE"""),"San Quintin")</f>
        <v>San Quintin</v>
      </c>
      <c r="AL570" s="2" t="str">
        <f>IFERROR(__xludf.DUMMYFUNCTION("""COMPUTED_VALUE"""),"Pangasinan")</f>
        <v>Pangasinan</v>
      </c>
      <c r="AM570" s="2">
        <f>IFERROR(__xludf.DUMMYFUNCTION("""COMPUTED_VALUE"""),1.0)</f>
        <v>1</v>
      </c>
      <c r="AN570" s="2" t="str">
        <f>IFERROR(__xludf.DUMMYFUNCTION("""COMPUTED_VALUE"""),"RCEF 23-09-21 Rebidding")</f>
        <v>RCEF 23-09-21 Rebidding</v>
      </c>
      <c r="AO570" s="2">
        <f>IFERROR(__xludf.DUMMYFUNCTION("""COMPUTED_VALUE"""),2.0)</f>
        <v>2</v>
      </c>
      <c r="AP570" s="2"/>
      <c r="AQ570" s="2"/>
      <c r="AR570" s="2"/>
      <c r="AS570" s="2"/>
      <c r="AT570" s="2"/>
      <c r="AU570" s="2"/>
      <c r="AV570" s="2"/>
      <c r="AW570" s="2"/>
      <c r="AX570" s="2"/>
      <c r="AY570" s="2"/>
      <c r="AZ570" s="2"/>
      <c r="BA570" s="2"/>
      <c r="BB570" s="2"/>
    </row>
    <row r="571">
      <c r="A571" s="2">
        <f>IFERROR(__xludf.DUMMYFUNCTION("""COMPUTED_VALUE"""),567.0)</f>
        <v>567</v>
      </c>
      <c r="B571" s="2" t="str">
        <f>IFERROR(__xludf.DUMMYFUNCTION("""COMPUTED_VALUE"""),"COMPLETED")</f>
        <v>COMPLETED</v>
      </c>
      <c r="C571" s="74">
        <f>IFERROR(__xludf.DUMMYFUNCTION("""COMPUTED_VALUE"""),45579.0)</f>
        <v>45579</v>
      </c>
      <c r="D571" s="71" t="str">
        <f>IFERROR(__xludf.DUMMYFUNCTION("""COMPUTED_VALUE"""),"MAGSASAKA NG BAGONG HENERASYON NG BARANGAY SIMMINUBLAN (MBHBS)")</f>
        <v>MAGSASAKA NG BAGONG HENERASYON NG BARANGAY SIMMINUBLAN (MBHBS)</v>
      </c>
      <c r="E571" s="71" t="str">
        <f>IFERROR(__xludf.DUMMYFUNCTION("""COMPUTED_VALUE"""),"Siminublan, San Narciso, ZAMBALES")</f>
        <v>Siminublan, San Narciso, ZAMBALES</v>
      </c>
      <c r="F571" s="2"/>
      <c r="G571" s="2">
        <f>IFERROR(__xludf.DUMMYFUNCTION("""COMPUTED_VALUE"""),9.100724561E9)</f>
        <v>9100724561</v>
      </c>
      <c r="H571" s="2">
        <f>IFERROR(__xludf.DUMMYFUNCTION("""COMPUTED_VALUE"""),196.0)</f>
        <v>196</v>
      </c>
      <c r="I571" s="72" t="str">
        <f>IFERROR(__xludf.DUMMYFUNCTION("""COMPUTED_VALUE"""),"REPAIR - TRACTOR")</f>
        <v>REPAIR - TRACTOR</v>
      </c>
      <c r="J571" s="72" t="str">
        <f>IFERROR(__xludf.DUMMYFUNCTION("""COMPUTED_VALUE"""),"PTO - Valve Repair")</f>
        <v>PTO - Valve Repair</v>
      </c>
      <c r="K571" s="72" t="str">
        <f>IFERROR(__xludf.DUMMYFUNCTION("""COMPUTED_VALUE"""),"EGT: BILANG HINIHINTO ANG ROTAVATORHABANG NAG OOPERATE")</f>
        <v>EGT: BILANG HINIHINTO ANG ROTAVATORHABANG NAG OOPERATE</v>
      </c>
      <c r="L571" s="72" t="str">
        <f>IFERROR(__xludf.DUMMYFUNCTION("""COMPUTED_VALUE"""),"ACS: Adjustment control valve of Rotavator")</f>
        <v>ACS: Adjustment control valve of Rotavator</v>
      </c>
      <c r="M571" s="2"/>
      <c r="N571" s="2"/>
      <c r="O571" s="2">
        <f>IFERROR(__xludf.DUMMYFUNCTION("""COMPUTED_VALUE"""),585.0)</f>
        <v>585</v>
      </c>
      <c r="P571" s="2"/>
      <c r="Q571" s="2"/>
      <c r="R571" s="74">
        <f>IFERROR(__xludf.DUMMYFUNCTION("""COMPUTED_VALUE"""),45588.0)</f>
        <v>45588</v>
      </c>
      <c r="S571" s="2" t="str">
        <f>IFERROR(__xludf.DUMMYFUNCTION("""COMPUTED_VALUE"""),"ACS/JHP")</f>
        <v>ACS/JHP</v>
      </c>
      <c r="T571" s="73" t="str">
        <f>IFERROR(__xludf.DUMMYFUNCTION("""COMPUTED_VALUE""")," N/A ")</f>
        <v>N/A</v>
      </c>
      <c r="U571" s="73" t="str">
        <f>IFERROR(__xludf.DUMMYFUNCTION("""COMPUTED_VALUE""")," NO CHARGE ")</f>
        <v>NO CHARGE</v>
      </c>
      <c r="V571" s="2"/>
      <c r="W571" s="2" t="str">
        <f>IFERROR(__xludf.DUMMYFUNCTION("""COMPUTED_VALUE"""),"N/A")</f>
        <v>N/A</v>
      </c>
      <c r="X571" s="2" t="str">
        <f>IFERROR(__xludf.DUMMYFUNCTION("""COMPUTED_VALUE"""),"N/A")</f>
        <v>N/A</v>
      </c>
      <c r="Y571" s="2"/>
      <c r="Z571" s="2"/>
      <c r="AA571" s="2"/>
      <c r="AB571" s="2"/>
      <c r="AC571" s="2"/>
      <c r="AD571" s="2"/>
      <c r="AE571" s="2"/>
      <c r="AF571" s="2"/>
      <c r="AG571" s="2"/>
      <c r="AH571" s="2"/>
      <c r="AI571" s="2"/>
      <c r="AJ571" s="2" t="str">
        <f>IFERROR(__xludf.DUMMYFUNCTION("""COMPUTED_VALUE"""),"Siminublan")</f>
        <v>Siminublan</v>
      </c>
      <c r="AK571" s="2" t="str">
        <f>IFERROR(__xludf.DUMMYFUNCTION("""COMPUTED_VALUE"""),"San Narciso")</f>
        <v>San Narciso</v>
      </c>
      <c r="AL571" s="2" t="str">
        <f>IFERROR(__xludf.DUMMYFUNCTION("""COMPUTED_VALUE"""),"Zambales")</f>
        <v>Zambales</v>
      </c>
      <c r="AM571" s="2">
        <f>IFERROR(__xludf.DUMMYFUNCTION("""COMPUTED_VALUE"""),3.0)</f>
        <v>3</v>
      </c>
      <c r="AN571" s="2" t="str">
        <f>IFERROR(__xludf.DUMMYFUNCTION("""COMPUTED_VALUE"""),"RCEF 23-09-21 Rebidding")</f>
        <v>RCEF 23-09-21 Rebidding</v>
      </c>
      <c r="AO571" s="2">
        <f>IFERROR(__xludf.DUMMYFUNCTION("""COMPUTED_VALUE"""),9.0)</f>
        <v>9</v>
      </c>
      <c r="AP571" s="2"/>
      <c r="AQ571" s="2"/>
      <c r="AR571" s="2"/>
      <c r="AS571" s="2"/>
      <c r="AT571" s="2"/>
      <c r="AU571" s="2"/>
      <c r="AV571" s="2"/>
      <c r="AW571" s="2"/>
      <c r="AX571" s="2"/>
      <c r="AY571" s="2"/>
      <c r="AZ571" s="2"/>
      <c r="BA571" s="2"/>
      <c r="BB571" s="2"/>
    </row>
    <row r="572">
      <c r="A572" s="2">
        <f>IFERROR(__xludf.DUMMYFUNCTION("""COMPUTED_VALUE"""),568.0)</f>
        <v>568</v>
      </c>
      <c r="B572" s="2" t="str">
        <f>IFERROR(__xludf.DUMMYFUNCTION("""COMPUTED_VALUE"""),"COMPLETED")</f>
        <v>COMPLETED</v>
      </c>
      <c r="C572" s="74">
        <f>IFERROR(__xludf.DUMMYFUNCTION("""COMPUTED_VALUE"""),45579.0)</f>
        <v>45579</v>
      </c>
      <c r="D572" s="71" t="str">
        <f>IFERROR(__xludf.DUMMYFUNCTION("""COMPUTED_VALUE"""),"Alfonso Lista Rice Cluster Farmers Federation Incorporated")</f>
        <v>Alfonso Lista Rice Cluster Farmers Federation Incorporated</v>
      </c>
      <c r="E572" s="71" t="str">
        <f>IFERROR(__xludf.DUMMYFUNCTION("""COMPUTED_VALUE"""),"Santa Maria, Alfonso Lista (Potia), IFUGAO")</f>
        <v>Santa Maria, Alfonso Lista (Potia), IFUGAO</v>
      </c>
      <c r="F572" s="2" t="str">
        <f>IFERROR(__xludf.DUMMYFUNCTION("""COMPUTED_VALUE"""),"Jeffrey S. Gaspar")</f>
        <v>Jeffrey S. Gaspar</v>
      </c>
      <c r="G572" s="2" t="str">
        <f>IFERROR(__xludf.DUMMYFUNCTION("""COMPUTED_VALUE"""),"0975-895-0983")</f>
        <v>0975-895-0983</v>
      </c>
      <c r="H572" s="2"/>
      <c r="I572" s="72" t="str">
        <f>IFERROR(__xludf.DUMMYFUNCTION("""COMPUTED_VALUE"""),"REPAIR - ROTAVATOR")</f>
        <v>REPAIR - ROTAVATOR</v>
      </c>
      <c r="J572" s="72" t="str">
        <f>IFERROR(__xludf.DUMMYFUNCTION("""COMPUTED_VALUE"""),"Gearbox")</f>
        <v>Gearbox</v>
      </c>
      <c r="K572" s="72" t="str">
        <f>IFERROR(__xludf.DUMMYFUNCTION("""COMPUTED_VALUE"""),"BMD: may unusual sound daw po mula sa rotavator particular sa gearbox. (FOR ASSESSMENT)
PARTS: BEVEL GEAR 24T, PINION GEAR 11T, DRIVE SHAFT
JHP: 2/5/25: PARTS: HARD LUCK NUT")</f>
        <v>BMD: may unusual sound daw po mula sa rotavator particular sa gearbox. (FOR ASSESSMENT)
PARTS: BEVEL GEAR 24T, PINION GEAR 11T, DRIVE SHAFT
JHP: 2/5/25: PARTS: HARD LUCK NUT</v>
      </c>
      <c r="L572" s="72" t="str">
        <f>IFERROR(__xludf.DUMMYFUNCTION("""COMPUTED_VALUE"""),"JHP: AYAW IPAGAWA NG PRESIDENTE YUNG ROTAVATOR, NAKABIT NA NAMIN TINANGAL ULIT NAMIN. YUNG OPERATOR GUSTO IPAGAWA PERO YUNG PRESIDENTE AYAW.")</f>
        <v>JHP: AYAW IPAGAWA NG PRESIDENTE YUNG ROTAVATOR, NAKABIT NA NAMIN TINANGAL ULIT NAMIN. YUNG OPERATOR GUSTO IPAGAWA PERO YUNG PRESIDENTE AYAW.</v>
      </c>
      <c r="M572" s="2"/>
      <c r="N572" s="2"/>
      <c r="O572" s="2" t="str">
        <f>IFERROR(__xludf.DUMMYFUNCTION("""COMPUTED_VALUE"""),"N/A")</f>
        <v>N/A</v>
      </c>
      <c r="P572" s="2"/>
      <c r="Q572" s="2"/>
      <c r="R572" s="74">
        <f>IFERROR(__xludf.DUMMYFUNCTION("""COMPUTED_VALUE"""),45700.0)</f>
        <v>45700</v>
      </c>
      <c r="S572" s="2" t="str">
        <f>IFERROR(__xludf.DUMMYFUNCTION("""COMPUTED_VALUE"""),"JHP/ACS")</f>
        <v>JHP/ACS</v>
      </c>
      <c r="T572" s="73" t="str">
        <f>IFERROR(__xludf.DUMMYFUNCTION("""COMPUTED_VALUE""")," N/A ")</f>
        <v>N/A</v>
      </c>
      <c r="U572" s="73" t="str">
        <f>IFERROR(__xludf.DUMMYFUNCTION("""COMPUTED_VALUE""")," NO CHARGE ")</f>
        <v>NO CHARGE</v>
      </c>
      <c r="V572" s="2"/>
      <c r="W572" s="2" t="str">
        <f>IFERROR(__xludf.DUMMYFUNCTION("""COMPUTED_VALUE"""),"N/A")</f>
        <v>N/A</v>
      </c>
      <c r="X572" s="2" t="str">
        <f>IFERROR(__xludf.DUMMYFUNCTION("""COMPUTED_VALUE"""),"N/A")</f>
        <v>N/A</v>
      </c>
      <c r="Y572" s="2"/>
      <c r="Z572" s="2"/>
      <c r="AA572" s="2"/>
      <c r="AB572" s="2"/>
      <c r="AC572" s="2"/>
      <c r="AD572" s="2"/>
      <c r="AE572" s="2"/>
      <c r="AF572" s="2"/>
      <c r="AG572" s="2"/>
      <c r="AH572" s="2"/>
      <c r="AI572" s="2"/>
      <c r="AJ572" s="2" t="str">
        <f>IFERROR(__xludf.DUMMYFUNCTION("""COMPUTED_VALUE"""),"Santa Maria")</f>
        <v>Santa Maria</v>
      </c>
      <c r="AK572" s="2" t="str">
        <f>IFERROR(__xludf.DUMMYFUNCTION("""COMPUTED_VALUE"""),"Alfonso Lista (Potia)")</f>
        <v>Alfonso Lista (Potia)</v>
      </c>
      <c r="AL572" s="2" t="str">
        <f>IFERROR(__xludf.DUMMYFUNCTION("""COMPUTED_VALUE"""),"Ifugao")</f>
        <v>Ifugao</v>
      </c>
      <c r="AM572" s="2" t="str">
        <f>IFERROR(__xludf.DUMMYFUNCTION("""COMPUTED_VALUE"""),"CAR")</f>
        <v>CAR</v>
      </c>
      <c r="AN572" s="2" t="str">
        <f>IFERROR(__xludf.DUMMYFUNCTION("""COMPUTED_VALUE"""),"RCEF 23-09-21 Rebidding")</f>
        <v>RCEF 23-09-21 Rebidding</v>
      </c>
      <c r="AO572" s="2">
        <f>IFERROR(__xludf.DUMMYFUNCTION("""COMPUTED_VALUE"""),1.0)</f>
        <v>1</v>
      </c>
      <c r="AP572" s="2"/>
      <c r="AQ572" s="2"/>
      <c r="AR572" s="2"/>
      <c r="AS572" s="2"/>
      <c r="AT572" s="2"/>
      <c r="AU572" s="2"/>
      <c r="AV572" s="2"/>
      <c r="AW572" s="2"/>
      <c r="AX572" s="2"/>
      <c r="AY572" s="2"/>
      <c r="AZ572" s="2"/>
      <c r="BA572" s="2"/>
      <c r="BB572" s="2"/>
    </row>
    <row r="573">
      <c r="A573" s="2">
        <f>IFERROR(__xludf.DUMMYFUNCTION("""COMPUTED_VALUE"""),569.0)</f>
        <v>569</v>
      </c>
      <c r="B573" s="2" t="str">
        <f>IFERROR(__xludf.DUMMYFUNCTION("""COMPUTED_VALUE"""),"COMPLETED")</f>
        <v>COMPLETED</v>
      </c>
      <c r="C573" s="74">
        <f>IFERROR(__xludf.DUMMYFUNCTION("""COMPUTED_VALUE"""),45579.0)</f>
        <v>45579</v>
      </c>
      <c r="D573" s="71" t="str">
        <f>IFERROR(__xludf.DUMMYFUNCTION("""COMPUTED_VALUE"""),"SAMPALUCAN IRRIGATORS ASSOCIATION INC.")</f>
        <v>SAMPALUCAN IRRIGATORS ASSOCIATION INC.</v>
      </c>
      <c r="E573" s="71" t="str">
        <f>IFERROR(__xludf.DUMMYFUNCTION("""COMPUTED_VALUE"""),"Pulo, San Isidro, NUEVA ECIJA")</f>
        <v>Pulo, San Isidro, NUEVA ECIJA</v>
      </c>
      <c r="F573" s="2" t="str">
        <f>IFERROR(__xludf.DUMMYFUNCTION("""COMPUTED_VALUE"""),"Fernando Magbitang")</f>
        <v>Fernando Magbitang</v>
      </c>
      <c r="G573" s="2">
        <f>IFERROR(__xludf.DUMMYFUNCTION("""COMPUTED_VALUE"""),9.975025628E9)</f>
        <v>9975025628</v>
      </c>
      <c r="H573" s="2">
        <f>IFERROR(__xludf.DUMMYFUNCTION("""COMPUTED_VALUE"""),190.0)</f>
        <v>190</v>
      </c>
      <c r="I573" s="72" t="str">
        <f>IFERROR(__xludf.DUMMYFUNCTION("""COMPUTED_VALUE"""),"PMS")</f>
        <v>PMS</v>
      </c>
      <c r="J573" s="72" t="str">
        <f>IFERROR(__xludf.DUMMYFUNCTION("""COMPUTED_VALUE"""),"PMS")</f>
        <v>PMS</v>
      </c>
      <c r="K573" s="72" t="str">
        <f>IFERROR(__xludf.DUMMYFUNCTION("""COMPUTED_VALUE"""),"JDP: 1ST PMS")</f>
        <v>JDP: 1ST PMS</v>
      </c>
      <c r="L573" s="72" t="str">
        <f>IFERROR(__xludf.DUMMYFUNCTION("""COMPUTED_VALUE"""),"ACS: 1ST PMS DONE")</f>
        <v>ACS: 1ST PMS DONE</v>
      </c>
      <c r="M573" s="2"/>
      <c r="N573" s="2" t="str">
        <f>IFERROR(__xludf.DUMMYFUNCTION("""COMPUTED_VALUE"""),"PARTS: OIL FILTER, ENGINE OIL")</f>
        <v>PARTS: OIL FILTER, ENGINE OIL</v>
      </c>
      <c r="O573" s="2">
        <f>IFERROR(__xludf.DUMMYFUNCTION("""COMPUTED_VALUE"""),586.0)</f>
        <v>586</v>
      </c>
      <c r="P573" s="2"/>
      <c r="Q573" s="2"/>
      <c r="R573" s="74">
        <f>IFERROR(__xludf.DUMMYFUNCTION("""COMPUTED_VALUE"""),45588.0)</f>
        <v>45588</v>
      </c>
      <c r="S573" s="2" t="str">
        <f>IFERROR(__xludf.DUMMYFUNCTION("""COMPUTED_VALUE"""),"ACS/JHP")</f>
        <v>ACS/JHP</v>
      </c>
      <c r="T573" s="73">
        <f>IFERROR(__xludf.DUMMYFUNCTION("""COMPUTED_VALUE"""),3200.0)</f>
        <v>3200</v>
      </c>
      <c r="U573" s="73" t="str">
        <f>IFERROR(__xludf.DUMMYFUNCTION("""COMPUTED_VALUE""")," REMITTED ")</f>
        <v>REMITTED</v>
      </c>
      <c r="V573" s="2"/>
      <c r="W573" s="2"/>
      <c r="X573" s="2">
        <f>IFERROR(__xludf.DUMMYFUNCTION("""COMPUTED_VALUE"""),1194.0)</f>
        <v>1194</v>
      </c>
      <c r="Y573" s="2"/>
      <c r="Z573" s="2"/>
      <c r="AA573" s="2"/>
      <c r="AB573" s="2"/>
      <c r="AC573" s="2"/>
      <c r="AD573" s="2"/>
      <c r="AE573" s="2"/>
      <c r="AF573" s="2"/>
      <c r="AG573" s="2"/>
      <c r="AH573" s="2"/>
      <c r="AI573" s="2"/>
      <c r="AJ573" s="2" t="str">
        <f>IFERROR(__xludf.DUMMYFUNCTION("""COMPUTED_VALUE"""),"Pulo")</f>
        <v>Pulo</v>
      </c>
      <c r="AK573" s="2" t="str">
        <f>IFERROR(__xludf.DUMMYFUNCTION("""COMPUTED_VALUE"""),"San Isidro")</f>
        <v>San Isidro</v>
      </c>
      <c r="AL573" s="2" t="str">
        <f>IFERROR(__xludf.DUMMYFUNCTION("""COMPUTED_VALUE"""),"Nueva Ecija")</f>
        <v>Nueva Ecija</v>
      </c>
      <c r="AM573" s="2">
        <f>IFERROR(__xludf.DUMMYFUNCTION("""COMPUTED_VALUE"""),3.0)</f>
        <v>3</v>
      </c>
      <c r="AN573" s="2" t="str">
        <f>IFERROR(__xludf.DUMMYFUNCTION("""COMPUTED_VALUE"""),"RCEF 23-09-21 Rebidding")</f>
        <v>RCEF 23-09-21 Rebidding</v>
      </c>
      <c r="AO573" s="2">
        <f>IFERROR(__xludf.DUMMYFUNCTION("""COMPUTED_VALUE"""),3.0)</f>
        <v>3</v>
      </c>
      <c r="AP573" s="2"/>
      <c r="AQ573" s="2"/>
      <c r="AR573" s="2"/>
      <c r="AS573" s="2"/>
      <c r="AT573" s="2"/>
      <c r="AU573" s="2"/>
      <c r="AV573" s="2"/>
      <c r="AW573" s="2"/>
      <c r="AX573" s="2"/>
      <c r="AY573" s="2"/>
      <c r="AZ573" s="2"/>
      <c r="BA573" s="2"/>
      <c r="BB573" s="2"/>
    </row>
    <row r="574">
      <c r="A574" s="2">
        <f>IFERROR(__xludf.DUMMYFUNCTION("""COMPUTED_VALUE"""),570.0)</f>
        <v>570</v>
      </c>
      <c r="B574" s="2" t="str">
        <f>IFERROR(__xludf.DUMMYFUNCTION("""COMPUTED_VALUE"""),"COMPLETED")</f>
        <v>COMPLETED</v>
      </c>
      <c r="C574" s="74">
        <f>IFERROR(__xludf.DUMMYFUNCTION("""COMPUTED_VALUE"""),45579.0)</f>
        <v>45579</v>
      </c>
      <c r="D574" s="71" t="str">
        <f>IFERROR(__xludf.DUMMYFUNCTION("""COMPUTED_VALUE"""),"SAMPALUCAN IRRIGATORS ASSOCIATION INC.")</f>
        <v>SAMPALUCAN IRRIGATORS ASSOCIATION INC.</v>
      </c>
      <c r="E574" s="71" t="str">
        <f>IFERROR(__xludf.DUMMYFUNCTION("""COMPUTED_VALUE"""),"Pulo, San Isidro, NUEVA ECIJA")</f>
        <v>Pulo, San Isidro, NUEVA ECIJA</v>
      </c>
      <c r="F574" s="2" t="str">
        <f>IFERROR(__xludf.DUMMYFUNCTION("""COMPUTED_VALUE"""),"Fernando Magbitang")</f>
        <v>Fernando Magbitang</v>
      </c>
      <c r="G574" s="2">
        <f>IFERROR(__xludf.DUMMYFUNCTION("""COMPUTED_VALUE"""),9.975025628E9)</f>
        <v>9975025628</v>
      </c>
      <c r="H574" s="2">
        <f>IFERROR(__xludf.DUMMYFUNCTION("""COMPUTED_VALUE"""),190.0)</f>
        <v>190</v>
      </c>
      <c r="I574" s="72" t="str">
        <f>IFERROR(__xludf.DUMMYFUNCTION("""COMPUTED_VALUE"""),"SPARE PARTS ACQUISITION")</f>
        <v>SPARE PARTS ACQUISITION</v>
      </c>
      <c r="J574" s="72" t="str">
        <f>IFERROR(__xludf.DUMMYFUNCTION("""COMPUTED_VALUE"""),"SPARE PARTS ACQUISITION")</f>
        <v>SPARE PARTS ACQUISITION</v>
      </c>
      <c r="K574" s="72" t="str">
        <f>IFERROR(__xludf.DUMMYFUNCTION("""COMPUTED_VALUE"""),"JDP: NAHULOG DAW PO ANG TAKIP NG DISC PLOW
PARTS: CENTER CAP/ FIXED COVER")</f>
        <v>JDP: NAHULOG DAW PO ANG TAKIP NG DISC PLOW
PARTS: CENTER CAP/ FIXED COVER</v>
      </c>
      <c r="L574" s="72" t="str">
        <f>IFERROR(__xludf.DUMMYFUNCTION("""COMPUTED_VALUE"""),"ACS: OK NA TO NAHANAP NA NILA YUNG CENTER CUP.")</f>
        <v>ACS: OK NA TO NAHANAP NA NILA YUNG CENTER CUP.</v>
      </c>
      <c r="M574" s="2"/>
      <c r="N574" s="2"/>
      <c r="O574" s="2" t="str">
        <f>IFERROR(__xludf.DUMMYFUNCTION("""COMPUTED_VALUE"""),"N/A")</f>
        <v>N/A</v>
      </c>
      <c r="P574" s="2"/>
      <c r="Q574" s="2"/>
      <c r="R574" s="74">
        <f>IFERROR(__xludf.DUMMYFUNCTION("""COMPUTED_VALUE"""),45743.0)</f>
        <v>45743</v>
      </c>
      <c r="S574" s="2" t="str">
        <f>IFERROR(__xludf.DUMMYFUNCTION("""COMPUTED_VALUE"""),"JHP/ACS")</f>
        <v>JHP/ACS</v>
      </c>
      <c r="T574" s="73" t="str">
        <f>IFERROR(__xludf.DUMMYFUNCTION("""COMPUTED_VALUE""")," N/A ")</f>
        <v>N/A</v>
      </c>
      <c r="U574" s="73" t="str">
        <f>IFERROR(__xludf.DUMMYFUNCTION("""COMPUTED_VALUE""")," NO CHARGE ")</f>
        <v>NO CHARGE</v>
      </c>
      <c r="V574" s="2"/>
      <c r="W574" s="2" t="str">
        <f>IFERROR(__xludf.DUMMYFUNCTION("""COMPUTED_VALUE"""),"N/A")</f>
        <v>N/A</v>
      </c>
      <c r="X574" s="2" t="str">
        <f>IFERROR(__xludf.DUMMYFUNCTION("""COMPUTED_VALUE"""),"N/A")</f>
        <v>N/A</v>
      </c>
      <c r="Y574" s="2"/>
      <c r="Z574" s="2"/>
      <c r="AA574" s="2"/>
      <c r="AB574" s="2"/>
      <c r="AC574" s="2"/>
      <c r="AD574" s="2"/>
      <c r="AE574" s="2"/>
      <c r="AF574" s="2"/>
      <c r="AG574" s="2"/>
      <c r="AH574" s="2"/>
      <c r="AI574" s="2"/>
      <c r="AJ574" s="2" t="str">
        <f>IFERROR(__xludf.DUMMYFUNCTION("""COMPUTED_VALUE"""),"Pulo")</f>
        <v>Pulo</v>
      </c>
      <c r="AK574" s="2" t="str">
        <f>IFERROR(__xludf.DUMMYFUNCTION("""COMPUTED_VALUE"""),"San Isidro")</f>
        <v>San Isidro</v>
      </c>
      <c r="AL574" s="2" t="str">
        <f>IFERROR(__xludf.DUMMYFUNCTION("""COMPUTED_VALUE"""),"Nueva Ecija")</f>
        <v>Nueva Ecija</v>
      </c>
      <c r="AM574" s="2">
        <f>IFERROR(__xludf.DUMMYFUNCTION("""COMPUTED_VALUE"""),3.0)</f>
        <v>3</v>
      </c>
      <c r="AN574" s="2" t="str">
        <f>IFERROR(__xludf.DUMMYFUNCTION("""COMPUTED_VALUE"""),"RCEF 23-09-21 Rebidding")</f>
        <v>RCEF 23-09-21 Rebidding</v>
      </c>
      <c r="AO574" s="2">
        <f>IFERROR(__xludf.DUMMYFUNCTION("""COMPUTED_VALUE"""),3.0)</f>
        <v>3</v>
      </c>
      <c r="AP574" s="2"/>
      <c r="AQ574" s="2"/>
      <c r="AR574" s="2"/>
      <c r="AS574" s="2"/>
      <c r="AT574" s="2"/>
      <c r="AU574" s="2"/>
      <c r="AV574" s="2"/>
      <c r="AW574" s="2"/>
      <c r="AX574" s="2"/>
      <c r="AY574" s="2"/>
      <c r="AZ574" s="2"/>
      <c r="BA574" s="2"/>
      <c r="BB574" s="2"/>
    </row>
    <row r="575">
      <c r="A575" s="2">
        <f>IFERROR(__xludf.DUMMYFUNCTION("""COMPUTED_VALUE"""),571.0)</f>
        <v>571</v>
      </c>
      <c r="B575" s="2" t="str">
        <f>IFERROR(__xludf.DUMMYFUNCTION("""COMPUTED_VALUE"""),"COMPLETED")</f>
        <v>COMPLETED</v>
      </c>
      <c r="C575" s="74">
        <f>IFERROR(__xludf.DUMMYFUNCTION("""COMPUTED_VALUE"""),45580.0)</f>
        <v>45580</v>
      </c>
      <c r="D575" s="71" t="str">
        <f>IFERROR(__xludf.DUMMYFUNCTION("""COMPUTED_VALUE"""),"BARANGAY BATONG BUHAY FARMER'S ASSOCIATION")</f>
        <v>BARANGAY BATONG BUHAY FARMER'S ASSOCIATION</v>
      </c>
      <c r="E575" s="71" t="str">
        <f>IFERROR(__xludf.DUMMYFUNCTION("""COMPUTED_VALUE"""),"BATONG BUHAY, SABLAYAN, OCCIDENTAL MINDORO")</f>
        <v>BATONG BUHAY, SABLAYAN, OCCIDENTAL MINDORO</v>
      </c>
      <c r="F575" s="2" t="str">
        <f>IFERROR(__xludf.DUMMYFUNCTION("""COMPUTED_VALUE"""),"Mark Anthony Silao")</f>
        <v>Mark Anthony Silao</v>
      </c>
      <c r="G575" s="2" t="str">
        <f>IFERROR(__xludf.DUMMYFUNCTION("""COMPUTED_VALUE"""),"0966 359 5285")</f>
        <v>0966 359 5285</v>
      </c>
      <c r="H575" s="2"/>
      <c r="I575" s="72" t="str">
        <f>IFERROR(__xludf.DUMMYFUNCTION("""COMPUTED_VALUE"""),"SPARE PARTS ACQUISITION")</f>
        <v>SPARE PARTS ACQUISITION</v>
      </c>
      <c r="J575" s="72" t="str">
        <f>IFERROR(__xludf.DUMMYFUNCTION("""COMPUTED_VALUE"""),"Front Axle")</f>
        <v>Front Axle</v>
      </c>
      <c r="K575" s="72" t="str">
        <f>IFERROR(__xludf.DUMMYFUNCTION("""COMPUTED_VALUE"""),"JTT: 2 FRONT AXEL OIL SEAL")</f>
        <v>JTT: 2 FRONT AXEL OIL SEAL</v>
      </c>
      <c r="L575" s="72" t="str">
        <f>IFERROR(__xludf.DUMMYFUNCTION("""COMPUTED_VALUE"""),"RCG: checkup unit.Operational
Nag outsource sila ng oilseal at sila na lng lng din yung nag palit.nag repair.
")</f>
        <v>RCG: checkup unit.Operational
Nag outsource sila ng oilseal at sila na lng lng din yung nag palit.nag repair.
</v>
      </c>
      <c r="M575" s="2"/>
      <c r="N575" s="2"/>
      <c r="O575" s="2" t="str">
        <f>IFERROR(__xludf.DUMMYFUNCTION("""COMPUTED_VALUE"""),"JIE-961")</f>
        <v>JIE-961</v>
      </c>
      <c r="P575" s="2"/>
      <c r="Q575" s="2"/>
      <c r="R575" s="74">
        <f>IFERROR(__xludf.DUMMYFUNCTION("""COMPUTED_VALUE"""),45603.0)</f>
        <v>45603</v>
      </c>
      <c r="S575" s="2" t="str">
        <f>IFERROR(__xludf.DUMMYFUNCTION("""COMPUTED_VALUE"""),"RCG/RBS")</f>
        <v>RCG/RBS</v>
      </c>
      <c r="T575" s="73" t="str">
        <f>IFERROR(__xludf.DUMMYFUNCTION("""COMPUTED_VALUE""")," N//A ")</f>
        <v>N//A</v>
      </c>
      <c r="U575" s="73" t="str">
        <f>IFERROR(__xludf.DUMMYFUNCTION("""COMPUTED_VALUE""")," NO CHARGE ")</f>
        <v>NO CHARGE</v>
      </c>
      <c r="V575" s="2"/>
      <c r="W575" s="2" t="str">
        <f>IFERROR(__xludf.DUMMYFUNCTION("""COMPUTED_VALUE"""),"N/A")</f>
        <v>N/A</v>
      </c>
      <c r="X575" s="2" t="str">
        <f>IFERROR(__xludf.DUMMYFUNCTION("""COMPUTED_VALUE"""),"N/A")</f>
        <v>N/A</v>
      </c>
      <c r="Y575" s="2"/>
      <c r="Z575" s="2"/>
      <c r="AA575" s="2"/>
      <c r="AB575" s="2"/>
      <c r="AC575" s="2"/>
      <c r="AD575" s="2"/>
      <c r="AE575" s="2"/>
      <c r="AF575" s="2"/>
      <c r="AG575" s="2"/>
      <c r="AH575" s="2"/>
      <c r="AI575" s="2"/>
      <c r="AJ575" s="2" t="str">
        <f>IFERROR(__xludf.DUMMYFUNCTION("""COMPUTED_VALUE"""),"Batong Buhay")</f>
        <v>Batong Buhay</v>
      </c>
      <c r="AK575" s="2" t="str">
        <f>IFERROR(__xludf.DUMMYFUNCTION("""COMPUTED_VALUE"""),"Sablayan")</f>
        <v>Sablayan</v>
      </c>
      <c r="AL575" s="2" t="str">
        <f>IFERROR(__xludf.DUMMYFUNCTION("""COMPUTED_VALUE"""),"Occidental Mindoro")</f>
        <v>Occidental Mindoro</v>
      </c>
      <c r="AM575" s="2" t="str">
        <f>IFERROR(__xludf.DUMMYFUNCTION("""COMPUTED_VALUE"""),"4B")</f>
        <v>4B</v>
      </c>
      <c r="AN575" s="2" t="str">
        <f>IFERROR(__xludf.DUMMYFUNCTION("""COMPUTED_VALUE"""),"RCEF 23-08-20 Rebidding")</f>
        <v>RCEF 23-08-20 Rebidding</v>
      </c>
      <c r="AO575" s="2">
        <f>IFERROR(__xludf.DUMMYFUNCTION("""COMPUTED_VALUE"""),1.0)</f>
        <v>1</v>
      </c>
      <c r="AP575" s="2"/>
      <c r="AQ575" s="2"/>
      <c r="AR575" s="2"/>
      <c r="AS575" s="2"/>
      <c r="AT575" s="2"/>
      <c r="AU575" s="2"/>
      <c r="AV575" s="2"/>
      <c r="AW575" s="2"/>
      <c r="AX575" s="2"/>
      <c r="AY575" s="2"/>
      <c r="AZ575" s="2"/>
      <c r="BA575" s="2"/>
      <c r="BB575" s="2"/>
    </row>
    <row r="576">
      <c r="A576" s="2">
        <f>IFERROR(__xludf.DUMMYFUNCTION("""COMPUTED_VALUE"""),572.0)</f>
        <v>572</v>
      </c>
      <c r="B576" s="2" t="str">
        <f>IFERROR(__xludf.DUMMYFUNCTION("""COMPUTED_VALUE"""),"COMPLETED")</f>
        <v>COMPLETED</v>
      </c>
      <c r="C576" s="74">
        <f>IFERROR(__xludf.DUMMYFUNCTION("""COMPUTED_VALUE"""),45580.0)</f>
        <v>45580</v>
      </c>
      <c r="D576" s="71" t="str">
        <f>IFERROR(__xludf.DUMMYFUNCTION("""COMPUTED_VALUE"""),"La Rioja Farmers Association")</f>
        <v>La Rioja Farmers Association</v>
      </c>
      <c r="E576" s="71" t="str">
        <f>IFERROR(__xludf.DUMMYFUNCTION("""COMPUTED_VALUE"""),"La Rioja, Patnongon, ANTIQUE")</f>
        <v>La Rioja, Patnongon, ANTIQUE</v>
      </c>
      <c r="F576" s="2" t="str">
        <f>IFERROR(__xludf.DUMMYFUNCTION("""COMPUTED_VALUE"""),"Alipio E. Guzman")</f>
        <v>Alipio E. Guzman</v>
      </c>
      <c r="G576" s="2" t="str">
        <f>IFERROR(__xludf.DUMMYFUNCTION("""COMPUTED_VALUE"""),"0997-962-1463")</f>
        <v>0997-962-1463</v>
      </c>
      <c r="H576" s="2">
        <f>IFERROR(__xludf.DUMMYFUNCTION("""COMPUTED_VALUE"""),66.0)</f>
        <v>66</v>
      </c>
      <c r="I576" s="72" t="str">
        <f>IFERROR(__xludf.DUMMYFUNCTION("""COMPUTED_VALUE"""),"PMS")</f>
        <v>PMS</v>
      </c>
      <c r="J576" s="72" t="str">
        <f>IFERROR(__xludf.DUMMYFUNCTION("""COMPUTED_VALUE"""),"PMS")</f>
        <v>PMS</v>
      </c>
      <c r="K576" s="72" t="str">
        <f>IFERROR(__xludf.DUMMYFUNCTION("""COMPUTED_VALUE"""),"FIRST PMS")</f>
        <v>FIRST PMS</v>
      </c>
      <c r="L576" s="72" t="str">
        <f>IFERROR(__xludf.DUMMYFUNCTION("""COMPUTED_VALUE"""),"EGT: 1ST PMS DONE")</f>
        <v>EGT: 1ST PMS DONE</v>
      </c>
      <c r="M576" s="2"/>
      <c r="N576" s="2" t="str">
        <f>IFERROR(__xludf.DUMMYFUNCTION("""COMPUTED_VALUE"""),"PARTS: OIL FILTER")</f>
        <v>PARTS: OIL FILTER</v>
      </c>
      <c r="O576" s="2">
        <f>IFERROR(__xludf.DUMMYFUNCTION("""COMPUTED_VALUE"""),1305.0)</f>
        <v>1305</v>
      </c>
      <c r="P576" s="2"/>
      <c r="Q576" s="2"/>
      <c r="R576" s="74">
        <f>IFERROR(__xludf.DUMMYFUNCTION("""COMPUTED_VALUE"""),45567.0)</f>
        <v>45567</v>
      </c>
      <c r="S576" s="2" t="str">
        <f>IFERROR(__xludf.DUMMYFUNCTION("""COMPUTED_VALUE"""),"EGT/DRM")</f>
        <v>EGT/DRM</v>
      </c>
      <c r="T576" s="73">
        <f>IFERROR(__xludf.DUMMYFUNCTION("""COMPUTED_VALUE"""),1533.0)</f>
        <v>1533</v>
      </c>
      <c r="U576" s="73" t="str">
        <f>IFERROR(__xludf.DUMMYFUNCTION("""COMPUTED_VALUE""")," REMITTED ")</f>
        <v>REMITTED</v>
      </c>
      <c r="V576" s="2"/>
      <c r="W576" s="2">
        <f>IFERROR(__xludf.DUMMYFUNCTION("""COMPUTED_VALUE"""),1315.0)</f>
        <v>1315</v>
      </c>
      <c r="X576" s="2">
        <f>IFERROR(__xludf.DUMMYFUNCTION("""COMPUTED_VALUE"""),1220.0)</f>
        <v>1220</v>
      </c>
      <c r="Y576" s="2"/>
      <c r="Z576" s="2"/>
      <c r="AA576" s="2"/>
      <c r="AB576" s="2"/>
      <c r="AC576" s="2"/>
      <c r="AD576" s="2"/>
      <c r="AE576" s="2"/>
      <c r="AF576" s="2"/>
      <c r="AG576" s="2"/>
      <c r="AH576" s="2"/>
      <c r="AI576" s="2"/>
      <c r="AJ576" s="2" t="str">
        <f>IFERROR(__xludf.DUMMYFUNCTION("""COMPUTED_VALUE"""),"La Rioja")</f>
        <v>La Rioja</v>
      </c>
      <c r="AK576" s="2" t="str">
        <f>IFERROR(__xludf.DUMMYFUNCTION("""COMPUTED_VALUE"""),"Patnongon")</f>
        <v>Patnongon</v>
      </c>
      <c r="AL576" s="2" t="str">
        <f>IFERROR(__xludf.DUMMYFUNCTION("""COMPUTED_VALUE"""),"Antique")</f>
        <v>Antique</v>
      </c>
      <c r="AM576" s="2">
        <f>IFERROR(__xludf.DUMMYFUNCTION("""COMPUTED_VALUE"""),6.0)</f>
        <v>6</v>
      </c>
      <c r="AN576" s="2" t="str">
        <f>IFERROR(__xludf.DUMMYFUNCTION("""COMPUTED_VALUE"""),"RCEF 23-09-21 Rebidding")</f>
        <v>RCEF 23-09-21 Rebidding</v>
      </c>
      <c r="AO576" s="2">
        <f>IFERROR(__xludf.DUMMYFUNCTION("""COMPUTED_VALUE"""),4.0)</f>
        <v>4</v>
      </c>
      <c r="AP576" s="2"/>
      <c r="AQ576" s="2"/>
      <c r="AR576" s="2"/>
      <c r="AS576" s="2"/>
      <c r="AT576" s="2"/>
      <c r="AU576" s="2"/>
      <c r="AV576" s="2"/>
      <c r="AW576" s="2"/>
      <c r="AX576" s="2"/>
      <c r="AY576" s="2"/>
      <c r="AZ576" s="2"/>
      <c r="BA576" s="2"/>
      <c r="BB576" s="2"/>
    </row>
    <row r="577">
      <c r="A577" s="2">
        <f>IFERROR(__xludf.DUMMYFUNCTION("""COMPUTED_VALUE"""),573.0)</f>
        <v>573</v>
      </c>
      <c r="B577" s="2" t="str">
        <f>IFERROR(__xludf.DUMMYFUNCTION("""COMPUTED_VALUE"""),"COMPLETED")</f>
        <v>COMPLETED</v>
      </c>
      <c r="C577" s="74">
        <f>IFERROR(__xludf.DUMMYFUNCTION("""COMPUTED_VALUE"""),45580.0)</f>
        <v>45580</v>
      </c>
      <c r="D577" s="71" t="str">
        <f>IFERROR(__xludf.DUMMYFUNCTION("""COMPUTED_VALUE"""),"SAN LUIS CONDEZ TIG-ANIT FARMERS IRRIGATORS ASSOCIATION")</f>
        <v>SAN LUIS CONDEZ TIG-ANIT FARMERS IRRIGATORS ASSOCIATION</v>
      </c>
      <c r="E577" s="71" t="str">
        <f>IFERROR(__xludf.DUMMYFUNCTION("""COMPUTED_VALUE"""),"San Luis, Culasi, ANTIQUE")</f>
        <v>San Luis, Culasi, ANTIQUE</v>
      </c>
      <c r="F577" s="2" t="str">
        <f>IFERROR(__xludf.DUMMYFUNCTION("""COMPUTED_VALUE"""),"DANDY V. BALINAS SR.")</f>
        <v>DANDY V. BALINAS SR.</v>
      </c>
      <c r="G577" s="2">
        <f>IFERROR(__xludf.DUMMYFUNCTION("""COMPUTED_VALUE"""),9.098375026E9)</f>
        <v>9098375026</v>
      </c>
      <c r="H577" s="2">
        <f>IFERROR(__xludf.DUMMYFUNCTION("""COMPUTED_VALUE"""),79.0)</f>
        <v>79</v>
      </c>
      <c r="I577" s="72" t="str">
        <f>IFERROR(__xludf.DUMMYFUNCTION("""COMPUTED_VALUE"""),"PMS")</f>
        <v>PMS</v>
      </c>
      <c r="J577" s="72" t="str">
        <f>IFERROR(__xludf.DUMMYFUNCTION("""COMPUTED_VALUE"""),"PMS")</f>
        <v>PMS</v>
      </c>
      <c r="K577" s="72" t="str">
        <f>IFERROR(__xludf.DUMMYFUNCTION("""COMPUTED_VALUE"""),"FIRST PMS")</f>
        <v>FIRST PMS</v>
      </c>
      <c r="L577" s="72" t="str">
        <f>IFERROR(__xludf.DUMMYFUNCTION("""COMPUTED_VALUE"""),"EGT: 1ST PMS DONE")</f>
        <v>EGT: 1ST PMS DONE</v>
      </c>
      <c r="M577" s="2"/>
      <c r="N577" s="2"/>
      <c r="O577" s="2">
        <f>IFERROR(__xludf.DUMMYFUNCTION("""COMPUTED_VALUE"""),1306.0)</f>
        <v>1306</v>
      </c>
      <c r="P577" s="2"/>
      <c r="Q577" s="2"/>
      <c r="R577" s="74">
        <f>IFERROR(__xludf.DUMMYFUNCTION("""COMPUTED_VALUE"""),45582.0)</f>
        <v>45582</v>
      </c>
      <c r="S577" s="2" t="str">
        <f>IFERROR(__xludf.DUMMYFUNCTION("""COMPUTED_VALUE"""),"EGT/DRM")</f>
        <v>EGT/DRM</v>
      </c>
      <c r="T577" s="73" t="str">
        <f>IFERROR(__xludf.DUMMYFUNCTION("""COMPUTED_VALUE""")," N/A ")</f>
        <v>N/A</v>
      </c>
      <c r="U577" s="73" t="str">
        <f>IFERROR(__xludf.DUMMYFUNCTION("""COMPUTED_VALUE""")," NO CHARGE ")</f>
        <v>NO CHARGE</v>
      </c>
      <c r="V577" s="2"/>
      <c r="W577" s="2" t="str">
        <f>IFERROR(__xludf.DUMMYFUNCTION("""COMPUTED_VALUE"""),"N/A")</f>
        <v>N/A</v>
      </c>
      <c r="X577" s="2" t="str">
        <f>IFERROR(__xludf.DUMMYFUNCTION("""COMPUTED_VALUE"""),"N/A")</f>
        <v>N/A</v>
      </c>
      <c r="Y577" s="2"/>
      <c r="Z577" s="2"/>
      <c r="AA577" s="2"/>
      <c r="AB577" s="2"/>
      <c r="AC577" s="2"/>
      <c r="AD577" s="2"/>
      <c r="AE577" s="2"/>
      <c r="AF577" s="2"/>
      <c r="AG577" s="2"/>
      <c r="AH577" s="2"/>
      <c r="AI577" s="2"/>
      <c r="AJ577" s="2" t="str">
        <f>IFERROR(__xludf.DUMMYFUNCTION("""COMPUTED_VALUE"""),"San Luis")</f>
        <v>San Luis</v>
      </c>
      <c r="AK577" s="2" t="str">
        <f>IFERROR(__xludf.DUMMYFUNCTION("""COMPUTED_VALUE"""),"Culasi")</f>
        <v>Culasi</v>
      </c>
      <c r="AL577" s="2" t="str">
        <f>IFERROR(__xludf.DUMMYFUNCTION("""COMPUTED_VALUE"""),"Antique")</f>
        <v>Antique</v>
      </c>
      <c r="AM577" s="2">
        <f>IFERROR(__xludf.DUMMYFUNCTION("""COMPUTED_VALUE"""),6.0)</f>
        <v>6</v>
      </c>
      <c r="AN577" s="2" t="str">
        <f>IFERROR(__xludf.DUMMYFUNCTION("""COMPUTED_VALUE"""),"RCEF 23-09-21 Rebidding")</f>
        <v>RCEF 23-09-21 Rebidding</v>
      </c>
      <c r="AO577" s="2">
        <f>IFERROR(__xludf.DUMMYFUNCTION("""COMPUTED_VALUE"""),4.0)</f>
        <v>4</v>
      </c>
      <c r="AP577" s="2"/>
      <c r="AQ577" s="2"/>
      <c r="AR577" s="2"/>
      <c r="AS577" s="2"/>
      <c r="AT577" s="2"/>
      <c r="AU577" s="2"/>
      <c r="AV577" s="2"/>
      <c r="AW577" s="2"/>
      <c r="AX577" s="2"/>
      <c r="AY577" s="2"/>
      <c r="AZ577" s="2"/>
      <c r="BA577" s="2"/>
      <c r="BB577" s="2"/>
    </row>
    <row r="578">
      <c r="A578" s="2">
        <f>IFERROR(__xludf.DUMMYFUNCTION("""COMPUTED_VALUE"""),574.0)</f>
        <v>574</v>
      </c>
      <c r="B578" s="2" t="str">
        <f>IFERROR(__xludf.DUMMYFUNCTION("""COMPUTED_VALUE"""),"COMPLETED")</f>
        <v>COMPLETED</v>
      </c>
      <c r="C578" s="74">
        <f>IFERROR(__xludf.DUMMYFUNCTION("""COMPUTED_VALUE"""),45580.0)</f>
        <v>45580</v>
      </c>
      <c r="D578" s="71" t="str">
        <f>IFERROR(__xludf.DUMMYFUNCTION("""COMPUTED_VALUE"""),"Nalook Farmers' Association")</f>
        <v>Nalook Farmers' Association</v>
      </c>
      <c r="E578" s="71" t="str">
        <f>IFERROR(__xludf.DUMMYFUNCTION("""COMPUTED_VALUE"""),"Nalook, Kalibo, AKLAN")</f>
        <v>Nalook, Kalibo, AKLAN</v>
      </c>
      <c r="F578" s="2" t="str">
        <f>IFERROR(__xludf.DUMMYFUNCTION("""COMPUTED_VALUE"""),"EVELYN SIOCO")</f>
        <v>EVELYN SIOCO</v>
      </c>
      <c r="G578" s="2">
        <f>IFERROR(__xludf.DUMMYFUNCTION("""COMPUTED_VALUE"""),9.999451766E9)</f>
        <v>9999451766</v>
      </c>
      <c r="H578" s="2">
        <f>IFERROR(__xludf.DUMMYFUNCTION("""COMPUTED_VALUE"""),47.0)</f>
        <v>47</v>
      </c>
      <c r="I578" s="72" t="str">
        <f>IFERROR(__xludf.DUMMYFUNCTION("""COMPUTED_VALUE"""),"PMS")</f>
        <v>PMS</v>
      </c>
      <c r="J578" s="72" t="str">
        <f>IFERROR(__xludf.DUMMYFUNCTION("""COMPUTED_VALUE"""),"PMS")</f>
        <v>PMS</v>
      </c>
      <c r="K578" s="72" t="str">
        <f>IFERROR(__xludf.DUMMYFUNCTION("""COMPUTED_VALUE"""),"FIRST PMS")</f>
        <v>FIRST PMS</v>
      </c>
      <c r="L578" s="72" t="str">
        <f>IFERROR(__xludf.DUMMYFUNCTION("""COMPUTED_VALUE"""),"EGT: 1ST PMS DONE")</f>
        <v>EGT: 1ST PMS DONE</v>
      </c>
      <c r="M578" s="2"/>
      <c r="N578" s="2"/>
      <c r="O578" s="2">
        <f>IFERROR(__xludf.DUMMYFUNCTION("""COMPUTED_VALUE"""),1310.0)</f>
        <v>1310</v>
      </c>
      <c r="P578" s="2"/>
      <c r="Q578" s="2"/>
      <c r="R578" s="74">
        <f>IFERROR(__xludf.DUMMYFUNCTION("""COMPUTED_VALUE"""),45582.0)</f>
        <v>45582</v>
      </c>
      <c r="S578" s="2" t="str">
        <f>IFERROR(__xludf.DUMMYFUNCTION("""COMPUTED_VALUE"""),"EGT/DRM")</f>
        <v>EGT/DRM</v>
      </c>
      <c r="T578" s="73" t="str">
        <f>IFERROR(__xludf.DUMMYFUNCTION("""COMPUTED_VALUE""")," N/A ")</f>
        <v>N/A</v>
      </c>
      <c r="U578" s="73" t="str">
        <f>IFERROR(__xludf.DUMMYFUNCTION("""COMPUTED_VALUE""")," NO CHARGE ")</f>
        <v>NO CHARGE</v>
      </c>
      <c r="V578" s="2"/>
      <c r="W578" s="2" t="str">
        <f>IFERROR(__xludf.DUMMYFUNCTION("""COMPUTED_VALUE"""),"N/A")</f>
        <v>N/A</v>
      </c>
      <c r="X578" s="2" t="str">
        <f>IFERROR(__xludf.DUMMYFUNCTION("""COMPUTED_VALUE"""),"N/A")</f>
        <v>N/A</v>
      </c>
      <c r="Y578" s="2"/>
      <c r="Z578" s="2"/>
      <c r="AA578" s="2"/>
      <c r="AB578" s="2"/>
      <c r="AC578" s="2"/>
      <c r="AD578" s="2"/>
      <c r="AE578" s="2"/>
      <c r="AF578" s="2"/>
      <c r="AG578" s="2"/>
      <c r="AH578" s="2"/>
      <c r="AI578" s="2"/>
      <c r="AJ578" s="2" t="str">
        <f>IFERROR(__xludf.DUMMYFUNCTION("""COMPUTED_VALUE"""),"Nalook")</f>
        <v>Nalook</v>
      </c>
      <c r="AK578" s="2" t="str">
        <f>IFERROR(__xludf.DUMMYFUNCTION("""COMPUTED_VALUE"""),"Kalibo")</f>
        <v>Kalibo</v>
      </c>
      <c r="AL578" s="2" t="str">
        <f>IFERROR(__xludf.DUMMYFUNCTION("""COMPUTED_VALUE"""),"Aklan")</f>
        <v>Aklan</v>
      </c>
      <c r="AM578" s="2">
        <f>IFERROR(__xludf.DUMMYFUNCTION("""COMPUTED_VALUE"""),6.0)</f>
        <v>6</v>
      </c>
      <c r="AN578" s="2" t="str">
        <f>IFERROR(__xludf.DUMMYFUNCTION("""COMPUTED_VALUE"""),"RCEF 23-09-21 Rebidding")</f>
        <v>RCEF 23-09-21 Rebidding</v>
      </c>
      <c r="AO578" s="2">
        <f>IFERROR(__xludf.DUMMYFUNCTION("""COMPUTED_VALUE"""),4.0)</f>
        <v>4</v>
      </c>
      <c r="AP578" s="2"/>
      <c r="AQ578" s="2"/>
      <c r="AR578" s="2"/>
      <c r="AS578" s="2"/>
      <c r="AT578" s="2"/>
      <c r="AU578" s="2"/>
      <c r="AV578" s="2"/>
      <c r="AW578" s="2"/>
      <c r="AX578" s="2"/>
      <c r="AY578" s="2"/>
      <c r="AZ578" s="2"/>
      <c r="BA578" s="2"/>
      <c r="BB578" s="2"/>
    </row>
    <row r="579">
      <c r="A579" s="2">
        <f>IFERROR(__xludf.DUMMYFUNCTION("""COMPUTED_VALUE"""),575.0)</f>
        <v>575</v>
      </c>
      <c r="B579" s="2" t="str">
        <f>IFERROR(__xludf.DUMMYFUNCTION("""COMPUTED_VALUE"""),"COMPLETED")</f>
        <v>COMPLETED</v>
      </c>
      <c r="C579" s="74">
        <f>IFERROR(__xludf.DUMMYFUNCTION("""COMPUTED_VALUE"""),45580.0)</f>
        <v>45580</v>
      </c>
      <c r="D579" s="71" t="str">
        <f>IFERROR(__xludf.DUMMYFUNCTION("""COMPUTED_VALUE"""),"Solido Cluster Farmers Association")</f>
        <v>Solido Cluster Farmers Association</v>
      </c>
      <c r="E579" s="71" t="str">
        <f>IFERROR(__xludf.DUMMYFUNCTION("""COMPUTED_VALUE"""),"Solido, Nabas, AKLAN")</f>
        <v>Solido, Nabas, AKLAN</v>
      </c>
      <c r="F579" s="2" t="str">
        <f>IFERROR(__xludf.DUMMYFUNCTION("""COMPUTED_VALUE"""),"Felix Dubrico")</f>
        <v>Felix Dubrico</v>
      </c>
      <c r="G579" s="2" t="str">
        <f>IFERROR(__xludf.DUMMYFUNCTION("""COMPUTED_VALUE"""),"0907-602-9968")</f>
        <v>0907-602-9968</v>
      </c>
      <c r="H579" s="2">
        <f>IFERROR(__xludf.DUMMYFUNCTION("""COMPUTED_VALUE"""),137.9)</f>
        <v>137.9</v>
      </c>
      <c r="I579" s="72" t="str">
        <f>IFERROR(__xludf.DUMMYFUNCTION("""COMPUTED_VALUE"""),"PMS")</f>
        <v>PMS</v>
      </c>
      <c r="J579" s="72" t="str">
        <f>IFERROR(__xludf.DUMMYFUNCTION("""COMPUTED_VALUE"""),"PMS")</f>
        <v>PMS</v>
      </c>
      <c r="K579" s="72" t="str">
        <f>IFERROR(__xludf.DUMMYFUNCTION("""COMPUTED_VALUE"""),"FIRST PMS")</f>
        <v>FIRST PMS</v>
      </c>
      <c r="L579" s="72" t="str">
        <f>IFERROR(__xludf.DUMMYFUNCTION("""COMPUTED_VALUE"""),"EGT: 1ST PMS DONE")</f>
        <v>EGT: 1ST PMS DONE</v>
      </c>
      <c r="M579" s="2"/>
      <c r="N579" s="2" t="str">
        <f>IFERROR(__xludf.DUMMYFUNCTION("""COMPUTED_VALUE"""),"PART: OIL FILTER")</f>
        <v>PART: OIL FILTER</v>
      </c>
      <c r="O579" s="2">
        <f>IFERROR(__xludf.DUMMYFUNCTION("""COMPUTED_VALUE"""),1311.0)</f>
        <v>1311</v>
      </c>
      <c r="P579" s="2"/>
      <c r="Q579" s="2"/>
      <c r="R579" s="74">
        <f>IFERROR(__xludf.DUMMYFUNCTION("""COMPUTED_VALUE"""),45577.0)</f>
        <v>45577</v>
      </c>
      <c r="S579" s="2" t="str">
        <f>IFERROR(__xludf.DUMMYFUNCTION("""COMPUTED_VALUE"""),"EGT/DRM")</f>
        <v>EGT/DRM</v>
      </c>
      <c r="T579" s="73">
        <f>IFERROR(__xludf.DUMMYFUNCTION("""COMPUTED_VALUE"""),1533.0)</f>
        <v>1533</v>
      </c>
      <c r="U579" s="73" t="str">
        <f>IFERROR(__xludf.DUMMYFUNCTION("""COMPUTED_VALUE""")," REMITTED ")</f>
        <v>REMITTED</v>
      </c>
      <c r="V579" s="2"/>
      <c r="W579" s="2">
        <f>IFERROR(__xludf.DUMMYFUNCTION("""COMPUTED_VALUE"""),1318.0)</f>
        <v>1318</v>
      </c>
      <c r="X579" s="2">
        <f>IFERROR(__xludf.DUMMYFUNCTION("""COMPUTED_VALUE"""),1223.0)</f>
        <v>1223</v>
      </c>
      <c r="Y579" s="2"/>
      <c r="Z579" s="2"/>
      <c r="AA579" s="2"/>
      <c r="AB579" s="2"/>
      <c r="AC579" s="2"/>
      <c r="AD579" s="2"/>
      <c r="AE579" s="2"/>
      <c r="AF579" s="2"/>
      <c r="AG579" s="2"/>
      <c r="AH579" s="2"/>
      <c r="AI579" s="2"/>
      <c r="AJ579" s="2" t="str">
        <f>IFERROR(__xludf.DUMMYFUNCTION("""COMPUTED_VALUE"""),"Solido")</f>
        <v>Solido</v>
      </c>
      <c r="AK579" s="2" t="str">
        <f>IFERROR(__xludf.DUMMYFUNCTION("""COMPUTED_VALUE"""),"Nabas")</f>
        <v>Nabas</v>
      </c>
      <c r="AL579" s="2" t="str">
        <f>IFERROR(__xludf.DUMMYFUNCTION("""COMPUTED_VALUE"""),"Aklan")</f>
        <v>Aklan</v>
      </c>
      <c r="AM579" s="2">
        <f>IFERROR(__xludf.DUMMYFUNCTION("""COMPUTED_VALUE"""),6.0)</f>
        <v>6</v>
      </c>
      <c r="AN579" s="2" t="str">
        <f>IFERROR(__xludf.DUMMYFUNCTION("""COMPUTED_VALUE"""),"RCEF 23-09-21 Rebidding")</f>
        <v>RCEF 23-09-21 Rebidding</v>
      </c>
      <c r="AO579" s="2">
        <f>IFERROR(__xludf.DUMMYFUNCTION("""COMPUTED_VALUE"""),4.0)</f>
        <v>4</v>
      </c>
      <c r="AP579" s="2"/>
      <c r="AQ579" s="2"/>
      <c r="AR579" s="2"/>
      <c r="AS579" s="2"/>
      <c r="AT579" s="2"/>
      <c r="AU579" s="2"/>
      <c r="AV579" s="2"/>
      <c r="AW579" s="2"/>
      <c r="AX579" s="2"/>
      <c r="AY579" s="2"/>
      <c r="AZ579" s="2"/>
      <c r="BA579" s="2"/>
      <c r="BB579" s="2"/>
    </row>
    <row r="580">
      <c r="A580" s="2">
        <f>IFERROR(__xludf.DUMMYFUNCTION("""COMPUTED_VALUE"""),576.0)</f>
        <v>576</v>
      </c>
      <c r="B580" s="2" t="str">
        <f>IFERROR(__xludf.DUMMYFUNCTION("""COMPUTED_VALUE"""),"COMPLETED")</f>
        <v>COMPLETED</v>
      </c>
      <c r="C580" s="74">
        <f>IFERROR(__xludf.DUMMYFUNCTION("""COMPUTED_VALUE"""),45580.0)</f>
        <v>45580</v>
      </c>
      <c r="D580" s="71" t="str">
        <f>IFERROR(__xludf.DUMMYFUNCTION("""COMPUTED_VALUE"""),"(BBCM) BINANU-AN BINANGBANG CENTRO-CUBAY-MAGTULIS IRRIGATORS ASSOCIATION, INC.")</f>
        <v>(BBCM) BINANU-AN BINANGBANG CENTRO-CUBAY-MAGTULIS IRRIGATORS ASSOCIATION, INC.</v>
      </c>
      <c r="E580" s="71" t="str">
        <f>IFERROR(__xludf.DUMMYFUNCTION("""COMPUTED_VALUE"""),"Binanu-an, Barbaza, ANTIQUE")</f>
        <v>Binanu-an, Barbaza, ANTIQUE</v>
      </c>
      <c r="F580" s="2" t="str">
        <f>IFERROR(__xludf.DUMMYFUNCTION("""COMPUTED_VALUE"""),"Votaire B. Chavoso")</f>
        <v>Votaire B. Chavoso</v>
      </c>
      <c r="G580" s="2" t="str">
        <f>IFERROR(__xludf.DUMMYFUNCTION("""COMPUTED_VALUE"""),"0905-107-1789")</f>
        <v>0905-107-1789</v>
      </c>
      <c r="H580" s="2">
        <f>IFERROR(__xludf.DUMMYFUNCTION("""COMPUTED_VALUE"""),53.0)</f>
        <v>53</v>
      </c>
      <c r="I580" s="72" t="str">
        <f>IFERROR(__xludf.DUMMYFUNCTION("""COMPUTED_VALUE"""),"PMS")</f>
        <v>PMS</v>
      </c>
      <c r="J580" s="72" t="str">
        <f>IFERROR(__xludf.DUMMYFUNCTION("""COMPUTED_VALUE"""),"PMS")</f>
        <v>PMS</v>
      </c>
      <c r="K580" s="72" t="str">
        <f>IFERROR(__xludf.DUMMYFUNCTION("""COMPUTED_VALUE"""),"FIRST PMS")</f>
        <v>FIRST PMS</v>
      </c>
      <c r="L580" s="72" t="str">
        <f>IFERROR(__xludf.DUMMYFUNCTION("""COMPUTED_VALUE"""),"EGT: 1ST PMS DONE")</f>
        <v>EGT: 1ST PMS DONE</v>
      </c>
      <c r="M580" s="2"/>
      <c r="N580" s="2" t="str">
        <f>IFERROR(__xludf.DUMMYFUNCTION("""COMPUTED_VALUE"""),"PARTS: OIL FILTER")</f>
        <v>PARTS: OIL FILTER</v>
      </c>
      <c r="O580" s="2">
        <f>IFERROR(__xludf.DUMMYFUNCTION("""COMPUTED_VALUE"""),1312.0)</f>
        <v>1312</v>
      </c>
      <c r="P580" s="2" t="str">
        <f>IFERROR(__xludf.DUMMYFUNCTION("""COMPUTED_VALUE"""),"(BBCM) BINANU AN BINANGBANG CENTRO CUBAY MAGTULIS IRRIGATORS ASSOCIATION INC.10-14-2024.pdf")</f>
        <v>(BBCM) BINANU AN BINANGBANG CENTRO CUBAY MAGTULIS IRRIGATORS ASSOCIATION INC.10-14-2024.pdf</v>
      </c>
      <c r="Q580" s="2"/>
      <c r="R580" s="74">
        <f>IFERROR(__xludf.DUMMYFUNCTION("""COMPUTED_VALUE"""),45577.0)</f>
        <v>45577</v>
      </c>
      <c r="S580" s="2" t="str">
        <f>IFERROR(__xludf.DUMMYFUNCTION("""COMPUTED_VALUE"""),"EGT/DRM")</f>
        <v>EGT/DRM</v>
      </c>
      <c r="T580" s="73">
        <f>IFERROR(__xludf.DUMMYFUNCTION("""COMPUTED_VALUE"""),1533.0)</f>
        <v>1533</v>
      </c>
      <c r="U580" s="73" t="str">
        <f>IFERROR(__xludf.DUMMYFUNCTION("""COMPUTED_VALUE""")," REMITTED ")</f>
        <v>REMITTED</v>
      </c>
      <c r="V580" s="2"/>
      <c r="W580" s="2">
        <f>IFERROR(__xludf.DUMMYFUNCTION("""COMPUTED_VALUE"""),1319.0)</f>
        <v>1319</v>
      </c>
      <c r="X580" s="2">
        <f>IFERROR(__xludf.DUMMYFUNCTION("""COMPUTED_VALUE"""),1224.0)</f>
        <v>1224</v>
      </c>
      <c r="Y580" s="2"/>
      <c r="Z580" s="2"/>
      <c r="AA580" s="2"/>
      <c r="AB580" s="2"/>
      <c r="AC580" s="2"/>
      <c r="AD580" s="2"/>
      <c r="AE580" s="2"/>
      <c r="AF580" s="2"/>
      <c r="AG580" s="2"/>
      <c r="AH580" s="2"/>
      <c r="AI580" s="2"/>
      <c r="AJ580" s="2" t="str">
        <f>IFERROR(__xludf.DUMMYFUNCTION("""COMPUTED_VALUE"""),"Binanu-An")</f>
        <v>Binanu-An</v>
      </c>
      <c r="AK580" s="2" t="str">
        <f>IFERROR(__xludf.DUMMYFUNCTION("""COMPUTED_VALUE"""),"Barbaza")</f>
        <v>Barbaza</v>
      </c>
      <c r="AL580" s="2" t="str">
        <f>IFERROR(__xludf.DUMMYFUNCTION("""COMPUTED_VALUE"""),"Antique")</f>
        <v>Antique</v>
      </c>
      <c r="AM580" s="2">
        <f>IFERROR(__xludf.DUMMYFUNCTION("""COMPUTED_VALUE"""),6.0)</f>
        <v>6</v>
      </c>
      <c r="AN580" s="2" t="str">
        <f>IFERROR(__xludf.DUMMYFUNCTION("""COMPUTED_VALUE"""),"RCEF 23-09-21 Rebidding")</f>
        <v>RCEF 23-09-21 Rebidding</v>
      </c>
      <c r="AO580" s="2">
        <f>IFERROR(__xludf.DUMMYFUNCTION("""COMPUTED_VALUE"""),4.0)</f>
        <v>4</v>
      </c>
      <c r="AP580" s="2"/>
      <c r="AQ580" s="2"/>
      <c r="AR580" s="2"/>
      <c r="AS580" s="2"/>
      <c r="AT580" s="2"/>
      <c r="AU580" s="2"/>
      <c r="AV580" s="2"/>
      <c r="AW580" s="2"/>
      <c r="AX580" s="2"/>
      <c r="AY580" s="2"/>
      <c r="AZ580" s="2"/>
      <c r="BA580" s="2"/>
      <c r="BB580" s="2"/>
    </row>
    <row r="581">
      <c r="A581" s="2">
        <f>IFERROR(__xludf.DUMMYFUNCTION("""COMPUTED_VALUE"""),577.0)</f>
        <v>577</v>
      </c>
      <c r="B581" s="2" t="str">
        <f>IFERROR(__xludf.DUMMYFUNCTION("""COMPUTED_VALUE"""),"COMPLETED")</f>
        <v>COMPLETED</v>
      </c>
      <c r="C581" s="74">
        <f>IFERROR(__xludf.DUMMYFUNCTION("""COMPUTED_VALUE"""),45580.0)</f>
        <v>45580</v>
      </c>
      <c r="D581" s="71" t="str">
        <f>IFERROR(__xludf.DUMMYFUNCTION("""COMPUTED_VALUE"""),"TIBIAO-DALANAS RIVER IRRIGATORS' ASSOCIATION, INC.")</f>
        <v>TIBIAO-DALANAS RIVER IRRIGATORS' ASSOCIATION, INC.</v>
      </c>
      <c r="E581" s="71" t="str">
        <f>IFERROR(__xludf.DUMMYFUNCTION("""COMPUTED_VALUE"""),"Malabor, Tibiao, ANTIQUE")</f>
        <v>Malabor, Tibiao, ANTIQUE</v>
      </c>
      <c r="F581" s="2"/>
      <c r="G581" s="2">
        <f>IFERROR(__xludf.DUMMYFUNCTION("""COMPUTED_VALUE"""),9.351708943E9)</f>
        <v>9351708943</v>
      </c>
      <c r="H581" s="2">
        <f>IFERROR(__xludf.DUMMYFUNCTION("""COMPUTED_VALUE"""),83.0)</f>
        <v>83</v>
      </c>
      <c r="I581" s="72" t="str">
        <f>IFERROR(__xludf.DUMMYFUNCTION("""COMPUTED_VALUE"""),"PMS")</f>
        <v>PMS</v>
      </c>
      <c r="J581" s="72" t="str">
        <f>IFERROR(__xludf.DUMMYFUNCTION("""COMPUTED_VALUE"""),"PMS")</f>
        <v>PMS</v>
      </c>
      <c r="K581" s="72" t="str">
        <f>IFERROR(__xludf.DUMMYFUNCTION("""COMPUTED_VALUE"""),"FIRST PMS")</f>
        <v>FIRST PMS</v>
      </c>
      <c r="L581" s="72" t="str">
        <f>IFERROR(__xludf.DUMMYFUNCTION("""COMPUTED_VALUE"""),"EGT: 1ST PMS DONE")</f>
        <v>EGT: 1ST PMS DONE</v>
      </c>
      <c r="M581" s="2"/>
      <c r="N581" s="2" t="str">
        <f>IFERROR(__xludf.DUMMYFUNCTION("""COMPUTED_VALUE"""),"PARTS: OIL FILTER")</f>
        <v>PARTS: OIL FILTER</v>
      </c>
      <c r="O581" s="2">
        <f>IFERROR(__xludf.DUMMYFUNCTION("""COMPUTED_VALUE"""),1313.0)</f>
        <v>1313</v>
      </c>
      <c r="P581" s="2"/>
      <c r="Q581" s="2"/>
      <c r="R581" s="74">
        <f>IFERROR(__xludf.DUMMYFUNCTION("""COMPUTED_VALUE"""),45577.0)</f>
        <v>45577</v>
      </c>
      <c r="S581" s="2" t="str">
        <f>IFERROR(__xludf.DUMMYFUNCTION("""COMPUTED_VALUE"""),"EGT/DRM")</f>
        <v>EGT/DRM</v>
      </c>
      <c r="T581" s="73">
        <f>IFERROR(__xludf.DUMMYFUNCTION("""COMPUTED_VALUE"""),1533.0)</f>
        <v>1533</v>
      </c>
      <c r="U581" s="73" t="str">
        <f>IFERROR(__xludf.DUMMYFUNCTION("""COMPUTED_VALUE""")," REMITTED ")</f>
        <v>REMITTED</v>
      </c>
      <c r="V581" s="2"/>
      <c r="W581" s="2">
        <f>IFERROR(__xludf.DUMMYFUNCTION("""COMPUTED_VALUE"""),1320.0)</f>
        <v>1320</v>
      </c>
      <c r="X581" s="2">
        <f>IFERROR(__xludf.DUMMYFUNCTION("""COMPUTED_VALUE"""),1225.0)</f>
        <v>1225</v>
      </c>
      <c r="Y581" s="2"/>
      <c r="Z581" s="2"/>
      <c r="AA581" s="2"/>
      <c r="AB581" s="2"/>
      <c r="AC581" s="2"/>
      <c r="AD581" s="2"/>
      <c r="AE581" s="2"/>
      <c r="AF581" s="2"/>
      <c r="AG581" s="2"/>
      <c r="AH581" s="2"/>
      <c r="AI581" s="2"/>
      <c r="AJ581" s="2" t="str">
        <f>IFERROR(__xludf.DUMMYFUNCTION("""COMPUTED_VALUE"""),"Malabor")</f>
        <v>Malabor</v>
      </c>
      <c r="AK581" s="2" t="str">
        <f>IFERROR(__xludf.DUMMYFUNCTION("""COMPUTED_VALUE"""),"Tibiao")</f>
        <v>Tibiao</v>
      </c>
      <c r="AL581" s="2" t="str">
        <f>IFERROR(__xludf.DUMMYFUNCTION("""COMPUTED_VALUE"""),"Antique")</f>
        <v>Antique</v>
      </c>
      <c r="AM581" s="2">
        <f>IFERROR(__xludf.DUMMYFUNCTION("""COMPUTED_VALUE"""),6.0)</f>
        <v>6</v>
      </c>
      <c r="AN581" s="2" t="str">
        <f>IFERROR(__xludf.DUMMYFUNCTION("""COMPUTED_VALUE"""),"RCEF 23-09-21 Rebidding")</f>
        <v>RCEF 23-09-21 Rebidding</v>
      </c>
      <c r="AO581" s="2">
        <f>IFERROR(__xludf.DUMMYFUNCTION("""COMPUTED_VALUE"""),4.0)</f>
        <v>4</v>
      </c>
      <c r="AP581" s="2"/>
      <c r="AQ581" s="2"/>
      <c r="AR581" s="2"/>
      <c r="AS581" s="2"/>
      <c r="AT581" s="2"/>
      <c r="AU581" s="2"/>
      <c r="AV581" s="2"/>
      <c r="AW581" s="2"/>
      <c r="AX581" s="2"/>
      <c r="AY581" s="2"/>
      <c r="AZ581" s="2"/>
      <c r="BA581" s="2"/>
      <c r="BB581" s="2"/>
    </row>
    <row r="582">
      <c r="A582" s="2">
        <f>IFERROR(__xludf.DUMMYFUNCTION("""COMPUTED_VALUE"""),578.0)</f>
        <v>578</v>
      </c>
      <c r="B582" s="2" t="str">
        <f>IFERROR(__xludf.DUMMYFUNCTION("""COMPUTED_VALUE"""),"COMPLETED")</f>
        <v>COMPLETED</v>
      </c>
      <c r="C582" s="74">
        <f>IFERROR(__xludf.DUMMYFUNCTION("""COMPUTED_VALUE"""),45580.0)</f>
        <v>45580</v>
      </c>
      <c r="D582" s="71" t="str">
        <f>IFERROR(__xludf.DUMMYFUNCTION("""COMPUTED_VALUE"""),"Alcadesma Group of Farmers Association(AGFA)")</f>
        <v>Alcadesma Group of Farmers Association(AGFA)</v>
      </c>
      <c r="E582" s="71" t="str">
        <f>IFERROR(__xludf.DUMMYFUNCTION("""COMPUTED_VALUE"""),"Alcadesma, Bansud, Oriental Mindoro")</f>
        <v>Alcadesma, Bansud, Oriental Mindoro</v>
      </c>
      <c r="F582" s="2" t="str">
        <f>IFERROR(__xludf.DUMMYFUNCTION("""COMPUTED_VALUE"""),"ROMEO YAP")</f>
        <v>ROMEO YAP</v>
      </c>
      <c r="G582" s="2"/>
      <c r="H582" s="2">
        <f>IFERROR(__xludf.DUMMYFUNCTION("""COMPUTED_VALUE"""),350.0)</f>
        <v>350</v>
      </c>
      <c r="I582" s="72" t="str">
        <f>IFERROR(__xludf.DUMMYFUNCTION("""COMPUTED_VALUE"""),"PMS")</f>
        <v>PMS</v>
      </c>
      <c r="J582" s="72" t="str">
        <f>IFERROR(__xludf.DUMMYFUNCTION("""COMPUTED_VALUE"""),"PMS")</f>
        <v>PMS</v>
      </c>
      <c r="K582" s="72" t="str">
        <f>IFERROR(__xludf.DUMMYFUNCTION("""COMPUTED_VALUE"""),"KFS: 2ND PMS")</f>
        <v>KFS: 2ND PMS</v>
      </c>
      <c r="L582" s="72" t="str">
        <f>IFERROR(__xludf.DUMMYFUNCTION("""COMPUTED_VALUE"""),"RCG: 2ND PMS DONE")</f>
        <v>RCG: 2ND PMS DONE</v>
      </c>
      <c r="M582" s="2"/>
      <c r="N582" s="2" t="str">
        <f>IFERROR(__xludf.DUMMYFUNCTION("""COMPUTED_VALUE"""),"PARTS: OIL FILTER, HYDRAULIC FILTER")</f>
        <v>PARTS: OIL FILTER, HYDRAULIC FILTER</v>
      </c>
      <c r="O582" s="2">
        <f>IFERROR(__xludf.DUMMYFUNCTION("""COMPUTED_VALUE"""),981.0)</f>
        <v>981</v>
      </c>
      <c r="P582" s="2" t="str">
        <f>IFERROR(__xludf.DUMMYFUNCTION("""COMPUTED_VALUE"""),"981-Alcadesma Group of Farmers Association(AGFA).pdf")</f>
        <v>981-Alcadesma Group of Farmers Association(AGFA).pdf</v>
      </c>
      <c r="Q582" s="2"/>
      <c r="R582" s="74">
        <f>IFERROR(__xludf.DUMMYFUNCTION("""COMPUTED_VALUE"""),45603.0)</f>
        <v>45603</v>
      </c>
      <c r="S582" s="2" t="str">
        <f>IFERROR(__xludf.DUMMYFUNCTION("""COMPUTED_VALUE"""),"RCG/RBS")</f>
        <v>RCG/RBS</v>
      </c>
      <c r="T582" s="73">
        <f>IFERROR(__xludf.DUMMYFUNCTION("""COMPUTED_VALUE"""),4281.0)</f>
        <v>4281</v>
      </c>
      <c r="U582" s="73" t="str">
        <f>IFERROR(__xludf.DUMMYFUNCTION("""COMPUTED_VALUE""")," REMITTED ")</f>
        <v>REMITTED</v>
      </c>
      <c r="V582" s="2"/>
      <c r="W582" s="2"/>
      <c r="X582" s="2">
        <f>IFERROR(__xludf.DUMMYFUNCTION("""COMPUTED_VALUE"""),1211.0)</f>
        <v>1211</v>
      </c>
      <c r="Y582" s="2"/>
      <c r="Z582" s="2"/>
      <c r="AA582" s="2"/>
      <c r="AB582" s="2"/>
      <c r="AC582" s="2"/>
      <c r="AD582" s="2"/>
      <c r="AE582" s="2"/>
      <c r="AF582" s="2"/>
      <c r="AG582" s="2"/>
      <c r="AH582" s="2"/>
      <c r="AI582" s="2"/>
      <c r="AJ582" s="2" t="str">
        <f>IFERROR(__xludf.DUMMYFUNCTION("""COMPUTED_VALUE"""),"Alcadesma")</f>
        <v>Alcadesma</v>
      </c>
      <c r="AK582" s="2" t="str">
        <f>IFERROR(__xludf.DUMMYFUNCTION("""COMPUTED_VALUE"""),"Bansud")</f>
        <v>Bansud</v>
      </c>
      <c r="AL582" s="2" t="str">
        <f>IFERROR(__xludf.DUMMYFUNCTION("""COMPUTED_VALUE"""),"Oriental Mindoro")</f>
        <v>Oriental Mindoro</v>
      </c>
      <c r="AM582" s="2" t="str">
        <f>IFERROR(__xludf.DUMMYFUNCTION("""COMPUTED_VALUE"""),"4B")</f>
        <v>4B</v>
      </c>
      <c r="AN582" s="2" t="str">
        <f>IFERROR(__xludf.DUMMYFUNCTION("""COMPUTED_VALUE"""),"RCEF 23-08-20 Rebidding")</f>
        <v>RCEF 23-08-20 Rebidding</v>
      </c>
      <c r="AO582" s="2">
        <f>IFERROR(__xludf.DUMMYFUNCTION("""COMPUTED_VALUE"""),1.0)</f>
        <v>1</v>
      </c>
      <c r="AP582" s="2"/>
      <c r="AQ582" s="2"/>
      <c r="AR582" s="2"/>
      <c r="AS582" s="2"/>
      <c r="AT582" s="2"/>
      <c r="AU582" s="2"/>
      <c r="AV582" s="2"/>
      <c r="AW582" s="2"/>
      <c r="AX582" s="2"/>
      <c r="AY582" s="2"/>
      <c r="AZ582" s="2"/>
      <c r="BA582" s="2"/>
      <c r="BB582" s="2"/>
    </row>
    <row r="583">
      <c r="A583" s="2">
        <f>IFERROR(__xludf.DUMMYFUNCTION("""COMPUTED_VALUE"""),579.0)</f>
        <v>579</v>
      </c>
      <c r="B583" s="2" t="str">
        <f>IFERROR(__xludf.DUMMYFUNCTION("""COMPUTED_VALUE"""),"COMPLETED")</f>
        <v>COMPLETED</v>
      </c>
      <c r="C583" s="74">
        <f>IFERROR(__xludf.DUMMYFUNCTION("""COMPUTED_VALUE"""),45580.0)</f>
        <v>45580</v>
      </c>
      <c r="D583" s="71" t="str">
        <f>IFERROR(__xludf.DUMMYFUNCTION("""COMPUTED_VALUE"""),"CRISTAMAKITA FARMERS IRRIGATORS' ASSOCIATION, INC")</f>
        <v>CRISTAMAKITA FARMERS IRRIGATORS' ASSOCIATION, INC</v>
      </c>
      <c r="E583" s="71" t="str">
        <f>IFERROR(__xludf.DUMMYFUNCTION("""COMPUTED_VALUE"""),"Malasin, San Jose City, NUEVA ECIJA")</f>
        <v>Malasin, San Jose City, NUEVA ECIJA</v>
      </c>
      <c r="F583" s="2" t="str">
        <f>IFERROR(__xludf.DUMMYFUNCTION("""COMPUTED_VALUE"""),"DANILO SALVADOR")</f>
        <v>DANILO SALVADOR</v>
      </c>
      <c r="G583" s="2" t="str">
        <f>IFERROR(__xludf.DUMMYFUNCTION("""COMPUTED_VALUE"""),"0926-485-1014")</f>
        <v>0926-485-1014</v>
      </c>
      <c r="H583" s="2">
        <f>IFERROR(__xludf.DUMMYFUNCTION("""COMPUTED_VALUE"""),52.0)</f>
        <v>52</v>
      </c>
      <c r="I583" s="72" t="str">
        <f>IFERROR(__xludf.DUMMYFUNCTION("""COMPUTED_VALUE"""),"PMS")</f>
        <v>PMS</v>
      </c>
      <c r="J583" s="72" t="str">
        <f>IFERROR(__xludf.DUMMYFUNCTION("""COMPUTED_VALUE"""),"PMS")</f>
        <v>PMS</v>
      </c>
      <c r="K583" s="72" t="str">
        <f>IFERROR(__xludf.DUMMYFUNCTION("""COMPUTED_VALUE"""),"ERP: 1ST PMS")</f>
        <v>ERP: 1ST PMS</v>
      </c>
      <c r="L583" s="72" t="str">
        <f>IFERROR(__xludf.DUMMYFUNCTION("""COMPUTED_VALUE"""),"ACS: 1ST PMS DONE")</f>
        <v>ACS: 1ST PMS DONE</v>
      </c>
      <c r="M583" s="2"/>
      <c r="N583" s="2" t="str">
        <f>IFERROR(__xludf.DUMMYFUNCTION("""COMPUTED_VALUE"""),"PARTS: OIL FILTER, 5L ENGINE OIL")</f>
        <v>PARTS: OIL FILTER, 5L ENGINE OIL</v>
      </c>
      <c r="O583" s="2">
        <f>IFERROR(__xludf.DUMMYFUNCTION("""COMPUTED_VALUE"""),584.0)</f>
        <v>584</v>
      </c>
      <c r="P583" s="2"/>
      <c r="Q583" s="2" t="str">
        <f>IFERROR(__xludf.DUMMYFUNCTION("""COMPUTED_VALUE"""),"Y")</f>
        <v>Y</v>
      </c>
      <c r="R583" s="74">
        <f>IFERROR(__xludf.DUMMYFUNCTION("""COMPUTED_VALUE"""),45582.0)</f>
        <v>45582</v>
      </c>
      <c r="S583" s="2" t="str">
        <f>IFERROR(__xludf.DUMMYFUNCTION("""COMPUTED_VALUE"""),"ACS/JHP")</f>
        <v>ACS/JHP</v>
      </c>
      <c r="T583" s="73">
        <f>IFERROR(__xludf.DUMMYFUNCTION("""COMPUTED_VALUE"""),3200.0)</f>
        <v>3200</v>
      </c>
      <c r="U583" s="73" t="str">
        <f>IFERROR(__xludf.DUMMYFUNCTION("""COMPUTED_VALUE""")," REMITTED ")</f>
        <v>REMITTED</v>
      </c>
      <c r="V583" s="2"/>
      <c r="W583" s="2"/>
      <c r="X583" s="2">
        <f>IFERROR(__xludf.DUMMYFUNCTION("""COMPUTED_VALUE"""),1192.0)</f>
        <v>1192</v>
      </c>
      <c r="Y583" s="2"/>
      <c r="Z583" s="2"/>
      <c r="AA583" s="2"/>
      <c r="AB583" s="2"/>
      <c r="AC583" s="2"/>
      <c r="AD583" s="2"/>
      <c r="AE583" s="2"/>
      <c r="AF583" s="2"/>
      <c r="AG583" s="2"/>
      <c r="AH583" s="2"/>
      <c r="AI583" s="2"/>
      <c r="AJ583" s="2" t="str">
        <f>IFERROR(__xludf.DUMMYFUNCTION("""COMPUTED_VALUE"""),"Malasin")</f>
        <v>Malasin</v>
      </c>
      <c r="AK583" s="2" t="str">
        <f>IFERROR(__xludf.DUMMYFUNCTION("""COMPUTED_VALUE"""),"San Jose City")</f>
        <v>San Jose City</v>
      </c>
      <c r="AL583" s="2" t="str">
        <f>IFERROR(__xludf.DUMMYFUNCTION("""COMPUTED_VALUE"""),"Nueva Ecija")</f>
        <v>Nueva Ecija</v>
      </c>
      <c r="AM583" s="2">
        <f>IFERROR(__xludf.DUMMYFUNCTION("""COMPUTED_VALUE"""),3.0)</f>
        <v>3</v>
      </c>
      <c r="AN583" s="2" t="str">
        <f>IFERROR(__xludf.DUMMYFUNCTION("""COMPUTED_VALUE"""),"RCEF 23-09-21 Rebidding")</f>
        <v>RCEF 23-09-21 Rebidding</v>
      </c>
      <c r="AO583" s="2">
        <f>IFERROR(__xludf.DUMMYFUNCTION("""COMPUTED_VALUE"""),3.0)</f>
        <v>3</v>
      </c>
      <c r="AP583" s="2"/>
      <c r="AQ583" s="2"/>
      <c r="AR583" s="2"/>
      <c r="AS583" s="2"/>
      <c r="AT583" s="2"/>
      <c r="AU583" s="2"/>
      <c r="AV583" s="2"/>
      <c r="AW583" s="2"/>
      <c r="AX583" s="2"/>
      <c r="AY583" s="2"/>
      <c r="AZ583" s="2"/>
      <c r="BA583" s="2"/>
      <c r="BB583" s="2"/>
    </row>
    <row r="584">
      <c r="A584" s="2">
        <f>IFERROR(__xludf.DUMMYFUNCTION("""COMPUTED_VALUE"""),580.0)</f>
        <v>580</v>
      </c>
      <c r="B584" s="2" t="str">
        <f>IFERROR(__xludf.DUMMYFUNCTION("""COMPUTED_VALUE"""),"COMPLETED")</f>
        <v>COMPLETED</v>
      </c>
      <c r="C584" s="74">
        <f>IFERROR(__xludf.DUMMYFUNCTION("""COMPUTED_VALUE"""),45581.0)</f>
        <v>45581</v>
      </c>
      <c r="D584" s="71" t="str">
        <f>IFERROR(__xludf.DUMMYFUNCTION("""COMPUTED_VALUE"""),"Inagdangan Centro Farmers Association (ICFA)")</f>
        <v>Inagdangan Centro Farmers Association (ICFA)</v>
      </c>
      <c r="E584" s="71" t="str">
        <f>IFERROR(__xludf.DUMMYFUNCTION("""COMPUTED_VALUE"""),"Inagdangan Centro, Zarraga, ILOILO")</f>
        <v>Inagdangan Centro, Zarraga, ILOILO</v>
      </c>
      <c r="F584" s="2" t="str">
        <f>IFERROR(__xludf.DUMMYFUNCTION("""COMPUTED_VALUE"""),"EDWIN GUINAO")</f>
        <v>EDWIN GUINAO</v>
      </c>
      <c r="G584" s="2">
        <f>IFERROR(__xludf.DUMMYFUNCTION("""COMPUTED_VALUE"""),9.273584635E9)</f>
        <v>9273584635</v>
      </c>
      <c r="H584" s="2"/>
      <c r="I584" s="72" t="str">
        <f>IFERROR(__xludf.DUMMYFUNCTION("""COMPUTED_VALUE"""),"PMS")</f>
        <v>PMS</v>
      </c>
      <c r="J584" s="72" t="str">
        <f>IFERROR(__xludf.DUMMYFUNCTION("""COMPUTED_VALUE"""),"PMS")</f>
        <v>PMS</v>
      </c>
      <c r="K584" s="72" t="str">
        <f>IFERROR(__xludf.DUMMYFUNCTION("""COMPUTED_VALUE"""),"JVV: 2ND PMS")</f>
        <v>JVV: 2ND PMS</v>
      </c>
      <c r="L584" s="72" t="str">
        <f>IFERROR(__xludf.DUMMYFUNCTION("""COMPUTED_VALUE"""),"JVV: 2ND PMS DONE")</f>
        <v>JVV: 2ND PMS DONE</v>
      </c>
      <c r="M584" s="2"/>
      <c r="N584" s="2" t="str">
        <f>IFERROR(__xludf.DUMMYFUNCTION("""COMPUTED_VALUE"""),"PARTS: OIL FILTER")</f>
        <v>PARTS: OIL FILTER</v>
      </c>
      <c r="O584" s="2">
        <f>IFERROR(__xludf.DUMMYFUNCTION("""COMPUTED_VALUE"""),1203.0)</f>
        <v>1203</v>
      </c>
      <c r="P584" s="2"/>
      <c r="Q584" s="2"/>
      <c r="R584" s="74">
        <f>IFERROR(__xludf.DUMMYFUNCTION("""COMPUTED_VALUE"""),45581.0)</f>
        <v>45581</v>
      </c>
      <c r="S584" s="2" t="str">
        <f>IFERROR(__xludf.DUMMYFUNCTION("""COMPUTED_VALUE"""),"CFG/JVV")</f>
        <v>CFG/JVV</v>
      </c>
      <c r="T584" s="73">
        <f>IFERROR(__xludf.DUMMYFUNCTION("""COMPUTED_VALUE"""),1533.0)</f>
        <v>1533</v>
      </c>
      <c r="U584" s="73" t="str">
        <f>IFERROR(__xludf.DUMMYFUNCTION("""COMPUTED_VALUE""")," FOR REMIT ")</f>
        <v>FOR REMIT</v>
      </c>
      <c r="V584" s="2"/>
      <c r="W584" s="2"/>
      <c r="X584" s="2" t="str">
        <f>IFERROR(__xludf.DUMMYFUNCTION("""COMPUTED_VALUE"""),"as per CJ binili daw ni FCA yung Oil Filter sa Labas")</f>
        <v>as per CJ binili daw ni FCA yung Oil Filter sa Labas</v>
      </c>
      <c r="Y584" s="2"/>
      <c r="Z584" s="2"/>
      <c r="AA584" s="2"/>
      <c r="AB584" s="2"/>
      <c r="AC584" s="2"/>
      <c r="AD584" s="2"/>
      <c r="AE584" s="2"/>
      <c r="AF584" s="2"/>
      <c r="AG584" s="2"/>
      <c r="AH584" s="2"/>
      <c r="AI584" s="2"/>
      <c r="AJ584" s="2" t="str">
        <f>IFERROR(__xludf.DUMMYFUNCTION("""COMPUTED_VALUE"""),"Inagdangan Centro")</f>
        <v>Inagdangan Centro</v>
      </c>
      <c r="AK584" s="2" t="str">
        <f>IFERROR(__xludf.DUMMYFUNCTION("""COMPUTED_VALUE"""),"Zarraga")</f>
        <v>Zarraga</v>
      </c>
      <c r="AL584" s="2" t="str">
        <f>IFERROR(__xludf.DUMMYFUNCTION("""COMPUTED_VALUE"""),"Iloilo")</f>
        <v>Iloilo</v>
      </c>
      <c r="AM584" s="2">
        <f>IFERROR(__xludf.DUMMYFUNCTION("""COMPUTED_VALUE"""),6.0)</f>
        <v>6</v>
      </c>
      <c r="AN584" s="2" t="str">
        <f>IFERROR(__xludf.DUMMYFUNCTION("""COMPUTED_VALUE"""),"RCEF 23-09-21 Rebidding")</f>
        <v>RCEF 23-09-21 Rebidding</v>
      </c>
      <c r="AO584" s="2">
        <f>IFERROR(__xludf.DUMMYFUNCTION("""COMPUTED_VALUE"""),4.0)</f>
        <v>4</v>
      </c>
      <c r="AP584" s="2"/>
      <c r="AQ584" s="2"/>
      <c r="AR584" s="2"/>
      <c r="AS584" s="2"/>
      <c r="AT584" s="2"/>
      <c r="AU584" s="2"/>
      <c r="AV584" s="2"/>
      <c r="AW584" s="2"/>
      <c r="AX584" s="2"/>
      <c r="AY584" s="2"/>
      <c r="AZ584" s="2"/>
      <c r="BA584" s="2"/>
      <c r="BB584" s="2"/>
    </row>
    <row r="585">
      <c r="A585" s="2">
        <f>IFERROR(__xludf.DUMMYFUNCTION("""COMPUTED_VALUE"""),581.0)</f>
        <v>581</v>
      </c>
      <c r="B585" s="2" t="str">
        <f>IFERROR(__xludf.DUMMYFUNCTION("""COMPUTED_VALUE"""),"COMPLETED")</f>
        <v>COMPLETED</v>
      </c>
      <c r="C585" s="74">
        <f>IFERROR(__xludf.DUMMYFUNCTION("""COMPUTED_VALUE"""),45581.0)</f>
        <v>45581</v>
      </c>
      <c r="D585" s="71" t="str">
        <f>IFERROR(__xludf.DUMMYFUNCTION("""COMPUTED_VALUE"""),"BESSANG SMALL WATER IMPOUNDING SYSTEM ASSOCIATION (BESWISA)")</f>
        <v>BESSANG SMALL WATER IMPOUNDING SYSTEM ASSOCIATION (BESWISA)</v>
      </c>
      <c r="E585" s="71" t="str">
        <f>IFERROR(__xludf.DUMMYFUNCTION("""COMPUTED_VALUE"""),"Bessang, Allacapan, CAGAYAN")</f>
        <v>Bessang, Allacapan, CAGAYAN</v>
      </c>
      <c r="F585" s="2"/>
      <c r="G585" s="2"/>
      <c r="H585" s="2"/>
      <c r="I585" s="72" t="str">
        <f>IFERROR(__xludf.DUMMYFUNCTION("""COMPUTED_VALUE"""),"SPARE PARTS ACQUISITION")</f>
        <v>SPARE PARTS ACQUISITION</v>
      </c>
      <c r="J585" s="72" t="str">
        <f>IFERROR(__xludf.DUMMYFUNCTION("""COMPUTED_VALUE"""),"SPARE PARTS ACQUISITION")</f>
        <v>SPARE PARTS ACQUISITION</v>
      </c>
      <c r="K585" s="72" t="str">
        <f>IFERROR(__xludf.DUMMYFUNCTION("""COMPUTED_VALUE"""),"OIL FILTER, HYDRAULIC FILTER")</f>
        <v>OIL FILTER, HYDRAULIC FILTER</v>
      </c>
      <c r="L585" s="72" t="str">
        <f>IFERROR(__xludf.DUMMYFUNCTION("""COMPUTED_VALUE"""),"DELIVERED")</f>
        <v>DELIVERED</v>
      </c>
      <c r="M585" s="2"/>
      <c r="N585" s="2" t="str">
        <f>IFERROR(__xludf.DUMMYFUNCTION("""COMPUTED_VALUE"""),"PARTS: OIL FILTER, HYDRAULIC FILTER")</f>
        <v>PARTS: OIL FILTER, HYDRAULIC FILTER</v>
      </c>
      <c r="O585" s="2" t="str">
        <f>IFERROR(__xludf.DUMMYFUNCTION("""COMPUTED_VALUE"""),"N/A")</f>
        <v>N/A</v>
      </c>
      <c r="P585" s="2"/>
      <c r="Q585" s="2"/>
      <c r="R585" s="74">
        <f>IFERROR(__xludf.DUMMYFUNCTION("""COMPUTED_VALUE"""),45581.0)</f>
        <v>45581</v>
      </c>
      <c r="S585" s="2"/>
      <c r="T585" s="73">
        <f>IFERROR(__xludf.DUMMYFUNCTION("""COMPUTED_VALUE"""),4281.0)</f>
        <v>4281</v>
      </c>
      <c r="U585" s="73" t="str">
        <f>IFERROR(__xludf.DUMMYFUNCTION("""COMPUTED_VALUE""")," REMITTED ")</f>
        <v>REMITTED</v>
      </c>
      <c r="V585" s="2"/>
      <c r="W585" s="2"/>
      <c r="X585" s="2">
        <f>IFERROR(__xludf.DUMMYFUNCTION("""COMPUTED_VALUE"""),1170.0)</f>
        <v>1170</v>
      </c>
      <c r="Y585" s="2"/>
      <c r="Z585" s="2"/>
      <c r="AA585" s="2"/>
      <c r="AB585" s="2"/>
      <c r="AC585" s="2"/>
      <c r="AD585" s="2"/>
      <c r="AE585" s="2"/>
      <c r="AF585" s="2"/>
      <c r="AG585" s="2"/>
      <c r="AH585" s="2"/>
      <c r="AI585" s="2"/>
      <c r="AJ585" s="2" t="str">
        <f>IFERROR(__xludf.DUMMYFUNCTION("""COMPUTED_VALUE"""),"Bessang")</f>
        <v>Bessang</v>
      </c>
      <c r="AK585" s="2" t="str">
        <f>IFERROR(__xludf.DUMMYFUNCTION("""COMPUTED_VALUE"""),"Allacapan")</f>
        <v>Allacapan</v>
      </c>
      <c r="AL585" s="2" t="str">
        <f>IFERROR(__xludf.DUMMYFUNCTION("""COMPUTED_VALUE"""),"Cagayan")</f>
        <v>Cagayan</v>
      </c>
      <c r="AM585" s="2">
        <f>IFERROR(__xludf.DUMMYFUNCTION("""COMPUTED_VALUE"""),2.0)</f>
        <v>2</v>
      </c>
      <c r="AN585" s="2" t="str">
        <f>IFERROR(__xludf.DUMMYFUNCTION("""COMPUTED_VALUE"""),"RCEF 23-09-21 Rebidding")</f>
        <v>RCEF 23-09-21 Rebidding</v>
      </c>
      <c r="AO585" s="2">
        <f>IFERROR(__xludf.DUMMYFUNCTION("""COMPUTED_VALUE"""),1.0)</f>
        <v>1</v>
      </c>
      <c r="AP585" s="2"/>
      <c r="AQ585" s="2"/>
      <c r="AR585" s="2"/>
      <c r="AS585" s="2"/>
      <c r="AT585" s="2"/>
      <c r="AU585" s="2"/>
      <c r="AV585" s="2"/>
      <c r="AW585" s="2"/>
      <c r="AX585" s="2"/>
      <c r="AY585" s="2"/>
      <c r="AZ585" s="2"/>
      <c r="BA585" s="2"/>
      <c r="BB585" s="2"/>
    </row>
    <row r="586">
      <c r="A586" s="2">
        <f>IFERROR(__xludf.DUMMYFUNCTION("""COMPUTED_VALUE"""),582.0)</f>
        <v>582</v>
      </c>
      <c r="B586" s="2" t="str">
        <f>IFERROR(__xludf.DUMMYFUNCTION("""COMPUTED_VALUE"""),"COMPLETED")</f>
        <v>COMPLETED</v>
      </c>
      <c r="C586" s="74">
        <f>IFERROR(__xludf.DUMMYFUNCTION("""COMPUTED_VALUE"""),45581.0)</f>
        <v>45581</v>
      </c>
      <c r="D586" s="71" t="str">
        <f>IFERROR(__xludf.DUMMYFUNCTION("""COMPUTED_VALUE"""),"MALLALATANG GRANDE AND VILLADOR FARMERS ASSOCIATION")</f>
        <v>MALLALATANG GRANDE AND VILLADOR FARMERS ASSOCIATION</v>
      </c>
      <c r="E586" s="71" t="str">
        <f>IFERROR(__xludf.DUMMYFUNCTION("""COMPUTED_VALUE"""),"Villador, Reina Mercedes, ISABELA")</f>
        <v>Villador, Reina Mercedes, ISABELA</v>
      </c>
      <c r="F586" s="2"/>
      <c r="G586" s="2">
        <f>IFERROR(__xludf.DUMMYFUNCTION("""COMPUTED_VALUE"""),9.654799576E9)</f>
        <v>9654799576</v>
      </c>
      <c r="H586" s="2">
        <f>IFERROR(__xludf.DUMMYFUNCTION("""COMPUTED_VALUE"""),225.0)</f>
        <v>225</v>
      </c>
      <c r="I586" s="72" t="str">
        <f>IFERROR(__xludf.DUMMYFUNCTION("""COMPUTED_VALUE"""),"REPAIR - TRACTOR")</f>
        <v>REPAIR - TRACTOR</v>
      </c>
      <c r="J586" s="72" t="str">
        <f>IFERROR(__xludf.DUMMYFUNCTION("""COMPUTED_VALUE"""),"Electrical - PTO Switch")</f>
        <v>Electrical - PTO Switch</v>
      </c>
      <c r="K586" s="72" t="str">
        <f>IFERROR(__xludf.DUMMYFUNCTION("""COMPUTED_VALUE"""),"CFG: sira ung PTO SWITCH at may tagas sa bomba sa may tabi ng starter.
")</f>
        <v>CFG: sira ung PTO SWITCH at may tagas sa bomba sa may tabi ng starter.
</v>
      </c>
      <c r="L586" s="72" t="str">
        <f>IFERROR(__xludf.DUMMYFUNCTION("""COMPUTED_VALUE"""),"CFG; CLOSED VIA CALL")</f>
        <v>CFG; CLOSED VIA CALL</v>
      </c>
      <c r="M586" s="2"/>
      <c r="N586" s="2"/>
      <c r="O586" s="2" t="str">
        <f>IFERROR(__xludf.DUMMYFUNCTION("""COMPUTED_VALUE"""),"N/A")</f>
        <v>N/A</v>
      </c>
      <c r="P586" s="2"/>
      <c r="Q586" s="2"/>
      <c r="R586" s="74">
        <f>IFERROR(__xludf.DUMMYFUNCTION("""COMPUTED_VALUE"""),45594.0)</f>
        <v>45594</v>
      </c>
      <c r="S586" s="2" t="str">
        <f>IFERROR(__xludf.DUMMYFUNCTION("""COMPUTED_VALUE"""),"CFG")</f>
        <v>CFG</v>
      </c>
      <c r="T586" s="73" t="str">
        <f>IFERROR(__xludf.DUMMYFUNCTION("""COMPUTED_VALUE""")," N/A ")</f>
        <v>N/A</v>
      </c>
      <c r="U586" s="73" t="str">
        <f>IFERROR(__xludf.DUMMYFUNCTION("""COMPUTED_VALUE""")," NO CHARGE ")</f>
        <v>NO CHARGE</v>
      </c>
      <c r="V586" s="2"/>
      <c r="W586" s="2" t="str">
        <f>IFERROR(__xludf.DUMMYFUNCTION("""COMPUTED_VALUE"""),"N/A")</f>
        <v>N/A</v>
      </c>
      <c r="X586" s="2" t="str">
        <f>IFERROR(__xludf.DUMMYFUNCTION("""COMPUTED_VALUE"""),"N/A")</f>
        <v>N/A</v>
      </c>
      <c r="Y586" s="2"/>
      <c r="Z586" s="2"/>
      <c r="AA586" s="2"/>
      <c r="AB586" s="2"/>
      <c r="AC586" s="2"/>
      <c r="AD586" s="2"/>
      <c r="AE586" s="2"/>
      <c r="AF586" s="2"/>
      <c r="AG586" s="2"/>
      <c r="AH586" s="2"/>
      <c r="AI586" s="2"/>
      <c r="AJ586" s="2" t="str">
        <f>IFERROR(__xludf.DUMMYFUNCTION("""COMPUTED_VALUE"""),"Villador")</f>
        <v>Villador</v>
      </c>
      <c r="AK586" s="2" t="str">
        <f>IFERROR(__xludf.DUMMYFUNCTION("""COMPUTED_VALUE"""),"Reina Mercedes")</f>
        <v>Reina Mercedes</v>
      </c>
      <c r="AL586" s="2" t="str">
        <f>IFERROR(__xludf.DUMMYFUNCTION("""COMPUTED_VALUE"""),"Isabela")</f>
        <v>Isabela</v>
      </c>
      <c r="AM586" s="2">
        <f>IFERROR(__xludf.DUMMYFUNCTION("""COMPUTED_VALUE"""),2.0)</f>
        <v>2</v>
      </c>
      <c r="AN586" s="2" t="str">
        <f>IFERROR(__xludf.DUMMYFUNCTION("""COMPUTED_VALUE"""),"RCEF 23-09-21 Rebidding")</f>
        <v>RCEF 23-09-21 Rebidding</v>
      </c>
      <c r="AO586" s="2">
        <f>IFERROR(__xludf.DUMMYFUNCTION("""COMPUTED_VALUE"""),9.0)</f>
        <v>9</v>
      </c>
      <c r="AP586" s="2"/>
      <c r="AQ586" s="2"/>
      <c r="AR586" s="2"/>
      <c r="AS586" s="2"/>
      <c r="AT586" s="2"/>
      <c r="AU586" s="2"/>
      <c r="AV586" s="2"/>
      <c r="AW586" s="2"/>
      <c r="AX586" s="2"/>
      <c r="AY586" s="2"/>
      <c r="AZ586" s="2"/>
      <c r="BA586" s="2"/>
      <c r="BB586" s="2"/>
    </row>
    <row r="587">
      <c r="A587" s="2">
        <f>IFERROR(__xludf.DUMMYFUNCTION("""COMPUTED_VALUE"""),583.0)</f>
        <v>583</v>
      </c>
      <c r="B587" s="2" t="str">
        <f>IFERROR(__xludf.DUMMYFUNCTION("""COMPUTED_VALUE"""),"COMPLETED")</f>
        <v>COMPLETED</v>
      </c>
      <c r="C587" s="74">
        <f>IFERROR(__xludf.DUMMYFUNCTION("""COMPUTED_VALUE"""),45581.0)</f>
        <v>45581</v>
      </c>
      <c r="D587" s="71" t="str">
        <f>IFERROR(__xludf.DUMMYFUNCTION("""COMPUTED_VALUE"""),"TARICUSTO FARMERS IRRIGATORS' ASSOCIATION INC.")</f>
        <v>TARICUSTO FARMERS IRRIGATORS' ASSOCIATION INC.</v>
      </c>
      <c r="E587" s="71" t="str">
        <f>IFERROR(__xludf.DUMMYFUNCTION("""COMPUTED_VALUE"""),"Taribubu, Tuao, CAGAYAN")</f>
        <v>Taribubu, Tuao, CAGAYAN</v>
      </c>
      <c r="F587" s="2"/>
      <c r="G587" s="2">
        <f>IFERROR(__xludf.DUMMYFUNCTION("""COMPUTED_VALUE"""),9.655709861E9)</f>
        <v>9655709861</v>
      </c>
      <c r="H587" s="2">
        <f>IFERROR(__xludf.DUMMYFUNCTION("""COMPUTED_VALUE"""),500.0)</f>
        <v>500</v>
      </c>
      <c r="I587" s="72" t="str">
        <f>IFERROR(__xludf.DUMMYFUNCTION("""COMPUTED_VALUE"""),"PMS")</f>
        <v>PMS</v>
      </c>
      <c r="J587" s="72" t="str">
        <f>IFERROR(__xludf.DUMMYFUNCTION("""COMPUTED_VALUE"""),"PMS")</f>
        <v>PMS</v>
      </c>
      <c r="K587" s="72" t="str">
        <f>IFERROR(__xludf.DUMMYFUNCTION("""COMPUTED_VALUE"""),"MYKEE: 2ND PMS")</f>
        <v>MYKEE: 2ND PMS</v>
      </c>
      <c r="L587" s="72" t="str">
        <f>IFERROR(__xludf.DUMMYFUNCTION("""COMPUTED_VALUE"""),"JVV: 2ND PMS DONE")</f>
        <v>JVV: 2ND PMS DONE</v>
      </c>
      <c r="M587" s="2"/>
      <c r="N587" s="2" t="str">
        <f>IFERROR(__xludf.DUMMYFUNCTION("""COMPUTED_VALUE"""),"PARTS: OIL FILTER, HYDRAULIC FILTER
")</f>
        <v>PARTS: OIL FILTER, HYDRAULIC FILTER
</v>
      </c>
      <c r="O587" s="2">
        <f>IFERROR(__xludf.DUMMYFUNCTION("""COMPUTED_VALUE"""),1155.0)</f>
        <v>1155</v>
      </c>
      <c r="P587" s="2"/>
      <c r="Q587" s="2"/>
      <c r="R587" s="74">
        <f>IFERROR(__xludf.DUMMYFUNCTION("""COMPUTED_VALUE"""),45606.0)</f>
        <v>45606</v>
      </c>
      <c r="S587" s="2" t="str">
        <f>IFERROR(__xludf.DUMMYFUNCTION("""COMPUTED_VALUE"""),"JVV/CFG")</f>
        <v>JVV/CFG</v>
      </c>
      <c r="T587" s="73">
        <f>IFERROR(__xludf.DUMMYFUNCTION("""COMPUTED_VALUE"""),4281.0)</f>
        <v>4281</v>
      </c>
      <c r="U587" s="73" t="str">
        <f>IFERROR(__xludf.DUMMYFUNCTION("""COMPUTED_VALUE""")," REMITTED ")</f>
        <v>REMITTED</v>
      </c>
      <c r="V587" s="2"/>
      <c r="W587" s="2" t="str">
        <f>IFERROR(__xludf.DUMMYFUNCTION("""COMPUTED_VALUE"""),"1283/1284")</f>
        <v>1283/1284</v>
      </c>
      <c r="X587" s="2">
        <f>IFERROR(__xludf.DUMMYFUNCTION("""COMPUTED_VALUE"""),1298.0)</f>
        <v>1298</v>
      </c>
      <c r="Y587" s="2"/>
      <c r="Z587" s="2"/>
      <c r="AA587" s="2"/>
      <c r="AB587" s="2"/>
      <c r="AC587" s="2"/>
      <c r="AD587" s="2"/>
      <c r="AE587" s="2"/>
      <c r="AF587" s="2"/>
      <c r="AG587" s="2"/>
      <c r="AH587" s="2"/>
      <c r="AI587" s="2"/>
      <c r="AJ587" s="2" t="str">
        <f>IFERROR(__xludf.DUMMYFUNCTION("""COMPUTED_VALUE"""),"Taribubu")</f>
        <v>Taribubu</v>
      </c>
      <c r="AK587" s="2" t="str">
        <f>IFERROR(__xludf.DUMMYFUNCTION("""COMPUTED_VALUE"""),"Tuao")</f>
        <v>Tuao</v>
      </c>
      <c r="AL587" s="2" t="str">
        <f>IFERROR(__xludf.DUMMYFUNCTION("""COMPUTED_VALUE"""),"Cagayan")</f>
        <v>Cagayan</v>
      </c>
      <c r="AM587" s="2">
        <f>IFERROR(__xludf.DUMMYFUNCTION("""COMPUTED_VALUE"""),2.0)</f>
        <v>2</v>
      </c>
      <c r="AN587" s="2" t="str">
        <f>IFERROR(__xludf.DUMMYFUNCTION("""COMPUTED_VALUE"""),"RCEF 23-09-21 Rebidding")</f>
        <v>RCEF 23-09-21 Rebidding</v>
      </c>
      <c r="AO587" s="2">
        <f>IFERROR(__xludf.DUMMYFUNCTION("""COMPUTED_VALUE"""),9.0)</f>
        <v>9</v>
      </c>
      <c r="AP587" s="2"/>
      <c r="AQ587" s="2"/>
      <c r="AR587" s="2"/>
      <c r="AS587" s="2"/>
      <c r="AT587" s="2"/>
      <c r="AU587" s="2"/>
      <c r="AV587" s="2"/>
      <c r="AW587" s="2"/>
      <c r="AX587" s="2"/>
      <c r="AY587" s="2"/>
      <c r="AZ587" s="2"/>
      <c r="BA587" s="2"/>
      <c r="BB587" s="2"/>
    </row>
    <row r="588">
      <c r="A588" s="2">
        <f>IFERROR(__xludf.DUMMYFUNCTION("""COMPUTED_VALUE"""),584.0)</f>
        <v>584</v>
      </c>
      <c r="B588" s="2" t="str">
        <f>IFERROR(__xludf.DUMMYFUNCTION("""COMPUTED_VALUE"""),"COMPLETED")</f>
        <v>COMPLETED</v>
      </c>
      <c r="C588" s="74">
        <f>IFERROR(__xludf.DUMMYFUNCTION("""COMPUTED_VALUE"""),45581.0)</f>
        <v>45581</v>
      </c>
      <c r="D588" s="71" t="str">
        <f>IFERROR(__xludf.DUMMYFUNCTION("""COMPUTED_VALUE"""),"Inagdangan Centro Farmers Association (ICFA)")</f>
        <v>Inagdangan Centro Farmers Association (ICFA)</v>
      </c>
      <c r="E588" s="71" t="str">
        <f>IFERROR(__xludf.DUMMYFUNCTION("""COMPUTED_VALUE"""),"Inagdangan Centro, Zarraga, ILOILO")</f>
        <v>Inagdangan Centro, Zarraga, ILOILO</v>
      </c>
      <c r="F588" s="2" t="str">
        <f>IFERROR(__xludf.DUMMYFUNCTION("""COMPUTED_VALUE"""),"EDWIN GUINAO")</f>
        <v>EDWIN GUINAO</v>
      </c>
      <c r="G588" s="2">
        <f>IFERROR(__xludf.DUMMYFUNCTION("""COMPUTED_VALUE"""),9.273584635E9)</f>
        <v>9273584635</v>
      </c>
      <c r="H588" s="2"/>
      <c r="I588" s="72" t="str">
        <f>IFERROR(__xludf.DUMMYFUNCTION("""COMPUTED_VALUE"""),"SPARE PARTS ACQUISITION")</f>
        <v>SPARE PARTS ACQUISITION</v>
      </c>
      <c r="J588" s="72" t="str">
        <f>IFERROR(__xludf.DUMMYFUNCTION("""COMPUTED_VALUE"""),"SPARE PARTS ACQUISITION")</f>
        <v>SPARE PARTS ACQUISITION</v>
      </c>
      <c r="K588" s="72" t="str">
        <f>IFERROR(__xludf.DUMMYFUNCTION("""COMPUTED_VALUE"""),"CFG: HYDRAULIC FILTER")</f>
        <v>CFG: HYDRAULIC FILTER</v>
      </c>
      <c r="L588" s="72" t="str">
        <f>IFERROR(__xludf.DUMMYFUNCTION("""COMPUTED_VALUE"""),"HYDRAULIC FILTER")</f>
        <v>HYDRAULIC FILTER</v>
      </c>
      <c r="M588" s="2"/>
      <c r="N588" s="2" t="str">
        <f>IFERROR(__xludf.DUMMYFUNCTION("""COMPUTED_VALUE"""),"PARTS: HYDRAULIC FILTER")</f>
        <v>PARTS: HYDRAULIC FILTER</v>
      </c>
      <c r="O588" s="2" t="str">
        <f>IFERROR(__xludf.DUMMYFUNCTION("""COMPUTED_VALUE"""),"N/A")</f>
        <v>N/A</v>
      </c>
      <c r="P588" s="2"/>
      <c r="Q588" s="2"/>
      <c r="R588" s="74">
        <f>IFERROR(__xludf.DUMMYFUNCTION("""COMPUTED_VALUE"""),45595.0)</f>
        <v>45595</v>
      </c>
      <c r="S588" s="2" t="str">
        <f>IFERROR(__xludf.DUMMYFUNCTION("""COMPUTED_VALUE"""),"EGT/DRM")</f>
        <v>EGT/DRM</v>
      </c>
      <c r="T588" s="73">
        <f>IFERROR(__xludf.DUMMYFUNCTION("""COMPUTED_VALUE"""),2748.0)</f>
        <v>2748</v>
      </c>
      <c r="U588" s="73" t="str">
        <f>IFERROR(__xludf.DUMMYFUNCTION("""COMPUTED_VALUE""")," FOR REMIT ")</f>
        <v>FOR REMIT</v>
      </c>
      <c r="V588" s="2"/>
      <c r="W588" s="2"/>
      <c r="X588" s="2"/>
      <c r="Y588" s="2"/>
      <c r="Z588" s="2"/>
      <c r="AA588" s="2"/>
      <c r="AB588" s="2"/>
      <c r="AC588" s="2"/>
      <c r="AD588" s="2"/>
      <c r="AE588" s="2"/>
      <c r="AF588" s="2"/>
      <c r="AG588" s="2"/>
      <c r="AH588" s="2"/>
      <c r="AI588" s="2"/>
      <c r="AJ588" s="2" t="str">
        <f>IFERROR(__xludf.DUMMYFUNCTION("""COMPUTED_VALUE"""),"Inagdangan Centro")</f>
        <v>Inagdangan Centro</v>
      </c>
      <c r="AK588" s="2" t="str">
        <f>IFERROR(__xludf.DUMMYFUNCTION("""COMPUTED_VALUE"""),"Zarraga")</f>
        <v>Zarraga</v>
      </c>
      <c r="AL588" s="2" t="str">
        <f>IFERROR(__xludf.DUMMYFUNCTION("""COMPUTED_VALUE"""),"Iloilo")</f>
        <v>Iloilo</v>
      </c>
      <c r="AM588" s="2">
        <f>IFERROR(__xludf.DUMMYFUNCTION("""COMPUTED_VALUE"""),6.0)</f>
        <v>6</v>
      </c>
      <c r="AN588" s="2" t="str">
        <f>IFERROR(__xludf.DUMMYFUNCTION("""COMPUTED_VALUE"""),"RCEF 23-09-21 Rebidding")</f>
        <v>RCEF 23-09-21 Rebidding</v>
      </c>
      <c r="AO588" s="2">
        <f>IFERROR(__xludf.DUMMYFUNCTION("""COMPUTED_VALUE"""),4.0)</f>
        <v>4</v>
      </c>
      <c r="AP588" s="2"/>
      <c r="AQ588" s="2"/>
      <c r="AR588" s="2"/>
      <c r="AS588" s="2"/>
      <c r="AT588" s="2"/>
      <c r="AU588" s="2"/>
      <c r="AV588" s="2"/>
      <c r="AW588" s="2"/>
      <c r="AX588" s="2"/>
      <c r="AY588" s="2"/>
      <c r="AZ588" s="2"/>
      <c r="BA588" s="2"/>
      <c r="BB588" s="2"/>
    </row>
    <row r="589">
      <c r="A589" s="2">
        <f>IFERROR(__xludf.DUMMYFUNCTION("""COMPUTED_VALUE"""),585.0)</f>
        <v>585</v>
      </c>
      <c r="B589" s="2" t="str">
        <f>IFERROR(__xludf.DUMMYFUNCTION("""COMPUTED_VALUE"""),"COMPLETED")</f>
        <v>COMPLETED</v>
      </c>
      <c r="C589" s="74">
        <f>IFERROR(__xludf.DUMMYFUNCTION("""COMPUTED_VALUE"""),45581.0)</f>
        <v>45581</v>
      </c>
      <c r="D589" s="71" t="str">
        <f>IFERROR(__xludf.DUMMYFUNCTION("""COMPUTED_VALUE"""),"AGKAKARUBA IRRIGATORS ASSOCIATION, INC.")</f>
        <v>AGKAKARUBA IRRIGATORS ASSOCIATION, INC.</v>
      </c>
      <c r="E589" s="71" t="str">
        <f>IFERROR(__xludf.DUMMYFUNCTION("""COMPUTED_VALUE"""),"Plaridel, Aborlan, Palawan")</f>
        <v>Plaridel, Aborlan, Palawan</v>
      </c>
      <c r="F589" s="2" t="str">
        <f>IFERROR(__xludf.DUMMYFUNCTION("""COMPUTED_VALUE"""),"Buenaventura Rosario")</f>
        <v>Buenaventura Rosario</v>
      </c>
      <c r="G589" s="2">
        <f>IFERROR(__xludf.DUMMYFUNCTION("""COMPUTED_VALUE"""),9.107649489E9)</f>
        <v>9107649489</v>
      </c>
      <c r="H589" s="2">
        <f>IFERROR(__xludf.DUMMYFUNCTION("""COMPUTED_VALUE"""),515.0)</f>
        <v>515</v>
      </c>
      <c r="I589" s="72" t="str">
        <f>IFERROR(__xludf.DUMMYFUNCTION("""COMPUTED_VALUE"""),"SPARE PARTS ACQUISITION")</f>
        <v>SPARE PARTS ACQUISITION</v>
      </c>
      <c r="J589" s="72" t="str">
        <f>IFERROR(__xludf.DUMMYFUNCTION("""COMPUTED_VALUE"""),"DRVE SHAFT")</f>
        <v>DRVE SHAFT</v>
      </c>
      <c r="K589" s="72" t="str">
        <f>IFERROR(__xludf.DUMMYFUNCTION("""COMPUTED_VALUE"""),"RCG: 1 DRIVE SHAFT")</f>
        <v>RCG: 1 DRIVE SHAFT</v>
      </c>
      <c r="L589" s="72" t="str">
        <f>IFERROR(__xludf.DUMMYFUNCTION("""COMPUTED_VALUE"""),"RCG: Pinagawa na daw po nila sa machineshop.pina welding na lng.
")</f>
        <v>RCG: Pinagawa na daw po nila sa machineshop.pina welding na lng.
</v>
      </c>
      <c r="M589" s="2"/>
      <c r="N589" s="2"/>
      <c r="O589" s="2" t="str">
        <f>IFERROR(__xludf.DUMMYFUNCTION("""COMPUTED_VALUE"""),"N/A")</f>
        <v>N/A</v>
      </c>
      <c r="P589" s="2"/>
      <c r="Q589" s="2"/>
      <c r="R589" s="74">
        <f>IFERROR(__xludf.DUMMYFUNCTION("""COMPUTED_VALUE"""),45623.0)</f>
        <v>45623</v>
      </c>
      <c r="S589" s="2" t="str">
        <f>IFERROR(__xludf.DUMMYFUNCTION("""COMPUTED_VALUE"""),"RCG/JDP")</f>
        <v>RCG/JDP</v>
      </c>
      <c r="T589" s="73" t="str">
        <f>IFERROR(__xludf.DUMMYFUNCTION("""COMPUTED_VALUE""")," N/A ")</f>
        <v>N/A</v>
      </c>
      <c r="U589" s="73" t="str">
        <f>IFERROR(__xludf.DUMMYFUNCTION("""COMPUTED_VALUE""")," NO CHARGE ")</f>
        <v>NO CHARGE</v>
      </c>
      <c r="V589" s="2"/>
      <c r="W589" s="2" t="str">
        <f>IFERROR(__xludf.DUMMYFUNCTION("""COMPUTED_VALUE"""),"N/A")</f>
        <v>N/A</v>
      </c>
      <c r="X589" s="2" t="str">
        <f>IFERROR(__xludf.DUMMYFUNCTION("""COMPUTED_VALUE"""),"N/A")</f>
        <v>N/A</v>
      </c>
      <c r="Y589" s="2"/>
      <c r="Z589" s="2"/>
      <c r="AA589" s="2"/>
      <c r="AB589" s="2"/>
      <c r="AC589" s="2"/>
      <c r="AD589" s="2"/>
      <c r="AE589" s="2"/>
      <c r="AF589" s="2"/>
      <c r="AG589" s="2"/>
      <c r="AH589" s="2"/>
      <c r="AI589" s="2"/>
      <c r="AJ589" s="2" t="str">
        <f>IFERROR(__xludf.DUMMYFUNCTION("""COMPUTED_VALUE"""),"Plaridel")</f>
        <v>Plaridel</v>
      </c>
      <c r="AK589" s="2" t="str">
        <f>IFERROR(__xludf.DUMMYFUNCTION("""COMPUTED_VALUE"""),"Aborlan")</f>
        <v>Aborlan</v>
      </c>
      <c r="AL589" s="2" t="str">
        <f>IFERROR(__xludf.DUMMYFUNCTION("""COMPUTED_VALUE"""),"Palawan")</f>
        <v>Palawan</v>
      </c>
      <c r="AM589" s="2" t="str">
        <f>IFERROR(__xludf.DUMMYFUNCTION("""COMPUTED_VALUE"""),"4B")</f>
        <v>4B</v>
      </c>
      <c r="AN589" s="2" t="str">
        <f>IFERROR(__xludf.DUMMYFUNCTION("""COMPUTED_VALUE"""),"RCEF 23-08-20 Rebidding")</f>
        <v>RCEF 23-08-20 Rebidding</v>
      </c>
      <c r="AO589" s="2">
        <f>IFERROR(__xludf.DUMMYFUNCTION("""COMPUTED_VALUE"""),1.0)</f>
        <v>1</v>
      </c>
      <c r="AP589" s="2"/>
      <c r="AQ589" s="2"/>
      <c r="AR589" s="2"/>
      <c r="AS589" s="2"/>
      <c r="AT589" s="2"/>
      <c r="AU589" s="2"/>
      <c r="AV589" s="2"/>
      <c r="AW589" s="2"/>
      <c r="AX589" s="2"/>
      <c r="AY589" s="2"/>
      <c r="AZ589" s="2"/>
      <c r="BA589" s="2"/>
      <c r="BB589" s="2"/>
    </row>
    <row r="590">
      <c r="A590" s="2">
        <f>IFERROR(__xludf.DUMMYFUNCTION("""COMPUTED_VALUE"""),586.0)</f>
        <v>586</v>
      </c>
      <c r="B590" s="2" t="str">
        <f>IFERROR(__xludf.DUMMYFUNCTION("""COMPUTED_VALUE"""),"COMPLETED")</f>
        <v>COMPLETED</v>
      </c>
      <c r="C590" s="74">
        <f>IFERROR(__xludf.DUMMYFUNCTION("""COMPUTED_VALUE"""),45581.0)</f>
        <v>45581</v>
      </c>
      <c r="D590" s="71" t="str">
        <f>IFERROR(__xludf.DUMMYFUNCTION("""COMPUTED_VALUE"""),"Guintapagin Agrarian Reform Beneficiaries Multi-Purpose Cooperative")</f>
        <v>Guintapagin Agrarian Reform Beneficiaries Multi-Purpose Cooperative</v>
      </c>
      <c r="E590" s="71" t="str">
        <f>IFERROR(__xludf.DUMMYFUNCTION("""COMPUTED_VALUE"""),"Tapacon, Bingawan, ILOILO")</f>
        <v>Tapacon, Bingawan, ILOILO</v>
      </c>
      <c r="F590" s="2"/>
      <c r="G590" s="2">
        <f>IFERROR(__xludf.DUMMYFUNCTION("""COMPUTED_VALUE"""),9.094405219E9)</f>
        <v>9094405219</v>
      </c>
      <c r="H590" s="2"/>
      <c r="I590" s="72" t="str">
        <f>IFERROR(__xludf.DUMMYFUNCTION("""COMPUTED_VALUE"""),"PMS")</f>
        <v>PMS</v>
      </c>
      <c r="J590" s="72" t="str">
        <f>IFERROR(__xludf.DUMMYFUNCTION("""COMPUTED_VALUE"""),"PMS")</f>
        <v>PMS</v>
      </c>
      <c r="K590" s="72" t="str">
        <f>IFERROR(__xludf.DUMMYFUNCTION("""COMPUTED_VALUE"""),"EGT: 2ND PMS
(OUT OF COVERAGE AREA)")</f>
        <v>EGT: 2ND PMS
(OUT OF COVERAGE AREA)</v>
      </c>
      <c r="L590" s="72" t="str">
        <f>IFERROR(__xludf.DUMMYFUNCTION("""COMPUTED_VALUE"""),"2ND PMS DONE")</f>
        <v>2ND PMS DONE</v>
      </c>
      <c r="M590" s="2"/>
      <c r="N590" s="2" t="str">
        <f>IFERROR(__xludf.DUMMYFUNCTION("""COMPUTED_VALUE"""),"NEED SERVICE REPORT
PARTS: HYDRAULIC FILTER")</f>
        <v>NEED SERVICE REPORT
PARTS: HYDRAULIC FILTER</v>
      </c>
      <c r="O590" s="2" t="str">
        <f>IFERROR(__xludf.DUMMYFUNCTION("""COMPUTED_VALUE"""),"JIE-965")</f>
        <v>JIE-965</v>
      </c>
      <c r="P590" s="2"/>
      <c r="Q590" s="2"/>
      <c r="R590" s="74">
        <f>IFERROR(__xludf.DUMMYFUNCTION("""COMPUTED_VALUE"""),45611.0)</f>
        <v>45611</v>
      </c>
      <c r="S590" s="2"/>
      <c r="T590" s="73">
        <f>IFERROR(__xludf.DUMMYFUNCTION("""COMPUTED_VALUE"""),2748.0)</f>
        <v>2748</v>
      </c>
      <c r="U590" s="73" t="str">
        <f>IFERROR(__xludf.DUMMYFUNCTION("""COMPUTED_VALUE""")," REMITTED ")</f>
        <v>REMITTED</v>
      </c>
      <c r="V590" s="2"/>
      <c r="W590" s="2">
        <f>IFERROR(__xludf.DUMMYFUNCTION("""COMPUTED_VALUE"""),1316.0)</f>
        <v>1316</v>
      </c>
      <c r="X590" s="2">
        <f>IFERROR(__xludf.DUMMYFUNCTION("""COMPUTED_VALUE"""),1221.0)</f>
        <v>1221</v>
      </c>
      <c r="Y590" s="2"/>
      <c r="Z590" s="2"/>
      <c r="AA590" s="2"/>
      <c r="AB590" s="2"/>
      <c r="AC590" s="2"/>
      <c r="AD590" s="2"/>
      <c r="AE590" s="2"/>
      <c r="AF590" s="2"/>
      <c r="AG590" s="2"/>
      <c r="AH590" s="2"/>
      <c r="AI590" s="2"/>
      <c r="AJ590" s="2" t="str">
        <f>IFERROR(__xludf.DUMMYFUNCTION("""COMPUTED_VALUE"""),"Tapacon")</f>
        <v>Tapacon</v>
      </c>
      <c r="AK590" s="2" t="str">
        <f>IFERROR(__xludf.DUMMYFUNCTION("""COMPUTED_VALUE"""),"Bingawan")</f>
        <v>Bingawan</v>
      </c>
      <c r="AL590" s="2" t="str">
        <f>IFERROR(__xludf.DUMMYFUNCTION("""COMPUTED_VALUE"""),"Iloilo")</f>
        <v>Iloilo</v>
      </c>
      <c r="AM590" s="2">
        <f>IFERROR(__xludf.DUMMYFUNCTION("""COMPUTED_VALUE"""),6.0)</f>
        <v>6</v>
      </c>
      <c r="AN590" s="2" t="str">
        <f>IFERROR(__xludf.DUMMYFUNCTION("""COMPUTED_VALUE"""),"RCEF 23-09-21 Rebidding")</f>
        <v>RCEF 23-09-21 Rebidding</v>
      </c>
      <c r="AO590" s="2">
        <f>IFERROR(__xludf.DUMMYFUNCTION("""COMPUTED_VALUE"""),4.0)</f>
        <v>4</v>
      </c>
      <c r="AP590" s="2"/>
      <c r="AQ590" s="2"/>
      <c r="AR590" s="2"/>
      <c r="AS590" s="2"/>
      <c r="AT590" s="2"/>
      <c r="AU590" s="2"/>
      <c r="AV590" s="2"/>
      <c r="AW590" s="2"/>
      <c r="AX590" s="2"/>
      <c r="AY590" s="2"/>
      <c r="AZ590" s="2"/>
      <c r="BA590" s="2"/>
      <c r="BB590" s="2"/>
    </row>
    <row r="591">
      <c r="A591" s="2">
        <f>IFERROR(__xludf.DUMMYFUNCTION("""COMPUTED_VALUE"""),587.0)</f>
        <v>587</v>
      </c>
      <c r="B591" s="2" t="str">
        <f>IFERROR(__xludf.DUMMYFUNCTION("""COMPUTED_VALUE"""),"COMPLETED")</f>
        <v>COMPLETED</v>
      </c>
      <c r="C591" s="74">
        <f>IFERROR(__xludf.DUMMYFUNCTION("""COMPUTED_VALUE"""),45582.0)</f>
        <v>45582</v>
      </c>
      <c r="D591" s="71" t="str">
        <f>IFERROR(__xludf.DUMMYFUNCTION("""COMPUTED_VALUE"""),"Diffun Saranay and Development Cooperative (DISADECO)")</f>
        <v>Diffun Saranay and Development Cooperative (DISADECO)</v>
      </c>
      <c r="E591" s="71" t="str">
        <f>IFERROR(__xludf.DUMMYFUNCTION("""COMPUTED_VALUE"""),"Andres Bonifacio (Pob.), Diffun, QUIRINO")</f>
        <v>Andres Bonifacio (Pob.), Diffun, QUIRINO</v>
      </c>
      <c r="F591" s="2" t="str">
        <f>IFERROR(__xludf.DUMMYFUNCTION("""COMPUTED_VALUE"""),"CHRISTIAN PAUL DACUMOS")</f>
        <v>CHRISTIAN PAUL DACUMOS</v>
      </c>
      <c r="G591" s="2" t="str">
        <f>IFERROR(__xludf.DUMMYFUNCTION("""COMPUTED_VALUE"""),"0906 135 4403")</f>
        <v>0906 135 4403</v>
      </c>
      <c r="H591" s="2">
        <f>IFERROR(__xludf.DUMMYFUNCTION("""COMPUTED_VALUE"""),340.0)</f>
        <v>340</v>
      </c>
      <c r="I591" s="72" t="str">
        <f>IFERROR(__xludf.DUMMYFUNCTION("""COMPUTED_VALUE"""),"REPAIR - TRACTOR")</f>
        <v>REPAIR - TRACTOR</v>
      </c>
      <c r="J591" s="72" t="str">
        <f>IFERROR(__xludf.DUMMYFUNCTION("""COMPUTED_VALUE"""),"Joystick")</f>
        <v>Joystick</v>
      </c>
      <c r="K591" s="72" t="str">
        <f>IFERROR(__xludf.DUMMYFUNCTION("""COMPUTED_VALUE"""),"CFG: NASIRA ANG JOYSTICK NG  BUCKET
PARTS: ")</f>
        <v>CFG: NASIRA ANG JOYSTICK NG  BUCKET
PARTS: </v>
      </c>
      <c r="L591" s="72" t="str">
        <f>IFERROR(__xludf.DUMMYFUNCTION("""COMPUTED_VALUE"""),"CFG: GINAWAN NA NG PARRAAN NI FARMER")</f>
        <v>CFG: GINAWAN NA NG PARRAAN NI FARMER</v>
      </c>
      <c r="M591" s="2"/>
      <c r="N591" s="2"/>
      <c r="O591" s="2" t="str">
        <f>IFERROR(__xludf.DUMMYFUNCTION("""COMPUTED_VALUE"""),"N/A")</f>
        <v>N/A</v>
      </c>
      <c r="P591" s="2"/>
      <c r="Q591" s="2"/>
      <c r="R591" s="74">
        <f>IFERROR(__xludf.DUMMYFUNCTION("""COMPUTED_VALUE"""),45630.0)</f>
        <v>45630</v>
      </c>
      <c r="S591" s="2" t="str">
        <f>IFERROR(__xludf.DUMMYFUNCTION("""COMPUTED_VALUE"""),"CFG")</f>
        <v>CFG</v>
      </c>
      <c r="T591" s="73" t="str">
        <f>IFERROR(__xludf.DUMMYFUNCTION("""COMPUTED_VALUE""")," N/A ")</f>
        <v>N/A</v>
      </c>
      <c r="U591" s="73" t="str">
        <f>IFERROR(__xludf.DUMMYFUNCTION("""COMPUTED_VALUE""")," NO CHARGE ")</f>
        <v>NO CHARGE</v>
      </c>
      <c r="V591" s="2"/>
      <c r="W591" s="2" t="str">
        <f>IFERROR(__xludf.DUMMYFUNCTION("""COMPUTED_VALUE"""),"N/A")</f>
        <v>N/A</v>
      </c>
      <c r="X591" s="2" t="str">
        <f>IFERROR(__xludf.DUMMYFUNCTION("""COMPUTED_VALUE"""),"N/A")</f>
        <v>N/A</v>
      </c>
      <c r="Y591" s="2"/>
      <c r="Z591" s="2"/>
      <c r="AA591" s="2"/>
      <c r="AB591" s="2"/>
      <c r="AC591" s="2"/>
      <c r="AD591" s="2"/>
      <c r="AE591" s="2"/>
      <c r="AF591" s="2"/>
      <c r="AG591" s="2"/>
      <c r="AH591" s="2"/>
      <c r="AI591" s="2"/>
      <c r="AJ591" s="2" t="str">
        <f>IFERROR(__xludf.DUMMYFUNCTION("""COMPUTED_VALUE"""),"Andres Bonifacio (Pob.)")</f>
        <v>Andres Bonifacio (Pob.)</v>
      </c>
      <c r="AK591" s="2" t="str">
        <f>IFERROR(__xludf.DUMMYFUNCTION("""COMPUTED_VALUE"""),"Diffun")</f>
        <v>Diffun</v>
      </c>
      <c r="AL591" s="2" t="str">
        <f>IFERROR(__xludf.DUMMYFUNCTION("""COMPUTED_VALUE"""),"Quirino")</f>
        <v>Quirino</v>
      </c>
      <c r="AM591" s="2">
        <f>IFERROR(__xludf.DUMMYFUNCTION("""COMPUTED_VALUE"""),2.0)</f>
        <v>2</v>
      </c>
      <c r="AN591" s="2" t="str">
        <f>IFERROR(__xludf.DUMMYFUNCTION("""COMPUTED_VALUE"""),"RCEF 23-09-21 Rebidding")</f>
        <v>RCEF 23-09-21 Rebidding</v>
      </c>
      <c r="AO591" s="2">
        <f>IFERROR(__xludf.DUMMYFUNCTION("""COMPUTED_VALUE"""),1.0)</f>
        <v>1</v>
      </c>
      <c r="AP591" s="2"/>
      <c r="AQ591" s="2"/>
      <c r="AR591" s="2"/>
      <c r="AS591" s="2"/>
      <c r="AT591" s="2"/>
      <c r="AU591" s="2"/>
      <c r="AV591" s="2"/>
      <c r="AW591" s="2"/>
      <c r="AX591" s="2"/>
      <c r="AY591" s="2"/>
      <c r="AZ591" s="2"/>
      <c r="BA591" s="2"/>
      <c r="BB591" s="2"/>
    </row>
    <row r="592">
      <c r="A592" s="2">
        <f>IFERROR(__xludf.DUMMYFUNCTION("""COMPUTED_VALUE"""),588.0)</f>
        <v>588</v>
      </c>
      <c r="B592" s="2" t="str">
        <f>IFERROR(__xludf.DUMMYFUNCTION("""COMPUTED_VALUE"""),"COMPLETED")</f>
        <v>COMPLETED</v>
      </c>
      <c r="C592" s="74">
        <f>IFERROR(__xludf.DUMMYFUNCTION("""COMPUTED_VALUE"""),45582.0)</f>
        <v>45582</v>
      </c>
      <c r="D592" s="71" t="str">
        <f>IFERROR(__xludf.DUMMYFUNCTION("""COMPUTED_VALUE"""),"Alpip-Caba-San Irrigators Association Inc.")</f>
        <v>Alpip-Caba-San Irrigators Association Inc.</v>
      </c>
      <c r="E592" s="71" t="str">
        <f>IFERROR(__xludf.DUMMYFUNCTION("""COMPUTED_VALUE"""),"Santo Domingo (Cabicalan), Alfonso Lista (Potia), IFUGAO")</f>
        <v>Santo Domingo (Cabicalan), Alfonso Lista (Potia), IFUGAO</v>
      </c>
      <c r="F592" s="2" t="str">
        <f>IFERROR(__xludf.DUMMYFUNCTION("""COMPUTED_VALUE"""),"Engr. Berto P. Kimmayong")</f>
        <v>Engr. Berto P. Kimmayong</v>
      </c>
      <c r="G592" s="2">
        <f>IFERROR(__xludf.DUMMYFUNCTION("""COMPUTED_VALUE"""),9.456128144E9)</f>
        <v>9456128144</v>
      </c>
      <c r="H592" s="2">
        <f>IFERROR(__xludf.DUMMYFUNCTION("""COMPUTED_VALUE"""),159.0)</f>
        <v>159</v>
      </c>
      <c r="I592" s="72" t="str">
        <f>IFERROR(__xludf.DUMMYFUNCTION("""COMPUTED_VALUE"""),"REPAIR - TRACTOR")</f>
        <v>REPAIR - TRACTOR</v>
      </c>
      <c r="J592" s="72" t="str">
        <f>IFERROR(__xludf.DUMMYFUNCTION("""COMPUTED_VALUE"""),"CHECK UP UNIT")</f>
        <v>CHECK UP UNIT</v>
      </c>
      <c r="K592" s="72" t="str">
        <f>IFERROR(__xludf.DUMMYFUNCTION("""COMPUTED_VALUE"""),"JHP: According to information, the Operator  of the Unit who have resigned have stated that there are mechanical problems particularly on the ""CLUTH LINING"" of  the Tractor and others maybe. Which need to be check up. I have already done the Change Oil "&amp;"ang Oil filter.  Welding of the damaged Rotovator. PLEASE INFORM THE UNDERSIGNED PRESIDENT on your schedule  1 week before coming in order not to contradict appointmen
FOR ASSESSMENT")</f>
        <v>JHP: According to information, the Operator  of the Unit who have resigned have stated that there are mechanical problems particularly on the "CLUTH LINING" of  the Tractor and others maybe. Which need to be check up. I have already done the Change Oil ang Oil filter.  Welding of the damaged Rotovator. PLEASE INFORM THE UNDERSIGNED PRESIDENT on your schedule  1 week before coming in order not to contradict appointmen
FOR ASSESSMENT</v>
      </c>
      <c r="L592" s="72" t="str">
        <f>IFERROR(__xludf.DUMMYFUNCTION("""COMPUTED_VALUE"""),"JDP: CHEC-UP UNIT AYUN PO SA REPORT LINING ANG PROBLEMA,  NAG SLIDE DAW PO  CHINECK PO NAMIN WALA NAMNA PONG PROBLEMAYUNG UNIT")</f>
        <v>JDP: CHEC-UP UNIT AYUN PO SA REPORT LINING ANG PROBLEMA,  NAG SLIDE DAW PO  CHINECK PO NAMIN WALA NAMNA PONG PROBLEMAYUNG UNIT</v>
      </c>
      <c r="M592" s="2"/>
      <c r="N592" s="2"/>
      <c r="O592" s="2">
        <f>IFERROR(__xludf.DUMMYFUNCTION("""COMPUTED_VALUE"""),1167.0)</f>
        <v>1167</v>
      </c>
      <c r="P592" s="2" t="str">
        <f>IFERROR(__xludf.DUMMYFUNCTION("""COMPUTED_VALUE"""),"ALPIP-CABASAN IRRIGATORS ASSOCIATION INCORPORATED.pdf")</f>
        <v>ALPIP-CABASAN IRRIGATORS ASSOCIATION INCORPORATED.pdf</v>
      </c>
      <c r="Q592" s="2"/>
      <c r="R592" s="74">
        <f>IFERROR(__xludf.DUMMYFUNCTION("""COMPUTED_VALUE"""),45673.0)</f>
        <v>45673</v>
      </c>
      <c r="S592" s="2" t="str">
        <f>IFERROR(__xludf.DUMMYFUNCTION("""COMPUTED_VALUE"""),"JDP/CFG")</f>
        <v>JDP/CFG</v>
      </c>
      <c r="T592" s="73" t="str">
        <f>IFERROR(__xludf.DUMMYFUNCTION("""COMPUTED_VALUE""")," N/A ")</f>
        <v>N/A</v>
      </c>
      <c r="U592" s="73" t="str">
        <f>IFERROR(__xludf.DUMMYFUNCTION("""COMPUTED_VALUE""")," NO CHARGE ")</f>
        <v>NO CHARGE</v>
      </c>
      <c r="V592" s="2"/>
      <c r="W592" s="2" t="str">
        <f>IFERROR(__xludf.DUMMYFUNCTION("""COMPUTED_VALUE"""),"N/A")</f>
        <v>N/A</v>
      </c>
      <c r="X592" s="2" t="str">
        <f>IFERROR(__xludf.DUMMYFUNCTION("""COMPUTED_VALUE"""),"N/A")</f>
        <v>N/A</v>
      </c>
      <c r="Y592" s="2"/>
      <c r="Z592" s="2"/>
      <c r="AA592" s="2"/>
      <c r="AB592" s="2"/>
      <c r="AC592" s="2"/>
      <c r="AD592" s="2"/>
      <c r="AE592" s="2"/>
      <c r="AF592" s="2"/>
      <c r="AG592" s="2"/>
      <c r="AH592" s="2"/>
      <c r="AI592" s="2"/>
      <c r="AJ592" s="2" t="str">
        <f>IFERROR(__xludf.DUMMYFUNCTION("""COMPUTED_VALUE"""),"Santo Domingo (Cabicalan)")</f>
        <v>Santo Domingo (Cabicalan)</v>
      </c>
      <c r="AK592" s="2" t="str">
        <f>IFERROR(__xludf.DUMMYFUNCTION("""COMPUTED_VALUE"""),"Alfonso Lista (Potia)")</f>
        <v>Alfonso Lista (Potia)</v>
      </c>
      <c r="AL592" s="2" t="str">
        <f>IFERROR(__xludf.DUMMYFUNCTION("""COMPUTED_VALUE"""),"Ifugao")</f>
        <v>Ifugao</v>
      </c>
      <c r="AM592" s="2" t="str">
        <f>IFERROR(__xludf.DUMMYFUNCTION("""COMPUTED_VALUE"""),"CAR")</f>
        <v>CAR</v>
      </c>
      <c r="AN592" s="2" t="str">
        <f>IFERROR(__xludf.DUMMYFUNCTION("""COMPUTED_VALUE"""),"RCEF 23-09-21 Rebidding")</f>
        <v>RCEF 23-09-21 Rebidding</v>
      </c>
      <c r="AO592" s="2">
        <f>IFERROR(__xludf.DUMMYFUNCTION("""COMPUTED_VALUE"""),1.0)</f>
        <v>1</v>
      </c>
      <c r="AP592" s="2"/>
      <c r="AQ592" s="2"/>
      <c r="AR592" s="2"/>
      <c r="AS592" s="2"/>
      <c r="AT592" s="2"/>
      <c r="AU592" s="2"/>
      <c r="AV592" s="2"/>
      <c r="AW592" s="2"/>
      <c r="AX592" s="2"/>
      <c r="AY592" s="2"/>
      <c r="AZ592" s="2"/>
      <c r="BA592" s="2"/>
      <c r="BB592" s="2"/>
    </row>
    <row r="593">
      <c r="A593" s="2">
        <f>IFERROR(__xludf.DUMMYFUNCTION("""COMPUTED_VALUE"""),589.0)</f>
        <v>589</v>
      </c>
      <c r="B593" s="2" t="str">
        <f>IFERROR(__xludf.DUMMYFUNCTION("""COMPUTED_VALUE"""),"COMPLETED")</f>
        <v>COMPLETED</v>
      </c>
      <c r="C593" s="74">
        <f>IFERROR(__xludf.DUMMYFUNCTION("""COMPUTED_VALUE"""),45583.0)</f>
        <v>45583</v>
      </c>
      <c r="D593" s="71" t="str">
        <f>IFERROR(__xludf.DUMMYFUNCTION("""COMPUTED_VALUE"""),"MAPAGONG FARMERS IRROGATORS ASSN. INC.")</f>
        <v>MAPAGONG FARMERS IRROGATORS ASSN. INC.</v>
      </c>
      <c r="E593" s="71" t="str">
        <f>IFERROR(__xludf.DUMMYFUNCTION("""COMPUTED_VALUE"""),"Mapagong, Pagbilao, Quezon")</f>
        <v>Mapagong, Pagbilao, Quezon</v>
      </c>
      <c r="F593" s="2" t="str">
        <f>IFERROR(__xludf.DUMMYFUNCTION("""COMPUTED_VALUE"""),"JELOY")</f>
        <v>JELOY</v>
      </c>
      <c r="G593" s="2">
        <f>IFERROR(__xludf.DUMMYFUNCTION("""COMPUTED_VALUE"""),9.512413777E9)</f>
        <v>9512413777</v>
      </c>
      <c r="H593" s="2"/>
      <c r="I593" s="72" t="str">
        <f>IFERROR(__xludf.DUMMYFUNCTION("""COMPUTED_VALUE"""),"REPAIR - TRACTOR")</f>
        <v>REPAIR - TRACTOR</v>
      </c>
      <c r="J593" s="72" t="str">
        <f>IFERROR(__xludf.DUMMYFUNCTION("""COMPUTED_VALUE"""),"Electrical - Dashboard")</f>
        <v>Electrical - Dashboard</v>
      </c>
      <c r="K593" s="72" t="str">
        <f>IFERROR(__xludf.DUMMYFUNCTION("""COMPUTED_VALUE"""),"JTT: Problem Yung kinabit Ng fit corea na harnes Ng ground dead na Wala Ang LAHAT sa panel board 
Need daw mapuntahan asap baka masunog Ang mga wire Ng tractor")</f>
        <v>JTT: Problem Yung kinabit Ng fit corea na harnes Ng ground dead na Wala Ang LAHAT sa panel board 
Need daw mapuntahan asap baka masunog Ang mga wire Ng tractor</v>
      </c>
      <c r="L593" s="72" t="str">
        <f>IFERROR(__xludf.DUMMYFUNCTION("""COMPUTED_VALUE"""),"JTT: REPAIR DASHBOARD WIRING DONE")</f>
        <v>JTT: REPAIR DASHBOARD WIRING DONE</v>
      </c>
      <c r="M593" s="2"/>
      <c r="N593" s="2"/>
      <c r="O593" s="2">
        <f>IFERROR(__xludf.DUMMYFUNCTION("""COMPUTED_VALUE"""),865.0)</f>
        <v>865</v>
      </c>
      <c r="P593" s="2"/>
      <c r="Q593" s="2"/>
      <c r="R593" s="74">
        <f>IFERROR(__xludf.DUMMYFUNCTION("""COMPUTED_VALUE"""),45608.0)</f>
        <v>45608</v>
      </c>
      <c r="S593" s="2" t="str">
        <f>IFERROR(__xludf.DUMMYFUNCTION("""COMPUTED_VALUE"""),"JTT")</f>
        <v>JTT</v>
      </c>
      <c r="T593" s="73" t="str">
        <f>IFERROR(__xludf.DUMMYFUNCTION("""COMPUTED_VALUE""")," N/A ")</f>
        <v>N/A</v>
      </c>
      <c r="U593" s="73" t="str">
        <f>IFERROR(__xludf.DUMMYFUNCTION("""COMPUTED_VALUE""")," NO CHARGE ")</f>
        <v>NO CHARGE</v>
      </c>
      <c r="V593" s="2"/>
      <c r="W593" s="2" t="str">
        <f>IFERROR(__xludf.DUMMYFUNCTION("""COMPUTED_VALUE"""),"N/A")</f>
        <v>N/A</v>
      </c>
      <c r="X593" s="2" t="str">
        <f>IFERROR(__xludf.DUMMYFUNCTION("""COMPUTED_VALUE"""),"N/A")</f>
        <v>N/A</v>
      </c>
      <c r="Y593" s="2"/>
      <c r="Z593" s="2"/>
      <c r="AA593" s="2"/>
      <c r="AB593" s="2"/>
      <c r="AC593" s="2"/>
      <c r="AD593" s="2"/>
      <c r="AE593" s="2"/>
      <c r="AF593" s="2"/>
      <c r="AG593" s="2"/>
      <c r="AH593" s="2"/>
      <c r="AI593" s="2"/>
      <c r="AJ593" s="2" t="str">
        <f>IFERROR(__xludf.DUMMYFUNCTION("""COMPUTED_VALUE"""),"Mapagong")</f>
        <v>Mapagong</v>
      </c>
      <c r="AK593" s="2" t="str">
        <f>IFERROR(__xludf.DUMMYFUNCTION("""COMPUTED_VALUE"""),"Pagbilao")</f>
        <v>Pagbilao</v>
      </c>
      <c r="AL593" s="2" t="str">
        <f>IFERROR(__xludf.DUMMYFUNCTION("""COMPUTED_VALUE"""),"Quezon")</f>
        <v>Quezon</v>
      </c>
      <c r="AM593" s="2" t="str">
        <f>IFERROR(__xludf.DUMMYFUNCTION("""COMPUTED_VALUE"""),"4A")</f>
        <v>4A</v>
      </c>
      <c r="AN593" s="2" t="str">
        <f>IFERROR(__xludf.DUMMYFUNCTION("""COMPUTED_VALUE"""),"RCEF 23-08-20 Rebidding")</f>
        <v>RCEF 23-08-20 Rebidding</v>
      </c>
      <c r="AO593" s="2">
        <f>IFERROR(__xludf.DUMMYFUNCTION("""COMPUTED_VALUE"""),1.0)</f>
        <v>1</v>
      </c>
      <c r="AP593" s="2"/>
      <c r="AQ593" s="2"/>
      <c r="AR593" s="2"/>
      <c r="AS593" s="2"/>
      <c r="AT593" s="2"/>
      <c r="AU593" s="2"/>
      <c r="AV593" s="2"/>
      <c r="AW593" s="2"/>
      <c r="AX593" s="2"/>
      <c r="AY593" s="2"/>
      <c r="AZ593" s="2"/>
      <c r="BA593" s="2"/>
      <c r="BB593" s="2"/>
    </row>
    <row r="594">
      <c r="A594" s="2">
        <f>IFERROR(__xludf.DUMMYFUNCTION("""COMPUTED_VALUE"""),590.0)</f>
        <v>590</v>
      </c>
      <c r="B594" s="2" t="str">
        <f>IFERROR(__xludf.DUMMYFUNCTION("""COMPUTED_VALUE"""),"COMPLETED")</f>
        <v>COMPLETED</v>
      </c>
      <c r="C594" s="74">
        <f>IFERROR(__xludf.DUMMYFUNCTION("""COMPUTED_VALUE"""),45583.0)</f>
        <v>45583</v>
      </c>
      <c r="D594" s="71" t="str">
        <f>IFERROR(__xludf.DUMMYFUNCTION("""COMPUTED_VALUE"""),"BIA-AN FARMERS ASSOCIATION")</f>
        <v>BIA-AN FARMERS ASSOCIATION</v>
      </c>
      <c r="E594" s="71" t="str">
        <f>IFERROR(__xludf.DUMMYFUNCTION("""COMPUTED_VALUE"""),"Bia-an, Hamtic, ANTIQUE")</f>
        <v>Bia-an, Hamtic, ANTIQUE</v>
      </c>
      <c r="F594" s="2"/>
      <c r="G594" s="2">
        <f>IFERROR(__xludf.DUMMYFUNCTION("""COMPUTED_VALUE"""),9.155863799E9)</f>
        <v>9155863799</v>
      </c>
      <c r="H594" s="2">
        <f>IFERROR(__xludf.DUMMYFUNCTION("""COMPUTED_VALUE"""),59.0)</f>
        <v>59</v>
      </c>
      <c r="I594" s="72" t="str">
        <f>IFERROR(__xludf.DUMMYFUNCTION("""COMPUTED_VALUE"""),"PMS")</f>
        <v>PMS</v>
      </c>
      <c r="J594" s="72" t="str">
        <f>IFERROR(__xludf.DUMMYFUNCTION("""COMPUTED_VALUE"""),"PMS")</f>
        <v>PMS</v>
      </c>
      <c r="K594" s="72" t="str">
        <f>IFERROR(__xludf.DUMMYFUNCTION("""COMPUTED_VALUE"""),"EGT: 1ST PMS")</f>
        <v>EGT: 1ST PMS</v>
      </c>
      <c r="L594" s="72" t="str">
        <f>IFERROR(__xludf.DUMMYFUNCTION("""COMPUTED_VALUE"""),"EGT: 1ST PMS DONE")</f>
        <v>EGT: 1ST PMS DONE</v>
      </c>
      <c r="M594" s="2"/>
      <c r="N594" s="2" t="str">
        <f>IFERROR(__xludf.DUMMYFUNCTION("""COMPUTED_VALUE"""),"PARTS: OIL FILTER")</f>
        <v>PARTS: OIL FILTER</v>
      </c>
      <c r="O594" s="2">
        <f>IFERROR(__xludf.DUMMYFUNCTION("""COMPUTED_VALUE"""),1303.0)</f>
        <v>1303</v>
      </c>
      <c r="P594" s="2"/>
      <c r="Q594" s="2"/>
      <c r="R594" s="74">
        <f>IFERROR(__xludf.DUMMYFUNCTION("""COMPUTED_VALUE"""),45566.0)</f>
        <v>45566</v>
      </c>
      <c r="S594" s="2" t="str">
        <f>IFERROR(__xludf.DUMMYFUNCTION("""COMPUTED_VALUE"""),"EGT/DRM")</f>
        <v>EGT/DRM</v>
      </c>
      <c r="T594" s="73">
        <f>IFERROR(__xludf.DUMMYFUNCTION("""COMPUTED_VALUE"""),1533.0)</f>
        <v>1533</v>
      </c>
      <c r="U594" s="73" t="str">
        <f>IFERROR(__xludf.DUMMYFUNCTION("""COMPUTED_VALUE""")," REMITTED ")</f>
        <v>REMITTED</v>
      </c>
      <c r="V594" s="2"/>
      <c r="W594" s="2">
        <f>IFERROR(__xludf.DUMMYFUNCTION("""COMPUTED_VALUE"""),1313.0)</f>
        <v>1313</v>
      </c>
      <c r="X594" s="2">
        <f>IFERROR(__xludf.DUMMYFUNCTION("""COMPUTED_VALUE"""),1218.0)</f>
        <v>1218</v>
      </c>
      <c r="Y594" s="2"/>
      <c r="Z594" s="2"/>
      <c r="AA594" s="2"/>
      <c r="AB594" s="2"/>
      <c r="AC594" s="2"/>
      <c r="AD594" s="2"/>
      <c r="AE594" s="2"/>
      <c r="AF594" s="2"/>
      <c r="AG594" s="2"/>
      <c r="AH594" s="2"/>
      <c r="AI594" s="2"/>
      <c r="AJ594" s="2" t="str">
        <f>IFERROR(__xludf.DUMMYFUNCTION("""COMPUTED_VALUE"""),"Bia-An")</f>
        <v>Bia-An</v>
      </c>
      <c r="AK594" s="2" t="str">
        <f>IFERROR(__xludf.DUMMYFUNCTION("""COMPUTED_VALUE"""),"Hamtic")</f>
        <v>Hamtic</v>
      </c>
      <c r="AL594" s="2" t="str">
        <f>IFERROR(__xludf.DUMMYFUNCTION("""COMPUTED_VALUE"""),"Antique")</f>
        <v>Antique</v>
      </c>
      <c r="AM594" s="2">
        <f>IFERROR(__xludf.DUMMYFUNCTION("""COMPUTED_VALUE"""),6.0)</f>
        <v>6</v>
      </c>
      <c r="AN594" s="2" t="str">
        <f>IFERROR(__xludf.DUMMYFUNCTION("""COMPUTED_VALUE"""),"RCEF 23-09-21 Rebidding")</f>
        <v>RCEF 23-09-21 Rebidding</v>
      </c>
      <c r="AO594" s="2">
        <f>IFERROR(__xludf.DUMMYFUNCTION("""COMPUTED_VALUE"""),4.0)</f>
        <v>4</v>
      </c>
      <c r="AP594" s="2"/>
      <c r="AQ594" s="2"/>
      <c r="AR594" s="2"/>
      <c r="AS594" s="2"/>
      <c r="AT594" s="2"/>
      <c r="AU594" s="2"/>
      <c r="AV594" s="2"/>
      <c r="AW594" s="2"/>
      <c r="AX594" s="2"/>
      <c r="AY594" s="2"/>
      <c r="AZ594" s="2"/>
      <c r="BA594" s="2"/>
      <c r="BB594" s="2"/>
    </row>
    <row r="595">
      <c r="A595" s="2">
        <f>IFERROR(__xludf.DUMMYFUNCTION("""COMPUTED_VALUE"""),591.0)</f>
        <v>591</v>
      </c>
      <c r="B595" s="2" t="str">
        <f>IFERROR(__xludf.DUMMYFUNCTION("""COMPUTED_VALUE"""),"COMPLETED")</f>
        <v>COMPLETED</v>
      </c>
      <c r="C595" s="74">
        <f>IFERROR(__xludf.DUMMYFUNCTION("""COMPUTED_VALUE"""),45583.0)</f>
        <v>45583</v>
      </c>
      <c r="D595" s="71" t="str">
        <f>IFERROR(__xludf.DUMMYFUNCTION("""COMPUTED_VALUE"""),"Cabalbat Irrigators’ Association, Inc.")</f>
        <v>Cabalbat Irrigators’ Association, Inc.</v>
      </c>
      <c r="E595" s="71" t="str">
        <f>IFERROR(__xludf.DUMMYFUNCTION("""COMPUTED_VALUE"""),"Cala-agus, Mambusao, CAPIZ")</f>
        <v>Cala-agus, Mambusao, CAPIZ</v>
      </c>
      <c r="F595" s="2" t="str">
        <f>IFERROR(__xludf.DUMMYFUNCTION("""COMPUTED_VALUE"""),"RADOR ALARBA")</f>
        <v>RADOR ALARBA</v>
      </c>
      <c r="G595" s="2">
        <f>IFERROR(__xludf.DUMMYFUNCTION("""COMPUTED_VALUE"""),9.556010198E9)</f>
        <v>9556010198</v>
      </c>
      <c r="H595" s="2">
        <f>IFERROR(__xludf.DUMMYFUNCTION("""COMPUTED_VALUE"""),63.0)</f>
        <v>63</v>
      </c>
      <c r="I595" s="72" t="str">
        <f>IFERROR(__xludf.DUMMYFUNCTION("""COMPUTED_VALUE"""),"PMS")</f>
        <v>PMS</v>
      </c>
      <c r="J595" s="72" t="str">
        <f>IFERROR(__xludf.DUMMYFUNCTION("""COMPUTED_VALUE"""),"PMS")</f>
        <v>PMS</v>
      </c>
      <c r="K595" s="72" t="str">
        <f>IFERROR(__xludf.DUMMYFUNCTION("""COMPUTED_VALUE"""),"EGT: 1ST PMS")</f>
        <v>EGT: 1ST PMS</v>
      </c>
      <c r="L595" s="72" t="str">
        <f>IFERROR(__xludf.DUMMYFUNCTION("""COMPUTED_VALUE"""),"EGT: 1ST PMS DONE")</f>
        <v>EGT: 1ST PMS DONE</v>
      </c>
      <c r="M595" s="2"/>
      <c r="N595" s="2"/>
      <c r="O595" s="2">
        <f>IFERROR(__xludf.DUMMYFUNCTION("""COMPUTED_VALUE"""),1318.0)</f>
        <v>1318</v>
      </c>
      <c r="P595" s="2"/>
      <c r="Q595" s="2" t="str">
        <f>IFERROR(__xludf.DUMMYFUNCTION("""COMPUTED_VALUE"""),"Y")</f>
        <v>Y</v>
      </c>
      <c r="R595" s="74">
        <f>IFERROR(__xludf.DUMMYFUNCTION("""COMPUTED_VALUE"""),45583.0)</f>
        <v>45583</v>
      </c>
      <c r="S595" s="2" t="str">
        <f>IFERROR(__xludf.DUMMYFUNCTION("""COMPUTED_VALUE"""),"EGT/DRM")</f>
        <v>EGT/DRM</v>
      </c>
      <c r="T595" s="73" t="str">
        <f>IFERROR(__xludf.DUMMYFUNCTION("""COMPUTED_VALUE""")," N/A ")</f>
        <v>N/A</v>
      </c>
      <c r="U595" s="73" t="str">
        <f>IFERROR(__xludf.DUMMYFUNCTION("""COMPUTED_VALUE""")," NO CHARGE ")</f>
        <v>NO CHARGE</v>
      </c>
      <c r="V595" s="2"/>
      <c r="W595" s="2" t="str">
        <f>IFERROR(__xludf.DUMMYFUNCTION("""COMPUTED_VALUE"""),"N/A")</f>
        <v>N/A</v>
      </c>
      <c r="X595" s="2" t="str">
        <f>IFERROR(__xludf.DUMMYFUNCTION("""COMPUTED_VALUE"""),"N/A")</f>
        <v>N/A</v>
      </c>
      <c r="Y595" s="2" t="str">
        <f>IFERROR(__xludf.DUMMYFUNCTION("""COMPUTED_VALUE"""),"PRINTED SAVE TO FOLDER (SOFT COPY)")</f>
        <v>PRINTED SAVE TO FOLDER (SOFT COPY)</v>
      </c>
      <c r="Z595" s="2"/>
      <c r="AA595" s="2"/>
      <c r="AB595" s="2"/>
      <c r="AC595" s="2"/>
      <c r="AD595" s="2"/>
      <c r="AE595" s="2"/>
      <c r="AF595" s="2"/>
      <c r="AG595" s="2"/>
      <c r="AH595" s="2"/>
      <c r="AI595" s="2"/>
      <c r="AJ595" s="2" t="str">
        <f>IFERROR(__xludf.DUMMYFUNCTION("""COMPUTED_VALUE"""),"Cala-Agus")</f>
        <v>Cala-Agus</v>
      </c>
      <c r="AK595" s="2" t="str">
        <f>IFERROR(__xludf.DUMMYFUNCTION("""COMPUTED_VALUE"""),"Mambusao")</f>
        <v>Mambusao</v>
      </c>
      <c r="AL595" s="2" t="str">
        <f>IFERROR(__xludf.DUMMYFUNCTION("""COMPUTED_VALUE"""),"Capiz")</f>
        <v>Capiz</v>
      </c>
      <c r="AM595" s="2">
        <f>IFERROR(__xludf.DUMMYFUNCTION("""COMPUTED_VALUE"""),6.0)</f>
        <v>6</v>
      </c>
      <c r="AN595" s="2" t="str">
        <f>IFERROR(__xludf.DUMMYFUNCTION("""COMPUTED_VALUE"""),"RCEF 23-09-21 Rebidding")</f>
        <v>RCEF 23-09-21 Rebidding</v>
      </c>
      <c r="AO595" s="2">
        <f>IFERROR(__xludf.DUMMYFUNCTION("""COMPUTED_VALUE"""),4.0)</f>
        <v>4</v>
      </c>
      <c r="AP595" s="2"/>
      <c r="AQ595" s="2"/>
      <c r="AR595" s="2"/>
      <c r="AS595" s="2"/>
      <c r="AT595" s="2"/>
      <c r="AU595" s="2"/>
      <c r="AV595" s="2"/>
      <c r="AW595" s="2"/>
      <c r="AX595" s="2"/>
      <c r="AY595" s="2"/>
      <c r="AZ595" s="2"/>
      <c r="BA595" s="2"/>
      <c r="BB595" s="2"/>
    </row>
    <row r="596">
      <c r="A596" s="2">
        <f>IFERROR(__xludf.DUMMYFUNCTION("""COMPUTED_VALUE"""),592.0)</f>
        <v>592</v>
      </c>
      <c r="B596" s="2" t="str">
        <f>IFERROR(__xludf.DUMMYFUNCTION("""COMPUTED_VALUE"""),"COMPLETED")</f>
        <v>COMPLETED</v>
      </c>
      <c r="C596" s="74">
        <f>IFERROR(__xludf.DUMMYFUNCTION("""COMPUTED_VALUE"""),45584.0)</f>
        <v>45584</v>
      </c>
      <c r="D596" s="71" t="str">
        <f>IFERROR(__xludf.DUMMYFUNCTION("""COMPUTED_VALUE"""),"Dugwakan Farmers Association")</f>
        <v>Dugwakan Farmers Association</v>
      </c>
      <c r="E596" s="71" t="str">
        <f>IFERROR(__xludf.DUMMYFUNCTION("""COMPUTED_VALUE"""),"Dugwakan, Banate, ILOILO")</f>
        <v>Dugwakan, Banate, ILOILO</v>
      </c>
      <c r="F596" s="2" t="str">
        <f>IFERROR(__xludf.DUMMYFUNCTION("""COMPUTED_VALUE"""),"MONIZA MARQUES")</f>
        <v>MONIZA MARQUES</v>
      </c>
      <c r="G596" s="2">
        <f>IFERROR(__xludf.DUMMYFUNCTION("""COMPUTED_VALUE"""),9.63525839E9)</f>
        <v>9635258390</v>
      </c>
      <c r="H596" s="2">
        <f>IFERROR(__xludf.DUMMYFUNCTION("""COMPUTED_VALUE"""),284.0)</f>
        <v>284</v>
      </c>
      <c r="I596" s="72" t="str">
        <f>IFERROR(__xludf.DUMMYFUNCTION("""COMPUTED_VALUE"""),"REPAIR - TRACTOR")</f>
        <v>REPAIR - TRACTOR</v>
      </c>
      <c r="J596" s="72" t="str">
        <f>IFERROR(__xludf.DUMMYFUNCTION("""COMPUTED_VALUE"""),"CHECK UP/ REPAIR")</f>
        <v>CHECK UP/ REPAIR</v>
      </c>
      <c r="K596" s="72" t="str">
        <f>IFERROR(__xludf.DUMMYFUNCTION("""COMPUTED_VALUE"""),"EGT: DRM: STOCK UP SHIFTING LEVER")</f>
        <v>EGT: DRM: STOCK UP SHIFTING LEVER</v>
      </c>
      <c r="L596" s="72" t="str">
        <f>IFERROR(__xludf.DUMMYFUNCTION("""COMPUTED_VALUE"""),"EGT/DRM: GREASE THE SHIFTING LEVER STUCK UP. CHECK UP UNIT BEFORE OPERATE. OPERATIONAL")</f>
        <v>EGT/DRM: GREASE THE SHIFTING LEVER STUCK UP. CHECK UP UNIT BEFORE OPERATE. OPERATIONAL</v>
      </c>
      <c r="M596" s="2"/>
      <c r="N596" s="2" t="str">
        <f>IFERROR(__xludf.DUMMYFUNCTION("""COMPUTED_VALUE"""),"PARTS: HYDRAULIC FILTER")</f>
        <v>PARTS: HYDRAULIC FILTER</v>
      </c>
      <c r="O596" s="2">
        <f>IFERROR(__xludf.DUMMYFUNCTION("""COMPUTED_VALUE"""),1314.0)</f>
        <v>1314</v>
      </c>
      <c r="P596" s="2"/>
      <c r="Q596" s="2" t="str">
        <f>IFERROR(__xludf.DUMMYFUNCTION("""COMPUTED_VALUE"""),"Y")</f>
        <v>Y</v>
      </c>
      <c r="R596" s="74">
        <f>IFERROR(__xludf.DUMMYFUNCTION("""COMPUTED_VALUE"""),45584.0)</f>
        <v>45584</v>
      </c>
      <c r="S596" s="2" t="str">
        <f>IFERROR(__xludf.DUMMYFUNCTION("""COMPUTED_VALUE"""),"EGT/DRM")</f>
        <v>EGT/DRM</v>
      </c>
      <c r="T596" s="73">
        <f>IFERROR(__xludf.DUMMYFUNCTION("""COMPUTED_VALUE"""),2748.0)</f>
        <v>2748</v>
      </c>
      <c r="U596" s="73" t="str">
        <f>IFERROR(__xludf.DUMMYFUNCTION("""COMPUTED_VALUE""")," REMITTED ")</f>
        <v>REMITTED</v>
      </c>
      <c r="V596" s="2">
        <f>IFERROR(__xludf.DUMMYFUNCTION("""COMPUTED_VALUE"""),1310.0)</f>
        <v>1310</v>
      </c>
      <c r="W596" s="2">
        <f>IFERROR(__xludf.DUMMYFUNCTION("""COMPUTED_VALUE"""),1312.0)</f>
        <v>1312</v>
      </c>
      <c r="X596" s="2">
        <f>IFERROR(__xludf.DUMMYFUNCTION("""COMPUTED_VALUE"""),1217.0)</f>
        <v>1217</v>
      </c>
      <c r="Y596" s="2" t="str">
        <f>IFERROR(__xludf.DUMMYFUNCTION("""COMPUTED_VALUE"""),"PRINTED SAVE TO FOLDER (SOFT COPY)")</f>
        <v>PRINTED SAVE TO FOLDER (SOFT COPY)</v>
      </c>
      <c r="Z596" s="2"/>
      <c r="AA596" s="2"/>
      <c r="AB596" s="2"/>
      <c r="AC596" s="2"/>
      <c r="AD596" s="2"/>
      <c r="AE596" s="2"/>
      <c r="AF596" s="2"/>
      <c r="AG596" s="2"/>
      <c r="AH596" s="2"/>
      <c r="AI596" s="2"/>
      <c r="AJ596" s="2" t="str">
        <f>IFERROR(__xludf.DUMMYFUNCTION("""COMPUTED_VALUE"""),"Dugwakan")</f>
        <v>Dugwakan</v>
      </c>
      <c r="AK596" s="2" t="str">
        <f>IFERROR(__xludf.DUMMYFUNCTION("""COMPUTED_VALUE"""),"Banate")</f>
        <v>Banate</v>
      </c>
      <c r="AL596" s="2" t="str">
        <f>IFERROR(__xludf.DUMMYFUNCTION("""COMPUTED_VALUE"""),"Iloilo")</f>
        <v>Iloilo</v>
      </c>
      <c r="AM596" s="2">
        <f>IFERROR(__xludf.DUMMYFUNCTION("""COMPUTED_VALUE"""),6.0)</f>
        <v>6</v>
      </c>
      <c r="AN596" s="2" t="str">
        <f>IFERROR(__xludf.DUMMYFUNCTION("""COMPUTED_VALUE"""),"RCEF 23-09-21 Rebidding")</f>
        <v>RCEF 23-09-21 Rebidding</v>
      </c>
      <c r="AO596" s="2">
        <f>IFERROR(__xludf.DUMMYFUNCTION("""COMPUTED_VALUE"""),4.0)</f>
        <v>4</v>
      </c>
      <c r="AP596" s="2"/>
      <c r="AQ596" s="2"/>
      <c r="AR596" s="2"/>
      <c r="AS596" s="2"/>
      <c r="AT596" s="2"/>
      <c r="AU596" s="2"/>
      <c r="AV596" s="2"/>
      <c r="AW596" s="2"/>
      <c r="AX596" s="2"/>
      <c r="AY596" s="2"/>
      <c r="AZ596" s="2"/>
      <c r="BA596" s="2"/>
      <c r="BB596" s="2"/>
    </row>
    <row r="597">
      <c r="A597" s="2">
        <f>IFERROR(__xludf.DUMMYFUNCTION("""COMPUTED_VALUE"""),593.0)</f>
        <v>593</v>
      </c>
      <c r="B597" s="2" t="str">
        <f>IFERROR(__xludf.DUMMYFUNCTION("""COMPUTED_VALUE"""),"COMPLETED")</f>
        <v>COMPLETED</v>
      </c>
      <c r="C597" s="74">
        <f>IFERROR(__xludf.DUMMYFUNCTION("""COMPUTED_VALUE"""),45584.0)</f>
        <v>45584</v>
      </c>
      <c r="D597" s="71" t="str">
        <f>IFERROR(__xludf.DUMMYFUNCTION("""COMPUTED_VALUE"""),"CALUBANG FARMERS CLUSTER ASSOCIATION")</f>
        <v>CALUBANG FARMERS CLUSTER ASSOCIATION</v>
      </c>
      <c r="E597" s="71" t="str">
        <f>IFERROR(__xludf.DUMMYFUNCTION("""COMPUTED_VALUE"""),"Calubang, Ilog, NEGROS OCCIDENTAL")</f>
        <v>Calubang, Ilog, NEGROS OCCIDENTAL</v>
      </c>
      <c r="F597" s="2" t="str">
        <f>IFERROR(__xludf.DUMMYFUNCTION("""COMPUTED_VALUE"""),"OPERATOIR
‎Calubang President New‎        9931170613")</f>
        <v>OPERATOIR
‎Calubang President New‎        9931170613</v>
      </c>
      <c r="G597" s="2">
        <f>IFERROR(__xludf.DUMMYFUNCTION("""COMPUTED_VALUE"""),6.3994860269E11)</f>
        <v>639948602690</v>
      </c>
      <c r="H597" s="2">
        <f>IFERROR(__xludf.DUMMYFUNCTION("""COMPUTED_VALUE"""),199.0)</f>
        <v>199</v>
      </c>
      <c r="I597" s="72" t="str">
        <f>IFERROR(__xludf.DUMMYFUNCTION("""COMPUTED_VALUE"""),"REPAIR - TRACTOR")</f>
        <v>REPAIR - TRACTOR</v>
      </c>
      <c r="J597" s="72" t="str">
        <f>IFERROR(__xludf.DUMMYFUNCTION("""COMPUTED_VALUE"""),"CHECK UP/ REPAIR")</f>
        <v>CHECK UP/ REPAIR</v>
      </c>
      <c r="K597" s="72" t="str">
        <f>IFERROR(__xludf.DUMMYFUNCTION("""COMPUTED_VALUE"""),"JVV: kapag gamitin yung rotevotor sa ma tigas na lupa sa palayan hindi umiikot , umi ikot nmn po sir, kapag pina kain muna nang husto, hindi nsa imikot nang husto, imi ikot nmn yung PTO
CFG: 10/27/24: Gusto na po nila puntahan unit po nila. kulang dw po k"&amp;"asi ng hydrualic pinadagdagan ko po ng hydualic ganon pa din po. nag pa adjust na din po ako ganon pa din dw po pahinto hinto padin po. sabi ko po baka PTO CLUTCH PACK na po un. 
""ERP: PTO NOT WORKING
CFG: SUDGESTION PALITAN MUNA NG SOLINOID PTO VALVE ("&amp;"c/o RANDY)
PARTS: PTO CLUTCH PACK ")</f>
        <v>JVV: kapag gamitin yung rotevotor sa ma tigas na lupa sa palayan hindi umiikot , umi ikot nmn po sir, kapag pina kain muna nang husto, hindi nsa imikot nang husto, imi ikot nmn yung PTO
CFG: 10/27/24: Gusto na po nila puntahan unit po nila. kulang dw po kasi ng hydrualic pinadagdagan ko po ng hydualic ganon pa din po. nag pa adjust na din po ako ganon pa din dw po pahinto hinto padin po. sabi ko po baka PTO CLUTCH PACK na po un. 
"ERP: PTO NOT WORKING
CFG: SUDGESTION PALITAN MUNA NG SOLINOID PTO VALVE (c/o RANDY)
PARTS: PTO CLUTCH PACK </v>
      </c>
      <c r="L597" s="72" t="str">
        <f>IFERROR(__xludf.DUMMYFUNCTION("""COMPUTED_VALUE"""),"MYKEE: DONE LBC PARTS TO SIR RANDY
EGT: Naging okay naman po nung dinagdagan namin ng hydraulic oil at binalik sa dating adjust yung pto valve, CHANGE OIL THE ENGINE  TRANSMISSION , ROTAVATOR  AND CHECK THE UNIT ")</f>
        <v>MYKEE: DONE LBC PARTS TO SIR RANDY
EGT: Naging okay naman po nung dinagdagan namin ng hydraulic oil at binalik sa dating adjust yung pto valve, CHANGE OIL THE ENGINE  TRANSMISSION , ROTAVATOR  AND CHECK THE UNIT </v>
      </c>
      <c r="M597" s="2"/>
      <c r="N597" s="2" t="str">
        <f>IFERROR(__xludf.DUMMYFUNCTION("""COMPUTED_VALUE"""),"PARTS: OIL FILTER, HYDRAULIC FILTER")</f>
        <v>PARTS: OIL FILTER, HYDRAULIC FILTER</v>
      </c>
      <c r="O597" s="2">
        <f>IFERROR(__xludf.DUMMYFUNCTION("""COMPUTED_VALUE"""),1344.0)</f>
        <v>1344</v>
      </c>
      <c r="P597" s="2"/>
      <c r="Q597" s="2"/>
      <c r="R597" s="74">
        <f>IFERROR(__xludf.DUMMYFUNCTION("""COMPUTED_VALUE"""),45692.0)</f>
        <v>45692</v>
      </c>
      <c r="S597" s="2" t="str">
        <f>IFERROR(__xludf.DUMMYFUNCTION("""COMPUTED_VALUE"""),"EGT/DRM")</f>
        <v>EGT/DRM</v>
      </c>
      <c r="T597" s="73">
        <f>IFERROR(__xludf.DUMMYFUNCTION("""COMPUTED_VALUE"""),7044.0)</f>
        <v>7044</v>
      </c>
      <c r="U597" s="73" t="str">
        <f>IFERROR(__xludf.DUMMYFUNCTION("""COMPUTED_VALUE""")," REMITTED ")</f>
        <v>REMITTED</v>
      </c>
      <c r="V597" s="2"/>
      <c r="W597" s="2"/>
      <c r="X597" s="2"/>
      <c r="Y597" s="2"/>
      <c r="Z597" s="2"/>
      <c r="AA597" s="2"/>
      <c r="AB597" s="2"/>
      <c r="AC597" s="2"/>
      <c r="AD597" s="2"/>
      <c r="AE597" s="2"/>
      <c r="AF597" s="2"/>
      <c r="AG597" s="2"/>
      <c r="AH597" s="2"/>
      <c r="AI597" s="2"/>
      <c r="AJ597" s="2" t="str">
        <f>IFERROR(__xludf.DUMMYFUNCTION("""COMPUTED_VALUE"""),"Calubang")</f>
        <v>Calubang</v>
      </c>
      <c r="AK597" s="2" t="str">
        <f>IFERROR(__xludf.DUMMYFUNCTION("""COMPUTED_VALUE"""),"Ilog")</f>
        <v>Ilog</v>
      </c>
      <c r="AL597" s="2" t="str">
        <f>IFERROR(__xludf.DUMMYFUNCTION("""COMPUTED_VALUE"""),"Negros Occidental")</f>
        <v>Negros Occidental</v>
      </c>
      <c r="AM597" s="2">
        <f>IFERROR(__xludf.DUMMYFUNCTION("""COMPUTED_VALUE"""),6.0)</f>
        <v>6</v>
      </c>
      <c r="AN597" s="2" t="str">
        <f>IFERROR(__xludf.DUMMYFUNCTION("""COMPUTED_VALUE"""),"RCEF 23-09-21 Rebidding")</f>
        <v>RCEF 23-09-21 Rebidding</v>
      </c>
      <c r="AO597" s="2">
        <f>IFERROR(__xludf.DUMMYFUNCTION("""COMPUTED_VALUE"""),4.0)</f>
        <v>4</v>
      </c>
      <c r="AP597" s="2"/>
      <c r="AQ597" s="2"/>
      <c r="AR597" s="2"/>
      <c r="AS597" s="2"/>
      <c r="AT597" s="2"/>
      <c r="AU597" s="2"/>
      <c r="AV597" s="2"/>
      <c r="AW597" s="2"/>
      <c r="AX597" s="2"/>
      <c r="AY597" s="2"/>
      <c r="AZ597" s="2"/>
      <c r="BA597" s="2"/>
      <c r="BB597" s="2"/>
    </row>
    <row r="598">
      <c r="A598" s="2">
        <f>IFERROR(__xludf.DUMMYFUNCTION("""COMPUTED_VALUE"""),594.0)</f>
        <v>594</v>
      </c>
      <c r="B598" s="2" t="str">
        <f>IFERROR(__xludf.DUMMYFUNCTION("""COMPUTED_VALUE"""),"COMPLETED")</f>
        <v>COMPLETED</v>
      </c>
      <c r="C598" s="74">
        <f>IFERROR(__xludf.DUMMYFUNCTION("""COMPUTED_VALUE"""),45584.0)</f>
        <v>45584</v>
      </c>
      <c r="D598" s="71" t="str">
        <f>IFERROR(__xludf.DUMMYFUNCTION("""COMPUTED_VALUE"""),"ZANJERA DAGOC-STO. TOMAS FARMERS ASSOCIATION, INC.")</f>
        <v>ZANJERA DAGOC-STO. TOMAS FARMERS ASSOCIATION, INC.</v>
      </c>
      <c r="E598" s="71" t="str">
        <f>IFERROR(__xludf.DUMMYFUNCTION("""COMPUTED_VALUE"""),"Santo Tomas, Claveria, CAGAYAN")</f>
        <v>Santo Tomas, Claveria, CAGAYAN</v>
      </c>
      <c r="F598" s="2" t="str">
        <f>IFERROR(__xludf.DUMMYFUNCTION("""COMPUTED_VALUE"""),"Roderick agustin")</f>
        <v>Roderick agustin</v>
      </c>
      <c r="G598" s="2">
        <f>IFERROR(__xludf.DUMMYFUNCTION("""COMPUTED_VALUE"""),9.288080043E9)</f>
        <v>9288080043</v>
      </c>
      <c r="H598" s="2">
        <f>IFERROR(__xludf.DUMMYFUNCTION("""COMPUTED_VALUE"""),80.0)</f>
        <v>80</v>
      </c>
      <c r="I598" s="72" t="str">
        <f>IFERROR(__xludf.DUMMYFUNCTION("""COMPUTED_VALUE"""),"REPAIR - TRACTOR")</f>
        <v>REPAIR - TRACTOR</v>
      </c>
      <c r="J598" s="72" t="str">
        <f>IFERROR(__xludf.DUMMYFUNCTION("""COMPUTED_VALUE"""),"CHECK UP UNIT")</f>
        <v>CHECK UP UNIT</v>
      </c>
      <c r="K598" s="72" t="str">
        <f>IFERROR(__xludf.DUMMYFUNCTION("""COMPUTED_VALUE"""),"CFG: PTO SWITCH PROBLEM/ MULFUNCTIONING/ NOT RESPONDING")</f>
        <v>CFG: PTO SWITCH PROBLEM/ MULFUNCTIONING/ NOT RESPONDING</v>
      </c>
      <c r="L598" s="72" t="str">
        <f>IFERROR(__xludf.DUMMYFUNCTION("""COMPUTED_VALUE"""),"JHP: ASSIST VIA CALL, DONE")</f>
        <v>JHP: ASSIST VIA CALL, DONE</v>
      </c>
      <c r="M598" s="2"/>
      <c r="N598" s="2"/>
      <c r="O598" s="2" t="str">
        <f>IFERROR(__xludf.DUMMYFUNCTION("""COMPUTED_VALUE"""),"N/A")</f>
        <v>N/A</v>
      </c>
      <c r="P598" s="2"/>
      <c r="Q598" s="2"/>
      <c r="R598" s="74">
        <f>IFERROR(__xludf.DUMMYFUNCTION("""COMPUTED_VALUE"""),45594.0)</f>
        <v>45594</v>
      </c>
      <c r="S598" s="2" t="str">
        <f>IFERROR(__xludf.DUMMYFUNCTION("""COMPUTED_VALUE"""),"JHP")</f>
        <v>JHP</v>
      </c>
      <c r="T598" s="73" t="str">
        <f>IFERROR(__xludf.DUMMYFUNCTION("""COMPUTED_VALUE""")," N/A ")</f>
        <v>N/A</v>
      </c>
      <c r="U598" s="73" t="str">
        <f>IFERROR(__xludf.DUMMYFUNCTION("""COMPUTED_VALUE""")," NO CHARGE ")</f>
        <v>NO CHARGE</v>
      </c>
      <c r="V598" s="2"/>
      <c r="W598" s="2" t="str">
        <f>IFERROR(__xludf.DUMMYFUNCTION("""COMPUTED_VALUE"""),"N/A")</f>
        <v>N/A</v>
      </c>
      <c r="X598" s="2" t="str">
        <f>IFERROR(__xludf.DUMMYFUNCTION("""COMPUTED_VALUE"""),"N/A")</f>
        <v>N/A</v>
      </c>
      <c r="Y598" s="2"/>
      <c r="Z598" s="2"/>
      <c r="AA598" s="2"/>
      <c r="AB598" s="2"/>
      <c r="AC598" s="2"/>
      <c r="AD598" s="2"/>
      <c r="AE598" s="2"/>
      <c r="AF598" s="2"/>
      <c r="AG598" s="2"/>
      <c r="AH598" s="2"/>
      <c r="AI598" s="2"/>
      <c r="AJ598" s="2" t="str">
        <f>IFERROR(__xludf.DUMMYFUNCTION("""COMPUTED_VALUE"""),"Santo Tomas")</f>
        <v>Santo Tomas</v>
      </c>
      <c r="AK598" s="2" t="str">
        <f>IFERROR(__xludf.DUMMYFUNCTION("""COMPUTED_VALUE"""),"Claveria")</f>
        <v>Claveria</v>
      </c>
      <c r="AL598" s="2" t="str">
        <f>IFERROR(__xludf.DUMMYFUNCTION("""COMPUTED_VALUE"""),"Cagayan")</f>
        <v>Cagayan</v>
      </c>
      <c r="AM598" s="2">
        <f>IFERROR(__xludf.DUMMYFUNCTION("""COMPUTED_VALUE"""),2.0)</f>
        <v>2</v>
      </c>
      <c r="AN598" s="2" t="str">
        <f>IFERROR(__xludf.DUMMYFUNCTION("""COMPUTED_VALUE"""),"RCEF 23-09-21 Rebidding")</f>
        <v>RCEF 23-09-21 Rebidding</v>
      </c>
      <c r="AO598" s="2">
        <f>IFERROR(__xludf.DUMMYFUNCTION("""COMPUTED_VALUE"""),9.0)</f>
        <v>9</v>
      </c>
      <c r="AP598" s="2"/>
      <c r="AQ598" s="2"/>
      <c r="AR598" s="2"/>
      <c r="AS598" s="2"/>
      <c r="AT598" s="2"/>
      <c r="AU598" s="2"/>
      <c r="AV598" s="2"/>
      <c r="AW598" s="2"/>
      <c r="AX598" s="2"/>
      <c r="AY598" s="2"/>
      <c r="AZ598" s="2"/>
      <c r="BA598" s="2"/>
      <c r="BB598" s="2"/>
    </row>
    <row r="599">
      <c r="A599" s="2">
        <f>IFERROR(__xludf.DUMMYFUNCTION("""COMPUTED_VALUE"""),595.0)</f>
        <v>595</v>
      </c>
      <c r="B599" s="2" t="str">
        <f>IFERROR(__xludf.DUMMYFUNCTION("""COMPUTED_VALUE"""),"COMPLETED")</f>
        <v>COMPLETED</v>
      </c>
      <c r="C599" s="74">
        <f>IFERROR(__xludf.DUMMYFUNCTION("""COMPUTED_VALUE"""),45584.0)</f>
        <v>45584</v>
      </c>
      <c r="D599" s="71" t="str">
        <f>IFERROR(__xludf.DUMMYFUNCTION("""COMPUTED_VALUE"""),"Balucuan Farmers Association")</f>
        <v>Balucuan Farmers Association</v>
      </c>
      <c r="E599" s="71" t="str">
        <f>IFERROR(__xludf.DUMMYFUNCTION("""COMPUTED_VALUE"""),"Balucuan, Sigma, CAPIZ")</f>
        <v>Balucuan, Sigma, CAPIZ</v>
      </c>
      <c r="F599" s="2" t="str">
        <f>IFERROR(__xludf.DUMMYFUNCTION("""COMPUTED_VALUE"""),"JOSEPHINE JAGO")</f>
        <v>JOSEPHINE JAGO</v>
      </c>
      <c r="G599" s="2"/>
      <c r="H599" s="2">
        <f>IFERROR(__xludf.DUMMYFUNCTION("""COMPUTED_VALUE"""),48.0)</f>
        <v>48</v>
      </c>
      <c r="I599" s="72" t="str">
        <f>IFERROR(__xludf.DUMMYFUNCTION("""COMPUTED_VALUE"""),"PMS")</f>
        <v>PMS</v>
      </c>
      <c r="J599" s="72" t="str">
        <f>IFERROR(__xludf.DUMMYFUNCTION("""COMPUTED_VALUE"""),"PMS")</f>
        <v>PMS</v>
      </c>
      <c r="K599" s="72" t="str">
        <f>IFERROR(__xludf.DUMMYFUNCTION("""COMPUTED_VALUE"""),"MYKEE: 1ST PMS: SELF PMS")</f>
        <v>MYKEE: 1ST PMS: SELF PMS</v>
      </c>
      <c r="L599" s="72" t="str">
        <f>IFERROR(__xludf.DUMMYFUNCTION("""COMPUTED_VALUE"""),"SEND AGREEMENT")</f>
        <v>SEND AGREEMENT</v>
      </c>
      <c r="M599" s="2"/>
      <c r="N599" s="2"/>
      <c r="O599" s="2" t="str">
        <f>IFERROR(__xludf.DUMMYFUNCTION("""COMPUTED_VALUE"""),"N/A")</f>
        <v>N/A</v>
      </c>
      <c r="P599" s="2"/>
      <c r="Q599" s="2"/>
      <c r="R599" s="74">
        <f>IFERROR(__xludf.DUMMYFUNCTION("""COMPUTED_VALUE"""),45594.0)</f>
        <v>45594</v>
      </c>
      <c r="S599" s="2" t="str">
        <f>IFERROR(__xludf.DUMMYFUNCTION("""COMPUTED_VALUE"""),"N/A")</f>
        <v>N/A</v>
      </c>
      <c r="T599" s="73" t="str">
        <f>IFERROR(__xludf.DUMMYFUNCTION("""COMPUTED_VALUE""")," N/A ")</f>
        <v>N/A</v>
      </c>
      <c r="U599" s="73" t="str">
        <f>IFERROR(__xludf.DUMMYFUNCTION("""COMPUTED_VALUE""")," NO CHARGE ")</f>
        <v>NO CHARGE</v>
      </c>
      <c r="V599" s="2"/>
      <c r="W599" s="2" t="str">
        <f>IFERROR(__xludf.DUMMYFUNCTION("""COMPUTED_VALUE"""),"N/A")</f>
        <v>N/A</v>
      </c>
      <c r="X599" s="2" t="str">
        <f>IFERROR(__xludf.DUMMYFUNCTION("""COMPUTED_VALUE"""),"N/A")</f>
        <v>N/A</v>
      </c>
      <c r="Y599" s="2"/>
      <c r="Z599" s="2"/>
      <c r="AA599" s="2"/>
      <c r="AB599" s="2"/>
      <c r="AC599" s="2"/>
      <c r="AD599" s="2"/>
      <c r="AE599" s="2"/>
      <c r="AF599" s="2"/>
      <c r="AG599" s="2"/>
      <c r="AH599" s="2"/>
      <c r="AI599" s="2"/>
      <c r="AJ599" s="2" t="str">
        <f>IFERROR(__xludf.DUMMYFUNCTION("""COMPUTED_VALUE"""),"Balucuan")</f>
        <v>Balucuan</v>
      </c>
      <c r="AK599" s="2" t="str">
        <f>IFERROR(__xludf.DUMMYFUNCTION("""COMPUTED_VALUE"""),"Sigma")</f>
        <v>Sigma</v>
      </c>
      <c r="AL599" s="2" t="str">
        <f>IFERROR(__xludf.DUMMYFUNCTION("""COMPUTED_VALUE"""),"Capiz")</f>
        <v>Capiz</v>
      </c>
      <c r="AM599" s="2">
        <f>IFERROR(__xludf.DUMMYFUNCTION("""COMPUTED_VALUE"""),6.0)</f>
        <v>6</v>
      </c>
      <c r="AN599" s="2" t="str">
        <f>IFERROR(__xludf.DUMMYFUNCTION("""COMPUTED_VALUE"""),"RCEF 23-09-21 Rebidding")</f>
        <v>RCEF 23-09-21 Rebidding</v>
      </c>
      <c r="AO599" s="2">
        <f>IFERROR(__xludf.DUMMYFUNCTION("""COMPUTED_VALUE"""),4.0)</f>
        <v>4</v>
      </c>
      <c r="AP599" s="2"/>
      <c r="AQ599" s="2"/>
      <c r="AR599" s="2"/>
      <c r="AS599" s="2"/>
      <c r="AT599" s="2"/>
      <c r="AU599" s="2"/>
      <c r="AV599" s="2"/>
      <c r="AW599" s="2"/>
      <c r="AX599" s="2"/>
      <c r="AY599" s="2"/>
      <c r="AZ599" s="2"/>
      <c r="BA599" s="2"/>
      <c r="BB599" s="2"/>
    </row>
    <row r="600">
      <c r="A600" s="2">
        <f>IFERROR(__xludf.DUMMYFUNCTION("""COMPUTED_VALUE"""),596.0)</f>
        <v>596</v>
      </c>
      <c r="B600" s="2" t="str">
        <f>IFERROR(__xludf.DUMMYFUNCTION("""COMPUTED_VALUE"""),"COMPLETED")</f>
        <v>COMPLETED</v>
      </c>
      <c r="C600" s="74">
        <f>IFERROR(__xludf.DUMMYFUNCTION("""COMPUTED_VALUE"""),45586.0)</f>
        <v>45586</v>
      </c>
      <c r="D600" s="71" t="str">
        <f>IFERROR(__xludf.DUMMYFUNCTION("""COMPUTED_VALUE"""),"David Communal Irrigators Association Incorporated")</f>
        <v>David Communal Irrigators Association Incorporated</v>
      </c>
      <c r="E600" s="71" t="str">
        <f>IFERROR(__xludf.DUMMYFUNCTION("""COMPUTED_VALUE"""),"David, San Jose, TARLAC")</f>
        <v>David, San Jose, TARLAC</v>
      </c>
      <c r="F600" s="2" t="str">
        <f>IFERROR(__xludf.DUMMYFUNCTION("""COMPUTED_VALUE"""),"BERNABE MACADANGDANG JR.")</f>
        <v>BERNABE MACADANGDANG JR.</v>
      </c>
      <c r="G600" s="2">
        <f>IFERROR(__xludf.DUMMYFUNCTION("""COMPUTED_VALUE"""),9.647599445E9)</f>
        <v>9647599445</v>
      </c>
      <c r="H600" s="2">
        <f>IFERROR(__xludf.DUMMYFUNCTION("""COMPUTED_VALUE"""),220.0)</f>
        <v>220</v>
      </c>
      <c r="I600" s="72" t="str">
        <f>IFERROR(__xludf.DUMMYFUNCTION("""COMPUTED_VALUE"""),"REPAIR - TRACTOR")</f>
        <v>REPAIR - TRACTOR</v>
      </c>
      <c r="J600" s="72" t="str">
        <f>IFERROR(__xludf.DUMMYFUNCTION("""COMPUTED_VALUE"""),"CHECK UP/ REPAIR")</f>
        <v>CHECK UP/ REPAIR</v>
      </c>
      <c r="K600" s="72" t="str">
        <f>IFERROR(__xludf.DUMMYFUNCTION("""COMPUTED_VALUE"""),"KFS: REQUEST CHECK UP YUNG UNIT, AYAW UMANDAR (FOR ASSESSMENT)")</f>
        <v>KFS: REQUEST CHECK UP YUNG UNIT, AYAW UMANDAR (FOR ASSESSMENT)</v>
      </c>
      <c r="L600" s="72" t="str">
        <f>IFERROR(__xludf.DUMMYFUNCTION("""COMPUTED_VALUE"""),"JHP: loose connection, ignition switch
Action taken: fixed loose socket
")</f>
        <v>JHP: loose connection, ignition switch
Action taken: fixed loose socket
</v>
      </c>
      <c r="M600" s="2"/>
      <c r="N600" s="2"/>
      <c r="O600" s="2">
        <f>IFERROR(__xludf.DUMMYFUNCTION("""COMPUTED_VALUE"""),599.0)</f>
        <v>599</v>
      </c>
      <c r="P600" s="2"/>
      <c r="Q600" s="2" t="str">
        <f>IFERROR(__xludf.DUMMYFUNCTION("""COMPUTED_VALUE"""),"Y")</f>
        <v>Y</v>
      </c>
      <c r="R600" s="74">
        <f>IFERROR(__xludf.DUMMYFUNCTION("""COMPUTED_VALUE"""),45609.0)</f>
        <v>45609</v>
      </c>
      <c r="S600" s="2" t="str">
        <f>IFERROR(__xludf.DUMMYFUNCTION("""COMPUTED_VALUE"""),"JHP")</f>
        <v>JHP</v>
      </c>
      <c r="T600" s="73" t="str">
        <f>IFERROR(__xludf.DUMMYFUNCTION("""COMPUTED_VALUE""")," N/A ")</f>
        <v>N/A</v>
      </c>
      <c r="U600" s="73" t="str">
        <f>IFERROR(__xludf.DUMMYFUNCTION("""COMPUTED_VALUE""")," NO CHARGE ")</f>
        <v>NO CHARGE</v>
      </c>
      <c r="V600" s="2"/>
      <c r="W600" s="2" t="str">
        <f>IFERROR(__xludf.DUMMYFUNCTION("""COMPUTED_VALUE"""),"N/A")</f>
        <v>N/A</v>
      </c>
      <c r="X600" s="2" t="str">
        <f>IFERROR(__xludf.DUMMYFUNCTION("""COMPUTED_VALUE"""),"N/A")</f>
        <v>N/A</v>
      </c>
      <c r="Y600" s="2"/>
      <c r="Z600" s="2"/>
      <c r="AA600" s="2"/>
      <c r="AB600" s="2"/>
      <c r="AC600" s="2"/>
      <c r="AD600" s="2"/>
      <c r="AE600" s="2"/>
      <c r="AF600" s="2"/>
      <c r="AG600" s="2"/>
      <c r="AH600" s="2"/>
      <c r="AI600" s="2"/>
      <c r="AJ600" s="2" t="str">
        <f>IFERROR(__xludf.DUMMYFUNCTION("""COMPUTED_VALUE"""),"David")</f>
        <v>David</v>
      </c>
      <c r="AK600" s="2" t="str">
        <f>IFERROR(__xludf.DUMMYFUNCTION("""COMPUTED_VALUE"""),"San Jose")</f>
        <v>San Jose</v>
      </c>
      <c r="AL600" s="2" t="str">
        <f>IFERROR(__xludf.DUMMYFUNCTION("""COMPUTED_VALUE"""),"Tarlac")</f>
        <v>Tarlac</v>
      </c>
      <c r="AM600" s="2">
        <f>IFERROR(__xludf.DUMMYFUNCTION("""COMPUTED_VALUE"""),3.0)</f>
        <v>3</v>
      </c>
      <c r="AN600" s="2" t="str">
        <f>IFERROR(__xludf.DUMMYFUNCTION("""COMPUTED_VALUE"""),"RCEF 23-09-21 Rebidding")</f>
        <v>RCEF 23-09-21 Rebidding</v>
      </c>
      <c r="AO600" s="2">
        <f>IFERROR(__xludf.DUMMYFUNCTION("""COMPUTED_VALUE"""),3.0)</f>
        <v>3</v>
      </c>
      <c r="AP600" s="2"/>
      <c r="AQ600" s="2"/>
      <c r="AR600" s="2"/>
      <c r="AS600" s="2"/>
      <c r="AT600" s="2"/>
      <c r="AU600" s="2"/>
      <c r="AV600" s="2"/>
      <c r="AW600" s="2"/>
      <c r="AX600" s="2"/>
      <c r="AY600" s="2"/>
      <c r="AZ600" s="2"/>
      <c r="BA600" s="2"/>
      <c r="BB600" s="2"/>
    </row>
    <row r="601">
      <c r="A601" s="2">
        <f>IFERROR(__xludf.DUMMYFUNCTION("""COMPUTED_VALUE"""),597.0)</f>
        <v>597</v>
      </c>
      <c r="B601" s="2" t="str">
        <f>IFERROR(__xludf.DUMMYFUNCTION("""COMPUTED_VALUE"""),"COMPLETED")</f>
        <v>COMPLETED</v>
      </c>
      <c r="C601" s="74">
        <f>IFERROR(__xludf.DUMMYFUNCTION("""COMPUTED_VALUE"""),45586.0)</f>
        <v>45586</v>
      </c>
      <c r="D601" s="71" t="str">
        <f>IFERROR(__xludf.DUMMYFUNCTION("""COMPUTED_VALUE"""),"Santiago Nagkakaisa Agriculture Cooperative")</f>
        <v>Santiago Nagkakaisa Agriculture Cooperative</v>
      </c>
      <c r="E601" s="71" t="str">
        <f>IFERROR(__xludf.DUMMYFUNCTION("""COMPUTED_VALUE"""),"Santiago, Gerona, TARLAC")</f>
        <v>Santiago, Gerona, TARLAC</v>
      </c>
      <c r="F601" s="2" t="str">
        <f>IFERROR(__xludf.DUMMYFUNCTION("""COMPUTED_VALUE"""),"edwin i benitez                                      ")</f>
        <v>edwin i benitez                                      </v>
      </c>
      <c r="G601" s="2">
        <f>IFERROR(__xludf.DUMMYFUNCTION("""COMPUTED_VALUE"""),9.702027176E9)</f>
        <v>9702027176</v>
      </c>
      <c r="H601" s="2">
        <f>IFERROR(__xludf.DUMMYFUNCTION("""COMPUTED_VALUE"""),397.0)</f>
        <v>397</v>
      </c>
      <c r="I601" s="72" t="str">
        <f>IFERROR(__xludf.DUMMYFUNCTION("""COMPUTED_VALUE"""),"REPAIR - TRACTOR")</f>
        <v>REPAIR - TRACTOR</v>
      </c>
      <c r="J601" s="72" t="str">
        <f>IFERROR(__xludf.DUMMYFUNCTION("""COMPUTED_VALUE"""),"Electrical - PTO Switch")</f>
        <v>Electrical - PTO Switch</v>
      </c>
      <c r="K601" s="72" t="str">
        <f>IFERROR(__xludf.DUMMYFUNCTION("""COMPUTED_VALUE"""),"JDP: PTO SWITCH PROBLEM
PARTS: PTO SWITCH")</f>
        <v>JDP: PTO SWITCH PROBLEM
PARTS: PTO SWITCH</v>
      </c>
      <c r="L601" s="72" t="str">
        <f>IFERROR(__xludf.DUMMYFUNCTION("""COMPUTED_VALUE"""),"JDP: REPAIR OF BROKEN PTO SWITCH")</f>
        <v>JDP: REPAIR OF BROKEN PTO SWITCH</v>
      </c>
      <c r="M601" s="2"/>
      <c r="N601" s="2"/>
      <c r="O601" s="2">
        <f>IFERROR(__xludf.DUMMYFUNCTION("""COMPUTED_VALUE"""),1359.0)</f>
        <v>1359</v>
      </c>
      <c r="P601" s="2"/>
      <c r="Q601" s="2"/>
      <c r="R601" s="74">
        <f>IFERROR(__xludf.DUMMYFUNCTION("""COMPUTED_VALUE"""),45590.0)</f>
        <v>45590</v>
      </c>
      <c r="S601" s="2" t="str">
        <f>IFERROR(__xludf.DUMMYFUNCTION("""COMPUTED_VALUE"""),"JDP/DSD")</f>
        <v>JDP/DSD</v>
      </c>
      <c r="T601" s="73" t="str">
        <f>IFERROR(__xludf.DUMMYFUNCTION("""COMPUTED_VALUE""")," N/A ")</f>
        <v>N/A</v>
      </c>
      <c r="U601" s="73" t="str">
        <f>IFERROR(__xludf.DUMMYFUNCTION("""COMPUTED_VALUE""")," NO CHARGE ")</f>
        <v>NO CHARGE</v>
      </c>
      <c r="V601" s="2"/>
      <c r="W601" s="2" t="str">
        <f>IFERROR(__xludf.DUMMYFUNCTION("""COMPUTED_VALUE"""),"N/A")</f>
        <v>N/A</v>
      </c>
      <c r="X601" s="2" t="str">
        <f>IFERROR(__xludf.DUMMYFUNCTION("""COMPUTED_VALUE"""),"N/A")</f>
        <v>N/A</v>
      </c>
      <c r="Y601" s="2"/>
      <c r="Z601" s="2"/>
      <c r="AA601" s="2"/>
      <c r="AB601" s="2"/>
      <c r="AC601" s="2"/>
      <c r="AD601" s="2"/>
      <c r="AE601" s="2"/>
      <c r="AF601" s="2"/>
      <c r="AG601" s="2"/>
      <c r="AH601" s="2"/>
      <c r="AI601" s="2"/>
      <c r="AJ601" s="2" t="str">
        <f>IFERROR(__xludf.DUMMYFUNCTION("""COMPUTED_VALUE"""),"Santiago")</f>
        <v>Santiago</v>
      </c>
      <c r="AK601" s="2" t="str">
        <f>IFERROR(__xludf.DUMMYFUNCTION("""COMPUTED_VALUE"""),"Gerona")</f>
        <v>Gerona</v>
      </c>
      <c r="AL601" s="2" t="str">
        <f>IFERROR(__xludf.DUMMYFUNCTION("""COMPUTED_VALUE"""),"Tarlac")</f>
        <v>Tarlac</v>
      </c>
      <c r="AM601" s="2">
        <f>IFERROR(__xludf.DUMMYFUNCTION("""COMPUTED_VALUE"""),3.0)</f>
        <v>3</v>
      </c>
      <c r="AN601" s="2" t="str">
        <f>IFERROR(__xludf.DUMMYFUNCTION("""COMPUTED_VALUE"""),"RCEF 23-09-21 Rebidding")</f>
        <v>RCEF 23-09-21 Rebidding</v>
      </c>
      <c r="AO601" s="2">
        <f>IFERROR(__xludf.DUMMYFUNCTION("""COMPUTED_VALUE"""),3.0)</f>
        <v>3</v>
      </c>
      <c r="AP601" s="2"/>
      <c r="AQ601" s="2"/>
      <c r="AR601" s="2"/>
      <c r="AS601" s="2"/>
      <c r="AT601" s="2"/>
      <c r="AU601" s="2"/>
      <c r="AV601" s="2"/>
      <c r="AW601" s="2"/>
      <c r="AX601" s="2"/>
      <c r="AY601" s="2"/>
      <c r="AZ601" s="2"/>
      <c r="BA601" s="2"/>
      <c r="BB601" s="2"/>
    </row>
    <row r="602">
      <c r="A602" s="2">
        <f>IFERROR(__xludf.DUMMYFUNCTION("""COMPUTED_VALUE"""),598.0)</f>
        <v>598</v>
      </c>
      <c r="B602" s="2" t="str">
        <f>IFERROR(__xludf.DUMMYFUNCTION("""COMPUTED_VALUE"""),"COMPLETED")</f>
        <v>COMPLETED</v>
      </c>
      <c r="C602" s="74">
        <f>IFERROR(__xludf.DUMMYFUNCTION("""COMPUTED_VALUE"""),45586.0)</f>
        <v>45586</v>
      </c>
      <c r="D602" s="71" t="str">
        <f>IFERROR(__xludf.DUMMYFUNCTION("""COMPUTED_VALUE"""),"Try Me Agriculture Cooperative (TMAC)")</f>
        <v>Try Me Agriculture Cooperative (TMAC)</v>
      </c>
      <c r="E602" s="71" t="str">
        <f>IFERROR(__xludf.DUMMYFUNCTION("""COMPUTED_VALUE"""),"Poblacion West, Science City of Munoz, Nueva Ecija")</f>
        <v>Poblacion West, Science City of Munoz, Nueva Ecija</v>
      </c>
      <c r="F602" s="2" t="str">
        <f>IFERROR(__xludf.DUMMYFUNCTION("""COMPUTED_VALUE"""),"RENATO VERGARA")</f>
        <v>RENATO VERGARA</v>
      </c>
      <c r="G602" s="2">
        <f>IFERROR(__xludf.DUMMYFUNCTION("""COMPUTED_VALUE"""),9.167869015E9)</f>
        <v>9167869015</v>
      </c>
      <c r="H602" s="2">
        <f>IFERROR(__xludf.DUMMYFUNCTION("""COMPUTED_VALUE"""),283.0)</f>
        <v>283</v>
      </c>
      <c r="I602" s="72" t="str">
        <f>IFERROR(__xludf.DUMMYFUNCTION("""COMPUTED_VALUE"""),"REPAIR - TRACTOR")</f>
        <v>REPAIR - TRACTOR</v>
      </c>
      <c r="J602" s="72" t="str">
        <f>IFERROR(__xludf.DUMMYFUNCTION("""COMPUTED_VALUE"""),"PTO Valve")</f>
        <v>PTO Valve</v>
      </c>
      <c r="K602" s="72" t="str">
        <f>IFERROR(__xludf.DUMMYFUNCTION("""COMPUTED_VALUE"""),"ACS: #0583:  NEED TO REPLACE SOLINOID VALVE, RUBBER HOSE ")</f>
        <v>ACS: #0583:  NEED TO REPLACE SOLINOID VALVE, RUBBER HOSE </v>
      </c>
      <c r="L602" s="72" t="str">
        <f>IFERROR(__xludf.DUMMYFUNCTION("""COMPUTED_VALUE"""),"ACS: REPLACED SOLINOID VALVE ASSY
")</f>
        <v>ACS: REPLACED SOLINOID VALVE ASSY
</v>
      </c>
      <c r="M602" s="2"/>
      <c r="N602" s="2" t="str">
        <f>IFERROR(__xludf.DUMMYFUNCTION("""COMPUTED_VALUE"""),"PARTS: 
PTO VALVE SOLENOID, 
3L HYDRAULIC OIL")</f>
        <v>PARTS: 
PTO VALVE SOLENOID, 
3L HYDRAULIC OIL</v>
      </c>
      <c r="O602" s="2">
        <f>IFERROR(__xludf.DUMMYFUNCTION("""COMPUTED_VALUE"""),592.0)</f>
        <v>592</v>
      </c>
      <c r="P602" s="2"/>
      <c r="Q602" s="2" t="str">
        <f>IFERROR(__xludf.DUMMYFUNCTION("""COMPUTED_VALUE"""),"Y")</f>
        <v>Y</v>
      </c>
      <c r="R602" s="74">
        <f>IFERROR(__xludf.DUMMYFUNCTION("""COMPUTED_VALUE"""),45598.0)</f>
        <v>45598</v>
      </c>
      <c r="S602" s="2" t="str">
        <f>IFERROR(__xludf.DUMMYFUNCTION("""COMPUTED_VALUE"""),"ACS/JHP")</f>
        <v>ACS/JHP</v>
      </c>
      <c r="T602" s="73">
        <f>IFERROR(__xludf.DUMMYFUNCTION("""COMPUTED_VALUE"""),30540.0)</f>
        <v>30540</v>
      </c>
      <c r="U602" s="73" t="str">
        <f>IFERROR(__xludf.DUMMYFUNCTION("""COMPUTED_VALUE""")," REMITTED ")</f>
        <v>REMITTED</v>
      </c>
      <c r="V602" s="2"/>
      <c r="W602" s="2">
        <f>IFERROR(__xludf.DUMMYFUNCTION("""COMPUTED_VALUE"""),1139.0)</f>
        <v>1139</v>
      </c>
      <c r="X602" s="2">
        <f>IFERROR(__xludf.DUMMYFUNCTION("""COMPUTED_VALUE"""),1248.0)</f>
        <v>1248</v>
      </c>
      <c r="Y602" s="2" t="str">
        <f>IFERROR(__xludf.DUMMYFUNCTION("""COMPUTED_VALUE"""),"PRINTED/ SAVE TO FOLDER (SOFT COPY)")</f>
        <v>PRINTED/ SAVE TO FOLDER (SOFT COPY)</v>
      </c>
      <c r="Z602" s="2"/>
      <c r="AA602" s="2"/>
      <c r="AB602" s="2"/>
      <c r="AC602" s="2"/>
      <c r="AD602" s="2"/>
      <c r="AE602" s="2"/>
      <c r="AF602" s="2"/>
      <c r="AG602" s="2"/>
      <c r="AH602" s="2"/>
      <c r="AI602" s="2"/>
      <c r="AJ602" s="2" t="str">
        <f>IFERROR(__xludf.DUMMYFUNCTION("""COMPUTED_VALUE"""),"Poblacion West")</f>
        <v>Poblacion West</v>
      </c>
      <c r="AK602" s="2" t="str">
        <f>IFERROR(__xludf.DUMMYFUNCTION("""COMPUTED_VALUE"""),"Science City Of Munoz")</f>
        <v>Science City Of Munoz</v>
      </c>
      <c r="AL602" s="2" t="str">
        <f>IFERROR(__xludf.DUMMYFUNCTION("""COMPUTED_VALUE"""),"Nueva Ecija")</f>
        <v>Nueva Ecija</v>
      </c>
      <c r="AM602" s="2">
        <f>IFERROR(__xludf.DUMMYFUNCTION("""COMPUTED_VALUE"""),3.0)</f>
        <v>3</v>
      </c>
      <c r="AN602" s="2" t="str">
        <f>IFERROR(__xludf.DUMMYFUNCTION("""COMPUTED_VALUE"""),"RCEF 23-09-21 Rebidding")</f>
        <v>RCEF 23-09-21 Rebidding</v>
      </c>
      <c r="AO602" s="2">
        <f>IFERROR(__xludf.DUMMYFUNCTION("""COMPUTED_VALUE"""),3.0)</f>
        <v>3</v>
      </c>
      <c r="AP602" s="2"/>
      <c r="AQ602" s="2"/>
      <c r="AR602" s="2"/>
      <c r="AS602" s="2"/>
      <c r="AT602" s="2"/>
      <c r="AU602" s="2"/>
      <c r="AV602" s="2"/>
      <c r="AW602" s="2"/>
      <c r="AX602" s="2"/>
      <c r="AY602" s="2"/>
      <c r="AZ602" s="2"/>
      <c r="BA602" s="2"/>
      <c r="BB602" s="2"/>
    </row>
    <row r="603">
      <c r="A603" s="2">
        <f>IFERROR(__xludf.DUMMYFUNCTION("""COMPUTED_VALUE"""),599.0)</f>
        <v>599</v>
      </c>
      <c r="B603" s="2" t="str">
        <f>IFERROR(__xludf.DUMMYFUNCTION("""COMPUTED_VALUE"""),"COMPLETED")</f>
        <v>COMPLETED</v>
      </c>
      <c r="C603" s="74">
        <f>IFERROR(__xludf.DUMMYFUNCTION("""COMPUTED_VALUE"""),45586.0)</f>
        <v>45586</v>
      </c>
      <c r="D603" s="71" t="str">
        <f>IFERROR(__xludf.DUMMYFUNCTION("""COMPUTED_VALUE"""),"Sapang Buhay Agriculture Cooperative")</f>
        <v>Sapang Buhay Agriculture Cooperative</v>
      </c>
      <c r="E603" s="71" t="str">
        <f>IFERROR(__xludf.DUMMYFUNCTION("""COMPUTED_VALUE"""),"Tagpos, Santa Rosa, NUEVA ECIJA")</f>
        <v>Tagpos, Santa Rosa, NUEVA ECIJA</v>
      </c>
      <c r="F603" s="2" t="str">
        <f>IFERROR(__xludf.DUMMYFUNCTION("""COMPUTED_VALUE"""),"ROBERTO DIAZ")</f>
        <v>ROBERTO DIAZ</v>
      </c>
      <c r="G603" s="2">
        <f>IFERROR(__xludf.DUMMYFUNCTION("""COMPUTED_VALUE"""),9.952919405E9)</f>
        <v>9952919405</v>
      </c>
      <c r="H603" s="2">
        <f>IFERROR(__xludf.DUMMYFUNCTION("""COMPUTED_VALUE"""),213.0)</f>
        <v>213</v>
      </c>
      <c r="I603" s="72" t="str">
        <f>IFERROR(__xludf.DUMMYFUNCTION("""COMPUTED_VALUE"""),"REPAIR - TRACTOR")</f>
        <v>REPAIR - TRACTOR</v>
      </c>
      <c r="J603" s="72" t="str">
        <f>IFERROR(__xludf.DUMMYFUNCTION("""COMPUTED_VALUE"""),"Electrical - Starter")</f>
        <v>Electrical - Starter</v>
      </c>
      <c r="K603" s="72" t="str">
        <f>IFERROR(__xludf.DUMMYFUNCTION("""COMPUTED_VALUE"""),"ACS: 10/22/24:STARTER MULFUNCTION PARTS: STARTER SOLINOID")</f>
        <v>ACS: 10/22/24:STARTER MULFUNCTION PARTS: STARTER SOLINOID</v>
      </c>
      <c r="L603" s="72" t="str">
        <f>IFERROR(__xludf.DUMMYFUNCTION("""COMPUTED_VALUE"""),"CANCELLED")</f>
        <v>CANCELLED</v>
      </c>
      <c r="M603" s="2"/>
      <c r="N603" s="2"/>
      <c r="O603" s="2">
        <f>IFERROR(__xludf.DUMMYFUNCTION("""COMPUTED_VALUE"""),1365.0)</f>
        <v>1365</v>
      </c>
      <c r="P603" s="2"/>
      <c r="Q603" s="2"/>
      <c r="R603" s="74">
        <f>IFERROR(__xludf.DUMMYFUNCTION("""COMPUTED_VALUE"""),45667.0)</f>
        <v>45667</v>
      </c>
      <c r="S603" s="2" t="str">
        <f>IFERROR(__xludf.DUMMYFUNCTION("""COMPUTED_VALUE"""),"JHP/ACS")</f>
        <v>JHP/ACS</v>
      </c>
      <c r="T603" s="2"/>
      <c r="U603" s="73" t="str">
        <f>IFERROR(__xludf.DUMMYFUNCTION("""COMPUTED_VALUE""")," REMITTED ")</f>
        <v>REMITTED</v>
      </c>
      <c r="V603" s="2"/>
      <c r="W603" s="2">
        <f>IFERROR(__xludf.DUMMYFUNCTION("""COMPUTED_VALUE"""),1144.0)</f>
        <v>1144</v>
      </c>
      <c r="X603" s="2">
        <f>IFERROR(__xludf.DUMMYFUNCTION("""COMPUTED_VALUE"""),1249.0)</f>
        <v>1249</v>
      </c>
      <c r="Y603" s="2"/>
      <c r="Z603" s="2"/>
      <c r="AA603" s="2"/>
      <c r="AB603" s="2"/>
      <c r="AC603" s="2"/>
      <c r="AD603" s="2"/>
      <c r="AE603" s="2"/>
      <c r="AF603" s="2"/>
      <c r="AG603" s="2"/>
      <c r="AH603" s="2"/>
      <c r="AI603" s="2"/>
      <c r="AJ603" s="2" t="str">
        <f>IFERROR(__xludf.DUMMYFUNCTION("""COMPUTED_VALUE"""),"Tagpos")</f>
        <v>Tagpos</v>
      </c>
      <c r="AK603" s="2" t="str">
        <f>IFERROR(__xludf.DUMMYFUNCTION("""COMPUTED_VALUE"""),"Santa Rosa")</f>
        <v>Santa Rosa</v>
      </c>
      <c r="AL603" s="2" t="str">
        <f>IFERROR(__xludf.DUMMYFUNCTION("""COMPUTED_VALUE"""),"Nueva Ecija")</f>
        <v>Nueva Ecija</v>
      </c>
      <c r="AM603" s="2">
        <f>IFERROR(__xludf.DUMMYFUNCTION("""COMPUTED_VALUE"""),3.0)</f>
        <v>3</v>
      </c>
      <c r="AN603" s="2" t="str">
        <f>IFERROR(__xludf.DUMMYFUNCTION("""COMPUTED_VALUE"""),"RCEF 23-09-21 Rebidding")</f>
        <v>RCEF 23-09-21 Rebidding</v>
      </c>
      <c r="AO603" s="2">
        <f>IFERROR(__xludf.DUMMYFUNCTION("""COMPUTED_VALUE"""),3.0)</f>
        <v>3</v>
      </c>
      <c r="AP603" s="2"/>
      <c r="AQ603" s="2"/>
      <c r="AR603" s="2"/>
      <c r="AS603" s="2"/>
      <c r="AT603" s="2"/>
      <c r="AU603" s="2"/>
      <c r="AV603" s="2"/>
      <c r="AW603" s="2"/>
      <c r="AX603" s="2"/>
      <c r="AY603" s="2"/>
      <c r="AZ603" s="2"/>
      <c r="BA603" s="2"/>
      <c r="BB603" s="2"/>
    </row>
    <row r="604">
      <c r="A604" s="2">
        <f>IFERROR(__xludf.DUMMYFUNCTION("""COMPUTED_VALUE"""),600.0)</f>
        <v>600</v>
      </c>
      <c r="B604" s="2" t="str">
        <f>IFERROR(__xludf.DUMMYFUNCTION("""COMPUTED_VALUE"""),"COMPLETED")</f>
        <v>COMPLETED</v>
      </c>
      <c r="C604" s="74">
        <f>IFERROR(__xludf.DUMMYFUNCTION("""COMPUTED_VALUE"""),45586.0)</f>
        <v>45586</v>
      </c>
      <c r="D604" s="71" t="str">
        <f>IFERROR(__xludf.DUMMYFUNCTION("""COMPUTED_VALUE"""),"Sapang Buhay Agriculture Cooperative")</f>
        <v>Sapang Buhay Agriculture Cooperative</v>
      </c>
      <c r="E604" s="71" t="str">
        <f>IFERROR(__xludf.DUMMYFUNCTION("""COMPUTED_VALUE"""),"Tagpos, Santa Rosa, NUEVA ECIJA")</f>
        <v>Tagpos, Santa Rosa, NUEVA ECIJA</v>
      </c>
      <c r="F604" s="2" t="str">
        <f>IFERROR(__xludf.DUMMYFUNCTION("""COMPUTED_VALUE"""),"Chairman Heraclio Roberto T. Diaz Jr")</f>
        <v>Chairman Heraclio Roberto T. Diaz Jr</v>
      </c>
      <c r="G604" s="2">
        <f>IFERROR(__xludf.DUMMYFUNCTION("""COMPUTED_VALUE"""),9.499854314E9)</f>
        <v>9499854314</v>
      </c>
      <c r="H604" s="2">
        <f>IFERROR(__xludf.DUMMYFUNCTION("""COMPUTED_VALUE"""),213.0)</f>
        <v>213</v>
      </c>
      <c r="I604" s="72" t="str">
        <f>IFERROR(__xludf.DUMMYFUNCTION("""COMPUTED_VALUE"""),"REPAIR - TRACTOR")</f>
        <v>REPAIR - TRACTOR</v>
      </c>
      <c r="J604" s="72" t="str">
        <f>IFERROR(__xludf.DUMMYFUNCTION("""COMPUTED_VALUE"""),"Transmission - Clutch")</f>
        <v>Transmission - Clutch</v>
      </c>
      <c r="K604" s="72" t="str">
        <f>IFERROR(__xludf.DUMMYFUNCTION("""COMPUTED_VALUE"""),"BMD: MAINGAY DAW ANG CLUTCH NILA
PARTS: CLUTCH DISC ASSY AND RELEASE BEARING
ACS: 10/22/24:STARTER MULFUNCTION
PARTS: STARTER SOLINOID
JDP: 11/8/24: CLUTCH PROBLEM, NEEDD TO REPLACED RELEASE BEARING AND PRESURE PLATE
PARTS: RELEASE BEARING, CLUTCH COVER "&amp;"ASSY
")</f>
        <v>BMD: MAINGAY DAW ANG CLUTCH NILA
PARTS: CLUTCH DISC ASSY AND RELEASE BEARING
ACS: 10/22/24:STARTER MULFUNCTION
PARTS: STARTER SOLINOID
JDP: 11/8/24: CLUTCH PROBLEM, NEEDD TO REPLACED RELEASE BEARING AND PRESURE PLATE
PARTS: RELEASE BEARING, CLUTCH COVER ASSY
</v>
      </c>
      <c r="L604" s="72" t="str">
        <f>IFERROR(__xludf.DUMMYFUNCTION("""COMPUTED_VALUE"""),"DSD: Replace Clutch assy. and Release Bearing.")</f>
        <v>DSD: Replace Clutch assy. and Release Bearing.</v>
      </c>
      <c r="M604" s="2"/>
      <c r="N604" s="2" t="str">
        <f>IFERROR(__xludf.DUMMYFUNCTION("""COMPUTED_VALUE"""),"PARTS: 
RELEASED BEARING , 
CLUTCH COVER ASSY")</f>
        <v>PARTS: 
RELEASED BEARING , 
CLUTCH COVER ASSY</v>
      </c>
      <c r="O604" s="2" t="str">
        <f>IFERROR(__xludf.DUMMYFUNCTION("""COMPUTED_VALUE"""),"1365/0597")</f>
        <v>1365/0597</v>
      </c>
      <c r="P604" s="2"/>
      <c r="Q604" s="2" t="str">
        <f>IFERROR(__xludf.DUMMYFUNCTION("""COMPUTED_VALUE"""),"Y")</f>
        <v>Y</v>
      </c>
      <c r="R604" s="74">
        <f>IFERROR(__xludf.DUMMYFUNCTION("""COMPUTED_VALUE"""),45611.0)</f>
        <v>45611</v>
      </c>
      <c r="S604" s="2" t="str">
        <f>IFERROR(__xludf.DUMMYFUNCTION("""COMPUTED_VALUE"""),"DSD/JHP")</f>
        <v>DSD/JHP</v>
      </c>
      <c r="T604" s="73">
        <f>IFERROR(__xludf.DUMMYFUNCTION("""COMPUTED_VALUE"""),22900.0)</f>
        <v>22900</v>
      </c>
      <c r="U604" s="73" t="str">
        <f>IFERROR(__xludf.DUMMYFUNCTION("""COMPUTED_VALUE""")," REMITTED ")</f>
        <v>REMITTED</v>
      </c>
      <c r="V604" s="2"/>
      <c r="W604" s="2">
        <f>IFERROR(__xludf.DUMMYFUNCTION("""COMPUTED_VALUE"""),1144.0)</f>
        <v>1144</v>
      </c>
      <c r="X604" s="2">
        <f>IFERROR(__xludf.DUMMYFUNCTION("""COMPUTED_VALUE"""),1249.0)</f>
        <v>1249</v>
      </c>
      <c r="Y604" s="2"/>
      <c r="Z604" s="2"/>
      <c r="AA604" s="2"/>
      <c r="AB604" s="2"/>
      <c r="AC604" s="2"/>
      <c r="AD604" s="2"/>
      <c r="AE604" s="2"/>
      <c r="AF604" s="2"/>
      <c r="AG604" s="2"/>
      <c r="AH604" s="2"/>
      <c r="AI604" s="2"/>
      <c r="AJ604" s="2" t="str">
        <f>IFERROR(__xludf.DUMMYFUNCTION("""COMPUTED_VALUE"""),"Tagpos")</f>
        <v>Tagpos</v>
      </c>
      <c r="AK604" s="2" t="str">
        <f>IFERROR(__xludf.DUMMYFUNCTION("""COMPUTED_VALUE"""),"Santa Rosa")</f>
        <v>Santa Rosa</v>
      </c>
      <c r="AL604" s="2" t="str">
        <f>IFERROR(__xludf.DUMMYFUNCTION("""COMPUTED_VALUE"""),"Nueva Ecija")</f>
        <v>Nueva Ecija</v>
      </c>
      <c r="AM604" s="2">
        <f>IFERROR(__xludf.DUMMYFUNCTION("""COMPUTED_VALUE"""),3.0)</f>
        <v>3</v>
      </c>
      <c r="AN604" s="2" t="str">
        <f>IFERROR(__xludf.DUMMYFUNCTION("""COMPUTED_VALUE"""),"RCEF 23-09-21 Rebidding")</f>
        <v>RCEF 23-09-21 Rebidding</v>
      </c>
      <c r="AO604" s="2">
        <f>IFERROR(__xludf.DUMMYFUNCTION("""COMPUTED_VALUE"""),3.0)</f>
        <v>3</v>
      </c>
      <c r="AP604" s="2"/>
      <c r="AQ604" s="2"/>
      <c r="AR604" s="2"/>
      <c r="AS604" s="2"/>
      <c r="AT604" s="2"/>
      <c r="AU604" s="2"/>
      <c r="AV604" s="2"/>
      <c r="AW604" s="2"/>
      <c r="AX604" s="2"/>
      <c r="AY604" s="2"/>
      <c r="AZ604" s="2"/>
      <c r="BA604" s="2"/>
      <c r="BB604" s="2"/>
    </row>
    <row r="605">
      <c r="A605" s="2">
        <f>IFERROR(__xludf.DUMMYFUNCTION("""COMPUTED_VALUE"""),601.0)</f>
        <v>601</v>
      </c>
      <c r="B605" s="2" t="str">
        <f>IFERROR(__xludf.DUMMYFUNCTION("""COMPUTED_VALUE"""),"COMPLETED")</f>
        <v>COMPLETED</v>
      </c>
      <c r="C605" s="74">
        <f>IFERROR(__xludf.DUMMYFUNCTION("""COMPUTED_VALUE"""),45587.0)</f>
        <v>45587</v>
      </c>
      <c r="D605" s="71" t="str">
        <f>IFERROR(__xludf.DUMMYFUNCTION("""COMPUTED_VALUE"""),"ARENAS GRAIN FARMERS ASSOCIATION")</f>
        <v>ARENAS GRAIN FARMERS ASSOCIATION</v>
      </c>
      <c r="E605" s="71" t="str">
        <f>IFERROR(__xludf.DUMMYFUNCTION("""COMPUTED_VALUE"""),"Arenas, Arayat, PAMPANGA")</f>
        <v>Arenas, Arayat, PAMPANGA</v>
      </c>
      <c r="F605" s="2" t="str">
        <f>IFERROR(__xludf.DUMMYFUNCTION("""COMPUTED_VALUE"""),"DIOSDADO S QUIZON")</f>
        <v>DIOSDADO S QUIZON</v>
      </c>
      <c r="G605" s="2">
        <f>IFERROR(__xludf.DUMMYFUNCTION("""COMPUTED_VALUE"""),9.365448717E9)</f>
        <v>9365448717</v>
      </c>
      <c r="H605" s="2">
        <f>IFERROR(__xludf.DUMMYFUNCTION("""COMPUTED_VALUE"""),238.0)</f>
        <v>238</v>
      </c>
      <c r="I605" s="72" t="str">
        <f>IFERROR(__xludf.DUMMYFUNCTION("""COMPUTED_VALUE"""),"REPAIR - TRACTOR")</f>
        <v>REPAIR - TRACTOR</v>
      </c>
      <c r="J605" s="72" t="str">
        <f>IFERROR(__xludf.DUMMYFUNCTION("""COMPUTED_VALUE"""),"Front Axle - Leaking")</f>
        <v>Front Axle - Leaking</v>
      </c>
      <c r="K605" s="72" t="str">
        <f>IFERROR(__xludf.DUMMYFUNCTION("""COMPUTED_VALUE"""),"JDP: FRONT OIL SEAL PROMBLEM")</f>
        <v>JDP: FRONT OIL SEAL PROMBLEM</v>
      </c>
      <c r="L605" s="72" t="str">
        <f>IFERROR(__xludf.DUMMYFUNCTION("""COMPUTED_VALUE"""),"JDP: REPLACED OIL SEAL , OUTSOURCE NI FARMER YUNG OIL SEAL")</f>
        <v>JDP: REPLACED OIL SEAL , OUTSOURCE NI FARMER YUNG OIL SEAL</v>
      </c>
      <c r="M605" s="2"/>
      <c r="N605" s="2"/>
      <c r="O605" s="2">
        <f>IFERROR(__xludf.DUMMYFUNCTION("""COMPUTED_VALUE"""),1355.0)</f>
        <v>1355</v>
      </c>
      <c r="P605" s="2"/>
      <c r="Q605" s="2"/>
      <c r="R605" s="74">
        <f>IFERROR(__xludf.DUMMYFUNCTION("""COMPUTED_VALUE"""),45587.0)</f>
        <v>45587</v>
      </c>
      <c r="S605" s="2" t="str">
        <f>IFERROR(__xludf.DUMMYFUNCTION("""COMPUTED_VALUE"""),"JDP/DSD")</f>
        <v>JDP/DSD</v>
      </c>
      <c r="T605" s="73" t="str">
        <f>IFERROR(__xludf.DUMMYFUNCTION("""COMPUTED_VALUE""")," N/A ")</f>
        <v>N/A</v>
      </c>
      <c r="U605" s="73" t="str">
        <f>IFERROR(__xludf.DUMMYFUNCTION("""COMPUTED_VALUE""")," NO CHARGE ")</f>
        <v>NO CHARGE</v>
      </c>
      <c r="V605" s="2"/>
      <c r="W605" s="2" t="str">
        <f>IFERROR(__xludf.DUMMYFUNCTION("""COMPUTED_VALUE"""),"N/A")</f>
        <v>N/A</v>
      </c>
      <c r="X605" s="2" t="str">
        <f>IFERROR(__xludf.DUMMYFUNCTION("""COMPUTED_VALUE"""),"N/A")</f>
        <v>N/A</v>
      </c>
      <c r="Y605" s="2"/>
      <c r="Z605" s="2"/>
      <c r="AA605" s="2"/>
      <c r="AB605" s="2"/>
      <c r="AC605" s="2"/>
      <c r="AD605" s="2"/>
      <c r="AE605" s="2"/>
      <c r="AF605" s="2"/>
      <c r="AG605" s="2"/>
      <c r="AH605" s="2"/>
      <c r="AI605" s="2"/>
      <c r="AJ605" s="2" t="str">
        <f>IFERROR(__xludf.DUMMYFUNCTION("""COMPUTED_VALUE"""),"Arenas")</f>
        <v>Arenas</v>
      </c>
      <c r="AK605" s="2" t="str">
        <f>IFERROR(__xludf.DUMMYFUNCTION("""COMPUTED_VALUE"""),"Arayat")</f>
        <v>Arayat</v>
      </c>
      <c r="AL605" s="2" t="str">
        <f>IFERROR(__xludf.DUMMYFUNCTION("""COMPUTED_VALUE"""),"Pampanga")</f>
        <v>Pampanga</v>
      </c>
      <c r="AM605" s="2">
        <f>IFERROR(__xludf.DUMMYFUNCTION("""COMPUTED_VALUE"""),3.0)</f>
        <v>3</v>
      </c>
      <c r="AN605" s="2" t="str">
        <f>IFERROR(__xludf.DUMMYFUNCTION("""COMPUTED_VALUE"""),"RCEF 23-09-21 Rebidding")</f>
        <v>RCEF 23-09-21 Rebidding</v>
      </c>
      <c r="AO605" s="2">
        <f>IFERROR(__xludf.DUMMYFUNCTION("""COMPUTED_VALUE"""),3.0)</f>
        <v>3</v>
      </c>
      <c r="AP605" s="2"/>
      <c r="AQ605" s="2"/>
      <c r="AR605" s="2"/>
      <c r="AS605" s="2"/>
      <c r="AT605" s="2"/>
      <c r="AU605" s="2"/>
      <c r="AV605" s="2"/>
      <c r="AW605" s="2"/>
      <c r="AX605" s="2"/>
      <c r="AY605" s="2"/>
      <c r="AZ605" s="2"/>
      <c r="BA605" s="2"/>
      <c r="BB605" s="2"/>
    </row>
    <row r="606">
      <c r="A606" s="2">
        <f>IFERROR(__xludf.DUMMYFUNCTION("""COMPUTED_VALUE"""),602.0)</f>
        <v>602</v>
      </c>
      <c r="B606" s="2" t="str">
        <f>IFERROR(__xludf.DUMMYFUNCTION("""COMPUTED_VALUE"""),"COMPLETED")</f>
        <v>COMPLETED</v>
      </c>
      <c r="C606" s="74">
        <f>IFERROR(__xludf.DUMMYFUNCTION("""COMPUTED_VALUE"""),45588.0)</f>
        <v>45588</v>
      </c>
      <c r="D606" s="71" t="str">
        <f>IFERROR(__xludf.DUMMYFUNCTION("""COMPUTED_VALUE"""),"MATALADTAD FARMERS IRRIGATORS ASSOCIATION INC.")</f>
        <v>MATALADTAD FARMERS IRRIGATORS ASSOCIATION INC.</v>
      </c>
      <c r="E606" s="71" t="str">
        <f>IFERROR(__xludf.DUMMYFUNCTION("""COMPUTED_VALUE"""),"Papaya, San Antonio, NUEVA ECIJA")</f>
        <v>Papaya, San Antonio, NUEVA ECIJA</v>
      </c>
      <c r="F606" s="2"/>
      <c r="G606" s="2"/>
      <c r="H606" s="2">
        <f>IFERROR(__xludf.DUMMYFUNCTION("""COMPUTED_VALUE"""),50.0)</f>
        <v>50</v>
      </c>
      <c r="I606" s="72" t="str">
        <f>IFERROR(__xludf.DUMMYFUNCTION("""COMPUTED_VALUE"""),"REPAIR - TRACTOR")</f>
        <v>REPAIR - TRACTOR</v>
      </c>
      <c r="J606" s="72" t="str">
        <f>IFERROR(__xludf.DUMMYFUNCTION("""COMPUTED_VALUE"""),"RADIATOR")</f>
        <v>RADIATOR</v>
      </c>
      <c r="K606" s="72" t="str">
        <f>IFERROR(__xludf.DUMMYFUNCTION("""COMPUTED_VALUE"""),"EGT: RADIATOR PROBLEM")</f>
        <v>EGT: RADIATOR PROBLEM</v>
      </c>
      <c r="L606" s="72" t="str">
        <f>IFERROR(__xludf.DUMMYFUNCTION("""COMPUTED_VALUE"""),"EGT: REPLACED NEW RADIATOR ASSY
CHANGE OIL ")</f>
        <v>EGT: REPLACED NEW RADIATOR ASSY
CHANGE OIL </v>
      </c>
      <c r="M606" s="2"/>
      <c r="N606" s="2" t="str">
        <f>IFERROR(__xludf.DUMMYFUNCTION("""COMPUTED_VALUE"""),"PARTS: RADIATOR ASSY, OIL FILTER")</f>
        <v>PARTS: RADIATOR ASSY, OIL FILTER</v>
      </c>
      <c r="O606" s="2">
        <f>IFERROR(__xludf.DUMMYFUNCTION("""COMPUTED_VALUE"""),1324.0)</f>
        <v>1324</v>
      </c>
      <c r="P606" s="2"/>
      <c r="Q606" s="2"/>
      <c r="R606" s="74">
        <f>IFERROR(__xludf.DUMMYFUNCTION("""COMPUTED_VALUE"""),45604.0)</f>
        <v>45604</v>
      </c>
      <c r="S606" s="2" t="str">
        <f>IFERROR(__xludf.DUMMYFUNCTION("""COMPUTED_VALUE"""),"EGT/DRM")</f>
        <v>EGT/DRM</v>
      </c>
      <c r="T606" s="73">
        <f>IFERROR(__xludf.DUMMYFUNCTION("""COMPUTED_VALUE"""),1533.0)</f>
        <v>1533</v>
      </c>
      <c r="U606" s="73" t="str">
        <f>IFERROR(__xludf.DUMMYFUNCTION("""COMPUTED_VALUE""")," REMITTED ")</f>
        <v>REMITTED</v>
      </c>
      <c r="V606" s="2"/>
      <c r="W606" s="2">
        <f>IFERROR(__xludf.DUMMYFUNCTION("""COMPUTED_VALUE"""),1327.0)</f>
        <v>1327</v>
      </c>
      <c r="X606" s="2">
        <f>IFERROR(__xludf.DUMMYFUNCTION("""COMPUTED_VALUE"""),1233.0)</f>
        <v>1233</v>
      </c>
      <c r="Y606" s="2"/>
      <c r="Z606" s="2"/>
      <c r="AA606" s="2"/>
      <c r="AB606" s="2"/>
      <c r="AC606" s="2"/>
      <c r="AD606" s="2"/>
      <c r="AE606" s="2"/>
      <c r="AF606" s="2"/>
      <c r="AG606" s="2"/>
      <c r="AH606" s="2"/>
      <c r="AI606" s="2"/>
      <c r="AJ606" s="2" t="str">
        <f>IFERROR(__xludf.DUMMYFUNCTION("""COMPUTED_VALUE"""),"Papaya")</f>
        <v>Papaya</v>
      </c>
      <c r="AK606" s="2" t="str">
        <f>IFERROR(__xludf.DUMMYFUNCTION("""COMPUTED_VALUE"""),"San Antonio")</f>
        <v>San Antonio</v>
      </c>
      <c r="AL606" s="2" t="str">
        <f>IFERROR(__xludf.DUMMYFUNCTION("""COMPUTED_VALUE"""),"Nueva Ecija")</f>
        <v>Nueva Ecija</v>
      </c>
      <c r="AM606" s="2">
        <f>IFERROR(__xludf.DUMMYFUNCTION("""COMPUTED_VALUE"""),3.0)</f>
        <v>3</v>
      </c>
      <c r="AN606" s="2" t="str">
        <f>IFERROR(__xludf.DUMMYFUNCTION("""COMPUTED_VALUE"""),"RCEF 23-09-21 Rebidding")</f>
        <v>RCEF 23-09-21 Rebidding</v>
      </c>
      <c r="AO606" s="2">
        <f>IFERROR(__xludf.DUMMYFUNCTION("""COMPUTED_VALUE"""),3.0)</f>
        <v>3</v>
      </c>
      <c r="AP606" s="2"/>
      <c r="AQ606" s="2"/>
      <c r="AR606" s="2"/>
      <c r="AS606" s="2"/>
      <c r="AT606" s="2"/>
      <c r="AU606" s="2"/>
      <c r="AV606" s="2"/>
      <c r="AW606" s="2"/>
      <c r="AX606" s="2"/>
      <c r="AY606" s="2"/>
      <c r="AZ606" s="2"/>
      <c r="BA606" s="2"/>
      <c r="BB606" s="2"/>
    </row>
    <row r="607">
      <c r="A607" s="2">
        <f>IFERROR(__xludf.DUMMYFUNCTION("""COMPUTED_VALUE"""),603.0)</f>
        <v>603</v>
      </c>
      <c r="B607" s="2" t="str">
        <f>IFERROR(__xludf.DUMMYFUNCTION("""COMPUTED_VALUE"""),"COMPLETED")</f>
        <v>COMPLETED</v>
      </c>
      <c r="C607" s="74">
        <f>IFERROR(__xludf.DUMMYFUNCTION("""COMPUTED_VALUE"""),45588.0)</f>
        <v>45588</v>
      </c>
      <c r="D607" s="71" t="str">
        <f>IFERROR(__xludf.DUMMYFUNCTION("""COMPUTED_VALUE"""),"Manggawa farmers Environmental Development Association")</f>
        <v>Manggawa farmers Environmental Development Association</v>
      </c>
      <c r="E607" s="71" t="str">
        <f>IFERROR(__xludf.DUMMYFUNCTION("""COMPUTED_VALUE"""),"New Tanglag, Tabuk City, KALINGA")</f>
        <v>New Tanglag, Tabuk City, KALINGA</v>
      </c>
      <c r="F607" s="2" t="str">
        <f>IFERROR(__xludf.DUMMYFUNCTION("""COMPUTED_VALUE"""),"FORD CASIBANG")</f>
        <v>FORD CASIBANG</v>
      </c>
      <c r="G607" s="2">
        <f>IFERROR(__xludf.DUMMYFUNCTION("""COMPUTED_VALUE"""),9.653444188E9)</f>
        <v>9653444188</v>
      </c>
      <c r="H607" s="2">
        <f>IFERROR(__xludf.DUMMYFUNCTION("""COMPUTED_VALUE"""),350.0)</f>
        <v>350</v>
      </c>
      <c r="I607" s="72" t="str">
        <f>IFERROR(__xludf.DUMMYFUNCTION("""COMPUTED_VALUE"""),"SPARE PARTS ACQUISITION")</f>
        <v>SPARE PARTS ACQUISITION</v>
      </c>
      <c r="J607" s="72"/>
      <c r="K607" s="72" t="str">
        <f>IFERROR(__xludf.DUMMYFUNCTION("""COMPUTED_VALUE"""),"MYKEE: 1 OIL FILTER , 1 HYDRAULIC FILTER")</f>
        <v>MYKEE: 1 OIL FILTER , 1 HYDRAULIC FILTER</v>
      </c>
      <c r="L607" s="72" t="str">
        <f>IFERROR(__xludf.DUMMYFUNCTION("""COMPUTED_VALUE"""),"MYKEE: LBC: 1 OIL FILTER AND 1 HYDRAULIC FILTER
SELF PMS: SEND AGREEMENT: FB: FORD CALIFER CABANNAG CASIBANG")</f>
        <v>MYKEE: LBC: 1 OIL FILTER AND 1 HYDRAULIC FILTER
SELF PMS: SEND AGREEMENT: FB: FORD CALIFER CABANNAG CASIBANG</v>
      </c>
      <c r="M607" s="2"/>
      <c r="N607" s="2" t="str">
        <f>IFERROR(__xludf.DUMMYFUNCTION("""COMPUTED_VALUE"""),"PARTS: 
1 OIL FILTER  
1 HYDRAULIC FILTER")</f>
        <v>PARTS: 
1 OIL FILTER  
1 HYDRAULIC FILTER</v>
      </c>
      <c r="O607" s="2" t="str">
        <f>IFERROR(__xludf.DUMMYFUNCTION("""COMPUTED_VALUE"""),"N/A")</f>
        <v>N/A</v>
      </c>
      <c r="P607" s="2"/>
      <c r="Q607" s="2"/>
      <c r="R607" s="74">
        <f>IFERROR(__xludf.DUMMYFUNCTION("""COMPUTED_VALUE"""),45594.0)</f>
        <v>45594</v>
      </c>
      <c r="S607" s="2" t="str">
        <f>IFERROR(__xludf.DUMMYFUNCTION("""COMPUTED_VALUE"""),"MYKEE/JTT")</f>
        <v>MYKEE/JTT</v>
      </c>
      <c r="T607" s="73">
        <f>IFERROR(__xludf.DUMMYFUNCTION("""COMPUTED_VALUE"""),4655.0)</f>
        <v>4655</v>
      </c>
      <c r="U607" s="73" t="str">
        <f>IFERROR(__xludf.DUMMYFUNCTION("""COMPUTED_VALUE""")," REMITTED ")</f>
        <v>REMITTED</v>
      </c>
      <c r="V607" s="2"/>
      <c r="W607" s="2"/>
      <c r="X607" s="2">
        <f>IFERROR(__xludf.DUMMYFUNCTION("""COMPUTED_VALUE"""),1207.0)</f>
        <v>1207</v>
      </c>
      <c r="Y607" s="2"/>
      <c r="Z607" s="2"/>
      <c r="AA607" s="2"/>
      <c r="AB607" s="2"/>
      <c r="AC607" s="2"/>
      <c r="AD607" s="2"/>
      <c r="AE607" s="2"/>
      <c r="AF607" s="2"/>
      <c r="AG607" s="2"/>
      <c r="AH607" s="2"/>
      <c r="AI607" s="2"/>
      <c r="AJ607" s="2" t="str">
        <f>IFERROR(__xludf.DUMMYFUNCTION("""COMPUTED_VALUE"""),"New Tanglag")</f>
        <v>New Tanglag</v>
      </c>
      <c r="AK607" s="2" t="str">
        <f>IFERROR(__xludf.DUMMYFUNCTION("""COMPUTED_VALUE"""),"Tabuk City")</f>
        <v>Tabuk City</v>
      </c>
      <c r="AL607" s="2" t="str">
        <f>IFERROR(__xludf.DUMMYFUNCTION("""COMPUTED_VALUE"""),"Kalinga")</f>
        <v>Kalinga</v>
      </c>
      <c r="AM607" s="2" t="str">
        <f>IFERROR(__xludf.DUMMYFUNCTION("""COMPUTED_VALUE"""),"CAR")</f>
        <v>CAR</v>
      </c>
      <c r="AN607" s="2" t="str">
        <f>IFERROR(__xludf.DUMMYFUNCTION("""COMPUTED_VALUE"""),"RCEF 23-09-21 Rebidding")</f>
        <v>RCEF 23-09-21 Rebidding</v>
      </c>
      <c r="AO607" s="2">
        <f>IFERROR(__xludf.DUMMYFUNCTION("""COMPUTED_VALUE"""),1.0)</f>
        <v>1</v>
      </c>
      <c r="AP607" s="2"/>
      <c r="AQ607" s="2"/>
      <c r="AR607" s="2"/>
      <c r="AS607" s="2"/>
      <c r="AT607" s="2"/>
      <c r="AU607" s="2"/>
      <c r="AV607" s="2"/>
      <c r="AW607" s="2"/>
      <c r="AX607" s="2"/>
      <c r="AY607" s="2"/>
      <c r="AZ607" s="2"/>
      <c r="BA607" s="2"/>
      <c r="BB607" s="2"/>
    </row>
    <row r="608">
      <c r="A608" s="2">
        <f>IFERROR(__xludf.DUMMYFUNCTION("""COMPUTED_VALUE"""),604.0)</f>
        <v>604</v>
      </c>
      <c r="B608" s="2" t="str">
        <f>IFERROR(__xludf.DUMMYFUNCTION("""COMPUTED_VALUE"""),"COMPLETED")</f>
        <v>COMPLETED</v>
      </c>
      <c r="C608" s="74">
        <f>IFERROR(__xludf.DUMMYFUNCTION("""COMPUTED_VALUE"""),45589.0)</f>
        <v>45589</v>
      </c>
      <c r="D608" s="71" t="str">
        <f>IFERROR(__xludf.DUMMYFUNCTION("""COMPUTED_VALUE"""),"HACIENDEROS AGRARIAN REFORM COOPERATIVE")</f>
        <v>HACIENDEROS AGRARIAN REFORM COOPERATIVE</v>
      </c>
      <c r="E608" s="71" t="str">
        <f>IFERROR(__xludf.DUMMYFUNCTION("""COMPUTED_VALUE"""),"Tabunan, Bago City, NEGROS OCCIDENTAL")</f>
        <v>Tabunan, Bago City, NEGROS OCCIDENTAL</v>
      </c>
      <c r="F608" s="2" t="str">
        <f>IFERROR(__xludf.DUMMYFUNCTION("""COMPUTED_VALUE"""),"Noel Benjamin ")</f>
        <v>Noel Benjamin </v>
      </c>
      <c r="G608" s="2" t="str">
        <f>IFERROR(__xludf.DUMMYFUNCTION("""COMPUTED_VALUE"""),"09275748995/ 09770894737")</f>
        <v>09275748995/ 09770894737</v>
      </c>
      <c r="H608" s="2">
        <f>IFERROR(__xludf.DUMMYFUNCTION("""COMPUTED_VALUE"""),255.0)</f>
        <v>255</v>
      </c>
      <c r="I608" s="72" t="str">
        <f>IFERROR(__xludf.DUMMYFUNCTION("""COMPUTED_VALUE"""),"REPAIR - TRACTOR")</f>
        <v>REPAIR - TRACTOR</v>
      </c>
      <c r="J608" s="72" t="str">
        <f>IFERROR(__xludf.DUMMYFUNCTION("""COMPUTED_VALUE"""),"RADIATOR")</f>
        <v>RADIATOR</v>
      </c>
      <c r="K608" s="72" t="str">
        <f>IFERROR(__xludf.DUMMYFUNCTION("""COMPUTED_VALUE"""),"CFG: for soldering iron only . may tumulo po sa may rediator na coolant. tapos may gasgas sa redaitor.
gusto po nila puntahan un unit po nila. sabi ko po ipakita nyo po sa gumagawa ng rediator po jan kako po. ayaw namn po nila")</f>
        <v>CFG: for soldering iron only . may tumulo po sa may rediator na coolant. tapos may gasgas sa redaitor.
gusto po nila puntahan un unit po nila. sabi ko po ipakita nyo po sa gumagawa ng rediator po jan kako po. ayaw namn po nila</v>
      </c>
      <c r="L608" s="72" t="str">
        <f>IFERROR(__xludf.DUMMYFUNCTION("""COMPUTED_VALUE"""),"12/20/24: OPERATIONAL
EGT: 2/5/25: OPERATIONAL HINDI DAW NA MAINTAY YUNG TECHICIAN , SINUNGITAN SILA, GINAWAN NADAW NG ASSC. NG PARAANG MAGAWA YUNG UNIT NILA")</f>
        <v>12/20/24: OPERATIONAL
EGT: 2/5/25: OPERATIONAL HINDI DAW NA MAINTAY YUNG TECHICIAN , SINUNGITAN SILA, GINAWAN NADAW NG ASSC. NG PARAANG MAGAWA YUNG UNIT NILA</v>
      </c>
      <c r="M608" s="2"/>
      <c r="N608" s="2"/>
      <c r="O608" s="2" t="str">
        <f>IFERROR(__xludf.DUMMYFUNCTION("""COMPUTED_VALUE"""),"N/A")</f>
        <v>N/A</v>
      </c>
      <c r="P608" s="2"/>
      <c r="Q608" s="2"/>
      <c r="R608" s="74">
        <f>IFERROR(__xludf.DUMMYFUNCTION("""COMPUTED_VALUE"""),45646.0)</f>
        <v>45646</v>
      </c>
      <c r="S608" s="2" t="str">
        <f>IFERROR(__xludf.DUMMYFUNCTION("""COMPUTED_VALUE"""),"MYKEE")</f>
        <v>MYKEE</v>
      </c>
      <c r="T608" s="73" t="str">
        <f>IFERROR(__xludf.DUMMYFUNCTION("""COMPUTED_VALUE""")," N/A ")</f>
        <v>N/A</v>
      </c>
      <c r="U608" s="73" t="str">
        <f>IFERROR(__xludf.DUMMYFUNCTION("""COMPUTED_VALUE""")," NO CHARGE ")</f>
        <v>NO CHARGE</v>
      </c>
      <c r="V608" s="2"/>
      <c r="W608" s="2" t="str">
        <f>IFERROR(__xludf.DUMMYFUNCTION("""COMPUTED_VALUE"""),"N/A")</f>
        <v>N/A</v>
      </c>
      <c r="X608" s="2" t="str">
        <f>IFERROR(__xludf.DUMMYFUNCTION("""COMPUTED_VALUE"""),"N/A")</f>
        <v>N/A</v>
      </c>
      <c r="Y608" s="2"/>
      <c r="Z608" s="2"/>
      <c r="AA608" s="2"/>
      <c r="AB608" s="2"/>
      <c r="AC608" s="2"/>
      <c r="AD608" s="2"/>
      <c r="AE608" s="2"/>
      <c r="AF608" s="2"/>
      <c r="AG608" s="2"/>
      <c r="AH608" s="2"/>
      <c r="AI608" s="2"/>
      <c r="AJ608" s="2" t="str">
        <f>IFERROR(__xludf.DUMMYFUNCTION("""COMPUTED_VALUE"""),"Tabunan")</f>
        <v>Tabunan</v>
      </c>
      <c r="AK608" s="2" t="str">
        <f>IFERROR(__xludf.DUMMYFUNCTION("""COMPUTED_VALUE"""),"Bago City")</f>
        <v>Bago City</v>
      </c>
      <c r="AL608" s="2" t="str">
        <f>IFERROR(__xludf.DUMMYFUNCTION("""COMPUTED_VALUE"""),"Negros Occidental")</f>
        <v>Negros Occidental</v>
      </c>
      <c r="AM608" s="2">
        <f>IFERROR(__xludf.DUMMYFUNCTION("""COMPUTED_VALUE"""),6.0)</f>
        <v>6</v>
      </c>
      <c r="AN608" s="2" t="str">
        <f>IFERROR(__xludf.DUMMYFUNCTION("""COMPUTED_VALUE"""),"RCEF 23-09-21 Rebidding")</f>
        <v>RCEF 23-09-21 Rebidding</v>
      </c>
      <c r="AO608" s="2">
        <f>IFERROR(__xludf.DUMMYFUNCTION("""COMPUTED_VALUE"""),4.0)</f>
        <v>4</v>
      </c>
      <c r="AP608" s="2"/>
      <c r="AQ608" s="2"/>
      <c r="AR608" s="2"/>
      <c r="AS608" s="2"/>
      <c r="AT608" s="2"/>
      <c r="AU608" s="2"/>
      <c r="AV608" s="2"/>
      <c r="AW608" s="2"/>
      <c r="AX608" s="2"/>
      <c r="AY608" s="2"/>
      <c r="AZ608" s="2"/>
      <c r="BA608" s="2"/>
      <c r="BB608" s="2"/>
    </row>
    <row r="609">
      <c r="A609" s="2">
        <f>IFERROR(__xludf.DUMMYFUNCTION("""COMPUTED_VALUE"""),605.0)</f>
        <v>605</v>
      </c>
      <c r="B609" s="2" t="str">
        <f>IFERROR(__xludf.DUMMYFUNCTION("""COMPUTED_VALUE"""),"COMPLETED")</f>
        <v>COMPLETED</v>
      </c>
      <c r="C609" s="74">
        <f>IFERROR(__xludf.DUMMYFUNCTION("""COMPUTED_VALUE"""),45590.0)</f>
        <v>45590</v>
      </c>
      <c r="D609" s="71" t="str">
        <f>IFERROR(__xludf.DUMMYFUNCTION("""COMPUTED_VALUE"""),"Barangay Cabannungan Farmers Association")</f>
        <v>Barangay Cabannungan Farmers Association</v>
      </c>
      <c r="E609" s="71" t="str">
        <f>IFERROR(__xludf.DUMMYFUNCTION("""COMPUTED_VALUE"""),"Cabannungan 2nd, City of Ilagan, Isabela")</f>
        <v>Cabannungan 2nd, City of Ilagan, Isabela</v>
      </c>
      <c r="F609" s="2" t="str">
        <f>IFERROR(__xludf.DUMMYFUNCTION("""COMPUTED_VALUE"""),"Boyet Siriban")</f>
        <v>Boyet Siriban</v>
      </c>
      <c r="G609" s="2">
        <f>IFERROR(__xludf.DUMMYFUNCTION("""COMPUTED_VALUE"""),9.357620492E9)</f>
        <v>9357620492</v>
      </c>
      <c r="H609" s="2">
        <f>IFERROR(__xludf.DUMMYFUNCTION("""COMPUTED_VALUE"""),290.0)</f>
        <v>290</v>
      </c>
      <c r="I609" s="72" t="str">
        <f>IFERROR(__xludf.DUMMYFUNCTION("""COMPUTED_VALUE"""),"PMS")</f>
        <v>PMS</v>
      </c>
      <c r="J609" s="72" t="str">
        <f>IFERROR(__xludf.DUMMYFUNCTION("""COMPUTED_VALUE"""),"PMS")</f>
        <v>PMS</v>
      </c>
      <c r="K609" s="72" t="str">
        <f>IFERROR(__xludf.DUMMYFUNCTION("""COMPUTED_VALUE"""),"JVV: 2ND PMS, Satin daw po sila bibili ng hydraulic oil, hydraulic filter, Engine oil, oil filter, Gear oil")</f>
        <v>JVV: 2ND PMS, Satin daw po sila bibili ng hydraulic oil, hydraulic filter, Engine oil, oil filter, Gear oil</v>
      </c>
      <c r="L609" s="72" t="str">
        <f>IFERROR(__xludf.DUMMYFUNCTION("""COMPUTED_VALUE"""),"CLOSED NEED SERVICE REPORT")</f>
        <v>CLOSED NEED SERVICE REPORT</v>
      </c>
      <c r="M609" s="2"/>
      <c r="N609" s="2" t="str">
        <f>IFERROR(__xludf.DUMMYFUNCTION("""COMPUTED_VALUE"""),"PARTS: 
HYDRAULIC FILTER, 
OIL FILTER, 
ENGINE OIL")</f>
        <v>PARTS: 
HYDRAULIC FILTER, 
OIL FILTER, 
ENGINE OIL</v>
      </c>
      <c r="O609" s="2">
        <f>IFERROR(__xludf.DUMMYFUNCTION("""COMPUTED_VALUE"""),1319.0)</f>
        <v>1319</v>
      </c>
      <c r="P609" s="2"/>
      <c r="Q609" s="2"/>
      <c r="R609" s="74">
        <f>IFERROR(__xludf.DUMMYFUNCTION("""COMPUTED_VALUE"""),45604.0)</f>
        <v>45604</v>
      </c>
      <c r="S609" s="2" t="str">
        <f>IFERROR(__xludf.DUMMYFUNCTION("""COMPUTED_VALUE"""),"EGT/DRM")</f>
        <v>EGT/DRM</v>
      </c>
      <c r="T609" s="73">
        <f>IFERROR(__xludf.DUMMYFUNCTION("""COMPUTED_VALUE"""),5611.0)</f>
        <v>5611</v>
      </c>
      <c r="U609" s="73" t="str">
        <f>IFERROR(__xludf.DUMMYFUNCTION("""COMPUTED_VALUE""")," REMITTED ")</f>
        <v>REMITTED</v>
      </c>
      <c r="V609" s="2"/>
      <c r="W609" s="2">
        <f>IFERROR(__xludf.DUMMYFUNCTION("""COMPUTED_VALUE"""),1322.0)</f>
        <v>1322</v>
      </c>
      <c r="X609" s="2">
        <f>IFERROR(__xludf.DUMMYFUNCTION("""COMPUTED_VALUE"""),1227.0)</f>
        <v>1227</v>
      </c>
      <c r="Y609" s="2"/>
      <c r="Z609" s="2"/>
      <c r="AA609" s="2"/>
      <c r="AB609" s="2"/>
      <c r="AC609" s="2"/>
      <c r="AD609" s="2"/>
      <c r="AE609" s="2"/>
      <c r="AF609" s="2"/>
      <c r="AG609" s="2"/>
      <c r="AH609" s="2"/>
      <c r="AI609" s="2"/>
      <c r="AJ609" s="2" t="str">
        <f>IFERROR(__xludf.DUMMYFUNCTION("""COMPUTED_VALUE"""),"Cabannungan 2Nd")</f>
        <v>Cabannungan 2Nd</v>
      </c>
      <c r="AK609" s="2" t="str">
        <f>IFERROR(__xludf.DUMMYFUNCTION("""COMPUTED_VALUE"""),"City Of Ilagan")</f>
        <v>City Of Ilagan</v>
      </c>
      <c r="AL609" s="2" t="str">
        <f>IFERROR(__xludf.DUMMYFUNCTION("""COMPUTED_VALUE"""),"Isabela")</f>
        <v>Isabela</v>
      </c>
      <c r="AM609" s="2">
        <f>IFERROR(__xludf.DUMMYFUNCTION("""COMPUTED_VALUE"""),2.0)</f>
        <v>2</v>
      </c>
      <c r="AN609" s="2" t="str">
        <f>IFERROR(__xludf.DUMMYFUNCTION("""COMPUTED_VALUE"""),"RCEF 23-09-21 Rebidding")</f>
        <v>RCEF 23-09-21 Rebidding</v>
      </c>
      <c r="AO609" s="2">
        <f>IFERROR(__xludf.DUMMYFUNCTION("""COMPUTED_VALUE"""),9.0)</f>
        <v>9</v>
      </c>
      <c r="AP609" s="2"/>
      <c r="AQ609" s="2"/>
      <c r="AR609" s="2"/>
      <c r="AS609" s="2"/>
      <c r="AT609" s="2"/>
      <c r="AU609" s="2"/>
      <c r="AV609" s="2"/>
      <c r="AW609" s="2"/>
      <c r="AX609" s="2"/>
      <c r="AY609" s="2"/>
      <c r="AZ609" s="2"/>
      <c r="BA609" s="2"/>
      <c r="BB609" s="2"/>
    </row>
    <row r="610">
      <c r="A610" s="2">
        <f>IFERROR(__xludf.DUMMYFUNCTION("""COMPUTED_VALUE"""),606.0)</f>
        <v>606</v>
      </c>
      <c r="B610" s="2" t="str">
        <f>IFERROR(__xludf.DUMMYFUNCTION("""COMPUTED_VALUE"""),"COMPLETED")</f>
        <v>COMPLETED</v>
      </c>
      <c r="C610" s="74">
        <f>IFERROR(__xludf.DUMMYFUNCTION("""COMPUTED_VALUE"""),45592.0)</f>
        <v>45592</v>
      </c>
      <c r="D610" s="71" t="str">
        <f>IFERROR(__xludf.DUMMYFUNCTION("""COMPUTED_VALUE"""),"TUMBAGA I BUCAL IRRIGATORS ASSOCIATION, INC.")</f>
        <v>TUMBAGA I BUCAL IRRIGATORS ASSOCIATION, INC.</v>
      </c>
      <c r="E610" s="71" t="str">
        <f>IFERROR(__xludf.DUMMYFUNCTION("""COMPUTED_VALUE"""),"Tumbaga I, Sariaya, Quezon")</f>
        <v>Tumbaga I, Sariaya, Quezon</v>
      </c>
      <c r="F610" s="2" t="str">
        <f>IFERROR(__xludf.DUMMYFUNCTION("""COMPUTED_VALUE"""),"Margarita Sarmiento")</f>
        <v>Margarita Sarmiento</v>
      </c>
      <c r="G610" s="2">
        <f>IFERROR(__xludf.DUMMYFUNCTION("""COMPUTED_VALUE"""),6.39565524962E11)</f>
        <v>639565524962</v>
      </c>
      <c r="H610" s="2"/>
      <c r="I610" s="72" t="str">
        <f>IFERROR(__xludf.DUMMYFUNCTION("""COMPUTED_VALUE"""),"PMS")</f>
        <v>PMS</v>
      </c>
      <c r="J610" s="72" t="str">
        <f>IFERROR(__xludf.DUMMYFUNCTION("""COMPUTED_VALUE"""),"PMS")</f>
        <v>PMS</v>
      </c>
      <c r="K610" s="72" t="str">
        <f>IFERROR(__xludf.DUMMYFUNCTION("""COMPUTED_VALUE"""),"JHP: Sila na raw magchange oil ng unit nila. 2nd change oil. Nagpaassist lang kung gaano karami ang kailangang langis.
Hin:di raw nila kaya ichange oil. Nagpapaschedule na lang sila.
JTT: SELF PMS")</f>
        <v>JHP: Sila na raw magchange oil ng unit nila. 2nd change oil. Nagpaassist lang kung gaano karami ang kailangang langis.
Hin:di raw nila kaya ichange oil. Nagpapaschedule na lang sila.
JTT: SELF PMS</v>
      </c>
      <c r="L610" s="72" t="str">
        <f>IFERROR(__xludf.DUMMYFUNCTION("""COMPUTED_VALUE"""),"JTT: SELF PMS: SEND AGREEMENT")</f>
        <v>JTT: SELF PMS: SEND AGREEMENT</v>
      </c>
      <c r="M610" s="2"/>
      <c r="N610" s="2"/>
      <c r="O610" s="2" t="str">
        <f>IFERROR(__xludf.DUMMYFUNCTION("""COMPUTED_VALUE"""),"N/A")</f>
        <v>N/A</v>
      </c>
      <c r="P610" s="2"/>
      <c r="Q610" s="2"/>
      <c r="R610" s="74">
        <f>IFERROR(__xludf.DUMMYFUNCTION("""COMPUTED_VALUE"""),45613.0)</f>
        <v>45613</v>
      </c>
      <c r="S610" s="2" t="str">
        <f>IFERROR(__xludf.DUMMYFUNCTION("""COMPUTED_VALUE"""),"JTT")</f>
        <v>JTT</v>
      </c>
      <c r="T610" s="73" t="str">
        <f>IFERROR(__xludf.DUMMYFUNCTION("""COMPUTED_VALUE""")," N/A ")</f>
        <v>N/A</v>
      </c>
      <c r="U610" s="73" t="str">
        <f>IFERROR(__xludf.DUMMYFUNCTION("""COMPUTED_VALUE""")," NO CHARGE ")</f>
        <v>NO CHARGE</v>
      </c>
      <c r="V610" s="2"/>
      <c r="W610" s="2" t="str">
        <f>IFERROR(__xludf.DUMMYFUNCTION("""COMPUTED_VALUE"""),"N/A")</f>
        <v>N/A</v>
      </c>
      <c r="X610" s="2" t="str">
        <f>IFERROR(__xludf.DUMMYFUNCTION("""COMPUTED_VALUE"""),"N/A")</f>
        <v>N/A</v>
      </c>
      <c r="Y610" s="2"/>
      <c r="Z610" s="2"/>
      <c r="AA610" s="2"/>
      <c r="AB610" s="2"/>
      <c r="AC610" s="2"/>
      <c r="AD610" s="2"/>
      <c r="AE610" s="2"/>
      <c r="AF610" s="2"/>
      <c r="AG610" s="2"/>
      <c r="AH610" s="2"/>
      <c r="AI610" s="2"/>
      <c r="AJ610" s="2" t="str">
        <f>IFERROR(__xludf.DUMMYFUNCTION("""COMPUTED_VALUE"""),"Tumbaga I")</f>
        <v>Tumbaga I</v>
      </c>
      <c r="AK610" s="2" t="str">
        <f>IFERROR(__xludf.DUMMYFUNCTION("""COMPUTED_VALUE"""),"Sariaya")</f>
        <v>Sariaya</v>
      </c>
      <c r="AL610" s="2" t="str">
        <f>IFERROR(__xludf.DUMMYFUNCTION("""COMPUTED_VALUE"""),"Quezon")</f>
        <v>Quezon</v>
      </c>
      <c r="AM610" s="2" t="str">
        <f>IFERROR(__xludf.DUMMYFUNCTION("""COMPUTED_VALUE"""),"4A")</f>
        <v>4A</v>
      </c>
      <c r="AN610" s="2" t="str">
        <f>IFERROR(__xludf.DUMMYFUNCTION("""COMPUTED_VALUE"""),"RCEF 23-08-20 Rebidding")</f>
        <v>RCEF 23-08-20 Rebidding</v>
      </c>
      <c r="AO610" s="2">
        <f>IFERROR(__xludf.DUMMYFUNCTION("""COMPUTED_VALUE"""),1.0)</f>
        <v>1</v>
      </c>
      <c r="AP610" s="2"/>
      <c r="AQ610" s="2"/>
      <c r="AR610" s="2"/>
      <c r="AS610" s="2"/>
      <c r="AT610" s="2"/>
      <c r="AU610" s="2"/>
      <c r="AV610" s="2"/>
      <c r="AW610" s="2"/>
      <c r="AX610" s="2"/>
      <c r="AY610" s="2"/>
      <c r="AZ610" s="2"/>
      <c r="BA610" s="2"/>
      <c r="BB610" s="2"/>
    </row>
    <row r="611">
      <c r="A611" s="2">
        <f>IFERROR(__xludf.DUMMYFUNCTION("""COMPUTED_VALUE"""),607.0)</f>
        <v>607</v>
      </c>
      <c r="B611" s="2" t="str">
        <f>IFERROR(__xludf.DUMMYFUNCTION("""COMPUTED_VALUE"""),"COMPLETED")</f>
        <v>COMPLETED</v>
      </c>
      <c r="C611" s="74">
        <f>IFERROR(__xludf.DUMMYFUNCTION("""COMPUTED_VALUE"""),45593.0)</f>
        <v>45593</v>
      </c>
      <c r="D611" s="71" t="str">
        <f>IFERROR(__xludf.DUMMYFUNCTION("""COMPUTED_VALUE"""),"TAGLOP BULIKAWA FARMERS ASSOCIATION")</f>
        <v>TAGLOP BULIKAWA FARMERS ASSOCIATION</v>
      </c>
      <c r="E611" s="71" t="str">
        <f>IFERROR(__xludf.DUMMYFUNCTION("""COMPUTED_VALUE"""),"Canipaan, Rizal, Palawan")</f>
        <v>Canipaan, Rizal, Palawan</v>
      </c>
      <c r="F611" s="2" t="str">
        <f>IFERROR(__xludf.DUMMYFUNCTION("""COMPUTED_VALUE"""),"Marvin Blando")</f>
        <v>Marvin Blando</v>
      </c>
      <c r="G611" s="2"/>
      <c r="H611" s="2">
        <f>IFERROR(__xludf.DUMMYFUNCTION("""COMPUTED_VALUE"""),429.0)</f>
        <v>429</v>
      </c>
      <c r="I611" s="72" t="str">
        <f>IFERROR(__xludf.DUMMYFUNCTION("""COMPUTED_VALUE"""),"PMS")</f>
        <v>PMS</v>
      </c>
      <c r="J611" s="72" t="str">
        <f>IFERROR(__xludf.DUMMYFUNCTION("""COMPUTED_VALUE"""),"PMS")</f>
        <v>PMS</v>
      </c>
      <c r="K611" s="72" t="str">
        <f>IFERROR(__xludf.DUMMYFUNCTION("""COMPUTED_VALUE"""),"RCG: 2ND PMS")</f>
        <v>RCG: 2ND PMS</v>
      </c>
      <c r="L611" s="72" t="str">
        <f>IFERROR(__xludf.DUMMYFUNCTION("""COMPUTED_VALUE"""),"2ND PMS DONE")</f>
        <v>2ND PMS DONE</v>
      </c>
      <c r="M611" s="2"/>
      <c r="N611" s="2" t="str">
        <f>IFERROR(__xludf.DUMMYFUNCTION("""COMPUTED_VALUE"""),"PARTS: HYDRAULIC FILTER")</f>
        <v>PARTS: HYDRAULIC FILTER</v>
      </c>
      <c r="O611" s="2">
        <f>IFERROR(__xludf.DUMMYFUNCTION("""COMPUTED_VALUE"""),110.0)</f>
        <v>110</v>
      </c>
      <c r="P611" s="2"/>
      <c r="Q611" s="2"/>
      <c r="R611" s="74">
        <f>IFERROR(__xludf.DUMMYFUNCTION("""COMPUTED_VALUE"""),45624.0)</f>
        <v>45624</v>
      </c>
      <c r="S611" s="2" t="str">
        <f>IFERROR(__xludf.DUMMYFUNCTION("""COMPUTED_VALUE"""),"RCG/JDP")</f>
        <v>RCG/JDP</v>
      </c>
      <c r="T611" s="73">
        <f>IFERROR(__xludf.DUMMYFUNCTION("""COMPUTED_VALUE"""),2748.0)</f>
        <v>2748</v>
      </c>
      <c r="U611" s="73" t="str">
        <f>IFERROR(__xludf.DUMMYFUNCTION("""COMPUTED_VALUE""")," REMITTED ")</f>
        <v>REMITTED</v>
      </c>
      <c r="V611" s="2"/>
      <c r="W611" s="2">
        <f>IFERROR(__xludf.DUMMYFUNCTION("""COMPUTED_VALUE"""),1172.0)</f>
        <v>1172</v>
      </c>
      <c r="X611" s="2">
        <f>IFERROR(__xludf.DUMMYFUNCTION("""COMPUTED_VALUE"""),1261.0)</f>
        <v>1261</v>
      </c>
      <c r="Y611" s="2"/>
      <c r="Z611" s="2"/>
      <c r="AA611" s="2"/>
      <c r="AB611" s="2"/>
      <c r="AC611" s="2"/>
      <c r="AD611" s="2"/>
      <c r="AE611" s="2"/>
      <c r="AF611" s="2"/>
      <c r="AG611" s="2"/>
      <c r="AH611" s="2"/>
      <c r="AI611" s="2"/>
      <c r="AJ611" s="2" t="str">
        <f>IFERROR(__xludf.DUMMYFUNCTION("""COMPUTED_VALUE"""),"Canipaan")</f>
        <v>Canipaan</v>
      </c>
      <c r="AK611" s="2" t="str">
        <f>IFERROR(__xludf.DUMMYFUNCTION("""COMPUTED_VALUE"""),"Rizal")</f>
        <v>Rizal</v>
      </c>
      <c r="AL611" s="2" t="str">
        <f>IFERROR(__xludf.DUMMYFUNCTION("""COMPUTED_VALUE"""),"Palawan")</f>
        <v>Palawan</v>
      </c>
      <c r="AM611" s="2" t="str">
        <f>IFERROR(__xludf.DUMMYFUNCTION("""COMPUTED_VALUE"""),"4B")</f>
        <v>4B</v>
      </c>
      <c r="AN611" s="2" t="str">
        <f>IFERROR(__xludf.DUMMYFUNCTION("""COMPUTED_VALUE"""),"RCEF 23-08-20 Rebidding")</f>
        <v>RCEF 23-08-20 Rebidding</v>
      </c>
      <c r="AO611" s="2">
        <f>IFERROR(__xludf.DUMMYFUNCTION("""COMPUTED_VALUE"""),1.0)</f>
        <v>1</v>
      </c>
      <c r="AP611" s="2"/>
      <c r="AQ611" s="2"/>
      <c r="AR611" s="2"/>
      <c r="AS611" s="2"/>
      <c r="AT611" s="2"/>
      <c r="AU611" s="2"/>
      <c r="AV611" s="2"/>
      <c r="AW611" s="2"/>
      <c r="AX611" s="2"/>
      <c r="AY611" s="2"/>
      <c r="AZ611" s="2"/>
      <c r="BA611" s="2"/>
      <c r="BB611" s="2"/>
    </row>
    <row r="612">
      <c r="A612" s="2">
        <f>IFERROR(__xludf.DUMMYFUNCTION("""COMPUTED_VALUE"""),608.0)</f>
        <v>608</v>
      </c>
      <c r="B612" s="2" t="str">
        <f>IFERROR(__xludf.DUMMYFUNCTION("""COMPUTED_VALUE"""),"COMPLETED")</f>
        <v>COMPLETED</v>
      </c>
      <c r="C612" s="74">
        <f>IFERROR(__xludf.DUMMYFUNCTION("""COMPUTED_VALUE"""),45593.0)</f>
        <v>45593</v>
      </c>
      <c r="D612" s="71" t="str">
        <f>IFERROR(__xludf.DUMMYFUNCTION("""COMPUTED_VALUE"""),"MUNICIPAL LOCAL GOVERNMENT UNIT OF ANGAT")</f>
        <v>MUNICIPAL LOCAL GOVERNMENT UNIT OF ANGAT</v>
      </c>
      <c r="E612" s="71" t="str">
        <f>IFERROR(__xludf.DUMMYFUNCTION("""COMPUTED_VALUE"""),"Poblacion, Angat, Bulacan")</f>
        <v>Poblacion, Angat, Bulacan</v>
      </c>
      <c r="F612" s="2"/>
      <c r="G612" s="2" t="str">
        <f>IFERROR(__xludf.DUMMYFUNCTION("""COMPUTED_VALUE"""),"63 917 994 1102")</f>
        <v>63 917 994 1102</v>
      </c>
      <c r="H612" s="2"/>
      <c r="I612" s="72" t="str">
        <f>IFERROR(__xludf.DUMMYFUNCTION("""COMPUTED_VALUE"""),"REPAIR - TRACTOR")</f>
        <v>REPAIR - TRACTOR</v>
      </c>
      <c r="J612" s="72" t="str">
        <f>IFERROR(__xludf.DUMMYFUNCTION("""COMPUTED_VALUE"""),"CHECK UP/ REPAIR")</f>
        <v>CHECK UP/ REPAIR</v>
      </c>
      <c r="K612" s="72" t="str">
        <f>IFERROR(__xludf.DUMMYFUNCTION("""COMPUTED_VALUE"""),"ERP: Hirap daw yung sa steering wheel, Leak sa front axle
PARTS: FRONT AXLE OIL SEAL
EGT: 11/6/24: Mahirap iliko ang steering wheel kahit nagpalit na sila ng hydrulic oil at filter ganun pa din at kapag uminit na yung makina maingay ang steering wheel 
PA"&amp;"RTS: POSIBLEMG GEAR UPMP
JVV:  11/19/24: MAHIRAP DAW PO UMIKOT ANG GULONG PAG PINA IKOT ANG MANOBELA AT NAG IINIT YUNG PST VALVE ASSY. TAPOS PAG TUMATAGAL NG 1 HOUR MAY MAINGAY DAW PO")</f>
        <v>ERP: Hirap daw yung sa steering wheel, Leak sa front axle
PARTS: FRONT AXLE OIL SEAL
EGT: 11/6/24: Mahirap iliko ang steering wheel kahit nagpalit na sila ng hydrulic oil at filter ganun pa din at kapag uminit na yung makina maingay ang steering wheel 
PARTS: POSIBLEMG GEAR UPMP
JVV:  11/19/24: MAHIRAP DAW PO UMIKOT ANG GULONG PAG PINA IKOT ANG MANOBELA AT NAG IINIT YUNG PST VALVE ASSY. TAPOS PAG TUMATAGAL NG 1 HOUR MAY MAINGAY DAW PO</v>
      </c>
      <c r="L612" s="72" t="str">
        <f>IFERROR(__xludf.DUMMYFUNCTION("""COMPUTED_VALUE"""),"JVV: TESTING PO NAMIN YUNG UNIT NG HIGIT ISANG ORAS OKAY NAMAN NA PO")</f>
        <v>JVV: TESTING PO NAMIN YUNG UNIT NG HIGIT ISANG ORAS OKAY NAMAN NA PO</v>
      </c>
      <c r="M612" s="2"/>
      <c r="N612" s="2"/>
      <c r="O612" s="2">
        <f>IFERROR(__xludf.DUMMYFUNCTION("""COMPUTED_VALUE"""),1159.0)</f>
        <v>1159</v>
      </c>
      <c r="P612" s="2"/>
      <c r="Q612" s="2"/>
      <c r="R612" s="74">
        <f>IFERROR(__xludf.DUMMYFUNCTION("""COMPUTED_VALUE"""),45613.0)</f>
        <v>45613</v>
      </c>
      <c r="S612" s="2" t="str">
        <f>IFERROR(__xludf.DUMMYFUNCTION("""COMPUTED_VALUE"""),"CFG/JVV")</f>
        <v>CFG/JVV</v>
      </c>
      <c r="T612" s="73" t="str">
        <f>IFERROR(__xludf.DUMMYFUNCTION("""COMPUTED_VALUE""")," N/A ")</f>
        <v>N/A</v>
      </c>
      <c r="U612" s="73" t="str">
        <f>IFERROR(__xludf.DUMMYFUNCTION("""COMPUTED_VALUE""")," NO CHARGE ")</f>
        <v>NO CHARGE</v>
      </c>
      <c r="V612" s="2"/>
      <c r="W612" s="2" t="str">
        <f>IFERROR(__xludf.DUMMYFUNCTION("""COMPUTED_VALUE"""),"N/A")</f>
        <v>N/A</v>
      </c>
      <c r="X612" s="2" t="str">
        <f>IFERROR(__xludf.DUMMYFUNCTION("""COMPUTED_VALUE"""),"N/A")</f>
        <v>N/A</v>
      </c>
      <c r="Y612" s="2"/>
      <c r="Z612" s="2"/>
      <c r="AA612" s="2"/>
      <c r="AB612" s="2"/>
      <c r="AC612" s="2"/>
      <c r="AD612" s="2"/>
      <c r="AE612" s="2"/>
      <c r="AF612" s="2"/>
      <c r="AG612" s="2"/>
      <c r="AH612" s="2"/>
      <c r="AI612" s="2"/>
      <c r="AJ612" s="2" t="str">
        <f>IFERROR(__xludf.DUMMYFUNCTION("""COMPUTED_VALUE"""),"Poblacion")</f>
        <v>Poblacion</v>
      </c>
      <c r="AK612" s="2" t="str">
        <f>IFERROR(__xludf.DUMMYFUNCTION("""COMPUTED_VALUE"""),"Angat")</f>
        <v>Angat</v>
      </c>
      <c r="AL612" s="2" t="str">
        <f>IFERROR(__xludf.DUMMYFUNCTION("""COMPUTED_VALUE"""),"Bulacan")</f>
        <v>Bulacan</v>
      </c>
      <c r="AM612" s="2">
        <f>IFERROR(__xludf.DUMMYFUNCTION("""COMPUTED_VALUE"""),3.0)</f>
        <v>3</v>
      </c>
      <c r="AN612" s="2" t="str">
        <f>IFERROR(__xludf.DUMMYFUNCTION("""COMPUTED_VALUE"""),"RCEF 23-09-21 Rebidding")</f>
        <v>RCEF 23-09-21 Rebidding</v>
      </c>
      <c r="AO612" s="2">
        <f>IFERROR(__xludf.DUMMYFUNCTION("""COMPUTED_VALUE"""),3.0)</f>
        <v>3</v>
      </c>
      <c r="AP612" s="2"/>
      <c r="AQ612" s="2"/>
      <c r="AR612" s="2"/>
      <c r="AS612" s="2"/>
      <c r="AT612" s="2"/>
      <c r="AU612" s="2"/>
      <c r="AV612" s="2"/>
      <c r="AW612" s="2"/>
      <c r="AX612" s="2"/>
      <c r="AY612" s="2"/>
      <c r="AZ612" s="2"/>
      <c r="BA612" s="2"/>
      <c r="BB612" s="2"/>
    </row>
    <row r="613">
      <c r="A613" s="2">
        <f>IFERROR(__xludf.DUMMYFUNCTION("""COMPUTED_VALUE"""),609.0)</f>
        <v>609</v>
      </c>
      <c r="B613" s="2" t="str">
        <f>IFERROR(__xludf.DUMMYFUNCTION("""COMPUTED_VALUE"""),"COMPLETED")</f>
        <v>COMPLETED</v>
      </c>
      <c r="C613" s="74">
        <f>IFERROR(__xludf.DUMMYFUNCTION("""COMPUTED_VALUE"""),45593.0)</f>
        <v>45593</v>
      </c>
      <c r="D613" s="71" t="str">
        <f>IFERROR(__xludf.DUMMYFUNCTION("""COMPUTED_VALUE"""),"Bulusukan Farmers Palay and Vegetable Producers Cooperative")</f>
        <v>Bulusukan Farmers Palay and Vegetable Producers Cooperative</v>
      </c>
      <c r="E613" s="71" t="str">
        <f>IFERROR(__xludf.DUMMYFUNCTION("""COMPUTED_VALUE"""),"Bulusukan, San Ildefonso, BULACAN")</f>
        <v>Bulusukan, San Ildefonso, BULACAN</v>
      </c>
      <c r="F613" s="2" t="str">
        <f>IFERROR(__xludf.DUMMYFUNCTION("""COMPUTED_VALUE"""),"Naldy Nuñez")</f>
        <v>Naldy Nuñez</v>
      </c>
      <c r="G613" s="2">
        <f>IFERROR(__xludf.DUMMYFUNCTION("""COMPUTED_VALUE"""),9.128630521E9)</f>
        <v>9128630521</v>
      </c>
      <c r="H613" s="2">
        <f>IFERROR(__xludf.DUMMYFUNCTION("""COMPUTED_VALUE"""),313.0)</f>
        <v>313</v>
      </c>
      <c r="I613" s="72" t="str">
        <f>IFERROR(__xludf.DUMMYFUNCTION("""COMPUTED_VALUE"""),"REPAIR - ROTAVATOR")</f>
        <v>REPAIR - ROTAVATOR</v>
      </c>
      <c r="J613" s="72" t="str">
        <f>IFERROR(__xludf.DUMMYFUNCTION("""COMPUTED_VALUE"""),"Gearbox")</f>
        <v>Gearbox</v>
      </c>
      <c r="K613" s="72" t="str">
        <f>IFERROR(__xludf.DUMMYFUNCTION("""COMPUTED_VALUE"""),"DSD: ROTAVATOR (MAINGAY)")</f>
        <v>DSD: ROTAVATOR (MAINGAY)</v>
      </c>
      <c r="L613" s="72" t="str">
        <f>IFERROR(__xludf.DUMMYFUNCTION("""COMPUTED_VALUE"""),"DSD:  Lumuwag po yung nut sa bevel gear buti po naagapan
Hinigpitan po namin yung nut and 2nd PMS done
")</f>
        <v>DSD:  Lumuwag po yung nut sa bevel gear buti po naagapan
Hinigpitan po namin yung nut and 2nd PMS done
</v>
      </c>
      <c r="M613" s="2"/>
      <c r="N613" s="2" t="str">
        <f>IFERROR(__xludf.DUMMYFUNCTION("""COMPUTED_VALUE"""),"PARTS: 
OIL FILTER, 
HYDRAULIC FILTER, 
ENGINE OIL 5L")</f>
        <v>PARTS: 
OIL FILTER, 
HYDRAULIC FILTER, 
ENGINE OIL 5L</v>
      </c>
      <c r="O613" s="2">
        <f>IFERROR(__xludf.DUMMYFUNCTION("""COMPUTED_VALUE"""),1326.0)</f>
        <v>1326</v>
      </c>
      <c r="P613" s="2"/>
      <c r="Q613" s="2"/>
      <c r="R613" s="74">
        <f>IFERROR(__xludf.DUMMYFUNCTION("""COMPUTED_VALUE"""),45608.0)</f>
        <v>45608</v>
      </c>
      <c r="S613" s="2" t="str">
        <f>IFERROR(__xludf.DUMMYFUNCTION("""COMPUTED_VALUE"""),"EGT/DSD")</f>
        <v>EGT/DSD</v>
      </c>
      <c r="T613" s="73">
        <f>IFERROR(__xludf.DUMMYFUNCTION("""COMPUTED_VALUE"""),5941.0)</f>
        <v>5941</v>
      </c>
      <c r="U613" s="73" t="str">
        <f>IFERROR(__xludf.DUMMYFUNCTION("""COMPUTED_VALUE""")," REMITTED ")</f>
        <v>REMITTED</v>
      </c>
      <c r="V613" s="2"/>
      <c r="W613" s="2">
        <f>IFERROR(__xludf.DUMMYFUNCTION("""COMPUTED_VALUE"""),1329.0)</f>
        <v>1329</v>
      </c>
      <c r="X613" s="2">
        <f>IFERROR(__xludf.DUMMYFUNCTION("""COMPUTED_VALUE"""),1235.0)</f>
        <v>1235</v>
      </c>
      <c r="Y613" s="2"/>
      <c r="Z613" s="2"/>
      <c r="AA613" s="2"/>
      <c r="AB613" s="2"/>
      <c r="AC613" s="2"/>
      <c r="AD613" s="2"/>
      <c r="AE613" s="2"/>
      <c r="AF613" s="2"/>
      <c r="AG613" s="2"/>
      <c r="AH613" s="2"/>
      <c r="AI613" s="2"/>
      <c r="AJ613" s="2" t="str">
        <f>IFERROR(__xludf.DUMMYFUNCTION("""COMPUTED_VALUE"""),"Bulusukan")</f>
        <v>Bulusukan</v>
      </c>
      <c r="AK613" s="2" t="str">
        <f>IFERROR(__xludf.DUMMYFUNCTION("""COMPUTED_VALUE"""),"San Ildefonso")</f>
        <v>San Ildefonso</v>
      </c>
      <c r="AL613" s="2" t="str">
        <f>IFERROR(__xludf.DUMMYFUNCTION("""COMPUTED_VALUE"""),"Bulacan")</f>
        <v>Bulacan</v>
      </c>
      <c r="AM613" s="2">
        <f>IFERROR(__xludf.DUMMYFUNCTION("""COMPUTED_VALUE"""),3.0)</f>
        <v>3</v>
      </c>
      <c r="AN613" s="2" t="str">
        <f>IFERROR(__xludf.DUMMYFUNCTION("""COMPUTED_VALUE"""),"RCEF 23-09-21 Rebidding")</f>
        <v>RCEF 23-09-21 Rebidding</v>
      </c>
      <c r="AO613" s="2">
        <f>IFERROR(__xludf.DUMMYFUNCTION("""COMPUTED_VALUE"""),9.0)</f>
        <v>9</v>
      </c>
      <c r="AP613" s="2"/>
      <c r="AQ613" s="2"/>
      <c r="AR613" s="2"/>
      <c r="AS613" s="2"/>
      <c r="AT613" s="2"/>
      <c r="AU613" s="2"/>
      <c r="AV613" s="2"/>
      <c r="AW613" s="2"/>
      <c r="AX613" s="2"/>
      <c r="AY613" s="2"/>
      <c r="AZ613" s="2"/>
      <c r="BA613" s="2"/>
      <c r="BB613" s="2"/>
    </row>
    <row r="614">
      <c r="A614" s="2">
        <f>IFERROR(__xludf.DUMMYFUNCTION("""COMPUTED_VALUE"""),610.0)</f>
        <v>610</v>
      </c>
      <c r="B614" s="2" t="str">
        <f>IFERROR(__xludf.DUMMYFUNCTION("""COMPUTED_VALUE"""),"COMPLETED")</f>
        <v>COMPLETED</v>
      </c>
      <c r="C614" s="74">
        <f>IFERROR(__xludf.DUMMYFUNCTION("""COMPUTED_VALUE"""),45593.0)</f>
        <v>45593</v>
      </c>
      <c r="D614" s="71" t="str">
        <f>IFERROR(__xludf.DUMMYFUNCTION("""COMPUTED_VALUE"""),"SAMAHAN NG MAGSASAKA NG JC PAYUMO JR. DINALUPIHAN BATAAN")</f>
        <v>SAMAHAN NG MAGSASAKA NG JC PAYUMO JR. DINALUPIHAN BATAAN</v>
      </c>
      <c r="E614" s="71" t="str">
        <f>IFERROR(__xludf.DUMMYFUNCTION("""COMPUTED_VALUE"""),"""Jose C. Payumo Jr."", Dinalupihan, BATAAN")</f>
        <v>"Jose C. Payumo Jr.", Dinalupihan, BATAAN</v>
      </c>
      <c r="F614" s="2" t="str">
        <f>IFERROR(__xludf.DUMMYFUNCTION("""COMPUTED_VALUE"""),"GEMA I. ASKEN")</f>
        <v>GEMA I. ASKEN</v>
      </c>
      <c r="G614" s="2">
        <f>IFERROR(__xludf.DUMMYFUNCTION("""COMPUTED_VALUE"""),6.39178005413E11)</f>
        <v>639178005413</v>
      </c>
      <c r="H614" s="2">
        <f>IFERROR(__xludf.DUMMYFUNCTION("""COMPUTED_VALUE"""),441.0)</f>
        <v>441</v>
      </c>
      <c r="I614" s="72" t="str">
        <f>IFERROR(__xludf.DUMMYFUNCTION("""COMPUTED_VALUE"""),"PMS")</f>
        <v>PMS</v>
      </c>
      <c r="J614" s="72" t="str">
        <f>IFERROR(__xludf.DUMMYFUNCTION("""COMPUTED_VALUE"""),"PMS")</f>
        <v>PMS</v>
      </c>
      <c r="K614" s="72" t="str">
        <f>IFERROR(__xludf.DUMMYFUNCTION("""COMPUTED_VALUE"""),"JDP: 2ND PMS")</f>
        <v>JDP: 2ND PMS</v>
      </c>
      <c r="L614" s="72" t="str">
        <f>IFERROR(__xludf.DUMMYFUNCTION("""COMPUTED_VALUE"""),"JDP: 2ND PMS DONE")</f>
        <v>JDP: 2ND PMS DONE</v>
      </c>
      <c r="M614" s="2"/>
      <c r="N614" s="2" t="str">
        <f>IFERROR(__xludf.DUMMYFUNCTION("""COMPUTED_VALUE"""),"PARTS: HYDRAULIC FILTER")</f>
        <v>PARTS: HYDRAULIC FILTER</v>
      </c>
      <c r="O614" s="2">
        <f>IFERROR(__xludf.DUMMYFUNCTION("""COMPUTED_VALUE"""),1360.0)</f>
        <v>1360</v>
      </c>
      <c r="P614" s="2"/>
      <c r="Q614" s="2"/>
      <c r="R614" s="74">
        <f>IFERROR(__xludf.DUMMYFUNCTION("""COMPUTED_VALUE"""),45600.0)</f>
        <v>45600</v>
      </c>
      <c r="S614" s="2" t="str">
        <f>IFERROR(__xludf.DUMMYFUNCTION("""COMPUTED_VALUE"""),"JDP/DSD")</f>
        <v>JDP/DSD</v>
      </c>
      <c r="T614" s="73">
        <f>IFERROR(__xludf.DUMMYFUNCTION("""COMPUTED_VALUE"""),2748.0)</f>
        <v>2748</v>
      </c>
      <c r="U614" s="73" t="str">
        <f>IFERROR(__xludf.DUMMYFUNCTION("""COMPUTED_VALUE""")," REMITTED ")</f>
        <v>REMITTED</v>
      </c>
      <c r="V614" s="2"/>
      <c r="W614" s="2">
        <f>IFERROR(__xludf.DUMMYFUNCTION("""COMPUTED_VALUE"""),1454.0)</f>
        <v>1454</v>
      </c>
      <c r="X614" s="2">
        <f>IFERROR(__xludf.DUMMYFUNCTION("""COMPUTED_VALUE"""),1240.0)</f>
        <v>1240</v>
      </c>
      <c r="Y614" s="2"/>
      <c r="Z614" s="2"/>
      <c r="AA614" s="2"/>
      <c r="AB614" s="2"/>
      <c r="AC614" s="2"/>
      <c r="AD614" s="2"/>
      <c r="AE614" s="2"/>
      <c r="AF614" s="2"/>
      <c r="AG614" s="2"/>
      <c r="AH614" s="2"/>
      <c r="AI614" s="2"/>
      <c r="AJ614" s="2" t="str">
        <f>IFERROR(__xludf.DUMMYFUNCTION("""COMPUTED_VALUE"""),"""Jose C. Payumo Jr.""")</f>
        <v>"Jose C. Payumo Jr."</v>
      </c>
      <c r="AK614" s="2" t="str">
        <f>IFERROR(__xludf.DUMMYFUNCTION("""COMPUTED_VALUE"""),"Dinalupihan")</f>
        <v>Dinalupihan</v>
      </c>
      <c r="AL614" s="2" t="str">
        <f>IFERROR(__xludf.DUMMYFUNCTION("""COMPUTED_VALUE"""),"Bataan")</f>
        <v>Bataan</v>
      </c>
      <c r="AM614" s="2">
        <f>IFERROR(__xludf.DUMMYFUNCTION("""COMPUTED_VALUE"""),3.0)</f>
        <v>3</v>
      </c>
      <c r="AN614" s="2" t="str">
        <f>IFERROR(__xludf.DUMMYFUNCTION("""COMPUTED_VALUE"""),"RCEF 23-09-21 Rebidding")</f>
        <v>RCEF 23-09-21 Rebidding</v>
      </c>
      <c r="AO614" s="2">
        <f>IFERROR(__xludf.DUMMYFUNCTION("""COMPUTED_VALUE"""),9.0)</f>
        <v>9</v>
      </c>
      <c r="AP614" s="2"/>
      <c r="AQ614" s="2"/>
      <c r="AR614" s="2"/>
      <c r="AS614" s="2"/>
      <c r="AT614" s="2"/>
      <c r="AU614" s="2"/>
      <c r="AV614" s="2"/>
      <c r="AW614" s="2"/>
      <c r="AX614" s="2"/>
      <c r="AY614" s="2"/>
      <c r="AZ614" s="2"/>
      <c r="BA614" s="2"/>
      <c r="BB614" s="2"/>
    </row>
    <row r="615">
      <c r="A615" s="2">
        <f>IFERROR(__xludf.DUMMYFUNCTION("""COMPUTED_VALUE"""),611.0)</f>
        <v>611</v>
      </c>
      <c r="B615" s="2" t="str">
        <f>IFERROR(__xludf.DUMMYFUNCTION("""COMPUTED_VALUE"""),"COMPLETED")</f>
        <v>COMPLETED</v>
      </c>
      <c r="C615" s="74">
        <f>IFERROR(__xludf.DUMMYFUNCTION("""COMPUTED_VALUE"""),45593.0)</f>
        <v>45593</v>
      </c>
      <c r="D615" s="71" t="str">
        <f>IFERROR(__xludf.DUMMYFUNCTION("""COMPUTED_VALUE"""),"BARANGAY BANUGAO FARMERS ASSOCIATION")</f>
        <v>BARANGAY BANUGAO FARMERS ASSOCIATION</v>
      </c>
      <c r="E615" s="71" t="str">
        <f>IFERROR(__xludf.DUMMYFUNCTION("""COMPUTED_VALUE"""),"Banugao, Infanta, Quezon")</f>
        <v>Banugao, Infanta, Quezon</v>
      </c>
      <c r="F615" s="2" t="str">
        <f>IFERROR(__xludf.DUMMYFUNCTION("""COMPUTED_VALUE"""),"Catalino Mostoles")</f>
        <v>Catalino Mostoles</v>
      </c>
      <c r="G615" s="2" t="str">
        <f>IFERROR(__xludf.DUMMYFUNCTION("""COMPUTED_VALUE"""),"0920 733 8911")</f>
        <v>0920 733 8911</v>
      </c>
      <c r="H615" s="2">
        <f>IFERROR(__xludf.DUMMYFUNCTION("""COMPUTED_VALUE"""),300.0)</f>
        <v>300</v>
      </c>
      <c r="I615" s="72" t="str">
        <f>IFERROR(__xludf.DUMMYFUNCTION("""COMPUTED_VALUE"""),"PMS")</f>
        <v>PMS</v>
      </c>
      <c r="J615" s="72" t="str">
        <f>IFERROR(__xludf.DUMMYFUNCTION("""COMPUTED_VALUE"""),"PMS")</f>
        <v>PMS</v>
      </c>
      <c r="K615" s="72" t="str">
        <f>IFERROR(__xludf.DUMMYFUNCTION("""COMPUTED_VALUE"""),"JTT: 2ND PMS")</f>
        <v>JTT: 2ND PMS</v>
      </c>
      <c r="L615" s="72" t="str">
        <f>IFERROR(__xludf.DUMMYFUNCTION("""COMPUTED_VALUE"""),"JTT: NATAWAGAN KO NA, MAG IIPON PADAW")</f>
        <v>JTT: NATAWAGAN KO NA, MAG IIPON PADAW</v>
      </c>
      <c r="M615" s="2"/>
      <c r="N615" s="2"/>
      <c r="O615" s="2" t="str">
        <f>IFERROR(__xludf.DUMMYFUNCTION("""COMPUTED_VALUE"""),"N/A")</f>
        <v>N/A</v>
      </c>
      <c r="P615" s="2"/>
      <c r="Q615" s="2"/>
      <c r="R615" s="74">
        <f>IFERROR(__xludf.DUMMYFUNCTION("""COMPUTED_VALUE"""),45644.0)</f>
        <v>45644</v>
      </c>
      <c r="S615" s="2" t="str">
        <f>IFERROR(__xludf.DUMMYFUNCTION("""COMPUTED_VALUE"""),"JTT")</f>
        <v>JTT</v>
      </c>
      <c r="T615" s="73" t="str">
        <f>IFERROR(__xludf.DUMMYFUNCTION("""COMPUTED_VALUE""")," N/A ")</f>
        <v>N/A</v>
      </c>
      <c r="U615" s="73" t="str">
        <f>IFERROR(__xludf.DUMMYFUNCTION("""COMPUTED_VALUE""")," NO CHARGE ")</f>
        <v>NO CHARGE</v>
      </c>
      <c r="V615" s="2"/>
      <c r="W615" s="2" t="str">
        <f>IFERROR(__xludf.DUMMYFUNCTION("""COMPUTED_VALUE"""),"N/A")</f>
        <v>N/A</v>
      </c>
      <c r="X615" s="2" t="str">
        <f>IFERROR(__xludf.DUMMYFUNCTION("""COMPUTED_VALUE"""),"N/A")</f>
        <v>N/A</v>
      </c>
      <c r="Y615" s="2"/>
      <c r="Z615" s="2"/>
      <c r="AA615" s="2"/>
      <c r="AB615" s="2"/>
      <c r="AC615" s="2"/>
      <c r="AD615" s="2"/>
      <c r="AE615" s="2"/>
      <c r="AF615" s="2"/>
      <c r="AG615" s="2"/>
      <c r="AH615" s="2"/>
      <c r="AI615" s="2"/>
      <c r="AJ615" s="2" t="str">
        <f>IFERROR(__xludf.DUMMYFUNCTION("""COMPUTED_VALUE"""),"Banugao")</f>
        <v>Banugao</v>
      </c>
      <c r="AK615" s="2" t="str">
        <f>IFERROR(__xludf.DUMMYFUNCTION("""COMPUTED_VALUE"""),"Infanta")</f>
        <v>Infanta</v>
      </c>
      <c r="AL615" s="2" t="str">
        <f>IFERROR(__xludf.DUMMYFUNCTION("""COMPUTED_VALUE"""),"Quezon")</f>
        <v>Quezon</v>
      </c>
      <c r="AM615" s="2" t="str">
        <f>IFERROR(__xludf.DUMMYFUNCTION("""COMPUTED_VALUE"""),"4A")</f>
        <v>4A</v>
      </c>
      <c r="AN615" s="2" t="str">
        <f>IFERROR(__xludf.DUMMYFUNCTION("""COMPUTED_VALUE"""),"RCEF 23-08-20 Rebidding")</f>
        <v>RCEF 23-08-20 Rebidding</v>
      </c>
      <c r="AO615" s="2">
        <f>IFERROR(__xludf.DUMMYFUNCTION("""COMPUTED_VALUE"""),1.0)</f>
        <v>1</v>
      </c>
      <c r="AP615" s="2"/>
      <c r="AQ615" s="2"/>
      <c r="AR615" s="2"/>
      <c r="AS615" s="2"/>
      <c r="AT615" s="2"/>
      <c r="AU615" s="2"/>
      <c r="AV615" s="2"/>
      <c r="AW615" s="2"/>
      <c r="AX615" s="2"/>
      <c r="AY615" s="2"/>
      <c r="AZ615" s="2"/>
      <c r="BA615" s="2"/>
      <c r="BB615" s="2"/>
    </row>
    <row r="616">
      <c r="A616" s="2">
        <f>IFERROR(__xludf.DUMMYFUNCTION("""COMPUTED_VALUE"""),612.0)</f>
        <v>612</v>
      </c>
      <c r="B616" s="2" t="str">
        <f>IFERROR(__xludf.DUMMYFUNCTION("""COMPUTED_VALUE"""),"COMPLETED")</f>
        <v>COMPLETED</v>
      </c>
      <c r="C616" s="74">
        <f>IFERROR(__xludf.DUMMYFUNCTION("""COMPUTED_VALUE"""),45593.0)</f>
        <v>45593</v>
      </c>
      <c r="D616" s="71" t="str">
        <f>IFERROR(__xludf.DUMMYFUNCTION("""COMPUTED_VALUE"""),"KAINGIN TAGUMPAY FARMERS AND IRRIGATORS ASSOCIATION (KATFAIA)")</f>
        <v>KAINGIN TAGUMPAY FARMERS AND IRRIGATORS ASSOCIATION (KATFAIA)</v>
      </c>
      <c r="E616" s="71" t="str">
        <f>IFERROR(__xludf.DUMMYFUNCTION("""COMPUTED_VALUE"""),"TAGUMPAY, SABLAYAN, OCCIDENTAL MINDORO")</f>
        <v>TAGUMPAY, SABLAYAN, OCCIDENTAL MINDORO</v>
      </c>
      <c r="F616" s="2"/>
      <c r="G616" s="2"/>
      <c r="H616" s="2">
        <f>IFERROR(__xludf.DUMMYFUNCTION("""COMPUTED_VALUE"""),1100.0)</f>
        <v>1100</v>
      </c>
      <c r="I616" s="72" t="str">
        <f>IFERROR(__xludf.DUMMYFUNCTION("""COMPUTED_VALUE"""),"REPAIR - TRACTOR")</f>
        <v>REPAIR - TRACTOR</v>
      </c>
      <c r="J616" s="72" t="str">
        <f>IFERROR(__xludf.DUMMYFUNCTION("""COMPUTED_VALUE"""),"Transmission - Clutch")</f>
        <v>Transmission - Clutch</v>
      </c>
      <c r="K616" s="72" t="str">
        <f>IFERROR(__xludf.DUMMYFUNCTION("""COMPUTED_VALUE"""),"RBS: CLUTCH DISC ASSY, RELEASE BEARING, CLUTCH COVER ASSY")</f>
        <v>RBS: CLUTCH DISC ASSY, RELEASE BEARING, CLUTCH COVER ASSY</v>
      </c>
      <c r="L616" s="72" t="str">
        <f>IFERROR(__xludf.DUMMYFUNCTION("""COMPUTED_VALUE"""),"RCG: binuksan po namin yung tractor nya para malaman kung ano yung problema.dun namin nakita na durog yung release bearing at bungi yung finger ng clutch cover assy.
Pinalitan namin yung nasirang parts sa tractor,pina change oil na din njla yung transmiss"&amp;"ion.unit is in Operational.
")</f>
        <v>RCG: binuksan po namin yung tractor nya para malaman kung ano yung problema.dun namin nakita na durog yung release bearing at bungi yung finger ng clutch cover assy.
Pinalitan namin yung nasirang parts sa tractor,pina change oil na din njla yung transmission.unit is in Operational.
</v>
      </c>
      <c r="M616" s="2"/>
      <c r="N616" s="2" t="str">
        <f>IFERROR(__xludf.DUMMYFUNCTION("""COMPUTED_VALUE"""),"PARTS: 
RELEASE BEARING, 
CLUTCH COVER ASSY")</f>
        <v>PARTS: 
RELEASE BEARING, 
CLUTCH COVER ASSY</v>
      </c>
      <c r="O616" s="2">
        <f>IFERROR(__xludf.DUMMYFUNCTION("""COMPUTED_VALUE"""),980.0)</f>
        <v>980</v>
      </c>
      <c r="P616" s="2"/>
      <c r="Q616" s="2"/>
      <c r="R616" s="74">
        <f>IFERROR(__xludf.DUMMYFUNCTION("""COMPUTED_VALUE"""),45602.0)</f>
        <v>45602</v>
      </c>
      <c r="S616" s="2" t="str">
        <f>IFERROR(__xludf.DUMMYFUNCTION("""COMPUTED_VALUE"""),"RCG/RBS")</f>
        <v>RCG/RBS</v>
      </c>
      <c r="T616" s="73">
        <f>IFERROR(__xludf.DUMMYFUNCTION("""COMPUTED_VALUE"""),24365.0)</f>
        <v>24365</v>
      </c>
      <c r="U616" s="73" t="str">
        <f>IFERROR(__xludf.DUMMYFUNCTION("""COMPUTED_VALUE""")," REMITTED ")</f>
        <v>REMITTED</v>
      </c>
      <c r="V616" s="2"/>
      <c r="W616" s="2"/>
      <c r="X616" s="2">
        <f>IFERROR(__xludf.DUMMYFUNCTION("""COMPUTED_VALUE"""),1210.0)</f>
        <v>1210</v>
      </c>
      <c r="Y616" s="2"/>
      <c r="Z616" s="2"/>
      <c r="AA616" s="2"/>
      <c r="AB616" s="2"/>
      <c r="AC616" s="2"/>
      <c r="AD616" s="2"/>
      <c r="AE616" s="2"/>
      <c r="AF616" s="2"/>
      <c r="AG616" s="2"/>
      <c r="AH616" s="2"/>
      <c r="AI616" s="2"/>
      <c r="AJ616" s="2" t="str">
        <f>IFERROR(__xludf.DUMMYFUNCTION("""COMPUTED_VALUE"""),"Tagumpay")</f>
        <v>Tagumpay</v>
      </c>
      <c r="AK616" s="2" t="str">
        <f>IFERROR(__xludf.DUMMYFUNCTION("""COMPUTED_VALUE"""),"Sablayan")</f>
        <v>Sablayan</v>
      </c>
      <c r="AL616" s="2" t="str">
        <f>IFERROR(__xludf.DUMMYFUNCTION("""COMPUTED_VALUE"""),"Occidental Mindoro")</f>
        <v>Occidental Mindoro</v>
      </c>
      <c r="AM616" s="2" t="str">
        <f>IFERROR(__xludf.DUMMYFUNCTION("""COMPUTED_VALUE"""),"4B")</f>
        <v>4B</v>
      </c>
      <c r="AN616" s="2" t="str">
        <f>IFERROR(__xludf.DUMMYFUNCTION("""COMPUTED_VALUE"""),"RCEF 23-08-20 Rebidding")</f>
        <v>RCEF 23-08-20 Rebidding</v>
      </c>
      <c r="AO616" s="2">
        <f>IFERROR(__xludf.DUMMYFUNCTION("""COMPUTED_VALUE"""),1.0)</f>
        <v>1</v>
      </c>
      <c r="AP616" s="2"/>
      <c r="AQ616" s="2"/>
      <c r="AR616" s="2"/>
      <c r="AS616" s="2"/>
      <c r="AT616" s="2"/>
      <c r="AU616" s="2"/>
      <c r="AV616" s="2"/>
      <c r="AW616" s="2"/>
      <c r="AX616" s="2"/>
      <c r="AY616" s="2"/>
      <c r="AZ616" s="2"/>
      <c r="BA616" s="2"/>
      <c r="BB616" s="2"/>
    </row>
    <row r="617">
      <c r="A617" s="2">
        <f>IFERROR(__xludf.DUMMYFUNCTION("""COMPUTED_VALUE"""),613.0)</f>
        <v>613</v>
      </c>
      <c r="B617" s="2" t="str">
        <f>IFERROR(__xludf.DUMMYFUNCTION("""COMPUTED_VALUE"""),"COMPLETED")</f>
        <v>COMPLETED</v>
      </c>
      <c r="C617" s="74">
        <f>IFERROR(__xludf.DUMMYFUNCTION("""COMPUTED_VALUE"""),45593.0)</f>
        <v>45593</v>
      </c>
      <c r="D617" s="71" t="str">
        <f>IFERROR(__xludf.DUMMYFUNCTION("""COMPUTED_VALUE"""),"BATOG IRRRIGATORS ASSOCIATION INC.")</f>
        <v>BATOG IRRRIGATORS ASSOCIATION INC.</v>
      </c>
      <c r="E617" s="71" t="str">
        <f>IFERROR(__xludf.DUMMYFUNCTION("""COMPUTED_VALUE"""),"Rio Chico, General Tinio, NUEVA ECIJA")</f>
        <v>Rio Chico, General Tinio, NUEVA ECIJA</v>
      </c>
      <c r="F617" s="2"/>
      <c r="G617" s="2"/>
      <c r="H617" s="2">
        <f>IFERROR(__xludf.DUMMYFUNCTION("""COMPUTED_VALUE"""),8.6)</f>
        <v>8.6</v>
      </c>
      <c r="I617" s="72" t="str">
        <f>IFERROR(__xludf.DUMMYFUNCTION("""COMPUTED_VALUE"""),"SPARE PARTS ACQUISITION")</f>
        <v>SPARE PARTS ACQUISITION</v>
      </c>
      <c r="J617" s="72" t="str">
        <f>IFERROR(__xludf.DUMMYFUNCTION("""COMPUTED_VALUE"""),"SPARE PARTS ACQUISITION")</f>
        <v>SPARE PARTS ACQUISITION</v>
      </c>
      <c r="K617" s="72" t="str">
        <f>IFERROR(__xludf.DUMMYFUNCTION("""COMPUTED_VALUE"""),"PTO SWITCH")</f>
        <v>PTO SWITCH</v>
      </c>
      <c r="L617" s="72" t="str">
        <f>IFERROR(__xludf.DUMMYFUNCTION("""COMPUTED_VALUE"""),"DELIVERED")</f>
        <v>DELIVERED</v>
      </c>
      <c r="M617" s="2"/>
      <c r="N617" s="2" t="str">
        <f>IFERROR(__xludf.DUMMYFUNCTION("""COMPUTED_VALUE"""),"PARTS: PTO SWITCH")</f>
        <v>PARTS: PTO SWITCH</v>
      </c>
      <c r="O617" s="2">
        <f>IFERROR(__xludf.DUMMYFUNCTION("""COMPUTED_VALUE"""),572.0)</f>
        <v>572</v>
      </c>
      <c r="P617" s="2"/>
      <c r="Q617" s="2"/>
      <c r="R617" s="74">
        <f>IFERROR(__xludf.DUMMYFUNCTION("""COMPUTED_VALUE"""),45593.0)</f>
        <v>45593</v>
      </c>
      <c r="S617" s="2" t="str">
        <f>IFERROR(__xludf.DUMMYFUNCTION("""COMPUTED_VALUE"""),"JHP/ACS")</f>
        <v>JHP/ACS</v>
      </c>
      <c r="T617" s="73">
        <f>IFERROR(__xludf.DUMMYFUNCTION("""COMPUTED_VALUE"""),4410.0)</f>
        <v>4410</v>
      </c>
      <c r="U617" s="73" t="str">
        <f>IFERROR(__xludf.DUMMYFUNCTION("""COMPUTED_VALUE""")," REMITTED ")</f>
        <v>REMITTED</v>
      </c>
      <c r="V617" s="2"/>
      <c r="W617" s="2"/>
      <c r="X617" s="2">
        <f>IFERROR(__xludf.DUMMYFUNCTION("""COMPUTED_VALUE"""),1180.0)</f>
        <v>1180</v>
      </c>
      <c r="Y617" s="2"/>
      <c r="Z617" s="2"/>
      <c r="AA617" s="2"/>
      <c r="AB617" s="2"/>
      <c r="AC617" s="2"/>
      <c r="AD617" s="2"/>
      <c r="AE617" s="2"/>
      <c r="AF617" s="2"/>
      <c r="AG617" s="2"/>
      <c r="AH617" s="2"/>
      <c r="AI617" s="2"/>
      <c r="AJ617" s="2" t="str">
        <f>IFERROR(__xludf.DUMMYFUNCTION("""COMPUTED_VALUE"""),"Rio Chico")</f>
        <v>Rio Chico</v>
      </c>
      <c r="AK617" s="2" t="str">
        <f>IFERROR(__xludf.DUMMYFUNCTION("""COMPUTED_VALUE"""),"General Tinio")</f>
        <v>General Tinio</v>
      </c>
      <c r="AL617" s="2" t="str">
        <f>IFERROR(__xludf.DUMMYFUNCTION("""COMPUTED_VALUE"""),"Nueva Ecija")</f>
        <v>Nueva Ecija</v>
      </c>
      <c r="AM617" s="2">
        <f>IFERROR(__xludf.DUMMYFUNCTION("""COMPUTED_VALUE"""),3.0)</f>
        <v>3</v>
      </c>
      <c r="AN617" s="2" t="str">
        <f>IFERROR(__xludf.DUMMYFUNCTION("""COMPUTED_VALUE"""),"RCEF 24-04-15")</f>
        <v>RCEF 24-04-15</v>
      </c>
      <c r="AO617" s="2">
        <f>IFERROR(__xludf.DUMMYFUNCTION("""COMPUTED_VALUE"""),6.0)</f>
        <v>6</v>
      </c>
      <c r="AP617" s="2" t="str">
        <f>IFERROR(__xludf.DUMMYFUNCTION("""COMPUTED_VALUE"""),"FREE PMS")</f>
        <v>FREE PMS</v>
      </c>
      <c r="AQ617" s="2"/>
      <c r="AR617" s="2"/>
      <c r="AS617" s="2"/>
      <c r="AT617" s="2"/>
      <c r="AU617" s="2"/>
      <c r="AV617" s="2"/>
      <c r="AW617" s="2"/>
      <c r="AX617" s="2"/>
      <c r="AY617" s="2"/>
      <c r="AZ617" s="2"/>
      <c r="BA617" s="2"/>
      <c r="BB617" s="2"/>
    </row>
    <row r="618">
      <c r="A618" s="2">
        <f>IFERROR(__xludf.DUMMYFUNCTION("""COMPUTED_VALUE"""),614.0)</f>
        <v>614</v>
      </c>
      <c r="B618" s="2" t="str">
        <f>IFERROR(__xludf.DUMMYFUNCTION("""COMPUTED_VALUE"""),"COMPLETED")</f>
        <v>COMPLETED</v>
      </c>
      <c r="C618" s="74">
        <f>IFERROR(__xludf.DUMMYFUNCTION("""COMPUTED_VALUE"""),45593.0)</f>
        <v>45593</v>
      </c>
      <c r="D618" s="71" t="str">
        <f>IFERROR(__xludf.DUMMYFUNCTION("""COMPUTED_VALUE"""),"COLLADO IRRIGATORS' ASSOCIATION, INC.")</f>
        <v>COLLADO IRRIGATORS' ASSOCIATION, INC.</v>
      </c>
      <c r="E618" s="71" t="str">
        <f>IFERROR(__xludf.DUMMYFUNCTION("""COMPUTED_VALUE"""),"Collado, Talavera, NUEVA ECIJA")</f>
        <v>Collado, Talavera, NUEVA ECIJA</v>
      </c>
      <c r="F618" s="2"/>
      <c r="G618" s="2"/>
      <c r="H618" s="2"/>
      <c r="I618" s="72" t="str">
        <f>IFERROR(__xludf.DUMMYFUNCTION("""COMPUTED_VALUE"""),"SPARE PARTS ACQUISITION")</f>
        <v>SPARE PARTS ACQUISITION</v>
      </c>
      <c r="J618" s="72" t="str">
        <f>IFERROR(__xludf.DUMMYFUNCTION("""COMPUTED_VALUE"""),"SPARE PARTS ACQUISITION")</f>
        <v>SPARE PARTS ACQUISITION</v>
      </c>
      <c r="K618" s="72" t="str">
        <f>IFERROR(__xludf.DUMMYFUNCTION("""COMPUTED_VALUE"""),"OIL FILTER, HYDRAULIC FILTER")</f>
        <v>OIL FILTER, HYDRAULIC FILTER</v>
      </c>
      <c r="L618" s="72" t="str">
        <f>IFERROR(__xludf.DUMMYFUNCTION("""COMPUTED_VALUE"""),"DELIVERED")</f>
        <v>DELIVERED</v>
      </c>
      <c r="M618" s="2"/>
      <c r="N618" s="2" t="str">
        <f>IFERROR(__xludf.DUMMYFUNCTION("""COMPUTED_VALUE"""),"PARTS: 
OIL FILTER, 
HYDRAULIC FILTER")</f>
        <v>PARTS: 
OIL FILTER, 
HYDRAULIC FILTER</v>
      </c>
      <c r="O618" s="2" t="str">
        <f>IFERROR(__xludf.DUMMYFUNCTION("""COMPUTED_VALUE"""),"N/A")</f>
        <v>N/A</v>
      </c>
      <c r="P618" s="2"/>
      <c r="Q618" s="2"/>
      <c r="R618" s="74">
        <f>IFERROR(__xludf.DUMMYFUNCTION("""COMPUTED_VALUE"""),45593.0)</f>
        <v>45593</v>
      </c>
      <c r="S618" s="2"/>
      <c r="T618" s="2"/>
      <c r="U618" s="73" t="str">
        <f>IFERROR(__xludf.DUMMYFUNCTION("""COMPUTED_VALUE""")," REMITTED ")</f>
        <v>REMITTED</v>
      </c>
      <c r="V618" s="2"/>
      <c r="W618" s="2"/>
      <c r="X618" s="2">
        <f>IFERROR(__xludf.DUMMYFUNCTION("""COMPUTED_VALUE"""),1190.0)</f>
        <v>1190</v>
      </c>
      <c r="Y618" s="2"/>
      <c r="Z618" s="2"/>
      <c r="AA618" s="2"/>
      <c r="AB618" s="2"/>
      <c r="AC618" s="2"/>
      <c r="AD618" s="2"/>
      <c r="AE618" s="2"/>
      <c r="AF618" s="2"/>
      <c r="AG618" s="2"/>
      <c r="AH618" s="2"/>
      <c r="AI618" s="2"/>
      <c r="AJ618" s="2" t="str">
        <f>IFERROR(__xludf.DUMMYFUNCTION("""COMPUTED_VALUE"""),"Collado")</f>
        <v>Collado</v>
      </c>
      <c r="AK618" s="2" t="str">
        <f>IFERROR(__xludf.DUMMYFUNCTION("""COMPUTED_VALUE"""),"Talavera")</f>
        <v>Talavera</v>
      </c>
      <c r="AL618" s="2" t="str">
        <f>IFERROR(__xludf.DUMMYFUNCTION("""COMPUTED_VALUE"""),"Nueva Ecija")</f>
        <v>Nueva Ecija</v>
      </c>
      <c r="AM618" s="2">
        <f>IFERROR(__xludf.DUMMYFUNCTION("""COMPUTED_VALUE"""),3.0)</f>
        <v>3</v>
      </c>
      <c r="AN618" s="2" t="str">
        <f>IFERROR(__xludf.DUMMYFUNCTION("""COMPUTED_VALUE"""),"RCEF 23-09-21 Rebidding")</f>
        <v>RCEF 23-09-21 Rebidding</v>
      </c>
      <c r="AO618" s="2">
        <f>IFERROR(__xludf.DUMMYFUNCTION("""COMPUTED_VALUE"""),3.0)</f>
        <v>3</v>
      </c>
      <c r="AP618" s="2"/>
      <c r="AQ618" s="2"/>
      <c r="AR618" s="2"/>
      <c r="AS618" s="2"/>
      <c r="AT618" s="2"/>
      <c r="AU618" s="2"/>
      <c r="AV618" s="2"/>
      <c r="AW618" s="2"/>
      <c r="AX618" s="2"/>
      <c r="AY618" s="2"/>
      <c r="AZ618" s="2"/>
      <c r="BA618" s="2"/>
      <c r="BB618" s="2"/>
    </row>
    <row r="619">
      <c r="A619" s="2">
        <f>IFERROR(__xludf.DUMMYFUNCTION("""COMPUTED_VALUE"""),615.0)</f>
        <v>615</v>
      </c>
      <c r="B619" s="2" t="str">
        <f>IFERROR(__xludf.DUMMYFUNCTION("""COMPUTED_VALUE"""),"COMPLETED")</f>
        <v>COMPLETED</v>
      </c>
      <c r="C619" s="74">
        <f>IFERROR(__xludf.DUMMYFUNCTION("""COMPUTED_VALUE"""),45594.0)</f>
        <v>45594</v>
      </c>
      <c r="D619" s="71" t="str">
        <f>IFERROR(__xludf.DUMMYFUNCTION("""COMPUTED_VALUE"""),"SITANGLAB IRRIGATORS ASSOCIATION, INC")</f>
        <v>SITANGLAB IRRIGATORS ASSOCIATION, INC</v>
      </c>
      <c r="E619" s="71" t="str">
        <f>IFERROR(__xludf.DUMMYFUNCTION("""COMPUTED_VALUE"""),"Tanggal Sawang, Umingan, PANGASINAN")</f>
        <v>Tanggal Sawang, Umingan, PANGASINAN</v>
      </c>
      <c r="F619" s="2"/>
      <c r="G619" s="2">
        <f>IFERROR(__xludf.DUMMYFUNCTION("""COMPUTED_VALUE"""),9.275366794E9)</f>
        <v>9275366794</v>
      </c>
      <c r="H619" s="2">
        <f>IFERROR(__xludf.DUMMYFUNCTION("""COMPUTED_VALUE"""),288.0)</f>
        <v>288</v>
      </c>
      <c r="I619" s="72" t="str">
        <f>IFERROR(__xludf.DUMMYFUNCTION("""COMPUTED_VALUE"""),"PMS")</f>
        <v>PMS</v>
      </c>
      <c r="J619" s="72" t="str">
        <f>IFERROR(__xludf.DUMMYFUNCTION("""COMPUTED_VALUE"""),"PMS")</f>
        <v>PMS</v>
      </c>
      <c r="K619" s="72" t="str">
        <f>IFERROR(__xludf.DUMMYFUNCTION("""COMPUTED_VALUE"""),"EGT: CHANGE OIL: 2ND PMS")</f>
        <v>EGT: CHANGE OIL: 2ND PMS</v>
      </c>
      <c r="L619" s="72" t="str">
        <f>IFERROR(__xludf.DUMMYFUNCTION("""COMPUTED_VALUE"""),"JDP: 2ND PMS DONE")</f>
        <v>JDP: 2ND PMS DONE</v>
      </c>
      <c r="M619" s="2"/>
      <c r="N619" s="2" t="str">
        <f>IFERROR(__xludf.DUMMYFUNCTION("""COMPUTED_VALUE"""),"PARTS: 5L ENGINE OIL, OIL FILTER, HYRDAULIC FILTER")</f>
        <v>PARTS: 5L ENGINE OIL, OIL FILTER, HYRDAULIC FILTER</v>
      </c>
      <c r="O619" s="2">
        <f>IFERROR(__xludf.DUMMYFUNCTION("""COMPUTED_VALUE"""),1364.0)</f>
        <v>1364</v>
      </c>
      <c r="P619" s="2"/>
      <c r="Q619" s="2" t="str">
        <f>IFERROR(__xludf.DUMMYFUNCTION("""COMPUTED_VALUE"""),"Y")</f>
        <v>Y</v>
      </c>
      <c r="R619" s="74">
        <f>IFERROR(__xludf.DUMMYFUNCTION("""COMPUTED_VALUE"""),45603.0)</f>
        <v>45603</v>
      </c>
      <c r="S619" s="2" t="str">
        <f>IFERROR(__xludf.DUMMYFUNCTION("""COMPUTED_VALUE"""),"JDP/DSD")</f>
        <v>JDP/DSD</v>
      </c>
      <c r="T619" s="73">
        <f>IFERROR(__xludf.DUMMYFUNCTION("""COMPUTED_VALUE"""),5941.0)</f>
        <v>5941</v>
      </c>
      <c r="U619" s="73" t="str">
        <f>IFERROR(__xludf.DUMMYFUNCTION("""COMPUTED_VALUE""")," REMITTED ")</f>
        <v>REMITTED</v>
      </c>
      <c r="V619" s="2"/>
      <c r="W619" s="2">
        <f>IFERROR(__xludf.DUMMYFUNCTION("""COMPUTED_VALUE"""),1457.0)</f>
        <v>1457</v>
      </c>
      <c r="X619" s="2">
        <f>IFERROR(__xludf.DUMMYFUNCTION("""COMPUTED_VALUE"""),1244.0)</f>
        <v>1244</v>
      </c>
      <c r="Y619" s="2" t="str">
        <f>IFERROR(__xludf.DUMMYFUNCTION("""COMPUTED_VALUE"""),"PRINTED/ SAVE TO FOLDER (SOFT COPY)")</f>
        <v>PRINTED/ SAVE TO FOLDER (SOFT COPY)</v>
      </c>
      <c r="Z619" s="2"/>
      <c r="AA619" s="2"/>
      <c r="AB619" s="2"/>
      <c r="AC619" s="2"/>
      <c r="AD619" s="2"/>
      <c r="AE619" s="2"/>
      <c r="AF619" s="2"/>
      <c r="AG619" s="2"/>
      <c r="AH619" s="2"/>
      <c r="AI619" s="2"/>
      <c r="AJ619" s="2" t="str">
        <f>IFERROR(__xludf.DUMMYFUNCTION("""COMPUTED_VALUE"""),"Tanggal Sawang")</f>
        <v>Tanggal Sawang</v>
      </c>
      <c r="AK619" s="2" t="str">
        <f>IFERROR(__xludf.DUMMYFUNCTION("""COMPUTED_VALUE"""),"Umingan")</f>
        <v>Umingan</v>
      </c>
      <c r="AL619" s="2" t="str">
        <f>IFERROR(__xludf.DUMMYFUNCTION("""COMPUTED_VALUE"""),"Pangasinan")</f>
        <v>Pangasinan</v>
      </c>
      <c r="AM619" s="2">
        <f>IFERROR(__xludf.DUMMYFUNCTION("""COMPUTED_VALUE"""),1.0)</f>
        <v>1</v>
      </c>
      <c r="AN619" s="2" t="str">
        <f>IFERROR(__xludf.DUMMYFUNCTION("""COMPUTED_VALUE"""),"RCEF 23-09-21 Rebidding")</f>
        <v>RCEF 23-09-21 Rebidding</v>
      </c>
      <c r="AO619" s="2">
        <f>IFERROR(__xludf.DUMMYFUNCTION("""COMPUTED_VALUE"""),9.0)</f>
        <v>9</v>
      </c>
      <c r="AP619" s="2"/>
      <c r="AQ619" s="2"/>
      <c r="AR619" s="2"/>
      <c r="AS619" s="2"/>
      <c r="AT619" s="2"/>
      <c r="AU619" s="2"/>
      <c r="AV619" s="2"/>
      <c r="AW619" s="2"/>
      <c r="AX619" s="2"/>
      <c r="AY619" s="2"/>
      <c r="AZ619" s="2"/>
      <c r="BA619" s="2"/>
      <c r="BB619" s="2"/>
    </row>
    <row r="620">
      <c r="A620" s="2">
        <f>IFERROR(__xludf.DUMMYFUNCTION("""COMPUTED_VALUE"""),616.0)</f>
        <v>616</v>
      </c>
      <c r="B620" s="2" t="str">
        <f>IFERROR(__xludf.DUMMYFUNCTION("""COMPUTED_VALUE"""),"COMPLETED")</f>
        <v>COMPLETED</v>
      </c>
      <c r="C620" s="74">
        <f>IFERROR(__xludf.DUMMYFUNCTION("""COMPUTED_VALUE"""),45594.0)</f>
        <v>45594</v>
      </c>
      <c r="D620" s="71" t="str">
        <f>IFERROR(__xludf.DUMMYFUNCTION("""COMPUTED_VALUE"""),"SITANGLAB IRRIGATORS ASSOCIATION, INC")</f>
        <v>SITANGLAB IRRIGATORS ASSOCIATION, INC</v>
      </c>
      <c r="E620" s="71" t="str">
        <f>IFERROR(__xludf.DUMMYFUNCTION("""COMPUTED_VALUE"""),"Tanggal Sawang, Umingan, PANGASINAN")</f>
        <v>Tanggal Sawang, Umingan, PANGASINAN</v>
      </c>
      <c r="F620" s="2"/>
      <c r="G620" s="2">
        <f>IFERROR(__xludf.DUMMYFUNCTION("""COMPUTED_VALUE"""),9.275366794E9)</f>
        <v>9275366794</v>
      </c>
      <c r="H620" s="2">
        <f>IFERROR(__xludf.DUMMYFUNCTION("""COMPUTED_VALUE"""),288.0)</f>
        <v>288</v>
      </c>
      <c r="I620" s="72" t="str">
        <f>IFERROR(__xludf.DUMMYFUNCTION("""COMPUTED_VALUE"""),"PMS")</f>
        <v>PMS</v>
      </c>
      <c r="J620" s="72"/>
      <c r="K620" s="72" t="str">
        <f>IFERROR(__xludf.DUMMYFUNCTION("""COMPUTED_VALUE"""),"EGT: can't see the amount of fuel it is broken.
JDP: FUEL METER ASSY
JDP: NAMAMAHALAN SI FARMER SA PRESYO")</f>
        <v>EGT: can't see the amount of fuel it is broken.
JDP: FUEL METER ASSY
JDP: NAMAMAHALAN SI FARMER SA PRESYO</v>
      </c>
      <c r="L620" s="72" t="str">
        <f>IFERROR(__xludf.DUMMYFUNCTION("""COMPUTED_VALUE"""),"CANCELLED")</f>
        <v>CANCELLED</v>
      </c>
      <c r="M620" s="2"/>
      <c r="N620" s="2"/>
      <c r="O620" s="2" t="str">
        <f>IFERROR(__xludf.DUMMYFUNCTION("""COMPUTED_VALUE"""),"CANCELLED")</f>
        <v>CANCELLED</v>
      </c>
      <c r="P620" s="2"/>
      <c r="Q620" s="2"/>
      <c r="R620" s="74">
        <f>IFERROR(__xludf.DUMMYFUNCTION("""COMPUTED_VALUE"""),45630.0)</f>
        <v>45630</v>
      </c>
      <c r="S620" s="2"/>
      <c r="T620" s="73" t="str">
        <f>IFERROR(__xludf.DUMMYFUNCTION("""COMPUTED_VALUE""")," N/A ")</f>
        <v>N/A</v>
      </c>
      <c r="U620" s="73" t="str">
        <f>IFERROR(__xludf.DUMMYFUNCTION("""COMPUTED_VALUE""")," NO CHARGE ")</f>
        <v>NO CHARGE</v>
      </c>
      <c r="V620" s="2"/>
      <c r="W620" s="2" t="str">
        <f>IFERROR(__xludf.DUMMYFUNCTION("""COMPUTED_VALUE"""),"N/A")</f>
        <v>N/A</v>
      </c>
      <c r="X620" s="2" t="str">
        <f>IFERROR(__xludf.DUMMYFUNCTION("""COMPUTED_VALUE"""),"N/A")</f>
        <v>N/A</v>
      </c>
      <c r="Y620" s="2"/>
      <c r="Z620" s="2"/>
      <c r="AA620" s="2"/>
      <c r="AB620" s="2"/>
      <c r="AC620" s="2"/>
      <c r="AD620" s="2"/>
      <c r="AE620" s="2"/>
      <c r="AF620" s="2"/>
      <c r="AG620" s="2"/>
      <c r="AH620" s="2"/>
      <c r="AI620" s="2"/>
      <c r="AJ620" s="2" t="str">
        <f>IFERROR(__xludf.DUMMYFUNCTION("""COMPUTED_VALUE"""),"Tanggal Sawang")</f>
        <v>Tanggal Sawang</v>
      </c>
      <c r="AK620" s="2" t="str">
        <f>IFERROR(__xludf.DUMMYFUNCTION("""COMPUTED_VALUE"""),"Umingan")</f>
        <v>Umingan</v>
      </c>
      <c r="AL620" s="2" t="str">
        <f>IFERROR(__xludf.DUMMYFUNCTION("""COMPUTED_VALUE"""),"Pangasinan")</f>
        <v>Pangasinan</v>
      </c>
      <c r="AM620" s="2">
        <f>IFERROR(__xludf.DUMMYFUNCTION("""COMPUTED_VALUE"""),1.0)</f>
        <v>1</v>
      </c>
      <c r="AN620" s="2" t="str">
        <f>IFERROR(__xludf.DUMMYFUNCTION("""COMPUTED_VALUE"""),"RCEF 23-09-21 Rebidding")</f>
        <v>RCEF 23-09-21 Rebidding</v>
      </c>
      <c r="AO620" s="2">
        <f>IFERROR(__xludf.DUMMYFUNCTION("""COMPUTED_VALUE"""),9.0)</f>
        <v>9</v>
      </c>
      <c r="AP620" s="2"/>
      <c r="AQ620" s="2"/>
      <c r="AR620" s="2"/>
      <c r="AS620" s="2"/>
      <c r="AT620" s="2"/>
      <c r="AU620" s="2"/>
      <c r="AV620" s="2"/>
      <c r="AW620" s="2"/>
      <c r="AX620" s="2"/>
      <c r="AY620" s="2"/>
      <c r="AZ620" s="2"/>
      <c r="BA620" s="2"/>
      <c r="BB620" s="2"/>
    </row>
    <row r="621">
      <c r="A621" s="2">
        <f>IFERROR(__xludf.DUMMYFUNCTION("""COMPUTED_VALUE"""),617.0)</f>
        <v>617</v>
      </c>
      <c r="B621" s="2" t="str">
        <f>IFERROR(__xludf.DUMMYFUNCTION("""COMPUTED_VALUE"""),"COMPLETED")</f>
        <v>COMPLETED</v>
      </c>
      <c r="C621" s="74">
        <f>IFERROR(__xludf.DUMMYFUNCTION("""COMPUTED_VALUE"""),45594.0)</f>
        <v>45594</v>
      </c>
      <c r="D621" s="71" t="str">
        <f>IFERROR(__xludf.DUMMYFUNCTION("""COMPUTED_VALUE"""),"San Pedro United Farmers Association")</f>
        <v>San Pedro United Farmers Association</v>
      </c>
      <c r="E621" s="71" t="str">
        <f>IFERROR(__xludf.DUMMYFUNCTION("""COMPUTED_VALUE"""),"San Pedro, Pilar, CAPIZ")</f>
        <v>San Pedro, Pilar, CAPIZ</v>
      </c>
      <c r="F621" s="2"/>
      <c r="G621" s="2"/>
      <c r="H621" s="2"/>
      <c r="I621" s="72" t="str">
        <f>IFERROR(__xludf.DUMMYFUNCTION("""COMPUTED_VALUE"""),"SPARE PARTS ACQUISITION")</f>
        <v>SPARE PARTS ACQUISITION</v>
      </c>
      <c r="J621" s="72" t="str">
        <f>IFERROR(__xludf.DUMMYFUNCTION("""COMPUTED_VALUE"""),"SPARE PARTS ACQUISITION")</f>
        <v>SPARE PARTS ACQUISITION</v>
      </c>
      <c r="K621" s="72" t="str">
        <f>IFERROR(__xludf.DUMMYFUNCTION("""COMPUTED_VALUE"""),"OIL FILTER")</f>
        <v>OIL FILTER</v>
      </c>
      <c r="L621" s="72" t="str">
        <f>IFERROR(__xludf.DUMMYFUNCTION("""COMPUTED_VALUE"""),"DELIVERED")</f>
        <v>DELIVERED</v>
      </c>
      <c r="M621" s="2"/>
      <c r="N621" s="2" t="str">
        <f>IFERROR(__xludf.DUMMYFUNCTION("""COMPUTED_VALUE"""),"PARTS: OIL FILTER")</f>
        <v>PARTS: OIL FILTER</v>
      </c>
      <c r="O621" s="2" t="str">
        <f>IFERROR(__xludf.DUMMYFUNCTION("""COMPUTED_VALUE"""),"N/A")</f>
        <v>N/A</v>
      </c>
      <c r="P621" s="2"/>
      <c r="Q621" s="2"/>
      <c r="R621" s="74">
        <f>IFERROR(__xludf.DUMMYFUNCTION("""COMPUTED_VALUE"""),45594.0)</f>
        <v>45594</v>
      </c>
      <c r="S621" s="2" t="str">
        <f>IFERROR(__xludf.DUMMYFUNCTION("""COMPUTED_VALUE"""),"CFG")</f>
        <v>CFG</v>
      </c>
      <c r="T621" s="73">
        <f>IFERROR(__xludf.DUMMYFUNCTION("""COMPUTED_VALUE"""),1533.0)</f>
        <v>1533</v>
      </c>
      <c r="U621" s="73" t="str">
        <f>IFERROR(__xludf.DUMMYFUNCTION("""COMPUTED_VALUE""")," REMITTED ")</f>
        <v>REMITTED</v>
      </c>
      <c r="V621" s="2"/>
      <c r="W621" s="2"/>
      <c r="X621" s="2">
        <f>IFERROR(__xludf.DUMMYFUNCTION("""COMPUTED_VALUE"""),1205.0)</f>
        <v>1205</v>
      </c>
      <c r="Y621" s="2"/>
      <c r="Z621" s="2"/>
      <c r="AA621" s="2"/>
      <c r="AB621" s="2"/>
      <c r="AC621" s="2"/>
      <c r="AD621" s="2"/>
      <c r="AE621" s="2"/>
      <c r="AF621" s="2"/>
      <c r="AG621" s="2"/>
      <c r="AH621" s="2"/>
      <c r="AI621" s="2"/>
      <c r="AJ621" s="2" t="str">
        <f>IFERROR(__xludf.DUMMYFUNCTION("""COMPUTED_VALUE"""),"San Pedro")</f>
        <v>San Pedro</v>
      </c>
      <c r="AK621" s="2" t="str">
        <f>IFERROR(__xludf.DUMMYFUNCTION("""COMPUTED_VALUE"""),"Pilar")</f>
        <v>Pilar</v>
      </c>
      <c r="AL621" s="2" t="str">
        <f>IFERROR(__xludf.DUMMYFUNCTION("""COMPUTED_VALUE"""),"Capiz")</f>
        <v>Capiz</v>
      </c>
      <c r="AM621" s="2">
        <f>IFERROR(__xludf.DUMMYFUNCTION("""COMPUTED_VALUE"""),6.0)</f>
        <v>6</v>
      </c>
      <c r="AN621" s="2" t="str">
        <f>IFERROR(__xludf.DUMMYFUNCTION("""COMPUTED_VALUE"""),"RCEF 23-09-21 Rebidding")</f>
        <v>RCEF 23-09-21 Rebidding</v>
      </c>
      <c r="AO621" s="2">
        <f>IFERROR(__xludf.DUMMYFUNCTION("""COMPUTED_VALUE"""),4.0)</f>
        <v>4</v>
      </c>
      <c r="AP621" s="2"/>
      <c r="AQ621" s="2"/>
      <c r="AR621" s="2"/>
      <c r="AS621" s="2"/>
      <c r="AT621" s="2"/>
      <c r="AU621" s="2"/>
      <c r="AV621" s="2"/>
      <c r="AW621" s="2"/>
      <c r="AX621" s="2"/>
      <c r="AY621" s="2"/>
      <c r="AZ621" s="2"/>
      <c r="BA621" s="2"/>
      <c r="BB621" s="2"/>
    </row>
    <row r="622">
      <c r="A622" s="2">
        <f>IFERROR(__xludf.DUMMYFUNCTION("""COMPUTED_VALUE"""),618.0)</f>
        <v>618</v>
      </c>
      <c r="B622" s="2" t="str">
        <f>IFERROR(__xludf.DUMMYFUNCTION("""COMPUTED_VALUE"""),"COMPLETED")</f>
        <v>COMPLETED</v>
      </c>
      <c r="C622" s="74">
        <f>IFERROR(__xludf.DUMMYFUNCTION("""COMPUTED_VALUE"""),45594.0)</f>
        <v>45594</v>
      </c>
      <c r="D622" s="71" t="str">
        <f>IFERROR(__xludf.DUMMYFUNCTION("""COMPUTED_VALUE"""),"BANGBANG FARMERS ASSOCIATION")</f>
        <v>BANGBANG FARMERS ASSOCIATION</v>
      </c>
      <c r="E622" s="71" t="str">
        <f>IFERROR(__xludf.DUMMYFUNCTION("""COMPUTED_VALUE"""),"Daga, Panay, CAPIZ")</f>
        <v>Daga, Panay, CAPIZ</v>
      </c>
      <c r="F622" s="2"/>
      <c r="G622" s="2"/>
      <c r="H622" s="2"/>
      <c r="I622" s="72" t="str">
        <f>IFERROR(__xludf.DUMMYFUNCTION("""COMPUTED_VALUE"""),"SPARE PARTS ACQUISITION")</f>
        <v>SPARE PARTS ACQUISITION</v>
      </c>
      <c r="J622" s="72" t="str">
        <f>IFERROR(__xludf.DUMMYFUNCTION("""COMPUTED_VALUE"""),"SPARE PARTS ACQUISITION")</f>
        <v>SPARE PARTS ACQUISITION</v>
      </c>
      <c r="K622" s="72" t="str">
        <f>IFERROR(__xludf.DUMMYFUNCTION("""COMPUTED_VALUE"""),"OIL FILTER")</f>
        <v>OIL FILTER</v>
      </c>
      <c r="L622" s="72" t="str">
        <f>IFERROR(__xludf.DUMMYFUNCTION("""COMPUTED_VALUE"""),"DELIVERED")</f>
        <v>DELIVERED</v>
      </c>
      <c r="M622" s="2"/>
      <c r="N622" s="2" t="str">
        <f>IFERROR(__xludf.DUMMYFUNCTION("""COMPUTED_VALUE"""),"PARTS: OIL FILTER")</f>
        <v>PARTS: OIL FILTER</v>
      </c>
      <c r="O622" s="2" t="str">
        <f>IFERROR(__xludf.DUMMYFUNCTION("""COMPUTED_VALUE"""),"N/A")</f>
        <v>N/A</v>
      </c>
      <c r="P622" s="2"/>
      <c r="Q622" s="2"/>
      <c r="R622" s="74">
        <f>IFERROR(__xludf.DUMMYFUNCTION("""COMPUTED_VALUE"""),45594.0)</f>
        <v>45594</v>
      </c>
      <c r="S622" s="2" t="str">
        <f>IFERROR(__xludf.DUMMYFUNCTION("""COMPUTED_VALUE"""),"CFG")</f>
        <v>CFG</v>
      </c>
      <c r="T622" s="73">
        <f>IFERROR(__xludf.DUMMYFUNCTION("""COMPUTED_VALUE"""),1533.0)</f>
        <v>1533</v>
      </c>
      <c r="U622" s="73" t="str">
        <f>IFERROR(__xludf.DUMMYFUNCTION("""COMPUTED_VALUE""")," REMITTED ")</f>
        <v>REMITTED</v>
      </c>
      <c r="V622" s="2"/>
      <c r="W622" s="2"/>
      <c r="X622" s="2">
        <f>IFERROR(__xludf.DUMMYFUNCTION("""COMPUTED_VALUE"""),1204.0)</f>
        <v>1204</v>
      </c>
      <c r="Y622" s="2"/>
      <c r="Z622" s="2"/>
      <c r="AA622" s="2"/>
      <c r="AB622" s="2"/>
      <c r="AC622" s="2"/>
      <c r="AD622" s="2"/>
      <c r="AE622" s="2"/>
      <c r="AF622" s="2"/>
      <c r="AG622" s="2"/>
      <c r="AH622" s="2"/>
      <c r="AI622" s="2"/>
      <c r="AJ622" s="2" t="str">
        <f>IFERROR(__xludf.DUMMYFUNCTION("""COMPUTED_VALUE"""),"Daga")</f>
        <v>Daga</v>
      </c>
      <c r="AK622" s="2" t="str">
        <f>IFERROR(__xludf.DUMMYFUNCTION("""COMPUTED_VALUE"""),"Panay")</f>
        <v>Panay</v>
      </c>
      <c r="AL622" s="2" t="str">
        <f>IFERROR(__xludf.DUMMYFUNCTION("""COMPUTED_VALUE"""),"Capiz")</f>
        <v>Capiz</v>
      </c>
      <c r="AM622" s="2">
        <f>IFERROR(__xludf.DUMMYFUNCTION("""COMPUTED_VALUE"""),6.0)</f>
        <v>6</v>
      </c>
      <c r="AN622" s="2" t="str">
        <f>IFERROR(__xludf.DUMMYFUNCTION("""COMPUTED_VALUE"""),"RCEF 23-09-21 Rebidding")</f>
        <v>RCEF 23-09-21 Rebidding</v>
      </c>
      <c r="AO622" s="2">
        <f>IFERROR(__xludf.DUMMYFUNCTION("""COMPUTED_VALUE"""),4.0)</f>
        <v>4</v>
      </c>
      <c r="AP622" s="2"/>
      <c r="AQ622" s="2"/>
      <c r="AR622" s="2"/>
      <c r="AS622" s="2"/>
      <c r="AT622" s="2"/>
      <c r="AU622" s="2"/>
      <c r="AV622" s="2"/>
      <c r="AW622" s="2"/>
      <c r="AX622" s="2"/>
      <c r="AY622" s="2"/>
      <c r="AZ622" s="2"/>
      <c r="BA622" s="2"/>
      <c r="BB622" s="2"/>
    </row>
    <row r="623">
      <c r="A623" s="2">
        <f>IFERROR(__xludf.DUMMYFUNCTION("""COMPUTED_VALUE"""),619.0)</f>
        <v>619</v>
      </c>
      <c r="B623" s="2" t="str">
        <f>IFERROR(__xludf.DUMMYFUNCTION("""COMPUTED_VALUE"""),"COMPLETED")</f>
        <v>COMPLETED</v>
      </c>
      <c r="C623" s="74">
        <f>IFERROR(__xludf.DUMMYFUNCTION("""COMPUTED_VALUE"""),45594.0)</f>
        <v>45594</v>
      </c>
      <c r="D623" s="71" t="str">
        <f>IFERROR(__xludf.DUMMYFUNCTION("""COMPUTED_VALUE"""),"San Jose Farmers and Workers Association (SJFWA)")</f>
        <v>San Jose Farmers and Workers Association (SJFWA)</v>
      </c>
      <c r="E623" s="71" t="str">
        <f>IFERROR(__xludf.DUMMYFUNCTION("""COMPUTED_VALUE"""),"San Jose, Roxas City, CAPIZ")</f>
        <v>San Jose, Roxas City, CAPIZ</v>
      </c>
      <c r="F623" s="2"/>
      <c r="G623" s="2"/>
      <c r="H623" s="2"/>
      <c r="I623" s="72" t="str">
        <f>IFERROR(__xludf.DUMMYFUNCTION("""COMPUTED_VALUE"""),"SPARE PARTS ACQUISITION")</f>
        <v>SPARE PARTS ACQUISITION</v>
      </c>
      <c r="J623" s="72" t="str">
        <f>IFERROR(__xludf.DUMMYFUNCTION("""COMPUTED_VALUE"""),"SPARE PARTS ACQUISITION")</f>
        <v>SPARE PARTS ACQUISITION</v>
      </c>
      <c r="K623" s="72" t="str">
        <f>IFERROR(__xludf.DUMMYFUNCTION("""COMPUTED_VALUE"""),"OIL FILTER")</f>
        <v>OIL FILTER</v>
      </c>
      <c r="L623" s="72" t="str">
        <f>IFERROR(__xludf.DUMMYFUNCTION("""COMPUTED_VALUE"""),"DELIVERED")</f>
        <v>DELIVERED</v>
      </c>
      <c r="M623" s="2"/>
      <c r="N623" s="2" t="str">
        <f>IFERROR(__xludf.DUMMYFUNCTION("""COMPUTED_VALUE"""),"PARTS: OIL FILTER")</f>
        <v>PARTS: OIL FILTER</v>
      </c>
      <c r="O623" s="2" t="str">
        <f>IFERROR(__xludf.DUMMYFUNCTION("""COMPUTED_VALUE"""),"N/A")</f>
        <v>N/A</v>
      </c>
      <c r="P623" s="2"/>
      <c r="Q623" s="2"/>
      <c r="R623" s="74">
        <f>IFERROR(__xludf.DUMMYFUNCTION("""COMPUTED_VALUE"""),45594.0)</f>
        <v>45594</v>
      </c>
      <c r="S623" s="2" t="str">
        <f>IFERROR(__xludf.DUMMYFUNCTION("""COMPUTED_VALUE"""),"CFG")</f>
        <v>CFG</v>
      </c>
      <c r="T623" s="73">
        <f>IFERROR(__xludf.DUMMYFUNCTION("""COMPUTED_VALUE"""),1533.0)</f>
        <v>1533</v>
      </c>
      <c r="U623" s="73" t="str">
        <f>IFERROR(__xludf.DUMMYFUNCTION("""COMPUTED_VALUE""")," REMITTED ")</f>
        <v>REMITTED</v>
      </c>
      <c r="V623" s="2"/>
      <c r="W623" s="2"/>
      <c r="X623" s="2">
        <f>IFERROR(__xludf.DUMMYFUNCTION("""COMPUTED_VALUE"""),1202.0)</f>
        <v>1202</v>
      </c>
      <c r="Y623" s="2"/>
      <c r="Z623" s="2"/>
      <c r="AA623" s="2"/>
      <c r="AB623" s="2"/>
      <c r="AC623" s="2"/>
      <c r="AD623" s="2"/>
      <c r="AE623" s="2"/>
      <c r="AF623" s="2"/>
      <c r="AG623" s="2"/>
      <c r="AH623" s="2"/>
      <c r="AI623" s="2"/>
      <c r="AJ623" s="2" t="str">
        <f>IFERROR(__xludf.DUMMYFUNCTION("""COMPUTED_VALUE"""),"San Jose")</f>
        <v>San Jose</v>
      </c>
      <c r="AK623" s="2" t="str">
        <f>IFERROR(__xludf.DUMMYFUNCTION("""COMPUTED_VALUE"""),"Roxas City")</f>
        <v>Roxas City</v>
      </c>
      <c r="AL623" s="2" t="str">
        <f>IFERROR(__xludf.DUMMYFUNCTION("""COMPUTED_VALUE"""),"Capiz")</f>
        <v>Capiz</v>
      </c>
      <c r="AM623" s="2">
        <f>IFERROR(__xludf.DUMMYFUNCTION("""COMPUTED_VALUE"""),6.0)</f>
        <v>6</v>
      </c>
      <c r="AN623" s="2" t="str">
        <f>IFERROR(__xludf.DUMMYFUNCTION("""COMPUTED_VALUE"""),"RCEF 23-09-21 Rebidding")</f>
        <v>RCEF 23-09-21 Rebidding</v>
      </c>
      <c r="AO623" s="2">
        <f>IFERROR(__xludf.DUMMYFUNCTION("""COMPUTED_VALUE"""),4.0)</f>
        <v>4</v>
      </c>
      <c r="AP623" s="2"/>
      <c r="AQ623" s="2"/>
      <c r="AR623" s="2"/>
      <c r="AS623" s="2"/>
      <c r="AT623" s="2"/>
      <c r="AU623" s="2"/>
      <c r="AV623" s="2"/>
      <c r="AW623" s="2"/>
      <c r="AX623" s="2"/>
      <c r="AY623" s="2"/>
      <c r="AZ623" s="2"/>
      <c r="BA623" s="2"/>
      <c r="BB623" s="2"/>
    </row>
    <row r="624">
      <c r="A624" s="2">
        <f>IFERROR(__xludf.DUMMYFUNCTION("""COMPUTED_VALUE"""),620.0)</f>
        <v>620</v>
      </c>
      <c r="B624" s="2" t="str">
        <f>IFERROR(__xludf.DUMMYFUNCTION("""COMPUTED_VALUE"""),"COMPLETED")</f>
        <v>COMPLETED</v>
      </c>
      <c r="C624" s="74">
        <f>IFERROR(__xludf.DUMMYFUNCTION("""COMPUTED_VALUE"""),45594.0)</f>
        <v>45594</v>
      </c>
      <c r="D624" s="71" t="str">
        <f>IFERROR(__xludf.DUMMYFUNCTION("""COMPUTED_VALUE"""),"Pili Farmers Association")</f>
        <v>Pili Farmers Association</v>
      </c>
      <c r="E624" s="71" t="str">
        <f>IFERROR(__xludf.DUMMYFUNCTION("""COMPUTED_VALUE"""),"Pili, Ajuy, ILOILO")</f>
        <v>Pili, Ajuy, ILOILO</v>
      </c>
      <c r="F624" s="2"/>
      <c r="G624" s="2"/>
      <c r="H624" s="2"/>
      <c r="I624" s="72" t="str">
        <f>IFERROR(__xludf.DUMMYFUNCTION("""COMPUTED_VALUE"""),"SPARE PARTS ACQUISITION")</f>
        <v>SPARE PARTS ACQUISITION</v>
      </c>
      <c r="J624" s="72" t="str">
        <f>IFERROR(__xludf.DUMMYFUNCTION("""COMPUTED_VALUE"""),"SPARE PARTS ACQUISITION")</f>
        <v>SPARE PARTS ACQUISITION</v>
      </c>
      <c r="K624" s="72" t="str">
        <f>IFERROR(__xludf.DUMMYFUNCTION("""COMPUTED_VALUE"""),"HYDRAULIC FILTER")</f>
        <v>HYDRAULIC FILTER</v>
      </c>
      <c r="L624" s="72" t="str">
        <f>IFERROR(__xludf.DUMMYFUNCTION("""COMPUTED_VALUE"""),"DELIVERED")</f>
        <v>DELIVERED</v>
      </c>
      <c r="M624" s="2"/>
      <c r="N624" s="2" t="str">
        <f>IFERROR(__xludf.DUMMYFUNCTION("""COMPUTED_VALUE"""),"PARTS: HYDRAULIC FILTER")</f>
        <v>PARTS: HYDRAULIC FILTER</v>
      </c>
      <c r="O624" s="2" t="str">
        <f>IFERROR(__xludf.DUMMYFUNCTION("""COMPUTED_VALUE"""),"N/A")</f>
        <v>N/A</v>
      </c>
      <c r="P624" s="2"/>
      <c r="Q624" s="2"/>
      <c r="R624" s="74">
        <f>IFERROR(__xludf.DUMMYFUNCTION("""COMPUTED_VALUE"""),45594.0)</f>
        <v>45594</v>
      </c>
      <c r="S624" s="2" t="str">
        <f>IFERROR(__xludf.DUMMYFUNCTION("""COMPUTED_VALUE"""),"CFG")</f>
        <v>CFG</v>
      </c>
      <c r="T624" s="73">
        <f>IFERROR(__xludf.DUMMYFUNCTION("""COMPUTED_VALUE"""),2748.0)</f>
        <v>2748</v>
      </c>
      <c r="U624" s="73" t="str">
        <f>IFERROR(__xludf.DUMMYFUNCTION("""COMPUTED_VALUE""")," REMITTED ")</f>
        <v>REMITTED</v>
      </c>
      <c r="V624" s="2"/>
      <c r="W624" s="2"/>
      <c r="X624" s="2">
        <f>IFERROR(__xludf.DUMMYFUNCTION("""COMPUTED_VALUE"""),1201.0)</f>
        <v>1201</v>
      </c>
      <c r="Y624" s="2"/>
      <c r="Z624" s="2"/>
      <c r="AA624" s="2"/>
      <c r="AB624" s="2"/>
      <c r="AC624" s="2"/>
      <c r="AD624" s="2"/>
      <c r="AE624" s="2"/>
      <c r="AF624" s="2"/>
      <c r="AG624" s="2"/>
      <c r="AH624" s="2"/>
      <c r="AI624" s="2"/>
      <c r="AJ624" s="2" t="str">
        <f>IFERROR(__xludf.DUMMYFUNCTION("""COMPUTED_VALUE"""),"Pili")</f>
        <v>Pili</v>
      </c>
      <c r="AK624" s="2" t="str">
        <f>IFERROR(__xludf.DUMMYFUNCTION("""COMPUTED_VALUE"""),"Ajuy")</f>
        <v>Ajuy</v>
      </c>
      <c r="AL624" s="2" t="str">
        <f>IFERROR(__xludf.DUMMYFUNCTION("""COMPUTED_VALUE"""),"Iloilo")</f>
        <v>Iloilo</v>
      </c>
      <c r="AM624" s="2">
        <f>IFERROR(__xludf.DUMMYFUNCTION("""COMPUTED_VALUE"""),6.0)</f>
        <v>6</v>
      </c>
      <c r="AN624" s="2" t="str">
        <f>IFERROR(__xludf.DUMMYFUNCTION("""COMPUTED_VALUE"""),"RCEF 23-09-21 Rebidding")</f>
        <v>RCEF 23-09-21 Rebidding</v>
      </c>
      <c r="AO624" s="2">
        <f>IFERROR(__xludf.DUMMYFUNCTION("""COMPUTED_VALUE"""),4.0)</f>
        <v>4</v>
      </c>
      <c r="AP624" s="2"/>
      <c r="AQ624" s="2"/>
      <c r="AR624" s="2"/>
      <c r="AS624" s="2"/>
      <c r="AT624" s="2"/>
      <c r="AU624" s="2"/>
      <c r="AV624" s="2"/>
      <c r="AW624" s="2"/>
      <c r="AX624" s="2"/>
      <c r="AY624" s="2"/>
      <c r="AZ624" s="2"/>
      <c r="BA624" s="2"/>
      <c r="BB624" s="2"/>
    </row>
    <row r="625">
      <c r="A625" s="2">
        <f>IFERROR(__xludf.DUMMYFUNCTION("""COMPUTED_VALUE"""),621.0)</f>
        <v>621</v>
      </c>
      <c r="B625" s="2" t="str">
        <f>IFERROR(__xludf.DUMMYFUNCTION("""COMPUTED_VALUE"""),"COMPLETED")</f>
        <v>COMPLETED</v>
      </c>
      <c r="C625" s="74">
        <f>IFERROR(__xludf.DUMMYFUNCTION("""COMPUTED_VALUE"""),45594.0)</f>
        <v>45594</v>
      </c>
      <c r="D625" s="71" t="str">
        <f>IFERROR(__xludf.DUMMYFUNCTION("""COMPUTED_VALUE"""),"SAN ANDRES FARMERS ASSOCIATION")</f>
        <v>SAN ANDRES FARMERS ASSOCIATION</v>
      </c>
      <c r="E625" s="71" t="str">
        <f>IFERROR(__xludf.DUMMYFUNCTION("""COMPUTED_VALUE"""),"San Andres, San Rafael, ILOILO")</f>
        <v>San Andres, San Rafael, ILOILO</v>
      </c>
      <c r="F625" s="2"/>
      <c r="G625" s="2"/>
      <c r="H625" s="2"/>
      <c r="I625" s="72" t="str">
        <f>IFERROR(__xludf.DUMMYFUNCTION("""COMPUTED_VALUE"""),"SPARE PARTS ACQUISITION")</f>
        <v>SPARE PARTS ACQUISITION</v>
      </c>
      <c r="J625" s="72" t="str">
        <f>IFERROR(__xludf.DUMMYFUNCTION("""COMPUTED_VALUE"""),"SPARE PARTS ACQUISITION")</f>
        <v>SPARE PARTS ACQUISITION</v>
      </c>
      <c r="K625" s="72" t="str">
        <f>IFERROR(__xludf.DUMMYFUNCTION("""COMPUTED_VALUE"""),"HYDRAULIC FILTER")</f>
        <v>HYDRAULIC FILTER</v>
      </c>
      <c r="L625" s="72" t="str">
        <f>IFERROR(__xludf.DUMMYFUNCTION("""COMPUTED_VALUE"""),"DELIVERED")</f>
        <v>DELIVERED</v>
      </c>
      <c r="M625" s="2"/>
      <c r="N625" s="2" t="str">
        <f>IFERROR(__xludf.DUMMYFUNCTION("""COMPUTED_VALUE"""),"PARTS: HYDRAULIC FILTER")</f>
        <v>PARTS: HYDRAULIC FILTER</v>
      </c>
      <c r="O625" s="2" t="str">
        <f>IFERROR(__xludf.DUMMYFUNCTION("""COMPUTED_VALUE"""),"N/A")</f>
        <v>N/A</v>
      </c>
      <c r="P625" s="2"/>
      <c r="Q625" s="2"/>
      <c r="R625" s="74">
        <f>IFERROR(__xludf.DUMMYFUNCTION("""COMPUTED_VALUE"""),45594.0)</f>
        <v>45594</v>
      </c>
      <c r="S625" s="2" t="str">
        <f>IFERROR(__xludf.DUMMYFUNCTION("""COMPUTED_VALUE"""),"CFG")</f>
        <v>CFG</v>
      </c>
      <c r="T625" s="73">
        <f>IFERROR(__xludf.DUMMYFUNCTION("""COMPUTED_VALUE"""),2748.0)</f>
        <v>2748</v>
      </c>
      <c r="U625" s="73" t="str">
        <f>IFERROR(__xludf.DUMMYFUNCTION("""COMPUTED_VALUE""")," REMITTED ")</f>
        <v>REMITTED</v>
      </c>
      <c r="V625" s="2"/>
      <c r="W625" s="2"/>
      <c r="X625" s="2">
        <f>IFERROR(__xludf.DUMMYFUNCTION("""COMPUTED_VALUE"""),1200.0)</f>
        <v>1200</v>
      </c>
      <c r="Y625" s="2"/>
      <c r="Z625" s="2"/>
      <c r="AA625" s="2"/>
      <c r="AB625" s="2"/>
      <c r="AC625" s="2"/>
      <c r="AD625" s="2"/>
      <c r="AE625" s="2"/>
      <c r="AF625" s="2"/>
      <c r="AG625" s="2"/>
      <c r="AH625" s="2"/>
      <c r="AI625" s="2"/>
      <c r="AJ625" s="2" t="str">
        <f>IFERROR(__xludf.DUMMYFUNCTION("""COMPUTED_VALUE"""),"San Andres")</f>
        <v>San Andres</v>
      </c>
      <c r="AK625" s="2" t="str">
        <f>IFERROR(__xludf.DUMMYFUNCTION("""COMPUTED_VALUE"""),"San Rafael")</f>
        <v>San Rafael</v>
      </c>
      <c r="AL625" s="2" t="str">
        <f>IFERROR(__xludf.DUMMYFUNCTION("""COMPUTED_VALUE"""),"Iloilo")</f>
        <v>Iloilo</v>
      </c>
      <c r="AM625" s="2">
        <f>IFERROR(__xludf.DUMMYFUNCTION("""COMPUTED_VALUE"""),6.0)</f>
        <v>6</v>
      </c>
      <c r="AN625" s="2" t="str">
        <f>IFERROR(__xludf.DUMMYFUNCTION("""COMPUTED_VALUE"""),"RCEF 23-09-21 Rebidding")</f>
        <v>RCEF 23-09-21 Rebidding</v>
      </c>
      <c r="AO625" s="2">
        <f>IFERROR(__xludf.DUMMYFUNCTION("""COMPUTED_VALUE"""),4.0)</f>
        <v>4</v>
      </c>
      <c r="AP625" s="2"/>
      <c r="AQ625" s="2"/>
      <c r="AR625" s="2"/>
      <c r="AS625" s="2"/>
      <c r="AT625" s="2"/>
      <c r="AU625" s="2"/>
      <c r="AV625" s="2"/>
      <c r="AW625" s="2"/>
      <c r="AX625" s="2"/>
      <c r="AY625" s="2"/>
      <c r="AZ625" s="2"/>
      <c r="BA625" s="2"/>
      <c r="BB625" s="2"/>
    </row>
    <row r="626">
      <c r="A626" s="2">
        <f>IFERROR(__xludf.DUMMYFUNCTION("""COMPUTED_VALUE"""),622.0)</f>
        <v>622</v>
      </c>
      <c r="B626" s="2" t="str">
        <f>IFERROR(__xludf.DUMMYFUNCTION("""COMPUTED_VALUE"""),"COMPLETED")</f>
        <v>COMPLETED</v>
      </c>
      <c r="C626" s="74">
        <f>IFERROR(__xludf.DUMMYFUNCTION("""COMPUTED_VALUE"""),45594.0)</f>
        <v>45594</v>
      </c>
      <c r="D626" s="71" t="str">
        <f>IFERROR(__xludf.DUMMYFUNCTION("""COMPUTED_VALUE"""),"SOSABU IRRIGATORS' ASSOCIATION, INC.")</f>
        <v>SOSABU IRRIGATORS' ASSOCIATION, INC.</v>
      </c>
      <c r="E626" s="71" t="str">
        <f>IFERROR(__xludf.DUMMYFUNCTION("""COMPUTED_VALUE"""),"Bungca, Barotac Nuevo, ILOILO")</f>
        <v>Bungca, Barotac Nuevo, ILOILO</v>
      </c>
      <c r="F626" s="2"/>
      <c r="G626" s="2"/>
      <c r="H626" s="2"/>
      <c r="I626" s="72" t="str">
        <f>IFERROR(__xludf.DUMMYFUNCTION("""COMPUTED_VALUE"""),"SPARE PARTS ACQUISITION")</f>
        <v>SPARE PARTS ACQUISITION</v>
      </c>
      <c r="J626" s="72" t="str">
        <f>IFERROR(__xludf.DUMMYFUNCTION("""COMPUTED_VALUE"""),"SPARE PARTS ACQUISITION")</f>
        <v>SPARE PARTS ACQUISITION</v>
      </c>
      <c r="K626" s="72" t="str">
        <f>IFERROR(__xludf.DUMMYFUNCTION("""COMPUTED_VALUE"""),"HYDRAULIC FILTER")</f>
        <v>HYDRAULIC FILTER</v>
      </c>
      <c r="L626" s="72" t="str">
        <f>IFERROR(__xludf.DUMMYFUNCTION("""COMPUTED_VALUE"""),"DELIVERED")</f>
        <v>DELIVERED</v>
      </c>
      <c r="M626" s="2"/>
      <c r="N626" s="2" t="str">
        <f>IFERROR(__xludf.DUMMYFUNCTION("""COMPUTED_VALUE"""),"PARTS: HYDRAULIC FILTER")</f>
        <v>PARTS: HYDRAULIC FILTER</v>
      </c>
      <c r="O626" s="2" t="str">
        <f>IFERROR(__xludf.DUMMYFUNCTION("""COMPUTED_VALUE"""),"N/A")</f>
        <v>N/A</v>
      </c>
      <c r="P626" s="2"/>
      <c r="Q626" s="2"/>
      <c r="R626" s="74">
        <f>IFERROR(__xludf.DUMMYFUNCTION("""COMPUTED_VALUE"""),45594.0)</f>
        <v>45594</v>
      </c>
      <c r="S626" s="2" t="str">
        <f>IFERROR(__xludf.DUMMYFUNCTION("""COMPUTED_VALUE"""),"CFG")</f>
        <v>CFG</v>
      </c>
      <c r="T626" s="73">
        <f>IFERROR(__xludf.DUMMYFUNCTION("""COMPUTED_VALUE"""),2748.0)</f>
        <v>2748</v>
      </c>
      <c r="U626" s="73" t="str">
        <f>IFERROR(__xludf.DUMMYFUNCTION("""COMPUTED_VALUE""")," REMITTED ")</f>
        <v>REMITTED</v>
      </c>
      <c r="V626" s="2"/>
      <c r="W626" s="2"/>
      <c r="X626" s="2">
        <f>IFERROR(__xludf.DUMMYFUNCTION("""COMPUTED_VALUE"""),1199.0)</f>
        <v>1199</v>
      </c>
      <c r="Y626" s="2"/>
      <c r="Z626" s="2"/>
      <c r="AA626" s="2"/>
      <c r="AB626" s="2"/>
      <c r="AC626" s="2"/>
      <c r="AD626" s="2"/>
      <c r="AE626" s="2"/>
      <c r="AF626" s="2"/>
      <c r="AG626" s="2"/>
      <c r="AH626" s="2"/>
      <c r="AI626" s="2"/>
      <c r="AJ626" s="2" t="str">
        <f>IFERROR(__xludf.DUMMYFUNCTION("""COMPUTED_VALUE"""),"Bungca")</f>
        <v>Bungca</v>
      </c>
      <c r="AK626" s="2" t="str">
        <f>IFERROR(__xludf.DUMMYFUNCTION("""COMPUTED_VALUE"""),"Barotac Nuevo")</f>
        <v>Barotac Nuevo</v>
      </c>
      <c r="AL626" s="2" t="str">
        <f>IFERROR(__xludf.DUMMYFUNCTION("""COMPUTED_VALUE"""),"Iloilo")</f>
        <v>Iloilo</v>
      </c>
      <c r="AM626" s="2">
        <f>IFERROR(__xludf.DUMMYFUNCTION("""COMPUTED_VALUE"""),6.0)</f>
        <v>6</v>
      </c>
      <c r="AN626" s="2" t="str">
        <f>IFERROR(__xludf.DUMMYFUNCTION("""COMPUTED_VALUE"""),"RCEF 23-09-21 Rebidding")</f>
        <v>RCEF 23-09-21 Rebidding</v>
      </c>
      <c r="AO626" s="2">
        <f>IFERROR(__xludf.DUMMYFUNCTION("""COMPUTED_VALUE"""),4.0)</f>
        <v>4</v>
      </c>
      <c r="AP626" s="2"/>
      <c r="AQ626" s="2"/>
      <c r="AR626" s="2"/>
      <c r="AS626" s="2"/>
      <c r="AT626" s="2"/>
      <c r="AU626" s="2"/>
      <c r="AV626" s="2"/>
      <c r="AW626" s="2"/>
      <c r="AX626" s="2"/>
      <c r="AY626" s="2"/>
      <c r="AZ626" s="2"/>
      <c r="BA626" s="2"/>
      <c r="BB626" s="2"/>
    </row>
    <row r="627">
      <c r="A627" s="2">
        <f>IFERROR(__xludf.DUMMYFUNCTION("""COMPUTED_VALUE"""),623.0)</f>
        <v>623</v>
      </c>
      <c r="B627" s="2" t="str">
        <f>IFERROR(__xludf.DUMMYFUNCTION("""COMPUTED_VALUE"""),"COMPLETED")</f>
        <v>COMPLETED</v>
      </c>
      <c r="C627" s="74">
        <f>IFERROR(__xludf.DUMMYFUNCTION("""COMPUTED_VALUE"""),45594.0)</f>
        <v>45594</v>
      </c>
      <c r="D627" s="71" t="str">
        <f>IFERROR(__xludf.DUMMYFUNCTION("""COMPUTED_VALUE"""),"Talanghauan Farmers Association")</f>
        <v>Talanghauan Farmers Association</v>
      </c>
      <c r="E627" s="71" t="str">
        <f>IFERROR(__xludf.DUMMYFUNCTION("""COMPUTED_VALUE"""),"Talanghauan, Cabatuan, ILOILO")</f>
        <v>Talanghauan, Cabatuan, ILOILO</v>
      </c>
      <c r="F627" s="2"/>
      <c r="G627" s="2"/>
      <c r="H627" s="2"/>
      <c r="I627" s="72" t="str">
        <f>IFERROR(__xludf.DUMMYFUNCTION("""COMPUTED_VALUE"""),"SPARE PARTS ACQUISITION")</f>
        <v>SPARE PARTS ACQUISITION</v>
      </c>
      <c r="J627" s="72" t="str">
        <f>IFERROR(__xludf.DUMMYFUNCTION("""COMPUTED_VALUE"""),"SPARE PARTS ACQUISITION")</f>
        <v>SPARE PARTS ACQUISITION</v>
      </c>
      <c r="K627" s="72" t="str">
        <f>IFERROR(__xludf.DUMMYFUNCTION("""COMPUTED_VALUE"""),"OIL FILTER")</f>
        <v>OIL FILTER</v>
      </c>
      <c r="L627" s="72" t="str">
        <f>IFERROR(__xludf.DUMMYFUNCTION("""COMPUTED_VALUE"""),"DELIVERED")</f>
        <v>DELIVERED</v>
      </c>
      <c r="M627" s="2"/>
      <c r="N627" s="2" t="str">
        <f>IFERROR(__xludf.DUMMYFUNCTION("""COMPUTED_VALUE"""),"PARTS: OIL FILTER")</f>
        <v>PARTS: OIL FILTER</v>
      </c>
      <c r="O627" s="2" t="str">
        <f>IFERROR(__xludf.DUMMYFUNCTION("""COMPUTED_VALUE"""),"N/A")</f>
        <v>N/A</v>
      </c>
      <c r="P627" s="2"/>
      <c r="Q627" s="2"/>
      <c r="R627" s="74">
        <f>IFERROR(__xludf.DUMMYFUNCTION("""COMPUTED_VALUE"""),45594.0)</f>
        <v>45594</v>
      </c>
      <c r="S627" s="2" t="str">
        <f>IFERROR(__xludf.DUMMYFUNCTION("""COMPUTED_VALUE"""),"CFG")</f>
        <v>CFG</v>
      </c>
      <c r="T627" s="73">
        <f>IFERROR(__xludf.DUMMYFUNCTION("""COMPUTED_VALUE"""),1533.0)</f>
        <v>1533</v>
      </c>
      <c r="U627" s="73" t="str">
        <f>IFERROR(__xludf.DUMMYFUNCTION("""COMPUTED_VALUE""")," REMITTED ")</f>
        <v>REMITTED</v>
      </c>
      <c r="V627" s="2"/>
      <c r="W627" s="2"/>
      <c r="X627" s="2">
        <f>IFERROR(__xludf.DUMMYFUNCTION("""COMPUTED_VALUE"""),1199.0)</f>
        <v>1199</v>
      </c>
      <c r="Y627" s="2"/>
      <c r="Z627" s="2"/>
      <c r="AA627" s="2"/>
      <c r="AB627" s="2"/>
      <c r="AC627" s="2"/>
      <c r="AD627" s="2"/>
      <c r="AE627" s="2"/>
      <c r="AF627" s="2"/>
      <c r="AG627" s="2"/>
      <c r="AH627" s="2"/>
      <c r="AI627" s="2"/>
      <c r="AJ627" s="2" t="str">
        <f>IFERROR(__xludf.DUMMYFUNCTION("""COMPUTED_VALUE"""),"Talanghauan")</f>
        <v>Talanghauan</v>
      </c>
      <c r="AK627" s="2" t="str">
        <f>IFERROR(__xludf.DUMMYFUNCTION("""COMPUTED_VALUE"""),"Cabatuan")</f>
        <v>Cabatuan</v>
      </c>
      <c r="AL627" s="2" t="str">
        <f>IFERROR(__xludf.DUMMYFUNCTION("""COMPUTED_VALUE"""),"Iloilo")</f>
        <v>Iloilo</v>
      </c>
      <c r="AM627" s="2">
        <f>IFERROR(__xludf.DUMMYFUNCTION("""COMPUTED_VALUE"""),6.0)</f>
        <v>6</v>
      </c>
      <c r="AN627" s="2" t="str">
        <f>IFERROR(__xludf.DUMMYFUNCTION("""COMPUTED_VALUE"""),"RCEF 23-09-21 Rebidding")</f>
        <v>RCEF 23-09-21 Rebidding</v>
      </c>
      <c r="AO627" s="2">
        <f>IFERROR(__xludf.DUMMYFUNCTION("""COMPUTED_VALUE"""),4.0)</f>
        <v>4</v>
      </c>
      <c r="AP627" s="2"/>
      <c r="AQ627" s="2"/>
      <c r="AR627" s="2"/>
      <c r="AS627" s="2"/>
      <c r="AT627" s="2"/>
      <c r="AU627" s="2"/>
      <c r="AV627" s="2"/>
      <c r="AW627" s="2"/>
      <c r="AX627" s="2"/>
      <c r="AY627" s="2"/>
      <c r="AZ627" s="2"/>
      <c r="BA627" s="2"/>
      <c r="BB627" s="2"/>
    </row>
    <row r="628">
      <c r="A628" s="2">
        <f>IFERROR(__xludf.DUMMYFUNCTION("""COMPUTED_VALUE"""),624.0)</f>
        <v>624</v>
      </c>
      <c r="B628" s="2" t="str">
        <f>IFERROR(__xludf.DUMMYFUNCTION("""COMPUTED_VALUE"""),"COMPLETED")</f>
        <v>COMPLETED</v>
      </c>
      <c r="C628" s="74">
        <f>IFERROR(__xludf.DUMMYFUNCTION("""COMPUTED_VALUE"""),45594.0)</f>
        <v>45594</v>
      </c>
      <c r="D628" s="71" t="str">
        <f>IFERROR(__xludf.DUMMYFUNCTION("""COMPUTED_VALUE"""),"Cabilauan Farmers Association")</f>
        <v>Cabilauan Farmers Association</v>
      </c>
      <c r="E628" s="71" t="str">
        <f>IFERROR(__xludf.DUMMYFUNCTION("""COMPUTED_VALUE"""),"Cabilauan, New Lucena, ILOILO")</f>
        <v>Cabilauan, New Lucena, ILOILO</v>
      </c>
      <c r="F628" s="2"/>
      <c r="G628" s="2"/>
      <c r="H628" s="2"/>
      <c r="I628" s="72" t="str">
        <f>IFERROR(__xludf.DUMMYFUNCTION("""COMPUTED_VALUE"""),"SPARE PARTS ACQUISITION")</f>
        <v>SPARE PARTS ACQUISITION</v>
      </c>
      <c r="J628" s="72" t="str">
        <f>IFERROR(__xludf.DUMMYFUNCTION("""COMPUTED_VALUE"""),"SPARE PARTS ACQUISITION")</f>
        <v>SPARE PARTS ACQUISITION</v>
      </c>
      <c r="K628" s="72" t="str">
        <f>IFERROR(__xludf.DUMMYFUNCTION("""COMPUTED_VALUE"""),"HYDRAULIC FILTER")</f>
        <v>HYDRAULIC FILTER</v>
      </c>
      <c r="L628" s="72" t="str">
        <f>IFERROR(__xludf.DUMMYFUNCTION("""COMPUTED_VALUE"""),"DELIVERED")</f>
        <v>DELIVERED</v>
      </c>
      <c r="M628" s="2"/>
      <c r="N628" s="2" t="str">
        <f>IFERROR(__xludf.DUMMYFUNCTION("""COMPUTED_VALUE"""),"PARTS: HYDRAULIC FILTER")</f>
        <v>PARTS: HYDRAULIC FILTER</v>
      </c>
      <c r="O628" s="2" t="str">
        <f>IFERROR(__xludf.DUMMYFUNCTION("""COMPUTED_VALUE"""),"N/A")</f>
        <v>N/A</v>
      </c>
      <c r="P628" s="2"/>
      <c r="Q628" s="2"/>
      <c r="R628" s="74">
        <f>IFERROR(__xludf.DUMMYFUNCTION("""COMPUTED_VALUE"""),45594.0)</f>
        <v>45594</v>
      </c>
      <c r="S628" s="2" t="str">
        <f>IFERROR(__xludf.DUMMYFUNCTION("""COMPUTED_VALUE"""),"CFG")</f>
        <v>CFG</v>
      </c>
      <c r="T628" s="73">
        <f>IFERROR(__xludf.DUMMYFUNCTION("""COMPUTED_VALUE"""),2748.0)</f>
        <v>2748</v>
      </c>
      <c r="U628" s="73" t="str">
        <f>IFERROR(__xludf.DUMMYFUNCTION("""COMPUTED_VALUE""")," REMITTED ")</f>
        <v>REMITTED</v>
      </c>
      <c r="V628" s="2"/>
      <c r="W628" s="2"/>
      <c r="X628" s="2">
        <f>IFERROR(__xludf.DUMMYFUNCTION("""COMPUTED_VALUE"""),1197.0)</f>
        <v>1197</v>
      </c>
      <c r="Y628" s="2"/>
      <c r="Z628" s="2"/>
      <c r="AA628" s="2"/>
      <c r="AB628" s="2"/>
      <c r="AC628" s="2"/>
      <c r="AD628" s="2"/>
      <c r="AE628" s="2"/>
      <c r="AF628" s="2"/>
      <c r="AG628" s="2"/>
      <c r="AH628" s="2"/>
      <c r="AI628" s="2"/>
      <c r="AJ628" s="2" t="str">
        <f>IFERROR(__xludf.DUMMYFUNCTION("""COMPUTED_VALUE"""),"Cabilauan")</f>
        <v>Cabilauan</v>
      </c>
      <c r="AK628" s="2" t="str">
        <f>IFERROR(__xludf.DUMMYFUNCTION("""COMPUTED_VALUE"""),"New Lucena")</f>
        <v>New Lucena</v>
      </c>
      <c r="AL628" s="2" t="str">
        <f>IFERROR(__xludf.DUMMYFUNCTION("""COMPUTED_VALUE"""),"Iloilo")</f>
        <v>Iloilo</v>
      </c>
      <c r="AM628" s="2">
        <f>IFERROR(__xludf.DUMMYFUNCTION("""COMPUTED_VALUE"""),6.0)</f>
        <v>6</v>
      </c>
      <c r="AN628" s="2" t="str">
        <f>IFERROR(__xludf.DUMMYFUNCTION("""COMPUTED_VALUE"""),"RCEF 23-09-21 Rebidding")</f>
        <v>RCEF 23-09-21 Rebidding</v>
      </c>
      <c r="AO628" s="2">
        <f>IFERROR(__xludf.DUMMYFUNCTION("""COMPUTED_VALUE"""),4.0)</f>
        <v>4</v>
      </c>
      <c r="AP628" s="2"/>
      <c r="AQ628" s="2"/>
      <c r="AR628" s="2"/>
      <c r="AS628" s="2"/>
      <c r="AT628" s="2"/>
      <c r="AU628" s="2"/>
      <c r="AV628" s="2"/>
      <c r="AW628" s="2"/>
      <c r="AX628" s="2"/>
      <c r="AY628" s="2"/>
      <c r="AZ628" s="2"/>
      <c r="BA628" s="2"/>
      <c r="BB628" s="2"/>
    </row>
    <row r="629">
      <c r="A629" s="2">
        <f>IFERROR(__xludf.DUMMYFUNCTION("""COMPUTED_VALUE"""),625.0)</f>
        <v>625</v>
      </c>
      <c r="B629" s="2" t="str">
        <f>IFERROR(__xludf.DUMMYFUNCTION("""COMPUTED_VALUE"""),"COMPLETED")</f>
        <v>COMPLETED</v>
      </c>
      <c r="C629" s="74">
        <f>IFERROR(__xludf.DUMMYFUNCTION("""COMPUTED_VALUE"""),45594.0)</f>
        <v>45594</v>
      </c>
      <c r="D629" s="71" t="str">
        <f>IFERROR(__xludf.DUMMYFUNCTION("""COMPUTED_VALUE"""),"MACATOC FARMERS ASSOCIATION")</f>
        <v>MACATOC FARMERS ASSOCIATION</v>
      </c>
      <c r="E629" s="71" t="str">
        <f>IFERROR(__xludf.DUMMYFUNCTION("""COMPUTED_VALUE"""),"Macatoc, Victoria, Oriental Mindoro")</f>
        <v>Macatoc, Victoria, Oriental Mindoro</v>
      </c>
      <c r="F629" s="2"/>
      <c r="G629" s="2"/>
      <c r="H629" s="2">
        <f>IFERROR(__xludf.DUMMYFUNCTION("""COMPUTED_VALUE"""),380.0)</f>
        <v>380</v>
      </c>
      <c r="I629" s="72" t="str">
        <f>IFERROR(__xludf.DUMMYFUNCTION("""COMPUTED_VALUE"""),"PMS")</f>
        <v>PMS</v>
      </c>
      <c r="J629" s="72" t="str">
        <f>IFERROR(__xludf.DUMMYFUNCTION("""COMPUTED_VALUE"""),"PMS")</f>
        <v>PMS</v>
      </c>
      <c r="K629" s="72" t="str">
        <f>IFERROR(__xludf.DUMMYFUNCTION("""COMPUTED_VALUE"""),"RBS: 2ND PMS 
RCG: FOR RE SCHED DAHIL NASA OSPITAL, WALANG MAG AASIKASO")</f>
        <v>RBS: 2ND PMS 
RCG: FOR RE SCHED DAHIL NASA OSPITAL, WALANG MAG AASIKASO</v>
      </c>
      <c r="L629" s="72" t="str">
        <f>IFERROR(__xludf.DUMMYFUNCTION("""COMPUTED_VALUE"""),"CLOSED")</f>
        <v>CLOSED</v>
      </c>
      <c r="M629" s="2"/>
      <c r="N629" s="2"/>
      <c r="O629" s="2" t="str">
        <f>IFERROR(__xludf.DUMMYFUNCTION("""COMPUTED_VALUE"""),"N/A")</f>
        <v>N/A</v>
      </c>
      <c r="P629" s="2"/>
      <c r="Q629" s="2"/>
      <c r="R629" s="74">
        <f>IFERROR(__xludf.DUMMYFUNCTION("""COMPUTED_VALUE"""),45645.0)</f>
        <v>45645</v>
      </c>
      <c r="S629" s="2" t="str">
        <f>IFERROR(__xludf.DUMMYFUNCTION("""COMPUTED_VALUE"""),"RCG")</f>
        <v>RCG</v>
      </c>
      <c r="T629" s="73" t="str">
        <f>IFERROR(__xludf.DUMMYFUNCTION("""COMPUTED_VALUE""")," N/A ")</f>
        <v>N/A</v>
      </c>
      <c r="U629" s="73" t="str">
        <f>IFERROR(__xludf.DUMMYFUNCTION("""COMPUTED_VALUE""")," NO CHARGE ")</f>
        <v>NO CHARGE</v>
      </c>
      <c r="V629" s="2"/>
      <c r="W629" s="2" t="str">
        <f>IFERROR(__xludf.DUMMYFUNCTION("""COMPUTED_VALUE"""),"N/A")</f>
        <v>N/A</v>
      </c>
      <c r="X629" s="2" t="str">
        <f>IFERROR(__xludf.DUMMYFUNCTION("""COMPUTED_VALUE"""),"N/A")</f>
        <v>N/A</v>
      </c>
      <c r="Y629" s="2"/>
      <c r="Z629" s="2"/>
      <c r="AA629" s="2"/>
      <c r="AB629" s="2"/>
      <c r="AC629" s="2"/>
      <c r="AD629" s="2"/>
      <c r="AE629" s="2"/>
      <c r="AF629" s="2"/>
      <c r="AG629" s="2"/>
      <c r="AH629" s="2"/>
      <c r="AI629" s="2"/>
      <c r="AJ629" s="2" t="str">
        <f>IFERROR(__xludf.DUMMYFUNCTION("""COMPUTED_VALUE"""),"Macatoc")</f>
        <v>Macatoc</v>
      </c>
      <c r="AK629" s="2" t="str">
        <f>IFERROR(__xludf.DUMMYFUNCTION("""COMPUTED_VALUE"""),"Victoria")</f>
        <v>Victoria</v>
      </c>
      <c r="AL629" s="2" t="str">
        <f>IFERROR(__xludf.DUMMYFUNCTION("""COMPUTED_VALUE"""),"Oriental Mindoro")</f>
        <v>Oriental Mindoro</v>
      </c>
      <c r="AM629" s="2" t="str">
        <f>IFERROR(__xludf.DUMMYFUNCTION("""COMPUTED_VALUE"""),"4B")</f>
        <v>4B</v>
      </c>
      <c r="AN629" s="2" t="str">
        <f>IFERROR(__xludf.DUMMYFUNCTION("""COMPUTED_VALUE"""),"RCEF 23-08-20 Rebidding")</f>
        <v>RCEF 23-08-20 Rebidding</v>
      </c>
      <c r="AO629" s="2">
        <f>IFERROR(__xludf.DUMMYFUNCTION("""COMPUTED_VALUE"""),1.0)</f>
        <v>1</v>
      </c>
      <c r="AP629" s="2"/>
      <c r="AQ629" s="2"/>
      <c r="AR629" s="2"/>
      <c r="AS629" s="2"/>
      <c r="AT629" s="2"/>
      <c r="AU629" s="2"/>
      <c r="AV629" s="2"/>
      <c r="AW629" s="2"/>
      <c r="AX629" s="2"/>
      <c r="AY629" s="2"/>
      <c r="AZ629" s="2"/>
      <c r="BA629" s="2"/>
      <c r="BB629" s="2"/>
    </row>
    <row r="630">
      <c r="A630" s="2">
        <f>IFERROR(__xludf.DUMMYFUNCTION("""COMPUTED_VALUE"""),626.0)</f>
        <v>626</v>
      </c>
      <c r="B630" s="2" t="str">
        <f>IFERROR(__xludf.DUMMYFUNCTION("""COMPUTED_VALUE"""),"COMPLETED")</f>
        <v>COMPLETED</v>
      </c>
      <c r="C630" s="74">
        <f>IFERROR(__xludf.DUMMYFUNCTION("""COMPUTED_VALUE"""),45595.0)</f>
        <v>45595</v>
      </c>
      <c r="D630" s="71" t="str">
        <f>IFERROR(__xludf.DUMMYFUNCTION("""COMPUTED_VALUE"""),"BANGBANG FARMERS ASSOCIATION")</f>
        <v>BANGBANG FARMERS ASSOCIATION</v>
      </c>
      <c r="E630" s="71" t="str">
        <f>IFERROR(__xludf.DUMMYFUNCTION("""COMPUTED_VALUE"""),"Daga, Panay, CAPIZ")</f>
        <v>Daga, Panay, CAPIZ</v>
      </c>
      <c r="F630" s="2" t="str">
        <f>IFERROR(__xludf.DUMMYFUNCTION("""COMPUTED_VALUE"""),"Isidro barroa")</f>
        <v>Isidro barroa</v>
      </c>
      <c r="G630" s="2">
        <f>IFERROR(__xludf.DUMMYFUNCTION("""COMPUTED_VALUE"""),9.817214939E9)</f>
        <v>9817214939</v>
      </c>
      <c r="H630" s="2">
        <f>IFERROR(__xludf.DUMMYFUNCTION("""COMPUTED_VALUE"""),215.0)</f>
        <v>215</v>
      </c>
      <c r="I630" s="72" t="str">
        <f>IFERROR(__xludf.DUMMYFUNCTION("""COMPUTED_VALUE"""),"REPAIR - TRACTOR")</f>
        <v>REPAIR - TRACTOR</v>
      </c>
      <c r="J630" s="72" t="str">
        <f>IFERROR(__xludf.DUMMYFUNCTION("""COMPUTED_VALUE"""),"REAR AXLE - Leaking")</f>
        <v>REAR AXLE - Leaking</v>
      </c>
      <c r="K630" s="72" t="str">
        <f>IFERROR(__xludf.DUMMYFUNCTION("""COMPUTED_VALUE"""),"CFG: Stop operational prion to oil leak ( Rigth side )
PARTS: OIL SEAL TA00033423A (REAR AXLE OILSEAL)
CFG: OIL SEAL (60-100-10/13)")</f>
        <v>CFG: Stop operational prion to oil leak ( Rigth side )
PARTS: OIL SEAL TA00033423A (REAR AXLE OILSEAL)
CFG: OIL SEAL (60-100-10/13)</v>
      </c>
      <c r="L630" s="72" t="str">
        <f>IFERROR(__xludf.DUMMYFUNCTION("""COMPUTED_VALUE"""),"FARMER: OPERATIONAL NA ANG UNIT")</f>
        <v>FARMER: OPERATIONAL NA ANG UNIT</v>
      </c>
      <c r="M630" s="2"/>
      <c r="N630" s="2"/>
      <c r="O630" s="2" t="str">
        <f>IFERROR(__xludf.DUMMYFUNCTION("""COMPUTED_VALUE"""),"N/A")</f>
        <v>N/A</v>
      </c>
      <c r="P630" s="2"/>
      <c r="Q630" s="2"/>
      <c r="R630" s="74">
        <f>IFERROR(__xludf.DUMMYFUNCTION("""COMPUTED_VALUE"""),45677.0)</f>
        <v>45677</v>
      </c>
      <c r="S630" s="2" t="str">
        <f>IFERROR(__xludf.DUMMYFUNCTION("""COMPUTED_VALUE"""),"MYKEE")</f>
        <v>MYKEE</v>
      </c>
      <c r="T630" s="73" t="str">
        <f>IFERROR(__xludf.DUMMYFUNCTION("""COMPUTED_VALUE""")," N/A ")</f>
        <v>N/A</v>
      </c>
      <c r="U630" s="73" t="str">
        <f>IFERROR(__xludf.DUMMYFUNCTION("""COMPUTED_VALUE""")," NO CHARGE ")</f>
        <v>NO CHARGE</v>
      </c>
      <c r="V630" s="2"/>
      <c r="W630" s="2" t="str">
        <f>IFERROR(__xludf.DUMMYFUNCTION("""COMPUTED_VALUE"""),"N/A")</f>
        <v>N/A</v>
      </c>
      <c r="X630" s="2" t="str">
        <f>IFERROR(__xludf.DUMMYFUNCTION("""COMPUTED_VALUE"""),"N/A")</f>
        <v>N/A</v>
      </c>
      <c r="Y630" s="2"/>
      <c r="Z630" s="2"/>
      <c r="AA630" s="2"/>
      <c r="AB630" s="2"/>
      <c r="AC630" s="2"/>
      <c r="AD630" s="2"/>
      <c r="AE630" s="2"/>
      <c r="AF630" s="2"/>
      <c r="AG630" s="2"/>
      <c r="AH630" s="2"/>
      <c r="AI630" s="2"/>
      <c r="AJ630" s="2" t="str">
        <f>IFERROR(__xludf.DUMMYFUNCTION("""COMPUTED_VALUE"""),"Daga")</f>
        <v>Daga</v>
      </c>
      <c r="AK630" s="2" t="str">
        <f>IFERROR(__xludf.DUMMYFUNCTION("""COMPUTED_VALUE"""),"Panay")</f>
        <v>Panay</v>
      </c>
      <c r="AL630" s="2" t="str">
        <f>IFERROR(__xludf.DUMMYFUNCTION("""COMPUTED_VALUE"""),"Capiz")</f>
        <v>Capiz</v>
      </c>
      <c r="AM630" s="2">
        <f>IFERROR(__xludf.DUMMYFUNCTION("""COMPUTED_VALUE"""),6.0)</f>
        <v>6</v>
      </c>
      <c r="AN630" s="2" t="str">
        <f>IFERROR(__xludf.DUMMYFUNCTION("""COMPUTED_VALUE"""),"RCEF 23-09-21 Rebidding")</f>
        <v>RCEF 23-09-21 Rebidding</v>
      </c>
      <c r="AO630" s="2">
        <f>IFERROR(__xludf.DUMMYFUNCTION("""COMPUTED_VALUE"""),4.0)</f>
        <v>4</v>
      </c>
      <c r="AP630" s="2"/>
      <c r="AQ630" s="2"/>
      <c r="AR630" s="2"/>
      <c r="AS630" s="2"/>
      <c r="AT630" s="2"/>
      <c r="AU630" s="2"/>
      <c r="AV630" s="2"/>
      <c r="AW630" s="2"/>
      <c r="AX630" s="2"/>
      <c r="AY630" s="2"/>
      <c r="AZ630" s="2"/>
      <c r="BA630" s="2"/>
      <c r="BB630" s="2"/>
    </row>
    <row r="631">
      <c r="A631" s="2">
        <f>IFERROR(__xludf.DUMMYFUNCTION("""COMPUTED_VALUE"""),627.0)</f>
        <v>627</v>
      </c>
      <c r="B631" s="2" t="str">
        <f>IFERROR(__xludf.DUMMYFUNCTION("""COMPUTED_VALUE"""),"COMPLETED")</f>
        <v>COMPLETED</v>
      </c>
      <c r="C631" s="74">
        <f>IFERROR(__xludf.DUMMYFUNCTION("""COMPUTED_VALUE"""),45596.0)</f>
        <v>45596</v>
      </c>
      <c r="D631" s="71" t="str">
        <f>IFERROR(__xludf.DUMMYFUNCTION("""COMPUTED_VALUE"""),"Maspasan Farmers Association")</f>
        <v>Maspasan Farmers Association</v>
      </c>
      <c r="E631" s="71" t="str">
        <f>IFERROR(__xludf.DUMMYFUNCTION("""COMPUTED_VALUE"""),"Maspasan, Calinog, ILOILO")</f>
        <v>Maspasan, Calinog, ILOILO</v>
      </c>
      <c r="F631" s="2" t="str">
        <f>IFERROR(__xludf.DUMMYFUNCTION("""COMPUTED_VALUE"""),"Chairman ninfa sumagpao")</f>
        <v>Chairman ninfa sumagpao</v>
      </c>
      <c r="G631" s="2">
        <f>IFERROR(__xludf.DUMMYFUNCTION("""COMPUTED_VALUE"""),9.750020005E9)</f>
        <v>9750020005</v>
      </c>
      <c r="H631" s="2"/>
      <c r="I631" s="72" t="str">
        <f>IFERROR(__xludf.DUMMYFUNCTION("""COMPUTED_VALUE"""),"REPAIR - TRACTOR")</f>
        <v>REPAIR - TRACTOR</v>
      </c>
      <c r="J631" s="72" t="str">
        <f>IFERROR(__xludf.DUMMYFUNCTION("""COMPUTED_VALUE"""),"CHECK UP/ REPAIR")</f>
        <v>CHECK UP/ REPAIR</v>
      </c>
      <c r="K631" s="72" t="str">
        <f>IFERROR(__xludf.DUMMYFUNCTION("""COMPUTED_VALUE"""),"RBS: concerned po nila may unusual na maingay s unit
MYKEE:  NEED TO SEND VIDEO OF CONCERNS: NINFA SUMAGPAO
")</f>
        <v>RBS: concerned po nila may unusual na maingay s unit
MYKEE:  NEED TO SEND VIDEO OF CONCERNS: NINFA SUMAGPAO
</v>
      </c>
      <c r="L631" s="72" t="str">
        <f>IFERROR(__xludf.DUMMYFUNCTION("""COMPUTED_VALUE"""),"RANDY: OK NA ANG UNIT: FIXING THE OVERHEATING ISSUE
")</f>
        <v>RANDY: OK NA ANG UNIT: FIXING THE OVERHEATING ISSUE
</v>
      </c>
      <c r="M631" s="2"/>
      <c r="N631" s="2"/>
      <c r="O631" s="2">
        <f>IFERROR(__xludf.DUMMYFUNCTION("""COMPUTED_VALUE"""),58.0)</f>
        <v>58</v>
      </c>
      <c r="P631" s="2"/>
      <c r="Q631" s="2"/>
      <c r="R631" s="74">
        <f>IFERROR(__xludf.DUMMYFUNCTION("""COMPUTED_VALUE"""),45654.0)</f>
        <v>45654</v>
      </c>
      <c r="S631" s="2" t="str">
        <f>IFERROR(__xludf.DUMMYFUNCTION("""COMPUTED_VALUE"""),"RANDY")</f>
        <v>RANDY</v>
      </c>
      <c r="T631" s="73" t="str">
        <f>IFERROR(__xludf.DUMMYFUNCTION("""COMPUTED_VALUE""")," N/A ")</f>
        <v>N/A</v>
      </c>
      <c r="U631" s="73" t="str">
        <f>IFERROR(__xludf.DUMMYFUNCTION("""COMPUTED_VALUE""")," NO CHARGE ")</f>
        <v>NO CHARGE</v>
      </c>
      <c r="V631" s="2"/>
      <c r="W631" s="2" t="str">
        <f>IFERROR(__xludf.DUMMYFUNCTION("""COMPUTED_VALUE"""),"N/A")</f>
        <v>N/A</v>
      </c>
      <c r="X631" s="2" t="str">
        <f>IFERROR(__xludf.DUMMYFUNCTION("""COMPUTED_VALUE"""),"N/A")</f>
        <v>N/A</v>
      </c>
      <c r="Y631" s="2" t="str">
        <f>IFERROR(__xludf.DUMMYFUNCTION("""COMPUTED_VALUE"""),"LTC-REG6-005")</f>
        <v>LTC-REG6-005</v>
      </c>
      <c r="Z631" s="2"/>
      <c r="AA631" s="2"/>
      <c r="AB631" s="2"/>
      <c r="AC631" s="2"/>
      <c r="AD631" s="2"/>
      <c r="AE631" s="2"/>
      <c r="AF631" s="2"/>
      <c r="AG631" s="2"/>
      <c r="AH631" s="2"/>
      <c r="AI631" s="2"/>
      <c r="AJ631" s="2" t="str">
        <f>IFERROR(__xludf.DUMMYFUNCTION("""COMPUTED_VALUE"""),"Maspasan")</f>
        <v>Maspasan</v>
      </c>
      <c r="AK631" s="2" t="str">
        <f>IFERROR(__xludf.DUMMYFUNCTION("""COMPUTED_VALUE"""),"Calinog")</f>
        <v>Calinog</v>
      </c>
      <c r="AL631" s="2" t="str">
        <f>IFERROR(__xludf.DUMMYFUNCTION("""COMPUTED_VALUE"""),"Iloilo")</f>
        <v>Iloilo</v>
      </c>
      <c r="AM631" s="2">
        <f>IFERROR(__xludf.DUMMYFUNCTION("""COMPUTED_VALUE"""),6.0)</f>
        <v>6</v>
      </c>
      <c r="AN631" s="2" t="str">
        <f>IFERROR(__xludf.DUMMYFUNCTION("""COMPUTED_VALUE"""),"RCEF 23-09-21 Rebidding")</f>
        <v>RCEF 23-09-21 Rebidding</v>
      </c>
      <c r="AO631" s="2">
        <f>IFERROR(__xludf.DUMMYFUNCTION("""COMPUTED_VALUE"""),4.0)</f>
        <v>4</v>
      </c>
      <c r="AP631" s="2"/>
      <c r="AQ631" s="2"/>
      <c r="AR631" s="2"/>
      <c r="AS631" s="2"/>
      <c r="AT631" s="2"/>
      <c r="AU631" s="2"/>
      <c r="AV631" s="2"/>
      <c r="AW631" s="2"/>
      <c r="AX631" s="2"/>
      <c r="AY631" s="2"/>
      <c r="AZ631" s="2"/>
      <c r="BA631" s="2"/>
      <c r="BB631" s="2"/>
    </row>
    <row r="632">
      <c r="A632" s="2">
        <f>IFERROR(__xludf.DUMMYFUNCTION("""COMPUTED_VALUE"""),628.0)</f>
        <v>628</v>
      </c>
      <c r="B632" s="2" t="str">
        <f>IFERROR(__xludf.DUMMYFUNCTION("""COMPUTED_VALUE"""),"COMPLETED")</f>
        <v>COMPLETED</v>
      </c>
      <c r="C632" s="74">
        <f>IFERROR(__xludf.DUMMYFUNCTION("""COMPUTED_VALUE"""),45596.0)</f>
        <v>45596</v>
      </c>
      <c r="D632" s="71" t="str">
        <f>IFERROR(__xludf.DUMMYFUNCTION("""COMPUTED_VALUE"""),"Maspasan Farmers Association")</f>
        <v>Maspasan Farmers Association</v>
      </c>
      <c r="E632" s="71" t="str">
        <f>IFERROR(__xludf.DUMMYFUNCTION("""COMPUTED_VALUE"""),"Maspasan, Calinog, ILOILO")</f>
        <v>Maspasan, Calinog, ILOILO</v>
      </c>
      <c r="F632" s="2" t="str">
        <f>IFERROR(__xludf.DUMMYFUNCTION("""COMPUTED_VALUE"""),"Chairman ninfa sumagpao")</f>
        <v>Chairman ninfa sumagpao</v>
      </c>
      <c r="G632" s="2">
        <f>IFERROR(__xludf.DUMMYFUNCTION("""COMPUTED_VALUE"""),9.750020005E9)</f>
        <v>9750020005</v>
      </c>
      <c r="H632" s="2"/>
      <c r="I632" s="72" t="str">
        <f>IFERROR(__xludf.DUMMYFUNCTION("""COMPUTED_VALUE"""),"PMS")</f>
        <v>PMS</v>
      </c>
      <c r="J632" s="72" t="str">
        <f>IFERROR(__xludf.DUMMYFUNCTION("""COMPUTED_VALUE"""),"PMS")</f>
        <v>PMS</v>
      </c>
      <c r="K632" s="72" t="str">
        <f>IFERROR(__xludf.DUMMYFUNCTION("""COMPUTED_VALUE"""),"PMS")</f>
        <v>PMS</v>
      </c>
      <c r="L632" s="72" t="str">
        <f>IFERROR(__xludf.DUMMYFUNCTION("""COMPUTED_VALUE"""),"CHANGE OIL")</f>
        <v>CHANGE OIL</v>
      </c>
      <c r="M632" s="2"/>
      <c r="N632" s="2"/>
      <c r="O632" s="2">
        <f>IFERROR(__xludf.DUMMYFUNCTION("""COMPUTED_VALUE"""),58.0)</f>
        <v>58</v>
      </c>
      <c r="P632" s="2"/>
      <c r="Q632" s="2"/>
      <c r="R632" s="74">
        <f>IFERROR(__xludf.DUMMYFUNCTION("""COMPUTED_VALUE"""),45654.0)</f>
        <v>45654</v>
      </c>
      <c r="S632" s="2" t="str">
        <f>IFERROR(__xludf.DUMMYFUNCTION("""COMPUTED_VALUE"""),"RANDY")</f>
        <v>RANDY</v>
      </c>
      <c r="T632" s="73" t="str">
        <f>IFERROR(__xludf.DUMMYFUNCTION("""COMPUTED_VALUE""")," N/A ")</f>
        <v>N/A</v>
      </c>
      <c r="U632" s="73" t="str">
        <f>IFERROR(__xludf.DUMMYFUNCTION("""COMPUTED_VALUE""")," NO CHARGE ")</f>
        <v>NO CHARGE</v>
      </c>
      <c r="V632" s="2"/>
      <c r="W632" s="2" t="str">
        <f>IFERROR(__xludf.DUMMYFUNCTION("""COMPUTED_VALUE"""),"N/A")</f>
        <v>N/A</v>
      </c>
      <c r="X632" s="2" t="str">
        <f>IFERROR(__xludf.DUMMYFUNCTION("""COMPUTED_VALUE"""),"N/A")</f>
        <v>N/A</v>
      </c>
      <c r="Y632" s="2" t="str">
        <f>IFERROR(__xludf.DUMMYFUNCTION("""COMPUTED_VALUE"""),"LTC-REG6-005")</f>
        <v>LTC-REG6-005</v>
      </c>
      <c r="Z632" s="2"/>
      <c r="AA632" s="2"/>
      <c r="AB632" s="2"/>
      <c r="AC632" s="2"/>
      <c r="AD632" s="2"/>
      <c r="AE632" s="2"/>
      <c r="AF632" s="2"/>
      <c r="AG632" s="2"/>
      <c r="AH632" s="2"/>
      <c r="AI632" s="2"/>
      <c r="AJ632" s="2" t="str">
        <f>IFERROR(__xludf.DUMMYFUNCTION("""COMPUTED_VALUE"""),"Maspasan")</f>
        <v>Maspasan</v>
      </c>
      <c r="AK632" s="2" t="str">
        <f>IFERROR(__xludf.DUMMYFUNCTION("""COMPUTED_VALUE"""),"Calinog")</f>
        <v>Calinog</v>
      </c>
      <c r="AL632" s="2" t="str">
        <f>IFERROR(__xludf.DUMMYFUNCTION("""COMPUTED_VALUE"""),"Iloilo")</f>
        <v>Iloilo</v>
      </c>
      <c r="AM632" s="2">
        <f>IFERROR(__xludf.DUMMYFUNCTION("""COMPUTED_VALUE"""),6.0)</f>
        <v>6</v>
      </c>
      <c r="AN632" s="2" t="str">
        <f>IFERROR(__xludf.DUMMYFUNCTION("""COMPUTED_VALUE"""),"RCEF 23-09-21 Rebidding")</f>
        <v>RCEF 23-09-21 Rebidding</v>
      </c>
      <c r="AO632" s="2">
        <f>IFERROR(__xludf.DUMMYFUNCTION("""COMPUTED_VALUE"""),4.0)</f>
        <v>4</v>
      </c>
      <c r="AP632" s="2"/>
      <c r="AQ632" s="2"/>
      <c r="AR632" s="2"/>
      <c r="AS632" s="2"/>
      <c r="AT632" s="2"/>
      <c r="AU632" s="2"/>
      <c r="AV632" s="2"/>
      <c r="AW632" s="2"/>
      <c r="AX632" s="2"/>
      <c r="AY632" s="2"/>
      <c r="AZ632" s="2"/>
      <c r="BA632" s="2"/>
      <c r="BB632" s="2"/>
    </row>
    <row r="633">
      <c r="A633" s="2">
        <f>IFERROR(__xludf.DUMMYFUNCTION("""COMPUTED_VALUE"""),629.0)</f>
        <v>629</v>
      </c>
      <c r="B633" s="2" t="str">
        <f>IFERROR(__xludf.DUMMYFUNCTION("""COMPUTED_VALUE"""),"COMPLETED")</f>
        <v>COMPLETED</v>
      </c>
      <c r="C633" s="74">
        <f>IFERROR(__xludf.DUMMYFUNCTION("""COMPUTED_VALUE"""),45596.0)</f>
        <v>45596</v>
      </c>
      <c r="D633" s="71" t="str">
        <f>IFERROR(__xludf.DUMMYFUNCTION("""COMPUTED_VALUE"""),"Masagana Producers Cooperative")</f>
        <v>Masagana Producers Cooperative</v>
      </c>
      <c r="E633" s="71" t="str">
        <f>IFERROR(__xludf.DUMMYFUNCTION("""COMPUTED_VALUE"""),"Alagao, San Ildefonso, BULACAN")</f>
        <v>Alagao, San Ildefonso, BULACAN</v>
      </c>
      <c r="F633" s="2" t="str">
        <f>IFERROR(__xludf.DUMMYFUNCTION("""COMPUTED_VALUE"""),"DANILO SANTOS")</f>
        <v>DANILO SANTOS</v>
      </c>
      <c r="G633" s="2">
        <f>IFERROR(__xludf.DUMMYFUNCTION("""COMPUTED_VALUE"""),9.676598222E9)</f>
        <v>9676598222</v>
      </c>
      <c r="H633" s="2"/>
      <c r="I633" s="72" t="str">
        <f>IFERROR(__xludf.DUMMYFUNCTION("""COMPUTED_VALUE"""),"PMS")</f>
        <v>PMS</v>
      </c>
      <c r="J633" s="72" t="str">
        <f>IFERROR(__xludf.DUMMYFUNCTION("""COMPUTED_VALUE"""),"PMS")</f>
        <v>PMS</v>
      </c>
      <c r="K633" s="72" t="str">
        <f>IFERROR(__xludf.DUMMYFUNCTION("""COMPUTED_VALUE"""),"EGT: 2ND PMS")</f>
        <v>EGT: 2ND PMS</v>
      </c>
      <c r="L633" s="72" t="str">
        <f>IFERROR(__xludf.DUMMYFUNCTION("""COMPUTED_VALUE"""),"DSD: 2ND PMS DONE")</f>
        <v>DSD: 2ND PMS DONE</v>
      </c>
      <c r="M633" s="2"/>
      <c r="N633" s="2" t="str">
        <f>IFERROR(__xludf.DUMMYFUNCTION("""COMPUTED_VALUE"""),"PARTS: OIL FILTER, HYDRAULIC FILTER")</f>
        <v>PARTS: OIL FILTER, HYDRAULIC FILTER</v>
      </c>
      <c r="O633" s="2">
        <f>IFERROR(__xludf.DUMMYFUNCTION("""COMPUTED_VALUE"""),1325.0)</f>
        <v>1325</v>
      </c>
      <c r="P633" s="2"/>
      <c r="Q633" s="2" t="str">
        <f>IFERROR(__xludf.DUMMYFUNCTION("""COMPUTED_VALUE"""),"Y")</f>
        <v>Y</v>
      </c>
      <c r="R633" s="74">
        <f>IFERROR(__xludf.DUMMYFUNCTION("""COMPUTED_VALUE"""),45608.0)</f>
        <v>45608</v>
      </c>
      <c r="S633" s="2" t="str">
        <f>IFERROR(__xludf.DUMMYFUNCTION("""COMPUTED_VALUE"""),"EGT/DSD")</f>
        <v>EGT/DSD</v>
      </c>
      <c r="T633" s="73">
        <f>IFERROR(__xludf.DUMMYFUNCTION("""COMPUTED_VALUE"""),4281.0)</f>
        <v>4281</v>
      </c>
      <c r="U633" s="73" t="str">
        <f>IFERROR(__xludf.DUMMYFUNCTION("""COMPUTED_VALUE""")," REMITTED ")</f>
        <v>REMITTED</v>
      </c>
      <c r="V633" s="2"/>
      <c r="W633" s="2">
        <f>IFERROR(__xludf.DUMMYFUNCTION("""COMPUTED_VALUE"""),1328.0)</f>
        <v>1328</v>
      </c>
      <c r="X633" s="2">
        <f>IFERROR(__xludf.DUMMYFUNCTION("""COMPUTED_VALUE"""),1234.0)</f>
        <v>1234</v>
      </c>
      <c r="Y633" s="2"/>
      <c r="Z633" s="2"/>
      <c r="AA633" s="2"/>
      <c r="AB633" s="2"/>
      <c r="AC633" s="2"/>
      <c r="AD633" s="2"/>
      <c r="AE633" s="2"/>
      <c r="AF633" s="2"/>
      <c r="AG633" s="2"/>
      <c r="AH633" s="2"/>
      <c r="AI633" s="2"/>
      <c r="AJ633" s="2" t="str">
        <f>IFERROR(__xludf.DUMMYFUNCTION("""COMPUTED_VALUE"""),"Alagao")</f>
        <v>Alagao</v>
      </c>
      <c r="AK633" s="2" t="str">
        <f>IFERROR(__xludf.DUMMYFUNCTION("""COMPUTED_VALUE"""),"San Ildefonso")</f>
        <v>San Ildefonso</v>
      </c>
      <c r="AL633" s="2" t="str">
        <f>IFERROR(__xludf.DUMMYFUNCTION("""COMPUTED_VALUE"""),"Bulacan")</f>
        <v>Bulacan</v>
      </c>
      <c r="AM633" s="2">
        <f>IFERROR(__xludf.DUMMYFUNCTION("""COMPUTED_VALUE"""),3.0)</f>
        <v>3</v>
      </c>
      <c r="AN633" s="2" t="str">
        <f>IFERROR(__xludf.DUMMYFUNCTION("""COMPUTED_VALUE"""),"RCEF 23-09-21 Rebidding")</f>
        <v>RCEF 23-09-21 Rebidding</v>
      </c>
      <c r="AO633" s="2">
        <f>IFERROR(__xludf.DUMMYFUNCTION("""COMPUTED_VALUE"""),3.0)</f>
        <v>3</v>
      </c>
      <c r="AP633" s="2"/>
      <c r="AQ633" s="2"/>
      <c r="AR633" s="2"/>
      <c r="AS633" s="2"/>
      <c r="AT633" s="2"/>
      <c r="AU633" s="2"/>
      <c r="AV633" s="2"/>
      <c r="AW633" s="2"/>
      <c r="AX633" s="2"/>
      <c r="AY633" s="2"/>
      <c r="AZ633" s="2"/>
      <c r="BA633" s="2"/>
      <c r="BB633" s="2"/>
    </row>
    <row r="634">
      <c r="A634" s="2">
        <f>IFERROR(__xludf.DUMMYFUNCTION("""COMPUTED_VALUE"""),630.0)</f>
        <v>630</v>
      </c>
      <c r="B634" s="2" t="str">
        <f>IFERROR(__xludf.DUMMYFUNCTION("""COMPUTED_VALUE"""),"COMPLETED")</f>
        <v>COMPLETED</v>
      </c>
      <c r="C634" s="74">
        <f>IFERROR(__xludf.DUMMYFUNCTION("""COMPUTED_VALUE"""),45596.0)</f>
        <v>45596</v>
      </c>
      <c r="D634" s="71" t="str">
        <f>IFERROR(__xludf.DUMMYFUNCTION("""COMPUTED_VALUE"""),"BUGBUGCAO IRRIGATORS ASSOCIATION INC.")</f>
        <v>BUGBUGCAO IRRIGATORS ASSOCIATION INC.</v>
      </c>
      <c r="E634" s="71" t="str">
        <f>IFERROR(__xludf.DUMMYFUNCTION("""COMPUTED_VALUE"""),"BUGBUGCAO, SAN JUAN, LA UNION")</f>
        <v>BUGBUGCAO, SAN JUAN, LA UNION</v>
      </c>
      <c r="F634" s="2" t="str">
        <f>IFERROR(__xludf.DUMMYFUNCTION("""COMPUTED_VALUE"""),"Nestor Ducusin")</f>
        <v>Nestor Ducusin</v>
      </c>
      <c r="G634" s="2"/>
      <c r="H634" s="2">
        <f>IFERROR(__xludf.DUMMYFUNCTION("""COMPUTED_VALUE"""),100.0)</f>
        <v>100</v>
      </c>
      <c r="I634" s="72" t="str">
        <f>IFERROR(__xludf.DUMMYFUNCTION("""COMPUTED_VALUE"""),"PMS")</f>
        <v>PMS</v>
      </c>
      <c r="J634" s="72" t="str">
        <f>IFERROR(__xludf.DUMMYFUNCTION("""COMPUTED_VALUE"""),"PMS")</f>
        <v>PMS</v>
      </c>
      <c r="K634" s="72" t="str">
        <f>IFERROR(__xludf.DUMMYFUNCTION("""COMPUTED_VALUE"""),"KFS: 1ST PMS")</f>
        <v>KFS: 1ST PMS</v>
      </c>
      <c r="L634" s="72" t="str">
        <f>IFERROR(__xludf.DUMMYFUNCTION("""COMPUTED_VALUE"""),"JDP: 1ST PMS DONE")</f>
        <v>JDP: 1ST PMS DONE</v>
      </c>
      <c r="M634" s="2"/>
      <c r="N634" s="2" t="str">
        <f>IFERROR(__xludf.DUMMYFUNCTION("""COMPUTED_VALUE"""),"PARTS: OIL FILTER, 5L ENGINE OIL")</f>
        <v>PARTS: OIL FILTER, 5L ENGINE OIL</v>
      </c>
      <c r="O634" s="2">
        <f>IFERROR(__xludf.DUMMYFUNCTION("""COMPUTED_VALUE"""),1366.0)</f>
        <v>1366</v>
      </c>
      <c r="P634" s="2"/>
      <c r="Q634" s="2" t="str">
        <f>IFERROR(__xludf.DUMMYFUNCTION("""COMPUTED_VALUE"""),"Y")</f>
        <v>Y</v>
      </c>
      <c r="R634" s="74">
        <f>IFERROR(__xludf.DUMMYFUNCTION("""COMPUTED_VALUE"""),45609.0)</f>
        <v>45609</v>
      </c>
      <c r="S634" s="2" t="str">
        <f>IFERROR(__xludf.DUMMYFUNCTION("""COMPUTED_VALUE"""),"EGT/JDP")</f>
        <v>EGT/JDP</v>
      </c>
      <c r="T634" s="73">
        <f>IFERROR(__xludf.DUMMYFUNCTION("""COMPUTED_VALUE"""),3193.0)</f>
        <v>3193</v>
      </c>
      <c r="U634" s="73" t="str">
        <f>IFERROR(__xludf.DUMMYFUNCTION("""COMPUTED_VALUE""")," REMITTED ")</f>
        <v>REMITTED</v>
      </c>
      <c r="V634" s="2"/>
      <c r="W634" s="2">
        <f>IFERROR(__xludf.DUMMYFUNCTION("""COMPUTED_VALUE"""),1331.0)</f>
        <v>1331</v>
      </c>
      <c r="X634" s="2">
        <f>IFERROR(__xludf.DUMMYFUNCTION("""COMPUTED_VALUE"""),1236.0)</f>
        <v>1236</v>
      </c>
      <c r="Y634" s="2"/>
      <c r="Z634" s="2"/>
      <c r="AA634" s="2"/>
      <c r="AB634" s="2"/>
      <c r="AC634" s="2"/>
      <c r="AD634" s="2"/>
      <c r="AE634" s="2"/>
      <c r="AF634" s="2"/>
      <c r="AG634" s="2"/>
      <c r="AH634" s="2"/>
      <c r="AI634" s="2"/>
      <c r="AJ634" s="2" t="str">
        <f>IFERROR(__xludf.DUMMYFUNCTION("""COMPUTED_VALUE"""),"Bugbugcao")</f>
        <v>Bugbugcao</v>
      </c>
      <c r="AK634" s="2" t="str">
        <f>IFERROR(__xludf.DUMMYFUNCTION("""COMPUTED_VALUE"""),"San Juan")</f>
        <v>San Juan</v>
      </c>
      <c r="AL634" s="2" t="str">
        <f>IFERROR(__xludf.DUMMYFUNCTION("""COMPUTED_VALUE"""),"La Union")</f>
        <v>La Union</v>
      </c>
      <c r="AM634" s="2">
        <f>IFERROR(__xludf.DUMMYFUNCTION("""COMPUTED_VALUE"""),1.0)</f>
        <v>1</v>
      </c>
      <c r="AN634" s="2" t="str">
        <f>IFERROR(__xludf.DUMMYFUNCTION("""COMPUTED_VALUE"""),"RCEF 23-09-21 Rebidding")</f>
        <v>RCEF 23-09-21 Rebidding</v>
      </c>
      <c r="AO634" s="2">
        <f>IFERROR(__xludf.DUMMYFUNCTION("""COMPUTED_VALUE"""),2.0)</f>
        <v>2</v>
      </c>
      <c r="AP634" s="2"/>
      <c r="AQ634" s="2"/>
      <c r="AR634" s="2"/>
      <c r="AS634" s="2"/>
      <c r="AT634" s="2"/>
      <c r="AU634" s="2"/>
      <c r="AV634" s="2"/>
      <c r="AW634" s="2"/>
      <c r="AX634" s="2"/>
      <c r="AY634" s="2"/>
      <c r="AZ634" s="2"/>
      <c r="BA634" s="2"/>
      <c r="BB634" s="2"/>
    </row>
    <row r="635">
      <c r="A635" s="2">
        <f>IFERROR(__xludf.DUMMYFUNCTION("""COMPUTED_VALUE"""),631.0)</f>
        <v>631</v>
      </c>
      <c r="B635" s="2" t="str">
        <f>IFERROR(__xludf.DUMMYFUNCTION("""COMPUTED_VALUE"""),"COMPLETED")</f>
        <v>COMPLETED</v>
      </c>
      <c r="C635" s="74">
        <f>IFERROR(__xludf.DUMMYFUNCTION("""COMPUTED_VALUE"""),45598.0)</f>
        <v>45598</v>
      </c>
      <c r="D635" s="71" t="str">
        <f>IFERROR(__xludf.DUMMYFUNCTION("""COMPUTED_VALUE"""),"MARAGOL IRRIGATORS ASSOCIATION INC.")</f>
        <v>MARAGOL IRRIGATORS ASSOCIATION INC.</v>
      </c>
      <c r="E635" s="71" t="str">
        <f>IFERROR(__xludf.DUMMYFUNCTION("""COMPUTED_VALUE"""),"Maragol, Science City of Munoz, Nueva Ecija")</f>
        <v>Maragol, Science City of Munoz, Nueva Ecija</v>
      </c>
      <c r="F635" s="2" t="str">
        <f>IFERROR(__xludf.DUMMYFUNCTION("""COMPUTED_VALUE"""),"ROMULO BAUTISTA")</f>
        <v>ROMULO BAUTISTA</v>
      </c>
      <c r="G635" s="2">
        <f>IFERROR(__xludf.DUMMYFUNCTION("""COMPUTED_VALUE"""),9.954685455E9)</f>
        <v>9954685455</v>
      </c>
      <c r="H635" s="2">
        <f>IFERROR(__xludf.DUMMYFUNCTION("""COMPUTED_VALUE"""),62.8)</f>
        <v>62.8</v>
      </c>
      <c r="I635" s="72" t="str">
        <f>IFERROR(__xludf.DUMMYFUNCTION("""COMPUTED_VALUE"""),"PMS")</f>
        <v>PMS</v>
      </c>
      <c r="J635" s="72" t="str">
        <f>IFERROR(__xludf.DUMMYFUNCTION("""COMPUTED_VALUE"""),"PMS")</f>
        <v>PMS</v>
      </c>
      <c r="K635" s="72" t="str">
        <f>IFERROR(__xludf.DUMMYFUNCTION("""COMPUTED_VALUE"""),"ACS: 1ST PMS")</f>
        <v>ACS: 1ST PMS</v>
      </c>
      <c r="L635" s="72" t="str">
        <f>IFERROR(__xludf.DUMMYFUNCTION("""COMPUTED_VALUE"""),"ACS: 1ST PMS DONE")</f>
        <v>ACS: 1ST PMS DONE</v>
      </c>
      <c r="M635" s="2"/>
      <c r="N635" s="2" t="str">
        <f>IFERROR(__xludf.DUMMYFUNCTION("""COMPUTED_VALUE"""),"PARTS: OIL FILTER AND 5L ENGINE OIL")</f>
        <v>PARTS: OIL FILTER AND 5L ENGINE OIL</v>
      </c>
      <c r="O635" s="2">
        <f>IFERROR(__xludf.DUMMYFUNCTION("""COMPUTED_VALUE"""),589.0)</f>
        <v>589</v>
      </c>
      <c r="P635" s="2"/>
      <c r="Q635" s="2" t="str">
        <f>IFERROR(__xludf.DUMMYFUNCTION("""COMPUTED_VALUE"""),"Y")</f>
        <v>Y</v>
      </c>
      <c r="R635" s="74">
        <f>IFERROR(__xludf.DUMMYFUNCTION("""COMPUTED_VALUE"""),45598.0)</f>
        <v>45598</v>
      </c>
      <c r="S635" s="2" t="str">
        <f>IFERROR(__xludf.DUMMYFUNCTION("""COMPUTED_VALUE"""),"ACS/JHP")</f>
        <v>ACS/JHP</v>
      </c>
      <c r="T635" s="73">
        <f>IFERROR(__xludf.DUMMYFUNCTION("""COMPUTED_VALUE"""),3200.0)</f>
        <v>3200</v>
      </c>
      <c r="U635" s="73" t="str">
        <f>IFERROR(__xludf.DUMMYFUNCTION("""COMPUTED_VALUE""")," REMITTED ")</f>
        <v>REMITTED</v>
      </c>
      <c r="V635" s="2"/>
      <c r="W635" s="2"/>
      <c r="X635" s="2">
        <f>IFERROR(__xludf.DUMMYFUNCTION("""COMPUTED_VALUE"""),1191.0)</f>
        <v>1191</v>
      </c>
      <c r="Y635" s="2" t="str">
        <f>IFERROR(__xludf.DUMMYFUNCTION("""COMPUTED_VALUE"""),"PRINTED/ SAVE TO FOLDER (SOFT COPY)")</f>
        <v>PRINTED/ SAVE TO FOLDER (SOFT COPY)</v>
      </c>
      <c r="Z635" s="2"/>
      <c r="AA635" s="2"/>
      <c r="AB635" s="2"/>
      <c r="AC635" s="2"/>
      <c r="AD635" s="2"/>
      <c r="AE635" s="2"/>
      <c r="AF635" s="2"/>
      <c r="AG635" s="2"/>
      <c r="AH635" s="2"/>
      <c r="AI635" s="2"/>
      <c r="AJ635" s="2" t="str">
        <f>IFERROR(__xludf.DUMMYFUNCTION("""COMPUTED_VALUE"""),"Maragol")</f>
        <v>Maragol</v>
      </c>
      <c r="AK635" s="2" t="str">
        <f>IFERROR(__xludf.DUMMYFUNCTION("""COMPUTED_VALUE"""),"Science City Of Munoz")</f>
        <v>Science City Of Munoz</v>
      </c>
      <c r="AL635" s="2" t="str">
        <f>IFERROR(__xludf.DUMMYFUNCTION("""COMPUTED_VALUE"""),"Nueva Ecija")</f>
        <v>Nueva Ecija</v>
      </c>
      <c r="AM635" s="2">
        <f>IFERROR(__xludf.DUMMYFUNCTION("""COMPUTED_VALUE"""),3.0)</f>
        <v>3</v>
      </c>
      <c r="AN635" s="2" t="str">
        <f>IFERROR(__xludf.DUMMYFUNCTION("""COMPUTED_VALUE"""),"RCEF 23-09-21 Rebidding")</f>
        <v>RCEF 23-09-21 Rebidding</v>
      </c>
      <c r="AO635" s="2">
        <f>IFERROR(__xludf.DUMMYFUNCTION("""COMPUTED_VALUE"""),3.0)</f>
        <v>3</v>
      </c>
      <c r="AP635" s="2"/>
      <c r="AQ635" s="2"/>
      <c r="AR635" s="2"/>
      <c r="AS635" s="2"/>
      <c r="AT635" s="2"/>
      <c r="AU635" s="2"/>
      <c r="AV635" s="2"/>
      <c r="AW635" s="2"/>
      <c r="AX635" s="2"/>
      <c r="AY635" s="2"/>
      <c r="AZ635" s="2"/>
      <c r="BA635" s="2"/>
      <c r="BB635" s="2"/>
    </row>
    <row r="636">
      <c r="A636" s="2">
        <f>IFERROR(__xludf.DUMMYFUNCTION("""COMPUTED_VALUE"""),632.0)</f>
        <v>632</v>
      </c>
      <c r="B636" s="2" t="str">
        <f>IFERROR(__xludf.DUMMYFUNCTION("""COMPUTED_VALUE"""),"COMPLETED")</f>
        <v>COMPLETED</v>
      </c>
      <c r="C636" s="74">
        <f>IFERROR(__xludf.DUMMYFUNCTION("""COMPUTED_VALUE"""),45600.0)</f>
        <v>45600</v>
      </c>
      <c r="D636" s="71" t="str">
        <f>IFERROR(__xludf.DUMMYFUNCTION("""COMPUTED_VALUE"""),"KABALIKAT PANGSAKAHAN ASSOCIATION")</f>
        <v>KABALIKAT PANGSAKAHAN ASSOCIATION</v>
      </c>
      <c r="E636" s="71" t="str">
        <f>IFERROR(__xludf.DUMMYFUNCTION("""COMPUTED_VALUE"""),", Dilasag, Aurora")</f>
        <v>, Dilasag, Aurora</v>
      </c>
      <c r="F636" s="2" t="str">
        <f>IFERROR(__xludf.DUMMYFUNCTION("""COMPUTED_VALUE"""),"Abuel S. Ancheta")</f>
        <v>Abuel S. Ancheta</v>
      </c>
      <c r="G636" s="2" t="str">
        <f>IFERROR(__xludf.DUMMYFUNCTION("""COMPUTED_VALUE"""),"0975-097-1775")</f>
        <v>0975-097-1775</v>
      </c>
      <c r="H636" s="2">
        <f>IFERROR(__xludf.DUMMYFUNCTION("""COMPUTED_VALUE"""),50.0)</f>
        <v>50</v>
      </c>
      <c r="I636" s="72" t="str">
        <f>IFERROR(__xludf.DUMMYFUNCTION("""COMPUTED_VALUE"""),"PMS")</f>
        <v>PMS</v>
      </c>
      <c r="J636" s="72" t="str">
        <f>IFERROR(__xludf.DUMMYFUNCTION("""COMPUTED_VALUE"""),"PMS")</f>
        <v>PMS</v>
      </c>
      <c r="K636" s="72" t="str">
        <f>IFERROR(__xludf.DUMMYFUNCTION("""COMPUTED_VALUE"""),"ERP: 1ST PMS")</f>
        <v>ERP: 1ST PMS</v>
      </c>
      <c r="L636" s="72" t="str">
        <f>IFERROR(__xludf.DUMMYFUNCTION("""COMPUTED_VALUE"""),"JHP DONE 1ST PMS")</f>
        <v>JHP DONE 1ST PMS</v>
      </c>
      <c r="M636" s="2"/>
      <c r="N636" s="2" t="str">
        <f>IFERROR(__xludf.DUMMYFUNCTION("""COMPUTED_VALUE"""),"PARTS: ENGINE OIL, OIL FILTER")</f>
        <v>PARTS: ENGINE OIL, OIL FILTER</v>
      </c>
      <c r="O636" s="2">
        <f>IFERROR(__xludf.DUMMYFUNCTION("""COMPUTED_VALUE"""),1207.0)</f>
        <v>1207</v>
      </c>
      <c r="P636" s="2"/>
      <c r="Q636" s="2" t="str">
        <f>IFERROR(__xludf.DUMMYFUNCTION("""COMPUTED_VALUE"""),"Y")</f>
        <v>Y</v>
      </c>
      <c r="R636" s="74">
        <f>IFERROR(__xludf.DUMMYFUNCTION("""COMPUTED_VALUE"""),45630.0)</f>
        <v>45630</v>
      </c>
      <c r="S636" s="2" t="str">
        <f>IFERROR(__xludf.DUMMYFUNCTION("""COMPUTED_VALUE"""),"JHP")</f>
        <v>JHP</v>
      </c>
      <c r="T636" s="73">
        <f>IFERROR(__xludf.DUMMYFUNCTION("""COMPUTED_VALUE"""),3200.0)</f>
        <v>3200</v>
      </c>
      <c r="U636" s="73" t="str">
        <f>IFERROR(__xludf.DUMMYFUNCTION("""COMPUTED_VALUE""")," REMITTED ")</f>
        <v>REMITTED</v>
      </c>
      <c r="V636" s="2"/>
      <c r="W636" s="2">
        <f>IFERROR(__xludf.DUMMYFUNCTION("""COMPUTED_VALUE"""),1150.0)</f>
        <v>1150</v>
      </c>
      <c r="X636" s="2">
        <f>IFERROR(__xludf.DUMMYFUNCTION("""COMPUTED_VALUE"""),1283.0)</f>
        <v>1283</v>
      </c>
      <c r="Y636" s="2"/>
      <c r="Z636" s="2"/>
      <c r="AA636" s="2"/>
      <c r="AB636" s="2"/>
      <c r="AC636" s="2"/>
      <c r="AD636" s="2"/>
      <c r="AE636" s="2"/>
      <c r="AF636" s="2"/>
      <c r="AG636" s="2"/>
      <c r="AH636" s="2"/>
      <c r="AI636" s="2"/>
      <c r="AJ636" s="2" t="str">
        <f>IFERROR(__xludf.DUMMYFUNCTION("""COMPUTED_VALUE"""),"")</f>
        <v/>
      </c>
      <c r="AK636" s="2" t="str">
        <f>IFERROR(__xludf.DUMMYFUNCTION("""COMPUTED_VALUE"""),"Dilasag")</f>
        <v>Dilasag</v>
      </c>
      <c r="AL636" s="2" t="str">
        <f>IFERROR(__xludf.DUMMYFUNCTION("""COMPUTED_VALUE"""),"Aurora")</f>
        <v>Aurora</v>
      </c>
      <c r="AM636" s="2">
        <f>IFERROR(__xludf.DUMMYFUNCTION("""COMPUTED_VALUE"""),3.0)</f>
        <v>3</v>
      </c>
      <c r="AN636" s="2" t="str">
        <f>IFERROR(__xludf.DUMMYFUNCTION("""COMPUTED_VALUE"""),"RCEF 23-09-21 Rebidding")</f>
        <v>RCEF 23-09-21 Rebidding</v>
      </c>
      <c r="AO636" s="2">
        <f>IFERROR(__xludf.DUMMYFUNCTION("""COMPUTED_VALUE"""),9.0)</f>
        <v>9</v>
      </c>
      <c r="AP636" s="2"/>
      <c r="AQ636" s="2"/>
      <c r="AR636" s="2"/>
      <c r="AS636" s="2"/>
      <c r="AT636" s="2"/>
      <c r="AU636" s="2"/>
      <c r="AV636" s="2"/>
      <c r="AW636" s="2"/>
      <c r="AX636" s="2"/>
      <c r="AY636" s="2"/>
      <c r="AZ636" s="2"/>
      <c r="BA636" s="2"/>
      <c r="BB636" s="2"/>
    </row>
    <row r="637">
      <c r="A637" s="2">
        <f>IFERROR(__xludf.DUMMYFUNCTION("""COMPUTED_VALUE"""),633.0)</f>
        <v>633</v>
      </c>
      <c r="B637" s="2" t="str">
        <f>IFERROR(__xludf.DUMMYFUNCTION("""COMPUTED_VALUE"""),"COMPLETED")</f>
        <v>COMPLETED</v>
      </c>
      <c r="C637" s="74">
        <f>IFERROR(__xludf.DUMMYFUNCTION("""COMPUTED_VALUE"""),45600.0)</f>
        <v>45600</v>
      </c>
      <c r="D637" s="71" t="str">
        <f>IFERROR(__xludf.DUMMYFUNCTION("""COMPUTED_VALUE"""),"SAMAHAN NG MAGSASAKA NG JC PAYUMO JR. DINALUPIHAN BATAAN")</f>
        <v>SAMAHAN NG MAGSASAKA NG JC PAYUMO JR. DINALUPIHAN BATAAN</v>
      </c>
      <c r="E637" s="71" t="str">
        <f>IFERROR(__xludf.DUMMYFUNCTION("""COMPUTED_VALUE"""),"""Jose C. Payumo Jr."", Dinalupihan, BATAAN")</f>
        <v>"Jose C. Payumo Jr.", Dinalupihan, BATAAN</v>
      </c>
      <c r="F637" s="2" t="str">
        <f>IFERROR(__xludf.DUMMYFUNCTION("""COMPUTED_VALUE"""),"GEMA I. ASKEN")</f>
        <v>GEMA I. ASKEN</v>
      </c>
      <c r="G637" s="2">
        <f>IFERROR(__xludf.DUMMYFUNCTION("""COMPUTED_VALUE"""),6.39178005413E11)</f>
        <v>639178005413</v>
      </c>
      <c r="H637" s="2">
        <f>IFERROR(__xludf.DUMMYFUNCTION("""COMPUTED_VALUE"""),441.0)</f>
        <v>441</v>
      </c>
      <c r="I637" s="72" t="str">
        <f>IFERROR(__xludf.DUMMYFUNCTION("""COMPUTED_VALUE"""),"REPAIR - TRACTOR")</f>
        <v>REPAIR - TRACTOR</v>
      </c>
      <c r="J637" s="72" t="str">
        <f>IFERROR(__xludf.DUMMYFUNCTION("""COMPUTED_VALUE"""),"FUEL PUMP")</f>
        <v>FUEL PUMP</v>
      </c>
      <c r="K637" s="72" t="str">
        <f>IFERROR(__xludf.DUMMYFUNCTION("""COMPUTED_VALUE"""),"JDP: TROUBLE SHOOT OF UNIT; DEFECTIVE FUEL PUMP")</f>
        <v>JDP: TROUBLE SHOOT OF UNIT; DEFECTIVE FUEL PUMP</v>
      </c>
      <c r="L637" s="72" t="str">
        <f>IFERROR(__xludf.DUMMYFUNCTION("""COMPUTED_VALUE"""),"JDP: REPLACED FUEL PUMP")</f>
        <v>JDP: REPLACED FUEL PUMP</v>
      </c>
      <c r="M637" s="2"/>
      <c r="N637" s="2" t="str">
        <f>IFERROR(__xludf.DUMMYFUNCTION("""COMPUTED_VALUE"""),"PARTS: FUEL PUMP")</f>
        <v>PARTS: FUEL PUMP</v>
      </c>
      <c r="O637" s="2">
        <f>IFERROR(__xludf.DUMMYFUNCTION("""COMPUTED_VALUE"""),1361.0)</f>
        <v>1361</v>
      </c>
      <c r="P637" s="2"/>
      <c r="Q637" s="2" t="str">
        <f>IFERROR(__xludf.DUMMYFUNCTION("""COMPUTED_VALUE"""),"Y")</f>
        <v>Y</v>
      </c>
      <c r="R637" s="74">
        <f>IFERROR(__xludf.DUMMYFUNCTION("""COMPUTED_VALUE"""),45601.0)</f>
        <v>45601</v>
      </c>
      <c r="S637" s="2" t="str">
        <f>IFERROR(__xludf.DUMMYFUNCTION("""COMPUTED_VALUE"""),"JDP/DSD")</f>
        <v>JDP/DSD</v>
      </c>
      <c r="T637" s="73">
        <f>IFERROR(__xludf.DUMMYFUNCTION("""COMPUTED_VALUE"""),7225.0)</f>
        <v>7225</v>
      </c>
      <c r="U637" s="73" t="str">
        <f>IFERROR(__xludf.DUMMYFUNCTION("""COMPUTED_VALUE""")," REMITTED ")</f>
        <v>REMITTED</v>
      </c>
      <c r="V637" s="2"/>
      <c r="W637" s="2">
        <f>IFERROR(__xludf.DUMMYFUNCTION("""COMPUTED_VALUE"""),1455.0)</f>
        <v>1455</v>
      </c>
      <c r="X637" s="2">
        <f>IFERROR(__xludf.DUMMYFUNCTION("""COMPUTED_VALUE"""),1241.0)</f>
        <v>1241</v>
      </c>
      <c r="Y637" s="2" t="str">
        <f>IFERROR(__xludf.DUMMYFUNCTION("""COMPUTED_VALUE"""),"PRINTED/ SAVE TO FOLDER (SOFT COPY)")</f>
        <v>PRINTED/ SAVE TO FOLDER (SOFT COPY)</v>
      </c>
      <c r="Z637" s="2"/>
      <c r="AA637" s="2"/>
      <c r="AB637" s="2"/>
      <c r="AC637" s="2"/>
      <c r="AD637" s="2"/>
      <c r="AE637" s="2"/>
      <c r="AF637" s="2"/>
      <c r="AG637" s="2"/>
      <c r="AH637" s="2"/>
      <c r="AI637" s="2"/>
      <c r="AJ637" s="2" t="str">
        <f>IFERROR(__xludf.DUMMYFUNCTION("""COMPUTED_VALUE"""),"""Jose C. Payumo Jr.""")</f>
        <v>"Jose C. Payumo Jr."</v>
      </c>
      <c r="AK637" s="2" t="str">
        <f>IFERROR(__xludf.DUMMYFUNCTION("""COMPUTED_VALUE"""),"Dinalupihan")</f>
        <v>Dinalupihan</v>
      </c>
      <c r="AL637" s="2" t="str">
        <f>IFERROR(__xludf.DUMMYFUNCTION("""COMPUTED_VALUE"""),"Bataan")</f>
        <v>Bataan</v>
      </c>
      <c r="AM637" s="2">
        <f>IFERROR(__xludf.DUMMYFUNCTION("""COMPUTED_VALUE"""),3.0)</f>
        <v>3</v>
      </c>
      <c r="AN637" s="2" t="str">
        <f>IFERROR(__xludf.DUMMYFUNCTION("""COMPUTED_VALUE"""),"RCEF 23-09-21 Rebidding")</f>
        <v>RCEF 23-09-21 Rebidding</v>
      </c>
      <c r="AO637" s="2">
        <f>IFERROR(__xludf.DUMMYFUNCTION("""COMPUTED_VALUE"""),9.0)</f>
        <v>9</v>
      </c>
      <c r="AP637" s="2"/>
      <c r="AQ637" s="2"/>
      <c r="AR637" s="2"/>
      <c r="AS637" s="2"/>
      <c r="AT637" s="2"/>
      <c r="AU637" s="2"/>
      <c r="AV637" s="2"/>
      <c r="AW637" s="2"/>
      <c r="AX637" s="2"/>
      <c r="AY637" s="2"/>
      <c r="AZ637" s="2"/>
      <c r="BA637" s="2"/>
      <c r="BB637" s="2"/>
    </row>
    <row r="638">
      <c r="A638" s="2">
        <f>IFERROR(__xludf.DUMMYFUNCTION("""COMPUTED_VALUE"""),634.0)</f>
        <v>634</v>
      </c>
      <c r="B638" s="2" t="str">
        <f>IFERROR(__xludf.DUMMYFUNCTION("""COMPUTED_VALUE"""),"COMPLETED")</f>
        <v>COMPLETED</v>
      </c>
      <c r="C638" s="74">
        <f>IFERROR(__xludf.DUMMYFUNCTION("""COMPUTED_VALUE"""),45600.0)</f>
        <v>45600</v>
      </c>
      <c r="D638" s="71" t="str">
        <f>IFERROR(__xludf.DUMMYFUNCTION("""COMPUTED_VALUE"""),"Pangasinan Farmers Agriculture Cooperative")</f>
        <v>Pangasinan Farmers Agriculture Cooperative</v>
      </c>
      <c r="E638" s="71" t="str">
        <f>IFERROR(__xludf.DUMMYFUNCTION("""COMPUTED_VALUE"""),", UMINGAN, PANGASINAN")</f>
        <v>, UMINGAN, PANGASINAN</v>
      </c>
      <c r="F638" s="2" t="str">
        <f>IFERROR(__xludf.DUMMYFUNCTION("""COMPUTED_VALUE"""),"PANGASINAN FARMERS AGRICUTURAL COOP.")</f>
        <v>PANGASINAN FARMERS AGRICUTURAL COOP.</v>
      </c>
      <c r="G638" s="2">
        <f>IFERROR(__xludf.DUMMYFUNCTION("""COMPUTED_VALUE"""),9.94779075E9)</f>
        <v>9947790750</v>
      </c>
      <c r="H638" s="2">
        <f>IFERROR(__xludf.DUMMYFUNCTION("""COMPUTED_VALUE"""),124.0)</f>
        <v>124</v>
      </c>
      <c r="I638" s="72" t="str">
        <f>IFERROR(__xludf.DUMMYFUNCTION("""COMPUTED_VALUE"""),"PMS")</f>
        <v>PMS</v>
      </c>
      <c r="J638" s="72" t="str">
        <f>IFERROR(__xludf.DUMMYFUNCTION("""COMPUTED_VALUE"""),"PMS")</f>
        <v>PMS</v>
      </c>
      <c r="K638" s="72" t="str">
        <f>IFERROR(__xludf.DUMMYFUNCTION("""COMPUTED_VALUE"""),"JHP: 1ST PMS")</f>
        <v>JHP: 1ST PMS</v>
      </c>
      <c r="L638" s="72" t="str">
        <f>IFERROR(__xludf.DUMMYFUNCTION("""COMPUTED_VALUE"""),"JHP: REPLACE OIL FILTER AND ENGINE OIL")</f>
        <v>JHP: REPLACE OIL FILTER AND ENGINE OIL</v>
      </c>
      <c r="M638" s="2"/>
      <c r="N638" s="2" t="str">
        <f>IFERROR(__xludf.DUMMYFUNCTION("""COMPUTED_VALUE"""),"PARTS: OIL FILTER")</f>
        <v>PARTS: OIL FILTER</v>
      </c>
      <c r="O638" s="2">
        <f>IFERROR(__xludf.DUMMYFUNCTION("""COMPUTED_VALUE"""),593.0)</f>
        <v>593</v>
      </c>
      <c r="P638" s="2"/>
      <c r="Q638" s="2" t="str">
        <f>IFERROR(__xludf.DUMMYFUNCTION("""COMPUTED_VALUE"""),"Y")</f>
        <v>Y</v>
      </c>
      <c r="R638" s="74">
        <f>IFERROR(__xludf.DUMMYFUNCTION("""COMPUTED_VALUE"""),45600.0)</f>
        <v>45600</v>
      </c>
      <c r="S638" s="2" t="str">
        <f>IFERROR(__xludf.DUMMYFUNCTION("""COMPUTED_VALUE"""),"JHP/ACS")</f>
        <v>JHP/ACS</v>
      </c>
      <c r="T638" s="73">
        <f>IFERROR(__xludf.DUMMYFUNCTION("""COMPUTED_VALUE"""),1533.0)</f>
        <v>1533</v>
      </c>
      <c r="U638" s="73" t="str">
        <f>IFERROR(__xludf.DUMMYFUNCTION("""COMPUTED_VALUE""")," FOR REMIT ")</f>
        <v>FOR REMIT</v>
      </c>
      <c r="V638" s="2"/>
      <c r="W638" s="2" t="str">
        <f>IFERROR(__xludf.DUMMYFUNCTION("""COMPUTED_VALUE"""),"NO CR")</f>
        <v>NO CR</v>
      </c>
      <c r="X638" s="2"/>
      <c r="Y638" s="2"/>
      <c r="Z638" s="2"/>
      <c r="AA638" s="2"/>
      <c r="AB638" s="2"/>
      <c r="AC638" s="2"/>
      <c r="AD638" s="2"/>
      <c r="AE638" s="2"/>
      <c r="AF638" s="2"/>
      <c r="AG638" s="2"/>
      <c r="AH638" s="2"/>
      <c r="AI638" s="2"/>
      <c r="AJ638" s="2" t="str">
        <f>IFERROR(__xludf.DUMMYFUNCTION("""COMPUTED_VALUE"""),"")</f>
        <v/>
      </c>
      <c r="AK638" s="2" t="str">
        <f>IFERROR(__xludf.DUMMYFUNCTION("""COMPUTED_VALUE"""),"Umingan")</f>
        <v>Umingan</v>
      </c>
      <c r="AL638" s="2" t="str">
        <f>IFERROR(__xludf.DUMMYFUNCTION("""COMPUTED_VALUE"""),"Pangasinan")</f>
        <v>Pangasinan</v>
      </c>
      <c r="AM638" s="2">
        <f>IFERROR(__xludf.DUMMYFUNCTION("""COMPUTED_VALUE"""),1.0)</f>
        <v>1</v>
      </c>
      <c r="AN638" s="2" t="str">
        <f>IFERROR(__xludf.DUMMYFUNCTION("""COMPUTED_VALUE"""),"RCEF 23-09-21 Rebidding")</f>
        <v>RCEF 23-09-21 Rebidding</v>
      </c>
      <c r="AO638" s="2">
        <f>IFERROR(__xludf.DUMMYFUNCTION("""COMPUTED_VALUE"""),2.0)</f>
        <v>2</v>
      </c>
      <c r="AP638" s="2"/>
      <c r="AQ638" s="2"/>
      <c r="AR638" s="2"/>
      <c r="AS638" s="2"/>
      <c r="AT638" s="2"/>
      <c r="AU638" s="2"/>
      <c r="AV638" s="2"/>
      <c r="AW638" s="2"/>
      <c r="AX638" s="2"/>
      <c r="AY638" s="2"/>
      <c r="AZ638" s="2"/>
      <c r="BA638" s="2"/>
      <c r="BB638" s="2"/>
    </row>
    <row r="639">
      <c r="A639" s="2">
        <f>IFERROR(__xludf.DUMMYFUNCTION("""COMPUTED_VALUE"""),635.0)</f>
        <v>635</v>
      </c>
      <c r="B639" s="2" t="str">
        <f>IFERROR(__xludf.DUMMYFUNCTION("""COMPUTED_VALUE"""),"COMPLETED")</f>
        <v>COMPLETED</v>
      </c>
      <c r="C639" s="74">
        <f>IFERROR(__xludf.DUMMYFUNCTION("""COMPUTED_VALUE"""),45600.0)</f>
        <v>45600</v>
      </c>
      <c r="D639" s="71" t="str">
        <f>IFERROR(__xludf.DUMMYFUNCTION("""COMPUTED_VALUE"""),"SIASON FARMERS IRRIGATOR'S ASSOCIATION, INC.")</f>
        <v>SIASON FARMERS IRRIGATOR'S ASSOCIATION, INC.</v>
      </c>
      <c r="E639" s="71" t="str">
        <f>IFERROR(__xludf.DUMMYFUNCTION("""COMPUTED_VALUE"""),"Santa Rita, Quezon, NUEVA ECIJA")</f>
        <v>Santa Rita, Quezon, NUEVA ECIJA</v>
      </c>
      <c r="F639" s="2" t="str">
        <f>IFERROR(__xludf.DUMMYFUNCTION("""COMPUTED_VALUE"""),"Season Farmers IRR. ASS
Feliciano C. Doronio")</f>
        <v>Season Farmers IRR. ASS
Feliciano C. Doronio</v>
      </c>
      <c r="G639" s="2">
        <f>IFERROR(__xludf.DUMMYFUNCTION("""COMPUTED_VALUE"""),9.704873734E9)</f>
        <v>9704873734</v>
      </c>
      <c r="H639" s="2">
        <f>IFERROR(__xludf.DUMMYFUNCTION("""COMPUTED_VALUE"""),303.0)</f>
        <v>303</v>
      </c>
      <c r="I639" s="72" t="str">
        <f>IFERROR(__xludf.DUMMYFUNCTION("""COMPUTED_VALUE"""),"REPAIR - TRACTOR")</f>
        <v>REPAIR - TRACTOR</v>
      </c>
      <c r="J639" s="72" t="str">
        <f>IFERROR(__xludf.DUMMYFUNCTION("""COMPUTED_VALUE"""),"Electrical - PTO Switch")</f>
        <v>Electrical - PTO Switch</v>
      </c>
      <c r="K639" s="72" t="str">
        <f>IFERROR(__xludf.DUMMYFUNCTION("""COMPUTED_VALUE"""),"KFS: Change Oil, Change Hydraulic, Oil filter Hydraulic filter.")</f>
        <v>KFS: Change Oil, Change Hydraulic, Oil filter Hydraulic filter.</v>
      </c>
      <c r="L639" s="72" t="str">
        <f>IFERROR(__xludf.DUMMYFUNCTION("""COMPUTED_VALUE"""),"EGT: SECOND PMS DONE REPLACE PTO SWITCH")</f>
        <v>EGT: SECOND PMS DONE REPLACE PTO SWITCH</v>
      </c>
      <c r="M639" s="2"/>
      <c r="N639" s="2" t="str">
        <f>IFERROR(__xludf.DUMMYFUNCTION("""COMPUTED_VALUE"""),"PARTS: OIL FILTER, HYDRAULIC FILTER, PTO SWITCH")</f>
        <v>PARTS: OIL FILTER, HYDRAULIC FILTER, PTO SWITCH</v>
      </c>
      <c r="O639" s="2">
        <f>IFERROR(__xludf.DUMMYFUNCTION("""COMPUTED_VALUE"""),1330.0)</f>
        <v>1330</v>
      </c>
      <c r="P639" s="2"/>
      <c r="Q639" s="2" t="str">
        <f>IFERROR(__xludf.DUMMYFUNCTION("""COMPUTED_VALUE"""),"Y")</f>
        <v>Y</v>
      </c>
      <c r="R639" s="74">
        <f>IFERROR(__xludf.DUMMYFUNCTION("""COMPUTED_VALUE"""),45622.0)</f>
        <v>45622</v>
      </c>
      <c r="S639" s="2" t="str">
        <f>IFERROR(__xludf.DUMMYFUNCTION("""COMPUTED_VALUE"""),"EGT")</f>
        <v>EGT</v>
      </c>
      <c r="T639" s="73">
        <f>IFERROR(__xludf.DUMMYFUNCTION("""COMPUTED_VALUE"""),8536.0)</f>
        <v>8536</v>
      </c>
      <c r="U639" s="73" t="str">
        <f>IFERROR(__xludf.DUMMYFUNCTION("""COMPUTED_VALUE""")," REMITTED ")</f>
        <v>REMITTED</v>
      </c>
      <c r="V639" s="2"/>
      <c r="W639" s="2">
        <f>IFERROR(__xludf.DUMMYFUNCTION("""COMPUTED_VALUE"""),1339.0)</f>
        <v>1339</v>
      </c>
      <c r="X639" s="2">
        <f>IFERROR(__xludf.DUMMYFUNCTION("""COMPUTED_VALUE"""),1269.0)</f>
        <v>1269</v>
      </c>
      <c r="Y639" s="2"/>
      <c r="Z639" s="2"/>
      <c r="AA639" s="2"/>
      <c r="AB639" s="2"/>
      <c r="AC639" s="2"/>
      <c r="AD639" s="2"/>
      <c r="AE639" s="2"/>
      <c r="AF639" s="2"/>
      <c r="AG639" s="2"/>
      <c r="AH639" s="2"/>
      <c r="AI639" s="2"/>
      <c r="AJ639" s="2" t="str">
        <f>IFERROR(__xludf.DUMMYFUNCTION("""COMPUTED_VALUE"""),"Santa Rita")</f>
        <v>Santa Rita</v>
      </c>
      <c r="AK639" s="2" t="str">
        <f>IFERROR(__xludf.DUMMYFUNCTION("""COMPUTED_VALUE"""),"Quezon")</f>
        <v>Quezon</v>
      </c>
      <c r="AL639" s="2" t="str">
        <f>IFERROR(__xludf.DUMMYFUNCTION("""COMPUTED_VALUE"""),"Nueva Ecija")</f>
        <v>Nueva Ecija</v>
      </c>
      <c r="AM639" s="2">
        <f>IFERROR(__xludf.DUMMYFUNCTION("""COMPUTED_VALUE"""),3.0)</f>
        <v>3</v>
      </c>
      <c r="AN639" s="2" t="str">
        <f>IFERROR(__xludf.DUMMYFUNCTION("""COMPUTED_VALUE"""),"RCEF 23-09-21 Rebidding")</f>
        <v>RCEF 23-09-21 Rebidding</v>
      </c>
      <c r="AO639" s="2">
        <f>IFERROR(__xludf.DUMMYFUNCTION("""COMPUTED_VALUE"""),3.0)</f>
        <v>3</v>
      </c>
      <c r="AP639" s="2"/>
      <c r="AQ639" s="2"/>
      <c r="AR639" s="2"/>
      <c r="AS639" s="2"/>
      <c r="AT639" s="2"/>
      <c r="AU639" s="2"/>
      <c r="AV639" s="2"/>
      <c r="AW639" s="2"/>
      <c r="AX639" s="2"/>
      <c r="AY639" s="2"/>
      <c r="AZ639" s="2"/>
      <c r="BA639" s="2"/>
      <c r="BB639" s="2"/>
    </row>
    <row r="640">
      <c r="A640" s="2">
        <f>IFERROR(__xludf.DUMMYFUNCTION("""COMPUTED_VALUE"""),636.0)</f>
        <v>636</v>
      </c>
      <c r="B640" s="2" t="str">
        <f>IFERROR(__xludf.DUMMYFUNCTION("""COMPUTED_VALUE"""),"COMPLETED")</f>
        <v>COMPLETED</v>
      </c>
      <c r="C640" s="74">
        <f>IFERROR(__xludf.DUMMYFUNCTION("""COMPUTED_VALUE"""),45600.0)</f>
        <v>45600</v>
      </c>
      <c r="D640" s="71" t="str">
        <f>IFERROR(__xludf.DUMMYFUNCTION("""COMPUTED_VALUE"""),"MASAGANANG BUKIRIN FARMERS ASSOCIATION")</f>
        <v>MASAGANANG BUKIRIN FARMERS ASSOCIATION</v>
      </c>
      <c r="E640" s="71" t="str">
        <f>IFERROR(__xludf.DUMMYFUNCTION("""COMPUTED_VALUE"""),"La Paz (Pob.), San Marcelino, ZAMBALES")</f>
        <v>La Paz (Pob.), San Marcelino, ZAMBALES</v>
      </c>
      <c r="F640" s="2" t="str">
        <f>IFERROR(__xludf.DUMMYFUNCTION("""COMPUTED_VALUE"""),"Albert mendoza")</f>
        <v>Albert mendoza</v>
      </c>
      <c r="G640" s="2">
        <f>IFERROR(__xludf.DUMMYFUNCTION("""COMPUTED_VALUE"""),9.560044587E9)</f>
        <v>9560044587</v>
      </c>
      <c r="H640" s="2"/>
      <c r="I640" s="72" t="str">
        <f>IFERROR(__xludf.DUMMYFUNCTION("""COMPUTED_VALUE"""),"REPAIR - TRACTOR")</f>
        <v>REPAIR - TRACTOR</v>
      </c>
      <c r="J640" s="72" t="str">
        <f>IFERROR(__xludf.DUMMYFUNCTION("""COMPUTED_VALUE"""),"Electrical - Dashboard")</f>
        <v>Electrical - Dashboard</v>
      </c>
      <c r="K640" s="72" t="str">
        <f>IFERROR(__xludf.DUMMYFUNCTION("""COMPUTED_VALUE"""),"ERP: Front drive not working, SIRA ANG MGA  ACCESSORIES, ILAW AT BUSINA, HAZARD
JDP: 11/21/24: HINDI SILA MATAWAGAN NUNG TINATAWAGAN KO,  ")</f>
        <v>ERP: Front drive not working, SIRA ANG MGA  ACCESSORIES, ILAW AT BUSINA, HAZARD
JDP: 11/21/24: HINDI SILA MATAWAGAN NUNG TINATAWAGAN KO,  </v>
      </c>
      <c r="L640" s="72" t="str">
        <f>IFERROR(__xludf.DUMMYFUNCTION("""COMPUTED_VALUE"""),"DSD: GENERAL PMS DONE, Pinalitan yung lock pin ng copler")</f>
        <v>DSD: GENERAL PMS DONE, Pinalitan yung lock pin ng copler</v>
      </c>
      <c r="M640" s="2"/>
      <c r="N640" s="2" t="str">
        <f>IFERROR(__xludf.DUMMYFUNCTION("""COMPUTED_VALUE"""),"PARTS: HYDRAULIC FILTER")</f>
        <v>PARTS: HYDRAULIC FILTER</v>
      </c>
      <c r="O640" s="2" t="str">
        <f>IFERROR(__xludf.DUMMYFUNCTION("""COMPUTED_VALUE"""),"JIE-967")</f>
        <v>JIE-967</v>
      </c>
      <c r="P640" s="2"/>
      <c r="Q640" s="2"/>
      <c r="R640" s="74">
        <f>IFERROR(__xludf.DUMMYFUNCTION("""COMPUTED_VALUE"""),45637.0)</f>
        <v>45637</v>
      </c>
      <c r="S640" s="2" t="str">
        <f>IFERROR(__xludf.DUMMYFUNCTION("""COMPUTED_VALUE"""),"EGT/DRM")</f>
        <v>EGT/DRM</v>
      </c>
      <c r="T640" s="73">
        <f>IFERROR(__xludf.DUMMYFUNCTION("""COMPUTED_VALUE"""),2748.0)</f>
        <v>2748</v>
      </c>
      <c r="U640" s="73" t="str">
        <f>IFERROR(__xludf.DUMMYFUNCTION("""COMPUTED_VALUE""")," FOR REMIT ")</f>
        <v>FOR REMIT</v>
      </c>
      <c r="V640" s="2"/>
      <c r="W640" s="2"/>
      <c r="X640" s="2"/>
      <c r="Y640" s="2"/>
      <c r="Z640" s="2"/>
      <c r="AA640" s="2"/>
      <c r="AB640" s="2"/>
      <c r="AC640" s="2"/>
      <c r="AD640" s="2"/>
      <c r="AE640" s="2"/>
      <c r="AF640" s="2"/>
      <c r="AG640" s="2"/>
      <c r="AH640" s="2"/>
      <c r="AI640" s="2"/>
      <c r="AJ640" s="2" t="str">
        <f>IFERROR(__xludf.DUMMYFUNCTION("""COMPUTED_VALUE"""),"La Paz (Pob.)")</f>
        <v>La Paz (Pob.)</v>
      </c>
      <c r="AK640" s="2" t="str">
        <f>IFERROR(__xludf.DUMMYFUNCTION("""COMPUTED_VALUE"""),"San Marcelino")</f>
        <v>San Marcelino</v>
      </c>
      <c r="AL640" s="2" t="str">
        <f>IFERROR(__xludf.DUMMYFUNCTION("""COMPUTED_VALUE"""),"Zambales")</f>
        <v>Zambales</v>
      </c>
      <c r="AM640" s="2">
        <f>IFERROR(__xludf.DUMMYFUNCTION("""COMPUTED_VALUE"""),3.0)</f>
        <v>3</v>
      </c>
      <c r="AN640" s="2" t="str">
        <f>IFERROR(__xludf.DUMMYFUNCTION("""COMPUTED_VALUE"""),"RCEF 23-09-21 Rebidding")</f>
        <v>RCEF 23-09-21 Rebidding</v>
      </c>
      <c r="AO640" s="2">
        <f>IFERROR(__xludf.DUMMYFUNCTION("""COMPUTED_VALUE"""),9.0)</f>
        <v>9</v>
      </c>
      <c r="AP640" s="2"/>
      <c r="AQ640" s="2"/>
      <c r="AR640" s="2"/>
      <c r="AS640" s="2"/>
      <c r="AT640" s="2"/>
      <c r="AU640" s="2"/>
      <c r="AV640" s="2"/>
      <c r="AW640" s="2"/>
      <c r="AX640" s="2"/>
      <c r="AY640" s="2"/>
      <c r="AZ640" s="2"/>
      <c r="BA640" s="2"/>
      <c r="BB640" s="2"/>
    </row>
    <row r="641">
      <c r="A641" s="2">
        <f>IFERROR(__xludf.DUMMYFUNCTION("""COMPUTED_VALUE"""),637.0)</f>
        <v>637</v>
      </c>
      <c r="B641" s="2" t="str">
        <f>IFERROR(__xludf.DUMMYFUNCTION("""COMPUTED_VALUE"""),"COMPLETED")</f>
        <v>COMPLETED</v>
      </c>
      <c r="C641" s="74">
        <f>IFERROR(__xludf.DUMMYFUNCTION("""COMPUTED_VALUE"""),45600.0)</f>
        <v>45600</v>
      </c>
      <c r="D641" s="71" t="str">
        <f>IFERROR(__xludf.DUMMYFUNCTION("""COMPUTED_VALUE"""),"SIASON FARMERS IRRIGATOR'S ASSOCIATION, INC.")</f>
        <v>SIASON FARMERS IRRIGATOR'S ASSOCIATION, INC.</v>
      </c>
      <c r="E641" s="71" t="str">
        <f>IFERROR(__xludf.DUMMYFUNCTION("""COMPUTED_VALUE"""),"Santa Rita, Quezon, NUEVA ECIJA")</f>
        <v>Santa Rita, Quezon, NUEVA ECIJA</v>
      </c>
      <c r="F641" s="2" t="str">
        <f>IFERROR(__xludf.DUMMYFUNCTION("""COMPUTED_VALUE"""),"Season Farmers IRR. ASS
Feliciano C. Doronio")</f>
        <v>Season Farmers IRR. ASS
Feliciano C. Doronio</v>
      </c>
      <c r="G641" s="2">
        <f>IFERROR(__xludf.DUMMYFUNCTION("""COMPUTED_VALUE"""),9.704873734E9)</f>
        <v>9704873734</v>
      </c>
      <c r="H641" s="2">
        <f>IFERROR(__xludf.DUMMYFUNCTION("""COMPUTED_VALUE"""),303.0)</f>
        <v>303</v>
      </c>
      <c r="I641" s="72" t="str">
        <f>IFERROR(__xludf.DUMMYFUNCTION("""COMPUTED_VALUE"""),"REPAIR - LOADER")</f>
        <v>REPAIR - LOADER</v>
      </c>
      <c r="J641" s="72" t="str">
        <f>IFERROR(__xludf.DUMMYFUNCTION("""COMPUTED_VALUE"""),"Tooth")</f>
        <v>Tooth</v>
      </c>
      <c r="K641" s="72" t="str">
        <f>IFERROR(__xludf.DUMMYFUNCTION("""COMPUTED_VALUE"""),"KFS: Dalawang ngipin ng filter bucket naputol")</f>
        <v>KFS: Dalawang ngipin ng filter bucket naputol</v>
      </c>
      <c r="L641" s="72" t="str">
        <f>IFERROR(__xludf.DUMMYFUNCTION("""COMPUTED_VALUE"""),"CANCELLED: PAG MEETINGAN DW MUNA NILA")</f>
        <v>CANCELLED: PAG MEETINGAN DW MUNA NILA</v>
      </c>
      <c r="M641" s="2"/>
      <c r="N641" s="2"/>
      <c r="O641" s="2" t="str">
        <f>IFERROR(__xludf.DUMMYFUNCTION("""COMPUTED_VALUE"""),"N/A")</f>
        <v>N/A</v>
      </c>
      <c r="P641" s="2"/>
      <c r="Q641" s="2"/>
      <c r="R641" s="74">
        <f>IFERROR(__xludf.DUMMYFUNCTION("""COMPUTED_VALUE"""),45673.0)</f>
        <v>45673</v>
      </c>
      <c r="S641" s="2" t="str">
        <f>IFERROR(__xludf.DUMMYFUNCTION("""COMPUTED_VALUE"""),"JHP/ACS")</f>
        <v>JHP/ACS</v>
      </c>
      <c r="T641" s="73" t="str">
        <f>IFERROR(__xludf.DUMMYFUNCTION("""COMPUTED_VALUE""")," N/A ")</f>
        <v>N/A</v>
      </c>
      <c r="U641" s="73" t="str">
        <f>IFERROR(__xludf.DUMMYFUNCTION("""COMPUTED_VALUE""")," NO CHARGE ")</f>
        <v>NO CHARGE</v>
      </c>
      <c r="V641" s="2"/>
      <c r="W641" s="2" t="str">
        <f>IFERROR(__xludf.DUMMYFUNCTION("""COMPUTED_VALUE"""),"N/A")</f>
        <v>N/A</v>
      </c>
      <c r="X641" s="2" t="str">
        <f>IFERROR(__xludf.DUMMYFUNCTION("""COMPUTED_VALUE"""),"N/A")</f>
        <v>N/A</v>
      </c>
      <c r="Y641" s="2"/>
      <c r="Z641" s="2"/>
      <c r="AA641" s="2"/>
      <c r="AB641" s="2"/>
      <c r="AC641" s="2"/>
      <c r="AD641" s="2"/>
      <c r="AE641" s="2"/>
      <c r="AF641" s="2"/>
      <c r="AG641" s="2"/>
      <c r="AH641" s="2"/>
      <c r="AI641" s="2"/>
      <c r="AJ641" s="2" t="str">
        <f>IFERROR(__xludf.DUMMYFUNCTION("""COMPUTED_VALUE"""),"Santa Rita")</f>
        <v>Santa Rita</v>
      </c>
      <c r="AK641" s="2" t="str">
        <f>IFERROR(__xludf.DUMMYFUNCTION("""COMPUTED_VALUE"""),"Quezon")</f>
        <v>Quezon</v>
      </c>
      <c r="AL641" s="2" t="str">
        <f>IFERROR(__xludf.DUMMYFUNCTION("""COMPUTED_VALUE"""),"Nueva Ecija")</f>
        <v>Nueva Ecija</v>
      </c>
      <c r="AM641" s="2">
        <f>IFERROR(__xludf.DUMMYFUNCTION("""COMPUTED_VALUE"""),3.0)</f>
        <v>3</v>
      </c>
      <c r="AN641" s="2" t="str">
        <f>IFERROR(__xludf.DUMMYFUNCTION("""COMPUTED_VALUE"""),"RCEF 23-09-21 Rebidding")</f>
        <v>RCEF 23-09-21 Rebidding</v>
      </c>
      <c r="AO641" s="2">
        <f>IFERROR(__xludf.DUMMYFUNCTION("""COMPUTED_VALUE"""),3.0)</f>
        <v>3</v>
      </c>
      <c r="AP641" s="2"/>
      <c r="AQ641" s="2"/>
      <c r="AR641" s="2"/>
      <c r="AS641" s="2"/>
      <c r="AT641" s="2"/>
      <c r="AU641" s="2"/>
      <c r="AV641" s="2"/>
      <c r="AW641" s="2"/>
      <c r="AX641" s="2"/>
      <c r="AY641" s="2"/>
      <c r="AZ641" s="2"/>
      <c r="BA641" s="2"/>
      <c r="BB641" s="2"/>
    </row>
    <row r="642">
      <c r="A642" s="2">
        <f>IFERROR(__xludf.DUMMYFUNCTION("""COMPUTED_VALUE"""),638.0)</f>
        <v>638</v>
      </c>
      <c r="B642" s="2" t="str">
        <f>IFERROR(__xludf.DUMMYFUNCTION("""COMPUTED_VALUE"""),"COMPLETED")</f>
        <v>COMPLETED</v>
      </c>
      <c r="C642" s="74">
        <f>IFERROR(__xludf.DUMMYFUNCTION("""COMPUTED_VALUE"""),45601.0)</f>
        <v>45601</v>
      </c>
      <c r="D642" s="71" t="str">
        <f>IFERROR(__xludf.DUMMYFUNCTION("""COMPUTED_VALUE"""),"Nalubbunan Communal Irrigators Association Inc.")</f>
        <v>Nalubbunan Communal Irrigators Association Inc.</v>
      </c>
      <c r="E642" s="71" t="str">
        <f>IFERROR(__xludf.DUMMYFUNCTION("""COMPUTED_VALUE"""),"Nalubbunan, Quezon, NUEVA VIZCAYA")</f>
        <v>Nalubbunan, Quezon, NUEVA VIZCAYA</v>
      </c>
      <c r="F642" s="2" t="str">
        <f>IFERROR(__xludf.DUMMYFUNCTION("""COMPUTED_VALUE"""),"Willy Jun Navarro")</f>
        <v>Willy Jun Navarro</v>
      </c>
      <c r="G642" s="2">
        <f>IFERROR(__xludf.DUMMYFUNCTION("""COMPUTED_VALUE"""),9.971567196E9)</f>
        <v>9971567196</v>
      </c>
      <c r="H642" s="2">
        <f>IFERROR(__xludf.DUMMYFUNCTION("""COMPUTED_VALUE"""),100.0)</f>
        <v>100</v>
      </c>
      <c r="I642" s="72" t="str">
        <f>IFERROR(__xludf.DUMMYFUNCTION("""COMPUTED_VALUE"""),"PMS")</f>
        <v>PMS</v>
      </c>
      <c r="J642" s="72" t="str">
        <f>IFERROR(__xludf.DUMMYFUNCTION("""COMPUTED_VALUE"""),"PMS")</f>
        <v>PMS</v>
      </c>
      <c r="K642" s="72" t="str">
        <f>IFERROR(__xludf.DUMMYFUNCTION("""COMPUTED_VALUE"""),"CFG: 1ST PMS")</f>
        <v>CFG: 1ST PMS</v>
      </c>
      <c r="L642" s="72" t="str">
        <f>IFERROR(__xludf.DUMMYFUNCTION("""COMPUTED_VALUE"""),"EGT: ENGINE CHANGE OIL AND CHECK UP UNIT")</f>
        <v>EGT: ENGINE CHANGE OIL AND CHECK UP UNIT</v>
      </c>
      <c r="M642" s="2"/>
      <c r="N642" s="2" t="str">
        <f>IFERROR(__xludf.DUMMYFUNCTION("""COMPUTED_VALUE"""),"PARTS: OIL FILTER, ENGINE OIL")</f>
        <v>PARTS: OIL FILTER, ENGINE OIL</v>
      </c>
      <c r="O642" s="2">
        <f>IFERROR(__xludf.DUMMYFUNCTION("""COMPUTED_VALUE"""),1322.0)</f>
        <v>1322</v>
      </c>
      <c r="P642" s="2"/>
      <c r="Q642" s="2"/>
      <c r="R642" s="74">
        <f>IFERROR(__xludf.DUMMYFUNCTION("""COMPUTED_VALUE"""),45604.0)</f>
        <v>45604</v>
      </c>
      <c r="S642" s="2" t="str">
        <f>IFERROR(__xludf.DUMMYFUNCTION("""COMPUTED_VALUE"""),"EGT/DRM")</f>
        <v>EGT/DRM</v>
      </c>
      <c r="T642" s="73">
        <f>IFERROR(__xludf.DUMMYFUNCTION("""COMPUTED_VALUE"""),3193.0)</f>
        <v>3193</v>
      </c>
      <c r="U642" s="73" t="str">
        <f>IFERROR(__xludf.DUMMYFUNCTION("""COMPUTED_VALUE""")," REMITTED ")</f>
        <v>REMITTED</v>
      </c>
      <c r="V642" s="2"/>
      <c r="W642" s="2">
        <f>IFERROR(__xludf.DUMMYFUNCTION("""COMPUTED_VALUE"""),1325.0)</f>
        <v>1325</v>
      </c>
      <c r="X642" s="2">
        <f>IFERROR(__xludf.DUMMYFUNCTION("""COMPUTED_VALUE"""),1231.0)</f>
        <v>1231</v>
      </c>
      <c r="Y642" s="2"/>
      <c r="Z642" s="2"/>
      <c r="AA642" s="2"/>
      <c r="AB642" s="2"/>
      <c r="AC642" s="2"/>
      <c r="AD642" s="2"/>
      <c r="AE642" s="2"/>
      <c r="AF642" s="2"/>
      <c r="AG642" s="2"/>
      <c r="AH642" s="2"/>
      <c r="AI642" s="2"/>
      <c r="AJ642" s="2" t="str">
        <f>IFERROR(__xludf.DUMMYFUNCTION("""COMPUTED_VALUE"""),"Nalubbunan")</f>
        <v>Nalubbunan</v>
      </c>
      <c r="AK642" s="2" t="str">
        <f>IFERROR(__xludf.DUMMYFUNCTION("""COMPUTED_VALUE"""),"Quezon")</f>
        <v>Quezon</v>
      </c>
      <c r="AL642" s="2" t="str">
        <f>IFERROR(__xludf.DUMMYFUNCTION("""COMPUTED_VALUE"""),"Nueva Vizcaya")</f>
        <v>Nueva Vizcaya</v>
      </c>
      <c r="AM642" s="2">
        <f>IFERROR(__xludf.DUMMYFUNCTION("""COMPUTED_VALUE"""),2.0)</f>
        <v>2</v>
      </c>
      <c r="AN642" s="2" t="str">
        <f>IFERROR(__xludf.DUMMYFUNCTION("""COMPUTED_VALUE"""),"RCEF 23-09-21 Rebidding")</f>
        <v>RCEF 23-09-21 Rebidding</v>
      </c>
      <c r="AO642" s="2">
        <f>IFERROR(__xludf.DUMMYFUNCTION("""COMPUTED_VALUE"""),9.0)</f>
        <v>9</v>
      </c>
      <c r="AP642" s="2"/>
      <c r="AQ642" s="2"/>
      <c r="AR642" s="2"/>
      <c r="AS642" s="2"/>
      <c r="AT642" s="2"/>
      <c r="AU642" s="2"/>
      <c r="AV642" s="2"/>
      <c r="AW642" s="2"/>
      <c r="AX642" s="2"/>
      <c r="AY642" s="2"/>
      <c r="AZ642" s="2"/>
      <c r="BA642" s="2"/>
      <c r="BB642" s="2"/>
    </row>
    <row r="643">
      <c r="A643" s="2">
        <f>IFERROR(__xludf.DUMMYFUNCTION("""COMPUTED_VALUE"""),639.0)</f>
        <v>639</v>
      </c>
      <c r="B643" s="2" t="str">
        <f>IFERROR(__xludf.DUMMYFUNCTION("""COMPUTED_VALUE"""),"COMPLETED")</f>
        <v>COMPLETED</v>
      </c>
      <c r="C643" s="74">
        <f>IFERROR(__xludf.DUMMYFUNCTION("""COMPUTED_VALUE"""),45601.0)</f>
        <v>45601</v>
      </c>
      <c r="D643" s="71" t="str">
        <f>IFERROR(__xludf.DUMMYFUNCTION("""COMPUTED_VALUE"""),"Lumannap Aurora Irrigators Association Inc.")</f>
        <v>Lumannap Aurora Irrigators Association Inc.</v>
      </c>
      <c r="E643" s="71" t="str">
        <f>IFERROR(__xludf.DUMMYFUNCTION("""COMPUTED_VALUE"""),"Aurora, Quezon, NUEVA VIZCAYA")</f>
        <v>Aurora, Quezon, NUEVA VIZCAYA</v>
      </c>
      <c r="F643" s="2" t="str">
        <f>IFERROR(__xludf.DUMMYFUNCTION("""COMPUTED_VALUE"""),"Willy Jun Navarro")</f>
        <v>Willy Jun Navarro</v>
      </c>
      <c r="G643" s="2">
        <f>IFERROR(__xludf.DUMMYFUNCTION("""COMPUTED_VALUE"""),9.971567196E9)</f>
        <v>9971567196</v>
      </c>
      <c r="H643" s="2">
        <f>IFERROR(__xludf.DUMMYFUNCTION("""COMPUTED_VALUE"""),70.0)</f>
        <v>70</v>
      </c>
      <c r="I643" s="72" t="str">
        <f>IFERROR(__xludf.DUMMYFUNCTION("""COMPUTED_VALUE"""),"PMS")</f>
        <v>PMS</v>
      </c>
      <c r="J643" s="72" t="str">
        <f>IFERROR(__xludf.DUMMYFUNCTION("""COMPUTED_VALUE"""),"PMS")</f>
        <v>PMS</v>
      </c>
      <c r="K643" s="72" t="str">
        <f>IFERROR(__xludf.DUMMYFUNCTION("""COMPUTED_VALUE"""),"CFG: 1ST PMS")</f>
        <v>CFG: 1ST PMS</v>
      </c>
      <c r="L643" s="72" t="str">
        <f>IFERROR(__xludf.DUMMYFUNCTION("""COMPUTED_VALUE"""),"EGT: ENGINE CHANGE OIL AND CHECK UP UNIT")</f>
        <v>EGT: ENGINE CHANGE OIL AND CHECK UP UNIT</v>
      </c>
      <c r="M643" s="2"/>
      <c r="N643" s="2" t="str">
        <f>IFERROR(__xludf.DUMMYFUNCTION("""COMPUTED_VALUE"""),"PARTS: OIL FILTER, ENGINE OIL")</f>
        <v>PARTS: OIL FILTER, ENGINE OIL</v>
      </c>
      <c r="O643" s="2">
        <f>IFERROR(__xludf.DUMMYFUNCTION("""COMPUTED_VALUE"""),1323.0)</f>
        <v>1323</v>
      </c>
      <c r="P643" s="2"/>
      <c r="Q643" s="2"/>
      <c r="R643" s="74">
        <f>IFERROR(__xludf.DUMMYFUNCTION("""COMPUTED_VALUE"""),45604.0)</f>
        <v>45604</v>
      </c>
      <c r="S643" s="2" t="str">
        <f>IFERROR(__xludf.DUMMYFUNCTION("""COMPUTED_VALUE"""),"EGT/DRM")</f>
        <v>EGT/DRM</v>
      </c>
      <c r="T643" s="73">
        <f>IFERROR(__xludf.DUMMYFUNCTION("""COMPUTED_VALUE"""),3193.0)</f>
        <v>3193</v>
      </c>
      <c r="U643" s="73" t="str">
        <f>IFERROR(__xludf.DUMMYFUNCTION("""COMPUTED_VALUE""")," REMITTED ")</f>
        <v>REMITTED</v>
      </c>
      <c r="V643" s="2"/>
      <c r="W643" s="2">
        <f>IFERROR(__xludf.DUMMYFUNCTION("""COMPUTED_VALUE"""),1326.0)</f>
        <v>1326</v>
      </c>
      <c r="X643" s="2">
        <f>IFERROR(__xludf.DUMMYFUNCTION("""COMPUTED_VALUE"""),1232.0)</f>
        <v>1232</v>
      </c>
      <c r="Y643" s="2"/>
      <c r="Z643" s="2"/>
      <c r="AA643" s="2"/>
      <c r="AB643" s="2"/>
      <c r="AC643" s="2"/>
      <c r="AD643" s="2"/>
      <c r="AE643" s="2"/>
      <c r="AF643" s="2"/>
      <c r="AG643" s="2"/>
      <c r="AH643" s="2"/>
      <c r="AI643" s="2"/>
      <c r="AJ643" s="2" t="str">
        <f>IFERROR(__xludf.DUMMYFUNCTION("""COMPUTED_VALUE"""),"Aurora")</f>
        <v>Aurora</v>
      </c>
      <c r="AK643" s="2" t="str">
        <f>IFERROR(__xludf.DUMMYFUNCTION("""COMPUTED_VALUE"""),"Quezon")</f>
        <v>Quezon</v>
      </c>
      <c r="AL643" s="2" t="str">
        <f>IFERROR(__xludf.DUMMYFUNCTION("""COMPUTED_VALUE"""),"Nueva Vizcaya")</f>
        <v>Nueva Vizcaya</v>
      </c>
      <c r="AM643" s="2">
        <f>IFERROR(__xludf.DUMMYFUNCTION("""COMPUTED_VALUE"""),2.0)</f>
        <v>2</v>
      </c>
      <c r="AN643" s="2" t="str">
        <f>IFERROR(__xludf.DUMMYFUNCTION("""COMPUTED_VALUE"""),"RCEF 23-09-21 Rebidding")</f>
        <v>RCEF 23-09-21 Rebidding</v>
      </c>
      <c r="AO643" s="2">
        <f>IFERROR(__xludf.DUMMYFUNCTION("""COMPUTED_VALUE"""),9.0)</f>
        <v>9</v>
      </c>
      <c r="AP643" s="2"/>
      <c r="AQ643" s="2"/>
      <c r="AR643" s="2"/>
      <c r="AS643" s="2"/>
      <c r="AT643" s="2"/>
      <c r="AU643" s="2"/>
      <c r="AV643" s="2"/>
      <c r="AW643" s="2"/>
      <c r="AX643" s="2"/>
      <c r="AY643" s="2"/>
      <c r="AZ643" s="2"/>
      <c r="BA643" s="2"/>
      <c r="BB643" s="2"/>
    </row>
    <row r="644">
      <c r="A644" s="2">
        <f>IFERROR(__xludf.DUMMYFUNCTION("""COMPUTED_VALUE"""),640.0)</f>
        <v>640</v>
      </c>
      <c r="B644" s="2" t="str">
        <f>IFERROR(__xludf.DUMMYFUNCTION("""COMPUTED_VALUE"""),"COMPLETED")</f>
        <v>COMPLETED</v>
      </c>
      <c r="C644" s="74">
        <f>IFERROR(__xludf.DUMMYFUNCTION("""COMPUTED_VALUE"""),45601.0)</f>
        <v>45601</v>
      </c>
      <c r="D644" s="71" t="str">
        <f>IFERROR(__xludf.DUMMYFUNCTION("""COMPUTED_VALUE"""),"Asingan Mitura Farmers Irrigators Association")</f>
        <v>Asingan Mitura Farmers Irrigators Association</v>
      </c>
      <c r="E644" s="71" t="str">
        <f>IFERROR(__xludf.DUMMYFUNCTION("""COMPUTED_VALUE"""),"SOBOL, ASINGAN, PANGASINAN")</f>
        <v>SOBOL, ASINGAN, PANGASINAN</v>
      </c>
      <c r="F644" s="2" t="str">
        <f>IFERROR(__xludf.DUMMYFUNCTION("""COMPUTED_VALUE"""),"ASINGAN MITURA FARMERS IRRIGATORS
VINCENTE AQUINO")</f>
        <v>ASINGAN MITURA FARMERS IRRIGATORS
VINCENTE AQUINO</v>
      </c>
      <c r="G644" s="2" t="str">
        <f>IFERROR(__xludf.DUMMYFUNCTION("""COMPUTED_VALUE"""),"0930-830-4644")</f>
        <v>0930-830-4644</v>
      </c>
      <c r="H644" s="2">
        <f>IFERROR(__xludf.DUMMYFUNCTION("""COMPUTED_VALUE"""),49.6)</f>
        <v>49.6</v>
      </c>
      <c r="I644" s="72" t="str">
        <f>IFERROR(__xludf.DUMMYFUNCTION("""COMPUTED_VALUE"""),"PMS")</f>
        <v>PMS</v>
      </c>
      <c r="J644" s="72" t="str">
        <f>IFERROR(__xludf.DUMMYFUNCTION("""COMPUTED_VALUE"""),"PMS")</f>
        <v>PMS</v>
      </c>
      <c r="K644" s="72" t="str">
        <f>IFERROR(__xludf.DUMMYFUNCTION("""COMPUTED_VALUE"""),"ERP: 1ST PMS: self pms")</f>
        <v>ERP: 1ST PMS: self pms</v>
      </c>
      <c r="L644" s="72" t="str">
        <f>IFERROR(__xludf.DUMMYFUNCTION("""COMPUTED_VALUE"""),"SELF PMS: SEND AGREEMENT: FB: VICENTE AQUINO: AGREEMENT SENT:")</f>
        <v>SELF PMS: SEND AGREEMENT: FB: VICENTE AQUINO: AGREEMENT SENT:</v>
      </c>
      <c r="M644" s="2"/>
      <c r="N644" s="2"/>
      <c r="O644" s="2" t="str">
        <f>IFERROR(__xludf.DUMMYFUNCTION("""COMPUTED_VALUE"""),"N/A")</f>
        <v>N/A</v>
      </c>
      <c r="P644" s="2"/>
      <c r="Q644" s="2"/>
      <c r="R644" s="74">
        <f>IFERROR(__xludf.DUMMYFUNCTION("""COMPUTED_VALUE"""),45604.0)</f>
        <v>45604</v>
      </c>
      <c r="S644" s="2" t="str">
        <f>IFERROR(__xludf.DUMMYFUNCTION("""COMPUTED_VALUE"""),"MYKEE")</f>
        <v>MYKEE</v>
      </c>
      <c r="T644" s="73" t="str">
        <f>IFERROR(__xludf.DUMMYFUNCTION("""COMPUTED_VALUE""")," N/A ")</f>
        <v>N/A</v>
      </c>
      <c r="U644" s="73" t="str">
        <f>IFERROR(__xludf.DUMMYFUNCTION("""COMPUTED_VALUE""")," NO CHARGE ")</f>
        <v>NO CHARGE</v>
      </c>
      <c r="V644" s="2"/>
      <c r="W644" s="2" t="str">
        <f>IFERROR(__xludf.DUMMYFUNCTION("""COMPUTED_VALUE"""),"N/A")</f>
        <v>N/A</v>
      </c>
      <c r="X644" s="2" t="str">
        <f>IFERROR(__xludf.DUMMYFUNCTION("""COMPUTED_VALUE"""),"N/A")</f>
        <v>N/A</v>
      </c>
      <c r="Y644" s="2"/>
      <c r="Z644" s="2"/>
      <c r="AA644" s="2"/>
      <c r="AB644" s="2"/>
      <c r="AC644" s="2"/>
      <c r="AD644" s="2"/>
      <c r="AE644" s="2"/>
      <c r="AF644" s="2"/>
      <c r="AG644" s="2"/>
      <c r="AH644" s="2"/>
      <c r="AI644" s="2"/>
      <c r="AJ644" s="2" t="str">
        <f>IFERROR(__xludf.DUMMYFUNCTION("""COMPUTED_VALUE"""),"Sobol")</f>
        <v>Sobol</v>
      </c>
      <c r="AK644" s="2" t="str">
        <f>IFERROR(__xludf.DUMMYFUNCTION("""COMPUTED_VALUE"""),"Asingan")</f>
        <v>Asingan</v>
      </c>
      <c r="AL644" s="2" t="str">
        <f>IFERROR(__xludf.DUMMYFUNCTION("""COMPUTED_VALUE"""),"Pangasinan")</f>
        <v>Pangasinan</v>
      </c>
      <c r="AM644" s="2">
        <f>IFERROR(__xludf.DUMMYFUNCTION("""COMPUTED_VALUE"""),1.0)</f>
        <v>1</v>
      </c>
      <c r="AN644" s="2" t="str">
        <f>IFERROR(__xludf.DUMMYFUNCTION("""COMPUTED_VALUE"""),"RCEF 23-09-21 Rebidding")</f>
        <v>RCEF 23-09-21 Rebidding</v>
      </c>
      <c r="AO644" s="2">
        <f>IFERROR(__xludf.DUMMYFUNCTION("""COMPUTED_VALUE"""),2.0)</f>
        <v>2</v>
      </c>
      <c r="AP644" s="2"/>
      <c r="AQ644" s="2"/>
      <c r="AR644" s="2"/>
      <c r="AS644" s="2"/>
      <c r="AT644" s="2"/>
      <c r="AU644" s="2"/>
      <c r="AV644" s="2"/>
      <c r="AW644" s="2"/>
      <c r="AX644" s="2"/>
      <c r="AY644" s="2"/>
      <c r="AZ644" s="2"/>
      <c r="BA644" s="2"/>
      <c r="BB644" s="2"/>
    </row>
    <row r="645">
      <c r="A645" s="2">
        <f>IFERROR(__xludf.DUMMYFUNCTION("""COMPUTED_VALUE"""),641.0)</f>
        <v>641</v>
      </c>
      <c r="B645" s="2" t="str">
        <f>IFERROR(__xludf.DUMMYFUNCTION("""COMPUTED_VALUE"""),"COMPLETED")</f>
        <v>COMPLETED</v>
      </c>
      <c r="C645" s="74">
        <f>IFERROR(__xludf.DUMMYFUNCTION("""COMPUTED_VALUE"""),45602.0)</f>
        <v>45602</v>
      </c>
      <c r="D645" s="71" t="str">
        <f>IFERROR(__xludf.DUMMYFUNCTION("""COMPUTED_VALUE"""),"DIAGYAN MULTI FARMERS ASSOCIATION")</f>
        <v>DIAGYAN MULTI FARMERS ASSOCIATION</v>
      </c>
      <c r="E645" s="71" t="str">
        <f>IFERROR(__xludf.DUMMYFUNCTION("""COMPUTED_VALUE"""),"DIAGYAN, DILASAG, AURORA")</f>
        <v>DIAGYAN, DILASAG, AURORA</v>
      </c>
      <c r="F645" s="2" t="str">
        <f>IFERROR(__xludf.DUMMYFUNCTION("""COMPUTED_VALUE"""),"VINCENT P. BIO")</f>
        <v>VINCENT P. BIO</v>
      </c>
      <c r="G645" s="2">
        <f>IFERROR(__xludf.DUMMYFUNCTION("""COMPUTED_VALUE"""),9.656315318E9)</f>
        <v>9656315318</v>
      </c>
      <c r="H645" s="2">
        <f>IFERROR(__xludf.DUMMYFUNCTION("""COMPUTED_VALUE"""),331.0)</f>
        <v>331</v>
      </c>
      <c r="I645" s="72" t="str">
        <f>IFERROR(__xludf.DUMMYFUNCTION("""COMPUTED_VALUE"""),"REPAIR - TRACTOR")</f>
        <v>REPAIR - TRACTOR</v>
      </c>
      <c r="J645" s="72" t="str">
        <f>IFERROR(__xludf.DUMMYFUNCTION("""COMPUTED_VALUE"""),"CHECK UP/ REPAIR")</f>
        <v>CHECK UP/ REPAIR</v>
      </c>
      <c r="K645" s="72" t="str">
        <f>IFERROR(__xludf.DUMMYFUNCTION("""COMPUTED_VALUE"""),"EGT: Natanggal po yung hose ng filter sumabit po.
-Change Oil sa makina engine
JHP: PMS, PST oil ring, Pto malfunction, hydraulic filter replacement
")</f>
        <v>EGT: Natanggal po yung hose ng filter sumabit po.
-Change Oil sa makina engine
JHP: PMS, PST oil ring, Pto malfunction, hydraulic filter replacement
</v>
      </c>
      <c r="L645" s="72" t="str">
        <f>IFERROR(__xludf.DUMMYFUNCTION("""COMPUTED_VALUE"""),"JHP: 350 HRS Change oil, replace PST Oil ring, adjust pto control valve, replace hydraulic filter")</f>
        <v>JHP: 350 HRS Change oil, replace PST Oil ring, adjust pto control valve, replace hydraulic filter</v>
      </c>
      <c r="M645" s="2"/>
      <c r="N645" s="2" t="str">
        <f>IFERROR(__xludf.DUMMYFUNCTION("""COMPUTED_VALUE"""),"PARTS: HYDRAULIC FILTER, OIL FILTER, ENGINE OIL")</f>
        <v>PARTS: HYDRAULIC FILTER, OIL FILTER, ENGINE OIL</v>
      </c>
      <c r="O645" s="2">
        <f>IFERROR(__xludf.DUMMYFUNCTION("""COMPUTED_VALUE"""),1206.0)</f>
        <v>1206</v>
      </c>
      <c r="P645" s="2"/>
      <c r="Q645" s="2"/>
      <c r="R645" s="74">
        <f>IFERROR(__xludf.DUMMYFUNCTION("""COMPUTED_VALUE"""),45630.0)</f>
        <v>45630</v>
      </c>
      <c r="S645" s="2" t="str">
        <f>IFERROR(__xludf.DUMMYFUNCTION("""COMPUTED_VALUE"""),"JHP")</f>
        <v>JHP</v>
      </c>
      <c r="T645" s="73">
        <f>IFERROR(__xludf.DUMMYFUNCTION("""COMPUTED_VALUE"""),6000.0)</f>
        <v>6000</v>
      </c>
      <c r="U645" s="73" t="str">
        <f>IFERROR(__xludf.DUMMYFUNCTION("""COMPUTED_VALUE""")," REMITTED ")</f>
        <v>REMITTED</v>
      </c>
      <c r="V645" s="2"/>
      <c r="W645" s="2">
        <f>IFERROR(__xludf.DUMMYFUNCTION("""COMPUTED_VALUE"""),1149.0)</f>
        <v>1149</v>
      </c>
      <c r="X645" s="2">
        <f>IFERROR(__xludf.DUMMYFUNCTION("""COMPUTED_VALUE"""),1282.0)</f>
        <v>1282</v>
      </c>
      <c r="Y645" s="2"/>
      <c r="Z645" s="2"/>
      <c r="AA645" s="2"/>
      <c r="AB645" s="2"/>
      <c r="AC645" s="2"/>
      <c r="AD645" s="2"/>
      <c r="AE645" s="2"/>
      <c r="AF645" s="2"/>
      <c r="AG645" s="2"/>
      <c r="AH645" s="2"/>
      <c r="AI645" s="2"/>
      <c r="AJ645" s="2" t="str">
        <f>IFERROR(__xludf.DUMMYFUNCTION("""COMPUTED_VALUE"""),"Diagyan")</f>
        <v>Diagyan</v>
      </c>
      <c r="AK645" s="2" t="str">
        <f>IFERROR(__xludf.DUMMYFUNCTION("""COMPUTED_VALUE"""),"Dilasag")</f>
        <v>Dilasag</v>
      </c>
      <c r="AL645" s="2" t="str">
        <f>IFERROR(__xludf.DUMMYFUNCTION("""COMPUTED_VALUE"""),"Aurora")</f>
        <v>Aurora</v>
      </c>
      <c r="AM645" s="2">
        <f>IFERROR(__xludf.DUMMYFUNCTION("""COMPUTED_VALUE"""),3.0)</f>
        <v>3</v>
      </c>
      <c r="AN645" s="2" t="str">
        <f>IFERROR(__xludf.DUMMYFUNCTION("""COMPUTED_VALUE"""),"RCEF 23-09-21 Rebidding")</f>
        <v>RCEF 23-09-21 Rebidding</v>
      </c>
      <c r="AO645" s="2">
        <f>IFERROR(__xludf.DUMMYFUNCTION("""COMPUTED_VALUE"""),9.0)</f>
        <v>9</v>
      </c>
      <c r="AP645" s="2"/>
      <c r="AQ645" s="2"/>
      <c r="AR645" s="2"/>
      <c r="AS645" s="2"/>
      <c r="AT645" s="2"/>
      <c r="AU645" s="2"/>
      <c r="AV645" s="2"/>
      <c r="AW645" s="2"/>
      <c r="AX645" s="2"/>
      <c r="AY645" s="2"/>
      <c r="AZ645" s="2"/>
      <c r="BA645" s="2"/>
      <c r="BB645" s="2"/>
    </row>
    <row r="646">
      <c r="A646" s="2">
        <f>IFERROR(__xludf.DUMMYFUNCTION("""COMPUTED_VALUE"""),642.0)</f>
        <v>642</v>
      </c>
      <c r="B646" s="2" t="str">
        <f>IFERROR(__xludf.DUMMYFUNCTION("""COMPUTED_VALUE"""),"COMPLETED")</f>
        <v>COMPLETED</v>
      </c>
      <c r="C646" s="74">
        <f>IFERROR(__xludf.DUMMYFUNCTION("""COMPUTED_VALUE"""),45602.0)</f>
        <v>45602</v>
      </c>
      <c r="D646" s="71" t="str">
        <f>IFERROR(__xludf.DUMMYFUNCTION("""COMPUTED_VALUE"""),"BARUMBONG IRRIGATORS ASSOCIATION INC.")</f>
        <v>BARUMBONG IRRIGATORS ASSOCIATION INC.</v>
      </c>
      <c r="E646" s="71" t="str">
        <f>IFERROR(__xludf.DUMMYFUNCTION("""COMPUTED_VALUE"""),"Barumbong, Santo Tomas, ISABELA")</f>
        <v>Barumbong, Santo Tomas, ISABELA</v>
      </c>
      <c r="F646" s="2" t="str">
        <f>IFERROR(__xludf.DUMMYFUNCTION("""COMPUTED_VALUE"""),"Pres. Sonny Tallion")</f>
        <v>Pres. Sonny Tallion</v>
      </c>
      <c r="G646" s="2">
        <f>IFERROR(__xludf.DUMMYFUNCTION("""COMPUTED_VALUE"""),9.758262334E9)</f>
        <v>9758262334</v>
      </c>
      <c r="H646" s="2">
        <f>IFERROR(__xludf.DUMMYFUNCTION("""COMPUTED_VALUE"""),60113.4)</f>
        <v>60113.4</v>
      </c>
      <c r="I646" s="72" t="str">
        <f>IFERROR(__xludf.DUMMYFUNCTION("""COMPUTED_VALUE"""),"REPAIR - TRACTOR")</f>
        <v>REPAIR - TRACTOR</v>
      </c>
      <c r="J646" s="72" t="str">
        <f>IFERROR(__xludf.DUMMYFUNCTION("""COMPUTED_VALUE"""),"Front Axle - Leaking")</f>
        <v>Front Axle - Leaking</v>
      </c>
      <c r="K646" s="72" t="str">
        <f>IFERROR(__xludf.DUMMYFUNCTION("""COMPUTED_VALUE"""),"CFG: may tumagas na oil sa may kanan na gulong sa harap.")</f>
        <v>CFG: may tumagas na oil sa may kanan na gulong sa harap.</v>
      </c>
      <c r="L646" s="72" t="str">
        <f>IFERROR(__xludf.DUMMYFUNCTION("""COMPUTED_VALUE"""),"JVV: REPLACED FRONT AXLE OIL SEAL")</f>
        <v>JVV: REPLACED FRONT AXLE OIL SEAL</v>
      </c>
      <c r="M646" s="2"/>
      <c r="N646" s="2" t="str">
        <f>IFERROR(__xludf.DUMMYFUNCTION("""COMPUTED_VALUE"""),"PARTS: FRONT AXLE OIL SEAL")</f>
        <v>PARTS: FRONT AXLE OIL SEAL</v>
      </c>
      <c r="O646" s="2">
        <f>IFERROR(__xludf.DUMMYFUNCTION("""COMPUTED_VALUE"""),1156.0)</f>
        <v>1156</v>
      </c>
      <c r="P646" s="2"/>
      <c r="Q646" s="2"/>
      <c r="R646" s="74">
        <f>IFERROR(__xludf.DUMMYFUNCTION("""COMPUTED_VALUE"""),45613.0)</f>
        <v>45613</v>
      </c>
      <c r="S646" s="2" t="str">
        <f>IFERROR(__xludf.DUMMYFUNCTION("""COMPUTED_VALUE"""),"JVV/CFG")</f>
        <v>JVV/CFG</v>
      </c>
      <c r="T646" s="73">
        <f>IFERROR(__xludf.DUMMYFUNCTION("""COMPUTED_VALUE"""),2125.0)</f>
        <v>2125</v>
      </c>
      <c r="U646" s="73" t="str">
        <f>IFERROR(__xludf.DUMMYFUNCTION("""COMPUTED_VALUE""")," REMITTED ")</f>
        <v>REMITTED</v>
      </c>
      <c r="V646" s="2"/>
      <c r="W646" s="2">
        <f>IFERROR(__xludf.DUMMYFUNCTION("""COMPUTED_VALUE"""),1285.0)</f>
        <v>1285</v>
      </c>
      <c r="X646" s="2">
        <f>IFERROR(__xludf.DUMMYFUNCTION("""COMPUTED_VALUE"""),1299.0)</f>
        <v>1299</v>
      </c>
      <c r="Y646" s="2"/>
      <c r="Z646" s="2"/>
      <c r="AA646" s="2"/>
      <c r="AB646" s="2"/>
      <c r="AC646" s="2"/>
      <c r="AD646" s="2"/>
      <c r="AE646" s="2"/>
      <c r="AF646" s="2"/>
      <c r="AG646" s="2"/>
      <c r="AH646" s="2"/>
      <c r="AI646" s="2"/>
      <c r="AJ646" s="2" t="str">
        <f>IFERROR(__xludf.DUMMYFUNCTION("""COMPUTED_VALUE"""),"Barumbong")</f>
        <v>Barumbong</v>
      </c>
      <c r="AK646" s="2" t="str">
        <f>IFERROR(__xludf.DUMMYFUNCTION("""COMPUTED_VALUE"""),"Santo Tomas")</f>
        <v>Santo Tomas</v>
      </c>
      <c r="AL646" s="2" t="str">
        <f>IFERROR(__xludf.DUMMYFUNCTION("""COMPUTED_VALUE"""),"Isabela")</f>
        <v>Isabela</v>
      </c>
      <c r="AM646" s="2">
        <f>IFERROR(__xludf.DUMMYFUNCTION("""COMPUTED_VALUE"""),2.0)</f>
        <v>2</v>
      </c>
      <c r="AN646" s="2" t="str">
        <f>IFERROR(__xludf.DUMMYFUNCTION("""COMPUTED_VALUE"""),"RCEF 23-09-21 Rebidding")</f>
        <v>RCEF 23-09-21 Rebidding</v>
      </c>
      <c r="AO646" s="2">
        <f>IFERROR(__xludf.DUMMYFUNCTION("""COMPUTED_VALUE"""),9.0)</f>
        <v>9</v>
      </c>
      <c r="AP646" s="2"/>
      <c r="AQ646" s="2"/>
      <c r="AR646" s="2"/>
      <c r="AS646" s="2"/>
      <c r="AT646" s="2"/>
      <c r="AU646" s="2"/>
      <c r="AV646" s="2"/>
      <c r="AW646" s="2"/>
      <c r="AX646" s="2"/>
      <c r="AY646" s="2"/>
      <c r="AZ646" s="2"/>
      <c r="BA646" s="2"/>
      <c r="BB646" s="2"/>
    </row>
    <row r="647">
      <c r="A647" s="2">
        <f>IFERROR(__xludf.DUMMYFUNCTION("""COMPUTED_VALUE"""),643.0)</f>
        <v>643</v>
      </c>
      <c r="B647" s="2" t="str">
        <f>IFERROR(__xludf.DUMMYFUNCTION("""COMPUTED_VALUE"""),"COMPLETED")</f>
        <v>COMPLETED</v>
      </c>
      <c r="C647" s="74">
        <f>IFERROR(__xludf.DUMMYFUNCTION("""COMPUTED_VALUE"""),45602.0)</f>
        <v>45602</v>
      </c>
      <c r="D647" s="71" t="str">
        <f>IFERROR(__xludf.DUMMYFUNCTION("""COMPUTED_VALUE"""),"STA. RITA RICE, CORN, HVCC AND LIVESTOCK FARMERS ASSOCIATION")</f>
        <v>STA. RITA RICE, CORN, HVCC AND LIVESTOCK FARMERS ASSOCIATION</v>
      </c>
      <c r="E647" s="71" t="str">
        <f>IFERROR(__xludf.DUMMYFUNCTION("""COMPUTED_VALUE""")," ")</f>
        <v> </v>
      </c>
      <c r="F647" s="2" t="str">
        <f>IFERROR(__xludf.DUMMYFUNCTION("""COMPUTED_VALUE"""),"FLORENTINO I. CALAWAGAN JR.")</f>
        <v>FLORENTINO I. CALAWAGAN JR.</v>
      </c>
      <c r="G647" s="2">
        <f>IFERROR(__xludf.DUMMYFUNCTION("""COMPUTED_VALUE"""),9.46278586E9)</f>
        <v>9462785860</v>
      </c>
      <c r="H647" s="2">
        <f>IFERROR(__xludf.DUMMYFUNCTION("""COMPUTED_VALUE"""),248.0)</f>
        <v>248</v>
      </c>
      <c r="I647" s="72" t="str">
        <f>IFERROR(__xludf.DUMMYFUNCTION("""COMPUTED_VALUE"""),"REPAIR - TRACTOR")</f>
        <v>REPAIR - TRACTOR</v>
      </c>
      <c r="J647" s="72" t="str">
        <f>IFERROR(__xludf.DUMMYFUNCTION("""COMPUTED_VALUE"""),"PTO Valve")</f>
        <v>PTO Valve</v>
      </c>
      <c r="K647" s="72" t="str">
        <f>IFERROR(__xludf.DUMMYFUNCTION("""COMPUTED_VALUE"""),"DSD:  Pahinto hinto ang rotavator 
1363
JDP: 11/6/24: PAHINTO HINTO ANG PTOKAPAG NAGAMIT NA NGMORE THAN 10 MINS. GAGANALANG ULIT ANGPTO AFTER 5 MINS. NAG ADJUST NADIN KAMI SA PTO VALVE AT SENSOR GANUN PARIN ANG NANGYAYARE HUMIHINTO PARIN. 
NI RECOMMEND N"&amp;"I SIR ARCHIE NA PALITAN ANGHYDRAULIC FILTER AT OIL.
PARTS: SOLINOID PTO VALVE
1101
DRM/ACS: 11/15/24: TESTING AND TROUBLESHOOT")</f>
        <v>DSD:  Pahinto hinto ang rotavator 
1363
JDP: 11/6/24: PAHINTO HINTO ANG PTOKAPAG NAGAMIT NA NGMORE THAN 10 MINS. GAGANALANG ULIT ANGPTO AFTER 5 MINS. NAG ADJUST NADIN KAMI SA PTO VALVE AT SENSOR GANUN PARIN ANG NANGYAYARE HUMIHINTO PARIN. 
NI RECOMMEND NI SIR ARCHIE NA PALITAN ANGHYDRAULIC FILTER AT OIL.
PARTS: SOLINOID PTO VALVE
1101
DRM/ACS: 11/15/24: TESTING AND TROUBLESHOOT</v>
      </c>
      <c r="L647" s="72" t="str">
        <f>IFERROR(__xludf.DUMMYFUNCTION("""COMPUTED_VALUE"""),"DSD: CLOSED NA HINDI NAMAN NA NATAWAG
JDP: TROUBLESHOOT AND ADJUSTMENT OF PTO VALVE")</f>
        <v>DSD: CLOSED NA HINDI NAMAN NA NATAWAG
JDP: TROUBLESHOOT AND ADJUSTMENT OF PTO VALVE</v>
      </c>
      <c r="M647" s="2"/>
      <c r="N647" s="2"/>
      <c r="O647" s="2">
        <f>IFERROR(__xludf.DUMMYFUNCTION("""COMPUTED_VALUE"""),1363.0)</f>
        <v>1363</v>
      </c>
      <c r="P647" s="2"/>
      <c r="Q647" s="2" t="str">
        <f>IFERROR(__xludf.DUMMYFUNCTION("""COMPUTED_VALUE"""),"Y")</f>
        <v>Y</v>
      </c>
      <c r="R647" s="74">
        <f>IFERROR(__xludf.DUMMYFUNCTION("""COMPUTED_VALUE"""),45645.0)</f>
        <v>45645</v>
      </c>
      <c r="S647" s="2" t="str">
        <f>IFERROR(__xludf.DUMMYFUNCTION("""COMPUTED_VALUE"""),"DSD")</f>
        <v>DSD</v>
      </c>
      <c r="T647" s="73" t="str">
        <f>IFERROR(__xludf.DUMMYFUNCTION("""COMPUTED_VALUE""")," N/A ")</f>
        <v>N/A</v>
      </c>
      <c r="U647" s="73" t="str">
        <f>IFERROR(__xludf.DUMMYFUNCTION("""COMPUTED_VALUE""")," NO CHARGE ")</f>
        <v>NO CHARGE</v>
      </c>
      <c r="V647" s="2"/>
      <c r="W647" s="2" t="str">
        <f>IFERROR(__xludf.DUMMYFUNCTION("""COMPUTED_VALUE"""),"N/A")</f>
        <v>N/A</v>
      </c>
      <c r="X647" s="2" t="str">
        <f>IFERROR(__xludf.DUMMYFUNCTION("""COMPUTED_VALUE"""),"N/A")</f>
        <v>N/A</v>
      </c>
      <c r="Y647" s="2" t="str">
        <f>IFERROR(__xludf.DUMMYFUNCTION("""COMPUTED_VALUE"""),"1363: PRINTED/ SAVE TO FOLDER (SOFT COPY)")</f>
        <v>1363: PRINTED/ SAVE TO FOLDER (SOFT COPY)</v>
      </c>
      <c r="Z647" s="2"/>
      <c r="AA647" s="2"/>
      <c r="AB647" s="2"/>
      <c r="AC647" s="2"/>
      <c r="AD647" s="2"/>
      <c r="AE647" s="2"/>
      <c r="AF647" s="2"/>
      <c r="AG647" s="2"/>
      <c r="AH647" s="2"/>
      <c r="AI647" s="2"/>
      <c r="AJ647" s="2" t="str">
        <f>IFERROR(__xludf.DUMMYFUNCTION("""COMPUTED_VALUE"""),"")</f>
        <v/>
      </c>
      <c r="AK647" s="2" t="str">
        <f>IFERROR(__xludf.DUMMYFUNCTION("""COMPUTED_VALUE"""),"")</f>
        <v/>
      </c>
      <c r="AL647" s="2" t="str">
        <f>IFERROR(__xludf.DUMMYFUNCTION("""COMPUTED_VALUE"""),"")</f>
        <v/>
      </c>
      <c r="AM647" s="2" t="str">
        <f>IFERROR(__xludf.DUMMYFUNCTION("""COMPUTED_VALUE"""),"")</f>
        <v/>
      </c>
      <c r="AN647" s="2" t="str">
        <f>IFERROR(__xludf.DUMMYFUNCTION("""COMPUTED_VALUE""")," ")</f>
        <v> </v>
      </c>
      <c r="AO647" s="2" t="str">
        <f>IFERROR(__xludf.DUMMYFUNCTION("""COMPUTED_VALUE""")," ")</f>
        <v> </v>
      </c>
      <c r="AP647" s="2" t="str">
        <f>IFERROR(__xludf.DUMMYFUNCTION("""COMPUTED_VALUE"""),"")</f>
        <v/>
      </c>
      <c r="AQ647" s="2"/>
      <c r="AR647" s="2"/>
      <c r="AS647" s="2"/>
      <c r="AT647" s="2"/>
      <c r="AU647" s="2"/>
      <c r="AV647" s="2"/>
      <c r="AW647" s="2"/>
      <c r="AX647" s="2"/>
      <c r="AY647" s="2"/>
      <c r="AZ647" s="2"/>
      <c r="BA647" s="2"/>
      <c r="BB647" s="2"/>
    </row>
    <row r="648">
      <c r="A648" s="2">
        <f>IFERROR(__xludf.DUMMYFUNCTION("""COMPUTED_VALUE"""),644.0)</f>
        <v>644</v>
      </c>
      <c r="B648" s="2" t="str">
        <f>IFERROR(__xludf.DUMMYFUNCTION("""COMPUTED_VALUE"""),"COMPLETED")</f>
        <v>COMPLETED</v>
      </c>
      <c r="C648" s="74">
        <f>IFERROR(__xludf.DUMMYFUNCTION("""COMPUTED_VALUE"""),45602.0)</f>
        <v>45602</v>
      </c>
      <c r="D648" s="71" t="str">
        <f>IFERROR(__xludf.DUMMYFUNCTION("""COMPUTED_VALUE"""),"SAN PEDRO FARMERS ASSOCIATION")</f>
        <v>SAN PEDRO FARMERS ASSOCIATION</v>
      </c>
      <c r="E648" s="71" t="str">
        <f>IFERROR(__xludf.DUMMYFUNCTION("""COMPUTED_VALUE"""),"San Pedro (Pob.), Hermosa, BATAAN")</f>
        <v>San Pedro (Pob.), Hermosa, BATAAN</v>
      </c>
      <c r="F648" s="2" t="str">
        <f>IFERROR(__xludf.DUMMYFUNCTION("""COMPUTED_VALUE"""),"Benjamin Q. de Guzman.")</f>
        <v>Benjamin Q. de Guzman.</v>
      </c>
      <c r="G648" s="2" t="str">
        <f>IFERROR(__xludf.DUMMYFUNCTION("""COMPUTED_VALUE"""),"0920-8017-267")</f>
        <v>0920-8017-267</v>
      </c>
      <c r="H648" s="2"/>
      <c r="I648" s="72" t="str">
        <f>IFERROR(__xludf.DUMMYFUNCTION("""COMPUTED_VALUE"""),"REPAIR - TRACTOR")</f>
        <v>REPAIR - TRACTOR</v>
      </c>
      <c r="J648" s="72" t="str">
        <f>IFERROR(__xludf.DUMMYFUNCTION("""COMPUTED_VALUE"""),"Electrical - Brake Light Switch")</f>
        <v>Electrical - Brake Light Switch</v>
      </c>
      <c r="K648" s="72" t="str">
        <f>IFERROR(__xludf.DUMMYFUNCTION("""COMPUTED_VALUE"""),"JDP: Hello ito po yong tumawag tungkol sa brake switch ng TYM tractor
PARTS: BRAKE LIGHT SWITCH")</f>
        <v>JDP: Hello ito po yong tumawag tungkol sa brake switch ng TYM tractor
PARTS: BRAKE LIGHT SWITCH</v>
      </c>
      <c r="L648" s="72" t="str">
        <f>IFERROR(__xludf.DUMMYFUNCTION("""COMPUTED_VALUE"""),"EGT: CLOSE ")</f>
        <v>EGT: CLOSE </v>
      </c>
      <c r="M648" s="2"/>
      <c r="N648" s="2"/>
      <c r="O648" s="2" t="str">
        <f>IFERROR(__xludf.DUMMYFUNCTION("""COMPUTED_VALUE"""),"N/A")</f>
        <v>N/A</v>
      </c>
      <c r="P648" s="2"/>
      <c r="Q648" s="2"/>
      <c r="R648" s="74">
        <f>IFERROR(__xludf.DUMMYFUNCTION("""COMPUTED_VALUE"""),45758.0)</f>
        <v>45758</v>
      </c>
      <c r="S648" s="2" t="str">
        <f>IFERROR(__xludf.DUMMYFUNCTION("""COMPUTED_VALUE"""),"EGT/DRM")</f>
        <v>EGT/DRM</v>
      </c>
      <c r="T648" s="73" t="str">
        <f>IFERROR(__xludf.DUMMYFUNCTION("""COMPUTED_VALUE""")," N/A ")</f>
        <v>N/A</v>
      </c>
      <c r="U648" s="73" t="str">
        <f>IFERROR(__xludf.DUMMYFUNCTION("""COMPUTED_VALUE""")," NO CHARGE ")</f>
        <v>NO CHARGE</v>
      </c>
      <c r="V648" s="2"/>
      <c r="W648" s="2" t="str">
        <f>IFERROR(__xludf.DUMMYFUNCTION("""COMPUTED_VALUE"""),"N/A")</f>
        <v>N/A</v>
      </c>
      <c r="X648" s="2" t="str">
        <f>IFERROR(__xludf.DUMMYFUNCTION("""COMPUTED_VALUE"""),"N/A")</f>
        <v>N/A</v>
      </c>
      <c r="Y648" s="2"/>
      <c r="Z648" s="2"/>
      <c r="AA648" s="2"/>
      <c r="AB648" s="2"/>
      <c r="AC648" s="2"/>
      <c r="AD648" s="2"/>
      <c r="AE648" s="2"/>
      <c r="AF648" s="2"/>
      <c r="AG648" s="2"/>
      <c r="AH648" s="2"/>
      <c r="AI648" s="2"/>
      <c r="AJ648" s="2" t="str">
        <f>IFERROR(__xludf.DUMMYFUNCTION("""COMPUTED_VALUE"""),"San Pedro (Pob.)")</f>
        <v>San Pedro (Pob.)</v>
      </c>
      <c r="AK648" s="2" t="str">
        <f>IFERROR(__xludf.DUMMYFUNCTION("""COMPUTED_VALUE"""),"Hermosa")</f>
        <v>Hermosa</v>
      </c>
      <c r="AL648" s="2" t="str">
        <f>IFERROR(__xludf.DUMMYFUNCTION("""COMPUTED_VALUE"""),"Bataan")</f>
        <v>Bataan</v>
      </c>
      <c r="AM648" s="2">
        <f>IFERROR(__xludf.DUMMYFUNCTION("""COMPUTED_VALUE"""),3.0)</f>
        <v>3</v>
      </c>
      <c r="AN648" s="2" t="str">
        <f>IFERROR(__xludf.DUMMYFUNCTION("""COMPUTED_VALUE"""),"RCEF 23-09-21 Rebidding")</f>
        <v>RCEF 23-09-21 Rebidding</v>
      </c>
      <c r="AO648" s="2">
        <f>IFERROR(__xludf.DUMMYFUNCTION("""COMPUTED_VALUE"""),3.0)</f>
        <v>3</v>
      </c>
      <c r="AP648" s="2"/>
      <c r="AQ648" s="2"/>
      <c r="AR648" s="2"/>
      <c r="AS648" s="2"/>
      <c r="AT648" s="2"/>
      <c r="AU648" s="2"/>
      <c r="AV648" s="2"/>
      <c r="AW648" s="2"/>
      <c r="AX648" s="2"/>
      <c r="AY648" s="2"/>
      <c r="AZ648" s="2"/>
      <c r="BA648" s="2"/>
      <c r="BB648" s="2"/>
    </row>
    <row r="649">
      <c r="A649" s="2">
        <f>IFERROR(__xludf.DUMMYFUNCTION("""COMPUTED_VALUE"""),645.0)</f>
        <v>645</v>
      </c>
      <c r="B649" s="2" t="str">
        <f>IFERROR(__xludf.DUMMYFUNCTION("""COMPUTED_VALUE"""),"COMPLETED")</f>
        <v>COMPLETED</v>
      </c>
      <c r="C649" s="74">
        <f>IFERROR(__xludf.DUMMYFUNCTION("""COMPUTED_VALUE"""),45602.0)</f>
        <v>45602</v>
      </c>
      <c r="D649" s="71" t="str">
        <f>IFERROR(__xludf.DUMMYFUNCTION("""COMPUTED_VALUE"""),"Barangay Angub Farmers Association")</f>
        <v>Barangay Angub Farmers Association</v>
      </c>
      <c r="E649" s="71" t="str">
        <f>IFERROR(__xludf.DUMMYFUNCTION("""COMPUTED_VALUE"""),"Angub, Cuartero, CAPIZ")</f>
        <v>Angub, Cuartero, CAPIZ</v>
      </c>
      <c r="F649" s="2" t="str">
        <f>IFERROR(__xludf.DUMMYFUNCTION("""COMPUTED_VALUE"""),"RAPHAELA NAVARRO")</f>
        <v>RAPHAELA NAVARRO</v>
      </c>
      <c r="G649" s="2">
        <f>IFERROR(__xludf.DUMMYFUNCTION("""COMPUTED_VALUE"""),9.381608639E9)</f>
        <v>9381608639</v>
      </c>
      <c r="H649" s="2">
        <f>IFERROR(__xludf.DUMMYFUNCTION("""COMPUTED_VALUE"""),51.3)</f>
        <v>51.3</v>
      </c>
      <c r="I649" s="72" t="str">
        <f>IFERROR(__xludf.DUMMYFUNCTION("""COMPUTED_VALUE"""),"PMS")</f>
        <v>PMS</v>
      </c>
      <c r="J649" s="72" t="str">
        <f>IFERROR(__xludf.DUMMYFUNCTION("""COMPUTED_VALUE"""),"PMS")</f>
        <v>PMS</v>
      </c>
      <c r="K649" s="72" t="str">
        <f>IFERROR(__xludf.DUMMYFUNCTION("""COMPUTED_VALUE"""),"DRM: 1ST PMS: SELF PMS")</f>
        <v>DRM: 1ST PMS: SELF PMS</v>
      </c>
      <c r="L649" s="72" t="str">
        <f>IFERROR(__xludf.DUMMYFUNCTION("""COMPUTED_VALUE"""),"SEND AGREEMENT: Raphaela Famor Navarro")</f>
        <v>SEND AGREEMENT: Raphaela Famor Navarro</v>
      </c>
      <c r="M649" s="2"/>
      <c r="N649" s="2"/>
      <c r="O649" s="2" t="str">
        <f>IFERROR(__xludf.DUMMYFUNCTION("""COMPUTED_VALUE"""),"N/A")</f>
        <v>N/A</v>
      </c>
      <c r="P649" s="2"/>
      <c r="Q649" s="2"/>
      <c r="R649" s="74">
        <f>IFERROR(__xludf.DUMMYFUNCTION("""COMPUTED_VALUE"""),45611.0)</f>
        <v>45611</v>
      </c>
      <c r="S649" s="2"/>
      <c r="T649" s="2"/>
      <c r="U649" s="2"/>
      <c r="V649" s="2"/>
      <c r="W649" s="2"/>
      <c r="X649" s="2"/>
      <c r="Y649" s="2"/>
      <c r="Z649" s="2"/>
      <c r="AA649" s="2"/>
      <c r="AB649" s="2"/>
      <c r="AC649" s="2"/>
      <c r="AD649" s="2"/>
      <c r="AE649" s="2"/>
      <c r="AF649" s="2"/>
      <c r="AG649" s="2"/>
      <c r="AH649" s="2"/>
      <c r="AI649" s="2"/>
      <c r="AJ649" s="2" t="str">
        <f>IFERROR(__xludf.DUMMYFUNCTION("""COMPUTED_VALUE"""),"Angub")</f>
        <v>Angub</v>
      </c>
      <c r="AK649" s="2" t="str">
        <f>IFERROR(__xludf.DUMMYFUNCTION("""COMPUTED_VALUE"""),"Cuartero")</f>
        <v>Cuartero</v>
      </c>
      <c r="AL649" s="2" t="str">
        <f>IFERROR(__xludf.DUMMYFUNCTION("""COMPUTED_VALUE"""),"Capiz")</f>
        <v>Capiz</v>
      </c>
      <c r="AM649" s="2">
        <f>IFERROR(__xludf.DUMMYFUNCTION("""COMPUTED_VALUE"""),6.0)</f>
        <v>6</v>
      </c>
      <c r="AN649" s="2" t="str">
        <f>IFERROR(__xludf.DUMMYFUNCTION("""COMPUTED_VALUE"""),"RCEF 23-09-21 Rebidding")</f>
        <v>RCEF 23-09-21 Rebidding</v>
      </c>
      <c r="AO649" s="2">
        <f>IFERROR(__xludf.DUMMYFUNCTION("""COMPUTED_VALUE"""),4.0)</f>
        <v>4</v>
      </c>
      <c r="AP649" s="2"/>
      <c r="AQ649" s="2"/>
      <c r="AR649" s="2"/>
      <c r="AS649" s="2"/>
      <c r="AT649" s="2"/>
      <c r="AU649" s="2"/>
      <c r="AV649" s="2"/>
      <c r="AW649" s="2"/>
      <c r="AX649" s="2"/>
      <c r="AY649" s="2"/>
      <c r="AZ649" s="2"/>
      <c r="BA649" s="2"/>
      <c r="BB649" s="2"/>
    </row>
    <row r="650">
      <c r="A650" s="2">
        <f>IFERROR(__xludf.DUMMYFUNCTION("""COMPUTED_VALUE"""),646.0)</f>
        <v>646</v>
      </c>
      <c r="B650" s="2" t="str">
        <f>IFERROR(__xludf.DUMMYFUNCTION("""COMPUTED_VALUE"""),"COMPLETED")</f>
        <v>COMPLETED</v>
      </c>
      <c r="C650" s="74">
        <f>IFERROR(__xludf.DUMMYFUNCTION("""COMPUTED_VALUE"""),45603.0)</f>
        <v>45603</v>
      </c>
      <c r="D650" s="71" t="str">
        <f>IFERROR(__xludf.DUMMYFUNCTION("""COMPUTED_VALUE"""),"West Dullao Farmers Association Inc.")</f>
        <v>West Dullao Farmers Association Inc.</v>
      </c>
      <c r="E650" s="71" t="str">
        <f>IFERROR(__xludf.DUMMYFUNCTION("""COMPUTED_VALUE""")," ")</f>
        <v> </v>
      </c>
      <c r="F650" s="2" t="str">
        <f>IFERROR(__xludf.DUMMYFUNCTION("""COMPUTED_VALUE"""),"Leonardo cabical")</f>
        <v>Leonardo cabical</v>
      </c>
      <c r="G650" s="2" t="str">
        <f>IFERROR(__xludf.DUMMYFUNCTION("""COMPUTED_VALUE"""),"09190917184/09652732139")</f>
        <v>09190917184/09652732139</v>
      </c>
      <c r="H650" s="2"/>
      <c r="I650" s="72" t="str">
        <f>IFERROR(__xludf.DUMMYFUNCTION("""COMPUTED_VALUE"""),"REPAIR - TRACTOR")</f>
        <v>REPAIR - TRACTOR</v>
      </c>
      <c r="J650" s="72" t="str">
        <f>IFERROR(__xludf.DUMMYFUNCTION("""COMPUTED_VALUE"""),"PTO SWITCH")</f>
        <v>PTO SWITCH</v>
      </c>
      <c r="K650" s="72" t="str">
        <f>IFERROR(__xludf.DUMMYFUNCTION("""COMPUTED_VALUE"""),"CFG: May nasira po sa four wheel fractor.
GUSTO NILA PUNTAHAN PARA MA CHECK")</f>
        <v>CFG: May nasira po sa four wheel fractor.
GUSTO NILA PUNTAHAN PARA MA CHECK</v>
      </c>
      <c r="L650" s="72" t="str">
        <f>IFERROR(__xludf.DUMMYFUNCTION("""COMPUTED_VALUE"""),"JVV: SIRA ANG PTO SWITCH, PINALITAN PO NG PTCO SWITCH ")</f>
        <v>JVV: SIRA ANG PTO SWITCH, PINALITAN PO NG PTCO SWITCH </v>
      </c>
      <c r="M650" s="2"/>
      <c r="N650" s="2" t="str">
        <f>IFERROR(__xludf.DUMMYFUNCTION("""COMPUTED_VALUE"""),"PARTS: PTO SWITCH")</f>
        <v>PARTS: PTO SWITCH</v>
      </c>
      <c r="O650" s="2">
        <f>IFERROR(__xludf.DUMMYFUNCTION("""COMPUTED_VALUE"""),1157.0)</f>
        <v>1157</v>
      </c>
      <c r="P650" s="2"/>
      <c r="Q650" s="2"/>
      <c r="R650" s="74">
        <f>IFERROR(__xludf.DUMMYFUNCTION("""COMPUTED_VALUE"""),45614.0)</f>
        <v>45614</v>
      </c>
      <c r="S650" s="2" t="str">
        <f>IFERROR(__xludf.DUMMYFUNCTION("""COMPUTED_VALUE"""),"CFG/JVV")</f>
        <v>CFG/JVV</v>
      </c>
      <c r="T650" s="73">
        <f>IFERROR(__xludf.DUMMYFUNCTION("""COMPUTED_VALUE"""),4225.0)</f>
        <v>4225</v>
      </c>
      <c r="U650" s="73" t="str">
        <f>IFERROR(__xludf.DUMMYFUNCTION("""COMPUTED_VALUE""")," REMITTED ")</f>
        <v>REMITTED</v>
      </c>
      <c r="V650" s="2"/>
      <c r="W650" s="2">
        <f>IFERROR(__xludf.DUMMYFUNCTION("""COMPUTED_VALUE"""),1286.0)</f>
        <v>1286</v>
      </c>
      <c r="X650" s="2">
        <f>IFERROR(__xludf.DUMMYFUNCTION("""COMPUTED_VALUE"""),1300.0)</f>
        <v>1300</v>
      </c>
      <c r="Y650" s="2"/>
      <c r="Z650" s="2"/>
      <c r="AA650" s="2"/>
      <c r="AB650" s="2"/>
      <c r="AC650" s="2"/>
      <c r="AD650" s="2"/>
      <c r="AE650" s="2"/>
      <c r="AF650" s="2"/>
      <c r="AG650" s="2"/>
      <c r="AH650" s="2"/>
      <c r="AI650" s="2"/>
      <c r="AJ650" s="2" t="str">
        <f>IFERROR(__xludf.DUMMYFUNCTION("""COMPUTED_VALUE"""),"")</f>
        <v/>
      </c>
      <c r="AK650" s="2" t="str">
        <f>IFERROR(__xludf.DUMMYFUNCTION("""COMPUTED_VALUE"""),"")</f>
        <v/>
      </c>
      <c r="AL650" s="2" t="str">
        <f>IFERROR(__xludf.DUMMYFUNCTION("""COMPUTED_VALUE"""),"")</f>
        <v/>
      </c>
      <c r="AM650" s="2" t="str">
        <f>IFERROR(__xludf.DUMMYFUNCTION("""COMPUTED_VALUE"""),"")</f>
        <v/>
      </c>
      <c r="AN650" s="2" t="str">
        <f>IFERROR(__xludf.DUMMYFUNCTION("""COMPUTED_VALUE""")," ")</f>
        <v> </v>
      </c>
      <c r="AO650" s="2" t="str">
        <f>IFERROR(__xludf.DUMMYFUNCTION("""COMPUTED_VALUE""")," ")</f>
        <v> </v>
      </c>
      <c r="AP650" s="2" t="str">
        <f>IFERROR(__xludf.DUMMYFUNCTION("""COMPUTED_VALUE"""),"")</f>
        <v/>
      </c>
      <c r="AQ650" s="2"/>
      <c r="AR650" s="2"/>
      <c r="AS650" s="2"/>
      <c r="AT650" s="2"/>
      <c r="AU650" s="2"/>
      <c r="AV650" s="2"/>
      <c r="AW650" s="2"/>
      <c r="AX650" s="2"/>
      <c r="AY650" s="2"/>
      <c r="AZ650" s="2"/>
      <c r="BA650" s="2"/>
      <c r="BB650" s="2"/>
    </row>
    <row r="651">
      <c r="A651" s="2">
        <f>IFERROR(__xludf.DUMMYFUNCTION("""COMPUTED_VALUE"""),647.0)</f>
        <v>647</v>
      </c>
      <c r="B651" s="2" t="str">
        <f>IFERROR(__xludf.DUMMYFUNCTION("""COMPUTED_VALUE"""),"COMPLETED")</f>
        <v>COMPLETED</v>
      </c>
      <c r="C651" s="74">
        <f>IFERROR(__xludf.DUMMYFUNCTION("""COMPUTED_VALUE"""),45604.0)</f>
        <v>45604</v>
      </c>
      <c r="D651" s="71" t="str">
        <f>IFERROR(__xludf.DUMMYFUNCTION("""COMPUTED_VALUE"""),"Nasunogan Farmers Association")</f>
        <v>Nasunogan Farmers Association</v>
      </c>
      <c r="E651" s="71" t="str">
        <f>IFERROR(__xludf.DUMMYFUNCTION("""COMPUTED_VALUE"""),"Nasunogan, Dao, CAPIZ")</f>
        <v>Nasunogan, Dao, CAPIZ</v>
      </c>
      <c r="F651" s="2" t="str">
        <f>IFERROR(__xludf.DUMMYFUNCTION("""COMPUTED_VALUE"""),"Leonardo G. Venus")</f>
        <v>Leonardo G. Venus</v>
      </c>
      <c r="G651" s="2" t="str">
        <f>IFERROR(__xludf.DUMMYFUNCTION("""COMPUTED_VALUE"""),"0963-433-3468")</f>
        <v>0963-433-3468</v>
      </c>
      <c r="H651" s="2">
        <f>IFERROR(__xludf.DUMMYFUNCTION("""COMPUTED_VALUE"""),47.0)</f>
        <v>47</v>
      </c>
      <c r="I651" s="72" t="str">
        <f>IFERROR(__xludf.DUMMYFUNCTION("""COMPUTED_VALUE"""),"PMS")</f>
        <v>PMS</v>
      </c>
      <c r="J651" s="72" t="str">
        <f>IFERROR(__xludf.DUMMYFUNCTION("""COMPUTED_VALUE"""),"PMS")</f>
        <v>PMS</v>
      </c>
      <c r="K651" s="72" t="str">
        <f>IFERROR(__xludf.DUMMYFUNCTION("""COMPUTED_VALUE"""),"MYKEE: 1ST PMS: SELF PMS")</f>
        <v>MYKEE: 1ST PMS: SELF PMS</v>
      </c>
      <c r="L651" s="72" t="str">
        <f>IFERROR(__xludf.DUMMYFUNCTION("""COMPUTED_VALUE"""),"SEND AGREEMENT: FB: LEONARDO VENUZ: AGREEMENT SENT")</f>
        <v>SEND AGREEMENT: FB: LEONARDO VENUZ: AGREEMENT SENT</v>
      </c>
      <c r="M651" s="2"/>
      <c r="N651" s="2"/>
      <c r="O651" s="2" t="str">
        <f>IFERROR(__xludf.DUMMYFUNCTION("""COMPUTED_VALUE"""),"N/A")</f>
        <v>N/A</v>
      </c>
      <c r="P651" s="2"/>
      <c r="Q651" s="2"/>
      <c r="R651" s="74">
        <f>IFERROR(__xludf.DUMMYFUNCTION("""COMPUTED_VALUE"""),45616.0)</f>
        <v>45616</v>
      </c>
      <c r="S651" s="2" t="str">
        <f>IFERROR(__xludf.DUMMYFUNCTION("""COMPUTED_VALUE"""),"MYKEE")</f>
        <v>MYKEE</v>
      </c>
      <c r="T651" s="73" t="str">
        <f>IFERROR(__xludf.DUMMYFUNCTION("""COMPUTED_VALUE""")," N/A ")</f>
        <v>N/A</v>
      </c>
      <c r="U651" s="73" t="str">
        <f>IFERROR(__xludf.DUMMYFUNCTION("""COMPUTED_VALUE""")," NO CHARGE ")</f>
        <v>NO CHARGE</v>
      </c>
      <c r="V651" s="2"/>
      <c r="W651" s="2" t="str">
        <f>IFERROR(__xludf.DUMMYFUNCTION("""COMPUTED_VALUE"""),"N/A")</f>
        <v>N/A</v>
      </c>
      <c r="X651" s="2" t="str">
        <f>IFERROR(__xludf.DUMMYFUNCTION("""COMPUTED_VALUE"""),"N/A")</f>
        <v>N/A</v>
      </c>
      <c r="Y651" s="2"/>
      <c r="Z651" s="2"/>
      <c r="AA651" s="2"/>
      <c r="AB651" s="2"/>
      <c r="AC651" s="2"/>
      <c r="AD651" s="2"/>
      <c r="AE651" s="2"/>
      <c r="AF651" s="2"/>
      <c r="AG651" s="2"/>
      <c r="AH651" s="2"/>
      <c r="AI651" s="2"/>
      <c r="AJ651" s="2" t="str">
        <f>IFERROR(__xludf.DUMMYFUNCTION("""COMPUTED_VALUE"""),"Nasunogan")</f>
        <v>Nasunogan</v>
      </c>
      <c r="AK651" s="2" t="str">
        <f>IFERROR(__xludf.DUMMYFUNCTION("""COMPUTED_VALUE"""),"Dao")</f>
        <v>Dao</v>
      </c>
      <c r="AL651" s="2" t="str">
        <f>IFERROR(__xludf.DUMMYFUNCTION("""COMPUTED_VALUE"""),"Capiz")</f>
        <v>Capiz</v>
      </c>
      <c r="AM651" s="2">
        <f>IFERROR(__xludf.DUMMYFUNCTION("""COMPUTED_VALUE"""),6.0)</f>
        <v>6</v>
      </c>
      <c r="AN651" s="2" t="str">
        <f>IFERROR(__xludf.DUMMYFUNCTION("""COMPUTED_VALUE"""),"RCEF 23-09-21 Rebidding")</f>
        <v>RCEF 23-09-21 Rebidding</v>
      </c>
      <c r="AO651" s="2">
        <f>IFERROR(__xludf.DUMMYFUNCTION("""COMPUTED_VALUE"""),4.0)</f>
        <v>4</v>
      </c>
      <c r="AP651" s="2"/>
      <c r="AQ651" s="2"/>
      <c r="AR651" s="2"/>
      <c r="AS651" s="2"/>
      <c r="AT651" s="2"/>
      <c r="AU651" s="2"/>
      <c r="AV651" s="2"/>
      <c r="AW651" s="2"/>
      <c r="AX651" s="2"/>
      <c r="AY651" s="2"/>
      <c r="AZ651" s="2"/>
      <c r="BA651" s="2"/>
      <c r="BB651" s="2"/>
    </row>
    <row r="652">
      <c r="A652" s="2">
        <f>IFERROR(__xludf.DUMMYFUNCTION("""COMPUTED_VALUE"""),648.0)</f>
        <v>648</v>
      </c>
      <c r="B652" s="2" t="str">
        <f>IFERROR(__xludf.DUMMYFUNCTION("""COMPUTED_VALUE"""),"COMPLETED")</f>
        <v>COMPLETED</v>
      </c>
      <c r="C652" s="74">
        <f>IFERROR(__xludf.DUMMYFUNCTION("""COMPUTED_VALUE"""),45604.0)</f>
        <v>45604</v>
      </c>
      <c r="D652" s="71" t="str">
        <f>IFERROR(__xludf.DUMMYFUNCTION("""COMPUTED_VALUE"""),"MUNICIPAL LOCAL GOVERNMENT UNIT OF RIZAL")</f>
        <v>MUNICIPAL LOCAL GOVERNMENT UNIT OF RIZAL</v>
      </c>
      <c r="E652" s="71" t="str">
        <f>IFERROR(__xludf.DUMMYFUNCTION("""COMPUTED_VALUE"""),"RUMBANG, RIZAL, OCCIDENTAL MINDORO")</f>
        <v>RUMBANG, RIZAL, OCCIDENTAL MINDORO</v>
      </c>
      <c r="F652" s="2" t="str">
        <f>IFERROR(__xludf.DUMMYFUNCTION("""COMPUTED_VALUE"""),"LGU-RIZAL 
Jehu Michael Barrientos ")</f>
        <v>LGU-RIZAL 
Jehu Michael Barrientos </v>
      </c>
      <c r="G652" s="2">
        <f>IFERROR(__xludf.DUMMYFUNCTION("""COMPUTED_VALUE"""),9.752243292E9)</f>
        <v>9752243292</v>
      </c>
      <c r="H652" s="2">
        <f>IFERROR(__xludf.DUMMYFUNCTION("""COMPUTED_VALUE"""),355.0)</f>
        <v>355</v>
      </c>
      <c r="I652" s="72" t="str">
        <f>IFERROR(__xludf.DUMMYFUNCTION("""COMPUTED_VALUE"""),"PMS")</f>
        <v>PMS</v>
      </c>
      <c r="J652" s="72" t="str">
        <f>IFERROR(__xludf.DUMMYFUNCTION("""COMPUTED_VALUE"""),"PMS")</f>
        <v>PMS</v>
      </c>
      <c r="K652" s="72" t="str">
        <f>IFERROR(__xludf.DUMMYFUNCTION("""COMPUTED_VALUE"""),"KFS: FOR CHANGE OIL")</f>
        <v>KFS: FOR CHANGE OIL</v>
      </c>
      <c r="L652" s="72" t="str">
        <f>IFERROR(__xludf.DUMMYFUNCTION("""COMPUTED_VALUE"""),"SEND AGREEMENT")</f>
        <v>SEND AGREEMENT</v>
      </c>
      <c r="M652" s="2"/>
      <c r="N652" s="2"/>
      <c r="O652" s="2" t="str">
        <f>IFERROR(__xludf.DUMMYFUNCTION("""COMPUTED_VALUE"""),"N/A")</f>
        <v>N/A</v>
      </c>
      <c r="P652" s="2"/>
      <c r="Q652" s="2"/>
      <c r="R652" s="74">
        <f>IFERROR(__xludf.DUMMYFUNCTION("""COMPUTED_VALUE"""),45630.0)</f>
        <v>45630</v>
      </c>
      <c r="S652" s="2"/>
      <c r="T652" s="73" t="str">
        <f>IFERROR(__xludf.DUMMYFUNCTION("""COMPUTED_VALUE""")," N/A ")</f>
        <v>N/A</v>
      </c>
      <c r="U652" s="73" t="str">
        <f>IFERROR(__xludf.DUMMYFUNCTION("""COMPUTED_VALUE""")," NO CHARGE ")</f>
        <v>NO CHARGE</v>
      </c>
      <c r="V652" s="2"/>
      <c r="W652" s="2" t="str">
        <f>IFERROR(__xludf.DUMMYFUNCTION("""COMPUTED_VALUE"""),"N/A")</f>
        <v>N/A</v>
      </c>
      <c r="X652" s="2" t="str">
        <f>IFERROR(__xludf.DUMMYFUNCTION("""COMPUTED_VALUE"""),"N/A")</f>
        <v>N/A</v>
      </c>
      <c r="Y652" s="2"/>
      <c r="Z652" s="2"/>
      <c r="AA652" s="2"/>
      <c r="AB652" s="2"/>
      <c r="AC652" s="2"/>
      <c r="AD652" s="2"/>
      <c r="AE652" s="2"/>
      <c r="AF652" s="2"/>
      <c r="AG652" s="2"/>
      <c r="AH652" s="2"/>
      <c r="AI652" s="2"/>
      <c r="AJ652" s="2" t="str">
        <f>IFERROR(__xludf.DUMMYFUNCTION("""COMPUTED_VALUE"""),"Rumbang")</f>
        <v>Rumbang</v>
      </c>
      <c r="AK652" s="2" t="str">
        <f>IFERROR(__xludf.DUMMYFUNCTION("""COMPUTED_VALUE"""),"Rizal")</f>
        <v>Rizal</v>
      </c>
      <c r="AL652" s="2" t="str">
        <f>IFERROR(__xludf.DUMMYFUNCTION("""COMPUTED_VALUE"""),"Occidental Mindoro")</f>
        <v>Occidental Mindoro</v>
      </c>
      <c r="AM652" s="2" t="str">
        <f>IFERROR(__xludf.DUMMYFUNCTION("""COMPUTED_VALUE"""),"4B")</f>
        <v>4B</v>
      </c>
      <c r="AN652" s="2" t="str">
        <f>IFERROR(__xludf.DUMMYFUNCTION("""COMPUTED_VALUE"""),"RCEF 23-08-20 Rebidding")</f>
        <v>RCEF 23-08-20 Rebidding</v>
      </c>
      <c r="AO652" s="2">
        <f>IFERROR(__xludf.DUMMYFUNCTION("""COMPUTED_VALUE"""),1.0)</f>
        <v>1</v>
      </c>
      <c r="AP652" s="2"/>
      <c r="AQ652" s="2"/>
      <c r="AR652" s="2"/>
      <c r="AS652" s="2"/>
      <c r="AT652" s="2"/>
      <c r="AU652" s="2"/>
      <c r="AV652" s="2"/>
      <c r="AW652" s="2"/>
      <c r="AX652" s="2"/>
      <c r="AY652" s="2"/>
      <c r="AZ652" s="2"/>
      <c r="BA652" s="2"/>
      <c r="BB652" s="2"/>
    </row>
    <row r="653">
      <c r="A653" s="2">
        <f>IFERROR(__xludf.DUMMYFUNCTION("""COMPUTED_VALUE"""),649.0)</f>
        <v>649</v>
      </c>
      <c r="B653" s="2" t="str">
        <f>IFERROR(__xludf.DUMMYFUNCTION("""COMPUTED_VALUE"""),"COMPLETED")</f>
        <v>COMPLETED</v>
      </c>
      <c r="C653" s="74">
        <f>IFERROR(__xludf.DUMMYFUNCTION("""COMPUTED_VALUE"""),45605.0)</f>
        <v>45605</v>
      </c>
      <c r="D653" s="71" t="str">
        <f>IFERROR(__xludf.DUMMYFUNCTION("""COMPUTED_VALUE"""),"SAMAHANG MAGPAPATUBIG NG DAMBO-ASUFRE PANGIL, LAGUNA INC.")</f>
        <v>SAMAHANG MAGPAPATUBIG NG DAMBO-ASUFRE PANGIL, LAGUNA INC.</v>
      </c>
      <c r="E653" s="71" t="str">
        <f>IFERROR(__xludf.DUMMYFUNCTION("""COMPUTED_VALUE"""),"Dambo, Pangil, Laguna")</f>
        <v>Dambo, Pangil, Laguna</v>
      </c>
      <c r="F653" s="2" t="str">
        <f>IFERROR(__xludf.DUMMYFUNCTION("""COMPUTED_VALUE"""),"Archie Velasco Treasurer")</f>
        <v>Archie Velasco Treasurer</v>
      </c>
      <c r="G653" s="2">
        <f>IFERROR(__xludf.DUMMYFUNCTION("""COMPUTED_VALUE"""),9.283781615E9)</f>
        <v>9283781615</v>
      </c>
      <c r="H653" s="2">
        <f>IFERROR(__xludf.DUMMYFUNCTION("""COMPUTED_VALUE"""),154.0)</f>
        <v>154</v>
      </c>
      <c r="I653" s="72" t="str">
        <f>IFERROR(__xludf.DUMMYFUNCTION("""COMPUTED_VALUE"""),"REPAIR - TRACTOR")</f>
        <v>REPAIR - TRACTOR</v>
      </c>
      <c r="J653" s="72" t="str">
        <f>IFERROR(__xludf.DUMMYFUNCTION("""COMPUTED_VALUE"""),"Transmission - Front Drive")</f>
        <v>Transmission - Front Drive</v>
      </c>
      <c r="K653" s="72" t="str">
        <f>IFERROR(__xludf.DUMMYFUNCTION("""COMPUTED_VALUE"""),"KFS: Nalagutok Po bearing sa unahan gulong
JTT: 11/11/24: Problem 4x4 sir Ang mga bevel gear.
PARTS: RING GEAR ASSY, DIFFERENTIAL CASE, HEX FLANGE BOLT")</f>
        <v>KFS: Nalagutok Po bearing sa unahan gulong
JTT: 11/11/24: Problem 4x4 sir Ang mga bevel gear.
PARTS: RING GEAR ASSY, DIFFERENTIAL CASE, HEX FLANGE BOLT</v>
      </c>
      <c r="L653" s="72" t="str">
        <f>IFERROR(__xludf.DUMMYFUNCTION("""COMPUTED_VALUE"""),"JTT: PINALITAN NG LAHAT NG GEAR ASSY SA 4X4 NG TRACTOR")</f>
        <v>JTT: PINALITAN NG LAHAT NG GEAR ASSY SA 4X4 NG TRACTOR</v>
      </c>
      <c r="M653" s="2"/>
      <c r="N653" s="2" t="str">
        <f>IFERROR(__xludf.DUMMYFUNCTION("""COMPUTED_VALUE"""),"PARTS: 
DIFERRENTIAL CASE ASSY, 
RING GEAR, PINION GEAR
WARRANTY BY LTC")</f>
        <v>PARTS: 
DIFERRENTIAL CASE ASSY, 
RING GEAR, PINION GEAR
WARRANTY BY LTC</v>
      </c>
      <c r="O653" s="2">
        <f>IFERROR(__xludf.DUMMYFUNCTION("""COMPUTED_VALUE"""),10.0)</f>
        <v>10</v>
      </c>
      <c r="P653" s="2"/>
      <c r="Q653" s="2"/>
      <c r="R653" s="74">
        <f>IFERROR(__xludf.DUMMYFUNCTION("""COMPUTED_VALUE"""),45695.0)</f>
        <v>45695</v>
      </c>
      <c r="S653" s="2" t="str">
        <f>IFERROR(__xludf.DUMMYFUNCTION("""COMPUTED_VALUE"""),"JTT")</f>
        <v>JTT</v>
      </c>
      <c r="T653" s="73" t="str">
        <f>IFERROR(__xludf.DUMMYFUNCTION("""COMPUTED_VALUE""")," N/A ")</f>
        <v>N/A</v>
      </c>
      <c r="U653" s="73" t="str">
        <f>IFERROR(__xludf.DUMMYFUNCTION("""COMPUTED_VALUE""")," NO CHARGE ")</f>
        <v>NO CHARGE</v>
      </c>
      <c r="V653" s="2"/>
      <c r="W653" s="2" t="str">
        <f>IFERROR(__xludf.DUMMYFUNCTION("""COMPUTED_VALUE"""),"N/A")</f>
        <v>N/A</v>
      </c>
      <c r="X653" s="2" t="str">
        <f>IFERROR(__xludf.DUMMYFUNCTION("""COMPUTED_VALUE"""),"N/A")</f>
        <v>N/A</v>
      </c>
      <c r="Y653" s="2"/>
      <c r="Z653" s="2"/>
      <c r="AA653" s="2"/>
      <c r="AB653" s="2"/>
      <c r="AC653" s="2"/>
      <c r="AD653" s="2"/>
      <c r="AE653" s="2"/>
      <c r="AF653" s="2"/>
      <c r="AG653" s="2"/>
      <c r="AH653" s="2"/>
      <c r="AI653" s="2"/>
      <c r="AJ653" s="2" t="str">
        <f>IFERROR(__xludf.DUMMYFUNCTION("""COMPUTED_VALUE"""),"Dambo")</f>
        <v>Dambo</v>
      </c>
      <c r="AK653" s="2" t="str">
        <f>IFERROR(__xludf.DUMMYFUNCTION("""COMPUTED_VALUE"""),"Pangil")</f>
        <v>Pangil</v>
      </c>
      <c r="AL653" s="2" t="str">
        <f>IFERROR(__xludf.DUMMYFUNCTION("""COMPUTED_VALUE"""),"Laguna")</f>
        <v>Laguna</v>
      </c>
      <c r="AM653" s="2" t="str">
        <f>IFERROR(__xludf.DUMMYFUNCTION("""COMPUTED_VALUE"""),"4A")</f>
        <v>4A</v>
      </c>
      <c r="AN653" s="2" t="str">
        <f>IFERROR(__xludf.DUMMYFUNCTION("""COMPUTED_VALUE"""),"RCEF 23-08-20 Rebidding")</f>
        <v>RCEF 23-08-20 Rebidding</v>
      </c>
      <c r="AO653" s="2">
        <f>IFERROR(__xludf.DUMMYFUNCTION("""COMPUTED_VALUE"""),1.0)</f>
        <v>1</v>
      </c>
      <c r="AP653" s="2"/>
      <c r="AQ653" s="2"/>
      <c r="AR653" s="2"/>
      <c r="AS653" s="2"/>
      <c r="AT653" s="2"/>
      <c r="AU653" s="2"/>
      <c r="AV653" s="2"/>
      <c r="AW653" s="2"/>
      <c r="AX653" s="2"/>
      <c r="AY653" s="2"/>
      <c r="AZ653" s="2"/>
      <c r="BA653" s="2"/>
      <c r="BB653" s="2"/>
    </row>
    <row r="654">
      <c r="A654" s="2">
        <f>IFERROR(__xludf.DUMMYFUNCTION("""COMPUTED_VALUE"""),650.0)</f>
        <v>650</v>
      </c>
      <c r="B654" s="2" t="str">
        <f>IFERROR(__xludf.DUMMYFUNCTION("""COMPUTED_VALUE"""),"COMPLETED")</f>
        <v>COMPLETED</v>
      </c>
      <c r="C654" s="74">
        <f>IFERROR(__xludf.DUMMYFUNCTION("""COMPUTED_VALUE"""),45605.0)</f>
        <v>45605</v>
      </c>
      <c r="D654" s="71" t="str">
        <f>IFERROR(__xludf.DUMMYFUNCTION("""COMPUTED_VALUE"""),"Bugtongan Farmers Association")</f>
        <v>Bugtongan Farmers Association</v>
      </c>
      <c r="E654" s="71" t="str">
        <f>IFERROR(__xludf.DUMMYFUNCTION("""COMPUTED_VALUE"""),"Bugtongan, Duenas, ILOILO")</f>
        <v>Bugtongan, Duenas, ILOILO</v>
      </c>
      <c r="F654" s="2" t="str">
        <f>IFERROR(__xludf.DUMMYFUNCTION("""COMPUTED_VALUE"""),"NARCISO SORONGON")</f>
        <v>NARCISO SORONGON</v>
      </c>
      <c r="G654" s="2">
        <f>IFERROR(__xludf.DUMMYFUNCTION("""COMPUTED_VALUE"""),9.213188684E9)</f>
        <v>9213188684</v>
      </c>
      <c r="H654" s="2"/>
      <c r="I654" s="72" t="str">
        <f>IFERROR(__xludf.DUMMYFUNCTION("""COMPUTED_VALUE"""),"SPARE PARTS ACQUISITION")</f>
        <v>SPARE PARTS ACQUISITION</v>
      </c>
      <c r="J654" s="72" t="str">
        <f>IFERROR(__xludf.DUMMYFUNCTION("""COMPUTED_VALUE"""),"SPARE PARTS ACQUISITION")</f>
        <v>SPARE PARTS ACQUISITION</v>
      </c>
      <c r="K654" s="72" t="str">
        <f>IFERROR(__xludf.DUMMYFUNCTION("""COMPUTED_VALUE"""),"MYKEE: TROTTLE CABLE/ WIRE,ACCELERATOR PEDAL")</f>
        <v>MYKEE: TROTTLE CABLE/ WIRE,ACCELERATOR PEDAL</v>
      </c>
      <c r="L654" s="72" t="str">
        <f>IFERROR(__xludf.DUMMYFUNCTION("""COMPUTED_VALUE"""),"EGT: OK NA ANG UNIT")</f>
        <v>EGT: OK NA ANG UNIT</v>
      </c>
      <c r="M654" s="2"/>
      <c r="N654" s="2" t="str">
        <f>IFERROR(__xludf.DUMMYFUNCTION("""COMPUTED_VALUE"""),"PARTS: WIRE,ACCELERATOR PEDAL")</f>
        <v>PARTS: WIRE,ACCELERATOR PEDAL</v>
      </c>
      <c r="O654" s="2" t="str">
        <f>IFERROR(__xludf.DUMMYFUNCTION("""COMPUTED_VALUE"""),"N/A")</f>
        <v>N/A</v>
      </c>
      <c r="P654" s="2"/>
      <c r="Q654" s="2"/>
      <c r="R654" s="74">
        <f>IFERROR(__xludf.DUMMYFUNCTION("""COMPUTED_VALUE"""),45695.0)</f>
        <v>45695</v>
      </c>
      <c r="S654" s="2" t="str">
        <f>IFERROR(__xludf.DUMMYFUNCTION("""COMPUTED_VALUE"""),"EGT/DRM")</f>
        <v>EGT/DRM</v>
      </c>
      <c r="T654" s="73">
        <f>IFERROR(__xludf.DUMMYFUNCTION("""COMPUTED_VALUE"""),2900.0)</f>
        <v>2900</v>
      </c>
      <c r="U654" s="73" t="str">
        <f>IFERROR(__xludf.DUMMYFUNCTION("""COMPUTED_VALUE""")," REMITTED ")</f>
        <v>REMITTED</v>
      </c>
      <c r="V654" s="2"/>
      <c r="W654" s="2"/>
      <c r="X654" s="2"/>
      <c r="Y654" s="2"/>
      <c r="Z654" s="2"/>
      <c r="AA654" s="2"/>
      <c r="AB654" s="2"/>
      <c r="AC654" s="2"/>
      <c r="AD654" s="2"/>
      <c r="AE654" s="2"/>
      <c r="AF654" s="2"/>
      <c r="AG654" s="2"/>
      <c r="AH654" s="2"/>
      <c r="AI654" s="2"/>
      <c r="AJ654" s="2" t="str">
        <f>IFERROR(__xludf.DUMMYFUNCTION("""COMPUTED_VALUE"""),"Bugtongan")</f>
        <v>Bugtongan</v>
      </c>
      <c r="AK654" s="2" t="str">
        <f>IFERROR(__xludf.DUMMYFUNCTION("""COMPUTED_VALUE"""),"Duenas")</f>
        <v>Duenas</v>
      </c>
      <c r="AL654" s="2" t="str">
        <f>IFERROR(__xludf.DUMMYFUNCTION("""COMPUTED_VALUE"""),"Iloilo")</f>
        <v>Iloilo</v>
      </c>
      <c r="AM654" s="2">
        <f>IFERROR(__xludf.DUMMYFUNCTION("""COMPUTED_VALUE"""),6.0)</f>
        <v>6</v>
      </c>
      <c r="AN654" s="2" t="str">
        <f>IFERROR(__xludf.DUMMYFUNCTION("""COMPUTED_VALUE"""),"RCEF 23-09-21 Rebidding")</f>
        <v>RCEF 23-09-21 Rebidding</v>
      </c>
      <c r="AO654" s="2">
        <f>IFERROR(__xludf.DUMMYFUNCTION("""COMPUTED_VALUE"""),4.0)</f>
        <v>4</v>
      </c>
      <c r="AP654" s="2"/>
      <c r="AQ654" s="2"/>
      <c r="AR654" s="2"/>
      <c r="AS654" s="2"/>
      <c r="AT654" s="2"/>
      <c r="AU654" s="2"/>
      <c r="AV654" s="2"/>
      <c r="AW654" s="2"/>
      <c r="AX654" s="2"/>
      <c r="AY654" s="2"/>
      <c r="AZ654" s="2"/>
      <c r="BA654" s="2"/>
      <c r="BB654" s="2"/>
    </row>
    <row r="655">
      <c r="A655" s="2">
        <f>IFERROR(__xludf.DUMMYFUNCTION("""COMPUTED_VALUE"""),651.0)</f>
        <v>651</v>
      </c>
      <c r="B655" s="2" t="str">
        <f>IFERROR(__xludf.DUMMYFUNCTION("""COMPUTED_VALUE"""),"COMPLETED")</f>
        <v>COMPLETED</v>
      </c>
      <c r="C655" s="74">
        <f>IFERROR(__xludf.DUMMYFUNCTION("""COMPUTED_VALUE"""),45606.0)</f>
        <v>45606</v>
      </c>
      <c r="D655" s="71" t="str">
        <f>IFERROR(__xludf.DUMMYFUNCTION("""COMPUTED_VALUE"""),"SAMPALUCAN IRRIGATORS ASSOCIATION INC.")</f>
        <v>SAMPALUCAN IRRIGATORS ASSOCIATION INC.</v>
      </c>
      <c r="E655" s="71" t="str">
        <f>IFERROR(__xludf.DUMMYFUNCTION("""COMPUTED_VALUE"""),"Pulo, San Isidro, NUEVA ECIJA")</f>
        <v>Pulo, San Isidro, NUEVA ECIJA</v>
      </c>
      <c r="F655" s="2"/>
      <c r="G655" s="2"/>
      <c r="H655" s="2">
        <f>IFERROR(__xludf.DUMMYFUNCTION("""COMPUTED_VALUE"""),235.0)</f>
        <v>235</v>
      </c>
      <c r="I655" s="72" t="str">
        <f>IFERROR(__xludf.DUMMYFUNCTION("""COMPUTED_VALUE"""),"SPARE PARTS ACQUISITION")</f>
        <v>SPARE PARTS ACQUISITION</v>
      </c>
      <c r="J655" s="72"/>
      <c r="K655" s="72" t="str">
        <f>IFERROR(__xludf.DUMMYFUNCTION("""COMPUTED_VALUE"""),"JDP: DAMAGED F/R SWITCH")</f>
        <v>JDP: DAMAGED F/R SWITCH</v>
      </c>
      <c r="L655" s="72" t="str">
        <f>IFERROR(__xludf.DUMMYFUNCTION("""COMPUTED_VALUE"""),"DSD: REPLACED F/R SWITCH")</f>
        <v>DSD: REPLACED F/R SWITCH</v>
      </c>
      <c r="M655" s="2"/>
      <c r="N655" s="2" t="str">
        <f>IFERROR(__xludf.DUMMYFUNCTION("""COMPUTED_VALUE"""),"PARTS: F/R SWITCH")</f>
        <v>PARTS: F/R SWITCH</v>
      </c>
      <c r="O655" s="2">
        <f>IFERROR(__xludf.DUMMYFUNCTION("""COMPUTED_VALUE"""),595.0)</f>
        <v>595</v>
      </c>
      <c r="P655" s="2"/>
      <c r="Q655" s="2" t="str">
        <f>IFERROR(__xludf.DUMMYFUNCTION("""COMPUTED_VALUE"""),"Y")</f>
        <v>Y</v>
      </c>
      <c r="R655" s="74">
        <f>IFERROR(__xludf.DUMMYFUNCTION("""COMPUTED_VALUE"""),45610.0)</f>
        <v>45610</v>
      </c>
      <c r="S655" s="2" t="str">
        <f>IFERROR(__xludf.DUMMYFUNCTION("""COMPUTED_VALUE"""),"JHP/DSD")</f>
        <v>JHP/DSD</v>
      </c>
      <c r="T655" s="73">
        <f>IFERROR(__xludf.DUMMYFUNCTION("""COMPUTED_VALUE"""),5400.0)</f>
        <v>5400</v>
      </c>
      <c r="U655" s="73" t="str">
        <f>IFERROR(__xludf.DUMMYFUNCTION("""COMPUTED_VALUE""")," REMITTED ")</f>
        <v>REMITTED</v>
      </c>
      <c r="V655" s="2"/>
      <c r="W655" s="2">
        <f>IFERROR(__xludf.DUMMYFUNCTION("""COMPUTED_VALUE"""),1141.0)</f>
        <v>1141</v>
      </c>
      <c r="X655" s="2">
        <f>IFERROR(__xludf.DUMMYFUNCTION("""COMPUTED_VALUE"""),1278.0)</f>
        <v>1278</v>
      </c>
      <c r="Y655" s="2"/>
      <c r="Z655" s="2"/>
      <c r="AA655" s="2"/>
      <c r="AB655" s="2"/>
      <c r="AC655" s="2"/>
      <c r="AD655" s="2"/>
      <c r="AE655" s="2"/>
      <c r="AF655" s="2"/>
      <c r="AG655" s="2"/>
      <c r="AH655" s="2"/>
      <c r="AI655" s="2"/>
      <c r="AJ655" s="2" t="str">
        <f>IFERROR(__xludf.DUMMYFUNCTION("""COMPUTED_VALUE"""),"Pulo")</f>
        <v>Pulo</v>
      </c>
      <c r="AK655" s="2" t="str">
        <f>IFERROR(__xludf.DUMMYFUNCTION("""COMPUTED_VALUE"""),"San Isidro")</f>
        <v>San Isidro</v>
      </c>
      <c r="AL655" s="2" t="str">
        <f>IFERROR(__xludf.DUMMYFUNCTION("""COMPUTED_VALUE"""),"Nueva Ecija")</f>
        <v>Nueva Ecija</v>
      </c>
      <c r="AM655" s="2">
        <f>IFERROR(__xludf.DUMMYFUNCTION("""COMPUTED_VALUE"""),3.0)</f>
        <v>3</v>
      </c>
      <c r="AN655" s="2" t="str">
        <f>IFERROR(__xludf.DUMMYFUNCTION("""COMPUTED_VALUE"""),"RCEF 23-09-21 Rebidding")</f>
        <v>RCEF 23-09-21 Rebidding</v>
      </c>
      <c r="AO655" s="2">
        <f>IFERROR(__xludf.DUMMYFUNCTION("""COMPUTED_VALUE"""),3.0)</f>
        <v>3</v>
      </c>
      <c r="AP655" s="2"/>
      <c r="AQ655" s="2"/>
      <c r="AR655" s="2"/>
      <c r="AS655" s="2"/>
      <c r="AT655" s="2"/>
      <c r="AU655" s="2"/>
      <c r="AV655" s="2"/>
      <c r="AW655" s="2"/>
      <c r="AX655" s="2"/>
      <c r="AY655" s="2"/>
      <c r="AZ655" s="2"/>
      <c r="BA655" s="2"/>
      <c r="BB655" s="2"/>
    </row>
    <row r="656">
      <c r="A656" s="2">
        <f>IFERROR(__xludf.DUMMYFUNCTION("""COMPUTED_VALUE"""),652.0)</f>
        <v>652</v>
      </c>
      <c r="B656" s="2" t="str">
        <f>IFERROR(__xludf.DUMMYFUNCTION("""COMPUTED_VALUE"""),"COMPLETED")</f>
        <v>COMPLETED</v>
      </c>
      <c r="C656" s="74">
        <f>IFERROR(__xludf.DUMMYFUNCTION("""COMPUTED_VALUE"""),45607.0)</f>
        <v>45607</v>
      </c>
      <c r="D656" s="71" t="str">
        <f>IFERROR(__xludf.DUMMYFUNCTION("""COMPUTED_VALUE"""),"MALATGAO QUEZON FARMERS IRRIGATORS' ASSOCIATION, INC.")</f>
        <v>MALATGAO QUEZON FARMERS IRRIGATORS' ASSOCIATION, INC.</v>
      </c>
      <c r="E656" s="71" t="str">
        <f>IFERROR(__xludf.DUMMYFUNCTION("""COMPUTED_VALUE"""),"Malatgao, Quezon, Palawan")</f>
        <v>Malatgao, Quezon, Palawan</v>
      </c>
      <c r="F656" s="2" t="str">
        <f>IFERROR(__xludf.DUMMYFUNCTION("""COMPUTED_VALUE"""),"LEK CATINGUB")</f>
        <v>LEK CATINGUB</v>
      </c>
      <c r="G656" s="2"/>
      <c r="H656" s="2"/>
      <c r="I656" s="72" t="str">
        <f>IFERROR(__xludf.DUMMYFUNCTION("""COMPUTED_VALUE"""),"SPARE PARTS ACQUISITION")</f>
        <v>SPARE PARTS ACQUISITION</v>
      </c>
      <c r="J656" s="72" t="str">
        <f>IFERROR(__xludf.DUMMYFUNCTION("""COMPUTED_VALUE"""),"SPARE PARTS ACQUISITION")</f>
        <v>SPARE PARTS ACQUISITION</v>
      </c>
      <c r="K656" s="72" t="str">
        <f>IFERROR(__xludf.DUMMYFUNCTION("""COMPUTED_VALUE"""),"MYKEE: SOLINOID PTO VALVE")</f>
        <v>MYKEE: SOLINOID PTO VALVE</v>
      </c>
      <c r="L656" s="72" t="str">
        <f>IFERROR(__xludf.DUMMYFUNCTION("""COMPUTED_VALUE"""),"CANCELLED: HINDI BINILI NI FARMER")</f>
        <v>CANCELLED: HINDI BINILI NI FARMER</v>
      </c>
      <c r="M656" s="2"/>
      <c r="N656" s="2"/>
      <c r="O656" s="2" t="str">
        <f>IFERROR(__xludf.DUMMYFUNCTION("""COMPUTED_VALUE"""),"CANCELLED")</f>
        <v>CANCELLED</v>
      </c>
      <c r="P656" s="2"/>
      <c r="Q656" s="2"/>
      <c r="R656" s="74">
        <f>IFERROR(__xludf.DUMMYFUNCTION("""COMPUTED_VALUE"""),45633.0)</f>
        <v>45633</v>
      </c>
      <c r="S656" s="2" t="str">
        <f>IFERROR(__xludf.DUMMYFUNCTION("""COMPUTED_VALUE"""),"RCG")</f>
        <v>RCG</v>
      </c>
      <c r="T656" s="73" t="str">
        <f>IFERROR(__xludf.DUMMYFUNCTION("""COMPUTED_VALUE""")," N/A ")</f>
        <v>N/A</v>
      </c>
      <c r="U656" s="73" t="str">
        <f>IFERROR(__xludf.DUMMYFUNCTION("""COMPUTED_VALUE""")," NO CHARGE ")</f>
        <v>NO CHARGE</v>
      </c>
      <c r="V656" s="2"/>
      <c r="W656" s="2" t="str">
        <f>IFERROR(__xludf.DUMMYFUNCTION("""COMPUTED_VALUE"""),"N/A")</f>
        <v>N/A</v>
      </c>
      <c r="X656" s="2" t="str">
        <f>IFERROR(__xludf.DUMMYFUNCTION("""COMPUTED_VALUE"""),"N/A")</f>
        <v>N/A</v>
      </c>
      <c r="Y656" s="2"/>
      <c r="Z656" s="2"/>
      <c r="AA656" s="2"/>
      <c r="AB656" s="2"/>
      <c r="AC656" s="2"/>
      <c r="AD656" s="2"/>
      <c r="AE656" s="2"/>
      <c r="AF656" s="2"/>
      <c r="AG656" s="2"/>
      <c r="AH656" s="2"/>
      <c r="AI656" s="2"/>
      <c r="AJ656" s="2" t="str">
        <f>IFERROR(__xludf.DUMMYFUNCTION("""COMPUTED_VALUE"""),"Malatgao")</f>
        <v>Malatgao</v>
      </c>
      <c r="AK656" s="2" t="str">
        <f>IFERROR(__xludf.DUMMYFUNCTION("""COMPUTED_VALUE"""),"Quezon")</f>
        <v>Quezon</v>
      </c>
      <c r="AL656" s="2" t="str">
        <f>IFERROR(__xludf.DUMMYFUNCTION("""COMPUTED_VALUE"""),"Palawan")</f>
        <v>Palawan</v>
      </c>
      <c r="AM656" s="2" t="str">
        <f>IFERROR(__xludf.DUMMYFUNCTION("""COMPUTED_VALUE"""),"4B")</f>
        <v>4B</v>
      </c>
      <c r="AN656" s="2" t="str">
        <f>IFERROR(__xludf.DUMMYFUNCTION("""COMPUTED_VALUE"""),"RCEF 23-08-20 Rebidding")</f>
        <v>RCEF 23-08-20 Rebidding</v>
      </c>
      <c r="AO656" s="2">
        <f>IFERROR(__xludf.DUMMYFUNCTION("""COMPUTED_VALUE"""),1.0)</f>
        <v>1</v>
      </c>
      <c r="AP656" s="2"/>
      <c r="AQ656" s="2"/>
      <c r="AR656" s="2"/>
      <c r="AS656" s="2"/>
      <c r="AT656" s="2"/>
      <c r="AU656" s="2"/>
      <c r="AV656" s="2"/>
      <c r="AW656" s="2"/>
      <c r="AX656" s="2"/>
      <c r="AY656" s="2"/>
      <c r="AZ656" s="2"/>
      <c r="BA656" s="2"/>
      <c r="BB656" s="2"/>
    </row>
    <row r="657">
      <c r="A657" s="2">
        <f>IFERROR(__xludf.DUMMYFUNCTION("""COMPUTED_VALUE"""),653.0)</f>
        <v>653</v>
      </c>
      <c r="B657" s="2" t="str">
        <f>IFERROR(__xludf.DUMMYFUNCTION("""COMPUTED_VALUE"""),"COMPLETED")</f>
        <v>COMPLETED</v>
      </c>
      <c r="C657" s="74">
        <f>IFERROR(__xludf.DUMMYFUNCTION("""COMPUTED_VALUE"""),45607.0)</f>
        <v>45607</v>
      </c>
      <c r="D657" s="71" t="str">
        <f>IFERROR(__xludf.DUMMYFUNCTION("""COMPUTED_VALUE"""),"Salvacion United Farmers Multi-Purpose Cooperative")</f>
        <v>Salvacion United Farmers Multi-Purpose Cooperative</v>
      </c>
      <c r="E657" s="71" t="str">
        <f>IFERROR(__xludf.DUMMYFUNCTION("""COMPUTED_VALUE"""),"SALVACION, RIZAL, OCCIDENTAL MINDORO")</f>
        <v>SALVACION, RIZAL, OCCIDENTAL MINDORO</v>
      </c>
      <c r="F657" s="2"/>
      <c r="G657" s="2"/>
      <c r="H657" s="2"/>
      <c r="I657" s="72" t="str">
        <f>IFERROR(__xludf.DUMMYFUNCTION("""COMPUTED_VALUE"""),"SPARE PARTS ACQUISITION")</f>
        <v>SPARE PARTS ACQUISITION</v>
      </c>
      <c r="J657" s="72" t="str">
        <f>IFERROR(__xludf.DUMMYFUNCTION("""COMPUTED_VALUE"""),"SPARE PARTS ACQUISITION")</f>
        <v>SPARE PARTS ACQUISITION</v>
      </c>
      <c r="K657" s="72" t="str">
        <f>IFERROR(__xludf.DUMMYFUNCTION("""COMPUTED_VALUE"""),"RCG: HYDARULIC FILTER, OIL FILTER")</f>
        <v>RCG: HYDARULIC FILTER, OIL FILTER</v>
      </c>
      <c r="L657" s="72" t="str">
        <f>IFERROR(__xludf.DUMMYFUNCTION("""COMPUTED_VALUE"""),"DELIVERED")</f>
        <v>DELIVERED</v>
      </c>
      <c r="M657" s="2"/>
      <c r="N657" s="2" t="str">
        <f>IFERROR(__xludf.DUMMYFUNCTION("""COMPUTED_VALUE"""),"PARTS: HYDRAULIC FILTER, OIL FILTER")</f>
        <v>PARTS: HYDRAULIC FILTER, OIL FILTER</v>
      </c>
      <c r="O657" s="2" t="str">
        <f>IFERROR(__xludf.DUMMYFUNCTION("""COMPUTED_VALUE"""),"N/A")</f>
        <v>N/A</v>
      </c>
      <c r="P657" s="2"/>
      <c r="Q657" s="2"/>
      <c r="R657" s="74">
        <f>IFERROR(__xludf.DUMMYFUNCTION("""COMPUTED_VALUE"""),45607.0)</f>
        <v>45607</v>
      </c>
      <c r="S657" s="2" t="str">
        <f>IFERROR(__xludf.DUMMYFUNCTION("""COMPUTED_VALUE"""),"RCG")</f>
        <v>RCG</v>
      </c>
      <c r="T657" s="73">
        <f>IFERROR(__xludf.DUMMYFUNCTION("""COMPUTED_VALUE"""),4281.0)</f>
        <v>4281</v>
      </c>
      <c r="U657" s="73" t="str">
        <f>IFERROR(__xludf.DUMMYFUNCTION("""COMPUTED_VALUE""")," REMITTED ")</f>
        <v>REMITTED</v>
      </c>
      <c r="V657" s="2"/>
      <c r="W657" s="2"/>
      <c r="X657" s="2">
        <f>IFERROR(__xludf.DUMMYFUNCTION("""COMPUTED_VALUE"""),1212.0)</f>
        <v>1212</v>
      </c>
      <c r="Y657" s="2"/>
      <c r="Z657" s="2"/>
      <c r="AA657" s="2"/>
      <c r="AB657" s="2"/>
      <c r="AC657" s="2"/>
      <c r="AD657" s="2"/>
      <c r="AE657" s="2"/>
      <c r="AF657" s="2"/>
      <c r="AG657" s="2"/>
      <c r="AH657" s="2"/>
      <c r="AI657" s="2"/>
      <c r="AJ657" s="2" t="str">
        <f>IFERROR(__xludf.DUMMYFUNCTION("""COMPUTED_VALUE"""),"Salvacion")</f>
        <v>Salvacion</v>
      </c>
      <c r="AK657" s="2" t="str">
        <f>IFERROR(__xludf.DUMMYFUNCTION("""COMPUTED_VALUE"""),"Rizal")</f>
        <v>Rizal</v>
      </c>
      <c r="AL657" s="2" t="str">
        <f>IFERROR(__xludf.DUMMYFUNCTION("""COMPUTED_VALUE"""),"Occidental Mindoro")</f>
        <v>Occidental Mindoro</v>
      </c>
      <c r="AM657" s="2" t="str">
        <f>IFERROR(__xludf.DUMMYFUNCTION("""COMPUTED_VALUE"""),"4B")</f>
        <v>4B</v>
      </c>
      <c r="AN657" s="2" t="str">
        <f>IFERROR(__xludf.DUMMYFUNCTION("""COMPUTED_VALUE"""),"RCEF 23-08-20 Rebidding")</f>
        <v>RCEF 23-08-20 Rebidding</v>
      </c>
      <c r="AO657" s="2">
        <f>IFERROR(__xludf.DUMMYFUNCTION("""COMPUTED_VALUE"""),1.0)</f>
        <v>1</v>
      </c>
      <c r="AP657" s="2"/>
      <c r="AQ657" s="2"/>
      <c r="AR657" s="2"/>
      <c r="AS657" s="2"/>
      <c r="AT657" s="2"/>
      <c r="AU657" s="2"/>
      <c r="AV657" s="2"/>
      <c r="AW657" s="2"/>
      <c r="AX657" s="2"/>
      <c r="AY657" s="2"/>
      <c r="AZ657" s="2"/>
      <c r="BA657" s="2"/>
      <c r="BB657" s="2"/>
    </row>
    <row r="658">
      <c r="A658" s="2">
        <f>IFERROR(__xludf.DUMMYFUNCTION("""COMPUTED_VALUE"""),654.0)</f>
        <v>654</v>
      </c>
      <c r="B658" s="2" t="str">
        <f>IFERROR(__xludf.DUMMYFUNCTION("""COMPUTED_VALUE"""),"COMPLETED")</f>
        <v>COMPLETED</v>
      </c>
      <c r="C658" s="74">
        <f>IFERROR(__xludf.DUMMYFUNCTION("""COMPUTED_VALUE"""),45608.0)</f>
        <v>45608</v>
      </c>
      <c r="D658" s="71" t="str">
        <f>IFERROR(__xludf.DUMMYFUNCTION("""COMPUTED_VALUE"""),"Masagana Producers Cooperative")</f>
        <v>Masagana Producers Cooperative</v>
      </c>
      <c r="E658" s="71" t="str">
        <f>IFERROR(__xludf.DUMMYFUNCTION("""COMPUTED_VALUE"""),"Alagao, San Ildefonso, BULACAN")</f>
        <v>Alagao, San Ildefonso, BULACAN</v>
      </c>
      <c r="F658" s="2" t="str">
        <f>IFERROR(__xludf.DUMMYFUNCTION("""COMPUTED_VALUE"""),"DANILO SANTOS")</f>
        <v>DANILO SANTOS</v>
      </c>
      <c r="G658" s="2">
        <f>IFERROR(__xludf.DUMMYFUNCTION("""COMPUTED_VALUE"""),9.676598222E9)</f>
        <v>9676598222</v>
      </c>
      <c r="H658" s="2">
        <f>IFERROR(__xludf.DUMMYFUNCTION("""COMPUTED_VALUE"""),468.0)</f>
        <v>468</v>
      </c>
      <c r="I658" s="72" t="str">
        <f>IFERROR(__xludf.DUMMYFUNCTION("""COMPUTED_VALUE"""),"REPAIR - DISC PLOW")</f>
        <v>REPAIR - DISC PLOW</v>
      </c>
      <c r="J658" s="72" t="str">
        <f>IFERROR(__xludf.DUMMYFUNCTION("""COMPUTED_VALUE"""),"Propeller")</f>
        <v>Propeller</v>
      </c>
      <c r="K658" s="72" t="str">
        <f>IFERROR(__xludf.DUMMYFUNCTION("""COMPUTED_VALUE"""),"DSD: Cross joint of Disc Plow Propeler , ask lang muna si farmer kung magkano
PRICE:
")</f>
        <v>DSD: Cross joint of Disc Plow Propeler , ask lang muna si farmer kung magkano
PRICE:
</v>
      </c>
      <c r="L658" s="72" t="str">
        <f>IFERROR(__xludf.DUMMYFUNCTION("""COMPUTED_VALUE"""),"CANCELLED")</f>
        <v>CANCELLED</v>
      </c>
      <c r="M658" s="2"/>
      <c r="N658" s="2"/>
      <c r="O658" s="2" t="str">
        <f>IFERROR(__xludf.DUMMYFUNCTION("""COMPUTED_VALUE"""),"CANCELLED")</f>
        <v>CANCELLED</v>
      </c>
      <c r="P658" s="2"/>
      <c r="Q658" s="2"/>
      <c r="R658" s="74">
        <f>IFERROR(__xludf.DUMMYFUNCTION("""COMPUTED_VALUE"""),45635.0)</f>
        <v>45635</v>
      </c>
      <c r="S658" s="2" t="str">
        <f>IFERROR(__xludf.DUMMYFUNCTION("""COMPUTED_VALUE"""),"MYKEE")</f>
        <v>MYKEE</v>
      </c>
      <c r="T658" s="73" t="str">
        <f>IFERROR(__xludf.DUMMYFUNCTION("""COMPUTED_VALUE""")," N/A ")</f>
        <v>N/A</v>
      </c>
      <c r="U658" s="73" t="str">
        <f>IFERROR(__xludf.DUMMYFUNCTION("""COMPUTED_VALUE""")," NO CHARGE ")</f>
        <v>NO CHARGE</v>
      </c>
      <c r="V658" s="2"/>
      <c r="W658" s="2" t="str">
        <f>IFERROR(__xludf.DUMMYFUNCTION("""COMPUTED_VALUE"""),"N/A")</f>
        <v>N/A</v>
      </c>
      <c r="X658" s="2" t="str">
        <f>IFERROR(__xludf.DUMMYFUNCTION("""COMPUTED_VALUE"""),"N/A")</f>
        <v>N/A</v>
      </c>
      <c r="Y658" s="2"/>
      <c r="Z658" s="2"/>
      <c r="AA658" s="2"/>
      <c r="AB658" s="2"/>
      <c r="AC658" s="2"/>
      <c r="AD658" s="2"/>
      <c r="AE658" s="2"/>
      <c r="AF658" s="2"/>
      <c r="AG658" s="2"/>
      <c r="AH658" s="2"/>
      <c r="AI658" s="2"/>
      <c r="AJ658" s="2" t="str">
        <f>IFERROR(__xludf.DUMMYFUNCTION("""COMPUTED_VALUE"""),"Alagao")</f>
        <v>Alagao</v>
      </c>
      <c r="AK658" s="2" t="str">
        <f>IFERROR(__xludf.DUMMYFUNCTION("""COMPUTED_VALUE"""),"San Ildefonso")</f>
        <v>San Ildefonso</v>
      </c>
      <c r="AL658" s="2" t="str">
        <f>IFERROR(__xludf.DUMMYFUNCTION("""COMPUTED_VALUE"""),"Bulacan")</f>
        <v>Bulacan</v>
      </c>
      <c r="AM658" s="2">
        <f>IFERROR(__xludf.DUMMYFUNCTION("""COMPUTED_VALUE"""),3.0)</f>
        <v>3</v>
      </c>
      <c r="AN658" s="2" t="str">
        <f>IFERROR(__xludf.DUMMYFUNCTION("""COMPUTED_VALUE"""),"RCEF 23-09-21 Rebidding")</f>
        <v>RCEF 23-09-21 Rebidding</v>
      </c>
      <c r="AO658" s="2">
        <f>IFERROR(__xludf.DUMMYFUNCTION("""COMPUTED_VALUE"""),3.0)</f>
        <v>3</v>
      </c>
      <c r="AP658" s="2"/>
      <c r="AQ658" s="2"/>
      <c r="AR658" s="2"/>
      <c r="AS658" s="2"/>
      <c r="AT658" s="2"/>
      <c r="AU658" s="2"/>
      <c r="AV658" s="2"/>
      <c r="AW658" s="2"/>
      <c r="AX658" s="2"/>
      <c r="AY658" s="2"/>
      <c r="AZ658" s="2"/>
      <c r="BA658" s="2"/>
      <c r="BB658" s="2"/>
    </row>
    <row r="659">
      <c r="A659" s="2">
        <f>IFERROR(__xludf.DUMMYFUNCTION("""COMPUTED_VALUE"""),655.0)</f>
        <v>655</v>
      </c>
      <c r="B659" s="2" t="str">
        <f>IFERROR(__xludf.DUMMYFUNCTION("""COMPUTED_VALUE"""),"COMPLETED")</f>
        <v>COMPLETED</v>
      </c>
      <c r="C659" s="74">
        <f>IFERROR(__xludf.DUMMYFUNCTION("""COMPUTED_VALUE"""),45608.0)</f>
        <v>45608</v>
      </c>
      <c r="D659" s="71" t="str">
        <f>IFERROR(__xludf.DUMMYFUNCTION("""COMPUTED_VALUE"""),"STA. RITA RICE, CORN, HVCC AND LIVESTOCK FARMERS ASSOCIATION")</f>
        <v>STA. RITA RICE, CORN, HVCC AND LIVESTOCK FARMERS ASSOCIATION</v>
      </c>
      <c r="E659" s="71" t="str">
        <f>IFERROR(__xludf.DUMMYFUNCTION("""COMPUTED_VALUE""")," ")</f>
        <v> </v>
      </c>
      <c r="F659" s="2" t="str">
        <f>IFERROR(__xludf.DUMMYFUNCTION("""COMPUTED_VALUE"""),"FLORENTINO I. CALAWAGAN JR.")</f>
        <v>FLORENTINO I. CALAWAGAN JR.</v>
      </c>
      <c r="G659" s="2">
        <f>IFERROR(__xludf.DUMMYFUNCTION("""COMPUTED_VALUE"""),9.46278586E9)</f>
        <v>9462785860</v>
      </c>
      <c r="H659" s="2">
        <f>IFERROR(__xludf.DUMMYFUNCTION("""COMPUTED_VALUE"""),248.0)</f>
        <v>248</v>
      </c>
      <c r="I659" s="72" t="str">
        <f>IFERROR(__xludf.DUMMYFUNCTION("""COMPUTED_VALUE"""),"PMS")</f>
        <v>PMS</v>
      </c>
      <c r="J659" s="72"/>
      <c r="K659" s="72" t="str">
        <f>IFERROR(__xludf.DUMMYFUNCTION("""COMPUTED_VALUE"""),"DSD: PMS (HYDRAULIC),")</f>
        <v>DSD: PMS (HYDRAULIC),</v>
      </c>
      <c r="L659" s="72" t="str">
        <f>IFERROR(__xludf.DUMMYFUNCTION("""COMPUTED_VALUE"""),"DRM:TRANSMISSION CHANGE OIL AND CHECK UNNIT")</f>
        <v>DRM:TRANSMISSION CHANGE OIL AND CHECK UNNIT</v>
      </c>
      <c r="M659" s="2"/>
      <c r="N659" s="2" t="str">
        <f>IFERROR(__xludf.DUMMYFUNCTION("""COMPUTED_VALUE"""),"PARTS: HYDRAULIC FILTER")</f>
        <v>PARTS: HYDRAULIC FILTER</v>
      </c>
      <c r="O659" s="2">
        <f>IFERROR(__xludf.DUMMYFUNCTION("""COMPUTED_VALUE"""),1054.0)</f>
        <v>1054</v>
      </c>
      <c r="P659" s="2"/>
      <c r="Q659" s="2"/>
      <c r="R659" s="74">
        <f>IFERROR(__xludf.DUMMYFUNCTION("""COMPUTED_VALUE"""),45608.0)</f>
        <v>45608</v>
      </c>
      <c r="S659" s="2" t="str">
        <f>IFERROR(__xludf.DUMMYFUNCTION("""COMPUTED_VALUE"""),"DSD/DRM")</f>
        <v>DSD/DRM</v>
      </c>
      <c r="T659" s="73">
        <f>IFERROR(__xludf.DUMMYFUNCTION("""COMPUTED_VALUE"""),2748.0)</f>
        <v>2748</v>
      </c>
      <c r="U659" s="73" t="str">
        <f>IFERROR(__xludf.DUMMYFUNCTION("""COMPUTED_VALUE""")," REMITTED ")</f>
        <v>REMITTED</v>
      </c>
      <c r="V659" s="2"/>
      <c r="W659" s="2">
        <f>IFERROR(__xludf.DUMMYFUNCTION("""COMPUTED_VALUE"""),1458.0)</f>
        <v>1458</v>
      </c>
      <c r="X659" s="2">
        <f>IFERROR(__xludf.DUMMYFUNCTION("""COMPUTED_VALUE"""),1245.0)</f>
        <v>1245</v>
      </c>
      <c r="Y659" s="2"/>
      <c r="Z659" s="2"/>
      <c r="AA659" s="2"/>
      <c r="AB659" s="2"/>
      <c r="AC659" s="2"/>
      <c r="AD659" s="2"/>
      <c r="AE659" s="2"/>
      <c r="AF659" s="2"/>
      <c r="AG659" s="2"/>
      <c r="AH659" s="2"/>
      <c r="AI659" s="2"/>
      <c r="AJ659" s="2" t="str">
        <f>IFERROR(__xludf.DUMMYFUNCTION("""COMPUTED_VALUE"""),"")</f>
        <v/>
      </c>
      <c r="AK659" s="2" t="str">
        <f>IFERROR(__xludf.DUMMYFUNCTION("""COMPUTED_VALUE"""),"")</f>
        <v/>
      </c>
      <c r="AL659" s="2" t="str">
        <f>IFERROR(__xludf.DUMMYFUNCTION("""COMPUTED_VALUE"""),"")</f>
        <v/>
      </c>
      <c r="AM659" s="2" t="str">
        <f>IFERROR(__xludf.DUMMYFUNCTION("""COMPUTED_VALUE"""),"")</f>
        <v/>
      </c>
      <c r="AN659" s="2" t="str">
        <f>IFERROR(__xludf.DUMMYFUNCTION("""COMPUTED_VALUE""")," ")</f>
        <v> </v>
      </c>
      <c r="AO659" s="2" t="str">
        <f>IFERROR(__xludf.DUMMYFUNCTION("""COMPUTED_VALUE""")," ")</f>
        <v> </v>
      </c>
      <c r="AP659" s="2" t="str">
        <f>IFERROR(__xludf.DUMMYFUNCTION("""COMPUTED_VALUE"""),"")</f>
        <v/>
      </c>
      <c r="AQ659" s="2"/>
      <c r="AR659" s="2"/>
      <c r="AS659" s="2"/>
      <c r="AT659" s="2"/>
      <c r="AU659" s="2"/>
      <c r="AV659" s="2"/>
      <c r="AW659" s="2"/>
      <c r="AX659" s="2"/>
      <c r="AY659" s="2"/>
      <c r="AZ659" s="2"/>
      <c r="BA659" s="2"/>
      <c r="BB659" s="2"/>
    </row>
    <row r="660">
      <c r="A660" s="2">
        <f>IFERROR(__xludf.DUMMYFUNCTION("""COMPUTED_VALUE"""),656.0)</f>
        <v>656</v>
      </c>
      <c r="B660" s="2" t="str">
        <f>IFERROR(__xludf.DUMMYFUNCTION("""COMPUTED_VALUE"""),"COMPLETED")</f>
        <v>COMPLETED</v>
      </c>
      <c r="C660" s="74">
        <f>IFERROR(__xludf.DUMMYFUNCTION("""COMPUTED_VALUE"""),45609.0)</f>
        <v>45609</v>
      </c>
      <c r="D660" s="71" t="str">
        <f>IFERROR(__xludf.DUMMYFUNCTION("""COMPUTED_VALUE"""),"BARANGAY BUSELBUSEL FARMERS ASSOCIATION INC.")</f>
        <v>BARANGAY BUSELBUSEL FARMERS ASSOCIATION INC.</v>
      </c>
      <c r="E660" s="71" t="str">
        <f>IFERROR(__xludf.DUMMYFUNCTION("""COMPUTED_VALUE"""),"Buselbusel, Luna, LA UNION")</f>
        <v>Buselbusel, Luna, LA UNION</v>
      </c>
      <c r="F660" s="2" t="str">
        <f>IFERROR(__xludf.DUMMYFUNCTION("""COMPUTED_VALUE"""),"JAIME NAPENAS")</f>
        <v>JAIME NAPENAS</v>
      </c>
      <c r="G660" s="2">
        <f>IFERROR(__xludf.DUMMYFUNCTION("""COMPUTED_VALUE"""),9.129368814E9)</f>
        <v>9129368814</v>
      </c>
      <c r="H660" s="2">
        <f>IFERROR(__xludf.DUMMYFUNCTION("""COMPUTED_VALUE"""),149.0)</f>
        <v>149</v>
      </c>
      <c r="I660" s="72" t="str">
        <f>IFERROR(__xludf.DUMMYFUNCTION("""COMPUTED_VALUE"""),"PMS")</f>
        <v>PMS</v>
      </c>
      <c r="J660" s="72" t="str">
        <f>IFERROR(__xludf.DUMMYFUNCTION("""COMPUTED_VALUE"""),"PMS")</f>
        <v>PMS</v>
      </c>
      <c r="K660" s="72" t="str">
        <f>IFERROR(__xludf.DUMMYFUNCTION("""COMPUTED_VALUE"""),"JDP: 1ST PMS")</f>
        <v>JDP: 1ST PMS</v>
      </c>
      <c r="L660" s="72" t="str">
        <f>IFERROR(__xludf.DUMMYFUNCTION("""COMPUTED_VALUE"""),"JDP: 1ST PMS DONE")</f>
        <v>JDP: 1ST PMS DONE</v>
      </c>
      <c r="M660" s="2"/>
      <c r="N660" s="2" t="str">
        <f>IFERROR(__xludf.DUMMYFUNCTION("""COMPUTED_VALUE"""),"PARTS: OIL FILTER, 5L ENGINE OIL")</f>
        <v>PARTS: OIL FILTER, 5L ENGINE OIL</v>
      </c>
      <c r="O660" s="2">
        <f>IFERROR(__xludf.DUMMYFUNCTION("""COMPUTED_VALUE"""),1367.0)</f>
        <v>1367</v>
      </c>
      <c r="P660" s="2"/>
      <c r="Q660" s="2"/>
      <c r="R660" s="74">
        <f>IFERROR(__xludf.DUMMYFUNCTION("""COMPUTED_VALUE"""),45609.0)</f>
        <v>45609</v>
      </c>
      <c r="S660" s="2" t="str">
        <f>IFERROR(__xludf.DUMMYFUNCTION("""COMPUTED_VALUE"""),"EGT/JDP")</f>
        <v>EGT/JDP</v>
      </c>
      <c r="T660" s="73">
        <f>IFERROR(__xludf.DUMMYFUNCTION("""COMPUTED_VALUE"""),3193.0)</f>
        <v>3193</v>
      </c>
      <c r="U660" s="73" t="str">
        <f>IFERROR(__xludf.DUMMYFUNCTION("""COMPUTED_VALUE""")," REMITTED ")</f>
        <v>REMITTED</v>
      </c>
      <c r="V660" s="2"/>
      <c r="W660" s="2">
        <f>IFERROR(__xludf.DUMMYFUNCTION("""COMPUTED_VALUE"""),1332.0)</f>
        <v>1332</v>
      </c>
      <c r="X660" s="2">
        <f>IFERROR(__xludf.DUMMYFUNCTION("""COMPUTED_VALUE"""),1237.0)</f>
        <v>1237</v>
      </c>
      <c r="Y660" s="2"/>
      <c r="Z660" s="2"/>
      <c r="AA660" s="2"/>
      <c r="AB660" s="2"/>
      <c r="AC660" s="2"/>
      <c r="AD660" s="2"/>
      <c r="AE660" s="2"/>
      <c r="AF660" s="2"/>
      <c r="AG660" s="2"/>
      <c r="AH660" s="2"/>
      <c r="AI660" s="2"/>
      <c r="AJ660" s="2" t="str">
        <f>IFERROR(__xludf.DUMMYFUNCTION("""COMPUTED_VALUE"""),"Buselbusel")</f>
        <v>Buselbusel</v>
      </c>
      <c r="AK660" s="2" t="str">
        <f>IFERROR(__xludf.DUMMYFUNCTION("""COMPUTED_VALUE"""),"Luna")</f>
        <v>Luna</v>
      </c>
      <c r="AL660" s="2" t="str">
        <f>IFERROR(__xludf.DUMMYFUNCTION("""COMPUTED_VALUE"""),"La Union")</f>
        <v>La Union</v>
      </c>
      <c r="AM660" s="2">
        <f>IFERROR(__xludf.DUMMYFUNCTION("""COMPUTED_VALUE"""),1.0)</f>
        <v>1</v>
      </c>
      <c r="AN660" s="2" t="str">
        <f>IFERROR(__xludf.DUMMYFUNCTION("""COMPUTED_VALUE"""),"RCEF 23-09-21 Rebidding")</f>
        <v>RCEF 23-09-21 Rebidding</v>
      </c>
      <c r="AO660" s="2">
        <f>IFERROR(__xludf.DUMMYFUNCTION("""COMPUTED_VALUE"""),2.0)</f>
        <v>2</v>
      </c>
      <c r="AP660" s="2"/>
      <c r="AQ660" s="2"/>
      <c r="AR660" s="2"/>
      <c r="AS660" s="2"/>
      <c r="AT660" s="2"/>
      <c r="AU660" s="2"/>
      <c r="AV660" s="2"/>
      <c r="AW660" s="2"/>
      <c r="AX660" s="2"/>
      <c r="AY660" s="2"/>
      <c r="AZ660" s="2"/>
      <c r="BA660" s="2"/>
      <c r="BB660" s="2"/>
    </row>
    <row r="661">
      <c r="A661" s="2">
        <f>IFERROR(__xludf.DUMMYFUNCTION("""COMPUTED_VALUE"""),657.0)</f>
        <v>657</v>
      </c>
      <c r="B661" s="2" t="str">
        <f>IFERROR(__xludf.DUMMYFUNCTION("""COMPUTED_VALUE"""),"COMPLETED")</f>
        <v>COMPLETED</v>
      </c>
      <c r="C661" s="74">
        <f>IFERROR(__xludf.DUMMYFUNCTION("""COMPUTED_VALUE"""),45609.0)</f>
        <v>45609</v>
      </c>
      <c r="D661" s="71" t="str">
        <f>IFERROR(__xludf.DUMMYFUNCTION("""COMPUTED_VALUE"""),"Anduyan Multipurpose Cooperative")</f>
        <v>Anduyan Multipurpose Cooperative</v>
      </c>
      <c r="E661" s="71" t="str">
        <f>IFERROR(__xludf.DUMMYFUNCTION("""COMPUTED_VALUE"""),"Anduyan, Tubao, LA UNION")</f>
        <v>Anduyan, Tubao, LA UNION</v>
      </c>
      <c r="F661" s="2"/>
      <c r="G661" s="2">
        <f>IFERROR(__xludf.DUMMYFUNCTION("""COMPUTED_VALUE"""),9.3064784E9)</f>
        <v>9306478400</v>
      </c>
      <c r="H661" s="2"/>
      <c r="I661" s="72" t="str">
        <f>IFERROR(__xludf.DUMMYFUNCTION("""COMPUTED_VALUE"""),"TRAINING REQUEST")</f>
        <v>TRAINING REQUEST</v>
      </c>
      <c r="J661" s="72" t="str">
        <f>IFERROR(__xludf.DUMMYFUNCTION("""COMPUTED_VALUE"""),"TRAINING")</f>
        <v>TRAINING</v>
      </c>
      <c r="K661" s="72" t="str">
        <f>IFERROR(__xludf.DUMMYFUNCTION("""COMPUTED_VALUE"""),"JDP: REQUESTING TRAINING AND DEMO FOR NEW OPERATOR")</f>
        <v>JDP: REQUESTING TRAINING AND DEMO FOR NEW OPERATOR</v>
      </c>
      <c r="L661" s="72" t="str">
        <f>IFERROR(__xludf.DUMMYFUNCTION("""COMPUTED_VALUE"""),"JDP: TRAINING AND DEMO FOR NEW OPERATOR DONE")</f>
        <v>JDP: TRAINING AND DEMO FOR NEW OPERATOR DONE</v>
      </c>
      <c r="M661" s="2"/>
      <c r="N661" s="2"/>
      <c r="O661" s="2">
        <f>IFERROR(__xludf.DUMMYFUNCTION("""COMPUTED_VALUE"""),1368.0)</f>
        <v>1368</v>
      </c>
      <c r="P661" s="2" t="str">
        <f>IFERROR(__xludf.DUMMYFUNCTION("""COMPUTED_VALUE"""),"ANDUYAN MULTIPURPOSE COOPERATIVE.pdf")</f>
        <v>ANDUYAN MULTIPURPOSE COOPERATIVE.pdf</v>
      </c>
      <c r="Q661" s="2"/>
      <c r="R661" s="74">
        <f>IFERROR(__xludf.DUMMYFUNCTION("""COMPUTED_VALUE"""),45609.0)</f>
        <v>45609</v>
      </c>
      <c r="S661" s="2" t="str">
        <f>IFERROR(__xludf.DUMMYFUNCTION("""COMPUTED_VALUE"""),"EGT/JDP")</f>
        <v>EGT/JDP</v>
      </c>
      <c r="T661" s="73" t="str">
        <f>IFERROR(__xludf.DUMMYFUNCTION("""COMPUTED_VALUE""")," N/A ")</f>
        <v>N/A</v>
      </c>
      <c r="U661" s="73" t="str">
        <f>IFERROR(__xludf.DUMMYFUNCTION("""COMPUTED_VALUE""")," NO CHARGE ")</f>
        <v>NO CHARGE</v>
      </c>
      <c r="V661" s="2"/>
      <c r="W661" s="2" t="str">
        <f>IFERROR(__xludf.DUMMYFUNCTION("""COMPUTED_VALUE"""),"N/A")</f>
        <v>N/A</v>
      </c>
      <c r="X661" s="2" t="str">
        <f>IFERROR(__xludf.DUMMYFUNCTION("""COMPUTED_VALUE"""),"N/A")</f>
        <v>N/A</v>
      </c>
      <c r="Y661" s="2"/>
      <c r="Z661" s="2"/>
      <c r="AA661" s="2"/>
      <c r="AB661" s="2"/>
      <c r="AC661" s="2"/>
      <c r="AD661" s="2"/>
      <c r="AE661" s="2" t="str">
        <f>IFERROR(__xludf.DUMMYFUNCTION("""COMPUTED_VALUE"""),"0-02-06-2c54756877a6159d2082c015a62707848f66f8d37ac8e27c80770561a8b239fa_3bc2cc8bbe11c327.mp4")</f>
        <v>0-02-06-2c54756877a6159d2082c015a62707848f66f8d37ac8e27c80770561a8b239fa_3bc2cc8bbe11c327.mp4</v>
      </c>
      <c r="AF661" s="2" t="str">
        <f>IFERROR(__xludf.DUMMYFUNCTION("""COMPUTED_VALUE"""),"0-02-06-28a16c3e42c4a60df780ac8f6da7a5cef1132c523a289b1bb1464bc3338c268d_d29d494f9c67fba5.mp4")</f>
        <v>0-02-06-28a16c3e42c4a60df780ac8f6da7a5cef1132c523a289b1bb1464bc3338c268d_d29d494f9c67fba5.mp4</v>
      </c>
      <c r="AG661" s="2"/>
      <c r="AH661" s="2"/>
      <c r="AI661" s="2"/>
      <c r="AJ661" s="2" t="str">
        <f>IFERROR(__xludf.DUMMYFUNCTION("""COMPUTED_VALUE"""),"Anduyan")</f>
        <v>Anduyan</v>
      </c>
      <c r="AK661" s="2" t="str">
        <f>IFERROR(__xludf.DUMMYFUNCTION("""COMPUTED_VALUE"""),"Tubao")</f>
        <v>Tubao</v>
      </c>
      <c r="AL661" s="2" t="str">
        <f>IFERROR(__xludf.DUMMYFUNCTION("""COMPUTED_VALUE"""),"La Union")</f>
        <v>La Union</v>
      </c>
      <c r="AM661" s="2">
        <f>IFERROR(__xludf.DUMMYFUNCTION("""COMPUTED_VALUE"""),1.0)</f>
        <v>1</v>
      </c>
      <c r="AN661" s="2" t="str">
        <f>IFERROR(__xludf.DUMMYFUNCTION("""COMPUTED_VALUE"""),"RCEF 23-09-21 Rebidding")</f>
        <v>RCEF 23-09-21 Rebidding</v>
      </c>
      <c r="AO661" s="2">
        <f>IFERROR(__xludf.DUMMYFUNCTION("""COMPUTED_VALUE"""),2.0)</f>
        <v>2</v>
      </c>
      <c r="AP661" s="2"/>
      <c r="AQ661" s="2"/>
      <c r="AR661" s="2"/>
      <c r="AS661" s="2"/>
      <c r="AT661" s="2"/>
      <c r="AU661" s="2"/>
      <c r="AV661" s="2"/>
      <c r="AW661" s="2"/>
      <c r="AX661" s="2"/>
      <c r="AY661" s="2"/>
      <c r="AZ661" s="2"/>
      <c r="BA661" s="2"/>
      <c r="BB661" s="2"/>
    </row>
    <row r="662">
      <c r="A662" s="2">
        <f>IFERROR(__xludf.DUMMYFUNCTION("""COMPUTED_VALUE"""),658.0)</f>
        <v>658</v>
      </c>
      <c r="B662" s="2" t="str">
        <f>IFERROR(__xludf.DUMMYFUNCTION("""COMPUTED_VALUE"""),"COMPLETED")</f>
        <v>COMPLETED</v>
      </c>
      <c r="C662" s="74">
        <f>IFERROR(__xludf.DUMMYFUNCTION("""COMPUTED_VALUE"""),45610.0)</f>
        <v>45610</v>
      </c>
      <c r="D662" s="71" t="str">
        <f>IFERROR(__xludf.DUMMYFUNCTION("""COMPUTED_VALUE"""),"MUNICIPAL LOCAL GOVERNMENT UNIT OF ANGAT")</f>
        <v>MUNICIPAL LOCAL GOVERNMENT UNIT OF ANGAT</v>
      </c>
      <c r="E662" s="71" t="str">
        <f>IFERROR(__xludf.DUMMYFUNCTION("""COMPUTED_VALUE"""),"Poblacion, Angat, Bulacan")</f>
        <v>Poblacion, Angat, Bulacan</v>
      </c>
      <c r="F662" s="2"/>
      <c r="G662" s="2" t="str">
        <f>IFERROR(__xludf.DUMMYFUNCTION("""COMPUTED_VALUE"""),"63 917 994 1102")</f>
        <v>63 917 994 1102</v>
      </c>
      <c r="H662" s="76">
        <f>IFERROR(__xludf.DUMMYFUNCTION("""COMPUTED_VALUE"""),1040.7)</f>
        <v>1040.7</v>
      </c>
      <c r="I662" s="72" t="str">
        <f>IFERROR(__xludf.DUMMYFUNCTION("""COMPUTED_VALUE"""),"SPARE PARTS ACQUISITION")</f>
        <v>SPARE PARTS ACQUISITION</v>
      </c>
      <c r="J662" s="72" t="str">
        <f>IFERROR(__xludf.DUMMYFUNCTION("""COMPUTED_VALUE"""),"SPARE PARTS ACQUISITION")</f>
        <v>SPARE PARTS ACQUISITION</v>
      </c>
      <c r="K662" s="72" t="str">
        <f>IFERROR(__xludf.DUMMYFUNCTION("""COMPUTED_VALUE"""),"DRM: HYDRAULIC FILTER")</f>
        <v>DRM: HYDRAULIC FILTER</v>
      </c>
      <c r="L662" s="72" t="str">
        <f>IFERROR(__xludf.DUMMYFUNCTION("""COMPUTED_VALUE"""),"DELIVERED")</f>
        <v>DELIVERED</v>
      </c>
      <c r="M662" s="2"/>
      <c r="N662" s="2" t="str">
        <f>IFERROR(__xludf.DUMMYFUNCTION("""COMPUTED_VALUE"""),"PARTS: HYDRAULIC FILTER")</f>
        <v>PARTS: HYDRAULIC FILTER</v>
      </c>
      <c r="O662" s="2">
        <f>IFERROR(__xludf.DUMMYFUNCTION("""COMPUTED_VALUE"""),1102.0)</f>
        <v>1102</v>
      </c>
      <c r="P662" s="2"/>
      <c r="Q662" s="2"/>
      <c r="R662" s="74">
        <f>IFERROR(__xludf.DUMMYFUNCTION("""COMPUTED_VALUE"""),45610.0)</f>
        <v>45610</v>
      </c>
      <c r="S662" s="2" t="str">
        <f>IFERROR(__xludf.DUMMYFUNCTION("""COMPUTED_VALUE"""),"DSD/DRM/ACS")</f>
        <v>DSD/DRM/ACS</v>
      </c>
      <c r="T662" s="73">
        <f>IFERROR(__xludf.DUMMYFUNCTION("""COMPUTED_VALUE"""),2748.0)</f>
        <v>2748</v>
      </c>
      <c r="U662" s="73" t="str">
        <f>IFERROR(__xludf.DUMMYFUNCTION("""COMPUTED_VALUE""")," REMITTED ")</f>
        <v>REMITTED</v>
      </c>
      <c r="V662" s="2"/>
      <c r="W662" s="2">
        <f>IFERROR(__xludf.DUMMYFUNCTION("""COMPUTED_VALUE"""),1459.0)</f>
        <v>1459</v>
      </c>
      <c r="X662" s="2">
        <f>IFERROR(__xludf.DUMMYFUNCTION("""COMPUTED_VALUE"""),1246.0)</f>
        <v>1246</v>
      </c>
      <c r="Y662" s="2"/>
      <c r="Z662" s="2"/>
      <c r="AA662" s="2"/>
      <c r="AB662" s="2"/>
      <c r="AC662" s="2"/>
      <c r="AD662" s="2"/>
      <c r="AE662" s="2"/>
      <c r="AF662" s="2"/>
      <c r="AG662" s="2"/>
      <c r="AH662" s="2"/>
      <c r="AI662" s="2"/>
      <c r="AJ662" s="2" t="str">
        <f>IFERROR(__xludf.DUMMYFUNCTION("""COMPUTED_VALUE"""),"Poblacion")</f>
        <v>Poblacion</v>
      </c>
      <c r="AK662" s="2" t="str">
        <f>IFERROR(__xludf.DUMMYFUNCTION("""COMPUTED_VALUE"""),"Angat")</f>
        <v>Angat</v>
      </c>
      <c r="AL662" s="2" t="str">
        <f>IFERROR(__xludf.DUMMYFUNCTION("""COMPUTED_VALUE"""),"Bulacan")</f>
        <v>Bulacan</v>
      </c>
      <c r="AM662" s="2">
        <f>IFERROR(__xludf.DUMMYFUNCTION("""COMPUTED_VALUE"""),3.0)</f>
        <v>3</v>
      </c>
      <c r="AN662" s="2" t="str">
        <f>IFERROR(__xludf.DUMMYFUNCTION("""COMPUTED_VALUE"""),"RCEF 23-09-21 Rebidding")</f>
        <v>RCEF 23-09-21 Rebidding</v>
      </c>
      <c r="AO662" s="2">
        <f>IFERROR(__xludf.DUMMYFUNCTION("""COMPUTED_VALUE"""),3.0)</f>
        <v>3</v>
      </c>
      <c r="AP662" s="2"/>
      <c r="AQ662" s="2"/>
      <c r="AR662" s="2"/>
      <c r="AS662" s="2"/>
      <c r="AT662" s="2"/>
      <c r="AU662" s="2"/>
      <c r="AV662" s="2"/>
      <c r="AW662" s="2"/>
      <c r="AX662" s="2"/>
      <c r="AY662" s="2"/>
      <c r="AZ662" s="2"/>
      <c r="BA662" s="2"/>
      <c r="BB662" s="2"/>
    </row>
    <row r="663">
      <c r="A663" s="2">
        <f>IFERROR(__xludf.DUMMYFUNCTION("""COMPUTED_VALUE"""),659.0)</f>
        <v>659</v>
      </c>
      <c r="B663" s="2" t="str">
        <f>IFERROR(__xludf.DUMMYFUNCTION("""COMPUTED_VALUE"""),"COMPLETED")</f>
        <v>COMPLETED</v>
      </c>
      <c r="C663" s="74">
        <f>IFERROR(__xludf.DUMMYFUNCTION("""COMPUTED_VALUE"""),45610.0)</f>
        <v>45610</v>
      </c>
      <c r="D663" s="71" t="str">
        <f>IFERROR(__xludf.DUMMYFUNCTION("""COMPUTED_VALUE"""),"Masalipit Small Water Irrigation System Association Inc.")</f>
        <v>Masalipit Small Water Irrigation System Association Inc.</v>
      </c>
      <c r="E663" s="71" t="str">
        <f>IFERROR(__xludf.DUMMYFUNCTION("""COMPUTED_VALUE"""),"Masalipit, San Miguel, BULACAN")</f>
        <v>Masalipit, San Miguel, BULACAN</v>
      </c>
      <c r="F663" s="2" t="str">
        <f>IFERROR(__xludf.DUMMYFUNCTION("""COMPUTED_VALUE"""),"Bernardo S. Lusano")</f>
        <v>Bernardo S. Lusano</v>
      </c>
      <c r="G663" s="2" t="str">
        <f>IFERROR(__xludf.DUMMYFUNCTION("""COMPUTED_VALUE"""),"0935-952-6857")</f>
        <v>0935-952-6857</v>
      </c>
      <c r="H663" s="2">
        <f>IFERROR(__xludf.DUMMYFUNCTION("""COMPUTED_VALUE"""),192.0)</f>
        <v>192</v>
      </c>
      <c r="I663" s="72" t="str">
        <f>IFERROR(__xludf.DUMMYFUNCTION("""COMPUTED_VALUE"""),"REPAIR - TRACTOR")</f>
        <v>REPAIR - TRACTOR</v>
      </c>
      <c r="J663" s="72" t="str">
        <f>IFERROR(__xludf.DUMMYFUNCTION("""COMPUTED_VALUE"""),"Electrical - Starter Motor")</f>
        <v>Electrical - Starter Motor</v>
      </c>
      <c r="K663" s="72" t="str">
        <f>IFERROR(__xludf.DUMMYFUNCTION("""COMPUTED_VALUE"""),"MYKEE: mula daw po na may ikinabit na para sa overheating ay dun daw po mag start na hindi umandar unit, checked na din daw po ang battery and okay naman daw po.
JVV: 11/19/24: Ayaw po umandar ng unit nila chineck napo namin yung wirings kahit mga fuse a"&amp;"t relay kahit po yung sa battery niya malakas naman po nag series pa kami pero ayaw pa den pong umandar ng tractor 
RECOMMEND: Palit STARTER 
")</f>
        <v>MYKEE: mula daw po na may ikinabit na para sa overheating ay dun daw po mag start na hindi umandar unit, checked na din daw po ang battery and okay naman daw po.
JVV: 11/19/24: Ayaw po umandar ng unit nila chineck napo namin yung wirings kahit mga fuse at relay kahit po yung sa battery niya malakas naman po nag series pa kami pero ayaw pa den pong umandar ng tractor 
RECOMMEND: Palit STARTER 
</v>
      </c>
      <c r="L663" s="72" t="str">
        <f>IFERROR(__xludf.DUMMYFUNCTION("""COMPUTED_VALUE"""),"1059: DSD: 12/10/24: CLOSED DAHIL NAMAMAHALAN SI FARMER SA PRESYO (PRINTED)
EGT: 1/23/25: REPLACED NEW STARTER MOTOR (WARRANTY) ")</f>
        <v>1059: DSD: 12/10/24: CLOSED DAHIL NAMAMAHALAN SI FARMER SA PRESYO (PRINTED)
EGT: 1/23/25: REPLACED NEW STARTER MOTOR (WARRANTY) </v>
      </c>
      <c r="M663" s="2"/>
      <c r="N663" s="2" t="str">
        <f>IFERROR(__xludf.DUMMYFUNCTION("""COMPUTED_VALUE"""),"PARTS: STARTER MOTOR")</f>
        <v>PARTS: STARTER MOTOR</v>
      </c>
      <c r="O663" s="2">
        <f>IFERROR(__xludf.DUMMYFUNCTION("""COMPUTED_VALUE"""),1338.0)</f>
        <v>1338</v>
      </c>
      <c r="P663" s="2"/>
      <c r="Q663" s="2" t="str">
        <f>IFERROR(__xludf.DUMMYFUNCTION("""COMPUTED_VALUE"""),"Y")</f>
        <v>Y</v>
      </c>
      <c r="R663" s="74">
        <f>IFERROR(__xludf.DUMMYFUNCTION("""COMPUTED_VALUE"""),45680.0)</f>
        <v>45680</v>
      </c>
      <c r="S663" s="2" t="str">
        <f>IFERROR(__xludf.DUMMYFUNCTION("""COMPUTED_VALUE"""),"EGT/DRM")</f>
        <v>EGT/DRM</v>
      </c>
      <c r="T663" s="73" t="str">
        <f>IFERROR(__xludf.DUMMYFUNCTION("""COMPUTED_VALUE""")," N/A ")</f>
        <v>N/A</v>
      </c>
      <c r="U663" s="73" t="str">
        <f>IFERROR(__xludf.DUMMYFUNCTION("""COMPUTED_VALUE""")," NO CHARGE ")</f>
        <v>NO CHARGE</v>
      </c>
      <c r="V663" s="2"/>
      <c r="W663" s="2" t="str">
        <f>IFERROR(__xludf.DUMMYFUNCTION("""COMPUTED_VALUE"""),"N/A")</f>
        <v>N/A</v>
      </c>
      <c r="X663" s="2" t="str">
        <f>IFERROR(__xludf.DUMMYFUNCTION("""COMPUTED_VALUE"""),"N/A")</f>
        <v>N/A</v>
      </c>
      <c r="Y663" s="2"/>
      <c r="Z663" s="2"/>
      <c r="AA663" s="2"/>
      <c r="AB663" s="2"/>
      <c r="AC663" s="2"/>
      <c r="AD663" s="2"/>
      <c r="AE663" s="2"/>
      <c r="AF663" s="2"/>
      <c r="AG663" s="2"/>
      <c r="AH663" s="2"/>
      <c r="AI663" s="2"/>
      <c r="AJ663" s="2" t="str">
        <f>IFERROR(__xludf.DUMMYFUNCTION("""COMPUTED_VALUE"""),"Masalipit")</f>
        <v>Masalipit</v>
      </c>
      <c r="AK663" s="2" t="str">
        <f>IFERROR(__xludf.DUMMYFUNCTION("""COMPUTED_VALUE"""),"San Miguel")</f>
        <v>San Miguel</v>
      </c>
      <c r="AL663" s="2" t="str">
        <f>IFERROR(__xludf.DUMMYFUNCTION("""COMPUTED_VALUE"""),"Bulacan")</f>
        <v>Bulacan</v>
      </c>
      <c r="AM663" s="2">
        <f>IFERROR(__xludf.DUMMYFUNCTION("""COMPUTED_VALUE"""),3.0)</f>
        <v>3</v>
      </c>
      <c r="AN663" s="2" t="str">
        <f>IFERROR(__xludf.DUMMYFUNCTION("""COMPUTED_VALUE"""),"RCEF 23-09-21 Rebidding")</f>
        <v>RCEF 23-09-21 Rebidding</v>
      </c>
      <c r="AO663" s="2">
        <f>IFERROR(__xludf.DUMMYFUNCTION("""COMPUTED_VALUE"""),3.0)</f>
        <v>3</v>
      </c>
      <c r="AP663" s="2"/>
      <c r="AQ663" s="2"/>
      <c r="AR663" s="2"/>
      <c r="AS663" s="2"/>
      <c r="AT663" s="2"/>
      <c r="AU663" s="2"/>
      <c r="AV663" s="2"/>
      <c r="AW663" s="2"/>
      <c r="AX663" s="2"/>
      <c r="AY663" s="2"/>
      <c r="AZ663" s="2"/>
      <c r="BA663" s="2"/>
      <c r="BB663" s="2"/>
    </row>
    <row r="664">
      <c r="A664" s="2">
        <f>IFERROR(__xludf.DUMMYFUNCTION("""COMPUTED_VALUE"""),660.0)</f>
        <v>660</v>
      </c>
      <c r="B664" s="2" t="str">
        <f>IFERROR(__xludf.DUMMYFUNCTION("""COMPUTED_VALUE"""),"COMPLETED")</f>
        <v>COMPLETED</v>
      </c>
      <c r="C664" s="74">
        <f>IFERROR(__xludf.DUMMYFUNCTION("""COMPUTED_VALUE"""),45610.0)</f>
        <v>45610</v>
      </c>
      <c r="D664" s="71" t="str">
        <f>IFERROR(__xludf.DUMMYFUNCTION("""COMPUTED_VALUE"""),"PCSC FARMERS IRRIGATORS' ASSOCIATION, INC.")</f>
        <v>PCSC FARMERS IRRIGATORS' ASSOCIATION, INC.</v>
      </c>
      <c r="E664" s="71" t="str">
        <f>IFERROR(__xludf.DUMMYFUNCTION("""COMPUTED_VALUE"""),"Curva, Pamplona, CAGAYAN")</f>
        <v>Curva, Pamplona, CAGAYAN</v>
      </c>
      <c r="F664" s="2" t="str">
        <f>IFERROR(__xludf.DUMMYFUNCTION("""COMPUTED_VALUE"""),"Pio I Tabao")</f>
        <v>Pio I Tabao</v>
      </c>
      <c r="G664" s="2">
        <f>IFERROR(__xludf.DUMMYFUNCTION("""COMPUTED_VALUE"""),9.77313292E9)</f>
        <v>9773132920</v>
      </c>
      <c r="H664" s="2">
        <f>IFERROR(__xludf.DUMMYFUNCTION("""COMPUTED_VALUE"""),48.6)</f>
        <v>48.6</v>
      </c>
      <c r="I664" s="72" t="str">
        <f>IFERROR(__xludf.DUMMYFUNCTION("""COMPUTED_VALUE"""),"PMS")</f>
        <v>PMS</v>
      </c>
      <c r="J664" s="72"/>
      <c r="K664" s="72" t="str">
        <f>IFERROR(__xludf.DUMMYFUNCTION("""COMPUTED_VALUE"""),"CFG:  1ST PMS: nakausap ko na po sila na dw po mag PMS po. : SELF PMS")</f>
        <v>CFG:  1ST PMS: nakausap ko na po sila na dw po mag PMS po. : SELF PMS</v>
      </c>
      <c r="L664" s="72" t="str">
        <f>IFERROR(__xludf.DUMMYFUNCTION("""COMPUTED_VALUE"""),"SEND AGREEMENT: ")</f>
        <v>SEND AGREEMENT: </v>
      </c>
      <c r="M664" s="2"/>
      <c r="N664" s="2"/>
      <c r="O664" s="2" t="str">
        <f>IFERROR(__xludf.DUMMYFUNCTION("""COMPUTED_VALUE"""),"N/A")</f>
        <v>N/A</v>
      </c>
      <c r="P664" s="2"/>
      <c r="Q664" s="2"/>
      <c r="R664" s="74">
        <f>IFERROR(__xludf.DUMMYFUNCTION("""COMPUTED_VALUE"""),45612.0)</f>
        <v>45612</v>
      </c>
      <c r="S664" s="2"/>
      <c r="T664" s="73" t="str">
        <f>IFERROR(__xludf.DUMMYFUNCTION("""COMPUTED_VALUE""")," N/A ")</f>
        <v>N/A</v>
      </c>
      <c r="U664" s="73" t="str">
        <f>IFERROR(__xludf.DUMMYFUNCTION("""COMPUTED_VALUE""")," NO CHARGE ")</f>
        <v>NO CHARGE</v>
      </c>
      <c r="V664" s="2"/>
      <c r="W664" s="2" t="str">
        <f>IFERROR(__xludf.DUMMYFUNCTION("""COMPUTED_VALUE"""),"N/A")</f>
        <v>N/A</v>
      </c>
      <c r="X664" s="2" t="str">
        <f>IFERROR(__xludf.DUMMYFUNCTION("""COMPUTED_VALUE"""),"N/A")</f>
        <v>N/A</v>
      </c>
      <c r="Y664" s="2"/>
      <c r="Z664" s="2"/>
      <c r="AA664" s="2"/>
      <c r="AB664" s="2"/>
      <c r="AC664" s="2"/>
      <c r="AD664" s="2"/>
      <c r="AE664" s="2"/>
      <c r="AF664" s="2"/>
      <c r="AG664" s="2"/>
      <c r="AH664" s="2"/>
      <c r="AI664" s="2"/>
      <c r="AJ664" s="2" t="str">
        <f>IFERROR(__xludf.DUMMYFUNCTION("""COMPUTED_VALUE"""),"Curva")</f>
        <v>Curva</v>
      </c>
      <c r="AK664" s="2" t="str">
        <f>IFERROR(__xludf.DUMMYFUNCTION("""COMPUTED_VALUE"""),"Pamplona")</f>
        <v>Pamplona</v>
      </c>
      <c r="AL664" s="2" t="str">
        <f>IFERROR(__xludf.DUMMYFUNCTION("""COMPUTED_VALUE"""),"Cagayan")</f>
        <v>Cagayan</v>
      </c>
      <c r="AM664" s="2">
        <f>IFERROR(__xludf.DUMMYFUNCTION("""COMPUTED_VALUE"""),2.0)</f>
        <v>2</v>
      </c>
      <c r="AN664" s="2" t="str">
        <f>IFERROR(__xludf.DUMMYFUNCTION("""COMPUTED_VALUE"""),"RCEF 23-09-21 Rebidding")</f>
        <v>RCEF 23-09-21 Rebidding</v>
      </c>
      <c r="AO664" s="2">
        <f>IFERROR(__xludf.DUMMYFUNCTION("""COMPUTED_VALUE"""),1.0)</f>
        <v>1</v>
      </c>
      <c r="AP664" s="2"/>
      <c r="AQ664" s="2"/>
      <c r="AR664" s="2"/>
      <c r="AS664" s="2"/>
      <c r="AT664" s="2"/>
      <c r="AU664" s="2"/>
      <c r="AV664" s="2"/>
      <c r="AW664" s="2"/>
      <c r="AX664" s="2"/>
      <c r="AY664" s="2"/>
      <c r="AZ664" s="2"/>
      <c r="BA664" s="2"/>
      <c r="BB664" s="2"/>
    </row>
    <row r="665">
      <c r="A665" s="2">
        <f>IFERROR(__xludf.DUMMYFUNCTION("""COMPUTED_VALUE"""),661.0)</f>
        <v>661</v>
      </c>
      <c r="B665" s="2" t="str">
        <f>IFERROR(__xludf.DUMMYFUNCTION("""COMPUTED_VALUE"""),"COMPLETED")</f>
        <v>COMPLETED</v>
      </c>
      <c r="C665" s="74">
        <f>IFERROR(__xludf.DUMMYFUNCTION("""COMPUTED_VALUE"""),45610.0)</f>
        <v>45610</v>
      </c>
      <c r="D665" s="71" t="str">
        <f>IFERROR(__xludf.DUMMYFUNCTION("""COMPUTED_VALUE"""),"Pili Farmers Association")</f>
        <v>Pili Farmers Association</v>
      </c>
      <c r="E665" s="71" t="str">
        <f>IFERROR(__xludf.DUMMYFUNCTION("""COMPUTED_VALUE"""),"Pili, Ajuy, ILOILO")</f>
        <v>Pili, Ajuy, ILOILO</v>
      </c>
      <c r="F665" s="2" t="str">
        <f>IFERROR(__xludf.DUMMYFUNCTION("""COMPUTED_VALUE"""),"Hermino Atadero")</f>
        <v>Hermino Atadero</v>
      </c>
      <c r="G665" s="2">
        <f>IFERROR(__xludf.DUMMYFUNCTION("""COMPUTED_VALUE"""),9.979185275E9)</f>
        <v>9979185275</v>
      </c>
      <c r="H665" s="2">
        <f>IFERROR(__xludf.DUMMYFUNCTION("""COMPUTED_VALUE"""),281.2)</f>
        <v>281.2</v>
      </c>
      <c r="I665" s="72" t="str">
        <f>IFERROR(__xludf.DUMMYFUNCTION("""COMPUTED_VALUE"""),"PMS")</f>
        <v>PMS</v>
      </c>
      <c r="J665" s="72" t="str">
        <f>IFERROR(__xludf.DUMMYFUNCTION("""COMPUTED_VALUE"""),"PMS")</f>
        <v>PMS</v>
      </c>
      <c r="K665" s="72" t="str">
        <f>IFERROR(__xludf.DUMMYFUNCTION("""COMPUTED_VALUE"""),"JVV: 2ND PMS: SELF PMS")</f>
        <v>JVV: 2ND PMS: SELF PMS</v>
      </c>
      <c r="L665" s="72" t="str">
        <f>IFERROR(__xludf.DUMMYFUNCTION("""COMPUTED_VALUE"""),"SEND AGREEMENT: ")</f>
        <v>SEND AGREEMENT: </v>
      </c>
      <c r="M665" s="2"/>
      <c r="N665" s="2"/>
      <c r="O665" s="2" t="str">
        <f>IFERROR(__xludf.DUMMYFUNCTION("""COMPUTED_VALUE"""),"N/A")</f>
        <v>N/A</v>
      </c>
      <c r="P665" s="2"/>
      <c r="Q665" s="2"/>
      <c r="R665" s="74">
        <f>IFERROR(__xludf.DUMMYFUNCTION("""COMPUTED_VALUE"""),45611.0)</f>
        <v>45611</v>
      </c>
      <c r="S665" s="2"/>
      <c r="T665" s="73" t="str">
        <f>IFERROR(__xludf.DUMMYFUNCTION("""COMPUTED_VALUE""")," N/A ")</f>
        <v>N/A</v>
      </c>
      <c r="U665" s="73" t="str">
        <f>IFERROR(__xludf.DUMMYFUNCTION("""COMPUTED_VALUE""")," NO CHARGE ")</f>
        <v>NO CHARGE</v>
      </c>
      <c r="V665" s="2"/>
      <c r="W665" s="2" t="str">
        <f>IFERROR(__xludf.DUMMYFUNCTION("""COMPUTED_VALUE"""),"N/A")</f>
        <v>N/A</v>
      </c>
      <c r="X665" s="2" t="str">
        <f>IFERROR(__xludf.DUMMYFUNCTION("""COMPUTED_VALUE"""),"N/A")</f>
        <v>N/A</v>
      </c>
      <c r="Y665" s="2"/>
      <c r="Z665" s="2"/>
      <c r="AA665" s="2"/>
      <c r="AB665" s="2"/>
      <c r="AC665" s="2"/>
      <c r="AD665" s="2"/>
      <c r="AE665" s="2"/>
      <c r="AF665" s="2"/>
      <c r="AG665" s="2"/>
      <c r="AH665" s="2"/>
      <c r="AI665" s="2"/>
      <c r="AJ665" s="2" t="str">
        <f>IFERROR(__xludf.DUMMYFUNCTION("""COMPUTED_VALUE"""),"Pili")</f>
        <v>Pili</v>
      </c>
      <c r="AK665" s="2" t="str">
        <f>IFERROR(__xludf.DUMMYFUNCTION("""COMPUTED_VALUE"""),"Ajuy")</f>
        <v>Ajuy</v>
      </c>
      <c r="AL665" s="2" t="str">
        <f>IFERROR(__xludf.DUMMYFUNCTION("""COMPUTED_VALUE"""),"Iloilo")</f>
        <v>Iloilo</v>
      </c>
      <c r="AM665" s="2">
        <f>IFERROR(__xludf.DUMMYFUNCTION("""COMPUTED_VALUE"""),6.0)</f>
        <v>6</v>
      </c>
      <c r="AN665" s="2" t="str">
        <f>IFERROR(__xludf.DUMMYFUNCTION("""COMPUTED_VALUE"""),"RCEF 23-09-21 Rebidding")</f>
        <v>RCEF 23-09-21 Rebidding</v>
      </c>
      <c r="AO665" s="2">
        <f>IFERROR(__xludf.DUMMYFUNCTION("""COMPUTED_VALUE"""),4.0)</f>
        <v>4</v>
      </c>
      <c r="AP665" s="2"/>
      <c r="AQ665" s="2"/>
      <c r="AR665" s="2"/>
      <c r="AS665" s="2"/>
      <c r="AT665" s="2"/>
      <c r="AU665" s="2"/>
      <c r="AV665" s="2"/>
      <c r="AW665" s="2"/>
      <c r="AX665" s="2"/>
      <c r="AY665" s="2"/>
      <c r="AZ665" s="2"/>
      <c r="BA665" s="2"/>
      <c r="BB665" s="2"/>
    </row>
    <row r="666">
      <c r="A666" s="2">
        <f>IFERROR(__xludf.DUMMYFUNCTION("""COMPUTED_VALUE"""),662.0)</f>
        <v>662</v>
      </c>
      <c r="B666" s="2" t="str">
        <f>IFERROR(__xludf.DUMMYFUNCTION("""COMPUTED_VALUE"""),"COMPLETED")</f>
        <v>COMPLETED</v>
      </c>
      <c r="C666" s="74">
        <f>IFERROR(__xludf.DUMMYFUNCTION("""COMPUTED_VALUE"""),45611.0)</f>
        <v>45611</v>
      </c>
      <c r="D666" s="71" t="str">
        <f>IFERROR(__xludf.DUMMYFUNCTION("""COMPUTED_VALUE"""),"MALLALATANG GRANDE AND VILLADOR FARMERS ASSOCIATION")</f>
        <v>MALLALATANG GRANDE AND VILLADOR FARMERS ASSOCIATION</v>
      </c>
      <c r="E666" s="71" t="str">
        <f>IFERROR(__xludf.DUMMYFUNCTION("""COMPUTED_VALUE"""),"Villador, Reina Mercedes, ISABELA")</f>
        <v>Villador, Reina Mercedes, ISABELA</v>
      </c>
      <c r="F666" s="2" t="str">
        <f>IFERROR(__xludf.DUMMYFUNCTION("""COMPUTED_VALUE"""),"JONEL F. ACOB")</f>
        <v>JONEL F. ACOB</v>
      </c>
      <c r="G666" s="2">
        <f>IFERROR(__xludf.DUMMYFUNCTION("""COMPUTED_VALUE"""),9.654799576E9)</f>
        <v>9654799576</v>
      </c>
      <c r="H666" s="2">
        <f>IFERROR(__xludf.DUMMYFUNCTION("""COMPUTED_VALUE"""),275.0)</f>
        <v>275</v>
      </c>
      <c r="I666" s="72" t="str">
        <f>IFERROR(__xludf.DUMMYFUNCTION("""COMPUTED_VALUE"""),"REPAIR - TRACTOR")</f>
        <v>REPAIR - TRACTOR</v>
      </c>
      <c r="J666" s="72" t="str">
        <f>IFERROR(__xludf.DUMMYFUNCTION("""COMPUTED_VALUE"""),"PTO - Valve Repair")</f>
        <v>PTO - Valve Repair</v>
      </c>
      <c r="K666" s="72" t="str">
        <f>IFERROR(__xludf.DUMMYFUNCTION("""COMPUTED_VALUE"""),"JVV: pahinto hito po ung ikot ng rota pag nag iinit po at may tagas sa bomba sa may tabi ng starter.")</f>
        <v>JVV: pahinto hito po ung ikot ng rota pag nag iinit po at may tagas sa bomba sa may tabi ng starter.</v>
      </c>
      <c r="L666" s="72" t="str">
        <f>IFERROR(__xludf.DUMMYFUNCTION("""COMPUTED_VALUE"""),"JVV: nag adjust po kami sa may PTO valve. at inayot po ung sa may gear pump. ngaun oky na po unit nila. ")</f>
        <v>JVV: nag adjust po kami sa may PTO valve. at inayot po ung sa may gear pump. ngaun oky na po unit nila. </v>
      </c>
      <c r="M666" s="2"/>
      <c r="N666" s="2"/>
      <c r="O666" s="2" t="str">
        <f>IFERROR(__xludf.DUMMYFUNCTION("""COMPUTED_VALUE"""),"JIE-964")</f>
        <v>JIE-964</v>
      </c>
      <c r="P666" s="2"/>
      <c r="Q666" s="2"/>
      <c r="R666" s="74">
        <f>IFERROR(__xludf.DUMMYFUNCTION("""COMPUTED_VALUE"""),45610.0)</f>
        <v>45610</v>
      </c>
      <c r="S666" s="2" t="str">
        <f>IFERROR(__xludf.DUMMYFUNCTION("""COMPUTED_VALUE"""),"CFG/JVV")</f>
        <v>CFG/JVV</v>
      </c>
      <c r="T666" s="73" t="str">
        <f>IFERROR(__xludf.DUMMYFUNCTION("""COMPUTED_VALUE""")," N/A ")</f>
        <v>N/A</v>
      </c>
      <c r="U666" s="73" t="str">
        <f>IFERROR(__xludf.DUMMYFUNCTION("""COMPUTED_VALUE""")," NO CHARGE ")</f>
        <v>NO CHARGE</v>
      </c>
      <c r="V666" s="2"/>
      <c r="W666" s="2" t="str">
        <f>IFERROR(__xludf.DUMMYFUNCTION("""COMPUTED_VALUE"""),"N/A")</f>
        <v>N/A</v>
      </c>
      <c r="X666" s="2" t="str">
        <f>IFERROR(__xludf.DUMMYFUNCTION("""COMPUTED_VALUE"""),"N/A")</f>
        <v>N/A</v>
      </c>
      <c r="Y666" s="2"/>
      <c r="Z666" s="2"/>
      <c r="AA666" s="2"/>
      <c r="AB666" s="2"/>
      <c r="AC666" s="2"/>
      <c r="AD666" s="2"/>
      <c r="AE666" s="2"/>
      <c r="AF666" s="2"/>
      <c r="AG666" s="2"/>
      <c r="AH666" s="2"/>
      <c r="AI666" s="2"/>
      <c r="AJ666" s="2" t="str">
        <f>IFERROR(__xludf.DUMMYFUNCTION("""COMPUTED_VALUE"""),"Villador")</f>
        <v>Villador</v>
      </c>
      <c r="AK666" s="2" t="str">
        <f>IFERROR(__xludf.DUMMYFUNCTION("""COMPUTED_VALUE"""),"Reina Mercedes")</f>
        <v>Reina Mercedes</v>
      </c>
      <c r="AL666" s="2" t="str">
        <f>IFERROR(__xludf.DUMMYFUNCTION("""COMPUTED_VALUE"""),"Isabela")</f>
        <v>Isabela</v>
      </c>
      <c r="AM666" s="2">
        <f>IFERROR(__xludf.DUMMYFUNCTION("""COMPUTED_VALUE"""),2.0)</f>
        <v>2</v>
      </c>
      <c r="AN666" s="2" t="str">
        <f>IFERROR(__xludf.DUMMYFUNCTION("""COMPUTED_VALUE"""),"RCEF 23-09-21 Rebidding")</f>
        <v>RCEF 23-09-21 Rebidding</v>
      </c>
      <c r="AO666" s="2">
        <f>IFERROR(__xludf.DUMMYFUNCTION("""COMPUTED_VALUE"""),9.0)</f>
        <v>9</v>
      </c>
      <c r="AP666" s="2"/>
      <c r="AQ666" s="2"/>
      <c r="AR666" s="2"/>
      <c r="AS666" s="2"/>
      <c r="AT666" s="2"/>
      <c r="AU666" s="2"/>
      <c r="AV666" s="2"/>
      <c r="AW666" s="2"/>
      <c r="AX666" s="2"/>
      <c r="AY666" s="2"/>
      <c r="AZ666" s="2"/>
      <c r="BA666" s="2"/>
      <c r="BB666" s="2"/>
    </row>
    <row r="667">
      <c r="A667" s="2">
        <f>IFERROR(__xludf.DUMMYFUNCTION("""COMPUTED_VALUE"""),663.0)</f>
        <v>663</v>
      </c>
      <c r="B667" s="2" t="str">
        <f>IFERROR(__xludf.DUMMYFUNCTION("""COMPUTED_VALUE"""),"COMPLETED")</f>
        <v>COMPLETED</v>
      </c>
      <c r="C667" s="74">
        <f>IFERROR(__xludf.DUMMYFUNCTION("""COMPUTED_VALUE"""),45611.0)</f>
        <v>45611</v>
      </c>
      <c r="D667" s="71" t="str">
        <f>IFERROR(__xludf.DUMMYFUNCTION("""COMPUTED_VALUE"""),"(BBCM) BINANU-AN BINANGBANG CENTRO-CUBAY-MAGTULIS IRRIGATORS ASSOCIATION, INC.")</f>
        <v>(BBCM) BINANU-AN BINANGBANG CENTRO-CUBAY-MAGTULIS IRRIGATORS ASSOCIATION, INC.</v>
      </c>
      <c r="E667" s="71" t="str">
        <f>IFERROR(__xludf.DUMMYFUNCTION("""COMPUTED_VALUE"""),"Binanu-an, Barbaza, ANTIQUE")</f>
        <v>Binanu-an, Barbaza, ANTIQUE</v>
      </c>
      <c r="F667" s="2" t="str">
        <f>IFERROR(__xludf.DUMMYFUNCTION("""COMPUTED_VALUE"""),"Jovequent Española Torres")</f>
        <v>Jovequent Española Torres</v>
      </c>
      <c r="G667" s="2">
        <f>IFERROR(__xludf.DUMMYFUNCTION("""COMPUTED_VALUE"""),9.632918681E9)</f>
        <v>9632918681</v>
      </c>
      <c r="H667" s="2"/>
      <c r="I667" s="72" t="str">
        <f>IFERROR(__xludf.DUMMYFUNCTION("""COMPUTED_VALUE"""),"SPARE PARTS ACQUISITION")</f>
        <v>SPARE PARTS ACQUISITION</v>
      </c>
      <c r="J667" s="72"/>
      <c r="K667" s="72" t="str">
        <f>IFERROR(__xludf.DUMMYFUNCTION("""COMPUTED_VALUE"""),"RCG: PARTS: BEVEL GEAR 24T, PINION GEAR 11T, OIL SEAL 35-50-8T, 1 BLADE (R)
FARMERS: WILLING TO WAIT
")</f>
        <v>RCG: PARTS: BEVEL GEAR 24T, PINION GEAR 11T, OIL SEAL 35-50-8T, 1 BLADE (R)
FARMERS: WILLING TO WAIT
</v>
      </c>
      <c r="L667" s="72" t="str">
        <f>IFERROR(__xludf.DUMMYFUNCTION("""COMPUTED_VALUE"""),"EGT: REPLACED GEAR AND BEARING")</f>
        <v>EGT: REPLACED GEAR AND BEARING</v>
      </c>
      <c r="M667" s="2"/>
      <c r="N667" s="2" t="str">
        <f>IFERROR(__xludf.DUMMYFUNCTION("""COMPUTED_VALUE"""),"PARTS: BEVEL GEAR 24T, PINION GEAR 11T, BEARING 32211")</f>
        <v>PARTS: BEVEL GEAR 24T, PINION GEAR 11T, BEARING 32211</v>
      </c>
      <c r="O667" s="2">
        <f>IFERROR(__xludf.DUMMYFUNCTION("""COMPUTED_VALUE"""),1340.0)</f>
        <v>1340</v>
      </c>
      <c r="P667" s="2" t="str">
        <f>IFERROR(__xludf.DUMMYFUNCTION("""COMPUTED_VALUE"""),"Binanu-an binangbang centro cubay magtulis irrigators Association Inc .pdf")</f>
        <v>Binanu-an binangbang centro cubay magtulis irrigators Association Inc .pdf</v>
      </c>
      <c r="Q667" s="2"/>
      <c r="R667" s="74">
        <f>IFERROR(__xludf.DUMMYFUNCTION("""COMPUTED_VALUE"""),45685.0)</f>
        <v>45685</v>
      </c>
      <c r="S667" s="2" t="str">
        <f>IFERROR(__xludf.DUMMYFUNCTION("""COMPUTED_VALUE"""),"EGT/DRM")</f>
        <v>EGT/DRM</v>
      </c>
      <c r="T667" s="73">
        <f>IFERROR(__xludf.DUMMYFUNCTION("""COMPUTED_VALUE"""),22900.0)</f>
        <v>22900</v>
      </c>
      <c r="U667" s="73" t="str">
        <f>IFERROR(__xludf.DUMMYFUNCTION("""COMPUTED_VALUE""")," REMITTED ")</f>
        <v>REMITTED</v>
      </c>
      <c r="V667" s="2"/>
      <c r="W667" s="2"/>
      <c r="X667" s="2"/>
      <c r="Y667" s="2"/>
      <c r="Z667" s="2"/>
      <c r="AA667" s="2"/>
      <c r="AB667" s="2"/>
      <c r="AC667" s="2"/>
      <c r="AD667" s="2"/>
      <c r="AE667" s="2"/>
      <c r="AF667" s="2"/>
      <c r="AG667" s="2"/>
      <c r="AH667" s="2"/>
      <c r="AI667" s="2"/>
      <c r="AJ667" s="2" t="str">
        <f>IFERROR(__xludf.DUMMYFUNCTION("""COMPUTED_VALUE"""),"Binanu-An")</f>
        <v>Binanu-An</v>
      </c>
      <c r="AK667" s="2" t="str">
        <f>IFERROR(__xludf.DUMMYFUNCTION("""COMPUTED_VALUE"""),"Barbaza")</f>
        <v>Barbaza</v>
      </c>
      <c r="AL667" s="2" t="str">
        <f>IFERROR(__xludf.DUMMYFUNCTION("""COMPUTED_VALUE"""),"Antique")</f>
        <v>Antique</v>
      </c>
      <c r="AM667" s="2">
        <f>IFERROR(__xludf.DUMMYFUNCTION("""COMPUTED_VALUE"""),6.0)</f>
        <v>6</v>
      </c>
      <c r="AN667" s="2" t="str">
        <f>IFERROR(__xludf.DUMMYFUNCTION("""COMPUTED_VALUE"""),"RCEF 23-09-21 Rebidding")</f>
        <v>RCEF 23-09-21 Rebidding</v>
      </c>
      <c r="AO667" s="2">
        <f>IFERROR(__xludf.DUMMYFUNCTION("""COMPUTED_VALUE"""),4.0)</f>
        <v>4</v>
      </c>
      <c r="AP667" s="2"/>
      <c r="AQ667" s="2"/>
      <c r="AR667" s="2"/>
      <c r="AS667" s="2"/>
      <c r="AT667" s="2"/>
      <c r="AU667" s="2"/>
      <c r="AV667" s="2"/>
      <c r="AW667" s="2"/>
      <c r="AX667" s="2"/>
      <c r="AY667" s="2"/>
      <c r="AZ667" s="2"/>
      <c r="BA667" s="2"/>
      <c r="BB667" s="2"/>
    </row>
    <row r="668">
      <c r="A668" s="2">
        <f>IFERROR(__xludf.DUMMYFUNCTION("""COMPUTED_VALUE"""),664.0)</f>
        <v>664</v>
      </c>
      <c r="B668" s="2" t="str">
        <f>IFERROR(__xludf.DUMMYFUNCTION("""COMPUTED_VALUE"""),"COMPLETED")</f>
        <v>COMPLETED</v>
      </c>
      <c r="C668" s="74">
        <f>IFERROR(__xludf.DUMMYFUNCTION("""COMPUTED_VALUE"""),45611.0)</f>
        <v>45611</v>
      </c>
      <c r="D668" s="71" t="str">
        <f>IFERROR(__xludf.DUMMYFUNCTION("""COMPUTED_VALUE"""),"Cordova Sur Farmers Association")</f>
        <v>Cordova Sur Farmers Association</v>
      </c>
      <c r="E668" s="71" t="str">
        <f>IFERROR(__xludf.DUMMYFUNCTION("""COMPUTED_VALUE"""),"Cordova Sur, Tigbauan, ILOILO")</f>
        <v>Cordova Sur, Tigbauan, ILOILO</v>
      </c>
      <c r="F668" s="2" t="str">
        <f>IFERROR(__xludf.DUMMYFUNCTION("""COMPUTED_VALUE"""),"Reynaldo Cansancio")</f>
        <v>Reynaldo Cansancio</v>
      </c>
      <c r="G668" s="2">
        <f>IFERROR(__xludf.DUMMYFUNCTION("""COMPUTED_VALUE"""),9.818094235E9)</f>
        <v>9818094235</v>
      </c>
      <c r="H668" s="2"/>
      <c r="I668" s="72" t="str">
        <f>IFERROR(__xludf.DUMMYFUNCTION("""COMPUTED_VALUE"""),"REPAIR - DISC PLOW")</f>
        <v>REPAIR - DISC PLOW</v>
      </c>
      <c r="J668" s="72" t="str">
        <f>IFERROR(__xludf.DUMMYFUNCTION("""COMPUTED_VALUE"""),"Gearbox")</f>
        <v>Gearbox</v>
      </c>
      <c r="K668" s="72" t="str">
        <f>IFERROR(__xludf.DUMMYFUNCTION("""COMPUTED_VALUE"""),"MYKEE; NASIRA ANG DISCPLOW, REPORT BY MS. SHAILA PALMES-PHILMECH
PARTS: Disk flange axis, Oil seal 45*85*12T, Taper roller bearing #30208, 4pcs wrench bolt M14*40*1.5P
DISK FLANGE- 5,900
OIL SEAL 45-85-12-  3,500
BEARING #30208- 1,540")</f>
        <v>MYKEE; NASIRA ANG DISCPLOW, REPORT BY MS. SHAILA PALMES-PHILMECH
PARTS: Disk flange axis, Oil seal 45*85*12T, Taper roller bearing #30208, 4pcs wrench bolt M14*40*1.5P
DISK FLANGE- 5,900
OIL SEAL 45-85-12-  3,500
BEARING #30208- 1,540</v>
      </c>
      <c r="L668" s="72" t="str">
        <f>IFERROR(__xludf.DUMMYFUNCTION("""COMPUTED_VALUE"""),"EGT: CHANGE FRONT OIL SEAL 45*85*12T DISC PLOW")</f>
        <v>EGT: CHANGE FRONT OIL SEAL 45*85*12T DISC PLOW</v>
      </c>
      <c r="M668" s="2"/>
      <c r="N668" s="2" t="str">
        <f>IFERROR(__xludf.DUMMYFUNCTION("""COMPUTED_VALUE"""),"PARTS: OIL SEAL 45*85*12T, BOLT")</f>
        <v>PARTS: OIL SEAL 45*85*12T, BOLT</v>
      </c>
      <c r="O668" s="2">
        <f>IFERROR(__xludf.DUMMYFUNCTION("""COMPUTED_VALUE"""),1343.0)</f>
        <v>1343</v>
      </c>
      <c r="P668" s="2"/>
      <c r="Q668" s="2"/>
      <c r="R668" s="74">
        <f>IFERROR(__xludf.DUMMYFUNCTION("""COMPUTED_VALUE"""),45690.0)</f>
        <v>45690</v>
      </c>
      <c r="S668" s="2" t="str">
        <f>IFERROR(__xludf.DUMMYFUNCTION("""COMPUTED_VALUE"""),"EGT/DRM")</f>
        <v>EGT/DRM</v>
      </c>
      <c r="T668" s="73">
        <f>IFERROR(__xludf.DUMMYFUNCTION("""COMPUTED_VALUE"""),1975.0)</f>
        <v>1975</v>
      </c>
      <c r="U668" s="73" t="str">
        <f>IFERROR(__xludf.DUMMYFUNCTION("""COMPUTED_VALUE""")," FOR REMIT ")</f>
        <v>FOR REMIT</v>
      </c>
      <c r="V668" s="2"/>
      <c r="W668" s="2"/>
      <c r="X668" s="2"/>
      <c r="Y668" s="2"/>
      <c r="Z668" s="2"/>
      <c r="AA668" s="2"/>
      <c r="AB668" s="2"/>
      <c r="AC668" s="2"/>
      <c r="AD668" s="2"/>
      <c r="AE668" s="2"/>
      <c r="AF668" s="2"/>
      <c r="AG668" s="2"/>
      <c r="AH668" s="2"/>
      <c r="AI668" s="2"/>
      <c r="AJ668" s="2" t="str">
        <f>IFERROR(__xludf.DUMMYFUNCTION("""COMPUTED_VALUE"""),"Cordova Sur")</f>
        <v>Cordova Sur</v>
      </c>
      <c r="AK668" s="2" t="str">
        <f>IFERROR(__xludf.DUMMYFUNCTION("""COMPUTED_VALUE"""),"Tigbauan")</f>
        <v>Tigbauan</v>
      </c>
      <c r="AL668" s="2" t="str">
        <f>IFERROR(__xludf.DUMMYFUNCTION("""COMPUTED_VALUE"""),"Iloilo")</f>
        <v>Iloilo</v>
      </c>
      <c r="AM668" s="2">
        <f>IFERROR(__xludf.DUMMYFUNCTION("""COMPUTED_VALUE"""),6.0)</f>
        <v>6</v>
      </c>
      <c r="AN668" s="2" t="str">
        <f>IFERROR(__xludf.DUMMYFUNCTION("""COMPUTED_VALUE"""),"RCEF 23-09-21 Rebidding")</f>
        <v>RCEF 23-09-21 Rebidding</v>
      </c>
      <c r="AO668" s="2">
        <f>IFERROR(__xludf.DUMMYFUNCTION("""COMPUTED_VALUE"""),4.0)</f>
        <v>4</v>
      </c>
      <c r="AP668" s="2"/>
      <c r="AQ668" s="2"/>
      <c r="AR668" s="2"/>
      <c r="AS668" s="2"/>
      <c r="AT668" s="2"/>
      <c r="AU668" s="2"/>
      <c r="AV668" s="2"/>
      <c r="AW668" s="2"/>
      <c r="AX668" s="2"/>
      <c r="AY668" s="2"/>
      <c r="AZ668" s="2"/>
      <c r="BA668" s="2"/>
      <c r="BB668" s="2"/>
    </row>
    <row r="669">
      <c r="A669" s="2">
        <f>IFERROR(__xludf.DUMMYFUNCTION("""COMPUTED_VALUE"""),665.0)</f>
        <v>665</v>
      </c>
      <c r="B669" s="2" t="str">
        <f>IFERROR(__xludf.DUMMYFUNCTION("""COMPUTED_VALUE"""),"COMPLETED")</f>
        <v>COMPLETED</v>
      </c>
      <c r="C669" s="74">
        <f>IFERROR(__xludf.DUMMYFUNCTION("""COMPUTED_VALUE"""),45611.0)</f>
        <v>45611</v>
      </c>
      <c r="D669" s="71" t="str">
        <f>IFERROR(__xludf.DUMMYFUNCTION("""COMPUTED_VALUE"""),"BRGY. MALIMPEC, BAYAMBANG, PANGASINAN FARMERS ASSOCIATION")</f>
        <v>BRGY. MALIMPEC, BAYAMBANG, PANGASINAN FARMERS ASSOCIATION</v>
      </c>
      <c r="E669" s="71" t="str">
        <f>IFERROR(__xludf.DUMMYFUNCTION("""COMPUTED_VALUE"""),"Malimpec, Bayambang, PANGASINAN")</f>
        <v>Malimpec, Bayambang, PANGASINAN</v>
      </c>
      <c r="F669" s="2" t="str">
        <f>IFERROR(__xludf.DUMMYFUNCTION("""COMPUTED_VALUE"""),"WALLY SAYGO")</f>
        <v>WALLY SAYGO</v>
      </c>
      <c r="G669" s="2">
        <f>IFERROR(__xludf.DUMMYFUNCTION("""COMPUTED_VALUE"""),9.097159536E9)</f>
        <v>9097159536</v>
      </c>
      <c r="H669" s="2">
        <f>IFERROR(__xludf.DUMMYFUNCTION("""COMPUTED_VALUE"""),291.0)</f>
        <v>291</v>
      </c>
      <c r="I669" s="72" t="str">
        <f>IFERROR(__xludf.DUMMYFUNCTION("""COMPUTED_VALUE"""),"PMS")</f>
        <v>PMS</v>
      </c>
      <c r="J669" s="72" t="str">
        <f>IFERROR(__xludf.DUMMYFUNCTION("""COMPUTED_VALUE"""),"PMS")</f>
        <v>PMS</v>
      </c>
      <c r="K669" s="72" t="str">
        <f>IFERROR(__xludf.DUMMYFUNCTION("""COMPUTED_VALUE"""),"JDP: 2ND PMS")</f>
        <v>JDP: 2ND PMS</v>
      </c>
      <c r="L669" s="72" t="str">
        <f>IFERROR(__xludf.DUMMYFUNCTION("""COMPUTED_VALUE"""),"JDP: 2ND PMS DONE")</f>
        <v>JDP: 2ND PMS DONE</v>
      </c>
      <c r="M669" s="2"/>
      <c r="N669" s="2" t="str">
        <f>IFERROR(__xludf.DUMMYFUNCTION("""COMPUTED_VALUE"""),"PARTS: OIL FILTER, ENGINE OIL ")</f>
        <v>PARTS: OIL FILTER, ENGINE OIL </v>
      </c>
      <c r="O669" s="2">
        <f>IFERROR(__xludf.DUMMYFUNCTION("""COMPUTED_VALUE"""),1369.0)</f>
        <v>1369</v>
      </c>
      <c r="P669" s="2"/>
      <c r="Q669" s="2"/>
      <c r="R669" s="74">
        <f>IFERROR(__xludf.DUMMYFUNCTION("""COMPUTED_VALUE"""),45611.0)</f>
        <v>45611</v>
      </c>
      <c r="S669" s="2" t="str">
        <f>IFERROR(__xludf.DUMMYFUNCTION("""COMPUTED_VALUE"""),"JDP/EGT")</f>
        <v>JDP/EGT</v>
      </c>
      <c r="T669" s="73">
        <f>IFERROR(__xludf.DUMMYFUNCTION("""COMPUTED_VALUE"""),3193.0)</f>
        <v>3193</v>
      </c>
      <c r="U669" s="73" t="str">
        <f>IFERROR(__xludf.DUMMYFUNCTION("""COMPUTED_VALUE""")," REMITTED ")</f>
        <v>REMITTED</v>
      </c>
      <c r="V669" s="2"/>
      <c r="W669" s="2">
        <f>IFERROR(__xludf.DUMMYFUNCTION("""COMPUTED_VALUE"""),1333.0)</f>
        <v>1333</v>
      </c>
      <c r="X669" s="2">
        <f>IFERROR(__xludf.DUMMYFUNCTION("""COMPUTED_VALUE"""),1238.0)</f>
        <v>1238</v>
      </c>
      <c r="Y669" s="2"/>
      <c r="Z669" s="2"/>
      <c r="AA669" s="2"/>
      <c r="AB669" s="2"/>
      <c r="AC669" s="2"/>
      <c r="AD669" s="2"/>
      <c r="AE669" s="2"/>
      <c r="AF669" s="2"/>
      <c r="AG669" s="2"/>
      <c r="AH669" s="2"/>
      <c r="AI669" s="2"/>
      <c r="AJ669" s="2" t="str">
        <f>IFERROR(__xludf.DUMMYFUNCTION("""COMPUTED_VALUE"""),"Malimpec")</f>
        <v>Malimpec</v>
      </c>
      <c r="AK669" s="2" t="str">
        <f>IFERROR(__xludf.DUMMYFUNCTION("""COMPUTED_VALUE"""),"Bayambang")</f>
        <v>Bayambang</v>
      </c>
      <c r="AL669" s="2" t="str">
        <f>IFERROR(__xludf.DUMMYFUNCTION("""COMPUTED_VALUE"""),"Pangasinan")</f>
        <v>Pangasinan</v>
      </c>
      <c r="AM669" s="2">
        <f>IFERROR(__xludf.DUMMYFUNCTION("""COMPUTED_VALUE"""),1.0)</f>
        <v>1</v>
      </c>
      <c r="AN669" s="2" t="str">
        <f>IFERROR(__xludf.DUMMYFUNCTION("""COMPUTED_VALUE"""),"RCEF 23-09-21 Rebidding")</f>
        <v>RCEF 23-09-21 Rebidding</v>
      </c>
      <c r="AO669" s="2">
        <f>IFERROR(__xludf.DUMMYFUNCTION("""COMPUTED_VALUE"""),2.0)</f>
        <v>2</v>
      </c>
      <c r="AP669" s="2"/>
      <c r="AQ669" s="2"/>
      <c r="AR669" s="2"/>
      <c r="AS669" s="2"/>
      <c r="AT669" s="2"/>
      <c r="AU669" s="2"/>
      <c r="AV669" s="2"/>
      <c r="AW669" s="2"/>
      <c r="AX669" s="2"/>
      <c r="AY669" s="2"/>
      <c r="AZ669" s="2"/>
      <c r="BA669" s="2"/>
      <c r="BB669" s="2"/>
    </row>
    <row r="670">
      <c r="A670" s="2">
        <f>IFERROR(__xludf.DUMMYFUNCTION("""COMPUTED_VALUE"""),666.0)</f>
        <v>666</v>
      </c>
      <c r="B670" s="2" t="str">
        <f>IFERROR(__xludf.DUMMYFUNCTION("""COMPUTED_VALUE"""),"COMPLETED")</f>
        <v>COMPLETED</v>
      </c>
      <c r="C670" s="74">
        <f>IFERROR(__xludf.DUMMYFUNCTION("""COMPUTED_VALUE"""),45611.0)</f>
        <v>45611</v>
      </c>
      <c r="D670" s="71" t="str">
        <f>IFERROR(__xludf.DUMMYFUNCTION("""COMPUTED_VALUE"""),"LAYUNIN NG MAPAYAPANG PAG-UNLAD ASSOCIATION, INCORPORATED")</f>
        <v>LAYUNIN NG MAPAYAPANG PAG-UNLAD ASSOCIATION, INCORPORATED</v>
      </c>
      <c r="E670" s="71" t="str">
        <f>IFERROR(__xludf.DUMMYFUNCTION("""COMPUTED_VALUE"""),"Boboy, Agno, PANGASINAN")</f>
        <v>Boboy, Agno, PANGASINAN</v>
      </c>
      <c r="F670" s="2" t="str">
        <f>IFERROR(__xludf.DUMMYFUNCTION("""COMPUTED_VALUE"""),"NOLY V. OIGA")</f>
        <v>NOLY V. OIGA</v>
      </c>
      <c r="G670" s="2">
        <f>IFERROR(__xludf.DUMMYFUNCTION("""COMPUTED_VALUE"""),9.076484565E9)</f>
        <v>9076484565</v>
      </c>
      <c r="H670" s="2"/>
      <c r="I670" s="72" t="str">
        <f>IFERROR(__xludf.DUMMYFUNCTION("""COMPUTED_VALUE"""),"SPARE PARTS ACQUISITION")</f>
        <v>SPARE PARTS ACQUISITION</v>
      </c>
      <c r="J670" s="72"/>
      <c r="K670" s="72" t="str">
        <f>IFERROR(__xludf.DUMMYFUNCTION("""COMPUTED_VALUE"""),"MYKEE: BEVEL GEAR 24T")</f>
        <v>MYKEE: BEVEL GEAR 24T</v>
      </c>
      <c r="L670" s="72" t="str">
        <f>IFERROR(__xludf.DUMMYFUNCTION("""COMPUTED_VALUE"""),"CANCELLED")</f>
        <v>CANCELLED</v>
      </c>
      <c r="M670" s="2"/>
      <c r="N670" s="2"/>
      <c r="O670" s="2" t="str">
        <f>IFERROR(__xludf.DUMMYFUNCTION("""COMPUTED_VALUE"""),"N/A")</f>
        <v>N/A</v>
      </c>
      <c r="P670" s="2"/>
      <c r="Q670" s="2"/>
      <c r="R670" s="74">
        <f>IFERROR(__xludf.DUMMYFUNCTION("""COMPUTED_VALUE"""),45673.0)</f>
        <v>45673</v>
      </c>
      <c r="S670" s="2" t="str">
        <f>IFERROR(__xludf.DUMMYFUNCTION("""COMPUTED_VALUE"""),"JHP/ACS")</f>
        <v>JHP/ACS</v>
      </c>
      <c r="T670" s="73" t="str">
        <f>IFERROR(__xludf.DUMMYFUNCTION("""COMPUTED_VALUE""")," N/A ")</f>
        <v>N/A</v>
      </c>
      <c r="U670" s="73" t="str">
        <f>IFERROR(__xludf.DUMMYFUNCTION("""COMPUTED_VALUE""")," NO CHARGE ")</f>
        <v>NO CHARGE</v>
      </c>
      <c r="V670" s="2"/>
      <c r="W670" s="2" t="str">
        <f>IFERROR(__xludf.DUMMYFUNCTION("""COMPUTED_VALUE"""),"N/A")</f>
        <v>N/A</v>
      </c>
      <c r="X670" s="2" t="str">
        <f>IFERROR(__xludf.DUMMYFUNCTION("""COMPUTED_VALUE"""),"N/A")</f>
        <v>N/A</v>
      </c>
      <c r="Y670" s="2"/>
      <c r="Z670" s="2"/>
      <c r="AA670" s="2"/>
      <c r="AB670" s="2"/>
      <c r="AC670" s="2"/>
      <c r="AD670" s="2"/>
      <c r="AE670" s="2"/>
      <c r="AF670" s="2"/>
      <c r="AG670" s="2"/>
      <c r="AH670" s="2"/>
      <c r="AI670" s="2"/>
      <c r="AJ670" s="2" t="str">
        <f>IFERROR(__xludf.DUMMYFUNCTION("""COMPUTED_VALUE"""),"Boboy")</f>
        <v>Boboy</v>
      </c>
      <c r="AK670" s="2" t="str">
        <f>IFERROR(__xludf.DUMMYFUNCTION("""COMPUTED_VALUE"""),"Agno")</f>
        <v>Agno</v>
      </c>
      <c r="AL670" s="2" t="str">
        <f>IFERROR(__xludf.DUMMYFUNCTION("""COMPUTED_VALUE"""),"Pangasinan")</f>
        <v>Pangasinan</v>
      </c>
      <c r="AM670" s="2">
        <f>IFERROR(__xludf.DUMMYFUNCTION("""COMPUTED_VALUE"""),1.0)</f>
        <v>1</v>
      </c>
      <c r="AN670" s="2" t="str">
        <f>IFERROR(__xludf.DUMMYFUNCTION("""COMPUTED_VALUE"""),"RCEF 23-09-21 Rebidding")</f>
        <v>RCEF 23-09-21 Rebidding</v>
      </c>
      <c r="AO670" s="2">
        <f>IFERROR(__xludf.DUMMYFUNCTION("""COMPUTED_VALUE"""),2.0)</f>
        <v>2</v>
      </c>
      <c r="AP670" s="2"/>
      <c r="AQ670" s="2"/>
      <c r="AR670" s="2"/>
      <c r="AS670" s="2"/>
      <c r="AT670" s="2"/>
      <c r="AU670" s="2"/>
      <c r="AV670" s="2"/>
      <c r="AW670" s="2"/>
      <c r="AX670" s="2"/>
      <c r="AY670" s="2"/>
      <c r="AZ670" s="2"/>
      <c r="BA670" s="2"/>
      <c r="BB670" s="2"/>
    </row>
    <row r="671">
      <c r="A671" s="2">
        <f>IFERROR(__xludf.DUMMYFUNCTION("""COMPUTED_VALUE"""),667.0)</f>
        <v>667</v>
      </c>
      <c r="B671" s="2" t="str">
        <f>IFERROR(__xludf.DUMMYFUNCTION("""COMPUTED_VALUE"""),"COMPLETED")</f>
        <v>COMPLETED</v>
      </c>
      <c r="C671" s="74">
        <f>IFERROR(__xludf.DUMMYFUNCTION("""COMPUTED_VALUE"""),45611.0)</f>
        <v>45611</v>
      </c>
      <c r="D671" s="71" t="str">
        <f>IFERROR(__xludf.DUMMYFUNCTION("""COMPUTED_VALUE"""),"BANDOJA SAN FRANCISCO SUR SAN FRANCISCO NORTE SAN ISIDRO IRRIGATORS ASSOCIATION (BASFICIA) INC.")</f>
        <v>BANDOJA SAN FRANCISCO SUR SAN FRANCISCO NORTE SAN ISIDRO IRRIGATORS ASSOCIATION (BASFICIA) INC.</v>
      </c>
      <c r="E671" s="71" t="str">
        <f>IFERROR(__xludf.DUMMYFUNCTION("""COMPUTED_VALUE"""),"San Francisco Sur, Tibiao, ANTIQUE")</f>
        <v>San Francisco Sur, Tibiao, ANTIQUE</v>
      </c>
      <c r="F671" s="2"/>
      <c r="G671" s="2">
        <f>IFERROR(__xludf.DUMMYFUNCTION("""COMPUTED_VALUE"""),9.651166825E9)</f>
        <v>9651166825</v>
      </c>
      <c r="H671" s="2"/>
      <c r="I671" s="72" t="str">
        <f>IFERROR(__xludf.DUMMYFUNCTION("""COMPUTED_VALUE"""),"PMS")</f>
        <v>PMS</v>
      </c>
      <c r="J671" s="72" t="str">
        <f>IFERROR(__xludf.DUMMYFUNCTION("""COMPUTED_VALUE"""),"PMS")</f>
        <v>PMS</v>
      </c>
      <c r="K671" s="72" t="str">
        <f>IFERROR(__xludf.DUMMYFUNCTION("""COMPUTED_VALUE"""),"MYKEE: FOR 1ST PMS: EGT: SELF PMS")</f>
        <v>MYKEE: FOR 1ST PMS: EGT: SELF PMS</v>
      </c>
      <c r="L671" s="72" t="str">
        <f>IFERROR(__xludf.DUMMYFUNCTION("""COMPUTED_VALUE"""),"SEND AGREEMENT: ANDREA ALUBARE ANDRES:  AGREEMENT SENT:")</f>
        <v>SEND AGREEMENT: ANDREA ALUBARE ANDRES:  AGREEMENT SENT:</v>
      </c>
      <c r="M671" s="2"/>
      <c r="N671" s="2"/>
      <c r="O671" s="2" t="str">
        <f>IFERROR(__xludf.DUMMYFUNCTION("""COMPUTED_VALUE"""),"N/A")</f>
        <v>N/A</v>
      </c>
      <c r="P671" s="2"/>
      <c r="Q671" s="2"/>
      <c r="R671" s="74">
        <f>IFERROR(__xludf.DUMMYFUNCTION("""COMPUTED_VALUE"""),45611.0)</f>
        <v>45611</v>
      </c>
      <c r="S671" s="2" t="str">
        <f>IFERROR(__xludf.DUMMYFUNCTION("""COMPUTED_VALUE"""),"MYKEE")</f>
        <v>MYKEE</v>
      </c>
      <c r="T671" s="73" t="str">
        <f>IFERROR(__xludf.DUMMYFUNCTION("""COMPUTED_VALUE""")," N/A ")</f>
        <v>N/A</v>
      </c>
      <c r="U671" s="73" t="str">
        <f>IFERROR(__xludf.DUMMYFUNCTION("""COMPUTED_VALUE""")," NO CHARGE ")</f>
        <v>NO CHARGE</v>
      </c>
      <c r="V671" s="2"/>
      <c r="W671" s="2" t="str">
        <f>IFERROR(__xludf.DUMMYFUNCTION("""COMPUTED_VALUE"""),"N/A")</f>
        <v>N/A</v>
      </c>
      <c r="X671" s="2" t="str">
        <f>IFERROR(__xludf.DUMMYFUNCTION("""COMPUTED_VALUE"""),"N/A")</f>
        <v>N/A</v>
      </c>
      <c r="Y671" s="2"/>
      <c r="Z671" s="2"/>
      <c r="AA671" s="2"/>
      <c r="AB671" s="2"/>
      <c r="AC671" s="2"/>
      <c r="AD671" s="2"/>
      <c r="AE671" s="2"/>
      <c r="AF671" s="2"/>
      <c r="AG671" s="2"/>
      <c r="AH671" s="2"/>
      <c r="AI671" s="2"/>
      <c r="AJ671" s="2" t="str">
        <f>IFERROR(__xludf.DUMMYFUNCTION("""COMPUTED_VALUE"""),"San Francisco Sur")</f>
        <v>San Francisco Sur</v>
      </c>
      <c r="AK671" s="2" t="str">
        <f>IFERROR(__xludf.DUMMYFUNCTION("""COMPUTED_VALUE"""),"Tibiao")</f>
        <v>Tibiao</v>
      </c>
      <c r="AL671" s="2" t="str">
        <f>IFERROR(__xludf.DUMMYFUNCTION("""COMPUTED_VALUE"""),"Antique")</f>
        <v>Antique</v>
      </c>
      <c r="AM671" s="2">
        <f>IFERROR(__xludf.DUMMYFUNCTION("""COMPUTED_VALUE"""),6.0)</f>
        <v>6</v>
      </c>
      <c r="AN671" s="2" t="str">
        <f>IFERROR(__xludf.DUMMYFUNCTION("""COMPUTED_VALUE"""),"RCEF 23-09-21 Rebidding")</f>
        <v>RCEF 23-09-21 Rebidding</v>
      </c>
      <c r="AO671" s="2">
        <f>IFERROR(__xludf.DUMMYFUNCTION("""COMPUTED_VALUE"""),4.0)</f>
        <v>4</v>
      </c>
      <c r="AP671" s="2"/>
      <c r="AQ671" s="2"/>
      <c r="AR671" s="2"/>
      <c r="AS671" s="2"/>
      <c r="AT671" s="2"/>
      <c r="AU671" s="2"/>
      <c r="AV671" s="2"/>
      <c r="AW671" s="2"/>
      <c r="AX671" s="2"/>
      <c r="AY671" s="2"/>
      <c r="AZ671" s="2"/>
      <c r="BA671" s="2"/>
      <c r="BB671" s="2"/>
    </row>
    <row r="672">
      <c r="A672" s="2">
        <f>IFERROR(__xludf.DUMMYFUNCTION("""COMPUTED_VALUE"""),668.0)</f>
        <v>668</v>
      </c>
      <c r="B672" s="2" t="str">
        <f>IFERROR(__xludf.DUMMYFUNCTION("""COMPUTED_VALUE"""),"COMPLETED")</f>
        <v>COMPLETED</v>
      </c>
      <c r="C672" s="74">
        <f>IFERROR(__xludf.DUMMYFUNCTION("""COMPUTED_VALUE"""),45611.0)</f>
        <v>45611</v>
      </c>
      <c r="D672" s="71" t="str">
        <f>IFERROR(__xludf.DUMMYFUNCTION("""COMPUTED_VALUE"""),"Cañapasan Banate Irrigators' Association Inc.")</f>
        <v>Cañapasan Banate Irrigators' Association Inc.</v>
      </c>
      <c r="E672" s="71" t="str">
        <f>IFERROR(__xludf.DUMMYFUNCTION("""COMPUTED_VALUE"""),"Managopaya, Banate, ILOILO")</f>
        <v>Managopaya, Banate, ILOILO</v>
      </c>
      <c r="F672" s="2" t="str">
        <f>IFERROR(__xludf.DUMMYFUNCTION("""COMPUTED_VALUE"""),"HELLY BAGASIN")</f>
        <v>HELLY BAGASIN</v>
      </c>
      <c r="G672" s="2">
        <f>IFERROR(__xludf.DUMMYFUNCTION("""COMPUTED_VALUE"""),9.655208079E9)</f>
        <v>9655208079</v>
      </c>
      <c r="H672" s="2"/>
      <c r="I672" s="72" t="str">
        <f>IFERROR(__xludf.DUMMYFUNCTION("""COMPUTED_VALUE"""),"SPARE PARTS ACQUISITION")</f>
        <v>SPARE PARTS ACQUISITION</v>
      </c>
      <c r="J672" s="72" t="str">
        <f>IFERROR(__xludf.DUMMYFUNCTION("""COMPUTED_VALUE"""),"SPARE PARTS")</f>
        <v>SPARE PARTS</v>
      </c>
      <c r="K672" s="72" t="str">
        <f>IFERROR(__xludf.DUMMYFUNCTION("""COMPUTED_VALUE"""),"HYDRAULIC FILTER")</f>
        <v>HYDRAULIC FILTER</v>
      </c>
      <c r="L672" s="72" t="str">
        <f>IFERROR(__xludf.DUMMYFUNCTION("""COMPUTED_VALUE"""),"DELIVERED")</f>
        <v>DELIVERED</v>
      </c>
      <c r="M672" s="2"/>
      <c r="N672" s="2" t="str">
        <f>IFERROR(__xludf.DUMMYFUNCTION("""COMPUTED_VALUE"""),"PARTS: HYDRAULIC FILTER")</f>
        <v>PARTS: HYDRAULIC FILTER</v>
      </c>
      <c r="O672" s="2" t="str">
        <f>IFERROR(__xludf.DUMMYFUNCTION("""COMPUTED_VALUE"""),"N/A")</f>
        <v>N/A</v>
      </c>
      <c r="P672" s="2"/>
      <c r="Q672" s="2"/>
      <c r="R672" s="74">
        <f>IFERROR(__xludf.DUMMYFUNCTION("""COMPUTED_VALUE"""),45611.0)</f>
        <v>45611</v>
      </c>
      <c r="S672" s="2"/>
      <c r="T672" s="73">
        <f>IFERROR(__xludf.DUMMYFUNCTION("""COMPUTED_VALUE"""),2748.0)</f>
        <v>2748</v>
      </c>
      <c r="U672" s="73" t="str">
        <f>IFERROR(__xludf.DUMMYFUNCTION("""COMPUTED_VALUE""")," REMITTED ")</f>
        <v>REMITTED</v>
      </c>
      <c r="V672" s="2"/>
      <c r="W672" s="2">
        <f>IFERROR(__xludf.DUMMYFUNCTION("""COMPUTED_VALUE"""),1311.0)</f>
        <v>1311</v>
      </c>
      <c r="X672" s="2">
        <f>IFERROR(__xludf.DUMMYFUNCTION("""COMPUTED_VALUE"""),1216.0)</f>
        <v>1216</v>
      </c>
      <c r="Y672" s="2"/>
      <c r="Z672" s="2"/>
      <c r="AA672" s="2"/>
      <c r="AB672" s="2"/>
      <c r="AC672" s="2"/>
      <c r="AD672" s="2"/>
      <c r="AE672" s="2"/>
      <c r="AF672" s="2"/>
      <c r="AG672" s="2"/>
      <c r="AH672" s="2"/>
      <c r="AI672" s="2"/>
      <c r="AJ672" s="2" t="str">
        <f>IFERROR(__xludf.DUMMYFUNCTION("""COMPUTED_VALUE"""),"Managopaya")</f>
        <v>Managopaya</v>
      </c>
      <c r="AK672" s="2" t="str">
        <f>IFERROR(__xludf.DUMMYFUNCTION("""COMPUTED_VALUE"""),"Banate")</f>
        <v>Banate</v>
      </c>
      <c r="AL672" s="2" t="str">
        <f>IFERROR(__xludf.DUMMYFUNCTION("""COMPUTED_VALUE"""),"Iloilo")</f>
        <v>Iloilo</v>
      </c>
      <c r="AM672" s="2">
        <f>IFERROR(__xludf.DUMMYFUNCTION("""COMPUTED_VALUE"""),6.0)</f>
        <v>6</v>
      </c>
      <c r="AN672" s="2" t="str">
        <f>IFERROR(__xludf.DUMMYFUNCTION("""COMPUTED_VALUE"""),"RCEF 23-09-21 Rebidding")</f>
        <v>RCEF 23-09-21 Rebidding</v>
      </c>
      <c r="AO672" s="2">
        <f>IFERROR(__xludf.DUMMYFUNCTION("""COMPUTED_VALUE"""),4.0)</f>
        <v>4</v>
      </c>
      <c r="AP672" s="2"/>
      <c r="AQ672" s="2"/>
      <c r="AR672" s="2"/>
      <c r="AS672" s="2"/>
      <c r="AT672" s="2"/>
      <c r="AU672" s="2"/>
      <c r="AV672" s="2"/>
      <c r="AW672" s="2"/>
      <c r="AX672" s="2"/>
      <c r="AY672" s="2"/>
      <c r="AZ672" s="2"/>
      <c r="BA672" s="2"/>
      <c r="BB672" s="2"/>
    </row>
    <row r="673">
      <c r="A673" s="2">
        <f>IFERROR(__xludf.DUMMYFUNCTION("""COMPUTED_VALUE"""),669.0)</f>
        <v>669</v>
      </c>
      <c r="B673" s="2" t="str">
        <f>IFERROR(__xludf.DUMMYFUNCTION("""COMPUTED_VALUE"""),"COMPLETED")</f>
        <v>COMPLETED</v>
      </c>
      <c r="C673" s="74">
        <f>IFERROR(__xludf.DUMMYFUNCTION("""COMPUTED_VALUE"""),45611.0)</f>
        <v>45611</v>
      </c>
      <c r="D673" s="71" t="str">
        <f>IFERROR(__xludf.DUMMYFUNCTION("""COMPUTED_VALUE"""),"Cabugao Viejo Farmers Association")</f>
        <v>Cabugao Viejo Farmers Association</v>
      </c>
      <c r="E673" s="71" t="str">
        <f>IFERROR(__xludf.DUMMYFUNCTION("""COMPUTED_VALUE"""),"Cabugao Viejo, San Enrique, ILOILO")</f>
        <v>Cabugao Viejo, San Enrique, ILOILO</v>
      </c>
      <c r="F673" s="2"/>
      <c r="G673" s="2"/>
      <c r="H673" s="2"/>
      <c r="I673" s="72" t="str">
        <f>IFERROR(__xludf.DUMMYFUNCTION("""COMPUTED_VALUE"""),"SPARE PARTS ACQUISITION")</f>
        <v>SPARE PARTS ACQUISITION</v>
      </c>
      <c r="J673" s="72" t="str">
        <f>IFERROR(__xludf.DUMMYFUNCTION("""COMPUTED_VALUE"""),"SPARE PARTS")</f>
        <v>SPARE PARTS</v>
      </c>
      <c r="K673" s="72" t="str">
        <f>IFERROR(__xludf.DUMMYFUNCTION("""COMPUTED_VALUE"""),"OIL FILTER")</f>
        <v>OIL FILTER</v>
      </c>
      <c r="L673" s="72" t="str">
        <f>IFERROR(__xludf.DUMMYFUNCTION("""COMPUTED_VALUE"""),"DELIVERED")</f>
        <v>DELIVERED</v>
      </c>
      <c r="M673" s="2"/>
      <c r="N673" s="2" t="str">
        <f>IFERROR(__xludf.DUMMYFUNCTION("""COMPUTED_VALUE"""),"PARTS: OIL FILTER")</f>
        <v>PARTS: OIL FILTER</v>
      </c>
      <c r="O673" s="2" t="str">
        <f>IFERROR(__xludf.DUMMYFUNCTION("""COMPUTED_VALUE"""),"N/A")</f>
        <v>N/A</v>
      </c>
      <c r="P673" s="2"/>
      <c r="Q673" s="2"/>
      <c r="R673" s="74">
        <f>IFERROR(__xludf.DUMMYFUNCTION("""COMPUTED_VALUE"""),45611.0)</f>
        <v>45611</v>
      </c>
      <c r="S673" s="2"/>
      <c r="T673" s="73">
        <f>IFERROR(__xludf.DUMMYFUNCTION("""COMPUTED_VALUE"""),1533.0)</f>
        <v>1533</v>
      </c>
      <c r="U673" s="73" t="str">
        <f>IFERROR(__xludf.DUMMYFUNCTION("""COMPUTED_VALUE""")," REMITTED ")</f>
        <v>REMITTED</v>
      </c>
      <c r="V673" s="2"/>
      <c r="W673" s="2">
        <f>IFERROR(__xludf.DUMMYFUNCTION("""COMPUTED_VALUE"""),1310.0)</f>
        <v>1310</v>
      </c>
      <c r="X673" s="2">
        <f>IFERROR(__xludf.DUMMYFUNCTION("""COMPUTED_VALUE"""),1215.0)</f>
        <v>1215</v>
      </c>
      <c r="Y673" s="2"/>
      <c r="Z673" s="2"/>
      <c r="AA673" s="2"/>
      <c r="AB673" s="2"/>
      <c r="AC673" s="2"/>
      <c r="AD673" s="2"/>
      <c r="AE673" s="2"/>
      <c r="AF673" s="2"/>
      <c r="AG673" s="2"/>
      <c r="AH673" s="2"/>
      <c r="AI673" s="2"/>
      <c r="AJ673" s="2" t="str">
        <f>IFERROR(__xludf.DUMMYFUNCTION("""COMPUTED_VALUE"""),"Cabugao Viejo")</f>
        <v>Cabugao Viejo</v>
      </c>
      <c r="AK673" s="2" t="str">
        <f>IFERROR(__xludf.DUMMYFUNCTION("""COMPUTED_VALUE"""),"San Enrique")</f>
        <v>San Enrique</v>
      </c>
      <c r="AL673" s="2" t="str">
        <f>IFERROR(__xludf.DUMMYFUNCTION("""COMPUTED_VALUE"""),"Iloilo")</f>
        <v>Iloilo</v>
      </c>
      <c r="AM673" s="2">
        <f>IFERROR(__xludf.DUMMYFUNCTION("""COMPUTED_VALUE"""),6.0)</f>
        <v>6</v>
      </c>
      <c r="AN673" s="2" t="str">
        <f>IFERROR(__xludf.DUMMYFUNCTION("""COMPUTED_VALUE"""),"RCEF 23-09-21 Rebidding")</f>
        <v>RCEF 23-09-21 Rebidding</v>
      </c>
      <c r="AO673" s="2">
        <f>IFERROR(__xludf.DUMMYFUNCTION("""COMPUTED_VALUE"""),4.0)</f>
        <v>4</v>
      </c>
      <c r="AP673" s="2"/>
      <c r="AQ673" s="2"/>
      <c r="AR673" s="2"/>
      <c r="AS673" s="2"/>
      <c r="AT673" s="2"/>
      <c r="AU673" s="2"/>
      <c r="AV673" s="2"/>
      <c r="AW673" s="2"/>
      <c r="AX673" s="2"/>
      <c r="AY673" s="2"/>
      <c r="AZ673" s="2"/>
      <c r="BA673" s="2"/>
      <c r="BB673" s="2"/>
    </row>
    <row r="674">
      <c r="A674" s="2">
        <f>IFERROR(__xludf.DUMMYFUNCTION("""COMPUTED_VALUE"""),670.0)</f>
        <v>670</v>
      </c>
      <c r="B674" s="2" t="str">
        <f>IFERROR(__xludf.DUMMYFUNCTION("""COMPUTED_VALUE"""),"COMPLETED")</f>
        <v>COMPLETED</v>
      </c>
      <c r="C674" s="74">
        <f>IFERROR(__xludf.DUMMYFUNCTION("""COMPUTED_VALUE"""),45611.0)</f>
        <v>45611</v>
      </c>
      <c r="D674" s="71" t="str">
        <f>IFERROR(__xludf.DUMMYFUNCTION("""COMPUTED_VALUE"""),"BANGBANG FARMERS ASSOCIATION")</f>
        <v>BANGBANG FARMERS ASSOCIATION</v>
      </c>
      <c r="E674" s="71" t="str">
        <f>IFERROR(__xludf.DUMMYFUNCTION("""COMPUTED_VALUE"""),"Daga, Panay, CAPIZ")</f>
        <v>Daga, Panay, CAPIZ</v>
      </c>
      <c r="F674" s="2"/>
      <c r="G674" s="2"/>
      <c r="H674" s="2"/>
      <c r="I674" s="72" t="str">
        <f>IFERROR(__xludf.DUMMYFUNCTION("""COMPUTED_VALUE"""),"PMS")</f>
        <v>PMS</v>
      </c>
      <c r="J674" s="72"/>
      <c r="K674" s="72" t="str">
        <f>IFERROR(__xludf.DUMMYFUNCTION("""COMPUTED_VALUE"""),"MYKEE: 1ST PMS: SELF PMS: ")</f>
        <v>MYKEE: 1ST PMS: SELF PMS: </v>
      </c>
      <c r="L674" s="72" t="str">
        <f>IFERROR(__xludf.DUMMYFUNCTION("""COMPUTED_VALUE"""),"SEND AGREEMENT: ISIDRO BARROA")</f>
        <v>SEND AGREEMENT: ISIDRO BARROA</v>
      </c>
      <c r="M674" s="2"/>
      <c r="N674" s="2"/>
      <c r="O674" s="2" t="str">
        <f>IFERROR(__xludf.DUMMYFUNCTION("""COMPUTED_VALUE"""),"N/A")</f>
        <v>N/A</v>
      </c>
      <c r="P674" s="2"/>
      <c r="Q674" s="2"/>
      <c r="R674" s="74">
        <f>IFERROR(__xludf.DUMMYFUNCTION("""COMPUTED_VALUE"""),45612.0)</f>
        <v>45612</v>
      </c>
      <c r="S674" s="2"/>
      <c r="T674" s="73" t="str">
        <f>IFERROR(__xludf.DUMMYFUNCTION("""COMPUTED_VALUE""")," N/A ")</f>
        <v>N/A</v>
      </c>
      <c r="U674" s="73" t="str">
        <f>IFERROR(__xludf.DUMMYFUNCTION("""COMPUTED_VALUE""")," NO CHARGE ")</f>
        <v>NO CHARGE</v>
      </c>
      <c r="V674" s="2"/>
      <c r="W674" s="2" t="str">
        <f>IFERROR(__xludf.DUMMYFUNCTION("""COMPUTED_VALUE"""),"N/A")</f>
        <v>N/A</v>
      </c>
      <c r="X674" s="2" t="str">
        <f>IFERROR(__xludf.DUMMYFUNCTION("""COMPUTED_VALUE"""),"N/A")</f>
        <v>N/A</v>
      </c>
      <c r="Y674" s="2"/>
      <c r="Z674" s="2"/>
      <c r="AA674" s="2"/>
      <c r="AB674" s="2"/>
      <c r="AC674" s="2"/>
      <c r="AD674" s="2"/>
      <c r="AE674" s="2"/>
      <c r="AF674" s="2"/>
      <c r="AG674" s="2"/>
      <c r="AH674" s="2"/>
      <c r="AI674" s="2"/>
      <c r="AJ674" s="2" t="str">
        <f>IFERROR(__xludf.DUMMYFUNCTION("""COMPUTED_VALUE"""),"Daga")</f>
        <v>Daga</v>
      </c>
      <c r="AK674" s="2" t="str">
        <f>IFERROR(__xludf.DUMMYFUNCTION("""COMPUTED_VALUE"""),"Panay")</f>
        <v>Panay</v>
      </c>
      <c r="AL674" s="2" t="str">
        <f>IFERROR(__xludf.DUMMYFUNCTION("""COMPUTED_VALUE"""),"Capiz")</f>
        <v>Capiz</v>
      </c>
      <c r="AM674" s="2">
        <f>IFERROR(__xludf.DUMMYFUNCTION("""COMPUTED_VALUE"""),6.0)</f>
        <v>6</v>
      </c>
      <c r="AN674" s="2" t="str">
        <f>IFERROR(__xludf.DUMMYFUNCTION("""COMPUTED_VALUE"""),"RCEF 23-09-21 Rebidding")</f>
        <v>RCEF 23-09-21 Rebidding</v>
      </c>
      <c r="AO674" s="2">
        <f>IFERROR(__xludf.DUMMYFUNCTION("""COMPUTED_VALUE"""),4.0)</f>
        <v>4</v>
      </c>
      <c r="AP674" s="2"/>
      <c r="AQ674" s="2"/>
      <c r="AR674" s="2"/>
      <c r="AS674" s="2"/>
      <c r="AT674" s="2"/>
      <c r="AU674" s="2"/>
      <c r="AV674" s="2"/>
      <c r="AW674" s="2"/>
      <c r="AX674" s="2"/>
      <c r="AY674" s="2"/>
      <c r="AZ674" s="2"/>
      <c r="BA674" s="2"/>
      <c r="BB674" s="2"/>
    </row>
    <row r="675">
      <c r="A675" s="2">
        <f>IFERROR(__xludf.DUMMYFUNCTION("""COMPUTED_VALUE"""),671.0)</f>
        <v>671</v>
      </c>
      <c r="B675" s="2" t="str">
        <f>IFERROR(__xludf.DUMMYFUNCTION("""COMPUTED_VALUE"""),"COMPLETED")</f>
        <v>COMPLETED</v>
      </c>
      <c r="C675" s="74">
        <f>IFERROR(__xludf.DUMMYFUNCTION("""COMPUTED_VALUE"""),45611.0)</f>
        <v>45611</v>
      </c>
      <c r="D675" s="71" t="str">
        <f>IFERROR(__xludf.DUMMYFUNCTION("""COMPUTED_VALUE"""),"Mina East Farmers Association")</f>
        <v>Mina East Farmers Association</v>
      </c>
      <c r="E675" s="71" t="str">
        <f>IFERROR(__xludf.DUMMYFUNCTION("""COMPUTED_VALUE"""),"Mina East (Pob.), Mina, ILOILO")</f>
        <v>Mina East (Pob.), Mina, ILOILO</v>
      </c>
      <c r="F675" s="2"/>
      <c r="G675" s="2">
        <f>IFERROR(__xludf.DUMMYFUNCTION("""COMPUTED_VALUE"""),9.184456077E9)</f>
        <v>9184456077</v>
      </c>
      <c r="H675" s="2"/>
      <c r="I675" s="72" t="str">
        <f>IFERROR(__xludf.DUMMYFUNCTION("""COMPUTED_VALUE"""),"REPAIR - TRACTOR")</f>
        <v>REPAIR - TRACTOR</v>
      </c>
      <c r="J675" s="72" t="str">
        <f>IFERROR(__xludf.DUMMYFUNCTION("""COMPUTED_VALUE"""),"PTO - Clutch Pack")</f>
        <v>PTO - Clutch Pack</v>
      </c>
      <c r="K675" s="72" t="str">
        <f>IFERROR(__xludf.DUMMYFUNCTION("""COMPUTED_VALUE"""),"KFS: Pto clutch pack lining problem
PARTS: PTO CLUTCH PACK LINING (6PCS)")</f>
        <v>KFS: Pto clutch pack lining problem
PARTS: PTO CLUTCH PACK LINING (6PCS)</v>
      </c>
      <c r="L675" s="72" t="str">
        <f>IFERROR(__xludf.DUMMYFUNCTION("""COMPUTED_VALUE"""),"MYKEE: DONE LBC PARTS TO SIR RANDY
RANDY: REPLACED PTO CLUTCH PACK LINING")</f>
        <v>MYKEE: DONE LBC PARTS TO SIR RANDY
RANDY: REPLACED PTO CLUTCH PACK LINING</v>
      </c>
      <c r="M675" s="2"/>
      <c r="N675" s="2" t="str">
        <f>IFERROR(__xludf.DUMMYFUNCTION("""COMPUTED_VALUE"""),"PARTS: PTO CLUTCH PACK LINING")</f>
        <v>PARTS: PTO CLUTCH PACK LINING</v>
      </c>
      <c r="O675" s="2" t="str">
        <f>IFERROR(__xludf.DUMMYFUNCTION("""COMPUTED_VALUE"""),"RANDY ARANETA")</f>
        <v>RANDY ARANETA</v>
      </c>
      <c r="P675" s="2"/>
      <c r="Q675" s="2"/>
      <c r="R675" s="74">
        <f>IFERROR(__xludf.DUMMYFUNCTION("""COMPUTED_VALUE"""),45654.0)</f>
        <v>45654</v>
      </c>
      <c r="S675" s="2" t="str">
        <f>IFERROR(__xludf.DUMMYFUNCTION("""COMPUTED_VALUE"""),"RANDY")</f>
        <v>RANDY</v>
      </c>
      <c r="T675" s="73" t="str">
        <f>IFERROR(__xludf.DUMMYFUNCTION("""COMPUTED_VALUE""")," N/A ")</f>
        <v>N/A</v>
      </c>
      <c r="U675" s="73" t="str">
        <f>IFERROR(__xludf.DUMMYFUNCTION("""COMPUTED_VALUE""")," NO CHARGE ")</f>
        <v>NO CHARGE</v>
      </c>
      <c r="V675" s="2"/>
      <c r="W675" s="2" t="str">
        <f>IFERROR(__xludf.DUMMYFUNCTION("""COMPUTED_VALUE"""),"N/A")</f>
        <v>N/A</v>
      </c>
      <c r="X675" s="2" t="str">
        <f>IFERROR(__xludf.DUMMYFUNCTION("""COMPUTED_VALUE"""),"N/A")</f>
        <v>N/A</v>
      </c>
      <c r="Y675" s="2" t="str">
        <f>IFERROR(__xludf.DUMMYFUNCTION("""COMPUTED_VALUE"""),"LTC-REG6-002")</f>
        <v>LTC-REG6-002</v>
      </c>
      <c r="Z675" s="2"/>
      <c r="AA675" s="2"/>
      <c r="AB675" s="2"/>
      <c r="AC675" s="2"/>
      <c r="AD675" s="2"/>
      <c r="AE675" s="2"/>
      <c r="AF675" s="2"/>
      <c r="AG675" s="2"/>
      <c r="AH675" s="2"/>
      <c r="AI675" s="2"/>
      <c r="AJ675" s="2" t="str">
        <f>IFERROR(__xludf.DUMMYFUNCTION("""COMPUTED_VALUE"""),"Mina East (Pob.)")</f>
        <v>Mina East (Pob.)</v>
      </c>
      <c r="AK675" s="2" t="str">
        <f>IFERROR(__xludf.DUMMYFUNCTION("""COMPUTED_VALUE"""),"Mina")</f>
        <v>Mina</v>
      </c>
      <c r="AL675" s="2" t="str">
        <f>IFERROR(__xludf.DUMMYFUNCTION("""COMPUTED_VALUE"""),"Iloilo")</f>
        <v>Iloilo</v>
      </c>
      <c r="AM675" s="2">
        <f>IFERROR(__xludf.DUMMYFUNCTION("""COMPUTED_VALUE"""),6.0)</f>
        <v>6</v>
      </c>
      <c r="AN675" s="2" t="str">
        <f>IFERROR(__xludf.DUMMYFUNCTION("""COMPUTED_VALUE"""),"RCEF 23-09-21 Rebidding")</f>
        <v>RCEF 23-09-21 Rebidding</v>
      </c>
      <c r="AO675" s="2">
        <f>IFERROR(__xludf.DUMMYFUNCTION("""COMPUTED_VALUE"""),4.0)</f>
        <v>4</v>
      </c>
      <c r="AP675" s="2"/>
      <c r="AQ675" s="2"/>
      <c r="AR675" s="2"/>
      <c r="AS675" s="2"/>
      <c r="AT675" s="2"/>
      <c r="AU675" s="2"/>
      <c r="AV675" s="2"/>
      <c r="AW675" s="2"/>
      <c r="AX675" s="2"/>
      <c r="AY675" s="2"/>
      <c r="AZ675" s="2"/>
      <c r="BA675" s="2"/>
      <c r="BB675" s="2"/>
    </row>
    <row r="676">
      <c r="A676" s="2">
        <f>IFERROR(__xludf.DUMMYFUNCTION("""COMPUTED_VALUE"""),672.0)</f>
        <v>672</v>
      </c>
      <c r="B676" s="2" t="str">
        <f>IFERROR(__xludf.DUMMYFUNCTION("""COMPUTED_VALUE"""),"COMPLETED")</f>
        <v>COMPLETED</v>
      </c>
      <c r="C676" s="74">
        <f>IFERROR(__xludf.DUMMYFUNCTION("""COMPUTED_VALUE"""),45611.0)</f>
        <v>45611</v>
      </c>
      <c r="D676" s="71" t="str">
        <f>IFERROR(__xludf.DUMMYFUNCTION("""COMPUTED_VALUE"""),"MUNICIPAL LOCAL GOVERNMENT UNIT OF QUEZON")</f>
        <v>MUNICIPAL LOCAL GOVERNMENT UNIT OF QUEZON</v>
      </c>
      <c r="E676" s="71" t="str">
        <f>IFERROR(__xludf.DUMMYFUNCTION("""COMPUTED_VALUE"""),"Dulong Bayan, Quezon, Nueva Ecija")</f>
        <v>Dulong Bayan, Quezon, Nueva Ecija</v>
      </c>
      <c r="F676" s="2" t="str">
        <f>IFERROR(__xludf.DUMMYFUNCTION("""COMPUTED_VALUE"""),"PERCIVAL DE GUZMAN ")</f>
        <v>PERCIVAL DE GUZMAN </v>
      </c>
      <c r="G676" s="2">
        <f>IFERROR(__xludf.DUMMYFUNCTION("""COMPUTED_VALUE"""),9.174556826E9)</f>
        <v>9174556826</v>
      </c>
      <c r="H676" s="2">
        <f>IFERROR(__xludf.DUMMYFUNCTION("""COMPUTED_VALUE"""),200.0)</f>
        <v>200</v>
      </c>
      <c r="I676" s="72" t="str">
        <f>IFERROR(__xludf.DUMMYFUNCTION("""COMPUTED_VALUE"""),"REPAIR - TRACTOR")</f>
        <v>REPAIR - TRACTOR</v>
      </c>
      <c r="J676" s="72" t="str">
        <f>IFERROR(__xludf.DUMMYFUNCTION("""COMPUTED_VALUE"""),"Transmission - Clutch")</f>
        <v>Transmission - Clutch</v>
      </c>
      <c r="K676" s="72" t="str">
        <f>IFERROR(__xludf.DUMMYFUNCTION("""COMPUTED_VALUE"""),"JHP: Ayaw humatak low power (FOR ASSESMENT)
0598:JHP:11/19/24: CLUTCH PROBLEM, BURNED CLUTCH LINING
PARTS: CLUTCH  DICS ASSY")</f>
        <v>JHP: Ayaw humatak low power (FOR ASSESMENT)
0598:JHP:11/19/24: CLUTCH PROBLEM, BURNED CLUTCH LINING
PARTS: CLUTCH  DICS ASSY</v>
      </c>
      <c r="L676" s="72" t="str">
        <f>IFERROR(__xludf.DUMMYFUNCTION("""COMPUTED_VALUE"""),"JHP: REPLACE CLUTCH DISC ASSY")</f>
        <v>JHP: REPLACE CLUTCH DISC ASSY</v>
      </c>
      <c r="M676" s="2"/>
      <c r="N676" s="2" t="str">
        <f>IFERROR(__xludf.DUMMYFUNCTION("""COMPUTED_VALUE"""),"PARTS: CLUTCH DISC ASSY")</f>
        <v>PARTS: CLUTCH DISC ASSY</v>
      </c>
      <c r="O676" s="2">
        <f>IFERROR(__xludf.DUMMYFUNCTION("""COMPUTED_VALUE"""),1205.0)</f>
        <v>1205</v>
      </c>
      <c r="P676" s="2"/>
      <c r="Q676" s="2"/>
      <c r="R676" s="74">
        <f>IFERROR(__xludf.DUMMYFUNCTION("""COMPUTED_VALUE"""),45621.0)</f>
        <v>45621</v>
      </c>
      <c r="S676" s="2" t="str">
        <f>IFERROR(__xludf.DUMMYFUNCTION("""COMPUTED_VALUE"""),"JHP/ACS/EGT")</f>
        <v>JHP/ACS/EGT</v>
      </c>
      <c r="T676" s="73">
        <f>IFERROR(__xludf.DUMMYFUNCTION("""COMPUTED_VALUE"""),22000.0)</f>
        <v>22000</v>
      </c>
      <c r="U676" s="73" t="str">
        <f>IFERROR(__xludf.DUMMYFUNCTION("""COMPUTED_VALUE""")," REMITTED ")</f>
        <v>REMITTED</v>
      </c>
      <c r="V676" s="2"/>
      <c r="W676" s="2"/>
      <c r="X676" s="2">
        <f>IFERROR(__xludf.DUMMYFUNCTION("""COMPUTED_VALUE"""),1247.0)</f>
        <v>1247</v>
      </c>
      <c r="Y676" s="2"/>
      <c r="Z676" s="2"/>
      <c r="AA676" s="2"/>
      <c r="AB676" s="2"/>
      <c r="AC676" s="2"/>
      <c r="AD676" s="2"/>
      <c r="AE676" s="2"/>
      <c r="AF676" s="2"/>
      <c r="AG676" s="2"/>
      <c r="AH676" s="2"/>
      <c r="AI676" s="2"/>
      <c r="AJ676" s="2" t="str">
        <f>IFERROR(__xludf.DUMMYFUNCTION("""COMPUTED_VALUE"""),"Dulong Bayan")</f>
        <v>Dulong Bayan</v>
      </c>
      <c r="AK676" s="2" t="str">
        <f>IFERROR(__xludf.DUMMYFUNCTION("""COMPUTED_VALUE"""),"Quezon")</f>
        <v>Quezon</v>
      </c>
      <c r="AL676" s="2" t="str">
        <f>IFERROR(__xludf.DUMMYFUNCTION("""COMPUTED_VALUE"""),"Nueva Ecija")</f>
        <v>Nueva Ecija</v>
      </c>
      <c r="AM676" s="2">
        <f>IFERROR(__xludf.DUMMYFUNCTION("""COMPUTED_VALUE"""),3.0)</f>
        <v>3</v>
      </c>
      <c r="AN676" s="2" t="str">
        <f>IFERROR(__xludf.DUMMYFUNCTION("""COMPUTED_VALUE"""),"RCEF 23-09-21 Rebidding")</f>
        <v>RCEF 23-09-21 Rebidding</v>
      </c>
      <c r="AO676" s="2">
        <f>IFERROR(__xludf.DUMMYFUNCTION("""COMPUTED_VALUE"""),3.0)</f>
        <v>3</v>
      </c>
      <c r="AP676" s="2"/>
      <c r="AQ676" s="2"/>
      <c r="AR676" s="2"/>
      <c r="AS676" s="2"/>
      <c r="AT676" s="2"/>
      <c r="AU676" s="2"/>
      <c r="AV676" s="2"/>
      <c r="AW676" s="2"/>
      <c r="AX676" s="2"/>
      <c r="AY676" s="2"/>
      <c r="AZ676" s="2"/>
      <c r="BA676" s="2"/>
      <c r="BB676" s="2"/>
    </row>
    <row r="677">
      <c r="A677" s="2">
        <f>IFERROR(__xludf.DUMMYFUNCTION("""COMPUTED_VALUE"""),673.0)</f>
        <v>673</v>
      </c>
      <c r="B677" s="2" t="str">
        <f>IFERROR(__xludf.DUMMYFUNCTION("""COMPUTED_VALUE"""),"COMPLETED")</f>
        <v>COMPLETED</v>
      </c>
      <c r="C677" s="74">
        <f>IFERROR(__xludf.DUMMYFUNCTION("""COMPUTED_VALUE"""),45613.0)</f>
        <v>45613</v>
      </c>
      <c r="D677" s="71" t="str">
        <f>IFERROR(__xludf.DUMMYFUNCTION("""COMPUTED_VALUE"""),"GREATEST MANIMAS FARMERS AND FISHERFOLKS ASSOCIATION")</f>
        <v>GREATEST MANIMAS FARMERS AND FISHERFOLKS ASSOCIATION</v>
      </c>
      <c r="E677" s="71" t="str">
        <f>IFERROR(__xludf.DUMMYFUNCTION("""COMPUTED_VALUE"""),"Cataning, Balanga City, BATAAN")</f>
        <v>Cataning, Balanga City, BATAAN</v>
      </c>
      <c r="F677" s="2" t="str">
        <f>IFERROR(__xludf.DUMMYFUNCTION("""COMPUTED_VALUE"""),"RENATO CARIG")</f>
        <v>RENATO CARIG</v>
      </c>
      <c r="G677" s="2">
        <f>IFERROR(__xludf.DUMMYFUNCTION("""COMPUTED_VALUE"""),9.922415542E9)</f>
        <v>9922415542</v>
      </c>
      <c r="H677" s="2">
        <f>IFERROR(__xludf.DUMMYFUNCTION("""COMPUTED_VALUE"""),380.0)</f>
        <v>380</v>
      </c>
      <c r="I677" s="72" t="str">
        <f>IFERROR(__xludf.DUMMYFUNCTION("""COMPUTED_VALUE"""),"PMS")</f>
        <v>PMS</v>
      </c>
      <c r="J677" s="72" t="str">
        <f>IFERROR(__xludf.DUMMYFUNCTION("""COMPUTED_VALUE"""),"PMS")</f>
        <v>PMS</v>
      </c>
      <c r="K677" s="72" t="str">
        <f>IFERROR(__xludf.DUMMYFUNCTION("""COMPUTED_VALUE"""),"JHP: 2ND PMS, Hydraulic oil, oil filter saka Hydraulic filter yan lang bibilin nila maam sa atin")</f>
        <v>JHP: 2ND PMS, Hydraulic oil, oil filter saka Hydraulic filter yan lang bibilin nila maam sa atin</v>
      </c>
      <c r="L677" s="72" t="str">
        <f>IFERROR(__xludf.DUMMYFUNCTION("""COMPUTED_VALUE"""),"JVV: 2ND PMS DONE (AGRITECH MANIMAS AND FISHERFOLK ASSC.)")</f>
        <v>JVV: 2ND PMS DONE (AGRITECH MANIMAS AND FISHERFOLK ASSC.)</v>
      </c>
      <c r="M677" s="2"/>
      <c r="N677" s="2" t="str">
        <f>IFERROR(__xludf.DUMMYFUNCTION("""COMPUTED_VALUE"""),"PARTS: 40L HYDRAULIC OIL, OIL FILTER, HYDRAULIC FILTER")</f>
        <v>PARTS: 40L HYDRAULIC OIL, OIL FILTER, HYDRAULIC FILTER</v>
      </c>
      <c r="O677" s="2">
        <f>IFERROR(__xludf.DUMMYFUNCTION("""COMPUTED_VALUE"""),1158.0)</f>
        <v>1158</v>
      </c>
      <c r="P677" s="2"/>
      <c r="Q677" s="2"/>
      <c r="R677" s="74">
        <f>IFERROR(__xludf.DUMMYFUNCTION("""COMPUTED_VALUE"""),45614.0)</f>
        <v>45614</v>
      </c>
      <c r="S677" s="2" t="str">
        <f>IFERROR(__xludf.DUMMYFUNCTION("""COMPUTED_VALUE"""),"CFG/JVV")</f>
        <v>CFG/JVV</v>
      </c>
      <c r="T677" s="73">
        <f>IFERROR(__xludf.DUMMYFUNCTION("""COMPUTED_VALUE"""),15401.0)</f>
        <v>15401</v>
      </c>
      <c r="U677" s="73" t="str">
        <f>IFERROR(__xludf.DUMMYFUNCTION("""COMPUTED_VALUE""")," REMITTED ")</f>
        <v>REMITTED</v>
      </c>
      <c r="V677" s="2"/>
      <c r="W677" s="2">
        <f>IFERROR(__xludf.DUMMYFUNCTION("""COMPUTED_VALUE"""),1287.0)</f>
        <v>1287</v>
      </c>
      <c r="X677" s="2">
        <f>IFERROR(__xludf.DUMMYFUNCTION("""COMPUTED_VALUE"""),1351.0)</f>
        <v>1351</v>
      </c>
      <c r="Y677" s="2"/>
      <c r="Z677" s="2"/>
      <c r="AA677" s="2"/>
      <c r="AB677" s="2"/>
      <c r="AC677" s="2"/>
      <c r="AD677" s="2"/>
      <c r="AE677" s="2"/>
      <c r="AF677" s="2"/>
      <c r="AG677" s="2"/>
      <c r="AH677" s="2"/>
      <c r="AI677" s="2"/>
      <c r="AJ677" s="2" t="str">
        <f>IFERROR(__xludf.DUMMYFUNCTION("""COMPUTED_VALUE"""),"Cataning")</f>
        <v>Cataning</v>
      </c>
      <c r="AK677" s="2" t="str">
        <f>IFERROR(__xludf.DUMMYFUNCTION("""COMPUTED_VALUE"""),"Balanga City")</f>
        <v>Balanga City</v>
      </c>
      <c r="AL677" s="2" t="str">
        <f>IFERROR(__xludf.DUMMYFUNCTION("""COMPUTED_VALUE"""),"Bataan")</f>
        <v>Bataan</v>
      </c>
      <c r="AM677" s="2">
        <f>IFERROR(__xludf.DUMMYFUNCTION("""COMPUTED_VALUE"""),3.0)</f>
        <v>3</v>
      </c>
      <c r="AN677" s="2" t="str">
        <f>IFERROR(__xludf.DUMMYFUNCTION("""COMPUTED_VALUE"""),"RCEF 23-09-21 Rebidding")</f>
        <v>RCEF 23-09-21 Rebidding</v>
      </c>
      <c r="AO677" s="2">
        <f>IFERROR(__xludf.DUMMYFUNCTION("""COMPUTED_VALUE"""),3.0)</f>
        <v>3</v>
      </c>
      <c r="AP677" s="2"/>
      <c r="AQ677" s="2"/>
      <c r="AR677" s="2"/>
      <c r="AS677" s="2"/>
      <c r="AT677" s="2"/>
      <c r="AU677" s="2"/>
      <c r="AV677" s="2"/>
      <c r="AW677" s="2"/>
      <c r="AX677" s="2"/>
      <c r="AY677" s="2"/>
      <c r="AZ677" s="2"/>
      <c r="BA677" s="2"/>
      <c r="BB677" s="2"/>
    </row>
    <row r="678">
      <c r="A678" s="2">
        <f>IFERROR(__xludf.DUMMYFUNCTION("""COMPUTED_VALUE"""),674.0)</f>
        <v>674</v>
      </c>
      <c r="B678" s="2" t="str">
        <f>IFERROR(__xludf.DUMMYFUNCTION("""COMPUTED_VALUE"""),"COMPLETED")</f>
        <v>COMPLETED</v>
      </c>
      <c r="C678" s="74">
        <f>IFERROR(__xludf.DUMMYFUNCTION("""COMPUTED_VALUE"""),45614.0)</f>
        <v>45614</v>
      </c>
      <c r="D678" s="71" t="str">
        <f>IFERROR(__xludf.DUMMYFUNCTION("""COMPUTED_VALUE"""),"SALBEN FARMERS ASSOCIATION INC.")</f>
        <v>SALBEN FARMERS ASSOCIATION INC.</v>
      </c>
      <c r="E678" s="71" t="str">
        <f>IFERROR(__xludf.DUMMYFUNCTION("""COMPUTED_VALUE"""),"Bensican, San Nicolas, PANGASINAN")</f>
        <v>Bensican, San Nicolas, PANGASINAN</v>
      </c>
      <c r="F678" s="2" t="str">
        <f>IFERROR(__xludf.DUMMYFUNCTION("""COMPUTED_VALUE"""),"SALBEN FARMERS ASSOCIATIONS    /     LEMUEL P. LAMPA")</f>
        <v>SALBEN FARMERS ASSOCIATIONS    /     LEMUEL P. LAMPA</v>
      </c>
      <c r="G678" s="2">
        <f>IFERROR(__xludf.DUMMYFUNCTION("""COMPUTED_VALUE"""),9.275874044E9)</f>
        <v>9275874044</v>
      </c>
      <c r="H678" s="2">
        <f>IFERROR(__xludf.DUMMYFUNCTION("""COMPUTED_VALUE"""),391.0)</f>
        <v>391</v>
      </c>
      <c r="I678" s="72" t="str">
        <f>IFERROR(__xludf.DUMMYFUNCTION("""COMPUTED_VALUE"""),"PMS")</f>
        <v>PMS</v>
      </c>
      <c r="J678" s="72" t="str">
        <f>IFERROR(__xludf.DUMMYFUNCTION("""COMPUTED_VALUE"""),"PMS")</f>
        <v>PMS</v>
      </c>
      <c r="K678" s="72" t="str">
        <f>IFERROR(__xludf.DUMMYFUNCTION("""COMPUTED_VALUE"""),"JDP: 2ND PMS, ISABAY NADIN DAW PO YUNG FUEL CAP (2,100)")</f>
        <v>JDP: 2ND PMS, ISABAY NADIN DAW PO YUNG FUEL CAP (2,100)</v>
      </c>
      <c r="L678" s="72" t="str">
        <f>IFERROR(__xludf.DUMMYFUNCTION("""COMPUTED_VALUE"""),"EGT: 2ND PMS DONE")</f>
        <v>EGT: 2ND PMS DONE</v>
      </c>
      <c r="M678" s="2"/>
      <c r="N678" s="2" t="str">
        <f>IFERROR(__xludf.DUMMYFUNCTION("""COMPUTED_VALUE"""),"PARTS: HYDRAULIC FILTER")</f>
        <v>PARTS: HYDRAULIC FILTER</v>
      </c>
      <c r="O678" s="2">
        <f>IFERROR(__xludf.DUMMYFUNCTION("""COMPUTED_VALUE"""),1331.0)</f>
        <v>1331</v>
      </c>
      <c r="P678" s="2"/>
      <c r="Q678" s="2"/>
      <c r="R678" s="74">
        <f>IFERROR(__xludf.DUMMYFUNCTION("""COMPUTED_VALUE"""),45624.0)</f>
        <v>45624</v>
      </c>
      <c r="S678" s="2" t="str">
        <f>IFERROR(__xludf.DUMMYFUNCTION("""COMPUTED_VALUE"""),"EGT")</f>
        <v>EGT</v>
      </c>
      <c r="T678" s="73">
        <f>IFERROR(__xludf.DUMMYFUNCTION("""COMPUTED_VALUE"""),2748.0)</f>
        <v>2748</v>
      </c>
      <c r="U678" s="73" t="str">
        <f>IFERROR(__xludf.DUMMYFUNCTION("""COMPUTED_VALUE""")," REMITTED ")</f>
        <v>REMITTED</v>
      </c>
      <c r="V678" s="2"/>
      <c r="W678" s="2">
        <f>IFERROR(__xludf.DUMMYFUNCTION("""COMPUTED_VALUE"""),1340.0)</f>
        <v>1340</v>
      </c>
      <c r="X678" s="2">
        <f>IFERROR(__xludf.DUMMYFUNCTION("""COMPUTED_VALUE"""),1270.0)</f>
        <v>1270</v>
      </c>
      <c r="Y678" s="2"/>
      <c r="Z678" s="2"/>
      <c r="AA678" s="2"/>
      <c r="AB678" s="2"/>
      <c r="AC678" s="2"/>
      <c r="AD678" s="2"/>
      <c r="AE678" s="2"/>
      <c r="AF678" s="2"/>
      <c r="AG678" s="2"/>
      <c r="AH678" s="2"/>
      <c r="AI678" s="2"/>
      <c r="AJ678" s="2" t="str">
        <f>IFERROR(__xludf.DUMMYFUNCTION("""COMPUTED_VALUE"""),"Bensican")</f>
        <v>Bensican</v>
      </c>
      <c r="AK678" s="2" t="str">
        <f>IFERROR(__xludf.DUMMYFUNCTION("""COMPUTED_VALUE"""),"San Nicolas")</f>
        <v>San Nicolas</v>
      </c>
      <c r="AL678" s="2" t="str">
        <f>IFERROR(__xludf.DUMMYFUNCTION("""COMPUTED_VALUE"""),"Pangasinan")</f>
        <v>Pangasinan</v>
      </c>
      <c r="AM678" s="2">
        <f>IFERROR(__xludf.DUMMYFUNCTION("""COMPUTED_VALUE"""),1.0)</f>
        <v>1</v>
      </c>
      <c r="AN678" s="2" t="str">
        <f>IFERROR(__xludf.DUMMYFUNCTION("""COMPUTED_VALUE"""),"RCEF 23-09-21 Rebidding")</f>
        <v>RCEF 23-09-21 Rebidding</v>
      </c>
      <c r="AO678" s="2">
        <f>IFERROR(__xludf.DUMMYFUNCTION("""COMPUTED_VALUE"""),2.0)</f>
        <v>2</v>
      </c>
      <c r="AP678" s="2"/>
      <c r="AQ678" s="2"/>
      <c r="AR678" s="2"/>
      <c r="AS678" s="2"/>
      <c r="AT678" s="2"/>
      <c r="AU678" s="2"/>
      <c r="AV678" s="2"/>
      <c r="AW678" s="2"/>
      <c r="AX678" s="2"/>
      <c r="AY678" s="2"/>
      <c r="AZ678" s="2"/>
      <c r="BA678" s="2"/>
      <c r="BB678" s="2"/>
    </row>
    <row r="679">
      <c r="A679" s="2">
        <f>IFERROR(__xludf.DUMMYFUNCTION("""COMPUTED_VALUE"""),675.0)</f>
        <v>675</v>
      </c>
      <c r="B679" s="2" t="str">
        <f>IFERROR(__xludf.DUMMYFUNCTION("""COMPUTED_VALUE"""),"COMPLETED")</f>
        <v>COMPLETED</v>
      </c>
      <c r="C679" s="74">
        <f>IFERROR(__xludf.DUMMYFUNCTION("""COMPUTED_VALUE"""),45615.0)</f>
        <v>45615</v>
      </c>
      <c r="D679" s="71" t="str">
        <f>IFERROR(__xludf.DUMMYFUNCTION("""COMPUTED_VALUE"""),"Try Me Agriculture Cooperative (TMAC)")</f>
        <v>Try Me Agriculture Cooperative (TMAC)</v>
      </c>
      <c r="E679" s="71" t="str">
        <f>IFERROR(__xludf.DUMMYFUNCTION("""COMPUTED_VALUE"""),"Poblacion West, Science City of Munoz, Nueva Ecija")</f>
        <v>Poblacion West, Science City of Munoz, Nueva Ecija</v>
      </c>
      <c r="F679" s="2" t="str">
        <f>IFERROR(__xludf.DUMMYFUNCTION("""COMPUTED_VALUE"""),"RENATO VERGARA")</f>
        <v>RENATO VERGARA</v>
      </c>
      <c r="G679" s="2">
        <f>IFERROR(__xludf.DUMMYFUNCTION("""COMPUTED_VALUE"""),9.167869015E9)</f>
        <v>9167869015</v>
      </c>
      <c r="H679" s="2">
        <f>IFERROR(__xludf.DUMMYFUNCTION("""COMPUTED_VALUE"""),301.0)</f>
        <v>301</v>
      </c>
      <c r="I679" s="72" t="str">
        <f>IFERROR(__xludf.DUMMYFUNCTION("""COMPUTED_VALUE"""),"REPAIR - TRACTOR")</f>
        <v>REPAIR - TRACTOR</v>
      </c>
      <c r="J679" s="72" t="str">
        <f>IFERROR(__xludf.DUMMYFUNCTION("""COMPUTED_VALUE"""),"Electrical - Fuse Box")</f>
        <v>Electrical - Fuse Box</v>
      </c>
      <c r="K679" s="72" t="str">
        <f>IFERROR(__xludf.DUMMYFUNCTION("""COMPUTED_VALUE"""),"JHP: Headlight not working")</f>
        <v>JHP: Headlight not working</v>
      </c>
      <c r="L679" s="72" t="str">
        <f>IFERROR(__xludf.DUMMYFUNCTION("""COMPUTED_VALUE"""),"JHP: disconnect grounded socket, light now working")</f>
        <v>JHP: disconnect grounded socket, light now working</v>
      </c>
      <c r="M679" s="2"/>
      <c r="N679" s="2"/>
      <c r="O679" s="2">
        <f>IFERROR(__xludf.DUMMYFUNCTION("""COMPUTED_VALUE"""),600.0)</f>
        <v>600</v>
      </c>
      <c r="P679" s="2"/>
      <c r="Q679" s="2" t="str">
        <f>IFERROR(__xludf.DUMMYFUNCTION("""COMPUTED_VALUE"""),"Y")</f>
        <v>Y</v>
      </c>
      <c r="R679" s="74">
        <f>IFERROR(__xludf.DUMMYFUNCTION("""COMPUTED_VALUE"""),45615.0)</f>
        <v>45615</v>
      </c>
      <c r="S679" s="2" t="str">
        <f>IFERROR(__xludf.DUMMYFUNCTION("""COMPUTED_VALUE"""),"JHP")</f>
        <v>JHP</v>
      </c>
      <c r="T679" s="73" t="str">
        <f>IFERROR(__xludf.DUMMYFUNCTION("""COMPUTED_VALUE""")," N/A ")</f>
        <v>N/A</v>
      </c>
      <c r="U679" s="73" t="str">
        <f>IFERROR(__xludf.DUMMYFUNCTION("""COMPUTED_VALUE""")," NO CHARGE ")</f>
        <v>NO CHARGE</v>
      </c>
      <c r="V679" s="2"/>
      <c r="W679" s="2" t="str">
        <f>IFERROR(__xludf.DUMMYFUNCTION("""COMPUTED_VALUE"""),"N/A")</f>
        <v>N/A</v>
      </c>
      <c r="X679" s="2" t="str">
        <f>IFERROR(__xludf.DUMMYFUNCTION("""COMPUTED_VALUE"""),"N/A")</f>
        <v>N/A</v>
      </c>
      <c r="Y679" s="2"/>
      <c r="Z679" s="2"/>
      <c r="AA679" s="2"/>
      <c r="AB679" s="2"/>
      <c r="AC679" s="2"/>
      <c r="AD679" s="2"/>
      <c r="AE679" s="2"/>
      <c r="AF679" s="2"/>
      <c r="AG679" s="2"/>
      <c r="AH679" s="2"/>
      <c r="AI679" s="2"/>
      <c r="AJ679" s="2" t="str">
        <f>IFERROR(__xludf.DUMMYFUNCTION("""COMPUTED_VALUE"""),"Poblacion West")</f>
        <v>Poblacion West</v>
      </c>
      <c r="AK679" s="2" t="str">
        <f>IFERROR(__xludf.DUMMYFUNCTION("""COMPUTED_VALUE"""),"Science City Of Munoz")</f>
        <v>Science City Of Munoz</v>
      </c>
      <c r="AL679" s="2" t="str">
        <f>IFERROR(__xludf.DUMMYFUNCTION("""COMPUTED_VALUE"""),"Nueva Ecija")</f>
        <v>Nueva Ecija</v>
      </c>
      <c r="AM679" s="2">
        <f>IFERROR(__xludf.DUMMYFUNCTION("""COMPUTED_VALUE"""),3.0)</f>
        <v>3</v>
      </c>
      <c r="AN679" s="2" t="str">
        <f>IFERROR(__xludf.DUMMYFUNCTION("""COMPUTED_VALUE"""),"RCEF 23-09-21 Rebidding")</f>
        <v>RCEF 23-09-21 Rebidding</v>
      </c>
      <c r="AO679" s="2">
        <f>IFERROR(__xludf.DUMMYFUNCTION("""COMPUTED_VALUE"""),3.0)</f>
        <v>3</v>
      </c>
      <c r="AP679" s="2"/>
      <c r="AQ679" s="2"/>
      <c r="AR679" s="2"/>
      <c r="AS679" s="2"/>
      <c r="AT679" s="2"/>
      <c r="AU679" s="2"/>
      <c r="AV679" s="2"/>
      <c r="AW679" s="2"/>
      <c r="AX679" s="2"/>
      <c r="AY679" s="2"/>
      <c r="AZ679" s="2"/>
      <c r="BA679" s="2"/>
      <c r="BB679" s="2"/>
    </row>
    <row r="680">
      <c r="A680" s="2">
        <f>IFERROR(__xludf.DUMMYFUNCTION("""COMPUTED_VALUE"""),676.0)</f>
        <v>676</v>
      </c>
      <c r="B680" s="2" t="str">
        <f>IFERROR(__xludf.DUMMYFUNCTION("""COMPUTED_VALUE"""),"COMPLETED")</f>
        <v>COMPLETED</v>
      </c>
      <c r="C680" s="74">
        <f>IFERROR(__xludf.DUMMYFUNCTION("""COMPUTED_VALUE"""),45615.0)</f>
        <v>45615</v>
      </c>
      <c r="D680" s="71" t="str">
        <f>IFERROR(__xludf.DUMMYFUNCTION("""COMPUTED_VALUE"""),"MUNICIPAL LOCAL GOVERNMENT UNIT OF ANGAT")</f>
        <v>MUNICIPAL LOCAL GOVERNMENT UNIT OF ANGAT</v>
      </c>
      <c r="E680" s="71" t="str">
        <f>IFERROR(__xludf.DUMMYFUNCTION("""COMPUTED_VALUE"""),"Poblacion, Angat, Bulacan")</f>
        <v>Poblacion, Angat, Bulacan</v>
      </c>
      <c r="F680" s="2"/>
      <c r="G680" s="2" t="str">
        <f>IFERROR(__xludf.DUMMYFUNCTION("""COMPUTED_VALUE"""),"63 917 994 1102")</f>
        <v>63 917 994 1102</v>
      </c>
      <c r="H680" s="2"/>
      <c r="I680" s="72" t="str">
        <f>IFERROR(__xludf.DUMMYFUNCTION("""COMPUTED_VALUE"""),"SPARE PARTS ACQUISITION")</f>
        <v>SPARE PARTS ACQUISITION</v>
      </c>
      <c r="J680" s="72" t="str">
        <f>IFERROR(__xludf.DUMMYFUNCTION("""COMPUTED_VALUE"""),"SPARE PARTS ACQUISITION")</f>
        <v>SPARE PARTS ACQUISITION</v>
      </c>
      <c r="K680" s="72" t="str">
        <f>IFERROR(__xludf.DUMMYFUNCTION("""COMPUTED_VALUE"""),"JVV: OIL FILTER")</f>
        <v>JVV: OIL FILTER</v>
      </c>
      <c r="L680" s="72" t="str">
        <f>IFERROR(__xludf.DUMMYFUNCTION("""COMPUTED_VALUE"""),"DELIVERERD")</f>
        <v>DELIVERERD</v>
      </c>
      <c r="M680" s="2"/>
      <c r="N680" s="2" t="str">
        <f>IFERROR(__xludf.DUMMYFUNCTION("""COMPUTED_VALUE"""),"PARTS: OIL FILTER")</f>
        <v>PARTS: OIL FILTER</v>
      </c>
      <c r="O680" s="2" t="str">
        <f>IFERROR(__xludf.DUMMYFUNCTION("""COMPUTED_VALUE"""),"N/A")</f>
        <v>N/A</v>
      </c>
      <c r="P680" s="2"/>
      <c r="Q680" s="2"/>
      <c r="R680" s="74">
        <f>IFERROR(__xludf.DUMMYFUNCTION("""COMPUTED_VALUE"""),45615.0)</f>
        <v>45615</v>
      </c>
      <c r="S680" s="2" t="str">
        <f>IFERROR(__xludf.DUMMYFUNCTION("""COMPUTED_VALUE"""),"JVV/CFG")</f>
        <v>JVV/CFG</v>
      </c>
      <c r="T680" s="73">
        <f>IFERROR(__xludf.DUMMYFUNCTION("""COMPUTED_VALUE"""),1533.0)</f>
        <v>1533</v>
      </c>
      <c r="U680" s="73" t="str">
        <f>IFERROR(__xludf.DUMMYFUNCTION("""COMPUTED_VALUE""")," REMITTED ")</f>
        <v>REMITTED</v>
      </c>
      <c r="V680" s="2"/>
      <c r="W680" s="2">
        <f>IFERROR(__xludf.DUMMYFUNCTION("""COMPUTED_VALUE"""),1286.0)</f>
        <v>1286</v>
      </c>
      <c r="X680" s="2">
        <f>IFERROR(__xludf.DUMMYFUNCTION("""COMPUTED_VALUE"""),1352.0)</f>
        <v>1352</v>
      </c>
      <c r="Y680" s="2"/>
      <c r="Z680" s="2"/>
      <c r="AA680" s="2"/>
      <c r="AB680" s="2"/>
      <c r="AC680" s="2"/>
      <c r="AD680" s="2"/>
      <c r="AE680" s="2"/>
      <c r="AF680" s="2"/>
      <c r="AG680" s="2"/>
      <c r="AH680" s="2"/>
      <c r="AI680" s="2"/>
      <c r="AJ680" s="2" t="str">
        <f>IFERROR(__xludf.DUMMYFUNCTION("""COMPUTED_VALUE"""),"Poblacion")</f>
        <v>Poblacion</v>
      </c>
      <c r="AK680" s="2" t="str">
        <f>IFERROR(__xludf.DUMMYFUNCTION("""COMPUTED_VALUE"""),"Angat")</f>
        <v>Angat</v>
      </c>
      <c r="AL680" s="2" t="str">
        <f>IFERROR(__xludf.DUMMYFUNCTION("""COMPUTED_VALUE"""),"Bulacan")</f>
        <v>Bulacan</v>
      </c>
      <c r="AM680" s="2">
        <f>IFERROR(__xludf.DUMMYFUNCTION("""COMPUTED_VALUE"""),3.0)</f>
        <v>3</v>
      </c>
      <c r="AN680" s="2" t="str">
        <f>IFERROR(__xludf.DUMMYFUNCTION("""COMPUTED_VALUE"""),"RCEF 23-09-21 Rebidding")</f>
        <v>RCEF 23-09-21 Rebidding</v>
      </c>
      <c r="AO680" s="2">
        <f>IFERROR(__xludf.DUMMYFUNCTION("""COMPUTED_VALUE"""),3.0)</f>
        <v>3</v>
      </c>
      <c r="AP680" s="2"/>
      <c r="AQ680" s="2"/>
      <c r="AR680" s="2"/>
      <c r="AS680" s="2"/>
      <c r="AT680" s="2"/>
      <c r="AU680" s="2"/>
      <c r="AV680" s="2"/>
      <c r="AW680" s="2"/>
      <c r="AX680" s="2"/>
      <c r="AY680" s="2"/>
      <c r="AZ680" s="2"/>
      <c r="BA680" s="2"/>
      <c r="BB680" s="2"/>
    </row>
    <row r="681">
      <c r="A681" s="2">
        <f>IFERROR(__xludf.DUMMYFUNCTION("""COMPUTED_VALUE"""),677.0)</f>
        <v>677</v>
      </c>
      <c r="B681" s="2" t="str">
        <f>IFERROR(__xludf.DUMMYFUNCTION("""COMPUTED_VALUE"""),"COMPLETED")</f>
        <v>COMPLETED</v>
      </c>
      <c r="C681" s="74">
        <f>IFERROR(__xludf.DUMMYFUNCTION("""COMPUTED_VALUE"""),45615.0)</f>
        <v>45615</v>
      </c>
      <c r="D681" s="71" t="str">
        <f>IFERROR(__xludf.DUMMYFUNCTION("""COMPUTED_VALUE"""),"NAGMISAHAN FARMERS ASSOCIATION")</f>
        <v>NAGMISAHAN FARMERS ASSOCIATION</v>
      </c>
      <c r="E681" s="71" t="str">
        <f>IFERROR(__xludf.DUMMYFUNCTION("""COMPUTED_VALUE"""),"Nagmisahan, Cuyapo, NUEVA ECIJA")</f>
        <v>Nagmisahan, Cuyapo, NUEVA ECIJA</v>
      </c>
      <c r="F681" s="2"/>
      <c r="G681" s="2">
        <f>IFERROR(__xludf.DUMMYFUNCTION("""COMPUTED_VALUE"""),9.709479351E9)</f>
        <v>9709479351</v>
      </c>
      <c r="H681" s="2">
        <f>IFERROR(__xludf.DUMMYFUNCTION("""COMPUTED_VALUE"""),55.0)</f>
        <v>55</v>
      </c>
      <c r="I681" s="72" t="str">
        <f>IFERROR(__xludf.DUMMYFUNCTION("""COMPUTED_VALUE"""),"PMS")</f>
        <v>PMS</v>
      </c>
      <c r="J681" s="72" t="str">
        <f>IFERROR(__xludf.DUMMYFUNCTION("""COMPUTED_VALUE"""),"PMS")</f>
        <v>PMS</v>
      </c>
      <c r="K681" s="72" t="str">
        <f>IFERROR(__xludf.DUMMYFUNCTION("""COMPUTED_VALUE"""),"KFS: REQUEST OIL FILTER")</f>
        <v>KFS: REQUEST OIL FILTER</v>
      </c>
      <c r="L681" s="72" t="str">
        <f>IFERROR(__xludf.DUMMYFUNCTION("""COMPUTED_VALUE"""),"ACS: DONE PMS")</f>
        <v>ACS: DONE PMS</v>
      </c>
      <c r="M681" s="2"/>
      <c r="N681" s="2" t="str">
        <f>IFERROR(__xludf.DUMMYFUNCTION("""COMPUTED_VALUE"""),"PARTS: OIL FILTER")</f>
        <v>PARTS: OIL FILTER</v>
      </c>
      <c r="O681" s="2">
        <f>IFERROR(__xludf.DUMMYFUNCTION("""COMPUTED_VALUE"""),1402.0)</f>
        <v>1402</v>
      </c>
      <c r="P681" s="2"/>
      <c r="Q681" s="2" t="str">
        <f>IFERROR(__xludf.DUMMYFUNCTION("""COMPUTED_VALUE"""),"Y")</f>
        <v>Y</v>
      </c>
      <c r="R681" s="74">
        <f>IFERROR(__xludf.DUMMYFUNCTION("""COMPUTED_VALUE"""),45620.0)</f>
        <v>45620</v>
      </c>
      <c r="S681" s="2" t="str">
        <f>IFERROR(__xludf.DUMMYFUNCTION("""COMPUTED_VALUE"""),"ACS/JHP")</f>
        <v>ACS/JHP</v>
      </c>
      <c r="T681" s="73">
        <f>IFERROR(__xludf.DUMMYFUNCTION("""COMPUTED_VALUE"""),1600.0)</f>
        <v>1600</v>
      </c>
      <c r="U681" s="73" t="str">
        <f>IFERROR(__xludf.DUMMYFUNCTION("""COMPUTED_VALUE""")," REMITTED ")</f>
        <v>REMITTED</v>
      </c>
      <c r="V681" s="2"/>
      <c r="W681" s="2">
        <f>IFERROR(__xludf.DUMMYFUNCTION("""COMPUTED_VALUE"""),1146.0)</f>
        <v>1146</v>
      </c>
      <c r="X681" s="2">
        <f>IFERROR(__xludf.DUMMYFUNCTION("""COMPUTED_VALUE"""),1281.0)</f>
        <v>1281</v>
      </c>
      <c r="Y681" s="2"/>
      <c r="Z681" s="2"/>
      <c r="AA681" s="2"/>
      <c r="AB681" s="2"/>
      <c r="AC681" s="2"/>
      <c r="AD681" s="2"/>
      <c r="AE681" s="2"/>
      <c r="AF681" s="2"/>
      <c r="AG681" s="2"/>
      <c r="AH681" s="2"/>
      <c r="AI681" s="2"/>
      <c r="AJ681" s="2" t="str">
        <f>IFERROR(__xludf.DUMMYFUNCTION("""COMPUTED_VALUE"""),"Nagmisahan")</f>
        <v>Nagmisahan</v>
      </c>
      <c r="AK681" s="2" t="str">
        <f>IFERROR(__xludf.DUMMYFUNCTION("""COMPUTED_VALUE"""),"Cuyapo")</f>
        <v>Cuyapo</v>
      </c>
      <c r="AL681" s="2" t="str">
        <f>IFERROR(__xludf.DUMMYFUNCTION("""COMPUTED_VALUE"""),"Nueva Ecija")</f>
        <v>Nueva Ecija</v>
      </c>
      <c r="AM681" s="2">
        <f>IFERROR(__xludf.DUMMYFUNCTION("""COMPUTED_VALUE"""),3.0)</f>
        <v>3</v>
      </c>
      <c r="AN681" s="2" t="str">
        <f>IFERROR(__xludf.DUMMYFUNCTION("""COMPUTED_VALUE"""),"RCEF 23-09-21 Rebidding")</f>
        <v>RCEF 23-09-21 Rebidding</v>
      </c>
      <c r="AO681" s="2">
        <f>IFERROR(__xludf.DUMMYFUNCTION("""COMPUTED_VALUE"""),3.0)</f>
        <v>3</v>
      </c>
      <c r="AP681" s="2"/>
      <c r="AQ681" s="2"/>
      <c r="AR681" s="2"/>
      <c r="AS681" s="2"/>
      <c r="AT681" s="2"/>
      <c r="AU681" s="2"/>
      <c r="AV681" s="2"/>
      <c r="AW681" s="2"/>
      <c r="AX681" s="2"/>
      <c r="AY681" s="2"/>
      <c r="AZ681" s="2"/>
      <c r="BA681" s="2"/>
      <c r="BB681" s="2"/>
    </row>
    <row r="682">
      <c r="A682" s="2">
        <f>IFERROR(__xludf.DUMMYFUNCTION("""COMPUTED_VALUE"""),678.0)</f>
        <v>678</v>
      </c>
      <c r="B682" s="2" t="str">
        <f>IFERROR(__xludf.DUMMYFUNCTION("""COMPUTED_VALUE"""),"COMPLETED")</f>
        <v>COMPLETED</v>
      </c>
      <c r="C682" s="74">
        <f>IFERROR(__xludf.DUMMYFUNCTION("""COMPUTED_VALUE"""),45616.0)</f>
        <v>45616</v>
      </c>
      <c r="D682" s="71" t="str">
        <f>IFERROR(__xludf.DUMMYFUNCTION("""COMPUTED_VALUE"""),"GINTONG BUTIL FARMERS ASSOCIATION")</f>
        <v>GINTONG BUTIL FARMERS ASSOCIATION</v>
      </c>
      <c r="E682" s="71" t="str">
        <f>IFERROR(__xludf.DUMMYFUNCTION("""COMPUTED_VALUE"""),"PINAGTURIHAN, SANTA CRUZ, OCCIDENTAL MINDORO")</f>
        <v>PINAGTURIHAN, SANTA CRUZ, OCCIDENTAL MINDORO</v>
      </c>
      <c r="F682" s="2" t="str">
        <f>IFERROR(__xludf.DUMMYFUNCTION("""COMPUTED_VALUE"""),"Rodolfo Patal jr.")</f>
        <v>Rodolfo Patal jr.</v>
      </c>
      <c r="G682" s="2">
        <f>IFERROR(__xludf.DUMMYFUNCTION("""COMPUTED_VALUE"""),9.358790354E9)</f>
        <v>9358790354</v>
      </c>
      <c r="H682" s="2"/>
      <c r="I682" s="72" t="str">
        <f>IFERROR(__xludf.DUMMYFUNCTION("""COMPUTED_VALUE"""),"SPARE PARTS ACQUISITION")</f>
        <v>SPARE PARTS ACQUISITION</v>
      </c>
      <c r="J682" s="72"/>
      <c r="K682" s="72" t="str">
        <f>IFERROR(__xludf.DUMMYFUNCTION("""COMPUTED_VALUE"""),"RBS: 1 WATER SEPERATOR /FUEL FILTER")</f>
        <v>RBS: 1 WATER SEPERATOR /FUEL FILTER</v>
      </c>
      <c r="L682" s="72" t="str">
        <f>IFERROR(__xludf.DUMMYFUNCTION("""COMPUTED_VALUE"""),"RCG: HINID NA BINILI")</f>
        <v>RCG: HINID NA BINILI</v>
      </c>
      <c r="M682" s="2"/>
      <c r="N682" s="2"/>
      <c r="O682" s="2" t="str">
        <f>IFERROR(__xludf.DUMMYFUNCTION("""COMPUTED_VALUE"""),"N/A")</f>
        <v>N/A</v>
      </c>
      <c r="P682" s="2"/>
      <c r="Q682" s="2"/>
      <c r="R682" s="74">
        <f>IFERROR(__xludf.DUMMYFUNCTION("""COMPUTED_VALUE"""),45719.0)</f>
        <v>45719</v>
      </c>
      <c r="S682" s="2" t="str">
        <f>IFERROR(__xludf.DUMMYFUNCTION("""COMPUTED_VALUE"""),"RCG")</f>
        <v>RCG</v>
      </c>
      <c r="T682" s="73" t="str">
        <f>IFERROR(__xludf.DUMMYFUNCTION("""COMPUTED_VALUE""")," N/A ")</f>
        <v>N/A</v>
      </c>
      <c r="U682" s="73" t="str">
        <f>IFERROR(__xludf.DUMMYFUNCTION("""COMPUTED_VALUE""")," NO CHARGE ")</f>
        <v>NO CHARGE</v>
      </c>
      <c r="V682" s="2"/>
      <c r="W682" s="2" t="str">
        <f>IFERROR(__xludf.DUMMYFUNCTION("""COMPUTED_VALUE"""),"N/A")</f>
        <v>N/A</v>
      </c>
      <c r="X682" s="2" t="str">
        <f>IFERROR(__xludf.DUMMYFUNCTION("""COMPUTED_VALUE"""),"N/A")</f>
        <v>N/A</v>
      </c>
      <c r="Y682" s="2"/>
      <c r="Z682" s="2"/>
      <c r="AA682" s="2"/>
      <c r="AB682" s="2"/>
      <c r="AC682" s="2"/>
      <c r="AD682" s="2"/>
      <c r="AE682" s="2"/>
      <c r="AF682" s="2"/>
      <c r="AG682" s="2"/>
      <c r="AH682" s="2"/>
      <c r="AI682" s="2"/>
      <c r="AJ682" s="2" t="str">
        <f>IFERROR(__xludf.DUMMYFUNCTION("""COMPUTED_VALUE"""),"Pinagturihan")</f>
        <v>Pinagturihan</v>
      </c>
      <c r="AK682" s="2" t="str">
        <f>IFERROR(__xludf.DUMMYFUNCTION("""COMPUTED_VALUE"""),"Santa Cruz")</f>
        <v>Santa Cruz</v>
      </c>
      <c r="AL682" s="2" t="str">
        <f>IFERROR(__xludf.DUMMYFUNCTION("""COMPUTED_VALUE"""),"Occidental Mindoro")</f>
        <v>Occidental Mindoro</v>
      </c>
      <c r="AM682" s="2" t="str">
        <f>IFERROR(__xludf.DUMMYFUNCTION("""COMPUTED_VALUE"""),"4B")</f>
        <v>4B</v>
      </c>
      <c r="AN682" s="2" t="str">
        <f>IFERROR(__xludf.DUMMYFUNCTION("""COMPUTED_VALUE"""),"RCEF 23-08-20 Rebidding")</f>
        <v>RCEF 23-08-20 Rebidding</v>
      </c>
      <c r="AO682" s="2">
        <f>IFERROR(__xludf.DUMMYFUNCTION("""COMPUTED_VALUE"""),1.0)</f>
        <v>1</v>
      </c>
      <c r="AP682" s="2"/>
      <c r="AQ682" s="2"/>
      <c r="AR682" s="2"/>
      <c r="AS682" s="2"/>
      <c r="AT682" s="2"/>
      <c r="AU682" s="2"/>
      <c r="AV682" s="2"/>
      <c r="AW682" s="2"/>
      <c r="AX682" s="2"/>
      <c r="AY682" s="2"/>
      <c r="AZ682" s="2"/>
      <c r="BA682" s="2"/>
      <c r="BB682" s="2"/>
    </row>
    <row r="683">
      <c r="A683" s="2">
        <f>IFERROR(__xludf.DUMMYFUNCTION("""COMPUTED_VALUE"""),679.0)</f>
        <v>679</v>
      </c>
      <c r="B683" s="2" t="str">
        <f>IFERROR(__xludf.DUMMYFUNCTION("""COMPUTED_VALUE"""),"COMPLETED")</f>
        <v>COMPLETED</v>
      </c>
      <c r="C683" s="74">
        <f>IFERROR(__xludf.DUMMYFUNCTION("""COMPUTED_VALUE"""),45616.0)</f>
        <v>45616</v>
      </c>
      <c r="D683" s="71" t="str">
        <f>IFERROR(__xludf.DUMMYFUNCTION("""COMPUTED_VALUE"""),"ILOG BALIWAG-SAN MIGUEL FARMERS ASSOCIATION (ISFA)")</f>
        <v>ILOG BALIWAG-SAN MIGUEL FARMERS ASSOCIATION (ISFA)</v>
      </c>
      <c r="E683" s="71" t="str">
        <f>IFERROR(__xludf.DUMMYFUNCTION("""COMPUTED_VALUE"""),"Ilog Baliwag, Quezon, NUEVA ECIJA")</f>
        <v>Ilog Baliwag, Quezon, NUEVA ECIJA</v>
      </c>
      <c r="F683" s="2" t="str">
        <f>IFERROR(__xludf.DUMMYFUNCTION("""COMPUTED_VALUE"""),"Bernie A. Melendez")</f>
        <v>Bernie A. Melendez</v>
      </c>
      <c r="G683" s="2">
        <f>IFERROR(__xludf.DUMMYFUNCTION("""COMPUTED_VALUE"""),9.275180179E9)</f>
        <v>9275180179</v>
      </c>
      <c r="H683" s="2">
        <f>IFERROR(__xludf.DUMMYFUNCTION("""COMPUTED_VALUE"""),47.0)</f>
        <v>47</v>
      </c>
      <c r="I683" s="72" t="str">
        <f>IFERROR(__xludf.DUMMYFUNCTION("""COMPUTED_VALUE"""),"PMS")</f>
        <v>PMS</v>
      </c>
      <c r="J683" s="72" t="str">
        <f>IFERROR(__xludf.DUMMYFUNCTION("""COMPUTED_VALUE"""),"PMS")</f>
        <v>PMS</v>
      </c>
      <c r="K683" s="72" t="str">
        <f>IFERROR(__xludf.DUMMYFUNCTION("""COMPUTED_VALUE"""),"DRM: Maintenance for 50Hrs check up and change oil. ")</f>
        <v>DRM: Maintenance for 50Hrs check up and change oil. </v>
      </c>
      <c r="L683" s="72" t="str">
        <f>IFERROR(__xludf.DUMMYFUNCTION("""COMPUTED_VALUE"""),"JDP: 1ST PMS DONE")</f>
        <v>JDP: 1ST PMS DONE</v>
      </c>
      <c r="M683" s="2"/>
      <c r="N683" s="2" t="str">
        <f>IFERROR(__xludf.DUMMYFUNCTION("""COMPUTED_VALUE"""),"PARTS: OIL FILTER")</f>
        <v>PARTS: OIL FILTER</v>
      </c>
      <c r="O683" s="2">
        <f>IFERROR(__xludf.DUMMYFUNCTION("""COMPUTED_VALUE"""),1374.0)</f>
        <v>1374</v>
      </c>
      <c r="P683" s="2"/>
      <c r="Q683" s="2"/>
      <c r="R683" s="74">
        <f>IFERROR(__xludf.DUMMYFUNCTION("""COMPUTED_VALUE"""),45616.0)</f>
        <v>45616</v>
      </c>
      <c r="S683" s="2" t="str">
        <f>IFERROR(__xludf.DUMMYFUNCTION("""COMPUTED_VALUE"""),"JDP/CFG")</f>
        <v>JDP/CFG</v>
      </c>
      <c r="T683" s="73">
        <f>IFERROR(__xludf.DUMMYFUNCTION("""COMPUTED_VALUE"""),1533.0)</f>
        <v>1533</v>
      </c>
      <c r="U683" s="73" t="str">
        <f>IFERROR(__xludf.DUMMYFUNCTION("""COMPUTED_VALUE""")," REMITTED ")</f>
        <v>REMITTED</v>
      </c>
      <c r="V683" s="2"/>
      <c r="W683" s="2">
        <f>IFERROR(__xludf.DUMMYFUNCTION("""COMPUTED_VALUE"""),1289.0)</f>
        <v>1289</v>
      </c>
      <c r="X683" s="2">
        <f>IFERROR(__xludf.DUMMYFUNCTION("""COMPUTED_VALUE"""),1353.0)</f>
        <v>1353</v>
      </c>
      <c r="Y683" s="2"/>
      <c r="Z683" s="2"/>
      <c r="AA683" s="2"/>
      <c r="AB683" s="2"/>
      <c r="AC683" s="2"/>
      <c r="AD683" s="2"/>
      <c r="AE683" s="2"/>
      <c r="AF683" s="2"/>
      <c r="AG683" s="2"/>
      <c r="AH683" s="2"/>
      <c r="AI683" s="2"/>
      <c r="AJ683" s="2" t="str">
        <f>IFERROR(__xludf.DUMMYFUNCTION("""COMPUTED_VALUE"""),"Ilog Baliwag")</f>
        <v>Ilog Baliwag</v>
      </c>
      <c r="AK683" s="2" t="str">
        <f>IFERROR(__xludf.DUMMYFUNCTION("""COMPUTED_VALUE"""),"Quezon")</f>
        <v>Quezon</v>
      </c>
      <c r="AL683" s="2" t="str">
        <f>IFERROR(__xludf.DUMMYFUNCTION("""COMPUTED_VALUE"""),"Nueva Ecija")</f>
        <v>Nueva Ecija</v>
      </c>
      <c r="AM683" s="2">
        <f>IFERROR(__xludf.DUMMYFUNCTION("""COMPUTED_VALUE"""),3.0)</f>
        <v>3</v>
      </c>
      <c r="AN683" s="2" t="str">
        <f>IFERROR(__xludf.DUMMYFUNCTION("""COMPUTED_VALUE"""),"RCEF 24-04-15")</f>
        <v>RCEF 24-04-15</v>
      </c>
      <c r="AO683" s="2">
        <f>IFERROR(__xludf.DUMMYFUNCTION("""COMPUTED_VALUE"""),6.0)</f>
        <v>6</v>
      </c>
      <c r="AP683" s="2" t="str">
        <f>IFERROR(__xludf.DUMMYFUNCTION("""COMPUTED_VALUE"""),"FREE PMS")</f>
        <v>FREE PMS</v>
      </c>
      <c r="AQ683" s="2"/>
      <c r="AR683" s="2"/>
      <c r="AS683" s="2"/>
      <c r="AT683" s="2"/>
      <c r="AU683" s="2"/>
      <c r="AV683" s="2"/>
      <c r="AW683" s="2"/>
      <c r="AX683" s="2"/>
      <c r="AY683" s="2"/>
      <c r="AZ683" s="2"/>
      <c r="BA683" s="2"/>
      <c r="BB683" s="2"/>
    </row>
    <row r="684">
      <c r="A684" s="2">
        <f>IFERROR(__xludf.DUMMYFUNCTION("""COMPUTED_VALUE"""),680.0)</f>
        <v>680</v>
      </c>
      <c r="B684" s="2" t="str">
        <f>IFERROR(__xludf.DUMMYFUNCTION("""COMPUTED_VALUE"""),"COMPLETED")</f>
        <v>COMPLETED</v>
      </c>
      <c r="C684" s="74">
        <f>IFERROR(__xludf.DUMMYFUNCTION("""COMPUTED_VALUE"""),45617.0)</f>
        <v>45617</v>
      </c>
      <c r="D684" s="71" t="str">
        <f>IFERROR(__xludf.DUMMYFUNCTION("""COMPUTED_VALUE"""),"SAMARICA OCCIDENTAL MINDORO FARMERS ASSOCIATION INC.")</f>
        <v>SAMARICA OCCIDENTAL MINDORO FARMERS ASSOCIATION INC.</v>
      </c>
      <c r="E684" s="71" t="str">
        <f>IFERROR(__xludf.DUMMYFUNCTION("""COMPUTED_VALUE"""),"ADELA, RIZAL, OCCIDENTAL MINDORO")</f>
        <v>ADELA, RIZAL, OCCIDENTAL MINDORO</v>
      </c>
      <c r="F684" s="2" t="str">
        <f>IFERROR(__xludf.DUMMYFUNCTION("""COMPUTED_VALUE"""),"JOSIE MARAMOT")</f>
        <v>JOSIE MARAMOT</v>
      </c>
      <c r="G684" s="2">
        <f>IFERROR(__xludf.DUMMYFUNCTION("""COMPUTED_VALUE"""),9.666959346E9)</f>
        <v>9666959346</v>
      </c>
      <c r="H684" s="2"/>
      <c r="I684" s="72" t="str">
        <f>IFERROR(__xludf.DUMMYFUNCTION("""COMPUTED_VALUE"""),"SPARE PARTS ACQUISITION")</f>
        <v>SPARE PARTS ACQUISITION</v>
      </c>
      <c r="J684" s="72" t="str">
        <f>IFERROR(__xludf.DUMMYFUNCTION("""COMPUTED_VALUE"""),"SPARE PARTS ACQUISITION")</f>
        <v>SPARE PARTS ACQUISITION</v>
      </c>
      <c r="K684" s="72" t="str">
        <f>IFERROR(__xludf.DUMMYFUNCTION("""COMPUTED_VALUE"""),"JVV: HYDRAULIC FILTER (FOR LBC)")</f>
        <v>JVV: HYDRAULIC FILTER (FOR LBC)</v>
      </c>
      <c r="L684" s="72" t="str">
        <f>IFERROR(__xludf.DUMMYFUNCTION("""COMPUTED_VALUE"""),"JVV: DONE COURIER")</f>
        <v>JVV: DONE COURIER</v>
      </c>
      <c r="M684" s="2"/>
      <c r="N684" s="2" t="str">
        <f>IFERROR(__xludf.DUMMYFUNCTION("""COMPUTED_VALUE"""),"PARTS: HYDRAULIC FILTER")</f>
        <v>PARTS: HYDRAULIC FILTER</v>
      </c>
      <c r="O684" s="2" t="str">
        <f>IFERROR(__xludf.DUMMYFUNCTION("""COMPUTED_VALUE"""),"N/A")</f>
        <v>N/A</v>
      </c>
      <c r="P684" s="2"/>
      <c r="Q684" s="2"/>
      <c r="R684" s="74">
        <f>IFERROR(__xludf.DUMMYFUNCTION("""COMPUTED_VALUE"""),45620.0)</f>
        <v>45620</v>
      </c>
      <c r="S684" s="2" t="str">
        <f>IFERROR(__xludf.DUMMYFUNCTION("""COMPUTED_VALUE"""),"JVV")</f>
        <v>JVV</v>
      </c>
      <c r="T684" s="73">
        <f>IFERROR(__xludf.DUMMYFUNCTION("""COMPUTED_VALUE"""),2750.0)</f>
        <v>2750</v>
      </c>
      <c r="U684" s="73" t="str">
        <f>IFERROR(__xludf.DUMMYFUNCTION("""COMPUTED_VALUE""")," REMITTED ")</f>
        <v>REMITTED</v>
      </c>
      <c r="V684" s="2"/>
      <c r="W684" s="2">
        <f>IFERROR(__xludf.DUMMYFUNCTION("""COMPUTED_VALUE"""),1337.0)</f>
        <v>1337</v>
      </c>
      <c r="X684" s="2">
        <f>IFERROR(__xludf.DUMMYFUNCTION("""COMPUTED_VALUE"""),1267.0)</f>
        <v>1267</v>
      </c>
      <c r="Y684" s="2"/>
      <c r="Z684" s="2"/>
      <c r="AA684" s="2"/>
      <c r="AB684" s="2"/>
      <c r="AC684" s="2"/>
      <c r="AD684" s="2"/>
      <c r="AE684" s="2"/>
      <c r="AF684" s="2"/>
      <c r="AG684" s="2"/>
      <c r="AH684" s="2"/>
      <c r="AI684" s="2"/>
      <c r="AJ684" s="2" t="str">
        <f>IFERROR(__xludf.DUMMYFUNCTION("""COMPUTED_VALUE"""),"Adela")</f>
        <v>Adela</v>
      </c>
      <c r="AK684" s="2" t="str">
        <f>IFERROR(__xludf.DUMMYFUNCTION("""COMPUTED_VALUE"""),"Rizal")</f>
        <v>Rizal</v>
      </c>
      <c r="AL684" s="2" t="str">
        <f>IFERROR(__xludf.DUMMYFUNCTION("""COMPUTED_VALUE"""),"Occidental Mindoro")</f>
        <v>Occidental Mindoro</v>
      </c>
      <c r="AM684" s="2" t="str">
        <f>IFERROR(__xludf.DUMMYFUNCTION("""COMPUTED_VALUE"""),"4B")</f>
        <v>4B</v>
      </c>
      <c r="AN684" s="2" t="str">
        <f>IFERROR(__xludf.DUMMYFUNCTION("""COMPUTED_VALUE"""),"RCEF 23-08-20 Rebidding")</f>
        <v>RCEF 23-08-20 Rebidding</v>
      </c>
      <c r="AO684" s="2">
        <f>IFERROR(__xludf.DUMMYFUNCTION("""COMPUTED_VALUE"""),1.0)</f>
        <v>1</v>
      </c>
      <c r="AP684" s="2"/>
      <c r="AQ684" s="2"/>
      <c r="AR684" s="2"/>
      <c r="AS684" s="2"/>
      <c r="AT684" s="2"/>
      <c r="AU684" s="2"/>
      <c r="AV684" s="2"/>
      <c r="AW684" s="2"/>
      <c r="AX684" s="2"/>
      <c r="AY684" s="2"/>
      <c r="AZ684" s="2"/>
      <c r="BA684" s="2"/>
      <c r="BB684" s="2"/>
    </row>
    <row r="685">
      <c r="A685" s="2">
        <f>IFERROR(__xludf.DUMMYFUNCTION("""COMPUTED_VALUE"""),681.0)</f>
        <v>681</v>
      </c>
      <c r="B685" s="2" t="str">
        <f>IFERROR(__xludf.DUMMYFUNCTION("""COMPUTED_VALUE"""),"COMPLETED")</f>
        <v>COMPLETED</v>
      </c>
      <c r="C685" s="74">
        <f>IFERROR(__xludf.DUMMYFUNCTION("""COMPUTED_VALUE"""),45618.0)</f>
        <v>45618</v>
      </c>
      <c r="D685" s="71" t="str">
        <f>IFERROR(__xludf.DUMMYFUNCTION("""COMPUTED_VALUE"""),"San Roque Farmers Agriculture Cooperative")</f>
        <v>San Roque Farmers Agriculture Cooperative</v>
      </c>
      <c r="E685" s="71" t="str">
        <f>IFERROR(__xludf.DUMMYFUNCTION("""COMPUTED_VALUE"""),"Sepung Bulaun, Porac, PAMPANGA")</f>
        <v>Sepung Bulaun, Porac, PAMPANGA</v>
      </c>
      <c r="F685" s="2" t="str">
        <f>IFERROR(__xludf.DUMMYFUNCTION("""COMPUTED_VALUE"""),"Glen P. Ocampo")</f>
        <v>Glen P. Ocampo</v>
      </c>
      <c r="G685" s="2">
        <f>IFERROR(__xludf.DUMMYFUNCTION("""COMPUTED_VALUE"""),9.602453262E9)</f>
        <v>9602453262</v>
      </c>
      <c r="H685" s="2">
        <f>IFERROR(__xludf.DUMMYFUNCTION("""COMPUTED_VALUE"""),27.0)</f>
        <v>27</v>
      </c>
      <c r="I685" s="72" t="str">
        <f>IFERROR(__xludf.DUMMYFUNCTION("""COMPUTED_VALUE"""),"REPAIR - TRACTOR")</f>
        <v>REPAIR - TRACTOR</v>
      </c>
      <c r="J685" s="72" t="str">
        <f>IFERROR(__xludf.DUMMYFUNCTION("""COMPUTED_VALUE"""),"Transmission - Clutch")</f>
        <v>Transmission - Clutch</v>
      </c>
      <c r="K685" s="72" t="str">
        <f>IFERROR(__xludf.DUMMYFUNCTION("""COMPUTED_VALUE"""),"JVV: CLUTCH LINING  (CLUTCH DISC ASSY)")</f>
        <v>JVV: CLUTCH LINING  (CLUTCH DISC ASSY)</v>
      </c>
      <c r="L685" s="72" t="str">
        <f>IFERROR(__xludf.DUMMYFUNCTION("""COMPUTED_VALUE"""),"DSD:REPLACED CLUTCH LINING")</f>
        <v>DSD:REPLACED CLUTCH LINING</v>
      </c>
      <c r="M685" s="2"/>
      <c r="N685" s="2" t="str">
        <f>IFERROR(__xludf.DUMMYFUNCTION("""COMPUTED_VALUE"""),"PARTS: CLUTCH DISC ASSY")</f>
        <v>PARTS: CLUTCH DISC ASSY</v>
      </c>
      <c r="O685" s="2">
        <f>IFERROR(__xludf.DUMMYFUNCTION("""COMPUTED_VALUE"""),1063.0)</f>
        <v>1063</v>
      </c>
      <c r="P685" s="2"/>
      <c r="Q685" s="2" t="str">
        <f>IFERROR(__xludf.DUMMYFUNCTION("""COMPUTED_VALUE"""),"Y")</f>
        <v>Y</v>
      </c>
      <c r="R685" s="74">
        <f>IFERROR(__xludf.DUMMYFUNCTION("""COMPUTED_VALUE"""),45652.0)</f>
        <v>45652</v>
      </c>
      <c r="S685" s="2" t="str">
        <f>IFERROR(__xludf.DUMMYFUNCTION("""COMPUTED_VALUE"""),"DSD/DRM/EGT")</f>
        <v>DSD/DRM/EGT</v>
      </c>
      <c r="T685" s="73" t="str">
        <f>IFERROR(__xludf.DUMMYFUNCTION("""COMPUTED_VALUE""")," N/A ")</f>
        <v>N/A</v>
      </c>
      <c r="U685" s="73" t="str">
        <f>IFERROR(__xludf.DUMMYFUNCTION("""COMPUTED_VALUE""")," NO CHARGE ")</f>
        <v>NO CHARGE</v>
      </c>
      <c r="V685" s="2"/>
      <c r="W685" s="2" t="str">
        <f>IFERROR(__xludf.DUMMYFUNCTION("""COMPUTED_VALUE"""),"N/A")</f>
        <v>N/A</v>
      </c>
      <c r="X685" s="2" t="str">
        <f>IFERROR(__xludf.DUMMYFUNCTION("""COMPUTED_VALUE"""),"N/A")</f>
        <v>N/A</v>
      </c>
      <c r="Y685" s="2"/>
      <c r="Z685" s="2"/>
      <c r="AA685" s="2"/>
      <c r="AB685" s="2"/>
      <c r="AC685" s="2"/>
      <c r="AD685" s="2"/>
      <c r="AE685" s="2"/>
      <c r="AF685" s="2"/>
      <c r="AG685" s="2"/>
      <c r="AH685" s="2"/>
      <c r="AI685" s="2"/>
      <c r="AJ685" s="2" t="str">
        <f>IFERROR(__xludf.DUMMYFUNCTION("""COMPUTED_VALUE"""),"Sepung Bulaun")</f>
        <v>Sepung Bulaun</v>
      </c>
      <c r="AK685" s="2" t="str">
        <f>IFERROR(__xludf.DUMMYFUNCTION("""COMPUTED_VALUE"""),"Porac")</f>
        <v>Porac</v>
      </c>
      <c r="AL685" s="2" t="str">
        <f>IFERROR(__xludf.DUMMYFUNCTION("""COMPUTED_VALUE"""),"Pampanga")</f>
        <v>Pampanga</v>
      </c>
      <c r="AM685" s="2">
        <f>IFERROR(__xludf.DUMMYFUNCTION("""COMPUTED_VALUE"""),3.0)</f>
        <v>3</v>
      </c>
      <c r="AN685" s="2" t="str">
        <f>IFERROR(__xludf.DUMMYFUNCTION("""COMPUTED_VALUE"""),"RCEF 23-09-21 Rebidding")</f>
        <v>RCEF 23-09-21 Rebidding</v>
      </c>
      <c r="AO685" s="2">
        <f>IFERROR(__xludf.DUMMYFUNCTION("""COMPUTED_VALUE"""),3.0)</f>
        <v>3</v>
      </c>
      <c r="AP685" s="2"/>
      <c r="AQ685" s="2"/>
      <c r="AR685" s="2"/>
      <c r="AS685" s="2"/>
      <c r="AT685" s="2"/>
      <c r="AU685" s="2"/>
      <c r="AV685" s="2"/>
      <c r="AW685" s="2"/>
      <c r="AX685" s="2"/>
      <c r="AY685" s="2"/>
      <c r="AZ685" s="2"/>
      <c r="BA685" s="2"/>
      <c r="BB685" s="2"/>
    </row>
    <row r="686">
      <c r="A686" s="2">
        <f>IFERROR(__xludf.DUMMYFUNCTION("""COMPUTED_VALUE"""),682.0)</f>
        <v>682</v>
      </c>
      <c r="B686" s="2" t="str">
        <f>IFERROR(__xludf.DUMMYFUNCTION("""COMPUTED_VALUE"""),"COMPLETED")</f>
        <v>COMPLETED</v>
      </c>
      <c r="C686" s="74">
        <f>IFERROR(__xludf.DUMMYFUNCTION("""COMPUTED_VALUE"""),45618.0)</f>
        <v>45618</v>
      </c>
      <c r="D686" s="71" t="str">
        <f>IFERROR(__xludf.DUMMYFUNCTION("""COMPUTED_VALUE"""),"San Pedro United Farmers Association")</f>
        <v>San Pedro United Farmers Association</v>
      </c>
      <c r="E686" s="71" t="str">
        <f>IFERROR(__xludf.DUMMYFUNCTION("""COMPUTED_VALUE"""),"San Pedro, Pilar, CAPIZ")</f>
        <v>San Pedro, Pilar, CAPIZ</v>
      </c>
      <c r="F686" s="2" t="str">
        <f>IFERROR(__xludf.DUMMYFUNCTION("""COMPUTED_VALUE"""),"Nelia B. Bonzo")</f>
        <v>Nelia B. Bonzo</v>
      </c>
      <c r="G686" s="2" t="str">
        <f>IFERROR(__xludf.DUMMYFUNCTION("""COMPUTED_VALUE"""),"0936-714-6094")</f>
        <v>0936-714-6094</v>
      </c>
      <c r="H686" s="2"/>
      <c r="I686" s="72" t="str">
        <f>IFERROR(__xludf.DUMMYFUNCTION("""COMPUTED_VALUE"""),"SPARE PARTS ACQUISITION")</f>
        <v>SPARE PARTS ACQUISITION</v>
      </c>
      <c r="J686" s="72" t="str">
        <f>IFERROR(__xludf.DUMMYFUNCTION("""COMPUTED_VALUE"""),"SPARE PARTS ACQUISITION")</f>
        <v>SPARE PARTS ACQUISITION</v>
      </c>
      <c r="K686" s="72" t="str">
        <f>IFERROR(__xludf.DUMMYFUNCTION("""COMPUTED_VALUE"""),"JVV: HYDRAULIC FILTER , OIL FILTER (FOR LBC) 2ND PMS")</f>
        <v>JVV: HYDRAULIC FILTER , OIL FILTER (FOR LBC) 2ND PMS</v>
      </c>
      <c r="L686" s="72" t="str">
        <f>IFERROR(__xludf.DUMMYFUNCTION("""COMPUTED_VALUE"""),"DONE LBC")</f>
        <v>DONE LBC</v>
      </c>
      <c r="M686" s="2"/>
      <c r="N686" s="2" t="str">
        <f>IFERROR(__xludf.DUMMYFUNCTION("""COMPUTED_VALUE"""),"PARTS: HYDRAULIC FILTER, OIL FILTER")</f>
        <v>PARTS: HYDRAULIC FILTER, OIL FILTER</v>
      </c>
      <c r="O686" s="2" t="str">
        <f>IFERROR(__xludf.DUMMYFUNCTION("""COMPUTED_VALUE"""),"N/A")</f>
        <v>N/A</v>
      </c>
      <c r="P686" s="2"/>
      <c r="Q686" s="2"/>
      <c r="R686" s="74">
        <f>IFERROR(__xludf.DUMMYFUNCTION("""COMPUTED_VALUE"""),45624.0)</f>
        <v>45624</v>
      </c>
      <c r="S686" s="2" t="str">
        <f>IFERROR(__xludf.DUMMYFUNCTION("""COMPUTED_VALUE"""),"JVV")</f>
        <v>JVV</v>
      </c>
      <c r="T686" s="73">
        <f>IFERROR(__xludf.DUMMYFUNCTION("""COMPUTED_VALUE"""),4281.0)</f>
        <v>4281</v>
      </c>
      <c r="U686" s="73" t="str">
        <f>IFERROR(__xludf.DUMMYFUNCTION("""COMPUTED_VALUE""")," REMITTED ")</f>
        <v>REMITTED</v>
      </c>
      <c r="V686" s="2"/>
      <c r="W686" s="2">
        <f>IFERROR(__xludf.DUMMYFUNCTION("""COMPUTED_VALUE"""),1338.0)</f>
        <v>1338</v>
      </c>
      <c r="X686" s="2">
        <f>IFERROR(__xludf.DUMMYFUNCTION("""COMPUTED_VALUE"""),1268.0)</f>
        <v>1268</v>
      </c>
      <c r="Y686" s="2"/>
      <c r="Z686" s="2"/>
      <c r="AA686" s="2"/>
      <c r="AB686" s="2"/>
      <c r="AC686" s="2"/>
      <c r="AD686" s="2"/>
      <c r="AE686" s="2"/>
      <c r="AF686" s="2"/>
      <c r="AG686" s="2"/>
      <c r="AH686" s="2"/>
      <c r="AI686" s="2"/>
      <c r="AJ686" s="2" t="str">
        <f>IFERROR(__xludf.DUMMYFUNCTION("""COMPUTED_VALUE"""),"San Pedro")</f>
        <v>San Pedro</v>
      </c>
      <c r="AK686" s="2" t="str">
        <f>IFERROR(__xludf.DUMMYFUNCTION("""COMPUTED_VALUE"""),"Pilar")</f>
        <v>Pilar</v>
      </c>
      <c r="AL686" s="2" t="str">
        <f>IFERROR(__xludf.DUMMYFUNCTION("""COMPUTED_VALUE"""),"Capiz")</f>
        <v>Capiz</v>
      </c>
      <c r="AM686" s="2">
        <f>IFERROR(__xludf.DUMMYFUNCTION("""COMPUTED_VALUE"""),6.0)</f>
        <v>6</v>
      </c>
      <c r="AN686" s="2" t="str">
        <f>IFERROR(__xludf.DUMMYFUNCTION("""COMPUTED_VALUE"""),"RCEF 23-09-21 Rebidding")</f>
        <v>RCEF 23-09-21 Rebidding</v>
      </c>
      <c r="AO686" s="2">
        <f>IFERROR(__xludf.DUMMYFUNCTION("""COMPUTED_VALUE"""),4.0)</f>
        <v>4</v>
      </c>
      <c r="AP686" s="2"/>
      <c r="AQ686" s="2"/>
      <c r="AR686" s="2"/>
      <c r="AS686" s="2"/>
      <c r="AT686" s="2"/>
      <c r="AU686" s="2"/>
      <c r="AV686" s="2"/>
      <c r="AW686" s="2"/>
      <c r="AX686" s="2"/>
      <c r="AY686" s="2"/>
      <c r="AZ686" s="2"/>
      <c r="BA686" s="2"/>
      <c r="BB686" s="2"/>
    </row>
    <row r="687">
      <c r="A687" s="2">
        <f>IFERROR(__xludf.DUMMYFUNCTION("""COMPUTED_VALUE"""),683.0)</f>
        <v>683</v>
      </c>
      <c r="B687" s="2" t="str">
        <f>IFERROR(__xludf.DUMMYFUNCTION("""COMPUTED_VALUE"""),"COMPLETED")</f>
        <v>COMPLETED</v>
      </c>
      <c r="C687" s="74">
        <f>IFERROR(__xludf.DUMMYFUNCTION("""COMPUTED_VALUE"""),45620.0)</f>
        <v>45620</v>
      </c>
      <c r="D687" s="71" t="str">
        <f>IFERROR(__xludf.DUMMYFUNCTION("""COMPUTED_VALUE"""),"ORTIZ BUMA-A IRRIGATORS ASSOCIATION, INC.")</f>
        <v>ORTIZ BUMA-A IRRIGATORS ASSOCIATION, INC.</v>
      </c>
      <c r="E687" s="71" t="str">
        <f>IFERROR(__xludf.DUMMYFUNCTION("""COMPUTED_VALUE"""),"Samonte (Pob.), Quezon, ISABELA")</f>
        <v>Samonte (Pob.), Quezon, ISABELA</v>
      </c>
      <c r="F687" s="2" t="str">
        <f>IFERROR(__xludf.DUMMYFUNCTION("""COMPUTED_VALUE"""),"MR. ANDRES")</f>
        <v>MR. ANDRES</v>
      </c>
      <c r="G687" s="2">
        <f>IFERROR(__xludf.DUMMYFUNCTION("""COMPUTED_VALUE"""),9.756593894E9)</f>
        <v>9756593894</v>
      </c>
      <c r="H687" s="2">
        <f>IFERROR(__xludf.DUMMYFUNCTION("""COMPUTED_VALUE"""),600.0)</f>
        <v>600</v>
      </c>
      <c r="I687" s="72" t="str">
        <f>IFERROR(__xludf.DUMMYFUNCTION("""COMPUTED_VALUE"""),"REPAIR - TRACTOR")</f>
        <v>REPAIR - TRACTOR</v>
      </c>
      <c r="J687" s="72" t="str">
        <f>IFERROR(__xludf.DUMMYFUNCTION("""COMPUTED_VALUE"""),"Transmission - Clutch")</f>
        <v>Transmission - Clutch</v>
      </c>
      <c r="K687" s="72" t="str">
        <f>IFERROR(__xludf.DUMMYFUNCTION("""COMPUTED_VALUE"""),"ERP: Clutch problem, may kumakalansing daw
PARTS: CLUTCH DISC ASSY, RELEASED BEARING
MYKEE: 12/9/24:  NAKAUSAP KO NA NAG ARGEE SA PRICE 28,340, NEED NALANG NG PARTS
CFG:  REALEASE BEARING PROBLEM")</f>
        <v>ERP: Clutch problem, may kumakalansing daw
PARTS: CLUTCH DISC ASSY, RELEASED BEARING
MYKEE: 12/9/24:  NAKAUSAP KO NA NAG ARGEE SA PRICE 28,340, NEED NALANG NG PARTS
CFG:  REALEASE BEARING PROBLEM</v>
      </c>
      <c r="L687" s="72" t="str">
        <f>IFERROR(__xludf.DUMMYFUNCTION("""COMPUTED_VALUE"""),"JDP: STOCK UP RELEASE BEARING , REPLACED RELEASE BEARING")</f>
        <v>JDP: STOCK UP RELEASE BEARING , REPLACED RELEASE BEARING</v>
      </c>
      <c r="M687" s="2"/>
      <c r="N687" s="2" t="str">
        <f>IFERROR(__xludf.DUMMYFUNCTION("""COMPUTED_VALUE"""),"PARTS: RELEASE BEARING")</f>
        <v>PARTS: RELEASE BEARING</v>
      </c>
      <c r="O687" s="2">
        <f>IFERROR(__xludf.DUMMYFUNCTION("""COMPUTED_VALUE"""),1163.0)</f>
        <v>1163</v>
      </c>
      <c r="P687" s="2"/>
      <c r="Q687" s="2"/>
      <c r="R687" s="74">
        <f>IFERROR(__xludf.DUMMYFUNCTION("""COMPUTED_VALUE"""),45665.0)</f>
        <v>45665</v>
      </c>
      <c r="S687" s="2" t="str">
        <f>IFERROR(__xludf.DUMMYFUNCTION("""COMPUTED_VALUE"""),"JDP/CFG")</f>
        <v>JDP/CFG</v>
      </c>
      <c r="T687" s="73">
        <f>IFERROR(__xludf.DUMMYFUNCTION("""COMPUTED_VALUE"""),6400.0)</f>
        <v>6400</v>
      </c>
      <c r="U687" s="73" t="str">
        <f>IFERROR(__xludf.DUMMYFUNCTION("""COMPUTED_VALUE""")," REMITTED ")</f>
        <v>REMITTED</v>
      </c>
      <c r="V687" s="2"/>
      <c r="W687" s="2">
        <f>IFERROR(__xludf.DUMMYFUNCTION("""COMPUTED_VALUE"""),1296.0)</f>
        <v>1296</v>
      </c>
      <c r="X687" s="2">
        <f>IFERROR(__xludf.DUMMYFUNCTION("""COMPUTED_VALUE"""),1510.0)</f>
        <v>1510</v>
      </c>
      <c r="Y687" s="2"/>
      <c r="Z687" s="2"/>
      <c r="AA687" s="2"/>
      <c r="AB687" s="2"/>
      <c r="AC687" s="2"/>
      <c r="AD687" s="2"/>
      <c r="AE687" s="2"/>
      <c r="AF687" s="2"/>
      <c r="AG687" s="2"/>
      <c r="AH687" s="2"/>
      <c r="AI687" s="2"/>
      <c r="AJ687" s="2" t="str">
        <f>IFERROR(__xludf.DUMMYFUNCTION("""COMPUTED_VALUE"""),"Samonte (Pob.)")</f>
        <v>Samonte (Pob.)</v>
      </c>
      <c r="AK687" s="2" t="str">
        <f>IFERROR(__xludf.DUMMYFUNCTION("""COMPUTED_VALUE"""),"Quezon")</f>
        <v>Quezon</v>
      </c>
      <c r="AL687" s="2" t="str">
        <f>IFERROR(__xludf.DUMMYFUNCTION("""COMPUTED_VALUE"""),"Isabela")</f>
        <v>Isabela</v>
      </c>
      <c r="AM687" s="2">
        <f>IFERROR(__xludf.DUMMYFUNCTION("""COMPUTED_VALUE"""),2.0)</f>
        <v>2</v>
      </c>
      <c r="AN687" s="2" t="str">
        <f>IFERROR(__xludf.DUMMYFUNCTION("""COMPUTED_VALUE"""),"RCEF 23-09-21 Rebidding")</f>
        <v>RCEF 23-09-21 Rebidding</v>
      </c>
      <c r="AO687" s="2">
        <f>IFERROR(__xludf.DUMMYFUNCTION("""COMPUTED_VALUE"""),9.0)</f>
        <v>9</v>
      </c>
      <c r="AP687" s="2"/>
      <c r="AQ687" s="2"/>
      <c r="AR687" s="2"/>
      <c r="AS687" s="2"/>
      <c r="AT687" s="2"/>
      <c r="AU687" s="2"/>
      <c r="AV687" s="2"/>
      <c r="AW687" s="2"/>
      <c r="AX687" s="2"/>
      <c r="AY687" s="2"/>
      <c r="AZ687" s="2"/>
      <c r="BA687" s="2"/>
      <c r="BB687" s="2"/>
    </row>
    <row r="688">
      <c r="A688" s="2">
        <f>IFERROR(__xludf.DUMMYFUNCTION("""COMPUTED_VALUE"""),684.0)</f>
        <v>684</v>
      </c>
      <c r="B688" s="2" t="str">
        <f>IFERROR(__xludf.DUMMYFUNCTION("""COMPUTED_VALUE"""),"COMPLETED")</f>
        <v>COMPLETED</v>
      </c>
      <c r="C688" s="74">
        <f>IFERROR(__xludf.DUMMYFUNCTION("""COMPUTED_VALUE"""),45620.0)</f>
        <v>45620</v>
      </c>
      <c r="D688" s="71" t="str">
        <f>IFERROR(__xludf.DUMMYFUNCTION("""COMPUTED_VALUE"""),"Provincial Local Government Unit of Nueva Ecija")</f>
        <v>Provincial Local Government Unit of Nueva Ecija</v>
      </c>
      <c r="E688" s="71" t="str">
        <f>IFERROR(__xludf.DUMMYFUNCTION("""COMPUTED_VALUE"""),"Singalat, Palayan City, NUEVA ECIJA")</f>
        <v>Singalat, Palayan City, NUEVA ECIJA</v>
      </c>
      <c r="F688" s="2" t="str">
        <f>IFERROR(__xludf.DUMMYFUNCTION("""COMPUTED_VALUE"""),"MLGU PEÑERANDA NUEVA ECIJA")</f>
        <v>MLGU PEÑERANDA NUEVA ECIJA</v>
      </c>
      <c r="G688" s="2">
        <f>IFERROR(__xludf.DUMMYFUNCTION("""COMPUTED_VALUE"""),9.977834835E9)</f>
        <v>9977834835</v>
      </c>
      <c r="H688" s="2">
        <f>IFERROR(__xludf.DUMMYFUNCTION("""COMPUTED_VALUE"""),126.0)</f>
        <v>126</v>
      </c>
      <c r="I688" s="72" t="str">
        <f>IFERROR(__xludf.DUMMYFUNCTION("""COMPUTED_VALUE"""),"PMS")</f>
        <v>PMS</v>
      </c>
      <c r="J688" s="72" t="str">
        <f>IFERROR(__xludf.DUMMYFUNCTION("""COMPUTED_VALUE"""),"PMS")</f>
        <v>PMS</v>
      </c>
      <c r="K688" s="72" t="str">
        <f>IFERROR(__xludf.DUMMYFUNCTION("""COMPUTED_VALUE"""),"DSD: 1ST PMS")</f>
        <v>DSD: 1ST PMS</v>
      </c>
      <c r="L688" s="72" t="str">
        <f>IFERROR(__xludf.DUMMYFUNCTION("""COMPUTED_VALUE"""),"DSD: 1ST PMS DONE")</f>
        <v>DSD: 1ST PMS DONE</v>
      </c>
      <c r="M688" s="2"/>
      <c r="N688" s="2" t="str">
        <f>IFERROR(__xludf.DUMMYFUNCTION("""COMPUTED_VALUE"""),"PARTS: 4.5 L ENGINE OIL, OIL FILTER")</f>
        <v>PARTS: 4.5 L ENGINE OIL, OIL FILTER</v>
      </c>
      <c r="O688" s="2">
        <f>IFERROR(__xludf.DUMMYFUNCTION("""COMPUTED_VALUE"""),596.0)</f>
        <v>596</v>
      </c>
      <c r="P688" s="2"/>
      <c r="Q688" s="2"/>
      <c r="R688" s="74">
        <f>IFERROR(__xludf.DUMMYFUNCTION("""COMPUTED_VALUE"""),45610.0)</f>
        <v>45610</v>
      </c>
      <c r="S688" s="2" t="str">
        <f>IFERROR(__xludf.DUMMYFUNCTION("""COMPUTED_VALUE"""),"JHP/DSD")</f>
        <v>JHP/DSD</v>
      </c>
      <c r="T688" s="73">
        <f>IFERROR(__xludf.DUMMYFUNCTION("""COMPUTED_VALUE"""),3200.0)</f>
        <v>3200</v>
      </c>
      <c r="U688" s="73" t="str">
        <f>IFERROR(__xludf.DUMMYFUNCTION("""COMPUTED_VALUE""")," REMITTED ")</f>
        <v>REMITTED</v>
      </c>
      <c r="V688" s="2"/>
      <c r="W688" s="2">
        <f>IFERROR(__xludf.DUMMYFUNCTION("""COMPUTED_VALUE"""),1143.0)</f>
        <v>1143</v>
      </c>
      <c r="X688" s="2">
        <f>IFERROR(__xludf.DUMMYFUNCTION("""COMPUTED_VALUE"""),1279.0)</f>
        <v>1279</v>
      </c>
      <c r="Y688" s="2"/>
      <c r="Z688" s="2"/>
      <c r="AA688" s="2"/>
      <c r="AB688" s="2"/>
      <c r="AC688" s="2"/>
      <c r="AD688" s="2"/>
      <c r="AE688" s="2"/>
      <c r="AF688" s="2"/>
      <c r="AG688" s="2"/>
      <c r="AH688" s="2"/>
      <c r="AI688" s="2"/>
      <c r="AJ688" s="2" t="str">
        <f>IFERROR(__xludf.DUMMYFUNCTION("""COMPUTED_VALUE"""),"Singalat")</f>
        <v>Singalat</v>
      </c>
      <c r="AK688" s="2" t="str">
        <f>IFERROR(__xludf.DUMMYFUNCTION("""COMPUTED_VALUE"""),"Palayan City")</f>
        <v>Palayan City</v>
      </c>
      <c r="AL688" s="2" t="str">
        <f>IFERROR(__xludf.DUMMYFUNCTION("""COMPUTED_VALUE"""),"Nueva Ecija")</f>
        <v>Nueva Ecija</v>
      </c>
      <c r="AM688" s="2">
        <f>IFERROR(__xludf.DUMMYFUNCTION("""COMPUTED_VALUE"""),3.0)</f>
        <v>3</v>
      </c>
      <c r="AN688" s="2" t="str">
        <f>IFERROR(__xludf.DUMMYFUNCTION("""COMPUTED_VALUE"""),"RCEF 23-09-21 Rebidding")</f>
        <v>RCEF 23-09-21 Rebidding</v>
      </c>
      <c r="AO688" s="2">
        <f>IFERROR(__xludf.DUMMYFUNCTION("""COMPUTED_VALUE"""),3.0)</f>
        <v>3</v>
      </c>
      <c r="AP688" s="2"/>
      <c r="AQ688" s="2"/>
      <c r="AR688" s="2"/>
      <c r="AS688" s="2"/>
      <c r="AT688" s="2"/>
      <c r="AU688" s="2"/>
      <c r="AV688" s="2"/>
      <c r="AW688" s="2"/>
      <c r="AX688" s="2"/>
      <c r="AY688" s="2"/>
      <c r="AZ688" s="2"/>
      <c r="BA688" s="2"/>
      <c r="BB688" s="2"/>
    </row>
    <row r="689">
      <c r="A689" s="2">
        <f>IFERROR(__xludf.DUMMYFUNCTION("""COMPUTED_VALUE"""),685.0)</f>
        <v>685</v>
      </c>
      <c r="B689" s="2" t="str">
        <f>IFERROR(__xludf.DUMMYFUNCTION("""COMPUTED_VALUE"""),"COMPLETED")</f>
        <v>COMPLETED</v>
      </c>
      <c r="C689" s="74">
        <f>IFERROR(__xludf.DUMMYFUNCTION("""COMPUTED_VALUE"""),45620.0)</f>
        <v>45620</v>
      </c>
      <c r="D689" s="71" t="str">
        <f>IFERROR(__xludf.DUMMYFUNCTION("""COMPUTED_VALUE"""),"Aquino Cluster Farmers Association")</f>
        <v>Aquino Cluster Farmers Association</v>
      </c>
      <c r="E689" s="71" t="str">
        <f>IFERROR(__xludf.DUMMYFUNCTION("""COMPUTED_VALUE"""),"Aquino, Ibajay, AKLAN")</f>
        <v>Aquino, Ibajay, AKLAN</v>
      </c>
      <c r="F689" s="2" t="str">
        <f>IFERROR(__xludf.DUMMYFUNCTION("""COMPUTED_VALUE"""),"SERMUNDO CONANAN")</f>
        <v>SERMUNDO CONANAN</v>
      </c>
      <c r="G689" s="2">
        <f>IFERROR(__xludf.DUMMYFUNCTION("""COMPUTED_VALUE"""),9.108744791E9)</f>
        <v>9108744791</v>
      </c>
      <c r="H689" s="2">
        <f>IFERROR(__xludf.DUMMYFUNCTION("""COMPUTED_VALUE"""),256.0)</f>
        <v>256</v>
      </c>
      <c r="I689" s="72" t="str">
        <f>IFERROR(__xludf.DUMMYFUNCTION("""COMPUTED_VALUE"""),"PMS")</f>
        <v>PMS</v>
      </c>
      <c r="J689" s="72" t="str">
        <f>IFERROR(__xludf.DUMMYFUNCTION("""COMPUTED_VALUE"""),"PMS")</f>
        <v>PMS</v>
      </c>
      <c r="K689" s="72" t="str">
        <f>IFERROR(__xludf.DUMMYFUNCTION("""COMPUTED_VALUE"""),"DRM:  GENERAL PMS (SELF PMS)
NEED PARTS:  HYDRAULIC FILTER (FOR LBC)
")</f>
        <v>DRM:  GENERAL PMS (SELF PMS)
NEED PARTS:  HYDRAULIC FILTER (FOR LBC)
</v>
      </c>
      <c r="L689" s="72" t="str">
        <f>IFERROR(__xludf.DUMMYFUNCTION("""COMPUTED_VALUE"""),"SEND AGREEMENT:FB:SERMUNDO CUNANAN")</f>
        <v>SEND AGREEMENT:FB:SERMUNDO CUNANAN</v>
      </c>
      <c r="M689" s="2"/>
      <c r="N689" s="2" t="str">
        <f>IFERROR(__xludf.DUMMYFUNCTION("""COMPUTED_VALUE"""),"PARTS: HYDRAULIC FILTER")</f>
        <v>PARTS: HYDRAULIC FILTER</v>
      </c>
      <c r="O689" s="2" t="str">
        <f>IFERROR(__xludf.DUMMYFUNCTION("""COMPUTED_VALUE"""),"N/A")</f>
        <v>N/A</v>
      </c>
      <c r="P689" s="2"/>
      <c r="Q689" s="2"/>
      <c r="R689" s="74">
        <f>IFERROR(__xludf.DUMMYFUNCTION("""COMPUTED_VALUE"""),45649.0)</f>
        <v>45649</v>
      </c>
      <c r="S689" s="2" t="str">
        <f>IFERROR(__xludf.DUMMYFUNCTION("""COMPUTED_VALUE"""),"MYKEE")</f>
        <v>MYKEE</v>
      </c>
      <c r="T689" s="73">
        <f>IFERROR(__xludf.DUMMYFUNCTION("""COMPUTED_VALUE"""),2748.0)</f>
        <v>2748</v>
      </c>
      <c r="U689" s="73" t="str">
        <f>IFERROR(__xludf.DUMMYFUNCTION("""COMPUTED_VALUE""")," NO CHARGE ")</f>
        <v>NO CHARGE</v>
      </c>
      <c r="V689" s="2"/>
      <c r="W689" s="2" t="str">
        <f>IFERROR(__xludf.DUMMYFUNCTION("""COMPUTED_VALUE"""),"N/A")</f>
        <v>N/A</v>
      </c>
      <c r="X689" s="2" t="str">
        <f>IFERROR(__xludf.DUMMYFUNCTION("""COMPUTED_VALUE"""),"N/A")</f>
        <v>N/A</v>
      </c>
      <c r="Y689" s="2"/>
      <c r="Z689" s="2"/>
      <c r="AA689" s="2"/>
      <c r="AB689" s="2"/>
      <c r="AC689" s="2"/>
      <c r="AD689" s="2"/>
      <c r="AE689" s="2"/>
      <c r="AF689" s="2"/>
      <c r="AG689" s="2"/>
      <c r="AH689" s="2"/>
      <c r="AI689" s="2"/>
      <c r="AJ689" s="2" t="str">
        <f>IFERROR(__xludf.DUMMYFUNCTION("""COMPUTED_VALUE"""),"Aquino")</f>
        <v>Aquino</v>
      </c>
      <c r="AK689" s="2" t="str">
        <f>IFERROR(__xludf.DUMMYFUNCTION("""COMPUTED_VALUE"""),"Ibajay")</f>
        <v>Ibajay</v>
      </c>
      <c r="AL689" s="2" t="str">
        <f>IFERROR(__xludf.DUMMYFUNCTION("""COMPUTED_VALUE"""),"Aklan")</f>
        <v>Aklan</v>
      </c>
      <c r="AM689" s="2">
        <f>IFERROR(__xludf.DUMMYFUNCTION("""COMPUTED_VALUE"""),6.0)</f>
        <v>6</v>
      </c>
      <c r="AN689" s="2" t="str">
        <f>IFERROR(__xludf.DUMMYFUNCTION("""COMPUTED_VALUE"""),"RCEF 23-09-21 Rebidding")</f>
        <v>RCEF 23-09-21 Rebidding</v>
      </c>
      <c r="AO689" s="2">
        <f>IFERROR(__xludf.DUMMYFUNCTION("""COMPUTED_VALUE"""),4.0)</f>
        <v>4</v>
      </c>
      <c r="AP689" s="2"/>
      <c r="AQ689" s="2"/>
      <c r="AR689" s="2"/>
      <c r="AS689" s="2"/>
      <c r="AT689" s="2"/>
      <c r="AU689" s="2"/>
      <c r="AV689" s="2"/>
      <c r="AW689" s="2"/>
      <c r="AX689" s="2"/>
      <c r="AY689" s="2"/>
      <c r="AZ689" s="2"/>
      <c r="BA689" s="2"/>
      <c r="BB689" s="2"/>
    </row>
    <row r="690">
      <c r="A690" s="2">
        <f>IFERROR(__xludf.DUMMYFUNCTION("""COMPUTED_VALUE"""),686.0)</f>
        <v>686</v>
      </c>
      <c r="B690" s="2" t="str">
        <f>IFERROR(__xludf.DUMMYFUNCTION("""COMPUTED_VALUE"""),"COMPLETED")</f>
        <v>COMPLETED</v>
      </c>
      <c r="C690" s="74">
        <f>IFERROR(__xludf.DUMMYFUNCTION("""COMPUTED_VALUE"""),45620.0)</f>
        <v>45620</v>
      </c>
      <c r="D690" s="71" t="str">
        <f>IFERROR(__xludf.DUMMYFUNCTION("""COMPUTED_VALUE"""),"Try Me Agriculture Cooperative (TMAC)")</f>
        <v>Try Me Agriculture Cooperative (TMAC)</v>
      </c>
      <c r="E690" s="71" t="str">
        <f>IFERROR(__xludf.DUMMYFUNCTION("""COMPUTED_VALUE"""),"Poblacion West, Science City of Munoz, Nueva Ecija")</f>
        <v>Poblacion West, Science City of Munoz, Nueva Ecija</v>
      </c>
      <c r="F690" s="2" t="str">
        <f>IFERROR(__xludf.DUMMYFUNCTION("""COMPUTED_VALUE"""),"RENATO VERGARA")</f>
        <v>RENATO VERGARA</v>
      </c>
      <c r="G690" s="2">
        <f>IFERROR(__xludf.DUMMYFUNCTION("""COMPUTED_VALUE"""),9.167869015E9)</f>
        <v>9167869015</v>
      </c>
      <c r="H690" s="2"/>
      <c r="I690" s="72" t="str">
        <f>IFERROR(__xludf.DUMMYFUNCTION("""COMPUTED_VALUE"""),"REPAIR - TRACTOR")</f>
        <v>REPAIR - TRACTOR</v>
      </c>
      <c r="J690" s="72" t="str">
        <f>IFERROR(__xludf.DUMMYFUNCTION("""COMPUTED_VALUE"""),"CHECK UP/ REPAIR")</f>
        <v>CHECK UP/ REPAIR</v>
      </c>
      <c r="K690" s="72" t="str">
        <f>IFERROR(__xludf.DUMMYFUNCTION("""COMPUTED_VALUE"""),"JHP: gd pm joel pki pasyalan yong tractor nagluluko nanaman  yong Rotor nya mr corpuz ito (FOR TRAUBLESHOOT)")</f>
        <v>JHP: gd pm joel pki pasyalan yong tractor nagluluko nanaman  yong Rotor nya mr corpuz ito (FOR TRAUBLESHOOT)</v>
      </c>
      <c r="L690" s="72"/>
      <c r="M690" s="2"/>
      <c r="N690" s="2"/>
      <c r="O690" s="2" t="str">
        <f>IFERROR(__xludf.DUMMYFUNCTION("""COMPUTED_VALUE"""),"N/A")</f>
        <v>N/A</v>
      </c>
      <c r="P690" s="2"/>
      <c r="Q690" s="2"/>
      <c r="R690" s="74">
        <f>IFERROR(__xludf.DUMMYFUNCTION("""COMPUTED_VALUE"""),45625.0)</f>
        <v>45625</v>
      </c>
      <c r="S690" s="2"/>
      <c r="T690" s="2"/>
      <c r="U690" s="2"/>
      <c r="V690" s="2"/>
      <c r="W690" s="2"/>
      <c r="X690" s="2"/>
      <c r="Y690" s="2"/>
      <c r="Z690" s="2"/>
      <c r="AA690" s="2"/>
      <c r="AB690" s="2"/>
      <c r="AC690" s="2"/>
      <c r="AD690" s="2"/>
      <c r="AE690" s="2"/>
      <c r="AF690" s="2"/>
      <c r="AG690" s="2"/>
      <c r="AH690" s="2"/>
      <c r="AI690" s="2"/>
      <c r="AJ690" s="2" t="str">
        <f>IFERROR(__xludf.DUMMYFUNCTION("""COMPUTED_VALUE"""),"Poblacion West")</f>
        <v>Poblacion West</v>
      </c>
      <c r="AK690" s="2" t="str">
        <f>IFERROR(__xludf.DUMMYFUNCTION("""COMPUTED_VALUE"""),"Science City Of Munoz")</f>
        <v>Science City Of Munoz</v>
      </c>
      <c r="AL690" s="2" t="str">
        <f>IFERROR(__xludf.DUMMYFUNCTION("""COMPUTED_VALUE"""),"Nueva Ecija")</f>
        <v>Nueva Ecija</v>
      </c>
      <c r="AM690" s="2">
        <f>IFERROR(__xludf.DUMMYFUNCTION("""COMPUTED_VALUE"""),3.0)</f>
        <v>3</v>
      </c>
      <c r="AN690" s="2" t="str">
        <f>IFERROR(__xludf.DUMMYFUNCTION("""COMPUTED_VALUE"""),"RCEF 23-09-21 Rebidding")</f>
        <v>RCEF 23-09-21 Rebidding</v>
      </c>
      <c r="AO690" s="2">
        <f>IFERROR(__xludf.DUMMYFUNCTION("""COMPUTED_VALUE"""),3.0)</f>
        <v>3</v>
      </c>
      <c r="AP690" s="2"/>
      <c r="AQ690" s="2"/>
      <c r="AR690" s="2"/>
      <c r="AS690" s="2"/>
      <c r="AT690" s="2"/>
      <c r="AU690" s="2"/>
      <c r="AV690" s="2"/>
      <c r="AW690" s="2"/>
      <c r="AX690" s="2"/>
      <c r="AY690" s="2"/>
      <c r="AZ690" s="2"/>
      <c r="BA690" s="2"/>
      <c r="BB690" s="2"/>
    </row>
    <row r="691">
      <c r="A691" s="2">
        <f>IFERROR(__xludf.DUMMYFUNCTION("""COMPUTED_VALUE"""),687.0)</f>
        <v>687</v>
      </c>
      <c r="B691" s="2" t="str">
        <f>IFERROR(__xludf.DUMMYFUNCTION("""COMPUTED_VALUE"""),"COMPLETED")</f>
        <v>COMPLETED</v>
      </c>
      <c r="C691" s="74">
        <f>IFERROR(__xludf.DUMMYFUNCTION("""COMPUTED_VALUE"""),45622.0)</f>
        <v>45622</v>
      </c>
      <c r="D691" s="71" t="str">
        <f>IFERROR(__xludf.DUMMYFUNCTION("""COMPUTED_VALUE"""),"ZANJERA DAGOC-STO. TOMAS FARMERS ASSOCIATION, INC.")</f>
        <v>ZANJERA DAGOC-STO. TOMAS FARMERS ASSOCIATION, INC.</v>
      </c>
      <c r="E691" s="71" t="str">
        <f>IFERROR(__xludf.DUMMYFUNCTION("""COMPUTED_VALUE"""),"Santo Tomas, Claveria, CAGAYAN")</f>
        <v>Santo Tomas, Claveria, CAGAYAN</v>
      </c>
      <c r="F691" s="2" t="str">
        <f>IFERROR(__xludf.DUMMYFUNCTION("""COMPUTED_VALUE"""),"RODERICK AGUSTIN")</f>
        <v>RODERICK AGUSTIN</v>
      </c>
      <c r="G691" s="2" t="str">
        <f>IFERROR(__xludf.DUMMYFUNCTION("""COMPUTED_VALUE"""),"09232710227 / 09288080043")</f>
        <v>09232710227 / 09288080043</v>
      </c>
      <c r="H691" s="2"/>
      <c r="I691" s="72" t="str">
        <f>IFERROR(__xludf.DUMMYFUNCTION("""COMPUTED_VALUE"""),"PMS")</f>
        <v>PMS</v>
      </c>
      <c r="J691" s="72" t="str">
        <f>IFERROR(__xludf.DUMMYFUNCTION("""COMPUTED_VALUE"""),"PMS")</f>
        <v>PMS</v>
      </c>
      <c r="K691" s="72" t="str">
        <f>IFERROR(__xludf.DUMMYFUNCTION("""COMPUTED_VALUE"""),"MYKEE: SELF PMS")</f>
        <v>MYKEE: SELF PMS</v>
      </c>
      <c r="L691" s="72" t="str">
        <f>IFERROR(__xludf.DUMMYFUNCTION("""COMPUTED_VALUE"""),"SEND AGREEMENT: FB: RODERICK AGUSTIN:")</f>
        <v>SEND AGREEMENT: FB: RODERICK AGUSTIN:</v>
      </c>
      <c r="M691" s="2"/>
      <c r="N691" s="2"/>
      <c r="O691" s="2" t="str">
        <f>IFERROR(__xludf.DUMMYFUNCTION("""COMPUTED_VALUE"""),"N/A")</f>
        <v>N/A</v>
      </c>
      <c r="P691" s="2"/>
      <c r="Q691" s="2"/>
      <c r="R691" s="74">
        <f>IFERROR(__xludf.DUMMYFUNCTION("""COMPUTED_VALUE"""),45622.0)</f>
        <v>45622</v>
      </c>
      <c r="S691" s="2" t="str">
        <f>IFERROR(__xludf.DUMMYFUNCTION("""COMPUTED_VALUE"""),"MYKEE")</f>
        <v>MYKEE</v>
      </c>
      <c r="T691" s="73" t="str">
        <f>IFERROR(__xludf.DUMMYFUNCTION("""COMPUTED_VALUE""")," N/A ")</f>
        <v>N/A</v>
      </c>
      <c r="U691" s="73" t="str">
        <f>IFERROR(__xludf.DUMMYFUNCTION("""COMPUTED_VALUE""")," NO CHARGE ")</f>
        <v>NO CHARGE</v>
      </c>
      <c r="V691" s="2"/>
      <c r="W691" s="2" t="str">
        <f>IFERROR(__xludf.DUMMYFUNCTION("""COMPUTED_VALUE"""),"N/A")</f>
        <v>N/A</v>
      </c>
      <c r="X691" s="2" t="str">
        <f>IFERROR(__xludf.DUMMYFUNCTION("""COMPUTED_VALUE"""),"N/A")</f>
        <v>N/A</v>
      </c>
      <c r="Y691" s="2"/>
      <c r="Z691" s="2"/>
      <c r="AA691" s="2"/>
      <c r="AB691" s="2"/>
      <c r="AC691" s="2"/>
      <c r="AD691" s="2"/>
      <c r="AE691" s="2"/>
      <c r="AF691" s="2"/>
      <c r="AG691" s="2"/>
      <c r="AH691" s="2"/>
      <c r="AI691" s="2"/>
      <c r="AJ691" s="2" t="str">
        <f>IFERROR(__xludf.DUMMYFUNCTION("""COMPUTED_VALUE"""),"Santo Tomas")</f>
        <v>Santo Tomas</v>
      </c>
      <c r="AK691" s="2" t="str">
        <f>IFERROR(__xludf.DUMMYFUNCTION("""COMPUTED_VALUE"""),"Claveria")</f>
        <v>Claveria</v>
      </c>
      <c r="AL691" s="2" t="str">
        <f>IFERROR(__xludf.DUMMYFUNCTION("""COMPUTED_VALUE"""),"Cagayan")</f>
        <v>Cagayan</v>
      </c>
      <c r="AM691" s="2">
        <f>IFERROR(__xludf.DUMMYFUNCTION("""COMPUTED_VALUE"""),2.0)</f>
        <v>2</v>
      </c>
      <c r="AN691" s="2" t="str">
        <f>IFERROR(__xludf.DUMMYFUNCTION("""COMPUTED_VALUE"""),"RCEF 23-09-21 Rebidding")</f>
        <v>RCEF 23-09-21 Rebidding</v>
      </c>
      <c r="AO691" s="2">
        <f>IFERROR(__xludf.DUMMYFUNCTION("""COMPUTED_VALUE"""),9.0)</f>
        <v>9</v>
      </c>
      <c r="AP691" s="2"/>
      <c r="AQ691" s="2"/>
      <c r="AR691" s="2"/>
      <c r="AS691" s="2"/>
      <c r="AT691" s="2"/>
      <c r="AU691" s="2"/>
      <c r="AV691" s="2"/>
      <c r="AW691" s="2"/>
      <c r="AX691" s="2"/>
      <c r="AY691" s="2"/>
      <c r="AZ691" s="2"/>
      <c r="BA691" s="2"/>
      <c r="BB691" s="2"/>
    </row>
    <row r="692">
      <c r="A692" s="2">
        <f>IFERROR(__xludf.DUMMYFUNCTION("""COMPUTED_VALUE"""),688.0)</f>
        <v>688</v>
      </c>
      <c r="B692" s="2" t="str">
        <f>IFERROR(__xludf.DUMMYFUNCTION("""COMPUTED_VALUE"""),"COMPLETED")</f>
        <v>COMPLETED</v>
      </c>
      <c r="C692" s="74">
        <f>IFERROR(__xludf.DUMMYFUNCTION("""COMPUTED_VALUE"""),45623.0)</f>
        <v>45623</v>
      </c>
      <c r="D692" s="71" t="str">
        <f>IFERROR(__xludf.DUMMYFUNCTION("""COMPUTED_VALUE"""),"CALASAGUEN DIVISION 4 RICE PRODUCER'S FARMERS ASSOCIATION")</f>
        <v>CALASAGUEN DIVISION 4 RICE PRODUCER'S FARMERS ASSOCIATION</v>
      </c>
      <c r="E692" s="71" t="str">
        <f>IFERROR(__xludf.DUMMYFUNCTION("""COMPUTED_VALUE"""),"Calasaguen, Brooke's Point, Palawan")</f>
        <v>Calasaguen, Brooke's Point, Palawan</v>
      </c>
      <c r="F692" s="2" t="str">
        <f>IFERROR(__xludf.DUMMYFUNCTION("""COMPUTED_VALUE"""),"MICAHEL BUNAG")</f>
        <v>MICAHEL BUNAG</v>
      </c>
      <c r="G692" s="2">
        <f>IFERROR(__xludf.DUMMYFUNCTION("""COMPUTED_VALUE"""),9.633971345E9)</f>
        <v>9633971345</v>
      </c>
      <c r="H692" s="2">
        <f>IFERROR(__xludf.DUMMYFUNCTION("""COMPUTED_VALUE"""),262.0)</f>
        <v>262</v>
      </c>
      <c r="I692" s="72" t="str">
        <f>IFERROR(__xludf.DUMMYFUNCTION("""COMPUTED_VALUE"""),"REPAIR - TRACTOR")</f>
        <v>REPAIR - TRACTOR</v>
      </c>
      <c r="J692" s="72" t="str">
        <f>IFERROR(__xludf.DUMMYFUNCTION("""COMPUTED_VALUE"""),"GPS")</f>
        <v>GPS</v>
      </c>
      <c r="K692" s="72" t="str">
        <f>IFERROR(__xludf.DUMMYFUNCTION("""COMPUTED_VALUE"""),"RCG: DEFECTIVE GPS TRACKING DEVICE")</f>
        <v>RCG: DEFECTIVE GPS TRACKING DEVICE</v>
      </c>
      <c r="L692" s="72" t="str">
        <f>IFERROR(__xludf.DUMMYFUNCTION("""COMPUTED_VALUE"""),"RCG: TROUBLE SHOOT AND REPLACED GPS")</f>
        <v>RCG: TROUBLE SHOOT AND REPLACED GPS</v>
      </c>
      <c r="M692" s="2"/>
      <c r="N692" s="2"/>
      <c r="O692" s="2">
        <f>IFERROR(__xludf.DUMMYFUNCTION("""COMPUTED_VALUE"""),106.0)</f>
        <v>106</v>
      </c>
      <c r="P692" s="2"/>
      <c r="Q692" s="2"/>
      <c r="R692" s="74">
        <f>IFERROR(__xludf.DUMMYFUNCTION("""COMPUTED_VALUE"""),45623.0)</f>
        <v>45623</v>
      </c>
      <c r="S692" s="2" t="str">
        <f>IFERROR(__xludf.DUMMYFUNCTION("""COMPUTED_VALUE"""),"RCG/JDP")</f>
        <v>RCG/JDP</v>
      </c>
      <c r="T692" s="73" t="str">
        <f>IFERROR(__xludf.DUMMYFUNCTION("""COMPUTED_VALUE""")," N/A ")</f>
        <v>N/A</v>
      </c>
      <c r="U692" s="73" t="str">
        <f>IFERROR(__xludf.DUMMYFUNCTION("""COMPUTED_VALUE""")," NO CHARGE ")</f>
        <v>NO CHARGE</v>
      </c>
      <c r="V692" s="2"/>
      <c r="W692" s="2" t="str">
        <f>IFERROR(__xludf.DUMMYFUNCTION("""COMPUTED_VALUE"""),"N/A")</f>
        <v>N/A</v>
      </c>
      <c r="X692" s="2" t="str">
        <f>IFERROR(__xludf.DUMMYFUNCTION("""COMPUTED_VALUE"""),"N/A")</f>
        <v>N/A</v>
      </c>
      <c r="Y692" s="2"/>
      <c r="Z692" s="2"/>
      <c r="AA692" s="2"/>
      <c r="AB692" s="2"/>
      <c r="AC692" s="2"/>
      <c r="AD692" s="2"/>
      <c r="AE692" s="2"/>
      <c r="AF692" s="2"/>
      <c r="AG692" s="2"/>
      <c r="AH692" s="2"/>
      <c r="AI692" s="2"/>
      <c r="AJ692" s="2" t="str">
        <f>IFERROR(__xludf.DUMMYFUNCTION("""COMPUTED_VALUE"""),"Calasaguen")</f>
        <v>Calasaguen</v>
      </c>
      <c r="AK692" s="2" t="str">
        <f>IFERROR(__xludf.DUMMYFUNCTION("""COMPUTED_VALUE"""),"Brooke'S Point")</f>
        <v>Brooke'S Point</v>
      </c>
      <c r="AL692" s="2" t="str">
        <f>IFERROR(__xludf.DUMMYFUNCTION("""COMPUTED_VALUE"""),"Palawan")</f>
        <v>Palawan</v>
      </c>
      <c r="AM692" s="2" t="str">
        <f>IFERROR(__xludf.DUMMYFUNCTION("""COMPUTED_VALUE"""),"4B")</f>
        <v>4B</v>
      </c>
      <c r="AN692" s="2" t="str">
        <f>IFERROR(__xludf.DUMMYFUNCTION("""COMPUTED_VALUE"""),"RCEF 23-08-20 Rebidding")</f>
        <v>RCEF 23-08-20 Rebidding</v>
      </c>
      <c r="AO692" s="2">
        <f>IFERROR(__xludf.DUMMYFUNCTION("""COMPUTED_VALUE"""),1.0)</f>
        <v>1</v>
      </c>
      <c r="AP692" s="2"/>
      <c r="AQ692" s="2"/>
      <c r="AR692" s="2"/>
      <c r="AS692" s="2"/>
      <c r="AT692" s="2"/>
      <c r="AU692" s="2"/>
      <c r="AV692" s="2"/>
      <c r="AW692" s="2"/>
      <c r="AX692" s="2"/>
      <c r="AY692" s="2"/>
      <c r="AZ692" s="2"/>
      <c r="BA692" s="2"/>
      <c r="BB692" s="2"/>
    </row>
    <row r="693">
      <c r="A693" s="2">
        <f>IFERROR(__xludf.DUMMYFUNCTION("""COMPUTED_VALUE"""),689.0)</f>
        <v>689</v>
      </c>
      <c r="B693" s="2" t="str">
        <f>IFERROR(__xludf.DUMMYFUNCTION("""COMPUTED_VALUE"""),"COMPLETED")</f>
        <v>COMPLETED</v>
      </c>
      <c r="C693" s="74">
        <f>IFERROR(__xludf.DUMMYFUNCTION("""COMPUTED_VALUE"""),45623.0)</f>
        <v>45623</v>
      </c>
      <c r="D693" s="71" t="str">
        <f>IFERROR(__xludf.DUMMYFUNCTION("""COMPUTED_VALUE"""),"CPCL ALISTO IRRIGATORS ASSOCIATION INC.")</f>
        <v>CPCL ALISTO IRRIGATORS ASSOCIATION INC.</v>
      </c>
      <c r="E693" s="71" t="str">
        <f>IFERROR(__xludf.DUMMYFUNCTION("""COMPUTED_VALUE"""),"Pataquid, Santa Maria, PANGASINAN")</f>
        <v>Pataquid, Santa Maria, PANGASINAN</v>
      </c>
      <c r="F693" s="2" t="str">
        <f>IFERROR(__xludf.DUMMYFUNCTION("""COMPUTED_VALUE"""),"Jonathan Murka")</f>
        <v>Jonathan Murka</v>
      </c>
      <c r="G693" s="2" t="str">
        <f>IFERROR(__xludf.DUMMYFUNCTION("""COMPUTED_VALUE"""),"0929 785 4909")</f>
        <v>0929 785 4909</v>
      </c>
      <c r="H693" s="2">
        <f>IFERROR(__xludf.DUMMYFUNCTION("""COMPUTED_VALUE"""),700.0)</f>
        <v>700</v>
      </c>
      <c r="I693" s="72" t="str">
        <f>IFERROR(__xludf.DUMMYFUNCTION("""COMPUTED_VALUE"""),"REPAIR - TRACTOR")</f>
        <v>REPAIR - TRACTOR</v>
      </c>
      <c r="J693" s="72" t="str">
        <f>IFERROR(__xludf.DUMMYFUNCTION("""COMPUTED_VALUE"""),"Transmission - Clutch")</f>
        <v>Transmission - Clutch</v>
      </c>
      <c r="K693" s="72" t="str">
        <f>IFERROR(__xludf.DUMMYFUNCTION("""COMPUTED_VALUE"""),"JHP: CLUTCH COMPONENT PROBLEM
PARTS: CLUTCH DISC ASSY, CLUTCH COVER ASSY, RELEASE BEARING")</f>
        <v>JHP: CLUTCH COMPONENT PROBLEM
PARTS: CLUTCH DISC ASSY, CLUTCH COVER ASSY, RELEASE BEARING</v>
      </c>
      <c r="L693" s="72" t="str">
        <f>IFERROR(__xludf.DUMMYFUNCTION("""COMPUTED_VALUE"""),"ACS: REPLACE CLUCTH DISC ASSY AND RELEASE BEARING ")</f>
        <v>ACS: REPLACE CLUCTH DISC ASSY AND RELEASE BEARING </v>
      </c>
      <c r="M693" s="2"/>
      <c r="N693" s="2" t="str">
        <f>IFERROR(__xludf.DUMMYFUNCTION("""COMPUTED_VALUE"""),"PARTS: CLUTCH DISC ASSY, RELEASE BEARING")</f>
        <v>PARTS: CLUTCH DISC ASSY, RELEASE BEARING</v>
      </c>
      <c r="O693" s="2">
        <f>IFERROR(__xludf.DUMMYFUNCTION("""COMPUTED_VALUE"""),1211.0)</f>
        <v>1211</v>
      </c>
      <c r="P693" s="2"/>
      <c r="Q693" s="2"/>
      <c r="R693" s="74">
        <f>IFERROR(__xludf.DUMMYFUNCTION("""COMPUTED_VALUE"""),45652.0)</f>
        <v>45652</v>
      </c>
      <c r="S693" s="2" t="str">
        <f>IFERROR(__xludf.DUMMYFUNCTION("""COMPUTED_VALUE"""),"ACS/JHP")</f>
        <v>ACS/JHP</v>
      </c>
      <c r="T693" s="73">
        <f>IFERROR(__xludf.DUMMYFUNCTION("""COMPUTED_VALUE"""),24400.0)</f>
        <v>24400</v>
      </c>
      <c r="U693" s="73" t="str">
        <f>IFERROR(__xludf.DUMMYFUNCTION("""COMPUTED_VALUE""")," REMITTED ")</f>
        <v>REMITTED</v>
      </c>
      <c r="V693" s="2"/>
      <c r="W693" s="2"/>
      <c r="X693" s="2"/>
      <c r="Y693" s="2"/>
      <c r="Z693" s="2"/>
      <c r="AA693" s="2"/>
      <c r="AB693" s="2"/>
      <c r="AC693" s="2"/>
      <c r="AD693" s="2"/>
      <c r="AE693" s="2"/>
      <c r="AF693" s="2"/>
      <c r="AG693" s="2"/>
      <c r="AH693" s="2"/>
      <c r="AI693" s="2"/>
      <c r="AJ693" s="2" t="str">
        <f>IFERROR(__xludf.DUMMYFUNCTION("""COMPUTED_VALUE"""),"Pataquid")</f>
        <v>Pataquid</v>
      </c>
      <c r="AK693" s="2" t="str">
        <f>IFERROR(__xludf.DUMMYFUNCTION("""COMPUTED_VALUE"""),"Santa Maria")</f>
        <v>Santa Maria</v>
      </c>
      <c r="AL693" s="2" t="str">
        <f>IFERROR(__xludf.DUMMYFUNCTION("""COMPUTED_VALUE"""),"Pangasinan")</f>
        <v>Pangasinan</v>
      </c>
      <c r="AM693" s="2">
        <f>IFERROR(__xludf.DUMMYFUNCTION("""COMPUTED_VALUE"""),1.0)</f>
        <v>1</v>
      </c>
      <c r="AN693" s="2" t="str">
        <f>IFERROR(__xludf.DUMMYFUNCTION("""COMPUTED_VALUE"""),"RCEF 23-09-21 Rebidding")</f>
        <v>RCEF 23-09-21 Rebidding</v>
      </c>
      <c r="AO693" s="2">
        <f>IFERROR(__xludf.DUMMYFUNCTION("""COMPUTED_VALUE"""),2.0)</f>
        <v>2</v>
      </c>
      <c r="AP693" s="2"/>
      <c r="AQ693" s="2"/>
      <c r="AR693" s="2"/>
      <c r="AS693" s="2"/>
      <c r="AT693" s="2"/>
      <c r="AU693" s="2"/>
      <c r="AV693" s="2"/>
      <c r="AW693" s="2"/>
      <c r="AX693" s="2"/>
      <c r="AY693" s="2"/>
      <c r="AZ693" s="2"/>
      <c r="BA693" s="2"/>
      <c r="BB693" s="2"/>
    </row>
    <row r="694">
      <c r="A694" s="2">
        <f>IFERROR(__xludf.DUMMYFUNCTION("""COMPUTED_VALUE"""),690.0)</f>
        <v>690</v>
      </c>
      <c r="B694" s="2" t="str">
        <f>IFERROR(__xludf.DUMMYFUNCTION("""COMPUTED_VALUE"""),"COMPLETED")</f>
        <v>COMPLETED</v>
      </c>
      <c r="C694" s="74">
        <f>IFERROR(__xludf.DUMMYFUNCTION("""COMPUTED_VALUE"""),45624.0)</f>
        <v>45624</v>
      </c>
      <c r="D694" s="71" t="str">
        <f>IFERROR(__xludf.DUMMYFUNCTION("""COMPUTED_VALUE"""),"SAINT JOSEPH THE WORKER FARMERS ASSOCIATION INC.")</f>
        <v>SAINT JOSEPH THE WORKER FARMERS ASSOCIATION INC.</v>
      </c>
      <c r="E694" s="71" t="str">
        <f>IFERROR(__xludf.DUMMYFUNCTION("""COMPUTED_VALUE"""),"San Jose North, Anao, TARLAC")</f>
        <v>San Jose North, Anao, TARLAC</v>
      </c>
      <c r="F694" s="2" t="str">
        <f>IFERROR(__xludf.DUMMYFUNCTION("""COMPUTED_VALUE"""),"nemesio o. traspe jr")</f>
        <v>nemesio o. traspe jr</v>
      </c>
      <c r="G694" s="2">
        <f>IFERROR(__xludf.DUMMYFUNCTION("""COMPUTED_VALUE"""),9.603372743E9)</f>
        <v>9603372743</v>
      </c>
      <c r="H694" s="2">
        <f>IFERROR(__xludf.DUMMYFUNCTION("""COMPUTED_VALUE"""),350.0)</f>
        <v>350</v>
      </c>
      <c r="I694" s="72" t="str">
        <f>IFERROR(__xludf.DUMMYFUNCTION("""COMPUTED_VALUE"""),"SPARE PARTS ACQUISITION")</f>
        <v>SPARE PARTS ACQUISITION</v>
      </c>
      <c r="J694" s="72" t="str">
        <f>IFERROR(__xludf.DUMMYFUNCTION("""COMPUTED_VALUE"""),"SPARE PARTS")</f>
        <v>SPARE PARTS</v>
      </c>
      <c r="K694" s="72" t="str">
        <f>IFERROR(__xludf.DUMMYFUNCTION("""COMPUTED_VALUE"""),"KFS: HYDRAULIC FILTER, FUEL CAP. OORDER LANG NG PYESA")</f>
        <v>KFS: HYDRAULIC FILTER, FUEL CAP. OORDER LANG NG PYESA</v>
      </c>
      <c r="L694" s="72" t="str">
        <f>IFERROR(__xludf.DUMMYFUNCTION("""COMPUTED_VALUE"""),"EGT:  General Pms Done")</f>
        <v>EGT:  General Pms Done</v>
      </c>
      <c r="M694" s="2"/>
      <c r="N694" s="2" t="str">
        <f>IFERROR(__xludf.DUMMYFUNCTION("""COMPUTED_VALUE"""),"PARTS: FUEL CAP, HYDRAULIC FILTER")</f>
        <v>PARTS: FUEL CAP, HYDRAULIC FILTER</v>
      </c>
      <c r="O694" s="2">
        <f>IFERROR(__xludf.DUMMYFUNCTION("""COMPUTED_VALUE"""),1327.0)</f>
        <v>1327</v>
      </c>
      <c r="P694" s="2"/>
      <c r="Q694" s="2"/>
      <c r="R694" s="74">
        <f>IFERROR(__xludf.DUMMYFUNCTION("""COMPUTED_VALUE"""),45630.0)</f>
        <v>45630</v>
      </c>
      <c r="S694" s="2" t="str">
        <f>IFERROR(__xludf.DUMMYFUNCTION("""COMPUTED_VALUE"""),"EGT/DRM")</f>
        <v>EGT/DRM</v>
      </c>
      <c r="T694" s="73">
        <f>IFERROR(__xludf.DUMMYFUNCTION("""COMPUTED_VALUE"""),4848.0)</f>
        <v>4848</v>
      </c>
      <c r="U694" s="73" t="str">
        <f>IFERROR(__xludf.DUMMYFUNCTION("""COMPUTED_VALUE""")," REMITTED ")</f>
        <v>REMITTED</v>
      </c>
      <c r="V694" s="2"/>
      <c r="W694" s="2">
        <f>IFERROR(__xludf.DUMMYFUNCTION("""COMPUTED_VALUE"""),1341.0)</f>
        <v>1341</v>
      </c>
      <c r="X694" s="2">
        <f>IFERROR(__xludf.DUMMYFUNCTION("""COMPUTED_VALUE"""),1271.0)</f>
        <v>1271</v>
      </c>
      <c r="Y694" s="2"/>
      <c r="Z694" s="2"/>
      <c r="AA694" s="2"/>
      <c r="AB694" s="2"/>
      <c r="AC694" s="2"/>
      <c r="AD694" s="2"/>
      <c r="AE694" s="2"/>
      <c r="AF694" s="2"/>
      <c r="AG694" s="2"/>
      <c r="AH694" s="2"/>
      <c r="AI694" s="2"/>
      <c r="AJ694" s="2" t="str">
        <f>IFERROR(__xludf.DUMMYFUNCTION("""COMPUTED_VALUE"""),"San Jose North")</f>
        <v>San Jose North</v>
      </c>
      <c r="AK694" s="2" t="str">
        <f>IFERROR(__xludf.DUMMYFUNCTION("""COMPUTED_VALUE"""),"Anao")</f>
        <v>Anao</v>
      </c>
      <c r="AL694" s="2" t="str">
        <f>IFERROR(__xludf.DUMMYFUNCTION("""COMPUTED_VALUE"""),"Tarlac")</f>
        <v>Tarlac</v>
      </c>
      <c r="AM694" s="2">
        <f>IFERROR(__xludf.DUMMYFUNCTION("""COMPUTED_VALUE"""),3.0)</f>
        <v>3</v>
      </c>
      <c r="AN694" s="2" t="str">
        <f>IFERROR(__xludf.DUMMYFUNCTION("""COMPUTED_VALUE"""),"RCEF 23-09-21 Rebidding")</f>
        <v>RCEF 23-09-21 Rebidding</v>
      </c>
      <c r="AO694" s="2">
        <f>IFERROR(__xludf.DUMMYFUNCTION("""COMPUTED_VALUE"""),3.0)</f>
        <v>3</v>
      </c>
      <c r="AP694" s="2"/>
      <c r="AQ694" s="2"/>
      <c r="AR694" s="2"/>
      <c r="AS694" s="2"/>
      <c r="AT694" s="2"/>
      <c r="AU694" s="2"/>
      <c r="AV694" s="2"/>
      <c r="AW694" s="2"/>
      <c r="AX694" s="2"/>
      <c r="AY694" s="2"/>
      <c r="AZ694" s="2"/>
      <c r="BA694" s="2"/>
      <c r="BB694" s="2"/>
    </row>
    <row r="695">
      <c r="A695" s="2">
        <f>IFERROR(__xludf.DUMMYFUNCTION("""COMPUTED_VALUE"""),691.0)</f>
        <v>691</v>
      </c>
      <c r="B695" s="2" t="str">
        <f>IFERROR(__xludf.DUMMYFUNCTION("""COMPUTED_VALUE"""),"COMPLETED")</f>
        <v>COMPLETED</v>
      </c>
      <c r="C695" s="74">
        <f>IFERROR(__xludf.DUMMYFUNCTION("""COMPUTED_VALUE"""),45624.0)</f>
        <v>45624</v>
      </c>
      <c r="D695" s="71" t="str">
        <f>IFERROR(__xludf.DUMMYFUNCTION("""COMPUTED_VALUE"""),"TUMBAGA I BUCAL IRRIGATORS ASSOCIATION, INC.")</f>
        <v>TUMBAGA I BUCAL IRRIGATORS ASSOCIATION, INC.</v>
      </c>
      <c r="E695" s="71" t="str">
        <f>IFERROR(__xludf.DUMMYFUNCTION("""COMPUTED_VALUE"""),"Tumbaga I, Sariaya, Quezon")</f>
        <v>Tumbaga I, Sariaya, Quezon</v>
      </c>
      <c r="F695" s="2" t="str">
        <f>IFERROR(__xludf.DUMMYFUNCTION("""COMPUTED_VALUE"""),"Rogelio D. Mendoza")</f>
        <v>Rogelio D. Mendoza</v>
      </c>
      <c r="G695" s="2" t="str">
        <f>IFERROR(__xludf.DUMMYFUNCTION("""COMPUTED_VALUE"""),"0917 597 5537")</f>
        <v>0917 597 5537</v>
      </c>
      <c r="H695" s="2"/>
      <c r="I695" s="72" t="str">
        <f>IFERROR(__xludf.DUMMYFUNCTION("""COMPUTED_VALUE"""),"REPAIR - TRACTOR")</f>
        <v>REPAIR - TRACTOR</v>
      </c>
      <c r="J695" s="72" t="str">
        <f>IFERROR(__xludf.DUMMYFUNCTION("""COMPUTED_VALUE"""),"CHECK UP UNIT")</f>
        <v>CHECK UP UNIT</v>
      </c>
      <c r="K695" s="72" t="str">
        <f>IFERROR(__xludf.DUMMYFUNCTION("""COMPUTED_VALUE"""),"MELFORD: LEAK IN TRANSMISSION AND effective parts of rotavator need full weld or reinforced deffective parts")</f>
        <v>MELFORD: LEAK IN TRANSMISSION AND effective parts of rotavator need full weld or reinforced deffective parts</v>
      </c>
      <c r="L695" s="72" t="str">
        <f>IFERROR(__xludf.DUMMYFUNCTION("""COMPUTED_VALUE"""),"JTT: NA CHECK NA NI MELFORD AT JHP WALA NAMANG PROBLEMA")</f>
        <v>JTT: NA CHECK NA NI MELFORD AT JHP WALA NAMANG PROBLEMA</v>
      </c>
      <c r="M695" s="2"/>
      <c r="N695" s="2"/>
      <c r="O695" s="2" t="str">
        <f>IFERROR(__xludf.DUMMYFUNCTION("""COMPUTED_VALUE"""),"N/A")</f>
        <v>N/A</v>
      </c>
      <c r="P695" s="2"/>
      <c r="Q695" s="2"/>
      <c r="R695" s="74">
        <f>IFERROR(__xludf.DUMMYFUNCTION("""COMPUTED_VALUE"""),45637.0)</f>
        <v>45637</v>
      </c>
      <c r="S695" s="2" t="str">
        <f>IFERROR(__xludf.DUMMYFUNCTION("""COMPUTED_VALUE"""),"JTT")</f>
        <v>JTT</v>
      </c>
      <c r="T695" s="73" t="str">
        <f>IFERROR(__xludf.DUMMYFUNCTION("""COMPUTED_VALUE""")," N/A ")</f>
        <v>N/A</v>
      </c>
      <c r="U695" s="73" t="str">
        <f>IFERROR(__xludf.DUMMYFUNCTION("""COMPUTED_VALUE""")," NO CHARGE ")</f>
        <v>NO CHARGE</v>
      </c>
      <c r="V695" s="2"/>
      <c r="W695" s="2" t="str">
        <f>IFERROR(__xludf.DUMMYFUNCTION("""COMPUTED_VALUE"""),"N/A")</f>
        <v>N/A</v>
      </c>
      <c r="X695" s="2" t="str">
        <f>IFERROR(__xludf.DUMMYFUNCTION("""COMPUTED_VALUE"""),"N/A")</f>
        <v>N/A</v>
      </c>
      <c r="Y695" s="2"/>
      <c r="Z695" s="2"/>
      <c r="AA695" s="2"/>
      <c r="AB695" s="2"/>
      <c r="AC695" s="2"/>
      <c r="AD695" s="2"/>
      <c r="AE695" s="2"/>
      <c r="AF695" s="2"/>
      <c r="AG695" s="2"/>
      <c r="AH695" s="2"/>
      <c r="AI695" s="2"/>
      <c r="AJ695" s="2" t="str">
        <f>IFERROR(__xludf.DUMMYFUNCTION("""COMPUTED_VALUE"""),"Tumbaga I")</f>
        <v>Tumbaga I</v>
      </c>
      <c r="AK695" s="2" t="str">
        <f>IFERROR(__xludf.DUMMYFUNCTION("""COMPUTED_VALUE"""),"Sariaya")</f>
        <v>Sariaya</v>
      </c>
      <c r="AL695" s="2" t="str">
        <f>IFERROR(__xludf.DUMMYFUNCTION("""COMPUTED_VALUE"""),"Quezon")</f>
        <v>Quezon</v>
      </c>
      <c r="AM695" s="2" t="str">
        <f>IFERROR(__xludf.DUMMYFUNCTION("""COMPUTED_VALUE"""),"4A")</f>
        <v>4A</v>
      </c>
      <c r="AN695" s="2" t="str">
        <f>IFERROR(__xludf.DUMMYFUNCTION("""COMPUTED_VALUE"""),"RCEF 23-08-20 Rebidding")</f>
        <v>RCEF 23-08-20 Rebidding</v>
      </c>
      <c r="AO695" s="2">
        <f>IFERROR(__xludf.DUMMYFUNCTION("""COMPUTED_VALUE"""),1.0)</f>
        <v>1</v>
      </c>
      <c r="AP695" s="2"/>
      <c r="AQ695" s="2"/>
      <c r="AR695" s="2"/>
      <c r="AS695" s="2"/>
      <c r="AT695" s="2"/>
      <c r="AU695" s="2"/>
      <c r="AV695" s="2"/>
      <c r="AW695" s="2"/>
      <c r="AX695" s="2"/>
      <c r="AY695" s="2"/>
      <c r="AZ695" s="2"/>
      <c r="BA695" s="2"/>
      <c r="BB695" s="2"/>
    </row>
    <row r="696">
      <c r="A696" s="2">
        <f>IFERROR(__xludf.DUMMYFUNCTION("""COMPUTED_VALUE"""),692.0)</f>
        <v>692</v>
      </c>
      <c r="B696" s="2" t="str">
        <f>IFERROR(__xludf.DUMMYFUNCTION("""COMPUTED_VALUE"""),"COMPLETED")</f>
        <v>COMPLETED</v>
      </c>
      <c r="C696" s="74">
        <f>IFERROR(__xludf.DUMMYFUNCTION("""COMPUTED_VALUE"""),45625.0)</f>
        <v>45625</v>
      </c>
      <c r="D696" s="71" t="str">
        <f>IFERROR(__xludf.DUMMYFUNCTION("""COMPUTED_VALUE"""),"Brgy. Caraisan Farmers Association Incorporated")</f>
        <v>Brgy. Caraisan Farmers Association Incorporated</v>
      </c>
      <c r="E696" s="71" t="str">
        <f>IFERROR(__xludf.DUMMYFUNCTION("""COMPUTED_VALUE"""),"CARAISAN, MAGSINGAL, ILOCOS SUR")</f>
        <v>CARAISAN, MAGSINGAL, ILOCOS SUR</v>
      </c>
      <c r="F696" s="2" t="str">
        <f>IFERROR(__xludf.DUMMYFUNCTION("""COMPUTED_VALUE"""),"Kevin Bong Sabarillo")</f>
        <v>Kevin Bong Sabarillo</v>
      </c>
      <c r="G696" s="2" t="str">
        <f>IFERROR(__xludf.DUMMYFUNCTION("""COMPUTED_VALUE"""),"0966 192 6533")</f>
        <v>0966 192 6533</v>
      </c>
      <c r="H696" s="2">
        <f>IFERROR(__xludf.DUMMYFUNCTION("""COMPUTED_VALUE"""),350.0)</f>
        <v>350</v>
      </c>
      <c r="I696" s="72" t="str">
        <f>IFERROR(__xludf.DUMMYFUNCTION("""COMPUTED_VALUE"""),"PMS")</f>
        <v>PMS</v>
      </c>
      <c r="J696" s="72" t="str">
        <f>IFERROR(__xludf.DUMMYFUNCTION("""COMPUTED_VALUE"""),"PMS")</f>
        <v>PMS</v>
      </c>
      <c r="K696" s="72" t="str">
        <f>IFERROR(__xludf.DUMMYFUNCTION("""COMPUTED_VALUE"""),"JHP: 2ND PMS")</f>
        <v>JHP: 2ND PMS</v>
      </c>
      <c r="L696" s="72" t="str">
        <f>IFERROR(__xludf.DUMMYFUNCTION("""COMPUTED_VALUE"""),"ACS: 2ND PMS DONE")</f>
        <v>ACS: 2ND PMS DONE</v>
      </c>
      <c r="M696" s="2"/>
      <c r="N696" s="2" t="str">
        <f>IFERROR(__xludf.DUMMYFUNCTION("""COMPUTED_VALUE"""),"PARTS: OIL FILTER, HYDRAULIC FILTER")</f>
        <v>PARTS: OIL FILTER, HYDRAULIC FILTER</v>
      </c>
      <c r="O696" s="2">
        <f>IFERROR(__xludf.DUMMYFUNCTION("""COMPUTED_VALUE"""),1209.0)</f>
        <v>1209</v>
      </c>
      <c r="P696" s="2"/>
      <c r="Q696" s="2"/>
      <c r="R696" s="74">
        <f>IFERROR(__xludf.DUMMYFUNCTION("""COMPUTED_VALUE"""),45637.0)</f>
        <v>45637</v>
      </c>
      <c r="S696" s="2" t="str">
        <f>IFERROR(__xludf.DUMMYFUNCTION("""COMPUTED_VALUE"""),"ACS/JHP")</f>
        <v>ACS/JHP</v>
      </c>
      <c r="T696" s="73">
        <f>IFERROR(__xludf.DUMMYFUNCTION("""COMPUTED_VALUE"""),4400.0)</f>
        <v>4400</v>
      </c>
      <c r="U696" s="73" t="str">
        <f>IFERROR(__xludf.DUMMYFUNCTION("""COMPUTED_VALUE""")," FOR REMIT ")</f>
        <v>FOR REMIT</v>
      </c>
      <c r="V696" s="2"/>
      <c r="W696" s="2" t="str">
        <f>IFERROR(__xludf.DUMMYFUNCTION("""COMPUTED_VALUE"""),"NO CR")</f>
        <v>NO CR</v>
      </c>
      <c r="X696" s="2"/>
      <c r="Y696" s="2"/>
      <c r="Z696" s="2"/>
      <c r="AA696" s="2"/>
      <c r="AB696" s="2"/>
      <c r="AC696" s="2"/>
      <c r="AD696" s="2"/>
      <c r="AE696" s="2"/>
      <c r="AF696" s="2"/>
      <c r="AG696" s="2"/>
      <c r="AH696" s="2"/>
      <c r="AI696" s="2"/>
      <c r="AJ696" s="2" t="str">
        <f>IFERROR(__xludf.DUMMYFUNCTION("""COMPUTED_VALUE"""),"Caraisan")</f>
        <v>Caraisan</v>
      </c>
      <c r="AK696" s="2" t="str">
        <f>IFERROR(__xludf.DUMMYFUNCTION("""COMPUTED_VALUE"""),"Magsingal")</f>
        <v>Magsingal</v>
      </c>
      <c r="AL696" s="2" t="str">
        <f>IFERROR(__xludf.DUMMYFUNCTION("""COMPUTED_VALUE"""),"Ilocos Sur")</f>
        <v>Ilocos Sur</v>
      </c>
      <c r="AM696" s="2">
        <f>IFERROR(__xludf.DUMMYFUNCTION("""COMPUTED_VALUE"""),1.0)</f>
        <v>1</v>
      </c>
      <c r="AN696" s="2" t="str">
        <f>IFERROR(__xludf.DUMMYFUNCTION("""COMPUTED_VALUE"""),"RCEF 23-09-21 Rebidding")</f>
        <v>RCEF 23-09-21 Rebidding</v>
      </c>
      <c r="AO696" s="2">
        <f>IFERROR(__xludf.DUMMYFUNCTION("""COMPUTED_VALUE"""),2.0)</f>
        <v>2</v>
      </c>
      <c r="AP696" s="2"/>
      <c r="AQ696" s="2"/>
      <c r="AR696" s="2"/>
      <c r="AS696" s="2"/>
      <c r="AT696" s="2"/>
      <c r="AU696" s="2"/>
      <c r="AV696" s="2"/>
      <c r="AW696" s="2"/>
      <c r="AX696" s="2"/>
      <c r="AY696" s="2"/>
      <c r="AZ696" s="2"/>
      <c r="BA696" s="2"/>
      <c r="BB696" s="2"/>
    </row>
    <row r="697">
      <c r="A697" s="2">
        <f>IFERROR(__xludf.DUMMYFUNCTION("""COMPUTED_VALUE"""),693.0)</f>
        <v>693</v>
      </c>
      <c r="B697" s="2" t="str">
        <f>IFERROR(__xludf.DUMMYFUNCTION("""COMPUTED_VALUE"""),"COMPLETED")</f>
        <v>COMPLETED</v>
      </c>
      <c r="C697" s="74">
        <f>IFERROR(__xludf.DUMMYFUNCTION("""COMPUTED_VALUE"""),45625.0)</f>
        <v>45625</v>
      </c>
      <c r="D697" s="71" t="str">
        <f>IFERROR(__xludf.DUMMYFUNCTION("""COMPUTED_VALUE"""),"SANDOVAL FARMERS ASSOCIATION")</f>
        <v>SANDOVAL FARMERS ASSOCIATION</v>
      </c>
      <c r="E697" s="71" t="str">
        <f>IFERROR(__xludf.DUMMYFUNCTION("""COMPUTED_VALUE"""),"Sandoval, Roxas, Palawan")</f>
        <v>Sandoval, Roxas, Palawan</v>
      </c>
      <c r="F697" s="2" t="str">
        <f>IFERROR(__xludf.DUMMYFUNCTION("""COMPUTED_VALUE"""),"PHILIP G. FLORES")</f>
        <v>PHILIP G. FLORES</v>
      </c>
      <c r="G697" s="2" t="str">
        <f>IFERROR(__xludf.DUMMYFUNCTION("""COMPUTED_VALUE"""),"0906-957-8374")</f>
        <v>0906-957-8374</v>
      </c>
      <c r="H697" s="2">
        <f>IFERROR(__xludf.DUMMYFUNCTION("""COMPUTED_VALUE"""),855.0)</f>
        <v>855</v>
      </c>
      <c r="I697" s="72" t="str">
        <f>IFERROR(__xludf.DUMMYFUNCTION("""COMPUTED_VALUE"""),"SPARE PARTS ACQUISITION")</f>
        <v>SPARE PARTS ACQUISITION</v>
      </c>
      <c r="J697" s="72" t="str">
        <f>IFERROR(__xludf.DUMMYFUNCTION("""COMPUTED_VALUE"""),"SPARE PARTS ACQUISITION")</f>
        <v>SPARE PARTS ACQUISITION</v>
      </c>
      <c r="K697" s="72" t="str">
        <f>IFERROR(__xludf.DUMMYFUNCTION("""COMPUTED_VALUE"""),"JTT: FUEL FILTER AND HYDRAULIC  FILTER")</f>
        <v>JTT: FUEL FILTER AND HYDRAULIC  FILTER</v>
      </c>
      <c r="L697" s="72" t="str">
        <f>IFERROR(__xludf.DUMMYFUNCTION("""COMPUTED_VALUE"""),"DELIVERED")</f>
        <v>DELIVERED</v>
      </c>
      <c r="M697" s="2"/>
      <c r="N697" s="2" t="str">
        <f>IFERROR(__xludf.DUMMYFUNCTION("""COMPUTED_VALUE"""),"PARTS: FUEL FILTER, HYDRAULIC FILTER")</f>
        <v>PARTS: FUEL FILTER, HYDRAULIC FILTER</v>
      </c>
      <c r="O697" s="2" t="str">
        <f>IFERROR(__xludf.DUMMYFUNCTION("""COMPUTED_VALUE"""),"N/A")</f>
        <v>N/A</v>
      </c>
      <c r="P697" s="2"/>
      <c r="Q697" s="2"/>
      <c r="R697" s="74">
        <f>IFERROR(__xludf.DUMMYFUNCTION("""COMPUTED_VALUE"""),45633.0)</f>
        <v>45633</v>
      </c>
      <c r="S697" s="2" t="str">
        <f>IFERROR(__xludf.DUMMYFUNCTION("""COMPUTED_VALUE"""),"JTT")</f>
        <v>JTT</v>
      </c>
      <c r="T697" s="73">
        <f>IFERROR(__xludf.DUMMYFUNCTION("""COMPUTED_VALUE"""),10748.0)</f>
        <v>10748</v>
      </c>
      <c r="U697" s="73" t="str">
        <f>IFERROR(__xludf.DUMMYFUNCTION("""COMPUTED_VALUE""")," REMITTED ")</f>
        <v>REMITTED</v>
      </c>
      <c r="V697" s="2"/>
      <c r="W697" s="2">
        <f>IFERROR(__xludf.DUMMYFUNCTION("""COMPUTED_VALUE"""),1220.0)</f>
        <v>1220</v>
      </c>
      <c r="X697" s="2">
        <f>IFERROR(__xludf.DUMMYFUNCTION("""COMPUTED_VALUE"""),1292.0)</f>
        <v>1292</v>
      </c>
      <c r="Y697" s="2"/>
      <c r="Z697" s="2"/>
      <c r="AA697" s="2"/>
      <c r="AB697" s="2"/>
      <c r="AC697" s="2"/>
      <c r="AD697" s="2"/>
      <c r="AE697" s="2"/>
      <c r="AF697" s="2"/>
      <c r="AG697" s="2"/>
      <c r="AH697" s="2"/>
      <c r="AI697" s="2"/>
      <c r="AJ697" s="2" t="str">
        <f>IFERROR(__xludf.DUMMYFUNCTION("""COMPUTED_VALUE"""),"Sandoval")</f>
        <v>Sandoval</v>
      </c>
      <c r="AK697" s="2" t="str">
        <f>IFERROR(__xludf.DUMMYFUNCTION("""COMPUTED_VALUE"""),"Roxas")</f>
        <v>Roxas</v>
      </c>
      <c r="AL697" s="2" t="str">
        <f>IFERROR(__xludf.DUMMYFUNCTION("""COMPUTED_VALUE"""),"Palawan")</f>
        <v>Palawan</v>
      </c>
      <c r="AM697" s="2" t="str">
        <f>IFERROR(__xludf.DUMMYFUNCTION("""COMPUTED_VALUE"""),"4B")</f>
        <v>4B</v>
      </c>
      <c r="AN697" s="2" t="str">
        <f>IFERROR(__xludf.DUMMYFUNCTION("""COMPUTED_VALUE"""),"RCEF 23-08-20 Rebidding")</f>
        <v>RCEF 23-08-20 Rebidding</v>
      </c>
      <c r="AO697" s="2">
        <f>IFERROR(__xludf.DUMMYFUNCTION("""COMPUTED_VALUE"""),1.0)</f>
        <v>1</v>
      </c>
      <c r="AP697" s="2"/>
      <c r="AQ697" s="2"/>
      <c r="AR697" s="2"/>
      <c r="AS697" s="2"/>
      <c r="AT697" s="2"/>
      <c r="AU697" s="2"/>
      <c r="AV697" s="2"/>
      <c r="AW697" s="2"/>
      <c r="AX697" s="2"/>
      <c r="AY697" s="2"/>
      <c r="AZ697" s="2"/>
      <c r="BA697" s="2"/>
      <c r="BB697" s="2"/>
    </row>
    <row r="698">
      <c r="A698" s="2">
        <f>IFERROR(__xludf.DUMMYFUNCTION("""COMPUTED_VALUE"""),694.0)</f>
        <v>694</v>
      </c>
      <c r="B698" s="2" t="str">
        <f>IFERROR(__xludf.DUMMYFUNCTION("""COMPUTED_VALUE"""),"COMPLETED")</f>
        <v>COMPLETED</v>
      </c>
      <c r="C698" s="74">
        <f>IFERROR(__xludf.DUMMYFUNCTION("""COMPUTED_VALUE"""),45629.0)</f>
        <v>45629</v>
      </c>
      <c r="D698" s="71" t="str">
        <f>IFERROR(__xludf.DUMMYFUNCTION("""COMPUTED_VALUE"""),"ILOG BALIWAG-SAN MIGUEL FARMERS ASSOCIATION (ISFA)")</f>
        <v>ILOG BALIWAG-SAN MIGUEL FARMERS ASSOCIATION (ISFA)</v>
      </c>
      <c r="E698" s="71" t="str">
        <f>IFERROR(__xludf.DUMMYFUNCTION("""COMPUTED_VALUE"""),"Ilog Baliwag, Quezon, NUEVA ECIJA")</f>
        <v>Ilog Baliwag, Quezon, NUEVA ECIJA</v>
      </c>
      <c r="F698" s="2" t="str">
        <f>IFERROR(__xludf.DUMMYFUNCTION("""COMPUTED_VALUE"""),"Bernie A. Melendez")</f>
        <v>Bernie A. Melendez</v>
      </c>
      <c r="G698" s="2">
        <f>IFERROR(__xludf.DUMMYFUNCTION("""COMPUTED_VALUE"""),9.275180179E9)</f>
        <v>9275180179</v>
      </c>
      <c r="H698" s="2">
        <f>IFERROR(__xludf.DUMMYFUNCTION("""COMPUTED_VALUE"""),88.0)</f>
        <v>88</v>
      </c>
      <c r="I698" s="72" t="str">
        <f>IFERROR(__xludf.DUMMYFUNCTION("""COMPUTED_VALUE"""),"REPAIR - TRACTOR")</f>
        <v>REPAIR - TRACTOR</v>
      </c>
      <c r="J698" s="72" t="str">
        <f>IFERROR(__xludf.DUMMYFUNCTION("""COMPUTED_VALUE"""),"Electrical - Harness")</f>
        <v>Electrical - Harness</v>
      </c>
      <c r="K698" s="72" t="str">
        <f>IFERROR(__xludf.DUMMYFUNCTION("""COMPUTED_VALUE"""),"DSD: Stop light, May tumutunog sa front axle")</f>
        <v>DSD: Stop light, May tumutunog sa front axle</v>
      </c>
      <c r="L698" s="72" t="str">
        <f>IFERROR(__xludf.DUMMYFUNCTION("""COMPUTED_VALUE"""),"DSD:  Inayos ang wirings sa stop light, Nag dagdag ng gear oil sa right side ng front axle.")</f>
        <v>DSD:  Inayos ang wirings sa stop light, Nag dagdag ng gear oil sa right side ng front axle.</v>
      </c>
      <c r="M698" s="2"/>
      <c r="N698" s="2"/>
      <c r="O698" s="2">
        <f>IFERROR(__xludf.DUMMYFUNCTION("""COMPUTED_VALUE"""),1056.0)</f>
        <v>1056</v>
      </c>
      <c r="P698" s="2"/>
      <c r="Q698" s="2"/>
      <c r="R698" s="74">
        <f>IFERROR(__xludf.DUMMYFUNCTION("""COMPUTED_VALUE"""),45629.0)</f>
        <v>45629</v>
      </c>
      <c r="S698" s="2" t="str">
        <f>IFERROR(__xludf.DUMMYFUNCTION("""COMPUTED_VALUE"""),"DSD")</f>
        <v>DSD</v>
      </c>
      <c r="T698" s="73" t="str">
        <f>IFERROR(__xludf.DUMMYFUNCTION("""COMPUTED_VALUE""")," N/A ")</f>
        <v>N/A</v>
      </c>
      <c r="U698" s="73" t="str">
        <f>IFERROR(__xludf.DUMMYFUNCTION("""COMPUTED_VALUE""")," NO CHARGE ")</f>
        <v>NO CHARGE</v>
      </c>
      <c r="V698" s="2"/>
      <c r="W698" s="2" t="str">
        <f>IFERROR(__xludf.DUMMYFUNCTION("""COMPUTED_VALUE"""),"N/A")</f>
        <v>N/A</v>
      </c>
      <c r="X698" s="2" t="str">
        <f>IFERROR(__xludf.DUMMYFUNCTION("""COMPUTED_VALUE"""),"N/A")</f>
        <v>N/A</v>
      </c>
      <c r="Y698" s="2"/>
      <c r="Z698" s="2"/>
      <c r="AA698" s="2"/>
      <c r="AB698" s="2"/>
      <c r="AC698" s="2"/>
      <c r="AD698" s="2"/>
      <c r="AE698" s="2"/>
      <c r="AF698" s="2"/>
      <c r="AG698" s="2"/>
      <c r="AH698" s="2"/>
      <c r="AI698" s="2"/>
      <c r="AJ698" s="2" t="str">
        <f>IFERROR(__xludf.DUMMYFUNCTION("""COMPUTED_VALUE"""),"Ilog Baliwag")</f>
        <v>Ilog Baliwag</v>
      </c>
      <c r="AK698" s="2" t="str">
        <f>IFERROR(__xludf.DUMMYFUNCTION("""COMPUTED_VALUE"""),"Quezon")</f>
        <v>Quezon</v>
      </c>
      <c r="AL698" s="2" t="str">
        <f>IFERROR(__xludf.DUMMYFUNCTION("""COMPUTED_VALUE"""),"Nueva Ecija")</f>
        <v>Nueva Ecija</v>
      </c>
      <c r="AM698" s="2">
        <f>IFERROR(__xludf.DUMMYFUNCTION("""COMPUTED_VALUE"""),3.0)</f>
        <v>3</v>
      </c>
      <c r="AN698" s="2" t="str">
        <f>IFERROR(__xludf.DUMMYFUNCTION("""COMPUTED_VALUE"""),"RCEF 24-04-15")</f>
        <v>RCEF 24-04-15</v>
      </c>
      <c r="AO698" s="2">
        <f>IFERROR(__xludf.DUMMYFUNCTION("""COMPUTED_VALUE"""),6.0)</f>
        <v>6</v>
      </c>
      <c r="AP698" s="2" t="str">
        <f>IFERROR(__xludf.DUMMYFUNCTION("""COMPUTED_VALUE"""),"FREE PMS")</f>
        <v>FREE PMS</v>
      </c>
      <c r="AQ698" s="2"/>
      <c r="AR698" s="2"/>
      <c r="AS698" s="2"/>
      <c r="AT698" s="2"/>
      <c r="AU698" s="2"/>
      <c r="AV698" s="2"/>
      <c r="AW698" s="2"/>
      <c r="AX698" s="2"/>
      <c r="AY698" s="2"/>
      <c r="AZ698" s="2"/>
      <c r="BA698" s="2"/>
      <c r="BB698" s="2"/>
    </row>
    <row r="699">
      <c r="A699" s="2">
        <f>IFERROR(__xludf.DUMMYFUNCTION("""COMPUTED_VALUE"""),695.0)</f>
        <v>695</v>
      </c>
      <c r="B699" s="2" t="str">
        <f>IFERROR(__xludf.DUMMYFUNCTION("""COMPUTED_VALUE"""),"COMPLETED")</f>
        <v>COMPLETED</v>
      </c>
      <c r="C699" s="74">
        <f>IFERROR(__xludf.DUMMYFUNCTION("""COMPUTED_VALUE"""),45629.0)</f>
        <v>45629</v>
      </c>
      <c r="D699" s="71" t="str">
        <f>IFERROR(__xludf.DUMMYFUNCTION("""COMPUTED_VALUE"""),"SAN VICENTE-ALINTUTUAN IRRIGATORS ASSOCIATION INC.")</f>
        <v>SAN VICENTE-ALINTUTUAN IRRIGATORS ASSOCIATION INC.</v>
      </c>
      <c r="E699" s="71" t="str">
        <f>IFERROR(__xludf.DUMMYFUNCTION("""COMPUTED_VALUE"""),"San Vicente, Laur, NUEVA ECIJA")</f>
        <v>San Vicente, Laur, NUEVA ECIJA</v>
      </c>
      <c r="F699" s="2" t="str">
        <f>IFERROR(__xludf.DUMMYFUNCTION("""COMPUTED_VALUE"""),"Erwin De Guzman ")</f>
        <v>Erwin De Guzman </v>
      </c>
      <c r="G699" s="2">
        <f>IFERROR(__xludf.DUMMYFUNCTION("""COMPUTED_VALUE"""),9.20426457E9)</f>
        <v>9204264570</v>
      </c>
      <c r="H699" s="2">
        <f>IFERROR(__xludf.DUMMYFUNCTION("""COMPUTED_VALUE"""),310.0)</f>
        <v>310</v>
      </c>
      <c r="I699" s="72" t="str">
        <f>IFERROR(__xludf.DUMMYFUNCTION("""COMPUTED_VALUE"""),"REPAIR - TRACTOR")</f>
        <v>REPAIR - TRACTOR</v>
      </c>
      <c r="J699" s="72" t="str">
        <f>IFERROR(__xludf.DUMMYFUNCTION("""COMPUTED_VALUE"""),"FUEL PUMP")</f>
        <v>FUEL PUMP</v>
      </c>
      <c r="K699" s="72" t="str">
        <f>IFERROR(__xludf.DUMMYFUNCTION("""COMPUTED_VALUE"""),"LOW POWER, PAG NAKA NEUTRAL NASA 20-25RPM , AYAW HUMATAK PAG NAKA TRAVEL HINDI MAKAAHON, MAY NARIRINIG NA UMUUGONG SA MAKINA, HINDI NORMAL NOISE.")</f>
        <v>LOW POWER, PAG NAKA NEUTRAL NASA 20-25RPM , AYAW HUMATAK PAG NAKA TRAVEL HINDI MAKAAHON, MAY NARIRINIG NA UMUUGONG SA MAKINA, HINDI NORMAL NOISE.</v>
      </c>
      <c r="L699" s="72" t="str">
        <f>IFERROR(__xludf.DUMMYFUNCTION("""COMPUTED_VALUE"""),"DSD: REPLACED FUEL PUMP")</f>
        <v>DSD: REPLACED FUEL PUMP</v>
      </c>
      <c r="M699" s="2"/>
      <c r="N699" s="2" t="str">
        <f>IFERROR(__xludf.DUMMYFUNCTION("""COMPUTED_VALUE"""),"PARTS: HYDRAULIC FILTER, ")</f>
        <v>PARTS: HYDRAULIC FILTER, </v>
      </c>
      <c r="O699" s="2">
        <f>IFERROR(__xludf.DUMMYFUNCTION("""COMPUTED_VALUE"""),1208.0)</f>
        <v>1208</v>
      </c>
      <c r="P699" s="2"/>
      <c r="Q699" s="2"/>
      <c r="R699" s="74">
        <f>IFERROR(__xludf.DUMMYFUNCTION("""COMPUTED_VALUE"""),45630.0)</f>
        <v>45630</v>
      </c>
      <c r="S699" s="2" t="str">
        <f>IFERROR(__xludf.DUMMYFUNCTION("""COMPUTED_VALUE"""),"DSD/JHP")</f>
        <v>DSD/JHP</v>
      </c>
      <c r="T699" s="73">
        <f>IFERROR(__xludf.DUMMYFUNCTION("""COMPUTED_VALUE"""),2800.0)</f>
        <v>2800</v>
      </c>
      <c r="U699" s="73" t="str">
        <f>IFERROR(__xludf.DUMMYFUNCTION("""COMPUTED_VALUE""")," FOR REMIT ")</f>
        <v>FOR REMIT</v>
      </c>
      <c r="V699" s="2"/>
      <c r="W699" s="2" t="str">
        <f>IFERROR(__xludf.DUMMYFUNCTION("""COMPUTED_VALUE"""),"NO CR")</f>
        <v>NO CR</v>
      </c>
      <c r="X699" s="2"/>
      <c r="Y699" s="2"/>
      <c r="Z699" s="2"/>
      <c r="AA699" s="2"/>
      <c r="AB699" s="2"/>
      <c r="AC699" s="2"/>
      <c r="AD699" s="2"/>
      <c r="AE699" s="2"/>
      <c r="AF699" s="2"/>
      <c r="AG699" s="2"/>
      <c r="AH699" s="2"/>
      <c r="AI699" s="2"/>
      <c r="AJ699" s="2" t="str">
        <f>IFERROR(__xludf.DUMMYFUNCTION("""COMPUTED_VALUE"""),"San Vicente")</f>
        <v>San Vicente</v>
      </c>
      <c r="AK699" s="2" t="str">
        <f>IFERROR(__xludf.DUMMYFUNCTION("""COMPUTED_VALUE"""),"Laur")</f>
        <v>Laur</v>
      </c>
      <c r="AL699" s="2" t="str">
        <f>IFERROR(__xludf.DUMMYFUNCTION("""COMPUTED_VALUE"""),"Nueva Ecija")</f>
        <v>Nueva Ecija</v>
      </c>
      <c r="AM699" s="2">
        <f>IFERROR(__xludf.DUMMYFUNCTION("""COMPUTED_VALUE"""),3.0)</f>
        <v>3</v>
      </c>
      <c r="AN699" s="2" t="str">
        <f>IFERROR(__xludf.DUMMYFUNCTION("""COMPUTED_VALUE"""),"RCEF 23-09-21 Rebidding")</f>
        <v>RCEF 23-09-21 Rebidding</v>
      </c>
      <c r="AO699" s="2">
        <f>IFERROR(__xludf.DUMMYFUNCTION("""COMPUTED_VALUE"""),3.0)</f>
        <v>3</v>
      </c>
      <c r="AP699" s="2"/>
      <c r="AQ699" s="2"/>
      <c r="AR699" s="2"/>
      <c r="AS699" s="2"/>
      <c r="AT699" s="2"/>
      <c r="AU699" s="2"/>
      <c r="AV699" s="2"/>
      <c r="AW699" s="2"/>
      <c r="AX699" s="2"/>
      <c r="AY699" s="2"/>
      <c r="AZ699" s="2"/>
      <c r="BA699" s="2"/>
      <c r="BB699" s="2"/>
    </row>
    <row r="700">
      <c r="A700" s="2">
        <f>IFERROR(__xludf.DUMMYFUNCTION("""COMPUTED_VALUE"""),696.0)</f>
        <v>696</v>
      </c>
      <c r="B700" s="2" t="str">
        <f>IFERROR(__xludf.DUMMYFUNCTION("""COMPUTED_VALUE"""),"COMPLETED")</f>
        <v>COMPLETED</v>
      </c>
      <c r="C700" s="74">
        <f>IFERROR(__xludf.DUMMYFUNCTION("""COMPUTED_VALUE"""),45630.0)</f>
        <v>45630</v>
      </c>
      <c r="D700" s="71" t="str">
        <f>IFERROR(__xludf.DUMMYFUNCTION("""COMPUTED_VALUE"""),"MANGAPIT MABUTI FARMERS ASSOCIATION INC.")</f>
        <v>MANGAPIT MABUTI FARMERS ASSOCIATION INC.</v>
      </c>
      <c r="E700" s="71" t="str">
        <f>IFERROR(__xludf.DUMMYFUNCTION("""COMPUTED_VALUE"""),"Mabuti, Marcos, ILOCOS NORTE")</f>
        <v>Mabuti, Marcos, ILOCOS NORTE</v>
      </c>
      <c r="F700" s="2" t="str">
        <f>IFERROR(__xludf.DUMMYFUNCTION("""COMPUTED_VALUE"""),"DESIDERIO VALENCIA")</f>
        <v>DESIDERIO VALENCIA</v>
      </c>
      <c r="G700" s="2">
        <f>IFERROR(__xludf.DUMMYFUNCTION("""COMPUTED_VALUE"""),9.668203277E9)</f>
        <v>9668203277</v>
      </c>
      <c r="H700" s="2">
        <f>IFERROR(__xludf.DUMMYFUNCTION("""COMPUTED_VALUE"""),93.0)</f>
        <v>93</v>
      </c>
      <c r="I700" s="72" t="str">
        <f>IFERROR(__xludf.DUMMYFUNCTION("""COMPUTED_VALUE"""),"PMS")</f>
        <v>PMS</v>
      </c>
      <c r="J700" s="72" t="str">
        <f>IFERROR(__xludf.DUMMYFUNCTION("""COMPUTED_VALUE"""),"PMS")</f>
        <v>PMS</v>
      </c>
      <c r="K700" s="72" t="str">
        <f>IFERROR(__xludf.DUMMYFUNCTION("""COMPUTED_VALUE"""),"KFS: 1ST PMS")</f>
        <v>KFS: 1ST PMS</v>
      </c>
      <c r="L700" s="72" t="str">
        <f>IFERROR(__xludf.DUMMYFUNCTION("""COMPUTED_VALUE"""),"ACS: 1ST PMS DONE")</f>
        <v>ACS: 1ST PMS DONE</v>
      </c>
      <c r="M700" s="2"/>
      <c r="N700" s="2" t="str">
        <f>IFERROR(__xludf.DUMMYFUNCTION("""COMPUTED_VALUE"""),"PARTS: OIL FILTER, ENGINE OIL FILTER")</f>
        <v>PARTS: OIL FILTER, ENGINE OIL FILTER</v>
      </c>
      <c r="O700" s="2">
        <f>IFERROR(__xludf.DUMMYFUNCTION("""COMPUTED_VALUE"""),1210.0)</f>
        <v>1210</v>
      </c>
      <c r="P700" s="2"/>
      <c r="Q700" s="2"/>
      <c r="R700" s="74">
        <f>IFERROR(__xludf.DUMMYFUNCTION("""COMPUTED_VALUE"""),45638.0)</f>
        <v>45638</v>
      </c>
      <c r="S700" s="2" t="str">
        <f>IFERROR(__xludf.DUMMYFUNCTION("""COMPUTED_VALUE"""),"JHP/ACS")</f>
        <v>JHP/ACS</v>
      </c>
      <c r="T700" s="73">
        <f>IFERROR(__xludf.DUMMYFUNCTION("""COMPUTED_VALUE"""),3200.0)</f>
        <v>3200</v>
      </c>
      <c r="U700" s="73" t="str">
        <f>IFERROR(__xludf.DUMMYFUNCTION("""COMPUTED_VALUE""")," REMITTED ")</f>
        <v>REMITTED</v>
      </c>
      <c r="V700" s="2"/>
      <c r="W700" s="2">
        <f>IFERROR(__xludf.DUMMYFUNCTION("""COMPUTED_VALUE"""),1466.0)</f>
        <v>1466</v>
      </c>
      <c r="X700" s="2">
        <f>IFERROR(__xludf.DUMMYFUNCTION("""COMPUTED_VALUE"""),1285.0)</f>
        <v>1285</v>
      </c>
      <c r="Y700" s="2"/>
      <c r="Z700" s="2"/>
      <c r="AA700" s="2"/>
      <c r="AB700" s="2"/>
      <c r="AC700" s="2"/>
      <c r="AD700" s="2"/>
      <c r="AE700" s="2"/>
      <c r="AF700" s="2"/>
      <c r="AG700" s="2"/>
      <c r="AH700" s="2"/>
      <c r="AI700" s="2"/>
      <c r="AJ700" s="2" t="str">
        <f>IFERROR(__xludf.DUMMYFUNCTION("""COMPUTED_VALUE"""),"Mabuti")</f>
        <v>Mabuti</v>
      </c>
      <c r="AK700" s="2" t="str">
        <f>IFERROR(__xludf.DUMMYFUNCTION("""COMPUTED_VALUE"""),"Marcos")</f>
        <v>Marcos</v>
      </c>
      <c r="AL700" s="2" t="str">
        <f>IFERROR(__xludf.DUMMYFUNCTION("""COMPUTED_VALUE"""),"Ilocos Norte")</f>
        <v>Ilocos Norte</v>
      </c>
      <c r="AM700" s="2">
        <f>IFERROR(__xludf.DUMMYFUNCTION("""COMPUTED_VALUE"""),1.0)</f>
        <v>1</v>
      </c>
      <c r="AN700" s="2" t="str">
        <f>IFERROR(__xludf.DUMMYFUNCTION("""COMPUTED_VALUE"""),"RCEF 23-09-21 Rebidding")</f>
        <v>RCEF 23-09-21 Rebidding</v>
      </c>
      <c r="AO700" s="2">
        <f>IFERROR(__xludf.DUMMYFUNCTION("""COMPUTED_VALUE"""),2.0)</f>
        <v>2</v>
      </c>
      <c r="AP700" s="2"/>
      <c r="AQ700" s="2"/>
      <c r="AR700" s="2"/>
      <c r="AS700" s="2"/>
      <c r="AT700" s="2"/>
      <c r="AU700" s="2"/>
      <c r="AV700" s="2"/>
      <c r="AW700" s="2"/>
      <c r="AX700" s="2"/>
      <c r="AY700" s="2"/>
      <c r="AZ700" s="2"/>
      <c r="BA700" s="2"/>
      <c r="BB700" s="2"/>
    </row>
    <row r="701">
      <c r="A701" s="2">
        <f>IFERROR(__xludf.DUMMYFUNCTION("""COMPUTED_VALUE"""),697.0)</f>
        <v>697</v>
      </c>
      <c r="B701" s="2" t="str">
        <f>IFERROR(__xludf.DUMMYFUNCTION("""COMPUTED_VALUE"""),"COMPLETED")</f>
        <v>COMPLETED</v>
      </c>
      <c r="C701" s="74">
        <f>IFERROR(__xludf.DUMMYFUNCTION("""COMPUTED_VALUE"""),45630.0)</f>
        <v>45630</v>
      </c>
      <c r="D701" s="71" t="str">
        <f>IFERROR(__xludf.DUMMYFUNCTION("""COMPUTED_VALUE"""),"CULAT IRRIGATORS FARMERS ASSOCIATION.")</f>
        <v>CULAT IRRIGATORS FARMERS ASSOCIATION.</v>
      </c>
      <c r="E701" s="71" t="str">
        <f>IFERROR(__xludf.DUMMYFUNCTION("""COMPUTED_VALUE"""),"Culat, Casiguran, AURORA")</f>
        <v>Culat, Casiguran, AURORA</v>
      </c>
      <c r="F701" s="2" t="str">
        <f>IFERROR(__xludf.DUMMYFUNCTION("""COMPUTED_VALUE"""),"Reynaldo torre")</f>
        <v>Reynaldo torre</v>
      </c>
      <c r="G701" s="2">
        <f>IFERROR(__xludf.DUMMYFUNCTION("""COMPUTED_VALUE"""),9.207065957E9)</f>
        <v>9207065957</v>
      </c>
      <c r="H701" s="2"/>
      <c r="I701" s="72" t="str">
        <f>IFERROR(__xludf.DUMMYFUNCTION("""COMPUTED_VALUE"""),"REPAIR - TRACTOR")</f>
        <v>REPAIR - TRACTOR</v>
      </c>
      <c r="J701" s="72" t="str">
        <f>IFERROR(__xludf.DUMMYFUNCTION("""COMPUTED_VALUE"""),"CHECK UP/ REPAIR")</f>
        <v>CHECK UP/ REPAIR</v>
      </c>
      <c r="K701" s="72" t="str">
        <f>IFERROR(__xludf.DUMMYFUNCTION("""COMPUTED_VALUE"""),"JHP: nalubog daw sa baha yung buong traktora pero gumagana naman daw grounded lang yung electrical wiring. Nadaanan ko sa isang talyer sa Casiguran dinala na ng recipient dun kahit walang report sa atin.")</f>
        <v>JHP: nalubog daw sa baha yung buong traktora pero gumagana naman daw grounded lang yung electrical wiring. Nadaanan ko sa isang talyer sa Casiguran dinala na ng recipient dun kahit walang report sa atin.</v>
      </c>
      <c r="L701" s="72" t="str">
        <f>IFERROR(__xludf.DUMMYFUNCTION("""COMPUTED_VALUE"""),"JHP: VIA PHONE CALL OK NA CLOSED")</f>
        <v>JHP: VIA PHONE CALL OK NA CLOSED</v>
      </c>
      <c r="M701" s="2"/>
      <c r="N701" s="2"/>
      <c r="O701" s="2" t="str">
        <f>IFERROR(__xludf.DUMMYFUNCTION("""COMPUTED_VALUE"""),"N/A")</f>
        <v>N/A</v>
      </c>
      <c r="P701" s="2"/>
      <c r="Q701" s="2"/>
      <c r="R701" s="74">
        <f>IFERROR(__xludf.DUMMYFUNCTION("""COMPUTED_VALUE"""),45630.0)</f>
        <v>45630</v>
      </c>
      <c r="S701" s="2" t="str">
        <f>IFERROR(__xludf.DUMMYFUNCTION("""COMPUTED_VALUE"""),"JHP")</f>
        <v>JHP</v>
      </c>
      <c r="T701" s="73" t="str">
        <f>IFERROR(__xludf.DUMMYFUNCTION("""COMPUTED_VALUE""")," N/A ")</f>
        <v>N/A</v>
      </c>
      <c r="U701" s="73" t="str">
        <f>IFERROR(__xludf.DUMMYFUNCTION("""COMPUTED_VALUE""")," NO CHARGE ")</f>
        <v>NO CHARGE</v>
      </c>
      <c r="V701" s="2"/>
      <c r="W701" s="2" t="str">
        <f>IFERROR(__xludf.DUMMYFUNCTION("""COMPUTED_VALUE"""),"N/A")</f>
        <v>N/A</v>
      </c>
      <c r="X701" s="2" t="str">
        <f>IFERROR(__xludf.DUMMYFUNCTION("""COMPUTED_VALUE"""),"N/A")</f>
        <v>N/A</v>
      </c>
      <c r="Y701" s="2"/>
      <c r="Z701" s="2"/>
      <c r="AA701" s="2"/>
      <c r="AB701" s="2"/>
      <c r="AC701" s="2"/>
      <c r="AD701" s="2"/>
      <c r="AE701" s="2"/>
      <c r="AF701" s="2"/>
      <c r="AG701" s="2"/>
      <c r="AH701" s="2"/>
      <c r="AI701" s="2"/>
      <c r="AJ701" s="2" t="str">
        <f>IFERROR(__xludf.DUMMYFUNCTION("""COMPUTED_VALUE"""),"Culat")</f>
        <v>Culat</v>
      </c>
      <c r="AK701" s="2" t="str">
        <f>IFERROR(__xludf.DUMMYFUNCTION("""COMPUTED_VALUE"""),"Casiguran")</f>
        <v>Casiguran</v>
      </c>
      <c r="AL701" s="2" t="str">
        <f>IFERROR(__xludf.DUMMYFUNCTION("""COMPUTED_VALUE"""),"Aurora")</f>
        <v>Aurora</v>
      </c>
      <c r="AM701" s="2">
        <f>IFERROR(__xludf.DUMMYFUNCTION("""COMPUTED_VALUE"""),3.0)</f>
        <v>3</v>
      </c>
      <c r="AN701" s="2" t="str">
        <f>IFERROR(__xludf.DUMMYFUNCTION("""COMPUTED_VALUE"""),"RCEF 23-09-21 Rebidding")</f>
        <v>RCEF 23-09-21 Rebidding</v>
      </c>
      <c r="AO701" s="2">
        <f>IFERROR(__xludf.DUMMYFUNCTION("""COMPUTED_VALUE"""),3.0)</f>
        <v>3</v>
      </c>
      <c r="AP701" s="2"/>
      <c r="AQ701" s="2"/>
      <c r="AR701" s="2"/>
      <c r="AS701" s="2"/>
      <c r="AT701" s="2"/>
      <c r="AU701" s="2"/>
      <c r="AV701" s="2"/>
      <c r="AW701" s="2"/>
      <c r="AX701" s="2"/>
      <c r="AY701" s="2"/>
      <c r="AZ701" s="2"/>
      <c r="BA701" s="2"/>
      <c r="BB701" s="2"/>
    </row>
    <row r="702">
      <c r="A702" s="2">
        <f>IFERROR(__xludf.DUMMYFUNCTION("""COMPUTED_VALUE"""),698.0)</f>
        <v>698</v>
      </c>
      <c r="B702" s="2" t="str">
        <f>IFERROR(__xludf.DUMMYFUNCTION("""COMPUTED_VALUE"""),"COMPLETED")</f>
        <v>COMPLETED</v>
      </c>
      <c r="C702" s="74">
        <f>IFERROR(__xludf.DUMMYFUNCTION("""COMPUTED_VALUE"""),45630.0)</f>
        <v>45630</v>
      </c>
      <c r="D702" s="71" t="str">
        <f>IFERROR(__xludf.DUMMYFUNCTION("""COMPUTED_VALUE"""),"SAN LUIS CONDEZ TIG-ANIT FARMERS IRRIGATORS ASSOCIATION")</f>
        <v>SAN LUIS CONDEZ TIG-ANIT FARMERS IRRIGATORS ASSOCIATION</v>
      </c>
      <c r="E702" s="71" t="str">
        <f>IFERROR(__xludf.DUMMYFUNCTION("""COMPUTED_VALUE"""),"San Luis, Culasi, ANTIQUE")</f>
        <v>San Luis, Culasi, ANTIQUE</v>
      </c>
      <c r="F702" s="2" t="str">
        <f>IFERROR(__xludf.DUMMYFUNCTION("""COMPUTED_VALUE"""),"Rogelio Osorio")</f>
        <v>Rogelio Osorio</v>
      </c>
      <c r="G702" s="2">
        <f>IFERROR(__xludf.DUMMYFUNCTION("""COMPUTED_VALUE"""),9.364375842E9)</f>
        <v>9364375842</v>
      </c>
      <c r="H702" s="2">
        <f>IFERROR(__xludf.DUMMYFUNCTION("""COMPUTED_VALUE"""),331.0)</f>
        <v>331</v>
      </c>
      <c r="I702" s="72" t="str">
        <f>IFERROR(__xludf.DUMMYFUNCTION("""COMPUTED_VALUE"""),"REPAIR - TRACTOR")</f>
        <v>REPAIR - TRACTOR</v>
      </c>
      <c r="J702" s="72" t="str">
        <f>IFERROR(__xludf.DUMMYFUNCTION("""COMPUTED_VALUE"""),"CHECK UP UNIT")</f>
        <v>CHECK UP UNIT</v>
      </c>
      <c r="K702" s="72" t="str">
        <f>IFERROR(__xludf.DUMMYFUNCTION("""COMPUTED_VALUE"""),"DRM:  loss brake,power loss of unit
LOW POWER: 25 RPM OPERATION, MAHINA DIN PRENO PAG SA MGA HIGHWAY,
PARTS: FUEL PUMP 
")</f>
        <v>DRM:  loss brake,power loss of unit
LOW POWER: 25 RPM OPERATION, MAHINA DIN PRENO PAG SA MGA HIGHWAY,
PARTS: FUEL PUMP 
</v>
      </c>
      <c r="L702" s="72" t="str">
        <f>IFERROR(__xludf.DUMMYFUNCTION("""COMPUTED_VALUE"""),"EGT: Culasi maam okay yan hndi naman po low power yan")</f>
        <v>EGT: Culasi maam okay yan hndi naman po low power yan</v>
      </c>
      <c r="M702" s="2"/>
      <c r="N702" s="2"/>
      <c r="O702" s="2" t="str">
        <f>IFERROR(__xludf.DUMMYFUNCTION("""COMPUTED_VALUE"""),"N/A")</f>
        <v>N/A</v>
      </c>
      <c r="P702" s="2"/>
      <c r="Q702" s="2"/>
      <c r="R702" s="74">
        <f>IFERROR(__xludf.DUMMYFUNCTION("""COMPUTED_VALUE"""),45691.0)</f>
        <v>45691</v>
      </c>
      <c r="S702" s="2" t="str">
        <f>IFERROR(__xludf.DUMMYFUNCTION("""COMPUTED_VALUE"""),"EGT/DRM")</f>
        <v>EGT/DRM</v>
      </c>
      <c r="T702" s="73" t="str">
        <f>IFERROR(__xludf.DUMMYFUNCTION("""COMPUTED_VALUE""")," N/A ")</f>
        <v>N/A</v>
      </c>
      <c r="U702" s="73" t="str">
        <f>IFERROR(__xludf.DUMMYFUNCTION("""COMPUTED_VALUE""")," NO CHARGE ")</f>
        <v>NO CHARGE</v>
      </c>
      <c r="V702" s="2"/>
      <c r="W702" s="2" t="str">
        <f>IFERROR(__xludf.DUMMYFUNCTION("""COMPUTED_VALUE"""),"N/A")</f>
        <v>N/A</v>
      </c>
      <c r="X702" s="2" t="str">
        <f>IFERROR(__xludf.DUMMYFUNCTION("""COMPUTED_VALUE"""),"N/A")</f>
        <v>N/A</v>
      </c>
      <c r="Y702" s="2"/>
      <c r="Z702" s="2"/>
      <c r="AA702" s="2"/>
      <c r="AB702" s="2"/>
      <c r="AC702" s="2"/>
      <c r="AD702" s="2"/>
      <c r="AE702" s="2"/>
      <c r="AF702" s="2"/>
      <c r="AG702" s="2"/>
      <c r="AH702" s="2"/>
      <c r="AI702" s="2"/>
      <c r="AJ702" s="2" t="str">
        <f>IFERROR(__xludf.DUMMYFUNCTION("""COMPUTED_VALUE"""),"San Luis")</f>
        <v>San Luis</v>
      </c>
      <c r="AK702" s="2" t="str">
        <f>IFERROR(__xludf.DUMMYFUNCTION("""COMPUTED_VALUE"""),"Culasi")</f>
        <v>Culasi</v>
      </c>
      <c r="AL702" s="2" t="str">
        <f>IFERROR(__xludf.DUMMYFUNCTION("""COMPUTED_VALUE"""),"Antique")</f>
        <v>Antique</v>
      </c>
      <c r="AM702" s="2">
        <f>IFERROR(__xludf.DUMMYFUNCTION("""COMPUTED_VALUE"""),6.0)</f>
        <v>6</v>
      </c>
      <c r="AN702" s="2" t="str">
        <f>IFERROR(__xludf.DUMMYFUNCTION("""COMPUTED_VALUE"""),"RCEF 23-09-21 Rebidding")</f>
        <v>RCEF 23-09-21 Rebidding</v>
      </c>
      <c r="AO702" s="2">
        <f>IFERROR(__xludf.DUMMYFUNCTION("""COMPUTED_VALUE"""),4.0)</f>
        <v>4</v>
      </c>
      <c r="AP702" s="2"/>
      <c r="AQ702" s="2"/>
      <c r="AR702" s="2"/>
      <c r="AS702" s="2"/>
      <c r="AT702" s="2"/>
      <c r="AU702" s="2"/>
      <c r="AV702" s="2"/>
      <c r="AW702" s="2"/>
      <c r="AX702" s="2"/>
      <c r="AY702" s="2"/>
      <c r="AZ702" s="2"/>
      <c r="BA702" s="2"/>
      <c r="BB702" s="2"/>
    </row>
    <row r="703">
      <c r="A703" s="2">
        <f>IFERROR(__xludf.DUMMYFUNCTION("""COMPUTED_VALUE"""),699.0)</f>
        <v>699</v>
      </c>
      <c r="B703" s="2" t="str">
        <f>IFERROR(__xludf.DUMMYFUNCTION("""COMPUTED_VALUE"""),"COMPLETED")</f>
        <v>COMPLETED</v>
      </c>
      <c r="C703" s="74">
        <f>IFERROR(__xludf.DUMMYFUNCTION("""COMPUTED_VALUE"""),45632.0)</f>
        <v>45632</v>
      </c>
      <c r="D703" s="71" t="str">
        <f>IFERROR(__xludf.DUMMYFUNCTION("""COMPUTED_VALUE"""),"ABERAWAN FARMER'S ASSOCIATION (AFA)")</f>
        <v>ABERAWAN FARMER'S ASSOCIATION (AFA)</v>
      </c>
      <c r="E703" s="71" t="str">
        <f>IFERROR(__xludf.DUMMYFUNCTION("""COMPUTED_VALUE"""),"Aberawan, El Nido, Palawan")</f>
        <v>Aberawan, El Nido, Palawan</v>
      </c>
      <c r="F703" s="2" t="str">
        <f>IFERROR(__xludf.DUMMYFUNCTION("""COMPUTED_VALUE"""),"Marlon R. Panoncio")</f>
        <v>Marlon R. Panoncio</v>
      </c>
      <c r="G703" s="2" t="str">
        <f>IFERROR(__xludf.DUMMYFUNCTION("""COMPUTED_VALUE"""),"0975 5570164")</f>
        <v>0975 5570164</v>
      </c>
      <c r="H703" s="2"/>
      <c r="I703" s="72" t="str">
        <f>IFERROR(__xludf.DUMMYFUNCTION("""COMPUTED_VALUE"""),"SPARE PARTS ACQUISITION")</f>
        <v>SPARE PARTS ACQUISITION</v>
      </c>
      <c r="J703" s="72"/>
      <c r="K703" s="72" t="str">
        <f>IFERROR(__xludf.DUMMYFUNCTION("""COMPUTED_VALUE"""),"PARTS: FRONT AXLE OIL SEAL
ROTAVATOR PARTS: SHAFTING, GEARS, WASHER,")</f>
        <v>PARTS: FRONT AXLE OIL SEAL
ROTAVATOR PARTS: SHAFTING, GEARS, WASHER,</v>
      </c>
      <c r="L703" s="72" t="str">
        <f>IFERROR(__xludf.DUMMYFUNCTION("""COMPUTED_VALUE"""),"SEND QOUTATION")</f>
        <v>SEND QOUTATION</v>
      </c>
      <c r="M703" s="2"/>
      <c r="N703" s="2"/>
      <c r="O703" s="2" t="str">
        <f>IFERROR(__xludf.DUMMYFUNCTION("""COMPUTED_VALUE"""),"N/A")</f>
        <v>N/A</v>
      </c>
      <c r="P703" s="2"/>
      <c r="Q703" s="2"/>
      <c r="R703" s="74">
        <f>IFERROR(__xludf.DUMMYFUNCTION("""COMPUTED_VALUE"""),45719.0)</f>
        <v>45719</v>
      </c>
      <c r="S703" s="2" t="str">
        <f>IFERROR(__xludf.DUMMYFUNCTION("""COMPUTED_VALUE"""),"RCG")</f>
        <v>RCG</v>
      </c>
      <c r="T703" s="73" t="str">
        <f>IFERROR(__xludf.DUMMYFUNCTION("""COMPUTED_VALUE""")," N/A ")</f>
        <v>N/A</v>
      </c>
      <c r="U703" s="73" t="str">
        <f>IFERROR(__xludf.DUMMYFUNCTION("""COMPUTED_VALUE""")," NO CHARGE ")</f>
        <v>NO CHARGE</v>
      </c>
      <c r="V703" s="2"/>
      <c r="W703" s="2" t="str">
        <f>IFERROR(__xludf.DUMMYFUNCTION("""COMPUTED_VALUE"""),"N/A")</f>
        <v>N/A</v>
      </c>
      <c r="X703" s="2" t="str">
        <f>IFERROR(__xludf.DUMMYFUNCTION("""COMPUTED_VALUE"""),"N/A")</f>
        <v>N/A</v>
      </c>
      <c r="Y703" s="2"/>
      <c r="Z703" s="2"/>
      <c r="AA703" s="2"/>
      <c r="AB703" s="2"/>
      <c r="AC703" s="2"/>
      <c r="AD703" s="2"/>
      <c r="AE703" s="2"/>
      <c r="AF703" s="2"/>
      <c r="AG703" s="2"/>
      <c r="AH703" s="2"/>
      <c r="AI703" s="2"/>
      <c r="AJ703" s="2" t="str">
        <f>IFERROR(__xludf.DUMMYFUNCTION("""COMPUTED_VALUE"""),"Aberawan")</f>
        <v>Aberawan</v>
      </c>
      <c r="AK703" s="2" t="str">
        <f>IFERROR(__xludf.DUMMYFUNCTION("""COMPUTED_VALUE"""),"El Nido")</f>
        <v>El Nido</v>
      </c>
      <c r="AL703" s="2" t="str">
        <f>IFERROR(__xludf.DUMMYFUNCTION("""COMPUTED_VALUE"""),"Palawan")</f>
        <v>Palawan</v>
      </c>
      <c r="AM703" s="2" t="str">
        <f>IFERROR(__xludf.DUMMYFUNCTION("""COMPUTED_VALUE"""),"4B")</f>
        <v>4B</v>
      </c>
      <c r="AN703" s="2" t="str">
        <f>IFERROR(__xludf.DUMMYFUNCTION("""COMPUTED_VALUE"""),"RCEF 23-08-20 Rebidding")</f>
        <v>RCEF 23-08-20 Rebidding</v>
      </c>
      <c r="AO703" s="2">
        <f>IFERROR(__xludf.DUMMYFUNCTION("""COMPUTED_VALUE"""),1.0)</f>
        <v>1</v>
      </c>
      <c r="AP703" s="2"/>
      <c r="AQ703" s="2"/>
      <c r="AR703" s="2"/>
      <c r="AS703" s="2"/>
      <c r="AT703" s="2"/>
      <c r="AU703" s="2"/>
      <c r="AV703" s="2"/>
      <c r="AW703" s="2"/>
      <c r="AX703" s="2"/>
      <c r="AY703" s="2"/>
      <c r="AZ703" s="2"/>
      <c r="BA703" s="2"/>
      <c r="BB703" s="2"/>
    </row>
    <row r="704">
      <c r="A704" s="2">
        <f>IFERROR(__xludf.DUMMYFUNCTION("""COMPUTED_VALUE"""),700.0)</f>
        <v>700</v>
      </c>
      <c r="B704" s="2" t="str">
        <f>IFERROR(__xludf.DUMMYFUNCTION("""COMPUTED_VALUE"""),"COMPLETED")</f>
        <v>COMPLETED</v>
      </c>
      <c r="C704" s="74">
        <f>IFERROR(__xludf.DUMMYFUNCTION("""COMPUTED_VALUE"""),45633.0)</f>
        <v>45633</v>
      </c>
      <c r="D704" s="71" t="str">
        <f>IFERROR(__xludf.DUMMYFUNCTION("""COMPUTED_VALUE"""),"AGOS NG PAG-ASA KATAKIAN IRRIGATORS' ASSOCIATION INCORPORATED")</f>
        <v>AGOS NG PAG-ASA KATAKIAN IRRIGATORS' ASSOCIATION INCORPORATED</v>
      </c>
      <c r="E704" s="71" t="str">
        <f>IFERROR(__xludf.DUMMYFUNCTION("""COMPUTED_VALUE"""),"Landing, Tagkawayan, Quezon")</f>
        <v>Landing, Tagkawayan, Quezon</v>
      </c>
      <c r="F704" s="2" t="str">
        <f>IFERROR(__xludf.DUMMYFUNCTION("""COMPUTED_VALUE"""),"RUEL GONZAGA")</f>
        <v>RUEL GONZAGA</v>
      </c>
      <c r="G704" s="2" t="str">
        <f>IFERROR(__xludf.DUMMYFUNCTION("""COMPUTED_VALUE"""),"0998 333 6165")</f>
        <v>0998 333 6165</v>
      </c>
      <c r="H704" s="2">
        <f>IFERROR(__xludf.DUMMYFUNCTION("""COMPUTED_VALUE"""),400.0)</f>
        <v>400</v>
      </c>
      <c r="I704" s="72" t="str">
        <f>IFERROR(__xludf.DUMMYFUNCTION("""COMPUTED_VALUE"""),"PMS")</f>
        <v>PMS</v>
      </c>
      <c r="J704" s="72" t="str">
        <f>IFERROR(__xludf.DUMMYFUNCTION("""COMPUTED_VALUE"""),"PMS")</f>
        <v>PMS</v>
      </c>
      <c r="K704" s="72" t="str">
        <f>IFERROR(__xludf.DUMMYFUNCTION("""COMPUTED_VALUE"""),"FARMER: 2ND PMS
PARTS ORDER: HYDRAULIC FILTER")</f>
        <v>FARMER: 2ND PMS
PARTS ORDER: HYDRAULIC FILTER</v>
      </c>
      <c r="L704" s="72" t="str">
        <f>IFERROR(__xludf.DUMMYFUNCTION("""COMPUTED_VALUE"""),"JTT: 2ND PMS DONE")</f>
        <v>JTT: 2ND PMS DONE</v>
      </c>
      <c r="M704" s="2"/>
      <c r="N704" s="2" t="str">
        <f>IFERROR(__xludf.DUMMYFUNCTION("""COMPUTED_VALUE"""),"PARTS: OIL FILTER, HYDRAULIC FILTER, ENGINE OIL ")</f>
        <v>PARTS: OIL FILTER, HYDRAULIC FILTER, ENGINE OIL </v>
      </c>
      <c r="O704" s="2">
        <f>IFERROR(__xludf.DUMMYFUNCTION("""COMPUTED_VALUE"""),3.0)</f>
        <v>3</v>
      </c>
      <c r="P704" s="2" t="str">
        <f>IFERROR(__xludf.DUMMYFUNCTION("""COMPUTED_VALUE"""),"3-AGOS NG PAG-ASA KATAKIAN IRRIGATORS' ASSOCIATION INCORPORATED.pdf")</f>
        <v>3-AGOS NG PAG-ASA KATAKIAN IRRIGATORS' ASSOCIATION INCORPORATED.pdf</v>
      </c>
      <c r="Q704" s="2"/>
      <c r="R704" s="74">
        <f>IFERROR(__xludf.DUMMYFUNCTION("""COMPUTED_VALUE"""),45637.0)</f>
        <v>45637</v>
      </c>
      <c r="S704" s="2" t="str">
        <f>IFERROR(__xludf.DUMMYFUNCTION("""COMPUTED_VALUE"""),"JTT")</f>
        <v>JTT</v>
      </c>
      <c r="T704" s="73">
        <f>IFERROR(__xludf.DUMMYFUNCTION("""COMPUTED_VALUE"""),5941.0)</f>
        <v>5941</v>
      </c>
      <c r="U704" s="73" t="str">
        <f>IFERROR(__xludf.DUMMYFUNCTION("""COMPUTED_VALUE""")," REMITTED ")</f>
        <v>REMITTED</v>
      </c>
      <c r="V704" s="2"/>
      <c r="W704" s="2">
        <f>IFERROR(__xludf.DUMMYFUNCTION("""COMPUTED_VALUE"""),1221.0)</f>
        <v>1221</v>
      </c>
      <c r="X704" s="2">
        <f>IFERROR(__xludf.DUMMYFUNCTION("""COMPUTED_VALUE"""),1293.0)</f>
        <v>1293</v>
      </c>
      <c r="Y704" s="2"/>
      <c r="Z704" s="2"/>
      <c r="AA704" s="2"/>
      <c r="AB704" s="2"/>
      <c r="AC704" s="2"/>
      <c r="AD704" s="2"/>
      <c r="AE704" s="2"/>
      <c r="AF704" s="2"/>
      <c r="AG704" s="2"/>
      <c r="AH704" s="2"/>
      <c r="AI704" s="2"/>
      <c r="AJ704" s="2" t="str">
        <f>IFERROR(__xludf.DUMMYFUNCTION("""COMPUTED_VALUE"""),"Landing")</f>
        <v>Landing</v>
      </c>
      <c r="AK704" s="2" t="str">
        <f>IFERROR(__xludf.DUMMYFUNCTION("""COMPUTED_VALUE"""),"Tagkawayan")</f>
        <v>Tagkawayan</v>
      </c>
      <c r="AL704" s="2" t="str">
        <f>IFERROR(__xludf.DUMMYFUNCTION("""COMPUTED_VALUE"""),"Quezon")</f>
        <v>Quezon</v>
      </c>
      <c r="AM704" s="2" t="str">
        <f>IFERROR(__xludf.DUMMYFUNCTION("""COMPUTED_VALUE"""),"4A")</f>
        <v>4A</v>
      </c>
      <c r="AN704" s="2" t="str">
        <f>IFERROR(__xludf.DUMMYFUNCTION("""COMPUTED_VALUE"""),"RCEF 23-08-20 Rebidding")</f>
        <v>RCEF 23-08-20 Rebidding</v>
      </c>
      <c r="AO704" s="2">
        <f>IFERROR(__xludf.DUMMYFUNCTION("""COMPUTED_VALUE"""),1.0)</f>
        <v>1</v>
      </c>
      <c r="AP704" s="2"/>
      <c r="AQ704" s="2"/>
      <c r="AR704" s="2"/>
      <c r="AS704" s="2"/>
      <c r="AT704" s="2"/>
      <c r="AU704" s="2"/>
      <c r="AV704" s="2"/>
      <c r="AW704" s="2"/>
      <c r="AX704" s="2"/>
      <c r="AY704" s="2"/>
      <c r="AZ704" s="2"/>
      <c r="BA704" s="2"/>
      <c r="BB704" s="2"/>
    </row>
    <row r="705">
      <c r="A705" s="2">
        <f>IFERROR(__xludf.DUMMYFUNCTION("""COMPUTED_VALUE"""),701.0)</f>
        <v>701</v>
      </c>
      <c r="B705" s="2" t="str">
        <f>IFERROR(__xludf.DUMMYFUNCTION("""COMPUTED_VALUE"""),"COMPLETED")</f>
        <v>COMPLETED</v>
      </c>
      <c r="C705" s="74">
        <f>IFERROR(__xludf.DUMMYFUNCTION("""COMPUTED_VALUE"""),45633.0)</f>
        <v>45633</v>
      </c>
      <c r="D705" s="71" t="str">
        <f>IFERROR(__xludf.DUMMYFUNCTION("""COMPUTED_VALUE"""),"MAGSASAKA NG BAGONG HENERASYON NG BARANGAY SIMMINUBLAN (MBHBS)")</f>
        <v>MAGSASAKA NG BAGONG HENERASYON NG BARANGAY SIMMINUBLAN (MBHBS)</v>
      </c>
      <c r="E705" s="71" t="str">
        <f>IFERROR(__xludf.DUMMYFUNCTION("""COMPUTED_VALUE"""),"Siminublan, San Narciso, ZAMBALES")</f>
        <v>Siminublan, San Narciso, ZAMBALES</v>
      </c>
      <c r="F705" s="2"/>
      <c r="G705" s="2"/>
      <c r="H705" s="2"/>
      <c r="I705" s="72" t="str">
        <f>IFERROR(__xludf.DUMMYFUNCTION("""COMPUTED_VALUE"""),"REPAIR - TRACTOR")</f>
        <v>REPAIR - TRACTOR</v>
      </c>
      <c r="J705" s="72" t="str">
        <f>IFERROR(__xludf.DUMMYFUNCTION("""COMPUTED_VALUE"""),"Electrical - Wire Harness")</f>
        <v>Electrical - Wire Harness</v>
      </c>
      <c r="K705" s="72" t="str">
        <f>IFERROR(__xludf.DUMMYFUNCTION("""COMPUTED_VALUE"""),"JHP: Pedw poh pakitignan tractor ng assn nmin San Narciso poh ... Bakit poh Bigla namamatay un Rotavator kahit nak switch poh Sabi ng operator. Dina rin gumagana  mga ilaw nya sir... Dina poh pla Makita sir ang machine hrs Kong ilan na consume kasi poh Di"&amp;"na Makita at mabasa dw Sabi ng binata qo
DRM: 12/11/24: Pahinto hinto ang rotavator at Combination Lamp Sw. nasunog.
PARTS: COMBINATION LAMP SWITCH
ERP: PARTS: ALL HARNESS OF TRACTOR
13:JTT: 2/12/25: KAILANGAN PALITAN ANG BUONG HARNESS, MAIN HARNESS ANG"&amp;" SIRA KAYA NASUNOG AT TUMIGIL ANG PTO
")</f>
        <v>JHP: Pedw poh pakitignan tractor ng assn nmin San Narciso poh ... Bakit poh Bigla namamatay un Rotavator kahit nak switch poh Sabi ng operator. Dina rin gumagana  mga ilaw nya sir... Dina poh pla Makita sir ang machine hrs Kong ilan na consume kasi poh Dina Makita at mabasa dw Sabi ng binata qo
DRM: 12/11/24: Pahinto hinto ang rotavator at Combination Lamp Sw. nasunog.
PARTS: COMBINATION LAMP SWITCH
ERP: PARTS: ALL HARNESS OF TRACTOR
13:JTT: 2/12/25: KAILANGAN PALITAN ANG BUONG HARNESS, MAIN HARNESS ANG SIRA KAYA NASUNOG AT TUMIGIL ANG PTO
</v>
      </c>
      <c r="L705" s="72" t="str">
        <f>IFERROR(__xludf.DUMMYFUNCTION("""COMPUTED_VALUE"""),"EGT: FCA RECEIVED COMBINATION LAMP")</f>
        <v>EGT: FCA RECEIVED COMBINATION LAMP</v>
      </c>
      <c r="M705" s="2"/>
      <c r="N705" s="2" t="str">
        <f>IFERROR(__xludf.DUMMYFUNCTION("""COMPUTED_VALUE"""),"PARTS: 
COMBINATION LAMP SWITCH
WARRANTY BY LTC")</f>
        <v>PARTS: 
COMBINATION LAMP SWITCH
WARRANTY BY LTC</v>
      </c>
      <c r="O705" s="2">
        <f>IFERROR(__xludf.DUMMYFUNCTION("""COMPUTED_VALUE"""),1120.0)</f>
        <v>1120</v>
      </c>
      <c r="P705" s="2"/>
      <c r="Q705" s="2"/>
      <c r="R705" s="74">
        <f>IFERROR(__xludf.DUMMYFUNCTION("""COMPUTED_VALUE"""),45763.0)</f>
        <v>45763</v>
      </c>
      <c r="S705" s="2" t="str">
        <f>IFERROR(__xludf.DUMMYFUNCTION("""COMPUTED_VALUE"""),"DRM/EGT")</f>
        <v>DRM/EGT</v>
      </c>
      <c r="T705" s="73" t="str">
        <f>IFERROR(__xludf.DUMMYFUNCTION("""COMPUTED_VALUE""")," N/A ")</f>
        <v>N/A</v>
      </c>
      <c r="U705" s="73" t="str">
        <f>IFERROR(__xludf.DUMMYFUNCTION("""COMPUTED_VALUE""")," NO CHARGE ")</f>
        <v>NO CHARGE</v>
      </c>
      <c r="V705" s="2"/>
      <c r="W705" s="2" t="str">
        <f>IFERROR(__xludf.DUMMYFUNCTION("""COMPUTED_VALUE"""),"N/A")</f>
        <v>N/A</v>
      </c>
      <c r="X705" s="2" t="str">
        <f>IFERROR(__xludf.DUMMYFUNCTION("""COMPUTED_VALUE"""),"N/A")</f>
        <v>N/A</v>
      </c>
      <c r="Y705" s="2"/>
      <c r="Z705" s="2"/>
      <c r="AA705" s="2"/>
      <c r="AB705" s="2"/>
      <c r="AC705" s="2"/>
      <c r="AD705" s="2"/>
      <c r="AE705" s="2"/>
      <c r="AF705" s="2"/>
      <c r="AG705" s="2"/>
      <c r="AH705" s="2"/>
      <c r="AI705" s="2"/>
      <c r="AJ705" s="2" t="str">
        <f>IFERROR(__xludf.DUMMYFUNCTION("""COMPUTED_VALUE"""),"Siminublan")</f>
        <v>Siminublan</v>
      </c>
      <c r="AK705" s="2" t="str">
        <f>IFERROR(__xludf.DUMMYFUNCTION("""COMPUTED_VALUE"""),"San Narciso")</f>
        <v>San Narciso</v>
      </c>
      <c r="AL705" s="2" t="str">
        <f>IFERROR(__xludf.DUMMYFUNCTION("""COMPUTED_VALUE"""),"Zambales")</f>
        <v>Zambales</v>
      </c>
      <c r="AM705" s="2">
        <f>IFERROR(__xludf.DUMMYFUNCTION("""COMPUTED_VALUE"""),3.0)</f>
        <v>3</v>
      </c>
      <c r="AN705" s="2" t="str">
        <f>IFERROR(__xludf.DUMMYFUNCTION("""COMPUTED_VALUE"""),"RCEF 23-09-21 Rebidding")</f>
        <v>RCEF 23-09-21 Rebidding</v>
      </c>
      <c r="AO705" s="2">
        <f>IFERROR(__xludf.DUMMYFUNCTION("""COMPUTED_VALUE"""),9.0)</f>
        <v>9</v>
      </c>
      <c r="AP705" s="2"/>
      <c r="AQ705" s="2"/>
      <c r="AR705" s="2"/>
      <c r="AS705" s="2"/>
      <c r="AT705" s="2"/>
      <c r="AU705" s="2"/>
      <c r="AV705" s="2"/>
      <c r="AW705" s="2"/>
      <c r="AX705" s="2"/>
      <c r="AY705" s="2"/>
      <c r="AZ705" s="2"/>
      <c r="BA705" s="2"/>
      <c r="BB705" s="2"/>
    </row>
    <row r="706">
      <c r="A706" s="2">
        <f>IFERROR(__xludf.DUMMYFUNCTION("""COMPUTED_VALUE"""),702.0)</f>
        <v>702</v>
      </c>
      <c r="B706" s="2" t="str">
        <f>IFERROR(__xludf.DUMMYFUNCTION("""COMPUTED_VALUE"""),"COMPLETED")</f>
        <v>COMPLETED</v>
      </c>
      <c r="C706" s="74">
        <f>IFERROR(__xludf.DUMMYFUNCTION("""COMPUTED_VALUE"""),45633.0)</f>
        <v>45633</v>
      </c>
      <c r="D706" s="71" t="str">
        <f>IFERROR(__xludf.DUMMYFUNCTION("""COMPUTED_VALUE"""),"Municipal Local Government Unit of Llanera")</f>
        <v>Municipal Local Government Unit of Llanera</v>
      </c>
      <c r="E706" s="71" t="str">
        <f>IFERROR(__xludf.DUMMYFUNCTION("""COMPUTED_VALUE"""),"Victoria, Llanera, NUEVA ECIJA")</f>
        <v>Victoria, Llanera, NUEVA ECIJA</v>
      </c>
      <c r="F706" s="2" t="str">
        <f>IFERROR(__xludf.DUMMYFUNCTION("""COMPUTED_VALUE"""),"Loulex M. Corpuz")</f>
        <v>Loulex M. Corpuz</v>
      </c>
      <c r="G706" s="2">
        <f>IFERROR(__xludf.DUMMYFUNCTION("""COMPUTED_VALUE"""),9.173027368E9)</f>
        <v>9173027368</v>
      </c>
      <c r="H706" s="2">
        <f>IFERROR(__xludf.DUMMYFUNCTION("""COMPUTED_VALUE"""),300.0)</f>
        <v>300</v>
      </c>
      <c r="I706" s="72" t="str">
        <f>IFERROR(__xludf.DUMMYFUNCTION("""COMPUTED_VALUE"""),"SPARE PARTS ACQUISITION")</f>
        <v>SPARE PARTS ACQUISITION</v>
      </c>
      <c r="J706" s="72"/>
      <c r="K706" s="72" t="str">
        <f>IFERROR(__xludf.DUMMYFUNCTION("""COMPUTED_VALUE"""),"KFS: 40PCS ROTAVATOR BLADES
BMD: Maintenance check up (may tumagatagas na langis sa may upuan)")</f>
        <v>KFS: 40PCS ROTAVATOR BLADES
BMD: Maintenance check up (may tumagatagas na langis sa may upuan)</v>
      </c>
      <c r="L706" s="72" t="str">
        <f>IFERROR(__xludf.DUMMYFUNCTION("""COMPUTED_VALUE"""),"ACS: 2ND PMS DONE 
DSD: 40 PCS ROTAVATOR BLADE DELIVERED")</f>
        <v>ACS: 2ND PMS DONE 
DSD: 40 PCS ROTAVATOR BLADE DELIVERED</v>
      </c>
      <c r="M706" s="2"/>
      <c r="N706" s="2" t="str">
        <f>IFERROR(__xludf.DUMMYFUNCTION("""COMPUTED_VALUE"""),"PARTS: 
HYDRAULIC FILTER, 
40 PCS ROTAVATOR BLADE")</f>
        <v>PARTS: 
HYDRAULIC FILTER, 
40 PCS ROTAVATOR BLADE</v>
      </c>
      <c r="O706" s="2" t="str">
        <f>IFERROR(__xludf.DUMMYFUNCTION("""COMPUTED_VALUE"""),"1060 / ")</f>
        <v>1060 / </v>
      </c>
      <c r="P706" s="2"/>
      <c r="Q706" s="2"/>
      <c r="R706" s="74">
        <f>IFERROR(__xludf.DUMMYFUNCTION("""COMPUTED_VALUE"""),45636.0)</f>
        <v>45636</v>
      </c>
      <c r="S706" s="2" t="str">
        <f>IFERROR(__xludf.DUMMYFUNCTION("""COMPUTED_VALUE"""),"ACS/DSD")</f>
        <v>ACS/DSD</v>
      </c>
      <c r="T706" s="73">
        <f>IFERROR(__xludf.DUMMYFUNCTION("""COMPUTED_VALUE"""),28800.0)</f>
        <v>28800</v>
      </c>
      <c r="U706" s="73" t="str">
        <f>IFERROR(__xludf.DUMMYFUNCTION("""COMPUTED_VALUE""")," REMITTED ")</f>
        <v>REMITTED</v>
      </c>
      <c r="V706" s="2"/>
      <c r="W706" s="2" t="str">
        <f>IFERROR(__xludf.DUMMYFUNCTION("""COMPUTED_VALUE"""),"1464 / 1463")</f>
        <v>1464 / 1463</v>
      </c>
      <c r="X706" s="2" t="str">
        <f>IFERROR(__xludf.DUMMYFUNCTION("""COMPUTED_VALUE"""),"1287/1286")</f>
        <v>1287/1286</v>
      </c>
      <c r="Y706" s="2"/>
      <c r="Z706" s="2"/>
      <c r="AA706" s="2"/>
      <c r="AB706" s="2"/>
      <c r="AC706" s="2"/>
      <c r="AD706" s="2"/>
      <c r="AE706" s="2"/>
      <c r="AF706" s="2"/>
      <c r="AG706" s="2"/>
      <c r="AH706" s="2"/>
      <c r="AI706" s="2"/>
      <c r="AJ706" s="2" t="str">
        <f>IFERROR(__xludf.DUMMYFUNCTION("""COMPUTED_VALUE"""),"Victoria")</f>
        <v>Victoria</v>
      </c>
      <c r="AK706" s="2" t="str">
        <f>IFERROR(__xludf.DUMMYFUNCTION("""COMPUTED_VALUE"""),"Llanera")</f>
        <v>Llanera</v>
      </c>
      <c r="AL706" s="2" t="str">
        <f>IFERROR(__xludf.DUMMYFUNCTION("""COMPUTED_VALUE"""),"Nueva Ecija")</f>
        <v>Nueva Ecija</v>
      </c>
      <c r="AM706" s="2">
        <f>IFERROR(__xludf.DUMMYFUNCTION("""COMPUTED_VALUE"""),3.0)</f>
        <v>3</v>
      </c>
      <c r="AN706" s="2" t="str">
        <f>IFERROR(__xludf.DUMMYFUNCTION("""COMPUTED_VALUE"""),"RCEF 23-09-21 Rebidding")</f>
        <v>RCEF 23-09-21 Rebidding</v>
      </c>
      <c r="AO706" s="2">
        <f>IFERROR(__xludf.DUMMYFUNCTION("""COMPUTED_VALUE"""),3.0)</f>
        <v>3</v>
      </c>
      <c r="AP706" s="2"/>
      <c r="AQ706" s="2"/>
      <c r="AR706" s="2"/>
      <c r="AS706" s="2"/>
      <c r="AT706" s="2"/>
      <c r="AU706" s="2"/>
      <c r="AV706" s="2"/>
      <c r="AW706" s="2"/>
      <c r="AX706" s="2"/>
      <c r="AY706" s="2"/>
      <c r="AZ706" s="2"/>
      <c r="BA706" s="2"/>
      <c r="BB706" s="2"/>
    </row>
    <row r="707">
      <c r="A707" s="2">
        <f>IFERROR(__xludf.DUMMYFUNCTION("""COMPUTED_VALUE"""),703.0)</f>
        <v>703</v>
      </c>
      <c r="B707" s="2" t="str">
        <f>IFERROR(__xludf.DUMMYFUNCTION("""COMPUTED_VALUE"""),"COMPLETED")</f>
        <v>COMPLETED</v>
      </c>
      <c r="C707" s="74">
        <f>IFERROR(__xludf.DUMMYFUNCTION("""COMPUTED_VALUE"""),45633.0)</f>
        <v>45633</v>
      </c>
      <c r="D707" s="71" t="str">
        <f>IFERROR(__xludf.DUMMYFUNCTION("""COMPUTED_VALUE"""),"MARCEL DEL PILAR FARMERS ASSOCIATION (MDPILFA)")</f>
        <v>MARCEL DEL PILAR FARMERS ASSOCIATION (MDPILFA)</v>
      </c>
      <c r="E707" s="71" t="str">
        <f>IFERROR(__xludf.DUMMYFUNCTION("""COMPUTED_VALUE"""),"M. H. Del Pilar, Pontevedra, NEGROS OCCIDENTAL")</f>
        <v>M. H. Del Pilar, Pontevedra, NEGROS OCCIDENTAL</v>
      </c>
      <c r="F707" s="2" t="str">
        <f>IFERROR(__xludf.DUMMYFUNCTION("""COMPUTED_VALUE"""),"‎Jenny Saludares")</f>
        <v>‎Jenny Saludares</v>
      </c>
      <c r="G707" s="2" t="str">
        <f>IFERROR(__xludf.DUMMYFUNCTION("""COMPUTED_VALUE"""),"9948221704   /   09633729723")</f>
        <v>9948221704   /   09633729723</v>
      </c>
      <c r="H707" s="2">
        <f>IFERROR(__xludf.DUMMYFUNCTION("""COMPUTED_VALUE"""),130.0)</f>
        <v>130</v>
      </c>
      <c r="I707" s="72" t="str">
        <f>IFERROR(__xludf.DUMMYFUNCTION("""COMPUTED_VALUE"""),"REPAIR - TRACTOR")</f>
        <v>REPAIR - TRACTOR</v>
      </c>
      <c r="J707" s="72" t="str">
        <f>IFERROR(__xludf.DUMMYFUNCTION("""COMPUTED_VALUE"""),"RADIATOR")</f>
        <v>RADIATOR</v>
      </c>
      <c r="K707" s="72" t="str">
        <f>IFERROR(__xludf.DUMMYFUNCTION("""COMPUTED_VALUE"""),"ERP: LEAKING RADIATOR
MYKEE: MAY BITAK SA IBABAW NG RADIATOR")</f>
        <v>ERP: LEAKING RADIATOR
MYKEE: MAY BITAK SA IBABAW NG RADIATOR</v>
      </c>
      <c r="L707" s="72" t="str">
        <f>IFERROR(__xludf.DUMMYFUNCTION("""COMPUTED_VALUE"""),"EGT: REPLACED THE RADIATOR AND CHECK UP THE UNIT")</f>
        <v>EGT: REPLACED THE RADIATOR AND CHECK UP THE UNIT</v>
      </c>
      <c r="M707" s="2"/>
      <c r="N707" s="2" t="str">
        <f>IFERROR(__xludf.DUMMYFUNCTION("""COMPUTED_VALUE"""),"PARTS: RADIATOR")</f>
        <v>PARTS: RADIATOR</v>
      </c>
      <c r="O707" s="2">
        <f>IFERROR(__xludf.DUMMYFUNCTION("""COMPUTED_VALUE"""),1345.0)</f>
        <v>1345</v>
      </c>
      <c r="P707" s="2"/>
      <c r="Q707" s="2"/>
      <c r="R707" s="74">
        <f>IFERROR(__xludf.DUMMYFUNCTION("""COMPUTED_VALUE"""),45693.0)</f>
        <v>45693</v>
      </c>
      <c r="S707" s="2" t="str">
        <f>IFERROR(__xludf.DUMMYFUNCTION("""COMPUTED_VALUE"""),"EGT/DRM")</f>
        <v>EGT/DRM</v>
      </c>
      <c r="T707" s="73" t="str">
        <f>IFERROR(__xludf.DUMMYFUNCTION("""COMPUTED_VALUE""")," N/A ")</f>
        <v>N/A</v>
      </c>
      <c r="U707" s="73" t="str">
        <f>IFERROR(__xludf.DUMMYFUNCTION("""COMPUTED_VALUE""")," NO CHARGE ")</f>
        <v>NO CHARGE</v>
      </c>
      <c r="V707" s="2"/>
      <c r="W707" s="2" t="str">
        <f>IFERROR(__xludf.DUMMYFUNCTION("""COMPUTED_VALUE"""),"N/A")</f>
        <v>N/A</v>
      </c>
      <c r="X707" s="2" t="str">
        <f>IFERROR(__xludf.DUMMYFUNCTION("""COMPUTED_VALUE"""),"N/A")</f>
        <v>N/A</v>
      </c>
      <c r="Y707" s="2"/>
      <c r="Z707" s="2"/>
      <c r="AA707" s="2"/>
      <c r="AB707" s="2"/>
      <c r="AC707" s="2"/>
      <c r="AD707" s="2"/>
      <c r="AE707" s="2"/>
      <c r="AF707" s="2"/>
      <c r="AG707" s="2"/>
      <c r="AH707" s="2"/>
      <c r="AI707" s="2"/>
      <c r="AJ707" s="2" t="str">
        <f>IFERROR(__xludf.DUMMYFUNCTION("""COMPUTED_VALUE"""),"M. H. Del Pilar")</f>
        <v>M. H. Del Pilar</v>
      </c>
      <c r="AK707" s="2" t="str">
        <f>IFERROR(__xludf.DUMMYFUNCTION("""COMPUTED_VALUE"""),"Pontevedra")</f>
        <v>Pontevedra</v>
      </c>
      <c r="AL707" s="2" t="str">
        <f>IFERROR(__xludf.DUMMYFUNCTION("""COMPUTED_VALUE"""),"Negros Occidental")</f>
        <v>Negros Occidental</v>
      </c>
      <c r="AM707" s="2">
        <f>IFERROR(__xludf.DUMMYFUNCTION("""COMPUTED_VALUE"""),6.0)</f>
        <v>6</v>
      </c>
      <c r="AN707" s="2" t="str">
        <f>IFERROR(__xludf.DUMMYFUNCTION("""COMPUTED_VALUE"""),"RCEF 23-09-21 Rebidding")</f>
        <v>RCEF 23-09-21 Rebidding</v>
      </c>
      <c r="AO707" s="2">
        <f>IFERROR(__xludf.DUMMYFUNCTION("""COMPUTED_VALUE"""),4.0)</f>
        <v>4</v>
      </c>
      <c r="AP707" s="2"/>
      <c r="AQ707" s="2"/>
      <c r="AR707" s="2"/>
      <c r="AS707" s="2"/>
      <c r="AT707" s="2"/>
      <c r="AU707" s="2"/>
      <c r="AV707" s="2"/>
      <c r="AW707" s="2"/>
      <c r="AX707" s="2"/>
      <c r="AY707" s="2"/>
      <c r="AZ707" s="2"/>
      <c r="BA707" s="2"/>
      <c r="BB707" s="2"/>
    </row>
    <row r="708">
      <c r="A708" s="2">
        <f>IFERROR(__xludf.DUMMYFUNCTION("""COMPUTED_VALUE"""),704.0)</f>
        <v>704</v>
      </c>
      <c r="B708" s="2" t="str">
        <f>IFERROR(__xludf.DUMMYFUNCTION("""COMPUTED_VALUE"""),"COMPLETED")</f>
        <v>COMPLETED</v>
      </c>
      <c r="C708" s="74">
        <f>IFERROR(__xludf.DUMMYFUNCTION("""COMPUTED_VALUE"""),45633.0)</f>
        <v>45633</v>
      </c>
      <c r="D708" s="71" t="str">
        <f>IFERROR(__xludf.DUMMYFUNCTION("""COMPUTED_VALUE"""),"GUMAWISAN MAPACO FARMERS ASSOCIATION")</f>
        <v>GUMAWISAN MAPACO FARMERS ASSOCIATION</v>
      </c>
      <c r="E708" s="71" t="str">
        <f>IFERROR(__xludf.DUMMYFUNCTION("""COMPUTED_VALUE"""),"Mapaco, Pinukpuk, KALINGA")</f>
        <v>Mapaco, Pinukpuk, KALINGA</v>
      </c>
      <c r="F708" s="2" t="str">
        <f>IFERROR(__xludf.DUMMYFUNCTION("""COMPUTED_VALUE"""),"MELVIN LEE R. MANGWAG")</f>
        <v>MELVIN LEE R. MANGWAG</v>
      </c>
      <c r="G708" s="2">
        <f>IFERROR(__xludf.DUMMYFUNCTION("""COMPUTED_VALUE"""),9.069310401E9)</f>
        <v>9069310401</v>
      </c>
      <c r="H708" s="2">
        <f>IFERROR(__xludf.DUMMYFUNCTION("""COMPUTED_VALUE"""),60.0)</f>
        <v>60</v>
      </c>
      <c r="I708" s="72" t="str">
        <f>IFERROR(__xludf.DUMMYFUNCTION("""COMPUTED_VALUE"""),"PMS")</f>
        <v>PMS</v>
      </c>
      <c r="J708" s="72"/>
      <c r="K708" s="72" t="str">
        <f>IFERROR(__xludf.DUMMYFUNCTION("""COMPUTED_VALUE"""),"JHP: request 50 hrs charge oil ")</f>
        <v>JHP: request 50 hrs charge oil </v>
      </c>
      <c r="L708" s="72" t="str">
        <f>IFERROR(__xludf.DUMMYFUNCTION("""COMPUTED_VALUE"""),"CFG: OK NA, NA PMS NA NILA")</f>
        <v>CFG: OK NA, NA PMS NA NILA</v>
      </c>
      <c r="M708" s="2"/>
      <c r="N708" s="2"/>
      <c r="O708" s="2" t="str">
        <f>IFERROR(__xludf.DUMMYFUNCTION("""COMPUTED_VALUE"""),"N/A")</f>
        <v>N/A</v>
      </c>
      <c r="P708" s="2"/>
      <c r="Q708" s="2"/>
      <c r="R708" s="74">
        <f>IFERROR(__xludf.DUMMYFUNCTION("""COMPUTED_VALUE"""),45638.0)</f>
        <v>45638</v>
      </c>
      <c r="S708" s="2" t="str">
        <f>IFERROR(__xludf.DUMMYFUNCTION("""COMPUTED_VALUE"""),"CFG")</f>
        <v>CFG</v>
      </c>
      <c r="T708" s="73" t="str">
        <f>IFERROR(__xludf.DUMMYFUNCTION("""COMPUTED_VALUE""")," N/A ")</f>
        <v>N/A</v>
      </c>
      <c r="U708" s="73" t="str">
        <f>IFERROR(__xludf.DUMMYFUNCTION("""COMPUTED_VALUE""")," NO CHARGE ")</f>
        <v>NO CHARGE</v>
      </c>
      <c r="V708" s="2"/>
      <c r="W708" s="2" t="str">
        <f>IFERROR(__xludf.DUMMYFUNCTION("""COMPUTED_VALUE"""),"N/A")</f>
        <v>N/A</v>
      </c>
      <c r="X708" s="2" t="str">
        <f>IFERROR(__xludf.DUMMYFUNCTION("""COMPUTED_VALUE"""),"N/A")</f>
        <v>N/A</v>
      </c>
      <c r="Y708" s="2"/>
      <c r="Z708" s="2"/>
      <c r="AA708" s="2"/>
      <c r="AB708" s="2"/>
      <c r="AC708" s="2"/>
      <c r="AD708" s="2"/>
      <c r="AE708" s="2"/>
      <c r="AF708" s="2"/>
      <c r="AG708" s="2"/>
      <c r="AH708" s="2"/>
      <c r="AI708" s="2"/>
      <c r="AJ708" s="2" t="str">
        <f>IFERROR(__xludf.DUMMYFUNCTION("""COMPUTED_VALUE"""),"Mapaco")</f>
        <v>Mapaco</v>
      </c>
      <c r="AK708" s="2" t="str">
        <f>IFERROR(__xludf.DUMMYFUNCTION("""COMPUTED_VALUE"""),"Pinukpuk")</f>
        <v>Pinukpuk</v>
      </c>
      <c r="AL708" s="2" t="str">
        <f>IFERROR(__xludf.DUMMYFUNCTION("""COMPUTED_VALUE"""),"Kalinga")</f>
        <v>Kalinga</v>
      </c>
      <c r="AM708" s="2" t="str">
        <f>IFERROR(__xludf.DUMMYFUNCTION("""COMPUTED_VALUE"""),"CAR")</f>
        <v>CAR</v>
      </c>
      <c r="AN708" s="2" t="str">
        <f>IFERROR(__xludf.DUMMYFUNCTION("""COMPUTED_VALUE"""),"RCEF 23-09-21 Rebidding")</f>
        <v>RCEF 23-09-21 Rebidding</v>
      </c>
      <c r="AO708" s="2">
        <f>IFERROR(__xludf.DUMMYFUNCTION("""COMPUTED_VALUE"""),1.0)</f>
        <v>1</v>
      </c>
      <c r="AP708" s="2"/>
      <c r="AQ708" s="2"/>
      <c r="AR708" s="2"/>
      <c r="AS708" s="2"/>
      <c r="AT708" s="2"/>
      <c r="AU708" s="2"/>
      <c r="AV708" s="2"/>
      <c r="AW708" s="2"/>
      <c r="AX708" s="2"/>
      <c r="AY708" s="2"/>
      <c r="AZ708" s="2"/>
      <c r="BA708" s="2"/>
      <c r="BB708" s="2"/>
    </row>
    <row r="709">
      <c r="A709" s="2">
        <f>IFERROR(__xludf.DUMMYFUNCTION("""COMPUTED_VALUE"""),705.0)</f>
        <v>705</v>
      </c>
      <c r="B709" s="2" t="str">
        <f>IFERROR(__xludf.DUMMYFUNCTION("""COMPUTED_VALUE"""),"COMPLETED")</f>
        <v>COMPLETED</v>
      </c>
      <c r="C709" s="74">
        <f>IFERROR(__xludf.DUMMYFUNCTION("""COMPUTED_VALUE"""),45633.0)</f>
        <v>45633</v>
      </c>
      <c r="D709" s="71" t="str">
        <f>IFERROR(__xludf.DUMMYFUNCTION("""COMPUTED_VALUE"""),"MALIGCONG FARMERS ASSOCIATION")</f>
        <v>MALIGCONG FARMERS ASSOCIATION</v>
      </c>
      <c r="E709" s="71" t="str">
        <f>IFERROR(__xludf.DUMMYFUNCTION("""COMPUTED_VALUE"""),"MALIGCONG, SALCEDO, ILOCOS SUR")</f>
        <v>MALIGCONG, SALCEDO, ILOCOS SUR</v>
      </c>
      <c r="F709" s="2" t="str">
        <f>IFERROR(__xludf.DUMMYFUNCTION("""COMPUTED_VALUE"""),"Admer D. Ortinez Jr.")</f>
        <v>Admer D. Ortinez Jr.</v>
      </c>
      <c r="G709" s="2">
        <f>IFERROR(__xludf.DUMMYFUNCTION("""COMPUTED_VALUE"""),9.558327248E9)</f>
        <v>9558327248</v>
      </c>
      <c r="H709" s="2">
        <f>IFERROR(__xludf.DUMMYFUNCTION("""COMPUTED_VALUE"""),258.0)</f>
        <v>258</v>
      </c>
      <c r="I709" s="72" t="str">
        <f>IFERROR(__xludf.DUMMYFUNCTION("""COMPUTED_VALUE"""),"SPARE PARTS ACQUISITION")</f>
        <v>SPARE PARTS ACQUISITION</v>
      </c>
      <c r="J709" s="72"/>
      <c r="K709" s="72" t="str">
        <f>IFERROR(__xludf.DUMMYFUNCTION("""COMPUTED_VALUE"""),"KFS:  OIL FILTER (FOR  COURIER)")</f>
        <v>KFS:  OIL FILTER (FOR  COURIER)</v>
      </c>
      <c r="L709" s="72" t="str">
        <f>IFERROR(__xludf.DUMMYFUNCTION("""COMPUTED_VALUE"""),"ACS: DELIVERED")</f>
        <v>ACS: DELIVERED</v>
      </c>
      <c r="M709" s="2"/>
      <c r="N709" s="2" t="str">
        <f>IFERROR(__xludf.DUMMYFUNCTION("""COMPUTED_VALUE"""),"PARTS: OIL FILTER")</f>
        <v>PARTS: OIL FILTER</v>
      </c>
      <c r="O709" s="2" t="str">
        <f>IFERROR(__xludf.DUMMYFUNCTION("""COMPUTED_VALUE"""),"N/A")</f>
        <v>N/A</v>
      </c>
      <c r="P709" s="2"/>
      <c r="Q709" s="2"/>
      <c r="R709" s="74">
        <f>IFERROR(__xludf.DUMMYFUNCTION("""COMPUTED_VALUE"""),45639.0)</f>
        <v>45639</v>
      </c>
      <c r="S709" s="2" t="str">
        <f>IFERROR(__xludf.DUMMYFUNCTION("""COMPUTED_VALUE"""),"ACS/JHP")</f>
        <v>ACS/JHP</v>
      </c>
      <c r="T709" s="73">
        <f>IFERROR(__xludf.DUMMYFUNCTION("""COMPUTED_VALUE"""),1533.0)</f>
        <v>1533</v>
      </c>
      <c r="U709" s="73" t="str">
        <f>IFERROR(__xludf.DUMMYFUNCTION("""COMPUTED_VALUE""")," FOR REMIT ")</f>
        <v>FOR REMIT</v>
      </c>
      <c r="V709" s="2"/>
      <c r="W709" s="2" t="str">
        <f>IFERROR(__xludf.DUMMYFUNCTION("""COMPUTED_VALUE"""),"NO CR")</f>
        <v>NO CR</v>
      </c>
      <c r="X709" s="2"/>
      <c r="Y709" s="2"/>
      <c r="Z709" s="2"/>
      <c r="AA709" s="2"/>
      <c r="AB709" s="2"/>
      <c r="AC709" s="2"/>
      <c r="AD709" s="2"/>
      <c r="AE709" s="2"/>
      <c r="AF709" s="2"/>
      <c r="AG709" s="2"/>
      <c r="AH709" s="2"/>
      <c r="AI709" s="2"/>
      <c r="AJ709" s="2" t="str">
        <f>IFERROR(__xludf.DUMMYFUNCTION("""COMPUTED_VALUE"""),"Maligcong")</f>
        <v>Maligcong</v>
      </c>
      <c r="AK709" s="2" t="str">
        <f>IFERROR(__xludf.DUMMYFUNCTION("""COMPUTED_VALUE"""),"Salcedo")</f>
        <v>Salcedo</v>
      </c>
      <c r="AL709" s="2" t="str">
        <f>IFERROR(__xludf.DUMMYFUNCTION("""COMPUTED_VALUE"""),"Ilocos Sur")</f>
        <v>Ilocos Sur</v>
      </c>
      <c r="AM709" s="2">
        <f>IFERROR(__xludf.DUMMYFUNCTION("""COMPUTED_VALUE"""),1.0)</f>
        <v>1</v>
      </c>
      <c r="AN709" s="2" t="str">
        <f>IFERROR(__xludf.DUMMYFUNCTION("""COMPUTED_VALUE"""),"RCEF 23-09-21 Rebidding")</f>
        <v>RCEF 23-09-21 Rebidding</v>
      </c>
      <c r="AO709" s="2">
        <f>IFERROR(__xludf.DUMMYFUNCTION("""COMPUTED_VALUE"""),2.0)</f>
        <v>2</v>
      </c>
      <c r="AP709" s="2"/>
      <c r="AQ709" s="2"/>
      <c r="AR709" s="2"/>
      <c r="AS709" s="2"/>
      <c r="AT709" s="2"/>
      <c r="AU709" s="2"/>
      <c r="AV709" s="2"/>
      <c r="AW709" s="2"/>
      <c r="AX709" s="2"/>
      <c r="AY709" s="2"/>
      <c r="AZ709" s="2"/>
      <c r="BA709" s="2"/>
      <c r="BB709" s="2"/>
    </row>
    <row r="710">
      <c r="A710" s="2">
        <f>IFERROR(__xludf.DUMMYFUNCTION("""COMPUTED_VALUE"""),706.0)</f>
        <v>706</v>
      </c>
      <c r="B710" s="2" t="str">
        <f>IFERROR(__xludf.DUMMYFUNCTION("""COMPUTED_VALUE"""),"COMPLETED")</f>
        <v>COMPLETED</v>
      </c>
      <c r="C710" s="74">
        <f>IFERROR(__xludf.DUMMYFUNCTION("""COMPUTED_VALUE"""),45633.0)</f>
        <v>45633</v>
      </c>
      <c r="D710" s="71" t="str">
        <f>IFERROR(__xludf.DUMMYFUNCTION("""COMPUTED_VALUE"""),"BANCAGAN NAGUILIAN IRRIGATORS ASOCIATION INC.")</f>
        <v>BANCAGAN NAGUILIAN IRRIGATORS ASOCIATION INC.</v>
      </c>
      <c r="E710" s="71" t="str">
        <f>IFERROR(__xludf.DUMMYFUNCTION("""COMPUTED_VALUE"""),"Bancagan, Naguilian, LA UNION")</f>
        <v>Bancagan, Naguilian, LA UNION</v>
      </c>
      <c r="F710" s="2" t="str">
        <f>IFERROR(__xludf.DUMMYFUNCTION("""COMPUTED_VALUE"""),"Esgar Espinueva")</f>
        <v>Esgar Espinueva</v>
      </c>
      <c r="G710" s="2">
        <f>IFERROR(__xludf.DUMMYFUNCTION("""COMPUTED_VALUE"""),9.055902082E9)</f>
        <v>9055902082</v>
      </c>
      <c r="H710" s="2"/>
      <c r="I710" s="72" t="str">
        <f>IFERROR(__xludf.DUMMYFUNCTION("""COMPUTED_VALUE"""),"REPAIR - ROTAVATOR")</f>
        <v>REPAIR - ROTAVATOR</v>
      </c>
      <c r="J710" s="72" t="str">
        <f>IFERROR(__xludf.DUMMYFUNCTION("""COMPUTED_VALUE"""),"Gearbox")</f>
        <v>Gearbox</v>
      </c>
      <c r="K710" s="72" t="str">
        <f>IFERROR(__xludf.DUMMYFUNCTION("""COMPUTED_VALUE"""),"KFS: DAMAGED ROTAVATOR
PARTS: BEVEL GEAR 24T
")</f>
        <v>KFS: DAMAGED ROTAVATOR
PARTS: BEVEL GEAR 24T
</v>
      </c>
      <c r="L710" s="72" t="str">
        <f>IFERROR(__xludf.DUMMYFUNCTION("""COMPUTED_VALUE"""),"CANCELLED DAHIL WALANG BUDGET PA SI FARMER")</f>
        <v>CANCELLED DAHIL WALANG BUDGET PA SI FARMER</v>
      </c>
      <c r="M710" s="2"/>
      <c r="N710" s="2"/>
      <c r="O710" s="2" t="str">
        <f>IFERROR(__xludf.DUMMYFUNCTION("""COMPUTED_VALUE"""),"N/A")</f>
        <v>N/A</v>
      </c>
      <c r="P710" s="2"/>
      <c r="Q710" s="2"/>
      <c r="R710" s="74">
        <f>IFERROR(__xludf.DUMMYFUNCTION("""COMPUTED_VALUE"""),45673.0)</f>
        <v>45673</v>
      </c>
      <c r="S710" s="2" t="str">
        <f>IFERROR(__xludf.DUMMYFUNCTION("""COMPUTED_VALUE"""),"JHP/ACS")</f>
        <v>JHP/ACS</v>
      </c>
      <c r="T710" s="73" t="str">
        <f>IFERROR(__xludf.DUMMYFUNCTION("""COMPUTED_VALUE""")," N/A ")</f>
        <v>N/A</v>
      </c>
      <c r="U710" s="73" t="str">
        <f>IFERROR(__xludf.DUMMYFUNCTION("""COMPUTED_VALUE""")," NO CHARGE ")</f>
        <v>NO CHARGE</v>
      </c>
      <c r="V710" s="2"/>
      <c r="W710" s="2" t="str">
        <f>IFERROR(__xludf.DUMMYFUNCTION("""COMPUTED_VALUE"""),"N/A")</f>
        <v>N/A</v>
      </c>
      <c r="X710" s="2" t="str">
        <f>IFERROR(__xludf.DUMMYFUNCTION("""COMPUTED_VALUE"""),"N/A")</f>
        <v>N/A</v>
      </c>
      <c r="Y710" s="2"/>
      <c r="Z710" s="2"/>
      <c r="AA710" s="2"/>
      <c r="AB710" s="2"/>
      <c r="AC710" s="2"/>
      <c r="AD710" s="2"/>
      <c r="AE710" s="2"/>
      <c r="AF710" s="2"/>
      <c r="AG710" s="2"/>
      <c r="AH710" s="2"/>
      <c r="AI710" s="2"/>
      <c r="AJ710" s="2" t="str">
        <f>IFERROR(__xludf.DUMMYFUNCTION("""COMPUTED_VALUE"""),"Bancagan")</f>
        <v>Bancagan</v>
      </c>
      <c r="AK710" s="2" t="str">
        <f>IFERROR(__xludf.DUMMYFUNCTION("""COMPUTED_VALUE"""),"Naguilian")</f>
        <v>Naguilian</v>
      </c>
      <c r="AL710" s="2" t="str">
        <f>IFERROR(__xludf.DUMMYFUNCTION("""COMPUTED_VALUE"""),"La Union")</f>
        <v>La Union</v>
      </c>
      <c r="AM710" s="2">
        <f>IFERROR(__xludf.DUMMYFUNCTION("""COMPUTED_VALUE"""),1.0)</f>
        <v>1</v>
      </c>
      <c r="AN710" s="2" t="str">
        <f>IFERROR(__xludf.DUMMYFUNCTION("""COMPUTED_VALUE"""),"RCEF 23-09-21 Rebidding")</f>
        <v>RCEF 23-09-21 Rebidding</v>
      </c>
      <c r="AO710" s="2">
        <f>IFERROR(__xludf.DUMMYFUNCTION("""COMPUTED_VALUE"""),2.0)</f>
        <v>2</v>
      </c>
      <c r="AP710" s="2"/>
      <c r="AQ710" s="2"/>
      <c r="AR710" s="2"/>
      <c r="AS710" s="2"/>
      <c r="AT710" s="2"/>
      <c r="AU710" s="2"/>
      <c r="AV710" s="2"/>
      <c r="AW710" s="2"/>
      <c r="AX710" s="2"/>
      <c r="AY710" s="2"/>
      <c r="AZ710" s="2"/>
      <c r="BA710" s="2"/>
      <c r="BB710" s="2"/>
    </row>
    <row r="711">
      <c r="A711" s="2">
        <f>IFERROR(__xludf.DUMMYFUNCTION("""COMPUTED_VALUE"""),707.0)</f>
        <v>707</v>
      </c>
      <c r="B711" s="2" t="str">
        <f>IFERROR(__xludf.DUMMYFUNCTION("""COMPUTED_VALUE"""),"COMPLETED")</f>
        <v>COMPLETED</v>
      </c>
      <c r="C711" s="74">
        <f>IFERROR(__xludf.DUMMYFUNCTION("""COMPUTED_VALUE"""),45633.0)</f>
        <v>45633</v>
      </c>
      <c r="D711" s="71" t="str">
        <f>IFERROR(__xludf.DUMMYFUNCTION("""COMPUTED_VALUE"""),"Lamut Grassroots Savings and Development Cooperative")</f>
        <v>Lamut Grassroots Savings and Development Cooperative</v>
      </c>
      <c r="E711" s="71" t="str">
        <f>IFERROR(__xludf.DUMMYFUNCTION("""COMPUTED_VALUE"""),"Poblacion East, Lamut, IFUGAO")</f>
        <v>Poblacion East, Lamut, IFUGAO</v>
      </c>
      <c r="F711" s="2" t="str">
        <f>IFERROR(__xludf.DUMMYFUNCTION("""COMPUTED_VALUE"""),"ANGEL NAIDAS")</f>
        <v>ANGEL NAIDAS</v>
      </c>
      <c r="G711" s="2">
        <f>IFERROR(__xludf.DUMMYFUNCTION("""COMPUTED_VALUE"""),9.752254389E9)</f>
        <v>9752254389</v>
      </c>
      <c r="H711" s="2">
        <f>IFERROR(__xludf.DUMMYFUNCTION("""COMPUTED_VALUE"""),178.0)</f>
        <v>178</v>
      </c>
      <c r="I711" s="72" t="str">
        <f>IFERROR(__xludf.DUMMYFUNCTION("""COMPUTED_VALUE"""),"REPAIR - DISC PLOW")</f>
        <v>REPAIR - DISC PLOW</v>
      </c>
      <c r="J711" s="72" t="str">
        <f>IFERROR(__xludf.DUMMYFUNCTION("""COMPUTED_VALUE"""),"Disc")</f>
        <v>Disc</v>
      </c>
      <c r="K711" s="72" t="str">
        <f>IFERROR(__xludf.DUMMYFUNCTION("""COMPUTED_VALUE"""),"DAMAGED DISC PLOW, SIRA ANG DISC
PARTS: SIDE DISC , DRIVEN DISC
1168: JDP: 1/17/24: PARTS NEEDED DRIVEN DISC")</f>
        <v>DAMAGED DISC PLOW, SIRA ANG DISC
PARTS: SIDE DISC , DRIVEN DISC
1168: JDP: 1/17/24: PARTS NEEDED DRIVEN DISC</v>
      </c>
      <c r="L711" s="72" t="str">
        <f>IFERROR(__xludf.DUMMYFUNCTION("""COMPUTED_VALUE"""),"ACS: HINDI BINILI NI FARMER KASI NAMAHALAN")</f>
        <v>ACS: HINDI BINILI NI FARMER KASI NAMAHALAN</v>
      </c>
      <c r="M711" s="2"/>
      <c r="N711" s="2"/>
      <c r="O711" s="2" t="str">
        <f>IFERROR(__xludf.DUMMYFUNCTION("""COMPUTED_VALUE"""),"N/A")</f>
        <v>N/A</v>
      </c>
      <c r="P711" s="2"/>
      <c r="Q711" s="2"/>
      <c r="R711" s="74">
        <f>IFERROR(__xludf.DUMMYFUNCTION("""COMPUTED_VALUE"""),45693.0)</f>
        <v>45693</v>
      </c>
      <c r="S711" s="2" t="str">
        <f>IFERROR(__xludf.DUMMYFUNCTION("""COMPUTED_VALUE"""),"JHP/ACS")</f>
        <v>JHP/ACS</v>
      </c>
      <c r="T711" s="73" t="str">
        <f>IFERROR(__xludf.DUMMYFUNCTION("""COMPUTED_VALUE""")," N/A ")</f>
        <v>N/A</v>
      </c>
      <c r="U711" s="73" t="str">
        <f>IFERROR(__xludf.DUMMYFUNCTION("""COMPUTED_VALUE""")," NO CHARGE ")</f>
        <v>NO CHARGE</v>
      </c>
      <c r="V711" s="2"/>
      <c r="W711" s="2" t="str">
        <f>IFERROR(__xludf.DUMMYFUNCTION("""COMPUTED_VALUE"""),"N/A")</f>
        <v>N/A</v>
      </c>
      <c r="X711" s="2" t="str">
        <f>IFERROR(__xludf.DUMMYFUNCTION("""COMPUTED_VALUE"""),"N/A")</f>
        <v>N/A</v>
      </c>
      <c r="Y711" s="2"/>
      <c r="Z711" s="2"/>
      <c r="AA711" s="2"/>
      <c r="AB711" s="2"/>
      <c r="AC711" s="2"/>
      <c r="AD711" s="2"/>
      <c r="AE711" s="2"/>
      <c r="AF711" s="2"/>
      <c r="AG711" s="2"/>
      <c r="AH711" s="2"/>
      <c r="AI711" s="2"/>
      <c r="AJ711" s="2" t="str">
        <f>IFERROR(__xludf.DUMMYFUNCTION("""COMPUTED_VALUE"""),"Poblacion East")</f>
        <v>Poblacion East</v>
      </c>
      <c r="AK711" s="2" t="str">
        <f>IFERROR(__xludf.DUMMYFUNCTION("""COMPUTED_VALUE"""),"Lamut")</f>
        <v>Lamut</v>
      </c>
      <c r="AL711" s="2" t="str">
        <f>IFERROR(__xludf.DUMMYFUNCTION("""COMPUTED_VALUE"""),"Ifugao")</f>
        <v>Ifugao</v>
      </c>
      <c r="AM711" s="2" t="str">
        <f>IFERROR(__xludf.DUMMYFUNCTION("""COMPUTED_VALUE"""),"CAR")</f>
        <v>CAR</v>
      </c>
      <c r="AN711" s="2" t="str">
        <f>IFERROR(__xludf.DUMMYFUNCTION("""COMPUTED_VALUE"""),"RCEF 23-09-21 Rebidding")</f>
        <v>RCEF 23-09-21 Rebidding</v>
      </c>
      <c r="AO711" s="2">
        <f>IFERROR(__xludf.DUMMYFUNCTION("""COMPUTED_VALUE"""),1.0)</f>
        <v>1</v>
      </c>
      <c r="AP711" s="2"/>
      <c r="AQ711" s="2"/>
      <c r="AR711" s="2"/>
      <c r="AS711" s="2"/>
      <c r="AT711" s="2"/>
      <c r="AU711" s="2"/>
      <c r="AV711" s="2"/>
      <c r="AW711" s="2"/>
      <c r="AX711" s="2"/>
      <c r="AY711" s="2"/>
      <c r="AZ711" s="2"/>
      <c r="BA711" s="2"/>
      <c r="BB711" s="2"/>
    </row>
    <row r="712">
      <c r="A712" s="2">
        <f>IFERROR(__xludf.DUMMYFUNCTION("""COMPUTED_VALUE"""),708.0)</f>
        <v>708</v>
      </c>
      <c r="B712" s="2" t="str">
        <f>IFERROR(__xludf.DUMMYFUNCTION("""COMPUTED_VALUE"""),"COMPLETED")</f>
        <v>COMPLETED</v>
      </c>
      <c r="C712" s="74">
        <f>IFERROR(__xludf.DUMMYFUNCTION("""COMPUTED_VALUE"""),45633.0)</f>
        <v>45633</v>
      </c>
      <c r="D712" s="71" t="str">
        <f>IFERROR(__xludf.DUMMYFUNCTION("""COMPUTED_VALUE"""),"DINAIT CAPILLANGAN IRRIGATORS' ASSOCIATION, INC.")</f>
        <v>DINAIT CAPILLANGAN IRRIGATORS' ASSOCIATION, INC.</v>
      </c>
      <c r="E712" s="71" t="str">
        <f>IFERROR(__xludf.DUMMYFUNCTION("""COMPUTED_VALUE"""),"Villamor, Cabarroguis, QUIRINO")</f>
        <v>Villamor, Cabarroguis, QUIRINO</v>
      </c>
      <c r="F712" s="2" t="str">
        <f>IFERROR(__xludf.DUMMYFUNCTION("""COMPUTED_VALUE"""),"DINALIT CAPILANGAN IRRIG. ASSC.
johnny derota
")</f>
        <v>DINALIT CAPILANGAN IRRIG. ASSC.
johnny derota
</v>
      </c>
      <c r="G712" s="2">
        <f>IFERROR(__xludf.DUMMYFUNCTION("""COMPUTED_VALUE"""),9.308869116E9)</f>
        <v>9308869116</v>
      </c>
      <c r="H712" s="2"/>
      <c r="I712" s="72"/>
      <c r="J712" s="72"/>
      <c r="K712" s="72" t="str">
        <f>IFERROR(__xludf.DUMMYFUNCTION("""COMPUTED_VALUE"""),"ERP: MAY PROBLEMA SA ROTAVATOR")</f>
        <v>ERP: MAY PROBLEMA SA ROTAVATOR</v>
      </c>
      <c r="L712" s="72" t="str">
        <f>IFERROR(__xludf.DUMMYFUNCTION("""COMPUTED_VALUE"""),"JHP: TROUBLESHOOT, WALANG PROBLEMA ANG UNIT")</f>
        <v>JHP: TROUBLESHOOT, WALANG PROBLEMA ANG UNIT</v>
      </c>
      <c r="M712" s="2"/>
      <c r="N712" s="2"/>
      <c r="O712" s="2" t="str">
        <f>IFERROR(__xludf.DUMMYFUNCTION("""COMPUTED_VALUE"""),"N/A")</f>
        <v>N/A</v>
      </c>
      <c r="P712" s="2"/>
      <c r="Q712" s="2"/>
      <c r="R712" s="74">
        <f>IFERROR(__xludf.DUMMYFUNCTION("""COMPUTED_VALUE"""),45701.0)</f>
        <v>45701</v>
      </c>
      <c r="S712" s="2" t="str">
        <f>IFERROR(__xludf.DUMMYFUNCTION("""COMPUTED_VALUE"""),"JHP/ACS")</f>
        <v>JHP/ACS</v>
      </c>
      <c r="T712" s="73" t="str">
        <f>IFERROR(__xludf.DUMMYFUNCTION("""COMPUTED_VALUE""")," N/A ")</f>
        <v>N/A</v>
      </c>
      <c r="U712" s="73" t="str">
        <f>IFERROR(__xludf.DUMMYFUNCTION("""COMPUTED_VALUE""")," NO CHARGE ")</f>
        <v>NO CHARGE</v>
      </c>
      <c r="V712" s="2"/>
      <c r="W712" s="2" t="str">
        <f>IFERROR(__xludf.DUMMYFUNCTION("""COMPUTED_VALUE"""),"N/A")</f>
        <v>N/A</v>
      </c>
      <c r="X712" s="2" t="str">
        <f>IFERROR(__xludf.DUMMYFUNCTION("""COMPUTED_VALUE"""),"N/A")</f>
        <v>N/A</v>
      </c>
      <c r="Y712" s="2"/>
      <c r="Z712" s="2"/>
      <c r="AA712" s="2"/>
      <c r="AB712" s="2"/>
      <c r="AC712" s="2"/>
      <c r="AD712" s="2"/>
      <c r="AE712" s="2"/>
      <c r="AF712" s="2"/>
      <c r="AG712" s="2"/>
      <c r="AH712" s="2"/>
      <c r="AI712" s="2"/>
      <c r="AJ712" s="2" t="str">
        <f>IFERROR(__xludf.DUMMYFUNCTION("""COMPUTED_VALUE"""),"Villamor")</f>
        <v>Villamor</v>
      </c>
      <c r="AK712" s="2" t="str">
        <f>IFERROR(__xludf.DUMMYFUNCTION("""COMPUTED_VALUE"""),"Cabarroguis")</f>
        <v>Cabarroguis</v>
      </c>
      <c r="AL712" s="2" t="str">
        <f>IFERROR(__xludf.DUMMYFUNCTION("""COMPUTED_VALUE"""),"Quirino")</f>
        <v>Quirino</v>
      </c>
      <c r="AM712" s="2">
        <f>IFERROR(__xludf.DUMMYFUNCTION("""COMPUTED_VALUE"""),2.0)</f>
        <v>2</v>
      </c>
      <c r="AN712" s="2" t="str">
        <f>IFERROR(__xludf.DUMMYFUNCTION("""COMPUTED_VALUE"""),"RCEF 23-09-21 Rebidding")</f>
        <v>RCEF 23-09-21 Rebidding</v>
      </c>
      <c r="AO712" s="2">
        <f>IFERROR(__xludf.DUMMYFUNCTION("""COMPUTED_VALUE"""),1.0)</f>
        <v>1</v>
      </c>
      <c r="AP712" s="2"/>
      <c r="AQ712" s="2"/>
      <c r="AR712" s="2"/>
      <c r="AS712" s="2"/>
      <c r="AT712" s="2"/>
      <c r="AU712" s="2"/>
      <c r="AV712" s="2"/>
      <c r="AW712" s="2"/>
      <c r="AX712" s="2"/>
      <c r="AY712" s="2"/>
      <c r="AZ712" s="2"/>
      <c r="BA712" s="2"/>
      <c r="BB712" s="2"/>
    </row>
    <row r="713">
      <c r="A713" s="2">
        <f>IFERROR(__xludf.DUMMYFUNCTION("""COMPUTED_VALUE"""),709.0)</f>
        <v>709</v>
      </c>
      <c r="B713" s="2" t="str">
        <f>IFERROR(__xludf.DUMMYFUNCTION("""COMPUTED_VALUE"""),"COMPLETED")</f>
        <v>COMPLETED</v>
      </c>
      <c r="C713" s="74">
        <f>IFERROR(__xludf.DUMMYFUNCTION("""COMPUTED_VALUE"""),45633.0)</f>
        <v>45633</v>
      </c>
      <c r="D713" s="71" t="str">
        <f>IFERROR(__xludf.DUMMYFUNCTION("""COMPUTED_VALUE"""),"BARING SAN NICOLAS FARMERS ASSOCIATION")</f>
        <v>BARING SAN NICOLAS FARMERS ASSOCIATION</v>
      </c>
      <c r="E713" s="71" t="str">
        <f>IFERROR(__xludf.DUMMYFUNCTION("""COMPUTED_VALUE"""),"San Nicolas, Castillejos, ZAMBALES")</f>
        <v>San Nicolas, Castillejos, ZAMBALES</v>
      </c>
      <c r="F713" s="2"/>
      <c r="G713" s="2" t="str">
        <f>IFERROR(__xludf.DUMMYFUNCTION("""COMPUTED_VALUE""")," 960 379 5403")</f>
        <v> 960 379 5403</v>
      </c>
      <c r="H713" s="2"/>
      <c r="I713" s="72" t="str">
        <f>IFERROR(__xludf.DUMMYFUNCTION("""COMPUTED_VALUE"""),"REPAIR - ROTAVATOR")</f>
        <v>REPAIR - ROTAVATOR</v>
      </c>
      <c r="J713" s="72" t="str">
        <f>IFERROR(__xludf.DUMMYFUNCTION("""COMPUTED_VALUE"""),"Propeller")</f>
        <v>Propeller</v>
      </c>
      <c r="K713" s="72" t="str">
        <f>IFERROR(__xludf.DUMMYFUNCTION("""COMPUTED_VALUE"""),"ERP: CROSSJOINT NASIRA")</f>
        <v>ERP: CROSSJOINT NASIRA</v>
      </c>
      <c r="L713" s="72" t="str">
        <f>IFERROR(__xludf.DUMMYFUNCTION("""COMPUTED_VALUE"""),"EGT: OK NADAW ITO")</f>
        <v>EGT: OK NADAW ITO</v>
      </c>
      <c r="M713" s="2"/>
      <c r="N713" s="2"/>
      <c r="O713" s="2" t="str">
        <f>IFERROR(__xludf.DUMMYFUNCTION("""COMPUTED_VALUE"""),"N/A")</f>
        <v>N/A</v>
      </c>
      <c r="P713" s="2"/>
      <c r="Q713" s="2"/>
      <c r="R713" s="74">
        <f>IFERROR(__xludf.DUMMYFUNCTION("""COMPUTED_VALUE"""),45648.0)</f>
        <v>45648</v>
      </c>
      <c r="S713" s="2" t="str">
        <f>IFERROR(__xludf.DUMMYFUNCTION("""COMPUTED_VALUE"""),"EGT/DRM")</f>
        <v>EGT/DRM</v>
      </c>
      <c r="T713" s="73" t="str">
        <f>IFERROR(__xludf.DUMMYFUNCTION("""COMPUTED_VALUE""")," N/A ")</f>
        <v>N/A</v>
      </c>
      <c r="U713" s="73" t="str">
        <f>IFERROR(__xludf.DUMMYFUNCTION("""COMPUTED_VALUE""")," NO CHARGE ")</f>
        <v>NO CHARGE</v>
      </c>
      <c r="V713" s="2"/>
      <c r="W713" s="2" t="str">
        <f>IFERROR(__xludf.DUMMYFUNCTION("""COMPUTED_VALUE"""),"N/A")</f>
        <v>N/A</v>
      </c>
      <c r="X713" s="2" t="str">
        <f>IFERROR(__xludf.DUMMYFUNCTION("""COMPUTED_VALUE"""),"N/A")</f>
        <v>N/A</v>
      </c>
      <c r="Y713" s="2"/>
      <c r="Z713" s="2"/>
      <c r="AA713" s="2"/>
      <c r="AB713" s="2"/>
      <c r="AC713" s="2"/>
      <c r="AD713" s="2"/>
      <c r="AE713" s="2"/>
      <c r="AF713" s="2"/>
      <c r="AG713" s="2"/>
      <c r="AH713" s="2"/>
      <c r="AI713" s="2"/>
      <c r="AJ713" s="2" t="str">
        <f>IFERROR(__xludf.DUMMYFUNCTION("""COMPUTED_VALUE"""),"San Nicolas")</f>
        <v>San Nicolas</v>
      </c>
      <c r="AK713" s="2" t="str">
        <f>IFERROR(__xludf.DUMMYFUNCTION("""COMPUTED_VALUE"""),"Castillejos")</f>
        <v>Castillejos</v>
      </c>
      <c r="AL713" s="2" t="str">
        <f>IFERROR(__xludf.DUMMYFUNCTION("""COMPUTED_VALUE"""),"Zambales")</f>
        <v>Zambales</v>
      </c>
      <c r="AM713" s="2">
        <f>IFERROR(__xludf.DUMMYFUNCTION("""COMPUTED_VALUE"""),3.0)</f>
        <v>3</v>
      </c>
      <c r="AN713" s="2" t="str">
        <f>IFERROR(__xludf.DUMMYFUNCTION("""COMPUTED_VALUE"""),"RCEF 23-09-21 Rebidding")</f>
        <v>RCEF 23-09-21 Rebidding</v>
      </c>
      <c r="AO713" s="2">
        <f>IFERROR(__xludf.DUMMYFUNCTION("""COMPUTED_VALUE"""),3.0)</f>
        <v>3</v>
      </c>
      <c r="AP713" s="2"/>
      <c r="AQ713" s="2"/>
      <c r="AR713" s="2"/>
      <c r="AS713" s="2"/>
      <c r="AT713" s="2"/>
      <c r="AU713" s="2"/>
      <c r="AV713" s="2"/>
      <c r="AW713" s="2"/>
      <c r="AX713" s="2"/>
      <c r="AY713" s="2"/>
      <c r="AZ713" s="2"/>
      <c r="BA713" s="2"/>
      <c r="BB713" s="2"/>
    </row>
    <row r="714">
      <c r="A714" s="2">
        <f>IFERROR(__xludf.DUMMYFUNCTION("""COMPUTED_VALUE"""),710.0)</f>
        <v>710</v>
      </c>
      <c r="B714" s="2" t="str">
        <f>IFERROR(__xludf.DUMMYFUNCTION("""COMPUTED_VALUE"""),"COMPLETED")</f>
        <v>COMPLETED</v>
      </c>
      <c r="C714" s="74">
        <f>IFERROR(__xludf.DUMMYFUNCTION("""COMPUTED_VALUE"""),45633.0)</f>
        <v>45633</v>
      </c>
      <c r="D714" s="71" t="str">
        <f>IFERROR(__xludf.DUMMYFUNCTION("""COMPUTED_VALUE"""),"Oyungan Tacas Irrigators Association")</f>
        <v>Oyungan Tacas Irrigators Association</v>
      </c>
      <c r="E714" s="71" t="str">
        <f>IFERROR(__xludf.DUMMYFUNCTION("""COMPUTED_VALUE"""),"Oyungan, Miagao, ILOILO")</f>
        <v>Oyungan, Miagao, ILOILO</v>
      </c>
      <c r="F714" s="2" t="str">
        <f>IFERROR(__xludf.DUMMYFUNCTION("""COMPUTED_VALUE"""),"RIZAL MOLLIDO")</f>
        <v>RIZAL MOLLIDO</v>
      </c>
      <c r="G714" s="2">
        <f>IFERROR(__xludf.DUMMYFUNCTION("""COMPUTED_VALUE"""),9.07183239E9)</f>
        <v>9071832390</v>
      </c>
      <c r="H714" s="2"/>
      <c r="I714" s="72" t="str">
        <f>IFERROR(__xludf.DUMMYFUNCTION("""COMPUTED_VALUE"""),"REPAIR - TRACTOR")</f>
        <v>REPAIR - TRACTOR</v>
      </c>
      <c r="J714" s="72" t="str">
        <f>IFERROR(__xludf.DUMMYFUNCTION("""COMPUTED_VALUE"""),"Electrical - PTO Switch")</f>
        <v>Electrical - PTO Switch</v>
      </c>
      <c r="K714" s="72" t="str">
        <f>IFERROR(__xludf.DUMMYFUNCTION("""COMPUTED_VALUE"""),"sa kanan banda umangat yong disc mga one haft inch nalang sasayad na sa ita as,yong katabing disc na nasa loob bumaba, so naki namin na yong kinakabitan nang disc may angat, di katulad sa kaliwa na nakadikit, iyon yong naka picture, may angat
+ PTO SWITC"&amp;"H PROBLEM")</f>
        <v>sa kanan banda umangat yong disc mga one haft inch nalang sasayad na sa ita as,yong katabing disc na nasa loob bumaba, so naki namin na yong kinakabitan nang disc may angat, di katulad sa kaliwa na nakadikit, iyon yong naka picture, may angat
+ PTO SWITCH PROBLEM</v>
      </c>
      <c r="L714" s="72" t="str">
        <f>IFERROR(__xludf.DUMMYFUNCTION("""COMPUTED_VALUE"""),"EGT: ")</f>
        <v>EGT: </v>
      </c>
      <c r="M714" s="2"/>
      <c r="N714" s="2" t="str">
        <f>IFERROR(__xludf.DUMMYFUNCTION("""COMPUTED_VALUE"""),"PARTS:
???")</f>
        <v>PARTS:
???</v>
      </c>
      <c r="O714" s="2" t="str">
        <f>IFERROR(__xludf.DUMMYFUNCTION("""COMPUTED_VALUE"""),"N/A")</f>
        <v>N/A</v>
      </c>
      <c r="P714" s="2"/>
      <c r="Q714" s="2"/>
      <c r="R714" s="74">
        <f>IFERROR(__xludf.DUMMYFUNCTION("""COMPUTED_VALUE"""),45688.0)</f>
        <v>45688</v>
      </c>
      <c r="S714" s="2" t="str">
        <f>IFERROR(__xludf.DUMMYFUNCTION("""COMPUTED_VALUE"""),"EGT/DRM")</f>
        <v>EGT/DRM</v>
      </c>
      <c r="T714" s="73">
        <f>IFERROR(__xludf.DUMMYFUNCTION("""COMPUTED_VALUE"""),4886.0)</f>
        <v>4886</v>
      </c>
      <c r="U714" s="73" t="str">
        <f>IFERROR(__xludf.DUMMYFUNCTION("""COMPUTED_VALUE""")," FOR REMIT ")</f>
        <v>FOR REMIT</v>
      </c>
      <c r="V714" s="2"/>
      <c r="W714" s="2"/>
      <c r="X714" s="2"/>
      <c r="Y714" s="2"/>
      <c r="Z714" s="2"/>
      <c r="AA714" s="2"/>
      <c r="AB714" s="2"/>
      <c r="AC714" s="2"/>
      <c r="AD714" s="2"/>
      <c r="AE714" s="2"/>
      <c r="AF714" s="2"/>
      <c r="AG714" s="2"/>
      <c r="AH714" s="2"/>
      <c r="AI714" s="2"/>
      <c r="AJ714" s="2" t="str">
        <f>IFERROR(__xludf.DUMMYFUNCTION("""COMPUTED_VALUE"""),"Oyungan")</f>
        <v>Oyungan</v>
      </c>
      <c r="AK714" s="2" t="str">
        <f>IFERROR(__xludf.DUMMYFUNCTION("""COMPUTED_VALUE"""),"Miagao")</f>
        <v>Miagao</v>
      </c>
      <c r="AL714" s="2" t="str">
        <f>IFERROR(__xludf.DUMMYFUNCTION("""COMPUTED_VALUE"""),"Iloilo")</f>
        <v>Iloilo</v>
      </c>
      <c r="AM714" s="2">
        <f>IFERROR(__xludf.DUMMYFUNCTION("""COMPUTED_VALUE"""),6.0)</f>
        <v>6</v>
      </c>
      <c r="AN714" s="2" t="str">
        <f>IFERROR(__xludf.DUMMYFUNCTION("""COMPUTED_VALUE"""),"RCEF 23-09-21 Rebidding")</f>
        <v>RCEF 23-09-21 Rebidding</v>
      </c>
      <c r="AO714" s="2">
        <f>IFERROR(__xludf.DUMMYFUNCTION("""COMPUTED_VALUE"""),4.0)</f>
        <v>4</v>
      </c>
      <c r="AP714" s="2"/>
      <c r="AQ714" s="2"/>
      <c r="AR714" s="2"/>
      <c r="AS714" s="2"/>
      <c r="AT714" s="2"/>
      <c r="AU714" s="2"/>
      <c r="AV714" s="2"/>
      <c r="AW714" s="2"/>
      <c r="AX714" s="2"/>
      <c r="AY714" s="2"/>
      <c r="AZ714" s="2"/>
      <c r="BA714" s="2"/>
      <c r="BB714" s="2"/>
    </row>
    <row r="715">
      <c r="A715" s="2">
        <f>IFERROR(__xludf.DUMMYFUNCTION("""COMPUTED_VALUE"""),711.0)</f>
        <v>711</v>
      </c>
      <c r="B715" s="2" t="str">
        <f>IFERROR(__xludf.DUMMYFUNCTION("""COMPUTED_VALUE"""),"COMPLETED")</f>
        <v>COMPLETED</v>
      </c>
      <c r="C715" s="74">
        <f>IFERROR(__xludf.DUMMYFUNCTION("""COMPUTED_VALUE"""),45633.0)</f>
        <v>45633</v>
      </c>
      <c r="D715" s="71" t="str">
        <f>IFERROR(__xludf.DUMMYFUNCTION("""COMPUTED_VALUE"""),"COLLADO IRRIGATORS' ASSOCIATION, INC.")</f>
        <v>COLLADO IRRIGATORS' ASSOCIATION, INC.</v>
      </c>
      <c r="E715" s="71" t="str">
        <f>IFERROR(__xludf.DUMMYFUNCTION("""COMPUTED_VALUE"""),"Collado, Talavera, NUEVA ECIJA")</f>
        <v>Collado, Talavera, NUEVA ECIJA</v>
      </c>
      <c r="F715" s="2"/>
      <c r="G715" s="2"/>
      <c r="H715" s="2"/>
      <c r="I715" s="72" t="str">
        <f>IFERROR(__xludf.DUMMYFUNCTION("""COMPUTED_VALUE"""),"SPARE PARTS ACQUISITION")</f>
        <v>SPARE PARTS ACQUISITION</v>
      </c>
      <c r="J715" s="72"/>
      <c r="K715" s="72" t="str">
        <f>IFERROR(__xludf.DUMMYFUNCTION("""COMPUTED_VALUE"""),"JHP: oorder ng 30 amp fuse - 2pcs, saka IGNITION SWITCH")</f>
        <v>JHP: oorder ng 30 amp fuse - 2pcs, saka IGNITION SWITCH</v>
      </c>
      <c r="L715" s="72" t="str">
        <f>IFERROR(__xludf.DUMMYFUNCTION("""COMPUTED_VALUE"""),"CANCELLED")</f>
        <v>CANCELLED</v>
      </c>
      <c r="M715" s="2"/>
      <c r="N715" s="2"/>
      <c r="O715" s="2" t="str">
        <f>IFERROR(__xludf.DUMMYFUNCTION("""COMPUTED_VALUE"""),"CANCELLED")</f>
        <v>CANCELLED</v>
      </c>
      <c r="P715" s="2"/>
      <c r="Q715" s="2"/>
      <c r="R715" s="74">
        <f>IFERROR(__xludf.DUMMYFUNCTION("""COMPUTED_VALUE"""),45635.0)</f>
        <v>45635</v>
      </c>
      <c r="S715" s="2" t="str">
        <f>IFERROR(__xludf.DUMMYFUNCTION("""COMPUTED_VALUE"""),"ACS/JHP")</f>
        <v>ACS/JHP</v>
      </c>
      <c r="T715" s="73" t="str">
        <f>IFERROR(__xludf.DUMMYFUNCTION("""COMPUTED_VALUE""")," N/A ")</f>
        <v>N/A</v>
      </c>
      <c r="U715" s="73" t="str">
        <f>IFERROR(__xludf.DUMMYFUNCTION("""COMPUTED_VALUE""")," NO CHARGE ")</f>
        <v>NO CHARGE</v>
      </c>
      <c r="V715" s="2"/>
      <c r="W715" s="2" t="str">
        <f>IFERROR(__xludf.DUMMYFUNCTION("""COMPUTED_VALUE"""),"N/A")</f>
        <v>N/A</v>
      </c>
      <c r="X715" s="2" t="str">
        <f>IFERROR(__xludf.DUMMYFUNCTION("""COMPUTED_VALUE"""),"N/A")</f>
        <v>N/A</v>
      </c>
      <c r="Y715" s="2"/>
      <c r="Z715" s="2"/>
      <c r="AA715" s="2"/>
      <c r="AB715" s="2"/>
      <c r="AC715" s="2"/>
      <c r="AD715" s="2"/>
      <c r="AE715" s="2"/>
      <c r="AF715" s="2"/>
      <c r="AG715" s="2"/>
      <c r="AH715" s="2"/>
      <c r="AI715" s="2"/>
      <c r="AJ715" s="2" t="str">
        <f>IFERROR(__xludf.DUMMYFUNCTION("""COMPUTED_VALUE"""),"Collado")</f>
        <v>Collado</v>
      </c>
      <c r="AK715" s="2" t="str">
        <f>IFERROR(__xludf.DUMMYFUNCTION("""COMPUTED_VALUE"""),"Talavera")</f>
        <v>Talavera</v>
      </c>
      <c r="AL715" s="2" t="str">
        <f>IFERROR(__xludf.DUMMYFUNCTION("""COMPUTED_VALUE"""),"Nueva Ecija")</f>
        <v>Nueva Ecija</v>
      </c>
      <c r="AM715" s="2">
        <f>IFERROR(__xludf.DUMMYFUNCTION("""COMPUTED_VALUE"""),3.0)</f>
        <v>3</v>
      </c>
      <c r="AN715" s="2" t="str">
        <f>IFERROR(__xludf.DUMMYFUNCTION("""COMPUTED_VALUE"""),"RCEF 23-09-21 Rebidding")</f>
        <v>RCEF 23-09-21 Rebidding</v>
      </c>
      <c r="AO715" s="2">
        <f>IFERROR(__xludf.DUMMYFUNCTION("""COMPUTED_VALUE"""),3.0)</f>
        <v>3</v>
      </c>
      <c r="AP715" s="2"/>
      <c r="AQ715" s="2"/>
      <c r="AR715" s="2"/>
      <c r="AS715" s="2"/>
      <c r="AT715" s="2"/>
      <c r="AU715" s="2"/>
      <c r="AV715" s="2"/>
      <c r="AW715" s="2"/>
      <c r="AX715" s="2"/>
      <c r="AY715" s="2"/>
      <c r="AZ715" s="2"/>
      <c r="BA715" s="2"/>
      <c r="BB715" s="2"/>
    </row>
    <row r="716">
      <c r="A716" s="2">
        <f>IFERROR(__xludf.DUMMYFUNCTION("""COMPUTED_VALUE"""),712.0)</f>
        <v>712</v>
      </c>
      <c r="B716" s="2" t="str">
        <f>IFERROR(__xludf.DUMMYFUNCTION("""COMPUTED_VALUE"""),"COMPLETED")</f>
        <v>COMPLETED</v>
      </c>
      <c r="C716" s="74">
        <f>IFERROR(__xludf.DUMMYFUNCTION("""COMPUTED_VALUE"""),45635.0)</f>
        <v>45635</v>
      </c>
      <c r="D716" s="71" t="str">
        <f>IFERROR(__xludf.DUMMYFUNCTION("""COMPUTED_VALUE"""),"Laguinbanua West Farmers Association")</f>
        <v>Laguinbanua West Farmers Association</v>
      </c>
      <c r="E716" s="71" t="str">
        <f>IFERROR(__xludf.DUMMYFUNCTION("""COMPUTED_VALUE"""),"Laguinbanua West, Numancia, AKLAN")</f>
        <v>Laguinbanua West, Numancia, AKLAN</v>
      </c>
      <c r="F716" s="2" t="str">
        <f>IFERROR(__xludf.DUMMYFUNCTION("""COMPUTED_VALUE"""),"Leonarda B. De Miguel")</f>
        <v>Leonarda B. De Miguel</v>
      </c>
      <c r="G716" s="2" t="str">
        <f>IFERROR(__xludf.DUMMYFUNCTION("""COMPUTED_VALUE"""),"0918-448-2414")</f>
        <v>0918-448-2414</v>
      </c>
      <c r="H716" s="2">
        <f>IFERROR(__xludf.DUMMYFUNCTION("""COMPUTED_VALUE"""),69.6)</f>
        <v>69.6</v>
      </c>
      <c r="I716" s="72" t="str">
        <f>IFERROR(__xludf.DUMMYFUNCTION("""COMPUTED_VALUE"""),"REPAIR - TRACTOR")</f>
        <v>REPAIR - TRACTOR</v>
      </c>
      <c r="J716" s="72" t="str">
        <f>IFERROR(__xludf.DUMMYFUNCTION("""COMPUTED_VALUE"""),"Transmission - Clutch")</f>
        <v>Transmission - Clutch</v>
      </c>
      <c r="K716" s="72" t="str">
        <f>IFERROR(__xludf.DUMMYFUNCTION("""COMPUTED_VALUE"""),"philmech: LINING PROBLEM
PARTS: CLUTCH DISC ASSY")</f>
        <v>philmech: LINING PROBLEM
PARTS: CLUTCH DISC ASSY</v>
      </c>
      <c r="L716" s="72" t="str">
        <f>IFERROR(__xludf.DUMMYFUNCTION("""COMPUTED_VALUE"""),"EGT: REPLACE CLUTCH LINING")</f>
        <v>EGT: REPLACE CLUTCH LINING</v>
      </c>
      <c r="M716" s="2"/>
      <c r="N716" s="2" t="str">
        <f>IFERROR(__xludf.DUMMYFUNCTION("""COMPUTED_VALUE"""),"PARTS: CLUTCH DISC ASSY
WARRANTY BY LTC")</f>
        <v>PARTS: CLUTCH DISC ASSY
WARRANTY BY LTC</v>
      </c>
      <c r="O716" s="2">
        <f>IFERROR(__xludf.DUMMYFUNCTION("""COMPUTED_VALUE"""),1107.0)</f>
        <v>1107</v>
      </c>
      <c r="P716" s="2"/>
      <c r="Q716" s="2"/>
      <c r="R716" s="74">
        <f>IFERROR(__xludf.DUMMYFUNCTION("""COMPUTED_VALUE"""),45701.0)</f>
        <v>45701</v>
      </c>
      <c r="S716" s="2" t="str">
        <f>IFERROR(__xludf.DUMMYFUNCTION("""COMPUTED_VALUE"""),"EGT/DRM")</f>
        <v>EGT/DRM</v>
      </c>
      <c r="T716" s="73" t="str">
        <f>IFERROR(__xludf.DUMMYFUNCTION("""COMPUTED_VALUE""")," N/A ")</f>
        <v>N/A</v>
      </c>
      <c r="U716" s="73" t="str">
        <f>IFERROR(__xludf.DUMMYFUNCTION("""COMPUTED_VALUE""")," NO CHARGE ")</f>
        <v>NO CHARGE</v>
      </c>
      <c r="V716" s="2"/>
      <c r="W716" s="2" t="str">
        <f>IFERROR(__xludf.DUMMYFUNCTION("""COMPUTED_VALUE"""),"N/A")</f>
        <v>N/A</v>
      </c>
      <c r="X716" s="2" t="str">
        <f>IFERROR(__xludf.DUMMYFUNCTION("""COMPUTED_VALUE"""),"N/A")</f>
        <v>N/A</v>
      </c>
      <c r="Y716" s="2"/>
      <c r="Z716" s="2"/>
      <c r="AA716" s="2"/>
      <c r="AB716" s="2"/>
      <c r="AC716" s="2"/>
      <c r="AD716" s="2"/>
      <c r="AE716" s="2"/>
      <c r="AF716" s="2"/>
      <c r="AG716" s="2"/>
      <c r="AH716" s="2"/>
      <c r="AI716" s="2"/>
      <c r="AJ716" s="2" t="str">
        <f>IFERROR(__xludf.DUMMYFUNCTION("""COMPUTED_VALUE"""),"Laguinbanua West")</f>
        <v>Laguinbanua West</v>
      </c>
      <c r="AK716" s="2" t="str">
        <f>IFERROR(__xludf.DUMMYFUNCTION("""COMPUTED_VALUE"""),"Numancia")</f>
        <v>Numancia</v>
      </c>
      <c r="AL716" s="2" t="str">
        <f>IFERROR(__xludf.DUMMYFUNCTION("""COMPUTED_VALUE"""),"Aklan")</f>
        <v>Aklan</v>
      </c>
      <c r="AM716" s="2">
        <f>IFERROR(__xludf.DUMMYFUNCTION("""COMPUTED_VALUE"""),6.0)</f>
        <v>6</v>
      </c>
      <c r="AN716" s="2" t="str">
        <f>IFERROR(__xludf.DUMMYFUNCTION("""COMPUTED_VALUE"""),"RCEF 23-09-21 Rebidding")</f>
        <v>RCEF 23-09-21 Rebidding</v>
      </c>
      <c r="AO716" s="2">
        <f>IFERROR(__xludf.DUMMYFUNCTION("""COMPUTED_VALUE"""),4.0)</f>
        <v>4</v>
      </c>
      <c r="AP716" s="2"/>
      <c r="AQ716" s="2"/>
      <c r="AR716" s="2"/>
      <c r="AS716" s="2"/>
      <c r="AT716" s="2"/>
      <c r="AU716" s="2"/>
      <c r="AV716" s="2"/>
      <c r="AW716" s="2"/>
      <c r="AX716" s="2"/>
      <c r="AY716" s="2"/>
      <c r="AZ716" s="2"/>
      <c r="BA716" s="2"/>
      <c r="BB716" s="2"/>
    </row>
    <row r="717">
      <c r="A717" s="2">
        <f>IFERROR(__xludf.DUMMYFUNCTION("""COMPUTED_VALUE"""),713.0)</f>
        <v>713</v>
      </c>
      <c r="B717" s="2" t="str">
        <f>IFERROR(__xludf.DUMMYFUNCTION("""COMPUTED_VALUE"""),"COMPLETED")</f>
        <v>COMPLETED</v>
      </c>
      <c r="C717" s="74">
        <f>IFERROR(__xludf.DUMMYFUNCTION("""COMPUTED_VALUE"""),45635.0)</f>
        <v>45635</v>
      </c>
      <c r="D717" s="71" t="str">
        <f>IFERROR(__xludf.DUMMYFUNCTION("""COMPUTED_VALUE"""),"INTEGRATED BARANGAYS OF NUMANCIA MULTI-PURPOSE COOPERATIVE (IBON MPC)")</f>
        <v>INTEGRATED BARANGAYS OF NUMANCIA MULTI-PURPOSE COOPERATIVE (IBON MPC)</v>
      </c>
      <c r="E717" s="71" t="str">
        <f>IFERROR(__xludf.DUMMYFUNCTION("""COMPUTED_VALUE"""),"Pusiw, Numancia, AKLAN")</f>
        <v>Pusiw, Numancia, AKLAN</v>
      </c>
      <c r="F717" s="2" t="str">
        <f>IFERROR(__xludf.DUMMYFUNCTION("""COMPUTED_VALUE"""),"Stineli F. Barrios")</f>
        <v>Stineli F. Barrios</v>
      </c>
      <c r="G717" s="2" t="str">
        <f>IFERROR(__xludf.DUMMYFUNCTION("""COMPUTED_VALUE"""),"0948-151-6655")</f>
        <v>0948-151-6655</v>
      </c>
      <c r="H717" s="2">
        <f>IFERROR(__xludf.DUMMYFUNCTION("""COMPUTED_VALUE"""),3000.0)</f>
        <v>3000</v>
      </c>
      <c r="I717" s="72" t="str">
        <f>IFERROR(__xludf.DUMMYFUNCTION("""COMPUTED_VALUE"""),"REPAIR - TRACTOR")</f>
        <v>REPAIR - TRACTOR</v>
      </c>
      <c r="J717" s="72" t="str">
        <f>IFERROR(__xludf.DUMMYFUNCTION("""COMPUTED_VALUE"""),"Transmission - Clutch")</f>
        <v>Transmission - Clutch</v>
      </c>
      <c r="K717" s="72" t="str">
        <f>IFERROR(__xludf.DUMMYFUNCTION("""COMPUTED_VALUE"""),"philmech: LINING PROBLEM
PARTS: CLUTCH DISC ASSY
MYKEE: IPAGAGAWA NALANG DAW PO NILA SA IBA (LABOR FEE C/O LAPC) ")</f>
        <v>philmech: LINING PROBLEM
PARTS: CLUTCH DISC ASSY
MYKEE: IPAGAGAWA NALANG DAW PO NILA SA IBA (LABOR FEE C/O LAPC) </v>
      </c>
      <c r="L717" s="72" t="str">
        <f>IFERROR(__xludf.DUMMYFUNCTION("""COMPUTED_VALUE""")," CANCELLED")</f>
        <v> CANCELLED</v>
      </c>
      <c r="M717" s="2"/>
      <c r="N717" s="2"/>
      <c r="O717" s="2" t="str">
        <f>IFERROR(__xludf.DUMMYFUNCTION("""COMPUTED_VALUE"""),"CANCELLED")</f>
        <v>CANCELLED</v>
      </c>
      <c r="P717" s="2"/>
      <c r="Q717" s="2"/>
      <c r="R717" s="74">
        <f>IFERROR(__xludf.DUMMYFUNCTION("""COMPUTED_VALUE"""),45637.0)</f>
        <v>45637</v>
      </c>
      <c r="S717" s="2" t="str">
        <f>IFERROR(__xludf.DUMMYFUNCTION("""COMPUTED_VALUE"""),"MYKEE")</f>
        <v>MYKEE</v>
      </c>
      <c r="T717" s="73" t="str">
        <f>IFERROR(__xludf.DUMMYFUNCTION("""COMPUTED_VALUE""")," N/A ")</f>
        <v>N/A</v>
      </c>
      <c r="U717" s="73" t="str">
        <f>IFERROR(__xludf.DUMMYFUNCTION("""COMPUTED_VALUE""")," NO CHARGE ")</f>
        <v>NO CHARGE</v>
      </c>
      <c r="V717" s="2"/>
      <c r="W717" s="2" t="str">
        <f>IFERROR(__xludf.DUMMYFUNCTION("""COMPUTED_VALUE"""),"N/A")</f>
        <v>N/A</v>
      </c>
      <c r="X717" s="2" t="str">
        <f>IFERROR(__xludf.DUMMYFUNCTION("""COMPUTED_VALUE"""),"N/A")</f>
        <v>N/A</v>
      </c>
      <c r="Y717" s="2"/>
      <c r="Z717" s="2"/>
      <c r="AA717" s="2"/>
      <c r="AB717" s="2"/>
      <c r="AC717" s="2"/>
      <c r="AD717" s="2"/>
      <c r="AE717" s="2"/>
      <c r="AF717" s="2"/>
      <c r="AG717" s="2"/>
      <c r="AH717" s="2"/>
      <c r="AI717" s="2"/>
      <c r="AJ717" s="2" t="str">
        <f>IFERROR(__xludf.DUMMYFUNCTION("""COMPUTED_VALUE"""),"Pusiw")</f>
        <v>Pusiw</v>
      </c>
      <c r="AK717" s="2" t="str">
        <f>IFERROR(__xludf.DUMMYFUNCTION("""COMPUTED_VALUE"""),"Numancia")</f>
        <v>Numancia</v>
      </c>
      <c r="AL717" s="2" t="str">
        <f>IFERROR(__xludf.DUMMYFUNCTION("""COMPUTED_VALUE"""),"Aklan")</f>
        <v>Aklan</v>
      </c>
      <c r="AM717" s="2">
        <f>IFERROR(__xludf.DUMMYFUNCTION("""COMPUTED_VALUE"""),6.0)</f>
        <v>6</v>
      </c>
      <c r="AN717" s="2" t="str">
        <f>IFERROR(__xludf.DUMMYFUNCTION("""COMPUTED_VALUE"""),"RCEF 23-09-21 Rebidding")</f>
        <v>RCEF 23-09-21 Rebidding</v>
      </c>
      <c r="AO717" s="2">
        <f>IFERROR(__xludf.DUMMYFUNCTION("""COMPUTED_VALUE"""),4.0)</f>
        <v>4</v>
      </c>
      <c r="AP717" s="2"/>
      <c r="AQ717" s="2"/>
      <c r="AR717" s="2"/>
      <c r="AS717" s="2"/>
      <c r="AT717" s="2"/>
      <c r="AU717" s="2"/>
      <c r="AV717" s="2"/>
      <c r="AW717" s="2"/>
      <c r="AX717" s="2"/>
      <c r="AY717" s="2"/>
      <c r="AZ717" s="2"/>
      <c r="BA717" s="2"/>
      <c r="BB717" s="2"/>
    </row>
    <row r="718">
      <c r="A718" s="2">
        <f>IFERROR(__xludf.DUMMYFUNCTION("""COMPUTED_VALUE"""),714.0)</f>
        <v>714</v>
      </c>
      <c r="B718" s="2" t="str">
        <f>IFERROR(__xludf.DUMMYFUNCTION("""COMPUTED_VALUE"""),"COMPLETED")</f>
        <v>COMPLETED</v>
      </c>
      <c r="C718" s="74">
        <f>IFERROR(__xludf.DUMMYFUNCTION("""COMPUTED_VALUE"""),45635.0)</f>
        <v>45635</v>
      </c>
      <c r="D718" s="71" t="str">
        <f>IFERROR(__xludf.DUMMYFUNCTION("""COMPUTED_VALUE"""),"Nangalisan Multi Purpose Cooperative Inc.")</f>
        <v>Nangalisan Multi Purpose Cooperative Inc.</v>
      </c>
      <c r="E718" s="71" t="str">
        <f>IFERROR(__xludf.DUMMYFUNCTION("""COMPUTED_VALUE"""),"Nangalisan, Bacnotan, LA UNION")</f>
        <v>Nangalisan, Bacnotan, LA UNION</v>
      </c>
      <c r="F718" s="2" t="str">
        <f>IFERROR(__xludf.DUMMYFUNCTION("""COMPUTED_VALUE"""),"ROGELIO R. RINON")</f>
        <v>ROGELIO R. RINON</v>
      </c>
      <c r="G718" s="2">
        <f>IFERROR(__xludf.DUMMYFUNCTION("""COMPUTED_VALUE"""),9.109779348E9)</f>
        <v>9109779348</v>
      </c>
      <c r="H718" s="2">
        <f>IFERROR(__xludf.DUMMYFUNCTION("""COMPUTED_VALUE"""),214.0)</f>
        <v>214</v>
      </c>
      <c r="I718" s="72" t="str">
        <f>IFERROR(__xludf.DUMMYFUNCTION("""COMPUTED_VALUE"""),"REPAIR - TRACTOR")</f>
        <v>REPAIR - TRACTOR</v>
      </c>
      <c r="J718" s="72" t="str">
        <f>IFERROR(__xludf.DUMMYFUNCTION("""COMPUTED_VALUE"""),"CHECK UP/ REPAIR")</f>
        <v>CHECK UP/ REPAIR</v>
      </c>
      <c r="K718" s="72" t="str">
        <f>IFERROR(__xludf.DUMMYFUNCTION("""COMPUTED_VALUE"""),"KFS: MAY BITAK ANG HYDRAULIC HOSE GOING TO ROTAVATOR")</f>
        <v>KFS: MAY BITAK ANG HYDRAULIC HOSE GOING TO ROTAVATOR</v>
      </c>
      <c r="L718" s="72" t="str">
        <f>IFERROR(__xludf.DUMMYFUNCTION("""COMPUTED_VALUE"""),"JHP: PINA CRIMP NALANG NG FARMER ")</f>
        <v>JHP: PINA CRIMP NALANG NG FARMER </v>
      </c>
      <c r="M718" s="2"/>
      <c r="N718" s="2"/>
      <c r="O718" s="2" t="str">
        <f>IFERROR(__xludf.DUMMYFUNCTION("""COMPUTED_VALUE"""),"N/A")</f>
        <v>N/A</v>
      </c>
      <c r="P718" s="2"/>
      <c r="Q718" s="2"/>
      <c r="R718" s="74">
        <f>IFERROR(__xludf.DUMMYFUNCTION("""COMPUTED_VALUE"""),45645.0)</f>
        <v>45645</v>
      </c>
      <c r="S718" s="2" t="str">
        <f>IFERROR(__xludf.DUMMYFUNCTION("""COMPUTED_VALUE"""),"JHP/ACS")</f>
        <v>JHP/ACS</v>
      </c>
      <c r="T718" s="73" t="str">
        <f>IFERROR(__xludf.DUMMYFUNCTION("""COMPUTED_VALUE""")," N/A ")</f>
        <v>N/A</v>
      </c>
      <c r="U718" s="73" t="str">
        <f>IFERROR(__xludf.DUMMYFUNCTION("""COMPUTED_VALUE""")," NO CHARGE ")</f>
        <v>NO CHARGE</v>
      </c>
      <c r="V718" s="2"/>
      <c r="W718" s="2" t="str">
        <f>IFERROR(__xludf.DUMMYFUNCTION("""COMPUTED_VALUE"""),"N/A")</f>
        <v>N/A</v>
      </c>
      <c r="X718" s="2" t="str">
        <f>IFERROR(__xludf.DUMMYFUNCTION("""COMPUTED_VALUE"""),"N/A")</f>
        <v>N/A</v>
      </c>
      <c r="Y718" s="2"/>
      <c r="Z718" s="2"/>
      <c r="AA718" s="2"/>
      <c r="AB718" s="2"/>
      <c r="AC718" s="2"/>
      <c r="AD718" s="2"/>
      <c r="AE718" s="2"/>
      <c r="AF718" s="2"/>
      <c r="AG718" s="2"/>
      <c r="AH718" s="2"/>
      <c r="AI718" s="2"/>
      <c r="AJ718" s="2" t="str">
        <f>IFERROR(__xludf.DUMMYFUNCTION("""COMPUTED_VALUE"""),"Nangalisan")</f>
        <v>Nangalisan</v>
      </c>
      <c r="AK718" s="2" t="str">
        <f>IFERROR(__xludf.DUMMYFUNCTION("""COMPUTED_VALUE"""),"Bacnotan")</f>
        <v>Bacnotan</v>
      </c>
      <c r="AL718" s="2" t="str">
        <f>IFERROR(__xludf.DUMMYFUNCTION("""COMPUTED_VALUE"""),"La Union")</f>
        <v>La Union</v>
      </c>
      <c r="AM718" s="2">
        <f>IFERROR(__xludf.DUMMYFUNCTION("""COMPUTED_VALUE"""),1.0)</f>
        <v>1</v>
      </c>
      <c r="AN718" s="2" t="str">
        <f>IFERROR(__xludf.DUMMYFUNCTION("""COMPUTED_VALUE"""),"RCEF 23-09-21 Rebidding")</f>
        <v>RCEF 23-09-21 Rebidding</v>
      </c>
      <c r="AO718" s="2">
        <f>IFERROR(__xludf.DUMMYFUNCTION("""COMPUTED_VALUE"""),2.0)</f>
        <v>2</v>
      </c>
      <c r="AP718" s="2"/>
      <c r="AQ718" s="2"/>
      <c r="AR718" s="2"/>
      <c r="AS718" s="2"/>
      <c r="AT718" s="2"/>
      <c r="AU718" s="2"/>
      <c r="AV718" s="2"/>
      <c r="AW718" s="2"/>
      <c r="AX718" s="2"/>
      <c r="AY718" s="2"/>
      <c r="AZ718" s="2"/>
      <c r="BA718" s="2"/>
      <c r="BB718" s="2"/>
    </row>
    <row r="719">
      <c r="A719" s="2">
        <f>IFERROR(__xludf.DUMMYFUNCTION("""COMPUTED_VALUE"""),715.0)</f>
        <v>715</v>
      </c>
      <c r="B719" s="2" t="str">
        <f>IFERROR(__xludf.DUMMYFUNCTION("""COMPUTED_VALUE"""),"COMPLETED")</f>
        <v>COMPLETED</v>
      </c>
      <c r="C719" s="74">
        <f>IFERROR(__xludf.DUMMYFUNCTION("""COMPUTED_VALUE"""),45635.0)</f>
        <v>45635</v>
      </c>
      <c r="D719" s="71" t="str">
        <f>IFERROR(__xludf.DUMMYFUNCTION("""COMPUTED_VALUE"""),"MALLALATANG GRANDE AND VILLADOR FARMERS ASSOCIATION")</f>
        <v>MALLALATANG GRANDE AND VILLADOR FARMERS ASSOCIATION</v>
      </c>
      <c r="E719" s="71" t="str">
        <f>IFERROR(__xludf.DUMMYFUNCTION("""COMPUTED_VALUE"""),"Villador, Reina Mercedes, ISABELA")</f>
        <v>Villador, Reina Mercedes, ISABELA</v>
      </c>
      <c r="F719" s="2"/>
      <c r="G719" s="2">
        <f>IFERROR(__xludf.DUMMYFUNCTION("""COMPUTED_VALUE"""),9.654799576E9)</f>
        <v>9654799576</v>
      </c>
      <c r="H719" s="2">
        <f>IFERROR(__xludf.DUMMYFUNCTION("""COMPUTED_VALUE"""),225.0)</f>
        <v>225</v>
      </c>
      <c r="I719" s="72" t="str">
        <f>IFERROR(__xludf.DUMMYFUNCTION("""COMPUTED_VALUE"""),"SPARE PARTS ACQUISITION")</f>
        <v>SPARE PARTS ACQUISITION</v>
      </c>
      <c r="J719" s="72" t="str">
        <f>IFERROR(__xludf.DUMMYFUNCTION("""COMPUTED_VALUE"""),"SPARE PARTS ACQUISITION")</f>
        <v>SPARE PARTS ACQUISITION</v>
      </c>
      <c r="K719" s="72" t="str">
        <f>IFERROR(__xludf.DUMMYFUNCTION("""COMPUTED_VALUE"""),"CFG: PARTS: PINION GEAR 11T
CFG:sira yong sa may rota gaer box po. sira padin po ung 24T. ")</f>
        <v>CFG: PARTS: PINION GEAR 11T
CFG:sira yong sa may rota gaer box po. sira padin po ung 24T. </v>
      </c>
      <c r="L719" s="72" t="str">
        <f>IFERROR(__xludf.DUMMYFUNCTION("""COMPUTED_VALUE"""),"CFG: PINION GEAR DELIVERED")</f>
        <v>CFG: PINION GEAR DELIVERED</v>
      </c>
      <c r="M719" s="2"/>
      <c r="N719" s="2" t="str">
        <f>IFERROR(__xludf.DUMMYFUNCTION("""COMPUTED_VALUE"""),"PARTS: PINION GEAR 11T")</f>
        <v>PARTS: PINION GEAR 11T</v>
      </c>
      <c r="O719" s="2" t="str">
        <f>IFERROR(__xludf.DUMMYFUNCTION("""COMPUTED_VALUE"""),"N/A")</f>
        <v>N/A</v>
      </c>
      <c r="P719" s="2"/>
      <c r="Q719" s="2"/>
      <c r="R719" s="74">
        <f>IFERROR(__xludf.DUMMYFUNCTION("""COMPUTED_VALUE"""),45646.0)</f>
        <v>45646</v>
      </c>
      <c r="S719" s="2" t="str">
        <f>IFERROR(__xludf.DUMMYFUNCTION("""COMPUTED_VALUE"""),"CFG/JVV")</f>
        <v>CFG/JVV</v>
      </c>
      <c r="T719" s="73">
        <f>IFERROR(__xludf.DUMMYFUNCTION("""COMPUTED_VALUE"""),7900.0)</f>
        <v>7900</v>
      </c>
      <c r="U719" s="73" t="str">
        <f>IFERROR(__xludf.DUMMYFUNCTION("""COMPUTED_VALUE""")," REMITTED ")</f>
        <v>REMITTED</v>
      </c>
      <c r="V719" s="2"/>
      <c r="W719" s="2">
        <f>IFERROR(__xludf.DUMMYFUNCTION("""COMPUTED_VALUE"""),1292.0)</f>
        <v>1292</v>
      </c>
      <c r="X719" s="2">
        <f>IFERROR(__xludf.DUMMYFUNCTION("""COMPUTED_VALUE"""),1355.0)</f>
        <v>1355</v>
      </c>
      <c r="Y719" s="2"/>
      <c r="Z719" s="2"/>
      <c r="AA719" s="2"/>
      <c r="AB719" s="2"/>
      <c r="AC719" s="2"/>
      <c r="AD719" s="2"/>
      <c r="AE719" s="2"/>
      <c r="AF719" s="2"/>
      <c r="AG719" s="2"/>
      <c r="AH719" s="2"/>
      <c r="AI719" s="2"/>
      <c r="AJ719" s="2" t="str">
        <f>IFERROR(__xludf.DUMMYFUNCTION("""COMPUTED_VALUE"""),"Villador")</f>
        <v>Villador</v>
      </c>
      <c r="AK719" s="2" t="str">
        <f>IFERROR(__xludf.DUMMYFUNCTION("""COMPUTED_VALUE"""),"Reina Mercedes")</f>
        <v>Reina Mercedes</v>
      </c>
      <c r="AL719" s="2" t="str">
        <f>IFERROR(__xludf.DUMMYFUNCTION("""COMPUTED_VALUE"""),"Isabela")</f>
        <v>Isabela</v>
      </c>
      <c r="AM719" s="2">
        <f>IFERROR(__xludf.DUMMYFUNCTION("""COMPUTED_VALUE"""),2.0)</f>
        <v>2</v>
      </c>
      <c r="AN719" s="2" t="str">
        <f>IFERROR(__xludf.DUMMYFUNCTION("""COMPUTED_VALUE"""),"RCEF 23-09-21 Rebidding")</f>
        <v>RCEF 23-09-21 Rebidding</v>
      </c>
      <c r="AO719" s="2">
        <f>IFERROR(__xludf.DUMMYFUNCTION("""COMPUTED_VALUE"""),9.0)</f>
        <v>9</v>
      </c>
      <c r="AP719" s="2"/>
      <c r="AQ719" s="2"/>
      <c r="AR719" s="2"/>
      <c r="AS719" s="2"/>
      <c r="AT719" s="2"/>
      <c r="AU719" s="2"/>
      <c r="AV719" s="2"/>
      <c r="AW719" s="2"/>
      <c r="AX719" s="2"/>
      <c r="AY719" s="2"/>
      <c r="AZ719" s="2"/>
      <c r="BA719" s="2"/>
      <c r="BB719" s="2"/>
    </row>
    <row r="720">
      <c r="A720" s="2">
        <f>IFERROR(__xludf.DUMMYFUNCTION("""COMPUTED_VALUE"""),716.0)</f>
        <v>716</v>
      </c>
      <c r="B720" s="2" t="str">
        <f>IFERROR(__xludf.DUMMYFUNCTION("""COMPUTED_VALUE"""),"COMPLETED")</f>
        <v>COMPLETED</v>
      </c>
      <c r="C720" s="74">
        <f>IFERROR(__xludf.DUMMYFUNCTION("""COMPUTED_VALUE"""),45636.0)</f>
        <v>45636</v>
      </c>
      <c r="D720" s="71" t="str">
        <f>IFERROR(__xludf.DUMMYFUNCTION("""COMPUTED_VALUE"""),"SOLID PANAGANIAN FARMERS ASSOCIATION INC.")</f>
        <v>SOLID PANAGANIAN FARMERS ASSOCIATION INC.</v>
      </c>
      <c r="E720" s="71" t="str">
        <f>IFERROR(__xludf.DUMMYFUNCTION("""COMPUTED_VALUE"""),"Panaga, Laoac, PANGASINAN")</f>
        <v>Panaga, Laoac, PANGASINAN</v>
      </c>
      <c r="F720" s="2" t="str">
        <f>IFERROR(__xludf.DUMMYFUNCTION("""COMPUTED_VALUE"""),"Mario Balisung ")</f>
        <v>Mario Balisung </v>
      </c>
      <c r="G720" s="2">
        <f>IFERROR(__xludf.DUMMYFUNCTION("""COMPUTED_VALUE"""),9.307879912E9)</f>
        <v>9307879912</v>
      </c>
      <c r="H720" s="2">
        <f>IFERROR(__xludf.DUMMYFUNCTION("""COMPUTED_VALUE"""),399.8)</f>
        <v>399.8</v>
      </c>
      <c r="I720" s="72" t="str">
        <f>IFERROR(__xludf.DUMMYFUNCTION("""COMPUTED_VALUE"""),"PMS")</f>
        <v>PMS</v>
      </c>
      <c r="J720" s="72"/>
      <c r="K720" s="72" t="str">
        <f>IFERROR(__xludf.DUMMYFUNCTION("""COMPUTED_VALUE"""),"DSD: 2ND PMS")</f>
        <v>DSD: 2ND PMS</v>
      </c>
      <c r="L720" s="72" t="str">
        <f>IFERROR(__xludf.DUMMYFUNCTION("""COMPUTED_VALUE"""),"EGT: GENERAL PMS DONE")</f>
        <v>EGT: GENERAL PMS DONE</v>
      </c>
      <c r="M720" s="2"/>
      <c r="N720" s="2" t="str">
        <f>IFERROR(__xludf.DUMMYFUNCTION("""COMPUTED_VALUE"""),"PARTS: HYDRAULIC FILTER, OIL FILTER")</f>
        <v>PARTS: HYDRAULIC FILTER, OIL FILTER</v>
      </c>
      <c r="O720" s="2">
        <f>IFERROR(__xludf.DUMMYFUNCTION("""COMPUTED_VALUE"""),1333.0)</f>
        <v>1333</v>
      </c>
      <c r="P720" s="2"/>
      <c r="Q720" s="2"/>
      <c r="R720" s="74">
        <f>IFERROR(__xludf.DUMMYFUNCTION("""COMPUTED_VALUE"""),45637.0)</f>
        <v>45637</v>
      </c>
      <c r="S720" s="2" t="str">
        <f>IFERROR(__xludf.DUMMYFUNCTION("""COMPUTED_VALUE"""),"EGT/DRM")</f>
        <v>EGT/DRM</v>
      </c>
      <c r="T720" s="73">
        <f>IFERROR(__xludf.DUMMYFUNCTION("""COMPUTED_VALUE"""),4286.0)</f>
        <v>4286</v>
      </c>
      <c r="U720" s="73" t="str">
        <f>IFERROR(__xludf.DUMMYFUNCTION("""COMPUTED_VALUE""")," REMITTED ")</f>
        <v>REMITTED</v>
      </c>
      <c r="V720" s="2"/>
      <c r="W720" s="2">
        <f>IFERROR(__xludf.DUMMYFUNCTION("""COMPUTED_VALUE"""),1344.0)</f>
        <v>1344</v>
      </c>
      <c r="X720" s="2">
        <f>IFERROR(__xludf.DUMMYFUNCTION("""COMPUTED_VALUE"""),1274.0)</f>
        <v>1274</v>
      </c>
      <c r="Y720" s="2"/>
      <c r="Z720" s="2"/>
      <c r="AA720" s="2"/>
      <c r="AB720" s="2"/>
      <c r="AC720" s="2"/>
      <c r="AD720" s="2"/>
      <c r="AE720" s="2"/>
      <c r="AF720" s="2"/>
      <c r="AG720" s="2"/>
      <c r="AH720" s="2"/>
      <c r="AI720" s="2"/>
      <c r="AJ720" s="2" t="str">
        <f>IFERROR(__xludf.DUMMYFUNCTION("""COMPUTED_VALUE"""),"Panaga")</f>
        <v>Panaga</v>
      </c>
      <c r="AK720" s="2" t="str">
        <f>IFERROR(__xludf.DUMMYFUNCTION("""COMPUTED_VALUE"""),"Laoac")</f>
        <v>Laoac</v>
      </c>
      <c r="AL720" s="2" t="str">
        <f>IFERROR(__xludf.DUMMYFUNCTION("""COMPUTED_VALUE"""),"Pangasinan")</f>
        <v>Pangasinan</v>
      </c>
      <c r="AM720" s="2">
        <f>IFERROR(__xludf.DUMMYFUNCTION("""COMPUTED_VALUE"""),1.0)</f>
        <v>1</v>
      </c>
      <c r="AN720" s="2" t="str">
        <f>IFERROR(__xludf.DUMMYFUNCTION("""COMPUTED_VALUE"""),"RCEF 23-09-21 Rebidding")</f>
        <v>RCEF 23-09-21 Rebidding</v>
      </c>
      <c r="AO720" s="2">
        <f>IFERROR(__xludf.DUMMYFUNCTION("""COMPUTED_VALUE"""),2.0)</f>
        <v>2</v>
      </c>
      <c r="AP720" s="2"/>
      <c r="AQ720" s="2"/>
      <c r="AR720" s="2"/>
      <c r="AS720" s="2"/>
      <c r="AT720" s="2"/>
      <c r="AU720" s="2"/>
      <c r="AV720" s="2"/>
      <c r="AW720" s="2"/>
      <c r="AX720" s="2"/>
      <c r="AY720" s="2"/>
      <c r="AZ720" s="2"/>
      <c r="BA720" s="2"/>
      <c r="BB720" s="2"/>
    </row>
    <row r="721">
      <c r="A721" s="2">
        <f>IFERROR(__xludf.DUMMYFUNCTION("""COMPUTED_VALUE"""),717.0)</f>
        <v>717</v>
      </c>
      <c r="B721" s="2" t="str">
        <f>IFERROR(__xludf.DUMMYFUNCTION("""COMPUTED_VALUE"""),"COMPLETED")</f>
        <v>COMPLETED</v>
      </c>
      <c r="C721" s="74">
        <f>IFERROR(__xludf.DUMMYFUNCTION("""COMPUTED_VALUE"""),45636.0)</f>
        <v>45636</v>
      </c>
      <c r="D721" s="71" t="str">
        <f>IFERROR(__xludf.DUMMYFUNCTION("""COMPUTED_VALUE"""),"ANDARAYAN CANTOR SMALL WATER IRRIGATION SYSTEM ASSOCIATION")</f>
        <v>ANDARAYAN CANTOR SMALL WATER IRRIGATION SYSTEM ASSOCIATION</v>
      </c>
      <c r="E721" s="71" t="str">
        <f>IFERROR(__xludf.DUMMYFUNCTION("""COMPUTED_VALUE"""),"SANTOR, RIZAL., KALINGA")</f>
        <v>SANTOR, RIZAL., KALINGA</v>
      </c>
      <c r="F721" s="2" t="str">
        <f>IFERROR(__xludf.DUMMYFUNCTION("""COMPUTED_VALUE"""),"ANDARAYAN SANTOR SMALL WATER IRRIGATION SYSTEM ASSC.  /  ROGER MILLAN")</f>
        <v>ANDARAYAN SANTOR SMALL WATER IRRIGATION SYSTEM ASSC.  /  ROGER MILLAN</v>
      </c>
      <c r="G721" s="2">
        <f>IFERROR(__xludf.DUMMYFUNCTION("""COMPUTED_VALUE"""),9.355260831E9)</f>
        <v>9355260831</v>
      </c>
      <c r="H721" s="2">
        <f>IFERROR(__xludf.DUMMYFUNCTION("""COMPUTED_VALUE"""),241.0)</f>
        <v>241</v>
      </c>
      <c r="I721" s="72" t="str">
        <f>IFERROR(__xludf.DUMMYFUNCTION("""COMPUTED_VALUE"""),"REPAIR - TRACTOR")</f>
        <v>REPAIR - TRACTOR</v>
      </c>
      <c r="J721" s="72" t="str">
        <f>IFERROR(__xludf.DUMMYFUNCTION("""COMPUTED_VALUE"""),"Transmission - Clutch")</f>
        <v>Transmission - Clutch</v>
      </c>
      <c r="K721" s="72" t="str">
        <f>IFERROR(__xludf.DUMMYFUNCTION("""COMPUTED_VALUE"""),"CFG: REALEASE BEARING,need to replace Release bearing")</f>
        <v>CFG: REALEASE BEARING,need to replace Release bearing</v>
      </c>
      <c r="L721" s="72" t="str">
        <f>IFERROR(__xludf.DUMMYFUNCTION("""COMPUTED_VALUE"""),"JVV: REPLACE DAMAGE RELEASE BEARING")</f>
        <v>JVV: REPLACE DAMAGE RELEASE BEARING</v>
      </c>
      <c r="M721" s="2"/>
      <c r="N721" s="2" t="str">
        <f>IFERROR(__xludf.DUMMYFUNCTION("""COMPUTED_VALUE"""),"PARTS: RELEASE BEARING")</f>
        <v>PARTS: RELEASE BEARING</v>
      </c>
      <c r="O721" s="2">
        <f>IFERROR(__xludf.DUMMYFUNCTION("""COMPUTED_VALUE"""),1161.0)</f>
        <v>1161</v>
      </c>
      <c r="P721" s="2" t="str">
        <f>IFERROR(__xludf.DUMMYFUNCTION("""COMPUTED_VALUE"""),"viber_image_2025-05-28_15-03-59-310.png
")</f>
        <v>viber_image_2025-05-28_15-03-59-310.png
</v>
      </c>
      <c r="Q721" s="2"/>
      <c r="R721" s="74">
        <f>IFERROR(__xludf.DUMMYFUNCTION("""COMPUTED_VALUE"""),45641.0)</f>
        <v>45641</v>
      </c>
      <c r="S721" s="2" t="str">
        <f>IFERROR(__xludf.DUMMYFUNCTION("""COMPUTED_VALUE"""),"JVV/CFG")</f>
        <v>JVV/CFG</v>
      </c>
      <c r="T721" s="73">
        <f>IFERROR(__xludf.DUMMYFUNCTION("""COMPUTED_VALUE"""),6350.0)</f>
        <v>6350</v>
      </c>
      <c r="U721" s="73" t="str">
        <f>IFERROR(__xludf.DUMMYFUNCTION("""COMPUTED_VALUE""")," REMITTED ")</f>
        <v>REMITTED</v>
      </c>
      <c r="V721" s="2"/>
      <c r="W721" s="2">
        <f>IFERROR(__xludf.DUMMYFUNCTION("""COMPUTED_VALUE"""),1291.0)</f>
        <v>1291</v>
      </c>
      <c r="X721" s="2">
        <f>IFERROR(__xludf.DUMMYFUNCTION("""COMPUTED_VALUE"""),1354.0)</f>
        <v>1354</v>
      </c>
      <c r="Y721" s="2"/>
      <c r="Z721" s="2"/>
      <c r="AA721" s="2"/>
      <c r="AB721" s="2"/>
      <c r="AC721" s="2"/>
      <c r="AD721" s="2"/>
      <c r="AE721" s="2"/>
      <c r="AF721" s="2"/>
      <c r="AG721" s="2"/>
      <c r="AH721" s="2"/>
      <c r="AI721" s="2"/>
      <c r="AJ721" s="2" t="str">
        <f>IFERROR(__xludf.DUMMYFUNCTION("""COMPUTED_VALUE"""),"Santor")</f>
        <v>Santor</v>
      </c>
      <c r="AK721" s="2" t="str">
        <f>IFERROR(__xludf.DUMMYFUNCTION("""COMPUTED_VALUE"""),"Rizal.")</f>
        <v>Rizal.</v>
      </c>
      <c r="AL721" s="2" t="str">
        <f>IFERROR(__xludf.DUMMYFUNCTION("""COMPUTED_VALUE"""),"Kalinga")</f>
        <v>Kalinga</v>
      </c>
      <c r="AM721" s="2" t="str">
        <f>IFERROR(__xludf.DUMMYFUNCTION("""COMPUTED_VALUE"""),"CAR")</f>
        <v>CAR</v>
      </c>
      <c r="AN721" s="2" t="str">
        <f>IFERROR(__xludf.DUMMYFUNCTION("""COMPUTED_VALUE"""),"RCEF 23-09-21 Rebidding")</f>
        <v>RCEF 23-09-21 Rebidding</v>
      </c>
      <c r="AO721" s="2">
        <f>IFERROR(__xludf.DUMMYFUNCTION("""COMPUTED_VALUE"""),1.0)</f>
        <v>1</v>
      </c>
      <c r="AP721" s="2"/>
      <c r="AQ721" s="2"/>
      <c r="AR721" s="2"/>
      <c r="AS721" s="2"/>
      <c r="AT721" s="2"/>
      <c r="AU721" s="2"/>
      <c r="AV721" s="2"/>
      <c r="AW721" s="2"/>
      <c r="AX721" s="2"/>
      <c r="AY721" s="2"/>
      <c r="AZ721" s="2"/>
      <c r="BA721" s="2"/>
      <c r="BB721" s="2"/>
    </row>
    <row r="722">
      <c r="A722" s="2">
        <f>IFERROR(__xludf.DUMMYFUNCTION("""COMPUTED_VALUE"""),718.0)</f>
        <v>718</v>
      </c>
      <c r="B722" s="2" t="str">
        <f>IFERROR(__xludf.DUMMYFUNCTION("""COMPUTED_VALUE"""),"COMPLETED")</f>
        <v>COMPLETED</v>
      </c>
      <c r="C722" s="74">
        <f>IFERROR(__xludf.DUMMYFUNCTION("""COMPUTED_VALUE"""),45637.0)</f>
        <v>45637</v>
      </c>
      <c r="D722" s="71" t="str">
        <f>IFERROR(__xludf.DUMMYFUNCTION("""COMPUTED_VALUE"""),"BARING SAN NICOLAS FARMERS ASSOCIATION")</f>
        <v>BARING SAN NICOLAS FARMERS ASSOCIATION</v>
      </c>
      <c r="E722" s="71" t="str">
        <f>IFERROR(__xludf.DUMMYFUNCTION("""COMPUTED_VALUE"""),"San Nicolas, Castillejos, ZAMBALES")</f>
        <v>San Nicolas, Castillejos, ZAMBALES</v>
      </c>
      <c r="F722" s="2"/>
      <c r="G722" s="2">
        <f>IFERROR(__xludf.DUMMYFUNCTION("""COMPUTED_VALUE"""),9.60379543E9)</f>
        <v>9603795430</v>
      </c>
      <c r="H722" s="2">
        <f>IFERROR(__xludf.DUMMYFUNCTION("""COMPUTED_VALUE"""),300.0)</f>
        <v>300</v>
      </c>
      <c r="I722" s="72" t="str">
        <f>IFERROR(__xludf.DUMMYFUNCTION("""COMPUTED_VALUE"""),"PMS")</f>
        <v>PMS</v>
      </c>
      <c r="J722" s="72" t="str">
        <f>IFERROR(__xludf.DUMMYFUNCTION("""COMPUTED_VALUE"""),"PMS")</f>
        <v>PMS</v>
      </c>
      <c r="K722" s="72" t="str">
        <f>IFERROR(__xludf.DUMMYFUNCTION("""COMPUTED_VALUE"""),"DRM: 2ND PMS")</f>
        <v>DRM: 2ND PMS</v>
      </c>
      <c r="L722" s="72" t="str">
        <f>IFERROR(__xludf.DUMMYFUNCTION("""COMPUTED_VALUE"""),"EGT: 2ND PMS DONE")</f>
        <v>EGT: 2ND PMS DONE</v>
      </c>
      <c r="M722" s="2"/>
      <c r="N722" s="2" t="str">
        <f>IFERROR(__xludf.DUMMYFUNCTION("""COMPUTED_VALUE"""),"PARTS: HYDRAULIC FILTER, OIL FILTER")</f>
        <v>PARTS: HYDRAULIC FILTER, OIL FILTER</v>
      </c>
      <c r="O722" s="2">
        <f>IFERROR(__xludf.DUMMYFUNCTION("""COMPUTED_VALUE"""),1134.0)</f>
        <v>1134</v>
      </c>
      <c r="P722" s="2"/>
      <c r="Q722" s="2"/>
      <c r="R722" s="74">
        <f>IFERROR(__xludf.DUMMYFUNCTION("""COMPUTED_VALUE"""),45800.0)</f>
        <v>45800</v>
      </c>
      <c r="S722" s="2" t="str">
        <f>IFERROR(__xludf.DUMMYFUNCTION("""COMPUTED_VALUE"""),"EGT/DRM")</f>
        <v>EGT/DRM</v>
      </c>
      <c r="T722" s="73">
        <f>IFERROR(__xludf.DUMMYFUNCTION("""COMPUTED_VALUE"""),4350.0)</f>
        <v>4350</v>
      </c>
      <c r="U722" s="73" t="str">
        <f>IFERROR(__xludf.DUMMYFUNCTION("""COMPUTED_VALUE""")," REMITTED ")</f>
        <v>REMITTED</v>
      </c>
      <c r="V722" s="2"/>
      <c r="W722" s="2">
        <f>IFERROR(__xludf.DUMMYFUNCTION("""COMPUTED_VALUE"""),1067.0)</f>
        <v>1067</v>
      </c>
      <c r="X722" s="2">
        <f>IFERROR(__xludf.DUMMYFUNCTION("""COMPUTED_VALUE"""),1406.0)</f>
        <v>1406</v>
      </c>
      <c r="Y722" s="2"/>
      <c r="Z722" s="2"/>
      <c r="AA722" s="2"/>
      <c r="AB722" s="2"/>
      <c r="AC722" s="2"/>
      <c r="AD722" s="2"/>
      <c r="AE722" s="2"/>
      <c r="AF722" s="2"/>
      <c r="AG722" s="2"/>
      <c r="AH722" s="2"/>
      <c r="AI722" s="2"/>
      <c r="AJ722" s="2" t="str">
        <f>IFERROR(__xludf.DUMMYFUNCTION("""COMPUTED_VALUE"""),"San Nicolas")</f>
        <v>San Nicolas</v>
      </c>
      <c r="AK722" s="2" t="str">
        <f>IFERROR(__xludf.DUMMYFUNCTION("""COMPUTED_VALUE"""),"Castillejos")</f>
        <v>Castillejos</v>
      </c>
      <c r="AL722" s="2" t="str">
        <f>IFERROR(__xludf.DUMMYFUNCTION("""COMPUTED_VALUE"""),"Zambales")</f>
        <v>Zambales</v>
      </c>
      <c r="AM722" s="2">
        <f>IFERROR(__xludf.DUMMYFUNCTION("""COMPUTED_VALUE"""),3.0)</f>
        <v>3</v>
      </c>
      <c r="AN722" s="2" t="str">
        <f>IFERROR(__xludf.DUMMYFUNCTION("""COMPUTED_VALUE"""),"RCEF 23-09-21 Rebidding")</f>
        <v>RCEF 23-09-21 Rebidding</v>
      </c>
      <c r="AO722" s="2">
        <f>IFERROR(__xludf.DUMMYFUNCTION("""COMPUTED_VALUE"""),3.0)</f>
        <v>3</v>
      </c>
      <c r="AP722" s="2"/>
      <c r="AQ722" s="2"/>
      <c r="AR722" s="2"/>
      <c r="AS722" s="2"/>
      <c r="AT722" s="2"/>
      <c r="AU722" s="2"/>
      <c r="AV722" s="2"/>
      <c r="AW722" s="2"/>
      <c r="AX722" s="2"/>
      <c r="AY722" s="2"/>
      <c r="AZ722" s="2"/>
      <c r="BA722" s="2"/>
      <c r="BB722" s="2"/>
    </row>
    <row r="723">
      <c r="A723" s="2">
        <f>IFERROR(__xludf.DUMMYFUNCTION("""COMPUTED_VALUE"""),719.0)</f>
        <v>719</v>
      </c>
      <c r="B723" s="2" t="str">
        <f>IFERROR(__xludf.DUMMYFUNCTION("""COMPUTED_VALUE"""),"COMPLETED")</f>
        <v>COMPLETED</v>
      </c>
      <c r="C723" s="74">
        <f>IFERROR(__xludf.DUMMYFUNCTION("""COMPUTED_VALUE"""),45637.0)</f>
        <v>45637</v>
      </c>
      <c r="D723" s="71" t="str">
        <f>IFERROR(__xludf.DUMMYFUNCTION("""COMPUTED_VALUE"""),"TRICUL FARMER IRRIGATORS ASSOCIATION, INC.")</f>
        <v>TRICUL FARMER IRRIGATORS ASSOCIATION, INC.</v>
      </c>
      <c r="E723" s="71" t="str">
        <f>IFERROR(__xludf.DUMMYFUNCTION("""COMPUTED_VALUE"""),"Culipat, Tarlac City, TARLAC")</f>
        <v>Culipat, Tarlac City, TARLAC</v>
      </c>
      <c r="F723" s="2"/>
      <c r="G723" s="2"/>
      <c r="H723" s="2">
        <f>IFERROR(__xludf.DUMMYFUNCTION("""COMPUTED_VALUE"""),177.0)</f>
        <v>177</v>
      </c>
      <c r="I723" s="72" t="str">
        <f>IFERROR(__xludf.DUMMYFUNCTION("""COMPUTED_VALUE"""),"PMS")</f>
        <v>PMS</v>
      </c>
      <c r="J723" s="72" t="str">
        <f>IFERROR(__xludf.DUMMYFUNCTION("""COMPUTED_VALUE"""),"CHECK UP UNIT")</f>
        <v>CHECK UP UNIT</v>
      </c>
      <c r="K723" s="72" t="str">
        <f>IFERROR(__xludf.DUMMYFUNCTION("""COMPUTED_VALUE"""),"JDP: CHECK UP UNIT")</f>
        <v>JDP: CHECK UP UNIT</v>
      </c>
      <c r="L723" s="72" t="str">
        <f>IFERROR(__xludf.DUMMYFUNCTION("""COMPUTED_VALUE"""),"JDP: CHECK UP UNIT")</f>
        <v>JDP: CHECK UP UNIT</v>
      </c>
      <c r="M723" s="2"/>
      <c r="N723" s="2"/>
      <c r="O723" s="2" t="str">
        <f>IFERROR(__xludf.DUMMYFUNCTION("""COMPUTED_VALUE"""),"N/A")</f>
        <v>N/A</v>
      </c>
      <c r="P723" s="2"/>
      <c r="Q723" s="2"/>
      <c r="R723" s="74">
        <f>IFERROR(__xludf.DUMMYFUNCTION("""COMPUTED_VALUE"""),45638.0)</f>
        <v>45638</v>
      </c>
      <c r="S723" s="2" t="str">
        <f>IFERROR(__xludf.DUMMYFUNCTION("""COMPUTED_VALUE"""),"DSD/JDP")</f>
        <v>DSD/JDP</v>
      </c>
      <c r="T723" s="73" t="str">
        <f>IFERROR(__xludf.DUMMYFUNCTION("""COMPUTED_VALUE""")," N/A ")</f>
        <v>N/A</v>
      </c>
      <c r="U723" s="73" t="str">
        <f>IFERROR(__xludf.DUMMYFUNCTION("""COMPUTED_VALUE""")," NO CHARGE ")</f>
        <v>NO CHARGE</v>
      </c>
      <c r="V723" s="2"/>
      <c r="W723" s="2" t="str">
        <f>IFERROR(__xludf.DUMMYFUNCTION("""COMPUTED_VALUE"""),"N/A")</f>
        <v>N/A</v>
      </c>
      <c r="X723" s="2" t="str">
        <f>IFERROR(__xludf.DUMMYFUNCTION("""COMPUTED_VALUE"""),"N/A")</f>
        <v>N/A</v>
      </c>
      <c r="Y723" s="2"/>
      <c r="Z723" s="2"/>
      <c r="AA723" s="2"/>
      <c r="AB723" s="2"/>
      <c r="AC723" s="2"/>
      <c r="AD723" s="2"/>
      <c r="AE723" s="2"/>
      <c r="AF723" s="2"/>
      <c r="AG723" s="2"/>
      <c r="AH723" s="2"/>
      <c r="AI723" s="2"/>
      <c r="AJ723" s="2" t="str">
        <f>IFERROR(__xludf.DUMMYFUNCTION("""COMPUTED_VALUE"""),"Culipat")</f>
        <v>Culipat</v>
      </c>
      <c r="AK723" s="2" t="str">
        <f>IFERROR(__xludf.DUMMYFUNCTION("""COMPUTED_VALUE"""),"Tarlac City")</f>
        <v>Tarlac City</v>
      </c>
      <c r="AL723" s="2" t="str">
        <f>IFERROR(__xludf.DUMMYFUNCTION("""COMPUTED_VALUE"""),"Tarlac")</f>
        <v>Tarlac</v>
      </c>
      <c r="AM723" s="2">
        <f>IFERROR(__xludf.DUMMYFUNCTION("""COMPUTED_VALUE"""),3.0)</f>
        <v>3</v>
      </c>
      <c r="AN723" s="2" t="str">
        <f>IFERROR(__xludf.DUMMYFUNCTION("""COMPUTED_VALUE"""),"RCEF 23-09-21 Rebidding")</f>
        <v>RCEF 23-09-21 Rebidding</v>
      </c>
      <c r="AO723" s="2">
        <f>IFERROR(__xludf.DUMMYFUNCTION("""COMPUTED_VALUE"""),3.0)</f>
        <v>3</v>
      </c>
      <c r="AP723" s="2"/>
      <c r="AQ723" s="2"/>
      <c r="AR723" s="2"/>
      <c r="AS723" s="2"/>
      <c r="AT723" s="2"/>
      <c r="AU723" s="2"/>
      <c r="AV723" s="2"/>
      <c r="AW723" s="2"/>
      <c r="AX723" s="2"/>
      <c r="AY723" s="2"/>
      <c r="AZ723" s="2"/>
      <c r="BA723" s="2"/>
      <c r="BB723" s="2"/>
    </row>
    <row r="724">
      <c r="A724" s="2">
        <f>IFERROR(__xludf.DUMMYFUNCTION("""COMPUTED_VALUE"""),720.0)</f>
        <v>720</v>
      </c>
      <c r="B724" s="2" t="str">
        <f>IFERROR(__xludf.DUMMYFUNCTION("""COMPUTED_VALUE"""),"COMPLETED")</f>
        <v>COMPLETED</v>
      </c>
      <c r="C724" s="74">
        <f>IFERROR(__xludf.DUMMYFUNCTION("""COMPUTED_VALUE"""),45638.0)</f>
        <v>45638</v>
      </c>
      <c r="D724" s="71" t="str">
        <f>IFERROR(__xludf.DUMMYFUNCTION("""COMPUTED_VALUE"""),"BARANGAY SEPUNG ILOG FARMERS IRRIGATORS ASSOCOATION INC.")</f>
        <v>BARANGAY SEPUNG ILOG FARMERS IRRIGATORS ASSOCOATION INC.</v>
      </c>
      <c r="E724" s="71" t="str">
        <f>IFERROR(__xludf.DUMMYFUNCTION("""COMPUTED_VALUE"""),"San Nicolas, Santa Ana, PAMPANGA")</f>
        <v>San Nicolas, Santa Ana, PAMPANGA</v>
      </c>
      <c r="F724" s="2"/>
      <c r="G724" s="2"/>
      <c r="H724" s="2">
        <f>IFERROR(__xludf.DUMMYFUNCTION("""COMPUTED_VALUE"""),244.0)</f>
        <v>244</v>
      </c>
      <c r="I724" s="72" t="str">
        <f>IFERROR(__xludf.DUMMYFUNCTION("""COMPUTED_VALUE"""),"PMS")</f>
        <v>PMS</v>
      </c>
      <c r="J724" s="72" t="str">
        <f>IFERROR(__xludf.DUMMYFUNCTION("""COMPUTED_VALUE"""),"CHECK UP UNIT")</f>
        <v>CHECK UP UNIT</v>
      </c>
      <c r="K724" s="72" t="str">
        <f>IFERROR(__xludf.DUMMYFUNCTION("""COMPUTED_VALUE"""),"JDP: CHECK UP UNIT")</f>
        <v>JDP: CHECK UP UNIT</v>
      </c>
      <c r="L724" s="72" t="str">
        <f>IFERROR(__xludf.DUMMYFUNCTION("""COMPUTED_VALUE"""),"JDP: CHECK UP UNIT")</f>
        <v>JDP: CHECK UP UNIT</v>
      </c>
      <c r="M724" s="2"/>
      <c r="N724" s="2"/>
      <c r="O724" s="2" t="str">
        <f>IFERROR(__xludf.DUMMYFUNCTION("""COMPUTED_VALUE"""),"N/A")</f>
        <v>N/A</v>
      </c>
      <c r="P724" s="2"/>
      <c r="Q724" s="2"/>
      <c r="R724" s="74">
        <f>IFERROR(__xludf.DUMMYFUNCTION("""COMPUTED_VALUE"""),45638.0)</f>
        <v>45638</v>
      </c>
      <c r="S724" s="2" t="str">
        <f>IFERROR(__xludf.DUMMYFUNCTION("""COMPUTED_VALUE"""),"DSD/JDP")</f>
        <v>DSD/JDP</v>
      </c>
      <c r="T724" s="73" t="str">
        <f>IFERROR(__xludf.DUMMYFUNCTION("""COMPUTED_VALUE""")," N/A ")</f>
        <v>N/A</v>
      </c>
      <c r="U724" s="73" t="str">
        <f>IFERROR(__xludf.DUMMYFUNCTION("""COMPUTED_VALUE""")," NO CHARGE ")</f>
        <v>NO CHARGE</v>
      </c>
      <c r="V724" s="2"/>
      <c r="W724" s="2" t="str">
        <f>IFERROR(__xludf.DUMMYFUNCTION("""COMPUTED_VALUE"""),"N/A")</f>
        <v>N/A</v>
      </c>
      <c r="X724" s="2" t="str">
        <f>IFERROR(__xludf.DUMMYFUNCTION("""COMPUTED_VALUE"""),"N/A")</f>
        <v>N/A</v>
      </c>
      <c r="Y724" s="2"/>
      <c r="Z724" s="2"/>
      <c r="AA724" s="2"/>
      <c r="AB724" s="2"/>
      <c r="AC724" s="2"/>
      <c r="AD724" s="2"/>
      <c r="AE724" s="2"/>
      <c r="AF724" s="2"/>
      <c r="AG724" s="2"/>
      <c r="AH724" s="2"/>
      <c r="AI724" s="2"/>
      <c r="AJ724" s="2" t="str">
        <f>IFERROR(__xludf.DUMMYFUNCTION("""COMPUTED_VALUE"""),"San Nicolas")</f>
        <v>San Nicolas</v>
      </c>
      <c r="AK724" s="2" t="str">
        <f>IFERROR(__xludf.DUMMYFUNCTION("""COMPUTED_VALUE"""),"Santa Ana")</f>
        <v>Santa Ana</v>
      </c>
      <c r="AL724" s="2" t="str">
        <f>IFERROR(__xludf.DUMMYFUNCTION("""COMPUTED_VALUE"""),"Pampanga")</f>
        <v>Pampanga</v>
      </c>
      <c r="AM724" s="2">
        <f>IFERROR(__xludf.DUMMYFUNCTION("""COMPUTED_VALUE"""),3.0)</f>
        <v>3</v>
      </c>
      <c r="AN724" s="2" t="str">
        <f>IFERROR(__xludf.DUMMYFUNCTION("""COMPUTED_VALUE"""),"RCEF 23-09-21 Rebidding")</f>
        <v>RCEF 23-09-21 Rebidding</v>
      </c>
      <c r="AO724" s="2">
        <f>IFERROR(__xludf.DUMMYFUNCTION("""COMPUTED_VALUE"""),3.0)</f>
        <v>3</v>
      </c>
      <c r="AP724" s="2"/>
      <c r="AQ724" s="2"/>
      <c r="AR724" s="2"/>
      <c r="AS724" s="2"/>
      <c r="AT724" s="2"/>
      <c r="AU724" s="2"/>
      <c r="AV724" s="2"/>
      <c r="AW724" s="2"/>
      <c r="AX724" s="2"/>
      <c r="AY724" s="2"/>
      <c r="AZ724" s="2"/>
      <c r="BA724" s="2"/>
      <c r="BB724" s="2"/>
    </row>
    <row r="725">
      <c r="A725" s="2">
        <f>IFERROR(__xludf.DUMMYFUNCTION("""COMPUTED_VALUE"""),721.0)</f>
        <v>721</v>
      </c>
      <c r="B725" s="2" t="str">
        <f>IFERROR(__xludf.DUMMYFUNCTION("""COMPUTED_VALUE"""),"COMPLETED")</f>
        <v>COMPLETED</v>
      </c>
      <c r="C725" s="74">
        <f>IFERROR(__xludf.DUMMYFUNCTION("""COMPUTED_VALUE"""),45638.0)</f>
        <v>45638</v>
      </c>
      <c r="D725" s="71" t="str">
        <f>IFERROR(__xludf.DUMMYFUNCTION("""COMPUTED_VALUE"""),"GILAS BITAS FARMERS ASSOCIATION")</f>
        <v>GILAS BITAS FARMERS ASSOCIATION</v>
      </c>
      <c r="E725" s="71" t="str">
        <f>IFERROR(__xludf.DUMMYFUNCTION("""COMPUTED_VALUE"""),"San Roque Bitas, Arayat, PAMPANGA")</f>
        <v>San Roque Bitas, Arayat, PAMPANGA</v>
      </c>
      <c r="F725" s="2"/>
      <c r="G725" s="2"/>
      <c r="H725" s="2">
        <f>IFERROR(__xludf.DUMMYFUNCTION("""COMPUTED_VALUE"""),272.0)</f>
        <v>272</v>
      </c>
      <c r="I725" s="72" t="str">
        <f>IFERROR(__xludf.DUMMYFUNCTION("""COMPUTED_VALUE"""),"PMS")</f>
        <v>PMS</v>
      </c>
      <c r="J725" s="72" t="str">
        <f>IFERROR(__xludf.DUMMYFUNCTION("""COMPUTED_VALUE"""),"CHECK UP UNIT")</f>
        <v>CHECK UP UNIT</v>
      </c>
      <c r="K725" s="72" t="str">
        <f>IFERROR(__xludf.DUMMYFUNCTION("""COMPUTED_VALUE"""),"JDP: CHECK UP UNIT")</f>
        <v>JDP: CHECK UP UNIT</v>
      </c>
      <c r="L725" s="72" t="str">
        <f>IFERROR(__xludf.DUMMYFUNCTION("""COMPUTED_VALUE"""),"JDP: CHECK UP UNIT")</f>
        <v>JDP: CHECK UP UNIT</v>
      </c>
      <c r="M725" s="2"/>
      <c r="N725" s="2"/>
      <c r="O725" s="2" t="str">
        <f>IFERROR(__xludf.DUMMYFUNCTION("""COMPUTED_VALUE"""),"N/A")</f>
        <v>N/A</v>
      </c>
      <c r="P725" s="2"/>
      <c r="Q725" s="2"/>
      <c r="R725" s="74">
        <f>IFERROR(__xludf.DUMMYFUNCTION("""COMPUTED_VALUE"""),45638.0)</f>
        <v>45638</v>
      </c>
      <c r="S725" s="2" t="str">
        <f>IFERROR(__xludf.DUMMYFUNCTION("""COMPUTED_VALUE"""),"DSD/JDP")</f>
        <v>DSD/JDP</v>
      </c>
      <c r="T725" s="73" t="str">
        <f>IFERROR(__xludf.DUMMYFUNCTION("""COMPUTED_VALUE""")," N/A ")</f>
        <v>N/A</v>
      </c>
      <c r="U725" s="73" t="str">
        <f>IFERROR(__xludf.DUMMYFUNCTION("""COMPUTED_VALUE""")," NO CHARGE ")</f>
        <v>NO CHARGE</v>
      </c>
      <c r="V725" s="2"/>
      <c r="W725" s="2" t="str">
        <f>IFERROR(__xludf.DUMMYFUNCTION("""COMPUTED_VALUE"""),"N/A")</f>
        <v>N/A</v>
      </c>
      <c r="X725" s="2" t="str">
        <f>IFERROR(__xludf.DUMMYFUNCTION("""COMPUTED_VALUE"""),"N/A")</f>
        <v>N/A</v>
      </c>
      <c r="Y725" s="2"/>
      <c r="Z725" s="2"/>
      <c r="AA725" s="2"/>
      <c r="AB725" s="2"/>
      <c r="AC725" s="2"/>
      <c r="AD725" s="2"/>
      <c r="AE725" s="2"/>
      <c r="AF725" s="2"/>
      <c r="AG725" s="2"/>
      <c r="AH725" s="2"/>
      <c r="AI725" s="2"/>
      <c r="AJ725" s="2" t="str">
        <f>IFERROR(__xludf.DUMMYFUNCTION("""COMPUTED_VALUE"""),"San Roque Bitas")</f>
        <v>San Roque Bitas</v>
      </c>
      <c r="AK725" s="2" t="str">
        <f>IFERROR(__xludf.DUMMYFUNCTION("""COMPUTED_VALUE"""),"Arayat")</f>
        <v>Arayat</v>
      </c>
      <c r="AL725" s="2" t="str">
        <f>IFERROR(__xludf.DUMMYFUNCTION("""COMPUTED_VALUE"""),"Pampanga")</f>
        <v>Pampanga</v>
      </c>
      <c r="AM725" s="2">
        <f>IFERROR(__xludf.DUMMYFUNCTION("""COMPUTED_VALUE"""),3.0)</f>
        <v>3</v>
      </c>
      <c r="AN725" s="2" t="str">
        <f>IFERROR(__xludf.DUMMYFUNCTION("""COMPUTED_VALUE"""),"RCEF 23-09-21 Rebidding")</f>
        <v>RCEF 23-09-21 Rebidding</v>
      </c>
      <c r="AO725" s="2">
        <f>IFERROR(__xludf.DUMMYFUNCTION("""COMPUTED_VALUE"""),3.0)</f>
        <v>3</v>
      </c>
      <c r="AP725" s="2"/>
      <c r="AQ725" s="2"/>
      <c r="AR725" s="2"/>
      <c r="AS725" s="2"/>
      <c r="AT725" s="2"/>
      <c r="AU725" s="2"/>
      <c r="AV725" s="2"/>
      <c r="AW725" s="2"/>
      <c r="AX725" s="2"/>
      <c r="AY725" s="2"/>
      <c r="AZ725" s="2"/>
      <c r="BA725" s="2"/>
      <c r="BB725" s="2"/>
    </row>
    <row r="726">
      <c r="A726" s="2">
        <f>IFERROR(__xludf.DUMMYFUNCTION("""COMPUTED_VALUE"""),722.0)</f>
        <v>722</v>
      </c>
      <c r="B726" s="2" t="str">
        <f>IFERROR(__xludf.DUMMYFUNCTION("""COMPUTED_VALUE"""),"COMPLETED")</f>
        <v>COMPLETED</v>
      </c>
      <c r="C726" s="74">
        <f>IFERROR(__xludf.DUMMYFUNCTION("""COMPUTED_VALUE"""),45638.0)</f>
        <v>45638</v>
      </c>
      <c r="D726" s="71" t="str">
        <f>IFERROR(__xludf.DUMMYFUNCTION("""COMPUTED_VALUE"""),"Manggawa farmers Environmental Development Association")</f>
        <v>Manggawa farmers Environmental Development Association</v>
      </c>
      <c r="E726" s="71" t="str">
        <f>IFERROR(__xludf.DUMMYFUNCTION("""COMPUTED_VALUE"""),"New Tanglag, Tabuk City, KALINGA")</f>
        <v>New Tanglag, Tabuk City, KALINGA</v>
      </c>
      <c r="F726" s="2" t="str">
        <f>IFERROR(__xludf.DUMMYFUNCTION("""COMPUTED_VALUE"""),"Ford Califer Cabannag Casibang")</f>
        <v>Ford Califer Cabannag Casibang</v>
      </c>
      <c r="G726" s="2"/>
      <c r="H726" s="2"/>
      <c r="I726" s="72" t="str">
        <f>IFERROR(__xludf.DUMMYFUNCTION("""COMPUTED_VALUE"""),"REPAIR - TRACTOR")</f>
        <v>REPAIR - TRACTOR</v>
      </c>
      <c r="J726" s="72" t="str">
        <f>IFERROR(__xludf.DUMMYFUNCTION("""COMPUTED_VALUE"""),"CHECK UP UNIT")</f>
        <v>CHECK UP UNIT</v>
      </c>
      <c r="K726" s="72" t="str">
        <f>IFERROR(__xludf.DUMMYFUNCTION("""COMPUTED_VALUE"""),"MYKEE: ma'am Tanong ku po sana UNG unit eh pag nag routobator Ako pa Wala Wala ung pto nya Minsan Hindi gagana Yung routobator")</f>
        <v>MYKEE: ma'am Tanong ku po sana UNG unit eh pag nag routobator Ako pa Wala Wala ung pto nya Minsan Hindi gagana Yung routobator</v>
      </c>
      <c r="L726" s="72" t="str">
        <f>IFERROR(__xludf.DUMMYFUNCTION("""COMPUTED_VALUE"""),"FARMERS: OK NA ANG UNIT")</f>
        <v>FARMERS: OK NA ANG UNIT</v>
      </c>
      <c r="M726" s="2"/>
      <c r="N726" s="2"/>
      <c r="O726" s="2" t="str">
        <f>IFERROR(__xludf.DUMMYFUNCTION("""COMPUTED_VALUE"""),"N/A")</f>
        <v>N/A</v>
      </c>
      <c r="P726" s="2"/>
      <c r="Q726" s="2"/>
      <c r="R726" s="74">
        <f>IFERROR(__xludf.DUMMYFUNCTION("""COMPUTED_VALUE"""),45642.0)</f>
        <v>45642</v>
      </c>
      <c r="S726" s="2" t="str">
        <f>IFERROR(__xludf.DUMMYFUNCTION("""COMPUTED_VALUE"""),"MYKEE")</f>
        <v>MYKEE</v>
      </c>
      <c r="T726" s="73" t="str">
        <f>IFERROR(__xludf.DUMMYFUNCTION("""COMPUTED_VALUE""")," N/A ")</f>
        <v>N/A</v>
      </c>
      <c r="U726" s="73" t="str">
        <f>IFERROR(__xludf.DUMMYFUNCTION("""COMPUTED_VALUE""")," NO CHARGE ")</f>
        <v>NO CHARGE</v>
      </c>
      <c r="V726" s="2"/>
      <c r="W726" s="2" t="str">
        <f>IFERROR(__xludf.DUMMYFUNCTION("""COMPUTED_VALUE"""),"N/A")</f>
        <v>N/A</v>
      </c>
      <c r="X726" s="2" t="str">
        <f>IFERROR(__xludf.DUMMYFUNCTION("""COMPUTED_VALUE"""),"N/A")</f>
        <v>N/A</v>
      </c>
      <c r="Y726" s="2"/>
      <c r="Z726" s="2"/>
      <c r="AA726" s="2"/>
      <c r="AB726" s="2"/>
      <c r="AC726" s="2"/>
      <c r="AD726" s="2"/>
      <c r="AE726" s="2"/>
      <c r="AF726" s="2"/>
      <c r="AG726" s="2"/>
      <c r="AH726" s="2"/>
      <c r="AI726" s="2"/>
      <c r="AJ726" s="2" t="str">
        <f>IFERROR(__xludf.DUMMYFUNCTION("""COMPUTED_VALUE"""),"New Tanglag")</f>
        <v>New Tanglag</v>
      </c>
      <c r="AK726" s="2" t="str">
        <f>IFERROR(__xludf.DUMMYFUNCTION("""COMPUTED_VALUE"""),"Tabuk City")</f>
        <v>Tabuk City</v>
      </c>
      <c r="AL726" s="2" t="str">
        <f>IFERROR(__xludf.DUMMYFUNCTION("""COMPUTED_VALUE"""),"Kalinga")</f>
        <v>Kalinga</v>
      </c>
      <c r="AM726" s="2" t="str">
        <f>IFERROR(__xludf.DUMMYFUNCTION("""COMPUTED_VALUE"""),"CAR")</f>
        <v>CAR</v>
      </c>
      <c r="AN726" s="2" t="str">
        <f>IFERROR(__xludf.DUMMYFUNCTION("""COMPUTED_VALUE"""),"RCEF 23-09-21 Rebidding")</f>
        <v>RCEF 23-09-21 Rebidding</v>
      </c>
      <c r="AO726" s="2">
        <f>IFERROR(__xludf.DUMMYFUNCTION("""COMPUTED_VALUE"""),1.0)</f>
        <v>1</v>
      </c>
      <c r="AP726" s="2"/>
      <c r="AQ726" s="2"/>
      <c r="AR726" s="2"/>
      <c r="AS726" s="2"/>
      <c r="AT726" s="2"/>
      <c r="AU726" s="2"/>
      <c r="AV726" s="2"/>
      <c r="AW726" s="2"/>
      <c r="AX726" s="2"/>
      <c r="AY726" s="2"/>
      <c r="AZ726" s="2"/>
      <c r="BA726" s="2"/>
      <c r="BB726" s="2"/>
    </row>
    <row r="727">
      <c r="A727" s="2">
        <f>IFERROR(__xludf.DUMMYFUNCTION("""COMPUTED_VALUE"""),723.0)</f>
        <v>723</v>
      </c>
      <c r="B727" s="2" t="str">
        <f>IFERROR(__xludf.DUMMYFUNCTION("""COMPUTED_VALUE"""),"COMPLETED")</f>
        <v>COMPLETED</v>
      </c>
      <c r="C727" s="74">
        <f>IFERROR(__xludf.DUMMYFUNCTION("""COMPUTED_VALUE"""),45638.0)</f>
        <v>45638</v>
      </c>
      <c r="D727" s="71" t="str">
        <f>IFERROR(__xludf.DUMMYFUNCTION("""COMPUTED_VALUE"""),"TABUC FARMERS ASSOCIATION")</f>
        <v>TABUC FARMERS ASSOCIATION</v>
      </c>
      <c r="E727" s="71" t="str">
        <f>IFERROR(__xludf.DUMMYFUNCTION("""COMPUTED_VALUE"""),"Tabuc, Pontevedra, CAPIZ")</f>
        <v>Tabuc, Pontevedra, CAPIZ</v>
      </c>
      <c r="F727" s="2" t="str">
        <f>IFERROR(__xludf.DUMMYFUNCTION("""COMPUTED_VALUE"""),"Virgilio Begas")</f>
        <v>Virgilio Begas</v>
      </c>
      <c r="G727" s="2">
        <f>IFERROR(__xludf.DUMMYFUNCTION("""COMPUTED_VALUE"""),9.185662947E9)</f>
        <v>9185662947</v>
      </c>
      <c r="H727" s="2">
        <f>IFERROR(__xludf.DUMMYFUNCTION("""COMPUTED_VALUE"""),50.0)</f>
        <v>50</v>
      </c>
      <c r="I727" s="72" t="str">
        <f>IFERROR(__xludf.DUMMYFUNCTION("""COMPUTED_VALUE"""),"PMS")</f>
        <v>PMS</v>
      </c>
      <c r="J727" s="72" t="str">
        <f>IFERROR(__xludf.DUMMYFUNCTION("""COMPUTED_VALUE"""),"PMS")</f>
        <v>PMS</v>
      </c>
      <c r="K727" s="72" t="str">
        <f>IFERROR(__xludf.DUMMYFUNCTION("""COMPUTED_VALUE"""),"CFG: 1ST PMS, SLEF PMS")</f>
        <v>CFG: 1ST PMS, SLEF PMS</v>
      </c>
      <c r="L727" s="72" t="str">
        <f>IFERROR(__xludf.DUMMYFUNCTION("""COMPUTED_VALUE"""),"SEND AGREEMENT")</f>
        <v>SEND AGREEMENT</v>
      </c>
      <c r="M727" s="2"/>
      <c r="N727" s="2"/>
      <c r="O727" s="2" t="str">
        <f>IFERROR(__xludf.DUMMYFUNCTION("""COMPUTED_VALUE"""),"N/A")</f>
        <v>N/A</v>
      </c>
      <c r="P727" s="2"/>
      <c r="Q727" s="2"/>
      <c r="R727" s="74">
        <f>IFERROR(__xludf.DUMMYFUNCTION("""COMPUTED_VALUE"""),45638.0)</f>
        <v>45638</v>
      </c>
      <c r="S727" s="2" t="str">
        <f>IFERROR(__xludf.DUMMYFUNCTION("""COMPUTED_VALUE"""),"MYKEE")</f>
        <v>MYKEE</v>
      </c>
      <c r="T727" s="73" t="str">
        <f>IFERROR(__xludf.DUMMYFUNCTION("""COMPUTED_VALUE""")," N/A ")</f>
        <v>N/A</v>
      </c>
      <c r="U727" s="73" t="str">
        <f>IFERROR(__xludf.DUMMYFUNCTION("""COMPUTED_VALUE""")," NO CHARGE ")</f>
        <v>NO CHARGE</v>
      </c>
      <c r="V727" s="2"/>
      <c r="W727" s="2" t="str">
        <f>IFERROR(__xludf.DUMMYFUNCTION("""COMPUTED_VALUE"""),"N/A")</f>
        <v>N/A</v>
      </c>
      <c r="X727" s="2" t="str">
        <f>IFERROR(__xludf.DUMMYFUNCTION("""COMPUTED_VALUE"""),"N/A")</f>
        <v>N/A</v>
      </c>
      <c r="Y727" s="2"/>
      <c r="Z727" s="2"/>
      <c r="AA727" s="2"/>
      <c r="AB727" s="2"/>
      <c r="AC727" s="2"/>
      <c r="AD727" s="2"/>
      <c r="AE727" s="2"/>
      <c r="AF727" s="2"/>
      <c r="AG727" s="2"/>
      <c r="AH727" s="2"/>
      <c r="AI727" s="2"/>
      <c r="AJ727" s="2" t="str">
        <f>IFERROR(__xludf.DUMMYFUNCTION("""COMPUTED_VALUE"""),"Tabuc")</f>
        <v>Tabuc</v>
      </c>
      <c r="AK727" s="2" t="str">
        <f>IFERROR(__xludf.DUMMYFUNCTION("""COMPUTED_VALUE"""),"Pontevedra")</f>
        <v>Pontevedra</v>
      </c>
      <c r="AL727" s="2" t="str">
        <f>IFERROR(__xludf.DUMMYFUNCTION("""COMPUTED_VALUE"""),"Capiz")</f>
        <v>Capiz</v>
      </c>
      <c r="AM727" s="2">
        <f>IFERROR(__xludf.DUMMYFUNCTION("""COMPUTED_VALUE"""),6.0)</f>
        <v>6</v>
      </c>
      <c r="AN727" s="2" t="str">
        <f>IFERROR(__xludf.DUMMYFUNCTION("""COMPUTED_VALUE"""),"RCEF 23-09-21 Rebidding")</f>
        <v>RCEF 23-09-21 Rebidding</v>
      </c>
      <c r="AO727" s="2">
        <f>IFERROR(__xludf.DUMMYFUNCTION("""COMPUTED_VALUE"""),4.0)</f>
        <v>4</v>
      </c>
      <c r="AP727" s="2"/>
      <c r="AQ727" s="2"/>
      <c r="AR727" s="2"/>
      <c r="AS727" s="2"/>
      <c r="AT727" s="2"/>
      <c r="AU727" s="2"/>
      <c r="AV727" s="2"/>
      <c r="AW727" s="2"/>
      <c r="AX727" s="2"/>
      <c r="AY727" s="2"/>
      <c r="AZ727" s="2"/>
      <c r="BA727" s="2"/>
      <c r="BB727" s="2"/>
    </row>
    <row r="728">
      <c r="A728" s="2">
        <f>IFERROR(__xludf.DUMMYFUNCTION("""COMPUTED_VALUE"""),724.0)</f>
        <v>724</v>
      </c>
      <c r="B728" s="2" t="str">
        <f>IFERROR(__xludf.DUMMYFUNCTION("""COMPUTED_VALUE"""),"COMPLETED")</f>
        <v>COMPLETED</v>
      </c>
      <c r="C728" s="74">
        <f>IFERROR(__xludf.DUMMYFUNCTION("""COMPUTED_VALUE"""),45638.0)</f>
        <v>45638</v>
      </c>
      <c r="D728" s="71" t="str">
        <f>IFERROR(__xludf.DUMMYFUNCTION("""COMPUTED_VALUE"""),"MATALADTAD FARMERS IRRIGATORS ASSOCIATION INC.")</f>
        <v>MATALADTAD FARMERS IRRIGATORS ASSOCIATION INC.</v>
      </c>
      <c r="E728" s="71" t="str">
        <f>IFERROR(__xludf.DUMMYFUNCTION("""COMPUTED_VALUE"""),"Papaya, San Antonio, NUEVA ECIJA")</f>
        <v>Papaya, San Antonio, NUEVA ECIJA</v>
      </c>
      <c r="F728" s="2" t="str">
        <f>IFERROR(__xludf.DUMMYFUNCTION("""COMPUTED_VALUE"""),"Raymundo S. Sulit")</f>
        <v>Raymundo S. Sulit</v>
      </c>
      <c r="G728" s="2" t="str">
        <f>IFERROR(__xludf.DUMMYFUNCTION("""COMPUTED_VALUE"""),"0965-716-9673")</f>
        <v>0965-716-9673</v>
      </c>
      <c r="H728" s="2">
        <f>IFERROR(__xludf.DUMMYFUNCTION("""COMPUTED_VALUE"""),75.0)</f>
        <v>75</v>
      </c>
      <c r="I728" s="72" t="str">
        <f>IFERROR(__xludf.DUMMYFUNCTION("""COMPUTED_VALUE"""),"REPAIR - TRACTOR")</f>
        <v>REPAIR - TRACTOR</v>
      </c>
      <c r="J728" s="72" t="str">
        <f>IFERROR(__xludf.DUMMYFUNCTION("""COMPUTED_VALUE"""),"CHECK UP UNIT")</f>
        <v>CHECK UP UNIT</v>
      </c>
      <c r="K728" s="72" t="str">
        <f>IFERROR(__xludf.DUMMYFUNCTION("""COMPUTED_VALUE"""),"EGT: Ayaw na po tumakbo ng unit nasa gitnang bukid po")</f>
        <v>EGT: Ayaw na po tumakbo ng unit nasa gitnang bukid po</v>
      </c>
      <c r="L728" s="72" t="str">
        <f>IFERROR(__xludf.DUMMYFUNCTION("""COMPUTED_VALUE"""),"EGT: OK NA ANG UNIT")</f>
        <v>EGT: OK NA ANG UNIT</v>
      </c>
      <c r="M728" s="2"/>
      <c r="N728" s="2"/>
      <c r="O728" s="2" t="str">
        <f>IFERROR(__xludf.DUMMYFUNCTION("""COMPUTED_VALUE"""),"N/A")</f>
        <v>N/A</v>
      </c>
      <c r="P728" s="2"/>
      <c r="Q728" s="2"/>
      <c r="R728" s="74">
        <f>IFERROR(__xludf.DUMMYFUNCTION("""COMPUTED_VALUE"""),45638.0)</f>
        <v>45638</v>
      </c>
      <c r="S728" s="2" t="str">
        <f>IFERROR(__xludf.DUMMYFUNCTION("""COMPUTED_VALUE"""),"EGT")</f>
        <v>EGT</v>
      </c>
      <c r="T728" s="73" t="str">
        <f>IFERROR(__xludf.DUMMYFUNCTION("""COMPUTED_VALUE""")," N/A ")</f>
        <v>N/A</v>
      </c>
      <c r="U728" s="73" t="str">
        <f>IFERROR(__xludf.DUMMYFUNCTION("""COMPUTED_VALUE""")," NO CHARGE ")</f>
        <v>NO CHARGE</v>
      </c>
      <c r="V728" s="2"/>
      <c r="W728" s="2" t="str">
        <f>IFERROR(__xludf.DUMMYFUNCTION("""COMPUTED_VALUE"""),"N/A")</f>
        <v>N/A</v>
      </c>
      <c r="X728" s="2" t="str">
        <f>IFERROR(__xludf.DUMMYFUNCTION("""COMPUTED_VALUE"""),"N/A")</f>
        <v>N/A</v>
      </c>
      <c r="Y728" s="2"/>
      <c r="Z728" s="2"/>
      <c r="AA728" s="2"/>
      <c r="AB728" s="2"/>
      <c r="AC728" s="2"/>
      <c r="AD728" s="2"/>
      <c r="AE728" s="2"/>
      <c r="AF728" s="2"/>
      <c r="AG728" s="2"/>
      <c r="AH728" s="2"/>
      <c r="AI728" s="2"/>
      <c r="AJ728" s="2" t="str">
        <f>IFERROR(__xludf.DUMMYFUNCTION("""COMPUTED_VALUE"""),"Papaya")</f>
        <v>Papaya</v>
      </c>
      <c r="AK728" s="2" t="str">
        <f>IFERROR(__xludf.DUMMYFUNCTION("""COMPUTED_VALUE"""),"San Antonio")</f>
        <v>San Antonio</v>
      </c>
      <c r="AL728" s="2" t="str">
        <f>IFERROR(__xludf.DUMMYFUNCTION("""COMPUTED_VALUE"""),"Nueva Ecija")</f>
        <v>Nueva Ecija</v>
      </c>
      <c r="AM728" s="2">
        <f>IFERROR(__xludf.DUMMYFUNCTION("""COMPUTED_VALUE"""),3.0)</f>
        <v>3</v>
      </c>
      <c r="AN728" s="2" t="str">
        <f>IFERROR(__xludf.DUMMYFUNCTION("""COMPUTED_VALUE"""),"RCEF 23-09-21 Rebidding")</f>
        <v>RCEF 23-09-21 Rebidding</v>
      </c>
      <c r="AO728" s="2">
        <f>IFERROR(__xludf.DUMMYFUNCTION("""COMPUTED_VALUE"""),3.0)</f>
        <v>3</v>
      </c>
      <c r="AP728" s="2"/>
      <c r="AQ728" s="2"/>
      <c r="AR728" s="2"/>
      <c r="AS728" s="2"/>
      <c r="AT728" s="2"/>
      <c r="AU728" s="2"/>
      <c r="AV728" s="2"/>
      <c r="AW728" s="2"/>
      <c r="AX728" s="2"/>
      <c r="AY728" s="2"/>
      <c r="AZ728" s="2"/>
      <c r="BA728" s="2"/>
      <c r="BB728" s="2"/>
    </row>
    <row r="729">
      <c r="A729" s="2">
        <f>IFERROR(__xludf.DUMMYFUNCTION("""COMPUTED_VALUE"""),725.0)</f>
        <v>725</v>
      </c>
      <c r="B729" s="2" t="str">
        <f>IFERROR(__xludf.DUMMYFUNCTION("""COMPUTED_VALUE"""),"COMPLETED")</f>
        <v>COMPLETED</v>
      </c>
      <c r="C729" s="74">
        <f>IFERROR(__xludf.DUMMYFUNCTION("""COMPUTED_VALUE"""),45642.0)</f>
        <v>45642</v>
      </c>
      <c r="D729" s="71" t="str">
        <f>IFERROR(__xludf.DUMMYFUNCTION("""COMPUTED_VALUE"""),"CANTARICIO IRRIGATORS ASSOCIATION, INC.")</f>
        <v>CANTARICIO IRRIGATORS ASSOCIATION, INC.</v>
      </c>
      <c r="E729" s="71" t="str">
        <f>IFERROR(__xludf.DUMMYFUNCTION("""COMPUTED_VALUE"""),"Garita I A, Maragondon, CAVITE")</f>
        <v>Garita I A, Maragondon, CAVITE</v>
      </c>
      <c r="F729" s="2" t="str">
        <f>IFERROR(__xludf.DUMMYFUNCTION("""COMPUTED_VALUE"""),"ARJAY ANTAZO")</f>
        <v>ARJAY ANTAZO</v>
      </c>
      <c r="G729" s="2"/>
      <c r="H729" s="2">
        <f>IFERROR(__xludf.DUMMYFUNCTION("""COMPUTED_VALUE"""),51.0)</f>
        <v>51</v>
      </c>
      <c r="I729" s="72" t="str">
        <f>IFERROR(__xludf.DUMMYFUNCTION("""COMPUTED_VALUE"""),"PMS")</f>
        <v>PMS</v>
      </c>
      <c r="J729" s="72" t="str">
        <f>IFERROR(__xludf.DUMMYFUNCTION("""COMPUTED_VALUE"""),"PMS")</f>
        <v>PMS</v>
      </c>
      <c r="K729" s="72" t="str">
        <f>IFERROR(__xludf.DUMMYFUNCTION("""COMPUTED_VALUE"""),"RCG: 1ST PMS")</f>
        <v>RCG: 1ST PMS</v>
      </c>
      <c r="L729" s="72" t="str">
        <f>IFERROR(__xludf.DUMMYFUNCTION("""COMPUTED_VALUE"""),"RCG: 1ST PMS DONE")</f>
        <v>RCG: 1ST PMS DONE</v>
      </c>
      <c r="M729" s="2"/>
      <c r="N729" s="2" t="str">
        <f>IFERROR(__xludf.DUMMYFUNCTION("""COMPUTED_VALUE"""),"PARTS:
???")</f>
        <v>PARTS:
???</v>
      </c>
      <c r="O729" s="2">
        <f>IFERROR(__xludf.DUMMYFUNCTION("""COMPUTED_VALUE"""),114.0)</f>
        <v>114</v>
      </c>
      <c r="P729" s="2"/>
      <c r="Q729" s="2"/>
      <c r="R729" s="74">
        <f>IFERROR(__xludf.DUMMYFUNCTION("""COMPUTED_VALUE"""),45642.0)</f>
        <v>45642</v>
      </c>
      <c r="S729" s="2" t="str">
        <f>IFERROR(__xludf.DUMMYFUNCTION("""COMPUTED_VALUE"""),"RCG")</f>
        <v>RCG</v>
      </c>
      <c r="T729" s="73" t="str">
        <f>IFERROR(__xludf.DUMMYFUNCTION("""COMPUTED_VALUE""")," N/A ")</f>
        <v>N/A</v>
      </c>
      <c r="U729" s="73" t="str">
        <f>IFERROR(__xludf.DUMMYFUNCTION("""COMPUTED_VALUE""")," NO CHARGE ")</f>
        <v>NO CHARGE</v>
      </c>
      <c r="V729" s="2"/>
      <c r="W729" s="2" t="str">
        <f>IFERROR(__xludf.DUMMYFUNCTION("""COMPUTED_VALUE"""),"N/A")</f>
        <v>N/A</v>
      </c>
      <c r="X729" s="2" t="str">
        <f>IFERROR(__xludf.DUMMYFUNCTION("""COMPUTED_VALUE"""),"N/A")</f>
        <v>N/A</v>
      </c>
      <c r="Y729" s="2"/>
      <c r="Z729" s="2"/>
      <c r="AA729" s="2"/>
      <c r="AB729" s="2"/>
      <c r="AC729" s="2"/>
      <c r="AD729" s="2"/>
      <c r="AE729" s="2"/>
      <c r="AF729" s="2"/>
      <c r="AG729" s="2"/>
      <c r="AH729" s="2"/>
      <c r="AI729" s="2"/>
      <c r="AJ729" s="2" t="str">
        <f>IFERROR(__xludf.DUMMYFUNCTION("""COMPUTED_VALUE"""),"Garita I A")</f>
        <v>Garita I A</v>
      </c>
      <c r="AK729" s="2" t="str">
        <f>IFERROR(__xludf.DUMMYFUNCTION("""COMPUTED_VALUE"""),"Maragondon")</f>
        <v>Maragondon</v>
      </c>
      <c r="AL729" s="2" t="str">
        <f>IFERROR(__xludf.DUMMYFUNCTION("""COMPUTED_VALUE"""),"Cavite")</f>
        <v>Cavite</v>
      </c>
      <c r="AM729" s="2" t="str">
        <f>IFERROR(__xludf.DUMMYFUNCTION("""COMPUTED_VALUE"""),"4A")</f>
        <v>4A</v>
      </c>
      <c r="AN729" s="2" t="str">
        <f>IFERROR(__xludf.DUMMYFUNCTION("""COMPUTED_VALUE"""),"RCEF 24-04-15")</f>
        <v>RCEF 24-04-15</v>
      </c>
      <c r="AO729" s="2">
        <f>IFERROR(__xludf.DUMMYFUNCTION("""COMPUTED_VALUE"""),7.0)</f>
        <v>7</v>
      </c>
      <c r="AP729" s="2" t="str">
        <f>IFERROR(__xludf.DUMMYFUNCTION("""COMPUTED_VALUE"""),"FREE PMS")</f>
        <v>FREE PMS</v>
      </c>
      <c r="AQ729" s="2"/>
      <c r="AR729" s="2"/>
      <c r="AS729" s="2"/>
      <c r="AT729" s="2"/>
      <c r="AU729" s="2"/>
      <c r="AV729" s="2"/>
      <c r="AW729" s="2"/>
      <c r="AX729" s="2"/>
      <c r="AY729" s="2"/>
      <c r="AZ729" s="2"/>
      <c r="BA729" s="2"/>
      <c r="BB729" s="2"/>
    </row>
    <row r="730">
      <c r="A730" s="2">
        <f>IFERROR(__xludf.DUMMYFUNCTION("""COMPUTED_VALUE"""),726.0)</f>
        <v>726</v>
      </c>
      <c r="B730" s="2" t="str">
        <f>IFERROR(__xludf.DUMMYFUNCTION("""COMPUTED_VALUE"""),"COMPLETED")</f>
        <v>COMPLETED</v>
      </c>
      <c r="C730" s="74">
        <f>IFERROR(__xludf.DUMMYFUNCTION("""COMPUTED_VALUE"""),45643.0)</f>
        <v>45643</v>
      </c>
      <c r="D730" s="71" t="str">
        <f>IFERROR(__xludf.DUMMYFUNCTION("""COMPUTED_VALUE"""),"MANGAPIT MABUTI FARMERS ASSOCIATION INC.")</f>
        <v>MANGAPIT MABUTI FARMERS ASSOCIATION INC.</v>
      </c>
      <c r="E730" s="71" t="str">
        <f>IFERROR(__xludf.DUMMYFUNCTION("""COMPUTED_VALUE"""),"Mabuti, Marcos, ILOCOS NORTE")</f>
        <v>Mabuti, Marcos, ILOCOS NORTE</v>
      </c>
      <c r="F730" s="2"/>
      <c r="G730" s="2">
        <f>IFERROR(__xludf.DUMMYFUNCTION("""COMPUTED_VALUE"""),9.189211237E9)</f>
        <v>9189211237</v>
      </c>
      <c r="H730" s="2"/>
      <c r="I730" s="72" t="str">
        <f>IFERROR(__xludf.DUMMYFUNCTION("""COMPUTED_VALUE"""),"REPAIR - ROTAVATOR")</f>
        <v>REPAIR - ROTAVATOR</v>
      </c>
      <c r="J730" s="72" t="str">
        <f>IFERROR(__xludf.DUMMYFUNCTION("""COMPUTED_VALUE"""),"Gearbox")</f>
        <v>Gearbox</v>
      </c>
      <c r="K730" s="72" t="str">
        <f>IFERROR(__xludf.DUMMYFUNCTION("""COMPUTED_VALUE"""),"JHP: ROTAVATOR PROBLEM
PARTS: BEVEL GEAR 24T, PINION GEAR 11T")</f>
        <v>JHP: ROTAVATOR PROBLEM
PARTS: BEVEL GEAR 24T, PINION GEAR 11T</v>
      </c>
      <c r="L730" s="72" t="str">
        <f>IFERROR(__xludf.DUMMYFUNCTION("""COMPUTED_VALUE"""),"DSD: REPLACED BEVEL GEAR 24T, PINION GEAR 11T, TAPER ROLLER BEARING ")</f>
        <v>DSD: REPLACED BEVEL GEAR 24T, PINION GEAR 11T, TAPER ROLLER BEARING </v>
      </c>
      <c r="M730" s="2"/>
      <c r="N730" s="2" t="str">
        <f>IFERROR(__xludf.DUMMYFUNCTION("""COMPUTED_VALUE"""),"PARTS: BEVEL GEAR 24T, PINION GEAR 11T, TAPER ROLLER BEARING #")</f>
        <v>PARTS: BEVEL GEAR 24T, PINION GEAR 11T, TAPER ROLLER BEARING #</v>
      </c>
      <c r="O730" s="2">
        <f>IFERROR(__xludf.DUMMYFUNCTION("""COMPUTED_VALUE"""),1217.0)</f>
        <v>1217</v>
      </c>
      <c r="P730" s="2"/>
      <c r="Q730" s="2"/>
      <c r="R730" s="74">
        <f>IFERROR(__xludf.DUMMYFUNCTION("""COMPUTED_VALUE"""),45673.0)</f>
        <v>45673</v>
      </c>
      <c r="S730" s="2" t="str">
        <f>IFERROR(__xludf.DUMMYFUNCTION("""COMPUTED_VALUE"""),"JHP/DSD/ACS")</f>
        <v>JHP/DSD/ACS</v>
      </c>
      <c r="T730" s="73">
        <f>IFERROR(__xludf.DUMMYFUNCTION("""COMPUTED_VALUE"""),22750.0)</f>
        <v>22750</v>
      </c>
      <c r="U730" s="73" t="str">
        <f>IFERROR(__xludf.DUMMYFUNCTION("""COMPUTED_VALUE""")," REMITTED ")</f>
        <v>REMITTED</v>
      </c>
      <c r="V730" s="2"/>
      <c r="W730" s="2">
        <f>IFERROR(__xludf.DUMMYFUNCTION("""COMPUTED_VALUE"""),1468.0)</f>
        <v>1468</v>
      </c>
      <c r="X730" s="2"/>
      <c r="Y730" s="2"/>
      <c r="Z730" s="2"/>
      <c r="AA730" s="2"/>
      <c r="AB730" s="2"/>
      <c r="AC730" s="2"/>
      <c r="AD730" s="2"/>
      <c r="AE730" s="2"/>
      <c r="AF730" s="2"/>
      <c r="AG730" s="2"/>
      <c r="AH730" s="2"/>
      <c r="AI730" s="2"/>
      <c r="AJ730" s="2" t="str">
        <f>IFERROR(__xludf.DUMMYFUNCTION("""COMPUTED_VALUE"""),"Mabuti")</f>
        <v>Mabuti</v>
      </c>
      <c r="AK730" s="2" t="str">
        <f>IFERROR(__xludf.DUMMYFUNCTION("""COMPUTED_VALUE"""),"Marcos")</f>
        <v>Marcos</v>
      </c>
      <c r="AL730" s="2" t="str">
        <f>IFERROR(__xludf.DUMMYFUNCTION("""COMPUTED_VALUE"""),"Ilocos Norte")</f>
        <v>Ilocos Norte</v>
      </c>
      <c r="AM730" s="2">
        <f>IFERROR(__xludf.DUMMYFUNCTION("""COMPUTED_VALUE"""),1.0)</f>
        <v>1</v>
      </c>
      <c r="AN730" s="2" t="str">
        <f>IFERROR(__xludf.DUMMYFUNCTION("""COMPUTED_VALUE"""),"RCEF 23-09-21 Rebidding")</f>
        <v>RCEF 23-09-21 Rebidding</v>
      </c>
      <c r="AO730" s="2">
        <f>IFERROR(__xludf.DUMMYFUNCTION("""COMPUTED_VALUE"""),2.0)</f>
        <v>2</v>
      </c>
      <c r="AP730" s="2"/>
      <c r="AQ730" s="2"/>
      <c r="AR730" s="2"/>
      <c r="AS730" s="2"/>
      <c r="AT730" s="2"/>
      <c r="AU730" s="2"/>
      <c r="AV730" s="2"/>
      <c r="AW730" s="2"/>
      <c r="AX730" s="2"/>
      <c r="AY730" s="2"/>
      <c r="AZ730" s="2"/>
      <c r="BA730" s="2"/>
      <c r="BB730" s="2"/>
    </row>
    <row r="731">
      <c r="A731" s="2">
        <f>IFERROR(__xludf.DUMMYFUNCTION("""COMPUTED_VALUE"""),727.0)</f>
        <v>727</v>
      </c>
      <c r="B731" s="2" t="str">
        <f>IFERROR(__xludf.DUMMYFUNCTION("""COMPUTED_VALUE"""),"COMPLETED")</f>
        <v>COMPLETED</v>
      </c>
      <c r="C731" s="74">
        <f>IFERROR(__xludf.DUMMYFUNCTION("""COMPUTED_VALUE"""),45644.0)</f>
        <v>45644</v>
      </c>
      <c r="D731" s="71" t="str">
        <f>IFERROR(__xludf.DUMMYFUNCTION("""COMPUTED_VALUE"""),"BARANGAY PAYAPA FARMERS ASSOCIATION")</f>
        <v>BARANGAY PAYAPA FARMERS ASSOCIATION</v>
      </c>
      <c r="E731" s="71" t="str">
        <f>IFERROR(__xludf.DUMMYFUNCTION("""COMPUTED_VALUE"""),"Payapa, Tagkawayan, Quezon")</f>
        <v>Payapa, Tagkawayan, Quezon</v>
      </c>
      <c r="F731" s="2"/>
      <c r="G731" s="2"/>
      <c r="H731" s="2"/>
      <c r="I731" s="72" t="str">
        <f>IFERROR(__xludf.DUMMYFUNCTION("""COMPUTED_VALUE"""),"REPAIR - ROTAVATOR")</f>
        <v>REPAIR - ROTAVATOR</v>
      </c>
      <c r="J731" s="72" t="str">
        <f>IFERROR(__xludf.DUMMYFUNCTION("""COMPUTED_VALUE"""),"Gearbox")</f>
        <v>Gearbox</v>
      </c>
      <c r="K731" s="72" t="str">
        <f>IFERROR(__xludf.DUMMYFUNCTION("""COMPUTED_VALUE"""),"JTT: ROTAVATOR PROBLEM
PARTS: PINION GEAR 11T, BEVEL GEAR 24T, TRB #32211")</f>
        <v>JTT: ROTAVATOR PROBLEM
PARTS: PINION GEAR 11T, BEVEL GEAR 24T, TRB #32211</v>
      </c>
      <c r="L731" s="72" t="str">
        <f>IFERROR(__xludf.DUMMYFUNCTION("""COMPUTED_VALUE"""),"JTT: PINALITAN ANG MGA GEAR NG GEARBOX")</f>
        <v>JTT: PINALITAN ANG MGA GEAR NG GEARBOX</v>
      </c>
      <c r="M731" s="2"/>
      <c r="N731" s="2" t="str">
        <f>IFERROR(__xludf.DUMMYFUNCTION("""COMPUTED_VALUE"""),"PARTS: BEVEL GEAR 24T, PINION GEAR 11T")</f>
        <v>PARTS: BEVEL GEAR 24T, PINION GEAR 11T</v>
      </c>
      <c r="O731" s="2">
        <f>IFERROR(__xludf.DUMMYFUNCTION("""COMPUTED_VALUE"""),8.0)</f>
        <v>8</v>
      </c>
      <c r="P731" s="2"/>
      <c r="Q731" s="2"/>
      <c r="R731" s="74">
        <f>IFERROR(__xludf.DUMMYFUNCTION("""COMPUTED_VALUE"""),45671.0)</f>
        <v>45671</v>
      </c>
      <c r="S731" s="2" t="str">
        <f>IFERROR(__xludf.DUMMYFUNCTION("""COMPUTED_VALUE"""),"JTT")</f>
        <v>JTT</v>
      </c>
      <c r="T731" s="73">
        <f>IFERROR(__xludf.DUMMYFUNCTION("""COMPUTED_VALUE"""),20940.0)</f>
        <v>20940</v>
      </c>
      <c r="U731" s="73" t="str">
        <f>IFERROR(__xludf.DUMMYFUNCTION("""COMPUTED_VALUE""")," FOR REMIT ")</f>
        <v>FOR REMIT</v>
      </c>
      <c r="V731" s="2"/>
      <c r="W731" s="2">
        <f>IFERROR(__xludf.DUMMYFUNCTION("""COMPUTED_VALUE"""),1226.0)</f>
        <v>1226</v>
      </c>
      <c r="X731" s="2"/>
      <c r="Y731" s="2"/>
      <c r="Z731" s="2"/>
      <c r="AA731" s="2"/>
      <c r="AB731" s="2"/>
      <c r="AC731" s="2"/>
      <c r="AD731" s="2"/>
      <c r="AE731" s="2"/>
      <c r="AF731" s="2"/>
      <c r="AG731" s="2"/>
      <c r="AH731" s="2"/>
      <c r="AI731" s="2"/>
      <c r="AJ731" s="2" t="str">
        <f>IFERROR(__xludf.DUMMYFUNCTION("""COMPUTED_VALUE"""),"Payapa")</f>
        <v>Payapa</v>
      </c>
      <c r="AK731" s="2" t="str">
        <f>IFERROR(__xludf.DUMMYFUNCTION("""COMPUTED_VALUE"""),"Tagkawayan")</f>
        <v>Tagkawayan</v>
      </c>
      <c r="AL731" s="2" t="str">
        <f>IFERROR(__xludf.DUMMYFUNCTION("""COMPUTED_VALUE"""),"Quezon")</f>
        <v>Quezon</v>
      </c>
      <c r="AM731" s="2" t="str">
        <f>IFERROR(__xludf.DUMMYFUNCTION("""COMPUTED_VALUE"""),"4A")</f>
        <v>4A</v>
      </c>
      <c r="AN731" s="2" t="str">
        <f>IFERROR(__xludf.DUMMYFUNCTION("""COMPUTED_VALUE"""),"RCEF 23-08-20 Rebidding")</f>
        <v>RCEF 23-08-20 Rebidding</v>
      </c>
      <c r="AO731" s="2">
        <f>IFERROR(__xludf.DUMMYFUNCTION("""COMPUTED_VALUE"""),1.0)</f>
        <v>1</v>
      </c>
      <c r="AP731" s="2"/>
      <c r="AQ731" s="2"/>
      <c r="AR731" s="2"/>
      <c r="AS731" s="2"/>
      <c r="AT731" s="2"/>
      <c r="AU731" s="2"/>
      <c r="AV731" s="2"/>
      <c r="AW731" s="2"/>
      <c r="AX731" s="2"/>
      <c r="AY731" s="2"/>
      <c r="AZ731" s="2"/>
      <c r="BA731" s="2"/>
      <c r="BB731" s="2"/>
    </row>
    <row r="732">
      <c r="A732" s="2">
        <f>IFERROR(__xludf.DUMMYFUNCTION("""COMPUTED_VALUE"""),728.0)</f>
        <v>728</v>
      </c>
      <c r="B732" s="2" t="str">
        <f>IFERROR(__xludf.DUMMYFUNCTION("""COMPUTED_VALUE"""),"COMPLETED")</f>
        <v>COMPLETED</v>
      </c>
      <c r="C732" s="74">
        <f>IFERROR(__xludf.DUMMYFUNCTION("""COMPUTED_VALUE"""),45644.0)</f>
        <v>45644</v>
      </c>
      <c r="D732" s="71" t="str">
        <f>IFERROR(__xludf.DUMMYFUNCTION("""COMPUTED_VALUE"""),"DAKILANG SULOK FARMERS' ASSOCIATION, INC.")</f>
        <v>DAKILANG SULOK FARMERS' ASSOCIATION, INC.</v>
      </c>
      <c r="E732" s="71" t="str">
        <f>IFERROR(__xludf.DUMMYFUNCTION("""COMPUTED_VALUE"""),"Mayao Castillo, Lucena City, Quezon")</f>
        <v>Mayao Castillo, Lucena City, Quezon</v>
      </c>
      <c r="F732" s="2" t="str">
        <f>IFERROR(__xludf.DUMMYFUNCTION("""COMPUTED_VALUE"""),"ARTURO RAMOS")</f>
        <v>ARTURO RAMOS</v>
      </c>
      <c r="G732" s="2"/>
      <c r="H732" s="2"/>
      <c r="I732" s="72" t="str">
        <f>IFERROR(__xludf.DUMMYFUNCTION("""COMPUTED_VALUE"""),"REPAIR - TRACTOR")</f>
        <v>REPAIR - TRACTOR</v>
      </c>
      <c r="J732" s="72" t="str">
        <f>IFERROR(__xludf.DUMMYFUNCTION("""COMPUTED_VALUE"""),"Transmission - Clutch")</f>
        <v>Transmission - Clutch</v>
      </c>
      <c r="K732" s="72" t="str">
        <f>IFERROR(__xludf.DUMMYFUNCTION("""COMPUTED_VALUE"""),"JTT: CLUTCH COVER PROBLEM
PARTS: CLUTCH  COVER ASSY")</f>
        <v>JTT: CLUTCH COVER PROBLEM
PARTS: CLUTCH  COVER ASSY</v>
      </c>
      <c r="L732" s="72" t="str">
        <f>IFERROR(__xludf.DUMMYFUNCTION("""COMPUTED_VALUE"""),"JTT: REPLACED CLUTCH COVER ANG RELEASE BEARING")</f>
        <v>JTT: REPLACED CLUTCH COVER ANG RELEASE BEARING</v>
      </c>
      <c r="M732" s="2"/>
      <c r="N732" s="2" t="str">
        <f>IFERROR(__xludf.DUMMYFUNCTION("""COMPUTED_VALUE"""),"PARTS: CLUTCH COVER ASSY, RELAEASE BEARING")</f>
        <v>PARTS: CLUTCH COVER ASSY, RELAEASE BEARING</v>
      </c>
      <c r="O732" s="2">
        <f>IFERROR(__xludf.DUMMYFUNCTION("""COMPUTED_VALUE"""),9.0)</f>
        <v>9</v>
      </c>
      <c r="P732" s="2"/>
      <c r="Q732" s="2"/>
      <c r="R732" s="74">
        <f>IFERROR(__xludf.DUMMYFUNCTION("""COMPUTED_VALUE"""),45674.0)</f>
        <v>45674</v>
      </c>
      <c r="S732" s="2" t="str">
        <f>IFERROR(__xludf.DUMMYFUNCTION("""COMPUTED_VALUE"""),"JTT")</f>
        <v>JTT</v>
      </c>
      <c r="T732" s="73">
        <f>IFERROR(__xludf.DUMMYFUNCTION("""COMPUTED_VALUE"""),24400.0)</f>
        <v>24400</v>
      </c>
      <c r="U732" s="73" t="str">
        <f>IFERROR(__xludf.DUMMYFUNCTION("""COMPUTED_VALUE""")," FOR REMIT ")</f>
        <v>FOR REMIT</v>
      </c>
      <c r="V732" s="2"/>
      <c r="W732" s="2">
        <f>IFERROR(__xludf.DUMMYFUNCTION("""COMPUTED_VALUE"""),1227.0)</f>
        <v>1227</v>
      </c>
      <c r="X732" s="2"/>
      <c r="Y732" s="2"/>
      <c r="Z732" s="2"/>
      <c r="AA732" s="2"/>
      <c r="AB732" s="2"/>
      <c r="AC732" s="2"/>
      <c r="AD732" s="2"/>
      <c r="AE732" s="2"/>
      <c r="AF732" s="2"/>
      <c r="AG732" s="2"/>
      <c r="AH732" s="2"/>
      <c r="AI732" s="2"/>
      <c r="AJ732" s="2" t="str">
        <f>IFERROR(__xludf.DUMMYFUNCTION("""COMPUTED_VALUE"""),"Mayao Castillo")</f>
        <v>Mayao Castillo</v>
      </c>
      <c r="AK732" s="2" t="str">
        <f>IFERROR(__xludf.DUMMYFUNCTION("""COMPUTED_VALUE"""),"Lucena City")</f>
        <v>Lucena City</v>
      </c>
      <c r="AL732" s="2" t="str">
        <f>IFERROR(__xludf.DUMMYFUNCTION("""COMPUTED_VALUE"""),"Quezon")</f>
        <v>Quezon</v>
      </c>
      <c r="AM732" s="2" t="str">
        <f>IFERROR(__xludf.DUMMYFUNCTION("""COMPUTED_VALUE"""),"4A")</f>
        <v>4A</v>
      </c>
      <c r="AN732" s="2" t="str">
        <f>IFERROR(__xludf.DUMMYFUNCTION("""COMPUTED_VALUE"""),"RCEF 23-08-20 Rebidding")</f>
        <v>RCEF 23-08-20 Rebidding</v>
      </c>
      <c r="AO732" s="2">
        <f>IFERROR(__xludf.DUMMYFUNCTION("""COMPUTED_VALUE"""),1.0)</f>
        <v>1</v>
      </c>
      <c r="AP732" s="2"/>
      <c r="AQ732" s="2"/>
      <c r="AR732" s="2"/>
      <c r="AS732" s="2"/>
      <c r="AT732" s="2"/>
      <c r="AU732" s="2"/>
      <c r="AV732" s="2"/>
      <c r="AW732" s="2"/>
      <c r="AX732" s="2"/>
      <c r="AY732" s="2"/>
      <c r="AZ732" s="2"/>
      <c r="BA732" s="2"/>
      <c r="BB732" s="2"/>
    </row>
    <row r="733">
      <c r="A733" s="2">
        <f>IFERROR(__xludf.DUMMYFUNCTION("""COMPUTED_VALUE"""),729.0)</f>
        <v>729</v>
      </c>
      <c r="B733" s="2" t="str">
        <f>IFERROR(__xludf.DUMMYFUNCTION("""COMPUTED_VALUE"""),"COMPLETED")</f>
        <v>COMPLETED</v>
      </c>
      <c r="C733" s="74">
        <f>IFERROR(__xludf.DUMMYFUNCTION("""COMPUTED_VALUE"""),45644.0)</f>
        <v>45644</v>
      </c>
      <c r="D733" s="71" t="str">
        <f>IFERROR(__xludf.DUMMYFUNCTION("""COMPUTED_VALUE"""),"CANTARICIO IRRIGATORS ASSOCIATION, INC.")</f>
        <v>CANTARICIO IRRIGATORS ASSOCIATION, INC.</v>
      </c>
      <c r="E733" s="71" t="str">
        <f>IFERROR(__xludf.DUMMYFUNCTION("""COMPUTED_VALUE"""),"Garita I A, Maragondon, CAVITE")</f>
        <v>Garita I A, Maragondon, CAVITE</v>
      </c>
      <c r="F733" s="2" t="str">
        <f>IFERROR(__xludf.DUMMYFUNCTION("""COMPUTED_VALUE"""),"Cantarisio Irrigators Association 
Ladislao C Completo")</f>
        <v>Cantarisio Irrigators Association 
Ladislao C Completo</v>
      </c>
      <c r="G733" s="2">
        <f>IFERROR(__xludf.DUMMYFUNCTION("""COMPUTED_VALUE"""),9.655462216E9)</f>
        <v>9655462216</v>
      </c>
      <c r="H733" s="2">
        <f>IFERROR(__xludf.DUMMYFUNCTION("""COMPUTED_VALUE"""),50.0)</f>
        <v>50</v>
      </c>
      <c r="I733" s="72" t="str">
        <f>IFERROR(__xludf.DUMMYFUNCTION("""COMPUTED_VALUE"""),"PMS")</f>
        <v>PMS</v>
      </c>
      <c r="J733" s="72" t="str">
        <f>IFERROR(__xludf.DUMMYFUNCTION("""COMPUTED_VALUE"""),"PMS")</f>
        <v>PMS</v>
      </c>
      <c r="K733" s="72" t="str">
        <f>IFERROR(__xludf.DUMMYFUNCTION("""COMPUTED_VALUE"""),"RCG: 1ST PMS (FREE OIL FILTER, ENGINE OIL)")</f>
        <v>RCG: 1ST PMS (FREE OIL FILTER, ENGINE OIL)</v>
      </c>
      <c r="L733" s="72" t="str">
        <f>IFERROR(__xludf.DUMMYFUNCTION("""COMPUTED_VALUE"""),"RCG: DONE PMS")</f>
        <v>RCG: DONE PMS</v>
      </c>
      <c r="M733" s="2"/>
      <c r="N733" s="2"/>
      <c r="O733" s="2" t="str">
        <f>IFERROR(__xludf.DUMMYFUNCTION("""COMPUTED_VALUE"""),"JIE-968")</f>
        <v>JIE-968</v>
      </c>
      <c r="P733" s="2"/>
      <c r="Q733" s="2"/>
      <c r="R733" s="74">
        <f>IFERROR(__xludf.DUMMYFUNCTION("""COMPUTED_VALUE"""),45644.0)</f>
        <v>45644</v>
      </c>
      <c r="S733" s="2" t="str">
        <f>IFERROR(__xludf.DUMMYFUNCTION("""COMPUTED_VALUE"""),"RCG")</f>
        <v>RCG</v>
      </c>
      <c r="T733" s="73" t="str">
        <f>IFERROR(__xludf.DUMMYFUNCTION("""COMPUTED_VALUE""")," N//A  ")</f>
        <v>N//A </v>
      </c>
      <c r="U733" s="73" t="str">
        <f>IFERROR(__xludf.DUMMYFUNCTION("""COMPUTED_VALUE""")," NO CHARGE ")</f>
        <v>NO CHARGE</v>
      </c>
      <c r="V733" s="2"/>
      <c r="W733" s="2" t="str">
        <f>IFERROR(__xludf.DUMMYFUNCTION("""COMPUTED_VALUE"""),"N/A")</f>
        <v>N/A</v>
      </c>
      <c r="X733" s="2" t="str">
        <f>IFERROR(__xludf.DUMMYFUNCTION("""COMPUTED_VALUE"""),"N/A")</f>
        <v>N/A</v>
      </c>
      <c r="Y733" s="2"/>
      <c r="Z733" s="2"/>
      <c r="AA733" s="2"/>
      <c r="AB733" s="2"/>
      <c r="AC733" s="2"/>
      <c r="AD733" s="2"/>
      <c r="AE733" s="2"/>
      <c r="AF733" s="2"/>
      <c r="AG733" s="2"/>
      <c r="AH733" s="2"/>
      <c r="AI733" s="2"/>
      <c r="AJ733" s="2" t="str">
        <f>IFERROR(__xludf.DUMMYFUNCTION("""COMPUTED_VALUE"""),"Garita I A")</f>
        <v>Garita I A</v>
      </c>
      <c r="AK733" s="2" t="str">
        <f>IFERROR(__xludf.DUMMYFUNCTION("""COMPUTED_VALUE"""),"Maragondon")</f>
        <v>Maragondon</v>
      </c>
      <c r="AL733" s="2" t="str">
        <f>IFERROR(__xludf.DUMMYFUNCTION("""COMPUTED_VALUE"""),"Cavite")</f>
        <v>Cavite</v>
      </c>
      <c r="AM733" s="2" t="str">
        <f>IFERROR(__xludf.DUMMYFUNCTION("""COMPUTED_VALUE"""),"4A")</f>
        <v>4A</v>
      </c>
      <c r="AN733" s="2" t="str">
        <f>IFERROR(__xludf.DUMMYFUNCTION("""COMPUTED_VALUE"""),"RCEF 24-04-15")</f>
        <v>RCEF 24-04-15</v>
      </c>
      <c r="AO733" s="2">
        <f>IFERROR(__xludf.DUMMYFUNCTION("""COMPUTED_VALUE"""),7.0)</f>
        <v>7</v>
      </c>
      <c r="AP733" s="2" t="str">
        <f>IFERROR(__xludf.DUMMYFUNCTION("""COMPUTED_VALUE"""),"FREE PMS")</f>
        <v>FREE PMS</v>
      </c>
      <c r="AQ733" s="2"/>
      <c r="AR733" s="2"/>
      <c r="AS733" s="2"/>
      <c r="AT733" s="2"/>
      <c r="AU733" s="2"/>
      <c r="AV733" s="2"/>
      <c r="AW733" s="2"/>
      <c r="AX733" s="2"/>
      <c r="AY733" s="2"/>
      <c r="AZ733" s="2"/>
      <c r="BA733" s="2"/>
      <c r="BB733" s="2"/>
    </row>
    <row r="734">
      <c r="A734" s="2">
        <f>IFERROR(__xludf.DUMMYFUNCTION("""COMPUTED_VALUE"""),730.0)</f>
        <v>730</v>
      </c>
      <c r="B734" s="2" t="str">
        <f>IFERROR(__xludf.DUMMYFUNCTION("""COMPUTED_VALUE"""),"COMPLETED")</f>
        <v>COMPLETED</v>
      </c>
      <c r="C734" s="74">
        <f>IFERROR(__xludf.DUMMYFUNCTION("""COMPUTED_VALUE"""),45644.0)</f>
        <v>45644</v>
      </c>
      <c r="D734" s="71" t="str">
        <f>IFERROR(__xludf.DUMMYFUNCTION("""COMPUTED_VALUE"""),"MUNICIPAL LOCAL GOVERNMENT OF LAUR")</f>
        <v>MUNICIPAL LOCAL GOVERNMENT OF LAUR</v>
      </c>
      <c r="E734" s="71" t="str">
        <f>IFERROR(__xludf.DUMMYFUNCTION("""COMPUTED_VALUE"""),"Barangay III (Pob.), Laur, NUEVA ECIJA")</f>
        <v>Barangay III (Pob.), Laur, NUEVA ECIJA</v>
      </c>
      <c r="F734" s="2"/>
      <c r="G734" s="2">
        <f>IFERROR(__xludf.DUMMYFUNCTION("""COMPUTED_VALUE"""),9.291264755E9)</f>
        <v>9291264755</v>
      </c>
      <c r="H734" s="2">
        <f>IFERROR(__xludf.DUMMYFUNCTION("""COMPUTED_VALUE"""),50.0)</f>
        <v>50</v>
      </c>
      <c r="I734" s="72" t="str">
        <f>IFERROR(__xludf.DUMMYFUNCTION("""COMPUTED_VALUE"""),"PMS")</f>
        <v>PMS</v>
      </c>
      <c r="J734" s="72" t="str">
        <f>IFERROR(__xludf.DUMMYFUNCTION("""COMPUTED_VALUE"""),"PMS")</f>
        <v>PMS</v>
      </c>
      <c r="K734" s="72" t="str">
        <f>IFERROR(__xludf.DUMMYFUNCTION("""COMPUTED_VALUE"""),"MYKEE: 1ST PMS (FREE OIL FILTER AND ENGINE OIL)")</f>
        <v>MYKEE: 1ST PMS (FREE OIL FILTER AND ENGINE OIL)</v>
      </c>
      <c r="L734" s="72" t="str">
        <f>IFERROR(__xludf.DUMMYFUNCTION("""COMPUTED_VALUE"""),"JDP: DONE 1ST PMS")</f>
        <v>JDP: DONE 1ST PMS</v>
      </c>
      <c r="M734" s="2"/>
      <c r="N734" s="2" t="str">
        <f>IFERROR(__xludf.DUMMYFUNCTION("""COMPUTED_VALUE"""),"PARTS: ENGINE OIL, OIL FILTER (FREE)")</f>
        <v>PARTS: ENGINE OIL, OIL FILTER (FREE)</v>
      </c>
      <c r="O734" s="2">
        <f>IFERROR(__xludf.DUMMYFUNCTION("""COMPUTED_VALUE"""),1061.0)</f>
        <v>1061</v>
      </c>
      <c r="P734" s="2"/>
      <c r="Q734" s="2"/>
      <c r="R734" s="74">
        <f>IFERROR(__xludf.DUMMYFUNCTION("""COMPUTED_VALUE"""),45649.0)</f>
        <v>45649</v>
      </c>
      <c r="S734" s="2" t="str">
        <f>IFERROR(__xludf.DUMMYFUNCTION("""COMPUTED_VALUE"""),"JDP/DRM/DSD")</f>
        <v>JDP/DRM/DSD</v>
      </c>
      <c r="T734" s="73" t="str">
        <f>IFERROR(__xludf.DUMMYFUNCTION("""COMPUTED_VALUE""")," N/A ")</f>
        <v>N/A</v>
      </c>
      <c r="U734" s="73" t="str">
        <f>IFERROR(__xludf.DUMMYFUNCTION("""COMPUTED_VALUE""")," NO CHARGE ")</f>
        <v>NO CHARGE</v>
      </c>
      <c r="V734" s="2"/>
      <c r="W734" s="2" t="str">
        <f>IFERROR(__xludf.DUMMYFUNCTION("""COMPUTED_VALUE"""),"N/A")</f>
        <v>N/A</v>
      </c>
      <c r="X734" s="2" t="str">
        <f>IFERROR(__xludf.DUMMYFUNCTION("""COMPUTED_VALUE"""),"N/A")</f>
        <v>N/A</v>
      </c>
      <c r="Y734" s="2"/>
      <c r="Z734" s="2"/>
      <c r="AA734" s="2"/>
      <c r="AB734" s="2"/>
      <c r="AC734" s="2"/>
      <c r="AD734" s="2"/>
      <c r="AE734" s="2"/>
      <c r="AF734" s="2"/>
      <c r="AG734" s="2"/>
      <c r="AH734" s="2"/>
      <c r="AI734" s="2"/>
      <c r="AJ734" s="2" t="str">
        <f>IFERROR(__xludf.DUMMYFUNCTION("""COMPUTED_VALUE"""),"Barangay Iii (Pob.)")</f>
        <v>Barangay Iii (Pob.)</v>
      </c>
      <c r="AK734" s="2" t="str">
        <f>IFERROR(__xludf.DUMMYFUNCTION("""COMPUTED_VALUE"""),"Laur")</f>
        <v>Laur</v>
      </c>
      <c r="AL734" s="2" t="str">
        <f>IFERROR(__xludf.DUMMYFUNCTION("""COMPUTED_VALUE"""),"Nueva Ecija")</f>
        <v>Nueva Ecija</v>
      </c>
      <c r="AM734" s="2">
        <f>IFERROR(__xludf.DUMMYFUNCTION("""COMPUTED_VALUE"""),3.0)</f>
        <v>3</v>
      </c>
      <c r="AN734" s="2" t="str">
        <f>IFERROR(__xludf.DUMMYFUNCTION("""COMPUTED_VALUE"""),"RCEF 24-04-15")</f>
        <v>RCEF 24-04-15</v>
      </c>
      <c r="AO734" s="2">
        <f>IFERROR(__xludf.DUMMYFUNCTION("""COMPUTED_VALUE"""),6.0)</f>
        <v>6</v>
      </c>
      <c r="AP734" s="2" t="str">
        <f>IFERROR(__xludf.DUMMYFUNCTION("""COMPUTED_VALUE"""),"FREE PMS")</f>
        <v>FREE PMS</v>
      </c>
      <c r="AQ734" s="2"/>
      <c r="AR734" s="2"/>
      <c r="AS734" s="2"/>
      <c r="AT734" s="2"/>
      <c r="AU734" s="2"/>
      <c r="AV734" s="2"/>
      <c r="AW734" s="2"/>
      <c r="AX734" s="2"/>
      <c r="AY734" s="2"/>
      <c r="AZ734" s="2"/>
      <c r="BA734" s="2"/>
      <c r="BB734" s="2"/>
    </row>
    <row r="735">
      <c r="A735" s="2">
        <f>IFERROR(__xludf.DUMMYFUNCTION("""COMPUTED_VALUE"""),731.0)</f>
        <v>731</v>
      </c>
      <c r="B735" s="2" t="str">
        <f>IFERROR(__xludf.DUMMYFUNCTION("""COMPUTED_VALUE"""),"COMPLETED")</f>
        <v>COMPLETED</v>
      </c>
      <c r="C735" s="74">
        <f>IFERROR(__xludf.DUMMYFUNCTION("""COMPUTED_VALUE"""),45646.0)</f>
        <v>45646</v>
      </c>
      <c r="D735" s="71" t="str">
        <f>IFERROR(__xludf.DUMMYFUNCTION("""COMPUTED_VALUE"""),"Pila Laguna Agriculture Cooperative (PILAC)")</f>
        <v>Pila Laguna Agriculture Cooperative (PILAC)</v>
      </c>
      <c r="E735" s="71" t="str">
        <f>IFERROR(__xludf.DUMMYFUNCTION("""COMPUTED_VALUE"""),"PANSOL, PILA, LAGUNA")</f>
        <v>PANSOL, PILA, LAGUNA</v>
      </c>
      <c r="F735" s="2"/>
      <c r="G735" s="2">
        <f>IFERROR(__xludf.DUMMYFUNCTION("""COMPUTED_VALUE"""),9.227617642E9)</f>
        <v>9227617642</v>
      </c>
      <c r="H735" s="2">
        <f>IFERROR(__xludf.DUMMYFUNCTION("""COMPUTED_VALUE"""),550.0)</f>
        <v>550</v>
      </c>
      <c r="I735" s="72" t="str">
        <f>IFERROR(__xludf.DUMMYFUNCTION("""COMPUTED_VALUE"""),"REPAIR - TRACTOR")</f>
        <v>REPAIR - TRACTOR</v>
      </c>
      <c r="J735" s="72" t="str">
        <f>IFERROR(__xludf.DUMMYFUNCTION("""COMPUTED_VALUE"""),"PTO - Valve Solinoid")</f>
        <v>PTO - Valve Solinoid</v>
      </c>
      <c r="K735" s="72" t="str">
        <f>IFERROR(__xludf.DUMMYFUNCTION("""COMPUTED_VALUE"""),"JTT: PROBLEM PTO SOLINOID VALVE")</f>
        <v>JTT: PROBLEM PTO SOLINOID VALVE</v>
      </c>
      <c r="L735" s="72" t="str">
        <f>IFERROR(__xludf.DUMMYFUNCTION("""COMPUTED_VALUE"""),"CANCELLED: DAHIL MASYADO DAW MAHAL ANG PYESA")</f>
        <v>CANCELLED: DAHIL MASYADO DAW MAHAL ANG PYESA</v>
      </c>
      <c r="M735" s="2"/>
      <c r="N735" s="2"/>
      <c r="O735" s="2" t="str">
        <f>IFERROR(__xludf.DUMMYFUNCTION("""COMPUTED_VALUE"""),"N/A")</f>
        <v>N/A</v>
      </c>
      <c r="P735" s="2"/>
      <c r="Q735" s="2"/>
      <c r="R735" s="74">
        <f>IFERROR(__xludf.DUMMYFUNCTION("""COMPUTED_VALUE"""),45296.0)</f>
        <v>45296</v>
      </c>
      <c r="S735" s="2" t="str">
        <f>IFERROR(__xludf.DUMMYFUNCTION("""COMPUTED_VALUE"""),"JTT")</f>
        <v>JTT</v>
      </c>
      <c r="T735" s="73" t="str">
        <f>IFERROR(__xludf.DUMMYFUNCTION("""COMPUTED_VALUE""")," N/A ")</f>
        <v>N/A</v>
      </c>
      <c r="U735" s="73" t="str">
        <f>IFERROR(__xludf.DUMMYFUNCTION("""COMPUTED_VALUE""")," NO CHARGE ")</f>
        <v>NO CHARGE</v>
      </c>
      <c r="V735" s="2"/>
      <c r="W735" s="2" t="str">
        <f>IFERROR(__xludf.DUMMYFUNCTION("""COMPUTED_VALUE"""),"N/A")</f>
        <v>N/A</v>
      </c>
      <c r="X735" s="2" t="str">
        <f>IFERROR(__xludf.DUMMYFUNCTION("""COMPUTED_VALUE"""),"N/A")</f>
        <v>N/A</v>
      </c>
      <c r="Y735" s="2"/>
      <c r="Z735" s="2"/>
      <c r="AA735" s="2"/>
      <c r="AB735" s="2"/>
      <c r="AC735" s="2"/>
      <c r="AD735" s="2"/>
      <c r="AE735" s="2"/>
      <c r="AF735" s="2"/>
      <c r="AG735" s="2"/>
      <c r="AH735" s="2"/>
      <c r="AI735" s="2"/>
      <c r="AJ735" s="2" t="str">
        <f>IFERROR(__xludf.DUMMYFUNCTION("""COMPUTED_VALUE"""),"Pansol")</f>
        <v>Pansol</v>
      </c>
      <c r="AK735" s="2" t="str">
        <f>IFERROR(__xludf.DUMMYFUNCTION("""COMPUTED_VALUE"""),"Pila")</f>
        <v>Pila</v>
      </c>
      <c r="AL735" s="2" t="str">
        <f>IFERROR(__xludf.DUMMYFUNCTION("""COMPUTED_VALUE"""),"Laguna")</f>
        <v>Laguna</v>
      </c>
      <c r="AM735" s="2" t="str">
        <f>IFERROR(__xludf.DUMMYFUNCTION("""COMPUTED_VALUE"""),"4A")</f>
        <v>4A</v>
      </c>
      <c r="AN735" s="2" t="str">
        <f>IFERROR(__xludf.DUMMYFUNCTION("""COMPUTED_VALUE"""),"RCEF 23-08-20 Rebidding")</f>
        <v>RCEF 23-08-20 Rebidding</v>
      </c>
      <c r="AO735" s="2">
        <f>IFERROR(__xludf.DUMMYFUNCTION("""COMPUTED_VALUE"""),1.0)</f>
        <v>1</v>
      </c>
      <c r="AP735" s="2"/>
      <c r="AQ735" s="2"/>
      <c r="AR735" s="2"/>
      <c r="AS735" s="2"/>
      <c r="AT735" s="2"/>
      <c r="AU735" s="2"/>
      <c r="AV735" s="2"/>
      <c r="AW735" s="2"/>
      <c r="AX735" s="2"/>
      <c r="AY735" s="2"/>
      <c r="AZ735" s="2"/>
      <c r="BA735" s="2"/>
      <c r="BB735" s="2"/>
    </row>
    <row r="736">
      <c r="A736" s="2">
        <f>IFERROR(__xludf.DUMMYFUNCTION("""COMPUTED_VALUE"""),732.0)</f>
        <v>732</v>
      </c>
      <c r="B736" s="2" t="str">
        <f>IFERROR(__xludf.DUMMYFUNCTION("""COMPUTED_VALUE"""),"COMPLETED")</f>
        <v>COMPLETED</v>
      </c>
      <c r="C736" s="74">
        <f>IFERROR(__xludf.DUMMYFUNCTION("""COMPUTED_VALUE"""),45646.0)</f>
        <v>45646</v>
      </c>
      <c r="D736" s="71" t="str">
        <f>IFERROR(__xludf.DUMMYFUNCTION("""COMPUTED_VALUE"""),"Lang-ayan Agrarian Reform Farmers Association Inc.")</f>
        <v>Lang-ayan Agrarian Reform Farmers Association Inc.</v>
      </c>
      <c r="E736" s="71" t="str">
        <f>IFERROR(__xludf.DUMMYFUNCTION("""COMPUTED_VALUE"""),"Lang-ayan-Baramban, Currimao, ILOCOS NORTE")</f>
        <v>Lang-ayan-Baramban, Currimao, ILOCOS NORTE</v>
      </c>
      <c r="F736" s="2"/>
      <c r="G736" s="2"/>
      <c r="H736" s="2"/>
      <c r="I736" s="72" t="str">
        <f>IFERROR(__xludf.DUMMYFUNCTION("""COMPUTED_VALUE"""),"SPARE PARTS ACQUISITION")</f>
        <v>SPARE PARTS ACQUISITION</v>
      </c>
      <c r="J736" s="72" t="str">
        <f>IFERROR(__xludf.DUMMYFUNCTION("""COMPUTED_VALUE"""),"SPARE PARTS ACQUISITION")</f>
        <v>SPARE PARTS ACQUISITION</v>
      </c>
      <c r="K736" s="72" t="str">
        <f>IFERROR(__xludf.DUMMYFUNCTION("""COMPUTED_VALUE"""),"JHP: OIL FILTER")</f>
        <v>JHP: OIL FILTER</v>
      </c>
      <c r="L736" s="72" t="str">
        <f>IFERROR(__xludf.DUMMYFUNCTION("""COMPUTED_VALUE"""),"DELIVERED")</f>
        <v>DELIVERED</v>
      </c>
      <c r="M736" s="2"/>
      <c r="N736" s="2" t="str">
        <f>IFERROR(__xludf.DUMMYFUNCTION("""COMPUTED_VALUE"""),"PARTS: ENGINE OIL FILTER")</f>
        <v>PARTS: ENGINE OIL FILTER</v>
      </c>
      <c r="O736" s="2" t="str">
        <f>IFERROR(__xludf.DUMMYFUNCTION("""COMPUTED_VALUE"""),"N/A")</f>
        <v>N/A</v>
      </c>
      <c r="P736" s="2"/>
      <c r="Q736" s="2"/>
      <c r="R736" s="74">
        <f>IFERROR(__xludf.DUMMYFUNCTION("""COMPUTED_VALUE"""),45646.0)</f>
        <v>45646</v>
      </c>
      <c r="S736" s="2" t="str">
        <f>IFERROR(__xludf.DUMMYFUNCTION("""COMPUTED_VALUE"""),"JHP")</f>
        <v>JHP</v>
      </c>
      <c r="T736" s="73">
        <f>IFERROR(__xludf.DUMMYFUNCTION("""COMPUTED_VALUE"""),1600.0)</f>
        <v>1600</v>
      </c>
      <c r="U736" s="73" t="str">
        <f>IFERROR(__xludf.DUMMYFUNCTION("""COMPUTED_VALUE""")," REMITTED ")</f>
        <v>REMITTED</v>
      </c>
      <c r="V736" s="2"/>
      <c r="W736" s="2">
        <f>IFERROR(__xludf.DUMMYFUNCTION("""COMPUTED_VALUE"""),1465.0)</f>
        <v>1465</v>
      </c>
      <c r="X736" s="2">
        <f>IFERROR(__xludf.DUMMYFUNCTION("""COMPUTED_VALUE"""),1284.0)</f>
        <v>1284</v>
      </c>
      <c r="Y736" s="2"/>
      <c r="Z736" s="2"/>
      <c r="AA736" s="2"/>
      <c r="AB736" s="2"/>
      <c r="AC736" s="2"/>
      <c r="AD736" s="2"/>
      <c r="AE736" s="2"/>
      <c r="AF736" s="2"/>
      <c r="AG736" s="2"/>
      <c r="AH736" s="2"/>
      <c r="AI736" s="2"/>
      <c r="AJ736" s="2" t="str">
        <f>IFERROR(__xludf.DUMMYFUNCTION("""COMPUTED_VALUE"""),"Lang-Ayan-Baramban")</f>
        <v>Lang-Ayan-Baramban</v>
      </c>
      <c r="AK736" s="2" t="str">
        <f>IFERROR(__xludf.DUMMYFUNCTION("""COMPUTED_VALUE"""),"Currimao")</f>
        <v>Currimao</v>
      </c>
      <c r="AL736" s="2" t="str">
        <f>IFERROR(__xludf.DUMMYFUNCTION("""COMPUTED_VALUE"""),"Ilocos Norte")</f>
        <v>Ilocos Norte</v>
      </c>
      <c r="AM736" s="2">
        <f>IFERROR(__xludf.DUMMYFUNCTION("""COMPUTED_VALUE"""),1.0)</f>
        <v>1</v>
      </c>
      <c r="AN736" s="2" t="str">
        <f>IFERROR(__xludf.DUMMYFUNCTION("""COMPUTED_VALUE"""),"RCEF 23-09-21 Rebidding")</f>
        <v>RCEF 23-09-21 Rebidding</v>
      </c>
      <c r="AO736" s="2">
        <f>IFERROR(__xludf.DUMMYFUNCTION("""COMPUTED_VALUE"""),9.0)</f>
        <v>9</v>
      </c>
      <c r="AP736" s="2"/>
      <c r="AQ736" s="2"/>
      <c r="AR736" s="2"/>
      <c r="AS736" s="2"/>
      <c r="AT736" s="2"/>
      <c r="AU736" s="2"/>
      <c r="AV736" s="2"/>
      <c r="AW736" s="2"/>
      <c r="AX736" s="2"/>
      <c r="AY736" s="2"/>
      <c r="AZ736" s="2"/>
      <c r="BA736" s="2"/>
      <c r="BB736" s="2"/>
    </row>
    <row r="737">
      <c r="A737" s="2">
        <f>IFERROR(__xludf.DUMMYFUNCTION("""COMPUTED_VALUE"""),733.0)</f>
        <v>733</v>
      </c>
      <c r="B737" s="2" t="str">
        <f>IFERROR(__xludf.DUMMYFUNCTION("""COMPUTED_VALUE"""),"COMPLETED")</f>
        <v>COMPLETED</v>
      </c>
      <c r="C737" s="74">
        <f>IFERROR(__xludf.DUMMYFUNCTION("""COMPUTED_VALUE"""),45646.0)</f>
        <v>45646</v>
      </c>
      <c r="D737" s="71" t="str">
        <f>IFERROR(__xludf.DUMMYFUNCTION("""COMPUTED_VALUE"""),"ASUSASYON NG MASISIPAG NA MAGSASAKA NG BARANGAY CAMBA INC.")</f>
        <v>ASUSASYON NG MASISIPAG NA MAGSASAKA NG BARANGAY CAMBA INC.</v>
      </c>
      <c r="E737" s="71" t="str">
        <f>IFERROR(__xludf.DUMMYFUNCTION("""COMPUTED_VALUE"""),"Kaledian (Camba), Arayat, PAMPANGA")</f>
        <v>Kaledian (Camba), Arayat, PAMPANGA</v>
      </c>
      <c r="F737" s="2"/>
      <c r="G737" s="2"/>
      <c r="H737" s="2"/>
      <c r="I737" s="72" t="str">
        <f>IFERROR(__xludf.DUMMYFUNCTION("""COMPUTED_VALUE"""),"SPARE PARTS ACQUISITION")</f>
        <v>SPARE PARTS ACQUISITION</v>
      </c>
      <c r="J737" s="72" t="str">
        <f>IFERROR(__xludf.DUMMYFUNCTION("""COMPUTED_VALUE"""),"SPARE PARTS ACQUISITION")</f>
        <v>SPARE PARTS ACQUISITION</v>
      </c>
      <c r="K737" s="72" t="str">
        <f>IFERROR(__xludf.DUMMYFUNCTION("""COMPUTED_VALUE"""),"ENGINE OIL FILTER")</f>
        <v>ENGINE OIL FILTER</v>
      </c>
      <c r="L737" s="72" t="str">
        <f>IFERROR(__xludf.DUMMYFUNCTION("""COMPUTED_VALUE"""),"DELIVERED")</f>
        <v>DELIVERED</v>
      </c>
      <c r="M737" s="2"/>
      <c r="N737" s="2" t="str">
        <f>IFERROR(__xludf.DUMMYFUNCTION("""COMPUTED_VALUE"""),"PARTS: ENGINE OIL FILTER")</f>
        <v>PARTS: ENGINE OIL FILTER</v>
      </c>
      <c r="O737" s="2" t="str">
        <f>IFERROR(__xludf.DUMMYFUNCTION("""COMPUTED_VALUE"""),"N/A")</f>
        <v>N/A</v>
      </c>
      <c r="P737" s="2"/>
      <c r="Q737" s="2"/>
      <c r="R737" s="74">
        <f>IFERROR(__xludf.DUMMYFUNCTION("""COMPUTED_VALUE"""),45646.0)</f>
        <v>45646</v>
      </c>
      <c r="S737" s="2"/>
      <c r="T737" s="73">
        <f>IFERROR(__xludf.DUMMYFUNCTION("""COMPUTED_VALUE"""),1533.0)</f>
        <v>1533</v>
      </c>
      <c r="U737" s="73" t="str">
        <f>IFERROR(__xludf.DUMMYFUNCTION("""COMPUTED_VALUE""")," REMITTED ")</f>
        <v>REMITTED</v>
      </c>
      <c r="V737" s="2"/>
      <c r="W737" s="2">
        <f>IFERROR(__xludf.DUMMYFUNCTION("""COMPUTED_VALUE"""),1346.0)</f>
        <v>1346</v>
      </c>
      <c r="X737" s="2">
        <f>IFERROR(__xludf.DUMMYFUNCTION("""COMPUTED_VALUE"""),1276.0)</f>
        <v>1276</v>
      </c>
      <c r="Y737" s="2"/>
      <c r="Z737" s="2"/>
      <c r="AA737" s="2"/>
      <c r="AB737" s="2"/>
      <c r="AC737" s="2"/>
      <c r="AD737" s="2"/>
      <c r="AE737" s="2"/>
      <c r="AF737" s="2"/>
      <c r="AG737" s="2"/>
      <c r="AH737" s="2"/>
      <c r="AI737" s="2"/>
      <c r="AJ737" s="2" t="str">
        <f>IFERROR(__xludf.DUMMYFUNCTION("""COMPUTED_VALUE"""),"Kaledian (Camba)")</f>
        <v>Kaledian (Camba)</v>
      </c>
      <c r="AK737" s="2" t="str">
        <f>IFERROR(__xludf.DUMMYFUNCTION("""COMPUTED_VALUE"""),"Arayat")</f>
        <v>Arayat</v>
      </c>
      <c r="AL737" s="2" t="str">
        <f>IFERROR(__xludf.DUMMYFUNCTION("""COMPUTED_VALUE"""),"Pampanga")</f>
        <v>Pampanga</v>
      </c>
      <c r="AM737" s="2">
        <f>IFERROR(__xludf.DUMMYFUNCTION("""COMPUTED_VALUE"""),3.0)</f>
        <v>3</v>
      </c>
      <c r="AN737" s="2" t="str">
        <f>IFERROR(__xludf.DUMMYFUNCTION("""COMPUTED_VALUE"""),"RCEF 23-09-21 Rebidding")</f>
        <v>RCEF 23-09-21 Rebidding</v>
      </c>
      <c r="AO737" s="2">
        <f>IFERROR(__xludf.DUMMYFUNCTION("""COMPUTED_VALUE"""),3.0)</f>
        <v>3</v>
      </c>
      <c r="AP737" s="2"/>
      <c r="AQ737" s="2"/>
      <c r="AR737" s="2"/>
      <c r="AS737" s="2"/>
      <c r="AT737" s="2"/>
      <c r="AU737" s="2"/>
      <c r="AV737" s="2"/>
      <c r="AW737" s="2"/>
      <c r="AX737" s="2"/>
      <c r="AY737" s="2"/>
      <c r="AZ737" s="2"/>
      <c r="BA737" s="2"/>
      <c r="BB737" s="2"/>
    </row>
    <row r="738">
      <c r="A738" s="2">
        <f>IFERROR(__xludf.DUMMYFUNCTION("""COMPUTED_VALUE"""),734.0)</f>
        <v>734</v>
      </c>
      <c r="B738" s="2" t="str">
        <f>IFERROR(__xludf.DUMMYFUNCTION("""COMPUTED_VALUE"""),"COMPLETED")</f>
        <v>COMPLETED</v>
      </c>
      <c r="C738" s="74">
        <f>IFERROR(__xludf.DUMMYFUNCTION("""COMPUTED_VALUE"""),45646.0)</f>
        <v>45646</v>
      </c>
      <c r="D738" s="71" t="str">
        <f>IFERROR(__xludf.DUMMYFUNCTION("""COMPUTED_VALUE"""),"ASUSASYON NG MASISIPAG NA MAGSASAKA NG BARANGAY CAMBA INC.")</f>
        <v>ASUSASYON NG MASISIPAG NA MAGSASAKA NG BARANGAY CAMBA INC.</v>
      </c>
      <c r="E738" s="71" t="str">
        <f>IFERROR(__xludf.DUMMYFUNCTION("""COMPUTED_VALUE"""),"Kaledian (Camba), Arayat, PAMPANGA")</f>
        <v>Kaledian (Camba), Arayat, PAMPANGA</v>
      </c>
      <c r="F738" s="2"/>
      <c r="G738" s="2"/>
      <c r="H738" s="2"/>
      <c r="I738" s="72" t="str">
        <f>IFERROR(__xludf.DUMMYFUNCTION("""COMPUTED_VALUE"""),"SPARE PARTS ACQUISITION")</f>
        <v>SPARE PARTS ACQUISITION</v>
      </c>
      <c r="J738" s="72" t="str">
        <f>IFERROR(__xludf.DUMMYFUNCTION("""COMPUTED_VALUE"""),"SPARE PARTS ACQUISITION")</f>
        <v>SPARE PARTS ACQUISITION</v>
      </c>
      <c r="K738" s="72" t="str">
        <f>IFERROR(__xludf.DUMMYFUNCTION("""COMPUTED_VALUE"""),"HYDRAULIC FILTER")</f>
        <v>HYDRAULIC FILTER</v>
      </c>
      <c r="L738" s="72" t="str">
        <f>IFERROR(__xludf.DUMMYFUNCTION("""COMPUTED_VALUE"""),"DELIVERED")</f>
        <v>DELIVERED</v>
      </c>
      <c r="M738" s="2"/>
      <c r="N738" s="2" t="str">
        <f>IFERROR(__xludf.DUMMYFUNCTION("""COMPUTED_VALUE"""),"PARTS: HYDRAULIC FILTER")</f>
        <v>PARTS: HYDRAULIC FILTER</v>
      </c>
      <c r="O738" s="2" t="str">
        <f>IFERROR(__xludf.DUMMYFUNCTION("""COMPUTED_VALUE"""),"N/A")</f>
        <v>N/A</v>
      </c>
      <c r="P738" s="2"/>
      <c r="Q738" s="2"/>
      <c r="R738" s="74">
        <f>IFERROR(__xludf.DUMMYFUNCTION("""COMPUTED_VALUE"""),45646.0)</f>
        <v>45646</v>
      </c>
      <c r="S738" s="2"/>
      <c r="T738" s="73">
        <f>IFERROR(__xludf.DUMMYFUNCTION("""COMPUTED_VALUE"""),2748.0)</f>
        <v>2748</v>
      </c>
      <c r="U738" s="73" t="str">
        <f>IFERROR(__xludf.DUMMYFUNCTION("""COMPUTED_VALUE""")," REMITTED ")</f>
        <v>REMITTED</v>
      </c>
      <c r="V738" s="2"/>
      <c r="W738" s="2">
        <f>IFERROR(__xludf.DUMMYFUNCTION("""COMPUTED_VALUE"""),1345.0)</f>
        <v>1345</v>
      </c>
      <c r="X738" s="2">
        <f>IFERROR(__xludf.DUMMYFUNCTION("""COMPUTED_VALUE"""),1275.0)</f>
        <v>1275</v>
      </c>
      <c r="Y738" s="2"/>
      <c r="Z738" s="2"/>
      <c r="AA738" s="2"/>
      <c r="AB738" s="2"/>
      <c r="AC738" s="2"/>
      <c r="AD738" s="2"/>
      <c r="AE738" s="2"/>
      <c r="AF738" s="2"/>
      <c r="AG738" s="2"/>
      <c r="AH738" s="2"/>
      <c r="AI738" s="2"/>
      <c r="AJ738" s="2" t="str">
        <f>IFERROR(__xludf.DUMMYFUNCTION("""COMPUTED_VALUE"""),"Kaledian (Camba)")</f>
        <v>Kaledian (Camba)</v>
      </c>
      <c r="AK738" s="2" t="str">
        <f>IFERROR(__xludf.DUMMYFUNCTION("""COMPUTED_VALUE"""),"Arayat")</f>
        <v>Arayat</v>
      </c>
      <c r="AL738" s="2" t="str">
        <f>IFERROR(__xludf.DUMMYFUNCTION("""COMPUTED_VALUE"""),"Pampanga")</f>
        <v>Pampanga</v>
      </c>
      <c r="AM738" s="2">
        <f>IFERROR(__xludf.DUMMYFUNCTION("""COMPUTED_VALUE"""),3.0)</f>
        <v>3</v>
      </c>
      <c r="AN738" s="2" t="str">
        <f>IFERROR(__xludf.DUMMYFUNCTION("""COMPUTED_VALUE"""),"RCEF 23-09-21 Rebidding")</f>
        <v>RCEF 23-09-21 Rebidding</v>
      </c>
      <c r="AO738" s="2">
        <f>IFERROR(__xludf.DUMMYFUNCTION("""COMPUTED_VALUE"""),3.0)</f>
        <v>3</v>
      </c>
      <c r="AP738" s="2"/>
      <c r="AQ738" s="2"/>
      <c r="AR738" s="2"/>
      <c r="AS738" s="2"/>
      <c r="AT738" s="2"/>
      <c r="AU738" s="2"/>
      <c r="AV738" s="2"/>
      <c r="AW738" s="2"/>
      <c r="AX738" s="2"/>
      <c r="AY738" s="2"/>
      <c r="AZ738" s="2"/>
      <c r="BA738" s="2"/>
      <c r="BB738" s="2"/>
    </row>
    <row r="739">
      <c r="A739" s="2">
        <f>IFERROR(__xludf.DUMMYFUNCTION("""COMPUTED_VALUE"""),735.0)</f>
        <v>735</v>
      </c>
      <c r="B739" s="2" t="str">
        <f>IFERROR(__xludf.DUMMYFUNCTION("""COMPUTED_VALUE"""),"COMPLETED")</f>
        <v>COMPLETED</v>
      </c>
      <c r="C739" s="74">
        <f>IFERROR(__xludf.DUMMYFUNCTION("""COMPUTED_VALUE"""),45646.0)</f>
        <v>45646</v>
      </c>
      <c r="D739" s="71" t="str">
        <f>IFERROR(__xludf.DUMMYFUNCTION("""COMPUTED_VALUE"""),"CABAYUGAN FARMERS ASSOCIATION")</f>
        <v>CABAYUGAN FARMERS ASSOCIATION</v>
      </c>
      <c r="E739" s="71" t="str">
        <f>IFERROR(__xludf.DUMMYFUNCTION("""COMPUTED_VALUE"""),"Cabayugan, Puerto Princesa City, Palawan")</f>
        <v>Cabayugan, Puerto Princesa City, Palawan</v>
      </c>
      <c r="F739" s="2" t="str">
        <f>IFERROR(__xludf.DUMMYFUNCTION("""COMPUTED_VALUE"""),"LOUIE AUNGON")</f>
        <v>LOUIE AUNGON</v>
      </c>
      <c r="G739" s="2">
        <f>IFERROR(__xludf.DUMMYFUNCTION("""COMPUTED_VALUE"""),9.050960839E9)</f>
        <v>9050960839</v>
      </c>
      <c r="H739" s="2"/>
      <c r="I739" s="72" t="str">
        <f>IFERROR(__xludf.DUMMYFUNCTION("""COMPUTED_VALUE"""),"SPARE PARTS ACQUISITION")</f>
        <v>SPARE PARTS ACQUISITION</v>
      </c>
      <c r="J739" s="72" t="str">
        <f>IFERROR(__xludf.DUMMYFUNCTION("""COMPUTED_VALUE"""),"SPARE PARTS ACQUISITION")</f>
        <v>SPARE PARTS ACQUISITION</v>
      </c>
      <c r="K739" s="72" t="str">
        <f>IFERROR(__xludf.DUMMYFUNCTION("""COMPUTED_VALUE"""),"JTT: ENGINE OIL FILTER, HYDRAULIC FILTER")</f>
        <v>JTT: ENGINE OIL FILTER, HYDRAULIC FILTER</v>
      </c>
      <c r="L739" s="72" t="str">
        <f>IFERROR(__xludf.DUMMYFUNCTION("""COMPUTED_VALUE"""),"DELIVERED")</f>
        <v>DELIVERED</v>
      </c>
      <c r="M739" s="2"/>
      <c r="N739" s="2" t="str">
        <f>IFERROR(__xludf.DUMMYFUNCTION("""COMPUTED_VALUE"""),"PARTS: ENGINE OIL FILTER, HYDRAULIC FILTER")</f>
        <v>PARTS: ENGINE OIL FILTER, HYDRAULIC FILTER</v>
      </c>
      <c r="O739" s="2" t="str">
        <f>IFERROR(__xludf.DUMMYFUNCTION("""COMPUTED_VALUE"""),"N/A")</f>
        <v>N/A</v>
      </c>
      <c r="P739" s="2"/>
      <c r="Q739" s="2"/>
      <c r="R739" s="74">
        <f>IFERROR(__xludf.DUMMYFUNCTION("""COMPUTED_VALUE"""),45646.0)</f>
        <v>45646</v>
      </c>
      <c r="S739" s="2" t="str">
        <f>IFERROR(__xludf.DUMMYFUNCTION("""COMPUTED_VALUE"""),"JTT")</f>
        <v>JTT</v>
      </c>
      <c r="T739" s="73">
        <f>IFERROR(__xludf.DUMMYFUNCTION("""COMPUTED_VALUE"""),4281.0)</f>
        <v>4281</v>
      </c>
      <c r="U739" s="73" t="str">
        <f>IFERROR(__xludf.DUMMYFUNCTION("""COMPUTED_VALUE""")," REMITTED ")</f>
        <v>REMITTED</v>
      </c>
      <c r="V739" s="2"/>
      <c r="W739" s="2">
        <f>IFERROR(__xludf.DUMMYFUNCTION("""COMPUTED_VALUE"""),1219.0)</f>
        <v>1219</v>
      </c>
      <c r="X739" s="2">
        <f>IFERROR(__xludf.DUMMYFUNCTION("""COMPUTED_VALUE"""),1291.0)</f>
        <v>1291</v>
      </c>
      <c r="Y739" s="2"/>
      <c r="Z739" s="2"/>
      <c r="AA739" s="2"/>
      <c r="AB739" s="2"/>
      <c r="AC739" s="2"/>
      <c r="AD739" s="2"/>
      <c r="AE739" s="2"/>
      <c r="AF739" s="2"/>
      <c r="AG739" s="2"/>
      <c r="AH739" s="2"/>
      <c r="AI739" s="2"/>
      <c r="AJ739" s="2" t="str">
        <f>IFERROR(__xludf.DUMMYFUNCTION("""COMPUTED_VALUE"""),"Cabayugan")</f>
        <v>Cabayugan</v>
      </c>
      <c r="AK739" s="2" t="str">
        <f>IFERROR(__xludf.DUMMYFUNCTION("""COMPUTED_VALUE"""),"Puerto Princesa City")</f>
        <v>Puerto Princesa City</v>
      </c>
      <c r="AL739" s="2" t="str">
        <f>IFERROR(__xludf.DUMMYFUNCTION("""COMPUTED_VALUE"""),"Palawan")</f>
        <v>Palawan</v>
      </c>
      <c r="AM739" s="2" t="str">
        <f>IFERROR(__xludf.DUMMYFUNCTION("""COMPUTED_VALUE"""),"4B")</f>
        <v>4B</v>
      </c>
      <c r="AN739" s="2" t="str">
        <f>IFERROR(__xludf.DUMMYFUNCTION("""COMPUTED_VALUE"""),"RCEF 23-08-20 Rebidding")</f>
        <v>RCEF 23-08-20 Rebidding</v>
      </c>
      <c r="AO739" s="2">
        <f>IFERROR(__xludf.DUMMYFUNCTION("""COMPUTED_VALUE"""),1.0)</f>
        <v>1</v>
      </c>
      <c r="AP739" s="2"/>
      <c r="AQ739" s="2"/>
      <c r="AR739" s="2"/>
      <c r="AS739" s="2"/>
      <c r="AT739" s="2"/>
      <c r="AU739" s="2"/>
      <c r="AV739" s="2"/>
      <c r="AW739" s="2"/>
      <c r="AX739" s="2"/>
      <c r="AY739" s="2"/>
      <c r="AZ739" s="2"/>
      <c r="BA739" s="2"/>
      <c r="BB739" s="2"/>
    </row>
    <row r="740">
      <c r="A740" s="2">
        <f>IFERROR(__xludf.DUMMYFUNCTION("""COMPUTED_VALUE"""),736.0)</f>
        <v>736</v>
      </c>
      <c r="B740" s="2" t="str">
        <f>IFERROR(__xludf.DUMMYFUNCTION("""COMPUTED_VALUE"""),"COMPLETED")</f>
        <v>COMPLETED</v>
      </c>
      <c r="C740" s="74">
        <f>IFERROR(__xludf.DUMMYFUNCTION("""COMPUTED_VALUE"""),45646.0)</f>
        <v>45646</v>
      </c>
      <c r="D740" s="71" t="str">
        <f>IFERROR(__xludf.DUMMYFUNCTION("""COMPUTED_VALUE"""),"PAMUAYAN FARMERS ASSOCIATION")</f>
        <v>PAMUAYAN FARMERS ASSOCIATION</v>
      </c>
      <c r="E740" s="71" t="str">
        <f>IFERROR(__xludf.DUMMYFUNCTION("""COMPUTED_VALUE"""),"Barton, San Vicente, Palawan")</f>
        <v>Barton, San Vicente, Palawan</v>
      </c>
      <c r="F740" s="2"/>
      <c r="G740" s="2"/>
      <c r="H740" s="2"/>
      <c r="I740" s="72" t="str">
        <f>IFERROR(__xludf.DUMMYFUNCTION("""COMPUTED_VALUE"""),"SPARE PARTS ACQUISITION")</f>
        <v>SPARE PARTS ACQUISITION</v>
      </c>
      <c r="J740" s="72" t="str">
        <f>IFERROR(__xludf.DUMMYFUNCTION("""COMPUTED_VALUE"""),"SPARE PARTS ACQUISITION")</f>
        <v>SPARE PARTS ACQUISITION</v>
      </c>
      <c r="K740" s="72" t="str">
        <f>IFERROR(__xludf.DUMMYFUNCTION("""COMPUTED_VALUE"""),"JTT: HYDRAULIC FILTER")</f>
        <v>JTT: HYDRAULIC FILTER</v>
      </c>
      <c r="L740" s="72" t="str">
        <f>IFERROR(__xludf.DUMMYFUNCTION("""COMPUTED_VALUE"""),"DELIVERED")</f>
        <v>DELIVERED</v>
      </c>
      <c r="M740" s="2"/>
      <c r="N740" s="2" t="str">
        <f>IFERROR(__xludf.DUMMYFUNCTION("""COMPUTED_VALUE"""),"PARTS: HYDRAULIC FILTER")</f>
        <v>PARTS: HYDRAULIC FILTER</v>
      </c>
      <c r="O740" s="2" t="str">
        <f>IFERROR(__xludf.DUMMYFUNCTION("""COMPUTED_VALUE"""),"N/A")</f>
        <v>N/A</v>
      </c>
      <c r="P740" s="2"/>
      <c r="Q740" s="2"/>
      <c r="R740" s="74">
        <f>IFERROR(__xludf.DUMMYFUNCTION("""COMPUTED_VALUE"""),45646.0)</f>
        <v>45646</v>
      </c>
      <c r="S740" s="2" t="str">
        <f>IFERROR(__xludf.DUMMYFUNCTION("""COMPUTED_VALUE"""),"JTT")</f>
        <v>JTT</v>
      </c>
      <c r="T740" s="73">
        <f>IFERROR(__xludf.DUMMYFUNCTION("""COMPUTED_VALUE"""),2748.0)</f>
        <v>2748</v>
      </c>
      <c r="U740" s="73" t="str">
        <f>IFERROR(__xludf.DUMMYFUNCTION("""COMPUTED_VALUE""")," REMITTED ")</f>
        <v>REMITTED</v>
      </c>
      <c r="V740" s="2"/>
      <c r="W740" s="2">
        <f>IFERROR(__xludf.DUMMYFUNCTION("""COMPUTED_VALUE"""),1217.0)</f>
        <v>1217</v>
      </c>
      <c r="X740" s="2">
        <f>IFERROR(__xludf.DUMMYFUNCTION("""COMPUTED_VALUE"""),1289.0)</f>
        <v>1289</v>
      </c>
      <c r="Y740" s="2"/>
      <c r="Z740" s="2"/>
      <c r="AA740" s="2"/>
      <c r="AB740" s="2"/>
      <c r="AC740" s="2"/>
      <c r="AD740" s="2"/>
      <c r="AE740" s="2"/>
      <c r="AF740" s="2"/>
      <c r="AG740" s="2"/>
      <c r="AH740" s="2"/>
      <c r="AI740" s="2"/>
      <c r="AJ740" s="2" t="str">
        <f>IFERROR(__xludf.DUMMYFUNCTION("""COMPUTED_VALUE"""),"Barton")</f>
        <v>Barton</v>
      </c>
      <c r="AK740" s="2" t="str">
        <f>IFERROR(__xludf.DUMMYFUNCTION("""COMPUTED_VALUE"""),"San Vicente")</f>
        <v>San Vicente</v>
      </c>
      <c r="AL740" s="2" t="str">
        <f>IFERROR(__xludf.DUMMYFUNCTION("""COMPUTED_VALUE"""),"Palawan")</f>
        <v>Palawan</v>
      </c>
      <c r="AM740" s="2" t="str">
        <f>IFERROR(__xludf.DUMMYFUNCTION("""COMPUTED_VALUE"""),"4B")</f>
        <v>4B</v>
      </c>
      <c r="AN740" s="2" t="str">
        <f>IFERROR(__xludf.DUMMYFUNCTION("""COMPUTED_VALUE"""),"RCEF 23-08-20 Rebidding")</f>
        <v>RCEF 23-08-20 Rebidding</v>
      </c>
      <c r="AO740" s="2">
        <f>IFERROR(__xludf.DUMMYFUNCTION("""COMPUTED_VALUE"""),1.0)</f>
        <v>1</v>
      </c>
      <c r="AP740" s="2"/>
      <c r="AQ740" s="2"/>
      <c r="AR740" s="2"/>
      <c r="AS740" s="2"/>
      <c r="AT740" s="2"/>
      <c r="AU740" s="2"/>
      <c r="AV740" s="2"/>
      <c r="AW740" s="2"/>
      <c r="AX740" s="2"/>
      <c r="AY740" s="2"/>
      <c r="AZ740" s="2"/>
      <c r="BA740" s="2"/>
      <c r="BB740" s="2"/>
    </row>
    <row r="741">
      <c r="A741" s="2">
        <f>IFERROR(__xludf.DUMMYFUNCTION("""COMPUTED_VALUE"""),737.0)</f>
        <v>737</v>
      </c>
      <c r="B741" s="2" t="str">
        <f>IFERROR(__xludf.DUMMYFUNCTION("""COMPUTED_VALUE"""),"COMPLETED")</f>
        <v>COMPLETED</v>
      </c>
      <c r="C741" s="74">
        <f>IFERROR(__xludf.DUMMYFUNCTION("""COMPUTED_VALUE"""),45646.0)</f>
        <v>45646</v>
      </c>
      <c r="D741" s="71" t="str">
        <f>IFERROR(__xludf.DUMMYFUNCTION("""COMPUTED_VALUE"""),"SOWANGAN FARMERS IRRIGATORS ' ASSOCIATION INC.")</f>
        <v>SOWANGAN FARMERS IRRIGATORS ' ASSOCIATION INC.</v>
      </c>
      <c r="E741" s="71" t="str">
        <f>IFERROR(__xludf.DUMMYFUNCTION("""COMPUTED_VALUE"""),"Sowangan, Quezon, Palawan")</f>
        <v>Sowangan, Quezon, Palawan</v>
      </c>
      <c r="F741" s="2"/>
      <c r="G741" s="2"/>
      <c r="H741" s="2"/>
      <c r="I741" s="72" t="str">
        <f>IFERROR(__xludf.DUMMYFUNCTION("""COMPUTED_VALUE"""),"SPARE PARTS ACQUISITION")</f>
        <v>SPARE PARTS ACQUISITION</v>
      </c>
      <c r="J741" s="72" t="str">
        <f>IFERROR(__xludf.DUMMYFUNCTION("""COMPUTED_VALUE"""),"SPARE PARTS ACQUISITION")</f>
        <v>SPARE PARTS ACQUISITION</v>
      </c>
      <c r="K741" s="72" t="str">
        <f>IFERROR(__xludf.DUMMYFUNCTION("""COMPUTED_VALUE"""),"HYDRAULIC FILTER")</f>
        <v>HYDRAULIC FILTER</v>
      </c>
      <c r="L741" s="72" t="str">
        <f>IFERROR(__xludf.DUMMYFUNCTION("""COMPUTED_VALUE"""),"DELIVERED")</f>
        <v>DELIVERED</v>
      </c>
      <c r="M741" s="2"/>
      <c r="N741" s="2" t="str">
        <f>IFERROR(__xludf.DUMMYFUNCTION("""COMPUTED_VALUE"""),"PARTS: HYDRAULIC FILTER")</f>
        <v>PARTS: HYDRAULIC FILTER</v>
      </c>
      <c r="O741" s="2" t="str">
        <f>IFERROR(__xludf.DUMMYFUNCTION("""COMPUTED_VALUE"""),"N/A")</f>
        <v>N/A</v>
      </c>
      <c r="P741" s="2"/>
      <c r="Q741" s="2"/>
      <c r="R741" s="74">
        <f>IFERROR(__xludf.DUMMYFUNCTION("""COMPUTED_VALUE"""),45646.0)</f>
        <v>45646</v>
      </c>
      <c r="S741" s="2" t="str">
        <f>IFERROR(__xludf.DUMMYFUNCTION("""COMPUTED_VALUE"""),"RCG/JDP")</f>
        <v>RCG/JDP</v>
      </c>
      <c r="T741" s="73">
        <f>IFERROR(__xludf.DUMMYFUNCTION("""COMPUTED_VALUE"""),2748.0)</f>
        <v>2748</v>
      </c>
      <c r="U741" s="73" t="str">
        <f>IFERROR(__xludf.DUMMYFUNCTION("""COMPUTED_VALUE""")," REMITTED ")</f>
        <v>REMITTED</v>
      </c>
      <c r="V741" s="2"/>
      <c r="W741" s="2">
        <f>IFERROR(__xludf.DUMMYFUNCTION("""COMPUTED_VALUE"""),1174.0)</f>
        <v>1174</v>
      </c>
      <c r="X741" s="2">
        <f>IFERROR(__xludf.DUMMYFUNCTION("""COMPUTED_VALUE"""),1263.0)</f>
        <v>1263</v>
      </c>
      <c r="Y741" s="2"/>
      <c r="Z741" s="2"/>
      <c r="AA741" s="2"/>
      <c r="AB741" s="2"/>
      <c r="AC741" s="2"/>
      <c r="AD741" s="2"/>
      <c r="AE741" s="2"/>
      <c r="AF741" s="2"/>
      <c r="AG741" s="2"/>
      <c r="AH741" s="2"/>
      <c r="AI741" s="2"/>
      <c r="AJ741" s="2" t="str">
        <f>IFERROR(__xludf.DUMMYFUNCTION("""COMPUTED_VALUE"""),"Sowangan")</f>
        <v>Sowangan</v>
      </c>
      <c r="AK741" s="2" t="str">
        <f>IFERROR(__xludf.DUMMYFUNCTION("""COMPUTED_VALUE"""),"Quezon")</f>
        <v>Quezon</v>
      </c>
      <c r="AL741" s="2" t="str">
        <f>IFERROR(__xludf.DUMMYFUNCTION("""COMPUTED_VALUE"""),"Palawan")</f>
        <v>Palawan</v>
      </c>
      <c r="AM741" s="2" t="str">
        <f>IFERROR(__xludf.DUMMYFUNCTION("""COMPUTED_VALUE"""),"4B")</f>
        <v>4B</v>
      </c>
      <c r="AN741" s="2" t="str">
        <f>IFERROR(__xludf.DUMMYFUNCTION("""COMPUTED_VALUE"""),"RCEF 23-08-20 Rebidding")</f>
        <v>RCEF 23-08-20 Rebidding</v>
      </c>
      <c r="AO741" s="2">
        <f>IFERROR(__xludf.DUMMYFUNCTION("""COMPUTED_VALUE"""),1.0)</f>
        <v>1</v>
      </c>
      <c r="AP741" s="2"/>
      <c r="AQ741" s="2"/>
      <c r="AR741" s="2"/>
      <c r="AS741" s="2"/>
      <c r="AT741" s="2"/>
      <c r="AU741" s="2"/>
      <c r="AV741" s="2"/>
      <c r="AW741" s="2"/>
      <c r="AX741" s="2"/>
      <c r="AY741" s="2"/>
      <c r="AZ741" s="2"/>
      <c r="BA741" s="2"/>
      <c r="BB741" s="2"/>
    </row>
    <row r="742">
      <c r="A742" s="2">
        <f>IFERROR(__xludf.DUMMYFUNCTION("""COMPUTED_VALUE"""),738.0)</f>
        <v>738</v>
      </c>
      <c r="B742" s="2" t="str">
        <f>IFERROR(__xludf.DUMMYFUNCTION("""COMPUTED_VALUE"""),"COMPLETED")</f>
        <v>COMPLETED</v>
      </c>
      <c r="C742" s="74">
        <f>IFERROR(__xludf.DUMMYFUNCTION("""COMPUTED_VALUE"""),45646.0)</f>
        <v>45646</v>
      </c>
      <c r="D742" s="71" t="str">
        <f>IFERROR(__xludf.DUMMYFUNCTION("""COMPUTED_VALUE"""),"SICUD FARMERS ASSOCIATION")</f>
        <v>SICUD FARMERS ASSOCIATION</v>
      </c>
      <c r="E742" s="71" t="str">
        <f>IFERROR(__xludf.DUMMYFUNCTION("""COMPUTED_VALUE"""),"Candawaga, Rizal, Palawan")</f>
        <v>Candawaga, Rizal, Palawan</v>
      </c>
      <c r="F742" s="2"/>
      <c r="G742" s="2"/>
      <c r="H742" s="2"/>
      <c r="I742" s="72" t="str">
        <f>IFERROR(__xludf.DUMMYFUNCTION("""COMPUTED_VALUE"""),"SPARE PARTS ACQUISITION")</f>
        <v>SPARE PARTS ACQUISITION</v>
      </c>
      <c r="J742" s="72" t="str">
        <f>IFERROR(__xludf.DUMMYFUNCTION("""COMPUTED_VALUE"""),"SPARE PARTS ACQUISITION")</f>
        <v>SPARE PARTS ACQUISITION</v>
      </c>
      <c r="K742" s="72" t="str">
        <f>IFERROR(__xludf.DUMMYFUNCTION("""COMPUTED_VALUE"""),"ENGINE OIL FILTER")</f>
        <v>ENGINE OIL FILTER</v>
      </c>
      <c r="L742" s="72" t="str">
        <f>IFERROR(__xludf.DUMMYFUNCTION("""COMPUTED_VALUE"""),"DELIVERED")</f>
        <v>DELIVERED</v>
      </c>
      <c r="M742" s="2"/>
      <c r="N742" s="2" t="str">
        <f>IFERROR(__xludf.DUMMYFUNCTION("""COMPUTED_VALUE"""),"PARTS: ENGINE OIL FILTER")</f>
        <v>PARTS: ENGINE OIL FILTER</v>
      </c>
      <c r="O742" s="2" t="str">
        <f>IFERROR(__xludf.DUMMYFUNCTION("""COMPUTED_VALUE"""),"N/A")</f>
        <v>N/A</v>
      </c>
      <c r="P742" s="2"/>
      <c r="Q742" s="2"/>
      <c r="R742" s="74">
        <f>IFERROR(__xludf.DUMMYFUNCTION("""COMPUTED_VALUE"""),45646.0)</f>
        <v>45646</v>
      </c>
      <c r="S742" s="2"/>
      <c r="T742" s="73">
        <f>IFERROR(__xludf.DUMMYFUNCTION("""COMPUTED_VALUE"""),1533.0)</f>
        <v>1533</v>
      </c>
      <c r="U742" s="73" t="str">
        <f>IFERROR(__xludf.DUMMYFUNCTION("""COMPUTED_VALUE""")," REMITTED ")</f>
        <v>REMITTED</v>
      </c>
      <c r="V742" s="2"/>
      <c r="W742" s="2">
        <f>IFERROR(__xludf.DUMMYFUNCTION("""COMPUTED_VALUE"""),1171.0)</f>
        <v>1171</v>
      </c>
      <c r="X742" s="2">
        <f>IFERROR(__xludf.DUMMYFUNCTION("""COMPUTED_VALUE"""),1260.0)</f>
        <v>1260</v>
      </c>
      <c r="Y742" s="2"/>
      <c r="Z742" s="2"/>
      <c r="AA742" s="2"/>
      <c r="AB742" s="2"/>
      <c r="AC742" s="2"/>
      <c r="AD742" s="2"/>
      <c r="AE742" s="2"/>
      <c r="AF742" s="2"/>
      <c r="AG742" s="2"/>
      <c r="AH742" s="2"/>
      <c r="AI742" s="2"/>
      <c r="AJ742" s="2" t="str">
        <f>IFERROR(__xludf.DUMMYFUNCTION("""COMPUTED_VALUE"""),"Candawaga")</f>
        <v>Candawaga</v>
      </c>
      <c r="AK742" s="2" t="str">
        <f>IFERROR(__xludf.DUMMYFUNCTION("""COMPUTED_VALUE"""),"Rizal")</f>
        <v>Rizal</v>
      </c>
      <c r="AL742" s="2" t="str">
        <f>IFERROR(__xludf.DUMMYFUNCTION("""COMPUTED_VALUE"""),"Palawan")</f>
        <v>Palawan</v>
      </c>
      <c r="AM742" s="2" t="str">
        <f>IFERROR(__xludf.DUMMYFUNCTION("""COMPUTED_VALUE"""),"4B")</f>
        <v>4B</v>
      </c>
      <c r="AN742" s="2" t="str">
        <f>IFERROR(__xludf.DUMMYFUNCTION("""COMPUTED_VALUE"""),"RCEF 23-08-20 Rebidding")</f>
        <v>RCEF 23-08-20 Rebidding</v>
      </c>
      <c r="AO742" s="2">
        <f>IFERROR(__xludf.DUMMYFUNCTION("""COMPUTED_VALUE"""),1.0)</f>
        <v>1</v>
      </c>
      <c r="AP742" s="2"/>
      <c r="AQ742" s="2"/>
      <c r="AR742" s="2"/>
      <c r="AS742" s="2"/>
      <c r="AT742" s="2"/>
      <c r="AU742" s="2"/>
      <c r="AV742" s="2"/>
      <c r="AW742" s="2"/>
      <c r="AX742" s="2"/>
      <c r="AY742" s="2"/>
      <c r="AZ742" s="2"/>
      <c r="BA742" s="2"/>
      <c r="BB742" s="2"/>
    </row>
    <row r="743">
      <c r="A743" s="2">
        <f>IFERROR(__xludf.DUMMYFUNCTION("""COMPUTED_VALUE"""),739.0)</f>
        <v>739</v>
      </c>
      <c r="B743" s="2" t="str">
        <f>IFERROR(__xludf.DUMMYFUNCTION("""COMPUTED_VALUE"""),"COMPLETED")</f>
        <v>COMPLETED</v>
      </c>
      <c r="C743" s="74">
        <f>IFERROR(__xludf.DUMMYFUNCTION("""COMPUTED_VALUE"""),45646.0)</f>
        <v>45646</v>
      </c>
      <c r="D743" s="71" t="str">
        <f>IFERROR(__xludf.DUMMYFUNCTION("""COMPUTED_VALUE"""),"SICUD FARMERS ASSOCIATION")</f>
        <v>SICUD FARMERS ASSOCIATION</v>
      </c>
      <c r="E743" s="71" t="str">
        <f>IFERROR(__xludf.DUMMYFUNCTION("""COMPUTED_VALUE"""),"Candawaga, Rizal, Palawan")</f>
        <v>Candawaga, Rizal, Palawan</v>
      </c>
      <c r="F743" s="2"/>
      <c r="G743" s="2"/>
      <c r="H743" s="2"/>
      <c r="I743" s="72" t="str">
        <f>IFERROR(__xludf.DUMMYFUNCTION("""COMPUTED_VALUE"""),"SPARE PARTS ACQUISITION")</f>
        <v>SPARE PARTS ACQUISITION</v>
      </c>
      <c r="J743" s="72" t="str">
        <f>IFERROR(__xludf.DUMMYFUNCTION("""COMPUTED_VALUE"""),"SPARE PARTS ACQUISITION")</f>
        <v>SPARE PARTS ACQUISITION</v>
      </c>
      <c r="K743" s="72" t="str">
        <f>IFERROR(__xludf.DUMMYFUNCTION("""COMPUTED_VALUE"""),"ENGINE OIL FILTER AND HYDRAULIC FILTER")</f>
        <v>ENGINE OIL FILTER AND HYDRAULIC FILTER</v>
      </c>
      <c r="L743" s="72" t="str">
        <f>IFERROR(__xludf.DUMMYFUNCTION("""COMPUTED_VALUE"""),"DELIVERED")</f>
        <v>DELIVERED</v>
      </c>
      <c r="M743" s="2"/>
      <c r="N743" s="2" t="str">
        <f>IFERROR(__xludf.DUMMYFUNCTION("""COMPUTED_VALUE"""),"PARTS: ENGINE OIL FILTER, HYDRAULIC FILTER")</f>
        <v>PARTS: ENGINE OIL FILTER, HYDRAULIC FILTER</v>
      </c>
      <c r="O743" s="2" t="str">
        <f>IFERROR(__xludf.DUMMYFUNCTION("""COMPUTED_VALUE"""),"N/A")</f>
        <v>N/A</v>
      </c>
      <c r="P743" s="2"/>
      <c r="Q743" s="2"/>
      <c r="R743" s="74">
        <f>IFERROR(__xludf.DUMMYFUNCTION("""COMPUTED_VALUE"""),45646.0)</f>
        <v>45646</v>
      </c>
      <c r="S743" s="2" t="str">
        <f>IFERROR(__xludf.DUMMYFUNCTION("""COMPUTED_VALUE"""),"RCG/JDP")</f>
        <v>RCG/JDP</v>
      </c>
      <c r="T743" s="73">
        <f>IFERROR(__xludf.DUMMYFUNCTION("""COMPUTED_VALUE"""),4281.0)</f>
        <v>4281</v>
      </c>
      <c r="U743" s="73" t="str">
        <f>IFERROR(__xludf.DUMMYFUNCTION("""COMPUTED_VALUE""")," REMITTED ")</f>
        <v>REMITTED</v>
      </c>
      <c r="V743" s="2"/>
      <c r="W743" s="2">
        <f>IFERROR(__xludf.DUMMYFUNCTION("""COMPUTED_VALUE"""),1170.0)</f>
        <v>1170</v>
      </c>
      <c r="X743" s="2">
        <f>IFERROR(__xludf.DUMMYFUNCTION("""COMPUTED_VALUE"""),1259.0)</f>
        <v>1259</v>
      </c>
      <c r="Y743" s="2"/>
      <c r="Z743" s="2"/>
      <c r="AA743" s="2"/>
      <c r="AB743" s="2"/>
      <c r="AC743" s="2"/>
      <c r="AD743" s="2"/>
      <c r="AE743" s="2"/>
      <c r="AF743" s="2"/>
      <c r="AG743" s="2"/>
      <c r="AH743" s="2"/>
      <c r="AI743" s="2"/>
      <c r="AJ743" s="2" t="str">
        <f>IFERROR(__xludf.DUMMYFUNCTION("""COMPUTED_VALUE"""),"Candawaga")</f>
        <v>Candawaga</v>
      </c>
      <c r="AK743" s="2" t="str">
        <f>IFERROR(__xludf.DUMMYFUNCTION("""COMPUTED_VALUE"""),"Rizal")</f>
        <v>Rizal</v>
      </c>
      <c r="AL743" s="2" t="str">
        <f>IFERROR(__xludf.DUMMYFUNCTION("""COMPUTED_VALUE"""),"Palawan")</f>
        <v>Palawan</v>
      </c>
      <c r="AM743" s="2" t="str">
        <f>IFERROR(__xludf.DUMMYFUNCTION("""COMPUTED_VALUE"""),"4B")</f>
        <v>4B</v>
      </c>
      <c r="AN743" s="2" t="str">
        <f>IFERROR(__xludf.DUMMYFUNCTION("""COMPUTED_VALUE"""),"RCEF 23-08-20 Rebidding")</f>
        <v>RCEF 23-08-20 Rebidding</v>
      </c>
      <c r="AO743" s="2">
        <f>IFERROR(__xludf.DUMMYFUNCTION("""COMPUTED_VALUE"""),1.0)</f>
        <v>1</v>
      </c>
      <c r="AP743" s="2"/>
      <c r="AQ743" s="2"/>
      <c r="AR743" s="2"/>
      <c r="AS743" s="2"/>
      <c r="AT743" s="2"/>
      <c r="AU743" s="2"/>
      <c r="AV743" s="2"/>
      <c r="AW743" s="2"/>
      <c r="AX743" s="2"/>
      <c r="AY743" s="2"/>
      <c r="AZ743" s="2"/>
      <c r="BA743" s="2"/>
      <c r="BB743" s="2"/>
    </row>
    <row r="744">
      <c r="A744" s="2">
        <f>IFERROR(__xludf.DUMMYFUNCTION("""COMPUTED_VALUE"""),740.0)</f>
        <v>740</v>
      </c>
      <c r="B744" s="2" t="str">
        <f>IFERROR(__xludf.DUMMYFUNCTION("""COMPUTED_VALUE"""),"COMPLETED")</f>
        <v>COMPLETED</v>
      </c>
      <c r="C744" s="74">
        <f>IFERROR(__xludf.DUMMYFUNCTION("""COMPUTED_VALUE"""),45646.0)</f>
        <v>45646</v>
      </c>
      <c r="D744" s="71" t="str">
        <f>IFERROR(__xludf.DUMMYFUNCTION("""COMPUTED_VALUE"""),"MACAGUA FARMERS IRRIGATORS' ASSOCIATION INC.")</f>
        <v>MACAGUA FARMERS IRRIGATORS' ASSOCIATION INC.</v>
      </c>
      <c r="E744" s="71" t="str">
        <f>IFERROR(__xludf.DUMMYFUNCTION("""COMPUTED_VALUE"""),"Macagua, Brooke's Point, Palawan")</f>
        <v>Macagua, Brooke's Point, Palawan</v>
      </c>
      <c r="F744" s="2"/>
      <c r="G744" s="2"/>
      <c r="H744" s="2"/>
      <c r="I744" s="72" t="str">
        <f>IFERROR(__xludf.DUMMYFUNCTION("""COMPUTED_VALUE"""),"SPARE PARTS ACQUISITION")</f>
        <v>SPARE PARTS ACQUISITION</v>
      </c>
      <c r="J744" s="72" t="str">
        <f>IFERROR(__xludf.DUMMYFUNCTION("""COMPUTED_VALUE"""),"SPARE PARTS ACQUISITION")</f>
        <v>SPARE PARTS ACQUISITION</v>
      </c>
      <c r="K744" s="72" t="str">
        <f>IFERROR(__xludf.DUMMYFUNCTION("""COMPUTED_VALUE"""),"ENGINE OIL FILTER AND HYDRAULIC FILTER")</f>
        <v>ENGINE OIL FILTER AND HYDRAULIC FILTER</v>
      </c>
      <c r="L744" s="72" t="str">
        <f>IFERROR(__xludf.DUMMYFUNCTION("""COMPUTED_VALUE"""),"DELIVERED")</f>
        <v>DELIVERED</v>
      </c>
      <c r="M744" s="2"/>
      <c r="N744" s="2" t="str">
        <f>IFERROR(__xludf.DUMMYFUNCTION("""COMPUTED_VALUE"""),"PARTS: ENGINE OIL FILTER, HYDRAULIC FILTER")</f>
        <v>PARTS: ENGINE OIL FILTER, HYDRAULIC FILTER</v>
      </c>
      <c r="O744" s="2" t="str">
        <f>IFERROR(__xludf.DUMMYFUNCTION("""COMPUTED_VALUE"""),"N/A")</f>
        <v>N/A</v>
      </c>
      <c r="P744" s="2"/>
      <c r="Q744" s="2"/>
      <c r="R744" s="74">
        <f>IFERROR(__xludf.DUMMYFUNCTION("""COMPUTED_VALUE"""),45646.0)</f>
        <v>45646</v>
      </c>
      <c r="S744" s="2" t="str">
        <f>IFERROR(__xludf.DUMMYFUNCTION("""COMPUTED_VALUE"""),"RCG/JDP")</f>
        <v>RCG/JDP</v>
      </c>
      <c r="T744" s="73">
        <f>IFERROR(__xludf.DUMMYFUNCTION("""COMPUTED_VALUE"""),4281.0)</f>
        <v>4281</v>
      </c>
      <c r="U744" s="73" t="str">
        <f>IFERROR(__xludf.DUMMYFUNCTION("""COMPUTED_VALUE""")," REMITTED ")</f>
        <v>REMITTED</v>
      </c>
      <c r="V744" s="2"/>
      <c r="W744" s="2">
        <f>IFERROR(__xludf.DUMMYFUNCTION("""COMPUTED_VALUE"""),1169.0)</f>
        <v>1169</v>
      </c>
      <c r="X744" s="2">
        <f>IFERROR(__xludf.DUMMYFUNCTION("""COMPUTED_VALUE"""),1258.0)</f>
        <v>1258</v>
      </c>
      <c r="Y744" s="2"/>
      <c r="Z744" s="2"/>
      <c r="AA744" s="2"/>
      <c r="AB744" s="2"/>
      <c r="AC744" s="2"/>
      <c r="AD744" s="2"/>
      <c r="AE744" s="2"/>
      <c r="AF744" s="2"/>
      <c r="AG744" s="2"/>
      <c r="AH744" s="2"/>
      <c r="AI744" s="2"/>
      <c r="AJ744" s="2" t="str">
        <f>IFERROR(__xludf.DUMMYFUNCTION("""COMPUTED_VALUE"""),"Macagua")</f>
        <v>Macagua</v>
      </c>
      <c r="AK744" s="2" t="str">
        <f>IFERROR(__xludf.DUMMYFUNCTION("""COMPUTED_VALUE"""),"Brooke'S Point")</f>
        <v>Brooke'S Point</v>
      </c>
      <c r="AL744" s="2" t="str">
        <f>IFERROR(__xludf.DUMMYFUNCTION("""COMPUTED_VALUE"""),"Palawan")</f>
        <v>Palawan</v>
      </c>
      <c r="AM744" s="2" t="str">
        <f>IFERROR(__xludf.DUMMYFUNCTION("""COMPUTED_VALUE"""),"4B")</f>
        <v>4B</v>
      </c>
      <c r="AN744" s="2" t="str">
        <f>IFERROR(__xludf.DUMMYFUNCTION("""COMPUTED_VALUE"""),"RCEF 23-08-20 Rebidding")</f>
        <v>RCEF 23-08-20 Rebidding</v>
      </c>
      <c r="AO744" s="2">
        <f>IFERROR(__xludf.DUMMYFUNCTION("""COMPUTED_VALUE"""),1.0)</f>
        <v>1</v>
      </c>
      <c r="AP744" s="2"/>
      <c r="AQ744" s="2"/>
      <c r="AR744" s="2"/>
      <c r="AS744" s="2"/>
      <c r="AT744" s="2"/>
      <c r="AU744" s="2"/>
      <c r="AV744" s="2"/>
      <c r="AW744" s="2"/>
      <c r="AX744" s="2"/>
      <c r="AY744" s="2"/>
      <c r="AZ744" s="2"/>
      <c r="BA744" s="2"/>
      <c r="BB744" s="2"/>
    </row>
    <row r="745">
      <c r="A745" s="2">
        <f>IFERROR(__xludf.DUMMYFUNCTION("""COMPUTED_VALUE"""),741.0)</f>
        <v>741</v>
      </c>
      <c r="B745" s="2" t="str">
        <f>IFERROR(__xludf.DUMMYFUNCTION("""COMPUTED_VALUE"""),"COMPLETED")</f>
        <v>COMPLETED</v>
      </c>
      <c r="C745" s="74">
        <f>IFERROR(__xludf.DUMMYFUNCTION("""COMPUTED_VALUE"""),45646.0)</f>
        <v>45646</v>
      </c>
      <c r="D745" s="71" t="str">
        <f>IFERROR(__xludf.DUMMYFUNCTION("""COMPUTED_VALUE"""),"CALASAGUEN DIVISION 4 RICE PRODUCER'S FARMERS ASSOCIATION")</f>
        <v>CALASAGUEN DIVISION 4 RICE PRODUCER'S FARMERS ASSOCIATION</v>
      </c>
      <c r="E745" s="71" t="str">
        <f>IFERROR(__xludf.DUMMYFUNCTION("""COMPUTED_VALUE"""),"Calasaguen, Brooke's Point, Palawan")</f>
        <v>Calasaguen, Brooke's Point, Palawan</v>
      </c>
      <c r="F745" s="2"/>
      <c r="G745" s="2"/>
      <c r="H745" s="2"/>
      <c r="I745" s="72" t="str">
        <f>IFERROR(__xludf.DUMMYFUNCTION("""COMPUTED_VALUE"""),"SPARE PARTS ACQUISITION")</f>
        <v>SPARE PARTS ACQUISITION</v>
      </c>
      <c r="J745" s="72" t="str">
        <f>IFERROR(__xludf.DUMMYFUNCTION("""COMPUTED_VALUE"""),"SPARE PARTS ACQUISITION")</f>
        <v>SPARE PARTS ACQUISITION</v>
      </c>
      <c r="K745" s="72" t="str">
        <f>IFERROR(__xludf.DUMMYFUNCTION("""COMPUTED_VALUE"""),"HYDRAULIC FILTER")</f>
        <v>HYDRAULIC FILTER</v>
      </c>
      <c r="L745" s="72" t="str">
        <f>IFERROR(__xludf.DUMMYFUNCTION("""COMPUTED_VALUE"""),"DELIVERED")</f>
        <v>DELIVERED</v>
      </c>
      <c r="M745" s="2"/>
      <c r="N745" s="2" t="str">
        <f>IFERROR(__xludf.DUMMYFUNCTION("""COMPUTED_VALUE"""),"PARTS: HYDRAULIC FILTER")</f>
        <v>PARTS: HYDRAULIC FILTER</v>
      </c>
      <c r="O745" s="2" t="str">
        <f>IFERROR(__xludf.DUMMYFUNCTION("""COMPUTED_VALUE"""),"N/A")</f>
        <v>N/A</v>
      </c>
      <c r="P745" s="2"/>
      <c r="Q745" s="2"/>
      <c r="R745" s="74">
        <f>IFERROR(__xludf.DUMMYFUNCTION("""COMPUTED_VALUE"""),45646.0)</f>
        <v>45646</v>
      </c>
      <c r="S745" s="2" t="str">
        <f>IFERROR(__xludf.DUMMYFUNCTION("""COMPUTED_VALUE"""),"RCG/JDP")</f>
        <v>RCG/JDP</v>
      </c>
      <c r="T745" s="73">
        <f>IFERROR(__xludf.DUMMYFUNCTION("""COMPUTED_VALUE"""),2748.0)</f>
        <v>2748</v>
      </c>
      <c r="U745" s="73" t="str">
        <f>IFERROR(__xludf.DUMMYFUNCTION("""COMPUTED_VALUE""")," REMITTED ")</f>
        <v>REMITTED</v>
      </c>
      <c r="V745" s="2"/>
      <c r="W745" s="2">
        <f>IFERROR(__xludf.DUMMYFUNCTION("""COMPUTED_VALUE"""),1168.0)</f>
        <v>1168</v>
      </c>
      <c r="X745" s="2">
        <f>IFERROR(__xludf.DUMMYFUNCTION("""COMPUTED_VALUE"""),1257.0)</f>
        <v>1257</v>
      </c>
      <c r="Y745" s="2"/>
      <c r="Z745" s="2"/>
      <c r="AA745" s="2"/>
      <c r="AB745" s="2"/>
      <c r="AC745" s="2"/>
      <c r="AD745" s="2"/>
      <c r="AE745" s="2"/>
      <c r="AF745" s="2"/>
      <c r="AG745" s="2"/>
      <c r="AH745" s="2"/>
      <c r="AI745" s="2"/>
      <c r="AJ745" s="2" t="str">
        <f>IFERROR(__xludf.DUMMYFUNCTION("""COMPUTED_VALUE"""),"Calasaguen")</f>
        <v>Calasaguen</v>
      </c>
      <c r="AK745" s="2" t="str">
        <f>IFERROR(__xludf.DUMMYFUNCTION("""COMPUTED_VALUE"""),"Brooke'S Point")</f>
        <v>Brooke'S Point</v>
      </c>
      <c r="AL745" s="2" t="str">
        <f>IFERROR(__xludf.DUMMYFUNCTION("""COMPUTED_VALUE"""),"Palawan")</f>
        <v>Palawan</v>
      </c>
      <c r="AM745" s="2" t="str">
        <f>IFERROR(__xludf.DUMMYFUNCTION("""COMPUTED_VALUE"""),"4B")</f>
        <v>4B</v>
      </c>
      <c r="AN745" s="2" t="str">
        <f>IFERROR(__xludf.DUMMYFUNCTION("""COMPUTED_VALUE"""),"RCEF 23-08-20 Rebidding")</f>
        <v>RCEF 23-08-20 Rebidding</v>
      </c>
      <c r="AO745" s="2">
        <f>IFERROR(__xludf.DUMMYFUNCTION("""COMPUTED_VALUE"""),1.0)</f>
        <v>1</v>
      </c>
      <c r="AP745" s="2"/>
      <c r="AQ745" s="2"/>
      <c r="AR745" s="2"/>
      <c r="AS745" s="2"/>
      <c r="AT745" s="2"/>
      <c r="AU745" s="2"/>
      <c r="AV745" s="2"/>
      <c r="AW745" s="2"/>
      <c r="AX745" s="2"/>
      <c r="AY745" s="2"/>
      <c r="AZ745" s="2"/>
      <c r="BA745" s="2"/>
      <c r="BB745" s="2"/>
    </row>
    <row r="746">
      <c r="A746" s="2">
        <f>IFERROR(__xludf.DUMMYFUNCTION("""COMPUTED_VALUE"""),742.0)</f>
        <v>742</v>
      </c>
      <c r="B746" s="2" t="str">
        <f>IFERROR(__xludf.DUMMYFUNCTION("""COMPUTED_VALUE"""),"COMPLETED")</f>
        <v>COMPLETED</v>
      </c>
      <c r="C746" s="74">
        <f>IFERROR(__xludf.DUMMYFUNCTION("""COMPUTED_VALUE"""),45649.0)</f>
        <v>45649</v>
      </c>
      <c r="D746" s="71" t="str">
        <f>IFERROR(__xludf.DUMMYFUNCTION("""COMPUTED_VALUE"""),"SAMAHANG MAGSASAKA NA MAY IISANG LAYUNIN AT ADHIKAIN")</f>
        <v>SAMAHANG MAGSASAKA NA MAY IISANG LAYUNIN AT ADHIKAIN</v>
      </c>
      <c r="E746" s="71" t="str">
        <f>IFERROR(__xludf.DUMMYFUNCTION("""COMPUTED_VALUE"""),"Bugnan, Gabaldon, NUEVA ECIJA")</f>
        <v>Bugnan, Gabaldon, NUEVA ECIJA</v>
      </c>
      <c r="F746" s="2" t="str">
        <f>IFERROR(__xludf.DUMMYFUNCTION("""COMPUTED_VALUE"""),"JOSELYN ANURAN")</f>
        <v>JOSELYN ANURAN</v>
      </c>
      <c r="G746" s="2" t="str">
        <f>IFERROR(__xludf.DUMMYFUNCTION("""COMPUTED_VALUE"""),"0955 995 7862")</f>
        <v>0955 995 7862</v>
      </c>
      <c r="H746" s="2"/>
      <c r="I746" s="72" t="str">
        <f>IFERROR(__xludf.DUMMYFUNCTION("""COMPUTED_VALUE"""),"REPAIR - TRACTOR")</f>
        <v>REPAIR - TRACTOR</v>
      </c>
      <c r="J746" s="72" t="str">
        <f>IFERROR(__xludf.DUMMYFUNCTION("""COMPUTED_VALUE"""),"FUEL PUMP")</f>
        <v>FUEL PUMP</v>
      </c>
      <c r="K746" s="72" t="str">
        <f>IFERROR(__xludf.DUMMYFUNCTION("""COMPUTED_VALUE"""),"JDP: LOW POWER
")</f>
        <v>JDP: LOW POWER
</v>
      </c>
      <c r="L746" s="72" t="str">
        <f>IFERROR(__xludf.DUMMYFUNCTION("""COMPUTED_VALUE"""),"DSD: REPLACED FUEL PUMP (OUTSOURCE NI FARMER)")</f>
        <v>DSD: REPLACED FUEL PUMP (OUTSOURCE NI FARMER)</v>
      </c>
      <c r="M746" s="2"/>
      <c r="N746" s="2"/>
      <c r="O746" s="2">
        <f>IFERROR(__xludf.DUMMYFUNCTION("""COMPUTED_VALUE"""),1062.0)</f>
        <v>1062</v>
      </c>
      <c r="P746" s="2"/>
      <c r="Q746" s="2" t="str">
        <f>IFERROR(__xludf.DUMMYFUNCTION("""COMPUTED_VALUE"""),"Y")</f>
        <v>Y</v>
      </c>
      <c r="R746" s="74">
        <f>IFERROR(__xludf.DUMMYFUNCTION("""COMPUTED_VALUE"""),45649.0)</f>
        <v>45649</v>
      </c>
      <c r="S746" s="2" t="str">
        <f>IFERROR(__xludf.DUMMYFUNCTION("""COMPUTED_VALUE"""),"JDP/DRM/DSD")</f>
        <v>JDP/DRM/DSD</v>
      </c>
      <c r="T746" s="73" t="str">
        <f>IFERROR(__xludf.DUMMYFUNCTION("""COMPUTED_VALUE""")," N/A ")</f>
        <v>N/A</v>
      </c>
      <c r="U746" s="73" t="str">
        <f>IFERROR(__xludf.DUMMYFUNCTION("""COMPUTED_VALUE""")," NO CHARGE ")</f>
        <v>NO CHARGE</v>
      </c>
      <c r="V746" s="2"/>
      <c r="W746" s="2" t="str">
        <f>IFERROR(__xludf.DUMMYFUNCTION("""COMPUTED_VALUE"""),"N/A")</f>
        <v>N/A</v>
      </c>
      <c r="X746" s="2" t="str">
        <f>IFERROR(__xludf.DUMMYFUNCTION("""COMPUTED_VALUE"""),"N/A")</f>
        <v>N/A</v>
      </c>
      <c r="Y746" s="2"/>
      <c r="Z746" s="2"/>
      <c r="AA746" s="2"/>
      <c r="AB746" s="2"/>
      <c r="AC746" s="2"/>
      <c r="AD746" s="2"/>
      <c r="AE746" s="2"/>
      <c r="AF746" s="2"/>
      <c r="AG746" s="2"/>
      <c r="AH746" s="2"/>
      <c r="AI746" s="2"/>
      <c r="AJ746" s="2" t="str">
        <f>IFERROR(__xludf.DUMMYFUNCTION("""COMPUTED_VALUE"""),"Bugnan")</f>
        <v>Bugnan</v>
      </c>
      <c r="AK746" s="2" t="str">
        <f>IFERROR(__xludf.DUMMYFUNCTION("""COMPUTED_VALUE"""),"Gabaldon")</f>
        <v>Gabaldon</v>
      </c>
      <c r="AL746" s="2" t="str">
        <f>IFERROR(__xludf.DUMMYFUNCTION("""COMPUTED_VALUE"""),"Nueva Ecija")</f>
        <v>Nueva Ecija</v>
      </c>
      <c r="AM746" s="2">
        <f>IFERROR(__xludf.DUMMYFUNCTION("""COMPUTED_VALUE"""),3.0)</f>
        <v>3</v>
      </c>
      <c r="AN746" s="2" t="str">
        <f>IFERROR(__xludf.DUMMYFUNCTION("""COMPUTED_VALUE"""),"RCEF 23-09-21 Rebidding")</f>
        <v>RCEF 23-09-21 Rebidding</v>
      </c>
      <c r="AO746" s="2">
        <f>IFERROR(__xludf.DUMMYFUNCTION("""COMPUTED_VALUE"""),3.0)</f>
        <v>3</v>
      </c>
      <c r="AP746" s="2"/>
      <c r="AQ746" s="2"/>
      <c r="AR746" s="2"/>
      <c r="AS746" s="2"/>
      <c r="AT746" s="2"/>
      <c r="AU746" s="2"/>
      <c r="AV746" s="2"/>
      <c r="AW746" s="2"/>
      <c r="AX746" s="2"/>
      <c r="AY746" s="2"/>
      <c r="AZ746" s="2"/>
      <c r="BA746" s="2"/>
      <c r="BB746" s="2"/>
    </row>
    <row r="747">
      <c r="A747" s="2">
        <f>IFERROR(__xludf.DUMMYFUNCTION("""COMPUTED_VALUE"""),743.0)</f>
        <v>743</v>
      </c>
      <c r="B747" s="2" t="str">
        <f>IFERROR(__xludf.DUMMYFUNCTION("""COMPUTED_VALUE"""),"COMPLETED")</f>
        <v>COMPLETED</v>
      </c>
      <c r="C747" s="74">
        <f>IFERROR(__xludf.DUMMYFUNCTION("""COMPUTED_VALUE"""),45649.0)</f>
        <v>45649</v>
      </c>
      <c r="D747" s="71" t="str">
        <f>IFERROR(__xludf.DUMMYFUNCTION("""COMPUTED_VALUE"""),"PANGBIYERNES IRRIGATORS ASSOCIATION, INC.")</f>
        <v>PANGBIYERNES IRRIGATORS ASSOCIATION, INC.</v>
      </c>
      <c r="E747" s="71" t="str">
        <f>IFERROR(__xludf.DUMMYFUNCTION("""COMPUTED_VALUE"""),"Tabuating, San Leonardo, NUEVA ECIJA")</f>
        <v>Tabuating, San Leonardo, NUEVA ECIJA</v>
      </c>
      <c r="F747" s="2" t="str">
        <f>IFERROR(__xludf.DUMMYFUNCTION("""COMPUTED_VALUE"""),"Roy Domingo")</f>
        <v>Roy Domingo</v>
      </c>
      <c r="G747" s="2">
        <f>IFERROR(__xludf.DUMMYFUNCTION("""COMPUTED_VALUE"""),9.366660108E9)</f>
        <v>9366660108</v>
      </c>
      <c r="H747" s="2">
        <f>IFERROR(__xludf.DUMMYFUNCTION("""COMPUTED_VALUE"""),50.0)</f>
        <v>50</v>
      </c>
      <c r="I747" s="72" t="str">
        <f>IFERROR(__xludf.DUMMYFUNCTION("""COMPUTED_VALUE"""),"PMS")</f>
        <v>PMS</v>
      </c>
      <c r="J747" s="72" t="str">
        <f>IFERROR(__xludf.DUMMYFUNCTION("""COMPUTED_VALUE"""),"PMS")</f>
        <v>PMS</v>
      </c>
      <c r="K747" s="72" t="str">
        <f>IFERROR(__xludf.DUMMYFUNCTION("""COMPUTED_VALUE"""),"JHP: 1ST PMS")</f>
        <v>JHP: 1ST PMS</v>
      </c>
      <c r="L747" s="72" t="str">
        <f>IFERROR(__xludf.DUMMYFUNCTION("""COMPUTED_VALUE"""),"ACS: 1ST PMS DONE")</f>
        <v>ACS: 1ST PMS DONE</v>
      </c>
      <c r="M747" s="2"/>
      <c r="N747" s="2" t="str">
        <f>IFERROR(__xludf.DUMMYFUNCTION("""COMPUTED_VALUE"""),"PARTS: OIL FILTER")</f>
        <v>PARTS: OIL FILTER</v>
      </c>
      <c r="O747" s="2">
        <f>IFERROR(__xludf.DUMMYFUNCTION("""COMPUTED_VALUE"""),1212.0)</f>
        <v>1212</v>
      </c>
      <c r="P747" s="2"/>
      <c r="Q747" s="2" t="str">
        <f>IFERROR(__xludf.DUMMYFUNCTION("""COMPUTED_VALUE"""),"Y")</f>
        <v>Y</v>
      </c>
      <c r="R747" s="74">
        <f>IFERROR(__xludf.DUMMYFUNCTION("""COMPUTED_VALUE"""),45653.0)</f>
        <v>45653</v>
      </c>
      <c r="S747" s="2" t="str">
        <f>IFERROR(__xludf.DUMMYFUNCTION("""COMPUTED_VALUE"""),"ACS/JHP")</f>
        <v>ACS/JHP</v>
      </c>
      <c r="T747" s="73">
        <f>IFERROR(__xludf.DUMMYFUNCTION("""COMPUTED_VALUE"""),1600.0)</f>
        <v>1600</v>
      </c>
      <c r="U747" s="73" t="str">
        <f>IFERROR(__xludf.DUMMYFUNCTION("""COMPUTED_VALUE""")," REMITTED ")</f>
        <v>REMITTED</v>
      </c>
      <c r="V747" s="2"/>
      <c r="W747" s="2" t="str">
        <f>IFERROR(__xludf.DUMMYFUNCTION("""COMPUTED_VALUE"""),"N/A")</f>
        <v>N/A</v>
      </c>
      <c r="X747" s="2" t="str">
        <f>IFERROR(__xludf.DUMMYFUNCTION("""COMPUTED_VALUE"""),"N/A")</f>
        <v>N/A</v>
      </c>
      <c r="Y747" s="2"/>
      <c r="Z747" s="2"/>
      <c r="AA747" s="2"/>
      <c r="AB747" s="2"/>
      <c r="AC747" s="2"/>
      <c r="AD747" s="2"/>
      <c r="AE747" s="2"/>
      <c r="AF747" s="2"/>
      <c r="AG747" s="2"/>
      <c r="AH747" s="2"/>
      <c r="AI747" s="2"/>
      <c r="AJ747" s="2" t="str">
        <f>IFERROR(__xludf.DUMMYFUNCTION("""COMPUTED_VALUE"""),"Tabuating")</f>
        <v>Tabuating</v>
      </c>
      <c r="AK747" s="2" t="str">
        <f>IFERROR(__xludf.DUMMYFUNCTION("""COMPUTED_VALUE"""),"San Leonardo")</f>
        <v>San Leonardo</v>
      </c>
      <c r="AL747" s="2" t="str">
        <f>IFERROR(__xludf.DUMMYFUNCTION("""COMPUTED_VALUE"""),"Nueva Ecija")</f>
        <v>Nueva Ecija</v>
      </c>
      <c r="AM747" s="2">
        <f>IFERROR(__xludf.DUMMYFUNCTION("""COMPUTED_VALUE"""),3.0)</f>
        <v>3</v>
      </c>
      <c r="AN747" s="2" t="str">
        <f>IFERROR(__xludf.DUMMYFUNCTION("""COMPUTED_VALUE"""),"RCEF 23-09-21 Rebidding")</f>
        <v>RCEF 23-09-21 Rebidding</v>
      </c>
      <c r="AO747" s="2">
        <f>IFERROR(__xludf.DUMMYFUNCTION("""COMPUTED_VALUE"""),3.0)</f>
        <v>3</v>
      </c>
      <c r="AP747" s="2"/>
      <c r="AQ747" s="2"/>
      <c r="AR747" s="2"/>
      <c r="AS747" s="2"/>
      <c r="AT747" s="2"/>
      <c r="AU747" s="2"/>
      <c r="AV747" s="2"/>
      <c r="AW747" s="2"/>
      <c r="AX747" s="2"/>
      <c r="AY747" s="2"/>
      <c r="AZ747" s="2"/>
      <c r="BA747" s="2"/>
      <c r="BB747" s="2"/>
    </row>
    <row r="748">
      <c r="A748" s="2">
        <f>IFERROR(__xludf.DUMMYFUNCTION("""COMPUTED_VALUE"""),744.0)</f>
        <v>744</v>
      </c>
      <c r="B748" s="2" t="str">
        <f>IFERROR(__xludf.DUMMYFUNCTION("""COMPUTED_VALUE"""),"COMPLETED")</f>
        <v>COMPLETED</v>
      </c>
      <c r="C748" s="74">
        <f>IFERROR(__xludf.DUMMYFUNCTION("""COMPUTED_VALUE"""),45657.0)</f>
        <v>45657</v>
      </c>
      <c r="D748" s="71" t="str">
        <f>IFERROR(__xludf.DUMMYFUNCTION("""COMPUTED_VALUE"""),"SAN CRISTOBAL FARMERS IRRIGATORS' ASSOCIATION, INC.")</f>
        <v>SAN CRISTOBAL FARMERS IRRIGATORS' ASSOCIATION, INC.</v>
      </c>
      <c r="E748" s="71" t="str">
        <f>IFERROR(__xludf.DUMMYFUNCTION("""COMPUTED_VALUE"""),"San Cristobal, Licab, NUEVA ECIJA")</f>
        <v>San Cristobal, Licab, NUEVA ECIJA</v>
      </c>
      <c r="F748" s="2" t="str">
        <f>IFERROR(__xludf.DUMMYFUNCTION("""COMPUTED_VALUE"""),"Alfredo Miguel Lozano")</f>
        <v>Alfredo Miguel Lozano</v>
      </c>
      <c r="G748" s="2">
        <f>IFERROR(__xludf.DUMMYFUNCTION("""COMPUTED_VALUE"""),9.506409554E9)</f>
        <v>9506409554</v>
      </c>
      <c r="H748" s="2">
        <f>IFERROR(__xludf.DUMMYFUNCTION("""COMPUTED_VALUE"""),310.0)</f>
        <v>310</v>
      </c>
      <c r="I748" s="72" t="str">
        <f>IFERROR(__xludf.DUMMYFUNCTION("""COMPUTED_VALUE"""),"PMS")</f>
        <v>PMS</v>
      </c>
      <c r="J748" s="72" t="str">
        <f>IFERROR(__xludf.DUMMYFUNCTION("""COMPUTED_VALUE"""),"PMS")</f>
        <v>PMS</v>
      </c>
      <c r="K748" s="72" t="str">
        <f>IFERROR(__xludf.DUMMYFUNCTION("""COMPUTED_VALUE"""),"KFS: 2ND PMS")</f>
        <v>KFS: 2ND PMS</v>
      </c>
      <c r="L748" s="72" t="str">
        <f>IFERROR(__xludf.DUMMYFUNCTION("""COMPUTED_VALUE"""),"JVV: 2ND PMS DONE")</f>
        <v>JVV: 2ND PMS DONE</v>
      </c>
      <c r="M748" s="2"/>
      <c r="N748" s="2" t="str">
        <f>IFERROR(__xludf.DUMMYFUNCTION("""COMPUTED_VALUE"""),"PARTS: HYDRAULIC FILTER, OIL FILTER")</f>
        <v>PARTS: HYDRAULIC FILTER, OIL FILTER</v>
      </c>
      <c r="O748" s="2">
        <f>IFERROR(__xludf.DUMMYFUNCTION("""COMPUTED_VALUE"""),1162.0)</f>
        <v>1162</v>
      </c>
      <c r="P748" s="2"/>
      <c r="Q748" s="2" t="str">
        <f>IFERROR(__xludf.DUMMYFUNCTION("""COMPUTED_VALUE"""),"Y")</f>
        <v>Y</v>
      </c>
      <c r="R748" s="74">
        <f>IFERROR(__xludf.DUMMYFUNCTION("""COMPUTED_VALUE"""),45660.0)</f>
        <v>45660</v>
      </c>
      <c r="S748" s="2" t="str">
        <f>IFERROR(__xludf.DUMMYFUNCTION("""COMPUTED_VALUE"""),"JVV/CFG/JDP")</f>
        <v>JVV/CFG/JDP</v>
      </c>
      <c r="T748" s="73">
        <f>IFERROR(__xludf.DUMMYFUNCTION("""COMPUTED_VALUE"""),4281.0)</f>
        <v>4281</v>
      </c>
      <c r="U748" s="73" t="str">
        <f>IFERROR(__xludf.DUMMYFUNCTION("""COMPUTED_VALUE""")," REMITTED ")</f>
        <v>REMITTED</v>
      </c>
      <c r="V748" s="2"/>
      <c r="W748" s="2">
        <f>IFERROR(__xludf.DUMMYFUNCTION("""COMPUTED_VALUE"""),1293.0)</f>
        <v>1293</v>
      </c>
      <c r="X748" s="2">
        <f>IFERROR(__xludf.DUMMYFUNCTION("""COMPUTED_VALUE"""),1507.0)</f>
        <v>1507</v>
      </c>
      <c r="Y748" s="2"/>
      <c r="Z748" s="2"/>
      <c r="AA748" s="2"/>
      <c r="AB748" s="2"/>
      <c r="AC748" s="2"/>
      <c r="AD748" s="2"/>
      <c r="AE748" s="2"/>
      <c r="AF748" s="2"/>
      <c r="AG748" s="2"/>
      <c r="AH748" s="2"/>
      <c r="AI748" s="2"/>
      <c r="AJ748" s="2" t="str">
        <f>IFERROR(__xludf.DUMMYFUNCTION("""COMPUTED_VALUE"""),"San Cristobal")</f>
        <v>San Cristobal</v>
      </c>
      <c r="AK748" s="2" t="str">
        <f>IFERROR(__xludf.DUMMYFUNCTION("""COMPUTED_VALUE"""),"Licab")</f>
        <v>Licab</v>
      </c>
      <c r="AL748" s="2" t="str">
        <f>IFERROR(__xludf.DUMMYFUNCTION("""COMPUTED_VALUE"""),"Nueva Ecija")</f>
        <v>Nueva Ecija</v>
      </c>
      <c r="AM748" s="2">
        <f>IFERROR(__xludf.DUMMYFUNCTION("""COMPUTED_VALUE"""),3.0)</f>
        <v>3</v>
      </c>
      <c r="AN748" s="2" t="str">
        <f>IFERROR(__xludf.DUMMYFUNCTION("""COMPUTED_VALUE"""),"RCEF 23-09-21 Rebidding")</f>
        <v>RCEF 23-09-21 Rebidding</v>
      </c>
      <c r="AO748" s="2">
        <f>IFERROR(__xludf.DUMMYFUNCTION("""COMPUTED_VALUE"""),3.0)</f>
        <v>3</v>
      </c>
      <c r="AP748" s="2"/>
      <c r="AQ748" s="2"/>
      <c r="AR748" s="2"/>
      <c r="AS748" s="2"/>
      <c r="AT748" s="2"/>
      <c r="AU748" s="2"/>
      <c r="AV748" s="2"/>
      <c r="AW748" s="2"/>
      <c r="AX748" s="2"/>
      <c r="AY748" s="2"/>
      <c r="AZ748" s="2"/>
      <c r="BA748" s="2"/>
      <c r="BB748" s="2"/>
    </row>
    <row r="749">
      <c r="A749" s="2">
        <f>IFERROR(__xludf.DUMMYFUNCTION("""COMPUTED_VALUE"""),745.0)</f>
        <v>745</v>
      </c>
      <c r="B749" s="2" t="str">
        <f>IFERROR(__xludf.DUMMYFUNCTION("""COMPUTED_VALUE"""),"COMPLETED")</f>
        <v>COMPLETED</v>
      </c>
      <c r="C749" s="74">
        <f>IFERROR(__xludf.DUMMYFUNCTION("""COMPUTED_VALUE"""),45659.0)</f>
        <v>45659</v>
      </c>
      <c r="D749" s="71" t="str">
        <f>IFERROR(__xludf.DUMMYFUNCTION("""COMPUTED_VALUE"""),"MANNALON NGA NAURNOS TI PURA FARMERS ASSOCIATION Inc.")</f>
        <v>MANNALON NGA NAURNOS TI PURA FARMERS ASSOCIATION Inc.</v>
      </c>
      <c r="E749" s="71" t="str">
        <f>IFERROR(__xludf.DUMMYFUNCTION("""COMPUTED_VALUE"""),"Estipona, Pura, TARLAC")</f>
        <v>Estipona, Pura, TARLAC</v>
      </c>
      <c r="F749" s="2" t="str">
        <f>IFERROR(__xludf.DUMMYFUNCTION("""COMPUTED_VALUE"""),"PRUDENCIO AGANON")</f>
        <v>PRUDENCIO AGANON</v>
      </c>
      <c r="G749" s="2"/>
      <c r="H749" s="2">
        <f>IFERROR(__xludf.DUMMYFUNCTION("""COMPUTED_VALUE"""),482.0)</f>
        <v>482</v>
      </c>
      <c r="I749" s="72" t="str">
        <f>IFERROR(__xludf.DUMMYFUNCTION("""COMPUTED_VALUE"""),"REPAIR - TRACTOR")</f>
        <v>REPAIR - TRACTOR</v>
      </c>
      <c r="J749" s="72" t="str">
        <f>IFERROR(__xludf.DUMMYFUNCTION("""COMPUTED_VALUE"""),"CHECK UP/ REPAIR")</f>
        <v>CHECK UP/ REPAIR</v>
      </c>
      <c r="K749" s="72" t="str">
        <f>IFERROR(__xludf.DUMMYFUNCTION("""COMPUTED_VALUE"""),"JDP: CHECK UP UNIT")</f>
        <v>JDP: CHECK UP UNIT</v>
      </c>
      <c r="L749" s="72" t="str">
        <f>IFERROR(__xludf.DUMMYFUNCTION("""COMPUTED_VALUE"""),"JDP: DONE CHECK UP UNIT (engine oil, hydraulic oil, gear oil and coolant)")</f>
        <v>JDP: DONE CHECK UP UNIT (engine oil, hydraulic oil, gear oil and coolant)</v>
      </c>
      <c r="M749" s="2"/>
      <c r="N749" s="2"/>
      <c r="O749" s="2">
        <f>IFERROR(__xludf.DUMMYFUNCTION("""COMPUTED_VALUE"""),1378.0)</f>
        <v>1378</v>
      </c>
      <c r="P749" s="2"/>
      <c r="Q749" s="2" t="str">
        <f>IFERROR(__xludf.DUMMYFUNCTION("""COMPUTED_VALUE"""),"Y")</f>
        <v>Y</v>
      </c>
      <c r="R749" s="74">
        <f>IFERROR(__xludf.DUMMYFUNCTION("""COMPUTED_VALUE"""),45293.0)</f>
        <v>45293</v>
      </c>
      <c r="S749" s="2" t="str">
        <f>IFERROR(__xludf.DUMMYFUNCTION("""COMPUTED_VALUE"""),"JDP")</f>
        <v>JDP</v>
      </c>
      <c r="T749" s="73" t="str">
        <f>IFERROR(__xludf.DUMMYFUNCTION("""COMPUTED_VALUE""")," N/A ")</f>
        <v>N/A</v>
      </c>
      <c r="U749" s="73" t="str">
        <f>IFERROR(__xludf.DUMMYFUNCTION("""COMPUTED_VALUE""")," NO CHARGE ")</f>
        <v>NO CHARGE</v>
      </c>
      <c r="V749" s="2"/>
      <c r="W749" s="2" t="str">
        <f>IFERROR(__xludf.DUMMYFUNCTION("""COMPUTED_VALUE"""),"N/A")</f>
        <v>N/A</v>
      </c>
      <c r="X749" s="2" t="str">
        <f>IFERROR(__xludf.DUMMYFUNCTION("""COMPUTED_VALUE"""),"N/A")</f>
        <v>N/A</v>
      </c>
      <c r="Y749" s="2"/>
      <c r="Z749" s="2"/>
      <c r="AA749" s="2"/>
      <c r="AB749" s="2"/>
      <c r="AC749" s="2"/>
      <c r="AD749" s="2"/>
      <c r="AE749" s="2"/>
      <c r="AF749" s="2"/>
      <c r="AG749" s="2"/>
      <c r="AH749" s="2"/>
      <c r="AI749" s="2"/>
      <c r="AJ749" s="2" t="str">
        <f>IFERROR(__xludf.DUMMYFUNCTION("""COMPUTED_VALUE"""),"Estipona")</f>
        <v>Estipona</v>
      </c>
      <c r="AK749" s="2" t="str">
        <f>IFERROR(__xludf.DUMMYFUNCTION("""COMPUTED_VALUE"""),"Pura")</f>
        <v>Pura</v>
      </c>
      <c r="AL749" s="2" t="str">
        <f>IFERROR(__xludf.DUMMYFUNCTION("""COMPUTED_VALUE"""),"Tarlac")</f>
        <v>Tarlac</v>
      </c>
      <c r="AM749" s="2">
        <f>IFERROR(__xludf.DUMMYFUNCTION("""COMPUTED_VALUE"""),3.0)</f>
        <v>3</v>
      </c>
      <c r="AN749" s="2" t="str">
        <f>IFERROR(__xludf.DUMMYFUNCTION("""COMPUTED_VALUE"""),"RCEF 23-09-21 Rebidding")</f>
        <v>RCEF 23-09-21 Rebidding</v>
      </c>
      <c r="AO749" s="2">
        <f>IFERROR(__xludf.DUMMYFUNCTION("""COMPUTED_VALUE"""),3.0)</f>
        <v>3</v>
      </c>
      <c r="AP749" s="2"/>
      <c r="AQ749" s="2"/>
      <c r="AR749" s="2"/>
      <c r="AS749" s="2"/>
      <c r="AT749" s="2"/>
      <c r="AU749" s="2"/>
      <c r="AV749" s="2"/>
      <c r="AW749" s="2"/>
      <c r="AX749" s="2"/>
      <c r="AY749" s="2"/>
      <c r="AZ749" s="2"/>
      <c r="BA749" s="2"/>
      <c r="BB749" s="2"/>
    </row>
    <row r="750">
      <c r="A750" s="2">
        <f>IFERROR(__xludf.DUMMYFUNCTION("""COMPUTED_VALUE"""),746.0)</f>
        <v>746</v>
      </c>
      <c r="B750" s="2" t="str">
        <f>IFERROR(__xludf.DUMMYFUNCTION("""COMPUTED_VALUE"""),"COMPLETED")</f>
        <v>COMPLETED</v>
      </c>
      <c r="C750" s="74">
        <f>IFERROR(__xludf.DUMMYFUNCTION("""COMPUTED_VALUE"""),45660.0)</f>
        <v>45660</v>
      </c>
      <c r="D750" s="71" t="str">
        <f>IFERROR(__xludf.DUMMYFUNCTION("""COMPUTED_VALUE"""),"FARMERS IRRIGATORS ASSOCATION POB. 2 PURA TARLAC, INC.")</f>
        <v>FARMERS IRRIGATORS ASSOCATION POB. 2 PURA TARLAC, INC.</v>
      </c>
      <c r="E750" s="71" t="str">
        <f>IFERROR(__xludf.DUMMYFUNCTION("""COMPUTED_VALUE"""),"Poblacion 2, Pura, TARLAC")</f>
        <v>Poblacion 2, Pura, TARLAC</v>
      </c>
      <c r="F750" s="2" t="str">
        <f>IFERROR(__xludf.DUMMYFUNCTION("""COMPUTED_VALUE"""),"DIONISIO JAVIER")</f>
        <v>DIONISIO JAVIER</v>
      </c>
      <c r="G750" s="2" t="str">
        <f>IFERROR(__xludf.DUMMYFUNCTION("""COMPUTED_VALUE"""),"0948-776-6537")</f>
        <v>0948-776-6537</v>
      </c>
      <c r="H750" s="2">
        <f>IFERROR(__xludf.DUMMYFUNCTION("""COMPUTED_VALUE"""),621.0)</f>
        <v>621</v>
      </c>
      <c r="I750" s="72" t="str">
        <f>IFERROR(__xludf.DUMMYFUNCTION("""COMPUTED_VALUE"""),"REPAIR - TRACTOR")</f>
        <v>REPAIR - TRACTOR</v>
      </c>
      <c r="J750" s="72" t="str">
        <f>IFERROR(__xludf.DUMMYFUNCTION("""COMPUTED_VALUE"""),"CHECK UP/ REPAIR")</f>
        <v>CHECK UP/ REPAIR</v>
      </c>
      <c r="K750" s="72" t="str">
        <f>IFERROR(__xludf.DUMMYFUNCTION("""COMPUTED_VALUE"""),"JVV: CHECK UP UNIT: BUSTED FUSE OF FUEL  PUMP")</f>
        <v>JVV: CHECK UP UNIT: BUSTED FUSE OF FUEL  PUMP</v>
      </c>
      <c r="L750" s="72" t="str">
        <f>IFERROR(__xludf.DUMMYFUNCTION("""COMPUTED_VALUE"""),"JVV: REPLACE FUSE  AND CHAGE OIL OF ENGINE")</f>
        <v>JVV: REPLACE FUSE  AND CHAGE OIL OF ENGINE</v>
      </c>
      <c r="M750" s="2"/>
      <c r="N750" s="2"/>
      <c r="O750" s="2">
        <f>IFERROR(__xludf.DUMMYFUNCTION("""COMPUTED_VALUE"""),1379.0)</f>
        <v>1379</v>
      </c>
      <c r="P750" s="2"/>
      <c r="Q750" s="2" t="str">
        <f>IFERROR(__xludf.DUMMYFUNCTION("""COMPUTED_VALUE"""),"Y")</f>
        <v>Y</v>
      </c>
      <c r="R750" s="74">
        <f>IFERROR(__xludf.DUMMYFUNCTION("""COMPUTED_VALUE"""),45660.0)</f>
        <v>45660</v>
      </c>
      <c r="S750" s="2" t="str">
        <f>IFERROR(__xludf.DUMMYFUNCTION("""COMPUTED_VALUE"""),"JVV/CFG/JDP")</f>
        <v>JVV/CFG/JDP</v>
      </c>
      <c r="T750" s="73" t="str">
        <f>IFERROR(__xludf.DUMMYFUNCTION("""COMPUTED_VALUE""")," N/A ")</f>
        <v>N/A</v>
      </c>
      <c r="U750" s="73" t="str">
        <f>IFERROR(__xludf.DUMMYFUNCTION("""COMPUTED_VALUE""")," NO CHARGE ")</f>
        <v>NO CHARGE</v>
      </c>
      <c r="V750" s="2"/>
      <c r="W750" s="2" t="str">
        <f>IFERROR(__xludf.DUMMYFUNCTION("""COMPUTED_VALUE"""),"N/A")</f>
        <v>N/A</v>
      </c>
      <c r="X750" s="2" t="str">
        <f>IFERROR(__xludf.DUMMYFUNCTION("""COMPUTED_VALUE"""),"N/A")</f>
        <v>N/A</v>
      </c>
      <c r="Y750" s="2"/>
      <c r="Z750" s="2"/>
      <c r="AA750" s="2"/>
      <c r="AB750" s="2"/>
      <c r="AC750" s="2"/>
      <c r="AD750" s="2"/>
      <c r="AE750" s="2"/>
      <c r="AF750" s="2"/>
      <c r="AG750" s="2"/>
      <c r="AH750" s="2"/>
      <c r="AI750" s="2"/>
      <c r="AJ750" s="2" t="str">
        <f>IFERROR(__xludf.DUMMYFUNCTION("""COMPUTED_VALUE"""),"Poblacion 2")</f>
        <v>Poblacion 2</v>
      </c>
      <c r="AK750" s="2" t="str">
        <f>IFERROR(__xludf.DUMMYFUNCTION("""COMPUTED_VALUE"""),"Pura")</f>
        <v>Pura</v>
      </c>
      <c r="AL750" s="2" t="str">
        <f>IFERROR(__xludf.DUMMYFUNCTION("""COMPUTED_VALUE"""),"Tarlac")</f>
        <v>Tarlac</v>
      </c>
      <c r="AM750" s="2">
        <f>IFERROR(__xludf.DUMMYFUNCTION("""COMPUTED_VALUE"""),3.0)</f>
        <v>3</v>
      </c>
      <c r="AN750" s="2" t="str">
        <f>IFERROR(__xludf.DUMMYFUNCTION("""COMPUTED_VALUE"""),"RCEF 23-09-21 Rebidding")</f>
        <v>RCEF 23-09-21 Rebidding</v>
      </c>
      <c r="AO750" s="2">
        <f>IFERROR(__xludf.DUMMYFUNCTION("""COMPUTED_VALUE"""),3.0)</f>
        <v>3</v>
      </c>
      <c r="AP750" s="2"/>
      <c r="AQ750" s="2"/>
      <c r="AR750" s="2"/>
      <c r="AS750" s="2"/>
      <c r="AT750" s="2"/>
      <c r="AU750" s="2"/>
      <c r="AV750" s="2"/>
      <c r="AW750" s="2"/>
      <c r="AX750" s="2"/>
      <c r="AY750" s="2"/>
      <c r="AZ750" s="2"/>
      <c r="BA750" s="2"/>
      <c r="BB750" s="2"/>
    </row>
    <row r="751">
      <c r="A751" s="2">
        <f>IFERROR(__xludf.DUMMYFUNCTION("""COMPUTED_VALUE"""),747.0)</f>
        <v>747</v>
      </c>
      <c r="B751" s="2" t="str">
        <f>IFERROR(__xludf.DUMMYFUNCTION("""COMPUTED_VALUE"""),"COMPLETED")</f>
        <v>COMPLETED</v>
      </c>
      <c r="C751" s="74">
        <f>IFERROR(__xludf.DUMMYFUNCTION("""COMPUTED_VALUE"""),45662.0)</f>
        <v>45662</v>
      </c>
      <c r="D751" s="71" t="str">
        <f>IFERROR(__xludf.DUMMYFUNCTION("""COMPUTED_VALUE"""),"SAMAHAN NG MGA MAGSASAKA NG BARANGAY BAYANAN II")</f>
        <v>SAMAHAN NG MGA MAGSASAKA NG BARANGAY BAYANAN II</v>
      </c>
      <c r="E751" s="71" t="str">
        <f>IFERROR(__xludf.DUMMYFUNCTION("""COMPUTED_VALUE"""),"Bayanan II, Calapan City, Oriental Mindoro")</f>
        <v>Bayanan II, Calapan City, Oriental Mindoro</v>
      </c>
      <c r="F751" s="2" t="str">
        <f>IFERROR(__xludf.DUMMYFUNCTION("""COMPUTED_VALUE"""),"EDGAR BALMES")</f>
        <v>EDGAR BALMES</v>
      </c>
      <c r="G751" s="2" t="str">
        <f>IFERROR(__xludf.DUMMYFUNCTION("""COMPUTED_VALUE"""),"0936-9401-320")</f>
        <v>0936-9401-320</v>
      </c>
      <c r="H751" s="2">
        <f>IFERROR(__xludf.DUMMYFUNCTION("""COMPUTED_VALUE"""),417.0)</f>
        <v>417</v>
      </c>
      <c r="I751" s="72" t="str">
        <f>IFERROR(__xludf.DUMMYFUNCTION("""COMPUTED_VALUE"""),"PMS")</f>
        <v>PMS</v>
      </c>
      <c r="J751" s="72" t="str">
        <f>IFERROR(__xludf.DUMMYFUNCTION("""COMPUTED_VALUE"""),"PMS")</f>
        <v>PMS</v>
      </c>
      <c r="K751" s="72" t="str">
        <f>IFERROR(__xludf.DUMMYFUNCTION("""COMPUTED_VALUE"""),"RCG: 2ND PMS")</f>
        <v>RCG: 2ND PMS</v>
      </c>
      <c r="L751" s="72" t="str">
        <f>IFERROR(__xludf.DUMMYFUNCTION("""COMPUTED_VALUE"""),"RCG: CHANGE OIL 2ND PMS DONE")</f>
        <v>RCG: CHANGE OIL 2ND PMS DONE</v>
      </c>
      <c r="M751" s="2"/>
      <c r="N751" s="2" t="str">
        <f>IFERROR(__xludf.DUMMYFUNCTION("""COMPUTED_VALUE"""),"PARTS: HYDRAULIC FILTER")</f>
        <v>PARTS: HYDRAULIC FILTER</v>
      </c>
      <c r="O751" s="2">
        <f>IFERROR(__xludf.DUMMYFUNCTION("""COMPUTED_VALUE"""),116.0)</f>
        <v>116</v>
      </c>
      <c r="P751" s="2"/>
      <c r="Q751" s="2"/>
      <c r="R751" s="74">
        <f>IFERROR(__xludf.DUMMYFUNCTION("""COMPUTED_VALUE"""),45706.0)</f>
        <v>45706</v>
      </c>
      <c r="S751" s="2" t="str">
        <f>IFERROR(__xludf.DUMMYFUNCTION("""COMPUTED_VALUE"""),"RCG/DSD")</f>
        <v>RCG/DSD</v>
      </c>
      <c r="T751" s="73">
        <f>IFERROR(__xludf.DUMMYFUNCTION("""COMPUTED_VALUE"""),2748.0)</f>
        <v>2748</v>
      </c>
      <c r="U751" s="73" t="str">
        <f>IFERROR(__xludf.DUMMYFUNCTION("""COMPUTED_VALUE""")," REMITTED ")</f>
        <v>REMITTED</v>
      </c>
      <c r="V751" s="2"/>
      <c r="W751" s="2">
        <f>IFERROR(__xludf.DUMMYFUNCTION("""COMPUTED_VALUE"""),1177.0)</f>
        <v>1177</v>
      </c>
      <c r="X751" s="2"/>
      <c r="Y751" s="2"/>
      <c r="Z751" s="2"/>
      <c r="AA751" s="2"/>
      <c r="AB751" s="2"/>
      <c r="AC751" s="2"/>
      <c r="AD751" s="2"/>
      <c r="AE751" s="2"/>
      <c r="AF751" s="2"/>
      <c r="AG751" s="2"/>
      <c r="AH751" s="2"/>
      <c r="AI751" s="2"/>
      <c r="AJ751" s="2" t="str">
        <f>IFERROR(__xludf.DUMMYFUNCTION("""COMPUTED_VALUE"""),"Bayanan Ii")</f>
        <v>Bayanan Ii</v>
      </c>
      <c r="AK751" s="2" t="str">
        <f>IFERROR(__xludf.DUMMYFUNCTION("""COMPUTED_VALUE"""),"Calapan City")</f>
        <v>Calapan City</v>
      </c>
      <c r="AL751" s="2" t="str">
        <f>IFERROR(__xludf.DUMMYFUNCTION("""COMPUTED_VALUE"""),"Oriental Mindoro")</f>
        <v>Oriental Mindoro</v>
      </c>
      <c r="AM751" s="2" t="str">
        <f>IFERROR(__xludf.DUMMYFUNCTION("""COMPUTED_VALUE"""),"4B")</f>
        <v>4B</v>
      </c>
      <c r="AN751" s="2" t="str">
        <f>IFERROR(__xludf.DUMMYFUNCTION("""COMPUTED_VALUE"""),"RCEF 23-08-20 Rebidding")</f>
        <v>RCEF 23-08-20 Rebidding</v>
      </c>
      <c r="AO751" s="2">
        <f>IFERROR(__xludf.DUMMYFUNCTION("""COMPUTED_VALUE"""),1.0)</f>
        <v>1</v>
      </c>
      <c r="AP751" s="2"/>
      <c r="AQ751" s="2"/>
      <c r="AR751" s="2"/>
      <c r="AS751" s="2"/>
      <c r="AT751" s="2"/>
      <c r="AU751" s="2"/>
      <c r="AV751" s="2"/>
      <c r="AW751" s="2"/>
      <c r="AX751" s="2"/>
      <c r="AY751" s="2"/>
      <c r="AZ751" s="2"/>
      <c r="BA751" s="2"/>
      <c r="BB751" s="2"/>
    </row>
    <row r="752">
      <c r="A752" s="2">
        <f>IFERROR(__xludf.DUMMYFUNCTION("""COMPUTED_VALUE"""),748.0)</f>
        <v>748</v>
      </c>
      <c r="B752" s="2" t="str">
        <f>IFERROR(__xludf.DUMMYFUNCTION("""COMPUTED_VALUE"""),"COMPLETED")</f>
        <v>COMPLETED</v>
      </c>
      <c r="C752" s="74">
        <f>IFERROR(__xludf.DUMMYFUNCTION("""COMPUTED_VALUE"""),45663.0)</f>
        <v>45663</v>
      </c>
      <c r="D752" s="71" t="str">
        <f>IFERROR(__xludf.DUMMYFUNCTION("""COMPUTED_VALUE"""),"BARANGAY BANUGAO FARMERS ASSOCIATION")</f>
        <v>BARANGAY BANUGAO FARMERS ASSOCIATION</v>
      </c>
      <c r="E752" s="71" t="str">
        <f>IFERROR(__xludf.DUMMYFUNCTION("""COMPUTED_VALUE"""),"Banugao, Infanta, Quezon")</f>
        <v>Banugao, Infanta, Quezon</v>
      </c>
      <c r="F752" s="2"/>
      <c r="G752" s="2"/>
      <c r="H752" s="2"/>
      <c r="I752" s="72" t="str">
        <f>IFERROR(__xludf.DUMMYFUNCTION("""COMPUTED_VALUE"""),"PMS")</f>
        <v>PMS</v>
      </c>
      <c r="J752" s="72" t="str">
        <f>IFERROR(__xludf.DUMMYFUNCTION("""COMPUTED_VALUE"""),"PMS")</f>
        <v>PMS</v>
      </c>
      <c r="K752" s="72" t="str">
        <f>IFERROR(__xludf.DUMMYFUNCTION("""COMPUTED_VALUE"""),"JTT: FOR PMS")</f>
        <v>JTT: FOR PMS</v>
      </c>
      <c r="L752" s="72" t="str">
        <f>IFERROR(__xludf.DUMMYFUNCTION("""COMPUTED_VALUE"""),"JTT: DONE 2ND PMS")</f>
        <v>JTT: DONE 2ND PMS</v>
      </c>
      <c r="M752" s="2"/>
      <c r="N752" s="2" t="str">
        <f>IFERROR(__xludf.DUMMYFUNCTION("""COMPUTED_VALUE"""),"PARTS: ENGINE OIL FILTER, HYDRAULIC FILTER,  4L ENGINE OIL")</f>
        <v>PARTS: ENGINE OIL FILTER, HYDRAULIC FILTER,  4L ENGINE OIL</v>
      </c>
      <c r="O752" s="2">
        <f>IFERROR(__xludf.DUMMYFUNCTION("""COMPUTED_VALUE"""),6.0)</f>
        <v>6</v>
      </c>
      <c r="P752" s="2"/>
      <c r="Q752" s="2"/>
      <c r="R752" s="74">
        <f>IFERROR(__xludf.DUMMYFUNCTION("""COMPUTED_VALUE"""),45667.0)</f>
        <v>45667</v>
      </c>
      <c r="S752" s="2" t="str">
        <f>IFERROR(__xludf.DUMMYFUNCTION("""COMPUTED_VALUE"""),"JTT")</f>
        <v>JTT</v>
      </c>
      <c r="T752" s="73">
        <f>IFERROR(__xludf.DUMMYFUNCTION("""COMPUTED_VALUE"""),5941.0)</f>
        <v>5941</v>
      </c>
      <c r="U752" s="73" t="str">
        <f>IFERROR(__xludf.DUMMYFUNCTION("""COMPUTED_VALUE""")," REMITTED ")</f>
        <v>REMITTED</v>
      </c>
      <c r="V752" s="2"/>
      <c r="W752" s="2">
        <f>IFERROR(__xludf.DUMMYFUNCTION("""COMPUTED_VALUE"""),1225.0)</f>
        <v>1225</v>
      </c>
      <c r="X752" s="2">
        <f>IFERROR(__xludf.DUMMYFUNCTION("""COMPUTED_VALUE"""),1305.0)</f>
        <v>1305</v>
      </c>
      <c r="Y752" s="2"/>
      <c r="Z752" s="2"/>
      <c r="AA752" s="2"/>
      <c r="AB752" s="2"/>
      <c r="AC752" s="2"/>
      <c r="AD752" s="2"/>
      <c r="AE752" s="2"/>
      <c r="AF752" s="2"/>
      <c r="AG752" s="2"/>
      <c r="AH752" s="2"/>
      <c r="AI752" s="2"/>
      <c r="AJ752" s="2" t="str">
        <f>IFERROR(__xludf.DUMMYFUNCTION("""COMPUTED_VALUE"""),"Banugao")</f>
        <v>Banugao</v>
      </c>
      <c r="AK752" s="2" t="str">
        <f>IFERROR(__xludf.DUMMYFUNCTION("""COMPUTED_VALUE"""),"Infanta")</f>
        <v>Infanta</v>
      </c>
      <c r="AL752" s="2" t="str">
        <f>IFERROR(__xludf.DUMMYFUNCTION("""COMPUTED_VALUE"""),"Quezon")</f>
        <v>Quezon</v>
      </c>
      <c r="AM752" s="2" t="str">
        <f>IFERROR(__xludf.DUMMYFUNCTION("""COMPUTED_VALUE"""),"4A")</f>
        <v>4A</v>
      </c>
      <c r="AN752" s="2" t="str">
        <f>IFERROR(__xludf.DUMMYFUNCTION("""COMPUTED_VALUE"""),"RCEF 23-08-20 Rebidding")</f>
        <v>RCEF 23-08-20 Rebidding</v>
      </c>
      <c r="AO752" s="2">
        <f>IFERROR(__xludf.DUMMYFUNCTION("""COMPUTED_VALUE"""),1.0)</f>
        <v>1</v>
      </c>
      <c r="AP752" s="2"/>
      <c r="AQ752" s="2"/>
      <c r="AR752" s="2"/>
      <c r="AS752" s="2"/>
      <c r="AT752" s="2"/>
      <c r="AU752" s="2"/>
      <c r="AV752" s="2"/>
      <c r="AW752" s="2"/>
      <c r="AX752" s="2"/>
      <c r="AY752" s="2"/>
      <c r="AZ752" s="2"/>
      <c r="BA752" s="2"/>
      <c r="BB752" s="2"/>
    </row>
    <row r="753">
      <c r="A753" s="2">
        <f>IFERROR(__xludf.DUMMYFUNCTION("""COMPUTED_VALUE"""),749.0)</f>
        <v>749</v>
      </c>
      <c r="B753" s="2" t="str">
        <f>IFERROR(__xludf.DUMMYFUNCTION("""COMPUTED_VALUE"""),"COMPLETED")</f>
        <v>COMPLETED</v>
      </c>
      <c r="C753" s="74">
        <f>IFERROR(__xludf.DUMMYFUNCTION("""COMPUTED_VALUE"""),45663.0)</f>
        <v>45663</v>
      </c>
      <c r="D753" s="71" t="str">
        <f>IFERROR(__xludf.DUMMYFUNCTION("""COMPUTED_VALUE"""),"Free Farmers Multi Purpose Cooperative")</f>
        <v>Free Farmers Multi Purpose Cooperative</v>
      </c>
      <c r="E753" s="71" t="str">
        <f>IFERROR(__xludf.DUMMYFUNCTION("""COMPUTED_VALUE"""),"SAYAGADEN, CABUGAO, ILOCOS SUR")</f>
        <v>SAYAGADEN, CABUGAO, ILOCOS SUR</v>
      </c>
      <c r="F753" s="2" t="str">
        <f>IFERROR(__xludf.DUMMYFUNCTION("""COMPUTED_VALUE"""),"zosimo sayaboc")</f>
        <v>zosimo sayaboc</v>
      </c>
      <c r="G753" s="2">
        <f>IFERROR(__xludf.DUMMYFUNCTION("""COMPUTED_VALUE"""),9.266039607E9)</f>
        <v>9266039607</v>
      </c>
      <c r="H753" s="2">
        <f>IFERROR(__xludf.DUMMYFUNCTION("""COMPUTED_VALUE"""),364.0)</f>
        <v>364</v>
      </c>
      <c r="I753" s="72" t="str">
        <f>IFERROR(__xludf.DUMMYFUNCTION("""COMPUTED_VALUE"""),"PMS")</f>
        <v>PMS</v>
      </c>
      <c r="J753" s="72" t="str">
        <f>IFERROR(__xludf.DUMMYFUNCTION("""COMPUTED_VALUE"""),"PMS")</f>
        <v>PMS</v>
      </c>
      <c r="K753" s="72" t="str">
        <f>IFERROR(__xludf.DUMMYFUNCTION("""COMPUTED_VALUE"""),"JHP:  FOR CHANGE OIL")</f>
        <v>JHP:  FOR CHANGE OIL</v>
      </c>
      <c r="L753" s="72" t="str">
        <f>IFERROR(__xludf.DUMMYFUNCTION("""COMPUTED_VALUE"""),"DSD: 2ND PMS DONE")</f>
        <v>DSD: 2ND PMS DONE</v>
      </c>
      <c r="M753" s="2"/>
      <c r="N753" s="2" t="str">
        <f>IFERROR(__xludf.DUMMYFUNCTION("""COMPUTED_VALUE"""),"PARTS: OIL FILTER, HYDRAULIC FILTER")</f>
        <v>PARTS: OIL FILTER, HYDRAULIC FILTER</v>
      </c>
      <c r="O753" s="2">
        <f>IFERROR(__xludf.DUMMYFUNCTION("""COMPUTED_VALUE"""),1215.0)</f>
        <v>1215</v>
      </c>
      <c r="P753" s="2"/>
      <c r="Q753" s="2"/>
      <c r="R753" s="74">
        <f>IFERROR(__xludf.DUMMYFUNCTION("""COMPUTED_VALUE"""),45670.0)</f>
        <v>45670</v>
      </c>
      <c r="S753" s="2" t="str">
        <f>IFERROR(__xludf.DUMMYFUNCTION("""COMPUTED_VALUE"""),"JHP/ACS/DSD")</f>
        <v>JHP/ACS/DSD</v>
      </c>
      <c r="T753" s="73">
        <f>IFERROR(__xludf.DUMMYFUNCTION("""COMPUTED_VALUE"""),4400.0)</f>
        <v>4400</v>
      </c>
      <c r="U753" s="73" t="str">
        <f>IFERROR(__xludf.DUMMYFUNCTION("""COMPUTED_VALUE""")," REMITTED ")</f>
        <v>REMITTED</v>
      </c>
      <c r="V753" s="2"/>
      <c r="W753" s="2">
        <f>IFERROR(__xludf.DUMMYFUNCTION("""COMPUTED_VALUE"""),1477.0)</f>
        <v>1477</v>
      </c>
      <c r="X753" s="2"/>
      <c r="Y753" s="2"/>
      <c r="Z753" s="2"/>
      <c r="AA753" s="2"/>
      <c r="AB753" s="2"/>
      <c r="AC753" s="2"/>
      <c r="AD753" s="2"/>
      <c r="AE753" s="2"/>
      <c r="AF753" s="2"/>
      <c r="AG753" s="2"/>
      <c r="AH753" s="2"/>
      <c r="AI753" s="2"/>
      <c r="AJ753" s="2" t="str">
        <f>IFERROR(__xludf.DUMMYFUNCTION("""COMPUTED_VALUE"""),"Sayagaden")</f>
        <v>Sayagaden</v>
      </c>
      <c r="AK753" s="2" t="str">
        <f>IFERROR(__xludf.DUMMYFUNCTION("""COMPUTED_VALUE"""),"Cabugao")</f>
        <v>Cabugao</v>
      </c>
      <c r="AL753" s="2" t="str">
        <f>IFERROR(__xludf.DUMMYFUNCTION("""COMPUTED_VALUE"""),"Ilocos Sur")</f>
        <v>Ilocos Sur</v>
      </c>
      <c r="AM753" s="2">
        <f>IFERROR(__xludf.DUMMYFUNCTION("""COMPUTED_VALUE"""),1.0)</f>
        <v>1</v>
      </c>
      <c r="AN753" s="2" t="str">
        <f>IFERROR(__xludf.DUMMYFUNCTION("""COMPUTED_VALUE"""),"RCEF 23-09-21 Rebidding")</f>
        <v>RCEF 23-09-21 Rebidding</v>
      </c>
      <c r="AO753" s="2">
        <f>IFERROR(__xludf.DUMMYFUNCTION("""COMPUTED_VALUE"""),2.0)</f>
        <v>2</v>
      </c>
      <c r="AP753" s="2"/>
      <c r="AQ753" s="2"/>
      <c r="AR753" s="2"/>
      <c r="AS753" s="2"/>
      <c r="AT753" s="2"/>
      <c r="AU753" s="2"/>
      <c r="AV753" s="2"/>
      <c r="AW753" s="2"/>
      <c r="AX753" s="2"/>
      <c r="AY753" s="2"/>
      <c r="AZ753" s="2"/>
      <c r="BA753" s="2"/>
      <c r="BB753" s="2"/>
    </row>
    <row r="754">
      <c r="A754" s="2">
        <f>IFERROR(__xludf.DUMMYFUNCTION("""COMPUTED_VALUE"""),750.0)</f>
        <v>750</v>
      </c>
      <c r="B754" s="2" t="str">
        <f>IFERROR(__xludf.DUMMYFUNCTION("""COMPUTED_VALUE"""),"COMPLETED")</f>
        <v>COMPLETED</v>
      </c>
      <c r="C754" s="74">
        <f>IFERROR(__xludf.DUMMYFUNCTION("""COMPUTED_VALUE"""),45663.0)</f>
        <v>45663</v>
      </c>
      <c r="D754" s="71" t="str">
        <f>IFERROR(__xludf.DUMMYFUNCTION("""COMPUTED_VALUE"""),"POPOLON FARMERS ASSOCIATION, PALAYAN CITY")</f>
        <v>POPOLON FARMERS ASSOCIATION, PALAYAN CITY</v>
      </c>
      <c r="E754" s="71" t="str">
        <f>IFERROR(__xludf.DUMMYFUNCTION("""COMPUTED_VALUE"""),"Popolon Pagas, Palayan City, NUEVA ECIJA")</f>
        <v>Popolon Pagas, Palayan City, NUEVA ECIJA</v>
      </c>
      <c r="F754" s="2" t="str">
        <f>IFERROR(__xludf.DUMMYFUNCTION("""COMPUTED_VALUE"""),"Joseph limos")</f>
        <v>Joseph limos</v>
      </c>
      <c r="G754" s="2">
        <f>IFERROR(__xludf.DUMMYFUNCTION("""COMPUTED_VALUE"""),9.125802914E9)</f>
        <v>9125802914</v>
      </c>
      <c r="H754" s="2">
        <f>IFERROR(__xludf.DUMMYFUNCTION("""COMPUTED_VALUE"""),230.0)</f>
        <v>230</v>
      </c>
      <c r="I754" s="72" t="str">
        <f>IFERROR(__xludf.DUMMYFUNCTION("""COMPUTED_VALUE"""),"PMS")</f>
        <v>PMS</v>
      </c>
      <c r="J754" s="72" t="str">
        <f>IFERROR(__xludf.DUMMYFUNCTION("""COMPUTED_VALUE"""),"PMS")</f>
        <v>PMS</v>
      </c>
      <c r="K754" s="72" t="str">
        <f>IFERROR(__xludf.DUMMYFUNCTION("""COMPUTED_VALUE"""),"JHP: FOR CHANGE OIL")</f>
        <v>JHP: FOR CHANGE OIL</v>
      </c>
      <c r="L754" s="72" t="str">
        <f>IFERROR(__xludf.DUMMYFUNCTION("""COMPUTED_VALUE"""),"ACS: 2ND PMS DONE")</f>
        <v>ACS: 2ND PMS DONE</v>
      </c>
      <c r="M754" s="2"/>
      <c r="N754" s="2" t="str">
        <f>IFERROR(__xludf.DUMMYFUNCTION("""COMPUTED_VALUE"""),"PARTS: 40L HYDRAULIC OIL, 5L ENGINE OIL, ENGINE OIL FILTER, HYDRAULIC FILTER")</f>
        <v>PARTS: 40L HYDRAULIC OIL, 5L ENGINE OIL, ENGINE OIL FILTER, HYDRAULIC FILTER</v>
      </c>
      <c r="O754" s="2">
        <f>IFERROR(__xludf.DUMMYFUNCTION("""COMPUTED_VALUE"""),1213.0)</f>
        <v>1213</v>
      </c>
      <c r="P754" s="2"/>
      <c r="Q754" s="2" t="str">
        <f>IFERROR(__xludf.DUMMYFUNCTION("""COMPUTED_VALUE"""),"Y")</f>
        <v>Y</v>
      </c>
      <c r="R754" s="74">
        <f>IFERROR(__xludf.DUMMYFUNCTION("""COMPUTED_VALUE"""),45667.0)</f>
        <v>45667</v>
      </c>
      <c r="S754" s="2" t="str">
        <f>IFERROR(__xludf.DUMMYFUNCTION("""COMPUTED_VALUE"""),"ACS/JHP")</f>
        <v>ACS/JHP</v>
      </c>
      <c r="T754" s="73">
        <f>IFERROR(__xludf.DUMMYFUNCTION("""COMPUTED_VALUE"""),17200.0)</f>
        <v>17200</v>
      </c>
      <c r="U754" s="73" t="str">
        <f>IFERROR(__xludf.DUMMYFUNCTION("""COMPUTED_VALUE""")," REMITTED ")</f>
        <v>REMITTED</v>
      </c>
      <c r="V754" s="2"/>
      <c r="W754" s="2"/>
      <c r="X754" s="2"/>
      <c r="Y754" s="2"/>
      <c r="Z754" s="2"/>
      <c r="AA754" s="2"/>
      <c r="AB754" s="2"/>
      <c r="AC754" s="2"/>
      <c r="AD754" s="2"/>
      <c r="AE754" s="2"/>
      <c r="AF754" s="2"/>
      <c r="AG754" s="2"/>
      <c r="AH754" s="2"/>
      <c r="AI754" s="2"/>
      <c r="AJ754" s="2" t="str">
        <f>IFERROR(__xludf.DUMMYFUNCTION("""COMPUTED_VALUE"""),"Popolon Pagas")</f>
        <v>Popolon Pagas</v>
      </c>
      <c r="AK754" s="2" t="str">
        <f>IFERROR(__xludf.DUMMYFUNCTION("""COMPUTED_VALUE"""),"Palayan City")</f>
        <v>Palayan City</v>
      </c>
      <c r="AL754" s="2" t="str">
        <f>IFERROR(__xludf.DUMMYFUNCTION("""COMPUTED_VALUE"""),"Nueva Ecija")</f>
        <v>Nueva Ecija</v>
      </c>
      <c r="AM754" s="2">
        <f>IFERROR(__xludf.DUMMYFUNCTION("""COMPUTED_VALUE"""),3.0)</f>
        <v>3</v>
      </c>
      <c r="AN754" s="2" t="str">
        <f>IFERROR(__xludf.DUMMYFUNCTION("""COMPUTED_VALUE"""),"RCEF 23-09-21 Rebidding")</f>
        <v>RCEF 23-09-21 Rebidding</v>
      </c>
      <c r="AO754" s="2">
        <f>IFERROR(__xludf.DUMMYFUNCTION("""COMPUTED_VALUE"""),3.0)</f>
        <v>3</v>
      </c>
      <c r="AP754" s="2"/>
      <c r="AQ754" s="2"/>
      <c r="AR754" s="2"/>
      <c r="AS754" s="2"/>
      <c r="AT754" s="2"/>
      <c r="AU754" s="2"/>
      <c r="AV754" s="2"/>
      <c r="AW754" s="2"/>
      <c r="AX754" s="2"/>
      <c r="AY754" s="2"/>
      <c r="AZ754" s="2"/>
      <c r="BA754" s="2"/>
      <c r="BB754" s="2"/>
    </row>
    <row r="755">
      <c r="A755" s="2">
        <f>IFERROR(__xludf.DUMMYFUNCTION("""COMPUTED_VALUE"""),751.0)</f>
        <v>751</v>
      </c>
      <c r="B755" s="2" t="str">
        <f>IFERROR(__xludf.DUMMYFUNCTION("""COMPUTED_VALUE"""),"COMPLETED")</f>
        <v>COMPLETED</v>
      </c>
      <c r="C755" s="74">
        <f>IFERROR(__xludf.DUMMYFUNCTION("""COMPUTED_VALUE"""),45667.0)</f>
        <v>45667</v>
      </c>
      <c r="D755" s="71" t="str">
        <f>IFERROR(__xludf.DUMMYFUNCTION("""COMPUTED_VALUE"""),"MUNTING NAYON AGRICULTURAL PRODUCERS ASSOCIATION (MNAPA))")</f>
        <v>MUNTING NAYON AGRICULTURAL PRODUCERS ASSOCIATION (MNAPA))</v>
      </c>
      <c r="E755" s="71" t="str">
        <f>IFERROR(__xludf.DUMMYFUNCTION("""COMPUTED_VALUE"""),", Penaranda, NUEVA ECIJA")</f>
        <v>, Penaranda, NUEVA ECIJA</v>
      </c>
      <c r="F755" s="2"/>
      <c r="G755" s="2"/>
      <c r="H755" s="2">
        <f>IFERROR(__xludf.DUMMYFUNCTION("""COMPUTED_VALUE"""),63.0)</f>
        <v>63</v>
      </c>
      <c r="I755" s="72" t="str">
        <f>IFERROR(__xludf.DUMMYFUNCTION("""COMPUTED_VALUE"""),"REPAIR - TRACTOR")</f>
        <v>REPAIR - TRACTOR</v>
      </c>
      <c r="J755" s="72" t="str">
        <f>IFERROR(__xludf.DUMMYFUNCTION("""COMPUTED_VALUE"""),"PTO - Valve Repair")</f>
        <v>PTO - Valve Repair</v>
      </c>
      <c r="K755" s="72" t="str">
        <f>IFERROR(__xludf.DUMMYFUNCTION("""COMPUTED_VALUE"""),"ACS: PTO NOT WORKING")</f>
        <v>ACS: PTO NOT WORKING</v>
      </c>
      <c r="L755" s="72" t="str">
        <f>IFERROR(__xludf.DUMMYFUNCTION("""COMPUTED_VALUE"""),"ACS: ADJUST PTO SENSOR AND CHAGE OIL")</f>
        <v>ACS: ADJUST PTO SENSOR AND CHAGE OIL</v>
      </c>
      <c r="M755" s="2"/>
      <c r="N755" s="2" t="str">
        <f>IFERROR(__xludf.DUMMYFUNCTION("""COMPUTED_VALUE"""),"PARTS: OIL FILTER")</f>
        <v>PARTS: OIL FILTER</v>
      </c>
      <c r="O755" s="2">
        <f>IFERROR(__xludf.DUMMYFUNCTION("""COMPUTED_VALUE"""),1214.0)</f>
        <v>1214</v>
      </c>
      <c r="P755" s="2"/>
      <c r="Q755" s="2"/>
      <c r="R755" s="74">
        <f>IFERROR(__xludf.DUMMYFUNCTION("""COMPUTED_VALUE"""),45667.0)</f>
        <v>45667</v>
      </c>
      <c r="S755" s="2" t="str">
        <f>IFERROR(__xludf.DUMMYFUNCTION("""COMPUTED_VALUE"""),"ACS/JHP")</f>
        <v>ACS/JHP</v>
      </c>
      <c r="T755" s="73">
        <f>IFERROR(__xludf.DUMMYFUNCTION("""COMPUTED_VALUE"""),1600.0)</f>
        <v>1600</v>
      </c>
      <c r="U755" s="73" t="str">
        <f>IFERROR(__xludf.DUMMYFUNCTION("""COMPUTED_VALUE""")," REMITTED ")</f>
        <v>REMITTED</v>
      </c>
      <c r="V755" s="2"/>
      <c r="W755" s="2"/>
      <c r="X755" s="2"/>
      <c r="Y755" s="2"/>
      <c r="Z755" s="2"/>
      <c r="AA755" s="2"/>
      <c r="AB755" s="2"/>
      <c r="AC755" s="2"/>
      <c r="AD755" s="2"/>
      <c r="AE755" s="2"/>
      <c r="AF755" s="2"/>
      <c r="AG755" s="2"/>
      <c r="AH755" s="2"/>
      <c r="AI755" s="2"/>
      <c r="AJ755" s="2" t="str">
        <f>IFERROR(__xludf.DUMMYFUNCTION("""COMPUTED_VALUE"""),"")</f>
        <v/>
      </c>
      <c r="AK755" s="2" t="str">
        <f>IFERROR(__xludf.DUMMYFUNCTION("""COMPUTED_VALUE"""),"Penaranda")</f>
        <v>Penaranda</v>
      </c>
      <c r="AL755" s="2" t="str">
        <f>IFERROR(__xludf.DUMMYFUNCTION("""COMPUTED_VALUE"""),"Nueva Ecija")</f>
        <v>Nueva Ecija</v>
      </c>
      <c r="AM755" s="2">
        <f>IFERROR(__xludf.DUMMYFUNCTION("""COMPUTED_VALUE"""),3.0)</f>
        <v>3</v>
      </c>
      <c r="AN755" s="2" t="str">
        <f>IFERROR(__xludf.DUMMYFUNCTION("""COMPUTED_VALUE"""),"RCEF 23-09-21 Rebidding")</f>
        <v>RCEF 23-09-21 Rebidding</v>
      </c>
      <c r="AO755" s="2">
        <f>IFERROR(__xludf.DUMMYFUNCTION("""COMPUTED_VALUE"""),3.0)</f>
        <v>3</v>
      </c>
      <c r="AP755" s="2"/>
      <c r="AQ755" s="2"/>
      <c r="AR755" s="2"/>
      <c r="AS755" s="2"/>
      <c r="AT755" s="2"/>
      <c r="AU755" s="2"/>
      <c r="AV755" s="2"/>
      <c r="AW755" s="2"/>
      <c r="AX755" s="2"/>
      <c r="AY755" s="2"/>
      <c r="AZ755" s="2"/>
      <c r="BA755" s="2"/>
      <c r="BB755" s="2"/>
    </row>
    <row r="756">
      <c r="A756" s="2">
        <f>IFERROR(__xludf.DUMMYFUNCTION("""COMPUTED_VALUE"""),752.0)</f>
        <v>752</v>
      </c>
      <c r="B756" s="2" t="str">
        <f>IFERROR(__xludf.DUMMYFUNCTION("""COMPUTED_VALUE"""),"COMPLETED")</f>
        <v>COMPLETED</v>
      </c>
      <c r="C756" s="74">
        <f>IFERROR(__xludf.DUMMYFUNCTION("""COMPUTED_VALUE"""),45670.0)</f>
        <v>45670</v>
      </c>
      <c r="D756" s="71" t="str">
        <f>IFERROR(__xludf.DUMMYFUNCTION("""COMPUTED_VALUE"""),"UNITED IGBONGLO FARMERS ASSOCIATION (UNIFA), INC.")</f>
        <v>UNITED IGBONGLO FARMERS ASSOCIATION (UNIFA), INC.</v>
      </c>
      <c r="E756" s="71" t="str">
        <f>IFERROR(__xludf.DUMMYFUNCTION("""COMPUTED_VALUE"""),"Igbonglo, San Jose, ANTIQUE")</f>
        <v>Igbonglo, San Jose, ANTIQUE</v>
      </c>
      <c r="F756" s="2" t="str">
        <f>IFERROR(__xludf.DUMMYFUNCTION("""COMPUTED_VALUE"""),"RENE A. SIBA")</f>
        <v>RENE A. SIBA</v>
      </c>
      <c r="G756" s="2">
        <f>IFERROR(__xludf.DUMMYFUNCTION("""COMPUTED_VALUE"""),9.653946886E9)</f>
        <v>9653946886</v>
      </c>
      <c r="H756" s="2"/>
      <c r="I756" s="72" t="str">
        <f>IFERROR(__xludf.DUMMYFUNCTION("""COMPUTED_VALUE"""),"REPAIR - TRACTOR")</f>
        <v>REPAIR - TRACTOR</v>
      </c>
      <c r="J756" s="72" t="str">
        <f>IFERROR(__xludf.DUMMYFUNCTION("""COMPUTED_VALUE"""),"CHECK UP/ REPAIR")</f>
        <v>CHECK UP/ REPAIR</v>
      </c>
      <c r="K756" s="72" t="str">
        <f>IFERROR(__xludf.DUMMYFUNCTION("""COMPUTED_VALUE"""),"ROTAVATOR PROBLEM, MINSAN MAHINA ANG IKOT
PARTS: SOLINOID PTO VALVE, PTO CLUTCH PACK")</f>
        <v>ROTAVATOR PROBLEM, MINSAN MAHINA ANG IKOT
PARTS: SOLINOID PTO VALVE, PTO CLUTCH PACK</v>
      </c>
      <c r="L756" s="72" t="str">
        <f>IFERROR(__xludf.DUMMYFUNCTION("""COMPUTED_VALUE"""),"EGT: GENERAL PMS, CHANGE OIL ENGINE, TRANSMISSION,  FRONT DRIVE, AND ROTAVATOR")</f>
        <v>EGT: GENERAL PMS, CHANGE OIL ENGINE, TRANSMISSION,  FRONT DRIVE, AND ROTAVATOR</v>
      </c>
      <c r="M756" s="2"/>
      <c r="N756" s="2" t="str">
        <f>IFERROR(__xludf.DUMMYFUNCTION("""COMPUTED_VALUE"""),"PARTS: ENGINE OIL FILTER,  HYDRAULIC FILTER")</f>
        <v>PARTS: ENGINE OIL FILTER,  HYDRAULIC FILTER</v>
      </c>
      <c r="O756" s="2">
        <f>IFERROR(__xludf.DUMMYFUNCTION("""COMPUTED_VALUE"""),1341.0)</f>
        <v>1341</v>
      </c>
      <c r="P756" s="2"/>
      <c r="Q756" s="2"/>
      <c r="R756" s="74">
        <f>IFERROR(__xludf.DUMMYFUNCTION("""COMPUTED_VALUE"""),45686.0)</f>
        <v>45686</v>
      </c>
      <c r="S756" s="2" t="str">
        <f>IFERROR(__xludf.DUMMYFUNCTION("""COMPUTED_VALUE"""),"EGT/DRM")</f>
        <v>EGT/DRM</v>
      </c>
      <c r="T756" s="73">
        <f>IFERROR(__xludf.DUMMYFUNCTION("""COMPUTED_VALUE"""),4286.0)</f>
        <v>4286</v>
      </c>
      <c r="U756" s="73" t="str">
        <f>IFERROR(__xludf.DUMMYFUNCTION("""COMPUTED_VALUE""")," REMITTED ")</f>
        <v>REMITTED</v>
      </c>
      <c r="V756" s="2"/>
      <c r="W756" s="2"/>
      <c r="X756" s="2"/>
      <c r="Y756" s="2"/>
      <c r="Z756" s="2"/>
      <c r="AA756" s="2"/>
      <c r="AB756" s="2"/>
      <c r="AC756" s="2"/>
      <c r="AD756" s="2"/>
      <c r="AE756" s="2"/>
      <c r="AF756" s="2"/>
      <c r="AG756" s="2"/>
      <c r="AH756" s="2"/>
      <c r="AI756" s="2"/>
      <c r="AJ756" s="2" t="str">
        <f>IFERROR(__xludf.DUMMYFUNCTION("""COMPUTED_VALUE"""),"Igbonglo")</f>
        <v>Igbonglo</v>
      </c>
      <c r="AK756" s="2" t="str">
        <f>IFERROR(__xludf.DUMMYFUNCTION("""COMPUTED_VALUE"""),"San Jose")</f>
        <v>San Jose</v>
      </c>
      <c r="AL756" s="2" t="str">
        <f>IFERROR(__xludf.DUMMYFUNCTION("""COMPUTED_VALUE"""),"Antique")</f>
        <v>Antique</v>
      </c>
      <c r="AM756" s="2">
        <f>IFERROR(__xludf.DUMMYFUNCTION("""COMPUTED_VALUE"""),6.0)</f>
        <v>6</v>
      </c>
      <c r="AN756" s="2" t="str">
        <f>IFERROR(__xludf.DUMMYFUNCTION("""COMPUTED_VALUE"""),"RCEF 23-09-21 Rebidding")</f>
        <v>RCEF 23-09-21 Rebidding</v>
      </c>
      <c r="AO756" s="2">
        <f>IFERROR(__xludf.DUMMYFUNCTION("""COMPUTED_VALUE"""),4.0)</f>
        <v>4</v>
      </c>
      <c r="AP756" s="2"/>
      <c r="AQ756" s="2"/>
      <c r="AR756" s="2"/>
      <c r="AS756" s="2"/>
      <c r="AT756" s="2"/>
      <c r="AU756" s="2"/>
      <c r="AV756" s="2"/>
      <c r="AW756" s="2"/>
      <c r="AX756" s="2"/>
      <c r="AY756" s="2"/>
      <c r="AZ756" s="2"/>
      <c r="BA756" s="2"/>
      <c r="BB756" s="2"/>
    </row>
    <row r="757">
      <c r="A757" s="2">
        <f>IFERROR(__xludf.DUMMYFUNCTION("""COMPUTED_VALUE"""),753.0)</f>
        <v>753</v>
      </c>
      <c r="B757" s="2" t="str">
        <f>IFERROR(__xludf.DUMMYFUNCTION("""COMPUTED_VALUE"""),"COMPLETED")</f>
        <v>COMPLETED</v>
      </c>
      <c r="C757" s="74">
        <f>IFERROR(__xludf.DUMMYFUNCTION("""COMPUTED_VALUE"""),45670.0)</f>
        <v>45670</v>
      </c>
      <c r="D757" s="71" t="str">
        <f>IFERROR(__xludf.DUMMYFUNCTION("""COMPUTED_VALUE"""),"Inabasan Small Farmers Association")</f>
        <v>Inabasan Small Farmers Association</v>
      </c>
      <c r="E757" s="71" t="str">
        <f>IFERROR(__xludf.DUMMYFUNCTION("""COMPUTED_VALUE"""),"Inabasan, San Jose, ANTIQUE")</f>
        <v>Inabasan, San Jose, ANTIQUE</v>
      </c>
      <c r="F757" s="2" t="str">
        <f>IFERROR(__xludf.DUMMYFUNCTION("""COMPUTED_VALUE"""),"Joebert E. Daniel")</f>
        <v>Joebert E. Daniel</v>
      </c>
      <c r="G757" s="2" t="str">
        <f>IFERROR(__xludf.DUMMYFUNCTION("""COMPUTED_VALUE"""),"0955-987-8800")</f>
        <v>0955-987-8800</v>
      </c>
      <c r="H757" s="2"/>
      <c r="I757" s="72" t="str">
        <f>IFERROR(__xludf.DUMMYFUNCTION("""COMPUTED_VALUE"""),"SPARE PARTS ACQUISITION")</f>
        <v>SPARE PARTS ACQUISITION</v>
      </c>
      <c r="J757" s="72" t="str">
        <f>IFERROR(__xludf.DUMMYFUNCTION("""COMPUTED_VALUE"""),"PRICE")</f>
        <v>PRICE</v>
      </c>
      <c r="K757" s="72" t="str">
        <f>IFERROR(__xludf.DUMMYFUNCTION("""COMPUTED_VALUE"""),"PHILMECH: PRICE OF 2 CENTER DISC (39,800)")</f>
        <v>PHILMECH: PRICE OF 2 CENTER DISC (39,800)</v>
      </c>
      <c r="L757" s="72" t="str">
        <f>IFERROR(__xludf.DUMMYFUNCTION("""COMPUTED_VALUE"""),"OK NA PINA WELDING NALANG NILA")</f>
        <v>OK NA PINA WELDING NALANG NILA</v>
      </c>
      <c r="M757" s="2"/>
      <c r="N757" s="2"/>
      <c r="O757" s="2" t="str">
        <f>IFERROR(__xludf.DUMMYFUNCTION("""COMPUTED_VALUE"""),"N/A")</f>
        <v>N/A</v>
      </c>
      <c r="P757" s="2"/>
      <c r="Q757" s="2"/>
      <c r="R757" s="74">
        <f>IFERROR(__xludf.DUMMYFUNCTION("""COMPUTED_VALUE"""),45693.0)</f>
        <v>45693</v>
      </c>
      <c r="S757" s="2" t="str">
        <f>IFERROR(__xludf.DUMMYFUNCTION("""COMPUTED_VALUE"""),"EGT/DRM")</f>
        <v>EGT/DRM</v>
      </c>
      <c r="T757" s="73" t="str">
        <f>IFERROR(__xludf.DUMMYFUNCTION("""COMPUTED_VALUE""")," N/A ")</f>
        <v>N/A</v>
      </c>
      <c r="U757" s="73" t="str">
        <f>IFERROR(__xludf.DUMMYFUNCTION("""COMPUTED_VALUE""")," NO CHARGE ")</f>
        <v>NO CHARGE</v>
      </c>
      <c r="V757" s="2"/>
      <c r="W757" s="2" t="str">
        <f>IFERROR(__xludf.DUMMYFUNCTION("""COMPUTED_VALUE"""),"N/A")</f>
        <v>N/A</v>
      </c>
      <c r="X757" s="2" t="str">
        <f>IFERROR(__xludf.DUMMYFUNCTION("""COMPUTED_VALUE"""),"N/A")</f>
        <v>N/A</v>
      </c>
      <c r="Y757" s="2"/>
      <c r="Z757" s="2"/>
      <c r="AA757" s="2"/>
      <c r="AB757" s="2"/>
      <c r="AC757" s="2"/>
      <c r="AD757" s="2"/>
      <c r="AE757" s="2"/>
      <c r="AF757" s="2"/>
      <c r="AG757" s="2"/>
      <c r="AH757" s="2"/>
      <c r="AI757" s="2"/>
      <c r="AJ757" s="2" t="str">
        <f>IFERROR(__xludf.DUMMYFUNCTION("""COMPUTED_VALUE"""),"Inabasan")</f>
        <v>Inabasan</v>
      </c>
      <c r="AK757" s="2" t="str">
        <f>IFERROR(__xludf.DUMMYFUNCTION("""COMPUTED_VALUE"""),"San Jose")</f>
        <v>San Jose</v>
      </c>
      <c r="AL757" s="2" t="str">
        <f>IFERROR(__xludf.DUMMYFUNCTION("""COMPUTED_VALUE"""),"Antique")</f>
        <v>Antique</v>
      </c>
      <c r="AM757" s="2">
        <f>IFERROR(__xludf.DUMMYFUNCTION("""COMPUTED_VALUE"""),6.0)</f>
        <v>6</v>
      </c>
      <c r="AN757" s="2" t="str">
        <f>IFERROR(__xludf.DUMMYFUNCTION("""COMPUTED_VALUE"""),"RCEF 23-09-21 Rebidding")</f>
        <v>RCEF 23-09-21 Rebidding</v>
      </c>
      <c r="AO757" s="2">
        <f>IFERROR(__xludf.DUMMYFUNCTION("""COMPUTED_VALUE"""),4.0)</f>
        <v>4</v>
      </c>
      <c r="AP757" s="2"/>
      <c r="AQ757" s="2"/>
      <c r="AR757" s="2"/>
      <c r="AS757" s="2"/>
      <c r="AT757" s="2"/>
      <c r="AU757" s="2"/>
      <c r="AV757" s="2"/>
      <c r="AW757" s="2"/>
      <c r="AX757" s="2"/>
      <c r="AY757" s="2"/>
      <c r="AZ757" s="2"/>
      <c r="BA757" s="2"/>
      <c r="BB757" s="2"/>
    </row>
    <row r="758">
      <c r="A758" s="2">
        <f>IFERROR(__xludf.DUMMYFUNCTION("""COMPUTED_VALUE"""),754.0)</f>
        <v>754</v>
      </c>
      <c r="B758" s="2" t="str">
        <f>IFERROR(__xludf.DUMMYFUNCTION("""COMPUTED_VALUE"""),"COMPLETED")</f>
        <v>COMPLETED</v>
      </c>
      <c r="C758" s="74">
        <f>IFERROR(__xludf.DUMMYFUNCTION("""COMPUTED_VALUE"""),45671.0)</f>
        <v>45671</v>
      </c>
      <c r="D758" s="71" t="str">
        <f>IFERROR(__xludf.DUMMYFUNCTION("""COMPUTED_VALUE"""),"GINTONG BUTIL FARMERS ASSOCIATION")</f>
        <v>GINTONG BUTIL FARMERS ASSOCIATION</v>
      </c>
      <c r="E758" s="71" t="str">
        <f>IFERROR(__xludf.DUMMYFUNCTION("""COMPUTED_VALUE"""),"PINAGTURIHAN, SANTA CRUZ, OCCIDENTAL MINDORO")</f>
        <v>PINAGTURIHAN, SANTA CRUZ, OCCIDENTAL MINDORO</v>
      </c>
      <c r="F758" s="2" t="str">
        <f>IFERROR(__xludf.DUMMYFUNCTION("""COMPUTED_VALUE"""),"Rodolfo Patal jr.")</f>
        <v>Rodolfo Patal jr.</v>
      </c>
      <c r="G758" s="2"/>
      <c r="H758" s="2"/>
      <c r="I758" s="72" t="str">
        <f>IFERROR(__xludf.DUMMYFUNCTION("""COMPUTED_VALUE"""),"REPAIR - TRACTOR")</f>
        <v>REPAIR - TRACTOR</v>
      </c>
      <c r="J758" s="72" t="str">
        <f>IFERROR(__xludf.DUMMYFUNCTION("""COMPUTED_VALUE"""),"Front Axle - Leaking")</f>
        <v>Front Axle - Leaking</v>
      </c>
      <c r="K758" s="72" t="str">
        <f>IFERROR(__xludf.DUMMYFUNCTION("""COMPUTED_VALUE"""),"RBS: Report leaking ung dalawang gulong s unahan,nid palitan ng oil seal
-bearing s unahang gulong kumakalog
PARTS: 3 FRONT AXLE OIL SEAL")</f>
        <v>RBS: Report leaking ung dalawang gulong s unahan,nid palitan ng oil seal
-bearing s unahang gulong kumakalog
PARTS: 3 FRONT AXLE OIL SEAL</v>
      </c>
      <c r="L758" s="72" t="str">
        <f>IFERROR(__xludf.DUMMYFUNCTION("""COMPUTED_VALUE"""),"RCG: REPLACE FRONT AXLE OIL SEAL AND BEARING BOTH SIDES ")</f>
        <v>RCG: REPLACE FRONT AXLE OIL SEAL AND BEARING BOTH SIDES </v>
      </c>
      <c r="M758" s="2"/>
      <c r="N758" s="2" t="str">
        <f>IFERROR(__xludf.DUMMYFUNCTION("""COMPUTED_VALUE"""),"PARTS: 2 OIL SEAL NAK AP6 5780 15")</f>
        <v>PARTS: 2 OIL SEAL NAK AP6 5780 15</v>
      </c>
      <c r="O758" s="2">
        <f>IFERROR(__xludf.DUMMYFUNCTION("""COMPUTED_VALUE"""),117.0)</f>
        <v>117</v>
      </c>
      <c r="P758" s="2"/>
      <c r="Q758" s="2"/>
      <c r="R758" s="74">
        <f>IFERROR(__xludf.DUMMYFUNCTION("""COMPUTED_VALUE"""),45710.0)</f>
        <v>45710</v>
      </c>
      <c r="S758" s="2" t="str">
        <f>IFERROR(__xludf.DUMMYFUNCTION("""COMPUTED_VALUE"""),"RCG/DSD")</f>
        <v>RCG/DSD</v>
      </c>
      <c r="T758" s="73">
        <f>IFERROR(__xludf.DUMMYFUNCTION("""COMPUTED_VALUE"""),6750.0)</f>
        <v>6750</v>
      </c>
      <c r="U758" s="73" t="str">
        <f>IFERROR(__xludf.DUMMYFUNCTION("""COMPUTED_VALUE""")," REMITTED ")</f>
        <v>REMITTED</v>
      </c>
      <c r="V758" s="2"/>
      <c r="W758" s="2">
        <f>IFERROR(__xludf.DUMMYFUNCTION("""COMPUTED_VALUE"""),1178.0)</f>
        <v>1178</v>
      </c>
      <c r="X758" s="2">
        <f>IFERROR(__xludf.DUMMYFUNCTION("""COMPUTED_VALUE"""),1313.0)</f>
        <v>1313</v>
      </c>
      <c r="Y758" s="2"/>
      <c r="Z758" s="2"/>
      <c r="AA758" s="2"/>
      <c r="AB758" s="2"/>
      <c r="AC758" s="2"/>
      <c r="AD758" s="2"/>
      <c r="AE758" s="2"/>
      <c r="AF758" s="2"/>
      <c r="AG758" s="2"/>
      <c r="AH758" s="2"/>
      <c r="AI758" s="2"/>
      <c r="AJ758" s="2" t="str">
        <f>IFERROR(__xludf.DUMMYFUNCTION("""COMPUTED_VALUE"""),"Pinagturihan")</f>
        <v>Pinagturihan</v>
      </c>
      <c r="AK758" s="2" t="str">
        <f>IFERROR(__xludf.DUMMYFUNCTION("""COMPUTED_VALUE"""),"Santa Cruz")</f>
        <v>Santa Cruz</v>
      </c>
      <c r="AL758" s="2" t="str">
        <f>IFERROR(__xludf.DUMMYFUNCTION("""COMPUTED_VALUE"""),"Occidental Mindoro")</f>
        <v>Occidental Mindoro</v>
      </c>
      <c r="AM758" s="2" t="str">
        <f>IFERROR(__xludf.DUMMYFUNCTION("""COMPUTED_VALUE"""),"4B")</f>
        <v>4B</v>
      </c>
      <c r="AN758" s="2" t="str">
        <f>IFERROR(__xludf.DUMMYFUNCTION("""COMPUTED_VALUE"""),"RCEF 23-08-20 Rebidding")</f>
        <v>RCEF 23-08-20 Rebidding</v>
      </c>
      <c r="AO758" s="2">
        <f>IFERROR(__xludf.DUMMYFUNCTION("""COMPUTED_VALUE"""),1.0)</f>
        <v>1</v>
      </c>
      <c r="AP758" s="2"/>
      <c r="AQ758" s="2"/>
      <c r="AR758" s="2"/>
      <c r="AS758" s="2"/>
      <c r="AT758" s="2"/>
      <c r="AU758" s="2"/>
      <c r="AV758" s="2"/>
      <c r="AW758" s="2"/>
      <c r="AX758" s="2"/>
      <c r="AY758" s="2"/>
      <c r="AZ758" s="2"/>
      <c r="BA758" s="2"/>
      <c r="BB758" s="2"/>
    </row>
    <row r="759">
      <c r="A759" s="2">
        <f>IFERROR(__xludf.DUMMYFUNCTION("""COMPUTED_VALUE"""),755.0)</f>
        <v>755</v>
      </c>
      <c r="B759" s="2" t="str">
        <f>IFERROR(__xludf.DUMMYFUNCTION("""COMPUTED_VALUE"""),"COMPLETED")</f>
        <v>COMPLETED</v>
      </c>
      <c r="C759" s="74">
        <f>IFERROR(__xludf.DUMMYFUNCTION("""COMPUTED_VALUE"""),45672.0)</f>
        <v>45672</v>
      </c>
      <c r="D759" s="71" t="str">
        <f>IFERROR(__xludf.DUMMYFUNCTION("""COMPUTED_VALUE"""),"ASSOCIATION OF HARDWORKING FARMERS OF SAN JOSE")</f>
        <v>ASSOCIATION OF HARDWORKING FARMERS OF SAN JOSE</v>
      </c>
      <c r="E759" s="71" t="str">
        <f>IFERROR(__xludf.DUMMYFUNCTION("""COMPUTED_VALUE"""),"Mababanaba, San Jose, TARLAC")</f>
        <v>Mababanaba, San Jose, TARLAC</v>
      </c>
      <c r="F759" s="2" t="str">
        <f>IFERROR(__xludf.DUMMYFUNCTION("""COMPUTED_VALUE"""),"Rey Rombaoa ")</f>
        <v>Rey Rombaoa </v>
      </c>
      <c r="G759" s="2">
        <f>IFERROR(__xludf.DUMMYFUNCTION("""COMPUTED_VALUE"""),9.636805444E9)</f>
        <v>9636805444</v>
      </c>
      <c r="H759" s="2">
        <f>IFERROR(__xludf.DUMMYFUNCTION("""COMPUTED_VALUE"""),484.9)</f>
        <v>484.9</v>
      </c>
      <c r="I759" s="72" t="str">
        <f>IFERROR(__xludf.DUMMYFUNCTION("""COMPUTED_VALUE"""),"REPAIR - TRACTOR")</f>
        <v>REPAIR - TRACTOR</v>
      </c>
      <c r="J759" s="72" t="str">
        <f>IFERROR(__xludf.DUMMYFUNCTION("""COMPUTED_VALUE"""),"Engine - Overhaul")</f>
        <v>Engine - Overhaul</v>
      </c>
      <c r="K759" s="72" t="str">
        <f>IFERROR(__xludf.DUMMYFUNCTION("""COMPUTED_VALUE"""),"EGT: Engine Noise and Malfunction Rotavator ,  Nag valve adjust na po kami pero maiingay at Nag PTO valve adjustment nadin po kami nagloloko padin po yung Rotavator 
1218: ACS/JHP: BLOWBY, UMUUSOK SA BREATER TUMATALSIK ANG LANGIS. ENGINE OVERHAUL (PRINT"&amp;"ED)
PARTS: ENGINE BLOCK ASSY, CYLINDER HEAD ASSY, 4 PISTON, 4 PISTON RING, 8 VALVE SEAL, CYLINDER HEAD GASKET
CFG: 7/31/25: 1192: ENGINE BLOW-BUY AGAIN (PRINTED)
NEED TO REPLACED: ENGINE BLOCK, PISTON RING, HEAD GASKET
")</f>
        <v>EGT: Engine Noise and Malfunction Rotavator ,  Nag valve adjust na po kami pero maiingay at Nag PTO valve adjustment nadin po kami nagloloko padin po yung Rotavator 
1218: ACS/JHP: BLOWBY, UMUUSOK SA BREATER TUMATALSIK ANG LANGIS. ENGINE OVERHAUL (PRINTED)
PARTS: ENGINE BLOCK ASSY, CYLINDER HEAD ASSY, 4 PISTON, 4 PISTON RING, 8 VALVE SEAL, CYLINDER HEAD GASKET
CFG: 7/31/25: 1192: ENGINE BLOW-BUY AGAIN (PRINTED)
NEED TO REPLACED: ENGINE BLOCK, PISTON RING, HEAD GASKET
</v>
      </c>
      <c r="L759" s="72" t="str">
        <f>IFERROR(__xludf.DUMMYFUNCTION("""COMPUTED_VALUE"""),"JULY 2025 LAST WEEK: 1ST OVERHAUL OF UNIT")</f>
        <v>JULY 2025 LAST WEEK: 1ST OVERHAUL OF UNIT</v>
      </c>
      <c r="M759" s="2"/>
      <c r="N759" s="2" t="str">
        <f>IFERROR(__xludf.DUMMYFUNCTION("""COMPUTED_VALUE"""),"PARTS: 1ST OVERHAUL:
1- CYLINDER HEAD GASKET
4- PISTON RING
1- OIL FILTER
5L- ENGINE OIL")</f>
        <v>PARTS: 1ST OVERHAUL:
1- CYLINDER HEAD GASKET
4- PISTON RING
1- OIL FILTER
5L- ENGINE OIL</v>
      </c>
      <c r="O759" s="2" t="str">
        <f>IFERROR(__xludf.DUMMYFUNCTION("""COMPUTED_VALUE"""),"NEED SERVICE REPORT")</f>
        <v>NEED SERVICE REPORT</v>
      </c>
      <c r="P759" s="2"/>
      <c r="Q759" s="2"/>
      <c r="R759" s="74">
        <f>IFERROR(__xludf.DUMMYFUNCTION("""COMPUTED_VALUE"""),45843.0)</f>
        <v>45843</v>
      </c>
      <c r="S759" s="2" t="str">
        <f>IFERROR(__xludf.DUMMYFUNCTION("""COMPUTED_VALUE"""),"JHP/ACS/EGT/DRM")</f>
        <v>JHP/ACS/EGT/DRM</v>
      </c>
      <c r="T759" s="73" t="str">
        <f>IFERROR(__xludf.DUMMYFUNCTION("""COMPUTED_VALUE""")," N/A ")</f>
        <v>N/A</v>
      </c>
      <c r="U759" s="73" t="str">
        <f>IFERROR(__xludf.DUMMYFUNCTION("""COMPUTED_VALUE""")," NO CHARGE ")</f>
        <v>NO CHARGE</v>
      </c>
      <c r="V759" s="2"/>
      <c r="W759" s="2" t="str">
        <f>IFERROR(__xludf.DUMMYFUNCTION("""COMPUTED_VALUE"""),"N/A")</f>
        <v>N/A</v>
      </c>
      <c r="X759" s="2" t="str">
        <f>IFERROR(__xludf.DUMMYFUNCTION("""COMPUTED_VALUE"""),"N/A")</f>
        <v>N/A</v>
      </c>
      <c r="Y759" s="2"/>
      <c r="Z759" s="2"/>
      <c r="AA759" s="2"/>
      <c r="AB759" s="2"/>
      <c r="AC759" s="2"/>
      <c r="AD759" s="2"/>
      <c r="AE759" s="2"/>
      <c r="AF759" s="2"/>
      <c r="AG759" s="2"/>
      <c r="AH759" s="2"/>
      <c r="AI759" s="2"/>
      <c r="AJ759" s="2" t="str">
        <f>IFERROR(__xludf.DUMMYFUNCTION("""COMPUTED_VALUE"""),"Mababanaba")</f>
        <v>Mababanaba</v>
      </c>
      <c r="AK759" s="2" t="str">
        <f>IFERROR(__xludf.DUMMYFUNCTION("""COMPUTED_VALUE"""),"San Jose")</f>
        <v>San Jose</v>
      </c>
      <c r="AL759" s="2" t="str">
        <f>IFERROR(__xludf.DUMMYFUNCTION("""COMPUTED_VALUE"""),"Tarlac")</f>
        <v>Tarlac</v>
      </c>
      <c r="AM759" s="2">
        <f>IFERROR(__xludf.DUMMYFUNCTION("""COMPUTED_VALUE"""),3.0)</f>
        <v>3</v>
      </c>
      <c r="AN759" s="2" t="str">
        <f>IFERROR(__xludf.DUMMYFUNCTION("""COMPUTED_VALUE"""),"RCEF 23-09-21 Rebidding")</f>
        <v>RCEF 23-09-21 Rebidding</v>
      </c>
      <c r="AO759" s="2">
        <f>IFERROR(__xludf.DUMMYFUNCTION("""COMPUTED_VALUE"""),3.0)</f>
        <v>3</v>
      </c>
      <c r="AP759" s="2"/>
      <c r="AQ759" s="2"/>
      <c r="AR759" s="2"/>
      <c r="AS759" s="2"/>
      <c r="AT759" s="2"/>
      <c r="AU759" s="2"/>
      <c r="AV759" s="2"/>
      <c r="AW759" s="2"/>
      <c r="AX759" s="2"/>
      <c r="AY759" s="2"/>
      <c r="AZ759" s="2"/>
      <c r="BA759" s="2"/>
      <c r="BB759" s="2"/>
    </row>
    <row r="760">
      <c r="A760" s="2">
        <f>IFERROR(__xludf.DUMMYFUNCTION("""COMPUTED_VALUE"""),756.0)</f>
        <v>756</v>
      </c>
      <c r="B760" s="2" t="str">
        <f>IFERROR(__xludf.DUMMYFUNCTION("""COMPUTED_VALUE"""),"COMPLETED")</f>
        <v>COMPLETED</v>
      </c>
      <c r="C760" s="74">
        <f>IFERROR(__xludf.DUMMYFUNCTION("""COMPUTED_VALUE"""),45673.0)</f>
        <v>45673</v>
      </c>
      <c r="D760" s="71" t="str">
        <f>IFERROR(__xludf.DUMMYFUNCTION("""COMPUTED_VALUE"""),"LALIG FARMERS ASSOCIATION")</f>
        <v>LALIG FARMERS ASSOCIATION</v>
      </c>
      <c r="E760" s="71" t="str">
        <f>IFERROR(__xludf.DUMMYFUNCTION("""COMPUTED_VALUE"""),"Lalig, Tiaong, Quezon")</f>
        <v>Lalig, Tiaong, Quezon</v>
      </c>
      <c r="F760" s="2"/>
      <c r="G760" s="2">
        <f>IFERROR(__xludf.DUMMYFUNCTION("""COMPUTED_VALUE"""),9.282559507E9)</f>
        <v>9282559507</v>
      </c>
      <c r="H760" s="2"/>
      <c r="I760" s="72" t="str">
        <f>IFERROR(__xludf.DUMMYFUNCTION("""COMPUTED_VALUE"""),"REPAIR - DISC PLOW")</f>
        <v>REPAIR - DISC PLOW</v>
      </c>
      <c r="J760" s="72" t="str">
        <f>IFERROR(__xludf.DUMMYFUNCTION("""COMPUTED_VALUE"""),"bearing")</f>
        <v>bearing</v>
      </c>
      <c r="K760" s="72" t="str">
        <f>IFERROR(__xludf.DUMMYFUNCTION("""COMPUTED_VALUE"""),"FARMER: MAY PROBLEMA YUNG BEARING SA SIDE NG DISCPLOW
PARTS: BEARING #30208")</f>
        <v>FARMER: MAY PROBLEMA YUNG BEARING SA SIDE NG DISCPLOW
PARTS: BEARING #30208</v>
      </c>
      <c r="L760" s="72" t="str">
        <f>IFERROR(__xludf.DUMMYFUNCTION("""COMPUTED_VALUE"""),"DELIVERED")</f>
        <v>DELIVERED</v>
      </c>
      <c r="M760" s="2"/>
      <c r="N760" s="2" t="str">
        <f>IFERROR(__xludf.DUMMYFUNCTION("""COMPUTED_VALUE"""),"PARTS: 
2 BEARING 3O208, 
DISK FLANGE AXIS, 
OIL SEAL 45*85*12")</f>
        <v>PARTS: 
2 BEARING 3O208, 
DISK FLANGE AXIS, 
OIL SEAL 45*85*12</v>
      </c>
      <c r="O760" s="2">
        <f>IFERROR(__xludf.DUMMYFUNCTION("""COMPUTED_VALUE"""),17.0)</f>
        <v>17</v>
      </c>
      <c r="P760" s="2"/>
      <c r="Q760" s="2"/>
      <c r="R760" s="74">
        <f>IFERROR(__xludf.DUMMYFUNCTION("""COMPUTED_VALUE"""),45737.0)</f>
        <v>45737</v>
      </c>
      <c r="S760" s="2" t="str">
        <f>IFERROR(__xludf.DUMMYFUNCTION("""COMPUTED_VALUE"""),"JTT")</f>
        <v>JTT</v>
      </c>
      <c r="T760" s="73">
        <f>IFERROR(__xludf.DUMMYFUNCTION("""COMPUTED_VALUE"""),9800.0)</f>
        <v>9800</v>
      </c>
      <c r="U760" s="73" t="str">
        <f>IFERROR(__xludf.DUMMYFUNCTION("""COMPUTED_VALUE""")," REMITTED ")</f>
        <v>REMITTED</v>
      </c>
      <c r="V760" s="2"/>
      <c r="W760" s="2">
        <f>IFERROR(__xludf.DUMMYFUNCTION("""COMPUTED_VALUE"""),1234.0)</f>
        <v>1234</v>
      </c>
      <c r="X760" s="2">
        <f>IFERROR(__xludf.DUMMYFUNCTION("""COMPUTED_VALUE"""),1344.0)</f>
        <v>1344</v>
      </c>
      <c r="Y760" s="2" t="str">
        <f>IFERROR(__xludf.DUMMYFUNCTION("""COMPUTED_VALUE"""),"1500 - FOR COLLECTION KAY FARMER")</f>
        <v>1500 - FOR COLLECTION KAY FARMER</v>
      </c>
      <c r="Z760" s="2"/>
      <c r="AA760" s="2"/>
      <c r="AB760" s="2"/>
      <c r="AC760" s="2"/>
      <c r="AD760" s="2"/>
      <c r="AE760" s="2"/>
      <c r="AF760" s="2"/>
      <c r="AG760" s="2"/>
      <c r="AH760" s="2"/>
      <c r="AI760" s="2"/>
      <c r="AJ760" s="2" t="str">
        <f>IFERROR(__xludf.DUMMYFUNCTION("""COMPUTED_VALUE"""),"Lalig")</f>
        <v>Lalig</v>
      </c>
      <c r="AK760" s="2" t="str">
        <f>IFERROR(__xludf.DUMMYFUNCTION("""COMPUTED_VALUE"""),"Tiaong")</f>
        <v>Tiaong</v>
      </c>
      <c r="AL760" s="2" t="str">
        <f>IFERROR(__xludf.DUMMYFUNCTION("""COMPUTED_VALUE"""),"Quezon")</f>
        <v>Quezon</v>
      </c>
      <c r="AM760" s="2" t="str">
        <f>IFERROR(__xludf.DUMMYFUNCTION("""COMPUTED_VALUE"""),"4A")</f>
        <v>4A</v>
      </c>
      <c r="AN760" s="2" t="str">
        <f>IFERROR(__xludf.DUMMYFUNCTION("""COMPUTED_VALUE"""),"RCEF 23-08-20 Rebidding")</f>
        <v>RCEF 23-08-20 Rebidding</v>
      </c>
      <c r="AO760" s="2">
        <f>IFERROR(__xludf.DUMMYFUNCTION("""COMPUTED_VALUE"""),1.0)</f>
        <v>1</v>
      </c>
      <c r="AP760" s="2"/>
      <c r="AQ760" s="2"/>
      <c r="AR760" s="2"/>
      <c r="AS760" s="2"/>
      <c r="AT760" s="2"/>
      <c r="AU760" s="2"/>
      <c r="AV760" s="2"/>
      <c r="AW760" s="2"/>
      <c r="AX760" s="2"/>
      <c r="AY760" s="2"/>
      <c r="AZ760" s="2"/>
      <c r="BA760" s="2"/>
      <c r="BB760" s="2"/>
    </row>
    <row r="761">
      <c r="A761" s="2">
        <f>IFERROR(__xludf.DUMMYFUNCTION("""COMPUTED_VALUE"""),757.0)</f>
        <v>757</v>
      </c>
      <c r="B761" s="2" t="str">
        <f>IFERROR(__xludf.DUMMYFUNCTION("""COMPUTED_VALUE"""),"COMPLETED")</f>
        <v>COMPLETED</v>
      </c>
      <c r="C761" s="74">
        <f>IFERROR(__xludf.DUMMYFUNCTION("""COMPUTED_VALUE"""),45673.0)</f>
        <v>45673</v>
      </c>
      <c r="D761" s="71" t="str">
        <f>IFERROR(__xludf.DUMMYFUNCTION("""COMPUTED_VALUE"""),"PEDERASYON NG MGA SAMAHAN NG MAGSASAKA NG TIAONG, QUEZON")</f>
        <v>PEDERASYON NG MGA SAMAHAN NG MAGSASAKA NG TIAONG, QUEZON</v>
      </c>
      <c r="E761" s="71" t="str">
        <f>IFERROR(__xludf.DUMMYFUNCTION("""COMPUTED_VALUE"""),"Poblacion 3, Tiaong, Quezon")</f>
        <v>Poblacion 3, Tiaong, Quezon</v>
      </c>
      <c r="F761" s="2" t="str">
        <f>IFERROR(__xludf.DUMMYFUNCTION("""COMPUTED_VALUE"""),"DANILO GUEVARA")</f>
        <v>DANILO GUEVARA</v>
      </c>
      <c r="G761" s="2">
        <f>IFERROR(__xludf.DUMMYFUNCTION("""COMPUTED_VALUE"""),9.282559507E9)</f>
        <v>9282559507</v>
      </c>
      <c r="H761" s="2"/>
      <c r="I761" s="72" t="str">
        <f>IFERROR(__xludf.DUMMYFUNCTION("""COMPUTED_VALUE"""),"REPAIR - DISC PLOW")</f>
        <v>REPAIR - DISC PLOW</v>
      </c>
      <c r="J761" s="72" t="str">
        <f>IFERROR(__xludf.DUMMYFUNCTION("""COMPUTED_VALUE"""),"Gearbox")</f>
        <v>Gearbox</v>
      </c>
      <c r="K761" s="72" t="str">
        <f>IFERROR(__xludf.DUMMYFUNCTION("""COMPUTED_VALUE"""),"FARMER: MAY PROBLEMA YUNG NAGHAHAWAK SA BEARING SA GITNANG PARTE NG DISCPLOW
PARTS: BOLT M14*70*1.5P, BEVEL GEAR 14T-3N, DISK FALNGE AXIS")</f>
        <v>FARMER: MAY PROBLEMA YUNG NAGHAHAWAK SA BEARING SA GITNANG PARTE NG DISCPLOW
PARTS: BOLT M14*70*1.5P, BEVEL GEAR 14T-3N, DISK FALNGE AXIS</v>
      </c>
      <c r="L761" s="72" t="str">
        <f>IFERROR(__xludf.DUMMYFUNCTION("""COMPUTED_VALUE"""),"ONGOING")</f>
        <v>ONGOING</v>
      </c>
      <c r="M761" s="2"/>
      <c r="N761" s="2"/>
      <c r="O761" s="2" t="str">
        <f>IFERROR(__xludf.DUMMYFUNCTION("""COMPUTED_VALUE"""),"N/A")</f>
        <v>N/A</v>
      </c>
      <c r="P761" s="2"/>
      <c r="Q761" s="2"/>
      <c r="R761" s="74">
        <f>IFERROR(__xludf.DUMMYFUNCTION("""COMPUTED_VALUE"""),45737.0)</f>
        <v>45737</v>
      </c>
      <c r="S761" s="2" t="str">
        <f>IFERROR(__xludf.DUMMYFUNCTION("""COMPUTED_VALUE"""),"JTT")</f>
        <v>JTT</v>
      </c>
      <c r="T761" s="73" t="str">
        <f>IFERROR(__xludf.DUMMYFUNCTION("""COMPUTED_VALUE""")," N/A ")</f>
        <v>N/A</v>
      </c>
      <c r="U761" s="73" t="str">
        <f>IFERROR(__xludf.DUMMYFUNCTION("""COMPUTED_VALUE""")," NO CHARGE ")</f>
        <v>NO CHARGE</v>
      </c>
      <c r="V761" s="2"/>
      <c r="W761" s="2" t="str">
        <f>IFERROR(__xludf.DUMMYFUNCTION("""COMPUTED_VALUE"""),"N/A")</f>
        <v>N/A</v>
      </c>
      <c r="X761" s="2" t="str">
        <f>IFERROR(__xludf.DUMMYFUNCTION("""COMPUTED_VALUE"""),"N/A")</f>
        <v>N/A</v>
      </c>
      <c r="Y761" s="2"/>
      <c r="Z761" s="2"/>
      <c r="AA761" s="2"/>
      <c r="AB761" s="2"/>
      <c r="AC761" s="2"/>
      <c r="AD761" s="2"/>
      <c r="AE761" s="2"/>
      <c r="AF761" s="2"/>
      <c r="AG761" s="2"/>
      <c r="AH761" s="2"/>
      <c r="AI761" s="2"/>
      <c r="AJ761" s="2" t="str">
        <f>IFERROR(__xludf.DUMMYFUNCTION("""COMPUTED_VALUE"""),"Poblacion 3")</f>
        <v>Poblacion 3</v>
      </c>
      <c r="AK761" s="2" t="str">
        <f>IFERROR(__xludf.DUMMYFUNCTION("""COMPUTED_VALUE"""),"Tiaong")</f>
        <v>Tiaong</v>
      </c>
      <c r="AL761" s="2" t="str">
        <f>IFERROR(__xludf.DUMMYFUNCTION("""COMPUTED_VALUE"""),"Quezon")</f>
        <v>Quezon</v>
      </c>
      <c r="AM761" s="2" t="str">
        <f>IFERROR(__xludf.DUMMYFUNCTION("""COMPUTED_VALUE"""),"4A")</f>
        <v>4A</v>
      </c>
      <c r="AN761" s="2" t="str">
        <f>IFERROR(__xludf.DUMMYFUNCTION("""COMPUTED_VALUE"""),"RCEF 23-08-20 Rebidding")</f>
        <v>RCEF 23-08-20 Rebidding</v>
      </c>
      <c r="AO761" s="2">
        <f>IFERROR(__xludf.DUMMYFUNCTION("""COMPUTED_VALUE"""),1.0)</f>
        <v>1</v>
      </c>
      <c r="AP761" s="2"/>
      <c r="AQ761" s="2"/>
      <c r="AR761" s="2"/>
      <c r="AS761" s="2"/>
      <c r="AT761" s="2"/>
      <c r="AU761" s="2"/>
      <c r="AV761" s="2"/>
      <c r="AW761" s="2"/>
      <c r="AX761" s="2"/>
      <c r="AY761" s="2"/>
      <c r="AZ761" s="2"/>
      <c r="BA761" s="2"/>
      <c r="BB761" s="2"/>
    </row>
    <row r="762">
      <c r="A762" s="2">
        <f>IFERROR(__xludf.DUMMYFUNCTION("""COMPUTED_VALUE"""),758.0)</f>
        <v>758</v>
      </c>
      <c r="B762" s="2" t="str">
        <f>IFERROR(__xludf.DUMMYFUNCTION("""COMPUTED_VALUE"""),"COMPLETED")</f>
        <v>COMPLETED</v>
      </c>
      <c r="C762" s="74">
        <f>IFERROR(__xludf.DUMMYFUNCTION("""COMPUTED_VALUE"""),45674.0)</f>
        <v>45674</v>
      </c>
      <c r="D762" s="71" t="str">
        <f>IFERROR(__xludf.DUMMYFUNCTION("""COMPUTED_VALUE"""),"STO. TOMAS FARMERS' AND FISHERFOLKS ASSOCIATION")</f>
        <v>STO. TOMAS FARMERS' AND FISHERFOLKS ASSOCIATION</v>
      </c>
      <c r="E762" s="71" t="str">
        <f>IFERROR(__xludf.DUMMYFUNCTION("""COMPUTED_VALUE"""),"Santo Tomas, Abulug, CAGAYAN")</f>
        <v>Santo Tomas, Abulug, CAGAYAN</v>
      </c>
      <c r="F762" s="2"/>
      <c r="G762" s="2">
        <f>IFERROR(__xludf.DUMMYFUNCTION("""COMPUTED_VALUE"""),9.455369385E9)</f>
        <v>9455369385</v>
      </c>
      <c r="H762" s="2"/>
      <c r="I762" s="72" t="str">
        <f>IFERROR(__xludf.DUMMYFUNCTION("""COMPUTED_VALUE"""),"SPARE PARTS ACQUISITION")</f>
        <v>SPARE PARTS ACQUISITION</v>
      </c>
      <c r="J762" s="72" t="str">
        <f>IFERROR(__xludf.DUMMYFUNCTION("""COMPUTED_VALUE"""),"SPARE PARTS ACQUISITION")</f>
        <v>SPARE PARTS ACQUISITION</v>
      </c>
      <c r="K762" s="72" t="str">
        <f>IFERROR(__xludf.DUMMYFUNCTION("""COMPUTED_VALUE"""),"OIL FILTER : FOR LBC: ")</f>
        <v>OIL FILTER : FOR LBC: </v>
      </c>
      <c r="L762" s="72" t="str">
        <f>IFERROR(__xludf.DUMMYFUNCTION("""COMPUTED_VALUE"""),"ERP: DONE LBC: PAYMENT VIA PALAWAN PADALA C/O MYKEE")</f>
        <v>ERP: DONE LBC: PAYMENT VIA PALAWAN PADALA C/O MYKEE</v>
      </c>
      <c r="M762" s="2"/>
      <c r="N762" s="2" t="str">
        <f>IFERROR(__xludf.DUMMYFUNCTION("""COMPUTED_VALUE"""),"PARTS: OIL FILTER")</f>
        <v>PARTS: OIL FILTER</v>
      </c>
      <c r="O762" s="2" t="str">
        <f>IFERROR(__xludf.DUMMYFUNCTION("""COMPUTED_VALUE"""),"N/A")</f>
        <v>N/A</v>
      </c>
      <c r="P762" s="2"/>
      <c r="Q762" s="2"/>
      <c r="R762" s="74">
        <f>IFERROR(__xludf.DUMMYFUNCTION("""COMPUTED_VALUE"""),45677.0)</f>
        <v>45677</v>
      </c>
      <c r="S762" s="2" t="str">
        <f>IFERROR(__xludf.DUMMYFUNCTION("""COMPUTED_VALUE"""),"MYKEE")</f>
        <v>MYKEE</v>
      </c>
      <c r="T762" s="73">
        <f>IFERROR(__xludf.DUMMYFUNCTION("""COMPUTED_VALUE"""),1533.0)</f>
        <v>1533</v>
      </c>
      <c r="U762" s="73" t="str">
        <f>IFERROR(__xludf.DUMMYFUNCTION("""COMPUTED_VALUE""")," NO CHARGE ")</f>
        <v>NO CHARGE</v>
      </c>
      <c r="V762" s="2"/>
      <c r="W762" s="2" t="str">
        <f>IFERROR(__xludf.DUMMYFUNCTION("""COMPUTED_VALUE"""),"N/A")</f>
        <v>N/A</v>
      </c>
      <c r="X762" s="2" t="str">
        <f>IFERROR(__xludf.DUMMYFUNCTION("""COMPUTED_VALUE"""),"N/A")</f>
        <v>N/A</v>
      </c>
      <c r="Y762" s="2"/>
      <c r="Z762" s="2"/>
      <c r="AA762" s="2"/>
      <c r="AB762" s="2"/>
      <c r="AC762" s="2"/>
      <c r="AD762" s="2"/>
      <c r="AE762" s="2"/>
      <c r="AF762" s="2"/>
      <c r="AG762" s="2"/>
      <c r="AH762" s="2"/>
      <c r="AI762" s="2"/>
      <c r="AJ762" s="2" t="str">
        <f>IFERROR(__xludf.DUMMYFUNCTION("""COMPUTED_VALUE"""),"Santo Tomas")</f>
        <v>Santo Tomas</v>
      </c>
      <c r="AK762" s="2" t="str">
        <f>IFERROR(__xludf.DUMMYFUNCTION("""COMPUTED_VALUE"""),"Abulug")</f>
        <v>Abulug</v>
      </c>
      <c r="AL762" s="2" t="str">
        <f>IFERROR(__xludf.DUMMYFUNCTION("""COMPUTED_VALUE"""),"Cagayan")</f>
        <v>Cagayan</v>
      </c>
      <c r="AM762" s="2">
        <f>IFERROR(__xludf.DUMMYFUNCTION("""COMPUTED_VALUE"""),2.0)</f>
        <v>2</v>
      </c>
      <c r="AN762" s="2" t="str">
        <f>IFERROR(__xludf.DUMMYFUNCTION("""COMPUTED_VALUE"""),"RCEF 23-09-21 Rebidding")</f>
        <v>RCEF 23-09-21 Rebidding</v>
      </c>
      <c r="AO762" s="2">
        <f>IFERROR(__xludf.DUMMYFUNCTION("""COMPUTED_VALUE"""),9.0)</f>
        <v>9</v>
      </c>
      <c r="AP762" s="2"/>
      <c r="AQ762" s="2"/>
      <c r="AR762" s="2"/>
      <c r="AS762" s="2"/>
      <c r="AT762" s="2"/>
      <c r="AU762" s="2"/>
      <c r="AV762" s="2"/>
      <c r="AW762" s="2"/>
      <c r="AX762" s="2"/>
      <c r="AY762" s="2"/>
      <c r="AZ762" s="2"/>
      <c r="BA762" s="2"/>
      <c r="BB762" s="2"/>
    </row>
    <row r="763">
      <c r="A763" s="2">
        <f>IFERROR(__xludf.DUMMYFUNCTION("""COMPUTED_VALUE"""),759.0)</f>
        <v>759</v>
      </c>
      <c r="B763" s="2" t="str">
        <f>IFERROR(__xludf.DUMMYFUNCTION("""COMPUTED_VALUE"""),"COMPLETED")</f>
        <v>COMPLETED</v>
      </c>
      <c r="C763" s="74">
        <f>IFERROR(__xludf.DUMMYFUNCTION("""COMPUTED_VALUE"""),45675.0)</f>
        <v>45675</v>
      </c>
      <c r="D763" s="71" t="str">
        <f>IFERROR(__xludf.DUMMYFUNCTION("""COMPUTED_VALUE"""),"SAN ANDRES FARMERS ASSOCIATION")</f>
        <v>SAN ANDRES FARMERS ASSOCIATION</v>
      </c>
      <c r="E763" s="71" t="str">
        <f>IFERROR(__xludf.DUMMYFUNCTION("""COMPUTED_VALUE"""),"San Andres, San Rafael, ILOILO")</f>
        <v>San Andres, San Rafael, ILOILO</v>
      </c>
      <c r="F763" s="2" t="str">
        <f>IFERROR(__xludf.DUMMYFUNCTION("""COMPUTED_VALUE"""),"Rodolfo A. Madrigal")</f>
        <v>Rodolfo A. Madrigal</v>
      </c>
      <c r="G763" s="2">
        <f>IFERROR(__xludf.DUMMYFUNCTION("""COMPUTED_VALUE"""),9.460210643E9)</f>
        <v>9460210643</v>
      </c>
      <c r="H763" s="2">
        <f>IFERROR(__xludf.DUMMYFUNCTION("""COMPUTED_VALUE"""),458.0)</f>
        <v>458</v>
      </c>
      <c r="I763" s="72" t="str">
        <f>IFERROR(__xludf.DUMMYFUNCTION("""COMPUTED_VALUE"""),"REPAIR - TRACTOR")</f>
        <v>REPAIR - TRACTOR</v>
      </c>
      <c r="J763" s="72" t="str">
        <f>IFERROR(__xludf.DUMMYFUNCTION("""COMPUTED_VALUE"""),"Front Axle - Leaking")</f>
        <v>Front Axle - Leaking</v>
      </c>
      <c r="K763" s="72" t="str">
        <f>IFERROR(__xludf.DUMMYFUNCTION("""COMPUTED_VALUE"""),"JVV: The oil seal leak on the center near right front drive of the tractor.
PARTS: 3 FRONT AXLE OIL SEAL")</f>
        <v>JVV: The oil seal leak on the center near right front drive of the tractor.
PARTS: 3 FRONT AXLE OIL SEAL</v>
      </c>
      <c r="L763" s="72" t="str">
        <f>IFERROR(__xludf.DUMMYFUNCTION("""COMPUTED_VALUE"""),"EGT: CHANGE OIL SEAL FRONT DRIVE")</f>
        <v>EGT: CHANGE OIL SEAL FRONT DRIVE</v>
      </c>
      <c r="M763" s="2"/>
      <c r="N763" s="2" t="str">
        <f>IFERROR(__xludf.DUMMYFUNCTION("""COMPUTED_VALUE"""),"PARTS: OIL SEAL FRONT DRIVE")</f>
        <v>PARTS: OIL SEAL FRONT DRIVE</v>
      </c>
      <c r="O763" s="2">
        <f>IFERROR(__xludf.DUMMYFUNCTION("""COMPUTED_VALUE"""),1347.0)</f>
        <v>1347</v>
      </c>
      <c r="P763" s="2"/>
      <c r="Q763" s="2"/>
      <c r="R763" s="74">
        <f>IFERROR(__xludf.DUMMYFUNCTION("""COMPUTED_VALUE"""),45695.0)</f>
        <v>45695</v>
      </c>
      <c r="S763" s="2" t="str">
        <f>IFERROR(__xludf.DUMMYFUNCTION("""COMPUTED_VALUE"""),"EGT/DRM")</f>
        <v>EGT/DRM</v>
      </c>
      <c r="T763" s="73">
        <f>IFERROR(__xludf.DUMMYFUNCTION("""COMPUTED_VALUE"""),3375.0)</f>
        <v>3375</v>
      </c>
      <c r="U763" s="73" t="str">
        <f>IFERROR(__xludf.DUMMYFUNCTION("""COMPUTED_VALUE""")," REMITTED ")</f>
        <v>REMITTED</v>
      </c>
      <c r="V763" s="2"/>
      <c r="W763" s="2">
        <f>IFERROR(__xludf.DUMMYFUNCTION("""COMPUTED_VALUE"""),1485.0)</f>
        <v>1485</v>
      </c>
      <c r="X763" s="2">
        <f>IFERROR(__xludf.DUMMYFUNCTION("""COMPUTED_VALUE"""),1333.0)</f>
        <v>1333</v>
      </c>
      <c r="Y763" s="2"/>
      <c r="Z763" s="2"/>
      <c r="AA763" s="2"/>
      <c r="AB763" s="2"/>
      <c r="AC763" s="2"/>
      <c r="AD763" s="2"/>
      <c r="AE763" s="2"/>
      <c r="AF763" s="2"/>
      <c r="AG763" s="2"/>
      <c r="AH763" s="2"/>
      <c r="AI763" s="2"/>
      <c r="AJ763" s="2" t="str">
        <f>IFERROR(__xludf.DUMMYFUNCTION("""COMPUTED_VALUE"""),"San Andres")</f>
        <v>San Andres</v>
      </c>
      <c r="AK763" s="2" t="str">
        <f>IFERROR(__xludf.DUMMYFUNCTION("""COMPUTED_VALUE"""),"San Rafael")</f>
        <v>San Rafael</v>
      </c>
      <c r="AL763" s="2" t="str">
        <f>IFERROR(__xludf.DUMMYFUNCTION("""COMPUTED_VALUE"""),"Iloilo")</f>
        <v>Iloilo</v>
      </c>
      <c r="AM763" s="2">
        <f>IFERROR(__xludf.DUMMYFUNCTION("""COMPUTED_VALUE"""),6.0)</f>
        <v>6</v>
      </c>
      <c r="AN763" s="2" t="str">
        <f>IFERROR(__xludf.DUMMYFUNCTION("""COMPUTED_VALUE"""),"RCEF 23-09-21 Rebidding")</f>
        <v>RCEF 23-09-21 Rebidding</v>
      </c>
      <c r="AO763" s="2">
        <f>IFERROR(__xludf.DUMMYFUNCTION("""COMPUTED_VALUE"""),4.0)</f>
        <v>4</v>
      </c>
      <c r="AP763" s="2"/>
      <c r="AQ763" s="2"/>
      <c r="AR763" s="2"/>
      <c r="AS763" s="2"/>
      <c r="AT763" s="2"/>
      <c r="AU763" s="2"/>
      <c r="AV763" s="2"/>
      <c r="AW763" s="2"/>
      <c r="AX763" s="2"/>
      <c r="AY763" s="2"/>
      <c r="AZ763" s="2"/>
      <c r="BA763" s="2"/>
      <c r="BB763" s="2"/>
    </row>
    <row r="764">
      <c r="A764" s="2">
        <f>IFERROR(__xludf.DUMMYFUNCTION("""COMPUTED_VALUE"""),760.0)</f>
        <v>760</v>
      </c>
      <c r="B764" s="2" t="str">
        <f>IFERROR(__xludf.DUMMYFUNCTION("""COMPUTED_VALUE"""),"COMPLETED")</f>
        <v>COMPLETED</v>
      </c>
      <c r="C764" s="74">
        <f>IFERROR(__xludf.DUMMYFUNCTION("""COMPUTED_VALUE"""),45677.0)</f>
        <v>45677</v>
      </c>
      <c r="D764" s="71" t="str">
        <f>IFERROR(__xludf.DUMMYFUNCTION("""COMPUTED_VALUE"""),"Danao Farmers Association")</f>
        <v>Danao Farmers Association</v>
      </c>
      <c r="E764" s="71" t="str">
        <f>IFERROR(__xludf.DUMMYFUNCTION("""COMPUTED_VALUE"""),"Danao, Pototan, ILOILO")</f>
        <v>Danao, Pototan, ILOILO</v>
      </c>
      <c r="F764" s="2" t="str">
        <f>IFERROR(__xludf.DUMMYFUNCTION("""COMPUTED_VALUE"""),"Jesus B. Potente")</f>
        <v>Jesus B. Potente</v>
      </c>
      <c r="G764" s="2" t="str">
        <f>IFERROR(__xludf.DUMMYFUNCTION("""COMPUTED_VALUE"""),"0921 268 5213")</f>
        <v>0921 268 5213</v>
      </c>
      <c r="H764" s="2"/>
      <c r="I764" s="72" t="str">
        <f>IFERROR(__xludf.DUMMYFUNCTION("""COMPUTED_VALUE"""),"PMS")</f>
        <v>PMS</v>
      </c>
      <c r="J764" s="72" t="str">
        <f>IFERROR(__xludf.DUMMYFUNCTION("""COMPUTED_VALUE"""),"PMS")</f>
        <v>PMS</v>
      </c>
      <c r="K764" s="72" t="str">
        <f>IFERROR(__xludf.DUMMYFUNCTION("""COMPUTED_VALUE"""),"PMS")</f>
        <v>PMS</v>
      </c>
      <c r="L764" s="72" t="str">
        <f>IFERROR(__xludf.DUMMYFUNCTION("""COMPUTED_VALUE"""),"CHANGE OIL")</f>
        <v>CHANGE OIL</v>
      </c>
      <c r="M764" s="2"/>
      <c r="N764" s="2"/>
      <c r="O764" s="2">
        <f>IFERROR(__xludf.DUMMYFUNCTION("""COMPUTED_VALUE"""),60.0)</f>
        <v>60</v>
      </c>
      <c r="P764" s="2"/>
      <c r="Q764" s="2"/>
      <c r="R764" s="74">
        <f>IFERROR(__xludf.DUMMYFUNCTION("""COMPUTED_VALUE"""),45654.0)</f>
        <v>45654</v>
      </c>
      <c r="S764" s="2" t="str">
        <f>IFERROR(__xludf.DUMMYFUNCTION("""COMPUTED_VALUE"""),"RANDY")</f>
        <v>RANDY</v>
      </c>
      <c r="T764" s="73" t="str">
        <f>IFERROR(__xludf.DUMMYFUNCTION("""COMPUTED_VALUE""")," N/A ")</f>
        <v>N/A</v>
      </c>
      <c r="U764" s="73" t="str">
        <f>IFERROR(__xludf.DUMMYFUNCTION("""COMPUTED_VALUE""")," NO CHARGE ")</f>
        <v>NO CHARGE</v>
      </c>
      <c r="V764" s="2"/>
      <c r="W764" s="2" t="str">
        <f>IFERROR(__xludf.DUMMYFUNCTION("""COMPUTED_VALUE"""),"N/A")</f>
        <v>N/A</v>
      </c>
      <c r="X764" s="2" t="str">
        <f>IFERROR(__xludf.DUMMYFUNCTION("""COMPUTED_VALUE"""),"N/A")</f>
        <v>N/A</v>
      </c>
      <c r="Y764" s="2" t="str">
        <f>IFERROR(__xludf.DUMMYFUNCTION("""COMPUTED_VALUE"""),"LTC-REG6-004")</f>
        <v>LTC-REG6-004</v>
      </c>
      <c r="Z764" s="2"/>
      <c r="AA764" s="2"/>
      <c r="AB764" s="2"/>
      <c r="AC764" s="2"/>
      <c r="AD764" s="2"/>
      <c r="AE764" s="2"/>
      <c r="AF764" s="2"/>
      <c r="AG764" s="2"/>
      <c r="AH764" s="2"/>
      <c r="AI764" s="2"/>
      <c r="AJ764" s="2" t="str">
        <f>IFERROR(__xludf.DUMMYFUNCTION("""COMPUTED_VALUE"""),"Danao")</f>
        <v>Danao</v>
      </c>
      <c r="AK764" s="2" t="str">
        <f>IFERROR(__xludf.DUMMYFUNCTION("""COMPUTED_VALUE"""),"Pototan")</f>
        <v>Pototan</v>
      </c>
      <c r="AL764" s="2" t="str">
        <f>IFERROR(__xludf.DUMMYFUNCTION("""COMPUTED_VALUE"""),"Iloilo")</f>
        <v>Iloilo</v>
      </c>
      <c r="AM764" s="2">
        <f>IFERROR(__xludf.DUMMYFUNCTION("""COMPUTED_VALUE"""),6.0)</f>
        <v>6</v>
      </c>
      <c r="AN764" s="2" t="str">
        <f>IFERROR(__xludf.DUMMYFUNCTION("""COMPUTED_VALUE"""),"RCEF 23-09-21 Rebidding")</f>
        <v>RCEF 23-09-21 Rebidding</v>
      </c>
      <c r="AO764" s="2">
        <f>IFERROR(__xludf.DUMMYFUNCTION("""COMPUTED_VALUE"""),4.0)</f>
        <v>4</v>
      </c>
      <c r="AP764" s="2"/>
      <c r="AQ764" s="2"/>
      <c r="AR764" s="2"/>
      <c r="AS764" s="2"/>
      <c r="AT764" s="2"/>
      <c r="AU764" s="2"/>
      <c r="AV764" s="2"/>
      <c r="AW764" s="2"/>
      <c r="AX764" s="2"/>
      <c r="AY764" s="2"/>
      <c r="AZ764" s="2"/>
      <c r="BA764" s="2"/>
      <c r="BB764" s="2"/>
    </row>
    <row r="765">
      <c r="A765" s="2">
        <f>IFERROR(__xludf.DUMMYFUNCTION("""COMPUTED_VALUE"""),761.0)</f>
        <v>761</v>
      </c>
      <c r="B765" s="2" t="str">
        <f>IFERROR(__xludf.DUMMYFUNCTION("""COMPUTED_VALUE"""),"COMPLETED")</f>
        <v>COMPLETED</v>
      </c>
      <c r="C765" s="74">
        <f>IFERROR(__xludf.DUMMYFUNCTION("""COMPUTED_VALUE"""),45677.0)</f>
        <v>45677</v>
      </c>
      <c r="D765" s="71" t="str">
        <f>IFERROR(__xludf.DUMMYFUNCTION("""COMPUTED_VALUE"""),"Cañapasan Banate Irrigators' Association Inc.")</f>
        <v>Cañapasan Banate Irrigators' Association Inc.</v>
      </c>
      <c r="E765" s="71" t="str">
        <f>IFERROR(__xludf.DUMMYFUNCTION("""COMPUTED_VALUE"""),"Managopaya, Banate, ILOILO")</f>
        <v>Managopaya, Banate, ILOILO</v>
      </c>
      <c r="F765" s="2" t="str">
        <f>IFERROR(__xludf.DUMMYFUNCTION("""COMPUTED_VALUE"""),"HELLY BAGASIN")</f>
        <v>HELLY BAGASIN</v>
      </c>
      <c r="G765" s="2">
        <f>IFERROR(__xludf.DUMMYFUNCTION("""COMPUTED_VALUE"""),9.655208079E9)</f>
        <v>9655208079</v>
      </c>
      <c r="H765" s="2">
        <f>IFERROR(__xludf.DUMMYFUNCTION("""COMPUTED_VALUE"""),413.0)</f>
        <v>413</v>
      </c>
      <c r="I765" s="72" t="str">
        <f>IFERROR(__xludf.DUMMYFUNCTION("""COMPUTED_VALUE"""),"REPAIR - ROTAVATOR")</f>
        <v>REPAIR - ROTAVATOR</v>
      </c>
      <c r="J765" s="72" t="str">
        <f>IFERROR(__xludf.DUMMYFUNCTION("""COMPUTED_VALUE"""),"Gearbox")</f>
        <v>Gearbox</v>
      </c>
      <c r="K765" s="72" t="str">
        <f>IFERROR(__xludf.DUMMYFUNCTION("""COMPUTED_VALUE"""),"PHILMECH: UMIINIT ANG GEARBOX, AT MAY NARIRINIG NA MAINGAY
PARTS: BEVEL GEAR 24T, BEARING #32211, PINION GEAR 11T")</f>
        <v>PHILMECH: UMIINIT ANG GEARBOX, AT MAY NARIRINIG NA MAINGAY
PARTS: BEVEL GEAR 24T, BEARING #32211, PINION GEAR 11T</v>
      </c>
      <c r="L765" s="72" t="str">
        <f>IFERROR(__xludf.DUMMYFUNCTION("""COMPUTED_VALUE"""),"EGT: DIASSEMBLE THEN WE SAW HARD LOCK NUT LOSSEN. SO WE THIGHTEN THE HARD LOCK NUT AND CHECK THE UNIT.")</f>
        <v>EGT: DIASSEMBLE THEN WE SAW HARD LOCK NUT LOSSEN. SO WE THIGHTEN THE HARD LOCK NUT AND CHECK THE UNIT.</v>
      </c>
      <c r="M765" s="2"/>
      <c r="N765" s="2" t="str">
        <f>IFERROR(__xludf.DUMMYFUNCTION("""COMPUTED_VALUE"""),"PARTS: OIL FILTER, HYDRAULIC FILTER")</f>
        <v>PARTS: OIL FILTER, HYDRAULIC FILTER</v>
      </c>
      <c r="O765" s="2">
        <f>IFERROR(__xludf.DUMMYFUNCTION("""COMPUTED_VALUE"""),1346.0)</f>
        <v>1346</v>
      </c>
      <c r="P765" s="2"/>
      <c r="Q765" s="2"/>
      <c r="R765" s="74">
        <f>IFERROR(__xludf.DUMMYFUNCTION("""COMPUTED_VALUE"""),45695.0)</f>
        <v>45695</v>
      </c>
      <c r="S765" s="2" t="str">
        <f>IFERROR(__xludf.DUMMYFUNCTION("""COMPUTED_VALUE"""),"EGT/DRM")</f>
        <v>EGT/DRM</v>
      </c>
      <c r="T765" s="73">
        <f>IFERROR(__xludf.DUMMYFUNCTION("""COMPUTED_VALUE"""),4286.0)</f>
        <v>4286</v>
      </c>
      <c r="U765" s="73" t="str">
        <f>IFERROR(__xludf.DUMMYFUNCTION("""COMPUTED_VALUE""")," REMITTED ")</f>
        <v>REMITTED</v>
      </c>
      <c r="V765" s="2"/>
      <c r="W765" s="2"/>
      <c r="X765" s="2"/>
      <c r="Y765" s="2"/>
      <c r="Z765" s="2"/>
      <c r="AA765" s="2"/>
      <c r="AB765" s="2"/>
      <c r="AC765" s="2"/>
      <c r="AD765" s="2"/>
      <c r="AE765" s="2"/>
      <c r="AF765" s="2"/>
      <c r="AG765" s="2"/>
      <c r="AH765" s="2"/>
      <c r="AI765" s="2"/>
      <c r="AJ765" s="2" t="str">
        <f>IFERROR(__xludf.DUMMYFUNCTION("""COMPUTED_VALUE"""),"Managopaya")</f>
        <v>Managopaya</v>
      </c>
      <c r="AK765" s="2" t="str">
        <f>IFERROR(__xludf.DUMMYFUNCTION("""COMPUTED_VALUE"""),"Banate")</f>
        <v>Banate</v>
      </c>
      <c r="AL765" s="2" t="str">
        <f>IFERROR(__xludf.DUMMYFUNCTION("""COMPUTED_VALUE"""),"Iloilo")</f>
        <v>Iloilo</v>
      </c>
      <c r="AM765" s="2">
        <f>IFERROR(__xludf.DUMMYFUNCTION("""COMPUTED_VALUE"""),6.0)</f>
        <v>6</v>
      </c>
      <c r="AN765" s="2" t="str">
        <f>IFERROR(__xludf.DUMMYFUNCTION("""COMPUTED_VALUE"""),"RCEF 23-09-21 Rebidding")</f>
        <v>RCEF 23-09-21 Rebidding</v>
      </c>
      <c r="AO765" s="2">
        <f>IFERROR(__xludf.DUMMYFUNCTION("""COMPUTED_VALUE"""),4.0)</f>
        <v>4</v>
      </c>
      <c r="AP765" s="2"/>
      <c r="AQ765" s="2"/>
      <c r="AR765" s="2"/>
      <c r="AS765" s="2"/>
      <c r="AT765" s="2"/>
      <c r="AU765" s="2"/>
      <c r="AV765" s="2"/>
      <c r="AW765" s="2"/>
      <c r="AX765" s="2"/>
      <c r="AY765" s="2"/>
      <c r="AZ765" s="2"/>
      <c r="BA765" s="2"/>
      <c r="BB765" s="2"/>
    </row>
    <row r="766">
      <c r="A766" s="2">
        <f>IFERROR(__xludf.DUMMYFUNCTION("""COMPUTED_VALUE"""),762.0)</f>
        <v>762</v>
      </c>
      <c r="B766" s="2" t="str">
        <f>IFERROR(__xludf.DUMMYFUNCTION("""COMPUTED_VALUE"""),"COMPLETED")</f>
        <v>COMPLETED</v>
      </c>
      <c r="C766" s="74">
        <f>IFERROR(__xludf.DUMMYFUNCTION("""COMPUTED_VALUE"""),45677.0)</f>
        <v>45677</v>
      </c>
      <c r="D766" s="71" t="str">
        <f>IFERROR(__xludf.DUMMYFUNCTION("""COMPUTED_VALUE"""),"BARANGAY SEPUNG ILOG FARMERS IRRIGATORS ASSOCOATION INC.")</f>
        <v>BARANGAY SEPUNG ILOG FARMERS IRRIGATORS ASSOCOATION INC.</v>
      </c>
      <c r="E766" s="71" t="str">
        <f>IFERROR(__xludf.DUMMYFUNCTION("""COMPUTED_VALUE"""),"San Nicolas, Santa Ana, PAMPANGA")</f>
        <v>San Nicolas, Santa Ana, PAMPANGA</v>
      </c>
      <c r="F766" s="2"/>
      <c r="G766" s="2">
        <f>IFERROR(__xludf.DUMMYFUNCTION("""COMPUTED_VALUE"""),9.973704756E9)</f>
        <v>9973704756</v>
      </c>
      <c r="H766" s="2">
        <f>IFERROR(__xludf.DUMMYFUNCTION("""COMPUTED_VALUE"""),300.0)</f>
        <v>300</v>
      </c>
      <c r="I766" s="72" t="str">
        <f>IFERROR(__xludf.DUMMYFUNCTION("""COMPUTED_VALUE"""),"PMS")</f>
        <v>PMS</v>
      </c>
      <c r="J766" s="72" t="str">
        <f>IFERROR(__xludf.DUMMYFUNCTION("""COMPUTED_VALUE"""),"PMS")</f>
        <v>PMS</v>
      </c>
      <c r="K766" s="72" t="str">
        <f>IFERROR(__xludf.DUMMYFUNCTION("""COMPUTED_VALUE"""),"DSD: 2ND PMS")</f>
        <v>DSD: 2ND PMS</v>
      </c>
      <c r="L766" s="72" t="str">
        <f>IFERROR(__xludf.DUMMYFUNCTION("""COMPUTED_VALUE"""),"CLOSED RESCHED")</f>
        <v>CLOSED RESCHED</v>
      </c>
      <c r="M766" s="2"/>
      <c r="N766" s="2"/>
      <c r="O766" s="2" t="str">
        <f>IFERROR(__xludf.DUMMYFUNCTION("""COMPUTED_VALUE"""),"N/A")</f>
        <v>N/A</v>
      </c>
      <c r="P766" s="2"/>
      <c r="Q766" s="2"/>
      <c r="R766" s="74">
        <f>IFERROR(__xludf.DUMMYFUNCTION("""COMPUTED_VALUE"""),45672.0)</f>
        <v>45672</v>
      </c>
      <c r="S766" s="2" t="str">
        <f>IFERROR(__xludf.DUMMYFUNCTION("""COMPUTED_VALUE"""),"N/A")</f>
        <v>N/A</v>
      </c>
      <c r="T766" s="73" t="str">
        <f>IFERROR(__xludf.DUMMYFUNCTION("""COMPUTED_VALUE""")," N/A ")</f>
        <v>N/A</v>
      </c>
      <c r="U766" s="73" t="str">
        <f>IFERROR(__xludf.DUMMYFUNCTION("""COMPUTED_VALUE""")," NO CHARGE ")</f>
        <v>NO CHARGE</v>
      </c>
      <c r="V766" s="2"/>
      <c r="W766" s="2" t="str">
        <f>IFERROR(__xludf.DUMMYFUNCTION("""COMPUTED_VALUE"""),"N/A")</f>
        <v>N/A</v>
      </c>
      <c r="X766" s="2" t="str">
        <f>IFERROR(__xludf.DUMMYFUNCTION("""COMPUTED_VALUE"""),"N/A")</f>
        <v>N/A</v>
      </c>
      <c r="Y766" s="2"/>
      <c r="Z766" s="2"/>
      <c r="AA766" s="2"/>
      <c r="AB766" s="2"/>
      <c r="AC766" s="2"/>
      <c r="AD766" s="2"/>
      <c r="AE766" s="2"/>
      <c r="AF766" s="2"/>
      <c r="AG766" s="2"/>
      <c r="AH766" s="2"/>
      <c r="AI766" s="2"/>
      <c r="AJ766" s="2" t="str">
        <f>IFERROR(__xludf.DUMMYFUNCTION("""COMPUTED_VALUE"""),"San Nicolas")</f>
        <v>San Nicolas</v>
      </c>
      <c r="AK766" s="2" t="str">
        <f>IFERROR(__xludf.DUMMYFUNCTION("""COMPUTED_VALUE"""),"Santa Ana")</f>
        <v>Santa Ana</v>
      </c>
      <c r="AL766" s="2" t="str">
        <f>IFERROR(__xludf.DUMMYFUNCTION("""COMPUTED_VALUE"""),"Pampanga")</f>
        <v>Pampanga</v>
      </c>
      <c r="AM766" s="2">
        <f>IFERROR(__xludf.DUMMYFUNCTION("""COMPUTED_VALUE"""),3.0)</f>
        <v>3</v>
      </c>
      <c r="AN766" s="2" t="str">
        <f>IFERROR(__xludf.DUMMYFUNCTION("""COMPUTED_VALUE"""),"RCEF 23-09-21 Rebidding")</f>
        <v>RCEF 23-09-21 Rebidding</v>
      </c>
      <c r="AO766" s="2">
        <f>IFERROR(__xludf.DUMMYFUNCTION("""COMPUTED_VALUE"""),3.0)</f>
        <v>3</v>
      </c>
      <c r="AP766" s="2"/>
      <c r="AQ766" s="2"/>
      <c r="AR766" s="2"/>
      <c r="AS766" s="2"/>
      <c r="AT766" s="2"/>
      <c r="AU766" s="2"/>
      <c r="AV766" s="2"/>
      <c r="AW766" s="2"/>
      <c r="AX766" s="2"/>
      <c r="AY766" s="2"/>
      <c r="AZ766" s="2"/>
      <c r="BA766" s="2"/>
      <c r="BB766" s="2"/>
    </row>
    <row r="767">
      <c r="A767" s="2">
        <f>IFERROR(__xludf.DUMMYFUNCTION("""COMPUTED_VALUE"""),763.0)</f>
        <v>763</v>
      </c>
      <c r="B767" s="2" t="str">
        <f>IFERROR(__xludf.DUMMYFUNCTION("""COMPUTED_VALUE"""),"COMPLETED")</f>
        <v>COMPLETED</v>
      </c>
      <c r="C767" s="74">
        <f>IFERROR(__xludf.DUMMYFUNCTION("""COMPUTED_VALUE"""),45677.0)</f>
        <v>45677</v>
      </c>
      <c r="D767" s="71" t="str">
        <f>IFERROR(__xludf.DUMMYFUNCTION("""COMPUTED_VALUE"""),"ALALAY GRANDE FARMERS IRRIGATOR ASSOCIATION INC.")</f>
        <v>ALALAY GRANDE FARMERS IRRIGATOR ASSOCIATION INC.</v>
      </c>
      <c r="E767" s="71" t="str">
        <f>IFERROR(__xludf.DUMMYFUNCTION("""COMPUTED_VALUE"""),"Alalay Grande, Lupao, NUEVA ECIJA")</f>
        <v>Alalay Grande, Lupao, NUEVA ECIJA</v>
      </c>
      <c r="F767" s="2"/>
      <c r="G767" s="2"/>
      <c r="H767" s="2"/>
      <c r="I767" s="72" t="str">
        <f>IFERROR(__xludf.DUMMYFUNCTION("""COMPUTED_VALUE"""),"REPAIR - TRACTOR")</f>
        <v>REPAIR - TRACTOR</v>
      </c>
      <c r="J767" s="72" t="str">
        <f>IFERROR(__xludf.DUMMYFUNCTION("""COMPUTED_VALUE"""),"Front Axle - Leaking")</f>
        <v>Front Axle - Leaking</v>
      </c>
      <c r="K767" s="72" t="str">
        <f>IFERROR(__xludf.DUMMYFUNCTION("""COMPUTED_VALUE"""),"ACS: LEAK FRONT DRIVE
PARTS: FRONT AXLE OIL SEAL")</f>
        <v>ACS: LEAK FRONT DRIVE
PARTS: FRONT AXLE OIL SEAL</v>
      </c>
      <c r="L767" s="72" t="str">
        <f>IFERROR(__xludf.DUMMYFUNCTION("""COMPUTED_VALUE"""),"JHP:  CLOSE NA DAHIL AYAW NG PSESYO NG OIL SEAL NI FARMER")</f>
        <v>JHP:  CLOSE NA DAHIL AYAW NG PSESYO NG OIL SEAL NI FARMER</v>
      </c>
      <c r="M767" s="2"/>
      <c r="N767" s="2"/>
      <c r="O767" s="2" t="str">
        <f>IFERROR(__xludf.DUMMYFUNCTION("""COMPUTED_VALUE"""),"N/A")</f>
        <v>N/A</v>
      </c>
      <c r="P767" s="2"/>
      <c r="Q767" s="2"/>
      <c r="R767" s="74">
        <f>IFERROR(__xludf.DUMMYFUNCTION("""COMPUTED_VALUE"""),45693.0)</f>
        <v>45693</v>
      </c>
      <c r="S767" s="2" t="str">
        <f>IFERROR(__xludf.DUMMYFUNCTION("""COMPUTED_VALUE"""),"JHP")</f>
        <v>JHP</v>
      </c>
      <c r="T767" s="73" t="str">
        <f>IFERROR(__xludf.DUMMYFUNCTION("""COMPUTED_VALUE""")," N/A ")</f>
        <v>N/A</v>
      </c>
      <c r="U767" s="73" t="str">
        <f>IFERROR(__xludf.DUMMYFUNCTION("""COMPUTED_VALUE""")," NO CHARGE ")</f>
        <v>NO CHARGE</v>
      </c>
      <c r="V767" s="2"/>
      <c r="W767" s="2" t="str">
        <f>IFERROR(__xludf.DUMMYFUNCTION("""COMPUTED_VALUE"""),"N/A")</f>
        <v>N/A</v>
      </c>
      <c r="X767" s="2" t="str">
        <f>IFERROR(__xludf.DUMMYFUNCTION("""COMPUTED_VALUE"""),"N/A")</f>
        <v>N/A</v>
      </c>
      <c r="Y767" s="2"/>
      <c r="Z767" s="2"/>
      <c r="AA767" s="2"/>
      <c r="AB767" s="2"/>
      <c r="AC767" s="2"/>
      <c r="AD767" s="2"/>
      <c r="AE767" s="2" t="str">
        <f>IFERROR(__xludf.DUMMYFUNCTION("""COMPUTED_VALUE"""),"ALALAY-1ST PMS.jpg")</f>
        <v>ALALAY-1ST PMS.jpg</v>
      </c>
      <c r="AF767" s="2" t="str">
        <f>IFERROR(__xludf.DUMMYFUNCTION("""COMPUTED_VALUE"""),"ALALAY-1ST PMS2.jpg")</f>
        <v>ALALAY-1ST PMS2.jpg</v>
      </c>
      <c r="AG767" s="2"/>
      <c r="AH767" s="2"/>
      <c r="AI767" s="2"/>
      <c r="AJ767" s="2" t="str">
        <f>IFERROR(__xludf.DUMMYFUNCTION("""COMPUTED_VALUE"""),"Alalay Grande")</f>
        <v>Alalay Grande</v>
      </c>
      <c r="AK767" s="2" t="str">
        <f>IFERROR(__xludf.DUMMYFUNCTION("""COMPUTED_VALUE"""),"Lupao")</f>
        <v>Lupao</v>
      </c>
      <c r="AL767" s="2" t="str">
        <f>IFERROR(__xludf.DUMMYFUNCTION("""COMPUTED_VALUE"""),"Nueva Ecija")</f>
        <v>Nueva Ecija</v>
      </c>
      <c r="AM767" s="2">
        <f>IFERROR(__xludf.DUMMYFUNCTION("""COMPUTED_VALUE"""),3.0)</f>
        <v>3</v>
      </c>
      <c r="AN767" s="2" t="str">
        <f>IFERROR(__xludf.DUMMYFUNCTION("""COMPUTED_VALUE"""),"RCEF 23-09-21 Rebidding")</f>
        <v>RCEF 23-09-21 Rebidding</v>
      </c>
      <c r="AO767" s="2">
        <f>IFERROR(__xludf.DUMMYFUNCTION("""COMPUTED_VALUE"""),3.0)</f>
        <v>3</v>
      </c>
      <c r="AP767" s="2"/>
      <c r="AQ767" s="2"/>
      <c r="AR767" s="2"/>
      <c r="AS767" s="2"/>
      <c r="AT767" s="2"/>
      <c r="AU767" s="2"/>
      <c r="AV767" s="2"/>
      <c r="AW767" s="2"/>
      <c r="AX767" s="2"/>
      <c r="AY767" s="2"/>
      <c r="AZ767" s="2"/>
      <c r="BA767" s="2"/>
      <c r="BB767" s="2"/>
    </row>
    <row r="768">
      <c r="A768" s="2">
        <f>IFERROR(__xludf.DUMMYFUNCTION("""COMPUTED_VALUE"""),764.0)</f>
        <v>764</v>
      </c>
      <c r="B768" s="2" t="str">
        <f>IFERROR(__xludf.DUMMYFUNCTION("""COMPUTED_VALUE"""),"COMPLETED")</f>
        <v>COMPLETED</v>
      </c>
      <c r="C768" s="74">
        <f>IFERROR(__xludf.DUMMYFUNCTION("""COMPUTED_VALUE"""),45677.0)</f>
        <v>45677</v>
      </c>
      <c r="D768" s="71" t="str">
        <f>IFERROR(__xludf.DUMMYFUNCTION("""COMPUTED_VALUE"""),"Sapang Buhay Agriculture Cooperative")</f>
        <v>Sapang Buhay Agriculture Cooperative</v>
      </c>
      <c r="E768" s="71" t="str">
        <f>IFERROR(__xludf.DUMMYFUNCTION("""COMPUTED_VALUE"""),"Tagpos, Santa Rosa, NUEVA ECIJA")</f>
        <v>Tagpos, Santa Rosa, NUEVA ECIJA</v>
      </c>
      <c r="F768" s="2" t="str">
        <f>IFERROR(__xludf.DUMMYFUNCTION("""COMPUTED_VALUE"""),"BOBBY DIAZ")</f>
        <v>BOBBY DIAZ</v>
      </c>
      <c r="G768" s="2">
        <f>IFERROR(__xludf.DUMMYFUNCTION("""COMPUTED_VALUE"""),9.499854314E9)</f>
        <v>9499854314</v>
      </c>
      <c r="H768" s="2">
        <f>IFERROR(__xludf.DUMMYFUNCTION("""COMPUTED_VALUE"""),300.0)</f>
        <v>300</v>
      </c>
      <c r="I768" s="72" t="str">
        <f>IFERROR(__xludf.DUMMYFUNCTION("""COMPUTED_VALUE"""),"REPAIR - TRACTOR")</f>
        <v>REPAIR - TRACTOR</v>
      </c>
      <c r="J768" s="72" t="str">
        <f>IFERROR(__xludf.DUMMYFUNCTION("""COMPUTED_VALUE"""),"Hydraulic Hose Leak")</f>
        <v>Hydraulic Hose Leak</v>
      </c>
      <c r="K768" s="72" t="str">
        <f>IFERROR(__xludf.DUMMYFUNCTION("""COMPUTED_VALUE"""),"EGT:  hydraulic oil leak at right fork of bucket attachment on TYM TRACTOR
PARTS: PITTING
FARMER: 2ND PMS
CFG: ENGINE OIL FILTER LEAKING ")</f>
        <v>EGT:  hydraulic oil leak at right fork of bucket attachment on TYM TRACTOR
PARTS: PITTING
FARMER: 2ND PMS
CFG: ENGINE OIL FILTER LEAKING </v>
      </c>
      <c r="L768" s="72"/>
      <c r="M768" s="2"/>
      <c r="N768" s="2"/>
      <c r="O768" s="2" t="str">
        <f>IFERROR(__xludf.DUMMYFUNCTION("""COMPUTED_VALUE"""),"NEED SERVICE REPORT")</f>
        <v>NEED SERVICE REPORT</v>
      </c>
      <c r="P768" s="2"/>
      <c r="Q768" s="2"/>
      <c r="R768" s="74">
        <f>IFERROR(__xludf.DUMMYFUNCTION("""COMPUTED_VALUE"""),45701.0)</f>
        <v>45701</v>
      </c>
      <c r="S768" s="2" t="str">
        <f>IFERROR(__xludf.DUMMYFUNCTION("""COMPUTED_VALUE"""),"CFG/CTF")</f>
        <v>CFG/CTF</v>
      </c>
      <c r="T768" s="73">
        <f>IFERROR(__xludf.DUMMYFUNCTION("""COMPUTED_VALUE"""),2748.0)</f>
        <v>2748</v>
      </c>
      <c r="U768" s="73" t="str">
        <f>IFERROR(__xludf.DUMMYFUNCTION("""COMPUTED_VALUE""")," REMITTED ")</f>
        <v>REMITTED</v>
      </c>
      <c r="V768" s="2"/>
      <c r="W768" s="2">
        <f>IFERROR(__xludf.DUMMYFUNCTION("""COMPUTED_VALUE"""),1297.0)</f>
        <v>1297</v>
      </c>
      <c r="X768" s="2">
        <f>IFERROR(__xludf.DUMMYFUNCTION("""COMPUTED_VALUE"""),1511.0)</f>
        <v>1511</v>
      </c>
      <c r="Y768" s="2"/>
      <c r="Z768" s="2"/>
      <c r="AA768" s="2"/>
      <c r="AB768" s="2"/>
      <c r="AC768" s="2"/>
      <c r="AD768" s="2"/>
      <c r="AE768" s="2"/>
      <c r="AF768" s="2"/>
      <c r="AG768" s="2"/>
      <c r="AH768" s="2"/>
      <c r="AI768" s="2"/>
      <c r="AJ768" s="2" t="str">
        <f>IFERROR(__xludf.DUMMYFUNCTION("""COMPUTED_VALUE"""),"Tagpos")</f>
        <v>Tagpos</v>
      </c>
      <c r="AK768" s="2" t="str">
        <f>IFERROR(__xludf.DUMMYFUNCTION("""COMPUTED_VALUE"""),"Santa Rosa")</f>
        <v>Santa Rosa</v>
      </c>
      <c r="AL768" s="2" t="str">
        <f>IFERROR(__xludf.DUMMYFUNCTION("""COMPUTED_VALUE"""),"Nueva Ecija")</f>
        <v>Nueva Ecija</v>
      </c>
      <c r="AM768" s="2">
        <f>IFERROR(__xludf.DUMMYFUNCTION("""COMPUTED_VALUE"""),3.0)</f>
        <v>3</v>
      </c>
      <c r="AN768" s="2" t="str">
        <f>IFERROR(__xludf.DUMMYFUNCTION("""COMPUTED_VALUE"""),"RCEF 23-09-21 Rebidding")</f>
        <v>RCEF 23-09-21 Rebidding</v>
      </c>
      <c r="AO768" s="2">
        <f>IFERROR(__xludf.DUMMYFUNCTION("""COMPUTED_VALUE"""),3.0)</f>
        <v>3</v>
      </c>
      <c r="AP768" s="2"/>
      <c r="AQ768" s="2"/>
      <c r="AR768" s="2"/>
      <c r="AS768" s="2"/>
      <c r="AT768" s="2"/>
      <c r="AU768" s="2"/>
      <c r="AV768" s="2"/>
      <c r="AW768" s="2"/>
      <c r="AX768" s="2"/>
      <c r="AY768" s="2"/>
      <c r="AZ768" s="2"/>
      <c r="BA768" s="2"/>
      <c r="BB768" s="2"/>
    </row>
    <row r="769">
      <c r="A769" s="2">
        <f>IFERROR(__xludf.DUMMYFUNCTION("""COMPUTED_VALUE"""),765.0)</f>
        <v>765</v>
      </c>
      <c r="B769" s="2" t="str">
        <f>IFERROR(__xludf.DUMMYFUNCTION("""COMPUTED_VALUE"""),"COMPLETED")</f>
        <v>COMPLETED</v>
      </c>
      <c r="C769" s="74">
        <f>IFERROR(__xludf.DUMMYFUNCTION("""COMPUTED_VALUE"""),45678.0)</f>
        <v>45678</v>
      </c>
      <c r="D769" s="71"/>
      <c r="E769" s="71" t="str">
        <f>IFERROR(__xludf.DUMMYFUNCTION("""COMPUTED_VALUE""")," ")</f>
        <v> </v>
      </c>
      <c r="F769" s="2" t="str">
        <f>IFERROR(__xludf.DUMMYFUNCTION("""COMPUTED_VALUE"""),"1 NEW UNIT
AKRFPV0969")</f>
        <v>1 NEW UNIT
AKRFPV0969</v>
      </c>
      <c r="G769" s="2"/>
      <c r="H769" s="2"/>
      <c r="I769" s="72" t="str">
        <f>IFERROR(__xludf.DUMMYFUNCTION("""COMPUTED_VALUE"""),"REPAIR - TRACTOR")</f>
        <v>REPAIR - TRACTOR</v>
      </c>
      <c r="J769" s="72" t="str">
        <f>IFERROR(__xludf.DUMMYFUNCTION("""COMPUTED_VALUE"""),"STARTER")</f>
        <v>STARTER</v>
      </c>
      <c r="K769" s="72" t="str">
        <f>IFERROR(__xludf.DUMMYFUNCTION("""COMPUTED_VALUE"""),"DSD: BUMABALIK ANG SOLINIOD, TULOY TULOY ANG IKOT KAHIT NAKAPATAY, NAG UUSOK ANG STARTER, OK ANG WIRING PERO MAY SHORT CIRCUIT")</f>
        <v>DSD: BUMABALIK ANG SOLINIOD, TULOY TULOY ANG IKOT KAHIT NAKAPATAY, NAG UUSOK ANG STARTER, OK ANG WIRING PERO MAY SHORT CIRCUIT</v>
      </c>
      <c r="L769" s="72" t="str">
        <f>IFERROR(__xludf.DUMMYFUNCTION("""COMPUTED_VALUE"""),"JVV: REPLACED STARTER")</f>
        <v>JVV: REPLACED STARTER</v>
      </c>
      <c r="M769" s="2"/>
      <c r="N769" s="2" t="str">
        <f>IFERROR(__xludf.DUMMYFUNCTION("""COMPUTED_VALUE"""),"PARTS: STARTER")</f>
        <v>PARTS: STARTER</v>
      </c>
      <c r="O769" s="2" t="str">
        <f>IFERROR(__xludf.DUMMYFUNCTION("""COMPUTED_VALUE"""),"NEED SERVICE REPORT")</f>
        <v>NEED SERVICE REPORT</v>
      </c>
      <c r="P769" s="2"/>
      <c r="Q769" s="2"/>
      <c r="R769" s="74">
        <f>IFERROR(__xludf.DUMMYFUNCTION("""COMPUTED_VALUE"""),45740.0)</f>
        <v>45740</v>
      </c>
      <c r="S769" s="2" t="str">
        <f>IFERROR(__xludf.DUMMYFUNCTION("""COMPUTED_VALUE"""),"JVV")</f>
        <v>JVV</v>
      </c>
      <c r="T769" s="73" t="str">
        <f>IFERROR(__xludf.DUMMYFUNCTION("""COMPUTED_VALUE""")," N/A ")</f>
        <v>N/A</v>
      </c>
      <c r="U769" s="73" t="str">
        <f>IFERROR(__xludf.DUMMYFUNCTION("""COMPUTED_VALUE""")," NO CHARGE ")</f>
        <v>NO CHARGE</v>
      </c>
      <c r="V769" s="2"/>
      <c r="W769" s="2" t="str">
        <f>IFERROR(__xludf.DUMMYFUNCTION("""COMPUTED_VALUE"""),"N/A")</f>
        <v>N/A</v>
      </c>
      <c r="X769" s="2" t="str">
        <f>IFERROR(__xludf.DUMMYFUNCTION("""COMPUTED_VALUE"""),"N/A")</f>
        <v>N/A</v>
      </c>
      <c r="Y769" s="2"/>
      <c r="Z769" s="2"/>
      <c r="AA769" s="2"/>
      <c r="AB769" s="2"/>
      <c r="AC769" s="2"/>
      <c r="AD769" s="2"/>
      <c r="AE769" s="2"/>
      <c r="AF769" s="2"/>
      <c r="AG769" s="2"/>
      <c r="AH769" s="2"/>
      <c r="AI769" s="2"/>
      <c r="AJ769" s="2" t="str">
        <f>IFERROR(__xludf.DUMMYFUNCTION("""COMPUTED_VALUE"""),"")</f>
        <v/>
      </c>
      <c r="AK769" s="2" t="str">
        <f>IFERROR(__xludf.DUMMYFUNCTION("""COMPUTED_VALUE"""),"")</f>
        <v/>
      </c>
      <c r="AL769" s="2" t="str">
        <f>IFERROR(__xludf.DUMMYFUNCTION("""COMPUTED_VALUE"""),"")</f>
        <v/>
      </c>
      <c r="AM769" s="2" t="str">
        <f>IFERROR(__xludf.DUMMYFUNCTION("""COMPUTED_VALUE"""),"")</f>
        <v/>
      </c>
      <c r="AN769" s="2" t="str">
        <f>IFERROR(__xludf.DUMMYFUNCTION("""COMPUTED_VALUE""")," ")</f>
        <v> </v>
      </c>
      <c r="AO769" s="2" t="str">
        <f>IFERROR(__xludf.DUMMYFUNCTION("""COMPUTED_VALUE""")," ")</f>
        <v> </v>
      </c>
      <c r="AP769" s="2" t="str">
        <f>IFERROR(__xludf.DUMMYFUNCTION("""COMPUTED_VALUE"""),"")</f>
        <v/>
      </c>
      <c r="AQ769" s="2"/>
      <c r="AR769" s="2"/>
      <c r="AS769" s="2"/>
      <c r="AT769" s="2"/>
      <c r="AU769" s="2"/>
      <c r="AV769" s="2"/>
      <c r="AW769" s="2"/>
      <c r="AX769" s="2"/>
      <c r="AY769" s="2"/>
      <c r="AZ769" s="2"/>
      <c r="BA769" s="2"/>
      <c r="BB769" s="2"/>
    </row>
    <row r="770">
      <c r="A770" s="2">
        <f>IFERROR(__xludf.DUMMYFUNCTION("""COMPUTED_VALUE"""),766.0)</f>
        <v>766</v>
      </c>
      <c r="B770" s="2" t="str">
        <f>IFERROR(__xludf.DUMMYFUNCTION("""COMPUTED_VALUE"""),"COMPLETED")</f>
        <v>COMPLETED</v>
      </c>
      <c r="C770" s="74">
        <f>IFERROR(__xludf.DUMMYFUNCTION("""COMPUTED_VALUE"""),45678.0)</f>
        <v>45678</v>
      </c>
      <c r="D770" s="71" t="str">
        <f>IFERROR(__xludf.DUMMYFUNCTION("""COMPUTED_VALUE"""),"SAMAHAN NG MAGSASAKA NG JC PAYUMO JR. DINALUPIHAN BATAAN")</f>
        <v>SAMAHAN NG MAGSASAKA NG JC PAYUMO JR. DINALUPIHAN BATAAN</v>
      </c>
      <c r="E770" s="71" t="str">
        <f>IFERROR(__xludf.DUMMYFUNCTION("""COMPUTED_VALUE"""),"""Jose C. Payumo Jr."", Dinalupihan, BATAAN")</f>
        <v>"Jose C. Payumo Jr.", Dinalupihan, BATAAN</v>
      </c>
      <c r="F770" s="2" t="str">
        <f>IFERROR(__xludf.DUMMYFUNCTION("""COMPUTED_VALUE"""),"GEMA I. ASKEN")</f>
        <v>GEMA I. ASKEN</v>
      </c>
      <c r="G770" s="2">
        <f>IFERROR(__xludf.DUMMYFUNCTION("""COMPUTED_VALUE"""),6.39178005413E11)</f>
        <v>639178005413</v>
      </c>
      <c r="H770" s="2"/>
      <c r="I770" s="72" t="str">
        <f>IFERROR(__xludf.DUMMYFUNCTION("""COMPUTED_VALUE"""),"REPAIR - ROTAVATOR")</f>
        <v>REPAIR - ROTAVATOR</v>
      </c>
      <c r="J770" s="72" t="str">
        <f>IFERROR(__xludf.DUMMYFUNCTION("""COMPUTED_VALUE"""),"Gearbox")</f>
        <v>Gearbox</v>
      </c>
      <c r="K770" s="72" t="str">
        <f>IFERROR(__xludf.DUMMYFUNCTION("""COMPUTED_VALUE"""),"PARTS ORDER: BEVEL GEAR 24T, 2 HARD LOCK NUT, BEARING #32211, DRIVE SHAFT 
EGT: 2/25/25: UPON ASSESSMENT PARTS NEEDED: 1 pc Taper roller bearing  #30309 , 1 pc Oil seal  55-80-12")</f>
        <v>PARTS ORDER: BEVEL GEAR 24T, 2 HARD LOCK NUT, BEARING #32211, DRIVE SHAFT 
EGT: 2/25/25: UPON ASSESSMENT PARTS NEEDED: 1 pc Taper roller bearing  #30309 , 1 pc Oil seal  55-80-12</v>
      </c>
      <c r="L770" s="72" t="str">
        <f>IFERROR(__xludf.DUMMYFUNCTION("""COMPUTED_VALUE"""),"EGT: REPLACED 1 pc LSGW drive shaft 
1 pc LSGW Bevel Gear 24T 
1 pc LSGW Pinion Gear 11T 
1 pc Taper roller bearing 30309
1 pc taper roller bearing 32211
1 pc Oil seal 55 - 85 -12
2 PC HARD LUCK NUT")</f>
        <v>EGT: REPLACED 1 pc LSGW drive shaft 
1 pc LSGW Bevel Gear 24T 
1 pc LSGW Pinion Gear 11T 
1 pc Taper roller bearing 30309
1 pc taper roller bearing 32211
1 pc Oil seal 55 - 85 -12
2 PC HARD LUCK NUT</v>
      </c>
      <c r="M770" s="2"/>
      <c r="N770" s="2" t="str">
        <f>IFERROR(__xludf.DUMMYFUNCTION("""COMPUTED_VALUE"""),"EGT: REPLACED 
1 pc LSGW drive shaft 
1 pc LSGW Bevel Gear 24T 
1 pc LSGW Pinion Gear 11T 
1 pc Taper roller bearing 30309
1 pc taper roller bearing 32211
1 pc Oil seal 55 - 85 -12
2 PC HARD LUCK NUT")</f>
        <v>EGT: REPLACED 
1 pc LSGW drive shaft 
1 pc LSGW Bevel Gear 24T 
1 pc LSGW Pinion Gear 11T 
1 pc Taper roller bearing 30309
1 pc taper roller bearing 32211
1 pc Oil seal 55 - 85 -12
2 PC HARD LUCK NUT</v>
      </c>
      <c r="O770" s="2" t="str">
        <f>IFERROR(__xludf.DUMMYFUNCTION("""COMPUTED_VALUE"""),"NEED SERVICE REPORT")</f>
        <v>NEED SERVICE REPORT</v>
      </c>
      <c r="P770" s="2"/>
      <c r="Q770" s="2"/>
      <c r="R770" s="74">
        <f>IFERROR(__xludf.DUMMYFUNCTION("""COMPUTED_VALUE"""),45736.0)</f>
        <v>45736</v>
      </c>
      <c r="S770" s="2" t="str">
        <f>IFERROR(__xludf.DUMMYFUNCTION("""COMPUTED_VALUE"""),"EGT/DRM")</f>
        <v>EGT/DRM</v>
      </c>
      <c r="T770" s="73">
        <f>IFERROR(__xludf.DUMMYFUNCTION("""COMPUTED_VALUE"""),49500.0)</f>
        <v>49500</v>
      </c>
      <c r="U770" s="73" t="str">
        <f>IFERROR(__xludf.DUMMYFUNCTION("""COMPUTED_VALUE""")," REMITTED ")</f>
        <v>REMITTED</v>
      </c>
      <c r="V770" s="2"/>
      <c r="W770" s="2">
        <f>IFERROR(__xludf.DUMMYFUNCTION("""COMPUTED_VALUE"""),1409.0)</f>
        <v>1409</v>
      </c>
      <c r="X770" s="2">
        <f>IFERROR(__xludf.DUMMYFUNCTION("""COMPUTED_VALUE"""),1400.0)</f>
        <v>1400</v>
      </c>
      <c r="Y770" s="2"/>
      <c r="Z770" s="2"/>
      <c r="AA770" s="2"/>
      <c r="AB770" s="2"/>
      <c r="AC770" s="2"/>
      <c r="AD770" s="2"/>
      <c r="AE770" s="2"/>
      <c r="AF770" s="2"/>
      <c r="AG770" s="2"/>
      <c r="AH770" s="2"/>
      <c r="AI770" s="2"/>
      <c r="AJ770" s="2" t="str">
        <f>IFERROR(__xludf.DUMMYFUNCTION("""COMPUTED_VALUE"""),"""Jose C. Payumo Jr.""")</f>
        <v>"Jose C. Payumo Jr."</v>
      </c>
      <c r="AK770" s="2" t="str">
        <f>IFERROR(__xludf.DUMMYFUNCTION("""COMPUTED_VALUE"""),"Dinalupihan")</f>
        <v>Dinalupihan</v>
      </c>
      <c r="AL770" s="2" t="str">
        <f>IFERROR(__xludf.DUMMYFUNCTION("""COMPUTED_VALUE"""),"Bataan")</f>
        <v>Bataan</v>
      </c>
      <c r="AM770" s="2">
        <f>IFERROR(__xludf.DUMMYFUNCTION("""COMPUTED_VALUE"""),3.0)</f>
        <v>3</v>
      </c>
      <c r="AN770" s="2" t="str">
        <f>IFERROR(__xludf.DUMMYFUNCTION("""COMPUTED_VALUE"""),"RCEF 23-09-21 Rebidding")</f>
        <v>RCEF 23-09-21 Rebidding</v>
      </c>
      <c r="AO770" s="2">
        <f>IFERROR(__xludf.DUMMYFUNCTION("""COMPUTED_VALUE"""),9.0)</f>
        <v>9</v>
      </c>
      <c r="AP770" s="2"/>
      <c r="AQ770" s="2"/>
      <c r="AR770" s="2"/>
      <c r="AS770" s="2"/>
      <c r="AT770" s="2"/>
      <c r="AU770" s="2"/>
      <c r="AV770" s="2"/>
      <c r="AW770" s="2"/>
      <c r="AX770" s="2"/>
      <c r="AY770" s="2"/>
      <c r="AZ770" s="2"/>
      <c r="BA770" s="2"/>
      <c r="BB770" s="2"/>
    </row>
    <row r="771">
      <c r="A771" s="2">
        <f>IFERROR(__xludf.DUMMYFUNCTION("""COMPUTED_VALUE"""),767.0)</f>
        <v>767</v>
      </c>
      <c r="B771" s="2" t="str">
        <f>IFERROR(__xludf.DUMMYFUNCTION("""COMPUTED_VALUE"""),"COMPLETED")</f>
        <v>COMPLETED</v>
      </c>
      <c r="C771" s="74">
        <f>IFERROR(__xludf.DUMMYFUNCTION("""COMPUTED_VALUE"""),45678.0)</f>
        <v>45678</v>
      </c>
      <c r="D771" s="71" t="str">
        <f>IFERROR(__xludf.DUMMYFUNCTION("""COMPUTED_VALUE"""),"BINHING BUTIL AGRICULTURAL MAKER ASSOCIATION (BBAMA)")</f>
        <v>BINHING BUTIL AGRICULTURAL MAKER ASSOCIATION (BBAMA)</v>
      </c>
      <c r="E771" s="71" t="str">
        <f>IFERROR(__xludf.DUMMYFUNCTION("""COMPUTED_VALUE"""),", Penaranda, NUEVA ECIJA")</f>
        <v>, Penaranda, NUEVA ECIJA</v>
      </c>
      <c r="F771" s="2" t="str">
        <f>IFERROR(__xludf.DUMMYFUNCTION("""COMPUTED_VALUE"""),"ROGELIO RAMOS")</f>
        <v>ROGELIO RAMOS</v>
      </c>
      <c r="G771" s="2">
        <f>IFERROR(__xludf.DUMMYFUNCTION("""COMPUTED_VALUE"""),9.614554945E9)</f>
        <v>9614554945</v>
      </c>
      <c r="H771" s="2">
        <f>IFERROR(__xludf.DUMMYFUNCTION("""COMPUTED_VALUE"""),51.7)</f>
        <v>51.7</v>
      </c>
      <c r="I771" s="72" t="str">
        <f>IFERROR(__xludf.DUMMYFUNCTION("""COMPUTED_VALUE"""),"REPAIR - TRACTOR")</f>
        <v>REPAIR - TRACTOR</v>
      </c>
      <c r="J771" s="72" t="str">
        <f>IFERROR(__xludf.DUMMYFUNCTION("""COMPUTED_VALUE"""),"Engine - Overhaul")</f>
        <v>Engine - Overhaul</v>
      </c>
      <c r="K771" s="72" t="str">
        <f>IFERROR(__xludf.DUMMYFUNCTION("""COMPUTED_VALUE"""),"FARMER: PAG NIREREVOLUTION, NAG UUSOK SYA NG PUTI AT TALONG ARAW PALANG NA PAPAANDAR NA NGANGALAHATI ANG LANGIS
PARTS: ENGINE BLOCK ASSY, CYLINDER HEAD GASKET, PISTON RING SET,")</f>
        <v>FARMER: PAG NIREREVOLUTION, NAG UUSOK SYA NG PUTI AT TALONG ARAW PALANG NA PAPAANDAR NA NGANGALAHATI ANG LANGIS
PARTS: ENGINE BLOCK ASSY, CYLINDER HEAD GASKET, PISTON RING SET,</v>
      </c>
      <c r="L771" s="72" t="str">
        <f>IFERROR(__xludf.DUMMYFUNCTION("""COMPUTED_VALUE"""),"DSD: OVERHAUL THE ENGINE")</f>
        <v>DSD: OVERHAUL THE ENGINE</v>
      </c>
      <c r="M771" s="2"/>
      <c r="N771" s="2" t="str">
        <f>IFERROR(__xludf.DUMMYFUNCTION("""COMPUTED_VALUE"""),"PARTS: 
1-EGINE BLOCK (REPAIRED)
4-PISTON RING
1-CYLINDER HEAD GASKET
4.5-ENGINE OIL")</f>
        <v>PARTS: 
1-EGINE BLOCK (REPAIRED)
4-PISTON RING
1-CYLINDER HEAD GASKET
4.5-ENGINE OIL</v>
      </c>
      <c r="O771" s="2">
        <f>IFERROR(__xludf.DUMMYFUNCTION("""COMPUTED_VALUE"""),1413.0)</f>
        <v>1413</v>
      </c>
      <c r="P771" s="2"/>
      <c r="Q771" s="2" t="str">
        <f>IFERROR(__xludf.DUMMYFUNCTION("""COMPUTED_VALUE"""),"Y")</f>
        <v>Y</v>
      </c>
      <c r="R771" s="74">
        <f>IFERROR(__xludf.DUMMYFUNCTION("""COMPUTED_VALUE"""),45866.0)</f>
        <v>45866</v>
      </c>
      <c r="S771" s="2" t="str">
        <f>IFERROR(__xludf.DUMMYFUNCTION("""COMPUTED_VALUE"""),"DSD/JHP/ACS")</f>
        <v>DSD/JHP/ACS</v>
      </c>
      <c r="T771" s="73" t="str">
        <f>IFERROR(__xludf.DUMMYFUNCTION("""COMPUTED_VALUE""")," N/A ")</f>
        <v>N/A</v>
      </c>
      <c r="U771" s="73" t="str">
        <f>IFERROR(__xludf.DUMMYFUNCTION("""COMPUTED_VALUE""")," NO CHARGE ")</f>
        <v>NO CHARGE</v>
      </c>
      <c r="V771" s="2"/>
      <c r="W771" s="2" t="str">
        <f>IFERROR(__xludf.DUMMYFUNCTION("""COMPUTED_VALUE"""),"N/A")</f>
        <v>N/A</v>
      </c>
      <c r="X771" s="2" t="str">
        <f>IFERROR(__xludf.DUMMYFUNCTION("""COMPUTED_VALUE"""),"N/A")</f>
        <v>N/A</v>
      </c>
      <c r="Y771" s="2"/>
      <c r="Z771" s="2"/>
      <c r="AA771" s="2" t="str">
        <f>IFERROR(__xludf.DUMMYFUNCTION("""COMPUTED_VALUE"""),"APPROVED")</f>
        <v>APPROVED</v>
      </c>
      <c r="AB771" s="2"/>
      <c r="AC771" s="2"/>
      <c r="AD771" s="2"/>
      <c r="AE771" s="2"/>
      <c r="AF771" s="2"/>
      <c r="AG771" s="2"/>
      <c r="AH771" s="2"/>
      <c r="AI771" s="2"/>
      <c r="AJ771" s="2" t="str">
        <f>IFERROR(__xludf.DUMMYFUNCTION("""COMPUTED_VALUE"""),"")</f>
        <v/>
      </c>
      <c r="AK771" s="2" t="str">
        <f>IFERROR(__xludf.DUMMYFUNCTION("""COMPUTED_VALUE"""),"Penaranda")</f>
        <v>Penaranda</v>
      </c>
      <c r="AL771" s="2" t="str">
        <f>IFERROR(__xludf.DUMMYFUNCTION("""COMPUTED_VALUE"""),"Nueva Ecija")</f>
        <v>Nueva Ecija</v>
      </c>
      <c r="AM771" s="2">
        <f>IFERROR(__xludf.DUMMYFUNCTION("""COMPUTED_VALUE"""),3.0)</f>
        <v>3</v>
      </c>
      <c r="AN771" s="2" t="str">
        <f>IFERROR(__xludf.DUMMYFUNCTION("""COMPUTED_VALUE"""),"RCEF 23-09-21 Rebidding")</f>
        <v>RCEF 23-09-21 Rebidding</v>
      </c>
      <c r="AO771" s="2">
        <f>IFERROR(__xludf.DUMMYFUNCTION("""COMPUTED_VALUE"""),3.0)</f>
        <v>3</v>
      </c>
      <c r="AP771" s="2"/>
      <c r="AQ771" s="2"/>
      <c r="AR771" s="2"/>
      <c r="AS771" s="2"/>
      <c r="AT771" s="2"/>
      <c r="AU771" s="2"/>
      <c r="AV771" s="2"/>
      <c r="AW771" s="2"/>
      <c r="AX771" s="2"/>
      <c r="AY771" s="2"/>
      <c r="AZ771" s="2"/>
      <c r="BA771" s="2"/>
      <c r="BB771" s="2"/>
    </row>
    <row r="772">
      <c r="A772" s="2">
        <f>IFERROR(__xludf.DUMMYFUNCTION("""COMPUTED_VALUE"""),768.0)</f>
        <v>768</v>
      </c>
      <c r="B772" s="2" t="str">
        <f>IFERROR(__xludf.DUMMYFUNCTION("""COMPUTED_VALUE"""),"COMPLETED")</f>
        <v>COMPLETED</v>
      </c>
      <c r="C772" s="74">
        <f>IFERROR(__xludf.DUMMYFUNCTION("""COMPUTED_VALUE"""),45679.0)</f>
        <v>45679</v>
      </c>
      <c r="D772" s="71" t="str">
        <f>IFERROR(__xludf.DUMMYFUNCTION("""COMPUTED_VALUE"""),"LIOZON FISHERFOLKS AND FARMERS' ASSOCIATION")</f>
        <v>LIOZON FISHERFOLKS AND FARMERS' ASSOCIATION</v>
      </c>
      <c r="E772" s="71" t="str">
        <f>IFERROR(__xludf.DUMMYFUNCTION("""COMPUTED_VALUE"""),"Liozon, Palauig, ZAMBALES")</f>
        <v>Liozon, Palauig, ZAMBALES</v>
      </c>
      <c r="F772" s="2" t="str">
        <f>IFERROR(__xludf.DUMMYFUNCTION("""COMPUTED_VALUE"""),"RENE A. ALVES")</f>
        <v>RENE A. ALVES</v>
      </c>
      <c r="G772" s="2">
        <f>IFERROR(__xludf.DUMMYFUNCTION("""COMPUTED_VALUE"""),9.502454865E9)</f>
        <v>9502454865</v>
      </c>
      <c r="H772" s="2"/>
      <c r="I772" s="72" t="str">
        <f>IFERROR(__xludf.DUMMYFUNCTION("""COMPUTED_VALUE"""),"REPAIR - TRACTOR")</f>
        <v>REPAIR - TRACTOR</v>
      </c>
      <c r="J772" s="72" t="str">
        <f>IFERROR(__xludf.DUMMYFUNCTION("""COMPUTED_VALUE"""),"RADIATOR")</f>
        <v>RADIATOR</v>
      </c>
      <c r="K772" s="72" t="str">
        <f>IFERROR(__xludf.DUMMYFUNCTION("""COMPUTED_VALUE"""),"EGT: RADIATOR LEAK")</f>
        <v>EGT: RADIATOR LEAK</v>
      </c>
      <c r="L772" s="72" t="str">
        <f>IFERROR(__xludf.DUMMYFUNCTION("""COMPUTED_VALUE"""),"JTT: REPLACED RADIATOR")</f>
        <v>JTT: REPLACED RADIATOR</v>
      </c>
      <c r="M772" s="2"/>
      <c r="N772" s="2" t="str">
        <f>IFERROR(__xludf.DUMMYFUNCTION("""COMPUTED_VALUE"""),"PARTS: RADIATOR ASSY")</f>
        <v>PARTS: RADIATOR ASSY</v>
      </c>
      <c r="O772" s="2">
        <f>IFERROR(__xludf.DUMMYFUNCTION("""COMPUTED_VALUE"""),12.0)</f>
        <v>12</v>
      </c>
      <c r="P772" s="2"/>
      <c r="Q772" s="2" t="str">
        <f>IFERROR(__xludf.DUMMYFUNCTION("""COMPUTED_VALUE"""),"Y")</f>
        <v>Y</v>
      </c>
      <c r="R772" s="74">
        <f>IFERROR(__xludf.DUMMYFUNCTION("""COMPUTED_VALUE"""),45700.0)</f>
        <v>45700</v>
      </c>
      <c r="S772" s="2" t="str">
        <f>IFERROR(__xludf.DUMMYFUNCTION("""COMPUTED_VALUE"""),"JTT/ECM")</f>
        <v>JTT/ECM</v>
      </c>
      <c r="T772" s="73" t="str">
        <f>IFERROR(__xludf.DUMMYFUNCTION("""COMPUTED_VALUE""")," N/A ")</f>
        <v>N/A</v>
      </c>
      <c r="U772" s="73" t="str">
        <f>IFERROR(__xludf.DUMMYFUNCTION("""COMPUTED_VALUE""")," NO CHARGE ")</f>
        <v>NO CHARGE</v>
      </c>
      <c r="V772" s="2"/>
      <c r="W772" s="2" t="str">
        <f>IFERROR(__xludf.DUMMYFUNCTION("""COMPUTED_VALUE"""),"N/A")</f>
        <v>N/A</v>
      </c>
      <c r="X772" s="2" t="str">
        <f>IFERROR(__xludf.DUMMYFUNCTION("""COMPUTED_VALUE"""),"N/A")</f>
        <v>N/A</v>
      </c>
      <c r="Y772" s="2"/>
      <c r="Z772" s="2"/>
      <c r="AA772" s="2"/>
      <c r="AB772" s="2"/>
      <c r="AC772" s="2"/>
      <c r="AD772" s="2"/>
      <c r="AE772" s="2"/>
      <c r="AF772" s="2"/>
      <c r="AG772" s="2"/>
      <c r="AH772" s="2"/>
      <c r="AI772" s="2"/>
      <c r="AJ772" s="2" t="str">
        <f>IFERROR(__xludf.DUMMYFUNCTION("""COMPUTED_VALUE"""),"Liozon")</f>
        <v>Liozon</v>
      </c>
      <c r="AK772" s="2" t="str">
        <f>IFERROR(__xludf.DUMMYFUNCTION("""COMPUTED_VALUE"""),"Palauig")</f>
        <v>Palauig</v>
      </c>
      <c r="AL772" s="2" t="str">
        <f>IFERROR(__xludf.DUMMYFUNCTION("""COMPUTED_VALUE"""),"Zambales")</f>
        <v>Zambales</v>
      </c>
      <c r="AM772" s="2">
        <f>IFERROR(__xludf.DUMMYFUNCTION("""COMPUTED_VALUE"""),3.0)</f>
        <v>3</v>
      </c>
      <c r="AN772" s="2" t="str">
        <f>IFERROR(__xludf.DUMMYFUNCTION("""COMPUTED_VALUE"""),"RCEF 23-09-21 Rebidding")</f>
        <v>RCEF 23-09-21 Rebidding</v>
      </c>
      <c r="AO772" s="2">
        <f>IFERROR(__xludf.DUMMYFUNCTION("""COMPUTED_VALUE"""),3.0)</f>
        <v>3</v>
      </c>
      <c r="AP772" s="2"/>
      <c r="AQ772" s="2"/>
      <c r="AR772" s="2"/>
      <c r="AS772" s="2"/>
      <c r="AT772" s="2"/>
      <c r="AU772" s="2"/>
      <c r="AV772" s="2"/>
      <c r="AW772" s="2"/>
      <c r="AX772" s="2"/>
      <c r="AY772" s="2"/>
      <c r="AZ772" s="2"/>
      <c r="BA772" s="2"/>
      <c r="BB772" s="2"/>
    </row>
    <row r="773">
      <c r="A773" s="2">
        <f>IFERROR(__xludf.DUMMYFUNCTION("""COMPUTED_VALUE"""),769.0)</f>
        <v>769</v>
      </c>
      <c r="B773" s="2" t="str">
        <f>IFERROR(__xludf.DUMMYFUNCTION("""COMPUTED_VALUE"""),"COMPLETED")</f>
        <v>COMPLETED</v>
      </c>
      <c r="C773" s="74">
        <f>IFERROR(__xludf.DUMMYFUNCTION("""COMPUTED_VALUE"""),45679.0)</f>
        <v>45679</v>
      </c>
      <c r="D773" s="71" t="str">
        <f>IFERROR(__xludf.DUMMYFUNCTION("""COMPUTED_VALUE"""),"San Pedro United Farmers Association")</f>
        <v>San Pedro United Farmers Association</v>
      </c>
      <c r="E773" s="71" t="str">
        <f>IFERROR(__xludf.DUMMYFUNCTION("""COMPUTED_VALUE"""),"San Pedro, Pilar, CAPIZ")</f>
        <v>San Pedro, Pilar, CAPIZ</v>
      </c>
      <c r="F773" s="2" t="str">
        <f>IFERROR(__xludf.DUMMYFUNCTION("""COMPUTED_VALUE"""),"MUYCO BELARMINO RONNIE")</f>
        <v>MUYCO BELARMINO RONNIE</v>
      </c>
      <c r="G773" s="2"/>
      <c r="H773" s="2"/>
      <c r="I773" s="72" t="str">
        <f>IFERROR(__xludf.DUMMYFUNCTION("""COMPUTED_VALUE"""),"REPAIR - DISC PLOW")</f>
        <v>REPAIR - DISC PLOW</v>
      </c>
      <c r="J773" s="72" t="str">
        <f>IFERROR(__xludf.DUMMYFUNCTION("""COMPUTED_VALUE"""),"Disc")</f>
        <v>Disc</v>
      </c>
      <c r="K773" s="72" t="str">
        <f>IFERROR(__xludf.DUMMYFUNCTION("""COMPUTED_VALUE""")," Dish po ma'am  noong denala po kasi dito ni suppliers sa amin mayrong tama na po kong dish at may bitak.. kay noong  ginamit namin natulayan na syang nabiak...
PARTS: SIDE DISC")</f>
        <v> Dish po ma'am  noong denala po kasi dito ni suppliers sa amin mayrong tama na po kong dish at may bitak.. kay noong  ginamit namin natulayan na syang nabiak...
PARTS: SIDE DISC</v>
      </c>
      <c r="L773" s="72" t="str">
        <f>IFERROR(__xludf.DUMMYFUNCTION("""COMPUTED_VALUE"""),"EGT: HINDI WARRANTY, MALIGALIG YUNG FARMER")</f>
        <v>EGT: HINDI WARRANTY, MALIGALIG YUNG FARMER</v>
      </c>
      <c r="M773" s="2"/>
      <c r="N773" s="2"/>
      <c r="O773" s="2" t="str">
        <f>IFERROR(__xludf.DUMMYFUNCTION("""COMPUTED_VALUE"""),"N/A")</f>
        <v>N/A</v>
      </c>
      <c r="P773" s="2"/>
      <c r="Q773" s="2"/>
      <c r="R773" s="74">
        <f>IFERROR(__xludf.DUMMYFUNCTION("""COMPUTED_VALUE"""),45700.0)</f>
        <v>45700</v>
      </c>
      <c r="S773" s="2" t="str">
        <f>IFERROR(__xludf.DUMMYFUNCTION("""COMPUTED_VALUE"""),"EGT/DRM")</f>
        <v>EGT/DRM</v>
      </c>
      <c r="T773" s="73" t="str">
        <f>IFERROR(__xludf.DUMMYFUNCTION("""COMPUTED_VALUE""")," N/A ")</f>
        <v>N/A</v>
      </c>
      <c r="U773" s="73" t="str">
        <f>IFERROR(__xludf.DUMMYFUNCTION("""COMPUTED_VALUE""")," NO CHARGE ")</f>
        <v>NO CHARGE</v>
      </c>
      <c r="V773" s="2"/>
      <c r="W773" s="2" t="str">
        <f>IFERROR(__xludf.DUMMYFUNCTION("""COMPUTED_VALUE"""),"N/A")</f>
        <v>N/A</v>
      </c>
      <c r="X773" s="2" t="str">
        <f>IFERROR(__xludf.DUMMYFUNCTION("""COMPUTED_VALUE"""),"N/A")</f>
        <v>N/A</v>
      </c>
      <c r="Y773" s="2"/>
      <c r="Z773" s="2"/>
      <c r="AA773" s="2"/>
      <c r="AB773" s="2"/>
      <c r="AC773" s="2"/>
      <c r="AD773" s="2"/>
      <c r="AE773" s="2"/>
      <c r="AF773" s="2"/>
      <c r="AG773" s="2"/>
      <c r="AH773" s="2"/>
      <c r="AI773" s="2"/>
      <c r="AJ773" s="2" t="str">
        <f>IFERROR(__xludf.DUMMYFUNCTION("""COMPUTED_VALUE"""),"San Pedro")</f>
        <v>San Pedro</v>
      </c>
      <c r="AK773" s="2" t="str">
        <f>IFERROR(__xludf.DUMMYFUNCTION("""COMPUTED_VALUE"""),"Pilar")</f>
        <v>Pilar</v>
      </c>
      <c r="AL773" s="2" t="str">
        <f>IFERROR(__xludf.DUMMYFUNCTION("""COMPUTED_VALUE"""),"Capiz")</f>
        <v>Capiz</v>
      </c>
      <c r="AM773" s="2">
        <f>IFERROR(__xludf.DUMMYFUNCTION("""COMPUTED_VALUE"""),6.0)</f>
        <v>6</v>
      </c>
      <c r="AN773" s="2" t="str">
        <f>IFERROR(__xludf.DUMMYFUNCTION("""COMPUTED_VALUE"""),"RCEF 23-09-21 Rebidding")</f>
        <v>RCEF 23-09-21 Rebidding</v>
      </c>
      <c r="AO773" s="2">
        <f>IFERROR(__xludf.DUMMYFUNCTION("""COMPUTED_VALUE"""),4.0)</f>
        <v>4</v>
      </c>
      <c r="AP773" s="2"/>
      <c r="AQ773" s="2"/>
      <c r="AR773" s="2"/>
      <c r="AS773" s="2"/>
      <c r="AT773" s="2"/>
      <c r="AU773" s="2"/>
      <c r="AV773" s="2"/>
      <c r="AW773" s="2"/>
      <c r="AX773" s="2"/>
      <c r="AY773" s="2"/>
      <c r="AZ773" s="2"/>
      <c r="BA773" s="2"/>
      <c r="BB773" s="2"/>
    </row>
    <row r="774">
      <c r="A774" s="2">
        <f>IFERROR(__xludf.DUMMYFUNCTION("""COMPUTED_VALUE"""),770.0)</f>
        <v>770</v>
      </c>
      <c r="B774" s="2" t="str">
        <f>IFERROR(__xludf.DUMMYFUNCTION("""COMPUTED_VALUE"""),"COMPLETED")</f>
        <v>COMPLETED</v>
      </c>
      <c r="C774" s="74">
        <f>IFERROR(__xludf.DUMMYFUNCTION("""COMPUTED_VALUE"""),45680.0)</f>
        <v>45680</v>
      </c>
      <c r="D774" s="71" t="str">
        <f>IFERROR(__xludf.DUMMYFUNCTION("""COMPUTED_VALUE"""),"SVMEX Farmers Association Inc.")</f>
        <v>SVMEX Farmers Association Inc.</v>
      </c>
      <c r="E774" s="71" t="str">
        <f>IFERROR(__xludf.DUMMYFUNCTION("""COMPUTED_VALUE"""),"San Vicente, Mexico, PAMPANGA")</f>
        <v>San Vicente, Mexico, PAMPANGA</v>
      </c>
      <c r="F774" s="2" t="str">
        <f>IFERROR(__xludf.DUMMYFUNCTION("""COMPUTED_VALUE"""),"VALENTINO E. ALLAS")</f>
        <v>VALENTINO E. ALLAS</v>
      </c>
      <c r="G774" s="2" t="str">
        <f>IFERROR(__xludf.DUMMYFUNCTION("""COMPUTED_VALUE"""),"0927-8729-371")</f>
        <v>0927-8729-371</v>
      </c>
      <c r="H774" s="2">
        <f>IFERROR(__xludf.DUMMYFUNCTION("""COMPUTED_VALUE"""),310.0)</f>
        <v>310</v>
      </c>
      <c r="I774" s="72" t="str">
        <f>IFERROR(__xludf.DUMMYFUNCTION("""COMPUTED_VALUE"""),"REPAIR - TRACTOR")</f>
        <v>REPAIR - TRACTOR</v>
      </c>
      <c r="J774" s="72" t="str">
        <f>IFERROR(__xludf.DUMMYFUNCTION("""COMPUTED_VALUE"""),"PMS")</f>
        <v>PMS</v>
      </c>
      <c r="K774" s="72" t="str">
        <f>IFERROR(__xludf.DUMMYFUNCTION("""COMPUTED_VALUE"""),"ACS: 2ND PMS")</f>
        <v>ACS: 2ND PMS</v>
      </c>
      <c r="L774" s="72" t="str">
        <f>IFERROR(__xludf.DUMMYFUNCTION("""COMPUTED_VALUE"""),"JTT: DONE 2ND PMS")</f>
        <v>JTT: DONE 2ND PMS</v>
      </c>
      <c r="M774" s="2"/>
      <c r="N774" s="2" t="str">
        <f>IFERROR(__xludf.DUMMYFUNCTION("""COMPUTED_VALUE"""),"PARTS: HYDRAULIC FILTER ")</f>
        <v>PARTS: HYDRAULIC FILTER </v>
      </c>
      <c r="O774" s="2">
        <f>IFERROR(__xludf.DUMMYFUNCTION("""COMPUTED_VALUE"""),14.0)</f>
        <v>14</v>
      </c>
      <c r="P774" s="2"/>
      <c r="Q774" s="2" t="str">
        <f>IFERROR(__xludf.DUMMYFUNCTION("""COMPUTED_VALUE"""),"Y")</f>
        <v>Y</v>
      </c>
      <c r="R774" s="74">
        <f>IFERROR(__xludf.DUMMYFUNCTION("""COMPUTED_VALUE"""),45685.0)</f>
        <v>45685</v>
      </c>
      <c r="S774" s="2" t="str">
        <f>IFERROR(__xludf.DUMMYFUNCTION("""COMPUTED_VALUE"""),"JTT")</f>
        <v>JTT</v>
      </c>
      <c r="T774" s="73">
        <f>IFERROR(__xludf.DUMMYFUNCTION("""COMPUTED_VALUE"""),2748.0)</f>
        <v>2748</v>
      </c>
      <c r="U774" s="73" t="str">
        <f>IFERROR(__xludf.DUMMYFUNCTION("""COMPUTED_VALUE""")," REMITTED ")</f>
        <v>REMITTED</v>
      </c>
      <c r="V774" s="2"/>
      <c r="W774" s="2"/>
      <c r="X774" s="2"/>
      <c r="Y774" s="2"/>
      <c r="Z774" s="2"/>
      <c r="AA774" s="2"/>
      <c r="AB774" s="2"/>
      <c r="AC774" s="2"/>
      <c r="AD774" s="2"/>
      <c r="AE774" s="2"/>
      <c r="AF774" s="2"/>
      <c r="AG774" s="2"/>
      <c r="AH774" s="2"/>
      <c r="AI774" s="2"/>
      <c r="AJ774" s="2" t="str">
        <f>IFERROR(__xludf.DUMMYFUNCTION("""COMPUTED_VALUE"""),"San Vicente")</f>
        <v>San Vicente</v>
      </c>
      <c r="AK774" s="2" t="str">
        <f>IFERROR(__xludf.DUMMYFUNCTION("""COMPUTED_VALUE"""),"Mexico")</f>
        <v>Mexico</v>
      </c>
      <c r="AL774" s="2" t="str">
        <f>IFERROR(__xludf.DUMMYFUNCTION("""COMPUTED_VALUE"""),"Pampanga")</f>
        <v>Pampanga</v>
      </c>
      <c r="AM774" s="2">
        <f>IFERROR(__xludf.DUMMYFUNCTION("""COMPUTED_VALUE"""),3.0)</f>
        <v>3</v>
      </c>
      <c r="AN774" s="2" t="str">
        <f>IFERROR(__xludf.DUMMYFUNCTION("""COMPUTED_VALUE"""),"RCEF 23-09-21 Rebidding")</f>
        <v>RCEF 23-09-21 Rebidding</v>
      </c>
      <c r="AO774" s="2">
        <f>IFERROR(__xludf.DUMMYFUNCTION("""COMPUTED_VALUE"""),3.0)</f>
        <v>3</v>
      </c>
      <c r="AP774" s="2"/>
      <c r="AQ774" s="2"/>
      <c r="AR774" s="2"/>
      <c r="AS774" s="2"/>
      <c r="AT774" s="2"/>
      <c r="AU774" s="2"/>
      <c r="AV774" s="2"/>
      <c r="AW774" s="2"/>
      <c r="AX774" s="2"/>
      <c r="AY774" s="2"/>
      <c r="AZ774" s="2"/>
      <c r="BA774" s="2"/>
      <c r="BB774" s="2"/>
    </row>
    <row r="775">
      <c r="A775" s="2">
        <f>IFERROR(__xludf.DUMMYFUNCTION("""COMPUTED_VALUE"""),771.0)</f>
        <v>771</v>
      </c>
      <c r="B775" s="2" t="str">
        <f>IFERROR(__xludf.DUMMYFUNCTION("""COMPUTED_VALUE"""),"COMPLETED")</f>
        <v>COMPLETED</v>
      </c>
      <c r="C775" s="74">
        <f>IFERROR(__xludf.DUMMYFUNCTION("""COMPUTED_VALUE"""),45681.0)</f>
        <v>45681</v>
      </c>
      <c r="D775" s="71" t="str">
        <f>IFERROR(__xludf.DUMMYFUNCTION("""COMPUTED_VALUE"""),"POBLACION ILAYA PANIT-AN FARMERS ASSOCIATION")</f>
        <v>POBLACION ILAYA PANIT-AN FARMERS ASSOCIATION</v>
      </c>
      <c r="E775" s="71" t="str">
        <f>IFERROR(__xludf.DUMMYFUNCTION("""COMPUTED_VALUE"""),"Poblacion Ilaya, Panitan, CAPIZ")</f>
        <v>Poblacion Ilaya, Panitan, CAPIZ</v>
      </c>
      <c r="F775" s="2" t="str">
        <f>IFERROR(__xludf.DUMMYFUNCTION("""COMPUTED_VALUE"""),"Bertito Dequiña")</f>
        <v>Bertito Dequiña</v>
      </c>
      <c r="G775" s="2" t="str">
        <f>IFERROR(__xludf.DUMMYFUNCTION("""COMPUTED_VALUE"""),"0927-029-3201")</f>
        <v>0927-029-3201</v>
      </c>
      <c r="H775" s="2"/>
      <c r="I775" s="72" t="str">
        <f>IFERROR(__xludf.DUMMYFUNCTION("""COMPUTED_VALUE"""),"REPAIR - TRACTOR")</f>
        <v>REPAIR - TRACTOR</v>
      </c>
      <c r="J775" s="72" t="str">
        <f>IFERROR(__xludf.DUMMYFUNCTION("""COMPUTED_VALUE"""),"Front Axle - Leaking")</f>
        <v>Front Axle - Leaking</v>
      </c>
      <c r="K775" s="72" t="str">
        <f>IFERROR(__xludf.DUMMYFUNCTION("""COMPUTED_VALUE"""),"FARMER: GEAR OIL LEAKAGE AT RIGHT SIDE OF FRONT AXLE
PARTS: FRONT AXLE OIL SEAL MIDDLE ")</f>
        <v>FARMER: GEAR OIL LEAKAGE AT RIGHT SIDE OF FRONT AXLE
PARTS: FRONT AXLE OIL SEAL MIDDLE </v>
      </c>
      <c r="L775" s="72" t="str">
        <f>IFERROR(__xludf.DUMMYFUNCTION("""COMPUTED_VALUE"""),"EGT: OK NA  ang unit")</f>
        <v>EGT: OK NA  ang unit</v>
      </c>
      <c r="M775" s="2"/>
      <c r="N775" s="2" t="str">
        <f>IFERROR(__xludf.DUMMYFUNCTION("""COMPUTED_VALUE"""),"PARTS: FRONT AXLE OIL SEAL")</f>
        <v>PARTS: FRONT AXLE OIL SEAL</v>
      </c>
      <c r="O775" s="2">
        <f>IFERROR(__xludf.DUMMYFUNCTION("""COMPUTED_VALUE"""),1104.0)</f>
        <v>1104</v>
      </c>
      <c r="P775" s="2"/>
      <c r="Q775" s="2"/>
      <c r="R775" s="74">
        <f>IFERROR(__xludf.DUMMYFUNCTION("""COMPUTED_VALUE"""),45700.0)</f>
        <v>45700</v>
      </c>
      <c r="S775" s="2" t="str">
        <f>IFERROR(__xludf.DUMMYFUNCTION("""COMPUTED_VALUE"""),"EGT/DRM")</f>
        <v>EGT/DRM</v>
      </c>
      <c r="T775" s="73">
        <f>IFERROR(__xludf.DUMMYFUNCTION("""COMPUTED_VALUE"""),3375.0)</f>
        <v>3375</v>
      </c>
      <c r="U775" s="73" t="str">
        <f>IFERROR(__xludf.DUMMYFUNCTION("""COMPUTED_VALUE""")," REMITTED ")</f>
        <v>REMITTED</v>
      </c>
      <c r="V775" s="2"/>
      <c r="W775" s="2"/>
      <c r="X775" s="2"/>
      <c r="Y775" s="2"/>
      <c r="Z775" s="2"/>
      <c r="AA775" s="2"/>
      <c r="AB775" s="2"/>
      <c r="AC775" s="2"/>
      <c r="AD775" s="2"/>
      <c r="AE775" s="2"/>
      <c r="AF775" s="2"/>
      <c r="AG775" s="2"/>
      <c r="AH775" s="2"/>
      <c r="AI775" s="2"/>
      <c r="AJ775" s="2" t="str">
        <f>IFERROR(__xludf.DUMMYFUNCTION("""COMPUTED_VALUE"""),"Poblacion Ilaya")</f>
        <v>Poblacion Ilaya</v>
      </c>
      <c r="AK775" s="2" t="str">
        <f>IFERROR(__xludf.DUMMYFUNCTION("""COMPUTED_VALUE"""),"Panitan")</f>
        <v>Panitan</v>
      </c>
      <c r="AL775" s="2" t="str">
        <f>IFERROR(__xludf.DUMMYFUNCTION("""COMPUTED_VALUE"""),"Capiz")</f>
        <v>Capiz</v>
      </c>
      <c r="AM775" s="2">
        <f>IFERROR(__xludf.DUMMYFUNCTION("""COMPUTED_VALUE"""),6.0)</f>
        <v>6</v>
      </c>
      <c r="AN775" s="2" t="str">
        <f>IFERROR(__xludf.DUMMYFUNCTION("""COMPUTED_VALUE"""),"RCEF 23-09-21 Rebidding")</f>
        <v>RCEF 23-09-21 Rebidding</v>
      </c>
      <c r="AO775" s="2">
        <f>IFERROR(__xludf.DUMMYFUNCTION("""COMPUTED_VALUE"""),4.0)</f>
        <v>4</v>
      </c>
      <c r="AP775" s="2"/>
      <c r="AQ775" s="2"/>
      <c r="AR775" s="2"/>
      <c r="AS775" s="2"/>
      <c r="AT775" s="2"/>
      <c r="AU775" s="2"/>
      <c r="AV775" s="2"/>
      <c r="AW775" s="2"/>
      <c r="AX775" s="2"/>
      <c r="AY775" s="2"/>
      <c r="AZ775" s="2"/>
      <c r="BA775" s="2"/>
      <c r="BB775" s="2"/>
    </row>
    <row r="776">
      <c r="A776" s="2">
        <f>IFERROR(__xludf.DUMMYFUNCTION("""COMPUTED_VALUE"""),772.0)</f>
        <v>772</v>
      </c>
      <c r="B776" s="2" t="str">
        <f>IFERROR(__xludf.DUMMYFUNCTION("""COMPUTED_VALUE"""),"COMPLETED")</f>
        <v>COMPLETED</v>
      </c>
      <c r="C776" s="74">
        <f>IFERROR(__xludf.DUMMYFUNCTION("""COMPUTED_VALUE"""),45681.0)</f>
        <v>45681</v>
      </c>
      <c r="D776" s="71" t="str">
        <f>IFERROR(__xludf.DUMMYFUNCTION("""COMPUTED_VALUE"""),"Barangay Indayagan Farmers Association")</f>
        <v>Barangay Indayagan Farmers Association</v>
      </c>
      <c r="E776" s="71" t="str">
        <f>IFERROR(__xludf.DUMMYFUNCTION("""COMPUTED_VALUE"""),"Indayagan, Ma-ayon, CAPIZ")</f>
        <v>Indayagan, Ma-ayon, CAPIZ</v>
      </c>
      <c r="F776" s="2" t="str">
        <f>IFERROR(__xludf.DUMMYFUNCTION("""COMPUTED_VALUE"""),"EDUARDO DELFIN")</f>
        <v>EDUARDO DELFIN</v>
      </c>
      <c r="G776" s="2" t="str">
        <f>IFERROR(__xludf.DUMMYFUNCTION("""COMPUTED_VALUE"""),"09488863420 09391039839")</f>
        <v>09488863420 09391039839</v>
      </c>
      <c r="H776" s="2"/>
      <c r="I776" s="72" t="str">
        <f>IFERROR(__xludf.DUMMYFUNCTION("""COMPUTED_VALUE"""),"REPAIR - TRACTOR")</f>
        <v>REPAIR - TRACTOR</v>
      </c>
      <c r="J776" s="72" t="str">
        <f>IFERROR(__xludf.DUMMYFUNCTION("""COMPUTED_VALUE"""),"Front Axle - Leaking")</f>
        <v>Front Axle - Leaking</v>
      </c>
      <c r="K776" s="72" t="str">
        <f>IFERROR(__xludf.DUMMYFUNCTION("""COMPUTED_VALUE"""),"PHILMECH: LEAKAGE
PARTS: FRONT AXLE OIL SEAL MIDDLE")</f>
        <v>PHILMECH: LEAKAGE
PARTS: FRONT AXLE OIL SEAL MIDDLE</v>
      </c>
      <c r="L776" s="72" t="str">
        <f>IFERROR(__xludf.DUMMYFUNCTION("""COMPUTED_VALUE"""),"EGT: WALANG LEAKAGE ")</f>
        <v>EGT: WALANG LEAKAGE </v>
      </c>
      <c r="M776" s="2"/>
      <c r="N776" s="2"/>
      <c r="O776" s="2" t="str">
        <f>IFERROR(__xludf.DUMMYFUNCTION("""COMPUTED_VALUE"""),"N/A")</f>
        <v>N/A</v>
      </c>
      <c r="P776" s="2"/>
      <c r="Q776" s="2"/>
      <c r="R776" s="74">
        <f>IFERROR(__xludf.DUMMYFUNCTION("""COMPUTED_VALUE"""),45700.0)</f>
        <v>45700</v>
      </c>
      <c r="S776" s="2" t="str">
        <f>IFERROR(__xludf.DUMMYFUNCTION("""COMPUTED_VALUE"""),"EGT/DRM")</f>
        <v>EGT/DRM</v>
      </c>
      <c r="T776" s="2"/>
      <c r="U776" s="73" t="str">
        <f>IFERROR(__xludf.DUMMYFUNCTION("""COMPUTED_VALUE""")," NO CHARGE ")</f>
        <v>NO CHARGE</v>
      </c>
      <c r="V776" s="2"/>
      <c r="W776" s="2"/>
      <c r="X776" s="2"/>
      <c r="Y776" s="2"/>
      <c r="Z776" s="2"/>
      <c r="AA776" s="2"/>
      <c r="AB776" s="2"/>
      <c r="AC776" s="2"/>
      <c r="AD776" s="2"/>
      <c r="AE776" s="2"/>
      <c r="AF776" s="2"/>
      <c r="AG776" s="2"/>
      <c r="AH776" s="2"/>
      <c r="AI776" s="2"/>
      <c r="AJ776" s="2" t="str">
        <f>IFERROR(__xludf.DUMMYFUNCTION("""COMPUTED_VALUE"""),"Indayagan")</f>
        <v>Indayagan</v>
      </c>
      <c r="AK776" s="2" t="str">
        <f>IFERROR(__xludf.DUMMYFUNCTION("""COMPUTED_VALUE"""),"Ma-Ayon")</f>
        <v>Ma-Ayon</v>
      </c>
      <c r="AL776" s="2" t="str">
        <f>IFERROR(__xludf.DUMMYFUNCTION("""COMPUTED_VALUE"""),"Capiz")</f>
        <v>Capiz</v>
      </c>
      <c r="AM776" s="2">
        <f>IFERROR(__xludf.DUMMYFUNCTION("""COMPUTED_VALUE"""),6.0)</f>
        <v>6</v>
      </c>
      <c r="AN776" s="2" t="str">
        <f>IFERROR(__xludf.DUMMYFUNCTION("""COMPUTED_VALUE"""),"RCEF 23-09-21 Rebidding")</f>
        <v>RCEF 23-09-21 Rebidding</v>
      </c>
      <c r="AO776" s="2">
        <f>IFERROR(__xludf.DUMMYFUNCTION("""COMPUTED_VALUE"""),4.0)</f>
        <v>4</v>
      </c>
      <c r="AP776" s="2"/>
      <c r="AQ776" s="2"/>
      <c r="AR776" s="2"/>
      <c r="AS776" s="2"/>
      <c r="AT776" s="2"/>
      <c r="AU776" s="2"/>
      <c r="AV776" s="2"/>
      <c r="AW776" s="2"/>
      <c r="AX776" s="2"/>
      <c r="AY776" s="2"/>
      <c r="AZ776" s="2"/>
      <c r="BA776" s="2"/>
      <c r="BB776" s="2"/>
    </row>
    <row r="777">
      <c r="A777" s="2">
        <f>IFERROR(__xludf.DUMMYFUNCTION("""COMPUTED_VALUE"""),773.0)</f>
        <v>773</v>
      </c>
      <c r="B777" s="2" t="str">
        <f>IFERROR(__xludf.DUMMYFUNCTION("""COMPUTED_VALUE"""),"COMPLETED")</f>
        <v>COMPLETED</v>
      </c>
      <c r="C777" s="74">
        <f>IFERROR(__xludf.DUMMYFUNCTION("""COMPUTED_VALUE"""),45684.0)</f>
        <v>45684</v>
      </c>
      <c r="D777" s="71"/>
      <c r="E777" s="71" t="str">
        <f>IFERROR(__xludf.DUMMYFUNCTION("""COMPUTED_VALUE""")," ")</f>
        <v> </v>
      </c>
      <c r="F777" s="2" t="str">
        <f>IFERROR(__xludf.DUMMYFUNCTION("""COMPUTED_VALUE"""),"SANTO SEMEBA IRRIGATORS ASSC.
EMILLIE DIAMANTE")</f>
        <v>SANTO SEMEBA IRRIGATORS ASSC.
EMILLIE DIAMANTE</v>
      </c>
      <c r="G777" s="2">
        <f>IFERROR(__xludf.DUMMYFUNCTION("""COMPUTED_VALUE"""),9.639867394E9)</f>
        <v>9639867394</v>
      </c>
      <c r="H777" s="2"/>
      <c r="I777" s="72"/>
      <c r="J777" s="72"/>
      <c r="K777" s="72" t="str">
        <f>IFERROR(__xludf.DUMMYFUNCTION("""COMPUTED_VALUE"""),"PHILMECH: TUNE UP TRACTOR
MYKEE: MALAKAS DAW MAG KONSUMO NG GASOLINA, I HECTAR- NASA 20LITERS NA GASOLINA DAW ANG NAUUBOS")</f>
        <v>PHILMECH: TUNE UP TRACTOR
MYKEE: MALAKAS DAW MAG KONSUMO NG GASOLINA, I HECTAR- NASA 20LITERS NA GASOLINA DAW ANG NAUUBOS</v>
      </c>
      <c r="L777" s="72" t="str">
        <f>IFERROR(__xludf.DUMMYFUNCTION("""COMPUTED_VALUE"""),"DRM/EGT: PAPALIWANAGAN NALANG NAMIN MAM.")</f>
        <v>DRM/EGT: PAPALIWANAGAN NALANG NAMIN MAM.</v>
      </c>
      <c r="M777" s="2"/>
      <c r="N777" s="2"/>
      <c r="O777" s="2" t="str">
        <f>IFERROR(__xludf.DUMMYFUNCTION("""COMPUTED_VALUE"""),"N/A")</f>
        <v>N/A</v>
      </c>
      <c r="P777" s="2"/>
      <c r="Q777" s="2"/>
      <c r="R777" s="74">
        <f>IFERROR(__xludf.DUMMYFUNCTION("""COMPUTED_VALUE"""),45689.0)</f>
        <v>45689</v>
      </c>
      <c r="S777" s="2" t="str">
        <f>IFERROR(__xludf.DUMMYFUNCTION("""COMPUTED_VALUE"""),"EGT/DRM")</f>
        <v>EGT/DRM</v>
      </c>
      <c r="T777" s="73" t="str">
        <f>IFERROR(__xludf.DUMMYFUNCTION("""COMPUTED_VALUE""")," N/A ")</f>
        <v>N/A</v>
      </c>
      <c r="U777" s="73" t="str">
        <f>IFERROR(__xludf.DUMMYFUNCTION("""COMPUTED_VALUE""")," NO CHARGE ")</f>
        <v>NO CHARGE</v>
      </c>
      <c r="V777" s="2"/>
      <c r="W777" s="2" t="str">
        <f>IFERROR(__xludf.DUMMYFUNCTION("""COMPUTED_VALUE"""),"N/A")</f>
        <v>N/A</v>
      </c>
      <c r="X777" s="2" t="str">
        <f>IFERROR(__xludf.DUMMYFUNCTION("""COMPUTED_VALUE"""),"N/A")</f>
        <v>N/A</v>
      </c>
      <c r="Y777" s="2"/>
      <c r="Z777" s="2"/>
      <c r="AA777" s="2"/>
      <c r="AB777" s="2"/>
      <c r="AC777" s="2"/>
      <c r="AD777" s="2"/>
      <c r="AE777" s="2"/>
      <c r="AF777" s="2"/>
      <c r="AG777" s="2"/>
      <c r="AH777" s="2"/>
      <c r="AI777" s="2"/>
      <c r="AJ777" s="2" t="str">
        <f>IFERROR(__xludf.DUMMYFUNCTION("""COMPUTED_VALUE"""),"")</f>
        <v/>
      </c>
      <c r="AK777" s="2" t="str">
        <f>IFERROR(__xludf.DUMMYFUNCTION("""COMPUTED_VALUE"""),"")</f>
        <v/>
      </c>
      <c r="AL777" s="2" t="str">
        <f>IFERROR(__xludf.DUMMYFUNCTION("""COMPUTED_VALUE"""),"")</f>
        <v/>
      </c>
      <c r="AM777" s="2" t="str">
        <f>IFERROR(__xludf.DUMMYFUNCTION("""COMPUTED_VALUE"""),"")</f>
        <v/>
      </c>
      <c r="AN777" s="2" t="str">
        <f>IFERROR(__xludf.DUMMYFUNCTION("""COMPUTED_VALUE""")," ")</f>
        <v> </v>
      </c>
      <c r="AO777" s="2" t="str">
        <f>IFERROR(__xludf.DUMMYFUNCTION("""COMPUTED_VALUE""")," ")</f>
        <v> </v>
      </c>
      <c r="AP777" s="2" t="str">
        <f>IFERROR(__xludf.DUMMYFUNCTION("""COMPUTED_VALUE"""),"")</f>
        <v/>
      </c>
      <c r="AQ777" s="2"/>
      <c r="AR777" s="2"/>
      <c r="AS777" s="2"/>
      <c r="AT777" s="2"/>
      <c r="AU777" s="2"/>
      <c r="AV777" s="2"/>
      <c r="AW777" s="2"/>
      <c r="AX777" s="2"/>
      <c r="AY777" s="2"/>
      <c r="AZ777" s="2"/>
      <c r="BA777" s="2"/>
      <c r="BB777" s="2"/>
    </row>
    <row r="778">
      <c r="A778" s="2">
        <f>IFERROR(__xludf.DUMMYFUNCTION("""COMPUTED_VALUE"""),774.0)</f>
        <v>774</v>
      </c>
      <c r="B778" s="2" t="str">
        <f>IFERROR(__xludf.DUMMYFUNCTION("""COMPUTED_VALUE"""),"COMPLETED")</f>
        <v>COMPLETED</v>
      </c>
      <c r="C778" s="74">
        <f>IFERROR(__xludf.DUMMYFUNCTION("""COMPUTED_VALUE"""),45684.0)</f>
        <v>45684</v>
      </c>
      <c r="D778" s="71" t="str">
        <f>IFERROR(__xludf.DUMMYFUNCTION("""COMPUTED_VALUE"""),"Balucuan Farmers Association")</f>
        <v>Balucuan Farmers Association</v>
      </c>
      <c r="E778" s="71" t="str">
        <f>IFERROR(__xludf.DUMMYFUNCTION("""COMPUTED_VALUE"""),"Balucuan, Sigma, CAPIZ")</f>
        <v>Balucuan, Sigma, CAPIZ</v>
      </c>
      <c r="F778" s="2" t="str">
        <f>IFERROR(__xludf.DUMMYFUNCTION("""COMPUTED_VALUE"""),"Josephine Jago")</f>
        <v>Josephine Jago</v>
      </c>
      <c r="G778" s="2">
        <f>IFERROR(__xludf.DUMMYFUNCTION("""COMPUTED_VALUE"""),9.127321926E9)</f>
        <v>9127321926</v>
      </c>
      <c r="H778" s="2"/>
      <c r="I778" s="72" t="str">
        <f>IFERROR(__xludf.DUMMYFUNCTION("""COMPUTED_VALUE"""),"REPAIR - TRACTOR")</f>
        <v>REPAIR - TRACTOR</v>
      </c>
      <c r="J778" s="72" t="str">
        <f>IFERROR(__xludf.DUMMYFUNCTION("""COMPUTED_VALUE"""),"LEAK")</f>
        <v>LEAK</v>
      </c>
      <c r="K778" s="72" t="str">
        <f>IFERROR(__xludf.DUMMYFUNCTION("""COMPUTED_VALUE"""),"PHILMECH: LEAKAGE SA TRACTOR")</f>
        <v>PHILMECH: LEAKAGE SA TRACTOR</v>
      </c>
      <c r="L778" s="72" t="str">
        <f>IFERROR(__xludf.DUMMYFUNCTION("""COMPUTED_VALUE"""),"EGT: WALANG NASAGOT SA CALL , ANG ALAM NG KAPIT BAHAY NASA ROXAS DAW HINDI INIINTERTAIN NG TAO SA BAHAY")</f>
        <v>EGT: WALANG NASAGOT SA CALL , ANG ALAM NG KAPIT BAHAY NASA ROXAS DAW HINDI INIINTERTAIN NG TAO SA BAHAY</v>
      </c>
      <c r="M778" s="2"/>
      <c r="N778" s="2"/>
      <c r="O778" s="2" t="str">
        <f>IFERROR(__xludf.DUMMYFUNCTION("""COMPUTED_VALUE"""),"N/A")</f>
        <v>N/A</v>
      </c>
      <c r="P778" s="2"/>
      <c r="Q778" s="2"/>
      <c r="R778" s="74">
        <f>IFERROR(__xludf.DUMMYFUNCTION("""COMPUTED_VALUE"""),45700.0)</f>
        <v>45700</v>
      </c>
      <c r="S778" s="2" t="str">
        <f>IFERROR(__xludf.DUMMYFUNCTION("""COMPUTED_VALUE"""),"EGT/DRM")</f>
        <v>EGT/DRM</v>
      </c>
      <c r="T778" s="2"/>
      <c r="U778" s="73" t="str">
        <f>IFERROR(__xludf.DUMMYFUNCTION("""COMPUTED_VALUE""")," NO CHARGE ")</f>
        <v>NO CHARGE</v>
      </c>
      <c r="V778" s="2"/>
      <c r="W778" s="2"/>
      <c r="X778" s="2"/>
      <c r="Y778" s="2"/>
      <c r="Z778" s="2"/>
      <c r="AA778" s="2"/>
      <c r="AB778" s="2"/>
      <c r="AC778" s="2"/>
      <c r="AD778" s="2"/>
      <c r="AE778" s="2"/>
      <c r="AF778" s="2"/>
      <c r="AG778" s="2"/>
      <c r="AH778" s="2"/>
      <c r="AI778" s="2"/>
      <c r="AJ778" s="2" t="str">
        <f>IFERROR(__xludf.DUMMYFUNCTION("""COMPUTED_VALUE"""),"Balucuan")</f>
        <v>Balucuan</v>
      </c>
      <c r="AK778" s="2" t="str">
        <f>IFERROR(__xludf.DUMMYFUNCTION("""COMPUTED_VALUE"""),"Sigma")</f>
        <v>Sigma</v>
      </c>
      <c r="AL778" s="2" t="str">
        <f>IFERROR(__xludf.DUMMYFUNCTION("""COMPUTED_VALUE"""),"Capiz")</f>
        <v>Capiz</v>
      </c>
      <c r="AM778" s="2">
        <f>IFERROR(__xludf.DUMMYFUNCTION("""COMPUTED_VALUE"""),6.0)</f>
        <v>6</v>
      </c>
      <c r="AN778" s="2" t="str">
        <f>IFERROR(__xludf.DUMMYFUNCTION("""COMPUTED_VALUE"""),"RCEF 23-09-21 Rebidding")</f>
        <v>RCEF 23-09-21 Rebidding</v>
      </c>
      <c r="AO778" s="2">
        <f>IFERROR(__xludf.DUMMYFUNCTION("""COMPUTED_VALUE"""),4.0)</f>
        <v>4</v>
      </c>
      <c r="AP778" s="2"/>
      <c r="AQ778" s="2"/>
      <c r="AR778" s="2"/>
      <c r="AS778" s="2"/>
      <c r="AT778" s="2"/>
      <c r="AU778" s="2"/>
      <c r="AV778" s="2"/>
      <c r="AW778" s="2"/>
      <c r="AX778" s="2"/>
      <c r="AY778" s="2"/>
      <c r="AZ778" s="2"/>
      <c r="BA778" s="2"/>
      <c r="BB778" s="2"/>
    </row>
    <row r="779">
      <c r="A779" s="2">
        <f>IFERROR(__xludf.DUMMYFUNCTION("""COMPUTED_VALUE"""),775.0)</f>
        <v>775</v>
      </c>
      <c r="B779" s="2" t="str">
        <f>IFERROR(__xludf.DUMMYFUNCTION("""COMPUTED_VALUE"""),"COMPLETED")</f>
        <v>COMPLETED</v>
      </c>
      <c r="C779" s="74">
        <f>IFERROR(__xludf.DUMMYFUNCTION("""COMPUTED_VALUE"""),45685.0)</f>
        <v>45685</v>
      </c>
      <c r="D779" s="71" t="str">
        <f>IFERROR(__xludf.DUMMYFUNCTION("""COMPUTED_VALUE"""),"SVMEX Farmers Association Inc.")</f>
        <v>SVMEX Farmers Association Inc.</v>
      </c>
      <c r="E779" s="71" t="str">
        <f>IFERROR(__xludf.DUMMYFUNCTION("""COMPUTED_VALUE"""),"San Vicente, Mexico, PAMPANGA")</f>
        <v>San Vicente, Mexico, PAMPANGA</v>
      </c>
      <c r="F779" s="2" t="str">
        <f>IFERROR(__xludf.DUMMYFUNCTION("""COMPUTED_VALUE"""),"VALENTINO E. ALLAS")</f>
        <v>VALENTINO E. ALLAS</v>
      </c>
      <c r="G779" s="2" t="str">
        <f>IFERROR(__xludf.DUMMYFUNCTION("""COMPUTED_VALUE"""),"0927-8729-371")</f>
        <v>0927-8729-371</v>
      </c>
      <c r="H779" s="2">
        <f>IFERROR(__xludf.DUMMYFUNCTION("""COMPUTED_VALUE"""),310.0)</f>
        <v>310</v>
      </c>
      <c r="I779" s="72" t="str">
        <f>IFERROR(__xludf.DUMMYFUNCTION("""COMPUTED_VALUE"""),"REPAIR - ROTAVATOR")</f>
        <v>REPAIR - ROTAVATOR</v>
      </c>
      <c r="J779" s="72" t="str">
        <f>IFERROR(__xludf.DUMMYFUNCTION("""COMPUTED_VALUE"""),"Gearbox")</f>
        <v>Gearbox</v>
      </c>
      <c r="K779" s="72" t="str">
        <f>IFERROR(__xludf.DUMMYFUNCTION("""COMPUTED_VALUE"""),"JTT: ROTAVATOR PROBLEM
PARTS: PINION GEAR 11T, BEVEL GEAR 24T, TRB #32211, TRB #30208, DRIVE SHAFT, HARD LOCK NUT")</f>
        <v>JTT: ROTAVATOR PROBLEM
PARTS: PINION GEAR 11T, BEVEL GEAR 24T, TRB #32211, TRB #30208, DRIVE SHAFT, HARD LOCK NUT</v>
      </c>
      <c r="L779" s="72" t="str">
        <f>IFERROR(__xludf.DUMMYFUNCTION("""COMPUTED_VALUE"""),"ACS: OK NA ANG UNIT")</f>
        <v>ACS: OK NA ANG UNIT</v>
      </c>
      <c r="M779" s="2"/>
      <c r="N779" s="2" t="str">
        <f>IFERROR(__xludf.DUMMYFUNCTION("""COMPUTED_VALUE"""),"PARTS: TAPER ROLLER BEARING 32211, TAPER ROLLER BEARING 32208, PINION GEAR 11T, BEVEL GEAR 24T, NUT WASHER")</f>
        <v>PARTS: TAPER ROLLER BEARING 32211, TAPER ROLLER BEARING 32208, PINION GEAR 11T, BEVEL GEAR 24T, NUT WASHER</v>
      </c>
      <c r="O779" s="2">
        <f>IFERROR(__xludf.DUMMYFUNCTION("""COMPUTED_VALUE"""),1222.0)</f>
        <v>1222</v>
      </c>
      <c r="P779" s="2"/>
      <c r="Q779" s="2"/>
      <c r="R779" s="74">
        <f>IFERROR(__xludf.DUMMYFUNCTION("""COMPUTED_VALUE"""),45713.0)</f>
        <v>45713</v>
      </c>
      <c r="S779" s="2" t="str">
        <f>IFERROR(__xludf.DUMMYFUNCTION("""COMPUTED_VALUE"""),"JHP/ACS/JDP")</f>
        <v>JHP/ACS/JDP</v>
      </c>
      <c r="T779" s="73">
        <f>IFERROR(__xludf.DUMMYFUNCTION("""COMPUTED_VALUE"""),24800.0)</f>
        <v>24800</v>
      </c>
      <c r="U779" s="73" t="str">
        <f>IFERROR(__xludf.DUMMYFUNCTION("""COMPUTED_VALUE""")," REMITTED ")</f>
        <v>REMITTED</v>
      </c>
      <c r="V779" s="2"/>
      <c r="W779" s="2">
        <f>IFERROR(__xludf.DUMMYFUNCTION("""COMPUTED_VALUE"""),1471.0)</f>
        <v>1471</v>
      </c>
      <c r="X779" s="2"/>
      <c r="Y779" s="2"/>
      <c r="Z779" s="2"/>
      <c r="AA779" s="2"/>
      <c r="AB779" s="2"/>
      <c r="AC779" s="2"/>
      <c r="AD779" s="2"/>
      <c r="AE779" s="2"/>
      <c r="AF779" s="2"/>
      <c r="AG779" s="2"/>
      <c r="AH779" s="2"/>
      <c r="AI779" s="2"/>
      <c r="AJ779" s="2" t="str">
        <f>IFERROR(__xludf.DUMMYFUNCTION("""COMPUTED_VALUE"""),"San Vicente")</f>
        <v>San Vicente</v>
      </c>
      <c r="AK779" s="2" t="str">
        <f>IFERROR(__xludf.DUMMYFUNCTION("""COMPUTED_VALUE"""),"Mexico")</f>
        <v>Mexico</v>
      </c>
      <c r="AL779" s="2" t="str">
        <f>IFERROR(__xludf.DUMMYFUNCTION("""COMPUTED_VALUE"""),"Pampanga")</f>
        <v>Pampanga</v>
      </c>
      <c r="AM779" s="2">
        <f>IFERROR(__xludf.DUMMYFUNCTION("""COMPUTED_VALUE"""),3.0)</f>
        <v>3</v>
      </c>
      <c r="AN779" s="2" t="str">
        <f>IFERROR(__xludf.DUMMYFUNCTION("""COMPUTED_VALUE"""),"RCEF 23-09-21 Rebidding")</f>
        <v>RCEF 23-09-21 Rebidding</v>
      </c>
      <c r="AO779" s="2">
        <f>IFERROR(__xludf.DUMMYFUNCTION("""COMPUTED_VALUE"""),3.0)</f>
        <v>3</v>
      </c>
      <c r="AP779" s="2"/>
      <c r="AQ779" s="2"/>
      <c r="AR779" s="2"/>
      <c r="AS779" s="2"/>
      <c r="AT779" s="2"/>
      <c r="AU779" s="2"/>
      <c r="AV779" s="2"/>
      <c r="AW779" s="2"/>
      <c r="AX779" s="2"/>
      <c r="AY779" s="2"/>
      <c r="AZ779" s="2"/>
      <c r="BA779" s="2"/>
      <c r="BB779" s="2"/>
    </row>
    <row r="780">
      <c r="A780" s="2">
        <f>IFERROR(__xludf.DUMMYFUNCTION("""COMPUTED_VALUE"""),776.0)</f>
        <v>776</v>
      </c>
      <c r="B780" s="2" t="str">
        <f>IFERROR(__xludf.DUMMYFUNCTION("""COMPUTED_VALUE"""),"COMPLETED")</f>
        <v>COMPLETED</v>
      </c>
      <c r="C780" s="74">
        <f>IFERROR(__xludf.DUMMYFUNCTION("""COMPUTED_VALUE"""),45686.0)</f>
        <v>45686</v>
      </c>
      <c r="D780" s="71" t="str">
        <f>IFERROR(__xludf.DUMMYFUNCTION("""COMPUTED_VALUE"""),"MALIGCONG FARMERS ASSOCIATION")</f>
        <v>MALIGCONG FARMERS ASSOCIATION</v>
      </c>
      <c r="E780" s="71" t="str">
        <f>IFERROR(__xludf.DUMMYFUNCTION("""COMPUTED_VALUE"""),"MALIGCONG, SALCEDO, ILOCOS SUR")</f>
        <v>MALIGCONG, SALCEDO, ILOCOS SUR</v>
      </c>
      <c r="F780" s="2" t="str">
        <f>IFERROR(__xludf.DUMMYFUNCTION("""COMPUTED_VALUE"""),"Admer D. Ortinez Jr.")</f>
        <v>Admer D. Ortinez Jr.</v>
      </c>
      <c r="G780" s="2">
        <f>IFERROR(__xludf.DUMMYFUNCTION("""COMPUTED_VALUE"""),9.558327248E9)</f>
        <v>9558327248</v>
      </c>
      <c r="H780" s="2"/>
      <c r="I780" s="72" t="str">
        <f>IFERROR(__xludf.DUMMYFUNCTION("""COMPUTED_VALUE"""),"SPARE PARTS ACQUISITION")</f>
        <v>SPARE PARTS ACQUISITION</v>
      </c>
      <c r="J780" s="72" t="str">
        <f>IFERROR(__xludf.DUMMYFUNCTION("""COMPUTED_VALUE"""),"ACQUISITION")</f>
        <v>ACQUISITION</v>
      </c>
      <c r="K780" s="72" t="str">
        <f>IFERROR(__xludf.DUMMYFUNCTION("""COMPUTED_VALUE"""),"JHP: ORDER BEVEL GEAR 24T FOR LBC")</f>
        <v>JHP: ORDER BEVEL GEAR 24T FOR LBC</v>
      </c>
      <c r="L780" s="72" t="str">
        <f>IFERROR(__xludf.DUMMYFUNCTION("""COMPUTED_VALUE"""),"JHP: NAPADALA NA")</f>
        <v>JHP: NAPADALA NA</v>
      </c>
      <c r="M780" s="2"/>
      <c r="N780" s="2" t="str">
        <f>IFERROR(__xludf.DUMMYFUNCTION("""COMPUTED_VALUE"""),"PARTS: BEVEL GEAR 24T")</f>
        <v>PARTS: BEVEL GEAR 24T</v>
      </c>
      <c r="O780" s="2" t="str">
        <f>IFERROR(__xludf.DUMMYFUNCTION("""COMPUTED_VALUE"""),"N/A")</f>
        <v>N/A</v>
      </c>
      <c r="P780" s="2"/>
      <c r="Q780" s="2"/>
      <c r="R780" s="74">
        <f>IFERROR(__xludf.DUMMYFUNCTION("""COMPUTED_VALUE"""),45705.0)</f>
        <v>45705</v>
      </c>
      <c r="S780" s="2" t="str">
        <f>IFERROR(__xludf.DUMMYFUNCTION("""COMPUTED_VALUE"""),"JHP")</f>
        <v>JHP</v>
      </c>
      <c r="T780" s="73">
        <f>IFERROR(__xludf.DUMMYFUNCTION("""COMPUTED_VALUE"""),13028.0)</f>
        <v>13028</v>
      </c>
      <c r="U780" s="73" t="str">
        <f>IFERROR(__xludf.DUMMYFUNCTION("""COMPUTED_VALUE""")," REMITTED ")</f>
        <v>REMITTED</v>
      </c>
      <c r="V780" s="2">
        <f>IFERROR(__xludf.DUMMYFUNCTION("""COMPUTED_VALUE"""),1706.0)</f>
        <v>1706</v>
      </c>
      <c r="W780" s="2">
        <f>IFERROR(__xludf.DUMMYFUNCTION("""COMPUTED_VALUE"""),1960.0)</f>
        <v>1960</v>
      </c>
      <c r="X780" s="2">
        <f>IFERROR(__xludf.DUMMYFUNCTION("""COMPUTED_VALUE"""),1718.0)</f>
        <v>1718</v>
      </c>
      <c r="Y780" s="2"/>
      <c r="Z780" s="2"/>
      <c r="AA780" s="2"/>
      <c r="AB780" s="2"/>
      <c r="AC780" s="2"/>
      <c r="AD780" s="2"/>
      <c r="AE780" s="2"/>
      <c r="AF780" s="2"/>
      <c r="AG780" s="2"/>
      <c r="AH780" s="2"/>
      <c r="AI780" s="2"/>
      <c r="AJ780" s="2" t="str">
        <f>IFERROR(__xludf.DUMMYFUNCTION("""COMPUTED_VALUE"""),"Maligcong")</f>
        <v>Maligcong</v>
      </c>
      <c r="AK780" s="2" t="str">
        <f>IFERROR(__xludf.DUMMYFUNCTION("""COMPUTED_VALUE"""),"Salcedo")</f>
        <v>Salcedo</v>
      </c>
      <c r="AL780" s="2" t="str">
        <f>IFERROR(__xludf.DUMMYFUNCTION("""COMPUTED_VALUE"""),"Ilocos Sur")</f>
        <v>Ilocos Sur</v>
      </c>
      <c r="AM780" s="2">
        <f>IFERROR(__xludf.DUMMYFUNCTION("""COMPUTED_VALUE"""),1.0)</f>
        <v>1</v>
      </c>
      <c r="AN780" s="2" t="str">
        <f>IFERROR(__xludf.DUMMYFUNCTION("""COMPUTED_VALUE"""),"RCEF 23-09-21 Rebidding")</f>
        <v>RCEF 23-09-21 Rebidding</v>
      </c>
      <c r="AO780" s="2">
        <f>IFERROR(__xludf.DUMMYFUNCTION("""COMPUTED_VALUE"""),2.0)</f>
        <v>2</v>
      </c>
      <c r="AP780" s="2"/>
      <c r="AQ780" s="2"/>
      <c r="AR780" s="2"/>
      <c r="AS780" s="2"/>
      <c r="AT780" s="2"/>
      <c r="AU780" s="2"/>
      <c r="AV780" s="2"/>
      <c r="AW780" s="2"/>
      <c r="AX780" s="2"/>
      <c r="AY780" s="2"/>
      <c r="AZ780" s="2"/>
      <c r="BA780" s="2"/>
      <c r="BB780" s="2"/>
    </row>
    <row r="781">
      <c r="A781" s="2">
        <f>IFERROR(__xludf.DUMMYFUNCTION("""COMPUTED_VALUE"""),777.0)</f>
        <v>777</v>
      </c>
      <c r="B781" s="2" t="str">
        <f>IFERROR(__xludf.DUMMYFUNCTION("""COMPUTED_VALUE"""),"COMPLETED")</f>
        <v>COMPLETED</v>
      </c>
      <c r="C781" s="74">
        <f>IFERROR(__xludf.DUMMYFUNCTION("""COMPUTED_VALUE"""),45688.0)</f>
        <v>45688</v>
      </c>
      <c r="D781" s="71" t="str">
        <f>IFERROR(__xludf.DUMMYFUNCTION("""COMPUTED_VALUE"""),"MUNICIPAL LOCAL GOVERNMENT UNIT OF ANGAT")</f>
        <v>MUNICIPAL LOCAL GOVERNMENT UNIT OF ANGAT</v>
      </c>
      <c r="E781" s="71" t="str">
        <f>IFERROR(__xludf.DUMMYFUNCTION("""COMPUTED_VALUE"""),"Poblacion, Angat, Bulacan")</f>
        <v>Poblacion, Angat, Bulacan</v>
      </c>
      <c r="F781" s="2" t="str">
        <f>IFERROR(__xludf.DUMMYFUNCTION("""COMPUTED_VALUE"""),"MASSEY BOY")</f>
        <v>MASSEY BOY</v>
      </c>
      <c r="G781" s="2">
        <f>IFERROR(__xludf.DUMMYFUNCTION("""COMPUTED_VALUE"""),9.179941102E9)</f>
        <v>9179941102</v>
      </c>
      <c r="H781" s="2"/>
      <c r="I781" s="72" t="str">
        <f>IFERROR(__xludf.DUMMYFUNCTION("""COMPUTED_VALUE"""),"REPAIR - TRACTOR")</f>
        <v>REPAIR - TRACTOR</v>
      </c>
      <c r="J781" s="72" t="str">
        <f>IFERROR(__xludf.DUMMYFUNCTION("""COMPUTED_VALUE"""),"Hydraulic Pump")</f>
        <v>Hydraulic Pump</v>
      </c>
      <c r="K781" s="72" t="str">
        <f>IFERROR(__xludf.DUMMYFUNCTION("""COMPUTED_VALUE"""),"JHP: Rotavator problem ayaw umikot. Wala supply ng hydraulic galing sa gear pump. Steering wheel mabigat iliko
PARTS: HYDRAULIC GEAR PUMP ")</f>
        <v>JHP: Rotavator problem ayaw umikot. Wala supply ng hydraulic galing sa gear pump. Steering wheel mabigat iliko
PARTS: HYDRAULIC GEAR PUMP </v>
      </c>
      <c r="L781" s="72" t="str">
        <f>IFERROR(__xludf.DUMMYFUNCTION("""COMPUTED_VALUE"""),"EGT: REPLACED HYDRAULIC GEAR PUMP NAD CHECK THE UNIT")</f>
        <v>EGT: REPLACED HYDRAULIC GEAR PUMP NAD CHECK THE UNIT</v>
      </c>
      <c r="M781" s="2"/>
      <c r="N781" s="2" t="str">
        <f>IFERROR(__xludf.DUMMYFUNCTION("""COMPUTED_VALUE"""),"PARTS: HYDRAULIC GEAR PUMP")</f>
        <v>PARTS: HYDRAULIC GEAR PUMP</v>
      </c>
      <c r="O781" s="2">
        <f>IFERROR(__xludf.DUMMYFUNCTION("""COMPUTED_VALUE"""),1105.0)</f>
        <v>1105</v>
      </c>
      <c r="P781" s="2"/>
      <c r="Q781" s="2"/>
      <c r="R781" s="74">
        <f>IFERROR(__xludf.DUMMYFUNCTION("""COMPUTED_VALUE"""),45707.0)</f>
        <v>45707</v>
      </c>
      <c r="S781" s="2" t="str">
        <f>IFERROR(__xludf.DUMMYFUNCTION("""COMPUTED_VALUE"""),"EGT/DRM")</f>
        <v>EGT/DRM</v>
      </c>
      <c r="T781" s="73" t="str">
        <f>IFERROR(__xludf.DUMMYFUNCTION("""COMPUTED_VALUE""")," N/A ")</f>
        <v>N/A</v>
      </c>
      <c r="U781" s="73" t="str">
        <f>IFERROR(__xludf.DUMMYFUNCTION("""COMPUTED_VALUE""")," NO CHARGE ")</f>
        <v>NO CHARGE</v>
      </c>
      <c r="V781" s="2"/>
      <c r="W781" s="2" t="str">
        <f>IFERROR(__xludf.DUMMYFUNCTION("""COMPUTED_VALUE"""),"N/A")</f>
        <v>N/A</v>
      </c>
      <c r="X781" s="2" t="str">
        <f>IFERROR(__xludf.DUMMYFUNCTION("""COMPUTED_VALUE"""),"N/A")</f>
        <v>N/A</v>
      </c>
      <c r="Y781" s="2"/>
      <c r="Z781" s="2"/>
      <c r="AA781" s="2"/>
      <c r="AB781" s="2"/>
      <c r="AC781" s="2"/>
      <c r="AD781" s="2"/>
      <c r="AE781" s="2"/>
      <c r="AF781" s="2"/>
      <c r="AG781" s="2"/>
      <c r="AH781" s="2"/>
      <c r="AI781" s="2"/>
      <c r="AJ781" s="2" t="str">
        <f>IFERROR(__xludf.DUMMYFUNCTION("""COMPUTED_VALUE"""),"Poblacion")</f>
        <v>Poblacion</v>
      </c>
      <c r="AK781" s="2" t="str">
        <f>IFERROR(__xludf.DUMMYFUNCTION("""COMPUTED_VALUE"""),"Angat")</f>
        <v>Angat</v>
      </c>
      <c r="AL781" s="2" t="str">
        <f>IFERROR(__xludf.DUMMYFUNCTION("""COMPUTED_VALUE"""),"Bulacan")</f>
        <v>Bulacan</v>
      </c>
      <c r="AM781" s="2">
        <f>IFERROR(__xludf.DUMMYFUNCTION("""COMPUTED_VALUE"""),3.0)</f>
        <v>3</v>
      </c>
      <c r="AN781" s="2" t="str">
        <f>IFERROR(__xludf.DUMMYFUNCTION("""COMPUTED_VALUE"""),"RCEF 23-09-21 Rebidding")</f>
        <v>RCEF 23-09-21 Rebidding</v>
      </c>
      <c r="AO781" s="2">
        <f>IFERROR(__xludf.DUMMYFUNCTION("""COMPUTED_VALUE"""),3.0)</f>
        <v>3</v>
      </c>
      <c r="AP781" s="2"/>
      <c r="AQ781" s="2"/>
      <c r="AR781" s="2"/>
      <c r="AS781" s="2"/>
      <c r="AT781" s="2"/>
      <c r="AU781" s="2"/>
      <c r="AV781" s="2"/>
      <c r="AW781" s="2"/>
      <c r="AX781" s="2"/>
      <c r="AY781" s="2"/>
      <c r="AZ781" s="2"/>
      <c r="BA781" s="2"/>
      <c r="BB781" s="2"/>
    </row>
    <row r="782">
      <c r="A782" s="2">
        <f>IFERROR(__xludf.DUMMYFUNCTION("""COMPUTED_VALUE"""),778.0)</f>
        <v>778</v>
      </c>
      <c r="B782" s="2" t="str">
        <f>IFERROR(__xludf.DUMMYFUNCTION("""COMPUTED_VALUE"""),"COMPLETED")</f>
        <v>COMPLETED</v>
      </c>
      <c r="C782" s="74">
        <f>IFERROR(__xludf.DUMMYFUNCTION("""COMPUTED_VALUE"""),45691.0)</f>
        <v>45691</v>
      </c>
      <c r="D782" s="71" t="str">
        <f>IFERROR(__xludf.DUMMYFUNCTION("""COMPUTED_VALUE"""),"STO. DOMINGO-MAITIM IRRIGATORS ASSOCIATION INC.")</f>
        <v>STO. DOMINGO-MAITIM IRRIGATORS ASSOCIATION INC.</v>
      </c>
      <c r="E782" s="71" t="str">
        <f>IFERROR(__xludf.DUMMYFUNCTION("""COMPUTED_VALUE""")," ")</f>
        <v> </v>
      </c>
      <c r="F782" s="2"/>
      <c r="G782" s="2"/>
      <c r="H782" s="2">
        <f>IFERROR(__xludf.DUMMYFUNCTION("""COMPUTED_VALUE"""),310.0)</f>
        <v>310</v>
      </c>
      <c r="I782" s="72" t="str">
        <f>IFERROR(__xludf.DUMMYFUNCTION("""COMPUTED_VALUE"""),"PMS")</f>
        <v>PMS</v>
      </c>
      <c r="J782" s="72" t="str">
        <f>IFERROR(__xludf.DUMMYFUNCTION("""COMPUTED_VALUE"""),"PMS")</f>
        <v>PMS</v>
      </c>
      <c r="K782" s="72" t="str">
        <f>IFERROR(__xludf.DUMMYFUNCTION("""COMPUTED_VALUE"""),"JTT: 2ND PMS")</f>
        <v>JTT: 2ND PMS</v>
      </c>
      <c r="L782" s="72" t="str">
        <f>IFERROR(__xludf.DUMMYFUNCTION("""COMPUTED_VALUE"""),"JTT: 2ND PMS DONE")</f>
        <v>JTT: 2ND PMS DONE</v>
      </c>
      <c r="M782" s="2"/>
      <c r="N782" s="2" t="str">
        <f>IFERROR(__xludf.DUMMYFUNCTION("""COMPUTED_VALUE"""),"PARTS: ENGINE OIL , OIL FILTER")</f>
        <v>PARTS: ENGINE OIL , OIL FILTER</v>
      </c>
      <c r="O782" s="2">
        <f>IFERROR(__xludf.DUMMYFUNCTION("""COMPUTED_VALUE"""),11.0)</f>
        <v>11</v>
      </c>
      <c r="P782" s="2"/>
      <c r="Q782" s="2"/>
      <c r="R782" s="74">
        <f>IFERROR(__xludf.DUMMYFUNCTION("""COMPUTED_VALUE"""),45691.0)</f>
        <v>45691</v>
      </c>
      <c r="S782" s="2" t="str">
        <f>IFERROR(__xludf.DUMMYFUNCTION("""COMPUTED_VALUE"""),"JTT/FSJ")</f>
        <v>JTT/FSJ</v>
      </c>
      <c r="T782" s="73">
        <f>IFERROR(__xludf.DUMMYFUNCTION("""COMPUTED_VALUE"""),3193.0)</f>
        <v>3193</v>
      </c>
      <c r="U782" s="73" t="str">
        <f>IFERROR(__xludf.DUMMYFUNCTION("""COMPUTED_VALUE""")," RECORDED ")</f>
        <v>RECORDED</v>
      </c>
      <c r="V782" s="2" t="str">
        <f>IFERROR(__xludf.DUMMYFUNCTION("""COMPUTED_VALUE"""),"N/A")</f>
        <v>N/A</v>
      </c>
      <c r="W782" s="2">
        <f>IFERROR(__xludf.DUMMYFUNCTION("""COMPUTED_VALUE"""),1230.0)</f>
        <v>1230</v>
      </c>
      <c r="X782" s="2">
        <f>IFERROR(__xludf.DUMMYFUNCTION("""COMPUTED_VALUE"""),1752.0)</f>
        <v>1752</v>
      </c>
      <c r="Y782" s="2" t="str">
        <f>IFERROR(__xludf.DUMMYFUNCTION("""COMPUTED_VALUE"""),"NAWAWALA DAW ANG RESIBO AS PER JTT")</f>
        <v>NAWAWALA DAW ANG RESIBO AS PER JTT</v>
      </c>
      <c r="Z782" s="2"/>
      <c r="AA782" s="2"/>
      <c r="AB782" s="2"/>
      <c r="AC782" s="2"/>
      <c r="AD782" s="2"/>
      <c r="AE782" s="2"/>
      <c r="AF782" s="2"/>
      <c r="AG782" s="2"/>
      <c r="AH782" s="2"/>
      <c r="AI782" s="2"/>
      <c r="AJ782" s="2" t="str">
        <f>IFERROR(__xludf.DUMMYFUNCTION("""COMPUTED_VALUE"""),"")</f>
        <v/>
      </c>
      <c r="AK782" s="2" t="str">
        <f>IFERROR(__xludf.DUMMYFUNCTION("""COMPUTED_VALUE"""),"")</f>
        <v/>
      </c>
      <c r="AL782" s="2" t="str">
        <f>IFERROR(__xludf.DUMMYFUNCTION("""COMPUTED_VALUE"""),"")</f>
        <v/>
      </c>
      <c r="AM782" s="2" t="str">
        <f>IFERROR(__xludf.DUMMYFUNCTION("""COMPUTED_VALUE"""),"")</f>
        <v/>
      </c>
      <c r="AN782" s="2" t="str">
        <f>IFERROR(__xludf.DUMMYFUNCTION("""COMPUTED_VALUE""")," ")</f>
        <v> </v>
      </c>
      <c r="AO782" s="2" t="str">
        <f>IFERROR(__xludf.DUMMYFUNCTION("""COMPUTED_VALUE""")," ")</f>
        <v> </v>
      </c>
      <c r="AP782" s="2" t="str">
        <f>IFERROR(__xludf.DUMMYFUNCTION("""COMPUTED_VALUE"""),"")</f>
        <v/>
      </c>
      <c r="AQ782" s="2"/>
      <c r="AR782" s="2"/>
      <c r="AS782" s="2"/>
      <c r="AT782" s="2"/>
      <c r="AU782" s="2"/>
      <c r="AV782" s="2"/>
      <c r="AW782" s="2"/>
      <c r="AX782" s="2"/>
      <c r="AY782" s="2"/>
      <c r="AZ782" s="2"/>
      <c r="BA782" s="2"/>
      <c r="BB782" s="2"/>
    </row>
    <row r="783">
      <c r="A783" s="2">
        <f>IFERROR(__xludf.DUMMYFUNCTION("""COMPUTED_VALUE"""),779.0)</f>
        <v>779</v>
      </c>
      <c r="B783" s="2" t="str">
        <f>IFERROR(__xludf.DUMMYFUNCTION("""COMPUTED_VALUE"""),"COMPLETED")</f>
        <v>COMPLETED</v>
      </c>
      <c r="C783" s="74">
        <f>IFERROR(__xludf.DUMMYFUNCTION("""COMPUTED_VALUE"""),45692.0)</f>
        <v>45692</v>
      </c>
      <c r="D783" s="71" t="str">
        <f>IFERROR(__xludf.DUMMYFUNCTION("""COMPUTED_VALUE"""),"MABILAY DANUM FARMERS IRRIGATORS ASSOCIATION")</f>
        <v>MABILAY DANUM FARMERS IRRIGATORS ASSOCIATION</v>
      </c>
      <c r="E783" s="71" t="str">
        <f>IFERROR(__xludf.DUMMYFUNCTION("""COMPUTED_VALUE"""),"Pangascasan, Sual, Pangasinan")</f>
        <v>Pangascasan, Sual, Pangasinan</v>
      </c>
      <c r="F783" s="2"/>
      <c r="G783" s="2">
        <f>IFERROR(__xludf.DUMMYFUNCTION("""COMPUTED_VALUE"""),9.503925103E9)</f>
        <v>9503925103</v>
      </c>
      <c r="H783" s="2"/>
      <c r="I783" s="72" t="str">
        <f>IFERROR(__xludf.DUMMYFUNCTION("""COMPUTED_VALUE"""),"REPAIR - TRACTOR")</f>
        <v>REPAIR - TRACTOR</v>
      </c>
      <c r="J783" s="72" t="str">
        <f>IFERROR(__xludf.DUMMYFUNCTION("""COMPUTED_VALUE"""),"CHECK UP UNIT")</f>
        <v>CHECK UP UNIT</v>
      </c>
      <c r="K783" s="72" t="str">
        <f>IFERROR(__xludf.DUMMYFUNCTION("""COMPUTED_VALUE"""),"MYK: LEAK SA HARAPANG BANDANG GULONG NG TRACTORA
JHP: PARTS : 2/5/25: FRONT AXLE OIL SEAL SET
1ST PMS")</f>
        <v>MYK: LEAK SA HARAPANG BANDANG GULONG NG TRACTORA
JHP: PARTS : 2/5/25: FRONT AXLE OIL SEAL SET
1ST PMS</v>
      </c>
      <c r="L783" s="72" t="str">
        <f>IFERROR(__xludf.DUMMYFUNCTION("""COMPUTED_VALUE"""),"DRM: MADUMI LANG ANG OIL SEAL, NAMAHALAN DIN SA PRESYO NG OILSEAL
1ST PMS DONE")</f>
        <v>DRM: MADUMI LANG ANG OIL SEAL, NAMAHALAN DIN SA PRESYO NG OILSEAL
1ST PMS DONE</v>
      </c>
      <c r="M783" s="2"/>
      <c r="N783" s="2" t="str">
        <f>IFERROR(__xludf.DUMMYFUNCTION("""COMPUTED_VALUE"""),"PARTS: OIL FILTER, ENGINE OIL")</f>
        <v>PARTS: OIL FILTER, ENGINE OIL</v>
      </c>
      <c r="O783" s="2">
        <f>IFERROR(__xludf.DUMMYFUNCTION("""COMPUTED_VALUE"""),1111.0)</f>
        <v>1111</v>
      </c>
      <c r="P783" s="2"/>
      <c r="Q783" s="2"/>
      <c r="R783" s="74">
        <f>IFERROR(__xludf.DUMMYFUNCTION("""COMPUTED_VALUE"""),45714.0)</f>
        <v>45714</v>
      </c>
      <c r="S783" s="2" t="str">
        <f>IFERROR(__xludf.DUMMYFUNCTION("""COMPUTED_VALUE"""),"EGT/DRM")</f>
        <v>EGT/DRM</v>
      </c>
      <c r="T783" s="73" t="str">
        <f>IFERROR(__xludf.DUMMYFUNCTION("""COMPUTED_VALUE""")," N/A ")</f>
        <v>N/A</v>
      </c>
      <c r="U783" s="73" t="str">
        <f>IFERROR(__xludf.DUMMYFUNCTION("""COMPUTED_VALUE""")," NO CHARGE ")</f>
        <v>NO CHARGE</v>
      </c>
      <c r="V783" s="2"/>
      <c r="W783" s="2" t="str">
        <f>IFERROR(__xludf.DUMMYFUNCTION("""COMPUTED_VALUE"""),"N/A")</f>
        <v>N/A</v>
      </c>
      <c r="X783" s="2" t="str">
        <f>IFERROR(__xludf.DUMMYFUNCTION("""COMPUTED_VALUE"""),"N/A")</f>
        <v>N/A</v>
      </c>
      <c r="Y783" s="2"/>
      <c r="Z783" s="2"/>
      <c r="AA783" s="2"/>
      <c r="AB783" s="2"/>
      <c r="AC783" s="2"/>
      <c r="AD783" s="2"/>
      <c r="AE783" s="2"/>
      <c r="AF783" s="2"/>
      <c r="AG783" s="2"/>
      <c r="AH783" s="2"/>
      <c r="AI783" s="2"/>
      <c r="AJ783" s="2" t="str">
        <f>IFERROR(__xludf.DUMMYFUNCTION("""COMPUTED_VALUE"""),"Pangascasan")</f>
        <v>Pangascasan</v>
      </c>
      <c r="AK783" s="2" t="str">
        <f>IFERROR(__xludf.DUMMYFUNCTION("""COMPUTED_VALUE"""),"Sual")</f>
        <v>Sual</v>
      </c>
      <c r="AL783" s="2" t="str">
        <f>IFERROR(__xludf.DUMMYFUNCTION("""COMPUTED_VALUE"""),"Pangasinan")</f>
        <v>Pangasinan</v>
      </c>
      <c r="AM783" s="2">
        <f>IFERROR(__xludf.DUMMYFUNCTION("""COMPUTED_VALUE"""),1.0)</f>
        <v>1</v>
      </c>
      <c r="AN783" s="2" t="str">
        <f>IFERROR(__xludf.DUMMYFUNCTION("""COMPUTED_VALUE"""),"RCEF 23-09-21 Rebidding")</f>
        <v>RCEF 23-09-21 Rebidding</v>
      </c>
      <c r="AO783" s="2">
        <f>IFERROR(__xludf.DUMMYFUNCTION("""COMPUTED_VALUE"""),2.0)</f>
        <v>2</v>
      </c>
      <c r="AP783" s="2"/>
      <c r="AQ783" s="2"/>
      <c r="AR783" s="2"/>
      <c r="AS783" s="2"/>
      <c r="AT783" s="2"/>
      <c r="AU783" s="2"/>
      <c r="AV783" s="2"/>
      <c r="AW783" s="2"/>
      <c r="AX783" s="2"/>
      <c r="AY783" s="2"/>
      <c r="AZ783" s="2"/>
      <c r="BA783" s="2"/>
      <c r="BB783" s="2"/>
    </row>
    <row r="784">
      <c r="A784" s="2">
        <f>IFERROR(__xludf.DUMMYFUNCTION("""COMPUTED_VALUE"""),780.0)</f>
        <v>780</v>
      </c>
      <c r="B784" s="2" t="str">
        <f>IFERROR(__xludf.DUMMYFUNCTION("""COMPUTED_VALUE"""),"COMPLETED")</f>
        <v>COMPLETED</v>
      </c>
      <c r="C784" s="74">
        <f>IFERROR(__xludf.DUMMYFUNCTION("""COMPUTED_VALUE"""),45693.0)</f>
        <v>45693</v>
      </c>
      <c r="D784" s="71" t="str">
        <f>IFERROR(__xludf.DUMMYFUNCTION("""COMPUTED_VALUE"""),"City Local Government Unit of Cabanatuan")</f>
        <v>City Local Government Unit of Cabanatuan</v>
      </c>
      <c r="E784" s="71" t="str">
        <f>IFERROR(__xludf.DUMMYFUNCTION("""COMPUTED_VALUE"""),"Kapitan Pepe (Pob.), Cabanatuan City, NUEVA ECIJA")</f>
        <v>Kapitan Pepe (Pob.), Cabanatuan City, NUEVA ECIJA</v>
      </c>
      <c r="F784" s="2" t="str">
        <f>IFERROR(__xludf.DUMMYFUNCTION("""COMPUTED_VALUE"""),"IAN JOSHUA SANTIAGO")</f>
        <v>IAN JOSHUA SANTIAGO</v>
      </c>
      <c r="G784" s="2">
        <f>IFERROR(__xludf.DUMMYFUNCTION("""COMPUTED_VALUE"""),9.097995611E9)</f>
        <v>9097995611</v>
      </c>
      <c r="H784" s="2">
        <f>IFERROR(__xludf.DUMMYFUNCTION("""COMPUTED_VALUE"""),56.0)</f>
        <v>56</v>
      </c>
      <c r="I784" s="72" t="str">
        <f>IFERROR(__xludf.DUMMYFUNCTION("""COMPUTED_VALUE"""),"REPAIR - TRACTOR")</f>
        <v>REPAIR - TRACTOR</v>
      </c>
      <c r="J784" s="72" t="str">
        <f>IFERROR(__xludf.DUMMYFUNCTION("""COMPUTED_VALUE"""),"Transmission - Clutch")</f>
        <v>Transmission - Clutch</v>
      </c>
      <c r="K784" s="72" t="str">
        <f>IFERROR(__xludf.DUMMYFUNCTION("""COMPUTED_VALUE"""),"CTF: Request first 50 hrs change oil, Clutch lining problem
ERP: Paiba iba ng  operator
PARTS: CLUTCH DISC ASSY")</f>
        <v>CTF: Request first 50 hrs change oil, Clutch lining problem
ERP: Paiba iba ng  operator
PARTS: CLUTCH DISC ASSY</v>
      </c>
      <c r="L784" s="72" t="str">
        <f>IFERROR(__xludf.DUMMYFUNCTION("""COMPUTED_VALUE"""),"ACS: REPLACED CLUTCH LINING")</f>
        <v>ACS: REPLACED CLUTCH LINING</v>
      </c>
      <c r="M784" s="2"/>
      <c r="N784" s="2" t="str">
        <f>IFERROR(__xludf.DUMMYFUNCTION("""COMPUTED_VALUE"""),"PARTS: CLUTCH DISC ASSY, ENGINE OIL , OIL FILTER")</f>
        <v>PARTS: CLUTCH DISC ASSY, ENGINE OIL , OIL FILTER</v>
      </c>
      <c r="O784" s="2">
        <f>IFERROR(__xludf.DUMMYFUNCTION("""COMPUTED_VALUE"""),1230.0)</f>
        <v>1230</v>
      </c>
      <c r="P784" s="2"/>
      <c r="Q784" s="2"/>
      <c r="R784" s="74">
        <f>IFERROR(__xludf.DUMMYFUNCTION("""COMPUTED_VALUE"""),45736.0)</f>
        <v>45736</v>
      </c>
      <c r="S784" s="2" t="str">
        <f>IFERROR(__xludf.DUMMYFUNCTION("""COMPUTED_VALUE"""),"JHP/ACS")</f>
        <v>JHP/ACS</v>
      </c>
      <c r="T784" s="73">
        <f>IFERROR(__xludf.DUMMYFUNCTION("""COMPUTED_VALUE"""),22000.0)</f>
        <v>22000</v>
      </c>
      <c r="U784" s="73" t="str">
        <f>IFERROR(__xludf.DUMMYFUNCTION("""COMPUTED_VALUE""")," REMITTED ")</f>
        <v>REMITTED</v>
      </c>
      <c r="V784" s="2"/>
      <c r="W784" s="2"/>
      <c r="X784" s="2">
        <f>IFERROR(__xludf.DUMMYFUNCTION("""COMPUTED_VALUE"""),1342.0)</f>
        <v>1342</v>
      </c>
      <c r="Y784" s="2"/>
      <c r="Z784" s="2"/>
      <c r="AA784" s="2"/>
      <c r="AB784" s="2"/>
      <c r="AC784" s="2"/>
      <c r="AD784" s="2"/>
      <c r="AE784" s="2"/>
      <c r="AF784" s="2"/>
      <c r="AG784" s="2"/>
      <c r="AH784" s="2"/>
      <c r="AI784" s="2"/>
      <c r="AJ784" s="2" t="str">
        <f>IFERROR(__xludf.DUMMYFUNCTION("""COMPUTED_VALUE"""),"Kapitan Pepe (Pob.)")</f>
        <v>Kapitan Pepe (Pob.)</v>
      </c>
      <c r="AK784" s="2" t="str">
        <f>IFERROR(__xludf.DUMMYFUNCTION("""COMPUTED_VALUE"""),"Cabanatuan City")</f>
        <v>Cabanatuan City</v>
      </c>
      <c r="AL784" s="2" t="str">
        <f>IFERROR(__xludf.DUMMYFUNCTION("""COMPUTED_VALUE"""),"Nueva Ecija")</f>
        <v>Nueva Ecija</v>
      </c>
      <c r="AM784" s="2">
        <f>IFERROR(__xludf.DUMMYFUNCTION("""COMPUTED_VALUE"""),3.0)</f>
        <v>3</v>
      </c>
      <c r="AN784" s="2" t="str">
        <f>IFERROR(__xludf.DUMMYFUNCTION("""COMPUTED_VALUE"""),"RCEF 24-04-15")</f>
        <v>RCEF 24-04-15</v>
      </c>
      <c r="AO784" s="2">
        <f>IFERROR(__xludf.DUMMYFUNCTION("""COMPUTED_VALUE"""),6.0)</f>
        <v>6</v>
      </c>
      <c r="AP784" s="2" t="str">
        <f>IFERROR(__xludf.DUMMYFUNCTION("""COMPUTED_VALUE"""),"FREE PMS")</f>
        <v>FREE PMS</v>
      </c>
      <c r="AQ784" s="2"/>
      <c r="AR784" s="2"/>
      <c r="AS784" s="2"/>
      <c r="AT784" s="2"/>
      <c r="AU784" s="2"/>
      <c r="AV784" s="2"/>
      <c r="AW784" s="2"/>
      <c r="AX784" s="2"/>
      <c r="AY784" s="2"/>
      <c r="AZ784" s="2"/>
      <c r="BA784" s="2"/>
      <c r="BB784" s="2"/>
    </row>
    <row r="785">
      <c r="A785" s="2">
        <f>IFERROR(__xludf.DUMMYFUNCTION("""COMPUTED_VALUE"""),781.0)</f>
        <v>781</v>
      </c>
      <c r="B785" s="2" t="str">
        <f>IFERROR(__xludf.DUMMYFUNCTION("""COMPUTED_VALUE"""),"COMPLETED")</f>
        <v>COMPLETED</v>
      </c>
      <c r="C785" s="74">
        <f>IFERROR(__xludf.DUMMYFUNCTION("""COMPUTED_VALUE"""),45693.0)</f>
        <v>45693</v>
      </c>
      <c r="D785" s="71" t="str">
        <f>IFERROR(__xludf.DUMMYFUNCTION("""COMPUTED_VALUE"""),"City Local Government Unit of Cabanatuan")</f>
        <v>City Local Government Unit of Cabanatuan</v>
      </c>
      <c r="E785" s="71" t="str">
        <f>IFERROR(__xludf.DUMMYFUNCTION("""COMPUTED_VALUE"""),"Kapitan Pepe (Pob.), Cabanatuan City, NUEVA ECIJA")</f>
        <v>Kapitan Pepe (Pob.), Cabanatuan City, NUEVA ECIJA</v>
      </c>
      <c r="F785" s="2" t="str">
        <f>IFERROR(__xludf.DUMMYFUNCTION("""COMPUTED_VALUE"""),"IAN JOSHUA SANTIAGO")</f>
        <v>IAN JOSHUA SANTIAGO</v>
      </c>
      <c r="G785" s="2">
        <f>IFERROR(__xludf.DUMMYFUNCTION("""COMPUTED_VALUE"""),9.097995611E9)</f>
        <v>9097995611</v>
      </c>
      <c r="H785" s="2">
        <f>IFERROR(__xludf.DUMMYFUNCTION("""COMPUTED_VALUE"""),56.0)</f>
        <v>56</v>
      </c>
      <c r="I785" s="72" t="str">
        <f>IFERROR(__xludf.DUMMYFUNCTION("""COMPUTED_VALUE"""),"TRAINING REQUEST")</f>
        <v>TRAINING REQUEST</v>
      </c>
      <c r="J785" s="72" t="str">
        <f>IFERROR(__xludf.DUMMYFUNCTION("""COMPUTED_VALUE"""),"TRAINING")</f>
        <v>TRAINING</v>
      </c>
      <c r="K785" s="72" t="str">
        <f>IFERROR(__xludf.DUMMYFUNCTION("""COMPUTED_VALUE"""),"ERP: TRAINING 4WT")</f>
        <v>ERP: TRAINING 4WT</v>
      </c>
      <c r="L785" s="72" t="str">
        <f>IFERROR(__xludf.DUMMYFUNCTION("""COMPUTED_VALUE"""),"CTF: Basic maintenance and trouble shoot done explain, Hindi po nakapag actually training kase po may problema sa clutch lining Hindi magamit unit.")</f>
        <v>CTF: Basic maintenance and trouble shoot done explain, Hindi po nakapag actually training kase po may problema sa clutch lining Hindi magamit unit.</v>
      </c>
      <c r="M785" s="2"/>
      <c r="N785" s="2"/>
      <c r="O785" s="2" t="str">
        <f>IFERROR(__xludf.DUMMYFUNCTION("""COMPUTED_VALUE"""),"NEED SERVICE REPORT")</f>
        <v>NEED SERVICE REPORT</v>
      </c>
      <c r="P785" s="2"/>
      <c r="Q785" s="2"/>
      <c r="R785" s="74">
        <f>IFERROR(__xludf.DUMMYFUNCTION("""COMPUTED_VALUE"""),45693.0)</f>
        <v>45693</v>
      </c>
      <c r="S785" s="2" t="str">
        <f>IFERROR(__xludf.DUMMYFUNCTION("""COMPUTED_VALUE"""),"CTF/CFG")</f>
        <v>CTF/CFG</v>
      </c>
      <c r="T785" s="73" t="str">
        <f>IFERROR(__xludf.DUMMYFUNCTION("""COMPUTED_VALUE""")," N/A ")</f>
        <v>N/A</v>
      </c>
      <c r="U785" s="73" t="str">
        <f>IFERROR(__xludf.DUMMYFUNCTION("""COMPUTED_VALUE""")," NO CHARGE ")</f>
        <v>NO CHARGE</v>
      </c>
      <c r="V785" s="2"/>
      <c r="W785" s="2" t="str">
        <f>IFERROR(__xludf.DUMMYFUNCTION("""COMPUTED_VALUE"""),"N/A")</f>
        <v>N/A</v>
      </c>
      <c r="X785" s="2" t="str">
        <f>IFERROR(__xludf.DUMMYFUNCTION("""COMPUTED_VALUE"""),"N/A")</f>
        <v>N/A</v>
      </c>
      <c r="Y785" s="2"/>
      <c r="Z785" s="2"/>
      <c r="AA785" s="2"/>
      <c r="AB785" s="2"/>
      <c r="AC785" s="2"/>
      <c r="AD785" s="2"/>
      <c r="AE785" s="2"/>
      <c r="AF785" s="2"/>
      <c r="AG785" s="2"/>
      <c r="AH785" s="2"/>
      <c r="AI785" s="2"/>
      <c r="AJ785" s="2" t="str">
        <f>IFERROR(__xludf.DUMMYFUNCTION("""COMPUTED_VALUE"""),"Kapitan Pepe (Pob.)")</f>
        <v>Kapitan Pepe (Pob.)</v>
      </c>
      <c r="AK785" s="2" t="str">
        <f>IFERROR(__xludf.DUMMYFUNCTION("""COMPUTED_VALUE"""),"Cabanatuan City")</f>
        <v>Cabanatuan City</v>
      </c>
      <c r="AL785" s="2" t="str">
        <f>IFERROR(__xludf.DUMMYFUNCTION("""COMPUTED_VALUE"""),"Nueva Ecija")</f>
        <v>Nueva Ecija</v>
      </c>
      <c r="AM785" s="2">
        <f>IFERROR(__xludf.DUMMYFUNCTION("""COMPUTED_VALUE"""),3.0)</f>
        <v>3</v>
      </c>
      <c r="AN785" s="2" t="str">
        <f>IFERROR(__xludf.DUMMYFUNCTION("""COMPUTED_VALUE"""),"RCEF 24-04-15")</f>
        <v>RCEF 24-04-15</v>
      </c>
      <c r="AO785" s="2">
        <f>IFERROR(__xludf.DUMMYFUNCTION("""COMPUTED_VALUE"""),6.0)</f>
        <v>6</v>
      </c>
      <c r="AP785" s="2" t="str">
        <f>IFERROR(__xludf.DUMMYFUNCTION("""COMPUTED_VALUE"""),"FREE PMS")</f>
        <v>FREE PMS</v>
      </c>
      <c r="AQ785" s="2"/>
      <c r="AR785" s="2"/>
      <c r="AS785" s="2"/>
      <c r="AT785" s="2"/>
      <c r="AU785" s="2"/>
      <c r="AV785" s="2"/>
      <c r="AW785" s="2"/>
      <c r="AX785" s="2"/>
      <c r="AY785" s="2"/>
      <c r="AZ785" s="2"/>
      <c r="BA785" s="2"/>
      <c r="BB785" s="2"/>
    </row>
    <row r="786">
      <c r="A786" s="2">
        <f>IFERROR(__xludf.DUMMYFUNCTION("""COMPUTED_VALUE"""),782.0)</f>
        <v>782</v>
      </c>
      <c r="B786" s="2" t="str">
        <f>IFERROR(__xludf.DUMMYFUNCTION("""COMPUTED_VALUE"""),"COMPLETED")</f>
        <v>COMPLETED</v>
      </c>
      <c r="C786" s="74">
        <f>IFERROR(__xludf.DUMMYFUNCTION("""COMPUTED_VALUE"""),45694.0)</f>
        <v>45694</v>
      </c>
      <c r="D786" s="71" t="str">
        <f>IFERROR(__xludf.DUMMYFUNCTION("""COMPUTED_VALUE"""),"Masalipit Small Water Irrigation System Association Inc.")</f>
        <v>Masalipit Small Water Irrigation System Association Inc.</v>
      </c>
      <c r="E786" s="71" t="str">
        <f>IFERROR(__xludf.DUMMYFUNCTION("""COMPUTED_VALUE"""),"Masalipit, San Miguel, BULACAN")</f>
        <v>Masalipit, San Miguel, BULACAN</v>
      </c>
      <c r="F786" s="2" t="str">
        <f>IFERROR(__xludf.DUMMYFUNCTION("""COMPUTED_VALUE"""),"Bernardo S. Lusano")</f>
        <v>Bernardo S. Lusano</v>
      </c>
      <c r="G786" s="2" t="str">
        <f>IFERROR(__xludf.DUMMYFUNCTION("""COMPUTED_VALUE"""),"0935-952-6857")</f>
        <v>0935-952-6857</v>
      </c>
      <c r="H786" s="2">
        <f>IFERROR(__xludf.DUMMYFUNCTION("""COMPUTED_VALUE"""),195.0)</f>
        <v>195</v>
      </c>
      <c r="I786" s="72" t="str">
        <f>IFERROR(__xludf.DUMMYFUNCTION("""COMPUTED_VALUE"""),"REPAIR - TRACTOR")</f>
        <v>REPAIR - TRACTOR</v>
      </c>
      <c r="J786" s="72" t="str">
        <f>IFERROR(__xludf.DUMMYFUNCTION("""COMPUTED_VALUE"""),"Transmission - Clutch")</f>
        <v>Transmission - Clutch</v>
      </c>
      <c r="K786" s="72" t="str">
        <f>IFERROR(__xludf.DUMMYFUNCTION("""COMPUTED_VALUE"""),"MYK: CLUTCH LINING PROBLEM, IPAPAAYOS NA NILA
PARTS: CLUTCH DISC ASSY")</f>
        <v>MYK: CLUTCH LINING PROBLEM, IPAPAAYOS NA NILA
PARTS: CLUTCH DISC ASSY</v>
      </c>
      <c r="L786" s="72" t="str">
        <f>IFERROR(__xludf.DUMMYFUNCTION("""COMPUTED_VALUE"""),"ACS: OK NA NAMAKAT LANG ANG LINING")</f>
        <v>ACS: OK NA NAMAKAT LANG ANG LINING</v>
      </c>
      <c r="M786" s="2"/>
      <c r="N786" s="2"/>
      <c r="O786" s="2">
        <f>IFERROR(__xludf.DUMMYFUNCTION("""COMPUTED_VALUE"""),1223.0)</f>
        <v>1223</v>
      </c>
      <c r="P786" s="2"/>
      <c r="Q786" s="2" t="str">
        <f>IFERROR(__xludf.DUMMYFUNCTION("""COMPUTED_VALUE"""),"Y")</f>
        <v>Y</v>
      </c>
      <c r="R786" s="74">
        <f>IFERROR(__xludf.DUMMYFUNCTION("""COMPUTED_VALUE"""),45713.0)</f>
        <v>45713</v>
      </c>
      <c r="S786" s="2" t="str">
        <f>IFERROR(__xludf.DUMMYFUNCTION("""COMPUTED_VALUE"""),"JHP/ACS/JDP")</f>
        <v>JHP/ACS/JDP</v>
      </c>
      <c r="T786" s="73" t="str">
        <f>IFERROR(__xludf.DUMMYFUNCTION("""COMPUTED_VALUE""")," N/A ")</f>
        <v>N/A</v>
      </c>
      <c r="U786" s="73" t="str">
        <f>IFERROR(__xludf.DUMMYFUNCTION("""COMPUTED_VALUE""")," NO CHARGE ")</f>
        <v>NO CHARGE</v>
      </c>
      <c r="V786" s="2"/>
      <c r="W786" s="2" t="str">
        <f>IFERROR(__xludf.DUMMYFUNCTION("""COMPUTED_VALUE"""),"N/A")</f>
        <v>N/A</v>
      </c>
      <c r="X786" s="2" t="str">
        <f>IFERROR(__xludf.DUMMYFUNCTION("""COMPUTED_VALUE"""),"N/A")</f>
        <v>N/A</v>
      </c>
      <c r="Y786" s="2"/>
      <c r="Z786" s="2"/>
      <c r="AA786" s="2"/>
      <c r="AB786" s="2"/>
      <c r="AC786" s="2"/>
      <c r="AD786" s="2"/>
      <c r="AE786" s="2"/>
      <c r="AF786" s="2"/>
      <c r="AG786" s="2"/>
      <c r="AH786" s="2"/>
      <c r="AI786" s="2"/>
      <c r="AJ786" s="2" t="str">
        <f>IFERROR(__xludf.DUMMYFUNCTION("""COMPUTED_VALUE"""),"Masalipit")</f>
        <v>Masalipit</v>
      </c>
      <c r="AK786" s="2" t="str">
        <f>IFERROR(__xludf.DUMMYFUNCTION("""COMPUTED_VALUE"""),"San Miguel")</f>
        <v>San Miguel</v>
      </c>
      <c r="AL786" s="2" t="str">
        <f>IFERROR(__xludf.DUMMYFUNCTION("""COMPUTED_VALUE"""),"Bulacan")</f>
        <v>Bulacan</v>
      </c>
      <c r="AM786" s="2">
        <f>IFERROR(__xludf.DUMMYFUNCTION("""COMPUTED_VALUE"""),3.0)</f>
        <v>3</v>
      </c>
      <c r="AN786" s="2" t="str">
        <f>IFERROR(__xludf.DUMMYFUNCTION("""COMPUTED_VALUE"""),"RCEF 23-09-21 Rebidding")</f>
        <v>RCEF 23-09-21 Rebidding</v>
      </c>
      <c r="AO786" s="2">
        <f>IFERROR(__xludf.DUMMYFUNCTION("""COMPUTED_VALUE"""),3.0)</f>
        <v>3</v>
      </c>
      <c r="AP786" s="2"/>
      <c r="AQ786" s="2"/>
      <c r="AR786" s="2"/>
      <c r="AS786" s="2"/>
      <c r="AT786" s="2"/>
      <c r="AU786" s="2"/>
      <c r="AV786" s="2"/>
      <c r="AW786" s="2"/>
      <c r="AX786" s="2"/>
      <c r="AY786" s="2"/>
      <c r="AZ786" s="2"/>
      <c r="BA786" s="2"/>
      <c r="BB786" s="2"/>
    </row>
    <row r="787">
      <c r="A787" s="2">
        <f>IFERROR(__xludf.DUMMYFUNCTION("""COMPUTED_VALUE"""),783.0)</f>
        <v>783</v>
      </c>
      <c r="B787" s="2" t="str">
        <f>IFERROR(__xludf.DUMMYFUNCTION("""COMPUTED_VALUE"""),"COMPLETED")</f>
        <v>COMPLETED</v>
      </c>
      <c r="C787" s="74">
        <f>IFERROR(__xludf.DUMMYFUNCTION("""COMPUTED_VALUE"""),45694.0)</f>
        <v>45694</v>
      </c>
      <c r="D787" s="71" t="str">
        <f>IFERROR(__xludf.DUMMYFUNCTION("""COMPUTED_VALUE"""),"SITE GUAVA FARMERS INCORPORATED")</f>
        <v>SITE GUAVA FARMERS INCORPORATED</v>
      </c>
      <c r="E787" s="71" t="str">
        <f>IFERROR(__xludf.DUMMYFUNCTION("""COMPUTED_VALUE"""),"Armenia, Tarlac City, TARLAC")</f>
        <v>Armenia, Tarlac City, TARLAC</v>
      </c>
      <c r="F787" s="2"/>
      <c r="G787" s="2"/>
      <c r="H787" s="2" t="str">
        <f>IFERROR(__xludf.DUMMYFUNCTION("""COMPUTED_VALUE"""),"NEW")</f>
        <v>NEW</v>
      </c>
      <c r="I787" s="72" t="str">
        <f>IFERROR(__xludf.DUMMYFUNCTION("""COMPUTED_VALUE"""),"REPAIR - LOADER")</f>
        <v>REPAIR - LOADER</v>
      </c>
      <c r="J787" s="72" t="str">
        <f>IFERROR(__xludf.DUMMYFUNCTION("""COMPUTED_VALUE"""),"Leak")</f>
        <v>Leak</v>
      </c>
      <c r="K787" s="72" t="str">
        <f>IFERROR(__xludf.DUMMYFUNCTION("""COMPUTED_VALUE"""),"CTF: pipe assy boom down (1),damage, naipit at may konting gasgas pero walang leak during demo sa frontloader,gusto papalitan ni TPI.")</f>
        <v>CTF: pipe assy boom down (1),damage, naipit at may konting gasgas pero walang leak during demo sa frontloader,gusto papalitan ni TPI.</v>
      </c>
      <c r="L787" s="72" t="str">
        <f>IFERROR(__xludf.DUMMYFUNCTION("""COMPUTED_VALUE"""),"ERP: OK NA NAPALITAN NA")</f>
        <v>ERP: OK NA NAPALITAN NA</v>
      </c>
      <c r="M787" s="2"/>
      <c r="N787" s="2"/>
      <c r="O787" s="2" t="str">
        <f>IFERROR(__xludf.DUMMYFUNCTION("""COMPUTED_VALUE"""),"N/A")</f>
        <v>N/A</v>
      </c>
      <c r="P787" s="2"/>
      <c r="Q787" s="2"/>
      <c r="R787" s="74">
        <f>IFERROR(__xludf.DUMMYFUNCTION("""COMPUTED_VALUE"""),45705.0)</f>
        <v>45705</v>
      </c>
      <c r="S787" s="2" t="str">
        <f>IFERROR(__xludf.DUMMYFUNCTION("""COMPUTED_VALUE"""),"JVV")</f>
        <v>JVV</v>
      </c>
      <c r="T787" s="73" t="str">
        <f>IFERROR(__xludf.DUMMYFUNCTION("""COMPUTED_VALUE""")," N/A ")</f>
        <v>N/A</v>
      </c>
      <c r="U787" s="73" t="str">
        <f>IFERROR(__xludf.DUMMYFUNCTION("""COMPUTED_VALUE""")," NO CHARGE ")</f>
        <v>NO CHARGE</v>
      </c>
      <c r="V787" s="2"/>
      <c r="W787" s="2" t="str">
        <f>IFERROR(__xludf.DUMMYFUNCTION("""COMPUTED_VALUE"""),"N/A")</f>
        <v>N/A</v>
      </c>
      <c r="X787" s="2" t="str">
        <f>IFERROR(__xludf.DUMMYFUNCTION("""COMPUTED_VALUE"""),"N/A")</f>
        <v>N/A</v>
      </c>
      <c r="Y787" s="2"/>
      <c r="Z787" s="2"/>
      <c r="AA787" s="2"/>
      <c r="AB787" s="2"/>
      <c r="AC787" s="2"/>
      <c r="AD787" s="2"/>
      <c r="AE787" s="2"/>
      <c r="AF787" s="2"/>
      <c r="AG787" s="2"/>
      <c r="AH787" s="2"/>
      <c r="AI787" s="2"/>
      <c r="AJ787" s="2" t="str">
        <f>IFERROR(__xludf.DUMMYFUNCTION("""COMPUTED_VALUE"""),"Armenia")</f>
        <v>Armenia</v>
      </c>
      <c r="AK787" s="2" t="str">
        <f>IFERROR(__xludf.DUMMYFUNCTION("""COMPUTED_VALUE"""),"Tarlac City")</f>
        <v>Tarlac City</v>
      </c>
      <c r="AL787" s="2" t="str">
        <f>IFERROR(__xludf.DUMMYFUNCTION("""COMPUTED_VALUE"""),"Tarlac")</f>
        <v>Tarlac</v>
      </c>
      <c r="AM787" s="2">
        <f>IFERROR(__xludf.DUMMYFUNCTION("""COMPUTED_VALUE"""),3.0)</f>
        <v>3</v>
      </c>
      <c r="AN787" s="2" t="str">
        <f>IFERROR(__xludf.DUMMYFUNCTION("""COMPUTED_VALUE"""),"RCEF 24-04-15")</f>
        <v>RCEF 24-04-15</v>
      </c>
      <c r="AO787" s="2">
        <f>IFERROR(__xludf.DUMMYFUNCTION("""COMPUTED_VALUE"""),6.0)</f>
        <v>6</v>
      </c>
      <c r="AP787" s="2" t="str">
        <f>IFERROR(__xludf.DUMMYFUNCTION("""COMPUTED_VALUE"""),"FREE PMS")</f>
        <v>FREE PMS</v>
      </c>
      <c r="AQ787" s="2"/>
      <c r="AR787" s="2"/>
      <c r="AS787" s="2"/>
      <c r="AT787" s="2"/>
      <c r="AU787" s="2"/>
      <c r="AV787" s="2"/>
      <c r="AW787" s="2"/>
      <c r="AX787" s="2"/>
      <c r="AY787" s="2"/>
      <c r="AZ787" s="2"/>
      <c r="BA787" s="2"/>
      <c r="BB787" s="2"/>
    </row>
    <row r="788">
      <c r="A788" s="2">
        <f>IFERROR(__xludf.DUMMYFUNCTION("""COMPUTED_VALUE"""),784.0)</f>
        <v>784</v>
      </c>
      <c r="B788" s="2" t="str">
        <f>IFERROR(__xludf.DUMMYFUNCTION("""COMPUTED_VALUE"""),"COMPLETED")</f>
        <v>COMPLETED</v>
      </c>
      <c r="C788" s="74">
        <f>IFERROR(__xludf.DUMMYFUNCTION("""COMPUTED_VALUE"""),45695.0)</f>
        <v>45695</v>
      </c>
      <c r="D788" s="71" t="str">
        <f>IFERROR(__xludf.DUMMYFUNCTION("""COMPUTED_VALUE"""),"SAGPAT FARMERS ASSOCIATION")</f>
        <v>SAGPAT FARMERS ASSOCIATION</v>
      </c>
      <c r="E788" s="71" t="str">
        <f>IFERROR(__xludf.DUMMYFUNCTION("""COMPUTED_VALUE"""),"Appas, Tabuk City, KALINGA")</f>
        <v>Appas, Tabuk City, KALINGA</v>
      </c>
      <c r="F788" s="2" t="str">
        <f>IFERROR(__xludf.DUMMYFUNCTION("""COMPUTED_VALUE"""),"Marvin B.Apita")</f>
        <v>Marvin B.Apita</v>
      </c>
      <c r="G788" s="2">
        <f>IFERROR(__xludf.DUMMYFUNCTION("""COMPUTED_VALUE"""),9.293368533E9)</f>
        <v>9293368533</v>
      </c>
      <c r="H788" s="2">
        <f>IFERROR(__xludf.DUMMYFUNCTION("""COMPUTED_VALUE"""),192.8)</f>
        <v>192.8</v>
      </c>
      <c r="I788" s="72" t="str">
        <f>IFERROR(__xludf.DUMMYFUNCTION("""COMPUTED_VALUE"""),"REPAIR - TRACTOR")</f>
        <v>REPAIR - TRACTOR</v>
      </c>
      <c r="J788" s="72" t="str">
        <f>IFERROR(__xludf.DUMMYFUNCTION("""COMPUTED_VALUE"""),"Engine - Overhaul")</f>
        <v>Engine - Overhaul</v>
      </c>
      <c r="K788" s="72" t="str">
        <f>IFERROR(__xludf.DUMMYFUNCTION("""COMPUTED_VALUE"""),"JHP: PUMUTOK ANG RADIATOR
1219: 2/12/25: ACS: NO RADIATOR PROBLEM, ENGINE OVERHAUL
PARTS: ENGINE CYINDER BLOCK ASSY, CYLINDER HEAD ASSY, CYLINDER HEAD GASKET, 4 PISTON,  4 SETS OF PISTON RING, 8 VALVE SEAL 
")</f>
        <v>JHP: PUMUTOK ANG RADIATOR
1219: 2/12/25: ACS: NO RADIATOR PROBLEM, ENGINE OVERHAUL
PARTS: ENGINE CYINDER BLOCK ASSY, CYLINDER HEAD ASSY, CYLINDER HEAD GASKET, 4 PISTON,  4 SETS OF PISTON RING, 8 VALVE SEAL 
</v>
      </c>
      <c r="L788" s="72" t="str">
        <f>IFERROR(__xludf.DUMMYFUNCTION("""COMPUTED_VALUE"""),"CFG: ENGINE OVERHAUL DONE")</f>
        <v>CFG: ENGINE OVERHAUL DONE</v>
      </c>
      <c r="M788" s="2"/>
      <c r="N788" s="2" t="str">
        <f>IFERROR(__xludf.DUMMYFUNCTION("""COMPUTED_VALUE"""),"PARTS: 
1 pc Engine Block (outsource)
1 pc Cylinder head gasket
4 pcs piston, 
4 pcs piston rings.
1 pc Cam shaft ass'y
1 pc Cam shaft gear")</f>
        <v>PARTS: 
1 pc Engine Block (outsource)
1 pc Cylinder head gasket
4 pcs piston, 
4 pcs piston rings.
1 pc Cam shaft ass'y
1 pc Cam shaft gear</v>
      </c>
      <c r="O788" s="2">
        <f>IFERROR(__xludf.DUMMYFUNCTION("""COMPUTED_VALUE"""),1409.0)</f>
        <v>1409</v>
      </c>
      <c r="P788" s="2"/>
      <c r="Q788" s="2" t="str">
        <f>IFERROR(__xludf.DUMMYFUNCTION("""COMPUTED_VALUE"""),"y")</f>
        <v>y</v>
      </c>
      <c r="R788" s="74">
        <f>IFERROR(__xludf.DUMMYFUNCTION("""COMPUTED_VALUE"""),45840.0)</f>
        <v>45840</v>
      </c>
      <c r="S788" s="2" t="str">
        <f>IFERROR(__xludf.DUMMYFUNCTION("""COMPUTED_VALUE"""),"JHP/CFG")</f>
        <v>JHP/CFG</v>
      </c>
      <c r="T788" s="73" t="str">
        <f>IFERROR(__xludf.DUMMYFUNCTION("""COMPUTED_VALUE""")," N/A ")</f>
        <v>N/A</v>
      </c>
      <c r="U788" s="73" t="str">
        <f>IFERROR(__xludf.DUMMYFUNCTION("""COMPUTED_VALUE""")," NO CHARGE ")</f>
        <v>NO CHARGE</v>
      </c>
      <c r="V788" s="2"/>
      <c r="W788" s="2" t="str">
        <f>IFERROR(__xludf.DUMMYFUNCTION("""COMPUTED_VALUE"""),"N/A")</f>
        <v>N/A</v>
      </c>
      <c r="X788" s="2" t="str">
        <f>IFERROR(__xludf.DUMMYFUNCTION("""COMPUTED_VALUE"""),"N/A")</f>
        <v>N/A</v>
      </c>
      <c r="Y788" s="2"/>
      <c r="Z788" s="2"/>
      <c r="AA788" s="2"/>
      <c r="AB788" s="2" t="str">
        <f>IFERROR(__xludf.DUMMYFUNCTION("""COMPUTED_VALUE"""),"PARTS UNAVAILABLE")</f>
        <v>PARTS UNAVAILABLE</v>
      </c>
      <c r="AC788" s="2"/>
      <c r="AD788" s="2"/>
      <c r="AE788" s="2"/>
      <c r="AF788" s="2"/>
      <c r="AG788" s="2"/>
      <c r="AH788" s="2"/>
      <c r="AI788" s="2"/>
      <c r="AJ788" s="2" t="str">
        <f>IFERROR(__xludf.DUMMYFUNCTION("""COMPUTED_VALUE"""),"Appas")</f>
        <v>Appas</v>
      </c>
      <c r="AK788" s="2" t="str">
        <f>IFERROR(__xludf.DUMMYFUNCTION("""COMPUTED_VALUE"""),"Tabuk City")</f>
        <v>Tabuk City</v>
      </c>
      <c r="AL788" s="2" t="str">
        <f>IFERROR(__xludf.DUMMYFUNCTION("""COMPUTED_VALUE"""),"Kalinga")</f>
        <v>Kalinga</v>
      </c>
      <c r="AM788" s="2" t="str">
        <f>IFERROR(__xludf.DUMMYFUNCTION("""COMPUTED_VALUE"""),"CAR")</f>
        <v>CAR</v>
      </c>
      <c r="AN788" s="2" t="str">
        <f>IFERROR(__xludf.DUMMYFUNCTION("""COMPUTED_VALUE"""),"RCEF 23-09-21 Rebidding")</f>
        <v>RCEF 23-09-21 Rebidding</v>
      </c>
      <c r="AO788" s="2">
        <f>IFERROR(__xludf.DUMMYFUNCTION("""COMPUTED_VALUE"""),1.0)</f>
        <v>1</v>
      </c>
      <c r="AP788" s="2"/>
      <c r="AQ788" s="2"/>
      <c r="AR788" s="2"/>
      <c r="AS788" s="2"/>
      <c r="AT788" s="2"/>
      <c r="AU788" s="2"/>
      <c r="AV788" s="2"/>
      <c r="AW788" s="2"/>
      <c r="AX788" s="2"/>
      <c r="AY788" s="2"/>
      <c r="AZ788" s="2"/>
      <c r="BA788" s="2"/>
      <c r="BB788" s="2"/>
    </row>
    <row r="789">
      <c r="A789" s="2">
        <f>IFERROR(__xludf.DUMMYFUNCTION("""COMPUTED_VALUE"""),785.0)</f>
        <v>785</v>
      </c>
      <c r="B789" s="2" t="str">
        <f>IFERROR(__xludf.DUMMYFUNCTION("""COMPUTED_VALUE"""),"COMPLETED")</f>
        <v>COMPLETED</v>
      </c>
      <c r="C789" s="74">
        <f>IFERROR(__xludf.DUMMYFUNCTION("""COMPUTED_VALUE"""),45695.0)</f>
        <v>45695</v>
      </c>
      <c r="D789" s="71" t="str">
        <f>IFERROR(__xludf.DUMMYFUNCTION("""COMPUTED_VALUE"""),"Barangay Indayagan Farmers Association")</f>
        <v>Barangay Indayagan Farmers Association</v>
      </c>
      <c r="E789" s="71" t="str">
        <f>IFERROR(__xludf.DUMMYFUNCTION("""COMPUTED_VALUE"""),"Indayagan, Ma-ayon, CAPIZ")</f>
        <v>Indayagan, Ma-ayon, CAPIZ</v>
      </c>
      <c r="F789" s="2" t="str">
        <f>IFERROR(__xludf.DUMMYFUNCTION("""COMPUTED_VALUE"""),"EDUARDO DELFIN")</f>
        <v>EDUARDO DELFIN</v>
      </c>
      <c r="G789" s="2" t="str">
        <f>IFERROR(__xludf.DUMMYFUNCTION("""COMPUTED_VALUE"""),"09488863420 09391039839")</f>
        <v>09488863420 09391039839</v>
      </c>
      <c r="H789" s="2">
        <f>IFERROR(__xludf.DUMMYFUNCTION("""COMPUTED_VALUE"""),83.7)</f>
        <v>83.7</v>
      </c>
      <c r="I789" s="72" t="str">
        <f>IFERROR(__xludf.DUMMYFUNCTION("""COMPUTED_VALUE"""),"REPAIR - TRACTOR")</f>
        <v>REPAIR - TRACTOR</v>
      </c>
      <c r="J789" s="72" t="str">
        <f>IFERROR(__xludf.DUMMYFUNCTION("""COMPUTED_VALUE"""),"Transmission - Clutch")</f>
        <v>Transmission - Clutch</v>
      </c>
      <c r="K789" s="72" t="str">
        <f>IFERROR(__xludf.DUMMYFUNCTION("""COMPUTED_VALUE"""),"MYKE: CLUTCH LINING PROBLEM")</f>
        <v>MYKE: CLUTCH LINING PROBLEM</v>
      </c>
      <c r="L789" s="72" t="str">
        <f>IFERROR(__xludf.DUMMYFUNCTION("""COMPUTED_VALUE"""),"EGT: RELEASE BEARING,  LANG ANG SIRA")</f>
        <v>EGT: RELEASE BEARING,  LANG ANG SIRA</v>
      </c>
      <c r="M789" s="2"/>
      <c r="N789" s="2" t="str">
        <f>IFERROR(__xludf.DUMMYFUNCTION("""COMPUTED_VALUE"""),"PARTS: RELEASE BEARING")</f>
        <v>PARTS: RELEASE BEARING</v>
      </c>
      <c r="O789" s="2">
        <f>IFERROR(__xludf.DUMMYFUNCTION("""COMPUTED_VALUE"""),1106.0)</f>
        <v>1106</v>
      </c>
      <c r="P789" s="2"/>
      <c r="Q789" s="2"/>
      <c r="R789" s="74">
        <f>IFERROR(__xludf.DUMMYFUNCTION("""COMPUTED_VALUE"""),45700.0)</f>
        <v>45700</v>
      </c>
      <c r="S789" s="2" t="str">
        <f>IFERROR(__xludf.DUMMYFUNCTION("""COMPUTED_VALUE"""),"EGT/DRM")</f>
        <v>EGT/DRM</v>
      </c>
      <c r="T789" s="73" t="str">
        <f>IFERROR(__xludf.DUMMYFUNCTION("""COMPUTED_VALUE""")," N/A ")</f>
        <v>N/A</v>
      </c>
      <c r="U789" s="73" t="str">
        <f>IFERROR(__xludf.DUMMYFUNCTION("""COMPUTED_VALUE""")," NO CHARGE ")</f>
        <v>NO CHARGE</v>
      </c>
      <c r="V789" s="2"/>
      <c r="W789" s="2" t="str">
        <f>IFERROR(__xludf.DUMMYFUNCTION("""COMPUTED_VALUE"""),"N/A")</f>
        <v>N/A</v>
      </c>
      <c r="X789" s="2" t="str">
        <f>IFERROR(__xludf.DUMMYFUNCTION("""COMPUTED_VALUE"""),"N/A")</f>
        <v>N/A</v>
      </c>
      <c r="Y789" s="2"/>
      <c r="Z789" s="2"/>
      <c r="AA789" s="2"/>
      <c r="AB789" s="2"/>
      <c r="AC789" s="2"/>
      <c r="AD789" s="2"/>
      <c r="AE789" s="2"/>
      <c r="AF789" s="2"/>
      <c r="AG789" s="2"/>
      <c r="AH789" s="2"/>
      <c r="AI789" s="2"/>
      <c r="AJ789" s="2" t="str">
        <f>IFERROR(__xludf.DUMMYFUNCTION("""COMPUTED_VALUE"""),"Indayagan")</f>
        <v>Indayagan</v>
      </c>
      <c r="AK789" s="2" t="str">
        <f>IFERROR(__xludf.DUMMYFUNCTION("""COMPUTED_VALUE"""),"Ma-Ayon")</f>
        <v>Ma-Ayon</v>
      </c>
      <c r="AL789" s="2" t="str">
        <f>IFERROR(__xludf.DUMMYFUNCTION("""COMPUTED_VALUE"""),"Capiz")</f>
        <v>Capiz</v>
      </c>
      <c r="AM789" s="2">
        <f>IFERROR(__xludf.DUMMYFUNCTION("""COMPUTED_VALUE"""),6.0)</f>
        <v>6</v>
      </c>
      <c r="AN789" s="2" t="str">
        <f>IFERROR(__xludf.DUMMYFUNCTION("""COMPUTED_VALUE"""),"RCEF 23-09-21 Rebidding")</f>
        <v>RCEF 23-09-21 Rebidding</v>
      </c>
      <c r="AO789" s="2">
        <f>IFERROR(__xludf.DUMMYFUNCTION("""COMPUTED_VALUE"""),4.0)</f>
        <v>4</v>
      </c>
      <c r="AP789" s="2"/>
      <c r="AQ789" s="2"/>
      <c r="AR789" s="2"/>
      <c r="AS789" s="2"/>
      <c r="AT789" s="2"/>
      <c r="AU789" s="2"/>
      <c r="AV789" s="2"/>
      <c r="AW789" s="2"/>
      <c r="AX789" s="2"/>
      <c r="AY789" s="2"/>
      <c r="AZ789" s="2"/>
      <c r="BA789" s="2"/>
      <c r="BB789" s="2"/>
    </row>
    <row r="790">
      <c r="A790" s="2">
        <f>IFERROR(__xludf.DUMMYFUNCTION("""COMPUTED_VALUE"""),786.0)</f>
        <v>786</v>
      </c>
      <c r="B790" s="2" t="str">
        <f>IFERROR(__xludf.DUMMYFUNCTION("""COMPUTED_VALUE"""),"COMPLETED")</f>
        <v>COMPLETED</v>
      </c>
      <c r="C790" s="74">
        <f>IFERROR(__xludf.DUMMYFUNCTION("""COMPUTED_VALUE"""),45697.0)</f>
        <v>45697</v>
      </c>
      <c r="D790" s="71" t="str">
        <f>IFERROR(__xludf.DUMMYFUNCTION("""COMPUTED_VALUE"""),"Dugwakan Farmers Association")</f>
        <v>Dugwakan Farmers Association</v>
      </c>
      <c r="E790" s="71" t="str">
        <f>IFERROR(__xludf.DUMMYFUNCTION("""COMPUTED_VALUE"""),"Dugwakan, Banate, ILOILO")</f>
        <v>Dugwakan, Banate, ILOILO</v>
      </c>
      <c r="F790" s="2" t="str">
        <f>IFERROR(__xludf.DUMMYFUNCTION("""COMPUTED_VALUE"""),"MONIZA MARQUES")</f>
        <v>MONIZA MARQUES</v>
      </c>
      <c r="G790" s="2">
        <f>IFERROR(__xludf.DUMMYFUNCTION("""COMPUTED_VALUE"""),9.63525839E9)</f>
        <v>9635258390</v>
      </c>
      <c r="H790" s="2">
        <f>IFERROR(__xludf.DUMMYFUNCTION("""COMPUTED_VALUE"""),374.0)</f>
        <v>374</v>
      </c>
      <c r="I790" s="72" t="str">
        <f>IFERROR(__xludf.DUMMYFUNCTION("""COMPUTED_VALUE"""),"REPAIR - TRACTOR")</f>
        <v>REPAIR - TRACTOR</v>
      </c>
      <c r="J790" s="72" t="str">
        <f>IFERROR(__xludf.DUMMYFUNCTION("""COMPUTED_VALUE"""),"Front Axle - Leaking")</f>
        <v>Front Axle - Leaking</v>
      </c>
      <c r="K790" s="72" t="str">
        <f>IFERROR(__xludf.DUMMYFUNCTION("""COMPUTED_VALUE"""),"EGT: DEFECT FRONT AXLE OILSEAL AND GENERAL PMS")</f>
        <v>EGT: DEFECT FRONT AXLE OILSEAL AND GENERAL PMS</v>
      </c>
      <c r="L790" s="72" t="str">
        <f>IFERROR(__xludf.DUMMYFUNCTION("""COMPUTED_VALUE"""),"EGT: REPLACE FRON AXLE OIL SEAL, AND CHANGE OIL ENGINE, TRANSMISSION, FRONT DRIVE AND DISC PLOW.")</f>
        <v>EGT: REPLACE FRON AXLE OIL SEAL, AND CHANGE OIL ENGINE, TRANSMISSION, FRONT DRIVE AND DISC PLOW.</v>
      </c>
      <c r="M790" s="2"/>
      <c r="N790" s="2" t="str">
        <f>IFERROR(__xludf.DUMMYFUNCTION("""COMPUTED_VALUE"""),"PARTS: FRONT AXLE OIL SEAL TA0041359")</f>
        <v>PARTS: FRONT AXLE OIL SEAL TA0041359</v>
      </c>
      <c r="O790" s="2">
        <f>IFERROR(__xludf.DUMMYFUNCTION("""COMPUTED_VALUE"""),1349.0)</f>
        <v>1349</v>
      </c>
      <c r="P790" s="2"/>
      <c r="Q790" s="2"/>
      <c r="R790" s="74">
        <f>IFERROR(__xludf.DUMMYFUNCTION("""COMPUTED_VALUE"""),45697.0)</f>
        <v>45697</v>
      </c>
      <c r="S790" s="2" t="str">
        <f>IFERROR(__xludf.DUMMYFUNCTION("""COMPUTED_VALUE"""),"EGT/DRM")</f>
        <v>EGT/DRM</v>
      </c>
      <c r="T790" s="73">
        <f>IFERROR(__xludf.DUMMYFUNCTION("""COMPUTED_VALUE"""),3375.0)</f>
        <v>3375</v>
      </c>
      <c r="U790" s="73" t="str">
        <f>IFERROR(__xludf.DUMMYFUNCTION("""COMPUTED_VALUE""")," REMITTED ")</f>
        <v>REMITTED</v>
      </c>
      <c r="V790" s="2"/>
      <c r="W790" s="2"/>
      <c r="X790" s="2"/>
      <c r="Y790" s="2"/>
      <c r="Z790" s="2"/>
      <c r="AA790" s="2"/>
      <c r="AB790" s="2"/>
      <c r="AC790" s="2"/>
      <c r="AD790" s="2"/>
      <c r="AE790" s="2"/>
      <c r="AF790" s="2"/>
      <c r="AG790" s="2"/>
      <c r="AH790" s="2"/>
      <c r="AI790" s="2"/>
      <c r="AJ790" s="2" t="str">
        <f>IFERROR(__xludf.DUMMYFUNCTION("""COMPUTED_VALUE"""),"Dugwakan")</f>
        <v>Dugwakan</v>
      </c>
      <c r="AK790" s="2" t="str">
        <f>IFERROR(__xludf.DUMMYFUNCTION("""COMPUTED_VALUE"""),"Banate")</f>
        <v>Banate</v>
      </c>
      <c r="AL790" s="2" t="str">
        <f>IFERROR(__xludf.DUMMYFUNCTION("""COMPUTED_VALUE"""),"Iloilo")</f>
        <v>Iloilo</v>
      </c>
      <c r="AM790" s="2">
        <f>IFERROR(__xludf.DUMMYFUNCTION("""COMPUTED_VALUE"""),6.0)</f>
        <v>6</v>
      </c>
      <c r="AN790" s="2" t="str">
        <f>IFERROR(__xludf.DUMMYFUNCTION("""COMPUTED_VALUE"""),"RCEF 23-09-21 Rebidding")</f>
        <v>RCEF 23-09-21 Rebidding</v>
      </c>
      <c r="AO790" s="2">
        <f>IFERROR(__xludf.DUMMYFUNCTION("""COMPUTED_VALUE"""),4.0)</f>
        <v>4</v>
      </c>
      <c r="AP790" s="2"/>
      <c r="AQ790" s="2"/>
      <c r="AR790" s="2"/>
      <c r="AS790" s="2"/>
      <c r="AT790" s="2"/>
      <c r="AU790" s="2"/>
      <c r="AV790" s="2"/>
      <c r="AW790" s="2"/>
      <c r="AX790" s="2"/>
      <c r="AY790" s="2"/>
      <c r="AZ790" s="2"/>
      <c r="BA790" s="2"/>
      <c r="BB790" s="2"/>
    </row>
    <row r="791">
      <c r="A791" s="2">
        <f>IFERROR(__xludf.DUMMYFUNCTION("""COMPUTED_VALUE"""),787.0)</f>
        <v>787</v>
      </c>
      <c r="B791" s="2" t="str">
        <f>IFERROR(__xludf.DUMMYFUNCTION("""COMPUTED_VALUE"""),"COMPLETED")</f>
        <v>COMPLETED</v>
      </c>
      <c r="C791" s="74">
        <f>IFERROR(__xludf.DUMMYFUNCTION("""COMPUTED_VALUE"""),45700.0)</f>
        <v>45700</v>
      </c>
      <c r="D791" s="71" t="str">
        <f>IFERROR(__xludf.DUMMYFUNCTION("""COMPUTED_VALUE"""),"BURGOS, LUNA, SAN JUAN(BLSJ) IRRIGATORS ASSOCIATION INC.")</f>
        <v>BURGOS, LUNA, SAN JUAN(BLSJ) IRRIGATORS ASSOCIATION INC.</v>
      </c>
      <c r="E791" s="71" t="str">
        <f>IFERROR(__xludf.DUMMYFUNCTION("""COMPUTED_VALUE"""),"Luna (Pob.), San Antonio, ZAMBALES")</f>
        <v>Luna (Pob.), San Antonio, ZAMBALES</v>
      </c>
      <c r="F791" s="2" t="str">
        <f>IFERROR(__xludf.DUMMYFUNCTION("""COMPUTED_VALUE"""),"T. Fernandez Pres
Willy Nabor")</f>
        <v>T. Fernandez Pres
Willy Nabor</v>
      </c>
      <c r="G791" s="2" t="str">
        <f>IFERROR(__xludf.DUMMYFUNCTION("""COMPUTED_VALUE"""),"9194765313
09184444601 ")</f>
        <v>9194765313
09184444601 </v>
      </c>
      <c r="H791" s="2">
        <f>IFERROR(__xludf.DUMMYFUNCTION("""COMPUTED_VALUE"""),80.0)</f>
        <v>80</v>
      </c>
      <c r="I791" s="72" t="str">
        <f>IFERROR(__xludf.DUMMYFUNCTION("""COMPUTED_VALUE"""),"PMS")</f>
        <v>PMS</v>
      </c>
      <c r="J791" s="72" t="str">
        <f>IFERROR(__xludf.DUMMYFUNCTION("""COMPUTED_VALUE"""),"PMS")</f>
        <v>PMS</v>
      </c>
      <c r="K791" s="72" t="str">
        <f>IFERROR(__xludf.DUMMYFUNCTION("""COMPUTED_VALUE"""),"KFS: FOR PMS")</f>
        <v>KFS: FOR PMS</v>
      </c>
      <c r="L791" s="72" t="str">
        <f>IFERROR(__xludf.DUMMYFUNCTION("""COMPUTED_VALUE"""),"JTT: FIRTS PMS DONE")</f>
        <v>JTT: FIRTS PMS DONE</v>
      </c>
      <c r="M791" s="2"/>
      <c r="N791" s="2" t="str">
        <f>IFERROR(__xludf.DUMMYFUNCTION("""COMPUTED_VALUE"""),"PARTS: ENGINE OIL FILTER")</f>
        <v>PARTS: ENGINE OIL FILTER</v>
      </c>
      <c r="O791" s="2">
        <f>IFERROR(__xludf.DUMMYFUNCTION("""COMPUTED_VALUE"""),15.0)</f>
        <v>15</v>
      </c>
      <c r="P791" s="2"/>
      <c r="Q791" s="2"/>
      <c r="R791" s="74">
        <f>IFERROR(__xludf.DUMMYFUNCTION("""COMPUTED_VALUE"""),45700.0)</f>
        <v>45700</v>
      </c>
      <c r="S791" s="2" t="str">
        <f>IFERROR(__xludf.DUMMYFUNCTION("""COMPUTED_VALUE"""),"JTT/ECM")</f>
        <v>JTT/ECM</v>
      </c>
      <c r="T791" s="73">
        <f>IFERROR(__xludf.DUMMYFUNCTION("""COMPUTED_VALUE"""),1533.0)</f>
        <v>1533</v>
      </c>
      <c r="U791" s="73" t="str">
        <f>IFERROR(__xludf.DUMMYFUNCTION("""COMPUTED_VALUE""")," REMITTED ")</f>
        <v>REMITTED</v>
      </c>
      <c r="V791" s="2"/>
      <c r="W791" s="2">
        <f>IFERROR(__xludf.DUMMYFUNCTION("""COMPUTED_VALUE"""),1231.0)</f>
        <v>1231</v>
      </c>
      <c r="X791" s="2">
        <f>IFERROR(__xludf.DUMMYFUNCTION("""COMPUTED_VALUE"""),1369.0)</f>
        <v>1369</v>
      </c>
      <c r="Y791" s="2"/>
      <c r="Z791" s="2"/>
      <c r="AA791" s="2"/>
      <c r="AB791" s="2"/>
      <c r="AC791" s="2"/>
      <c r="AD791" s="2"/>
      <c r="AE791" s="2"/>
      <c r="AF791" s="2"/>
      <c r="AG791" s="2"/>
      <c r="AH791" s="2"/>
      <c r="AI791" s="2"/>
      <c r="AJ791" s="2" t="str">
        <f>IFERROR(__xludf.DUMMYFUNCTION("""COMPUTED_VALUE"""),"Luna (Pob.)")</f>
        <v>Luna (Pob.)</v>
      </c>
      <c r="AK791" s="2" t="str">
        <f>IFERROR(__xludf.DUMMYFUNCTION("""COMPUTED_VALUE"""),"San Antonio")</f>
        <v>San Antonio</v>
      </c>
      <c r="AL791" s="2" t="str">
        <f>IFERROR(__xludf.DUMMYFUNCTION("""COMPUTED_VALUE"""),"Zambales")</f>
        <v>Zambales</v>
      </c>
      <c r="AM791" s="2">
        <f>IFERROR(__xludf.DUMMYFUNCTION("""COMPUTED_VALUE"""),3.0)</f>
        <v>3</v>
      </c>
      <c r="AN791" s="2" t="str">
        <f>IFERROR(__xludf.DUMMYFUNCTION("""COMPUTED_VALUE"""),"RCEF 23-09-21 Rebidding")</f>
        <v>RCEF 23-09-21 Rebidding</v>
      </c>
      <c r="AO791" s="2">
        <f>IFERROR(__xludf.DUMMYFUNCTION("""COMPUTED_VALUE"""),3.0)</f>
        <v>3</v>
      </c>
      <c r="AP791" s="2"/>
      <c r="AQ791" s="2"/>
      <c r="AR791" s="2"/>
      <c r="AS791" s="2"/>
      <c r="AT791" s="2"/>
      <c r="AU791" s="2"/>
      <c r="AV791" s="2"/>
      <c r="AW791" s="2"/>
      <c r="AX791" s="2"/>
      <c r="AY791" s="2"/>
      <c r="AZ791" s="2"/>
      <c r="BA791" s="2"/>
      <c r="BB791" s="2"/>
    </row>
    <row r="792">
      <c r="A792" s="2">
        <f>IFERROR(__xludf.DUMMYFUNCTION("""COMPUTED_VALUE"""),788.0)</f>
        <v>788</v>
      </c>
      <c r="B792" s="2" t="str">
        <f>IFERROR(__xludf.DUMMYFUNCTION("""COMPUTED_VALUE"""),"COMPLETED")</f>
        <v>COMPLETED</v>
      </c>
      <c r="C792" s="74">
        <f>IFERROR(__xludf.DUMMYFUNCTION("""COMPUTED_VALUE"""),45701.0)</f>
        <v>45701</v>
      </c>
      <c r="D792" s="71" t="str">
        <f>IFERROR(__xludf.DUMMYFUNCTION("""COMPUTED_VALUE"""),"KABALIKAT IRRIGATORS ASSOCIATION, INC.")</f>
        <v>KABALIKAT IRRIGATORS ASSOCIATION, INC.</v>
      </c>
      <c r="E792" s="71" t="str">
        <f>IFERROR(__xludf.DUMMYFUNCTION("""COMPUTED_VALUE"""),"Rizaluna (Rizaluna Oeste), Cordon, ISABELA")</f>
        <v>Rizaluna (Rizaluna Oeste), Cordon, ISABELA</v>
      </c>
      <c r="F792" s="2" t="str">
        <f>IFERROR(__xludf.DUMMYFUNCTION("""COMPUTED_VALUE"""),"VIRGILIO RETOTAL SR.")</f>
        <v>VIRGILIO RETOTAL SR.</v>
      </c>
      <c r="G792" s="2">
        <f>IFERROR(__xludf.DUMMYFUNCTION("""COMPUTED_VALUE"""),9.168462142E9)</f>
        <v>9168462142</v>
      </c>
      <c r="H792" s="2">
        <f>IFERROR(__xludf.DUMMYFUNCTION("""COMPUTED_VALUE"""),357.0)</f>
        <v>357</v>
      </c>
      <c r="I792" s="72" t="str">
        <f>IFERROR(__xludf.DUMMYFUNCTION("""COMPUTED_VALUE"""),"REPAIR - TRACTOR")</f>
        <v>REPAIR - TRACTOR</v>
      </c>
      <c r="J792" s="72" t="str">
        <f>IFERROR(__xludf.DUMMYFUNCTION("""COMPUTED_VALUE"""),"Front Axle - Leaking")</f>
        <v>Front Axle - Leaking</v>
      </c>
      <c r="K792" s="72" t="str">
        <f>IFERROR(__xludf.DUMMYFUNCTION("""COMPUTED_VALUE"""),"JHP: FRONT AXLE LEAKAGE
PARTS: FRONT AXLE OIL SEAL")</f>
        <v>JHP: FRONT AXLE LEAKAGE
PARTS: FRONT AXLE OIL SEAL</v>
      </c>
      <c r="L792" s="72" t="str">
        <f>IFERROR(__xludf.DUMMYFUNCTION("""COMPUTED_VALUE"""),"CFG: DELIVERERD")</f>
        <v>CFG: DELIVERERD</v>
      </c>
      <c r="M792" s="2"/>
      <c r="N792" s="2" t="str">
        <f>IFERROR(__xludf.DUMMYFUNCTION("""COMPUTED_VALUE"""),"PARTS: FRONT AXLE OILSEAL")</f>
        <v>PARTS: FRONT AXLE OILSEAL</v>
      </c>
      <c r="O792" s="2" t="str">
        <f>IFERROR(__xludf.DUMMYFUNCTION("""COMPUTED_VALUE"""),"N/A")</f>
        <v>N/A</v>
      </c>
      <c r="P792" s="2"/>
      <c r="Q792" s="2"/>
      <c r="R792" s="74">
        <f>IFERROR(__xludf.DUMMYFUNCTION("""COMPUTED_VALUE"""),45779.0)</f>
        <v>45779</v>
      </c>
      <c r="S792" s="2" t="str">
        <f>IFERROR(__xludf.DUMMYFUNCTION("""COMPUTED_VALUE"""),"CFG")</f>
        <v>CFG</v>
      </c>
      <c r="T792" s="73">
        <f>IFERROR(__xludf.DUMMYFUNCTION("""COMPUTED_VALUE"""),3375.0)</f>
        <v>3375</v>
      </c>
      <c r="U792" s="73" t="str">
        <f>IFERROR(__xludf.DUMMYFUNCTION("""COMPUTED_VALUE""")," REMITTED ")</f>
        <v>REMITTED</v>
      </c>
      <c r="V792" s="2"/>
      <c r="W792" s="2">
        <f>IFERROR(__xludf.DUMMYFUNCTION("""COMPUTED_VALUE"""),1300.0)</f>
        <v>1300</v>
      </c>
      <c r="X792" s="2">
        <f>IFERROR(__xludf.DUMMYFUNCTION("""COMPUTED_VALUE"""),1514.0)</f>
        <v>1514</v>
      </c>
      <c r="Y792" s="2"/>
      <c r="Z792" s="2"/>
      <c r="AA792" s="2"/>
      <c r="AB792" s="2"/>
      <c r="AC792" s="2"/>
      <c r="AD792" s="2"/>
      <c r="AE792" s="2"/>
      <c r="AF792" s="2"/>
      <c r="AG792" s="2"/>
      <c r="AH792" s="2"/>
      <c r="AI792" s="2"/>
      <c r="AJ792" s="2" t="str">
        <f>IFERROR(__xludf.DUMMYFUNCTION("""COMPUTED_VALUE"""),"Rizaluna (Rizaluna Oeste)")</f>
        <v>Rizaluna (Rizaluna Oeste)</v>
      </c>
      <c r="AK792" s="2" t="str">
        <f>IFERROR(__xludf.DUMMYFUNCTION("""COMPUTED_VALUE"""),"Cordon")</f>
        <v>Cordon</v>
      </c>
      <c r="AL792" s="2" t="str">
        <f>IFERROR(__xludf.DUMMYFUNCTION("""COMPUTED_VALUE"""),"Isabela")</f>
        <v>Isabela</v>
      </c>
      <c r="AM792" s="2">
        <f>IFERROR(__xludf.DUMMYFUNCTION("""COMPUTED_VALUE"""),2.0)</f>
        <v>2</v>
      </c>
      <c r="AN792" s="2" t="str">
        <f>IFERROR(__xludf.DUMMYFUNCTION("""COMPUTED_VALUE"""),"RCEF 23-09-21 Rebidding")</f>
        <v>RCEF 23-09-21 Rebidding</v>
      </c>
      <c r="AO792" s="2">
        <f>IFERROR(__xludf.DUMMYFUNCTION("""COMPUTED_VALUE"""),1.0)</f>
        <v>1</v>
      </c>
      <c r="AP792" s="2"/>
      <c r="AQ792" s="2"/>
      <c r="AR792" s="2"/>
      <c r="AS792" s="2"/>
      <c r="AT792" s="2"/>
      <c r="AU792" s="2"/>
      <c r="AV792" s="2"/>
      <c r="AW792" s="2"/>
      <c r="AX792" s="2"/>
      <c r="AY792" s="2"/>
      <c r="AZ792" s="2"/>
      <c r="BA792" s="2"/>
      <c r="BB792" s="2"/>
    </row>
    <row r="793">
      <c r="A793" s="2">
        <f>IFERROR(__xludf.DUMMYFUNCTION("""COMPUTED_VALUE"""),789.0)</f>
        <v>789</v>
      </c>
      <c r="B793" s="2" t="str">
        <f>IFERROR(__xludf.DUMMYFUNCTION("""COMPUTED_VALUE"""),"COMPLETED")</f>
        <v>COMPLETED</v>
      </c>
      <c r="C793" s="74">
        <f>IFERROR(__xludf.DUMMYFUNCTION("""COMPUTED_VALUE"""),45704.0)</f>
        <v>45704</v>
      </c>
      <c r="D793" s="71" t="str">
        <f>IFERROR(__xludf.DUMMYFUNCTION("""COMPUTED_VALUE"""),"CUANTACLA FARMERS ASSOCIATION INC.")</f>
        <v>CUANTACLA FARMERS ASSOCIATION INC.</v>
      </c>
      <c r="E793" s="71" t="str">
        <f>IFERROR(__xludf.DUMMYFUNCTION("""COMPUTED_VALUE"""),"Cuantacla, Cabugao, Ilocos Sur")</f>
        <v>Cuantacla, Cabugao, Ilocos Sur</v>
      </c>
      <c r="F793" s="2" t="str">
        <f>IFERROR(__xludf.DUMMYFUNCTION("""COMPUTED_VALUE"""),"RUSVEL PALPAL-LATOC")</f>
        <v>RUSVEL PALPAL-LATOC</v>
      </c>
      <c r="G793" s="2">
        <f>IFERROR(__xludf.DUMMYFUNCTION("""COMPUTED_VALUE"""),9.954646517E9)</f>
        <v>9954646517</v>
      </c>
      <c r="H793" s="2">
        <f>IFERROR(__xludf.DUMMYFUNCTION("""COMPUTED_VALUE"""),298.9)</f>
        <v>298.9</v>
      </c>
      <c r="I793" s="72" t="str">
        <f>IFERROR(__xludf.DUMMYFUNCTION("""COMPUTED_VALUE"""),"REPAIR - ROTAVATOR")</f>
        <v>REPAIR - ROTAVATOR</v>
      </c>
      <c r="J793" s="72" t="str">
        <f>IFERROR(__xludf.DUMMYFUNCTION("""COMPUTED_VALUE"""),"Gearbox")</f>
        <v>Gearbox</v>
      </c>
      <c r="K793" s="72" t="str">
        <f>IFERROR(__xludf.DUMMYFUNCTION("""COMPUTED_VALUE"""),"ACS: When FEBRUARY 13, 2025 at 8:38 pm. Habang nag ooperate ang tractor bigla nalang lumabas yong gear sa right side at pinunit ang katapat na cover. 
Pagkatapos na discover namin na natangal pala ang nut sa loob ng gear box kaya yon ang dahilan kaya masi"&amp;"ra ang mga ibang parts ng rotovator.
FARMER: NUNG FEBRUARY LANG KMAI NASIMULANG GAMITIN YUNG ROTAVATOR, IILANG HEKTARYA PALANG YUNG NA OOPERATE PERO NAGKARON NG PROBLEMA ANG ROTA, NAPANSIN NAMIN NA KUMALAS ANG LOCK SA GEARBOX, NA NAG CAUSE NA NG PAGKASIR"&amp;"A NG IBANG PARTS.")</f>
        <v>ACS: When FEBRUARY 13, 2025 at 8:38 pm. Habang nag ooperate ang tractor bigla nalang lumabas yong gear sa right side at pinunit ang katapat na cover. 
Pagkatapos na discover namin na natangal pala ang nut sa loob ng gear box kaya yon ang dahilan kaya masira ang mga ibang parts ng rotovator.
FARMER: NUNG FEBRUARY LANG KMAI NASIMULANG GAMITIN YUNG ROTAVATOR, IILANG HEKTARYA PALANG YUNG NA OOPERATE PERO NAGKARON NG PROBLEMA ANG ROTA, NAPANSIN NAMIN NA KUMALAS ANG LOCK SA GEARBOX, NA NAG CAUSE NA NG PAGKASIRA NG IBANG PARTS.</v>
      </c>
      <c r="L793" s="72" t="str">
        <f>IFERROR(__xludf.DUMMYFUNCTION("""COMPUTED_VALUE"""),"ACS: REPLACED GEAR, NUT AND DRIVE SHAFT OF THE UNIT")</f>
        <v>ACS: REPLACED GEAR, NUT AND DRIVE SHAFT OF THE UNIT</v>
      </c>
      <c r="M793" s="2"/>
      <c r="N793" s="2" t="str">
        <f>IFERROR(__xludf.DUMMYFUNCTION("""COMPUTED_VALUE"""),"PARTS: 
BEVEL GEAR 24T, 
NUT WASHER, 
DRIVE SHAFT
WARRANTY BY LTC")</f>
        <v>PARTS: 
BEVEL GEAR 24T, 
NUT WASHER, 
DRIVE SHAFT
WARRANTY BY LTC</v>
      </c>
      <c r="O793" s="2">
        <f>IFERROR(__xludf.DUMMYFUNCTION("""COMPUTED_VALUE"""),1224.0)</f>
        <v>1224</v>
      </c>
      <c r="P793" s="2"/>
      <c r="Q793" s="2"/>
      <c r="R793" s="74">
        <f>IFERROR(__xludf.DUMMYFUNCTION("""COMPUTED_VALUE"""),45721.0)</f>
        <v>45721</v>
      </c>
      <c r="S793" s="2" t="str">
        <f>IFERROR(__xludf.DUMMYFUNCTION("""COMPUTED_VALUE"""),"ACS/JHP")</f>
        <v>ACS/JHP</v>
      </c>
      <c r="T793" s="73" t="str">
        <f>IFERROR(__xludf.DUMMYFUNCTION("""COMPUTED_VALUE""")," N/A ")</f>
        <v>N/A</v>
      </c>
      <c r="U793" s="73" t="str">
        <f>IFERROR(__xludf.DUMMYFUNCTION("""COMPUTED_VALUE""")," NO CHARGE ")</f>
        <v>NO CHARGE</v>
      </c>
      <c r="V793" s="2"/>
      <c r="W793" s="2" t="str">
        <f>IFERROR(__xludf.DUMMYFUNCTION("""COMPUTED_VALUE"""),"N/A")</f>
        <v>N/A</v>
      </c>
      <c r="X793" s="2" t="str">
        <f>IFERROR(__xludf.DUMMYFUNCTION("""COMPUTED_VALUE"""),"N/A")</f>
        <v>N/A</v>
      </c>
      <c r="Y793" s="2"/>
      <c r="Z793" s="2"/>
      <c r="AA793" s="2"/>
      <c r="AB793" s="2"/>
      <c r="AC793" s="2"/>
      <c r="AD793" s="2"/>
      <c r="AE793" s="2"/>
      <c r="AF793" s="2"/>
      <c r="AG793" s="2"/>
      <c r="AH793" s="2"/>
      <c r="AI793" s="2"/>
      <c r="AJ793" s="2" t="str">
        <f>IFERROR(__xludf.DUMMYFUNCTION("""COMPUTED_VALUE"""),"Cuantacla")</f>
        <v>Cuantacla</v>
      </c>
      <c r="AK793" s="2" t="str">
        <f>IFERROR(__xludf.DUMMYFUNCTION("""COMPUTED_VALUE"""),"Cabugao")</f>
        <v>Cabugao</v>
      </c>
      <c r="AL793" s="2" t="str">
        <f>IFERROR(__xludf.DUMMYFUNCTION("""COMPUTED_VALUE"""),"Ilocos Sur")</f>
        <v>Ilocos Sur</v>
      </c>
      <c r="AM793" s="2">
        <f>IFERROR(__xludf.DUMMYFUNCTION("""COMPUTED_VALUE"""),1.0)</f>
        <v>1</v>
      </c>
      <c r="AN793" s="2" t="str">
        <f>IFERROR(__xludf.DUMMYFUNCTION("""COMPUTED_VALUE"""),"RCEF 23-09-21 Rebidding")</f>
        <v>RCEF 23-09-21 Rebidding</v>
      </c>
      <c r="AO793" s="2">
        <f>IFERROR(__xludf.DUMMYFUNCTION("""COMPUTED_VALUE"""),2.0)</f>
        <v>2</v>
      </c>
      <c r="AP793" s="2"/>
      <c r="AQ793" s="2"/>
      <c r="AR793" s="2"/>
      <c r="AS793" s="2"/>
      <c r="AT793" s="2"/>
      <c r="AU793" s="2"/>
      <c r="AV793" s="2"/>
      <c r="AW793" s="2"/>
      <c r="AX793" s="2"/>
      <c r="AY793" s="2"/>
      <c r="AZ793" s="2"/>
      <c r="BA793" s="2"/>
      <c r="BB793" s="2"/>
    </row>
    <row r="794">
      <c r="A794" s="2">
        <f>IFERROR(__xludf.DUMMYFUNCTION("""COMPUTED_VALUE"""),790.0)</f>
        <v>790</v>
      </c>
      <c r="B794" s="2" t="str">
        <f>IFERROR(__xludf.DUMMYFUNCTION("""COMPUTED_VALUE"""),"COMPLETED")</f>
        <v>COMPLETED</v>
      </c>
      <c r="C794" s="74">
        <f>IFERROR(__xludf.DUMMYFUNCTION("""COMPUTED_VALUE"""),45705.0)</f>
        <v>45705</v>
      </c>
      <c r="D794" s="71" t="str">
        <f>IFERROR(__xludf.DUMMYFUNCTION("""COMPUTED_VALUE"""),"Lupao Pag-ahon Agriculture Cooperative (LPAC)")</f>
        <v>Lupao Pag-ahon Agriculture Cooperative (LPAC)</v>
      </c>
      <c r="E794" s="71" t="str">
        <f>IFERROR(__xludf.DUMMYFUNCTION("""COMPUTED_VALUE"""),"San Antonio Este, Lupao, NUEVA ECIJA")</f>
        <v>San Antonio Este, Lupao, NUEVA ECIJA</v>
      </c>
      <c r="F794" s="2" t="str">
        <f>IFERROR(__xludf.DUMMYFUNCTION("""COMPUTED_VALUE"""),"HENRY RAMOS")</f>
        <v>HENRY RAMOS</v>
      </c>
      <c r="G794" s="2">
        <f>IFERROR(__xludf.DUMMYFUNCTION("""COMPUTED_VALUE"""),9.95264947E9)</f>
        <v>9952649470</v>
      </c>
      <c r="H794" s="2">
        <f>IFERROR(__xludf.DUMMYFUNCTION("""COMPUTED_VALUE"""),72.0)</f>
        <v>72</v>
      </c>
      <c r="I794" s="72" t="str">
        <f>IFERROR(__xludf.DUMMYFUNCTION("""COMPUTED_VALUE"""),"PMS")</f>
        <v>PMS</v>
      </c>
      <c r="J794" s="72" t="str">
        <f>IFERROR(__xludf.DUMMYFUNCTION("""COMPUTED_VALUE"""),"PMS")</f>
        <v>PMS</v>
      </c>
      <c r="K794" s="72" t="str">
        <f>IFERROR(__xludf.DUMMYFUNCTION("""COMPUTED_VALUE"""),"PMS FIRST 50 HOURS (FREE ENGINE OIL AND OIL FILTER)
May concern din sila sa DiscPlow , Maluwag daw ang bearing sa Center disc&lt; posibleng Bearing #30208")</f>
        <v>PMS FIRST 50 HOURS (FREE ENGINE OIL AND OIL FILTER)
May concern din sila sa DiscPlow , Maluwag daw ang bearing sa Center disc&lt; posibleng Bearing #30208</v>
      </c>
      <c r="L794" s="72" t="str">
        <f>IFERROR(__xludf.DUMMYFUNCTION("""COMPUTED_VALUE"""),"EGT: CHANGE OIL THE ENGINE TIGHTEN THE BOLT OF DISCPLOW, PMS DONE")</f>
        <v>EGT: CHANGE OIL THE ENGINE TIGHTEN THE BOLT OF DISCPLOW, PMS DONE</v>
      </c>
      <c r="M794" s="2"/>
      <c r="N794" s="2" t="str">
        <f>IFERROR(__xludf.DUMMYFUNCTION("""COMPUTED_VALUE"""),"PARTS: ENGINE OIL FILTER. ENGINE OIL ")</f>
        <v>PARTS: ENGINE OIL FILTER. ENGINE OIL </v>
      </c>
      <c r="O794" s="2">
        <f>IFERROR(__xludf.DUMMYFUNCTION("""COMPUTED_VALUE"""),1109.0)</f>
        <v>1109</v>
      </c>
      <c r="P794" s="2"/>
      <c r="Q794" s="2"/>
      <c r="R794" s="74">
        <f>IFERROR(__xludf.DUMMYFUNCTION("""COMPUTED_VALUE"""),45712.0)</f>
        <v>45712</v>
      </c>
      <c r="S794" s="2" t="str">
        <f>IFERROR(__xludf.DUMMYFUNCTION("""COMPUTED_VALUE"""),"EGT/DRM")</f>
        <v>EGT/DRM</v>
      </c>
      <c r="T794" s="73" t="str">
        <f>IFERROR(__xludf.DUMMYFUNCTION("""COMPUTED_VALUE""")," N/A ")</f>
        <v>N/A</v>
      </c>
      <c r="U794" s="73" t="str">
        <f>IFERROR(__xludf.DUMMYFUNCTION("""COMPUTED_VALUE""")," NO CHARGE ")</f>
        <v>NO CHARGE</v>
      </c>
      <c r="V794" s="2"/>
      <c r="W794" s="2" t="str">
        <f>IFERROR(__xludf.DUMMYFUNCTION("""COMPUTED_VALUE"""),"N/A")</f>
        <v>N/A</v>
      </c>
      <c r="X794" s="2" t="str">
        <f>IFERROR(__xludf.DUMMYFUNCTION("""COMPUTED_VALUE"""),"N/A")</f>
        <v>N/A</v>
      </c>
      <c r="Y794" s="2"/>
      <c r="Z794" s="2"/>
      <c r="AA794" s="2"/>
      <c r="AB794" s="2"/>
      <c r="AC794" s="2"/>
      <c r="AD794" s="2"/>
      <c r="AE794" s="2"/>
      <c r="AF794" s="2"/>
      <c r="AG794" s="2"/>
      <c r="AH794" s="2"/>
      <c r="AI794" s="2"/>
      <c r="AJ794" s="2" t="str">
        <f>IFERROR(__xludf.DUMMYFUNCTION("""COMPUTED_VALUE"""),"San Antonio Este")</f>
        <v>San Antonio Este</v>
      </c>
      <c r="AK794" s="2" t="str">
        <f>IFERROR(__xludf.DUMMYFUNCTION("""COMPUTED_VALUE"""),"Lupao")</f>
        <v>Lupao</v>
      </c>
      <c r="AL794" s="2" t="str">
        <f>IFERROR(__xludf.DUMMYFUNCTION("""COMPUTED_VALUE"""),"Nueva Ecija")</f>
        <v>Nueva Ecija</v>
      </c>
      <c r="AM794" s="2">
        <f>IFERROR(__xludf.DUMMYFUNCTION("""COMPUTED_VALUE"""),3.0)</f>
        <v>3</v>
      </c>
      <c r="AN794" s="2" t="str">
        <f>IFERROR(__xludf.DUMMYFUNCTION("""COMPUTED_VALUE"""),"RCEF 24-04-15")</f>
        <v>RCEF 24-04-15</v>
      </c>
      <c r="AO794" s="2">
        <f>IFERROR(__xludf.DUMMYFUNCTION("""COMPUTED_VALUE"""),6.0)</f>
        <v>6</v>
      </c>
      <c r="AP794" s="2" t="str">
        <f>IFERROR(__xludf.DUMMYFUNCTION("""COMPUTED_VALUE"""),"FREE PMS")</f>
        <v>FREE PMS</v>
      </c>
      <c r="AQ794" s="2"/>
      <c r="AR794" s="2"/>
      <c r="AS794" s="2"/>
      <c r="AT794" s="2"/>
      <c r="AU794" s="2"/>
      <c r="AV794" s="2"/>
      <c r="AW794" s="2"/>
      <c r="AX794" s="2"/>
      <c r="AY794" s="2"/>
      <c r="AZ794" s="2"/>
      <c r="BA794" s="2"/>
      <c r="BB794" s="2"/>
    </row>
    <row r="795">
      <c r="A795" s="2">
        <f>IFERROR(__xludf.DUMMYFUNCTION("""COMPUTED_VALUE"""),791.0)</f>
        <v>791</v>
      </c>
      <c r="B795" s="2" t="str">
        <f>IFERROR(__xludf.DUMMYFUNCTION("""COMPUTED_VALUE"""),"COMPLETED")</f>
        <v>COMPLETED</v>
      </c>
      <c r="C795" s="74">
        <f>IFERROR(__xludf.DUMMYFUNCTION("""COMPUTED_VALUE"""),45705.0)</f>
        <v>45705</v>
      </c>
      <c r="D795" s="71" t="str">
        <f>IFERROR(__xludf.DUMMYFUNCTION("""COMPUTED_VALUE"""),"LIOZON FISHERFOLKS AND FARMERS' ASSOCIATION")</f>
        <v>LIOZON FISHERFOLKS AND FARMERS' ASSOCIATION</v>
      </c>
      <c r="E795" s="71" t="str">
        <f>IFERROR(__xludf.DUMMYFUNCTION("""COMPUTED_VALUE"""),"Liozon, Palauig, ZAMBALES")</f>
        <v>Liozon, Palauig, ZAMBALES</v>
      </c>
      <c r="F795" s="2" t="str">
        <f>IFERROR(__xludf.DUMMYFUNCTION("""COMPUTED_VALUE"""),"RENE A. ALVES")</f>
        <v>RENE A. ALVES</v>
      </c>
      <c r="G795" s="2">
        <f>IFERROR(__xludf.DUMMYFUNCTION("""COMPUTED_VALUE"""),9.502454865E9)</f>
        <v>9502454865</v>
      </c>
      <c r="H795" s="2"/>
      <c r="I795" s="72" t="str">
        <f>IFERROR(__xludf.DUMMYFUNCTION("""COMPUTED_VALUE"""),"REPAIR - TRACTOR")</f>
        <v>REPAIR - TRACTOR</v>
      </c>
      <c r="J795" s="72" t="str">
        <f>IFERROR(__xludf.DUMMYFUNCTION("""COMPUTED_VALUE"""),"Rear Axle - Leaking")</f>
        <v>Rear Axle - Leaking</v>
      </c>
      <c r="K795" s="72" t="str">
        <f>IFERROR(__xludf.DUMMYFUNCTION("""COMPUTED_VALUE"""),"JTT: REAR AXLE LEAKING
PARTS: REAR AXLE OIL SEAL")</f>
        <v>JTT: REAR AXLE LEAKING
PARTS: REAR AXLE OIL SEAL</v>
      </c>
      <c r="L795" s="72" t="str">
        <f>IFERROR(__xludf.DUMMYFUNCTION("""COMPUTED_VALUE"""),"DRM: REPAIR LEAKING AT REAR PART OF TRUCTOR")</f>
        <v>DRM: REPAIR LEAKING AT REAR PART OF TRUCTOR</v>
      </c>
      <c r="M795" s="2"/>
      <c r="N795" s="2" t="str">
        <f>IFERROR(__xludf.DUMMYFUNCTION("""COMPUTED_VALUE"""),"PARTS: REAR AXLE OIL SEAL  TA00033423A")</f>
        <v>PARTS: REAR AXLE OIL SEAL  TA00033423A</v>
      </c>
      <c r="O795" s="2">
        <f>IFERROR(__xludf.DUMMYFUNCTION("""COMPUTED_VALUE"""),1116.0)</f>
        <v>1116</v>
      </c>
      <c r="P795" s="2"/>
      <c r="Q795" s="2"/>
      <c r="R795" s="74">
        <f>IFERROR(__xludf.DUMMYFUNCTION("""COMPUTED_VALUE"""),45754.0)</f>
        <v>45754</v>
      </c>
      <c r="S795" s="2" t="str">
        <f>IFERROR(__xludf.DUMMYFUNCTION("""COMPUTED_VALUE"""),"EGT/DRM")</f>
        <v>EGT/DRM</v>
      </c>
      <c r="T795" s="73">
        <f>IFERROR(__xludf.DUMMYFUNCTION("""COMPUTED_VALUE"""),6000.0)</f>
        <v>6000</v>
      </c>
      <c r="U795" s="73" t="str">
        <f>IFERROR(__xludf.DUMMYFUNCTION("""COMPUTED_VALUE""")," REMITTED ")</f>
        <v>REMITTED</v>
      </c>
      <c r="V795" s="2"/>
      <c r="W795" s="2">
        <f>IFERROR(__xludf.DUMMYFUNCTION("""COMPUTED_VALUE"""),1410.0)</f>
        <v>1410</v>
      </c>
      <c r="X795" s="2">
        <f>IFERROR(__xludf.DUMMYFUNCTION("""COMPUTED_VALUE"""),1401.0)</f>
        <v>1401</v>
      </c>
      <c r="Y795" s="2"/>
      <c r="Z795" s="2"/>
      <c r="AA795" s="2"/>
      <c r="AB795" s="2"/>
      <c r="AC795" s="2"/>
      <c r="AD795" s="2"/>
      <c r="AE795" s="2"/>
      <c r="AF795" s="2"/>
      <c r="AG795" s="2"/>
      <c r="AH795" s="2"/>
      <c r="AI795" s="2"/>
      <c r="AJ795" s="2" t="str">
        <f>IFERROR(__xludf.DUMMYFUNCTION("""COMPUTED_VALUE"""),"Liozon")</f>
        <v>Liozon</v>
      </c>
      <c r="AK795" s="2" t="str">
        <f>IFERROR(__xludf.DUMMYFUNCTION("""COMPUTED_VALUE"""),"Palauig")</f>
        <v>Palauig</v>
      </c>
      <c r="AL795" s="2" t="str">
        <f>IFERROR(__xludf.DUMMYFUNCTION("""COMPUTED_VALUE"""),"Zambales")</f>
        <v>Zambales</v>
      </c>
      <c r="AM795" s="2">
        <f>IFERROR(__xludf.DUMMYFUNCTION("""COMPUTED_VALUE"""),3.0)</f>
        <v>3</v>
      </c>
      <c r="AN795" s="2" t="str">
        <f>IFERROR(__xludf.DUMMYFUNCTION("""COMPUTED_VALUE"""),"RCEF 23-09-21 Rebidding")</f>
        <v>RCEF 23-09-21 Rebidding</v>
      </c>
      <c r="AO795" s="2">
        <f>IFERROR(__xludf.DUMMYFUNCTION("""COMPUTED_VALUE"""),3.0)</f>
        <v>3</v>
      </c>
      <c r="AP795" s="2"/>
      <c r="AQ795" s="2"/>
      <c r="AR795" s="2"/>
      <c r="AS795" s="2"/>
      <c r="AT795" s="2"/>
      <c r="AU795" s="2"/>
      <c r="AV795" s="2"/>
      <c r="AW795" s="2"/>
      <c r="AX795" s="2"/>
      <c r="AY795" s="2"/>
      <c r="AZ795" s="2"/>
      <c r="BA795" s="2"/>
      <c r="BB795" s="2"/>
    </row>
    <row r="796">
      <c r="A796" s="2">
        <f>IFERROR(__xludf.DUMMYFUNCTION("""COMPUTED_VALUE"""),792.0)</f>
        <v>792</v>
      </c>
      <c r="B796" s="2" t="str">
        <f>IFERROR(__xludf.DUMMYFUNCTION("""COMPUTED_VALUE"""),"COMPLETED")</f>
        <v>COMPLETED</v>
      </c>
      <c r="C796" s="74">
        <f>IFERROR(__xludf.DUMMYFUNCTION("""COMPUTED_VALUE"""),45705.0)</f>
        <v>45705</v>
      </c>
      <c r="D796" s="71" t="str">
        <f>IFERROR(__xludf.DUMMYFUNCTION("""COMPUTED_VALUE"""),"Panayotti Irrigators Farmers Association Inc.")</f>
        <v>Panayotti Irrigators Farmers Association Inc.</v>
      </c>
      <c r="E796" s="71" t="str">
        <f>IFERROR(__xludf.DUMMYFUNCTION("""COMPUTED_VALUE"""),"Escaler, Magalang, PAMPANGA")</f>
        <v>Escaler, Magalang, PAMPANGA</v>
      </c>
      <c r="F796" s="2"/>
      <c r="G796" s="2"/>
      <c r="H796" s="2">
        <f>IFERROR(__xludf.DUMMYFUNCTION("""COMPUTED_VALUE"""),42.9)</f>
        <v>42.9</v>
      </c>
      <c r="I796" s="72" t="str">
        <f>IFERROR(__xludf.DUMMYFUNCTION("""COMPUTED_VALUE"""),"REPAIR - TRACTOR")</f>
        <v>REPAIR - TRACTOR</v>
      </c>
      <c r="J796" s="72" t="str">
        <f>IFERROR(__xludf.DUMMYFUNCTION("""COMPUTED_VALUE"""),"Transmission - Clutch")</f>
        <v>Transmission - Clutch</v>
      </c>
      <c r="K796" s="72" t="str">
        <f>IFERROR(__xludf.DUMMYFUNCTION("""COMPUTED_VALUE"""),"KFS: CLUTCH LINING PROBLEM")</f>
        <v>KFS: CLUTCH LINING PROBLEM</v>
      </c>
      <c r="L796" s="72" t="str">
        <f>IFERROR(__xludf.DUMMYFUNCTION("""COMPUTED_VALUE"""),"JTT: REPLACED CLUTCH LINING AND CLUTCH COVER")</f>
        <v>JTT: REPLACED CLUTCH LINING AND CLUTCH COVER</v>
      </c>
      <c r="M796" s="2"/>
      <c r="N796" s="2" t="str">
        <f>IFERROR(__xludf.DUMMYFUNCTION("""COMPUTED_VALUE"""),"PARTS: CLUTCH COVER ASSY, CLUTCH DISC ASSY")</f>
        <v>PARTS: CLUTCH COVER ASSY, CLUTCH DISC ASSY</v>
      </c>
      <c r="O796" s="2">
        <f>IFERROR(__xludf.DUMMYFUNCTION("""COMPUTED_VALUE"""),16.0)</f>
        <v>16</v>
      </c>
      <c r="P796" s="2"/>
      <c r="Q796" s="2"/>
      <c r="R796" s="74">
        <f>IFERROR(__xludf.DUMMYFUNCTION("""COMPUTED_VALUE"""),45701.0)</f>
        <v>45701</v>
      </c>
      <c r="S796" s="2" t="str">
        <f>IFERROR(__xludf.DUMMYFUNCTION("""COMPUTED_VALUE"""),"JTT/ECM")</f>
        <v>JTT/ECM</v>
      </c>
      <c r="T796" s="73" t="str">
        <f>IFERROR(__xludf.DUMMYFUNCTION("""COMPUTED_VALUE""")," N/A ")</f>
        <v>N/A</v>
      </c>
      <c r="U796" s="73" t="str">
        <f>IFERROR(__xludf.DUMMYFUNCTION("""COMPUTED_VALUE""")," NO CHARGE ")</f>
        <v>NO CHARGE</v>
      </c>
      <c r="V796" s="2"/>
      <c r="W796" s="2" t="str">
        <f>IFERROR(__xludf.DUMMYFUNCTION("""COMPUTED_VALUE"""),"N/A")</f>
        <v>N/A</v>
      </c>
      <c r="X796" s="2" t="str">
        <f>IFERROR(__xludf.DUMMYFUNCTION("""COMPUTED_VALUE"""),"N/A")</f>
        <v>N/A</v>
      </c>
      <c r="Y796" s="2"/>
      <c r="Z796" s="2"/>
      <c r="AA796" s="2"/>
      <c r="AB796" s="2"/>
      <c r="AC796" s="2"/>
      <c r="AD796" s="2"/>
      <c r="AE796" s="2"/>
      <c r="AF796" s="2"/>
      <c r="AG796" s="2"/>
      <c r="AH796" s="2"/>
      <c r="AI796" s="2"/>
      <c r="AJ796" s="2" t="str">
        <f>IFERROR(__xludf.DUMMYFUNCTION("""COMPUTED_VALUE"""),"Escaler")</f>
        <v>Escaler</v>
      </c>
      <c r="AK796" s="2" t="str">
        <f>IFERROR(__xludf.DUMMYFUNCTION("""COMPUTED_VALUE"""),"Magalang")</f>
        <v>Magalang</v>
      </c>
      <c r="AL796" s="2" t="str">
        <f>IFERROR(__xludf.DUMMYFUNCTION("""COMPUTED_VALUE"""),"Pampanga")</f>
        <v>Pampanga</v>
      </c>
      <c r="AM796" s="2">
        <f>IFERROR(__xludf.DUMMYFUNCTION("""COMPUTED_VALUE"""),3.0)</f>
        <v>3</v>
      </c>
      <c r="AN796" s="2" t="str">
        <f>IFERROR(__xludf.DUMMYFUNCTION("""COMPUTED_VALUE"""),"RCEF 24-04-15")</f>
        <v>RCEF 24-04-15</v>
      </c>
      <c r="AO796" s="2">
        <f>IFERROR(__xludf.DUMMYFUNCTION("""COMPUTED_VALUE"""),6.0)</f>
        <v>6</v>
      </c>
      <c r="AP796" s="2" t="str">
        <f>IFERROR(__xludf.DUMMYFUNCTION("""COMPUTED_VALUE"""),"FREE PMS")</f>
        <v>FREE PMS</v>
      </c>
      <c r="AQ796" s="2"/>
      <c r="AR796" s="2"/>
      <c r="AS796" s="2"/>
      <c r="AT796" s="2"/>
      <c r="AU796" s="2"/>
      <c r="AV796" s="2"/>
      <c r="AW796" s="2"/>
      <c r="AX796" s="2"/>
      <c r="AY796" s="2"/>
      <c r="AZ796" s="2"/>
      <c r="BA796" s="2"/>
      <c r="BB796" s="2"/>
    </row>
    <row r="797">
      <c r="A797" s="2">
        <f>IFERROR(__xludf.DUMMYFUNCTION("""COMPUTED_VALUE"""),793.0)</f>
        <v>793</v>
      </c>
      <c r="B797" s="2" t="str">
        <f>IFERROR(__xludf.DUMMYFUNCTION("""COMPUTED_VALUE"""),"COMPLETED")</f>
        <v>COMPLETED</v>
      </c>
      <c r="C797" s="74">
        <f>IFERROR(__xludf.DUMMYFUNCTION("""COMPUTED_VALUE"""),45705.0)</f>
        <v>45705</v>
      </c>
      <c r="D797" s="71" t="str">
        <f>IFERROR(__xludf.DUMMYFUNCTION("""COMPUTED_VALUE"""),"Guintapagin Agrarian Reform Beneficiaries Multi-Purpose Cooperative")</f>
        <v>Guintapagin Agrarian Reform Beneficiaries Multi-Purpose Cooperative</v>
      </c>
      <c r="E797" s="71" t="str">
        <f>IFERROR(__xludf.DUMMYFUNCTION("""COMPUTED_VALUE"""),"Tapacon, Bingawan, ILOILO")</f>
        <v>Tapacon, Bingawan, ILOILO</v>
      </c>
      <c r="F797" s="2" t="str">
        <f>IFERROR(__xludf.DUMMYFUNCTION("""COMPUTED_VALUE"""),"Louise Pandan")</f>
        <v>Louise Pandan</v>
      </c>
      <c r="G797" s="2">
        <f>IFERROR(__xludf.DUMMYFUNCTION("""COMPUTED_VALUE"""),9.636171256E9)</f>
        <v>9636171256</v>
      </c>
      <c r="H797" s="2">
        <f>IFERROR(__xludf.DUMMYFUNCTION("""COMPUTED_VALUE"""),719.0)</f>
        <v>719</v>
      </c>
      <c r="I797" s="72" t="str">
        <f>IFERROR(__xludf.DUMMYFUNCTION("""COMPUTED_VALUE"""),"REPAIR - TRACTOR")</f>
        <v>REPAIR - TRACTOR</v>
      </c>
      <c r="J797" s="72" t="str">
        <f>IFERROR(__xludf.DUMMYFUNCTION("""COMPUTED_VALUE"""),"Front Axle - Gear")</f>
        <v>Front Axle - Gear</v>
      </c>
      <c r="K797" s="72" t="str">
        <f>IFERROR(__xludf.DUMMYFUNCTION("""COMPUTED_VALUE"""),"CFG: Farm Tractor Concern (front drive) : FRONT RIGHT SIDE DRIVER
PARTS: BALL BEARING 24101-062084, GEAR BRVEL 49T, O-RING TA00033939A, GEAR BRVEL 11T (24,200)
")</f>
        <v>CFG: Farm Tractor Concern (front drive) : FRONT RIGHT SIDE DRIVER
PARTS: BALL BEARING 24101-062084, GEAR BRVEL 49T, O-RING TA00033939A, GEAR BRVEL 11T (24,200)
</v>
      </c>
      <c r="L797" s="72" t="str">
        <f>IFERROR(__xludf.DUMMYFUNCTION("""COMPUTED_VALUE"""),"CANCELLED: HINDI NADAW KUKUNIN ANG PARTS AYON SA OPERATOR NILA (VIA TEXT MSSG.)")</f>
        <v>CANCELLED: HINDI NADAW KUKUNIN ANG PARTS AYON SA OPERATOR NILA (VIA TEXT MSSG.)</v>
      </c>
      <c r="M797" s="2"/>
      <c r="N797" s="2"/>
      <c r="O797" s="2" t="str">
        <f>IFERROR(__xludf.DUMMYFUNCTION("""COMPUTED_VALUE"""),"N/A")</f>
        <v>N/A</v>
      </c>
      <c r="P797" s="2"/>
      <c r="Q797" s="2"/>
      <c r="R797" s="74">
        <f>IFERROR(__xludf.DUMMYFUNCTION("""COMPUTED_VALUE"""),45790.0)</f>
        <v>45790</v>
      </c>
      <c r="S797" s="2" t="str">
        <f>IFERROR(__xludf.DUMMYFUNCTION("""COMPUTED_VALUE"""),"MYKEE")</f>
        <v>MYKEE</v>
      </c>
      <c r="T797" s="73" t="str">
        <f>IFERROR(__xludf.DUMMYFUNCTION("""COMPUTED_VALUE""")," N/A ")</f>
        <v>N/A</v>
      </c>
      <c r="U797" s="73" t="str">
        <f>IFERROR(__xludf.DUMMYFUNCTION("""COMPUTED_VALUE""")," NO CHARGE ")</f>
        <v>NO CHARGE</v>
      </c>
      <c r="V797" s="2"/>
      <c r="W797" s="2" t="str">
        <f>IFERROR(__xludf.DUMMYFUNCTION("""COMPUTED_VALUE"""),"N/A")</f>
        <v>N/A</v>
      </c>
      <c r="X797" s="2" t="str">
        <f>IFERROR(__xludf.DUMMYFUNCTION("""COMPUTED_VALUE"""),"N/A")</f>
        <v>N/A</v>
      </c>
      <c r="Y797" s="2"/>
      <c r="Z797" s="2"/>
      <c r="AA797" s="2"/>
      <c r="AB797" s="2"/>
      <c r="AC797" s="2"/>
      <c r="AD797" s="2"/>
      <c r="AE797" s="2"/>
      <c r="AF797" s="2"/>
      <c r="AG797" s="2"/>
      <c r="AH797" s="2"/>
      <c r="AI797" s="2"/>
      <c r="AJ797" s="2" t="str">
        <f>IFERROR(__xludf.DUMMYFUNCTION("""COMPUTED_VALUE"""),"Tapacon")</f>
        <v>Tapacon</v>
      </c>
      <c r="AK797" s="2" t="str">
        <f>IFERROR(__xludf.DUMMYFUNCTION("""COMPUTED_VALUE"""),"Bingawan")</f>
        <v>Bingawan</v>
      </c>
      <c r="AL797" s="2" t="str">
        <f>IFERROR(__xludf.DUMMYFUNCTION("""COMPUTED_VALUE"""),"Iloilo")</f>
        <v>Iloilo</v>
      </c>
      <c r="AM797" s="2">
        <f>IFERROR(__xludf.DUMMYFUNCTION("""COMPUTED_VALUE"""),6.0)</f>
        <v>6</v>
      </c>
      <c r="AN797" s="2" t="str">
        <f>IFERROR(__xludf.DUMMYFUNCTION("""COMPUTED_VALUE"""),"RCEF 23-09-21 Rebidding")</f>
        <v>RCEF 23-09-21 Rebidding</v>
      </c>
      <c r="AO797" s="2">
        <f>IFERROR(__xludf.DUMMYFUNCTION("""COMPUTED_VALUE"""),4.0)</f>
        <v>4</v>
      </c>
      <c r="AP797" s="2"/>
      <c r="AQ797" s="2"/>
      <c r="AR797" s="2"/>
      <c r="AS797" s="2"/>
      <c r="AT797" s="2"/>
      <c r="AU797" s="2"/>
      <c r="AV797" s="2"/>
      <c r="AW797" s="2"/>
      <c r="AX797" s="2"/>
      <c r="AY797" s="2"/>
      <c r="AZ797" s="2"/>
      <c r="BA797" s="2"/>
      <c r="BB797" s="2"/>
    </row>
    <row r="798">
      <c r="A798" s="2">
        <f>IFERROR(__xludf.DUMMYFUNCTION("""COMPUTED_VALUE"""),794.0)</f>
        <v>794</v>
      </c>
      <c r="B798" s="2" t="str">
        <f>IFERROR(__xludf.DUMMYFUNCTION("""COMPUTED_VALUE"""),"COMPLETED")</f>
        <v>COMPLETED</v>
      </c>
      <c r="C798" s="74">
        <f>IFERROR(__xludf.DUMMYFUNCTION("""COMPUTED_VALUE"""),45706.0)</f>
        <v>45706</v>
      </c>
      <c r="D798" s="71" t="str">
        <f>IFERROR(__xludf.DUMMYFUNCTION("""COMPUTED_VALUE"""),"ABANTE BALITE UNITED FARMERS ASSOCIATION INC.")</f>
        <v>ABANTE BALITE UNITED FARMERS ASSOCIATION INC.</v>
      </c>
      <c r="E798" s="71" t="str">
        <f>IFERROR(__xludf.DUMMYFUNCTION("""COMPUTED_VALUE"""),"Balite, Malasiqui, PANGASINAN")</f>
        <v>Balite, Malasiqui, PANGASINAN</v>
      </c>
      <c r="F798" s="2" t="str">
        <f>IFERROR(__xludf.DUMMYFUNCTION("""COMPUTED_VALUE"""),"ALFONSO PARENO")</f>
        <v>ALFONSO PARENO</v>
      </c>
      <c r="G798" s="2">
        <f>IFERROR(__xludf.DUMMYFUNCTION("""COMPUTED_VALUE"""),9.4486127964E10)</f>
        <v>94486127964</v>
      </c>
      <c r="H798" s="2">
        <f>IFERROR(__xludf.DUMMYFUNCTION("""COMPUTED_VALUE"""),30.0)</f>
        <v>30</v>
      </c>
      <c r="I798" s="72" t="str">
        <f>IFERROR(__xludf.DUMMYFUNCTION("""COMPUTED_VALUE"""),"TRAINING REQUEST")</f>
        <v>TRAINING REQUEST</v>
      </c>
      <c r="J798" s="72" t="str">
        <f>IFERROR(__xludf.DUMMYFUNCTION("""COMPUTED_VALUE"""),"TRAINING")</f>
        <v>TRAINING</v>
      </c>
      <c r="K798" s="72" t="str">
        <f>IFERROR(__xludf.DUMMYFUNCTION("""COMPUTED_VALUE"""),"TRAINING KUNG PANO I-OPERATE YUNG DISC PLOW")</f>
        <v>TRAINING KUNG PANO I-OPERATE YUNG DISC PLOW</v>
      </c>
      <c r="L798" s="72" t="str">
        <f>IFERROR(__xludf.DUMMYFUNCTION("""COMPUTED_VALUE"""),"DRM:  DONE TRAINING HOW TO OPERATE THE FRONT LOADER  AND DISCPLOW")</f>
        <v>DRM:  DONE TRAINING HOW TO OPERATE THE FRONT LOADER  AND DISCPLOW</v>
      </c>
      <c r="M798" s="2"/>
      <c r="N798" s="2"/>
      <c r="O798" s="2">
        <f>IFERROR(__xludf.DUMMYFUNCTION("""COMPUTED_VALUE"""),1117.0)</f>
        <v>1117</v>
      </c>
      <c r="P798" s="2" t="str">
        <f>IFERROR(__xludf.DUMMYFUNCTION("""COMPUTED_VALUE"""),"1117-ABANTE BALITE UNITED FARMERS ASSOCIATION INC..pdf")</f>
        <v>1117-ABANTE BALITE UNITED FARMERS ASSOCIATION INC..pdf</v>
      </c>
      <c r="Q798" s="2"/>
      <c r="R798" s="74">
        <f>IFERROR(__xludf.DUMMYFUNCTION("""COMPUTED_VALUE"""),45750.0)</f>
        <v>45750</v>
      </c>
      <c r="S798" s="2" t="str">
        <f>IFERROR(__xludf.DUMMYFUNCTION("""COMPUTED_VALUE"""),"DRM/ EGT")</f>
        <v>DRM/ EGT</v>
      </c>
      <c r="T798" s="73" t="str">
        <f>IFERROR(__xludf.DUMMYFUNCTION("""COMPUTED_VALUE""")," N/A ")</f>
        <v>N/A</v>
      </c>
      <c r="U798" s="73" t="str">
        <f>IFERROR(__xludf.DUMMYFUNCTION("""COMPUTED_VALUE""")," NO CHARGE ")</f>
        <v>NO CHARGE</v>
      </c>
      <c r="V798" s="2"/>
      <c r="W798" s="2" t="str">
        <f>IFERROR(__xludf.DUMMYFUNCTION("""COMPUTED_VALUE"""),"N/A")</f>
        <v>N/A</v>
      </c>
      <c r="X798" s="2" t="str">
        <f>IFERROR(__xludf.DUMMYFUNCTION("""COMPUTED_VALUE"""),"N/A")</f>
        <v>N/A</v>
      </c>
      <c r="Y798" s="2"/>
      <c r="Z798" s="2"/>
      <c r="AA798" s="2"/>
      <c r="AB798" s="2"/>
      <c r="AC798" s="2"/>
      <c r="AD798" s="2"/>
      <c r="AE798" s="2"/>
      <c r="AF798" s="2"/>
      <c r="AG798" s="2"/>
      <c r="AH798" s="2"/>
      <c r="AI798" s="2"/>
      <c r="AJ798" s="2" t="str">
        <f>IFERROR(__xludf.DUMMYFUNCTION("""COMPUTED_VALUE"""),"Balite")</f>
        <v>Balite</v>
      </c>
      <c r="AK798" s="2" t="str">
        <f>IFERROR(__xludf.DUMMYFUNCTION("""COMPUTED_VALUE"""),"Malasiqui")</f>
        <v>Malasiqui</v>
      </c>
      <c r="AL798" s="2" t="str">
        <f>IFERROR(__xludf.DUMMYFUNCTION("""COMPUTED_VALUE"""),"Pangasinan")</f>
        <v>Pangasinan</v>
      </c>
      <c r="AM798" s="2">
        <f>IFERROR(__xludf.DUMMYFUNCTION("""COMPUTED_VALUE"""),1.0)</f>
        <v>1</v>
      </c>
      <c r="AN798" s="2" t="str">
        <f>IFERROR(__xludf.DUMMYFUNCTION("""COMPUTED_VALUE"""),"RCEF 24-04-15")</f>
        <v>RCEF 24-04-15</v>
      </c>
      <c r="AO798" s="2">
        <f>IFERROR(__xludf.DUMMYFUNCTION("""COMPUTED_VALUE"""),6.0)</f>
        <v>6</v>
      </c>
      <c r="AP798" s="2" t="str">
        <f>IFERROR(__xludf.DUMMYFUNCTION("""COMPUTED_VALUE"""),"FREE PMS")</f>
        <v>FREE PMS</v>
      </c>
      <c r="AQ798" s="2"/>
      <c r="AR798" s="2"/>
      <c r="AS798" s="2"/>
      <c r="AT798" s="2"/>
      <c r="AU798" s="2"/>
      <c r="AV798" s="2"/>
      <c r="AW798" s="2"/>
      <c r="AX798" s="2"/>
      <c r="AY798" s="2"/>
      <c r="AZ798" s="2"/>
      <c r="BA798" s="2"/>
      <c r="BB798" s="2"/>
    </row>
    <row r="799">
      <c r="A799" s="2">
        <f>IFERROR(__xludf.DUMMYFUNCTION("""COMPUTED_VALUE"""),795.0)</f>
        <v>795</v>
      </c>
      <c r="B799" s="2" t="str">
        <f>IFERROR(__xludf.DUMMYFUNCTION("""COMPUTED_VALUE"""),"COMPLETED")</f>
        <v>COMPLETED</v>
      </c>
      <c r="C799" s="74">
        <f>IFERROR(__xludf.DUMMYFUNCTION("""COMPUTED_VALUE"""),45706.0)</f>
        <v>45706</v>
      </c>
      <c r="D799" s="71" t="str">
        <f>IFERROR(__xludf.DUMMYFUNCTION("""COMPUTED_VALUE"""),"ABANTE BALITE UNITED FARMERS ASSOCIATION INC.")</f>
        <v>ABANTE BALITE UNITED FARMERS ASSOCIATION INC.</v>
      </c>
      <c r="E799" s="71" t="str">
        <f>IFERROR(__xludf.DUMMYFUNCTION("""COMPUTED_VALUE"""),"Balite, Malasiqui, PANGASINAN")</f>
        <v>Balite, Malasiqui, PANGASINAN</v>
      </c>
      <c r="F799" s="2" t="str">
        <f>IFERROR(__xludf.DUMMYFUNCTION("""COMPUTED_VALUE"""),"ALFONSO PARENO")</f>
        <v>ALFONSO PARENO</v>
      </c>
      <c r="G799" s="2">
        <f>IFERROR(__xludf.DUMMYFUNCTION("""COMPUTED_VALUE"""),9.4486127964E10)</f>
        <v>94486127964</v>
      </c>
      <c r="H799" s="2">
        <f>IFERROR(__xludf.DUMMYFUNCTION("""COMPUTED_VALUE"""),30.0)</f>
        <v>30</v>
      </c>
      <c r="I799" s="72" t="str">
        <f>IFERROR(__xludf.DUMMYFUNCTION("""COMPUTED_VALUE"""),"REPAIR - TRACTOR")</f>
        <v>REPAIR - TRACTOR</v>
      </c>
      <c r="J799" s="72" t="str">
        <f>IFERROR(__xludf.DUMMYFUNCTION("""COMPUTED_VALUE"""),"Electrical - FR Switch")</f>
        <v>Electrical - FR Switch</v>
      </c>
      <c r="K799" s="72" t="str">
        <f>IFERROR(__xludf.DUMMYFUNCTION("""COMPUTED_VALUE"""),"MYK: SUSIAN AYAW GUMANA
1117:EGT: 4/23/25: IGNITION SWITCH PROBLEM, CANT START THE ENGINE
PARTS: NEUTRAL SWITCH/ F/R SWITCH")</f>
        <v>MYK: SUSIAN AYAW GUMANA
1117:EGT: 4/23/25: IGNITION SWITCH PROBLEM, CANT START THE ENGINE
PARTS: NEUTRAL SWITCH/ F/R SWITCH</v>
      </c>
      <c r="L799" s="72" t="str">
        <f>IFERROR(__xludf.DUMMYFUNCTION("""COMPUTED_VALUE"""),"JVV: Done for installing Forward/Reverse switch of Four Wheel Tractor")</f>
        <v>JVV: Done for installing Forward/Reverse switch of Four Wheel Tractor</v>
      </c>
      <c r="M799" s="2"/>
      <c r="N799" s="2" t="str">
        <f>IFERROR(__xludf.DUMMYFUNCTION("""COMPUTED_VALUE"""),"PARTS: F/R SWITCH
WARRANTY BY LTC")</f>
        <v>PARTS: F/R SWITCH
WARRANTY BY LTC</v>
      </c>
      <c r="O799" s="2">
        <f>IFERROR(__xludf.DUMMYFUNCTION("""COMPUTED_VALUE"""),1072.0)</f>
        <v>1072</v>
      </c>
      <c r="P799" s="2" t="str">
        <f>IFERROR(__xludf.DUMMYFUNCTION("""COMPUTED_VALUE"""),"1072- ABANTE BALITE UNITED FARMERS ASSOCIATION INC..jpg")</f>
        <v>1072- ABANTE BALITE UNITED FARMERS ASSOCIATION INC..jpg</v>
      </c>
      <c r="Q799" s="2"/>
      <c r="R799" s="74">
        <f>IFERROR(__xludf.DUMMYFUNCTION("""COMPUTED_VALUE"""),45806.0)</f>
        <v>45806</v>
      </c>
      <c r="S799" s="2" t="str">
        <f>IFERROR(__xludf.DUMMYFUNCTION("""COMPUTED_VALUE"""),"JVV/DSD/EGT")</f>
        <v>JVV/DSD/EGT</v>
      </c>
      <c r="T799" s="73" t="str">
        <f>IFERROR(__xludf.DUMMYFUNCTION("""COMPUTED_VALUE""")," N/A ")</f>
        <v>N/A</v>
      </c>
      <c r="U799" s="73" t="str">
        <f>IFERROR(__xludf.DUMMYFUNCTION("""COMPUTED_VALUE""")," WARRANTY BY LTC ")</f>
        <v>WARRANTY BY LTC</v>
      </c>
      <c r="V799" s="2"/>
      <c r="W799" s="2" t="str">
        <f>IFERROR(__xludf.DUMMYFUNCTION("""COMPUTED_VALUE"""),"N/A")</f>
        <v>N/A</v>
      </c>
      <c r="X799" s="2" t="str">
        <f>IFERROR(__xludf.DUMMYFUNCTION("""COMPUTED_VALUE"""),"N/A")</f>
        <v>N/A</v>
      </c>
      <c r="Y799" s="2"/>
      <c r="Z799" s="2"/>
      <c r="AA799" s="2"/>
      <c r="AB799" s="2"/>
      <c r="AC799" s="2"/>
      <c r="AD799" s="2"/>
      <c r="AE799" s="2"/>
      <c r="AF799" s="2"/>
      <c r="AG799" s="2"/>
      <c r="AH799" s="2"/>
      <c r="AI799" s="2"/>
      <c r="AJ799" s="2" t="str">
        <f>IFERROR(__xludf.DUMMYFUNCTION("""COMPUTED_VALUE"""),"Balite")</f>
        <v>Balite</v>
      </c>
      <c r="AK799" s="2" t="str">
        <f>IFERROR(__xludf.DUMMYFUNCTION("""COMPUTED_VALUE"""),"Malasiqui")</f>
        <v>Malasiqui</v>
      </c>
      <c r="AL799" s="2" t="str">
        <f>IFERROR(__xludf.DUMMYFUNCTION("""COMPUTED_VALUE"""),"Pangasinan")</f>
        <v>Pangasinan</v>
      </c>
      <c r="AM799" s="2">
        <f>IFERROR(__xludf.DUMMYFUNCTION("""COMPUTED_VALUE"""),1.0)</f>
        <v>1</v>
      </c>
      <c r="AN799" s="2" t="str">
        <f>IFERROR(__xludf.DUMMYFUNCTION("""COMPUTED_VALUE"""),"RCEF 24-04-15")</f>
        <v>RCEF 24-04-15</v>
      </c>
      <c r="AO799" s="2">
        <f>IFERROR(__xludf.DUMMYFUNCTION("""COMPUTED_VALUE"""),6.0)</f>
        <v>6</v>
      </c>
      <c r="AP799" s="2" t="str">
        <f>IFERROR(__xludf.DUMMYFUNCTION("""COMPUTED_VALUE"""),"FREE PMS")</f>
        <v>FREE PMS</v>
      </c>
      <c r="AQ799" s="2"/>
      <c r="AR799" s="2"/>
      <c r="AS799" s="2"/>
      <c r="AT799" s="2"/>
      <c r="AU799" s="2"/>
      <c r="AV799" s="2"/>
      <c r="AW799" s="2"/>
      <c r="AX799" s="2"/>
      <c r="AY799" s="2"/>
      <c r="AZ799" s="2"/>
      <c r="BA799" s="2"/>
      <c r="BB799" s="2"/>
    </row>
    <row r="800">
      <c r="A800" s="2">
        <f>IFERROR(__xludf.DUMMYFUNCTION("""COMPUTED_VALUE"""),796.0)</f>
        <v>796</v>
      </c>
      <c r="B800" s="2" t="str">
        <f>IFERROR(__xludf.DUMMYFUNCTION("""COMPUTED_VALUE"""),"COMPLETED")</f>
        <v>COMPLETED</v>
      </c>
      <c r="C800" s="74">
        <f>IFERROR(__xludf.DUMMYFUNCTION("""COMPUTED_VALUE"""),45707.0)</f>
        <v>45707</v>
      </c>
      <c r="D800" s="71" t="str">
        <f>IFERROR(__xludf.DUMMYFUNCTION("""COMPUTED_VALUE"""),"Panayotti Irrigators Farmers Association Inc.")</f>
        <v>Panayotti Irrigators Farmers Association Inc.</v>
      </c>
      <c r="E800" s="71" t="str">
        <f>IFERROR(__xludf.DUMMYFUNCTION("""COMPUTED_VALUE"""),"Escaler, Magalang, PAMPANGA")</f>
        <v>Escaler, Magalang, PAMPANGA</v>
      </c>
      <c r="F800" s="2" t="str">
        <f>IFERROR(__xludf.DUMMYFUNCTION("""COMPUTED_VALUE"""),"Crisostomo Soriano ")</f>
        <v>Crisostomo Soriano </v>
      </c>
      <c r="G800" s="2" t="str">
        <f>IFERROR(__xludf.DUMMYFUNCTION("""COMPUTED_VALUE"""),"0906 352 4803 ")</f>
        <v>0906 352 4803 </v>
      </c>
      <c r="H800" s="2">
        <f>IFERROR(__xludf.DUMMYFUNCTION("""COMPUTED_VALUE"""),58.0)</f>
        <v>58</v>
      </c>
      <c r="I800" s="72" t="str">
        <f>IFERROR(__xludf.DUMMYFUNCTION("""COMPUTED_VALUE"""),"PMS")</f>
        <v>PMS</v>
      </c>
      <c r="J800" s="72" t="str">
        <f>IFERROR(__xludf.DUMMYFUNCTION("""COMPUTED_VALUE"""),"PMS")</f>
        <v>PMS</v>
      </c>
      <c r="K800" s="72" t="str">
        <f>IFERROR(__xludf.DUMMYFUNCTION("""COMPUTED_VALUE"""),"KFS: First change oil libre filter at oil")</f>
        <v>KFS: First change oil libre filter at oil</v>
      </c>
      <c r="L800" s="72" t="str">
        <f>IFERROR(__xludf.DUMMYFUNCTION("""COMPUTED_VALUE"""),"ACS: CHANGE OIL , PMS DONE")</f>
        <v>ACS: CHANGE OIL , PMS DONE</v>
      </c>
      <c r="M800" s="2"/>
      <c r="N800" s="2" t="str">
        <f>IFERROR(__xludf.DUMMYFUNCTION("""COMPUTED_VALUE"""),"PARTS: ENGINE OIL, OIL FILTER")</f>
        <v>PARTS: ENGINE OIL, OIL FILTER</v>
      </c>
      <c r="O800" s="2">
        <f>IFERROR(__xludf.DUMMYFUNCTION("""COMPUTED_VALUE"""),1221.0)</f>
        <v>1221</v>
      </c>
      <c r="P800" s="2"/>
      <c r="Q800" s="2"/>
      <c r="R800" s="74">
        <f>IFERROR(__xludf.DUMMYFUNCTION("""COMPUTED_VALUE"""),45708.0)</f>
        <v>45708</v>
      </c>
      <c r="S800" s="2" t="str">
        <f>IFERROR(__xludf.DUMMYFUNCTION("""COMPUTED_VALUE"""),"JHP/ACS")</f>
        <v>JHP/ACS</v>
      </c>
      <c r="T800" s="73" t="str">
        <f>IFERROR(__xludf.DUMMYFUNCTION("""COMPUTED_VALUE""")," N/A ")</f>
        <v>N/A</v>
      </c>
      <c r="U800" s="73" t="str">
        <f>IFERROR(__xludf.DUMMYFUNCTION("""COMPUTED_VALUE""")," NO CHARGE ")</f>
        <v>NO CHARGE</v>
      </c>
      <c r="V800" s="2"/>
      <c r="W800" s="2" t="str">
        <f>IFERROR(__xludf.DUMMYFUNCTION("""COMPUTED_VALUE"""),"N/A")</f>
        <v>N/A</v>
      </c>
      <c r="X800" s="2" t="str">
        <f>IFERROR(__xludf.DUMMYFUNCTION("""COMPUTED_VALUE"""),"N/A")</f>
        <v>N/A</v>
      </c>
      <c r="Y800" s="2"/>
      <c r="Z800" s="2"/>
      <c r="AA800" s="2"/>
      <c r="AB800" s="2"/>
      <c r="AC800" s="2"/>
      <c r="AD800" s="2"/>
      <c r="AE800" s="2"/>
      <c r="AF800" s="2"/>
      <c r="AG800" s="2"/>
      <c r="AH800" s="2"/>
      <c r="AI800" s="2"/>
      <c r="AJ800" s="2" t="str">
        <f>IFERROR(__xludf.DUMMYFUNCTION("""COMPUTED_VALUE"""),"Escaler")</f>
        <v>Escaler</v>
      </c>
      <c r="AK800" s="2" t="str">
        <f>IFERROR(__xludf.DUMMYFUNCTION("""COMPUTED_VALUE"""),"Magalang")</f>
        <v>Magalang</v>
      </c>
      <c r="AL800" s="2" t="str">
        <f>IFERROR(__xludf.DUMMYFUNCTION("""COMPUTED_VALUE"""),"Pampanga")</f>
        <v>Pampanga</v>
      </c>
      <c r="AM800" s="2">
        <f>IFERROR(__xludf.DUMMYFUNCTION("""COMPUTED_VALUE"""),3.0)</f>
        <v>3</v>
      </c>
      <c r="AN800" s="2" t="str">
        <f>IFERROR(__xludf.DUMMYFUNCTION("""COMPUTED_VALUE"""),"RCEF 24-04-15")</f>
        <v>RCEF 24-04-15</v>
      </c>
      <c r="AO800" s="2">
        <f>IFERROR(__xludf.DUMMYFUNCTION("""COMPUTED_VALUE"""),6.0)</f>
        <v>6</v>
      </c>
      <c r="AP800" s="2" t="str">
        <f>IFERROR(__xludf.DUMMYFUNCTION("""COMPUTED_VALUE"""),"FREE PMS")</f>
        <v>FREE PMS</v>
      </c>
      <c r="AQ800" s="2"/>
      <c r="AR800" s="2"/>
      <c r="AS800" s="2"/>
      <c r="AT800" s="2"/>
      <c r="AU800" s="2"/>
      <c r="AV800" s="2"/>
      <c r="AW800" s="2"/>
      <c r="AX800" s="2"/>
      <c r="AY800" s="2"/>
      <c r="AZ800" s="2"/>
      <c r="BA800" s="2"/>
      <c r="BB800" s="2"/>
    </row>
    <row r="801">
      <c r="A801" s="2">
        <f>IFERROR(__xludf.DUMMYFUNCTION("""COMPUTED_VALUE"""),797.0)</f>
        <v>797</v>
      </c>
      <c r="B801" s="2" t="str">
        <f>IFERROR(__xludf.DUMMYFUNCTION("""COMPUTED_VALUE"""),"COMPLETED")</f>
        <v>COMPLETED</v>
      </c>
      <c r="C801" s="74">
        <f>IFERROR(__xludf.DUMMYFUNCTION("""COMPUTED_VALUE"""),45707.0)</f>
        <v>45707</v>
      </c>
      <c r="D801" s="71" t="str">
        <f>IFERROR(__xludf.DUMMYFUNCTION("""COMPUTED_VALUE"""),"Magsaysay Farmer's Association")</f>
        <v>Magsaysay Farmer's Association</v>
      </c>
      <c r="E801" s="71" t="str">
        <f>IFERROR(__xludf.DUMMYFUNCTION("""COMPUTED_VALUE"""),"Magsaysay, Patnongon, ANTIQUE")</f>
        <v>Magsaysay, Patnongon, ANTIQUE</v>
      </c>
      <c r="F801" s="2" t="str">
        <f>IFERROR(__xludf.DUMMYFUNCTION("""COMPUTED_VALUE"""),"Felix Molining ")</f>
        <v>Felix Molining </v>
      </c>
      <c r="G801" s="2">
        <f>IFERROR(__xludf.DUMMYFUNCTION("""COMPUTED_VALUE"""),9.069193017E9)</f>
        <v>9069193017</v>
      </c>
      <c r="H801" s="2">
        <f>IFERROR(__xludf.DUMMYFUNCTION("""COMPUTED_VALUE"""),190.0)</f>
        <v>190</v>
      </c>
      <c r="I801" s="72" t="str">
        <f>IFERROR(__xludf.DUMMYFUNCTION("""COMPUTED_VALUE"""),"REPAIR - TRACTOR")</f>
        <v>REPAIR - TRACTOR</v>
      </c>
      <c r="J801" s="72" t="str">
        <f>IFERROR(__xludf.DUMMYFUNCTION("""COMPUTED_VALUE"""),"Electrical - Wire Harness")</f>
        <v>Electrical - Wire Harness</v>
      </c>
      <c r="K801" s="72" t="str">
        <f>IFERROR(__xludf.DUMMYFUNCTION("""COMPUTED_VALUE"""),"NASUNOG NAG MGA WIRING
PARTS: ALL HARNESS 
RANDY: LAST ASSESSMENT FUSE BOX ASSY ANG KAILANGAN, DAHIL SUNOD PATI AND MGA FUSE NYA AT LUSAW ANG FUSE BOX")</f>
        <v>NASUNOG NAG MGA WIRING
PARTS: ALL HARNESS 
RANDY: LAST ASSESSMENT FUSE BOX ASSY ANG KAILANGAN, DAHIL SUNOD PATI AND MGA FUSE NYA AT LUSAW ANG FUSE BOX</v>
      </c>
      <c r="L801" s="72" t="str">
        <f>IFERROR(__xludf.DUMMYFUNCTION("""COMPUTED_VALUE"""),"MYKEE: 7/10/25: NAG FOLLOW UP CALL YUNG FARMER, SINABI KO NA HINDI NA ITO UNDER WARRANTY , PWEDE NILANG I OUTSOURCE SA LABAS. PUMAYAG NAMAN SILA.")</f>
        <v>MYKEE: 7/10/25: NAG FOLLOW UP CALL YUNG FARMER, SINABI KO NA HINDI NA ITO UNDER WARRANTY , PWEDE NILANG I OUTSOURCE SA LABAS. PUMAYAG NAMAN SILA.</v>
      </c>
      <c r="M801" s="2"/>
      <c r="N801" s="2"/>
      <c r="O801" s="2" t="str">
        <f>IFERROR(__xludf.DUMMYFUNCTION("""COMPUTED_VALUE"""),"N/A")</f>
        <v>N/A</v>
      </c>
      <c r="P801" s="2"/>
      <c r="Q801" s="2"/>
      <c r="R801" s="74">
        <f>IFERROR(__xludf.DUMMYFUNCTION("""COMPUTED_VALUE"""),45848.0)</f>
        <v>45848</v>
      </c>
      <c r="S801" s="2" t="str">
        <f>IFERROR(__xludf.DUMMYFUNCTION("""COMPUTED_VALUE"""),"MYKEE")</f>
        <v>MYKEE</v>
      </c>
      <c r="T801" s="73" t="str">
        <f>IFERROR(__xludf.DUMMYFUNCTION("""COMPUTED_VALUE""")," N/A ")</f>
        <v>N/A</v>
      </c>
      <c r="U801" s="73" t="str">
        <f>IFERROR(__xludf.DUMMYFUNCTION("""COMPUTED_VALUE""")," NO CHARGE ")</f>
        <v>NO CHARGE</v>
      </c>
      <c r="V801" s="2"/>
      <c r="W801" s="2" t="str">
        <f>IFERROR(__xludf.DUMMYFUNCTION("""COMPUTED_VALUE"""),"N/A")</f>
        <v>N/A</v>
      </c>
      <c r="X801" s="2" t="str">
        <f>IFERROR(__xludf.DUMMYFUNCTION("""COMPUTED_VALUE"""),"N/A")</f>
        <v>N/A</v>
      </c>
      <c r="Y801" s="2"/>
      <c r="Z801" s="2"/>
      <c r="AA801" s="2"/>
      <c r="AB801" s="2"/>
      <c r="AC801" s="2"/>
      <c r="AD801" s="2"/>
      <c r="AE801" s="2"/>
      <c r="AF801" s="2"/>
      <c r="AG801" s="2"/>
      <c r="AH801" s="2"/>
      <c r="AI801" s="2"/>
      <c r="AJ801" s="2" t="str">
        <f>IFERROR(__xludf.DUMMYFUNCTION("""COMPUTED_VALUE"""),"Magsaysay")</f>
        <v>Magsaysay</v>
      </c>
      <c r="AK801" s="2" t="str">
        <f>IFERROR(__xludf.DUMMYFUNCTION("""COMPUTED_VALUE"""),"Patnongon")</f>
        <v>Patnongon</v>
      </c>
      <c r="AL801" s="2" t="str">
        <f>IFERROR(__xludf.DUMMYFUNCTION("""COMPUTED_VALUE"""),"Antique")</f>
        <v>Antique</v>
      </c>
      <c r="AM801" s="2">
        <f>IFERROR(__xludf.DUMMYFUNCTION("""COMPUTED_VALUE"""),6.0)</f>
        <v>6</v>
      </c>
      <c r="AN801" s="2" t="str">
        <f>IFERROR(__xludf.DUMMYFUNCTION("""COMPUTED_VALUE"""),"RCEF 23-09-21 Rebidding")</f>
        <v>RCEF 23-09-21 Rebidding</v>
      </c>
      <c r="AO801" s="2">
        <f>IFERROR(__xludf.DUMMYFUNCTION("""COMPUTED_VALUE"""),4.0)</f>
        <v>4</v>
      </c>
      <c r="AP801" s="2"/>
      <c r="AQ801" s="2"/>
      <c r="AR801" s="2"/>
      <c r="AS801" s="2"/>
      <c r="AT801" s="2"/>
      <c r="AU801" s="2"/>
      <c r="AV801" s="2"/>
      <c r="AW801" s="2"/>
      <c r="AX801" s="2"/>
      <c r="AY801" s="2"/>
      <c r="AZ801" s="2"/>
      <c r="BA801" s="2"/>
      <c r="BB801" s="2"/>
    </row>
    <row r="802">
      <c r="A802" s="2">
        <f>IFERROR(__xludf.DUMMYFUNCTION("""COMPUTED_VALUE"""),798.0)</f>
        <v>798</v>
      </c>
      <c r="B802" s="2" t="str">
        <f>IFERROR(__xludf.DUMMYFUNCTION("""COMPUTED_VALUE"""),"COMPLETED")</f>
        <v>COMPLETED</v>
      </c>
      <c r="C802" s="74">
        <f>IFERROR(__xludf.DUMMYFUNCTION("""COMPUTED_VALUE"""),45707.0)</f>
        <v>45707</v>
      </c>
      <c r="D802" s="71" t="str">
        <f>IFERROR(__xludf.DUMMYFUNCTION("""COMPUTED_VALUE"""),"Brgy. Bankal Farmers Association")</f>
        <v>Brgy. Bankal Farmers Association</v>
      </c>
      <c r="E802" s="71" t="str">
        <f>IFERROR(__xludf.DUMMYFUNCTION("""COMPUTED_VALUE"""),"Bankal, Lemery, ILOILO")</f>
        <v>Bankal, Lemery, ILOILO</v>
      </c>
      <c r="F802" s="2" t="str">
        <f>IFERROR(__xludf.DUMMYFUNCTION("""COMPUTED_VALUE"""),"ENGR. PRIMITIVO / JOVEN F. DELAMBOTIQUE")</f>
        <v>ENGR. PRIMITIVO / JOVEN F. DELAMBOTIQUE</v>
      </c>
      <c r="G802" s="2" t="str">
        <f>IFERROR(__xludf.DUMMYFUNCTION("""COMPUTED_VALUE"""),"9613225409 / #09510601955 #+639605164607")</f>
        <v>9613225409 / #09510601955 #+639605164607</v>
      </c>
      <c r="H802" s="2"/>
      <c r="I802" s="72" t="str">
        <f>IFERROR(__xludf.DUMMYFUNCTION("""COMPUTED_VALUE"""),"REPAIR - ROTAVATOR")</f>
        <v>REPAIR - ROTAVATOR</v>
      </c>
      <c r="J802" s="72" t="str">
        <f>IFERROR(__xludf.DUMMYFUNCTION("""COMPUTED_VALUE"""),"Gearbox")</f>
        <v>Gearbox</v>
      </c>
      <c r="K802" s="72" t="str">
        <f>IFERROR(__xludf.DUMMYFUNCTION("""COMPUTED_VALUE"""),"CFG: SIRA PO ANG ROTAVATOR
FARMER: SUMAGI SA BAKAL YUNG SHAFTING NAG CAUSE NG PAGKASIRA NG UNIT.
PARTS: HARD LOCK NUT, BEVEL GEAR 24T, BEARING #32211, DRIVE SHAFT
MYK: 7/8/25: THEY ASKING FOR GUIDELINES AND QUOTATIONS")</f>
        <v>CFG: SIRA PO ANG ROTAVATOR
FARMER: SUMAGI SA BAKAL YUNG SHAFTING NAG CAUSE NG PAGKASIRA NG UNIT.
PARTS: HARD LOCK NUT, BEVEL GEAR 24T, BEARING #32211, DRIVE SHAFT
MYK: 7/8/25: THEY ASKING FOR GUIDELINES AND QUOTATIONS</v>
      </c>
      <c r="L802" s="72" t="str">
        <f>IFERROR(__xludf.DUMMYFUNCTION("""COMPUTED_VALUE"""),"QUOTATION SENT: CANCELLED
FOR REPAIR SA IBA")</f>
        <v>QUOTATION SENT: CANCELLED
FOR REPAIR SA IBA</v>
      </c>
      <c r="M802" s="2"/>
      <c r="N802" s="2"/>
      <c r="O802" s="2" t="str">
        <f>IFERROR(__xludf.DUMMYFUNCTION("""COMPUTED_VALUE"""),"N/A")</f>
        <v>N/A</v>
      </c>
      <c r="P802" s="2"/>
      <c r="Q802" s="2"/>
      <c r="R802" s="74">
        <f>IFERROR(__xludf.DUMMYFUNCTION("""COMPUTED_VALUE"""),45930.0)</f>
        <v>45930</v>
      </c>
      <c r="S802" s="2" t="str">
        <f>IFERROR(__xludf.DUMMYFUNCTION("""COMPUTED_VALUE"""),"MYKEE")</f>
        <v>MYKEE</v>
      </c>
      <c r="T802" s="73" t="str">
        <f>IFERROR(__xludf.DUMMYFUNCTION("""COMPUTED_VALUE""")," N/A ")</f>
        <v>N/A</v>
      </c>
      <c r="U802" s="73" t="str">
        <f>IFERROR(__xludf.DUMMYFUNCTION("""COMPUTED_VALUE""")," NO CHARGE ")</f>
        <v>NO CHARGE</v>
      </c>
      <c r="V802" s="2"/>
      <c r="W802" s="2" t="str">
        <f>IFERROR(__xludf.DUMMYFUNCTION("""COMPUTED_VALUE"""),"N/A")</f>
        <v>N/A</v>
      </c>
      <c r="X802" s="2" t="str">
        <f>IFERROR(__xludf.DUMMYFUNCTION("""COMPUTED_VALUE"""),"N/A")</f>
        <v>N/A</v>
      </c>
      <c r="Y802" s="2"/>
      <c r="Z802" s="2"/>
      <c r="AA802" s="2"/>
      <c r="AB802" s="2"/>
      <c r="AC802" s="2"/>
      <c r="AD802" s="2"/>
      <c r="AE802" s="2"/>
      <c r="AF802" s="2"/>
      <c r="AG802" s="2"/>
      <c r="AH802" s="2"/>
      <c r="AI802" s="2"/>
      <c r="AJ802" s="2" t="str">
        <f>IFERROR(__xludf.DUMMYFUNCTION("""COMPUTED_VALUE"""),"Bankal")</f>
        <v>Bankal</v>
      </c>
      <c r="AK802" s="2" t="str">
        <f>IFERROR(__xludf.DUMMYFUNCTION("""COMPUTED_VALUE"""),"Lemery")</f>
        <v>Lemery</v>
      </c>
      <c r="AL802" s="2" t="str">
        <f>IFERROR(__xludf.DUMMYFUNCTION("""COMPUTED_VALUE"""),"Iloilo")</f>
        <v>Iloilo</v>
      </c>
      <c r="AM802" s="2">
        <f>IFERROR(__xludf.DUMMYFUNCTION("""COMPUTED_VALUE"""),6.0)</f>
        <v>6</v>
      </c>
      <c r="AN802" s="2" t="str">
        <f>IFERROR(__xludf.DUMMYFUNCTION("""COMPUTED_VALUE"""),"RCEF 23-09-21 Rebidding")</f>
        <v>RCEF 23-09-21 Rebidding</v>
      </c>
      <c r="AO802" s="2">
        <f>IFERROR(__xludf.DUMMYFUNCTION("""COMPUTED_VALUE"""),4.0)</f>
        <v>4</v>
      </c>
      <c r="AP802" s="2"/>
      <c r="AQ802" s="2"/>
      <c r="AR802" s="2"/>
      <c r="AS802" s="2"/>
      <c r="AT802" s="2"/>
      <c r="AU802" s="2"/>
      <c r="AV802" s="2"/>
      <c r="AW802" s="2"/>
      <c r="AX802" s="2"/>
      <c r="AY802" s="2"/>
      <c r="AZ802" s="2"/>
      <c r="BA802" s="2"/>
      <c r="BB802" s="2"/>
    </row>
    <row r="803">
      <c r="A803" s="2">
        <f>IFERROR(__xludf.DUMMYFUNCTION("""COMPUTED_VALUE"""),799.0)</f>
        <v>799</v>
      </c>
      <c r="B803" s="2" t="str">
        <f>IFERROR(__xludf.DUMMYFUNCTION("""COMPUTED_VALUE"""),"COMPLETED")</f>
        <v>COMPLETED</v>
      </c>
      <c r="C803" s="74">
        <f>IFERROR(__xludf.DUMMYFUNCTION("""COMPUTED_VALUE"""),45708.0)</f>
        <v>45708</v>
      </c>
      <c r="D803" s="71" t="str">
        <f>IFERROR(__xludf.DUMMYFUNCTION("""COMPUTED_VALUE"""),"NAEVAM IRRIGATORS ASSOCIATION, INC.")</f>
        <v>NAEVAM IRRIGATORS ASSOCIATION, INC.</v>
      </c>
      <c r="E803" s="71" t="str">
        <f>IFERROR(__xludf.DUMMYFUNCTION("""COMPUTED_VALUE"""),"Nangapugan, San Quintin, PANGASINAN")</f>
        <v>Nangapugan, San Quintin, PANGASINAN</v>
      </c>
      <c r="F803" s="2" t="str">
        <f>IFERROR(__xludf.DUMMYFUNCTION("""COMPUTED_VALUE"""),"ARMANDO PALUYO")</f>
        <v>ARMANDO PALUYO</v>
      </c>
      <c r="G803" s="2">
        <f>IFERROR(__xludf.DUMMYFUNCTION("""COMPUTED_VALUE"""),9.56941551E9)</f>
        <v>9569415510</v>
      </c>
      <c r="H803" s="2"/>
      <c r="I803" s="72" t="str">
        <f>IFERROR(__xludf.DUMMYFUNCTION("""COMPUTED_VALUE"""),"REPAIR - ROTAVATOR")</f>
        <v>REPAIR - ROTAVATOR</v>
      </c>
      <c r="J803" s="72" t="str">
        <f>IFERROR(__xludf.DUMMYFUNCTION("""COMPUTED_VALUE"""),"Gearbox")</f>
        <v>Gearbox</v>
      </c>
      <c r="K803" s="72" t="str">
        <f>IFERROR(__xludf.DUMMYFUNCTION("""COMPUTED_VALUE"""),"ROTAVATOR PROBLEM: RECEIVED LAST FEBRUARY 17, 2025:   BAGONG DELIVER LANG NGAYUN LANG NILA GAGAMITIN, NAG INGAY NA SA BANGDANG KALIWA NG ROTAVATOR. ")</f>
        <v>ROTAVATOR PROBLEM: RECEIVED LAST FEBRUARY 17, 2025:   BAGONG DELIVER LANG NGAYUN LANG NILA GAGAMITIN, NAG INGAY NA SA BANGDANG KALIWA NG ROTAVATOR. </v>
      </c>
      <c r="L803" s="72" t="str">
        <f>IFERROR(__xludf.DUMMYFUNCTION("""COMPUTED_VALUE"""),"EGT: LOOSEN THE HARD LOCK NUT THE ROTAVATOR")</f>
        <v>EGT: LOOSEN THE HARD LOCK NUT THE ROTAVATOR</v>
      </c>
      <c r="M803" s="2"/>
      <c r="N803" s="2" t="str">
        <f>IFERROR(__xludf.DUMMYFUNCTION("""COMPUTED_VALUE"""),"PARTS: HARD LOCK NIUT")</f>
        <v>PARTS: HARD LOCK NIUT</v>
      </c>
      <c r="O803" s="2">
        <f>IFERROR(__xludf.DUMMYFUNCTION("""COMPUTED_VALUE"""),1110.0)</f>
        <v>1110</v>
      </c>
      <c r="P803" s="2"/>
      <c r="Q803" s="2"/>
      <c r="R803" s="74">
        <f>IFERROR(__xludf.DUMMYFUNCTION("""COMPUTED_VALUE"""),45712.0)</f>
        <v>45712</v>
      </c>
      <c r="S803" s="2" t="str">
        <f>IFERROR(__xludf.DUMMYFUNCTION("""COMPUTED_VALUE"""),"EGT/DDRM")</f>
        <v>EGT/DDRM</v>
      </c>
      <c r="T803" s="73" t="str">
        <f>IFERROR(__xludf.DUMMYFUNCTION("""COMPUTED_VALUE""")," N/A ")</f>
        <v>N/A</v>
      </c>
      <c r="U803" s="73" t="str">
        <f>IFERROR(__xludf.DUMMYFUNCTION("""COMPUTED_VALUE""")," NO CHARGE ")</f>
        <v>NO CHARGE</v>
      </c>
      <c r="V803" s="2"/>
      <c r="W803" s="2" t="str">
        <f>IFERROR(__xludf.DUMMYFUNCTION("""COMPUTED_VALUE"""),"N/A")</f>
        <v>N/A</v>
      </c>
      <c r="X803" s="2" t="str">
        <f>IFERROR(__xludf.DUMMYFUNCTION("""COMPUTED_VALUE"""),"N/A")</f>
        <v>N/A</v>
      </c>
      <c r="Y803" s="2"/>
      <c r="Z803" s="2"/>
      <c r="AA803" s="2"/>
      <c r="AB803" s="2"/>
      <c r="AC803" s="2"/>
      <c r="AD803" s="2"/>
      <c r="AE803" s="2"/>
      <c r="AF803" s="2"/>
      <c r="AG803" s="2"/>
      <c r="AH803" s="2"/>
      <c r="AI803" s="2"/>
      <c r="AJ803" s="2" t="str">
        <f>IFERROR(__xludf.DUMMYFUNCTION("""COMPUTED_VALUE"""),"Nangapugan")</f>
        <v>Nangapugan</v>
      </c>
      <c r="AK803" s="2" t="str">
        <f>IFERROR(__xludf.DUMMYFUNCTION("""COMPUTED_VALUE"""),"San Quintin")</f>
        <v>San Quintin</v>
      </c>
      <c r="AL803" s="2" t="str">
        <f>IFERROR(__xludf.DUMMYFUNCTION("""COMPUTED_VALUE"""),"Pangasinan")</f>
        <v>Pangasinan</v>
      </c>
      <c r="AM803" s="2">
        <f>IFERROR(__xludf.DUMMYFUNCTION("""COMPUTED_VALUE"""),1.0)</f>
        <v>1</v>
      </c>
      <c r="AN803" s="2" t="str">
        <f>IFERROR(__xludf.DUMMYFUNCTION("""COMPUTED_VALUE"""),"RCEF 24-04-15")</f>
        <v>RCEF 24-04-15</v>
      </c>
      <c r="AO803" s="2">
        <f>IFERROR(__xludf.DUMMYFUNCTION("""COMPUTED_VALUE"""),6.0)</f>
        <v>6</v>
      </c>
      <c r="AP803" s="2" t="str">
        <f>IFERROR(__xludf.DUMMYFUNCTION("""COMPUTED_VALUE"""),"FREE PMS")</f>
        <v>FREE PMS</v>
      </c>
      <c r="AQ803" s="2"/>
      <c r="AR803" s="2"/>
      <c r="AS803" s="2"/>
      <c r="AT803" s="2"/>
      <c r="AU803" s="2"/>
      <c r="AV803" s="2"/>
      <c r="AW803" s="2"/>
      <c r="AX803" s="2"/>
      <c r="AY803" s="2"/>
      <c r="AZ803" s="2"/>
      <c r="BA803" s="2"/>
      <c r="BB803" s="2"/>
    </row>
    <row r="804">
      <c r="A804" s="2">
        <f>IFERROR(__xludf.DUMMYFUNCTION("""COMPUTED_VALUE"""),800.0)</f>
        <v>800</v>
      </c>
      <c r="B804" s="2" t="str">
        <f>IFERROR(__xludf.DUMMYFUNCTION("""COMPUTED_VALUE"""),"COMPLETED")</f>
        <v>COMPLETED</v>
      </c>
      <c r="C804" s="74">
        <f>IFERROR(__xludf.DUMMYFUNCTION("""COMPUTED_VALUE"""),45709.0)</f>
        <v>45709</v>
      </c>
      <c r="D804" s="71" t="str">
        <f>IFERROR(__xludf.DUMMYFUNCTION("""COMPUTED_VALUE"""),"NAGKAKAISANG SAMAHAN NG MAGPAPATUBIG NG CAMBUNANG, INC.")</f>
        <v>NAGKAKAISANG SAMAHAN NG MAGPAPATUBIG NG CAMBUNANG, INC.</v>
      </c>
      <c r="E804" s="71" t="str">
        <f>IFERROR(__xludf.DUMMYFUNCTION("""COMPUTED_VALUE"""),"Cambunang, Bulalacao, Oriental Mindoro")</f>
        <v>Cambunang, Bulalacao, Oriental Mindoro</v>
      </c>
      <c r="F804" s="2" t="str">
        <f>IFERROR(__xludf.DUMMYFUNCTION("""COMPUTED_VALUE"""),"RICHARD FABILA")</f>
        <v>RICHARD FABILA</v>
      </c>
      <c r="G804" s="2"/>
      <c r="H804" s="2"/>
      <c r="I804" s="72" t="str">
        <f>IFERROR(__xludf.DUMMYFUNCTION("""COMPUTED_VALUE"""),"REPAIR - TRACTOR")</f>
        <v>REPAIR - TRACTOR</v>
      </c>
      <c r="J804" s="72" t="str">
        <f>IFERROR(__xludf.DUMMYFUNCTION("""COMPUTED_VALUE"""),"Front Axle - Leaking")</f>
        <v>Front Axle - Leaking</v>
      </c>
      <c r="K804" s="72" t="str">
        <f>IFERROR(__xludf.DUMMYFUNCTION("""COMPUTED_VALUE"""),"FRONT AXLE LEAKING")</f>
        <v>FRONT AXLE LEAKING</v>
      </c>
      <c r="L804" s="72" t="str">
        <f>IFERROR(__xludf.DUMMYFUNCTION("""COMPUTED_VALUE"""),"RCG: WALANG 4WD DAHIL NATANGAL ANG PIN SA CUOPLING
NILAGYAN NAMIN NG PAKO ANG COUPLING AS PANSAMANTALANG PIN NITO")</f>
        <v>RCG: WALANG 4WD DAHIL NATANGAL ANG PIN SA CUOPLING
NILAGYAN NAMIN NG PAKO ANG COUPLING AS PANSAMANTALANG PIN NITO</v>
      </c>
      <c r="M804" s="2"/>
      <c r="N804" s="2" t="str">
        <f>IFERROR(__xludf.DUMMYFUNCTION("""COMPUTED_VALUE"""),"PART: HYDRAULIC FILTER")</f>
        <v>PART: HYDRAULIC FILTER</v>
      </c>
      <c r="O804" s="2">
        <f>IFERROR(__xludf.DUMMYFUNCTION("""COMPUTED_VALUE"""),148.0)</f>
        <v>148</v>
      </c>
      <c r="P804" s="2"/>
      <c r="Q804" s="2"/>
      <c r="R804" s="74">
        <f>IFERROR(__xludf.DUMMYFUNCTION("""COMPUTED_VALUE"""),45718.0)</f>
        <v>45718</v>
      </c>
      <c r="S804" s="2" t="str">
        <f>IFERROR(__xludf.DUMMYFUNCTION("""COMPUTED_VALUE"""),"RCG/DSD")</f>
        <v>RCG/DSD</v>
      </c>
      <c r="T804" s="73">
        <f>IFERROR(__xludf.DUMMYFUNCTION("""COMPUTED_VALUE"""),2748.0)</f>
        <v>2748</v>
      </c>
      <c r="U804" s="73" t="str">
        <f>IFERROR(__xludf.DUMMYFUNCTION("""COMPUTED_VALUE""")," REMITTED ")</f>
        <v>REMITTED</v>
      </c>
      <c r="V804" s="2"/>
      <c r="W804" s="2">
        <f>IFERROR(__xludf.DUMMYFUNCTION("""COMPUTED_VALUE"""),1180.0)</f>
        <v>1180</v>
      </c>
      <c r="X804" s="2">
        <f>IFERROR(__xludf.DUMMYFUNCTION("""COMPUTED_VALUE"""),1366.0)</f>
        <v>1366</v>
      </c>
      <c r="Y804" s="2"/>
      <c r="Z804" s="2"/>
      <c r="AA804" s="2"/>
      <c r="AB804" s="2"/>
      <c r="AC804" s="2"/>
      <c r="AD804" s="2"/>
      <c r="AE804" s="2"/>
      <c r="AF804" s="2"/>
      <c r="AG804" s="2"/>
      <c r="AH804" s="2"/>
      <c r="AI804" s="2"/>
      <c r="AJ804" s="2" t="str">
        <f>IFERROR(__xludf.DUMMYFUNCTION("""COMPUTED_VALUE"""),"Cambunang")</f>
        <v>Cambunang</v>
      </c>
      <c r="AK804" s="2" t="str">
        <f>IFERROR(__xludf.DUMMYFUNCTION("""COMPUTED_VALUE"""),"Bulalacao")</f>
        <v>Bulalacao</v>
      </c>
      <c r="AL804" s="2" t="str">
        <f>IFERROR(__xludf.DUMMYFUNCTION("""COMPUTED_VALUE"""),"Oriental Mindoro")</f>
        <v>Oriental Mindoro</v>
      </c>
      <c r="AM804" s="2" t="str">
        <f>IFERROR(__xludf.DUMMYFUNCTION("""COMPUTED_VALUE"""),"4B")</f>
        <v>4B</v>
      </c>
      <c r="AN804" s="2" t="str">
        <f>IFERROR(__xludf.DUMMYFUNCTION("""COMPUTED_VALUE"""),"RCEF 23-08-20 Rebidding")</f>
        <v>RCEF 23-08-20 Rebidding</v>
      </c>
      <c r="AO804" s="2">
        <f>IFERROR(__xludf.DUMMYFUNCTION("""COMPUTED_VALUE"""),1.0)</f>
        <v>1</v>
      </c>
      <c r="AP804" s="2"/>
      <c r="AQ804" s="2"/>
      <c r="AR804" s="2"/>
      <c r="AS804" s="2"/>
      <c r="AT804" s="2"/>
      <c r="AU804" s="2"/>
      <c r="AV804" s="2"/>
      <c r="AW804" s="2"/>
      <c r="AX804" s="2"/>
      <c r="AY804" s="2"/>
      <c r="AZ804" s="2"/>
      <c r="BA804" s="2"/>
      <c r="BB804" s="2"/>
    </row>
    <row r="805">
      <c r="A805" s="2">
        <f>IFERROR(__xludf.DUMMYFUNCTION("""COMPUTED_VALUE"""),801.0)</f>
        <v>801</v>
      </c>
      <c r="B805" s="2" t="str">
        <f>IFERROR(__xludf.DUMMYFUNCTION("""COMPUTED_VALUE"""),"COMPLETED")</f>
        <v>COMPLETED</v>
      </c>
      <c r="C805" s="74">
        <f>IFERROR(__xludf.DUMMYFUNCTION("""COMPUTED_VALUE"""),45709.0)</f>
        <v>45709</v>
      </c>
      <c r="D805" s="71" t="str">
        <f>IFERROR(__xludf.DUMMYFUNCTION("""COMPUTED_VALUE"""),"Abrasa Multi-Purpose Cooperative")</f>
        <v>Abrasa Multi-Purpose Cooperative</v>
      </c>
      <c r="E805" s="71" t="str">
        <f>IFERROR(__xludf.DUMMYFUNCTION("""COMPUTED_VALUE"""),"Andres Bonifacio (Pob.), Diffun, QUIRINO")</f>
        <v>Andres Bonifacio (Pob.), Diffun, QUIRINO</v>
      </c>
      <c r="F805" s="2" t="str">
        <f>IFERROR(__xludf.DUMMYFUNCTION("""COMPUTED_VALUE"""),"REX MANUEL")</f>
        <v>REX MANUEL</v>
      </c>
      <c r="G805" s="2">
        <f>IFERROR(__xludf.DUMMYFUNCTION("""COMPUTED_VALUE"""),9.171501738E9)</f>
        <v>9171501738</v>
      </c>
      <c r="H805" s="2"/>
      <c r="I805" s="72"/>
      <c r="J805" s="72"/>
      <c r="K805" s="72" t="str">
        <f>IFERROR(__xludf.DUMMYFUNCTION("""COMPUTED_VALUE"""),"DELIVER: JANUARY 2025, LACKING CONCERN")</f>
        <v>DELIVER: JANUARY 2025, LACKING CONCERN</v>
      </c>
      <c r="L805" s="72" t="str">
        <f>IFERROR(__xludf.DUMMYFUNCTION("""COMPUTED_VALUE"""),"ERP: OK NA ITO, WALA NAMANG LACKING SA TPI")</f>
        <v>ERP: OK NA ITO, WALA NAMANG LACKING SA TPI</v>
      </c>
      <c r="M805" s="2"/>
      <c r="N805" s="2"/>
      <c r="O805" s="2" t="str">
        <f>IFERROR(__xludf.DUMMYFUNCTION("""COMPUTED_VALUE"""),"N/A")</f>
        <v>N/A</v>
      </c>
      <c r="P805" s="2"/>
      <c r="Q805" s="2"/>
      <c r="R805" s="74">
        <f>IFERROR(__xludf.DUMMYFUNCTION("""COMPUTED_VALUE"""),45715.0)</f>
        <v>45715</v>
      </c>
      <c r="S805" s="2" t="str">
        <f>IFERROR(__xludf.DUMMYFUNCTION("""COMPUTED_VALUE"""),"ERP")</f>
        <v>ERP</v>
      </c>
      <c r="T805" s="73" t="str">
        <f>IFERROR(__xludf.DUMMYFUNCTION("""COMPUTED_VALUE""")," N/A ")</f>
        <v>N/A</v>
      </c>
      <c r="U805" s="73" t="str">
        <f>IFERROR(__xludf.DUMMYFUNCTION("""COMPUTED_VALUE""")," NO CHARGE ")</f>
        <v>NO CHARGE</v>
      </c>
      <c r="V805" s="2"/>
      <c r="W805" s="2" t="str">
        <f>IFERROR(__xludf.DUMMYFUNCTION("""COMPUTED_VALUE"""),"N/A")</f>
        <v>N/A</v>
      </c>
      <c r="X805" s="2" t="str">
        <f>IFERROR(__xludf.DUMMYFUNCTION("""COMPUTED_VALUE"""),"N/A")</f>
        <v>N/A</v>
      </c>
      <c r="Y805" s="2"/>
      <c r="Z805" s="2"/>
      <c r="AA805" s="2"/>
      <c r="AB805" s="2"/>
      <c r="AC805" s="2"/>
      <c r="AD805" s="2"/>
      <c r="AE805" s="2"/>
      <c r="AF805" s="2"/>
      <c r="AG805" s="2"/>
      <c r="AH805" s="2"/>
      <c r="AI805" s="2"/>
      <c r="AJ805" s="2" t="str">
        <f>IFERROR(__xludf.DUMMYFUNCTION("""COMPUTED_VALUE"""),"Andres Bonifacio (Pob.)")</f>
        <v>Andres Bonifacio (Pob.)</v>
      </c>
      <c r="AK805" s="2" t="str">
        <f>IFERROR(__xludf.DUMMYFUNCTION("""COMPUTED_VALUE"""),"Diffun")</f>
        <v>Diffun</v>
      </c>
      <c r="AL805" s="2" t="str">
        <f>IFERROR(__xludf.DUMMYFUNCTION("""COMPUTED_VALUE"""),"Quirino")</f>
        <v>Quirino</v>
      </c>
      <c r="AM805" s="2">
        <f>IFERROR(__xludf.DUMMYFUNCTION("""COMPUTED_VALUE"""),2.0)</f>
        <v>2</v>
      </c>
      <c r="AN805" s="2" t="str">
        <f>IFERROR(__xludf.DUMMYFUNCTION("""COMPUTED_VALUE"""),"RCEF 24-04-15")</f>
        <v>RCEF 24-04-15</v>
      </c>
      <c r="AO805" s="2">
        <f>IFERROR(__xludf.DUMMYFUNCTION("""COMPUTED_VALUE"""),6.0)</f>
        <v>6</v>
      </c>
      <c r="AP805" s="2" t="str">
        <f>IFERROR(__xludf.DUMMYFUNCTION("""COMPUTED_VALUE"""),"FREE PMS")</f>
        <v>FREE PMS</v>
      </c>
      <c r="AQ805" s="2"/>
      <c r="AR805" s="2"/>
      <c r="AS805" s="2"/>
      <c r="AT805" s="2"/>
      <c r="AU805" s="2"/>
      <c r="AV805" s="2"/>
      <c r="AW805" s="2"/>
      <c r="AX805" s="2"/>
      <c r="AY805" s="2"/>
      <c r="AZ805" s="2"/>
      <c r="BA805" s="2"/>
      <c r="BB805" s="2"/>
    </row>
    <row r="806">
      <c r="A806" s="2">
        <f>IFERROR(__xludf.DUMMYFUNCTION("""COMPUTED_VALUE"""),802.0)</f>
        <v>802</v>
      </c>
      <c r="B806" s="2" t="str">
        <f>IFERROR(__xludf.DUMMYFUNCTION("""COMPUTED_VALUE"""),"COMPLETED")</f>
        <v>COMPLETED</v>
      </c>
      <c r="C806" s="74">
        <f>IFERROR(__xludf.DUMMYFUNCTION("""COMPUTED_VALUE"""),45709.0)</f>
        <v>45709</v>
      </c>
      <c r="D806" s="71" t="str">
        <f>IFERROR(__xludf.DUMMYFUNCTION("""COMPUTED_VALUE"""),"MALAPAD FARMERS ASSOCIATION")</f>
        <v>MALAPAD FARMERS ASSOCIATION</v>
      </c>
      <c r="E806" s="71" t="str">
        <f>IFERROR(__xludf.DUMMYFUNCTION("""COMPUTED_VALUE"""),"Malapad, Baco, Oriental Mindoro")</f>
        <v>Malapad, Baco, Oriental Mindoro</v>
      </c>
      <c r="F806" s="2" t="str">
        <f>IFERROR(__xludf.DUMMYFUNCTION("""COMPUTED_VALUE"""),"MAO- YAYO BACAY / VENUS ALAGASI")</f>
        <v>MAO- YAYO BACAY / VENUS ALAGASI</v>
      </c>
      <c r="G806" s="2">
        <f>IFERROR(__xludf.DUMMYFUNCTION("""COMPUTED_VALUE"""),9.918278873E9)</f>
        <v>9918278873</v>
      </c>
      <c r="H806" s="2"/>
      <c r="I806" s="72" t="str">
        <f>IFERROR(__xludf.DUMMYFUNCTION("""COMPUTED_VALUE"""),"REPAIR - ROTAVATOR")</f>
        <v>REPAIR - ROTAVATOR</v>
      </c>
      <c r="J806" s="72" t="str">
        <f>IFERROR(__xludf.DUMMYFUNCTION("""COMPUTED_VALUE"""),"Gearbox")</f>
        <v>Gearbox</v>
      </c>
      <c r="K806" s="72" t="str">
        <f>IFERROR(__xludf.DUMMYFUNCTION("""COMPUTED_VALUE"""),"FARMER: Gud evening po,Malapad Farmers Association of Baco Or.Mdo,ang amin pong palmar tractor is d na nagagamit kc po ung rotavitor is d  na,pinagawa po namin but still un pa rin ang problem kc un dw po ay disposable,panu po kaya un,mga sir and mam,
PAR"&amp;"TS: BEVEL GEAR 23T, 
")</f>
        <v>FARMER: Gud evening po,Malapad Farmers Association of Baco Or.Mdo,ang amin pong palmar tractor is d na nagagamit kc po ung rotavitor is d  na,pinagawa po namin but still un pa rin ang problem kc un dw po ay disposable,panu po kaya un,mga sir and mam,
PARTS: BEVEL GEAR 23T, 
</v>
      </c>
      <c r="L806" s="72" t="str">
        <f>IFERROR(__xludf.DUMMYFUNCTION("""COMPUTED_VALUE"""),"RCG: OUT OF BUDGET PO SI FARMER : CLOSED")</f>
        <v>RCG: OUT OF BUDGET PO SI FARMER : CLOSED</v>
      </c>
      <c r="M806" s="2"/>
      <c r="N806" s="2"/>
      <c r="O806" s="2" t="str">
        <f>IFERROR(__xludf.DUMMYFUNCTION("""COMPUTED_VALUE"""),"N/A")</f>
        <v>N/A</v>
      </c>
      <c r="P806" s="2"/>
      <c r="Q806" s="2"/>
      <c r="R806" s="74">
        <f>IFERROR(__xludf.DUMMYFUNCTION("""COMPUTED_VALUE"""),45737.0)</f>
        <v>45737</v>
      </c>
      <c r="S806" s="2" t="str">
        <f>IFERROR(__xludf.DUMMYFUNCTION("""COMPUTED_VALUE"""),"RCG/DSD")</f>
        <v>RCG/DSD</v>
      </c>
      <c r="T806" s="73" t="str">
        <f>IFERROR(__xludf.DUMMYFUNCTION("""COMPUTED_VALUE""")," N/A ")</f>
        <v>N/A</v>
      </c>
      <c r="U806" s="73" t="str">
        <f>IFERROR(__xludf.DUMMYFUNCTION("""COMPUTED_VALUE""")," NO CHARGE ")</f>
        <v>NO CHARGE</v>
      </c>
      <c r="V806" s="2"/>
      <c r="W806" s="2" t="str">
        <f>IFERROR(__xludf.DUMMYFUNCTION("""COMPUTED_VALUE"""),"N/A")</f>
        <v>N/A</v>
      </c>
      <c r="X806" s="2" t="str">
        <f>IFERROR(__xludf.DUMMYFUNCTION("""COMPUTED_VALUE"""),"N/A")</f>
        <v>N/A</v>
      </c>
      <c r="Y806" s="2"/>
      <c r="Z806" s="2"/>
      <c r="AA806" s="2"/>
      <c r="AB806" s="2"/>
      <c r="AC806" s="2"/>
      <c r="AD806" s="2"/>
      <c r="AE806" s="2"/>
      <c r="AF806" s="2"/>
      <c r="AG806" s="2"/>
      <c r="AH806" s="2"/>
      <c r="AI806" s="2"/>
      <c r="AJ806" s="2" t="str">
        <f>IFERROR(__xludf.DUMMYFUNCTION("""COMPUTED_VALUE"""),"Malapad")</f>
        <v>Malapad</v>
      </c>
      <c r="AK806" s="2" t="str">
        <f>IFERROR(__xludf.DUMMYFUNCTION("""COMPUTED_VALUE"""),"Baco")</f>
        <v>Baco</v>
      </c>
      <c r="AL806" s="2" t="str">
        <f>IFERROR(__xludf.DUMMYFUNCTION("""COMPUTED_VALUE"""),"Oriental Mindoro")</f>
        <v>Oriental Mindoro</v>
      </c>
      <c r="AM806" s="2" t="str">
        <f>IFERROR(__xludf.DUMMYFUNCTION("""COMPUTED_VALUE"""),"4B")</f>
        <v>4B</v>
      </c>
      <c r="AN806" s="2" t="str">
        <f>IFERROR(__xludf.DUMMYFUNCTION("""COMPUTED_VALUE"""),"RCEF 23-08-20 Rebidding")</f>
        <v>RCEF 23-08-20 Rebidding</v>
      </c>
      <c r="AO806" s="2">
        <f>IFERROR(__xludf.DUMMYFUNCTION("""COMPUTED_VALUE"""),1.0)</f>
        <v>1</v>
      </c>
      <c r="AP806" s="2"/>
      <c r="AQ806" s="2"/>
      <c r="AR806" s="2"/>
      <c r="AS806" s="2"/>
      <c r="AT806" s="2"/>
      <c r="AU806" s="2"/>
      <c r="AV806" s="2"/>
      <c r="AW806" s="2"/>
      <c r="AX806" s="2"/>
      <c r="AY806" s="2"/>
      <c r="AZ806" s="2"/>
      <c r="BA806" s="2"/>
      <c r="BB806" s="2"/>
    </row>
    <row r="807">
      <c r="A807" s="2">
        <f>IFERROR(__xludf.DUMMYFUNCTION("""COMPUTED_VALUE"""),803.0)</f>
        <v>803</v>
      </c>
      <c r="B807" s="2" t="str">
        <f>IFERROR(__xludf.DUMMYFUNCTION("""COMPUTED_VALUE"""),"COMPLETED")</f>
        <v>COMPLETED</v>
      </c>
      <c r="C807" s="74">
        <f>IFERROR(__xludf.DUMMYFUNCTION("""COMPUTED_VALUE"""),45711.0)</f>
        <v>45711</v>
      </c>
      <c r="D807" s="71" t="str">
        <f>IFERROR(__xludf.DUMMYFUNCTION("""COMPUTED_VALUE"""),"SAMPALUCAN IRRIGATORS ASSOCIATION INC.")</f>
        <v>SAMPALUCAN IRRIGATORS ASSOCIATION INC.</v>
      </c>
      <c r="E807" s="71" t="str">
        <f>IFERROR(__xludf.DUMMYFUNCTION("""COMPUTED_VALUE"""),"Pulo, San Isidro, NUEVA ECIJA")</f>
        <v>Pulo, San Isidro, NUEVA ECIJA</v>
      </c>
      <c r="F807" s="2" t="str">
        <f>IFERROR(__xludf.DUMMYFUNCTION("""COMPUTED_VALUE"""),"FERNANDO MAGBITANG")</f>
        <v>FERNANDO MAGBITANG</v>
      </c>
      <c r="G807" s="2">
        <f>IFERROR(__xludf.DUMMYFUNCTION("""COMPUTED_VALUE"""),9.975025628E9)</f>
        <v>9975025628</v>
      </c>
      <c r="H807" s="2"/>
      <c r="I807" s="72" t="str">
        <f>IFERROR(__xludf.DUMMYFUNCTION("""COMPUTED_VALUE"""),"REPAIR - TRACTOR")</f>
        <v>REPAIR - TRACTOR</v>
      </c>
      <c r="J807" s="72" t="str">
        <f>IFERROR(__xludf.DUMMYFUNCTION("""COMPUTED_VALUE"""),"Transmission - Clutch")</f>
        <v>Transmission - Clutch</v>
      </c>
      <c r="K807" s="72" t="str">
        <f>IFERROR(__xludf.DUMMYFUNCTION("""COMPUTED_VALUE"""),"JHP: CLUTCH PROBLEM NAMAKAT
")</f>
        <v>JHP: CLUTCH PROBLEM NAMAKAT
</v>
      </c>
      <c r="L807" s="72" t="str">
        <f>IFERROR(__xludf.DUMMYFUNCTION("""COMPUTED_VALUE"""),"ACS: OK NA TUMTAKBO NA VIA CALL")</f>
        <v>ACS: OK NA TUMTAKBO NA VIA CALL</v>
      </c>
      <c r="M807" s="2"/>
      <c r="N807" s="2"/>
      <c r="O807" s="2" t="str">
        <f>IFERROR(__xludf.DUMMYFUNCTION("""COMPUTED_VALUE"""),"N/A")</f>
        <v>N/A</v>
      </c>
      <c r="P807" s="2"/>
      <c r="Q807" s="2"/>
      <c r="R807" s="74">
        <f>IFERROR(__xludf.DUMMYFUNCTION("""COMPUTED_VALUE"""),45743.0)</f>
        <v>45743</v>
      </c>
      <c r="S807" s="2" t="str">
        <f>IFERROR(__xludf.DUMMYFUNCTION("""COMPUTED_VALUE"""),"JHP/ACS")</f>
        <v>JHP/ACS</v>
      </c>
      <c r="T807" s="73" t="str">
        <f>IFERROR(__xludf.DUMMYFUNCTION("""COMPUTED_VALUE""")," N/A ")</f>
        <v>N/A</v>
      </c>
      <c r="U807" s="73" t="str">
        <f>IFERROR(__xludf.DUMMYFUNCTION("""COMPUTED_VALUE""")," NO CHARGE ")</f>
        <v>NO CHARGE</v>
      </c>
      <c r="V807" s="2"/>
      <c r="W807" s="2" t="str">
        <f>IFERROR(__xludf.DUMMYFUNCTION("""COMPUTED_VALUE"""),"N/A")</f>
        <v>N/A</v>
      </c>
      <c r="X807" s="2" t="str">
        <f>IFERROR(__xludf.DUMMYFUNCTION("""COMPUTED_VALUE"""),"N/A")</f>
        <v>N/A</v>
      </c>
      <c r="Y807" s="2"/>
      <c r="Z807" s="2"/>
      <c r="AA807" s="2"/>
      <c r="AB807" s="2"/>
      <c r="AC807" s="2"/>
      <c r="AD807" s="2"/>
      <c r="AE807" s="2"/>
      <c r="AF807" s="2"/>
      <c r="AG807" s="2"/>
      <c r="AH807" s="2"/>
      <c r="AI807" s="2"/>
      <c r="AJ807" s="2" t="str">
        <f>IFERROR(__xludf.DUMMYFUNCTION("""COMPUTED_VALUE"""),"Pulo")</f>
        <v>Pulo</v>
      </c>
      <c r="AK807" s="2" t="str">
        <f>IFERROR(__xludf.DUMMYFUNCTION("""COMPUTED_VALUE"""),"San Isidro")</f>
        <v>San Isidro</v>
      </c>
      <c r="AL807" s="2" t="str">
        <f>IFERROR(__xludf.DUMMYFUNCTION("""COMPUTED_VALUE"""),"Nueva Ecija")</f>
        <v>Nueva Ecija</v>
      </c>
      <c r="AM807" s="2">
        <f>IFERROR(__xludf.DUMMYFUNCTION("""COMPUTED_VALUE"""),3.0)</f>
        <v>3</v>
      </c>
      <c r="AN807" s="2" t="str">
        <f>IFERROR(__xludf.DUMMYFUNCTION("""COMPUTED_VALUE"""),"RCEF 23-09-21 Rebidding")</f>
        <v>RCEF 23-09-21 Rebidding</v>
      </c>
      <c r="AO807" s="2">
        <f>IFERROR(__xludf.DUMMYFUNCTION("""COMPUTED_VALUE"""),3.0)</f>
        <v>3</v>
      </c>
      <c r="AP807" s="2"/>
      <c r="AQ807" s="2"/>
      <c r="AR807" s="2"/>
      <c r="AS807" s="2"/>
      <c r="AT807" s="2"/>
      <c r="AU807" s="2"/>
      <c r="AV807" s="2"/>
      <c r="AW807" s="2"/>
      <c r="AX807" s="2"/>
      <c r="AY807" s="2"/>
      <c r="AZ807" s="2"/>
      <c r="BA807" s="2"/>
      <c r="BB807" s="2"/>
    </row>
    <row r="808">
      <c r="A808" s="2">
        <f>IFERROR(__xludf.DUMMYFUNCTION("""COMPUTED_VALUE"""),804.0)</f>
        <v>804</v>
      </c>
      <c r="B808" s="2" t="str">
        <f>IFERROR(__xludf.DUMMYFUNCTION("""COMPUTED_VALUE"""),"COMPLETED")</f>
        <v>COMPLETED</v>
      </c>
      <c r="C808" s="74">
        <f>IFERROR(__xludf.DUMMYFUNCTION("""COMPUTED_VALUE"""),45712.0)</f>
        <v>45712</v>
      </c>
      <c r="D808" s="71" t="str">
        <f>IFERROR(__xludf.DUMMYFUNCTION("""COMPUTED_VALUE"""),"CARUNOAN WEST ROSARIO LA UNION IRRIGATORS ASSOCIATION INC.")</f>
        <v>CARUNOAN WEST ROSARIO LA UNION IRRIGATORS ASSOCIATION INC.</v>
      </c>
      <c r="E808" s="71" t="str">
        <f>IFERROR(__xludf.DUMMYFUNCTION("""COMPUTED_VALUE"""),"Carunuan West, Rosario, LA UNION")</f>
        <v>Carunuan West, Rosario, LA UNION</v>
      </c>
      <c r="F808" s="2"/>
      <c r="G808" s="2">
        <f>IFERROR(__xludf.DUMMYFUNCTION("""COMPUTED_VALUE"""),9.38146457E9)</f>
        <v>9381464570</v>
      </c>
      <c r="H808" s="2">
        <f>IFERROR(__xludf.DUMMYFUNCTION("""COMPUTED_VALUE"""),300.0)</f>
        <v>300</v>
      </c>
      <c r="I808" s="72" t="str">
        <f>IFERROR(__xludf.DUMMYFUNCTION("""COMPUTED_VALUE"""),"PMS")</f>
        <v>PMS</v>
      </c>
      <c r="J808" s="72" t="str">
        <f>IFERROR(__xludf.DUMMYFUNCTION("""COMPUTED_VALUE"""),"PMS")</f>
        <v>PMS</v>
      </c>
      <c r="K808" s="72" t="str">
        <f>IFERROR(__xludf.DUMMYFUNCTION("""COMPUTED_VALUE"""),"JDP: REQUESTING 2ND PMS")</f>
        <v>JDP: REQUESTING 2ND PMS</v>
      </c>
      <c r="L808" s="72" t="str">
        <f>IFERROR(__xludf.DUMMYFUNCTION("""COMPUTED_VALUE"""),"ACS: 2ND PMS DONE")</f>
        <v>ACS: 2ND PMS DONE</v>
      </c>
      <c r="M808" s="2"/>
      <c r="N808" s="2" t="str">
        <f>IFERROR(__xludf.DUMMYFUNCTION("""COMPUTED_VALUE"""),"PARTS: OIL FILTER, HYDRAULIC FILTER")</f>
        <v>PARTS: OIL FILTER, HYDRAULIC FILTER</v>
      </c>
      <c r="O808" s="2">
        <f>IFERROR(__xludf.DUMMYFUNCTION("""COMPUTED_VALUE"""),1225.0)</f>
        <v>1225</v>
      </c>
      <c r="P808" s="2"/>
      <c r="Q808" s="2"/>
      <c r="R808" s="74">
        <f>IFERROR(__xludf.DUMMYFUNCTION("""COMPUTED_VALUE"""),45722.0)</f>
        <v>45722</v>
      </c>
      <c r="S808" s="2" t="str">
        <f>IFERROR(__xludf.DUMMYFUNCTION("""COMPUTED_VALUE"""),"JHP/ACS")</f>
        <v>JHP/ACS</v>
      </c>
      <c r="T808" s="73">
        <f>IFERROR(__xludf.DUMMYFUNCTION("""COMPUTED_VALUE"""),4400.0)</f>
        <v>4400</v>
      </c>
      <c r="U808" s="73" t="str">
        <f>IFERROR(__xludf.DUMMYFUNCTION("""COMPUTED_VALUE""")," REMITTED ")</f>
        <v>REMITTED</v>
      </c>
      <c r="V808" s="2"/>
      <c r="W808" s="2">
        <f>IFERROR(__xludf.DUMMYFUNCTION("""COMPUTED_VALUE"""),1492.0)</f>
        <v>1492</v>
      </c>
      <c r="X808" s="2">
        <f>IFERROR(__xludf.DUMMYFUNCTION("""COMPUTED_VALUE"""),1393.0)</f>
        <v>1393</v>
      </c>
      <c r="Y808" s="2"/>
      <c r="Z808" s="2"/>
      <c r="AA808" s="2"/>
      <c r="AB808" s="2"/>
      <c r="AC808" s="2"/>
      <c r="AD808" s="2"/>
      <c r="AE808" s="2"/>
      <c r="AF808" s="2"/>
      <c r="AG808" s="2"/>
      <c r="AH808" s="2"/>
      <c r="AI808" s="2"/>
      <c r="AJ808" s="2" t="str">
        <f>IFERROR(__xludf.DUMMYFUNCTION("""COMPUTED_VALUE"""),"Carunuan West")</f>
        <v>Carunuan West</v>
      </c>
      <c r="AK808" s="2" t="str">
        <f>IFERROR(__xludf.DUMMYFUNCTION("""COMPUTED_VALUE"""),"Rosario")</f>
        <v>Rosario</v>
      </c>
      <c r="AL808" s="2" t="str">
        <f>IFERROR(__xludf.DUMMYFUNCTION("""COMPUTED_VALUE"""),"La Union")</f>
        <v>La Union</v>
      </c>
      <c r="AM808" s="2">
        <f>IFERROR(__xludf.DUMMYFUNCTION("""COMPUTED_VALUE"""),1.0)</f>
        <v>1</v>
      </c>
      <c r="AN808" s="2" t="str">
        <f>IFERROR(__xludf.DUMMYFUNCTION("""COMPUTED_VALUE"""),"RCEF 23-09-21 Rebidding")</f>
        <v>RCEF 23-09-21 Rebidding</v>
      </c>
      <c r="AO808" s="2">
        <f>IFERROR(__xludf.DUMMYFUNCTION("""COMPUTED_VALUE"""),2.0)</f>
        <v>2</v>
      </c>
      <c r="AP808" s="2"/>
      <c r="AQ808" s="2"/>
      <c r="AR808" s="2"/>
      <c r="AS808" s="2"/>
      <c r="AT808" s="2"/>
      <c r="AU808" s="2"/>
      <c r="AV808" s="2"/>
      <c r="AW808" s="2"/>
      <c r="AX808" s="2"/>
      <c r="AY808" s="2"/>
      <c r="AZ808" s="2"/>
      <c r="BA808" s="2"/>
      <c r="BB808" s="2"/>
    </row>
    <row r="809">
      <c r="A809" s="2">
        <f>IFERROR(__xludf.DUMMYFUNCTION("""COMPUTED_VALUE"""),805.0)</f>
        <v>805</v>
      </c>
      <c r="B809" s="2" t="str">
        <f>IFERROR(__xludf.DUMMYFUNCTION("""COMPUTED_VALUE"""),"COMPLETED")</f>
        <v>COMPLETED</v>
      </c>
      <c r="C809" s="74">
        <f>IFERROR(__xludf.DUMMYFUNCTION("""COMPUTED_VALUE"""),45713.0)</f>
        <v>45713</v>
      </c>
      <c r="D809" s="71" t="str">
        <f>IFERROR(__xludf.DUMMYFUNCTION("""COMPUTED_VALUE"""),"FARMERS ASSOCIATION OF SAN JOSE MABANGKUANG INC.")</f>
        <v>FARMERS ASSOCIATION OF SAN JOSE MABANGKUANG INC.</v>
      </c>
      <c r="E809" s="71" t="str">
        <f>IFERROR(__xludf.DUMMYFUNCTION("""COMPUTED_VALUE"""),"San Jose, Floridablanca, PAMPANGA")</f>
        <v>San Jose, Floridablanca, PAMPANGA</v>
      </c>
      <c r="F809" s="2" t="str">
        <f>IFERROR(__xludf.DUMMYFUNCTION("""COMPUTED_VALUE"""),"Toribio Nicolas S Ticsay  ")</f>
        <v>Toribio Nicolas S Ticsay  </v>
      </c>
      <c r="G809" s="2">
        <f>IFERROR(__xludf.DUMMYFUNCTION("""COMPUTED_VALUE"""),9.6723586E7)</f>
        <v>96723586</v>
      </c>
      <c r="H809" s="2"/>
      <c r="I809" s="72" t="str">
        <f>IFERROR(__xludf.DUMMYFUNCTION("""COMPUTED_VALUE"""),"REPAIR - TRACTOR")</f>
        <v>REPAIR - TRACTOR</v>
      </c>
      <c r="J809" s="72" t="str">
        <f>IFERROR(__xludf.DUMMYFUNCTION("""COMPUTED_VALUE"""),"PMS")</f>
        <v>PMS</v>
      </c>
      <c r="K809" s="72" t="str">
        <f>IFERROR(__xludf.DUMMYFUNCTION("""COMPUTED_VALUE"""),"JHP: Clucth not functioning during running and no break")</f>
        <v>JHP: Clucth not functioning during running and no break</v>
      </c>
      <c r="L809" s="72" t="str">
        <f>IFERROR(__xludf.DUMMYFUNCTION("""COMPUTED_VALUE"""),"EGT: CHANGE OIL AND CHECK UP UNIT")</f>
        <v>EGT: CHANGE OIL AND CHECK UP UNIT</v>
      </c>
      <c r="M809" s="2"/>
      <c r="N809" s="2" t="str">
        <f>IFERROR(__xludf.DUMMYFUNCTION("""COMPUTED_VALUE"""),"PARTS: OIL FILTER, ENGINE OIL")</f>
        <v>PARTS: OIL FILTER, ENGINE OIL</v>
      </c>
      <c r="O809" s="2">
        <f>IFERROR(__xludf.DUMMYFUNCTION("""COMPUTED_VALUE"""),1115.0)</f>
        <v>1115</v>
      </c>
      <c r="P809" s="2"/>
      <c r="Q809" s="2"/>
      <c r="R809" s="74">
        <f>IFERROR(__xludf.DUMMYFUNCTION("""COMPUTED_VALUE"""),45748.0)</f>
        <v>45748</v>
      </c>
      <c r="S809" s="2" t="str">
        <f>IFERROR(__xludf.DUMMYFUNCTION("""COMPUTED_VALUE"""),"DRM/EGT")</f>
        <v>DRM/EGT</v>
      </c>
      <c r="T809" s="73" t="str">
        <f>IFERROR(__xludf.DUMMYFUNCTION("""COMPUTED_VALUE""")," N/A ")</f>
        <v>N/A</v>
      </c>
      <c r="U809" s="73" t="str">
        <f>IFERROR(__xludf.DUMMYFUNCTION("""COMPUTED_VALUE""")," NO CHARGE ")</f>
        <v>NO CHARGE</v>
      </c>
      <c r="V809" s="2"/>
      <c r="W809" s="2" t="str">
        <f>IFERROR(__xludf.DUMMYFUNCTION("""COMPUTED_VALUE"""),"N/A")</f>
        <v>N/A</v>
      </c>
      <c r="X809" s="2" t="str">
        <f>IFERROR(__xludf.DUMMYFUNCTION("""COMPUTED_VALUE"""),"N/A")</f>
        <v>N/A</v>
      </c>
      <c r="Y809" s="2"/>
      <c r="Z809" s="2"/>
      <c r="AA809" s="2"/>
      <c r="AB809" s="2"/>
      <c r="AC809" s="2"/>
      <c r="AD809" s="2"/>
      <c r="AE809" s="2"/>
      <c r="AF809" s="2"/>
      <c r="AG809" s="2"/>
      <c r="AH809" s="2"/>
      <c r="AI809" s="2"/>
      <c r="AJ809" s="2" t="str">
        <f>IFERROR(__xludf.DUMMYFUNCTION("""COMPUTED_VALUE"""),"San Jose")</f>
        <v>San Jose</v>
      </c>
      <c r="AK809" s="2" t="str">
        <f>IFERROR(__xludf.DUMMYFUNCTION("""COMPUTED_VALUE"""),"Floridablanca")</f>
        <v>Floridablanca</v>
      </c>
      <c r="AL809" s="2" t="str">
        <f>IFERROR(__xludf.DUMMYFUNCTION("""COMPUTED_VALUE"""),"Pampanga")</f>
        <v>Pampanga</v>
      </c>
      <c r="AM809" s="2">
        <f>IFERROR(__xludf.DUMMYFUNCTION("""COMPUTED_VALUE"""),3.0)</f>
        <v>3</v>
      </c>
      <c r="AN809" s="2" t="str">
        <f>IFERROR(__xludf.DUMMYFUNCTION("""COMPUTED_VALUE"""),"RCEF 23-09-21 Rebidding")</f>
        <v>RCEF 23-09-21 Rebidding</v>
      </c>
      <c r="AO809" s="2">
        <f>IFERROR(__xludf.DUMMYFUNCTION("""COMPUTED_VALUE"""),3.0)</f>
        <v>3</v>
      </c>
      <c r="AP809" s="2"/>
      <c r="AQ809" s="2"/>
      <c r="AR809" s="2"/>
      <c r="AS809" s="2"/>
      <c r="AT809" s="2"/>
      <c r="AU809" s="2"/>
      <c r="AV809" s="2"/>
      <c r="AW809" s="2"/>
      <c r="AX809" s="2"/>
      <c r="AY809" s="2"/>
      <c r="AZ809" s="2"/>
      <c r="BA809" s="2"/>
      <c r="BB809" s="2"/>
    </row>
    <row r="810">
      <c r="A810" s="2">
        <f>IFERROR(__xludf.DUMMYFUNCTION("""COMPUTED_VALUE"""),806.0)</f>
        <v>806</v>
      </c>
      <c r="B810" s="2" t="str">
        <f>IFERROR(__xludf.DUMMYFUNCTION("""COMPUTED_VALUE"""),"COMPLETED")</f>
        <v>COMPLETED</v>
      </c>
      <c r="C810" s="74">
        <f>IFERROR(__xludf.DUMMYFUNCTION("""COMPUTED_VALUE"""),45714.0)</f>
        <v>45714</v>
      </c>
      <c r="D810" s="71" t="str">
        <f>IFERROR(__xludf.DUMMYFUNCTION("""COMPUTED_VALUE"""),"TIMIPAL AGRARIAN REFORM BENEFICIARIES MULTI-PURPOSE COOPERATIVE")</f>
        <v>TIMIPAL AGRARIAN REFORM BENEFICIARIES MULTI-PURPOSE COOPERATIVE</v>
      </c>
      <c r="E810" s="71" t="str">
        <f>IFERROR(__xludf.DUMMYFUNCTION("""COMPUTED_VALUE"""),"Pani-an, Balasan, ILOILO")</f>
        <v>Pani-an, Balasan, ILOILO</v>
      </c>
      <c r="F810" s="2" t="str">
        <f>IFERROR(__xludf.DUMMYFUNCTION("""COMPUTED_VALUE"""),"LILY BACLAGON  ")</f>
        <v>LILY BACLAGON  </v>
      </c>
      <c r="G810" s="2">
        <f>IFERROR(__xludf.DUMMYFUNCTION("""COMPUTED_VALUE"""),9.505903757E9)</f>
        <v>9505903757</v>
      </c>
      <c r="H810" s="2">
        <f>IFERROR(__xludf.DUMMYFUNCTION("""COMPUTED_VALUE"""),89.0)</f>
        <v>89</v>
      </c>
      <c r="I810" s="72" t="str">
        <f>IFERROR(__xludf.DUMMYFUNCTION("""COMPUTED_VALUE"""),"REPAIR - TRACTOR")</f>
        <v>REPAIR - TRACTOR</v>
      </c>
      <c r="J810" s="72" t="str">
        <f>IFERROR(__xludf.DUMMYFUNCTION("""COMPUTED_VALUE"""),"Transmission - Clutch")</f>
        <v>Transmission - Clutch</v>
      </c>
      <c r="K810" s="72" t="str">
        <f>IFERROR(__xludf.DUMMYFUNCTION("""COMPUTED_VALUE"""),"EGT: CLUTCH LINING
PARTS: CLUTCH DISC ASSY, CLUTCH COVER ASSY, RELEASE BEARING")</f>
        <v>EGT: CLUTCH LINING
PARTS: CLUTCH DISC ASSY, CLUTCH COVER ASSY, RELEASE BEARING</v>
      </c>
      <c r="L810" s="72" t="str">
        <f>IFERROR(__xludf.DUMMYFUNCTION("""COMPUTED_VALUE"""),"MYK:TXTED: PARTS ARE NOT WARRANTABLE
RANDY: REPLACED RELEASE BEARING AND CLUTCH LINING
PRESSURE PLATE ALSO REPLACED BUT SIR RANDY OUTSOURCE THE PARTS IN OTHER AREA IN ILOILO.")</f>
        <v>MYK:TXTED: PARTS ARE NOT WARRANTABLE
RANDY: REPLACED RELEASE BEARING AND CLUTCH LINING
PRESSURE PLATE ALSO REPLACED BUT SIR RANDY OUTSOURCE THE PARTS IN OTHER AREA IN ILOILO.</v>
      </c>
      <c r="M810" s="2"/>
      <c r="N810" s="2" t="str">
        <f>IFERROR(__xludf.DUMMYFUNCTION("""COMPUTED_VALUE"""),"PARTS:
RELEASE BEARING
CLUTCH DISC ASSY")</f>
        <v>PARTS:
RELEASE BEARING
CLUTCH DISC ASSY</v>
      </c>
      <c r="O810" s="2" t="str">
        <f>IFERROR(__xludf.DUMMYFUNCTION("""COMPUTED_VALUE"""),"RANDY")</f>
        <v>RANDY</v>
      </c>
      <c r="P810" s="2"/>
      <c r="Q810" s="2"/>
      <c r="R810" s="74">
        <f>IFERROR(__xludf.DUMMYFUNCTION("""COMPUTED_VALUE"""),45916.0)</f>
        <v>45916</v>
      </c>
      <c r="S810" s="2" t="str">
        <f>IFERROR(__xludf.DUMMYFUNCTION("""COMPUTED_VALUE"""),"RANDY")</f>
        <v>RANDY</v>
      </c>
      <c r="T810" s="73">
        <f>IFERROR(__xludf.DUMMYFUNCTION("""COMPUTED_VALUE"""),27550.0)</f>
        <v>27550</v>
      </c>
      <c r="U810" s="73" t="str">
        <f>IFERROR(__xludf.DUMMYFUNCTION("""COMPUTED_VALUE""")," NO CHARGE ")</f>
        <v>NO CHARGE</v>
      </c>
      <c r="V810" s="2"/>
      <c r="W810" s="2" t="str">
        <f>IFERROR(__xludf.DUMMYFUNCTION("""COMPUTED_VALUE"""),"N/A")</f>
        <v>N/A</v>
      </c>
      <c r="X810" s="2" t="str">
        <f>IFERROR(__xludf.DUMMYFUNCTION("""COMPUTED_VALUE"""),"N/A")</f>
        <v>N/A</v>
      </c>
      <c r="Y810" s="2"/>
      <c r="Z810" s="2"/>
      <c r="AA810" s="2"/>
      <c r="AB810" s="2"/>
      <c r="AC810" s="2"/>
      <c r="AD810" s="2"/>
      <c r="AE810" s="2"/>
      <c r="AF810" s="2"/>
      <c r="AG810" s="2"/>
      <c r="AH810" s="2"/>
      <c r="AI810" s="2"/>
      <c r="AJ810" s="2" t="str">
        <f>IFERROR(__xludf.DUMMYFUNCTION("""COMPUTED_VALUE"""),"Pani-An")</f>
        <v>Pani-An</v>
      </c>
      <c r="AK810" s="2" t="str">
        <f>IFERROR(__xludf.DUMMYFUNCTION("""COMPUTED_VALUE"""),"Balasan")</f>
        <v>Balasan</v>
      </c>
      <c r="AL810" s="2" t="str">
        <f>IFERROR(__xludf.DUMMYFUNCTION("""COMPUTED_VALUE"""),"Iloilo")</f>
        <v>Iloilo</v>
      </c>
      <c r="AM810" s="2">
        <f>IFERROR(__xludf.DUMMYFUNCTION("""COMPUTED_VALUE"""),6.0)</f>
        <v>6</v>
      </c>
      <c r="AN810" s="2" t="str">
        <f>IFERROR(__xludf.DUMMYFUNCTION("""COMPUTED_VALUE"""),"RCEF 23-09-21 Rebidding")</f>
        <v>RCEF 23-09-21 Rebidding</v>
      </c>
      <c r="AO810" s="2">
        <f>IFERROR(__xludf.DUMMYFUNCTION("""COMPUTED_VALUE"""),4.0)</f>
        <v>4</v>
      </c>
      <c r="AP810" s="2"/>
      <c r="AQ810" s="2"/>
      <c r="AR810" s="2"/>
      <c r="AS810" s="2"/>
      <c r="AT810" s="2"/>
      <c r="AU810" s="2"/>
      <c r="AV810" s="2"/>
      <c r="AW810" s="2"/>
      <c r="AX810" s="2"/>
      <c r="AY810" s="2"/>
      <c r="AZ810" s="2"/>
      <c r="BA810" s="2"/>
      <c r="BB810" s="2"/>
    </row>
    <row r="811">
      <c r="A811" s="2">
        <f>IFERROR(__xludf.DUMMYFUNCTION("""COMPUTED_VALUE"""),807.0)</f>
        <v>807</v>
      </c>
      <c r="B811" s="2" t="str">
        <f>IFERROR(__xludf.DUMMYFUNCTION("""COMPUTED_VALUE"""),"COMPLETED")</f>
        <v>COMPLETED</v>
      </c>
      <c r="C811" s="74">
        <f>IFERROR(__xludf.DUMMYFUNCTION("""COMPUTED_VALUE"""),45714.0)</f>
        <v>45714</v>
      </c>
      <c r="D811" s="71" t="str">
        <f>IFERROR(__xludf.DUMMYFUNCTION("""COMPUTED_VALUE"""),"One Binyayan Farmers Agriculture Cooperative")</f>
        <v>One Binyayan Farmers Agriculture Cooperative</v>
      </c>
      <c r="E811" s="71" t="str">
        <f>IFERROR(__xludf.DUMMYFUNCTION("""COMPUTED_VALUE"""),"O'Donnell, Capas, TARLAC")</f>
        <v>O'Donnell, Capas, TARLAC</v>
      </c>
      <c r="F811" s="2" t="str">
        <f>IFERROR(__xludf.DUMMYFUNCTION("""COMPUTED_VALUE"""),"JOHN VISTAN")</f>
        <v>JOHN VISTAN</v>
      </c>
      <c r="G811" s="2">
        <f>IFERROR(__xludf.DUMMYFUNCTION("""COMPUTED_VALUE"""),9.561195434E9)</f>
        <v>9561195434</v>
      </c>
      <c r="H811" s="2">
        <f>IFERROR(__xludf.DUMMYFUNCTION("""COMPUTED_VALUE"""),200.0)</f>
        <v>200</v>
      </c>
      <c r="I811" s="72" t="str">
        <f>IFERROR(__xludf.DUMMYFUNCTION("""COMPUTED_VALUE"""),"REPAIR - ROTAVATOR")</f>
        <v>REPAIR - ROTAVATOR</v>
      </c>
      <c r="J811" s="72" t="str">
        <f>IFERROR(__xludf.DUMMYFUNCTION("""COMPUTED_VALUE"""),"Gearbox")</f>
        <v>Gearbox</v>
      </c>
      <c r="K811" s="72" t="str">
        <f>IFERROR(__xludf.DUMMYFUNCTION("""COMPUTED_VALUE"""),"PHILMECH:""- Abnormal engine overheating 
-Sudden stop  of  rotovator  during  operation.
-weak rotovator designclogged when  weeded  and  clay  type  soil)
-Hydraulic problem
- Shallow plough 
-Distributor assistance ,  Slow response ( call  only ) no  a"&amp;"ctual checking  of  machine  during  reporting. ""
")</f>
        <v>PHILMECH:"- Abnormal engine overheating 
-Sudden stop  of  rotovator  during  operation.
-weak rotovator designclogged when  weeded  and  clay  type  soil)
-Hydraulic problem
- Shallow plough 
-Distributor assistance ,  Slow response ( call  only ) no  actual checking  of  machine  during  reporting. "
</v>
      </c>
      <c r="L811" s="72" t="str">
        <f>IFERROR(__xludf.DUMMYFUNCTION("""COMPUTED_VALUE"""),"JDP: 3/17/25: ROTAVATOR PROBLEM; REPLACED HYDRAULIC OIL")</f>
        <v>JDP: 3/17/25: ROTAVATOR PROBLEM; REPLACED HYDRAULIC OIL</v>
      </c>
      <c r="M811" s="2"/>
      <c r="N811" s="2" t="str">
        <f>IFERROR(__xludf.DUMMYFUNCTION("""COMPUTED_VALUE"""),"PARTS: HYDRAULIC FILTER")</f>
        <v>PARTS: HYDRAULIC FILTER</v>
      </c>
      <c r="O811" s="2">
        <f>IFERROR(__xludf.DUMMYFUNCTION("""COMPUTED_VALUE"""),1227.0)</f>
        <v>1227</v>
      </c>
      <c r="P811" s="2"/>
      <c r="Q811" s="2"/>
      <c r="R811" s="74">
        <f>IFERROR(__xludf.DUMMYFUNCTION("""COMPUTED_VALUE"""),45733.0)</f>
        <v>45733</v>
      </c>
      <c r="S811" s="2" t="str">
        <f>IFERROR(__xludf.DUMMYFUNCTION("""COMPUTED_VALUE"""),"JHP/ACS/JDP")</f>
        <v>JHP/ACS/JDP</v>
      </c>
      <c r="T811" s="73">
        <f>IFERROR(__xludf.DUMMYFUNCTION("""COMPUTED_VALUE"""),2800.0)</f>
        <v>2800</v>
      </c>
      <c r="U811" s="73" t="str">
        <f>IFERROR(__xludf.DUMMYFUNCTION("""COMPUTED_VALUE""")," REMITTED ")</f>
        <v>REMITTED</v>
      </c>
      <c r="V811" s="2">
        <f>IFERROR(__xludf.DUMMYFUNCTION("""COMPUTED_VALUE"""),1707.0)</f>
        <v>1707</v>
      </c>
      <c r="W811" s="2">
        <f>IFERROR(__xludf.DUMMYFUNCTION("""COMPUTED_VALUE"""),1495.0)</f>
        <v>1495</v>
      </c>
      <c r="X811" s="2">
        <f>IFERROR(__xludf.DUMMYFUNCTION("""COMPUTED_VALUE"""),1719.0)</f>
        <v>1719</v>
      </c>
      <c r="Y811" s="2"/>
      <c r="Z811" s="2"/>
      <c r="AA811" s="2"/>
      <c r="AB811" s="2"/>
      <c r="AC811" s="2"/>
      <c r="AD811" s="2"/>
      <c r="AE811" s="2"/>
      <c r="AF811" s="2"/>
      <c r="AG811" s="2"/>
      <c r="AH811" s="2"/>
      <c r="AI811" s="2"/>
      <c r="AJ811" s="2" t="str">
        <f>IFERROR(__xludf.DUMMYFUNCTION("""COMPUTED_VALUE"""),"O'Donnell")</f>
        <v>O'Donnell</v>
      </c>
      <c r="AK811" s="2" t="str">
        <f>IFERROR(__xludf.DUMMYFUNCTION("""COMPUTED_VALUE"""),"Capas")</f>
        <v>Capas</v>
      </c>
      <c r="AL811" s="2" t="str">
        <f>IFERROR(__xludf.DUMMYFUNCTION("""COMPUTED_VALUE"""),"Tarlac")</f>
        <v>Tarlac</v>
      </c>
      <c r="AM811" s="2">
        <f>IFERROR(__xludf.DUMMYFUNCTION("""COMPUTED_VALUE"""),3.0)</f>
        <v>3</v>
      </c>
      <c r="AN811" s="2" t="str">
        <f>IFERROR(__xludf.DUMMYFUNCTION("""COMPUTED_VALUE"""),"RCEF 23-09-21 Rebidding")</f>
        <v>RCEF 23-09-21 Rebidding</v>
      </c>
      <c r="AO811" s="2">
        <f>IFERROR(__xludf.DUMMYFUNCTION("""COMPUTED_VALUE"""),3.0)</f>
        <v>3</v>
      </c>
      <c r="AP811" s="2"/>
      <c r="AQ811" s="2"/>
      <c r="AR811" s="2"/>
      <c r="AS811" s="2"/>
      <c r="AT811" s="2"/>
      <c r="AU811" s="2"/>
      <c r="AV811" s="2"/>
      <c r="AW811" s="2"/>
      <c r="AX811" s="2"/>
      <c r="AY811" s="2"/>
      <c r="AZ811" s="2"/>
      <c r="BA811" s="2"/>
      <c r="BB811" s="2"/>
    </row>
    <row r="812">
      <c r="A812" s="2">
        <f>IFERROR(__xludf.DUMMYFUNCTION("""COMPUTED_VALUE"""),808.0)</f>
        <v>808</v>
      </c>
      <c r="B812" s="2" t="str">
        <f>IFERROR(__xludf.DUMMYFUNCTION("""COMPUTED_VALUE"""),"COMPLETED")</f>
        <v>COMPLETED</v>
      </c>
      <c r="C812" s="74">
        <f>IFERROR(__xludf.DUMMYFUNCTION("""COMPUTED_VALUE"""),45714.0)</f>
        <v>45714</v>
      </c>
      <c r="D812" s="71" t="str">
        <f>IFERROR(__xludf.DUMMYFUNCTION("""COMPUTED_VALUE"""),"OAS SOUTH MAIN CANAL IRRIGTORS ASSOCIATION INCORPORATED")</f>
        <v>OAS SOUTH MAIN CANAL IRRIGTORS ASSOCIATION INCORPORATED</v>
      </c>
      <c r="E812" s="71" t="str">
        <f>IFERROR(__xludf.DUMMYFUNCTION("""COMPUTED_VALUE"""),"Bagsa, Oas, ALBAY")</f>
        <v>Bagsa, Oas, ALBAY</v>
      </c>
      <c r="F812" s="2" t="str">
        <f>IFERROR(__xludf.DUMMYFUNCTION("""COMPUTED_VALUE"""),"ELIJUN RABIANA")</f>
        <v>ELIJUN RABIANA</v>
      </c>
      <c r="G812" s="2"/>
      <c r="H812" s="2">
        <f>IFERROR(__xludf.DUMMYFUNCTION("""COMPUTED_VALUE"""),50.0)</f>
        <v>50</v>
      </c>
      <c r="I812" s="72" t="str">
        <f>IFERROR(__xludf.DUMMYFUNCTION("""COMPUTED_VALUE"""),"PMS")</f>
        <v>PMS</v>
      </c>
      <c r="J812" s="72" t="str">
        <f>IFERROR(__xludf.DUMMYFUNCTION("""COMPUTED_VALUE"""),"PMS")</f>
        <v>PMS</v>
      </c>
      <c r="K812" s="72" t="str">
        <f>IFERROR(__xludf.DUMMYFUNCTION("""COMPUTED_VALUE"""),"JTT:  1ST PMS (FREE)")</f>
        <v>JTT:  1ST PMS (FREE)</v>
      </c>
      <c r="L812" s="72" t="str">
        <f>IFERROR(__xludf.DUMMYFUNCTION("""COMPUTED_VALUE"""),"JTT: 1ST PMS DONE")</f>
        <v>JTT: 1ST PMS DONE</v>
      </c>
      <c r="M812" s="2"/>
      <c r="N812" s="2" t="str">
        <f>IFERROR(__xludf.DUMMYFUNCTION("""COMPUTED_VALUE"""),"PARTS: OIL FILTER, ENGINE OIL")</f>
        <v>PARTS: OIL FILTER, ENGINE OIL</v>
      </c>
      <c r="O812" s="2">
        <f>IFERROR(__xludf.DUMMYFUNCTION("""COMPUTED_VALUE"""),22.0)</f>
        <v>22</v>
      </c>
      <c r="P812" s="2"/>
      <c r="Q812" s="2"/>
      <c r="R812" s="74">
        <f>IFERROR(__xludf.DUMMYFUNCTION("""COMPUTED_VALUE"""),45714.0)</f>
        <v>45714</v>
      </c>
      <c r="S812" s="2" t="str">
        <f>IFERROR(__xludf.DUMMYFUNCTION("""COMPUTED_VALUE"""),"JTT/JAH/FST")</f>
        <v>JTT/JAH/FST</v>
      </c>
      <c r="T812" s="73" t="str">
        <f>IFERROR(__xludf.DUMMYFUNCTION("""COMPUTED_VALUE""")," N/A ")</f>
        <v>N/A</v>
      </c>
      <c r="U812" s="73" t="str">
        <f>IFERROR(__xludf.DUMMYFUNCTION("""COMPUTED_VALUE""")," NO CHARGE ")</f>
        <v>NO CHARGE</v>
      </c>
      <c r="V812" s="2"/>
      <c r="W812" s="2" t="str">
        <f>IFERROR(__xludf.DUMMYFUNCTION("""COMPUTED_VALUE"""),"N/A")</f>
        <v>N/A</v>
      </c>
      <c r="X812" s="2" t="str">
        <f>IFERROR(__xludf.DUMMYFUNCTION("""COMPUTED_VALUE"""),"N/A")</f>
        <v>N/A</v>
      </c>
      <c r="Y812" s="2"/>
      <c r="Z812" s="2"/>
      <c r="AA812" s="2"/>
      <c r="AB812" s="2"/>
      <c r="AC812" s="2"/>
      <c r="AD812" s="2"/>
      <c r="AE812" s="2"/>
      <c r="AF812" s="2"/>
      <c r="AG812" s="2"/>
      <c r="AH812" s="2"/>
      <c r="AI812" s="2"/>
      <c r="AJ812" s="2" t="str">
        <f>IFERROR(__xludf.DUMMYFUNCTION("""COMPUTED_VALUE"""),"Bagsa")</f>
        <v>Bagsa</v>
      </c>
      <c r="AK812" s="2" t="str">
        <f>IFERROR(__xludf.DUMMYFUNCTION("""COMPUTED_VALUE"""),"Oas")</f>
        <v>Oas</v>
      </c>
      <c r="AL812" s="2" t="str">
        <f>IFERROR(__xludf.DUMMYFUNCTION("""COMPUTED_VALUE"""),"Albay")</f>
        <v>Albay</v>
      </c>
      <c r="AM812" s="2">
        <f>IFERROR(__xludf.DUMMYFUNCTION("""COMPUTED_VALUE"""),5.0)</f>
        <v>5</v>
      </c>
      <c r="AN812" s="2" t="str">
        <f>IFERROR(__xludf.DUMMYFUNCTION("""COMPUTED_VALUE"""),"RCEF 24-04-15")</f>
        <v>RCEF 24-04-15</v>
      </c>
      <c r="AO812" s="2">
        <f>IFERROR(__xludf.DUMMYFUNCTION("""COMPUTED_VALUE"""),7.0)</f>
        <v>7</v>
      </c>
      <c r="AP812" s="2" t="str">
        <f>IFERROR(__xludf.DUMMYFUNCTION("""COMPUTED_VALUE"""),"FREE PMS")</f>
        <v>FREE PMS</v>
      </c>
      <c r="AQ812" s="2"/>
      <c r="AR812" s="2"/>
      <c r="AS812" s="2"/>
      <c r="AT812" s="2"/>
      <c r="AU812" s="2"/>
      <c r="AV812" s="2"/>
      <c r="AW812" s="2"/>
      <c r="AX812" s="2"/>
      <c r="AY812" s="2"/>
      <c r="AZ812" s="2"/>
      <c r="BA812" s="2"/>
      <c r="BB812" s="2"/>
    </row>
    <row r="813">
      <c r="A813" s="2">
        <f>IFERROR(__xludf.DUMMYFUNCTION("""COMPUTED_VALUE"""),809.0)</f>
        <v>809</v>
      </c>
      <c r="B813" s="2" t="str">
        <f>IFERROR(__xludf.DUMMYFUNCTION("""COMPUTED_VALUE"""),"COMPLETED")</f>
        <v>COMPLETED</v>
      </c>
      <c r="C813" s="74">
        <f>IFERROR(__xludf.DUMMYFUNCTION("""COMPUTED_VALUE"""),45714.0)</f>
        <v>45714</v>
      </c>
      <c r="D813" s="71" t="str">
        <f>IFERROR(__xludf.DUMMYFUNCTION("""COMPUTED_VALUE"""),"Municipal Government Unit of Pio Duran")</f>
        <v>Municipal Government Unit of Pio Duran</v>
      </c>
      <c r="E813" s="71" t="str">
        <f>IFERROR(__xludf.DUMMYFUNCTION("""COMPUTED_VALUE"""),"Caratagan, Pio Duran, ALBAY")</f>
        <v>Caratagan, Pio Duran, ALBAY</v>
      </c>
      <c r="F813" s="2" t="str">
        <f>IFERROR(__xludf.DUMMYFUNCTION("""COMPUTED_VALUE"""),"JERRY APULE")</f>
        <v>JERRY APULE</v>
      </c>
      <c r="G813" s="2"/>
      <c r="H813" s="2">
        <f>IFERROR(__xludf.DUMMYFUNCTION("""COMPUTED_VALUE"""),50.0)</f>
        <v>50</v>
      </c>
      <c r="I813" s="72" t="str">
        <f>IFERROR(__xludf.DUMMYFUNCTION("""COMPUTED_VALUE"""),"PMS")</f>
        <v>PMS</v>
      </c>
      <c r="J813" s="72" t="str">
        <f>IFERROR(__xludf.DUMMYFUNCTION("""COMPUTED_VALUE"""),"PMS")</f>
        <v>PMS</v>
      </c>
      <c r="K813" s="72" t="str">
        <f>IFERROR(__xludf.DUMMYFUNCTION("""COMPUTED_VALUE"""),"JTT:  1ST PMS (FREE)")</f>
        <v>JTT:  1ST PMS (FREE)</v>
      </c>
      <c r="L813" s="72" t="str">
        <f>IFERROR(__xludf.DUMMYFUNCTION("""COMPUTED_VALUE"""),"JTT: 1ST PMS DONE")</f>
        <v>JTT: 1ST PMS DONE</v>
      </c>
      <c r="M813" s="2"/>
      <c r="N813" s="2" t="str">
        <f>IFERROR(__xludf.DUMMYFUNCTION("""COMPUTED_VALUE"""),"PARTS: OIL FILTER, ENGINE OIL")</f>
        <v>PARTS: OIL FILTER, ENGINE OIL</v>
      </c>
      <c r="O813" s="2">
        <f>IFERROR(__xludf.DUMMYFUNCTION("""COMPUTED_VALUE"""),23.0)</f>
        <v>23</v>
      </c>
      <c r="P813" s="2"/>
      <c r="Q813" s="2"/>
      <c r="R813" s="74">
        <f>IFERROR(__xludf.DUMMYFUNCTION("""COMPUTED_VALUE"""),45714.0)</f>
        <v>45714</v>
      </c>
      <c r="S813" s="2" t="str">
        <f>IFERROR(__xludf.DUMMYFUNCTION("""COMPUTED_VALUE"""),"JTT/JAH/FST")</f>
        <v>JTT/JAH/FST</v>
      </c>
      <c r="T813" s="73" t="str">
        <f>IFERROR(__xludf.DUMMYFUNCTION("""COMPUTED_VALUE""")," N/A ")</f>
        <v>N/A</v>
      </c>
      <c r="U813" s="73" t="str">
        <f>IFERROR(__xludf.DUMMYFUNCTION("""COMPUTED_VALUE""")," NO CHARGE ")</f>
        <v>NO CHARGE</v>
      </c>
      <c r="V813" s="2"/>
      <c r="W813" s="2" t="str">
        <f>IFERROR(__xludf.DUMMYFUNCTION("""COMPUTED_VALUE"""),"N/A")</f>
        <v>N/A</v>
      </c>
      <c r="X813" s="2" t="str">
        <f>IFERROR(__xludf.DUMMYFUNCTION("""COMPUTED_VALUE"""),"N/A")</f>
        <v>N/A</v>
      </c>
      <c r="Y813" s="2"/>
      <c r="Z813" s="2"/>
      <c r="AA813" s="2"/>
      <c r="AB813" s="2"/>
      <c r="AC813" s="2"/>
      <c r="AD813" s="2"/>
      <c r="AE813" s="2"/>
      <c r="AF813" s="2"/>
      <c r="AG813" s="2"/>
      <c r="AH813" s="2"/>
      <c r="AI813" s="2"/>
      <c r="AJ813" s="2" t="str">
        <f>IFERROR(__xludf.DUMMYFUNCTION("""COMPUTED_VALUE"""),"Caratagan")</f>
        <v>Caratagan</v>
      </c>
      <c r="AK813" s="2" t="str">
        <f>IFERROR(__xludf.DUMMYFUNCTION("""COMPUTED_VALUE"""),"Pio Duran")</f>
        <v>Pio Duran</v>
      </c>
      <c r="AL813" s="2" t="str">
        <f>IFERROR(__xludf.DUMMYFUNCTION("""COMPUTED_VALUE"""),"Albay")</f>
        <v>Albay</v>
      </c>
      <c r="AM813" s="2">
        <f>IFERROR(__xludf.DUMMYFUNCTION("""COMPUTED_VALUE"""),5.0)</f>
        <v>5</v>
      </c>
      <c r="AN813" s="2" t="str">
        <f>IFERROR(__xludf.DUMMYFUNCTION("""COMPUTED_VALUE"""),"RCEF 24-04-15")</f>
        <v>RCEF 24-04-15</v>
      </c>
      <c r="AO813" s="2">
        <f>IFERROR(__xludf.DUMMYFUNCTION("""COMPUTED_VALUE"""),7.0)</f>
        <v>7</v>
      </c>
      <c r="AP813" s="2" t="str">
        <f>IFERROR(__xludf.DUMMYFUNCTION("""COMPUTED_VALUE"""),"FREE PMS")</f>
        <v>FREE PMS</v>
      </c>
      <c r="AQ813" s="2"/>
      <c r="AR813" s="2"/>
      <c r="AS813" s="2"/>
      <c r="AT813" s="2"/>
      <c r="AU813" s="2"/>
      <c r="AV813" s="2"/>
      <c r="AW813" s="2"/>
      <c r="AX813" s="2"/>
      <c r="AY813" s="2"/>
      <c r="AZ813" s="2"/>
      <c r="BA813" s="2"/>
      <c r="BB813" s="2"/>
    </row>
    <row r="814">
      <c r="A814" s="2">
        <f>IFERROR(__xludf.DUMMYFUNCTION("""COMPUTED_VALUE"""),810.0)</f>
        <v>810</v>
      </c>
      <c r="B814" s="2" t="str">
        <f>IFERROR(__xludf.DUMMYFUNCTION("""COMPUTED_VALUE"""),"COMPLETED")</f>
        <v>COMPLETED</v>
      </c>
      <c r="C814" s="74">
        <f>IFERROR(__xludf.DUMMYFUNCTION("""COMPUTED_VALUE"""),45716.0)</f>
        <v>45716</v>
      </c>
      <c r="D814" s="71" t="str">
        <f>IFERROR(__xludf.DUMMYFUNCTION("""COMPUTED_VALUE"""),"SANTIAGO RICEUP FARMERS ASSOCIATION")</f>
        <v>SANTIAGO RICEUP FARMERS ASSOCIATION</v>
      </c>
      <c r="E814" s="71" t="str">
        <f>IFERROR(__xludf.DUMMYFUNCTION("""COMPUTED_VALUE"""),"Santiago, Lubao, PAMPANGA")</f>
        <v>Santiago, Lubao, PAMPANGA</v>
      </c>
      <c r="F814" s="2" t="str">
        <f>IFERROR(__xludf.DUMMYFUNCTION("""COMPUTED_VALUE"""),"Gemma Gutierrez ")</f>
        <v>Gemma Gutierrez </v>
      </c>
      <c r="G814" s="2">
        <f>IFERROR(__xludf.DUMMYFUNCTION("""COMPUTED_VALUE"""),9.198512719E9)</f>
        <v>9198512719</v>
      </c>
      <c r="H814" s="2">
        <f>IFERROR(__xludf.DUMMYFUNCTION("""COMPUTED_VALUE"""),84.0)</f>
        <v>84</v>
      </c>
      <c r="I814" s="72" t="str">
        <f>IFERROR(__xludf.DUMMYFUNCTION("""COMPUTED_VALUE"""),"PMS")</f>
        <v>PMS</v>
      </c>
      <c r="J814" s="72" t="str">
        <f>IFERROR(__xludf.DUMMYFUNCTION("""COMPUTED_VALUE"""),"PMS")</f>
        <v>PMS</v>
      </c>
      <c r="K814" s="72" t="str">
        <f>IFERROR(__xludf.DUMMYFUNCTION("""COMPUTED_VALUE"""),"FARMER: 1ST PMS (FREE ENGINE OIL ANG OIL FILTER)")</f>
        <v>FARMER: 1ST PMS (FREE ENGINE OIL ANG OIL FILTER)</v>
      </c>
      <c r="L814" s="72" t="str">
        <f>IFERROR(__xludf.DUMMYFUNCTION("""COMPUTED_VALUE"""),"ACS: 1ST PMS DONE")</f>
        <v>ACS: 1ST PMS DONE</v>
      </c>
      <c r="M814" s="2"/>
      <c r="N814" s="2" t="str">
        <f>IFERROR(__xludf.DUMMYFUNCTION("""COMPUTED_VALUE"""),"PARTS: OIL FILTER, ENGINE OIL (FREE)")</f>
        <v>PARTS: OIL FILTER, ENGINE OIL (FREE)</v>
      </c>
      <c r="O814" s="2">
        <f>IFERROR(__xludf.DUMMYFUNCTION("""COMPUTED_VALUE"""),1226.0)</f>
        <v>1226</v>
      </c>
      <c r="P814" s="2"/>
      <c r="Q814" s="2"/>
      <c r="R814" s="74">
        <f>IFERROR(__xludf.DUMMYFUNCTION("""COMPUTED_VALUE"""),45723.0)</f>
        <v>45723</v>
      </c>
      <c r="S814" s="2" t="str">
        <f>IFERROR(__xludf.DUMMYFUNCTION("""COMPUTED_VALUE"""),"JHP/ACS")</f>
        <v>JHP/ACS</v>
      </c>
      <c r="T814" s="73" t="str">
        <f>IFERROR(__xludf.DUMMYFUNCTION("""COMPUTED_VALUE""")," N/A ")</f>
        <v>N/A</v>
      </c>
      <c r="U814" s="73" t="str">
        <f>IFERROR(__xludf.DUMMYFUNCTION("""COMPUTED_VALUE""")," NO CHARGE ")</f>
        <v>NO CHARGE</v>
      </c>
      <c r="V814" s="2"/>
      <c r="W814" s="2" t="str">
        <f>IFERROR(__xludf.DUMMYFUNCTION("""COMPUTED_VALUE"""),"N/A")</f>
        <v>N/A</v>
      </c>
      <c r="X814" s="2" t="str">
        <f>IFERROR(__xludf.DUMMYFUNCTION("""COMPUTED_VALUE"""),"N/A")</f>
        <v>N/A</v>
      </c>
      <c r="Y814" s="2"/>
      <c r="Z814" s="2"/>
      <c r="AA814" s="2"/>
      <c r="AB814" s="2"/>
      <c r="AC814" s="2"/>
      <c r="AD814" s="2"/>
      <c r="AE814" s="2"/>
      <c r="AF814" s="2"/>
      <c r="AG814" s="2"/>
      <c r="AH814" s="2"/>
      <c r="AI814" s="2"/>
      <c r="AJ814" s="2" t="str">
        <f>IFERROR(__xludf.DUMMYFUNCTION("""COMPUTED_VALUE"""),"Santiago")</f>
        <v>Santiago</v>
      </c>
      <c r="AK814" s="2" t="str">
        <f>IFERROR(__xludf.DUMMYFUNCTION("""COMPUTED_VALUE"""),"Lubao")</f>
        <v>Lubao</v>
      </c>
      <c r="AL814" s="2" t="str">
        <f>IFERROR(__xludf.DUMMYFUNCTION("""COMPUTED_VALUE"""),"Pampanga")</f>
        <v>Pampanga</v>
      </c>
      <c r="AM814" s="2">
        <f>IFERROR(__xludf.DUMMYFUNCTION("""COMPUTED_VALUE"""),3.0)</f>
        <v>3</v>
      </c>
      <c r="AN814" s="2" t="str">
        <f>IFERROR(__xludf.DUMMYFUNCTION("""COMPUTED_VALUE"""),"RCEF 24-04-15")</f>
        <v>RCEF 24-04-15</v>
      </c>
      <c r="AO814" s="2">
        <f>IFERROR(__xludf.DUMMYFUNCTION("""COMPUTED_VALUE"""),6.0)</f>
        <v>6</v>
      </c>
      <c r="AP814" s="2" t="str">
        <f>IFERROR(__xludf.DUMMYFUNCTION("""COMPUTED_VALUE"""),"FREE PMS")</f>
        <v>FREE PMS</v>
      </c>
      <c r="AQ814" s="2"/>
      <c r="AR814" s="2"/>
      <c r="AS814" s="2"/>
      <c r="AT814" s="2"/>
      <c r="AU814" s="2"/>
      <c r="AV814" s="2"/>
      <c r="AW814" s="2"/>
      <c r="AX814" s="2"/>
      <c r="AY814" s="2"/>
      <c r="AZ814" s="2"/>
      <c r="BA814" s="2"/>
      <c r="BB814" s="2"/>
    </row>
    <row r="815">
      <c r="A815" s="2">
        <f>IFERROR(__xludf.DUMMYFUNCTION("""COMPUTED_VALUE"""),811.0)</f>
        <v>811</v>
      </c>
      <c r="B815" s="2" t="str">
        <f>IFERROR(__xludf.DUMMYFUNCTION("""COMPUTED_VALUE"""),"COMPLETED")</f>
        <v>COMPLETED</v>
      </c>
      <c r="C815" s="74">
        <f>IFERROR(__xludf.DUMMYFUNCTION("""COMPUTED_VALUE"""),45716.0)</f>
        <v>45716</v>
      </c>
      <c r="D815" s="71" t="str">
        <f>IFERROR(__xludf.DUMMYFUNCTION("""COMPUTED_VALUE"""),"RAJAL CENTRO IRRIGATORS ASSOCIATION, INC.")</f>
        <v>RAJAL CENTRO IRRIGATORS ASSOCIATION, INC.</v>
      </c>
      <c r="E815" s="71" t="str">
        <f>IFERROR(__xludf.DUMMYFUNCTION("""COMPUTED_VALUE"""),"Rajal Centro, Santa Rosa, NUEVA ECIJA")</f>
        <v>Rajal Centro, Santa Rosa, NUEVA ECIJA</v>
      </c>
      <c r="F815" s="2" t="str">
        <f>IFERROR(__xludf.DUMMYFUNCTION("""COMPUTED_VALUE"""),"Victor hernandez ")</f>
        <v>Victor hernandez </v>
      </c>
      <c r="G815" s="2" t="str">
        <f>IFERROR(__xludf.DUMMYFUNCTION("""COMPUTED_VALUE"""),"092747o88!6 / 639619306226")</f>
        <v>092747o88!6 / 639619306226</v>
      </c>
      <c r="H815" s="2">
        <f>IFERROR(__xludf.DUMMYFUNCTION("""COMPUTED_VALUE"""),95.0)</f>
        <v>95</v>
      </c>
      <c r="I815" s="72" t="str">
        <f>IFERROR(__xludf.DUMMYFUNCTION("""COMPUTED_VALUE"""),"REPAIR - TRACTOR")</f>
        <v>REPAIR - TRACTOR</v>
      </c>
      <c r="J815" s="72" t="str">
        <f>IFERROR(__xludf.DUMMYFUNCTION("""COMPUTED_VALUE"""),"BATTERY")</f>
        <v>BATTERY</v>
      </c>
      <c r="K815" s="72" t="str">
        <f>IFERROR(__xludf.DUMMYFUNCTION("""COMPUTED_VALUE"""),"ERP: May problem daw sa starter.
FARMER:  Battery failed
ACS: SIRA ANG BATTTERY, PINA TRY NILANG I CHARGE SA IBA, PERO SABI SA KANILA SIRA ANG BATTERY NILA
1065:DSD: 3/28/25: TROUBLESHOOTING, DEAD BATTERY")</f>
        <v>ERP: May problem daw sa starter.
FARMER:  Battery failed
ACS: SIRA ANG BATTTERY, PINA TRY NILANG I CHARGE SA IBA, PERO SABI SA KANILA SIRA ANG BATTERY NILA
1065:DSD: 3/28/25: TROUBLESHOOTING, DEAD BATTERY</v>
      </c>
      <c r="L815" s="72" t="str">
        <f>IFERROR(__xludf.DUMMYFUNCTION("""COMPUTED_VALUE"""),"ECM: REPLACED BATTERY (OUTSOURCE)")</f>
        <v>ECM: REPLACED BATTERY (OUTSOURCE)</v>
      </c>
      <c r="M815" s="2"/>
      <c r="N815" s="2" t="str">
        <f>IFERROR(__xludf.DUMMYFUNCTION("""COMPUTED_VALUE"""),"PARTS:
BATTERY (OUTSOURCED)")</f>
        <v>PARTS:
BATTERY (OUTSOURCED)</v>
      </c>
      <c r="O815" s="2" t="str">
        <f>IFERROR(__xludf.DUMMYFUNCTION("""COMPUTED_VALUE"""),"NEED SERVICE REPORT")</f>
        <v>NEED SERVICE REPORT</v>
      </c>
      <c r="P815" s="2"/>
      <c r="Q815" s="2"/>
      <c r="R815" s="74">
        <f>IFERROR(__xludf.DUMMYFUNCTION("""COMPUTED_VALUE"""),45761.0)</f>
        <v>45761</v>
      </c>
      <c r="S815" s="2" t="str">
        <f>IFERROR(__xludf.DUMMYFUNCTION("""COMPUTED_VALUE"""),"DSD/JDP")</f>
        <v>DSD/JDP</v>
      </c>
      <c r="T815" s="2"/>
      <c r="U815" s="2"/>
      <c r="V815" s="2"/>
      <c r="W815" s="2"/>
      <c r="X815" s="2"/>
      <c r="Y815" s="2"/>
      <c r="Z815" s="2"/>
      <c r="AA815" s="2"/>
      <c r="AB815" s="2"/>
      <c r="AC815" s="2"/>
      <c r="AD815" s="2"/>
      <c r="AE815" s="2"/>
      <c r="AF815" s="2"/>
      <c r="AG815" s="2"/>
      <c r="AH815" s="2"/>
      <c r="AI815" s="2"/>
      <c r="AJ815" s="2" t="str">
        <f>IFERROR(__xludf.DUMMYFUNCTION("""COMPUTED_VALUE"""),"Rajal Centro")</f>
        <v>Rajal Centro</v>
      </c>
      <c r="AK815" s="2" t="str">
        <f>IFERROR(__xludf.DUMMYFUNCTION("""COMPUTED_VALUE"""),"Santa Rosa")</f>
        <v>Santa Rosa</v>
      </c>
      <c r="AL815" s="2" t="str">
        <f>IFERROR(__xludf.DUMMYFUNCTION("""COMPUTED_VALUE"""),"Nueva Ecija")</f>
        <v>Nueva Ecija</v>
      </c>
      <c r="AM815" s="2">
        <f>IFERROR(__xludf.DUMMYFUNCTION("""COMPUTED_VALUE"""),3.0)</f>
        <v>3</v>
      </c>
      <c r="AN815" s="2" t="str">
        <f>IFERROR(__xludf.DUMMYFUNCTION("""COMPUTED_VALUE"""),"RCEF 23-09-21 Rebidding")</f>
        <v>RCEF 23-09-21 Rebidding</v>
      </c>
      <c r="AO815" s="2">
        <f>IFERROR(__xludf.DUMMYFUNCTION("""COMPUTED_VALUE"""),3.0)</f>
        <v>3</v>
      </c>
      <c r="AP815" s="2"/>
      <c r="AQ815" s="2"/>
      <c r="AR815" s="2"/>
      <c r="AS815" s="2"/>
      <c r="AT815" s="2"/>
      <c r="AU815" s="2"/>
      <c r="AV815" s="2"/>
      <c r="AW815" s="2"/>
      <c r="AX815" s="2"/>
      <c r="AY815" s="2"/>
      <c r="AZ815" s="2"/>
      <c r="BA815" s="2"/>
      <c r="BB815" s="2"/>
    </row>
    <row r="816">
      <c r="A816" s="2">
        <f>IFERROR(__xludf.DUMMYFUNCTION("""COMPUTED_VALUE"""),812.0)</f>
        <v>812</v>
      </c>
      <c r="B816" s="2" t="str">
        <f>IFERROR(__xludf.DUMMYFUNCTION("""COMPUTED_VALUE"""),"COMPLETED")</f>
        <v>COMPLETED</v>
      </c>
      <c r="C816" s="74">
        <f>IFERROR(__xludf.DUMMYFUNCTION("""COMPUTED_VALUE"""),45718.0)</f>
        <v>45718</v>
      </c>
      <c r="D816" s="71" t="str">
        <f>IFERROR(__xludf.DUMMYFUNCTION("""COMPUTED_VALUE"""),"MALLALATANG GRANDE AND VILLADOR FARMERS ASSOCIATION")</f>
        <v>MALLALATANG GRANDE AND VILLADOR FARMERS ASSOCIATION</v>
      </c>
      <c r="E816" s="71" t="str">
        <f>IFERROR(__xludf.DUMMYFUNCTION("""COMPUTED_VALUE"""),"Villador, Reina Mercedes, ISABELA")</f>
        <v>Villador, Reina Mercedes, ISABELA</v>
      </c>
      <c r="F816" s="2"/>
      <c r="G816" s="2"/>
      <c r="H816" s="2"/>
      <c r="I816" s="72" t="str">
        <f>IFERROR(__xludf.DUMMYFUNCTION("""COMPUTED_VALUE"""),"SPARE PARTS ACQUISITION")</f>
        <v>SPARE PARTS ACQUISITION</v>
      </c>
      <c r="J816" s="72" t="str">
        <f>IFERROR(__xludf.DUMMYFUNCTION("""COMPUTED_VALUE"""),"SPARE PARTS ACQUISITION")</f>
        <v>SPARE PARTS ACQUISITION</v>
      </c>
      <c r="K816" s="72" t="str">
        <f>IFERROR(__xludf.DUMMYFUNCTION("""COMPUTED_VALUE"""),"BEVEL GEAR 24T")</f>
        <v>BEVEL GEAR 24T</v>
      </c>
      <c r="L816" s="72" t="str">
        <f>IFERROR(__xludf.DUMMYFUNCTION("""COMPUTED_VALUE"""),"CFG: DELIVERED")</f>
        <v>CFG: DELIVERED</v>
      </c>
      <c r="M816" s="2"/>
      <c r="N816" s="2" t="str">
        <f>IFERROR(__xludf.DUMMYFUNCTION("""COMPUTED_VALUE"""),"PARTS: BEVEL GEAR 24T")</f>
        <v>PARTS: BEVEL GEAR 24T</v>
      </c>
      <c r="O816" s="2" t="str">
        <f>IFERROR(__xludf.DUMMYFUNCTION("""COMPUTED_VALUE"""),"N/A")</f>
        <v>N/A</v>
      </c>
      <c r="P816" s="2"/>
      <c r="Q816" s="2"/>
      <c r="R816" s="74">
        <f>IFERROR(__xludf.DUMMYFUNCTION("""COMPUTED_VALUE"""),45718.0)</f>
        <v>45718</v>
      </c>
      <c r="S816" s="2" t="str">
        <f>IFERROR(__xludf.DUMMYFUNCTION("""COMPUTED_VALUE"""),"CFG")</f>
        <v>CFG</v>
      </c>
      <c r="T816" s="73">
        <f>IFERROR(__xludf.DUMMYFUNCTION("""COMPUTED_VALUE"""),13050.0)</f>
        <v>13050</v>
      </c>
      <c r="U816" s="73" t="str">
        <f>IFERROR(__xludf.DUMMYFUNCTION("""COMPUTED_VALUE""")," REMITTED ")</f>
        <v>REMITTED</v>
      </c>
      <c r="V816" s="2"/>
      <c r="W816" s="2">
        <f>IFERROR(__xludf.DUMMYFUNCTION("""COMPUTED_VALUE"""),1298.0)</f>
        <v>1298</v>
      </c>
      <c r="X816" s="2">
        <f>IFERROR(__xludf.DUMMYFUNCTION("""COMPUTED_VALUE"""),1512.0)</f>
        <v>1512</v>
      </c>
      <c r="Y816" s="2"/>
      <c r="Z816" s="2"/>
      <c r="AA816" s="2"/>
      <c r="AB816" s="2"/>
      <c r="AC816" s="2"/>
      <c r="AD816" s="2"/>
      <c r="AE816" s="2"/>
      <c r="AF816" s="2"/>
      <c r="AG816" s="2"/>
      <c r="AH816" s="2"/>
      <c r="AI816" s="2"/>
      <c r="AJ816" s="2" t="str">
        <f>IFERROR(__xludf.DUMMYFUNCTION("""COMPUTED_VALUE"""),"Villador")</f>
        <v>Villador</v>
      </c>
      <c r="AK816" s="2" t="str">
        <f>IFERROR(__xludf.DUMMYFUNCTION("""COMPUTED_VALUE"""),"Reina Mercedes")</f>
        <v>Reina Mercedes</v>
      </c>
      <c r="AL816" s="2" t="str">
        <f>IFERROR(__xludf.DUMMYFUNCTION("""COMPUTED_VALUE"""),"Isabela")</f>
        <v>Isabela</v>
      </c>
      <c r="AM816" s="2">
        <f>IFERROR(__xludf.DUMMYFUNCTION("""COMPUTED_VALUE"""),2.0)</f>
        <v>2</v>
      </c>
      <c r="AN816" s="2" t="str">
        <f>IFERROR(__xludf.DUMMYFUNCTION("""COMPUTED_VALUE"""),"RCEF 23-09-21 Rebidding")</f>
        <v>RCEF 23-09-21 Rebidding</v>
      </c>
      <c r="AO816" s="2">
        <f>IFERROR(__xludf.DUMMYFUNCTION("""COMPUTED_VALUE"""),9.0)</f>
        <v>9</v>
      </c>
      <c r="AP816" s="2"/>
      <c r="AQ816" s="2"/>
      <c r="AR816" s="2"/>
      <c r="AS816" s="2"/>
      <c r="AT816" s="2"/>
      <c r="AU816" s="2"/>
      <c r="AV816" s="2"/>
      <c r="AW816" s="2"/>
      <c r="AX816" s="2"/>
      <c r="AY816" s="2"/>
      <c r="AZ816" s="2"/>
      <c r="BA816" s="2"/>
      <c r="BB816" s="2"/>
    </row>
    <row r="817">
      <c r="A817" s="2">
        <f>IFERROR(__xludf.DUMMYFUNCTION("""COMPUTED_VALUE"""),813.0)</f>
        <v>813</v>
      </c>
      <c r="B817" s="2" t="str">
        <f>IFERROR(__xludf.DUMMYFUNCTION("""COMPUTED_VALUE"""),"COMPLETED")</f>
        <v>COMPLETED</v>
      </c>
      <c r="C817" s="74">
        <f>IFERROR(__xludf.DUMMYFUNCTION("""COMPUTED_VALUE"""),45719.0)</f>
        <v>45719</v>
      </c>
      <c r="D817" s="71" t="str">
        <f>IFERROR(__xludf.DUMMYFUNCTION("""COMPUTED_VALUE"""),"BARANGAY BATONG BUHAY FARMER'S ASSOCIATION")</f>
        <v>BARANGAY BATONG BUHAY FARMER'S ASSOCIATION</v>
      </c>
      <c r="E817" s="71" t="str">
        <f>IFERROR(__xludf.DUMMYFUNCTION("""COMPUTED_VALUE"""),"BATONG BUHAY, SABLAYAN, OCCIDENTAL MINDORO")</f>
        <v>BATONG BUHAY, SABLAYAN, OCCIDENTAL MINDORO</v>
      </c>
      <c r="F817" s="2" t="str">
        <f>IFERROR(__xludf.DUMMYFUNCTION("""COMPUTED_VALUE"""),"SIR SILA0
UNITED AS ONE AGRICULTURE COOPERATIVE")</f>
        <v>SIR SILA0
UNITED AS ONE AGRICULTURE COOPERATIVE</v>
      </c>
      <c r="G817" s="2"/>
      <c r="H817" s="2">
        <f>IFERROR(__xludf.DUMMYFUNCTION("""COMPUTED_VALUE"""),1067.0)</f>
        <v>1067</v>
      </c>
      <c r="I817" s="72" t="str">
        <f>IFERROR(__xludf.DUMMYFUNCTION("""COMPUTED_VALUE"""),"REPAIR - TRACTOR")</f>
        <v>REPAIR - TRACTOR</v>
      </c>
      <c r="J817" s="72" t="str">
        <f>IFERROR(__xludf.DUMMYFUNCTION("""COMPUTED_VALUE"""),"Transmission - Front Drive")</f>
        <v>Transmission - Front Drive</v>
      </c>
      <c r="K817" s="72" t="str">
        <f>IFERROR(__xludf.DUMMYFUNCTION("""COMPUTED_VALUE"""),"RCG: KAPAG NAG FORWARD HINID GUMUGULONG FRONT WHEEL, PERO PAG REVERCE TXAKA GUMUGULONG, FOR ASSESSMENT HINDI PA ALAM ANG SIRA TALAGA NG UNIT")</f>
        <v>RCG: KAPAG NAG FORWARD HINID GUMUGULONG FRONT WHEEL, PERO PAG REVERCE TXAKA GUMUGULONG, FOR ASSESSMENT HINDI PA ALAM ANG SIRA TALAGA NG UNIT</v>
      </c>
      <c r="L817" s="72" t="str">
        <f>IFERROR(__xludf.DUMMYFUNCTION("""COMPUTED_VALUE"""),"DSD: REPLACEDA RING GEAR AND OIL SEAL")</f>
        <v>DSD: REPLACEDA RING GEAR AND OIL SEAL</v>
      </c>
      <c r="M817" s="2"/>
      <c r="N817" s="2" t="str">
        <f>IFERROR(__xludf.DUMMYFUNCTION("""COMPUTED_VALUE"""),"PARTS:
 RING GEAR ASSY, 
OIL SEAL FE78000003")</f>
        <v>PARTS:
 RING GEAR ASSY, 
OIL SEAL FE78000003</v>
      </c>
      <c r="O817" s="2">
        <f>IFERROR(__xludf.DUMMYFUNCTION("""COMPUTED_VALUE"""),150.0)</f>
        <v>150</v>
      </c>
      <c r="P817" s="2"/>
      <c r="Q817" s="2" t="str">
        <f>IFERROR(__xludf.DUMMYFUNCTION("""COMPUTED_VALUE"""),"Y")</f>
        <v>Y</v>
      </c>
      <c r="R817" s="74">
        <f>IFERROR(__xludf.DUMMYFUNCTION("""COMPUTED_VALUE"""),45739.0)</f>
        <v>45739</v>
      </c>
      <c r="S817" s="2" t="str">
        <f>IFERROR(__xludf.DUMMYFUNCTION("""COMPUTED_VALUE"""),"RCG/DSD")</f>
        <v>RCG/DSD</v>
      </c>
      <c r="T817" s="73">
        <f>IFERROR(__xludf.DUMMYFUNCTION("""COMPUTED_VALUE"""),21200.0)</f>
        <v>21200</v>
      </c>
      <c r="U817" s="73" t="str">
        <f>IFERROR(__xludf.DUMMYFUNCTION("""COMPUTED_VALUE""")," REMITTED ")</f>
        <v>REMITTED</v>
      </c>
      <c r="V817" s="2"/>
      <c r="W817" s="2">
        <f>IFERROR(__xludf.DUMMYFUNCTION("""COMPUTED_VALUE"""),1521.0)</f>
        <v>1521</v>
      </c>
      <c r="X817" s="2"/>
      <c r="Y817" s="2" t="str">
        <f>IFERROR(__xludf.DUMMYFUNCTION("""COMPUTED_VALUE"""),"CHECK PAYMENT
CR- BY MYKEE")</f>
        <v>CHECK PAYMENT
CR- BY MYKEE</v>
      </c>
      <c r="Z817" s="2"/>
      <c r="AA817" s="2"/>
      <c r="AB817" s="2"/>
      <c r="AC817" s="2"/>
      <c r="AD817" s="2"/>
      <c r="AE817" s="2"/>
      <c r="AF817" s="2"/>
      <c r="AG817" s="2"/>
      <c r="AH817" s="2"/>
      <c r="AI817" s="2"/>
      <c r="AJ817" s="2" t="str">
        <f>IFERROR(__xludf.DUMMYFUNCTION("""COMPUTED_VALUE"""),"Batong Buhay")</f>
        <v>Batong Buhay</v>
      </c>
      <c r="AK817" s="2" t="str">
        <f>IFERROR(__xludf.DUMMYFUNCTION("""COMPUTED_VALUE"""),"Sablayan")</f>
        <v>Sablayan</v>
      </c>
      <c r="AL817" s="2" t="str">
        <f>IFERROR(__xludf.DUMMYFUNCTION("""COMPUTED_VALUE"""),"Occidental Mindoro")</f>
        <v>Occidental Mindoro</v>
      </c>
      <c r="AM817" s="2" t="str">
        <f>IFERROR(__xludf.DUMMYFUNCTION("""COMPUTED_VALUE"""),"4B")</f>
        <v>4B</v>
      </c>
      <c r="AN817" s="2" t="str">
        <f>IFERROR(__xludf.DUMMYFUNCTION("""COMPUTED_VALUE"""),"RCEF 23-08-20 Rebidding")</f>
        <v>RCEF 23-08-20 Rebidding</v>
      </c>
      <c r="AO817" s="2">
        <f>IFERROR(__xludf.DUMMYFUNCTION("""COMPUTED_VALUE"""),1.0)</f>
        <v>1</v>
      </c>
      <c r="AP817" s="2"/>
      <c r="AQ817" s="2"/>
      <c r="AR817" s="2"/>
      <c r="AS817" s="2"/>
      <c r="AT817" s="2"/>
      <c r="AU817" s="2"/>
      <c r="AV817" s="2"/>
      <c r="AW817" s="2"/>
      <c r="AX817" s="2"/>
      <c r="AY817" s="2"/>
      <c r="AZ817" s="2"/>
      <c r="BA817" s="2"/>
      <c r="BB817" s="2"/>
    </row>
    <row r="818">
      <c r="A818" s="2">
        <f>IFERROR(__xludf.DUMMYFUNCTION("""COMPUTED_VALUE"""),814.0)</f>
        <v>814</v>
      </c>
      <c r="B818" s="2" t="str">
        <f>IFERROR(__xludf.DUMMYFUNCTION("""COMPUTED_VALUE"""),"COMPLETED")</f>
        <v>COMPLETED</v>
      </c>
      <c r="C818" s="74">
        <f>IFERROR(__xludf.DUMMYFUNCTION("""COMPUTED_VALUE"""),45719.0)</f>
        <v>45719</v>
      </c>
      <c r="D818" s="71" t="str">
        <f>IFERROR(__xludf.DUMMYFUNCTION("""COMPUTED_VALUE"""),"MUNICIPAL LOCAL GOVERNMENT UNIT OF LOOC")</f>
        <v>MUNICIPAL LOCAL GOVERNMENT UNIT OF LOOC</v>
      </c>
      <c r="E818" s="71" t="str">
        <f>IFERROR(__xludf.DUMMYFUNCTION("""COMPUTED_VALUE"""),"POBLACION GUITNA, LOOC, OCCIDENTAL MINDORO")</f>
        <v>POBLACION GUITNA, LOOC, OCCIDENTAL MINDORO</v>
      </c>
      <c r="F818" s="2" t="str">
        <f>IFERROR(__xludf.DUMMYFUNCTION("""COMPUTED_VALUE"""),"Mayor Marlon V. Dela Torre")</f>
        <v>Mayor Marlon V. Dela Torre</v>
      </c>
      <c r="G818" s="2">
        <f>IFERROR(__xludf.DUMMYFUNCTION("""COMPUTED_VALUE"""),9.286137758E9)</f>
        <v>9286137758</v>
      </c>
      <c r="H818" s="2"/>
      <c r="I818" s="72" t="str">
        <f>IFERROR(__xludf.DUMMYFUNCTION("""COMPUTED_VALUE"""),"PMS")</f>
        <v>PMS</v>
      </c>
      <c r="J818" s="72" t="str">
        <f>IFERROR(__xludf.DUMMYFUNCTION("""COMPUTED_VALUE"""),"PMS")</f>
        <v>PMS</v>
      </c>
      <c r="K818" s="72" t="str">
        <f>IFERROR(__xludf.DUMMYFUNCTION("""COMPUTED_VALUE"""),"RCG: 2ND PMS")</f>
        <v>RCG: 2ND PMS</v>
      </c>
      <c r="L818" s="72" t="str">
        <f>IFERROR(__xludf.DUMMYFUNCTION("""COMPUTED_VALUE"""),"RCG: TAWIDI ISLA 
RCG: DONE 2ND PMS")</f>
        <v>RCG: TAWIDI ISLA 
RCG: DONE 2ND PMS</v>
      </c>
      <c r="M818" s="2"/>
      <c r="N818" s="2" t="str">
        <f>IFERROR(__xludf.DUMMYFUNCTION("""COMPUTED_VALUE"""),"PARTS: OIL FILTER, HYDRAULIC FILTER, ENGINE OIL, HYDRAULIC FILTER")</f>
        <v>PARTS: OIL FILTER, HYDRAULIC FILTER, ENGINE OIL, HYDRAULIC FILTER</v>
      </c>
      <c r="O818" s="2">
        <f>IFERROR(__xludf.DUMMYFUNCTION("""COMPUTED_VALUE"""),153.0)</f>
        <v>153</v>
      </c>
      <c r="P818" s="2"/>
      <c r="Q818" s="2"/>
      <c r="R818" s="74">
        <f>IFERROR(__xludf.DUMMYFUNCTION("""COMPUTED_VALUE"""),45796.0)</f>
        <v>45796</v>
      </c>
      <c r="S818" s="2" t="str">
        <f>IFERROR(__xludf.DUMMYFUNCTION("""COMPUTED_VALUE"""),"RCG/RBS")</f>
        <v>RCG/RBS</v>
      </c>
      <c r="T818" s="73">
        <f>IFERROR(__xludf.DUMMYFUNCTION("""COMPUTED_VALUE"""),17994.75)</f>
        <v>17994.75</v>
      </c>
      <c r="U818" s="73" t="str">
        <f>IFERROR(__xludf.DUMMYFUNCTION("""COMPUTED_VALUE""")," REMITTED ")</f>
        <v>REMITTED</v>
      </c>
      <c r="V818" s="2"/>
      <c r="W818" s="2">
        <f>IFERROR(__xludf.DUMMYFUNCTION("""COMPUTED_VALUE"""),1402.0)</f>
        <v>1402</v>
      </c>
      <c r="X818" s="2">
        <f>IFERROR(__xludf.DUMMYFUNCTION("""COMPUTED_VALUE"""),1380.0)</f>
        <v>1380</v>
      </c>
      <c r="Y818" s="2"/>
      <c r="Z818" s="2"/>
      <c r="AA818" s="2"/>
      <c r="AB818" s="2"/>
      <c r="AC818" s="2"/>
      <c r="AD818" s="2"/>
      <c r="AE818" s="2"/>
      <c r="AF818" s="2"/>
      <c r="AG818" s="2"/>
      <c r="AH818" s="2"/>
      <c r="AI818" s="2"/>
      <c r="AJ818" s="2" t="str">
        <f>IFERROR(__xludf.DUMMYFUNCTION("""COMPUTED_VALUE"""),"Poblacion Guitna")</f>
        <v>Poblacion Guitna</v>
      </c>
      <c r="AK818" s="2" t="str">
        <f>IFERROR(__xludf.DUMMYFUNCTION("""COMPUTED_VALUE"""),"Looc")</f>
        <v>Looc</v>
      </c>
      <c r="AL818" s="2" t="str">
        <f>IFERROR(__xludf.DUMMYFUNCTION("""COMPUTED_VALUE"""),"Occidental Mindoro")</f>
        <v>Occidental Mindoro</v>
      </c>
      <c r="AM818" s="2" t="str">
        <f>IFERROR(__xludf.DUMMYFUNCTION("""COMPUTED_VALUE"""),"4B")</f>
        <v>4B</v>
      </c>
      <c r="AN818" s="2" t="str">
        <f>IFERROR(__xludf.DUMMYFUNCTION("""COMPUTED_VALUE"""),"RCEF 23-08-20 Rebidding")</f>
        <v>RCEF 23-08-20 Rebidding</v>
      </c>
      <c r="AO818" s="2">
        <f>IFERROR(__xludf.DUMMYFUNCTION("""COMPUTED_VALUE"""),1.0)</f>
        <v>1</v>
      </c>
      <c r="AP818" s="2"/>
      <c r="AQ818" s="2"/>
      <c r="AR818" s="2"/>
      <c r="AS818" s="2"/>
      <c r="AT818" s="2"/>
      <c r="AU818" s="2"/>
      <c r="AV818" s="2"/>
      <c r="AW818" s="2"/>
      <c r="AX818" s="2"/>
      <c r="AY818" s="2"/>
      <c r="AZ818" s="2"/>
      <c r="BA818" s="2"/>
      <c r="BB818" s="2"/>
    </row>
    <row r="819">
      <c r="A819" s="2">
        <f>IFERROR(__xludf.DUMMYFUNCTION("""COMPUTED_VALUE"""),815.0)</f>
        <v>815</v>
      </c>
      <c r="B819" s="2" t="str">
        <f>IFERROR(__xludf.DUMMYFUNCTION("""COMPUTED_VALUE"""),"COMPLETED")</f>
        <v>COMPLETED</v>
      </c>
      <c r="C819" s="74">
        <f>IFERROR(__xludf.DUMMYFUNCTION("""COMPUTED_VALUE"""),45719.0)</f>
        <v>45719</v>
      </c>
      <c r="D819" s="71" t="str">
        <f>IFERROR(__xludf.DUMMYFUNCTION("""COMPUTED_VALUE"""),"MAUBAN FARMERS ASSOCIATION")</f>
        <v>MAUBAN FARMERS ASSOCIATION</v>
      </c>
      <c r="E819" s="71" t="str">
        <f>IFERROR(__xludf.DUMMYFUNCTION("""COMPUTED_VALUE"""),"Rizaliana, Mauban, Quezon")</f>
        <v>Rizaliana, Mauban, Quezon</v>
      </c>
      <c r="F819" s="2" t="str">
        <f>IFERROR(__xludf.DUMMYFUNCTION("""COMPUTED_VALUE"""),"ROLANDO SANTILIANO")</f>
        <v>ROLANDO SANTILIANO</v>
      </c>
      <c r="G819" s="2">
        <f>IFERROR(__xludf.DUMMYFUNCTION("""COMPUTED_VALUE"""),9.634781475E9)</f>
        <v>9634781475</v>
      </c>
      <c r="H819" s="2"/>
      <c r="I819" s="72" t="str">
        <f>IFERROR(__xludf.DUMMYFUNCTION("""COMPUTED_VALUE"""),"REPAIR - TRACTOR")</f>
        <v>REPAIR - TRACTOR</v>
      </c>
      <c r="J819" s="72" t="str">
        <f>IFERROR(__xludf.DUMMYFUNCTION("""COMPUTED_VALUE"""),"Electrical - PTO Switch")</f>
        <v>Electrical - PTO Switch</v>
      </c>
      <c r="K819" s="72" t="str">
        <f>IFERROR(__xludf.DUMMYFUNCTION("""COMPUTED_VALUE"""),"FARMER: HYDRAULIC SWITCH/ PTO SWITCH")</f>
        <v>FARMER: HYDRAULIC SWITCH/ PTO SWITCH</v>
      </c>
      <c r="L819" s="72" t="str">
        <f>IFERROR(__xludf.DUMMYFUNCTION("""COMPUTED_VALUE"""),"DELIVERED")</f>
        <v>DELIVERED</v>
      </c>
      <c r="M819" s="2"/>
      <c r="N819" s="2" t="str">
        <f>IFERROR(__xludf.DUMMYFUNCTION("""COMPUTED_VALUE"""),"PARTS: PTO SWITCH")</f>
        <v>PARTS: PTO SWITCH</v>
      </c>
      <c r="O819" s="2" t="str">
        <f>IFERROR(__xludf.DUMMYFUNCTION("""COMPUTED_VALUE"""),"N/A")</f>
        <v>N/A</v>
      </c>
      <c r="P819" s="2"/>
      <c r="Q819" s="2"/>
      <c r="R819" s="74">
        <f>IFERROR(__xludf.DUMMYFUNCTION("""COMPUTED_VALUE"""),45737.0)</f>
        <v>45737</v>
      </c>
      <c r="S819" s="2" t="str">
        <f>IFERROR(__xludf.DUMMYFUNCTION("""COMPUTED_VALUE"""),"JTT")</f>
        <v>JTT</v>
      </c>
      <c r="T819" s="73">
        <f>IFERROR(__xludf.DUMMYFUNCTION("""COMPUTED_VALUE"""),4200.0)</f>
        <v>4200</v>
      </c>
      <c r="U819" s="73" t="str">
        <f>IFERROR(__xludf.DUMMYFUNCTION("""COMPUTED_VALUE""")," REMITTED ")</f>
        <v>REMITTED</v>
      </c>
      <c r="V819" s="2"/>
      <c r="W819" s="2"/>
      <c r="X819" s="2"/>
      <c r="Y819" s="2"/>
      <c r="Z819" s="2"/>
      <c r="AA819" s="2"/>
      <c r="AB819" s="2"/>
      <c r="AC819" s="2"/>
      <c r="AD819" s="2"/>
      <c r="AE819" s="2"/>
      <c r="AF819" s="2"/>
      <c r="AG819" s="2"/>
      <c r="AH819" s="2"/>
      <c r="AI819" s="2"/>
      <c r="AJ819" s="2" t="str">
        <f>IFERROR(__xludf.DUMMYFUNCTION("""COMPUTED_VALUE"""),"Rizaliana")</f>
        <v>Rizaliana</v>
      </c>
      <c r="AK819" s="2" t="str">
        <f>IFERROR(__xludf.DUMMYFUNCTION("""COMPUTED_VALUE"""),"Mauban")</f>
        <v>Mauban</v>
      </c>
      <c r="AL819" s="2" t="str">
        <f>IFERROR(__xludf.DUMMYFUNCTION("""COMPUTED_VALUE"""),"Quezon")</f>
        <v>Quezon</v>
      </c>
      <c r="AM819" s="2" t="str">
        <f>IFERROR(__xludf.DUMMYFUNCTION("""COMPUTED_VALUE"""),"4A")</f>
        <v>4A</v>
      </c>
      <c r="AN819" s="2" t="str">
        <f>IFERROR(__xludf.DUMMYFUNCTION("""COMPUTED_VALUE"""),"RCEF 23-08-20 Rebidding")</f>
        <v>RCEF 23-08-20 Rebidding</v>
      </c>
      <c r="AO819" s="2">
        <f>IFERROR(__xludf.DUMMYFUNCTION("""COMPUTED_VALUE"""),1.0)</f>
        <v>1</v>
      </c>
      <c r="AP819" s="2"/>
      <c r="AQ819" s="2"/>
      <c r="AR819" s="2"/>
      <c r="AS819" s="2"/>
      <c r="AT819" s="2"/>
      <c r="AU819" s="2"/>
      <c r="AV819" s="2"/>
      <c r="AW819" s="2"/>
      <c r="AX819" s="2"/>
      <c r="AY819" s="2"/>
      <c r="AZ819" s="2"/>
      <c r="BA819" s="2"/>
      <c r="BB819" s="2"/>
    </row>
    <row r="820">
      <c r="A820" s="2">
        <f>IFERROR(__xludf.DUMMYFUNCTION("""COMPUTED_VALUE"""),816.0)</f>
        <v>816</v>
      </c>
      <c r="B820" s="2" t="str">
        <f>IFERROR(__xludf.DUMMYFUNCTION("""COMPUTED_VALUE"""),"COMPLETED")</f>
        <v>COMPLETED</v>
      </c>
      <c r="C820" s="74">
        <f>IFERROR(__xludf.DUMMYFUNCTION("""COMPUTED_VALUE"""),45719.0)</f>
        <v>45719</v>
      </c>
      <c r="D820" s="71" t="str">
        <f>IFERROR(__xludf.DUMMYFUNCTION("""COMPUTED_VALUE"""),"MUNICIPAL LOCAL GOVERNMENT UNIT OF ANGAT")</f>
        <v>MUNICIPAL LOCAL GOVERNMENT UNIT OF ANGAT</v>
      </c>
      <c r="E820" s="71" t="str">
        <f>IFERROR(__xludf.DUMMYFUNCTION("""COMPUTED_VALUE"""),"Poblacion, Angat, Bulacan")</f>
        <v>Poblacion, Angat, Bulacan</v>
      </c>
      <c r="F820" s="2" t="str">
        <f>IFERROR(__xludf.DUMMYFUNCTION("""COMPUTED_VALUE"""),"MASSEY BOY")</f>
        <v>MASSEY BOY</v>
      </c>
      <c r="G820" s="2">
        <f>IFERROR(__xludf.DUMMYFUNCTION("""COMPUTED_VALUE"""),9.179941102E9)</f>
        <v>9179941102</v>
      </c>
      <c r="H820" s="2">
        <f>IFERROR(__xludf.DUMMYFUNCTION("""COMPUTED_VALUE"""),1314.0)</f>
        <v>1314</v>
      </c>
      <c r="I820" s="72" t="str">
        <f>IFERROR(__xludf.DUMMYFUNCTION("""COMPUTED_VALUE"""),"REPAIR - TRACTOR")</f>
        <v>REPAIR - TRACTOR</v>
      </c>
      <c r="J820" s="72" t="str">
        <f>IFERROR(__xludf.DUMMYFUNCTION("""COMPUTED_VALUE"""),"PST - Cylinder Assy")</f>
        <v>PST - Cylinder Assy</v>
      </c>
      <c r="K820" s="72" t="str">
        <f>IFERROR(__xludf.DUMMYFUNCTION("""COMPUTED_VALUE"""),"JHP: PST CYLINDER LEAKING
PARTS: PST CYLINDER ASSY")</f>
        <v>JHP: PST CYLINDER LEAKING
PARTS: PST CYLINDER ASSY</v>
      </c>
      <c r="L820" s="72" t="str">
        <f>IFERROR(__xludf.DUMMYFUNCTION("""COMPUTED_VALUE"""),"CLOSED")</f>
        <v>CLOSED</v>
      </c>
      <c r="M820" s="2"/>
      <c r="N820" s="2"/>
      <c r="O820" s="2" t="str">
        <f>IFERROR(__xludf.DUMMYFUNCTION("""COMPUTED_VALUE"""),"N/A")</f>
        <v>N/A</v>
      </c>
      <c r="P820" s="2"/>
      <c r="Q820" s="2"/>
      <c r="R820" s="74">
        <f>IFERROR(__xludf.DUMMYFUNCTION("""COMPUTED_VALUE"""),45736.0)</f>
        <v>45736</v>
      </c>
      <c r="S820" s="2" t="str">
        <f>IFERROR(__xludf.DUMMYFUNCTION("""COMPUTED_VALUE"""),"EGT/DRM")</f>
        <v>EGT/DRM</v>
      </c>
      <c r="T820" s="73" t="str">
        <f>IFERROR(__xludf.DUMMYFUNCTION("""COMPUTED_VALUE""")," N/A ")</f>
        <v>N/A</v>
      </c>
      <c r="U820" s="73" t="str">
        <f>IFERROR(__xludf.DUMMYFUNCTION("""COMPUTED_VALUE""")," NO CHARGE ")</f>
        <v>NO CHARGE</v>
      </c>
      <c r="V820" s="2"/>
      <c r="W820" s="2" t="str">
        <f>IFERROR(__xludf.DUMMYFUNCTION("""COMPUTED_VALUE"""),"N/A")</f>
        <v>N/A</v>
      </c>
      <c r="X820" s="2" t="str">
        <f>IFERROR(__xludf.DUMMYFUNCTION("""COMPUTED_VALUE"""),"N/A")</f>
        <v>N/A</v>
      </c>
      <c r="Y820" s="2"/>
      <c r="Z820" s="2"/>
      <c r="AA820" s="2"/>
      <c r="AB820" s="2"/>
      <c r="AC820" s="2"/>
      <c r="AD820" s="2"/>
      <c r="AE820" s="2"/>
      <c r="AF820" s="2"/>
      <c r="AG820" s="2"/>
      <c r="AH820" s="2"/>
      <c r="AI820" s="2"/>
      <c r="AJ820" s="2" t="str">
        <f>IFERROR(__xludf.DUMMYFUNCTION("""COMPUTED_VALUE"""),"Poblacion")</f>
        <v>Poblacion</v>
      </c>
      <c r="AK820" s="2" t="str">
        <f>IFERROR(__xludf.DUMMYFUNCTION("""COMPUTED_VALUE"""),"Angat")</f>
        <v>Angat</v>
      </c>
      <c r="AL820" s="2" t="str">
        <f>IFERROR(__xludf.DUMMYFUNCTION("""COMPUTED_VALUE"""),"Bulacan")</f>
        <v>Bulacan</v>
      </c>
      <c r="AM820" s="2">
        <f>IFERROR(__xludf.DUMMYFUNCTION("""COMPUTED_VALUE"""),3.0)</f>
        <v>3</v>
      </c>
      <c r="AN820" s="2" t="str">
        <f>IFERROR(__xludf.DUMMYFUNCTION("""COMPUTED_VALUE"""),"RCEF 23-09-21 Rebidding")</f>
        <v>RCEF 23-09-21 Rebidding</v>
      </c>
      <c r="AO820" s="2">
        <f>IFERROR(__xludf.DUMMYFUNCTION("""COMPUTED_VALUE"""),3.0)</f>
        <v>3</v>
      </c>
      <c r="AP820" s="2"/>
      <c r="AQ820" s="2"/>
      <c r="AR820" s="2"/>
      <c r="AS820" s="2"/>
      <c r="AT820" s="2"/>
      <c r="AU820" s="2"/>
      <c r="AV820" s="2"/>
      <c r="AW820" s="2"/>
      <c r="AX820" s="2"/>
      <c r="AY820" s="2"/>
      <c r="AZ820" s="2"/>
      <c r="BA820" s="2"/>
      <c r="BB820" s="2"/>
    </row>
    <row r="821">
      <c r="A821" s="2">
        <f>IFERROR(__xludf.DUMMYFUNCTION("""COMPUTED_VALUE"""),817.0)</f>
        <v>817</v>
      </c>
      <c r="B821" s="2" t="str">
        <f>IFERROR(__xludf.DUMMYFUNCTION("""COMPUTED_VALUE"""),"COMPLETED")</f>
        <v>COMPLETED</v>
      </c>
      <c r="C821" s="74">
        <f>IFERROR(__xludf.DUMMYFUNCTION("""COMPUTED_VALUE"""),45719.0)</f>
        <v>45719</v>
      </c>
      <c r="D821" s="71" t="str">
        <f>IFERROR(__xludf.DUMMYFUNCTION("""COMPUTED_VALUE"""),"KAINGIN TAGUMPAY FARMERS AND IRRIGATORS ASSOCIATION (KATFAIA)")</f>
        <v>KAINGIN TAGUMPAY FARMERS AND IRRIGATORS ASSOCIATION (KATFAIA)</v>
      </c>
      <c r="E821" s="71" t="str">
        <f>IFERROR(__xludf.DUMMYFUNCTION("""COMPUTED_VALUE"""),"TAGUMPAY, SABLAYAN, OCCIDENTAL MINDORO")</f>
        <v>TAGUMPAY, SABLAYAN, OCCIDENTAL MINDORO</v>
      </c>
      <c r="F821" s="2" t="str">
        <f>IFERROR(__xludf.DUMMYFUNCTION("""COMPUTED_VALUE"""),"ROBERTO NAVALTA")</f>
        <v>ROBERTO NAVALTA</v>
      </c>
      <c r="G821" s="2" t="str">
        <f>IFERROR(__xludf.DUMMYFUNCTION("""COMPUTED_VALUE"""),"0975-537-0138")</f>
        <v>0975-537-0138</v>
      </c>
      <c r="H821" s="2"/>
      <c r="I821" s="72" t="str">
        <f>IFERROR(__xludf.DUMMYFUNCTION("""COMPUTED_VALUE"""),"REPAIR - DISC PLOW")</f>
        <v>REPAIR - DISC PLOW</v>
      </c>
      <c r="J821" s="72"/>
      <c r="K821" s="72" t="str">
        <f>IFERROR(__xludf.DUMMYFUNCTION("""COMPUTED_VALUE"""),"RBS: LOSTRED ANG BOLT NG DISC PLOW: BOLT HEAD 22MM BODY 14MM LENGHT 3MM (HIGHTENSIL BOLT)")</f>
        <v>RBS: LOSTRED ANG BOLT NG DISC PLOW: BOLT HEAD 22MM BODY 14MM LENGHT 3MM (HIGHTENSIL BOLT)</v>
      </c>
      <c r="L821" s="72" t="str">
        <f>IFERROR(__xludf.DUMMYFUNCTION("""COMPUTED_VALUE"""),"RCG: HINDI NA NADAAN , KASI MAY PINAGAWA SI BOSS KARL: CLOSED NA TAWAGAN KO NALANG")</f>
        <v>RCG: HINDI NA NADAAN , KASI MAY PINAGAWA SI BOSS KARL: CLOSED NA TAWAGAN KO NALANG</v>
      </c>
      <c r="M821" s="2"/>
      <c r="N821" s="2"/>
      <c r="O821" s="2" t="str">
        <f>IFERROR(__xludf.DUMMYFUNCTION("""COMPUTED_VALUE"""),"N/A")</f>
        <v>N/A</v>
      </c>
      <c r="P821" s="2"/>
      <c r="Q821" s="2"/>
      <c r="R821" s="74">
        <f>IFERROR(__xludf.DUMMYFUNCTION("""COMPUTED_VALUE"""),45737.0)</f>
        <v>45737</v>
      </c>
      <c r="S821" s="2" t="str">
        <f>IFERROR(__xludf.DUMMYFUNCTION("""COMPUTED_VALUE"""),"RCG/DSD")</f>
        <v>RCG/DSD</v>
      </c>
      <c r="T821" s="73" t="str">
        <f>IFERROR(__xludf.DUMMYFUNCTION("""COMPUTED_VALUE""")," N/A ")</f>
        <v>N/A</v>
      </c>
      <c r="U821" s="73" t="str">
        <f>IFERROR(__xludf.DUMMYFUNCTION("""COMPUTED_VALUE""")," NO CHARGE ")</f>
        <v>NO CHARGE</v>
      </c>
      <c r="V821" s="2"/>
      <c r="W821" s="2" t="str">
        <f>IFERROR(__xludf.DUMMYFUNCTION("""COMPUTED_VALUE"""),"N/A")</f>
        <v>N/A</v>
      </c>
      <c r="X821" s="2" t="str">
        <f>IFERROR(__xludf.DUMMYFUNCTION("""COMPUTED_VALUE"""),"N/A")</f>
        <v>N/A</v>
      </c>
      <c r="Y821" s="2"/>
      <c r="Z821" s="2"/>
      <c r="AA821" s="2"/>
      <c r="AB821" s="2"/>
      <c r="AC821" s="2"/>
      <c r="AD821" s="2"/>
      <c r="AE821" s="2"/>
      <c r="AF821" s="2"/>
      <c r="AG821" s="2"/>
      <c r="AH821" s="2"/>
      <c r="AI821" s="2"/>
      <c r="AJ821" s="2" t="str">
        <f>IFERROR(__xludf.DUMMYFUNCTION("""COMPUTED_VALUE"""),"Tagumpay")</f>
        <v>Tagumpay</v>
      </c>
      <c r="AK821" s="2" t="str">
        <f>IFERROR(__xludf.DUMMYFUNCTION("""COMPUTED_VALUE"""),"Sablayan")</f>
        <v>Sablayan</v>
      </c>
      <c r="AL821" s="2" t="str">
        <f>IFERROR(__xludf.DUMMYFUNCTION("""COMPUTED_VALUE"""),"Occidental Mindoro")</f>
        <v>Occidental Mindoro</v>
      </c>
      <c r="AM821" s="2" t="str">
        <f>IFERROR(__xludf.DUMMYFUNCTION("""COMPUTED_VALUE"""),"4B")</f>
        <v>4B</v>
      </c>
      <c r="AN821" s="2" t="str">
        <f>IFERROR(__xludf.DUMMYFUNCTION("""COMPUTED_VALUE"""),"RCEF 23-08-20 Rebidding")</f>
        <v>RCEF 23-08-20 Rebidding</v>
      </c>
      <c r="AO821" s="2">
        <f>IFERROR(__xludf.DUMMYFUNCTION("""COMPUTED_VALUE"""),1.0)</f>
        <v>1</v>
      </c>
      <c r="AP821" s="2"/>
      <c r="AQ821" s="2"/>
      <c r="AR821" s="2"/>
      <c r="AS821" s="2"/>
      <c r="AT821" s="2"/>
      <c r="AU821" s="2"/>
      <c r="AV821" s="2"/>
      <c r="AW821" s="2"/>
      <c r="AX821" s="2"/>
      <c r="AY821" s="2"/>
      <c r="AZ821" s="2"/>
      <c r="BA821" s="2"/>
      <c r="BB821" s="2"/>
    </row>
    <row r="822">
      <c r="A822" s="2">
        <f>IFERROR(__xludf.DUMMYFUNCTION("""COMPUTED_VALUE"""),818.0)</f>
        <v>818</v>
      </c>
      <c r="B822" s="2" t="str">
        <f>IFERROR(__xludf.DUMMYFUNCTION("""COMPUTED_VALUE"""),"COMPLETED")</f>
        <v>COMPLETED</v>
      </c>
      <c r="C822" s="74">
        <f>IFERROR(__xludf.DUMMYFUNCTION("""COMPUTED_VALUE"""),45719.0)</f>
        <v>45719</v>
      </c>
      <c r="D822" s="71" t="str">
        <f>IFERROR(__xludf.DUMMYFUNCTION("""COMPUTED_VALUE"""),"AKLEJO FARMERS IRRIGATORS' ASSOCIATION, INC.")</f>
        <v>AKLEJO FARMERS IRRIGATORS' ASSOCIATION, INC.</v>
      </c>
      <c r="E822" s="71" t="str">
        <f>IFERROR(__xludf.DUMMYFUNCTION("""COMPUTED_VALUE"""),", Bansud, ORIENTAL MINDORO")</f>
        <v>, Bansud, ORIENTAL MINDORO</v>
      </c>
      <c r="F822" s="2"/>
      <c r="G822" s="2"/>
      <c r="H822" s="2"/>
      <c r="I822" s="72" t="str">
        <f>IFERROR(__xludf.DUMMYFUNCTION("""COMPUTED_VALUE"""),"REPAIR - TRACTOR")</f>
        <v>REPAIR - TRACTOR</v>
      </c>
      <c r="J822" s="72" t="str">
        <f>IFERROR(__xludf.DUMMYFUNCTION("""COMPUTED_VALUE"""),"hood")</f>
        <v>hood</v>
      </c>
      <c r="K822" s="72" t="str">
        <f>IFERROR(__xludf.DUMMYFUNCTION("""COMPUTED_VALUE"""),"RBS: NEW UNIT, SIRA ANG LOCK NG HOOD UPON DELIVERY
PARTS: LOCKING ASS'Y,BONNET 
")</f>
        <v>RBS: NEW UNIT, SIRA ANG LOCK NG HOOD UPON DELIVERY
PARTS: LOCKING ASS'Y,BONNET 
</v>
      </c>
      <c r="L822" s="72" t="str">
        <f>IFERROR(__xludf.DUMMYFUNCTION("""COMPUTED_VALUE"""),"CLOSED")</f>
        <v>CLOSED</v>
      </c>
      <c r="M822" s="2"/>
      <c r="N822" s="2"/>
      <c r="O822" s="2" t="str">
        <f>IFERROR(__xludf.DUMMYFUNCTION("""COMPUTED_VALUE"""),"N/A")</f>
        <v>N/A</v>
      </c>
      <c r="P822" s="2"/>
      <c r="Q822" s="2"/>
      <c r="R822" s="74">
        <f>IFERROR(__xludf.DUMMYFUNCTION("""COMPUTED_VALUE"""),45737.0)</f>
        <v>45737</v>
      </c>
      <c r="S822" s="2" t="str">
        <f>IFERROR(__xludf.DUMMYFUNCTION("""COMPUTED_VALUE"""),"RCG/DSD")</f>
        <v>RCG/DSD</v>
      </c>
      <c r="T822" s="73" t="str">
        <f>IFERROR(__xludf.DUMMYFUNCTION("""COMPUTED_VALUE""")," N/A ")</f>
        <v>N/A</v>
      </c>
      <c r="U822" s="73" t="str">
        <f>IFERROR(__xludf.DUMMYFUNCTION("""COMPUTED_VALUE""")," NO CHARGE ")</f>
        <v>NO CHARGE</v>
      </c>
      <c r="V822" s="2"/>
      <c r="W822" s="2" t="str">
        <f>IFERROR(__xludf.DUMMYFUNCTION("""COMPUTED_VALUE"""),"N/A")</f>
        <v>N/A</v>
      </c>
      <c r="X822" s="2" t="str">
        <f>IFERROR(__xludf.DUMMYFUNCTION("""COMPUTED_VALUE"""),"N/A")</f>
        <v>N/A</v>
      </c>
      <c r="Y822" s="2"/>
      <c r="Z822" s="2"/>
      <c r="AA822" s="2"/>
      <c r="AB822" s="2"/>
      <c r="AC822" s="2"/>
      <c r="AD822" s="2"/>
      <c r="AE822" s="2"/>
      <c r="AF822" s="2"/>
      <c r="AG822" s="2"/>
      <c r="AH822" s="2"/>
      <c r="AI822" s="2"/>
      <c r="AJ822" s="2" t="str">
        <f>IFERROR(__xludf.DUMMYFUNCTION("""COMPUTED_VALUE"""),"")</f>
        <v/>
      </c>
      <c r="AK822" s="2" t="str">
        <f>IFERROR(__xludf.DUMMYFUNCTION("""COMPUTED_VALUE"""),"Bansud")</f>
        <v>Bansud</v>
      </c>
      <c r="AL822" s="2" t="str">
        <f>IFERROR(__xludf.DUMMYFUNCTION("""COMPUTED_VALUE"""),"Oriental Mindoro")</f>
        <v>Oriental Mindoro</v>
      </c>
      <c r="AM822" s="2" t="str">
        <f>IFERROR(__xludf.DUMMYFUNCTION("""COMPUTED_VALUE"""),"4B")</f>
        <v>4B</v>
      </c>
      <c r="AN822" s="2" t="str">
        <f>IFERROR(__xludf.DUMMYFUNCTION("""COMPUTED_VALUE"""),"RCEF 24-04-15")</f>
        <v>RCEF 24-04-15</v>
      </c>
      <c r="AO822" s="2">
        <f>IFERROR(__xludf.DUMMYFUNCTION("""COMPUTED_VALUE"""),7.0)</f>
        <v>7</v>
      </c>
      <c r="AP822" s="2" t="str">
        <f>IFERROR(__xludf.DUMMYFUNCTION("""COMPUTED_VALUE"""),"FREE PMS")</f>
        <v>FREE PMS</v>
      </c>
      <c r="AQ822" s="2"/>
      <c r="AR822" s="2"/>
      <c r="AS822" s="2"/>
      <c r="AT822" s="2"/>
      <c r="AU822" s="2"/>
      <c r="AV822" s="2"/>
      <c r="AW822" s="2"/>
      <c r="AX822" s="2"/>
      <c r="AY822" s="2"/>
      <c r="AZ822" s="2"/>
      <c r="BA822" s="2"/>
      <c r="BB822" s="2"/>
    </row>
    <row r="823">
      <c r="A823" s="2">
        <f>IFERROR(__xludf.DUMMYFUNCTION("""COMPUTED_VALUE"""),819.0)</f>
        <v>819</v>
      </c>
      <c r="B823" s="2" t="str">
        <f>IFERROR(__xludf.DUMMYFUNCTION("""COMPUTED_VALUE"""),"COMPLETED")</f>
        <v>COMPLETED</v>
      </c>
      <c r="C823" s="74">
        <f>IFERROR(__xludf.DUMMYFUNCTION("""COMPUTED_VALUE"""),45720.0)</f>
        <v>45720</v>
      </c>
      <c r="D823" s="71" t="str">
        <f>IFERROR(__xludf.DUMMYFUNCTION("""COMPUTED_VALUE"""),"MEN GAWISAN NAN IGOROT ED CALALIGAN FARMERS ASSOCIATION")</f>
        <v>MEN GAWISAN NAN IGOROT ED CALALIGAN FARMERS ASSOCIATION</v>
      </c>
      <c r="E823" s="71" t="str">
        <f>IFERROR(__xludf.DUMMYFUNCTION("""COMPUTED_VALUE"""),"Masablang, Tabuk City, KALINGA")</f>
        <v>Masablang, Tabuk City, KALINGA</v>
      </c>
      <c r="F823" s="2" t="str">
        <f>IFERROR(__xludf.DUMMYFUNCTION("""COMPUTED_VALUE"""),"ANGELITA LUMAS-E PO")</f>
        <v>ANGELITA LUMAS-E PO</v>
      </c>
      <c r="G823" s="2">
        <f>IFERROR(__xludf.DUMMYFUNCTION("""COMPUTED_VALUE"""),9.353940653E9)</f>
        <v>9353940653</v>
      </c>
      <c r="H823" s="2"/>
      <c r="I823" s="72" t="str">
        <f>IFERROR(__xludf.DUMMYFUNCTION("""COMPUTED_VALUE"""),"PMS")</f>
        <v>PMS</v>
      </c>
      <c r="J823" s="72" t="str">
        <f>IFERROR(__xludf.DUMMYFUNCTION("""COMPUTED_VALUE"""),"PMS")</f>
        <v>PMS</v>
      </c>
      <c r="K823" s="72" t="str">
        <f>IFERROR(__xludf.DUMMYFUNCTION("""COMPUTED_VALUE"""),"FARMER: 1ST PMS (FREE ENGINE OIL ANG OIL FILTER)")</f>
        <v>FARMER: 1ST PMS (FREE ENGINE OIL ANG OIL FILTER)</v>
      </c>
      <c r="L823" s="72" t="str">
        <f>IFERROR(__xludf.DUMMYFUNCTION("""COMPUTED_VALUE"""),"CFG: 1ST PMS DONE")</f>
        <v>CFG: 1ST PMS DONE</v>
      </c>
      <c r="M823" s="2"/>
      <c r="N823" s="2" t="str">
        <f>IFERROR(__xludf.DUMMYFUNCTION("""COMPUTED_VALUE"""),"PARTS: ENGINE OIL, OIL FILTER")</f>
        <v>PARTS: ENGINE OIL, OIL FILTER</v>
      </c>
      <c r="O823" s="2">
        <f>IFERROR(__xludf.DUMMYFUNCTION("""COMPUTED_VALUE"""),1171.0)</f>
        <v>1171</v>
      </c>
      <c r="P823" s="2"/>
      <c r="Q823" s="2"/>
      <c r="R823" s="74">
        <f>IFERROR(__xludf.DUMMYFUNCTION("""COMPUTED_VALUE"""),45706.0)</f>
        <v>45706</v>
      </c>
      <c r="S823" s="2" t="str">
        <f>IFERROR(__xludf.DUMMYFUNCTION("""COMPUTED_VALUE"""),"CFG")</f>
        <v>CFG</v>
      </c>
      <c r="T823" s="73" t="str">
        <f>IFERROR(__xludf.DUMMYFUNCTION("""COMPUTED_VALUE""")," N/A ")</f>
        <v>N/A</v>
      </c>
      <c r="U823" s="73" t="str">
        <f>IFERROR(__xludf.DUMMYFUNCTION("""COMPUTED_VALUE""")," NO CHARGE ")</f>
        <v>NO CHARGE</v>
      </c>
      <c r="V823" s="2"/>
      <c r="W823" s="2" t="str">
        <f>IFERROR(__xludf.DUMMYFUNCTION("""COMPUTED_VALUE"""),"N/A")</f>
        <v>N/A</v>
      </c>
      <c r="X823" s="2" t="str">
        <f>IFERROR(__xludf.DUMMYFUNCTION("""COMPUTED_VALUE"""),"N/A")</f>
        <v>N/A</v>
      </c>
      <c r="Y823" s="2"/>
      <c r="Z823" s="2"/>
      <c r="AA823" s="2"/>
      <c r="AB823" s="2"/>
      <c r="AC823" s="2"/>
      <c r="AD823" s="2"/>
      <c r="AE823" s="2"/>
      <c r="AF823" s="2"/>
      <c r="AG823" s="2"/>
      <c r="AH823" s="2"/>
      <c r="AI823" s="2"/>
      <c r="AJ823" s="2" t="str">
        <f>IFERROR(__xludf.DUMMYFUNCTION("""COMPUTED_VALUE"""),"Masablang")</f>
        <v>Masablang</v>
      </c>
      <c r="AK823" s="2" t="str">
        <f>IFERROR(__xludf.DUMMYFUNCTION("""COMPUTED_VALUE"""),"Tabuk City")</f>
        <v>Tabuk City</v>
      </c>
      <c r="AL823" s="2" t="str">
        <f>IFERROR(__xludf.DUMMYFUNCTION("""COMPUTED_VALUE"""),"Kalinga")</f>
        <v>Kalinga</v>
      </c>
      <c r="AM823" s="2" t="str">
        <f>IFERROR(__xludf.DUMMYFUNCTION("""COMPUTED_VALUE"""),"CAR")</f>
        <v>CAR</v>
      </c>
      <c r="AN823" s="2" t="str">
        <f>IFERROR(__xludf.DUMMYFUNCTION("""COMPUTED_VALUE"""),"RCEF 24-04-15")</f>
        <v>RCEF 24-04-15</v>
      </c>
      <c r="AO823" s="2">
        <f>IFERROR(__xludf.DUMMYFUNCTION("""COMPUTED_VALUE"""),6.0)</f>
        <v>6</v>
      </c>
      <c r="AP823" s="2" t="str">
        <f>IFERROR(__xludf.DUMMYFUNCTION("""COMPUTED_VALUE"""),"FREE PMS")</f>
        <v>FREE PMS</v>
      </c>
      <c r="AQ823" s="2"/>
      <c r="AR823" s="2"/>
      <c r="AS823" s="2"/>
      <c r="AT823" s="2"/>
      <c r="AU823" s="2"/>
      <c r="AV823" s="2"/>
      <c r="AW823" s="2"/>
      <c r="AX823" s="2"/>
      <c r="AY823" s="2"/>
      <c r="AZ823" s="2"/>
      <c r="BA823" s="2"/>
      <c r="BB823" s="2"/>
    </row>
    <row r="824">
      <c r="A824" s="2">
        <f>IFERROR(__xludf.DUMMYFUNCTION("""COMPUTED_VALUE"""),820.0)</f>
        <v>820</v>
      </c>
      <c r="B824" s="2" t="str">
        <f>IFERROR(__xludf.DUMMYFUNCTION("""COMPUTED_VALUE"""),"COMPLETED")</f>
        <v>COMPLETED</v>
      </c>
      <c r="C824" s="74">
        <f>IFERROR(__xludf.DUMMYFUNCTION("""COMPUTED_VALUE"""),45723.0)</f>
        <v>45723</v>
      </c>
      <c r="D824" s="71" t="str">
        <f>IFERROR(__xludf.DUMMYFUNCTION("""COMPUTED_VALUE"""),"One Binyayan Farmers Agriculture Cooperative")</f>
        <v>One Binyayan Farmers Agriculture Cooperative</v>
      </c>
      <c r="E824" s="71" t="str">
        <f>IFERROR(__xludf.DUMMYFUNCTION("""COMPUTED_VALUE"""),"O'Donnell, Capas, TARLAC")</f>
        <v>O'Donnell, Capas, TARLAC</v>
      </c>
      <c r="F824" s="2" t="str">
        <f>IFERROR(__xludf.DUMMYFUNCTION("""COMPUTED_VALUE"""),"AURELLIA VISTAN")</f>
        <v>AURELLIA VISTAN</v>
      </c>
      <c r="G824" s="2">
        <f>IFERROR(__xludf.DUMMYFUNCTION("""COMPUTED_VALUE"""),9.384098183E9)</f>
        <v>9384098183</v>
      </c>
      <c r="H824" s="2">
        <f>IFERROR(__xludf.DUMMYFUNCTION("""COMPUTED_VALUE"""),408.0)</f>
        <v>408</v>
      </c>
      <c r="I824" s="72" t="str">
        <f>IFERROR(__xludf.DUMMYFUNCTION("""COMPUTED_VALUE"""),"PMS")</f>
        <v>PMS</v>
      </c>
      <c r="J824" s="72" t="str">
        <f>IFERROR(__xludf.DUMMYFUNCTION("""COMPUTED_VALUE"""),"PMS")</f>
        <v>PMS</v>
      </c>
      <c r="K824" s="72" t="str">
        <f>IFERROR(__xludf.DUMMYFUNCTION("""COMPUTED_VALUE"""),"JDP: 2ND PMS")</f>
        <v>JDP: 2ND PMS</v>
      </c>
      <c r="L824" s="72" t="str">
        <f>IFERROR(__xludf.DUMMYFUNCTION("""COMPUTED_VALUE"""),"JDP: 3/17/25: ROTAVATOR PROBLEM; REPLACED HYDRAULIC OIL")</f>
        <v>JDP: 3/17/25: ROTAVATOR PROBLEM; REPLACED HYDRAULIC OIL</v>
      </c>
      <c r="M824" s="2"/>
      <c r="N824" s="2"/>
      <c r="O824" s="2">
        <f>IFERROR(__xludf.DUMMYFUNCTION("""COMPUTED_VALUE"""),1227.0)</f>
        <v>1227</v>
      </c>
      <c r="P824" s="2"/>
      <c r="Q824" s="2"/>
      <c r="R824" s="74">
        <f>IFERROR(__xludf.DUMMYFUNCTION("""COMPUTED_VALUE"""),45733.0)</f>
        <v>45733</v>
      </c>
      <c r="S824" s="2" t="str">
        <f>IFERROR(__xludf.DUMMYFUNCTION("""COMPUTED_VALUE"""),"JHP/ACS/JDP")</f>
        <v>JHP/ACS/JDP</v>
      </c>
      <c r="T824" s="73" t="str">
        <f>IFERROR(__xludf.DUMMYFUNCTION("""COMPUTED_VALUE""")," N/A ")</f>
        <v>N/A</v>
      </c>
      <c r="U824" s="73" t="str">
        <f>IFERROR(__xludf.DUMMYFUNCTION("""COMPUTED_VALUE""")," NO CHARGE ")</f>
        <v>NO CHARGE</v>
      </c>
      <c r="V824" s="2"/>
      <c r="W824" s="2" t="str">
        <f>IFERROR(__xludf.DUMMYFUNCTION("""COMPUTED_VALUE"""),"N/A")</f>
        <v>N/A</v>
      </c>
      <c r="X824" s="2" t="str">
        <f>IFERROR(__xludf.DUMMYFUNCTION("""COMPUTED_VALUE"""),"N/A")</f>
        <v>N/A</v>
      </c>
      <c r="Y824" s="2"/>
      <c r="Z824" s="2"/>
      <c r="AA824" s="2"/>
      <c r="AB824" s="2"/>
      <c r="AC824" s="2"/>
      <c r="AD824" s="2"/>
      <c r="AE824" s="2"/>
      <c r="AF824" s="2"/>
      <c r="AG824" s="2"/>
      <c r="AH824" s="2"/>
      <c r="AI824" s="2"/>
      <c r="AJ824" s="2" t="str">
        <f>IFERROR(__xludf.DUMMYFUNCTION("""COMPUTED_VALUE"""),"O'Donnell")</f>
        <v>O'Donnell</v>
      </c>
      <c r="AK824" s="2" t="str">
        <f>IFERROR(__xludf.DUMMYFUNCTION("""COMPUTED_VALUE"""),"Capas")</f>
        <v>Capas</v>
      </c>
      <c r="AL824" s="2" t="str">
        <f>IFERROR(__xludf.DUMMYFUNCTION("""COMPUTED_VALUE"""),"Tarlac")</f>
        <v>Tarlac</v>
      </c>
      <c r="AM824" s="2">
        <f>IFERROR(__xludf.DUMMYFUNCTION("""COMPUTED_VALUE"""),3.0)</f>
        <v>3</v>
      </c>
      <c r="AN824" s="2" t="str">
        <f>IFERROR(__xludf.DUMMYFUNCTION("""COMPUTED_VALUE"""),"RCEF 23-09-21 Rebidding")</f>
        <v>RCEF 23-09-21 Rebidding</v>
      </c>
      <c r="AO824" s="2">
        <f>IFERROR(__xludf.DUMMYFUNCTION("""COMPUTED_VALUE"""),3.0)</f>
        <v>3</v>
      </c>
      <c r="AP824" s="2"/>
      <c r="AQ824" s="2"/>
      <c r="AR824" s="2"/>
      <c r="AS824" s="2"/>
      <c r="AT824" s="2"/>
      <c r="AU824" s="2"/>
      <c r="AV824" s="2"/>
      <c r="AW824" s="2"/>
      <c r="AX824" s="2"/>
      <c r="AY824" s="2"/>
      <c r="AZ824" s="2"/>
      <c r="BA824" s="2"/>
      <c r="BB824" s="2"/>
    </row>
    <row r="825">
      <c r="A825" s="2">
        <f>IFERROR(__xludf.DUMMYFUNCTION("""COMPUTED_VALUE"""),821.0)</f>
        <v>821</v>
      </c>
      <c r="B825" s="2" t="str">
        <f>IFERROR(__xludf.DUMMYFUNCTION("""COMPUTED_VALUE"""),"COMPLETED")</f>
        <v>COMPLETED</v>
      </c>
      <c r="C825" s="74">
        <f>IFERROR(__xludf.DUMMYFUNCTION("""COMPUTED_VALUE"""),45723.0)</f>
        <v>45723</v>
      </c>
      <c r="D825" s="71" t="str">
        <f>IFERROR(__xludf.DUMMYFUNCTION("""COMPUTED_VALUE"""),"SANFELBIAG IRRIGATORS ASSOCIATION, INC.")</f>
        <v>SANFELBIAG IRRIGATORS ASSOCIATION, INC.</v>
      </c>
      <c r="E825" s="71" t="str">
        <f>IFERROR(__xludf.DUMMYFUNCTION("""COMPUTED_VALUE"""),"Bagumbayan (Pob.), Llanera, NUEVA ECIJA")</f>
        <v>Bagumbayan (Pob.), Llanera, NUEVA ECIJA</v>
      </c>
      <c r="F825" s="2" t="str">
        <f>IFERROR(__xludf.DUMMYFUNCTION("""COMPUTED_VALUE"""),"Chairman Reycard Esposo ")</f>
        <v>Chairman Reycard Esposo </v>
      </c>
      <c r="G825" s="2" t="str">
        <f>IFERROR(__xludf.DUMMYFUNCTION("""COMPUTED_VALUE"""),"09050994599;")</f>
        <v>09050994599;</v>
      </c>
      <c r="H825" s="2"/>
      <c r="I825" s="72" t="str">
        <f>IFERROR(__xludf.DUMMYFUNCTION("""COMPUTED_VALUE"""),"REPAIR - TRACTOR")</f>
        <v>REPAIR - TRACTOR</v>
      </c>
      <c r="J825" s="72" t="str">
        <f>IFERROR(__xludf.DUMMYFUNCTION("""COMPUTED_VALUE"""),"CHECK UP UNIT")</f>
        <v>CHECK UP UNIT</v>
      </c>
      <c r="K825" s="72" t="str">
        <f>IFERROR(__xludf.DUMMYFUNCTION("""COMPUTED_VALUE"""),"DSD: REAR AXLE LEAKING")</f>
        <v>DSD: REAR AXLE LEAKING</v>
      </c>
      <c r="L825" s="72" t="str">
        <f>IFERROR(__xludf.DUMMYFUNCTION("""COMPUTED_VALUE"""),"NO LEAKING")</f>
        <v>NO LEAKING</v>
      </c>
      <c r="M825" s="2"/>
      <c r="N825" s="2"/>
      <c r="O825" s="2" t="str">
        <f>IFERROR(__xludf.DUMMYFUNCTION("""COMPUTED_VALUE"""),"N/A")</f>
        <v>N/A</v>
      </c>
      <c r="P825" s="2"/>
      <c r="Q825" s="2"/>
      <c r="R825" s="74">
        <f>IFERROR(__xludf.DUMMYFUNCTION("""COMPUTED_VALUE"""),45803.0)</f>
        <v>45803</v>
      </c>
      <c r="S825" s="2" t="str">
        <f>IFERROR(__xludf.DUMMYFUNCTION("""COMPUTED_VALUE"""),"MYKEE")</f>
        <v>MYKEE</v>
      </c>
      <c r="T825" s="73" t="str">
        <f>IFERROR(__xludf.DUMMYFUNCTION("""COMPUTED_VALUE""")," N/A ")</f>
        <v>N/A</v>
      </c>
      <c r="U825" s="73" t="str">
        <f>IFERROR(__xludf.DUMMYFUNCTION("""COMPUTED_VALUE""")," NO CHARGE ")</f>
        <v>NO CHARGE</v>
      </c>
      <c r="V825" s="2"/>
      <c r="W825" s="2" t="str">
        <f>IFERROR(__xludf.DUMMYFUNCTION("""COMPUTED_VALUE"""),"N/A")</f>
        <v>N/A</v>
      </c>
      <c r="X825" s="2" t="str">
        <f>IFERROR(__xludf.DUMMYFUNCTION("""COMPUTED_VALUE"""),"N/A")</f>
        <v>N/A</v>
      </c>
      <c r="Y825" s="2"/>
      <c r="Z825" s="2"/>
      <c r="AA825" s="2"/>
      <c r="AB825" s="2"/>
      <c r="AC825" s="2"/>
      <c r="AD825" s="2"/>
      <c r="AE825" s="2"/>
      <c r="AF825" s="2"/>
      <c r="AG825" s="2"/>
      <c r="AH825" s="2"/>
      <c r="AI825" s="2"/>
      <c r="AJ825" s="2" t="str">
        <f>IFERROR(__xludf.DUMMYFUNCTION("""COMPUTED_VALUE"""),"Bagumbayan (Pob.)")</f>
        <v>Bagumbayan (Pob.)</v>
      </c>
      <c r="AK825" s="2" t="str">
        <f>IFERROR(__xludf.DUMMYFUNCTION("""COMPUTED_VALUE"""),"Llanera")</f>
        <v>Llanera</v>
      </c>
      <c r="AL825" s="2" t="str">
        <f>IFERROR(__xludf.DUMMYFUNCTION("""COMPUTED_VALUE"""),"Nueva Ecija")</f>
        <v>Nueva Ecija</v>
      </c>
      <c r="AM825" s="2">
        <f>IFERROR(__xludf.DUMMYFUNCTION("""COMPUTED_VALUE"""),3.0)</f>
        <v>3</v>
      </c>
      <c r="AN825" s="2" t="str">
        <f>IFERROR(__xludf.DUMMYFUNCTION("""COMPUTED_VALUE"""),"RCEF 23-09-21 Rebidding")</f>
        <v>RCEF 23-09-21 Rebidding</v>
      </c>
      <c r="AO825" s="2">
        <f>IFERROR(__xludf.DUMMYFUNCTION("""COMPUTED_VALUE"""),3.0)</f>
        <v>3</v>
      </c>
      <c r="AP825" s="2"/>
      <c r="AQ825" s="2"/>
      <c r="AR825" s="2"/>
      <c r="AS825" s="2"/>
      <c r="AT825" s="2"/>
      <c r="AU825" s="2"/>
      <c r="AV825" s="2"/>
      <c r="AW825" s="2"/>
      <c r="AX825" s="2"/>
      <c r="AY825" s="2"/>
      <c r="AZ825" s="2"/>
      <c r="BA825" s="2"/>
      <c r="BB825" s="2"/>
    </row>
    <row r="826">
      <c r="A826" s="2">
        <f>IFERROR(__xludf.DUMMYFUNCTION("""COMPUTED_VALUE"""),822.0)</f>
        <v>822</v>
      </c>
      <c r="B826" s="2" t="str">
        <f>IFERROR(__xludf.DUMMYFUNCTION("""COMPUTED_VALUE"""),"COMPLETED")</f>
        <v>COMPLETED</v>
      </c>
      <c r="C826" s="74">
        <f>IFERROR(__xludf.DUMMYFUNCTION("""COMPUTED_VALUE"""),45723.0)</f>
        <v>45723</v>
      </c>
      <c r="D826" s="71" t="str">
        <f>IFERROR(__xludf.DUMMYFUNCTION("""COMPUTED_VALUE"""),"Lingay Estern Farmers Association Inc.")</f>
        <v>Lingay Estern Farmers Association Inc.</v>
      </c>
      <c r="E826" s="71" t="str">
        <f>IFERROR(__xludf.DUMMYFUNCTION("""COMPUTED_VALUE"""),"Bonfal East, Bayombong, NUEVA VIZCAYA")</f>
        <v>Bonfal East, Bayombong, NUEVA VIZCAYA</v>
      </c>
      <c r="F826" s="2"/>
      <c r="G826" s="2">
        <f>IFERROR(__xludf.DUMMYFUNCTION("""COMPUTED_VALUE"""),9.157439281E9)</f>
        <v>9157439281</v>
      </c>
      <c r="H826" s="2">
        <f>IFERROR(__xludf.DUMMYFUNCTION("""COMPUTED_VALUE"""),109.0)</f>
        <v>109</v>
      </c>
      <c r="I826" s="72" t="str">
        <f>IFERROR(__xludf.DUMMYFUNCTION("""COMPUTED_VALUE"""),"PMS")</f>
        <v>PMS</v>
      </c>
      <c r="J826" s="72" t="str">
        <f>IFERROR(__xludf.DUMMYFUNCTION("""COMPUTED_VALUE"""),"PMS")</f>
        <v>PMS</v>
      </c>
      <c r="K826" s="72" t="str">
        <f>IFERROR(__xludf.DUMMYFUNCTION("""COMPUTED_VALUE"""),"MYK: 1ST PMS (FREE)")</f>
        <v>MYK: 1ST PMS (FREE)</v>
      </c>
      <c r="L826" s="72" t="str">
        <f>IFERROR(__xludf.DUMMYFUNCTION("""COMPUTED_VALUE"""),"CFG: 1ST PMS DONE")</f>
        <v>CFG: 1ST PMS DONE</v>
      </c>
      <c r="M826" s="2"/>
      <c r="N826" s="2" t="str">
        <f>IFERROR(__xludf.DUMMYFUNCTION("""COMPUTED_VALUE"""),"PARTS: OIL FILTER")</f>
        <v>PARTS: OIL FILTER</v>
      </c>
      <c r="O826" s="2">
        <f>IFERROR(__xludf.DUMMYFUNCTION("""COMPUTED_VALUE"""),1170.0)</f>
        <v>1170</v>
      </c>
      <c r="P826" s="2"/>
      <c r="Q826" s="2"/>
      <c r="R826" s="74">
        <f>IFERROR(__xludf.DUMMYFUNCTION("""COMPUTED_VALUE"""),45734.0)</f>
        <v>45734</v>
      </c>
      <c r="S826" s="2" t="str">
        <f>IFERROR(__xludf.DUMMYFUNCTION("""COMPUTED_VALUE"""),"CFG")</f>
        <v>CFG</v>
      </c>
      <c r="T826" s="73" t="str">
        <f>IFERROR(__xludf.DUMMYFUNCTION("""COMPUTED_VALUE""")," N/A ")</f>
        <v>N/A</v>
      </c>
      <c r="U826" s="73" t="str">
        <f>IFERROR(__xludf.DUMMYFUNCTION("""COMPUTED_VALUE""")," NO CHARGE ")</f>
        <v>NO CHARGE</v>
      </c>
      <c r="V826" s="2"/>
      <c r="W826" s="2" t="str">
        <f>IFERROR(__xludf.DUMMYFUNCTION("""COMPUTED_VALUE"""),"N/A")</f>
        <v>N/A</v>
      </c>
      <c r="X826" s="2" t="str">
        <f>IFERROR(__xludf.DUMMYFUNCTION("""COMPUTED_VALUE"""),"N/A")</f>
        <v>N/A</v>
      </c>
      <c r="Y826" s="2"/>
      <c r="Z826" s="2"/>
      <c r="AA826" s="2"/>
      <c r="AB826" s="2"/>
      <c r="AC826" s="2"/>
      <c r="AD826" s="2"/>
      <c r="AE826" s="2"/>
      <c r="AF826" s="2"/>
      <c r="AG826" s="2"/>
      <c r="AH826" s="2"/>
      <c r="AI826" s="2"/>
      <c r="AJ826" s="2" t="str">
        <f>IFERROR(__xludf.DUMMYFUNCTION("""COMPUTED_VALUE"""),"Bonfal East")</f>
        <v>Bonfal East</v>
      </c>
      <c r="AK826" s="2" t="str">
        <f>IFERROR(__xludf.DUMMYFUNCTION("""COMPUTED_VALUE"""),"Bayombong")</f>
        <v>Bayombong</v>
      </c>
      <c r="AL826" s="2" t="str">
        <f>IFERROR(__xludf.DUMMYFUNCTION("""COMPUTED_VALUE"""),"Nueva Vizcaya")</f>
        <v>Nueva Vizcaya</v>
      </c>
      <c r="AM826" s="2">
        <f>IFERROR(__xludf.DUMMYFUNCTION("""COMPUTED_VALUE"""),2.0)</f>
        <v>2</v>
      </c>
      <c r="AN826" s="2" t="str">
        <f>IFERROR(__xludf.DUMMYFUNCTION("""COMPUTED_VALUE"""),"RCEF 24-04-15")</f>
        <v>RCEF 24-04-15</v>
      </c>
      <c r="AO826" s="2">
        <f>IFERROR(__xludf.DUMMYFUNCTION("""COMPUTED_VALUE"""),6.0)</f>
        <v>6</v>
      </c>
      <c r="AP826" s="2" t="str">
        <f>IFERROR(__xludf.DUMMYFUNCTION("""COMPUTED_VALUE"""),"FREE PMS")</f>
        <v>FREE PMS</v>
      </c>
      <c r="AQ826" s="2"/>
      <c r="AR826" s="2"/>
      <c r="AS826" s="2"/>
      <c r="AT826" s="2"/>
      <c r="AU826" s="2"/>
      <c r="AV826" s="2"/>
      <c r="AW826" s="2"/>
      <c r="AX826" s="2"/>
      <c r="AY826" s="2"/>
      <c r="AZ826" s="2"/>
      <c r="BA826" s="2"/>
      <c r="BB826" s="2"/>
    </row>
    <row r="827">
      <c r="A827" s="2">
        <f>IFERROR(__xludf.DUMMYFUNCTION("""COMPUTED_VALUE"""),823.0)</f>
        <v>823</v>
      </c>
      <c r="B827" s="2" t="str">
        <f>IFERROR(__xludf.DUMMYFUNCTION("""COMPUTED_VALUE"""),"COMPLETED")</f>
        <v>COMPLETED</v>
      </c>
      <c r="C827" s="74">
        <f>IFERROR(__xludf.DUMMYFUNCTION("""COMPUTED_VALUE"""),45726.0)</f>
        <v>45726</v>
      </c>
      <c r="D827" s="71" t="str">
        <f>IFERROR(__xludf.DUMMYFUNCTION("""COMPUTED_VALUE"""),"KAISAHAN IRRIGATOR'S ASSOCIATION INC.")</f>
        <v>KAISAHAN IRRIGATOR'S ASSOCIATION INC.</v>
      </c>
      <c r="E827" s="71" t="str">
        <f>IFERROR(__xludf.DUMMYFUNCTION("""COMPUTED_VALUE"""),"San Fabian, Santo Domingo, NUEVA ECIJA")</f>
        <v>San Fabian, Santo Domingo, NUEVA ECIJA</v>
      </c>
      <c r="F827" s="2"/>
      <c r="G827" s="2">
        <f>IFERROR(__xludf.DUMMYFUNCTION("""COMPUTED_VALUE"""),9.533782306E9)</f>
        <v>9533782306</v>
      </c>
      <c r="H827" s="2"/>
      <c r="I827" s="72" t="str">
        <f>IFERROR(__xludf.DUMMYFUNCTION("""COMPUTED_VALUE"""),"SPARE PARTS ACQUISITION")</f>
        <v>SPARE PARTS ACQUISITION</v>
      </c>
      <c r="J827" s="72" t="str">
        <f>IFERROR(__xludf.DUMMYFUNCTION("""COMPUTED_VALUE"""),"SPARE PARTS ACQUISITION")</f>
        <v>SPARE PARTS ACQUISITION</v>
      </c>
      <c r="K827" s="72" t="str">
        <f>IFERROR(__xludf.DUMMYFUNCTION("""COMPUTED_VALUE"""),"MYK: BEVEL GEAR 24T, PINION GEAT 11T")</f>
        <v>MYK: BEVEL GEAR 24T, PINION GEAT 11T</v>
      </c>
      <c r="L827" s="72" t="str">
        <f>IFERROR(__xludf.DUMMYFUNCTION("""COMPUTED_VALUE"""),"DELIVERED")</f>
        <v>DELIVERED</v>
      </c>
      <c r="M827" s="2"/>
      <c r="N827" s="2" t="str">
        <f>IFERROR(__xludf.DUMMYFUNCTION("""COMPUTED_VALUE"""),"PARTS: 
BEVEL GEAR 24T, 
PINION GEAR 11T")</f>
        <v>PARTS: 
BEVEL GEAR 24T, 
PINION GEAR 11T</v>
      </c>
      <c r="O827" s="2" t="str">
        <f>IFERROR(__xludf.DUMMYFUNCTION("""COMPUTED_VALUE"""),"N/A")</f>
        <v>N/A</v>
      </c>
      <c r="P827" s="2"/>
      <c r="Q827" s="2"/>
      <c r="R827" s="74">
        <f>IFERROR(__xludf.DUMMYFUNCTION("""COMPUTED_VALUE"""),45740.0)</f>
        <v>45740</v>
      </c>
      <c r="S827" s="2" t="str">
        <f>IFERROR(__xludf.DUMMYFUNCTION("""COMPUTED_VALUE"""),"JHP/ACS")</f>
        <v>JHP/ACS</v>
      </c>
      <c r="T827" s="73">
        <f>IFERROR(__xludf.DUMMYFUNCTION("""COMPUTED_VALUE"""),20900.0)</f>
        <v>20900</v>
      </c>
      <c r="U827" s="73" t="str">
        <f>IFERROR(__xludf.DUMMYFUNCTION("""COMPUTED_VALUE""")," REMITTED ")</f>
        <v>REMITTED</v>
      </c>
      <c r="V827" s="2"/>
      <c r="W827" s="2">
        <f>IFERROR(__xludf.DUMMYFUNCTION("""COMPUTED_VALUE"""),1496.0)</f>
        <v>1496</v>
      </c>
      <c r="X827" s="2">
        <f>IFERROR(__xludf.DUMMYFUNCTION("""COMPUTED_VALUE"""),1396.0)</f>
        <v>1396</v>
      </c>
      <c r="Y827" s="2"/>
      <c r="Z827" s="2"/>
      <c r="AA827" s="2"/>
      <c r="AB827" s="2"/>
      <c r="AC827" s="2"/>
      <c r="AD827" s="2"/>
      <c r="AE827" s="2"/>
      <c r="AF827" s="2"/>
      <c r="AG827" s="2"/>
      <c r="AH827" s="2"/>
      <c r="AI827" s="2"/>
      <c r="AJ827" s="2" t="str">
        <f>IFERROR(__xludf.DUMMYFUNCTION("""COMPUTED_VALUE"""),"San Fabian")</f>
        <v>San Fabian</v>
      </c>
      <c r="AK827" s="2" t="str">
        <f>IFERROR(__xludf.DUMMYFUNCTION("""COMPUTED_VALUE"""),"Santo Domingo")</f>
        <v>Santo Domingo</v>
      </c>
      <c r="AL827" s="2" t="str">
        <f>IFERROR(__xludf.DUMMYFUNCTION("""COMPUTED_VALUE"""),"Nueva Ecija")</f>
        <v>Nueva Ecija</v>
      </c>
      <c r="AM827" s="2">
        <f>IFERROR(__xludf.DUMMYFUNCTION("""COMPUTED_VALUE"""),3.0)</f>
        <v>3</v>
      </c>
      <c r="AN827" s="2" t="str">
        <f>IFERROR(__xludf.DUMMYFUNCTION("""COMPUTED_VALUE"""),"RCEF 23-09-21 Rebidding")</f>
        <v>RCEF 23-09-21 Rebidding</v>
      </c>
      <c r="AO827" s="2">
        <f>IFERROR(__xludf.DUMMYFUNCTION("""COMPUTED_VALUE"""),3.0)</f>
        <v>3</v>
      </c>
      <c r="AP827" s="2"/>
      <c r="AQ827" s="2"/>
      <c r="AR827" s="2"/>
      <c r="AS827" s="2"/>
      <c r="AT827" s="2"/>
      <c r="AU827" s="2"/>
      <c r="AV827" s="2"/>
      <c r="AW827" s="2"/>
      <c r="AX827" s="2"/>
      <c r="AY827" s="2"/>
      <c r="AZ827" s="2"/>
      <c r="BA827" s="2"/>
      <c r="BB827" s="2"/>
    </row>
    <row r="828">
      <c r="A828" s="2">
        <f>IFERROR(__xludf.DUMMYFUNCTION("""COMPUTED_VALUE"""),824.0)</f>
        <v>824</v>
      </c>
      <c r="B828" s="2" t="str">
        <f>IFERROR(__xludf.DUMMYFUNCTION("""COMPUTED_VALUE"""),"COMPLETED")</f>
        <v>COMPLETED</v>
      </c>
      <c r="C828" s="74">
        <f>IFERROR(__xludf.DUMMYFUNCTION("""COMPUTED_VALUE"""),45726.0)</f>
        <v>45726</v>
      </c>
      <c r="D828" s="71"/>
      <c r="E828" s="71" t="str">
        <f>IFERROR(__xludf.DUMMYFUNCTION("""COMPUTED_VALUE""")," ")</f>
        <v> </v>
      </c>
      <c r="F828" s="2" t="str">
        <f>IFERROR(__xludf.DUMMYFUNCTION("""COMPUTED_VALUE"""),"""Castilla Development Cooperative""
Neson A. Maraña")</f>
        <v>"Castilla Development Cooperative"
Neson A. Maraña</v>
      </c>
      <c r="G828" s="2">
        <f>IFERROR(__xludf.DUMMYFUNCTION("""COMPUTED_VALUE"""),9.298133877E9)</f>
        <v>9298133877</v>
      </c>
      <c r="H828" s="2"/>
      <c r="I828" s="72" t="str">
        <f>IFERROR(__xludf.DUMMYFUNCTION("""COMPUTED_VALUE"""),"REPAIR - DISC PLOW")</f>
        <v>REPAIR - DISC PLOW</v>
      </c>
      <c r="J828" s="72"/>
      <c r="K828" s="72" t="str">
        <f>IFERROR(__xludf.DUMMYFUNCTION("""COMPUTED_VALUE"""),"MYK: DISC NG DISCPLOW NATANGAL")</f>
        <v>MYK: DISC NG DISCPLOW NATANGAL</v>
      </c>
      <c r="L828" s="72" t="str">
        <f>IFERROR(__xludf.DUMMYFUNCTION("""COMPUTED_VALUE"""),"PPS: OK NA ANG UNIT")</f>
        <v>PPS: OK NA ANG UNIT</v>
      </c>
      <c r="M828" s="2"/>
      <c r="N828" s="2"/>
      <c r="O828" s="2" t="str">
        <f>IFERROR(__xludf.DUMMYFUNCTION("""COMPUTED_VALUE"""),"NEED SERVICE REPORT")</f>
        <v>NEED SERVICE REPORT</v>
      </c>
      <c r="P828" s="2"/>
      <c r="Q828" s="2"/>
      <c r="R828" s="74">
        <f>IFERROR(__xludf.DUMMYFUNCTION("""COMPUTED_VALUE"""),45732.0)</f>
        <v>45732</v>
      </c>
      <c r="S828" s="2" t="str">
        <f>IFERROR(__xludf.DUMMYFUNCTION("""COMPUTED_VALUE"""),"PPS/JVV")</f>
        <v>PPS/JVV</v>
      </c>
      <c r="T828" s="73" t="str">
        <f>IFERROR(__xludf.DUMMYFUNCTION("""COMPUTED_VALUE""")," N/A ")</f>
        <v>N/A</v>
      </c>
      <c r="U828" s="73" t="str">
        <f>IFERROR(__xludf.DUMMYFUNCTION("""COMPUTED_VALUE""")," NO CHARGE ")</f>
        <v>NO CHARGE</v>
      </c>
      <c r="V828" s="2"/>
      <c r="W828" s="2" t="str">
        <f>IFERROR(__xludf.DUMMYFUNCTION("""COMPUTED_VALUE"""),"N/A")</f>
        <v>N/A</v>
      </c>
      <c r="X828" s="2" t="str">
        <f>IFERROR(__xludf.DUMMYFUNCTION("""COMPUTED_VALUE"""),"N/A")</f>
        <v>N/A</v>
      </c>
      <c r="Y828" s="2"/>
      <c r="Z828" s="2"/>
      <c r="AA828" s="2"/>
      <c r="AB828" s="2"/>
      <c r="AC828" s="2"/>
      <c r="AD828" s="2"/>
      <c r="AE828" s="2"/>
      <c r="AF828" s="2"/>
      <c r="AG828" s="2"/>
      <c r="AH828" s="2"/>
      <c r="AI828" s="2"/>
      <c r="AJ828" s="2" t="str">
        <f>IFERROR(__xludf.DUMMYFUNCTION("""COMPUTED_VALUE"""),"")</f>
        <v/>
      </c>
      <c r="AK828" s="2" t="str">
        <f>IFERROR(__xludf.DUMMYFUNCTION("""COMPUTED_VALUE"""),"")</f>
        <v/>
      </c>
      <c r="AL828" s="2" t="str">
        <f>IFERROR(__xludf.DUMMYFUNCTION("""COMPUTED_VALUE"""),"")</f>
        <v/>
      </c>
      <c r="AM828" s="2" t="str">
        <f>IFERROR(__xludf.DUMMYFUNCTION("""COMPUTED_VALUE"""),"")</f>
        <v/>
      </c>
      <c r="AN828" s="2" t="str">
        <f>IFERROR(__xludf.DUMMYFUNCTION("""COMPUTED_VALUE""")," ")</f>
        <v> </v>
      </c>
      <c r="AO828" s="2" t="str">
        <f>IFERROR(__xludf.DUMMYFUNCTION("""COMPUTED_VALUE""")," ")</f>
        <v> </v>
      </c>
      <c r="AP828" s="2" t="str">
        <f>IFERROR(__xludf.DUMMYFUNCTION("""COMPUTED_VALUE"""),"")</f>
        <v/>
      </c>
      <c r="AQ828" s="2"/>
      <c r="AR828" s="2"/>
      <c r="AS828" s="2"/>
      <c r="AT828" s="2"/>
      <c r="AU828" s="2"/>
      <c r="AV828" s="2"/>
      <c r="AW828" s="2"/>
      <c r="AX828" s="2"/>
      <c r="AY828" s="2"/>
      <c r="AZ828" s="2"/>
      <c r="BA828" s="2"/>
      <c r="BB828" s="2"/>
    </row>
    <row r="829">
      <c r="A829" s="2">
        <f>IFERROR(__xludf.DUMMYFUNCTION("""COMPUTED_VALUE"""),825.0)</f>
        <v>825</v>
      </c>
      <c r="B829" s="2" t="str">
        <f>IFERROR(__xludf.DUMMYFUNCTION("""COMPUTED_VALUE"""),"COMPLETED")</f>
        <v>COMPLETED</v>
      </c>
      <c r="C829" s="74">
        <f>IFERROR(__xludf.DUMMYFUNCTION("""COMPUTED_VALUE"""),45726.0)</f>
        <v>45726</v>
      </c>
      <c r="D829" s="71" t="str">
        <f>IFERROR(__xludf.DUMMYFUNCTION("""COMPUTED_VALUE"""),"United ARBs Agriculture Cooperative")</f>
        <v>United ARBs Agriculture Cooperative</v>
      </c>
      <c r="E829" s="71" t="str">
        <f>IFERROR(__xludf.DUMMYFUNCTION("""COMPUTED_VALUE"""),"Santo Rosario, San Luis, PAMPANGA")</f>
        <v>Santo Rosario, San Luis, PAMPANGA</v>
      </c>
      <c r="F829" s="2" t="str">
        <f>IFERROR(__xludf.DUMMYFUNCTION("""COMPUTED_VALUE"""),"RODELIO M. PEREZ")</f>
        <v>RODELIO M. PEREZ</v>
      </c>
      <c r="G829" s="2" t="str">
        <f>IFERROR(__xludf.DUMMYFUNCTION("""COMPUTED_VALUE"""),"0926-2747-612")</f>
        <v>0926-2747-612</v>
      </c>
      <c r="H829" s="2"/>
      <c r="I829" s="72" t="str">
        <f>IFERROR(__xludf.DUMMYFUNCTION("""COMPUTED_VALUE"""),"PMS")</f>
        <v>PMS</v>
      </c>
      <c r="J829" s="72" t="str">
        <f>IFERROR(__xludf.DUMMYFUNCTION("""COMPUTED_VALUE"""),"PMS")</f>
        <v>PMS</v>
      </c>
      <c r="K829" s="72" t="str">
        <f>IFERROR(__xludf.DUMMYFUNCTION("""COMPUTED_VALUE"""),"ERP: 1ST PMS")</f>
        <v>ERP: 1ST PMS</v>
      </c>
      <c r="L829" s="72" t="str">
        <f>IFERROR(__xludf.DUMMYFUNCTION("""COMPUTED_VALUE"""),"EGT: DONE PMS")</f>
        <v>EGT: DONE PMS</v>
      </c>
      <c r="M829" s="2"/>
      <c r="N829" s="2" t="str">
        <f>IFERROR(__xludf.DUMMYFUNCTION("""COMPUTED_VALUE"""),"PARTS: ENINGE OIL, OIL FILTER")</f>
        <v>PARTS: ENINGE OIL, OIL FILTER</v>
      </c>
      <c r="O829" s="2" t="str">
        <f>IFERROR(__xludf.DUMMYFUNCTION("""COMPUTED_VALUE"""),"NEED SERVICE REPORT")</f>
        <v>NEED SERVICE REPORT</v>
      </c>
      <c r="P829" s="2"/>
      <c r="Q829" s="2"/>
      <c r="R829" s="74">
        <f>IFERROR(__xludf.DUMMYFUNCTION("""COMPUTED_VALUE"""),45736.0)</f>
        <v>45736</v>
      </c>
      <c r="S829" s="2" t="str">
        <f>IFERROR(__xludf.DUMMYFUNCTION("""COMPUTED_VALUE"""),"EGT/DRM")</f>
        <v>EGT/DRM</v>
      </c>
      <c r="T829" s="73" t="str">
        <f>IFERROR(__xludf.DUMMYFUNCTION("""COMPUTED_VALUE""")," N/A ")</f>
        <v>N/A</v>
      </c>
      <c r="U829" s="73" t="str">
        <f>IFERROR(__xludf.DUMMYFUNCTION("""COMPUTED_VALUE""")," NO CHARGE ")</f>
        <v>NO CHARGE</v>
      </c>
      <c r="V829" s="2"/>
      <c r="W829" s="2" t="str">
        <f>IFERROR(__xludf.DUMMYFUNCTION("""COMPUTED_VALUE"""),"N/A")</f>
        <v>N/A</v>
      </c>
      <c r="X829" s="2" t="str">
        <f>IFERROR(__xludf.DUMMYFUNCTION("""COMPUTED_VALUE"""),"N/A")</f>
        <v>N/A</v>
      </c>
      <c r="Y829" s="2"/>
      <c r="Z829" s="2"/>
      <c r="AA829" s="2"/>
      <c r="AB829" s="2"/>
      <c r="AC829" s="2"/>
      <c r="AD829" s="2"/>
      <c r="AE829" s="2"/>
      <c r="AF829" s="2"/>
      <c r="AG829" s="2"/>
      <c r="AH829" s="2"/>
      <c r="AI829" s="2"/>
      <c r="AJ829" s="2" t="str">
        <f>IFERROR(__xludf.DUMMYFUNCTION("""COMPUTED_VALUE"""),"Santo Rosario")</f>
        <v>Santo Rosario</v>
      </c>
      <c r="AK829" s="2" t="str">
        <f>IFERROR(__xludf.DUMMYFUNCTION("""COMPUTED_VALUE"""),"San Luis")</f>
        <v>San Luis</v>
      </c>
      <c r="AL829" s="2" t="str">
        <f>IFERROR(__xludf.DUMMYFUNCTION("""COMPUTED_VALUE"""),"Pampanga")</f>
        <v>Pampanga</v>
      </c>
      <c r="AM829" s="2">
        <f>IFERROR(__xludf.DUMMYFUNCTION("""COMPUTED_VALUE"""),3.0)</f>
        <v>3</v>
      </c>
      <c r="AN829" s="2" t="str">
        <f>IFERROR(__xludf.DUMMYFUNCTION("""COMPUTED_VALUE"""),"RCEF 24-04-15")</f>
        <v>RCEF 24-04-15</v>
      </c>
      <c r="AO829" s="2">
        <f>IFERROR(__xludf.DUMMYFUNCTION("""COMPUTED_VALUE"""),6.0)</f>
        <v>6</v>
      </c>
      <c r="AP829" s="2" t="str">
        <f>IFERROR(__xludf.DUMMYFUNCTION("""COMPUTED_VALUE"""),"FREE PMS")</f>
        <v>FREE PMS</v>
      </c>
      <c r="AQ829" s="2"/>
      <c r="AR829" s="2"/>
      <c r="AS829" s="2"/>
      <c r="AT829" s="2"/>
      <c r="AU829" s="2"/>
      <c r="AV829" s="2"/>
      <c r="AW829" s="2"/>
      <c r="AX829" s="2"/>
      <c r="AY829" s="2"/>
      <c r="AZ829" s="2"/>
      <c r="BA829" s="2"/>
      <c r="BB829" s="2"/>
    </row>
    <row r="830">
      <c r="A830" s="2">
        <f>IFERROR(__xludf.DUMMYFUNCTION("""COMPUTED_VALUE"""),826.0)</f>
        <v>826</v>
      </c>
      <c r="B830" s="2" t="str">
        <f>IFERROR(__xludf.DUMMYFUNCTION("""COMPUTED_VALUE"""),"COMPLETED")</f>
        <v>COMPLETED</v>
      </c>
      <c r="C830" s="74">
        <f>IFERROR(__xludf.DUMMYFUNCTION("""COMPUTED_VALUE"""),45726.0)</f>
        <v>45726</v>
      </c>
      <c r="D830" s="71" t="str">
        <f>IFERROR(__xludf.DUMMYFUNCTION("""COMPUTED_VALUE"""),"NGABANGAB RESOURCES FARMERS ASSOCIATION Inc.")</f>
        <v>NGABANGAB RESOURCES FARMERS ASSOCIATION Inc.</v>
      </c>
      <c r="E830" s="71" t="str">
        <f>IFERROR(__xludf.DUMMYFUNCTION("""COMPUTED_VALUE""")," ")</f>
        <v> </v>
      </c>
      <c r="F830" s="2" t="str">
        <f>IFERROR(__xludf.DUMMYFUNCTION("""COMPUTED_VALUE"""),"Belie Gervacio ")</f>
        <v>Belie Gervacio </v>
      </c>
      <c r="G830" s="2">
        <f>IFERROR(__xludf.DUMMYFUNCTION("""COMPUTED_VALUE"""),9.47535652E9)</f>
        <v>9475356520</v>
      </c>
      <c r="H830" s="2"/>
      <c r="I830" s="72" t="str">
        <f>IFERROR(__xludf.DUMMYFUNCTION("""COMPUTED_VALUE"""),"REPAIR - TRACTOR")</f>
        <v>REPAIR - TRACTOR</v>
      </c>
      <c r="J830" s="72" t="str">
        <f>IFERROR(__xludf.DUMMYFUNCTION("""COMPUTED_VALUE"""),"Meter Panel")</f>
        <v>Meter Panel</v>
      </c>
      <c r="K830" s="72" t="str">
        <f>IFERROR(__xludf.DUMMYFUNCTION("""COMPUTED_VALUE"""),"KFS:  hindi gumagana yung panel board simula nung nilagay yung alarm device for overheating ng engine (FOR ASSESSMENT)
EGT: 7/1/25: Defective Panel Gauge, Need replace new Panel (WITH PICTURES AND VIDEOS)
")</f>
        <v>KFS:  hindi gumagana yung panel board simula nung nilagay yung alarm device for overheating ng engine (FOR ASSESSMENT)
EGT: 7/1/25: Defective Panel Gauge, Need replace new Panel (WITH PICTURES AND VIDEOS)
</v>
      </c>
      <c r="L830" s="72" t="str">
        <f>IFERROR(__xludf.DUMMYFUNCTION("""COMPUTED_VALUE"""),"QUOTATION SENT: PAG IISIPAN PADAW NILA, CALL BACK ONCE BIBILI NA SILA NG PANEL GAUGE.")</f>
        <v>QUOTATION SENT: PAG IISIPAN PADAW NILA, CALL BACK ONCE BIBILI NA SILA NG PANEL GAUGE.</v>
      </c>
      <c r="M830" s="2"/>
      <c r="N830" s="2"/>
      <c r="O830" s="2" t="str">
        <f>IFERROR(__xludf.DUMMYFUNCTION("""COMPUTED_VALUE"""),"N/A")</f>
        <v>N/A</v>
      </c>
      <c r="P830" s="2"/>
      <c r="Q830" s="2"/>
      <c r="R830" s="74">
        <f>IFERROR(__xludf.DUMMYFUNCTION("""COMPUTED_VALUE"""),45872.0)</f>
        <v>45872</v>
      </c>
      <c r="S830" s="2" t="str">
        <f>IFERROR(__xludf.DUMMYFUNCTION("""COMPUTED_VALUE"""),"MYKEE")</f>
        <v>MYKEE</v>
      </c>
      <c r="T830" s="73" t="str">
        <f>IFERROR(__xludf.DUMMYFUNCTION("""COMPUTED_VALUE""")," N/A ")</f>
        <v>N/A</v>
      </c>
      <c r="U830" s="73" t="str">
        <f>IFERROR(__xludf.DUMMYFUNCTION("""COMPUTED_VALUE""")," NO CHARGE ")</f>
        <v>NO CHARGE</v>
      </c>
      <c r="V830" s="2"/>
      <c r="W830" s="2" t="str">
        <f>IFERROR(__xludf.DUMMYFUNCTION("""COMPUTED_VALUE"""),"N/A")</f>
        <v>N/A</v>
      </c>
      <c r="X830" s="2" t="str">
        <f>IFERROR(__xludf.DUMMYFUNCTION("""COMPUTED_VALUE"""),"N/A")</f>
        <v>N/A</v>
      </c>
      <c r="Y830" s="2"/>
      <c r="Z830" s="2"/>
      <c r="AA830" s="2"/>
      <c r="AB830" s="2"/>
      <c r="AC830" s="2"/>
      <c r="AD830" s="2"/>
      <c r="AE830" s="2"/>
      <c r="AF830" s="2"/>
      <c r="AG830" s="2"/>
      <c r="AH830" s="2"/>
      <c r="AI830" s="2"/>
      <c r="AJ830" s="2" t="str">
        <f>IFERROR(__xludf.DUMMYFUNCTION("""COMPUTED_VALUE"""),"")</f>
        <v/>
      </c>
      <c r="AK830" s="2" t="str">
        <f>IFERROR(__xludf.DUMMYFUNCTION("""COMPUTED_VALUE"""),"")</f>
        <v/>
      </c>
      <c r="AL830" s="2" t="str">
        <f>IFERROR(__xludf.DUMMYFUNCTION("""COMPUTED_VALUE"""),"")</f>
        <v/>
      </c>
      <c r="AM830" s="2" t="str">
        <f>IFERROR(__xludf.DUMMYFUNCTION("""COMPUTED_VALUE"""),"")</f>
        <v/>
      </c>
      <c r="AN830" s="2" t="str">
        <f>IFERROR(__xludf.DUMMYFUNCTION("""COMPUTED_VALUE""")," ")</f>
        <v> </v>
      </c>
      <c r="AO830" s="2" t="str">
        <f>IFERROR(__xludf.DUMMYFUNCTION("""COMPUTED_VALUE""")," ")</f>
        <v> </v>
      </c>
      <c r="AP830" s="2" t="str">
        <f>IFERROR(__xludf.DUMMYFUNCTION("""COMPUTED_VALUE"""),"")</f>
        <v/>
      </c>
      <c r="AQ830" s="2"/>
      <c r="AR830" s="2"/>
      <c r="AS830" s="2"/>
      <c r="AT830" s="2"/>
      <c r="AU830" s="2"/>
      <c r="AV830" s="2"/>
      <c r="AW830" s="2"/>
      <c r="AX830" s="2"/>
      <c r="AY830" s="2"/>
      <c r="AZ830" s="2"/>
      <c r="BA830" s="2"/>
      <c r="BB830" s="2"/>
    </row>
    <row r="831">
      <c r="A831" s="2">
        <f>IFERROR(__xludf.DUMMYFUNCTION("""COMPUTED_VALUE"""),827.0)</f>
        <v>827</v>
      </c>
      <c r="B831" s="2" t="str">
        <f>IFERROR(__xludf.DUMMYFUNCTION("""COMPUTED_VALUE"""),"COMPLETED")</f>
        <v>COMPLETED</v>
      </c>
      <c r="C831" s="74">
        <f>IFERROR(__xludf.DUMMYFUNCTION("""COMPUTED_VALUE"""),45728.0)</f>
        <v>45728</v>
      </c>
      <c r="D831" s="71" t="str">
        <f>IFERROR(__xludf.DUMMYFUNCTION("""COMPUTED_VALUE"""),"Barangay Indayagan Farmers Association")</f>
        <v>Barangay Indayagan Farmers Association</v>
      </c>
      <c r="E831" s="71" t="str">
        <f>IFERROR(__xludf.DUMMYFUNCTION("""COMPUTED_VALUE"""),"Indayagan, Ma-ayon, CAPIZ")</f>
        <v>Indayagan, Ma-ayon, CAPIZ</v>
      </c>
      <c r="F831" s="2" t="str">
        <f>IFERROR(__xludf.DUMMYFUNCTION("""COMPUTED_VALUE"""),"QUERICO DANGAN")</f>
        <v>QUERICO DANGAN</v>
      </c>
      <c r="G831" s="2">
        <f>IFERROR(__xludf.DUMMYFUNCTION("""COMPUTED_VALUE"""),9.48886342E9)</f>
        <v>9488863420</v>
      </c>
      <c r="H831" s="2">
        <f>IFERROR(__xludf.DUMMYFUNCTION("""COMPUTED_VALUE"""),89.0)</f>
        <v>89</v>
      </c>
      <c r="I831" s="72" t="str">
        <f>IFERROR(__xludf.DUMMYFUNCTION("""COMPUTED_VALUE"""),"REPAIR - TRACTOR")</f>
        <v>REPAIR - TRACTOR</v>
      </c>
      <c r="J831" s="72" t="str">
        <f>IFERROR(__xludf.DUMMYFUNCTION("""COMPUTED_VALUE"""),"CHECK UP UNIT")</f>
        <v>CHECK UP UNIT</v>
      </c>
      <c r="K831" s="72" t="str">
        <f>IFERROR(__xludf.DUMMYFUNCTION("""COMPUTED_VALUE"""),"MYK: CLUTCH LINING AND  RELEASE BEARING, 2 days after ma repair nasira at ayaw na ulit umandat ng unit: hindi tumatakbo, ganun padin umingay.
PARTS: CLUTCH DISC ASSY, CLUTCH COVER ASSY, RELEASE BEARING 
")</f>
        <v>MYK: CLUTCH LINING AND  RELEASE BEARING, 2 days after ma repair nasira at ayaw na ulit umandat ng unit: hindi tumatakbo, ganun padin umingay.
PARTS: CLUTCH DISC ASSY, CLUTCH COVER ASSY, RELEASE BEARING 
</v>
      </c>
      <c r="L831" s="72" t="str">
        <f>IFERROR(__xludf.DUMMYFUNCTION("""COMPUTED_VALUE"""),"MYK:TXTED: PARTS ARE NOT WARRANTABLE
7/15/25:CALL: UNATTENDED
DRM: NUNG PINUNTAHANA ANG UNIT SABI NG PRESIDENTE OK NAMAN ANG UNIT AT UMAANDAR WALANG PROBLEMA, KASALUKUYANG NASA OPERATION.")</f>
        <v>MYK:TXTED: PARTS ARE NOT WARRANTABLE
7/15/25:CALL: UNATTENDED
DRM: NUNG PINUNTAHANA ANG UNIT SABI NG PRESIDENTE OK NAMAN ANG UNIT AT UMAANDAR WALANG PROBLEMA, KASALUKUYANG NASA OPERATION.</v>
      </c>
      <c r="M831" s="2"/>
      <c r="N831" s="2"/>
      <c r="O831" s="2" t="str">
        <f>IFERROR(__xludf.DUMMYFUNCTION("""COMPUTED_VALUE"""),"N/A")</f>
        <v>N/A</v>
      </c>
      <c r="P831" s="2"/>
      <c r="Q831" s="2"/>
      <c r="R831" s="74">
        <f>IFERROR(__xludf.DUMMYFUNCTION("""COMPUTED_VALUE"""),45916.0)</f>
        <v>45916</v>
      </c>
      <c r="S831" s="2" t="str">
        <f>IFERROR(__xludf.DUMMYFUNCTION("""COMPUTED_VALUE"""),"EGT/DRM/DSD")</f>
        <v>EGT/DRM/DSD</v>
      </c>
      <c r="T831" s="73" t="str">
        <f>IFERROR(__xludf.DUMMYFUNCTION("""COMPUTED_VALUE""")," N/A ")</f>
        <v>N/A</v>
      </c>
      <c r="U831" s="73" t="str">
        <f>IFERROR(__xludf.DUMMYFUNCTION("""COMPUTED_VALUE""")," NO CHARGE ")</f>
        <v>NO CHARGE</v>
      </c>
      <c r="V831" s="2"/>
      <c r="W831" s="2" t="str">
        <f>IFERROR(__xludf.DUMMYFUNCTION("""COMPUTED_VALUE"""),"N/A")</f>
        <v>N/A</v>
      </c>
      <c r="X831" s="2" t="str">
        <f>IFERROR(__xludf.DUMMYFUNCTION("""COMPUTED_VALUE"""),"N/A")</f>
        <v>N/A</v>
      </c>
      <c r="Y831" s="2"/>
      <c r="Z831" s="2"/>
      <c r="AA831" s="2"/>
      <c r="AB831" s="2"/>
      <c r="AC831" s="2"/>
      <c r="AD831" s="2"/>
      <c r="AE831" s="2"/>
      <c r="AF831" s="2"/>
      <c r="AG831" s="2"/>
      <c r="AH831" s="2"/>
      <c r="AI831" s="2"/>
      <c r="AJ831" s="2" t="str">
        <f>IFERROR(__xludf.DUMMYFUNCTION("""COMPUTED_VALUE"""),"Indayagan")</f>
        <v>Indayagan</v>
      </c>
      <c r="AK831" s="2" t="str">
        <f>IFERROR(__xludf.DUMMYFUNCTION("""COMPUTED_VALUE"""),"Ma-Ayon")</f>
        <v>Ma-Ayon</v>
      </c>
      <c r="AL831" s="2" t="str">
        <f>IFERROR(__xludf.DUMMYFUNCTION("""COMPUTED_VALUE"""),"Capiz")</f>
        <v>Capiz</v>
      </c>
      <c r="AM831" s="2">
        <f>IFERROR(__xludf.DUMMYFUNCTION("""COMPUTED_VALUE"""),6.0)</f>
        <v>6</v>
      </c>
      <c r="AN831" s="2" t="str">
        <f>IFERROR(__xludf.DUMMYFUNCTION("""COMPUTED_VALUE"""),"RCEF 23-09-21 Rebidding")</f>
        <v>RCEF 23-09-21 Rebidding</v>
      </c>
      <c r="AO831" s="2">
        <f>IFERROR(__xludf.DUMMYFUNCTION("""COMPUTED_VALUE"""),4.0)</f>
        <v>4</v>
      </c>
      <c r="AP831" s="2"/>
      <c r="AQ831" s="2"/>
      <c r="AR831" s="2"/>
      <c r="AS831" s="2"/>
      <c r="AT831" s="2"/>
      <c r="AU831" s="2"/>
      <c r="AV831" s="2"/>
      <c r="AW831" s="2"/>
      <c r="AX831" s="2"/>
      <c r="AY831" s="2"/>
      <c r="AZ831" s="2"/>
      <c r="BA831" s="2"/>
      <c r="BB831" s="2"/>
    </row>
    <row r="832">
      <c r="A832" s="2">
        <f>IFERROR(__xludf.DUMMYFUNCTION("""COMPUTED_VALUE"""),828.0)</f>
        <v>828</v>
      </c>
      <c r="B832" s="2" t="str">
        <f>IFERROR(__xludf.DUMMYFUNCTION("""COMPUTED_VALUE"""),"COMPLETED")</f>
        <v>COMPLETED</v>
      </c>
      <c r="C832" s="74">
        <f>IFERROR(__xludf.DUMMYFUNCTION("""COMPUTED_VALUE"""),45728.0)</f>
        <v>45728</v>
      </c>
      <c r="D832" s="71" t="str">
        <f>IFERROR(__xludf.DUMMYFUNCTION("""COMPUTED_VALUE"""),"BAYANAN I FARMERS ASSOCIATION")</f>
        <v>BAYANAN I FARMERS ASSOCIATION</v>
      </c>
      <c r="E832" s="71" t="str">
        <f>IFERROR(__xludf.DUMMYFUNCTION("""COMPUTED_VALUE"""),"Bayanan I, Calapan City, ORIENTAL MINDORO")</f>
        <v>Bayanan I, Calapan City, ORIENTAL MINDORO</v>
      </c>
      <c r="F832" s="2" t="str">
        <f>IFERROR(__xludf.DUMMYFUNCTION("""COMPUTED_VALUE"""),"DANILO GRANIL")</f>
        <v>DANILO GRANIL</v>
      </c>
      <c r="G832" s="2" t="str">
        <f>IFERROR(__xludf.DUMMYFUNCTION("""COMPUTED_VALUE"""),"0946-0876-310")</f>
        <v>0946-0876-310</v>
      </c>
      <c r="H832" s="2">
        <f>IFERROR(__xludf.DUMMYFUNCTION("""COMPUTED_VALUE"""),45.0)</f>
        <v>45</v>
      </c>
      <c r="I832" s="72" t="str">
        <f>IFERROR(__xludf.DUMMYFUNCTION("""COMPUTED_VALUE"""),"PMS")</f>
        <v>PMS</v>
      </c>
      <c r="J832" s="72" t="str">
        <f>IFERROR(__xludf.DUMMYFUNCTION("""COMPUTED_VALUE"""),"PMS")</f>
        <v>PMS</v>
      </c>
      <c r="K832" s="72" t="str">
        <f>IFERROR(__xludf.DUMMYFUNCTION("""COMPUTED_VALUE"""),"MYK: 1ST PMS (FREE)")</f>
        <v>MYK: 1ST PMS (FREE)</v>
      </c>
      <c r="L832" s="72" t="str">
        <f>IFERROR(__xludf.DUMMYFUNCTION("""COMPUTED_VALUE"""),"DSD: 1ST PMS DONE")</f>
        <v>DSD: 1ST PMS DONE</v>
      </c>
      <c r="M832" s="2"/>
      <c r="N832" s="2" t="str">
        <f>IFERROR(__xludf.DUMMYFUNCTION("""COMPUTED_VALUE"""),"PARTS: ENGINE OIL , OIL FILTER")</f>
        <v>PARTS: ENGINE OIL , OIL FILTER</v>
      </c>
      <c r="O832" s="2">
        <f>IFERROR(__xludf.DUMMYFUNCTION("""COMPUTED_VALUE"""),120.0)</f>
        <v>120</v>
      </c>
      <c r="P832" s="2"/>
      <c r="Q832" s="2"/>
      <c r="R832" s="74">
        <f>IFERROR(__xludf.DUMMYFUNCTION("""COMPUTED_VALUE"""),45733.0)</f>
        <v>45733</v>
      </c>
      <c r="S832" s="2" t="str">
        <f>IFERROR(__xludf.DUMMYFUNCTION("""COMPUTED_VALUE"""),"RCG/DSD")</f>
        <v>RCG/DSD</v>
      </c>
      <c r="T832" s="73" t="str">
        <f>IFERROR(__xludf.DUMMYFUNCTION("""COMPUTED_VALUE""")," N/A  ")</f>
        <v>N/A </v>
      </c>
      <c r="U832" s="73" t="str">
        <f>IFERROR(__xludf.DUMMYFUNCTION("""COMPUTED_VALUE""")," NO CHARGE ")</f>
        <v>NO CHARGE</v>
      </c>
      <c r="V832" s="2"/>
      <c r="W832" s="2" t="str">
        <f>IFERROR(__xludf.DUMMYFUNCTION("""COMPUTED_VALUE"""),"N/A")</f>
        <v>N/A</v>
      </c>
      <c r="X832" s="2" t="str">
        <f>IFERROR(__xludf.DUMMYFUNCTION("""COMPUTED_VALUE"""),"N/A")</f>
        <v>N/A</v>
      </c>
      <c r="Y832" s="2"/>
      <c r="Z832" s="2"/>
      <c r="AA832" s="2"/>
      <c r="AB832" s="2"/>
      <c r="AC832" s="2"/>
      <c r="AD832" s="2"/>
      <c r="AE832" s="2"/>
      <c r="AF832" s="2"/>
      <c r="AG832" s="2"/>
      <c r="AH832" s="2"/>
      <c r="AI832" s="2"/>
      <c r="AJ832" s="2" t="str">
        <f>IFERROR(__xludf.DUMMYFUNCTION("""COMPUTED_VALUE"""),"Bayanan I")</f>
        <v>Bayanan I</v>
      </c>
      <c r="AK832" s="2" t="str">
        <f>IFERROR(__xludf.DUMMYFUNCTION("""COMPUTED_VALUE"""),"Calapan City")</f>
        <v>Calapan City</v>
      </c>
      <c r="AL832" s="2" t="str">
        <f>IFERROR(__xludf.DUMMYFUNCTION("""COMPUTED_VALUE"""),"Oriental Mindoro")</f>
        <v>Oriental Mindoro</v>
      </c>
      <c r="AM832" s="2" t="str">
        <f>IFERROR(__xludf.DUMMYFUNCTION("""COMPUTED_VALUE"""),"4B")</f>
        <v>4B</v>
      </c>
      <c r="AN832" s="2" t="str">
        <f>IFERROR(__xludf.DUMMYFUNCTION("""COMPUTED_VALUE"""),"RCEF 24-04-15")</f>
        <v>RCEF 24-04-15</v>
      </c>
      <c r="AO832" s="2">
        <f>IFERROR(__xludf.DUMMYFUNCTION("""COMPUTED_VALUE"""),7.0)</f>
        <v>7</v>
      </c>
      <c r="AP832" s="2" t="str">
        <f>IFERROR(__xludf.DUMMYFUNCTION("""COMPUTED_VALUE"""),"FREE PMS")</f>
        <v>FREE PMS</v>
      </c>
      <c r="AQ832" s="2"/>
      <c r="AR832" s="2"/>
      <c r="AS832" s="2"/>
      <c r="AT832" s="2"/>
      <c r="AU832" s="2"/>
      <c r="AV832" s="2"/>
      <c r="AW832" s="2"/>
      <c r="AX832" s="2"/>
      <c r="AY832" s="2"/>
      <c r="AZ832" s="2"/>
      <c r="BA832" s="2"/>
      <c r="BB832" s="2"/>
    </row>
    <row r="833">
      <c r="A833" s="2">
        <f>IFERROR(__xludf.DUMMYFUNCTION("""COMPUTED_VALUE"""),829.0)</f>
        <v>829</v>
      </c>
      <c r="B833" s="2" t="str">
        <f>IFERROR(__xludf.DUMMYFUNCTION("""COMPUTED_VALUE"""),"COMPLETED")</f>
        <v>COMPLETED</v>
      </c>
      <c r="C833" s="74">
        <f>IFERROR(__xludf.DUMMYFUNCTION("""COMPUTED_VALUE"""),45728.0)</f>
        <v>45728</v>
      </c>
      <c r="D833" s="71" t="str">
        <f>IFERROR(__xludf.DUMMYFUNCTION("""COMPUTED_VALUE"""),"Amnay Cabagan Irrigators and Farmers Agriculture Cooperative")</f>
        <v>Amnay Cabagan Irrigators and Farmers Agriculture Cooperative</v>
      </c>
      <c r="E833" s="71" t="str">
        <f>IFERROR(__xludf.DUMMYFUNCTION("""COMPUTED_VALUE"""),"Barahan, Santa Cruz, OCCIDENTAL MINDORO")</f>
        <v>Barahan, Santa Cruz, OCCIDENTAL MINDORO</v>
      </c>
      <c r="F833" s="2" t="str">
        <f>IFERROR(__xludf.DUMMYFUNCTION("""COMPUTED_VALUE"""),"Ronilo S Salgado")</f>
        <v>Ronilo S Salgado</v>
      </c>
      <c r="G833" s="2">
        <f>IFERROR(__xludf.DUMMYFUNCTION("""COMPUTED_VALUE"""),9.557733522E9)</f>
        <v>9557733522</v>
      </c>
      <c r="H833" s="2">
        <f>IFERROR(__xludf.DUMMYFUNCTION("""COMPUTED_VALUE"""),97.0)</f>
        <v>97</v>
      </c>
      <c r="I833" s="72" t="str">
        <f>IFERROR(__xludf.DUMMYFUNCTION("""COMPUTED_VALUE"""),"PMS")</f>
        <v>PMS</v>
      </c>
      <c r="J833" s="72" t="str">
        <f>IFERROR(__xludf.DUMMYFUNCTION("""COMPUTED_VALUE"""),"PMS")</f>
        <v>PMS</v>
      </c>
      <c r="K833" s="72" t="str">
        <f>IFERROR(__xludf.DUMMYFUNCTION("""COMPUTED_VALUE"""),"KFS: 1st  PMS (FREE)")</f>
        <v>KFS: 1st  PMS (FREE)</v>
      </c>
      <c r="L833" s="72" t="str">
        <f>IFERROR(__xludf.DUMMYFUNCTION("""COMPUTED_VALUE"""),"RCG: DONE PMS")</f>
        <v>RCG: DONE PMS</v>
      </c>
      <c r="M833" s="2"/>
      <c r="N833" s="2" t="str">
        <f>IFERROR(__xludf.DUMMYFUNCTION("""COMPUTED_VALUE"""),"PARTS: OIL FILTER, ENGINE OIL")</f>
        <v>PARTS: OIL FILTER, ENGINE OIL</v>
      </c>
      <c r="O833" s="2">
        <f>IFERROR(__xludf.DUMMYFUNCTION("""COMPUTED_VALUE"""),133.0)</f>
        <v>133</v>
      </c>
      <c r="P833" s="2"/>
      <c r="Q833" s="2"/>
      <c r="R833" s="74">
        <f>IFERROR(__xludf.DUMMYFUNCTION("""COMPUTED_VALUE"""),45737.0)</f>
        <v>45737</v>
      </c>
      <c r="S833" s="2" t="str">
        <f>IFERROR(__xludf.DUMMYFUNCTION("""COMPUTED_VALUE"""),"RCG/DSD")</f>
        <v>RCG/DSD</v>
      </c>
      <c r="T833" s="73" t="str">
        <f>IFERROR(__xludf.DUMMYFUNCTION("""COMPUTED_VALUE""")," N/A ")</f>
        <v>N/A</v>
      </c>
      <c r="U833" s="73" t="str">
        <f>IFERROR(__xludf.DUMMYFUNCTION("""COMPUTED_VALUE""")," NO CHARGE ")</f>
        <v>NO CHARGE</v>
      </c>
      <c r="V833" s="2"/>
      <c r="W833" s="2" t="str">
        <f>IFERROR(__xludf.DUMMYFUNCTION("""COMPUTED_VALUE"""),"N/A")</f>
        <v>N/A</v>
      </c>
      <c r="X833" s="2" t="str">
        <f>IFERROR(__xludf.DUMMYFUNCTION("""COMPUTED_VALUE"""),"N/A")</f>
        <v>N/A</v>
      </c>
      <c r="Y833" s="2"/>
      <c r="Z833" s="2"/>
      <c r="AA833" s="2"/>
      <c r="AB833" s="2"/>
      <c r="AC833" s="2"/>
      <c r="AD833" s="2"/>
      <c r="AE833" s="2"/>
      <c r="AF833" s="2"/>
      <c r="AG833" s="2"/>
      <c r="AH833" s="2"/>
      <c r="AI833" s="2"/>
      <c r="AJ833" s="2" t="str">
        <f>IFERROR(__xludf.DUMMYFUNCTION("""COMPUTED_VALUE"""),"Barahan")</f>
        <v>Barahan</v>
      </c>
      <c r="AK833" s="2" t="str">
        <f>IFERROR(__xludf.DUMMYFUNCTION("""COMPUTED_VALUE"""),"Santa Cruz")</f>
        <v>Santa Cruz</v>
      </c>
      <c r="AL833" s="2" t="str">
        <f>IFERROR(__xludf.DUMMYFUNCTION("""COMPUTED_VALUE"""),"Occidental Mindoro")</f>
        <v>Occidental Mindoro</v>
      </c>
      <c r="AM833" s="2" t="str">
        <f>IFERROR(__xludf.DUMMYFUNCTION("""COMPUTED_VALUE"""),"4B")</f>
        <v>4B</v>
      </c>
      <c r="AN833" s="2" t="str">
        <f>IFERROR(__xludf.DUMMYFUNCTION("""COMPUTED_VALUE"""),"RCEF 24-04-15")</f>
        <v>RCEF 24-04-15</v>
      </c>
      <c r="AO833" s="2">
        <f>IFERROR(__xludf.DUMMYFUNCTION("""COMPUTED_VALUE"""),7.0)</f>
        <v>7</v>
      </c>
      <c r="AP833" s="2" t="str">
        <f>IFERROR(__xludf.DUMMYFUNCTION("""COMPUTED_VALUE"""),"FREE PMS")</f>
        <v>FREE PMS</v>
      </c>
      <c r="AQ833" s="2"/>
      <c r="AR833" s="2"/>
      <c r="AS833" s="2"/>
      <c r="AT833" s="2"/>
      <c r="AU833" s="2"/>
      <c r="AV833" s="2"/>
      <c r="AW833" s="2"/>
      <c r="AX833" s="2"/>
      <c r="AY833" s="2"/>
      <c r="AZ833" s="2"/>
      <c r="BA833" s="2"/>
      <c r="BB833" s="2"/>
    </row>
    <row r="834">
      <c r="A834" s="2">
        <f>IFERROR(__xludf.DUMMYFUNCTION("""COMPUTED_VALUE"""),830.0)</f>
        <v>830</v>
      </c>
      <c r="B834" s="2" t="str">
        <f>IFERROR(__xludf.DUMMYFUNCTION("""COMPUTED_VALUE"""),"COMPLETED")</f>
        <v>COMPLETED</v>
      </c>
      <c r="C834" s="74">
        <f>IFERROR(__xludf.DUMMYFUNCTION("""COMPUTED_VALUE"""),45728.0)</f>
        <v>45728</v>
      </c>
      <c r="D834" s="71" t="str">
        <f>IFERROR(__xludf.DUMMYFUNCTION("""COMPUTED_VALUE"""),"MUNICIPAL LOCAL GOVERNMENT UNIT OF ANGAT")</f>
        <v>MUNICIPAL LOCAL GOVERNMENT UNIT OF ANGAT</v>
      </c>
      <c r="E834" s="71" t="str">
        <f>IFERROR(__xludf.DUMMYFUNCTION("""COMPUTED_VALUE"""),"Poblacion, Angat, Bulacan")</f>
        <v>Poblacion, Angat, Bulacan</v>
      </c>
      <c r="F834" s="2"/>
      <c r="G834" s="2">
        <f>IFERROR(__xludf.DUMMYFUNCTION("""COMPUTED_VALUE"""),9.179941102E9)</f>
        <v>9179941102</v>
      </c>
      <c r="H834" s="2"/>
      <c r="I834" s="72" t="str">
        <f>IFERROR(__xludf.DUMMYFUNCTION("""COMPUTED_VALUE"""),"REPAIR - TRACTOR")</f>
        <v>REPAIR - TRACTOR</v>
      </c>
      <c r="J834" s="72" t="str">
        <f>IFERROR(__xludf.DUMMYFUNCTION("""COMPUTED_VALUE"""),"PTO - Shafting")</f>
        <v>PTO - Shafting</v>
      </c>
      <c r="K834" s="72" t="str">
        <f>IFERROR(__xludf.DUMMYFUNCTION("""COMPUTED_VALUE"""),"EGT:  Maingay po yung gear kapag nakaengage po sa Pto lever 540e pero kapag 540 hindi naman po maingay
PARTS: PTO  SHAFT, 2 SEALING
Egt: 3/20/25: Reaplaced PTO Shaft Shift and 2 Sealing
EGT: 3/20/25: PARTS NEEDED: SHAFT,P.T.O TA00031577A  and Niddle Bear"&amp;"ing 46T
EGT: Replaced Shaft PTO TA00031577A and Niddle Bearing 46T pero maingay padin.")</f>
        <v>EGT:  Maingay po yung gear kapag nakaengage po sa Pto lever 540e pero kapag 540 hindi naman po maingay
PARTS: PTO  SHAFT, 2 SEALING
Egt: 3/20/25: Reaplaced PTO Shaft Shift and 2 Sealing
EGT: 3/20/25: PARTS NEEDED: SHAFT,P.T.O TA00031577A  and Niddle Bearing 46T
EGT: Replaced Shaft PTO TA00031577A and Niddle Bearing 46T pero maingay padin.</v>
      </c>
      <c r="L834" s="72" t="str">
        <f>IFERROR(__xludf.DUMMYFUNCTION("""COMPUTED_VALUE"""),"EGT: REPLACED  PTO CLUTCH PACK LINING")</f>
        <v>EGT: REPLACED  PTO CLUTCH PACK LINING</v>
      </c>
      <c r="M834" s="2"/>
      <c r="N834" s="2" t="str">
        <f>IFERROR(__xludf.DUMMYFUNCTION("""COMPUTED_VALUE"""),"PARTS: 
PTO SHAFT ASSY, 
1 PC PTO CLUTCH PACK LINING")</f>
        <v>PARTS: 
PTO SHAFT ASSY, 
1 PC PTO CLUTCH PACK LINING</v>
      </c>
      <c r="O834" s="2" t="str">
        <f>IFERROR(__xludf.DUMMYFUNCTION("""COMPUTED_VALUE"""),"N/A")</f>
        <v>N/A</v>
      </c>
      <c r="P834" s="2"/>
      <c r="Q834" s="2"/>
      <c r="R834" s="74">
        <f>IFERROR(__xludf.DUMMYFUNCTION("""COMPUTED_VALUE"""),45735.0)</f>
        <v>45735</v>
      </c>
      <c r="S834" s="2" t="str">
        <f>IFERROR(__xludf.DUMMYFUNCTION("""COMPUTED_VALUE"""),"EGT/DRM")</f>
        <v>EGT/DRM</v>
      </c>
      <c r="T834" s="73">
        <f>IFERROR(__xludf.DUMMYFUNCTION("""COMPUTED_VALUE"""),15150.0)</f>
        <v>15150</v>
      </c>
      <c r="U834" s="73" t="str">
        <f>IFERROR(__xludf.DUMMYFUNCTION("""COMPUTED_VALUE""")," REMITTED ")</f>
        <v>REMITTED</v>
      </c>
      <c r="V834" s="2"/>
      <c r="W834" s="2" t="str">
        <f>IFERROR(__xludf.DUMMYFUNCTION("""COMPUTED_VALUE"""),"1407/1408")</f>
        <v>1407/1408</v>
      </c>
      <c r="X834" s="2" t="str">
        <f>IFERROR(__xludf.DUMMYFUNCTION("""COMPUTED_VALUE"""),"1398/1399")</f>
        <v>1398/1399</v>
      </c>
      <c r="Y834" s="2"/>
      <c r="Z834" s="2"/>
      <c r="AA834" s="2"/>
      <c r="AB834" s="2"/>
      <c r="AC834" s="2"/>
      <c r="AD834" s="2"/>
      <c r="AE834" s="2"/>
      <c r="AF834" s="2"/>
      <c r="AG834" s="2"/>
      <c r="AH834" s="2"/>
      <c r="AI834" s="2"/>
      <c r="AJ834" s="2" t="str">
        <f>IFERROR(__xludf.DUMMYFUNCTION("""COMPUTED_VALUE"""),"Poblacion")</f>
        <v>Poblacion</v>
      </c>
      <c r="AK834" s="2" t="str">
        <f>IFERROR(__xludf.DUMMYFUNCTION("""COMPUTED_VALUE"""),"Angat")</f>
        <v>Angat</v>
      </c>
      <c r="AL834" s="2" t="str">
        <f>IFERROR(__xludf.DUMMYFUNCTION("""COMPUTED_VALUE"""),"Bulacan")</f>
        <v>Bulacan</v>
      </c>
      <c r="AM834" s="2">
        <f>IFERROR(__xludf.DUMMYFUNCTION("""COMPUTED_VALUE"""),3.0)</f>
        <v>3</v>
      </c>
      <c r="AN834" s="2" t="str">
        <f>IFERROR(__xludf.DUMMYFUNCTION("""COMPUTED_VALUE"""),"RCEF 23-09-21 Rebidding")</f>
        <v>RCEF 23-09-21 Rebidding</v>
      </c>
      <c r="AO834" s="2">
        <f>IFERROR(__xludf.DUMMYFUNCTION("""COMPUTED_VALUE"""),3.0)</f>
        <v>3</v>
      </c>
      <c r="AP834" s="2"/>
      <c r="AQ834" s="2"/>
      <c r="AR834" s="2"/>
      <c r="AS834" s="2"/>
      <c r="AT834" s="2"/>
      <c r="AU834" s="2"/>
      <c r="AV834" s="2"/>
      <c r="AW834" s="2"/>
      <c r="AX834" s="2"/>
      <c r="AY834" s="2"/>
      <c r="AZ834" s="2"/>
      <c r="BA834" s="2"/>
      <c r="BB834" s="2"/>
    </row>
    <row r="835">
      <c r="A835" s="2">
        <f>IFERROR(__xludf.DUMMYFUNCTION("""COMPUTED_VALUE"""),831.0)</f>
        <v>831</v>
      </c>
      <c r="B835" s="2" t="str">
        <f>IFERROR(__xludf.DUMMYFUNCTION("""COMPUTED_VALUE"""),"COMPLETED")</f>
        <v>COMPLETED</v>
      </c>
      <c r="C835" s="74">
        <f>IFERROR(__xludf.DUMMYFUNCTION("""COMPUTED_VALUE"""),45728.0)</f>
        <v>45728</v>
      </c>
      <c r="D835" s="71" t="str">
        <f>IFERROR(__xludf.DUMMYFUNCTION("""COMPUTED_VALUE"""),"Pias Farmers Agriculture Cooperative")</f>
        <v>Pias Farmers Agriculture Cooperative</v>
      </c>
      <c r="E835" s="71" t="str">
        <f>IFERROR(__xludf.DUMMYFUNCTION("""COMPUTED_VALUE"""),"Pias, Porac, PAMPANGA")</f>
        <v>Pias, Porac, PAMPANGA</v>
      </c>
      <c r="F835" s="2" t="str">
        <f>IFERROR(__xludf.DUMMYFUNCTION("""COMPUTED_VALUE"""),"Alan Santos")</f>
        <v>Alan Santos</v>
      </c>
      <c r="G835" s="2">
        <f>IFERROR(__xludf.DUMMYFUNCTION("""COMPUTED_VALUE"""),9.953421437E9)</f>
        <v>9953421437</v>
      </c>
      <c r="H835" s="2">
        <f>IFERROR(__xludf.DUMMYFUNCTION("""COMPUTED_VALUE"""),40.0)</f>
        <v>40</v>
      </c>
      <c r="I835" s="72" t="str">
        <f>IFERROR(__xludf.DUMMYFUNCTION("""COMPUTED_VALUE"""),"PMS")</f>
        <v>PMS</v>
      </c>
      <c r="J835" s="72" t="str">
        <f>IFERROR(__xludf.DUMMYFUNCTION("""COMPUTED_VALUE"""),"PMS")</f>
        <v>PMS</v>
      </c>
      <c r="K835" s="72" t="str">
        <f>IFERROR(__xludf.DUMMYFUNCTION("""COMPUTED_VALUE"""),"MYKEE: 1ST PMS (FREE OIL FILTER AND ENGINE OIL)")</f>
        <v>MYKEE: 1ST PMS (FREE OIL FILTER AND ENGINE OIL)</v>
      </c>
      <c r="L835" s="72" t="str">
        <f>IFERROR(__xludf.DUMMYFUNCTION("""COMPUTED_VALUE"""),"EGT: DONE PMS")</f>
        <v>EGT: DONE PMS</v>
      </c>
      <c r="M835" s="2"/>
      <c r="N835" s="2" t="str">
        <f>IFERROR(__xludf.DUMMYFUNCTION("""COMPUTED_VALUE"""),"PARTS: OIL FILTER, ENGINE OIL")</f>
        <v>PARTS: OIL FILTER, ENGINE OIL</v>
      </c>
      <c r="O835" s="2" t="str">
        <f>IFERROR(__xludf.DUMMYFUNCTION("""COMPUTED_VALUE"""),"NEED SR FORM #")</f>
        <v>NEED SR FORM #</v>
      </c>
      <c r="P835" s="2"/>
      <c r="Q835" s="2"/>
      <c r="R835" s="74">
        <f>IFERROR(__xludf.DUMMYFUNCTION("""COMPUTED_VALUE"""),45736.0)</f>
        <v>45736</v>
      </c>
      <c r="S835" s="2" t="str">
        <f>IFERROR(__xludf.DUMMYFUNCTION("""COMPUTED_VALUE"""),"EGT/DRM")</f>
        <v>EGT/DRM</v>
      </c>
      <c r="T835" s="73" t="str">
        <f>IFERROR(__xludf.DUMMYFUNCTION("""COMPUTED_VALUE""")," N/A ")</f>
        <v>N/A</v>
      </c>
      <c r="U835" s="73" t="str">
        <f>IFERROR(__xludf.DUMMYFUNCTION("""COMPUTED_VALUE""")," NO CHARGE ")</f>
        <v>NO CHARGE</v>
      </c>
      <c r="V835" s="2"/>
      <c r="W835" s="2" t="str">
        <f>IFERROR(__xludf.DUMMYFUNCTION("""COMPUTED_VALUE"""),"N/A")</f>
        <v>N/A</v>
      </c>
      <c r="X835" s="2" t="str">
        <f>IFERROR(__xludf.DUMMYFUNCTION("""COMPUTED_VALUE"""),"N/A")</f>
        <v>N/A</v>
      </c>
      <c r="Y835" s="2"/>
      <c r="Z835" s="2"/>
      <c r="AA835" s="2"/>
      <c r="AB835" s="2"/>
      <c r="AC835" s="2"/>
      <c r="AD835" s="2"/>
      <c r="AE835" s="2"/>
      <c r="AF835" s="2"/>
      <c r="AG835" s="2"/>
      <c r="AH835" s="2"/>
      <c r="AI835" s="2"/>
      <c r="AJ835" s="2" t="str">
        <f>IFERROR(__xludf.DUMMYFUNCTION("""COMPUTED_VALUE"""),"Pias")</f>
        <v>Pias</v>
      </c>
      <c r="AK835" s="2" t="str">
        <f>IFERROR(__xludf.DUMMYFUNCTION("""COMPUTED_VALUE"""),"Porac")</f>
        <v>Porac</v>
      </c>
      <c r="AL835" s="2" t="str">
        <f>IFERROR(__xludf.DUMMYFUNCTION("""COMPUTED_VALUE"""),"Pampanga")</f>
        <v>Pampanga</v>
      </c>
      <c r="AM835" s="2">
        <f>IFERROR(__xludf.DUMMYFUNCTION("""COMPUTED_VALUE"""),3.0)</f>
        <v>3</v>
      </c>
      <c r="AN835" s="2" t="str">
        <f>IFERROR(__xludf.DUMMYFUNCTION("""COMPUTED_VALUE"""),"RCEF 24-04-15")</f>
        <v>RCEF 24-04-15</v>
      </c>
      <c r="AO835" s="2">
        <f>IFERROR(__xludf.DUMMYFUNCTION("""COMPUTED_VALUE"""),6.0)</f>
        <v>6</v>
      </c>
      <c r="AP835" s="2" t="str">
        <f>IFERROR(__xludf.DUMMYFUNCTION("""COMPUTED_VALUE"""),"FREE PMS")</f>
        <v>FREE PMS</v>
      </c>
      <c r="AQ835" s="2"/>
      <c r="AR835" s="2"/>
      <c r="AS835" s="2"/>
      <c r="AT835" s="2"/>
      <c r="AU835" s="2"/>
      <c r="AV835" s="2"/>
      <c r="AW835" s="2"/>
      <c r="AX835" s="2"/>
      <c r="AY835" s="2"/>
      <c r="AZ835" s="2"/>
      <c r="BA835" s="2"/>
      <c r="BB835" s="2"/>
    </row>
    <row r="836">
      <c r="A836" s="2">
        <f>IFERROR(__xludf.DUMMYFUNCTION("""COMPUTED_VALUE"""),832.0)</f>
        <v>832</v>
      </c>
      <c r="B836" s="2" t="str">
        <f>IFERROR(__xludf.DUMMYFUNCTION("""COMPUTED_VALUE"""),"COMPLETED")</f>
        <v>COMPLETED</v>
      </c>
      <c r="C836" s="74">
        <f>IFERROR(__xludf.DUMMYFUNCTION("""COMPUTED_VALUE"""),45728.0)</f>
        <v>45728</v>
      </c>
      <c r="D836" s="71" t="str">
        <f>IFERROR(__xludf.DUMMYFUNCTION("""COMPUTED_VALUE"""),"CANLUBATOG FARMERS ASSOCIATION INC.")</f>
        <v>CANLUBATOG FARMERS ASSOCIATION INC.</v>
      </c>
      <c r="E836" s="71" t="str">
        <f>IFERROR(__xludf.DUMMYFUNCTION("""COMPUTED_VALUE"""),"Amagbagan, Pozorrubio, PANGASINAN")</f>
        <v>Amagbagan, Pozorrubio, PANGASINAN</v>
      </c>
      <c r="F836" s="2" t="str">
        <f>IFERROR(__xludf.DUMMYFUNCTION("""COMPUTED_VALUE"""),"Juan Calpotura Jr.")</f>
        <v>Juan Calpotura Jr.</v>
      </c>
      <c r="G836" s="2">
        <f>IFERROR(__xludf.DUMMYFUNCTION("""COMPUTED_VALUE"""),9.955164969E9)</f>
        <v>9955164969</v>
      </c>
      <c r="H836" s="2">
        <f>IFERROR(__xludf.DUMMYFUNCTION("""COMPUTED_VALUE"""),41.0)</f>
        <v>41</v>
      </c>
      <c r="I836" s="72" t="str">
        <f>IFERROR(__xludf.DUMMYFUNCTION("""COMPUTED_VALUE"""),"PMS")</f>
        <v>PMS</v>
      </c>
      <c r="J836" s="72" t="str">
        <f>IFERROR(__xludf.DUMMYFUNCTION("""COMPUTED_VALUE"""),"PMS")</f>
        <v>PMS</v>
      </c>
      <c r="K836" s="72" t="str">
        <f>IFERROR(__xludf.DUMMYFUNCTION("""COMPUTED_VALUE"""),"JHP: 1ST PMS (FREE)")</f>
        <v>JHP: 1ST PMS (FREE)</v>
      </c>
      <c r="L836" s="72" t="str">
        <f>IFERROR(__xludf.DUMMYFUNCTION("""COMPUTED_VALUE"""),"DRM: 1ST PMS DONE")</f>
        <v>DRM: 1ST PMS DONE</v>
      </c>
      <c r="M836" s="2"/>
      <c r="N836" s="2" t="str">
        <f>IFERROR(__xludf.DUMMYFUNCTION("""COMPUTED_VALUE"""),"PARTS: OIL FILTER, ENGINE OIL")</f>
        <v>PARTS: OIL FILTER, ENGINE OIL</v>
      </c>
      <c r="O836" s="2">
        <f>IFERROR(__xludf.DUMMYFUNCTION("""COMPUTED_VALUE"""),1114.0)</f>
        <v>1114</v>
      </c>
      <c r="P836" s="2"/>
      <c r="Q836" s="2"/>
      <c r="R836" s="74">
        <f>IFERROR(__xludf.DUMMYFUNCTION("""COMPUTED_VALUE"""),45744.0)</f>
        <v>45744</v>
      </c>
      <c r="S836" s="2" t="str">
        <f>IFERROR(__xludf.DUMMYFUNCTION("""COMPUTED_VALUE"""),"EGT/DRM")</f>
        <v>EGT/DRM</v>
      </c>
      <c r="T836" s="73" t="str">
        <f>IFERROR(__xludf.DUMMYFUNCTION("""COMPUTED_VALUE""")," N/A ")</f>
        <v>N/A</v>
      </c>
      <c r="U836" s="73" t="str">
        <f>IFERROR(__xludf.DUMMYFUNCTION("""COMPUTED_VALUE""")," NO CHARGE ")</f>
        <v>NO CHARGE</v>
      </c>
      <c r="V836" s="2"/>
      <c r="W836" s="2" t="str">
        <f>IFERROR(__xludf.DUMMYFUNCTION("""COMPUTED_VALUE"""),"N/A")</f>
        <v>N/A</v>
      </c>
      <c r="X836" s="2" t="str">
        <f>IFERROR(__xludf.DUMMYFUNCTION("""COMPUTED_VALUE"""),"N/A")</f>
        <v>N/A</v>
      </c>
      <c r="Y836" s="2"/>
      <c r="Z836" s="2"/>
      <c r="AA836" s="2"/>
      <c r="AB836" s="2"/>
      <c r="AC836" s="2"/>
      <c r="AD836" s="2"/>
      <c r="AE836" s="2"/>
      <c r="AF836" s="2"/>
      <c r="AG836" s="2"/>
      <c r="AH836" s="2"/>
      <c r="AI836" s="2"/>
      <c r="AJ836" s="2" t="str">
        <f>IFERROR(__xludf.DUMMYFUNCTION("""COMPUTED_VALUE"""),"Amagbagan")</f>
        <v>Amagbagan</v>
      </c>
      <c r="AK836" s="2" t="str">
        <f>IFERROR(__xludf.DUMMYFUNCTION("""COMPUTED_VALUE"""),"Pozorrubio")</f>
        <v>Pozorrubio</v>
      </c>
      <c r="AL836" s="2" t="str">
        <f>IFERROR(__xludf.DUMMYFUNCTION("""COMPUTED_VALUE"""),"Pangasinan")</f>
        <v>Pangasinan</v>
      </c>
      <c r="AM836" s="2">
        <f>IFERROR(__xludf.DUMMYFUNCTION("""COMPUTED_VALUE"""),1.0)</f>
        <v>1</v>
      </c>
      <c r="AN836" s="2" t="str">
        <f>IFERROR(__xludf.DUMMYFUNCTION("""COMPUTED_VALUE"""),"RCEF 24-04-15")</f>
        <v>RCEF 24-04-15</v>
      </c>
      <c r="AO836" s="2">
        <f>IFERROR(__xludf.DUMMYFUNCTION("""COMPUTED_VALUE"""),6.0)</f>
        <v>6</v>
      </c>
      <c r="AP836" s="2" t="str">
        <f>IFERROR(__xludf.DUMMYFUNCTION("""COMPUTED_VALUE"""),"FREE PMS")</f>
        <v>FREE PMS</v>
      </c>
      <c r="AQ836" s="2"/>
      <c r="AR836" s="2"/>
      <c r="AS836" s="2"/>
      <c r="AT836" s="2"/>
      <c r="AU836" s="2"/>
      <c r="AV836" s="2"/>
      <c r="AW836" s="2"/>
      <c r="AX836" s="2"/>
      <c r="AY836" s="2"/>
      <c r="AZ836" s="2"/>
      <c r="BA836" s="2"/>
      <c r="BB836" s="2"/>
    </row>
    <row r="837">
      <c r="A837" s="2">
        <f>IFERROR(__xludf.DUMMYFUNCTION("""COMPUTED_VALUE"""),833.0)</f>
        <v>833</v>
      </c>
      <c r="B837" s="2" t="str">
        <f>IFERROR(__xludf.DUMMYFUNCTION("""COMPUTED_VALUE"""),"COMPLETED")</f>
        <v>COMPLETED</v>
      </c>
      <c r="C837" s="74">
        <f>IFERROR(__xludf.DUMMYFUNCTION("""COMPUTED_VALUE"""),45730.0)</f>
        <v>45730</v>
      </c>
      <c r="D837" s="71" t="str">
        <f>IFERROR(__xludf.DUMMYFUNCTION("""COMPUTED_VALUE"""),"SAN AGUSTIN II FARMERS ASSOCIATION")</f>
        <v>SAN AGUSTIN II FARMERS ASSOCIATION</v>
      </c>
      <c r="E837" s="71" t="str">
        <f>IFERROR(__xludf.DUMMYFUNCTION("""COMPUTED_VALUE"""),"San Agustin, Naujan, ORIENTAL MINDORO")</f>
        <v>San Agustin, Naujan, ORIENTAL MINDORO</v>
      </c>
      <c r="F837" s="2" t="str">
        <f>IFERROR(__xludf.DUMMYFUNCTION("""COMPUTED_VALUE"""),"SAN AGUSTIN 2 FARMERS ASSOCIATION")</f>
        <v>SAN AGUSTIN 2 FARMERS ASSOCIATION</v>
      </c>
      <c r="G837" s="2">
        <f>IFERROR(__xludf.DUMMYFUNCTION("""COMPUTED_VALUE"""),9.537540359E9)</f>
        <v>9537540359</v>
      </c>
      <c r="H837" s="2"/>
      <c r="I837" s="72" t="str">
        <f>IFERROR(__xludf.DUMMYFUNCTION("""COMPUTED_VALUE"""),"REPAIR - TRACTOR")</f>
        <v>REPAIR - TRACTOR</v>
      </c>
      <c r="J837" s="72" t="str">
        <f>IFERROR(__xludf.DUMMYFUNCTION("""COMPUTED_VALUE"""),"Electrical - Harness")</f>
        <v>Electrical - Harness</v>
      </c>
      <c r="K837" s="72" t="str">
        <f>IFERROR(__xludf.DUMMYFUNCTION("""COMPUTED_VALUE"""),"MYK:  plusher at busina hindi po nagana + 1ST PMS
DSD: WIRING PROBLEM NAG PUPUTOK ANG MGA FUSE,NEED TO REPLACED ALL HARNESS")</f>
        <v>MYK:  plusher at busina hindi po nagana + 1ST PMS
DSD: WIRING PROBLEM NAG PUPUTOK ANG MGA FUSE,NEED TO REPLACED ALL HARNESS</v>
      </c>
      <c r="L837" s="72" t="str">
        <f>IFERROR(__xludf.DUMMYFUNCTION("""COMPUTED_VALUE"""),"DSD: 3/18/25: DONE PMS")</f>
        <v>DSD: 3/18/25: DONE PMS</v>
      </c>
      <c r="M837" s="2"/>
      <c r="N837" s="2" t="str">
        <f>IFERROR(__xludf.DUMMYFUNCTION("""COMPUTED_VALUE"""),"PARTS: ENGINE OIL , OIL FILTER")</f>
        <v>PARTS: ENGINE OIL , OIL FILTER</v>
      </c>
      <c r="O837" s="2">
        <f>IFERROR(__xludf.DUMMYFUNCTION("""COMPUTED_VALUE"""),122.0)</f>
        <v>122</v>
      </c>
      <c r="P837" s="2"/>
      <c r="Q837" s="2"/>
      <c r="R837" s="74">
        <f>IFERROR(__xludf.DUMMYFUNCTION("""COMPUTED_VALUE"""),45734.0)</f>
        <v>45734</v>
      </c>
      <c r="S837" s="2" t="str">
        <f>IFERROR(__xludf.DUMMYFUNCTION("""COMPUTED_VALUE"""),"RCG/DSD")</f>
        <v>RCG/DSD</v>
      </c>
      <c r="T837" s="73" t="str">
        <f>IFERROR(__xludf.DUMMYFUNCTION("""COMPUTED_VALUE""")," N/A  ")</f>
        <v>N/A </v>
      </c>
      <c r="U837" s="73" t="str">
        <f>IFERROR(__xludf.DUMMYFUNCTION("""COMPUTED_VALUE""")," NO CHARGE ")</f>
        <v>NO CHARGE</v>
      </c>
      <c r="V837" s="2"/>
      <c r="W837" s="2" t="str">
        <f>IFERROR(__xludf.DUMMYFUNCTION("""COMPUTED_VALUE"""),"N/A")</f>
        <v>N/A</v>
      </c>
      <c r="X837" s="2" t="str">
        <f>IFERROR(__xludf.DUMMYFUNCTION("""COMPUTED_VALUE"""),"N/A")</f>
        <v>N/A</v>
      </c>
      <c r="Y837" s="2"/>
      <c r="Z837" s="2"/>
      <c r="AA837" s="2"/>
      <c r="AB837" s="2"/>
      <c r="AC837" s="2"/>
      <c r="AD837" s="2"/>
      <c r="AE837" s="2"/>
      <c r="AF837" s="2"/>
      <c r="AG837" s="2"/>
      <c r="AH837" s="2"/>
      <c r="AI837" s="2"/>
      <c r="AJ837" s="2" t="str">
        <f>IFERROR(__xludf.DUMMYFUNCTION("""COMPUTED_VALUE"""),"San Agustin")</f>
        <v>San Agustin</v>
      </c>
      <c r="AK837" s="2" t="str">
        <f>IFERROR(__xludf.DUMMYFUNCTION("""COMPUTED_VALUE"""),"Naujan")</f>
        <v>Naujan</v>
      </c>
      <c r="AL837" s="2" t="str">
        <f>IFERROR(__xludf.DUMMYFUNCTION("""COMPUTED_VALUE"""),"Oriental Mindoro")</f>
        <v>Oriental Mindoro</v>
      </c>
      <c r="AM837" s="2" t="str">
        <f>IFERROR(__xludf.DUMMYFUNCTION("""COMPUTED_VALUE"""),"4B")</f>
        <v>4B</v>
      </c>
      <c r="AN837" s="2" t="str">
        <f>IFERROR(__xludf.DUMMYFUNCTION("""COMPUTED_VALUE"""),"RCEF 24-04-15")</f>
        <v>RCEF 24-04-15</v>
      </c>
      <c r="AO837" s="2">
        <f>IFERROR(__xludf.DUMMYFUNCTION("""COMPUTED_VALUE"""),7.0)</f>
        <v>7</v>
      </c>
      <c r="AP837" s="2" t="str">
        <f>IFERROR(__xludf.DUMMYFUNCTION("""COMPUTED_VALUE"""),"FREE PMS")</f>
        <v>FREE PMS</v>
      </c>
      <c r="AQ837" s="2"/>
      <c r="AR837" s="2"/>
      <c r="AS837" s="2"/>
      <c r="AT837" s="2"/>
      <c r="AU837" s="2"/>
      <c r="AV837" s="2"/>
      <c r="AW837" s="2"/>
      <c r="AX837" s="2"/>
      <c r="AY837" s="2"/>
      <c r="AZ837" s="2"/>
      <c r="BA837" s="2"/>
      <c r="BB837" s="2"/>
    </row>
    <row r="838">
      <c r="A838" s="2">
        <f>IFERROR(__xludf.DUMMYFUNCTION("""COMPUTED_VALUE"""),834.0)</f>
        <v>834</v>
      </c>
      <c r="B838" s="2" t="str">
        <f>IFERROR(__xludf.DUMMYFUNCTION("""COMPUTED_VALUE"""),"COMPLETED")</f>
        <v>COMPLETED</v>
      </c>
      <c r="C838" s="74">
        <f>IFERROR(__xludf.DUMMYFUNCTION("""COMPUTED_VALUE"""),45730.0)</f>
        <v>45730</v>
      </c>
      <c r="D838" s="71" t="str">
        <f>IFERROR(__xludf.DUMMYFUNCTION("""COMPUTED_VALUE"""),"MULAWIN BATA IRRIGATORS ASSOCIATION, INC.")</f>
        <v>MULAWIN BATA IRRIGATORS ASSOCIATION, INC.</v>
      </c>
      <c r="E838" s="71" t="str">
        <f>IFERROR(__xludf.DUMMYFUNCTION("""COMPUTED_VALUE"""),"Tarcan, Baliuag, BULACAN")</f>
        <v>Tarcan, Baliuag, BULACAN</v>
      </c>
      <c r="F838" s="2" t="str">
        <f>IFERROR(__xludf.DUMMYFUNCTION("""COMPUTED_VALUE"""),"ERWIN MALACCA")</f>
        <v>ERWIN MALACCA</v>
      </c>
      <c r="G838" s="2">
        <f>IFERROR(__xludf.DUMMYFUNCTION("""COMPUTED_VALUE"""),9.323436446E9)</f>
        <v>9323436446</v>
      </c>
      <c r="H838" s="2"/>
      <c r="I838" s="72" t="str">
        <f>IFERROR(__xludf.DUMMYFUNCTION("""COMPUTED_VALUE"""),"REPAIR - TRACTOR")</f>
        <v>REPAIR - TRACTOR</v>
      </c>
      <c r="J838" s="72" t="str">
        <f>IFERROR(__xludf.DUMMYFUNCTION("""COMPUTED_VALUE"""),"CHECK UP/ REPAIR")</f>
        <v>CHECK UP/ REPAIR</v>
      </c>
      <c r="K838" s="72" t="str">
        <f>IFERROR(__xludf.DUMMYFUNCTION("""COMPUTED_VALUE"""),"Helow sir…  kumakatas na po ung langis nung naideliver na FWT sa Bulacan nagsend po video ung recipient
KFS: Lagyan lang ng silicon ung sa unang vid + free PMS (langis and oil filter)")</f>
        <v>Helow sir…  kumakatas na po ung langis nung naideliver na FWT sa Bulacan nagsend po video ung recipient
KFS: Lagyan lang ng silicon ung sa unang vid + free PMS (langis and oil filter)</v>
      </c>
      <c r="L838" s="72" t="str">
        <f>IFERROR(__xludf.DUMMYFUNCTION("""COMPUTED_VALUE"""),"EGT: REPAIRED")</f>
        <v>EGT: REPAIRED</v>
      </c>
      <c r="M838" s="2"/>
      <c r="N838" s="2"/>
      <c r="O838" s="2" t="str">
        <f>IFERROR(__xludf.DUMMYFUNCTION("""COMPUTED_VALUE"""),"NEED SERVICE REPORT")</f>
        <v>NEED SERVICE REPORT</v>
      </c>
      <c r="P838" s="2"/>
      <c r="Q838" s="2"/>
      <c r="R838" s="74">
        <f>IFERROR(__xludf.DUMMYFUNCTION("""COMPUTED_VALUE"""),45740.0)</f>
        <v>45740</v>
      </c>
      <c r="S838" s="2" t="str">
        <f>IFERROR(__xludf.DUMMYFUNCTION("""COMPUTED_VALUE"""),"EGT/DRM")</f>
        <v>EGT/DRM</v>
      </c>
      <c r="T838" s="73" t="str">
        <f>IFERROR(__xludf.DUMMYFUNCTION("""COMPUTED_VALUE""")," N/A ")</f>
        <v>N/A</v>
      </c>
      <c r="U838" s="73" t="str">
        <f>IFERROR(__xludf.DUMMYFUNCTION("""COMPUTED_VALUE""")," NO CHARGE ")</f>
        <v>NO CHARGE</v>
      </c>
      <c r="V838" s="2"/>
      <c r="W838" s="2" t="str">
        <f>IFERROR(__xludf.DUMMYFUNCTION("""COMPUTED_VALUE"""),"N/A")</f>
        <v>N/A</v>
      </c>
      <c r="X838" s="2" t="str">
        <f>IFERROR(__xludf.DUMMYFUNCTION("""COMPUTED_VALUE"""),"N/A")</f>
        <v>N/A</v>
      </c>
      <c r="Y838" s="2"/>
      <c r="Z838" s="2"/>
      <c r="AA838" s="2"/>
      <c r="AB838" s="2"/>
      <c r="AC838" s="2"/>
      <c r="AD838" s="2"/>
      <c r="AE838" s="2"/>
      <c r="AF838" s="2"/>
      <c r="AG838" s="2"/>
      <c r="AH838" s="2"/>
      <c r="AI838" s="2"/>
      <c r="AJ838" s="2" t="str">
        <f>IFERROR(__xludf.DUMMYFUNCTION("""COMPUTED_VALUE"""),"Tarcan")</f>
        <v>Tarcan</v>
      </c>
      <c r="AK838" s="2" t="str">
        <f>IFERROR(__xludf.DUMMYFUNCTION("""COMPUTED_VALUE"""),"Baliuag")</f>
        <v>Baliuag</v>
      </c>
      <c r="AL838" s="2" t="str">
        <f>IFERROR(__xludf.DUMMYFUNCTION("""COMPUTED_VALUE"""),"Bulacan")</f>
        <v>Bulacan</v>
      </c>
      <c r="AM838" s="2">
        <f>IFERROR(__xludf.DUMMYFUNCTION("""COMPUTED_VALUE"""),3.0)</f>
        <v>3</v>
      </c>
      <c r="AN838" s="2" t="str">
        <f>IFERROR(__xludf.DUMMYFUNCTION("""COMPUTED_VALUE"""),"RCEF 23-09-21 Rebidding")</f>
        <v>RCEF 23-09-21 Rebidding</v>
      </c>
      <c r="AO838" s="2">
        <f>IFERROR(__xludf.DUMMYFUNCTION("""COMPUTED_VALUE"""),3.0)</f>
        <v>3</v>
      </c>
      <c r="AP838" s="2"/>
      <c r="AQ838" s="2"/>
      <c r="AR838" s="2"/>
      <c r="AS838" s="2"/>
      <c r="AT838" s="2"/>
      <c r="AU838" s="2"/>
      <c r="AV838" s="2"/>
      <c r="AW838" s="2"/>
      <c r="AX838" s="2"/>
      <c r="AY838" s="2"/>
      <c r="AZ838" s="2"/>
      <c r="BA838" s="2"/>
      <c r="BB838" s="2"/>
    </row>
    <row r="839">
      <c r="A839" s="2">
        <f>IFERROR(__xludf.DUMMYFUNCTION("""COMPUTED_VALUE"""),835.0)</f>
        <v>835</v>
      </c>
      <c r="B839" s="2" t="str">
        <f>IFERROR(__xludf.DUMMYFUNCTION("""COMPUTED_VALUE"""),"PENDING")</f>
        <v>PENDING</v>
      </c>
      <c r="C839" s="74">
        <f>IFERROR(__xludf.DUMMYFUNCTION("""COMPUTED_VALUE"""),45730.0)</f>
        <v>45730</v>
      </c>
      <c r="D839" s="71" t="str">
        <f>IFERROR(__xludf.DUMMYFUNCTION("""COMPUTED_VALUE"""),"SANDIGAN NG MGA MANGGAGAWA SA AGRIKULTURA SA KANAYUNAN (SAMAKA)")</f>
        <v>SANDIGAN NG MGA MANGGAGAWA SA AGRIKULTURA SA KANAYUNAN (SAMAKA)</v>
      </c>
      <c r="E839" s="71" t="str">
        <f>IFERROR(__xludf.DUMMYFUNCTION("""COMPUTED_VALUE"""),"Calucmoy, Socorro, Oriental Mindoro")</f>
        <v>Calucmoy, Socorro, Oriental Mindoro</v>
      </c>
      <c r="F839" s="2" t="str">
        <f>IFERROR(__xludf.DUMMYFUNCTION("""COMPUTED_VALUE"""),"REX MAANO")</f>
        <v>REX MAANO</v>
      </c>
      <c r="G839" s="2">
        <f>IFERROR(__xludf.DUMMYFUNCTION("""COMPUTED_VALUE"""),9.50137721E9)</f>
        <v>9501377210</v>
      </c>
      <c r="H839" s="2"/>
      <c r="I839" s="72" t="str">
        <f>IFERROR(__xludf.DUMMYFUNCTION("""COMPUTED_VALUE"""),"REPAIR - TRACTOR")</f>
        <v>REPAIR - TRACTOR</v>
      </c>
      <c r="J839" s="72" t="str">
        <f>IFERROR(__xludf.DUMMYFUNCTION("""COMPUTED_VALUE"""),"Transmission - Front Drive")</f>
        <v>Transmission - Front Drive</v>
      </c>
      <c r="K839" s="72" t="str">
        <f>IFERROR(__xludf.DUMMYFUNCTION("""COMPUTED_VALUE"""),"RCG: PINION GEAR ASSY  PROBLEMA
(KASALUKUYANG HINIDI PA NAGAGAWA DAHIL GUSTONG IPA WARRNATY ANG PYESA, NGUNIT ILANG BESES NA ITONG NANGYAYARI POSIBLENG OPERATORS FAULT NA ITO)")</f>
        <v>RCG: PINION GEAR ASSY  PROBLEMA
(KASALUKUYANG HINIDI PA NAGAGAWA DAHIL GUSTONG IPA WARRNATY ANG PYESA, NGUNIT ILANG BESES NA ITONG NANGYAYARI POSIBLENG OPERATORS FAULT NA ITO)</v>
      </c>
      <c r="L839" s="72" t="str">
        <f>IFERROR(__xludf.DUMMYFUNCTION("""COMPUTED_VALUE"""),"STILL PENDING -  WAG ALISIN SA PENDING")</f>
        <v>STILL PENDING -  WAG ALISIN SA PENDING</v>
      </c>
      <c r="M839" s="2"/>
      <c r="N839" s="2"/>
      <c r="O839" s="2"/>
      <c r="P839" s="2"/>
      <c r="Q839" s="2"/>
      <c r="R839" s="2"/>
      <c r="S839" s="2"/>
      <c r="T839" s="2"/>
      <c r="U839" s="2"/>
      <c r="V839" s="2"/>
      <c r="W839" s="2"/>
      <c r="X839" s="2"/>
      <c r="Y839" s="2"/>
      <c r="Z839" s="2"/>
      <c r="AA839" s="2"/>
      <c r="AB839" s="2"/>
      <c r="AC839" s="2"/>
      <c r="AD839" s="2"/>
      <c r="AE839" s="2"/>
      <c r="AF839" s="2"/>
      <c r="AG839" s="2"/>
      <c r="AH839" s="2"/>
      <c r="AI839" s="2"/>
      <c r="AJ839" s="2" t="str">
        <f>IFERROR(__xludf.DUMMYFUNCTION("""COMPUTED_VALUE"""),"Calucmoy")</f>
        <v>Calucmoy</v>
      </c>
      <c r="AK839" s="2" t="str">
        <f>IFERROR(__xludf.DUMMYFUNCTION("""COMPUTED_VALUE"""),"Socorro")</f>
        <v>Socorro</v>
      </c>
      <c r="AL839" s="2" t="str">
        <f>IFERROR(__xludf.DUMMYFUNCTION("""COMPUTED_VALUE"""),"Oriental Mindoro")</f>
        <v>Oriental Mindoro</v>
      </c>
      <c r="AM839" s="2" t="str">
        <f>IFERROR(__xludf.DUMMYFUNCTION("""COMPUTED_VALUE"""),"4B")</f>
        <v>4B</v>
      </c>
      <c r="AN839" s="2" t="str">
        <f>IFERROR(__xludf.DUMMYFUNCTION("""COMPUTED_VALUE"""),"RCEF 23-08-20 Rebidding")</f>
        <v>RCEF 23-08-20 Rebidding</v>
      </c>
      <c r="AO839" s="2">
        <f>IFERROR(__xludf.DUMMYFUNCTION("""COMPUTED_VALUE"""),1.0)</f>
        <v>1</v>
      </c>
      <c r="AP839" s="2"/>
      <c r="AQ839" s="2"/>
      <c r="AR839" s="2" t="str">
        <f>IFERROR(__xludf.DUMMYFUNCTION("""COMPUTED_VALUE"""),"PINION GEAR ASSY")</f>
        <v>PINION GEAR ASSY</v>
      </c>
      <c r="AS839" s="2"/>
      <c r="AT839" s="2"/>
      <c r="AU839" s="2"/>
      <c r="AV839" s="2"/>
      <c r="AW839" s="2"/>
      <c r="AX839" s="2"/>
      <c r="AY839" s="2"/>
      <c r="AZ839" s="2"/>
      <c r="BA839" s="2"/>
      <c r="BB839" s="2"/>
    </row>
    <row r="840">
      <c r="A840" s="2">
        <f>IFERROR(__xludf.DUMMYFUNCTION("""COMPUTED_VALUE"""),836.0)</f>
        <v>836</v>
      </c>
      <c r="B840" s="2" t="str">
        <f>IFERROR(__xludf.DUMMYFUNCTION("""COMPUTED_VALUE"""),"COMPLETED")</f>
        <v>COMPLETED</v>
      </c>
      <c r="C840" s="74">
        <f>IFERROR(__xludf.DUMMYFUNCTION("""COMPUTED_VALUE"""),45733.0)</f>
        <v>45733</v>
      </c>
      <c r="D840" s="71" t="str">
        <f>IFERROR(__xludf.DUMMYFUNCTION("""COMPUTED_VALUE"""),"KATWIRAN 2 FARMERS ASSOCIATION")</f>
        <v>KATWIRAN 2 FARMERS ASSOCIATION</v>
      </c>
      <c r="E840" s="71" t="str">
        <f>IFERROR(__xludf.DUMMYFUNCTION("""COMPUTED_VALUE"""),"Catwiran II, Baco, ORIENTAL MINDORO")</f>
        <v>Catwiran II, Baco, ORIENTAL MINDORO</v>
      </c>
      <c r="F840" s="2"/>
      <c r="G840" s="2">
        <f>IFERROR(__xludf.DUMMYFUNCTION("""COMPUTED_VALUE"""),9.202022191E9)</f>
        <v>9202022191</v>
      </c>
      <c r="H840" s="2">
        <f>IFERROR(__xludf.DUMMYFUNCTION("""COMPUTED_VALUE"""),26.0)</f>
        <v>26</v>
      </c>
      <c r="I840" s="72" t="str">
        <f>IFERROR(__xludf.DUMMYFUNCTION("""COMPUTED_VALUE"""),"PMS")</f>
        <v>PMS</v>
      </c>
      <c r="J840" s="72" t="str">
        <f>IFERROR(__xludf.DUMMYFUNCTION("""COMPUTED_VALUE"""),"PMS")</f>
        <v>PMS</v>
      </c>
      <c r="K840" s="72" t="str">
        <f>IFERROR(__xludf.DUMMYFUNCTION("""COMPUTED_VALUE"""),"DSD: 1ST PMS FREE")</f>
        <v>DSD: 1ST PMS FREE</v>
      </c>
      <c r="L840" s="72" t="str">
        <f>IFERROR(__xludf.DUMMYFUNCTION("""COMPUTED_VALUE"""),"DSD: 1ST PMS DONE")</f>
        <v>DSD: 1ST PMS DONE</v>
      </c>
      <c r="M840" s="2"/>
      <c r="N840" s="2" t="str">
        <f>IFERROR(__xludf.DUMMYFUNCTION("""COMPUTED_VALUE"""),"PARTS: ENGINE OIL , OIL FILTER")</f>
        <v>PARTS: ENGINE OIL , OIL FILTER</v>
      </c>
      <c r="O840" s="2">
        <f>IFERROR(__xludf.DUMMYFUNCTION("""COMPUTED_VALUE"""),118.0)</f>
        <v>118</v>
      </c>
      <c r="P840" s="2"/>
      <c r="Q840" s="2"/>
      <c r="R840" s="74">
        <f>IFERROR(__xludf.DUMMYFUNCTION("""COMPUTED_VALUE"""),45733.0)</f>
        <v>45733</v>
      </c>
      <c r="S840" s="2" t="str">
        <f>IFERROR(__xludf.DUMMYFUNCTION("""COMPUTED_VALUE"""),"RCG/DSD")</f>
        <v>RCG/DSD</v>
      </c>
      <c r="T840" s="73" t="str">
        <f>IFERROR(__xludf.DUMMYFUNCTION("""COMPUTED_VALUE""")," N/A ")</f>
        <v>N/A</v>
      </c>
      <c r="U840" s="73" t="str">
        <f>IFERROR(__xludf.DUMMYFUNCTION("""COMPUTED_VALUE""")," NO CHARGE ")</f>
        <v>NO CHARGE</v>
      </c>
      <c r="V840" s="2"/>
      <c r="W840" s="2" t="str">
        <f>IFERROR(__xludf.DUMMYFUNCTION("""COMPUTED_VALUE"""),"N/A")</f>
        <v>N/A</v>
      </c>
      <c r="X840" s="2" t="str">
        <f>IFERROR(__xludf.DUMMYFUNCTION("""COMPUTED_VALUE"""),"N/A")</f>
        <v>N/A</v>
      </c>
      <c r="Y840" s="2"/>
      <c r="Z840" s="2"/>
      <c r="AA840" s="2"/>
      <c r="AB840" s="2"/>
      <c r="AC840" s="2"/>
      <c r="AD840" s="2"/>
      <c r="AE840" s="2"/>
      <c r="AF840" s="2"/>
      <c r="AG840" s="2"/>
      <c r="AH840" s="2"/>
      <c r="AI840" s="2"/>
      <c r="AJ840" s="2" t="str">
        <f>IFERROR(__xludf.DUMMYFUNCTION("""COMPUTED_VALUE"""),"Catwiran Ii")</f>
        <v>Catwiran Ii</v>
      </c>
      <c r="AK840" s="2" t="str">
        <f>IFERROR(__xludf.DUMMYFUNCTION("""COMPUTED_VALUE"""),"Baco")</f>
        <v>Baco</v>
      </c>
      <c r="AL840" s="2" t="str">
        <f>IFERROR(__xludf.DUMMYFUNCTION("""COMPUTED_VALUE"""),"Oriental Mindoro")</f>
        <v>Oriental Mindoro</v>
      </c>
      <c r="AM840" s="2" t="str">
        <f>IFERROR(__xludf.DUMMYFUNCTION("""COMPUTED_VALUE"""),"4B")</f>
        <v>4B</v>
      </c>
      <c r="AN840" s="2" t="str">
        <f>IFERROR(__xludf.DUMMYFUNCTION("""COMPUTED_VALUE"""),"RCEF 24-04-15")</f>
        <v>RCEF 24-04-15</v>
      </c>
      <c r="AO840" s="2">
        <f>IFERROR(__xludf.DUMMYFUNCTION("""COMPUTED_VALUE"""),7.0)</f>
        <v>7</v>
      </c>
      <c r="AP840" s="2" t="str">
        <f>IFERROR(__xludf.DUMMYFUNCTION("""COMPUTED_VALUE"""),"FREE PMS")</f>
        <v>FREE PMS</v>
      </c>
      <c r="AQ840" s="2"/>
      <c r="AR840" s="2"/>
      <c r="AS840" s="2"/>
      <c r="AT840" s="2"/>
      <c r="AU840" s="2"/>
      <c r="AV840" s="2"/>
      <c r="AW840" s="2"/>
      <c r="AX840" s="2"/>
      <c r="AY840" s="2"/>
      <c r="AZ840" s="2"/>
      <c r="BA840" s="2"/>
      <c r="BB840" s="2"/>
    </row>
    <row r="841">
      <c r="A841" s="2">
        <f>IFERROR(__xludf.DUMMYFUNCTION("""COMPUTED_VALUE"""),837.0)</f>
        <v>837</v>
      </c>
      <c r="B841" s="2" t="str">
        <f>IFERROR(__xludf.DUMMYFUNCTION("""COMPUTED_VALUE"""),"COMPLETED")</f>
        <v>COMPLETED</v>
      </c>
      <c r="C841" s="74">
        <f>IFERROR(__xludf.DUMMYFUNCTION("""COMPUTED_VALUE"""),45733.0)</f>
        <v>45733</v>
      </c>
      <c r="D841" s="71" t="str">
        <f>IFERROR(__xludf.DUMMYFUNCTION("""COMPUTED_VALUE"""),"CENTRO DULANGAN 2 FARMERS ASSOCIATION")</f>
        <v>CENTRO DULANGAN 2 FARMERS ASSOCIATION</v>
      </c>
      <c r="E841" s="71" t="str">
        <f>IFERROR(__xludf.DUMMYFUNCTION("""COMPUTED_VALUE"""),"Dulangan II, Baco, ORIENTAL MINDORO")</f>
        <v>Dulangan II, Baco, ORIENTAL MINDORO</v>
      </c>
      <c r="F841" s="2"/>
      <c r="G841" s="2">
        <f>IFERROR(__xludf.DUMMYFUNCTION("""COMPUTED_VALUE"""),9.069270571E9)</f>
        <v>9069270571</v>
      </c>
      <c r="H841" s="2">
        <f>IFERROR(__xludf.DUMMYFUNCTION("""COMPUTED_VALUE"""),25.0)</f>
        <v>25</v>
      </c>
      <c r="I841" s="72" t="str">
        <f>IFERROR(__xludf.DUMMYFUNCTION("""COMPUTED_VALUE"""),"PMS")</f>
        <v>PMS</v>
      </c>
      <c r="J841" s="72" t="str">
        <f>IFERROR(__xludf.DUMMYFUNCTION("""COMPUTED_VALUE"""),"PMS")</f>
        <v>PMS</v>
      </c>
      <c r="K841" s="72" t="str">
        <f>IFERROR(__xludf.DUMMYFUNCTION("""COMPUTED_VALUE"""),"DSD: 1ST PMS FREE")</f>
        <v>DSD: 1ST PMS FREE</v>
      </c>
      <c r="L841" s="72" t="str">
        <f>IFERROR(__xludf.DUMMYFUNCTION("""COMPUTED_VALUE"""),"DSD: 1ST PMS DONE")</f>
        <v>DSD: 1ST PMS DONE</v>
      </c>
      <c r="M841" s="2"/>
      <c r="N841" s="2" t="str">
        <f>IFERROR(__xludf.DUMMYFUNCTION("""COMPUTED_VALUE"""),"PARTS: ENGINE OIL , OIL FILTER")</f>
        <v>PARTS: ENGINE OIL , OIL FILTER</v>
      </c>
      <c r="O841" s="2">
        <f>IFERROR(__xludf.DUMMYFUNCTION("""COMPUTED_VALUE"""),119.0)</f>
        <v>119</v>
      </c>
      <c r="P841" s="2"/>
      <c r="Q841" s="2"/>
      <c r="R841" s="74">
        <f>IFERROR(__xludf.DUMMYFUNCTION("""COMPUTED_VALUE"""),45733.0)</f>
        <v>45733</v>
      </c>
      <c r="S841" s="2" t="str">
        <f>IFERROR(__xludf.DUMMYFUNCTION("""COMPUTED_VALUE"""),"RCG/DSD")</f>
        <v>RCG/DSD</v>
      </c>
      <c r="T841" s="73" t="str">
        <f>IFERROR(__xludf.DUMMYFUNCTION("""COMPUTED_VALUE""")," N/A ")</f>
        <v>N/A</v>
      </c>
      <c r="U841" s="73" t="str">
        <f>IFERROR(__xludf.DUMMYFUNCTION("""COMPUTED_VALUE""")," NO CHARGE ")</f>
        <v>NO CHARGE</v>
      </c>
      <c r="V841" s="2"/>
      <c r="W841" s="2" t="str">
        <f>IFERROR(__xludf.DUMMYFUNCTION("""COMPUTED_VALUE"""),"N/A")</f>
        <v>N/A</v>
      </c>
      <c r="X841" s="2" t="str">
        <f>IFERROR(__xludf.DUMMYFUNCTION("""COMPUTED_VALUE"""),"N/A")</f>
        <v>N/A</v>
      </c>
      <c r="Y841" s="2"/>
      <c r="Z841" s="2"/>
      <c r="AA841" s="2"/>
      <c r="AB841" s="2"/>
      <c r="AC841" s="2"/>
      <c r="AD841" s="2"/>
      <c r="AE841" s="2"/>
      <c r="AF841" s="2"/>
      <c r="AG841" s="2"/>
      <c r="AH841" s="2"/>
      <c r="AI841" s="2"/>
      <c r="AJ841" s="2" t="str">
        <f>IFERROR(__xludf.DUMMYFUNCTION("""COMPUTED_VALUE"""),"Dulangan Ii")</f>
        <v>Dulangan Ii</v>
      </c>
      <c r="AK841" s="2" t="str">
        <f>IFERROR(__xludf.DUMMYFUNCTION("""COMPUTED_VALUE"""),"Baco")</f>
        <v>Baco</v>
      </c>
      <c r="AL841" s="2" t="str">
        <f>IFERROR(__xludf.DUMMYFUNCTION("""COMPUTED_VALUE"""),"Oriental Mindoro")</f>
        <v>Oriental Mindoro</v>
      </c>
      <c r="AM841" s="2" t="str">
        <f>IFERROR(__xludf.DUMMYFUNCTION("""COMPUTED_VALUE"""),"4B")</f>
        <v>4B</v>
      </c>
      <c r="AN841" s="2" t="str">
        <f>IFERROR(__xludf.DUMMYFUNCTION("""COMPUTED_VALUE"""),"RCEF 24-04-15")</f>
        <v>RCEF 24-04-15</v>
      </c>
      <c r="AO841" s="2">
        <f>IFERROR(__xludf.DUMMYFUNCTION("""COMPUTED_VALUE"""),7.0)</f>
        <v>7</v>
      </c>
      <c r="AP841" s="2" t="str">
        <f>IFERROR(__xludf.DUMMYFUNCTION("""COMPUTED_VALUE"""),"FREE PMS")</f>
        <v>FREE PMS</v>
      </c>
      <c r="AQ841" s="2"/>
      <c r="AR841" s="2"/>
      <c r="AS841" s="2"/>
      <c r="AT841" s="2"/>
      <c r="AU841" s="2"/>
      <c r="AV841" s="2"/>
      <c r="AW841" s="2"/>
      <c r="AX841" s="2"/>
      <c r="AY841" s="2"/>
      <c r="AZ841" s="2"/>
      <c r="BA841" s="2"/>
      <c r="BB841" s="2"/>
    </row>
    <row r="842">
      <c r="A842" s="2">
        <f>IFERROR(__xludf.DUMMYFUNCTION("""COMPUTED_VALUE"""),838.0)</f>
        <v>838</v>
      </c>
      <c r="B842" s="2" t="str">
        <f>IFERROR(__xludf.DUMMYFUNCTION("""COMPUTED_VALUE"""),"COMPLETED")</f>
        <v>COMPLETED</v>
      </c>
      <c r="C842" s="74">
        <f>IFERROR(__xludf.DUMMYFUNCTION("""COMPUTED_VALUE"""),45733.0)</f>
        <v>45733</v>
      </c>
      <c r="D842" s="71" t="str">
        <f>IFERROR(__xludf.DUMMYFUNCTION("""COMPUTED_VALUE"""),"MANAGPI FARMERS ASSOCIATION")</f>
        <v>MANAGPI FARMERS ASSOCIATION</v>
      </c>
      <c r="E842" s="71" t="str">
        <f>IFERROR(__xludf.DUMMYFUNCTION("""COMPUTED_VALUE"""),"Managpi, Calapan City, ORIENTAL MINDORO")</f>
        <v>Managpi, Calapan City, ORIENTAL MINDORO</v>
      </c>
      <c r="F842" s="2"/>
      <c r="G842" s="2">
        <f>IFERROR(__xludf.DUMMYFUNCTION("""COMPUTED_VALUE"""),9.550677374E9)</f>
        <v>9550677374</v>
      </c>
      <c r="H842" s="2">
        <f>IFERROR(__xludf.DUMMYFUNCTION("""COMPUTED_VALUE"""),22.7)</f>
        <v>22.7</v>
      </c>
      <c r="I842" s="72" t="str">
        <f>IFERROR(__xludf.DUMMYFUNCTION("""COMPUTED_VALUE"""),"PMS")</f>
        <v>PMS</v>
      </c>
      <c r="J842" s="72" t="str">
        <f>IFERROR(__xludf.DUMMYFUNCTION("""COMPUTED_VALUE"""),"PMS")</f>
        <v>PMS</v>
      </c>
      <c r="K842" s="72" t="str">
        <f>IFERROR(__xludf.DUMMYFUNCTION("""COMPUTED_VALUE"""),"DSD: 1ST PMS FREE")</f>
        <v>DSD: 1ST PMS FREE</v>
      </c>
      <c r="L842" s="72" t="str">
        <f>IFERROR(__xludf.DUMMYFUNCTION("""COMPUTED_VALUE"""),"DSD: 1ST PMS DONE")</f>
        <v>DSD: 1ST PMS DONE</v>
      </c>
      <c r="M842" s="2"/>
      <c r="N842" s="2" t="str">
        <f>IFERROR(__xludf.DUMMYFUNCTION("""COMPUTED_VALUE"""),"PARTS: ENGINE OIL , OIL FILTER")</f>
        <v>PARTS: ENGINE OIL , OIL FILTER</v>
      </c>
      <c r="O842" s="2">
        <f>IFERROR(__xludf.DUMMYFUNCTION("""COMPUTED_VALUE"""),121.0)</f>
        <v>121</v>
      </c>
      <c r="P842" s="2"/>
      <c r="Q842" s="2"/>
      <c r="R842" s="74">
        <f>IFERROR(__xludf.DUMMYFUNCTION("""COMPUTED_VALUE"""),45733.0)</f>
        <v>45733</v>
      </c>
      <c r="S842" s="2" t="str">
        <f>IFERROR(__xludf.DUMMYFUNCTION("""COMPUTED_VALUE"""),"RCG/DSD")</f>
        <v>RCG/DSD</v>
      </c>
      <c r="T842" s="73" t="str">
        <f>IFERROR(__xludf.DUMMYFUNCTION("""COMPUTED_VALUE""")," N/A ")</f>
        <v>N/A</v>
      </c>
      <c r="U842" s="73" t="str">
        <f>IFERROR(__xludf.DUMMYFUNCTION("""COMPUTED_VALUE""")," NO CHARGE ")</f>
        <v>NO CHARGE</v>
      </c>
      <c r="V842" s="2"/>
      <c r="W842" s="2" t="str">
        <f>IFERROR(__xludf.DUMMYFUNCTION("""COMPUTED_VALUE"""),"N/A")</f>
        <v>N/A</v>
      </c>
      <c r="X842" s="2" t="str">
        <f>IFERROR(__xludf.DUMMYFUNCTION("""COMPUTED_VALUE"""),"N/A")</f>
        <v>N/A</v>
      </c>
      <c r="Y842" s="2"/>
      <c r="Z842" s="2"/>
      <c r="AA842" s="2"/>
      <c r="AB842" s="2"/>
      <c r="AC842" s="2"/>
      <c r="AD842" s="2"/>
      <c r="AE842" s="2"/>
      <c r="AF842" s="2"/>
      <c r="AG842" s="2"/>
      <c r="AH842" s="2"/>
      <c r="AI842" s="2"/>
      <c r="AJ842" s="2" t="str">
        <f>IFERROR(__xludf.DUMMYFUNCTION("""COMPUTED_VALUE"""),"Managpi")</f>
        <v>Managpi</v>
      </c>
      <c r="AK842" s="2" t="str">
        <f>IFERROR(__xludf.DUMMYFUNCTION("""COMPUTED_VALUE"""),"Calapan City")</f>
        <v>Calapan City</v>
      </c>
      <c r="AL842" s="2" t="str">
        <f>IFERROR(__xludf.DUMMYFUNCTION("""COMPUTED_VALUE"""),"Oriental Mindoro")</f>
        <v>Oriental Mindoro</v>
      </c>
      <c r="AM842" s="2" t="str">
        <f>IFERROR(__xludf.DUMMYFUNCTION("""COMPUTED_VALUE"""),"4B")</f>
        <v>4B</v>
      </c>
      <c r="AN842" s="2" t="str">
        <f>IFERROR(__xludf.DUMMYFUNCTION("""COMPUTED_VALUE"""),"RCEF 24-04-15")</f>
        <v>RCEF 24-04-15</v>
      </c>
      <c r="AO842" s="2">
        <f>IFERROR(__xludf.DUMMYFUNCTION("""COMPUTED_VALUE"""),7.0)</f>
        <v>7</v>
      </c>
      <c r="AP842" s="2" t="str">
        <f>IFERROR(__xludf.DUMMYFUNCTION("""COMPUTED_VALUE"""),"FREE PMS")</f>
        <v>FREE PMS</v>
      </c>
      <c r="AQ842" s="2"/>
      <c r="AR842" s="2"/>
      <c r="AS842" s="2"/>
      <c r="AT842" s="2"/>
      <c r="AU842" s="2"/>
      <c r="AV842" s="2"/>
      <c r="AW842" s="2"/>
      <c r="AX842" s="2"/>
      <c r="AY842" s="2"/>
      <c r="AZ842" s="2"/>
      <c r="BA842" s="2"/>
      <c r="BB842" s="2"/>
    </row>
    <row r="843">
      <c r="A843" s="2">
        <f>IFERROR(__xludf.DUMMYFUNCTION("""COMPUTED_VALUE"""),839.0)</f>
        <v>839</v>
      </c>
      <c r="B843" s="2" t="str">
        <f>IFERROR(__xludf.DUMMYFUNCTION("""COMPUTED_VALUE"""),"COMPLETED")</f>
        <v>COMPLETED</v>
      </c>
      <c r="C843" s="74">
        <f>IFERROR(__xludf.DUMMYFUNCTION("""COMPUTED_VALUE"""),45733.0)</f>
        <v>45733</v>
      </c>
      <c r="D843" s="71" t="str">
        <f>IFERROR(__xludf.DUMMYFUNCTION("""COMPUTED_VALUE"""),"ANAHAWIN BOMBONGAN IRRIGATORS' ASSOCIATION, INC.")</f>
        <v>ANAHAWIN BOMBONGAN IRRIGATORS' ASSOCIATION, INC.</v>
      </c>
      <c r="E843" s="71" t="str">
        <f>IFERROR(__xludf.DUMMYFUNCTION("""COMPUTED_VALUE"""),"Iriron, Calintaan, OCCIDENTAL MINDORO")</f>
        <v>Iriron, Calintaan, OCCIDENTAL MINDORO</v>
      </c>
      <c r="F843" s="2" t="str">
        <f>IFERROR(__xludf.DUMMYFUNCTION("""COMPUTED_VALUE"""),"CARITATIVO")</f>
        <v>CARITATIVO</v>
      </c>
      <c r="G843" s="2">
        <f>IFERROR(__xludf.DUMMYFUNCTION("""COMPUTED_VALUE"""),9.066210076E9)</f>
        <v>9066210076</v>
      </c>
      <c r="H843" s="2">
        <f>IFERROR(__xludf.DUMMYFUNCTION("""COMPUTED_VALUE"""),47.0)</f>
        <v>47</v>
      </c>
      <c r="I843" s="72" t="str">
        <f>IFERROR(__xludf.DUMMYFUNCTION("""COMPUTED_VALUE"""),"PMS")</f>
        <v>PMS</v>
      </c>
      <c r="J843" s="72" t="str">
        <f>IFERROR(__xludf.DUMMYFUNCTION("""COMPUTED_VALUE"""),"PMS")</f>
        <v>PMS</v>
      </c>
      <c r="K843" s="72" t="str">
        <f>IFERROR(__xludf.DUMMYFUNCTION("""COMPUTED_VALUE"""),"MYK: 1ST PMS (FREE)")</f>
        <v>MYK: 1ST PMS (FREE)</v>
      </c>
      <c r="L843" s="72" t="str">
        <f>IFERROR(__xludf.DUMMYFUNCTION("""COMPUTED_VALUE"""),"RCG: DONE PMS")</f>
        <v>RCG: DONE PMS</v>
      </c>
      <c r="M843" s="2"/>
      <c r="N843" s="2" t="str">
        <f>IFERROR(__xludf.DUMMYFUNCTION("""COMPUTED_VALUE"""),"PARTS: OIL FILTER, ENGINE OIL")</f>
        <v>PARTS: OIL FILTER, ENGINE OIL</v>
      </c>
      <c r="O843" s="2">
        <f>IFERROR(__xludf.DUMMYFUNCTION("""COMPUTED_VALUE"""),138.0)</f>
        <v>138</v>
      </c>
      <c r="P843" s="2" t="str">
        <f>IFERROR(__xludf.DUMMYFUNCTION("""COMPUTED_VALUE"""),"ANAHAWIN BOMBONGAN IRRIGATORS ASSOCIATION.pdf")</f>
        <v>ANAHAWIN BOMBONGAN IRRIGATORS ASSOCIATION.pdf</v>
      </c>
      <c r="Q843" s="2"/>
      <c r="R843" s="74">
        <f>IFERROR(__xludf.DUMMYFUNCTION("""COMPUTED_VALUE"""),45737.0)</f>
        <v>45737</v>
      </c>
      <c r="S843" s="2" t="str">
        <f>IFERROR(__xludf.DUMMYFUNCTION("""COMPUTED_VALUE"""),"RCG/DSD")</f>
        <v>RCG/DSD</v>
      </c>
      <c r="T843" s="73" t="str">
        <f>IFERROR(__xludf.DUMMYFUNCTION("""COMPUTED_VALUE""")," N/A ")</f>
        <v>N/A</v>
      </c>
      <c r="U843" s="73" t="str">
        <f>IFERROR(__xludf.DUMMYFUNCTION("""COMPUTED_VALUE""")," NO CHARGE ")</f>
        <v>NO CHARGE</v>
      </c>
      <c r="V843" s="2"/>
      <c r="W843" s="2" t="str">
        <f>IFERROR(__xludf.DUMMYFUNCTION("""COMPUTED_VALUE"""),"N/A")</f>
        <v>N/A</v>
      </c>
      <c r="X843" s="2" t="str">
        <f>IFERROR(__xludf.DUMMYFUNCTION("""COMPUTED_VALUE"""),"N/A")</f>
        <v>N/A</v>
      </c>
      <c r="Y843" s="2"/>
      <c r="Z843" s="2"/>
      <c r="AA843" s="2"/>
      <c r="AB843" s="2"/>
      <c r="AC843" s="2"/>
      <c r="AD843" s="2"/>
      <c r="AE843" s="2"/>
      <c r="AF843" s="2"/>
      <c r="AG843" s="2"/>
      <c r="AH843" s="2"/>
      <c r="AI843" s="2"/>
      <c r="AJ843" s="2" t="str">
        <f>IFERROR(__xludf.DUMMYFUNCTION("""COMPUTED_VALUE"""),"Iriron")</f>
        <v>Iriron</v>
      </c>
      <c r="AK843" s="2" t="str">
        <f>IFERROR(__xludf.DUMMYFUNCTION("""COMPUTED_VALUE"""),"Calintaan")</f>
        <v>Calintaan</v>
      </c>
      <c r="AL843" s="2" t="str">
        <f>IFERROR(__xludf.DUMMYFUNCTION("""COMPUTED_VALUE"""),"Occidental Mindoro")</f>
        <v>Occidental Mindoro</v>
      </c>
      <c r="AM843" s="2" t="str">
        <f>IFERROR(__xludf.DUMMYFUNCTION("""COMPUTED_VALUE"""),"4B")</f>
        <v>4B</v>
      </c>
      <c r="AN843" s="2" t="str">
        <f>IFERROR(__xludf.DUMMYFUNCTION("""COMPUTED_VALUE"""),"RCEF 24-04-15")</f>
        <v>RCEF 24-04-15</v>
      </c>
      <c r="AO843" s="2">
        <f>IFERROR(__xludf.DUMMYFUNCTION("""COMPUTED_VALUE"""),7.0)</f>
        <v>7</v>
      </c>
      <c r="AP843" s="2" t="str">
        <f>IFERROR(__xludf.DUMMYFUNCTION("""COMPUTED_VALUE"""),"FREE PMS")</f>
        <v>FREE PMS</v>
      </c>
      <c r="AQ843" s="2"/>
      <c r="AR843" s="2"/>
      <c r="AS843" s="2"/>
      <c r="AT843" s="2"/>
      <c r="AU843" s="2"/>
      <c r="AV843" s="2"/>
      <c r="AW843" s="2"/>
      <c r="AX843" s="2"/>
      <c r="AY843" s="2"/>
      <c r="AZ843" s="2"/>
      <c r="BA843" s="2"/>
      <c r="BB843" s="2"/>
    </row>
    <row r="844">
      <c r="A844" s="2">
        <f>IFERROR(__xludf.DUMMYFUNCTION("""COMPUTED_VALUE"""),840.0)</f>
        <v>840</v>
      </c>
      <c r="B844" s="2" t="str">
        <f>IFERROR(__xludf.DUMMYFUNCTION("""COMPUTED_VALUE"""),"COMPLETED")</f>
        <v>COMPLETED</v>
      </c>
      <c r="C844" s="74">
        <f>IFERROR(__xludf.DUMMYFUNCTION("""COMPUTED_VALUE"""),45734.0)</f>
        <v>45734</v>
      </c>
      <c r="D844" s="71" t="str">
        <f>IFERROR(__xludf.DUMMYFUNCTION("""COMPUTED_VALUE"""),"PAGKAKAISA FARMERS ASSOCIATION")</f>
        <v>PAGKAKAISA FARMERS ASSOCIATION</v>
      </c>
      <c r="E844" s="71" t="str">
        <f>IFERROR(__xludf.DUMMYFUNCTION("""COMPUTED_VALUE"""),"Pagkakaisa, Naujan, ORIENTAL MINDORO")</f>
        <v>Pagkakaisa, Naujan, ORIENTAL MINDORO</v>
      </c>
      <c r="F844" s="2"/>
      <c r="G844" s="2">
        <f>IFERROR(__xludf.DUMMYFUNCTION("""COMPUTED_VALUE"""),9.667515287E9)</f>
        <v>9667515287</v>
      </c>
      <c r="H844" s="2">
        <f>IFERROR(__xludf.DUMMYFUNCTION("""COMPUTED_VALUE"""),14.5)</f>
        <v>14.5</v>
      </c>
      <c r="I844" s="72" t="str">
        <f>IFERROR(__xludf.DUMMYFUNCTION("""COMPUTED_VALUE"""),"PMS")</f>
        <v>PMS</v>
      </c>
      <c r="J844" s="72" t="str">
        <f>IFERROR(__xludf.DUMMYFUNCTION("""COMPUTED_VALUE"""),"PMS")</f>
        <v>PMS</v>
      </c>
      <c r="K844" s="72" t="str">
        <f>IFERROR(__xludf.DUMMYFUNCTION("""COMPUTED_VALUE"""),"DSD: 1ST PMS FREE")</f>
        <v>DSD: 1ST PMS FREE</v>
      </c>
      <c r="L844" s="72" t="str">
        <f>IFERROR(__xludf.DUMMYFUNCTION("""COMPUTED_VALUE"""),"DSD: 1ST PMS DONE")</f>
        <v>DSD: 1ST PMS DONE</v>
      </c>
      <c r="M844" s="2"/>
      <c r="N844" s="2" t="str">
        <f>IFERROR(__xludf.DUMMYFUNCTION("""COMPUTED_VALUE"""),"PARTS: ENGINE OIL , OIL FILTER")</f>
        <v>PARTS: ENGINE OIL , OIL FILTER</v>
      </c>
      <c r="O844" s="2">
        <f>IFERROR(__xludf.DUMMYFUNCTION("""COMPUTED_VALUE"""),123.0)</f>
        <v>123</v>
      </c>
      <c r="P844" s="2"/>
      <c r="Q844" s="2"/>
      <c r="R844" s="74">
        <f>IFERROR(__xludf.DUMMYFUNCTION("""COMPUTED_VALUE"""),45733.0)</f>
        <v>45733</v>
      </c>
      <c r="S844" s="2" t="str">
        <f>IFERROR(__xludf.DUMMYFUNCTION("""COMPUTED_VALUE"""),"RCG/DSD")</f>
        <v>RCG/DSD</v>
      </c>
      <c r="T844" s="73" t="str">
        <f>IFERROR(__xludf.DUMMYFUNCTION("""COMPUTED_VALUE""")," N/A ")</f>
        <v>N/A</v>
      </c>
      <c r="U844" s="73" t="str">
        <f>IFERROR(__xludf.DUMMYFUNCTION("""COMPUTED_VALUE""")," NO CHARGE ")</f>
        <v>NO CHARGE</v>
      </c>
      <c r="V844" s="2"/>
      <c r="W844" s="2" t="str">
        <f>IFERROR(__xludf.DUMMYFUNCTION("""COMPUTED_VALUE"""),"N/A")</f>
        <v>N/A</v>
      </c>
      <c r="X844" s="2" t="str">
        <f>IFERROR(__xludf.DUMMYFUNCTION("""COMPUTED_VALUE"""),"N/A")</f>
        <v>N/A</v>
      </c>
      <c r="Y844" s="2"/>
      <c r="Z844" s="2"/>
      <c r="AA844" s="2"/>
      <c r="AB844" s="2"/>
      <c r="AC844" s="2"/>
      <c r="AD844" s="2"/>
      <c r="AE844" s="2"/>
      <c r="AF844" s="2"/>
      <c r="AG844" s="2"/>
      <c r="AH844" s="2"/>
      <c r="AI844" s="2"/>
      <c r="AJ844" s="2" t="str">
        <f>IFERROR(__xludf.DUMMYFUNCTION("""COMPUTED_VALUE"""),"Pagkakaisa")</f>
        <v>Pagkakaisa</v>
      </c>
      <c r="AK844" s="2" t="str">
        <f>IFERROR(__xludf.DUMMYFUNCTION("""COMPUTED_VALUE"""),"Naujan")</f>
        <v>Naujan</v>
      </c>
      <c r="AL844" s="2" t="str">
        <f>IFERROR(__xludf.DUMMYFUNCTION("""COMPUTED_VALUE"""),"Oriental Mindoro")</f>
        <v>Oriental Mindoro</v>
      </c>
      <c r="AM844" s="2" t="str">
        <f>IFERROR(__xludf.DUMMYFUNCTION("""COMPUTED_VALUE"""),"4B")</f>
        <v>4B</v>
      </c>
      <c r="AN844" s="2" t="str">
        <f>IFERROR(__xludf.DUMMYFUNCTION("""COMPUTED_VALUE"""),"RCEF 24-04-15")</f>
        <v>RCEF 24-04-15</v>
      </c>
      <c r="AO844" s="2">
        <f>IFERROR(__xludf.DUMMYFUNCTION("""COMPUTED_VALUE"""),7.0)</f>
        <v>7</v>
      </c>
      <c r="AP844" s="2" t="str">
        <f>IFERROR(__xludf.DUMMYFUNCTION("""COMPUTED_VALUE"""),"FREE PMS")</f>
        <v>FREE PMS</v>
      </c>
      <c r="AQ844" s="2"/>
      <c r="AR844" s="2"/>
      <c r="AS844" s="2"/>
      <c r="AT844" s="2"/>
      <c r="AU844" s="2"/>
      <c r="AV844" s="2"/>
      <c r="AW844" s="2"/>
      <c r="AX844" s="2"/>
      <c r="AY844" s="2"/>
      <c r="AZ844" s="2"/>
      <c r="BA844" s="2"/>
      <c r="BB844" s="2"/>
    </row>
    <row r="845">
      <c r="A845" s="2">
        <f>IFERROR(__xludf.DUMMYFUNCTION("""COMPUTED_VALUE"""),841.0)</f>
        <v>841</v>
      </c>
      <c r="B845" s="2" t="str">
        <f>IFERROR(__xludf.DUMMYFUNCTION("""COMPUTED_VALUE"""),"COMPLETED")</f>
        <v>COMPLETED</v>
      </c>
      <c r="C845" s="74">
        <f>IFERROR(__xludf.DUMMYFUNCTION("""COMPUTED_VALUE"""),45734.0)</f>
        <v>45734</v>
      </c>
      <c r="D845" s="71" t="str">
        <f>IFERROR(__xludf.DUMMYFUNCTION("""COMPUTED_VALUE"""),"MABINI FARMERS ASSOCIATION")</f>
        <v>MABINI FARMERS ASSOCIATION</v>
      </c>
      <c r="E845" s="71" t="str">
        <f>IFERROR(__xludf.DUMMYFUNCTION("""COMPUTED_VALUE"""),"Mabini, Victoria, ORIENTAL MINDORO")</f>
        <v>Mabini, Victoria, ORIENTAL MINDORO</v>
      </c>
      <c r="F845" s="2"/>
      <c r="G845" s="2">
        <f>IFERROR(__xludf.DUMMYFUNCTION("""COMPUTED_VALUE"""),9.653466645E9)</f>
        <v>9653466645</v>
      </c>
      <c r="H845" s="2">
        <f>IFERROR(__xludf.DUMMYFUNCTION("""COMPUTED_VALUE"""),19.1)</f>
        <v>19.1</v>
      </c>
      <c r="I845" s="72" t="str">
        <f>IFERROR(__xludf.DUMMYFUNCTION("""COMPUTED_VALUE"""),"PMS")</f>
        <v>PMS</v>
      </c>
      <c r="J845" s="72" t="str">
        <f>IFERROR(__xludf.DUMMYFUNCTION("""COMPUTED_VALUE"""),"PMS")</f>
        <v>PMS</v>
      </c>
      <c r="K845" s="72" t="str">
        <f>IFERROR(__xludf.DUMMYFUNCTION("""COMPUTED_VALUE"""),"DSD: 1ST PMS FREE")</f>
        <v>DSD: 1ST PMS FREE</v>
      </c>
      <c r="L845" s="72" t="str">
        <f>IFERROR(__xludf.DUMMYFUNCTION("""COMPUTED_VALUE"""),"DSD: 1ST PMS DONE")</f>
        <v>DSD: 1ST PMS DONE</v>
      </c>
      <c r="M845" s="2"/>
      <c r="N845" s="2" t="str">
        <f>IFERROR(__xludf.DUMMYFUNCTION("""COMPUTED_VALUE"""),"PARTS: ENGINE OIL , OIL FILTER")</f>
        <v>PARTS: ENGINE OIL , OIL FILTER</v>
      </c>
      <c r="O845" s="2">
        <f>IFERROR(__xludf.DUMMYFUNCTION("""COMPUTED_VALUE"""),124.0)</f>
        <v>124</v>
      </c>
      <c r="P845" s="2"/>
      <c r="Q845" s="2"/>
      <c r="R845" s="74">
        <f>IFERROR(__xludf.DUMMYFUNCTION("""COMPUTED_VALUE"""),45733.0)</f>
        <v>45733</v>
      </c>
      <c r="S845" s="2" t="str">
        <f>IFERROR(__xludf.DUMMYFUNCTION("""COMPUTED_VALUE"""),"RCG/DSD")</f>
        <v>RCG/DSD</v>
      </c>
      <c r="T845" s="73" t="str">
        <f>IFERROR(__xludf.DUMMYFUNCTION("""COMPUTED_VALUE""")," N/A ")</f>
        <v>N/A</v>
      </c>
      <c r="U845" s="73" t="str">
        <f>IFERROR(__xludf.DUMMYFUNCTION("""COMPUTED_VALUE""")," NO CHARGE ")</f>
        <v>NO CHARGE</v>
      </c>
      <c r="V845" s="2"/>
      <c r="W845" s="2" t="str">
        <f>IFERROR(__xludf.DUMMYFUNCTION("""COMPUTED_VALUE"""),"N/A")</f>
        <v>N/A</v>
      </c>
      <c r="X845" s="2" t="str">
        <f>IFERROR(__xludf.DUMMYFUNCTION("""COMPUTED_VALUE"""),"N/A")</f>
        <v>N/A</v>
      </c>
      <c r="Y845" s="2"/>
      <c r="Z845" s="2"/>
      <c r="AA845" s="2"/>
      <c r="AB845" s="2"/>
      <c r="AC845" s="2"/>
      <c r="AD845" s="2"/>
      <c r="AE845" s="2"/>
      <c r="AF845" s="2"/>
      <c r="AG845" s="2"/>
      <c r="AH845" s="2"/>
      <c r="AI845" s="2"/>
      <c r="AJ845" s="2" t="str">
        <f>IFERROR(__xludf.DUMMYFUNCTION("""COMPUTED_VALUE"""),"Mabini")</f>
        <v>Mabini</v>
      </c>
      <c r="AK845" s="2" t="str">
        <f>IFERROR(__xludf.DUMMYFUNCTION("""COMPUTED_VALUE"""),"Victoria")</f>
        <v>Victoria</v>
      </c>
      <c r="AL845" s="2" t="str">
        <f>IFERROR(__xludf.DUMMYFUNCTION("""COMPUTED_VALUE"""),"Oriental Mindoro")</f>
        <v>Oriental Mindoro</v>
      </c>
      <c r="AM845" s="2" t="str">
        <f>IFERROR(__xludf.DUMMYFUNCTION("""COMPUTED_VALUE"""),"4B")</f>
        <v>4B</v>
      </c>
      <c r="AN845" s="2" t="str">
        <f>IFERROR(__xludf.DUMMYFUNCTION("""COMPUTED_VALUE"""),"RCEF 24-04-15")</f>
        <v>RCEF 24-04-15</v>
      </c>
      <c r="AO845" s="2">
        <f>IFERROR(__xludf.DUMMYFUNCTION("""COMPUTED_VALUE"""),7.0)</f>
        <v>7</v>
      </c>
      <c r="AP845" s="2" t="str">
        <f>IFERROR(__xludf.DUMMYFUNCTION("""COMPUTED_VALUE"""),"FREE PMS")</f>
        <v>FREE PMS</v>
      </c>
      <c r="AQ845" s="2"/>
      <c r="AR845" s="2"/>
      <c r="AS845" s="2"/>
      <c r="AT845" s="2"/>
      <c r="AU845" s="2"/>
      <c r="AV845" s="2"/>
      <c r="AW845" s="2"/>
      <c r="AX845" s="2"/>
      <c r="AY845" s="2"/>
      <c r="AZ845" s="2"/>
      <c r="BA845" s="2"/>
      <c r="BB845" s="2"/>
    </row>
    <row r="846">
      <c r="A846" s="2">
        <f>IFERROR(__xludf.DUMMYFUNCTION("""COMPUTED_VALUE"""),842.0)</f>
        <v>842</v>
      </c>
      <c r="B846" s="2" t="str">
        <f>IFERROR(__xludf.DUMMYFUNCTION("""COMPUTED_VALUE"""),"COMPLETED")</f>
        <v>COMPLETED</v>
      </c>
      <c r="C846" s="74">
        <f>IFERROR(__xludf.DUMMYFUNCTION("""COMPUTED_VALUE"""),45734.0)</f>
        <v>45734</v>
      </c>
      <c r="D846" s="71" t="str">
        <f>IFERROR(__xludf.DUMMYFUNCTION("""COMPUTED_VALUE"""),"MONTEVERDE FARMERS &amp; IRRIGATORS ASSOCIATION")</f>
        <v>MONTEVERDE FARMERS &amp; IRRIGATORS ASSOCIATION</v>
      </c>
      <c r="E846" s="71" t="str">
        <f>IFERROR(__xludf.DUMMYFUNCTION("""COMPUTED_VALUE"""),"Monteverde, Socorro, ORIENTAL MINDORO")</f>
        <v>Monteverde, Socorro, ORIENTAL MINDORO</v>
      </c>
      <c r="F846" s="2"/>
      <c r="G846" s="2">
        <f>IFERROR(__xludf.DUMMYFUNCTION("""COMPUTED_VALUE"""),9.517392096E9)</f>
        <v>9517392096</v>
      </c>
      <c r="H846" s="2">
        <f>IFERROR(__xludf.DUMMYFUNCTION("""COMPUTED_VALUE"""),14.5)</f>
        <v>14.5</v>
      </c>
      <c r="I846" s="72" t="str">
        <f>IFERROR(__xludf.DUMMYFUNCTION("""COMPUTED_VALUE"""),"PMS")</f>
        <v>PMS</v>
      </c>
      <c r="J846" s="72" t="str">
        <f>IFERROR(__xludf.DUMMYFUNCTION("""COMPUTED_VALUE"""),"PMS")</f>
        <v>PMS</v>
      </c>
      <c r="K846" s="72" t="str">
        <f>IFERROR(__xludf.DUMMYFUNCTION("""COMPUTED_VALUE"""),"DSD: 1ST PMS FREE")</f>
        <v>DSD: 1ST PMS FREE</v>
      </c>
      <c r="L846" s="72" t="str">
        <f>IFERROR(__xludf.DUMMYFUNCTION("""COMPUTED_VALUE"""),"DSD: 1ST PMS DONE")</f>
        <v>DSD: 1ST PMS DONE</v>
      </c>
      <c r="M846" s="2"/>
      <c r="N846" s="2" t="str">
        <f>IFERROR(__xludf.DUMMYFUNCTION("""COMPUTED_VALUE"""),"PARTS: ENGINE OIL , OIL FILTER")</f>
        <v>PARTS: ENGINE OIL , OIL FILTER</v>
      </c>
      <c r="O846" s="2">
        <f>IFERROR(__xludf.DUMMYFUNCTION("""COMPUTED_VALUE"""),125.0)</f>
        <v>125</v>
      </c>
      <c r="P846" s="2"/>
      <c r="Q846" s="2"/>
      <c r="R846" s="74">
        <f>IFERROR(__xludf.DUMMYFUNCTION("""COMPUTED_VALUE"""),45733.0)</f>
        <v>45733</v>
      </c>
      <c r="S846" s="2" t="str">
        <f>IFERROR(__xludf.DUMMYFUNCTION("""COMPUTED_VALUE"""),"RCG/DSD")</f>
        <v>RCG/DSD</v>
      </c>
      <c r="T846" s="73" t="str">
        <f>IFERROR(__xludf.DUMMYFUNCTION("""COMPUTED_VALUE""")," N/A ")</f>
        <v>N/A</v>
      </c>
      <c r="U846" s="73" t="str">
        <f>IFERROR(__xludf.DUMMYFUNCTION("""COMPUTED_VALUE""")," NO CHARGE ")</f>
        <v>NO CHARGE</v>
      </c>
      <c r="V846" s="2"/>
      <c r="W846" s="2" t="str">
        <f>IFERROR(__xludf.DUMMYFUNCTION("""COMPUTED_VALUE"""),"N/A")</f>
        <v>N/A</v>
      </c>
      <c r="X846" s="2" t="str">
        <f>IFERROR(__xludf.DUMMYFUNCTION("""COMPUTED_VALUE"""),"N/A")</f>
        <v>N/A</v>
      </c>
      <c r="Y846" s="2"/>
      <c r="Z846" s="2"/>
      <c r="AA846" s="2"/>
      <c r="AB846" s="2"/>
      <c r="AC846" s="2"/>
      <c r="AD846" s="2"/>
      <c r="AE846" s="2"/>
      <c r="AF846" s="2"/>
      <c r="AG846" s="2"/>
      <c r="AH846" s="2"/>
      <c r="AI846" s="2"/>
      <c r="AJ846" s="2" t="str">
        <f>IFERROR(__xludf.DUMMYFUNCTION("""COMPUTED_VALUE"""),"Monteverde")</f>
        <v>Monteverde</v>
      </c>
      <c r="AK846" s="2" t="str">
        <f>IFERROR(__xludf.DUMMYFUNCTION("""COMPUTED_VALUE"""),"Socorro")</f>
        <v>Socorro</v>
      </c>
      <c r="AL846" s="2" t="str">
        <f>IFERROR(__xludf.DUMMYFUNCTION("""COMPUTED_VALUE"""),"Oriental Mindoro")</f>
        <v>Oriental Mindoro</v>
      </c>
      <c r="AM846" s="2" t="str">
        <f>IFERROR(__xludf.DUMMYFUNCTION("""COMPUTED_VALUE"""),"4B")</f>
        <v>4B</v>
      </c>
      <c r="AN846" s="2" t="str">
        <f>IFERROR(__xludf.DUMMYFUNCTION("""COMPUTED_VALUE"""),"RCEF 24-04-15")</f>
        <v>RCEF 24-04-15</v>
      </c>
      <c r="AO846" s="2">
        <f>IFERROR(__xludf.DUMMYFUNCTION("""COMPUTED_VALUE"""),7.0)</f>
        <v>7</v>
      </c>
      <c r="AP846" s="2" t="str">
        <f>IFERROR(__xludf.DUMMYFUNCTION("""COMPUTED_VALUE"""),"FREE PMS")</f>
        <v>FREE PMS</v>
      </c>
      <c r="AQ846" s="2"/>
      <c r="AR846" s="2"/>
      <c r="AS846" s="2"/>
      <c r="AT846" s="2"/>
      <c r="AU846" s="2"/>
      <c r="AV846" s="2"/>
      <c r="AW846" s="2"/>
      <c r="AX846" s="2"/>
      <c r="AY846" s="2"/>
      <c r="AZ846" s="2"/>
      <c r="BA846" s="2"/>
      <c r="BB846" s="2"/>
    </row>
    <row r="847">
      <c r="A847" s="2">
        <f>IFERROR(__xludf.DUMMYFUNCTION("""COMPUTED_VALUE"""),843.0)</f>
        <v>843</v>
      </c>
      <c r="B847" s="2" t="str">
        <f>IFERROR(__xludf.DUMMYFUNCTION("""COMPUTED_VALUE"""),"COMPLETED")</f>
        <v>COMPLETED</v>
      </c>
      <c r="C847" s="74">
        <f>IFERROR(__xludf.DUMMYFUNCTION("""COMPUTED_VALUE"""),45734.0)</f>
        <v>45734</v>
      </c>
      <c r="D847" s="71" t="str">
        <f>IFERROR(__xludf.DUMMYFUNCTION("""COMPUTED_VALUE"""),"BARANGAY MALIBAGO POLA IRRIGATORS' ASSOCIATION INC.")</f>
        <v>BARANGAY MALIBAGO POLA IRRIGATORS' ASSOCIATION INC.</v>
      </c>
      <c r="E847" s="71" t="str">
        <f>IFERROR(__xludf.DUMMYFUNCTION("""COMPUTED_VALUE"""),"Malibago, Pola, ORIENTAL MINDORO")</f>
        <v>Malibago, Pola, ORIENTAL MINDORO</v>
      </c>
      <c r="F847" s="2"/>
      <c r="G847" s="2">
        <f>IFERROR(__xludf.DUMMYFUNCTION("""COMPUTED_VALUE"""),9.774186773E9)</f>
        <v>9774186773</v>
      </c>
      <c r="H847" s="2">
        <f>IFERROR(__xludf.DUMMYFUNCTION("""COMPUTED_VALUE"""),43.9)</f>
        <v>43.9</v>
      </c>
      <c r="I847" s="72" t="str">
        <f>IFERROR(__xludf.DUMMYFUNCTION("""COMPUTED_VALUE"""),"PMS")</f>
        <v>PMS</v>
      </c>
      <c r="J847" s="72" t="str">
        <f>IFERROR(__xludf.DUMMYFUNCTION("""COMPUTED_VALUE"""),"PMS")</f>
        <v>PMS</v>
      </c>
      <c r="K847" s="72" t="str">
        <f>IFERROR(__xludf.DUMMYFUNCTION("""COMPUTED_VALUE"""),"DSD: 1ST PMS FREE")</f>
        <v>DSD: 1ST PMS FREE</v>
      </c>
      <c r="L847" s="72" t="str">
        <f>IFERROR(__xludf.DUMMYFUNCTION("""COMPUTED_VALUE"""),"DSD: 1ST PMS DONE")</f>
        <v>DSD: 1ST PMS DONE</v>
      </c>
      <c r="M847" s="2"/>
      <c r="N847" s="2" t="str">
        <f>IFERROR(__xludf.DUMMYFUNCTION("""COMPUTED_VALUE"""),"PARTS: ENGINE OIL , OIL FILTER")</f>
        <v>PARTS: ENGINE OIL , OIL FILTER</v>
      </c>
      <c r="O847" s="2">
        <f>IFERROR(__xludf.DUMMYFUNCTION("""COMPUTED_VALUE"""),126.0)</f>
        <v>126</v>
      </c>
      <c r="P847" s="2"/>
      <c r="Q847" s="2"/>
      <c r="R847" s="74">
        <f>IFERROR(__xludf.DUMMYFUNCTION("""COMPUTED_VALUE"""),45733.0)</f>
        <v>45733</v>
      </c>
      <c r="S847" s="2" t="str">
        <f>IFERROR(__xludf.DUMMYFUNCTION("""COMPUTED_VALUE"""),"RCG/DSD")</f>
        <v>RCG/DSD</v>
      </c>
      <c r="T847" s="73" t="str">
        <f>IFERROR(__xludf.DUMMYFUNCTION("""COMPUTED_VALUE""")," N/A ")</f>
        <v>N/A</v>
      </c>
      <c r="U847" s="73" t="str">
        <f>IFERROR(__xludf.DUMMYFUNCTION("""COMPUTED_VALUE""")," NO CHARGE ")</f>
        <v>NO CHARGE</v>
      </c>
      <c r="V847" s="2"/>
      <c r="W847" s="2" t="str">
        <f>IFERROR(__xludf.DUMMYFUNCTION("""COMPUTED_VALUE"""),"N/A")</f>
        <v>N/A</v>
      </c>
      <c r="X847" s="2" t="str">
        <f>IFERROR(__xludf.DUMMYFUNCTION("""COMPUTED_VALUE"""),"N/A")</f>
        <v>N/A</v>
      </c>
      <c r="Y847" s="2"/>
      <c r="Z847" s="2"/>
      <c r="AA847" s="2"/>
      <c r="AB847" s="2"/>
      <c r="AC847" s="2"/>
      <c r="AD847" s="2"/>
      <c r="AE847" s="2"/>
      <c r="AF847" s="2"/>
      <c r="AG847" s="2"/>
      <c r="AH847" s="2"/>
      <c r="AI847" s="2"/>
      <c r="AJ847" s="2" t="str">
        <f>IFERROR(__xludf.DUMMYFUNCTION("""COMPUTED_VALUE"""),"Malibago")</f>
        <v>Malibago</v>
      </c>
      <c r="AK847" s="2" t="str">
        <f>IFERROR(__xludf.DUMMYFUNCTION("""COMPUTED_VALUE"""),"Pola")</f>
        <v>Pola</v>
      </c>
      <c r="AL847" s="2" t="str">
        <f>IFERROR(__xludf.DUMMYFUNCTION("""COMPUTED_VALUE"""),"Oriental Mindoro")</f>
        <v>Oriental Mindoro</v>
      </c>
      <c r="AM847" s="2" t="str">
        <f>IFERROR(__xludf.DUMMYFUNCTION("""COMPUTED_VALUE"""),"4B")</f>
        <v>4B</v>
      </c>
      <c r="AN847" s="2" t="str">
        <f>IFERROR(__xludf.DUMMYFUNCTION("""COMPUTED_VALUE"""),"RCEF 24-04-15")</f>
        <v>RCEF 24-04-15</v>
      </c>
      <c r="AO847" s="2">
        <f>IFERROR(__xludf.DUMMYFUNCTION("""COMPUTED_VALUE"""),7.0)</f>
        <v>7</v>
      </c>
      <c r="AP847" s="2" t="str">
        <f>IFERROR(__xludf.DUMMYFUNCTION("""COMPUTED_VALUE"""),"FREE PMS")</f>
        <v>FREE PMS</v>
      </c>
      <c r="AQ847" s="2"/>
      <c r="AR847" s="2"/>
      <c r="AS847" s="2"/>
      <c r="AT847" s="2"/>
      <c r="AU847" s="2"/>
      <c r="AV847" s="2"/>
      <c r="AW847" s="2"/>
      <c r="AX847" s="2"/>
      <c r="AY847" s="2"/>
      <c r="AZ847" s="2"/>
      <c r="BA847" s="2"/>
      <c r="BB847" s="2"/>
    </row>
    <row r="848">
      <c r="A848" s="2">
        <f>IFERROR(__xludf.DUMMYFUNCTION("""COMPUTED_VALUE"""),844.0)</f>
        <v>844</v>
      </c>
      <c r="B848" s="2" t="str">
        <f>IFERROR(__xludf.DUMMYFUNCTION("""COMPUTED_VALUE"""),"COMPLETED")</f>
        <v>COMPLETED</v>
      </c>
      <c r="C848" s="74">
        <f>IFERROR(__xludf.DUMMYFUNCTION("""COMPUTED_VALUE"""),45734.0)</f>
        <v>45734</v>
      </c>
      <c r="D848" s="71" t="str">
        <f>IFERROR(__xludf.DUMMYFUNCTION("""COMPUTED_VALUE"""),"TAYWANAK FARMERS ASSOCIATION")</f>
        <v>TAYWANAK FARMERS ASSOCIATION</v>
      </c>
      <c r="E848" s="71" t="str">
        <f>IFERROR(__xludf.DUMMYFUNCTION("""COMPUTED_VALUE"""),", Pola, ORIENTAL MINDORO")</f>
        <v>, Pola, ORIENTAL MINDORO</v>
      </c>
      <c r="F848" s="2" t="str">
        <f>IFERROR(__xludf.DUMMYFUNCTION("""COMPUTED_VALUE"""),"ALDRIN ESCOBIO")</f>
        <v>ALDRIN ESCOBIO</v>
      </c>
      <c r="G848" s="2">
        <f>IFERROR(__xludf.DUMMYFUNCTION("""COMPUTED_VALUE"""),9.092684012E9)</f>
        <v>9092684012</v>
      </c>
      <c r="H848" s="2">
        <f>IFERROR(__xludf.DUMMYFUNCTION("""COMPUTED_VALUE"""),22.9)</f>
        <v>22.9</v>
      </c>
      <c r="I848" s="72" t="str">
        <f>IFERROR(__xludf.DUMMYFUNCTION("""COMPUTED_VALUE"""),"PMS")</f>
        <v>PMS</v>
      </c>
      <c r="J848" s="72" t="str">
        <f>IFERROR(__xludf.DUMMYFUNCTION("""COMPUTED_VALUE"""),"PMS")</f>
        <v>PMS</v>
      </c>
      <c r="K848" s="72" t="str">
        <f>IFERROR(__xludf.DUMMYFUNCTION("""COMPUTED_VALUE"""),"DSD: 1ST PMS FREE")</f>
        <v>DSD: 1ST PMS FREE</v>
      </c>
      <c r="L848" s="72" t="str">
        <f>IFERROR(__xludf.DUMMYFUNCTION("""COMPUTED_VALUE"""),"DSD: 1ST PMS DONE")</f>
        <v>DSD: 1ST PMS DONE</v>
      </c>
      <c r="M848" s="2"/>
      <c r="N848" s="2" t="str">
        <f>IFERROR(__xludf.DUMMYFUNCTION("""COMPUTED_VALUE"""),"PARTS: ENGINE OIL , OIL FILTER")</f>
        <v>PARTS: ENGINE OIL , OIL FILTER</v>
      </c>
      <c r="O848" s="2">
        <f>IFERROR(__xludf.DUMMYFUNCTION("""COMPUTED_VALUE"""),127.0)</f>
        <v>127</v>
      </c>
      <c r="P848" s="2"/>
      <c r="Q848" s="2"/>
      <c r="R848" s="74">
        <f>IFERROR(__xludf.DUMMYFUNCTION("""COMPUTED_VALUE"""),45733.0)</f>
        <v>45733</v>
      </c>
      <c r="S848" s="2" t="str">
        <f>IFERROR(__xludf.DUMMYFUNCTION("""COMPUTED_VALUE"""),"RCG/DSD")</f>
        <v>RCG/DSD</v>
      </c>
      <c r="T848" s="73" t="str">
        <f>IFERROR(__xludf.DUMMYFUNCTION("""COMPUTED_VALUE""")," N/A ")</f>
        <v>N/A</v>
      </c>
      <c r="U848" s="73" t="str">
        <f>IFERROR(__xludf.DUMMYFUNCTION("""COMPUTED_VALUE""")," NO CHARGE ")</f>
        <v>NO CHARGE</v>
      </c>
      <c r="V848" s="2"/>
      <c r="W848" s="2" t="str">
        <f>IFERROR(__xludf.DUMMYFUNCTION("""COMPUTED_VALUE"""),"N/A")</f>
        <v>N/A</v>
      </c>
      <c r="X848" s="2" t="str">
        <f>IFERROR(__xludf.DUMMYFUNCTION("""COMPUTED_VALUE"""),"N/A")</f>
        <v>N/A</v>
      </c>
      <c r="Y848" s="2"/>
      <c r="Z848" s="2"/>
      <c r="AA848" s="2"/>
      <c r="AB848" s="2"/>
      <c r="AC848" s="2"/>
      <c r="AD848" s="2"/>
      <c r="AE848" s="2"/>
      <c r="AF848" s="2"/>
      <c r="AG848" s="2"/>
      <c r="AH848" s="2"/>
      <c r="AI848" s="2"/>
      <c r="AJ848" s="2" t="str">
        <f>IFERROR(__xludf.DUMMYFUNCTION("""COMPUTED_VALUE"""),"")</f>
        <v/>
      </c>
      <c r="AK848" s="2" t="str">
        <f>IFERROR(__xludf.DUMMYFUNCTION("""COMPUTED_VALUE"""),"Pola")</f>
        <v>Pola</v>
      </c>
      <c r="AL848" s="2" t="str">
        <f>IFERROR(__xludf.DUMMYFUNCTION("""COMPUTED_VALUE"""),"Oriental Mindoro")</f>
        <v>Oriental Mindoro</v>
      </c>
      <c r="AM848" s="2" t="str">
        <f>IFERROR(__xludf.DUMMYFUNCTION("""COMPUTED_VALUE"""),"4B")</f>
        <v>4B</v>
      </c>
      <c r="AN848" s="2" t="str">
        <f>IFERROR(__xludf.DUMMYFUNCTION("""COMPUTED_VALUE"""),"RCEF 24-04-15")</f>
        <v>RCEF 24-04-15</v>
      </c>
      <c r="AO848" s="2">
        <f>IFERROR(__xludf.DUMMYFUNCTION("""COMPUTED_VALUE"""),7.0)</f>
        <v>7</v>
      </c>
      <c r="AP848" s="2" t="str">
        <f>IFERROR(__xludf.DUMMYFUNCTION("""COMPUTED_VALUE"""),"FREE PMS")</f>
        <v>FREE PMS</v>
      </c>
      <c r="AQ848" s="2"/>
      <c r="AR848" s="2"/>
      <c r="AS848" s="2"/>
      <c r="AT848" s="2"/>
      <c r="AU848" s="2"/>
      <c r="AV848" s="2"/>
      <c r="AW848" s="2"/>
      <c r="AX848" s="2"/>
      <c r="AY848" s="2"/>
      <c r="AZ848" s="2"/>
      <c r="BA848" s="2"/>
      <c r="BB848" s="2"/>
    </row>
    <row r="849">
      <c r="A849" s="2">
        <f>IFERROR(__xludf.DUMMYFUNCTION("""COMPUTED_VALUE"""),845.0)</f>
        <v>845</v>
      </c>
      <c r="B849" s="2" t="str">
        <f>IFERROR(__xludf.DUMMYFUNCTION("""COMPUTED_VALUE"""),"COMPLETED")</f>
        <v>COMPLETED</v>
      </c>
      <c r="C849" s="74">
        <f>IFERROR(__xludf.DUMMYFUNCTION("""COMPUTED_VALUE"""),45734.0)</f>
        <v>45734</v>
      </c>
      <c r="D849" s="71" t="str">
        <f>IFERROR(__xludf.DUMMYFUNCTION("""COMPUTED_VALUE"""),"PALAYAN (PINAMALAYAN) FARMER'S ASSOCIATION, INC.")</f>
        <v>PALAYAN (PINAMALAYAN) FARMER'S ASSOCIATION, INC.</v>
      </c>
      <c r="E849" s="71" t="str">
        <f>IFERROR(__xludf.DUMMYFUNCTION("""COMPUTED_VALUE"""),"Palayan, Pinamalayan, ORIENTAL MINDORO")</f>
        <v>Palayan, Pinamalayan, ORIENTAL MINDORO</v>
      </c>
      <c r="F849" s="2" t="str">
        <f>IFERROR(__xludf.DUMMYFUNCTION("""COMPUTED_VALUE"""),"PEDRITO MECENE")</f>
        <v>PEDRITO MECENE</v>
      </c>
      <c r="G849" s="2">
        <f>IFERROR(__xludf.DUMMYFUNCTION("""COMPUTED_VALUE"""),9.206103514E9)</f>
        <v>9206103514</v>
      </c>
      <c r="H849" s="2">
        <f>IFERROR(__xludf.DUMMYFUNCTION("""COMPUTED_VALUE"""),7.7)</f>
        <v>7.7</v>
      </c>
      <c r="I849" s="72" t="str">
        <f>IFERROR(__xludf.DUMMYFUNCTION("""COMPUTED_VALUE"""),"PMS")</f>
        <v>PMS</v>
      </c>
      <c r="J849" s="72" t="str">
        <f>IFERROR(__xludf.DUMMYFUNCTION("""COMPUTED_VALUE"""),"PMS")</f>
        <v>PMS</v>
      </c>
      <c r="K849" s="72" t="str">
        <f>IFERROR(__xludf.DUMMYFUNCTION("""COMPUTED_VALUE"""),"DSD: 1ST PMS FREE")</f>
        <v>DSD: 1ST PMS FREE</v>
      </c>
      <c r="L849" s="72" t="str">
        <f>IFERROR(__xludf.DUMMYFUNCTION("""COMPUTED_VALUE"""),"DSD: 1ST PMS DONE")</f>
        <v>DSD: 1ST PMS DONE</v>
      </c>
      <c r="M849" s="2"/>
      <c r="N849" s="2" t="str">
        <f>IFERROR(__xludf.DUMMYFUNCTION("""COMPUTED_VALUE"""),"PARTS: ENGINE OIL , OIL FILTER")</f>
        <v>PARTS: ENGINE OIL , OIL FILTER</v>
      </c>
      <c r="O849" s="2">
        <f>IFERROR(__xludf.DUMMYFUNCTION("""COMPUTED_VALUE"""),128.0)</f>
        <v>128</v>
      </c>
      <c r="P849" s="2"/>
      <c r="Q849" s="2"/>
      <c r="R849" s="74">
        <f>IFERROR(__xludf.DUMMYFUNCTION("""COMPUTED_VALUE"""),45733.0)</f>
        <v>45733</v>
      </c>
      <c r="S849" s="2" t="str">
        <f>IFERROR(__xludf.DUMMYFUNCTION("""COMPUTED_VALUE"""),"RCG/DSD")</f>
        <v>RCG/DSD</v>
      </c>
      <c r="T849" s="73" t="str">
        <f>IFERROR(__xludf.DUMMYFUNCTION("""COMPUTED_VALUE""")," N/A ")</f>
        <v>N/A</v>
      </c>
      <c r="U849" s="73" t="str">
        <f>IFERROR(__xludf.DUMMYFUNCTION("""COMPUTED_VALUE""")," NO CHARGE ")</f>
        <v>NO CHARGE</v>
      </c>
      <c r="V849" s="2"/>
      <c r="W849" s="2" t="str">
        <f>IFERROR(__xludf.DUMMYFUNCTION("""COMPUTED_VALUE"""),"N/A")</f>
        <v>N/A</v>
      </c>
      <c r="X849" s="2" t="str">
        <f>IFERROR(__xludf.DUMMYFUNCTION("""COMPUTED_VALUE"""),"N/A")</f>
        <v>N/A</v>
      </c>
      <c r="Y849" s="2"/>
      <c r="Z849" s="2"/>
      <c r="AA849" s="2"/>
      <c r="AB849" s="2"/>
      <c r="AC849" s="2"/>
      <c r="AD849" s="2"/>
      <c r="AE849" s="2"/>
      <c r="AF849" s="2"/>
      <c r="AG849" s="2"/>
      <c r="AH849" s="2"/>
      <c r="AI849" s="2"/>
      <c r="AJ849" s="2" t="str">
        <f>IFERROR(__xludf.DUMMYFUNCTION("""COMPUTED_VALUE"""),"Palayan")</f>
        <v>Palayan</v>
      </c>
      <c r="AK849" s="2" t="str">
        <f>IFERROR(__xludf.DUMMYFUNCTION("""COMPUTED_VALUE"""),"Pinamalayan")</f>
        <v>Pinamalayan</v>
      </c>
      <c r="AL849" s="2" t="str">
        <f>IFERROR(__xludf.DUMMYFUNCTION("""COMPUTED_VALUE"""),"Oriental Mindoro")</f>
        <v>Oriental Mindoro</v>
      </c>
      <c r="AM849" s="2" t="str">
        <f>IFERROR(__xludf.DUMMYFUNCTION("""COMPUTED_VALUE"""),"4B")</f>
        <v>4B</v>
      </c>
      <c r="AN849" s="2" t="str">
        <f>IFERROR(__xludf.DUMMYFUNCTION("""COMPUTED_VALUE"""),"RCEF 24-04-15")</f>
        <v>RCEF 24-04-15</v>
      </c>
      <c r="AO849" s="2">
        <f>IFERROR(__xludf.DUMMYFUNCTION("""COMPUTED_VALUE"""),7.0)</f>
        <v>7</v>
      </c>
      <c r="AP849" s="2" t="str">
        <f>IFERROR(__xludf.DUMMYFUNCTION("""COMPUTED_VALUE"""),"FREE PMS")</f>
        <v>FREE PMS</v>
      </c>
      <c r="AQ849" s="2"/>
      <c r="AR849" s="2"/>
      <c r="AS849" s="2"/>
      <c r="AT849" s="2"/>
      <c r="AU849" s="2"/>
      <c r="AV849" s="2"/>
      <c r="AW849" s="2"/>
      <c r="AX849" s="2"/>
      <c r="AY849" s="2"/>
      <c r="AZ849" s="2"/>
      <c r="BA849" s="2"/>
      <c r="BB849" s="2"/>
    </row>
    <row r="850">
      <c r="A850" s="2">
        <f>IFERROR(__xludf.DUMMYFUNCTION("""COMPUTED_VALUE"""),846.0)</f>
        <v>846</v>
      </c>
      <c r="B850" s="2" t="str">
        <f>IFERROR(__xludf.DUMMYFUNCTION("""COMPUTED_VALUE"""),"COMPLETED")</f>
        <v>COMPLETED</v>
      </c>
      <c r="C850" s="74">
        <f>IFERROR(__xludf.DUMMYFUNCTION("""COMPUTED_VALUE"""),45734.0)</f>
        <v>45734</v>
      </c>
      <c r="D850" s="71" t="str">
        <f>IFERROR(__xludf.DUMMYFUNCTION("""COMPUTED_VALUE"""),"BANUTAN FARMERS ASSOCIATION")</f>
        <v>BANUTAN FARMERS ASSOCIATION</v>
      </c>
      <c r="E850" s="71" t="str">
        <f>IFERROR(__xludf.DUMMYFUNCTION("""COMPUTED_VALUE"""),"Banutan, Gloria, ORIENTAL MINDORO")</f>
        <v>Banutan, Gloria, ORIENTAL MINDORO</v>
      </c>
      <c r="F850" s="2" t="str">
        <f>IFERROR(__xludf.DUMMYFUNCTION("""COMPUTED_VALUE"""),"MANUEL YAP")</f>
        <v>MANUEL YAP</v>
      </c>
      <c r="G850" s="2">
        <f>IFERROR(__xludf.DUMMYFUNCTION("""COMPUTED_VALUE"""),9.763816414E9)</f>
        <v>9763816414</v>
      </c>
      <c r="H850" s="2">
        <f>IFERROR(__xludf.DUMMYFUNCTION("""COMPUTED_VALUE"""),53.0)</f>
        <v>53</v>
      </c>
      <c r="I850" s="72" t="str">
        <f>IFERROR(__xludf.DUMMYFUNCTION("""COMPUTED_VALUE"""),"PMS")</f>
        <v>PMS</v>
      </c>
      <c r="J850" s="72" t="str">
        <f>IFERROR(__xludf.DUMMYFUNCTION("""COMPUTED_VALUE"""),"PMS")</f>
        <v>PMS</v>
      </c>
      <c r="K850" s="72" t="str">
        <f>IFERROR(__xludf.DUMMYFUNCTION("""COMPUTED_VALUE"""),"DSD: 1ST PMS FREE")</f>
        <v>DSD: 1ST PMS FREE</v>
      </c>
      <c r="L850" s="72" t="str">
        <f>IFERROR(__xludf.DUMMYFUNCTION("""COMPUTED_VALUE"""),"DSD: 1ST PMS DONE")</f>
        <v>DSD: 1ST PMS DONE</v>
      </c>
      <c r="M850" s="2"/>
      <c r="N850" s="2" t="str">
        <f>IFERROR(__xludf.DUMMYFUNCTION("""COMPUTED_VALUE"""),"PARTS: ENGINE OIL , OIL FILTER")</f>
        <v>PARTS: ENGINE OIL , OIL FILTER</v>
      </c>
      <c r="O850" s="2">
        <f>IFERROR(__xludf.DUMMYFUNCTION("""COMPUTED_VALUE"""),129.0)</f>
        <v>129</v>
      </c>
      <c r="P850" s="2"/>
      <c r="Q850" s="2"/>
      <c r="R850" s="74">
        <f>IFERROR(__xludf.DUMMYFUNCTION("""COMPUTED_VALUE"""),45733.0)</f>
        <v>45733</v>
      </c>
      <c r="S850" s="2" t="str">
        <f>IFERROR(__xludf.DUMMYFUNCTION("""COMPUTED_VALUE"""),"RCG/DSD")</f>
        <v>RCG/DSD</v>
      </c>
      <c r="T850" s="73" t="str">
        <f>IFERROR(__xludf.DUMMYFUNCTION("""COMPUTED_VALUE""")," N/A ")</f>
        <v>N/A</v>
      </c>
      <c r="U850" s="73" t="str">
        <f>IFERROR(__xludf.DUMMYFUNCTION("""COMPUTED_VALUE""")," NO CHARGE ")</f>
        <v>NO CHARGE</v>
      </c>
      <c r="V850" s="2"/>
      <c r="W850" s="2" t="str">
        <f>IFERROR(__xludf.DUMMYFUNCTION("""COMPUTED_VALUE"""),"N/A")</f>
        <v>N/A</v>
      </c>
      <c r="X850" s="2" t="str">
        <f>IFERROR(__xludf.DUMMYFUNCTION("""COMPUTED_VALUE"""),"N/A")</f>
        <v>N/A</v>
      </c>
      <c r="Y850" s="2"/>
      <c r="Z850" s="2"/>
      <c r="AA850" s="2"/>
      <c r="AB850" s="2"/>
      <c r="AC850" s="2"/>
      <c r="AD850" s="2"/>
      <c r="AE850" s="2"/>
      <c r="AF850" s="2"/>
      <c r="AG850" s="2"/>
      <c r="AH850" s="2"/>
      <c r="AI850" s="2"/>
      <c r="AJ850" s="2" t="str">
        <f>IFERROR(__xludf.DUMMYFUNCTION("""COMPUTED_VALUE"""),"Banutan")</f>
        <v>Banutan</v>
      </c>
      <c r="AK850" s="2" t="str">
        <f>IFERROR(__xludf.DUMMYFUNCTION("""COMPUTED_VALUE"""),"Gloria")</f>
        <v>Gloria</v>
      </c>
      <c r="AL850" s="2" t="str">
        <f>IFERROR(__xludf.DUMMYFUNCTION("""COMPUTED_VALUE"""),"Oriental Mindoro")</f>
        <v>Oriental Mindoro</v>
      </c>
      <c r="AM850" s="2" t="str">
        <f>IFERROR(__xludf.DUMMYFUNCTION("""COMPUTED_VALUE"""),"4B")</f>
        <v>4B</v>
      </c>
      <c r="AN850" s="2" t="str">
        <f>IFERROR(__xludf.DUMMYFUNCTION("""COMPUTED_VALUE"""),"RCEF 24-04-15")</f>
        <v>RCEF 24-04-15</v>
      </c>
      <c r="AO850" s="2">
        <f>IFERROR(__xludf.DUMMYFUNCTION("""COMPUTED_VALUE"""),7.0)</f>
        <v>7</v>
      </c>
      <c r="AP850" s="2" t="str">
        <f>IFERROR(__xludf.DUMMYFUNCTION("""COMPUTED_VALUE"""),"FREE PMS")</f>
        <v>FREE PMS</v>
      </c>
      <c r="AQ850" s="2"/>
      <c r="AR850" s="2"/>
      <c r="AS850" s="2"/>
      <c r="AT850" s="2"/>
      <c r="AU850" s="2"/>
      <c r="AV850" s="2"/>
      <c r="AW850" s="2"/>
      <c r="AX850" s="2"/>
      <c r="AY850" s="2"/>
      <c r="AZ850" s="2"/>
      <c r="BA850" s="2"/>
      <c r="BB850" s="2"/>
    </row>
    <row r="851">
      <c r="A851" s="2">
        <f>IFERROR(__xludf.DUMMYFUNCTION("""COMPUTED_VALUE"""),847.0)</f>
        <v>847</v>
      </c>
      <c r="B851" s="2" t="str">
        <f>IFERROR(__xludf.DUMMYFUNCTION("""COMPUTED_VALUE"""),"COMPLETED")</f>
        <v>COMPLETED</v>
      </c>
      <c r="C851" s="74">
        <f>IFERROR(__xludf.DUMMYFUNCTION("""COMPUTED_VALUE"""),45734.0)</f>
        <v>45734</v>
      </c>
      <c r="D851" s="71" t="str">
        <f>IFERROR(__xludf.DUMMYFUNCTION("""COMPUTED_VALUE"""),"GUIMBONAN FARMERS ASSOCIATION")</f>
        <v>GUIMBONAN FARMERS ASSOCIATION</v>
      </c>
      <c r="E851" s="71" t="str">
        <f>IFERROR(__xludf.DUMMYFUNCTION("""COMPUTED_VALUE"""),"Guimbonan, Gloria, ORIENTAL MINDORO")</f>
        <v>Guimbonan, Gloria, ORIENTAL MINDORO</v>
      </c>
      <c r="F851" s="2" t="str">
        <f>IFERROR(__xludf.DUMMYFUNCTION("""COMPUTED_VALUE"""),"RANDY MASPUTI")</f>
        <v>RANDY MASPUTI</v>
      </c>
      <c r="G851" s="2">
        <f>IFERROR(__xludf.DUMMYFUNCTION("""COMPUTED_VALUE"""),9.496704178E9)</f>
        <v>9496704178</v>
      </c>
      <c r="H851" s="2">
        <f>IFERROR(__xludf.DUMMYFUNCTION("""COMPUTED_VALUE"""),7.8)</f>
        <v>7.8</v>
      </c>
      <c r="I851" s="72" t="str">
        <f>IFERROR(__xludf.DUMMYFUNCTION("""COMPUTED_VALUE"""),"PMS")</f>
        <v>PMS</v>
      </c>
      <c r="J851" s="72" t="str">
        <f>IFERROR(__xludf.DUMMYFUNCTION("""COMPUTED_VALUE"""),"PMS")</f>
        <v>PMS</v>
      </c>
      <c r="K851" s="72" t="str">
        <f>IFERROR(__xludf.DUMMYFUNCTION("""COMPUTED_VALUE"""),"DSD: 1ST PMS FREE")</f>
        <v>DSD: 1ST PMS FREE</v>
      </c>
      <c r="L851" s="72" t="str">
        <f>IFERROR(__xludf.DUMMYFUNCTION("""COMPUTED_VALUE"""),"DSD: 1ST PMS DONE")</f>
        <v>DSD: 1ST PMS DONE</v>
      </c>
      <c r="M851" s="2"/>
      <c r="N851" s="2" t="str">
        <f>IFERROR(__xludf.DUMMYFUNCTION("""COMPUTED_VALUE"""),"PARTS: ENGINE OIL , OIL FILTER")</f>
        <v>PARTS: ENGINE OIL , OIL FILTER</v>
      </c>
      <c r="O851" s="2">
        <f>IFERROR(__xludf.DUMMYFUNCTION("""COMPUTED_VALUE"""),130.0)</f>
        <v>130</v>
      </c>
      <c r="P851" s="2"/>
      <c r="Q851" s="2"/>
      <c r="R851" s="74">
        <f>IFERROR(__xludf.DUMMYFUNCTION("""COMPUTED_VALUE"""),45733.0)</f>
        <v>45733</v>
      </c>
      <c r="S851" s="2" t="str">
        <f>IFERROR(__xludf.DUMMYFUNCTION("""COMPUTED_VALUE"""),"RCG/DSD")</f>
        <v>RCG/DSD</v>
      </c>
      <c r="T851" s="73" t="str">
        <f>IFERROR(__xludf.DUMMYFUNCTION("""COMPUTED_VALUE""")," N/A ")</f>
        <v>N/A</v>
      </c>
      <c r="U851" s="73" t="str">
        <f>IFERROR(__xludf.DUMMYFUNCTION("""COMPUTED_VALUE""")," NO CHARGE ")</f>
        <v>NO CHARGE</v>
      </c>
      <c r="V851" s="2"/>
      <c r="W851" s="2" t="str">
        <f>IFERROR(__xludf.DUMMYFUNCTION("""COMPUTED_VALUE"""),"N/A")</f>
        <v>N/A</v>
      </c>
      <c r="X851" s="2" t="str">
        <f>IFERROR(__xludf.DUMMYFUNCTION("""COMPUTED_VALUE"""),"N/A")</f>
        <v>N/A</v>
      </c>
      <c r="Y851" s="2"/>
      <c r="Z851" s="2"/>
      <c r="AA851" s="2"/>
      <c r="AB851" s="2"/>
      <c r="AC851" s="2"/>
      <c r="AD851" s="2"/>
      <c r="AE851" s="2"/>
      <c r="AF851" s="2"/>
      <c r="AG851" s="2"/>
      <c r="AH851" s="2"/>
      <c r="AI851" s="2"/>
      <c r="AJ851" s="2" t="str">
        <f>IFERROR(__xludf.DUMMYFUNCTION("""COMPUTED_VALUE"""),"Guimbonan")</f>
        <v>Guimbonan</v>
      </c>
      <c r="AK851" s="2" t="str">
        <f>IFERROR(__xludf.DUMMYFUNCTION("""COMPUTED_VALUE"""),"Gloria")</f>
        <v>Gloria</v>
      </c>
      <c r="AL851" s="2" t="str">
        <f>IFERROR(__xludf.DUMMYFUNCTION("""COMPUTED_VALUE"""),"Oriental Mindoro")</f>
        <v>Oriental Mindoro</v>
      </c>
      <c r="AM851" s="2" t="str">
        <f>IFERROR(__xludf.DUMMYFUNCTION("""COMPUTED_VALUE"""),"4B")</f>
        <v>4B</v>
      </c>
      <c r="AN851" s="2" t="str">
        <f>IFERROR(__xludf.DUMMYFUNCTION("""COMPUTED_VALUE"""),"RCEF 24-04-15")</f>
        <v>RCEF 24-04-15</v>
      </c>
      <c r="AO851" s="2">
        <f>IFERROR(__xludf.DUMMYFUNCTION("""COMPUTED_VALUE"""),7.0)</f>
        <v>7</v>
      </c>
      <c r="AP851" s="2" t="str">
        <f>IFERROR(__xludf.DUMMYFUNCTION("""COMPUTED_VALUE"""),"FREE PMS")</f>
        <v>FREE PMS</v>
      </c>
      <c r="AQ851" s="2"/>
      <c r="AR851" s="2"/>
      <c r="AS851" s="2"/>
      <c r="AT851" s="2"/>
      <c r="AU851" s="2"/>
      <c r="AV851" s="2"/>
      <c r="AW851" s="2"/>
      <c r="AX851" s="2"/>
      <c r="AY851" s="2"/>
      <c r="AZ851" s="2"/>
      <c r="BA851" s="2"/>
      <c r="BB851" s="2"/>
    </row>
    <row r="852">
      <c r="A852" s="2">
        <f>IFERROR(__xludf.DUMMYFUNCTION("""COMPUTED_VALUE"""),848.0)</f>
        <v>848</v>
      </c>
      <c r="B852" s="2" t="str">
        <f>IFERROR(__xludf.DUMMYFUNCTION("""COMPUTED_VALUE"""),"COMPLETED")</f>
        <v>COMPLETED</v>
      </c>
      <c r="C852" s="74">
        <f>IFERROR(__xludf.DUMMYFUNCTION("""COMPUTED_VALUE"""),45734.0)</f>
        <v>45734</v>
      </c>
      <c r="D852" s="71" t="str">
        <f>IFERROR(__xludf.DUMMYFUNCTION("""COMPUTED_VALUE"""),"AKLEJO FARMERS IRRIGATORS' ASSOCIATION, INC.")</f>
        <v>AKLEJO FARMERS IRRIGATORS' ASSOCIATION, INC.</v>
      </c>
      <c r="E852" s="71" t="str">
        <f>IFERROR(__xludf.DUMMYFUNCTION("""COMPUTED_VALUE"""),", Bansud, ORIENTAL MINDORO")</f>
        <v>, Bansud, ORIENTAL MINDORO</v>
      </c>
      <c r="F852" s="2" t="str">
        <f>IFERROR(__xludf.DUMMYFUNCTION("""COMPUTED_VALUE"""),"VICTOR RIANO")</f>
        <v>VICTOR RIANO</v>
      </c>
      <c r="G852" s="2">
        <f>IFERROR(__xludf.DUMMYFUNCTION("""COMPUTED_VALUE"""),9.18723747E9)</f>
        <v>9187237470</v>
      </c>
      <c r="H852" s="2">
        <f>IFERROR(__xludf.DUMMYFUNCTION("""COMPUTED_VALUE"""),15.8)</f>
        <v>15.8</v>
      </c>
      <c r="I852" s="72" t="str">
        <f>IFERROR(__xludf.DUMMYFUNCTION("""COMPUTED_VALUE"""),"PMS")</f>
        <v>PMS</v>
      </c>
      <c r="J852" s="72" t="str">
        <f>IFERROR(__xludf.DUMMYFUNCTION("""COMPUTED_VALUE"""),"PMS")</f>
        <v>PMS</v>
      </c>
      <c r="K852" s="72" t="str">
        <f>IFERROR(__xludf.DUMMYFUNCTION("""COMPUTED_VALUE"""),"DSD: 1ST PMS FREE")</f>
        <v>DSD: 1ST PMS FREE</v>
      </c>
      <c r="L852" s="72" t="str">
        <f>IFERROR(__xludf.DUMMYFUNCTION("""COMPUTED_VALUE"""),"DSD: 1ST PMS DONE")</f>
        <v>DSD: 1ST PMS DONE</v>
      </c>
      <c r="M852" s="2"/>
      <c r="N852" s="2" t="str">
        <f>IFERROR(__xludf.DUMMYFUNCTION("""COMPUTED_VALUE"""),"PARTS: ENGINE OIL , OIL FILTER")</f>
        <v>PARTS: ENGINE OIL , OIL FILTER</v>
      </c>
      <c r="O852" s="2">
        <f>IFERROR(__xludf.DUMMYFUNCTION("""COMPUTED_VALUE"""),131.0)</f>
        <v>131</v>
      </c>
      <c r="P852" s="2" t="str">
        <f>IFERROR(__xludf.DUMMYFUNCTION("""COMPUTED_VALUE"""),"AKLEJO FARMERS IRRIGATORS ASSOCIATION INC..pdf")</f>
        <v>AKLEJO FARMERS IRRIGATORS ASSOCIATION INC..pdf</v>
      </c>
      <c r="Q852" s="2"/>
      <c r="R852" s="74">
        <f>IFERROR(__xludf.DUMMYFUNCTION("""COMPUTED_VALUE"""),45733.0)</f>
        <v>45733</v>
      </c>
      <c r="S852" s="2" t="str">
        <f>IFERROR(__xludf.DUMMYFUNCTION("""COMPUTED_VALUE"""),"RCG/DSD")</f>
        <v>RCG/DSD</v>
      </c>
      <c r="T852" s="73" t="str">
        <f>IFERROR(__xludf.DUMMYFUNCTION("""COMPUTED_VALUE""")," N/A ")</f>
        <v>N/A</v>
      </c>
      <c r="U852" s="73" t="str">
        <f>IFERROR(__xludf.DUMMYFUNCTION("""COMPUTED_VALUE""")," NO CHARGE ")</f>
        <v>NO CHARGE</v>
      </c>
      <c r="V852" s="2"/>
      <c r="W852" s="2" t="str">
        <f>IFERROR(__xludf.DUMMYFUNCTION("""COMPUTED_VALUE"""),"N/A")</f>
        <v>N/A</v>
      </c>
      <c r="X852" s="2" t="str">
        <f>IFERROR(__xludf.DUMMYFUNCTION("""COMPUTED_VALUE"""),"N/A")</f>
        <v>N/A</v>
      </c>
      <c r="Y852" s="2"/>
      <c r="Z852" s="2"/>
      <c r="AA852" s="2"/>
      <c r="AB852" s="2"/>
      <c r="AC852" s="2"/>
      <c r="AD852" s="2"/>
      <c r="AE852" s="2"/>
      <c r="AF852" s="2"/>
      <c r="AG852" s="2"/>
      <c r="AH852" s="2"/>
      <c r="AI852" s="2"/>
      <c r="AJ852" s="2" t="str">
        <f>IFERROR(__xludf.DUMMYFUNCTION("""COMPUTED_VALUE"""),"")</f>
        <v/>
      </c>
      <c r="AK852" s="2" t="str">
        <f>IFERROR(__xludf.DUMMYFUNCTION("""COMPUTED_VALUE"""),"Bansud")</f>
        <v>Bansud</v>
      </c>
      <c r="AL852" s="2" t="str">
        <f>IFERROR(__xludf.DUMMYFUNCTION("""COMPUTED_VALUE"""),"Oriental Mindoro")</f>
        <v>Oriental Mindoro</v>
      </c>
      <c r="AM852" s="2" t="str">
        <f>IFERROR(__xludf.DUMMYFUNCTION("""COMPUTED_VALUE"""),"4B")</f>
        <v>4B</v>
      </c>
      <c r="AN852" s="2" t="str">
        <f>IFERROR(__xludf.DUMMYFUNCTION("""COMPUTED_VALUE"""),"RCEF 24-04-15")</f>
        <v>RCEF 24-04-15</v>
      </c>
      <c r="AO852" s="2">
        <f>IFERROR(__xludf.DUMMYFUNCTION("""COMPUTED_VALUE"""),7.0)</f>
        <v>7</v>
      </c>
      <c r="AP852" s="2" t="str">
        <f>IFERROR(__xludf.DUMMYFUNCTION("""COMPUTED_VALUE"""),"FREE PMS")</f>
        <v>FREE PMS</v>
      </c>
      <c r="AQ852" s="2"/>
      <c r="AR852" s="2"/>
      <c r="AS852" s="2"/>
      <c r="AT852" s="2"/>
      <c r="AU852" s="2"/>
      <c r="AV852" s="2"/>
      <c r="AW852" s="2"/>
      <c r="AX852" s="2"/>
      <c r="AY852" s="2"/>
      <c r="AZ852" s="2"/>
      <c r="BA852" s="2"/>
      <c r="BB852" s="2"/>
    </row>
    <row r="853">
      <c r="A853" s="2">
        <f>IFERROR(__xludf.DUMMYFUNCTION("""COMPUTED_VALUE"""),849.0)</f>
        <v>849</v>
      </c>
      <c r="B853" s="2" t="str">
        <f>IFERROR(__xludf.DUMMYFUNCTION("""COMPUTED_VALUE"""),"COMPLETED")</f>
        <v>COMPLETED</v>
      </c>
      <c r="C853" s="74">
        <f>IFERROR(__xludf.DUMMYFUNCTION("""COMPUTED_VALUE"""),45734.0)</f>
        <v>45734</v>
      </c>
      <c r="D853" s="71" t="str">
        <f>IFERROR(__xludf.DUMMYFUNCTION("""COMPUTED_VALUE"""),"BUKLUD KAPAMPANGAN FARMERS ASSOCIATION INC.")</f>
        <v>BUKLUD KAPAMPANGAN FARMERS ASSOCIATION INC.</v>
      </c>
      <c r="E853" s="71" t="str">
        <f>IFERROR(__xludf.DUMMYFUNCTION("""COMPUTED_VALUE"""),"Cabetican, Bacolor, PAMPANGA")</f>
        <v>Cabetican, Bacolor, PAMPANGA</v>
      </c>
      <c r="F853" s="2" t="str">
        <f>IFERROR(__xludf.DUMMYFUNCTION("""COMPUTED_VALUE"""),"Dario Gueco.")</f>
        <v>Dario Gueco.</v>
      </c>
      <c r="G853" s="2">
        <f>IFERROR(__xludf.DUMMYFUNCTION("""COMPUTED_VALUE"""),9.609368115E9)</f>
        <v>9609368115</v>
      </c>
      <c r="H853" s="2">
        <f>IFERROR(__xludf.DUMMYFUNCTION("""COMPUTED_VALUE"""),57.0)</f>
        <v>57</v>
      </c>
      <c r="I853" s="72" t="str">
        <f>IFERROR(__xludf.DUMMYFUNCTION("""COMPUTED_VALUE"""),"PMS")</f>
        <v>PMS</v>
      </c>
      <c r="J853" s="72" t="str">
        <f>IFERROR(__xludf.DUMMYFUNCTION("""COMPUTED_VALUE"""),"PMS")</f>
        <v>PMS</v>
      </c>
      <c r="K853" s="72" t="str">
        <f>IFERROR(__xludf.DUMMYFUNCTION("""COMPUTED_VALUE"""),"MYK: 1ST PMS (FREE)")</f>
        <v>MYK: 1ST PMS (FREE)</v>
      </c>
      <c r="L853" s="72" t="str">
        <f>IFERROR(__xludf.DUMMYFUNCTION("""COMPUTED_VALUE"""),"PMS DONE: SELF PMS")</f>
        <v>PMS DONE: SELF PMS</v>
      </c>
      <c r="M853" s="2"/>
      <c r="N853" s="2"/>
      <c r="O853" s="2" t="str">
        <f>IFERROR(__xludf.DUMMYFUNCTION("""COMPUTED_VALUE"""),"N/A")</f>
        <v>N/A</v>
      </c>
      <c r="P853" s="2"/>
      <c r="Q853" s="2"/>
      <c r="R853" s="74">
        <f>IFERROR(__xludf.DUMMYFUNCTION("""COMPUTED_VALUE"""),45751.0)</f>
        <v>45751</v>
      </c>
      <c r="S853" s="2" t="str">
        <f>IFERROR(__xludf.DUMMYFUNCTION("""COMPUTED_VALUE"""),"N/A")</f>
        <v>N/A</v>
      </c>
      <c r="T853" s="73" t="str">
        <f>IFERROR(__xludf.DUMMYFUNCTION("""COMPUTED_VALUE""")," N/A ")</f>
        <v>N/A</v>
      </c>
      <c r="U853" s="73" t="str">
        <f>IFERROR(__xludf.DUMMYFUNCTION("""COMPUTED_VALUE""")," NO CHARGE ")</f>
        <v>NO CHARGE</v>
      </c>
      <c r="V853" s="2"/>
      <c r="W853" s="2" t="str">
        <f>IFERROR(__xludf.DUMMYFUNCTION("""COMPUTED_VALUE"""),"N/A")</f>
        <v>N/A</v>
      </c>
      <c r="X853" s="2" t="str">
        <f>IFERROR(__xludf.DUMMYFUNCTION("""COMPUTED_VALUE"""),"N/A")</f>
        <v>N/A</v>
      </c>
      <c r="Y853" s="2"/>
      <c r="Z853" s="2"/>
      <c r="AA853" s="2"/>
      <c r="AB853" s="2"/>
      <c r="AC853" s="2"/>
      <c r="AD853" s="2"/>
      <c r="AE853" s="2"/>
      <c r="AF853" s="2"/>
      <c r="AG853" s="2"/>
      <c r="AH853" s="2"/>
      <c r="AI853" s="2"/>
      <c r="AJ853" s="2" t="str">
        <f>IFERROR(__xludf.DUMMYFUNCTION("""COMPUTED_VALUE"""),"Cabetican")</f>
        <v>Cabetican</v>
      </c>
      <c r="AK853" s="2" t="str">
        <f>IFERROR(__xludf.DUMMYFUNCTION("""COMPUTED_VALUE"""),"Bacolor")</f>
        <v>Bacolor</v>
      </c>
      <c r="AL853" s="2" t="str">
        <f>IFERROR(__xludf.DUMMYFUNCTION("""COMPUTED_VALUE"""),"Pampanga")</f>
        <v>Pampanga</v>
      </c>
      <c r="AM853" s="2">
        <f>IFERROR(__xludf.DUMMYFUNCTION("""COMPUTED_VALUE"""),3.0)</f>
        <v>3</v>
      </c>
      <c r="AN853" s="2" t="str">
        <f>IFERROR(__xludf.DUMMYFUNCTION("""COMPUTED_VALUE"""),"RCEF 24-04-15")</f>
        <v>RCEF 24-04-15</v>
      </c>
      <c r="AO853" s="2">
        <f>IFERROR(__xludf.DUMMYFUNCTION("""COMPUTED_VALUE"""),6.0)</f>
        <v>6</v>
      </c>
      <c r="AP853" s="2" t="str">
        <f>IFERROR(__xludf.DUMMYFUNCTION("""COMPUTED_VALUE"""),"FREE PMS")</f>
        <v>FREE PMS</v>
      </c>
      <c r="AQ853" s="2"/>
      <c r="AR853" s="2"/>
      <c r="AS853" s="2"/>
      <c r="AT853" s="2"/>
      <c r="AU853" s="2"/>
      <c r="AV853" s="2"/>
      <c r="AW853" s="2"/>
      <c r="AX853" s="2"/>
      <c r="AY853" s="2"/>
      <c r="AZ853" s="2"/>
      <c r="BA853" s="2"/>
      <c r="BB853" s="2"/>
    </row>
    <row r="854">
      <c r="A854" s="2">
        <f>IFERROR(__xludf.DUMMYFUNCTION("""COMPUTED_VALUE"""),850.0)</f>
        <v>850</v>
      </c>
      <c r="B854" s="2" t="str">
        <f>IFERROR(__xludf.DUMMYFUNCTION("""COMPUTED_VALUE"""),"COMPLETED")</f>
        <v>COMPLETED</v>
      </c>
      <c r="C854" s="74">
        <f>IFERROR(__xludf.DUMMYFUNCTION("""COMPUTED_VALUE"""),45734.0)</f>
        <v>45734</v>
      </c>
      <c r="D854" s="71" t="str">
        <f>IFERROR(__xludf.DUMMYFUNCTION("""COMPUTED_VALUE"""),"SAN AGUSTIN II FARMERS ASSOCIATION")</f>
        <v>SAN AGUSTIN II FARMERS ASSOCIATION</v>
      </c>
      <c r="E854" s="71" t="str">
        <f>IFERROR(__xludf.DUMMYFUNCTION("""COMPUTED_VALUE"""),"San Agustin, Naujan, ORIENTAL MINDORO")</f>
        <v>San Agustin, Naujan, ORIENTAL MINDORO</v>
      </c>
      <c r="F854" s="2" t="str">
        <f>IFERROR(__xludf.DUMMYFUNCTION("""COMPUTED_VALUE"""),"SAN AGUSTIN 2 FARMERS ASSOCIATION")</f>
        <v>SAN AGUSTIN 2 FARMERS ASSOCIATION</v>
      </c>
      <c r="G854" s="2">
        <f>IFERROR(__xludf.DUMMYFUNCTION("""COMPUTED_VALUE"""),9.537540359E9)</f>
        <v>9537540359</v>
      </c>
      <c r="H854" s="2">
        <f>IFERROR(__xludf.DUMMYFUNCTION("""COMPUTED_VALUE"""),18.0)</f>
        <v>18</v>
      </c>
      <c r="I854" s="72" t="str">
        <f>IFERROR(__xludf.DUMMYFUNCTION("""COMPUTED_VALUE"""),"REPAIR - TRACTOR")</f>
        <v>REPAIR - TRACTOR</v>
      </c>
      <c r="J854" s="72" t="str">
        <f>IFERROR(__xludf.DUMMYFUNCTION("""COMPUTED_VALUE"""),"Electrical - Fuse Box")</f>
        <v>Electrical - Fuse Box</v>
      </c>
      <c r="K854" s="72" t="str">
        <f>IFERROR(__xludf.DUMMYFUNCTION("""COMPUTED_VALUE"""),"DSD: WIRING PROBLEM: NAGPUTUKAN ANG FUSE
PARTS : FUSE BOX ASSY")</f>
        <v>DSD: WIRING PROBLEM: NAGPUTUKAN ANG FUSE
PARTS : FUSE BOX ASSY</v>
      </c>
      <c r="L854" s="72" t="str">
        <f>IFERROR(__xludf.DUMMYFUNCTION("""COMPUTED_VALUE"""),"RCG: SILA NA NAG PA REWIRING")</f>
        <v>RCG: SILA NA NAG PA REWIRING</v>
      </c>
      <c r="M854" s="2"/>
      <c r="N854" s="2"/>
      <c r="O854" s="2" t="str">
        <f>IFERROR(__xludf.DUMMYFUNCTION("""COMPUTED_VALUE"""),"N/A")</f>
        <v>N/A</v>
      </c>
      <c r="P854" s="2"/>
      <c r="Q854" s="2"/>
      <c r="R854" s="74">
        <f>IFERROR(__xludf.DUMMYFUNCTION("""COMPUTED_VALUE"""),45847.0)</f>
        <v>45847</v>
      </c>
      <c r="S854" s="2" t="str">
        <f>IFERROR(__xludf.DUMMYFUNCTION("""COMPUTED_VALUE"""),"RCG/RBS")</f>
        <v>RCG/RBS</v>
      </c>
      <c r="T854" s="73" t="str">
        <f>IFERROR(__xludf.DUMMYFUNCTION("""COMPUTED_VALUE""")," N/A ")</f>
        <v>N/A</v>
      </c>
      <c r="U854" s="73" t="str">
        <f>IFERROR(__xludf.DUMMYFUNCTION("""COMPUTED_VALUE""")," NO CHARGE ")</f>
        <v>NO CHARGE</v>
      </c>
      <c r="V854" s="2"/>
      <c r="W854" s="2" t="str">
        <f>IFERROR(__xludf.DUMMYFUNCTION("""COMPUTED_VALUE"""),"N/A")</f>
        <v>N/A</v>
      </c>
      <c r="X854" s="2" t="str">
        <f>IFERROR(__xludf.DUMMYFUNCTION("""COMPUTED_VALUE"""),"N/A")</f>
        <v>N/A</v>
      </c>
      <c r="Y854" s="2"/>
      <c r="Z854" s="2"/>
      <c r="AA854" s="2"/>
      <c r="AB854" s="2"/>
      <c r="AC854" s="2"/>
      <c r="AD854" s="2"/>
      <c r="AE854" s="2"/>
      <c r="AF854" s="2"/>
      <c r="AG854" s="2"/>
      <c r="AH854" s="2"/>
      <c r="AI854" s="2"/>
      <c r="AJ854" s="2" t="str">
        <f>IFERROR(__xludf.DUMMYFUNCTION("""COMPUTED_VALUE"""),"San Agustin")</f>
        <v>San Agustin</v>
      </c>
      <c r="AK854" s="2" t="str">
        <f>IFERROR(__xludf.DUMMYFUNCTION("""COMPUTED_VALUE"""),"Naujan")</f>
        <v>Naujan</v>
      </c>
      <c r="AL854" s="2" t="str">
        <f>IFERROR(__xludf.DUMMYFUNCTION("""COMPUTED_VALUE"""),"Oriental Mindoro")</f>
        <v>Oriental Mindoro</v>
      </c>
      <c r="AM854" s="2" t="str">
        <f>IFERROR(__xludf.DUMMYFUNCTION("""COMPUTED_VALUE"""),"4B")</f>
        <v>4B</v>
      </c>
      <c r="AN854" s="2" t="str">
        <f>IFERROR(__xludf.DUMMYFUNCTION("""COMPUTED_VALUE"""),"RCEF 24-04-15")</f>
        <v>RCEF 24-04-15</v>
      </c>
      <c r="AO854" s="2">
        <f>IFERROR(__xludf.DUMMYFUNCTION("""COMPUTED_VALUE"""),7.0)</f>
        <v>7</v>
      </c>
      <c r="AP854" s="2" t="str">
        <f>IFERROR(__xludf.DUMMYFUNCTION("""COMPUTED_VALUE"""),"FREE PMS")</f>
        <v>FREE PMS</v>
      </c>
      <c r="AQ854" s="2"/>
      <c r="AR854" s="2"/>
      <c r="AS854" s="2"/>
      <c r="AT854" s="2"/>
      <c r="AU854" s="2"/>
      <c r="AV854" s="2"/>
      <c r="AW854" s="2"/>
      <c r="AX854" s="2"/>
      <c r="AY854" s="2"/>
      <c r="AZ854" s="2"/>
      <c r="BA854" s="2"/>
      <c r="BB854" s="2"/>
    </row>
    <row r="855">
      <c r="A855" s="2">
        <f>IFERROR(__xludf.DUMMYFUNCTION("""COMPUTED_VALUE"""),851.0)</f>
        <v>851</v>
      </c>
      <c r="B855" s="2" t="str">
        <f>IFERROR(__xludf.DUMMYFUNCTION("""COMPUTED_VALUE"""),"COMPLETED")</f>
        <v>COMPLETED</v>
      </c>
      <c r="C855" s="74">
        <f>IFERROR(__xludf.DUMMYFUNCTION("""COMPUTED_VALUE"""),45735.0)</f>
        <v>45735</v>
      </c>
      <c r="D855" s="71" t="str">
        <f>IFERROR(__xludf.DUMMYFUNCTION("""COMPUTED_VALUE"""),"TUAY ABRA DE ILOG IRRIGATORS ASSOCIATION, INC.")</f>
        <v>TUAY ABRA DE ILOG IRRIGATORS ASSOCIATION, INC.</v>
      </c>
      <c r="E855" s="71" t="str">
        <f>IFERROR(__xludf.DUMMYFUNCTION("""COMPUTED_VALUE"""),"San Vicente, Abra de Ilog, OCCIDENTAL MINDORO")</f>
        <v>San Vicente, Abra de Ilog, OCCIDENTAL MINDORO</v>
      </c>
      <c r="F855" s="2" t="str">
        <f>IFERROR(__xludf.DUMMYFUNCTION("""COMPUTED_VALUE"""),"FELIX HERNANDEZ")</f>
        <v>FELIX HERNANDEZ</v>
      </c>
      <c r="G855" s="2">
        <f>IFERROR(__xludf.DUMMYFUNCTION("""COMPUTED_VALUE"""),9.189373725E9)</f>
        <v>9189373725</v>
      </c>
      <c r="H855" s="2">
        <f>IFERROR(__xludf.DUMMYFUNCTION("""COMPUTED_VALUE"""),40.0)</f>
        <v>40</v>
      </c>
      <c r="I855" s="72" t="str">
        <f>IFERROR(__xludf.DUMMYFUNCTION("""COMPUTED_VALUE"""),"PMS")</f>
        <v>PMS</v>
      </c>
      <c r="J855" s="72" t="str">
        <f>IFERROR(__xludf.DUMMYFUNCTION("""COMPUTED_VALUE"""),"PMS")</f>
        <v>PMS</v>
      </c>
      <c r="K855" s="72" t="str">
        <f>IFERROR(__xludf.DUMMYFUNCTION("""COMPUTED_VALUE"""),"DSD: 1ST PMS FREE")</f>
        <v>DSD: 1ST PMS FREE</v>
      </c>
      <c r="L855" s="72" t="str">
        <f>IFERROR(__xludf.DUMMYFUNCTION("""COMPUTED_VALUE"""),"DSD: 1ST PMS DONE")</f>
        <v>DSD: 1ST PMS DONE</v>
      </c>
      <c r="M855" s="2"/>
      <c r="N855" s="2" t="str">
        <f>IFERROR(__xludf.DUMMYFUNCTION("""COMPUTED_VALUE"""),"PARTS: OIL FILTER, ENGINE OIL")</f>
        <v>PARTS: OIL FILTER, ENGINE OIL</v>
      </c>
      <c r="O855" s="2">
        <f>IFERROR(__xludf.DUMMYFUNCTION("""COMPUTED_VALUE"""),132.0)</f>
        <v>132</v>
      </c>
      <c r="P855" s="2"/>
      <c r="Q855" s="2"/>
      <c r="R855" s="74">
        <f>IFERROR(__xludf.DUMMYFUNCTION("""COMPUTED_VALUE"""),45735.0)</f>
        <v>45735</v>
      </c>
      <c r="S855" s="2" t="str">
        <f>IFERROR(__xludf.DUMMYFUNCTION("""COMPUTED_VALUE"""),"RCG/DSD")</f>
        <v>RCG/DSD</v>
      </c>
      <c r="T855" s="73" t="str">
        <f>IFERROR(__xludf.DUMMYFUNCTION("""COMPUTED_VALUE""")," N/A ")</f>
        <v>N/A</v>
      </c>
      <c r="U855" s="73" t="str">
        <f>IFERROR(__xludf.DUMMYFUNCTION("""COMPUTED_VALUE""")," NO CHARGE ")</f>
        <v>NO CHARGE</v>
      </c>
      <c r="V855" s="2"/>
      <c r="W855" s="2" t="str">
        <f>IFERROR(__xludf.DUMMYFUNCTION("""COMPUTED_VALUE"""),"N/A")</f>
        <v>N/A</v>
      </c>
      <c r="X855" s="2" t="str">
        <f>IFERROR(__xludf.DUMMYFUNCTION("""COMPUTED_VALUE"""),"N/A")</f>
        <v>N/A</v>
      </c>
      <c r="Y855" s="2"/>
      <c r="Z855" s="2"/>
      <c r="AA855" s="2"/>
      <c r="AB855" s="2"/>
      <c r="AC855" s="2"/>
      <c r="AD855" s="2"/>
      <c r="AE855" s="2"/>
      <c r="AF855" s="2"/>
      <c r="AG855" s="2"/>
      <c r="AH855" s="2"/>
      <c r="AI855" s="2"/>
      <c r="AJ855" s="2" t="str">
        <f>IFERROR(__xludf.DUMMYFUNCTION("""COMPUTED_VALUE"""),"San Vicente")</f>
        <v>San Vicente</v>
      </c>
      <c r="AK855" s="2" t="str">
        <f>IFERROR(__xludf.DUMMYFUNCTION("""COMPUTED_VALUE"""),"Abra De Ilog")</f>
        <v>Abra De Ilog</v>
      </c>
      <c r="AL855" s="2" t="str">
        <f>IFERROR(__xludf.DUMMYFUNCTION("""COMPUTED_VALUE"""),"Occidental Mindoro")</f>
        <v>Occidental Mindoro</v>
      </c>
      <c r="AM855" s="2" t="str">
        <f>IFERROR(__xludf.DUMMYFUNCTION("""COMPUTED_VALUE"""),"4B")</f>
        <v>4B</v>
      </c>
      <c r="AN855" s="2" t="str">
        <f>IFERROR(__xludf.DUMMYFUNCTION("""COMPUTED_VALUE"""),"RCEF 24-04-15")</f>
        <v>RCEF 24-04-15</v>
      </c>
      <c r="AO855" s="2">
        <f>IFERROR(__xludf.DUMMYFUNCTION("""COMPUTED_VALUE"""),7.0)</f>
        <v>7</v>
      </c>
      <c r="AP855" s="2" t="str">
        <f>IFERROR(__xludf.DUMMYFUNCTION("""COMPUTED_VALUE"""),"FREE PMS")</f>
        <v>FREE PMS</v>
      </c>
      <c r="AQ855" s="2"/>
      <c r="AR855" s="2"/>
      <c r="AS855" s="2"/>
      <c r="AT855" s="2"/>
      <c r="AU855" s="2"/>
      <c r="AV855" s="2"/>
      <c r="AW855" s="2"/>
      <c r="AX855" s="2"/>
      <c r="AY855" s="2"/>
      <c r="AZ855" s="2"/>
      <c r="BA855" s="2"/>
      <c r="BB855" s="2"/>
    </row>
    <row r="856">
      <c r="A856" s="2">
        <f>IFERROR(__xludf.DUMMYFUNCTION("""COMPUTED_VALUE"""),852.0)</f>
        <v>852</v>
      </c>
      <c r="B856" s="2" t="str">
        <f>IFERROR(__xludf.DUMMYFUNCTION("""COMPUTED_VALUE"""),"COMPLETED")</f>
        <v>COMPLETED</v>
      </c>
      <c r="C856" s="74">
        <f>IFERROR(__xludf.DUMMYFUNCTION("""COMPUTED_VALUE"""),45735.0)</f>
        <v>45735</v>
      </c>
      <c r="D856" s="71" t="str">
        <f>IFERROR(__xludf.DUMMYFUNCTION("""COMPUTED_VALUE"""),"SAMAHANG MATAGUMPAY NA MAGSASAKA")</f>
        <v>SAMAHANG MATAGUMPAY NA MAGSASAKA</v>
      </c>
      <c r="E856" s="71" t="str">
        <f>IFERROR(__xludf.DUMMYFUNCTION("""COMPUTED_VALUE"""),"Ilvita, Sablayan, OCCIDENTAL MINDORO")</f>
        <v>Ilvita, Sablayan, OCCIDENTAL MINDORO</v>
      </c>
      <c r="F856" s="2" t="str">
        <f>IFERROR(__xludf.DUMMYFUNCTION("""COMPUTED_VALUE"""),"AQUILINO BICERA")</f>
        <v>AQUILINO BICERA</v>
      </c>
      <c r="G856" s="2">
        <f>IFERROR(__xludf.DUMMYFUNCTION("""COMPUTED_VALUE"""),9.756034418E9)</f>
        <v>9756034418</v>
      </c>
      <c r="H856" s="2">
        <f>IFERROR(__xludf.DUMMYFUNCTION("""COMPUTED_VALUE"""),35.4)</f>
        <v>35.4</v>
      </c>
      <c r="I856" s="72" t="str">
        <f>IFERROR(__xludf.DUMMYFUNCTION("""COMPUTED_VALUE"""),"PMS")</f>
        <v>PMS</v>
      </c>
      <c r="J856" s="72" t="str">
        <f>IFERROR(__xludf.DUMMYFUNCTION("""COMPUTED_VALUE"""),"PMS")</f>
        <v>PMS</v>
      </c>
      <c r="K856" s="72" t="str">
        <f>IFERROR(__xludf.DUMMYFUNCTION("""COMPUTED_VALUE"""),"DSD: 1ST PMS FREE")</f>
        <v>DSD: 1ST PMS FREE</v>
      </c>
      <c r="L856" s="72" t="str">
        <f>IFERROR(__xludf.DUMMYFUNCTION("""COMPUTED_VALUE"""),"DSD: 1ST PMS DONE")</f>
        <v>DSD: 1ST PMS DONE</v>
      </c>
      <c r="M856" s="2"/>
      <c r="N856" s="2" t="str">
        <f>IFERROR(__xludf.DUMMYFUNCTION("""COMPUTED_VALUE"""),"PARTS: OIL FILTER, ENGINE OIL")</f>
        <v>PARTS: OIL FILTER, ENGINE OIL</v>
      </c>
      <c r="O856" s="2">
        <f>IFERROR(__xludf.DUMMYFUNCTION("""COMPUTED_VALUE"""),134.0)</f>
        <v>134</v>
      </c>
      <c r="P856" s="2"/>
      <c r="Q856" s="2"/>
      <c r="R856" s="74">
        <f>IFERROR(__xludf.DUMMYFUNCTION("""COMPUTED_VALUE"""),45735.0)</f>
        <v>45735</v>
      </c>
      <c r="S856" s="2" t="str">
        <f>IFERROR(__xludf.DUMMYFUNCTION("""COMPUTED_VALUE"""),"RCG/DSD")</f>
        <v>RCG/DSD</v>
      </c>
      <c r="T856" s="73" t="str">
        <f>IFERROR(__xludf.DUMMYFUNCTION("""COMPUTED_VALUE""")," N/A ")</f>
        <v>N/A</v>
      </c>
      <c r="U856" s="73" t="str">
        <f>IFERROR(__xludf.DUMMYFUNCTION("""COMPUTED_VALUE""")," NO CHARGE ")</f>
        <v>NO CHARGE</v>
      </c>
      <c r="V856" s="2"/>
      <c r="W856" s="2" t="str">
        <f>IFERROR(__xludf.DUMMYFUNCTION("""COMPUTED_VALUE"""),"N/A")</f>
        <v>N/A</v>
      </c>
      <c r="X856" s="2" t="str">
        <f>IFERROR(__xludf.DUMMYFUNCTION("""COMPUTED_VALUE"""),"N/A")</f>
        <v>N/A</v>
      </c>
      <c r="Y856" s="2"/>
      <c r="Z856" s="2"/>
      <c r="AA856" s="2"/>
      <c r="AB856" s="2"/>
      <c r="AC856" s="2"/>
      <c r="AD856" s="2"/>
      <c r="AE856" s="2"/>
      <c r="AF856" s="2"/>
      <c r="AG856" s="2"/>
      <c r="AH856" s="2"/>
      <c r="AI856" s="2"/>
      <c r="AJ856" s="2" t="str">
        <f>IFERROR(__xludf.DUMMYFUNCTION("""COMPUTED_VALUE"""),"Ilvita")</f>
        <v>Ilvita</v>
      </c>
      <c r="AK856" s="2" t="str">
        <f>IFERROR(__xludf.DUMMYFUNCTION("""COMPUTED_VALUE"""),"Sablayan")</f>
        <v>Sablayan</v>
      </c>
      <c r="AL856" s="2" t="str">
        <f>IFERROR(__xludf.DUMMYFUNCTION("""COMPUTED_VALUE"""),"Occidental Mindoro")</f>
        <v>Occidental Mindoro</v>
      </c>
      <c r="AM856" s="2" t="str">
        <f>IFERROR(__xludf.DUMMYFUNCTION("""COMPUTED_VALUE"""),"4B")</f>
        <v>4B</v>
      </c>
      <c r="AN856" s="2" t="str">
        <f>IFERROR(__xludf.DUMMYFUNCTION("""COMPUTED_VALUE"""),"RCEF 24-04-15")</f>
        <v>RCEF 24-04-15</v>
      </c>
      <c r="AO856" s="2">
        <f>IFERROR(__xludf.DUMMYFUNCTION("""COMPUTED_VALUE"""),7.0)</f>
        <v>7</v>
      </c>
      <c r="AP856" s="2" t="str">
        <f>IFERROR(__xludf.DUMMYFUNCTION("""COMPUTED_VALUE"""),"FREE PMS")</f>
        <v>FREE PMS</v>
      </c>
      <c r="AQ856" s="2"/>
      <c r="AR856" s="2"/>
      <c r="AS856" s="2"/>
      <c r="AT856" s="2"/>
      <c r="AU856" s="2"/>
      <c r="AV856" s="2"/>
      <c r="AW856" s="2"/>
      <c r="AX856" s="2"/>
      <c r="AY856" s="2"/>
      <c r="AZ856" s="2"/>
      <c r="BA856" s="2"/>
      <c r="BB856" s="2"/>
    </row>
    <row r="857">
      <c r="A857" s="2">
        <f>IFERROR(__xludf.DUMMYFUNCTION("""COMPUTED_VALUE"""),853.0)</f>
        <v>853</v>
      </c>
      <c r="B857" s="2" t="str">
        <f>IFERROR(__xludf.DUMMYFUNCTION("""COMPUTED_VALUE"""),"COMPLETED")</f>
        <v>COMPLETED</v>
      </c>
      <c r="C857" s="74">
        <f>IFERROR(__xludf.DUMMYFUNCTION("""COMPUTED_VALUE"""),45735.0)</f>
        <v>45735</v>
      </c>
      <c r="D857" s="71" t="str">
        <f>IFERROR(__xludf.DUMMYFUNCTION("""COMPUTED_VALUE"""),"SAMAHANG GUMAGAWA TUNGONG TAGUMPAY MULTI-PURPOSE COOPERATIVE (SAGUTT)")</f>
        <v>SAMAHANG GUMAGAWA TUNGONG TAGUMPAY MULTI-PURPOSE COOPERATIVE (SAGUTT)</v>
      </c>
      <c r="E857" s="71" t="str">
        <f>IFERROR(__xludf.DUMMYFUNCTION("""COMPUTED_VALUE"""),"Paetan, Sablayan, OCCIDENTAL MINDORO")</f>
        <v>Paetan, Sablayan, OCCIDENTAL MINDORO</v>
      </c>
      <c r="F857" s="2" t="str">
        <f>IFERROR(__xludf.DUMMYFUNCTION("""COMPUTED_VALUE"""),"LIVELYN CASTILLO")</f>
        <v>LIVELYN CASTILLO</v>
      </c>
      <c r="G857" s="2">
        <f>IFERROR(__xludf.DUMMYFUNCTION("""COMPUTED_VALUE"""),9.304144915E9)</f>
        <v>9304144915</v>
      </c>
      <c r="H857" s="2">
        <f>IFERROR(__xludf.DUMMYFUNCTION("""COMPUTED_VALUE"""),34.2)</f>
        <v>34.2</v>
      </c>
      <c r="I857" s="72" t="str">
        <f>IFERROR(__xludf.DUMMYFUNCTION("""COMPUTED_VALUE"""),"PMS")</f>
        <v>PMS</v>
      </c>
      <c r="J857" s="72" t="str">
        <f>IFERROR(__xludf.DUMMYFUNCTION("""COMPUTED_VALUE"""),"PMS")</f>
        <v>PMS</v>
      </c>
      <c r="K857" s="72" t="str">
        <f>IFERROR(__xludf.DUMMYFUNCTION("""COMPUTED_VALUE"""),"DSD: 1ST PMS FREE")</f>
        <v>DSD: 1ST PMS FREE</v>
      </c>
      <c r="L857" s="72" t="str">
        <f>IFERROR(__xludf.DUMMYFUNCTION("""COMPUTED_VALUE"""),"DSD: 1ST PMS DONE")</f>
        <v>DSD: 1ST PMS DONE</v>
      </c>
      <c r="M857" s="2"/>
      <c r="N857" s="2" t="str">
        <f>IFERROR(__xludf.DUMMYFUNCTION("""COMPUTED_VALUE"""),"PARTS: OIL FILTER, ENGINE OIL")</f>
        <v>PARTS: OIL FILTER, ENGINE OIL</v>
      </c>
      <c r="O857" s="2">
        <f>IFERROR(__xludf.DUMMYFUNCTION("""COMPUTED_VALUE"""),135.0)</f>
        <v>135</v>
      </c>
      <c r="P857" s="2"/>
      <c r="Q857" s="2"/>
      <c r="R857" s="74">
        <f>IFERROR(__xludf.DUMMYFUNCTION("""COMPUTED_VALUE"""),45735.0)</f>
        <v>45735</v>
      </c>
      <c r="S857" s="2" t="str">
        <f>IFERROR(__xludf.DUMMYFUNCTION("""COMPUTED_VALUE"""),"RCG/DSD")</f>
        <v>RCG/DSD</v>
      </c>
      <c r="T857" s="73" t="str">
        <f>IFERROR(__xludf.DUMMYFUNCTION("""COMPUTED_VALUE""")," N/A ")</f>
        <v>N/A</v>
      </c>
      <c r="U857" s="73" t="str">
        <f>IFERROR(__xludf.DUMMYFUNCTION("""COMPUTED_VALUE""")," NO CHARGE ")</f>
        <v>NO CHARGE</v>
      </c>
      <c r="V857" s="2"/>
      <c r="W857" s="2" t="str">
        <f>IFERROR(__xludf.DUMMYFUNCTION("""COMPUTED_VALUE"""),"N/A")</f>
        <v>N/A</v>
      </c>
      <c r="X857" s="2" t="str">
        <f>IFERROR(__xludf.DUMMYFUNCTION("""COMPUTED_VALUE"""),"N/A")</f>
        <v>N/A</v>
      </c>
      <c r="Y857" s="2"/>
      <c r="Z857" s="2"/>
      <c r="AA857" s="2"/>
      <c r="AB857" s="2"/>
      <c r="AC857" s="2"/>
      <c r="AD857" s="2"/>
      <c r="AE857" s="2"/>
      <c r="AF857" s="2"/>
      <c r="AG857" s="2"/>
      <c r="AH857" s="2"/>
      <c r="AI857" s="2"/>
      <c r="AJ857" s="2" t="str">
        <f>IFERROR(__xludf.DUMMYFUNCTION("""COMPUTED_VALUE"""),"Paetan")</f>
        <v>Paetan</v>
      </c>
      <c r="AK857" s="2" t="str">
        <f>IFERROR(__xludf.DUMMYFUNCTION("""COMPUTED_VALUE"""),"Sablayan")</f>
        <v>Sablayan</v>
      </c>
      <c r="AL857" s="2" t="str">
        <f>IFERROR(__xludf.DUMMYFUNCTION("""COMPUTED_VALUE"""),"Occidental Mindoro")</f>
        <v>Occidental Mindoro</v>
      </c>
      <c r="AM857" s="2" t="str">
        <f>IFERROR(__xludf.DUMMYFUNCTION("""COMPUTED_VALUE"""),"4B")</f>
        <v>4B</v>
      </c>
      <c r="AN857" s="2" t="str">
        <f>IFERROR(__xludf.DUMMYFUNCTION("""COMPUTED_VALUE"""),"RCEF 24-04-15")</f>
        <v>RCEF 24-04-15</v>
      </c>
      <c r="AO857" s="2">
        <f>IFERROR(__xludf.DUMMYFUNCTION("""COMPUTED_VALUE"""),7.0)</f>
        <v>7</v>
      </c>
      <c r="AP857" s="2" t="str">
        <f>IFERROR(__xludf.DUMMYFUNCTION("""COMPUTED_VALUE"""),"FREE PMS")</f>
        <v>FREE PMS</v>
      </c>
      <c r="AQ857" s="2"/>
      <c r="AR857" s="2"/>
      <c r="AS857" s="2"/>
      <c r="AT857" s="2"/>
      <c r="AU857" s="2"/>
      <c r="AV857" s="2"/>
      <c r="AW857" s="2"/>
      <c r="AX857" s="2"/>
      <c r="AY857" s="2"/>
      <c r="AZ857" s="2"/>
      <c r="BA857" s="2"/>
      <c r="BB857" s="2"/>
    </row>
    <row r="858">
      <c r="A858" s="2">
        <f>IFERROR(__xludf.DUMMYFUNCTION("""COMPUTED_VALUE"""),854.0)</f>
        <v>854</v>
      </c>
      <c r="B858" s="2" t="str">
        <f>IFERROR(__xludf.DUMMYFUNCTION("""COMPUTED_VALUE"""),"COMPLETED")</f>
        <v>COMPLETED</v>
      </c>
      <c r="C858" s="74">
        <f>IFERROR(__xludf.DUMMYFUNCTION("""COMPUTED_VALUE"""),45735.0)</f>
        <v>45735</v>
      </c>
      <c r="D858" s="71" t="str">
        <f>IFERROR(__xludf.DUMMYFUNCTION("""COMPUTED_VALUE"""),"South Nueva Ecija Seed Growers Multipurpose Cooperative")</f>
        <v>South Nueva Ecija Seed Growers Multipurpose Cooperative</v>
      </c>
      <c r="E858" s="71" t="str">
        <f>IFERROR(__xludf.DUMMYFUNCTION("""COMPUTED_VALUE"""),"Poblacion, San Isidro, NUEVA ECIJA")</f>
        <v>Poblacion, San Isidro, NUEVA ECIJA</v>
      </c>
      <c r="F858" s="2" t="str">
        <f>IFERROR(__xludf.DUMMYFUNCTION("""COMPUTED_VALUE"""),"MARIUS PADIERNOS")</f>
        <v>MARIUS PADIERNOS</v>
      </c>
      <c r="G858" s="2" t="str">
        <f>IFERROR(__xludf.DUMMYFUNCTION("""COMPUTED_VALUE"""),"0916-4648-758")</f>
        <v>0916-4648-758</v>
      </c>
      <c r="H858" s="2"/>
      <c r="I858" s="72" t="str">
        <f>IFERROR(__xludf.DUMMYFUNCTION("""COMPUTED_VALUE"""),"REPAIR - TRACTOR")</f>
        <v>REPAIR - TRACTOR</v>
      </c>
      <c r="J858" s="72" t="str">
        <f>IFERROR(__xludf.DUMMYFUNCTION("""COMPUTED_VALUE"""),"CHECK UP/ REPAIR")</f>
        <v>CHECK UP/ REPAIR</v>
      </c>
      <c r="K858" s="72" t="str">
        <f>IFERROR(__xludf.DUMMYFUNCTION("""COMPUTED_VALUE"""),"ERP: NATATANGAL PO YUNG STEERING WHEEL
ACS: BOLT  NALANG ANG KAYLANGAN (FOR OUTSOURCE)")</f>
        <v>ERP: NATATANGAL PO YUNG STEERING WHEEL
ACS: BOLT  NALANG ANG KAYLANGAN (FOR OUTSOURCE)</v>
      </c>
      <c r="L858" s="72" t="str">
        <f>IFERROR(__xludf.DUMMYFUNCTION("""COMPUTED_VALUE"""),"JDP: DELIVERY AND INSTALLATION OF STEERING WHEEL NUT")</f>
        <v>JDP: DELIVERY AND INSTALLATION OF STEERING WHEEL NUT</v>
      </c>
      <c r="M858" s="2"/>
      <c r="N858" s="2" t="str">
        <f>IFERROR(__xludf.DUMMYFUNCTION("""COMPUTED_VALUE"""),"PARTS: STEERING WHEEL NUT (OUTSOURCE)")</f>
        <v>PARTS: STEERING WHEEL NUT (OUTSOURCE)</v>
      </c>
      <c r="O858" s="2">
        <f>IFERROR(__xludf.DUMMYFUNCTION("""COMPUTED_VALUE"""),1067.0)</f>
        <v>1067</v>
      </c>
      <c r="P858" s="2"/>
      <c r="Q858" s="2"/>
      <c r="R858" s="74">
        <f>IFERROR(__xludf.DUMMYFUNCTION("""COMPUTED_VALUE"""),45750.0)</f>
        <v>45750</v>
      </c>
      <c r="S858" s="2" t="str">
        <f>IFERROR(__xludf.DUMMYFUNCTION("""COMPUTED_VALUE"""),"JDP/DSD")</f>
        <v>JDP/DSD</v>
      </c>
      <c r="T858" s="73" t="str">
        <f>IFERROR(__xludf.DUMMYFUNCTION("""COMPUTED_VALUE""")," N/A ")</f>
        <v>N/A</v>
      </c>
      <c r="U858" s="73" t="str">
        <f>IFERROR(__xludf.DUMMYFUNCTION("""COMPUTED_VALUE""")," NO CHARGE ")</f>
        <v>NO CHARGE</v>
      </c>
      <c r="V858" s="2"/>
      <c r="W858" s="2" t="str">
        <f>IFERROR(__xludf.DUMMYFUNCTION("""COMPUTED_VALUE"""),"N/A")</f>
        <v>N/A</v>
      </c>
      <c r="X858" s="2" t="str">
        <f>IFERROR(__xludf.DUMMYFUNCTION("""COMPUTED_VALUE"""),"N/A")</f>
        <v>N/A</v>
      </c>
      <c r="Y858" s="2"/>
      <c r="Z858" s="2"/>
      <c r="AA858" s="2"/>
      <c r="AB858" s="2"/>
      <c r="AC858" s="2"/>
      <c r="AD858" s="2"/>
      <c r="AE858" s="2"/>
      <c r="AF858" s="2"/>
      <c r="AG858" s="2"/>
      <c r="AH858" s="2"/>
      <c r="AI858" s="2"/>
      <c r="AJ858" s="2" t="str">
        <f>IFERROR(__xludf.DUMMYFUNCTION("""COMPUTED_VALUE"""),"Poblacion")</f>
        <v>Poblacion</v>
      </c>
      <c r="AK858" s="2" t="str">
        <f>IFERROR(__xludf.DUMMYFUNCTION("""COMPUTED_VALUE"""),"San Isidro")</f>
        <v>San Isidro</v>
      </c>
      <c r="AL858" s="2" t="str">
        <f>IFERROR(__xludf.DUMMYFUNCTION("""COMPUTED_VALUE"""),"Nueva Ecija")</f>
        <v>Nueva Ecija</v>
      </c>
      <c r="AM858" s="2">
        <f>IFERROR(__xludf.DUMMYFUNCTION("""COMPUTED_VALUE"""),3.0)</f>
        <v>3</v>
      </c>
      <c r="AN858" s="2" t="str">
        <f>IFERROR(__xludf.DUMMYFUNCTION("""COMPUTED_VALUE"""),"RCEF 23-09-21 Rebidding")</f>
        <v>RCEF 23-09-21 Rebidding</v>
      </c>
      <c r="AO858" s="2">
        <f>IFERROR(__xludf.DUMMYFUNCTION("""COMPUTED_VALUE"""),3.0)</f>
        <v>3</v>
      </c>
      <c r="AP858" s="2"/>
      <c r="AQ858" s="2"/>
      <c r="AR858" s="2"/>
      <c r="AS858" s="2"/>
      <c r="AT858" s="2"/>
      <c r="AU858" s="2"/>
      <c r="AV858" s="2"/>
      <c r="AW858" s="2"/>
      <c r="AX858" s="2"/>
      <c r="AY858" s="2"/>
      <c r="AZ858" s="2"/>
      <c r="BA858" s="2"/>
      <c r="BB858" s="2"/>
    </row>
    <row r="859">
      <c r="A859" s="2">
        <f>IFERROR(__xludf.DUMMYFUNCTION("""COMPUTED_VALUE"""),855.0)</f>
        <v>855</v>
      </c>
      <c r="B859" s="2" t="str">
        <f>IFERROR(__xludf.DUMMYFUNCTION("""COMPUTED_VALUE"""),"COMPLETED")</f>
        <v>COMPLETED</v>
      </c>
      <c r="C859" s="74">
        <f>IFERROR(__xludf.DUMMYFUNCTION("""COMPUTED_VALUE"""),45735.0)</f>
        <v>45735</v>
      </c>
      <c r="D859" s="71" t="str">
        <f>IFERROR(__xludf.DUMMYFUNCTION("""COMPUTED_VALUE"""),"Samahang Magsasaka ng Imbunia Agriculture Cooperative (SM IMBUNIA AGRI. COOP)")</f>
        <v>Samahang Magsasaka ng Imbunia Agriculture Cooperative (SM IMBUNIA AGRI. COOP)</v>
      </c>
      <c r="E859" s="71" t="str">
        <f>IFERROR(__xludf.DUMMYFUNCTION("""COMPUTED_VALUE"""),"Imbunia, Jaen, Nueva Ecija")</f>
        <v>Imbunia, Jaen, Nueva Ecija</v>
      </c>
      <c r="F859" s="2" t="str">
        <f>IFERROR(__xludf.DUMMYFUNCTION("""COMPUTED_VALUE"""),"Samahang Magsasaka ng Imbunia Agriculture Cooperative (SM IMBUNIA AGRI. COOP)")</f>
        <v>Samahang Magsasaka ng Imbunia Agriculture Cooperative (SM IMBUNIA AGRI. COOP)</v>
      </c>
      <c r="G859" s="2" t="str">
        <f>IFERROR(__xludf.DUMMYFUNCTION("""COMPUTED_VALUE"""),"0917-885-3992")</f>
        <v>0917-885-3992</v>
      </c>
      <c r="H859" s="2"/>
      <c r="I859" s="72" t="str">
        <f>IFERROR(__xludf.DUMMYFUNCTION("""COMPUTED_VALUE"""),"TRAINING REQUEST")</f>
        <v>TRAINING REQUEST</v>
      </c>
      <c r="J859" s="72" t="str">
        <f>IFERROR(__xludf.DUMMYFUNCTION("""COMPUTED_VALUE"""),"TRAINING REQUEST")</f>
        <v>TRAINING REQUEST</v>
      </c>
      <c r="K859" s="72" t="str">
        <f>IFERROR(__xludf.DUMMYFUNCTION("""COMPUTED_VALUE"""),"MYK: TRAINING REQUEST PANO I OPERATE YUNG TYM TRACTOR NATIN AT MGA IMPLEMENTS, CALL DAY BEFORE PUMUNTA")</f>
        <v>MYK: TRAINING REQUEST PANO I OPERATE YUNG TYM TRACTOR NATIN AT MGA IMPLEMENTS, CALL DAY BEFORE PUMUNTA</v>
      </c>
      <c r="L859" s="72" t="str">
        <f>IFERROR(__xludf.DUMMYFUNCTION("""COMPUTED_VALUE"""),"TRAINING OF HOW TO OPERATE THE TYM TRACTOR AND IMPLEMENTS DONE")</f>
        <v>TRAINING OF HOW TO OPERATE THE TYM TRACTOR AND IMPLEMENTS DONE</v>
      </c>
      <c r="M859" s="2"/>
      <c r="N859" s="2"/>
      <c r="O859" s="2" t="str">
        <f>IFERROR(__xludf.DUMMYFUNCTION("""COMPUTED_VALUE"""),"NEED SERVICE REPORT")</f>
        <v>NEED SERVICE REPORT</v>
      </c>
      <c r="P859" s="2"/>
      <c r="Q859" s="2"/>
      <c r="R859" s="74">
        <f>IFERROR(__xludf.DUMMYFUNCTION("""COMPUTED_VALUE"""),45803.0)</f>
        <v>45803</v>
      </c>
      <c r="S859" s="2" t="str">
        <f>IFERROR(__xludf.DUMMYFUNCTION("""COMPUTED_VALUE"""),"MYKEE")</f>
        <v>MYKEE</v>
      </c>
      <c r="T859" s="73" t="str">
        <f>IFERROR(__xludf.DUMMYFUNCTION("""COMPUTED_VALUE""")," N/A ")</f>
        <v>N/A</v>
      </c>
      <c r="U859" s="73" t="str">
        <f>IFERROR(__xludf.DUMMYFUNCTION("""COMPUTED_VALUE""")," NO CHARGE ")</f>
        <v>NO CHARGE</v>
      </c>
      <c r="V859" s="2"/>
      <c r="W859" s="2" t="str">
        <f>IFERROR(__xludf.DUMMYFUNCTION("""COMPUTED_VALUE"""),"N/A")</f>
        <v>N/A</v>
      </c>
      <c r="X859" s="2" t="str">
        <f>IFERROR(__xludf.DUMMYFUNCTION("""COMPUTED_VALUE"""),"N/A")</f>
        <v>N/A</v>
      </c>
      <c r="Y859" s="2"/>
      <c r="Z859" s="2"/>
      <c r="AA859" s="2"/>
      <c r="AB859" s="2"/>
      <c r="AC859" s="2"/>
      <c r="AD859" s="2"/>
      <c r="AE859" s="2"/>
      <c r="AF859" s="2"/>
      <c r="AG859" s="2"/>
      <c r="AH859" s="2"/>
      <c r="AI859" s="2"/>
      <c r="AJ859" s="2" t="str">
        <f>IFERROR(__xludf.DUMMYFUNCTION("""COMPUTED_VALUE"""),"Imbunia")</f>
        <v>Imbunia</v>
      </c>
      <c r="AK859" s="2" t="str">
        <f>IFERROR(__xludf.DUMMYFUNCTION("""COMPUTED_VALUE"""),"Jaen")</f>
        <v>Jaen</v>
      </c>
      <c r="AL859" s="2" t="str">
        <f>IFERROR(__xludf.DUMMYFUNCTION("""COMPUTED_VALUE"""),"Nueva Ecija")</f>
        <v>Nueva Ecija</v>
      </c>
      <c r="AM859" s="2">
        <f>IFERROR(__xludf.DUMMYFUNCTION("""COMPUTED_VALUE"""),3.0)</f>
        <v>3</v>
      </c>
      <c r="AN859" s="2" t="str">
        <f>IFERROR(__xludf.DUMMYFUNCTION("""COMPUTED_VALUE"""),"RCEF 24-04-15")</f>
        <v>RCEF 24-04-15</v>
      </c>
      <c r="AO859" s="2">
        <f>IFERROR(__xludf.DUMMYFUNCTION("""COMPUTED_VALUE"""),6.0)</f>
        <v>6</v>
      </c>
      <c r="AP859" s="2" t="str">
        <f>IFERROR(__xludf.DUMMYFUNCTION("""COMPUTED_VALUE"""),"FREE PMS")</f>
        <v>FREE PMS</v>
      </c>
      <c r="AQ859" s="2"/>
      <c r="AR859" s="2"/>
      <c r="AS859" s="2"/>
      <c r="AT859" s="2"/>
      <c r="AU859" s="2"/>
      <c r="AV859" s="2"/>
      <c r="AW859" s="2"/>
      <c r="AX859" s="2"/>
      <c r="AY859" s="2"/>
      <c r="AZ859" s="2"/>
      <c r="BA859" s="2"/>
      <c r="BB859" s="2"/>
    </row>
    <row r="860">
      <c r="A860" s="2">
        <f>IFERROR(__xludf.DUMMYFUNCTION("""COMPUTED_VALUE"""),856.0)</f>
        <v>856</v>
      </c>
      <c r="B860" s="2" t="str">
        <f>IFERROR(__xludf.DUMMYFUNCTION("""COMPUTED_VALUE"""),"COMPLETED")</f>
        <v>COMPLETED</v>
      </c>
      <c r="C860" s="74">
        <f>IFERROR(__xludf.DUMMYFUNCTION("""COMPUTED_VALUE"""),45736.0)</f>
        <v>45736</v>
      </c>
      <c r="D860" s="71" t="str">
        <f>IFERROR(__xludf.DUMMYFUNCTION("""COMPUTED_VALUE"""),"PINAGBUKLOD FARMERS' ASSOCIATION")</f>
        <v>PINAGBUKLOD FARMERS' ASSOCIATION</v>
      </c>
      <c r="E860" s="71" t="str">
        <f>IFERROR(__xludf.DUMMYFUNCTION("""COMPUTED_VALUE"""),"San Nicolas, Sablayan, OCCIDENTAL MINDORO")</f>
        <v>San Nicolas, Sablayan, OCCIDENTAL MINDORO</v>
      </c>
      <c r="F860" s="2" t="str">
        <f>IFERROR(__xludf.DUMMYFUNCTION("""COMPUTED_VALUE"""),"SIXTO DELA FUENTE")</f>
        <v>SIXTO DELA FUENTE</v>
      </c>
      <c r="G860" s="2">
        <f>IFERROR(__xludf.DUMMYFUNCTION("""COMPUTED_VALUE"""),9.350297782E9)</f>
        <v>9350297782</v>
      </c>
      <c r="H860" s="2">
        <f>IFERROR(__xludf.DUMMYFUNCTION("""COMPUTED_VALUE"""),24.0)</f>
        <v>24</v>
      </c>
      <c r="I860" s="72" t="str">
        <f>IFERROR(__xludf.DUMMYFUNCTION("""COMPUTED_VALUE"""),"PMS")</f>
        <v>PMS</v>
      </c>
      <c r="J860" s="72" t="str">
        <f>IFERROR(__xludf.DUMMYFUNCTION("""COMPUTED_VALUE"""),"PMS")</f>
        <v>PMS</v>
      </c>
      <c r="K860" s="72" t="str">
        <f>IFERROR(__xludf.DUMMYFUNCTION("""COMPUTED_VALUE"""),"DSD: 1ST PMS FREE")</f>
        <v>DSD: 1ST PMS FREE</v>
      </c>
      <c r="L860" s="72" t="str">
        <f>IFERROR(__xludf.DUMMYFUNCTION("""COMPUTED_VALUE"""),"DSD: 1ST PMS DONE")</f>
        <v>DSD: 1ST PMS DONE</v>
      </c>
      <c r="M860" s="2"/>
      <c r="N860" s="2" t="str">
        <f>IFERROR(__xludf.DUMMYFUNCTION("""COMPUTED_VALUE"""),"PARTS: OIL FILTER, ENGINE OIL")</f>
        <v>PARTS: OIL FILTER, ENGINE OIL</v>
      </c>
      <c r="O860" s="2">
        <f>IFERROR(__xludf.DUMMYFUNCTION("""COMPUTED_VALUE"""),136.0)</f>
        <v>136</v>
      </c>
      <c r="P860" s="2"/>
      <c r="Q860" s="2"/>
      <c r="R860" s="74">
        <f>IFERROR(__xludf.DUMMYFUNCTION("""COMPUTED_VALUE"""),45736.0)</f>
        <v>45736</v>
      </c>
      <c r="S860" s="2" t="str">
        <f>IFERROR(__xludf.DUMMYFUNCTION("""COMPUTED_VALUE"""),"RCG/DSD")</f>
        <v>RCG/DSD</v>
      </c>
      <c r="T860" s="73" t="str">
        <f>IFERROR(__xludf.DUMMYFUNCTION("""COMPUTED_VALUE""")," N/A ")</f>
        <v>N/A</v>
      </c>
      <c r="U860" s="73" t="str">
        <f>IFERROR(__xludf.DUMMYFUNCTION("""COMPUTED_VALUE""")," NO CHARGE ")</f>
        <v>NO CHARGE</v>
      </c>
      <c r="V860" s="2"/>
      <c r="W860" s="2" t="str">
        <f>IFERROR(__xludf.DUMMYFUNCTION("""COMPUTED_VALUE"""),"N/A")</f>
        <v>N/A</v>
      </c>
      <c r="X860" s="2" t="str">
        <f>IFERROR(__xludf.DUMMYFUNCTION("""COMPUTED_VALUE"""),"N/A")</f>
        <v>N/A</v>
      </c>
      <c r="Y860" s="2"/>
      <c r="Z860" s="2"/>
      <c r="AA860" s="2"/>
      <c r="AB860" s="2"/>
      <c r="AC860" s="2"/>
      <c r="AD860" s="2"/>
      <c r="AE860" s="2"/>
      <c r="AF860" s="2"/>
      <c r="AG860" s="2"/>
      <c r="AH860" s="2"/>
      <c r="AI860" s="2"/>
      <c r="AJ860" s="2" t="str">
        <f>IFERROR(__xludf.DUMMYFUNCTION("""COMPUTED_VALUE"""),"San Nicolas")</f>
        <v>San Nicolas</v>
      </c>
      <c r="AK860" s="2" t="str">
        <f>IFERROR(__xludf.DUMMYFUNCTION("""COMPUTED_VALUE"""),"Sablayan")</f>
        <v>Sablayan</v>
      </c>
      <c r="AL860" s="2" t="str">
        <f>IFERROR(__xludf.DUMMYFUNCTION("""COMPUTED_VALUE"""),"Occidental Mindoro")</f>
        <v>Occidental Mindoro</v>
      </c>
      <c r="AM860" s="2" t="str">
        <f>IFERROR(__xludf.DUMMYFUNCTION("""COMPUTED_VALUE"""),"4B")</f>
        <v>4B</v>
      </c>
      <c r="AN860" s="2" t="str">
        <f>IFERROR(__xludf.DUMMYFUNCTION("""COMPUTED_VALUE"""),"RCEF 24-04-15")</f>
        <v>RCEF 24-04-15</v>
      </c>
      <c r="AO860" s="2">
        <f>IFERROR(__xludf.DUMMYFUNCTION("""COMPUTED_VALUE"""),7.0)</f>
        <v>7</v>
      </c>
      <c r="AP860" s="2" t="str">
        <f>IFERROR(__xludf.DUMMYFUNCTION("""COMPUTED_VALUE"""),"FREE PMS")</f>
        <v>FREE PMS</v>
      </c>
      <c r="AQ860" s="2"/>
      <c r="AR860" s="2"/>
      <c r="AS860" s="2"/>
      <c r="AT860" s="2"/>
      <c r="AU860" s="2"/>
      <c r="AV860" s="2"/>
      <c r="AW860" s="2"/>
      <c r="AX860" s="2"/>
      <c r="AY860" s="2"/>
      <c r="AZ860" s="2"/>
      <c r="BA860" s="2"/>
      <c r="BB860" s="2"/>
    </row>
    <row r="861">
      <c r="A861" s="2">
        <f>IFERROR(__xludf.DUMMYFUNCTION("""COMPUTED_VALUE"""),857.0)</f>
        <v>857</v>
      </c>
      <c r="B861" s="2" t="str">
        <f>IFERROR(__xludf.DUMMYFUNCTION("""COMPUTED_VALUE"""),"COMPLETED")</f>
        <v>COMPLETED</v>
      </c>
      <c r="C861" s="74">
        <f>IFERROR(__xludf.DUMMYFUNCTION("""COMPUTED_VALUE"""),45736.0)</f>
        <v>45736</v>
      </c>
      <c r="D861" s="71" t="str">
        <f>IFERROR(__xludf.DUMMYFUNCTION("""COMPUTED_VALUE"""),"Calintaan Seed Growers Cooperative (CASEEDCO)")</f>
        <v>Calintaan Seed Growers Cooperative (CASEEDCO)</v>
      </c>
      <c r="E861" s="71" t="str">
        <f>IFERROR(__xludf.DUMMYFUNCTION("""COMPUTED_VALUE"""),"New Dagupan, Calintaan, OCCIDENTAL MINDORO")</f>
        <v>New Dagupan, Calintaan, OCCIDENTAL MINDORO</v>
      </c>
      <c r="F861" s="2" t="str">
        <f>IFERROR(__xludf.DUMMYFUNCTION("""COMPUTED_VALUE"""),"ESTELITA JARAVATA")</f>
        <v>ESTELITA JARAVATA</v>
      </c>
      <c r="G861" s="2">
        <f>IFERROR(__xludf.DUMMYFUNCTION("""COMPUTED_VALUE"""),9.069379929E9)</f>
        <v>9069379929</v>
      </c>
      <c r="H861" s="2">
        <f>IFERROR(__xludf.DUMMYFUNCTION("""COMPUTED_VALUE"""),51.0)</f>
        <v>51</v>
      </c>
      <c r="I861" s="72" t="str">
        <f>IFERROR(__xludf.DUMMYFUNCTION("""COMPUTED_VALUE"""),"PMS")</f>
        <v>PMS</v>
      </c>
      <c r="J861" s="72" t="str">
        <f>IFERROR(__xludf.DUMMYFUNCTION("""COMPUTED_VALUE"""),"PMS")</f>
        <v>PMS</v>
      </c>
      <c r="K861" s="72" t="str">
        <f>IFERROR(__xludf.DUMMYFUNCTION("""COMPUTED_VALUE"""),"DSD: 1ST PMS FREE")</f>
        <v>DSD: 1ST PMS FREE</v>
      </c>
      <c r="L861" s="72" t="str">
        <f>IFERROR(__xludf.DUMMYFUNCTION("""COMPUTED_VALUE"""),"DSD: 1ST PMS DONE")</f>
        <v>DSD: 1ST PMS DONE</v>
      </c>
      <c r="M861" s="2"/>
      <c r="N861" s="2" t="str">
        <f>IFERROR(__xludf.DUMMYFUNCTION("""COMPUTED_VALUE"""),"PARTS: OIL FILTER, ENGINE OIL")</f>
        <v>PARTS: OIL FILTER, ENGINE OIL</v>
      </c>
      <c r="O861" s="2">
        <f>IFERROR(__xludf.DUMMYFUNCTION("""COMPUTED_VALUE"""),137.0)</f>
        <v>137</v>
      </c>
      <c r="P861" s="2"/>
      <c r="Q861" s="2"/>
      <c r="R861" s="74">
        <f>IFERROR(__xludf.DUMMYFUNCTION("""COMPUTED_VALUE"""),45736.0)</f>
        <v>45736</v>
      </c>
      <c r="S861" s="2" t="str">
        <f>IFERROR(__xludf.DUMMYFUNCTION("""COMPUTED_VALUE"""),"RCG/DSD")</f>
        <v>RCG/DSD</v>
      </c>
      <c r="T861" s="73" t="str">
        <f>IFERROR(__xludf.DUMMYFUNCTION("""COMPUTED_VALUE""")," N/A ")</f>
        <v>N/A</v>
      </c>
      <c r="U861" s="73" t="str">
        <f>IFERROR(__xludf.DUMMYFUNCTION("""COMPUTED_VALUE""")," NO CHARGE ")</f>
        <v>NO CHARGE</v>
      </c>
      <c r="V861" s="2"/>
      <c r="W861" s="2" t="str">
        <f>IFERROR(__xludf.DUMMYFUNCTION("""COMPUTED_VALUE"""),"N/A")</f>
        <v>N/A</v>
      </c>
      <c r="X861" s="2" t="str">
        <f>IFERROR(__xludf.DUMMYFUNCTION("""COMPUTED_VALUE"""),"N/A")</f>
        <v>N/A</v>
      </c>
      <c r="Y861" s="2"/>
      <c r="Z861" s="2"/>
      <c r="AA861" s="2"/>
      <c r="AB861" s="2"/>
      <c r="AC861" s="2"/>
      <c r="AD861" s="2"/>
      <c r="AE861" s="2"/>
      <c r="AF861" s="2"/>
      <c r="AG861" s="2"/>
      <c r="AH861" s="2"/>
      <c r="AI861" s="2"/>
      <c r="AJ861" s="2" t="str">
        <f>IFERROR(__xludf.DUMMYFUNCTION("""COMPUTED_VALUE"""),"New Dagupan")</f>
        <v>New Dagupan</v>
      </c>
      <c r="AK861" s="2" t="str">
        <f>IFERROR(__xludf.DUMMYFUNCTION("""COMPUTED_VALUE"""),"Calintaan")</f>
        <v>Calintaan</v>
      </c>
      <c r="AL861" s="2" t="str">
        <f>IFERROR(__xludf.DUMMYFUNCTION("""COMPUTED_VALUE"""),"Occidental Mindoro")</f>
        <v>Occidental Mindoro</v>
      </c>
      <c r="AM861" s="2" t="str">
        <f>IFERROR(__xludf.DUMMYFUNCTION("""COMPUTED_VALUE"""),"4B")</f>
        <v>4B</v>
      </c>
      <c r="AN861" s="2" t="str">
        <f>IFERROR(__xludf.DUMMYFUNCTION("""COMPUTED_VALUE"""),"RCEF 24-04-15")</f>
        <v>RCEF 24-04-15</v>
      </c>
      <c r="AO861" s="2">
        <f>IFERROR(__xludf.DUMMYFUNCTION("""COMPUTED_VALUE"""),7.0)</f>
        <v>7</v>
      </c>
      <c r="AP861" s="2" t="str">
        <f>IFERROR(__xludf.DUMMYFUNCTION("""COMPUTED_VALUE"""),"FREE PMS")</f>
        <v>FREE PMS</v>
      </c>
      <c r="AQ861" s="2"/>
      <c r="AR861" s="2"/>
      <c r="AS861" s="2"/>
      <c r="AT861" s="2"/>
      <c r="AU861" s="2"/>
      <c r="AV861" s="2"/>
      <c r="AW861" s="2"/>
      <c r="AX861" s="2"/>
      <c r="AY861" s="2"/>
      <c r="AZ861" s="2"/>
      <c r="BA861" s="2"/>
      <c r="BB861" s="2"/>
    </row>
    <row r="862">
      <c r="A862" s="2">
        <f>IFERROR(__xludf.DUMMYFUNCTION("""COMPUTED_VALUE"""),858.0)</f>
        <v>858</v>
      </c>
      <c r="B862" s="2" t="str">
        <f>IFERROR(__xludf.DUMMYFUNCTION("""COMPUTED_VALUE"""),"COMPLETED")</f>
        <v>COMPLETED</v>
      </c>
      <c r="C862" s="74">
        <f>IFERROR(__xludf.DUMMYFUNCTION("""COMPUTED_VALUE"""),45736.0)</f>
        <v>45736</v>
      </c>
      <c r="D862" s="71" t="str">
        <f>IFERROR(__xludf.DUMMYFUNCTION("""COMPUTED_VALUE"""),"Lupao Pag-ahon Agriculture Cooperative (LPAC)")</f>
        <v>Lupao Pag-ahon Agriculture Cooperative (LPAC)</v>
      </c>
      <c r="E862" s="71" t="str">
        <f>IFERROR(__xludf.DUMMYFUNCTION("""COMPUTED_VALUE"""),"San Antonio Este, Lupao, NUEVA ECIJA")</f>
        <v>San Antonio Este, Lupao, NUEVA ECIJA</v>
      </c>
      <c r="F862" s="2" t="str">
        <f>IFERROR(__xludf.DUMMYFUNCTION("""COMPUTED_VALUE"""),"Henry V. RAMOS")</f>
        <v>Henry V. RAMOS</v>
      </c>
      <c r="G862" s="2">
        <f>IFERROR(__xludf.DUMMYFUNCTION("""COMPUTED_VALUE"""),9.95264947E9)</f>
        <v>9952649470</v>
      </c>
      <c r="H862" s="2">
        <f>IFERROR(__xludf.DUMMYFUNCTION("""COMPUTED_VALUE"""),209.0)</f>
        <v>209</v>
      </c>
      <c r="I862" s="72" t="str">
        <f>IFERROR(__xludf.DUMMYFUNCTION("""COMPUTED_VALUE"""),"REPAIR - ROTAVATOR")</f>
        <v>REPAIR - ROTAVATOR</v>
      </c>
      <c r="J862" s="72" t="str">
        <f>IFERROR(__xludf.DUMMYFUNCTION("""COMPUTED_VALUE"""),"Leak")</f>
        <v>Leak</v>
      </c>
      <c r="K862" s="72" t="str">
        <f>IFERROR(__xludf.DUMMYFUNCTION("""COMPUTED_VALUE"""),"MYK: Rotay disc plow, nasira ulit ang pinahigpitan last service at ngayon nag leak na ang oilseal
PARTS: OILSEAL 45*85*12T")</f>
        <v>MYK: Rotay disc plow, nasira ulit ang pinahigpitan last service at ngayon nag leak na ang oilseal
PARTS: OILSEAL 45*85*12T</v>
      </c>
      <c r="L862" s="72" t="str">
        <f>IFERROR(__xludf.DUMMYFUNCTION("""COMPUTED_VALUE"""),"ACS: REPLACED OIL SEAL 45-85-12T")</f>
        <v>ACS: REPLACED OIL SEAL 45-85-12T</v>
      </c>
      <c r="M862" s="2"/>
      <c r="N862" s="2" t="str">
        <f>IFERROR(__xludf.DUMMYFUNCTION("""COMPUTED_VALUE"""),"PARTS: OIL SEAL 45-85-12T")</f>
        <v>PARTS: OIL SEAL 45-85-12T</v>
      </c>
      <c r="O862" s="2">
        <f>IFERROR(__xludf.DUMMYFUNCTION("""COMPUTED_VALUE"""),1236.0)</f>
        <v>1236</v>
      </c>
      <c r="P862" s="2"/>
      <c r="Q862" s="2"/>
      <c r="R862" s="74">
        <f>IFERROR(__xludf.DUMMYFUNCTION("""COMPUTED_VALUE"""),45768.0)</f>
        <v>45768</v>
      </c>
      <c r="S862" s="2" t="str">
        <f>IFERROR(__xludf.DUMMYFUNCTION("""COMPUTED_VALUE"""),"ACS/JHP")</f>
        <v>ACS/JHP</v>
      </c>
      <c r="T862" s="73">
        <f>IFERROR(__xludf.DUMMYFUNCTION("""COMPUTED_VALUE"""),900.0)</f>
        <v>900</v>
      </c>
      <c r="U862" s="73" t="str">
        <f>IFERROR(__xludf.DUMMYFUNCTION("""COMPUTED_VALUE""")," REMITTED ")</f>
        <v>REMITTED</v>
      </c>
      <c r="V862" s="2"/>
      <c r="W862" s="2">
        <f>IFERROR(__xludf.DUMMYFUNCTION("""COMPUTED_VALUE"""),1476.0)</f>
        <v>1476</v>
      </c>
      <c r="X862" s="2">
        <f>IFERROR(__xludf.DUMMYFUNCTION("""COMPUTED_VALUE"""),1390.0)</f>
        <v>1390</v>
      </c>
      <c r="Y862" s="2"/>
      <c r="Z862" s="2"/>
      <c r="AA862" s="2"/>
      <c r="AB862" s="2"/>
      <c r="AC862" s="2"/>
      <c r="AD862" s="2"/>
      <c r="AE862" s="2"/>
      <c r="AF862" s="2"/>
      <c r="AG862" s="2"/>
      <c r="AH862" s="2"/>
      <c r="AI862" s="2"/>
      <c r="AJ862" s="2" t="str">
        <f>IFERROR(__xludf.DUMMYFUNCTION("""COMPUTED_VALUE"""),"San Antonio Este")</f>
        <v>San Antonio Este</v>
      </c>
      <c r="AK862" s="2" t="str">
        <f>IFERROR(__xludf.DUMMYFUNCTION("""COMPUTED_VALUE"""),"Lupao")</f>
        <v>Lupao</v>
      </c>
      <c r="AL862" s="2" t="str">
        <f>IFERROR(__xludf.DUMMYFUNCTION("""COMPUTED_VALUE"""),"Nueva Ecija")</f>
        <v>Nueva Ecija</v>
      </c>
      <c r="AM862" s="2">
        <f>IFERROR(__xludf.DUMMYFUNCTION("""COMPUTED_VALUE"""),3.0)</f>
        <v>3</v>
      </c>
      <c r="AN862" s="2" t="str">
        <f>IFERROR(__xludf.DUMMYFUNCTION("""COMPUTED_VALUE"""),"RCEF 24-04-15")</f>
        <v>RCEF 24-04-15</v>
      </c>
      <c r="AO862" s="2">
        <f>IFERROR(__xludf.DUMMYFUNCTION("""COMPUTED_VALUE"""),6.0)</f>
        <v>6</v>
      </c>
      <c r="AP862" s="2" t="str">
        <f>IFERROR(__xludf.DUMMYFUNCTION("""COMPUTED_VALUE"""),"FREE PMS")</f>
        <v>FREE PMS</v>
      </c>
      <c r="AQ862" s="2"/>
      <c r="AR862" s="2"/>
      <c r="AS862" s="2"/>
      <c r="AT862" s="2"/>
      <c r="AU862" s="2"/>
      <c r="AV862" s="2"/>
      <c r="AW862" s="2"/>
      <c r="AX862" s="2"/>
      <c r="AY862" s="2"/>
      <c r="AZ862" s="2"/>
      <c r="BA862" s="2"/>
      <c r="BB862" s="2"/>
    </row>
    <row r="863">
      <c r="A863" s="2">
        <f>IFERROR(__xludf.DUMMYFUNCTION("""COMPUTED_VALUE"""),859.0)</f>
        <v>859</v>
      </c>
      <c r="B863" s="2" t="str">
        <f>IFERROR(__xludf.DUMMYFUNCTION("""COMPUTED_VALUE"""),"COMPLETED")</f>
        <v>COMPLETED</v>
      </c>
      <c r="C863" s="74">
        <f>IFERROR(__xludf.DUMMYFUNCTION("""COMPUTED_VALUE"""),45736.0)</f>
        <v>45736</v>
      </c>
      <c r="D863" s="71" t="str">
        <f>IFERROR(__xludf.DUMMYFUNCTION("""COMPUTED_VALUE"""),"NAEVAM IRRIGATORS ASSOCIATION, INC.")</f>
        <v>NAEVAM IRRIGATORS ASSOCIATION, INC.</v>
      </c>
      <c r="E863" s="71" t="str">
        <f>IFERROR(__xludf.DUMMYFUNCTION("""COMPUTED_VALUE"""),"Nangapugan, San Quintin, PANGASINAN")</f>
        <v>Nangapugan, San Quintin, PANGASINAN</v>
      </c>
      <c r="F863" s="2" t="str">
        <f>IFERROR(__xludf.DUMMYFUNCTION("""COMPUTED_VALUE""")," Armando Paluyo")</f>
        <v> Armando Paluyo</v>
      </c>
      <c r="G863" s="2">
        <f>IFERROR(__xludf.DUMMYFUNCTION("""COMPUTED_VALUE"""),9.56941551E9)</f>
        <v>9569415510</v>
      </c>
      <c r="H863" s="2">
        <f>IFERROR(__xludf.DUMMYFUNCTION("""COMPUTED_VALUE"""),48.0)</f>
        <v>48</v>
      </c>
      <c r="I863" s="72" t="str">
        <f>IFERROR(__xludf.DUMMYFUNCTION("""COMPUTED_VALUE"""),"PMS")</f>
        <v>PMS</v>
      </c>
      <c r="J863" s="72" t="str">
        <f>IFERROR(__xludf.DUMMYFUNCTION("""COMPUTED_VALUE"""),"PMS")</f>
        <v>PMS</v>
      </c>
      <c r="K863" s="72" t="str">
        <f>IFERROR(__xludf.DUMMYFUNCTION("""COMPUTED_VALUE"""),"DRM: 1ST PMS (FREE)")</f>
        <v>DRM: 1ST PMS (FREE)</v>
      </c>
      <c r="L863" s="72" t="str">
        <f>IFERROR(__xludf.DUMMYFUNCTION("""COMPUTED_VALUE"""),"DRM: 1ST PMS DONE")</f>
        <v>DRM: 1ST PMS DONE</v>
      </c>
      <c r="M863" s="2"/>
      <c r="N863" s="2" t="str">
        <f>IFERROR(__xludf.DUMMYFUNCTION("""COMPUTED_VALUE"""),"PARTS: OIL FILTER, ENGINE OIL")</f>
        <v>PARTS: OIL FILTER, ENGINE OIL</v>
      </c>
      <c r="O863" s="2">
        <f>IFERROR(__xludf.DUMMYFUNCTION("""COMPUTED_VALUE"""),1112.0)</f>
        <v>1112</v>
      </c>
      <c r="P863" s="2"/>
      <c r="Q863" s="2"/>
      <c r="R863" s="74">
        <f>IFERROR(__xludf.DUMMYFUNCTION("""COMPUTED_VALUE"""),45744.0)</f>
        <v>45744</v>
      </c>
      <c r="S863" s="2" t="str">
        <f>IFERROR(__xludf.DUMMYFUNCTION("""COMPUTED_VALUE"""),"EGT/DRM")</f>
        <v>EGT/DRM</v>
      </c>
      <c r="T863" s="73" t="str">
        <f>IFERROR(__xludf.DUMMYFUNCTION("""COMPUTED_VALUE""")," N/A ")</f>
        <v>N/A</v>
      </c>
      <c r="U863" s="73" t="str">
        <f>IFERROR(__xludf.DUMMYFUNCTION("""COMPUTED_VALUE""")," NO CHARGE ")</f>
        <v>NO CHARGE</v>
      </c>
      <c r="V863" s="2"/>
      <c r="W863" s="2" t="str">
        <f>IFERROR(__xludf.DUMMYFUNCTION("""COMPUTED_VALUE"""),"N/A")</f>
        <v>N/A</v>
      </c>
      <c r="X863" s="2" t="str">
        <f>IFERROR(__xludf.DUMMYFUNCTION("""COMPUTED_VALUE"""),"N/A")</f>
        <v>N/A</v>
      </c>
      <c r="Y863" s="2"/>
      <c r="Z863" s="2"/>
      <c r="AA863" s="2"/>
      <c r="AB863" s="2"/>
      <c r="AC863" s="2"/>
      <c r="AD863" s="2"/>
      <c r="AE863" s="2"/>
      <c r="AF863" s="2"/>
      <c r="AG863" s="2"/>
      <c r="AH863" s="2"/>
      <c r="AI863" s="2"/>
      <c r="AJ863" s="2" t="str">
        <f>IFERROR(__xludf.DUMMYFUNCTION("""COMPUTED_VALUE"""),"Nangapugan")</f>
        <v>Nangapugan</v>
      </c>
      <c r="AK863" s="2" t="str">
        <f>IFERROR(__xludf.DUMMYFUNCTION("""COMPUTED_VALUE"""),"San Quintin")</f>
        <v>San Quintin</v>
      </c>
      <c r="AL863" s="2" t="str">
        <f>IFERROR(__xludf.DUMMYFUNCTION("""COMPUTED_VALUE"""),"Pangasinan")</f>
        <v>Pangasinan</v>
      </c>
      <c r="AM863" s="2">
        <f>IFERROR(__xludf.DUMMYFUNCTION("""COMPUTED_VALUE"""),1.0)</f>
        <v>1</v>
      </c>
      <c r="AN863" s="2" t="str">
        <f>IFERROR(__xludf.DUMMYFUNCTION("""COMPUTED_VALUE"""),"RCEF 24-04-15")</f>
        <v>RCEF 24-04-15</v>
      </c>
      <c r="AO863" s="2">
        <f>IFERROR(__xludf.DUMMYFUNCTION("""COMPUTED_VALUE"""),6.0)</f>
        <v>6</v>
      </c>
      <c r="AP863" s="2" t="str">
        <f>IFERROR(__xludf.DUMMYFUNCTION("""COMPUTED_VALUE"""),"FREE PMS")</f>
        <v>FREE PMS</v>
      </c>
      <c r="AQ863" s="2"/>
      <c r="AR863" s="2"/>
      <c r="AS863" s="2"/>
      <c r="AT863" s="2"/>
      <c r="AU863" s="2"/>
      <c r="AV863" s="2"/>
      <c r="AW863" s="2"/>
      <c r="AX863" s="2"/>
      <c r="AY863" s="2"/>
      <c r="AZ863" s="2"/>
      <c r="BA863" s="2"/>
      <c r="BB863" s="2"/>
    </row>
    <row r="864">
      <c r="A864" s="2">
        <f>IFERROR(__xludf.DUMMYFUNCTION("""COMPUTED_VALUE"""),860.0)</f>
        <v>860</v>
      </c>
      <c r="B864" s="2" t="str">
        <f>IFERROR(__xludf.DUMMYFUNCTION("""COMPUTED_VALUE"""),"COMPLETED")</f>
        <v>COMPLETED</v>
      </c>
      <c r="C864" s="74">
        <f>IFERROR(__xludf.DUMMYFUNCTION("""COMPUTED_VALUE"""),45736.0)</f>
        <v>45736</v>
      </c>
      <c r="D864" s="71" t="str">
        <f>IFERROR(__xludf.DUMMYFUNCTION("""COMPUTED_VALUE"""),"NAGUILIAN IRRIGATORS' ASSOCIATION, INC.")</f>
        <v>NAGUILIAN IRRIGATORS' ASSOCIATION, INC.</v>
      </c>
      <c r="E864" s="71" t="str">
        <f>IFERROR(__xludf.DUMMYFUNCTION("""COMPUTED_VALUE"""),"Naguilian, Lal-lo, CAGAYAN")</f>
        <v>Naguilian, Lal-lo, CAGAYAN</v>
      </c>
      <c r="F864" s="2" t="str">
        <f>IFERROR(__xludf.DUMMYFUNCTION("""COMPUTED_VALUE"""),"DIOSDADO URMATAM")</f>
        <v>DIOSDADO URMATAM</v>
      </c>
      <c r="G864" s="2">
        <f>IFERROR(__xludf.DUMMYFUNCTION("""COMPUTED_VALUE"""),9.061000932E9)</f>
        <v>9061000932</v>
      </c>
      <c r="H864" s="2"/>
      <c r="I864" s="72" t="str">
        <f>IFERROR(__xludf.DUMMYFUNCTION("""COMPUTED_VALUE"""),"REPAIR - TRACTOR")</f>
        <v>REPAIR - TRACTOR</v>
      </c>
      <c r="J864" s="72" t="str">
        <f>IFERROR(__xludf.DUMMYFUNCTION("""COMPUTED_VALUE"""),"Front Axle - Leaking                Rear Axle - Leaking")</f>
        <v>Front Axle - Leaking                Rear Axle - Leaking</v>
      </c>
      <c r="K864" s="72" t="str">
        <f>IFERROR(__xludf.DUMMYFUNCTION("""COMPUTED_VALUE"""),"CFG: FRONT AXLE LEAKS
5/11/25: MYK: PARTS REQUEST: AIR FILTER INNER AND OUTER")</f>
        <v>CFG: FRONT AXLE LEAKS
5/11/25: MYK: PARTS REQUEST: AIR FILTER INNER AND OUTER</v>
      </c>
      <c r="L864" s="72" t="str">
        <f>IFERROR(__xludf.DUMMYFUNCTION("""COMPUTED_VALUE"""),"CFG: PARTS ONHAND: PARTS DELIVERED")</f>
        <v>CFG: PARTS ONHAND: PARTS DELIVERED</v>
      </c>
      <c r="M864" s="2"/>
      <c r="N864" s="2" t="str">
        <f>IFERROR(__xludf.DUMMYFUNCTION("""COMPUTED_VALUE"""),"PARTS:
 Air Cleaner element outer-HLT0621020- 4800
fron axle oil seal - TA00041359  -3375
2 pc from axle oil seal- FE7801000B  - 3900
")</f>
        <v>PARTS:
 Air Cleaner element outer-HLT0621020- 4800
fron axle oil seal - TA00041359  -3375
2 pc from axle oil seal- FE7801000B  - 3900
</v>
      </c>
      <c r="O864" s="2" t="str">
        <f>IFERROR(__xludf.DUMMYFUNCTION("""COMPUTED_VALUE"""),"N/A")</f>
        <v>N/A</v>
      </c>
      <c r="P864" s="2"/>
      <c r="Q864" s="2"/>
      <c r="R864" s="74">
        <f>IFERROR(__xludf.DUMMYFUNCTION("""COMPUTED_VALUE"""),45801.0)</f>
        <v>45801</v>
      </c>
      <c r="S864" s="2" t="str">
        <f>IFERROR(__xludf.DUMMYFUNCTION("""COMPUTED_VALUE"""),"CFG")</f>
        <v>CFG</v>
      </c>
      <c r="T864" s="73">
        <f>IFERROR(__xludf.DUMMYFUNCTION("""COMPUTED_VALUE"""),12075.0)</f>
        <v>12075</v>
      </c>
      <c r="U864" s="73" t="str">
        <f>IFERROR(__xludf.DUMMYFUNCTION("""COMPUTED_VALUE""")," FOR REMIT ")</f>
        <v>FOR REMIT</v>
      </c>
      <c r="V864" s="2"/>
      <c r="W864" s="2">
        <f>IFERROR(__xludf.DUMMYFUNCTION("""COMPUTED_VALUE"""),1579.0)</f>
        <v>1579</v>
      </c>
      <c r="X864" s="2"/>
      <c r="Y864" s="2"/>
      <c r="Z864" s="2"/>
      <c r="AA864" s="2"/>
      <c r="AB864" s="2"/>
      <c r="AC864" s="2"/>
      <c r="AD864" s="2"/>
      <c r="AE864" s="2"/>
      <c r="AF864" s="2"/>
      <c r="AG864" s="2"/>
      <c r="AH864" s="2"/>
      <c r="AI864" s="2"/>
      <c r="AJ864" s="2" t="str">
        <f>IFERROR(__xludf.DUMMYFUNCTION("""COMPUTED_VALUE"""),"Naguilian")</f>
        <v>Naguilian</v>
      </c>
      <c r="AK864" s="2" t="str">
        <f>IFERROR(__xludf.DUMMYFUNCTION("""COMPUTED_VALUE"""),"Lal-Lo")</f>
        <v>Lal-Lo</v>
      </c>
      <c r="AL864" s="2" t="str">
        <f>IFERROR(__xludf.DUMMYFUNCTION("""COMPUTED_VALUE"""),"Cagayan")</f>
        <v>Cagayan</v>
      </c>
      <c r="AM864" s="2">
        <f>IFERROR(__xludf.DUMMYFUNCTION("""COMPUTED_VALUE"""),2.0)</f>
        <v>2</v>
      </c>
      <c r="AN864" s="2" t="str">
        <f>IFERROR(__xludf.DUMMYFUNCTION("""COMPUTED_VALUE"""),"RCEF 23-09-21 Rebidding")</f>
        <v>RCEF 23-09-21 Rebidding</v>
      </c>
      <c r="AO864" s="2">
        <f>IFERROR(__xludf.DUMMYFUNCTION("""COMPUTED_VALUE"""),9.0)</f>
        <v>9</v>
      </c>
      <c r="AP864" s="2"/>
      <c r="AQ864" s="2"/>
      <c r="AR864" s="2"/>
      <c r="AS864" s="2"/>
      <c r="AT864" s="2"/>
      <c r="AU864" s="2"/>
      <c r="AV864" s="2"/>
      <c r="AW864" s="2"/>
      <c r="AX864" s="2"/>
      <c r="AY864" s="2"/>
      <c r="AZ864" s="2"/>
      <c r="BA864" s="2"/>
      <c r="BB864" s="2"/>
    </row>
    <row r="865">
      <c r="A865" s="2">
        <f>IFERROR(__xludf.DUMMYFUNCTION("""COMPUTED_VALUE"""),861.0)</f>
        <v>861</v>
      </c>
      <c r="B865" s="2" t="str">
        <f>IFERROR(__xludf.DUMMYFUNCTION("""COMPUTED_VALUE"""),"COMPLETED")</f>
        <v>COMPLETED</v>
      </c>
      <c r="C865" s="74">
        <f>IFERROR(__xludf.DUMMYFUNCTION("""COMPUTED_VALUE"""),45737.0)</f>
        <v>45737</v>
      </c>
      <c r="D865" s="71" t="str">
        <f>IFERROR(__xludf.DUMMYFUNCTION("""COMPUTED_VALUE"""),"GUTAD FARMERS IRRIGATORS ASSOCIATION INCORPORATED")</f>
        <v>GUTAD FARMERS IRRIGATORS ASSOCIATION INCORPORATED</v>
      </c>
      <c r="E865" s="71" t="str">
        <f>IFERROR(__xludf.DUMMYFUNCTION("""COMPUTED_VALUE"""),"Tanyag, Calintaan, OCCIDENTAL MINDORO")</f>
        <v>Tanyag, Calintaan, OCCIDENTAL MINDORO</v>
      </c>
      <c r="F865" s="2" t="str">
        <f>IFERROR(__xludf.DUMMYFUNCTION("""COMPUTED_VALUE"""),"JUAN  ESTEBAN JR.")</f>
        <v>JUAN  ESTEBAN JR.</v>
      </c>
      <c r="G865" s="2">
        <f>IFERROR(__xludf.DUMMYFUNCTION("""COMPUTED_VALUE"""),9.051952181E9)</f>
        <v>9051952181</v>
      </c>
      <c r="H865" s="2">
        <f>IFERROR(__xludf.DUMMYFUNCTION("""COMPUTED_VALUE"""),18.7)</f>
        <v>18.7</v>
      </c>
      <c r="I865" s="72" t="str">
        <f>IFERROR(__xludf.DUMMYFUNCTION("""COMPUTED_VALUE"""),"PMS")</f>
        <v>PMS</v>
      </c>
      <c r="J865" s="72" t="str">
        <f>IFERROR(__xludf.DUMMYFUNCTION("""COMPUTED_VALUE"""),"PMS")</f>
        <v>PMS</v>
      </c>
      <c r="K865" s="72" t="str">
        <f>IFERROR(__xludf.DUMMYFUNCTION("""COMPUTED_VALUE"""),"DSD: 1ST PMS FREE")</f>
        <v>DSD: 1ST PMS FREE</v>
      </c>
      <c r="L865" s="72" t="str">
        <f>IFERROR(__xludf.DUMMYFUNCTION("""COMPUTED_VALUE"""),"DSD: 1ST PMS DONE")</f>
        <v>DSD: 1ST PMS DONE</v>
      </c>
      <c r="M865" s="2"/>
      <c r="N865" s="2" t="str">
        <f>IFERROR(__xludf.DUMMYFUNCTION("""COMPUTED_VALUE"""),"PARTS: OIL FILTER, ENGINE OIL")</f>
        <v>PARTS: OIL FILTER, ENGINE OIL</v>
      </c>
      <c r="O865" s="2">
        <f>IFERROR(__xludf.DUMMYFUNCTION("""COMPUTED_VALUE"""),139.0)</f>
        <v>139</v>
      </c>
      <c r="P865" s="2"/>
      <c r="Q865" s="2"/>
      <c r="R865" s="74">
        <f>IFERROR(__xludf.DUMMYFUNCTION("""COMPUTED_VALUE"""),45737.0)</f>
        <v>45737</v>
      </c>
      <c r="S865" s="2" t="str">
        <f>IFERROR(__xludf.DUMMYFUNCTION("""COMPUTED_VALUE"""),"RCG/DSD")</f>
        <v>RCG/DSD</v>
      </c>
      <c r="T865" s="73" t="str">
        <f>IFERROR(__xludf.DUMMYFUNCTION("""COMPUTED_VALUE""")," N/A ")</f>
        <v>N/A</v>
      </c>
      <c r="U865" s="73" t="str">
        <f>IFERROR(__xludf.DUMMYFUNCTION("""COMPUTED_VALUE""")," NO CHARGE ")</f>
        <v>NO CHARGE</v>
      </c>
      <c r="V865" s="2"/>
      <c r="W865" s="2" t="str">
        <f>IFERROR(__xludf.DUMMYFUNCTION("""COMPUTED_VALUE"""),"N/A")</f>
        <v>N/A</v>
      </c>
      <c r="X865" s="2" t="str">
        <f>IFERROR(__xludf.DUMMYFUNCTION("""COMPUTED_VALUE"""),"N/A")</f>
        <v>N/A</v>
      </c>
      <c r="Y865" s="2"/>
      <c r="Z865" s="2"/>
      <c r="AA865" s="2"/>
      <c r="AB865" s="2"/>
      <c r="AC865" s="2"/>
      <c r="AD865" s="2"/>
      <c r="AE865" s="2"/>
      <c r="AF865" s="2"/>
      <c r="AG865" s="2"/>
      <c r="AH865" s="2"/>
      <c r="AI865" s="2"/>
      <c r="AJ865" s="2" t="str">
        <f>IFERROR(__xludf.DUMMYFUNCTION("""COMPUTED_VALUE"""),"Tanyag")</f>
        <v>Tanyag</v>
      </c>
      <c r="AK865" s="2" t="str">
        <f>IFERROR(__xludf.DUMMYFUNCTION("""COMPUTED_VALUE"""),"Calintaan")</f>
        <v>Calintaan</v>
      </c>
      <c r="AL865" s="2" t="str">
        <f>IFERROR(__xludf.DUMMYFUNCTION("""COMPUTED_VALUE"""),"Occidental Mindoro")</f>
        <v>Occidental Mindoro</v>
      </c>
      <c r="AM865" s="2" t="str">
        <f>IFERROR(__xludf.DUMMYFUNCTION("""COMPUTED_VALUE"""),"4B")</f>
        <v>4B</v>
      </c>
      <c r="AN865" s="2" t="str">
        <f>IFERROR(__xludf.DUMMYFUNCTION("""COMPUTED_VALUE"""),"RCEF 24-04-15")</f>
        <v>RCEF 24-04-15</v>
      </c>
      <c r="AO865" s="2">
        <f>IFERROR(__xludf.DUMMYFUNCTION("""COMPUTED_VALUE"""),7.0)</f>
        <v>7</v>
      </c>
      <c r="AP865" s="2" t="str">
        <f>IFERROR(__xludf.DUMMYFUNCTION("""COMPUTED_VALUE"""),"FREE PMS")</f>
        <v>FREE PMS</v>
      </c>
      <c r="AQ865" s="2"/>
      <c r="AR865" s="2"/>
      <c r="AS865" s="2"/>
      <c r="AT865" s="2"/>
      <c r="AU865" s="2"/>
      <c r="AV865" s="2"/>
      <c r="AW865" s="2"/>
      <c r="AX865" s="2"/>
      <c r="AY865" s="2"/>
      <c r="AZ865" s="2"/>
      <c r="BA865" s="2"/>
      <c r="BB865" s="2"/>
    </row>
    <row r="866">
      <c r="A866" s="2">
        <f>IFERROR(__xludf.DUMMYFUNCTION("""COMPUTED_VALUE"""),862.0)</f>
        <v>862</v>
      </c>
      <c r="B866" s="2" t="str">
        <f>IFERROR(__xludf.DUMMYFUNCTION("""COMPUTED_VALUE"""),"COMPLETED")</f>
        <v>COMPLETED</v>
      </c>
      <c r="C866" s="74">
        <f>IFERROR(__xludf.DUMMYFUNCTION("""COMPUTED_VALUE"""),45737.0)</f>
        <v>45737</v>
      </c>
      <c r="D866" s="71" t="str">
        <f>IFERROR(__xludf.DUMMYFUNCTION("""COMPUTED_VALUE"""),"MALAWAAN 4TH INTAKE FARMERS IRRIGATORS ASSOCIATION, INC.")</f>
        <v>MALAWAAN 4TH INTAKE FARMERS IRRIGATORS ASSOCIATION, INC.</v>
      </c>
      <c r="E866" s="71" t="str">
        <f>IFERROR(__xludf.DUMMYFUNCTION("""COMPUTED_VALUE"""),"Malawaan, Rizal, OCCIDENTAL MINDORO")</f>
        <v>Malawaan, Rizal, OCCIDENTAL MINDORO</v>
      </c>
      <c r="F866" s="2" t="str">
        <f>IFERROR(__xludf.DUMMYFUNCTION("""COMPUTED_VALUE"""),"MAXIMO LAREDO")</f>
        <v>MAXIMO LAREDO</v>
      </c>
      <c r="G866" s="2">
        <f>IFERROR(__xludf.DUMMYFUNCTION("""COMPUTED_VALUE"""),9.486577789E9)</f>
        <v>9486577789</v>
      </c>
      <c r="H866" s="2">
        <f>IFERROR(__xludf.DUMMYFUNCTION("""COMPUTED_VALUE"""),15.9)</f>
        <v>15.9</v>
      </c>
      <c r="I866" s="72" t="str">
        <f>IFERROR(__xludf.DUMMYFUNCTION("""COMPUTED_VALUE"""),"PMS")</f>
        <v>PMS</v>
      </c>
      <c r="J866" s="72" t="str">
        <f>IFERROR(__xludf.DUMMYFUNCTION("""COMPUTED_VALUE"""),"PMS")</f>
        <v>PMS</v>
      </c>
      <c r="K866" s="72" t="str">
        <f>IFERROR(__xludf.DUMMYFUNCTION("""COMPUTED_VALUE"""),"DSD: 1ST PMS FREE")</f>
        <v>DSD: 1ST PMS FREE</v>
      </c>
      <c r="L866" s="72" t="str">
        <f>IFERROR(__xludf.DUMMYFUNCTION("""COMPUTED_VALUE"""),"DSD: 1ST PMS DONE")</f>
        <v>DSD: 1ST PMS DONE</v>
      </c>
      <c r="M866" s="2"/>
      <c r="N866" s="2" t="str">
        <f>IFERROR(__xludf.DUMMYFUNCTION("""COMPUTED_VALUE"""),"PARTS: OIL FILTER, ENGINE OIL")</f>
        <v>PARTS: OIL FILTER, ENGINE OIL</v>
      </c>
      <c r="O866" s="2">
        <f>IFERROR(__xludf.DUMMYFUNCTION("""COMPUTED_VALUE"""),140.0)</f>
        <v>140</v>
      </c>
      <c r="P866" s="2"/>
      <c r="Q866" s="2"/>
      <c r="R866" s="74">
        <f>IFERROR(__xludf.DUMMYFUNCTION("""COMPUTED_VALUE"""),45737.0)</f>
        <v>45737</v>
      </c>
      <c r="S866" s="2" t="str">
        <f>IFERROR(__xludf.DUMMYFUNCTION("""COMPUTED_VALUE"""),"RCG/DSD")</f>
        <v>RCG/DSD</v>
      </c>
      <c r="T866" s="73" t="str">
        <f>IFERROR(__xludf.DUMMYFUNCTION("""COMPUTED_VALUE""")," N/A ")</f>
        <v>N/A</v>
      </c>
      <c r="U866" s="73" t="str">
        <f>IFERROR(__xludf.DUMMYFUNCTION("""COMPUTED_VALUE""")," NO CHARGE ")</f>
        <v>NO CHARGE</v>
      </c>
      <c r="V866" s="2"/>
      <c r="W866" s="2" t="str">
        <f>IFERROR(__xludf.DUMMYFUNCTION("""COMPUTED_VALUE"""),"N/A")</f>
        <v>N/A</v>
      </c>
      <c r="X866" s="2" t="str">
        <f>IFERROR(__xludf.DUMMYFUNCTION("""COMPUTED_VALUE"""),"N/A")</f>
        <v>N/A</v>
      </c>
      <c r="Y866" s="2"/>
      <c r="Z866" s="2"/>
      <c r="AA866" s="2"/>
      <c r="AB866" s="2"/>
      <c r="AC866" s="2"/>
      <c r="AD866" s="2"/>
      <c r="AE866" s="2"/>
      <c r="AF866" s="2"/>
      <c r="AG866" s="2"/>
      <c r="AH866" s="2"/>
      <c r="AI866" s="2"/>
      <c r="AJ866" s="2" t="str">
        <f>IFERROR(__xludf.DUMMYFUNCTION("""COMPUTED_VALUE"""),"Malawaan")</f>
        <v>Malawaan</v>
      </c>
      <c r="AK866" s="2" t="str">
        <f>IFERROR(__xludf.DUMMYFUNCTION("""COMPUTED_VALUE"""),"Rizal")</f>
        <v>Rizal</v>
      </c>
      <c r="AL866" s="2" t="str">
        <f>IFERROR(__xludf.DUMMYFUNCTION("""COMPUTED_VALUE"""),"Occidental Mindoro")</f>
        <v>Occidental Mindoro</v>
      </c>
      <c r="AM866" s="2" t="str">
        <f>IFERROR(__xludf.DUMMYFUNCTION("""COMPUTED_VALUE"""),"4B")</f>
        <v>4B</v>
      </c>
      <c r="AN866" s="2" t="str">
        <f>IFERROR(__xludf.DUMMYFUNCTION("""COMPUTED_VALUE"""),"RCEF 24-04-15")</f>
        <v>RCEF 24-04-15</v>
      </c>
      <c r="AO866" s="2">
        <f>IFERROR(__xludf.DUMMYFUNCTION("""COMPUTED_VALUE"""),7.0)</f>
        <v>7</v>
      </c>
      <c r="AP866" s="2" t="str">
        <f>IFERROR(__xludf.DUMMYFUNCTION("""COMPUTED_VALUE"""),"FREE PMS")</f>
        <v>FREE PMS</v>
      </c>
      <c r="AQ866" s="2"/>
      <c r="AR866" s="2"/>
      <c r="AS866" s="2"/>
      <c r="AT866" s="2"/>
      <c r="AU866" s="2"/>
      <c r="AV866" s="2"/>
      <c r="AW866" s="2"/>
      <c r="AX866" s="2"/>
      <c r="AY866" s="2"/>
      <c r="AZ866" s="2"/>
      <c r="BA866" s="2"/>
      <c r="BB866" s="2"/>
    </row>
    <row r="867">
      <c r="A867" s="2">
        <f>IFERROR(__xludf.DUMMYFUNCTION("""COMPUTED_VALUE"""),863.0)</f>
        <v>863</v>
      </c>
      <c r="B867" s="2" t="str">
        <f>IFERROR(__xludf.DUMMYFUNCTION("""COMPUTED_VALUE"""),"COMPLETED")</f>
        <v>COMPLETED</v>
      </c>
      <c r="C867" s="74">
        <f>IFERROR(__xludf.DUMMYFUNCTION("""COMPUTED_VALUE"""),45737.0)</f>
        <v>45737</v>
      </c>
      <c r="D867" s="71" t="str">
        <f>IFERROR(__xludf.DUMMYFUNCTION("""COMPUTED_VALUE"""),"Tagumpay ng Curanta Free Farmers Cooperative (TACUFFCO)")</f>
        <v>Tagumpay ng Curanta Free Farmers Cooperative (TACUFFCO)</v>
      </c>
      <c r="E867" s="71" t="str">
        <f>IFERROR(__xludf.DUMMYFUNCTION("""COMPUTED_VALUE"""),"San Agustin, San Jose, OCCIDENTAL MINDORO")</f>
        <v>San Agustin, San Jose, OCCIDENTAL MINDORO</v>
      </c>
      <c r="F867" s="2" t="str">
        <f>IFERROR(__xludf.DUMMYFUNCTION("""COMPUTED_VALUE"""),"CRISALDO FALALRIA")</f>
        <v>CRISALDO FALALRIA</v>
      </c>
      <c r="G867" s="2">
        <f>IFERROR(__xludf.DUMMYFUNCTION("""COMPUTED_VALUE"""),9.066767922E9)</f>
        <v>9066767922</v>
      </c>
      <c r="H867" s="2">
        <f>IFERROR(__xludf.DUMMYFUNCTION("""COMPUTED_VALUE"""),12.3)</f>
        <v>12.3</v>
      </c>
      <c r="I867" s="72" t="str">
        <f>IFERROR(__xludf.DUMMYFUNCTION("""COMPUTED_VALUE"""),"PMS")</f>
        <v>PMS</v>
      </c>
      <c r="J867" s="72" t="str">
        <f>IFERROR(__xludf.DUMMYFUNCTION("""COMPUTED_VALUE"""),"PMS")</f>
        <v>PMS</v>
      </c>
      <c r="K867" s="72" t="str">
        <f>IFERROR(__xludf.DUMMYFUNCTION("""COMPUTED_VALUE"""),"DSD: 1ST PMS FREE")</f>
        <v>DSD: 1ST PMS FREE</v>
      </c>
      <c r="L867" s="72" t="str">
        <f>IFERROR(__xludf.DUMMYFUNCTION("""COMPUTED_VALUE"""),"DSD: 1ST PMS DONE")</f>
        <v>DSD: 1ST PMS DONE</v>
      </c>
      <c r="M867" s="2"/>
      <c r="N867" s="2" t="str">
        <f>IFERROR(__xludf.DUMMYFUNCTION("""COMPUTED_VALUE"""),"PARTS: OIL FILTER, ENGINE OIL")</f>
        <v>PARTS: OIL FILTER, ENGINE OIL</v>
      </c>
      <c r="O867" s="2">
        <f>IFERROR(__xludf.DUMMYFUNCTION("""COMPUTED_VALUE"""),141.0)</f>
        <v>141</v>
      </c>
      <c r="P867" s="2"/>
      <c r="Q867" s="2"/>
      <c r="R867" s="74">
        <f>IFERROR(__xludf.DUMMYFUNCTION("""COMPUTED_VALUE"""),45737.0)</f>
        <v>45737</v>
      </c>
      <c r="S867" s="2" t="str">
        <f>IFERROR(__xludf.DUMMYFUNCTION("""COMPUTED_VALUE"""),"RCG/DSD")</f>
        <v>RCG/DSD</v>
      </c>
      <c r="T867" s="73" t="str">
        <f>IFERROR(__xludf.DUMMYFUNCTION("""COMPUTED_VALUE""")," N/A ")</f>
        <v>N/A</v>
      </c>
      <c r="U867" s="73" t="str">
        <f>IFERROR(__xludf.DUMMYFUNCTION("""COMPUTED_VALUE""")," NO CHARGE ")</f>
        <v>NO CHARGE</v>
      </c>
      <c r="V867" s="2"/>
      <c r="W867" s="2" t="str">
        <f>IFERROR(__xludf.DUMMYFUNCTION("""COMPUTED_VALUE"""),"N/A")</f>
        <v>N/A</v>
      </c>
      <c r="X867" s="2" t="str">
        <f>IFERROR(__xludf.DUMMYFUNCTION("""COMPUTED_VALUE"""),"N/A")</f>
        <v>N/A</v>
      </c>
      <c r="Y867" s="2"/>
      <c r="Z867" s="2"/>
      <c r="AA867" s="2"/>
      <c r="AB867" s="2"/>
      <c r="AC867" s="2"/>
      <c r="AD867" s="2"/>
      <c r="AE867" s="2"/>
      <c r="AF867" s="2"/>
      <c r="AG867" s="2"/>
      <c r="AH867" s="2"/>
      <c r="AI867" s="2"/>
      <c r="AJ867" s="2" t="str">
        <f>IFERROR(__xludf.DUMMYFUNCTION("""COMPUTED_VALUE"""),"San Agustin")</f>
        <v>San Agustin</v>
      </c>
      <c r="AK867" s="2" t="str">
        <f>IFERROR(__xludf.DUMMYFUNCTION("""COMPUTED_VALUE"""),"San Jose")</f>
        <v>San Jose</v>
      </c>
      <c r="AL867" s="2" t="str">
        <f>IFERROR(__xludf.DUMMYFUNCTION("""COMPUTED_VALUE"""),"Occidental Mindoro")</f>
        <v>Occidental Mindoro</v>
      </c>
      <c r="AM867" s="2" t="str">
        <f>IFERROR(__xludf.DUMMYFUNCTION("""COMPUTED_VALUE"""),"4B")</f>
        <v>4B</v>
      </c>
      <c r="AN867" s="2" t="str">
        <f>IFERROR(__xludf.DUMMYFUNCTION("""COMPUTED_VALUE"""),"RCEF 24-04-15")</f>
        <v>RCEF 24-04-15</v>
      </c>
      <c r="AO867" s="2">
        <f>IFERROR(__xludf.DUMMYFUNCTION("""COMPUTED_VALUE"""),7.0)</f>
        <v>7</v>
      </c>
      <c r="AP867" s="2" t="str">
        <f>IFERROR(__xludf.DUMMYFUNCTION("""COMPUTED_VALUE"""),"FREE PMS")</f>
        <v>FREE PMS</v>
      </c>
      <c r="AQ867" s="2"/>
      <c r="AR867" s="2"/>
      <c r="AS867" s="2"/>
      <c r="AT867" s="2"/>
      <c r="AU867" s="2"/>
      <c r="AV867" s="2"/>
      <c r="AW867" s="2"/>
      <c r="AX867" s="2"/>
      <c r="AY867" s="2"/>
      <c r="AZ867" s="2"/>
      <c r="BA867" s="2"/>
      <c r="BB867" s="2"/>
    </row>
    <row r="868">
      <c r="A868" s="2">
        <f>IFERROR(__xludf.DUMMYFUNCTION("""COMPUTED_VALUE"""),864.0)</f>
        <v>864</v>
      </c>
      <c r="B868" s="2" t="str">
        <f>IFERROR(__xludf.DUMMYFUNCTION("""COMPUTED_VALUE"""),"COMPLETED")</f>
        <v>COMPLETED</v>
      </c>
      <c r="C868" s="74">
        <f>IFERROR(__xludf.DUMMYFUNCTION("""COMPUTED_VALUE"""),45737.0)</f>
        <v>45737</v>
      </c>
      <c r="D868" s="71" t="str">
        <f>IFERROR(__xludf.DUMMYFUNCTION("""COMPUTED_VALUE"""),"SAMAHANG MAGPAPATUBIG NG BATASAN, INC.")</f>
        <v>SAMAHANG MAGPAPATUBIG NG BATASAN, INC.</v>
      </c>
      <c r="E868" s="71" t="str">
        <f>IFERROR(__xludf.DUMMYFUNCTION("""COMPUTED_VALUE"""),", San Jose, OCCIDENTAL MINDORO")</f>
        <v>, San Jose, OCCIDENTAL MINDORO</v>
      </c>
      <c r="F868" s="2" t="str">
        <f>IFERROR(__xludf.DUMMYFUNCTION("""COMPUTED_VALUE"""),"DOMINADOR BERNABE")</f>
        <v>DOMINADOR BERNABE</v>
      </c>
      <c r="G868" s="2">
        <f>IFERROR(__xludf.DUMMYFUNCTION("""COMPUTED_VALUE"""),9.45315509E8)</f>
        <v>945315509</v>
      </c>
      <c r="H868" s="2">
        <f>IFERROR(__xludf.DUMMYFUNCTION("""COMPUTED_VALUE"""),15.7)</f>
        <v>15.7</v>
      </c>
      <c r="I868" s="72" t="str">
        <f>IFERROR(__xludf.DUMMYFUNCTION("""COMPUTED_VALUE"""),"PMS")</f>
        <v>PMS</v>
      </c>
      <c r="J868" s="72" t="str">
        <f>IFERROR(__xludf.DUMMYFUNCTION("""COMPUTED_VALUE"""),"PMS")</f>
        <v>PMS</v>
      </c>
      <c r="K868" s="72" t="str">
        <f>IFERROR(__xludf.DUMMYFUNCTION("""COMPUTED_VALUE"""),"DSD: 1ST PMS FREE")</f>
        <v>DSD: 1ST PMS FREE</v>
      </c>
      <c r="L868" s="72" t="str">
        <f>IFERROR(__xludf.DUMMYFUNCTION("""COMPUTED_VALUE"""),"DSD: 1ST PMS DONE")</f>
        <v>DSD: 1ST PMS DONE</v>
      </c>
      <c r="M868" s="2"/>
      <c r="N868" s="2" t="str">
        <f>IFERROR(__xludf.DUMMYFUNCTION("""COMPUTED_VALUE"""),"PARTS: OIL FILTER, ENGINE OIL")</f>
        <v>PARTS: OIL FILTER, ENGINE OIL</v>
      </c>
      <c r="O868" s="2">
        <f>IFERROR(__xludf.DUMMYFUNCTION("""COMPUTED_VALUE"""),142.0)</f>
        <v>142</v>
      </c>
      <c r="P868" s="2"/>
      <c r="Q868" s="2"/>
      <c r="R868" s="74">
        <f>IFERROR(__xludf.DUMMYFUNCTION("""COMPUTED_VALUE"""),45737.0)</f>
        <v>45737</v>
      </c>
      <c r="S868" s="2" t="str">
        <f>IFERROR(__xludf.DUMMYFUNCTION("""COMPUTED_VALUE"""),"RCG/DSD")</f>
        <v>RCG/DSD</v>
      </c>
      <c r="T868" s="73" t="str">
        <f>IFERROR(__xludf.DUMMYFUNCTION("""COMPUTED_VALUE""")," N/A ")</f>
        <v>N/A</v>
      </c>
      <c r="U868" s="73" t="str">
        <f>IFERROR(__xludf.DUMMYFUNCTION("""COMPUTED_VALUE""")," NO CHARGE ")</f>
        <v>NO CHARGE</v>
      </c>
      <c r="V868" s="2"/>
      <c r="W868" s="2" t="str">
        <f>IFERROR(__xludf.DUMMYFUNCTION("""COMPUTED_VALUE"""),"N/A")</f>
        <v>N/A</v>
      </c>
      <c r="X868" s="2" t="str">
        <f>IFERROR(__xludf.DUMMYFUNCTION("""COMPUTED_VALUE"""),"N/A")</f>
        <v>N/A</v>
      </c>
      <c r="Y868" s="2"/>
      <c r="Z868" s="2"/>
      <c r="AA868" s="2"/>
      <c r="AB868" s="2"/>
      <c r="AC868" s="2"/>
      <c r="AD868" s="2"/>
      <c r="AE868" s="2"/>
      <c r="AF868" s="2"/>
      <c r="AG868" s="2"/>
      <c r="AH868" s="2"/>
      <c r="AI868" s="2"/>
      <c r="AJ868" s="2" t="str">
        <f>IFERROR(__xludf.DUMMYFUNCTION("""COMPUTED_VALUE"""),"")</f>
        <v/>
      </c>
      <c r="AK868" s="2" t="str">
        <f>IFERROR(__xludf.DUMMYFUNCTION("""COMPUTED_VALUE"""),"San Jose")</f>
        <v>San Jose</v>
      </c>
      <c r="AL868" s="2" t="str">
        <f>IFERROR(__xludf.DUMMYFUNCTION("""COMPUTED_VALUE"""),"Occidental Mindoro")</f>
        <v>Occidental Mindoro</v>
      </c>
      <c r="AM868" s="2" t="str">
        <f>IFERROR(__xludf.DUMMYFUNCTION("""COMPUTED_VALUE"""),"4B")</f>
        <v>4B</v>
      </c>
      <c r="AN868" s="2" t="str">
        <f>IFERROR(__xludf.DUMMYFUNCTION("""COMPUTED_VALUE"""),"RCEF 24-04-15")</f>
        <v>RCEF 24-04-15</v>
      </c>
      <c r="AO868" s="2">
        <f>IFERROR(__xludf.DUMMYFUNCTION("""COMPUTED_VALUE"""),7.0)</f>
        <v>7</v>
      </c>
      <c r="AP868" s="2" t="str">
        <f>IFERROR(__xludf.DUMMYFUNCTION("""COMPUTED_VALUE"""),"FREE PMS")</f>
        <v>FREE PMS</v>
      </c>
      <c r="AQ868" s="2"/>
      <c r="AR868" s="2"/>
      <c r="AS868" s="2"/>
      <c r="AT868" s="2"/>
      <c r="AU868" s="2"/>
      <c r="AV868" s="2"/>
      <c r="AW868" s="2"/>
      <c r="AX868" s="2"/>
      <c r="AY868" s="2"/>
      <c r="AZ868" s="2"/>
      <c r="BA868" s="2"/>
      <c r="BB868" s="2"/>
    </row>
    <row r="869">
      <c r="A869" s="2">
        <f>IFERROR(__xludf.DUMMYFUNCTION("""COMPUTED_VALUE"""),865.0)</f>
        <v>865</v>
      </c>
      <c r="B869" s="2" t="str">
        <f>IFERROR(__xludf.DUMMYFUNCTION("""COMPUTED_VALUE"""),"COMPLETED")</f>
        <v>COMPLETED</v>
      </c>
      <c r="C869" s="74">
        <f>IFERROR(__xludf.DUMMYFUNCTION("""COMPUTED_VALUE"""),45737.0)</f>
        <v>45737</v>
      </c>
      <c r="D869" s="71" t="str">
        <f>IFERROR(__xludf.DUMMYFUNCTION("""COMPUTED_VALUE"""),"Kaagapay Kilusang Bayang Tagapagpaunlad Multi-Purpose Coopertive (KAAKIBAT MPC)")</f>
        <v>Kaagapay Kilusang Bayang Tagapagpaunlad Multi-Purpose Coopertive (KAAKIBAT MPC)</v>
      </c>
      <c r="E869" s="71" t="str">
        <f>IFERROR(__xludf.DUMMYFUNCTION("""COMPUTED_VALUE"""),"Labangan Poblacion, San Jose, OCCIDENTAL MINDORO")</f>
        <v>Labangan Poblacion, San Jose, OCCIDENTAL MINDORO</v>
      </c>
      <c r="F869" s="2" t="str">
        <f>IFERROR(__xludf.DUMMYFUNCTION("""COMPUTED_VALUE"""),"RAMON SILVERIO")</f>
        <v>RAMON SILVERIO</v>
      </c>
      <c r="G869" s="2">
        <f>IFERROR(__xludf.DUMMYFUNCTION("""COMPUTED_VALUE"""),9.506420584E9)</f>
        <v>9506420584</v>
      </c>
      <c r="H869" s="2">
        <f>IFERROR(__xludf.DUMMYFUNCTION("""COMPUTED_VALUE"""),18.8)</f>
        <v>18.8</v>
      </c>
      <c r="I869" s="72" t="str">
        <f>IFERROR(__xludf.DUMMYFUNCTION("""COMPUTED_VALUE"""),"PMS")</f>
        <v>PMS</v>
      </c>
      <c r="J869" s="72" t="str">
        <f>IFERROR(__xludf.DUMMYFUNCTION("""COMPUTED_VALUE"""),"PMS")</f>
        <v>PMS</v>
      </c>
      <c r="K869" s="72" t="str">
        <f>IFERROR(__xludf.DUMMYFUNCTION("""COMPUTED_VALUE"""),"DSD: 1ST PMS FREE")</f>
        <v>DSD: 1ST PMS FREE</v>
      </c>
      <c r="L869" s="72" t="str">
        <f>IFERROR(__xludf.DUMMYFUNCTION("""COMPUTED_VALUE"""),"DSD: 1ST PMS DONE")</f>
        <v>DSD: 1ST PMS DONE</v>
      </c>
      <c r="M869" s="2"/>
      <c r="N869" s="2" t="str">
        <f>IFERROR(__xludf.DUMMYFUNCTION("""COMPUTED_VALUE"""),"PARTS: OIL FILTER, ENGINE OIL")</f>
        <v>PARTS: OIL FILTER, ENGINE OIL</v>
      </c>
      <c r="O869" s="2">
        <f>IFERROR(__xludf.DUMMYFUNCTION("""COMPUTED_VALUE"""),143.0)</f>
        <v>143</v>
      </c>
      <c r="P869" s="2"/>
      <c r="Q869" s="2"/>
      <c r="R869" s="74">
        <f>IFERROR(__xludf.DUMMYFUNCTION("""COMPUTED_VALUE"""),45737.0)</f>
        <v>45737</v>
      </c>
      <c r="S869" s="2" t="str">
        <f>IFERROR(__xludf.DUMMYFUNCTION("""COMPUTED_VALUE"""),"RCG/DSD")</f>
        <v>RCG/DSD</v>
      </c>
      <c r="T869" s="73" t="str">
        <f>IFERROR(__xludf.DUMMYFUNCTION("""COMPUTED_VALUE""")," N/A ")</f>
        <v>N/A</v>
      </c>
      <c r="U869" s="73" t="str">
        <f>IFERROR(__xludf.DUMMYFUNCTION("""COMPUTED_VALUE""")," NO CHARGE ")</f>
        <v>NO CHARGE</v>
      </c>
      <c r="V869" s="2"/>
      <c r="W869" s="2" t="str">
        <f>IFERROR(__xludf.DUMMYFUNCTION("""COMPUTED_VALUE"""),"N/A")</f>
        <v>N/A</v>
      </c>
      <c r="X869" s="2" t="str">
        <f>IFERROR(__xludf.DUMMYFUNCTION("""COMPUTED_VALUE"""),"N/A")</f>
        <v>N/A</v>
      </c>
      <c r="Y869" s="2"/>
      <c r="Z869" s="2"/>
      <c r="AA869" s="2"/>
      <c r="AB869" s="2"/>
      <c r="AC869" s="2"/>
      <c r="AD869" s="2"/>
      <c r="AE869" s="2"/>
      <c r="AF869" s="2"/>
      <c r="AG869" s="2"/>
      <c r="AH869" s="2"/>
      <c r="AI869" s="2"/>
      <c r="AJ869" s="2" t="str">
        <f>IFERROR(__xludf.DUMMYFUNCTION("""COMPUTED_VALUE"""),"Labangan Poblacion")</f>
        <v>Labangan Poblacion</v>
      </c>
      <c r="AK869" s="2" t="str">
        <f>IFERROR(__xludf.DUMMYFUNCTION("""COMPUTED_VALUE"""),"San Jose")</f>
        <v>San Jose</v>
      </c>
      <c r="AL869" s="2" t="str">
        <f>IFERROR(__xludf.DUMMYFUNCTION("""COMPUTED_VALUE"""),"Occidental Mindoro")</f>
        <v>Occidental Mindoro</v>
      </c>
      <c r="AM869" s="2" t="str">
        <f>IFERROR(__xludf.DUMMYFUNCTION("""COMPUTED_VALUE"""),"4B")</f>
        <v>4B</v>
      </c>
      <c r="AN869" s="2" t="str">
        <f>IFERROR(__xludf.DUMMYFUNCTION("""COMPUTED_VALUE"""),"RCEF 24-04-15")</f>
        <v>RCEF 24-04-15</v>
      </c>
      <c r="AO869" s="2">
        <f>IFERROR(__xludf.DUMMYFUNCTION("""COMPUTED_VALUE"""),7.0)</f>
        <v>7</v>
      </c>
      <c r="AP869" s="2" t="str">
        <f>IFERROR(__xludf.DUMMYFUNCTION("""COMPUTED_VALUE"""),"FREE PMS")</f>
        <v>FREE PMS</v>
      </c>
      <c r="AQ869" s="2"/>
      <c r="AR869" s="2"/>
      <c r="AS869" s="2"/>
      <c r="AT869" s="2"/>
      <c r="AU869" s="2"/>
      <c r="AV869" s="2"/>
      <c r="AW869" s="2"/>
      <c r="AX869" s="2"/>
      <c r="AY869" s="2"/>
      <c r="AZ869" s="2"/>
      <c r="BA869" s="2"/>
      <c r="BB869" s="2"/>
    </row>
    <row r="870">
      <c r="A870" s="2">
        <f>IFERROR(__xludf.DUMMYFUNCTION("""COMPUTED_VALUE"""),866.0)</f>
        <v>866</v>
      </c>
      <c r="B870" s="2" t="str">
        <f>IFERROR(__xludf.DUMMYFUNCTION("""COMPUTED_VALUE"""),"COMPLETED")</f>
        <v>COMPLETED</v>
      </c>
      <c r="C870" s="74">
        <f>IFERROR(__xludf.DUMMYFUNCTION("""COMPUTED_VALUE"""),45737.0)</f>
        <v>45737</v>
      </c>
      <c r="D870" s="71" t="str">
        <f>IFERROR(__xludf.DUMMYFUNCTION("""COMPUTED_VALUE"""),"Mindoro Occidental Womens Rotary Corps Multipurpose Cooperative (MOWRCCO MPC)")</f>
        <v>Mindoro Occidental Womens Rotary Corps Multipurpose Cooperative (MOWRCCO MPC)</v>
      </c>
      <c r="E870" s="71" t="str">
        <f>IFERROR(__xludf.DUMMYFUNCTION("""COMPUTED_VALUE"""),"Labangan Poblacion, San Jose, OCCIDENTAL MINDORO")</f>
        <v>Labangan Poblacion, San Jose, OCCIDENTAL MINDORO</v>
      </c>
      <c r="F870" s="2" t="str">
        <f>IFERROR(__xludf.DUMMYFUNCTION("""COMPUTED_VALUE"""),"PACIENCAI ADVINCULLA")</f>
        <v>PACIENCAI ADVINCULLA</v>
      </c>
      <c r="G870" s="2">
        <f>IFERROR(__xludf.DUMMYFUNCTION("""COMPUTED_VALUE"""),9.657495049E9)</f>
        <v>9657495049</v>
      </c>
      <c r="H870" s="2">
        <f>IFERROR(__xludf.DUMMYFUNCTION("""COMPUTED_VALUE"""),2.7)</f>
        <v>2.7</v>
      </c>
      <c r="I870" s="72" t="str">
        <f>IFERROR(__xludf.DUMMYFUNCTION("""COMPUTED_VALUE"""),"REPAIR - TRACTOR")</f>
        <v>REPAIR - TRACTOR</v>
      </c>
      <c r="J870" s="72" t="str">
        <f>IFERROR(__xludf.DUMMYFUNCTION("""COMPUTED_VALUE"""),"CHECK UP UNIT")</f>
        <v>CHECK UP UNIT</v>
      </c>
      <c r="K870" s="72" t="str">
        <f>IFERROR(__xludf.DUMMYFUNCTION("""COMPUTED_VALUE"""),"DSD: CHECK UP UNIT")</f>
        <v>DSD: CHECK UP UNIT</v>
      </c>
      <c r="L870" s="72" t="str">
        <f>IFERROR(__xludf.DUMMYFUNCTION("""COMPUTED_VALUE"""),"DSD: CHECK UP UNIT")</f>
        <v>DSD: CHECK UP UNIT</v>
      </c>
      <c r="M870" s="2"/>
      <c r="N870" s="2"/>
      <c r="O870" s="2">
        <f>IFERROR(__xludf.DUMMYFUNCTION("""COMPUTED_VALUE"""),145.0)</f>
        <v>145</v>
      </c>
      <c r="P870" s="2"/>
      <c r="Q870" s="2"/>
      <c r="R870" s="74">
        <f>IFERROR(__xludf.DUMMYFUNCTION("""COMPUTED_VALUE"""),45737.0)</f>
        <v>45737</v>
      </c>
      <c r="S870" s="2" t="str">
        <f>IFERROR(__xludf.DUMMYFUNCTION("""COMPUTED_VALUE"""),"RCG/DSD")</f>
        <v>RCG/DSD</v>
      </c>
      <c r="T870" s="73" t="str">
        <f>IFERROR(__xludf.DUMMYFUNCTION("""COMPUTED_VALUE""")," N/A ")</f>
        <v>N/A</v>
      </c>
      <c r="U870" s="73" t="str">
        <f>IFERROR(__xludf.DUMMYFUNCTION("""COMPUTED_VALUE""")," NO CHARGE ")</f>
        <v>NO CHARGE</v>
      </c>
      <c r="V870" s="2"/>
      <c r="W870" s="2" t="str">
        <f>IFERROR(__xludf.DUMMYFUNCTION("""COMPUTED_VALUE"""),"N/A")</f>
        <v>N/A</v>
      </c>
      <c r="X870" s="2" t="str">
        <f>IFERROR(__xludf.DUMMYFUNCTION("""COMPUTED_VALUE"""),"N/A")</f>
        <v>N/A</v>
      </c>
      <c r="Y870" s="2"/>
      <c r="Z870" s="2"/>
      <c r="AA870" s="2"/>
      <c r="AB870" s="2"/>
      <c r="AC870" s="2"/>
      <c r="AD870" s="2"/>
      <c r="AE870" s="2"/>
      <c r="AF870" s="2"/>
      <c r="AG870" s="2"/>
      <c r="AH870" s="2"/>
      <c r="AI870" s="2"/>
      <c r="AJ870" s="2" t="str">
        <f>IFERROR(__xludf.DUMMYFUNCTION("""COMPUTED_VALUE"""),"Labangan Poblacion")</f>
        <v>Labangan Poblacion</v>
      </c>
      <c r="AK870" s="2" t="str">
        <f>IFERROR(__xludf.DUMMYFUNCTION("""COMPUTED_VALUE"""),"San Jose")</f>
        <v>San Jose</v>
      </c>
      <c r="AL870" s="2" t="str">
        <f>IFERROR(__xludf.DUMMYFUNCTION("""COMPUTED_VALUE"""),"Occidental Mindoro")</f>
        <v>Occidental Mindoro</v>
      </c>
      <c r="AM870" s="2" t="str">
        <f>IFERROR(__xludf.DUMMYFUNCTION("""COMPUTED_VALUE"""),"4B")</f>
        <v>4B</v>
      </c>
      <c r="AN870" s="2" t="str">
        <f>IFERROR(__xludf.DUMMYFUNCTION("""COMPUTED_VALUE"""),"RCEF 24-04-15")</f>
        <v>RCEF 24-04-15</v>
      </c>
      <c r="AO870" s="2">
        <f>IFERROR(__xludf.DUMMYFUNCTION("""COMPUTED_VALUE"""),7.0)</f>
        <v>7</v>
      </c>
      <c r="AP870" s="2" t="str">
        <f>IFERROR(__xludf.DUMMYFUNCTION("""COMPUTED_VALUE"""),"FREE PMS")</f>
        <v>FREE PMS</v>
      </c>
      <c r="AQ870" s="2"/>
      <c r="AR870" s="2"/>
      <c r="AS870" s="2"/>
      <c r="AT870" s="2"/>
      <c r="AU870" s="2"/>
      <c r="AV870" s="2"/>
      <c r="AW870" s="2"/>
      <c r="AX870" s="2"/>
      <c r="AY870" s="2"/>
      <c r="AZ870" s="2"/>
      <c r="BA870" s="2"/>
      <c r="BB870" s="2"/>
    </row>
    <row r="871">
      <c r="A871" s="2">
        <f>IFERROR(__xludf.DUMMYFUNCTION("""COMPUTED_VALUE"""),867.0)</f>
        <v>867</v>
      </c>
      <c r="B871" s="2" t="str">
        <f>IFERROR(__xludf.DUMMYFUNCTION("""COMPUTED_VALUE"""),"COMPLETED")</f>
        <v>COMPLETED</v>
      </c>
      <c r="C871" s="74">
        <f>IFERROR(__xludf.DUMMYFUNCTION("""COMPUTED_VALUE"""),45737.0)</f>
        <v>45737</v>
      </c>
      <c r="D871" s="71" t="str">
        <f>IFERROR(__xludf.DUMMYFUNCTION("""COMPUTED_VALUE"""),"Lourdes Multi-Purpose Cooperative")</f>
        <v>Lourdes Multi-Purpose Cooperative</v>
      </c>
      <c r="E871" s="71" t="str">
        <f>IFERROR(__xludf.DUMMYFUNCTION("""COMPUTED_VALUE"""),"Poblacion, Magsaysay, OCCIDENTAL MINDORO")</f>
        <v>Poblacion, Magsaysay, OCCIDENTAL MINDORO</v>
      </c>
      <c r="F871" s="2" t="str">
        <f>IFERROR(__xludf.DUMMYFUNCTION("""COMPUTED_VALUE"""),"ROSALIE ANTONIO")</f>
        <v>ROSALIE ANTONIO</v>
      </c>
      <c r="G871" s="2">
        <f>IFERROR(__xludf.DUMMYFUNCTION("""COMPUTED_VALUE"""),9.088854332E9)</f>
        <v>9088854332</v>
      </c>
      <c r="H871" s="2">
        <f>IFERROR(__xludf.DUMMYFUNCTION("""COMPUTED_VALUE"""),4.1)</f>
        <v>4.1</v>
      </c>
      <c r="I871" s="72" t="str">
        <f>IFERROR(__xludf.DUMMYFUNCTION("""COMPUTED_VALUE"""),"PMS")</f>
        <v>PMS</v>
      </c>
      <c r="J871" s="72" t="str">
        <f>IFERROR(__xludf.DUMMYFUNCTION("""COMPUTED_VALUE"""),"PMS")</f>
        <v>PMS</v>
      </c>
      <c r="K871" s="72" t="str">
        <f>IFERROR(__xludf.DUMMYFUNCTION("""COMPUTED_VALUE"""),"DSD: 1ST PMS FREE")</f>
        <v>DSD: 1ST PMS FREE</v>
      </c>
      <c r="L871" s="72" t="str">
        <f>IFERROR(__xludf.DUMMYFUNCTION("""COMPUTED_VALUE"""),"DSD: 1ST PMS DONE")</f>
        <v>DSD: 1ST PMS DONE</v>
      </c>
      <c r="M871" s="2"/>
      <c r="N871" s="2" t="str">
        <f>IFERROR(__xludf.DUMMYFUNCTION("""COMPUTED_VALUE"""),"PARTS: OIL FILTER, ENGINE OIL")</f>
        <v>PARTS: OIL FILTER, ENGINE OIL</v>
      </c>
      <c r="O871" s="2">
        <f>IFERROR(__xludf.DUMMYFUNCTION("""COMPUTED_VALUE"""),146.0)</f>
        <v>146</v>
      </c>
      <c r="P871" s="2"/>
      <c r="Q871" s="2"/>
      <c r="R871" s="74">
        <f>IFERROR(__xludf.DUMMYFUNCTION("""COMPUTED_VALUE"""),45737.0)</f>
        <v>45737</v>
      </c>
      <c r="S871" s="2" t="str">
        <f>IFERROR(__xludf.DUMMYFUNCTION("""COMPUTED_VALUE"""),"RCG/DSD")</f>
        <v>RCG/DSD</v>
      </c>
      <c r="T871" s="73" t="str">
        <f>IFERROR(__xludf.DUMMYFUNCTION("""COMPUTED_VALUE""")," N/A ")</f>
        <v>N/A</v>
      </c>
      <c r="U871" s="73" t="str">
        <f>IFERROR(__xludf.DUMMYFUNCTION("""COMPUTED_VALUE""")," NO CHARGE ")</f>
        <v>NO CHARGE</v>
      </c>
      <c r="V871" s="2"/>
      <c r="W871" s="2" t="str">
        <f>IFERROR(__xludf.DUMMYFUNCTION("""COMPUTED_VALUE"""),"N/A")</f>
        <v>N/A</v>
      </c>
      <c r="X871" s="2" t="str">
        <f>IFERROR(__xludf.DUMMYFUNCTION("""COMPUTED_VALUE"""),"N/A")</f>
        <v>N/A</v>
      </c>
      <c r="Y871" s="2"/>
      <c r="Z871" s="2"/>
      <c r="AA871" s="2"/>
      <c r="AB871" s="2"/>
      <c r="AC871" s="2"/>
      <c r="AD871" s="2"/>
      <c r="AE871" s="2"/>
      <c r="AF871" s="2"/>
      <c r="AG871" s="2"/>
      <c r="AH871" s="2"/>
      <c r="AI871" s="2"/>
      <c r="AJ871" s="2" t="str">
        <f>IFERROR(__xludf.DUMMYFUNCTION("""COMPUTED_VALUE"""),"Poblacion")</f>
        <v>Poblacion</v>
      </c>
      <c r="AK871" s="2" t="str">
        <f>IFERROR(__xludf.DUMMYFUNCTION("""COMPUTED_VALUE"""),"Magsaysay")</f>
        <v>Magsaysay</v>
      </c>
      <c r="AL871" s="2" t="str">
        <f>IFERROR(__xludf.DUMMYFUNCTION("""COMPUTED_VALUE"""),"Occidental Mindoro")</f>
        <v>Occidental Mindoro</v>
      </c>
      <c r="AM871" s="2" t="str">
        <f>IFERROR(__xludf.DUMMYFUNCTION("""COMPUTED_VALUE"""),"4B")</f>
        <v>4B</v>
      </c>
      <c r="AN871" s="2" t="str">
        <f>IFERROR(__xludf.DUMMYFUNCTION("""COMPUTED_VALUE"""),"RCEF 24-04-15")</f>
        <v>RCEF 24-04-15</v>
      </c>
      <c r="AO871" s="2">
        <f>IFERROR(__xludf.DUMMYFUNCTION("""COMPUTED_VALUE"""),7.0)</f>
        <v>7</v>
      </c>
      <c r="AP871" s="2" t="str">
        <f>IFERROR(__xludf.DUMMYFUNCTION("""COMPUTED_VALUE"""),"FREE PMS")</f>
        <v>FREE PMS</v>
      </c>
      <c r="AQ871" s="2"/>
      <c r="AR871" s="2"/>
      <c r="AS871" s="2"/>
      <c r="AT871" s="2"/>
      <c r="AU871" s="2"/>
      <c r="AV871" s="2"/>
      <c r="AW871" s="2"/>
      <c r="AX871" s="2"/>
      <c r="AY871" s="2"/>
      <c r="AZ871" s="2"/>
      <c r="BA871" s="2"/>
      <c r="BB871" s="2"/>
    </row>
    <row r="872">
      <c r="A872" s="2">
        <f>IFERROR(__xludf.DUMMYFUNCTION("""COMPUTED_VALUE"""),868.0)</f>
        <v>868</v>
      </c>
      <c r="B872" s="2" t="str">
        <f>IFERROR(__xludf.DUMMYFUNCTION("""COMPUTED_VALUE"""),"COMPLETED")</f>
        <v>COMPLETED</v>
      </c>
      <c r="C872" s="74">
        <f>IFERROR(__xludf.DUMMYFUNCTION("""COMPUTED_VALUE"""),45737.0)</f>
        <v>45737</v>
      </c>
      <c r="D872" s="71" t="str">
        <f>IFERROR(__xludf.DUMMYFUNCTION("""COMPUTED_VALUE"""),"Municipal Local Governement Unit of Bulalacao")</f>
        <v>Municipal Local Governement Unit of Bulalacao</v>
      </c>
      <c r="E872" s="71" t="str">
        <f>IFERROR(__xludf.DUMMYFUNCTION("""COMPUTED_VALUE"""),"Poblacion, Bulalacao, ORIENTAL MINDORO")</f>
        <v>Poblacion, Bulalacao, ORIENTAL MINDORO</v>
      </c>
      <c r="F872" s="2" t="str">
        <f>IFERROR(__xludf.DUMMYFUNCTION("""COMPUTED_VALUE"""),"HON. ERNILLO C. VILLAS")</f>
        <v>HON. ERNILLO C. VILLAS</v>
      </c>
      <c r="G872" s="2">
        <f>IFERROR(__xludf.DUMMYFUNCTION("""COMPUTED_VALUE"""),9.47997514E8)</f>
        <v>947997514</v>
      </c>
      <c r="H872" s="2">
        <f>IFERROR(__xludf.DUMMYFUNCTION("""COMPUTED_VALUE"""),2.0)</f>
        <v>2</v>
      </c>
      <c r="I872" s="72" t="str">
        <f>IFERROR(__xludf.DUMMYFUNCTION("""COMPUTED_VALUE"""),"REPAIR - TRACTOR")</f>
        <v>REPAIR - TRACTOR</v>
      </c>
      <c r="J872" s="72" t="str">
        <f>IFERROR(__xludf.DUMMYFUNCTION("""COMPUTED_VALUE"""),"CHECK UP UNIT")</f>
        <v>CHECK UP UNIT</v>
      </c>
      <c r="K872" s="72" t="str">
        <f>IFERROR(__xludf.DUMMYFUNCTION("""COMPUTED_VALUE"""),"DSD: CHECK UP UNIT")</f>
        <v>DSD: CHECK UP UNIT</v>
      </c>
      <c r="L872" s="72" t="str">
        <f>IFERROR(__xludf.DUMMYFUNCTION("""COMPUTED_VALUE"""),"DSD: CHECK UP UNIT")</f>
        <v>DSD: CHECK UP UNIT</v>
      </c>
      <c r="M872" s="2"/>
      <c r="N872" s="2"/>
      <c r="O872" s="2">
        <f>IFERROR(__xludf.DUMMYFUNCTION("""COMPUTED_VALUE"""),147.0)</f>
        <v>147</v>
      </c>
      <c r="P872" s="2"/>
      <c r="Q872" s="2"/>
      <c r="R872" s="74">
        <f>IFERROR(__xludf.DUMMYFUNCTION("""COMPUTED_VALUE"""),45737.0)</f>
        <v>45737</v>
      </c>
      <c r="S872" s="2" t="str">
        <f>IFERROR(__xludf.DUMMYFUNCTION("""COMPUTED_VALUE"""),"RCG/DSD")</f>
        <v>RCG/DSD</v>
      </c>
      <c r="T872" s="73" t="str">
        <f>IFERROR(__xludf.DUMMYFUNCTION("""COMPUTED_VALUE""")," N/A ")</f>
        <v>N/A</v>
      </c>
      <c r="U872" s="73" t="str">
        <f>IFERROR(__xludf.DUMMYFUNCTION("""COMPUTED_VALUE""")," NO CHARGE ")</f>
        <v>NO CHARGE</v>
      </c>
      <c r="V872" s="2"/>
      <c r="W872" s="2" t="str">
        <f>IFERROR(__xludf.DUMMYFUNCTION("""COMPUTED_VALUE"""),"N/A")</f>
        <v>N/A</v>
      </c>
      <c r="X872" s="2" t="str">
        <f>IFERROR(__xludf.DUMMYFUNCTION("""COMPUTED_VALUE"""),"N/A")</f>
        <v>N/A</v>
      </c>
      <c r="Y872" s="2"/>
      <c r="Z872" s="2"/>
      <c r="AA872" s="2"/>
      <c r="AB872" s="2"/>
      <c r="AC872" s="2"/>
      <c r="AD872" s="2"/>
      <c r="AE872" s="2"/>
      <c r="AF872" s="2"/>
      <c r="AG872" s="2"/>
      <c r="AH872" s="2"/>
      <c r="AI872" s="2"/>
      <c r="AJ872" s="2" t="str">
        <f>IFERROR(__xludf.DUMMYFUNCTION("""COMPUTED_VALUE"""),"Poblacion")</f>
        <v>Poblacion</v>
      </c>
      <c r="AK872" s="2" t="str">
        <f>IFERROR(__xludf.DUMMYFUNCTION("""COMPUTED_VALUE"""),"Bulalacao")</f>
        <v>Bulalacao</v>
      </c>
      <c r="AL872" s="2" t="str">
        <f>IFERROR(__xludf.DUMMYFUNCTION("""COMPUTED_VALUE"""),"Oriental Mindoro")</f>
        <v>Oriental Mindoro</v>
      </c>
      <c r="AM872" s="2" t="str">
        <f>IFERROR(__xludf.DUMMYFUNCTION("""COMPUTED_VALUE"""),"4B")</f>
        <v>4B</v>
      </c>
      <c r="AN872" s="2" t="str">
        <f>IFERROR(__xludf.DUMMYFUNCTION("""COMPUTED_VALUE"""),"RCEF 24-04-15")</f>
        <v>RCEF 24-04-15</v>
      </c>
      <c r="AO872" s="2">
        <f>IFERROR(__xludf.DUMMYFUNCTION("""COMPUTED_VALUE"""),7.0)</f>
        <v>7</v>
      </c>
      <c r="AP872" s="2" t="str">
        <f>IFERROR(__xludf.DUMMYFUNCTION("""COMPUTED_VALUE"""),"FREE PMS")</f>
        <v>FREE PMS</v>
      </c>
      <c r="AQ872" s="2"/>
      <c r="AR872" s="2"/>
      <c r="AS872" s="2"/>
      <c r="AT872" s="2"/>
      <c r="AU872" s="2"/>
      <c r="AV872" s="2"/>
      <c r="AW872" s="2"/>
      <c r="AX872" s="2"/>
      <c r="AY872" s="2"/>
      <c r="AZ872" s="2"/>
      <c r="BA872" s="2"/>
      <c r="BB872" s="2"/>
    </row>
    <row r="873">
      <c r="A873" s="2">
        <f>IFERROR(__xludf.DUMMYFUNCTION("""COMPUTED_VALUE"""),869.0)</f>
        <v>869</v>
      </c>
      <c r="B873" s="2" t="str">
        <f>IFERROR(__xludf.DUMMYFUNCTION("""COMPUTED_VALUE"""),"COMPLETED")</f>
        <v>COMPLETED</v>
      </c>
      <c r="C873" s="74">
        <f>IFERROR(__xludf.DUMMYFUNCTION("""COMPUTED_VALUE"""),45738.0)</f>
        <v>45738</v>
      </c>
      <c r="D873" s="71" t="str">
        <f>IFERROR(__xludf.DUMMYFUNCTION("""COMPUTED_VALUE"""),"Magandang Buhay ng Samon Agriculture Cooperative")</f>
        <v>Magandang Buhay ng Samon Agriculture Cooperative</v>
      </c>
      <c r="E873" s="71" t="str">
        <f>IFERROR(__xludf.DUMMYFUNCTION("""COMPUTED_VALUE"""),"Samon, Cabanatuan City, NUEVA ECIJA")</f>
        <v>Samon, Cabanatuan City, NUEVA ECIJA</v>
      </c>
      <c r="F873" s="2" t="str">
        <f>IFERROR(__xludf.DUMMYFUNCTION("""COMPUTED_VALUE"""),"DANILO MANA")</f>
        <v>DANILO MANA</v>
      </c>
      <c r="G873" s="2"/>
      <c r="H873" s="2">
        <f>IFERROR(__xludf.DUMMYFUNCTION("""COMPUTED_VALUE"""),177.5)</f>
        <v>177.5</v>
      </c>
      <c r="I873" s="72" t="str">
        <f>IFERROR(__xludf.DUMMYFUNCTION("""COMPUTED_VALUE"""),"PMS")</f>
        <v>PMS</v>
      </c>
      <c r="J873" s="72" t="str">
        <f>IFERROR(__xludf.DUMMYFUNCTION("""COMPUTED_VALUE"""),"PMS")</f>
        <v>PMS</v>
      </c>
      <c r="K873" s="72" t="str">
        <f>IFERROR(__xludf.DUMMYFUNCTION("""COMPUTED_VALUE"""),"ACS: 1ST PMS (FREE)")</f>
        <v>ACS: 1ST PMS (FREE)</v>
      </c>
      <c r="L873" s="72" t="str">
        <f>IFERROR(__xludf.DUMMYFUNCTION("""COMPUTED_VALUE"""),"ACS: 1ST PMS DONE")</f>
        <v>ACS: 1ST PMS DONE</v>
      </c>
      <c r="M873" s="2"/>
      <c r="N873" s="2" t="str">
        <f>IFERROR(__xludf.DUMMYFUNCTION("""COMPUTED_VALUE"""),"PARTS: ENGINE OIL , OIL FILTER")</f>
        <v>PARTS: ENGINE OIL , OIL FILTER</v>
      </c>
      <c r="O873" s="2">
        <f>IFERROR(__xludf.DUMMYFUNCTION("""COMPUTED_VALUE"""),1231.0)</f>
        <v>1231</v>
      </c>
      <c r="P873" s="2"/>
      <c r="Q873" s="2"/>
      <c r="R873" s="74">
        <f>IFERROR(__xludf.DUMMYFUNCTION("""COMPUTED_VALUE"""),45738.0)</f>
        <v>45738</v>
      </c>
      <c r="S873" s="2" t="str">
        <f>IFERROR(__xludf.DUMMYFUNCTION("""COMPUTED_VALUE"""),"JHP/ACS")</f>
        <v>JHP/ACS</v>
      </c>
      <c r="T873" s="73" t="str">
        <f>IFERROR(__xludf.DUMMYFUNCTION("""COMPUTED_VALUE""")," N/A ")</f>
        <v>N/A</v>
      </c>
      <c r="U873" s="73" t="str">
        <f>IFERROR(__xludf.DUMMYFUNCTION("""COMPUTED_VALUE""")," NO CHARGE ")</f>
        <v>NO CHARGE</v>
      </c>
      <c r="V873" s="2"/>
      <c r="W873" s="2" t="str">
        <f>IFERROR(__xludf.DUMMYFUNCTION("""COMPUTED_VALUE"""),"N/A")</f>
        <v>N/A</v>
      </c>
      <c r="X873" s="2" t="str">
        <f>IFERROR(__xludf.DUMMYFUNCTION("""COMPUTED_VALUE"""),"N/A")</f>
        <v>N/A</v>
      </c>
      <c r="Y873" s="2"/>
      <c r="Z873" s="2"/>
      <c r="AA873" s="2"/>
      <c r="AB873" s="2"/>
      <c r="AC873" s="2"/>
      <c r="AD873" s="2"/>
      <c r="AE873" s="2"/>
      <c r="AF873" s="2"/>
      <c r="AG873" s="2"/>
      <c r="AH873" s="2"/>
      <c r="AI873" s="2"/>
      <c r="AJ873" s="2" t="str">
        <f>IFERROR(__xludf.DUMMYFUNCTION("""COMPUTED_VALUE"""),"Samon")</f>
        <v>Samon</v>
      </c>
      <c r="AK873" s="2" t="str">
        <f>IFERROR(__xludf.DUMMYFUNCTION("""COMPUTED_VALUE"""),"Cabanatuan City")</f>
        <v>Cabanatuan City</v>
      </c>
      <c r="AL873" s="2" t="str">
        <f>IFERROR(__xludf.DUMMYFUNCTION("""COMPUTED_VALUE"""),"Nueva Ecija")</f>
        <v>Nueva Ecija</v>
      </c>
      <c r="AM873" s="2">
        <f>IFERROR(__xludf.DUMMYFUNCTION("""COMPUTED_VALUE"""),3.0)</f>
        <v>3</v>
      </c>
      <c r="AN873" s="2" t="str">
        <f>IFERROR(__xludf.DUMMYFUNCTION("""COMPUTED_VALUE"""),"RCEF 24-04-15")</f>
        <v>RCEF 24-04-15</v>
      </c>
      <c r="AO873" s="2">
        <f>IFERROR(__xludf.DUMMYFUNCTION("""COMPUTED_VALUE"""),6.0)</f>
        <v>6</v>
      </c>
      <c r="AP873" s="2" t="str">
        <f>IFERROR(__xludf.DUMMYFUNCTION("""COMPUTED_VALUE"""),"FREE PMS")</f>
        <v>FREE PMS</v>
      </c>
      <c r="AQ873" s="2"/>
      <c r="AR873" s="2"/>
      <c r="AS873" s="2"/>
      <c r="AT873" s="2"/>
      <c r="AU873" s="2"/>
      <c r="AV873" s="2"/>
      <c r="AW873" s="2"/>
      <c r="AX873" s="2"/>
      <c r="AY873" s="2"/>
      <c r="AZ873" s="2"/>
      <c r="BA873" s="2"/>
      <c r="BB873" s="2"/>
    </row>
    <row r="874">
      <c r="A874" s="2">
        <f>IFERROR(__xludf.DUMMYFUNCTION("""COMPUTED_VALUE"""),870.0)</f>
        <v>870</v>
      </c>
      <c r="B874" s="2" t="str">
        <f>IFERROR(__xludf.DUMMYFUNCTION("""COMPUTED_VALUE"""),"COMPLETED")</f>
        <v>COMPLETED</v>
      </c>
      <c r="C874" s="74">
        <f>IFERROR(__xludf.DUMMYFUNCTION("""COMPUTED_VALUE"""),45739.0)</f>
        <v>45739</v>
      </c>
      <c r="D874" s="71" t="str">
        <f>IFERROR(__xludf.DUMMYFUNCTION("""COMPUTED_VALUE"""),"Butil, Gulayan, at Paghahayupan ng Magsasaka ng Bagong Barrio")</f>
        <v>Butil, Gulayan, at Paghahayupan ng Magsasaka ng Bagong Barrio</v>
      </c>
      <c r="E874" s="71" t="str">
        <f>IFERROR(__xludf.DUMMYFUNCTION("""COMPUTED_VALUE"""),"Bagong Barrio, Pandi, BULACAN")</f>
        <v>Bagong Barrio, Pandi, BULACAN</v>
      </c>
      <c r="F874" s="2" t="str">
        <f>IFERROR(__xludf.DUMMYFUNCTION("""COMPUTED_VALUE"""),"Adriano Jhun Landayan")</f>
        <v>Adriano Jhun Landayan</v>
      </c>
      <c r="G874" s="2">
        <f>IFERROR(__xludf.DUMMYFUNCTION("""COMPUTED_VALUE"""),9.150329828E9)</f>
        <v>9150329828</v>
      </c>
      <c r="H874" s="2">
        <f>IFERROR(__xludf.DUMMYFUNCTION("""COMPUTED_VALUE"""),379.0)</f>
        <v>379</v>
      </c>
      <c r="I874" s="72" t="str">
        <f>IFERROR(__xludf.DUMMYFUNCTION("""COMPUTED_VALUE"""),"PMS")</f>
        <v>PMS</v>
      </c>
      <c r="J874" s="72" t="str">
        <f>IFERROR(__xludf.DUMMYFUNCTION("""COMPUTED_VALUE"""),"PMS")</f>
        <v>PMS</v>
      </c>
      <c r="K874" s="72" t="str">
        <f>IFERROR(__xludf.DUMMYFUNCTION("""COMPUTED_VALUE"""),"JHP: 2ND PMS : (NO BUDGET PA) CALL NALANG DAW ONCE MAY BUDGET NA")</f>
        <v>JHP: 2ND PMS : (NO BUDGET PA) CALL NALANG DAW ONCE MAY BUDGET NA</v>
      </c>
      <c r="L874" s="72" t="str">
        <f>IFERROR(__xludf.DUMMYFUNCTION("""COMPUTED_VALUE"""),"EGT: 2ND PMS DONE")</f>
        <v>EGT: 2ND PMS DONE</v>
      </c>
      <c r="M874" s="2"/>
      <c r="N874" s="2"/>
      <c r="O874" s="2">
        <f>IFERROR(__xludf.DUMMYFUNCTION("""COMPUTED_VALUE"""),1130.0)</f>
        <v>1130</v>
      </c>
      <c r="P874" s="2"/>
      <c r="Q874" s="2"/>
      <c r="R874" s="74">
        <f>IFERROR(__xludf.DUMMYFUNCTION("""COMPUTED_VALUE"""),45797.0)</f>
        <v>45797</v>
      </c>
      <c r="S874" s="2" t="str">
        <f>IFERROR(__xludf.DUMMYFUNCTION("""COMPUTED_VALUE"""),"EGT/DRM")</f>
        <v>EGT/DRM</v>
      </c>
      <c r="T874" s="73" t="str">
        <f>IFERROR(__xludf.DUMMYFUNCTION("""COMPUTED_VALUE""")," N/A ")</f>
        <v>N/A</v>
      </c>
      <c r="U874" s="73" t="str">
        <f>IFERROR(__xludf.DUMMYFUNCTION("""COMPUTED_VALUE""")," NO CHARGE ")</f>
        <v>NO CHARGE</v>
      </c>
      <c r="V874" s="2"/>
      <c r="W874" s="2" t="str">
        <f>IFERROR(__xludf.DUMMYFUNCTION("""COMPUTED_VALUE"""),"N/A")</f>
        <v>N/A</v>
      </c>
      <c r="X874" s="2" t="str">
        <f>IFERROR(__xludf.DUMMYFUNCTION("""COMPUTED_VALUE"""),"N/A")</f>
        <v>N/A</v>
      </c>
      <c r="Y874" s="2"/>
      <c r="Z874" s="2"/>
      <c r="AA874" s="2"/>
      <c r="AB874" s="2"/>
      <c r="AC874" s="2"/>
      <c r="AD874" s="2"/>
      <c r="AE874" s="2"/>
      <c r="AF874" s="2"/>
      <c r="AG874" s="2"/>
      <c r="AH874" s="2"/>
      <c r="AI874" s="2"/>
      <c r="AJ874" s="2" t="str">
        <f>IFERROR(__xludf.DUMMYFUNCTION("""COMPUTED_VALUE"""),"Bagong Barrio")</f>
        <v>Bagong Barrio</v>
      </c>
      <c r="AK874" s="2" t="str">
        <f>IFERROR(__xludf.DUMMYFUNCTION("""COMPUTED_VALUE"""),"Pandi")</f>
        <v>Pandi</v>
      </c>
      <c r="AL874" s="2" t="str">
        <f>IFERROR(__xludf.DUMMYFUNCTION("""COMPUTED_VALUE"""),"Bulacan")</f>
        <v>Bulacan</v>
      </c>
      <c r="AM874" s="2">
        <f>IFERROR(__xludf.DUMMYFUNCTION("""COMPUTED_VALUE"""),3.0)</f>
        <v>3</v>
      </c>
      <c r="AN874" s="2" t="str">
        <f>IFERROR(__xludf.DUMMYFUNCTION("""COMPUTED_VALUE"""),"RCEF 23-09-21 Rebidding")</f>
        <v>RCEF 23-09-21 Rebidding</v>
      </c>
      <c r="AO874" s="2">
        <f>IFERROR(__xludf.DUMMYFUNCTION("""COMPUTED_VALUE"""),3.0)</f>
        <v>3</v>
      </c>
      <c r="AP874" s="2"/>
      <c r="AQ874" s="2"/>
      <c r="AR874" s="2"/>
      <c r="AS874" s="2"/>
      <c r="AT874" s="2"/>
      <c r="AU874" s="2"/>
      <c r="AV874" s="2"/>
      <c r="AW874" s="2"/>
      <c r="AX874" s="2"/>
      <c r="AY874" s="2"/>
      <c r="AZ874" s="2"/>
      <c r="BA874" s="2"/>
      <c r="BB874" s="2"/>
    </row>
    <row r="875">
      <c r="A875" s="2">
        <f>IFERROR(__xludf.DUMMYFUNCTION("""COMPUTED_VALUE"""),871.0)</f>
        <v>871</v>
      </c>
      <c r="B875" s="2" t="str">
        <f>IFERROR(__xludf.DUMMYFUNCTION("""COMPUTED_VALUE"""),"COMPLETED")</f>
        <v>COMPLETED</v>
      </c>
      <c r="C875" s="74">
        <f>IFERROR(__xludf.DUMMYFUNCTION("""COMPUTED_VALUE"""),45742.0)</f>
        <v>45742</v>
      </c>
      <c r="D875" s="71" t="str">
        <f>IFERROR(__xludf.DUMMYFUNCTION("""COMPUTED_VALUE"""),"MULANAY RICE FARMERS FEDERATION")</f>
        <v>MULANAY RICE FARMERS FEDERATION</v>
      </c>
      <c r="E875" s="71" t="str">
        <f>IFERROR(__xludf.DUMMYFUNCTION("""COMPUTED_VALUE"""),"Barangay 1, Malunay, Quezon")</f>
        <v>Barangay 1, Malunay, Quezon</v>
      </c>
      <c r="F875" s="2" t="str">
        <f>IFERROR(__xludf.DUMMYFUNCTION("""COMPUTED_VALUE"""),"Austin A. Rejano")</f>
        <v>Austin A. Rejano</v>
      </c>
      <c r="G875" s="2">
        <f>IFERROR(__xludf.DUMMYFUNCTION("""COMPUTED_VALUE"""),9.917144482E9)</f>
        <v>9917144482</v>
      </c>
      <c r="H875" s="2"/>
      <c r="I875" s="72" t="str">
        <f>IFERROR(__xludf.DUMMYFUNCTION("""COMPUTED_VALUE"""),"REPAIR - TRACTOR")</f>
        <v>REPAIR - TRACTOR</v>
      </c>
      <c r="J875" s="72"/>
      <c r="K875" s="72" t="str">
        <f>IFERROR(__xludf.DUMMYFUNCTION("""COMPUTED_VALUE"""),"KFS: about po dun sa adjuster nung traktora sa centro po hindi sya mapihit hindi po sya maibalik")</f>
        <v>KFS: about po dun sa adjuster nung traktora sa centro po hindi sya mapihit hindi po sya maibalik</v>
      </c>
      <c r="L875" s="72" t="str">
        <f>IFERROR(__xludf.DUMMYFUNCTION("""COMPUTED_VALUE"""),"JTT: Boss sa tractor ni adamco ang may problema hinid ang discplow natin.
 yung center link ni adamco ang hindi ma adjust.  ")</f>
        <v>JTT: Boss sa tractor ni adamco ang may problema hinid ang discplow natin.
 yung center link ni adamco ang hindi ma adjust.  </v>
      </c>
      <c r="M875" s="2"/>
      <c r="N875" s="2"/>
      <c r="O875" s="2" t="str">
        <f>IFERROR(__xludf.DUMMYFUNCTION("""COMPUTED_VALUE"""),"N/A")</f>
        <v>N/A</v>
      </c>
      <c r="P875" s="2"/>
      <c r="Q875" s="2"/>
      <c r="R875" s="74">
        <f>IFERROR(__xludf.DUMMYFUNCTION("""COMPUTED_VALUE"""),45742.0)</f>
        <v>45742</v>
      </c>
      <c r="S875" s="2" t="str">
        <f>IFERROR(__xludf.DUMMYFUNCTION("""COMPUTED_VALUE"""),"JTT")</f>
        <v>JTT</v>
      </c>
      <c r="T875" s="73" t="str">
        <f>IFERROR(__xludf.DUMMYFUNCTION("""COMPUTED_VALUE""")," N/A ")</f>
        <v>N/A</v>
      </c>
      <c r="U875" s="73" t="str">
        <f>IFERROR(__xludf.DUMMYFUNCTION("""COMPUTED_VALUE""")," NO CHARGE ")</f>
        <v>NO CHARGE</v>
      </c>
      <c r="V875" s="2"/>
      <c r="W875" s="2" t="str">
        <f>IFERROR(__xludf.DUMMYFUNCTION("""COMPUTED_VALUE"""),"N/A")</f>
        <v>N/A</v>
      </c>
      <c r="X875" s="2" t="str">
        <f>IFERROR(__xludf.DUMMYFUNCTION("""COMPUTED_VALUE"""),"N/A")</f>
        <v>N/A</v>
      </c>
      <c r="Y875" s="2"/>
      <c r="Z875" s="2"/>
      <c r="AA875" s="2"/>
      <c r="AB875" s="2"/>
      <c r="AC875" s="2"/>
      <c r="AD875" s="2"/>
      <c r="AE875" s="2"/>
      <c r="AF875" s="2"/>
      <c r="AG875" s="2"/>
      <c r="AH875" s="2"/>
      <c r="AI875" s="2"/>
      <c r="AJ875" s="2" t="str">
        <f>IFERROR(__xludf.DUMMYFUNCTION("""COMPUTED_VALUE"""),"Barangay 1")</f>
        <v>Barangay 1</v>
      </c>
      <c r="AK875" s="2" t="str">
        <f>IFERROR(__xludf.DUMMYFUNCTION("""COMPUTED_VALUE"""),"Malunay")</f>
        <v>Malunay</v>
      </c>
      <c r="AL875" s="2" t="str">
        <f>IFERROR(__xludf.DUMMYFUNCTION("""COMPUTED_VALUE"""),"Quezon")</f>
        <v>Quezon</v>
      </c>
      <c r="AM875" s="2" t="str">
        <f>IFERROR(__xludf.DUMMYFUNCTION("""COMPUTED_VALUE"""),"4A")</f>
        <v>4A</v>
      </c>
      <c r="AN875" s="2" t="str">
        <f>IFERROR(__xludf.DUMMYFUNCTION("""COMPUTED_VALUE"""),"RCEF 23-08-20 Rebidding")</f>
        <v>RCEF 23-08-20 Rebidding</v>
      </c>
      <c r="AO875" s="2">
        <f>IFERROR(__xludf.DUMMYFUNCTION("""COMPUTED_VALUE"""),1.0)</f>
        <v>1</v>
      </c>
      <c r="AP875" s="2"/>
      <c r="AQ875" s="2"/>
      <c r="AR875" s="2"/>
      <c r="AS875" s="2"/>
      <c r="AT875" s="2"/>
      <c r="AU875" s="2"/>
      <c r="AV875" s="2"/>
      <c r="AW875" s="2"/>
      <c r="AX875" s="2"/>
      <c r="AY875" s="2"/>
      <c r="AZ875" s="2"/>
      <c r="BA875" s="2"/>
      <c r="BB875" s="2"/>
    </row>
    <row r="876">
      <c r="A876" s="2">
        <f>IFERROR(__xludf.DUMMYFUNCTION("""COMPUTED_VALUE"""),872.0)</f>
        <v>872</v>
      </c>
      <c r="B876" s="2" t="str">
        <f>IFERROR(__xludf.DUMMYFUNCTION("""COMPUTED_VALUE"""),"COMPLETED")</f>
        <v>COMPLETED</v>
      </c>
      <c r="C876" s="74">
        <f>IFERROR(__xludf.DUMMYFUNCTION("""COMPUTED_VALUE"""),45742.0)</f>
        <v>45742</v>
      </c>
      <c r="D876" s="71" t="str">
        <f>IFERROR(__xludf.DUMMYFUNCTION("""COMPUTED_VALUE"""),"VIZAL-SAN PABLO IRRIGATORS ASSOCIATION, INC.")</f>
        <v>VIZAL-SAN PABLO IRRIGATORS ASSOCIATION, INC.</v>
      </c>
      <c r="E876" s="71" t="str">
        <f>IFERROR(__xludf.DUMMYFUNCTION("""COMPUTED_VALUE"""),"Vizal San Pablo, Candaba, PAMPANGA")</f>
        <v>Vizal San Pablo, Candaba, PAMPANGA</v>
      </c>
      <c r="F876" s="2"/>
      <c r="G876" s="2">
        <f>IFERROR(__xludf.DUMMYFUNCTION("""COMPUTED_VALUE"""),9.422157981E9)</f>
        <v>9422157981</v>
      </c>
      <c r="H876" s="2">
        <f>IFERROR(__xludf.DUMMYFUNCTION("""COMPUTED_VALUE"""),57.0)</f>
        <v>57</v>
      </c>
      <c r="I876" s="72" t="str">
        <f>IFERROR(__xludf.DUMMYFUNCTION("""COMPUTED_VALUE"""),"PMS")</f>
        <v>PMS</v>
      </c>
      <c r="J876" s="72" t="str">
        <f>IFERROR(__xludf.DUMMYFUNCTION("""COMPUTED_VALUE"""),"PMS")</f>
        <v>PMS</v>
      </c>
      <c r="K876" s="72" t="str">
        <f>IFERROR(__xludf.DUMMYFUNCTION("""COMPUTED_VALUE"""),"ERP: For PMS (free)")</f>
        <v>ERP: For PMS (free)</v>
      </c>
      <c r="L876" s="72" t="str">
        <f>IFERROR(__xludf.DUMMYFUNCTION("""COMPUTED_VALUE"""),"JDP: 1ST PMS DONE")</f>
        <v>JDP: 1ST PMS DONE</v>
      </c>
      <c r="M876" s="2"/>
      <c r="N876" s="2" t="str">
        <f>IFERROR(__xludf.DUMMYFUNCTION("""COMPUTED_VALUE"""),"PARTS: OIL FILTER, ENGINE OIL")</f>
        <v>PARTS: OIL FILTER, ENGINE OIL</v>
      </c>
      <c r="O876" s="2">
        <f>IFERROR(__xludf.DUMMYFUNCTION("""COMPUTED_VALUE"""),1064.0)</f>
        <v>1064</v>
      </c>
      <c r="P876" s="2"/>
      <c r="Q876" s="2"/>
      <c r="R876" s="74">
        <f>IFERROR(__xludf.DUMMYFUNCTION("""COMPUTED_VALUE"""),45743.0)</f>
        <v>45743</v>
      </c>
      <c r="S876" s="2" t="str">
        <f>IFERROR(__xludf.DUMMYFUNCTION("""COMPUTED_VALUE"""),"DSD/JDP")</f>
        <v>DSD/JDP</v>
      </c>
      <c r="T876" s="73" t="str">
        <f>IFERROR(__xludf.DUMMYFUNCTION("""COMPUTED_VALUE""")," N/A ")</f>
        <v>N/A</v>
      </c>
      <c r="U876" s="73" t="str">
        <f>IFERROR(__xludf.DUMMYFUNCTION("""COMPUTED_VALUE""")," NO CHARGE ")</f>
        <v>NO CHARGE</v>
      </c>
      <c r="V876" s="2"/>
      <c r="W876" s="2" t="str">
        <f>IFERROR(__xludf.DUMMYFUNCTION("""COMPUTED_VALUE"""),"N/A")</f>
        <v>N/A</v>
      </c>
      <c r="X876" s="2" t="str">
        <f>IFERROR(__xludf.DUMMYFUNCTION("""COMPUTED_VALUE"""),"N/A")</f>
        <v>N/A</v>
      </c>
      <c r="Y876" s="2"/>
      <c r="Z876" s="2"/>
      <c r="AA876" s="2"/>
      <c r="AB876" s="2"/>
      <c r="AC876" s="2"/>
      <c r="AD876" s="2"/>
      <c r="AE876" s="2"/>
      <c r="AF876" s="2"/>
      <c r="AG876" s="2"/>
      <c r="AH876" s="2"/>
      <c r="AI876" s="2"/>
      <c r="AJ876" s="2" t="str">
        <f>IFERROR(__xludf.DUMMYFUNCTION("""COMPUTED_VALUE"""),"Vizal San Pablo")</f>
        <v>Vizal San Pablo</v>
      </c>
      <c r="AK876" s="2" t="str">
        <f>IFERROR(__xludf.DUMMYFUNCTION("""COMPUTED_VALUE"""),"Candaba")</f>
        <v>Candaba</v>
      </c>
      <c r="AL876" s="2" t="str">
        <f>IFERROR(__xludf.DUMMYFUNCTION("""COMPUTED_VALUE"""),"Pampanga")</f>
        <v>Pampanga</v>
      </c>
      <c r="AM876" s="2">
        <f>IFERROR(__xludf.DUMMYFUNCTION("""COMPUTED_VALUE"""),3.0)</f>
        <v>3</v>
      </c>
      <c r="AN876" s="2" t="str">
        <f>IFERROR(__xludf.DUMMYFUNCTION("""COMPUTED_VALUE"""),"RCEF 24-04-15")</f>
        <v>RCEF 24-04-15</v>
      </c>
      <c r="AO876" s="2">
        <f>IFERROR(__xludf.DUMMYFUNCTION("""COMPUTED_VALUE"""),6.0)</f>
        <v>6</v>
      </c>
      <c r="AP876" s="2" t="str">
        <f>IFERROR(__xludf.DUMMYFUNCTION("""COMPUTED_VALUE"""),"FREE PMS")</f>
        <v>FREE PMS</v>
      </c>
      <c r="AQ876" s="2"/>
      <c r="AR876" s="2"/>
      <c r="AS876" s="2"/>
      <c r="AT876" s="2"/>
      <c r="AU876" s="2"/>
      <c r="AV876" s="2"/>
      <c r="AW876" s="2"/>
      <c r="AX876" s="2"/>
      <c r="AY876" s="2"/>
      <c r="AZ876" s="2"/>
      <c r="BA876" s="2"/>
      <c r="BB876" s="2"/>
    </row>
    <row r="877">
      <c r="A877" s="2">
        <f>IFERROR(__xludf.DUMMYFUNCTION("""COMPUTED_VALUE"""),873.0)</f>
        <v>873</v>
      </c>
      <c r="B877" s="2" t="str">
        <f>IFERROR(__xludf.DUMMYFUNCTION("""COMPUTED_VALUE"""),"COMPLETED")</f>
        <v>COMPLETED</v>
      </c>
      <c r="C877" s="74">
        <f>IFERROR(__xludf.DUMMYFUNCTION("""COMPUTED_VALUE"""),45742.0)</f>
        <v>45742</v>
      </c>
      <c r="D877" s="71" t="str">
        <f>IFERROR(__xludf.DUMMYFUNCTION("""COMPUTED_VALUE"""),"Santa Maria Pangasinan Integrated Farming Association, Inc.")</f>
        <v>Santa Maria Pangasinan Integrated Farming Association, Inc.</v>
      </c>
      <c r="E877" s="71" t="str">
        <f>IFERROR(__xludf.DUMMYFUNCTION("""COMPUTED_VALUE"""),"Poblacion West, Santa Maria, PANGASINAN")</f>
        <v>Poblacion West, Santa Maria, PANGASINAN</v>
      </c>
      <c r="F877" s="2"/>
      <c r="G877" s="2" t="str">
        <f>IFERROR(__xludf.DUMMYFUNCTION("""COMPUTED_VALUE"""),"0916 597 7602")</f>
        <v>0916 597 7602</v>
      </c>
      <c r="H877" s="2">
        <f>IFERROR(__xludf.DUMMYFUNCTION("""COMPUTED_VALUE"""),50.0)</f>
        <v>50</v>
      </c>
      <c r="I877" s="72" t="str">
        <f>IFERROR(__xludf.DUMMYFUNCTION("""COMPUTED_VALUE"""),"PMS")</f>
        <v>PMS</v>
      </c>
      <c r="J877" s="72" t="str">
        <f>IFERROR(__xludf.DUMMYFUNCTION("""COMPUTED_VALUE"""),"PMS")</f>
        <v>PMS</v>
      </c>
      <c r="K877" s="72" t="str">
        <f>IFERROR(__xludf.DUMMYFUNCTION("""COMPUTED_VALUE"""),"MYK: FOR PMS (FREE)")</f>
        <v>MYK: FOR PMS (FREE)</v>
      </c>
      <c r="L877" s="72" t="str">
        <f>IFERROR(__xludf.DUMMYFUNCTION("""COMPUTED_VALUE"""),"DRM: 1ST PMS DONE")</f>
        <v>DRM: 1ST PMS DONE</v>
      </c>
      <c r="M877" s="2"/>
      <c r="N877" s="2" t="str">
        <f>IFERROR(__xludf.DUMMYFUNCTION("""COMPUTED_VALUE"""),"PARTS: OIL FILTER, ENGINE OIL")</f>
        <v>PARTS: OIL FILTER, ENGINE OIL</v>
      </c>
      <c r="O877" s="2">
        <f>IFERROR(__xludf.DUMMYFUNCTION("""COMPUTED_VALUE"""),1113.0)</f>
        <v>1113</v>
      </c>
      <c r="P877" s="2"/>
      <c r="Q877" s="2"/>
      <c r="R877" s="74">
        <f>IFERROR(__xludf.DUMMYFUNCTION("""COMPUTED_VALUE"""),45744.0)</f>
        <v>45744</v>
      </c>
      <c r="S877" s="2" t="str">
        <f>IFERROR(__xludf.DUMMYFUNCTION("""COMPUTED_VALUE"""),"EGT/DRM")</f>
        <v>EGT/DRM</v>
      </c>
      <c r="T877" s="73" t="str">
        <f>IFERROR(__xludf.DUMMYFUNCTION("""COMPUTED_VALUE""")," N/A ")</f>
        <v>N/A</v>
      </c>
      <c r="U877" s="73" t="str">
        <f>IFERROR(__xludf.DUMMYFUNCTION("""COMPUTED_VALUE""")," NO CHARGE ")</f>
        <v>NO CHARGE</v>
      </c>
      <c r="V877" s="2"/>
      <c r="W877" s="2" t="str">
        <f>IFERROR(__xludf.DUMMYFUNCTION("""COMPUTED_VALUE"""),"N/A")</f>
        <v>N/A</v>
      </c>
      <c r="X877" s="2" t="str">
        <f>IFERROR(__xludf.DUMMYFUNCTION("""COMPUTED_VALUE"""),"N/A")</f>
        <v>N/A</v>
      </c>
      <c r="Y877" s="2"/>
      <c r="Z877" s="2"/>
      <c r="AA877" s="2"/>
      <c r="AB877" s="2"/>
      <c r="AC877" s="2"/>
      <c r="AD877" s="2"/>
      <c r="AE877" s="2"/>
      <c r="AF877" s="2"/>
      <c r="AG877" s="2"/>
      <c r="AH877" s="2"/>
      <c r="AI877" s="2"/>
      <c r="AJ877" s="2" t="str">
        <f>IFERROR(__xludf.DUMMYFUNCTION("""COMPUTED_VALUE"""),"Poblacion West")</f>
        <v>Poblacion West</v>
      </c>
      <c r="AK877" s="2" t="str">
        <f>IFERROR(__xludf.DUMMYFUNCTION("""COMPUTED_VALUE"""),"Santa Maria")</f>
        <v>Santa Maria</v>
      </c>
      <c r="AL877" s="2" t="str">
        <f>IFERROR(__xludf.DUMMYFUNCTION("""COMPUTED_VALUE"""),"Pangasinan")</f>
        <v>Pangasinan</v>
      </c>
      <c r="AM877" s="2">
        <f>IFERROR(__xludf.DUMMYFUNCTION("""COMPUTED_VALUE"""),1.0)</f>
        <v>1</v>
      </c>
      <c r="AN877" s="2" t="str">
        <f>IFERROR(__xludf.DUMMYFUNCTION("""COMPUTED_VALUE"""),"RCEF 24-04-15")</f>
        <v>RCEF 24-04-15</v>
      </c>
      <c r="AO877" s="2">
        <f>IFERROR(__xludf.DUMMYFUNCTION("""COMPUTED_VALUE"""),6.0)</f>
        <v>6</v>
      </c>
      <c r="AP877" s="2" t="str">
        <f>IFERROR(__xludf.DUMMYFUNCTION("""COMPUTED_VALUE"""),"FREE PMS")</f>
        <v>FREE PMS</v>
      </c>
      <c r="AQ877" s="2"/>
      <c r="AR877" s="2"/>
      <c r="AS877" s="2"/>
      <c r="AT877" s="2"/>
      <c r="AU877" s="2"/>
      <c r="AV877" s="2"/>
      <c r="AW877" s="2"/>
      <c r="AX877" s="2"/>
      <c r="AY877" s="2"/>
      <c r="AZ877" s="2"/>
      <c r="BA877" s="2"/>
      <c r="BB877" s="2"/>
    </row>
    <row r="878">
      <c r="A878" s="2">
        <f>IFERROR(__xludf.DUMMYFUNCTION("""COMPUTED_VALUE"""),874.0)</f>
        <v>874</v>
      </c>
      <c r="B878" s="2" t="str">
        <f>IFERROR(__xludf.DUMMYFUNCTION("""COMPUTED_VALUE"""),"COMPLETED")</f>
        <v>COMPLETED</v>
      </c>
      <c r="C878" s="74">
        <f>IFERROR(__xludf.DUMMYFUNCTION("""COMPUTED_VALUE"""),45742.0)</f>
        <v>45742</v>
      </c>
      <c r="D878" s="71" t="str">
        <f>IFERROR(__xludf.DUMMYFUNCTION("""COMPUTED_VALUE"""),"SVMEX Farmers Association Inc.")</f>
        <v>SVMEX Farmers Association Inc.</v>
      </c>
      <c r="E878" s="71" t="str">
        <f>IFERROR(__xludf.DUMMYFUNCTION("""COMPUTED_VALUE"""),"San Vicente, Mexico, PAMPANGA")</f>
        <v>San Vicente, Mexico, PAMPANGA</v>
      </c>
      <c r="F878" s="2" t="str">
        <f>IFERROR(__xludf.DUMMYFUNCTION("""COMPUTED_VALUE"""),"VALENTINO E. ALLAS")</f>
        <v>VALENTINO E. ALLAS</v>
      </c>
      <c r="G878" s="2" t="str">
        <f>IFERROR(__xludf.DUMMYFUNCTION("""COMPUTED_VALUE"""),"0927-8729-371")</f>
        <v>0927-8729-371</v>
      </c>
      <c r="H878" s="2"/>
      <c r="I878" s="72" t="str">
        <f>IFERROR(__xludf.DUMMYFUNCTION("""COMPUTED_VALUE"""),"REPAIR - ROTAVATOR")</f>
        <v>REPAIR - ROTAVATOR</v>
      </c>
      <c r="J878" s="72" t="str">
        <f>IFERROR(__xludf.DUMMYFUNCTION("""COMPUTED_VALUE"""),"Gearbox")</f>
        <v>Gearbox</v>
      </c>
      <c r="K878" s="72" t="str">
        <f>IFERROR(__xludf.DUMMYFUNCTION("""COMPUTED_VALUE"""),"MYK: Gud pm madam...yung pinagawa naming Rotavator maingay po yung gear box nya.. bka pwede PA tignan bkit kasi bago nman ang mga gear at bearing..
1066:JDP:4/4/25: BEVEL GEAR 24T, PINION GEAR 11T, OILSEAL 35*85*8, Reserve Gear Bolt ")</f>
        <v>MYK: Gud pm madam...yung pinagawa naming Rotavator maingay po yung gear box nya.. bka pwede PA tignan bkit kasi bago nman ang mga gear at bearing..
1066:JDP:4/4/25: BEVEL GEAR 24T, PINION GEAR 11T, OILSEAL 35*85*8, Reserve Gear Bolt </v>
      </c>
      <c r="L878" s="72" t="str">
        <f>IFERROR(__xludf.DUMMYFUNCTION("""COMPUTED_VALUE"""),"JDP: DASSEMBLE ROTAVATOR GEARBOX")</f>
        <v>JDP: DASSEMBLE ROTAVATOR GEARBOX</v>
      </c>
      <c r="M878" s="2"/>
      <c r="N878" s="2" t="str">
        <f>IFERROR(__xludf.DUMMYFUNCTION("""COMPUTED_VALUE"""),"PARTS USED: WARRANTY BY LTC:  
PINION GEAR 11T
BEVEL GEAR 24T
TAPER ROLLER BEARING #32208
TAPER ROLLER BEARING #30309
TAPER ROLLER BEARING #32211 - 2PCS
OIL SEAL 35-50-8T
OIL SEAL 55-85-12T
HARD LUCK NUT - 2 PCS
DRIVE SHAFT SPACER
SEMS BOLT
")</f>
        <v>PARTS USED: WARRANTY BY LTC:  
PINION GEAR 11T
BEVEL GEAR 24T
TAPER ROLLER BEARING #32208
TAPER ROLLER BEARING #30309
TAPER ROLLER BEARING #32211 - 2PCS
OIL SEAL 35-50-8T
OIL SEAL 55-85-12T
HARD LUCK NUT - 2 PCS
DRIVE SHAFT SPACER
SEMS BOLT
</v>
      </c>
      <c r="O878" s="2">
        <f>IFERROR(__xludf.DUMMYFUNCTION("""COMPUTED_VALUE"""),1383.0)</f>
        <v>1383</v>
      </c>
      <c r="P878" s="2"/>
      <c r="Q878" s="2"/>
      <c r="R878" s="74">
        <f>IFERROR(__xludf.DUMMYFUNCTION("""COMPUTED_VALUE"""),45783.0)</f>
        <v>45783</v>
      </c>
      <c r="S878" s="2" t="str">
        <f>IFERROR(__xludf.DUMMYFUNCTION("""COMPUTED_VALUE"""),"JDP/DSD")</f>
        <v>JDP/DSD</v>
      </c>
      <c r="T878" s="73" t="str">
        <f>IFERROR(__xludf.DUMMYFUNCTION("""COMPUTED_VALUE""")," N/A ")</f>
        <v>N/A</v>
      </c>
      <c r="U878" s="73" t="str">
        <f>IFERROR(__xludf.DUMMYFUNCTION("""COMPUTED_VALUE""")," WARRANTY BY LTC ")</f>
        <v>WARRANTY BY LTC</v>
      </c>
      <c r="V878" s="2"/>
      <c r="W878" s="2" t="str">
        <f>IFERROR(__xludf.DUMMYFUNCTION("""COMPUTED_VALUE"""),"N/A")</f>
        <v>N/A</v>
      </c>
      <c r="X878" s="2" t="str">
        <f>IFERROR(__xludf.DUMMYFUNCTION("""COMPUTED_VALUE"""),"N/A")</f>
        <v>N/A</v>
      </c>
      <c r="Y878" s="2"/>
      <c r="Z878" s="2"/>
      <c r="AA878" s="2"/>
      <c r="AB878" s="2"/>
      <c r="AC878" s="2"/>
      <c r="AD878" s="2"/>
      <c r="AE878" s="2"/>
      <c r="AF878" s="2"/>
      <c r="AG878" s="2"/>
      <c r="AH878" s="2"/>
      <c r="AI878" s="2"/>
      <c r="AJ878" s="2" t="str">
        <f>IFERROR(__xludf.DUMMYFUNCTION("""COMPUTED_VALUE"""),"San Vicente")</f>
        <v>San Vicente</v>
      </c>
      <c r="AK878" s="2" t="str">
        <f>IFERROR(__xludf.DUMMYFUNCTION("""COMPUTED_VALUE"""),"Mexico")</f>
        <v>Mexico</v>
      </c>
      <c r="AL878" s="2" t="str">
        <f>IFERROR(__xludf.DUMMYFUNCTION("""COMPUTED_VALUE"""),"Pampanga")</f>
        <v>Pampanga</v>
      </c>
      <c r="AM878" s="2">
        <f>IFERROR(__xludf.DUMMYFUNCTION("""COMPUTED_VALUE"""),3.0)</f>
        <v>3</v>
      </c>
      <c r="AN878" s="2" t="str">
        <f>IFERROR(__xludf.DUMMYFUNCTION("""COMPUTED_VALUE"""),"RCEF 23-09-21 Rebidding")</f>
        <v>RCEF 23-09-21 Rebidding</v>
      </c>
      <c r="AO878" s="2">
        <f>IFERROR(__xludf.DUMMYFUNCTION("""COMPUTED_VALUE"""),3.0)</f>
        <v>3</v>
      </c>
      <c r="AP878" s="2"/>
      <c r="AQ878" s="2"/>
      <c r="AR878" s="2"/>
      <c r="AS878" s="2"/>
      <c r="AT878" s="2"/>
      <c r="AU878" s="2"/>
      <c r="AV878" s="2"/>
      <c r="AW878" s="2"/>
      <c r="AX878" s="2"/>
      <c r="AY878" s="2"/>
      <c r="AZ878" s="2"/>
      <c r="BA878" s="2"/>
      <c r="BB878" s="2"/>
    </row>
    <row r="879">
      <c r="A879" s="2">
        <f>IFERROR(__xludf.DUMMYFUNCTION("""COMPUTED_VALUE"""),875.0)</f>
        <v>875</v>
      </c>
      <c r="B879" s="2" t="str">
        <f>IFERROR(__xludf.DUMMYFUNCTION("""COMPUTED_VALUE"""),"COMPLETED")</f>
        <v>COMPLETED</v>
      </c>
      <c r="C879" s="74">
        <f>IFERROR(__xludf.DUMMYFUNCTION("""COMPUTED_VALUE"""),45742.0)</f>
        <v>45742</v>
      </c>
      <c r="D879" s="71" t="str">
        <f>IFERROR(__xludf.DUMMYFUNCTION("""COMPUTED_VALUE"""),"Magarang Bagahabag Lower Moton Irrigators Association Inc.")</f>
        <v>Magarang Bagahabag Lower Moton Irrigators Association Inc.</v>
      </c>
      <c r="E879" s="71" t="str">
        <f>IFERROR(__xludf.DUMMYFUNCTION("""COMPUTED_VALUE"""),"Bagahabag, Solano, NUEVA VIZCAYA")</f>
        <v>Bagahabag, Solano, NUEVA VIZCAYA</v>
      </c>
      <c r="F879" s="2" t="str">
        <f>IFERROR(__xludf.DUMMYFUNCTION("""COMPUTED_VALUE"""),"Mario Moreno ")</f>
        <v>Mario Moreno </v>
      </c>
      <c r="G879" s="2">
        <f>IFERROR(__xludf.DUMMYFUNCTION("""COMPUTED_VALUE"""),9.977017159E9)</f>
        <v>9977017159</v>
      </c>
      <c r="H879" s="2">
        <f>IFERROR(__xludf.DUMMYFUNCTION("""COMPUTED_VALUE"""),279.0)</f>
        <v>279</v>
      </c>
      <c r="I879" s="72" t="str">
        <f>IFERROR(__xludf.DUMMYFUNCTION("""COMPUTED_VALUE"""),"REPAIR - TRACTOR")</f>
        <v>REPAIR - TRACTOR</v>
      </c>
      <c r="J879" s="72" t="str">
        <f>IFERROR(__xludf.DUMMYFUNCTION("""COMPUTED_VALUE"""),"PTO - Valve Assy")</f>
        <v>PTO - Valve Assy</v>
      </c>
      <c r="K879" s="72" t="str">
        <f>IFERROR(__xludf.DUMMYFUNCTION("""COMPUTED_VALUE"""),"CFG: Sir Hindi rin po Maka operate Ang  rotovator kc humihinto parin Diba pinalitan pa natin ng solenoid noon tenesting din ninyo sir Ngayon   lang    testing mag operate sir  humihinto po e sana matugunan agad salamat 
PARTS: PTO VLAVE ASSY")</f>
        <v>CFG: Sir Hindi rin po Maka operate Ang  rotovator kc humihinto parin Diba pinalitan pa natin ng solenoid noon tenesting din ninyo sir Ngayon   lang    testing mag operate sir  humihinto po e sana matugunan agad salamat 
PARTS: PTO VLAVE ASSY</v>
      </c>
      <c r="L879" s="72" t="str">
        <f>IFERROR(__xludf.DUMMYFUNCTION("""COMPUTED_VALUE"""),"JHP: TRY IN FIELD OPERATION ,, OK NAMAN ANG UNIT")</f>
        <v>JHP: TRY IN FIELD OPERATION ,, OK NAMAN ANG UNIT</v>
      </c>
      <c r="M879" s="2"/>
      <c r="N879" s="2"/>
      <c r="O879" s="2" t="str">
        <f>IFERROR(__xludf.DUMMYFUNCTION("""COMPUTED_VALUE"""),"NEED SERVICE REPORT")</f>
        <v>NEED SERVICE REPORT</v>
      </c>
      <c r="P879" s="2"/>
      <c r="Q879" s="2"/>
      <c r="R879" s="74">
        <f>IFERROR(__xludf.DUMMYFUNCTION("""COMPUTED_VALUE"""),45909.0)</f>
        <v>45909</v>
      </c>
      <c r="S879" s="2" t="str">
        <f>IFERROR(__xludf.DUMMYFUNCTION("""COMPUTED_VALUE"""),"ACS/JHP")</f>
        <v>ACS/JHP</v>
      </c>
      <c r="T879" s="73" t="str">
        <f>IFERROR(__xludf.DUMMYFUNCTION("""COMPUTED_VALUE""")," N/A ")</f>
        <v>N/A</v>
      </c>
      <c r="U879" s="73" t="str">
        <f>IFERROR(__xludf.DUMMYFUNCTION("""COMPUTED_VALUE""")," NO CHARGE ")</f>
        <v>NO CHARGE</v>
      </c>
      <c r="V879" s="2"/>
      <c r="W879" s="2" t="str">
        <f>IFERROR(__xludf.DUMMYFUNCTION("""COMPUTED_VALUE"""),"N/A")</f>
        <v>N/A</v>
      </c>
      <c r="X879" s="2" t="str">
        <f>IFERROR(__xludf.DUMMYFUNCTION("""COMPUTED_VALUE"""),"N/A")</f>
        <v>N/A</v>
      </c>
      <c r="Y879" s="2"/>
      <c r="Z879" s="2"/>
      <c r="AA879" s="2"/>
      <c r="AB879" s="2"/>
      <c r="AC879" s="2"/>
      <c r="AD879" s="2"/>
      <c r="AE879" s="2"/>
      <c r="AF879" s="2"/>
      <c r="AG879" s="2"/>
      <c r="AH879" s="2"/>
      <c r="AI879" s="2"/>
      <c r="AJ879" s="2" t="str">
        <f>IFERROR(__xludf.DUMMYFUNCTION("""COMPUTED_VALUE"""),"Bagahabag")</f>
        <v>Bagahabag</v>
      </c>
      <c r="AK879" s="2" t="str">
        <f>IFERROR(__xludf.DUMMYFUNCTION("""COMPUTED_VALUE"""),"Solano")</f>
        <v>Solano</v>
      </c>
      <c r="AL879" s="2" t="str">
        <f>IFERROR(__xludf.DUMMYFUNCTION("""COMPUTED_VALUE"""),"Nueva Vizcaya")</f>
        <v>Nueva Vizcaya</v>
      </c>
      <c r="AM879" s="2">
        <f>IFERROR(__xludf.DUMMYFUNCTION("""COMPUTED_VALUE"""),2.0)</f>
        <v>2</v>
      </c>
      <c r="AN879" s="2" t="str">
        <f>IFERROR(__xludf.DUMMYFUNCTION("""COMPUTED_VALUE"""),"RCEF 23-09-21 Rebidding")</f>
        <v>RCEF 23-09-21 Rebidding</v>
      </c>
      <c r="AO879" s="2">
        <f>IFERROR(__xludf.DUMMYFUNCTION("""COMPUTED_VALUE"""),9.0)</f>
        <v>9</v>
      </c>
      <c r="AP879" s="2"/>
      <c r="AQ879" s="2"/>
      <c r="AR879" s="2"/>
      <c r="AS879" s="2"/>
      <c r="AT879" s="2"/>
      <c r="AU879" s="2"/>
      <c r="AV879" s="2"/>
      <c r="AW879" s="2"/>
      <c r="AX879" s="2"/>
      <c r="AY879" s="2"/>
      <c r="AZ879" s="2"/>
      <c r="BA879" s="2"/>
      <c r="BB879" s="2"/>
    </row>
    <row r="880">
      <c r="A880" s="2">
        <f>IFERROR(__xludf.DUMMYFUNCTION("""COMPUTED_VALUE"""),876.0)</f>
        <v>876</v>
      </c>
      <c r="B880" s="2" t="str">
        <f>IFERROR(__xludf.DUMMYFUNCTION("""COMPUTED_VALUE"""),"COMPLETED")</f>
        <v>COMPLETED</v>
      </c>
      <c r="C880" s="74">
        <f>IFERROR(__xludf.DUMMYFUNCTION("""COMPUTED_VALUE"""),45748.0)</f>
        <v>45748</v>
      </c>
      <c r="D880" s="71" t="str">
        <f>IFERROR(__xludf.DUMMYFUNCTION("""COMPUTED_VALUE"""),"GINTONG SAMAHAN NG MAGSASAKA NG PAGALANGGANG")</f>
        <v>GINTONG SAMAHAN NG MAGSASAKA NG PAGALANGGANG</v>
      </c>
      <c r="E880" s="71" t="str">
        <f>IFERROR(__xludf.DUMMYFUNCTION("""COMPUTED_VALUE"""),"Pagalanggang, Dinalupihan, BATAAN")</f>
        <v>Pagalanggang, Dinalupihan, BATAAN</v>
      </c>
      <c r="F880" s="2" t="str">
        <f>IFERROR(__xludf.DUMMYFUNCTION("""COMPUTED_VALUE"""),"NILO MANUEL")</f>
        <v>NILO MANUEL</v>
      </c>
      <c r="G880" s="2">
        <f>IFERROR(__xludf.DUMMYFUNCTION("""COMPUTED_VALUE"""),9.300528002E9)</f>
        <v>9300528002</v>
      </c>
      <c r="H880" s="2">
        <f>IFERROR(__xludf.DUMMYFUNCTION("""COMPUTED_VALUE"""),405.0)</f>
        <v>405</v>
      </c>
      <c r="I880" s="72" t="str">
        <f>IFERROR(__xludf.DUMMYFUNCTION("""COMPUTED_VALUE"""),"SPARE PARTS ACQUISITION")</f>
        <v>SPARE PARTS ACQUISITION</v>
      </c>
      <c r="J880" s="72" t="str">
        <f>IFERROR(__xludf.DUMMYFUNCTION("""COMPUTED_VALUE"""),"SPARE PARTS ACQUISITION")</f>
        <v>SPARE PARTS ACQUISITION</v>
      </c>
      <c r="K880" s="72" t="str">
        <f>IFERROR(__xludf.DUMMYFUNCTION("""COMPUTED_VALUE"""),"PARTS REQUEST: 
1. BEVEL GEAR 24T
2. TAPPER ROLLER BEARING 32211 2PCS 
3. HARD LOCK NUT 2PCS.")</f>
        <v>PARTS REQUEST: 
1. BEVEL GEAR 24T
2. TAPPER ROLLER BEARING 32211 2PCS 
3. HARD LOCK NUT 2PCS.</v>
      </c>
      <c r="L880" s="72" t="str">
        <f>IFERROR(__xludf.DUMMYFUNCTION("""COMPUTED_VALUE"""),"EGT: ASSEMBLE THE UNIT, INSTALLED NWE PARTS")</f>
        <v>EGT: ASSEMBLE THE UNIT, INSTALLED NWE PARTS</v>
      </c>
      <c r="M880" s="2"/>
      <c r="N880" s="2" t="str">
        <f>IFERROR(__xludf.DUMMYFUNCTION("""COMPUTED_VALUE"""),"PARTS:
1 PC LSGW DRIVE SHAFT 
1 PC LSGW BEVEL GEAR 24T
1 PC LSGW PINION GEAR 11T 
1 PC HARD LOCK NUT")</f>
        <v>PARTS:
1 PC LSGW DRIVE SHAFT 
1 PC LSGW BEVEL GEAR 24T
1 PC LSGW PINION GEAR 11T 
1 PC HARD LOCK NUT</v>
      </c>
      <c r="O880" s="2">
        <f>IFERROR(__xludf.DUMMYFUNCTION("""COMPUTED_VALUE"""),1119.0)</f>
        <v>1119</v>
      </c>
      <c r="P880" s="2"/>
      <c r="Q880" s="2"/>
      <c r="R880" s="74">
        <f>IFERROR(__xludf.DUMMYFUNCTION("""COMPUTED_VALUE"""),45757.0)</f>
        <v>45757</v>
      </c>
      <c r="S880" s="2" t="str">
        <f>IFERROR(__xludf.DUMMYFUNCTION("""COMPUTED_VALUE"""),"EGT/DRM")</f>
        <v>EGT/DRM</v>
      </c>
      <c r="T880" s="73">
        <f>IFERROR(__xludf.DUMMYFUNCTION("""COMPUTED_VALUE"""),44940.0)</f>
        <v>44940</v>
      </c>
      <c r="U880" s="73" t="str">
        <f>IFERROR(__xludf.DUMMYFUNCTION("""COMPUTED_VALUE""")," REMITTED ")</f>
        <v>REMITTED</v>
      </c>
      <c r="V880" s="2"/>
      <c r="W880" s="2">
        <f>IFERROR(__xludf.DUMMYFUNCTION("""COMPUTED_VALUE"""),1411.0)</f>
        <v>1411</v>
      </c>
      <c r="X880" s="2">
        <f>IFERROR(__xludf.DUMMYFUNCTION("""COMPUTED_VALUE"""),1402.0)</f>
        <v>1402</v>
      </c>
      <c r="Y880" s="2"/>
      <c r="Z880" s="2"/>
      <c r="AA880" s="2"/>
      <c r="AB880" s="2"/>
      <c r="AC880" s="2"/>
      <c r="AD880" s="2"/>
      <c r="AE880" s="2"/>
      <c r="AF880" s="2"/>
      <c r="AG880" s="2"/>
      <c r="AH880" s="2"/>
      <c r="AI880" s="2"/>
      <c r="AJ880" s="2" t="str">
        <f>IFERROR(__xludf.DUMMYFUNCTION("""COMPUTED_VALUE"""),"Pagalanggang")</f>
        <v>Pagalanggang</v>
      </c>
      <c r="AK880" s="2" t="str">
        <f>IFERROR(__xludf.DUMMYFUNCTION("""COMPUTED_VALUE"""),"Dinalupihan")</f>
        <v>Dinalupihan</v>
      </c>
      <c r="AL880" s="2" t="str">
        <f>IFERROR(__xludf.DUMMYFUNCTION("""COMPUTED_VALUE"""),"Bataan")</f>
        <v>Bataan</v>
      </c>
      <c r="AM880" s="2">
        <f>IFERROR(__xludf.DUMMYFUNCTION("""COMPUTED_VALUE"""),3.0)</f>
        <v>3</v>
      </c>
      <c r="AN880" s="2" t="str">
        <f>IFERROR(__xludf.DUMMYFUNCTION("""COMPUTED_VALUE"""),"RCEF 23-09-21 Rebidding")</f>
        <v>RCEF 23-09-21 Rebidding</v>
      </c>
      <c r="AO880" s="2">
        <f>IFERROR(__xludf.DUMMYFUNCTION("""COMPUTED_VALUE"""),3.0)</f>
        <v>3</v>
      </c>
      <c r="AP880" s="2"/>
      <c r="AQ880" s="2"/>
      <c r="AR880" s="2"/>
      <c r="AS880" s="2"/>
      <c r="AT880" s="2"/>
      <c r="AU880" s="2"/>
      <c r="AV880" s="2"/>
      <c r="AW880" s="2"/>
      <c r="AX880" s="2"/>
      <c r="AY880" s="2"/>
      <c r="AZ880" s="2"/>
      <c r="BA880" s="2"/>
      <c r="BB880" s="2"/>
    </row>
    <row r="881">
      <c r="A881" s="2">
        <f>IFERROR(__xludf.DUMMYFUNCTION("""COMPUTED_VALUE"""),877.0)</f>
        <v>877</v>
      </c>
      <c r="B881" s="2" t="str">
        <f>IFERROR(__xludf.DUMMYFUNCTION("""COMPUTED_VALUE"""),"COMPLETED")</f>
        <v>COMPLETED</v>
      </c>
      <c r="C881" s="74">
        <f>IFERROR(__xludf.DUMMYFUNCTION("""COMPUTED_VALUE"""),45749.0)</f>
        <v>45749</v>
      </c>
      <c r="D881" s="71" t="str">
        <f>IFERROR(__xludf.DUMMYFUNCTION("""COMPUTED_VALUE"""),"MUNICIPAL LOCAL GOVERNMENT UNIT OF ANGAT")</f>
        <v>MUNICIPAL LOCAL GOVERNMENT UNIT OF ANGAT</v>
      </c>
      <c r="E881" s="71" t="str">
        <f>IFERROR(__xludf.DUMMYFUNCTION("""COMPUTED_VALUE"""),"Poblacion, Angat, Bulacan")</f>
        <v>Poblacion, Angat, Bulacan</v>
      </c>
      <c r="F881" s="2" t="str">
        <f>IFERROR(__xludf.DUMMYFUNCTION("""COMPUTED_VALUE"""),"MASSEY BOY")</f>
        <v>MASSEY BOY</v>
      </c>
      <c r="G881" s="2">
        <f>IFERROR(__xludf.DUMMYFUNCTION("""COMPUTED_VALUE"""),9.179941102E9)</f>
        <v>9179941102</v>
      </c>
      <c r="H881" s="2"/>
      <c r="I881" s="72" t="str">
        <f>IFERROR(__xludf.DUMMYFUNCTION("""COMPUTED_VALUE"""),"REPAIR - TRACTOR")</f>
        <v>REPAIR - TRACTOR</v>
      </c>
      <c r="J881" s="72" t="str">
        <f>IFERROR(__xludf.DUMMYFUNCTION("""COMPUTED_VALUE"""),"PTO - Gear")</f>
        <v>PTO - Gear</v>
      </c>
      <c r="K881" s="72" t="str">
        <f>IFERROR(__xludf.DUMMYFUNCTION("""COMPUTED_VALUE"""),"EGT:Dis-align PTO shaft maingay na naman po 
5/13/25
EGT: PARTS: Collar - TN45200000A4  //  JOINT / COUPLING  TN45200000 (outsource)
Shaft Pto Drive - TZ45220000C - perehas na parts yung binigay ni FIT pero mahaba
")</f>
        <v>EGT:Dis-align PTO shaft maingay na naman po 
5/13/25
EGT: PARTS: Collar - TN45200000A4  //  JOINT / COUPLING  TN45200000 (outsource)
Shaft Pto Drive - TZ45220000C - perehas na parts yung binigay ni FIT pero mahaba
</v>
      </c>
      <c r="L881" s="72" t="str">
        <f>IFERROR(__xludf.DUMMYFUNCTION("""COMPUTED_VALUE"""),"NEED SERVICE REPORT")</f>
        <v>NEED SERVICE REPORT</v>
      </c>
      <c r="M881" s="2"/>
      <c r="N881" s="2" t="str">
        <f>IFERROR(__xludf.DUMMYFUNCTION("""COMPUTED_VALUE"""),"PARTS:
")</f>
        <v>PARTS:
</v>
      </c>
      <c r="O881" s="2" t="str">
        <f>IFERROR(__xludf.DUMMYFUNCTION("""COMPUTED_VALUE"""),"NEED SERVICE REPORT")</f>
        <v>NEED SERVICE REPORT</v>
      </c>
      <c r="P881" s="2"/>
      <c r="Q881" s="2"/>
      <c r="R881" s="74">
        <f>IFERROR(__xludf.DUMMYFUNCTION("""COMPUTED_VALUE"""),45945.0)</f>
        <v>45945</v>
      </c>
      <c r="S881" s="2"/>
      <c r="T881" s="2"/>
      <c r="U881" s="2"/>
      <c r="V881" s="2"/>
      <c r="W881" s="2"/>
      <c r="X881" s="2"/>
      <c r="Y881" s="2"/>
      <c r="Z881" s="2"/>
      <c r="AA881" s="2"/>
      <c r="AB881" s="2"/>
      <c r="AC881" s="2"/>
      <c r="AD881" s="2"/>
      <c r="AE881" s="2"/>
      <c r="AF881" s="2"/>
      <c r="AG881" s="2"/>
      <c r="AH881" s="2"/>
      <c r="AI881" s="2"/>
      <c r="AJ881" s="2" t="str">
        <f>IFERROR(__xludf.DUMMYFUNCTION("""COMPUTED_VALUE"""),"Poblacion")</f>
        <v>Poblacion</v>
      </c>
      <c r="AK881" s="2" t="str">
        <f>IFERROR(__xludf.DUMMYFUNCTION("""COMPUTED_VALUE"""),"Angat")</f>
        <v>Angat</v>
      </c>
      <c r="AL881" s="2" t="str">
        <f>IFERROR(__xludf.DUMMYFUNCTION("""COMPUTED_VALUE"""),"Bulacan")</f>
        <v>Bulacan</v>
      </c>
      <c r="AM881" s="2">
        <f>IFERROR(__xludf.DUMMYFUNCTION("""COMPUTED_VALUE"""),3.0)</f>
        <v>3</v>
      </c>
      <c r="AN881" s="2" t="str">
        <f>IFERROR(__xludf.DUMMYFUNCTION("""COMPUTED_VALUE"""),"RCEF 23-09-21 Rebidding")</f>
        <v>RCEF 23-09-21 Rebidding</v>
      </c>
      <c r="AO881" s="2">
        <f>IFERROR(__xludf.DUMMYFUNCTION("""COMPUTED_VALUE"""),3.0)</f>
        <v>3</v>
      </c>
      <c r="AP881" s="2"/>
      <c r="AQ881" s="2"/>
      <c r="AR881" s="2"/>
      <c r="AS881" s="2"/>
      <c r="AT881" s="2"/>
      <c r="AU881" s="2"/>
      <c r="AV881" s="2"/>
      <c r="AW881" s="2"/>
      <c r="AX881" s="2"/>
      <c r="AY881" s="2"/>
      <c r="AZ881" s="2"/>
      <c r="BA881" s="2"/>
      <c r="BB881" s="2"/>
    </row>
    <row r="882">
      <c r="A882" s="2">
        <f>IFERROR(__xludf.DUMMYFUNCTION("""COMPUTED_VALUE"""),878.0)</f>
        <v>878</v>
      </c>
      <c r="B882" s="2" t="str">
        <f>IFERROR(__xludf.DUMMYFUNCTION("""COMPUTED_VALUE"""),"COMPLETED")</f>
        <v>COMPLETED</v>
      </c>
      <c r="C882" s="74">
        <f>IFERROR(__xludf.DUMMYFUNCTION("""COMPUTED_VALUE"""),45749.0)</f>
        <v>45749</v>
      </c>
      <c r="D882" s="71" t="str">
        <f>IFERROR(__xludf.DUMMYFUNCTION("""COMPUTED_VALUE"""),"Duhat Farmers Association")</f>
        <v>Duhat Farmers Association</v>
      </c>
      <c r="E882" s="71" t="str">
        <f>IFERROR(__xludf.DUMMYFUNCTION("""COMPUTED_VALUE"""),"Duhat, Santa Cruz, LAGUNA")</f>
        <v>Duhat, Santa Cruz, LAGUNA</v>
      </c>
      <c r="F882" s="2" t="str">
        <f>IFERROR(__xludf.DUMMYFUNCTION("""COMPUTED_VALUE"""),"GUILLERMO STA. MARIA")</f>
        <v>GUILLERMO STA. MARIA</v>
      </c>
      <c r="G882" s="2">
        <f>IFERROR(__xludf.DUMMYFUNCTION("""COMPUTED_VALUE"""),9.850528781E9)</f>
        <v>9850528781</v>
      </c>
      <c r="H882" s="2">
        <f>IFERROR(__xludf.DUMMYFUNCTION("""COMPUTED_VALUE"""),48.0)</f>
        <v>48</v>
      </c>
      <c r="I882" s="72" t="str">
        <f>IFERROR(__xludf.DUMMYFUNCTION("""COMPUTED_VALUE"""),"REPAIR - TRACTOR")</f>
        <v>REPAIR - TRACTOR</v>
      </c>
      <c r="J882" s="72" t="str">
        <f>IFERROR(__xludf.DUMMYFUNCTION("""COMPUTED_VALUE"""),"Transmission - Clutch")</f>
        <v>Transmission - Clutch</v>
      </c>
      <c r="K882" s="72" t="str">
        <f>IFERROR(__xludf.DUMMYFUNCTION("""COMPUTED_VALUE"""),"JTT: CLUTCH LINING AND CLUTCH COVER ASSEMBLY SLIDING")</f>
        <v>JTT: CLUTCH LINING AND CLUTCH COVER ASSEMBLY SLIDING</v>
      </c>
      <c r="L882" s="72" t="str">
        <f>IFERROR(__xludf.DUMMYFUNCTION("""COMPUTED_VALUE"""),"JTT: REPLACED CLUTCH LINING AND CLUTCH COVER ASSEMBLY")</f>
        <v>JTT: REPLACED CLUTCH LINING AND CLUTCH COVER ASSEMBLY</v>
      </c>
      <c r="M882" s="2"/>
      <c r="N882" s="2" t="str">
        <f>IFERROR(__xludf.DUMMYFUNCTION("""COMPUTED_VALUE"""),"PARTS: CLUTCH DISC ASSY, CLUTCH COVER ASSY")</f>
        <v>PARTS: CLUTCH DISC ASSY, CLUTCH COVER ASSY</v>
      </c>
      <c r="O882" s="2">
        <f>IFERROR(__xludf.DUMMYFUNCTION("""COMPUTED_VALUE"""),18.0)</f>
        <v>18</v>
      </c>
      <c r="P882" s="2"/>
      <c r="Q882" s="2"/>
      <c r="R882" s="74">
        <f>IFERROR(__xludf.DUMMYFUNCTION("""COMPUTED_VALUE"""),45749.0)</f>
        <v>45749</v>
      </c>
      <c r="S882" s="2" t="str">
        <f>IFERROR(__xludf.DUMMYFUNCTION("""COMPUTED_VALUE"""),"JTT/FSJ")</f>
        <v>JTT/FSJ</v>
      </c>
      <c r="T882" s="73" t="str">
        <f>IFERROR(__xludf.DUMMYFUNCTION("""COMPUTED_VALUE""")," N/A ")</f>
        <v>N/A</v>
      </c>
      <c r="U882" s="73" t="str">
        <f>IFERROR(__xludf.DUMMYFUNCTION("""COMPUTED_VALUE""")," NO CHARGE ")</f>
        <v>NO CHARGE</v>
      </c>
      <c r="V882" s="2"/>
      <c r="W882" s="2" t="str">
        <f>IFERROR(__xludf.DUMMYFUNCTION("""COMPUTED_VALUE"""),"N/A")</f>
        <v>N/A</v>
      </c>
      <c r="X882" s="2" t="str">
        <f>IFERROR(__xludf.DUMMYFUNCTION("""COMPUTED_VALUE"""),"N/A")</f>
        <v>N/A</v>
      </c>
      <c r="Y882" s="2"/>
      <c r="Z882" s="2"/>
      <c r="AA882" s="2"/>
      <c r="AB882" s="2"/>
      <c r="AC882" s="2"/>
      <c r="AD882" s="2"/>
      <c r="AE882" s="2"/>
      <c r="AF882" s="2"/>
      <c r="AG882" s="2"/>
      <c r="AH882" s="2"/>
      <c r="AI882" s="2"/>
      <c r="AJ882" s="2" t="str">
        <f>IFERROR(__xludf.DUMMYFUNCTION("""COMPUTED_VALUE"""),"Duhat")</f>
        <v>Duhat</v>
      </c>
      <c r="AK882" s="2" t="str">
        <f>IFERROR(__xludf.DUMMYFUNCTION("""COMPUTED_VALUE"""),"Santa Cruz")</f>
        <v>Santa Cruz</v>
      </c>
      <c r="AL882" s="2" t="str">
        <f>IFERROR(__xludf.DUMMYFUNCTION("""COMPUTED_VALUE"""),"Laguna")</f>
        <v>Laguna</v>
      </c>
      <c r="AM882" s="2" t="str">
        <f>IFERROR(__xludf.DUMMYFUNCTION("""COMPUTED_VALUE"""),"4A")</f>
        <v>4A</v>
      </c>
      <c r="AN882" s="2" t="str">
        <f>IFERROR(__xludf.DUMMYFUNCTION("""COMPUTED_VALUE"""),"RCEF 24-04-15")</f>
        <v>RCEF 24-04-15</v>
      </c>
      <c r="AO882" s="2">
        <f>IFERROR(__xludf.DUMMYFUNCTION("""COMPUTED_VALUE"""),7.0)</f>
        <v>7</v>
      </c>
      <c r="AP882" s="2" t="str">
        <f>IFERROR(__xludf.DUMMYFUNCTION("""COMPUTED_VALUE"""),"FREE PMS")</f>
        <v>FREE PMS</v>
      </c>
      <c r="AQ882" s="2"/>
      <c r="AR882" s="2"/>
      <c r="AS882" s="2"/>
      <c r="AT882" s="2"/>
      <c r="AU882" s="2"/>
      <c r="AV882" s="2"/>
      <c r="AW882" s="2"/>
      <c r="AX882" s="2"/>
      <c r="AY882" s="2"/>
      <c r="AZ882" s="2"/>
      <c r="BA882" s="2"/>
      <c r="BB882" s="2"/>
    </row>
    <row r="883">
      <c r="A883" s="2">
        <f>IFERROR(__xludf.DUMMYFUNCTION("""COMPUTED_VALUE"""),879.0)</f>
        <v>879</v>
      </c>
      <c r="B883" s="2" t="str">
        <f>IFERROR(__xludf.DUMMYFUNCTION("""COMPUTED_VALUE"""),"COMPLETED")</f>
        <v>COMPLETED</v>
      </c>
      <c r="C883" s="74">
        <f>IFERROR(__xludf.DUMMYFUNCTION("""COMPUTED_VALUE"""),45749.0)</f>
        <v>45749</v>
      </c>
      <c r="D883" s="71" t="str">
        <f>IFERROR(__xludf.DUMMYFUNCTION("""COMPUTED_VALUE"""),"Bagong Sibul Farmers Agriculture Cooperative")</f>
        <v>Bagong Sibul Farmers Agriculture Cooperative</v>
      </c>
      <c r="E883" s="71" t="str">
        <f>IFERROR(__xludf.DUMMYFUNCTION("""COMPUTED_VALUE"""),"Castillo, Concepcion, TARLAC")</f>
        <v>Castillo, Concepcion, TARLAC</v>
      </c>
      <c r="F883" s="2" t="str">
        <f>IFERROR(__xludf.DUMMYFUNCTION("""COMPUTED_VALUE"""),"JOSEPH BUAN")</f>
        <v>JOSEPH BUAN</v>
      </c>
      <c r="G883" s="2">
        <f>IFERROR(__xludf.DUMMYFUNCTION("""COMPUTED_VALUE"""),9.364450315E9)</f>
        <v>9364450315</v>
      </c>
      <c r="H883" s="2">
        <f>IFERROR(__xludf.DUMMYFUNCTION("""COMPUTED_VALUE"""),49.8)</f>
        <v>49.8</v>
      </c>
      <c r="I883" s="72" t="str">
        <f>IFERROR(__xludf.DUMMYFUNCTION("""COMPUTED_VALUE"""),"PMS")</f>
        <v>PMS</v>
      </c>
      <c r="J883" s="72" t="str">
        <f>IFERROR(__xludf.DUMMYFUNCTION("""COMPUTED_VALUE"""),"PMS")</f>
        <v>PMS</v>
      </c>
      <c r="K883" s="72" t="str">
        <f>IFERROR(__xludf.DUMMYFUNCTION("""COMPUTED_VALUE"""),"JDP: 1ST PMS (FREE)")</f>
        <v>JDP: 1ST PMS (FREE)</v>
      </c>
      <c r="L883" s="72" t="str">
        <f>IFERROR(__xludf.DUMMYFUNCTION("""COMPUTED_VALUE"""),"EGT: 1ST PMS DONE")</f>
        <v>EGT: 1ST PMS DONE</v>
      </c>
      <c r="M883" s="2"/>
      <c r="N883" s="2" t="str">
        <f>IFERROR(__xludf.DUMMYFUNCTION("""COMPUTED_VALUE"""),"PART: OI; FILTER, ENGINE OIL")</f>
        <v>PART: OI; FILTER, ENGINE OIL</v>
      </c>
      <c r="O883" s="2">
        <f>IFERROR(__xludf.DUMMYFUNCTION("""COMPUTED_VALUE"""),1118.0)</f>
        <v>1118</v>
      </c>
      <c r="P883" s="2"/>
      <c r="Q883" s="2"/>
      <c r="R883" s="74">
        <f>IFERROR(__xludf.DUMMYFUNCTION("""COMPUTED_VALUE"""),45755.0)</f>
        <v>45755</v>
      </c>
      <c r="S883" s="2" t="str">
        <f>IFERROR(__xludf.DUMMYFUNCTION("""COMPUTED_VALUE"""),"EGT/DRM")</f>
        <v>EGT/DRM</v>
      </c>
      <c r="T883" s="73" t="str">
        <f>IFERROR(__xludf.DUMMYFUNCTION("""COMPUTED_VALUE""")," N/A ")</f>
        <v>N/A</v>
      </c>
      <c r="U883" s="73" t="str">
        <f>IFERROR(__xludf.DUMMYFUNCTION("""COMPUTED_VALUE""")," NO CHARGE ")</f>
        <v>NO CHARGE</v>
      </c>
      <c r="V883" s="2"/>
      <c r="W883" s="2" t="str">
        <f>IFERROR(__xludf.DUMMYFUNCTION("""COMPUTED_VALUE"""),"N/A")</f>
        <v>N/A</v>
      </c>
      <c r="X883" s="2" t="str">
        <f>IFERROR(__xludf.DUMMYFUNCTION("""COMPUTED_VALUE"""),"N/A")</f>
        <v>N/A</v>
      </c>
      <c r="Y883" s="2"/>
      <c r="Z883" s="2"/>
      <c r="AA883" s="2"/>
      <c r="AB883" s="2"/>
      <c r="AC883" s="2"/>
      <c r="AD883" s="2"/>
      <c r="AE883" s="2"/>
      <c r="AF883" s="2"/>
      <c r="AG883" s="2"/>
      <c r="AH883" s="2"/>
      <c r="AI883" s="2"/>
      <c r="AJ883" s="2" t="str">
        <f>IFERROR(__xludf.DUMMYFUNCTION("""COMPUTED_VALUE"""),"Castillo")</f>
        <v>Castillo</v>
      </c>
      <c r="AK883" s="2" t="str">
        <f>IFERROR(__xludf.DUMMYFUNCTION("""COMPUTED_VALUE"""),"Concepcion")</f>
        <v>Concepcion</v>
      </c>
      <c r="AL883" s="2" t="str">
        <f>IFERROR(__xludf.DUMMYFUNCTION("""COMPUTED_VALUE"""),"Tarlac")</f>
        <v>Tarlac</v>
      </c>
      <c r="AM883" s="2">
        <f>IFERROR(__xludf.DUMMYFUNCTION("""COMPUTED_VALUE"""),3.0)</f>
        <v>3</v>
      </c>
      <c r="AN883" s="2" t="str">
        <f>IFERROR(__xludf.DUMMYFUNCTION("""COMPUTED_VALUE"""),"RCEF 24-04-15")</f>
        <v>RCEF 24-04-15</v>
      </c>
      <c r="AO883" s="2">
        <f>IFERROR(__xludf.DUMMYFUNCTION("""COMPUTED_VALUE"""),6.0)</f>
        <v>6</v>
      </c>
      <c r="AP883" s="2" t="str">
        <f>IFERROR(__xludf.DUMMYFUNCTION("""COMPUTED_VALUE"""),"FREE PMS")</f>
        <v>FREE PMS</v>
      </c>
      <c r="AQ883" s="2"/>
      <c r="AR883" s="2"/>
      <c r="AS883" s="2"/>
      <c r="AT883" s="2"/>
      <c r="AU883" s="2"/>
      <c r="AV883" s="2"/>
      <c r="AW883" s="2"/>
      <c r="AX883" s="2"/>
      <c r="AY883" s="2"/>
      <c r="AZ883" s="2"/>
      <c r="BA883" s="2"/>
      <c r="BB883" s="2"/>
    </row>
    <row r="884">
      <c r="A884" s="2">
        <f>IFERROR(__xludf.DUMMYFUNCTION("""COMPUTED_VALUE"""),880.0)</f>
        <v>880</v>
      </c>
      <c r="B884" s="2" t="str">
        <f>IFERROR(__xludf.DUMMYFUNCTION("""COMPUTED_VALUE"""),"COMPLETED")</f>
        <v>COMPLETED</v>
      </c>
      <c r="C884" s="74">
        <f>IFERROR(__xludf.DUMMYFUNCTION("""COMPUTED_VALUE"""),45749.0)</f>
        <v>45749</v>
      </c>
      <c r="D884" s="71" t="str">
        <f>IFERROR(__xludf.DUMMYFUNCTION("""COMPUTED_VALUE"""),"Aluminit-Santor Farmers Irrigators Association Inc. (ASFIA)")</f>
        <v>Aluminit-Santor Farmers Irrigators Association Inc. (ASFIA)</v>
      </c>
      <c r="E884" s="71" t="str">
        <f>IFERROR(__xludf.DUMMYFUNCTION("""COMPUTED_VALUE"""),"Santor, Rizal (Liwan), KALINGA")</f>
        <v>Santor, Rizal (Liwan), KALINGA</v>
      </c>
      <c r="F884" s="2"/>
      <c r="G884" s="2" t="str">
        <f>IFERROR(__xludf.DUMMYFUNCTION("""COMPUTED_VALUE"""),"(0935) 841 3516")</f>
        <v>(0935) 841 3516</v>
      </c>
      <c r="H884" s="2">
        <f>IFERROR(__xludf.DUMMYFUNCTION("""COMPUTED_VALUE"""),40.0)</f>
        <v>40</v>
      </c>
      <c r="I884" s="72" t="str">
        <f>IFERROR(__xludf.DUMMYFUNCTION("""COMPUTED_VALUE"""),"PMS")</f>
        <v>PMS</v>
      </c>
      <c r="J884" s="72" t="str">
        <f>IFERROR(__xludf.DUMMYFUNCTION("""COMPUTED_VALUE"""),"PMS")</f>
        <v>PMS</v>
      </c>
      <c r="K884" s="72" t="str">
        <f>IFERROR(__xludf.DUMMYFUNCTION("""COMPUTED_VALUE"""),"ERP: PMS (FREE)")</f>
        <v>ERP: PMS (FREE)</v>
      </c>
      <c r="L884" s="72" t="str">
        <f>IFERROR(__xludf.DUMMYFUNCTION("""COMPUTED_VALUE"""),"CFG: 1ST PMS DONE")</f>
        <v>CFG: 1ST PMS DONE</v>
      </c>
      <c r="M884" s="2"/>
      <c r="N884" s="2" t="str">
        <f>IFERROR(__xludf.DUMMYFUNCTION("""COMPUTED_VALUE"""),"PARTS: OIL FILTER, ENGINE OIL")</f>
        <v>PARTS: OIL FILTER, ENGINE OIL</v>
      </c>
      <c r="O884" s="2">
        <f>IFERROR(__xludf.DUMMYFUNCTION("""COMPUTED_VALUE"""),761.0)</f>
        <v>761</v>
      </c>
      <c r="P884" s="2" t="str">
        <f>IFERROR(__xludf.DUMMYFUNCTION("""COMPUTED_VALUE"""),"1ST PMS- Aluminit-santor Farmers Irrigators ASSOCIATION INC(ASFIA).pdf")</f>
        <v>1ST PMS- Aluminit-santor Farmers Irrigators ASSOCIATION INC(ASFIA).pdf</v>
      </c>
      <c r="Q884" s="2"/>
      <c r="R884" s="74">
        <f>IFERROR(__xludf.DUMMYFUNCTION("""COMPUTED_VALUE"""),45756.0)</f>
        <v>45756</v>
      </c>
      <c r="S884" s="2" t="str">
        <f>IFERROR(__xludf.DUMMYFUNCTION("""COMPUTED_VALUE"""),"CFG")</f>
        <v>CFG</v>
      </c>
      <c r="T884" s="73" t="str">
        <f>IFERROR(__xludf.DUMMYFUNCTION("""COMPUTED_VALUE""")," N/A ")</f>
        <v>N/A</v>
      </c>
      <c r="U884" s="73" t="str">
        <f>IFERROR(__xludf.DUMMYFUNCTION("""COMPUTED_VALUE""")," NO CHARGE ")</f>
        <v>NO CHARGE</v>
      </c>
      <c r="V884" s="2"/>
      <c r="W884" s="2" t="str">
        <f>IFERROR(__xludf.DUMMYFUNCTION("""COMPUTED_VALUE"""),"N/A")</f>
        <v>N/A</v>
      </c>
      <c r="X884" s="2" t="str">
        <f>IFERROR(__xludf.DUMMYFUNCTION("""COMPUTED_VALUE"""),"N/A")</f>
        <v>N/A</v>
      </c>
      <c r="Y884" s="2"/>
      <c r="Z884" s="2"/>
      <c r="AA884" s="2"/>
      <c r="AB884" s="2"/>
      <c r="AC884" s="2"/>
      <c r="AD884" s="2"/>
      <c r="AE884" s="2"/>
      <c r="AF884" s="2"/>
      <c r="AG884" s="2"/>
      <c r="AH884" s="2"/>
      <c r="AI884" s="2"/>
      <c r="AJ884" s="2" t="str">
        <f>IFERROR(__xludf.DUMMYFUNCTION("""COMPUTED_VALUE"""),"Santor")</f>
        <v>Santor</v>
      </c>
      <c r="AK884" s="2" t="str">
        <f>IFERROR(__xludf.DUMMYFUNCTION("""COMPUTED_VALUE"""),"Rizal (Liwan)")</f>
        <v>Rizal (Liwan)</v>
      </c>
      <c r="AL884" s="2" t="str">
        <f>IFERROR(__xludf.DUMMYFUNCTION("""COMPUTED_VALUE"""),"Kalinga")</f>
        <v>Kalinga</v>
      </c>
      <c r="AM884" s="2" t="str">
        <f>IFERROR(__xludf.DUMMYFUNCTION("""COMPUTED_VALUE"""),"CAR")</f>
        <v>CAR</v>
      </c>
      <c r="AN884" s="2" t="str">
        <f>IFERROR(__xludf.DUMMYFUNCTION("""COMPUTED_VALUE"""),"RCEF 24-04-15")</f>
        <v>RCEF 24-04-15</v>
      </c>
      <c r="AO884" s="2">
        <f>IFERROR(__xludf.DUMMYFUNCTION("""COMPUTED_VALUE"""),6.0)</f>
        <v>6</v>
      </c>
      <c r="AP884" s="2" t="str">
        <f>IFERROR(__xludf.DUMMYFUNCTION("""COMPUTED_VALUE"""),"FREE PMS")</f>
        <v>FREE PMS</v>
      </c>
      <c r="AQ884" s="2"/>
      <c r="AR884" s="2"/>
      <c r="AS884" s="2"/>
      <c r="AT884" s="2"/>
      <c r="AU884" s="2"/>
      <c r="AV884" s="2"/>
      <c r="AW884" s="2"/>
      <c r="AX884" s="2"/>
      <c r="AY884" s="2"/>
      <c r="AZ884" s="2"/>
      <c r="BA884" s="2"/>
      <c r="BB884" s="2"/>
    </row>
    <row r="885">
      <c r="A885" s="2">
        <f>IFERROR(__xludf.DUMMYFUNCTION("""COMPUTED_VALUE"""),881.0)</f>
        <v>881</v>
      </c>
      <c r="B885" s="2" t="str">
        <f>IFERROR(__xludf.DUMMYFUNCTION("""COMPUTED_VALUE"""),"COMPLETED")</f>
        <v>COMPLETED</v>
      </c>
      <c r="C885" s="74">
        <f>IFERROR(__xludf.DUMMYFUNCTION("""COMPUTED_VALUE"""),45750.0)</f>
        <v>45750</v>
      </c>
      <c r="D885" s="71" t="str">
        <f>IFERROR(__xludf.DUMMYFUNCTION("""COMPUTED_VALUE"""),"NEW PLANAS AGRICULTURE")</f>
        <v>NEW PLANAS AGRICULTURE</v>
      </c>
      <c r="E885" s="71" t="str">
        <f>IFERROR(__xludf.DUMMYFUNCTION("""COMPUTED_VALUE"""),"PLANAS, PORAC, PAMPANGA")</f>
        <v>PLANAS, PORAC, PAMPANGA</v>
      </c>
      <c r="F885" s="2" t="str">
        <f>IFERROR(__xludf.DUMMYFUNCTION("""COMPUTED_VALUE"""),"AMOR MALLARI")</f>
        <v>AMOR MALLARI</v>
      </c>
      <c r="G885" s="2">
        <f>IFERROR(__xludf.DUMMYFUNCTION("""COMPUTED_VALUE"""),9.093105708E9)</f>
        <v>9093105708</v>
      </c>
      <c r="H885" s="2"/>
      <c r="I885" s="72" t="str">
        <f>IFERROR(__xludf.DUMMYFUNCTION("""COMPUTED_VALUE"""),"SPARE PARTS ACQUISITION")</f>
        <v>SPARE PARTS ACQUISITION</v>
      </c>
      <c r="J885" s="72" t="str">
        <f>IFERROR(__xludf.DUMMYFUNCTION("""COMPUTED_VALUE"""),"SPARE PARTS ACQUISITION")</f>
        <v>SPARE PARTS ACQUISITION</v>
      </c>
      <c r="K885" s="72" t="str">
        <f>IFERROR(__xludf.DUMMYFUNCTION("""COMPUTED_VALUE"""),"ORDER: 42 ROTAVATOR BLADES (27,300)")</f>
        <v>ORDER: 42 ROTAVATOR BLADES (27,300)</v>
      </c>
      <c r="L885" s="72" t="str">
        <f>IFERROR(__xludf.DUMMYFUNCTION("""COMPUTED_VALUE"""),"DELIVERED")</f>
        <v>DELIVERED</v>
      </c>
      <c r="M885" s="2"/>
      <c r="N885" s="2" t="str">
        <f>IFERROR(__xludf.DUMMYFUNCTION("""COMPUTED_VALUE"""),"PARTS: 42 ROTAVATOR BLADES (L/R)")</f>
        <v>PARTS: 42 ROTAVATOR BLADES (L/R)</v>
      </c>
      <c r="O885" s="2" t="str">
        <f>IFERROR(__xludf.DUMMYFUNCTION("""COMPUTED_VALUE"""),"N/A")</f>
        <v>N/A</v>
      </c>
      <c r="P885" s="2"/>
      <c r="Q885" s="2"/>
      <c r="R885" s="74">
        <f>IFERROR(__xludf.DUMMYFUNCTION("""COMPUTED_VALUE"""),45762.0)</f>
        <v>45762</v>
      </c>
      <c r="S885" s="2" t="str">
        <f>IFERROR(__xludf.DUMMYFUNCTION("""COMPUTED_VALUE"""),"DSD")</f>
        <v>DSD</v>
      </c>
      <c r="T885" s="73">
        <f>IFERROR(__xludf.DUMMYFUNCTION("""COMPUTED_VALUE"""),27300.0)</f>
        <v>27300</v>
      </c>
      <c r="U885" s="73" t="str">
        <f>IFERROR(__xludf.DUMMYFUNCTION("""COMPUTED_VALUE""")," REMITTED ")</f>
        <v>REMITTED</v>
      </c>
      <c r="V885" s="2"/>
      <c r="W885" s="2">
        <f>IFERROR(__xludf.DUMMYFUNCTION("""COMPUTED_VALUE"""),1182.0)</f>
        <v>1182</v>
      </c>
      <c r="X885" s="2">
        <f>IFERROR(__xludf.DUMMYFUNCTION("""COMPUTED_VALUE"""),1368.0)</f>
        <v>1368</v>
      </c>
      <c r="Y885" s="2"/>
      <c r="Z885" s="2"/>
      <c r="AA885" s="2"/>
      <c r="AB885" s="2"/>
      <c r="AC885" s="2"/>
      <c r="AD885" s="2"/>
      <c r="AE885" s="2"/>
      <c r="AF885" s="2"/>
      <c r="AG885" s="2"/>
      <c r="AH885" s="2"/>
      <c r="AI885" s="2"/>
      <c r="AJ885" s="2" t="str">
        <f>IFERROR(__xludf.DUMMYFUNCTION("""COMPUTED_VALUE"""),"Planas")</f>
        <v>Planas</v>
      </c>
      <c r="AK885" s="2" t="str">
        <f>IFERROR(__xludf.DUMMYFUNCTION("""COMPUTED_VALUE"""),"Porac")</f>
        <v>Porac</v>
      </c>
      <c r="AL885" s="2" t="str">
        <f>IFERROR(__xludf.DUMMYFUNCTION("""COMPUTED_VALUE"""),"Pampanga")</f>
        <v>Pampanga</v>
      </c>
      <c r="AM885" s="2">
        <f>IFERROR(__xludf.DUMMYFUNCTION("""COMPUTED_VALUE"""),3.0)</f>
        <v>3</v>
      </c>
      <c r="AN885" s="2" t="str">
        <f>IFERROR(__xludf.DUMMYFUNCTION("""COMPUTED_VALUE"""),"RCEF 23-09-21 Rebidding")</f>
        <v>RCEF 23-09-21 Rebidding</v>
      </c>
      <c r="AO885" s="2">
        <f>IFERROR(__xludf.DUMMYFUNCTION("""COMPUTED_VALUE"""),9.0)</f>
        <v>9</v>
      </c>
      <c r="AP885" s="2"/>
      <c r="AQ885" s="2"/>
      <c r="AR885" s="2"/>
      <c r="AS885" s="2"/>
      <c r="AT885" s="2"/>
      <c r="AU885" s="2"/>
      <c r="AV885" s="2"/>
      <c r="AW885" s="2"/>
      <c r="AX885" s="2"/>
      <c r="AY885" s="2"/>
      <c r="AZ885" s="2"/>
      <c r="BA885" s="2"/>
      <c r="BB885" s="2"/>
    </row>
    <row r="886">
      <c r="A886" s="2">
        <f>IFERROR(__xludf.DUMMYFUNCTION("""COMPUTED_VALUE"""),882.0)</f>
        <v>882</v>
      </c>
      <c r="B886" s="2" t="str">
        <f>IFERROR(__xludf.DUMMYFUNCTION("""COMPUTED_VALUE"""),"COMPLETED")</f>
        <v>COMPLETED</v>
      </c>
      <c r="C886" s="74">
        <f>IFERROR(__xludf.DUMMYFUNCTION("""COMPUTED_VALUE"""),45752.0)</f>
        <v>45752</v>
      </c>
      <c r="D886" s="71" t="str">
        <f>IFERROR(__xludf.DUMMYFUNCTION("""COMPUTED_VALUE"""),"APO SENYONG FARMERS ASSOCIATION")</f>
        <v>APO SENYONG FARMERS ASSOCIATION</v>
      </c>
      <c r="E886" s="71" t="str">
        <f>IFERROR(__xludf.DUMMYFUNCTION("""COMPUTED_VALUE"""),"Vega, Bongabon, NUEVA ECIJA")</f>
        <v>Vega, Bongabon, NUEVA ECIJA</v>
      </c>
      <c r="F886" s="2" t="str">
        <f>IFERROR(__xludf.DUMMYFUNCTION("""COMPUTED_VALUE"""),"Rogelio Almera")</f>
        <v>Rogelio Almera</v>
      </c>
      <c r="G886" s="2">
        <f>IFERROR(__xludf.DUMMYFUNCTION("""COMPUTED_VALUE"""),6.39975310433E11)</f>
        <v>639975310433</v>
      </c>
      <c r="H886" s="2">
        <f>IFERROR(__xludf.DUMMYFUNCTION("""COMPUTED_VALUE"""),109.8)</f>
        <v>109.8</v>
      </c>
      <c r="I886" s="72" t="str">
        <f>IFERROR(__xludf.DUMMYFUNCTION("""COMPUTED_VALUE"""),"REPAIR - TRACTOR")</f>
        <v>REPAIR - TRACTOR</v>
      </c>
      <c r="J886" s="72" t="str">
        <f>IFERROR(__xludf.DUMMYFUNCTION("""COMPUTED_VALUE"""),"Transmission - Clutch")</f>
        <v>Transmission - Clutch</v>
      </c>
      <c r="K886" s="72" t="str">
        <f>IFERROR(__xludf.DUMMYFUNCTION("""COMPUTED_VALUE"""),"JHP:  check up of unit request asap daw. Ayaw gumana ng low medium high na gear shifter.
DRM: 4/7/25: CLUTCH LINING PROBLEM
PARTS: CLUTCH DISC ASSY
")</f>
        <v>JHP:  check up of unit request asap daw. Ayaw gumana ng low medium high na gear shifter.
DRM: 4/7/25: CLUTCH LINING PROBLEM
PARTS: CLUTCH DISC ASSY
</v>
      </c>
      <c r="L886" s="72" t="str">
        <f>IFERROR(__xludf.DUMMYFUNCTION("""COMPUTED_VALUE"""),"ACS: REPLACED CLUTCH DISC ASSY")</f>
        <v>ACS: REPLACED CLUTCH DISC ASSY</v>
      </c>
      <c r="M886" s="2"/>
      <c r="N886" s="2" t="str">
        <f>IFERROR(__xludf.DUMMYFUNCTION("""COMPUTED_VALUE"""),"SERVICE FEE: 5,000")</f>
        <v>SERVICE FEE: 5,000</v>
      </c>
      <c r="O886" s="2">
        <f>IFERROR(__xludf.DUMMYFUNCTION("""COMPUTED_VALUE"""),1428.0)</f>
        <v>1428</v>
      </c>
      <c r="P886" s="2"/>
      <c r="Q886" s="2" t="str">
        <f>IFERROR(__xludf.DUMMYFUNCTION("""COMPUTED_VALUE"""),"Y")</f>
        <v>Y</v>
      </c>
      <c r="R886" s="74">
        <f>IFERROR(__xludf.DUMMYFUNCTION("""COMPUTED_VALUE"""),45933.0)</f>
        <v>45933</v>
      </c>
      <c r="S886" s="2" t="str">
        <f>IFERROR(__xludf.DUMMYFUNCTION("""COMPUTED_VALUE"""),"JJHP/ACS")</f>
        <v>JJHP/ACS</v>
      </c>
      <c r="T886" s="73">
        <f>IFERROR(__xludf.DUMMYFUNCTION("""COMPUTED_VALUE"""),5000.0)</f>
        <v>5000</v>
      </c>
      <c r="U886" s="73" t="str">
        <f>IFERROR(__xludf.DUMMYFUNCTION("""COMPUTED_VALUE""")," REMITTED ")</f>
        <v>REMITTED</v>
      </c>
      <c r="V886" s="2"/>
      <c r="W886" s="2">
        <f>IFERROR(__xludf.DUMMYFUNCTION("""COMPUTED_VALUE"""),1093.0)</f>
        <v>1093</v>
      </c>
      <c r="X886" s="2">
        <f>IFERROR(__xludf.DUMMYFUNCTION("""COMPUTED_VALUE"""),1625.0)</f>
        <v>1625</v>
      </c>
      <c r="Y886" s="2"/>
      <c r="Z886" s="2"/>
      <c r="AA886" s="2"/>
      <c r="AB886" s="2"/>
      <c r="AC886" s="2"/>
      <c r="AD886" s="2"/>
      <c r="AE886" s="2"/>
      <c r="AF886" s="2"/>
      <c r="AG886" s="2"/>
      <c r="AH886" s="2"/>
      <c r="AI886" s="2"/>
      <c r="AJ886" s="2" t="str">
        <f>IFERROR(__xludf.DUMMYFUNCTION("""COMPUTED_VALUE"""),"Vega")</f>
        <v>Vega</v>
      </c>
      <c r="AK886" s="2" t="str">
        <f>IFERROR(__xludf.DUMMYFUNCTION("""COMPUTED_VALUE"""),"Bongabon")</f>
        <v>Bongabon</v>
      </c>
      <c r="AL886" s="2" t="str">
        <f>IFERROR(__xludf.DUMMYFUNCTION("""COMPUTED_VALUE"""),"Nueva Ecija")</f>
        <v>Nueva Ecija</v>
      </c>
      <c r="AM886" s="2">
        <f>IFERROR(__xludf.DUMMYFUNCTION("""COMPUTED_VALUE"""),3.0)</f>
        <v>3</v>
      </c>
      <c r="AN886" s="2" t="str">
        <f>IFERROR(__xludf.DUMMYFUNCTION("""COMPUTED_VALUE"""),"RCEF 23-09-21 Rebidding")</f>
        <v>RCEF 23-09-21 Rebidding</v>
      </c>
      <c r="AO886" s="2">
        <f>IFERROR(__xludf.DUMMYFUNCTION("""COMPUTED_VALUE"""),9.0)</f>
        <v>9</v>
      </c>
      <c r="AP886" s="2"/>
      <c r="AQ886" s="2"/>
      <c r="AR886" s="2"/>
      <c r="AS886" s="2"/>
      <c r="AT886" s="2"/>
      <c r="AU886" s="2"/>
      <c r="AV886" s="2"/>
      <c r="AW886" s="2"/>
      <c r="AX886" s="2"/>
      <c r="AY886" s="2"/>
      <c r="AZ886" s="2"/>
      <c r="BA886" s="2"/>
      <c r="BB886" s="2"/>
    </row>
    <row r="887">
      <c r="A887" s="2">
        <f>IFERROR(__xludf.DUMMYFUNCTION("""COMPUTED_VALUE"""),883.0)</f>
        <v>883</v>
      </c>
      <c r="B887" s="2" t="str">
        <f>IFERROR(__xludf.DUMMYFUNCTION("""COMPUTED_VALUE"""),"COMPLETED")</f>
        <v>COMPLETED</v>
      </c>
      <c r="C887" s="74">
        <f>IFERROR(__xludf.DUMMYFUNCTION("""COMPUTED_VALUE"""),45755.0)</f>
        <v>45755</v>
      </c>
      <c r="D887" s="71" t="str">
        <f>IFERROR(__xludf.DUMMYFUNCTION("""COMPUTED_VALUE"""),"MUNICIPAL LOCAL GOVERNMENT UNIT OF QUEZON")</f>
        <v>MUNICIPAL LOCAL GOVERNMENT UNIT OF QUEZON</v>
      </c>
      <c r="E887" s="71" t="str">
        <f>IFERROR(__xludf.DUMMYFUNCTION("""COMPUTED_VALUE"""),"Dulong Bayan, Quezon, Nueva Ecija")</f>
        <v>Dulong Bayan, Quezon, Nueva Ecija</v>
      </c>
      <c r="F887" s="2" t="str">
        <f>IFERROR(__xludf.DUMMYFUNCTION("""COMPUTED_VALUE"""),"PERCIVAL DE GUZMAN ")</f>
        <v>PERCIVAL DE GUZMAN </v>
      </c>
      <c r="G887" s="2">
        <f>IFERROR(__xludf.DUMMYFUNCTION("""COMPUTED_VALUE"""),9.174556826E9)</f>
        <v>9174556826</v>
      </c>
      <c r="H887" s="2"/>
      <c r="I887" s="72" t="str">
        <f>IFERROR(__xludf.DUMMYFUNCTION("""COMPUTED_VALUE"""),"PMS")</f>
        <v>PMS</v>
      </c>
      <c r="J887" s="72" t="str">
        <f>IFERROR(__xludf.DUMMYFUNCTION("""COMPUTED_VALUE"""),"PMS")</f>
        <v>PMS</v>
      </c>
      <c r="K887" s="72" t="str">
        <f>IFERROR(__xludf.DUMMYFUNCTION("""COMPUTED_VALUE"""),"JHP: 2ND PMS (request for second change oil. Magdala na ng O.R pag punta sa unit)")</f>
        <v>JHP: 2ND PMS (request for second change oil. Magdala na ng O.R pag punta sa unit)</v>
      </c>
      <c r="L887" s="72" t="str">
        <f>IFERROR(__xludf.DUMMYFUNCTION("""COMPUTED_VALUE"""),"DONE 2ND PMS")</f>
        <v>DONE 2ND PMS</v>
      </c>
      <c r="M887" s="2"/>
      <c r="N887" s="2" t="str">
        <f>IFERROR(__xludf.DUMMYFUNCTION("""COMPUTED_VALUE"""),"PARTS: OIL FILTER, ENGINE OIL, HYDRAULIC FILTER, HYDRAULIC OIL")</f>
        <v>PARTS: OIL FILTER, ENGINE OIL, HYDRAULIC FILTER, HYDRAULIC OIL</v>
      </c>
      <c r="O887" s="2">
        <f>IFERROR(__xludf.DUMMYFUNCTION("""COMPUTED_VALUE"""),1068.0)</f>
        <v>1068</v>
      </c>
      <c r="P887" s="2"/>
      <c r="Q887" s="2"/>
      <c r="R887" s="74">
        <f>IFERROR(__xludf.DUMMYFUNCTION("""COMPUTED_VALUE"""),45758.0)</f>
        <v>45758</v>
      </c>
      <c r="S887" s="2" t="str">
        <f>IFERROR(__xludf.DUMMYFUNCTION("""COMPUTED_VALUE"""),"DSD/JDP")</f>
        <v>DSD/JDP</v>
      </c>
      <c r="T887" s="73">
        <f>IFERROR(__xludf.DUMMYFUNCTION("""COMPUTED_VALUE"""),17200.0)</f>
        <v>17200</v>
      </c>
      <c r="U887" s="73" t="str">
        <f>IFERROR(__xludf.DUMMYFUNCTION("""COMPUTED_VALUE""")," REMITTED ")</f>
        <v>REMITTED</v>
      </c>
      <c r="V887" s="2"/>
      <c r="W887" s="2">
        <f>IFERROR(__xludf.DUMMYFUNCTION("""COMPUTED_VALUE"""),1497.0)</f>
        <v>1497</v>
      </c>
      <c r="X887" s="2">
        <f>IFERROR(__xludf.DUMMYFUNCTION("""COMPUTED_VALUE"""),1350.0)</f>
        <v>1350</v>
      </c>
      <c r="Y887" s="2"/>
      <c r="Z887" s="2"/>
      <c r="AA887" s="2"/>
      <c r="AB887" s="2"/>
      <c r="AC887" s="2"/>
      <c r="AD887" s="2"/>
      <c r="AE887" s="2"/>
      <c r="AF887" s="2"/>
      <c r="AG887" s="2"/>
      <c r="AH887" s="2"/>
      <c r="AI887" s="2"/>
      <c r="AJ887" s="2" t="str">
        <f>IFERROR(__xludf.DUMMYFUNCTION("""COMPUTED_VALUE"""),"Dulong Bayan")</f>
        <v>Dulong Bayan</v>
      </c>
      <c r="AK887" s="2" t="str">
        <f>IFERROR(__xludf.DUMMYFUNCTION("""COMPUTED_VALUE"""),"Quezon")</f>
        <v>Quezon</v>
      </c>
      <c r="AL887" s="2" t="str">
        <f>IFERROR(__xludf.DUMMYFUNCTION("""COMPUTED_VALUE"""),"Nueva Ecija")</f>
        <v>Nueva Ecija</v>
      </c>
      <c r="AM887" s="2">
        <f>IFERROR(__xludf.DUMMYFUNCTION("""COMPUTED_VALUE"""),3.0)</f>
        <v>3</v>
      </c>
      <c r="AN887" s="2" t="str">
        <f>IFERROR(__xludf.DUMMYFUNCTION("""COMPUTED_VALUE"""),"RCEF 23-09-21 Rebidding")</f>
        <v>RCEF 23-09-21 Rebidding</v>
      </c>
      <c r="AO887" s="2">
        <f>IFERROR(__xludf.DUMMYFUNCTION("""COMPUTED_VALUE"""),3.0)</f>
        <v>3</v>
      </c>
      <c r="AP887" s="2"/>
      <c r="AQ887" s="2"/>
      <c r="AR887" s="2"/>
      <c r="AS887" s="2"/>
      <c r="AT887" s="2"/>
      <c r="AU887" s="2"/>
      <c r="AV887" s="2"/>
      <c r="AW887" s="2"/>
      <c r="AX887" s="2"/>
      <c r="AY887" s="2"/>
      <c r="AZ887" s="2"/>
      <c r="BA887" s="2"/>
      <c r="BB887" s="2"/>
    </row>
    <row r="888">
      <c r="A888" s="2">
        <f>IFERROR(__xludf.DUMMYFUNCTION("""COMPUTED_VALUE"""),884.0)</f>
        <v>884</v>
      </c>
      <c r="B888" s="2" t="str">
        <f>IFERROR(__xludf.DUMMYFUNCTION("""COMPUTED_VALUE"""),"COMPLETED")</f>
        <v>COMPLETED</v>
      </c>
      <c r="C888" s="74">
        <f>IFERROR(__xludf.DUMMYFUNCTION("""COMPUTED_VALUE"""),45756.0)</f>
        <v>45756</v>
      </c>
      <c r="D888" s="71" t="str">
        <f>IFERROR(__xludf.DUMMYFUNCTION("""COMPUTED_VALUE"""),"ASOSASYON NA MASANTING YA DUMARALOS")</f>
        <v>ASOSASYON NA MASANTING YA DUMARALOS</v>
      </c>
      <c r="E888" s="71" t="str">
        <f>IFERROR(__xludf.DUMMYFUNCTION("""COMPUTED_VALUE"""),"Macayug, Mangaldan, PANGASINAN")</f>
        <v>Macayug, Mangaldan, PANGASINAN</v>
      </c>
      <c r="F888" s="2" t="str">
        <f>IFERROR(__xludf.DUMMYFUNCTION("""COMPUTED_VALUE"""),"Tito E,Revilla")</f>
        <v>Tito E,Revilla</v>
      </c>
      <c r="G888" s="2">
        <f>IFERROR(__xludf.DUMMYFUNCTION("""COMPUTED_VALUE"""),9.639990521E9)</f>
        <v>9639990521</v>
      </c>
      <c r="H888" s="2">
        <f>IFERROR(__xludf.DUMMYFUNCTION("""COMPUTED_VALUE"""),48.0)</f>
        <v>48</v>
      </c>
      <c r="I888" s="72" t="str">
        <f>IFERROR(__xludf.DUMMYFUNCTION("""COMPUTED_VALUE"""),"PMS")</f>
        <v>PMS</v>
      </c>
      <c r="J888" s="72" t="str">
        <f>IFERROR(__xludf.DUMMYFUNCTION("""COMPUTED_VALUE"""),"PMS")</f>
        <v>PMS</v>
      </c>
      <c r="K888" s="72" t="str">
        <f>IFERROR(__xludf.DUMMYFUNCTION("""COMPUTED_VALUE"""),"MYK: 1ST PMS (FREE)")</f>
        <v>MYK: 1ST PMS (FREE)</v>
      </c>
      <c r="L888" s="72" t="str">
        <f>IFERROR(__xludf.DUMMYFUNCTION("""COMPUTED_VALUE"""),"ACS: CHANGE OIL REPALACED OIL FILTER AMD ENGINE OIL , PMS DONE")</f>
        <v>ACS: CHANGE OIL REPALACED OIL FILTER AMD ENGINE OIL , PMS DONE</v>
      </c>
      <c r="M888" s="2"/>
      <c r="N888" s="2" t="str">
        <f>IFERROR(__xludf.DUMMYFUNCTION("""COMPUTED_VALUE"""),"PARTS: OIL FILTER, ENGINE OIL")</f>
        <v>PARTS: OIL FILTER, ENGINE OIL</v>
      </c>
      <c r="O888" s="2">
        <f>IFERROR(__xludf.DUMMYFUNCTION("""COMPUTED_VALUE"""),1234.0)</f>
        <v>1234</v>
      </c>
      <c r="P888" s="2"/>
      <c r="Q888" s="2"/>
      <c r="R888" s="74">
        <f>IFERROR(__xludf.DUMMYFUNCTION("""COMPUTED_VALUE"""),45762.0)</f>
        <v>45762</v>
      </c>
      <c r="S888" s="2" t="str">
        <f>IFERROR(__xludf.DUMMYFUNCTION("""COMPUTED_VALUE"""),"JHP/ACS/DRM")</f>
        <v>JHP/ACS/DRM</v>
      </c>
      <c r="T888" s="73" t="str">
        <f>IFERROR(__xludf.DUMMYFUNCTION("""COMPUTED_VALUE""")," N/A ")</f>
        <v>N/A</v>
      </c>
      <c r="U888" s="73" t="str">
        <f>IFERROR(__xludf.DUMMYFUNCTION("""COMPUTED_VALUE""")," NO CHARGE ")</f>
        <v>NO CHARGE</v>
      </c>
      <c r="V888" s="2"/>
      <c r="W888" s="2" t="str">
        <f>IFERROR(__xludf.DUMMYFUNCTION("""COMPUTED_VALUE"""),"N/A")</f>
        <v>N/A</v>
      </c>
      <c r="X888" s="2" t="str">
        <f>IFERROR(__xludf.DUMMYFUNCTION("""COMPUTED_VALUE"""),"N/A")</f>
        <v>N/A</v>
      </c>
      <c r="Y888" s="2"/>
      <c r="Z888" s="2"/>
      <c r="AA888" s="2"/>
      <c r="AB888" s="2"/>
      <c r="AC888" s="2"/>
      <c r="AD888" s="2"/>
      <c r="AE888" s="2"/>
      <c r="AF888" s="2"/>
      <c r="AG888" s="2"/>
      <c r="AH888" s="2"/>
      <c r="AI888" s="2"/>
      <c r="AJ888" s="2" t="str">
        <f>IFERROR(__xludf.DUMMYFUNCTION("""COMPUTED_VALUE"""),"Macayug")</f>
        <v>Macayug</v>
      </c>
      <c r="AK888" s="2" t="str">
        <f>IFERROR(__xludf.DUMMYFUNCTION("""COMPUTED_VALUE"""),"Mangaldan")</f>
        <v>Mangaldan</v>
      </c>
      <c r="AL888" s="2" t="str">
        <f>IFERROR(__xludf.DUMMYFUNCTION("""COMPUTED_VALUE"""),"Pangasinan")</f>
        <v>Pangasinan</v>
      </c>
      <c r="AM888" s="2">
        <f>IFERROR(__xludf.DUMMYFUNCTION("""COMPUTED_VALUE"""),1.0)</f>
        <v>1</v>
      </c>
      <c r="AN888" s="2" t="str">
        <f>IFERROR(__xludf.DUMMYFUNCTION("""COMPUTED_VALUE"""),"RCEF 24-04-15")</f>
        <v>RCEF 24-04-15</v>
      </c>
      <c r="AO888" s="2">
        <f>IFERROR(__xludf.DUMMYFUNCTION("""COMPUTED_VALUE"""),6.0)</f>
        <v>6</v>
      </c>
      <c r="AP888" s="2" t="str">
        <f>IFERROR(__xludf.DUMMYFUNCTION("""COMPUTED_VALUE"""),"FREE PMS")</f>
        <v>FREE PMS</v>
      </c>
      <c r="AQ888" s="2"/>
      <c r="AR888" s="2"/>
      <c r="AS888" s="2"/>
      <c r="AT888" s="2"/>
      <c r="AU888" s="2"/>
      <c r="AV888" s="2"/>
      <c r="AW888" s="2"/>
      <c r="AX888" s="2"/>
      <c r="AY888" s="2"/>
      <c r="AZ888" s="2"/>
      <c r="BA888" s="2"/>
      <c r="BB888" s="2"/>
    </row>
    <row r="889">
      <c r="A889" s="2">
        <f>IFERROR(__xludf.DUMMYFUNCTION("""COMPUTED_VALUE"""),885.0)</f>
        <v>885</v>
      </c>
      <c r="B889" s="2" t="str">
        <f>IFERROR(__xludf.DUMMYFUNCTION("""COMPUTED_VALUE"""),"COMPLETED")</f>
        <v>COMPLETED</v>
      </c>
      <c r="C889" s="74">
        <f>IFERROR(__xludf.DUMMYFUNCTION("""COMPUTED_VALUE"""),45756.0)</f>
        <v>45756</v>
      </c>
      <c r="D889" s="71" t="str">
        <f>IFERROR(__xludf.DUMMYFUNCTION("""COMPUTED_VALUE"""),"MONTEVERDE FARMERS &amp; IRRIGATORS ASSOCIATION")</f>
        <v>MONTEVERDE FARMERS &amp; IRRIGATORS ASSOCIATION</v>
      </c>
      <c r="E889" s="71" t="str">
        <f>IFERROR(__xludf.DUMMYFUNCTION("""COMPUTED_VALUE"""),"Monteverde, Socorro, ORIENTAL MINDORO")</f>
        <v>Monteverde, Socorro, ORIENTAL MINDORO</v>
      </c>
      <c r="F889" s="2" t="str">
        <f>IFERROR(__xludf.DUMMYFUNCTION("""COMPUTED_VALUE"""),"Gaspar V. Baculo")</f>
        <v>Gaspar V. Baculo</v>
      </c>
      <c r="G889" s="2">
        <f>IFERROR(__xludf.DUMMYFUNCTION("""COMPUTED_VALUE"""),9.261506792E9)</f>
        <v>9261506792</v>
      </c>
      <c r="H889" s="2">
        <f>IFERROR(__xludf.DUMMYFUNCTION("""COMPUTED_VALUE"""),50.0)</f>
        <v>50</v>
      </c>
      <c r="I889" s="72" t="str">
        <f>IFERROR(__xludf.DUMMYFUNCTION("""COMPUTED_VALUE"""),"REPAIR - DISC PLOW")</f>
        <v>REPAIR - DISC PLOW</v>
      </c>
      <c r="J889" s="72" t="str">
        <f>IFERROR(__xludf.DUMMYFUNCTION("""COMPUTED_VALUE"""),"Leak")</f>
        <v>Leak</v>
      </c>
      <c r="K889" s="72" t="str">
        <f>IFERROR(__xludf.DUMMYFUNCTION("""COMPUTED_VALUE"""),"MYK: Nag leleak sa kaliwang parte ng Disc Plow 
(RCG: PINABILI KO NALANG NG BOLT PARA SA ROTAVATOR SI FARMER/OPERATOR)
")</f>
        <v>MYK: Nag leleak sa kaliwang parte ng Disc Plow 
(RCG: PINABILI KO NALANG NG BOLT PARA SA ROTAVATOR SI FARMER/OPERATOR)
</v>
      </c>
      <c r="L889" s="72" t="str">
        <f>IFERROR(__xludf.DUMMYFUNCTION("""COMPUTED_VALUE"""),"CLOSED AS PER RCG: PINABILI KO NALANG NG BOLT PARA SA ROTAVATOR SI FARMER/OPERATOR")</f>
        <v>CLOSED AS PER RCG: PINABILI KO NALANG NG BOLT PARA SA ROTAVATOR SI FARMER/OPERATOR</v>
      </c>
      <c r="M889" s="2"/>
      <c r="N889" s="2"/>
      <c r="O889" s="2" t="str">
        <f>IFERROR(__xludf.DUMMYFUNCTION("""COMPUTED_VALUE"""),"N/A")</f>
        <v>N/A</v>
      </c>
      <c r="P889" s="2"/>
      <c r="Q889" s="2"/>
      <c r="R889" s="74" t="str">
        <f>IFERROR(__xludf.DUMMYFUNCTION("""COMPUTED_VALUE"""),"DATE UNKNOWN ")</f>
        <v>DATE UNKNOWN </v>
      </c>
      <c r="S889" s="2" t="str">
        <f>IFERROR(__xludf.DUMMYFUNCTION("""COMPUTED_VALUE"""),"RCG")</f>
        <v>RCG</v>
      </c>
      <c r="T889" s="73" t="str">
        <f>IFERROR(__xludf.DUMMYFUNCTION("""COMPUTED_VALUE""")," N/A ")</f>
        <v>N/A</v>
      </c>
      <c r="U889" s="73" t="str">
        <f>IFERROR(__xludf.DUMMYFUNCTION("""COMPUTED_VALUE""")," NO CHARGE ")</f>
        <v>NO CHARGE</v>
      </c>
      <c r="V889" s="2"/>
      <c r="W889" s="2" t="str">
        <f>IFERROR(__xludf.DUMMYFUNCTION("""COMPUTED_VALUE"""),"N/A")</f>
        <v>N/A</v>
      </c>
      <c r="X889" s="2" t="str">
        <f>IFERROR(__xludf.DUMMYFUNCTION("""COMPUTED_VALUE"""),"N/A")</f>
        <v>N/A</v>
      </c>
      <c r="Y889" s="2"/>
      <c r="Z889" s="2"/>
      <c r="AA889" s="2"/>
      <c r="AB889" s="2"/>
      <c r="AC889" s="2"/>
      <c r="AD889" s="2"/>
      <c r="AE889" s="2"/>
      <c r="AF889" s="2"/>
      <c r="AG889" s="2"/>
      <c r="AH889" s="2"/>
      <c r="AI889" s="2"/>
      <c r="AJ889" s="2" t="str">
        <f>IFERROR(__xludf.DUMMYFUNCTION("""COMPUTED_VALUE"""),"Monteverde")</f>
        <v>Monteverde</v>
      </c>
      <c r="AK889" s="2" t="str">
        <f>IFERROR(__xludf.DUMMYFUNCTION("""COMPUTED_VALUE"""),"Socorro")</f>
        <v>Socorro</v>
      </c>
      <c r="AL889" s="2" t="str">
        <f>IFERROR(__xludf.DUMMYFUNCTION("""COMPUTED_VALUE"""),"Oriental Mindoro")</f>
        <v>Oriental Mindoro</v>
      </c>
      <c r="AM889" s="2" t="str">
        <f>IFERROR(__xludf.DUMMYFUNCTION("""COMPUTED_VALUE"""),"4B")</f>
        <v>4B</v>
      </c>
      <c r="AN889" s="2" t="str">
        <f>IFERROR(__xludf.DUMMYFUNCTION("""COMPUTED_VALUE"""),"RCEF 24-04-15")</f>
        <v>RCEF 24-04-15</v>
      </c>
      <c r="AO889" s="2">
        <f>IFERROR(__xludf.DUMMYFUNCTION("""COMPUTED_VALUE"""),7.0)</f>
        <v>7</v>
      </c>
      <c r="AP889" s="2" t="str">
        <f>IFERROR(__xludf.DUMMYFUNCTION("""COMPUTED_VALUE"""),"FREE PMS")</f>
        <v>FREE PMS</v>
      </c>
      <c r="AQ889" s="2"/>
      <c r="AR889" s="2"/>
      <c r="AS889" s="2"/>
      <c r="AT889" s="2"/>
      <c r="AU889" s="2"/>
      <c r="AV889" s="2"/>
      <c r="AW889" s="2"/>
      <c r="AX889" s="2"/>
      <c r="AY889" s="2"/>
      <c r="AZ889" s="2"/>
      <c r="BA889" s="2"/>
      <c r="BB889" s="2"/>
    </row>
    <row r="890">
      <c r="A890" s="2">
        <f>IFERROR(__xludf.DUMMYFUNCTION("""COMPUTED_VALUE"""),886.0)</f>
        <v>886</v>
      </c>
      <c r="B890" s="2" t="str">
        <f>IFERROR(__xludf.DUMMYFUNCTION("""COMPUTED_VALUE"""),"COMPLETED")</f>
        <v>COMPLETED</v>
      </c>
      <c r="C890" s="74">
        <f>IFERROR(__xludf.DUMMYFUNCTION("""COMPUTED_VALUE"""),45757.0)</f>
        <v>45757</v>
      </c>
      <c r="D890" s="71" t="str">
        <f>IFERROR(__xludf.DUMMYFUNCTION("""COMPUTED_VALUE"""),"Masagana Producers Cooperative")</f>
        <v>Masagana Producers Cooperative</v>
      </c>
      <c r="E890" s="71" t="str">
        <f>IFERROR(__xludf.DUMMYFUNCTION("""COMPUTED_VALUE"""),"Alagao, San Ildefonso, BULACAN")</f>
        <v>Alagao, San Ildefonso, BULACAN</v>
      </c>
      <c r="F890" s="2" t="str">
        <f>IFERROR(__xludf.DUMMYFUNCTION("""COMPUTED_VALUE"""),"Danilo santos")</f>
        <v>Danilo santos</v>
      </c>
      <c r="G890" s="2">
        <f>IFERROR(__xludf.DUMMYFUNCTION("""COMPUTED_VALUE"""),9.630227438E9)</f>
        <v>9630227438</v>
      </c>
      <c r="H890" s="2"/>
      <c r="I890" s="72" t="str">
        <f>IFERROR(__xludf.DUMMYFUNCTION("""COMPUTED_VALUE"""),"REPAIR - TRACTOR")</f>
        <v>REPAIR - TRACTOR</v>
      </c>
      <c r="J890" s="72" t="str">
        <f>IFERROR(__xludf.DUMMYFUNCTION("""COMPUTED_VALUE"""),"PTO - Shafting")</f>
        <v>PTO - Shafting</v>
      </c>
      <c r="K890" s="72" t="str">
        <f>IFERROR(__xludf.DUMMYFUNCTION("""COMPUTED_VALUE"""),"KFS: naputol sply Ng PTO
Pagawan ako quotation since hindi sya under warranty. PTO spline ng tractor. Ung service cost saka na muna
PARTS: PTO SHAFT")</f>
        <v>KFS: naputol sply Ng PTO
Pagawan ako quotation since hindi sya under warranty. PTO spline ng tractor. Ung service cost saka na muna
PARTS: PTO SHAFT</v>
      </c>
      <c r="L890" s="72" t="str">
        <f>IFERROR(__xludf.DUMMYFUNCTION("""COMPUTED_VALUE"""),"EGT: DIASSEMBLE OF PTO SHAFT ASSY AND ASSEMBLED")</f>
        <v>EGT: DIASSEMBLE OF PTO SHAFT ASSY AND ASSEMBLED</v>
      </c>
      <c r="M890" s="2"/>
      <c r="N890" s="2" t="str">
        <f>IFERROR(__xludf.DUMMYFUNCTION("""COMPUTED_VALUE"""),"PARTS: PTO SHAFT -NT45130000B3")</f>
        <v>PARTS: PTO SHAFT -NT45130000B3</v>
      </c>
      <c r="O890" s="2">
        <f>IFERROR(__xludf.DUMMYFUNCTION("""COMPUTED_VALUE"""),1121.0)</f>
        <v>1121</v>
      </c>
      <c r="P890" s="2"/>
      <c r="Q890" s="2"/>
      <c r="R890" s="74">
        <f>IFERROR(__xludf.DUMMYFUNCTION("""COMPUTED_VALUE"""),45770.0)</f>
        <v>45770</v>
      </c>
      <c r="S890" s="2" t="str">
        <f>IFERROR(__xludf.DUMMYFUNCTION("""COMPUTED_VALUE"""),"DRM/EGT")</f>
        <v>DRM/EGT</v>
      </c>
      <c r="T890" s="73">
        <f>IFERROR(__xludf.DUMMYFUNCTION("""COMPUTED_VALUE"""),12500.0)</f>
        <v>12500</v>
      </c>
      <c r="U890" s="73" t="str">
        <f>IFERROR(__xludf.DUMMYFUNCTION("""COMPUTED_VALUE""")," REMITTED ")</f>
        <v>REMITTED</v>
      </c>
      <c r="V890" s="2"/>
      <c r="W890" s="2">
        <f>IFERROR(__xludf.DUMMYFUNCTION("""COMPUTED_VALUE"""),1412.0)</f>
        <v>1412</v>
      </c>
      <c r="X890" s="2">
        <f>IFERROR(__xludf.DUMMYFUNCTION("""COMPUTED_VALUE"""),1403.0)</f>
        <v>1403</v>
      </c>
      <c r="Y890" s="2"/>
      <c r="Z890" s="2"/>
      <c r="AA890" s="2"/>
      <c r="AB890" s="2"/>
      <c r="AC890" s="2"/>
      <c r="AD890" s="2"/>
      <c r="AE890" s="2"/>
      <c r="AF890" s="2"/>
      <c r="AG890" s="2"/>
      <c r="AH890" s="2"/>
      <c r="AI890" s="2"/>
      <c r="AJ890" s="2" t="str">
        <f>IFERROR(__xludf.DUMMYFUNCTION("""COMPUTED_VALUE"""),"Alagao")</f>
        <v>Alagao</v>
      </c>
      <c r="AK890" s="2" t="str">
        <f>IFERROR(__xludf.DUMMYFUNCTION("""COMPUTED_VALUE"""),"San Ildefonso")</f>
        <v>San Ildefonso</v>
      </c>
      <c r="AL890" s="2" t="str">
        <f>IFERROR(__xludf.DUMMYFUNCTION("""COMPUTED_VALUE"""),"Bulacan")</f>
        <v>Bulacan</v>
      </c>
      <c r="AM890" s="2">
        <f>IFERROR(__xludf.DUMMYFUNCTION("""COMPUTED_VALUE"""),3.0)</f>
        <v>3</v>
      </c>
      <c r="AN890" s="2" t="str">
        <f>IFERROR(__xludf.DUMMYFUNCTION("""COMPUTED_VALUE"""),"RCEF 23-09-21 Rebidding")</f>
        <v>RCEF 23-09-21 Rebidding</v>
      </c>
      <c r="AO890" s="2">
        <f>IFERROR(__xludf.DUMMYFUNCTION("""COMPUTED_VALUE"""),3.0)</f>
        <v>3</v>
      </c>
      <c r="AP890" s="2"/>
      <c r="AQ890" s="2"/>
      <c r="AR890" s="2"/>
      <c r="AS890" s="2"/>
      <c r="AT890" s="2"/>
      <c r="AU890" s="2"/>
      <c r="AV890" s="2"/>
      <c r="AW890" s="2"/>
      <c r="AX890" s="2"/>
      <c r="AY890" s="2"/>
      <c r="AZ890" s="2"/>
      <c r="BA890" s="2"/>
      <c r="BB890" s="2"/>
    </row>
    <row r="891">
      <c r="A891" s="2">
        <f>IFERROR(__xludf.DUMMYFUNCTION("""COMPUTED_VALUE"""),887.0)</f>
        <v>887</v>
      </c>
      <c r="B891" s="2" t="str">
        <f>IFERROR(__xludf.DUMMYFUNCTION("""COMPUTED_VALUE"""),"COMPLETED")</f>
        <v>COMPLETED</v>
      </c>
      <c r="C891" s="74">
        <f>IFERROR(__xludf.DUMMYFUNCTION("""COMPUTED_VALUE"""),45760.0)</f>
        <v>45760</v>
      </c>
      <c r="D891" s="71" t="str">
        <f>IFERROR(__xludf.DUMMYFUNCTION("""COMPUTED_VALUE"""),"Pura Farmers Agriculture Cooperative (PFAC)")</f>
        <v>Pura Farmers Agriculture Cooperative (PFAC)</v>
      </c>
      <c r="E891" s="71" t="str">
        <f>IFERROR(__xludf.DUMMYFUNCTION("""COMPUTED_VALUE"""),"Poblacion 2, Pura, TARLAC")</f>
        <v>Poblacion 2, Pura, TARLAC</v>
      </c>
      <c r="F891" s="2"/>
      <c r="G891" s="2">
        <f>IFERROR(__xludf.DUMMYFUNCTION("""COMPUTED_VALUE"""),9.318097583E9)</f>
        <v>9318097583</v>
      </c>
      <c r="H891" s="2"/>
      <c r="I891" s="72" t="str">
        <f>IFERROR(__xludf.DUMMYFUNCTION("""COMPUTED_VALUE"""),"REPAIR - TRACTOR")</f>
        <v>REPAIR - TRACTOR</v>
      </c>
      <c r="J891" s="72" t="str">
        <f>IFERROR(__xludf.DUMMYFUNCTION("""COMPUTED_VALUE"""),"Transmission - Front Drive")</f>
        <v>Transmission - Front Drive</v>
      </c>
      <c r="K891" s="72" t="str">
        <f>IFERROR(__xludf.DUMMYFUNCTION("""COMPUTED_VALUE"""),"JDP: MAY TAGAS DAW PO NG GEAR OIL SA MAY FRONT AXLE
JDP: 4/17/25: MAY TAGAS PO NG GEAR OIL SA MAY FRONT AXLE
MAY PROBLEMA DIN PO SA FRONT DRIVE
PARTS: RING GEAR ASSY 
JDP: 5/2/25: DIS ASSEMBLE OF FRFONT AXLE , DAMAGE BEARINGS OIL SEAL AND O-RING (SI FCA"&amp;" NA ANG BUMILI NG MGA KAYLANGAN PYESA)
JDP: 1382: 5/5/25: NA LOOSE THREAD PO YUNG COUNT SHAFT NUT SA MAY FRONT AXLE KAYA HINDI PO NAGAWA
PARTS: COUNT SHAFT NUT - TA00033478
EGT: FRONT DIFFERENTAIL PROBLEM")</f>
        <v>JDP: MAY TAGAS DAW PO NG GEAR OIL SA MAY FRONT AXLE
JDP: 4/17/25: MAY TAGAS PO NG GEAR OIL SA MAY FRONT AXLE
MAY PROBLEMA DIN PO SA FRONT DRIVE
PARTS: RING GEAR ASSY 
JDP: 5/2/25: DIS ASSEMBLE OF FRFONT AXLE , DAMAGE BEARINGS OIL SEAL AND O-RING (SI FCA NA ANG BUMILI NG MGA KAYLANGAN PYESA)
JDP: 1382: 5/5/25: NA LOOSE THREAD PO YUNG COUNT SHAFT NUT SA MAY FRONT AXLE KAYA HINDI PO NAGAWA
PARTS: COUNT SHAFT NUT - TA00033478
EGT: FRONT DIFFERENTAIL PROBLEM</v>
      </c>
      <c r="L891" s="72" t="str">
        <f>IFERROR(__xludf.DUMMYFUNCTION("""COMPUTED_VALUE"""),"EGT: ASSEMBLE DIFFERENTIAL AND FOUR WHEEL DRIVE")</f>
        <v>EGT: ASSEMBLE DIFFERENTIAL AND FOUR WHEEL DRIVE</v>
      </c>
      <c r="M891" s="2"/>
      <c r="N891" s="2" t="str">
        <f>IFERROR(__xludf.DUMMYFUNCTION("""COMPUTED_VALUE"""),"PARTS: 
HARD LOCK NUT (NUT TA00033472)
SERVICE CHARGE: 2000
")</f>
        <v>PARTS: 
HARD LOCK NUT (NUT TA00033472)
SERVICE CHARGE: 2000
</v>
      </c>
      <c r="O891" s="2">
        <f>IFERROR(__xludf.DUMMYFUNCTION("""COMPUTED_VALUE"""),1122.0)</f>
        <v>1122</v>
      </c>
      <c r="P891" s="2"/>
      <c r="Q891" s="2"/>
      <c r="R891" s="74">
        <f>IFERROR(__xludf.DUMMYFUNCTION("""COMPUTED_VALUE"""),45785.0)</f>
        <v>45785</v>
      </c>
      <c r="S891" s="2" t="str">
        <f>IFERROR(__xludf.DUMMYFUNCTION("""COMPUTED_VALUE"""),"EGT/DRM")</f>
        <v>EGT/DRM</v>
      </c>
      <c r="T891" s="73">
        <f>IFERROR(__xludf.DUMMYFUNCTION("""COMPUTED_VALUE"""),2300.0)</f>
        <v>2300</v>
      </c>
      <c r="U891" s="73" t="str">
        <f>IFERROR(__xludf.DUMMYFUNCTION("""COMPUTED_VALUE""")," REMITTED ")</f>
        <v>REMITTED</v>
      </c>
      <c r="V891" s="2"/>
      <c r="W891" s="2">
        <f>IFERROR(__xludf.DUMMYFUNCTION("""COMPUTED_VALUE"""),1183.0)</f>
        <v>1183</v>
      </c>
      <c r="X891" s="2">
        <f>IFERROR(__xludf.DUMMYFUNCTION("""COMPUTED_VALUE"""),1373.0)</f>
        <v>1373</v>
      </c>
      <c r="Y891" s="2"/>
      <c r="Z891" s="2"/>
      <c r="AA891" s="2"/>
      <c r="AB891" s="2"/>
      <c r="AC891" s="2"/>
      <c r="AD891" s="2"/>
      <c r="AE891" s="2"/>
      <c r="AF891" s="2"/>
      <c r="AG891" s="2"/>
      <c r="AH891" s="2"/>
      <c r="AI891" s="2"/>
      <c r="AJ891" s="2" t="str">
        <f>IFERROR(__xludf.DUMMYFUNCTION("""COMPUTED_VALUE"""),"Poblacion 2")</f>
        <v>Poblacion 2</v>
      </c>
      <c r="AK891" s="2" t="str">
        <f>IFERROR(__xludf.DUMMYFUNCTION("""COMPUTED_VALUE"""),"Pura")</f>
        <v>Pura</v>
      </c>
      <c r="AL891" s="2" t="str">
        <f>IFERROR(__xludf.DUMMYFUNCTION("""COMPUTED_VALUE"""),"Tarlac")</f>
        <v>Tarlac</v>
      </c>
      <c r="AM891" s="2">
        <f>IFERROR(__xludf.DUMMYFUNCTION("""COMPUTED_VALUE"""),3.0)</f>
        <v>3</v>
      </c>
      <c r="AN891" s="2" t="str">
        <f>IFERROR(__xludf.DUMMYFUNCTION("""COMPUTED_VALUE"""),"RCEF 23-09-21 Rebidding")</f>
        <v>RCEF 23-09-21 Rebidding</v>
      </c>
      <c r="AO891" s="2">
        <f>IFERROR(__xludf.DUMMYFUNCTION("""COMPUTED_VALUE"""),3.0)</f>
        <v>3</v>
      </c>
      <c r="AP891" s="2"/>
      <c r="AQ891" s="2"/>
      <c r="AR891" s="2"/>
      <c r="AS891" s="2"/>
      <c r="AT891" s="2"/>
      <c r="AU891" s="2"/>
      <c r="AV891" s="2"/>
      <c r="AW891" s="2"/>
      <c r="AX891" s="2"/>
      <c r="AY891" s="2"/>
      <c r="AZ891" s="2"/>
      <c r="BA891" s="2"/>
      <c r="BB891" s="2"/>
    </row>
    <row r="892">
      <c r="A892" s="2">
        <f>IFERROR(__xludf.DUMMYFUNCTION("""COMPUTED_VALUE"""),888.0)</f>
        <v>888</v>
      </c>
      <c r="B892" s="2" t="str">
        <f>IFERROR(__xludf.DUMMYFUNCTION("""COMPUTED_VALUE"""),"COMPLETED")</f>
        <v>COMPLETED</v>
      </c>
      <c r="C892" s="74">
        <f>IFERROR(__xludf.DUMMYFUNCTION("""COMPUTED_VALUE"""),45760.0)</f>
        <v>45760</v>
      </c>
      <c r="D892" s="71" t="str">
        <f>IFERROR(__xludf.DUMMYFUNCTION("""COMPUTED_VALUE"""),"Municipal Local Government Unit of Talavera")</f>
        <v>Municipal Local Government Unit of Talavera</v>
      </c>
      <c r="E892" s="71" t="str">
        <f>IFERROR(__xludf.DUMMYFUNCTION("""COMPUTED_VALUE"""),"Poblacion West, Talavera, Nueva Ecija")</f>
        <v>Poblacion West, Talavera, Nueva Ecija</v>
      </c>
      <c r="F892" s="2" t="str">
        <f>IFERROR(__xludf.DUMMYFUNCTION("""COMPUTED_VALUE"""),"Municipal Local Government Unit of Talavera")</f>
        <v>Municipal Local Government Unit of Talavera</v>
      </c>
      <c r="G892" s="2" t="str">
        <f>IFERROR(__xludf.DUMMYFUNCTION("""COMPUTED_VALUE"""),"0955-945-4369")</f>
        <v>0955-945-4369</v>
      </c>
      <c r="H892" s="2">
        <f>IFERROR(__xludf.DUMMYFUNCTION("""COMPUTED_VALUE"""),60.0)</f>
        <v>60</v>
      </c>
      <c r="I892" s="72" t="str">
        <f>IFERROR(__xludf.DUMMYFUNCTION("""COMPUTED_VALUE"""),"PMS")</f>
        <v>PMS</v>
      </c>
      <c r="J892" s="72" t="str">
        <f>IFERROR(__xludf.DUMMYFUNCTION("""COMPUTED_VALUE"""),"PMS")</f>
        <v>PMS</v>
      </c>
      <c r="K892" s="72" t="str">
        <f>IFERROR(__xludf.DUMMYFUNCTION("""COMPUTED_VALUE"""),"ERP: For 50hrs PMS (tues daw sana) FREE")</f>
        <v>ERP: For 50hrs PMS (tues daw sana) FREE</v>
      </c>
      <c r="L892" s="72" t="str">
        <f>IFERROR(__xludf.DUMMYFUNCTION("""COMPUTED_VALUE"""),"JHP: 1ST PMS DONE")</f>
        <v>JHP: 1ST PMS DONE</v>
      </c>
      <c r="M892" s="2"/>
      <c r="N892" s="2" t="str">
        <f>IFERROR(__xludf.DUMMYFUNCTION("""COMPUTED_VALUE"""),"PARTS: ENGINE OIL, OIL FILTER")</f>
        <v>PARTS: ENGINE OIL, OIL FILTER</v>
      </c>
      <c r="O892" s="2">
        <f>IFERROR(__xludf.DUMMYFUNCTION("""COMPUTED_VALUE"""),1235.0)</f>
        <v>1235</v>
      </c>
      <c r="P892" s="2"/>
      <c r="Q892" s="2"/>
      <c r="R892" s="74">
        <f>IFERROR(__xludf.DUMMYFUNCTION("""COMPUTED_VALUE"""),45763.0)</f>
        <v>45763</v>
      </c>
      <c r="S892" s="2" t="str">
        <f>IFERROR(__xludf.DUMMYFUNCTION("""COMPUTED_VALUE"""),"JHP/ACS")</f>
        <v>JHP/ACS</v>
      </c>
      <c r="T892" s="73" t="str">
        <f>IFERROR(__xludf.DUMMYFUNCTION("""COMPUTED_VALUE""")," N/A ")</f>
        <v>N/A</v>
      </c>
      <c r="U892" s="73" t="str">
        <f>IFERROR(__xludf.DUMMYFUNCTION("""COMPUTED_VALUE""")," NO CHARGE ")</f>
        <v>NO CHARGE</v>
      </c>
      <c r="V892" s="2"/>
      <c r="W892" s="2" t="str">
        <f>IFERROR(__xludf.DUMMYFUNCTION("""COMPUTED_VALUE"""),"N/A")</f>
        <v>N/A</v>
      </c>
      <c r="X892" s="2" t="str">
        <f>IFERROR(__xludf.DUMMYFUNCTION("""COMPUTED_VALUE"""),"N/A")</f>
        <v>N/A</v>
      </c>
      <c r="Y892" s="2"/>
      <c r="Z892" s="2"/>
      <c r="AA892" s="2"/>
      <c r="AB892" s="2"/>
      <c r="AC892" s="2"/>
      <c r="AD892" s="2"/>
      <c r="AE892" s="2"/>
      <c r="AF892" s="2"/>
      <c r="AG892" s="2"/>
      <c r="AH892" s="2"/>
      <c r="AI892" s="2"/>
      <c r="AJ892" s="2" t="str">
        <f>IFERROR(__xludf.DUMMYFUNCTION("""COMPUTED_VALUE"""),"Poblacion West")</f>
        <v>Poblacion West</v>
      </c>
      <c r="AK892" s="2" t="str">
        <f>IFERROR(__xludf.DUMMYFUNCTION("""COMPUTED_VALUE"""),"Talavera")</f>
        <v>Talavera</v>
      </c>
      <c r="AL892" s="2" t="str">
        <f>IFERROR(__xludf.DUMMYFUNCTION("""COMPUTED_VALUE"""),"Nueva Ecija")</f>
        <v>Nueva Ecija</v>
      </c>
      <c r="AM892" s="2">
        <f>IFERROR(__xludf.DUMMYFUNCTION("""COMPUTED_VALUE"""),3.0)</f>
        <v>3</v>
      </c>
      <c r="AN892" s="2" t="str">
        <f>IFERROR(__xludf.DUMMYFUNCTION("""COMPUTED_VALUE"""),"RCEF 24-04-15")</f>
        <v>RCEF 24-04-15</v>
      </c>
      <c r="AO892" s="2">
        <f>IFERROR(__xludf.DUMMYFUNCTION("""COMPUTED_VALUE"""),6.0)</f>
        <v>6</v>
      </c>
      <c r="AP892" s="2" t="str">
        <f>IFERROR(__xludf.DUMMYFUNCTION("""COMPUTED_VALUE"""),"FREE PMS")</f>
        <v>FREE PMS</v>
      </c>
      <c r="AQ892" s="2"/>
      <c r="AR892" s="2"/>
      <c r="AS892" s="2"/>
      <c r="AT892" s="2"/>
      <c r="AU892" s="2"/>
      <c r="AV892" s="2"/>
      <c r="AW892" s="2"/>
      <c r="AX892" s="2"/>
      <c r="AY892" s="2"/>
      <c r="AZ892" s="2"/>
      <c r="BA892" s="2"/>
      <c r="BB892" s="2"/>
    </row>
    <row r="893">
      <c r="A893" s="2">
        <f>IFERROR(__xludf.DUMMYFUNCTION("""COMPUTED_VALUE"""),889.0)</f>
        <v>889</v>
      </c>
      <c r="B893" s="2" t="str">
        <f>IFERROR(__xludf.DUMMYFUNCTION("""COMPUTED_VALUE"""),"COMPLETED")</f>
        <v>COMPLETED</v>
      </c>
      <c r="C893" s="74">
        <f>IFERROR(__xludf.DUMMYFUNCTION("""COMPUTED_VALUE"""),45761.0)</f>
        <v>45761</v>
      </c>
      <c r="D893" s="71" t="str">
        <f>IFERROR(__xludf.DUMMYFUNCTION("""COMPUTED_VALUE"""),"BRGY. MALIMPEC, BAYAMBANG, PANGASINAN FARMERS ASSOCIATION")</f>
        <v>BRGY. MALIMPEC, BAYAMBANG, PANGASINAN FARMERS ASSOCIATION</v>
      </c>
      <c r="E893" s="71" t="str">
        <f>IFERROR(__xludf.DUMMYFUNCTION("""COMPUTED_VALUE"""),"Malimpec, Bayambang, PANGASINAN")</f>
        <v>Malimpec, Bayambang, PANGASINAN</v>
      </c>
      <c r="F893" s="2" t="str">
        <f>IFERROR(__xludf.DUMMYFUNCTION("""COMPUTED_VALUE"""),"WALLY C. SAYGO")</f>
        <v>WALLY C. SAYGO</v>
      </c>
      <c r="G893" s="2">
        <f>IFERROR(__xludf.DUMMYFUNCTION("""COMPUTED_VALUE"""),9.486524355E9)</f>
        <v>9486524355</v>
      </c>
      <c r="H893" s="2">
        <f>IFERROR(__xludf.DUMMYFUNCTION("""COMPUTED_VALUE"""),469.0)</f>
        <v>469</v>
      </c>
      <c r="I893" s="72" t="str">
        <f>IFERROR(__xludf.DUMMYFUNCTION("""COMPUTED_VALUE"""),"PMS")</f>
        <v>PMS</v>
      </c>
      <c r="J893" s="72" t="str">
        <f>IFERROR(__xludf.DUMMYFUNCTION("""COMPUTED_VALUE"""),"PMS")</f>
        <v>PMS</v>
      </c>
      <c r="K893" s="72" t="str">
        <f>IFERROR(__xludf.DUMMYFUNCTION("""COMPUTED_VALUE"""),"JDP: 2ND PMS ")</f>
        <v>JDP: 2ND PMS </v>
      </c>
      <c r="L893" s="72" t="str">
        <f>IFERROR(__xludf.DUMMYFUNCTION("""COMPUTED_VALUE"""),"ACS: CHANGE OIL")</f>
        <v>ACS: CHANGE OIL</v>
      </c>
      <c r="M893" s="2"/>
      <c r="N893" s="2" t="str">
        <f>IFERROR(__xludf.DUMMYFUNCTION("""COMPUTED_VALUE"""),"PARTS: OIL FILTER, ENGINE OIL")</f>
        <v>PARTS: OIL FILTER, ENGINE OIL</v>
      </c>
      <c r="O893" s="2">
        <f>IFERROR(__xludf.DUMMYFUNCTION("""COMPUTED_VALUE"""),1236.0)</f>
        <v>1236</v>
      </c>
      <c r="P893" s="2"/>
      <c r="Q893" s="2"/>
      <c r="R893" s="74">
        <f>IFERROR(__xludf.DUMMYFUNCTION("""COMPUTED_VALUE"""),45768.0)</f>
        <v>45768</v>
      </c>
      <c r="S893" s="2" t="str">
        <f>IFERROR(__xludf.DUMMYFUNCTION("""COMPUTED_VALUE"""),"JHP/ACS")</f>
        <v>JHP/ACS</v>
      </c>
      <c r="T893" s="73">
        <f>IFERROR(__xludf.DUMMYFUNCTION("""COMPUTED_VALUE"""),4400.0)</f>
        <v>4400</v>
      </c>
      <c r="U893" s="73" t="str">
        <f>IFERROR(__xludf.DUMMYFUNCTION("""COMPUTED_VALUE""")," REMITTED ")</f>
        <v>REMITTED</v>
      </c>
      <c r="V893" s="2"/>
      <c r="W893" s="2">
        <f>IFERROR(__xludf.DUMMYFUNCTION("""COMPUTED_VALUE"""),1498.0)</f>
        <v>1498</v>
      </c>
      <c r="X893" s="2">
        <f>IFERROR(__xludf.DUMMYFUNCTION("""COMPUTED_VALUE"""),1397.0)</f>
        <v>1397</v>
      </c>
      <c r="Y893" s="2"/>
      <c r="Z893" s="2"/>
      <c r="AA893" s="2"/>
      <c r="AB893" s="2"/>
      <c r="AC893" s="2"/>
      <c r="AD893" s="2"/>
      <c r="AE893" s="2"/>
      <c r="AF893" s="2"/>
      <c r="AG893" s="2"/>
      <c r="AH893" s="2"/>
      <c r="AI893" s="2"/>
      <c r="AJ893" s="2" t="str">
        <f>IFERROR(__xludf.DUMMYFUNCTION("""COMPUTED_VALUE"""),"Malimpec")</f>
        <v>Malimpec</v>
      </c>
      <c r="AK893" s="2" t="str">
        <f>IFERROR(__xludf.DUMMYFUNCTION("""COMPUTED_VALUE"""),"Bayambang")</f>
        <v>Bayambang</v>
      </c>
      <c r="AL893" s="2" t="str">
        <f>IFERROR(__xludf.DUMMYFUNCTION("""COMPUTED_VALUE"""),"Pangasinan")</f>
        <v>Pangasinan</v>
      </c>
      <c r="AM893" s="2">
        <f>IFERROR(__xludf.DUMMYFUNCTION("""COMPUTED_VALUE"""),1.0)</f>
        <v>1</v>
      </c>
      <c r="AN893" s="2" t="str">
        <f>IFERROR(__xludf.DUMMYFUNCTION("""COMPUTED_VALUE"""),"RCEF 23-09-21 Rebidding")</f>
        <v>RCEF 23-09-21 Rebidding</v>
      </c>
      <c r="AO893" s="2">
        <f>IFERROR(__xludf.DUMMYFUNCTION("""COMPUTED_VALUE"""),2.0)</f>
        <v>2</v>
      </c>
      <c r="AP893" s="2"/>
      <c r="AQ893" s="2"/>
      <c r="AR893" s="2"/>
      <c r="AS893" s="2"/>
      <c r="AT893" s="2"/>
      <c r="AU893" s="2"/>
      <c r="AV893" s="2"/>
      <c r="AW893" s="2"/>
      <c r="AX893" s="2"/>
      <c r="AY893" s="2"/>
      <c r="AZ893" s="2"/>
      <c r="BA893" s="2"/>
      <c r="BB893" s="2"/>
    </row>
    <row r="894">
      <c r="A894" s="2">
        <f>IFERROR(__xludf.DUMMYFUNCTION("""COMPUTED_VALUE"""),890.0)</f>
        <v>890</v>
      </c>
      <c r="B894" s="2" t="str">
        <f>IFERROR(__xludf.DUMMYFUNCTION("""COMPUTED_VALUE"""),"COMPLETED")</f>
        <v>COMPLETED</v>
      </c>
      <c r="C894" s="74">
        <f>IFERROR(__xludf.DUMMYFUNCTION("""COMPUTED_VALUE"""),45762.0)</f>
        <v>45762</v>
      </c>
      <c r="D894" s="71" t="str">
        <f>IFERROR(__xludf.DUMMYFUNCTION("""COMPUTED_VALUE"""),"CATAO PAGBIAGAN ASSOCIATION FOR DEVELOPMENT")</f>
        <v>CATAO PAGBIAGAN ASSOCIATION FOR DEVELOPMENT</v>
      </c>
      <c r="E894" s="71" t="str">
        <f>IFERROR(__xludf.DUMMYFUNCTION("""COMPUTED_VALUE"""),"Laya East, Tabuk City, KALINGA")</f>
        <v>Laya East, Tabuk City, KALINGA</v>
      </c>
      <c r="F894" s="2" t="str">
        <f>IFERROR(__xludf.DUMMYFUNCTION("""COMPUTED_VALUE"""),"Robert L. Liab")</f>
        <v>Robert L. Liab</v>
      </c>
      <c r="G894" s="2">
        <f>IFERROR(__xludf.DUMMYFUNCTION("""COMPUTED_VALUE"""),9.556683409E9)</f>
        <v>9556683409</v>
      </c>
      <c r="H894" s="2"/>
      <c r="I894" s="72" t="str">
        <f>IFERROR(__xludf.DUMMYFUNCTION("""COMPUTED_VALUE"""),"PMS")</f>
        <v>PMS</v>
      </c>
      <c r="J894" s="72" t="str">
        <f>IFERROR(__xludf.DUMMYFUNCTION("""COMPUTED_VALUE"""),"PMS")</f>
        <v>PMS</v>
      </c>
      <c r="K894" s="72" t="str">
        <f>IFERROR(__xludf.DUMMYFUNCTION("""COMPUTED_VALUE"""),"ERP: For 50hrs PMS (free)")</f>
        <v>ERP: For 50hrs PMS (free)</v>
      </c>
      <c r="L894" s="72" t="str">
        <f>IFERROR(__xludf.DUMMYFUNCTION("""COMPUTED_VALUE"""),"CFG: CHANGE OIL , PMS DONE")</f>
        <v>CFG: CHANGE OIL , PMS DONE</v>
      </c>
      <c r="M894" s="2"/>
      <c r="N894" s="2" t="str">
        <f>IFERROR(__xludf.DUMMYFUNCTION("""COMPUTED_VALUE"""),"PARTS: ENGINE OIL, OIL FILTER")</f>
        <v>PARTS: ENGINE OIL, OIL FILTER</v>
      </c>
      <c r="O894" s="2">
        <f>IFERROR(__xludf.DUMMYFUNCTION("""COMPUTED_VALUE"""),1172.0)</f>
        <v>1172</v>
      </c>
      <c r="P894" s="2"/>
      <c r="Q894" s="2"/>
      <c r="R894" s="74">
        <f>IFERROR(__xludf.DUMMYFUNCTION("""COMPUTED_VALUE"""),45778.0)</f>
        <v>45778</v>
      </c>
      <c r="S894" s="2" t="str">
        <f>IFERROR(__xludf.DUMMYFUNCTION("""COMPUTED_VALUE"""),"CFG")</f>
        <v>CFG</v>
      </c>
      <c r="T894" s="73" t="str">
        <f>IFERROR(__xludf.DUMMYFUNCTION("""COMPUTED_VALUE""")," N/A ")</f>
        <v>N/A</v>
      </c>
      <c r="U894" s="73" t="str">
        <f>IFERROR(__xludf.DUMMYFUNCTION("""COMPUTED_VALUE""")," NO CHARGE ")</f>
        <v>NO CHARGE</v>
      </c>
      <c r="V894" s="2"/>
      <c r="W894" s="2" t="str">
        <f>IFERROR(__xludf.DUMMYFUNCTION("""COMPUTED_VALUE"""),"N/A")</f>
        <v>N/A</v>
      </c>
      <c r="X894" s="2" t="str">
        <f>IFERROR(__xludf.DUMMYFUNCTION("""COMPUTED_VALUE"""),"N/A")</f>
        <v>N/A</v>
      </c>
      <c r="Y894" s="2"/>
      <c r="Z894" s="2"/>
      <c r="AA894" s="2"/>
      <c r="AB894" s="2"/>
      <c r="AC894" s="2"/>
      <c r="AD894" s="2"/>
      <c r="AE894" s="2"/>
      <c r="AF894" s="2"/>
      <c r="AG894" s="2"/>
      <c r="AH894" s="2"/>
      <c r="AI894" s="2"/>
      <c r="AJ894" s="2" t="str">
        <f>IFERROR(__xludf.DUMMYFUNCTION("""COMPUTED_VALUE"""),"Laya East")</f>
        <v>Laya East</v>
      </c>
      <c r="AK894" s="2" t="str">
        <f>IFERROR(__xludf.DUMMYFUNCTION("""COMPUTED_VALUE"""),"Tabuk City")</f>
        <v>Tabuk City</v>
      </c>
      <c r="AL894" s="2" t="str">
        <f>IFERROR(__xludf.DUMMYFUNCTION("""COMPUTED_VALUE"""),"Kalinga")</f>
        <v>Kalinga</v>
      </c>
      <c r="AM894" s="2" t="str">
        <f>IFERROR(__xludf.DUMMYFUNCTION("""COMPUTED_VALUE"""),"CAR")</f>
        <v>CAR</v>
      </c>
      <c r="AN894" s="2" t="str">
        <f>IFERROR(__xludf.DUMMYFUNCTION("""COMPUTED_VALUE"""),"RCEF 24-04-15")</f>
        <v>RCEF 24-04-15</v>
      </c>
      <c r="AO894" s="2">
        <f>IFERROR(__xludf.DUMMYFUNCTION("""COMPUTED_VALUE"""),6.0)</f>
        <v>6</v>
      </c>
      <c r="AP894" s="2" t="str">
        <f>IFERROR(__xludf.DUMMYFUNCTION("""COMPUTED_VALUE"""),"FREE PMS")</f>
        <v>FREE PMS</v>
      </c>
      <c r="AQ894" s="2"/>
      <c r="AR894" s="2"/>
      <c r="AS894" s="2"/>
      <c r="AT894" s="2"/>
      <c r="AU894" s="2"/>
      <c r="AV894" s="2"/>
      <c r="AW894" s="2"/>
      <c r="AX894" s="2"/>
      <c r="AY894" s="2"/>
      <c r="AZ894" s="2"/>
      <c r="BA894" s="2"/>
      <c r="BB894" s="2"/>
    </row>
    <row r="895">
      <c r="A895" s="2">
        <f>IFERROR(__xludf.DUMMYFUNCTION("""COMPUTED_VALUE"""),891.0)</f>
        <v>891</v>
      </c>
      <c r="B895" s="2" t="str">
        <f>IFERROR(__xludf.DUMMYFUNCTION("""COMPUTED_VALUE"""),"COMPLETED")</f>
        <v>COMPLETED</v>
      </c>
      <c r="C895" s="74">
        <f>IFERROR(__xludf.DUMMYFUNCTION("""COMPUTED_VALUE"""),45766.0)</f>
        <v>45766</v>
      </c>
      <c r="D895" s="71" t="str">
        <f>IFERROR(__xludf.DUMMYFUNCTION("""COMPUTED_VALUE"""),"Cordova Sur Farmers Association")</f>
        <v>Cordova Sur Farmers Association</v>
      </c>
      <c r="E895" s="71" t="str">
        <f>IFERROR(__xludf.DUMMYFUNCTION("""COMPUTED_VALUE"""),"Cordova Sur, Tigbauan, ILOILO")</f>
        <v>Cordova Sur, Tigbauan, ILOILO</v>
      </c>
      <c r="F895" s="2" t="str">
        <f>IFERROR(__xludf.DUMMYFUNCTION("""COMPUTED_VALUE"""),"Reynaldo T Cansancio ")</f>
        <v>Reynaldo T Cansancio </v>
      </c>
      <c r="G895" s="2">
        <f>IFERROR(__xludf.DUMMYFUNCTION("""COMPUTED_VALUE"""),9.818094235E9)</f>
        <v>9818094235</v>
      </c>
      <c r="H895" s="2">
        <f>IFERROR(__xludf.DUMMYFUNCTION("""COMPUTED_VALUE"""),379.0)</f>
        <v>379</v>
      </c>
      <c r="I895" s="72" t="str">
        <f>IFERROR(__xludf.DUMMYFUNCTION("""COMPUTED_VALUE"""),"SPARE PARTS ACQUISITION")</f>
        <v>SPARE PARTS ACQUISITION</v>
      </c>
      <c r="J895" s="72" t="str">
        <f>IFERROR(__xludf.DUMMYFUNCTION("""COMPUTED_VALUE"""),"SPARE PARTS ACQUISITION")</f>
        <v>SPARE PARTS ACQUISITION</v>
      </c>
      <c r="K895" s="72" t="str">
        <f>IFERROR(__xludf.DUMMYFUNCTION("""COMPUTED_VALUE"""),"MYK: Mam good morning po oil seal pa rin ang sira dahil lumuwag ang bolt sa gear
PARTS: OIL SEAL 45-85-12T (3 PCS) 
")</f>
        <v>MYK: Mam good morning po oil seal pa rin ang sira dahil lumuwag ang bolt sa gear
PARTS: OIL SEAL 45-85-12T (3 PCS) 
</v>
      </c>
      <c r="L895" s="72" t="str">
        <f>IFERROR(__xludf.DUMMYFUNCTION("""COMPUTED_VALUE"""),"MYK: PARTS PREPARED: READY FOR SHIPPING: SHIPPED OUT")</f>
        <v>MYK: PARTS PREPARED: READY FOR SHIPPING: SHIPPED OUT</v>
      </c>
      <c r="M895" s="2"/>
      <c r="N895" s="2" t="str">
        <f>IFERROR(__xludf.DUMMYFUNCTION("""COMPUTED_VALUE"""),"PARTS: 
3 - OIL SEAL 45-85-12T")</f>
        <v>PARTS: 
3 - OIL SEAL 45-85-12T</v>
      </c>
      <c r="O895" s="2" t="str">
        <f>IFERROR(__xludf.DUMMYFUNCTION("""COMPUTED_VALUE"""),"N/A")</f>
        <v>N/A</v>
      </c>
      <c r="P895" s="2"/>
      <c r="Q895" s="2"/>
      <c r="R895" s="74">
        <f>IFERROR(__xludf.DUMMYFUNCTION("""COMPUTED_VALUE"""),45785.0)</f>
        <v>45785</v>
      </c>
      <c r="S895" s="2" t="str">
        <f>IFERROR(__xludf.DUMMYFUNCTION("""COMPUTED_VALUE"""),"MYKEE")</f>
        <v>MYKEE</v>
      </c>
      <c r="T895" s="73">
        <f>IFERROR(__xludf.DUMMYFUNCTION("""COMPUTED_VALUE"""),2700.0)</f>
        <v>2700</v>
      </c>
      <c r="U895" s="73" t="str">
        <f>IFERROR(__xludf.DUMMYFUNCTION("""COMPUTED_VALUE""")," REMITTED ")</f>
        <v>REMITTED</v>
      </c>
      <c r="V895" s="2"/>
      <c r="W895" s="2"/>
      <c r="X895" s="2">
        <f>IFERROR(__xludf.DUMMYFUNCTION("""COMPUTED_VALUE"""),1371.0)</f>
        <v>1371</v>
      </c>
      <c r="Y895" s="2"/>
      <c r="Z895" s="2"/>
      <c r="AA895" s="2"/>
      <c r="AB895" s="2"/>
      <c r="AC895" s="2"/>
      <c r="AD895" s="2"/>
      <c r="AE895" s="2"/>
      <c r="AF895" s="2"/>
      <c r="AG895" s="2"/>
      <c r="AH895" s="2"/>
      <c r="AI895" s="2"/>
      <c r="AJ895" s="2" t="str">
        <f>IFERROR(__xludf.DUMMYFUNCTION("""COMPUTED_VALUE"""),"Cordova Sur")</f>
        <v>Cordova Sur</v>
      </c>
      <c r="AK895" s="2" t="str">
        <f>IFERROR(__xludf.DUMMYFUNCTION("""COMPUTED_VALUE"""),"Tigbauan")</f>
        <v>Tigbauan</v>
      </c>
      <c r="AL895" s="2" t="str">
        <f>IFERROR(__xludf.DUMMYFUNCTION("""COMPUTED_VALUE"""),"Iloilo")</f>
        <v>Iloilo</v>
      </c>
      <c r="AM895" s="2">
        <f>IFERROR(__xludf.DUMMYFUNCTION("""COMPUTED_VALUE"""),6.0)</f>
        <v>6</v>
      </c>
      <c r="AN895" s="2" t="str">
        <f>IFERROR(__xludf.DUMMYFUNCTION("""COMPUTED_VALUE"""),"RCEF 23-09-21 Rebidding")</f>
        <v>RCEF 23-09-21 Rebidding</v>
      </c>
      <c r="AO895" s="2">
        <f>IFERROR(__xludf.DUMMYFUNCTION("""COMPUTED_VALUE"""),4.0)</f>
        <v>4</v>
      </c>
      <c r="AP895" s="2"/>
      <c r="AQ895" s="2"/>
      <c r="AR895" s="2"/>
      <c r="AS895" s="2"/>
      <c r="AT895" s="2"/>
      <c r="AU895" s="2"/>
      <c r="AV895" s="2"/>
      <c r="AW895" s="2"/>
      <c r="AX895" s="2"/>
      <c r="AY895" s="2"/>
      <c r="AZ895" s="2"/>
      <c r="BA895" s="2"/>
      <c r="BB895" s="2"/>
    </row>
    <row r="896">
      <c r="A896" s="2">
        <f>IFERROR(__xludf.DUMMYFUNCTION("""COMPUTED_VALUE"""),892.0)</f>
        <v>892</v>
      </c>
      <c r="B896" s="2" t="str">
        <f>IFERROR(__xludf.DUMMYFUNCTION("""COMPUTED_VALUE"""),"COMPLETED")</f>
        <v>COMPLETED</v>
      </c>
      <c r="C896" s="74">
        <f>IFERROR(__xludf.DUMMYFUNCTION("""COMPUTED_VALUE"""),45768.0)</f>
        <v>45768</v>
      </c>
      <c r="D896" s="71" t="str">
        <f>IFERROR(__xludf.DUMMYFUNCTION("""COMPUTED_VALUE"""),"Coralan Agrarian Reform Cooperative (CARC)")</f>
        <v>Coralan Agrarian Reform Cooperative (CARC)</v>
      </c>
      <c r="E896" s="71" t="str">
        <f>IFERROR(__xludf.DUMMYFUNCTION("""COMPUTED_VALUE"""),"Coralan, Santa Maria, LAGUNA")</f>
        <v>Coralan, Santa Maria, LAGUNA</v>
      </c>
      <c r="F896" s="2" t="str">
        <f>IFERROR(__xludf.DUMMYFUNCTION("""COMPUTED_VALUE"""),"MILA LAYOS")</f>
        <v>MILA LAYOS</v>
      </c>
      <c r="G896" s="2">
        <f>IFERROR(__xludf.DUMMYFUNCTION("""COMPUTED_VALUE"""),9.517145161E9)</f>
        <v>9517145161</v>
      </c>
      <c r="H896" s="2">
        <f>IFERROR(__xludf.DUMMYFUNCTION("""COMPUTED_VALUE"""),50.0)</f>
        <v>50</v>
      </c>
      <c r="I896" s="72" t="str">
        <f>IFERROR(__xludf.DUMMYFUNCTION("""COMPUTED_VALUE"""),"PMS")</f>
        <v>PMS</v>
      </c>
      <c r="J896" s="72" t="str">
        <f>IFERROR(__xludf.DUMMYFUNCTION("""COMPUTED_VALUE"""),"PMS")</f>
        <v>PMS</v>
      </c>
      <c r="K896" s="72" t="str">
        <f>IFERROR(__xludf.DUMMYFUNCTION("""COMPUTED_VALUE"""),"MYK: FIRST PMS (FREE)")</f>
        <v>MYK: FIRST PMS (FREE)</v>
      </c>
      <c r="L896" s="72" t="str">
        <f>IFERROR(__xludf.DUMMYFUNCTION("""COMPUTED_VALUE"""),"ECM: 1ST PMS DONE")</f>
        <v>ECM: 1ST PMS DONE</v>
      </c>
      <c r="M896" s="2"/>
      <c r="N896" s="2" t="str">
        <f>IFERROR(__xludf.DUMMYFUNCTION("""COMPUTED_VALUE"""),"PARTS: OIL FILTER, ENGINE OIL")</f>
        <v>PARTS: OIL FILTER, ENGINE OIL</v>
      </c>
      <c r="O896" s="2">
        <f>IFERROR(__xludf.DUMMYFUNCTION("""COMPUTED_VALUE"""),51.0)</f>
        <v>51</v>
      </c>
      <c r="P896" s="2"/>
      <c r="Q896" s="2"/>
      <c r="R896" s="74">
        <f>IFERROR(__xludf.DUMMYFUNCTION("""COMPUTED_VALUE"""),45790.0)</f>
        <v>45790</v>
      </c>
      <c r="S896" s="2" t="str">
        <f>IFERROR(__xludf.DUMMYFUNCTION("""COMPUTED_VALUE"""),"ECM/LBA")</f>
        <v>ECM/LBA</v>
      </c>
      <c r="T896" s="73" t="str">
        <f>IFERROR(__xludf.DUMMYFUNCTION("""COMPUTED_VALUE""")," N/A ")</f>
        <v>N/A</v>
      </c>
      <c r="U896" s="73" t="str">
        <f>IFERROR(__xludf.DUMMYFUNCTION("""COMPUTED_VALUE""")," NO CHARGE ")</f>
        <v>NO CHARGE</v>
      </c>
      <c r="V896" s="2"/>
      <c r="W896" s="2" t="str">
        <f>IFERROR(__xludf.DUMMYFUNCTION("""COMPUTED_VALUE"""),"N/A")</f>
        <v>N/A</v>
      </c>
      <c r="X896" s="2" t="str">
        <f>IFERROR(__xludf.DUMMYFUNCTION("""COMPUTED_VALUE"""),"N/A")</f>
        <v>N/A</v>
      </c>
      <c r="Y896" s="2"/>
      <c r="Z896" s="2"/>
      <c r="AA896" s="2"/>
      <c r="AB896" s="2"/>
      <c r="AC896" s="2"/>
      <c r="AD896" s="2"/>
      <c r="AE896" s="2"/>
      <c r="AF896" s="2"/>
      <c r="AG896" s="2"/>
      <c r="AH896" s="2"/>
      <c r="AI896" s="2"/>
      <c r="AJ896" s="2" t="str">
        <f>IFERROR(__xludf.DUMMYFUNCTION("""COMPUTED_VALUE"""),"Coralan")</f>
        <v>Coralan</v>
      </c>
      <c r="AK896" s="2" t="str">
        <f>IFERROR(__xludf.DUMMYFUNCTION("""COMPUTED_VALUE"""),"Santa Maria")</f>
        <v>Santa Maria</v>
      </c>
      <c r="AL896" s="2" t="str">
        <f>IFERROR(__xludf.DUMMYFUNCTION("""COMPUTED_VALUE"""),"Laguna")</f>
        <v>Laguna</v>
      </c>
      <c r="AM896" s="2" t="str">
        <f>IFERROR(__xludf.DUMMYFUNCTION("""COMPUTED_VALUE"""),"4A")</f>
        <v>4A</v>
      </c>
      <c r="AN896" s="2" t="str">
        <f>IFERROR(__xludf.DUMMYFUNCTION("""COMPUTED_VALUE"""),"RCEF 24-04-15")</f>
        <v>RCEF 24-04-15</v>
      </c>
      <c r="AO896" s="2">
        <f>IFERROR(__xludf.DUMMYFUNCTION("""COMPUTED_VALUE"""),7.0)</f>
        <v>7</v>
      </c>
      <c r="AP896" s="2" t="str">
        <f>IFERROR(__xludf.DUMMYFUNCTION("""COMPUTED_VALUE"""),"FREE PMS")</f>
        <v>FREE PMS</v>
      </c>
      <c r="AQ896" s="2"/>
      <c r="AR896" s="2"/>
      <c r="AS896" s="2"/>
      <c r="AT896" s="2"/>
      <c r="AU896" s="2"/>
      <c r="AV896" s="2"/>
      <c r="AW896" s="2"/>
      <c r="AX896" s="2"/>
      <c r="AY896" s="2"/>
      <c r="AZ896" s="2"/>
      <c r="BA896" s="2"/>
      <c r="BB896" s="2"/>
    </row>
    <row r="897">
      <c r="A897" s="2">
        <f>IFERROR(__xludf.DUMMYFUNCTION("""COMPUTED_VALUE"""),893.0)</f>
        <v>893</v>
      </c>
      <c r="B897" s="2" t="str">
        <f>IFERROR(__xludf.DUMMYFUNCTION("""COMPUTED_VALUE"""),"COMPLETED")</f>
        <v>COMPLETED</v>
      </c>
      <c r="C897" s="74">
        <f>IFERROR(__xludf.DUMMYFUNCTION("""COMPUTED_VALUE"""),45768.0)</f>
        <v>45768</v>
      </c>
      <c r="D897" s="71" t="str">
        <f>IFERROR(__xludf.DUMMYFUNCTION("""COMPUTED_VALUE"""),"BANDUS IRRIGATORS ASSOCIATION, INC.")</f>
        <v>BANDUS IRRIGATORS ASSOCIATION, INC.</v>
      </c>
      <c r="E897" s="71" t="str">
        <f>IFERROR(__xludf.DUMMYFUNCTION("""COMPUTED_VALUE"""),"Divisoria, Santiago City, ISABELA")</f>
        <v>Divisoria, Santiago City, ISABELA</v>
      </c>
      <c r="F897" s="2" t="str">
        <f>IFERROR(__xludf.DUMMYFUNCTION("""COMPUTED_VALUE"""),"Celestino Soliven")</f>
        <v>Celestino Soliven</v>
      </c>
      <c r="G897" s="2">
        <f>IFERROR(__xludf.DUMMYFUNCTION("""COMPUTED_VALUE"""),9.35247797E8)</f>
        <v>935247797</v>
      </c>
      <c r="H897" s="2">
        <f>IFERROR(__xludf.DUMMYFUNCTION("""COMPUTED_VALUE"""),392.1)</f>
        <v>392.1</v>
      </c>
      <c r="I897" s="72" t="str">
        <f>IFERROR(__xludf.DUMMYFUNCTION("""COMPUTED_VALUE"""),"REPAIR - TRACTOR")</f>
        <v>REPAIR - TRACTOR</v>
      </c>
      <c r="J897" s="72" t="str">
        <f>IFERROR(__xludf.DUMMYFUNCTION("""COMPUTED_VALUE"""),"CHECK UP/ REPAIR")</f>
        <v>CHECK UP/ REPAIR</v>
      </c>
      <c r="K897" s="72" t="str">
        <f>IFERROR(__xludf.DUMMYFUNCTION("""COMPUTED_VALUE"""),"CFG:kahit nakakambyo at naka auto o manual yong rotavator ayaw parin umikot patulong na lng po sir. 
")</f>
        <v>CFG:kahit nakakambyo at naka auto o manual yong rotavator ayaw parin umikot patulong na lng po sir. 
</v>
      </c>
      <c r="L897" s="72" t="str">
        <f>IFERROR(__xludf.DUMMYFUNCTION("""COMPUTED_VALUE"""),"CFG: OK NADIN ANG UNIT, NAGPALIT SILA NG HYDRAULIC KAYA OK NA ANG UNIT NILA.")</f>
        <v>CFG: OK NADIN ANG UNIT, NAGPALIT SILA NG HYDRAULIC KAYA OK NA ANG UNIT NILA.</v>
      </c>
      <c r="M897" s="2"/>
      <c r="N897" s="2"/>
      <c r="O897" s="2" t="str">
        <f>IFERROR(__xludf.DUMMYFUNCTION("""COMPUTED_VALUE"""),"N/A")</f>
        <v>N/A</v>
      </c>
      <c r="P897" s="2"/>
      <c r="Q897" s="2"/>
      <c r="R897" s="74">
        <f>IFERROR(__xludf.DUMMYFUNCTION("""COMPUTED_VALUE"""),45841.0)</f>
        <v>45841</v>
      </c>
      <c r="S897" s="2" t="str">
        <f>IFERROR(__xludf.DUMMYFUNCTION("""COMPUTED_VALUE"""),"CFG/JHP")</f>
        <v>CFG/JHP</v>
      </c>
      <c r="T897" s="73" t="str">
        <f>IFERROR(__xludf.DUMMYFUNCTION("""COMPUTED_VALUE""")," N/A ")</f>
        <v>N/A</v>
      </c>
      <c r="U897" s="73" t="str">
        <f>IFERROR(__xludf.DUMMYFUNCTION("""COMPUTED_VALUE""")," NO CHARGE ")</f>
        <v>NO CHARGE</v>
      </c>
      <c r="V897" s="2"/>
      <c r="W897" s="2" t="str">
        <f>IFERROR(__xludf.DUMMYFUNCTION("""COMPUTED_VALUE"""),"N/A")</f>
        <v>N/A</v>
      </c>
      <c r="X897" s="2" t="str">
        <f>IFERROR(__xludf.DUMMYFUNCTION("""COMPUTED_VALUE"""),"N/A")</f>
        <v>N/A</v>
      </c>
      <c r="Y897" s="2"/>
      <c r="Z897" s="2"/>
      <c r="AA897" s="2"/>
      <c r="AB897" s="2"/>
      <c r="AC897" s="2"/>
      <c r="AD897" s="2"/>
      <c r="AE897" s="2"/>
      <c r="AF897" s="2"/>
      <c r="AG897" s="2"/>
      <c r="AH897" s="2"/>
      <c r="AI897" s="2"/>
      <c r="AJ897" s="2" t="str">
        <f>IFERROR(__xludf.DUMMYFUNCTION("""COMPUTED_VALUE"""),"Divisoria")</f>
        <v>Divisoria</v>
      </c>
      <c r="AK897" s="2" t="str">
        <f>IFERROR(__xludf.DUMMYFUNCTION("""COMPUTED_VALUE"""),"Santiago City")</f>
        <v>Santiago City</v>
      </c>
      <c r="AL897" s="2" t="str">
        <f>IFERROR(__xludf.DUMMYFUNCTION("""COMPUTED_VALUE"""),"Isabela")</f>
        <v>Isabela</v>
      </c>
      <c r="AM897" s="2">
        <f>IFERROR(__xludf.DUMMYFUNCTION("""COMPUTED_VALUE"""),2.0)</f>
        <v>2</v>
      </c>
      <c r="AN897" s="2" t="str">
        <f>IFERROR(__xludf.DUMMYFUNCTION("""COMPUTED_VALUE"""),"RCEF 23-09-21 Rebidding")</f>
        <v>RCEF 23-09-21 Rebidding</v>
      </c>
      <c r="AO897" s="2">
        <f>IFERROR(__xludf.DUMMYFUNCTION("""COMPUTED_VALUE"""),1.0)</f>
        <v>1</v>
      </c>
      <c r="AP897" s="2"/>
      <c r="AQ897" s="2"/>
      <c r="AR897" s="2"/>
      <c r="AS897" s="2"/>
      <c r="AT897" s="2"/>
      <c r="AU897" s="2"/>
      <c r="AV897" s="2"/>
      <c r="AW897" s="2"/>
      <c r="AX897" s="2"/>
      <c r="AY897" s="2"/>
      <c r="AZ897" s="2"/>
      <c r="BA897" s="2"/>
      <c r="BB897" s="2"/>
    </row>
    <row r="898">
      <c r="A898" s="2">
        <f>IFERROR(__xludf.DUMMYFUNCTION("""COMPUTED_VALUE"""),894.0)</f>
        <v>894</v>
      </c>
      <c r="B898" s="2" t="str">
        <f>IFERROR(__xludf.DUMMYFUNCTION("""COMPUTED_VALUE"""),"COMPLETED")</f>
        <v>COMPLETED</v>
      </c>
      <c r="C898" s="74">
        <f>IFERROR(__xludf.DUMMYFUNCTION("""COMPUTED_VALUE"""),45769.0)</f>
        <v>45769</v>
      </c>
      <c r="D898" s="71" t="str">
        <f>IFERROR(__xludf.DUMMYFUNCTION("""COMPUTED_VALUE"""),"PINAGPANAAN ANG KILUSANG SAMAHANG MAGSASAKA (PAKISAMA)")</f>
        <v>PINAGPANAAN ANG KILUSANG SAMAHANG MAGSASAKA (PAKISAMA)</v>
      </c>
      <c r="E898" s="71" t="str">
        <f>IFERROR(__xludf.DUMMYFUNCTION("""COMPUTED_VALUE"""),"Pinagpanaan, Talavera, NUEVA ECIJA")</f>
        <v>Pinagpanaan, Talavera, NUEVA ECIJA</v>
      </c>
      <c r="F898" s="2" t="str">
        <f>IFERROR(__xludf.DUMMYFUNCTION("""COMPUTED_VALUE"""),"MR CIPRIANO BUCO.")</f>
        <v>MR CIPRIANO BUCO.</v>
      </c>
      <c r="G898" s="2" t="str">
        <f>IFERROR(__xludf.DUMMYFUNCTION("""COMPUTED_VALUE"""),"0936 416 1976     ")</f>
        <v>0936 416 1976     </v>
      </c>
      <c r="H898" s="2">
        <f>IFERROR(__xludf.DUMMYFUNCTION("""COMPUTED_VALUE"""),50.0)</f>
        <v>50</v>
      </c>
      <c r="I898" s="72" t="str">
        <f>IFERROR(__xludf.DUMMYFUNCTION("""COMPUTED_VALUE"""),"PMS")</f>
        <v>PMS</v>
      </c>
      <c r="J898" s="72" t="str">
        <f>IFERROR(__xludf.DUMMYFUNCTION("""COMPUTED_VALUE"""),"PMS")</f>
        <v>PMS</v>
      </c>
      <c r="K898" s="72" t="str">
        <f>IFERROR(__xludf.DUMMYFUNCTION("""COMPUTED_VALUE"""),"MYK: 1ST PMS (FREE)")</f>
        <v>MYK: 1ST PMS (FREE)</v>
      </c>
      <c r="L898" s="72" t="str">
        <f>IFERROR(__xludf.DUMMYFUNCTION("""COMPUTED_VALUE"""),"JVV: 1ST PMS DONE")</f>
        <v>JVV: 1ST PMS DONE</v>
      </c>
      <c r="M898" s="2"/>
      <c r="N898" s="2" t="str">
        <f>IFERROR(__xludf.DUMMYFUNCTION("""COMPUTED_VALUE"""),"PARTS: ENGINE OIL, OIL FILTER")</f>
        <v>PARTS: ENGINE OIL, OIL FILTER</v>
      </c>
      <c r="O898" s="2">
        <f>IFERROR(__xludf.DUMMYFUNCTION("""COMPUTED_VALUE"""),1070.0)</f>
        <v>1070</v>
      </c>
      <c r="P898" s="2"/>
      <c r="Q898" s="2"/>
      <c r="R898" s="74">
        <f>IFERROR(__xludf.DUMMYFUNCTION("""COMPUTED_VALUE"""),45779.0)</f>
        <v>45779</v>
      </c>
      <c r="S898" s="2" t="str">
        <f>IFERROR(__xludf.DUMMYFUNCTION("""COMPUTED_VALUE"""),"JVV/ACS")</f>
        <v>JVV/ACS</v>
      </c>
      <c r="T898" s="73" t="str">
        <f>IFERROR(__xludf.DUMMYFUNCTION("""COMPUTED_VALUE""")," N/A ")</f>
        <v>N/A</v>
      </c>
      <c r="U898" s="73" t="str">
        <f>IFERROR(__xludf.DUMMYFUNCTION("""COMPUTED_VALUE""")," NO CHARGE ")</f>
        <v>NO CHARGE</v>
      </c>
      <c r="V898" s="2"/>
      <c r="W898" s="2" t="str">
        <f>IFERROR(__xludf.DUMMYFUNCTION("""COMPUTED_VALUE"""),"N/A")</f>
        <v>N/A</v>
      </c>
      <c r="X898" s="2" t="str">
        <f>IFERROR(__xludf.DUMMYFUNCTION("""COMPUTED_VALUE"""),"N/A")</f>
        <v>N/A</v>
      </c>
      <c r="Y898" s="2"/>
      <c r="Z898" s="2"/>
      <c r="AA898" s="2"/>
      <c r="AB898" s="2"/>
      <c r="AC898" s="2"/>
      <c r="AD898" s="2"/>
      <c r="AE898" s="2"/>
      <c r="AF898" s="2"/>
      <c r="AG898" s="2"/>
      <c r="AH898" s="2"/>
      <c r="AI898" s="2"/>
      <c r="AJ898" s="2" t="str">
        <f>IFERROR(__xludf.DUMMYFUNCTION("""COMPUTED_VALUE"""),"Pinagpanaan")</f>
        <v>Pinagpanaan</v>
      </c>
      <c r="AK898" s="2" t="str">
        <f>IFERROR(__xludf.DUMMYFUNCTION("""COMPUTED_VALUE"""),"Talavera")</f>
        <v>Talavera</v>
      </c>
      <c r="AL898" s="2" t="str">
        <f>IFERROR(__xludf.DUMMYFUNCTION("""COMPUTED_VALUE"""),"Nueva Ecija")</f>
        <v>Nueva Ecija</v>
      </c>
      <c r="AM898" s="2">
        <f>IFERROR(__xludf.DUMMYFUNCTION("""COMPUTED_VALUE"""),3.0)</f>
        <v>3</v>
      </c>
      <c r="AN898" s="2" t="str">
        <f>IFERROR(__xludf.DUMMYFUNCTION("""COMPUTED_VALUE"""),"RCEF 24-04-15")</f>
        <v>RCEF 24-04-15</v>
      </c>
      <c r="AO898" s="2">
        <f>IFERROR(__xludf.DUMMYFUNCTION("""COMPUTED_VALUE"""),6.0)</f>
        <v>6</v>
      </c>
      <c r="AP898" s="2" t="str">
        <f>IFERROR(__xludf.DUMMYFUNCTION("""COMPUTED_VALUE"""),"FREE PMS")</f>
        <v>FREE PMS</v>
      </c>
      <c r="AQ898" s="2"/>
      <c r="AR898" s="2"/>
      <c r="AS898" s="2"/>
      <c r="AT898" s="2"/>
      <c r="AU898" s="2"/>
      <c r="AV898" s="2"/>
      <c r="AW898" s="2"/>
      <c r="AX898" s="2"/>
      <c r="AY898" s="2"/>
      <c r="AZ898" s="2"/>
      <c r="BA898" s="2"/>
      <c r="BB898" s="2"/>
    </row>
    <row r="899">
      <c r="A899" s="2">
        <f>IFERROR(__xludf.DUMMYFUNCTION("""COMPUTED_VALUE"""),895.0)</f>
        <v>895</v>
      </c>
      <c r="B899" s="2" t="str">
        <f>IFERROR(__xludf.DUMMYFUNCTION("""COMPUTED_VALUE"""),"COMPLETED")</f>
        <v>COMPLETED</v>
      </c>
      <c r="C899" s="74">
        <f>IFERROR(__xludf.DUMMYFUNCTION("""COMPUTED_VALUE"""),45769.0)</f>
        <v>45769</v>
      </c>
      <c r="D899" s="71" t="str">
        <f>IFERROR(__xludf.DUMMYFUNCTION("""COMPUTED_VALUE"""),"BIA-AN FARMERS ASSOCIATION")</f>
        <v>BIA-AN FARMERS ASSOCIATION</v>
      </c>
      <c r="E899" s="71" t="str">
        <f>IFERROR(__xludf.DUMMYFUNCTION("""COMPUTED_VALUE"""),"Bia-an, Hamtic, ANTIQUE")</f>
        <v>Bia-an, Hamtic, ANTIQUE</v>
      </c>
      <c r="F899" s="2" t="str">
        <f>IFERROR(__xludf.DUMMYFUNCTION("""COMPUTED_VALUE"""),"RYAN SUMACULUB")</f>
        <v>RYAN SUMACULUB</v>
      </c>
      <c r="G899" s="2" t="str">
        <f>IFERROR(__xludf.DUMMYFUNCTION("""COMPUTED_VALUE"""),"0915-586-3799")</f>
        <v>0915-586-3799</v>
      </c>
      <c r="H899" s="2">
        <f>IFERROR(__xludf.DUMMYFUNCTION("""COMPUTED_VALUE"""),259.0)</f>
        <v>259</v>
      </c>
      <c r="I899" s="72" t="str">
        <f>IFERROR(__xludf.DUMMYFUNCTION("""COMPUTED_VALUE"""),"SPARE PARTS ACQUISITION")</f>
        <v>SPARE PARTS ACQUISITION</v>
      </c>
      <c r="J899" s="72" t="str">
        <f>IFERROR(__xludf.DUMMYFUNCTION("""COMPUTED_VALUE"""),"PARTS REQUEST")</f>
        <v>PARTS REQUEST</v>
      </c>
      <c r="K899" s="72" t="str">
        <f>IFERROR(__xludf.DUMMYFUNCTION("""COMPUTED_VALUE"""),"MYK: Requesting for OIL SEAL due to leaking Gearbox of the Tractor.
5/8/25
RANDY: NUNG PINUNTAHAN KO PUNONG PUNO NG PUTIK ANG UNIT HINDI MAKITA KUNG SAAN YUNG LEAKING.
5/13/25
RANDY: LUMULUWAG ANG NUT KAYA LUMABAS ANG GEAR 
PARTS: HARD LOCK NUT, BEVEL G"&amp;"EAR 24T, BEARING #32211, DRIVE SHAFT 
DRM: Rotavator Problem
Need Parts
-Drive Shaft
-Pinion Gear 24T
-Pinion Shaft 13T
- Hard lock Nut
- Oil seal 55-80-12")</f>
        <v>MYK: Requesting for OIL SEAL due to leaking Gearbox of the Tractor.
5/8/25
RANDY: NUNG PINUNTAHAN KO PUNONG PUNO NG PUTIK ANG UNIT HINDI MAKITA KUNG SAAN YUNG LEAKING.
5/13/25
RANDY: LUMULUWAG ANG NUT KAYA LUMABAS ANG GEAR 
PARTS: HARD LOCK NUT, BEVEL GEAR 24T, BEARING #32211, DRIVE SHAFT 
DRM: Rotavator Problem
Need Parts
-Drive Shaft
-Pinion Gear 24T
-Pinion Shaft 13T
- Hard lock Nut
- Oil seal 55-80-12</v>
      </c>
      <c r="L899" s="72" t="str">
        <f>IFERROR(__xludf.DUMMYFUNCTION("""COMPUTED_VALUE"""),"QUOTATION SENT: UNDECIDED: CANCELLED
DRM: Paguusapan pa daw nila para sa Pag paayos ng kanilang Rotavator. 
")</f>
        <v>QUOTATION SENT: UNDECIDED: CANCELLED
DRM: Paguusapan pa daw nila para sa Pag paayos ng kanilang Rotavator. 
</v>
      </c>
      <c r="M899" s="2"/>
      <c r="N899" s="2" t="str">
        <f>IFERROR(__xludf.DUMMYFUNCTION("""COMPUTED_VALUE"""),"SF: 1,500")</f>
        <v>SF: 1,500</v>
      </c>
      <c r="O899" s="2">
        <f>IFERROR(__xludf.DUMMYFUNCTION("""COMPUTED_VALUE"""),414.0)</f>
        <v>414</v>
      </c>
      <c r="P899" s="2"/>
      <c r="Q899" s="2" t="str">
        <f>IFERROR(__xludf.DUMMYFUNCTION("""COMPUTED_VALUE"""),"Y")</f>
        <v>Y</v>
      </c>
      <c r="R899" s="74">
        <f>IFERROR(__xludf.DUMMYFUNCTION("""COMPUTED_VALUE"""),45915.0)</f>
        <v>45915</v>
      </c>
      <c r="S899" s="2" t="str">
        <f>IFERROR(__xludf.DUMMYFUNCTION("""COMPUTED_VALUE"""),"EGT/DRM/DSD")</f>
        <v>EGT/DRM/DSD</v>
      </c>
      <c r="T899" s="73">
        <f>IFERROR(__xludf.DUMMYFUNCTION("""COMPUTED_VALUE"""),1500.0)</f>
        <v>1500</v>
      </c>
      <c r="U899" s="73" t="str">
        <f>IFERROR(__xludf.DUMMYFUNCTION("""COMPUTED_VALUE""")," REMITTED ")</f>
        <v>REMITTED</v>
      </c>
      <c r="V899" s="2"/>
      <c r="W899" s="2">
        <f>IFERROR(__xludf.DUMMYFUNCTION("""COMPUTED_VALUE"""),1662.0)</f>
        <v>1662</v>
      </c>
      <c r="X899" s="2">
        <f>IFERROR(__xludf.DUMMYFUNCTION("""COMPUTED_VALUE"""),1683.0)</f>
        <v>1683</v>
      </c>
      <c r="Y899" s="2"/>
      <c r="Z899" s="2"/>
      <c r="AA899" s="2"/>
      <c r="AB899" s="2"/>
      <c r="AC899" s="2"/>
      <c r="AD899" s="2"/>
      <c r="AE899" s="2"/>
      <c r="AF899" s="2"/>
      <c r="AG899" s="2"/>
      <c r="AH899" s="2"/>
      <c r="AI899" s="2"/>
      <c r="AJ899" s="2" t="str">
        <f>IFERROR(__xludf.DUMMYFUNCTION("""COMPUTED_VALUE"""),"Bia-An")</f>
        <v>Bia-An</v>
      </c>
      <c r="AK899" s="2" t="str">
        <f>IFERROR(__xludf.DUMMYFUNCTION("""COMPUTED_VALUE"""),"Hamtic")</f>
        <v>Hamtic</v>
      </c>
      <c r="AL899" s="2" t="str">
        <f>IFERROR(__xludf.DUMMYFUNCTION("""COMPUTED_VALUE"""),"Antique")</f>
        <v>Antique</v>
      </c>
      <c r="AM899" s="2">
        <f>IFERROR(__xludf.DUMMYFUNCTION("""COMPUTED_VALUE"""),6.0)</f>
        <v>6</v>
      </c>
      <c r="AN899" s="2" t="str">
        <f>IFERROR(__xludf.DUMMYFUNCTION("""COMPUTED_VALUE"""),"RCEF 23-09-21 Rebidding")</f>
        <v>RCEF 23-09-21 Rebidding</v>
      </c>
      <c r="AO899" s="2">
        <f>IFERROR(__xludf.DUMMYFUNCTION("""COMPUTED_VALUE"""),4.0)</f>
        <v>4</v>
      </c>
      <c r="AP899" s="2"/>
      <c r="AQ899" s="2"/>
      <c r="AR899" s="2"/>
      <c r="AS899" s="2"/>
      <c r="AT899" s="2"/>
      <c r="AU899" s="2"/>
      <c r="AV899" s="2"/>
      <c r="AW899" s="2"/>
      <c r="AX899" s="2"/>
      <c r="AY899" s="2"/>
      <c r="AZ899" s="2"/>
      <c r="BA899" s="2"/>
      <c r="BB899" s="2"/>
    </row>
    <row r="900">
      <c r="A900" s="2">
        <f>IFERROR(__xludf.DUMMYFUNCTION("""COMPUTED_VALUE"""),896.0)</f>
        <v>896</v>
      </c>
      <c r="B900" s="2" t="str">
        <f>IFERROR(__xludf.DUMMYFUNCTION("""COMPUTED_VALUE"""),"COMPLETED")</f>
        <v>COMPLETED</v>
      </c>
      <c r="C900" s="74">
        <f>IFERROR(__xludf.DUMMYFUNCTION("""COMPUTED_VALUE"""),45769.0)</f>
        <v>45769</v>
      </c>
      <c r="D900" s="71" t="str">
        <f>IFERROR(__xludf.DUMMYFUNCTION("""COMPUTED_VALUE"""),"KAAGAPAY SA KAUNLARAN SA BAYAN NG QUEZON")</f>
        <v>KAAGAPAY SA KAUNLARAN SA BAYAN NG QUEZON</v>
      </c>
      <c r="E900" s="71" t="str">
        <f>IFERROR(__xludf.DUMMYFUNCTION("""COMPUTED_VALUE"""),"Doña Lucia, Quezon, NUEVA ECIJA")</f>
        <v>Doña Lucia, Quezon, NUEVA ECIJA</v>
      </c>
      <c r="F900" s="2" t="str">
        <f>IFERROR(__xludf.DUMMYFUNCTION("""COMPUTED_VALUE"""),"Marcelo S. Esguerra")</f>
        <v>Marcelo S. Esguerra</v>
      </c>
      <c r="G900" s="2" t="str">
        <f>IFERROR(__xludf.DUMMYFUNCTION("""COMPUTED_VALUE""")," 0962-519-5740.                                                                  ")</f>
        <v> 0962-519-5740.                                                                  </v>
      </c>
      <c r="H900" s="2"/>
      <c r="I900" s="72" t="str">
        <f>IFERROR(__xludf.DUMMYFUNCTION("""COMPUTED_VALUE"""),"PMS")</f>
        <v>PMS</v>
      </c>
      <c r="J900" s="72" t="str">
        <f>IFERROR(__xludf.DUMMYFUNCTION("""COMPUTED_VALUE"""),"PMS")</f>
        <v>PMS</v>
      </c>
      <c r="K900" s="72" t="str">
        <f>IFERROR(__xludf.DUMMYFUNCTION("""COMPUTED_VALUE"""),"MYK: PMS (FREE)")</f>
        <v>MYK: PMS (FREE)</v>
      </c>
      <c r="L900" s="72"/>
      <c r="M900" s="2"/>
      <c r="N900" s="2" t="str">
        <f>IFERROR(__xludf.DUMMYFUNCTION("""COMPUTED_VALUE"""),"PARTS: OIL FILTER, ENGINE OIL")</f>
        <v>PARTS: OIL FILTER, ENGINE OIL</v>
      </c>
      <c r="O900" s="2" t="str">
        <f>IFERROR(__xludf.DUMMYFUNCTION("""COMPUTED_VALUE"""),"?")</f>
        <v>?</v>
      </c>
      <c r="P900" s="2"/>
      <c r="Q900" s="2"/>
      <c r="R900" s="74">
        <f>IFERROR(__xludf.DUMMYFUNCTION("""COMPUTED_VALUE"""),45772.0)</f>
        <v>45772</v>
      </c>
      <c r="S900" s="2" t="str">
        <f>IFERROR(__xludf.DUMMYFUNCTION("""COMPUTED_VALUE"""),"DRM/JHP")</f>
        <v>DRM/JHP</v>
      </c>
      <c r="T900" s="2"/>
      <c r="U900" s="73" t="str">
        <f>IFERROR(__xludf.DUMMYFUNCTION("""COMPUTED_VALUE""")," NO CHARGE ")</f>
        <v>NO CHARGE</v>
      </c>
      <c r="V900" s="2"/>
      <c r="W900" s="2"/>
      <c r="X900" s="2"/>
      <c r="Y900" s="2"/>
      <c r="Z900" s="2"/>
      <c r="AA900" s="2"/>
      <c r="AB900" s="2"/>
      <c r="AC900" s="2"/>
      <c r="AD900" s="2"/>
      <c r="AE900" s="2"/>
      <c r="AF900" s="2"/>
      <c r="AG900" s="2"/>
      <c r="AH900" s="2"/>
      <c r="AI900" s="2"/>
      <c r="AJ900" s="2" t="str">
        <f>IFERROR(__xludf.DUMMYFUNCTION("""COMPUTED_VALUE"""),"Doña Lucia")</f>
        <v>Doña Lucia</v>
      </c>
      <c r="AK900" s="2" t="str">
        <f>IFERROR(__xludf.DUMMYFUNCTION("""COMPUTED_VALUE"""),"Quezon")</f>
        <v>Quezon</v>
      </c>
      <c r="AL900" s="2" t="str">
        <f>IFERROR(__xludf.DUMMYFUNCTION("""COMPUTED_VALUE"""),"Nueva Ecija")</f>
        <v>Nueva Ecija</v>
      </c>
      <c r="AM900" s="2">
        <f>IFERROR(__xludf.DUMMYFUNCTION("""COMPUTED_VALUE"""),3.0)</f>
        <v>3</v>
      </c>
      <c r="AN900" s="2" t="str">
        <f>IFERROR(__xludf.DUMMYFUNCTION("""COMPUTED_VALUE"""),"RCEF 24-04-15")</f>
        <v>RCEF 24-04-15</v>
      </c>
      <c r="AO900" s="2">
        <f>IFERROR(__xludf.DUMMYFUNCTION("""COMPUTED_VALUE"""),6.0)</f>
        <v>6</v>
      </c>
      <c r="AP900" s="2" t="str">
        <f>IFERROR(__xludf.DUMMYFUNCTION("""COMPUTED_VALUE"""),"FREE PMS")</f>
        <v>FREE PMS</v>
      </c>
      <c r="AQ900" s="2"/>
      <c r="AR900" s="2"/>
      <c r="AS900" s="2"/>
      <c r="AT900" s="2"/>
      <c r="AU900" s="2"/>
      <c r="AV900" s="2"/>
      <c r="AW900" s="2"/>
      <c r="AX900" s="2"/>
      <c r="AY900" s="2"/>
      <c r="AZ900" s="2"/>
      <c r="BA900" s="2"/>
      <c r="BB900" s="2"/>
    </row>
    <row r="901">
      <c r="A901" s="2">
        <f>IFERROR(__xludf.DUMMYFUNCTION("""COMPUTED_VALUE"""),897.0)</f>
        <v>897</v>
      </c>
      <c r="B901" s="2" t="str">
        <f>IFERROR(__xludf.DUMMYFUNCTION("""COMPUTED_VALUE"""),"COMPLETED")</f>
        <v>COMPLETED</v>
      </c>
      <c r="C901" s="74">
        <f>IFERROR(__xludf.DUMMYFUNCTION("""COMPUTED_VALUE"""),45769.0)</f>
        <v>45769</v>
      </c>
      <c r="D901" s="71" t="str">
        <f>IFERROR(__xludf.DUMMYFUNCTION("""COMPUTED_VALUE"""),"CALASAGUEN DIVISION 4 RICE PRODUCER'S FARMERS ASSOCIATION")</f>
        <v>CALASAGUEN DIVISION 4 RICE PRODUCER'S FARMERS ASSOCIATION</v>
      </c>
      <c r="E901" s="71" t="str">
        <f>IFERROR(__xludf.DUMMYFUNCTION("""COMPUTED_VALUE"""),"Calasaguen, Brooke's Point, Palawan")</f>
        <v>Calasaguen, Brooke's Point, Palawan</v>
      </c>
      <c r="F901" s="2" t="str">
        <f>IFERROR(__xludf.DUMMYFUNCTION("""COMPUTED_VALUE"""),"MICHAEL BUNAG")</f>
        <v>MICHAEL BUNAG</v>
      </c>
      <c r="G901" s="2">
        <f>IFERROR(__xludf.DUMMYFUNCTION("""COMPUTED_VALUE"""),9.633971345E9)</f>
        <v>9633971345</v>
      </c>
      <c r="H901" s="2"/>
      <c r="I901" s="72" t="str">
        <f>IFERROR(__xludf.DUMMYFUNCTION("""COMPUTED_VALUE"""),"SPARE PARTS ACQUISITION")</f>
        <v>SPARE PARTS ACQUISITION</v>
      </c>
      <c r="J901" s="72" t="str">
        <f>IFERROR(__xludf.DUMMYFUNCTION("""COMPUTED_VALUE"""),"SPARE PARTS ACQUISITION")</f>
        <v>SPARE PARTS ACQUISITION</v>
      </c>
      <c r="K901" s="72" t="str">
        <f>IFERROR(__xludf.DUMMYFUNCTION("""COMPUTED_VALUE"""),"PARTS: BEVEL GEAR  24T , LSGW DRIVE SHAFT (36,850)")</f>
        <v>PARTS: BEVEL GEAR  24T , LSGW DRIVE SHAFT (36,850)</v>
      </c>
      <c r="L901" s="72" t="str">
        <f>IFERROR(__xludf.DUMMYFUNCTION("""COMPUTED_VALUE"""),"DELIVERED AND REPAIRED: BEVEL GEAR 24T, LSGW DRIVE SHAFT , HARD LOCK NUT")</f>
        <v>DELIVERED AND REPAIRED: BEVEL GEAR 24T, LSGW DRIVE SHAFT , HARD LOCK NUT</v>
      </c>
      <c r="M901" s="2"/>
      <c r="N901" s="2" t="str">
        <f>IFERROR(__xludf.DUMMYFUNCTION("""COMPUTED_VALUE"""),"PARTS: BEVEL GEAR 24T, LSGW DRIVE SHAFT , HARD LOCK NUT")</f>
        <v>PARTS: BEVEL GEAR 24T, LSGW DRIVE SHAFT , HARD LOCK NUT</v>
      </c>
      <c r="O901" s="2">
        <f>IFERROR(__xludf.DUMMYFUNCTION("""COMPUTED_VALUE"""),1386.0)</f>
        <v>1386</v>
      </c>
      <c r="P901" s="2"/>
      <c r="Q901" s="2"/>
      <c r="R901" s="74">
        <f>IFERROR(__xludf.DUMMYFUNCTION("""COMPUTED_VALUE"""),45786.0)</f>
        <v>45786</v>
      </c>
      <c r="S901" s="2" t="str">
        <f>IFERROR(__xludf.DUMMYFUNCTION("""COMPUTED_VALUE"""),"JVV/JDP")</f>
        <v>JVV/JDP</v>
      </c>
      <c r="T901" s="73">
        <f>IFERROR(__xludf.DUMMYFUNCTION("""COMPUTED_VALUE"""),37100.0)</f>
        <v>37100</v>
      </c>
      <c r="U901" s="73" t="str">
        <f>IFERROR(__xludf.DUMMYFUNCTION("""COMPUTED_VALUE""")," REMITTED ")</f>
        <v>REMITTED</v>
      </c>
      <c r="V901" s="2"/>
      <c r="W901" s="2">
        <f>IFERROR(__xludf.DUMMYFUNCTION("""COMPUTED_VALUE"""),1187.0)</f>
        <v>1187</v>
      </c>
      <c r="X901" s="2">
        <f>IFERROR(__xludf.DUMMYFUNCTION("""COMPUTED_VALUE"""),1376.0)</f>
        <v>1376</v>
      </c>
      <c r="Y901" s="2"/>
      <c r="Z901" s="2"/>
      <c r="AA901" s="2"/>
      <c r="AB901" s="2"/>
      <c r="AC901" s="2"/>
      <c r="AD901" s="2"/>
      <c r="AE901" s="2"/>
      <c r="AF901" s="2"/>
      <c r="AG901" s="2"/>
      <c r="AH901" s="2"/>
      <c r="AI901" s="2"/>
      <c r="AJ901" s="2" t="str">
        <f>IFERROR(__xludf.DUMMYFUNCTION("""COMPUTED_VALUE"""),"Calasaguen")</f>
        <v>Calasaguen</v>
      </c>
      <c r="AK901" s="2" t="str">
        <f>IFERROR(__xludf.DUMMYFUNCTION("""COMPUTED_VALUE"""),"Brooke'S Point")</f>
        <v>Brooke'S Point</v>
      </c>
      <c r="AL901" s="2" t="str">
        <f>IFERROR(__xludf.DUMMYFUNCTION("""COMPUTED_VALUE"""),"Palawan")</f>
        <v>Palawan</v>
      </c>
      <c r="AM901" s="2" t="str">
        <f>IFERROR(__xludf.DUMMYFUNCTION("""COMPUTED_VALUE"""),"4B")</f>
        <v>4B</v>
      </c>
      <c r="AN901" s="2" t="str">
        <f>IFERROR(__xludf.DUMMYFUNCTION("""COMPUTED_VALUE"""),"RCEF 23-08-20 Rebidding")</f>
        <v>RCEF 23-08-20 Rebidding</v>
      </c>
      <c r="AO901" s="2">
        <f>IFERROR(__xludf.DUMMYFUNCTION("""COMPUTED_VALUE"""),1.0)</f>
        <v>1</v>
      </c>
      <c r="AP901" s="2"/>
      <c r="AQ901" s="2"/>
      <c r="AR901" s="2"/>
      <c r="AS901" s="2"/>
      <c r="AT901" s="2"/>
      <c r="AU901" s="2"/>
      <c r="AV901" s="2"/>
      <c r="AW901" s="2"/>
      <c r="AX901" s="2"/>
      <c r="AY901" s="2"/>
      <c r="AZ901" s="2"/>
      <c r="BA901" s="2"/>
      <c r="BB901" s="2"/>
    </row>
    <row r="902">
      <c r="A902" s="2">
        <f>IFERROR(__xludf.DUMMYFUNCTION("""COMPUTED_VALUE"""),898.0)</f>
        <v>898</v>
      </c>
      <c r="B902" s="2" t="str">
        <f>IFERROR(__xludf.DUMMYFUNCTION("""COMPUTED_VALUE"""),"COMPLETED")</f>
        <v>COMPLETED</v>
      </c>
      <c r="C902" s="74">
        <f>IFERROR(__xludf.DUMMYFUNCTION("""COMPUTED_VALUE"""),45769.0)</f>
        <v>45769</v>
      </c>
      <c r="D902" s="71" t="str">
        <f>IFERROR(__xludf.DUMMYFUNCTION("""COMPUTED_VALUE"""),"Sapang Buhay Agriculture Cooperative")</f>
        <v>Sapang Buhay Agriculture Cooperative</v>
      </c>
      <c r="E902" s="71" t="str">
        <f>IFERROR(__xludf.DUMMYFUNCTION("""COMPUTED_VALUE"""),"Tagpos, Santa Rosa, NUEVA ECIJA")</f>
        <v>Tagpos, Santa Rosa, NUEVA ECIJA</v>
      </c>
      <c r="F902" s="2" t="str">
        <f>IFERROR(__xludf.DUMMYFUNCTION("""COMPUTED_VALUE"""),"BOBBY DIAZ")</f>
        <v>BOBBY DIAZ</v>
      </c>
      <c r="G902" s="2">
        <f>IFERROR(__xludf.DUMMYFUNCTION("""COMPUTED_VALUE"""),9.499854314E9)</f>
        <v>9499854314</v>
      </c>
      <c r="H902" s="2"/>
      <c r="I902" s="72" t="str">
        <f>IFERROR(__xludf.DUMMYFUNCTION("""COMPUTED_VALUE"""),"REPAIR - DISC PLOW")</f>
        <v>REPAIR - DISC PLOW</v>
      </c>
      <c r="J902" s="72" t="str">
        <f>IFERROR(__xludf.DUMMYFUNCTION("""COMPUTED_VALUE"""),"bolt")</f>
        <v>bolt</v>
      </c>
      <c r="K902" s="72" t="str">
        <f>IFERROR(__xludf.DUMMYFUNCTION("""COMPUTED_VALUE"""),"JHP: Disc plow problem palaging lumuluwag yung disc sa harap
")</f>
        <v>JHP: Disc plow problem palaging lumuluwag yung disc sa harap
</v>
      </c>
      <c r="L902" s="72" t="str">
        <f>IFERROR(__xludf.DUMMYFUNCTION("""COMPUTED_VALUE"""),"EGT: BINAKLAS AT HINIKPITAN ANG BOLT NG NG DISCPLOW")</f>
        <v>EGT: BINAKLAS AT HINIKPITAN ANG BOLT NG NG DISCPLOW</v>
      </c>
      <c r="M902" s="2"/>
      <c r="N902" s="2"/>
      <c r="O902" s="2" t="str">
        <f>IFERROR(__xludf.DUMMYFUNCTION("""COMPUTED_VALUE"""),"N/A")</f>
        <v>N/A</v>
      </c>
      <c r="P902" s="2"/>
      <c r="Q902" s="2"/>
      <c r="R902" s="74">
        <f>IFERROR(__xludf.DUMMYFUNCTION("""COMPUTED_VALUE"""),45792.0)</f>
        <v>45792</v>
      </c>
      <c r="S902" s="2" t="str">
        <f>IFERROR(__xludf.DUMMYFUNCTION("""COMPUTED_VALUE"""),"EGT/DRM")</f>
        <v>EGT/DRM</v>
      </c>
      <c r="T902" s="2"/>
      <c r="U902" s="73" t="str">
        <f>IFERROR(__xludf.DUMMYFUNCTION("""COMPUTED_VALUE""")," NO CHARGE ")</f>
        <v>NO CHARGE</v>
      </c>
      <c r="V902" s="2"/>
      <c r="W902" s="2"/>
      <c r="X902" s="2"/>
      <c r="Y902" s="2"/>
      <c r="Z902" s="2"/>
      <c r="AA902" s="2"/>
      <c r="AB902" s="2"/>
      <c r="AC902" s="2"/>
      <c r="AD902" s="2"/>
      <c r="AE902" s="2"/>
      <c r="AF902" s="2"/>
      <c r="AG902" s="2"/>
      <c r="AH902" s="2"/>
      <c r="AI902" s="2"/>
      <c r="AJ902" s="2" t="str">
        <f>IFERROR(__xludf.DUMMYFUNCTION("""COMPUTED_VALUE"""),"Tagpos")</f>
        <v>Tagpos</v>
      </c>
      <c r="AK902" s="2" t="str">
        <f>IFERROR(__xludf.DUMMYFUNCTION("""COMPUTED_VALUE"""),"Santa Rosa")</f>
        <v>Santa Rosa</v>
      </c>
      <c r="AL902" s="2" t="str">
        <f>IFERROR(__xludf.DUMMYFUNCTION("""COMPUTED_VALUE"""),"Nueva Ecija")</f>
        <v>Nueva Ecija</v>
      </c>
      <c r="AM902" s="2">
        <f>IFERROR(__xludf.DUMMYFUNCTION("""COMPUTED_VALUE"""),3.0)</f>
        <v>3</v>
      </c>
      <c r="AN902" s="2" t="str">
        <f>IFERROR(__xludf.DUMMYFUNCTION("""COMPUTED_VALUE"""),"RCEF 23-09-21 Rebidding")</f>
        <v>RCEF 23-09-21 Rebidding</v>
      </c>
      <c r="AO902" s="2">
        <f>IFERROR(__xludf.DUMMYFUNCTION("""COMPUTED_VALUE"""),3.0)</f>
        <v>3</v>
      </c>
      <c r="AP902" s="2"/>
      <c r="AQ902" s="2"/>
      <c r="AR902" s="2"/>
      <c r="AS902" s="2"/>
      <c r="AT902" s="2"/>
      <c r="AU902" s="2"/>
      <c r="AV902" s="2"/>
      <c r="AW902" s="2"/>
      <c r="AX902" s="2"/>
      <c r="AY902" s="2"/>
      <c r="AZ902" s="2"/>
      <c r="BA902" s="2"/>
      <c r="BB902" s="2"/>
    </row>
    <row r="903">
      <c r="A903" s="2">
        <f>IFERROR(__xludf.DUMMYFUNCTION("""COMPUTED_VALUE"""),899.0)</f>
        <v>899</v>
      </c>
      <c r="B903" s="2" t="str">
        <f>IFERROR(__xludf.DUMMYFUNCTION("""COMPUTED_VALUE"""),"COMPLETED")</f>
        <v>COMPLETED</v>
      </c>
      <c r="C903" s="74">
        <f>IFERROR(__xludf.DUMMYFUNCTION("""COMPUTED_VALUE"""),45769.0)</f>
        <v>45769</v>
      </c>
      <c r="D903" s="71" t="str">
        <f>IFERROR(__xludf.DUMMYFUNCTION("""COMPUTED_VALUE"""),"Dumayop Tabban Irrigators Association Inc.")</f>
        <v>Dumayop Tabban Irrigators Association Inc.</v>
      </c>
      <c r="E903" s="71" t="str">
        <f>IFERROR(__xludf.DUMMYFUNCTION("""COMPUTED_VALUE"""),"Pogonsino, Bagabag, NUEVA VIZCAYA")</f>
        <v>Pogonsino, Bagabag, NUEVA VIZCAYA</v>
      </c>
      <c r="F903" s="2" t="str">
        <f>IFERROR(__xludf.DUMMYFUNCTION("""COMPUTED_VALUE"""),"MERLITO CLETO")</f>
        <v>MERLITO CLETO</v>
      </c>
      <c r="G903" s="2">
        <f>IFERROR(__xludf.DUMMYFUNCTION("""COMPUTED_VALUE"""),9.059787219E9)</f>
        <v>9059787219</v>
      </c>
      <c r="H903" s="2"/>
      <c r="I903" s="72" t="str">
        <f>IFERROR(__xludf.DUMMYFUNCTION("""COMPUTED_VALUE"""),"PMS")</f>
        <v>PMS</v>
      </c>
      <c r="J903" s="72" t="str">
        <f>IFERROR(__xludf.DUMMYFUNCTION("""COMPUTED_VALUE"""),"PMS")</f>
        <v>PMS</v>
      </c>
      <c r="K903" s="72" t="str">
        <f>IFERROR(__xludf.DUMMYFUNCTION("""COMPUTED_VALUE"""),"MYK: 1ST PMS (FREE)")</f>
        <v>MYK: 1ST PMS (FREE)</v>
      </c>
      <c r="L903" s="72" t="str">
        <f>IFERROR(__xludf.DUMMYFUNCTION("""COMPUTED_VALUE"""),"ACS: 1ST PMS DONE")</f>
        <v>ACS: 1ST PMS DONE</v>
      </c>
      <c r="M903" s="2"/>
      <c r="N903" s="2" t="str">
        <f>IFERROR(__xludf.DUMMYFUNCTION("""COMPUTED_VALUE"""),"PARTS: OIL FILTER, ENGINE OIL")</f>
        <v>PARTS: OIL FILTER, ENGINE OIL</v>
      </c>
      <c r="O903" s="2">
        <f>IFERROR(__xludf.DUMMYFUNCTION("""COMPUTED_VALUE"""),1240.0)</f>
        <v>1240</v>
      </c>
      <c r="P903" s="2"/>
      <c r="Q903" s="2"/>
      <c r="R903" s="74">
        <f>IFERROR(__xludf.DUMMYFUNCTION("""COMPUTED_VALUE"""),45782.0)</f>
        <v>45782</v>
      </c>
      <c r="S903" s="2" t="str">
        <f>IFERROR(__xludf.DUMMYFUNCTION("""COMPUTED_VALUE"""),"ACS/JHP")</f>
        <v>ACS/JHP</v>
      </c>
      <c r="T903" s="73" t="str">
        <f>IFERROR(__xludf.DUMMYFUNCTION("""COMPUTED_VALUE""")," N/A ")</f>
        <v>N/A</v>
      </c>
      <c r="U903" s="73" t="str">
        <f>IFERROR(__xludf.DUMMYFUNCTION("""COMPUTED_VALUE""")," NO CHARGE ")</f>
        <v>NO CHARGE</v>
      </c>
      <c r="V903" s="2"/>
      <c r="W903" s="2" t="str">
        <f>IFERROR(__xludf.DUMMYFUNCTION("""COMPUTED_VALUE"""),"N/A")</f>
        <v>N/A</v>
      </c>
      <c r="X903" s="2" t="str">
        <f>IFERROR(__xludf.DUMMYFUNCTION("""COMPUTED_VALUE"""),"N/A")</f>
        <v>N/A</v>
      </c>
      <c r="Y903" s="2"/>
      <c r="Z903" s="2"/>
      <c r="AA903" s="2"/>
      <c r="AB903" s="2"/>
      <c r="AC903" s="2"/>
      <c r="AD903" s="2"/>
      <c r="AE903" s="2"/>
      <c r="AF903" s="2"/>
      <c r="AG903" s="2"/>
      <c r="AH903" s="2"/>
      <c r="AI903" s="2"/>
      <c r="AJ903" s="2" t="str">
        <f>IFERROR(__xludf.DUMMYFUNCTION("""COMPUTED_VALUE"""),"Pogonsino")</f>
        <v>Pogonsino</v>
      </c>
      <c r="AK903" s="2" t="str">
        <f>IFERROR(__xludf.DUMMYFUNCTION("""COMPUTED_VALUE"""),"Bagabag")</f>
        <v>Bagabag</v>
      </c>
      <c r="AL903" s="2" t="str">
        <f>IFERROR(__xludf.DUMMYFUNCTION("""COMPUTED_VALUE"""),"Nueva Vizcaya")</f>
        <v>Nueva Vizcaya</v>
      </c>
      <c r="AM903" s="2">
        <f>IFERROR(__xludf.DUMMYFUNCTION("""COMPUTED_VALUE"""),2.0)</f>
        <v>2</v>
      </c>
      <c r="AN903" s="2" t="str">
        <f>IFERROR(__xludf.DUMMYFUNCTION("""COMPUTED_VALUE"""),"RCEF 24-04-15")</f>
        <v>RCEF 24-04-15</v>
      </c>
      <c r="AO903" s="2">
        <f>IFERROR(__xludf.DUMMYFUNCTION("""COMPUTED_VALUE"""),6.0)</f>
        <v>6</v>
      </c>
      <c r="AP903" s="2" t="str">
        <f>IFERROR(__xludf.DUMMYFUNCTION("""COMPUTED_VALUE"""),"FREE PMS")</f>
        <v>FREE PMS</v>
      </c>
      <c r="AQ903" s="2"/>
      <c r="AR903" s="2"/>
      <c r="AS903" s="2"/>
      <c r="AT903" s="2"/>
      <c r="AU903" s="2"/>
      <c r="AV903" s="2"/>
      <c r="AW903" s="2"/>
      <c r="AX903" s="2"/>
      <c r="AY903" s="2"/>
      <c r="AZ903" s="2"/>
      <c r="BA903" s="2"/>
      <c r="BB903" s="2"/>
    </row>
    <row r="904">
      <c r="A904" s="2">
        <f>IFERROR(__xludf.DUMMYFUNCTION("""COMPUTED_VALUE"""),900.0)</f>
        <v>900</v>
      </c>
      <c r="B904" s="2" t="str">
        <f>IFERROR(__xludf.DUMMYFUNCTION("""COMPUTED_VALUE"""),"COMPLETED")</f>
        <v>COMPLETED</v>
      </c>
      <c r="C904" s="74">
        <f>IFERROR(__xludf.DUMMYFUNCTION("""COMPUTED_VALUE"""),45769.0)</f>
        <v>45769</v>
      </c>
      <c r="D904" s="71" t="str">
        <f>IFERROR(__xludf.DUMMYFUNCTION("""COMPUTED_VALUE"""),"CAPOYUAN FARMERS ASSOCIATION")</f>
        <v>CAPOYUAN FARMERS ASSOCIATION</v>
      </c>
      <c r="E904" s="71" t="str">
        <f>IFERROR(__xludf.DUMMYFUNCTION("""COMPUTED_VALUE"""),"Capoyuan, Barbaza, ANTIQUE")</f>
        <v>Capoyuan, Barbaza, ANTIQUE</v>
      </c>
      <c r="F904" s="2" t="str">
        <f>IFERROR(__xludf.DUMMYFUNCTION("""COMPUTED_VALUE"""),"Rodulfo M. Remo")</f>
        <v>Rodulfo M. Remo</v>
      </c>
      <c r="G904" s="2">
        <f>IFERROR(__xludf.DUMMYFUNCTION("""COMPUTED_VALUE"""),9.477650687E9)</f>
        <v>9477650687</v>
      </c>
      <c r="H904" s="2"/>
      <c r="I904" s="72" t="str">
        <f>IFERROR(__xludf.DUMMYFUNCTION("""COMPUTED_VALUE"""),"REPAIR - LOADER")</f>
        <v>REPAIR - LOADER</v>
      </c>
      <c r="J904" s="72" t="str">
        <f>IFERROR(__xludf.DUMMYFUNCTION("""COMPUTED_VALUE"""),"Cable Lock")</f>
        <v>Cable Lock</v>
      </c>
      <c r="K904" s="72" t="str">
        <f>IFERROR(__xludf.DUMMYFUNCTION("""COMPUTED_VALUE"""),"MYK: AYAW MAG TAAS BABA NG NG LOADER")</f>
        <v>MYK: AYAW MAG TAAS BABA NG NG LOADER</v>
      </c>
      <c r="L904" s="72" t="str">
        <f>IFERROR(__xludf.DUMMYFUNCTION("""COMPUTED_VALUE"""),"5/8/25
RANDY: NUNG PUMUNTA AKO LOBAT ANG BATTERY NILA, KAYA HINDI NA TESTING ANG UNIT, PERO TINGIN KO DAHIL LANG DIN ITO SA PAG OPERATE NILA. WALA NAMAN TROBLE ANG UNIT.")</f>
        <v>5/8/25
RANDY: NUNG PUMUNTA AKO LOBAT ANG BATTERY NILA, KAYA HINDI NA TESTING ANG UNIT, PERO TINGIN KO DAHIL LANG DIN ITO SA PAG OPERATE NILA. WALA NAMAN TROBLE ANG UNIT.</v>
      </c>
      <c r="M904" s="2"/>
      <c r="N904" s="2"/>
      <c r="O904" s="2" t="str">
        <f>IFERROR(__xludf.DUMMYFUNCTION("""COMPUTED_VALUE"""),"RANDY")</f>
        <v>RANDY</v>
      </c>
      <c r="P904" s="2"/>
      <c r="Q904" s="2"/>
      <c r="R904" s="74">
        <f>IFERROR(__xludf.DUMMYFUNCTION("""COMPUTED_VALUE"""),45785.0)</f>
        <v>45785</v>
      </c>
      <c r="S904" s="2" t="str">
        <f>IFERROR(__xludf.DUMMYFUNCTION("""COMPUTED_VALUE"""),"MYKEE")</f>
        <v>MYKEE</v>
      </c>
      <c r="T904" s="73" t="str">
        <f>IFERROR(__xludf.DUMMYFUNCTION("""COMPUTED_VALUE""")," N/A ")</f>
        <v>N/A</v>
      </c>
      <c r="U904" s="73" t="str">
        <f>IFERROR(__xludf.DUMMYFUNCTION("""COMPUTED_VALUE""")," NO CHARGE ")</f>
        <v>NO CHARGE</v>
      </c>
      <c r="V904" s="2"/>
      <c r="W904" s="2" t="str">
        <f>IFERROR(__xludf.DUMMYFUNCTION("""COMPUTED_VALUE"""),"N/A")</f>
        <v>N/A</v>
      </c>
      <c r="X904" s="2" t="str">
        <f>IFERROR(__xludf.DUMMYFUNCTION("""COMPUTED_VALUE"""),"N/A")</f>
        <v>N/A</v>
      </c>
      <c r="Y904" s="2"/>
      <c r="Z904" s="2"/>
      <c r="AA904" s="2"/>
      <c r="AB904" s="2"/>
      <c r="AC904" s="2"/>
      <c r="AD904" s="2"/>
      <c r="AE904" s="2"/>
      <c r="AF904" s="2"/>
      <c r="AG904" s="2"/>
      <c r="AH904" s="2"/>
      <c r="AI904" s="2"/>
      <c r="AJ904" s="2" t="str">
        <f>IFERROR(__xludf.DUMMYFUNCTION("""COMPUTED_VALUE"""),"Capoyuan")</f>
        <v>Capoyuan</v>
      </c>
      <c r="AK904" s="2" t="str">
        <f>IFERROR(__xludf.DUMMYFUNCTION("""COMPUTED_VALUE"""),"Barbaza")</f>
        <v>Barbaza</v>
      </c>
      <c r="AL904" s="2" t="str">
        <f>IFERROR(__xludf.DUMMYFUNCTION("""COMPUTED_VALUE"""),"Antique")</f>
        <v>Antique</v>
      </c>
      <c r="AM904" s="2">
        <f>IFERROR(__xludf.DUMMYFUNCTION("""COMPUTED_VALUE"""),6.0)</f>
        <v>6</v>
      </c>
      <c r="AN904" s="2" t="str">
        <f>IFERROR(__xludf.DUMMYFUNCTION("""COMPUTED_VALUE"""),"RCEF 23-09-21 Rebidding")</f>
        <v>RCEF 23-09-21 Rebidding</v>
      </c>
      <c r="AO904" s="2">
        <f>IFERROR(__xludf.DUMMYFUNCTION("""COMPUTED_VALUE"""),4.0)</f>
        <v>4</v>
      </c>
      <c r="AP904" s="2"/>
      <c r="AQ904" s="2"/>
      <c r="AR904" s="2"/>
      <c r="AS904" s="2"/>
      <c r="AT904" s="2"/>
      <c r="AU904" s="2"/>
      <c r="AV904" s="2"/>
      <c r="AW904" s="2"/>
      <c r="AX904" s="2"/>
      <c r="AY904" s="2"/>
      <c r="AZ904" s="2"/>
      <c r="BA904" s="2"/>
      <c r="BB904" s="2"/>
    </row>
    <row r="905">
      <c r="A905" s="2">
        <f>IFERROR(__xludf.DUMMYFUNCTION("""COMPUTED_VALUE"""),901.0)</f>
        <v>901</v>
      </c>
      <c r="B905" s="2" t="str">
        <f>IFERROR(__xludf.DUMMYFUNCTION("""COMPUTED_VALUE"""),"COMPLETED")</f>
        <v>COMPLETED</v>
      </c>
      <c r="C905" s="74">
        <f>IFERROR(__xludf.DUMMYFUNCTION("""COMPUTED_VALUE"""),45769.0)</f>
        <v>45769</v>
      </c>
      <c r="D905" s="71" t="str">
        <f>IFERROR(__xludf.DUMMYFUNCTION("""COMPUTED_VALUE"""),"TIBIAO-DALANAS RIVER IRRIGATORS' ASSOCIATION, INC.")</f>
        <v>TIBIAO-DALANAS RIVER IRRIGATORS' ASSOCIATION, INC.</v>
      </c>
      <c r="E905" s="71" t="str">
        <f>IFERROR(__xludf.DUMMYFUNCTION("""COMPUTED_VALUE"""),"Malabor, Tibiao, ANTIQUE")</f>
        <v>Malabor, Tibiao, ANTIQUE</v>
      </c>
      <c r="F905" s="2" t="str">
        <f>IFERROR(__xludf.DUMMYFUNCTION("""COMPUTED_VALUE""")," Noel C. Songcayawon")</f>
        <v> Noel C. Songcayawon</v>
      </c>
      <c r="G905" s="2">
        <f>IFERROR(__xludf.DUMMYFUNCTION("""COMPUTED_VALUE"""),9.351708943E9)</f>
        <v>9351708943</v>
      </c>
      <c r="H905" s="2">
        <f>IFERROR(__xludf.DUMMYFUNCTION("""COMPUTED_VALUE"""),500.0)</f>
        <v>500</v>
      </c>
      <c r="I905" s="72" t="str">
        <f>IFERROR(__xludf.DUMMYFUNCTION("""COMPUTED_VALUE"""),"REPAIR - TRACTOR")</f>
        <v>REPAIR - TRACTOR</v>
      </c>
      <c r="J905" s="72" t="str">
        <f>IFERROR(__xludf.DUMMYFUNCTION("""COMPUTED_VALUE"""),"Transmission - Clutch")</f>
        <v>Transmission - Clutch</v>
      </c>
      <c r="K905" s="72" t="str">
        <f>IFERROR(__xludf.DUMMYFUNCTION("""COMPUTED_VALUE"""),"MYK: PARANG DUMIKIT YUNG LINING NYA, NEED NYAN I NEUTRAL YUNG F/R NYA PRA MALIPAT, PAG NAILIPAT NA SA FORWARD / REVERCE AYAW NA PUMASOK NG KAMBYO. PAG TINPAKAN ANG CLUTCH HIINDI SYA HUMIHINTO. 
POSSIBLENG SIRA: 5/5/25: CLUTCH DISC ASSY/CLUTCH COVER ASSY/"&amp;" RELEASE BEARING")</f>
        <v>MYK: PARANG DUMIKIT YUNG LINING NYA, NEED NYAN I NEUTRAL YUNG F/R NYA PRA MALIPAT, PAG NAILIPAT NA SA FORWARD / REVERCE AYAW NA PUMASOK NG KAMBYO. PAG TINPAKAN ANG CLUTCH HIINDI SYA HUMIHINTO. 
POSSIBLENG SIRA: 5/5/25: CLUTCH DISC ASSY/CLUTCH COVER ASSY/ RELEASE BEARING</v>
      </c>
      <c r="L905" s="72" t="str">
        <f>IFERROR(__xludf.DUMMYFUNCTION("""COMPUTED_VALUE"""),"RANDY: REPLACED CLUTCH LINING ANG RELEASE BEARING")</f>
        <v>RANDY: REPLACED CLUTCH LINING ANG RELEASE BEARING</v>
      </c>
      <c r="M905" s="2"/>
      <c r="N905" s="2" t="str">
        <f>IFERROR(__xludf.DUMMYFUNCTION("""COMPUTED_VALUE"""),"PARTS: CLUTCH DISC ASSY, RELEASE BEARING
WITH PAYMENT AGREEMENT")</f>
        <v>PARTS: CLUTCH DISC ASSY, RELEASE BEARING
WITH PAYMENT AGREEMENT</v>
      </c>
      <c r="O905" s="2" t="str">
        <f>IFERROR(__xludf.DUMMYFUNCTION("""COMPUTED_VALUE"""),"RANDY ARANETA")</f>
        <v>RANDY ARANETA</v>
      </c>
      <c r="P905" s="2"/>
      <c r="Q905" s="2"/>
      <c r="R905" s="74">
        <f>IFERROR(__xludf.DUMMYFUNCTION("""COMPUTED_VALUE"""),45824.0)</f>
        <v>45824</v>
      </c>
      <c r="S905" s="2" t="str">
        <f>IFERROR(__xludf.DUMMYFUNCTION("""COMPUTED_VALUE"""),"RANDY ARANETA")</f>
        <v>RANDY ARANETA</v>
      </c>
      <c r="T905" s="73">
        <f>IFERROR(__xludf.DUMMYFUNCTION("""COMPUTED_VALUE"""),28500.0)</f>
        <v>28500</v>
      </c>
      <c r="U905" s="73" t="str">
        <f>IFERROR(__xludf.DUMMYFUNCTION("""COMPUTED_VALUE""")," NO CHARGE ")</f>
        <v>NO CHARGE</v>
      </c>
      <c r="V905" s="2"/>
      <c r="W905" s="2" t="str">
        <f>IFERROR(__xludf.DUMMYFUNCTION("""COMPUTED_VALUE"""),"N/A")</f>
        <v>N/A</v>
      </c>
      <c r="X905" s="2" t="str">
        <f>IFERROR(__xludf.DUMMYFUNCTION("""COMPUTED_VALUE"""),"N/A")</f>
        <v>N/A</v>
      </c>
      <c r="Y905" s="2"/>
      <c r="Z905" s="2"/>
      <c r="AA905" s="2"/>
      <c r="AB905" s="2"/>
      <c r="AC905" s="2"/>
      <c r="AD905" s="2"/>
      <c r="AE905" s="2"/>
      <c r="AF905" s="2"/>
      <c r="AG905" s="2"/>
      <c r="AH905" s="2"/>
      <c r="AI905" s="2"/>
      <c r="AJ905" s="2" t="str">
        <f>IFERROR(__xludf.DUMMYFUNCTION("""COMPUTED_VALUE"""),"Malabor")</f>
        <v>Malabor</v>
      </c>
      <c r="AK905" s="2" t="str">
        <f>IFERROR(__xludf.DUMMYFUNCTION("""COMPUTED_VALUE"""),"Tibiao")</f>
        <v>Tibiao</v>
      </c>
      <c r="AL905" s="2" t="str">
        <f>IFERROR(__xludf.DUMMYFUNCTION("""COMPUTED_VALUE"""),"Antique")</f>
        <v>Antique</v>
      </c>
      <c r="AM905" s="2">
        <f>IFERROR(__xludf.DUMMYFUNCTION("""COMPUTED_VALUE"""),6.0)</f>
        <v>6</v>
      </c>
      <c r="AN905" s="2" t="str">
        <f>IFERROR(__xludf.DUMMYFUNCTION("""COMPUTED_VALUE"""),"RCEF 23-09-21 Rebidding")</f>
        <v>RCEF 23-09-21 Rebidding</v>
      </c>
      <c r="AO905" s="2">
        <f>IFERROR(__xludf.DUMMYFUNCTION("""COMPUTED_VALUE"""),4.0)</f>
        <v>4</v>
      </c>
      <c r="AP905" s="2"/>
      <c r="AQ905" s="2"/>
      <c r="AR905" s="2"/>
      <c r="AS905" s="2"/>
      <c r="AT905" s="2"/>
      <c r="AU905" s="2"/>
      <c r="AV905" s="2"/>
      <c r="AW905" s="2"/>
      <c r="AX905" s="2"/>
      <c r="AY905" s="2"/>
      <c r="AZ905" s="2"/>
      <c r="BA905" s="2"/>
      <c r="BB905" s="2"/>
    </row>
    <row r="906">
      <c r="A906" s="2">
        <f>IFERROR(__xludf.DUMMYFUNCTION("""COMPUTED_VALUE"""),902.0)</f>
        <v>902</v>
      </c>
      <c r="B906" s="2" t="str">
        <f>IFERROR(__xludf.DUMMYFUNCTION("""COMPUTED_VALUE"""),"COMPLETED")</f>
        <v>COMPLETED</v>
      </c>
      <c r="C906" s="74">
        <f>IFERROR(__xludf.DUMMYFUNCTION("""COMPUTED_VALUE"""),45771.0)</f>
        <v>45771</v>
      </c>
      <c r="D906" s="71" t="str">
        <f>IFERROR(__xludf.DUMMYFUNCTION("""COMPUTED_VALUE"""),"United Gainza Farmers Association (UGFA)")</f>
        <v>United Gainza Farmers Association (UGFA)</v>
      </c>
      <c r="E906" s="71" t="str">
        <f>IFERROR(__xludf.DUMMYFUNCTION("""COMPUTED_VALUE"""),"Sampaloc, Gainza, CAMARINES SUR")</f>
        <v>Sampaloc, Gainza, CAMARINES SUR</v>
      </c>
      <c r="F906" s="2"/>
      <c r="G906" s="2"/>
      <c r="H906" s="2">
        <f>IFERROR(__xludf.DUMMYFUNCTION("""COMPUTED_VALUE"""),50.0)</f>
        <v>50</v>
      </c>
      <c r="I906" s="72" t="str">
        <f>IFERROR(__xludf.DUMMYFUNCTION("""COMPUTED_VALUE"""),"PMS")</f>
        <v>PMS</v>
      </c>
      <c r="J906" s="72" t="str">
        <f>IFERROR(__xludf.DUMMYFUNCTION("""COMPUTED_VALUE"""),"PMS")</f>
        <v>PMS</v>
      </c>
      <c r="K906" s="72" t="str">
        <f>IFERROR(__xludf.DUMMYFUNCTION("""COMPUTED_VALUE"""),"JTT:  1ST PMS (FREE)")</f>
        <v>JTT:  1ST PMS (FREE)</v>
      </c>
      <c r="L906" s="72" t="str">
        <f>IFERROR(__xludf.DUMMYFUNCTION("""COMPUTED_VALUE"""),"JTT: 1ST PMS DONE")</f>
        <v>JTT: 1ST PMS DONE</v>
      </c>
      <c r="M906" s="2"/>
      <c r="N906" s="2" t="str">
        <f>IFERROR(__xludf.DUMMYFUNCTION("""COMPUTED_VALUE"""),"PARTS: OIL FILTER, ENGINE OIL")</f>
        <v>PARTS: OIL FILTER, ENGINE OIL</v>
      </c>
      <c r="O906" s="2">
        <f>IFERROR(__xludf.DUMMYFUNCTION("""COMPUTED_VALUE"""),20.0)</f>
        <v>20</v>
      </c>
      <c r="P906" s="2"/>
      <c r="Q906" s="2"/>
      <c r="R906" s="74">
        <f>IFERROR(__xludf.DUMMYFUNCTION("""COMPUTED_VALUE"""),45714.0)</f>
        <v>45714</v>
      </c>
      <c r="S906" s="2" t="str">
        <f>IFERROR(__xludf.DUMMYFUNCTION("""COMPUTED_VALUE"""),"JTT/JAH/FST")</f>
        <v>JTT/JAH/FST</v>
      </c>
      <c r="T906" s="73" t="str">
        <f>IFERROR(__xludf.DUMMYFUNCTION("""COMPUTED_VALUE""")," N/A ")</f>
        <v>N/A</v>
      </c>
      <c r="U906" s="73" t="str">
        <f>IFERROR(__xludf.DUMMYFUNCTION("""COMPUTED_VALUE""")," NO CHARGE ")</f>
        <v>NO CHARGE</v>
      </c>
      <c r="V906" s="2"/>
      <c r="W906" s="2" t="str">
        <f>IFERROR(__xludf.DUMMYFUNCTION("""COMPUTED_VALUE"""),"N/A")</f>
        <v>N/A</v>
      </c>
      <c r="X906" s="2" t="str">
        <f>IFERROR(__xludf.DUMMYFUNCTION("""COMPUTED_VALUE"""),"N/A")</f>
        <v>N/A</v>
      </c>
      <c r="Y906" s="2"/>
      <c r="Z906" s="2"/>
      <c r="AA906" s="2"/>
      <c r="AB906" s="2"/>
      <c r="AC906" s="2"/>
      <c r="AD906" s="2"/>
      <c r="AE906" s="2"/>
      <c r="AF906" s="2"/>
      <c r="AG906" s="2"/>
      <c r="AH906" s="2"/>
      <c r="AI906" s="2"/>
      <c r="AJ906" s="2" t="str">
        <f>IFERROR(__xludf.DUMMYFUNCTION("""COMPUTED_VALUE"""),"Sampaloc")</f>
        <v>Sampaloc</v>
      </c>
      <c r="AK906" s="2" t="str">
        <f>IFERROR(__xludf.DUMMYFUNCTION("""COMPUTED_VALUE"""),"Gainza")</f>
        <v>Gainza</v>
      </c>
      <c r="AL906" s="2" t="str">
        <f>IFERROR(__xludf.DUMMYFUNCTION("""COMPUTED_VALUE"""),"Camarines Sur")</f>
        <v>Camarines Sur</v>
      </c>
      <c r="AM906" s="2">
        <f>IFERROR(__xludf.DUMMYFUNCTION("""COMPUTED_VALUE"""),5.0)</f>
        <v>5</v>
      </c>
      <c r="AN906" s="2" t="str">
        <f>IFERROR(__xludf.DUMMYFUNCTION("""COMPUTED_VALUE"""),"RCEF 24-04-15")</f>
        <v>RCEF 24-04-15</v>
      </c>
      <c r="AO906" s="2">
        <f>IFERROR(__xludf.DUMMYFUNCTION("""COMPUTED_VALUE"""),7.0)</f>
        <v>7</v>
      </c>
      <c r="AP906" s="2" t="str">
        <f>IFERROR(__xludf.DUMMYFUNCTION("""COMPUTED_VALUE"""),"FREE PMS")</f>
        <v>FREE PMS</v>
      </c>
      <c r="AQ906" s="2"/>
      <c r="AR906" s="2"/>
      <c r="AS906" s="2"/>
      <c r="AT906" s="2"/>
      <c r="AU906" s="2"/>
      <c r="AV906" s="2"/>
      <c r="AW906" s="2"/>
      <c r="AX906" s="2"/>
      <c r="AY906" s="2"/>
      <c r="AZ906" s="2"/>
      <c r="BA906" s="2"/>
      <c r="BB906" s="2"/>
    </row>
    <row r="907">
      <c r="A907" s="2">
        <f>IFERROR(__xludf.DUMMYFUNCTION("""COMPUTED_VALUE"""),903.0)</f>
        <v>903</v>
      </c>
      <c r="B907" s="2" t="str">
        <f>IFERROR(__xludf.DUMMYFUNCTION("""COMPUTED_VALUE"""),"COMPLETED")</f>
        <v>COMPLETED</v>
      </c>
      <c r="C907" s="74">
        <f>IFERROR(__xludf.DUMMYFUNCTION("""COMPUTED_VALUE"""),45772.0)</f>
        <v>45772</v>
      </c>
      <c r="D907" s="71" t="str">
        <f>IFERROR(__xludf.DUMMYFUNCTION("""COMPUTED_VALUE"""),"BELEN FARMERS &amp; FARM WORKER'S ASSN., INC")</f>
        <v>BELEN FARMERS &amp; FARM WORKER'S ASSN., INC</v>
      </c>
      <c r="E907" s="71" t="str">
        <f>IFERROR(__xludf.DUMMYFUNCTION("""COMPUTED_VALUE"""),"Belen (Malabog), Tiwi, ALBAY")</f>
        <v>Belen (Malabog), Tiwi, ALBAY</v>
      </c>
      <c r="F907" s="2" t="str">
        <f>IFERROR(__xludf.DUMMYFUNCTION("""COMPUTED_VALUE"""),"Edmundo Cortuna Belen")</f>
        <v>Edmundo Cortuna Belen</v>
      </c>
      <c r="G907" s="2">
        <f>IFERROR(__xludf.DUMMYFUNCTION("""COMPUTED_VALUE"""),9.062396605E9)</f>
        <v>9062396605</v>
      </c>
      <c r="H907" s="2">
        <f>IFERROR(__xludf.DUMMYFUNCTION("""COMPUTED_VALUE"""),49.0)</f>
        <v>49</v>
      </c>
      <c r="I907" s="72" t="str">
        <f>IFERROR(__xludf.DUMMYFUNCTION("""COMPUTED_VALUE"""),"REPAIR - TRACTOR")</f>
        <v>REPAIR - TRACTOR</v>
      </c>
      <c r="J907" s="72" t="str">
        <f>IFERROR(__xludf.DUMMYFUNCTION("""COMPUTED_VALUE"""),"PMS / Check up")</f>
        <v>PMS / Check up</v>
      </c>
      <c r="K907" s="72" t="str">
        <f>IFERROR(__xludf.DUMMYFUNCTION("""COMPUTED_VALUE"""),"KFS: Check radiator/tractor (overheating)
1ST PMS (FREE)")</f>
        <v>KFS: Check radiator/tractor (overheating)
1ST PMS (FREE)</v>
      </c>
      <c r="L907" s="72" t="str">
        <f>IFERROR(__xludf.DUMMYFUNCTION("""COMPUTED_VALUE"""),"JTT: NO DAMAGE AND RADIATOR, NI REMOVE KO LANG ANG THERMOSTAT, OK NA ANG UNIT.
1ST PMS DONE")</f>
        <v>JTT: NO DAMAGE AND RADIATOR, NI REMOVE KO LANG ANG THERMOSTAT, OK NA ANG UNIT.
1ST PMS DONE</v>
      </c>
      <c r="M907" s="2"/>
      <c r="N907" s="2" t="str">
        <f>IFERROR(__xludf.DUMMYFUNCTION("""COMPUTED_VALUE"""),"PARTS: OIL FILTER, ENGINE OIL")</f>
        <v>PARTS: OIL FILTER, ENGINE OIL</v>
      </c>
      <c r="O907" s="2">
        <f>IFERROR(__xludf.DUMMYFUNCTION("""COMPUTED_VALUE"""),24.0)</f>
        <v>24</v>
      </c>
      <c r="P907" s="2"/>
      <c r="Q907" s="2"/>
      <c r="R907" s="74">
        <f>IFERROR(__xludf.DUMMYFUNCTION("""COMPUTED_VALUE"""),45796.0)</f>
        <v>45796</v>
      </c>
      <c r="S907" s="2" t="str">
        <f>IFERROR(__xludf.DUMMYFUNCTION("""COMPUTED_VALUE"""),"JTT")</f>
        <v>JTT</v>
      </c>
      <c r="T907" s="73" t="str">
        <f>IFERROR(__xludf.DUMMYFUNCTION("""COMPUTED_VALUE""")," N/A ")</f>
        <v>N/A</v>
      </c>
      <c r="U907" s="73" t="str">
        <f>IFERROR(__xludf.DUMMYFUNCTION("""COMPUTED_VALUE""")," NO CHARGE ")</f>
        <v>NO CHARGE</v>
      </c>
      <c r="V907" s="2"/>
      <c r="W907" s="2" t="str">
        <f>IFERROR(__xludf.DUMMYFUNCTION("""COMPUTED_VALUE"""),"N/A")</f>
        <v>N/A</v>
      </c>
      <c r="X907" s="2" t="str">
        <f>IFERROR(__xludf.DUMMYFUNCTION("""COMPUTED_VALUE"""),"N/A")</f>
        <v>N/A</v>
      </c>
      <c r="Y907" s="2"/>
      <c r="Z907" s="2"/>
      <c r="AA907" s="2"/>
      <c r="AB907" s="2"/>
      <c r="AC907" s="2"/>
      <c r="AD907" s="2"/>
      <c r="AE907" s="2"/>
      <c r="AF907" s="2"/>
      <c r="AG907" s="2"/>
      <c r="AH907" s="2"/>
      <c r="AI907" s="2"/>
      <c r="AJ907" s="2" t="str">
        <f>IFERROR(__xludf.DUMMYFUNCTION("""COMPUTED_VALUE"""),"Belen (Malabog)")</f>
        <v>Belen (Malabog)</v>
      </c>
      <c r="AK907" s="2" t="str">
        <f>IFERROR(__xludf.DUMMYFUNCTION("""COMPUTED_VALUE"""),"Tiwi")</f>
        <v>Tiwi</v>
      </c>
      <c r="AL907" s="2" t="str">
        <f>IFERROR(__xludf.DUMMYFUNCTION("""COMPUTED_VALUE"""),"Albay")</f>
        <v>Albay</v>
      </c>
      <c r="AM907" s="2">
        <f>IFERROR(__xludf.DUMMYFUNCTION("""COMPUTED_VALUE"""),5.0)</f>
        <v>5</v>
      </c>
      <c r="AN907" s="2" t="str">
        <f>IFERROR(__xludf.DUMMYFUNCTION("""COMPUTED_VALUE"""),"RCEF 24-04-15")</f>
        <v>RCEF 24-04-15</v>
      </c>
      <c r="AO907" s="2">
        <f>IFERROR(__xludf.DUMMYFUNCTION("""COMPUTED_VALUE"""),7.0)</f>
        <v>7</v>
      </c>
      <c r="AP907" s="2" t="str">
        <f>IFERROR(__xludf.DUMMYFUNCTION("""COMPUTED_VALUE"""),"FREE PMS")</f>
        <v>FREE PMS</v>
      </c>
      <c r="AQ907" s="2"/>
      <c r="AR907" s="2"/>
      <c r="AS907" s="2"/>
      <c r="AT907" s="2"/>
      <c r="AU907" s="2"/>
      <c r="AV907" s="2"/>
      <c r="AW907" s="2"/>
      <c r="AX907" s="2"/>
      <c r="AY907" s="2"/>
      <c r="AZ907" s="2"/>
      <c r="BA907" s="2"/>
      <c r="BB907" s="2"/>
    </row>
    <row r="908">
      <c r="A908" s="2">
        <f>IFERROR(__xludf.DUMMYFUNCTION("""COMPUTED_VALUE"""),904.0)</f>
        <v>904</v>
      </c>
      <c r="B908" s="2" t="str">
        <f>IFERROR(__xludf.DUMMYFUNCTION("""COMPUTED_VALUE"""),"COMPLETED")</f>
        <v>COMPLETED</v>
      </c>
      <c r="C908" s="74">
        <f>IFERROR(__xludf.DUMMYFUNCTION("""COMPUTED_VALUE"""),45773.0)</f>
        <v>45773</v>
      </c>
      <c r="D908" s="71" t="str">
        <f>IFERROR(__xludf.DUMMYFUNCTION("""COMPUTED_VALUE"""),"DIAGYAN MULTI FARMERS ASSOCIATION")</f>
        <v>DIAGYAN MULTI FARMERS ASSOCIATION</v>
      </c>
      <c r="E908" s="71" t="str">
        <f>IFERROR(__xludf.DUMMYFUNCTION("""COMPUTED_VALUE"""),"DIAGYAN, DILASAG, AURORA")</f>
        <v>DIAGYAN, DILASAG, AURORA</v>
      </c>
      <c r="F908" s="2" t="str">
        <f>IFERROR(__xludf.DUMMYFUNCTION("""COMPUTED_VALUE"""),"Vincent Bio")</f>
        <v>Vincent Bio</v>
      </c>
      <c r="G908" s="2">
        <f>IFERROR(__xludf.DUMMYFUNCTION("""COMPUTED_VALUE"""),9.539314399E9)</f>
        <v>9539314399</v>
      </c>
      <c r="H908" s="2">
        <f>IFERROR(__xludf.DUMMYFUNCTION("""COMPUTED_VALUE"""),635.0)</f>
        <v>635</v>
      </c>
      <c r="I908" s="72" t="str">
        <f>IFERROR(__xludf.DUMMYFUNCTION("""COMPUTED_VALUE"""),"PMS")</f>
        <v>PMS</v>
      </c>
      <c r="J908" s="72" t="str">
        <f>IFERROR(__xludf.DUMMYFUNCTION("""COMPUTED_VALUE"""),"PMS")</f>
        <v>PMS</v>
      </c>
      <c r="K908" s="72" t="str">
        <f>IFERROR(__xludf.DUMMYFUNCTION("""COMPUTED_VALUE"""),"JHP: Change oil
Oil seal front drive set Crankcase cover leak
ACS: 5/20/25: ROTAVATOR BLADES 48PCS
")</f>
        <v>JHP: Change oil
Oil seal front drive set Crankcase cover leak
ACS: 5/20/25: ROTAVATOR BLADES 48PCS
</v>
      </c>
      <c r="L908" s="72" t="str">
        <f>IFERROR(__xludf.DUMMYFUNCTION("""COMPUTED_VALUE"""),"ACS: REPLACED ENGINE OIL AND OIL FILTER , REPAIR OIL LEAKING , CHECK THE FRONT DRIVE BECAUSE THERE IS A NOISE")</f>
        <v>ACS: REPLACED ENGINE OIL AND OIL FILTER , REPAIR OIL LEAKING , CHECK THE FRONT DRIVE BECAUSE THERE IS A NOISE</v>
      </c>
      <c r="M908" s="2"/>
      <c r="N908" s="2" t="str">
        <f>IFERROR(__xludf.DUMMYFUNCTION("""COMPUTED_VALUE"""),"PARTS: 2 OIL FILTER, HYDRAULIC FILTER")</f>
        <v>PARTS: 2 OIL FILTER, HYDRAULIC FILTER</v>
      </c>
      <c r="O908" s="2">
        <f>IFERROR(__xludf.DUMMYFUNCTION("""COMPUTED_VALUE"""),1244.0)</f>
        <v>1244</v>
      </c>
      <c r="P908" s="2"/>
      <c r="Q908" s="2"/>
      <c r="R908" s="74">
        <f>IFERROR(__xludf.DUMMYFUNCTION("""COMPUTED_VALUE"""),45799.0)</f>
        <v>45799</v>
      </c>
      <c r="S908" s="2" t="str">
        <f>IFERROR(__xludf.DUMMYFUNCTION("""COMPUTED_VALUE"""),"JHP/ACS")</f>
        <v>JHP/ACS</v>
      </c>
      <c r="T908" s="73">
        <f>IFERROR(__xludf.DUMMYFUNCTION("""COMPUTED_VALUE"""),6000.0)</f>
        <v>6000</v>
      </c>
      <c r="U908" s="73" t="str">
        <f>IFERROR(__xludf.DUMMYFUNCTION("""COMPUTED_VALUE""")," REMITTED ")</f>
        <v>REMITTED</v>
      </c>
      <c r="V908" s="2"/>
      <c r="W908" s="2">
        <f>IFERROR(__xludf.DUMMYFUNCTION("""COMPUTED_VALUE"""),1077.0)</f>
        <v>1077</v>
      </c>
      <c r="X908" s="2">
        <f>IFERROR(__xludf.DUMMYFUNCTION("""COMPUTED_VALUE"""),1416.0)</f>
        <v>1416</v>
      </c>
      <c r="Y908" s="2"/>
      <c r="Z908" s="2"/>
      <c r="AA908" s="2"/>
      <c r="AB908" s="2"/>
      <c r="AC908" s="2"/>
      <c r="AD908" s="2"/>
      <c r="AE908" s="2"/>
      <c r="AF908" s="2"/>
      <c r="AG908" s="2"/>
      <c r="AH908" s="2"/>
      <c r="AI908" s="2"/>
      <c r="AJ908" s="2" t="str">
        <f>IFERROR(__xludf.DUMMYFUNCTION("""COMPUTED_VALUE"""),"Diagyan")</f>
        <v>Diagyan</v>
      </c>
      <c r="AK908" s="2" t="str">
        <f>IFERROR(__xludf.DUMMYFUNCTION("""COMPUTED_VALUE"""),"Dilasag")</f>
        <v>Dilasag</v>
      </c>
      <c r="AL908" s="2" t="str">
        <f>IFERROR(__xludf.DUMMYFUNCTION("""COMPUTED_VALUE"""),"Aurora")</f>
        <v>Aurora</v>
      </c>
      <c r="AM908" s="2">
        <f>IFERROR(__xludf.DUMMYFUNCTION("""COMPUTED_VALUE"""),3.0)</f>
        <v>3</v>
      </c>
      <c r="AN908" s="2" t="str">
        <f>IFERROR(__xludf.DUMMYFUNCTION("""COMPUTED_VALUE"""),"RCEF 23-09-21 Rebidding")</f>
        <v>RCEF 23-09-21 Rebidding</v>
      </c>
      <c r="AO908" s="2">
        <f>IFERROR(__xludf.DUMMYFUNCTION("""COMPUTED_VALUE"""),9.0)</f>
        <v>9</v>
      </c>
      <c r="AP908" s="2"/>
      <c r="AQ908" s="2"/>
      <c r="AR908" s="2"/>
      <c r="AS908" s="2"/>
      <c r="AT908" s="2"/>
      <c r="AU908" s="2"/>
      <c r="AV908" s="2"/>
      <c r="AW908" s="2"/>
      <c r="AX908" s="2"/>
      <c r="AY908" s="2"/>
      <c r="AZ908" s="2"/>
      <c r="BA908" s="2"/>
      <c r="BB908" s="2"/>
    </row>
    <row r="909">
      <c r="A909" s="2">
        <f>IFERROR(__xludf.DUMMYFUNCTION("""COMPUTED_VALUE"""),905.0)</f>
        <v>905</v>
      </c>
      <c r="B909" s="2" t="str">
        <f>IFERROR(__xludf.DUMMYFUNCTION("""COMPUTED_VALUE"""),"PENDING")</f>
        <v>PENDING</v>
      </c>
      <c r="C909" s="74">
        <f>IFERROR(__xludf.DUMMYFUNCTION("""COMPUTED_VALUE"""),45776.0)</f>
        <v>45776</v>
      </c>
      <c r="D909" s="71" t="str">
        <f>IFERROR(__xludf.DUMMYFUNCTION("""COMPUTED_VALUE"""),"BALINGAYAN FARMERS ASSOCIATION")</f>
        <v>BALINGAYAN FARMERS ASSOCIATION</v>
      </c>
      <c r="E909" s="71" t="str">
        <f>IFERROR(__xludf.DUMMYFUNCTION("""COMPUTED_VALUE"""),"Balingayan, Calapan City, Oriental Mindoro")</f>
        <v>Balingayan, Calapan City, Oriental Mindoro</v>
      </c>
      <c r="F909" s="2"/>
      <c r="G909" s="2">
        <f>IFERROR(__xludf.DUMMYFUNCTION("""COMPUTED_VALUE"""),9.308406514E9)</f>
        <v>9308406514</v>
      </c>
      <c r="H909" s="2">
        <f>IFERROR(__xludf.DUMMYFUNCTION("""COMPUTED_VALUE"""),344.0)</f>
        <v>344</v>
      </c>
      <c r="I909" s="72" t="str">
        <f>IFERROR(__xludf.DUMMYFUNCTION("""COMPUTED_VALUE"""),"REPAIR - TRACTOR")</f>
        <v>REPAIR - TRACTOR</v>
      </c>
      <c r="J909" s="72" t="str">
        <f>IFERROR(__xludf.DUMMYFUNCTION("""COMPUTED_VALUE"""),"PTO - Valve Assy")</f>
        <v>PTO - Valve Assy</v>
      </c>
      <c r="K909" s="72" t="str">
        <f>IFERROR(__xludf.DUMMYFUNCTION("""COMPUTED_VALUE"""),"JTT: Need na parts pto valve
Ayaw umikot ang pto
PARTS: PTO VALVE SOLINIOD
RCG: PINALITAN NA NG FARMER NG UNANG SOLINOID NGUNIT GANUN PADIN ANG SIRA KAYA ANG POSIBLENG KAYLANGAN NANG PYESA AY PTO VALVE ASSY")</f>
        <v>JTT: Need na parts pto valve
Ayaw umikot ang pto
PARTS: PTO VALVE SOLINIOD
RCG: PINALITAN NA NG FARMER NG UNANG SOLINOID NGUNIT GANUN PADIN ANG SIRA KAYA ANG POSIBLENG KAYLANGAN NANG PYESA AY PTO VALVE ASSY</v>
      </c>
      <c r="L909" s="72" t="str">
        <f>IFERROR(__xludf.DUMMYFUNCTION("""COMPUTED_VALUE"""),"- PARTS REQUESTED - DONE PO-  NO PARTS AVL
RCG: WALA NG BUDGET 
PTO VALVE ASSY- 38,460")</f>
        <v>- PARTS REQUESTED - DONE PO-  NO PARTS AVL
RCG: WALA NG BUDGET 
PTO VALVE ASSY- 38,460</v>
      </c>
      <c r="M909" s="2" t="str">
        <f>IFERROR(__xludf.DUMMYFUNCTION("""COMPUTED_VALUE"""),"PTO VALVE ASSY -NTA2050000")</f>
        <v>PTO VALVE ASSY -NTA2050000</v>
      </c>
      <c r="N909" s="2"/>
      <c r="O909" s="2"/>
      <c r="P909" s="2"/>
      <c r="Q909" s="2"/>
      <c r="R909" s="2"/>
      <c r="S909" s="2"/>
      <c r="T909" s="2"/>
      <c r="U909" s="2"/>
      <c r="V909" s="2"/>
      <c r="W909" s="2"/>
      <c r="X909" s="2"/>
      <c r="Y909" s="2"/>
      <c r="Z909" s="2"/>
      <c r="AA909" s="2"/>
      <c r="AB909" s="2"/>
      <c r="AC909" s="2"/>
      <c r="AD909" s="2"/>
      <c r="AE909" s="2"/>
      <c r="AF909" s="2"/>
      <c r="AG909" s="2"/>
      <c r="AH909" s="2"/>
      <c r="AI909" s="2"/>
      <c r="AJ909" s="2" t="str">
        <f>IFERROR(__xludf.DUMMYFUNCTION("""COMPUTED_VALUE"""),"Balingayan")</f>
        <v>Balingayan</v>
      </c>
      <c r="AK909" s="2" t="str">
        <f>IFERROR(__xludf.DUMMYFUNCTION("""COMPUTED_VALUE"""),"Calapan City")</f>
        <v>Calapan City</v>
      </c>
      <c r="AL909" s="2" t="str">
        <f>IFERROR(__xludf.DUMMYFUNCTION("""COMPUTED_VALUE"""),"Oriental Mindoro")</f>
        <v>Oriental Mindoro</v>
      </c>
      <c r="AM909" s="2" t="str">
        <f>IFERROR(__xludf.DUMMYFUNCTION("""COMPUTED_VALUE"""),"4B")</f>
        <v>4B</v>
      </c>
      <c r="AN909" s="2" t="str">
        <f>IFERROR(__xludf.DUMMYFUNCTION("""COMPUTED_VALUE"""),"RCEF 23-08-20 Rebidding")</f>
        <v>RCEF 23-08-20 Rebidding</v>
      </c>
      <c r="AO909" s="2">
        <f>IFERROR(__xludf.DUMMYFUNCTION("""COMPUTED_VALUE"""),1.0)</f>
        <v>1</v>
      </c>
      <c r="AP909" s="2"/>
      <c r="AQ909" s="2"/>
      <c r="AR909" s="2" t="str">
        <f>IFERROR(__xludf.DUMMYFUNCTION("""COMPUTED_VALUE"""),"PTO VALVE ASSY")</f>
        <v>PTO VALVE ASSY</v>
      </c>
      <c r="AS909" s="2"/>
      <c r="AT909" s="2"/>
      <c r="AU909" s="2"/>
      <c r="AV909" s="2"/>
      <c r="AW909" s="2"/>
      <c r="AX909" s="2"/>
      <c r="AY909" s="2"/>
      <c r="AZ909" s="2"/>
      <c r="BA909" s="2"/>
      <c r="BB909" s="2"/>
    </row>
    <row r="910">
      <c r="A910" s="2">
        <f>IFERROR(__xludf.DUMMYFUNCTION("""COMPUTED_VALUE"""),906.0)</f>
        <v>906</v>
      </c>
      <c r="B910" s="2" t="str">
        <f>IFERROR(__xludf.DUMMYFUNCTION("""COMPUTED_VALUE"""),"COMPLETED")</f>
        <v>COMPLETED</v>
      </c>
      <c r="C910" s="74">
        <f>IFERROR(__xludf.DUMMYFUNCTION("""COMPUTED_VALUE"""),45777.0)</f>
        <v>45777</v>
      </c>
      <c r="D910" s="71" t="str">
        <f>IFERROR(__xludf.DUMMYFUNCTION("""COMPUTED_VALUE"""),"PALAYAN (PINAMALAYAN) FARMER'S ASSOCIATION, INC.")</f>
        <v>PALAYAN (PINAMALAYAN) FARMER'S ASSOCIATION, INC.</v>
      </c>
      <c r="E910" s="71" t="str">
        <f>IFERROR(__xludf.DUMMYFUNCTION("""COMPUTED_VALUE"""),"Palayan, Pinamalayan, ORIENTAL MINDORO")</f>
        <v>Palayan, Pinamalayan, ORIENTAL MINDORO</v>
      </c>
      <c r="F910" s="2" t="str">
        <f>IFERROR(__xludf.DUMMYFUNCTION("""COMPUTED_VALUE"""),"Rey F Ledesma")</f>
        <v>Rey F Ledesma</v>
      </c>
      <c r="G910" s="2">
        <f>IFERROR(__xludf.DUMMYFUNCTION("""COMPUTED_VALUE"""),9.634077673E9)</f>
        <v>9634077673</v>
      </c>
      <c r="H910" s="2">
        <f>IFERROR(__xludf.DUMMYFUNCTION("""COMPUTED_VALUE"""),56.0)</f>
        <v>56</v>
      </c>
      <c r="I910" s="72" t="str">
        <f>IFERROR(__xludf.DUMMYFUNCTION("""COMPUTED_VALUE"""),"REPAIR - LOADER")</f>
        <v>REPAIR - LOADER</v>
      </c>
      <c r="J910" s="72" t="str">
        <f>IFERROR(__xludf.DUMMYFUNCTION("""COMPUTED_VALUE"""),"Leak")</f>
        <v>Leak</v>
      </c>
      <c r="K910" s="72" t="str">
        <f>IFERROR(__xludf.DUMMYFUNCTION("""COMPUTED_VALUE"""),"MYK: maingay n boom ng loader up &amp; down at may tagas ng highdrolik oil s ilalim ng transmassion")</f>
        <v>MYK: maingay n boom ng loader up &amp; down at may tagas ng highdrolik oil s ilalim ng transmassion</v>
      </c>
      <c r="L910" s="72" t="str">
        <f>IFERROR(__xludf.DUMMYFUNCTION("""COMPUTED_VALUE"""),"RCG: HINIKPITAN ANG BOLT SA LEAK SA ILALIM, NI SUDGGEST LANG KUNG NASA 500 KILO ANG PAMPABIGAT SA LIKO D DAPAT ANG BIGAT LANG DIN NG KANILANG BUBUHATIN AY NASA 500 KILO LANG DIN.")</f>
        <v>RCG: HINIKPITAN ANG BOLT SA LEAK SA ILALIM, NI SUDGGEST LANG KUNG NASA 500 KILO ANG PAMPABIGAT SA LIKO D DAPAT ANG BIGAT LANG DIN NG KANILANG BUBUHATIN AY NASA 500 KILO LANG DIN.</v>
      </c>
      <c r="M910" s="2"/>
      <c r="N910" s="2"/>
      <c r="O910" s="2">
        <f>IFERROR(__xludf.DUMMYFUNCTION("""COMPUTED_VALUE"""),157.0)</f>
        <v>157</v>
      </c>
      <c r="P910" s="2"/>
      <c r="Q910" s="2"/>
      <c r="R910" s="74">
        <f>IFERROR(__xludf.DUMMYFUNCTION("""COMPUTED_VALUE"""),45798.0)</f>
        <v>45798</v>
      </c>
      <c r="S910" s="2" t="str">
        <f>IFERROR(__xludf.DUMMYFUNCTION("""COMPUTED_VALUE"""),"RBS/RCG")</f>
        <v>RBS/RCG</v>
      </c>
      <c r="T910" s="73" t="str">
        <f>IFERROR(__xludf.DUMMYFUNCTION("""COMPUTED_VALUE""")," N/A ")</f>
        <v>N/A</v>
      </c>
      <c r="U910" s="73" t="str">
        <f>IFERROR(__xludf.DUMMYFUNCTION("""COMPUTED_VALUE""")," NO CHARGE ")</f>
        <v>NO CHARGE</v>
      </c>
      <c r="V910" s="2"/>
      <c r="W910" s="2" t="str">
        <f>IFERROR(__xludf.DUMMYFUNCTION("""COMPUTED_VALUE"""),"N/A")</f>
        <v>N/A</v>
      </c>
      <c r="X910" s="2" t="str">
        <f>IFERROR(__xludf.DUMMYFUNCTION("""COMPUTED_VALUE"""),"N/A")</f>
        <v>N/A</v>
      </c>
      <c r="Y910" s="2"/>
      <c r="Z910" s="2"/>
      <c r="AA910" s="2"/>
      <c r="AB910" s="2"/>
      <c r="AC910" s="2"/>
      <c r="AD910" s="2"/>
      <c r="AE910" s="2"/>
      <c r="AF910" s="2"/>
      <c r="AG910" s="2"/>
      <c r="AH910" s="2"/>
      <c r="AI910" s="2"/>
      <c r="AJ910" s="2" t="str">
        <f>IFERROR(__xludf.DUMMYFUNCTION("""COMPUTED_VALUE"""),"Palayan")</f>
        <v>Palayan</v>
      </c>
      <c r="AK910" s="2" t="str">
        <f>IFERROR(__xludf.DUMMYFUNCTION("""COMPUTED_VALUE"""),"Pinamalayan")</f>
        <v>Pinamalayan</v>
      </c>
      <c r="AL910" s="2" t="str">
        <f>IFERROR(__xludf.DUMMYFUNCTION("""COMPUTED_VALUE"""),"Oriental Mindoro")</f>
        <v>Oriental Mindoro</v>
      </c>
      <c r="AM910" s="2" t="str">
        <f>IFERROR(__xludf.DUMMYFUNCTION("""COMPUTED_VALUE"""),"4B")</f>
        <v>4B</v>
      </c>
      <c r="AN910" s="2" t="str">
        <f>IFERROR(__xludf.DUMMYFUNCTION("""COMPUTED_VALUE"""),"RCEF 24-04-15")</f>
        <v>RCEF 24-04-15</v>
      </c>
      <c r="AO910" s="2">
        <f>IFERROR(__xludf.DUMMYFUNCTION("""COMPUTED_VALUE"""),7.0)</f>
        <v>7</v>
      </c>
      <c r="AP910" s="2" t="str">
        <f>IFERROR(__xludf.DUMMYFUNCTION("""COMPUTED_VALUE"""),"FREE PMS")</f>
        <v>FREE PMS</v>
      </c>
      <c r="AQ910" s="2"/>
      <c r="AR910" s="2"/>
      <c r="AS910" s="2"/>
      <c r="AT910" s="2"/>
      <c r="AU910" s="2"/>
      <c r="AV910" s="2"/>
      <c r="AW910" s="2"/>
      <c r="AX910" s="2"/>
      <c r="AY910" s="2"/>
      <c r="AZ910" s="2"/>
      <c r="BA910" s="2"/>
      <c r="BB910" s="2"/>
    </row>
    <row r="911">
      <c r="A911" s="2">
        <f>IFERROR(__xludf.DUMMYFUNCTION("""COMPUTED_VALUE"""),907.0)</f>
        <v>907</v>
      </c>
      <c r="B911" s="2" t="str">
        <f>IFERROR(__xludf.DUMMYFUNCTION("""COMPUTED_VALUE"""),"COMPLETED")</f>
        <v>COMPLETED</v>
      </c>
      <c r="C911" s="74">
        <f>IFERROR(__xludf.DUMMYFUNCTION("""COMPUTED_VALUE"""),45777.0)</f>
        <v>45777</v>
      </c>
      <c r="D911" s="71" t="str">
        <f>IFERROR(__xludf.DUMMYFUNCTION("""COMPUTED_VALUE"""),"MANNALON NGA NAURNOS TI PURA FARMERS ASSOCIATION Inc.")</f>
        <v>MANNALON NGA NAURNOS TI PURA FARMERS ASSOCIATION Inc.</v>
      </c>
      <c r="E911" s="71" t="str">
        <f>IFERROR(__xludf.DUMMYFUNCTION("""COMPUTED_VALUE"""),"Estipona, Pura, TARLAC")</f>
        <v>Estipona, Pura, TARLAC</v>
      </c>
      <c r="F911" s="2" t="str">
        <f>IFERROR(__xludf.DUMMYFUNCTION("""COMPUTED_VALUE"""),"ceferina  pascua ")</f>
        <v>ceferina  pascua </v>
      </c>
      <c r="G911" s="2">
        <f>IFERROR(__xludf.DUMMYFUNCTION("""COMPUTED_VALUE"""),0.09973003011)</f>
        <v>0.09973003011</v>
      </c>
      <c r="H911" s="2">
        <f>IFERROR(__xludf.DUMMYFUNCTION("""COMPUTED_VALUE"""),558.5)</f>
        <v>558.5</v>
      </c>
      <c r="I911" s="72" t="str">
        <f>IFERROR(__xludf.DUMMYFUNCTION("""COMPUTED_VALUE"""),"PMS")</f>
        <v>PMS</v>
      </c>
      <c r="J911" s="72" t="str">
        <f>IFERROR(__xludf.DUMMYFUNCTION("""COMPUTED_VALUE"""),"PMS")</f>
        <v>PMS</v>
      </c>
      <c r="K911" s="72" t="str">
        <f>IFERROR(__xludf.DUMMYFUNCTION("""COMPUTED_VALUE"""),"MYK: GENERAL PMS")</f>
        <v>MYK: GENERAL PMS</v>
      </c>
      <c r="L911" s="72" t="str">
        <f>IFERROR(__xludf.DUMMYFUNCTION("""COMPUTED_VALUE"""),"JDP: 2ND PMS DONE")</f>
        <v>JDP: 2ND PMS DONE</v>
      </c>
      <c r="M911" s="2"/>
      <c r="N911" s="2" t="str">
        <f>IFERROR(__xludf.DUMMYFUNCTION("""COMPUTED_VALUE"""),"PARTS: HYDRAULIC OIL FILTER")</f>
        <v>PARTS: HYDRAULIC OIL FILTER</v>
      </c>
      <c r="O911" s="2">
        <f>IFERROR(__xludf.DUMMYFUNCTION("""COMPUTED_VALUE"""),1381.0)</f>
        <v>1381</v>
      </c>
      <c r="P911" s="2"/>
      <c r="Q911" s="2" t="str">
        <f>IFERROR(__xludf.DUMMYFUNCTION("""COMPUTED_VALUE"""),"Y")</f>
        <v>Y</v>
      </c>
      <c r="R911" s="74">
        <f>IFERROR(__xludf.DUMMYFUNCTION("""COMPUTED_VALUE"""),45779.0)</f>
        <v>45779</v>
      </c>
      <c r="S911" s="2" t="str">
        <f>IFERROR(__xludf.DUMMYFUNCTION("""COMPUTED_VALUE"""),"JDP/DSD")</f>
        <v>JDP/DSD</v>
      </c>
      <c r="T911" s="73">
        <f>IFERROR(__xludf.DUMMYFUNCTION("""COMPUTED_VALUE"""),2748.0)</f>
        <v>2748</v>
      </c>
      <c r="U911" s="73" t="str">
        <f>IFERROR(__xludf.DUMMYFUNCTION("""COMPUTED_VALUE""")," REMITTED ")</f>
        <v>REMITTED</v>
      </c>
      <c r="V911" s="2"/>
      <c r="W911" s="2">
        <f>IFERROR(__xludf.DUMMYFUNCTION("""COMPUTED_VALUE"""),1238.0)</f>
        <v>1238</v>
      </c>
      <c r="X911" s="2">
        <f>IFERROR(__xludf.DUMMYFUNCTION("""COMPUTED_VALUE"""),1365.0)</f>
        <v>1365</v>
      </c>
      <c r="Y911" s="2"/>
      <c r="Z911" s="2"/>
      <c r="AA911" s="2"/>
      <c r="AB911" s="2"/>
      <c r="AC911" s="2"/>
      <c r="AD911" s="2"/>
      <c r="AE911" s="2"/>
      <c r="AF911" s="2"/>
      <c r="AG911" s="2"/>
      <c r="AH911" s="2"/>
      <c r="AI911" s="2"/>
      <c r="AJ911" s="2" t="str">
        <f>IFERROR(__xludf.DUMMYFUNCTION("""COMPUTED_VALUE"""),"Estipona")</f>
        <v>Estipona</v>
      </c>
      <c r="AK911" s="2" t="str">
        <f>IFERROR(__xludf.DUMMYFUNCTION("""COMPUTED_VALUE"""),"Pura")</f>
        <v>Pura</v>
      </c>
      <c r="AL911" s="2" t="str">
        <f>IFERROR(__xludf.DUMMYFUNCTION("""COMPUTED_VALUE"""),"Tarlac")</f>
        <v>Tarlac</v>
      </c>
      <c r="AM911" s="2">
        <f>IFERROR(__xludf.DUMMYFUNCTION("""COMPUTED_VALUE"""),3.0)</f>
        <v>3</v>
      </c>
      <c r="AN911" s="2" t="str">
        <f>IFERROR(__xludf.DUMMYFUNCTION("""COMPUTED_VALUE"""),"RCEF 23-09-21 Rebidding")</f>
        <v>RCEF 23-09-21 Rebidding</v>
      </c>
      <c r="AO911" s="2">
        <f>IFERROR(__xludf.DUMMYFUNCTION("""COMPUTED_VALUE"""),3.0)</f>
        <v>3</v>
      </c>
      <c r="AP911" s="2"/>
      <c r="AQ911" s="2"/>
      <c r="AR911" s="2"/>
      <c r="AS911" s="2"/>
      <c r="AT911" s="2"/>
      <c r="AU911" s="2"/>
      <c r="AV911" s="2"/>
      <c r="AW911" s="2"/>
      <c r="AX911" s="2"/>
      <c r="AY911" s="2"/>
      <c r="AZ911" s="2"/>
      <c r="BA911" s="2"/>
      <c r="BB911" s="2"/>
    </row>
    <row r="912">
      <c r="A912" s="2">
        <f>IFERROR(__xludf.DUMMYFUNCTION("""COMPUTED_VALUE"""),908.0)</f>
        <v>908</v>
      </c>
      <c r="B912" s="2" t="str">
        <f>IFERROR(__xludf.DUMMYFUNCTION("""COMPUTED_VALUE"""),"COMPLETED")</f>
        <v>COMPLETED</v>
      </c>
      <c r="C912" s="74">
        <f>IFERROR(__xludf.DUMMYFUNCTION("""COMPUTED_VALUE"""),45777.0)</f>
        <v>45777</v>
      </c>
      <c r="D912" s="71" t="str">
        <f>IFERROR(__xludf.DUMMYFUNCTION("""COMPUTED_VALUE"""),"NARAGSAK DMD FARMERS IRRIGATORS ASSOCIATION INC.")</f>
        <v>NARAGSAK DMD FARMERS IRRIGATORS ASSOCIATION INC.</v>
      </c>
      <c r="E912" s="71" t="str">
        <f>IFERROR(__xludf.DUMMYFUNCTION("""COMPUTED_VALUE"""),"Domanpot, Asingan, PANGASINAN")</f>
        <v>Domanpot, Asingan, PANGASINAN</v>
      </c>
      <c r="F912" s="2" t="str">
        <f>IFERROR(__xludf.DUMMYFUNCTION("""COMPUTED_VALUE"""),"ALFREDO RANOT")</f>
        <v>ALFREDO RANOT</v>
      </c>
      <c r="G912" s="2">
        <f>IFERROR(__xludf.DUMMYFUNCTION("""COMPUTED_VALUE"""),9.686043231E9)</f>
        <v>9686043231</v>
      </c>
      <c r="H912" s="2">
        <f>IFERROR(__xludf.DUMMYFUNCTION("""COMPUTED_VALUE"""),53.0)</f>
        <v>53</v>
      </c>
      <c r="I912" s="72" t="str">
        <f>IFERROR(__xludf.DUMMYFUNCTION("""COMPUTED_VALUE"""),"PMS")</f>
        <v>PMS</v>
      </c>
      <c r="J912" s="72" t="str">
        <f>IFERROR(__xludf.DUMMYFUNCTION("""COMPUTED_VALUE"""),"PMS")</f>
        <v>PMS</v>
      </c>
      <c r="K912" s="72" t="str">
        <f>IFERROR(__xludf.DUMMYFUNCTION("""COMPUTED_VALUE"""),"MYK: 1ST PMS (FREE)")</f>
        <v>MYK: 1ST PMS (FREE)</v>
      </c>
      <c r="L912" s="72" t="str">
        <f>IFERROR(__xludf.DUMMYFUNCTION("""COMPUTED_VALUE"""),"EGT: CHANGE OIL ,  PMS DONE")</f>
        <v>EGT: CHANGE OIL ,  PMS DONE</v>
      </c>
      <c r="M912" s="2"/>
      <c r="N912" s="2" t="str">
        <f>IFERROR(__xludf.DUMMYFUNCTION("""COMPUTED_VALUE"""),"PARTS: ENGINE OIL, OIL FILTER")</f>
        <v>PARTS: ENGINE OIL, OIL FILTER</v>
      </c>
      <c r="O912" s="2">
        <f>IFERROR(__xludf.DUMMYFUNCTION("""COMPUTED_VALUE"""),1123.0)</f>
        <v>1123</v>
      </c>
      <c r="P912" s="2"/>
      <c r="Q912" s="2"/>
      <c r="R912" s="74">
        <f>IFERROR(__xludf.DUMMYFUNCTION("""COMPUTED_VALUE"""),45785.0)</f>
        <v>45785</v>
      </c>
      <c r="S912" s="2" t="str">
        <f>IFERROR(__xludf.DUMMYFUNCTION("""COMPUTED_VALUE"""),"EGT/DRM")</f>
        <v>EGT/DRM</v>
      </c>
      <c r="T912" s="73" t="str">
        <f>IFERROR(__xludf.DUMMYFUNCTION("""COMPUTED_VALUE""")," N/A ")</f>
        <v>N/A</v>
      </c>
      <c r="U912" s="73" t="str">
        <f>IFERROR(__xludf.DUMMYFUNCTION("""COMPUTED_VALUE""")," NO CHARGE ")</f>
        <v>NO CHARGE</v>
      </c>
      <c r="V912" s="2"/>
      <c r="W912" s="2" t="str">
        <f>IFERROR(__xludf.DUMMYFUNCTION("""COMPUTED_VALUE"""),"N/A")</f>
        <v>N/A</v>
      </c>
      <c r="X912" s="2" t="str">
        <f>IFERROR(__xludf.DUMMYFUNCTION("""COMPUTED_VALUE"""),"N/A")</f>
        <v>N/A</v>
      </c>
      <c r="Y912" s="2"/>
      <c r="Z912" s="2"/>
      <c r="AA912" s="2"/>
      <c r="AB912" s="2"/>
      <c r="AC912" s="2"/>
      <c r="AD912" s="2"/>
      <c r="AE912" s="2"/>
      <c r="AF912" s="2"/>
      <c r="AG912" s="2"/>
      <c r="AH912" s="2"/>
      <c r="AI912" s="2"/>
      <c r="AJ912" s="2" t="str">
        <f>IFERROR(__xludf.DUMMYFUNCTION("""COMPUTED_VALUE"""),"Domanpot")</f>
        <v>Domanpot</v>
      </c>
      <c r="AK912" s="2" t="str">
        <f>IFERROR(__xludf.DUMMYFUNCTION("""COMPUTED_VALUE"""),"Asingan")</f>
        <v>Asingan</v>
      </c>
      <c r="AL912" s="2" t="str">
        <f>IFERROR(__xludf.DUMMYFUNCTION("""COMPUTED_VALUE"""),"Pangasinan")</f>
        <v>Pangasinan</v>
      </c>
      <c r="AM912" s="2">
        <f>IFERROR(__xludf.DUMMYFUNCTION("""COMPUTED_VALUE"""),1.0)</f>
        <v>1</v>
      </c>
      <c r="AN912" s="2" t="str">
        <f>IFERROR(__xludf.DUMMYFUNCTION("""COMPUTED_VALUE"""),"RCEF 24-04-15")</f>
        <v>RCEF 24-04-15</v>
      </c>
      <c r="AO912" s="2">
        <f>IFERROR(__xludf.DUMMYFUNCTION("""COMPUTED_VALUE"""),6.0)</f>
        <v>6</v>
      </c>
      <c r="AP912" s="2" t="str">
        <f>IFERROR(__xludf.DUMMYFUNCTION("""COMPUTED_VALUE"""),"FREE PMS")</f>
        <v>FREE PMS</v>
      </c>
      <c r="AQ912" s="2"/>
      <c r="AR912" s="2"/>
      <c r="AS912" s="2"/>
      <c r="AT912" s="2"/>
      <c r="AU912" s="2"/>
      <c r="AV912" s="2"/>
      <c r="AW912" s="2"/>
      <c r="AX912" s="2"/>
      <c r="AY912" s="2"/>
      <c r="AZ912" s="2"/>
      <c r="BA912" s="2"/>
      <c r="BB912" s="2"/>
    </row>
    <row r="913">
      <c r="A913" s="2">
        <f>IFERROR(__xludf.DUMMYFUNCTION("""COMPUTED_VALUE"""),909.0)</f>
        <v>909</v>
      </c>
      <c r="B913" s="2" t="str">
        <f>IFERROR(__xludf.DUMMYFUNCTION("""COMPUTED_VALUE"""),"COMPLETED")</f>
        <v>COMPLETED</v>
      </c>
      <c r="C913" s="74">
        <f>IFERROR(__xludf.DUMMYFUNCTION("""COMPUTED_VALUE"""),45777.0)</f>
        <v>45777</v>
      </c>
      <c r="D913" s="71" t="str">
        <f>IFERROR(__xludf.DUMMYFUNCTION("""COMPUTED_VALUE"""),"Matabiaga Malawaan Irrigators Association, Inc.")</f>
        <v>Matabiaga Malawaan Irrigators Association, Inc.</v>
      </c>
      <c r="E913" s="71" t="str">
        <f>IFERROR(__xludf.DUMMYFUNCTION("""COMPUTED_VALUE"""),"MALAWAAN, RIZAL, OCCIDENTAL MINDORO")</f>
        <v>MALAWAAN, RIZAL, OCCIDENTAL MINDORO</v>
      </c>
      <c r="F913" s="2" t="str">
        <f>IFERROR(__xludf.DUMMYFUNCTION("""COMPUTED_VALUE"""),"Enriqueta Tayco ")</f>
        <v>Enriqueta Tayco </v>
      </c>
      <c r="G913" s="2">
        <f>IFERROR(__xludf.DUMMYFUNCTION("""COMPUTED_VALUE"""),9.093540587E9)</f>
        <v>9093540587</v>
      </c>
      <c r="H913" s="2"/>
      <c r="I913" s="72" t="str">
        <f>IFERROR(__xludf.DUMMYFUNCTION("""COMPUTED_VALUE"""),"SPARE PARTS ACQUISITION")</f>
        <v>SPARE PARTS ACQUISITION</v>
      </c>
      <c r="J913" s="72" t="str">
        <f>IFERROR(__xludf.DUMMYFUNCTION("""COMPUTED_VALUE"""),"SPARE PARTS ACQUISITION")</f>
        <v>SPARE PARTS ACQUISITION</v>
      </c>
      <c r="K913" s="72" t="str">
        <f>IFERROR(__xludf.DUMMYFUNCTION("""COMPUTED_VALUE"""),"AIR cleaner Inner Element - 1pcs
AIR cleaner Outer Element - 1pcs
Front Axle wheel base - 2pcs
Front gear case oilseal - 2pcs
Front middle case oilseal - 2pcs")</f>
        <v>AIR cleaner Inner Element - 1pcs
AIR cleaner Outer Element - 1pcs
Front Axle wheel base - 2pcs
Front gear case oilseal - 2pcs
Front middle case oilseal - 2pcs</v>
      </c>
      <c r="L913" s="72" t="str">
        <f>IFERROR(__xludf.DUMMYFUNCTION("""COMPUTED_VALUE"""),"MYK: PREAPRE PARTS: READY FOR SHIPPING: SHIP OUT")</f>
        <v>MYK: PREAPRE PARTS: READY FOR SHIPPING: SHIP OUT</v>
      </c>
      <c r="M913" s="2"/>
      <c r="N913" s="2" t="str">
        <f>IFERROR(__xludf.DUMMYFUNCTION("""COMPUTED_VALUE"""),"PARTS: PAID BY FCA
AIR CLEANER INNER ELEMENT
AIR CLEANER OUTER ELEMENT
Front axle OIL SEAL (55X72X13.5) - FE78010000  
front axle OILSEAL - TA00041359
front axle OILSEAL - TC60110000 ")</f>
        <v>PARTS: PAID BY FCA
AIR CLEANER INNER ELEMENT
AIR CLEANER OUTER ELEMENT
Front axle OIL SEAL (55X72X13.5) - FE78010000  
front axle OILSEAL - TA00041359
front axle OILSEAL - TC60110000 </v>
      </c>
      <c r="O913" s="2" t="str">
        <f>IFERROR(__xludf.DUMMYFUNCTION("""COMPUTED_VALUE"""),"N/A")</f>
        <v>N/A</v>
      </c>
      <c r="P913" s="2"/>
      <c r="Q913" s="2"/>
      <c r="R913" s="74">
        <f>IFERROR(__xludf.DUMMYFUNCTION("""COMPUTED_VALUE"""),45785.0)</f>
        <v>45785</v>
      </c>
      <c r="S913" s="2" t="str">
        <f>IFERROR(__xludf.DUMMYFUNCTION("""COMPUTED_VALUE"""),"MYKEE")</f>
        <v>MYKEE</v>
      </c>
      <c r="T913" s="73">
        <f>IFERROR(__xludf.DUMMYFUNCTION("""COMPUTED_VALUE"""),23850.0)</f>
        <v>23850</v>
      </c>
      <c r="U913" s="73" t="str">
        <f>IFERROR(__xludf.DUMMYFUNCTION("""COMPUTED_VALUE""")," REMITTED ")</f>
        <v>REMITTED</v>
      </c>
      <c r="V913" s="2"/>
      <c r="W913" s="2"/>
      <c r="X913" s="2">
        <f>IFERROR(__xludf.DUMMYFUNCTION("""COMPUTED_VALUE"""),1372.0)</f>
        <v>1372</v>
      </c>
      <c r="Y913" s="2"/>
      <c r="Z913" s="2"/>
      <c r="AA913" s="2"/>
      <c r="AB913" s="2"/>
      <c r="AC913" s="2"/>
      <c r="AD913" s="2"/>
      <c r="AE913" s="2"/>
      <c r="AF913" s="2"/>
      <c r="AG913" s="2"/>
      <c r="AH913" s="2"/>
      <c r="AI913" s="2"/>
      <c r="AJ913" s="2" t="str">
        <f>IFERROR(__xludf.DUMMYFUNCTION("""COMPUTED_VALUE"""),"Malawaan")</f>
        <v>Malawaan</v>
      </c>
      <c r="AK913" s="2" t="str">
        <f>IFERROR(__xludf.DUMMYFUNCTION("""COMPUTED_VALUE"""),"Rizal")</f>
        <v>Rizal</v>
      </c>
      <c r="AL913" s="2" t="str">
        <f>IFERROR(__xludf.DUMMYFUNCTION("""COMPUTED_VALUE"""),"Occidental Mindoro")</f>
        <v>Occidental Mindoro</v>
      </c>
      <c r="AM913" s="2" t="str">
        <f>IFERROR(__xludf.DUMMYFUNCTION("""COMPUTED_VALUE"""),"4B")</f>
        <v>4B</v>
      </c>
      <c r="AN913" s="2" t="str">
        <f>IFERROR(__xludf.DUMMYFUNCTION("""COMPUTED_VALUE"""),"RCEF 23-08-20 Rebidding")</f>
        <v>RCEF 23-08-20 Rebidding</v>
      </c>
      <c r="AO913" s="2">
        <f>IFERROR(__xludf.DUMMYFUNCTION("""COMPUTED_VALUE"""),1.0)</f>
        <v>1</v>
      </c>
      <c r="AP913" s="2"/>
      <c r="AQ913" s="2"/>
      <c r="AR913" s="2"/>
      <c r="AS913" s="2"/>
      <c r="AT913" s="2"/>
      <c r="AU913" s="2"/>
      <c r="AV913" s="2"/>
      <c r="AW913" s="2"/>
      <c r="AX913" s="2"/>
      <c r="AY913" s="2"/>
      <c r="AZ913" s="2"/>
      <c r="BA913" s="2"/>
      <c r="BB913" s="2"/>
    </row>
    <row r="914">
      <c r="A914" s="2">
        <f>IFERROR(__xludf.DUMMYFUNCTION("""COMPUTED_VALUE"""),910.0)</f>
        <v>910</v>
      </c>
      <c r="B914" s="2" t="str">
        <f>IFERROR(__xludf.DUMMYFUNCTION("""COMPUTED_VALUE"""),"COMPLETED")</f>
        <v>COMPLETED</v>
      </c>
      <c r="C914" s="74">
        <f>IFERROR(__xludf.DUMMYFUNCTION("""COMPUTED_VALUE"""),45779.0)</f>
        <v>45779</v>
      </c>
      <c r="D914" s="71" t="str">
        <f>IFERROR(__xludf.DUMMYFUNCTION("""COMPUTED_VALUE"""),"Oyungan Tacas Irrigators Association")</f>
        <v>Oyungan Tacas Irrigators Association</v>
      </c>
      <c r="E914" s="71" t="str">
        <f>IFERROR(__xludf.DUMMYFUNCTION("""COMPUTED_VALUE"""),"Oyungan, Miagao, ILOILO")</f>
        <v>Oyungan, Miagao, ILOILO</v>
      </c>
      <c r="F914" s="2" t="str">
        <f>IFERROR(__xludf.DUMMYFUNCTION("""COMPUTED_VALUE"""),"Jose N. Mollenido")</f>
        <v>Jose N. Mollenido</v>
      </c>
      <c r="G914" s="2">
        <f>IFERROR(__xludf.DUMMYFUNCTION("""COMPUTED_VALUE"""),9.07183239E9)</f>
        <v>9071832390</v>
      </c>
      <c r="H914" s="2">
        <f>IFERROR(__xludf.DUMMYFUNCTION("""COMPUTED_VALUE"""),485.0)</f>
        <v>485</v>
      </c>
      <c r="I914" s="72" t="str">
        <f>IFERROR(__xludf.DUMMYFUNCTION("""COMPUTED_VALUE"""),"REPAIR - DISC PLOW")</f>
        <v>REPAIR - DISC PLOW</v>
      </c>
      <c r="J914" s="72" t="str">
        <f>IFERROR(__xludf.DUMMYFUNCTION("""COMPUTED_VALUE"""),"Disc")</f>
        <v>Disc</v>
      </c>
      <c r="K914" s="72" t="str">
        <f>IFERROR(__xludf.DUMMYFUNCTION("""COMPUTED_VALUE"""),"MYK: two discplow damage right side
 ")</f>
        <v>MYK: two discplow damage right side
 </v>
      </c>
      <c r="L914" s="72" t="str">
        <f>IFERROR(__xludf.DUMMYFUNCTION("""COMPUTED_VALUE"""),"RANDY: PINA WELDING KO NALANG ANG UNIT, AT SINABI KONG HIKPITAN YUNG BOLT AT BEARING  SA MAY DICS NG PLOW")</f>
        <v>RANDY: PINA WELDING KO NALANG ANG UNIT, AT SINABI KONG HIKPITAN YUNG BOLT AT BEARING  SA MAY DICS NG PLOW</v>
      </c>
      <c r="M914" s="2"/>
      <c r="N914" s="2"/>
      <c r="O914" s="2">
        <f>IFERROR(__xludf.DUMMYFUNCTION("""COMPUTED_VALUE"""),61.0)</f>
        <v>61</v>
      </c>
      <c r="P914" s="2"/>
      <c r="Q914" s="2"/>
      <c r="R914" s="74">
        <f>IFERROR(__xludf.DUMMYFUNCTION("""COMPUTED_VALUE"""),45785.0)</f>
        <v>45785</v>
      </c>
      <c r="S914" s="2" t="str">
        <f>IFERROR(__xludf.DUMMYFUNCTION("""COMPUTED_VALUE"""),"RANDY")</f>
        <v>RANDY</v>
      </c>
      <c r="T914" s="73" t="str">
        <f>IFERROR(__xludf.DUMMYFUNCTION("""COMPUTED_VALUE""")," N/A ")</f>
        <v>N/A</v>
      </c>
      <c r="U914" s="73" t="str">
        <f>IFERROR(__xludf.DUMMYFUNCTION("""COMPUTED_VALUE""")," NO CHARGE ")</f>
        <v>NO CHARGE</v>
      </c>
      <c r="V914" s="2"/>
      <c r="W914" s="2" t="str">
        <f>IFERROR(__xludf.DUMMYFUNCTION("""COMPUTED_VALUE"""),"N/A")</f>
        <v>N/A</v>
      </c>
      <c r="X914" s="2" t="str">
        <f>IFERROR(__xludf.DUMMYFUNCTION("""COMPUTED_VALUE"""),"N/A")</f>
        <v>N/A</v>
      </c>
      <c r="Y914" s="2"/>
      <c r="Z914" s="2"/>
      <c r="AA914" s="2"/>
      <c r="AB914" s="2"/>
      <c r="AC914" s="2"/>
      <c r="AD914" s="2"/>
      <c r="AE914" s="2"/>
      <c r="AF914" s="2"/>
      <c r="AG914" s="2"/>
      <c r="AH914" s="2"/>
      <c r="AI914" s="2"/>
      <c r="AJ914" s="2" t="str">
        <f>IFERROR(__xludf.DUMMYFUNCTION("""COMPUTED_VALUE"""),"Oyungan")</f>
        <v>Oyungan</v>
      </c>
      <c r="AK914" s="2" t="str">
        <f>IFERROR(__xludf.DUMMYFUNCTION("""COMPUTED_VALUE"""),"Miagao")</f>
        <v>Miagao</v>
      </c>
      <c r="AL914" s="2" t="str">
        <f>IFERROR(__xludf.DUMMYFUNCTION("""COMPUTED_VALUE"""),"Iloilo")</f>
        <v>Iloilo</v>
      </c>
      <c r="AM914" s="2">
        <f>IFERROR(__xludf.DUMMYFUNCTION("""COMPUTED_VALUE"""),6.0)</f>
        <v>6</v>
      </c>
      <c r="AN914" s="2" t="str">
        <f>IFERROR(__xludf.DUMMYFUNCTION("""COMPUTED_VALUE"""),"RCEF 23-09-21 Rebidding")</f>
        <v>RCEF 23-09-21 Rebidding</v>
      </c>
      <c r="AO914" s="2">
        <f>IFERROR(__xludf.DUMMYFUNCTION("""COMPUTED_VALUE"""),4.0)</f>
        <v>4</v>
      </c>
      <c r="AP914" s="2"/>
      <c r="AQ914" s="2"/>
      <c r="AR914" s="2"/>
      <c r="AS914" s="2"/>
      <c r="AT914" s="2"/>
      <c r="AU914" s="2"/>
      <c r="AV914" s="2"/>
      <c r="AW914" s="2"/>
      <c r="AX914" s="2"/>
      <c r="AY914" s="2"/>
      <c r="AZ914" s="2"/>
      <c r="BA914" s="2"/>
      <c r="BB914" s="2"/>
    </row>
    <row r="915">
      <c r="A915" s="2">
        <f>IFERROR(__xludf.DUMMYFUNCTION("""COMPUTED_VALUE"""),911.0)</f>
        <v>911</v>
      </c>
      <c r="B915" s="2" t="str">
        <f>IFERROR(__xludf.DUMMYFUNCTION("""COMPUTED_VALUE"""),"COMPLETED")</f>
        <v>COMPLETED</v>
      </c>
      <c r="C915" s="74">
        <f>IFERROR(__xludf.DUMMYFUNCTION("""COMPUTED_VALUE"""),45779.0)</f>
        <v>45779</v>
      </c>
      <c r="D915" s="71" t="str">
        <f>IFERROR(__xludf.DUMMYFUNCTION("""COMPUTED_VALUE"""),"Baras Farmers Association")</f>
        <v>Baras Farmers Association</v>
      </c>
      <c r="E915" s="71" t="str">
        <f>IFERROR(__xludf.DUMMYFUNCTION("""COMPUTED_VALUE"""),"Baras, Barotac Nuevo, ILOILO")</f>
        <v>Baras, Barotac Nuevo, ILOILO</v>
      </c>
      <c r="F915" s="2" t="str">
        <f>IFERROR(__xludf.DUMMYFUNCTION("""COMPUTED_VALUE"""),"Mario B. Boglosa")</f>
        <v>Mario B. Boglosa</v>
      </c>
      <c r="G915" s="2">
        <f>IFERROR(__xludf.DUMMYFUNCTION("""COMPUTED_VALUE"""),9.951876513E9)</f>
        <v>9951876513</v>
      </c>
      <c r="H915" s="2"/>
      <c r="I915" s="72" t="str">
        <f>IFERROR(__xludf.DUMMYFUNCTION("""COMPUTED_VALUE"""),"REPAIR - ROTAVATOR")</f>
        <v>REPAIR - ROTAVATOR</v>
      </c>
      <c r="J915" s="72" t="str">
        <f>IFERROR(__xludf.DUMMYFUNCTION("""COMPUTED_VALUE"""),"Gearbox")</f>
        <v>Gearbox</v>
      </c>
      <c r="K915" s="72" t="str">
        <f>IFERROR(__xludf.DUMMYFUNCTION("""COMPUTED_VALUE"""),"MYK: DAMAGE SIDE OF ROTAVATOR
RANDY ARANETA: 5/8/25: PARTS: PARTS: HARD LOCK NUT, BEVEL GEAR 24T, BEARING #32211, DRIVE SHAFT 
RANDY: 7/30/25: REQUEST DRIVE SHAFT")</f>
        <v>MYK: DAMAGE SIDE OF ROTAVATOR
RANDY ARANETA: 5/8/25: PARTS: PARTS: HARD LOCK NUT, BEVEL GEAR 24T, BEARING #32211, DRIVE SHAFT 
RANDY: 7/30/25: REQUEST DRIVE SHAFT</v>
      </c>
      <c r="L915" s="72" t="str">
        <f>IFERROR(__xludf.DUMMYFUNCTION("""COMPUTED_VALUE"""),"CANNOT BE REACH
7/15/25: CALL:UNATTENDED
8/3/25: LBC: DRIVE SHAFT
8/20/25: RANDY: DONE FIXING ROTARY PROBLEM
")</f>
        <v>CANNOT BE REACH
7/15/25: CALL:UNATTENDED
8/3/25: LBC: DRIVE SHAFT
8/20/25: RANDY: DONE FIXING ROTARY PROBLEM
</v>
      </c>
      <c r="M915" s="2"/>
      <c r="N915" s="2" t="str">
        <f>IFERROR(__xludf.DUMMYFUNCTION("""COMPUTED_VALUE"""),"PARTS: 
1-DRIVE SHAFT - 23,750 (deposited to LTC)
1-HARD LOCK NUT (c/o Randy)
")</f>
        <v>PARTS: 
1-DRIVE SHAFT - 23,750 (deposited to LTC)
1-HARD LOCK NUT (c/o Randy)
</v>
      </c>
      <c r="O915" s="2">
        <f>IFERROR(__xludf.DUMMYFUNCTION("""COMPUTED_VALUE"""),63.0)</f>
        <v>63</v>
      </c>
      <c r="P915" s="2"/>
      <c r="Q915" s="2"/>
      <c r="R915" s="74">
        <f>IFERROR(__xludf.DUMMYFUNCTION("""COMPUTED_VALUE"""),45881.0)</f>
        <v>45881</v>
      </c>
      <c r="S915" s="2" t="str">
        <f>IFERROR(__xludf.DUMMYFUNCTION("""COMPUTED_VALUE"""),"RANDY")</f>
        <v>RANDY</v>
      </c>
      <c r="T915" s="73">
        <f>IFERROR(__xludf.DUMMYFUNCTION("""COMPUTED_VALUE"""),23750.0)</f>
        <v>23750</v>
      </c>
      <c r="U915" s="73" t="str">
        <f>IFERROR(__xludf.DUMMYFUNCTION("""COMPUTED_VALUE""")," REMITTED ")</f>
        <v>REMITTED</v>
      </c>
      <c r="V915" s="2"/>
      <c r="W915" s="2">
        <f>IFERROR(__xludf.DUMMYFUNCTION("""COMPUTED_VALUE"""),1519.0)</f>
        <v>1519</v>
      </c>
      <c r="X915" s="2"/>
      <c r="Y915" s="2"/>
      <c r="Z915" s="2"/>
      <c r="AA915" s="2"/>
      <c r="AB915" s="2"/>
      <c r="AC915" s="2"/>
      <c r="AD915" s="2"/>
      <c r="AE915" s="2"/>
      <c r="AF915" s="2"/>
      <c r="AG915" s="2"/>
      <c r="AH915" s="2"/>
      <c r="AI915" s="2"/>
      <c r="AJ915" s="2" t="str">
        <f>IFERROR(__xludf.DUMMYFUNCTION("""COMPUTED_VALUE"""),"Baras")</f>
        <v>Baras</v>
      </c>
      <c r="AK915" s="2" t="str">
        <f>IFERROR(__xludf.DUMMYFUNCTION("""COMPUTED_VALUE"""),"Barotac Nuevo")</f>
        <v>Barotac Nuevo</v>
      </c>
      <c r="AL915" s="2" t="str">
        <f>IFERROR(__xludf.DUMMYFUNCTION("""COMPUTED_VALUE"""),"Iloilo")</f>
        <v>Iloilo</v>
      </c>
      <c r="AM915" s="2">
        <f>IFERROR(__xludf.DUMMYFUNCTION("""COMPUTED_VALUE"""),6.0)</f>
        <v>6</v>
      </c>
      <c r="AN915" s="2" t="str">
        <f>IFERROR(__xludf.DUMMYFUNCTION("""COMPUTED_VALUE"""),"RCEF 23-09-21 Rebidding")</f>
        <v>RCEF 23-09-21 Rebidding</v>
      </c>
      <c r="AO915" s="2">
        <f>IFERROR(__xludf.DUMMYFUNCTION("""COMPUTED_VALUE"""),4.0)</f>
        <v>4</v>
      </c>
      <c r="AP915" s="2"/>
      <c r="AQ915" s="2"/>
      <c r="AR915" s="2"/>
      <c r="AS915" s="2"/>
      <c r="AT915" s="2"/>
      <c r="AU915" s="2"/>
      <c r="AV915" s="2"/>
      <c r="AW915" s="2"/>
      <c r="AX915" s="2"/>
      <c r="AY915" s="2"/>
      <c r="AZ915" s="2"/>
      <c r="BA915" s="2"/>
      <c r="BB915" s="2"/>
    </row>
    <row r="916">
      <c r="A916" s="2">
        <f>IFERROR(__xludf.DUMMYFUNCTION("""COMPUTED_VALUE"""),912.0)</f>
        <v>912</v>
      </c>
      <c r="B916" s="2" t="str">
        <f>IFERROR(__xludf.DUMMYFUNCTION("""COMPUTED_VALUE"""),"COMPLETED")</f>
        <v>COMPLETED</v>
      </c>
      <c r="C916" s="74">
        <f>IFERROR(__xludf.DUMMYFUNCTION("""COMPUTED_VALUE"""),45779.0)</f>
        <v>45779</v>
      </c>
      <c r="D916" s="71" t="str">
        <f>IFERROR(__xludf.DUMMYFUNCTION("""COMPUTED_VALUE"""),"LOWER DEKEL IRRIGATORS ASSOCIATIN INC.")</f>
        <v>LOWER DEKEL IRRIGATORS ASSOCIATIN INC.</v>
      </c>
      <c r="E916" s="71" t="str">
        <f>IFERROR(__xludf.DUMMYFUNCTION("""COMPUTED_VALUE"""),"Pacquet (Ilongot Res.), Kasibu, NUEVA VIZCAYA")</f>
        <v>Pacquet (Ilongot Res.), Kasibu, NUEVA VIZCAYA</v>
      </c>
      <c r="F916" s="2" t="str">
        <f>IFERROR(__xludf.DUMMYFUNCTION("""COMPUTED_VALUE"""),"DINDO GATDING / LGU KASIBU-Maam Abi")</f>
        <v>DINDO GATDING / LGU KASIBU-Maam Abi</v>
      </c>
      <c r="G916" s="2" t="str">
        <f>IFERROR(__xludf.DUMMYFUNCTION("""COMPUTED_VALUE"""),"9361579236 / 0906 256 8615")</f>
        <v>9361579236 / 0906 256 8615</v>
      </c>
      <c r="H916" s="2">
        <f>IFERROR(__xludf.DUMMYFUNCTION("""COMPUTED_VALUE"""),50.0)</f>
        <v>50</v>
      </c>
      <c r="I916" s="72" t="str">
        <f>IFERROR(__xludf.DUMMYFUNCTION("""COMPUTED_VALUE"""),"PMS")</f>
        <v>PMS</v>
      </c>
      <c r="J916" s="72" t="str">
        <f>IFERROR(__xludf.DUMMYFUNCTION("""COMPUTED_VALUE"""),"PMS")</f>
        <v>PMS</v>
      </c>
      <c r="K916" s="72" t="str">
        <f>IFERROR(__xludf.DUMMYFUNCTION("""COMPUTED_VALUE"""),"MYK: 1ST PMS (FREE)")</f>
        <v>MYK: 1ST PMS (FREE)</v>
      </c>
      <c r="L916" s="72" t="str">
        <f>IFERROR(__xludf.DUMMYFUNCTION("""COMPUTED_VALUE"""),"ACS: 1ST PMS DONE: CHANGE OIIL")</f>
        <v>ACS: 1ST PMS DONE: CHANGE OIIL</v>
      </c>
      <c r="M916" s="2"/>
      <c r="N916" s="2" t="str">
        <f>IFERROR(__xludf.DUMMYFUNCTION("""COMPUTED_VALUE"""),"PARTS: OIL FILTER, ENGINE OIL")</f>
        <v>PARTS: OIL FILTER, ENGINE OIL</v>
      </c>
      <c r="O916" s="2">
        <f>IFERROR(__xludf.DUMMYFUNCTION("""COMPUTED_VALUE"""),1243.0)</f>
        <v>1243</v>
      </c>
      <c r="P916" s="2"/>
      <c r="Q916" s="2"/>
      <c r="R916" s="74">
        <f>IFERROR(__xludf.DUMMYFUNCTION("""COMPUTED_VALUE"""),45785.0)</f>
        <v>45785</v>
      </c>
      <c r="S916" s="2" t="str">
        <f>IFERROR(__xludf.DUMMYFUNCTION("""COMPUTED_VALUE"""),"ACS/JHP")</f>
        <v>ACS/JHP</v>
      </c>
      <c r="T916" s="73" t="str">
        <f>IFERROR(__xludf.DUMMYFUNCTION("""COMPUTED_VALUE""")," N/A ")</f>
        <v>N/A</v>
      </c>
      <c r="U916" s="73" t="str">
        <f>IFERROR(__xludf.DUMMYFUNCTION("""COMPUTED_VALUE""")," NO CHARGE ")</f>
        <v>NO CHARGE</v>
      </c>
      <c r="V916" s="2"/>
      <c r="W916" s="2" t="str">
        <f>IFERROR(__xludf.DUMMYFUNCTION("""COMPUTED_VALUE"""),"N/A")</f>
        <v>N/A</v>
      </c>
      <c r="X916" s="2" t="str">
        <f>IFERROR(__xludf.DUMMYFUNCTION("""COMPUTED_VALUE"""),"N/A")</f>
        <v>N/A</v>
      </c>
      <c r="Y916" s="2"/>
      <c r="Z916" s="2"/>
      <c r="AA916" s="2"/>
      <c r="AB916" s="2"/>
      <c r="AC916" s="2"/>
      <c r="AD916" s="2"/>
      <c r="AE916" s="2"/>
      <c r="AF916" s="2"/>
      <c r="AG916" s="2"/>
      <c r="AH916" s="2"/>
      <c r="AI916" s="2"/>
      <c r="AJ916" s="2" t="str">
        <f>IFERROR(__xludf.DUMMYFUNCTION("""COMPUTED_VALUE"""),"Pacquet (Ilongot Res.)")</f>
        <v>Pacquet (Ilongot Res.)</v>
      </c>
      <c r="AK916" s="2" t="str">
        <f>IFERROR(__xludf.DUMMYFUNCTION("""COMPUTED_VALUE"""),"Kasibu")</f>
        <v>Kasibu</v>
      </c>
      <c r="AL916" s="2" t="str">
        <f>IFERROR(__xludf.DUMMYFUNCTION("""COMPUTED_VALUE"""),"Nueva Vizcaya")</f>
        <v>Nueva Vizcaya</v>
      </c>
      <c r="AM916" s="2">
        <f>IFERROR(__xludf.DUMMYFUNCTION("""COMPUTED_VALUE"""),2.0)</f>
        <v>2</v>
      </c>
      <c r="AN916" s="2" t="str">
        <f>IFERROR(__xludf.DUMMYFUNCTION("""COMPUTED_VALUE"""),"RCEF 24-04-15")</f>
        <v>RCEF 24-04-15</v>
      </c>
      <c r="AO916" s="2">
        <f>IFERROR(__xludf.DUMMYFUNCTION("""COMPUTED_VALUE"""),6.0)</f>
        <v>6</v>
      </c>
      <c r="AP916" s="2" t="str">
        <f>IFERROR(__xludf.DUMMYFUNCTION("""COMPUTED_VALUE"""),"FREE PMS")</f>
        <v>FREE PMS</v>
      </c>
      <c r="AQ916" s="2"/>
      <c r="AR916" s="2"/>
      <c r="AS916" s="2"/>
      <c r="AT916" s="2"/>
      <c r="AU916" s="2"/>
      <c r="AV916" s="2"/>
      <c r="AW916" s="2"/>
      <c r="AX916" s="2"/>
      <c r="AY916" s="2"/>
      <c r="AZ916" s="2"/>
      <c r="BA916" s="2"/>
      <c r="BB916" s="2"/>
    </row>
    <row r="917">
      <c r="A917" s="2">
        <f>IFERROR(__xludf.DUMMYFUNCTION("""COMPUTED_VALUE"""),913.0)</f>
        <v>913</v>
      </c>
      <c r="B917" s="2" t="str">
        <f>IFERROR(__xludf.DUMMYFUNCTION("""COMPUTED_VALUE"""),"COMPLETED")</f>
        <v>COMPLETED</v>
      </c>
      <c r="C917" s="74">
        <f>IFERROR(__xludf.DUMMYFUNCTION("""COMPUTED_VALUE"""),45781.0)</f>
        <v>45781</v>
      </c>
      <c r="D917" s="71" t="str">
        <f>IFERROR(__xludf.DUMMYFUNCTION("""COMPUTED_VALUE"""),"GRUPO MANNALON AGRICULTURE COOPERATIVE")</f>
        <v>GRUPO MANNALON AGRICULTURE COOPERATIVE</v>
      </c>
      <c r="E917" s="71" t="str">
        <f>IFERROR(__xludf.DUMMYFUNCTION("""COMPUTED_VALUE"""),"Rosario, Santiago City, ISABELA")</f>
        <v>Rosario, Santiago City, ISABELA</v>
      </c>
      <c r="F917" s="2" t="str">
        <f>IFERROR(__xludf.DUMMYFUNCTION("""COMPUTED_VALUE"""),"Grupo mannalon Agri. Cooperative
Leonardo maylem")</f>
        <v>Grupo mannalon Agri. Cooperative
Leonardo maylem</v>
      </c>
      <c r="G917" s="2">
        <f>IFERROR(__xludf.DUMMYFUNCTION("""COMPUTED_VALUE"""),9.268697747E9)</f>
        <v>9268697747</v>
      </c>
      <c r="H917" s="2">
        <f>IFERROR(__xludf.DUMMYFUNCTION("""COMPUTED_VALUE"""),45.0)</f>
        <v>45</v>
      </c>
      <c r="I917" s="72" t="str">
        <f>IFERROR(__xludf.DUMMYFUNCTION("""COMPUTED_VALUE"""),"PMS")</f>
        <v>PMS</v>
      </c>
      <c r="J917" s="72" t="str">
        <f>IFERROR(__xludf.DUMMYFUNCTION("""COMPUTED_VALUE"""),"PMS")</f>
        <v>PMS</v>
      </c>
      <c r="K917" s="72" t="str">
        <f>IFERROR(__xludf.DUMMYFUNCTION("""COMPUTED_VALUE"""),"CFG: 1ST PMS FREE")</f>
        <v>CFG: 1ST PMS FREE</v>
      </c>
      <c r="L917" s="72" t="str">
        <f>IFERROR(__xludf.DUMMYFUNCTION("""COMPUTED_VALUE"""),"CFG: 1ST PMS DONE")</f>
        <v>CFG: 1ST PMS DONE</v>
      </c>
      <c r="M917" s="2"/>
      <c r="N917" s="2" t="str">
        <f>IFERROR(__xludf.DUMMYFUNCTION("""COMPUTED_VALUE"""),"PART: OIL FILTER, ENGINE OIL")</f>
        <v>PART: OIL FILTER, ENGINE OIL</v>
      </c>
      <c r="O917" s="2">
        <f>IFERROR(__xludf.DUMMYFUNCTION("""COMPUTED_VALUE"""),1173.0)</f>
        <v>1173</v>
      </c>
      <c r="P917" s="2"/>
      <c r="Q917" s="2"/>
      <c r="R917" s="74">
        <f>IFERROR(__xludf.DUMMYFUNCTION("""COMPUTED_VALUE"""),45781.0)</f>
        <v>45781</v>
      </c>
      <c r="S917" s="2" t="str">
        <f>IFERROR(__xludf.DUMMYFUNCTION("""COMPUTED_VALUE"""),"CFG")</f>
        <v>CFG</v>
      </c>
      <c r="T917" s="73" t="str">
        <f>IFERROR(__xludf.DUMMYFUNCTION("""COMPUTED_VALUE""")," N/A ")</f>
        <v>N/A</v>
      </c>
      <c r="U917" s="73" t="str">
        <f>IFERROR(__xludf.DUMMYFUNCTION("""COMPUTED_VALUE""")," NO CHARGE ")</f>
        <v>NO CHARGE</v>
      </c>
      <c r="V917" s="2"/>
      <c r="W917" s="2" t="str">
        <f>IFERROR(__xludf.DUMMYFUNCTION("""COMPUTED_VALUE"""),"N/A")</f>
        <v>N/A</v>
      </c>
      <c r="X917" s="2" t="str">
        <f>IFERROR(__xludf.DUMMYFUNCTION("""COMPUTED_VALUE"""),"N/A")</f>
        <v>N/A</v>
      </c>
      <c r="Y917" s="2"/>
      <c r="Z917" s="2"/>
      <c r="AA917" s="2"/>
      <c r="AB917" s="2"/>
      <c r="AC917" s="2"/>
      <c r="AD917" s="2"/>
      <c r="AE917" s="2"/>
      <c r="AF917" s="2"/>
      <c r="AG917" s="2"/>
      <c r="AH917" s="2"/>
      <c r="AI917" s="2"/>
      <c r="AJ917" s="2" t="str">
        <f>IFERROR(__xludf.DUMMYFUNCTION("""COMPUTED_VALUE"""),"Rosario")</f>
        <v>Rosario</v>
      </c>
      <c r="AK917" s="2" t="str">
        <f>IFERROR(__xludf.DUMMYFUNCTION("""COMPUTED_VALUE"""),"Santiago City")</f>
        <v>Santiago City</v>
      </c>
      <c r="AL917" s="2" t="str">
        <f>IFERROR(__xludf.DUMMYFUNCTION("""COMPUTED_VALUE"""),"Isabela")</f>
        <v>Isabela</v>
      </c>
      <c r="AM917" s="2">
        <f>IFERROR(__xludf.DUMMYFUNCTION("""COMPUTED_VALUE"""),2.0)</f>
        <v>2</v>
      </c>
      <c r="AN917" s="2" t="str">
        <f>IFERROR(__xludf.DUMMYFUNCTION("""COMPUTED_VALUE"""),"RCEF 24-04-15")</f>
        <v>RCEF 24-04-15</v>
      </c>
      <c r="AO917" s="2">
        <f>IFERROR(__xludf.DUMMYFUNCTION("""COMPUTED_VALUE"""),6.0)</f>
        <v>6</v>
      </c>
      <c r="AP917" s="2" t="str">
        <f>IFERROR(__xludf.DUMMYFUNCTION("""COMPUTED_VALUE"""),"FREE PMS")</f>
        <v>FREE PMS</v>
      </c>
      <c r="AQ917" s="2"/>
      <c r="AR917" s="2"/>
      <c r="AS917" s="2"/>
      <c r="AT917" s="2"/>
      <c r="AU917" s="2"/>
      <c r="AV917" s="2"/>
      <c r="AW917" s="2"/>
      <c r="AX917" s="2"/>
      <c r="AY917" s="2"/>
      <c r="AZ917" s="2"/>
      <c r="BA917" s="2"/>
      <c r="BB917" s="2"/>
    </row>
    <row r="918">
      <c r="A918" s="2">
        <f>IFERROR(__xludf.DUMMYFUNCTION("""COMPUTED_VALUE"""),914.0)</f>
        <v>914</v>
      </c>
      <c r="B918" s="2" t="str">
        <f>IFERROR(__xludf.DUMMYFUNCTION("""COMPUTED_VALUE"""),"COMPLETED")</f>
        <v>COMPLETED</v>
      </c>
      <c r="C918" s="74">
        <f>IFERROR(__xludf.DUMMYFUNCTION("""COMPUTED_VALUE"""),45782.0)</f>
        <v>45782</v>
      </c>
      <c r="D918" s="71" t="str">
        <f>IFERROR(__xludf.DUMMYFUNCTION("""COMPUTED_VALUE"""),"KAISAHAN IRRIGATOR'S ASSOCIATION INC.")</f>
        <v>KAISAHAN IRRIGATOR'S ASSOCIATION INC.</v>
      </c>
      <c r="E918" s="71" t="str">
        <f>IFERROR(__xludf.DUMMYFUNCTION("""COMPUTED_VALUE"""),"San Fabian, Santo Domingo, NUEVA ECIJA")</f>
        <v>San Fabian, Santo Domingo, NUEVA ECIJA</v>
      </c>
      <c r="F918" s="2" t="str">
        <f>IFERROR(__xludf.DUMMYFUNCTION("""COMPUTED_VALUE"""),"DARWIN CACAL")</f>
        <v>DARWIN CACAL</v>
      </c>
      <c r="G918" s="2">
        <f>IFERROR(__xludf.DUMMYFUNCTION("""COMPUTED_VALUE"""),9.533782306E9)</f>
        <v>9533782306</v>
      </c>
      <c r="H918" s="2">
        <f>IFERROR(__xludf.DUMMYFUNCTION("""COMPUTED_VALUE"""),800.0)</f>
        <v>800</v>
      </c>
      <c r="I918" s="72" t="str">
        <f>IFERROR(__xludf.DUMMYFUNCTION("""COMPUTED_VALUE"""),"SPARE PARTS ACQUISITION")</f>
        <v>SPARE PARTS ACQUISITION</v>
      </c>
      <c r="J918" s="72" t="str">
        <f>IFERROR(__xludf.DUMMYFUNCTION("""COMPUTED_VALUE"""),"SPARE PARTS ACQUISITION")</f>
        <v>SPARE PARTS ACQUISITION</v>
      </c>
      <c r="K918" s="72" t="str">
        <f>IFERROR(__xludf.DUMMYFUNCTION("""COMPUTED_VALUE"""),"OILSEAL SA STEERING WHEEL: ")</f>
        <v>OILSEAL SA STEERING WHEEL: </v>
      </c>
      <c r="L918" s="72" t="str">
        <f>IFERROR(__xludf.DUMMYFUNCTION("""COMPUTED_VALUE"""),"EGT: SILA NADAW PO ANG GUMAWA, ")</f>
        <v>EGT: SILA NADAW PO ANG GUMAWA, </v>
      </c>
      <c r="M918" s="2"/>
      <c r="N918" s="2"/>
      <c r="O918" s="2" t="str">
        <f>IFERROR(__xludf.DUMMYFUNCTION("""COMPUTED_VALUE"""),"N/A")</f>
        <v>N/A</v>
      </c>
      <c r="P918" s="2"/>
      <c r="Q918" s="2"/>
      <c r="R918" s="74">
        <f>IFERROR(__xludf.DUMMYFUNCTION("""COMPUTED_VALUE"""),45786.0)</f>
        <v>45786</v>
      </c>
      <c r="S918" s="2" t="str">
        <f>IFERROR(__xludf.DUMMYFUNCTION("""COMPUTED_VALUE"""),"EGT")</f>
        <v>EGT</v>
      </c>
      <c r="T918" s="73" t="str">
        <f>IFERROR(__xludf.DUMMYFUNCTION("""COMPUTED_VALUE""")," N/A ")</f>
        <v>N/A</v>
      </c>
      <c r="U918" s="73" t="str">
        <f>IFERROR(__xludf.DUMMYFUNCTION("""COMPUTED_VALUE""")," NO CHARGE ")</f>
        <v>NO CHARGE</v>
      </c>
      <c r="V918" s="2"/>
      <c r="W918" s="2" t="str">
        <f>IFERROR(__xludf.DUMMYFUNCTION("""COMPUTED_VALUE"""),"N/A")</f>
        <v>N/A</v>
      </c>
      <c r="X918" s="2" t="str">
        <f>IFERROR(__xludf.DUMMYFUNCTION("""COMPUTED_VALUE"""),"N/A")</f>
        <v>N/A</v>
      </c>
      <c r="Y918" s="2"/>
      <c r="Z918" s="2"/>
      <c r="AA918" s="2"/>
      <c r="AB918" s="2"/>
      <c r="AC918" s="2"/>
      <c r="AD918" s="2"/>
      <c r="AE918" s="2"/>
      <c r="AF918" s="2"/>
      <c r="AG918" s="2"/>
      <c r="AH918" s="2"/>
      <c r="AI918" s="2"/>
      <c r="AJ918" s="2" t="str">
        <f>IFERROR(__xludf.DUMMYFUNCTION("""COMPUTED_VALUE"""),"San Fabian")</f>
        <v>San Fabian</v>
      </c>
      <c r="AK918" s="2" t="str">
        <f>IFERROR(__xludf.DUMMYFUNCTION("""COMPUTED_VALUE"""),"Santo Domingo")</f>
        <v>Santo Domingo</v>
      </c>
      <c r="AL918" s="2" t="str">
        <f>IFERROR(__xludf.DUMMYFUNCTION("""COMPUTED_VALUE"""),"Nueva Ecija")</f>
        <v>Nueva Ecija</v>
      </c>
      <c r="AM918" s="2">
        <f>IFERROR(__xludf.DUMMYFUNCTION("""COMPUTED_VALUE"""),3.0)</f>
        <v>3</v>
      </c>
      <c r="AN918" s="2" t="str">
        <f>IFERROR(__xludf.DUMMYFUNCTION("""COMPUTED_VALUE"""),"RCEF 23-09-21 Rebidding")</f>
        <v>RCEF 23-09-21 Rebidding</v>
      </c>
      <c r="AO918" s="2">
        <f>IFERROR(__xludf.DUMMYFUNCTION("""COMPUTED_VALUE"""),3.0)</f>
        <v>3</v>
      </c>
      <c r="AP918" s="2"/>
      <c r="AQ918" s="2"/>
      <c r="AR918" s="2"/>
      <c r="AS918" s="2"/>
      <c r="AT918" s="2"/>
      <c r="AU918" s="2"/>
      <c r="AV918" s="2"/>
      <c r="AW918" s="2"/>
      <c r="AX918" s="2"/>
      <c r="AY918" s="2"/>
      <c r="AZ918" s="2"/>
      <c r="BA918" s="2"/>
      <c r="BB918" s="2"/>
    </row>
    <row r="919">
      <c r="A919" s="2">
        <f>IFERROR(__xludf.DUMMYFUNCTION("""COMPUTED_VALUE"""),915.0)</f>
        <v>915</v>
      </c>
      <c r="B919" s="2" t="str">
        <f>IFERROR(__xludf.DUMMYFUNCTION("""COMPUTED_VALUE"""),"COMPLETED")</f>
        <v>COMPLETED</v>
      </c>
      <c r="C919" s="74">
        <f>IFERROR(__xludf.DUMMYFUNCTION("""COMPUTED_VALUE"""),45782.0)</f>
        <v>45782</v>
      </c>
      <c r="D919" s="71" t="str">
        <f>IFERROR(__xludf.DUMMYFUNCTION("""COMPUTED_VALUE"""),"CALUBANG FARMERS CLUSTER ASSOCIATION")</f>
        <v>CALUBANG FARMERS CLUSTER ASSOCIATION</v>
      </c>
      <c r="E919" s="71" t="str">
        <f>IFERROR(__xludf.DUMMYFUNCTION("""COMPUTED_VALUE"""),"Calubang, Ilog, NEGROS OCCIDENTAL")</f>
        <v>Calubang, Ilog, NEGROS OCCIDENTAL</v>
      </c>
      <c r="F919" s="2" t="str">
        <f>IFERROR(__xludf.DUMMYFUNCTION("""COMPUTED_VALUE"""),"lloyd montero/fred gayamo")</f>
        <v>lloyd montero/fred gayamo</v>
      </c>
      <c r="G919" s="2" t="str">
        <f>IFERROR(__xludf.DUMMYFUNCTION("""COMPUTED_VALUE"""),"09937858148/ 09508562471/ 09948602690")</f>
        <v>09937858148/ 09508562471/ 09948602690</v>
      </c>
      <c r="H919" s="2">
        <f>IFERROR(__xludf.DUMMYFUNCTION("""COMPUTED_VALUE"""),978.0)</f>
        <v>978</v>
      </c>
      <c r="I919" s="72" t="str">
        <f>IFERROR(__xludf.DUMMYFUNCTION("""COMPUTED_VALUE"""),"REPAIR - ROTAVATOR")</f>
        <v>REPAIR - ROTAVATOR</v>
      </c>
      <c r="J919" s="72" t="str">
        <f>IFERROR(__xludf.DUMMYFUNCTION("""COMPUTED_VALUE"""),"Leak")</f>
        <v>Leak</v>
      </c>
      <c r="K919" s="72" t="str">
        <f>IFERROR(__xludf.DUMMYFUNCTION("""COMPUTED_VALUE"""),"leaking for lifting arm (LF). Of rotavator implements.
RANDY: HINDI MATAWAGAN ANG NUMBER 
")</f>
        <v>leaking for lifting arm (LF). Of rotavator implements.
RANDY: HINDI MATAWAGAN ANG NUMBER 
</v>
      </c>
      <c r="L919" s="72" t="str">
        <f>IFERROR(__xludf.DUMMYFUNCTION("""COMPUTED_VALUE"""),"FARMER: OK NA PO ANG UNIT, UMIINIT ANG ORING KAYA NAG LEAK PERO NGAYUN AY OK NA")</f>
        <v>FARMER: OK NA PO ANG UNIT, UMIINIT ANG ORING KAYA NAG LEAK PERO NGAYUN AY OK NA</v>
      </c>
      <c r="M919" s="2"/>
      <c r="N919" s="2"/>
      <c r="O919" s="2" t="str">
        <f>IFERROR(__xludf.DUMMYFUNCTION("""COMPUTED_VALUE"""),"N/A")</f>
        <v>N/A</v>
      </c>
      <c r="P919" s="2"/>
      <c r="Q919" s="2"/>
      <c r="R919" s="74">
        <f>IFERROR(__xludf.DUMMYFUNCTION("""COMPUTED_VALUE"""),45806.0)</f>
        <v>45806</v>
      </c>
      <c r="S919" s="2" t="str">
        <f>IFERROR(__xludf.DUMMYFUNCTION("""COMPUTED_VALUE"""),"MYKEE")</f>
        <v>MYKEE</v>
      </c>
      <c r="T919" s="73" t="str">
        <f>IFERROR(__xludf.DUMMYFUNCTION("""COMPUTED_VALUE""")," N/A ")</f>
        <v>N/A</v>
      </c>
      <c r="U919" s="73" t="str">
        <f>IFERROR(__xludf.DUMMYFUNCTION("""COMPUTED_VALUE""")," NO CHARGE ")</f>
        <v>NO CHARGE</v>
      </c>
      <c r="V919" s="2"/>
      <c r="W919" s="2" t="str">
        <f>IFERROR(__xludf.DUMMYFUNCTION("""COMPUTED_VALUE"""),"N/A")</f>
        <v>N/A</v>
      </c>
      <c r="X919" s="2" t="str">
        <f>IFERROR(__xludf.DUMMYFUNCTION("""COMPUTED_VALUE"""),"N/A")</f>
        <v>N/A</v>
      </c>
      <c r="Y919" s="2"/>
      <c r="Z919" s="2"/>
      <c r="AA919" s="2"/>
      <c r="AB919" s="2"/>
      <c r="AC919" s="2"/>
      <c r="AD919" s="2"/>
      <c r="AE919" s="2"/>
      <c r="AF919" s="2"/>
      <c r="AG919" s="2"/>
      <c r="AH919" s="2"/>
      <c r="AI919" s="2"/>
      <c r="AJ919" s="2" t="str">
        <f>IFERROR(__xludf.DUMMYFUNCTION("""COMPUTED_VALUE"""),"Calubang")</f>
        <v>Calubang</v>
      </c>
      <c r="AK919" s="2" t="str">
        <f>IFERROR(__xludf.DUMMYFUNCTION("""COMPUTED_VALUE"""),"Ilog")</f>
        <v>Ilog</v>
      </c>
      <c r="AL919" s="2" t="str">
        <f>IFERROR(__xludf.DUMMYFUNCTION("""COMPUTED_VALUE"""),"Negros Occidental")</f>
        <v>Negros Occidental</v>
      </c>
      <c r="AM919" s="2">
        <f>IFERROR(__xludf.DUMMYFUNCTION("""COMPUTED_VALUE"""),6.0)</f>
        <v>6</v>
      </c>
      <c r="AN919" s="2" t="str">
        <f>IFERROR(__xludf.DUMMYFUNCTION("""COMPUTED_VALUE"""),"RCEF 23-09-21 Rebidding")</f>
        <v>RCEF 23-09-21 Rebidding</v>
      </c>
      <c r="AO919" s="2">
        <f>IFERROR(__xludf.DUMMYFUNCTION("""COMPUTED_VALUE"""),4.0)</f>
        <v>4</v>
      </c>
      <c r="AP919" s="2"/>
      <c r="AQ919" s="2"/>
      <c r="AR919" s="2"/>
      <c r="AS919" s="2"/>
      <c r="AT919" s="2"/>
      <c r="AU919" s="2"/>
      <c r="AV919" s="2"/>
      <c r="AW919" s="2"/>
      <c r="AX919" s="2"/>
      <c r="AY919" s="2"/>
      <c r="AZ919" s="2"/>
      <c r="BA919" s="2"/>
      <c r="BB919" s="2"/>
    </row>
    <row r="920">
      <c r="A920" s="2">
        <f>IFERROR(__xludf.DUMMYFUNCTION("""COMPUTED_VALUE"""),916.0)</f>
        <v>916</v>
      </c>
      <c r="B920" s="2" t="str">
        <f>IFERROR(__xludf.DUMMYFUNCTION("""COMPUTED_VALUE"""),"COMPLETED")</f>
        <v>COMPLETED</v>
      </c>
      <c r="C920" s="74">
        <f>IFERROR(__xludf.DUMMYFUNCTION("""COMPUTED_VALUE"""),45783.0)</f>
        <v>45783</v>
      </c>
      <c r="D920" s="71" t="str">
        <f>IFERROR(__xludf.DUMMYFUNCTION("""COMPUTED_VALUE"""),"GUTAD FARMERS IRRIGATORS ASSOCIATION INCORPORATED")</f>
        <v>GUTAD FARMERS IRRIGATORS ASSOCIATION INCORPORATED</v>
      </c>
      <c r="E920" s="71" t="str">
        <f>IFERROR(__xludf.DUMMYFUNCTION("""COMPUTED_VALUE"""),"Tanyag, Calintaan, OCCIDENTAL MINDORO")</f>
        <v>Tanyag, Calintaan, OCCIDENTAL MINDORO</v>
      </c>
      <c r="F920" s="2" t="str">
        <f>IFERROR(__xludf.DUMMYFUNCTION("""COMPUTED_VALUE"""),"JUAN ESTEBAN, JR.")</f>
        <v>JUAN ESTEBAN, JR.</v>
      </c>
      <c r="G920" s="2" t="str">
        <f>IFERROR(__xludf.DUMMYFUNCTION("""COMPUTED_VALUE"""),"09358380144 / 0905 195 2181")</f>
        <v>09358380144 / 0905 195 2181</v>
      </c>
      <c r="H920" s="2"/>
      <c r="I920" s="72" t="str">
        <f>IFERROR(__xludf.DUMMYFUNCTION("""COMPUTED_VALUE"""),"REPAIR - TRACTOR")</f>
        <v>REPAIR - TRACTOR</v>
      </c>
      <c r="J920" s="72" t="str">
        <f>IFERROR(__xludf.DUMMYFUNCTION("""COMPUTED_VALUE"""),"Electrical - Harness")</f>
        <v>Electrical - Harness</v>
      </c>
      <c r="K920" s="72" t="str">
        <f>IFERROR(__xludf.DUMMYFUNCTION("""COMPUTED_VALUE"""),"MYK: FOR CHECK UP ANG UNIT DAHIL HINID DAW PO MA PA START ")</f>
        <v>MYK: FOR CHECK UP ANG UNIT DAHIL HINID DAW PO MA PA START </v>
      </c>
      <c r="L920" s="72" t="str">
        <f>IFERROR(__xludf.DUMMYFUNCTION("""COMPUTED_VALUE"""),"RCG: BY PASS WIRING")</f>
        <v>RCG: BY PASS WIRING</v>
      </c>
      <c r="M920" s="2"/>
      <c r="N920" s="2"/>
      <c r="O920" s="2">
        <f>IFERROR(__xludf.DUMMYFUNCTION("""COMPUTED_VALUE"""),160.0)</f>
        <v>160</v>
      </c>
      <c r="P920" s="2"/>
      <c r="Q920" s="2"/>
      <c r="R920" s="74">
        <f>IFERROR(__xludf.DUMMYFUNCTION("""COMPUTED_VALUE"""),45801.0)</f>
        <v>45801</v>
      </c>
      <c r="S920" s="2" t="str">
        <f>IFERROR(__xludf.DUMMYFUNCTION("""COMPUTED_VALUE"""),"RCG/RBS")</f>
        <v>RCG/RBS</v>
      </c>
      <c r="T920" s="73" t="str">
        <f>IFERROR(__xludf.DUMMYFUNCTION("""COMPUTED_VALUE""")," N/A ")</f>
        <v>N/A</v>
      </c>
      <c r="U920" s="73" t="str">
        <f>IFERROR(__xludf.DUMMYFUNCTION("""COMPUTED_VALUE""")," NO CHARGE ")</f>
        <v>NO CHARGE</v>
      </c>
      <c r="V920" s="2"/>
      <c r="W920" s="2" t="str">
        <f>IFERROR(__xludf.DUMMYFUNCTION("""COMPUTED_VALUE"""),"N/A")</f>
        <v>N/A</v>
      </c>
      <c r="X920" s="2" t="str">
        <f>IFERROR(__xludf.DUMMYFUNCTION("""COMPUTED_VALUE"""),"N/A")</f>
        <v>N/A</v>
      </c>
      <c r="Y920" s="2"/>
      <c r="Z920" s="2"/>
      <c r="AA920" s="2"/>
      <c r="AB920" s="2"/>
      <c r="AC920" s="2"/>
      <c r="AD920" s="2"/>
      <c r="AE920" s="2"/>
      <c r="AF920" s="2"/>
      <c r="AG920" s="2"/>
      <c r="AH920" s="2"/>
      <c r="AI920" s="2"/>
      <c r="AJ920" s="2" t="str">
        <f>IFERROR(__xludf.DUMMYFUNCTION("""COMPUTED_VALUE"""),"Tanyag")</f>
        <v>Tanyag</v>
      </c>
      <c r="AK920" s="2" t="str">
        <f>IFERROR(__xludf.DUMMYFUNCTION("""COMPUTED_VALUE"""),"Calintaan")</f>
        <v>Calintaan</v>
      </c>
      <c r="AL920" s="2" t="str">
        <f>IFERROR(__xludf.DUMMYFUNCTION("""COMPUTED_VALUE"""),"Occidental Mindoro")</f>
        <v>Occidental Mindoro</v>
      </c>
      <c r="AM920" s="2" t="str">
        <f>IFERROR(__xludf.DUMMYFUNCTION("""COMPUTED_VALUE"""),"4B")</f>
        <v>4B</v>
      </c>
      <c r="AN920" s="2" t="str">
        <f>IFERROR(__xludf.DUMMYFUNCTION("""COMPUTED_VALUE"""),"RCEF 24-04-15")</f>
        <v>RCEF 24-04-15</v>
      </c>
      <c r="AO920" s="2">
        <f>IFERROR(__xludf.DUMMYFUNCTION("""COMPUTED_VALUE"""),7.0)</f>
        <v>7</v>
      </c>
      <c r="AP920" s="2" t="str">
        <f>IFERROR(__xludf.DUMMYFUNCTION("""COMPUTED_VALUE"""),"FREE PMS")</f>
        <v>FREE PMS</v>
      </c>
      <c r="AQ920" s="2"/>
      <c r="AR920" s="2"/>
      <c r="AS920" s="2"/>
      <c r="AT920" s="2"/>
      <c r="AU920" s="2"/>
      <c r="AV920" s="2"/>
      <c r="AW920" s="2"/>
      <c r="AX920" s="2"/>
      <c r="AY920" s="2"/>
      <c r="AZ920" s="2"/>
      <c r="BA920" s="2"/>
      <c r="BB920" s="2"/>
    </row>
    <row r="921">
      <c r="A921" s="2">
        <f>IFERROR(__xludf.DUMMYFUNCTION("""COMPUTED_VALUE"""),917.0)</f>
        <v>917</v>
      </c>
      <c r="B921" s="2" t="str">
        <f>IFERROR(__xludf.DUMMYFUNCTION("""COMPUTED_VALUE"""),"COMPLETED")</f>
        <v>COMPLETED</v>
      </c>
      <c r="C921" s="74">
        <f>IFERROR(__xludf.DUMMYFUNCTION("""COMPUTED_VALUE"""),45783.0)</f>
        <v>45783</v>
      </c>
      <c r="D921" s="71" t="str">
        <f>IFERROR(__xludf.DUMMYFUNCTION("""COMPUTED_VALUE"""),"Mindoro Occidental Womens Rotary Corps Multipurpose Cooperative (MOWRCCO MPC)")</f>
        <v>Mindoro Occidental Womens Rotary Corps Multipurpose Cooperative (MOWRCCO MPC)</v>
      </c>
      <c r="E921" s="71" t="str">
        <f>IFERROR(__xludf.DUMMYFUNCTION("""COMPUTED_VALUE"""),"Labangan Poblacion, San Jose, OCCIDENTAL MINDORO")</f>
        <v>Labangan Poblacion, San Jose, OCCIDENTAL MINDORO</v>
      </c>
      <c r="F921" s="2" t="str">
        <f>IFERROR(__xludf.DUMMYFUNCTION("""COMPUTED_VALUE"""),"Nida F.Ramirez/Manager")</f>
        <v>Nida F.Ramirez/Manager</v>
      </c>
      <c r="G921" s="2">
        <f>IFERROR(__xludf.DUMMYFUNCTION("""COMPUTED_VALUE"""),9.511041923E9)</f>
        <v>9511041923</v>
      </c>
      <c r="H921" s="2">
        <f>IFERROR(__xludf.DUMMYFUNCTION("""COMPUTED_VALUE"""),60.0)</f>
        <v>60</v>
      </c>
      <c r="I921" s="72" t="str">
        <f>IFERROR(__xludf.DUMMYFUNCTION("""COMPUTED_VALUE"""),"PMS")</f>
        <v>PMS</v>
      </c>
      <c r="J921" s="72" t="str">
        <f>IFERROR(__xludf.DUMMYFUNCTION("""COMPUTED_VALUE"""),"PMS")</f>
        <v>PMS</v>
      </c>
      <c r="K921" s="72" t="str">
        <f>IFERROR(__xludf.DUMMYFUNCTION("""COMPUTED_VALUE"""),"MYK: 1st PMS FREE")</f>
        <v>MYK: 1st PMS FREE</v>
      </c>
      <c r="L921" s="72" t="str">
        <f>IFERROR(__xludf.DUMMYFUNCTION("""COMPUTED_VALUE"""),"RCG: DONE 1ST PMS")</f>
        <v>RCG: DONE 1ST PMS</v>
      </c>
      <c r="M921" s="2"/>
      <c r="N921" s="2" t="str">
        <f>IFERROR(__xludf.DUMMYFUNCTION("""COMPUTED_VALUE"""),"PARTS: OIL FILTER, ENGINE OIL")</f>
        <v>PARTS: OIL FILTER, ENGINE OIL</v>
      </c>
      <c r="O921" s="2">
        <f>IFERROR(__xludf.DUMMYFUNCTION("""COMPUTED_VALUE"""),161.0)</f>
        <v>161</v>
      </c>
      <c r="P921" s="2"/>
      <c r="Q921" s="2"/>
      <c r="R921" s="74">
        <f>IFERROR(__xludf.DUMMYFUNCTION("""COMPUTED_VALUE"""),45801.0)</f>
        <v>45801</v>
      </c>
      <c r="S921" s="2" t="str">
        <f>IFERROR(__xludf.DUMMYFUNCTION("""COMPUTED_VALUE"""),"RCG/DSD")</f>
        <v>RCG/DSD</v>
      </c>
      <c r="T921" s="73" t="str">
        <f>IFERROR(__xludf.DUMMYFUNCTION("""COMPUTED_VALUE""")," N/A ")</f>
        <v>N/A</v>
      </c>
      <c r="U921" s="73" t="str">
        <f>IFERROR(__xludf.DUMMYFUNCTION("""COMPUTED_VALUE""")," NO CHARGE ")</f>
        <v>NO CHARGE</v>
      </c>
      <c r="V921" s="2"/>
      <c r="W921" s="2" t="str">
        <f>IFERROR(__xludf.DUMMYFUNCTION("""COMPUTED_VALUE"""),"N/A")</f>
        <v>N/A</v>
      </c>
      <c r="X921" s="2" t="str">
        <f>IFERROR(__xludf.DUMMYFUNCTION("""COMPUTED_VALUE"""),"N/A")</f>
        <v>N/A</v>
      </c>
      <c r="Y921" s="2"/>
      <c r="Z921" s="2"/>
      <c r="AA921" s="2"/>
      <c r="AB921" s="2"/>
      <c r="AC921" s="2"/>
      <c r="AD921" s="2"/>
      <c r="AE921" s="2"/>
      <c r="AF921" s="2"/>
      <c r="AG921" s="2"/>
      <c r="AH921" s="2"/>
      <c r="AI921" s="2"/>
      <c r="AJ921" s="2" t="str">
        <f>IFERROR(__xludf.DUMMYFUNCTION("""COMPUTED_VALUE"""),"Labangan Poblacion")</f>
        <v>Labangan Poblacion</v>
      </c>
      <c r="AK921" s="2" t="str">
        <f>IFERROR(__xludf.DUMMYFUNCTION("""COMPUTED_VALUE"""),"San Jose")</f>
        <v>San Jose</v>
      </c>
      <c r="AL921" s="2" t="str">
        <f>IFERROR(__xludf.DUMMYFUNCTION("""COMPUTED_VALUE"""),"Occidental Mindoro")</f>
        <v>Occidental Mindoro</v>
      </c>
      <c r="AM921" s="2" t="str">
        <f>IFERROR(__xludf.DUMMYFUNCTION("""COMPUTED_VALUE"""),"4B")</f>
        <v>4B</v>
      </c>
      <c r="AN921" s="2" t="str">
        <f>IFERROR(__xludf.DUMMYFUNCTION("""COMPUTED_VALUE"""),"RCEF 24-04-15")</f>
        <v>RCEF 24-04-15</v>
      </c>
      <c r="AO921" s="2">
        <f>IFERROR(__xludf.DUMMYFUNCTION("""COMPUTED_VALUE"""),7.0)</f>
        <v>7</v>
      </c>
      <c r="AP921" s="2" t="str">
        <f>IFERROR(__xludf.DUMMYFUNCTION("""COMPUTED_VALUE"""),"FREE PMS")</f>
        <v>FREE PMS</v>
      </c>
      <c r="AQ921" s="2"/>
      <c r="AR921" s="2"/>
      <c r="AS921" s="2"/>
      <c r="AT921" s="2"/>
      <c r="AU921" s="2"/>
      <c r="AV921" s="2"/>
      <c r="AW921" s="2"/>
      <c r="AX921" s="2"/>
      <c r="AY921" s="2"/>
      <c r="AZ921" s="2"/>
      <c r="BA921" s="2"/>
      <c r="BB921" s="2"/>
    </row>
    <row r="922">
      <c r="A922" s="2">
        <f>IFERROR(__xludf.DUMMYFUNCTION("""COMPUTED_VALUE"""),918.0)</f>
        <v>918</v>
      </c>
      <c r="B922" s="2" t="str">
        <f>IFERROR(__xludf.DUMMYFUNCTION("""COMPUTED_VALUE"""),"COMPLETED")</f>
        <v>COMPLETED</v>
      </c>
      <c r="C922" s="74">
        <f>IFERROR(__xludf.DUMMYFUNCTION("""COMPUTED_VALUE"""),45783.0)</f>
        <v>45783</v>
      </c>
      <c r="D922" s="71" t="str">
        <f>IFERROR(__xludf.DUMMYFUNCTION("""COMPUTED_VALUE"""),"POVILUS FARMERS AND ENTREPRENEURS ASSOCIATION INC.")</f>
        <v>POVILUS FARMERS AND ENTREPRENEURS ASSOCIATION INC.</v>
      </c>
      <c r="E922" s="71" t="str">
        <f>IFERROR(__xludf.DUMMYFUNCTION("""COMPUTED_VALUE"""),"Poblacion Norte,Maddela, Quirino")</f>
        <v>Poblacion Norte,Maddela, Quirino</v>
      </c>
      <c r="F922" s="2" t="str">
        <f>IFERROR(__xludf.DUMMYFUNCTION("""COMPUTED_VALUE"""),"JOFER LACAMFARA")</f>
        <v>JOFER LACAMFARA</v>
      </c>
      <c r="G922" s="2"/>
      <c r="H922" s="2">
        <f>IFERROR(__xludf.DUMMYFUNCTION("""COMPUTED_VALUE"""),65.0)</f>
        <v>65</v>
      </c>
      <c r="I922" s="72" t="str">
        <f>IFERROR(__xludf.DUMMYFUNCTION("""COMPUTED_VALUE"""),"PMS")</f>
        <v>PMS</v>
      </c>
      <c r="J922" s="72" t="str">
        <f>IFERROR(__xludf.DUMMYFUNCTION("""COMPUTED_VALUE"""),"PMS")</f>
        <v>PMS</v>
      </c>
      <c r="K922" s="72" t="str">
        <f>IFERROR(__xludf.DUMMYFUNCTION("""COMPUTED_VALUE"""),"ACS: 1ST PMS FREE")</f>
        <v>ACS: 1ST PMS FREE</v>
      </c>
      <c r="L922" s="72" t="str">
        <f>IFERROR(__xludf.DUMMYFUNCTION("""COMPUTED_VALUE"""),"ACS: 1ST PMS DONE: CHANGE OIIL")</f>
        <v>ACS: 1ST PMS DONE: CHANGE OIIL</v>
      </c>
      <c r="M922" s="2"/>
      <c r="N922" s="2" t="str">
        <f>IFERROR(__xludf.DUMMYFUNCTION("""COMPUTED_VALUE"""),"PARTS: OIL FILTER, ENGINE OIL")</f>
        <v>PARTS: OIL FILTER, ENGINE OIL</v>
      </c>
      <c r="O922" s="2">
        <f>IFERROR(__xludf.DUMMYFUNCTION("""COMPUTED_VALUE"""),1241.0)</f>
        <v>1241</v>
      </c>
      <c r="P922" s="2"/>
      <c r="Q922" s="2"/>
      <c r="R922" s="74">
        <f>IFERROR(__xludf.DUMMYFUNCTION("""COMPUTED_VALUE"""),45783.0)</f>
        <v>45783</v>
      </c>
      <c r="S922" s="2" t="str">
        <f>IFERROR(__xludf.DUMMYFUNCTION("""COMPUTED_VALUE"""),"ACS/JHP")</f>
        <v>ACS/JHP</v>
      </c>
      <c r="T922" s="73" t="str">
        <f>IFERROR(__xludf.DUMMYFUNCTION("""COMPUTED_VALUE""")," N/A ")</f>
        <v>N/A</v>
      </c>
      <c r="U922" s="73" t="str">
        <f>IFERROR(__xludf.DUMMYFUNCTION("""COMPUTED_VALUE""")," NO CHARGE ")</f>
        <v>NO CHARGE</v>
      </c>
      <c r="V922" s="2"/>
      <c r="W922" s="2" t="str">
        <f>IFERROR(__xludf.DUMMYFUNCTION("""COMPUTED_VALUE"""),"N/A")</f>
        <v>N/A</v>
      </c>
      <c r="X922" s="2" t="str">
        <f>IFERROR(__xludf.DUMMYFUNCTION("""COMPUTED_VALUE"""),"N/A")</f>
        <v>N/A</v>
      </c>
      <c r="Y922" s="2"/>
      <c r="Z922" s="2"/>
      <c r="AA922" s="2"/>
      <c r="AB922" s="2"/>
      <c r="AC922" s="2"/>
      <c r="AD922" s="2"/>
      <c r="AE922" s="2"/>
      <c r="AF922" s="2"/>
      <c r="AG922" s="2"/>
      <c r="AH922" s="2"/>
      <c r="AI922" s="2"/>
      <c r="AJ922" s="2" t="str">
        <f>IFERROR(__xludf.DUMMYFUNCTION("""COMPUTED_VALUE"""),"Poblacion Norte")</f>
        <v>Poblacion Norte</v>
      </c>
      <c r="AK922" s="2" t="str">
        <f>IFERROR(__xludf.DUMMYFUNCTION("""COMPUTED_VALUE"""),"Maddela")</f>
        <v>Maddela</v>
      </c>
      <c r="AL922" s="2" t="str">
        <f>IFERROR(__xludf.DUMMYFUNCTION("""COMPUTED_VALUE"""),"Quirino")</f>
        <v>Quirino</v>
      </c>
      <c r="AM922" s="2">
        <f>IFERROR(__xludf.DUMMYFUNCTION("""COMPUTED_VALUE"""),2.0)</f>
        <v>2</v>
      </c>
      <c r="AN922" s="2" t="str">
        <f>IFERROR(__xludf.DUMMYFUNCTION("""COMPUTED_VALUE"""),"RCEF 24-04-15")</f>
        <v>RCEF 24-04-15</v>
      </c>
      <c r="AO922" s="2">
        <f>IFERROR(__xludf.DUMMYFUNCTION("""COMPUTED_VALUE"""),6.0)</f>
        <v>6</v>
      </c>
      <c r="AP922" s="2" t="str">
        <f>IFERROR(__xludf.DUMMYFUNCTION("""COMPUTED_VALUE"""),"FREE PMS")</f>
        <v>FREE PMS</v>
      </c>
      <c r="AQ922" s="2"/>
      <c r="AR922" s="2"/>
      <c r="AS922" s="2"/>
      <c r="AT922" s="2"/>
      <c r="AU922" s="2"/>
      <c r="AV922" s="2"/>
      <c r="AW922" s="2"/>
      <c r="AX922" s="2"/>
      <c r="AY922" s="2"/>
      <c r="AZ922" s="2"/>
      <c r="BA922" s="2"/>
      <c r="BB922" s="2"/>
    </row>
    <row r="923">
      <c r="A923" s="2">
        <f>IFERROR(__xludf.DUMMYFUNCTION("""COMPUTED_VALUE"""),919.0)</f>
        <v>919</v>
      </c>
      <c r="B923" s="2" t="str">
        <f>IFERROR(__xludf.DUMMYFUNCTION("""COMPUTED_VALUE"""),"COMPLETED")</f>
        <v>COMPLETED</v>
      </c>
      <c r="C923" s="74">
        <f>IFERROR(__xludf.DUMMYFUNCTION("""COMPUTED_VALUE"""),45783.0)</f>
        <v>45783</v>
      </c>
      <c r="D923" s="71" t="str">
        <f>IFERROR(__xludf.DUMMYFUNCTION("""COMPUTED_VALUE"""),"Maddela Auto Savings Multi-Purpose Cooperative")</f>
        <v>Maddela Auto Savings Multi-Purpose Cooperative</v>
      </c>
      <c r="E923" s="71" t="str">
        <f>IFERROR(__xludf.DUMMYFUNCTION("""COMPUTED_VALUE"""),"Poblacion Norte, Maddela, QUIRINO")</f>
        <v>Poblacion Norte, Maddela, QUIRINO</v>
      </c>
      <c r="F923" s="2"/>
      <c r="G923" s="2"/>
      <c r="H923" s="2">
        <f>IFERROR(__xludf.DUMMYFUNCTION("""COMPUTED_VALUE"""),72.0)</f>
        <v>72</v>
      </c>
      <c r="I923" s="72" t="str">
        <f>IFERROR(__xludf.DUMMYFUNCTION("""COMPUTED_VALUE"""),"PMS")</f>
        <v>PMS</v>
      </c>
      <c r="J923" s="72" t="str">
        <f>IFERROR(__xludf.DUMMYFUNCTION("""COMPUTED_VALUE"""),"PMS")</f>
        <v>PMS</v>
      </c>
      <c r="K923" s="72" t="str">
        <f>IFERROR(__xludf.DUMMYFUNCTION("""COMPUTED_VALUE"""),"ACS: 1ST PMS FREE")</f>
        <v>ACS: 1ST PMS FREE</v>
      </c>
      <c r="L923" s="72" t="str">
        <f>IFERROR(__xludf.DUMMYFUNCTION("""COMPUTED_VALUE"""),"ACS: 1ST PMS DONE: CHANGE OIIL")</f>
        <v>ACS: 1ST PMS DONE: CHANGE OIIL</v>
      </c>
      <c r="M923" s="2"/>
      <c r="N923" s="2" t="str">
        <f>IFERROR(__xludf.DUMMYFUNCTION("""COMPUTED_VALUE"""),"PARTS: OIL FILTER, ENGINE OIL")</f>
        <v>PARTS: OIL FILTER, ENGINE OIL</v>
      </c>
      <c r="O923" s="2">
        <f>IFERROR(__xludf.DUMMYFUNCTION("""COMPUTED_VALUE"""),1242.0)</f>
        <v>1242</v>
      </c>
      <c r="P923" s="2"/>
      <c r="Q923" s="2"/>
      <c r="R923" s="74">
        <f>IFERROR(__xludf.DUMMYFUNCTION("""COMPUTED_VALUE"""),45783.0)</f>
        <v>45783</v>
      </c>
      <c r="S923" s="2" t="str">
        <f>IFERROR(__xludf.DUMMYFUNCTION("""COMPUTED_VALUE"""),"ACS/JHP")</f>
        <v>ACS/JHP</v>
      </c>
      <c r="T923" s="73" t="str">
        <f>IFERROR(__xludf.DUMMYFUNCTION("""COMPUTED_VALUE""")," N/A ")</f>
        <v>N/A</v>
      </c>
      <c r="U923" s="73" t="str">
        <f>IFERROR(__xludf.DUMMYFUNCTION("""COMPUTED_VALUE""")," NO CHARGE ")</f>
        <v>NO CHARGE</v>
      </c>
      <c r="V923" s="2"/>
      <c r="W923" s="2" t="str">
        <f>IFERROR(__xludf.DUMMYFUNCTION("""COMPUTED_VALUE"""),"N/A")</f>
        <v>N/A</v>
      </c>
      <c r="X923" s="2" t="str">
        <f>IFERROR(__xludf.DUMMYFUNCTION("""COMPUTED_VALUE"""),"N/A")</f>
        <v>N/A</v>
      </c>
      <c r="Y923" s="2"/>
      <c r="Z923" s="2"/>
      <c r="AA923" s="2"/>
      <c r="AB923" s="2"/>
      <c r="AC923" s="2"/>
      <c r="AD923" s="2"/>
      <c r="AE923" s="2"/>
      <c r="AF923" s="2"/>
      <c r="AG923" s="2"/>
      <c r="AH923" s="2"/>
      <c r="AI923" s="2"/>
      <c r="AJ923" s="2" t="str">
        <f>IFERROR(__xludf.DUMMYFUNCTION("""COMPUTED_VALUE"""),"Poblacion Norte")</f>
        <v>Poblacion Norte</v>
      </c>
      <c r="AK923" s="2" t="str">
        <f>IFERROR(__xludf.DUMMYFUNCTION("""COMPUTED_VALUE"""),"Maddela")</f>
        <v>Maddela</v>
      </c>
      <c r="AL923" s="2" t="str">
        <f>IFERROR(__xludf.DUMMYFUNCTION("""COMPUTED_VALUE"""),"Quirino")</f>
        <v>Quirino</v>
      </c>
      <c r="AM923" s="2">
        <f>IFERROR(__xludf.DUMMYFUNCTION("""COMPUTED_VALUE"""),2.0)</f>
        <v>2</v>
      </c>
      <c r="AN923" s="2" t="str">
        <f>IFERROR(__xludf.DUMMYFUNCTION("""COMPUTED_VALUE"""),"RCEF 24-04-15")</f>
        <v>RCEF 24-04-15</v>
      </c>
      <c r="AO923" s="2">
        <f>IFERROR(__xludf.DUMMYFUNCTION("""COMPUTED_VALUE"""),6.0)</f>
        <v>6</v>
      </c>
      <c r="AP923" s="2" t="str">
        <f>IFERROR(__xludf.DUMMYFUNCTION("""COMPUTED_VALUE"""),"FREE PMS")</f>
        <v>FREE PMS</v>
      </c>
      <c r="AQ923" s="2"/>
      <c r="AR923" s="2"/>
      <c r="AS923" s="2"/>
      <c r="AT923" s="2"/>
      <c r="AU923" s="2"/>
      <c r="AV923" s="2"/>
      <c r="AW923" s="2"/>
      <c r="AX923" s="2"/>
      <c r="AY923" s="2"/>
      <c r="AZ923" s="2"/>
      <c r="BA923" s="2"/>
      <c r="BB923" s="2"/>
    </row>
    <row r="924">
      <c r="A924" s="2">
        <f>IFERROR(__xludf.DUMMYFUNCTION("""COMPUTED_VALUE"""),920.0)</f>
        <v>920</v>
      </c>
      <c r="B924" s="2" t="str">
        <f>IFERROR(__xludf.DUMMYFUNCTION("""COMPUTED_VALUE"""),"COMPLETED")</f>
        <v>COMPLETED</v>
      </c>
      <c r="C924" s="74">
        <f>IFERROR(__xludf.DUMMYFUNCTION("""COMPUTED_VALUE"""),45783.0)</f>
        <v>45783</v>
      </c>
      <c r="D924" s="71" t="str">
        <f>IFERROR(__xludf.DUMMYFUNCTION("""COMPUTED_VALUE"""),"LAYUNIN NG MAPAYAPANG PAG-UNLAD ASSOCIATION, INCORPORATED")</f>
        <v>LAYUNIN NG MAPAYAPANG PAG-UNLAD ASSOCIATION, INCORPORATED</v>
      </c>
      <c r="E924" s="71" t="str">
        <f>IFERROR(__xludf.DUMMYFUNCTION("""COMPUTED_VALUE"""),"Boboy, Agno, PANGASINAN")</f>
        <v>Boboy, Agno, PANGASINAN</v>
      </c>
      <c r="F924" s="2" t="str">
        <f>IFERROR(__xludf.DUMMYFUNCTION("""COMPUTED_VALUE"""),"NOLY V OIGA")</f>
        <v>NOLY V OIGA</v>
      </c>
      <c r="G924" s="2">
        <f>IFERROR(__xludf.DUMMYFUNCTION("""COMPUTED_VALUE"""),9.076484565E9)</f>
        <v>9076484565</v>
      </c>
      <c r="H924" s="2"/>
      <c r="I924" s="72" t="str">
        <f>IFERROR(__xludf.DUMMYFUNCTION("""COMPUTED_VALUE"""),"SPARE PARTS ACQUISITION")</f>
        <v>SPARE PARTS ACQUISITION</v>
      </c>
      <c r="J924" s="72" t="str">
        <f>IFERROR(__xludf.DUMMYFUNCTION("""COMPUTED_VALUE"""),"SPARE PARTS ACQUISITION")</f>
        <v>SPARE PARTS ACQUISITION</v>
      </c>
      <c r="K924" s="72" t="str">
        <f>IFERROR(__xludf.DUMMYFUNCTION("""COMPUTED_VALUE"""),"BEVEL GEAR 24T (LBC)")</f>
        <v>BEVEL GEAR 24T (LBC)</v>
      </c>
      <c r="L924" s="72" t="str">
        <f>IFERROR(__xludf.DUMMYFUNCTION("""COMPUTED_VALUE"""),"PARTS PREPARED: FOR SHIPPING: DONE LBC:")</f>
        <v>PARTS PREPARED: FOR SHIPPING: DONE LBC:</v>
      </c>
      <c r="M924" s="2"/>
      <c r="N924" s="2" t="str">
        <f>IFERROR(__xludf.DUMMYFUNCTION("""COMPUTED_VALUE"""),"PARTS: BEVEL GEAR 24T")</f>
        <v>PARTS: BEVEL GEAR 24T</v>
      </c>
      <c r="O924" s="2" t="str">
        <f>IFERROR(__xludf.DUMMYFUNCTION("""COMPUTED_VALUE"""),"N/A")</f>
        <v>N/A</v>
      </c>
      <c r="P924" s="2"/>
      <c r="Q924" s="2"/>
      <c r="R924" s="74">
        <f>IFERROR(__xludf.DUMMYFUNCTION("""COMPUTED_VALUE"""),45790.0)</f>
        <v>45790</v>
      </c>
      <c r="S924" s="2" t="str">
        <f>IFERROR(__xludf.DUMMYFUNCTION("""COMPUTED_VALUE"""),"MYKEE")</f>
        <v>MYKEE</v>
      </c>
      <c r="T924" s="73">
        <f>IFERROR(__xludf.DUMMYFUNCTION("""COMPUTED_VALUE"""),13100.0)</f>
        <v>13100</v>
      </c>
      <c r="U924" s="73" t="str">
        <f>IFERROR(__xludf.DUMMYFUNCTION("""COMPUTED_VALUE""")," REMITTED ")</f>
        <v>REMITTED</v>
      </c>
      <c r="V924" s="2"/>
      <c r="W924" s="2"/>
      <c r="X924" s="2">
        <f>IFERROR(__xludf.DUMMYFUNCTION("""COMPUTED_VALUE"""),1379.0)</f>
        <v>1379</v>
      </c>
      <c r="Y924" s="2"/>
      <c r="Z924" s="2"/>
      <c r="AA924" s="2"/>
      <c r="AB924" s="2"/>
      <c r="AC924" s="2"/>
      <c r="AD924" s="2"/>
      <c r="AE924" s="2"/>
      <c r="AF924" s="2"/>
      <c r="AG924" s="2"/>
      <c r="AH924" s="2"/>
      <c r="AI924" s="2"/>
      <c r="AJ924" s="2" t="str">
        <f>IFERROR(__xludf.DUMMYFUNCTION("""COMPUTED_VALUE"""),"Boboy")</f>
        <v>Boboy</v>
      </c>
      <c r="AK924" s="2" t="str">
        <f>IFERROR(__xludf.DUMMYFUNCTION("""COMPUTED_VALUE"""),"Agno")</f>
        <v>Agno</v>
      </c>
      <c r="AL924" s="2" t="str">
        <f>IFERROR(__xludf.DUMMYFUNCTION("""COMPUTED_VALUE"""),"Pangasinan")</f>
        <v>Pangasinan</v>
      </c>
      <c r="AM924" s="2">
        <f>IFERROR(__xludf.DUMMYFUNCTION("""COMPUTED_VALUE"""),1.0)</f>
        <v>1</v>
      </c>
      <c r="AN924" s="2" t="str">
        <f>IFERROR(__xludf.DUMMYFUNCTION("""COMPUTED_VALUE"""),"RCEF 23-09-21 Rebidding")</f>
        <v>RCEF 23-09-21 Rebidding</v>
      </c>
      <c r="AO924" s="2">
        <f>IFERROR(__xludf.DUMMYFUNCTION("""COMPUTED_VALUE"""),2.0)</f>
        <v>2</v>
      </c>
      <c r="AP924" s="2"/>
      <c r="AQ924" s="2"/>
      <c r="AR924" s="2"/>
      <c r="AS924" s="2"/>
      <c r="AT924" s="2"/>
      <c r="AU924" s="2"/>
      <c r="AV924" s="2"/>
      <c r="AW924" s="2"/>
      <c r="AX924" s="2"/>
      <c r="AY924" s="2"/>
      <c r="AZ924" s="2"/>
      <c r="BA924" s="2"/>
      <c r="BB924" s="2"/>
    </row>
    <row r="925">
      <c r="A925" s="2">
        <f>IFERROR(__xludf.DUMMYFUNCTION("""COMPUTED_VALUE"""),921.0)</f>
        <v>921</v>
      </c>
      <c r="B925" s="2" t="str">
        <f>IFERROR(__xludf.DUMMYFUNCTION("""COMPUTED_VALUE"""),"COMPLETED")</f>
        <v>COMPLETED</v>
      </c>
      <c r="C925" s="74">
        <f>IFERROR(__xludf.DUMMYFUNCTION("""COMPUTED_VALUE"""),45784.0)</f>
        <v>45784</v>
      </c>
      <c r="D925" s="71" t="str">
        <f>IFERROR(__xludf.DUMMYFUNCTION("""COMPUTED_VALUE"""),"Kaagapay Kilusang Bayang Tagapagpaunlad Multi-Purpose Coopertive (KAAKIBAT MPC)")</f>
        <v>Kaagapay Kilusang Bayang Tagapagpaunlad Multi-Purpose Coopertive (KAAKIBAT MPC)</v>
      </c>
      <c r="E925" s="71" t="str">
        <f>IFERROR(__xludf.DUMMYFUNCTION("""COMPUTED_VALUE"""),"Labangan Poblacion, San Jose, OCCIDENTAL MINDORO")</f>
        <v>Labangan Poblacion, San Jose, OCCIDENTAL MINDORO</v>
      </c>
      <c r="F925" s="2" t="str">
        <f>IFERROR(__xludf.DUMMYFUNCTION("""COMPUTED_VALUE"""),"RAMON SILVERIO")</f>
        <v>RAMON SILVERIO</v>
      </c>
      <c r="G925" s="2">
        <f>IFERROR(__xludf.DUMMYFUNCTION("""COMPUTED_VALUE"""),9.506420584E9)</f>
        <v>9506420584</v>
      </c>
      <c r="H925" s="2">
        <f>IFERROR(__xludf.DUMMYFUNCTION("""COMPUTED_VALUE"""),29.9)</f>
        <v>29.9</v>
      </c>
      <c r="I925" s="72" t="str">
        <f>IFERROR(__xludf.DUMMYFUNCTION("""COMPUTED_VALUE"""),"REPAIR - TRACTOR")</f>
        <v>REPAIR - TRACTOR</v>
      </c>
      <c r="J925" s="72" t="str">
        <f>IFERROR(__xludf.DUMMYFUNCTION("""COMPUTED_VALUE"""),"Transmission - Clutch")</f>
        <v>Transmission - Clutch</v>
      </c>
      <c r="K925" s="72" t="str">
        <f>IFERROR(__xludf.DUMMYFUNCTION("""COMPUTED_VALUE"""),"MYK: YUNG SA Controller NYANG A B C ,, A LANG ANG GUMAGANA, AT YUNG B AND C PAG PINASOK MO DON GUMAGALAW SYA NG BAHAGYA PERO DI MAKAALIS 
162: 5/27/25: RCG: PARTS: CLUTCH DISC ASSY")</f>
        <v>MYK: YUNG SA Controller NYANG A B C ,, A LANG ANG GUMAGANA, AT YUNG B AND C PAG PINASOK MO DON GUMAGALAW SYA NG BAHAGYA PERO DI MAKAALIS 
162: 5/27/25: RCG: PARTS: CLUTCH DISC ASSY</v>
      </c>
      <c r="L925" s="72" t="str">
        <f>IFERROR(__xludf.DUMMYFUNCTION("""COMPUTED_VALUE"""),"RCG: REPLACED CLUTCH LINING")</f>
        <v>RCG: REPLACED CLUTCH LINING</v>
      </c>
      <c r="M925" s="2"/>
      <c r="N925" s="2" t="str">
        <f>IFERROR(__xludf.DUMMYFUNCTION("""COMPUTED_VALUE"""),"PARTS: CLUTCH DISC ASSY")</f>
        <v>PARTS: CLUTCH DISC ASSY</v>
      </c>
      <c r="O925" s="2">
        <f>IFERROR(__xludf.DUMMYFUNCTION("""COMPUTED_VALUE"""),168.0)</f>
        <v>168</v>
      </c>
      <c r="P925" s="2"/>
      <c r="Q925" s="2"/>
      <c r="R925" s="74">
        <f>IFERROR(__xludf.DUMMYFUNCTION("""COMPUTED_VALUE"""),45823.0)</f>
        <v>45823</v>
      </c>
      <c r="S925" s="2" t="str">
        <f>IFERROR(__xludf.DUMMYFUNCTION("""COMPUTED_VALUE"""),"RCG/RBS")</f>
        <v>RCG/RBS</v>
      </c>
      <c r="T925" s="73" t="str">
        <f>IFERROR(__xludf.DUMMYFUNCTION("""COMPUTED_VALUE""")," N/A ")</f>
        <v>N/A</v>
      </c>
      <c r="U925" s="73" t="str">
        <f>IFERROR(__xludf.DUMMYFUNCTION("""COMPUTED_VALUE""")," NO CHARGE ")</f>
        <v>NO CHARGE</v>
      </c>
      <c r="V925" s="2"/>
      <c r="W925" s="2" t="str">
        <f>IFERROR(__xludf.DUMMYFUNCTION("""COMPUTED_VALUE"""),"N/A")</f>
        <v>N/A</v>
      </c>
      <c r="X925" s="2" t="str">
        <f>IFERROR(__xludf.DUMMYFUNCTION("""COMPUTED_VALUE"""),"N/A")</f>
        <v>N/A</v>
      </c>
      <c r="Y925" s="2"/>
      <c r="Z925" s="2"/>
      <c r="AA925" s="2"/>
      <c r="AB925" s="2"/>
      <c r="AC925" s="2"/>
      <c r="AD925" s="2"/>
      <c r="AE925" s="2"/>
      <c r="AF925" s="2"/>
      <c r="AG925" s="2"/>
      <c r="AH925" s="2"/>
      <c r="AI925" s="2"/>
      <c r="AJ925" s="2" t="str">
        <f>IFERROR(__xludf.DUMMYFUNCTION("""COMPUTED_VALUE"""),"Labangan Poblacion")</f>
        <v>Labangan Poblacion</v>
      </c>
      <c r="AK925" s="2" t="str">
        <f>IFERROR(__xludf.DUMMYFUNCTION("""COMPUTED_VALUE"""),"San Jose")</f>
        <v>San Jose</v>
      </c>
      <c r="AL925" s="2" t="str">
        <f>IFERROR(__xludf.DUMMYFUNCTION("""COMPUTED_VALUE"""),"Occidental Mindoro")</f>
        <v>Occidental Mindoro</v>
      </c>
      <c r="AM925" s="2" t="str">
        <f>IFERROR(__xludf.DUMMYFUNCTION("""COMPUTED_VALUE"""),"4B")</f>
        <v>4B</v>
      </c>
      <c r="AN925" s="2" t="str">
        <f>IFERROR(__xludf.DUMMYFUNCTION("""COMPUTED_VALUE"""),"RCEF 24-04-15")</f>
        <v>RCEF 24-04-15</v>
      </c>
      <c r="AO925" s="2">
        <f>IFERROR(__xludf.DUMMYFUNCTION("""COMPUTED_VALUE"""),7.0)</f>
        <v>7</v>
      </c>
      <c r="AP925" s="2" t="str">
        <f>IFERROR(__xludf.DUMMYFUNCTION("""COMPUTED_VALUE"""),"FREE PMS")</f>
        <v>FREE PMS</v>
      </c>
      <c r="AQ925" s="2"/>
      <c r="AR925" s="2"/>
      <c r="AS925" s="2"/>
      <c r="AT925" s="2"/>
      <c r="AU925" s="2"/>
      <c r="AV925" s="2"/>
      <c r="AW925" s="2"/>
      <c r="AX925" s="2"/>
      <c r="AY925" s="2"/>
      <c r="AZ925" s="2"/>
      <c r="BA925" s="2"/>
      <c r="BB925" s="2"/>
    </row>
    <row r="926">
      <c r="A926" s="2">
        <f>IFERROR(__xludf.DUMMYFUNCTION("""COMPUTED_VALUE"""),922.0)</f>
        <v>922</v>
      </c>
      <c r="B926" s="2" t="str">
        <f>IFERROR(__xludf.DUMMYFUNCTION("""COMPUTED_VALUE"""),"COMPLETED")</f>
        <v>COMPLETED</v>
      </c>
      <c r="C926" s="74">
        <f>IFERROR(__xludf.DUMMYFUNCTION("""COMPUTED_VALUE"""),45784.0)</f>
        <v>45784</v>
      </c>
      <c r="D926" s="71" t="str">
        <f>IFERROR(__xludf.DUMMYFUNCTION("""COMPUTED_VALUE"""),"LA TORRE CASAT IRRIGATORS ASSOCIATION INC.")</f>
        <v>LA TORRE CASAT IRRIGATORS ASSOCIATION INC.</v>
      </c>
      <c r="E926" s="71" t="str">
        <f>IFERROR(__xludf.DUMMYFUNCTION("""COMPUTED_VALUE"""),"La Torre North, Bayombong, NUEVA VIZCAYA")</f>
        <v>La Torre North, Bayombong, NUEVA VIZCAYA</v>
      </c>
      <c r="F926" s="2" t="str">
        <f>IFERROR(__xludf.DUMMYFUNCTION("""COMPUTED_VALUE"""),"Albemar M. Mateo")</f>
        <v>Albemar M. Mateo</v>
      </c>
      <c r="G926" s="2">
        <f>IFERROR(__xludf.DUMMYFUNCTION("""COMPUTED_VALUE"""),9.175997233E9)</f>
        <v>9175997233</v>
      </c>
      <c r="H926" s="2">
        <f>IFERROR(__xludf.DUMMYFUNCTION("""COMPUTED_VALUE"""),40.0)</f>
        <v>40</v>
      </c>
      <c r="I926" s="72" t="str">
        <f>IFERROR(__xludf.DUMMYFUNCTION("""COMPUTED_VALUE"""),"PMS")</f>
        <v>PMS</v>
      </c>
      <c r="J926" s="72" t="str">
        <f>IFERROR(__xludf.DUMMYFUNCTION("""COMPUTED_VALUE"""),"PMS")</f>
        <v>PMS</v>
      </c>
      <c r="K926" s="72" t="str">
        <f>IFERROR(__xludf.DUMMYFUNCTION("""COMPUTED_VALUE"""),"MYK: 1ST PMS FREE")</f>
        <v>MYK: 1ST PMS FREE</v>
      </c>
      <c r="L926" s="72" t="str">
        <f>IFERROR(__xludf.DUMMYFUNCTION("""COMPUTED_VALUE"""),"CFG: 1st pms free
1pc oil filter and 5 liter engine oil")</f>
        <v>CFG: 1st pms free
1pc oil filter and 5 liter engine oil</v>
      </c>
      <c r="M926" s="2"/>
      <c r="N926" s="2" t="str">
        <f>IFERROR(__xludf.DUMMYFUNCTION("""COMPUTED_VALUE"""),"PARTS: OIL FILTER, ENGINE OIL")</f>
        <v>PARTS: OIL FILTER, ENGINE OIL</v>
      </c>
      <c r="O926" s="2">
        <f>IFERROR(__xludf.DUMMYFUNCTION("""COMPUTED_VALUE"""),1174.0)</f>
        <v>1174</v>
      </c>
      <c r="P926" s="2"/>
      <c r="Q926" s="2"/>
      <c r="R926" s="74">
        <f>IFERROR(__xludf.DUMMYFUNCTION("""COMPUTED_VALUE"""),45785.0)</f>
        <v>45785</v>
      </c>
      <c r="S926" s="2" t="str">
        <f>IFERROR(__xludf.DUMMYFUNCTION("""COMPUTED_VALUE"""),"CFG")</f>
        <v>CFG</v>
      </c>
      <c r="T926" s="73" t="str">
        <f>IFERROR(__xludf.DUMMYFUNCTION("""COMPUTED_VALUE""")," N/A ")</f>
        <v>N/A</v>
      </c>
      <c r="U926" s="73" t="str">
        <f>IFERROR(__xludf.DUMMYFUNCTION("""COMPUTED_VALUE""")," NO CHARGE ")</f>
        <v>NO CHARGE</v>
      </c>
      <c r="V926" s="2"/>
      <c r="W926" s="2" t="str">
        <f>IFERROR(__xludf.DUMMYFUNCTION("""COMPUTED_VALUE"""),"N/A")</f>
        <v>N/A</v>
      </c>
      <c r="X926" s="2" t="str">
        <f>IFERROR(__xludf.DUMMYFUNCTION("""COMPUTED_VALUE"""),"N/A")</f>
        <v>N/A</v>
      </c>
      <c r="Y926" s="2"/>
      <c r="Z926" s="2"/>
      <c r="AA926" s="2"/>
      <c r="AB926" s="2"/>
      <c r="AC926" s="2"/>
      <c r="AD926" s="2"/>
      <c r="AE926" s="2"/>
      <c r="AF926" s="2"/>
      <c r="AG926" s="2"/>
      <c r="AH926" s="2"/>
      <c r="AI926" s="2"/>
      <c r="AJ926" s="2" t="str">
        <f>IFERROR(__xludf.DUMMYFUNCTION("""COMPUTED_VALUE"""),"La Torre North")</f>
        <v>La Torre North</v>
      </c>
      <c r="AK926" s="2" t="str">
        <f>IFERROR(__xludf.DUMMYFUNCTION("""COMPUTED_VALUE"""),"Bayombong")</f>
        <v>Bayombong</v>
      </c>
      <c r="AL926" s="2" t="str">
        <f>IFERROR(__xludf.DUMMYFUNCTION("""COMPUTED_VALUE"""),"Nueva Vizcaya")</f>
        <v>Nueva Vizcaya</v>
      </c>
      <c r="AM926" s="2">
        <f>IFERROR(__xludf.DUMMYFUNCTION("""COMPUTED_VALUE"""),2.0)</f>
        <v>2</v>
      </c>
      <c r="AN926" s="2" t="str">
        <f>IFERROR(__xludf.DUMMYFUNCTION("""COMPUTED_VALUE"""),"RCEF 24-04-15")</f>
        <v>RCEF 24-04-15</v>
      </c>
      <c r="AO926" s="2">
        <f>IFERROR(__xludf.DUMMYFUNCTION("""COMPUTED_VALUE"""),6.0)</f>
        <v>6</v>
      </c>
      <c r="AP926" s="2" t="str">
        <f>IFERROR(__xludf.DUMMYFUNCTION("""COMPUTED_VALUE"""),"FREE PMS")</f>
        <v>FREE PMS</v>
      </c>
      <c r="AQ926" s="2"/>
      <c r="AR926" s="2"/>
      <c r="AS926" s="2"/>
      <c r="AT926" s="2"/>
      <c r="AU926" s="2"/>
      <c r="AV926" s="2"/>
      <c r="AW926" s="2"/>
      <c r="AX926" s="2"/>
      <c r="AY926" s="2"/>
      <c r="AZ926" s="2"/>
      <c r="BA926" s="2"/>
      <c r="BB926" s="2"/>
    </row>
    <row r="927">
      <c r="A927" s="2">
        <f>IFERROR(__xludf.DUMMYFUNCTION("""COMPUTED_VALUE"""),923.0)</f>
        <v>923</v>
      </c>
      <c r="B927" s="2" t="str">
        <f>IFERROR(__xludf.DUMMYFUNCTION("""COMPUTED_VALUE"""),"COMPLETED")</f>
        <v>COMPLETED</v>
      </c>
      <c r="C927" s="74">
        <f>IFERROR(__xludf.DUMMYFUNCTION("""COMPUTED_VALUE"""),45784.0)</f>
        <v>45784</v>
      </c>
      <c r="D927" s="71" t="str">
        <f>IFERROR(__xludf.DUMMYFUNCTION("""COMPUTED_VALUE"""),"Saint Jerome's Parish Multi-purpose Cooperative")</f>
        <v>Saint Jerome's Parish Multi-purpose Cooperative</v>
      </c>
      <c r="E927" s="71" t="str">
        <f>IFERROR(__xludf.DUMMYFUNCTION("""COMPUTED_VALUE"""),"San Geronimo (Pob.), Bagabag, NUEVA VIZCAYA")</f>
        <v>San Geronimo (Pob.), Bagabag, NUEVA VIZCAYA</v>
      </c>
      <c r="F927" s="2" t="str">
        <f>IFERROR(__xludf.DUMMYFUNCTION("""COMPUTED_VALUE"""),"kitz lascota")</f>
        <v>kitz lascota</v>
      </c>
      <c r="G927" s="2">
        <f>IFERROR(__xludf.DUMMYFUNCTION("""COMPUTED_VALUE"""),9.757605804E9)</f>
        <v>9757605804</v>
      </c>
      <c r="H927" s="2">
        <f>IFERROR(__xludf.DUMMYFUNCTION("""COMPUTED_VALUE"""),240.0)</f>
        <v>240</v>
      </c>
      <c r="I927" s="72" t="str">
        <f>IFERROR(__xludf.DUMMYFUNCTION("""COMPUTED_VALUE"""),"REPAIR - TRACTOR")</f>
        <v>REPAIR - TRACTOR</v>
      </c>
      <c r="J927" s="72" t="str">
        <f>IFERROR(__xludf.DUMMYFUNCTION("""COMPUTED_VALUE"""),"CHECK UP/ REPAIR")</f>
        <v>CHECK UP/ REPAIR</v>
      </c>
      <c r="K927" s="72" t="str">
        <f>IFERROR(__xludf.DUMMYFUNCTION("""COMPUTED_VALUE"""),"MYK: MAY PROBLEMA SA ROTAVATOR , PAG UMINIT NA SYA KALAHATING ORAS TUMITIGIL NALANG SYA KUSA.  KAYLANGAN I COOL DOWN BAGO MAGAMIT ULIT .")</f>
        <v>MYK: MAY PROBLEMA SA ROTAVATOR , PAG UMINIT NA SYA KALAHATING ORAS TUMITIGIL NALANG SYA KUSA.  KAYLANGAN I COOL DOWN BAGO MAGAMIT ULIT .</v>
      </c>
      <c r="L927" s="72" t="str">
        <f>IFERROR(__xludf.DUMMYFUNCTION("""COMPUTED_VALUE"""),"CFG: oky na po unit nila. nag dagdag lng po ako ng 5 lites ng hydrualic oil. at nag adjust po ako sa may PTO Valve. pinatesting ko po sa operator nila. oky nmn na dw po unit nila.")</f>
        <v>CFG: oky na po unit nila. nag dagdag lng po ako ng 5 lites ng hydrualic oil. at nag adjust po ako sa may PTO Valve. pinatesting ko po sa operator nila. oky nmn na dw po unit nila.</v>
      </c>
      <c r="M927" s="2"/>
      <c r="N927" s="2"/>
      <c r="O927" s="2" t="str">
        <f>IFERROR(__xludf.DUMMYFUNCTION("""COMPUTED_VALUE"""),"NEED SERVICE REPORT")</f>
        <v>NEED SERVICE REPORT</v>
      </c>
      <c r="P927" s="2"/>
      <c r="Q927" s="2"/>
      <c r="R927" s="74">
        <f>IFERROR(__xludf.DUMMYFUNCTION("""COMPUTED_VALUE"""),45785.0)</f>
        <v>45785</v>
      </c>
      <c r="S927" s="2" t="str">
        <f>IFERROR(__xludf.DUMMYFUNCTION("""COMPUTED_VALUE"""),"CFG")</f>
        <v>CFG</v>
      </c>
      <c r="T927" s="73" t="str">
        <f>IFERROR(__xludf.DUMMYFUNCTION("""COMPUTED_VALUE""")," N/A ")</f>
        <v>N/A</v>
      </c>
      <c r="U927" s="73" t="str">
        <f>IFERROR(__xludf.DUMMYFUNCTION("""COMPUTED_VALUE""")," NO CHARGE ")</f>
        <v>NO CHARGE</v>
      </c>
      <c r="V927" s="2"/>
      <c r="W927" s="2" t="str">
        <f>IFERROR(__xludf.DUMMYFUNCTION("""COMPUTED_VALUE"""),"N/A")</f>
        <v>N/A</v>
      </c>
      <c r="X927" s="2" t="str">
        <f>IFERROR(__xludf.DUMMYFUNCTION("""COMPUTED_VALUE"""),"N/A")</f>
        <v>N/A</v>
      </c>
      <c r="Y927" s="2"/>
      <c r="Z927" s="2"/>
      <c r="AA927" s="2"/>
      <c r="AB927" s="2"/>
      <c r="AC927" s="2"/>
      <c r="AD927" s="2"/>
      <c r="AE927" s="2"/>
      <c r="AF927" s="2"/>
      <c r="AG927" s="2"/>
      <c r="AH927" s="2"/>
      <c r="AI927" s="2"/>
      <c r="AJ927" s="2" t="str">
        <f>IFERROR(__xludf.DUMMYFUNCTION("""COMPUTED_VALUE"""),"San Geronimo (Pob.)")</f>
        <v>San Geronimo (Pob.)</v>
      </c>
      <c r="AK927" s="2" t="str">
        <f>IFERROR(__xludf.DUMMYFUNCTION("""COMPUTED_VALUE"""),"Bagabag")</f>
        <v>Bagabag</v>
      </c>
      <c r="AL927" s="2" t="str">
        <f>IFERROR(__xludf.DUMMYFUNCTION("""COMPUTED_VALUE"""),"Nueva Vizcaya")</f>
        <v>Nueva Vizcaya</v>
      </c>
      <c r="AM927" s="2">
        <f>IFERROR(__xludf.DUMMYFUNCTION("""COMPUTED_VALUE"""),2.0)</f>
        <v>2</v>
      </c>
      <c r="AN927" s="2" t="str">
        <f>IFERROR(__xludf.DUMMYFUNCTION("""COMPUTED_VALUE"""),"RCEF 23-09-21 Rebidding")</f>
        <v>RCEF 23-09-21 Rebidding</v>
      </c>
      <c r="AO927" s="2">
        <f>IFERROR(__xludf.DUMMYFUNCTION("""COMPUTED_VALUE"""),9.0)</f>
        <v>9</v>
      </c>
      <c r="AP927" s="2"/>
      <c r="AQ927" s="2"/>
      <c r="AR927" s="2"/>
      <c r="AS927" s="2"/>
      <c r="AT927" s="2"/>
      <c r="AU927" s="2"/>
      <c r="AV927" s="2"/>
      <c r="AW927" s="2"/>
      <c r="AX927" s="2"/>
      <c r="AY927" s="2"/>
      <c r="AZ927" s="2"/>
      <c r="BA927" s="2"/>
      <c r="BB927" s="2"/>
    </row>
    <row r="928">
      <c r="A928" s="2">
        <f>IFERROR(__xludf.DUMMYFUNCTION("""COMPUTED_VALUE"""),924.0)</f>
        <v>924</v>
      </c>
      <c r="B928" s="2" t="str">
        <f>IFERROR(__xludf.DUMMYFUNCTION("""COMPUTED_VALUE"""),"COMPLETED")</f>
        <v>COMPLETED</v>
      </c>
      <c r="C928" s="74">
        <f>IFERROR(__xludf.DUMMYFUNCTION("""COMPUTED_VALUE"""),45784.0)</f>
        <v>45784</v>
      </c>
      <c r="D928" s="71" t="str">
        <f>IFERROR(__xludf.DUMMYFUNCTION("""COMPUTED_VALUE"""),"CASILAGAN-BALACONG IRRIGATORS' ASSOCIATION, INC.")</f>
        <v>CASILAGAN-BALACONG IRRIGATORS' ASSOCIATION, INC.</v>
      </c>
      <c r="E928" s="71" t="str">
        <f>IFERROR(__xludf.DUMMYFUNCTION("""COMPUTED_VALUE"""),"Cabeseria 14 and 16 (Casilagan), Ilagan City, ISABELA")</f>
        <v>Cabeseria 14 and 16 (Casilagan), Ilagan City, ISABELA</v>
      </c>
      <c r="F928" s="2" t="str">
        <f>IFERROR(__xludf.DUMMYFUNCTION("""COMPUTED_VALUE"""),"JOEL E. BUENO")</f>
        <v>JOEL E. BUENO</v>
      </c>
      <c r="G928" s="2">
        <f>IFERROR(__xludf.DUMMYFUNCTION("""COMPUTED_VALUE"""),9.061553332E9)</f>
        <v>9061553332</v>
      </c>
      <c r="H928" s="2">
        <f>IFERROR(__xludf.DUMMYFUNCTION("""COMPUTED_VALUE"""),9.2)</f>
        <v>9.2</v>
      </c>
      <c r="I928" s="72" t="str">
        <f>IFERROR(__xludf.DUMMYFUNCTION("""COMPUTED_VALUE"""),"REPAIR - TRACTOR")</f>
        <v>REPAIR - TRACTOR</v>
      </c>
      <c r="J928" s="72" t="str">
        <f>IFERROR(__xludf.DUMMYFUNCTION("""COMPUTED_VALUE"""),"RADIATOR")</f>
        <v>RADIATOR</v>
      </c>
      <c r="K928" s="72" t="str">
        <f>IFERROR(__xludf.DUMMYFUNCTION("""COMPUTED_VALUE"""),"CFG: RADIATOR DAMAGE")</f>
        <v>CFG: RADIATOR DAMAGE</v>
      </c>
      <c r="L928" s="72" t="str">
        <f>IFERROR(__xludf.DUMMYFUNCTION("""COMPUTED_VALUE"""),"COORDINATED: WAITING FOR PICTURES: PICTURES SAVED
CFG: REPLACEMENT OF NEW RADIATOR")</f>
        <v>COORDINATED: WAITING FOR PICTURES: PICTURES SAVED
CFG: REPLACEMENT OF NEW RADIATOR</v>
      </c>
      <c r="M928" s="2"/>
      <c r="N928" s="2" t="str">
        <f>IFERROR(__xludf.DUMMYFUNCTION("""COMPUTED_VALUE"""),"PARTS: RADIATOR ")</f>
        <v>PARTS: RADIATOR </v>
      </c>
      <c r="O928" s="2">
        <f>IFERROR(__xludf.DUMMYFUNCTION("""COMPUTED_VALUE"""),1175.0)</f>
        <v>1175</v>
      </c>
      <c r="P928" s="2"/>
      <c r="Q928" s="2"/>
      <c r="R928" s="74">
        <f>IFERROR(__xludf.DUMMYFUNCTION("""COMPUTED_VALUE"""),45796.0)</f>
        <v>45796</v>
      </c>
      <c r="S928" s="2" t="str">
        <f>IFERROR(__xludf.DUMMYFUNCTION("""COMPUTED_VALUE"""),"CFG")</f>
        <v>CFG</v>
      </c>
      <c r="T928" s="73" t="str">
        <f>IFERROR(__xludf.DUMMYFUNCTION("""COMPUTED_VALUE""")," N/A ")</f>
        <v>N/A</v>
      </c>
      <c r="U928" s="73" t="str">
        <f>IFERROR(__xludf.DUMMYFUNCTION("""COMPUTED_VALUE""")," NO CHARGE ")</f>
        <v>NO CHARGE</v>
      </c>
      <c r="V928" s="2"/>
      <c r="W928" s="2" t="str">
        <f>IFERROR(__xludf.DUMMYFUNCTION("""COMPUTED_VALUE"""),"N/A")</f>
        <v>N/A</v>
      </c>
      <c r="X928" s="2" t="str">
        <f>IFERROR(__xludf.DUMMYFUNCTION("""COMPUTED_VALUE"""),"N/A")</f>
        <v>N/A</v>
      </c>
      <c r="Y928" s="2"/>
      <c r="Z928" s="2"/>
      <c r="AA928" s="2"/>
      <c r="AB928" s="2"/>
      <c r="AC928" s="2"/>
      <c r="AD928" s="2"/>
      <c r="AE928" s="2"/>
      <c r="AF928" s="2"/>
      <c r="AG928" s="2"/>
      <c r="AH928" s="2"/>
      <c r="AI928" s="2"/>
      <c r="AJ928" s="2" t="str">
        <f>IFERROR(__xludf.DUMMYFUNCTION("""COMPUTED_VALUE"""),"Cabeseria 14 And 16 (Casilagan)")</f>
        <v>Cabeseria 14 And 16 (Casilagan)</v>
      </c>
      <c r="AK928" s="2" t="str">
        <f>IFERROR(__xludf.DUMMYFUNCTION("""COMPUTED_VALUE"""),"Ilagan City")</f>
        <v>Ilagan City</v>
      </c>
      <c r="AL928" s="2" t="str">
        <f>IFERROR(__xludf.DUMMYFUNCTION("""COMPUTED_VALUE"""),"Isabela")</f>
        <v>Isabela</v>
      </c>
      <c r="AM928" s="2">
        <f>IFERROR(__xludf.DUMMYFUNCTION("""COMPUTED_VALUE"""),2.0)</f>
        <v>2</v>
      </c>
      <c r="AN928" s="2" t="str">
        <f>IFERROR(__xludf.DUMMYFUNCTION("""COMPUTED_VALUE"""),"Repeat Order")</f>
        <v>Repeat Order</v>
      </c>
      <c r="AO928" s="2">
        <f>IFERROR(__xludf.DUMMYFUNCTION("""COMPUTED_VALUE"""),6.0)</f>
        <v>6</v>
      </c>
      <c r="AP928" s="2" t="str">
        <f>IFERROR(__xludf.DUMMYFUNCTION("""COMPUTED_VALUE"""),"FREE PMS")</f>
        <v>FREE PMS</v>
      </c>
      <c r="AQ928" s="2"/>
      <c r="AR928" s="2"/>
      <c r="AS928" s="2"/>
      <c r="AT928" s="2"/>
      <c r="AU928" s="2"/>
      <c r="AV928" s="2"/>
      <c r="AW928" s="2"/>
      <c r="AX928" s="2"/>
      <c r="AY928" s="2"/>
      <c r="AZ928" s="2"/>
      <c r="BA928" s="2"/>
      <c r="BB928" s="2"/>
    </row>
    <row r="929">
      <c r="A929" s="2">
        <f>IFERROR(__xludf.DUMMYFUNCTION("""COMPUTED_VALUE"""),925.0)</f>
        <v>925</v>
      </c>
      <c r="B929" s="2" t="str">
        <f>IFERROR(__xludf.DUMMYFUNCTION("""COMPUTED_VALUE"""),"COMPLETED")</f>
        <v>COMPLETED</v>
      </c>
      <c r="C929" s="74">
        <f>IFERROR(__xludf.DUMMYFUNCTION("""COMPUTED_VALUE"""),45785.0)</f>
        <v>45785</v>
      </c>
      <c r="D929" s="71" t="str">
        <f>IFERROR(__xludf.DUMMYFUNCTION("""COMPUTED_VALUE"""),"LIOZON FISHERFOLKS AND FARMERS' ASSOCIATION")</f>
        <v>LIOZON FISHERFOLKS AND FARMERS' ASSOCIATION</v>
      </c>
      <c r="E929" s="71" t="str">
        <f>IFERROR(__xludf.DUMMYFUNCTION("""COMPUTED_VALUE"""),"Liozon, Palauig, ZAMBALES")</f>
        <v>Liozon, Palauig, ZAMBALES</v>
      </c>
      <c r="F929" s="2" t="str">
        <f>IFERROR(__xludf.DUMMYFUNCTION("""COMPUTED_VALUE"""),"RENE A. ALVES")</f>
        <v>RENE A. ALVES</v>
      </c>
      <c r="G929" s="2">
        <f>IFERROR(__xludf.DUMMYFUNCTION("""COMPUTED_VALUE"""),9.502454865E9)</f>
        <v>9502454865</v>
      </c>
      <c r="H929" s="2">
        <f>IFERROR(__xludf.DUMMYFUNCTION("""COMPUTED_VALUE"""),380.0)</f>
        <v>380</v>
      </c>
      <c r="I929" s="72" t="str">
        <f>IFERROR(__xludf.DUMMYFUNCTION("""COMPUTED_VALUE"""),"REPAIR - TRACTOR")</f>
        <v>REPAIR - TRACTOR</v>
      </c>
      <c r="J929" s="72" t="str">
        <f>IFERROR(__xludf.DUMMYFUNCTION("""COMPUTED_VALUE"""),"CHECK UP/ REPAIR")</f>
        <v>CHECK UP/ REPAIR</v>
      </c>
      <c r="K929" s="72" t="str">
        <f>IFERROR(__xludf.DUMMYFUNCTION("""COMPUTED_VALUE"""),"EGT: NAG LEAK ULIT YUNG KINABIT NAMING OIL SEAL SA LIKOD")</f>
        <v>EGT: NAG LEAK ULIT YUNG KINABIT NAMING OIL SEAL SA LIKOD</v>
      </c>
      <c r="L929" s="72" t="str">
        <f>IFERROR(__xludf.DUMMYFUNCTION("""COMPUTED_VALUE"""),"DSD: LEAKING AT THE BREAK COVER, CLEAN PUT SOME BEATA GRAY SEALANT : CHANGE OIL ENGINE AND ROTAVATOR")</f>
        <v>DSD: LEAKING AT THE BREAK COVER, CLEAN PUT SOME BEATA GRAY SEALANT : CHANGE OIL ENGINE AND ROTAVATOR</v>
      </c>
      <c r="M929" s="2"/>
      <c r="N929" s="2"/>
      <c r="O929" s="2">
        <f>IFERROR(__xludf.DUMMYFUNCTION("""COMPUTED_VALUE"""),151.0)</f>
        <v>151</v>
      </c>
      <c r="P929" s="2"/>
      <c r="Q929" s="2"/>
      <c r="R929" s="74">
        <f>IFERROR(__xludf.DUMMYFUNCTION("""COMPUTED_VALUE"""),45785.0)</f>
        <v>45785</v>
      </c>
      <c r="S929" s="2" t="str">
        <f>IFERROR(__xludf.DUMMYFUNCTION("""COMPUTED_VALUE"""),"DSD/RCG")</f>
        <v>DSD/RCG</v>
      </c>
      <c r="T929" s="73" t="str">
        <f>IFERROR(__xludf.DUMMYFUNCTION("""COMPUTED_VALUE""")," N/A ")</f>
        <v>N/A</v>
      </c>
      <c r="U929" s="73" t="str">
        <f>IFERROR(__xludf.DUMMYFUNCTION("""COMPUTED_VALUE""")," NO CHARGE ")</f>
        <v>NO CHARGE</v>
      </c>
      <c r="V929" s="2"/>
      <c r="W929" s="2" t="str">
        <f>IFERROR(__xludf.DUMMYFUNCTION("""COMPUTED_VALUE"""),"N/A")</f>
        <v>N/A</v>
      </c>
      <c r="X929" s="2" t="str">
        <f>IFERROR(__xludf.DUMMYFUNCTION("""COMPUTED_VALUE"""),"N/A")</f>
        <v>N/A</v>
      </c>
      <c r="Y929" s="2"/>
      <c r="Z929" s="2"/>
      <c r="AA929" s="2"/>
      <c r="AB929" s="2"/>
      <c r="AC929" s="2"/>
      <c r="AD929" s="2"/>
      <c r="AE929" s="2"/>
      <c r="AF929" s="2"/>
      <c r="AG929" s="2"/>
      <c r="AH929" s="2"/>
      <c r="AI929" s="2"/>
      <c r="AJ929" s="2" t="str">
        <f>IFERROR(__xludf.DUMMYFUNCTION("""COMPUTED_VALUE"""),"Liozon")</f>
        <v>Liozon</v>
      </c>
      <c r="AK929" s="2" t="str">
        <f>IFERROR(__xludf.DUMMYFUNCTION("""COMPUTED_VALUE"""),"Palauig")</f>
        <v>Palauig</v>
      </c>
      <c r="AL929" s="2" t="str">
        <f>IFERROR(__xludf.DUMMYFUNCTION("""COMPUTED_VALUE"""),"Zambales")</f>
        <v>Zambales</v>
      </c>
      <c r="AM929" s="2">
        <f>IFERROR(__xludf.DUMMYFUNCTION("""COMPUTED_VALUE"""),3.0)</f>
        <v>3</v>
      </c>
      <c r="AN929" s="2" t="str">
        <f>IFERROR(__xludf.DUMMYFUNCTION("""COMPUTED_VALUE"""),"RCEF 23-09-21 Rebidding")</f>
        <v>RCEF 23-09-21 Rebidding</v>
      </c>
      <c r="AO929" s="2">
        <f>IFERROR(__xludf.DUMMYFUNCTION("""COMPUTED_VALUE"""),3.0)</f>
        <v>3</v>
      </c>
      <c r="AP929" s="2"/>
      <c r="AQ929" s="2"/>
      <c r="AR929" s="2"/>
      <c r="AS929" s="2"/>
      <c r="AT929" s="2"/>
      <c r="AU929" s="2"/>
      <c r="AV929" s="2"/>
      <c r="AW929" s="2"/>
      <c r="AX929" s="2"/>
      <c r="AY929" s="2"/>
      <c r="AZ929" s="2"/>
      <c r="BA929" s="2"/>
      <c r="BB929" s="2"/>
    </row>
    <row r="930">
      <c r="A930" s="2">
        <f>IFERROR(__xludf.DUMMYFUNCTION("""COMPUTED_VALUE"""),926.0)</f>
        <v>926</v>
      </c>
      <c r="B930" s="2" t="str">
        <f>IFERROR(__xludf.DUMMYFUNCTION("""COMPUTED_VALUE"""),"COMPLETED")</f>
        <v>COMPLETED</v>
      </c>
      <c r="C930" s="74">
        <f>IFERROR(__xludf.DUMMYFUNCTION("""COMPUTED_VALUE"""),45785.0)</f>
        <v>45785</v>
      </c>
      <c r="D930" s="71" t="str">
        <f>IFERROR(__xludf.DUMMYFUNCTION("""COMPUTED_VALUE"""),"MAGSASAKA NG BAGONG HENERASYON NG BARANGAY SIMMINUBLAN (MBHBS)")</f>
        <v>MAGSASAKA NG BAGONG HENERASYON NG BARANGAY SIMMINUBLAN (MBHBS)</v>
      </c>
      <c r="E930" s="71" t="str">
        <f>IFERROR(__xludf.DUMMYFUNCTION("""COMPUTED_VALUE"""),"Siminublan, San Narciso, ZAMBALES")</f>
        <v>Siminublan, San Narciso, ZAMBALES</v>
      </c>
      <c r="F930" s="2" t="str">
        <f>IFERROR(__xludf.DUMMYFUNCTION("""COMPUTED_VALUE"""),"JACQUILINE DADURAL")</f>
        <v>JACQUILINE DADURAL</v>
      </c>
      <c r="G930" s="2">
        <f>IFERROR(__xludf.DUMMYFUNCTION("""COMPUTED_VALUE"""),9.100724561E9)</f>
        <v>9100724561</v>
      </c>
      <c r="H930" s="2">
        <f>IFERROR(__xludf.DUMMYFUNCTION("""COMPUTED_VALUE"""),239.0)</f>
        <v>239</v>
      </c>
      <c r="I930" s="72" t="str">
        <f>IFERROR(__xludf.DUMMYFUNCTION("""COMPUTED_VALUE"""),"REPAIR - TRACTOR")</f>
        <v>REPAIR - TRACTOR</v>
      </c>
      <c r="J930" s="72" t="str">
        <f>IFERROR(__xludf.DUMMYFUNCTION("""COMPUTED_VALUE"""),"Front Axle - Leaking")</f>
        <v>Front Axle - Leaking</v>
      </c>
      <c r="K930" s="72" t="str">
        <f>IFERROR(__xludf.DUMMYFUNCTION("""COMPUTED_VALUE"""),"EGT: FRONT AXLE LEAKING")</f>
        <v>EGT: FRONT AXLE LEAKING</v>
      </c>
      <c r="L930" s="72" t="str">
        <f>IFERROR(__xludf.DUMMYFUNCTION("""COMPUTED_VALUE"""),"DSD: OIL SEAL WORN OUT, REPLACE OFRONT AXLE OIL SEAL (MIDDLE) ")</f>
        <v>DSD: OIL SEAL WORN OUT, REPLACE OFRONT AXLE OIL SEAL (MIDDLE) </v>
      </c>
      <c r="M930" s="2"/>
      <c r="N930" s="2" t="str">
        <f>IFERROR(__xludf.DUMMYFUNCTION("""COMPUTED_VALUE"""),"PARTS: OIL SEAL TA00041359")</f>
        <v>PARTS: OIL SEAL TA00041359</v>
      </c>
      <c r="O930" s="2">
        <f>IFERROR(__xludf.DUMMYFUNCTION("""COMPUTED_VALUE"""),152.0)</f>
        <v>152</v>
      </c>
      <c r="P930" s="2"/>
      <c r="Q930" s="2"/>
      <c r="R930" s="74">
        <f>IFERROR(__xludf.DUMMYFUNCTION("""COMPUTED_VALUE"""),45785.0)</f>
        <v>45785</v>
      </c>
      <c r="S930" s="2" t="str">
        <f>IFERROR(__xludf.DUMMYFUNCTION("""COMPUTED_VALUE"""),"DSD/RCG")</f>
        <v>DSD/RCG</v>
      </c>
      <c r="T930" s="73">
        <f>IFERROR(__xludf.DUMMYFUNCTION("""COMPUTED_VALUE"""),3375.0)</f>
        <v>3375</v>
      </c>
      <c r="U930" s="73" t="str">
        <f>IFERROR(__xludf.DUMMYFUNCTION("""COMPUTED_VALUE""")," REMITTED ")</f>
        <v>REMITTED</v>
      </c>
      <c r="V930" s="2"/>
      <c r="W930" s="2">
        <f>IFERROR(__xludf.DUMMYFUNCTION("""COMPUTED_VALUE"""),1184.0)</f>
        <v>1184</v>
      </c>
      <c r="X930" s="2">
        <f>IFERROR(__xludf.DUMMYFUNCTION("""COMPUTED_VALUE"""),1378.0)</f>
        <v>1378</v>
      </c>
      <c r="Y930" s="2"/>
      <c r="Z930" s="2"/>
      <c r="AA930" s="2"/>
      <c r="AB930" s="2"/>
      <c r="AC930" s="2"/>
      <c r="AD930" s="2"/>
      <c r="AE930" s="2"/>
      <c r="AF930" s="2"/>
      <c r="AG930" s="2"/>
      <c r="AH930" s="2"/>
      <c r="AI930" s="2"/>
      <c r="AJ930" s="2" t="str">
        <f>IFERROR(__xludf.DUMMYFUNCTION("""COMPUTED_VALUE"""),"Siminublan")</f>
        <v>Siminublan</v>
      </c>
      <c r="AK930" s="2" t="str">
        <f>IFERROR(__xludf.DUMMYFUNCTION("""COMPUTED_VALUE"""),"San Narciso")</f>
        <v>San Narciso</v>
      </c>
      <c r="AL930" s="2" t="str">
        <f>IFERROR(__xludf.DUMMYFUNCTION("""COMPUTED_VALUE"""),"Zambales")</f>
        <v>Zambales</v>
      </c>
      <c r="AM930" s="2">
        <f>IFERROR(__xludf.DUMMYFUNCTION("""COMPUTED_VALUE"""),3.0)</f>
        <v>3</v>
      </c>
      <c r="AN930" s="2" t="str">
        <f>IFERROR(__xludf.DUMMYFUNCTION("""COMPUTED_VALUE"""),"RCEF 23-09-21 Rebidding")</f>
        <v>RCEF 23-09-21 Rebidding</v>
      </c>
      <c r="AO930" s="2">
        <f>IFERROR(__xludf.DUMMYFUNCTION("""COMPUTED_VALUE"""),9.0)</f>
        <v>9</v>
      </c>
      <c r="AP930" s="2"/>
      <c r="AQ930" s="2"/>
      <c r="AR930" s="2"/>
      <c r="AS930" s="2"/>
      <c r="AT930" s="2"/>
      <c r="AU930" s="2"/>
      <c r="AV930" s="2"/>
      <c r="AW930" s="2"/>
      <c r="AX930" s="2"/>
      <c r="AY930" s="2"/>
      <c r="AZ930" s="2"/>
      <c r="BA930" s="2"/>
      <c r="BB930" s="2"/>
    </row>
    <row r="931">
      <c r="A931" s="2">
        <f>IFERROR(__xludf.DUMMYFUNCTION("""COMPUTED_VALUE"""),927.0)</f>
        <v>927</v>
      </c>
      <c r="B931" s="2" t="str">
        <f>IFERROR(__xludf.DUMMYFUNCTION("""COMPUTED_VALUE"""),"COMPLETED")</f>
        <v>COMPLETED</v>
      </c>
      <c r="C931" s="74">
        <f>IFERROR(__xludf.DUMMYFUNCTION("""COMPUTED_VALUE"""),45786.0)</f>
        <v>45786</v>
      </c>
      <c r="D931" s="71"/>
      <c r="E931" s="71" t="str">
        <f>IFERROR(__xludf.DUMMYFUNCTION("""COMPUTED_VALUE""")," ")</f>
        <v> </v>
      </c>
      <c r="F931" s="2" t="str">
        <f>IFERROR(__xludf.DUMMYFUNCTION("""COMPUTED_VALUE"""),"BABANGON IRRIGATORS ASSOCIATION INC.
ROSENDO OCRETO SR.")</f>
        <v>BABANGON IRRIGATORS ASSOCIATION INC.
ROSENDO OCRETO SR.</v>
      </c>
      <c r="G931" s="2" t="str">
        <f>IFERROR(__xludf.DUMMYFUNCTION("""COMPUTED_VALUE"""),"09536547604 / 0975862509")</f>
        <v>09536547604 / 0975862509</v>
      </c>
      <c r="H931" s="2"/>
      <c r="I931" s="72" t="str">
        <f>IFERROR(__xludf.DUMMYFUNCTION("""COMPUTED_VALUE"""),"SPARE PARTS ACQUISITION")</f>
        <v>SPARE PARTS ACQUISITION</v>
      </c>
      <c r="J931" s="72" t="str">
        <f>IFERROR(__xludf.DUMMYFUNCTION("""COMPUTED_VALUE"""),"SPARE PARTS ACQUISITION")</f>
        <v>SPARE PARTS ACQUISITION</v>
      </c>
      <c r="K931" s="72" t="str">
        <f>IFERROR(__xludf.DUMMYFUNCTION("""COMPUTED_VALUE"""),"RCG: ROLLER CHAIN #80-76L")</f>
        <v>RCG: ROLLER CHAIN #80-76L</v>
      </c>
      <c r="L931" s="72" t="str">
        <f>IFERROR(__xludf.DUMMYFUNCTION("""COMPUTED_VALUE"""),"INSTALLATION OF ROLLER CHAIN")</f>
        <v>INSTALLATION OF ROLLER CHAIN</v>
      </c>
      <c r="M931" s="2"/>
      <c r="N931" s="2" t="str">
        <f>IFERROR(__xludf.DUMMYFUNCTION("""COMPUTED_VALUE"""),"PARTS: ROLLER CAHIN #80-76L")</f>
        <v>PARTS: ROLLER CAHIN #80-76L</v>
      </c>
      <c r="O931" s="2">
        <f>IFERROR(__xludf.DUMMYFUNCTION("""COMPUTED_VALUE"""),1385.0)</f>
        <v>1385</v>
      </c>
      <c r="P931" s="2"/>
      <c r="Q931" s="2"/>
      <c r="R931" s="74">
        <f>IFERROR(__xludf.DUMMYFUNCTION("""COMPUTED_VALUE"""),45786.0)</f>
        <v>45786</v>
      </c>
      <c r="S931" s="2" t="str">
        <f>IFERROR(__xludf.DUMMYFUNCTION("""COMPUTED_VALUE"""),"JVV/JDP")</f>
        <v>JVV/JDP</v>
      </c>
      <c r="T931" s="73">
        <f>IFERROR(__xludf.DUMMYFUNCTION("""COMPUTED_VALUE"""),15660.0)</f>
        <v>15660</v>
      </c>
      <c r="U931" s="73" t="str">
        <f>IFERROR(__xludf.DUMMYFUNCTION("""COMPUTED_VALUE""")," REMITTED ")</f>
        <v>REMITTED</v>
      </c>
      <c r="V931" s="2"/>
      <c r="W931" s="2">
        <f>IFERROR(__xludf.DUMMYFUNCTION("""COMPUTED_VALUE"""),1186.0)</f>
        <v>1186</v>
      </c>
      <c r="X931" s="2">
        <f>IFERROR(__xludf.DUMMYFUNCTION("""COMPUTED_VALUE"""),1375.0)</f>
        <v>1375</v>
      </c>
      <c r="Y931" s="2"/>
      <c r="Z931" s="2"/>
      <c r="AA931" s="2"/>
      <c r="AB931" s="2"/>
      <c r="AC931" s="2"/>
      <c r="AD931" s="2"/>
      <c r="AE931" s="2"/>
      <c r="AF931" s="2"/>
      <c r="AG931" s="2"/>
      <c r="AH931" s="2"/>
      <c r="AI931" s="2"/>
      <c r="AJ931" s="2" t="str">
        <f>IFERROR(__xludf.DUMMYFUNCTION("""COMPUTED_VALUE"""),"")</f>
        <v/>
      </c>
      <c r="AK931" s="2" t="str">
        <f>IFERROR(__xludf.DUMMYFUNCTION("""COMPUTED_VALUE"""),"")</f>
        <v/>
      </c>
      <c r="AL931" s="2" t="str">
        <f>IFERROR(__xludf.DUMMYFUNCTION("""COMPUTED_VALUE"""),"")</f>
        <v/>
      </c>
      <c r="AM931" s="2" t="str">
        <f>IFERROR(__xludf.DUMMYFUNCTION("""COMPUTED_VALUE"""),"")</f>
        <v/>
      </c>
      <c r="AN931" s="2" t="str">
        <f>IFERROR(__xludf.DUMMYFUNCTION("""COMPUTED_VALUE""")," ")</f>
        <v> </v>
      </c>
      <c r="AO931" s="2" t="str">
        <f>IFERROR(__xludf.DUMMYFUNCTION("""COMPUTED_VALUE""")," ")</f>
        <v> </v>
      </c>
      <c r="AP931" s="2" t="str">
        <f>IFERROR(__xludf.DUMMYFUNCTION("""COMPUTED_VALUE"""),"")</f>
        <v/>
      </c>
      <c r="AQ931" s="2"/>
      <c r="AR931" s="2"/>
      <c r="AS931" s="2"/>
      <c r="AT931" s="2"/>
      <c r="AU931" s="2"/>
      <c r="AV931" s="2"/>
      <c r="AW931" s="2"/>
      <c r="AX931" s="2"/>
      <c r="AY931" s="2"/>
      <c r="AZ931" s="2"/>
      <c r="BA931" s="2"/>
      <c r="BB931" s="2"/>
    </row>
    <row r="932">
      <c r="A932" s="2">
        <f>IFERROR(__xludf.DUMMYFUNCTION("""COMPUTED_VALUE"""),928.0)</f>
        <v>928</v>
      </c>
      <c r="B932" s="2" t="str">
        <f>IFERROR(__xludf.DUMMYFUNCTION("""COMPUTED_VALUE"""),"COMPLETED")</f>
        <v>COMPLETED</v>
      </c>
      <c r="C932" s="74">
        <f>IFERROR(__xludf.DUMMYFUNCTION("""COMPUTED_VALUE"""),45786.0)</f>
        <v>45786</v>
      </c>
      <c r="D932" s="71"/>
      <c r="E932" s="71" t="str">
        <f>IFERROR(__xludf.DUMMYFUNCTION("""COMPUTED_VALUE""")," ")</f>
        <v> </v>
      </c>
      <c r="F932" s="2" t="str">
        <f>IFERROR(__xludf.DUMMYFUNCTION("""COMPUTED_VALUE"""),"SASSAKACO COOPERATIVE
ROBERT NABALTA")</f>
        <v>SASSAKACO COOPERATIVE
ROBERT NABALTA</v>
      </c>
      <c r="G932" s="2">
        <f>IFERROR(__xludf.DUMMYFUNCTION("""COMPUTED_VALUE"""),9.755377138E9)</f>
        <v>9755377138</v>
      </c>
      <c r="H932" s="2">
        <f>IFERROR(__xludf.DUMMYFUNCTION("""COMPUTED_VALUE"""),1317.8)</f>
        <v>1317.8</v>
      </c>
      <c r="I932" s="72" t="str">
        <f>IFERROR(__xludf.DUMMYFUNCTION("""COMPUTED_VALUE"""),"REPAIR - TRACTOR")</f>
        <v>REPAIR - TRACTOR</v>
      </c>
      <c r="J932" s="72" t="str">
        <f>IFERROR(__xludf.DUMMYFUNCTION("""COMPUTED_VALUE"""),"Rear Axle")</f>
        <v>Rear Axle</v>
      </c>
      <c r="K932" s="72" t="str">
        <f>IFERROR(__xludf.DUMMYFUNCTION("""COMPUTED_VALUE"""),"HAMOR: REAR AXLE LEAKING")</f>
        <v>HAMOR: REAR AXLE LEAKING</v>
      </c>
      <c r="L932" s="72" t="str">
        <f>IFERROR(__xludf.DUMMYFUNCTION("""COMPUTED_VALUE"""),"HAMOR: REPLACE REAR AXLE OIL SEAL")</f>
        <v>HAMOR: REPLACE REAR AXLE OIL SEAL</v>
      </c>
      <c r="M932" s="2"/>
      <c r="N932" s="2" t="str">
        <f>IFERROR(__xludf.DUMMYFUNCTION("""COMPUTED_VALUE"""),"PARTS: REAR AXLE OIL SEAL ")</f>
        <v>PARTS: REAR AXLE OIL SEAL </v>
      </c>
      <c r="O932" s="2" t="str">
        <f>IFERROR(__xludf.DUMMYFUNCTION("""COMPUTED_VALUE"""),"NEED SERVICE REPORT")</f>
        <v>NEED SERVICE REPORT</v>
      </c>
      <c r="P932" s="2"/>
      <c r="Q932" s="2"/>
      <c r="R932" s="74">
        <f>IFERROR(__xludf.DUMMYFUNCTION("""COMPUTED_VALUE"""),45786.0)</f>
        <v>45786</v>
      </c>
      <c r="S932" s="2" t="str">
        <f>IFERROR(__xludf.DUMMYFUNCTION("""COMPUTED_VALUE"""),"HAMOR/RBS")</f>
        <v>HAMOR/RBS</v>
      </c>
      <c r="T932" s="73">
        <f>IFERROR(__xludf.DUMMYFUNCTION("""COMPUTED_VALUE"""),6100.0)</f>
        <v>6100</v>
      </c>
      <c r="U932" s="73" t="str">
        <f>IFERROR(__xludf.DUMMYFUNCTION("""COMPUTED_VALUE""")," REMITTED ")</f>
        <v>REMITTED</v>
      </c>
      <c r="V932" s="2"/>
      <c r="W932" s="2">
        <f>IFERROR(__xludf.DUMMYFUNCTION("""COMPUTED_VALUE"""),1401.0)</f>
        <v>1401</v>
      </c>
      <c r="X932" s="2">
        <f>IFERROR(__xludf.DUMMYFUNCTION("""COMPUTED_VALUE"""),1377.0)</f>
        <v>1377</v>
      </c>
      <c r="Y932" s="2"/>
      <c r="Z932" s="2"/>
      <c r="AA932" s="2"/>
      <c r="AB932" s="2"/>
      <c r="AC932" s="2"/>
      <c r="AD932" s="2"/>
      <c r="AE932" s="2"/>
      <c r="AF932" s="2"/>
      <c r="AG932" s="2"/>
      <c r="AH932" s="2"/>
      <c r="AI932" s="2"/>
      <c r="AJ932" s="2" t="str">
        <f>IFERROR(__xludf.DUMMYFUNCTION("""COMPUTED_VALUE"""),"")</f>
        <v/>
      </c>
      <c r="AK932" s="2" t="str">
        <f>IFERROR(__xludf.DUMMYFUNCTION("""COMPUTED_VALUE"""),"")</f>
        <v/>
      </c>
      <c r="AL932" s="2" t="str">
        <f>IFERROR(__xludf.DUMMYFUNCTION("""COMPUTED_VALUE"""),"")</f>
        <v/>
      </c>
      <c r="AM932" s="2" t="str">
        <f>IFERROR(__xludf.DUMMYFUNCTION("""COMPUTED_VALUE"""),"")</f>
        <v/>
      </c>
      <c r="AN932" s="2" t="str">
        <f>IFERROR(__xludf.DUMMYFUNCTION("""COMPUTED_VALUE""")," ")</f>
        <v> </v>
      </c>
      <c r="AO932" s="2" t="str">
        <f>IFERROR(__xludf.DUMMYFUNCTION("""COMPUTED_VALUE""")," ")</f>
        <v> </v>
      </c>
      <c r="AP932" s="2" t="str">
        <f>IFERROR(__xludf.DUMMYFUNCTION("""COMPUTED_VALUE"""),"")</f>
        <v/>
      </c>
      <c r="AQ932" s="2"/>
      <c r="AR932" s="2"/>
      <c r="AS932" s="2"/>
      <c r="AT932" s="2"/>
      <c r="AU932" s="2"/>
      <c r="AV932" s="2"/>
      <c r="AW932" s="2"/>
      <c r="AX932" s="2"/>
      <c r="AY932" s="2"/>
      <c r="AZ932" s="2"/>
      <c r="BA932" s="2"/>
      <c r="BB932" s="2"/>
    </row>
    <row r="933">
      <c r="A933" s="2">
        <f>IFERROR(__xludf.DUMMYFUNCTION("""COMPUTED_VALUE"""),929.0)</f>
        <v>929</v>
      </c>
      <c r="B933" s="2" t="str">
        <f>IFERROR(__xludf.DUMMYFUNCTION("""COMPUTED_VALUE"""),"COMPLETED")</f>
        <v>COMPLETED</v>
      </c>
      <c r="C933" s="74">
        <f>IFERROR(__xludf.DUMMYFUNCTION("""COMPUTED_VALUE"""),45787.0)</f>
        <v>45787</v>
      </c>
      <c r="D933" s="71" t="str">
        <f>IFERROR(__xludf.DUMMYFUNCTION("""COMPUTED_VALUE"""),"Amnay Cabagan Irrigators and Farmers Agriculture Cooperative")</f>
        <v>Amnay Cabagan Irrigators and Farmers Agriculture Cooperative</v>
      </c>
      <c r="E933" s="71" t="str">
        <f>IFERROR(__xludf.DUMMYFUNCTION("""COMPUTED_VALUE"""),"Barahan, Santa Cruz, OCCIDENTAL MINDORO")</f>
        <v>Barahan, Santa Cruz, OCCIDENTAL MINDORO</v>
      </c>
      <c r="F933" s="2" t="str">
        <f>IFERROR(__xludf.DUMMYFUNCTION("""COMPUTED_VALUE"""),"Ronilo S Salgado")</f>
        <v>Ronilo S Salgado</v>
      </c>
      <c r="G933" s="2">
        <f>IFERROR(__xludf.DUMMYFUNCTION("""COMPUTED_VALUE"""),9.557733522E9)</f>
        <v>9557733522</v>
      </c>
      <c r="H933" s="2">
        <f>IFERROR(__xludf.DUMMYFUNCTION("""COMPUTED_VALUE"""),537.0)</f>
        <v>537</v>
      </c>
      <c r="I933" s="72" t="str">
        <f>IFERROR(__xludf.DUMMYFUNCTION("""COMPUTED_VALUE"""),"PMS")</f>
        <v>PMS</v>
      </c>
      <c r="J933" s="72" t="str">
        <f>IFERROR(__xludf.DUMMYFUNCTION("""COMPUTED_VALUE"""),"PMS")</f>
        <v>PMS</v>
      </c>
      <c r="K933" s="72" t="str">
        <f>IFERROR(__xludf.DUMMYFUNCTION("""COMPUTED_VALUE"""),"KFS: 2ND PMS")</f>
        <v>KFS: 2ND PMS</v>
      </c>
      <c r="L933" s="72" t="str">
        <f>IFERROR(__xludf.DUMMYFUNCTION("""COMPUTED_VALUE"""),"RCG: DONE 2ND PMS")</f>
        <v>RCG: DONE 2ND PMS</v>
      </c>
      <c r="M933" s="2"/>
      <c r="N933" s="2" t="str">
        <f>IFERROR(__xludf.DUMMYFUNCTION("""COMPUTED_VALUE"""),"PARTS: OIL FILTER, HYDRAULIC FILTER")</f>
        <v>PARTS: OIL FILTER, HYDRAULIC FILTER</v>
      </c>
      <c r="O933" s="2">
        <f>IFERROR(__xludf.DUMMYFUNCTION("""COMPUTED_VALUE"""),163.0)</f>
        <v>163</v>
      </c>
      <c r="P933" s="2" t="str">
        <f>IFERROR(__xludf.DUMMYFUNCTION("""COMPUTED_VALUE"""),"163-Amnay Cabagan Irrigators and Farmers Agriculture Cooperative.pdf")</f>
        <v>163-Amnay Cabagan Irrigators and Farmers Agriculture Cooperative.pdf</v>
      </c>
      <c r="Q933" s="2"/>
      <c r="R933" s="74">
        <f>IFERROR(__xludf.DUMMYFUNCTION("""COMPUTED_VALUE"""),45802.0)</f>
        <v>45802</v>
      </c>
      <c r="S933" s="2" t="str">
        <f>IFERROR(__xludf.DUMMYFUNCTION("""COMPUTED_VALUE"""),"RCG/RBS")</f>
        <v>RCG/RBS</v>
      </c>
      <c r="T933" s="73">
        <f>IFERROR(__xludf.DUMMYFUNCTION("""COMPUTED_VALUE"""),4400.0)</f>
        <v>4400</v>
      </c>
      <c r="U933" s="73" t="str">
        <f>IFERROR(__xludf.DUMMYFUNCTION("""COMPUTED_VALUE""")," REMITTED ")</f>
        <v>REMITTED</v>
      </c>
      <c r="V933" s="2"/>
      <c r="W933" s="2">
        <f>IFERROR(__xludf.DUMMYFUNCTION("""COMPUTED_VALUE"""),1191.0)</f>
        <v>1191</v>
      </c>
      <c r="X933" s="2">
        <f>IFERROR(__xludf.DUMMYFUNCTION("""COMPUTED_VALUE"""),1386.0)</f>
        <v>1386</v>
      </c>
      <c r="Y933" s="2"/>
      <c r="Z933" s="2"/>
      <c r="AA933" s="2"/>
      <c r="AB933" s="2"/>
      <c r="AC933" s="2"/>
      <c r="AD933" s="2"/>
      <c r="AE933" s="2"/>
      <c r="AF933" s="2"/>
      <c r="AG933" s="2"/>
      <c r="AH933" s="2"/>
      <c r="AI933" s="2"/>
      <c r="AJ933" s="2" t="str">
        <f>IFERROR(__xludf.DUMMYFUNCTION("""COMPUTED_VALUE"""),"Barahan")</f>
        <v>Barahan</v>
      </c>
      <c r="AK933" s="2" t="str">
        <f>IFERROR(__xludf.DUMMYFUNCTION("""COMPUTED_VALUE"""),"Santa Cruz")</f>
        <v>Santa Cruz</v>
      </c>
      <c r="AL933" s="2" t="str">
        <f>IFERROR(__xludf.DUMMYFUNCTION("""COMPUTED_VALUE"""),"Occidental Mindoro")</f>
        <v>Occidental Mindoro</v>
      </c>
      <c r="AM933" s="2" t="str">
        <f>IFERROR(__xludf.DUMMYFUNCTION("""COMPUTED_VALUE"""),"4B")</f>
        <v>4B</v>
      </c>
      <c r="AN933" s="2" t="str">
        <f>IFERROR(__xludf.DUMMYFUNCTION("""COMPUTED_VALUE"""),"RCEF 24-04-15")</f>
        <v>RCEF 24-04-15</v>
      </c>
      <c r="AO933" s="2">
        <f>IFERROR(__xludf.DUMMYFUNCTION("""COMPUTED_VALUE"""),7.0)</f>
        <v>7</v>
      </c>
      <c r="AP933" s="2" t="str">
        <f>IFERROR(__xludf.DUMMYFUNCTION("""COMPUTED_VALUE"""),"FREE PMS")</f>
        <v>FREE PMS</v>
      </c>
      <c r="AQ933" s="2"/>
      <c r="AR933" s="2"/>
      <c r="AS933" s="2"/>
      <c r="AT933" s="2"/>
      <c r="AU933" s="2"/>
      <c r="AV933" s="2"/>
      <c r="AW933" s="2"/>
      <c r="AX933" s="2"/>
      <c r="AY933" s="2"/>
      <c r="AZ933" s="2"/>
      <c r="BA933" s="2"/>
      <c r="BB933" s="2"/>
    </row>
    <row r="934">
      <c r="A934" s="2">
        <f>IFERROR(__xludf.DUMMYFUNCTION("""COMPUTED_VALUE"""),930.0)</f>
        <v>930</v>
      </c>
      <c r="B934" s="2" t="str">
        <f>IFERROR(__xludf.DUMMYFUNCTION("""COMPUTED_VALUE"""),"COMPLETED")</f>
        <v>COMPLETED</v>
      </c>
      <c r="C934" s="74">
        <f>IFERROR(__xludf.DUMMYFUNCTION("""COMPUTED_VALUE"""),45788.0)</f>
        <v>45788</v>
      </c>
      <c r="D934" s="71" t="str">
        <f>IFERROR(__xludf.DUMMYFUNCTION("""COMPUTED_VALUE"""),"BARAGAY SAN MIGUEL FARMERS ASSOCIATION")</f>
        <v>BARAGAY SAN MIGUEL FARMERS ASSOCIATION</v>
      </c>
      <c r="E934" s="71" t="str">
        <f>IFERROR(__xludf.DUMMYFUNCTION("""COMPUTED_VALUE"""),"San Miguel, Guimba, NUEVA ECIJA")</f>
        <v>San Miguel, Guimba, NUEVA ECIJA</v>
      </c>
      <c r="F934" s="2" t="str">
        <f>IFERROR(__xludf.DUMMYFUNCTION("""COMPUTED_VALUE"""),"Dr. Teresito G. Aguinaldo ")</f>
        <v>Dr. Teresito G. Aguinaldo </v>
      </c>
      <c r="G934" s="2">
        <f>IFERROR(__xludf.DUMMYFUNCTION("""COMPUTED_VALUE"""),9.18918675E9)</f>
        <v>9189186750</v>
      </c>
      <c r="H934" s="2">
        <f>IFERROR(__xludf.DUMMYFUNCTION("""COMPUTED_VALUE"""),323.0)</f>
        <v>323</v>
      </c>
      <c r="I934" s="72" t="str">
        <f>IFERROR(__xludf.DUMMYFUNCTION("""COMPUTED_VALUE"""),"PMS")</f>
        <v>PMS</v>
      </c>
      <c r="J934" s="72" t="str">
        <f>IFERROR(__xludf.DUMMYFUNCTION("""COMPUTED_VALUE"""),"PMS")</f>
        <v>PMS</v>
      </c>
      <c r="K934" s="72" t="str">
        <f>IFERROR(__xludf.DUMMYFUNCTION("""COMPUTED_VALUE"""),"LBA: 2ND PMS")</f>
        <v>LBA: 2ND PMS</v>
      </c>
      <c r="L934" s="72" t="str">
        <f>IFERROR(__xludf.DUMMYFUNCTION("""COMPUTED_VALUE"""),"EGT: 2ND PMS DONE")</f>
        <v>EGT: 2ND PMS DONE</v>
      </c>
      <c r="M934" s="2"/>
      <c r="N934" s="2" t="str">
        <f>IFERROR(__xludf.DUMMYFUNCTION("""COMPUTED_VALUE"""),"PARTS: HYDRAULIC FILTER")</f>
        <v>PARTS: HYDRAULIC FILTER</v>
      </c>
      <c r="O934" s="2">
        <f>IFERROR(__xludf.DUMMYFUNCTION("""COMPUTED_VALUE"""),1126.0)</f>
        <v>1126</v>
      </c>
      <c r="P934" s="2"/>
      <c r="Q934" s="2"/>
      <c r="R934" s="74">
        <f>IFERROR(__xludf.DUMMYFUNCTION("""COMPUTED_VALUE"""),45791.0)</f>
        <v>45791</v>
      </c>
      <c r="S934" s="2" t="str">
        <f>IFERROR(__xludf.DUMMYFUNCTION("""COMPUTED_VALUE"""),"EGT/DRM")</f>
        <v>EGT/DRM</v>
      </c>
      <c r="T934" s="73">
        <f>IFERROR(__xludf.DUMMYFUNCTION("""COMPUTED_VALUE"""),2750.0)</f>
        <v>2750</v>
      </c>
      <c r="U934" s="73" t="str">
        <f>IFERROR(__xludf.DUMMYFUNCTION("""COMPUTED_VALUE""")," REMITTED ")</f>
        <v>REMITTED</v>
      </c>
      <c r="V934" s="2"/>
      <c r="W934" s="2">
        <f>IFERROR(__xludf.DUMMYFUNCTION("""COMPUTED_VALUE"""),1415.0)</f>
        <v>1415</v>
      </c>
      <c r="X934" s="2">
        <f>IFERROR(__xludf.DUMMYFUNCTION("""COMPUTED_VALUE"""),1405.0)</f>
        <v>1405</v>
      </c>
      <c r="Y934" s="2"/>
      <c r="Z934" s="2"/>
      <c r="AA934" s="2"/>
      <c r="AB934" s="2"/>
      <c r="AC934" s="2"/>
      <c r="AD934" s="2"/>
      <c r="AE934" s="2"/>
      <c r="AF934" s="2"/>
      <c r="AG934" s="2"/>
      <c r="AH934" s="2"/>
      <c r="AI934" s="2"/>
      <c r="AJ934" s="2" t="str">
        <f>IFERROR(__xludf.DUMMYFUNCTION("""COMPUTED_VALUE"""),"San Miguel")</f>
        <v>San Miguel</v>
      </c>
      <c r="AK934" s="2" t="str">
        <f>IFERROR(__xludf.DUMMYFUNCTION("""COMPUTED_VALUE"""),"Guimba")</f>
        <v>Guimba</v>
      </c>
      <c r="AL934" s="2" t="str">
        <f>IFERROR(__xludf.DUMMYFUNCTION("""COMPUTED_VALUE"""),"Nueva Ecija")</f>
        <v>Nueva Ecija</v>
      </c>
      <c r="AM934" s="2">
        <f>IFERROR(__xludf.DUMMYFUNCTION("""COMPUTED_VALUE"""),3.0)</f>
        <v>3</v>
      </c>
      <c r="AN934" s="2" t="str">
        <f>IFERROR(__xludf.DUMMYFUNCTION("""COMPUTED_VALUE"""),"RCEF 23-09-21 Rebidding")</f>
        <v>RCEF 23-09-21 Rebidding</v>
      </c>
      <c r="AO934" s="2">
        <f>IFERROR(__xludf.DUMMYFUNCTION("""COMPUTED_VALUE"""),3.0)</f>
        <v>3</v>
      </c>
      <c r="AP934" s="2"/>
      <c r="AQ934" s="2"/>
      <c r="AR934" s="2"/>
      <c r="AS934" s="2"/>
      <c r="AT934" s="2"/>
      <c r="AU934" s="2"/>
      <c r="AV934" s="2"/>
      <c r="AW934" s="2"/>
      <c r="AX934" s="2"/>
      <c r="AY934" s="2"/>
      <c r="AZ934" s="2"/>
      <c r="BA934" s="2"/>
      <c r="BB934" s="2"/>
    </row>
    <row r="935">
      <c r="A935" s="2">
        <f>IFERROR(__xludf.DUMMYFUNCTION("""COMPUTED_VALUE"""),931.0)</f>
        <v>931</v>
      </c>
      <c r="B935" s="2" t="str">
        <f>IFERROR(__xludf.DUMMYFUNCTION("""COMPUTED_VALUE"""),"COMPLETED")</f>
        <v>COMPLETED</v>
      </c>
      <c r="C935" s="74">
        <f>IFERROR(__xludf.DUMMYFUNCTION("""COMPUTED_VALUE"""),45789.0)</f>
        <v>45789</v>
      </c>
      <c r="D935" s="71" t="str">
        <f>IFERROR(__xludf.DUMMYFUNCTION("""COMPUTED_VALUE"""),"BANDOJA SAN FRANCISCO SUR SAN FRANCISCO NORTE SAN ISIDRO IRRIGATORS ASSOCIATION (BASFICIA) INC.")</f>
        <v>BANDOJA SAN FRANCISCO SUR SAN FRANCISCO NORTE SAN ISIDRO IRRIGATORS ASSOCIATION (BASFICIA) INC.</v>
      </c>
      <c r="E935" s="71" t="str">
        <f>IFERROR(__xludf.DUMMYFUNCTION("""COMPUTED_VALUE"""),"San Francisco Sur, Tibiao, ANTIQUE")</f>
        <v>San Francisco Sur, Tibiao, ANTIQUE</v>
      </c>
      <c r="F935" s="2" t="str">
        <f>IFERROR(__xludf.DUMMYFUNCTION("""COMPUTED_VALUE"""),"JOEL ANDRES")</f>
        <v>JOEL ANDRES</v>
      </c>
      <c r="G935" s="2">
        <f>IFERROR(__xludf.DUMMYFUNCTION("""COMPUTED_VALUE"""),9.651166825E9)</f>
        <v>9651166825</v>
      </c>
      <c r="H935" s="2">
        <f>IFERROR(__xludf.DUMMYFUNCTION("""COMPUTED_VALUE"""),225.0)</f>
        <v>225</v>
      </c>
      <c r="I935" s="72" t="str">
        <f>IFERROR(__xludf.DUMMYFUNCTION("""COMPUTED_VALUE"""),"REPAIR - TRACTOR")</f>
        <v>REPAIR - TRACTOR</v>
      </c>
      <c r="J935" s="72" t="str">
        <f>IFERROR(__xludf.DUMMYFUNCTION("""COMPUTED_VALUE"""),"CHECK UP/ REPAIR")</f>
        <v>CHECK UP/ REPAIR</v>
      </c>
      <c r="K935" s="72" t="str">
        <f>IFERROR(__xludf.DUMMYFUNCTION("""COMPUTED_VALUE"""),"MYK: Nalagyan ko ng gasolina ang tangle ko, di ko akalain na gasolina ang binili nila naka container kasi, Mga 3liters yong lumabas Bago ko namalayan na gasolina pala
Tanong ko lng mAAM Kong idrain ko ang lahat  ng krudo, palitan Bago gamitin ulit?")</f>
        <v>MYK: Nalagyan ko ng gasolina ang tangle ko, di ko akalain na gasolina ang binili nila naka container kasi, Mga 3liters yong lumabas Bago ko namalayan na gasolina pala
Tanong ko lng mAAM Kong idrain ko ang lahat  ng krudo, palitan Bago gamitin ulit?</v>
      </c>
      <c r="L935" s="72" t="str">
        <f>IFERROR(__xludf.DUMMYFUNCTION("""COMPUTED_VALUE"""),"RANDY : ASSIST VIA CALL: PINA DRAIN YUNG TANKE TAPOS PINALINISAN NG DIESEL , PINATULO ANG LAHAT AFTER MATUYO BINALIK SA TRACTOR AT NILAGYAN NG PANIBAGONG DIESEL, OK NA ANG UNIT , OPERATIONAL.
FARMER: OK NA ANG UNIT NAMIN MA'AM.")</f>
        <v>RANDY : ASSIST VIA CALL: PINA DRAIN YUNG TANKE TAPOS PINALINISAN NG DIESEL , PINATULO ANG LAHAT AFTER MATUYO BINALIK SA TRACTOR AT NILAGYAN NG PANIBAGONG DIESEL, OK NA ANG UNIT , OPERATIONAL.
FARMER: OK NA ANG UNIT NAMIN MA'AM.</v>
      </c>
      <c r="M935" s="2"/>
      <c r="N935" s="2"/>
      <c r="O935" s="2">
        <f>IFERROR(__xludf.DUMMYFUNCTION("""COMPUTED_VALUE"""),62.0)</f>
        <v>62</v>
      </c>
      <c r="P935" s="2"/>
      <c r="Q935" s="2"/>
      <c r="R935" s="74">
        <f>IFERROR(__xludf.DUMMYFUNCTION("""COMPUTED_VALUE"""),45793.0)</f>
        <v>45793</v>
      </c>
      <c r="S935" s="2" t="str">
        <f>IFERROR(__xludf.DUMMYFUNCTION("""COMPUTED_VALUE"""),"RANDY")</f>
        <v>RANDY</v>
      </c>
      <c r="T935" s="73" t="str">
        <f>IFERROR(__xludf.DUMMYFUNCTION("""COMPUTED_VALUE""")," N/A ")</f>
        <v>N/A</v>
      </c>
      <c r="U935" s="73" t="str">
        <f>IFERROR(__xludf.DUMMYFUNCTION("""COMPUTED_VALUE""")," NO CHARGE ")</f>
        <v>NO CHARGE</v>
      </c>
      <c r="V935" s="2"/>
      <c r="W935" s="2" t="str">
        <f>IFERROR(__xludf.DUMMYFUNCTION("""COMPUTED_VALUE"""),"N/A")</f>
        <v>N/A</v>
      </c>
      <c r="X935" s="2" t="str">
        <f>IFERROR(__xludf.DUMMYFUNCTION("""COMPUTED_VALUE"""),"N/A")</f>
        <v>N/A</v>
      </c>
      <c r="Y935" s="2"/>
      <c r="Z935" s="2"/>
      <c r="AA935" s="2"/>
      <c r="AB935" s="2"/>
      <c r="AC935" s="2"/>
      <c r="AD935" s="2"/>
      <c r="AE935" s="2"/>
      <c r="AF935" s="2"/>
      <c r="AG935" s="2"/>
      <c r="AH935" s="2"/>
      <c r="AI935" s="2"/>
      <c r="AJ935" s="2" t="str">
        <f>IFERROR(__xludf.DUMMYFUNCTION("""COMPUTED_VALUE"""),"San Francisco Sur")</f>
        <v>San Francisco Sur</v>
      </c>
      <c r="AK935" s="2" t="str">
        <f>IFERROR(__xludf.DUMMYFUNCTION("""COMPUTED_VALUE"""),"Tibiao")</f>
        <v>Tibiao</v>
      </c>
      <c r="AL935" s="2" t="str">
        <f>IFERROR(__xludf.DUMMYFUNCTION("""COMPUTED_VALUE"""),"Antique")</f>
        <v>Antique</v>
      </c>
      <c r="AM935" s="2">
        <f>IFERROR(__xludf.DUMMYFUNCTION("""COMPUTED_VALUE"""),6.0)</f>
        <v>6</v>
      </c>
      <c r="AN935" s="2" t="str">
        <f>IFERROR(__xludf.DUMMYFUNCTION("""COMPUTED_VALUE"""),"RCEF 23-09-21 Rebidding")</f>
        <v>RCEF 23-09-21 Rebidding</v>
      </c>
      <c r="AO935" s="2">
        <f>IFERROR(__xludf.DUMMYFUNCTION("""COMPUTED_VALUE"""),4.0)</f>
        <v>4</v>
      </c>
      <c r="AP935" s="2"/>
      <c r="AQ935" s="2"/>
      <c r="AR935" s="2"/>
      <c r="AS935" s="2"/>
      <c r="AT935" s="2"/>
      <c r="AU935" s="2"/>
      <c r="AV935" s="2"/>
      <c r="AW935" s="2"/>
      <c r="AX935" s="2"/>
      <c r="AY935" s="2"/>
      <c r="AZ935" s="2"/>
      <c r="BA935" s="2"/>
      <c r="BB935" s="2"/>
    </row>
    <row r="936">
      <c r="A936" s="2">
        <f>IFERROR(__xludf.DUMMYFUNCTION("""COMPUTED_VALUE"""),932.0)</f>
        <v>932</v>
      </c>
      <c r="B936" s="2" t="str">
        <f>IFERROR(__xludf.DUMMYFUNCTION("""COMPUTED_VALUE"""),"COMPLETED")</f>
        <v>COMPLETED</v>
      </c>
      <c r="C936" s="74">
        <f>IFERROR(__xludf.DUMMYFUNCTION("""COMPUTED_VALUE"""),45789.0)</f>
        <v>45789</v>
      </c>
      <c r="D936" s="71" t="str">
        <f>IFERROR(__xludf.DUMMYFUNCTION("""COMPUTED_VALUE"""),"BAGONG SAMAHAN NG MAGSASAKA NG PILA, LAGUNA, INC.")</f>
        <v>BAGONG SAMAHAN NG MAGSASAKA NG PILA, LAGUNA, INC.</v>
      </c>
      <c r="E936" s="71" t="str">
        <f>IFERROR(__xludf.DUMMYFUNCTION("""COMPUTED_VALUE"""),"STA CLARA SUR, PILA, LAGUNA")</f>
        <v>STA CLARA SUR, PILA, LAGUNA</v>
      </c>
      <c r="F936" s="2" t="str">
        <f>IFERROR(__xludf.DUMMYFUNCTION("""COMPUTED_VALUE"""),"ERNESTO NAPAO")</f>
        <v>ERNESTO NAPAO</v>
      </c>
      <c r="G936" s="2">
        <f>IFERROR(__xludf.DUMMYFUNCTION("""COMPUTED_VALUE"""),9.461040136E9)</f>
        <v>9461040136</v>
      </c>
      <c r="H936" s="2"/>
      <c r="I936" s="72" t="str">
        <f>IFERROR(__xludf.DUMMYFUNCTION("""COMPUTED_VALUE"""),"REPAIR - TRACTOR")</f>
        <v>REPAIR - TRACTOR</v>
      </c>
      <c r="J936" s="72" t="str">
        <f>IFERROR(__xludf.DUMMYFUNCTION("""COMPUTED_VALUE"""),"Electrical - Ignition")</f>
        <v>Electrical - Ignition</v>
      </c>
      <c r="K936" s="72" t="str">
        <f>IFERROR(__xludf.DUMMYFUNCTION("""COMPUTED_VALUE"""),"MYK: AYAW DAW MA START NG UNIT")</f>
        <v>MYK: AYAW DAW MA START NG UNIT</v>
      </c>
      <c r="L936" s="72" t="str">
        <f>IFERROR(__xludf.DUMMYFUNCTION("""COMPUTED_VALUE"""),"JTT: PINA AYOS NADAW NI FARMER SA KANILANG OPERATOR.")</f>
        <v>JTT: PINA AYOS NADAW NI FARMER SA KANILANG OPERATOR.</v>
      </c>
      <c r="M936" s="2"/>
      <c r="N936" s="2"/>
      <c r="O936" s="2" t="str">
        <f>IFERROR(__xludf.DUMMYFUNCTION("""COMPUTED_VALUE"""),"N/A")</f>
        <v>N/A</v>
      </c>
      <c r="P936" s="2"/>
      <c r="Q936" s="2"/>
      <c r="R936" s="74">
        <f>IFERROR(__xludf.DUMMYFUNCTION("""COMPUTED_VALUE"""),45793.0)</f>
        <v>45793</v>
      </c>
      <c r="S936" s="2" t="str">
        <f>IFERROR(__xludf.DUMMYFUNCTION("""COMPUTED_VALUE"""),"JTT")</f>
        <v>JTT</v>
      </c>
      <c r="T936" s="73" t="str">
        <f>IFERROR(__xludf.DUMMYFUNCTION("""COMPUTED_VALUE""")," N/A ")</f>
        <v>N/A</v>
      </c>
      <c r="U936" s="73" t="str">
        <f>IFERROR(__xludf.DUMMYFUNCTION("""COMPUTED_VALUE""")," NO CHARGE ")</f>
        <v>NO CHARGE</v>
      </c>
      <c r="V936" s="2"/>
      <c r="W936" s="2" t="str">
        <f>IFERROR(__xludf.DUMMYFUNCTION("""COMPUTED_VALUE"""),"N/A")</f>
        <v>N/A</v>
      </c>
      <c r="X936" s="2" t="str">
        <f>IFERROR(__xludf.DUMMYFUNCTION("""COMPUTED_VALUE"""),"N/A")</f>
        <v>N/A</v>
      </c>
      <c r="Y936" s="2"/>
      <c r="Z936" s="2"/>
      <c r="AA936" s="2"/>
      <c r="AB936" s="2"/>
      <c r="AC936" s="2"/>
      <c r="AD936" s="2"/>
      <c r="AE936" s="2"/>
      <c r="AF936" s="2"/>
      <c r="AG936" s="2"/>
      <c r="AH936" s="2"/>
      <c r="AI936" s="2"/>
      <c r="AJ936" s="2" t="str">
        <f>IFERROR(__xludf.DUMMYFUNCTION("""COMPUTED_VALUE"""),"Sta Clara Sur")</f>
        <v>Sta Clara Sur</v>
      </c>
      <c r="AK936" s="2" t="str">
        <f>IFERROR(__xludf.DUMMYFUNCTION("""COMPUTED_VALUE"""),"Pila")</f>
        <v>Pila</v>
      </c>
      <c r="AL936" s="2" t="str">
        <f>IFERROR(__xludf.DUMMYFUNCTION("""COMPUTED_VALUE"""),"Laguna")</f>
        <v>Laguna</v>
      </c>
      <c r="AM936" s="2" t="str">
        <f>IFERROR(__xludf.DUMMYFUNCTION("""COMPUTED_VALUE"""),"4A")</f>
        <v>4A</v>
      </c>
      <c r="AN936" s="2" t="str">
        <f>IFERROR(__xludf.DUMMYFUNCTION("""COMPUTED_VALUE"""),"RCEF 23-08-20 Rebidding")</f>
        <v>RCEF 23-08-20 Rebidding</v>
      </c>
      <c r="AO936" s="2">
        <f>IFERROR(__xludf.DUMMYFUNCTION("""COMPUTED_VALUE"""),1.0)</f>
        <v>1</v>
      </c>
      <c r="AP936" s="2"/>
      <c r="AQ936" s="2"/>
      <c r="AR936" s="2"/>
      <c r="AS936" s="2"/>
      <c r="AT936" s="2"/>
      <c r="AU936" s="2"/>
      <c r="AV936" s="2"/>
      <c r="AW936" s="2"/>
      <c r="AX936" s="2"/>
      <c r="AY936" s="2"/>
      <c r="AZ936" s="2"/>
      <c r="BA936" s="2"/>
      <c r="BB936" s="2"/>
    </row>
    <row r="937">
      <c r="A937" s="2">
        <f>IFERROR(__xludf.DUMMYFUNCTION("""COMPUTED_VALUE"""),933.0)</f>
        <v>933</v>
      </c>
      <c r="B937" s="2" t="str">
        <f>IFERROR(__xludf.DUMMYFUNCTION("""COMPUTED_VALUE"""),"COMPLETED")</f>
        <v>COMPLETED</v>
      </c>
      <c r="C937" s="74">
        <f>IFERROR(__xludf.DUMMYFUNCTION("""COMPUTED_VALUE"""),45789.0)</f>
        <v>45789</v>
      </c>
      <c r="D937" s="71" t="str">
        <f>IFERROR(__xludf.DUMMYFUNCTION("""COMPUTED_VALUE"""),"MUNICIPAL LOCAL GOVERNMENT UNIT OF ANGAT")</f>
        <v>MUNICIPAL LOCAL GOVERNMENT UNIT OF ANGAT</v>
      </c>
      <c r="E937" s="71" t="str">
        <f>IFERROR(__xludf.DUMMYFUNCTION("""COMPUTED_VALUE"""),"Poblacion, Angat, Bulacan")</f>
        <v>Poblacion, Angat, Bulacan</v>
      </c>
      <c r="F937" s="2" t="str">
        <f>IFERROR(__xludf.DUMMYFUNCTION("""COMPUTED_VALUE"""),"MASSEY BOY")</f>
        <v>MASSEY BOY</v>
      </c>
      <c r="G937" s="2">
        <f>IFERROR(__xludf.DUMMYFUNCTION("""COMPUTED_VALUE"""),9.179941102E9)</f>
        <v>9179941102</v>
      </c>
      <c r="H937" s="2"/>
      <c r="I937" s="72" t="str">
        <f>IFERROR(__xludf.DUMMYFUNCTION("""COMPUTED_VALUE"""),"SPARE PARTS ACQUISITION")</f>
        <v>SPARE PARTS ACQUISITION</v>
      </c>
      <c r="J937" s="72" t="str">
        <f>IFERROR(__xludf.DUMMYFUNCTION("""COMPUTED_VALUE"""),"SPARE PARTS ACQUISITION")</f>
        <v>SPARE PARTS ACQUISITION</v>
      </c>
      <c r="K937" s="72" t="str">
        <f>IFERROR(__xludf.DUMMYFUNCTION("""COMPUTED_VALUE"""),"ROTAVATOR BLADES (30 PCS)")</f>
        <v>ROTAVATOR BLADES (30 PCS)</v>
      </c>
      <c r="L937" s="72" t="str">
        <f>IFERROR(__xludf.DUMMYFUNCTION("""COMPUTED_VALUE"""),"DELIVERED")</f>
        <v>DELIVERED</v>
      </c>
      <c r="M937" s="2"/>
      <c r="N937" s="2" t="str">
        <f>IFERROR(__xludf.DUMMYFUNCTION("""COMPUTED_VALUE"""),"PARTS: 30 PCS ROTAVATOR BLADES")</f>
        <v>PARTS: 30 PCS ROTAVATOR BLADES</v>
      </c>
      <c r="O937" s="2" t="str">
        <f>IFERROR(__xludf.DUMMYFUNCTION("""COMPUTED_VALUE"""),"N/A")</f>
        <v>N/A</v>
      </c>
      <c r="P937" s="2"/>
      <c r="Q937" s="2"/>
      <c r="R937" s="74">
        <f>IFERROR(__xludf.DUMMYFUNCTION("""COMPUTED_VALUE"""),45783.0)</f>
        <v>45783</v>
      </c>
      <c r="S937" s="2" t="str">
        <f>IFERROR(__xludf.DUMMYFUNCTION("""COMPUTED_VALUE"""),"EGT")</f>
        <v>EGT</v>
      </c>
      <c r="T937" s="73">
        <f>IFERROR(__xludf.DUMMYFUNCTION("""COMPUTED_VALUE"""),18900.0)</f>
        <v>18900</v>
      </c>
      <c r="U937" s="73" t="str">
        <f>IFERROR(__xludf.DUMMYFUNCTION("""COMPUTED_VALUE""")," REMITTED ")</f>
        <v>REMITTED</v>
      </c>
      <c r="V937" s="2"/>
      <c r="W937" s="2">
        <f>IFERROR(__xludf.DUMMYFUNCTION("""COMPUTED_VALUE"""),1413.0)</f>
        <v>1413</v>
      </c>
      <c r="X937" s="2">
        <f>IFERROR(__xludf.DUMMYFUNCTION("""COMPUTED_VALUE"""),1404.0)</f>
        <v>1404</v>
      </c>
      <c r="Y937" s="2"/>
      <c r="Z937" s="2"/>
      <c r="AA937" s="2"/>
      <c r="AB937" s="2"/>
      <c r="AC937" s="2"/>
      <c r="AD937" s="2"/>
      <c r="AE937" s="2"/>
      <c r="AF937" s="2"/>
      <c r="AG937" s="2"/>
      <c r="AH937" s="2"/>
      <c r="AI937" s="2"/>
      <c r="AJ937" s="2" t="str">
        <f>IFERROR(__xludf.DUMMYFUNCTION("""COMPUTED_VALUE"""),"Poblacion")</f>
        <v>Poblacion</v>
      </c>
      <c r="AK937" s="2" t="str">
        <f>IFERROR(__xludf.DUMMYFUNCTION("""COMPUTED_VALUE"""),"Angat")</f>
        <v>Angat</v>
      </c>
      <c r="AL937" s="2" t="str">
        <f>IFERROR(__xludf.DUMMYFUNCTION("""COMPUTED_VALUE"""),"Bulacan")</f>
        <v>Bulacan</v>
      </c>
      <c r="AM937" s="2">
        <f>IFERROR(__xludf.DUMMYFUNCTION("""COMPUTED_VALUE"""),3.0)</f>
        <v>3</v>
      </c>
      <c r="AN937" s="2" t="str">
        <f>IFERROR(__xludf.DUMMYFUNCTION("""COMPUTED_VALUE"""),"RCEF 23-09-21 Rebidding")</f>
        <v>RCEF 23-09-21 Rebidding</v>
      </c>
      <c r="AO937" s="2">
        <f>IFERROR(__xludf.DUMMYFUNCTION("""COMPUTED_VALUE"""),3.0)</f>
        <v>3</v>
      </c>
      <c r="AP937" s="2"/>
      <c r="AQ937" s="2"/>
      <c r="AR937" s="2"/>
      <c r="AS937" s="2"/>
      <c r="AT937" s="2"/>
      <c r="AU937" s="2"/>
      <c r="AV937" s="2"/>
      <c r="AW937" s="2"/>
      <c r="AX937" s="2"/>
      <c r="AY937" s="2"/>
      <c r="AZ937" s="2"/>
      <c r="BA937" s="2"/>
      <c r="BB937" s="2"/>
    </row>
    <row r="938">
      <c r="A938" s="2">
        <f>IFERROR(__xludf.DUMMYFUNCTION("""COMPUTED_VALUE"""),934.0)</f>
        <v>934</v>
      </c>
      <c r="B938" s="2" t="str">
        <f>IFERROR(__xludf.DUMMYFUNCTION("""COMPUTED_VALUE"""),"COMPLETED")</f>
        <v>COMPLETED</v>
      </c>
      <c r="C938" s="74">
        <f>IFERROR(__xludf.DUMMYFUNCTION("""COMPUTED_VALUE"""),45789.0)</f>
        <v>45789</v>
      </c>
      <c r="D938" s="71" t="str">
        <f>IFERROR(__xludf.DUMMYFUNCTION("""COMPUTED_VALUE"""),"Cañapasan Banate Irrigators' Association Inc.")</f>
        <v>Cañapasan Banate Irrigators' Association Inc.</v>
      </c>
      <c r="E938" s="71" t="str">
        <f>IFERROR(__xludf.DUMMYFUNCTION("""COMPUTED_VALUE"""),"Managopaya, Banate, ILOILO")</f>
        <v>Managopaya, Banate, ILOILO</v>
      </c>
      <c r="F938" s="2" t="str">
        <f>IFERROR(__xludf.DUMMYFUNCTION("""COMPUTED_VALUE"""),"HELLY BAGASIN")</f>
        <v>HELLY BAGASIN</v>
      </c>
      <c r="G938" s="2">
        <f>IFERROR(__xludf.DUMMYFUNCTION("""COMPUTED_VALUE"""),9.655208079E9)</f>
        <v>9655208079</v>
      </c>
      <c r="H938" s="2"/>
      <c r="I938" s="72" t="str">
        <f>IFERROR(__xludf.DUMMYFUNCTION("""COMPUTED_VALUE"""),"REPAIR - TRACTOR")</f>
        <v>REPAIR - TRACTOR</v>
      </c>
      <c r="J938" s="72" t="str">
        <f>IFERROR(__xludf.DUMMYFUNCTION("""COMPUTED_VALUE"""),"PTO - Clutch Pack")</f>
        <v>PTO - Clutch Pack</v>
      </c>
      <c r="K938" s="72" t="str">
        <f>IFERROR(__xludf.DUMMYFUNCTION("""COMPUTED_VALUE"""),"FARMER TO MYK:  RENGE SHIFT OF ROTAVATOR MAINGAY YUNG NASA TRACTOR NA KINAKABITAN NG ROTAVATOR AT MABAGAL UMIKOT AT UMIINIT AT MABABAW
PARTS: (6) CLUTCH PACK LINING 
5/22/25: PARTS: PTO VALVE SOLINOID
FARMER: 7/8/25: SINUBUKSNG IKABIT NI SIR RANDY ANG"&amp;" PTO VALVE , NGUNIT UMIINIT PADIN AT ANG SABI NA PUSIBLENG  SIRA NYA AY PTO CLUTCH PACK ASSY")</f>
        <v>FARMER TO MYK:  RENGE SHIFT OF ROTAVATOR MAINGAY YUNG NASA TRACTOR NA KINAKABITAN NG ROTAVATOR AT MABAGAL UMIKOT AT UMIINIT AT MABABAW
PARTS: (6) CLUTCH PACK LINING 
5/22/25: PARTS: PTO VALVE SOLINOID
FARMER: 7/8/25: SINUBUKSNG IKABIT NI SIR RANDY ANG PTO VALVE , NGUNIT UMIINIT PADIN AT ANG SABI NA PUSIBLENG  SIRA NYA AY PTO CLUTCH PACK ASSY</v>
      </c>
      <c r="L938" s="72" t="str">
        <f>IFERROR(__xludf.DUMMYFUNCTION("""COMPUTED_VALUE"""),"NOTE: FOR REPLACEMENT OF WIRE ACCELERATOR PEDAL (MALI ANG NAPADALA BEFORE)
PAYMENT AGREEMENT: CALL BACK KO DAW SYA NG AUGUST 5, 2025
MYK: PAYMENT AGREEMENT LTC-PA-003 : PTO CLUTCH PACK AND REPLACEMENT OF WIRE ACCELEARATOR PEDAL")</f>
        <v>NOTE: FOR REPLACEMENT OF WIRE ACCELERATOR PEDAL (MALI ANG NAPADALA BEFORE)
PAYMENT AGREEMENT: CALL BACK KO DAW SYA NG AUGUST 5, 2025
MYK: PAYMENT AGREEMENT LTC-PA-003 : PTO CLUTCH PACK AND REPLACEMENT OF WIRE ACCELEARATOR PEDAL</v>
      </c>
      <c r="M938" s="2"/>
      <c r="N938" s="2" t="str">
        <f>IFERROR(__xludf.DUMMYFUNCTION("""COMPUTED_VALUE"""),"PARTS:
WIRE ACCELERATOR PEDAL (REPLACEMENT)
PTO CLUTCH PACK  (36,600)
-W/ PAYMENT AGREEMENT
PARTIAL: 15,000 (REMITTED)
FULL: 21,600 (REMITTED)")</f>
        <v>PARTS:
WIRE ACCELERATOR PEDAL (REPLACEMENT)
PTO CLUTCH PACK  (36,600)
-W/ PAYMENT AGREEMENT
PARTIAL: 15,000 (REMITTED)
FULL: 21,600 (REMITTED)</v>
      </c>
      <c r="O938" s="2" t="str">
        <f>IFERROR(__xludf.DUMMYFUNCTION("""COMPUTED_VALUE"""),"N/A")</f>
        <v>N/A</v>
      </c>
      <c r="P938" s="2"/>
      <c r="Q938" s="2"/>
      <c r="R938" s="74">
        <f>IFERROR(__xludf.DUMMYFUNCTION("""COMPUTED_VALUE"""),45880.0)</f>
        <v>45880</v>
      </c>
      <c r="S938" s="1">
        <f>IFERROR(__xludf.DUMMYFUNCTION("""COMPUTED_VALUE"""),38600.0)</f>
        <v>38600</v>
      </c>
      <c r="T938" s="73" t="str">
        <f>IFERROR(__xludf.DUMMYFUNCTION("""COMPUTED_VALUE""")," MYKEE ")</f>
        <v>MYKEE</v>
      </c>
      <c r="U938" s="73" t="str">
        <f>IFERROR(__xludf.DUMMYFUNCTION("""COMPUTED_VALUE""")," REMITTED ")</f>
        <v>REMITTED</v>
      </c>
      <c r="V938" s="2"/>
      <c r="W938" s="2" t="str">
        <f>IFERROR(__xludf.DUMMYFUNCTION("""COMPUTED_VALUE"""),"1503
1592
1517")</f>
        <v>1503
1592
1517</v>
      </c>
      <c r="X938" s="2"/>
      <c r="Y938" s="2"/>
      <c r="Z938" s="2"/>
      <c r="AA938" s="2"/>
      <c r="AB938" s="2"/>
      <c r="AC938" s="2"/>
      <c r="AD938" s="2"/>
      <c r="AE938" s="2"/>
      <c r="AF938" s="2"/>
      <c r="AG938" s="2"/>
      <c r="AH938" s="2"/>
      <c r="AI938" s="2"/>
      <c r="AJ938" s="2" t="str">
        <f>IFERROR(__xludf.DUMMYFUNCTION("""COMPUTED_VALUE"""),"Managopaya")</f>
        <v>Managopaya</v>
      </c>
      <c r="AK938" s="2" t="str">
        <f>IFERROR(__xludf.DUMMYFUNCTION("""COMPUTED_VALUE"""),"Banate")</f>
        <v>Banate</v>
      </c>
      <c r="AL938" s="2" t="str">
        <f>IFERROR(__xludf.DUMMYFUNCTION("""COMPUTED_VALUE"""),"Iloilo")</f>
        <v>Iloilo</v>
      </c>
      <c r="AM938" s="2">
        <f>IFERROR(__xludf.DUMMYFUNCTION("""COMPUTED_VALUE"""),6.0)</f>
        <v>6</v>
      </c>
      <c r="AN938" s="2" t="str">
        <f>IFERROR(__xludf.DUMMYFUNCTION("""COMPUTED_VALUE"""),"RCEF 23-09-21 Rebidding")</f>
        <v>RCEF 23-09-21 Rebidding</v>
      </c>
      <c r="AO938" s="2">
        <f>IFERROR(__xludf.DUMMYFUNCTION("""COMPUTED_VALUE"""),4.0)</f>
        <v>4</v>
      </c>
      <c r="AP938" s="2"/>
      <c r="AQ938" s="2"/>
      <c r="AR938" s="2"/>
      <c r="AS938" s="2"/>
      <c r="AT938" s="2"/>
      <c r="AU938" s="2"/>
      <c r="AV938" s="2"/>
      <c r="AW938" s="2"/>
      <c r="AX938" s="2"/>
      <c r="AY938" s="2"/>
      <c r="AZ938" s="2"/>
      <c r="BA938" s="2"/>
      <c r="BB938" s="2"/>
    </row>
    <row r="939">
      <c r="A939" s="2">
        <f>IFERROR(__xludf.DUMMYFUNCTION("""COMPUTED_VALUE"""),935.0)</f>
        <v>935</v>
      </c>
      <c r="B939" s="2" t="str">
        <f>IFERROR(__xludf.DUMMYFUNCTION("""COMPUTED_VALUE"""),"COMPLETED")</f>
        <v>COMPLETED</v>
      </c>
      <c r="C939" s="74">
        <f>IFERROR(__xludf.DUMMYFUNCTION("""COMPUTED_VALUE"""),45790.0)</f>
        <v>45790</v>
      </c>
      <c r="D939" s="71" t="str">
        <f>IFERROR(__xludf.DUMMYFUNCTION("""COMPUTED_VALUE"""),"Nueva Ecija Maunlad na Pinas Agriculture Cooperative")</f>
        <v>Nueva Ecija Maunlad na Pinas Agriculture Cooperative</v>
      </c>
      <c r="E939" s="71" t="str">
        <f>IFERROR(__xludf.DUMMYFUNCTION("""COMPUTED_VALUE"""),"Dicarma (Pob.), Cabanatuan City, NUEVA ECIJA")</f>
        <v>Dicarma (Pob.), Cabanatuan City, NUEVA ECIJA</v>
      </c>
      <c r="F939" s="2" t="str">
        <f>IFERROR(__xludf.DUMMYFUNCTION("""COMPUTED_VALUE"""),"ALNOR PARENAS")</f>
        <v>ALNOR PARENAS</v>
      </c>
      <c r="G939" s="2">
        <f>IFERROR(__xludf.DUMMYFUNCTION("""COMPUTED_VALUE"""),9.752934644E9)</f>
        <v>9752934644</v>
      </c>
      <c r="H939" s="2">
        <f>IFERROR(__xludf.DUMMYFUNCTION("""COMPUTED_VALUE"""),41.0)</f>
        <v>41</v>
      </c>
      <c r="I939" s="72" t="str">
        <f>IFERROR(__xludf.DUMMYFUNCTION("""COMPUTED_VALUE"""),"PMS")</f>
        <v>PMS</v>
      </c>
      <c r="J939" s="72" t="str">
        <f>IFERROR(__xludf.DUMMYFUNCTION("""COMPUTED_VALUE"""),"PMS")</f>
        <v>PMS</v>
      </c>
      <c r="K939" s="72" t="str">
        <f>IFERROR(__xludf.DUMMYFUNCTION("""COMPUTED_VALUE"""),"1ST PMS, (NASA GUIMBA ANG UNIT)")</f>
        <v>1ST PMS, (NASA GUIMBA ANG UNIT)</v>
      </c>
      <c r="L939" s="72" t="str">
        <f>IFERROR(__xludf.DUMMYFUNCTION("""COMPUTED_VALUE"""),"EGT: 1ST PMS DONE")</f>
        <v>EGT: 1ST PMS DONE</v>
      </c>
      <c r="M939" s="2"/>
      <c r="N939" s="2" t="str">
        <f>IFERROR(__xludf.DUMMYFUNCTION("""COMPUTED_VALUE"""),"PARTS: OIL FILTER, ENGINE OIL")</f>
        <v>PARTS: OIL FILTER, ENGINE OIL</v>
      </c>
      <c r="O939" s="2">
        <f>IFERROR(__xludf.DUMMYFUNCTION("""COMPUTED_VALUE"""),1125.0)</f>
        <v>1125</v>
      </c>
      <c r="P939" s="2"/>
      <c r="Q939" s="2"/>
      <c r="R939" s="74">
        <f>IFERROR(__xludf.DUMMYFUNCTION("""COMPUTED_VALUE"""),45790.0)</f>
        <v>45790</v>
      </c>
      <c r="S939" s="2" t="str">
        <f>IFERROR(__xludf.DUMMYFUNCTION("""COMPUTED_VALUE"""),"EGT/DRM")</f>
        <v>EGT/DRM</v>
      </c>
      <c r="T939" s="73" t="str">
        <f>IFERROR(__xludf.DUMMYFUNCTION("""COMPUTED_VALUE""")," N/A ")</f>
        <v>N/A</v>
      </c>
      <c r="U939" s="73" t="str">
        <f>IFERROR(__xludf.DUMMYFUNCTION("""COMPUTED_VALUE""")," NO CHARGE ")</f>
        <v>NO CHARGE</v>
      </c>
      <c r="V939" s="2"/>
      <c r="W939" s="2"/>
      <c r="X939" s="2"/>
      <c r="Y939" s="2"/>
      <c r="Z939" s="2"/>
      <c r="AA939" s="2"/>
      <c r="AB939" s="2"/>
      <c r="AC939" s="2"/>
      <c r="AD939" s="2"/>
      <c r="AE939" s="2"/>
      <c r="AF939" s="2"/>
      <c r="AG939" s="2"/>
      <c r="AH939" s="2"/>
      <c r="AI939" s="2"/>
      <c r="AJ939" s="2" t="str">
        <f>IFERROR(__xludf.DUMMYFUNCTION("""COMPUTED_VALUE"""),"Dicarma (Pob.)")</f>
        <v>Dicarma (Pob.)</v>
      </c>
      <c r="AK939" s="2" t="str">
        <f>IFERROR(__xludf.DUMMYFUNCTION("""COMPUTED_VALUE"""),"Cabanatuan City")</f>
        <v>Cabanatuan City</v>
      </c>
      <c r="AL939" s="2" t="str">
        <f>IFERROR(__xludf.DUMMYFUNCTION("""COMPUTED_VALUE"""),"Nueva Ecija")</f>
        <v>Nueva Ecija</v>
      </c>
      <c r="AM939" s="2">
        <f>IFERROR(__xludf.DUMMYFUNCTION("""COMPUTED_VALUE"""),3.0)</f>
        <v>3</v>
      </c>
      <c r="AN939" s="2" t="str">
        <f>IFERROR(__xludf.DUMMYFUNCTION("""COMPUTED_VALUE"""),"Repeat Order")</f>
        <v>Repeat Order</v>
      </c>
      <c r="AO939" s="2">
        <f>IFERROR(__xludf.DUMMYFUNCTION("""COMPUTED_VALUE"""),6.0)</f>
        <v>6</v>
      </c>
      <c r="AP939" s="2" t="str">
        <f>IFERROR(__xludf.DUMMYFUNCTION("""COMPUTED_VALUE"""),"FREE PMS")</f>
        <v>FREE PMS</v>
      </c>
      <c r="AQ939" s="2"/>
      <c r="AR939" s="2"/>
      <c r="AS939" s="2"/>
      <c r="AT939" s="2"/>
      <c r="AU939" s="2"/>
      <c r="AV939" s="2"/>
      <c r="AW939" s="2"/>
      <c r="AX939" s="2"/>
      <c r="AY939" s="2"/>
      <c r="AZ939" s="2"/>
      <c r="BA939" s="2"/>
      <c r="BB939" s="2"/>
    </row>
    <row r="940">
      <c r="A940" s="2">
        <f>IFERROR(__xludf.DUMMYFUNCTION("""COMPUTED_VALUE"""),936.0)</f>
        <v>936</v>
      </c>
      <c r="B940" s="2" t="str">
        <f>IFERROR(__xludf.DUMMYFUNCTION("""COMPUTED_VALUE"""),"COMPLETED")</f>
        <v>COMPLETED</v>
      </c>
      <c r="C940" s="74">
        <f>IFERROR(__xludf.DUMMYFUNCTION("""COMPUTED_VALUE"""),45790.0)</f>
        <v>45790</v>
      </c>
      <c r="D940" s="71" t="str">
        <f>IFERROR(__xludf.DUMMYFUNCTION("""COMPUTED_VALUE"""),"Masikap Farmers and Farm Workers Association")</f>
        <v>Masikap Farmers and Farm Workers Association</v>
      </c>
      <c r="E940" s="71" t="str">
        <f>IFERROR(__xludf.DUMMYFUNCTION("""COMPUTED_VALUE"""),"San Fernando Norte, Cabiao, Nueva Ecija")</f>
        <v>San Fernando Norte, Cabiao, Nueva Ecija</v>
      </c>
      <c r="F940" s="2" t="str">
        <f>IFERROR(__xludf.DUMMYFUNCTION("""COMPUTED_VALUE"""),"MASIKAP AND FARM WORKERS ASSOCIATION
LORENZO VINUYA")</f>
        <v>MASIKAP AND FARM WORKERS ASSOCIATION
LORENZO VINUYA</v>
      </c>
      <c r="G940" s="2">
        <f>IFERROR(__xludf.DUMMYFUNCTION("""COMPUTED_VALUE"""),9.28551517E9)</f>
        <v>9285515170</v>
      </c>
      <c r="H940" s="2">
        <f>IFERROR(__xludf.DUMMYFUNCTION("""COMPUTED_VALUE"""),50.0)</f>
        <v>50</v>
      </c>
      <c r="I940" s="72" t="str">
        <f>IFERROR(__xludf.DUMMYFUNCTION("""COMPUTED_VALUE"""),"PMS")</f>
        <v>PMS</v>
      </c>
      <c r="J940" s="72" t="str">
        <f>IFERROR(__xludf.DUMMYFUNCTION("""COMPUTED_VALUE"""),"PMS")</f>
        <v>PMS</v>
      </c>
      <c r="K940" s="72" t="str">
        <f>IFERROR(__xludf.DUMMYFUNCTION("""COMPUTED_VALUE"""),"FREE 1ST PMS")</f>
        <v>FREE 1ST PMS</v>
      </c>
      <c r="L940" s="72" t="str">
        <f>IFERROR(__xludf.DUMMYFUNCTION("""COMPUTED_VALUE"""),"JDP: 1ST PMS DONE, ")</f>
        <v>JDP: 1ST PMS DONE, </v>
      </c>
      <c r="M940" s="2"/>
      <c r="N940" s="2" t="str">
        <f>IFERROR(__xludf.DUMMYFUNCTION("""COMPUTED_VALUE"""),"PARTS: OIL FILTER, ENGINE OIL")</f>
        <v>PARTS: OIL FILTER, ENGINE OIL</v>
      </c>
      <c r="O940" s="2">
        <f>IFERROR(__xludf.DUMMYFUNCTION("""COMPUTED_VALUE"""),1388.0)</f>
        <v>1388</v>
      </c>
      <c r="P940" s="2"/>
      <c r="Q940" s="2"/>
      <c r="R940" s="74">
        <f>IFERROR(__xludf.DUMMYFUNCTION("""COMPUTED_VALUE"""),45792.0)</f>
        <v>45792</v>
      </c>
      <c r="S940" s="2" t="str">
        <f>IFERROR(__xludf.DUMMYFUNCTION("""COMPUTED_VALUE"""),"JDP/DSD")</f>
        <v>JDP/DSD</v>
      </c>
      <c r="T940" s="73" t="str">
        <f>IFERROR(__xludf.DUMMYFUNCTION("""COMPUTED_VALUE""")," N/A ")</f>
        <v>N/A</v>
      </c>
      <c r="U940" s="73" t="str">
        <f>IFERROR(__xludf.DUMMYFUNCTION("""COMPUTED_VALUE""")," NO CHARGE ")</f>
        <v>NO CHARGE</v>
      </c>
      <c r="V940" s="2"/>
      <c r="W940" s="2" t="str">
        <f>IFERROR(__xludf.DUMMYFUNCTION("""COMPUTED_VALUE"""),"N/A")</f>
        <v>N/A</v>
      </c>
      <c r="X940" s="2" t="str">
        <f>IFERROR(__xludf.DUMMYFUNCTION("""COMPUTED_VALUE"""),"N/A")</f>
        <v>N/A</v>
      </c>
      <c r="Y940" s="2"/>
      <c r="Z940" s="2"/>
      <c r="AA940" s="2"/>
      <c r="AB940" s="2"/>
      <c r="AC940" s="2"/>
      <c r="AD940" s="2"/>
      <c r="AE940" s="2"/>
      <c r="AF940" s="2"/>
      <c r="AG940" s="2"/>
      <c r="AH940" s="2"/>
      <c r="AI940" s="2"/>
      <c r="AJ940" s="2" t="str">
        <f>IFERROR(__xludf.DUMMYFUNCTION("""COMPUTED_VALUE"""),"San Fernando Norte")</f>
        <v>San Fernando Norte</v>
      </c>
      <c r="AK940" s="2" t="str">
        <f>IFERROR(__xludf.DUMMYFUNCTION("""COMPUTED_VALUE"""),"Cabiao")</f>
        <v>Cabiao</v>
      </c>
      <c r="AL940" s="2" t="str">
        <f>IFERROR(__xludf.DUMMYFUNCTION("""COMPUTED_VALUE"""),"Nueva Ecija")</f>
        <v>Nueva Ecija</v>
      </c>
      <c r="AM940" s="2">
        <f>IFERROR(__xludf.DUMMYFUNCTION("""COMPUTED_VALUE"""),3.0)</f>
        <v>3</v>
      </c>
      <c r="AN940" s="2" t="str">
        <f>IFERROR(__xludf.DUMMYFUNCTION("""COMPUTED_VALUE"""),"RCEF 24-04-15")</f>
        <v>RCEF 24-04-15</v>
      </c>
      <c r="AO940" s="2">
        <f>IFERROR(__xludf.DUMMYFUNCTION("""COMPUTED_VALUE"""),6.0)</f>
        <v>6</v>
      </c>
      <c r="AP940" s="2" t="str">
        <f>IFERROR(__xludf.DUMMYFUNCTION("""COMPUTED_VALUE"""),"FREE PMS")</f>
        <v>FREE PMS</v>
      </c>
      <c r="AQ940" s="2"/>
      <c r="AR940" s="2"/>
      <c r="AS940" s="2"/>
      <c r="AT940" s="2"/>
      <c r="AU940" s="2"/>
      <c r="AV940" s="2"/>
      <c r="AW940" s="2"/>
      <c r="AX940" s="2"/>
      <c r="AY940" s="2"/>
      <c r="AZ940" s="2"/>
      <c r="BA940" s="2"/>
      <c r="BB940" s="2"/>
    </row>
    <row r="941">
      <c r="A941" s="2">
        <f>IFERROR(__xludf.DUMMYFUNCTION("""COMPUTED_VALUE"""),937.0)</f>
        <v>937</v>
      </c>
      <c r="B941" s="2" t="str">
        <f>IFERROR(__xludf.DUMMYFUNCTION("""COMPUTED_VALUE"""),"COMPLETED")</f>
        <v>COMPLETED</v>
      </c>
      <c r="C941" s="74">
        <f>IFERROR(__xludf.DUMMYFUNCTION("""COMPUTED_VALUE"""),45790.0)</f>
        <v>45790</v>
      </c>
      <c r="D941" s="71" t="str">
        <f>IFERROR(__xludf.DUMMYFUNCTION("""COMPUTED_VALUE"""),"CABALIN DIPALO IRRIGATORS ASSOCIATION, INC.")</f>
        <v>CABALIN DIPALO IRRIGATORS ASSOCIATION, INC.</v>
      </c>
      <c r="E941" s="71" t="str">
        <f>IFERROR(__xludf.DUMMYFUNCTION("""COMPUTED_VALUE"""),"Cabangaran, San Quintin, PANGASINAN")</f>
        <v>Cabangaran, San Quintin, PANGASINAN</v>
      </c>
      <c r="F941" s="2" t="str">
        <f>IFERROR(__xludf.DUMMYFUNCTION("""COMPUTED_VALUE"""),"Ronnie A Cornel")</f>
        <v>Ronnie A Cornel</v>
      </c>
      <c r="G941" s="2" t="str">
        <f>IFERROR(__xludf.DUMMYFUNCTION("""COMPUTED_VALUE"""),"0927 557 2835")</f>
        <v>0927 557 2835</v>
      </c>
      <c r="H941" s="2">
        <f>IFERROR(__xludf.DUMMYFUNCTION("""COMPUTED_VALUE"""),49.0)</f>
        <v>49</v>
      </c>
      <c r="I941" s="72" t="str">
        <f>IFERROR(__xludf.DUMMYFUNCTION("""COMPUTED_VALUE"""),"PMS")</f>
        <v>PMS</v>
      </c>
      <c r="J941" s="72" t="str">
        <f>IFERROR(__xludf.DUMMYFUNCTION("""COMPUTED_VALUE"""),"PMS")</f>
        <v>PMS</v>
      </c>
      <c r="K941" s="72" t="str">
        <f>IFERROR(__xludf.DUMMYFUNCTION("""COMPUTED_VALUE"""),"FREE 1ST PMS")</f>
        <v>FREE 1ST PMS</v>
      </c>
      <c r="L941" s="72" t="str">
        <f>IFERROR(__xludf.DUMMYFUNCTION("""COMPUTED_VALUE"""),"EGT: 1ST PMS DONE")</f>
        <v>EGT: 1ST PMS DONE</v>
      </c>
      <c r="M941" s="2"/>
      <c r="N941" s="2" t="str">
        <f>IFERROR(__xludf.DUMMYFUNCTION("""COMPUTED_VALUE"""),"PARTS: OIL FILTER, ENGINE OIL")</f>
        <v>PARTS: OIL FILTER, ENGINE OIL</v>
      </c>
      <c r="O941" s="2">
        <f>IFERROR(__xludf.DUMMYFUNCTION("""COMPUTED_VALUE"""),1128.0)</f>
        <v>1128</v>
      </c>
      <c r="P941" s="2"/>
      <c r="Q941" s="2"/>
      <c r="R941" s="74">
        <f>IFERROR(__xludf.DUMMYFUNCTION("""COMPUTED_VALUE"""),45796.0)</f>
        <v>45796</v>
      </c>
      <c r="S941" s="2" t="str">
        <f>IFERROR(__xludf.DUMMYFUNCTION("""COMPUTED_VALUE"""),"EGT/DRM")</f>
        <v>EGT/DRM</v>
      </c>
      <c r="T941" s="73" t="str">
        <f>IFERROR(__xludf.DUMMYFUNCTION("""COMPUTED_VALUE""")," N/A ")</f>
        <v>N/A</v>
      </c>
      <c r="U941" s="73" t="str">
        <f>IFERROR(__xludf.DUMMYFUNCTION("""COMPUTED_VALUE""")," NO CHARGE ")</f>
        <v>NO CHARGE</v>
      </c>
      <c r="V941" s="2"/>
      <c r="W941" s="2"/>
      <c r="X941" s="2"/>
      <c r="Y941" s="2"/>
      <c r="Z941" s="2"/>
      <c r="AA941" s="2"/>
      <c r="AB941" s="2"/>
      <c r="AC941" s="2"/>
      <c r="AD941" s="2"/>
      <c r="AE941" s="2"/>
      <c r="AF941" s="2"/>
      <c r="AG941" s="2"/>
      <c r="AH941" s="2"/>
      <c r="AI941" s="2"/>
      <c r="AJ941" s="2" t="str">
        <f>IFERROR(__xludf.DUMMYFUNCTION("""COMPUTED_VALUE"""),"Cabangaran")</f>
        <v>Cabangaran</v>
      </c>
      <c r="AK941" s="2" t="str">
        <f>IFERROR(__xludf.DUMMYFUNCTION("""COMPUTED_VALUE"""),"San Quintin")</f>
        <v>San Quintin</v>
      </c>
      <c r="AL941" s="2" t="str">
        <f>IFERROR(__xludf.DUMMYFUNCTION("""COMPUTED_VALUE"""),"Pangasinan")</f>
        <v>Pangasinan</v>
      </c>
      <c r="AM941" s="2">
        <f>IFERROR(__xludf.DUMMYFUNCTION("""COMPUTED_VALUE"""),1.0)</f>
        <v>1</v>
      </c>
      <c r="AN941" s="2" t="str">
        <f>IFERROR(__xludf.DUMMYFUNCTION("""COMPUTED_VALUE"""),"Repeat Order")</f>
        <v>Repeat Order</v>
      </c>
      <c r="AO941" s="2">
        <f>IFERROR(__xludf.DUMMYFUNCTION("""COMPUTED_VALUE"""),6.0)</f>
        <v>6</v>
      </c>
      <c r="AP941" s="2" t="str">
        <f>IFERROR(__xludf.DUMMYFUNCTION("""COMPUTED_VALUE"""),"FREE PMS")</f>
        <v>FREE PMS</v>
      </c>
      <c r="AQ941" s="2"/>
      <c r="AR941" s="2"/>
      <c r="AS941" s="2"/>
      <c r="AT941" s="2"/>
      <c r="AU941" s="2"/>
      <c r="AV941" s="2"/>
      <c r="AW941" s="2"/>
      <c r="AX941" s="2"/>
      <c r="AY941" s="2"/>
      <c r="AZ941" s="2"/>
      <c r="BA941" s="2"/>
      <c r="BB941" s="2"/>
    </row>
    <row r="942">
      <c r="A942" s="2">
        <f>IFERROR(__xludf.DUMMYFUNCTION("""COMPUTED_VALUE"""),938.0)</f>
        <v>938</v>
      </c>
      <c r="B942" s="2" t="str">
        <f>IFERROR(__xludf.DUMMYFUNCTION("""COMPUTED_VALUE"""),"COMPLETED")</f>
        <v>COMPLETED</v>
      </c>
      <c r="C942" s="74">
        <f>IFERROR(__xludf.DUMMYFUNCTION("""COMPUTED_VALUE"""),45790.0)</f>
        <v>45790</v>
      </c>
      <c r="D942" s="71" t="str">
        <f>IFERROR(__xludf.DUMMYFUNCTION("""COMPUTED_VALUE"""),"POBLACION ILAYA PANIT-AN FARMERS ASSOCIATION")</f>
        <v>POBLACION ILAYA PANIT-AN FARMERS ASSOCIATION</v>
      </c>
      <c r="E942" s="71" t="str">
        <f>IFERROR(__xludf.DUMMYFUNCTION("""COMPUTED_VALUE"""),"Poblacion Ilaya, Panitan, CAPIZ")</f>
        <v>Poblacion Ilaya, Panitan, CAPIZ</v>
      </c>
      <c r="F942" s="2" t="str">
        <f>IFERROR(__xludf.DUMMYFUNCTION("""COMPUTED_VALUE"""),"LORENZO DUMOL")</f>
        <v>LORENZO DUMOL</v>
      </c>
      <c r="G942" s="2">
        <f>IFERROR(__xludf.DUMMYFUNCTION("""COMPUTED_VALUE"""),9.270293201E9)</f>
        <v>9270293201</v>
      </c>
      <c r="H942" s="2">
        <f>IFERROR(__xludf.DUMMYFUNCTION("""COMPUTED_VALUE"""),350.0)</f>
        <v>350</v>
      </c>
      <c r="I942" s="72" t="str">
        <f>IFERROR(__xludf.DUMMYFUNCTION("""COMPUTED_VALUE"""),"PMS")</f>
        <v>PMS</v>
      </c>
      <c r="J942" s="72" t="str">
        <f>IFERROR(__xludf.DUMMYFUNCTION("""COMPUTED_VALUE"""),"PMS")</f>
        <v>PMS</v>
      </c>
      <c r="K942" s="72" t="str">
        <f>IFERROR(__xludf.DUMMYFUNCTION("""COMPUTED_VALUE"""),"2ND PMS:  ORDER  1 ENGINE OIL FILTER, 1 HYDRAULIC FILTER
(SILA NA ANG BIBILI NG ENGINE OIL AT HYDRAULIC OIL)
MYK: WAITING SA PAYMENT NILA")</f>
        <v>2ND PMS:  ORDER  1 ENGINE OIL FILTER, 1 HYDRAULIC FILTER
(SILA NA ANG BIBILI NG ENGINE OIL AT HYDRAULIC OIL)
MYK: WAITING SA PAYMENT NILA</v>
      </c>
      <c r="L942" s="72" t="str">
        <f>IFERROR(__xludf.DUMMYFUNCTION("""COMPUTED_VALUE"""),"PAYMENT DONE: PREPARE PARTS: ")</f>
        <v>PAYMENT DONE: PREPARE PARTS: </v>
      </c>
      <c r="M942" s="2"/>
      <c r="N942" s="2" t="str">
        <f>IFERROR(__xludf.DUMMYFUNCTION("""COMPUTED_VALUE"""),"PARTS: OIL FILTER, HYDRAULIC FILTER")</f>
        <v>PARTS: OIL FILTER, HYDRAULIC FILTER</v>
      </c>
      <c r="O942" s="2" t="str">
        <f>IFERROR(__xludf.DUMMYFUNCTION("""COMPUTED_VALUE"""),"N/A")</f>
        <v>N/A</v>
      </c>
      <c r="P942" s="2"/>
      <c r="Q942" s="2"/>
      <c r="R942" s="74">
        <f>IFERROR(__xludf.DUMMYFUNCTION("""COMPUTED_VALUE"""),45811.0)</f>
        <v>45811</v>
      </c>
      <c r="S942" s="2" t="str">
        <f>IFERROR(__xludf.DUMMYFUNCTION("""COMPUTED_VALUE"""),"MYKEE")</f>
        <v>MYKEE</v>
      </c>
      <c r="T942" s="73">
        <f>IFERROR(__xludf.DUMMYFUNCTION("""COMPUTED_VALUE"""),4300.0)</f>
        <v>4300</v>
      </c>
      <c r="U942" s="73" t="str">
        <f>IFERROR(__xludf.DUMMYFUNCTION("""COMPUTED_VALUE""")," REMITTED ")</f>
        <v>REMITTED</v>
      </c>
      <c r="V942" s="2"/>
      <c r="W942" s="2">
        <f>IFERROR(__xludf.DUMMYFUNCTION("""COMPUTED_VALUE"""),1192.0)</f>
        <v>1192</v>
      </c>
      <c r="X942" s="2">
        <f>IFERROR(__xludf.DUMMYFUNCTION("""COMPUTED_VALUE"""),1385.0)</f>
        <v>1385</v>
      </c>
      <c r="Y942" s="2"/>
      <c r="Z942" s="2"/>
      <c r="AA942" s="2"/>
      <c r="AB942" s="2"/>
      <c r="AC942" s="2"/>
      <c r="AD942" s="2"/>
      <c r="AE942" s="2"/>
      <c r="AF942" s="2"/>
      <c r="AG942" s="2"/>
      <c r="AH942" s="2"/>
      <c r="AI942" s="2"/>
      <c r="AJ942" s="2" t="str">
        <f>IFERROR(__xludf.DUMMYFUNCTION("""COMPUTED_VALUE"""),"Poblacion Ilaya")</f>
        <v>Poblacion Ilaya</v>
      </c>
      <c r="AK942" s="2" t="str">
        <f>IFERROR(__xludf.DUMMYFUNCTION("""COMPUTED_VALUE"""),"Panitan")</f>
        <v>Panitan</v>
      </c>
      <c r="AL942" s="2" t="str">
        <f>IFERROR(__xludf.DUMMYFUNCTION("""COMPUTED_VALUE"""),"Capiz")</f>
        <v>Capiz</v>
      </c>
      <c r="AM942" s="2">
        <f>IFERROR(__xludf.DUMMYFUNCTION("""COMPUTED_VALUE"""),6.0)</f>
        <v>6</v>
      </c>
      <c r="AN942" s="2" t="str">
        <f>IFERROR(__xludf.DUMMYFUNCTION("""COMPUTED_VALUE"""),"RCEF 23-09-21 Rebidding")</f>
        <v>RCEF 23-09-21 Rebidding</v>
      </c>
      <c r="AO942" s="2">
        <f>IFERROR(__xludf.DUMMYFUNCTION("""COMPUTED_VALUE"""),4.0)</f>
        <v>4</v>
      </c>
      <c r="AP942" s="2"/>
      <c r="AQ942" s="2"/>
      <c r="AR942" s="2"/>
      <c r="AS942" s="2"/>
      <c r="AT942" s="2"/>
      <c r="AU942" s="2"/>
      <c r="AV942" s="2"/>
      <c r="AW942" s="2"/>
      <c r="AX942" s="2"/>
      <c r="AY942" s="2"/>
      <c r="AZ942" s="2"/>
      <c r="BA942" s="2"/>
      <c r="BB942" s="2"/>
    </row>
    <row r="943">
      <c r="A943" s="2">
        <f>IFERROR(__xludf.DUMMYFUNCTION("""COMPUTED_VALUE"""),939.0)</f>
        <v>939</v>
      </c>
      <c r="B943" s="2" t="str">
        <f>IFERROR(__xludf.DUMMYFUNCTION("""COMPUTED_VALUE"""),"COMPLETED")</f>
        <v>COMPLETED</v>
      </c>
      <c r="C943" s="74">
        <f>IFERROR(__xludf.DUMMYFUNCTION("""COMPUTED_VALUE"""),45790.0)</f>
        <v>45790</v>
      </c>
      <c r="D943" s="71" t="str">
        <f>IFERROR(__xludf.DUMMYFUNCTION("""COMPUTED_VALUE"""),"NAEVAM IRRIGATORS ASSOCIATION, INC.")</f>
        <v>NAEVAM IRRIGATORS ASSOCIATION, INC.</v>
      </c>
      <c r="E943" s="71" t="str">
        <f>IFERROR(__xludf.DUMMYFUNCTION("""COMPUTED_VALUE"""),"Nangapugan, San Quintin, PANGASINAN")</f>
        <v>Nangapugan, San Quintin, PANGASINAN</v>
      </c>
      <c r="F943" s="2" t="str">
        <f>IFERROR(__xludf.DUMMYFUNCTION("""COMPUTED_VALUE"""),"ARMANDO PALUYO")</f>
        <v>ARMANDO PALUYO</v>
      </c>
      <c r="G943" s="2"/>
      <c r="H943" s="2"/>
      <c r="I943" s="72" t="str">
        <f>IFERROR(__xludf.DUMMYFUNCTION("""COMPUTED_VALUE"""),"REPAIR - ROTAVATOR")</f>
        <v>REPAIR - ROTAVATOR</v>
      </c>
      <c r="J943" s="72" t="str">
        <f>IFERROR(__xludf.DUMMYFUNCTION("""COMPUTED_VALUE"""),"Training")</f>
        <v>Training</v>
      </c>
      <c r="K943" s="72" t="str">
        <f>IFERROR(__xludf.DUMMYFUNCTION("""COMPUTED_VALUE"""),"
KUNG PWEDE PA ASSIST SA PAG BAWAS NG NGINPIN NG ROTAVATOR
(5/15/225- DADALHIN NA NG HAPON ANG UNIT SA STA. MARIA PANGASINAN, DAHIL RERE-AWARD NI BBM SA 5/16/25)")</f>
        <v>
KUNG PWEDE PA ASSIST SA PAG BAWAS NG NGINPIN NG ROTAVATOR
(5/15/225- DADALHIN NA NG HAPON ANG UNIT SA STA. MARIA PANGASINAN, DAHIL RERE-AWARD NI BBM SA 5/16/25)</v>
      </c>
      <c r="L943" s="72" t="str">
        <f>IFERROR(__xludf.DUMMYFUNCTION("""COMPUTED_VALUE"""),"EGT: DONE ASSISTING ROTAVATOR BLADES")</f>
        <v>EGT: DONE ASSISTING ROTAVATOR BLADES</v>
      </c>
      <c r="M943" s="2"/>
      <c r="N943" s="2"/>
      <c r="O943" s="2" t="str">
        <f>IFERROR(__xludf.DUMMYFUNCTION("""COMPUTED_VALUE"""),"NEED SERVICE REPORT")</f>
        <v>NEED SERVICE REPORT</v>
      </c>
      <c r="P943" s="2"/>
      <c r="Q943" s="2"/>
      <c r="R943" s="74" t="str">
        <f>IFERROR(__xludf.DUMMYFUNCTION("""COMPUTED_VALUE"""),"DATE UNKNOWN")</f>
        <v>DATE UNKNOWN</v>
      </c>
      <c r="S943" s="2" t="str">
        <f>IFERROR(__xludf.DUMMYFUNCTION("""COMPUTED_VALUE"""),"EGT/DRM")</f>
        <v>EGT/DRM</v>
      </c>
      <c r="T943" s="73" t="str">
        <f>IFERROR(__xludf.DUMMYFUNCTION("""COMPUTED_VALUE""")," N/A ")</f>
        <v>N/A</v>
      </c>
      <c r="U943" s="73" t="str">
        <f>IFERROR(__xludf.DUMMYFUNCTION("""COMPUTED_VALUE""")," NO CHARGE ")</f>
        <v>NO CHARGE</v>
      </c>
      <c r="V943" s="2"/>
      <c r="W943" s="2" t="str">
        <f>IFERROR(__xludf.DUMMYFUNCTION("""COMPUTED_VALUE"""),"N/A")</f>
        <v>N/A</v>
      </c>
      <c r="X943" s="2" t="str">
        <f>IFERROR(__xludf.DUMMYFUNCTION("""COMPUTED_VALUE"""),"N/A")</f>
        <v>N/A</v>
      </c>
      <c r="Y943" s="2"/>
      <c r="Z943" s="2"/>
      <c r="AA943" s="2"/>
      <c r="AB943" s="2"/>
      <c r="AC943" s="2"/>
      <c r="AD943" s="2"/>
      <c r="AE943" s="2"/>
      <c r="AF943" s="2"/>
      <c r="AG943" s="2"/>
      <c r="AH943" s="2"/>
      <c r="AI943" s="2"/>
      <c r="AJ943" s="2" t="str">
        <f>IFERROR(__xludf.DUMMYFUNCTION("""COMPUTED_VALUE"""),"Nangapugan")</f>
        <v>Nangapugan</v>
      </c>
      <c r="AK943" s="2" t="str">
        <f>IFERROR(__xludf.DUMMYFUNCTION("""COMPUTED_VALUE"""),"San Quintin")</f>
        <v>San Quintin</v>
      </c>
      <c r="AL943" s="2" t="str">
        <f>IFERROR(__xludf.DUMMYFUNCTION("""COMPUTED_VALUE"""),"Pangasinan")</f>
        <v>Pangasinan</v>
      </c>
      <c r="AM943" s="2">
        <f>IFERROR(__xludf.DUMMYFUNCTION("""COMPUTED_VALUE"""),1.0)</f>
        <v>1</v>
      </c>
      <c r="AN943" s="2" t="str">
        <f>IFERROR(__xludf.DUMMYFUNCTION("""COMPUTED_VALUE"""),"RCEF 24-04-15")</f>
        <v>RCEF 24-04-15</v>
      </c>
      <c r="AO943" s="2">
        <f>IFERROR(__xludf.DUMMYFUNCTION("""COMPUTED_VALUE"""),6.0)</f>
        <v>6</v>
      </c>
      <c r="AP943" s="2" t="str">
        <f>IFERROR(__xludf.DUMMYFUNCTION("""COMPUTED_VALUE"""),"FREE PMS")</f>
        <v>FREE PMS</v>
      </c>
      <c r="AQ943" s="2"/>
      <c r="AR943" s="2"/>
      <c r="AS943" s="2"/>
      <c r="AT943" s="2"/>
      <c r="AU943" s="2"/>
      <c r="AV943" s="2"/>
      <c r="AW943" s="2"/>
      <c r="AX943" s="2"/>
      <c r="AY943" s="2"/>
      <c r="AZ943" s="2"/>
      <c r="BA943" s="2"/>
      <c r="BB943" s="2"/>
    </row>
    <row r="944">
      <c r="A944" s="2">
        <f>IFERROR(__xludf.DUMMYFUNCTION("""COMPUTED_VALUE"""),940.0)</f>
        <v>940</v>
      </c>
      <c r="B944" s="2" t="str">
        <f>IFERROR(__xludf.DUMMYFUNCTION("""COMPUTED_VALUE"""),"PENDING")</f>
        <v>PENDING</v>
      </c>
      <c r="C944" s="74">
        <f>IFERROR(__xludf.DUMMYFUNCTION("""COMPUTED_VALUE"""),45790.0)</f>
        <v>45790</v>
      </c>
      <c r="D944" s="71" t="str">
        <f>IFERROR(__xludf.DUMMYFUNCTION("""COMPUTED_VALUE"""),"Sablayan Farmers and Market Vendors Multi-Purpose Cooperative")</f>
        <v>Sablayan Farmers and Market Vendors Multi-Purpose Cooperative</v>
      </c>
      <c r="E944" s="71" t="str">
        <f>IFERROR(__xludf.DUMMYFUNCTION("""COMPUTED_VALUE"""),"Buenavista, Sablayan, OCCIDENTAL MINDORO")</f>
        <v>Buenavista, Sablayan, OCCIDENTAL MINDORO</v>
      </c>
      <c r="F944" s="2" t="str">
        <f>IFERROR(__xludf.DUMMYFUNCTION("""COMPUTED_VALUE"""),"Leonardo Pacheco")</f>
        <v>Leonardo Pacheco</v>
      </c>
      <c r="G944" s="2">
        <f>IFERROR(__xludf.DUMMYFUNCTION("""COMPUTED_VALUE"""),9.169402502E9)</f>
        <v>9169402502</v>
      </c>
      <c r="H944" s="2">
        <f>IFERROR(__xludf.DUMMYFUNCTION("""COMPUTED_VALUE"""),13.0)</f>
        <v>13</v>
      </c>
      <c r="I944" s="72" t="str">
        <f>IFERROR(__xludf.DUMMYFUNCTION("""COMPUTED_VALUE"""),"REPAIR - TRACTOR")</f>
        <v>REPAIR - TRACTOR</v>
      </c>
      <c r="J944" s="72" t="str">
        <f>IFERROR(__xludf.DUMMYFUNCTION("""COMPUTED_VALUE"""),"Lift Arm")</f>
        <v>Lift Arm</v>
      </c>
      <c r="K944" s="72" t="str">
        <f>IFERROR(__xludf.DUMMYFUNCTION("""COMPUTED_VALUE"""),"MYK: Rotovator hydraulic leak (Has Air Leak on Rotovator knob)
5/27/25:RCG: PARTS: SAFETY VALVE
159: NEED TO REPLACED SAFETY VALVE AND CHECK THE PISTON
RCG: 6/4/25
PARTS: HYD PUMP 
MYK: FOR PULL OUT YUNG HULING KINABIT NA HYDRAULIC PUMP DAHIL OK NAMAN "&amp;"YUNG ORIGINAL NILANG HYD PUMP
RBS: HINDI SAFTETY VALVE ANG SIRA, PISTON SA LOOB NG CYLINDER ANG MAY POSIBLENG DEFECT
PARTS:
1- CYLINDER ASSY TA00034002
1-O-RING, DYNAMIC (Φ14)
2- O-RING TA00034006
2- BACK UP RING TA00034007
1- PISTON NT45540000
1- ROD, "&amp;"PISTON TA00033094
1- SPRINGPIN 22351-080050
ECM:
FINAL PARTS:
1-VALVE, CONTROL  (Cancel)
ECM: 
PARTS: FLOW REGULATOR ASSY TA00033887
")</f>
        <v>MYK: Rotovator hydraulic leak (Has Air Leak on Rotovator knob)
5/27/25:RCG: PARTS: SAFETY VALVE
159: NEED TO REPLACED SAFETY VALVE AND CHECK THE PISTON
RCG: 6/4/25
PARTS: HYD PUMP 
MYK: FOR PULL OUT YUNG HULING KINABIT NA HYDRAULIC PUMP DAHIL OK NAMAN YUNG ORIGINAL NILANG HYD PUMP
RBS: HINDI SAFTETY VALVE ANG SIRA, PISTON SA LOOB NG CYLINDER ANG MAY POSIBLENG DEFECT
PARTS:
1- CYLINDER ASSY TA00034002
1-O-RING, DYNAMIC (Φ14)
2- O-RING TA00034006
2- BACK UP RING TA00034007
1- PISTON NT45540000
1- ROD, PISTON TA00033094
1- SPRINGPIN 22351-080050
ECM:
FINAL PARTS:
1-VALVE, CONTROL  (Cancel)
ECM: 
PARTS: FLOW REGULATOR ASSY TA00033887
</v>
      </c>
      <c r="L944" s="72" t="str">
        <f>IFERROR(__xludf.DUMMYFUNCTION("""COMPUTED_VALUE"""),"- PARTS REQUESTED - FOR PO ")</f>
        <v>- PARTS REQUESTED - FOR PO </v>
      </c>
      <c r="M944" s="2" t="str">
        <f>IFERROR(__xludf.DUMMYFUNCTION("""COMPUTED_VALUE"""),"FLOW REGULATOR ASSY TA00033887")</f>
        <v>FLOW REGULATOR ASSY TA00033887</v>
      </c>
      <c r="N944" s="2"/>
      <c r="O944" s="2"/>
      <c r="P944" s="2"/>
      <c r="Q944" s="2"/>
      <c r="R944" s="2"/>
      <c r="S944" s="2"/>
      <c r="T944" s="2"/>
      <c r="U944" s="2"/>
      <c r="V944" s="2"/>
      <c r="W944" s="2"/>
      <c r="X944" s="2"/>
      <c r="Y944" s="2"/>
      <c r="Z944" s="2"/>
      <c r="AA944" s="2"/>
      <c r="AB944" s="2"/>
      <c r="AC944" s="2"/>
      <c r="AD944" s="2"/>
      <c r="AE944" s="2"/>
      <c r="AF944" s="2"/>
      <c r="AG944" s="2"/>
      <c r="AH944" s="2"/>
      <c r="AI944" s="2"/>
      <c r="AJ944" s="2" t="str">
        <f>IFERROR(__xludf.DUMMYFUNCTION("""COMPUTED_VALUE"""),"Buenavista")</f>
        <v>Buenavista</v>
      </c>
      <c r="AK944" s="2" t="str">
        <f>IFERROR(__xludf.DUMMYFUNCTION("""COMPUTED_VALUE"""),"Sablayan")</f>
        <v>Sablayan</v>
      </c>
      <c r="AL944" s="2" t="str">
        <f>IFERROR(__xludf.DUMMYFUNCTION("""COMPUTED_VALUE"""),"Occidental Mindoro")</f>
        <v>Occidental Mindoro</v>
      </c>
      <c r="AM944" s="2" t="str">
        <f>IFERROR(__xludf.DUMMYFUNCTION("""COMPUTED_VALUE"""),"4B")</f>
        <v>4B</v>
      </c>
      <c r="AN944" s="2" t="str">
        <f>IFERROR(__xludf.DUMMYFUNCTION("""COMPUTED_VALUE"""),"Repeat Order")</f>
        <v>Repeat Order</v>
      </c>
      <c r="AO944" s="2">
        <f>IFERROR(__xludf.DUMMYFUNCTION("""COMPUTED_VALUE"""),7.0)</f>
        <v>7</v>
      </c>
      <c r="AP944" s="2" t="str">
        <f>IFERROR(__xludf.DUMMYFUNCTION("""COMPUTED_VALUE"""),"FREE PMS")</f>
        <v>FREE PMS</v>
      </c>
      <c r="AQ944" s="2"/>
      <c r="AR944" s="2" t="str">
        <f>IFERROR(__xludf.DUMMYFUNCTION("""COMPUTED_VALUE"""),"FLOW REGULATOR ASSY TA00033887")</f>
        <v>FLOW REGULATOR ASSY TA00033887</v>
      </c>
      <c r="AS944" s="2"/>
      <c r="AT944" s="2"/>
      <c r="AU944" s="2"/>
      <c r="AV944" s="2"/>
      <c r="AW944" s="2"/>
      <c r="AX944" s="2"/>
      <c r="AY944" s="2"/>
      <c r="AZ944" s="2"/>
      <c r="BA944" s="2"/>
      <c r="BB944" s="2"/>
    </row>
    <row r="945">
      <c r="A945" s="2">
        <f>IFERROR(__xludf.DUMMYFUNCTION("""COMPUTED_VALUE"""),941.0)</f>
        <v>941</v>
      </c>
      <c r="B945" s="2" t="str">
        <f>IFERROR(__xludf.DUMMYFUNCTION("""COMPUTED_VALUE"""),"COMPLETED")</f>
        <v>COMPLETED</v>
      </c>
      <c r="C945" s="74">
        <f>IFERROR(__xludf.DUMMYFUNCTION("""COMPUTED_VALUE"""),45791.0)</f>
        <v>45791</v>
      </c>
      <c r="D945" s="71" t="str">
        <f>IFERROR(__xludf.DUMMYFUNCTION("""COMPUTED_VALUE"""),"LIOZON FISHERFOLKS AND FARMERS' ASSOCIATION")</f>
        <v>LIOZON FISHERFOLKS AND FARMERS' ASSOCIATION</v>
      </c>
      <c r="E945" s="71" t="str">
        <f>IFERROR(__xludf.DUMMYFUNCTION("""COMPUTED_VALUE"""),"Liozon, Palauig, ZAMBALES")</f>
        <v>Liozon, Palauig, ZAMBALES</v>
      </c>
      <c r="F945" s="2" t="str">
        <f>IFERROR(__xludf.DUMMYFUNCTION("""COMPUTED_VALUE"""),"Rene Alves")</f>
        <v>Rene Alves</v>
      </c>
      <c r="G945" s="2">
        <f>IFERROR(__xludf.DUMMYFUNCTION("""COMPUTED_VALUE"""),9.502454865E9)</f>
        <v>9502454865</v>
      </c>
      <c r="H945" s="2"/>
      <c r="I945" s="72" t="str">
        <f>IFERROR(__xludf.DUMMYFUNCTION("""COMPUTED_VALUE"""),"REPAIR - ROTAVATOR")</f>
        <v>REPAIR - ROTAVATOR</v>
      </c>
      <c r="J945" s="72" t="str">
        <f>IFERROR(__xludf.DUMMYFUNCTION("""COMPUTED_VALUE"""),"Gearbox")</f>
        <v>Gearbox</v>
      </c>
      <c r="K945" s="72" t="str">
        <f>IFERROR(__xludf.DUMMYFUNCTION("""COMPUTED_VALUE"""),"DSD: no pivot.bearing sa rotavator
PARTS:
1 pc LSGW drive shaft 
1 pc LSGW Bevel Gear 24T 
1 pc LSGW Pinion Gear 11T 
1 pc Taper roller bearing 30309 
2  pc taper roller bearing 32211
1 pc Oil seal 55 - 80 -12 - 
2 pcs Hard Lock Nut - ")</f>
        <v>DSD: no pivot.bearing sa rotavator
PARTS:
1 pc LSGW drive shaft 
1 pc LSGW Bevel Gear 24T 
1 pc LSGW Pinion Gear 11T 
1 pc Taper roller bearing 30309 
2  pc taper roller bearing 32211
1 pc Oil seal 55 - 80 -12 - 
2 pcs Hard Lock Nut - </v>
      </c>
      <c r="L945" s="72" t="str">
        <f>IFERROR(__xludf.DUMMYFUNCTION("""COMPUTED_VALUE"""),"EGT: DIS ASSEMBLE THE ROTAVATOR  AND ASSEMBLE INSTALLED PARTS DRIVE SHAFT,  BEVEL GEAR, PINION GEAR, TAPER ROLLER BEARING, OIL SEAL, AND NUT.")</f>
        <v>EGT: DIS ASSEMBLE THE ROTAVATOR  AND ASSEMBLE INSTALLED PARTS DRIVE SHAFT,  BEVEL GEAR, PINION GEAR, TAPER ROLLER BEARING, OIL SEAL, AND NUT.</v>
      </c>
      <c r="M945" s="2"/>
      <c r="N945" s="2" t="str">
        <f>IFERROR(__xludf.DUMMYFUNCTION("""COMPUTED_VALUE"""),"PARTS: 
1 pc LSGW drive shaft 
1 pc LSGW Bevel Gear 24T 
1 pc LSGW Pinion Gear 11T 
1 pc Taper roller bearing 30309 
2  pc taper roller bearing 32211
1 pc Oil seal 55 - 80 -12 - 
2 pcs Hard Lock Nut - ")</f>
        <v>PARTS: 
1 pc LSGW drive shaft 
1 pc LSGW Bevel Gear 24T 
1 pc LSGW Pinion Gear 11T 
1 pc Taper roller bearing 30309 
2  pc taper roller bearing 32211
1 pc Oil seal 55 - 80 -12 - 
2 pcs Hard Lock Nut - </v>
      </c>
      <c r="O945" s="2">
        <f>IFERROR(__xludf.DUMMYFUNCTION("""COMPUTED_VALUE"""),1133.0)</f>
        <v>1133</v>
      </c>
      <c r="P945" s="2"/>
      <c r="Q945" s="2"/>
      <c r="R945" s="74">
        <f>IFERROR(__xludf.DUMMYFUNCTION("""COMPUTED_VALUE"""),45799.0)</f>
        <v>45799</v>
      </c>
      <c r="S945" s="2" t="str">
        <f>IFERROR(__xludf.DUMMYFUNCTION("""COMPUTED_VALUE"""),"EGT/DRM")</f>
        <v>EGT/DRM</v>
      </c>
      <c r="T945" s="73">
        <f>IFERROR(__xludf.DUMMYFUNCTION("""COMPUTED_VALUE"""),51350.0)</f>
        <v>51350</v>
      </c>
      <c r="U945" s="73" t="str">
        <f>IFERROR(__xludf.DUMMYFUNCTION("""COMPUTED_VALUE""")," REMITTED ")</f>
        <v>REMITTED</v>
      </c>
      <c r="V945" s="2"/>
      <c r="W945" s="2">
        <f>IFERROR(__xludf.DUMMYFUNCTION("""COMPUTED_VALUE"""),1189.0)</f>
        <v>1189</v>
      </c>
      <c r="X945" s="2">
        <f>IFERROR(__xludf.DUMMYFUNCTION("""COMPUTED_VALUE"""),1384.0)</f>
        <v>1384</v>
      </c>
      <c r="Y945" s="2"/>
      <c r="Z945" s="2"/>
      <c r="AA945" s="2"/>
      <c r="AB945" s="2"/>
      <c r="AC945" s="2"/>
      <c r="AD945" s="2"/>
      <c r="AE945" s="2"/>
      <c r="AF945" s="2"/>
      <c r="AG945" s="2"/>
      <c r="AH945" s="2"/>
      <c r="AI945" s="2"/>
      <c r="AJ945" s="2" t="str">
        <f>IFERROR(__xludf.DUMMYFUNCTION("""COMPUTED_VALUE"""),"Liozon")</f>
        <v>Liozon</v>
      </c>
      <c r="AK945" s="2" t="str">
        <f>IFERROR(__xludf.DUMMYFUNCTION("""COMPUTED_VALUE"""),"Palauig")</f>
        <v>Palauig</v>
      </c>
      <c r="AL945" s="2" t="str">
        <f>IFERROR(__xludf.DUMMYFUNCTION("""COMPUTED_VALUE"""),"Zambales")</f>
        <v>Zambales</v>
      </c>
      <c r="AM945" s="2">
        <f>IFERROR(__xludf.DUMMYFUNCTION("""COMPUTED_VALUE"""),3.0)</f>
        <v>3</v>
      </c>
      <c r="AN945" s="2" t="str">
        <f>IFERROR(__xludf.DUMMYFUNCTION("""COMPUTED_VALUE"""),"RCEF 23-09-21 Rebidding")</f>
        <v>RCEF 23-09-21 Rebidding</v>
      </c>
      <c r="AO945" s="2">
        <f>IFERROR(__xludf.DUMMYFUNCTION("""COMPUTED_VALUE"""),3.0)</f>
        <v>3</v>
      </c>
      <c r="AP945" s="2"/>
      <c r="AQ945" s="2"/>
      <c r="AR945" s="2"/>
      <c r="AS945" s="2"/>
      <c r="AT945" s="2"/>
      <c r="AU945" s="2"/>
      <c r="AV945" s="2"/>
      <c r="AW945" s="2"/>
      <c r="AX945" s="2"/>
      <c r="AY945" s="2"/>
      <c r="AZ945" s="2"/>
      <c r="BA945" s="2"/>
      <c r="BB945" s="2"/>
    </row>
    <row r="946">
      <c r="A946" s="2">
        <f>IFERROR(__xludf.DUMMYFUNCTION("""COMPUTED_VALUE"""),942.0)</f>
        <v>942</v>
      </c>
      <c r="B946" s="2" t="str">
        <f>IFERROR(__xludf.DUMMYFUNCTION("""COMPUTED_VALUE"""),"COMPLETED")</f>
        <v>COMPLETED</v>
      </c>
      <c r="C946" s="74">
        <f>IFERROR(__xludf.DUMMYFUNCTION("""COMPUTED_VALUE"""),45791.0)</f>
        <v>45791</v>
      </c>
      <c r="D946" s="71" t="str">
        <f>IFERROR(__xludf.DUMMYFUNCTION("""COMPUTED_VALUE"""),"BUKLUD KAPAMPANGAN FARMERS ASSOCIATION INC.")</f>
        <v>BUKLUD KAPAMPANGAN FARMERS ASSOCIATION INC.</v>
      </c>
      <c r="E946" s="71" t="str">
        <f>IFERROR(__xludf.DUMMYFUNCTION("""COMPUTED_VALUE"""),"Cabetican, Bacolor, PAMPANGA")</f>
        <v>Cabetican, Bacolor, PAMPANGA</v>
      </c>
      <c r="F946" s="2" t="str">
        <f>IFERROR(__xludf.DUMMYFUNCTION("""COMPUTED_VALUE"""),"Dario Gueco.")</f>
        <v>Dario Gueco.</v>
      </c>
      <c r="G946" s="2">
        <f>IFERROR(__xludf.DUMMYFUNCTION("""COMPUTED_VALUE"""),9.609368115E9)</f>
        <v>9609368115</v>
      </c>
      <c r="H946" s="2">
        <f>IFERROR(__xludf.DUMMYFUNCTION("""COMPUTED_VALUE"""),150.0)</f>
        <v>150</v>
      </c>
      <c r="I946" s="72" t="str">
        <f>IFERROR(__xludf.DUMMYFUNCTION("""COMPUTED_VALUE"""),"PMS")</f>
        <v>PMS</v>
      </c>
      <c r="J946" s="72" t="str">
        <f>IFERROR(__xludf.DUMMYFUNCTION("""COMPUTED_VALUE"""),"PMS")</f>
        <v>PMS</v>
      </c>
      <c r="K946" s="72" t="str">
        <f>IFERROR(__xludf.DUMMYFUNCTION("""COMPUTED_VALUE"""),"MYKE: 1ST PMS FREE - PADALA NADIN NG HYDRAULIC FILTER")</f>
        <v>MYKE: 1ST PMS FREE - PADALA NADIN NG HYDRAULIC FILTER</v>
      </c>
      <c r="L946" s="72" t="str">
        <f>IFERROR(__xludf.DUMMYFUNCTION("""COMPUTED_VALUE"""),"JDP: DELIVERY OF HYDARAULIC FILTER , ENGINE OIL AND OIL FILTER: HINDI PO NAMIN NA CHANGE OIL DAHILHINDI PA FOR SECOND PMS UYUNG UNIT NILA 173 HRS PALANG PO.")</f>
        <v>JDP: DELIVERY OF HYDARAULIC FILTER , ENGINE OIL AND OIL FILTER: HINDI PO NAMIN NA CHANGE OIL DAHILHINDI PA FOR SECOND PMS UYUNG UNIT NILA 173 HRS PALANG PO.</v>
      </c>
      <c r="M946" s="2"/>
      <c r="N946" s="2" t="str">
        <f>IFERROR(__xludf.DUMMYFUNCTION("""COMPUTED_VALUE"""),"PARTS: HYDRAULIC FILTER")</f>
        <v>PARTS: HYDRAULIC FILTER</v>
      </c>
      <c r="O946" s="2">
        <f>IFERROR(__xludf.DUMMYFUNCTION("""COMPUTED_VALUE"""),1387.0)</f>
        <v>1387</v>
      </c>
      <c r="P946" s="2"/>
      <c r="Q946" s="2"/>
      <c r="R946" s="74">
        <f>IFERROR(__xludf.DUMMYFUNCTION("""COMPUTED_VALUE"""),45792.0)</f>
        <v>45792</v>
      </c>
      <c r="S946" s="2" t="str">
        <f>IFERROR(__xludf.DUMMYFUNCTION("""COMPUTED_VALUE"""),"JDP/DSD")</f>
        <v>JDP/DSD</v>
      </c>
      <c r="T946" s="73">
        <f>IFERROR(__xludf.DUMMYFUNCTION("""COMPUTED_VALUE"""),2748.0)</f>
        <v>2748</v>
      </c>
      <c r="U946" s="73" t="str">
        <f>IFERROR(__xludf.DUMMYFUNCTION("""COMPUTED_VALUE""")," REMITTED ")</f>
        <v>REMITTED</v>
      </c>
      <c r="V946" s="2"/>
      <c r="W946" s="2">
        <f>IFERROR(__xludf.DUMMYFUNCTION("""COMPUTED_VALUE"""),1404.0)</f>
        <v>1404</v>
      </c>
      <c r="X946" s="2">
        <f>IFERROR(__xludf.DUMMYFUNCTION("""COMPUTED_VALUE"""),1382.0)</f>
        <v>1382</v>
      </c>
      <c r="Y946" s="2"/>
      <c r="Z946" s="2"/>
      <c r="AA946" s="2"/>
      <c r="AB946" s="2"/>
      <c r="AC946" s="2"/>
      <c r="AD946" s="2"/>
      <c r="AE946" s="2"/>
      <c r="AF946" s="2"/>
      <c r="AG946" s="2"/>
      <c r="AH946" s="2"/>
      <c r="AI946" s="2"/>
      <c r="AJ946" s="2" t="str">
        <f>IFERROR(__xludf.DUMMYFUNCTION("""COMPUTED_VALUE"""),"Cabetican")</f>
        <v>Cabetican</v>
      </c>
      <c r="AK946" s="2" t="str">
        <f>IFERROR(__xludf.DUMMYFUNCTION("""COMPUTED_VALUE"""),"Bacolor")</f>
        <v>Bacolor</v>
      </c>
      <c r="AL946" s="2" t="str">
        <f>IFERROR(__xludf.DUMMYFUNCTION("""COMPUTED_VALUE"""),"Pampanga")</f>
        <v>Pampanga</v>
      </c>
      <c r="AM946" s="2">
        <f>IFERROR(__xludf.DUMMYFUNCTION("""COMPUTED_VALUE"""),3.0)</f>
        <v>3</v>
      </c>
      <c r="AN946" s="2" t="str">
        <f>IFERROR(__xludf.DUMMYFUNCTION("""COMPUTED_VALUE"""),"RCEF 24-04-15")</f>
        <v>RCEF 24-04-15</v>
      </c>
      <c r="AO946" s="2">
        <f>IFERROR(__xludf.DUMMYFUNCTION("""COMPUTED_VALUE"""),6.0)</f>
        <v>6</v>
      </c>
      <c r="AP946" s="2" t="str">
        <f>IFERROR(__xludf.DUMMYFUNCTION("""COMPUTED_VALUE"""),"FREE PMS")</f>
        <v>FREE PMS</v>
      </c>
      <c r="AQ946" s="2"/>
      <c r="AR946" s="2"/>
      <c r="AS946" s="2"/>
      <c r="AT946" s="2"/>
      <c r="AU946" s="2"/>
      <c r="AV946" s="2"/>
      <c r="AW946" s="2"/>
      <c r="AX946" s="2"/>
      <c r="AY946" s="2"/>
      <c r="AZ946" s="2"/>
      <c r="BA946" s="2"/>
      <c r="BB946" s="2"/>
    </row>
    <row r="947">
      <c r="A947" s="2">
        <f>IFERROR(__xludf.DUMMYFUNCTION("""COMPUTED_VALUE"""),943.0)</f>
        <v>943</v>
      </c>
      <c r="B947" s="2" t="str">
        <f>IFERROR(__xludf.DUMMYFUNCTION("""COMPUTED_VALUE"""),"COMPLETED")</f>
        <v>COMPLETED</v>
      </c>
      <c r="C947" s="74">
        <f>IFERROR(__xludf.DUMMYFUNCTION("""COMPUTED_VALUE"""),45791.0)</f>
        <v>45791</v>
      </c>
      <c r="D947" s="71" t="str">
        <f>IFERROR(__xludf.DUMMYFUNCTION("""COMPUTED_VALUE"""),"GUMAWISAN MAPACO FARMERS ASSOCIATION")</f>
        <v>GUMAWISAN MAPACO FARMERS ASSOCIATION</v>
      </c>
      <c r="E947" s="71" t="str">
        <f>IFERROR(__xludf.DUMMYFUNCTION("""COMPUTED_VALUE"""),"Mapaco, Pinukpuk, KALINGA")</f>
        <v>Mapaco, Pinukpuk, KALINGA</v>
      </c>
      <c r="F947" s="2" t="str">
        <f>IFERROR(__xludf.DUMMYFUNCTION("""COMPUTED_VALUE"""),"MELVIN LEE R. MANGWAG")</f>
        <v>MELVIN LEE R. MANGWAG</v>
      </c>
      <c r="G947" s="2">
        <f>IFERROR(__xludf.DUMMYFUNCTION("""COMPUTED_VALUE"""),9.069310401E9)</f>
        <v>9069310401</v>
      </c>
      <c r="H947" s="2"/>
      <c r="I947" s="72" t="str">
        <f>IFERROR(__xludf.DUMMYFUNCTION("""COMPUTED_VALUE"""),"REPAIR - TRACTOR")</f>
        <v>REPAIR - TRACTOR</v>
      </c>
      <c r="J947" s="72" t="str">
        <f>IFERROR(__xludf.DUMMYFUNCTION("""COMPUTED_VALUE"""),"CHECK UP UNIT")</f>
        <v>CHECK UP UNIT</v>
      </c>
      <c r="K947" s="72" t="str">
        <f>IFERROR(__xludf.DUMMYFUNCTION("""COMPUTED_VALUE"""),"JHP: PTO not working ")</f>
        <v>JHP: PTO not working </v>
      </c>
      <c r="L947" s="72" t="str">
        <f>IFERROR(__xludf.DUMMYFUNCTION("""COMPUTED_VALUE"""),"CFG: VIA CALL: OK NA ANG UNIT NAAYOS NA NILA FARMERS ANG UNIT ")</f>
        <v>CFG: VIA CALL: OK NA ANG UNIT NAAYOS NA NILA FARMERS ANG UNIT </v>
      </c>
      <c r="M947" s="2"/>
      <c r="N947" s="2"/>
      <c r="O947" s="2" t="str">
        <f>IFERROR(__xludf.DUMMYFUNCTION("""COMPUTED_VALUE"""),"N/A")</f>
        <v>N/A</v>
      </c>
      <c r="P947" s="2"/>
      <c r="Q947" s="2"/>
      <c r="R947" s="74">
        <f>IFERROR(__xludf.DUMMYFUNCTION("""COMPUTED_VALUE"""),45841.0)</f>
        <v>45841</v>
      </c>
      <c r="S947" s="2" t="str">
        <f>IFERROR(__xludf.DUMMYFUNCTION("""COMPUTED_VALUE"""),"CFG/JHP")</f>
        <v>CFG/JHP</v>
      </c>
      <c r="T947" s="73" t="str">
        <f>IFERROR(__xludf.DUMMYFUNCTION("""COMPUTED_VALUE""")," N/A ")</f>
        <v>N/A</v>
      </c>
      <c r="U947" s="73" t="str">
        <f>IFERROR(__xludf.DUMMYFUNCTION("""COMPUTED_VALUE""")," NO CHARGE ")</f>
        <v>NO CHARGE</v>
      </c>
      <c r="V947" s="2"/>
      <c r="W947" s="2" t="str">
        <f>IFERROR(__xludf.DUMMYFUNCTION("""COMPUTED_VALUE"""),"N/A")</f>
        <v>N/A</v>
      </c>
      <c r="X947" s="2" t="str">
        <f>IFERROR(__xludf.DUMMYFUNCTION("""COMPUTED_VALUE"""),"N/A")</f>
        <v>N/A</v>
      </c>
      <c r="Y947" s="2"/>
      <c r="Z947" s="2"/>
      <c r="AA947" s="2"/>
      <c r="AB947" s="2"/>
      <c r="AC947" s="2"/>
      <c r="AD947" s="2"/>
      <c r="AE947" s="2"/>
      <c r="AF947" s="2"/>
      <c r="AG947" s="2"/>
      <c r="AH947" s="2"/>
      <c r="AI947" s="2"/>
      <c r="AJ947" s="2" t="str">
        <f>IFERROR(__xludf.DUMMYFUNCTION("""COMPUTED_VALUE"""),"Mapaco")</f>
        <v>Mapaco</v>
      </c>
      <c r="AK947" s="2" t="str">
        <f>IFERROR(__xludf.DUMMYFUNCTION("""COMPUTED_VALUE"""),"Pinukpuk")</f>
        <v>Pinukpuk</v>
      </c>
      <c r="AL947" s="2" t="str">
        <f>IFERROR(__xludf.DUMMYFUNCTION("""COMPUTED_VALUE"""),"Kalinga")</f>
        <v>Kalinga</v>
      </c>
      <c r="AM947" s="2" t="str">
        <f>IFERROR(__xludf.DUMMYFUNCTION("""COMPUTED_VALUE"""),"CAR")</f>
        <v>CAR</v>
      </c>
      <c r="AN947" s="2" t="str">
        <f>IFERROR(__xludf.DUMMYFUNCTION("""COMPUTED_VALUE"""),"RCEF 23-09-21 Rebidding")</f>
        <v>RCEF 23-09-21 Rebidding</v>
      </c>
      <c r="AO947" s="2">
        <f>IFERROR(__xludf.DUMMYFUNCTION("""COMPUTED_VALUE"""),1.0)</f>
        <v>1</v>
      </c>
      <c r="AP947" s="2"/>
      <c r="AQ947" s="2"/>
      <c r="AR947" s="2"/>
      <c r="AS947" s="2"/>
      <c r="AT947" s="2"/>
      <c r="AU947" s="2"/>
      <c r="AV947" s="2"/>
      <c r="AW947" s="2"/>
      <c r="AX947" s="2"/>
      <c r="AY947" s="2"/>
      <c r="AZ947" s="2"/>
      <c r="BA947" s="2"/>
      <c r="BB947" s="2"/>
    </row>
    <row r="948">
      <c r="A948" s="2">
        <f>IFERROR(__xludf.DUMMYFUNCTION("""COMPUTED_VALUE"""),944.0)</f>
        <v>944</v>
      </c>
      <c r="B948" s="2" t="str">
        <f>IFERROR(__xludf.DUMMYFUNCTION("""COMPUTED_VALUE"""),"COMPLETED")</f>
        <v>COMPLETED</v>
      </c>
      <c r="C948" s="74">
        <f>IFERROR(__xludf.DUMMYFUNCTION("""COMPUTED_VALUE"""),45791.0)</f>
        <v>45791</v>
      </c>
      <c r="D948" s="71" t="str">
        <f>IFERROR(__xludf.DUMMYFUNCTION("""COMPUTED_VALUE"""),"Bagnos Multi Purpose Cooperative")</f>
        <v>Bagnos Multi Purpose Cooperative</v>
      </c>
      <c r="E948" s="71" t="str">
        <f>IFERROR(__xludf.DUMMYFUNCTION("""COMPUTED_VALUE"""),",BINACAG BANNA (ESPIRITU), ILOCOS NORTE")</f>
        <v>,BINACAG BANNA (ESPIRITU), ILOCOS NORTE</v>
      </c>
      <c r="F948" s="2" t="str">
        <f>IFERROR(__xludf.DUMMYFUNCTION("""COMPUTED_VALUE"""),"Ofelia Cabanatan ")</f>
        <v>Ofelia Cabanatan </v>
      </c>
      <c r="G948" s="2">
        <f>IFERROR(__xludf.DUMMYFUNCTION("""COMPUTED_VALUE"""),9.381478589E9)</f>
        <v>9381478589</v>
      </c>
      <c r="H948" s="2">
        <f>IFERROR(__xludf.DUMMYFUNCTION("""COMPUTED_VALUE"""),45.0)</f>
        <v>45</v>
      </c>
      <c r="I948" s="72" t="str">
        <f>IFERROR(__xludf.DUMMYFUNCTION("""COMPUTED_VALUE"""),"PMS")</f>
        <v>PMS</v>
      </c>
      <c r="J948" s="72" t="str">
        <f>IFERROR(__xludf.DUMMYFUNCTION("""COMPUTED_VALUE"""),"PMS")</f>
        <v>PMS</v>
      </c>
      <c r="K948" s="72" t="str">
        <f>IFERROR(__xludf.DUMMYFUNCTION("""COMPUTED_VALUE"""),"JHP: 1ST PMS")</f>
        <v>JHP: 1ST PMS</v>
      </c>
      <c r="L948" s="72" t="str">
        <f>IFERROR(__xludf.DUMMYFUNCTION("""COMPUTED_VALUE"""),"EGT: N APMS NA NG MGA FARMER")</f>
        <v>EGT: N APMS NA NG MGA FARMER</v>
      </c>
      <c r="M948" s="2"/>
      <c r="N948" s="2"/>
      <c r="O948" s="2" t="str">
        <f>IFERROR(__xludf.DUMMYFUNCTION("""COMPUTED_VALUE"""),"N/A")</f>
        <v>N/A</v>
      </c>
      <c r="P948" s="2"/>
      <c r="Q948" s="2"/>
      <c r="R948" s="74">
        <f>IFERROR(__xludf.DUMMYFUNCTION("""COMPUTED_VALUE"""),45852.0)</f>
        <v>45852</v>
      </c>
      <c r="S948" s="2" t="str">
        <f>IFERROR(__xludf.DUMMYFUNCTION("""COMPUTED_VALUE"""),"EGT/DRM")</f>
        <v>EGT/DRM</v>
      </c>
      <c r="T948" s="73" t="str">
        <f>IFERROR(__xludf.DUMMYFUNCTION("""COMPUTED_VALUE""")," N/A ")</f>
        <v>N/A</v>
      </c>
      <c r="U948" s="73" t="str">
        <f>IFERROR(__xludf.DUMMYFUNCTION("""COMPUTED_VALUE""")," NO CHARGE ")</f>
        <v>NO CHARGE</v>
      </c>
      <c r="V948" s="2"/>
      <c r="W948" s="2" t="str">
        <f>IFERROR(__xludf.DUMMYFUNCTION("""COMPUTED_VALUE"""),"N/A")</f>
        <v>N/A</v>
      </c>
      <c r="X948" s="2" t="str">
        <f>IFERROR(__xludf.DUMMYFUNCTION("""COMPUTED_VALUE"""),"N/A")</f>
        <v>N/A</v>
      </c>
      <c r="Y948" s="2"/>
      <c r="Z948" s="2"/>
      <c r="AA948" s="2"/>
      <c r="AB948" s="2"/>
      <c r="AC948" s="2"/>
      <c r="AD948" s="2"/>
      <c r="AE948" s="2"/>
      <c r="AF948" s="2"/>
      <c r="AG948" s="2"/>
      <c r="AH948" s="2"/>
      <c r="AI948" s="2"/>
      <c r="AJ948" s="2" t="str">
        <f>IFERROR(__xludf.DUMMYFUNCTION("""COMPUTED_VALUE"""),"")</f>
        <v/>
      </c>
      <c r="AK948" s="2" t="str">
        <f>IFERROR(__xludf.DUMMYFUNCTION("""COMPUTED_VALUE"""),"Binacag Banna (Espiritu)")</f>
        <v>Binacag Banna (Espiritu)</v>
      </c>
      <c r="AL948" s="2" t="str">
        <f>IFERROR(__xludf.DUMMYFUNCTION("""COMPUTED_VALUE"""),"Ilocos Norte")</f>
        <v>Ilocos Norte</v>
      </c>
      <c r="AM948" s="2">
        <f>IFERROR(__xludf.DUMMYFUNCTION("""COMPUTED_VALUE"""),1.0)</f>
        <v>1</v>
      </c>
      <c r="AN948" s="2" t="str">
        <f>IFERROR(__xludf.DUMMYFUNCTION("""COMPUTED_VALUE"""),"RCEF 23-09-21 Rebidding")</f>
        <v>RCEF 23-09-21 Rebidding</v>
      </c>
      <c r="AO948" s="2">
        <f>IFERROR(__xludf.DUMMYFUNCTION("""COMPUTED_VALUE"""),2.0)</f>
        <v>2</v>
      </c>
      <c r="AP948" s="2"/>
      <c r="AQ948" s="2"/>
      <c r="AR948" s="2"/>
      <c r="AS948" s="2"/>
      <c r="AT948" s="2"/>
      <c r="AU948" s="2"/>
      <c r="AV948" s="2"/>
      <c r="AW948" s="2"/>
      <c r="AX948" s="2"/>
      <c r="AY948" s="2"/>
      <c r="AZ948" s="2"/>
      <c r="BA948" s="2"/>
      <c r="BB948" s="2"/>
    </row>
    <row r="949">
      <c r="A949" s="2">
        <f>IFERROR(__xludf.DUMMYFUNCTION("""COMPUTED_VALUE"""),945.0)</f>
        <v>945</v>
      </c>
      <c r="B949" s="2" t="str">
        <f>IFERROR(__xludf.DUMMYFUNCTION("""COMPUTED_VALUE"""),"COMPLETED")</f>
        <v>COMPLETED</v>
      </c>
      <c r="C949" s="74">
        <f>IFERROR(__xludf.DUMMYFUNCTION("""COMPUTED_VALUE"""),45793.0)</f>
        <v>45793</v>
      </c>
      <c r="D949" s="71" t="str">
        <f>IFERROR(__xludf.DUMMYFUNCTION("""COMPUTED_VALUE"""),"Kalayaan Grain Farmers Association")</f>
        <v>Kalayaan Grain Farmers Association</v>
      </c>
      <c r="E949" s="71" t="str">
        <f>IFERROR(__xludf.DUMMYFUNCTION("""COMPUTED_VALUE"""),"Dakila, Malolos City, BULACAN")</f>
        <v>Dakila, Malolos City, BULACAN</v>
      </c>
      <c r="F949" s="2" t="str">
        <f>IFERROR(__xludf.DUMMYFUNCTION("""COMPUTED_VALUE"""),"Apolinario Surio")</f>
        <v>Apolinario Surio</v>
      </c>
      <c r="G949" s="2">
        <f>IFERROR(__xludf.DUMMYFUNCTION("""COMPUTED_VALUE"""),9.670497805E9)</f>
        <v>9670497805</v>
      </c>
      <c r="H949" s="2">
        <f>IFERROR(__xludf.DUMMYFUNCTION("""COMPUTED_VALUE"""),49.0)</f>
        <v>49</v>
      </c>
      <c r="I949" s="72" t="str">
        <f>IFERROR(__xludf.DUMMYFUNCTION("""COMPUTED_VALUE"""),"PMS")</f>
        <v>PMS</v>
      </c>
      <c r="J949" s="72" t="str">
        <f>IFERROR(__xludf.DUMMYFUNCTION("""COMPUTED_VALUE"""),"PMS")</f>
        <v>PMS</v>
      </c>
      <c r="K949" s="72" t="str">
        <f>IFERROR(__xludf.DUMMYFUNCTION("""COMPUTED_VALUE"""),"MYK: 1ST PMS FREE")</f>
        <v>MYK: 1ST PMS FREE</v>
      </c>
      <c r="L949" s="72" t="str">
        <f>IFERROR(__xludf.DUMMYFUNCTION("""COMPUTED_VALUE"""),"EGT: 1ST PMS")</f>
        <v>EGT: 1ST PMS</v>
      </c>
      <c r="M949" s="2"/>
      <c r="N949" s="2" t="str">
        <f>IFERROR(__xludf.DUMMYFUNCTION("""COMPUTED_VALUE"""),"PARTS: OIL FILTER , ENGINE OIL")</f>
        <v>PARTS: OIL FILTER , ENGINE OIL</v>
      </c>
      <c r="O949" s="2">
        <f>IFERROR(__xludf.DUMMYFUNCTION("""COMPUTED_VALUE"""),1131.0)</f>
        <v>1131</v>
      </c>
      <c r="P949" s="2"/>
      <c r="Q949" s="2"/>
      <c r="R949" s="74">
        <f>IFERROR(__xludf.DUMMYFUNCTION("""COMPUTED_VALUE"""),45797.0)</f>
        <v>45797</v>
      </c>
      <c r="S949" s="2" t="str">
        <f>IFERROR(__xludf.DUMMYFUNCTION("""COMPUTED_VALUE"""),"EGT/DRM")</f>
        <v>EGT/DRM</v>
      </c>
      <c r="T949" s="73" t="str">
        <f>IFERROR(__xludf.DUMMYFUNCTION("""COMPUTED_VALUE""")," N/A ")</f>
        <v>N/A</v>
      </c>
      <c r="U949" s="73" t="str">
        <f>IFERROR(__xludf.DUMMYFUNCTION("""COMPUTED_VALUE""")," NO CHARGE ")</f>
        <v>NO CHARGE</v>
      </c>
      <c r="V949" s="2"/>
      <c r="W949" s="2" t="str">
        <f>IFERROR(__xludf.DUMMYFUNCTION("""COMPUTED_VALUE"""),"N/A")</f>
        <v>N/A</v>
      </c>
      <c r="X949" s="2" t="str">
        <f>IFERROR(__xludf.DUMMYFUNCTION("""COMPUTED_VALUE"""),"N/A")</f>
        <v>N/A</v>
      </c>
      <c r="Y949" s="2"/>
      <c r="Z949" s="2"/>
      <c r="AA949" s="2"/>
      <c r="AB949" s="2"/>
      <c r="AC949" s="2"/>
      <c r="AD949" s="2"/>
      <c r="AE949" s="2"/>
      <c r="AF949" s="2"/>
      <c r="AG949" s="2"/>
      <c r="AH949" s="2"/>
      <c r="AI949" s="2"/>
      <c r="AJ949" s="2" t="str">
        <f>IFERROR(__xludf.DUMMYFUNCTION("""COMPUTED_VALUE"""),"Dakila")</f>
        <v>Dakila</v>
      </c>
      <c r="AK949" s="2" t="str">
        <f>IFERROR(__xludf.DUMMYFUNCTION("""COMPUTED_VALUE"""),"Malolos City")</f>
        <v>Malolos City</v>
      </c>
      <c r="AL949" s="2" t="str">
        <f>IFERROR(__xludf.DUMMYFUNCTION("""COMPUTED_VALUE"""),"Bulacan")</f>
        <v>Bulacan</v>
      </c>
      <c r="AM949" s="2">
        <f>IFERROR(__xludf.DUMMYFUNCTION("""COMPUTED_VALUE"""),3.0)</f>
        <v>3</v>
      </c>
      <c r="AN949" s="2" t="str">
        <f>IFERROR(__xludf.DUMMYFUNCTION("""COMPUTED_VALUE"""),"Repeat Order")</f>
        <v>Repeat Order</v>
      </c>
      <c r="AO949" s="2">
        <f>IFERROR(__xludf.DUMMYFUNCTION("""COMPUTED_VALUE"""),6.0)</f>
        <v>6</v>
      </c>
      <c r="AP949" s="2" t="str">
        <f>IFERROR(__xludf.DUMMYFUNCTION("""COMPUTED_VALUE"""),"FREE PMS")</f>
        <v>FREE PMS</v>
      </c>
      <c r="AQ949" s="2"/>
      <c r="AR949" s="2"/>
      <c r="AS949" s="2"/>
      <c r="AT949" s="2"/>
      <c r="AU949" s="2"/>
      <c r="AV949" s="2"/>
      <c r="AW949" s="2"/>
      <c r="AX949" s="2"/>
      <c r="AY949" s="2"/>
      <c r="AZ949" s="2"/>
      <c r="BA949" s="2"/>
      <c r="BB949" s="2"/>
    </row>
    <row r="950">
      <c r="A950" s="2">
        <f>IFERROR(__xludf.DUMMYFUNCTION("""COMPUTED_VALUE"""),946.0)</f>
        <v>946</v>
      </c>
      <c r="B950" s="2" t="str">
        <f>IFERROR(__xludf.DUMMYFUNCTION("""COMPUTED_VALUE"""),"COMPLETED")</f>
        <v>COMPLETED</v>
      </c>
      <c r="C950" s="74">
        <f>IFERROR(__xludf.DUMMYFUNCTION("""COMPUTED_VALUE"""),45793.0)</f>
        <v>45793</v>
      </c>
      <c r="D950" s="71" t="str">
        <f>IFERROR(__xludf.DUMMYFUNCTION("""COMPUTED_VALUE"""),"Samput Farmers Association Inc.")</f>
        <v>Samput Farmers Association Inc.</v>
      </c>
      <c r="E950" s="71" t="str">
        <f>IFERROR(__xludf.DUMMYFUNCTION("""COMPUTED_VALUE"""),"Samput, Paniqui, TARLAC")</f>
        <v>Samput, Paniqui, TARLAC</v>
      </c>
      <c r="F950" s="2" t="str">
        <f>IFERROR(__xludf.DUMMYFUNCTION("""COMPUTED_VALUE"""),"HEROLIMO VERGARA")</f>
        <v>HEROLIMO VERGARA</v>
      </c>
      <c r="G950" s="2">
        <f>IFERROR(__xludf.DUMMYFUNCTION("""COMPUTED_VALUE"""),9.095098491E9)</f>
        <v>9095098491</v>
      </c>
      <c r="H950" s="2">
        <f>IFERROR(__xludf.DUMMYFUNCTION("""COMPUTED_VALUE"""),553.0)</f>
        <v>553</v>
      </c>
      <c r="I950" s="72" t="str">
        <f>IFERROR(__xludf.DUMMYFUNCTION("""COMPUTED_VALUE"""),"REPAIR - TRACTOR")</f>
        <v>REPAIR - TRACTOR</v>
      </c>
      <c r="J950" s="72" t="str">
        <f>IFERROR(__xludf.DUMMYFUNCTION("""COMPUTED_VALUE"""),"CHECK UP/ REPAIR")</f>
        <v>CHECK UP/ REPAIR</v>
      </c>
      <c r="K950" s="72" t="str">
        <f>IFERROR(__xludf.DUMMYFUNCTION("""COMPUTED_VALUE"""),"JDP: OIL LEAKAGE FROM THE OIL PAN
")</f>
        <v>JDP: OIL LEAKAGE FROM THE OIL PAN
</v>
      </c>
      <c r="L950" s="72" t="str">
        <f>IFERROR(__xludf.DUMMYFUNCTION("""COMPUTED_VALUE"""),"DSD: NAGLAGAY NG SILICON SA OIL FAN / APPLIED SILICON GASKET")</f>
        <v>DSD: NAGLAGAY NG SILICON SA OIL FAN / APPLIED SILICON GASKET</v>
      </c>
      <c r="M950" s="2"/>
      <c r="N950" s="2"/>
      <c r="O950" s="2">
        <f>IFERROR(__xludf.DUMMYFUNCTION("""COMPUTED_VALUE"""),1391.0)</f>
        <v>1391</v>
      </c>
      <c r="P950" s="2"/>
      <c r="Q950" s="2"/>
      <c r="R950" s="74">
        <f>IFERROR(__xludf.DUMMYFUNCTION("""COMPUTED_VALUE"""),45434.0)</f>
        <v>45434</v>
      </c>
      <c r="S950" s="2" t="str">
        <f>IFERROR(__xludf.DUMMYFUNCTION("""COMPUTED_VALUE"""),"DSD/JDP")</f>
        <v>DSD/JDP</v>
      </c>
      <c r="T950" s="73" t="str">
        <f>IFERROR(__xludf.DUMMYFUNCTION("""COMPUTED_VALUE""")," N/A ")</f>
        <v>N/A</v>
      </c>
      <c r="U950" s="73" t="str">
        <f>IFERROR(__xludf.DUMMYFUNCTION("""COMPUTED_VALUE""")," NO CHARGE ")</f>
        <v>NO CHARGE</v>
      </c>
      <c r="V950" s="2"/>
      <c r="W950" s="2" t="str">
        <f>IFERROR(__xludf.DUMMYFUNCTION("""COMPUTED_VALUE"""),"N/A")</f>
        <v>N/A</v>
      </c>
      <c r="X950" s="2" t="str">
        <f>IFERROR(__xludf.DUMMYFUNCTION("""COMPUTED_VALUE"""),"N/A")</f>
        <v>N/A</v>
      </c>
      <c r="Y950" s="2"/>
      <c r="Z950" s="2"/>
      <c r="AA950" s="2"/>
      <c r="AB950" s="2"/>
      <c r="AC950" s="2"/>
      <c r="AD950" s="2"/>
      <c r="AE950" s="2"/>
      <c r="AF950" s="2"/>
      <c r="AG950" s="2"/>
      <c r="AH950" s="2"/>
      <c r="AI950" s="2"/>
      <c r="AJ950" s="2" t="str">
        <f>IFERROR(__xludf.DUMMYFUNCTION("""COMPUTED_VALUE"""),"Samput")</f>
        <v>Samput</v>
      </c>
      <c r="AK950" s="2" t="str">
        <f>IFERROR(__xludf.DUMMYFUNCTION("""COMPUTED_VALUE"""),"Paniqui")</f>
        <v>Paniqui</v>
      </c>
      <c r="AL950" s="2" t="str">
        <f>IFERROR(__xludf.DUMMYFUNCTION("""COMPUTED_VALUE"""),"Tarlac")</f>
        <v>Tarlac</v>
      </c>
      <c r="AM950" s="2">
        <f>IFERROR(__xludf.DUMMYFUNCTION("""COMPUTED_VALUE"""),3.0)</f>
        <v>3</v>
      </c>
      <c r="AN950" s="2" t="str">
        <f>IFERROR(__xludf.DUMMYFUNCTION("""COMPUTED_VALUE"""),"RCEF 23-09-21 Rebidding")</f>
        <v>RCEF 23-09-21 Rebidding</v>
      </c>
      <c r="AO950" s="2">
        <f>IFERROR(__xludf.DUMMYFUNCTION("""COMPUTED_VALUE"""),3.0)</f>
        <v>3</v>
      </c>
      <c r="AP950" s="2"/>
      <c r="AQ950" s="2"/>
      <c r="AR950" s="2"/>
      <c r="AS950" s="2"/>
      <c r="AT950" s="2"/>
      <c r="AU950" s="2"/>
      <c r="AV950" s="2"/>
      <c r="AW950" s="2"/>
      <c r="AX950" s="2"/>
      <c r="AY950" s="2"/>
      <c r="AZ950" s="2"/>
      <c r="BA950" s="2"/>
      <c r="BB950" s="2"/>
    </row>
    <row r="951">
      <c r="A951" s="2">
        <f>IFERROR(__xludf.DUMMYFUNCTION("""COMPUTED_VALUE"""),947.0)</f>
        <v>947</v>
      </c>
      <c r="B951" s="2" t="str">
        <f>IFERROR(__xludf.DUMMYFUNCTION("""COMPUTED_VALUE"""),"COMPLETED")</f>
        <v>COMPLETED</v>
      </c>
      <c r="C951" s="74">
        <f>IFERROR(__xludf.DUMMYFUNCTION("""COMPUTED_VALUE"""),45795.0)</f>
        <v>45795</v>
      </c>
      <c r="D951" s="71" t="str">
        <f>IFERROR(__xludf.DUMMYFUNCTION("""COMPUTED_VALUE"""),"UPI FARMERS IRRIGATORS ASSOCIATION, INC.")</f>
        <v>UPI FARMERS IRRIGATORS ASSOCIATION, INC.</v>
      </c>
      <c r="E951" s="71" t="str">
        <f>IFERROR(__xludf.DUMMYFUNCTION("""COMPUTED_VALUE"""),"Upi, Gamu, ISABELA")</f>
        <v>Upi, Gamu, ISABELA</v>
      </c>
      <c r="F951" s="2" t="str">
        <f>IFERROR(__xludf.DUMMYFUNCTION("""COMPUTED_VALUE"""),"Eduardo G. Martin")</f>
        <v>Eduardo G. Martin</v>
      </c>
      <c r="G951" s="2" t="str">
        <f>IFERROR(__xludf.DUMMYFUNCTION("""COMPUTED_VALUE"""),"0916-771-2772")</f>
        <v>0916-771-2772</v>
      </c>
      <c r="H951" s="1">
        <f>IFERROR(__xludf.DUMMYFUNCTION("""COMPUTED_VALUE"""),3720.0)</f>
        <v>3720</v>
      </c>
      <c r="I951" s="72" t="str">
        <f>IFERROR(__xludf.DUMMYFUNCTION("""COMPUTED_VALUE"""),"SPARE PARTS ACQUISITION")</f>
        <v>SPARE PARTS ACQUISITION</v>
      </c>
      <c r="J951" s="72" t="str">
        <f>IFERROR(__xludf.DUMMYFUNCTION("""COMPUTED_VALUE"""),"PARTS REQUEST")</f>
        <v>PARTS REQUEST</v>
      </c>
      <c r="K951" s="72" t="str">
        <f>IFERROR(__xludf.DUMMYFUNCTION("""COMPUTED_VALUE"""),"CFG: For immediate repair/replacement of bearing and oil seal to cater services among members of the association.
PARTS: OIL SEAL 55-80-12")</f>
        <v>CFG: For immediate repair/replacement of bearing and oil seal to cater services among members of the association.
PARTS: OIL SEAL 55-80-12</v>
      </c>
      <c r="L951" s="72" t="str">
        <f>IFERROR(__xludf.DUMMYFUNCTION("""COMPUTED_VALUE"""),"FARMER: GINAWAN NA NILA NG PARAAN PANSAMANTALA, PERO KAYLANGAN PADIN NILA NG SPARE PARTS: PASS TO CFG FOR COORDINATION")</f>
        <v>FARMER: GINAWAN NA NILA NG PARAAN PANSAMANTALA, PERO KAYLANGAN PADIN NILA NG SPARE PARTS: PASS TO CFG FOR COORDINATION</v>
      </c>
      <c r="M951" s="2"/>
      <c r="N951" s="2" t="str">
        <f>IFERROR(__xludf.DUMMYFUNCTION("""COMPUTED_VALUE"""),"PARTS:
OIL SEAL 55-80-12")</f>
        <v>PARTS:
OIL SEAL 55-80-12</v>
      </c>
      <c r="O951" s="2" t="str">
        <f>IFERROR(__xludf.DUMMYFUNCTION("""COMPUTED_VALUE"""),"N/A")</f>
        <v>N/A</v>
      </c>
      <c r="P951" s="2"/>
      <c r="Q951" s="2"/>
      <c r="R951" s="74">
        <f>IFERROR(__xludf.DUMMYFUNCTION("""COMPUTED_VALUE"""),45973.0)</f>
        <v>45973</v>
      </c>
      <c r="S951" s="2" t="str">
        <f>IFERROR(__xludf.DUMMYFUNCTION("""COMPUTED_VALUE"""),"JHP/ACS")</f>
        <v>JHP/ACS</v>
      </c>
      <c r="T951" s="73">
        <f>IFERROR(__xludf.DUMMYFUNCTION("""COMPUTED_VALUE"""),320.0)</f>
        <v>320</v>
      </c>
      <c r="U951" s="73" t="str">
        <f>IFERROR(__xludf.DUMMYFUNCTION("""COMPUTED_VALUE""")," REMITTED ")</f>
        <v>REMITTED</v>
      </c>
      <c r="V951" s="2"/>
      <c r="W951" s="2">
        <f>IFERROR(__xludf.DUMMYFUNCTION("""COMPUTED_VALUE"""),1094.0)</f>
        <v>1094</v>
      </c>
      <c r="X951" s="2">
        <f>IFERROR(__xludf.DUMMYFUNCTION("""COMPUTED_VALUE"""),1630.0)</f>
        <v>1630</v>
      </c>
      <c r="Y951" s="2"/>
      <c r="Z951" s="2"/>
      <c r="AA951" s="2"/>
      <c r="AB951" s="2"/>
      <c r="AC951" s="2"/>
      <c r="AD951" s="2"/>
      <c r="AE951" s="2"/>
      <c r="AF951" s="2"/>
      <c r="AG951" s="2"/>
      <c r="AH951" s="2"/>
      <c r="AI951" s="2"/>
      <c r="AJ951" s="2" t="str">
        <f>IFERROR(__xludf.DUMMYFUNCTION("""COMPUTED_VALUE"""),"Upi")</f>
        <v>Upi</v>
      </c>
      <c r="AK951" s="2" t="str">
        <f>IFERROR(__xludf.DUMMYFUNCTION("""COMPUTED_VALUE"""),"Gamu")</f>
        <v>Gamu</v>
      </c>
      <c r="AL951" s="2" t="str">
        <f>IFERROR(__xludf.DUMMYFUNCTION("""COMPUTED_VALUE"""),"Isabela")</f>
        <v>Isabela</v>
      </c>
      <c r="AM951" s="2">
        <f>IFERROR(__xludf.DUMMYFUNCTION("""COMPUTED_VALUE"""),2.0)</f>
        <v>2</v>
      </c>
      <c r="AN951" s="2" t="str">
        <f>IFERROR(__xludf.DUMMYFUNCTION("""COMPUTED_VALUE"""),"RCEF 23-09-21 Rebidding")</f>
        <v>RCEF 23-09-21 Rebidding</v>
      </c>
      <c r="AO951" s="2">
        <f>IFERROR(__xludf.DUMMYFUNCTION("""COMPUTED_VALUE"""),1.0)</f>
        <v>1</v>
      </c>
      <c r="AP951" s="2"/>
      <c r="AQ951" s="2"/>
      <c r="AR951" s="2"/>
      <c r="AS951" s="2"/>
      <c r="AT951" s="2"/>
      <c r="AU951" s="2"/>
      <c r="AV951" s="2"/>
      <c r="AW951" s="2"/>
      <c r="AX951" s="2"/>
      <c r="AY951" s="2"/>
      <c r="AZ951" s="2"/>
      <c r="BA951" s="2"/>
      <c r="BB951" s="2"/>
    </row>
    <row r="952">
      <c r="A952" s="2">
        <f>IFERROR(__xludf.DUMMYFUNCTION("""COMPUTED_VALUE"""),948.0)</f>
        <v>948</v>
      </c>
      <c r="B952" s="2" t="str">
        <f>IFERROR(__xludf.DUMMYFUNCTION("""COMPUTED_VALUE"""),"COMPLETED")</f>
        <v>COMPLETED</v>
      </c>
      <c r="C952" s="74">
        <f>IFERROR(__xludf.DUMMYFUNCTION("""COMPUTED_VALUE"""),45796.0)</f>
        <v>45796</v>
      </c>
      <c r="D952" s="71" t="str">
        <f>IFERROR(__xludf.DUMMYFUNCTION("""COMPUTED_VALUE"""),"SAN ISIDRO-CANDELARIA FARMERS ASSOCIATION")</f>
        <v>SAN ISIDRO-CANDELARIA FARMERS ASSOCIATION</v>
      </c>
      <c r="E952" s="71" t="str">
        <f>IFERROR(__xludf.DUMMYFUNCTION("""COMPUTED_VALUE"""),"San Isidro, Candelaria, Quezon")</f>
        <v>San Isidro, Candelaria, Quezon</v>
      </c>
      <c r="F952" s="2" t="str">
        <f>IFERROR(__xludf.DUMMYFUNCTION("""COMPUTED_VALUE"""),"KON. DANTE FLORANTE")</f>
        <v>KON. DANTE FLORANTE</v>
      </c>
      <c r="G952" s="2">
        <f>IFERROR(__xludf.DUMMYFUNCTION("""COMPUTED_VALUE"""),9.121276601E9)</f>
        <v>9121276601</v>
      </c>
      <c r="H952" s="2">
        <f>IFERROR(__xludf.DUMMYFUNCTION("""COMPUTED_VALUE"""),83.9)</f>
        <v>83.9</v>
      </c>
      <c r="I952" s="72" t="str">
        <f>IFERROR(__xludf.DUMMYFUNCTION("""COMPUTED_VALUE"""),"PMS")</f>
        <v>PMS</v>
      </c>
      <c r="J952" s="72" t="str">
        <f>IFERROR(__xludf.DUMMYFUNCTION("""COMPUTED_VALUE"""),"PMS")</f>
        <v>PMS</v>
      </c>
      <c r="K952" s="72" t="str">
        <f>IFERROR(__xludf.DUMMYFUNCTION("""COMPUTED_VALUE"""),"JTT: 1ST PMS ")</f>
        <v>JTT: 1ST PMS </v>
      </c>
      <c r="L952" s="72" t="str">
        <f>IFERROR(__xludf.DUMMYFUNCTION("""COMPUTED_VALUE"""),"JTT: 1ST PMS DONE")</f>
        <v>JTT: 1ST PMS DONE</v>
      </c>
      <c r="M952" s="2"/>
      <c r="N952" s="2" t="str">
        <f>IFERROR(__xludf.DUMMYFUNCTION("""COMPUTED_VALUE"""),"PARTS: OIL FILTER")</f>
        <v>PARTS: OIL FILTER</v>
      </c>
      <c r="O952" s="2">
        <f>IFERROR(__xludf.DUMMYFUNCTION("""COMPUTED_VALUE"""),26.0)</f>
        <v>26</v>
      </c>
      <c r="P952" s="2"/>
      <c r="Q952" s="2"/>
      <c r="R952" s="74">
        <f>IFERROR(__xludf.DUMMYFUNCTION("""COMPUTED_VALUE"""),45797.0)</f>
        <v>45797</v>
      </c>
      <c r="S952" s="2" t="str">
        <f>IFERROR(__xludf.DUMMYFUNCTION("""COMPUTED_VALUE"""),"JTT")</f>
        <v>JTT</v>
      </c>
      <c r="T952" s="73">
        <f>IFERROR(__xludf.DUMMYFUNCTION("""COMPUTED_VALUE"""),1600.0)</f>
        <v>1600</v>
      </c>
      <c r="U952" s="73" t="str">
        <f>IFERROR(__xludf.DUMMYFUNCTION("""COMPUTED_VALUE""")," REMITTED ")</f>
        <v>REMITTED</v>
      </c>
      <c r="V952" s="2"/>
      <c r="W952" s="2">
        <f>IFERROR(__xludf.DUMMYFUNCTION("""COMPUTED_VALUE"""),1239.0)</f>
        <v>1239</v>
      </c>
      <c r="X952" s="2">
        <f>IFERROR(__xludf.DUMMYFUNCTION("""COMPUTED_VALUE"""),1517.0)</f>
        <v>1517</v>
      </c>
      <c r="Y952" s="2"/>
      <c r="Z952" s="2"/>
      <c r="AA952" s="2"/>
      <c r="AB952" s="2"/>
      <c r="AC952" s="2"/>
      <c r="AD952" s="2"/>
      <c r="AE952" s="2"/>
      <c r="AF952" s="2"/>
      <c r="AG952" s="2"/>
      <c r="AH952" s="2"/>
      <c r="AI952" s="2"/>
      <c r="AJ952" s="2" t="str">
        <f>IFERROR(__xludf.DUMMYFUNCTION("""COMPUTED_VALUE"""),"San Isidro")</f>
        <v>San Isidro</v>
      </c>
      <c r="AK952" s="2" t="str">
        <f>IFERROR(__xludf.DUMMYFUNCTION("""COMPUTED_VALUE"""),"Candelaria")</f>
        <v>Candelaria</v>
      </c>
      <c r="AL952" s="2" t="str">
        <f>IFERROR(__xludf.DUMMYFUNCTION("""COMPUTED_VALUE"""),"Quezon")</f>
        <v>Quezon</v>
      </c>
      <c r="AM952" s="2" t="str">
        <f>IFERROR(__xludf.DUMMYFUNCTION("""COMPUTED_VALUE"""),"4A")</f>
        <v>4A</v>
      </c>
      <c r="AN952" s="2" t="str">
        <f>IFERROR(__xludf.DUMMYFUNCTION("""COMPUTED_VALUE"""),"RCEF 23-08-20 Rebidding")</f>
        <v>RCEF 23-08-20 Rebidding</v>
      </c>
      <c r="AO952" s="2">
        <f>IFERROR(__xludf.DUMMYFUNCTION("""COMPUTED_VALUE"""),1.0)</f>
        <v>1</v>
      </c>
      <c r="AP952" s="2"/>
      <c r="AQ952" s="2"/>
      <c r="AR952" s="2"/>
      <c r="AS952" s="2"/>
      <c r="AT952" s="2"/>
      <c r="AU952" s="2"/>
      <c r="AV952" s="2"/>
      <c r="AW952" s="2"/>
      <c r="AX952" s="2"/>
      <c r="AY952" s="2"/>
      <c r="AZ952" s="2"/>
      <c r="BA952" s="2"/>
      <c r="BB952" s="2"/>
    </row>
    <row r="953">
      <c r="A953" s="2">
        <f>IFERROR(__xludf.DUMMYFUNCTION("""COMPUTED_VALUE"""),949.0)</f>
        <v>949</v>
      </c>
      <c r="B953" s="2" t="str">
        <f>IFERROR(__xludf.DUMMYFUNCTION("""COMPUTED_VALUE"""),"COMPLETED")</f>
        <v>COMPLETED</v>
      </c>
      <c r="C953" s="74">
        <f>IFERROR(__xludf.DUMMYFUNCTION("""COMPUTED_VALUE"""),45796.0)</f>
        <v>45796</v>
      </c>
      <c r="D953" s="71" t="str">
        <f>IFERROR(__xludf.DUMMYFUNCTION("""COMPUTED_VALUE"""),"Santiago Nagkakaisa Agriculture Cooperative")</f>
        <v>Santiago Nagkakaisa Agriculture Cooperative</v>
      </c>
      <c r="E953" s="71" t="str">
        <f>IFERROR(__xludf.DUMMYFUNCTION("""COMPUTED_VALUE"""),"Santiago, Gerona, TARLAC")</f>
        <v>Santiago, Gerona, TARLAC</v>
      </c>
      <c r="F953" s="2"/>
      <c r="G953" s="2"/>
      <c r="H953" s="2"/>
      <c r="I953" s="72" t="str">
        <f>IFERROR(__xludf.DUMMYFUNCTION("""COMPUTED_VALUE"""),"SPARE PARTS ACQUISITION")</f>
        <v>SPARE PARTS ACQUISITION</v>
      </c>
      <c r="J953" s="72"/>
      <c r="K953" s="72" t="str">
        <f>IFERROR(__xludf.DUMMYFUNCTION("""COMPUTED_VALUE"""),"DRM: 15 PCS ROTAVATOR BLADE (L) 15 PCS ROTAVATOR BLADE (R)")</f>
        <v>DRM: 15 PCS ROTAVATOR BLADE (L) 15 PCS ROTAVATOR BLADE (R)</v>
      </c>
      <c r="L953" s="72" t="str">
        <f>IFERROR(__xludf.DUMMYFUNCTION("""COMPUTED_VALUE"""),"QUOTATION SENT:")</f>
        <v>QUOTATION SENT:</v>
      </c>
      <c r="M953" s="2"/>
      <c r="N953" s="2" t="str">
        <f>IFERROR(__xludf.DUMMYFUNCTION("""COMPUTED_VALUE"""),"PARTS: ROTAVATOR BLADES (30)")</f>
        <v>PARTS: ROTAVATOR BLADES (30)</v>
      </c>
      <c r="O953" s="2">
        <f>IFERROR(__xludf.DUMMYFUNCTION("""COMPUTED_VALUE"""),1077.0)</f>
        <v>1077</v>
      </c>
      <c r="P953" s="2"/>
      <c r="Q953" s="2"/>
      <c r="R953" s="74">
        <f>IFERROR(__xludf.DUMMYFUNCTION("""COMPUTED_VALUE"""),45819.0)</f>
        <v>45819</v>
      </c>
      <c r="S953" s="2" t="str">
        <f>IFERROR(__xludf.DUMMYFUNCTION("""COMPUTED_VALUE"""),"JDP/DSD/DRM")</f>
        <v>JDP/DSD/DRM</v>
      </c>
      <c r="T953" s="73">
        <f>IFERROR(__xludf.DUMMYFUNCTION("""COMPUTED_VALUE"""),18900.0)</f>
        <v>18900</v>
      </c>
      <c r="U953" s="73" t="str">
        <f>IFERROR(__xludf.DUMMYFUNCTION("""COMPUTED_VALUE""")," REMITTED ")</f>
        <v>REMITTED</v>
      </c>
      <c r="V953" s="2"/>
      <c r="W953" s="2">
        <f>IFERROR(__xludf.DUMMYFUNCTION("""COMPUTED_VALUE"""),1076.0)</f>
        <v>1076</v>
      </c>
      <c r="X953" s="2">
        <f>IFERROR(__xludf.DUMMYFUNCTION("""COMPUTED_VALUE"""),1413.0)</f>
        <v>1413</v>
      </c>
      <c r="Y953" s="2"/>
      <c r="Z953" s="2"/>
      <c r="AA953" s="2"/>
      <c r="AB953" s="2"/>
      <c r="AC953" s="2"/>
      <c r="AD953" s="2"/>
      <c r="AE953" s="2"/>
      <c r="AF953" s="2"/>
      <c r="AG953" s="2"/>
      <c r="AH953" s="2"/>
      <c r="AI953" s="2"/>
      <c r="AJ953" s="2" t="str">
        <f>IFERROR(__xludf.DUMMYFUNCTION("""COMPUTED_VALUE"""),"Santiago")</f>
        <v>Santiago</v>
      </c>
      <c r="AK953" s="2" t="str">
        <f>IFERROR(__xludf.DUMMYFUNCTION("""COMPUTED_VALUE"""),"Gerona")</f>
        <v>Gerona</v>
      </c>
      <c r="AL953" s="2" t="str">
        <f>IFERROR(__xludf.DUMMYFUNCTION("""COMPUTED_VALUE"""),"Tarlac")</f>
        <v>Tarlac</v>
      </c>
      <c r="AM953" s="2">
        <f>IFERROR(__xludf.DUMMYFUNCTION("""COMPUTED_VALUE"""),3.0)</f>
        <v>3</v>
      </c>
      <c r="AN953" s="2" t="str">
        <f>IFERROR(__xludf.DUMMYFUNCTION("""COMPUTED_VALUE"""),"RCEF 23-09-21 Rebidding")</f>
        <v>RCEF 23-09-21 Rebidding</v>
      </c>
      <c r="AO953" s="2">
        <f>IFERROR(__xludf.DUMMYFUNCTION("""COMPUTED_VALUE"""),3.0)</f>
        <v>3</v>
      </c>
      <c r="AP953" s="2"/>
      <c r="AQ953" s="2"/>
      <c r="AR953" s="2"/>
      <c r="AS953" s="2"/>
      <c r="AT953" s="2"/>
      <c r="AU953" s="2"/>
      <c r="AV953" s="2"/>
      <c r="AW953" s="2"/>
      <c r="AX953" s="2"/>
      <c r="AY953" s="2"/>
      <c r="AZ953" s="2"/>
      <c r="BA953" s="2"/>
      <c r="BB953" s="2"/>
    </row>
    <row r="954">
      <c r="A954" s="2">
        <f>IFERROR(__xludf.DUMMYFUNCTION("""COMPUTED_VALUE"""),950.0)</f>
        <v>950</v>
      </c>
      <c r="B954" s="2" t="str">
        <f>IFERROR(__xludf.DUMMYFUNCTION("""COMPUTED_VALUE"""),"COMPLETED")</f>
        <v>COMPLETED</v>
      </c>
      <c r="C954" s="74">
        <f>IFERROR(__xludf.DUMMYFUNCTION("""COMPUTED_VALUE"""),45796.0)</f>
        <v>45796</v>
      </c>
      <c r="D954" s="71" t="str">
        <f>IFERROR(__xludf.DUMMYFUNCTION("""COMPUTED_VALUE"""),"ABANTE BALITE UNITED FARMERS ASSOCIATION INC.")</f>
        <v>ABANTE BALITE UNITED FARMERS ASSOCIATION INC.</v>
      </c>
      <c r="E954" s="71" t="str">
        <f>IFERROR(__xludf.DUMMYFUNCTION("""COMPUTED_VALUE"""),"Balite, Malasiqui, PANGASINAN")</f>
        <v>Balite, Malasiqui, PANGASINAN</v>
      </c>
      <c r="F954" s="2" t="str">
        <f>IFERROR(__xludf.DUMMYFUNCTION("""COMPUTED_VALUE"""),"ALFONSO PARENO")</f>
        <v>ALFONSO PARENO</v>
      </c>
      <c r="G954" s="2">
        <f>IFERROR(__xludf.DUMMYFUNCTION("""COMPUTED_VALUE"""),9.4486127964E10)</f>
        <v>94486127964</v>
      </c>
      <c r="H954" s="2">
        <f>IFERROR(__xludf.DUMMYFUNCTION("""COMPUTED_VALUE"""),63.0)</f>
        <v>63</v>
      </c>
      <c r="I954" s="72" t="str">
        <f>IFERROR(__xludf.DUMMYFUNCTION("""COMPUTED_VALUE"""),"PMS")</f>
        <v>PMS</v>
      </c>
      <c r="J954" s="72" t="str">
        <f>IFERROR(__xludf.DUMMYFUNCTION("""COMPUTED_VALUE"""),"PMS")</f>
        <v>PMS</v>
      </c>
      <c r="K954" s="72" t="str">
        <f>IFERROR(__xludf.DUMMYFUNCTION("""COMPUTED_VALUE"""),"1ST PMS (FREE)")</f>
        <v>1ST PMS (FREE)</v>
      </c>
      <c r="L954" s="72" t="str">
        <f>IFERROR(__xludf.DUMMYFUNCTION("""COMPUTED_VALUE"""),"1ST PMS DONE")</f>
        <v>1ST PMS DONE</v>
      </c>
      <c r="M954" s="2"/>
      <c r="N954" s="2" t="str">
        <f>IFERROR(__xludf.DUMMYFUNCTION("""COMPUTED_VALUE"""),"PARTS: OIL FILTER, ENGINE OIL")</f>
        <v>PARTS: OIL FILTER, ENGINE OIL</v>
      </c>
      <c r="O954" s="2">
        <f>IFERROR(__xludf.DUMMYFUNCTION("""COMPUTED_VALUE"""),1129.0)</f>
        <v>1129</v>
      </c>
      <c r="P954" s="2" t="str">
        <f>IFERROR(__xludf.DUMMYFUNCTION("""COMPUTED_VALUE"""),"1129-ABANTE BALITE UNITED FARMERS ASSOCIATION INC..pdf")</f>
        <v>1129-ABANTE BALITE UNITED FARMERS ASSOCIATION INC..pdf</v>
      </c>
      <c r="Q954" s="2"/>
      <c r="R954" s="74">
        <f>IFERROR(__xludf.DUMMYFUNCTION("""COMPUTED_VALUE"""),45796.0)</f>
        <v>45796</v>
      </c>
      <c r="S954" s="2" t="str">
        <f>IFERROR(__xludf.DUMMYFUNCTION("""COMPUTED_VALUE"""),"DRM/EGT")</f>
        <v>DRM/EGT</v>
      </c>
      <c r="T954" s="73" t="str">
        <f>IFERROR(__xludf.DUMMYFUNCTION("""COMPUTED_VALUE""")," N/A ")</f>
        <v>N/A</v>
      </c>
      <c r="U954" s="73" t="str">
        <f>IFERROR(__xludf.DUMMYFUNCTION("""COMPUTED_VALUE""")," NO CHARGE ")</f>
        <v>NO CHARGE</v>
      </c>
      <c r="V954" s="2"/>
      <c r="W954" s="2" t="str">
        <f>IFERROR(__xludf.DUMMYFUNCTION("""COMPUTED_VALUE"""),"N/A")</f>
        <v>N/A</v>
      </c>
      <c r="X954" s="2" t="str">
        <f>IFERROR(__xludf.DUMMYFUNCTION("""COMPUTED_VALUE"""),"N/A")</f>
        <v>N/A</v>
      </c>
      <c r="Y954" s="2"/>
      <c r="Z954" s="2"/>
      <c r="AA954" s="2"/>
      <c r="AB954" s="2"/>
      <c r="AC954" s="2"/>
      <c r="AD954" s="2"/>
      <c r="AE954" s="2"/>
      <c r="AF954" s="2"/>
      <c r="AG954" s="2"/>
      <c r="AH954" s="2"/>
      <c r="AI954" s="2"/>
      <c r="AJ954" s="2" t="str">
        <f>IFERROR(__xludf.DUMMYFUNCTION("""COMPUTED_VALUE"""),"Balite")</f>
        <v>Balite</v>
      </c>
      <c r="AK954" s="2" t="str">
        <f>IFERROR(__xludf.DUMMYFUNCTION("""COMPUTED_VALUE"""),"Malasiqui")</f>
        <v>Malasiqui</v>
      </c>
      <c r="AL954" s="2" t="str">
        <f>IFERROR(__xludf.DUMMYFUNCTION("""COMPUTED_VALUE"""),"Pangasinan")</f>
        <v>Pangasinan</v>
      </c>
      <c r="AM954" s="2">
        <f>IFERROR(__xludf.DUMMYFUNCTION("""COMPUTED_VALUE"""),1.0)</f>
        <v>1</v>
      </c>
      <c r="AN954" s="2" t="str">
        <f>IFERROR(__xludf.DUMMYFUNCTION("""COMPUTED_VALUE"""),"RCEF 24-04-15")</f>
        <v>RCEF 24-04-15</v>
      </c>
      <c r="AO954" s="2">
        <f>IFERROR(__xludf.DUMMYFUNCTION("""COMPUTED_VALUE"""),6.0)</f>
        <v>6</v>
      </c>
      <c r="AP954" s="2" t="str">
        <f>IFERROR(__xludf.DUMMYFUNCTION("""COMPUTED_VALUE"""),"FREE PMS")</f>
        <v>FREE PMS</v>
      </c>
      <c r="AQ954" s="2"/>
      <c r="AR954" s="2"/>
      <c r="AS954" s="2"/>
      <c r="AT954" s="2"/>
      <c r="AU954" s="2"/>
      <c r="AV954" s="2"/>
      <c r="AW954" s="2"/>
      <c r="AX954" s="2"/>
      <c r="AY954" s="2"/>
      <c r="AZ954" s="2"/>
      <c r="BA954" s="2"/>
      <c r="BB954" s="2"/>
    </row>
    <row r="955">
      <c r="A955" s="2">
        <f>IFERROR(__xludf.DUMMYFUNCTION("""COMPUTED_VALUE"""),951.0)</f>
        <v>951</v>
      </c>
      <c r="B955" s="2" t="str">
        <f>IFERROR(__xludf.DUMMYFUNCTION("""COMPUTED_VALUE"""),"COMPLETED")</f>
        <v>COMPLETED</v>
      </c>
      <c r="C955" s="74">
        <f>IFERROR(__xludf.DUMMYFUNCTION("""COMPUTED_VALUE"""),45796.0)</f>
        <v>45796</v>
      </c>
      <c r="D955" s="71" t="str">
        <f>IFERROR(__xludf.DUMMYFUNCTION("""COMPUTED_VALUE"""),"Tumauini Ammianan Farmers Irrigators' Association Inc.")</f>
        <v>Tumauini Ammianan Farmers Irrigators' Association Inc.</v>
      </c>
      <c r="E955" s="71" t="str">
        <f>IFERROR(__xludf.DUMMYFUNCTION("""COMPUTED_VALUE"""),", San Vicente, Isabela")</f>
        <v>, San Vicente, Isabela</v>
      </c>
      <c r="F955" s="2" t="str">
        <f>IFERROR(__xludf.DUMMYFUNCTION("""COMPUTED_VALUE"""),"ROLDAN B. ACIERTO")</f>
        <v>ROLDAN B. ACIERTO</v>
      </c>
      <c r="G955" s="2">
        <f>IFERROR(__xludf.DUMMYFUNCTION("""COMPUTED_VALUE"""),9.700468442E9)</f>
        <v>9700468442</v>
      </c>
      <c r="H955" s="2">
        <f>IFERROR(__xludf.DUMMYFUNCTION("""COMPUTED_VALUE"""),49.3)</f>
        <v>49.3</v>
      </c>
      <c r="I955" s="72" t="str">
        <f>IFERROR(__xludf.DUMMYFUNCTION("""COMPUTED_VALUE"""),"PMS")</f>
        <v>PMS</v>
      </c>
      <c r="J955" s="72" t="str">
        <f>IFERROR(__xludf.DUMMYFUNCTION("""COMPUTED_VALUE"""),"PMS")</f>
        <v>PMS</v>
      </c>
      <c r="K955" s="72" t="str">
        <f>IFERROR(__xludf.DUMMYFUNCTION("""COMPUTED_VALUE"""),"JDP: 1ST PMS (FREE)")</f>
        <v>JDP: 1ST PMS (FREE)</v>
      </c>
      <c r="L955" s="72" t="str">
        <f>IFERROR(__xludf.DUMMYFUNCTION("""COMPUTED_VALUE"""),"CFG: 1ST PMS DONE")</f>
        <v>CFG: 1ST PMS DONE</v>
      </c>
      <c r="M955" s="2"/>
      <c r="N955" s="2" t="str">
        <f>IFERROR(__xludf.DUMMYFUNCTION("""COMPUTED_VALUE"""),"PARTS: OIL FILTER , ENGINE OIL")</f>
        <v>PARTS: OIL FILTER , ENGINE OIL</v>
      </c>
      <c r="O955" s="2">
        <f>IFERROR(__xludf.DUMMYFUNCTION("""COMPUTED_VALUE"""),1180.0)</f>
        <v>1180</v>
      </c>
      <c r="P955" s="2"/>
      <c r="Q955" s="2"/>
      <c r="R955" s="74">
        <f>IFERROR(__xludf.DUMMYFUNCTION("""COMPUTED_VALUE"""),45799.0)</f>
        <v>45799</v>
      </c>
      <c r="S955" s="2" t="str">
        <f>IFERROR(__xludf.DUMMYFUNCTION("""COMPUTED_VALUE"""),"CFG")</f>
        <v>CFG</v>
      </c>
      <c r="T955" s="73" t="str">
        <f>IFERROR(__xludf.DUMMYFUNCTION("""COMPUTED_VALUE""")," N/A ")</f>
        <v>N/A</v>
      </c>
      <c r="U955" s="73" t="str">
        <f>IFERROR(__xludf.DUMMYFUNCTION("""COMPUTED_VALUE""")," NO CHARGE ")</f>
        <v>NO CHARGE</v>
      </c>
      <c r="V955" s="2"/>
      <c r="W955" s="2" t="str">
        <f>IFERROR(__xludf.DUMMYFUNCTION("""COMPUTED_VALUE"""),"N/A")</f>
        <v>N/A</v>
      </c>
      <c r="X955" s="2" t="str">
        <f>IFERROR(__xludf.DUMMYFUNCTION("""COMPUTED_VALUE"""),"N/A")</f>
        <v>N/A</v>
      </c>
      <c r="Y955" s="2"/>
      <c r="Z955" s="2"/>
      <c r="AA955" s="2"/>
      <c r="AB955" s="2"/>
      <c r="AC955" s="2"/>
      <c r="AD955" s="2"/>
      <c r="AE955" s="2"/>
      <c r="AF955" s="2"/>
      <c r="AG955" s="2"/>
      <c r="AH955" s="2"/>
      <c r="AI955" s="2"/>
      <c r="AJ955" s="2" t="str">
        <f>IFERROR(__xludf.DUMMYFUNCTION("""COMPUTED_VALUE"""),"")</f>
        <v/>
      </c>
      <c r="AK955" s="2" t="str">
        <f>IFERROR(__xludf.DUMMYFUNCTION("""COMPUTED_VALUE"""),"San Vicente")</f>
        <v>San Vicente</v>
      </c>
      <c r="AL955" s="2" t="str">
        <f>IFERROR(__xludf.DUMMYFUNCTION("""COMPUTED_VALUE"""),"Isabela")</f>
        <v>Isabela</v>
      </c>
      <c r="AM955" s="2">
        <f>IFERROR(__xludf.DUMMYFUNCTION("""COMPUTED_VALUE"""),2.0)</f>
        <v>2</v>
      </c>
      <c r="AN955" s="2" t="str">
        <f>IFERROR(__xludf.DUMMYFUNCTION("""COMPUTED_VALUE"""),"RCEF 24-04-15")</f>
        <v>RCEF 24-04-15</v>
      </c>
      <c r="AO955" s="2">
        <f>IFERROR(__xludf.DUMMYFUNCTION("""COMPUTED_VALUE"""),6.0)</f>
        <v>6</v>
      </c>
      <c r="AP955" s="2" t="str">
        <f>IFERROR(__xludf.DUMMYFUNCTION("""COMPUTED_VALUE"""),"FREE PMS")</f>
        <v>FREE PMS</v>
      </c>
      <c r="AQ955" s="2"/>
      <c r="AR955" s="2"/>
      <c r="AS955" s="2"/>
      <c r="AT955" s="2"/>
      <c r="AU955" s="2"/>
      <c r="AV955" s="2"/>
      <c r="AW955" s="2"/>
      <c r="AX955" s="2"/>
      <c r="AY955" s="2"/>
      <c r="AZ955" s="2"/>
      <c r="BA955" s="2"/>
      <c r="BB955" s="2"/>
    </row>
    <row r="956">
      <c r="A956" s="2">
        <f>IFERROR(__xludf.DUMMYFUNCTION("""COMPUTED_VALUE"""),952.0)</f>
        <v>952</v>
      </c>
      <c r="B956" s="2" t="str">
        <f>IFERROR(__xludf.DUMMYFUNCTION("""COMPUTED_VALUE"""),"COMPLETED")</f>
        <v>COMPLETED</v>
      </c>
      <c r="C956" s="74">
        <f>IFERROR(__xludf.DUMMYFUNCTION("""COMPUTED_VALUE"""),45797.0)</f>
        <v>45797</v>
      </c>
      <c r="D956" s="71" t="str">
        <f>IFERROR(__xludf.DUMMYFUNCTION("""COMPUTED_VALUE"""),"CAWAG FARMERS ASSOCIATION")</f>
        <v>CAWAG FARMERS ASSOCIATION</v>
      </c>
      <c r="E956" s="71" t="str">
        <f>IFERROR(__xludf.DUMMYFUNCTION("""COMPUTED_VALUE"""),"Cawag, Subic, ZAMBALES")</f>
        <v>Cawag, Subic, ZAMBALES</v>
      </c>
      <c r="F956" s="2" t="str">
        <f>IFERROR(__xludf.DUMMYFUNCTION("""COMPUTED_VALUE"""),"VERGILIO SABADO")</f>
        <v>VERGILIO SABADO</v>
      </c>
      <c r="G956" s="2">
        <f>IFERROR(__xludf.DUMMYFUNCTION("""COMPUTED_VALUE"""),9.3251464E8)</f>
        <v>932514640</v>
      </c>
      <c r="H956" s="2">
        <f>IFERROR(__xludf.DUMMYFUNCTION("""COMPUTED_VALUE"""),46.0)</f>
        <v>46</v>
      </c>
      <c r="I956" s="72" t="str">
        <f>IFERROR(__xludf.DUMMYFUNCTION("""COMPUTED_VALUE"""),"PMS")</f>
        <v>PMS</v>
      </c>
      <c r="J956" s="72" t="str">
        <f>IFERROR(__xludf.DUMMYFUNCTION("""COMPUTED_VALUE"""),"PMS")</f>
        <v>PMS</v>
      </c>
      <c r="K956" s="72" t="str">
        <f>IFERROR(__xludf.DUMMYFUNCTION("""COMPUTED_VALUE"""),"MYK:  1ST PMS (FREE)")</f>
        <v>MYK:  1ST PMS (FREE)</v>
      </c>
      <c r="L956" s="72" t="str">
        <f>IFERROR(__xludf.DUMMYFUNCTION("""COMPUTED_VALUE"""),"EGT: 1ST PMS")</f>
        <v>EGT: 1ST PMS</v>
      </c>
      <c r="M956" s="2"/>
      <c r="N956" s="2" t="str">
        <f>IFERROR(__xludf.DUMMYFUNCTION("""COMPUTED_VALUE"""),"PARTS: OIL FILTER , ENGINE OIL")</f>
        <v>PARTS: OIL FILTER , ENGINE OIL</v>
      </c>
      <c r="O956" s="2">
        <f>IFERROR(__xludf.DUMMYFUNCTION("""COMPUTED_VALUE"""),1132.0)</f>
        <v>1132</v>
      </c>
      <c r="P956" s="2"/>
      <c r="Q956" s="2"/>
      <c r="R956" s="74">
        <f>IFERROR(__xludf.DUMMYFUNCTION("""COMPUTED_VALUE"""),45799.0)</f>
        <v>45799</v>
      </c>
      <c r="S956" s="2" t="str">
        <f>IFERROR(__xludf.DUMMYFUNCTION("""COMPUTED_VALUE"""),"EGT/DRM")</f>
        <v>EGT/DRM</v>
      </c>
      <c r="T956" s="73" t="str">
        <f>IFERROR(__xludf.DUMMYFUNCTION("""COMPUTED_VALUE""")," N/A ")</f>
        <v>N/A</v>
      </c>
      <c r="U956" s="73" t="str">
        <f>IFERROR(__xludf.DUMMYFUNCTION("""COMPUTED_VALUE""")," NO CHARGE ")</f>
        <v>NO CHARGE</v>
      </c>
      <c r="V956" s="2"/>
      <c r="W956" s="2" t="str">
        <f>IFERROR(__xludf.DUMMYFUNCTION("""COMPUTED_VALUE"""),"N/A")</f>
        <v>N/A</v>
      </c>
      <c r="X956" s="2" t="str">
        <f>IFERROR(__xludf.DUMMYFUNCTION("""COMPUTED_VALUE"""),"N/A")</f>
        <v>N/A</v>
      </c>
      <c r="Y956" s="2"/>
      <c r="Z956" s="2"/>
      <c r="AA956" s="2"/>
      <c r="AB956" s="2"/>
      <c r="AC956" s="2"/>
      <c r="AD956" s="2"/>
      <c r="AE956" s="2"/>
      <c r="AF956" s="2"/>
      <c r="AG956" s="2"/>
      <c r="AH956" s="2"/>
      <c r="AI956" s="2"/>
      <c r="AJ956" s="2" t="str">
        <f>IFERROR(__xludf.DUMMYFUNCTION("""COMPUTED_VALUE"""),"Cawag")</f>
        <v>Cawag</v>
      </c>
      <c r="AK956" s="2" t="str">
        <f>IFERROR(__xludf.DUMMYFUNCTION("""COMPUTED_VALUE"""),"Subic")</f>
        <v>Subic</v>
      </c>
      <c r="AL956" s="2" t="str">
        <f>IFERROR(__xludf.DUMMYFUNCTION("""COMPUTED_VALUE"""),"Zambales")</f>
        <v>Zambales</v>
      </c>
      <c r="AM956" s="2">
        <f>IFERROR(__xludf.DUMMYFUNCTION("""COMPUTED_VALUE"""),3.0)</f>
        <v>3</v>
      </c>
      <c r="AN956" s="2" t="str">
        <f>IFERROR(__xludf.DUMMYFUNCTION("""COMPUTED_VALUE"""),"Repeat Order")</f>
        <v>Repeat Order</v>
      </c>
      <c r="AO956" s="2">
        <f>IFERROR(__xludf.DUMMYFUNCTION("""COMPUTED_VALUE"""),6.0)</f>
        <v>6</v>
      </c>
      <c r="AP956" s="2" t="str">
        <f>IFERROR(__xludf.DUMMYFUNCTION("""COMPUTED_VALUE"""),"FREE PMS")</f>
        <v>FREE PMS</v>
      </c>
      <c r="AQ956" s="2"/>
      <c r="AR956" s="2"/>
      <c r="AS956" s="2"/>
      <c r="AT956" s="2"/>
      <c r="AU956" s="2"/>
      <c r="AV956" s="2"/>
      <c r="AW956" s="2"/>
      <c r="AX956" s="2"/>
      <c r="AY956" s="2"/>
      <c r="AZ956" s="2"/>
      <c r="BA956" s="2"/>
      <c r="BB956" s="2"/>
    </row>
    <row r="957">
      <c r="A957" s="2">
        <f>IFERROR(__xludf.DUMMYFUNCTION("""COMPUTED_VALUE"""),953.0)</f>
        <v>953</v>
      </c>
      <c r="B957" s="2" t="str">
        <f>IFERROR(__xludf.DUMMYFUNCTION("""COMPUTED_VALUE"""),"COMPLETED")</f>
        <v>COMPLETED</v>
      </c>
      <c r="C957" s="74">
        <f>IFERROR(__xludf.DUMMYFUNCTION("""COMPUTED_VALUE"""),45797.0)</f>
        <v>45797</v>
      </c>
      <c r="D957" s="71" t="str">
        <f>IFERROR(__xludf.DUMMYFUNCTION("""COMPUTED_VALUE"""),"KALAMBA IRRIGATORS ASSOCIATION, INC.")</f>
        <v>KALAMBA IRRIGATORS ASSOCIATION, INC.</v>
      </c>
      <c r="E957" s="71" t="str">
        <f>IFERROR(__xludf.DUMMYFUNCTION("""COMPUTED_VALUE"""),"Calabasa, Jaen, NUEVA ECIJA")</f>
        <v>Calabasa, Jaen, NUEVA ECIJA</v>
      </c>
      <c r="F957" s="2" t="str">
        <f>IFERROR(__xludf.DUMMYFUNCTION("""COMPUTED_VALUE"""),"JOSE ALIPID JR.")</f>
        <v>JOSE ALIPID JR.</v>
      </c>
      <c r="G957" s="2">
        <f>IFERROR(__xludf.DUMMYFUNCTION("""COMPUTED_VALUE"""),9.168289106E9)</f>
        <v>9168289106</v>
      </c>
      <c r="H957" s="2">
        <f>IFERROR(__xludf.DUMMYFUNCTION("""COMPUTED_VALUE"""),600.0)</f>
        <v>600</v>
      </c>
      <c r="I957" s="72" t="str">
        <f>IFERROR(__xludf.DUMMYFUNCTION("""COMPUTED_VALUE"""),"PMS")</f>
        <v>PMS</v>
      </c>
      <c r="J957" s="72" t="str">
        <f>IFERROR(__xludf.DUMMYFUNCTION("""COMPUTED_VALUE"""),"PMS")</f>
        <v>PMS</v>
      </c>
      <c r="K957" s="72" t="str">
        <f>IFERROR(__xludf.DUMMYFUNCTION("""COMPUTED_VALUE"""),"ERP: 2ND PMS  (BRING ADDITIONAL FILTER)")</f>
        <v>ERP: 2ND PMS  (BRING ADDITIONAL FILTER)</v>
      </c>
      <c r="L957" s="72" t="str">
        <f>IFERROR(__xludf.DUMMYFUNCTION("""COMPUTED_VALUE"""),"JDP: 2ND PMS DONE")</f>
        <v>JDP: 2ND PMS DONE</v>
      </c>
      <c r="M957" s="2"/>
      <c r="N957" s="2" t="str">
        <f>IFERROR(__xludf.DUMMYFUNCTION("""COMPUTED_VALUE"""),"PARTS: HYDRAULIC FILTER, OIL FILTER, ENGINE OIL, HYDRAULIC OIL
PAID: SERVICE CHARGE")</f>
        <v>PARTS: HYDRAULIC FILTER, OIL FILTER, ENGINE OIL, HYDRAULIC OIL
PAID: SERVICE CHARGE</v>
      </c>
      <c r="O957" s="2">
        <f>IFERROR(__xludf.DUMMYFUNCTION("""COMPUTED_VALUE"""),1389.0)</f>
        <v>1389</v>
      </c>
      <c r="P957" s="2"/>
      <c r="Q957" s="2"/>
      <c r="R957" s="74">
        <f>IFERROR(__xludf.DUMMYFUNCTION("""COMPUTED_VALUE"""),45798.0)</f>
        <v>45798</v>
      </c>
      <c r="S957" s="2" t="str">
        <f>IFERROR(__xludf.DUMMYFUNCTION("""COMPUTED_VALUE"""),"JDP/DSD")</f>
        <v>JDP/DSD</v>
      </c>
      <c r="T957" s="73">
        <f>IFERROR(__xludf.DUMMYFUNCTION("""COMPUTED_VALUE"""),19720.0)</f>
        <v>19720</v>
      </c>
      <c r="U957" s="73" t="str">
        <f>IFERROR(__xludf.DUMMYFUNCTION("""COMPUTED_VALUE""")," REMITTED ")</f>
        <v>REMITTED</v>
      </c>
      <c r="V957" s="2"/>
      <c r="W957" s="2">
        <f>IFERROR(__xludf.DUMMYFUNCTION("""COMPUTED_VALUE"""),1188.0)</f>
        <v>1188</v>
      </c>
      <c r="X957" s="2">
        <f>IFERROR(__xludf.DUMMYFUNCTION("""COMPUTED_VALUE"""),1383.0)</f>
        <v>1383</v>
      </c>
      <c r="Y957" s="2"/>
      <c r="Z957" s="2"/>
      <c r="AA957" s="2"/>
      <c r="AB957" s="2"/>
      <c r="AC957" s="2"/>
      <c r="AD957" s="2"/>
      <c r="AE957" s="2"/>
      <c r="AF957" s="2"/>
      <c r="AG957" s="2"/>
      <c r="AH957" s="2"/>
      <c r="AI957" s="2"/>
      <c r="AJ957" s="2" t="str">
        <f>IFERROR(__xludf.DUMMYFUNCTION("""COMPUTED_VALUE"""),"Calabasa")</f>
        <v>Calabasa</v>
      </c>
      <c r="AK957" s="2" t="str">
        <f>IFERROR(__xludf.DUMMYFUNCTION("""COMPUTED_VALUE"""),"Jaen")</f>
        <v>Jaen</v>
      </c>
      <c r="AL957" s="2" t="str">
        <f>IFERROR(__xludf.DUMMYFUNCTION("""COMPUTED_VALUE"""),"Nueva Ecija")</f>
        <v>Nueva Ecija</v>
      </c>
      <c r="AM957" s="2">
        <f>IFERROR(__xludf.DUMMYFUNCTION("""COMPUTED_VALUE"""),3.0)</f>
        <v>3</v>
      </c>
      <c r="AN957" s="2" t="str">
        <f>IFERROR(__xludf.DUMMYFUNCTION("""COMPUTED_VALUE"""),"RCEF 23-09-21 Rebidding")</f>
        <v>RCEF 23-09-21 Rebidding</v>
      </c>
      <c r="AO957" s="2">
        <f>IFERROR(__xludf.DUMMYFUNCTION("""COMPUTED_VALUE"""),3.0)</f>
        <v>3</v>
      </c>
      <c r="AP957" s="2"/>
      <c r="AQ957" s="2"/>
      <c r="AR957" s="2"/>
      <c r="AS957" s="2"/>
      <c r="AT957" s="2"/>
      <c r="AU957" s="2"/>
      <c r="AV957" s="2"/>
      <c r="AW957" s="2"/>
      <c r="AX957" s="2"/>
      <c r="AY957" s="2"/>
      <c r="AZ957" s="2"/>
      <c r="BA957" s="2"/>
      <c r="BB957" s="2"/>
    </row>
    <row r="958">
      <c r="A958" s="2">
        <f>IFERROR(__xludf.DUMMYFUNCTION("""COMPUTED_VALUE"""),954.0)</f>
        <v>954</v>
      </c>
      <c r="B958" s="2" t="str">
        <f>IFERROR(__xludf.DUMMYFUNCTION("""COMPUTED_VALUE"""),"COMPLETED")</f>
        <v>COMPLETED</v>
      </c>
      <c r="C958" s="74">
        <f>IFERROR(__xludf.DUMMYFUNCTION("""COMPUTED_VALUE"""),45797.0)</f>
        <v>45797</v>
      </c>
      <c r="D958" s="71" t="str">
        <f>IFERROR(__xludf.DUMMYFUNCTION("""COMPUTED_VALUE"""),"Lemu Farmers Agriculture Cooperative")</f>
        <v>Lemu Farmers Agriculture Cooperative</v>
      </c>
      <c r="E958" s="71" t="str">
        <f>IFERROR(__xludf.DUMMYFUNCTION("""COMPUTED_VALUE"""),"Lemu Norte, Enrile, CAGAYAN")</f>
        <v>Lemu Norte, Enrile, CAGAYAN</v>
      </c>
      <c r="F958" s="2"/>
      <c r="G958" s="2">
        <f>IFERROR(__xludf.DUMMYFUNCTION("""COMPUTED_VALUE"""),9.171880383E9)</f>
        <v>9171880383</v>
      </c>
      <c r="H958" s="2">
        <f>IFERROR(__xludf.DUMMYFUNCTION("""COMPUTED_VALUE"""),51.8)</f>
        <v>51.8</v>
      </c>
      <c r="I958" s="72" t="str">
        <f>IFERROR(__xludf.DUMMYFUNCTION("""COMPUTED_VALUE"""),"PMS")</f>
        <v>PMS</v>
      </c>
      <c r="J958" s="72" t="str">
        <f>IFERROR(__xludf.DUMMYFUNCTION("""COMPUTED_VALUE"""),"PMS")</f>
        <v>PMS</v>
      </c>
      <c r="K958" s="72" t="str">
        <f>IFERROR(__xludf.DUMMYFUNCTION("""COMPUTED_VALUE"""),"CFG: 1ST PMS FREE")</f>
        <v>CFG: 1ST PMS FREE</v>
      </c>
      <c r="L958" s="72" t="str">
        <f>IFERROR(__xludf.DUMMYFUNCTION("""COMPUTED_VALUE"""),"CFG: Free PMS Done")</f>
        <v>CFG: Free PMS Done</v>
      </c>
      <c r="M958" s="2"/>
      <c r="N958" s="2" t="str">
        <f>IFERROR(__xludf.DUMMYFUNCTION("""COMPUTED_VALUE"""),"PARTS: OIL FILTER. ENGINE OIL")</f>
        <v>PARTS: OIL FILTER. ENGINE OIL</v>
      </c>
      <c r="O958" s="2">
        <f>IFERROR(__xludf.DUMMYFUNCTION("""COMPUTED_VALUE"""),1176.0)</f>
        <v>1176</v>
      </c>
      <c r="P958" s="2"/>
      <c r="Q958" s="2"/>
      <c r="R958" s="74">
        <f>IFERROR(__xludf.DUMMYFUNCTION("""COMPUTED_VALUE"""),45797.0)</f>
        <v>45797</v>
      </c>
      <c r="S958" s="2" t="str">
        <f>IFERROR(__xludf.DUMMYFUNCTION("""COMPUTED_VALUE"""),"CFG")</f>
        <v>CFG</v>
      </c>
      <c r="T958" s="73" t="str">
        <f>IFERROR(__xludf.DUMMYFUNCTION("""COMPUTED_VALUE""")," N/A ")</f>
        <v>N/A</v>
      </c>
      <c r="U958" s="73" t="str">
        <f>IFERROR(__xludf.DUMMYFUNCTION("""COMPUTED_VALUE""")," NO CHARGE ")</f>
        <v>NO CHARGE</v>
      </c>
      <c r="V958" s="2"/>
      <c r="W958" s="2" t="str">
        <f>IFERROR(__xludf.DUMMYFUNCTION("""COMPUTED_VALUE"""),"N/A")</f>
        <v>N/A</v>
      </c>
      <c r="X958" s="2" t="str">
        <f>IFERROR(__xludf.DUMMYFUNCTION("""COMPUTED_VALUE"""),"N/A")</f>
        <v>N/A</v>
      </c>
      <c r="Y958" s="2"/>
      <c r="Z958" s="2"/>
      <c r="AA958" s="2"/>
      <c r="AB958" s="2"/>
      <c r="AC958" s="2"/>
      <c r="AD958" s="2"/>
      <c r="AE958" s="2"/>
      <c r="AF958" s="2"/>
      <c r="AG958" s="2"/>
      <c r="AH958" s="2"/>
      <c r="AI958" s="2"/>
      <c r="AJ958" s="2" t="str">
        <f>IFERROR(__xludf.DUMMYFUNCTION("""COMPUTED_VALUE"""),"Lemu Norte")</f>
        <v>Lemu Norte</v>
      </c>
      <c r="AK958" s="2" t="str">
        <f>IFERROR(__xludf.DUMMYFUNCTION("""COMPUTED_VALUE"""),"Enrile")</f>
        <v>Enrile</v>
      </c>
      <c r="AL958" s="2" t="str">
        <f>IFERROR(__xludf.DUMMYFUNCTION("""COMPUTED_VALUE"""),"Cagayan")</f>
        <v>Cagayan</v>
      </c>
      <c r="AM958" s="2">
        <f>IFERROR(__xludf.DUMMYFUNCTION("""COMPUTED_VALUE"""),2.0)</f>
        <v>2</v>
      </c>
      <c r="AN958" s="2" t="str">
        <f>IFERROR(__xludf.DUMMYFUNCTION("""COMPUTED_VALUE"""),"Repeat Order")</f>
        <v>Repeat Order</v>
      </c>
      <c r="AO958" s="2">
        <f>IFERROR(__xludf.DUMMYFUNCTION("""COMPUTED_VALUE"""),6.0)</f>
        <v>6</v>
      </c>
      <c r="AP958" s="2" t="str">
        <f>IFERROR(__xludf.DUMMYFUNCTION("""COMPUTED_VALUE"""),"FREE PMS")</f>
        <v>FREE PMS</v>
      </c>
      <c r="AQ958" s="2"/>
      <c r="AR958" s="2"/>
      <c r="AS958" s="2"/>
      <c r="AT958" s="2"/>
      <c r="AU958" s="2"/>
      <c r="AV958" s="2"/>
      <c r="AW958" s="2"/>
      <c r="AX958" s="2"/>
      <c r="AY958" s="2"/>
      <c r="AZ958" s="2"/>
      <c r="BA958" s="2"/>
      <c r="BB958" s="2"/>
    </row>
    <row r="959">
      <c r="A959" s="2">
        <f>IFERROR(__xludf.DUMMYFUNCTION("""COMPUTED_VALUE"""),955.0)</f>
        <v>955</v>
      </c>
      <c r="B959" s="2" t="str">
        <f>IFERROR(__xludf.DUMMYFUNCTION("""COMPUTED_VALUE"""),"COMPLETED")</f>
        <v>COMPLETED</v>
      </c>
      <c r="C959" s="74">
        <f>IFERROR(__xludf.DUMMYFUNCTION("""COMPUTED_VALUE"""),45797.0)</f>
        <v>45797</v>
      </c>
      <c r="D959" s="71" t="str">
        <f>IFERROR(__xludf.DUMMYFUNCTION("""COMPUTED_VALUE"""),"Agriing Kayu Farmers Irrigators Association")</f>
        <v>Agriing Kayu Farmers Irrigators Association</v>
      </c>
      <c r="E959" s="71" t="str">
        <f>IFERROR(__xludf.DUMMYFUNCTION("""COMPUTED_VALUE"""),"Laya West, Tabuk City, KALINGA")</f>
        <v>Laya West, Tabuk City, KALINGA</v>
      </c>
      <c r="F959" s="2" t="str">
        <f>IFERROR(__xludf.DUMMYFUNCTION("""COMPUTED_VALUE"""),"Druso Linmipao")</f>
        <v>Druso Linmipao</v>
      </c>
      <c r="G959" s="2">
        <f>IFERROR(__xludf.DUMMYFUNCTION("""COMPUTED_VALUE"""),9.662068162E9)</f>
        <v>9662068162</v>
      </c>
      <c r="H959" s="2">
        <f>IFERROR(__xludf.DUMMYFUNCTION("""COMPUTED_VALUE"""),64.3)</f>
        <v>64.3</v>
      </c>
      <c r="I959" s="72" t="str">
        <f>IFERROR(__xludf.DUMMYFUNCTION("""COMPUTED_VALUE"""),"PMS")</f>
        <v>PMS</v>
      </c>
      <c r="J959" s="72" t="str">
        <f>IFERROR(__xludf.DUMMYFUNCTION("""COMPUTED_VALUE"""),"PMS")</f>
        <v>PMS</v>
      </c>
      <c r="K959" s="72" t="str">
        <f>IFERROR(__xludf.DUMMYFUNCTION("""COMPUTED_VALUE"""),"CFG: 1ST PMS FREE")</f>
        <v>CFG: 1ST PMS FREE</v>
      </c>
      <c r="L959" s="72" t="str">
        <f>IFERROR(__xludf.DUMMYFUNCTION("""COMPUTED_VALUE"""),"CFG: Free PMS Done")</f>
        <v>CFG: Free PMS Done</v>
      </c>
      <c r="M959" s="2"/>
      <c r="N959" s="2" t="str">
        <f>IFERROR(__xludf.DUMMYFUNCTION("""COMPUTED_VALUE"""),"PARTS: OIL FILTER. ENGINE OIL")</f>
        <v>PARTS: OIL FILTER. ENGINE OIL</v>
      </c>
      <c r="O959" s="2">
        <f>IFERROR(__xludf.DUMMYFUNCTION("""COMPUTED_VALUE"""),1177.0)</f>
        <v>1177</v>
      </c>
      <c r="P959" s="2" t="str">
        <f>IFERROR(__xludf.DUMMYFUNCTION("""COMPUTED_VALUE"""),"1177-Agriing Kayu Farmers Irrigators Association.pdf")</f>
        <v>1177-Agriing Kayu Farmers Irrigators Association.pdf</v>
      </c>
      <c r="Q959" s="2"/>
      <c r="R959" s="74">
        <f>IFERROR(__xludf.DUMMYFUNCTION("""COMPUTED_VALUE"""),45797.0)</f>
        <v>45797</v>
      </c>
      <c r="S959" s="2" t="str">
        <f>IFERROR(__xludf.DUMMYFUNCTION("""COMPUTED_VALUE"""),"CFG")</f>
        <v>CFG</v>
      </c>
      <c r="T959" s="73" t="str">
        <f>IFERROR(__xludf.DUMMYFUNCTION("""COMPUTED_VALUE""")," N/A ")</f>
        <v>N/A</v>
      </c>
      <c r="U959" s="73" t="str">
        <f>IFERROR(__xludf.DUMMYFUNCTION("""COMPUTED_VALUE""")," NO CHARGE ")</f>
        <v>NO CHARGE</v>
      </c>
      <c r="V959" s="2"/>
      <c r="W959" s="2" t="str">
        <f>IFERROR(__xludf.DUMMYFUNCTION("""COMPUTED_VALUE"""),"N/A")</f>
        <v>N/A</v>
      </c>
      <c r="X959" s="2" t="str">
        <f>IFERROR(__xludf.DUMMYFUNCTION("""COMPUTED_VALUE"""),"N/A")</f>
        <v>N/A</v>
      </c>
      <c r="Y959" s="2"/>
      <c r="Z959" s="2"/>
      <c r="AA959" s="2"/>
      <c r="AB959" s="2"/>
      <c r="AC959" s="2"/>
      <c r="AD959" s="2"/>
      <c r="AE959" s="2"/>
      <c r="AF959" s="2"/>
      <c r="AG959" s="2"/>
      <c r="AH959" s="2"/>
      <c r="AI959" s="2"/>
      <c r="AJ959" s="2" t="str">
        <f>IFERROR(__xludf.DUMMYFUNCTION("""COMPUTED_VALUE"""),"Laya West")</f>
        <v>Laya West</v>
      </c>
      <c r="AK959" s="2" t="str">
        <f>IFERROR(__xludf.DUMMYFUNCTION("""COMPUTED_VALUE"""),"Tabuk City")</f>
        <v>Tabuk City</v>
      </c>
      <c r="AL959" s="2" t="str">
        <f>IFERROR(__xludf.DUMMYFUNCTION("""COMPUTED_VALUE"""),"Kalinga")</f>
        <v>Kalinga</v>
      </c>
      <c r="AM959" s="2" t="str">
        <f>IFERROR(__xludf.DUMMYFUNCTION("""COMPUTED_VALUE"""),"CAR")</f>
        <v>CAR</v>
      </c>
      <c r="AN959" s="2" t="str">
        <f>IFERROR(__xludf.DUMMYFUNCTION("""COMPUTED_VALUE"""),"RCEF 24-04-15")</f>
        <v>RCEF 24-04-15</v>
      </c>
      <c r="AO959" s="2">
        <f>IFERROR(__xludf.DUMMYFUNCTION("""COMPUTED_VALUE"""),6.0)</f>
        <v>6</v>
      </c>
      <c r="AP959" s="2" t="str">
        <f>IFERROR(__xludf.DUMMYFUNCTION("""COMPUTED_VALUE"""),"FREE PMS")</f>
        <v>FREE PMS</v>
      </c>
      <c r="AQ959" s="2"/>
      <c r="AR959" s="2"/>
      <c r="AS959" s="2"/>
      <c r="AT959" s="2"/>
      <c r="AU959" s="2"/>
      <c r="AV959" s="2"/>
      <c r="AW959" s="2"/>
      <c r="AX959" s="2"/>
      <c r="AY959" s="2"/>
      <c r="AZ959" s="2"/>
      <c r="BA959" s="2"/>
      <c r="BB959" s="2"/>
    </row>
    <row r="960">
      <c r="A960" s="2">
        <f>IFERROR(__xludf.DUMMYFUNCTION("""COMPUTED_VALUE"""),956.0)</f>
        <v>956</v>
      </c>
      <c r="B960" s="2" t="str">
        <f>IFERROR(__xludf.DUMMYFUNCTION("""COMPUTED_VALUE"""),"COMPLETED")</f>
        <v>COMPLETED</v>
      </c>
      <c r="C960" s="74">
        <f>IFERROR(__xludf.DUMMYFUNCTION("""COMPUTED_VALUE"""),45797.0)</f>
        <v>45797</v>
      </c>
      <c r="D960" s="71" t="str">
        <f>IFERROR(__xludf.DUMMYFUNCTION("""COMPUTED_VALUE"""),"LCCC-Lagasit Irrigators Association")</f>
        <v>LCCC-Lagasit Irrigators Association</v>
      </c>
      <c r="E960" s="71" t="str">
        <f>IFERROR(__xludf.DUMMYFUNCTION("""COMPUTED_VALUE"""),"Lagasit, San Quintin, PANGASINAN")</f>
        <v>Lagasit, San Quintin, PANGASINAN</v>
      </c>
      <c r="F960" s="2" t="str">
        <f>IFERROR(__xludf.DUMMYFUNCTION("""COMPUTED_VALUE"""),"Benito H. Obra")</f>
        <v>Benito H. Obra</v>
      </c>
      <c r="G960" s="2" t="str">
        <f>IFERROR(__xludf.DUMMYFUNCTION("""COMPUTED_VALUE"""),"9984435917 / 09917371438")</f>
        <v>9984435917 / 09917371438</v>
      </c>
      <c r="H960" s="2">
        <f>IFERROR(__xludf.DUMMYFUNCTION("""COMPUTED_VALUE"""),912.0)</f>
        <v>912</v>
      </c>
      <c r="I960" s="72" t="str">
        <f>IFERROR(__xludf.DUMMYFUNCTION("""COMPUTED_VALUE"""),"REPAIR - TRACTOR")</f>
        <v>REPAIR - TRACTOR</v>
      </c>
      <c r="J960" s="72" t="str">
        <f>IFERROR(__xludf.DUMMYFUNCTION("""COMPUTED_VALUE"""),"Transmission - Front Drive")</f>
        <v>Transmission - Front Drive</v>
      </c>
      <c r="K960" s="72" t="str">
        <f>IFERROR(__xludf.DUMMYFUNCTION("""COMPUTED_VALUE"""),"MYK: 
Request for change oil  at saka po palitan po lahat ang mga oil seal sa harap at likod n gulong at saka po paki tignan po ang front drive bearing kc po my tumunog dw kya dina po tinuloy n gamitin.check up lng para po makita kng anong papalitan natin"&amp;"
1071:DSD: 5/30/25
2- BALL BEARING #6207
1- BALL BEARING #6208
1- BALL BEARING #6209
1- BEARING #6014
1-BALL BEARING #6013
2- BEARING ROLLER #32-00-60
1-OIL SEAL 24421-405508
")</f>
        <v>MYK: 
Request for change oil  at saka po palitan po lahat ang mga oil seal sa harap at likod n gulong at saka po paki tignan po ang front drive bearing kc po my tumunog dw kya dina po tinuloy n gamitin.check up lng para po makita kng anong papalitan natin
1071:DSD: 5/30/25
2- BALL BEARING #6207
1- BALL BEARING #6208
1- BALL BEARING #6209
1- BEARING #6014
1-BALL BEARING #6013
2- BEARING ROLLER #32-00-60
1-OIL SEAL 24421-405508
</v>
      </c>
      <c r="L960" s="72" t="str">
        <f>IFERROR(__xludf.DUMMYFUNCTION("""COMPUTED_VALUE"""),"ACS: REPLACED ALL BEARING AT FRONT DRIVE , OTHER PARTS ARE OUTSOURCE OF FARMERS")</f>
        <v>ACS: REPLACED ALL BEARING AT FRONT DRIVE , OTHER PARTS ARE OUTSOURCE OF FARMERS</v>
      </c>
      <c r="M960" s="2"/>
      <c r="N960" s="2" t="str">
        <f>IFERROR(__xludf.DUMMYFUNCTION("""COMPUTED_VALUE"""),"PARTS: 2 - OIL SEAL TA00041359")</f>
        <v>PARTS: 2 - OIL SEAL TA00041359</v>
      </c>
      <c r="O960" s="2">
        <f>IFERROR(__xludf.DUMMYFUNCTION("""COMPUTED_VALUE"""),1407.0)</f>
        <v>1407</v>
      </c>
      <c r="P960" s="2"/>
      <c r="Q960" s="2"/>
      <c r="R960" s="74">
        <f>IFERROR(__xludf.DUMMYFUNCTION("""COMPUTED_VALUE"""),45819.0)</f>
        <v>45819</v>
      </c>
      <c r="S960" s="2" t="str">
        <f>IFERROR(__xludf.DUMMYFUNCTION("""COMPUTED_VALUE"""),"JHP/ACS")</f>
        <v>JHP/ACS</v>
      </c>
      <c r="T960" s="73">
        <f>IFERROR(__xludf.DUMMYFUNCTION("""COMPUTED_VALUE"""),6400.0)</f>
        <v>6400</v>
      </c>
      <c r="U960" s="73" t="str">
        <f>IFERROR(__xludf.DUMMYFUNCTION("""COMPUTED_VALUE""")," REMITTED ")</f>
        <v>REMITTED</v>
      </c>
      <c r="V960" s="2"/>
      <c r="W960" s="2">
        <f>IFERROR(__xludf.DUMMYFUNCTION("""COMPUTED_VALUE"""),1075.0)</f>
        <v>1075</v>
      </c>
      <c r="X960" s="2">
        <f>IFERROR(__xludf.DUMMYFUNCTION("""COMPUTED_VALUE"""),1415.0)</f>
        <v>1415</v>
      </c>
      <c r="Y960" s="2"/>
      <c r="Z960" s="2"/>
      <c r="AA960" s="2"/>
      <c r="AB960" s="2"/>
      <c r="AC960" s="2"/>
      <c r="AD960" s="2"/>
      <c r="AE960" s="2"/>
      <c r="AF960" s="2"/>
      <c r="AG960" s="2"/>
      <c r="AH960" s="2"/>
      <c r="AI960" s="2"/>
      <c r="AJ960" s="2" t="str">
        <f>IFERROR(__xludf.DUMMYFUNCTION("""COMPUTED_VALUE"""),"Lagasit")</f>
        <v>Lagasit</v>
      </c>
      <c r="AK960" s="2" t="str">
        <f>IFERROR(__xludf.DUMMYFUNCTION("""COMPUTED_VALUE"""),"San Quintin")</f>
        <v>San Quintin</v>
      </c>
      <c r="AL960" s="2" t="str">
        <f>IFERROR(__xludf.DUMMYFUNCTION("""COMPUTED_VALUE"""),"Pangasinan")</f>
        <v>Pangasinan</v>
      </c>
      <c r="AM960" s="2">
        <f>IFERROR(__xludf.DUMMYFUNCTION("""COMPUTED_VALUE"""),1.0)</f>
        <v>1</v>
      </c>
      <c r="AN960" s="2" t="str">
        <f>IFERROR(__xludf.DUMMYFUNCTION("""COMPUTED_VALUE"""),"RCEF 23-09-21 Rebidding")</f>
        <v>RCEF 23-09-21 Rebidding</v>
      </c>
      <c r="AO960" s="2">
        <f>IFERROR(__xludf.DUMMYFUNCTION("""COMPUTED_VALUE"""),2.0)</f>
        <v>2</v>
      </c>
      <c r="AP960" s="2"/>
      <c r="AQ960" s="2"/>
      <c r="AR960" s="2"/>
      <c r="AS960" s="2"/>
      <c r="AT960" s="2"/>
      <c r="AU960" s="2"/>
      <c r="AV960" s="2"/>
      <c r="AW960" s="2"/>
      <c r="AX960" s="2"/>
      <c r="AY960" s="2"/>
      <c r="AZ960" s="2"/>
      <c r="BA960" s="2"/>
      <c r="BB960" s="2"/>
    </row>
    <row r="961">
      <c r="A961" s="2">
        <f>IFERROR(__xludf.DUMMYFUNCTION("""COMPUTED_VALUE"""),957.0)</f>
        <v>957</v>
      </c>
      <c r="B961" s="2" t="str">
        <f>IFERROR(__xludf.DUMMYFUNCTION("""COMPUTED_VALUE"""),"COMPLETED")</f>
        <v>COMPLETED</v>
      </c>
      <c r="C961" s="74">
        <f>IFERROR(__xludf.DUMMYFUNCTION("""COMPUTED_VALUE"""),45798.0)</f>
        <v>45798</v>
      </c>
      <c r="D961" s="71" t="str">
        <f>IFERROR(__xludf.DUMMYFUNCTION("""COMPUTED_VALUE"""),"BRGY. VIGO-DANGAY FARMERS IRRIGATORS ASSOCIATION INC.")</f>
        <v>BRGY. VIGO-DANGAY FARMERS IRRIGATORS ASSOCIATION INC.</v>
      </c>
      <c r="E961" s="71" t="str">
        <f>IFERROR(__xludf.DUMMYFUNCTION("""COMPUTED_VALUE"""),"VIGO, LUBANG, OCCIDENTAL MINDORO")</f>
        <v>VIGO, LUBANG, OCCIDENTAL MINDORO</v>
      </c>
      <c r="F961" s="2" t="str">
        <f>IFERROR(__xludf.DUMMYFUNCTION("""COMPUTED_VALUE"""),"Abelardo P. De Lemos, Jr.")</f>
        <v>Abelardo P. De Lemos, Jr.</v>
      </c>
      <c r="G961" s="2" t="str">
        <f>IFERROR(__xludf.DUMMYFUNCTION("""COMPUTED_VALUE"""),"0999 423 2211")</f>
        <v>0999 423 2211</v>
      </c>
      <c r="H961" s="2"/>
      <c r="I961" s="72" t="str">
        <f>IFERROR(__xludf.DUMMYFUNCTION("""COMPUTED_VALUE"""),"REPAIR - TRACTOR")</f>
        <v>REPAIR - TRACTOR</v>
      </c>
      <c r="J961" s="72" t="str">
        <f>IFERROR(__xludf.DUMMYFUNCTION("""COMPUTED_VALUE"""),"Electrical - Dashboard")</f>
        <v>Electrical - Dashboard</v>
      </c>
      <c r="K961" s="72" t="str">
        <f>IFERROR(__xludf.DUMMYFUNCTION("""COMPUTED_VALUE"""),"RCG: PANEL ASSY PROBLEM
PARTS: METER PANEL
RBS: BAGO PA PUMUNTA ANG TYM, MAY PROBLEMA NA ANG METER PANEL
""JIE:10/2/25
OUT OF COVERAGE""")</f>
        <v>RCG: PANEL ASSY PROBLEM
PARTS: METER PANEL
RBS: BAGO PA PUMUNTA ANG TYM, MAY PROBLEMA NA ANG METER PANEL
"JIE:10/2/25
OUT OF COVERAGE"</v>
      </c>
      <c r="L961" s="72" t="str">
        <f>IFERROR(__xludf.DUMMYFUNCTION("""COMPUTED_VALUE"""),"ECM: Nga pala ung sa Lubang na dashboard pa note kasi pinagawa natin ung kanila 2.5k inabot
RBS: REPLACED PANEL BOARD")</f>
        <v>ECM: Nga pala ung sa Lubang na dashboard pa note kasi pinagawa natin ung kanila 2.5k inabot
RBS: REPLACED PANEL BOARD</v>
      </c>
      <c r="M961" s="2" t="str">
        <f>IFERROR(__xludf.DUMMYFUNCTION("""COMPUTED_VALUE"""),"METER PANEL / DASHBOARD")</f>
        <v>METER PANEL / DASHBOARD</v>
      </c>
      <c r="N961" s="2" t="str">
        <f>IFERROR(__xludf.DUMMYFUNCTION("""COMPUTED_VALUE"""),"PARTS:
METER PANEL")</f>
        <v>PARTS:
METER PANEL</v>
      </c>
      <c r="O961" s="2">
        <f>IFERROR(__xludf.DUMMYFUNCTION("""COMPUTED_VALUE"""),617.0)</f>
        <v>617</v>
      </c>
      <c r="P961" s="2"/>
      <c r="Q961" s="2" t="str">
        <f>IFERROR(__xludf.DUMMYFUNCTION("""COMPUTED_VALUE"""),"Y")</f>
        <v>Y</v>
      </c>
      <c r="R961" s="74">
        <f>IFERROR(__xludf.DUMMYFUNCTION("""COMPUTED_VALUE"""),46100.0)</f>
        <v>46100</v>
      </c>
      <c r="S961" s="2" t="str">
        <f>IFERROR(__xludf.DUMMYFUNCTION("""COMPUTED_VALUE"""),"RBS")</f>
        <v>RBS</v>
      </c>
      <c r="T961" s="73" t="str">
        <f>IFERROR(__xludf.DUMMYFUNCTION("""COMPUTED_VALUE""")," N/A ")</f>
        <v>N/A</v>
      </c>
      <c r="U961" s="73" t="str">
        <f>IFERROR(__xludf.DUMMYFUNCTION("""COMPUTED_VALUE""")," NO CHARGE ")</f>
        <v>NO CHARGE</v>
      </c>
      <c r="V961" s="2" t="str">
        <f>IFERROR(__xludf.DUMMYFUNCTION("""COMPUTED_VALUE"""),"NO DR")</f>
        <v>NO DR</v>
      </c>
      <c r="W961" s="2" t="str">
        <f>IFERROR(__xludf.DUMMYFUNCTION("""COMPUTED_VALUE"""),"N/A")</f>
        <v>N/A</v>
      </c>
      <c r="X961" s="2" t="str">
        <f>IFERROR(__xludf.DUMMYFUNCTION("""COMPUTED_VALUE"""),"N/A")</f>
        <v>N/A</v>
      </c>
      <c r="Y961" s="2"/>
      <c r="Z961" s="2"/>
      <c r="AA961" s="2"/>
      <c r="AB961" s="2"/>
      <c r="AC961" s="2"/>
      <c r="AD961" s="2"/>
      <c r="AE961" s="2"/>
      <c r="AF961" s="2"/>
      <c r="AG961" s="2"/>
      <c r="AH961" s="2"/>
      <c r="AI961" s="2"/>
      <c r="AJ961" s="2" t="str">
        <f>IFERROR(__xludf.DUMMYFUNCTION("""COMPUTED_VALUE"""),"Vigo")</f>
        <v>Vigo</v>
      </c>
      <c r="AK961" s="2" t="str">
        <f>IFERROR(__xludf.DUMMYFUNCTION("""COMPUTED_VALUE"""),"Lubang")</f>
        <v>Lubang</v>
      </c>
      <c r="AL961" s="2" t="str">
        <f>IFERROR(__xludf.DUMMYFUNCTION("""COMPUTED_VALUE"""),"Occidental Mindoro")</f>
        <v>Occidental Mindoro</v>
      </c>
      <c r="AM961" s="2" t="str">
        <f>IFERROR(__xludf.DUMMYFUNCTION("""COMPUTED_VALUE"""),"4B")</f>
        <v>4B</v>
      </c>
      <c r="AN961" s="2" t="str">
        <f>IFERROR(__xludf.DUMMYFUNCTION("""COMPUTED_VALUE"""),"RCEF 23-08-20 Rebidding")</f>
        <v>RCEF 23-08-20 Rebidding</v>
      </c>
      <c r="AO961" s="2">
        <f>IFERROR(__xludf.DUMMYFUNCTION("""COMPUTED_VALUE"""),1.0)</f>
        <v>1</v>
      </c>
      <c r="AP961" s="2"/>
      <c r="AQ961" s="2"/>
      <c r="AR961" s="2"/>
      <c r="AS961" s="2"/>
      <c r="AT961" s="2"/>
      <c r="AU961" s="2"/>
      <c r="AV961" s="2"/>
      <c r="AW961" s="2"/>
      <c r="AX961" s="2"/>
      <c r="AY961" s="2"/>
      <c r="AZ961" s="2"/>
      <c r="BA961" s="2"/>
      <c r="BB961" s="2"/>
    </row>
    <row r="962">
      <c r="A962" s="2">
        <f>IFERROR(__xludf.DUMMYFUNCTION("""COMPUTED_VALUE"""),958.0)</f>
        <v>958</v>
      </c>
      <c r="B962" s="2" t="str">
        <f>IFERROR(__xludf.DUMMYFUNCTION("""COMPUTED_VALUE"""),"COMPLETED")</f>
        <v>COMPLETED</v>
      </c>
      <c r="C962" s="74">
        <f>IFERROR(__xludf.DUMMYFUNCTION("""COMPUTED_VALUE"""),45798.0)</f>
        <v>45798</v>
      </c>
      <c r="D962" s="71" t="str">
        <f>IFERROR(__xludf.DUMMYFUNCTION("""COMPUTED_VALUE"""),"BRGY. VIGO-DANGAY FARMERS IRRIGATORS ASSOCIATION INC.")</f>
        <v>BRGY. VIGO-DANGAY FARMERS IRRIGATORS ASSOCIATION INC.</v>
      </c>
      <c r="E962" s="71" t="str">
        <f>IFERROR(__xludf.DUMMYFUNCTION("""COMPUTED_VALUE"""),"VIGO, LUBANG, OCCIDENTAL MINDORO")</f>
        <v>VIGO, LUBANG, OCCIDENTAL MINDORO</v>
      </c>
      <c r="F962" s="2" t="str">
        <f>IFERROR(__xludf.DUMMYFUNCTION("""COMPUTED_VALUE"""),"Abelardo P. De Lemos, Jr.")</f>
        <v>Abelardo P. De Lemos, Jr.</v>
      </c>
      <c r="G962" s="2" t="str">
        <f>IFERROR(__xludf.DUMMYFUNCTION("""COMPUTED_VALUE"""),"0999 423 2211")</f>
        <v>0999 423 2211</v>
      </c>
      <c r="H962" s="2"/>
      <c r="I962" s="72" t="str">
        <f>IFERROR(__xludf.DUMMYFUNCTION("""COMPUTED_VALUE"""),"PMS")</f>
        <v>PMS</v>
      </c>
      <c r="J962" s="72" t="str">
        <f>IFERROR(__xludf.DUMMYFUNCTION("""COMPUTED_VALUE"""),"PMS")</f>
        <v>PMS</v>
      </c>
      <c r="K962" s="72" t="str">
        <f>IFERROR(__xludf.DUMMYFUNCTION("""COMPUTED_VALUE"""),"RCG: 2ND PMS")</f>
        <v>RCG: 2ND PMS</v>
      </c>
      <c r="L962" s="72" t="str">
        <f>IFERROR(__xludf.DUMMYFUNCTION("""COMPUTED_VALUE"""),"RCG: DONE 2ND PMS")</f>
        <v>RCG: DONE 2ND PMS</v>
      </c>
      <c r="M962" s="2"/>
      <c r="N962" s="2" t="str">
        <f>IFERROR(__xludf.DUMMYFUNCTION("""COMPUTED_VALUE"""),"PARTS: OIL FILTER, HYDRAULIC FILTER, ENGINE OIL, HYDRAULIC FILTER")</f>
        <v>PARTS: OIL FILTER, HYDRAULIC FILTER, ENGINE OIL, HYDRAULIC FILTER</v>
      </c>
      <c r="O962" s="2">
        <f>IFERROR(__xludf.DUMMYFUNCTION("""COMPUTED_VALUE"""),154.0)</f>
        <v>154</v>
      </c>
      <c r="P962" s="2"/>
      <c r="Q962" s="2"/>
      <c r="R962" s="74">
        <f>IFERROR(__xludf.DUMMYFUNCTION("""COMPUTED_VALUE"""),45791.0)</f>
        <v>45791</v>
      </c>
      <c r="S962" s="2" t="str">
        <f>IFERROR(__xludf.DUMMYFUNCTION("""COMPUTED_VALUE"""),"RCG/RBS")</f>
        <v>RCG/RBS</v>
      </c>
      <c r="T962" s="73">
        <f>IFERROR(__xludf.DUMMYFUNCTION("""COMPUTED_VALUE"""),17994.75)</f>
        <v>17994.75</v>
      </c>
      <c r="U962" s="73" t="str">
        <f>IFERROR(__xludf.DUMMYFUNCTION("""COMPUTED_VALUE""")," REMITTED ")</f>
        <v>REMITTED</v>
      </c>
      <c r="V962" s="2"/>
      <c r="W962" s="2">
        <f>IFERROR(__xludf.DUMMYFUNCTION("""COMPUTED_VALUE"""),1403.0)</f>
        <v>1403</v>
      </c>
      <c r="X962" s="2">
        <f>IFERROR(__xludf.DUMMYFUNCTION("""COMPUTED_VALUE"""),1381.0)</f>
        <v>1381</v>
      </c>
      <c r="Y962" s="2"/>
      <c r="Z962" s="2"/>
      <c r="AA962" s="2"/>
      <c r="AB962" s="2"/>
      <c r="AC962" s="2"/>
      <c r="AD962" s="2"/>
      <c r="AE962" s="2"/>
      <c r="AF962" s="2"/>
      <c r="AG962" s="2"/>
      <c r="AH962" s="2"/>
      <c r="AI962" s="2"/>
      <c r="AJ962" s="2" t="str">
        <f>IFERROR(__xludf.DUMMYFUNCTION("""COMPUTED_VALUE"""),"Vigo")</f>
        <v>Vigo</v>
      </c>
      <c r="AK962" s="2" t="str">
        <f>IFERROR(__xludf.DUMMYFUNCTION("""COMPUTED_VALUE"""),"Lubang")</f>
        <v>Lubang</v>
      </c>
      <c r="AL962" s="2" t="str">
        <f>IFERROR(__xludf.DUMMYFUNCTION("""COMPUTED_VALUE"""),"Occidental Mindoro")</f>
        <v>Occidental Mindoro</v>
      </c>
      <c r="AM962" s="2" t="str">
        <f>IFERROR(__xludf.DUMMYFUNCTION("""COMPUTED_VALUE"""),"4B")</f>
        <v>4B</v>
      </c>
      <c r="AN962" s="2" t="str">
        <f>IFERROR(__xludf.DUMMYFUNCTION("""COMPUTED_VALUE"""),"RCEF 23-08-20 Rebidding")</f>
        <v>RCEF 23-08-20 Rebidding</v>
      </c>
      <c r="AO962" s="2">
        <f>IFERROR(__xludf.DUMMYFUNCTION("""COMPUTED_VALUE"""),1.0)</f>
        <v>1</v>
      </c>
      <c r="AP962" s="2"/>
      <c r="AQ962" s="2"/>
      <c r="AR962" s="2"/>
      <c r="AS962" s="2"/>
      <c r="AT962" s="2"/>
      <c r="AU962" s="2"/>
      <c r="AV962" s="2"/>
      <c r="AW962" s="2"/>
      <c r="AX962" s="2"/>
      <c r="AY962" s="2"/>
      <c r="AZ962" s="2"/>
      <c r="BA962" s="2"/>
      <c r="BB962" s="2"/>
    </row>
    <row r="963">
      <c r="A963" s="2">
        <f>IFERROR(__xludf.DUMMYFUNCTION("""COMPUTED_VALUE"""),959.0)</f>
        <v>959</v>
      </c>
      <c r="B963" s="2" t="str">
        <f>IFERROR(__xludf.DUMMYFUNCTION("""COMPUTED_VALUE"""),"COMPLETED")</f>
        <v>COMPLETED</v>
      </c>
      <c r="C963" s="74">
        <f>IFERROR(__xludf.DUMMYFUNCTION("""COMPUTED_VALUE"""),45798.0)</f>
        <v>45798</v>
      </c>
      <c r="D963" s="71" t="str">
        <f>IFERROR(__xludf.DUMMYFUNCTION("""COMPUTED_VALUE"""),"SAMAHAN NG MGA MAGSASAKA NG BARANGAY BAYANAN II")</f>
        <v>SAMAHAN NG MGA MAGSASAKA NG BARANGAY BAYANAN II</v>
      </c>
      <c r="E963" s="71" t="str">
        <f>IFERROR(__xludf.DUMMYFUNCTION("""COMPUTED_VALUE"""),"Bayanan II, Calapan City, Oriental Mindoro")</f>
        <v>Bayanan II, Calapan City, Oriental Mindoro</v>
      </c>
      <c r="F963" s="2" t="str">
        <f>IFERROR(__xludf.DUMMYFUNCTION("""COMPUTED_VALUE"""),"EDGAR BALMES")</f>
        <v>EDGAR BALMES</v>
      </c>
      <c r="G963" s="2" t="str">
        <f>IFERROR(__xludf.DUMMYFUNCTION("""COMPUTED_VALUE"""),"0936-9401-320")</f>
        <v>0936-9401-320</v>
      </c>
      <c r="H963" s="2"/>
      <c r="I963" s="72" t="str">
        <f>IFERROR(__xludf.DUMMYFUNCTION("""COMPUTED_VALUE"""),"REPAIR - TRACTOR")</f>
        <v>REPAIR - TRACTOR</v>
      </c>
      <c r="J963" s="72" t="str">
        <f>IFERROR(__xludf.DUMMYFUNCTION("""COMPUTED_VALUE"""),"PTO - Valve Assy")</f>
        <v>PTO - Valve Assy</v>
      </c>
      <c r="K963" s="72" t="str">
        <f>IFERROR(__xludf.DUMMYFUNCTION("""COMPUTED_VALUE"""),"TUMITIGIL ANG ROTAVATOR EVERY 2 HEC.")</f>
        <v>TUMITIGIL ANG ROTAVATOR EVERY 2 HEC.</v>
      </c>
      <c r="L963" s="72" t="str">
        <f>IFERROR(__xludf.DUMMYFUNCTION("""COMPUTED_VALUE"""),"RCG: NAG ADJUST NG PTO VALVE, ")</f>
        <v>RCG: NAG ADJUST NG PTO VALVE, </v>
      </c>
      <c r="M963" s="2"/>
      <c r="N963" s="2"/>
      <c r="O963" s="2">
        <f>IFERROR(__xludf.DUMMYFUNCTION("""COMPUTED_VALUE"""),156.0)</f>
        <v>156</v>
      </c>
      <c r="P963" s="2"/>
      <c r="Q963" s="2"/>
      <c r="R963" s="74">
        <f>IFERROR(__xludf.DUMMYFUNCTION("""COMPUTED_VALUE"""),45798.0)</f>
        <v>45798</v>
      </c>
      <c r="S963" s="2" t="str">
        <f>IFERROR(__xludf.DUMMYFUNCTION("""COMPUTED_VALUE"""),"RBS/RCG")</f>
        <v>RBS/RCG</v>
      </c>
      <c r="T963" s="73" t="str">
        <f>IFERROR(__xludf.DUMMYFUNCTION("""COMPUTED_VALUE""")," N/A ")</f>
        <v>N/A</v>
      </c>
      <c r="U963" s="73" t="str">
        <f>IFERROR(__xludf.DUMMYFUNCTION("""COMPUTED_VALUE""")," NO CHARGE ")</f>
        <v>NO CHARGE</v>
      </c>
      <c r="V963" s="2"/>
      <c r="W963" s="2" t="str">
        <f>IFERROR(__xludf.DUMMYFUNCTION("""COMPUTED_VALUE"""),"N/A")</f>
        <v>N/A</v>
      </c>
      <c r="X963" s="2" t="str">
        <f>IFERROR(__xludf.DUMMYFUNCTION("""COMPUTED_VALUE"""),"N/A")</f>
        <v>N/A</v>
      </c>
      <c r="Y963" s="2"/>
      <c r="Z963" s="2"/>
      <c r="AA963" s="2"/>
      <c r="AB963" s="2"/>
      <c r="AC963" s="2"/>
      <c r="AD963" s="2"/>
      <c r="AE963" s="2"/>
      <c r="AF963" s="2"/>
      <c r="AG963" s="2"/>
      <c r="AH963" s="2"/>
      <c r="AI963" s="2"/>
      <c r="AJ963" s="2" t="str">
        <f>IFERROR(__xludf.DUMMYFUNCTION("""COMPUTED_VALUE"""),"Bayanan Ii")</f>
        <v>Bayanan Ii</v>
      </c>
      <c r="AK963" s="2" t="str">
        <f>IFERROR(__xludf.DUMMYFUNCTION("""COMPUTED_VALUE"""),"Calapan City")</f>
        <v>Calapan City</v>
      </c>
      <c r="AL963" s="2" t="str">
        <f>IFERROR(__xludf.DUMMYFUNCTION("""COMPUTED_VALUE"""),"Oriental Mindoro")</f>
        <v>Oriental Mindoro</v>
      </c>
      <c r="AM963" s="2" t="str">
        <f>IFERROR(__xludf.DUMMYFUNCTION("""COMPUTED_VALUE"""),"4B")</f>
        <v>4B</v>
      </c>
      <c r="AN963" s="2" t="str">
        <f>IFERROR(__xludf.DUMMYFUNCTION("""COMPUTED_VALUE"""),"RCEF 23-08-20 Rebidding")</f>
        <v>RCEF 23-08-20 Rebidding</v>
      </c>
      <c r="AO963" s="2">
        <f>IFERROR(__xludf.DUMMYFUNCTION("""COMPUTED_VALUE"""),1.0)</f>
        <v>1</v>
      </c>
      <c r="AP963" s="2"/>
      <c r="AQ963" s="2"/>
      <c r="AR963" s="2"/>
      <c r="AS963" s="2"/>
      <c r="AT963" s="2"/>
      <c r="AU963" s="2"/>
      <c r="AV963" s="2"/>
      <c r="AW963" s="2"/>
      <c r="AX963" s="2"/>
      <c r="AY963" s="2"/>
      <c r="AZ963" s="2"/>
      <c r="BA963" s="2"/>
      <c r="BB963" s="2"/>
    </row>
    <row r="964">
      <c r="A964" s="2">
        <f>IFERROR(__xludf.DUMMYFUNCTION("""COMPUTED_VALUE"""),960.0)</f>
        <v>960</v>
      </c>
      <c r="B964" s="2" t="str">
        <f>IFERROR(__xludf.DUMMYFUNCTION("""COMPUTED_VALUE"""),"COMPLETED")</f>
        <v>COMPLETED</v>
      </c>
      <c r="C964" s="74">
        <f>IFERROR(__xludf.DUMMYFUNCTION("""COMPUTED_VALUE"""),45798.0)</f>
        <v>45798</v>
      </c>
      <c r="D964" s="71" t="str">
        <f>IFERROR(__xludf.DUMMYFUNCTION("""COMPUTED_VALUE"""),"A. BONIFACIO FARMERS ASSOCIATION")</f>
        <v>A. BONIFACIO FARMERS ASSOCIATION</v>
      </c>
      <c r="E964" s="71" t="str">
        <f>IFERROR(__xludf.DUMMYFUNCTION("""COMPUTED_VALUE"""),"A. Bonifacio, Gloria, Oriental Mindoro")</f>
        <v>A. Bonifacio, Gloria, Oriental Mindoro</v>
      </c>
      <c r="F964" s="2"/>
      <c r="G964" s="2"/>
      <c r="H964" s="2"/>
      <c r="I964" s="72" t="str">
        <f>IFERROR(__xludf.DUMMYFUNCTION("""COMPUTED_VALUE"""),"REPAIR - TRACTOR")</f>
        <v>REPAIR - TRACTOR</v>
      </c>
      <c r="J964" s="72" t="str">
        <f>IFERROR(__xludf.DUMMYFUNCTION("""COMPUTED_VALUE"""),"CHECK UP UNIT")</f>
        <v>CHECK UP UNIT</v>
      </c>
      <c r="K964" s="72" t="str">
        <f>IFERROR(__xludf.DUMMYFUNCTION("""COMPUTED_VALUE"""),"MAY LEAK ANG OPEN CLOSE NG LOCK NG ILALIM NG UPUAN, TAAS BABA NG ROTAVATOR.")</f>
        <v>MAY LEAK ANG OPEN CLOSE NG LOCK NG ILALIM NG UPUAN, TAAS BABA NG ROTAVATOR.</v>
      </c>
      <c r="L964" s="72" t="str">
        <f>IFERROR(__xludf.DUMMYFUNCTION("""COMPUTED_VALUE"""),"RCG: OK NA ANG UNIT, NAKA ENGAGE ANG LEVER NG STAPLE NG STOPER KAYA AYAW MAG TAAS BABA NG LIPTING ARM
RCG: ONE LEVER HAS ENGAGE, OPERATIONAL")</f>
        <v>RCG: OK NA ANG UNIT, NAKA ENGAGE ANG LEVER NG STAPLE NG STOPER KAYA AYAW MAG TAAS BABA NG LIPTING ARM
RCG: ONE LEVER HAS ENGAGE, OPERATIONAL</v>
      </c>
      <c r="M964" s="2"/>
      <c r="N964" s="2"/>
      <c r="O964" s="2">
        <f>IFERROR(__xludf.DUMMYFUNCTION("""COMPUTED_VALUE"""),158.0)</f>
        <v>158</v>
      </c>
      <c r="P964" s="2" t="str">
        <f>IFERROR(__xludf.DUMMYFUNCTION("""COMPUTED_VALUE"""),"158-A. BONIFACIO FARMERS ASSOCIATION.pdf")</f>
        <v>158-A. BONIFACIO FARMERS ASSOCIATION.pdf</v>
      </c>
      <c r="Q964" s="2"/>
      <c r="R964" s="74">
        <f>IFERROR(__xludf.DUMMYFUNCTION("""COMPUTED_VALUE"""),45798.0)</f>
        <v>45798</v>
      </c>
      <c r="S964" s="2" t="str">
        <f>IFERROR(__xludf.DUMMYFUNCTION("""COMPUTED_VALUE"""),"RBS/RCG")</f>
        <v>RBS/RCG</v>
      </c>
      <c r="T964" s="73" t="str">
        <f>IFERROR(__xludf.DUMMYFUNCTION("""COMPUTED_VALUE""")," N/A ")</f>
        <v>N/A</v>
      </c>
      <c r="U964" s="73" t="str">
        <f>IFERROR(__xludf.DUMMYFUNCTION("""COMPUTED_VALUE""")," NO CHARGE ")</f>
        <v>NO CHARGE</v>
      </c>
      <c r="V964" s="2"/>
      <c r="W964" s="2" t="str">
        <f>IFERROR(__xludf.DUMMYFUNCTION("""COMPUTED_VALUE"""),"N/A")</f>
        <v>N/A</v>
      </c>
      <c r="X964" s="2" t="str">
        <f>IFERROR(__xludf.DUMMYFUNCTION("""COMPUTED_VALUE"""),"N/A")</f>
        <v>N/A</v>
      </c>
      <c r="Y964" s="2"/>
      <c r="Z964" s="2"/>
      <c r="AA964" s="2"/>
      <c r="AB964" s="2"/>
      <c r="AC964" s="2"/>
      <c r="AD964" s="2"/>
      <c r="AE964" s="2"/>
      <c r="AF964" s="2"/>
      <c r="AG964" s="2"/>
      <c r="AH964" s="2"/>
      <c r="AI964" s="2"/>
      <c r="AJ964" s="2" t="str">
        <f>IFERROR(__xludf.DUMMYFUNCTION("""COMPUTED_VALUE"""),"A. Bonifacio")</f>
        <v>A. Bonifacio</v>
      </c>
      <c r="AK964" s="2" t="str">
        <f>IFERROR(__xludf.DUMMYFUNCTION("""COMPUTED_VALUE"""),"Gloria")</f>
        <v>Gloria</v>
      </c>
      <c r="AL964" s="2" t="str">
        <f>IFERROR(__xludf.DUMMYFUNCTION("""COMPUTED_VALUE"""),"Oriental Mindoro")</f>
        <v>Oriental Mindoro</v>
      </c>
      <c r="AM964" s="2" t="str">
        <f>IFERROR(__xludf.DUMMYFUNCTION("""COMPUTED_VALUE"""),"4B")</f>
        <v>4B</v>
      </c>
      <c r="AN964" s="2" t="str">
        <f>IFERROR(__xludf.DUMMYFUNCTION("""COMPUTED_VALUE"""),"RCEF 23-08-20 Rebidding")</f>
        <v>RCEF 23-08-20 Rebidding</v>
      </c>
      <c r="AO964" s="2">
        <f>IFERROR(__xludf.DUMMYFUNCTION("""COMPUTED_VALUE"""),1.0)</f>
        <v>1</v>
      </c>
      <c r="AP964" s="2"/>
      <c r="AQ964" s="2"/>
      <c r="AR964" s="2"/>
      <c r="AS964" s="2"/>
      <c r="AT964" s="2"/>
      <c r="AU964" s="2"/>
      <c r="AV964" s="2"/>
      <c r="AW964" s="2"/>
      <c r="AX964" s="2"/>
      <c r="AY964" s="2"/>
      <c r="AZ964" s="2"/>
      <c r="BA964" s="2"/>
      <c r="BB964" s="2"/>
    </row>
    <row r="965">
      <c r="A965" s="2">
        <f>IFERROR(__xludf.DUMMYFUNCTION("""COMPUTED_VALUE"""),961.0)</f>
        <v>961</v>
      </c>
      <c r="B965" s="2" t="str">
        <f>IFERROR(__xludf.DUMMYFUNCTION("""COMPUTED_VALUE"""),"COMPLETED")</f>
        <v>COMPLETED</v>
      </c>
      <c r="C965" s="74">
        <f>IFERROR(__xludf.DUMMYFUNCTION("""COMPUTED_VALUE"""),45798.0)</f>
        <v>45798</v>
      </c>
      <c r="D965" s="71" t="str">
        <f>IFERROR(__xludf.DUMMYFUNCTION("""COMPUTED_VALUE"""),"Provincial Local Government Unit of Nueva Ecija")</f>
        <v>Provincial Local Government Unit of Nueva Ecija</v>
      </c>
      <c r="E965" s="71" t="str">
        <f>IFERROR(__xludf.DUMMYFUNCTION("""COMPUTED_VALUE"""),"Singalat, Palayan City, NUEVA ECIJA")</f>
        <v>Singalat, Palayan City, NUEVA ECIJA</v>
      </c>
      <c r="F965" s="2"/>
      <c r="G965" s="2">
        <f>IFERROR(__xludf.DUMMYFUNCTION("""COMPUTED_VALUE"""),6.39977834835E11)</f>
        <v>639977834835</v>
      </c>
      <c r="H965" s="2"/>
      <c r="I965" s="72" t="str">
        <f>IFERROR(__xludf.DUMMYFUNCTION("""COMPUTED_VALUE"""),"REPAIR - TRACTOR")</f>
        <v>REPAIR - TRACTOR</v>
      </c>
      <c r="J965" s="72" t="str">
        <f>IFERROR(__xludf.DUMMYFUNCTION("""COMPUTED_VALUE"""),"CHECK UP UNIT")</f>
        <v>CHECK UP UNIT</v>
      </c>
      <c r="K965" s="72" t="str">
        <f>IFERROR(__xludf.DUMMYFUNCTION("""COMPUTED_VALUE"""),"JHP: front axle oil seal leaking and 2nd pms")</f>
        <v>JHP: front axle oil seal leaking and 2nd pms</v>
      </c>
      <c r="L965" s="72" t="str">
        <f>IFERROR(__xludf.DUMMYFUNCTION("""COMPUTED_VALUE"""),"JHP: NO LEAKING / CHECK-UP UNIT ")</f>
        <v>JHP: NO LEAKING / CHECK-UP UNIT </v>
      </c>
      <c r="M965" s="2"/>
      <c r="N965" s="2"/>
      <c r="O965" s="2" t="str">
        <f>IFERROR(__xludf.DUMMYFUNCTION("""COMPUTED_VALUE"""),"N/A")</f>
        <v>N/A</v>
      </c>
      <c r="P965" s="2"/>
      <c r="Q965" s="2"/>
      <c r="R965" s="74">
        <f>IFERROR(__xludf.DUMMYFUNCTION("""COMPUTED_VALUE"""),45800.0)</f>
        <v>45800</v>
      </c>
      <c r="S965" s="2" t="str">
        <f>IFERROR(__xludf.DUMMYFUNCTION("""COMPUTED_VALUE"""),"JHP/ACS")</f>
        <v>JHP/ACS</v>
      </c>
      <c r="T965" s="73" t="str">
        <f>IFERROR(__xludf.DUMMYFUNCTION("""COMPUTED_VALUE""")," N/A ")</f>
        <v>N/A</v>
      </c>
      <c r="U965" s="73" t="str">
        <f>IFERROR(__xludf.DUMMYFUNCTION("""COMPUTED_VALUE""")," NO CHARGE ")</f>
        <v>NO CHARGE</v>
      </c>
      <c r="V965" s="2"/>
      <c r="W965" s="2" t="str">
        <f>IFERROR(__xludf.DUMMYFUNCTION("""COMPUTED_VALUE"""),"N/A")</f>
        <v>N/A</v>
      </c>
      <c r="X965" s="2" t="str">
        <f>IFERROR(__xludf.DUMMYFUNCTION("""COMPUTED_VALUE"""),"N/A")</f>
        <v>N/A</v>
      </c>
      <c r="Y965" s="2"/>
      <c r="Z965" s="2"/>
      <c r="AA965" s="2"/>
      <c r="AB965" s="2"/>
      <c r="AC965" s="2"/>
      <c r="AD965" s="2"/>
      <c r="AE965" s="2"/>
      <c r="AF965" s="2"/>
      <c r="AG965" s="2"/>
      <c r="AH965" s="2"/>
      <c r="AI965" s="2"/>
      <c r="AJ965" s="2" t="str">
        <f>IFERROR(__xludf.DUMMYFUNCTION("""COMPUTED_VALUE"""),"Singalat")</f>
        <v>Singalat</v>
      </c>
      <c r="AK965" s="2" t="str">
        <f>IFERROR(__xludf.DUMMYFUNCTION("""COMPUTED_VALUE"""),"Palayan City")</f>
        <v>Palayan City</v>
      </c>
      <c r="AL965" s="2" t="str">
        <f>IFERROR(__xludf.DUMMYFUNCTION("""COMPUTED_VALUE"""),"Nueva Ecija")</f>
        <v>Nueva Ecija</v>
      </c>
      <c r="AM965" s="2">
        <f>IFERROR(__xludf.DUMMYFUNCTION("""COMPUTED_VALUE"""),3.0)</f>
        <v>3</v>
      </c>
      <c r="AN965" s="2" t="str">
        <f>IFERROR(__xludf.DUMMYFUNCTION("""COMPUTED_VALUE"""),"RCEF 23-09-21 Rebidding")</f>
        <v>RCEF 23-09-21 Rebidding</v>
      </c>
      <c r="AO965" s="2">
        <f>IFERROR(__xludf.DUMMYFUNCTION("""COMPUTED_VALUE"""),3.0)</f>
        <v>3</v>
      </c>
      <c r="AP965" s="2"/>
      <c r="AQ965" s="2"/>
      <c r="AR965" s="2"/>
      <c r="AS965" s="2"/>
      <c r="AT965" s="2"/>
      <c r="AU965" s="2"/>
      <c r="AV965" s="2"/>
      <c r="AW965" s="2"/>
      <c r="AX965" s="2"/>
      <c r="AY965" s="2"/>
      <c r="AZ965" s="2"/>
      <c r="BA965" s="2"/>
      <c r="BB965" s="2"/>
    </row>
    <row r="966">
      <c r="A966" s="2">
        <f>IFERROR(__xludf.DUMMYFUNCTION("""COMPUTED_VALUE"""),962.0)</f>
        <v>962</v>
      </c>
      <c r="B966" s="2" t="str">
        <f>IFERROR(__xludf.DUMMYFUNCTION("""COMPUTED_VALUE"""),"COMPLETED")</f>
        <v>COMPLETED</v>
      </c>
      <c r="C966" s="74">
        <f>IFERROR(__xludf.DUMMYFUNCTION("""COMPUTED_VALUE"""),45798.0)</f>
        <v>45798</v>
      </c>
      <c r="D966" s="71" t="str">
        <f>IFERROR(__xludf.DUMMYFUNCTION("""COMPUTED_VALUE"""),"CASMINALUN IRRIGATORS' ASSOCIATION, INC.")</f>
        <v>CASMINALUN IRRIGATORS' ASSOCIATION, INC.</v>
      </c>
      <c r="E966" s="71" t="str">
        <f>IFERROR(__xludf.DUMMYFUNCTION("""COMPUTED_VALUE"""),"Casile, Llanera, NUEVA ECIJA")</f>
        <v>Casile, Llanera, NUEVA ECIJA</v>
      </c>
      <c r="F966" s="2" t="str">
        <f>IFERROR(__xludf.DUMMYFUNCTION("""COMPUTED_VALUE"""),"LEONCIO VICTORIA")</f>
        <v>LEONCIO VICTORIA</v>
      </c>
      <c r="G966" s="2">
        <f>IFERROR(__xludf.DUMMYFUNCTION("""COMPUTED_VALUE"""),9.949002463E9)</f>
        <v>9949002463</v>
      </c>
      <c r="H966" s="2"/>
      <c r="I966" s="72" t="str">
        <f>IFERROR(__xludf.DUMMYFUNCTION("""COMPUTED_VALUE"""),"REPAIR - TRACTOR")</f>
        <v>REPAIR - TRACTOR</v>
      </c>
      <c r="J966" s="72" t="str">
        <f>IFERROR(__xludf.DUMMYFUNCTION("""COMPUTED_VALUE"""),"Transmission - Clutch")</f>
        <v>Transmission - Clutch</v>
      </c>
      <c r="K966" s="72" t="str">
        <f>IFERROR(__xludf.DUMMYFUNCTION("""COMPUTED_VALUE"""),"MYK: PRESSURE PLATE AT RELEASE BEARING ANG NASIRA
PARTS: CLUTCH COVER ASSY AND RELEASE BEARING")</f>
        <v>MYK: PRESSURE PLATE AT RELEASE BEARING ANG NASIRA
PARTS: CLUTCH COVER ASSY AND RELEASE BEARING</v>
      </c>
      <c r="L966" s="72" t="str">
        <f>IFERROR(__xludf.DUMMYFUNCTION("""COMPUTED_VALUE"""),"MYK: PINAGAWA NA NILA SA IBA, OK NA ANG UNIT NILA")</f>
        <v>MYK: PINAGAWA NA NILA SA IBA, OK NA ANG UNIT NILA</v>
      </c>
      <c r="M966" s="2"/>
      <c r="N966" s="2"/>
      <c r="O966" s="2" t="str">
        <f>IFERROR(__xludf.DUMMYFUNCTION("""COMPUTED_VALUE"""),"N/A")</f>
        <v>N/A</v>
      </c>
      <c r="P966" s="2"/>
      <c r="Q966" s="2"/>
      <c r="R966" s="74">
        <f>IFERROR(__xludf.DUMMYFUNCTION("""COMPUTED_VALUE"""),45975.0)</f>
        <v>45975</v>
      </c>
      <c r="S966" s="2" t="str">
        <f>IFERROR(__xludf.DUMMYFUNCTION("""COMPUTED_VALUE"""),"MYKEE")</f>
        <v>MYKEE</v>
      </c>
      <c r="T966" s="73" t="str">
        <f>IFERROR(__xludf.DUMMYFUNCTION("""COMPUTED_VALUE""")," N/A ")</f>
        <v>N/A</v>
      </c>
      <c r="U966" s="73" t="str">
        <f>IFERROR(__xludf.DUMMYFUNCTION("""COMPUTED_VALUE""")," NO CHARGE ")</f>
        <v>NO CHARGE</v>
      </c>
      <c r="V966" s="2"/>
      <c r="W966" s="2" t="str">
        <f>IFERROR(__xludf.DUMMYFUNCTION("""COMPUTED_VALUE"""),"N/A")</f>
        <v>N/A</v>
      </c>
      <c r="X966" s="2" t="str">
        <f>IFERROR(__xludf.DUMMYFUNCTION("""COMPUTED_VALUE"""),"N/A")</f>
        <v>N/A</v>
      </c>
      <c r="Y966" s="2"/>
      <c r="Z966" s="2"/>
      <c r="AA966" s="2"/>
      <c r="AB966" s="2"/>
      <c r="AC966" s="2"/>
      <c r="AD966" s="2"/>
      <c r="AE966" s="2"/>
      <c r="AF966" s="2"/>
      <c r="AG966" s="2"/>
      <c r="AH966" s="2"/>
      <c r="AI966" s="2"/>
      <c r="AJ966" s="2" t="str">
        <f>IFERROR(__xludf.DUMMYFUNCTION("""COMPUTED_VALUE"""),"Casile")</f>
        <v>Casile</v>
      </c>
      <c r="AK966" s="2" t="str">
        <f>IFERROR(__xludf.DUMMYFUNCTION("""COMPUTED_VALUE"""),"Llanera")</f>
        <v>Llanera</v>
      </c>
      <c r="AL966" s="2" t="str">
        <f>IFERROR(__xludf.DUMMYFUNCTION("""COMPUTED_VALUE"""),"Nueva Ecija")</f>
        <v>Nueva Ecija</v>
      </c>
      <c r="AM966" s="2">
        <f>IFERROR(__xludf.DUMMYFUNCTION("""COMPUTED_VALUE"""),3.0)</f>
        <v>3</v>
      </c>
      <c r="AN966" s="2" t="str">
        <f>IFERROR(__xludf.DUMMYFUNCTION("""COMPUTED_VALUE"""),"RCEF 23-09-21 Rebidding")</f>
        <v>RCEF 23-09-21 Rebidding</v>
      </c>
      <c r="AO966" s="2">
        <f>IFERROR(__xludf.DUMMYFUNCTION("""COMPUTED_VALUE"""),9.0)</f>
        <v>9</v>
      </c>
      <c r="AP966" s="2"/>
      <c r="AQ966" s="2"/>
      <c r="AR966" s="2"/>
      <c r="AS966" s="2"/>
      <c r="AT966" s="2"/>
      <c r="AU966" s="2"/>
      <c r="AV966" s="2"/>
      <c r="AW966" s="2"/>
      <c r="AX966" s="2"/>
      <c r="AY966" s="2"/>
      <c r="AZ966" s="2"/>
      <c r="BA966" s="2"/>
      <c r="BB966" s="2"/>
    </row>
    <row r="967">
      <c r="A967" s="2">
        <f>IFERROR(__xludf.DUMMYFUNCTION("""COMPUTED_VALUE"""),963.0)</f>
        <v>963</v>
      </c>
      <c r="B967" s="2" t="str">
        <f>IFERROR(__xludf.DUMMYFUNCTION("""COMPUTED_VALUE"""),"COMPLETED")</f>
        <v>COMPLETED</v>
      </c>
      <c r="C967" s="74">
        <f>IFERROR(__xludf.DUMMYFUNCTION("""COMPUTED_VALUE"""),45798.0)</f>
        <v>45798</v>
      </c>
      <c r="D967" s="71" t="str">
        <f>IFERROR(__xludf.DUMMYFUNCTION("""COMPUTED_VALUE"""),"SAMPAGUITA FARMERS WATER PUMP IRRIGATORS ASSOCIATION")</f>
        <v>SAMPAGUITA FARMERS WATER PUMP IRRIGATORS ASSOCIATION</v>
      </c>
      <c r="E967" s="71" t="str">
        <f>IFERROR(__xludf.DUMMYFUNCTION("""COMPUTED_VALUE"""),"Sampaguita, Solana, CAGAYAN")</f>
        <v>Sampaguita, Solana, CAGAYAN</v>
      </c>
      <c r="F967" s="2"/>
      <c r="G967" s="2">
        <f>IFERROR(__xludf.DUMMYFUNCTION("""COMPUTED_VALUE"""),9.266828634E9)</f>
        <v>9266828634</v>
      </c>
      <c r="H967" s="2">
        <f>IFERROR(__xludf.DUMMYFUNCTION("""COMPUTED_VALUE"""),91.0)</f>
        <v>91</v>
      </c>
      <c r="I967" s="72" t="str">
        <f>IFERROR(__xludf.DUMMYFUNCTION("""COMPUTED_VALUE"""),"PMS")</f>
        <v>PMS</v>
      </c>
      <c r="J967" s="72" t="str">
        <f>IFERROR(__xludf.DUMMYFUNCTION("""COMPUTED_VALUE"""),"PMS")</f>
        <v>PMS</v>
      </c>
      <c r="K967" s="72" t="str">
        <f>IFERROR(__xludf.DUMMYFUNCTION("""COMPUTED_VALUE"""),"CFG: 1ST PMS FREE")</f>
        <v>CFG: 1ST PMS FREE</v>
      </c>
      <c r="L967" s="72" t="str">
        <f>IFERROR(__xludf.DUMMYFUNCTION("""COMPUTED_VALUE"""),"CFG: 1ST PMS DONE")</f>
        <v>CFG: 1ST PMS DONE</v>
      </c>
      <c r="M967" s="2"/>
      <c r="N967" s="2" t="str">
        <f>IFERROR(__xludf.DUMMYFUNCTION("""COMPUTED_VALUE"""),"PARTS: OIL FILTER, ENGINE OIL")</f>
        <v>PARTS: OIL FILTER, ENGINE OIL</v>
      </c>
      <c r="O967" s="2">
        <f>IFERROR(__xludf.DUMMYFUNCTION("""COMPUTED_VALUE"""),1178.0)</f>
        <v>1178</v>
      </c>
      <c r="P967" s="2"/>
      <c r="Q967" s="2"/>
      <c r="R967" s="74">
        <f>IFERROR(__xludf.DUMMYFUNCTION("""COMPUTED_VALUE"""),45798.0)</f>
        <v>45798</v>
      </c>
      <c r="S967" s="2" t="str">
        <f>IFERROR(__xludf.DUMMYFUNCTION("""COMPUTED_VALUE"""),"CFG")</f>
        <v>CFG</v>
      </c>
      <c r="T967" s="73" t="str">
        <f>IFERROR(__xludf.DUMMYFUNCTION("""COMPUTED_VALUE""")," N/A ")</f>
        <v>N/A</v>
      </c>
      <c r="U967" s="73" t="str">
        <f>IFERROR(__xludf.DUMMYFUNCTION("""COMPUTED_VALUE""")," NO CHARGE ")</f>
        <v>NO CHARGE</v>
      </c>
      <c r="V967" s="2"/>
      <c r="W967" s="2" t="str">
        <f>IFERROR(__xludf.DUMMYFUNCTION("""COMPUTED_VALUE"""),"N/A")</f>
        <v>N/A</v>
      </c>
      <c r="X967" s="2" t="str">
        <f>IFERROR(__xludf.DUMMYFUNCTION("""COMPUTED_VALUE"""),"N/A")</f>
        <v>N/A</v>
      </c>
      <c r="Y967" s="2"/>
      <c r="Z967" s="2"/>
      <c r="AA967" s="2"/>
      <c r="AB967" s="2"/>
      <c r="AC967" s="2"/>
      <c r="AD967" s="2"/>
      <c r="AE967" s="2"/>
      <c r="AF967" s="2"/>
      <c r="AG967" s="2"/>
      <c r="AH967" s="2"/>
      <c r="AI967" s="2"/>
      <c r="AJ967" s="2" t="str">
        <f>IFERROR(__xludf.DUMMYFUNCTION("""COMPUTED_VALUE"""),"Sampaguita")</f>
        <v>Sampaguita</v>
      </c>
      <c r="AK967" s="2" t="str">
        <f>IFERROR(__xludf.DUMMYFUNCTION("""COMPUTED_VALUE"""),"Solana")</f>
        <v>Solana</v>
      </c>
      <c r="AL967" s="2" t="str">
        <f>IFERROR(__xludf.DUMMYFUNCTION("""COMPUTED_VALUE"""),"Cagayan")</f>
        <v>Cagayan</v>
      </c>
      <c r="AM967" s="2">
        <f>IFERROR(__xludf.DUMMYFUNCTION("""COMPUTED_VALUE"""),2.0)</f>
        <v>2</v>
      </c>
      <c r="AN967" s="2" t="str">
        <f>IFERROR(__xludf.DUMMYFUNCTION("""COMPUTED_VALUE"""),"RCEF 24-04-15")</f>
        <v>RCEF 24-04-15</v>
      </c>
      <c r="AO967" s="2">
        <f>IFERROR(__xludf.DUMMYFUNCTION("""COMPUTED_VALUE"""),6.0)</f>
        <v>6</v>
      </c>
      <c r="AP967" s="2" t="str">
        <f>IFERROR(__xludf.DUMMYFUNCTION("""COMPUTED_VALUE"""),"FREE PMS")</f>
        <v>FREE PMS</v>
      </c>
      <c r="AQ967" s="2"/>
      <c r="AR967" s="2"/>
      <c r="AS967" s="2"/>
      <c r="AT967" s="2"/>
      <c r="AU967" s="2"/>
      <c r="AV967" s="2"/>
      <c r="AW967" s="2"/>
      <c r="AX967" s="2"/>
      <c r="AY967" s="2"/>
      <c r="AZ967" s="2"/>
      <c r="BA967" s="2"/>
      <c r="BB967" s="2"/>
    </row>
    <row r="968">
      <c r="A968" s="2">
        <f>IFERROR(__xludf.DUMMYFUNCTION("""COMPUTED_VALUE"""),964.0)</f>
        <v>964</v>
      </c>
      <c r="B968" s="2" t="str">
        <f>IFERROR(__xludf.DUMMYFUNCTION("""COMPUTED_VALUE"""),"COMPLETED")</f>
        <v>COMPLETED</v>
      </c>
      <c r="C968" s="74">
        <f>IFERROR(__xludf.DUMMYFUNCTION("""COMPUTED_VALUE"""),45798.0)</f>
        <v>45798</v>
      </c>
      <c r="D968" s="71" t="str">
        <f>IFERROR(__xludf.DUMMYFUNCTION("""COMPUTED_VALUE"""),"UNITED IGBONGLO FARMERS ASSOCIATION (UNIFA), INC.")</f>
        <v>UNITED IGBONGLO FARMERS ASSOCIATION (UNIFA), INC.</v>
      </c>
      <c r="E968" s="71" t="str">
        <f>IFERROR(__xludf.DUMMYFUNCTION("""COMPUTED_VALUE"""),"Igbonglo, San Jose, ANTIQUE")</f>
        <v>Igbonglo, San Jose, ANTIQUE</v>
      </c>
      <c r="F968" s="2" t="str">
        <f>IFERROR(__xludf.DUMMYFUNCTION("""COMPUTED_VALUE"""),"RENE A. SIBA")</f>
        <v>RENE A. SIBA</v>
      </c>
      <c r="G968" s="2">
        <f>IFERROR(__xludf.DUMMYFUNCTION("""COMPUTED_VALUE"""),9.653946886E9)</f>
        <v>9653946886</v>
      </c>
      <c r="H968" s="2"/>
      <c r="I968" s="72" t="str">
        <f>IFERROR(__xludf.DUMMYFUNCTION("""COMPUTED_VALUE"""),"SPARE PARTS ACQUISITION")</f>
        <v>SPARE PARTS ACQUISITION</v>
      </c>
      <c r="J968" s="72" t="str">
        <f>IFERROR(__xludf.DUMMYFUNCTION("""COMPUTED_VALUE"""),"GEARBOX")</f>
        <v>GEARBOX</v>
      </c>
      <c r="K968" s="72" t="str">
        <f>IFERROR(__xludf.DUMMYFUNCTION("""COMPUTED_VALUE"""),"PHILMECH ARJOHN: 
BEVEL GEAR 24T
DRIVE SHAFT
TAPER ROLLLER BEARING #30309")</f>
        <v>PHILMECH ARJOHN: 
BEVEL GEAR 24T
DRIVE SHAFT
TAPER ROLLLER BEARING #30309</v>
      </c>
      <c r="L968" s="72" t="str">
        <f>IFERROR(__xludf.DUMMYFUNCTION("""COMPUTED_VALUE"""),"NAPAAYOS KO NA SA IBANG TECHNICIAN")</f>
        <v>NAPAAYOS KO NA SA IBANG TECHNICIAN</v>
      </c>
      <c r="M968" s="2"/>
      <c r="N968" s="2"/>
      <c r="O968" s="2" t="str">
        <f>IFERROR(__xludf.DUMMYFUNCTION("""COMPUTED_VALUE"""),"N/A")</f>
        <v>N/A</v>
      </c>
      <c r="P968" s="2"/>
      <c r="Q968" s="2"/>
      <c r="R968" s="74">
        <f>IFERROR(__xludf.DUMMYFUNCTION("""COMPUTED_VALUE"""),45831.0)</f>
        <v>45831</v>
      </c>
      <c r="S968" s="2" t="str">
        <f>IFERROR(__xludf.DUMMYFUNCTION("""COMPUTED_VALUE"""),"MYKEE")</f>
        <v>MYKEE</v>
      </c>
      <c r="T968" s="73" t="str">
        <f>IFERROR(__xludf.DUMMYFUNCTION("""COMPUTED_VALUE""")," N/A ")</f>
        <v>N/A</v>
      </c>
      <c r="U968" s="73" t="str">
        <f>IFERROR(__xludf.DUMMYFUNCTION("""COMPUTED_VALUE""")," NO CHARGE ")</f>
        <v>NO CHARGE</v>
      </c>
      <c r="V968" s="2"/>
      <c r="W968" s="2" t="str">
        <f>IFERROR(__xludf.DUMMYFUNCTION("""COMPUTED_VALUE"""),"N/A")</f>
        <v>N/A</v>
      </c>
      <c r="X968" s="2" t="str">
        <f>IFERROR(__xludf.DUMMYFUNCTION("""COMPUTED_VALUE"""),"N/A")</f>
        <v>N/A</v>
      </c>
      <c r="Y968" s="2"/>
      <c r="Z968" s="2"/>
      <c r="AA968" s="2"/>
      <c r="AB968" s="2"/>
      <c r="AC968" s="2"/>
      <c r="AD968" s="2"/>
      <c r="AE968" s="2"/>
      <c r="AF968" s="2"/>
      <c r="AG968" s="2"/>
      <c r="AH968" s="2"/>
      <c r="AI968" s="2"/>
      <c r="AJ968" s="2" t="str">
        <f>IFERROR(__xludf.DUMMYFUNCTION("""COMPUTED_VALUE"""),"Igbonglo")</f>
        <v>Igbonglo</v>
      </c>
      <c r="AK968" s="2" t="str">
        <f>IFERROR(__xludf.DUMMYFUNCTION("""COMPUTED_VALUE"""),"San Jose")</f>
        <v>San Jose</v>
      </c>
      <c r="AL968" s="2" t="str">
        <f>IFERROR(__xludf.DUMMYFUNCTION("""COMPUTED_VALUE"""),"Antique")</f>
        <v>Antique</v>
      </c>
      <c r="AM968" s="2">
        <f>IFERROR(__xludf.DUMMYFUNCTION("""COMPUTED_VALUE"""),6.0)</f>
        <v>6</v>
      </c>
      <c r="AN968" s="2" t="str">
        <f>IFERROR(__xludf.DUMMYFUNCTION("""COMPUTED_VALUE"""),"RCEF 23-09-21 Rebidding")</f>
        <v>RCEF 23-09-21 Rebidding</v>
      </c>
      <c r="AO968" s="2">
        <f>IFERROR(__xludf.DUMMYFUNCTION("""COMPUTED_VALUE"""),4.0)</f>
        <v>4</v>
      </c>
      <c r="AP968" s="2"/>
      <c r="AQ968" s="2"/>
      <c r="AR968" s="2"/>
      <c r="AS968" s="2"/>
      <c r="AT968" s="2"/>
      <c r="AU968" s="2"/>
      <c r="AV968" s="2"/>
      <c r="AW968" s="2"/>
      <c r="AX968" s="2"/>
      <c r="AY968" s="2"/>
      <c r="AZ968" s="2"/>
      <c r="BA968" s="2"/>
      <c r="BB968" s="2"/>
    </row>
    <row r="969">
      <c r="A969" s="2">
        <f>IFERROR(__xludf.DUMMYFUNCTION("""COMPUTED_VALUE"""),965.0)</f>
        <v>965</v>
      </c>
      <c r="B969" s="2" t="str">
        <f>IFERROR(__xludf.DUMMYFUNCTION("""COMPUTED_VALUE"""),"COMPLETED")</f>
        <v>COMPLETED</v>
      </c>
      <c r="C969" s="74">
        <f>IFERROR(__xludf.DUMMYFUNCTION("""COMPUTED_VALUE"""),45798.0)</f>
        <v>45798</v>
      </c>
      <c r="D969" s="71" t="str">
        <f>IFERROR(__xludf.DUMMYFUNCTION("""COMPUTED_VALUE"""),"Brgy. Bankal Farmers Association")</f>
        <v>Brgy. Bankal Farmers Association</v>
      </c>
      <c r="E969" s="71" t="str">
        <f>IFERROR(__xludf.DUMMYFUNCTION("""COMPUTED_VALUE"""),"Bankal, Lemery, ILOILO")</f>
        <v>Bankal, Lemery, ILOILO</v>
      </c>
      <c r="F969" s="2" t="str">
        <f>IFERROR(__xludf.DUMMYFUNCTION("""COMPUTED_VALUE"""),"JOVEN F. DELAMBOTIQUE / ENGR. PRIMITIVO PINUELA")</f>
        <v>JOVEN F. DELAMBOTIQUE / ENGR. PRIMITIVO PINUELA</v>
      </c>
      <c r="G969" s="2" t="str">
        <f>IFERROR(__xludf.DUMMYFUNCTION("""COMPUTED_VALUE"""),"#09510601955 #+639605164607 / 09613225409")</f>
        <v>#09510601955 #+639605164607 / 09613225409</v>
      </c>
      <c r="H969" s="2">
        <f>IFERROR(__xludf.DUMMYFUNCTION("""COMPUTED_VALUE"""),316.0)</f>
        <v>316</v>
      </c>
      <c r="I969" s="72" t="str">
        <f>IFERROR(__xludf.DUMMYFUNCTION("""COMPUTED_VALUE"""),"REPAIR - TRACTOR")</f>
        <v>REPAIR - TRACTOR</v>
      </c>
      <c r="J969" s="72" t="str">
        <f>IFERROR(__xludf.DUMMYFUNCTION("""COMPUTED_VALUE"""),"CHECK UP UNIT")</f>
        <v>CHECK UP UNIT</v>
      </c>
      <c r="K969" s="72" t="str">
        <f>IFERROR(__xludf.DUMMYFUNCTION("""COMPUTED_VALUE"""),"CFG: TO repair high gear transmission damage")</f>
        <v>CFG: TO repair high gear transmission damage</v>
      </c>
      <c r="L969" s="72" t="str">
        <f>IFERROR(__xludf.DUMMYFUNCTION("""COMPUTED_VALUE"""),"CANCELLED: FOR REPAIR SA IBA")</f>
        <v>CANCELLED: FOR REPAIR SA IBA</v>
      </c>
      <c r="M969" s="2"/>
      <c r="N969" s="2"/>
      <c r="O969" s="2" t="str">
        <f>IFERROR(__xludf.DUMMYFUNCTION("""COMPUTED_VALUE"""),"N/A")</f>
        <v>N/A</v>
      </c>
      <c r="P969" s="2"/>
      <c r="Q969" s="2"/>
      <c r="R969" s="74">
        <f>IFERROR(__xludf.DUMMYFUNCTION("""COMPUTED_VALUE"""),45930.0)</f>
        <v>45930</v>
      </c>
      <c r="S969" s="2" t="str">
        <f>IFERROR(__xludf.DUMMYFUNCTION("""COMPUTED_VALUE"""),"MYKEE")</f>
        <v>MYKEE</v>
      </c>
      <c r="T969" s="73" t="str">
        <f>IFERROR(__xludf.DUMMYFUNCTION("""COMPUTED_VALUE""")," N/A ")</f>
        <v>N/A</v>
      </c>
      <c r="U969" s="73" t="str">
        <f>IFERROR(__xludf.DUMMYFUNCTION("""COMPUTED_VALUE""")," NO CHARGE ")</f>
        <v>NO CHARGE</v>
      </c>
      <c r="V969" s="2"/>
      <c r="W969" s="2" t="str">
        <f>IFERROR(__xludf.DUMMYFUNCTION("""COMPUTED_VALUE"""),"N/A")</f>
        <v>N/A</v>
      </c>
      <c r="X969" s="2" t="str">
        <f>IFERROR(__xludf.DUMMYFUNCTION("""COMPUTED_VALUE"""),"N/A")</f>
        <v>N/A</v>
      </c>
      <c r="Y969" s="2"/>
      <c r="Z969" s="2"/>
      <c r="AA969" s="2"/>
      <c r="AB969" s="2"/>
      <c r="AC969" s="2"/>
      <c r="AD969" s="2"/>
      <c r="AE969" s="2"/>
      <c r="AF969" s="2"/>
      <c r="AG969" s="2"/>
      <c r="AH969" s="2"/>
      <c r="AI969" s="2"/>
      <c r="AJ969" s="2" t="str">
        <f>IFERROR(__xludf.DUMMYFUNCTION("""COMPUTED_VALUE"""),"Bankal")</f>
        <v>Bankal</v>
      </c>
      <c r="AK969" s="2" t="str">
        <f>IFERROR(__xludf.DUMMYFUNCTION("""COMPUTED_VALUE"""),"Lemery")</f>
        <v>Lemery</v>
      </c>
      <c r="AL969" s="2" t="str">
        <f>IFERROR(__xludf.DUMMYFUNCTION("""COMPUTED_VALUE"""),"Iloilo")</f>
        <v>Iloilo</v>
      </c>
      <c r="AM969" s="2">
        <f>IFERROR(__xludf.DUMMYFUNCTION("""COMPUTED_VALUE"""),6.0)</f>
        <v>6</v>
      </c>
      <c r="AN969" s="2" t="str">
        <f>IFERROR(__xludf.DUMMYFUNCTION("""COMPUTED_VALUE"""),"RCEF 23-09-21 Rebidding")</f>
        <v>RCEF 23-09-21 Rebidding</v>
      </c>
      <c r="AO969" s="2">
        <f>IFERROR(__xludf.DUMMYFUNCTION("""COMPUTED_VALUE"""),4.0)</f>
        <v>4</v>
      </c>
      <c r="AP969" s="2"/>
      <c r="AQ969" s="2"/>
      <c r="AR969" s="2"/>
      <c r="AS969" s="2"/>
      <c r="AT969" s="2"/>
      <c r="AU969" s="2"/>
      <c r="AV969" s="2"/>
      <c r="AW969" s="2"/>
      <c r="AX969" s="2"/>
      <c r="AY969" s="2"/>
      <c r="AZ969" s="2"/>
      <c r="BA969" s="2"/>
      <c r="BB969" s="2"/>
    </row>
    <row r="970">
      <c r="A970" s="2">
        <f>IFERROR(__xludf.DUMMYFUNCTION("""COMPUTED_VALUE"""),966.0)</f>
        <v>966</v>
      </c>
      <c r="B970" s="2" t="str">
        <f>IFERROR(__xludf.DUMMYFUNCTION("""COMPUTED_VALUE"""),"PENDING")</f>
        <v>PENDING</v>
      </c>
      <c r="C970" s="74">
        <f>IFERROR(__xludf.DUMMYFUNCTION("""COMPUTED_VALUE"""),45798.0)</f>
        <v>45798</v>
      </c>
      <c r="D970" s="71" t="str">
        <f>IFERROR(__xludf.DUMMYFUNCTION("""COMPUTED_VALUE"""),"MATALADTAD FARMERS IRRIGATORS ASSOCIATION INC.")</f>
        <v>MATALADTAD FARMERS IRRIGATORS ASSOCIATION INC.</v>
      </c>
      <c r="E970" s="71" t="str">
        <f>IFERROR(__xludf.DUMMYFUNCTION("""COMPUTED_VALUE"""),"Papaya, San Antonio, NUEVA ECIJA")</f>
        <v>Papaya, San Antonio, NUEVA ECIJA</v>
      </c>
      <c r="F970" s="2" t="str">
        <f>IFERROR(__xludf.DUMMYFUNCTION("""COMPUTED_VALUE"""),"Raymundo S. Sulit")</f>
        <v>Raymundo S. Sulit</v>
      </c>
      <c r="G970" s="2" t="str">
        <f>IFERROR(__xludf.DUMMYFUNCTION("""COMPUTED_VALUE"""),"0965-716-9673")</f>
        <v>0965-716-9673</v>
      </c>
      <c r="H970" s="2"/>
      <c r="I970" s="72" t="str">
        <f>IFERROR(__xludf.DUMMYFUNCTION("""COMPUTED_VALUE"""),"SPARE PARTS ACQUISITION")</f>
        <v>SPARE PARTS ACQUISITION</v>
      </c>
      <c r="J970" s="72" t="str">
        <f>IFERROR(__xludf.DUMMYFUNCTION("""COMPUTED_VALUE"""),"PARTS REQUEST")</f>
        <v>PARTS REQUEST</v>
      </c>
      <c r="K970" s="72" t="str">
        <f>IFERROR(__xludf.DUMMYFUNCTION("""COMPUTED_VALUE"""),"EGT: 3 PCS BUCKET TOOTH")</f>
        <v>EGT: 3 PCS BUCKET TOOTH</v>
      </c>
      <c r="L970" s="72" t="str">
        <f>IFERROR(__xludf.DUMMYFUNCTION("""COMPUTED_VALUE"""),"PARTS N/A")</f>
        <v>PARTS N/A</v>
      </c>
      <c r="M970" s="2" t="str">
        <f>IFERROR(__xludf.DUMMYFUNCTION("""COMPUTED_VALUE"""),"3 PCS BUCKET TOOTH")</f>
        <v>3 PCS BUCKET TOOTH</v>
      </c>
      <c r="N970" s="2"/>
      <c r="O970" s="2"/>
      <c r="P970" s="2"/>
      <c r="Q970" s="2"/>
      <c r="R970" s="2"/>
      <c r="S970" s="2"/>
      <c r="T970" s="2"/>
      <c r="U970" s="2"/>
      <c r="V970" s="2"/>
      <c r="W970" s="2"/>
      <c r="X970" s="2"/>
      <c r="Y970" s="2"/>
      <c r="Z970" s="2"/>
      <c r="AA970" s="2"/>
      <c r="AB970" s="2"/>
      <c r="AC970" s="2"/>
      <c r="AD970" s="2"/>
      <c r="AE970" s="2"/>
      <c r="AF970" s="2"/>
      <c r="AG970" s="2"/>
      <c r="AH970" s="2"/>
      <c r="AI970" s="2"/>
      <c r="AJ970" s="2" t="str">
        <f>IFERROR(__xludf.DUMMYFUNCTION("""COMPUTED_VALUE"""),"Papaya")</f>
        <v>Papaya</v>
      </c>
      <c r="AK970" s="2" t="str">
        <f>IFERROR(__xludf.DUMMYFUNCTION("""COMPUTED_VALUE"""),"San Antonio")</f>
        <v>San Antonio</v>
      </c>
      <c r="AL970" s="2" t="str">
        <f>IFERROR(__xludf.DUMMYFUNCTION("""COMPUTED_VALUE"""),"Nueva Ecija")</f>
        <v>Nueva Ecija</v>
      </c>
      <c r="AM970" s="2">
        <f>IFERROR(__xludf.DUMMYFUNCTION("""COMPUTED_VALUE"""),3.0)</f>
        <v>3</v>
      </c>
      <c r="AN970" s="2" t="str">
        <f>IFERROR(__xludf.DUMMYFUNCTION("""COMPUTED_VALUE"""),"RCEF 23-09-21 Rebidding")</f>
        <v>RCEF 23-09-21 Rebidding</v>
      </c>
      <c r="AO970" s="2">
        <f>IFERROR(__xludf.DUMMYFUNCTION("""COMPUTED_VALUE"""),3.0)</f>
        <v>3</v>
      </c>
      <c r="AP970" s="2"/>
      <c r="AQ970" s="2"/>
      <c r="AR970" s="2" t="str">
        <f>IFERROR(__xludf.DUMMYFUNCTION("""COMPUTED_VALUE"""),"3 PCS BUCKET TOOTH")</f>
        <v>3 PCS BUCKET TOOTH</v>
      </c>
      <c r="AS970" s="2"/>
      <c r="AT970" s="2"/>
      <c r="AU970" s="2"/>
      <c r="AV970" s="2"/>
      <c r="AW970" s="2"/>
      <c r="AX970" s="2"/>
      <c r="AY970" s="2"/>
      <c r="AZ970" s="2"/>
      <c r="BA970" s="2"/>
      <c r="BB970" s="2"/>
    </row>
    <row r="971">
      <c r="A971" s="2">
        <f>IFERROR(__xludf.DUMMYFUNCTION("""COMPUTED_VALUE"""),967.0)</f>
        <v>967</v>
      </c>
      <c r="B971" s="2" t="str">
        <f>IFERROR(__xludf.DUMMYFUNCTION("""COMPUTED_VALUE"""),"PENDING")</f>
        <v>PENDING</v>
      </c>
      <c r="C971" s="74">
        <f>IFERROR(__xludf.DUMMYFUNCTION("""COMPUTED_VALUE"""),45798.0)</f>
        <v>45798</v>
      </c>
      <c r="D971" s="71" t="str">
        <f>IFERROR(__xludf.DUMMYFUNCTION("""COMPUTED_VALUE"""),"SAN ISIDRO-CANDELARIA FARMERS ASSOCIATION")</f>
        <v>SAN ISIDRO-CANDELARIA FARMERS ASSOCIATION</v>
      </c>
      <c r="E971" s="71" t="str">
        <f>IFERROR(__xludf.DUMMYFUNCTION("""COMPUTED_VALUE"""),"San Isidro, Candelaria, Quezon")</f>
        <v>San Isidro, Candelaria, Quezon</v>
      </c>
      <c r="F971" s="2" t="str">
        <f>IFERROR(__xludf.DUMMYFUNCTION("""COMPUTED_VALUE"""),"KON. DANTE FLORANTE")</f>
        <v>KON. DANTE FLORANTE</v>
      </c>
      <c r="G971" s="2">
        <f>IFERROR(__xludf.DUMMYFUNCTION("""COMPUTED_VALUE"""),9.121276601E9)</f>
        <v>9121276601</v>
      </c>
      <c r="H971" s="2">
        <f>IFERROR(__xludf.DUMMYFUNCTION("""COMPUTED_VALUE"""),83.9)</f>
        <v>83.9</v>
      </c>
      <c r="I971" s="72" t="str">
        <f>IFERROR(__xludf.DUMMYFUNCTION("""COMPUTED_VALUE"""),"REPAIR - TRACTOR")</f>
        <v>REPAIR - TRACTOR</v>
      </c>
      <c r="J971" s="72" t="str">
        <f>IFERROR(__xludf.DUMMYFUNCTION("""COMPUTED_VALUE"""),"Transmission - Clutch")</f>
        <v>Transmission - Clutch</v>
      </c>
      <c r="K971" s="72" t="str">
        <f>IFERROR(__xludf.DUMMYFUNCTION("""COMPUTED_VALUE"""),"JTT: DAMGE CLUTCH LINING AND CLUTCH COVER
PARTS: CLUTCH DISC ASSY AND CLUTCH COVER ASSY")</f>
        <v>JTT: DAMGE CLUTCH LINING AND CLUTCH COVER
PARTS: CLUTCH DISC ASSY AND CLUTCH COVER ASSY</v>
      </c>
      <c r="L971" s="72" t="str">
        <f>IFERROR(__xludf.DUMMYFUNCTION("""COMPUTED_VALUE"""),"JIE: UNATTENDED- 11/5/25
JIE: UNATTENDED- 11/6/25")</f>
        <v>JIE: UNATTENDED- 11/5/25
JIE: UNATTENDED- 11/6/25</v>
      </c>
      <c r="M971" s="2" t="str">
        <f>IFERROR(__xludf.DUMMYFUNCTION("""COMPUTED_VALUE"""),"CLUTCH DISC ASSY
CLUTCH COVER ASSY")</f>
        <v>CLUTCH DISC ASSY
CLUTCH COVER ASSY</v>
      </c>
      <c r="N971" s="2"/>
      <c r="O971" s="2"/>
      <c r="P971" s="2"/>
      <c r="Q971" s="2"/>
      <c r="R971" s="2"/>
      <c r="S971" s="2"/>
      <c r="T971" s="2"/>
      <c r="U971" s="2"/>
      <c r="V971" s="2"/>
      <c r="W971" s="2"/>
      <c r="X971" s="2"/>
      <c r="Y971" s="2"/>
      <c r="Z971" s="2"/>
      <c r="AA971" s="2"/>
      <c r="AB971" s="2"/>
      <c r="AC971" s="2"/>
      <c r="AD971" s="2"/>
      <c r="AE971" s="2"/>
      <c r="AF971" s="2"/>
      <c r="AG971" s="2"/>
      <c r="AH971" s="2"/>
      <c r="AI971" s="2"/>
      <c r="AJ971" s="2" t="str">
        <f>IFERROR(__xludf.DUMMYFUNCTION("""COMPUTED_VALUE"""),"San Isidro")</f>
        <v>San Isidro</v>
      </c>
      <c r="AK971" s="2" t="str">
        <f>IFERROR(__xludf.DUMMYFUNCTION("""COMPUTED_VALUE"""),"Candelaria")</f>
        <v>Candelaria</v>
      </c>
      <c r="AL971" s="2" t="str">
        <f>IFERROR(__xludf.DUMMYFUNCTION("""COMPUTED_VALUE"""),"Quezon")</f>
        <v>Quezon</v>
      </c>
      <c r="AM971" s="2" t="str">
        <f>IFERROR(__xludf.DUMMYFUNCTION("""COMPUTED_VALUE"""),"4A")</f>
        <v>4A</v>
      </c>
      <c r="AN971" s="2" t="str">
        <f>IFERROR(__xludf.DUMMYFUNCTION("""COMPUTED_VALUE"""),"RCEF 23-08-20 Rebidding")</f>
        <v>RCEF 23-08-20 Rebidding</v>
      </c>
      <c r="AO971" s="2">
        <f>IFERROR(__xludf.DUMMYFUNCTION("""COMPUTED_VALUE"""),1.0)</f>
        <v>1</v>
      </c>
      <c r="AP971" s="2"/>
      <c r="AQ971" s="2"/>
      <c r="AR971" s="2" t="str">
        <f>IFERROR(__xludf.DUMMYFUNCTION("""COMPUTED_VALUE"""),"CLUTCH DISC ASSY
CLUTCH COVER ASSY")</f>
        <v>CLUTCH DISC ASSY
CLUTCH COVER ASSY</v>
      </c>
      <c r="AS971" s="2"/>
      <c r="AT971" s="2"/>
      <c r="AU971" s="2"/>
      <c r="AV971" s="2"/>
      <c r="AW971" s="2"/>
      <c r="AX971" s="2"/>
      <c r="AY971" s="2"/>
      <c r="AZ971" s="2"/>
      <c r="BA971" s="2"/>
      <c r="BB971" s="2"/>
    </row>
    <row r="972">
      <c r="A972" s="2">
        <f>IFERROR(__xludf.DUMMYFUNCTION("""COMPUTED_VALUE"""),968.0)</f>
        <v>968</v>
      </c>
      <c r="B972" s="2" t="str">
        <f>IFERROR(__xludf.DUMMYFUNCTION("""COMPUTED_VALUE"""),"COMPLETED")</f>
        <v>COMPLETED</v>
      </c>
      <c r="C972" s="74">
        <f>IFERROR(__xludf.DUMMYFUNCTION("""COMPUTED_VALUE"""),45799.0)</f>
        <v>45799</v>
      </c>
      <c r="D972" s="71" t="str">
        <f>IFERROR(__xludf.DUMMYFUNCTION("""COMPUTED_VALUE"""),"MALIGCONG FARMERS ASSOCIATION")</f>
        <v>MALIGCONG FARMERS ASSOCIATION</v>
      </c>
      <c r="E972" s="71" t="str">
        <f>IFERROR(__xludf.DUMMYFUNCTION("""COMPUTED_VALUE"""),"MALIGCONG, SALCEDO, ILOCOS SUR")</f>
        <v>MALIGCONG, SALCEDO, ILOCOS SUR</v>
      </c>
      <c r="F972" s="2" t="str">
        <f>IFERROR(__xludf.DUMMYFUNCTION("""COMPUTED_VALUE"""),"Jerry Ruiz")</f>
        <v>Jerry Ruiz</v>
      </c>
      <c r="G972" s="2" t="str">
        <f>IFERROR(__xludf.DUMMYFUNCTION("""COMPUTED_VALUE"""),"0920-648-2518")</f>
        <v>0920-648-2518</v>
      </c>
      <c r="H972" s="2"/>
      <c r="I972" s="72" t="str">
        <f>IFERROR(__xludf.DUMMYFUNCTION("""COMPUTED_VALUE"""),"SPARE PARTS ACQUISITION")</f>
        <v>SPARE PARTS ACQUISITION</v>
      </c>
      <c r="J972" s="72" t="str">
        <f>IFERROR(__xludf.DUMMYFUNCTION("""COMPUTED_VALUE"""),"PARTS REQUEST")</f>
        <v>PARTS REQUEST</v>
      </c>
      <c r="K972" s="72" t="str">
        <f>IFERROR(__xludf.DUMMYFUNCTION("""COMPUTED_VALUE"""),"PARTS: TURBO ACTUATOR/ TURBO CHARGER ASSY")</f>
        <v>PARTS: TURBO ACTUATOR/ TURBO CHARGER ASSY</v>
      </c>
      <c r="L972" s="72" t="str">
        <f>IFERROR(__xludf.DUMMYFUNCTION("""COMPUTED_VALUE"""),"JHP: CLOSED: REPAIRED BY FARMER")</f>
        <v>JHP: CLOSED: REPAIRED BY FARMER</v>
      </c>
      <c r="M972" s="2"/>
      <c r="N972" s="2"/>
      <c r="O972" s="2" t="str">
        <f>IFERROR(__xludf.DUMMYFUNCTION("""COMPUTED_VALUE"""),"N/A")</f>
        <v>N/A</v>
      </c>
      <c r="P972" s="2"/>
      <c r="Q972" s="2"/>
      <c r="R972" s="74">
        <f>IFERROR(__xludf.DUMMYFUNCTION("""COMPUTED_VALUE"""),45950.0)</f>
        <v>45950</v>
      </c>
      <c r="S972" s="2" t="str">
        <f>IFERROR(__xludf.DUMMYFUNCTION("""COMPUTED_VALUE"""),"JHP")</f>
        <v>JHP</v>
      </c>
      <c r="T972" s="73" t="str">
        <f>IFERROR(__xludf.DUMMYFUNCTION("""COMPUTED_VALUE""")," N/A ")</f>
        <v>N/A</v>
      </c>
      <c r="U972" s="73" t="str">
        <f>IFERROR(__xludf.DUMMYFUNCTION("""COMPUTED_VALUE""")," NO CHARGE ")</f>
        <v>NO CHARGE</v>
      </c>
      <c r="V972" s="2"/>
      <c r="W972" s="2" t="str">
        <f>IFERROR(__xludf.DUMMYFUNCTION("""COMPUTED_VALUE"""),"N/A")</f>
        <v>N/A</v>
      </c>
      <c r="X972" s="2" t="str">
        <f>IFERROR(__xludf.DUMMYFUNCTION("""COMPUTED_VALUE"""),"N/A")</f>
        <v>N/A</v>
      </c>
      <c r="Y972" s="2"/>
      <c r="Z972" s="2"/>
      <c r="AA972" s="2"/>
      <c r="AB972" s="2"/>
      <c r="AC972" s="2"/>
      <c r="AD972" s="2"/>
      <c r="AE972" s="2"/>
      <c r="AF972" s="2"/>
      <c r="AG972" s="2"/>
      <c r="AH972" s="2"/>
      <c r="AI972" s="2"/>
      <c r="AJ972" s="2" t="str">
        <f>IFERROR(__xludf.DUMMYFUNCTION("""COMPUTED_VALUE"""),"Maligcong")</f>
        <v>Maligcong</v>
      </c>
      <c r="AK972" s="2" t="str">
        <f>IFERROR(__xludf.DUMMYFUNCTION("""COMPUTED_VALUE"""),"Salcedo")</f>
        <v>Salcedo</v>
      </c>
      <c r="AL972" s="2" t="str">
        <f>IFERROR(__xludf.DUMMYFUNCTION("""COMPUTED_VALUE"""),"Ilocos Sur")</f>
        <v>Ilocos Sur</v>
      </c>
      <c r="AM972" s="2">
        <f>IFERROR(__xludf.DUMMYFUNCTION("""COMPUTED_VALUE"""),1.0)</f>
        <v>1</v>
      </c>
      <c r="AN972" s="2" t="str">
        <f>IFERROR(__xludf.DUMMYFUNCTION("""COMPUTED_VALUE"""),"RCEF 23-09-21 Rebidding")</f>
        <v>RCEF 23-09-21 Rebidding</v>
      </c>
      <c r="AO972" s="2">
        <f>IFERROR(__xludf.DUMMYFUNCTION("""COMPUTED_VALUE"""),2.0)</f>
        <v>2</v>
      </c>
      <c r="AP972" s="2"/>
      <c r="AQ972" s="2"/>
      <c r="AR972" s="2"/>
      <c r="AS972" s="2"/>
      <c r="AT972" s="2"/>
      <c r="AU972" s="2"/>
      <c r="AV972" s="2"/>
      <c r="AW972" s="2"/>
      <c r="AX972" s="2"/>
      <c r="AY972" s="2"/>
      <c r="AZ972" s="2"/>
      <c r="BA972" s="2"/>
      <c r="BB972" s="2"/>
    </row>
    <row r="973">
      <c r="A973" s="2">
        <f>IFERROR(__xludf.DUMMYFUNCTION("""COMPUTED_VALUE"""),969.0)</f>
        <v>969</v>
      </c>
      <c r="B973" s="2" t="str">
        <f>IFERROR(__xludf.DUMMYFUNCTION("""COMPUTED_VALUE"""),"COMPLETED")</f>
        <v>COMPLETED</v>
      </c>
      <c r="C973" s="74">
        <f>IFERROR(__xludf.DUMMYFUNCTION("""COMPUTED_VALUE"""),45799.0)</f>
        <v>45799</v>
      </c>
      <c r="D973" s="71" t="str">
        <f>IFERROR(__xludf.DUMMYFUNCTION("""COMPUTED_VALUE"""),"BARANGAY MALIBAGO POLA IRRIGATORS' ASSOCIATION INC.")</f>
        <v>BARANGAY MALIBAGO POLA IRRIGATORS' ASSOCIATION INC.</v>
      </c>
      <c r="E973" s="71" t="str">
        <f>IFERROR(__xludf.DUMMYFUNCTION("""COMPUTED_VALUE"""),"Malibago, Pola, ORIENTAL MINDORO")</f>
        <v>Malibago, Pola, ORIENTAL MINDORO</v>
      </c>
      <c r="F973" s="2" t="str">
        <f>IFERROR(__xludf.DUMMYFUNCTION("""COMPUTED_VALUE"""),"Romeo P. Loberiano")</f>
        <v>Romeo P. Loberiano</v>
      </c>
      <c r="G973" s="2">
        <f>IFERROR(__xludf.DUMMYFUNCTION("""COMPUTED_VALUE"""),9.755296513E9)</f>
        <v>9755296513</v>
      </c>
      <c r="H973" s="2"/>
      <c r="I973" s="72" t="str">
        <f>IFERROR(__xludf.DUMMYFUNCTION("""COMPUTED_VALUE"""),"REPAIR - ROTAVATOR")</f>
        <v>REPAIR - ROTAVATOR</v>
      </c>
      <c r="J973" s="72" t="str">
        <f>IFERROR(__xludf.DUMMYFUNCTION("""COMPUTED_VALUE"""),"Training")</f>
        <v>Training</v>
      </c>
      <c r="K973" s="72" t="str">
        <f>IFERROR(__xludf.DUMMYFUNCTION("""COMPUTED_VALUE"""),"DELIVERED ONLY THIS YEAR: AYAW BUMABA ANG ROTAVATOR, GINAMIT LANG KANINANG UMAGA NGAYUN AY HINDI NA GUMANA, ")</f>
        <v>DELIVERED ONLY THIS YEAR: AYAW BUMABA ANG ROTAVATOR, GINAMIT LANG KANINANG UMAGA NGAYUN AY HINDI NA GUMANA, </v>
      </c>
      <c r="L973" s="72" t="str">
        <f>IFERROR(__xludf.DUMMYFUNCTION("""COMPUTED_VALUE"""),"RCG: ASSISTING VIA CALL, OK NA ANG UNIT, NATAWAGAN ANG OPEARTOR")</f>
        <v>RCG: ASSISTING VIA CALL, OK NA ANG UNIT, NATAWAGAN ANG OPEARTOR</v>
      </c>
      <c r="M973" s="2"/>
      <c r="N973" s="2"/>
      <c r="O973" s="2" t="str">
        <f>IFERROR(__xludf.DUMMYFUNCTION("""COMPUTED_VALUE"""),"N/A")</f>
        <v>N/A</v>
      </c>
      <c r="P973" s="2"/>
      <c r="Q973" s="2"/>
      <c r="R973" s="74">
        <f>IFERROR(__xludf.DUMMYFUNCTION("""COMPUTED_VALUE"""),45800.0)</f>
        <v>45800</v>
      </c>
      <c r="S973" s="2" t="str">
        <f>IFERROR(__xludf.DUMMYFUNCTION("""COMPUTED_VALUE"""),"RCG")</f>
        <v>RCG</v>
      </c>
      <c r="T973" s="73" t="str">
        <f>IFERROR(__xludf.DUMMYFUNCTION("""COMPUTED_VALUE""")," N/A ")</f>
        <v>N/A</v>
      </c>
      <c r="U973" s="73" t="str">
        <f>IFERROR(__xludf.DUMMYFUNCTION("""COMPUTED_VALUE""")," NO CHARGE ")</f>
        <v>NO CHARGE</v>
      </c>
      <c r="V973" s="2"/>
      <c r="W973" s="2" t="str">
        <f>IFERROR(__xludf.DUMMYFUNCTION("""COMPUTED_VALUE"""),"N/A")</f>
        <v>N/A</v>
      </c>
      <c r="X973" s="2" t="str">
        <f>IFERROR(__xludf.DUMMYFUNCTION("""COMPUTED_VALUE"""),"N/A")</f>
        <v>N/A</v>
      </c>
      <c r="Y973" s="2"/>
      <c r="Z973" s="2"/>
      <c r="AA973" s="2"/>
      <c r="AB973" s="2"/>
      <c r="AC973" s="2"/>
      <c r="AD973" s="2"/>
      <c r="AE973" s="2"/>
      <c r="AF973" s="2"/>
      <c r="AG973" s="2"/>
      <c r="AH973" s="2"/>
      <c r="AI973" s="2"/>
      <c r="AJ973" s="2" t="str">
        <f>IFERROR(__xludf.DUMMYFUNCTION("""COMPUTED_VALUE"""),"Malibago")</f>
        <v>Malibago</v>
      </c>
      <c r="AK973" s="2" t="str">
        <f>IFERROR(__xludf.DUMMYFUNCTION("""COMPUTED_VALUE"""),"Pola")</f>
        <v>Pola</v>
      </c>
      <c r="AL973" s="2" t="str">
        <f>IFERROR(__xludf.DUMMYFUNCTION("""COMPUTED_VALUE"""),"Oriental Mindoro")</f>
        <v>Oriental Mindoro</v>
      </c>
      <c r="AM973" s="2" t="str">
        <f>IFERROR(__xludf.DUMMYFUNCTION("""COMPUTED_VALUE"""),"4B")</f>
        <v>4B</v>
      </c>
      <c r="AN973" s="2" t="str">
        <f>IFERROR(__xludf.DUMMYFUNCTION("""COMPUTED_VALUE"""),"RCEF 24-04-15")</f>
        <v>RCEF 24-04-15</v>
      </c>
      <c r="AO973" s="2">
        <f>IFERROR(__xludf.DUMMYFUNCTION("""COMPUTED_VALUE"""),7.0)</f>
        <v>7</v>
      </c>
      <c r="AP973" s="2" t="str">
        <f>IFERROR(__xludf.DUMMYFUNCTION("""COMPUTED_VALUE"""),"FREE PMS")</f>
        <v>FREE PMS</v>
      </c>
      <c r="AQ973" s="2"/>
      <c r="AR973" s="2"/>
      <c r="AS973" s="2"/>
      <c r="AT973" s="2"/>
      <c r="AU973" s="2"/>
      <c r="AV973" s="2"/>
      <c r="AW973" s="2"/>
      <c r="AX973" s="2"/>
      <c r="AY973" s="2"/>
      <c r="AZ973" s="2"/>
      <c r="BA973" s="2"/>
      <c r="BB973" s="2"/>
    </row>
    <row r="974">
      <c r="A974" s="2">
        <f>IFERROR(__xludf.DUMMYFUNCTION("""COMPUTED_VALUE"""),970.0)</f>
        <v>970</v>
      </c>
      <c r="B974" s="2" t="str">
        <f>IFERROR(__xludf.DUMMYFUNCTION("""COMPUTED_VALUE"""),"COMPLETED")</f>
        <v>COMPLETED</v>
      </c>
      <c r="C974" s="74">
        <f>IFERROR(__xludf.DUMMYFUNCTION("""COMPUTED_VALUE"""),45800.0)</f>
        <v>45800</v>
      </c>
      <c r="D974" s="71" t="str">
        <f>IFERROR(__xludf.DUMMYFUNCTION("""COMPUTED_VALUE"""),"BANGYAS-SANTOL IRRIGATORS' ASSOCIATION, INC.")</f>
        <v>BANGYAS-SANTOL IRRIGATORS' ASSOCIATION, INC.</v>
      </c>
      <c r="E974" s="71" t="str">
        <f>IFERROR(__xludf.DUMMYFUNCTION("""COMPUTED_VALUE"""),"Bangyas, Calauan, LAGUNA")</f>
        <v>Bangyas, Calauan, LAGUNA</v>
      </c>
      <c r="F974" s="2" t="str">
        <f>IFERROR(__xludf.DUMMYFUNCTION("""COMPUTED_VALUE"""),"EDWARDO VALENDIA")</f>
        <v>EDWARDO VALENDIA</v>
      </c>
      <c r="G974" s="2" t="str">
        <f>IFERROR(__xludf.DUMMYFUNCTION("""COMPUTED_VALUE"""),"09068971037 / 09811195972")</f>
        <v>09068971037 / 09811195972</v>
      </c>
      <c r="H974" s="2">
        <f>IFERROR(__xludf.DUMMYFUNCTION("""COMPUTED_VALUE"""),23.0)</f>
        <v>23</v>
      </c>
      <c r="I974" s="72" t="str">
        <f>IFERROR(__xludf.DUMMYFUNCTION("""COMPUTED_VALUE"""),"REPAIR - TRACTOR")</f>
        <v>REPAIR - TRACTOR</v>
      </c>
      <c r="J974" s="72" t="str">
        <f>IFERROR(__xludf.DUMMYFUNCTION("""COMPUTED_VALUE"""),"RADIATOR")</f>
        <v>RADIATOR</v>
      </c>
      <c r="K974" s="72" t="str">
        <f>IFERROR(__xludf.DUMMYFUNCTION("""COMPUTED_VALUE"""),"JIE: RADIATOR LEAK")</f>
        <v>JIE: RADIATOR LEAK</v>
      </c>
      <c r="L974" s="72" t="str">
        <f>IFERROR(__xludf.DUMMYFUNCTION("""COMPUTED_VALUE"""),"JTT: REPLACEMENT OF RADIATOR ASSY")</f>
        <v>JTT: REPLACEMENT OF RADIATOR ASSY</v>
      </c>
      <c r="M974" s="2"/>
      <c r="N974" s="2" t="str">
        <f>IFERROR(__xludf.DUMMYFUNCTION("""COMPUTED_VALUE"""),"PARTS: RADIATOR ASSY")</f>
        <v>PARTS: RADIATOR ASSY</v>
      </c>
      <c r="O974" s="2">
        <f>IFERROR(__xludf.DUMMYFUNCTION("""COMPUTED_VALUE"""),27.0)</f>
        <v>27</v>
      </c>
      <c r="P974" s="2"/>
      <c r="Q974" s="2"/>
      <c r="R974" s="74">
        <f>IFERROR(__xludf.DUMMYFUNCTION("""COMPUTED_VALUE"""),45810.0)</f>
        <v>45810</v>
      </c>
      <c r="S974" s="2" t="str">
        <f>IFERROR(__xludf.DUMMYFUNCTION("""COMPUTED_VALUE"""),"JTT/JAH/FSJ")</f>
        <v>JTT/JAH/FSJ</v>
      </c>
      <c r="T974" s="73" t="str">
        <f>IFERROR(__xludf.DUMMYFUNCTION("""COMPUTED_VALUE""")," N/A ")</f>
        <v>N/A</v>
      </c>
      <c r="U974" s="73" t="str">
        <f>IFERROR(__xludf.DUMMYFUNCTION("""COMPUTED_VALUE""")," NO CHARGE ")</f>
        <v>NO CHARGE</v>
      </c>
      <c r="V974" s="2"/>
      <c r="W974" s="2" t="str">
        <f>IFERROR(__xludf.DUMMYFUNCTION("""COMPUTED_VALUE"""),"N/A")</f>
        <v>N/A</v>
      </c>
      <c r="X974" s="2" t="str">
        <f>IFERROR(__xludf.DUMMYFUNCTION("""COMPUTED_VALUE"""),"N/A")</f>
        <v>N/A</v>
      </c>
      <c r="Y974" s="2"/>
      <c r="Z974" s="2"/>
      <c r="AA974" s="2"/>
      <c r="AB974" s="2"/>
      <c r="AC974" s="2"/>
      <c r="AD974" s="2"/>
      <c r="AE974" s="2"/>
      <c r="AF974" s="2"/>
      <c r="AG974" s="2"/>
      <c r="AH974" s="2"/>
      <c r="AI974" s="2"/>
      <c r="AJ974" s="2" t="str">
        <f>IFERROR(__xludf.DUMMYFUNCTION("""COMPUTED_VALUE"""),"Bangyas")</f>
        <v>Bangyas</v>
      </c>
      <c r="AK974" s="2" t="str">
        <f>IFERROR(__xludf.DUMMYFUNCTION("""COMPUTED_VALUE"""),"Calauan")</f>
        <v>Calauan</v>
      </c>
      <c r="AL974" s="2" t="str">
        <f>IFERROR(__xludf.DUMMYFUNCTION("""COMPUTED_VALUE"""),"Laguna")</f>
        <v>Laguna</v>
      </c>
      <c r="AM974" s="2" t="str">
        <f>IFERROR(__xludf.DUMMYFUNCTION("""COMPUTED_VALUE"""),"4A")</f>
        <v>4A</v>
      </c>
      <c r="AN974" s="2" t="str">
        <f>IFERROR(__xludf.DUMMYFUNCTION("""COMPUTED_VALUE"""),"RCEF 24-04-15")</f>
        <v>RCEF 24-04-15</v>
      </c>
      <c r="AO974" s="2">
        <f>IFERROR(__xludf.DUMMYFUNCTION("""COMPUTED_VALUE"""),7.0)</f>
        <v>7</v>
      </c>
      <c r="AP974" s="2" t="str">
        <f>IFERROR(__xludf.DUMMYFUNCTION("""COMPUTED_VALUE"""),"FREE PMS")</f>
        <v>FREE PMS</v>
      </c>
      <c r="AQ974" s="2"/>
      <c r="AR974" s="2"/>
      <c r="AS974" s="2"/>
      <c r="AT974" s="2"/>
      <c r="AU974" s="2"/>
      <c r="AV974" s="2"/>
      <c r="AW974" s="2"/>
      <c r="AX974" s="2"/>
      <c r="AY974" s="2"/>
      <c r="AZ974" s="2"/>
      <c r="BA974" s="2"/>
      <c r="BB974" s="2"/>
    </row>
    <row r="975">
      <c r="A975" s="2">
        <f>IFERROR(__xludf.DUMMYFUNCTION("""COMPUTED_VALUE"""),971.0)</f>
        <v>971</v>
      </c>
      <c r="B975" s="2" t="str">
        <f>IFERROR(__xludf.DUMMYFUNCTION("""COMPUTED_VALUE"""),"COMPLETED")</f>
        <v>COMPLETED</v>
      </c>
      <c r="C975" s="74">
        <f>IFERROR(__xludf.DUMMYFUNCTION("""COMPUTED_VALUE"""),45800.0)</f>
        <v>45800</v>
      </c>
      <c r="D975" s="71" t="str">
        <f>IFERROR(__xludf.DUMMYFUNCTION("""COMPUTED_VALUE"""),"Sabit Agricultural Cooperative (SACO)")</f>
        <v>Sabit Agricultural Cooperative (SACO)</v>
      </c>
      <c r="E975" s="71" t="str">
        <f>IFERROR(__xludf.DUMMYFUNCTION("""COMPUTED_VALUE"""),", Cuyapo, NUEVA ECIJA")</f>
        <v>, Cuyapo, NUEVA ECIJA</v>
      </c>
      <c r="F975" s="2" t="str">
        <f>IFERROR(__xludf.DUMMYFUNCTION("""COMPUTED_VALUE"""),"Roderick F. Naval")</f>
        <v>Roderick F. Naval</v>
      </c>
      <c r="G975" s="2">
        <f>IFERROR(__xludf.DUMMYFUNCTION("""COMPUTED_VALUE"""),9.302117696E9)</f>
        <v>9302117696</v>
      </c>
      <c r="H975" s="2">
        <f>IFERROR(__xludf.DUMMYFUNCTION("""COMPUTED_VALUE"""),410.0)</f>
        <v>410</v>
      </c>
      <c r="I975" s="72" t="str">
        <f>IFERROR(__xludf.DUMMYFUNCTION("""COMPUTED_VALUE"""),"REPAIR - TRACTOR")</f>
        <v>REPAIR - TRACTOR</v>
      </c>
      <c r="J975" s="72" t="str">
        <f>IFERROR(__xludf.DUMMYFUNCTION("""COMPUTED_VALUE"""),"Transmission - Clutch")</f>
        <v>Transmission - Clutch</v>
      </c>
      <c r="K975" s="72" t="str">
        <f>IFERROR(__xludf.DUMMYFUNCTION("""COMPUTED_VALUE"""),"CLUTCH LINING PROBLEM")</f>
        <v>CLUTCH LINING PROBLEM</v>
      </c>
      <c r="L975" s="72" t="str">
        <f>IFERROR(__xludf.DUMMYFUNCTION("""COMPUTED_VALUE"""),"DSD: CHECK-UP AND ADJUSTING OF CLUTCH LINING PEDAL")</f>
        <v>DSD: CHECK-UP AND ADJUSTING OF CLUTCH LINING PEDAL</v>
      </c>
      <c r="M975" s="2"/>
      <c r="N975" s="2"/>
      <c r="O975" s="2">
        <f>IFERROR(__xludf.DUMMYFUNCTION("""COMPUTED_VALUE"""),1390.0)</f>
        <v>1390</v>
      </c>
      <c r="P975" s="2"/>
      <c r="Q975" s="2"/>
      <c r="R975" s="74">
        <f>IFERROR(__xludf.DUMMYFUNCTION("""COMPUTED_VALUE"""),45799.0)</f>
        <v>45799</v>
      </c>
      <c r="S975" s="2" t="str">
        <f>IFERROR(__xludf.DUMMYFUNCTION("""COMPUTED_VALUE"""),"DSD/JDP")</f>
        <v>DSD/JDP</v>
      </c>
      <c r="T975" s="73" t="str">
        <f>IFERROR(__xludf.DUMMYFUNCTION("""COMPUTED_VALUE""")," N/A ")</f>
        <v>N/A</v>
      </c>
      <c r="U975" s="73" t="str">
        <f>IFERROR(__xludf.DUMMYFUNCTION("""COMPUTED_VALUE""")," NO CHARGE ")</f>
        <v>NO CHARGE</v>
      </c>
      <c r="V975" s="2"/>
      <c r="W975" s="2" t="str">
        <f>IFERROR(__xludf.DUMMYFUNCTION("""COMPUTED_VALUE"""),"N/A")</f>
        <v>N/A</v>
      </c>
      <c r="X975" s="2" t="str">
        <f>IFERROR(__xludf.DUMMYFUNCTION("""COMPUTED_VALUE"""),"N/A")</f>
        <v>N/A</v>
      </c>
      <c r="Y975" s="2"/>
      <c r="Z975" s="2"/>
      <c r="AA975" s="2"/>
      <c r="AB975" s="2"/>
      <c r="AC975" s="2"/>
      <c r="AD975" s="2"/>
      <c r="AE975" s="2"/>
      <c r="AF975" s="2"/>
      <c r="AG975" s="2"/>
      <c r="AH975" s="2"/>
      <c r="AI975" s="2"/>
      <c r="AJ975" s="2" t="str">
        <f>IFERROR(__xludf.DUMMYFUNCTION("""COMPUTED_VALUE"""),"")</f>
        <v/>
      </c>
      <c r="AK975" s="2" t="str">
        <f>IFERROR(__xludf.DUMMYFUNCTION("""COMPUTED_VALUE"""),"Cuyapo")</f>
        <v>Cuyapo</v>
      </c>
      <c r="AL975" s="2" t="str">
        <f>IFERROR(__xludf.DUMMYFUNCTION("""COMPUTED_VALUE"""),"Nueva Ecija")</f>
        <v>Nueva Ecija</v>
      </c>
      <c r="AM975" s="2">
        <f>IFERROR(__xludf.DUMMYFUNCTION("""COMPUTED_VALUE"""),3.0)</f>
        <v>3</v>
      </c>
      <c r="AN975" s="2" t="str">
        <f>IFERROR(__xludf.DUMMYFUNCTION("""COMPUTED_VALUE"""),"RCEF 23-09-21 Rebidding")</f>
        <v>RCEF 23-09-21 Rebidding</v>
      </c>
      <c r="AO975" s="2">
        <f>IFERROR(__xludf.DUMMYFUNCTION("""COMPUTED_VALUE"""),3.0)</f>
        <v>3</v>
      </c>
      <c r="AP975" s="2"/>
      <c r="AQ975" s="2"/>
      <c r="AR975" s="2"/>
      <c r="AS975" s="2"/>
      <c r="AT975" s="2"/>
      <c r="AU975" s="2"/>
      <c r="AV975" s="2"/>
      <c r="AW975" s="2"/>
      <c r="AX975" s="2"/>
      <c r="AY975" s="2"/>
      <c r="AZ975" s="2"/>
      <c r="BA975" s="2"/>
      <c r="BB975" s="2"/>
    </row>
    <row r="976">
      <c r="A976" s="2">
        <f>IFERROR(__xludf.DUMMYFUNCTION("""COMPUTED_VALUE"""),972.0)</f>
        <v>972</v>
      </c>
      <c r="B976" s="2" t="str">
        <f>IFERROR(__xludf.DUMMYFUNCTION("""COMPUTED_VALUE"""),"COMPLETED")</f>
        <v>COMPLETED</v>
      </c>
      <c r="C976" s="74">
        <f>IFERROR(__xludf.DUMMYFUNCTION("""COMPUTED_VALUE"""),45800.0)</f>
        <v>45800</v>
      </c>
      <c r="D976" s="71" t="str">
        <f>IFERROR(__xludf.DUMMYFUNCTION("""COMPUTED_VALUE"""),"Masikap Farmers Association")</f>
        <v>Masikap Farmers Association</v>
      </c>
      <c r="E976" s="71" t="str">
        <f>IFERROR(__xludf.DUMMYFUNCTION("""COMPUTED_VALUE"""),"Tayabo, San Jose, Nueva Ecija")</f>
        <v>Tayabo, San Jose, Nueva Ecija</v>
      </c>
      <c r="F976" s="2"/>
      <c r="G976" s="2"/>
      <c r="H976" s="2"/>
      <c r="I976" s="72" t="str">
        <f>IFERROR(__xludf.DUMMYFUNCTION("""COMPUTED_VALUE"""),"PMS")</f>
        <v>PMS</v>
      </c>
      <c r="J976" s="72" t="str">
        <f>IFERROR(__xludf.DUMMYFUNCTION("""COMPUTED_VALUE"""),"PMS")</f>
        <v>PMS</v>
      </c>
      <c r="K976" s="72" t="str">
        <f>IFERROR(__xludf.DUMMYFUNCTION("""COMPUTED_VALUE"""),"DSD: 1ST PMS FREE")</f>
        <v>DSD: 1ST PMS FREE</v>
      </c>
      <c r="L976" s="72" t="str">
        <f>IFERROR(__xludf.DUMMYFUNCTION("""COMPUTED_VALUE"""),"DSD: 1ST PMS DONE")</f>
        <v>DSD: 1ST PMS DONE</v>
      </c>
      <c r="M976" s="2"/>
      <c r="N976" s="2" t="str">
        <f>IFERROR(__xludf.DUMMYFUNCTION("""COMPUTED_VALUE"""),"PARTS: OIL FILTER, ENGINE OIL")</f>
        <v>PARTS: OIL FILTER, ENGINE OIL</v>
      </c>
      <c r="O976" s="2">
        <f>IFERROR(__xludf.DUMMYFUNCTION("""COMPUTED_VALUE"""),1392.0)</f>
        <v>1392</v>
      </c>
      <c r="P976" s="2"/>
      <c r="Q976" s="2"/>
      <c r="R976" s="74">
        <f>IFERROR(__xludf.DUMMYFUNCTION("""COMPUTED_VALUE"""),45800.0)</f>
        <v>45800</v>
      </c>
      <c r="S976" s="2" t="str">
        <f>IFERROR(__xludf.DUMMYFUNCTION("""COMPUTED_VALUE"""),"DSD/JDP")</f>
        <v>DSD/JDP</v>
      </c>
      <c r="T976" s="73" t="str">
        <f>IFERROR(__xludf.DUMMYFUNCTION("""COMPUTED_VALUE""")," N/A ")</f>
        <v>N/A</v>
      </c>
      <c r="U976" s="73" t="str">
        <f>IFERROR(__xludf.DUMMYFUNCTION("""COMPUTED_VALUE""")," NO CHARGE ")</f>
        <v>NO CHARGE</v>
      </c>
      <c r="V976" s="2"/>
      <c r="W976" s="2" t="str">
        <f>IFERROR(__xludf.DUMMYFUNCTION("""COMPUTED_VALUE"""),"N/A")</f>
        <v>N/A</v>
      </c>
      <c r="X976" s="2" t="str">
        <f>IFERROR(__xludf.DUMMYFUNCTION("""COMPUTED_VALUE"""),"N/A")</f>
        <v>N/A</v>
      </c>
      <c r="Y976" s="2"/>
      <c r="Z976" s="2"/>
      <c r="AA976" s="2"/>
      <c r="AB976" s="2"/>
      <c r="AC976" s="2"/>
      <c r="AD976" s="2"/>
      <c r="AE976" s="2"/>
      <c r="AF976" s="2"/>
      <c r="AG976" s="2"/>
      <c r="AH976" s="2"/>
      <c r="AI976" s="2"/>
      <c r="AJ976" s="2" t="str">
        <f>IFERROR(__xludf.DUMMYFUNCTION("""COMPUTED_VALUE"""),"Tayabo")</f>
        <v>Tayabo</v>
      </c>
      <c r="AK976" s="2" t="str">
        <f>IFERROR(__xludf.DUMMYFUNCTION("""COMPUTED_VALUE"""),"San Jose")</f>
        <v>San Jose</v>
      </c>
      <c r="AL976" s="2" t="str">
        <f>IFERROR(__xludf.DUMMYFUNCTION("""COMPUTED_VALUE"""),"Nueva Ecija")</f>
        <v>Nueva Ecija</v>
      </c>
      <c r="AM976" s="2">
        <f>IFERROR(__xludf.DUMMYFUNCTION("""COMPUTED_VALUE"""),3.0)</f>
        <v>3</v>
      </c>
      <c r="AN976" s="2" t="str">
        <f>IFERROR(__xludf.DUMMYFUNCTION("""COMPUTED_VALUE"""),"RCEF 24-04-15")</f>
        <v>RCEF 24-04-15</v>
      </c>
      <c r="AO976" s="2">
        <f>IFERROR(__xludf.DUMMYFUNCTION("""COMPUTED_VALUE"""),6.0)</f>
        <v>6</v>
      </c>
      <c r="AP976" s="2" t="str">
        <f>IFERROR(__xludf.DUMMYFUNCTION("""COMPUTED_VALUE"""),"FREE PMS")</f>
        <v>FREE PMS</v>
      </c>
      <c r="AQ976" s="2"/>
      <c r="AR976" s="2"/>
      <c r="AS976" s="2"/>
      <c r="AT976" s="2"/>
      <c r="AU976" s="2"/>
      <c r="AV976" s="2"/>
      <c r="AW976" s="2"/>
      <c r="AX976" s="2"/>
      <c r="AY976" s="2"/>
      <c r="AZ976" s="2"/>
      <c r="BA976" s="2"/>
      <c r="BB976" s="2"/>
    </row>
    <row r="977">
      <c r="A977" s="2">
        <f>IFERROR(__xludf.DUMMYFUNCTION("""COMPUTED_VALUE"""),973.0)</f>
        <v>973</v>
      </c>
      <c r="B977" s="2" t="str">
        <f>IFERROR(__xludf.DUMMYFUNCTION("""COMPUTED_VALUE"""),"COMPLETED")</f>
        <v>COMPLETED</v>
      </c>
      <c r="C977" s="74">
        <f>IFERROR(__xludf.DUMMYFUNCTION("""COMPUTED_VALUE"""),45800.0)</f>
        <v>45800</v>
      </c>
      <c r="D977" s="71" t="str">
        <f>IFERROR(__xludf.DUMMYFUNCTION("""COMPUTED_VALUE"""),"GINTONG SAMAHAN NG MAGSASAKA NG PAGALANGGANG")</f>
        <v>GINTONG SAMAHAN NG MAGSASAKA NG PAGALANGGANG</v>
      </c>
      <c r="E977" s="71" t="str">
        <f>IFERROR(__xludf.DUMMYFUNCTION("""COMPUTED_VALUE"""),"Pagalanggang, Dinalupihan, BATAAN")</f>
        <v>Pagalanggang, Dinalupihan, BATAAN</v>
      </c>
      <c r="F977" s="2" t="str">
        <f>IFERROR(__xludf.DUMMYFUNCTION("""COMPUTED_VALUE"""),"EDGARDO M. DE GUZMAN/ NILO S. MANUEL")</f>
        <v>EDGARDO M. DE GUZMAN/ NILO S. MANUEL</v>
      </c>
      <c r="G977" s="2">
        <f>IFERROR(__xludf.DUMMYFUNCTION("""COMPUTED_VALUE"""),9.300528002E9)</f>
        <v>9300528002</v>
      </c>
      <c r="H977" s="2">
        <f>IFERROR(__xludf.DUMMYFUNCTION("""COMPUTED_VALUE"""),406.4)</f>
        <v>406.4</v>
      </c>
      <c r="I977" s="72" t="str">
        <f>IFERROR(__xludf.DUMMYFUNCTION("""COMPUTED_VALUE"""),"REPAIR - TRACTOR")</f>
        <v>REPAIR - TRACTOR</v>
      </c>
      <c r="J977" s="72" t="str">
        <f>IFERROR(__xludf.DUMMYFUNCTION("""COMPUTED_VALUE"""),"Transmission - Clutch")</f>
        <v>Transmission - Clutch</v>
      </c>
      <c r="K977" s="72" t="str">
        <f>IFERROR(__xludf.DUMMYFUNCTION("""COMPUTED_VALUE"""),"JDP: FAILURE SA SHIFTER NG FORWARD AND RIVERSE
AYAW PO PUMASOK NG KAMBYO (FOR ASSESMENT)")</f>
        <v>JDP: FAILURE SA SHIFTER NG FORWARD AND RIVERSE
AYAW PO PUMASOK NG KAMBYO (FOR ASSESMENT)</v>
      </c>
      <c r="L977" s="72" t="str">
        <f>IFERROR(__xludf.DUMMYFUNCTION("""COMPUTED_VALUE"""),"EGT: ADJUST CLUTCH PEDAL")</f>
        <v>EGT: ADJUST CLUTCH PEDAL</v>
      </c>
      <c r="M977" s="2"/>
      <c r="N977" s="2"/>
      <c r="O977" s="2">
        <f>IFERROR(__xludf.DUMMYFUNCTION("""COMPUTED_VALUE"""),1394.0)</f>
        <v>1394</v>
      </c>
      <c r="P977" s="2"/>
      <c r="Q977" s="2" t="str">
        <f>IFERROR(__xludf.DUMMYFUNCTION("""COMPUTED_VALUE"""),"Y")</f>
        <v>Y</v>
      </c>
      <c r="R977" s="74">
        <f>IFERROR(__xludf.DUMMYFUNCTION("""COMPUTED_VALUE"""),45867.0)</f>
        <v>45867</v>
      </c>
      <c r="S977" s="2" t="str">
        <f>IFERROR(__xludf.DUMMYFUNCTION("""COMPUTED_VALUE"""),"EGT/DRM")</f>
        <v>EGT/DRM</v>
      </c>
      <c r="T977" s="73" t="str">
        <f>IFERROR(__xludf.DUMMYFUNCTION("""COMPUTED_VALUE""")," N/A ")</f>
        <v>N/A</v>
      </c>
      <c r="U977" s="73" t="str">
        <f>IFERROR(__xludf.DUMMYFUNCTION("""COMPUTED_VALUE""")," NO CHARGE ")</f>
        <v>NO CHARGE</v>
      </c>
      <c r="V977" s="2"/>
      <c r="W977" s="2" t="str">
        <f>IFERROR(__xludf.DUMMYFUNCTION("""COMPUTED_VALUE"""),"N/A")</f>
        <v>N/A</v>
      </c>
      <c r="X977" s="2" t="str">
        <f>IFERROR(__xludf.DUMMYFUNCTION("""COMPUTED_VALUE"""),"N/A")</f>
        <v>N/A</v>
      </c>
      <c r="Y977" s="2"/>
      <c r="Z977" s="2"/>
      <c r="AA977" s="2"/>
      <c r="AB977" s="2"/>
      <c r="AC977" s="2"/>
      <c r="AD977" s="2"/>
      <c r="AE977" s="2"/>
      <c r="AF977" s="2"/>
      <c r="AG977" s="2"/>
      <c r="AH977" s="2"/>
      <c r="AI977" s="2"/>
      <c r="AJ977" s="2" t="str">
        <f>IFERROR(__xludf.DUMMYFUNCTION("""COMPUTED_VALUE"""),"Pagalanggang")</f>
        <v>Pagalanggang</v>
      </c>
      <c r="AK977" s="2" t="str">
        <f>IFERROR(__xludf.DUMMYFUNCTION("""COMPUTED_VALUE"""),"Dinalupihan")</f>
        <v>Dinalupihan</v>
      </c>
      <c r="AL977" s="2" t="str">
        <f>IFERROR(__xludf.DUMMYFUNCTION("""COMPUTED_VALUE"""),"Bataan")</f>
        <v>Bataan</v>
      </c>
      <c r="AM977" s="2">
        <f>IFERROR(__xludf.DUMMYFUNCTION("""COMPUTED_VALUE"""),3.0)</f>
        <v>3</v>
      </c>
      <c r="AN977" s="2" t="str">
        <f>IFERROR(__xludf.DUMMYFUNCTION("""COMPUTED_VALUE"""),"RCEF 23-09-21 Rebidding")</f>
        <v>RCEF 23-09-21 Rebidding</v>
      </c>
      <c r="AO977" s="2">
        <f>IFERROR(__xludf.DUMMYFUNCTION("""COMPUTED_VALUE"""),3.0)</f>
        <v>3</v>
      </c>
      <c r="AP977" s="2"/>
      <c r="AQ977" s="2"/>
      <c r="AR977" s="2"/>
      <c r="AS977" s="2"/>
      <c r="AT977" s="2"/>
      <c r="AU977" s="2"/>
      <c r="AV977" s="2"/>
      <c r="AW977" s="2"/>
      <c r="AX977" s="2"/>
      <c r="AY977" s="2"/>
      <c r="AZ977" s="2"/>
      <c r="BA977" s="2"/>
      <c r="BB977" s="2"/>
    </row>
    <row r="978">
      <c r="A978" s="2">
        <f>IFERROR(__xludf.DUMMYFUNCTION("""COMPUTED_VALUE"""),974.0)</f>
        <v>974</v>
      </c>
      <c r="B978" s="2" t="str">
        <f>IFERROR(__xludf.DUMMYFUNCTION("""COMPUTED_VALUE"""),"COMPLETED")</f>
        <v>COMPLETED</v>
      </c>
      <c r="C978" s="74">
        <f>IFERROR(__xludf.DUMMYFUNCTION("""COMPUTED_VALUE"""),45800.0)</f>
        <v>45800</v>
      </c>
      <c r="D978" s="71" t="str">
        <f>IFERROR(__xludf.DUMMYFUNCTION("""COMPUTED_VALUE"""),"Bulusukan Farmers Palay and Vegetable Producers Cooperative")</f>
        <v>Bulusukan Farmers Palay and Vegetable Producers Cooperative</v>
      </c>
      <c r="E978" s="71" t="str">
        <f>IFERROR(__xludf.DUMMYFUNCTION("""COMPUTED_VALUE"""),"Bulusukan, San Ildefonso, BULACAN")</f>
        <v>Bulusukan, San Ildefonso, BULACAN</v>
      </c>
      <c r="F978" s="2" t="str">
        <f>IFERROR(__xludf.DUMMYFUNCTION("""COMPUTED_VALUE"""),"NALDY NUNEZ")</f>
        <v>NALDY NUNEZ</v>
      </c>
      <c r="G978" s="2">
        <f>IFERROR(__xludf.DUMMYFUNCTION("""COMPUTED_VALUE"""),9.128630521E9)</f>
        <v>9128630521</v>
      </c>
      <c r="H978" s="2"/>
      <c r="I978" s="72" t="str">
        <f>IFERROR(__xludf.DUMMYFUNCTION("""COMPUTED_VALUE"""),"SPARE PARTS ACQUISITION")</f>
        <v>SPARE PARTS ACQUISITION</v>
      </c>
      <c r="J978" s="72" t="str">
        <f>IFERROR(__xludf.DUMMYFUNCTION("""COMPUTED_VALUE"""),"PARTS REQUEST")</f>
        <v>PARTS REQUEST</v>
      </c>
      <c r="K978" s="72" t="str">
        <f>IFERROR(__xludf.DUMMYFUNCTION("""COMPUTED_VALUE"""),"JHP: PARTS: HYDRAULIC FILTER AND RIGHT SIDE HEADLIGHT")</f>
        <v>JHP: PARTS: HYDRAULIC FILTER AND RIGHT SIDE HEADLIGHT</v>
      </c>
      <c r="L978" s="72" t="str">
        <f>IFERROR(__xludf.DUMMYFUNCTION("""COMPUTED_VALUE"""),"CANCELLED ORDER")</f>
        <v>CANCELLED ORDER</v>
      </c>
      <c r="M978" s="2"/>
      <c r="N978" s="2"/>
      <c r="O978" s="2" t="str">
        <f>IFERROR(__xludf.DUMMYFUNCTION("""COMPUTED_VALUE"""),"N/A")</f>
        <v>N/A</v>
      </c>
      <c r="P978" s="2"/>
      <c r="Q978" s="2" t="str">
        <f>IFERROR(__xludf.DUMMYFUNCTION("""COMPUTED_VALUE"""),"N")</f>
        <v>N</v>
      </c>
      <c r="R978" s="74">
        <f>IFERROR(__xludf.DUMMYFUNCTION("""COMPUTED_VALUE"""),45952.0)</f>
        <v>45952</v>
      </c>
      <c r="S978" s="2" t="str">
        <f>IFERROR(__xludf.DUMMYFUNCTION("""COMPUTED_VALUE"""),"JHP")</f>
        <v>JHP</v>
      </c>
      <c r="T978" s="73" t="str">
        <f>IFERROR(__xludf.DUMMYFUNCTION("""COMPUTED_VALUE""")," N/A ")</f>
        <v>N/A</v>
      </c>
      <c r="U978" s="73" t="str">
        <f>IFERROR(__xludf.DUMMYFUNCTION("""COMPUTED_VALUE""")," NO CHARGE ")</f>
        <v>NO CHARGE</v>
      </c>
      <c r="V978" s="2"/>
      <c r="W978" s="2" t="str">
        <f>IFERROR(__xludf.DUMMYFUNCTION("""COMPUTED_VALUE"""),"N/A")</f>
        <v>N/A</v>
      </c>
      <c r="X978" s="2" t="str">
        <f>IFERROR(__xludf.DUMMYFUNCTION("""COMPUTED_VALUE"""),"N/A")</f>
        <v>N/A</v>
      </c>
      <c r="Y978" s="2"/>
      <c r="Z978" s="2"/>
      <c r="AA978" s="2"/>
      <c r="AB978" s="2"/>
      <c r="AC978" s="2"/>
      <c r="AD978" s="2"/>
      <c r="AE978" s="2"/>
      <c r="AF978" s="2"/>
      <c r="AG978" s="2"/>
      <c r="AH978" s="2"/>
      <c r="AI978" s="2"/>
      <c r="AJ978" s="2" t="str">
        <f>IFERROR(__xludf.DUMMYFUNCTION("""COMPUTED_VALUE"""),"Bulusukan")</f>
        <v>Bulusukan</v>
      </c>
      <c r="AK978" s="2" t="str">
        <f>IFERROR(__xludf.DUMMYFUNCTION("""COMPUTED_VALUE"""),"San Ildefonso")</f>
        <v>San Ildefonso</v>
      </c>
      <c r="AL978" s="2" t="str">
        <f>IFERROR(__xludf.DUMMYFUNCTION("""COMPUTED_VALUE"""),"Bulacan")</f>
        <v>Bulacan</v>
      </c>
      <c r="AM978" s="2">
        <f>IFERROR(__xludf.DUMMYFUNCTION("""COMPUTED_VALUE"""),3.0)</f>
        <v>3</v>
      </c>
      <c r="AN978" s="2" t="str">
        <f>IFERROR(__xludf.DUMMYFUNCTION("""COMPUTED_VALUE"""),"RCEF 23-09-21 Rebidding")</f>
        <v>RCEF 23-09-21 Rebidding</v>
      </c>
      <c r="AO978" s="2">
        <f>IFERROR(__xludf.DUMMYFUNCTION("""COMPUTED_VALUE"""),9.0)</f>
        <v>9</v>
      </c>
      <c r="AP978" s="2"/>
      <c r="AQ978" s="2"/>
      <c r="AR978" s="2"/>
      <c r="AS978" s="2"/>
      <c r="AT978" s="2"/>
      <c r="AU978" s="2"/>
      <c r="AV978" s="2"/>
      <c r="AW978" s="2"/>
      <c r="AX978" s="2"/>
      <c r="AY978" s="2"/>
      <c r="AZ978" s="2"/>
      <c r="BA978" s="2"/>
      <c r="BB978" s="2"/>
    </row>
    <row r="979">
      <c r="A979" s="2">
        <f>IFERROR(__xludf.DUMMYFUNCTION("""COMPUTED_VALUE"""),975.0)</f>
        <v>975</v>
      </c>
      <c r="B979" s="2" t="str">
        <f>IFERROR(__xludf.DUMMYFUNCTION("""COMPUTED_VALUE"""),"COMPLETED")</f>
        <v>COMPLETED</v>
      </c>
      <c r="C979" s="74">
        <f>IFERROR(__xludf.DUMMYFUNCTION("""COMPUTED_VALUE"""),45800.0)</f>
        <v>45800</v>
      </c>
      <c r="D979" s="71" t="str">
        <f>IFERROR(__xludf.DUMMYFUNCTION("""COMPUTED_VALUE"""),"RANG-AY FARMERS IRRIGATORS' ASSOCIATION, INC.")</f>
        <v>RANG-AY FARMERS IRRIGATORS' ASSOCIATION, INC.</v>
      </c>
      <c r="E979" s="71" t="str">
        <f>IFERROR(__xludf.DUMMYFUNCTION("""COMPUTED_VALUE"""),"Arcon, Tumauini, ISABELA")</f>
        <v>Arcon, Tumauini, ISABELA</v>
      </c>
      <c r="F979" s="2"/>
      <c r="G979" s="2"/>
      <c r="H979" s="2"/>
      <c r="I979" s="72" t="str">
        <f>IFERROR(__xludf.DUMMYFUNCTION("""COMPUTED_VALUE"""),"REPAIR - TRACTOR")</f>
        <v>REPAIR - TRACTOR</v>
      </c>
      <c r="J979" s="72" t="str">
        <f>IFERROR(__xludf.DUMMYFUNCTION("""COMPUTED_VALUE"""),"Front Axle - Leaking")</f>
        <v>Front Axle - Leaking</v>
      </c>
      <c r="K979" s="72" t="str">
        <f>IFERROR(__xludf.DUMMYFUNCTION("""COMPUTED_VALUE"""),"CFG: FRONT AXLE OIL SEAL DAMAGE")</f>
        <v>CFG: FRONT AXLE OIL SEAL DAMAGE</v>
      </c>
      <c r="L979" s="72" t="str">
        <f>IFERROR(__xludf.DUMMYFUNCTION("""COMPUTED_VALUE"""),"CFG: REPLACEMENT OF FRONT AXLE OIL SEAL")</f>
        <v>CFG: REPLACEMENT OF FRONT AXLE OIL SEAL</v>
      </c>
      <c r="M979" s="2"/>
      <c r="N979" s="2" t="str">
        <f>IFERROR(__xludf.DUMMYFUNCTION("""COMPUTED_VALUE"""),"PARTS: 
1 pc from axle oil seal-TA00041359 -NAK AP6 57-80-15")</f>
        <v>PARTS: 
1 pc from axle oil seal-TA00041359 -NAK AP6 57-80-15</v>
      </c>
      <c r="O979" s="2">
        <f>IFERROR(__xludf.DUMMYFUNCTION("""COMPUTED_VALUE"""),1179.0)</f>
        <v>1179</v>
      </c>
      <c r="P979" s="2"/>
      <c r="Q979" s="2"/>
      <c r="R979" s="74">
        <f>IFERROR(__xludf.DUMMYFUNCTION("""COMPUTED_VALUE"""),45800.0)</f>
        <v>45800</v>
      </c>
      <c r="S979" s="2" t="str">
        <f>IFERROR(__xludf.DUMMYFUNCTION("""COMPUTED_VALUE"""),"CFG")</f>
        <v>CFG</v>
      </c>
      <c r="T979" s="73">
        <f>IFERROR(__xludf.DUMMYFUNCTION("""COMPUTED_VALUE"""),3375.0)</f>
        <v>3375</v>
      </c>
      <c r="U979" s="73" t="str">
        <f>IFERROR(__xludf.DUMMYFUNCTION("""COMPUTED_VALUE""")," REMITTED ")</f>
        <v>REMITTED</v>
      </c>
      <c r="V979" s="2"/>
      <c r="W979" s="2">
        <f>IFERROR(__xludf.DUMMYFUNCTION("""COMPUTED_VALUE"""),1577.0)</f>
        <v>1577</v>
      </c>
      <c r="X979" s="2">
        <f>IFERROR(__xludf.DUMMYFUNCTION("""COMPUTED_VALUE"""),1530.0)</f>
        <v>1530</v>
      </c>
      <c r="Y979" s="2"/>
      <c r="Z979" s="2"/>
      <c r="AA979" s="2"/>
      <c r="AB979" s="2"/>
      <c r="AC979" s="2"/>
      <c r="AD979" s="2"/>
      <c r="AE979" s="2"/>
      <c r="AF979" s="2"/>
      <c r="AG979" s="2"/>
      <c r="AH979" s="2"/>
      <c r="AI979" s="2"/>
      <c r="AJ979" s="2" t="str">
        <f>IFERROR(__xludf.DUMMYFUNCTION("""COMPUTED_VALUE"""),"Arcon")</f>
        <v>Arcon</v>
      </c>
      <c r="AK979" s="2" t="str">
        <f>IFERROR(__xludf.DUMMYFUNCTION("""COMPUTED_VALUE"""),"Tumauini")</f>
        <v>Tumauini</v>
      </c>
      <c r="AL979" s="2" t="str">
        <f>IFERROR(__xludf.DUMMYFUNCTION("""COMPUTED_VALUE"""),"Isabela")</f>
        <v>Isabela</v>
      </c>
      <c r="AM979" s="2">
        <f>IFERROR(__xludf.DUMMYFUNCTION("""COMPUTED_VALUE"""),2.0)</f>
        <v>2</v>
      </c>
      <c r="AN979" s="2" t="str">
        <f>IFERROR(__xludf.DUMMYFUNCTION("""COMPUTED_VALUE"""),"RCEF 23-09-21 Rebidding")</f>
        <v>RCEF 23-09-21 Rebidding</v>
      </c>
      <c r="AO979" s="2">
        <f>IFERROR(__xludf.DUMMYFUNCTION("""COMPUTED_VALUE"""),1.0)</f>
        <v>1</v>
      </c>
      <c r="AP979" s="2"/>
      <c r="AQ979" s="2"/>
      <c r="AR979" s="2"/>
      <c r="AS979" s="2"/>
      <c r="AT979" s="2"/>
      <c r="AU979" s="2"/>
      <c r="AV979" s="2"/>
      <c r="AW979" s="2"/>
      <c r="AX979" s="2"/>
      <c r="AY979" s="2"/>
      <c r="AZ979" s="2"/>
      <c r="BA979" s="2"/>
      <c r="BB979" s="2"/>
    </row>
    <row r="980">
      <c r="A980" s="2">
        <f>IFERROR(__xludf.DUMMYFUNCTION("""COMPUTED_VALUE"""),976.0)</f>
        <v>976</v>
      </c>
      <c r="B980" s="2" t="str">
        <f>IFERROR(__xludf.DUMMYFUNCTION("""COMPUTED_VALUE"""),"COMPLETED")</f>
        <v>COMPLETED</v>
      </c>
      <c r="C980" s="74">
        <f>IFERROR(__xludf.DUMMYFUNCTION("""COMPUTED_VALUE"""),45800.0)</f>
        <v>45800</v>
      </c>
      <c r="D980" s="71" t="str">
        <f>IFERROR(__xludf.DUMMYFUNCTION("""COMPUTED_VALUE"""),"UGAD-SAN MATEO FARMERS IRRIGATORS' ASSOCIATION, INC.")</f>
        <v>UGAD-SAN MATEO FARMERS IRRIGATORS' ASSOCIATION, INC.</v>
      </c>
      <c r="E980" s="71" t="str">
        <f>IFERROR(__xludf.DUMMYFUNCTION("""COMPUTED_VALUE"""),"Ugad, Tumauini, ISABELA")</f>
        <v>Ugad, Tumauini, ISABELA</v>
      </c>
      <c r="F980" s="2" t="str">
        <f>IFERROR(__xludf.DUMMYFUNCTION("""COMPUTED_VALUE"""),"PRES ALBARO")</f>
        <v>PRES ALBARO</v>
      </c>
      <c r="G980" s="2">
        <f>IFERROR(__xludf.DUMMYFUNCTION("""COMPUTED_VALUE"""),9.753730078E9)</f>
        <v>9753730078</v>
      </c>
      <c r="H980" s="2">
        <f>IFERROR(__xludf.DUMMYFUNCTION("""COMPUTED_VALUE"""),136.9)</f>
        <v>136.9</v>
      </c>
      <c r="I980" s="72" t="str">
        <f>IFERROR(__xludf.DUMMYFUNCTION("""COMPUTED_VALUE"""),"REPAIR - ROTAVATOR")</f>
        <v>REPAIR - ROTAVATOR</v>
      </c>
      <c r="J980" s="72" t="str">
        <f>IFERROR(__xludf.DUMMYFUNCTION("""COMPUTED_VALUE"""),"Gearbox")</f>
        <v>Gearbox</v>
      </c>
      <c r="K980" s="72" t="str">
        <f>IFERROR(__xludf.DUMMYFUNCTION("""COMPUTED_VALUE"""),"CFG: PARTS: 
1 pc LSGW BEVEl Gear 24T
1 pc taper roller bearing 32211
1 pc oil seal 55- 80- 12
1 pc hard lock nut")</f>
        <v>CFG: PARTS: 
1 pc LSGW BEVEl Gear 24T
1 pc taper roller bearing 32211
1 pc oil seal 55- 80- 12
1 pc hard lock nut</v>
      </c>
      <c r="L980" s="72" t="str">
        <f>IFERROR(__xludf.DUMMYFUNCTION("""COMPUTED_VALUE"""),"QOUTATION SENT
REPLACED BEVEL GEAR 24T AND TAPER ROLLER BEARING 32211")</f>
        <v>QOUTATION SENT
REPLACED BEVEL GEAR 24T AND TAPER ROLLER BEARING 32211</v>
      </c>
      <c r="M980" s="2"/>
      <c r="N980" s="2" t="str">
        <f>IFERROR(__xludf.DUMMYFUNCTION("""COMPUTED_VALUE"""),"PARTS: BEVEL GEAR 24T , TAPER ROLLER BEARING 32211")</f>
        <v>PARTS: BEVEL GEAR 24T , TAPER ROLLER BEARING 32211</v>
      </c>
      <c r="O980" s="2">
        <f>IFERROR(__xludf.DUMMYFUNCTION("""COMPUTED_VALUE"""),1182.0)</f>
        <v>1182</v>
      </c>
      <c r="P980" s="2"/>
      <c r="Q980" s="2"/>
      <c r="R980" s="74">
        <f>IFERROR(__xludf.DUMMYFUNCTION("""COMPUTED_VALUE"""),45823.0)</f>
        <v>45823</v>
      </c>
      <c r="S980" s="2" t="str">
        <f>IFERROR(__xludf.DUMMYFUNCTION("""COMPUTED_VALUE"""),"CFG")</f>
        <v>CFG</v>
      </c>
      <c r="T980" s="73">
        <f>IFERROR(__xludf.DUMMYFUNCTION("""COMPUTED_VALUE"""),14900.0)</f>
        <v>14900</v>
      </c>
      <c r="U980" s="73" t="str">
        <f>IFERROR(__xludf.DUMMYFUNCTION("""COMPUTED_VALUE""")," FOR REMIT ")</f>
        <v>FOR REMIT</v>
      </c>
      <c r="V980" s="2"/>
      <c r="W980" s="2">
        <f>IFERROR(__xludf.DUMMYFUNCTION("""COMPUTED_VALUE"""),1582.0)</f>
        <v>1582</v>
      </c>
      <c r="X980" s="2"/>
      <c r="Y980" s="2"/>
      <c r="Z980" s="2"/>
      <c r="AA980" s="2"/>
      <c r="AB980" s="2"/>
      <c r="AC980" s="2"/>
      <c r="AD980" s="2"/>
      <c r="AE980" s="2"/>
      <c r="AF980" s="2"/>
      <c r="AG980" s="2"/>
      <c r="AH980" s="2"/>
      <c r="AI980" s="2"/>
      <c r="AJ980" s="2" t="str">
        <f>IFERROR(__xludf.DUMMYFUNCTION("""COMPUTED_VALUE"""),"Ugad")</f>
        <v>Ugad</v>
      </c>
      <c r="AK980" s="2" t="str">
        <f>IFERROR(__xludf.DUMMYFUNCTION("""COMPUTED_VALUE"""),"Tumauini")</f>
        <v>Tumauini</v>
      </c>
      <c r="AL980" s="2" t="str">
        <f>IFERROR(__xludf.DUMMYFUNCTION("""COMPUTED_VALUE"""),"Isabela")</f>
        <v>Isabela</v>
      </c>
      <c r="AM980" s="2">
        <f>IFERROR(__xludf.DUMMYFUNCTION("""COMPUTED_VALUE"""),2.0)</f>
        <v>2</v>
      </c>
      <c r="AN980" s="2" t="str">
        <f>IFERROR(__xludf.DUMMYFUNCTION("""COMPUTED_VALUE"""),"RCEF 23-09-21 Rebidding")</f>
        <v>RCEF 23-09-21 Rebidding</v>
      </c>
      <c r="AO980" s="2">
        <f>IFERROR(__xludf.DUMMYFUNCTION("""COMPUTED_VALUE"""),1.0)</f>
        <v>1</v>
      </c>
      <c r="AP980" s="2"/>
      <c r="AQ980" s="2"/>
      <c r="AR980" s="2"/>
      <c r="AS980" s="2"/>
      <c r="AT980" s="2"/>
      <c r="AU980" s="2"/>
      <c r="AV980" s="2"/>
      <c r="AW980" s="2"/>
      <c r="AX980" s="2"/>
      <c r="AY980" s="2"/>
      <c r="AZ980" s="2"/>
      <c r="BA980" s="2"/>
      <c r="BB980" s="2"/>
    </row>
    <row r="981">
      <c r="A981" s="2">
        <f>IFERROR(__xludf.DUMMYFUNCTION("""COMPUTED_VALUE"""),977.0)</f>
        <v>977</v>
      </c>
      <c r="B981" s="2" t="str">
        <f>IFERROR(__xludf.DUMMYFUNCTION("""COMPUTED_VALUE"""),"COMPLETED")</f>
        <v>COMPLETED</v>
      </c>
      <c r="C981" s="74">
        <f>IFERROR(__xludf.DUMMYFUNCTION("""COMPUTED_VALUE"""),45800.0)</f>
        <v>45800</v>
      </c>
      <c r="D981" s="71" t="str">
        <f>IFERROR(__xludf.DUMMYFUNCTION("""COMPUTED_VALUE"""),"TAYWANAK FARMERS ASSOCIATION")</f>
        <v>TAYWANAK FARMERS ASSOCIATION</v>
      </c>
      <c r="E981" s="71" t="str">
        <f>IFERROR(__xludf.DUMMYFUNCTION("""COMPUTED_VALUE"""),", Pola, ORIENTAL MINDORO")</f>
        <v>, Pola, ORIENTAL MINDORO</v>
      </c>
      <c r="F981" s="2" t="str">
        <f>IFERROR(__xludf.DUMMYFUNCTION("""COMPUTED_VALUE"""),"ALDRIN ESCOBIO")</f>
        <v>ALDRIN ESCOBIO</v>
      </c>
      <c r="G981" s="2">
        <f>IFERROR(__xludf.DUMMYFUNCTION("""COMPUTED_VALUE"""),9.977098503E9)</f>
        <v>9977098503</v>
      </c>
      <c r="H981" s="2"/>
      <c r="I981" s="72"/>
      <c r="J981" s="72"/>
      <c r="K981" s="72" t="str">
        <f>IFERROR(__xludf.DUMMYFUNCTION("""COMPUTED_VALUE"""),"MYK: AYAW MAG BABA TAAS NG ROTAVATOR, 
""JIE:10/2/25
FRONT WHELL DRIVE PROBLEM""")</f>
        <v>MYK: AYAW MAG BABA TAAS NG ROTAVATOR, 
"JIE:10/2/25
FRONT WHELL DRIVE PROBLEM"</v>
      </c>
      <c r="L981" s="72" t="str">
        <f>IFERROR(__xludf.DUMMYFUNCTION("""COMPUTED_VALUE"""),"RCG: WALA PROBLEMA YUNG TRACTOR , MISSED LEAD LANG.")</f>
        <v>RCG: WALA PROBLEMA YUNG TRACTOR , MISSED LEAD LANG.</v>
      </c>
      <c r="M981" s="2"/>
      <c r="N981" s="2"/>
      <c r="O981" s="2" t="str">
        <f>IFERROR(__xludf.DUMMYFUNCTION("""COMPUTED_VALUE"""),"N/A")</f>
        <v>N/A</v>
      </c>
      <c r="P981" s="2"/>
      <c r="Q981" s="2"/>
      <c r="R981" s="74">
        <f>IFERROR(__xludf.DUMMYFUNCTION("""COMPUTED_VALUE"""),45946.0)</f>
        <v>45946</v>
      </c>
      <c r="S981" s="2" t="str">
        <f>IFERROR(__xludf.DUMMYFUNCTION("""COMPUTED_VALUE"""),"RCG/RBS")</f>
        <v>RCG/RBS</v>
      </c>
      <c r="T981" s="73" t="str">
        <f>IFERROR(__xludf.DUMMYFUNCTION("""COMPUTED_VALUE""")," N/A ")</f>
        <v>N/A</v>
      </c>
      <c r="U981" s="73" t="str">
        <f>IFERROR(__xludf.DUMMYFUNCTION("""COMPUTED_VALUE""")," NO CHARGE ")</f>
        <v>NO CHARGE</v>
      </c>
      <c r="V981" s="2"/>
      <c r="W981" s="2" t="str">
        <f>IFERROR(__xludf.DUMMYFUNCTION("""COMPUTED_VALUE"""),"N/A")</f>
        <v>N/A</v>
      </c>
      <c r="X981" s="2" t="str">
        <f>IFERROR(__xludf.DUMMYFUNCTION("""COMPUTED_VALUE"""),"N/A")</f>
        <v>N/A</v>
      </c>
      <c r="Y981" s="2"/>
      <c r="Z981" s="2"/>
      <c r="AA981" s="2"/>
      <c r="AB981" s="2"/>
      <c r="AC981" s="2"/>
      <c r="AD981" s="2"/>
      <c r="AE981" s="2"/>
      <c r="AF981" s="2"/>
      <c r="AG981" s="2"/>
      <c r="AH981" s="2"/>
      <c r="AI981" s="2"/>
      <c r="AJ981" s="2" t="str">
        <f>IFERROR(__xludf.DUMMYFUNCTION("""COMPUTED_VALUE"""),"")</f>
        <v/>
      </c>
      <c r="AK981" s="2" t="str">
        <f>IFERROR(__xludf.DUMMYFUNCTION("""COMPUTED_VALUE"""),"Pola")</f>
        <v>Pola</v>
      </c>
      <c r="AL981" s="2" t="str">
        <f>IFERROR(__xludf.DUMMYFUNCTION("""COMPUTED_VALUE"""),"Oriental Mindoro")</f>
        <v>Oriental Mindoro</v>
      </c>
      <c r="AM981" s="2" t="str">
        <f>IFERROR(__xludf.DUMMYFUNCTION("""COMPUTED_VALUE"""),"4B")</f>
        <v>4B</v>
      </c>
      <c r="AN981" s="2" t="str">
        <f>IFERROR(__xludf.DUMMYFUNCTION("""COMPUTED_VALUE"""),"RCEF 24-04-15")</f>
        <v>RCEF 24-04-15</v>
      </c>
      <c r="AO981" s="2">
        <f>IFERROR(__xludf.DUMMYFUNCTION("""COMPUTED_VALUE"""),7.0)</f>
        <v>7</v>
      </c>
      <c r="AP981" s="2" t="str">
        <f>IFERROR(__xludf.DUMMYFUNCTION("""COMPUTED_VALUE"""),"FREE PMS")</f>
        <v>FREE PMS</v>
      </c>
      <c r="AQ981" s="2"/>
      <c r="AR981" s="2"/>
      <c r="AS981" s="2"/>
      <c r="AT981" s="2"/>
      <c r="AU981" s="2"/>
      <c r="AV981" s="2"/>
      <c r="AW981" s="2"/>
      <c r="AX981" s="2"/>
      <c r="AY981" s="2"/>
      <c r="AZ981" s="2"/>
      <c r="BA981" s="2"/>
      <c r="BB981" s="2"/>
    </row>
    <row r="982">
      <c r="A982" s="2">
        <f>IFERROR(__xludf.DUMMYFUNCTION("""COMPUTED_VALUE"""),978.0)</f>
        <v>978</v>
      </c>
      <c r="B982" s="2" t="str">
        <f>IFERROR(__xludf.DUMMYFUNCTION("""COMPUTED_VALUE"""),"COMPLETED")</f>
        <v>COMPLETED</v>
      </c>
      <c r="C982" s="74">
        <f>IFERROR(__xludf.DUMMYFUNCTION("""COMPUTED_VALUE"""),45801.0)</f>
        <v>45801</v>
      </c>
      <c r="D982" s="71" t="str">
        <f>IFERROR(__xludf.DUMMYFUNCTION("""COMPUTED_VALUE"""),"BARING SAN NICOLAS FARMERS ASSOCIATION")</f>
        <v>BARING SAN NICOLAS FARMERS ASSOCIATION</v>
      </c>
      <c r="E982" s="71" t="str">
        <f>IFERROR(__xludf.DUMMYFUNCTION("""COMPUTED_VALUE"""),"San Nicolas, Castillejos, ZAMBALES")</f>
        <v>San Nicolas, Castillejos, ZAMBALES</v>
      </c>
      <c r="F982" s="2"/>
      <c r="G982" s="2">
        <f>IFERROR(__xludf.DUMMYFUNCTION("""COMPUTED_VALUE"""),9.60379543E9)</f>
        <v>9603795430</v>
      </c>
      <c r="H982" s="2">
        <f>IFERROR(__xludf.DUMMYFUNCTION("""COMPUTED_VALUE"""),393.5)</f>
        <v>393.5</v>
      </c>
      <c r="I982" s="72" t="str">
        <f>IFERROR(__xludf.DUMMYFUNCTION("""COMPUTED_VALUE"""),"REPAIR - TRACTOR")</f>
        <v>REPAIR - TRACTOR</v>
      </c>
      <c r="J982" s="72" t="str">
        <f>IFERROR(__xludf.DUMMYFUNCTION("""COMPUTED_VALUE"""),"Front Axle - Leaking")</f>
        <v>Front Axle - Leaking</v>
      </c>
      <c r="K982" s="72" t="str">
        <f>IFERROR(__xludf.DUMMYFUNCTION("""COMPUTED_VALUE"""),"EGT:FRONT AXLE LEAKING")</f>
        <v>EGT:FRONT AXLE LEAKING</v>
      </c>
      <c r="L982" s="72" t="str">
        <f>IFERROR(__xludf.DUMMYFUNCTION("""COMPUTED_VALUE"""),"DSD: REPLACED FRONT AXLE OIL SEAL")</f>
        <v>DSD: REPLACED FRONT AXLE OIL SEAL</v>
      </c>
      <c r="M982" s="2"/>
      <c r="N982" s="2" t="str">
        <f>IFERROR(__xludf.DUMMYFUNCTION("""COMPUTED_VALUE"""),"PARTS: FRONT AXLE OIL SEAL TA00041359")</f>
        <v>PARTS: FRONT AXLE OIL SEAL TA00041359</v>
      </c>
      <c r="O982" s="2">
        <f>IFERROR(__xludf.DUMMYFUNCTION("""COMPUTED_VALUE"""),1076.0)</f>
        <v>1076</v>
      </c>
      <c r="P982" s="2"/>
      <c r="Q982" s="2"/>
      <c r="R982" s="74">
        <f>IFERROR(__xludf.DUMMYFUNCTION("""COMPUTED_VALUE"""),45819.0)</f>
        <v>45819</v>
      </c>
      <c r="S982" s="2" t="str">
        <f>IFERROR(__xludf.DUMMYFUNCTION("""COMPUTED_VALUE"""),"DSD/ DRM")</f>
        <v>DSD/ DRM</v>
      </c>
      <c r="T982" s="73">
        <f>IFERROR(__xludf.DUMMYFUNCTION("""COMPUTED_VALUE"""),3375.0)</f>
        <v>3375</v>
      </c>
      <c r="U982" s="73" t="str">
        <f>IFERROR(__xludf.DUMMYFUNCTION("""COMPUTED_VALUE""")," REMITTED ")</f>
        <v>REMITTED</v>
      </c>
      <c r="V982" s="2"/>
      <c r="W982" s="2">
        <f>IFERROR(__xludf.DUMMYFUNCTION("""COMPUTED_VALUE"""),1601.0)</f>
        <v>1601</v>
      </c>
      <c r="X982" s="2">
        <f>IFERROR(__xludf.DUMMYFUNCTION("""COMPUTED_VALUE"""),1419.0)</f>
        <v>1419</v>
      </c>
      <c r="Y982" s="2"/>
      <c r="Z982" s="2"/>
      <c r="AA982" s="2"/>
      <c r="AB982" s="2"/>
      <c r="AC982" s="2"/>
      <c r="AD982" s="2"/>
      <c r="AE982" s="2"/>
      <c r="AF982" s="2"/>
      <c r="AG982" s="2"/>
      <c r="AH982" s="2"/>
      <c r="AI982" s="2"/>
      <c r="AJ982" s="2" t="str">
        <f>IFERROR(__xludf.DUMMYFUNCTION("""COMPUTED_VALUE"""),"San Nicolas")</f>
        <v>San Nicolas</v>
      </c>
      <c r="AK982" s="2" t="str">
        <f>IFERROR(__xludf.DUMMYFUNCTION("""COMPUTED_VALUE"""),"Castillejos")</f>
        <v>Castillejos</v>
      </c>
      <c r="AL982" s="2" t="str">
        <f>IFERROR(__xludf.DUMMYFUNCTION("""COMPUTED_VALUE"""),"Zambales")</f>
        <v>Zambales</v>
      </c>
      <c r="AM982" s="2">
        <f>IFERROR(__xludf.DUMMYFUNCTION("""COMPUTED_VALUE"""),3.0)</f>
        <v>3</v>
      </c>
      <c r="AN982" s="2" t="str">
        <f>IFERROR(__xludf.DUMMYFUNCTION("""COMPUTED_VALUE"""),"RCEF 23-09-21 Rebidding")</f>
        <v>RCEF 23-09-21 Rebidding</v>
      </c>
      <c r="AO982" s="2">
        <f>IFERROR(__xludf.DUMMYFUNCTION("""COMPUTED_VALUE"""),3.0)</f>
        <v>3</v>
      </c>
      <c r="AP982" s="2"/>
      <c r="AQ982" s="2"/>
      <c r="AR982" s="2"/>
      <c r="AS982" s="2"/>
      <c r="AT982" s="2"/>
      <c r="AU982" s="2"/>
      <c r="AV982" s="2"/>
      <c r="AW982" s="2"/>
      <c r="AX982" s="2"/>
      <c r="AY982" s="2"/>
      <c r="AZ982" s="2"/>
      <c r="BA982" s="2"/>
      <c r="BB982" s="2"/>
    </row>
    <row r="983">
      <c r="A983" s="2">
        <f>IFERROR(__xludf.DUMMYFUNCTION("""COMPUTED_VALUE"""),979.0)</f>
        <v>979</v>
      </c>
      <c r="B983" s="2" t="str">
        <f>IFERROR(__xludf.DUMMYFUNCTION("""COMPUTED_VALUE"""),"COMPLETED")</f>
        <v>COMPLETED</v>
      </c>
      <c r="C983" s="74">
        <f>IFERROR(__xludf.DUMMYFUNCTION("""COMPUTED_VALUE"""),45802.0)</f>
        <v>45802</v>
      </c>
      <c r="D983" s="71" t="str">
        <f>IFERROR(__xludf.DUMMYFUNCTION("""COMPUTED_VALUE"""),"LIOZON FISHERFOLKS AND FARMERS' ASSOCIATION")</f>
        <v>LIOZON FISHERFOLKS AND FARMERS' ASSOCIATION</v>
      </c>
      <c r="E983" s="71" t="str">
        <f>IFERROR(__xludf.DUMMYFUNCTION("""COMPUTED_VALUE"""),"Liozon, Palauig, ZAMBALES")</f>
        <v>Liozon, Palauig, ZAMBALES</v>
      </c>
      <c r="F983" s="2" t="str">
        <f>IFERROR(__xludf.DUMMYFUNCTION("""COMPUTED_VALUE"""),"Rene Alves")</f>
        <v>Rene Alves</v>
      </c>
      <c r="G983" s="2">
        <f>IFERROR(__xludf.DUMMYFUNCTION("""COMPUTED_VALUE"""),9.502454865E9)</f>
        <v>9502454865</v>
      </c>
      <c r="H983" s="2"/>
      <c r="I983" s="72" t="str">
        <f>IFERROR(__xludf.DUMMYFUNCTION("""COMPUTED_VALUE"""),"REPAIR - TRACTOR")</f>
        <v>REPAIR - TRACTOR</v>
      </c>
      <c r="J983" s="72" t="str">
        <f>IFERROR(__xludf.DUMMYFUNCTION("""COMPUTED_VALUE"""),"Hydraulic Hose Leak")</f>
        <v>Hydraulic Hose Leak</v>
      </c>
      <c r="K983" s="72" t="str">
        <f>IFERROR(__xludf.DUMMYFUNCTION("""COMPUTED_VALUE"""),"EGT: Tumatagas sa may hose ng steering wheel ")</f>
        <v>EGT: Tumatagas sa may hose ng steering wheel </v>
      </c>
      <c r="L983" s="72" t="str">
        <f>IFERROR(__xludf.DUMMYFUNCTION("""COMPUTED_VALUE"""),"ACS: REPLACED HYDRAULIC HOSE")</f>
        <v>ACS: REPLACED HYDRAULIC HOSE</v>
      </c>
      <c r="M983" s="2"/>
      <c r="N983" s="2"/>
      <c r="O983" s="2">
        <f>IFERROR(__xludf.DUMMYFUNCTION("""COMPUTED_VALUE"""),1403.0)</f>
        <v>1403</v>
      </c>
      <c r="P983" s="2"/>
      <c r="Q983" s="2"/>
      <c r="R983" s="74">
        <f>IFERROR(__xludf.DUMMYFUNCTION("""COMPUTED_VALUE"""),45807.0)</f>
        <v>45807</v>
      </c>
      <c r="S983" s="2" t="str">
        <f>IFERROR(__xludf.DUMMYFUNCTION("""COMPUTED_VALUE"""),"JHP/ACS")</f>
        <v>JHP/ACS</v>
      </c>
      <c r="T983" s="73" t="str">
        <f>IFERROR(__xludf.DUMMYFUNCTION("""COMPUTED_VALUE""")," N/A ")</f>
        <v>N/A</v>
      </c>
      <c r="U983" s="73" t="str">
        <f>IFERROR(__xludf.DUMMYFUNCTION("""COMPUTED_VALUE""")," NO CHARGE ")</f>
        <v>NO CHARGE</v>
      </c>
      <c r="V983" s="2"/>
      <c r="W983" s="2" t="str">
        <f>IFERROR(__xludf.DUMMYFUNCTION("""COMPUTED_VALUE"""),"N/A")</f>
        <v>N/A</v>
      </c>
      <c r="X983" s="2" t="str">
        <f>IFERROR(__xludf.DUMMYFUNCTION("""COMPUTED_VALUE"""),"N/A")</f>
        <v>N/A</v>
      </c>
      <c r="Y983" s="2"/>
      <c r="Z983" s="2"/>
      <c r="AA983" s="2"/>
      <c r="AB983" s="2"/>
      <c r="AC983" s="2"/>
      <c r="AD983" s="2"/>
      <c r="AE983" s="2"/>
      <c r="AF983" s="2"/>
      <c r="AG983" s="2"/>
      <c r="AH983" s="2"/>
      <c r="AI983" s="2"/>
      <c r="AJ983" s="2" t="str">
        <f>IFERROR(__xludf.DUMMYFUNCTION("""COMPUTED_VALUE"""),"Liozon")</f>
        <v>Liozon</v>
      </c>
      <c r="AK983" s="2" t="str">
        <f>IFERROR(__xludf.DUMMYFUNCTION("""COMPUTED_VALUE"""),"Palauig")</f>
        <v>Palauig</v>
      </c>
      <c r="AL983" s="2" t="str">
        <f>IFERROR(__xludf.DUMMYFUNCTION("""COMPUTED_VALUE"""),"Zambales")</f>
        <v>Zambales</v>
      </c>
      <c r="AM983" s="2">
        <f>IFERROR(__xludf.DUMMYFUNCTION("""COMPUTED_VALUE"""),3.0)</f>
        <v>3</v>
      </c>
      <c r="AN983" s="2" t="str">
        <f>IFERROR(__xludf.DUMMYFUNCTION("""COMPUTED_VALUE"""),"RCEF 23-09-21 Rebidding")</f>
        <v>RCEF 23-09-21 Rebidding</v>
      </c>
      <c r="AO983" s="2">
        <f>IFERROR(__xludf.DUMMYFUNCTION("""COMPUTED_VALUE"""),3.0)</f>
        <v>3</v>
      </c>
      <c r="AP983" s="2"/>
      <c r="AQ983" s="2"/>
      <c r="AR983" s="2"/>
      <c r="AS983" s="2"/>
      <c r="AT983" s="2"/>
      <c r="AU983" s="2"/>
      <c r="AV983" s="2"/>
      <c r="AW983" s="2"/>
      <c r="AX983" s="2"/>
      <c r="AY983" s="2"/>
      <c r="AZ983" s="2"/>
      <c r="BA983" s="2"/>
      <c r="BB983" s="2"/>
    </row>
    <row r="984">
      <c r="A984" s="2">
        <f>IFERROR(__xludf.DUMMYFUNCTION("""COMPUTED_VALUE"""),980.0)</f>
        <v>980</v>
      </c>
      <c r="B984" s="2" t="str">
        <f>IFERROR(__xludf.DUMMYFUNCTION("""COMPUTED_VALUE"""),"COMPLETED")</f>
        <v>COMPLETED</v>
      </c>
      <c r="C984" s="74">
        <f>IFERROR(__xludf.DUMMYFUNCTION("""COMPUTED_VALUE"""),45803.0)</f>
        <v>45803</v>
      </c>
      <c r="D984" s="71" t="str">
        <f>IFERROR(__xludf.DUMMYFUNCTION("""COMPUTED_VALUE"""),"SAMAHANG GUMAGAWA TUNGONG TAGUMPAY MULTI-PURPOSE COOPERATIVE (SAGUTT)")</f>
        <v>SAMAHANG GUMAGAWA TUNGONG TAGUMPAY MULTI-PURPOSE COOPERATIVE (SAGUTT)</v>
      </c>
      <c r="E984" s="71" t="str">
        <f>IFERROR(__xludf.DUMMYFUNCTION("""COMPUTED_VALUE"""),"Paetan, Sablayan, OCCIDENTAL MINDORO")</f>
        <v>Paetan, Sablayan, OCCIDENTAL MINDORO</v>
      </c>
      <c r="F984" s="2" t="str">
        <f>IFERROR(__xludf.DUMMYFUNCTION("""COMPUTED_VALUE"""),"Januarius Martinez")</f>
        <v>Januarius Martinez</v>
      </c>
      <c r="G984" s="2">
        <f>IFERROR(__xludf.DUMMYFUNCTION("""COMPUTED_VALUE"""),9.91543942E8)</f>
        <v>991543942</v>
      </c>
      <c r="H984" s="2">
        <f>IFERROR(__xludf.DUMMYFUNCTION("""COMPUTED_VALUE"""),315.0)</f>
        <v>315</v>
      </c>
      <c r="I984" s="72" t="str">
        <f>IFERROR(__xludf.DUMMYFUNCTION("""COMPUTED_VALUE"""),"REPAIR - TRACTOR")</f>
        <v>REPAIR - TRACTOR</v>
      </c>
      <c r="J984" s="72" t="str">
        <f>IFERROR(__xludf.DUMMYFUNCTION("""COMPUTED_VALUE"""),"Electrical - PTO Switch")</f>
        <v>Electrical - PTO Switch</v>
      </c>
      <c r="K984" s="72" t="str">
        <f>IFERROR(__xludf.DUMMYFUNCTION("""COMPUTED_VALUE"""),"MYK: We are currently experiencing an issue with the tractor, The engine of the tractor is not starting.
")</f>
        <v>MYK: We are currently experiencing an issue with the tractor, The engine of the tractor is not starting.
</v>
      </c>
      <c r="L984" s="72" t="str">
        <f>IFERROR(__xludf.DUMMYFUNCTION("""COMPUTED_VALUE"""),"RCG: ENGINE NOT STARTING MAY LUMALABAS NA INDICATOR SA PANEL BOARD
PTO SWITCH NOT WORKING SOMETIMES
CHECK UP UNIT AND ASSIST THE OPERATOR")</f>
        <v>RCG: ENGINE NOT STARTING MAY LUMALABAS NA INDICATOR SA PANEL BOARD
PTO SWITCH NOT WORKING SOMETIMES
CHECK UP UNIT AND ASSIST THE OPERATOR</v>
      </c>
      <c r="M984" s="2"/>
      <c r="N984" s="2"/>
      <c r="O984" s="2">
        <f>IFERROR(__xludf.DUMMYFUNCTION("""COMPUTED_VALUE"""),165.0)</f>
        <v>165</v>
      </c>
      <c r="P984" s="2"/>
      <c r="Q984" s="2"/>
      <c r="R984" s="74">
        <f>IFERROR(__xludf.DUMMYFUNCTION("""COMPUTED_VALUE"""),45821.0)</f>
        <v>45821</v>
      </c>
      <c r="S984" s="2" t="str">
        <f>IFERROR(__xludf.DUMMYFUNCTION("""COMPUTED_VALUE"""),"RCG/RBS")</f>
        <v>RCG/RBS</v>
      </c>
      <c r="T984" s="73" t="str">
        <f>IFERROR(__xludf.DUMMYFUNCTION("""COMPUTED_VALUE""")," N/A ")</f>
        <v>N/A</v>
      </c>
      <c r="U984" s="73" t="str">
        <f>IFERROR(__xludf.DUMMYFUNCTION("""COMPUTED_VALUE""")," NO CHARGE ")</f>
        <v>NO CHARGE</v>
      </c>
      <c r="V984" s="2"/>
      <c r="W984" s="2" t="str">
        <f>IFERROR(__xludf.DUMMYFUNCTION("""COMPUTED_VALUE"""),"N/A")</f>
        <v>N/A</v>
      </c>
      <c r="X984" s="2" t="str">
        <f>IFERROR(__xludf.DUMMYFUNCTION("""COMPUTED_VALUE"""),"N/A")</f>
        <v>N/A</v>
      </c>
      <c r="Y984" s="2"/>
      <c r="Z984" s="2"/>
      <c r="AA984" s="2"/>
      <c r="AB984" s="2"/>
      <c r="AC984" s="2"/>
      <c r="AD984" s="2"/>
      <c r="AE984" s="2"/>
      <c r="AF984" s="2"/>
      <c r="AG984" s="2"/>
      <c r="AH984" s="2"/>
      <c r="AI984" s="2"/>
      <c r="AJ984" s="2" t="str">
        <f>IFERROR(__xludf.DUMMYFUNCTION("""COMPUTED_VALUE"""),"Paetan")</f>
        <v>Paetan</v>
      </c>
      <c r="AK984" s="2" t="str">
        <f>IFERROR(__xludf.DUMMYFUNCTION("""COMPUTED_VALUE"""),"Sablayan")</f>
        <v>Sablayan</v>
      </c>
      <c r="AL984" s="2" t="str">
        <f>IFERROR(__xludf.DUMMYFUNCTION("""COMPUTED_VALUE"""),"Occidental Mindoro")</f>
        <v>Occidental Mindoro</v>
      </c>
      <c r="AM984" s="2" t="str">
        <f>IFERROR(__xludf.DUMMYFUNCTION("""COMPUTED_VALUE"""),"4B")</f>
        <v>4B</v>
      </c>
      <c r="AN984" s="2" t="str">
        <f>IFERROR(__xludf.DUMMYFUNCTION("""COMPUTED_VALUE"""),"RCEF 24-04-15")</f>
        <v>RCEF 24-04-15</v>
      </c>
      <c r="AO984" s="2">
        <f>IFERROR(__xludf.DUMMYFUNCTION("""COMPUTED_VALUE"""),7.0)</f>
        <v>7</v>
      </c>
      <c r="AP984" s="2" t="str">
        <f>IFERROR(__xludf.DUMMYFUNCTION("""COMPUTED_VALUE"""),"FREE PMS")</f>
        <v>FREE PMS</v>
      </c>
      <c r="AQ984" s="2"/>
      <c r="AR984" s="2"/>
      <c r="AS984" s="2"/>
      <c r="AT984" s="2"/>
      <c r="AU984" s="2"/>
      <c r="AV984" s="2"/>
      <c r="AW984" s="2"/>
      <c r="AX984" s="2"/>
      <c r="AY984" s="2"/>
      <c r="AZ984" s="2"/>
      <c r="BA984" s="2"/>
      <c r="BB984" s="2"/>
    </row>
    <row r="985">
      <c r="A985" s="2">
        <f>IFERROR(__xludf.DUMMYFUNCTION("""COMPUTED_VALUE"""),981.0)</f>
        <v>981</v>
      </c>
      <c r="B985" s="2" t="str">
        <f>IFERROR(__xludf.DUMMYFUNCTION("""COMPUTED_VALUE"""),"COMPLETED")</f>
        <v>COMPLETED</v>
      </c>
      <c r="C985" s="74">
        <f>IFERROR(__xludf.DUMMYFUNCTION("""COMPUTED_VALUE"""),45803.0)</f>
        <v>45803</v>
      </c>
      <c r="D985" s="71" t="str">
        <f>IFERROR(__xludf.DUMMYFUNCTION("""COMPUTED_VALUE"""),"Pias Farmers Agriculture Cooperative")</f>
        <v>Pias Farmers Agriculture Cooperative</v>
      </c>
      <c r="E985" s="71" t="str">
        <f>IFERROR(__xludf.DUMMYFUNCTION("""COMPUTED_VALUE"""),"Pias, Porac, PAMPANGA")</f>
        <v>Pias, Porac, PAMPANGA</v>
      </c>
      <c r="F985" s="2"/>
      <c r="G985" s="2">
        <f>IFERROR(__xludf.DUMMYFUNCTION("""COMPUTED_VALUE"""),9.953421437E9)</f>
        <v>9953421437</v>
      </c>
      <c r="H985" s="2"/>
      <c r="I985" s="72" t="str">
        <f>IFERROR(__xludf.DUMMYFUNCTION("""COMPUTED_VALUE"""),"SPARE PARTS ACQUISITION")</f>
        <v>SPARE PARTS ACQUISITION</v>
      </c>
      <c r="J985" s="72" t="str">
        <f>IFERROR(__xludf.DUMMYFUNCTION("""COMPUTED_VALUE"""),"PARTS REQUEST")</f>
        <v>PARTS REQUEST</v>
      </c>
      <c r="K985" s="72" t="str">
        <f>IFERROR(__xludf.DUMMYFUNCTION("""COMPUTED_VALUE"""),"MYK:LEAKING SA MAY RIM NG GULONG SA UNAHANG BANDA GULONG (KALIWA)
PARTS: FRONT AXLE OIL SEAL , ROTAVATOR BLADE 42 PCS")</f>
        <v>MYK:LEAKING SA MAY RIM NG GULONG SA UNAHANG BANDA GULONG (KALIWA)
PARTS: FRONT AXLE OIL SEAL , ROTAVATOR BLADE 42 PCS</v>
      </c>
      <c r="L985" s="72" t="str">
        <f>IFERROR(__xludf.DUMMYFUNCTION("""COMPUTED_VALUE"""),"DSD: NO LEAKING UPON ASSESSMENT")</f>
        <v>DSD: NO LEAKING UPON ASSESSMENT</v>
      </c>
      <c r="M985" s="2"/>
      <c r="N985" s="2"/>
      <c r="O985" s="2" t="str">
        <f>IFERROR(__xludf.DUMMYFUNCTION("""COMPUTED_VALUE"""),"N/A")</f>
        <v>N/A</v>
      </c>
      <c r="P985" s="2"/>
      <c r="Q985" s="2"/>
      <c r="R985" s="74">
        <f>IFERROR(__xludf.DUMMYFUNCTION("""COMPUTED_VALUE"""),45930.0)</f>
        <v>45930</v>
      </c>
      <c r="S985" s="2" t="str">
        <f>IFERROR(__xludf.DUMMYFUNCTION("""COMPUTED_VALUE"""),"DSD")</f>
        <v>DSD</v>
      </c>
      <c r="T985" s="73" t="str">
        <f>IFERROR(__xludf.DUMMYFUNCTION("""COMPUTED_VALUE""")," N/A ")</f>
        <v>N/A</v>
      </c>
      <c r="U985" s="73" t="str">
        <f>IFERROR(__xludf.DUMMYFUNCTION("""COMPUTED_VALUE""")," NO CHARGE ")</f>
        <v>NO CHARGE</v>
      </c>
      <c r="V985" s="2"/>
      <c r="W985" s="2" t="str">
        <f>IFERROR(__xludf.DUMMYFUNCTION("""COMPUTED_VALUE"""),"N/A")</f>
        <v>N/A</v>
      </c>
      <c r="X985" s="2" t="str">
        <f>IFERROR(__xludf.DUMMYFUNCTION("""COMPUTED_VALUE"""),"N/A")</f>
        <v>N/A</v>
      </c>
      <c r="Y985" s="2"/>
      <c r="Z985" s="2"/>
      <c r="AA985" s="2"/>
      <c r="AB985" s="2"/>
      <c r="AC985" s="2"/>
      <c r="AD985" s="2"/>
      <c r="AE985" s="2"/>
      <c r="AF985" s="2"/>
      <c r="AG985" s="2"/>
      <c r="AH985" s="2"/>
      <c r="AI985" s="2"/>
      <c r="AJ985" s="2" t="str">
        <f>IFERROR(__xludf.DUMMYFUNCTION("""COMPUTED_VALUE"""),"Pias")</f>
        <v>Pias</v>
      </c>
      <c r="AK985" s="2" t="str">
        <f>IFERROR(__xludf.DUMMYFUNCTION("""COMPUTED_VALUE"""),"Porac")</f>
        <v>Porac</v>
      </c>
      <c r="AL985" s="2" t="str">
        <f>IFERROR(__xludf.DUMMYFUNCTION("""COMPUTED_VALUE"""),"Pampanga")</f>
        <v>Pampanga</v>
      </c>
      <c r="AM985" s="2">
        <f>IFERROR(__xludf.DUMMYFUNCTION("""COMPUTED_VALUE"""),3.0)</f>
        <v>3</v>
      </c>
      <c r="AN985" s="2" t="str">
        <f>IFERROR(__xludf.DUMMYFUNCTION("""COMPUTED_VALUE"""),"RCEF 24-04-15")</f>
        <v>RCEF 24-04-15</v>
      </c>
      <c r="AO985" s="2">
        <f>IFERROR(__xludf.DUMMYFUNCTION("""COMPUTED_VALUE"""),6.0)</f>
        <v>6</v>
      </c>
      <c r="AP985" s="2" t="str">
        <f>IFERROR(__xludf.DUMMYFUNCTION("""COMPUTED_VALUE"""),"FREE PMS")</f>
        <v>FREE PMS</v>
      </c>
      <c r="AQ985" s="2"/>
      <c r="AR985" s="2"/>
      <c r="AS985" s="2"/>
      <c r="AT985" s="2"/>
      <c r="AU985" s="2"/>
      <c r="AV985" s="2"/>
      <c r="AW985" s="2"/>
      <c r="AX985" s="2"/>
      <c r="AY985" s="2"/>
      <c r="AZ985" s="2"/>
      <c r="BA985" s="2"/>
      <c r="BB985" s="2"/>
    </row>
    <row r="986">
      <c r="A986" s="2">
        <f>IFERROR(__xludf.DUMMYFUNCTION("""COMPUTED_VALUE"""),982.0)</f>
        <v>982</v>
      </c>
      <c r="B986" s="2" t="str">
        <f>IFERROR(__xludf.DUMMYFUNCTION("""COMPUTED_VALUE"""),"COMPLETED")</f>
        <v>COMPLETED</v>
      </c>
      <c r="C986" s="74">
        <f>IFERROR(__xludf.DUMMYFUNCTION("""COMPUTED_VALUE"""),45803.0)</f>
        <v>45803</v>
      </c>
      <c r="D986" s="71" t="str">
        <f>IFERROR(__xludf.DUMMYFUNCTION("""COMPUTED_VALUE"""),"POBLACION ILAYA PANIT-AN FARMERS ASSOCIATION")</f>
        <v>POBLACION ILAYA PANIT-AN FARMERS ASSOCIATION</v>
      </c>
      <c r="E986" s="71" t="str">
        <f>IFERROR(__xludf.DUMMYFUNCTION("""COMPUTED_VALUE"""),"Poblacion Ilaya, Panitan, CAPIZ")</f>
        <v>Poblacion Ilaya, Panitan, CAPIZ</v>
      </c>
      <c r="F986" s="2" t="str">
        <f>IFERROR(__xludf.DUMMYFUNCTION("""COMPUTED_VALUE"""),"LORENZO DUMOL")</f>
        <v>LORENZO DUMOL</v>
      </c>
      <c r="G986" s="2">
        <f>IFERROR(__xludf.DUMMYFUNCTION("""COMPUTED_VALUE"""),9.270293201E9)</f>
        <v>9270293201</v>
      </c>
      <c r="H986" s="2">
        <f>IFERROR(__xludf.DUMMYFUNCTION("""COMPUTED_VALUE"""),350.0)</f>
        <v>350</v>
      </c>
      <c r="I986" s="72" t="str">
        <f>IFERROR(__xludf.DUMMYFUNCTION("""COMPUTED_VALUE"""),"SPARE PARTS ACQUISITION")</f>
        <v>SPARE PARTS ACQUISITION</v>
      </c>
      <c r="J986" s="72" t="str">
        <f>IFERROR(__xludf.DUMMYFUNCTION("""COMPUTED_VALUE"""),"PARTS REQUEST")</f>
        <v>PARTS REQUEST</v>
      </c>
      <c r="K986" s="72" t="str">
        <f>IFERROR(__xludf.DUMMYFUNCTION("""COMPUTED_VALUE"""),"MYK: PARTS: DISC PLOW DISC - DRIVEN DISC")</f>
        <v>MYK: PARTS: DISC PLOW DISC - DRIVEN DISC</v>
      </c>
      <c r="L986" s="72" t="str">
        <f>IFERROR(__xludf.DUMMYFUNCTION("""COMPUTED_VALUE"""),"QOUTATION SENT: UNDECIDED: CANCELLED")</f>
        <v>QOUTATION SENT: UNDECIDED: CANCELLED</v>
      </c>
      <c r="M986" s="2"/>
      <c r="N986" s="2"/>
      <c r="O986" s="2" t="str">
        <f>IFERROR(__xludf.DUMMYFUNCTION("""COMPUTED_VALUE"""),"N/A")</f>
        <v>N/A</v>
      </c>
      <c r="P986" s="2"/>
      <c r="Q986" s="2"/>
      <c r="R986" s="74">
        <f>IFERROR(__xludf.DUMMYFUNCTION("""COMPUTED_VALUE"""),45930.0)</f>
        <v>45930</v>
      </c>
      <c r="S986" s="2" t="str">
        <f>IFERROR(__xludf.DUMMYFUNCTION("""COMPUTED_VALUE"""),"MYKEE")</f>
        <v>MYKEE</v>
      </c>
      <c r="T986" s="73" t="str">
        <f>IFERROR(__xludf.DUMMYFUNCTION("""COMPUTED_VALUE""")," N/A ")</f>
        <v>N/A</v>
      </c>
      <c r="U986" s="73" t="str">
        <f>IFERROR(__xludf.DUMMYFUNCTION("""COMPUTED_VALUE""")," NO CHARGE ")</f>
        <v>NO CHARGE</v>
      </c>
      <c r="V986" s="2"/>
      <c r="W986" s="2" t="str">
        <f>IFERROR(__xludf.DUMMYFUNCTION("""COMPUTED_VALUE"""),"N/A")</f>
        <v>N/A</v>
      </c>
      <c r="X986" s="2" t="str">
        <f>IFERROR(__xludf.DUMMYFUNCTION("""COMPUTED_VALUE"""),"N/A")</f>
        <v>N/A</v>
      </c>
      <c r="Y986" s="2"/>
      <c r="Z986" s="2"/>
      <c r="AA986" s="2"/>
      <c r="AB986" s="2"/>
      <c r="AC986" s="2"/>
      <c r="AD986" s="2"/>
      <c r="AE986" s="2"/>
      <c r="AF986" s="2"/>
      <c r="AG986" s="2"/>
      <c r="AH986" s="2"/>
      <c r="AI986" s="2"/>
      <c r="AJ986" s="2" t="str">
        <f>IFERROR(__xludf.DUMMYFUNCTION("""COMPUTED_VALUE"""),"Poblacion Ilaya")</f>
        <v>Poblacion Ilaya</v>
      </c>
      <c r="AK986" s="2" t="str">
        <f>IFERROR(__xludf.DUMMYFUNCTION("""COMPUTED_VALUE"""),"Panitan")</f>
        <v>Panitan</v>
      </c>
      <c r="AL986" s="2" t="str">
        <f>IFERROR(__xludf.DUMMYFUNCTION("""COMPUTED_VALUE"""),"Capiz")</f>
        <v>Capiz</v>
      </c>
      <c r="AM986" s="2">
        <f>IFERROR(__xludf.DUMMYFUNCTION("""COMPUTED_VALUE"""),6.0)</f>
        <v>6</v>
      </c>
      <c r="AN986" s="2" t="str">
        <f>IFERROR(__xludf.DUMMYFUNCTION("""COMPUTED_VALUE"""),"RCEF 23-09-21 Rebidding")</f>
        <v>RCEF 23-09-21 Rebidding</v>
      </c>
      <c r="AO986" s="2">
        <f>IFERROR(__xludf.DUMMYFUNCTION("""COMPUTED_VALUE"""),4.0)</f>
        <v>4</v>
      </c>
      <c r="AP986" s="2"/>
      <c r="AQ986" s="2"/>
      <c r="AR986" s="2"/>
      <c r="AS986" s="2"/>
      <c r="AT986" s="2"/>
      <c r="AU986" s="2"/>
      <c r="AV986" s="2"/>
      <c r="AW986" s="2"/>
      <c r="AX986" s="2"/>
      <c r="AY986" s="2"/>
      <c r="AZ986" s="2"/>
      <c r="BA986" s="2"/>
      <c r="BB986" s="2"/>
    </row>
    <row r="987">
      <c r="A987" s="2">
        <f>IFERROR(__xludf.DUMMYFUNCTION("""COMPUTED_VALUE"""),983.0)</f>
        <v>983</v>
      </c>
      <c r="B987" s="2" t="str">
        <f>IFERROR(__xludf.DUMMYFUNCTION("""COMPUTED_VALUE"""),"COMPLETED")</f>
        <v>COMPLETED</v>
      </c>
      <c r="C987" s="74">
        <f>IFERROR(__xludf.DUMMYFUNCTION("""COMPUTED_VALUE"""),45804.0)</f>
        <v>45804</v>
      </c>
      <c r="D987" s="71" t="str">
        <f>IFERROR(__xludf.DUMMYFUNCTION("""COMPUTED_VALUE"""),"Kalayaan Grain Farmers Association")</f>
        <v>Kalayaan Grain Farmers Association</v>
      </c>
      <c r="E987" s="71" t="str">
        <f>IFERROR(__xludf.DUMMYFUNCTION("""COMPUTED_VALUE"""),"Dakila, Malolos City, BULACAN")</f>
        <v>Dakila, Malolos City, BULACAN</v>
      </c>
      <c r="F987" s="2" t="str">
        <f>IFERROR(__xludf.DUMMYFUNCTION("""COMPUTED_VALUE"""),"APOLINARIO SURIO")</f>
        <v>APOLINARIO SURIO</v>
      </c>
      <c r="G987" s="2">
        <f>IFERROR(__xludf.DUMMYFUNCTION("""COMPUTED_VALUE"""),9.670497805E9)</f>
        <v>9670497805</v>
      </c>
      <c r="H987" s="2">
        <f>IFERROR(__xludf.DUMMYFUNCTION("""COMPUTED_VALUE"""),50.0)</f>
        <v>50</v>
      </c>
      <c r="I987" s="72" t="str">
        <f>IFERROR(__xludf.DUMMYFUNCTION("""COMPUTED_VALUE"""),"REPAIR - ROTAVATOR")</f>
        <v>REPAIR - ROTAVATOR</v>
      </c>
      <c r="J987" s="72" t="str">
        <f>IFERROR(__xludf.DUMMYFUNCTION("""COMPUTED_VALUE"""),"Training")</f>
        <v>Training</v>
      </c>
      <c r="K987" s="72" t="str">
        <f>IFERROR(__xludf.DUMMYFUNCTION("""COMPUTED_VALUE"""),"MYK: BIGLANG NAMAMATAY ANG ROTAVATOR PAG NA OOPERATE NA, ")</f>
        <v>MYK: BIGLANG NAMAMATAY ANG ROTAVATOR PAG NA OOPERATE NA, </v>
      </c>
      <c r="L987" s="72" t="str">
        <f>IFERROR(__xludf.DUMMYFUNCTION("""COMPUTED_VALUE"""),"FARMER: MAY NAKABARANG RUBBER SA HOSE, AT MAY NAKAPALUPOT NA BARBER SA ROTO KAYA HINDI GUMAGANA ANG ROTO, NATANGAL NA NAMIN, NGAYUN AY OK NA ANG UNIT, OPERATIONAL NA. ")</f>
        <v>FARMER: MAY NAKABARANG RUBBER SA HOSE, AT MAY NAKAPALUPOT NA BARBER SA ROTO KAYA HINDI GUMAGANA ANG ROTO, NATANGAL NA NAMIN, NGAYUN AY OK NA ANG UNIT, OPERATIONAL NA. </v>
      </c>
      <c r="M987" s="2"/>
      <c r="N987" s="2"/>
      <c r="O987" s="2" t="str">
        <f>IFERROR(__xludf.DUMMYFUNCTION("""COMPUTED_VALUE"""),"N/A")</f>
        <v>N/A</v>
      </c>
      <c r="P987" s="2"/>
      <c r="Q987" s="2"/>
      <c r="R987" s="74">
        <f>IFERROR(__xludf.DUMMYFUNCTION("""COMPUTED_VALUE"""),45805.0)</f>
        <v>45805</v>
      </c>
      <c r="S987" s="2" t="str">
        <f>IFERROR(__xludf.DUMMYFUNCTION("""COMPUTED_VALUE"""),"MYKEE")</f>
        <v>MYKEE</v>
      </c>
      <c r="T987" s="73" t="str">
        <f>IFERROR(__xludf.DUMMYFUNCTION("""COMPUTED_VALUE""")," N/A ")</f>
        <v>N/A</v>
      </c>
      <c r="U987" s="73" t="str">
        <f>IFERROR(__xludf.DUMMYFUNCTION("""COMPUTED_VALUE""")," NO CHARGE ")</f>
        <v>NO CHARGE</v>
      </c>
      <c r="V987" s="2"/>
      <c r="W987" s="2" t="str">
        <f>IFERROR(__xludf.DUMMYFUNCTION("""COMPUTED_VALUE"""),"N/A")</f>
        <v>N/A</v>
      </c>
      <c r="X987" s="2" t="str">
        <f>IFERROR(__xludf.DUMMYFUNCTION("""COMPUTED_VALUE"""),"N/A")</f>
        <v>N/A</v>
      </c>
      <c r="Y987" s="2"/>
      <c r="Z987" s="2"/>
      <c r="AA987" s="2"/>
      <c r="AB987" s="2"/>
      <c r="AC987" s="2"/>
      <c r="AD987" s="2"/>
      <c r="AE987" s="2"/>
      <c r="AF987" s="2"/>
      <c r="AG987" s="2"/>
      <c r="AH987" s="2"/>
      <c r="AI987" s="2"/>
      <c r="AJ987" s="2" t="str">
        <f>IFERROR(__xludf.DUMMYFUNCTION("""COMPUTED_VALUE"""),"Dakila")</f>
        <v>Dakila</v>
      </c>
      <c r="AK987" s="2" t="str">
        <f>IFERROR(__xludf.DUMMYFUNCTION("""COMPUTED_VALUE"""),"Malolos City")</f>
        <v>Malolos City</v>
      </c>
      <c r="AL987" s="2" t="str">
        <f>IFERROR(__xludf.DUMMYFUNCTION("""COMPUTED_VALUE"""),"Bulacan")</f>
        <v>Bulacan</v>
      </c>
      <c r="AM987" s="2">
        <f>IFERROR(__xludf.DUMMYFUNCTION("""COMPUTED_VALUE"""),3.0)</f>
        <v>3</v>
      </c>
      <c r="AN987" s="2" t="str">
        <f>IFERROR(__xludf.DUMMYFUNCTION("""COMPUTED_VALUE"""),"Repeat Order")</f>
        <v>Repeat Order</v>
      </c>
      <c r="AO987" s="2">
        <f>IFERROR(__xludf.DUMMYFUNCTION("""COMPUTED_VALUE"""),6.0)</f>
        <v>6</v>
      </c>
      <c r="AP987" s="2" t="str">
        <f>IFERROR(__xludf.DUMMYFUNCTION("""COMPUTED_VALUE"""),"FREE PMS")</f>
        <v>FREE PMS</v>
      </c>
      <c r="AQ987" s="2"/>
      <c r="AR987" s="2"/>
      <c r="AS987" s="2"/>
      <c r="AT987" s="2"/>
      <c r="AU987" s="2"/>
      <c r="AV987" s="2"/>
      <c r="AW987" s="2"/>
      <c r="AX987" s="2"/>
      <c r="AY987" s="2"/>
      <c r="AZ987" s="2"/>
      <c r="BA987" s="2"/>
      <c r="BB987" s="2"/>
    </row>
    <row r="988">
      <c r="A988" s="2">
        <f>IFERROR(__xludf.DUMMYFUNCTION("""COMPUTED_VALUE"""),984.0)</f>
        <v>984</v>
      </c>
      <c r="B988" s="2" t="str">
        <f>IFERROR(__xludf.DUMMYFUNCTION("""COMPUTED_VALUE"""),"COMPLETED")</f>
        <v>COMPLETED</v>
      </c>
      <c r="C988" s="74">
        <f>IFERROR(__xludf.DUMMYFUNCTION("""COMPUTED_VALUE"""),45804.0)</f>
        <v>45804</v>
      </c>
      <c r="D988" s="71" t="str">
        <f>IFERROR(__xludf.DUMMYFUNCTION("""COMPUTED_VALUE"""),"GREATEST MANIMAS FARMERS AND FISHERFOLKS ASSOCIATION")</f>
        <v>GREATEST MANIMAS FARMERS AND FISHERFOLKS ASSOCIATION</v>
      </c>
      <c r="E988" s="71" t="str">
        <f>IFERROR(__xludf.DUMMYFUNCTION("""COMPUTED_VALUE"""),"Cataning, Balanga City, BATAAN")</f>
        <v>Cataning, Balanga City, BATAAN</v>
      </c>
      <c r="F988" s="2" t="str">
        <f>IFERROR(__xludf.DUMMYFUNCTION("""COMPUTED_VALUE"""),"Renato s. Carig")</f>
        <v>Renato s. Carig</v>
      </c>
      <c r="G988" s="2" t="str">
        <f>IFERROR(__xludf.DUMMYFUNCTION("""COMPUTED_VALUE"""),"09922 415542")</f>
        <v>09922 415542</v>
      </c>
      <c r="H988" s="2"/>
      <c r="I988" s="72" t="str">
        <f>IFERROR(__xludf.DUMMYFUNCTION("""COMPUTED_VALUE"""),"SPARE PARTS ACQUISITION")</f>
        <v>SPARE PARTS ACQUISITION</v>
      </c>
      <c r="J988" s="72" t="str">
        <f>IFERROR(__xludf.DUMMYFUNCTION("""COMPUTED_VALUE"""),"BLADE")</f>
        <v>BLADE</v>
      </c>
      <c r="K988" s="72" t="str">
        <f>IFERROR(__xludf.DUMMYFUNCTION("""COMPUTED_VALUE"""),"ACS: 2 kanan at 2 kaliwa talim rotur .
2 talim bucket n naputol
PARTS: 
4 - ROTARY BLADES 
2- BUCKET TOOTH
")</f>
        <v>ACS: 2 kanan at 2 kaliwa talim rotur .
2 talim bucket n naputol
PARTS: 
4 - ROTARY BLADES 
2- BUCKET TOOTH
</v>
      </c>
      <c r="L988" s="72" t="str">
        <f>IFERROR(__xludf.DUMMYFUNCTION("""COMPUTED_VALUE"""),"DELIVERED ROTAVATOR BLADES")</f>
        <v>DELIVERED ROTAVATOR BLADES</v>
      </c>
      <c r="M988" s="2"/>
      <c r="N988" s="2" t="str">
        <f>IFERROR(__xludf.DUMMYFUNCTION("""COMPUTED_VALUE"""),"PARTS:
4-ROTAVATOR BLADES")</f>
        <v>PARTS:
4-ROTAVATOR BLADES</v>
      </c>
      <c r="O988" s="2" t="str">
        <f>IFERROR(__xludf.DUMMYFUNCTION("""COMPUTED_VALUE"""),"N/A")</f>
        <v>N/A</v>
      </c>
      <c r="P988" s="2"/>
      <c r="Q988" s="2"/>
      <c r="R988" s="74">
        <f>IFERROR(__xludf.DUMMYFUNCTION("""COMPUTED_VALUE"""),45820.0)</f>
        <v>45820</v>
      </c>
      <c r="S988" s="2" t="str">
        <f>IFERROR(__xludf.DUMMYFUNCTION("""COMPUTED_VALUE"""),"JHP/ACS")</f>
        <v>JHP/ACS</v>
      </c>
      <c r="T988" s="73">
        <f>IFERROR(__xludf.DUMMYFUNCTION("""COMPUTED_VALUE"""),2520.0)</f>
        <v>2520</v>
      </c>
      <c r="U988" s="73" t="str">
        <f>IFERROR(__xludf.DUMMYFUNCTION("""COMPUTED_VALUE""")," REMITTED ")</f>
        <v>REMITTED</v>
      </c>
      <c r="V988" s="2"/>
      <c r="W988" s="2">
        <f>IFERROR(__xludf.DUMMYFUNCTION("""COMPUTED_VALUE"""),1079.0)</f>
        <v>1079</v>
      </c>
      <c r="X988" s="2">
        <f>IFERROR(__xludf.DUMMYFUNCTION("""COMPUTED_VALUE"""),1537.0)</f>
        <v>1537</v>
      </c>
      <c r="Y988" s="2"/>
      <c r="Z988" s="2"/>
      <c r="AA988" s="2"/>
      <c r="AB988" s="2"/>
      <c r="AC988" s="2"/>
      <c r="AD988" s="2"/>
      <c r="AE988" s="2"/>
      <c r="AF988" s="2"/>
      <c r="AG988" s="2"/>
      <c r="AH988" s="2"/>
      <c r="AI988" s="2"/>
      <c r="AJ988" s="2" t="str">
        <f>IFERROR(__xludf.DUMMYFUNCTION("""COMPUTED_VALUE"""),"Cataning")</f>
        <v>Cataning</v>
      </c>
      <c r="AK988" s="2" t="str">
        <f>IFERROR(__xludf.DUMMYFUNCTION("""COMPUTED_VALUE"""),"Balanga City")</f>
        <v>Balanga City</v>
      </c>
      <c r="AL988" s="2" t="str">
        <f>IFERROR(__xludf.DUMMYFUNCTION("""COMPUTED_VALUE"""),"Bataan")</f>
        <v>Bataan</v>
      </c>
      <c r="AM988" s="2">
        <f>IFERROR(__xludf.DUMMYFUNCTION("""COMPUTED_VALUE"""),3.0)</f>
        <v>3</v>
      </c>
      <c r="AN988" s="2" t="str">
        <f>IFERROR(__xludf.DUMMYFUNCTION("""COMPUTED_VALUE"""),"RCEF 23-09-21 Rebidding")</f>
        <v>RCEF 23-09-21 Rebidding</v>
      </c>
      <c r="AO988" s="2">
        <f>IFERROR(__xludf.DUMMYFUNCTION("""COMPUTED_VALUE"""),3.0)</f>
        <v>3</v>
      </c>
      <c r="AP988" s="2"/>
      <c r="AQ988" s="2"/>
      <c r="AR988" s="2"/>
      <c r="AS988" s="2"/>
      <c r="AT988" s="2"/>
      <c r="AU988" s="2"/>
      <c r="AV988" s="2"/>
      <c r="AW988" s="2"/>
      <c r="AX988" s="2"/>
      <c r="AY988" s="2"/>
      <c r="AZ988" s="2"/>
      <c r="BA988" s="2"/>
      <c r="BB988" s="2"/>
    </row>
    <row r="989">
      <c r="A989" s="2">
        <f>IFERROR(__xludf.DUMMYFUNCTION("""COMPUTED_VALUE"""),985.0)</f>
        <v>985</v>
      </c>
      <c r="B989" s="2" t="str">
        <f>IFERROR(__xludf.DUMMYFUNCTION("""COMPUTED_VALUE"""),"COMPLETED")</f>
        <v>COMPLETED</v>
      </c>
      <c r="C989" s="74">
        <f>IFERROR(__xludf.DUMMYFUNCTION("""COMPUTED_VALUE"""),45804.0)</f>
        <v>45804</v>
      </c>
      <c r="D989" s="71" t="str">
        <f>IFERROR(__xludf.DUMMYFUNCTION("""COMPUTED_VALUE"""),"Bliss Buenlag Group of Small Farmers Association Inc.")</f>
        <v>Bliss Buenlag Group of Small Farmers Association Inc.</v>
      </c>
      <c r="E989" s="71" t="str">
        <f>IFERROR(__xludf.DUMMYFUNCTION("""COMPUTED_VALUE"""),"Nancamaliran West, Urdaneta City, PANGASINAN")</f>
        <v>Nancamaliran West, Urdaneta City, PANGASINAN</v>
      </c>
      <c r="F989" s="2" t="str">
        <f>IFERROR(__xludf.DUMMYFUNCTION("""COMPUTED_VALUE"""),"JIMMY MINES")</f>
        <v>JIMMY MINES</v>
      </c>
      <c r="G989" s="2">
        <f>IFERROR(__xludf.DUMMYFUNCTION("""COMPUTED_VALUE"""),9.06521819E9)</f>
        <v>9065218190</v>
      </c>
      <c r="H989" s="2">
        <f>IFERROR(__xludf.DUMMYFUNCTION("""COMPUTED_VALUE"""),47.0)</f>
        <v>47</v>
      </c>
      <c r="I989" s="72" t="str">
        <f>IFERROR(__xludf.DUMMYFUNCTION("""COMPUTED_VALUE"""),"PMS")</f>
        <v>PMS</v>
      </c>
      <c r="J989" s="72" t="str">
        <f>IFERROR(__xludf.DUMMYFUNCTION("""COMPUTED_VALUE"""),"PMS")</f>
        <v>PMS</v>
      </c>
      <c r="K989" s="72" t="str">
        <f>IFERROR(__xludf.DUMMYFUNCTION("""COMPUTED_VALUE"""),"MYK: 1ST PMS FREE")</f>
        <v>MYK: 1ST PMS FREE</v>
      </c>
      <c r="L989" s="72" t="str">
        <f>IFERROR(__xludf.DUMMYFUNCTION("""COMPUTED_VALUE"""),"JVV: 1ST PMS DONE")</f>
        <v>JVV: 1ST PMS DONE</v>
      </c>
      <c r="M989" s="2"/>
      <c r="N989" s="2" t="str">
        <f>IFERROR(__xludf.DUMMYFUNCTION("""COMPUTED_VALUE"""),"PARTS: OIL FILTER, ENGINE OIL")</f>
        <v>PARTS: OIL FILTER, ENGINE OIL</v>
      </c>
      <c r="O989" s="2">
        <f>IFERROR(__xludf.DUMMYFUNCTION("""COMPUTED_VALUE"""),1073.0)</f>
        <v>1073</v>
      </c>
      <c r="P989" s="2"/>
      <c r="Q989" s="2"/>
      <c r="R989" s="74">
        <f>IFERROR(__xludf.DUMMYFUNCTION("""COMPUTED_VALUE"""),45807.0)</f>
        <v>45807</v>
      </c>
      <c r="S989" s="2" t="str">
        <f>IFERROR(__xludf.DUMMYFUNCTION("""COMPUTED_VALUE"""),"JVV/DSD/EGT")</f>
        <v>JVV/DSD/EGT</v>
      </c>
      <c r="T989" s="73" t="str">
        <f>IFERROR(__xludf.DUMMYFUNCTION("""COMPUTED_VALUE""")," N/A ")</f>
        <v>N/A</v>
      </c>
      <c r="U989" s="73" t="str">
        <f>IFERROR(__xludf.DUMMYFUNCTION("""COMPUTED_VALUE""")," NO CHARGE ")</f>
        <v>NO CHARGE</v>
      </c>
      <c r="V989" s="2"/>
      <c r="W989" s="2" t="str">
        <f>IFERROR(__xludf.DUMMYFUNCTION("""COMPUTED_VALUE"""),"N/A")</f>
        <v>N/A</v>
      </c>
      <c r="X989" s="2" t="str">
        <f>IFERROR(__xludf.DUMMYFUNCTION("""COMPUTED_VALUE"""),"N/A")</f>
        <v>N/A</v>
      </c>
      <c r="Y989" s="2"/>
      <c r="Z989" s="2"/>
      <c r="AA989" s="2"/>
      <c r="AB989" s="2"/>
      <c r="AC989" s="2"/>
      <c r="AD989" s="2"/>
      <c r="AE989" s="2"/>
      <c r="AF989" s="2"/>
      <c r="AG989" s="2"/>
      <c r="AH989" s="2"/>
      <c r="AI989" s="2"/>
      <c r="AJ989" s="2" t="str">
        <f>IFERROR(__xludf.DUMMYFUNCTION("""COMPUTED_VALUE"""),"Nancamaliran West")</f>
        <v>Nancamaliran West</v>
      </c>
      <c r="AK989" s="2" t="str">
        <f>IFERROR(__xludf.DUMMYFUNCTION("""COMPUTED_VALUE"""),"Urdaneta City")</f>
        <v>Urdaneta City</v>
      </c>
      <c r="AL989" s="2" t="str">
        <f>IFERROR(__xludf.DUMMYFUNCTION("""COMPUTED_VALUE"""),"Pangasinan")</f>
        <v>Pangasinan</v>
      </c>
      <c r="AM989" s="2">
        <f>IFERROR(__xludf.DUMMYFUNCTION("""COMPUTED_VALUE"""),1.0)</f>
        <v>1</v>
      </c>
      <c r="AN989" s="2" t="str">
        <f>IFERROR(__xludf.DUMMYFUNCTION("""COMPUTED_VALUE"""),"Repeat Order")</f>
        <v>Repeat Order</v>
      </c>
      <c r="AO989" s="2">
        <f>IFERROR(__xludf.DUMMYFUNCTION("""COMPUTED_VALUE"""),6.0)</f>
        <v>6</v>
      </c>
      <c r="AP989" s="2" t="str">
        <f>IFERROR(__xludf.DUMMYFUNCTION("""COMPUTED_VALUE"""),"FREE PMS")</f>
        <v>FREE PMS</v>
      </c>
      <c r="AQ989" s="2"/>
      <c r="AR989" s="2"/>
      <c r="AS989" s="2"/>
      <c r="AT989" s="2"/>
      <c r="AU989" s="2"/>
      <c r="AV989" s="2"/>
      <c r="AW989" s="2"/>
      <c r="AX989" s="2"/>
      <c r="AY989" s="2"/>
      <c r="AZ989" s="2"/>
      <c r="BA989" s="2"/>
      <c r="BB989" s="2"/>
    </row>
    <row r="990">
      <c r="A990" s="2">
        <f>IFERROR(__xludf.DUMMYFUNCTION("""COMPUTED_VALUE"""),986.0)</f>
        <v>986</v>
      </c>
      <c r="B990" s="2" t="str">
        <f>IFERROR(__xludf.DUMMYFUNCTION("""COMPUTED_VALUE"""),"COMPLETED")</f>
        <v>COMPLETED</v>
      </c>
      <c r="C990" s="74">
        <f>IFERROR(__xludf.DUMMYFUNCTION("""COMPUTED_VALUE"""),45804.0)</f>
        <v>45804</v>
      </c>
      <c r="D990" s="71" t="str">
        <f>IFERROR(__xludf.DUMMYFUNCTION("""COMPUTED_VALUE"""),"SAN LUIS CONDEZ TIG-ANIT FARMERS IRRIGATORS ASSOCIATION")</f>
        <v>SAN LUIS CONDEZ TIG-ANIT FARMERS IRRIGATORS ASSOCIATION</v>
      </c>
      <c r="E990" s="71" t="str">
        <f>IFERROR(__xludf.DUMMYFUNCTION("""COMPUTED_VALUE"""),"San Luis, Culasi, ANTIQUE")</f>
        <v>San Luis, Culasi, ANTIQUE</v>
      </c>
      <c r="F990" s="2" t="str">
        <f>IFERROR(__xludf.DUMMYFUNCTION("""COMPUTED_VALUE"""),"ROGELIO OSORIO")</f>
        <v>ROGELIO OSORIO</v>
      </c>
      <c r="G990" s="2">
        <f>IFERROR(__xludf.DUMMYFUNCTION("""COMPUTED_VALUE"""),9.364375842E9)</f>
        <v>9364375842</v>
      </c>
      <c r="H990" s="2"/>
      <c r="I990" s="72" t="str">
        <f>IFERROR(__xludf.DUMMYFUNCTION("""COMPUTED_VALUE"""),"REPAIR - DISC PLOW")</f>
        <v>REPAIR - DISC PLOW</v>
      </c>
      <c r="J990" s="72" t="str">
        <f>IFERROR(__xludf.DUMMYFUNCTION("""COMPUTED_VALUE"""),"Gearbox")</f>
        <v>Gearbox</v>
      </c>
      <c r="K990" s="72" t="str">
        <f>IFERROR(__xludf.DUMMYFUNCTION("""COMPUTED_VALUE"""),"MYK: Upon operation nasira ang propeller ng discplow dahil kulang ng gear oil 
5/30/25:PARTS: BEVEL PINION 10T")</f>
        <v>MYK: Upon operation nasira ang propeller ng discplow dahil kulang ng gear oil 
5/30/25:PARTS: BEVEL PINION 10T</v>
      </c>
      <c r="L990" s="72" t="str">
        <f>IFERROR(__xludf.DUMMYFUNCTION("""COMPUTED_VALUE"""),"CANCELLED")</f>
        <v>CANCELLED</v>
      </c>
      <c r="M990" s="2"/>
      <c r="N990" s="2"/>
      <c r="O990" s="2" t="str">
        <f>IFERROR(__xludf.DUMMYFUNCTION("""COMPUTED_VALUE"""),"N/A")</f>
        <v>N/A</v>
      </c>
      <c r="P990" s="2"/>
      <c r="Q990" s="2"/>
      <c r="R990" s="74">
        <f>IFERROR(__xludf.DUMMYFUNCTION("""COMPUTED_VALUE"""),45915.0)</f>
        <v>45915</v>
      </c>
      <c r="S990" s="2"/>
      <c r="T990" s="73" t="str">
        <f>IFERROR(__xludf.DUMMYFUNCTION("""COMPUTED_VALUE""")," N/A ")</f>
        <v>N/A</v>
      </c>
      <c r="U990" s="73" t="str">
        <f>IFERROR(__xludf.DUMMYFUNCTION("""COMPUTED_VALUE""")," NO CHARGE ")</f>
        <v>NO CHARGE</v>
      </c>
      <c r="V990" s="2"/>
      <c r="W990" s="2" t="str">
        <f>IFERROR(__xludf.DUMMYFUNCTION("""COMPUTED_VALUE"""),"N/A")</f>
        <v>N/A</v>
      </c>
      <c r="X990" s="2" t="str">
        <f>IFERROR(__xludf.DUMMYFUNCTION("""COMPUTED_VALUE"""),"N/A")</f>
        <v>N/A</v>
      </c>
      <c r="Y990" s="2"/>
      <c r="Z990" s="2"/>
      <c r="AA990" s="2"/>
      <c r="AB990" s="2"/>
      <c r="AC990" s="2"/>
      <c r="AD990" s="2"/>
      <c r="AE990" s="2"/>
      <c r="AF990" s="2"/>
      <c r="AG990" s="2"/>
      <c r="AH990" s="2"/>
      <c r="AI990" s="2"/>
      <c r="AJ990" s="2" t="str">
        <f>IFERROR(__xludf.DUMMYFUNCTION("""COMPUTED_VALUE"""),"San Luis")</f>
        <v>San Luis</v>
      </c>
      <c r="AK990" s="2" t="str">
        <f>IFERROR(__xludf.DUMMYFUNCTION("""COMPUTED_VALUE"""),"Culasi")</f>
        <v>Culasi</v>
      </c>
      <c r="AL990" s="2" t="str">
        <f>IFERROR(__xludf.DUMMYFUNCTION("""COMPUTED_VALUE"""),"Antique")</f>
        <v>Antique</v>
      </c>
      <c r="AM990" s="2">
        <f>IFERROR(__xludf.DUMMYFUNCTION("""COMPUTED_VALUE"""),6.0)</f>
        <v>6</v>
      </c>
      <c r="AN990" s="2" t="str">
        <f>IFERROR(__xludf.DUMMYFUNCTION("""COMPUTED_VALUE"""),"RCEF 23-09-21 Rebidding")</f>
        <v>RCEF 23-09-21 Rebidding</v>
      </c>
      <c r="AO990" s="2">
        <f>IFERROR(__xludf.DUMMYFUNCTION("""COMPUTED_VALUE"""),4.0)</f>
        <v>4</v>
      </c>
      <c r="AP990" s="2"/>
      <c r="AQ990" s="2"/>
      <c r="AR990" s="2"/>
      <c r="AS990" s="2"/>
      <c r="AT990" s="2"/>
      <c r="AU990" s="2"/>
      <c r="AV990" s="2"/>
      <c r="AW990" s="2"/>
      <c r="AX990" s="2"/>
      <c r="AY990" s="2"/>
      <c r="AZ990" s="2"/>
      <c r="BA990" s="2"/>
      <c r="BB990" s="2"/>
    </row>
    <row r="991">
      <c r="A991" s="2">
        <f>IFERROR(__xludf.DUMMYFUNCTION("""COMPUTED_VALUE"""),987.0)</f>
        <v>987</v>
      </c>
      <c r="B991" s="2" t="str">
        <f>IFERROR(__xludf.DUMMYFUNCTION("""COMPUTED_VALUE"""),"COMPLETED")</f>
        <v>COMPLETED</v>
      </c>
      <c r="C991" s="74">
        <f>IFERROR(__xludf.DUMMYFUNCTION("""COMPUTED_VALUE"""),45805.0)</f>
        <v>45805</v>
      </c>
      <c r="D991" s="71" t="str">
        <f>IFERROR(__xludf.DUMMYFUNCTION("""COMPUTED_VALUE"""),"Lourdes Multi-Purpose Cooperative")</f>
        <v>Lourdes Multi-Purpose Cooperative</v>
      </c>
      <c r="E991" s="71" t="str">
        <f>IFERROR(__xludf.DUMMYFUNCTION("""COMPUTED_VALUE"""),"Poblacion, Magsaysay, OCCIDENTAL MINDORO")</f>
        <v>Poblacion, Magsaysay, OCCIDENTAL MINDORO</v>
      </c>
      <c r="F991" s="2" t="str">
        <f>IFERROR(__xludf.DUMMYFUNCTION("""COMPUTED_VALUE"""),"RIC MATEO")</f>
        <v>RIC MATEO</v>
      </c>
      <c r="G991" s="2">
        <f>IFERROR(__xludf.DUMMYFUNCTION("""COMPUTED_VALUE"""),9.468441079E9)</f>
        <v>9468441079</v>
      </c>
      <c r="H991" s="2"/>
      <c r="I991" s="72" t="str">
        <f>IFERROR(__xludf.DUMMYFUNCTION("""COMPUTED_VALUE"""),"SPARE PARTS ACQUISITION")</f>
        <v>SPARE PARTS ACQUISITION</v>
      </c>
      <c r="J991" s="72"/>
      <c r="K991" s="72" t="str">
        <f>IFERROR(__xludf.DUMMYFUNCTION("""COMPUTED_VALUE"""),"MYK: PARTS: 6- WRENCH BOLT M14*40*1.5P ")</f>
        <v>MYK: PARTS: 6- WRENCH BOLT M14*40*1.5P </v>
      </c>
      <c r="L991" s="72" t="str">
        <f>IFERROR(__xludf.DUMMYFUNCTION("""COMPUTED_VALUE"""),"RCG: OK NA NAKA PAG OUTSOURCE NA SI FARMER")</f>
        <v>RCG: OK NA NAKA PAG OUTSOURCE NA SI FARMER</v>
      </c>
      <c r="M991" s="2"/>
      <c r="N991" s="2"/>
      <c r="O991" s="2" t="str">
        <f>IFERROR(__xludf.DUMMYFUNCTION("""COMPUTED_VALUE"""),"N/A")</f>
        <v>N/A</v>
      </c>
      <c r="P991" s="2"/>
      <c r="Q991" s="2"/>
      <c r="R991" s="74">
        <f>IFERROR(__xludf.DUMMYFUNCTION("""COMPUTED_VALUE"""),45832.0)</f>
        <v>45832</v>
      </c>
      <c r="S991" s="2" t="str">
        <f>IFERROR(__xludf.DUMMYFUNCTION("""COMPUTED_VALUE"""),"RCG")</f>
        <v>RCG</v>
      </c>
      <c r="T991" s="73" t="str">
        <f>IFERROR(__xludf.DUMMYFUNCTION("""COMPUTED_VALUE""")," N/A ")</f>
        <v>N/A</v>
      </c>
      <c r="U991" s="73" t="str">
        <f>IFERROR(__xludf.DUMMYFUNCTION("""COMPUTED_VALUE""")," NO CHARGE ")</f>
        <v>NO CHARGE</v>
      </c>
      <c r="V991" s="2"/>
      <c r="W991" s="2" t="str">
        <f>IFERROR(__xludf.DUMMYFUNCTION("""COMPUTED_VALUE"""),"N/A")</f>
        <v>N/A</v>
      </c>
      <c r="X991" s="2" t="str">
        <f>IFERROR(__xludf.DUMMYFUNCTION("""COMPUTED_VALUE"""),"N/A")</f>
        <v>N/A</v>
      </c>
      <c r="Y991" s="2"/>
      <c r="Z991" s="2"/>
      <c r="AA991" s="2"/>
      <c r="AB991" s="2"/>
      <c r="AC991" s="2"/>
      <c r="AD991" s="2"/>
      <c r="AE991" s="2"/>
      <c r="AF991" s="2"/>
      <c r="AG991" s="2"/>
      <c r="AH991" s="2"/>
      <c r="AI991" s="2"/>
      <c r="AJ991" s="2" t="str">
        <f>IFERROR(__xludf.DUMMYFUNCTION("""COMPUTED_VALUE"""),"Poblacion")</f>
        <v>Poblacion</v>
      </c>
      <c r="AK991" s="2" t="str">
        <f>IFERROR(__xludf.DUMMYFUNCTION("""COMPUTED_VALUE"""),"Magsaysay")</f>
        <v>Magsaysay</v>
      </c>
      <c r="AL991" s="2" t="str">
        <f>IFERROR(__xludf.DUMMYFUNCTION("""COMPUTED_VALUE"""),"Occidental Mindoro")</f>
        <v>Occidental Mindoro</v>
      </c>
      <c r="AM991" s="2" t="str">
        <f>IFERROR(__xludf.DUMMYFUNCTION("""COMPUTED_VALUE"""),"4B")</f>
        <v>4B</v>
      </c>
      <c r="AN991" s="2" t="str">
        <f>IFERROR(__xludf.DUMMYFUNCTION("""COMPUTED_VALUE"""),"RCEF 24-04-15")</f>
        <v>RCEF 24-04-15</v>
      </c>
      <c r="AO991" s="2">
        <f>IFERROR(__xludf.DUMMYFUNCTION("""COMPUTED_VALUE"""),7.0)</f>
        <v>7</v>
      </c>
      <c r="AP991" s="2" t="str">
        <f>IFERROR(__xludf.DUMMYFUNCTION("""COMPUTED_VALUE"""),"FREE PMS")</f>
        <v>FREE PMS</v>
      </c>
      <c r="AQ991" s="2"/>
      <c r="AR991" s="2"/>
      <c r="AS991" s="2"/>
      <c r="AT991" s="2"/>
      <c r="AU991" s="2"/>
      <c r="AV991" s="2"/>
      <c r="AW991" s="2"/>
      <c r="AX991" s="2"/>
      <c r="AY991" s="2"/>
      <c r="AZ991" s="2"/>
      <c r="BA991" s="2"/>
      <c r="BB991" s="2"/>
    </row>
    <row r="992">
      <c r="A992" s="2">
        <f>IFERROR(__xludf.DUMMYFUNCTION("""COMPUTED_VALUE"""),988.0)</f>
        <v>988</v>
      </c>
      <c r="B992" s="2" t="str">
        <f>IFERROR(__xludf.DUMMYFUNCTION("""COMPUTED_VALUE"""),"COMPLETED")</f>
        <v>COMPLETED</v>
      </c>
      <c r="C992" s="74">
        <f>IFERROR(__xludf.DUMMYFUNCTION("""COMPUTED_VALUE"""),45805.0)</f>
        <v>45805</v>
      </c>
      <c r="D992" s="71" t="str">
        <f>IFERROR(__xludf.DUMMYFUNCTION("""COMPUTED_VALUE"""),"SAN RAMON LAGONOY FARMERS ASSOCIATION (SRLFA)")</f>
        <v>SAN RAMON LAGONOY FARMERS ASSOCIATION (SRLFA)</v>
      </c>
      <c r="E992" s="71" t="str">
        <f>IFERROR(__xludf.DUMMYFUNCTION("""COMPUTED_VALUE"""),"San Ramon, Lagonoy, CAMARINES SUR")</f>
        <v>San Ramon, Lagonoy, CAMARINES SUR</v>
      </c>
      <c r="F992" s="2" t="str">
        <f>IFERROR(__xludf.DUMMYFUNCTION("""COMPUTED_VALUE"""),"MR. MADRID")</f>
        <v>MR. MADRID</v>
      </c>
      <c r="G992" s="2">
        <f>IFERROR(__xludf.DUMMYFUNCTION("""COMPUTED_VALUE"""),9.491186638E9)</f>
        <v>9491186638</v>
      </c>
      <c r="H992" s="2">
        <f>IFERROR(__xludf.DUMMYFUNCTION("""COMPUTED_VALUE"""),50.0)</f>
        <v>50</v>
      </c>
      <c r="I992" s="72" t="str">
        <f>IFERROR(__xludf.DUMMYFUNCTION("""COMPUTED_VALUE"""),"PMS")</f>
        <v>PMS</v>
      </c>
      <c r="J992" s="72" t="str">
        <f>IFERROR(__xludf.DUMMYFUNCTION("""COMPUTED_VALUE"""),"PMS")</f>
        <v>PMS</v>
      </c>
      <c r="K992" s="72" t="str">
        <f>IFERROR(__xludf.DUMMYFUNCTION("""COMPUTED_VALUE"""),"KFS: 1ST PMS (FREE)")</f>
        <v>KFS: 1ST PMS (FREE)</v>
      </c>
      <c r="L992" s="72" t="str">
        <f>IFERROR(__xludf.DUMMYFUNCTION("""COMPUTED_VALUE"""),"FPJ: 1ST PMS DONE")</f>
        <v>FPJ: 1ST PMS DONE</v>
      </c>
      <c r="M992" s="2"/>
      <c r="N992" s="2" t="str">
        <f>IFERROR(__xludf.DUMMYFUNCTION("""COMPUTED_VALUE"""),"PARTS:
OIL FILTER (OUTSOURCE)
ENGINE OIL")</f>
        <v>PARTS:
OIL FILTER (OUTSOURCE)
ENGINE OIL</v>
      </c>
      <c r="O992" s="2" t="str">
        <f>IFERROR(__xludf.DUMMYFUNCTION("""COMPUTED_VALUE"""),"?")</f>
        <v>?</v>
      </c>
      <c r="P992" s="2"/>
      <c r="Q992" s="2"/>
      <c r="R992" s="74">
        <f>IFERROR(__xludf.DUMMYFUNCTION("""COMPUTED_VALUE"""),45818.0)</f>
        <v>45818</v>
      </c>
      <c r="S992" s="2" t="str">
        <f>IFERROR(__xludf.DUMMYFUNCTION("""COMPUTED_VALUE"""),"FPJ/JAH")</f>
        <v>FPJ/JAH</v>
      </c>
      <c r="T992" s="73" t="str">
        <f>IFERROR(__xludf.DUMMYFUNCTION("""COMPUTED_VALUE""")," N/A ")</f>
        <v>N/A</v>
      </c>
      <c r="U992" s="73" t="str">
        <f>IFERROR(__xludf.DUMMYFUNCTION("""COMPUTED_VALUE""")," NO CHARGE ")</f>
        <v>NO CHARGE</v>
      </c>
      <c r="V992" s="2"/>
      <c r="W992" s="2" t="str">
        <f>IFERROR(__xludf.DUMMYFUNCTION("""COMPUTED_VALUE"""),"N/A")</f>
        <v>N/A</v>
      </c>
      <c r="X992" s="2" t="str">
        <f>IFERROR(__xludf.DUMMYFUNCTION("""COMPUTED_VALUE"""),"N/A")</f>
        <v>N/A</v>
      </c>
      <c r="Y992" s="2"/>
      <c r="Z992" s="2"/>
      <c r="AA992" s="2"/>
      <c r="AB992" s="2"/>
      <c r="AC992" s="2"/>
      <c r="AD992" s="2"/>
      <c r="AE992" s="2"/>
      <c r="AF992" s="2"/>
      <c r="AG992" s="2"/>
      <c r="AH992" s="2"/>
      <c r="AI992" s="2"/>
      <c r="AJ992" s="2" t="str">
        <f>IFERROR(__xludf.DUMMYFUNCTION("""COMPUTED_VALUE"""),"San Ramon")</f>
        <v>San Ramon</v>
      </c>
      <c r="AK992" s="2" t="str">
        <f>IFERROR(__xludf.DUMMYFUNCTION("""COMPUTED_VALUE"""),"Lagonoy")</f>
        <v>Lagonoy</v>
      </c>
      <c r="AL992" s="2" t="str">
        <f>IFERROR(__xludf.DUMMYFUNCTION("""COMPUTED_VALUE"""),"Camarines Sur")</f>
        <v>Camarines Sur</v>
      </c>
      <c r="AM992" s="2">
        <f>IFERROR(__xludf.DUMMYFUNCTION("""COMPUTED_VALUE"""),5.0)</f>
        <v>5</v>
      </c>
      <c r="AN992" s="2" t="str">
        <f>IFERROR(__xludf.DUMMYFUNCTION("""COMPUTED_VALUE"""),"RCEF 24-04-15")</f>
        <v>RCEF 24-04-15</v>
      </c>
      <c r="AO992" s="2">
        <f>IFERROR(__xludf.DUMMYFUNCTION("""COMPUTED_VALUE"""),7.0)</f>
        <v>7</v>
      </c>
      <c r="AP992" s="2" t="str">
        <f>IFERROR(__xludf.DUMMYFUNCTION("""COMPUTED_VALUE"""),"FREE PMS")</f>
        <v>FREE PMS</v>
      </c>
      <c r="AQ992" s="2"/>
      <c r="AR992" s="2"/>
      <c r="AS992" s="2"/>
      <c r="AT992" s="2"/>
      <c r="AU992" s="2"/>
      <c r="AV992" s="2"/>
      <c r="AW992" s="2"/>
      <c r="AX992" s="2"/>
      <c r="AY992" s="2"/>
      <c r="AZ992" s="2"/>
      <c r="BA992" s="2"/>
      <c r="BB992" s="2"/>
    </row>
    <row r="993">
      <c r="A993" s="2">
        <f>IFERROR(__xludf.DUMMYFUNCTION("""COMPUTED_VALUE"""),989.0)</f>
        <v>989</v>
      </c>
      <c r="B993" s="2" t="str">
        <f>IFERROR(__xludf.DUMMYFUNCTION("""COMPUTED_VALUE"""),"COMPLETED")</f>
        <v>COMPLETED</v>
      </c>
      <c r="C993" s="74">
        <f>IFERROR(__xludf.DUMMYFUNCTION("""COMPUTED_VALUE"""),45806.0)</f>
        <v>45806</v>
      </c>
      <c r="D993" s="71" t="str">
        <f>IFERROR(__xludf.DUMMYFUNCTION("""COMPUTED_VALUE"""),"ALACSAN SQ IRRIGATORS ASSOCIATION, INC")</f>
        <v>ALACSAN SQ IRRIGATORS ASSOCIATION, INC</v>
      </c>
      <c r="E993" s="71" t="str">
        <f>IFERROR(__xludf.DUMMYFUNCTION("""COMPUTED_VALUE"""),"Alac, San Quintin, PANGASINAN")</f>
        <v>Alac, San Quintin, PANGASINAN</v>
      </c>
      <c r="F993" s="2"/>
      <c r="G993" s="2"/>
      <c r="H993" s="2">
        <f>IFERROR(__xludf.DUMMYFUNCTION("""COMPUTED_VALUE"""),33.0)</f>
        <v>33</v>
      </c>
      <c r="I993" s="72" t="str">
        <f>IFERROR(__xludf.DUMMYFUNCTION("""COMPUTED_VALUE"""),"REPAIR - TRACTOR")</f>
        <v>REPAIR - TRACTOR</v>
      </c>
      <c r="J993" s="72" t="str">
        <f>IFERROR(__xludf.DUMMYFUNCTION("""COMPUTED_VALUE"""),"Sensor")</f>
        <v>Sensor</v>
      </c>
      <c r="K993" s="72" t="str">
        <f>IFERROR(__xludf.DUMMYFUNCTION("""COMPUTED_VALUE"""),"Pumunta po sila kay LCCC kahapon nung nalaman nilang nandon kami at may concern daw po sila dahil nung una palang daw po ayaw na gumana yung sa Automatic ng PTO Switch kaya pinuntahan kopo tapos tinesting kopo ayaw tlg then tinignan kopo Yung sensor niya "&amp;"naka tanggal po Nung kinabit kopo gumana Naman na kaya ok Naman na Po Yung unit nila ngayon")</f>
        <v>Pumunta po sila kay LCCC kahapon nung nalaman nilang nandon kami at may concern daw po sila dahil nung una palang daw po ayaw na gumana yung sa Automatic ng PTO Switch kaya pinuntahan kopo tapos tinesting kopo ayaw tlg then tinignan kopo Yung sensor niya naka tanggal po Nung kinabit kopo gumana Naman na kaya ok Naman na Po Yung unit nila ngayon</v>
      </c>
      <c r="L993" s="72" t="str">
        <f>IFERROR(__xludf.DUMMYFUNCTION("""COMPUTED_VALUE"""),"JVV: tinignan kopo Yung sensor niya naka tanggal po Nung kinabit kopo gumana Naman na kaya ok Naman na Po Yung unit nila ngayon")</f>
        <v>JVV: tinignan kopo Yung sensor niya naka tanggal po Nung kinabit kopo gumana Naman na kaya ok Naman na Po Yung unit nila ngayon</v>
      </c>
      <c r="M993" s="2"/>
      <c r="N993" s="2"/>
      <c r="O993" s="2" t="str">
        <f>IFERROR(__xludf.DUMMYFUNCTION("""COMPUTED_VALUE"""),"N/A")</f>
        <v>N/A</v>
      </c>
      <c r="P993" s="2"/>
      <c r="Q993" s="2"/>
      <c r="R993" s="74">
        <f>IFERROR(__xludf.DUMMYFUNCTION("""COMPUTED_VALUE"""),45807.0)</f>
        <v>45807</v>
      </c>
      <c r="S993" s="2" t="str">
        <f>IFERROR(__xludf.DUMMYFUNCTION("""COMPUTED_VALUE"""),"JVV/EGT/DSD")</f>
        <v>JVV/EGT/DSD</v>
      </c>
      <c r="T993" s="73" t="str">
        <f>IFERROR(__xludf.DUMMYFUNCTION("""COMPUTED_VALUE""")," N/A ")</f>
        <v>N/A</v>
      </c>
      <c r="U993" s="73" t="str">
        <f>IFERROR(__xludf.DUMMYFUNCTION("""COMPUTED_VALUE""")," NO CHARGE ")</f>
        <v>NO CHARGE</v>
      </c>
      <c r="V993" s="2"/>
      <c r="W993" s="2" t="str">
        <f>IFERROR(__xludf.DUMMYFUNCTION("""COMPUTED_VALUE"""),"N/A")</f>
        <v>N/A</v>
      </c>
      <c r="X993" s="2" t="str">
        <f>IFERROR(__xludf.DUMMYFUNCTION("""COMPUTED_VALUE"""),"N/A")</f>
        <v>N/A</v>
      </c>
      <c r="Y993" s="2"/>
      <c r="Z993" s="2"/>
      <c r="AA993" s="2"/>
      <c r="AB993" s="2"/>
      <c r="AC993" s="2"/>
      <c r="AD993" s="2"/>
      <c r="AE993" s="2"/>
      <c r="AF993" s="2"/>
      <c r="AG993" s="2"/>
      <c r="AH993" s="2"/>
      <c r="AI993" s="2"/>
      <c r="AJ993" s="2" t="str">
        <f>IFERROR(__xludf.DUMMYFUNCTION("""COMPUTED_VALUE"""),"Alac")</f>
        <v>Alac</v>
      </c>
      <c r="AK993" s="2" t="str">
        <f>IFERROR(__xludf.DUMMYFUNCTION("""COMPUTED_VALUE"""),"San Quintin")</f>
        <v>San Quintin</v>
      </c>
      <c r="AL993" s="2" t="str">
        <f>IFERROR(__xludf.DUMMYFUNCTION("""COMPUTED_VALUE"""),"Pangasinan")</f>
        <v>Pangasinan</v>
      </c>
      <c r="AM993" s="2">
        <f>IFERROR(__xludf.DUMMYFUNCTION("""COMPUTED_VALUE"""),1.0)</f>
        <v>1</v>
      </c>
      <c r="AN993" s="2" t="str">
        <f>IFERROR(__xludf.DUMMYFUNCTION("""COMPUTED_VALUE"""),"Repeat Order")</f>
        <v>Repeat Order</v>
      </c>
      <c r="AO993" s="2">
        <f>IFERROR(__xludf.DUMMYFUNCTION("""COMPUTED_VALUE"""),6.0)</f>
        <v>6</v>
      </c>
      <c r="AP993" s="2" t="str">
        <f>IFERROR(__xludf.DUMMYFUNCTION("""COMPUTED_VALUE"""),"FREE PMS")</f>
        <v>FREE PMS</v>
      </c>
      <c r="AQ993" s="2"/>
      <c r="AR993" s="2"/>
      <c r="AS993" s="2"/>
      <c r="AT993" s="2"/>
      <c r="AU993" s="2"/>
      <c r="AV993" s="2"/>
      <c r="AW993" s="2"/>
      <c r="AX993" s="2"/>
      <c r="AY993" s="2"/>
      <c r="AZ993" s="2"/>
      <c r="BA993" s="2"/>
      <c r="BB993" s="2"/>
    </row>
    <row r="994">
      <c r="A994" s="2">
        <f>IFERROR(__xludf.DUMMYFUNCTION("""COMPUTED_VALUE"""),990.0)</f>
        <v>990</v>
      </c>
      <c r="B994" s="2" t="str">
        <f>IFERROR(__xludf.DUMMYFUNCTION("""COMPUTED_VALUE"""),"COMPLETED")</f>
        <v>COMPLETED</v>
      </c>
      <c r="C994" s="74">
        <f>IFERROR(__xludf.DUMMYFUNCTION("""COMPUTED_VALUE"""),45806.0)</f>
        <v>45806</v>
      </c>
      <c r="D994" s="71" t="str">
        <f>IFERROR(__xludf.DUMMYFUNCTION("""COMPUTED_VALUE"""),"SAN ISIDRO BALUBAD FARMERS ASSOCIATION")</f>
        <v>SAN ISIDRO BALUBAD FARMERS ASSOCIATION</v>
      </c>
      <c r="E994" s="71" t="str">
        <f>IFERROR(__xludf.DUMMYFUNCTION("""COMPUTED_VALUE"""),"Balubad, Porac, PAMPANGA")</f>
        <v>Balubad, Porac, PAMPANGA</v>
      </c>
      <c r="F994" s="2" t="str">
        <f>IFERROR(__xludf.DUMMYFUNCTION("""COMPUTED_VALUE"""),"ROY BAUL")</f>
        <v>ROY BAUL</v>
      </c>
      <c r="G994" s="2">
        <f>IFERROR(__xludf.DUMMYFUNCTION("""COMPUTED_VALUE"""),9.506100356E9)</f>
        <v>9506100356</v>
      </c>
      <c r="H994" s="2">
        <f>IFERROR(__xludf.DUMMYFUNCTION("""COMPUTED_VALUE"""),50.0)</f>
        <v>50</v>
      </c>
      <c r="I994" s="72" t="str">
        <f>IFERROR(__xludf.DUMMYFUNCTION("""COMPUTED_VALUE"""),"PMS")</f>
        <v>PMS</v>
      </c>
      <c r="J994" s="72" t="str">
        <f>IFERROR(__xludf.DUMMYFUNCTION("""COMPUTED_VALUE"""),"PMS")</f>
        <v>PMS</v>
      </c>
      <c r="K994" s="72" t="str">
        <f>IFERROR(__xludf.DUMMYFUNCTION("""COMPUTED_VALUE"""),"MYK: 1ST PMS (FREE)")</f>
        <v>MYK: 1ST PMS (FREE)</v>
      </c>
      <c r="L994" s="72" t="str">
        <f>IFERROR(__xludf.DUMMYFUNCTION("""COMPUTED_VALUE"""),"1ST PMS DONE")</f>
        <v>1ST PMS DONE</v>
      </c>
      <c r="M994" s="2"/>
      <c r="N994" s="2" t="str">
        <f>IFERROR(__xludf.DUMMYFUNCTION("""COMPUTED_VALUE"""),"PARTS: OIL FILTER, ENGINE OIL")</f>
        <v>PARTS: OIL FILTER, ENGINE OIL</v>
      </c>
      <c r="O994" s="2">
        <f>IFERROR(__xludf.DUMMYFUNCTION("""COMPUTED_VALUE"""),1075.0)</f>
        <v>1075</v>
      </c>
      <c r="P994" s="2"/>
      <c r="Q994" s="2"/>
      <c r="R994" s="74">
        <f>IFERROR(__xludf.DUMMYFUNCTION("""COMPUTED_VALUE"""),45810.0)</f>
        <v>45810</v>
      </c>
      <c r="S994" s="2" t="str">
        <f>IFERROR(__xludf.DUMMYFUNCTION("""COMPUTED_VALUE"""),"JVV/EGT/DSD/JDP/ACS/DRM")</f>
        <v>JVV/EGT/DSD/JDP/ACS/DRM</v>
      </c>
      <c r="T994" s="73" t="str">
        <f>IFERROR(__xludf.DUMMYFUNCTION("""COMPUTED_VALUE""")," N/A ")</f>
        <v>N/A</v>
      </c>
      <c r="U994" s="73" t="str">
        <f>IFERROR(__xludf.DUMMYFUNCTION("""COMPUTED_VALUE""")," NO CHARGE ")</f>
        <v>NO CHARGE</v>
      </c>
      <c r="V994" s="2"/>
      <c r="W994" s="2" t="str">
        <f>IFERROR(__xludf.DUMMYFUNCTION("""COMPUTED_VALUE"""),"N/A")</f>
        <v>N/A</v>
      </c>
      <c r="X994" s="2" t="str">
        <f>IFERROR(__xludf.DUMMYFUNCTION("""COMPUTED_VALUE"""),"N/A")</f>
        <v>N/A</v>
      </c>
      <c r="Y994" s="2"/>
      <c r="Z994" s="2"/>
      <c r="AA994" s="2"/>
      <c r="AB994" s="2"/>
      <c r="AC994" s="2"/>
      <c r="AD994" s="2"/>
      <c r="AE994" s="2"/>
      <c r="AF994" s="2"/>
      <c r="AG994" s="2"/>
      <c r="AH994" s="2"/>
      <c r="AI994" s="2"/>
      <c r="AJ994" s="2" t="str">
        <f>IFERROR(__xludf.DUMMYFUNCTION("""COMPUTED_VALUE"""),"Balubad")</f>
        <v>Balubad</v>
      </c>
      <c r="AK994" s="2" t="str">
        <f>IFERROR(__xludf.DUMMYFUNCTION("""COMPUTED_VALUE"""),"Porac")</f>
        <v>Porac</v>
      </c>
      <c r="AL994" s="2" t="str">
        <f>IFERROR(__xludf.DUMMYFUNCTION("""COMPUTED_VALUE"""),"Pampanga")</f>
        <v>Pampanga</v>
      </c>
      <c r="AM994" s="2">
        <f>IFERROR(__xludf.DUMMYFUNCTION("""COMPUTED_VALUE"""),3.0)</f>
        <v>3</v>
      </c>
      <c r="AN994" s="2" t="str">
        <f>IFERROR(__xludf.DUMMYFUNCTION("""COMPUTED_VALUE"""),"RCEF 24-04-15")</f>
        <v>RCEF 24-04-15</v>
      </c>
      <c r="AO994" s="2">
        <f>IFERROR(__xludf.DUMMYFUNCTION("""COMPUTED_VALUE"""),6.0)</f>
        <v>6</v>
      </c>
      <c r="AP994" s="2" t="str">
        <f>IFERROR(__xludf.DUMMYFUNCTION("""COMPUTED_VALUE"""),"FREE PMS")</f>
        <v>FREE PMS</v>
      </c>
      <c r="AQ994" s="2"/>
      <c r="AR994" s="2"/>
      <c r="AS994" s="2"/>
      <c r="AT994" s="2"/>
      <c r="AU994" s="2"/>
      <c r="AV994" s="2"/>
      <c r="AW994" s="2"/>
      <c r="AX994" s="2"/>
      <c r="AY994" s="2"/>
      <c r="AZ994" s="2"/>
      <c r="BA994" s="2"/>
      <c r="BB994" s="2"/>
    </row>
    <row r="995">
      <c r="A995" s="2">
        <f>IFERROR(__xludf.DUMMYFUNCTION("""COMPUTED_VALUE"""),991.0)</f>
        <v>991</v>
      </c>
      <c r="B995" s="2" t="str">
        <f>IFERROR(__xludf.DUMMYFUNCTION("""COMPUTED_VALUE"""),"COMPLETED")</f>
        <v>COMPLETED</v>
      </c>
      <c r="C995" s="74">
        <f>IFERROR(__xludf.DUMMYFUNCTION("""COMPUTED_VALUE"""),45807.0)</f>
        <v>45807</v>
      </c>
      <c r="D995" s="71" t="str">
        <f>IFERROR(__xludf.DUMMYFUNCTION("""COMPUTED_VALUE"""),"Try Me Agriculture Cooperative (TMAC)")</f>
        <v>Try Me Agriculture Cooperative (TMAC)</v>
      </c>
      <c r="E995" s="71" t="str">
        <f>IFERROR(__xludf.DUMMYFUNCTION("""COMPUTED_VALUE"""),"Poblacion West, Science City of Munoz, Nueva Ecija")</f>
        <v>Poblacion West, Science City of Munoz, Nueva Ecija</v>
      </c>
      <c r="F995" s="2" t="str">
        <f>IFERROR(__xludf.DUMMYFUNCTION("""COMPUTED_VALUE"""),"RENATO VERGARA")</f>
        <v>RENATO VERGARA</v>
      </c>
      <c r="G995" s="2">
        <f>IFERROR(__xludf.DUMMYFUNCTION("""COMPUTED_VALUE"""),9.167869015E9)</f>
        <v>9167869015</v>
      </c>
      <c r="H995" s="2">
        <f>IFERROR(__xludf.DUMMYFUNCTION("""COMPUTED_VALUE"""),447.0)</f>
        <v>447</v>
      </c>
      <c r="I995" s="72" t="str">
        <f>IFERROR(__xludf.DUMMYFUNCTION("""COMPUTED_VALUE"""),"PMS")</f>
        <v>PMS</v>
      </c>
      <c r="J995" s="72" t="str">
        <f>IFERROR(__xludf.DUMMYFUNCTION("""COMPUTED_VALUE"""),"PMS")</f>
        <v>PMS</v>
      </c>
      <c r="K995" s="72" t="str">
        <f>IFERROR(__xludf.DUMMYFUNCTION("""COMPUTED_VALUE"""),"3RD PMS")</f>
        <v>3RD PMS</v>
      </c>
      <c r="L995" s="72" t="str">
        <f>IFERROR(__xludf.DUMMYFUNCTION("""COMPUTED_VALUE"""),"JVV: DONE 3RD PMS")</f>
        <v>JVV: DONE 3RD PMS</v>
      </c>
      <c r="M995" s="2"/>
      <c r="N995" s="2" t="str">
        <f>IFERROR(__xludf.DUMMYFUNCTION("""COMPUTED_VALUE"""),"PARTS: OIL FILTER, HYDRAULIC FILTER, ENGINE OIL, HYDRAULIC OIL")</f>
        <v>PARTS: OIL FILTER, HYDRAULIC FILTER, ENGINE OIL, HYDRAULIC OIL</v>
      </c>
      <c r="O995" s="2">
        <f>IFERROR(__xludf.DUMMYFUNCTION("""COMPUTED_VALUE"""),1074.0)</f>
        <v>1074</v>
      </c>
      <c r="P995" s="2"/>
      <c r="Q995" s="2"/>
      <c r="R995" s="74">
        <f>IFERROR(__xludf.DUMMYFUNCTION("""COMPUTED_VALUE"""),45807.0)</f>
        <v>45807</v>
      </c>
      <c r="S995" s="2" t="str">
        <f>IFERROR(__xludf.DUMMYFUNCTION("""COMPUTED_VALUE"""),"JVV/EGT/DSD")</f>
        <v>JVV/EGT/DSD</v>
      </c>
      <c r="T995" s="73">
        <f>IFERROR(__xludf.DUMMYFUNCTION("""COMPUTED_VALUE"""),17300.0)</f>
        <v>17300</v>
      </c>
      <c r="U995" s="73" t="str">
        <f>IFERROR(__xludf.DUMMYFUNCTION("""COMPUTED_VALUE""")," REMITTED ")</f>
        <v>REMITTED</v>
      </c>
      <c r="V995" s="2"/>
      <c r="W995" s="2">
        <f>IFERROR(__xludf.DUMMYFUNCTION("""COMPUTED_VALUE"""),1499.0)</f>
        <v>1499</v>
      </c>
      <c r="X995" s="2">
        <f>IFERROR(__xludf.DUMMYFUNCTION("""COMPUTED_VALUE"""),1516.0)</f>
        <v>1516</v>
      </c>
      <c r="Y995" s="2"/>
      <c r="Z995" s="2"/>
      <c r="AA995" s="2"/>
      <c r="AB995" s="2"/>
      <c r="AC995" s="2"/>
      <c r="AD995" s="2"/>
      <c r="AE995" s="2"/>
      <c r="AF995" s="2"/>
      <c r="AG995" s="2"/>
      <c r="AH995" s="2"/>
      <c r="AI995" s="2"/>
      <c r="AJ995" s="2" t="str">
        <f>IFERROR(__xludf.DUMMYFUNCTION("""COMPUTED_VALUE"""),"Poblacion West")</f>
        <v>Poblacion West</v>
      </c>
      <c r="AK995" s="2" t="str">
        <f>IFERROR(__xludf.DUMMYFUNCTION("""COMPUTED_VALUE"""),"Science City Of Munoz")</f>
        <v>Science City Of Munoz</v>
      </c>
      <c r="AL995" s="2" t="str">
        <f>IFERROR(__xludf.DUMMYFUNCTION("""COMPUTED_VALUE"""),"Nueva Ecija")</f>
        <v>Nueva Ecija</v>
      </c>
      <c r="AM995" s="2">
        <f>IFERROR(__xludf.DUMMYFUNCTION("""COMPUTED_VALUE"""),3.0)</f>
        <v>3</v>
      </c>
      <c r="AN995" s="2" t="str">
        <f>IFERROR(__xludf.DUMMYFUNCTION("""COMPUTED_VALUE"""),"RCEF 23-09-21 Rebidding")</f>
        <v>RCEF 23-09-21 Rebidding</v>
      </c>
      <c r="AO995" s="2">
        <f>IFERROR(__xludf.DUMMYFUNCTION("""COMPUTED_VALUE"""),3.0)</f>
        <v>3</v>
      </c>
      <c r="AP995" s="2"/>
      <c r="AQ995" s="2"/>
      <c r="AR995" s="2"/>
      <c r="AS995" s="2"/>
      <c r="AT995" s="2"/>
      <c r="AU995" s="2"/>
      <c r="AV995" s="2"/>
      <c r="AW995" s="2"/>
      <c r="AX995" s="2"/>
      <c r="AY995" s="2"/>
      <c r="AZ995" s="2"/>
      <c r="BA995" s="2"/>
      <c r="BB995" s="2"/>
    </row>
    <row r="996">
      <c r="A996" s="2">
        <f>IFERROR(__xludf.DUMMYFUNCTION("""COMPUTED_VALUE"""),992.0)</f>
        <v>992</v>
      </c>
      <c r="B996" s="2" t="str">
        <f>IFERROR(__xludf.DUMMYFUNCTION("""COMPUTED_VALUE"""),"COMPLETED")</f>
        <v>COMPLETED</v>
      </c>
      <c r="C996" s="74">
        <f>IFERROR(__xludf.DUMMYFUNCTION("""COMPUTED_VALUE"""),45807.0)</f>
        <v>45807</v>
      </c>
      <c r="D996" s="71" t="str">
        <f>IFERROR(__xludf.DUMMYFUNCTION("""COMPUTED_VALUE"""),"BARANGAY BANUGAO FARMERS ASSOCIATION")</f>
        <v>BARANGAY BANUGAO FARMERS ASSOCIATION</v>
      </c>
      <c r="E996" s="71" t="str">
        <f>IFERROR(__xludf.DUMMYFUNCTION("""COMPUTED_VALUE"""),"Banugao, Infanta, Quezon")</f>
        <v>Banugao, Infanta, Quezon</v>
      </c>
      <c r="F996" s="2" t="str">
        <f>IFERROR(__xludf.DUMMYFUNCTION("""COMPUTED_VALUE"""),"Analisa avillano")</f>
        <v>Analisa avillano</v>
      </c>
      <c r="G996" s="2">
        <f>IFERROR(__xludf.DUMMYFUNCTION("""COMPUTED_VALUE"""),9.126843974E9)</f>
        <v>9126843974</v>
      </c>
      <c r="H996" s="2">
        <f>IFERROR(__xludf.DUMMYFUNCTION("""COMPUTED_VALUE"""),694.7)</f>
        <v>694.7</v>
      </c>
      <c r="I996" s="72" t="str">
        <f>IFERROR(__xludf.DUMMYFUNCTION("""COMPUTED_VALUE"""),"REPAIR - ROTAVATOR")</f>
        <v>REPAIR - ROTAVATOR</v>
      </c>
      <c r="J996" s="72" t="str">
        <f>IFERROR(__xludf.DUMMYFUNCTION("""COMPUTED_VALUE"""),"Leak")</f>
        <v>Leak</v>
      </c>
      <c r="K996" s="72" t="str">
        <f>IFERROR(__xludf.DUMMYFUNCTION("""COMPUTED_VALUE"""),"JTT: TUMITIGIL ANG ROTAVATOR")</f>
        <v>JTT: TUMITIGIL ANG ROTAVATOR</v>
      </c>
      <c r="L996" s="72" t="str">
        <f>IFERROR(__xludf.DUMMYFUNCTION("""COMPUTED_VALUE"""),"JIE: KUSA DAW TUMIGIL ANG TULO NG LANGIS,- 11/6/25")</f>
        <v>JIE: KUSA DAW TUMIGIL ANG TULO NG LANGIS,- 11/6/25</v>
      </c>
      <c r="M996" s="2"/>
      <c r="N996" s="2"/>
      <c r="O996" s="2" t="str">
        <f>IFERROR(__xludf.DUMMYFUNCTION("""COMPUTED_VALUE"""),"N/A")</f>
        <v>N/A</v>
      </c>
      <c r="P996" s="2"/>
      <c r="Q996" s="2"/>
      <c r="R996" s="74">
        <f>IFERROR(__xludf.DUMMYFUNCTION("""COMPUTED_VALUE"""),45967.0)</f>
        <v>45967</v>
      </c>
      <c r="S996" s="2" t="str">
        <f>IFERROR(__xludf.DUMMYFUNCTION("""COMPUTED_VALUE"""),"JIE")</f>
        <v>JIE</v>
      </c>
      <c r="T996" s="2"/>
      <c r="U996" s="2"/>
      <c r="V996" s="2"/>
      <c r="W996" s="2"/>
      <c r="X996" s="2"/>
      <c r="Y996" s="2"/>
      <c r="Z996" s="2"/>
      <c r="AA996" s="2"/>
      <c r="AB996" s="2"/>
      <c r="AC996" s="2"/>
      <c r="AD996" s="2"/>
      <c r="AE996" s="2"/>
      <c r="AF996" s="2"/>
      <c r="AG996" s="2"/>
      <c r="AH996" s="2"/>
      <c r="AI996" s="2"/>
      <c r="AJ996" s="2" t="str">
        <f>IFERROR(__xludf.DUMMYFUNCTION("""COMPUTED_VALUE"""),"Banugao")</f>
        <v>Banugao</v>
      </c>
      <c r="AK996" s="2" t="str">
        <f>IFERROR(__xludf.DUMMYFUNCTION("""COMPUTED_VALUE"""),"Infanta")</f>
        <v>Infanta</v>
      </c>
      <c r="AL996" s="2" t="str">
        <f>IFERROR(__xludf.DUMMYFUNCTION("""COMPUTED_VALUE"""),"Quezon")</f>
        <v>Quezon</v>
      </c>
      <c r="AM996" s="2" t="str">
        <f>IFERROR(__xludf.DUMMYFUNCTION("""COMPUTED_VALUE"""),"4A")</f>
        <v>4A</v>
      </c>
      <c r="AN996" s="2" t="str">
        <f>IFERROR(__xludf.DUMMYFUNCTION("""COMPUTED_VALUE"""),"RCEF 23-08-20 Rebidding")</f>
        <v>RCEF 23-08-20 Rebidding</v>
      </c>
      <c r="AO996" s="2">
        <f>IFERROR(__xludf.DUMMYFUNCTION("""COMPUTED_VALUE"""),1.0)</f>
        <v>1</v>
      </c>
      <c r="AP996" s="2"/>
      <c r="AQ996" s="2"/>
      <c r="AR996" s="2"/>
      <c r="AS996" s="2"/>
      <c r="AT996" s="2"/>
      <c r="AU996" s="2"/>
      <c r="AV996" s="2"/>
      <c r="AW996" s="2"/>
      <c r="AX996" s="2"/>
      <c r="AY996" s="2"/>
      <c r="AZ996" s="2"/>
      <c r="BA996" s="2"/>
      <c r="BB996" s="2"/>
    </row>
    <row r="997">
      <c r="A997" s="2">
        <f>IFERROR(__xludf.DUMMYFUNCTION("""COMPUTED_VALUE"""),993.0)</f>
        <v>993</v>
      </c>
      <c r="B997" s="2" t="str">
        <f>IFERROR(__xludf.DUMMYFUNCTION("""COMPUTED_VALUE"""),"COMPLETED")</f>
        <v>COMPLETED</v>
      </c>
      <c r="C997" s="74">
        <f>IFERROR(__xludf.DUMMYFUNCTION("""COMPUTED_VALUE"""),45807.0)</f>
        <v>45807</v>
      </c>
      <c r="D997" s="71" t="str">
        <f>IFERROR(__xludf.DUMMYFUNCTION("""COMPUTED_VALUE"""),"CAURINGAN ASAN FARMERS IRRIGATORS' ASSOCIATION, INC.")</f>
        <v>CAURINGAN ASAN FARMERS IRRIGATORS' ASSOCIATION, INC.</v>
      </c>
      <c r="E997" s="71" t="str">
        <f>IFERROR(__xludf.DUMMYFUNCTION("""COMPUTED_VALUE"""),"Poblacion Central, Sison, PANGASINAN")</f>
        <v>Poblacion Central, Sison, PANGASINAN</v>
      </c>
      <c r="F997" s="2" t="str">
        <f>IFERROR(__xludf.DUMMYFUNCTION("""COMPUTED_VALUE"""),"Johnny N. Ellana")</f>
        <v>Johnny N. Ellana</v>
      </c>
      <c r="G997" s="2" t="str">
        <f>IFERROR(__xludf.DUMMYFUNCTION("""COMPUTED_VALUE"""),"0912-621-2047")</f>
        <v>0912-621-2047</v>
      </c>
      <c r="H997" s="2">
        <f>IFERROR(__xludf.DUMMYFUNCTION("""COMPUTED_VALUE"""),117.0)</f>
        <v>117</v>
      </c>
      <c r="I997" s="72" t="str">
        <f>IFERROR(__xludf.DUMMYFUNCTION("""COMPUTED_VALUE"""),"REPAIR - TRACTOR")</f>
        <v>REPAIR - TRACTOR</v>
      </c>
      <c r="J997" s="72" t="str">
        <f>IFERROR(__xludf.DUMMYFUNCTION("""COMPUTED_VALUE"""),"Transmission - Clutch")</f>
        <v>Transmission - Clutch</v>
      </c>
      <c r="K997" s="72" t="str">
        <f>IFERROR(__xludf.DUMMYFUNCTION("""COMPUTED_VALUE"""),"KFS: Land Prep daw po nila ngayon, okay naman daw po kahapon ang FWT, kaso ngayon po ayaw na po umandar.
JHP: CLUTCH PROBLEM
DSD: 6/26/25: PAKAT ANG PRENO, MALAMBOT ANG CLUTCH
PARTS NEEDED: CLUTCH DISC ASSY")</f>
        <v>KFS: Land Prep daw po nila ngayon, okay naman daw po kahapon ang FWT, kaso ngayon po ayaw na po umandar.
JHP: CLUTCH PROBLEM
DSD: 6/26/25: PAKAT ANG PRENO, MALAMBOT ANG CLUTCH
PARTS NEEDED: CLUTCH DISC ASSY</v>
      </c>
      <c r="L997" s="72" t="str">
        <f>IFERROR(__xludf.DUMMYFUNCTION("""COMPUTED_VALUE"""),"DSD: REPLACED CLUTCH DISC ASSY")</f>
        <v>DSD: REPLACED CLUTCH DISC ASSY</v>
      </c>
      <c r="M997" s="2"/>
      <c r="N997" s="2" t="str">
        <f>IFERROR(__xludf.DUMMYFUNCTION("""COMPUTED_VALUE"""),"PARTS: CLUTCH DISC ASSY")</f>
        <v>PARTS: CLUTCH DISC ASSY</v>
      </c>
      <c r="O997" s="2">
        <f>IFERROR(__xludf.DUMMYFUNCTION("""COMPUTED_VALUE"""),1087.0)</f>
        <v>1087</v>
      </c>
      <c r="P997" s="2"/>
      <c r="Q997" s="2"/>
      <c r="R997" s="74">
        <f>IFERROR(__xludf.DUMMYFUNCTION("""COMPUTED_VALUE"""),45849.0)</f>
        <v>45849</v>
      </c>
      <c r="S997" s="2" t="str">
        <f>IFERROR(__xludf.DUMMYFUNCTION("""COMPUTED_VALUE"""),"DSD/JDP")</f>
        <v>DSD/JDP</v>
      </c>
      <c r="T997" s="73">
        <f>IFERROR(__xludf.DUMMYFUNCTION("""COMPUTED_VALUE"""),21330.0)</f>
        <v>21330</v>
      </c>
      <c r="U997" s="73" t="str">
        <f>IFERROR(__xludf.DUMMYFUNCTION("""COMPUTED_VALUE""")," REMITTED ")</f>
        <v>REMITTED</v>
      </c>
      <c r="V997" s="2"/>
      <c r="W997" s="2">
        <f>IFERROR(__xludf.DUMMYFUNCTION("""COMPUTED_VALUE"""),1605.0)</f>
        <v>1605</v>
      </c>
      <c r="X997" s="2">
        <f>IFERROR(__xludf.DUMMYFUNCTION("""COMPUTED_VALUE"""),1523.0)</f>
        <v>1523</v>
      </c>
      <c r="Y997" s="2"/>
      <c r="Z997" s="2"/>
      <c r="AA997" s="2"/>
      <c r="AB997" s="2"/>
      <c r="AC997" s="2"/>
      <c r="AD997" s="2"/>
      <c r="AE997" s="2"/>
      <c r="AF997" s="2"/>
      <c r="AG997" s="2"/>
      <c r="AH997" s="2"/>
      <c r="AI997" s="2"/>
      <c r="AJ997" s="2" t="str">
        <f>IFERROR(__xludf.DUMMYFUNCTION("""COMPUTED_VALUE"""),"Poblacion Central")</f>
        <v>Poblacion Central</v>
      </c>
      <c r="AK997" s="2" t="str">
        <f>IFERROR(__xludf.DUMMYFUNCTION("""COMPUTED_VALUE"""),"Sison")</f>
        <v>Sison</v>
      </c>
      <c r="AL997" s="2" t="str">
        <f>IFERROR(__xludf.DUMMYFUNCTION("""COMPUTED_VALUE"""),"Pangasinan")</f>
        <v>Pangasinan</v>
      </c>
      <c r="AM997" s="2">
        <f>IFERROR(__xludf.DUMMYFUNCTION("""COMPUTED_VALUE"""),1.0)</f>
        <v>1</v>
      </c>
      <c r="AN997" s="2" t="str">
        <f>IFERROR(__xludf.DUMMYFUNCTION("""COMPUTED_VALUE"""),"RCEF 23-09-21 Rebidding")</f>
        <v>RCEF 23-09-21 Rebidding</v>
      </c>
      <c r="AO997" s="2">
        <f>IFERROR(__xludf.DUMMYFUNCTION("""COMPUTED_VALUE"""),2.0)</f>
        <v>2</v>
      </c>
      <c r="AP997" s="2"/>
      <c r="AQ997" s="2"/>
      <c r="AR997" s="2"/>
      <c r="AS997" s="2"/>
      <c r="AT997" s="2"/>
      <c r="AU997" s="2"/>
      <c r="AV997" s="2"/>
      <c r="AW997" s="2"/>
      <c r="AX997" s="2"/>
      <c r="AY997" s="2"/>
      <c r="AZ997" s="2"/>
      <c r="BA997" s="2"/>
      <c r="BB997" s="2"/>
    </row>
    <row r="998">
      <c r="A998" s="2">
        <f>IFERROR(__xludf.DUMMYFUNCTION("""COMPUTED_VALUE"""),994.0)</f>
        <v>994</v>
      </c>
      <c r="B998" s="2" t="str">
        <f>IFERROR(__xludf.DUMMYFUNCTION("""COMPUTED_VALUE"""),"COMPLETED")</f>
        <v>COMPLETED</v>
      </c>
      <c r="C998" s="74">
        <f>IFERROR(__xludf.DUMMYFUNCTION("""COMPUTED_VALUE"""),45807.0)</f>
        <v>45807</v>
      </c>
      <c r="D998" s="71" t="str">
        <f>IFERROR(__xludf.DUMMYFUNCTION("""COMPUTED_VALUE"""),"CARUNOAN WEST ROSARIO LA UNION IRRIGATORS ASSOCIATION INC.")</f>
        <v>CARUNOAN WEST ROSARIO LA UNION IRRIGATORS ASSOCIATION INC.</v>
      </c>
      <c r="E998" s="71" t="str">
        <f>IFERROR(__xludf.DUMMYFUNCTION("""COMPUTED_VALUE"""),"Carunuan West, Rosario, LA UNION")</f>
        <v>Carunuan West, Rosario, LA UNION</v>
      </c>
      <c r="F998" s="2"/>
      <c r="G998" s="2"/>
      <c r="H998" s="2"/>
      <c r="I998" s="72" t="str">
        <f>IFERROR(__xludf.DUMMYFUNCTION("""COMPUTED_VALUE"""),"SPARE PARTS ACQUISITION")</f>
        <v>SPARE PARTS ACQUISITION</v>
      </c>
      <c r="J998" s="72" t="str">
        <f>IFERROR(__xludf.DUMMYFUNCTION("""COMPUTED_VALUE"""),"PARTS REQUEST")</f>
        <v>PARTS REQUEST</v>
      </c>
      <c r="K998" s="72" t="str">
        <f>IFERROR(__xludf.DUMMYFUNCTION("""COMPUTED_VALUE"""),"JDP:PARTS: JOYSTICK ASSY (36,100)")</f>
        <v>JDP:PARTS: JOYSTICK ASSY (36,100)</v>
      </c>
      <c r="L998" s="72" t="str">
        <f>IFERROR(__xludf.DUMMYFUNCTION("""COMPUTED_VALUE"""),"PENDING: UNDECIDED: PARTS AVL")</f>
        <v>PENDING: UNDECIDED: PARTS AVL</v>
      </c>
      <c r="M998" s="2"/>
      <c r="N998" s="2"/>
      <c r="O998" s="2" t="str">
        <f>IFERROR(__xludf.DUMMYFUNCTION("""COMPUTED_VALUE"""),"N/A")</f>
        <v>N/A</v>
      </c>
      <c r="P998" s="2"/>
      <c r="Q998" s="2"/>
      <c r="R998" s="74">
        <f>IFERROR(__xludf.DUMMYFUNCTION("""COMPUTED_VALUE"""),46036.0)</f>
        <v>46036</v>
      </c>
      <c r="S998" s="2" t="str">
        <f>IFERROR(__xludf.DUMMYFUNCTION("""COMPUTED_VALUE"""),"MYKEE")</f>
        <v>MYKEE</v>
      </c>
      <c r="T998" s="73" t="str">
        <f>IFERROR(__xludf.DUMMYFUNCTION("""COMPUTED_VALUE""")," N/A ")</f>
        <v>N/A</v>
      </c>
      <c r="U998" s="73" t="str">
        <f>IFERROR(__xludf.DUMMYFUNCTION("""COMPUTED_VALUE""")," NO CHARGE ")</f>
        <v>NO CHARGE</v>
      </c>
      <c r="V998" s="2"/>
      <c r="W998" s="2" t="str">
        <f>IFERROR(__xludf.DUMMYFUNCTION("""COMPUTED_VALUE"""),"N/A")</f>
        <v>N/A</v>
      </c>
      <c r="X998" s="2" t="str">
        <f>IFERROR(__xludf.DUMMYFUNCTION("""COMPUTED_VALUE"""),"N/A")</f>
        <v>N/A</v>
      </c>
      <c r="Y998" s="2"/>
      <c r="Z998" s="2"/>
      <c r="AA998" s="2"/>
      <c r="AB998" s="2"/>
      <c r="AC998" s="2"/>
      <c r="AD998" s="2"/>
      <c r="AE998" s="2"/>
      <c r="AF998" s="2"/>
      <c r="AG998" s="2"/>
      <c r="AH998" s="2"/>
      <c r="AI998" s="2"/>
      <c r="AJ998" s="2" t="str">
        <f>IFERROR(__xludf.DUMMYFUNCTION("""COMPUTED_VALUE"""),"Carunuan West")</f>
        <v>Carunuan West</v>
      </c>
      <c r="AK998" s="2" t="str">
        <f>IFERROR(__xludf.DUMMYFUNCTION("""COMPUTED_VALUE"""),"Rosario")</f>
        <v>Rosario</v>
      </c>
      <c r="AL998" s="2" t="str">
        <f>IFERROR(__xludf.DUMMYFUNCTION("""COMPUTED_VALUE"""),"La Union")</f>
        <v>La Union</v>
      </c>
      <c r="AM998" s="2">
        <f>IFERROR(__xludf.DUMMYFUNCTION("""COMPUTED_VALUE"""),1.0)</f>
        <v>1</v>
      </c>
      <c r="AN998" s="2" t="str">
        <f>IFERROR(__xludf.DUMMYFUNCTION("""COMPUTED_VALUE"""),"RCEF 23-09-21 Rebidding")</f>
        <v>RCEF 23-09-21 Rebidding</v>
      </c>
      <c r="AO998" s="2">
        <f>IFERROR(__xludf.DUMMYFUNCTION("""COMPUTED_VALUE"""),2.0)</f>
        <v>2</v>
      </c>
      <c r="AP998" s="2"/>
      <c r="AQ998" s="2"/>
      <c r="AR998" s="2"/>
      <c r="AS998" s="2"/>
      <c r="AT998" s="2"/>
      <c r="AU998" s="2"/>
      <c r="AV998" s="2"/>
      <c r="AW998" s="2"/>
      <c r="AX998" s="2"/>
      <c r="AY998" s="2"/>
      <c r="AZ998" s="2"/>
      <c r="BA998" s="2"/>
      <c r="BB998" s="2"/>
    </row>
    <row r="999">
      <c r="A999" s="2">
        <f>IFERROR(__xludf.DUMMYFUNCTION("""COMPUTED_VALUE"""),995.0)</f>
        <v>995</v>
      </c>
      <c r="B999" s="2" t="str">
        <f>IFERROR(__xludf.DUMMYFUNCTION("""COMPUTED_VALUE"""),"PENDING")</f>
        <v>PENDING</v>
      </c>
      <c r="C999" s="74">
        <f>IFERROR(__xludf.DUMMYFUNCTION("""COMPUTED_VALUE"""),45808.0)</f>
        <v>45808</v>
      </c>
      <c r="D999" s="71" t="str">
        <f>IFERROR(__xludf.DUMMYFUNCTION("""COMPUTED_VALUE"""),"SAN ROQUE FARMERS ASSOCIATION")</f>
        <v>SAN ROQUE FARMERS ASSOCIATION</v>
      </c>
      <c r="E999" s="71" t="str">
        <f>IFERROR(__xludf.DUMMYFUNCTION("""COMPUTED_VALUE"""),"San Roque, Lopez, Quezon")</f>
        <v>San Roque, Lopez, Quezon</v>
      </c>
      <c r="F999" s="2" t="str">
        <f>IFERROR(__xludf.DUMMYFUNCTION("""COMPUTED_VALUE"""),"Rodelito Abella")</f>
        <v>Rodelito Abella</v>
      </c>
      <c r="G999" s="2">
        <f>IFERROR(__xludf.DUMMYFUNCTION("""COMPUTED_VALUE"""),9.06570345E9)</f>
        <v>9065703450</v>
      </c>
      <c r="H999" s="2">
        <f>IFERROR(__xludf.DUMMYFUNCTION("""COMPUTED_VALUE"""),597.0)</f>
        <v>597</v>
      </c>
      <c r="I999" s="72" t="str">
        <f>IFERROR(__xludf.DUMMYFUNCTION("""COMPUTED_VALUE"""),"REPAIR - TRACTOR")</f>
        <v>REPAIR - TRACTOR</v>
      </c>
      <c r="J999" s="72" t="str">
        <f>IFERROR(__xludf.DUMMYFUNCTION("""COMPUTED_VALUE"""),"Transmission - Clutch")</f>
        <v>Transmission - Clutch</v>
      </c>
      <c r="K999" s="72" t="str">
        <f>IFERROR(__xludf.DUMMYFUNCTION("""COMPUTED_VALUE"""),"KFS: AYAW UMABANTE
KFS: CLUTCH LINING (CLUTCH DISC ASSY)
6/18/25
0039: JTT: REPLACE CLUTCH LINING AND CLUTCH COVER
JTT: KFS approved na Yung term sa payment mag down 22k")</f>
        <v>KFS: AYAW UMABANTE
KFS: CLUTCH LINING (CLUTCH DISC ASSY)
6/18/25
0039: JTT: REPLACE CLUTCH LINING AND CLUTCH COVER
JTT: KFS approved na Yung term sa payment mag down 22k</v>
      </c>
      <c r="L999" s="72" t="str">
        <f>IFERROR(__xludf.DUMMYFUNCTION("""COMPUTED_VALUE"""),"JIE: SIRA PADIN DAW ANG CLUTCH LINING - 11/6/25")</f>
        <v>JIE: SIRA PADIN DAW ANG CLUTCH LINING - 11/6/25</v>
      </c>
      <c r="M999" s="2" t="str">
        <f>IFERROR(__xludf.DUMMYFUNCTION("""COMPUTED_VALUE"""),"CLUTCH DISC ASSY
CLUTCH COVER ASSY")</f>
        <v>CLUTCH DISC ASSY
CLUTCH COVER ASSY</v>
      </c>
      <c r="N999" s="2"/>
      <c r="O999" s="2"/>
      <c r="P999" s="2"/>
      <c r="Q999" s="2"/>
      <c r="R999" s="2"/>
      <c r="S999" s="2"/>
      <c r="T999" s="2"/>
      <c r="U999" s="2"/>
      <c r="V999" s="2"/>
      <c r="W999" s="2"/>
      <c r="X999" s="2"/>
      <c r="Y999" s="2"/>
      <c r="Z999" s="2"/>
      <c r="AA999" s="2"/>
      <c r="AB999" s="2"/>
      <c r="AC999" s="2"/>
      <c r="AD999" s="2"/>
      <c r="AE999" s="2"/>
      <c r="AF999" s="2"/>
      <c r="AG999" s="2"/>
      <c r="AH999" s="2"/>
      <c r="AI999" s="2"/>
      <c r="AJ999" s="2" t="str">
        <f>IFERROR(__xludf.DUMMYFUNCTION("""COMPUTED_VALUE"""),"San Roque")</f>
        <v>San Roque</v>
      </c>
      <c r="AK999" s="2" t="str">
        <f>IFERROR(__xludf.DUMMYFUNCTION("""COMPUTED_VALUE"""),"Lopez")</f>
        <v>Lopez</v>
      </c>
      <c r="AL999" s="2" t="str">
        <f>IFERROR(__xludf.DUMMYFUNCTION("""COMPUTED_VALUE"""),"Quezon")</f>
        <v>Quezon</v>
      </c>
      <c r="AM999" s="2" t="str">
        <f>IFERROR(__xludf.DUMMYFUNCTION("""COMPUTED_VALUE"""),"4A")</f>
        <v>4A</v>
      </c>
      <c r="AN999" s="2" t="str">
        <f>IFERROR(__xludf.DUMMYFUNCTION("""COMPUTED_VALUE"""),"RCEF 23-08-20 Rebidding")</f>
        <v>RCEF 23-08-20 Rebidding</v>
      </c>
      <c r="AO999" s="2">
        <f>IFERROR(__xludf.DUMMYFUNCTION("""COMPUTED_VALUE"""),1.0)</f>
        <v>1</v>
      </c>
      <c r="AP999" s="2"/>
      <c r="AQ999" s="2"/>
      <c r="AR999" s="2" t="str">
        <f>IFERROR(__xludf.DUMMYFUNCTION("""COMPUTED_VALUE"""),"CLUTCH DISC ASSY
CLUTCH COVER ASSY")</f>
        <v>CLUTCH DISC ASSY
CLUTCH COVER ASSY</v>
      </c>
      <c r="AS999" s="2"/>
      <c r="AT999" s="2"/>
      <c r="AU999" s="2"/>
      <c r="AV999" s="2"/>
      <c r="AW999" s="2"/>
      <c r="AX999" s="2"/>
      <c r="AY999" s="2"/>
      <c r="AZ999" s="2"/>
      <c r="BA999" s="2"/>
      <c r="BB999" s="2"/>
    </row>
    <row r="1000">
      <c r="A1000" s="2">
        <f>IFERROR(__xludf.DUMMYFUNCTION("""COMPUTED_VALUE"""),996.0)</f>
        <v>996</v>
      </c>
      <c r="B1000" s="2" t="str">
        <f>IFERROR(__xludf.DUMMYFUNCTION("""COMPUTED_VALUE"""),"COMPLETED")</f>
        <v>COMPLETED</v>
      </c>
      <c r="C1000" s="74">
        <f>IFERROR(__xludf.DUMMYFUNCTION("""COMPUTED_VALUE"""),45810.0)</f>
        <v>45810</v>
      </c>
      <c r="D1000" s="71" t="str">
        <f>IFERROR(__xludf.DUMMYFUNCTION("""COMPUTED_VALUE"""),"BAGUMBAYAN FARMERS ASSOCIATION")</f>
        <v>BAGUMBAYAN FARMERS ASSOCIATION</v>
      </c>
      <c r="E1000" s="71" t="str">
        <f>IFERROR(__xludf.DUMMYFUNCTION("""COMPUTED_VALUE"""),"Sta Cruz, Laguna")</f>
        <v>Sta Cruz, Laguna</v>
      </c>
      <c r="F1000" s="2" t="str">
        <f>IFERROR(__xludf.DUMMYFUNCTION("""COMPUTED_VALUE"""),"BAGUMBAYAN FARMERS ASSOCIATION
HENRY BAUTISTA")</f>
        <v>BAGUMBAYAN FARMERS ASSOCIATION
HENRY BAUTISTA</v>
      </c>
      <c r="G1000" s="2" t="str">
        <f>IFERROR(__xludf.DUMMYFUNCTION("""COMPUTED_VALUE"""),"9152343422 / 09750912520")</f>
        <v>9152343422 / 09750912520</v>
      </c>
      <c r="H1000" s="2"/>
      <c r="I1000" s="72" t="str">
        <f>IFERROR(__xludf.DUMMYFUNCTION("""COMPUTED_VALUE"""),"PMS")</f>
        <v>PMS</v>
      </c>
      <c r="J1000" s="72" t="str">
        <f>IFERROR(__xludf.DUMMYFUNCTION("""COMPUTED_VALUE"""),"PMS")</f>
        <v>PMS</v>
      </c>
      <c r="K1000" s="72" t="str">
        <f>IFERROR(__xludf.DUMMYFUNCTION("""COMPUTED_VALUE"""),"KFS: 1ST PMS FREE")</f>
        <v>KFS: 1ST PMS FREE</v>
      </c>
      <c r="L1000" s="72" t="str">
        <f>IFERROR(__xludf.DUMMYFUNCTION("""COMPUTED_VALUE"""),"JTT: 1ST PMS DONE")</f>
        <v>JTT: 1ST PMS DONE</v>
      </c>
      <c r="M1000" s="2"/>
      <c r="N1000" s="2" t="str">
        <f>IFERROR(__xludf.DUMMYFUNCTION("""COMPUTED_VALUE"""),"PARTS:
OIL FILTER
ENGINE OIL")</f>
        <v>PARTS:
OIL FILTER
ENGINE OIL</v>
      </c>
      <c r="O1000" s="2">
        <f>IFERROR(__xludf.DUMMYFUNCTION("""COMPUTED_VALUE"""),28.0)</f>
        <v>28</v>
      </c>
      <c r="P1000" s="2"/>
      <c r="Q1000" s="2"/>
      <c r="R1000" s="74">
        <f>IFERROR(__xludf.DUMMYFUNCTION("""COMPUTED_VALUE"""),45811.0)</f>
        <v>45811</v>
      </c>
      <c r="S1000" s="2" t="str">
        <f>IFERROR(__xludf.DUMMYFUNCTION("""COMPUTED_VALUE"""),"JTT/JAH")</f>
        <v>JTT/JAH</v>
      </c>
      <c r="T1000" s="73" t="str">
        <f>IFERROR(__xludf.DUMMYFUNCTION("""COMPUTED_VALUE""")," N/A ")</f>
        <v>N/A</v>
      </c>
      <c r="U1000" s="73" t="str">
        <f>IFERROR(__xludf.DUMMYFUNCTION("""COMPUTED_VALUE""")," NO CHARGE ")</f>
        <v>NO CHARGE</v>
      </c>
      <c r="V1000" s="2"/>
      <c r="W1000" s="2" t="str">
        <f>IFERROR(__xludf.DUMMYFUNCTION("""COMPUTED_VALUE"""),"N/A")</f>
        <v>N/A</v>
      </c>
      <c r="X1000" s="2" t="str">
        <f>IFERROR(__xludf.DUMMYFUNCTION("""COMPUTED_VALUE"""),"N/A")</f>
        <v>N/A</v>
      </c>
      <c r="Y1000" s="2"/>
      <c r="Z1000" s="2"/>
      <c r="AA1000" s="2"/>
      <c r="AB1000" s="2"/>
      <c r="AC1000" s="2"/>
      <c r="AD1000" s="2"/>
      <c r="AE1000" s="2"/>
      <c r="AF1000" s="2"/>
      <c r="AG1000" s="2"/>
      <c r="AH1000" s="2"/>
      <c r="AI1000" s="2"/>
      <c r="AJ1000" s="2" t="str">
        <f>IFERROR(__xludf.DUMMYFUNCTION("""COMPUTED_VALUE"""),"Sta Cruz")</f>
        <v>Sta Cruz</v>
      </c>
      <c r="AK1000" s="2" t="str">
        <f>IFERROR(__xludf.DUMMYFUNCTION("""COMPUTED_VALUE"""),"")</f>
        <v/>
      </c>
      <c r="AL1000" s="2" t="str">
        <f>IFERROR(__xludf.DUMMYFUNCTION("""COMPUTED_VALUE"""),"")</f>
        <v/>
      </c>
      <c r="AM1000" s="2" t="str">
        <f>IFERROR(__xludf.DUMMYFUNCTION("""COMPUTED_VALUE"""),"")</f>
        <v/>
      </c>
      <c r="AN1000" s="2" t="str">
        <f>IFERROR(__xludf.DUMMYFUNCTION("""COMPUTED_VALUE"""),"RCEF 24-04-15")</f>
        <v>RCEF 24-04-15</v>
      </c>
      <c r="AO1000" s="2">
        <f>IFERROR(__xludf.DUMMYFUNCTION("""COMPUTED_VALUE"""),7.0)</f>
        <v>7</v>
      </c>
      <c r="AP1000" s="2" t="str">
        <f>IFERROR(__xludf.DUMMYFUNCTION("""COMPUTED_VALUE"""),"FREE PMS")</f>
        <v>FREE PMS</v>
      </c>
      <c r="AQ1000" s="2"/>
      <c r="AR1000" s="2"/>
      <c r="AS1000" s="2"/>
      <c r="AT1000" s="2"/>
      <c r="AU1000" s="2"/>
      <c r="AV1000" s="2"/>
      <c r="AW1000" s="2"/>
      <c r="AX1000" s="2"/>
      <c r="AY1000" s="2"/>
      <c r="AZ1000" s="2"/>
      <c r="BA1000" s="2"/>
      <c r="BB1000" s="2"/>
    </row>
    <row r="1001">
      <c r="A1001" s="2">
        <f>IFERROR(__xludf.DUMMYFUNCTION("""COMPUTED_VALUE"""),997.0)</f>
        <v>997</v>
      </c>
      <c r="B1001" s="2" t="str">
        <f>IFERROR(__xludf.DUMMYFUNCTION("""COMPUTED_VALUE"""),"COMPLETED")</f>
        <v>COMPLETED</v>
      </c>
      <c r="C1001" s="74">
        <f>IFERROR(__xludf.DUMMYFUNCTION("""COMPUTED_VALUE"""),45810.0)</f>
        <v>45810</v>
      </c>
      <c r="D1001" s="71" t="str">
        <f>IFERROR(__xludf.DUMMYFUNCTION("""COMPUTED_VALUE"""),"SAMAHANG GUMAGAWA TUNGONG TAGUMPAY MULTI-PURPOSE COOPERATIVE (SAGUTT)")</f>
        <v>SAMAHANG GUMAGAWA TUNGONG TAGUMPAY MULTI-PURPOSE COOPERATIVE (SAGUTT)</v>
      </c>
      <c r="E1001" s="71" t="str">
        <f>IFERROR(__xludf.DUMMYFUNCTION("""COMPUTED_VALUE"""),"Paetan, Sablayan, OCCIDENTAL MINDORO")</f>
        <v>Paetan, Sablayan, OCCIDENTAL MINDORO</v>
      </c>
      <c r="F1001" s="2" t="str">
        <f>IFERROR(__xludf.DUMMYFUNCTION("""COMPUTED_VALUE"""),"Januarius Martinez")</f>
        <v>Januarius Martinez</v>
      </c>
      <c r="G1001" s="2">
        <f>IFERROR(__xludf.DUMMYFUNCTION("""COMPUTED_VALUE"""),9.91543942E8)</f>
        <v>991543942</v>
      </c>
      <c r="H1001" s="2">
        <f>IFERROR(__xludf.DUMMYFUNCTION("""COMPUTED_VALUE"""),315.0)</f>
        <v>315</v>
      </c>
      <c r="I1001" s="72" t="str">
        <f>IFERROR(__xludf.DUMMYFUNCTION("""COMPUTED_VALUE"""),"PMS")</f>
        <v>PMS</v>
      </c>
      <c r="J1001" s="72" t="str">
        <f>IFERROR(__xludf.DUMMYFUNCTION("""COMPUTED_VALUE"""),"PMS")</f>
        <v>PMS</v>
      </c>
      <c r="K1001" s="72" t="str">
        <f>IFERROR(__xludf.DUMMYFUNCTION("""COMPUTED_VALUE"""),"MYK: 2ND PMS, AYAW MAG START, MAY LUMALABAS NA WARNING SA PANEL BOARD.")</f>
        <v>MYK: 2ND PMS, AYAW MAG START, MAY LUMALABAS NA WARNING SA PANEL BOARD.</v>
      </c>
      <c r="L1001" s="72" t="str">
        <f>IFERROR(__xludf.DUMMYFUNCTION("""COMPUTED_VALUE"""),"RCG: CHECK UP UNIT AND ASSIST OPERATOR")</f>
        <v>RCG: CHECK UP UNIT AND ASSIST OPERATOR</v>
      </c>
      <c r="M1001" s="2"/>
      <c r="N1001" s="2" t="str">
        <f>IFERROR(__xludf.DUMMYFUNCTION("""COMPUTED_VALUE"""),"PARTS: OIL FILTER, HYDRAULIC FILTER")</f>
        <v>PARTS: OIL FILTER, HYDRAULIC FILTER</v>
      </c>
      <c r="O1001" s="2">
        <f>IFERROR(__xludf.DUMMYFUNCTION("""COMPUTED_VALUE"""),165.0)</f>
        <v>165</v>
      </c>
      <c r="P1001" s="2"/>
      <c r="Q1001" s="2"/>
      <c r="R1001" s="74">
        <f>IFERROR(__xludf.DUMMYFUNCTION("""COMPUTED_VALUE"""),45821.0)</f>
        <v>45821</v>
      </c>
      <c r="S1001" s="2" t="str">
        <f>IFERROR(__xludf.DUMMYFUNCTION("""COMPUTED_VALUE"""),"RCG/RBS")</f>
        <v>RCG/RBS</v>
      </c>
      <c r="T1001" s="73">
        <f>IFERROR(__xludf.DUMMYFUNCTION("""COMPUTED_VALUE"""),4400.0)</f>
        <v>4400</v>
      </c>
      <c r="U1001" s="73" t="str">
        <f>IFERROR(__xludf.DUMMYFUNCTION("""COMPUTED_VALUE""")," REMITTED ")</f>
        <v>REMITTED</v>
      </c>
      <c r="V1001" s="2"/>
      <c r="W1001" s="2">
        <f>IFERROR(__xludf.DUMMYFUNCTION("""COMPUTED_VALUE"""),1194.0)</f>
        <v>1194</v>
      </c>
      <c r="X1001" s="2">
        <f>IFERROR(__xludf.DUMMYFUNCTION("""COMPUTED_VALUE"""),1447.0)</f>
        <v>1447</v>
      </c>
      <c r="Y1001" s="2"/>
      <c r="Z1001" s="2"/>
      <c r="AA1001" s="2"/>
      <c r="AB1001" s="2"/>
      <c r="AC1001" s="2"/>
      <c r="AD1001" s="2"/>
      <c r="AE1001" s="2"/>
      <c r="AF1001" s="2"/>
      <c r="AG1001" s="2"/>
      <c r="AH1001" s="2"/>
      <c r="AI1001" s="2"/>
      <c r="AJ1001" s="2" t="str">
        <f>IFERROR(__xludf.DUMMYFUNCTION("""COMPUTED_VALUE"""),"Paetan")</f>
        <v>Paetan</v>
      </c>
      <c r="AK1001" s="2" t="str">
        <f>IFERROR(__xludf.DUMMYFUNCTION("""COMPUTED_VALUE"""),"Sablayan")</f>
        <v>Sablayan</v>
      </c>
      <c r="AL1001" s="2" t="str">
        <f>IFERROR(__xludf.DUMMYFUNCTION("""COMPUTED_VALUE"""),"Occidental Mindoro")</f>
        <v>Occidental Mindoro</v>
      </c>
      <c r="AM1001" s="2" t="str">
        <f>IFERROR(__xludf.DUMMYFUNCTION("""COMPUTED_VALUE"""),"4B")</f>
        <v>4B</v>
      </c>
      <c r="AN1001" s="2" t="str">
        <f>IFERROR(__xludf.DUMMYFUNCTION("""COMPUTED_VALUE"""),"RCEF 24-04-15")</f>
        <v>RCEF 24-04-15</v>
      </c>
      <c r="AO1001" s="2">
        <f>IFERROR(__xludf.DUMMYFUNCTION("""COMPUTED_VALUE"""),7.0)</f>
        <v>7</v>
      </c>
      <c r="AP1001" s="2" t="str">
        <f>IFERROR(__xludf.DUMMYFUNCTION("""COMPUTED_VALUE"""),"FREE PMS")</f>
        <v>FREE PMS</v>
      </c>
      <c r="AQ1001" s="2"/>
      <c r="AR1001" s="2"/>
      <c r="AS1001" s="2"/>
      <c r="AT1001" s="2"/>
      <c r="AU1001" s="2"/>
      <c r="AV1001" s="2"/>
      <c r="AW1001" s="2"/>
      <c r="AX1001" s="2"/>
      <c r="AY1001" s="2"/>
      <c r="AZ1001" s="2"/>
      <c r="BA1001" s="2"/>
      <c r="BB1001" s="2"/>
    </row>
    <row r="1002">
      <c r="A1002" s="2">
        <f>IFERROR(__xludf.DUMMYFUNCTION("""COMPUTED_VALUE"""),998.0)</f>
        <v>998</v>
      </c>
      <c r="B1002" s="2" t="str">
        <f>IFERROR(__xludf.DUMMYFUNCTION("""COMPUTED_VALUE"""),"COMPLETED")</f>
        <v>COMPLETED</v>
      </c>
      <c r="C1002" s="74">
        <f>IFERROR(__xludf.DUMMYFUNCTION("""COMPUTED_VALUE"""),45810.0)</f>
        <v>45810</v>
      </c>
      <c r="D1002" s="71" t="str">
        <f>IFERROR(__xludf.DUMMYFUNCTION("""COMPUTED_VALUE"""),"San Pedro United Farmers Association")</f>
        <v>San Pedro United Farmers Association</v>
      </c>
      <c r="E1002" s="71" t="str">
        <f>IFERROR(__xludf.DUMMYFUNCTION("""COMPUTED_VALUE"""),"San Pedro, Pilar, CAPIZ")</f>
        <v>San Pedro, Pilar, CAPIZ</v>
      </c>
      <c r="F1002" s="2" t="str">
        <f>IFERROR(__xludf.DUMMYFUNCTION("""COMPUTED_VALUE"""),"RONNIE MUYCO")</f>
        <v>RONNIE MUYCO</v>
      </c>
      <c r="G1002" s="2">
        <f>IFERROR(__xludf.DUMMYFUNCTION("""COMPUTED_VALUE"""),9.613080999E9)</f>
        <v>9613080999</v>
      </c>
      <c r="H1002" s="2"/>
      <c r="I1002" s="72" t="str">
        <f>IFERROR(__xludf.DUMMYFUNCTION("""COMPUTED_VALUE"""),"REPAIR - TRACTOR")</f>
        <v>REPAIR - TRACTOR</v>
      </c>
      <c r="J1002" s="72" t="str">
        <f>IFERROR(__xludf.DUMMYFUNCTION("""COMPUTED_VALUE"""),"CHECK UP/ REPAIR")</f>
        <v>CHECK UP/ REPAIR</v>
      </c>
      <c r="K1002" s="72" t="str">
        <f>IFERROR(__xludf.DUMMYFUNCTION("""COMPUTED_VALUE"""),"PHILMECH/RANDY : HUMINA HUMATAK , ")</f>
        <v>PHILMECH/RANDY : HUMINA HUMATAK , </v>
      </c>
      <c r="L1002" s="72" t="str">
        <f>IFERROR(__xludf.DUMMYFUNCTION("""COMPUTED_VALUE"""),"RANDY: PINA CHAECK ANG  LINYA NG DIESEL AT PINA CHECK ANG FUEL FILTER, NILINISAN NILA ANG FUEL FILTER, NGAYUN OPERATIONAL NA")</f>
        <v>RANDY: PINA CHAECK ANG  LINYA NG DIESEL AT PINA CHECK ANG FUEL FILTER, NILINISAN NILA ANG FUEL FILTER, NGAYUN OPERATIONAL NA</v>
      </c>
      <c r="M1002" s="2"/>
      <c r="N1002" s="2"/>
      <c r="O1002" s="2" t="str">
        <f>IFERROR(__xludf.DUMMYFUNCTION("""COMPUTED_VALUE"""),"N/A")</f>
        <v>N/A</v>
      </c>
      <c r="P1002" s="2"/>
      <c r="Q1002" s="2"/>
      <c r="R1002" s="74">
        <f>IFERROR(__xludf.DUMMYFUNCTION("""COMPUTED_VALUE"""),45810.0)</f>
        <v>45810</v>
      </c>
      <c r="S1002" s="2" t="str">
        <f>IFERROR(__xludf.DUMMYFUNCTION("""COMPUTED_VALUE"""),"RANDY")</f>
        <v>RANDY</v>
      </c>
      <c r="T1002" s="73" t="str">
        <f>IFERROR(__xludf.DUMMYFUNCTION("""COMPUTED_VALUE""")," N/A ")</f>
        <v>N/A</v>
      </c>
      <c r="U1002" s="73" t="str">
        <f>IFERROR(__xludf.DUMMYFUNCTION("""COMPUTED_VALUE""")," NO CHARGE ")</f>
        <v>NO CHARGE</v>
      </c>
      <c r="V1002" s="2"/>
      <c r="W1002" s="2" t="str">
        <f>IFERROR(__xludf.DUMMYFUNCTION("""COMPUTED_VALUE"""),"N/A")</f>
        <v>N/A</v>
      </c>
      <c r="X1002" s="2" t="str">
        <f>IFERROR(__xludf.DUMMYFUNCTION("""COMPUTED_VALUE"""),"N/A")</f>
        <v>N/A</v>
      </c>
      <c r="Y1002" s="2"/>
      <c r="Z1002" s="2"/>
      <c r="AA1002" s="2"/>
      <c r="AB1002" s="2"/>
      <c r="AC1002" s="2"/>
      <c r="AD1002" s="2"/>
      <c r="AE1002" s="2"/>
      <c r="AF1002" s="2"/>
      <c r="AG1002" s="2"/>
      <c r="AH1002" s="2"/>
      <c r="AI1002" s="2"/>
      <c r="AJ1002" s="2" t="str">
        <f>IFERROR(__xludf.DUMMYFUNCTION("""COMPUTED_VALUE"""),"San Pedro")</f>
        <v>San Pedro</v>
      </c>
      <c r="AK1002" s="2" t="str">
        <f>IFERROR(__xludf.DUMMYFUNCTION("""COMPUTED_VALUE"""),"Pilar")</f>
        <v>Pilar</v>
      </c>
      <c r="AL1002" s="2" t="str">
        <f>IFERROR(__xludf.DUMMYFUNCTION("""COMPUTED_VALUE"""),"Capiz")</f>
        <v>Capiz</v>
      </c>
      <c r="AM1002" s="2">
        <f>IFERROR(__xludf.DUMMYFUNCTION("""COMPUTED_VALUE"""),6.0)</f>
        <v>6</v>
      </c>
      <c r="AN1002" s="2" t="str">
        <f>IFERROR(__xludf.DUMMYFUNCTION("""COMPUTED_VALUE"""),"RCEF 23-09-21 Rebidding")</f>
        <v>RCEF 23-09-21 Rebidding</v>
      </c>
      <c r="AO1002" s="2">
        <f>IFERROR(__xludf.DUMMYFUNCTION("""COMPUTED_VALUE"""),4.0)</f>
        <v>4</v>
      </c>
      <c r="AP1002" s="2"/>
      <c r="AQ1002" s="2"/>
      <c r="AR1002" s="2"/>
      <c r="AS1002" s="2"/>
      <c r="AT1002" s="2"/>
      <c r="AU1002" s="2"/>
      <c r="AV1002" s="2"/>
      <c r="AW1002" s="2"/>
      <c r="AX1002" s="2"/>
      <c r="AY1002" s="2"/>
      <c r="AZ1002" s="2"/>
      <c r="BA1002" s="2"/>
      <c r="BB1002" s="2"/>
    </row>
    <row r="1003">
      <c r="A1003" s="2">
        <f>IFERROR(__xludf.DUMMYFUNCTION("""COMPUTED_VALUE"""),999.0)</f>
        <v>999</v>
      </c>
      <c r="B1003" s="2" t="str">
        <f>IFERROR(__xludf.DUMMYFUNCTION("""COMPUTED_VALUE"""),"COMPLETED")</f>
        <v>COMPLETED</v>
      </c>
      <c r="C1003" s="74">
        <f>IFERROR(__xludf.DUMMYFUNCTION("""COMPUTED_VALUE"""),45810.0)</f>
        <v>45810</v>
      </c>
      <c r="D1003" s="71" t="str">
        <f>IFERROR(__xludf.DUMMYFUNCTION("""COMPUTED_VALUE"""),"BANCAGAN NAGUILIAN IRRIGATORS ASOCIATION INC.")</f>
        <v>BANCAGAN NAGUILIAN IRRIGATORS ASOCIATION INC.</v>
      </c>
      <c r="E1003" s="71" t="str">
        <f>IFERROR(__xludf.DUMMYFUNCTION("""COMPUTED_VALUE"""),"Bancagan, Naguilian, LA UNION")</f>
        <v>Bancagan, Naguilian, LA UNION</v>
      </c>
      <c r="F1003" s="2" t="str">
        <f>IFERROR(__xludf.DUMMYFUNCTION("""COMPUTED_VALUE"""),"Edgar Espinueva")</f>
        <v>Edgar Espinueva</v>
      </c>
      <c r="G1003" s="2">
        <f>IFERROR(__xludf.DUMMYFUNCTION("""COMPUTED_VALUE"""),9.362655713E9)</f>
        <v>9362655713</v>
      </c>
      <c r="H1003" s="2">
        <f>IFERROR(__xludf.DUMMYFUNCTION("""COMPUTED_VALUE"""),361.0)</f>
        <v>361</v>
      </c>
      <c r="I1003" s="72" t="str">
        <f>IFERROR(__xludf.DUMMYFUNCTION("""COMPUTED_VALUE"""),"REPAIR - TRACTOR")</f>
        <v>REPAIR - TRACTOR</v>
      </c>
      <c r="J1003" s="72" t="str">
        <f>IFERROR(__xludf.DUMMYFUNCTION("""COMPUTED_VALUE"""),"Transmission - Clutch")</f>
        <v>Transmission - Clutch</v>
      </c>
      <c r="K1003" s="72" t="str">
        <f>IFERROR(__xludf.DUMMYFUNCTION("""COMPUTED_VALUE"""),"KFS: CLUTCH LINING PROBLEM")</f>
        <v>KFS: CLUTCH LINING PROBLEM</v>
      </c>
      <c r="L1003" s="72" t="str">
        <f>IFERROR(__xludf.DUMMYFUNCTION("""COMPUTED_VALUE"""),"MYK: Gud pm po ma'am.meeting ko Muna mga oficers ko tom.then by nxt week nlng dw po bubuksan ung unit kc po gahol n dw po cla s hr. Kya d n nbuksan.message nlng po ako  s inyo by sun.. po.tnx.marami pong salamat.")</f>
        <v>MYK: Gud pm po ma'am.meeting ko Muna mga oficers ko tom.then by nxt week nlng dw po bubuksan ung unit kc po gahol n dw po cla s hr. Kya d n nbuksan.message nlng po ako  s inyo by sun.. po.tnx.marami pong salamat.</v>
      </c>
      <c r="M1003" s="2"/>
      <c r="N1003" s="2"/>
      <c r="O1003" s="2" t="str">
        <f>IFERROR(__xludf.DUMMYFUNCTION("""COMPUTED_VALUE"""),"N/A")</f>
        <v>N/A</v>
      </c>
      <c r="P1003" s="2"/>
      <c r="Q1003" s="2"/>
      <c r="R1003" s="74">
        <f>IFERROR(__xludf.DUMMYFUNCTION("""COMPUTED_VALUE"""),45828.0)</f>
        <v>45828</v>
      </c>
      <c r="S1003" s="2" t="str">
        <f>IFERROR(__xludf.DUMMYFUNCTION("""COMPUTED_VALUE"""),"EGT/MYKEE")</f>
        <v>EGT/MYKEE</v>
      </c>
      <c r="T1003" s="73" t="str">
        <f>IFERROR(__xludf.DUMMYFUNCTION("""COMPUTED_VALUE""")," N/A ")</f>
        <v>N/A</v>
      </c>
      <c r="U1003" s="73" t="str">
        <f>IFERROR(__xludf.DUMMYFUNCTION("""COMPUTED_VALUE""")," NO CHARGE ")</f>
        <v>NO CHARGE</v>
      </c>
      <c r="V1003" s="2"/>
      <c r="W1003" s="2" t="str">
        <f>IFERROR(__xludf.DUMMYFUNCTION("""COMPUTED_VALUE"""),"N/A")</f>
        <v>N/A</v>
      </c>
      <c r="X1003" s="2" t="str">
        <f>IFERROR(__xludf.DUMMYFUNCTION("""COMPUTED_VALUE"""),"N/A")</f>
        <v>N/A</v>
      </c>
      <c r="Y1003" s="2"/>
      <c r="Z1003" s="2"/>
      <c r="AA1003" s="2"/>
      <c r="AB1003" s="2"/>
      <c r="AC1003" s="2"/>
      <c r="AD1003" s="2"/>
      <c r="AE1003" s="2"/>
      <c r="AF1003" s="2"/>
      <c r="AG1003" s="2"/>
      <c r="AH1003" s="2"/>
      <c r="AI1003" s="2"/>
      <c r="AJ1003" s="2" t="str">
        <f>IFERROR(__xludf.DUMMYFUNCTION("""COMPUTED_VALUE"""),"Bancagan")</f>
        <v>Bancagan</v>
      </c>
      <c r="AK1003" s="2" t="str">
        <f>IFERROR(__xludf.DUMMYFUNCTION("""COMPUTED_VALUE"""),"Naguilian")</f>
        <v>Naguilian</v>
      </c>
      <c r="AL1003" s="2" t="str">
        <f>IFERROR(__xludf.DUMMYFUNCTION("""COMPUTED_VALUE"""),"La Union")</f>
        <v>La Union</v>
      </c>
      <c r="AM1003" s="2">
        <f>IFERROR(__xludf.DUMMYFUNCTION("""COMPUTED_VALUE"""),1.0)</f>
        <v>1</v>
      </c>
      <c r="AN1003" s="2" t="str">
        <f>IFERROR(__xludf.DUMMYFUNCTION("""COMPUTED_VALUE"""),"RCEF 23-09-21 Rebidding")</f>
        <v>RCEF 23-09-21 Rebidding</v>
      </c>
      <c r="AO1003" s="2">
        <f>IFERROR(__xludf.DUMMYFUNCTION("""COMPUTED_VALUE"""),2.0)</f>
        <v>2</v>
      </c>
      <c r="AP1003" s="2"/>
      <c r="AQ1003" s="2"/>
      <c r="AR1003" s="2"/>
      <c r="AS1003" s="2"/>
      <c r="AT1003" s="2"/>
      <c r="AU1003" s="2"/>
      <c r="AV1003" s="2"/>
      <c r="AW1003" s="2"/>
      <c r="AX1003" s="2"/>
      <c r="AY1003" s="2"/>
      <c r="AZ1003" s="2"/>
      <c r="BA1003" s="2"/>
      <c r="BB1003" s="2"/>
    </row>
    <row r="1004">
      <c r="A1004" s="2">
        <f>IFERROR(__xludf.DUMMYFUNCTION("""COMPUTED_VALUE"""),1000.0)</f>
        <v>1000</v>
      </c>
      <c r="B1004" s="2" t="str">
        <f>IFERROR(__xludf.DUMMYFUNCTION("""COMPUTED_VALUE"""),"COMPLETED")</f>
        <v>COMPLETED</v>
      </c>
      <c r="C1004" s="74">
        <f>IFERROR(__xludf.DUMMYFUNCTION("""COMPUTED_VALUE"""),45811.0)</f>
        <v>45811</v>
      </c>
      <c r="D1004" s="71" t="str">
        <f>IFERROR(__xludf.DUMMYFUNCTION("""COMPUTED_VALUE"""),"Bagong Pag-asa Larcon Farmers Association")</f>
        <v>Bagong Pag-asa Larcon Farmers Association</v>
      </c>
      <c r="E1004" s="71" t="str">
        <f>IFERROR(__xludf.DUMMYFUNCTION("""COMPUTED_VALUE"""),"Larcon, Bongabon, NUEVA ECIJA")</f>
        <v>Larcon, Bongabon, NUEVA ECIJA</v>
      </c>
      <c r="F1004" s="2" t="str">
        <f>IFERROR(__xludf.DUMMYFUNCTION("""COMPUTED_VALUE"""),"MARLON")</f>
        <v>MARLON</v>
      </c>
      <c r="G1004" s="2">
        <f>IFERROR(__xludf.DUMMYFUNCTION("""COMPUTED_VALUE"""),9.361802825E9)</f>
        <v>9361802825</v>
      </c>
      <c r="H1004" s="2">
        <f>IFERROR(__xludf.DUMMYFUNCTION("""COMPUTED_VALUE"""),350.0)</f>
        <v>350</v>
      </c>
      <c r="I1004" s="72" t="str">
        <f>IFERROR(__xludf.DUMMYFUNCTION("""COMPUTED_VALUE"""),"PMS")</f>
        <v>PMS</v>
      </c>
      <c r="J1004" s="72" t="str">
        <f>IFERROR(__xludf.DUMMYFUNCTION("""COMPUTED_VALUE"""),"PMS")</f>
        <v>PMS</v>
      </c>
      <c r="K1004" s="72" t="str">
        <f>IFERROR(__xludf.DUMMYFUNCTION("""COMPUTED_VALUE"""),"KFS: 2ND PMS WITH SERVICE CHARGE")</f>
        <v>KFS: 2ND PMS WITH SERVICE CHARGE</v>
      </c>
      <c r="L1004" s="72" t="str">
        <f>IFERROR(__xludf.DUMMYFUNCTION("""COMPUTED_VALUE"""),"ACS: CHANGE OIL, REPLACED OIL ,ENGINE FILTER, HYDRAULIC FILTER, HYDRAULIC OIL : 2ND PMS DONE")</f>
        <v>ACS: CHANGE OIL, REPLACED OIL ,ENGINE FILTER, HYDRAULIC FILTER, HYDRAULIC OIL : 2ND PMS DONE</v>
      </c>
      <c r="M1004" s="2"/>
      <c r="N1004" s="2" t="str">
        <f>IFERROR(__xludf.DUMMYFUNCTION("""COMPUTED_VALUE"""),"PARTS: HYDRAULIC FILTER, OIL FILTER, 
WITH SERVICE CHARGE")</f>
        <v>PARTS: HYDRAULIC FILTER, OIL FILTER, 
WITH SERVICE CHARGE</v>
      </c>
      <c r="O1004" s="2">
        <f>IFERROR(__xludf.DUMMYFUNCTION("""COMPUTED_VALUE"""),1404.0)</f>
        <v>1404</v>
      </c>
      <c r="P1004" s="2"/>
      <c r="Q1004" s="2"/>
      <c r="R1004" s="74">
        <f>IFERROR(__xludf.DUMMYFUNCTION("""COMPUTED_VALUE"""),45817.0)</f>
        <v>45817</v>
      </c>
      <c r="S1004" s="2" t="str">
        <f>IFERROR(__xludf.DUMMYFUNCTION("""COMPUTED_VALUE"""),"JHP/ACS")</f>
        <v>JHP/ACS</v>
      </c>
      <c r="T1004" s="73">
        <f>IFERROR(__xludf.DUMMYFUNCTION("""COMPUTED_VALUE"""),5900.0)</f>
        <v>5900</v>
      </c>
      <c r="U1004" s="73" t="str">
        <f>IFERROR(__xludf.DUMMYFUNCTION("""COMPUTED_VALUE""")," REMITTED ")</f>
        <v>REMITTED</v>
      </c>
      <c r="V1004" s="2"/>
      <c r="W1004" s="2">
        <f>IFERROR(__xludf.DUMMYFUNCTION("""COMPUTED_VALUE"""),1074.0)</f>
        <v>1074</v>
      </c>
      <c r="X1004" s="2">
        <f>IFERROR(__xludf.DUMMYFUNCTION("""COMPUTED_VALUE"""),1414.0)</f>
        <v>1414</v>
      </c>
      <c r="Y1004" s="2"/>
      <c r="Z1004" s="2"/>
      <c r="AA1004" s="2"/>
      <c r="AB1004" s="2"/>
      <c r="AC1004" s="2"/>
      <c r="AD1004" s="2"/>
      <c r="AE1004" s="2"/>
      <c r="AF1004" s="2"/>
      <c r="AG1004" s="2"/>
      <c r="AH1004" s="2"/>
      <c r="AI1004" s="2"/>
      <c r="AJ1004" s="2" t="str">
        <f>IFERROR(__xludf.DUMMYFUNCTION("""COMPUTED_VALUE"""),"Larcon")</f>
        <v>Larcon</v>
      </c>
      <c r="AK1004" s="2" t="str">
        <f>IFERROR(__xludf.DUMMYFUNCTION("""COMPUTED_VALUE"""),"Bongabon")</f>
        <v>Bongabon</v>
      </c>
      <c r="AL1004" s="2" t="str">
        <f>IFERROR(__xludf.DUMMYFUNCTION("""COMPUTED_VALUE"""),"Nueva Ecija")</f>
        <v>Nueva Ecija</v>
      </c>
      <c r="AM1004" s="2">
        <f>IFERROR(__xludf.DUMMYFUNCTION("""COMPUTED_VALUE"""),3.0)</f>
        <v>3</v>
      </c>
      <c r="AN1004" s="2" t="str">
        <f>IFERROR(__xludf.DUMMYFUNCTION("""COMPUTED_VALUE"""),"RCEF 23-09-21 Rebidding")</f>
        <v>RCEF 23-09-21 Rebidding</v>
      </c>
      <c r="AO1004" s="2">
        <f>IFERROR(__xludf.DUMMYFUNCTION("""COMPUTED_VALUE"""),3.0)</f>
        <v>3</v>
      </c>
      <c r="AP1004" s="2"/>
      <c r="AQ1004" s="2"/>
      <c r="AR1004" s="2"/>
      <c r="AS1004" s="2"/>
      <c r="AT1004" s="2"/>
      <c r="AU1004" s="2"/>
      <c r="AV1004" s="2"/>
      <c r="AW1004" s="2"/>
      <c r="AX1004" s="2"/>
      <c r="AY1004" s="2"/>
      <c r="AZ1004" s="2"/>
      <c r="BA1004" s="2"/>
      <c r="BB1004" s="2"/>
    </row>
    <row r="1005">
      <c r="A1005" s="2">
        <f>IFERROR(__xludf.DUMMYFUNCTION("""COMPUTED_VALUE"""),1001.0)</f>
        <v>1001</v>
      </c>
      <c r="B1005" s="2" t="str">
        <f>IFERROR(__xludf.DUMMYFUNCTION("""COMPUTED_VALUE"""),"COMPLETED")</f>
        <v>COMPLETED</v>
      </c>
      <c r="C1005" s="74">
        <f>IFERROR(__xludf.DUMMYFUNCTION("""COMPUTED_VALUE"""),45811.0)</f>
        <v>45811</v>
      </c>
      <c r="D1005" s="71" t="str">
        <f>IFERROR(__xludf.DUMMYFUNCTION("""COMPUTED_VALUE"""),"West Dullao Farmers Association Inc.")</f>
        <v>West Dullao Farmers Association Inc.</v>
      </c>
      <c r="E1005" s="71" t="str">
        <f>IFERROR(__xludf.DUMMYFUNCTION("""COMPUTED_VALUE""")," ")</f>
        <v> </v>
      </c>
      <c r="F1005" s="2" t="str">
        <f>IFERROR(__xludf.DUMMYFUNCTION("""COMPUTED_VALUE"""),"GENER CABAB SR.")</f>
        <v>GENER CABAB SR.</v>
      </c>
      <c r="G1005" s="2">
        <f>IFERROR(__xludf.DUMMYFUNCTION("""COMPUTED_VALUE"""),9.676357539E9)</f>
        <v>9676357539</v>
      </c>
      <c r="H1005" s="2">
        <f>IFERROR(__xludf.DUMMYFUNCTION("""COMPUTED_VALUE"""),524.0)</f>
        <v>524</v>
      </c>
      <c r="I1005" s="72" t="str">
        <f>IFERROR(__xludf.DUMMYFUNCTION("""COMPUTED_VALUE"""),"REPAIR - TRACTOR")</f>
        <v>REPAIR - TRACTOR</v>
      </c>
      <c r="J1005" s="72" t="str">
        <f>IFERROR(__xludf.DUMMYFUNCTION("""COMPUTED_VALUE"""),"TRANSMISSION")</f>
        <v>TRANSMISSION</v>
      </c>
      <c r="K1005" s="72" t="str">
        <f>IFERROR(__xludf.DUMMYFUNCTION("""COMPUTED_VALUE"""),"CFG: APAKAN NG CLUTCH MAY TUMUTUNOG
PARTS: CLUTCH DISC ASSY ,  RELEASE BEARING
LANDMARK: PRIVINCIAL HOSPITAL BAMBANG JUNCTION PAPUNTANG DUPAX")</f>
        <v>CFG: APAKAN NG CLUTCH MAY TUMUTUNOG
PARTS: CLUTCH DISC ASSY ,  RELEASE BEARING
LANDMARK: PRIVINCIAL HOSPITAL BAMBANG JUNCTION PAPUNTANG DUPAX</v>
      </c>
      <c r="L1005" s="72" t="str">
        <f>IFERROR(__xludf.DUMMYFUNCTION("""COMPUTED_VALUE"""),"ACS: REPLACEMENT OF CLUTCH COVER ASSY AND RELEASE BEARING")</f>
        <v>ACS: REPLACEMENT OF CLUTCH COVER ASSY AND RELEASE BEARING</v>
      </c>
      <c r="M1005" s="2"/>
      <c r="N1005" s="2" t="str">
        <f>IFERROR(__xludf.DUMMYFUNCTION("""COMPUTED_VALUE"""),"PARTS: 
CLUTCH COVER ASSY
RELEASE BEARING TK45")</f>
        <v>PARTS: 
CLUTCH COVER ASSY
RELEASE BEARING TK45</v>
      </c>
      <c r="O1005" s="2">
        <f>IFERROR(__xludf.DUMMYFUNCTION("""COMPUTED_VALUE"""),1188.0)</f>
        <v>1188</v>
      </c>
      <c r="P1005" s="2"/>
      <c r="Q1005" s="2"/>
      <c r="R1005" s="74">
        <f>IFERROR(__xludf.DUMMYFUNCTION("""COMPUTED_VALUE"""),45859.0)</f>
        <v>45859</v>
      </c>
      <c r="S1005" s="2" t="str">
        <f>IFERROR(__xludf.DUMMYFUNCTION("""COMPUTED_VALUE"""),"CFG/ACS")</f>
        <v>CFG/ACS</v>
      </c>
      <c r="T1005" s="73">
        <f>IFERROR(__xludf.DUMMYFUNCTION("""COMPUTED_VALUE"""),24240.0)</f>
        <v>24240</v>
      </c>
      <c r="U1005" s="73" t="str">
        <f>IFERROR(__xludf.DUMMYFUNCTION("""COMPUTED_VALUE""")," REMITTED ")</f>
        <v>REMITTED</v>
      </c>
      <c r="V1005" s="2"/>
      <c r="W1005" s="2">
        <f>IFERROR(__xludf.DUMMYFUNCTION("""COMPUTED_VALUE"""),1597.0)</f>
        <v>1597</v>
      </c>
      <c r="X1005" s="2">
        <f>IFERROR(__xludf.DUMMYFUNCTION("""COMPUTED_VALUE"""),1531.0)</f>
        <v>1531</v>
      </c>
      <c r="Y1005" s="2"/>
      <c r="Z1005" s="2"/>
      <c r="AA1005" s="2"/>
      <c r="AB1005" s="2"/>
      <c r="AC1005" s="2"/>
      <c r="AD1005" s="2"/>
      <c r="AE1005" s="2"/>
      <c r="AF1005" s="2"/>
      <c r="AG1005" s="2"/>
      <c r="AH1005" s="2"/>
      <c r="AI1005" s="2"/>
      <c r="AJ1005" s="2" t="str">
        <f>IFERROR(__xludf.DUMMYFUNCTION("""COMPUTED_VALUE"""),"")</f>
        <v/>
      </c>
      <c r="AK1005" s="2" t="str">
        <f>IFERROR(__xludf.DUMMYFUNCTION("""COMPUTED_VALUE"""),"")</f>
        <v/>
      </c>
      <c r="AL1005" s="2" t="str">
        <f>IFERROR(__xludf.DUMMYFUNCTION("""COMPUTED_VALUE"""),"")</f>
        <v/>
      </c>
      <c r="AM1005" s="2" t="str">
        <f>IFERROR(__xludf.DUMMYFUNCTION("""COMPUTED_VALUE"""),"")</f>
        <v/>
      </c>
      <c r="AN1005" s="2" t="str">
        <f>IFERROR(__xludf.DUMMYFUNCTION("""COMPUTED_VALUE""")," ")</f>
        <v> </v>
      </c>
      <c r="AO1005" s="2" t="str">
        <f>IFERROR(__xludf.DUMMYFUNCTION("""COMPUTED_VALUE""")," ")</f>
        <v> </v>
      </c>
      <c r="AP1005" s="2" t="str">
        <f>IFERROR(__xludf.DUMMYFUNCTION("""COMPUTED_VALUE"""),"")</f>
        <v/>
      </c>
      <c r="AQ1005" s="2"/>
      <c r="AR1005" s="2"/>
      <c r="AS1005" s="2"/>
      <c r="AT1005" s="2"/>
      <c r="AU1005" s="2"/>
      <c r="AV1005" s="2"/>
      <c r="AW1005" s="2"/>
      <c r="AX1005" s="2"/>
      <c r="AY1005" s="2"/>
      <c r="AZ1005" s="2"/>
      <c r="BA1005" s="2"/>
      <c r="BB1005" s="2"/>
    </row>
    <row r="1006">
      <c r="A1006" s="2">
        <f>IFERROR(__xludf.DUMMYFUNCTION("""COMPUTED_VALUE"""),1002.0)</f>
        <v>1002</v>
      </c>
      <c r="B1006" s="2" t="str">
        <f>IFERROR(__xludf.DUMMYFUNCTION("""COMPUTED_VALUE"""),"COMPLETED")</f>
        <v>COMPLETED</v>
      </c>
      <c r="C1006" s="74">
        <f>IFERROR(__xludf.DUMMYFUNCTION("""COMPUTED_VALUE"""),45811.0)</f>
        <v>45811</v>
      </c>
      <c r="D1006" s="71" t="str">
        <f>IFERROR(__xludf.DUMMYFUNCTION("""COMPUTED_VALUE"""),"NAEVAM IRRIGATORS ASSOCIATION, INC.")</f>
        <v>NAEVAM IRRIGATORS ASSOCIATION, INC.</v>
      </c>
      <c r="E1006" s="71" t="str">
        <f>IFERROR(__xludf.DUMMYFUNCTION("""COMPUTED_VALUE"""),"Nangapugan, San Quintin, PANGASINAN")</f>
        <v>Nangapugan, San Quintin, PANGASINAN</v>
      </c>
      <c r="F1006" s="2"/>
      <c r="G1006" s="2">
        <f>IFERROR(__xludf.DUMMYFUNCTION("""COMPUTED_VALUE"""),9.56941551E9)</f>
        <v>9569415510</v>
      </c>
      <c r="H1006" s="2"/>
      <c r="I1006" s="72" t="str">
        <f>IFERROR(__xludf.DUMMYFUNCTION("""COMPUTED_VALUE"""),"REPAIR - TRACTOR")</f>
        <v>REPAIR - TRACTOR</v>
      </c>
      <c r="J1006" s="72" t="str">
        <f>IFERROR(__xludf.DUMMYFUNCTION("""COMPUTED_VALUE"""),"Electrical - Fuse Box")</f>
        <v>Electrical - Fuse Box</v>
      </c>
      <c r="K1006" s="72" t="str">
        <f>IFERROR(__xludf.DUMMYFUNCTION("""COMPUTED_VALUE"""),"JHP: NAGPAPATULONG AYUSIN ANG BLADE NG ROTAVATOR, LAGING NAG AALARM ANG BUZZER, LAGING NAG O-ON ANG HAZARD KAHIT HINDI NAKA ON.")</f>
        <v>JHP: NAGPAPATULONG AYUSIN ANG BLADE NG ROTAVATOR, LAGING NAG AALARM ANG BUZZER, LAGING NAG O-ON ANG HAZARD KAHIT HINDI NAKA ON.</v>
      </c>
      <c r="L1006" s="72" t="str">
        <f>IFERROR(__xludf.DUMMYFUNCTION("""COMPUTED_VALUE"""),"ACS: REPLACED 20 AMP FUSE 
20 AMP FUSE C/O FARMER")</f>
        <v>ACS: REPLACED 20 AMP FUSE 
20 AMP FUSE C/O FARMER</v>
      </c>
      <c r="M1006" s="2"/>
      <c r="N1006" s="2"/>
      <c r="O1006" s="2">
        <f>IFERROR(__xludf.DUMMYFUNCTION("""COMPUTED_VALUE"""),1429.0)</f>
        <v>1429</v>
      </c>
      <c r="P1006" s="2"/>
      <c r="Q1006" s="2" t="str">
        <f>IFERROR(__xludf.DUMMYFUNCTION("""COMPUTED_VALUE"""),"y")</f>
        <v>y</v>
      </c>
      <c r="R1006" s="74">
        <f>IFERROR(__xludf.DUMMYFUNCTION("""COMPUTED_VALUE"""),45936.0)</f>
        <v>45936</v>
      </c>
      <c r="S1006" s="2" t="str">
        <f>IFERROR(__xludf.DUMMYFUNCTION("""COMPUTED_VALUE"""),"JHP/ACS")</f>
        <v>JHP/ACS</v>
      </c>
      <c r="T1006" s="73" t="str">
        <f>IFERROR(__xludf.DUMMYFUNCTION("""COMPUTED_VALUE""")," N/A ")</f>
        <v>N/A</v>
      </c>
      <c r="U1006" s="73" t="str">
        <f>IFERROR(__xludf.DUMMYFUNCTION("""COMPUTED_VALUE""")," NO CHARGE ")</f>
        <v>NO CHARGE</v>
      </c>
      <c r="V1006" s="2"/>
      <c r="W1006" s="2" t="str">
        <f>IFERROR(__xludf.DUMMYFUNCTION("""COMPUTED_VALUE"""),"N/A")</f>
        <v>N/A</v>
      </c>
      <c r="X1006" s="2" t="str">
        <f>IFERROR(__xludf.DUMMYFUNCTION("""COMPUTED_VALUE"""),"N/A")</f>
        <v>N/A</v>
      </c>
      <c r="Y1006" s="2"/>
      <c r="Z1006" s="2"/>
      <c r="AA1006" s="2"/>
      <c r="AB1006" s="2"/>
      <c r="AC1006" s="2"/>
      <c r="AD1006" s="2"/>
      <c r="AE1006" s="2"/>
      <c r="AF1006" s="2"/>
      <c r="AG1006" s="2"/>
      <c r="AH1006" s="2"/>
      <c r="AI1006" s="2"/>
      <c r="AJ1006" s="2" t="str">
        <f>IFERROR(__xludf.DUMMYFUNCTION("""COMPUTED_VALUE"""),"Nangapugan")</f>
        <v>Nangapugan</v>
      </c>
      <c r="AK1006" s="2" t="str">
        <f>IFERROR(__xludf.DUMMYFUNCTION("""COMPUTED_VALUE"""),"San Quintin")</f>
        <v>San Quintin</v>
      </c>
      <c r="AL1006" s="2" t="str">
        <f>IFERROR(__xludf.DUMMYFUNCTION("""COMPUTED_VALUE"""),"Pangasinan")</f>
        <v>Pangasinan</v>
      </c>
      <c r="AM1006" s="2">
        <f>IFERROR(__xludf.DUMMYFUNCTION("""COMPUTED_VALUE"""),1.0)</f>
        <v>1</v>
      </c>
      <c r="AN1006" s="2" t="str">
        <f>IFERROR(__xludf.DUMMYFUNCTION("""COMPUTED_VALUE"""),"RCEF 24-04-15")</f>
        <v>RCEF 24-04-15</v>
      </c>
      <c r="AO1006" s="2">
        <f>IFERROR(__xludf.DUMMYFUNCTION("""COMPUTED_VALUE"""),6.0)</f>
        <v>6</v>
      </c>
      <c r="AP1006" s="2" t="str">
        <f>IFERROR(__xludf.DUMMYFUNCTION("""COMPUTED_VALUE"""),"FREE PMS")</f>
        <v>FREE PMS</v>
      </c>
      <c r="AQ1006" s="2"/>
      <c r="AR1006" s="2"/>
      <c r="AS1006" s="2"/>
      <c r="AT1006" s="2"/>
      <c r="AU1006" s="2"/>
      <c r="AV1006" s="2"/>
      <c r="AW1006" s="2"/>
      <c r="AX1006" s="2"/>
      <c r="AY1006" s="2"/>
      <c r="AZ1006" s="2"/>
      <c r="BA1006" s="2"/>
      <c r="BB1006" s="2"/>
    </row>
    <row r="1007">
      <c r="A1007" s="2">
        <f>IFERROR(__xludf.DUMMYFUNCTION("""COMPUTED_VALUE"""),1003.0)</f>
        <v>1003</v>
      </c>
      <c r="B1007" s="2" t="str">
        <f>IFERROR(__xludf.DUMMYFUNCTION("""COMPUTED_VALUE"""),"COMPLETED")</f>
        <v>COMPLETED</v>
      </c>
      <c r="C1007" s="74">
        <f>IFERROR(__xludf.DUMMYFUNCTION("""COMPUTED_VALUE"""),45811.0)</f>
        <v>45811</v>
      </c>
      <c r="D1007" s="71" t="str">
        <f>IFERROR(__xludf.DUMMYFUNCTION("""COMPUTED_VALUE"""),"SAMAHAN NG MAGSASAKA SA PALANGHIRAN")</f>
        <v>SAMAHAN NG MAGSASAKA SA PALANGHIRAN</v>
      </c>
      <c r="E1007" s="71" t="str">
        <f>IFERROR(__xludf.DUMMYFUNCTION("""COMPUTED_VALUE"""),"MAPAYA, SAN JOSE, OCCIDENTAL MINDORO")</f>
        <v>MAPAYA, SAN JOSE, OCCIDENTAL MINDORO</v>
      </c>
      <c r="F1007" s="2" t="str">
        <f>IFERROR(__xludf.DUMMYFUNCTION("""COMPUTED_VALUE"""),"RICARDO DELA CRUZ")</f>
        <v>RICARDO DELA CRUZ</v>
      </c>
      <c r="G1007" s="2">
        <f>IFERROR(__xludf.DUMMYFUNCTION("""COMPUTED_VALUE"""),9.930864147E9)</f>
        <v>9930864147</v>
      </c>
      <c r="H1007" s="2"/>
      <c r="I1007" s="72" t="str">
        <f>IFERROR(__xludf.DUMMYFUNCTION("""COMPUTED_VALUE"""),"REPAIR - TRACTOR")</f>
        <v>REPAIR - TRACTOR</v>
      </c>
      <c r="J1007" s="72" t="str">
        <f>IFERROR(__xludf.DUMMYFUNCTION("""COMPUTED_VALUE"""),"Front Axle - Leaking")</f>
        <v>Front Axle - Leaking</v>
      </c>
      <c r="K1007" s="72" t="str">
        <f>IFERROR(__xludf.DUMMYFUNCTION("""COMPUTED_VALUE"""),"MYK: HARAPANG GULONG MAY TUMATAGAS, AT AYAW UMANDAR NG ROTOR")</f>
        <v>MYK: HARAPANG GULONG MAY TUMATAGAS, AT AYAW UMANDAR NG ROTOR</v>
      </c>
      <c r="L1007" s="72" t="str">
        <f>IFERROR(__xludf.DUMMYFUNCTION("""COMPUTED_VALUE"""),"RCG: MAG OUTSOURCE NALANG DAW SILA SA LABAS")</f>
        <v>RCG: MAG OUTSOURCE NALANG DAW SILA SA LABAS</v>
      </c>
      <c r="M1007" s="2"/>
      <c r="N1007" s="2"/>
      <c r="O1007" s="2" t="str">
        <f>IFERROR(__xludf.DUMMYFUNCTION("""COMPUTED_VALUE"""),"N/A")</f>
        <v>N/A</v>
      </c>
      <c r="P1007" s="2"/>
      <c r="Q1007" s="2"/>
      <c r="R1007" s="74">
        <f>IFERROR(__xludf.DUMMYFUNCTION("""COMPUTED_VALUE"""),45847.0)</f>
        <v>45847</v>
      </c>
      <c r="S1007" s="2" t="str">
        <f>IFERROR(__xludf.DUMMYFUNCTION("""COMPUTED_VALUE"""),"RCG/RBS")</f>
        <v>RCG/RBS</v>
      </c>
      <c r="T1007" s="73" t="str">
        <f>IFERROR(__xludf.DUMMYFUNCTION("""COMPUTED_VALUE""")," N/A ")</f>
        <v>N/A</v>
      </c>
      <c r="U1007" s="73" t="str">
        <f>IFERROR(__xludf.DUMMYFUNCTION("""COMPUTED_VALUE""")," NO CHARGE ")</f>
        <v>NO CHARGE</v>
      </c>
      <c r="V1007" s="2"/>
      <c r="W1007" s="2" t="str">
        <f>IFERROR(__xludf.DUMMYFUNCTION("""COMPUTED_VALUE"""),"N/A")</f>
        <v>N/A</v>
      </c>
      <c r="X1007" s="2" t="str">
        <f>IFERROR(__xludf.DUMMYFUNCTION("""COMPUTED_VALUE"""),"N/A")</f>
        <v>N/A</v>
      </c>
      <c r="Y1007" s="2"/>
      <c r="Z1007" s="2"/>
      <c r="AA1007" s="2"/>
      <c r="AB1007" s="2"/>
      <c r="AC1007" s="2"/>
      <c r="AD1007" s="2"/>
      <c r="AE1007" s="2"/>
      <c r="AF1007" s="2"/>
      <c r="AG1007" s="2"/>
      <c r="AH1007" s="2"/>
      <c r="AI1007" s="2"/>
      <c r="AJ1007" s="2" t="str">
        <f>IFERROR(__xludf.DUMMYFUNCTION("""COMPUTED_VALUE"""),"Mapaya")</f>
        <v>Mapaya</v>
      </c>
      <c r="AK1007" s="2" t="str">
        <f>IFERROR(__xludf.DUMMYFUNCTION("""COMPUTED_VALUE"""),"San Jose")</f>
        <v>San Jose</v>
      </c>
      <c r="AL1007" s="2" t="str">
        <f>IFERROR(__xludf.DUMMYFUNCTION("""COMPUTED_VALUE"""),"Occidental Mindoro")</f>
        <v>Occidental Mindoro</v>
      </c>
      <c r="AM1007" s="2" t="str">
        <f>IFERROR(__xludf.DUMMYFUNCTION("""COMPUTED_VALUE"""),"4B")</f>
        <v>4B</v>
      </c>
      <c r="AN1007" s="2" t="str">
        <f>IFERROR(__xludf.DUMMYFUNCTION("""COMPUTED_VALUE"""),"RCEF 23-08-20 Rebidding")</f>
        <v>RCEF 23-08-20 Rebidding</v>
      </c>
      <c r="AO1007" s="2">
        <f>IFERROR(__xludf.DUMMYFUNCTION("""COMPUTED_VALUE"""),1.0)</f>
        <v>1</v>
      </c>
      <c r="AP1007" s="2"/>
      <c r="AQ1007" s="2"/>
      <c r="AR1007" s="2"/>
      <c r="AS1007" s="2"/>
      <c r="AT1007" s="2"/>
      <c r="AU1007" s="2"/>
      <c r="AV1007" s="2"/>
      <c r="AW1007" s="2"/>
      <c r="AX1007" s="2"/>
      <c r="AY1007" s="2"/>
      <c r="AZ1007" s="2"/>
      <c r="BA1007" s="2"/>
      <c r="BB1007" s="2"/>
    </row>
    <row r="1008">
      <c r="A1008" s="2">
        <f>IFERROR(__xludf.DUMMYFUNCTION("""COMPUTED_VALUE"""),1004.0)</f>
        <v>1004</v>
      </c>
      <c r="B1008" s="2" t="str">
        <f>IFERROR(__xludf.DUMMYFUNCTION("""COMPUTED_VALUE"""),"COMPLETED")</f>
        <v>COMPLETED</v>
      </c>
      <c r="C1008" s="74">
        <f>IFERROR(__xludf.DUMMYFUNCTION("""COMPUTED_VALUE"""),45812.0)</f>
        <v>45812</v>
      </c>
      <c r="D1008" s="71" t="str">
        <f>IFERROR(__xludf.DUMMYFUNCTION("""COMPUTED_VALUE"""),"ALALAY GRANDE FARMERS IRRIGATOR ASSOCIATION INC.")</f>
        <v>ALALAY GRANDE FARMERS IRRIGATOR ASSOCIATION INC.</v>
      </c>
      <c r="E1008" s="71" t="str">
        <f>IFERROR(__xludf.DUMMYFUNCTION("""COMPUTED_VALUE"""),"Alalay Grande, Lupao, NUEVA ECIJA")</f>
        <v>Alalay Grande, Lupao, NUEVA ECIJA</v>
      </c>
      <c r="F1008" s="2" t="str">
        <f>IFERROR(__xludf.DUMMYFUNCTION("""COMPUTED_VALUE"""),"Celso C. Aduca")</f>
        <v>Celso C. Aduca</v>
      </c>
      <c r="G1008" s="2" t="str">
        <f>IFERROR(__xludf.DUMMYFUNCTION("""COMPUTED_VALUE"""),"0906-224-9292/ 0927-968-0232")</f>
        <v>0906-224-9292/ 0927-968-0232</v>
      </c>
      <c r="H1008" s="2"/>
      <c r="I1008" s="72" t="str">
        <f>IFERROR(__xludf.DUMMYFUNCTION("""COMPUTED_VALUE"""),"PMS")</f>
        <v>PMS</v>
      </c>
      <c r="J1008" s="72" t="str">
        <f>IFERROR(__xludf.DUMMYFUNCTION("""COMPUTED_VALUE"""),"PMS")</f>
        <v>PMS</v>
      </c>
      <c r="K1008" s="72" t="str">
        <f>IFERROR(__xludf.DUMMYFUNCTION("""COMPUTED_VALUE"""),"JHP: 2ND PMS")</f>
        <v>JHP: 2ND PMS</v>
      </c>
      <c r="L1008" s="72" t="str">
        <f>IFERROR(__xludf.DUMMYFUNCTION("""COMPUTED_VALUE"""),"DSD: 2ND PMS DONE")</f>
        <v>DSD: 2ND PMS DONE</v>
      </c>
      <c r="M1008" s="2"/>
      <c r="N1008" s="2" t="str">
        <f>IFERROR(__xludf.DUMMYFUNCTION("""COMPUTED_VALUE"""),"PARTS:
HYDRAULIC FILTER")</f>
        <v>PARTS:
HYDRAULIC FILTER</v>
      </c>
      <c r="O1008" s="2">
        <f>IFERROR(__xludf.DUMMYFUNCTION("""COMPUTED_VALUE"""),1083.0)</f>
        <v>1083</v>
      </c>
      <c r="P1008" s="2"/>
      <c r="Q1008" s="2" t="str">
        <f>IFERROR(__xludf.DUMMYFUNCTION("""COMPUTED_VALUE"""),"Y")</f>
        <v>Y</v>
      </c>
      <c r="R1008" s="74">
        <f>IFERROR(__xludf.DUMMYFUNCTION("""COMPUTED_VALUE"""),45812.0)</f>
        <v>45812</v>
      </c>
      <c r="S1008" s="2" t="str">
        <f>IFERROR(__xludf.DUMMYFUNCTION("""COMPUTED_VALUE"""),"DSD/JDP")</f>
        <v>DSD/JDP</v>
      </c>
      <c r="T1008" s="73">
        <f>IFERROR(__xludf.DUMMYFUNCTION("""COMPUTED_VALUE"""),2800.0)</f>
        <v>2800</v>
      </c>
      <c r="U1008" s="73" t="str">
        <f>IFERROR(__xludf.DUMMYFUNCTION("""COMPUTED_VALUE""")," REMITTED ")</f>
        <v>REMITTED</v>
      </c>
      <c r="V1008" s="2"/>
      <c r="W1008" s="2">
        <f>IFERROR(__xludf.DUMMYFUNCTION("""COMPUTED_VALUE"""),1606.0)</f>
        <v>1606</v>
      </c>
      <c r="X1008" s="2">
        <f>IFERROR(__xludf.DUMMYFUNCTION("""COMPUTED_VALUE"""),1515.0)</f>
        <v>1515</v>
      </c>
      <c r="Y1008" s="2"/>
      <c r="Z1008" s="2"/>
      <c r="AA1008" s="2"/>
      <c r="AB1008" s="2"/>
      <c r="AC1008" s="2"/>
      <c r="AD1008" s="2"/>
      <c r="AE1008" s="2"/>
      <c r="AF1008" s="2"/>
      <c r="AG1008" s="2"/>
      <c r="AH1008" s="2"/>
      <c r="AI1008" s="2"/>
      <c r="AJ1008" s="2" t="str">
        <f>IFERROR(__xludf.DUMMYFUNCTION("""COMPUTED_VALUE"""),"Alalay Grande")</f>
        <v>Alalay Grande</v>
      </c>
      <c r="AK1008" s="2" t="str">
        <f>IFERROR(__xludf.DUMMYFUNCTION("""COMPUTED_VALUE"""),"Lupao")</f>
        <v>Lupao</v>
      </c>
      <c r="AL1008" s="2" t="str">
        <f>IFERROR(__xludf.DUMMYFUNCTION("""COMPUTED_VALUE"""),"Nueva Ecija")</f>
        <v>Nueva Ecija</v>
      </c>
      <c r="AM1008" s="2">
        <f>IFERROR(__xludf.DUMMYFUNCTION("""COMPUTED_VALUE"""),3.0)</f>
        <v>3</v>
      </c>
      <c r="AN1008" s="2" t="str">
        <f>IFERROR(__xludf.DUMMYFUNCTION("""COMPUTED_VALUE"""),"RCEF 23-09-21 Rebidding")</f>
        <v>RCEF 23-09-21 Rebidding</v>
      </c>
      <c r="AO1008" s="2">
        <f>IFERROR(__xludf.DUMMYFUNCTION("""COMPUTED_VALUE"""),3.0)</f>
        <v>3</v>
      </c>
      <c r="AP1008" s="2"/>
      <c r="AQ1008" s="2"/>
      <c r="AR1008" s="2"/>
      <c r="AS1008" s="2"/>
      <c r="AT1008" s="2"/>
      <c r="AU1008" s="2"/>
      <c r="AV1008" s="2"/>
      <c r="AW1008" s="2"/>
      <c r="AX1008" s="2"/>
      <c r="AY1008" s="2"/>
      <c r="AZ1008" s="2"/>
      <c r="BA1008" s="2"/>
      <c r="BB1008" s="2"/>
    </row>
    <row r="1009">
      <c r="A1009" s="2">
        <f>IFERROR(__xludf.DUMMYFUNCTION("""COMPUTED_VALUE"""),1005.0)</f>
        <v>1005</v>
      </c>
      <c r="B1009" s="2" t="str">
        <f>IFERROR(__xludf.DUMMYFUNCTION("""COMPUTED_VALUE"""),"COMPLETED")</f>
        <v>COMPLETED</v>
      </c>
      <c r="C1009" s="74">
        <f>IFERROR(__xludf.DUMMYFUNCTION("""COMPUTED_VALUE"""),45812.0)</f>
        <v>45812</v>
      </c>
      <c r="D1009" s="71" t="str">
        <f>IFERROR(__xludf.DUMMYFUNCTION("""COMPUTED_VALUE"""),"KAISAHAN IRRIGATOR'S ASSOCIATION INC.")</f>
        <v>KAISAHAN IRRIGATOR'S ASSOCIATION INC.</v>
      </c>
      <c r="E1009" s="71" t="str">
        <f>IFERROR(__xludf.DUMMYFUNCTION("""COMPUTED_VALUE"""),"San Fabian, Santo Domingo, NUEVA ECIJA")</f>
        <v>San Fabian, Santo Domingo, NUEVA ECIJA</v>
      </c>
      <c r="F1009" s="2" t="str">
        <f>IFERROR(__xludf.DUMMYFUNCTION("""COMPUTED_VALUE"""),"DARWIN CACAL")</f>
        <v>DARWIN CACAL</v>
      </c>
      <c r="G1009" s="2">
        <f>IFERROR(__xludf.DUMMYFUNCTION("""COMPUTED_VALUE"""),9.533782306E9)</f>
        <v>9533782306</v>
      </c>
      <c r="H1009" s="2">
        <f>IFERROR(__xludf.DUMMYFUNCTION("""COMPUTED_VALUE"""),800.0)</f>
        <v>800</v>
      </c>
      <c r="I1009" s="72" t="str">
        <f>IFERROR(__xludf.DUMMYFUNCTION("""COMPUTED_VALUE"""),"REPAIR - TRACTOR")</f>
        <v>REPAIR - TRACTOR</v>
      </c>
      <c r="J1009" s="72" t="str">
        <f>IFERROR(__xludf.DUMMYFUNCTION("""COMPUTED_VALUE"""),"Front Axle - Bearing")</f>
        <v>Front Axle - Bearing</v>
      </c>
      <c r="K1009" s="72" t="str">
        <f>IFERROR(__xludf.DUMMYFUNCTION("""COMPUTED_VALUE"""),"MYK: SIRA ANG BEARING SA FRONT DRIVE ")</f>
        <v>MYK: SIRA ANG BEARING SA FRONT DRIVE </v>
      </c>
      <c r="L1009" s="72" t="str">
        <f>IFERROR(__xludf.DUMMYFUNCTION("""COMPUTED_VALUE"""),"MYK: OK NA AS PER FCA")</f>
        <v>MYK: OK NA AS PER FCA</v>
      </c>
      <c r="M1009" s="2"/>
      <c r="N1009" s="2"/>
      <c r="O1009" s="2" t="str">
        <f>IFERROR(__xludf.DUMMYFUNCTION("""COMPUTED_VALUE"""),"N/A")</f>
        <v>N/A</v>
      </c>
      <c r="P1009" s="2"/>
      <c r="Q1009" s="2"/>
      <c r="R1009" s="74">
        <f>IFERROR(__xludf.DUMMYFUNCTION("""COMPUTED_VALUE"""),45992.0)</f>
        <v>45992</v>
      </c>
      <c r="S1009" s="2" t="str">
        <f>IFERROR(__xludf.DUMMYFUNCTION("""COMPUTED_VALUE"""),"MYKEE")</f>
        <v>MYKEE</v>
      </c>
      <c r="T1009" s="73" t="str">
        <f>IFERROR(__xludf.DUMMYFUNCTION("""COMPUTED_VALUE""")," N/A ")</f>
        <v>N/A</v>
      </c>
      <c r="U1009" s="73" t="str">
        <f>IFERROR(__xludf.DUMMYFUNCTION("""COMPUTED_VALUE""")," NO CHARGE ")</f>
        <v>NO CHARGE</v>
      </c>
      <c r="V1009" s="2"/>
      <c r="W1009" s="2" t="str">
        <f>IFERROR(__xludf.DUMMYFUNCTION("""COMPUTED_VALUE"""),"N/A")</f>
        <v>N/A</v>
      </c>
      <c r="X1009" s="2" t="str">
        <f>IFERROR(__xludf.DUMMYFUNCTION("""COMPUTED_VALUE"""),"N/A")</f>
        <v>N/A</v>
      </c>
      <c r="Y1009" s="2"/>
      <c r="Z1009" s="2"/>
      <c r="AA1009" s="2"/>
      <c r="AB1009" s="2"/>
      <c r="AC1009" s="2"/>
      <c r="AD1009" s="2"/>
      <c r="AE1009" s="2"/>
      <c r="AF1009" s="2"/>
      <c r="AG1009" s="2"/>
      <c r="AH1009" s="2"/>
      <c r="AI1009" s="2"/>
      <c r="AJ1009" s="2" t="str">
        <f>IFERROR(__xludf.DUMMYFUNCTION("""COMPUTED_VALUE"""),"San Fabian")</f>
        <v>San Fabian</v>
      </c>
      <c r="AK1009" s="2" t="str">
        <f>IFERROR(__xludf.DUMMYFUNCTION("""COMPUTED_VALUE"""),"Santo Domingo")</f>
        <v>Santo Domingo</v>
      </c>
      <c r="AL1009" s="2" t="str">
        <f>IFERROR(__xludf.DUMMYFUNCTION("""COMPUTED_VALUE"""),"Nueva Ecija")</f>
        <v>Nueva Ecija</v>
      </c>
      <c r="AM1009" s="2">
        <f>IFERROR(__xludf.DUMMYFUNCTION("""COMPUTED_VALUE"""),3.0)</f>
        <v>3</v>
      </c>
      <c r="AN1009" s="2" t="str">
        <f>IFERROR(__xludf.DUMMYFUNCTION("""COMPUTED_VALUE"""),"RCEF 23-09-21 Rebidding")</f>
        <v>RCEF 23-09-21 Rebidding</v>
      </c>
      <c r="AO1009" s="2">
        <f>IFERROR(__xludf.DUMMYFUNCTION("""COMPUTED_VALUE"""),3.0)</f>
        <v>3</v>
      </c>
      <c r="AP1009" s="2"/>
      <c r="AQ1009" s="2"/>
      <c r="AR1009" s="2"/>
      <c r="AS1009" s="2"/>
      <c r="AT1009" s="2"/>
      <c r="AU1009" s="2"/>
      <c r="AV1009" s="2"/>
      <c r="AW1009" s="2"/>
      <c r="AX1009" s="2"/>
      <c r="AY1009" s="2"/>
      <c r="AZ1009" s="2"/>
      <c r="BA1009" s="2"/>
      <c r="BB1009" s="2"/>
    </row>
    <row r="1010">
      <c r="A1010" s="2">
        <f>IFERROR(__xludf.DUMMYFUNCTION("""COMPUTED_VALUE"""),1006.0)</f>
        <v>1006</v>
      </c>
      <c r="B1010" s="2" t="str">
        <f>IFERROR(__xludf.DUMMYFUNCTION("""COMPUTED_VALUE"""),"COMPLETED")</f>
        <v>COMPLETED</v>
      </c>
      <c r="C1010" s="74">
        <f>IFERROR(__xludf.DUMMYFUNCTION("""COMPUTED_VALUE"""),45813.0)</f>
        <v>45813</v>
      </c>
      <c r="D1010" s="71" t="str">
        <f>IFERROR(__xludf.DUMMYFUNCTION("""COMPUTED_VALUE"""),"BANDOJA SAN FRANCISCO SUR SAN FRANCISCO NORTE SAN ISIDRO IRRIGATORS ASSOCIATION (BASFICIA) INC.")</f>
        <v>BANDOJA SAN FRANCISCO SUR SAN FRANCISCO NORTE SAN ISIDRO IRRIGATORS ASSOCIATION (BASFICIA) INC.</v>
      </c>
      <c r="E1010" s="71" t="str">
        <f>IFERROR(__xludf.DUMMYFUNCTION("""COMPUTED_VALUE"""),"San Francisco Sur, Tibiao, ANTIQUE")</f>
        <v>San Francisco Sur, Tibiao, ANTIQUE</v>
      </c>
      <c r="F1010" s="2"/>
      <c r="G1010" s="2">
        <f>IFERROR(__xludf.DUMMYFUNCTION("""COMPUTED_VALUE"""),9.651166825E9)</f>
        <v>9651166825</v>
      </c>
      <c r="H1010" s="2">
        <f>IFERROR(__xludf.DUMMYFUNCTION("""COMPUTED_VALUE"""),250.0)</f>
        <v>250</v>
      </c>
      <c r="I1010" s="72" t="str">
        <f>IFERROR(__xludf.DUMMYFUNCTION("""COMPUTED_VALUE"""),"REPAIR - ROTAVATOR")</f>
        <v>REPAIR - ROTAVATOR</v>
      </c>
      <c r="J1010" s="72" t="str">
        <f>IFERROR(__xludf.DUMMYFUNCTION("""COMPUTED_VALUE"""),"Gearbox")</f>
        <v>Gearbox</v>
      </c>
      <c r="K1010" s="72" t="str">
        <f>IFERROR(__xludf.DUMMYFUNCTION("""COMPUTED_VALUE"""),"MYK: ROTAVATOR GEAR BROKEN
JTT: BEARING #32211 , BEVEL GEAR 24T")</f>
        <v>MYK: ROTAVATOR GEAR BROKEN
JTT: BEARING #32211 , BEVEL GEAR 24T</v>
      </c>
      <c r="L1010" s="72" t="str">
        <f>IFERROR(__xludf.DUMMYFUNCTION("""COMPUTED_VALUE"""),"MYK: MAY NA OUTSOURCE SILA SA MANILA, CANCELLED ORDER")</f>
        <v>MYK: MAY NA OUTSOURCE SILA SA MANILA, CANCELLED ORDER</v>
      </c>
      <c r="M1010" s="2"/>
      <c r="N1010" s="2"/>
      <c r="O1010" s="2" t="str">
        <f>IFERROR(__xludf.DUMMYFUNCTION("""COMPUTED_VALUE"""),"N/A")</f>
        <v>N/A</v>
      </c>
      <c r="P1010" s="2"/>
      <c r="Q1010" s="2"/>
      <c r="R1010" s="74">
        <f>IFERROR(__xludf.DUMMYFUNCTION("""COMPUTED_VALUE"""),45831.0)</f>
        <v>45831</v>
      </c>
      <c r="S1010" s="2" t="str">
        <f>IFERROR(__xludf.DUMMYFUNCTION("""COMPUTED_VALUE"""),"MYKEE")</f>
        <v>MYKEE</v>
      </c>
      <c r="T1010" s="73" t="str">
        <f>IFERROR(__xludf.DUMMYFUNCTION("""COMPUTED_VALUE""")," N/A ")</f>
        <v>N/A</v>
      </c>
      <c r="U1010" s="73" t="str">
        <f>IFERROR(__xludf.DUMMYFUNCTION("""COMPUTED_VALUE""")," NO CHARGE ")</f>
        <v>NO CHARGE</v>
      </c>
      <c r="V1010" s="2"/>
      <c r="W1010" s="2" t="str">
        <f>IFERROR(__xludf.DUMMYFUNCTION("""COMPUTED_VALUE"""),"N/A")</f>
        <v>N/A</v>
      </c>
      <c r="X1010" s="2" t="str">
        <f>IFERROR(__xludf.DUMMYFUNCTION("""COMPUTED_VALUE"""),"N/A")</f>
        <v>N/A</v>
      </c>
      <c r="Y1010" s="2"/>
      <c r="Z1010" s="2"/>
      <c r="AA1010" s="2"/>
      <c r="AB1010" s="2"/>
      <c r="AC1010" s="2"/>
      <c r="AD1010" s="2"/>
      <c r="AE1010" s="2"/>
      <c r="AF1010" s="2"/>
      <c r="AG1010" s="2"/>
      <c r="AH1010" s="2"/>
      <c r="AI1010" s="2"/>
      <c r="AJ1010" s="2" t="str">
        <f>IFERROR(__xludf.DUMMYFUNCTION("""COMPUTED_VALUE"""),"San Francisco Sur")</f>
        <v>San Francisco Sur</v>
      </c>
      <c r="AK1010" s="2" t="str">
        <f>IFERROR(__xludf.DUMMYFUNCTION("""COMPUTED_VALUE"""),"Tibiao")</f>
        <v>Tibiao</v>
      </c>
      <c r="AL1010" s="2" t="str">
        <f>IFERROR(__xludf.DUMMYFUNCTION("""COMPUTED_VALUE"""),"Antique")</f>
        <v>Antique</v>
      </c>
      <c r="AM1010" s="2">
        <f>IFERROR(__xludf.DUMMYFUNCTION("""COMPUTED_VALUE"""),6.0)</f>
        <v>6</v>
      </c>
      <c r="AN1010" s="2" t="str">
        <f>IFERROR(__xludf.DUMMYFUNCTION("""COMPUTED_VALUE"""),"RCEF 23-09-21 Rebidding")</f>
        <v>RCEF 23-09-21 Rebidding</v>
      </c>
      <c r="AO1010" s="2">
        <f>IFERROR(__xludf.DUMMYFUNCTION("""COMPUTED_VALUE"""),4.0)</f>
        <v>4</v>
      </c>
      <c r="AP1010" s="2"/>
      <c r="AQ1010" s="2"/>
      <c r="AR1010" s="2"/>
      <c r="AS1010" s="2"/>
      <c r="AT1010" s="2"/>
      <c r="AU1010" s="2"/>
      <c r="AV1010" s="2"/>
      <c r="AW1010" s="2"/>
      <c r="AX1010" s="2"/>
      <c r="AY1010" s="2"/>
      <c r="AZ1010" s="2"/>
      <c r="BA1010" s="2"/>
      <c r="BB1010" s="2"/>
    </row>
    <row r="1011">
      <c r="A1011" s="2">
        <f>IFERROR(__xludf.DUMMYFUNCTION("""COMPUTED_VALUE"""),1007.0)</f>
        <v>1007</v>
      </c>
      <c r="B1011" s="2" t="str">
        <f>IFERROR(__xludf.DUMMYFUNCTION("""COMPUTED_VALUE"""),"COMPLETED")</f>
        <v>COMPLETED</v>
      </c>
      <c r="C1011" s="74">
        <f>IFERROR(__xludf.DUMMYFUNCTION("""COMPUTED_VALUE"""),45813.0)</f>
        <v>45813</v>
      </c>
      <c r="D1011" s="71" t="str">
        <f>IFERROR(__xludf.DUMMYFUNCTION("""COMPUTED_VALUE"""),"VILLA DY IRRIGATORS ASSOCIATION, INC.")</f>
        <v>VILLA DY IRRIGATORS ASSOCIATION, INC.</v>
      </c>
      <c r="E1011" s="71" t="str">
        <f>IFERROR(__xludf.DUMMYFUNCTION("""COMPUTED_VALUE"""),"Alinam, Cauayan City, ISABELA")</f>
        <v>Alinam, Cauayan City, ISABELA</v>
      </c>
      <c r="F1011" s="2" t="str">
        <f>IFERROR(__xludf.DUMMYFUNCTION("""COMPUTED_VALUE"""),"Antonio Ramos")</f>
        <v>Antonio Ramos</v>
      </c>
      <c r="G1011" s="2">
        <f>IFERROR(__xludf.DUMMYFUNCTION("""COMPUTED_VALUE"""),9.752000043E9)</f>
        <v>9752000043</v>
      </c>
      <c r="H1011" s="2">
        <f>IFERROR(__xludf.DUMMYFUNCTION("""COMPUTED_VALUE"""),398.5)</f>
        <v>398.5</v>
      </c>
      <c r="I1011" s="72" t="str">
        <f>IFERROR(__xludf.DUMMYFUNCTION("""COMPUTED_VALUE"""),"REPAIR - ROTAVATOR")</f>
        <v>REPAIR - ROTAVATOR</v>
      </c>
      <c r="J1011" s="72" t="str">
        <f>IFERROR(__xludf.DUMMYFUNCTION("""COMPUTED_VALUE"""),"Gearbox")</f>
        <v>Gearbox</v>
      </c>
      <c r="K1011" s="72" t="str">
        <f>IFERROR(__xludf.DUMMYFUNCTION("""COMPUTED_VALUE"""),"CFG: Need parts.
1pc LSGW Bevel gear 24T
")</f>
        <v>CFG: Need parts.
1pc LSGW Bevel gear 24T
</v>
      </c>
      <c r="L1011" s="72" t="str">
        <f>IFERROR(__xludf.DUMMYFUNCTION("""COMPUTED_VALUE"""),"QUOTATION SENT
CFG: delivery parts
1pc LSGW Bevel gear 24T
1pc oil seal 55-80-12
")</f>
        <v>QUOTATION SENT
CFG: delivery parts
1pc LSGW Bevel gear 24T
1pc oil seal 55-80-12
</v>
      </c>
      <c r="M1011" s="2"/>
      <c r="N1011" s="2" t="str">
        <f>IFERROR(__xludf.DUMMYFUNCTION("""COMPUTED_VALUE"""),"PARTS: 
BEVEL GEAR 24T
OIL SEAL 55-80-12")</f>
        <v>PARTS: 
BEVEL GEAR 24T
OIL SEAL 55-80-12</v>
      </c>
      <c r="O1011" s="2" t="str">
        <f>IFERROR(__xludf.DUMMYFUNCTION("""COMPUTED_VALUE"""),"N/A")</f>
        <v>N/A</v>
      </c>
      <c r="P1011" s="2"/>
      <c r="Q1011" s="2"/>
      <c r="R1011" s="74">
        <f>IFERROR(__xludf.DUMMYFUNCTION("""COMPUTED_VALUE"""),45841.0)</f>
        <v>45841</v>
      </c>
      <c r="S1011" s="2" t="str">
        <f>IFERROR(__xludf.DUMMYFUNCTION("""COMPUTED_VALUE"""),"CFG  ")</f>
        <v>CFG  </v>
      </c>
      <c r="T1011" s="73">
        <f>IFERROR(__xludf.DUMMYFUNCTION("""COMPUTED_VALUE"""),13950.0)</f>
        <v>13950</v>
      </c>
      <c r="U1011" s="73" t="str">
        <f>IFERROR(__xludf.DUMMYFUNCTION("""COMPUTED_VALUE""")," FOR REMIT ")</f>
        <v>FOR REMIT</v>
      </c>
      <c r="V1011" s="2"/>
      <c r="W1011" s="2">
        <f>IFERROR(__xludf.DUMMYFUNCTION("""COMPUTED_VALUE"""),1559.0)</f>
        <v>1559</v>
      </c>
      <c r="X1011" s="2"/>
      <c r="Y1011" s="2"/>
      <c r="Z1011" s="2"/>
      <c r="AA1011" s="2"/>
      <c r="AB1011" s="2"/>
      <c r="AC1011" s="2"/>
      <c r="AD1011" s="2"/>
      <c r="AE1011" s="2"/>
      <c r="AF1011" s="2"/>
      <c r="AG1011" s="2"/>
      <c r="AH1011" s="2"/>
      <c r="AI1011" s="2"/>
      <c r="AJ1011" s="2" t="str">
        <f>IFERROR(__xludf.DUMMYFUNCTION("""COMPUTED_VALUE"""),"Alinam")</f>
        <v>Alinam</v>
      </c>
      <c r="AK1011" s="2" t="str">
        <f>IFERROR(__xludf.DUMMYFUNCTION("""COMPUTED_VALUE"""),"Cauayan City")</f>
        <v>Cauayan City</v>
      </c>
      <c r="AL1011" s="2" t="str">
        <f>IFERROR(__xludf.DUMMYFUNCTION("""COMPUTED_VALUE"""),"Isabela")</f>
        <v>Isabela</v>
      </c>
      <c r="AM1011" s="2">
        <f>IFERROR(__xludf.DUMMYFUNCTION("""COMPUTED_VALUE"""),2.0)</f>
        <v>2</v>
      </c>
      <c r="AN1011" s="2" t="str">
        <f>IFERROR(__xludf.DUMMYFUNCTION("""COMPUTED_VALUE"""),"RCEF 23-09-21 Rebidding")</f>
        <v>RCEF 23-09-21 Rebidding</v>
      </c>
      <c r="AO1011" s="2">
        <f>IFERROR(__xludf.DUMMYFUNCTION("""COMPUTED_VALUE"""),1.0)</f>
        <v>1</v>
      </c>
      <c r="AP1011" s="2"/>
      <c r="AQ1011" s="2"/>
      <c r="AR1011" s="2"/>
      <c r="AS1011" s="2"/>
      <c r="AT1011" s="2"/>
      <c r="AU1011" s="2"/>
      <c r="AV1011" s="2"/>
      <c r="AW1011" s="2"/>
      <c r="AX1011" s="2"/>
      <c r="AY1011" s="2"/>
      <c r="AZ1011" s="2"/>
      <c r="BA1011" s="2"/>
      <c r="BB1011" s="2"/>
    </row>
    <row r="1012">
      <c r="A1012" s="2">
        <f>IFERROR(__xludf.DUMMYFUNCTION("""COMPUTED_VALUE"""),1008.0)</f>
        <v>1008</v>
      </c>
      <c r="B1012" s="2" t="str">
        <f>IFERROR(__xludf.DUMMYFUNCTION("""COMPUTED_VALUE"""),"COMPLETED")</f>
        <v>COMPLETED</v>
      </c>
      <c r="C1012" s="74">
        <f>IFERROR(__xludf.DUMMYFUNCTION("""COMPUTED_VALUE"""),45813.0)</f>
        <v>45813</v>
      </c>
      <c r="D1012" s="71" t="str">
        <f>IFERROR(__xludf.DUMMYFUNCTION("""COMPUTED_VALUE"""),"Bugtongan Farmers Association")</f>
        <v>Bugtongan Farmers Association</v>
      </c>
      <c r="E1012" s="71" t="str">
        <f>IFERROR(__xludf.DUMMYFUNCTION("""COMPUTED_VALUE"""),"Bugtongan, Duenas, ILOILO")</f>
        <v>Bugtongan, Duenas, ILOILO</v>
      </c>
      <c r="F1012" s="2" t="str">
        <f>IFERROR(__xludf.DUMMYFUNCTION("""COMPUTED_VALUE"""),"NARCISSO SORONGON")</f>
        <v>NARCISSO SORONGON</v>
      </c>
      <c r="G1012" s="2">
        <f>IFERROR(__xludf.DUMMYFUNCTION("""COMPUTED_VALUE"""),9.213188684E9)</f>
        <v>9213188684</v>
      </c>
      <c r="H1012" s="2">
        <f>IFERROR(__xludf.DUMMYFUNCTION("""COMPUTED_VALUE"""),470.0)</f>
        <v>470</v>
      </c>
      <c r="I1012" s="72" t="str">
        <f>IFERROR(__xludf.DUMMYFUNCTION("""COMPUTED_VALUE"""),"SPARE PARTS ACQUISITION")</f>
        <v>SPARE PARTS ACQUISITION</v>
      </c>
      <c r="J1012" s="72" t="str">
        <f>IFERROR(__xludf.DUMMYFUNCTION("""COMPUTED_VALUE"""),"PARTS REQUEST")</f>
        <v>PARTS REQUEST</v>
      </c>
      <c r="K1012" s="72" t="str">
        <f>IFERROR(__xludf.DUMMYFUNCTION("""COMPUTED_VALUE"""),"MYK: PARTS: BEVEL GEAR 24T , PINION GEAR 11T
6/16/25:EGT: damage bevel gear and pinion gear and Hard lock nut")</f>
        <v>MYK: PARTS: BEVEL GEAR 24T , PINION GEAR 11T
6/16/25:EGT: damage bevel gear and pinion gear and Hard lock nut</v>
      </c>
      <c r="L1012" s="72" t="str">
        <f>IFERROR(__xludf.DUMMYFUNCTION("""COMPUTED_VALUE"""),"QUOTATION SENT: CANCELLED: BUMILI NA NG BAGONG ROTAVATOR SI FARMER")</f>
        <v>QUOTATION SENT: CANCELLED: BUMILI NA NG BAGONG ROTAVATOR SI FARMER</v>
      </c>
      <c r="M1012" s="2"/>
      <c r="N1012" s="2"/>
      <c r="O1012" s="2" t="str">
        <f>IFERROR(__xludf.DUMMYFUNCTION("""COMPUTED_VALUE"""),"N/A")</f>
        <v>N/A</v>
      </c>
      <c r="P1012" s="2"/>
      <c r="Q1012" s="2"/>
      <c r="R1012" s="74">
        <f>IFERROR(__xludf.DUMMYFUNCTION("""COMPUTED_VALUE"""),45930.0)</f>
        <v>45930</v>
      </c>
      <c r="S1012" s="2" t="str">
        <f>IFERROR(__xludf.DUMMYFUNCTION("""COMPUTED_VALUE"""),"MYKEE")</f>
        <v>MYKEE</v>
      </c>
      <c r="T1012" s="73" t="str">
        <f>IFERROR(__xludf.DUMMYFUNCTION("""COMPUTED_VALUE""")," N/A ")</f>
        <v>N/A</v>
      </c>
      <c r="U1012" s="73" t="str">
        <f>IFERROR(__xludf.DUMMYFUNCTION("""COMPUTED_VALUE""")," NO CHARGE ")</f>
        <v>NO CHARGE</v>
      </c>
      <c r="V1012" s="2"/>
      <c r="W1012" s="2" t="str">
        <f>IFERROR(__xludf.DUMMYFUNCTION("""COMPUTED_VALUE"""),"N/A")</f>
        <v>N/A</v>
      </c>
      <c r="X1012" s="2" t="str">
        <f>IFERROR(__xludf.DUMMYFUNCTION("""COMPUTED_VALUE"""),"N/A")</f>
        <v>N/A</v>
      </c>
      <c r="Y1012" s="2"/>
      <c r="Z1012" s="2"/>
      <c r="AA1012" s="2"/>
      <c r="AB1012" s="2"/>
      <c r="AC1012" s="2"/>
      <c r="AD1012" s="2"/>
      <c r="AE1012" s="2"/>
      <c r="AF1012" s="2"/>
      <c r="AG1012" s="2"/>
      <c r="AH1012" s="2"/>
      <c r="AI1012" s="2"/>
      <c r="AJ1012" s="2" t="str">
        <f>IFERROR(__xludf.DUMMYFUNCTION("""COMPUTED_VALUE"""),"Bugtongan")</f>
        <v>Bugtongan</v>
      </c>
      <c r="AK1012" s="2" t="str">
        <f>IFERROR(__xludf.DUMMYFUNCTION("""COMPUTED_VALUE"""),"Duenas")</f>
        <v>Duenas</v>
      </c>
      <c r="AL1012" s="2" t="str">
        <f>IFERROR(__xludf.DUMMYFUNCTION("""COMPUTED_VALUE"""),"Iloilo")</f>
        <v>Iloilo</v>
      </c>
      <c r="AM1012" s="2">
        <f>IFERROR(__xludf.DUMMYFUNCTION("""COMPUTED_VALUE"""),6.0)</f>
        <v>6</v>
      </c>
      <c r="AN1012" s="2" t="str">
        <f>IFERROR(__xludf.DUMMYFUNCTION("""COMPUTED_VALUE"""),"RCEF 23-09-21 Rebidding")</f>
        <v>RCEF 23-09-21 Rebidding</v>
      </c>
      <c r="AO1012" s="2">
        <f>IFERROR(__xludf.DUMMYFUNCTION("""COMPUTED_VALUE"""),4.0)</f>
        <v>4</v>
      </c>
      <c r="AP1012" s="2"/>
      <c r="AQ1012" s="2"/>
      <c r="AR1012" s="2"/>
      <c r="AS1012" s="2"/>
      <c r="AT1012" s="2"/>
      <c r="AU1012" s="2"/>
      <c r="AV1012" s="2"/>
      <c r="AW1012" s="2"/>
      <c r="AX1012" s="2"/>
      <c r="AY1012" s="2"/>
      <c r="AZ1012" s="2"/>
      <c r="BA1012" s="2"/>
      <c r="BB1012" s="2"/>
    </row>
    <row r="1013">
      <c r="A1013" s="2">
        <f>IFERROR(__xludf.DUMMYFUNCTION("""COMPUTED_VALUE"""),1009.0)</f>
        <v>1009</v>
      </c>
      <c r="B1013" s="2" t="str">
        <f>IFERROR(__xludf.DUMMYFUNCTION("""COMPUTED_VALUE"""),"PENDING")</f>
        <v>PENDING</v>
      </c>
      <c r="C1013" s="74">
        <f>IFERROR(__xludf.DUMMYFUNCTION("""COMPUTED_VALUE"""),45813.0)</f>
        <v>45813</v>
      </c>
      <c r="D1013" s="71" t="str">
        <f>IFERROR(__xludf.DUMMYFUNCTION("""COMPUTED_VALUE"""),"Bliss Buenlag Group of Small Farmers Association Inc.")</f>
        <v>Bliss Buenlag Group of Small Farmers Association Inc.</v>
      </c>
      <c r="E1013" s="71" t="str">
        <f>IFERROR(__xludf.DUMMYFUNCTION("""COMPUTED_VALUE"""),"Nancamaliran West, Urdaneta City, PANGASINAN")</f>
        <v>Nancamaliran West, Urdaneta City, PANGASINAN</v>
      </c>
      <c r="F1013" s="2" t="str">
        <f>IFERROR(__xludf.DUMMYFUNCTION("""COMPUTED_VALUE"""),"Jimmy B. Mines ")</f>
        <v>Jimmy B. Mines </v>
      </c>
      <c r="G1013" s="2">
        <f>IFERROR(__xludf.DUMMYFUNCTION("""COMPUTED_VALUE"""),9.06521819E9)</f>
        <v>9065218190</v>
      </c>
      <c r="H1013" s="2">
        <f>IFERROR(__xludf.DUMMYFUNCTION("""COMPUTED_VALUE"""),58.0)</f>
        <v>58</v>
      </c>
      <c r="I1013" s="72" t="str">
        <f>IFERROR(__xludf.DUMMYFUNCTION("""COMPUTED_VALUE"""),"SPARE PARTS ACQUISITION")</f>
        <v>SPARE PARTS ACQUISITION</v>
      </c>
      <c r="J1013" s="72" t="str">
        <f>IFERROR(__xludf.DUMMYFUNCTION("""COMPUTED_VALUE"""),"PARTS REQUEST")</f>
        <v>PARTS REQUEST</v>
      </c>
      <c r="K1013" s="72" t="str">
        <f>IFERROR(__xludf.DUMMYFUNCTION("""COMPUTED_VALUE"""),"PARTS: ONE SIDE LINK ")</f>
        <v>PARTS: ONE SIDE LINK </v>
      </c>
      <c r="L1013" s="72" t="str">
        <f>IFERROR(__xludf.DUMMYFUNCTION("""COMPUTED_VALUE"""),"PARTS N/A")</f>
        <v>PARTS N/A</v>
      </c>
      <c r="M1013" s="2" t="str">
        <f>IFERROR(__xludf.DUMMYFUNCTION("""COMPUTED_VALUE"""),"ONE SIDE LINK")</f>
        <v>ONE SIDE LINK</v>
      </c>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t="str">
        <f>IFERROR(__xludf.DUMMYFUNCTION("""COMPUTED_VALUE"""),"Nancamaliran West")</f>
        <v>Nancamaliran West</v>
      </c>
      <c r="AK1013" s="2" t="str">
        <f>IFERROR(__xludf.DUMMYFUNCTION("""COMPUTED_VALUE"""),"Urdaneta City")</f>
        <v>Urdaneta City</v>
      </c>
      <c r="AL1013" s="2" t="str">
        <f>IFERROR(__xludf.DUMMYFUNCTION("""COMPUTED_VALUE"""),"Pangasinan")</f>
        <v>Pangasinan</v>
      </c>
      <c r="AM1013" s="2">
        <f>IFERROR(__xludf.DUMMYFUNCTION("""COMPUTED_VALUE"""),1.0)</f>
        <v>1</v>
      </c>
      <c r="AN1013" s="2" t="str">
        <f>IFERROR(__xludf.DUMMYFUNCTION("""COMPUTED_VALUE"""),"Repeat Order")</f>
        <v>Repeat Order</v>
      </c>
      <c r="AO1013" s="2">
        <f>IFERROR(__xludf.DUMMYFUNCTION("""COMPUTED_VALUE"""),6.0)</f>
        <v>6</v>
      </c>
      <c r="AP1013" s="2" t="str">
        <f>IFERROR(__xludf.DUMMYFUNCTION("""COMPUTED_VALUE"""),"FREE PMS")</f>
        <v>FREE PMS</v>
      </c>
      <c r="AQ1013" s="2"/>
      <c r="AR1013" s="2" t="str">
        <f>IFERROR(__xludf.DUMMYFUNCTION("""COMPUTED_VALUE"""),"ONE SIDE LINK")</f>
        <v>ONE SIDE LINK</v>
      </c>
      <c r="AS1013" s="2"/>
      <c r="AT1013" s="2"/>
      <c r="AU1013" s="2"/>
      <c r="AV1013" s="2"/>
      <c r="AW1013" s="2"/>
      <c r="AX1013" s="2"/>
      <c r="AY1013" s="2"/>
      <c r="AZ1013" s="2"/>
      <c r="BA1013" s="2"/>
      <c r="BB1013" s="2"/>
    </row>
    <row r="1014">
      <c r="A1014" s="2">
        <f>IFERROR(__xludf.DUMMYFUNCTION("""COMPUTED_VALUE"""),1010.0)</f>
        <v>1010</v>
      </c>
      <c r="B1014" s="2" t="str">
        <f>IFERROR(__xludf.DUMMYFUNCTION("""COMPUTED_VALUE"""),"COMPLETED")</f>
        <v>COMPLETED</v>
      </c>
      <c r="C1014" s="74">
        <f>IFERROR(__xludf.DUMMYFUNCTION("""COMPUTED_VALUE"""),45814.0)</f>
        <v>45814</v>
      </c>
      <c r="D1014" s="71" t="str">
        <f>IFERROR(__xludf.DUMMYFUNCTION("""COMPUTED_VALUE"""),"SINAPANGAN FARMERS IRRIGATORS ASSOCIATION OF BALAOAN, LA UNION, INC.")</f>
        <v>SINAPANGAN FARMERS IRRIGATORS ASSOCIATION OF BALAOAN, LA UNION, INC.</v>
      </c>
      <c r="E1014" s="71" t="str">
        <f>IFERROR(__xludf.DUMMYFUNCTION("""COMPUTED_VALUE"""),"Sinapangan Norte, Balaoan, LA UNION")</f>
        <v>Sinapangan Norte, Balaoan, LA UNION</v>
      </c>
      <c r="F1014" s="2" t="str">
        <f>IFERROR(__xludf.DUMMYFUNCTION("""COMPUTED_VALUE"""),"Melvin Ordinario Jr.")</f>
        <v>Melvin Ordinario Jr.</v>
      </c>
      <c r="G1014" s="2" t="str">
        <f>IFERROR(__xludf.DUMMYFUNCTION("""COMPUTED_VALUE"""),"0995 890 8015")</f>
        <v>0995 890 8015</v>
      </c>
      <c r="H1014" s="2">
        <f>IFERROR(__xludf.DUMMYFUNCTION("""COMPUTED_VALUE"""),578.0)</f>
        <v>578</v>
      </c>
      <c r="I1014" s="72" t="str">
        <f>IFERROR(__xludf.DUMMYFUNCTION("""COMPUTED_VALUE"""),"REPAIR - TRACTOR")</f>
        <v>REPAIR - TRACTOR</v>
      </c>
      <c r="J1014" s="72" t="str">
        <f>IFERROR(__xludf.DUMMYFUNCTION("""COMPUTED_VALUE"""),"PMS")</f>
        <v>PMS</v>
      </c>
      <c r="K1014" s="72" t="str">
        <f>IFERROR(__xludf.DUMMYFUNCTION("""COMPUTED_VALUE"""),"JDP: pagnasa 2500rpm kusang bumababa ung rpm......tas pag nag ooperate ay bumababa hanggang 2100rpm
Tas paover all change oil narin daw sir.")</f>
        <v>JDP: pagnasa 2500rpm kusang bumababa ung rpm......tas pag nag ooperate ay bumababa hanggang 2100rpm
Tas paover all change oil narin daw sir.</v>
      </c>
      <c r="L1014" s="72" t="str">
        <f>IFERROR(__xludf.DUMMYFUNCTION("""COMPUTED_VALUE"""),"EGT: GENERAL PMS DONE")</f>
        <v>EGT: GENERAL PMS DONE</v>
      </c>
      <c r="M1014" s="2"/>
      <c r="N1014" s="2" t="str">
        <f>IFERROR(__xludf.DUMMYFUNCTION("""COMPUTED_VALUE"""),"PARTS: HYDRAULIC FILTER")</f>
        <v>PARTS: HYDRAULIC FILTER</v>
      </c>
      <c r="O1014" s="2">
        <f>IFERROR(__xludf.DUMMYFUNCTION("""COMPUTED_VALUE"""),1135.0)</f>
        <v>1135</v>
      </c>
      <c r="P1014" s="2"/>
      <c r="Q1014" s="2" t="str">
        <f>IFERROR(__xludf.DUMMYFUNCTION("""COMPUTED_VALUE"""),"Y")</f>
        <v>Y</v>
      </c>
      <c r="R1014" s="74">
        <f>IFERROR(__xludf.DUMMYFUNCTION("""COMPUTED_VALUE"""),45832.0)</f>
        <v>45832</v>
      </c>
      <c r="S1014" s="2" t="str">
        <f>IFERROR(__xludf.DUMMYFUNCTION("""COMPUTED_VALUE"""),"EGT/DRM")</f>
        <v>EGT/DRM</v>
      </c>
      <c r="T1014" s="73">
        <f>IFERROR(__xludf.DUMMYFUNCTION("""COMPUTED_VALUE"""),2800.0)</f>
        <v>2800</v>
      </c>
      <c r="U1014" s="73" t="str">
        <f>IFERROR(__xludf.DUMMYFUNCTION("""COMPUTED_VALUE""")," REMITTED ")</f>
        <v>REMITTED</v>
      </c>
      <c r="V1014" s="2"/>
      <c r="W1014" s="2">
        <f>IFERROR(__xludf.DUMMYFUNCTION("""COMPUTED_VALUE"""),1652.0)</f>
        <v>1652</v>
      </c>
      <c r="X1014" s="2">
        <f>IFERROR(__xludf.DUMMYFUNCTION("""COMPUTED_VALUE"""),1524.0)</f>
        <v>1524</v>
      </c>
      <c r="Y1014" s="2"/>
      <c r="Z1014" s="2"/>
      <c r="AA1014" s="2"/>
      <c r="AB1014" s="2"/>
      <c r="AC1014" s="2"/>
      <c r="AD1014" s="2"/>
      <c r="AE1014" s="2"/>
      <c r="AF1014" s="2"/>
      <c r="AG1014" s="2"/>
      <c r="AH1014" s="2"/>
      <c r="AI1014" s="2"/>
      <c r="AJ1014" s="2" t="str">
        <f>IFERROR(__xludf.DUMMYFUNCTION("""COMPUTED_VALUE"""),"Sinapangan Norte")</f>
        <v>Sinapangan Norte</v>
      </c>
      <c r="AK1014" s="2" t="str">
        <f>IFERROR(__xludf.DUMMYFUNCTION("""COMPUTED_VALUE"""),"Balaoan")</f>
        <v>Balaoan</v>
      </c>
      <c r="AL1014" s="2" t="str">
        <f>IFERROR(__xludf.DUMMYFUNCTION("""COMPUTED_VALUE"""),"La Union")</f>
        <v>La Union</v>
      </c>
      <c r="AM1014" s="2">
        <f>IFERROR(__xludf.DUMMYFUNCTION("""COMPUTED_VALUE"""),1.0)</f>
        <v>1</v>
      </c>
      <c r="AN1014" s="2" t="str">
        <f>IFERROR(__xludf.DUMMYFUNCTION("""COMPUTED_VALUE"""),"RCEF 23-09-21 Rebidding")</f>
        <v>RCEF 23-09-21 Rebidding</v>
      </c>
      <c r="AO1014" s="2">
        <f>IFERROR(__xludf.DUMMYFUNCTION("""COMPUTED_VALUE"""),2.0)</f>
        <v>2</v>
      </c>
      <c r="AP1014" s="2"/>
      <c r="AQ1014" s="2"/>
      <c r="AR1014" s="2"/>
      <c r="AS1014" s="2"/>
      <c r="AT1014" s="2"/>
      <c r="AU1014" s="2"/>
      <c r="AV1014" s="2"/>
      <c r="AW1014" s="2"/>
      <c r="AX1014" s="2"/>
      <c r="AY1014" s="2"/>
      <c r="AZ1014" s="2"/>
      <c r="BA1014" s="2"/>
      <c r="BB1014" s="2"/>
    </row>
    <row r="1015">
      <c r="A1015" s="2">
        <f>IFERROR(__xludf.DUMMYFUNCTION("""COMPUTED_VALUE"""),1011.0)</f>
        <v>1011</v>
      </c>
      <c r="B1015" s="2" t="str">
        <f>IFERROR(__xludf.DUMMYFUNCTION("""COMPUTED_VALUE"""),"COMPLETED")</f>
        <v>COMPLETED</v>
      </c>
      <c r="C1015" s="74">
        <f>IFERROR(__xludf.DUMMYFUNCTION("""COMPUTED_VALUE"""),45815.0)</f>
        <v>45815</v>
      </c>
      <c r="D1015" s="71" t="str">
        <f>IFERROR(__xludf.DUMMYFUNCTION("""COMPUTED_VALUE"""),"LOWER DEKEL IRRIGATORS ASSOCIATIN INC.")</f>
        <v>LOWER DEKEL IRRIGATORS ASSOCIATIN INC.</v>
      </c>
      <c r="E1015" s="71" t="str">
        <f>IFERROR(__xludf.DUMMYFUNCTION("""COMPUTED_VALUE"""),"Pacquet (Ilongot Res.), Kasibu, NUEVA VIZCAYA")</f>
        <v>Pacquet (Ilongot Res.), Kasibu, NUEVA VIZCAYA</v>
      </c>
      <c r="F1015" s="2" t="str">
        <f>IFERROR(__xludf.DUMMYFUNCTION("""COMPUTED_VALUE"""),"Dindo Gatding")</f>
        <v>Dindo Gatding</v>
      </c>
      <c r="G1015" s="2">
        <f>IFERROR(__xludf.DUMMYFUNCTION("""COMPUTED_VALUE"""),9.361579236E9)</f>
        <v>9361579236</v>
      </c>
      <c r="H1015" s="2"/>
      <c r="I1015" s="72" t="str">
        <f>IFERROR(__xludf.DUMMYFUNCTION("""COMPUTED_VALUE"""),"REPAIR - TRACTOR")</f>
        <v>REPAIR - TRACTOR</v>
      </c>
      <c r="J1015" s="72" t="str">
        <f>IFERROR(__xludf.DUMMYFUNCTION("""COMPUTED_VALUE"""),"Inspection")</f>
        <v>Inspection</v>
      </c>
      <c r="K1015" s="72" t="str">
        <f>IFERROR(__xludf.DUMMYFUNCTION("""COMPUTED_VALUE"""),"JHP: Ayaw pumasok ang kambyo sa Low at high ")</f>
        <v>JHP: Ayaw pumasok ang kambyo sa Low at high </v>
      </c>
      <c r="L1015" s="72" t="str">
        <f>IFERROR(__xludf.DUMMYFUNCTION("""COMPUTED_VALUE"""),"CFG: Naayos ko na po ito oky na po unit nila. ang naging problema kumalas po yung lock pin ng Kambyo  sa may transmission kaya ayaw mag High meduim &amp; low. ")</f>
        <v>CFG: Naayos ko na po ito oky na po unit nila. ang naging problema kumalas po yung lock pin ng Kambyo  sa may transmission kaya ayaw mag High meduim &amp; low. </v>
      </c>
      <c r="M1015" s="2"/>
      <c r="N1015" s="2"/>
      <c r="O1015" s="2">
        <f>IFERROR(__xludf.DUMMYFUNCTION("""COMPUTED_VALUE"""),1184.0)</f>
        <v>1184</v>
      </c>
      <c r="P1015" s="2"/>
      <c r="Q1015" s="2"/>
      <c r="R1015" s="74">
        <f>IFERROR(__xludf.DUMMYFUNCTION("""COMPUTED_VALUE"""),45825.0)</f>
        <v>45825</v>
      </c>
      <c r="S1015" s="2" t="str">
        <f>IFERROR(__xludf.DUMMYFUNCTION("""COMPUTED_VALUE"""),"CFG")</f>
        <v>CFG</v>
      </c>
      <c r="T1015" s="73" t="str">
        <f>IFERROR(__xludf.DUMMYFUNCTION("""COMPUTED_VALUE""")," N/A ")</f>
        <v>N/A</v>
      </c>
      <c r="U1015" s="73" t="str">
        <f>IFERROR(__xludf.DUMMYFUNCTION("""COMPUTED_VALUE""")," NO CHARGE ")</f>
        <v>NO CHARGE</v>
      </c>
      <c r="V1015" s="2"/>
      <c r="W1015" s="2" t="str">
        <f>IFERROR(__xludf.DUMMYFUNCTION("""COMPUTED_VALUE"""),"N/A")</f>
        <v>N/A</v>
      </c>
      <c r="X1015" s="2" t="str">
        <f>IFERROR(__xludf.DUMMYFUNCTION("""COMPUTED_VALUE"""),"N/A")</f>
        <v>N/A</v>
      </c>
      <c r="Y1015" s="2"/>
      <c r="Z1015" s="2"/>
      <c r="AA1015" s="2"/>
      <c r="AB1015" s="2"/>
      <c r="AC1015" s="2"/>
      <c r="AD1015" s="2"/>
      <c r="AE1015" s="2"/>
      <c r="AF1015" s="2"/>
      <c r="AG1015" s="2"/>
      <c r="AH1015" s="2"/>
      <c r="AI1015" s="2"/>
      <c r="AJ1015" s="2" t="str">
        <f>IFERROR(__xludf.DUMMYFUNCTION("""COMPUTED_VALUE"""),"Pacquet (Ilongot Res.)")</f>
        <v>Pacquet (Ilongot Res.)</v>
      </c>
      <c r="AK1015" s="2" t="str">
        <f>IFERROR(__xludf.DUMMYFUNCTION("""COMPUTED_VALUE"""),"Kasibu")</f>
        <v>Kasibu</v>
      </c>
      <c r="AL1015" s="2" t="str">
        <f>IFERROR(__xludf.DUMMYFUNCTION("""COMPUTED_VALUE"""),"Nueva Vizcaya")</f>
        <v>Nueva Vizcaya</v>
      </c>
      <c r="AM1015" s="2">
        <f>IFERROR(__xludf.DUMMYFUNCTION("""COMPUTED_VALUE"""),2.0)</f>
        <v>2</v>
      </c>
      <c r="AN1015" s="2" t="str">
        <f>IFERROR(__xludf.DUMMYFUNCTION("""COMPUTED_VALUE"""),"RCEF 24-04-15")</f>
        <v>RCEF 24-04-15</v>
      </c>
      <c r="AO1015" s="2">
        <f>IFERROR(__xludf.DUMMYFUNCTION("""COMPUTED_VALUE"""),6.0)</f>
        <v>6</v>
      </c>
      <c r="AP1015" s="2" t="str">
        <f>IFERROR(__xludf.DUMMYFUNCTION("""COMPUTED_VALUE"""),"FREE PMS")</f>
        <v>FREE PMS</v>
      </c>
      <c r="AQ1015" s="2"/>
      <c r="AR1015" s="2"/>
      <c r="AS1015" s="2"/>
      <c r="AT1015" s="2"/>
      <c r="AU1015" s="2"/>
      <c r="AV1015" s="2"/>
      <c r="AW1015" s="2"/>
      <c r="AX1015" s="2"/>
      <c r="AY1015" s="2"/>
      <c r="AZ1015" s="2"/>
      <c r="BA1015" s="2"/>
      <c r="BB1015" s="2"/>
    </row>
    <row r="1016">
      <c r="A1016" s="2">
        <f>IFERROR(__xludf.DUMMYFUNCTION("""COMPUTED_VALUE"""),1012.0)</f>
        <v>1012</v>
      </c>
      <c r="B1016" s="2" t="str">
        <f>IFERROR(__xludf.DUMMYFUNCTION("""COMPUTED_VALUE"""),"COMPLETED")</f>
        <v>COMPLETED</v>
      </c>
      <c r="C1016" s="74">
        <f>IFERROR(__xludf.DUMMYFUNCTION("""COMPUTED_VALUE"""),45816.0)</f>
        <v>45816</v>
      </c>
      <c r="D1016" s="71" t="str">
        <f>IFERROR(__xludf.DUMMYFUNCTION("""COMPUTED_VALUE"""),"ALACSAN SQ IRRIGATORS ASSOCIATION, INC")</f>
        <v>ALACSAN SQ IRRIGATORS ASSOCIATION, INC</v>
      </c>
      <c r="E1016" s="71" t="str">
        <f>IFERROR(__xludf.DUMMYFUNCTION("""COMPUTED_VALUE"""),"Alac, San Quintin, PANGASINAN")</f>
        <v>Alac, San Quintin, PANGASINAN</v>
      </c>
      <c r="F1016" s="2"/>
      <c r="G1016" s="2" t="str">
        <f>IFERROR(__xludf.DUMMYFUNCTION("""COMPUTED_VALUE"""),"0955-378-5021")</f>
        <v>0955-378-5021</v>
      </c>
      <c r="H1016" s="2">
        <f>IFERROR(__xludf.DUMMYFUNCTION("""COMPUTED_VALUE"""),48.0)</f>
        <v>48</v>
      </c>
      <c r="I1016" s="72" t="str">
        <f>IFERROR(__xludf.DUMMYFUNCTION("""COMPUTED_VALUE"""),"PMS")</f>
        <v>PMS</v>
      </c>
      <c r="J1016" s="72" t="str">
        <f>IFERROR(__xludf.DUMMYFUNCTION("""COMPUTED_VALUE"""),"PMS")</f>
        <v>PMS</v>
      </c>
      <c r="K1016" s="72" t="str">
        <f>IFERROR(__xludf.DUMMYFUNCTION("""COMPUTED_VALUE"""),"MYK: 1ST PMS (FREE)")</f>
        <v>MYK: 1ST PMS (FREE)</v>
      </c>
      <c r="L1016" s="72" t="str">
        <f>IFERROR(__xludf.DUMMYFUNCTION("""COMPUTED_VALUE"""),"ACS: REPLACE ENGINE OIL AND OIL FILTER")</f>
        <v>ACS: REPLACE ENGINE OIL AND OIL FILTER</v>
      </c>
      <c r="M1016" s="2"/>
      <c r="N1016" s="2" t="str">
        <f>IFERROR(__xludf.DUMMYFUNCTION("""COMPUTED_VALUE"""),"PARTS: OIL FILTER, ENGINE OIL")</f>
        <v>PARTS: OIL FILTER, ENGINE OIL</v>
      </c>
      <c r="O1016" s="2">
        <f>IFERROR(__xludf.DUMMYFUNCTION("""COMPUTED_VALUE"""),1406.0)</f>
        <v>1406</v>
      </c>
      <c r="P1016" s="2" t="str">
        <f>IFERROR(__xludf.DUMMYFUNCTION("""COMPUTED_VALUE"""),"1406-Alacsan sq Irrigators Association.pdf")</f>
        <v>1406-Alacsan sq Irrigators Association.pdf</v>
      </c>
      <c r="Q1016" s="2"/>
      <c r="R1016" s="74">
        <f>IFERROR(__xludf.DUMMYFUNCTION("""COMPUTED_VALUE"""),45818.0)</f>
        <v>45818</v>
      </c>
      <c r="S1016" s="2" t="str">
        <f>IFERROR(__xludf.DUMMYFUNCTION("""COMPUTED_VALUE"""),"JHP/ACS")</f>
        <v>JHP/ACS</v>
      </c>
      <c r="T1016" s="73" t="str">
        <f>IFERROR(__xludf.DUMMYFUNCTION("""COMPUTED_VALUE""")," N/A ")</f>
        <v>N/A</v>
      </c>
      <c r="U1016" s="73" t="str">
        <f>IFERROR(__xludf.DUMMYFUNCTION("""COMPUTED_VALUE""")," NO CHARGE ")</f>
        <v>NO CHARGE</v>
      </c>
      <c r="V1016" s="2"/>
      <c r="W1016" s="2" t="str">
        <f>IFERROR(__xludf.DUMMYFUNCTION("""COMPUTED_VALUE"""),"N/A")</f>
        <v>N/A</v>
      </c>
      <c r="X1016" s="2" t="str">
        <f>IFERROR(__xludf.DUMMYFUNCTION("""COMPUTED_VALUE"""),"N/A")</f>
        <v>N/A</v>
      </c>
      <c r="Y1016" s="2"/>
      <c r="Z1016" s="2"/>
      <c r="AA1016" s="2"/>
      <c r="AB1016" s="2"/>
      <c r="AC1016" s="2"/>
      <c r="AD1016" s="2"/>
      <c r="AE1016" s="2" t="str">
        <f>IFERROR(__xludf.DUMMYFUNCTION("""COMPUTED_VALUE"""),"Alacsan SQ Irregators Association INC..pdf")</f>
        <v>Alacsan SQ Irregators Association INC..pdf</v>
      </c>
      <c r="AF1016" s="2"/>
      <c r="AG1016" s="2"/>
      <c r="AH1016" s="2"/>
      <c r="AI1016" s="2"/>
      <c r="AJ1016" s="2" t="str">
        <f>IFERROR(__xludf.DUMMYFUNCTION("""COMPUTED_VALUE"""),"Alac")</f>
        <v>Alac</v>
      </c>
      <c r="AK1016" s="2" t="str">
        <f>IFERROR(__xludf.DUMMYFUNCTION("""COMPUTED_VALUE"""),"San Quintin")</f>
        <v>San Quintin</v>
      </c>
      <c r="AL1016" s="2" t="str">
        <f>IFERROR(__xludf.DUMMYFUNCTION("""COMPUTED_VALUE"""),"Pangasinan")</f>
        <v>Pangasinan</v>
      </c>
      <c r="AM1016" s="2">
        <f>IFERROR(__xludf.DUMMYFUNCTION("""COMPUTED_VALUE"""),1.0)</f>
        <v>1</v>
      </c>
      <c r="AN1016" s="2" t="str">
        <f>IFERROR(__xludf.DUMMYFUNCTION("""COMPUTED_VALUE"""),"Repeat Order")</f>
        <v>Repeat Order</v>
      </c>
      <c r="AO1016" s="2">
        <f>IFERROR(__xludf.DUMMYFUNCTION("""COMPUTED_VALUE"""),6.0)</f>
        <v>6</v>
      </c>
      <c r="AP1016" s="2" t="str">
        <f>IFERROR(__xludf.DUMMYFUNCTION("""COMPUTED_VALUE"""),"FREE PMS")</f>
        <v>FREE PMS</v>
      </c>
      <c r="AQ1016" s="2"/>
      <c r="AR1016" s="2"/>
      <c r="AS1016" s="2"/>
      <c r="AT1016" s="2"/>
      <c r="AU1016" s="2"/>
      <c r="AV1016" s="2"/>
      <c r="AW1016" s="2"/>
      <c r="AX1016" s="2"/>
      <c r="AY1016" s="2"/>
      <c r="AZ1016" s="2"/>
      <c r="BA1016" s="2"/>
      <c r="BB1016" s="2"/>
    </row>
    <row r="1017">
      <c r="A1017" s="2">
        <f>IFERROR(__xludf.DUMMYFUNCTION("""COMPUTED_VALUE"""),1013.0)</f>
        <v>1013</v>
      </c>
      <c r="B1017" s="2" t="str">
        <f>IFERROR(__xludf.DUMMYFUNCTION("""COMPUTED_VALUE"""),"COMPLETED")</f>
        <v>COMPLETED</v>
      </c>
      <c r="C1017" s="74">
        <f>IFERROR(__xludf.DUMMYFUNCTION("""COMPUTED_VALUE"""),45817.0)</f>
        <v>45817</v>
      </c>
      <c r="D1017" s="71" t="str">
        <f>IFERROR(__xludf.DUMMYFUNCTION("""COMPUTED_VALUE"""),"SAN CRISTOBAL FARMERS IRRIGATORS' ASSOCIATION, INC.")</f>
        <v>SAN CRISTOBAL FARMERS IRRIGATORS' ASSOCIATION, INC.</v>
      </c>
      <c r="E1017" s="71" t="str">
        <f>IFERROR(__xludf.DUMMYFUNCTION("""COMPUTED_VALUE"""),"San Cristobal, Licab, NUEVA ECIJA")</f>
        <v>San Cristobal, Licab, NUEVA ECIJA</v>
      </c>
      <c r="F1017" s="2" t="str">
        <f>IFERROR(__xludf.DUMMYFUNCTION("""COMPUTED_VALUE"""),"ALFREDO M LOZANO")</f>
        <v>ALFREDO M LOZANO</v>
      </c>
      <c r="G1017" s="2">
        <f>IFERROR(__xludf.DUMMYFUNCTION("""COMPUTED_VALUE"""),9.506409554E9)</f>
        <v>9506409554</v>
      </c>
      <c r="H1017" s="2">
        <f>IFERROR(__xludf.DUMMYFUNCTION("""COMPUTED_VALUE"""),478.0)</f>
        <v>478</v>
      </c>
      <c r="I1017" s="72" t="str">
        <f>IFERROR(__xludf.DUMMYFUNCTION("""COMPUTED_VALUE"""),"SPARE PARTS ACQUISITION")</f>
        <v>SPARE PARTS ACQUISITION</v>
      </c>
      <c r="J1017" s="72" t="str">
        <f>IFERROR(__xludf.DUMMYFUNCTION("""COMPUTED_VALUE"""),"SPARE PARTS ACQUISITION")</f>
        <v>SPARE PARTS ACQUISITION</v>
      </c>
      <c r="K1017" s="72" t="str">
        <f>IFERROR(__xludf.DUMMYFUNCTION("""COMPUTED_VALUE"""),"PARTS: BEVEL GEAR  24T , PINION GEAR 11T")</f>
        <v>PARTS: BEVEL GEAR  24T , PINION GEAR 11T</v>
      </c>
      <c r="L1017" s="72" t="str">
        <f>IFERROR(__xludf.DUMMYFUNCTION("""COMPUTED_VALUE"""),"QUOTATION SENT: DELIVERED")</f>
        <v>QUOTATION SENT: DELIVERED</v>
      </c>
      <c r="M1017" s="2"/>
      <c r="N1017" s="2" t="str">
        <f>IFERROR(__xludf.DUMMYFUNCTION("""COMPUTED_VALUE"""),"PARTS: BEVEL GEAR 24T, PINION GEAR 11T")</f>
        <v>PARTS: BEVEL GEAR 24T, PINION GEAR 11T</v>
      </c>
      <c r="O1017" s="2" t="str">
        <f>IFERROR(__xludf.DUMMYFUNCTION("""COMPUTED_VALUE"""),"N/A")</f>
        <v>N/A</v>
      </c>
      <c r="P1017" s="2"/>
      <c r="Q1017" s="2"/>
      <c r="R1017" s="74">
        <f>IFERROR(__xludf.DUMMYFUNCTION("""COMPUTED_VALUE"""),45836.0)</f>
        <v>45836</v>
      </c>
      <c r="S1017" s="2" t="str">
        <f>IFERROR(__xludf.DUMMYFUNCTION("""COMPUTED_VALUE"""),"CTF")</f>
        <v>CTF</v>
      </c>
      <c r="T1017" s="73">
        <f>IFERROR(__xludf.DUMMYFUNCTION("""COMPUTED_VALUE"""),21000.0)</f>
        <v>21000</v>
      </c>
      <c r="U1017" s="73" t="str">
        <f>IFERROR(__xludf.DUMMYFUNCTION("""COMPUTED_VALUE""")," FOR REMIT ")</f>
        <v>FOR REMIT</v>
      </c>
      <c r="V1017" s="2"/>
      <c r="W1017" s="2" t="str">
        <f>IFERROR(__xludf.DUMMYFUNCTION("""COMPUTED_VALUE"""),"NO CR YET")</f>
        <v>NO CR YET</v>
      </c>
      <c r="X1017" s="2"/>
      <c r="Y1017" s="2" t="str">
        <f>IFERROR(__xludf.DUMMYFUNCTION("""COMPUTED_VALUE"""),"as per cayle, already remitted to sushi")</f>
        <v>as per cayle, already remitted to sushi</v>
      </c>
      <c r="Z1017" s="2"/>
      <c r="AA1017" s="2"/>
      <c r="AB1017" s="2"/>
      <c r="AC1017" s="2"/>
      <c r="AD1017" s="2"/>
      <c r="AE1017" s="2"/>
      <c r="AF1017" s="2"/>
      <c r="AG1017" s="2"/>
      <c r="AH1017" s="2"/>
      <c r="AI1017" s="2"/>
      <c r="AJ1017" s="2" t="str">
        <f>IFERROR(__xludf.DUMMYFUNCTION("""COMPUTED_VALUE"""),"San Cristobal")</f>
        <v>San Cristobal</v>
      </c>
      <c r="AK1017" s="2" t="str">
        <f>IFERROR(__xludf.DUMMYFUNCTION("""COMPUTED_VALUE"""),"Licab")</f>
        <v>Licab</v>
      </c>
      <c r="AL1017" s="2" t="str">
        <f>IFERROR(__xludf.DUMMYFUNCTION("""COMPUTED_VALUE"""),"Nueva Ecija")</f>
        <v>Nueva Ecija</v>
      </c>
      <c r="AM1017" s="2">
        <f>IFERROR(__xludf.DUMMYFUNCTION("""COMPUTED_VALUE"""),3.0)</f>
        <v>3</v>
      </c>
      <c r="AN1017" s="2" t="str">
        <f>IFERROR(__xludf.DUMMYFUNCTION("""COMPUTED_VALUE"""),"RCEF 23-09-21 Rebidding")</f>
        <v>RCEF 23-09-21 Rebidding</v>
      </c>
      <c r="AO1017" s="2">
        <f>IFERROR(__xludf.DUMMYFUNCTION("""COMPUTED_VALUE"""),3.0)</f>
        <v>3</v>
      </c>
      <c r="AP1017" s="2"/>
      <c r="AQ1017" s="2"/>
      <c r="AR1017" s="2"/>
      <c r="AS1017" s="2"/>
      <c r="AT1017" s="2"/>
      <c r="AU1017" s="2"/>
      <c r="AV1017" s="2"/>
      <c r="AW1017" s="2"/>
      <c r="AX1017" s="2"/>
      <c r="AY1017" s="2"/>
      <c r="AZ1017" s="2"/>
      <c r="BA1017" s="2"/>
      <c r="BB1017" s="2"/>
    </row>
    <row r="1018">
      <c r="A1018" s="2">
        <f>IFERROR(__xludf.DUMMYFUNCTION("""COMPUTED_VALUE"""),1014.0)</f>
        <v>1014</v>
      </c>
      <c r="B1018" s="2" t="str">
        <f>IFERROR(__xludf.DUMMYFUNCTION("""COMPUTED_VALUE"""),"COMPLETED")</f>
        <v>COMPLETED</v>
      </c>
      <c r="C1018" s="74">
        <f>IFERROR(__xludf.DUMMYFUNCTION("""COMPUTED_VALUE"""),45817.0)</f>
        <v>45817</v>
      </c>
      <c r="D1018" s="71" t="str">
        <f>IFERROR(__xludf.DUMMYFUNCTION("""COMPUTED_VALUE"""),"Cabilauan Farmers Association")</f>
        <v>Cabilauan Farmers Association</v>
      </c>
      <c r="E1018" s="71" t="str">
        <f>IFERROR(__xludf.DUMMYFUNCTION("""COMPUTED_VALUE"""),"Cabilauan, New Lucena, ILOILO")</f>
        <v>Cabilauan, New Lucena, ILOILO</v>
      </c>
      <c r="F1018" s="2" t="str">
        <f>IFERROR(__xludf.DUMMYFUNCTION("""COMPUTED_VALUE"""),"Cecilio Niego")</f>
        <v>Cecilio Niego</v>
      </c>
      <c r="G1018" s="2">
        <f>IFERROR(__xludf.DUMMYFUNCTION("""COMPUTED_VALUE"""),9.101237802E9)</f>
        <v>9101237802</v>
      </c>
      <c r="H1018" s="2">
        <f>IFERROR(__xludf.DUMMYFUNCTION("""COMPUTED_VALUE"""),1145.0)</f>
        <v>1145</v>
      </c>
      <c r="I1018" s="72" t="str">
        <f>IFERROR(__xludf.DUMMYFUNCTION("""COMPUTED_VALUE"""),"REPAIR - TRACTOR")</f>
        <v>REPAIR - TRACTOR</v>
      </c>
      <c r="J1018" s="72" t="str">
        <f>IFERROR(__xludf.DUMMYFUNCTION("""COMPUTED_VALUE"""),"Hydraulic Hose Leak")</f>
        <v>Hydraulic Hose Leak</v>
      </c>
      <c r="K1018" s="72" t="str">
        <f>IFERROR(__xludf.DUMMYFUNCTION("""COMPUTED_VALUE"""),"MYK:May damage ang hydrolic hose, nag leak ang hyddrolic oil, kailangan ang replacement ,saan pwede ma ka   bili.")</f>
        <v>MYK:May damage ang hydrolic hose, nag leak ang hyddrolic oil, kailangan ang replacement ,saan pwede ma ka   bili.</v>
      </c>
      <c r="L1018" s="72" t="str">
        <f>IFERROR(__xludf.DUMMYFUNCTION("""COMPUTED_VALUE"""),"MYK: CLOSE NA DAHIL NAKA PAG OUT SOURCE NA SI CLIENT")</f>
        <v>MYK: CLOSE NA DAHIL NAKA PAG OUT SOURCE NA SI CLIENT</v>
      </c>
      <c r="M1018" s="2"/>
      <c r="N1018" s="2"/>
      <c r="O1018" s="2" t="str">
        <f>IFERROR(__xludf.DUMMYFUNCTION("""COMPUTED_VALUE"""),"N/A")</f>
        <v>N/A</v>
      </c>
      <c r="P1018" s="2"/>
      <c r="Q1018" s="2"/>
      <c r="R1018" s="74">
        <f>IFERROR(__xludf.DUMMYFUNCTION("""COMPUTED_VALUE"""),45817.0)</f>
        <v>45817</v>
      </c>
      <c r="S1018" s="2" t="str">
        <f>IFERROR(__xludf.DUMMYFUNCTION("""COMPUTED_VALUE"""),"MYKEE")</f>
        <v>MYKEE</v>
      </c>
      <c r="T1018" s="73" t="str">
        <f>IFERROR(__xludf.DUMMYFUNCTION("""COMPUTED_VALUE""")," N/A ")</f>
        <v>N/A</v>
      </c>
      <c r="U1018" s="73" t="str">
        <f>IFERROR(__xludf.DUMMYFUNCTION("""COMPUTED_VALUE""")," NO CHARGE ")</f>
        <v>NO CHARGE</v>
      </c>
      <c r="V1018" s="2"/>
      <c r="W1018" s="2" t="str">
        <f>IFERROR(__xludf.DUMMYFUNCTION("""COMPUTED_VALUE"""),"N/A")</f>
        <v>N/A</v>
      </c>
      <c r="X1018" s="2" t="str">
        <f>IFERROR(__xludf.DUMMYFUNCTION("""COMPUTED_VALUE"""),"N/A")</f>
        <v>N/A</v>
      </c>
      <c r="Y1018" s="2"/>
      <c r="Z1018" s="2"/>
      <c r="AA1018" s="2"/>
      <c r="AB1018" s="2"/>
      <c r="AC1018" s="2"/>
      <c r="AD1018" s="2"/>
      <c r="AE1018" s="2"/>
      <c r="AF1018" s="2"/>
      <c r="AG1018" s="2"/>
      <c r="AH1018" s="2"/>
      <c r="AI1018" s="2"/>
      <c r="AJ1018" s="2" t="str">
        <f>IFERROR(__xludf.DUMMYFUNCTION("""COMPUTED_VALUE"""),"Cabilauan")</f>
        <v>Cabilauan</v>
      </c>
      <c r="AK1018" s="2" t="str">
        <f>IFERROR(__xludf.DUMMYFUNCTION("""COMPUTED_VALUE"""),"New Lucena")</f>
        <v>New Lucena</v>
      </c>
      <c r="AL1018" s="2" t="str">
        <f>IFERROR(__xludf.DUMMYFUNCTION("""COMPUTED_VALUE"""),"Iloilo")</f>
        <v>Iloilo</v>
      </c>
      <c r="AM1018" s="2">
        <f>IFERROR(__xludf.DUMMYFUNCTION("""COMPUTED_VALUE"""),6.0)</f>
        <v>6</v>
      </c>
      <c r="AN1018" s="2" t="str">
        <f>IFERROR(__xludf.DUMMYFUNCTION("""COMPUTED_VALUE"""),"RCEF 23-09-21 Rebidding")</f>
        <v>RCEF 23-09-21 Rebidding</v>
      </c>
      <c r="AO1018" s="2">
        <f>IFERROR(__xludf.DUMMYFUNCTION("""COMPUTED_VALUE"""),4.0)</f>
        <v>4</v>
      </c>
      <c r="AP1018" s="2"/>
      <c r="AQ1018" s="2"/>
      <c r="AR1018" s="2"/>
      <c r="AS1018" s="2"/>
      <c r="AT1018" s="2"/>
      <c r="AU1018" s="2"/>
      <c r="AV1018" s="2"/>
      <c r="AW1018" s="2"/>
      <c r="AX1018" s="2"/>
      <c r="AY1018" s="2"/>
      <c r="AZ1018" s="2"/>
      <c r="BA1018" s="2"/>
      <c r="BB1018" s="2"/>
    </row>
    <row r="1019">
      <c r="A1019" s="2">
        <f>IFERROR(__xludf.DUMMYFUNCTION("""COMPUTED_VALUE"""),1015.0)</f>
        <v>1015</v>
      </c>
      <c r="B1019" s="2" t="str">
        <f>IFERROR(__xludf.DUMMYFUNCTION("""COMPUTED_VALUE"""),"COMPLETED")</f>
        <v>COMPLETED</v>
      </c>
      <c r="C1019" s="74">
        <f>IFERROR(__xludf.DUMMYFUNCTION("""COMPUTED_VALUE"""),45817.0)</f>
        <v>45817</v>
      </c>
      <c r="D1019" s="71" t="str">
        <f>IFERROR(__xludf.DUMMYFUNCTION("""COMPUTED_VALUE"""),"Asingan")</f>
        <v>Asingan</v>
      </c>
      <c r="E1019" s="71" t="str">
        <f>IFERROR(__xludf.DUMMYFUNCTION("""COMPUTED_VALUE""")," ")</f>
        <v> </v>
      </c>
      <c r="F1019" s="2" t="str">
        <f>IFERROR(__xludf.DUMMYFUNCTION("""COMPUTED_VALUE"""),"ASINGAN MITURA FARMERS IRRIGATORS
VINCENTE AQUINO")</f>
        <v>ASINGAN MITURA FARMERS IRRIGATORS
VINCENTE AQUINO</v>
      </c>
      <c r="G1019" s="2">
        <f>IFERROR(__xludf.DUMMYFUNCTION("""COMPUTED_VALUE"""),9.308304644E9)</f>
        <v>9308304644</v>
      </c>
      <c r="H1019" s="2"/>
      <c r="I1019" s="72" t="str">
        <f>IFERROR(__xludf.DUMMYFUNCTION("""COMPUTED_VALUE"""),"REPAIR - TRACTOR")</f>
        <v>REPAIR - TRACTOR</v>
      </c>
      <c r="J1019" s="72" t="str">
        <f>IFERROR(__xludf.DUMMYFUNCTION("""COMPUTED_VALUE"""),"light")</f>
        <v>light</v>
      </c>
      <c r="K1019" s="72" t="str">
        <f>IFERROR(__xludf.DUMMYFUNCTION("""COMPUTED_VALUE"""),"MYK: PWEDE MA CHECK YUNG UNIT DAHIL WALANG ILAW YUNG RIGHT SIDE HEADLIGHT")</f>
        <v>MYK: PWEDE MA CHECK YUNG UNIT DAHIL WALANG ILAW YUNG RIGHT SIDE HEADLIGHT</v>
      </c>
      <c r="L1019" s="72" t="str">
        <f>IFERROR(__xludf.DUMMYFUNCTION("""COMPUTED_VALUE"""),"JHP: REPLACED HEADLIGHT VALVE")</f>
        <v>JHP: REPLACED HEADLIGHT VALVE</v>
      </c>
      <c r="M1019" s="2"/>
      <c r="N1019" s="2"/>
      <c r="O1019" s="2">
        <f>IFERROR(__xludf.DUMMYFUNCTION("""COMPUTED_VALUE"""),1405.0)</f>
        <v>1405</v>
      </c>
      <c r="P1019" s="2"/>
      <c r="Q1019" s="2"/>
      <c r="R1019" s="74">
        <f>IFERROR(__xludf.DUMMYFUNCTION("""COMPUTED_VALUE"""),45818.0)</f>
        <v>45818</v>
      </c>
      <c r="S1019" s="2" t="str">
        <f>IFERROR(__xludf.DUMMYFUNCTION("""COMPUTED_VALUE"""),"JHP/ACS")</f>
        <v>JHP/ACS</v>
      </c>
      <c r="T1019" s="73" t="str">
        <f>IFERROR(__xludf.DUMMYFUNCTION("""COMPUTED_VALUE""")," N/A ")</f>
        <v>N/A</v>
      </c>
      <c r="U1019" s="73" t="str">
        <f>IFERROR(__xludf.DUMMYFUNCTION("""COMPUTED_VALUE""")," NO CHARGE ")</f>
        <v>NO CHARGE</v>
      </c>
      <c r="V1019" s="2"/>
      <c r="W1019" s="2" t="str">
        <f>IFERROR(__xludf.DUMMYFUNCTION("""COMPUTED_VALUE"""),"N/A")</f>
        <v>N/A</v>
      </c>
      <c r="X1019" s="2" t="str">
        <f>IFERROR(__xludf.DUMMYFUNCTION("""COMPUTED_VALUE"""),"N/A")</f>
        <v>N/A</v>
      </c>
      <c r="Y1019" s="2"/>
      <c r="Z1019" s="2"/>
      <c r="AA1019" s="2"/>
      <c r="AB1019" s="2"/>
      <c r="AC1019" s="2"/>
      <c r="AD1019" s="2"/>
      <c r="AE1019" s="2"/>
      <c r="AF1019" s="2"/>
      <c r="AG1019" s="2"/>
      <c r="AH1019" s="2"/>
      <c r="AI1019" s="2"/>
      <c r="AJ1019" s="2" t="str">
        <f>IFERROR(__xludf.DUMMYFUNCTION("""COMPUTED_VALUE"""),"")</f>
        <v/>
      </c>
      <c r="AK1019" s="2" t="str">
        <f>IFERROR(__xludf.DUMMYFUNCTION("""COMPUTED_VALUE"""),"")</f>
        <v/>
      </c>
      <c r="AL1019" s="2" t="str">
        <f>IFERROR(__xludf.DUMMYFUNCTION("""COMPUTED_VALUE"""),"")</f>
        <v/>
      </c>
      <c r="AM1019" s="2" t="str">
        <f>IFERROR(__xludf.DUMMYFUNCTION("""COMPUTED_VALUE"""),"")</f>
        <v/>
      </c>
      <c r="AN1019" s="2" t="str">
        <f>IFERROR(__xludf.DUMMYFUNCTION("""COMPUTED_VALUE""")," ")</f>
        <v> </v>
      </c>
      <c r="AO1019" s="2" t="str">
        <f>IFERROR(__xludf.DUMMYFUNCTION("""COMPUTED_VALUE""")," ")</f>
        <v> </v>
      </c>
      <c r="AP1019" s="2" t="str">
        <f>IFERROR(__xludf.DUMMYFUNCTION("""COMPUTED_VALUE"""),"")</f>
        <v/>
      </c>
      <c r="AQ1019" s="2"/>
      <c r="AR1019" s="2"/>
      <c r="AS1019" s="2"/>
      <c r="AT1019" s="2"/>
      <c r="AU1019" s="2"/>
      <c r="AV1019" s="2"/>
      <c r="AW1019" s="2"/>
      <c r="AX1019" s="2"/>
      <c r="AY1019" s="2"/>
      <c r="AZ1019" s="2"/>
      <c r="BA1019" s="2"/>
      <c r="BB1019" s="2"/>
    </row>
    <row r="1020">
      <c r="A1020" s="2">
        <f>IFERROR(__xludf.DUMMYFUNCTION("""COMPUTED_VALUE"""),1016.0)</f>
        <v>1016</v>
      </c>
      <c r="B1020" s="2" t="str">
        <f>IFERROR(__xludf.DUMMYFUNCTION("""COMPUTED_VALUE"""),"COMPLETED")</f>
        <v>COMPLETED</v>
      </c>
      <c r="C1020" s="74">
        <f>IFERROR(__xludf.DUMMYFUNCTION("""COMPUTED_VALUE"""),45817.0)</f>
        <v>45817</v>
      </c>
      <c r="D1020" s="71" t="str">
        <f>IFERROR(__xludf.DUMMYFUNCTION("""COMPUTED_VALUE"""),"CASILAGAN-BALACONG IRRIGATORS' ASSOCIATION, INC.")</f>
        <v>CASILAGAN-BALACONG IRRIGATORS' ASSOCIATION, INC.</v>
      </c>
      <c r="E1020" s="71" t="str">
        <f>IFERROR(__xludf.DUMMYFUNCTION("""COMPUTED_VALUE"""),"Cabeseria 14 and 16 (Casilagan), Ilagan City, ISABELA")</f>
        <v>Cabeseria 14 and 16 (Casilagan), Ilagan City, ISABELA</v>
      </c>
      <c r="F1020" s="2" t="str">
        <f>IFERROR(__xludf.DUMMYFUNCTION("""COMPUTED_VALUE"""),"JOEL E BUENO")</f>
        <v>JOEL E BUENO</v>
      </c>
      <c r="G1020" s="2">
        <f>IFERROR(__xludf.DUMMYFUNCTION("""COMPUTED_VALUE"""),9.061553332E9)</f>
        <v>9061553332</v>
      </c>
      <c r="H1020" s="2">
        <f>IFERROR(__xludf.DUMMYFUNCTION("""COMPUTED_VALUE"""),50.0)</f>
        <v>50</v>
      </c>
      <c r="I1020" s="72" t="str">
        <f>IFERROR(__xludf.DUMMYFUNCTION("""COMPUTED_VALUE"""),"PMS")</f>
        <v>PMS</v>
      </c>
      <c r="J1020" s="72" t="str">
        <f>IFERROR(__xludf.DUMMYFUNCTION("""COMPUTED_VALUE"""),"PMS")</f>
        <v>PMS</v>
      </c>
      <c r="K1020" s="72" t="str">
        <f>IFERROR(__xludf.DUMMYFUNCTION("""COMPUTED_VALUE"""),"MYK: 1ST PMS (FREE)")</f>
        <v>MYK: 1ST PMS (FREE)</v>
      </c>
      <c r="L1020" s="72" t="str">
        <f>IFERROR(__xludf.DUMMYFUNCTION("""COMPUTED_VALUE"""),"CFG: 1ST PMS DONE")</f>
        <v>CFG: 1ST PMS DONE</v>
      </c>
      <c r="M1020" s="2"/>
      <c r="N1020" s="2" t="str">
        <f>IFERROR(__xludf.DUMMYFUNCTION("""COMPUTED_VALUE"""),"PARTS: OIL FILTER, ENGINE OIL")</f>
        <v>PARTS: OIL FILTER, ENGINE OIL</v>
      </c>
      <c r="O1020" s="2">
        <f>IFERROR(__xludf.DUMMYFUNCTION("""COMPUTED_VALUE"""),1410.0)</f>
        <v>1410</v>
      </c>
      <c r="P1020" s="2"/>
      <c r="Q1020" s="2"/>
      <c r="R1020" s="74">
        <f>IFERROR(__xludf.DUMMYFUNCTION("""COMPUTED_VALUE"""),45840.0)</f>
        <v>45840</v>
      </c>
      <c r="S1020" s="2" t="str">
        <f>IFERROR(__xludf.DUMMYFUNCTION("""COMPUTED_VALUE"""),"JHP/CFG")</f>
        <v>JHP/CFG</v>
      </c>
      <c r="T1020" s="73" t="str">
        <f>IFERROR(__xludf.DUMMYFUNCTION("""COMPUTED_VALUE""")," N/A ")</f>
        <v>N/A</v>
      </c>
      <c r="U1020" s="73" t="str">
        <f>IFERROR(__xludf.DUMMYFUNCTION("""COMPUTED_VALUE""")," NO CHARGE ")</f>
        <v>NO CHARGE</v>
      </c>
      <c r="V1020" s="2"/>
      <c r="W1020" s="2" t="str">
        <f>IFERROR(__xludf.DUMMYFUNCTION("""COMPUTED_VALUE"""),"N/A")</f>
        <v>N/A</v>
      </c>
      <c r="X1020" s="2" t="str">
        <f>IFERROR(__xludf.DUMMYFUNCTION("""COMPUTED_VALUE"""),"N/A")</f>
        <v>N/A</v>
      </c>
      <c r="Y1020" s="2"/>
      <c r="Z1020" s="2"/>
      <c r="AA1020" s="2"/>
      <c r="AB1020" s="2"/>
      <c r="AC1020" s="2"/>
      <c r="AD1020" s="2"/>
      <c r="AE1020" s="2"/>
      <c r="AF1020" s="2"/>
      <c r="AG1020" s="2"/>
      <c r="AH1020" s="2"/>
      <c r="AI1020" s="2"/>
      <c r="AJ1020" s="2" t="str">
        <f>IFERROR(__xludf.DUMMYFUNCTION("""COMPUTED_VALUE"""),"Cabeseria 14 And 16 (Casilagan)")</f>
        <v>Cabeseria 14 And 16 (Casilagan)</v>
      </c>
      <c r="AK1020" s="2" t="str">
        <f>IFERROR(__xludf.DUMMYFUNCTION("""COMPUTED_VALUE"""),"Ilagan City")</f>
        <v>Ilagan City</v>
      </c>
      <c r="AL1020" s="2" t="str">
        <f>IFERROR(__xludf.DUMMYFUNCTION("""COMPUTED_VALUE"""),"Isabela")</f>
        <v>Isabela</v>
      </c>
      <c r="AM1020" s="2">
        <f>IFERROR(__xludf.DUMMYFUNCTION("""COMPUTED_VALUE"""),2.0)</f>
        <v>2</v>
      </c>
      <c r="AN1020" s="2" t="str">
        <f>IFERROR(__xludf.DUMMYFUNCTION("""COMPUTED_VALUE"""),"Repeat Order")</f>
        <v>Repeat Order</v>
      </c>
      <c r="AO1020" s="2">
        <f>IFERROR(__xludf.DUMMYFUNCTION("""COMPUTED_VALUE"""),6.0)</f>
        <v>6</v>
      </c>
      <c r="AP1020" s="2" t="str">
        <f>IFERROR(__xludf.DUMMYFUNCTION("""COMPUTED_VALUE"""),"FREE PMS")</f>
        <v>FREE PMS</v>
      </c>
      <c r="AQ1020" s="2"/>
      <c r="AR1020" s="2"/>
      <c r="AS1020" s="2"/>
      <c r="AT1020" s="2"/>
      <c r="AU1020" s="2"/>
      <c r="AV1020" s="2"/>
      <c r="AW1020" s="2"/>
      <c r="AX1020" s="2"/>
      <c r="AY1020" s="2"/>
      <c r="AZ1020" s="2"/>
      <c r="BA1020" s="2"/>
      <c r="BB1020" s="2"/>
    </row>
    <row r="1021">
      <c r="A1021" s="2">
        <f>IFERROR(__xludf.DUMMYFUNCTION("""COMPUTED_VALUE"""),1017.0)</f>
        <v>1017</v>
      </c>
      <c r="B1021" s="2" t="str">
        <f>IFERROR(__xludf.DUMMYFUNCTION("""COMPUTED_VALUE"""),"COMPLETED")</f>
        <v>COMPLETED</v>
      </c>
      <c r="C1021" s="74">
        <f>IFERROR(__xludf.DUMMYFUNCTION("""COMPUTED_VALUE"""),45819.0)</f>
        <v>45819</v>
      </c>
      <c r="D1021" s="71" t="str">
        <f>IFERROR(__xludf.DUMMYFUNCTION("""COMPUTED_VALUE"""),"Samahan ng Magsasaka ng Calios(SAMACA)")</f>
        <v>Samahan ng Magsasaka ng Calios(SAMACA)</v>
      </c>
      <c r="E1021" s="71" t="str">
        <f>IFERROR(__xludf.DUMMYFUNCTION("""COMPUTED_VALUE"""),"Calios, Santa Cruz, LAGUNA")</f>
        <v>Calios, Santa Cruz, LAGUNA</v>
      </c>
      <c r="F1021" s="2" t="str">
        <f>IFERROR(__xludf.DUMMYFUNCTION("""COMPUTED_VALUE"""),"Rener Garcia")</f>
        <v>Rener Garcia</v>
      </c>
      <c r="G1021" s="2">
        <f>IFERROR(__xludf.DUMMYFUNCTION("""COMPUTED_VALUE"""),9.652787518E9)</f>
        <v>9652787518</v>
      </c>
      <c r="H1021" s="2">
        <f>IFERROR(__xludf.DUMMYFUNCTION("""COMPUTED_VALUE"""),41.0)</f>
        <v>41</v>
      </c>
      <c r="I1021" s="72" t="str">
        <f>IFERROR(__xludf.DUMMYFUNCTION("""COMPUTED_VALUE"""),"PMS")</f>
        <v>PMS</v>
      </c>
      <c r="J1021" s="72" t="str">
        <f>IFERROR(__xludf.DUMMYFUNCTION("""COMPUTED_VALUE"""),"PMS")</f>
        <v>PMS</v>
      </c>
      <c r="K1021" s="72" t="str">
        <f>IFERROR(__xludf.DUMMYFUNCTION("""COMPUTED_VALUE"""),"KFS: 1ST PMS FREE")</f>
        <v>KFS: 1ST PMS FREE</v>
      </c>
      <c r="L1021" s="72" t="str">
        <f>IFERROR(__xludf.DUMMYFUNCTION("""COMPUTED_VALUE"""),"JTT: 1ST PMS DONE")</f>
        <v>JTT: 1ST PMS DONE</v>
      </c>
      <c r="M1021" s="2"/>
      <c r="N1021" s="2" t="str">
        <f>IFERROR(__xludf.DUMMYFUNCTION("""COMPUTED_VALUE"""),"PARTS: OIL FILTER, ENGINE OIL")</f>
        <v>PARTS: OIL FILTER, ENGINE OIL</v>
      </c>
      <c r="O1021" s="2" t="str">
        <f>IFERROR(__xludf.DUMMYFUNCTION("""COMPUTED_VALUE"""),"NEED SERVICE REPORT")</f>
        <v>NEED SERVICE REPORT</v>
      </c>
      <c r="P1021" s="2"/>
      <c r="Q1021" s="2"/>
      <c r="R1021" s="74">
        <f>IFERROR(__xludf.DUMMYFUNCTION("""COMPUTED_VALUE"""),45824.0)</f>
        <v>45824</v>
      </c>
      <c r="S1021" s="2" t="str">
        <f>IFERROR(__xludf.DUMMYFUNCTION("""COMPUTED_VALUE"""),"JTT")</f>
        <v>JTT</v>
      </c>
      <c r="T1021" s="73" t="str">
        <f>IFERROR(__xludf.DUMMYFUNCTION("""COMPUTED_VALUE""")," N/A ")</f>
        <v>N/A</v>
      </c>
      <c r="U1021" s="73" t="str">
        <f>IFERROR(__xludf.DUMMYFUNCTION("""COMPUTED_VALUE""")," NO CHARGE ")</f>
        <v>NO CHARGE</v>
      </c>
      <c r="V1021" s="2"/>
      <c r="W1021" s="2" t="str">
        <f>IFERROR(__xludf.DUMMYFUNCTION("""COMPUTED_VALUE"""),"N/A")</f>
        <v>N/A</v>
      </c>
      <c r="X1021" s="2" t="str">
        <f>IFERROR(__xludf.DUMMYFUNCTION("""COMPUTED_VALUE"""),"N/A")</f>
        <v>N/A</v>
      </c>
      <c r="Y1021" s="2"/>
      <c r="Z1021" s="2"/>
      <c r="AA1021" s="2"/>
      <c r="AB1021" s="2"/>
      <c r="AC1021" s="2"/>
      <c r="AD1021" s="2"/>
      <c r="AE1021" s="2"/>
      <c r="AF1021" s="2"/>
      <c r="AG1021" s="2"/>
      <c r="AH1021" s="2"/>
      <c r="AI1021" s="2"/>
      <c r="AJ1021" s="2" t="str">
        <f>IFERROR(__xludf.DUMMYFUNCTION("""COMPUTED_VALUE"""),"Calios")</f>
        <v>Calios</v>
      </c>
      <c r="AK1021" s="2" t="str">
        <f>IFERROR(__xludf.DUMMYFUNCTION("""COMPUTED_VALUE"""),"Santa Cruz")</f>
        <v>Santa Cruz</v>
      </c>
      <c r="AL1021" s="2" t="str">
        <f>IFERROR(__xludf.DUMMYFUNCTION("""COMPUTED_VALUE"""),"Laguna")</f>
        <v>Laguna</v>
      </c>
      <c r="AM1021" s="2" t="str">
        <f>IFERROR(__xludf.DUMMYFUNCTION("""COMPUTED_VALUE"""),"4A")</f>
        <v>4A</v>
      </c>
      <c r="AN1021" s="2" t="str">
        <f>IFERROR(__xludf.DUMMYFUNCTION("""COMPUTED_VALUE"""),"Repeat Order")</f>
        <v>Repeat Order</v>
      </c>
      <c r="AO1021" s="2">
        <f>IFERROR(__xludf.DUMMYFUNCTION("""COMPUTED_VALUE"""),7.0)</f>
        <v>7</v>
      </c>
      <c r="AP1021" s="2" t="str">
        <f>IFERROR(__xludf.DUMMYFUNCTION("""COMPUTED_VALUE"""),"FREE PMS")</f>
        <v>FREE PMS</v>
      </c>
      <c r="AQ1021" s="2"/>
      <c r="AR1021" s="2"/>
      <c r="AS1021" s="2"/>
      <c r="AT1021" s="2"/>
      <c r="AU1021" s="2"/>
      <c r="AV1021" s="2"/>
      <c r="AW1021" s="2"/>
      <c r="AX1021" s="2"/>
      <c r="AY1021" s="2"/>
      <c r="AZ1021" s="2"/>
      <c r="BA1021" s="2"/>
      <c r="BB1021" s="2"/>
    </row>
    <row r="1022">
      <c r="A1022" s="2">
        <f>IFERROR(__xludf.DUMMYFUNCTION("""COMPUTED_VALUE"""),1018.0)</f>
        <v>1018</v>
      </c>
      <c r="B1022" s="2" t="str">
        <f>IFERROR(__xludf.DUMMYFUNCTION("""COMPUTED_VALUE"""),"COMPLETED")</f>
        <v>COMPLETED</v>
      </c>
      <c r="C1022" s="74">
        <f>IFERROR(__xludf.DUMMYFUNCTION("""COMPUTED_VALUE"""),45820.0)</f>
        <v>45820</v>
      </c>
      <c r="D1022" s="71" t="str">
        <f>IFERROR(__xludf.DUMMYFUNCTION("""COMPUTED_VALUE"""),"Aglanot Pinoy Agri Farmers Association (APAFA)")</f>
        <v>Aglanot Pinoy Agri Farmers Association (APAFA)</v>
      </c>
      <c r="E1022" s="71" t="str">
        <f>IFERROR(__xludf.DUMMYFUNCTION("""COMPUTED_VALUE"""),"Aglanot, Dumarao, CAPIZ")</f>
        <v>Aglanot, Dumarao, CAPIZ</v>
      </c>
      <c r="F1022" s="2" t="str">
        <f>IFERROR(__xludf.DUMMYFUNCTION("""COMPUTED_VALUE"""),"erdel paligumba")</f>
        <v>erdel paligumba</v>
      </c>
      <c r="G1022" s="2">
        <f>IFERROR(__xludf.DUMMYFUNCTION("""COMPUTED_VALUE"""),9.538717246E9)</f>
        <v>9538717246</v>
      </c>
      <c r="H1022" s="2">
        <f>IFERROR(__xludf.DUMMYFUNCTION("""COMPUTED_VALUE"""),465.2)</f>
        <v>465.2</v>
      </c>
      <c r="I1022" s="72" t="str">
        <f>IFERROR(__xludf.DUMMYFUNCTION("""COMPUTED_VALUE"""),"REPAIR - TRACTOR")</f>
        <v>REPAIR - TRACTOR</v>
      </c>
      <c r="J1022" s="72" t="str">
        <f>IFERROR(__xludf.DUMMYFUNCTION("""COMPUTED_VALUE"""),"FUEL PUMP")</f>
        <v>FUEL PUMP</v>
      </c>
      <c r="K1022" s="72" t="str">
        <f>IFERROR(__xludf.DUMMYFUNCTION("""COMPUTED_VALUE"""),"CFG: FUEL PUMP PROBLEM")</f>
        <v>CFG: FUEL PUMP PROBLEM</v>
      </c>
      <c r="L1022" s="72" t="str">
        <f>IFERROR(__xludf.DUMMYFUNCTION("""COMPUTED_VALUE"""),"DRM: NAGAWA NA NILA FARMER YUNG UNIT")</f>
        <v>DRM: NAGAWA NA NILA FARMER YUNG UNIT</v>
      </c>
      <c r="M1022" s="2"/>
      <c r="N1022" s="2"/>
      <c r="O1022" s="2" t="str">
        <f>IFERROR(__xludf.DUMMYFUNCTION("""COMPUTED_VALUE"""),"N/A")</f>
        <v>N/A</v>
      </c>
      <c r="P1022" s="2"/>
      <c r="Q1022" s="2"/>
      <c r="R1022" s="74">
        <f>IFERROR(__xludf.DUMMYFUNCTION("""COMPUTED_VALUE"""),45930.0)</f>
        <v>45930</v>
      </c>
      <c r="S1022" s="2" t="str">
        <f>IFERROR(__xludf.DUMMYFUNCTION("""COMPUTED_VALUE"""),"DRM")</f>
        <v>DRM</v>
      </c>
      <c r="T1022" s="73" t="str">
        <f>IFERROR(__xludf.DUMMYFUNCTION("""COMPUTED_VALUE""")," N/A ")</f>
        <v>N/A</v>
      </c>
      <c r="U1022" s="73" t="str">
        <f>IFERROR(__xludf.DUMMYFUNCTION("""COMPUTED_VALUE""")," NO CHARGE ")</f>
        <v>NO CHARGE</v>
      </c>
      <c r="V1022" s="2"/>
      <c r="W1022" s="2" t="str">
        <f>IFERROR(__xludf.DUMMYFUNCTION("""COMPUTED_VALUE"""),"N/A")</f>
        <v>N/A</v>
      </c>
      <c r="X1022" s="2" t="str">
        <f>IFERROR(__xludf.DUMMYFUNCTION("""COMPUTED_VALUE"""),"N/A")</f>
        <v>N/A</v>
      </c>
      <c r="Y1022" s="2"/>
      <c r="Z1022" s="2"/>
      <c r="AA1022" s="2"/>
      <c r="AB1022" s="2"/>
      <c r="AC1022" s="2"/>
      <c r="AD1022" s="2"/>
      <c r="AE1022" s="2"/>
      <c r="AF1022" s="2"/>
      <c r="AG1022" s="2"/>
      <c r="AH1022" s="2"/>
      <c r="AI1022" s="2"/>
      <c r="AJ1022" s="2" t="str">
        <f>IFERROR(__xludf.DUMMYFUNCTION("""COMPUTED_VALUE"""),"Aglanot")</f>
        <v>Aglanot</v>
      </c>
      <c r="AK1022" s="2" t="str">
        <f>IFERROR(__xludf.DUMMYFUNCTION("""COMPUTED_VALUE"""),"Dumarao")</f>
        <v>Dumarao</v>
      </c>
      <c r="AL1022" s="2" t="str">
        <f>IFERROR(__xludf.DUMMYFUNCTION("""COMPUTED_VALUE"""),"Capiz")</f>
        <v>Capiz</v>
      </c>
      <c r="AM1022" s="2">
        <f>IFERROR(__xludf.DUMMYFUNCTION("""COMPUTED_VALUE"""),6.0)</f>
        <v>6</v>
      </c>
      <c r="AN1022" s="2" t="str">
        <f>IFERROR(__xludf.DUMMYFUNCTION("""COMPUTED_VALUE"""),"RCEF 23-09-21 Rebidding")</f>
        <v>RCEF 23-09-21 Rebidding</v>
      </c>
      <c r="AO1022" s="2">
        <f>IFERROR(__xludf.DUMMYFUNCTION("""COMPUTED_VALUE"""),4.0)</f>
        <v>4</v>
      </c>
      <c r="AP1022" s="2"/>
      <c r="AQ1022" s="2"/>
      <c r="AR1022" s="2"/>
      <c r="AS1022" s="2"/>
      <c r="AT1022" s="2"/>
      <c r="AU1022" s="2"/>
      <c r="AV1022" s="2"/>
      <c r="AW1022" s="2"/>
      <c r="AX1022" s="2"/>
      <c r="AY1022" s="2"/>
      <c r="AZ1022" s="2"/>
      <c r="BA1022" s="2"/>
      <c r="BB1022" s="2"/>
    </row>
    <row r="1023">
      <c r="A1023" s="2">
        <f>IFERROR(__xludf.DUMMYFUNCTION("""COMPUTED_VALUE"""),1019.0)</f>
        <v>1019</v>
      </c>
      <c r="B1023" s="2" t="str">
        <f>IFERROR(__xludf.DUMMYFUNCTION("""COMPUTED_VALUE"""),"COMPLETED")</f>
        <v>COMPLETED</v>
      </c>
      <c r="C1023" s="74">
        <f>IFERROR(__xludf.DUMMYFUNCTION("""COMPUTED_VALUE"""),45821.0)</f>
        <v>45821</v>
      </c>
      <c r="D1023" s="71" t="str">
        <f>IFERROR(__xludf.DUMMYFUNCTION("""COMPUTED_VALUE"""),"BARANGAY BANUGAO FARMERS ASSOCIATION")</f>
        <v>BARANGAY BANUGAO FARMERS ASSOCIATION</v>
      </c>
      <c r="E1023" s="71" t="str">
        <f>IFERROR(__xludf.DUMMYFUNCTION("""COMPUTED_VALUE"""),"Banugao, Infanta, Quezon")</f>
        <v>Banugao, Infanta, Quezon</v>
      </c>
      <c r="F1023" s="2" t="str">
        <f>IFERROR(__xludf.DUMMYFUNCTION("""COMPUTED_VALUE"""),"Analisa avillano")</f>
        <v>Analisa avillano</v>
      </c>
      <c r="G1023" s="2">
        <f>IFERROR(__xludf.DUMMYFUNCTION("""COMPUTED_VALUE"""),9.126843974E9)</f>
        <v>9126843974</v>
      </c>
      <c r="H1023" s="2">
        <f>IFERROR(__xludf.DUMMYFUNCTION("""COMPUTED_VALUE"""),694.7)</f>
        <v>694.7</v>
      </c>
      <c r="I1023" s="72" t="str">
        <f>IFERROR(__xludf.DUMMYFUNCTION("""COMPUTED_VALUE"""),"REPAIR - ROTAVATOR")</f>
        <v>REPAIR - ROTAVATOR</v>
      </c>
      <c r="J1023" s="72" t="str">
        <f>IFERROR(__xludf.DUMMYFUNCTION("""COMPUTED_VALUE"""),"Gearbox")</f>
        <v>Gearbox</v>
      </c>
      <c r="K1023" s="72" t="str">
        <f>IFERROR(__xludf.DUMMYFUNCTION("""COMPUTED_VALUE"""),"JTT:Tumitigil Ang Rotavator
Parts needed DRIVE SHAFFT , BEVEL GEAR 24T")</f>
        <v>JTT:Tumitigil Ang Rotavator
Parts needed DRIVE SHAFFT , BEVEL GEAR 24T</v>
      </c>
      <c r="L1023" s="72" t="str">
        <f>IFERROR(__xludf.DUMMYFUNCTION("""COMPUTED_VALUE"""),"JIE: BUMILI SILA NG SHAFTING SA LAGUNA - 11/6/25")</f>
        <v>JIE: BUMILI SILA NG SHAFTING SA LAGUNA - 11/6/25</v>
      </c>
      <c r="M1023" s="2"/>
      <c r="N1023" s="2"/>
      <c r="O1023" s="2" t="str">
        <f>IFERROR(__xludf.DUMMYFUNCTION("""COMPUTED_VALUE"""),"N/A")</f>
        <v>N/A</v>
      </c>
      <c r="P1023" s="2"/>
      <c r="Q1023" s="2"/>
      <c r="R1023" s="74">
        <f>IFERROR(__xludf.DUMMYFUNCTION("""COMPUTED_VALUE"""),45967.0)</f>
        <v>45967</v>
      </c>
      <c r="S1023" s="2" t="str">
        <f>IFERROR(__xludf.DUMMYFUNCTION("""COMPUTED_VALUE"""),"JIE")</f>
        <v>JIE</v>
      </c>
      <c r="T1023" s="2"/>
      <c r="U1023" s="2"/>
      <c r="V1023" s="2"/>
      <c r="W1023" s="2"/>
      <c r="X1023" s="2"/>
      <c r="Y1023" s="2"/>
      <c r="Z1023" s="2"/>
      <c r="AA1023" s="2"/>
      <c r="AB1023" s="2"/>
      <c r="AC1023" s="2"/>
      <c r="AD1023" s="2"/>
      <c r="AE1023" s="2"/>
      <c r="AF1023" s="2"/>
      <c r="AG1023" s="2"/>
      <c r="AH1023" s="2"/>
      <c r="AI1023" s="2"/>
      <c r="AJ1023" s="2" t="str">
        <f>IFERROR(__xludf.DUMMYFUNCTION("""COMPUTED_VALUE"""),"Banugao")</f>
        <v>Banugao</v>
      </c>
      <c r="AK1023" s="2" t="str">
        <f>IFERROR(__xludf.DUMMYFUNCTION("""COMPUTED_VALUE"""),"Infanta")</f>
        <v>Infanta</v>
      </c>
      <c r="AL1023" s="2" t="str">
        <f>IFERROR(__xludf.DUMMYFUNCTION("""COMPUTED_VALUE"""),"Quezon")</f>
        <v>Quezon</v>
      </c>
      <c r="AM1023" s="2" t="str">
        <f>IFERROR(__xludf.DUMMYFUNCTION("""COMPUTED_VALUE"""),"4A")</f>
        <v>4A</v>
      </c>
      <c r="AN1023" s="2" t="str">
        <f>IFERROR(__xludf.DUMMYFUNCTION("""COMPUTED_VALUE"""),"RCEF 23-08-20 Rebidding")</f>
        <v>RCEF 23-08-20 Rebidding</v>
      </c>
      <c r="AO1023" s="2">
        <f>IFERROR(__xludf.DUMMYFUNCTION("""COMPUTED_VALUE"""),1.0)</f>
        <v>1</v>
      </c>
      <c r="AP1023" s="2"/>
      <c r="AQ1023" s="2"/>
      <c r="AR1023" s="2"/>
      <c r="AS1023" s="2"/>
      <c r="AT1023" s="2"/>
      <c r="AU1023" s="2"/>
      <c r="AV1023" s="2"/>
      <c r="AW1023" s="2"/>
      <c r="AX1023" s="2"/>
      <c r="AY1023" s="2"/>
      <c r="AZ1023" s="2"/>
      <c r="BA1023" s="2"/>
      <c r="BB1023" s="2"/>
    </row>
    <row r="1024">
      <c r="A1024" s="2">
        <f>IFERROR(__xludf.DUMMYFUNCTION("""COMPUTED_VALUE"""),1020.0)</f>
        <v>1020</v>
      </c>
      <c r="B1024" s="2" t="str">
        <f>IFERROR(__xludf.DUMMYFUNCTION("""COMPUTED_VALUE"""),"COMPLETED")</f>
        <v>COMPLETED</v>
      </c>
      <c r="C1024" s="74">
        <f>IFERROR(__xludf.DUMMYFUNCTION("""COMPUTED_VALUE"""),45821.0)</f>
        <v>45821</v>
      </c>
      <c r="D1024" s="71" t="str">
        <f>IFERROR(__xludf.DUMMYFUNCTION("""COMPUTED_VALUE"""),"Mannalon ti Babalag West Farmers Association")</f>
        <v>Mannalon ti Babalag West Farmers Association</v>
      </c>
      <c r="E1024" s="71" t="str">
        <f>IFERROR(__xludf.DUMMYFUNCTION("""COMPUTED_VALUE"""),"Babalag West (Pob.), Rizal (Liwan), KALINGA")</f>
        <v>Babalag West (Pob.), Rizal (Liwan), KALINGA</v>
      </c>
      <c r="F1024" s="2" t="str">
        <f>IFERROR(__xludf.DUMMYFUNCTION("""COMPUTED_VALUE"""),"Frederick licupa")</f>
        <v>Frederick licupa</v>
      </c>
      <c r="G1024" s="2">
        <f>IFERROR(__xludf.DUMMYFUNCTION("""COMPUTED_VALUE"""),9.059734095E9)</f>
        <v>9059734095</v>
      </c>
      <c r="H1024" s="2">
        <f>IFERROR(__xludf.DUMMYFUNCTION("""COMPUTED_VALUE"""),140.05)</f>
        <v>140.05</v>
      </c>
      <c r="I1024" s="72" t="str">
        <f>IFERROR(__xludf.DUMMYFUNCTION("""COMPUTED_VALUE"""),"REPAIR - TRACTOR")</f>
        <v>REPAIR - TRACTOR</v>
      </c>
      <c r="J1024" s="72" t="str">
        <f>IFERROR(__xludf.DUMMYFUNCTION("""COMPUTED_VALUE"""),"Electrical - PTO Switch")</f>
        <v>Electrical - PTO Switch</v>
      </c>
      <c r="K1024" s="72" t="str">
        <f>IFERROR(__xludf.DUMMYFUNCTION("""COMPUTED_VALUE"""),"CFG: PTO SWITCH NOT WORKING")</f>
        <v>CFG: PTO SWITCH NOT WORKING</v>
      </c>
      <c r="L1024" s="72" t="str">
        <f>IFERROR(__xludf.DUMMYFUNCTION("""COMPUTED_VALUE"""),"CFG: DELIVERED PTO SWITCH")</f>
        <v>CFG: DELIVERED PTO SWITCH</v>
      </c>
      <c r="M1024" s="2"/>
      <c r="N1024" s="2" t="str">
        <f>IFERROR(__xludf.DUMMYFUNCTION("""COMPUTED_VALUE"""),"PARTS: PTO SWITCH")</f>
        <v>PARTS: PTO SWITCH</v>
      </c>
      <c r="O1024" s="2" t="str">
        <f>IFERROR(__xludf.DUMMYFUNCTION("""COMPUTED_VALUE"""),"N/A")</f>
        <v>N/A</v>
      </c>
      <c r="P1024" s="2"/>
      <c r="Q1024" s="2"/>
      <c r="R1024" s="74">
        <f>IFERROR(__xludf.DUMMYFUNCTION("""COMPUTED_VALUE"""),45821.0)</f>
        <v>45821</v>
      </c>
      <c r="S1024" s="2" t="str">
        <f>IFERROR(__xludf.DUMMYFUNCTION("""COMPUTED_VALUE"""),"CFG")</f>
        <v>CFG</v>
      </c>
      <c r="T1024" s="73">
        <f>IFERROR(__xludf.DUMMYFUNCTION("""COMPUTED_VALUE"""),4255.0)</f>
        <v>4255</v>
      </c>
      <c r="U1024" s="73" t="str">
        <f>IFERROR(__xludf.DUMMYFUNCTION("""COMPUTED_VALUE""")," FOR REMIT ")</f>
        <v>FOR REMIT</v>
      </c>
      <c r="V1024" s="2"/>
      <c r="W1024" s="2">
        <f>IFERROR(__xludf.DUMMYFUNCTION("""COMPUTED_VALUE"""),1580.0)</f>
        <v>1580</v>
      </c>
      <c r="X1024" s="2"/>
      <c r="Y1024" s="2"/>
      <c r="Z1024" s="2"/>
      <c r="AA1024" s="2"/>
      <c r="AB1024" s="2"/>
      <c r="AC1024" s="2"/>
      <c r="AD1024" s="2"/>
      <c r="AE1024" s="2"/>
      <c r="AF1024" s="2"/>
      <c r="AG1024" s="2"/>
      <c r="AH1024" s="2"/>
      <c r="AI1024" s="2"/>
      <c r="AJ1024" s="2" t="str">
        <f>IFERROR(__xludf.DUMMYFUNCTION("""COMPUTED_VALUE"""),"Babalag West (Pob.)")</f>
        <v>Babalag West (Pob.)</v>
      </c>
      <c r="AK1024" s="2" t="str">
        <f>IFERROR(__xludf.DUMMYFUNCTION("""COMPUTED_VALUE"""),"Rizal (Liwan)")</f>
        <v>Rizal (Liwan)</v>
      </c>
      <c r="AL1024" s="2" t="str">
        <f>IFERROR(__xludf.DUMMYFUNCTION("""COMPUTED_VALUE"""),"Kalinga")</f>
        <v>Kalinga</v>
      </c>
      <c r="AM1024" s="2" t="str">
        <f>IFERROR(__xludf.DUMMYFUNCTION("""COMPUTED_VALUE"""),"CAR")</f>
        <v>CAR</v>
      </c>
      <c r="AN1024" s="2" t="str">
        <f>IFERROR(__xludf.DUMMYFUNCTION("""COMPUTED_VALUE"""),"RCEF 23-09-21 Rebidding")</f>
        <v>RCEF 23-09-21 Rebidding</v>
      </c>
      <c r="AO1024" s="2">
        <f>IFERROR(__xludf.DUMMYFUNCTION("""COMPUTED_VALUE"""),1.0)</f>
        <v>1</v>
      </c>
      <c r="AP1024" s="2"/>
      <c r="AQ1024" s="2"/>
      <c r="AR1024" s="2"/>
      <c r="AS1024" s="2"/>
      <c r="AT1024" s="2"/>
      <c r="AU1024" s="2"/>
      <c r="AV1024" s="2"/>
      <c r="AW1024" s="2"/>
      <c r="AX1024" s="2"/>
      <c r="AY1024" s="2"/>
      <c r="AZ1024" s="2"/>
      <c r="BA1024" s="2"/>
      <c r="BB1024" s="2"/>
    </row>
    <row r="1025">
      <c r="A1025" s="2">
        <f>IFERROR(__xludf.DUMMYFUNCTION("""COMPUTED_VALUE"""),1021.0)</f>
        <v>1021</v>
      </c>
      <c r="B1025" s="2" t="str">
        <f>IFERROR(__xludf.DUMMYFUNCTION("""COMPUTED_VALUE"""),"PENDING")</f>
        <v>PENDING</v>
      </c>
      <c r="C1025" s="74">
        <f>IFERROR(__xludf.DUMMYFUNCTION("""COMPUTED_VALUE"""),45821.0)</f>
        <v>45821</v>
      </c>
      <c r="D1025" s="71" t="str">
        <f>IFERROR(__xludf.DUMMYFUNCTION("""COMPUTED_VALUE"""),"MAUBAN FARMERS ASSOCIATION")</f>
        <v>MAUBAN FARMERS ASSOCIATION</v>
      </c>
      <c r="E1025" s="71" t="str">
        <f>IFERROR(__xludf.DUMMYFUNCTION("""COMPUTED_VALUE"""),"Rizaliana, Mauban, Quezon")</f>
        <v>Rizaliana, Mauban, Quezon</v>
      </c>
      <c r="F1025" s="2" t="str">
        <f>IFERROR(__xludf.DUMMYFUNCTION("""COMPUTED_VALUE"""),"Edlyn gamogamo")</f>
        <v>Edlyn gamogamo</v>
      </c>
      <c r="G1025" s="2" t="str">
        <f>IFERROR(__xludf.DUMMYFUNCTION("""COMPUTED_VALUE"""),"0908-872-9939")</f>
        <v>0908-872-9939</v>
      </c>
      <c r="H1025" s="2">
        <f>IFERROR(__xludf.DUMMYFUNCTION("""COMPUTED_VALUE"""),300.0)</f>
        <v>300</v>
      </c>
      <c r="I1025" s="72" t="str">
        <f>IFERROR(__xludf.DUMMYFUNCTION("""COMPUTED_VALUE"""),"PMS")</f>
        <v>PMS</v>
      </c>
      <c r="J1025" s="72" t="str">
        <f>IFERROR(__xludf.DUMMYFUNCTION("""COMPUTED_VALUE"""),"PMS")</f>
        <v>PMS</v>
      </c>
      <c r="K1025" s="72" t="str">
        <f>IFERROR(__xludf.DUMMYFUNCTION("""COMPUTED_VALUE"""),"JTT: 2ND PMS : TULOG ANG LANGIS")</f>
        <v>JTT: 2ND PMS : TULOG ANG LANGIS</v>
      </c>
      <c r="L1025" s="72" t="str">
        <f>IFERROR(__xludf.DUMMYFUNCTION("""COMPUTED_VALUE"""),"JIE: UNATTENDED- 11/5/25
JIE: UNATTENDED - 11/6/25
JIE: UNATTENDED - 11/7/25")</f>
        <v>JIE: UNATTENDED- 11/5/25
JIE: UNATTENDED - 11/6/25
JIE: UNATTENDED - 11/7/25</v>
      </c>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t="str">
        <f>IFERROR(__xludf.DUMMYFUNCTION("""COMPUTED_VALUE"""),"Rizaliana")</f>
        <v>Rizaliana</v>
      </c>
      <c r="AK1025" s="2" t="str">
        <f>IFERROR(__xludf.DUMMYFUNCTION("""COMPUTED_VALUE"""),"Mauban")</f>
        <v>Mauban</v>
      </c>
      <c r="AL1025" s="2" t="str">
        <f>IFERROR(__xludf.DUMMYFUNCTION("""COMPUTED_VALUE"""),"Quezon")</f>
        <v>Quezon</v>
      </c>
      <c r="AM1025" s="2" t="str">
        <f>IFERROR(__xludf.DUMMYFUNCTION("""COMPUTED_VALUE"""),"4A")</f>
        <v>4A</v>
      </c>
      <c r="AN1025" s="2" t="str">
        <f>IFERROR(__xludf.DUMMYFUNCTION("""COMPUTED_VALUE"""),"RCEF 23-08-20 Rebidding")</f>
        <v>RCEF 23-08-20 Rebidding</v>
      </c>
      <c r="AO1025" s="2">
        <f>IFERROR(__xludf.DUMMYFUNCTION("""COMPUTED_VALUE"""),1.0)</f>
        <v>1</v>
      </c>
      <c r="AP1025" s="2"/>
      <c r="AQ1025" s="2"/>
      <c r="AR1025" s="2"/>
      <c r="AS1025" s="2"/>
      <c r="AT1025" s="2"/>
      <c r="AU1025" s="2"/>
      <c r="AV1025" s="2"/>
      <c r="AW1025" s="2"/>
      <c r="AX1025" s="2"/>
      <c r="AY1025" s="2"/>
      <c r="AZ1025" s="2"/>
      <c r="BA1025" s="2"/>
      <c r="BB1025" s="2"/>
    </row>
    <row r="1026">
      <c r="A1026" s="2">
        <f>IFERROR(__xludf.DUMMYFUNCTION("""COMPUTED_VALUE"""),1022.0)</f>
        <v>1022</v>
      </c>
      <c r="B1026" s="2" t="str">
        <f>IFERROR(__xludf.DUMMYFUNCTION("""COMPUTED_VALUE"""),"COMPLETED")</f>
        <v>COMPLETED</v>
      </c>
      <c r="C1026" s="74">
        <f>IFERROR(__xludf.DUMMYFUNCTION("""COMPUTED_VALUE"""),45822.0)</f>
        <v>45822</v>
      </c>
      <c r="D1026" s="71" t="str">
        <f>IFERROR(__xludf.DUMMYFUNCTION("""COMPUTED_VALUE"""),"Municipal Local Government Unit of Quezon")</f>
        <v>Municipal Local Government Unit of Quezon</v>
      </c>
      <c r="E1026" s="71" t="str">
        <f>IFERROR(__xludf.DUMMYFUNCTION("""COMPUTED_VALUE"""),"Dulong Bayan, Quezon, Nueva Ecija")</f>
        <v>Dulong Bayan, Quezon, Nueva Ecija</v>
      </c>
      <c r="F1026" s="2" t="str">
        <f>IFERROR(__xludf.DUMMYFUNCTION("""COMPUTED_VALUE"""),"PERCIVAL DE GUZMAN ")</f>
        <v>PERCIVAL DE GUZMAN </v>
      </c>
      <c r="G1026" s="2">
        <f>IFERROR(__xludf.DUMMYFUNCTION("""COMPUTED_VALUE"""),9.174556826E9)</f>
        <v>9174556826</v>
      </c>
      <c r="H1026" s="2"/>
      <c r="I1026" s="72" t="str">
        <f>IFERROR(__xludf.DUMMYFUNCTION("""COMPUTED_VALUE"""),"REPAIR - TRACTOR")</f>
        <v>REPAIR - TRACTOR</v>
      </c>
      <c r="J1026" s="72" t="str">
        <f>IFERROR(__xludf.DUMMYFUNCTION("""COMPUTED_VALUE"""),"Transmission - Clutch")</f>
        <v>Transmission - Clutch</v>
      </c>
      <c r="K1026" s="72" t="str">
        <f>IFERROR(__xludf.DUMMYFUNCTION("""COMPUTED_VALUE"""),"JHP: CLUTCH PROBLEM")</f>
        <v>JHP: CLUTCH PROBLEM</v>
      </c>
      <c r="L1026" s="72" t="str">
        <f>IFERROR(__xludf.DUMMYFUNCTION("""COMPUTED_VALUE"""),"FARMER: OK NA ANG UNIT")</f>
        <v>FARMER: OK NA ANG UNIT</v>
      </c>
      <c r="M1026" s="2"/>
      <c r="N1026" s="2"/>
      <c r="O1026" s="2" t="str">
        <f>IFERROR(__xludf.DUMMYFUNCTION("""COMPUTED_VALUE"""),"N/A")</f>
        <v>N/A</v>
      </c>
      <c r="P1026" s="2"/>
      <c r="Q1026" s="2"/>
      <c r="R1026" s="74">
        <f>IFERROR(__xludf.DUMMYFUNCTION("""COMPUTED_VALUE"""),45975.0)</f>
        <v>45975</v>
      </c>
      <c r="S1026" s="2" t="str">
        <f>IFERROR(__xludf.DUMMYFUNCTION("""COMPUTED_VALUE"""),"MYKEE")</f>
        <v>MYKEE</v>
      </c>
      <c r="T1026" s="73" t="str">
        <f>IFERROR(__xludf.DUMMYFUNCTION("""COMPUTED_VALUE""")," N/A ")</f>
        <v>N/A</v>
      </c>
      <c r="U1026" s="73" t="str">
        <f>IFERROR(__xludf.DUMMYFUNCTION("""COMPUTED_VALUE""")," NO CHARGE ")</f>
        <v>NO CHARGE</v>
      </c>
      <c r="V1026" s="2"/>
      <c r="W1026" s="2" t="str">
        <f>IFERROR(__xludf.DUMMYFUNCTION("""COMPUTED_VALUE"""),"N/A")</f>
        <v>N/A</v>
      </c>
      <c r="X1026" s="2" t="str">
        <f>IFERROR(__xludf.DUMMYFUNCTION("""COMPUTED_VALUE"""),"N/A")</f>
        <v>N/A</v>
      </c>
      <c r="Y1026" s="2"/>
      <c r="Z1026" s="2"/>
      <c r="AA1026" s="2"/>
      <c r="AB1026" s="2"/>
      <c r="AC1026" s="2"/>
      <c r="AD1026" s="2"/>
      <c r="AE1026" s="2"/>
      <c r="AF1026" s="2"/>
      <c r="AG1026" s="2"/>
      <c r="AH1026" s="2"/>
      <c r="AI1026" s="2"/>
      <c r="AJ1026" s="2" t="str">
        <f>IFERROR(__xludf.DUMMYFUNCTION("""COMPUTED_VALUE"""),"Dulong Bayan")</f>
        <v>Dulong Bayan</v>
      </c>
      <c r="AK1026" s="2" t="str">
        <f>IFERROR(__xludf.DUMMYFUNCTION("""COMPUTED_VALUE"""),"Quezon")</f>
        <v>Quezon</v>
      </c>
      <c r="AL1026" s="2" t="str">
        <f>IFERROR(__xludf.DUMMYFUNCTION("""COMPUTED_VALUE"""),"Nueva Ecija")</f>
        <v>Nueva Ecija</v>
      </c>
      <c r="AM1026" s="2">
        <f>IFERROR(__xludf.DUMMYFUNCTION("""COMPUTED_VALUE"""),3.0)</f>
        <v>3</v>
      </c>
      <c r="AN1026" s="2" t="str">
        <f>IFERROR(__xludf.DUMMYFUNCTION("""COMPUTED_VALUE"""),"RCEF 23-09-21 Rebidding")</f>
        <v>RCEF 23-09-21 Rebidding</v>
      </c>
      <c r="AO1026" s="2">
        <f>IFERROR(__xludf.DUMMYFUNCTION("""COMPUTED_VALUE"""),3.0)</f>
        <v>3</v>
      </c>
      <c r="AP1026" s="2"/>
      <c r="AQ1026" s="2"/>
      <c r="AR1026" s="2"/>
      <c r="AS1026" s="2"/>
      <c r="AT1026" s="2"/>
      <c r="AU1026" s="2"/>
      <c r="AV1026" s="2"/>
      <c r="AW1026" s="2"/>
      <c r="AX1026" s="2"/>
      <c r="AY1026" s="2"/>
      <c r="AZ1026" s="2"/>
      <c r="BA1026" s="2"/>
      <c r="BB1026" s="2"/>
    </row>
    <row r="1027">
      <c r="A1027" s="2">
        <f>IFERROR(__xludf.DUMMYFUNCTION("""COMPUTED_VALUE"""),1023.0)</f>
        <v>1023</v>
      </c>
      <c r="B1027" s="2" t="str">
        <f>IFERROR(__xludf.DUMMYFUNCTION("""COMPUTED_VALUE"""),"COMPLETED")</f>
        <v>COMPLETED</v>
      </c>
      <c r="C1027" s="74">
        <f>IFERROR(__xludf.DUMMYFUNCTION("""COMPUTED_VALUE"""),45822.0)</f>
        <v>45822</v>
      </c>
      <c r="D1027" s="71" t="str">
        <f>IFERROR(__xludf.DUMMYFUNCTION("""COMPUTED_VALUE"""),"LAYUNIN NG MAPAYAPANG PAG-UNLAD ASSOCIATION, INCORPORATED")</f>
        <v>LAYUNIN NG MAPAYAPANG PAG-UNLAD ASSOCIATION, INCORPORATED</v>
      </c>
      <c r="E1027" s="71" t="str">
        <f>IFERROR(__xludf.DUMMYFUNCTION("""COMPUTED_VALUE"""),"Boboy, Agno, PANGASINAN")</f>
        <v>Boboy, Agno, PANGASINAN</v>
      </c>
      <c r="F1027" s="2" t="str">
        <f>IFERROR(__xludf.DUMMYFUNCTION("""COMPUTED_VALUE"""),"Noly V. Oiga")</f>
        <v>Noly V. Oiga</v>
      </c>
      <c r="G1027" s="2">
        <f>IFERROR(__xludf.DUMMYFUNCTION("""COMPUTED_VALUE"""),9.076484565E9)</f>
        <v>9076484565</v>
      </c>
      <c r="H1027" s="2"/>
      <c r="I1027" s="72" t="str">
        <f>IFERROR(__xludf.DUMMYFUNCTION("""COMPUTED_VALUE"""),"SPARE PARTS ACQUISITION")</f>
        <v>SPARE PARTS ACQUISITION</v>
      </c>
      <c r="J1027" s="72" t="str">
        <f>IFERROR(__xludf.DUMMYFUNCTION("""COMPUTED_VALUE"""),"PARTS REQUEST")</f>
        <v>PARTS REQUEST</v>
      </c>
      <c r="K1027" s="72" t="str">
        <f>IFERROR(__xludf.DUMMYFUNCTION("""COMPUTED_VALUE"""),"CTF: REAR WHEEL INTERIOR
NOLY V. OIGA
09076484565
ALAMINOS CITY, PANGASINAN (LBC)")</f>
        <v>CTF: REAR WHEEL INTERIOR
NOLY V. OIGA
09076484565
ALAMINOS CITY, PANGASINAN (LBC)</v>
      </c>
      <c r="L1027" s="72" t="str">
        <f>IFERROR(__xludf.DUMMYFUNCTION("""COMPUTED_VALUE"""),"QOUTATION SENT: UNDECIDED:LBC:
DONE COURIER
")</f>
        <v>QOUTATION SENT: UNDECIDED:LBC:
DONE COURIER
</v>
      </c>
      <c r="M1027" s="2"/>
      <c r="N1027" s="2" t="str">
        <f>IFERROR(__xludf.DUMMYFUNCTION("""COMPUTED_VALUE"""),"PARTS: REAR INTERIOR ")</f>
        <v>PARTS: REAR INTERIOR </v>
      </c>
      <c r="O1027" s="2" t="str">
        <f>IFERROR(__xludf.DUMMYFUNCTION("""COMPUTED_VALUE"""),"N/A")</f>
        <v>N/A</v>
      </c>
      <c r="P1027" s="2"/>
      <c r="Q1027" s="2"/>
      <c r="R1027" s="74">
        <f>IFERROR(__xludf.DUMMYFUNCTION("""COMPUTED_VALUE"""),45827.0)</f>
        <v>45827</v>
      </c>
      <c r="S1027" s="2" t="str">
        <f>IFERROR(__xludf.DUMMYFUNCTION("""COMPUTED_VALUE"""),"MYKEE")</f>
        <v>MYKEE</v>
      </c>
      <c r="T1027" s="73">
        <f>IFERROR(__xludf.DUMMYFUNCTION("""COMPUTED_VALUE"""),8100.0)</f>
        <v>8100</v>
      </c>
      <c r="U1027" s="73" t="str">
        <f>IFERROR(__xludf.DUMMYFUNCTION("""COMPUTED_VALUE""")," REMITTED ")</f>
        <v>REMITTED</v>
      </c>
      <c r="V1027" s="2"/>
      <c r="W1027" s="2">
        <f>IFERROR(__xludf.DUMMYFUNCTION("""COMPUTED_VALUE"""),1502.0)</f>
        <v>1502</v>
      </c>
      <c r="X1027" s="2">
        <f>IFERROR(__xludf.DUMMYFUNCTION("""COMPUTED_VALUE"""),1422.0)</f>
        <v>1422</v>
      </c>
      <c r="Y1027" s="2"/>
      <c r="Z1027" s="2"/>
      <c r="AA1027" s="2"/>
      <c r="AB1027" s="2"/>
      <c r="AC1027" s="2"/>
      <c r="AD1027" s="2"/>
      <c r="AE1027" s="2"/>
      <c r="AF1027" s="2"/>
      <c r="AG1027" s="2"/>
      <c r="AH1027" s="2"/>
      <c r="AI1027" s="2"/>
      <c r="AJ1027" s="2" t="str">
        <f>IFERROR(__xludf.DUMMYFUNCTION("""COMPUTED_VALUE"""),"Boboy")</f>
        <v>Boboy</v>
      </c>
      <c r="AK1027" s="2" t="str">
        <f>IFERROR(__xludf.DUMMYFUNCTION("""COMPUTED_VALUE"""),"Agno")</f>
        <v>Agno</v>
      </c>
      <c r="AL1027" s="2" t="str">
        <f>IFERROR(__xludf.DUMMYFUNCTION("""COMPUTED_VALUE"""),"Pangasinan")</f>
        <v>Pangasinan</v>
      </c>
      <c r="AM1027" s="2">
        <f>IFERROR(__xludf.DUMMYFUNCTION("""COMPUTED_VALUE"""),1.0)</f>
        <v>1</v>
      </c>
      <c r="AN1027" s="2" t="str">
        <f>IFERROR(__xludf.DUMMYFUNCTION("""COMPUTED_VALUE"""),"RCEF 23-09-21 Rebidding")</f>
        <v>RCEF 23-09-21 Rebidding</v>
      </c>
      <c r="AO1027" s="2">
        <f>IFERROR(__xludf.DUMMYFUNCTION("""COMPUTED_VALUE"""),2.0)</f>
        <v>2</v>
      </c>
      <c r="AP1027" s="2"/>
      <c r="AQ1027" s="2"/>
      <c r="AR1027" s="2"/>
      <c r="AS1027" s="2"/>
      <c r="AT1027" s="2"/>
      <c r="AU1027" s="2"/>
      <c r="AV1027" s="2"/>
      <c r="AW1027" s="2"/>
      <c r="AX1027" s="2"/>
      <c r="AY1027" s="2"/>
      <c r="AZ1027" s="2"/>
      <c r="BA1027" s="2"/>
      <c r="BB1027" s="2"/>
    </row>
    <row r="1028">
      <c r="A1028" s="2">
        <f>IFERROR(__xludf.DUMMYFUNCTION("""COMPUTED_VALUE"""),1024.0)</f>
        <v>1024</v>
      </c>
      <c r="B1028" s="2" t="str">
        <f>IFERROR(__xludf.DUMMYFUNCTION("""COMPUTED_VALUE"""),"COMPLETED")</f>
        <v>COMPLETED</v>
      </c>
      <c r="C1028" s="74">
        <f>IFERROR(__xludf.DUMMYFUNCTION("""COMPUTED_VALUE"""),45822.0)</f>
        <v>45822</v>
      </c>
      <c r="D1028" s="71" t="str">
        <f>IFERROR(__xludf.DUMMYFUNCTION("""COMPUTED_VALUE"""),"ILAOR SUR FARMERS ASSOCIATION")</f>
        <v>ILAOR SUR FARMERS ASSOCIATION</v>
      </c>
      <c r="E1028" s="71" t="str">
        <f>IFERROR(__xludf.DUMMYFUNCTION("""COMPUTED_VALUE"""),"Ilaor Sur, Oas, ALBAY")</f>
        <v>Ilaor Sur, Oas, ALBAY</v>
      </c>
      <c r="F1028" s="2" t="str">
        <f>IFERROR(__xludf.DUMMYFUNCTION("""COMPUTED_VALUE"""),"JOSE JAACINTO RAMIN")</f>
        <v>JOSE JAACINTO RAMIN</v>
      </c>
      <c r="G1028" s="2"/>
      <c r="H1028" s="2">
        <f>IFERROR(__xludf.DUMMYFUNCTION("""COMPUTED_VALUE"""),46.0)</f>
        <v>46</v>
      </c>
      <c r="I1028" s="72" t="str">
        <f>IFERROR(__xludf.DUMMYFUNCTION("""COMPUTED_VALUE"""),"PMS")</f>
        <v>PMS</v>
      </c>
      <c r="J1028" s="72" t="str">
        <f>IFERROR(__xludf.DUMMYFUNCTION("""COMPUTED_VALUE"""),"PMS")</f>
        <v>PMS</v>
      </c>
      <c r="K1028" s="72" t="str">
        <f>IFERROR(__xludf.DUMMYFUNCTION("""COMPUTED_VALUE"""),"FERNAN: 1ST PMS FREE")</f>
        <v>FERNAN: 1ST PMS FREE</v>
      </c>
      <c r="L1028" s="72" t="str">
        <f>IFERROR(__xludf.DUMMYFUNCTION("""COMPUTED_VALUE"""),"JTT: 1ST PMS DONE")</f>
        <v>JTT: 1ST PMS DONE</v>
      </c>
      <c r="M1028" s="2"/>
      <c r="N1028" s="2" t="str">
        <f>IFERROR(__xludf.DUMMYFUNCTION("""COMPUTED_VALUE"""),"PARTS: 
OIL FILTER
ENGINE OIL")</f>
        <v>PARTS: 
OIL FILTER
ENGINE OIL</v>
      </c>
      <c r="O1028" s="2" t="str">
        <f>IFERROR(__xludf.DUMMYFUNCTION("""COMPUTED_VALUE"""),"NEED SERVICE REPORT")</f>
        <v>NEED SERVICE REPORT</v>
      </c>
      <c r="P1028" s="2"/>
      <c r="Q1028" s="2"/>
      <c r="R1028" s="74">
        <f>IFERROR(__xludf.DUMMYFUNCTION("""COMPUTED_VALUE"""),45828.0)</f>
        <v>45828</v>
      </c>
      <c r="S1028" s="2" t="str">
        <f>IFERROR(__xludf.DUMMYFUNCTION("""COMPUTED_VALUE"""),"JTT/LBA")</f>
        <v>JTT/LBA</v>
      </c>
      <c r="T1028" s="73" t="str">
        <f>IFERROR(__xludf.DUMMYFUNCTION("""COMPUTED_VALUE""")," N/A ")</f>
        <v>N/A</v>
      </c>
      <c r="U1028" s="73" t="str">
        <f>IFERROR(__xludf.DUMMYFUNCTION("""COMPUTED_VALUE""")," NO CHARGE ")</f>
        <v>NO CHARGE</v>
      </c>
      <c r="V1028" s="2"/>
      <c r="W1028" s="2" t="str">
        <f>IFERROR(__xludf.DUMMYFUNCTION("""COMPUTED_VALUE"""),"N/A")</f>
        <v>N/A</v>
      </c>
      <c r="X1028" s="2" t="str">
        <f>IFERROR(__xludf.DUMMYFUNCTION("""COMPUTED_VALUE"""),"N/A")</f>
        <v>N/A</v>
      </c>
      <c r="Y1028" s="2"/>
      <c r="Z1028" s="2"/>
      <c r="AA1028" s="2"/>
      <c r="AB1028" s="2"/>
      <c r="AC1028" s="2"/>
      <c r="AD1028" s="2"/>
      <c r="AE1028" s="2"/>
      <c r="AF1028" s="2"/>
      <c r="AG1028" s="2"/>
      <c r="AH1028" s="2"/>
      <c r="AI1028" s="2"/>
      <c r="AJ1028" s="2" t="str">
        <f>IFERROR(__xludf.DUMMYFUNCTION("""COMPUTED_VALUE"""),"Ilaor Sur")</f>
        <v>Ilaor Sur</v>
      </c>
      <c r="AK1028" s="2" t="str">
        <f>IFERROR(__xludf.DUMMYFUNCTION("""COMPUTED_VALUE"""),"Oas")</f>
        <v>Oas</v>
      </c>
      <c r="AL1028" s="2" t="str">
        <f>IFERROR(__xludf.DUMMYFUNCTION("""COMPUTED_VALUE"""),"Albay")</f>
        <v>Albay</v>
      </c>
      <c r="AM1028" s="2">
        <f>IFERROR(__xludf.DUMMYFUNCTION("""COMPUTED_VALUE"""),5.0)</f>
        <v>5</v>
      </c>
      <c r="AN1028" s="2" t="str">
        <f>IFERROR(__xludf.DUMMYFUNCTION("""COMPUTED_VALUE"""),"RCEF 24-04-15")</f>
        <v>RCEF 24-04-15</v>
      </c>
      <c r="AO1028" s="2">
        <f>IFERROR(__xludf.DUMMYFUNCTION("""COMPUTED_VALUE"""),7.0)</f>
        <v>7</v>
      </c>
      <c r="AP1028" s="2" t="str">
        <f>IFERROR(__xludf.DUMMYFUNCTION("""COMPUTED_VALUE"""),"FREE PMS")</f>
        <v>FREE PMS</v>
      </c>
      <c r="AQ1028" s="2"/>
      <c r="AR1028" s="2"/>
      <c r="AS1028" s="2"/>
      <c r="AT1028" s="2"/>
      <c r="AU1028" s="2"/>
      <c r="AV1028" s="2"/>
      <c r="AW1028" s="2"/>
      <c r="AX1028" s="2"/>
      <c r="AY1028" s="2"/>
      <c r="AZ1028" s="2"/>
      <c r="BA1028" s="2"/>
      <c r="BB1028" s="2"/>
    </row>
    <row r="1029">
      <c r="A1029" s="2">
        <f>IFERROR(__xludf.DUMMYFUNCTION("""COMPUTED_VALUE"""),1025.0)</f>
        <v>1025</v>
      </c>
      <c r="B1029" s="2" t="str">
        <f>IFERROR(__xludf.DUMMYFUNCTION("""COMPUTED_VALUE"""),"COMPLETED")</f>
        <v>COMPLETED</v>
      </c>
      <c r="C1029" s="74">
        <f>IFERROR(__xludf.DUMMYFUNCTION("""COMPUTED_VALUE"""),45823.0)</f>
        <v>45823</v>
      </c>
      <c r="D1029" s="71" t="str">
        <f>IFERROR(__xludf.DUMMYFUNCTION("""COMPUTED_VALUE"""),"BAGONG BUHAY FARMERS ASSOCIATION")</f>
        <v>BAGONG BUHAY FARMERS ASSOCIATION</v>
      </c>
      <c r="E1029" s="71" t="str">
        <f>IFERROR(__xludf.DUMMYFUNCTION("""COMPUTED_VALUE"""),"Bagong Buhay, naujan, Oriental Mindoro")</f>
        <v>Bagong Buhay, naujan, Oriental Mindoro</v>
      </c>
      <c r="F1029" s="2" t="str">
        <f>IFERROR(__xludf.DUMMYFUNCTION("""COMPUTED_VALUE"""),"GENALYN SENA")</f>
        <v>GENALYN SENA</v>
      </c>
      <c r="G1029" s="2">
        <f>IFERROR(__xludf.DUMMYFUNCTION("""COMPUTED_VALUE"""),9.537540198E9)</f>
        <v>9537540198</v>
      </c>
      <c r="H1029" s="2"/>
      <c r="I1029" s="72" t="str">
        <f>IFERROR(__xludf.DUMMYFUNCTION("""COMPUTED_VALUE"""),"SPARE PARTS ACQUISITION")</f>
        <v>SPARE PARTS ACQUISITION</v>
      </c>
      <c r="J1029" s="72" t="str">
        <f>IFERROR(__xludf.DUMMYFUNCTION("""COMPUTED_VALUE"""),"PARTS REQUEST")</f>
        <v>PARTS REQUEST</v>
      </c>
      <c r="K1029" s="72" t="str">
        <f>IFERROR(__xludf.DUMMYFUNCTION("""COMPUTED_VALUE"""),"RCG: BEVEL GEAR 24T , PINION GEAR 11T")</f>
        <v>RCG: BEVEL GEAR 24T , PINION GEAR 11T</v>
      </c>
      <c r="L1029" s="72" t="str">
        <f>IFERROR(__xludf.DUMMYFUNCTION("""COMPUTED_VALUE"""),"QUOTATION SENT:
RCG: DELIVERED")</f>
        <v>QUOTATION SENT:
RCG: DELIVERED</v>
      </c>
      <c r="M1029" s="2"/>
      <c r="N1029" s="2" t="str">
        <f>IFERROR(__xludf.DUMMYFUNCTION("""COMPUTED_VALUE"""),"PARTS: 
BEVEL GEAR 24T
PINION GEAR11T")</f>
        <v>PARTS: 
BEVEL GEAR 24T
PINION GEAR11T</v>
      </c>
      <c r="O1029" s="2" t="str">
        <f>IFERROR(__xludf.DUMMYFUNCTION("""COMPUTED_VALUE"""),"N/A")</f>
        <v>N/A</v>
      </c>
      <c r="P1029" s="2"/>
      <c r="Q1029" s="2"/>
      <c r="R1029" s="74">
        <f>IFERROR(__xludf.DUMMYFUNCTION("""COMPUTED_VALUE"""),45944.0)</f>
        <v>45944</v>
      </c>
      <c r="S1029" s="2" t="str">
        <f>IFERROR(__xludf.DUMMYFUNCTION("""COMPUTED_VALUE"""),"RCG/RBS")</f>
        <v>RCG/RBS</v>
      </c>
      <c r="T1029" s="2"/>
      <c r="U1029" s="73" t="str">
        <f>IFERROR(__xludf.DUMMYFUNCTION("""COMPUTED_VALUE""")," REMITTED ")</f>
        <v>REMITTED</v>
      </c>
      <c r="V1029" s="2"/>
      <c r="W1029" s="2">
        <f>IFERROR(__xludf.DUMMYFUNCTION("""COMPUTED_VALUE"""),1196.0)</f>
        <v>1196</v>
      </c>
      <c r="X1029" s="2">
        <f>IFERROR(__xludf.DUMMYFUNCTION("""COMPUTED_VALUE"""),1644.0)</f>
        <v>1644</v>
      </c>
      <c r="Y1029" s="2"/>
      <c r="Z1029" s="2"/>
      <c r="AA1029" s="2"/>
      <c r="AB1029" s="2"/>
      <c r="AC1029" s="2"/>
      <c r="AD1029" s="2"/>
      <c r="AE1029" s="2"/>
      <c r="AF1029" s="2"/>
      <c r="AG1029" s="2"/>
      <c r="AH1029" s="2"/>
      <c r="AI1029" s="2"/>
      <c r="AJ1029" s="2" t="str">
        <f>IFERROR(__xludf.DUMMYFUNCTION("""COMPUTED_VALUE"""),"Bagong Buhay")</f>
        <v>Bagong Buhay</v>
      </c>
      <c r="AK1029" s="2" t="str">
        <f>IFERROR(__xludf.DUMMYFUNCTION("""COMPUTED_VALUE"""),"Naujan")</f>
        <v>Naujan</v>
      </c>
      <c r="AL1029" s="2" t="str">
        <f>IFERROR(__xludf.DUMMYFUNCTION("""COMPUTED_VALUE"""),"Oriental Mindoro")</f>
        <v>Oriental Mindoro</v>
      </c>
      <c r="AM1029" s="2" t="str">
        <f>IFERROR(__xludf.DUMMYFUNCTION("""COMPUTED_VALUE"""),"4B")</f>
        <v>4B</v>
      </c>
      <c r="AN1029" s="2" t="str">
        <f>IFERROR(__xludf.DUMMYFUNCTION("""COMPUTED_VALUE"""),"RCEF 23-08-20 Rebidding")</f>
        <v>RCEF 23-08-20 Rebidding</v>
      </c>
      <c r="AO1029" s="2">
        <f>IFERROR(__xludf.DUMMYFUNCTION("""COMPUTED_VALUE"""),1.0)</f>
        <v>1</v>
      </c>
      <c r="AP1029" s="2"/>
      <c r="AQ1029" s="2"/>
      <c r="AR1029" s="2"/>
      <c r="AS1029" s="2"/>
      <c r="AT1029" s="2"/>
      <c r="AU1029" s="2"/>
      <c r="AV1029" s="2"/>
      <c r="AW1029" s="2"/>
      <c r="AX1029" s="2"/>
      <c r="AY1029" s="2"/>
      <c r="AZ1029" s="2"/>
      <c r="BA1029" s="2"/>
      <c r="BB1029" s="2"/>
    </row>
    <row r="1030">
      <c r="A1030" s="2">
        <f>IFERROR(__xludf.DUMMYFUNCTION("""COMPUTED_VALUE"""),1026.0)</f>
        <v>1026</v>
      </c>
      <c r="B1030" s="2" t="str">
        <f>IFERROR(__xludf.DUMMYFUNCTION("""COMPUTED_VALUE"""),"COMPLETED")</f>
        <v>COMPLETED</v>
      </c>
      <c r="C1030" s="74">
        <f>IFERROR(__xludf.DUMMYFUNCTION("""COMPUTED_VALUE"""),45823.0)</f>
        <v>45823</v>
      </c>
      <c r="D1030" s="71" t="str">
        <f>IFERROR(__xludf.DUMMYFUNCTION("""COMPUTED_VALUE"""),"TINAGO DIVINO ROSTRO FARMERS ASSOCIATION (TIDIROFA)")</f>
        <v>TINAGO DIVINO ROSTRO FARMERS ASSOCIATION (TIDIROFA)</v>
      </c>
      <c r="E1030" s="71" t="str">
        <f>IFERROR(__xludf.DUMMYFUNCTION("""COMPUTED_VALUE"""),"Tinago, Ligao City, ALBAY")</f>
        <v>Tinago, Ligao City, ALBAY</v>
      </c>
      <c r="F1030" s="2"/>
      <c r="G1030" s="2"/>
      <c r="H1030" s="2">
        <f>IFERROR(__xludf.DUMMYFUNCTION("""COMPUTED_VALUE"""),41.0)</f>
        <v>41</v>
      </c>
      <c r="I1030" s="72" t="str">
        <f>IFERROR(__xludf.DUMMYFUNCTION("""COMPUTED_VALUE"""),"PMS")</f>
        <v>PMS</v>
      </c>
      <c r="J1030" s="72" t="str">
        <f>IFERROR(__xludf.DUMMYFUNCTION("""COMPUTED_VALUE"""),"PMS")</f>
        <v>PMS</v>
      </c>
      <c r="K1030" s="72" t="str">
        <f>IFERROR(__xludf.DUMMYFUNCTION("""COMPUTED_VALUE"""),"KFS: 1ST PMS FREE")</f>
        <v>KFS: 1ST PMS FREE</v>
      </c>
      <c r="L1030" s="72" t="str">
        <f>IFERROR(__xludf.DUMMYFUNCTION("""COMPUTED_VALUE"""),"JTT: 1ST PMS DONE")</f>
        <v>JTT: 1ST PMS DONE</v>
      </c>
      <c r="M1030" s="2"/>
      <c r="N1030" s="2" t="str">
        <f>IFERROR(__xludf.DUMMYFUNCTION("""COMPUTED_VALUE"""),"PARTS:
OIL FILTER
ENGINE OIL")</f>
        <v>PARTS:
OIL FILTER
ENGINE OIL</v>
      </c>
      <c r="O1030" s="2" t="str">
        <f>IFERROR(__xludf.DUMMYFUNCTION("""COMPUTED_VALUE"""),"NEED SERVICE REPORT")</f>
        <v>NEED SERVICE REPORT</v>
      </c>
      <c r="P1030" s="2"/>
      <c r="Q1030" s="2"/>
      <c r="R1030" s="74">
        <f>IFERROR(__xludf.DUMMYFUNCTION("""COMPUTED_VALUE"""),45828.0)</f>
        <v>45828</v>
      </c>
      <c r="S1030" s="2" t="str">
        <f>IFERROR(__xludf.DUMMYFUNCTION("""COMPUTED_VALUE"""),"JTT/LBA")</f>
        <v>JTT/LBA</v>
      </c>
      <c r="T1030" s="73" t="str">
        <f>IFERROR(__xludf.DUMMYFUNCTION("""COMPUTED_VALUE""")," N/A ")</f>
        <v>N/A</v>
      </c>
      <c r="U1030" s="73" t="str">
        <f>IFERROR(__xludf.DUMMYFUNCTION("""COMPUTED_VALUE""")," NO CHARGE ")</f>
        <v>NO CHARGE</v>
      </c>
      <c r="V1030" s="2"/>
      <c r="W1030" s="2" t="str">
        <f>IFERROR(__xludf.DUMMYFUNCTION("""COMPUTED_VALUE"""),"N/A")</f>
        <v>N/A</v>
      </c>
      <c r="X1030" s="2" t="str">
        <f>IFERROR(__xludf.DUMMYFUNCTION("""COMPUTED_VALUE"""),"N/A")</f>
        <v>N/A</v>
      </c>
      <c r="Y1030" s="2"/>
      <c r="Z1030" s="2"/>
      <c r="AA1030" s="2"/>
      <c r="AB1030" s="2"/>
      <c r="AC1030" s="2"/>
      <c r="AD1030" s="2"/>
      <c r="AE1030" s="2"/>
      <c r="AF1030" s="2"/>
      <c r="AG1030" s="2"/>
      <c r="AH1030" s="2"/>
      <c r="AI1030" s="2"/>
      <c r="AJ1030" s="2" t="str">
        <f>IFERROR(__xludf.DUMMYFUNCTION("""COMPUTED_VALUE"""),"Tinago")</f>
        <v>Tinago</v>
      </c>
      <c r="AK1030" s="2" t="str">
        <f>IFERROR(__xludf.DUMMYFUNCTION("""COMPUTED_VALUE"""),"Ligao City")</f>
        <v>Ligao City</v>
      </c>
      <c r="AL1030" s="2" t="str">
        <f>IFERROR(__xludf.DUMMYFUNCTION("""COMPUTED_VALUE"""),"Albay")</f>
        <v>Albay</v>
      </c>
      <c r="AM1030" s="2">
        <f>IFERROR(__xludf.DUMMYFUNCTION("""COMPUTED_VALUE"""),5.0)</f>
        <v>5</v>
      </c>
      <c r="AN1030" s="2" t="str">
        <f>IFERROR(__xludf.DUMMYFUNCTION("""COMPUTED_VALUE"""),"RCEF 24-04-15")</f>
        <v>RCEF 24-04-15</v>
      </c>
      <c r="AO1030" s="2">
        <f>IFERROR(__xludf.DUMMYFUNCTION("""COMPUTED_VALUE"""),7.0)</f>
        <v>7</v>
      </c>
      <c r="AP1030" s="2" t="str">
        <f>IFERROR(__xludf.DUMMYFUNCTION("""COMPUTED_VALUE"""),"FREE PMS")</f>
        <v>FREE PMS</v>
      </c>
      <c r="AQ1030" s="2"/>
      <c r="AR1030" s="2"/>
      <c r="AS1030" s="2"/>
      <c r="AT1030" s="2"/>
      <c r="AU1030" s="2"/>
      <c r="AV1030" s="2"/>
      <c r="AW1030" s="2"/>
      <c r="AX1030" s="2"/>
      <c r="AY1030" s="2"/>
      <c r="AZ1030" s="2"/>
      <c r="BA1030" s="2"/>
      <c r="BB1030" s="2"/>
    </row>
    <row r="1031">
      <c r="A1031" s="2">
        <f>IFERROR(__xludf.DUMMYFUNCTION("""COMPUTED_VALUE"""),1027.0)</f>
        <v>1027</v>
      </c>
      <c r="B1031" s="2" t="str">
        <f>IFERROR(__xludf.DUMMYFUNCTION("""COMPUTED_VALUE"""),"COMPLETED")</f>
        <v>COMPLETED</v>
      </c>
      <c r="C1031" s="74">
        <f>IFERROR(__xludf.DUMMYFUNCTION("""COMPUTED_VALUE"""),45824.0)</f>
        <v>45824</v>
      </c>
      <c r="D1031" s="71" t="str">
        <f>IFERROR(__xludf.DUMMYFUNCTION("""COMPUTED_VALUE"""),"ILOG BALIWAG-SAN MIGUEL FARMERS ASSOCIATION (ISFA)")</f>
        <v>ILOG BALIWAG-SAN MIGUEL FARMERS ASSOCIATION (ISFA)</v>
      </c>
      <c r="E1031" s="71" t="str">
        <f>IFERROR(__xludf.DUMMYFUNCTION("""COMPUTED_VALUE"""),"Ilog Baliwag, Quezon, NUEVA ECIJA")</f>
        <v>Ilog Baliwag, Quezon, NUEVA ECIJA</v>
      </c>
      <c r="F1031" s="2" t="str">
        <f>IFERROR(__xludf.DUMMYFUNCTION("""COMPUTED_VALUE"""),"Bernie A. Melendez")</f>
        <v>Bernie A. Melendez</v>
      </c>
      <c r="G1031" s="2">
        <f>IFERROR(__xludf.DUMMYFUNCTION("""COMPUTED_VALUE"""),9.275180179E9)</f>
        <v>9275180179</v>
      </c>
      <c r="H1031" s="2">
        <f>IFERROR(__xludf.DUMMYFUNCTION("""COMPUTED_VALUE"""),333.0)</f>
        <v>333</v>
      </c>
      <c r="I1031" s="72" t="str">
        <f>IFERROR(__xludf.DUMMYFUNCTION("""COMPUTED_VALUE"""),"REPAIR - DISC PLOW")</f>
        <v>REPAIR - DISC PLOW</v>
      </c>
      <c r="J1031" s="72" t="str">
        <f>IFERROR(__xludf.DUMMYFUNCTION("""COMPUTED_VALUE"""),"Leak")</f>
        <v>Leak</v>
      </c>
      <c r="K1031" s="72" t="str">
        <f>IFERROR(__xludf.DUMMYFUNCTION("""COMPUTED_VALUE"""),"DSD: DISC PLOW LEAKING")</f>
        <v>DSD: DISC PLOW LEAKING</v>
      </c>
      <c r="L1031" s="72" t="str">
        <f>IFERROR(__xludf.DUMMYFUNCTION("""COMPUTED_VALUE"""),"DSD: HINIGPITAN LANG ANG 22MM NA BOLT SA LOOB NG DISC")</f>
        <v>DSD: HINIGPITAN LANG ANG 22MM NA BOLT SA LOOB NG DISC</v>
      </c>
      <c r="M1031" s="2"/>
      <c r="N1031" s="2"/>
      <c r="O1031" s="2">
        <f>IFERROR(__xludf.DUMMYFUNCTION("""COMPUTED_VALUE"""),1078.0)</f>
        <v>1078</v>
      </c>
      <c r="P1031" s="2"/>
      <c r="Q1031" s="2"/>
      <c r="R1031" s="74">
        <f>IFERROR(__xludf.DUMMYFUNCTION("""COMPUTED_VALUE"""),45824.0)</f>
        <v>45824</v>
      </c>
      <c r="S1031" s="2" t="str">
        <f>IFERROR(__xludf.DUMMYFUNCTION("""COMPUTED_VALUE"""),"DSD/CTF")</f>
        <v>DSD/CTF</v>
      </c>
      <c r="T1031" s="73" t="str">
        <f>IFERROR(__xludf.DUMMYFUNCTION("""COMPUTED_VALUE""")," N/A ")</f>
        <v>N/A</v>
      </c>
      <c r="U1031" s="73" t="str">
        <f>IFERROR(__xludf.DUMMYFUNCTION("""COMPUTED_VALUE""")," NO CHARGE ")</f>
        <v>NO CHARGE</v>
      </c>
      <c r="V1031" s="2"/>
      <c r="W1031" s="2" t="str">
        <f>IFERROR(__xludf.DUMMYFUNCTION("""COMPUTED_VALUE"""),"N/A")</f>
        <v>N/A</v>
      </c>
      <c r="X1031" s="2" t="str">
        <f>IFERROR(__xludf.DUMMYFUNCTION("""COMPUTED_VALUE"""),"N/A")</f>
        <v>N/A</v>
      </c>
      <c r="Y1031" s="2"/>
      <c r="Z1031" s="2"/>
      <c r="AA1031" s="2"/>
      <c r="AB1031" s="2"/>
      <c r="AC1031" s="2"/>
      <c r="AD1031" s="2"/>
      <c r="AE1031" s="2"/>
      <c r="AF1031" s="2"/>
      <c r="AG1031" s="2"/>
      <c r="AH1031" s="2"/>
      <c r="AI1031" s="2"/>
      <c r="AJ1031" s="2" t="str">
        <f>IFERROR(__xludf.DUMMYFUNCTION("""COMPUTED_VALUE"""),"Ilog Baliwag")</f>
        <v>Ilog Baliwag</v>
      </c>
      <c r="AK1031" s="2" t="str">
        <f>IFERROR(__xludf.DUMMYFUNCTION("""COMPUTED_VALUE"""),"Quezon")</f>
        <v>Quezon</v>
      </c>
      <c r="AL1031" s="2" t="str">
        <f>IFERROR(__xludf.DUMMYFUNCTION("""COMPUTED_VALUE"""),"Nueva Ecija")</f>
        <v>Nueva Ecija</v>
      </c>
      <c r="AM1031" s="2">
        <f>IFERROR(__xludf.DUMMYFUNCTION("""COMPUTED_VALUE"""),3.0)</f>
        <v>3</v>
      </c>
      <c r="AN1031" s="2" t="str">
        <f>IFERROR(__xludf.DUMMYFUNCTION("""COMPUTED_VALUE"""),"RCEF 24-04-15")</f>
        <v>RCEF 24-04-15</v>
      </c>
      <c r="AO1031" s="2">
        <f>IFERROR(__xludf.DUMMYFUNCTION("""COMPUTED_VALUE"""),6.0)</f>
        <v>6</v>
      </c>
      <c r="AP1031" s="2" t="str">
        <f>IFERROR(__xludf.DUMMYFUNCTION("""COMPUTED_VALUE"""),"FREE PMS")</f>
        <v>FREE PMS</v>
      </c>
      <c r="AQ1031" s="2"/>
      <c r="AR1031" s="2"/>
      <c r="AS1031" s="2"/>
      <c r="AT1031" s="2"/>
      <c r="AU1031" s="2"/>
      <c r="AV1031" s="2"/>
      <c r="AW1031" s="2"/>
      <c r="AX1031" s="2"/>
      <c r="AY1031" s="2"/>
      <c r="AZ1031" s="2"/>
      <c r="BA1031" s="2"/>
      <c r="BB1031" s="2"/>
    </row>
    <row r="1032">
      <c r="A1032" s="2">
        <f>IFERROR(__xludf.DUMMYFUNCTION("""COMPUTED_VALUE"""),1028.0)</f>
        <v>1028</v>
      </c>
      <c r="B1032" s="2" t="str">
        <f>IFERROR(__xludf.DUMMYFUNCTION("""COMPUTED_VALUE"""),"COMPLETED")</f>
        <v>COMPLETED</v>
      </c>
      <c r="C1032" s="74">
        <f>IFERROR(__xludf.DUMMYFUNCTION("""COMPUTED_VALUE"""),45824.0)</f>
        <v>45824</v>
      </c>
      <c r="D1032" s="71" t="str">
        <f>IFERROR(__xludf.DUMMYFUNCTION("""COMPUTED_VALUE"""),"SAMAHANG MAGPAPATUBIG NG BALUGO STA. MARIA AT VILLA CELESTIAL INC.")</f>
        <v>SAMAHANG MAGPAPATUBIG NG BALUGO STA. MARIA AT VILLA CELESTIAL INC.</v>
      </c>
      <c r="E1032" s="71" t="str">
        <f>IFERROR(__xludf.DUMMYFUNCTION("""COMPUTED_VALUE"""),"Balugo, Mansalay, Oriental Mindoro")</f>
        <v>Balugo, Mansalay, Oriental Mindoro</v>
      </c>
      <c r="F1032" s="2" t="str">
        <f>IFERROR(__xludf.DUMMYFUNCTION("""COMPUTED_VALUE"""),"MARIVIC DIONISIO")</f>
        <v>MARIVIC DIONISIO</v>
      </c>
      <c r="G1032" s="2">
        <f>IFERROR(__xludf.DUMMYFUNCTION("""COMPUTED_VALUE"""),9.756580836E9)</f>
        <v>9756580836</v>
      </c>
      <c r="H1032" s="2">
        <f>IFERROR(__xludf.DUMMYFUNCTION("""COMPUTED_VALUE"""),324.0)</f>
        <v>324</v>
      </c>
      <c r="I1032" s="72" t="str">
        <f>IFERROR(__xludf.DUMMYFUNCTION("""COMPUTED_VALUE"""),"REPAIR - ROTAVATOR")</f>
        <v>REPAIR - ROTAVATOR</v>
      </c>
      <c r="J1032" s="72" t="str">
        <f>IFERROR(__xludf.DUMMYFUNCTION("""COMPUTED_VALUE"""),"Gearbox")</f>
        <v>Gearbox</v>
      </c>
      <c r="K1032" s="72" t="str">
        <f>IFERROR(__xludf.DUMMYFUNCTION("""COMPUTED_VALUE"""),"RCG: NAGKARON ULIT NG DAMAGE YUNG GINAWANG ROTAVATOR, TAPOS NA ANG LAND PREP NUNG TIME NA NAGAWA ANG ROTAVATOR, PINANG HIHILA LAMANG NILA NG HARVESTER ANG TRACTOR.  NITONG LAST WEEK OF MAY NAG SIMULANG GAMITIN ANG ROTAVATOR NGUNIT AFTER 3HRS NASIRA NA ITO"&amp;"
LAST MACHINE HRS: 273
ACTUAL HRS: 324
PARTS NEEDED: BEVEL GEAR 24T , PINION GEAR 11T (WARRANTY BY LTC)
")</f>
        <v>RCG: NAGKARON ULIT NG DAMAGE YUNG GINAWANG ROTAVATOR, TAPOS NA ANG LAND PREP NUNG TIME NA NAGAWA ANG ROTAVATOR, PINANG HIHILA LAMANG NILA NG HARVESTER ANG TRACTOR.  NITONG LAST WEEK OF MAY NAG SIMULANG GAMITIN ANG ROTAVATOR NGUNIT AFTER 3HRS NASIRA NA ITO
LAST MACHINE HRS: 273
ACTUAL HRS: 324
PARTS NEEDED: BEVEL GEAR 24T , PINION GEAR 11T (WARRANTY BY LTC)
</v>
      </c>
      <c r="L1032" s="72" t="str">
        <f>IFERROR(__xludf.DUMMYFUNCTION("""COMPUTED_VALUE"""),"RCG: REPLACED BEVEL GEAR 24T AND PINION 11T (WARRANTY BY LTC)")</f>
        <v>RCG: REPLACED BEVEL GEAR 24T AND PINION 11T (WARRANTY BY LTC)</v>
      </c>
      <c r="M1032" s="2"/>
      <c r="N1032" s="2" t="str">
        <f>IFERROR(__xludf.DUMMYFUNCTION("""COMPUTED_VALUE"""),"PARTS: (WARRANTY BY LTC)
BEVEL GEAR 24T, 
PINION GEAR 11T ")</f>
        <v>PARTS: (WARRANTY BY LTC)
BEVEL GEAR 24T, 
PINION GEAR 11T </v>
      </c>
      <c r="O1032" s="2">
        <f>IFERROR(__xludf.DUMMYFUNCTION("""COMPUTED_VALUE"""),171.0)</f>
        <v>171</v>
      </c>
      <c r="P1032" s="2"/>
      <c r="Q1032" s="2"/>
      <c r="R1032" s="74">
        <f>IFERROR(__xludf.DUMMYFUNCTION("""COMPUTED_VALUE"""),45840.0)</f>
        <v>45840</v>
      </c>
      <c r="S1032" s="2" t="str">
        <f>IFERROR(__xludf.DUMMYFUNCTION("""COMPUTED_VALUE"""),"RCG/RBS")</f>
        <v>RCG/RBS</v>
      </c>
      <c r="T1032" s="73" t="str">
        <f>IFERROR(__xludf.DUMMYFUNCTION("""COMPUTED_VALUE""")," N/A ")</f>
        <v>N/A</v>
      </c>
      <c r="U1032" s="73" t="str">
        <f>IFERROR(__xludf.DUMMYFUNCTION("""COMPUTED_VALUE""")," WARRANTY BY LTC ")</f>
        <v>WARRANTY BY LTC</v>
      </c>
      <c r="V1032" s="2"/>
      <c r="W1032" s="2" t="str">
        <f>IFERROR(__xludf.DUMMYFUNCTION("""COMPUTED_VALUE"""),"N/A")</f>
        <v>N/A</v>
      </c>
      <c r="X1032" s="2" t="str">
        <f>IFERROR(__xludf.DUMMYFUNCTION("""COMPUTED_VALUE"""),"N/A")</f>
        <v>N/A</v>
      </c>
      <c r="Y1032" s="2"/>
      <c r="Z1032" s="2"/>
      <c r="AA1032" s="2"/>
      <c r="AB1032" s="2"/>
      <c r="AC1032" s="2"/>
      <c r="AD1032" s="2"/>
      <c r="AE1032" s="2"/>
      <c r="AF1032" s="2"/>
      <c r="AG1032" s="2"/>
      <c r="AH1032" s="2"/>
      <c r="AI1032" s="2"/>
      <c r="AJ1032" s="2" t="str">
        <f>IFERROR(__xludf.DUMMYFUNCTION("""COMPUTED_VALUE"""),"Balugo")</f>
        <v>Balugo</v>
      </c>
      <c r="AK1032" s="2" t="str">
        <f>IFERROR(__xludf.DUMMYFUNCTION("""COMPUTED_VALUE"""),"Mansalay")</f>
        <v>Mansalay</v>
      </c>
      <c r="AL1032" s="2" t="str">
        <f>IFERROR(__xludf.DUMMYFUNCTION("""COMPUTED_VALUE"""),"Oriental Mindoro")</f>
        <v>Oriental Mindoro</v>
      </c>
      <c r="AM1032" s="2" t="str">
        <f>IFERROR(__xludf.DUMMYFUNCTION("""COMPUTED_VALUE"""),"4B")</f>
        <v>4B</v>
      </c>
      <c r="AN1032" s="2" t="str">
        <f>IFERROR(__xludf.DUMMYFUNCTION("""COMPUTED_VALUE"""),"RCEF 23-08-20 Rebidding")</f>
        <v>RCEF 23-08-20 Rebidding</v>
      </c>
      <c r="AO1032" s="2">
        <f>IFERROR(__xludf.DUMMYFUNCTION("""COMPUTED_VALUE"""),1.0)</f>
        <v>1</v>
      </c>
      <c r="AP1032" s="2"/>
      <c r="AQ1032" s="2"/>
      <c r="AR1032" s="2"/>
      <c r="AS1032" s="2"/>
      <c r="AT1032" s="2"/>
      <c r="AU1032" s="2"/>
      <c r="AV1032" s="2"/>
      <c r="AW1032" s="2"/>
      <c r="AX1032" s="2"/>
      <c r="AY1032" s="2"/>
      <c r="AZ1032" s="2"/>
      <c r="BA1032" s="2"/>
      <c r="BB1032" s="2"/>
    </row>
    <row r="1033">
      <c r="A1033" s="2">
        <f>IFERROR(__xludf.DUMMYFUNCTION("""COMPUTED_VALUE"""),1029.0)</f>
        <v>1029</v>
      </c>
      <c r="B1033" s="2" t="str">
        <f>IFERROR(__xludf.DUMMYFUNCTION("""COMPUTED_VALUE"""),"COMPLETED")</f>
        <v>COMPLETED</v>
      </c>
      <c r="C1033" s="74">
        <f>IFERROR(__xludf.DUMMYFUNCTION("""COMPUTED_VALUE"""),45824.0)</f>
        <v>45824</v>
      </c>
      <c r="D1033" s="71" t="str">
        <f>IFERROR(__xludf.DUMMYFUNCTION("""COMPUTED_VALUE"""),"DIAGYAN MULTI FARMERS ASSOCIATION")</f>
        <v>DIAGYAN MULTI FARMERS ASSOCIATION</v>
      </c>
      <c r="E1033" s="71" t="str">
        <f>IFERROR(__xludf.DUMMYFUNCTION("""COMPUTED_VALUE"""),"DIAGYAN, DILASAG, AURORA")</f>
        <v>DIAGYAN, DILASAG, AURORA</v>
      </c>
      <c r="F1033" s="2" t="str">
        <f>IFERROR(__xludf.DUMMYFUNCTION("""COMPUTED_VALUE"""),"Vincent Bio")</f>
        <v>Vincent Bio</v>
      </c>
      <c r="G1033" s="2">
        <f>IFERROR(__xludf.DUMMYFUNCTION("""COMPUTED_VALUE"""),9.539314399E9)</f>
        <v>9539314399</v>
      </c>
      <c r="H1033" s="2">
        <f>IFERROR(__xludf.DUMMYFUNCTION("""COMPUTED_VALUE"""),635.0)</f>
        <v>635</v>
      </c>
      <c r="I1033" s="72" t="str">
        <f>IFERROR(__xludf.DUMMYFUNCTION("""COMPUTED_VALUE"""),"SPARE PARTS ACQUISITION")</f>
        <v>SPARE PARTS ACQUISITION</v>
      </c>
      <c r="J1033" s="72" t="str">
        <f>IFERROR(__xludf.DUMMYFUNCTION("""COMPUTED_VALUE"""),"PARTS REQUEST")</f>
        <v>PARTS REQUEST</v>
      </c>
      <c r="K1033" s="72" t="str">
        <f>IFERROR(__xludf.DUMMYFUNCTION("""COMPUTED_VALUE"""),"ACS: ROTAVATOR BLADES 48PCS")</f>
        <v>ACS: ROTAVATOR BLADES 48PCS</v>
      </c>
      <c r="L1033" s="72" t="str">
        <f>IFERROR(__xludf.DUMMYFUNCTION("""COMPUTED_VALUE"""),"DELIVERED")</f>
        <v>DELIVERED</v>
      </c>
      <c r="M1033" s="2"/>
      <c r="N1033" s="2" t="str">
        <f>IFERROR(__xludf.DUMMYFUNCTION("""COMPUTED_VALUE"""),"PARTS: 20-ROTAVATOR BLADES")</f>
        <v>PARTS: 20-ROTAVATOR BLADES</v>
      </c>
      <c r="O1033" s="2" t="str">
        <f>IFERROR(__xludf.DUMMYFUNCTION("""COMPUTED_VALUE"""),"N/A")</f>
        <v>N/A</v>
      </c>
      <c r="P1033" s="2"/>
      <c r="Q1033" s="2"/>
      <c r="R1033" s="74">
        <f>IFERROR(__xludf.DUMMYFUNCTION("""COMPUTED_VALUE"""),45828.0)</f>
        <v>45828</v>
      </c>
      <c r="S1033" s="2" t="str">
        <f>IFERROR(__xludf.DUMMYFUNCTION("""COMPUTED_VALUE"""),"JHP")</f>
        <v>JHP</v>
      </c>
      <c r="T1033" s="73">
        <f>IFERROR(__xludf.DUMMYFUNCTION("""COMPUTED_VALUE"""),12600.0)</f>
        <v>12600</v>
      </c>
      <c r="U1033" s="73" t="str">
        <f>IFERROR(__xludf.DUMMYFUNCTION("""COMPUTED_VALUE""")," REMITTED ")</f>
        <v>REMITTED</v>
      </c>
      <c r="V1033" s="2"/>
      <c r="W1033" s="2">
        <f>IFERROR(__xludf.DUMMYFUNCTION("""COMPUTED_VALUE"""),1078.0)</f>
        <v>1078</v>
      </c>
      <c r="X1033" s="2">
        <f>IFERROR(__xludf.DUMMYFUNCTION("""COMPUTED_VALUE"""),1417.0)</f>
        <v>1417</v>
      </c>
      <c r="Y1033" s="2"/>
      <c r="Z1033" s="2"/>
      <c r="AA1033" s="2"/>
      <c r="AB1033" s="2"/>
      <c r="AC1033" s="2"/>
      <c r="AD1033" s="2"/>
      <c r="AE1033" s="2"/>
      <c r="AF1033" s="2"/>
      <c r="AG1033" s="2"/>
      <c r="AH1033" s="2"/>
      <c r="AI1033" s="2"/>
      <c r="AJ1033" s="2" t="str">
        <f>IFERROR(__xludf.DUMMYFUNCTION("""COMPUTED_VALUE"""),"Diagyan")</f>
        <v>Diagyan</v>
      </c>
      <c r="AK1033" s="2" t="str">
        <f>IFERROR(__xludf.DUMMYFUNCTION("""COMPUTED_VALUE"""),"Dilasag")</f>
        <v>Dilasag</v>
      </c>
      <c r="AL1033" s="2" t="str">
        <f>IFERROR(__xludf.DUMMYFUNCTION("""COMPUTED_VALUE"""),"Aurora")</f>
        <v>Aurora</v>
      </c>
      <c r="AM1033" s="2">
        <f>IFERROR(__xludf.DUMMYFUNCTION("""COMPUTED_VALUE"""),3.0)</f>
        <v>3</v>
      </c>
      <c r="AN1033" s="2" t="str">
        <f>IFERROR(__xludf.DUMMYFUNCTION("""COMPUTED_VALUE"""),"RCEF 23-09-21 Rebidding")</f>
        <v>RCEF 23-09-21 Rebidding</v>
      </c>
      <c r="AO1033" s="2">
        <f>IFERROR(__xludf.DUMMYFUNCTION("""COMPUTED_VALUE"""),9.0)</f>
        <v>9</v>
      </c>
      <c r="AP1033" s="2"/>
      <c r="AQ1033" s="2"/>
      <c r="AR1033" s="2"/>
      <c r="AS1033" s="2"/>
      <c r="AT1033" s="2"/>
      <c r="AU1033" s="2"/>
      <c r="AV1033" s="2"/>
      <c r="AW1033" s="2"/>
      <c r="AX1033" s="2"/>
      <c r="AY1033" s="2"/>
      <c r="AZ1033" s="2"/>
      <c r="BA1033" s="2"/>
      <c r="BB1033" s="2"/>
    </row>
    <row r="1034">
      <c r="A1034" s="2">
        <f>IFERROR(__xludf.DUMMYFUNCTION("""COMPUTED_VALUE"""),1030.0)</f>
        <v>1030</v>
      </c>
      <c r="B1034" s="2" t="str">
        <f>IFERROR(__xludf.DUMMYFUNCTION("""COMPUTED_VALUE"""),"COMPLETED")</f>
        <v>COMPLETED</v>
      </c>
      <c r="C1034" s="74">
        <f>IFERROR(__xludf.DUMMYFUNCTION("""COMPUTED_VALUE"""),45824.0)</f>
        <v>45824</v>
      </c>
      <c r="D1034" s="71" t="str">
        <f>IFERROR(__xludf.DUMMYFUNCTION("""COMPUTED_VALUE"""),"MAGSASAKA NG BAGONG HENERASYON NG BARANGAY SIMMINUBLAN (MBHBS)")</f>
        <v>MAGSASAKA NG BAGONG HENERASYON NG BARANGAY SIMMINUBLAN (MBHBS)</v>
      </c>
      <c r="E1034" s="71" t="str">
        <f>IFERROR(__xludf.DUMMYFUNCTION("""COMPUTED_VALUE"""),"Siminublan, San Narciso, ZAMBALES")</f>
        <v>Siminublan, San Narciso, ZAMBALES</v>
      </c>
      <c r="F1034" s="2" t="str">
        <f>IFERROR(__xludf.DUMMYFUNCTION("""COMPUTED_VALUE"""),"JACQUILINE DADURAL")</f>
        <v>JACQUILINE DADURAL</v>
      </c>
      <c r="G1034" s="2">
        <f>IFERROR(__xludf.DUMMYFUNCTION("""COMPUTED_VALUE"""),9.100724561E9)</f>
        <v>9100724561</v>
      </c>
      <c r="H1034" s="2">
        <f>IFERROR(__xludf.DUMMYFUNCTION("""COMPUTED_VALUE"""),263.4)</f>
        <v>263.4</v>
      </c>
      <c r="I1034" s="72" t="str">
        <f>IFERROR(__xludf.DUMMYFUNCTION("""COMPUTED_VALUE"""),"REPAIR - TRACTOR")</f>
        <v>REPAIR - TRACTOR</v>
      </c>
      <c r="J1034" s="72" t="str">
        <f>IFERROR(__xludf.DUMMYFUNCTION("""COMPUTED_VALUE"""),"Electrical - Sensor")</f>
        <v>Electrical - Sensor</v>
      </c>
      <c r="K1034" s="72" t="str">
        <f>IFERROR(__xludf.DUMMYFUNCTION("""COMPUTED_VALUE"""),"KFS: HINDI MAGAMIT ANG TRACTOR DAHIL PATIGIL TIGIL ANG UNIT
EGT: POSSIBLE DAMAGE OF UNIT, PTO CLUTCH PACK OR PTO VALVE ASSY")</f>
        <v>KFS: HINDI MAGAMIT ANG TRACTOR DAHIL PATIGIL TIGIL ANG UNIT
EGT: POSSIBLE DAMAGE OF UNIT, PTO CLUTCH PACK OR PTO VALVE ASSY</v>
      </c>
      <c r="L1034" s="72" t="str">
        <f>IFERROR(__xludf.DUMMYFUNCTION("""COMPUTED_VALUE"""),"CFG: NILINIS LANG YUNG SENSOR, OK ANG UNIT ")</f>
        <v>CFG: NILINIS LANG YUNG SENSOR, OK ANG UNIT </v>
      </c>
      <c r="M1034" s="2"/>
      <c r="N1034" s="2"/>
      <c r="O1034" s="2" t="str">
        <f>IFERROR(__xludf.DUMMYFUNCTION("""COMPUTED_VALUE"""),"N/A")</f>
        <v>N/A</v>
      </c>
      <c r="P1034" s="2"/>
      <c r="Q1034" s="2"/>
      <c r="R1034" s="74">
        <f>IFERROR(__xludf.DUMMYFUNCTION("""COMPUTED_VALUE"""),45834.0)</f>
        <v>45834</v>
      </c>
      <c r="S1034" s="2" t="str">
        <f>IFERROR(__xludf.DUMMYFUNCTION("""COMPUTED_VALUE"""),"CFG/JVV")</f>
        <v>CFG/JVV</v>
      </c>
      <c r="T1034" s="73" t="str">
        <f>IFERROR(__xludf.DUMMYFUNCTION("""COMPUTED_VALUE""")," N/A ")</f>
        <v>N/A</v>
      </c>
      <c r="U1034" s="73" t="str">
        <f>IFERROR(__xludf.DUMMYFUNCTION("""COMPUTED_VALUE""")," NO CHARGE ")</f>
        <v>NO CHARGE</v>
      </c>
      <c r="V1034" s="2"/>
      <c r="W1034" s="2" t="str">
        <f>IFERROR(__xludf.DUMMYFUNCTION("""COMPUTED_VALUE"""),"N/A")</f>
        <v>N/A</v>
      </c>
      <c r="X1034" s="2" t="str">
        <f>IFERROR(__xludf.DUMMYFUNCTION("""COMPUTED_VALUE"""),"N/A")</f>
        <v>N/A</v>
      </c>
      <c r="Y1034" s="2"/>
      <c r="Z1034" s="2"/>
      <c r="AA1034" s="2"/>
      <c r="AB1034" s="2"/>
      <c r="AC1034" s="2"/>
      <c r="AD1034" s="2"/>
      <c r="AE1034" s="2"/>
      <c r="AF1034" s="2"/>
      <c r="AG1034" s="2"/>
      <c r="AH1034" s="2"/>
      <c r="AI1034" s="2"/>
      <c r="AJ1034" s="2" t="str">
        <f>IFERROR(__xludf.DUMMYFUNCTION("""COMPUTED_VALUE"""),"Siminublan")</f>
        <v>Siminublan</v>
      </c>
      <c r="AK1034" s="2" t="str">
        <f>IFERROR(__xludf.DUMMYFUNCTION("""COMPUTED_VALUE"""),"San Narciso")</f>
        <v>San Narciso</v>
      </c>
      <c r="AL1034" s="2" t="str">
        <f>IFERROR(__xludf.DUMMYFUNCTION("""COMPUTED_VALUE"""),"Zambales")</f>
        <v>Zambales</v>
      </c>
      <c r="AM1034" s="2">
        <f>IFERROR(__xludf.DUMMYFUNCTION("""COMPUTED_VALUE"""),3.0)</f>
        <v>3</v>
      </c>
      <c r="AN1034" s="2" t="str">
        <f>IFERROR(__xludf.DUMMYFUNCTION("""COMPUTED_VALUE"""),"RCEF 23-09-21 Rebidding")</f>
        <v>RCEF 23-09-21 Rebidding</v>
      </c>
      <c r="AO1034" s="2">
        <f>IFERROR(__xludf.DUMMYFUNCTION("""COMPUTED_VALUE"""),9.0)</f>
        <v>9</v>
      </c>
      <c r="AP1034" s="2"/>
      <c r="AQ1034" s="2"/>
      <c r="AR1034" s="2"/>
      <c r="AS1034" s="2"/>
      <c r="AT1034" s="2"/>
      <c r="AU1034" s="2"/>
      <c r="AV1034" s="2"/>
      <c r="AW1034" s="2"/>
      <c r="AX1034" s="2"/>
      <c r="AY1034" s="2"/>
      <c r="AZ1034" s="2"/>
      <c r="BA1034" s="2"/>
      <c r="BB1034" s="2"/>
    </row>
    <row r="1035">
      <c r="A1035" s="2">
        <f>IFERROR(__xludf.DUMMYFUNCTION("""COMPUTED_VALUE"""),1031.0)</f>
        <v>1031</v>
      </c>
      <c r="B1035" s="2" t="str">
        <f>IFERROR(__xludf.DUMMYFUNCTION("""COMPUTED_VALUE"""),"COMPLETED")</f>
        <v>COMPLETED</v>
      </c>
      <c r="C1035" s="74">
        <f>IFERROR(__xludf.DUMMYFUNCTION("""COMPUTED_VALUE"""),45824.0)</f>
        <v>45824</v>
      </c>
      <c r="D1035" s="71" t="str">
        <f>IFERROR(__xludf.DUMMYFUNCTION("""COMPUTED_VALUE"""),"BARANGAY BAGONG SIKAT FARMERS ASSOCIATION")</f>
        <v>BARANGAY BAGONG SIKAT FARMERS ASSOCIATION</v>
      </c>
      <c r="E1035" s="71" t="str">
        <f>IFERROR(__xludf.DUMMYFUNCTION("""COMPUTED_VALUE"""),"Bagong Sikat, Cabanatuan City, NUEVA ECIJA")</f>
        <v>Bagong Sikat, Cabanatuan City, NUEVA ECIJA</v>
      </c>
      <c r="F1035" s="2" t="str">
        <f>IFERROR(__xludf.DUMMYFUNCTION("""COMPUTED_VALUE"""),"MANOLITO DELOS REYES")</f>
        <v>MANOLITO DELOS REYES</v>
      </c>
      <c r="G1035" s="2">
        <f>IFERROR(__xludf.DUMMYFUNCTION("""COMPUTED_VALUE"""),9.388270938E9)</f>
        <v>9388270938</v>
      </c>
      <c r="H1035" s="2"/>
      <c r="I1035" s="72" t="str">
        <f>IFERROR(__xludf.DUMMYFUNCTION("""COMPUTED_VALUE"""),"REPAIR - TRACTOR")</f>
        <v>REPAIR - TRACTOR</v>
      </c>
      <c r="J1035" s="72" t="str">
        <f>IFERROR(__xludf.DUMMYFUNCTION("""COMPUTED_VALUE"""),"Engine - Leaking")</f>
        <v>Engine - Leaking</v>
      </c>
      <c r="K1035" s="72" t="str">
        <f>IFERROR(__xludf.DUMMYFUNCTION("""COMPUTED_VALUE"""),"MYK: MAY LEAKING SA GITNA NG TRANSMISSION AT ENGINE
1089:DSD:7/21/25
NAG LEAK SA FLANGE MOUNTING")</f>
        <v>MYK: MAY LEAKING SA GITNA NG TRANSMISSION AT ENGINE
1089:DSD:7/21/25
NAG LEAK SA FLANGE MOUNTING</v>
      </c>
      <c r="L1035" s="72" t="str">
        <f>IFERROR(__xludf.DUMMYFUNCTION("""COMPUTED_VALUE"""),"JVV: May tumutulo daw po na langis sa makina chineck po namin pinaandar namin para obserbahan ok naman na po wala naman pong tumutulo or leack, tatawag nalang daw po ulit sila kung sakaling may mag leack ulit sa makina")</f>
        <v>JVV: May tumutulo daw po na langis sa makina chineck po namin pinaandar namin para obserbahan ok naman na po wala naman pong tumutulo or leack, tatawag nalang daw po ulit sila kung sakaling may mag leack ulit sa makina</v>
      </c>
      <c r="M1035" s="2"/>
      <c r="N1035" s="2"/>
      <c r="O1035" s="2" t="str">
        <f>IFERROR(__xludf.DUMMYFUNCTION("""COMPUTED_VALUE"""),"N/A")</f>
        <v>N/A</v>
      </c>
      <c r="P1035" s="2"/>
      <c r="Q1035" s="2" t="str">
        <f>IFERROR(__xludf.DUMMYFUNCTION("""COMPUTED_VALUE"""),"N")</f>
        <v>N</v>
      </c>
      <c r="R1035" s="74">
        <f>IFERROR(__xludf.DUMMYFUNCTION("""COMPUTED_VALUE"""),45912.0)</f>
        <v>45912</v>
      </c>
      <c r="S1035" s="2" t="str">
        <f>IFERROR(__xludf.DUMMYFUNCTION("""COMPUTED_VALUE"""),"JVV")</f>
        <v>JVV</v>
      </c>
      <c r="T1035" s="73" t="str">
        <f>IFERROR(__xludf.DUMMYFUNCTION("""COMPUTED_VALUE""")," n/a ")</f>
        <v>n/a</v>
      </c>
      <c r="U1035" s="73" t="str">
        <f>IFERROR(__xludf.DUMMYFUNCTION("""COMPUTED_VALUE""")," NO CHARGE ")</f>
        <v>NO CHARGE</v>
      </c>
      <c r="V1035" s="2"/>
      <c r="W1035" s="2" t="str">
        <f>IFERROR(__xludf.DUMMYFUNCTION("""COMPUTED_VALUE"""),"N/A")</f>
        <v>N/A</v>
      </c>
      <c r="X1035" s="2" t="str">
        <f>IFERROR(__xludf.DUMMYFUNCTION("""COMPUTED_VALUE"""),"N/A")</f>
        <v>N/A</v>
      </c>
      <c r="Y1035" s="2"/>
      <c r="Z1035" s="2"/>
      <c r="AA1035" s="2"/>
      <c r="AB1035" s="2"/>
      <c r="AC1035" s="2"/>
      <c r="AD1035" s="2"/>
      <c r="AE1035" s="2"/>
      <c r="AF1035" s="2"/>
      <c r="AG1035" s="2"/>
      <c r="AH1035" s="2"/>
      <c r="AI1035" s="2"/>
      <c r="AJ1035" s="2" t="str">
        <f>IFERROR(__xludf.DUMMYFUNCTION("""COMPUTED_VALUE"""),"Bagong Sikat")</f>
        <v>Bagong Sikat</v>
      </c>
      <c r="AK1035" s="2" t="str">
        <f>IFERROR(__xludf.DUMMYFUNCTION("""COMPUTED_VALUE"""),"Cabanatuan City")</f>
        <v>Cabanatuan City</v>
      </c>
      <c r="AL1035" s="2" t="str">
        <f>IFERROR(__xludf.DUMMYFUNCTION("""COMPUTED_VALUE"""),"Nueva Ecija")</f>
        <v>Nueva Ecija</v>
      </c>
      <c r="AM1035" s="2">
        <f>IFERROR(__xludf.DUMMYFUNCTION("""COMPUTED_VALUE"""),3.0)</f>
        <v>3</v>
      </c>
      <c r="AN1035" s="2" t="str">
        <f>IFERROR(__xludf.DUMMYFUNCTION("""COMPUTED_VALUE"""),"RCEF 23-09-21 Rebidding")</f>
        <v>RCEF 23-09-21 Rebidding</v>
      </c>
      <c r="AO1035" s="2">
        <f>IFERROR(__xludf.DUMMYFUNCTION("""COMPUTED_VALUE"""),3.0)</f>
        <v>3</v>
      </c>
      <c r="AP1035" s="2"/>
      <c r="AQ1035" s="2"/>
      <c r="AR1035" s="2"/>
      <c r="AS1035" s="2"/>
      <c r="AT1035" s="2"/>
      <c r="AU1035" s="2"/>
      <c r="AV1035" s="2"/>
      <c r="AW1035" s="2"/>
      <c r="AX1035" s="2"/>
      <c r="AY1035" s="2"/>
      <c r="AZ1035" s="2"/>
      <c r="BA1035" s="2"/>
      <c r="BB1035" s="2"/>
    </row>
    <row r="1036">
      <c r="A1036" s="2">
        <f>IFERROR(__xludf.DUMMYFUNCTION("""COMPUTED_VALUE"""),1032.0)</f>
        <v>1032</v>
      </c>
      <c r="B1036" s="2" t="str">
        <f>IFERROR(__xludf.DUMMYFUNCTION("""COMPUTED_VALUE"""),"COMPLETED")</f>
        <v>COMPLETED</v>
      </c>
      <c r="C1036" s="74">
        <f>IFERROR(__xludf.DUMMYFUNCTION("""COMPUTED_VALUE"""),45824.0)</f>
        <v>45824</v>
      </c>
      <c r="D1036" s="71" t="str">
        <f>IFERROR(__xludf.DUMMYFUNCTION("""COMPUTED_VALUE"""),"Nancamaliran West Biskeg Farmers Association")</f>
        <v>Nancamaliran West Biskeg Farmers Association</v>
      </c>
      <c r="E1036" s="71" t="str">
        <f>IFERROR(__xludf.DUMMYFUNCTION("""COMPUTED_VALUE"""),"Nancamaliran West, Urdaneta City, PANGASINAN")</f>
        <v>Nancamaliran West, Urdaneta City, PANGASINAN</v>
      </c>
      <c r="F1036" s="2" t="str">
        <f>IFERROR(__xludf.DUMMYFUNCTION("""COMPUTED_VALUE"""),"REYNALDO TABAS")</f>
        <v>REYNALDO TABAS</v>
      </c>
      <c r="G1036" s="2">
        <f>IFERROR(__xludf.DUMMYFUNCTION("""COMPUTED_VALUE"""),9.090340851E9)</f>
        <v>9090340851</v>
      </c>
      <c r="H1036" s="2">
        <f>IFERROR(__xludf.DUMMYFUNCTION("""COMPUTED_VALUE"""),355.0)</f>
        <v>355</v>
      </c>
      <c r="I1036" s="72" t="str">
        <f>IFERROR(__xludf.DUMMYFUNCTION("""COMPUTED_VALUE"""),"REPAIR - TRACTOR")</f>
        <v>REPAIR - TRACTOR</v>
      </c>
      <c r="J1036" s="72" t="str">
        <f>IFERROR(__xludf.DUMMYFUNCTION("""COMPUTED_VALUE"""),"Front Axle - Leaking")</f>
        <v>Front Axle - Leaking</v>
      </c>
      <c r="K1036" s="72" t="str">
        <f>IFERROR(__xludf.DUMMYFUNCTION("""COMPUTED_VALUE"""),"JDP: 2ND PMS: May Leak po tumatagas po yung gear oil sa rim nya pa order po ako dalawang oil seal, salamat
PARTS: Oil seal/ NAK AP6 *57 *80 *17")</f>
        <v>JDP: 2ND PMS: May Leak po tumatagas po yung gear oil sa rim nya pa order po ako dalawang oil seal, salamat
PARTS: Oil seal/ NAK AP6 *57 *80 *17</v>
      </c>
      <c r="L1036" s="72" t="str">
        <f>IFERROR(__xludf.DUMMYFUNCTION("""COMPUTED_VALUE"""),"N/A")</f>
        <v>N/A</v>
      </c>
      <c r="M1036" s="2"/>
      <c r="N1036" s="2"/>
      <c r="O1036" s="2" t="str">
        <f>IFERROR(__xludf.DUMMYFUNCTION("""COMPUTED_VALUE"""),"N/A")</f>
        <v>N/A</v>
      </c>
      <c r="P1036" s="2"/>
      <c r="Q1036" s="2"/>
      <c r="R1036" s="74">
        <f>IFERROR(__xludf.DUMMYFUNCTION("""COMPUTED_VALUE"""),45831.0)</f>
        <v>45831</v>
      </c>
      <c r="S1036" s="2" t="str">
        <f>IFERROR(__xludf.DUMMYFUNCTION("""COMPUTED_VALUE"""),"DSD/JDP")</f>
        <v>DSD/JDP</v>
      </c>
      <c r="T1036" s="73" t="str">
        <f>IFERROR(__xludf.DUMMYFUNCTION("""COMPUTED_VALUE""")," N/A ")</f>
        <v>N/A</v>
      </c>
      <c r="U1036" s="73" t="str">
        <f>IFERROR(__xludf.DUMMYFUNCTION("""COMPUTED_VALUE""")," NO CHARGE ")</f>
        <v>NO CHARGE</v>
      </c>
      <c r="V1036" s="2"/>
      <c r="W1036" s="2" t="str">
        <f>IFERROR(__xludf.DUMMYFUNCTION("""COMPUTED_VALUE"""),"N/A")</f>
        <v>N/A</v>
      </c>
      <c r="X1036" s="2" t="str">
        <f>IFERROR(__xludf.DUMMYFUNCTION("""COMPUTED_VALUE"""),"N/A")</f>
        <v>N/A</v>
      </c>
      <c r="Y1036" s="2"/>
      <c r="Z1036" s="2"/>
      <c r="AA1036" s="2"/>
      <c r="AB1036" s="2"/>
      <c r="AC1036" s="2"/>
      <c r="AD1036" s="2"/>
      <c r="AE1036" s="2"/>
      <c r="AF1036" s="2"/>
      <c r="AG1036" s="2"/>
      <c r="AH1036" s="2"/>
      <c r="AI1036" s="2"/>
      <c r="AJ1036" s="2" t="str">
        <f>IFERROR(__xludf.DUMMYFUNCTION("""COMPUTED_VALUE"""),"Nancamaliran West")</f>
        <v>Nancamaliran West</v>
      </c>
      <c r="AK1036" s="2" t="str">
        <f>IFERROR(__xludf.DUMMYFUNCTION("""COMPUTED_VALUE"""),"Urdaneta City")</f>
        <v>Urdaneta City</v>
      </c>
      <c r="AL1036" s="2" t="str">
        <f>IFERROR(__xludf.DUMMYFUNCTION("""COMPUTED_VALUE"""),"Pangasinan")</f>
        <v>Pangasinan</v>
      </c>
      <c r="AM1036" s="2">
        <f>IFERROR(__xludf.DUMMYFUNCTION("""COMPUTED_VALUE"""),1.0)</f>
        <v>1</v>
      </c>
      <c r="AN1036" s="2" t="str">
        <f>IFERROR(__xludf.DUMMYFUNCTION("""COMPUTED_VALUE"""),"RCEF 23-09-21 Rebidding")</f>
        <v>RCEF 23-09-21 Rebidding</v>
      </c>
      <c r="AO1036" s="2">
        <f>IFERROR(__xludf.DUMMYFUNCTION("""COMPUTED_VALUE"""),2.0)</f>
        <v>2</v>
      </c>
      <c r="AP1036" s="2"/>
      <c r="AQ1036" s="2"/>
      <c r="AR1036" s="2"/>
      <c r="AS1036" s="2"/>
      <c r="AT1036" s="2"/>
      <c r="AU1036" s="2"/>
      <c r="AV1036" s="2"/>
      <c r="AW1036" s="2"/>
      <c r="AX1036" s="2"/>
      <c r="AY1036" s="2"/>
      <c r="AZ1036" s="2"/>
      <c r="BA1036" s="2"/>
      <c r="BB1036" s="2"/>
    </row>
    <row r="1037">
      <c r="A1037" s="2">
        <f>IFERROR(__xludf.DUMMYFUNCTION("""COMPUTED_VALUE"""),1033.0)</f>
        <v>1033</v>
      </c>
      <c r="B1037" s="2" t="str">
        <f>IFERROR(__xludf.DUMMYFUNCTION("""COMPUTED_VALUE"""),"COMPLETED")</f>
        <v>COMPLETED</v>
      </c>
      <c r="C1037" s="74">
        <f>IFERROR(__xludf.DUMMYFUNCTION("""COMPUTED_VALUE"""),45824.0)</f>
        <v>45824</v>
      </c>
      <c r="D1037" s="71" t="str">
        <f>IFERROR(__xludf.DUMMYFUNCTION("""COMPUTED_VALUE"""),"CATAO-NAMBARAN FARMERS IRRIGATORS
  ASSOCIATION INC.")</f>
        <v>CATAO-NAMBARAN FARMERS IRRIGATORS
  ASSOCIATION INC.</v>
      </c>
      <c r="E1037" s="71" t="str">
        <f>IFERROR(__xludf.DUMMYFUNCTION("""COMPUTED_VALUE"""),"Nambaran, Tabuk City, KALINGA")</f>
        <v>Nambaran, Tabuk City, KALINGA</v>
      </c>
      <c r="F1037" s="2" t="str">
        <f>IFERROR(__xludf.DUMMYFUNCTION("""COMPUTED_VALUE"""),"CATAO NAMBARAN FARMERS IRRIGATORS ASSC. INC
BERNABE")</f>
        <v>CATAO NAMBARAN FARMERS IRRIGATORS ASSC. INC
BERNABE</v>
      </c>
      <c r="G1037" s="2"/>
      <c r="H1037" s="2">
        <f>IFERROR(__xludf.DUMMYFUNCTION("""COMPUTED_VALUE"""),107.0)</f>
        <v>107</v>
      </c>
      <c r="I1037" s="72" t="str">
        <f>IFERROR(__xludf.DUMMYFUNCTION("""COMPUTED_VALUE"""),"PMS")</f>
        <v>PMS</v>
      </c>
      <c r="J1037" s="72" t="str">
        <f>IFERROR(__xludf.DUMMYFUNCTION("""COMPUTED_VALUE"""),"PMS")</f>
        <v>PMS</v>
      </c>
      <c r="K1037" s="72" t="str">
        <f>IFERROR(__xludf.DUMMYFUNCTION("""COMPUTED_VALUE"""),"CFG: 1ST PMS FREE")</f>
        <v>CFG: 1ST PMS FREE</v>
      </c>
      <c r="L1037" s="72" t="str">
        <f>IFERROR(__xludf.DUMMYFUNCTION("""COMPUTED_VALUE"""),"CFG: 1ST PMS DONE")</f>
        <v>CFG: 1ST PMS DONE</v>
      </c>
      <c r="M1037" s="2"/>
      <c r="N1037" s="2" t="str">
        <f>IFERROR(__xludf.DUMMYFUNCTION("""COMPUTED_VALUE"""),"PARTS: OIL FILTER, ENGINE OIL")</f>
        <v>PARTS: OIL FILTER, ENGINE OIL</v>
      </c>
      <c r="O1037" s="2">
        <f>IFERROR(__xludf.DUMMYFUNCTION("""COMPUTED_VALUE"""),1183.0)</f>
        <v>1183</v>
      </c>
      <c r="P1037" s="2"/>
      <c r="Q1037" s="2"/>
      <c r="R1037" s="74">
        <f>IFERROR(__xludf.DUMMYFUNCTION("""COMPUTED_VALUE"""),45824.0)</f>
        <v>45824</v>
      </c>
      <c r="S1037" s="2" t="str">
        <f>IFERROR(__xludf.DUMMYFUNCTION("""COMPUTED_VALUE"""),"CFG")</f>
        <v>CFG</v>
      </c>
      <c r="T1037" s="73" t="str">
        <f>IFERROR(__xludf.DUMMYFUNCTION("""COMPUTED_VALUE""")," N/A ")</f>
        <v>N/A</v>
      </c>
      <c r="U1037" s="73" t="str">
        <f>IFERROR(__xludf.DUMMYFUNCTION("""COMPUTED_VALUE""")," NO CHARGE ")</f>
        <v>NO CHARGE</v>
      </c>
      <c r="V1037" s="2"/>
      <c r="W1037" s="2" t="str">
        <f>IFERROR(__xludf.DUMMYFUNCTION("""COMPUTED_VALUE"""),"N/A")</f>
        <v>N/A</v>
      </c>
      <c r="X1037" s="2" t="str">
        <f>IFERROR(__xludf.DUMMYFUNCTION("""COMPUTED_VALUE"""),"N/A")</f>
        <v>N/A</v>
      </c>
      <c r="Y1037" s="2"/>
      <c r="Z1037" s="2"/>
      <c r="AA1037" s="2"/>
      <c r="AB1037" s="2"/>
      <c r="AC1037" s="2"/>
      <c r="AD1037" s="2"/>
      <c r="AE1037" s="2"/>
      <c r="AF1037" s="2"/>
      <c r="AG1037" s="2"/>
      <c r="AH1037" s="2"/>
      <c r="AI1037" s="2"/>
      <c r="AJ1037" s="2" t="str">
        <f>IFERROR(__xludf.DUMMYFUNCTION("""COMPUTED_VALUE"""),"Nambaran")</f>
        <v>Nambaran</v>
      </c>
      <c r="AK1037" s="2" t="str">
        <f>IFERROR(__xludf.DUMMYFUNCTION("""COMPUTED_VALUE"""),"Tabuk City")</f>
        <v>Tabuk City</v>
      </c>
      <c r="AL1037" s="2" t="str">
        <f>IFERROR(__xludf.DUMMYFUNCTION("""COMPUTED_VALUE"""),"Kalinga")</f>
        <v>Kalinga</v>
      </c>
      <c r="AM1037" s="2" t="str">
        <f>IFERROR(__xludf.DUMMYFUNCTION("""COMPUTED_VALUE"""),"CAR")</f>
        <v>CAR</v>
      </c>
      <c r="AN1037" s="2" t="str">
        <f>IFERROR(__xludf.DUMMYFUNCTION("""COMPUTED_VALUE"""),"RCEF 24-04-15")</f>
        <v>RCEF 24-04-15</v>
      </c>
      <c r="AO1037" s="2">
        <f>IFERROR(__xludf.DUMMYFUNCTION("""COMPUTED_VALUE"""),6.0)</f>
        <v>6</v>
      </c>
      <c r="AP1037" s="2" t="str">
        <f>IFERROR(__xludf.DUMMYFUNCTION("""COMPUTED_VALUE"""),"FREE PMS")</f>
        <v>FREE PMS</v>
      </c>
      <c r="AQ1037" s="2"/>
      <c r="AR1037" s="2"/>
      <c r="AS1037" s="2"/>
      <c r="AT1037" s="2"/>
      <c r="AU1037" s="2"/>
      <c r="AV1037" s="2"/>
      <c r="AW1037" s="2"/>
      <c r="AX1037" s="2"/>
      <c r="AY1037" s="2"/>
      <c r="AZ1037" s="2"/>
      <c r="BA1037" s="2"/>
      <c r="BB1037" s="2"/>
    </row>
    <row r="1038">
      <c r="A1038" s="2">
        <f>IFERROR(__xludf.DUMMYFUNCTION("""COMPUTED_VALUE"""),1034.0)</f>
        <v>1034</v>
      </c>
      <c r="B1038" s="2" t="str">
        <f>IFERROR(__xludf.DUMMYFUNCTION("""COMPUTED_VALUE"""),"COMPLETED")</f>
        <v>COMPLETED</v>
      </c>
      <c r="C1038" s="74">
        <f>IFERROR(__xludf.DUMMYFUNCTION("""COMPUTED_VALUE"""),45824.0)</f>
        <v>45824</v>
      </c>
      <c r="D1038" s="71" t="str">
        <f>IFERROR(__xludf.DUMMYFUNCTION("""COMPUTED_VALUE"""),"ABANTE BALITE UNITED FARMERS ASSOCIATION INC.")</f>
        <v>ABANTE BALITE UNITED FARMERS ASSOCIATION INC.</v>
      </c>
      <c r="E1038" s="71" t="str">
        <f>IFERROR(__xludf.DUMMYFUNCTION("""COMPUTED_VALUE"""),"Balite, Malasiqui, PANGASINAN")</f>
        <v>Balite, Malasiqui, PANGASINAN</v>
      </c>
      <c r="F1038" s="2" t="str">
        <f>IFERROR(__xludf.DUMMYFUNCTION("""COMPUTED_VALUE"""),"ALFONSO PARAYNO")</f>
        <v>ALFONSO PARAYNO</v>
      </c>
      <c r="G1038" s="2">
        <f>IFERROR(__xludf.DUMMYFUNCTION("""COMPUTED_VALUE"""),9.486127964E9)</f>
        <v>9486127964</v>
      </c>
      <c r="H1038" s="2">
        <f>IFERROR(__xludf.DUMMYFUNCTION("""COMPUTED_VALUE"""),166.9)</f>
        <v>166.9</v>
      </c>
      <c r="I1038" s="72" t="str">
        <f>IFERROR(__xludf.DUMMYFUNCTION("""COMPUTED_VALUE"""),"PMS")</f>
        <v>PMS</v>
      </c>
      <c r="J1038" s="72" t="str">
        <f>IFERROR(__xludf.DUMMYFUNCTION("""COMPUTED_VALUE"""),"PMS")</f>
        <v>PMS</v>
      </c>
      <c r="K1038" s="72" t="str">
        <f>IFERROR(__xludf.DUMMYFUNCTION("""COMPUTED_VALUE"""),"MYK: CHANGE OIL AT HUMIHINA ANG HATAK NG MAKINA")</f>
        <v>MYK: CHANGE OIL AT HUMIHINA ANG HATAK NG MAKINA</v>
      </c>
      <c r="L1038" s="72" t="str">
        <f>IFERROR(__xludf.DUMMYFUNCTION("""COMPUTED_VALUE"""),"DSD:  KULANG ANG HYRDAULIC OIL KAYA MAHINA ANG BATAK NG MAKINA AT NI PMS NADIN NAMIN")</f>
        <v>DSD:  KULANG ANG HYRDAULIC OIL KAYA MAHINA ANG BATAK NG MAKINA AT NI PMS NADIN NAMIN</v>
      </c>
      <c r="M1038" s="2"/>
      <c r="N1038" s="2" t="str">
        <f>IFERROR(__xludf.DUMMYFUNCTION("""COMPUTED_VALUE"""),"PARTS: 
ENGINE OIL
OIL FILTER")</f>
        <v>PARTS: 
ENGINE OIL
OIL FILTER</v>
      </c>
      <c r="O1038" s="2">
        <f>IFERROR(__xludf.DUMMYFUNCTION("""COMPUTED_VALUE"""),1080.0)</f>
        <v>1080</v>
      </c>
      <c r="P1038" s="2" t="str">
        <f>IFERROR(__xludf.DUMMYFUNCTION("""COMPUTED_VALUE"""),"1080-ABANTE BALITE UNITED FARMERS ASSOCIATION(1).pdf")</f>
        <v>1080-ABANTE BALITE UNITED FARMERS ASSOCIATION(1).pdf</v>
      </c>
      <c r="Q1038" s="2" t="str">
        <f>IFERROR(__xludf.DUMMYFUNCTION("""COMPUTED_VALUE"""),"Y")</f>
        <v>Y</v>
      </c>
      <c r="R1038" s="74">
        <f>IFERROR(__xludf.DUMMYFUNCTION("""COMPUTED_VALUE"""),45831.0)</f>
        <v>45831</v>
      </c>
      <c r="S1038" s="2" t="str">
        <f>IFERROR(__xludf.DUMMYFUNCTION("""COMPUTED_VALUE"""),"DSD/JDP")</f>
        <v>DSD/JDP</v>
      </c>
      <c r="T1038" s="73">
        <f>IFERROR(__xludf.DUMMYFUNCTION("""COMPUTED_VALUE"""),3300.0)</f>
        <v>3300</v>
      </c>
      <c r="U1038" s="73" t="str">
        <f>IFERROR(__xludf.DUMMYFUNCTION("""COMPUTED_VALUE""")," REMITTED ")</f>
        <v>REMITTED</v>
      </c>
      <c r="V1038" s="2"/>
      <c r="W1038" s="2">
        <f>IFERROR(__xludf.DUMMYFUNCTION("""COMPUTED_VALUE"""),1602.0)</f>
        <v>1602</v>
      </c>
      <c r="X1038" s="2"/>
      <c r="Y1038" s="2"/>
      <c r="Z1038" s="2"/>
      <c r="AA1038" s="2"/>
      <c r="AB1038" s="2"/>
      <c r="AC1038" s="2"/>
      <c r="AD1038" s="2"/>
      <c r="AE1038" s="2"/>
      <c r="AF1038" s="2"/>
      <c r="AG1038" s="2"/>
      <c r="AH1038" s="2"/>
      <c r="AI1038" s="2"/>
      <c r="AJ1038" s="2" t="str">
        <f>IFERROR(__xludf.DUMMYFUNCTION("""COMPUTED_VALUE"""),"Balite")</f>
        <v>Balite</v>
      </c>
      <c r="AK1038" s="2" t="str">
        <f>IFERROR(__xludf.DUMMYFUNCTION("""COMPUTED_VALUE"""),"Malasiqui")</f>
        <v>Malasiqui</v>
      </c>
      <c r="AL1038" s="2" t="str">
        <f>IFERROR(__xludf.DUMMYFUNCTION("""COMPUTED_VALUE"""),"Pangasinan")</f>
        <v>Pangasinan</v>
      </c>
      <c r="AM1038" s="2">
        <f>IFERROR(__xludf.DUMMYFUNCTION("""COMPUTED_VALUE"""),1.0)</f>
        <v>1</v>
      </c>
      <c r="AN1038" s="2" t="str">
        <f>IFERROR(__xludf.DUMMYFUNCTION("""COMPUTED_VALUE"""),"RCEF 24-04-15")</f>
        <v>RCEF 24-04-15</v>
      </c>
      <c r="AO1038" s="2">
        <f>IFERROR(__xludf.DUMMYFUNCTION("""COMPUTED_VALUE"""),6.0)</f>
        <v>6</v>
      </c>
      <c r="AP1038" s="2" t="str">
        <f>IFERROR(__xludf.DUMMYFUNCTION("""COMPUTED_VALUE"""),"FREE PMS")</f>
        <v>FREE PMS</v>
      </c>
      <c r="AQ1038" s="2"/>
      <c r="AR1038" s="2"/>
      <c r="AS1038" s="2"/>
      <c r="AT1038" s="2"/>
      <c r="AU1038" s="2"/>
      <c r="AV1038" s="2"/>
      <c r="AW1038" s="2"/>
      <c r="AX1038" s="2"/>
      <c r="AY1038" s="2"/>
      <c r="AZ1038" s="2"/>
      <c r="BA1038" s="2"/>
      <c r="BB1038" s="2"/>
    </row>
    <row r="1039">
      <c r="A1039" s="2">
        <f>IFERROR(__xludf.DUMMYFUNCTION("""COMPUTED_VALUE"""),1035.0)</f>
        <v>1035</v>
      </c>
      <c r="B1039" s="2" t="str">
        <f>IFERROR(__xludf.DUMMYFUNCTION("""COMPUTED_VALUE"""),"COMPLETED")</f>
        <v>COMPLETED</v>
      </c>
      <c r="C1039" s="74">
        <f>IFERROR(__xludf.DUMMYFUNCTION("""COMPUTED_VALUE"""),45824.0)</f>
        <v>45824</v>
      </c>
      <c r="D1039" s="71" t="str">
        <f>IFERROR(__xludf.DUMMYFUNCTION("""COMPUTED_VALUE"""),"Cubay Evangelical Farmers Association")</f>
        <v>Cubay Evangelical Farmers Association</v>
      </c>
      <c r="E1039" s="71" t="str">
        <f>IFERROR(__xludf.DUMMYFUNCTION("""COMPUTED_VALUE"""),"Poblacion, Bingawan, ILOILO")</f>
        <v>Poblacion, Bingawan, ILOILO</v>
      </c>
      <c r="F1039" s="2" t="str">
        <f>IFERROR(__xludf.DUMMYFUNCTION("""COMPUTED_VALUE"""),"MARYSAN ANRDAMOY")</f>
        <v>MARYSAN ANRDAMOY</v>
      </c>
      <c r="G1039" s="2">
        <f>IFERROR(__xludf.DUMMYFUNCTION("""COMPUTED_VALUE"""),9.100619193E9)</f>
        <v>9100619193</v>
      </c>
      <c r="H1039" s="2">
        <f>IFERROR(__xludf.DUMMYFUNCTION("""COMPUTED_VALUE"""),400.0)</f>
        <v>400</v>
      </c>
      <c r="I1039" s="72" t="str">
        <f>IFERROR(__xludf.DUMMYFUNCTION("""COMPUTED_VALUE"""),"SPARE PARTS ACQUISITION")</f>
        <v>SPARE PARTS ACQUISITION</v>
      </c>
      <c r="J1039" s="72"/>
      <c r="K1039" s="72" t="str">
        <f>IFERROR(__xludf.DUMMYFUNCTION("""COMPUTED_VALUE"""),"MYK: MAY NAPUTOL SA LIKOD NA RIGHT SIDE NA GULONG
JHP: 6/17/25:PARTS: FINAL PINION(R) (16,600)")</f>
        <v>MYK: MAY NAPUTOL SA LIKOD NA RIGHT SIDE NA GULONG
JHP: 6/17/25:PARTS: FINAL PINION(R) (16,600)</v>
      </c>
      <c r="L1039" s="72" t="str">
        <f>IFERROR(__xludf.DUMMYFUNCTION("""COMPUTED_VALUE"""),"PARTS AVAILABILTY SENT: PRICE TO FOLLOW: PRICE SENT: PAID: FOR SHIPPING:")</f>
        <v>PARTS AVAILABILTY SENT: PRICE TO FOLLOW: PRICE SENT: PAID: FOR SHIPPING:</v>
      </c>
      <c r="M1039" s="2"/>
      <c r="N1039" s="2" t="str">
        <f>IFERROR(__xludf.DUMMYFUNCTION("""COMPUTED_VALUE"""),"PARTS: FINAL PINION (R)")</f>
        <v>PARTS: FINAL PINION (R)</v>
      </c>
      <c r="O1039" s="2" t="str">
        <f>IFERROR(__xludf.DUMMYFUNCTION("""COMPUTED_VALUE"""),"N/A")</f>
        <v>N/A</v>
      </c>
      <c r="P1039" s="2"/>
      <c r="Q1039" s="2"/>
      <c r="R1039" s="74">
        <f>IFERROR(__xludf.DUMMYFUNCTION("""COMPUTED_VALUE"""),45860.0)</f>
        <v>45860</v>
      </c>
      <c r="S1039" s="2" t="str">
        <f>IFERROR(__xludf.DUMMYFUNCTION("""COMPUTED_VALUE"""),"MYKEE")</f>
        <v>MYKEE</v>
      </c>
      <c r="T1039" s="73">
        <f>IFERROR(__xludf.DUMMYFUNCTION("""COMPUTED_VALUE"""),16600.0)</f>
        <v>16600</v>
      </c>
      <c r="U1039" s="73" t="str">
        <f>IFERROR(__xludf.DUMMYFUNCTION("""COMPUTED_VALUE""")," REMITTED ")</f>
        <v>REMITTED</v>
      </c>
      <c r="V1039" s="2"/>
      <c r="W1039" s="2">
        <f>IFERROR(__xludf.DUMMYFUNCTION("""COMPUTED_VALUE"""),1505.0)</f>
        <v>1505</v>
      </c>
      <c r="X1039" s="2">
        <f>IFERROR(__xludf.DUMMYFUNCTION("""COMPUTED_VALUE"""),1503.0)</f>
        <v>1503</v>
      </c>
      <c r="Y1039" s="2"/>
      <c r="Z1039" s="2"/>
      <c r="AA1039" s="2"/>
      <c r="AB1039" s="2"/>
      <c r="AC1039" s="2"/>
      <c r="AD1039" s="2"/>
      <c r="AE1039" s="2"/>
      <c r="AF1039" s="2"/>
      <c r="AG1039" s="2"/>
      <c r="AH1039" s="2"/>
      <c r="AI1039" s="2"/>
      <c r="AJ1039" s="2" t="str">
        <f>IFERROR(__xludf.DUMMYFUNCTION("""COMPUTED_VALUE"""),"Poblacion")</f>
        <v>Poblacion</v>
      </c>
      <c r="AK1039" s="2" t="str">
        <f>IFERROR(__xludf.DUMMYFUNCTION("""COMPUTED_VALUE"""),"Bingawan")</f>
        <v>Bingawan</v>
      </c>
      <c r="AL1039" s="2" t="str">
        <f>IFERROR(__xludf.DUMMYFUNCTION("""COMPUTED_VALUE"""),"Iloilo")</f>
        <v>Iloilo</v>
      </c>
      <c r="AM1039" s="2">
        <f>IFERROR(__xludf.DUMMYFUNCTION("""COMPUTED_VALUE"""),6.0)</f>
        <v>6</v>
      </c>
      <c r="AN1039" s="2" t="str">
        <f>IFERROR(__xludf.DUMMYFUNCTION("""COMPUTED_VALUE"""),"RCEF 23-09-21 Rebidding")</f>
        <v>RCEF 23-09-21 Rebidding</v>
      </c>
      <c r="AO1039" s="2">
        <f>IFERROR(__xludf.DUMMYFUNCTION("""COMPUTED_VALUE"""),4.0)</f>
        <v>4</v>
      </c>
      <c r="AP1039" s="2"/>
      <c r="AQ1039" s="2"/>
      <c r="AR1039" s="2"/>
      <c r="AS1039" s="2"/>
      <c r="AT1039" s="2"/>
      <c r="AU1039" s="2"/>
      <c r="AV1039" s="2"/>
      <c r="AW1039" s="2"/>
      <c r="AX1039" s="2"/>
      <c r="AY1039" s="2"/>
      <c r="AZ1039" s="2"/>
      <c r="BA1039" s="2"/>
      <c r="BB1039" s="2"/>
    </row>
    <row r="1040">
      <c r="A1040" s="2">
        <f>IFERROR(__xludf.DUMMYFUNCTION("""COMPUTED_VALUE"""),1036.0)</f>
        <v>1036</v>
      </c>
      <c r="B1040" s="2" t="str">
        <f>IFERROR(__xludf.DUMMYFUNCTION("""COMPUTED_VALUE"""),"COMPLETED")</f>
        <v>COMPLETED</v>
      </c>
      <c r="C1040" s="74">
        <f>IFERROR(__xludf.DUMMYFUNCTION("""COMPUTED_VALUE"""),45824.0)</f>
        <v>45824</v>
      </c>
      <c r="D1040" s="71" t="str">
        <f>IFERROR(__xludf.DUMMYFUNCTION("""COMPUTED_VALUE"""),"LCCC-Lagasit Irrigators Association")</f>
        <v>LCCC-Lagasit Irrigators Association</v>
      </c>
      <c r="E1040" s="71" t="str">
        <f>IFERROR(__xludf.DUMMYFUNCTION("""COMPUTED_VALUE"""),"Lagasit, San Quintin, PANGASINAN")</f>
        <v>Lagasit, San Quintin, PANGASINAN</v>
      </c>
      <c r="F1040" s="2" t="str">
        <f>IFERROR(__xludf.DUMMYFUNCTION("""COMPUTED_VALUE"""),"SEDBES OBRA")</f>
        <v>SEDBES OBRA</v>
      </c>
      <c r="G1040" s="2"/>
      <c r="H1040" s="2"/>
      <c r="I1040" s="72"/>
      <c r="J1040" s="72"/>
      <c r="K1040" s="72" t="str">
        <f>IFERROR(__xludf.DUMMYFUNCTION("""COMPUTED_VALUE"""),"MYK: NADALA NILA DSD YUNG MGA TURNILYO NG UNIT NILA, DAHIL DI NAPANSIN NA NAIKARGA ANG MGA TURNILYO SA TOOLBOX")</f>
        <v>MYK: NADALA NILA DSD YUNG MGA TURNILYO NG UNIT NILA, DAHIL DI NAPANSIN NA NAIKARGA ANG MGA TURNILYO SA TOOLBOX</v>
      </c>
      <c r="L1040" s="72" t="str">
        <f>IFERROR(__xludf.DUMMYFUNCTION("""COMPUTED_VALUE"""),"JHP: OK NA ")</f>
        <v>JHP: OK NA </v>
      </c>
      <c r="M1040" s="2"/>
      <c r="N1040" s="2"/>
      <c r="O1040" s="2" t="str">
        <f>IFERROR(__xludf.DUMMYFUNCTION("""COMPUTED_VALUE"""),"N/A")</f>
        <v>N/A</v>
      </c>
      <c r="P1040" s="2"/>
      <c r="Q1040" s="2"/>
      <c r="R1040" s="74">
        <f>IFERROR(__xludf.DUMMYFUNCTION("""COMPUTED_VALUE"""),45929.0)</f>
        <v>45929</v>
      </c>
      <c r="S1040" s="2" t="str">
        <f>IFERROR(__xludf.DUMMYFUNCTION("""COMPUTED_VALUE"""),"JHP")</f>
        <v>JHP</v>
      </c>
      <c r="T1040" s="73" t="str">
        <f>IFERROR(__xludf.DUMMYFUNCTION("""COMPUTED_VALUE""")," N/A ")</f>
        <v>N/A</v>
      </c>
      <c r="U1040" s="73" t="str">
        <f>IFERROR(__xludf.DUMMYFUNCTION("""COMPUTED_VALUE""")," NO CHARGE ")</f>
        <v>NO CHARGE</v>
      </c>
      <c r="V1040" s="2"/>
      <c r="W1040" s="2" t="str">
        <f>IFERROR(__xludf.DUMMYFUNCTION("""COMPUTED_VALUE"""),"N/A")</f>
        <v>N/A</v>
      </c>
      <c r="X1040" s="2" t="str">
        <f>IFERROR(__xludf.DUMMYFUNCTION("""COMPUTED_VALUE"""),"N/A")</f>
        <v>N/A</v>
      </c>
      <c r="Y1040" s="2"/>
      <c r="Z1040" s="2"/>
      <c r="AA1040" s="2"/>
      <c r="AB1040" s="2"/>
      <c r="AC1040" s="2"/>
      <c r="AD1040" s="2"/>
      <c r="AE1040" s="2"/>
      <c r="AF1040" s="2"/>
      <c r="AG1040" s="2"/>
      <c r="AH1040" s="2"/>
      <c r="AI1040" s="2"/>
      <c r="AJ1040" s="2" t="str">
        <f>IFERROR(__xludf.DUMMYFUNCTION("""COMPUTED_VALUE"""),"Lagasit")</f>
        <v>Lagasit</v>
      </c>
      <c r="AK1040" s="2" t="str">
        <f>IFERROR(__xludf.DUMMYFUNCTION("""COMPUTED_VALUE"""),"San Quintin")</f>
        <v>San Quintin</v>
      </c>
      <c r="AL1040" s="2" t="str">
        <f>IFERROR(__xludf.DUMMYFUNCTION("""COMPUTED_VALUE"""),"Pangasinan")</f>
        <v>Pangasinan</v>
      </c>
      <c r="AM1040" s="2">
        <f>IFERROR(__xludf.DUMMYFUNCTION("""COMPUTED_VALUE"""),1.0)</f>
        <v>1</v>
      </c>
      <c r="AN1040" s="2" t="str">
        <f>IFERROR(__xludf.DUMMYFUNCTION("""COMPUTED_VALUE"""),"RCEF 23-09-21 Rebidding")</f>
        <v>RCEF 23-09-21 Rebidding</v>
      </c>
      <c r="AO1040" s="2">
        <f>IFERROR(__xludf.DUMMYFUNCTION("""COMPUTED_VALUE"""),2.0)</f>
        <v>2</v>
      </c>
      <c r="AP1040" s="2"/>
      <c r="AQ1040" s="2"/>
      <c r="AR1040" s="2"/>
      <c r="AS1040" s="2"/>
      <c r="AT1040" s="2"/>
      <c r="AU1040" s="2"/>
      <c r="AV1040" s="2"/>
      <c r="AW1040" s="2"/>
      <c r="AX1040" s="2"/>
      <c r="AY1040" s="2"/>
      <c r="AZ1040" s="2"/>
      <c r="BA1040" s="2"/>
      <c r="BB1040" s="2"/>
    </row>
    <row r="1041">
      <c r="A1041" s="2">
        <f>IFERROR(__xludf.DUMMYFUNCTION("""COMPUTED_VALUE"""),1037.0)</f>
        <v>1037</v>
      </c>
      <c r="B1041" s="2" t="str">
        <f>IFERROR(__xludf.DUMMYFUNCTION("""COMPUTED_VALUE"""),"COMPLETED")</f>
        <v>COMPLETED</v>
      </c>
      <c r="C1041" s="74">
        <f>IFERROR(__xludf.DUMMYFUNCTION("""COMPUTED_VALUE"""),45824.0)</f>
        <v>45824</v>
      </c>
      <c r="D1041" s="71" t="str">
        <f>IFERROR(__xludf.DUMMYFUNCTION("""COMPUTED_VALUE"""),"Samahang Magsasaka ng Barangay San Gabriel Pamplona Camarines Sur Inc.")</f>
        <v>Samahang Magsasaka ng Barangay San Gabriel Pamplona Camarines Sur Inc.</v>
      </c>
      <c r="E1041" s="71" t="str">
        <f>IFERROR(__xludf.DUMMYFUNCTION("""COMPUTED_VALUE"""),"San Gabriel, Pamplona, CAMARINES SUR")</f>
        <v>San Gabriel, Pamplona, CAMARINES SUR</v>
      </c>
      <c r="F1041" s="2" t="str">
        <f>IFERROR(__xludf.DUMMYFUNCTION("""COMPUTED_VALUE"""),"SALVADOR MOJICO")</f>
        <v>SALVADOR MOJICO</v>
      </c>
      <c r="G1041" s="2">
        <f>IFERROR(__xludf.DUMMYFUNCTION("""COMPUTED_VALUE"""),9.381718832E9)</f>
        <v>9381718832</v>
      </c>
      <c r="H1041" s="2">
        <f>IFERROR(__xludf.DUMMYFUNCTION("""COMPUTED_VALUE"""),50.0)</f>
        <v>50</v>
      </c>
      <c r="I1041" s="72" t="str">
        <f>IFERROR(__xludf.DUMMYFUNCTION("""COMPUTED_VALUE"""),"PMS")</f>
        <v>PMS</v>
      </c>
      <c r="J1041" s="72" t="str">
        <f>IFERROR(__xludf.DUMMYFUNCTION("""COMPUTED_VALUE"""),"PMS")</f>
        <v>PMS</v>
      </c>
      <c r="K1041" s="72" t="str">
        <f>IFERROR(__xludf.DUMMYFUNCTION("""COMPUTED_VALUE"""),"PPS : 1ST PMS FREE")</f>
        <v>PPS : 1ST PMS FREE</v>
      </c>
      <c r="L1041" s="72" t="str">
        <f>IFERROR(__xludf.DUMMYFUNCTION("""COMPUTED_VALUE"""),"JTT: 1ST PMS DONE")</f>
        <v>JTT: 1ST PMS DONE</v>
      </c>
      <c r="M1041" s="2"/>
      <c r="N1041" s="2" t="str">
        <f>IFERROR(__xludf.DUMMYFUNCTION("""COMPUTED_VALUE"""),"PARTS: 
ENGINE OIL
OIL FILTER")</f>
        <v>PARTS: 
ENGINE OIL
OIL FILTER</v>
      </c>
      <c r="O1041" s="2" t="str">
        <f>IFERROR(__xludf.DUMMYFUNCTION("""COMPUTED_VALUE"""),"NEED SERVICE REPORT")</f>
        <v>NEED SERVICE REPORT</v>
      </c>
      <c r="P1041" s="2"/>
      <c r="Q1041" s="2"/>
      <c r="R1041" s="74">
        <f>IFERROR(__xludf.DUMMYFUNCTION("""COMPUTED_VALUE"""),45827.0)</f>
        <v>45827</v>
      </c>
      <c r="S1041" s="2" t="str">
        <f>IFERROR(__xludf.DUMMYFUNCTION("""COMPUTED_VALUE"""),"JTT")</f>
        <v>JTT</v>
      </c>
      <c r="T1041" s="73" t="str">
        <f>IFERROR(__xludf.DUMMYFUNCTION("""COMPUTED_VALUE""")," N/A ")</f>
        <v>N/A</v>
      </c>
      <c r="U1041" s="73" t="str">
        <f>IFERROR(__xludf.DUMMYFUNCTION("""COMPUTED_VALUE""")," NO CHARGE ")</f>
        <v>NO CHARGE</v>
      </c>
      <c r="V1041" s="2"/>
      <c r="W1041" s="2" t="str">
        <f>IFERROR(__xludf.DUMMYFUNCTION("""COMPUTED_VALUE"""),"N/A")</f>
        <v>N/A</v>
      </c>
      <c r="X1041" s="2" t="str">
        <f>IFERROR(__xludf.DUMMYFUNCTION("""COMPUTED_VALUE"""),"N/A")</f>
        <v>N/A</v>
      </c>
      <c r="Y1041" s="2"/>
      <c r="Z1041" s="2"/>
      <c r="AA1041" s="2"/>
      <c r="AB1041" s="2"/>
      <c r="AC1041" s="2"/>
      <c r="AD1041" s="2"/>
      <c r="AE1041" s="2"/>
      <c r="AF1041" s="2"/>
      <c r="AG1041" s="2"/>
      <c r="AH1041" s="2"/>
      <c r="AI1041" s="2"/>
      <c r="AJ1041" s="2" t="str">
        <f>IFERROR(__xludf.DUMMYFUNCTION("""COMPUTED_VALUE"""),"San Gabriel")</f>
        <v>San Gabriel</v>
      </c>
      <c r="AK1041" s="2" t="str">
        <f>IFERROR(__xludf.DUMMYFUNCTION("""COMPUTED_VALUE"""),"Pamplona")</f>
        <v>Pamplona</v>
      </c>
      <c r="AL1041" s="2" t="str">
        <f>IFERROR(__xludf.DUMMYFUNCTION("""COMPUTED_VALUE"""),"Camarines Sur")</f>
        <v>Camarines Sur</v>
      </c>
      <c r="AM1041" s="2">
        <f>IFERROR(__xludf.DUMMYFUNCTION("""COMPUTED_VALUE"""),5.0)</f>
        <v>5</v>
      </c>
      <c r="AN1041" s="2" t="str">
        <f>IFERROR(__xludf.DUMMYFUNCTION("""COMPUTED_VALUE"""),"RCEF 24-04-15")</f>
        <v>RCEF 24-04-15</v>
      </c>
      <c r="AO1041" s="2">
        <f>IFERROR(__xludf.DUMMYFUNCTION("""COMPUTED_VALUE"""),7.0)</f>
        <v>7</v>
      </c>
      <c r="AP1041" s="2" t="str">
        <f>IFERROR(__xludf.DUMMYFUNCTION("""COMPUTED_VALUE"""),"FREE PMS")</f>
        <v>FREE PMS</v>
      </c>
      <c r="AQ1041" s="2"/>
      <c r="AR1041" s="2"/>
      <c r="AS1041" s="2"/>
      <c r="AT1041" s="2"/>
      <c r="AU1041" s="2"/>
      <c r="AV1041" s="2"/>
      <c r="AW1041" s="2"/>
      <c r="AX1041" s="2"/>
      <c r="AY1041" s="2"/>
      <c r="AZ1041" s="2"/>
      <c r="BA1041" s="2"/>
      <c r="BB1041" s="2"/>
    </row>
    <row r="1042">
      <c r="A1042" s="2">
        <f>IFERROR(__xludf.DUMMYFUNCTION("""COMPUTED_VALUE"""),1038.0)</f>
        <v>1038</v>
      </c>
      <c r="B1042" s="2" t="str">
        <f>IFERROR(__xludf.DUMMYFUNCTION("""COMPUTED_VALUE"""),"COMPLETED")</f>
        <v>COMPLETED</v>
      </c>
      <c r="C1042" s="74">
        <f>IFERROR(__xludf.DUMMYFUNCTION("""COMPUTED_VALUE"""),45825.0)</f>
        <v>45825</v>
      </c>
      <c r="D1042" s="71" t="str">
        <f>IFERROR(__xludf.DUMMYFUNCTION("""COMPUTED_VALUE"""),"Municipal Local Government Unit of Siniloan")</f>
        <v>Municipal Local Government Unit of Siniloan</v>
      </c>
      <c r="E1042" s="71" t="str">
        <f>IFERROR(__xludf.DUMMYFUNCTION("""COMPUTED_VALUE"""),"Wawa, Siniloan, LAGUNA")</f>
        <v>Wawa, Siniloan, LAGUNA</v>
      </c>
      <c r="F1042" s="2" t="str">
        <f>IFERROR(__xludf.DUMMYFUNCTION("""COMPUTED_VALUE"""),"ALBERTO ARENAS")</f>
        <v>ALBERTO ARENAS</v>
      </c>
      <c r="G1042" s="2">
        <f>IFERROR(__xludf.DUMMYFUNCTION("""COMPUTED_VALUE"""),9.756740691E9)</f>
        <v>9756740691</v>
      </c>
      <c r="H1042" s="2">
        <f>IFERROR(__xludf.DUMMYFUNCTION("""COMPUTED_VALUE"""),87.0)</f>
        <v>87</v>
      </c>
      <c r="I1042" s="72" t="str">
        <f>IFERROR(__xludf.DUMMYFUNCTION("""COMPUTED_VALUE"""),"PMS")</f>
        <v>PMS</v>
      </c>
      <c r="J1042" s="72" t="str">
        <f>IFERROR(__xludf.DUMMYFUNCTION("""COMPUTED_VALUE"""),"PMS")</f>
        <v>PMS</v>
      </c>
      <c r="K1042" s="72" t="str">
        <f>IFERROR(__xludf.DUMMYFUNCTION("""COMPUTED_VALUE"""),"JDP: 1ST PMS (FREE)")</f>
        <v>JDP: 1ST PMS (FREE)</v>
      </c>
      <c r="L1042" s="72" t="str">
        <f>IFERROR(__xludf.DUMMYFUNCTION("""COMPUTED_VALUE"""),"JDP: 1ST PMS DONE ")</f>
        <v>JDP: 1ST PMS DONE </v>
      </c>
      <c r="M1042" s="2"/>
      <c r="N1042" s="2" t="str">
        <f>IFERROR(__xludf.DUMMYFUNCTION("""COMPUTED_VALUE"""),"PARTS: OIL FILTER, ENGINE OIL")</f>
        <v>PARTS: OIL FILTER, ENGINE OIL</v>
      </c>
      <c r="O1042" s="2">
        <f>IFERROR(__xludf.DUMMYFUNCTION("""COMPUTED_VALUE"""),1079.0)</f>
        <v>1079</v>
      </c>
      <c r="P1042" s="2"/>
      <c r="Q1042" s="2"/>
      <c r="R1042" s="74">
        <f>IFERROR(__xludf.DUMMYFUNCTION("""COMPUTED_VALUE"""),45825.0)</f>
        <v>45825</v>
      </c>
      <c r="S1042" s="2" t="str">
        <f>IFERROR(__xludf.DUMMYFUNCTION("""COMPUTED_VALUE"""),"JDP/ACS")</f>
        <v>JDP/ACS</v>
      </c>
      <c r="T1042" s="73" t="str">
        <f>IFERROR(__xludf.DUMMYFUNCTION("""COMPUTED_VALUE""")," N/A ")</f>
        <v>N/A</v>
      </c>
      <c r="U1042" s="73" t="str">
        <f>IFERROR(__xludf.DUMMYFUNCTION("""COMPUTED_VALUE""")," NO CHARGE ")</f>
        <v>NO CHARGE</v>
      </c>
      <c r="V1042" s="2"/>
      <c r="W1042" s="2" t="str">
        <f>IFERROR(__xludf.DUMMYFUNCTION("""COMPUTED_VALUE"""),"N/A")</f>
        <v>N/A</v>
      </c>
      <c r="X1042" s="2" t="str">
        <f>IFERROR(__xludf.DUMMYFUNCTION("""COMPUTED_VALUE"""),"N/A")</f>
        <v>N/A</v>
      </c>
      <c r="Y1042" s="2"/>
      <c r="Z1042" s="2"/>
      <c r="AA1042" s="2"/>
      <c r="AB1042" s="2"/>
      <c r="AC1042" s="2"/>
      <c r="AD1042" s="2"/>
      <c r="AE1042" s="2"/>
      <c r="AF1042" s="2"/>
      <c r="AG1042" s="2"/>
      <c r="AH1042" s="2"/>
      <c r="AI1042" s="2"/>
      <c r="AJ1042" s="2" t="str">
        <f>IFERROR(__xludf.DUMMYFUNCTION("""COMPUTED_VALUE"""),"Wawa")</f>
        <v>Wawa</v>
      </c>
      <c r="AK1042" s="2" t="str">
        <f>IFERROR(__xludf.DUMMYFUNCTION("""COMPUTED_VALUE"""),"Siniloan")</f>
        <v>Siniloan</v>
      </c>
      <c r="AL1042" s="2" t="str">
        <f>IFERROR(__xludf.DUMMYFUNCTION("""COMPUTED_VALUE"""),"Laguna")</f>
        <v>Laguna</v>
      </c>
      <c r="AM1042" s="2" t="str">
        <f>IFERROR(__xludf.DUMMYFUNCTION("""COMPUTED_VALUE"""),"4A")</f>
        <v>4A</v>
      </c>
      <c r="AN1042" s="2" t="str">
        <f>IFERROR(__xludf.DUMMYFUNCTION("""COMPUTED_VALUE"""),"RCEF 24-04-15")</f>
        <v>RCEF 24-04-15</v>
      </c>
      <c r="AO1042" s="2">
        <f>IFERROR(__xludf.DUMMYFUNCTION("""COMPUTED_VALUE"""),7.0)</f>
        <v>7</v>
      </c>
      <c r="AP1042" s="2" t="str">
        <f>IFERROR(__xludf.DUMMYFUNCTION("""COMPUTED_VALUE"""),"FREE PMS")</f>
        <v>FREE PMS</v>
      </c>
      <c r="AQ1042" s="2"/>
      <c r="AR1042" s="2"/>
      <c r="AS1042" s="2"/>
      <c r="AT1042" s="2"/>
      <c r="AU1042" s="2"/>
      <c r="AV1042" s="2"/>
      <c r="AW1042" s="2"/>
      <c r="AX1042" s="2"/>
      <c r="AY1042" s="2"/>
      <c r="AZ1042" s="2"/>
      <c r="BA1042" s="2"/>
      <c r="BB1042" s="2"/>
    </row>
    <row r="1043">
      <c r="A1043" s="2">
        <f>IFERROR(__xludf.DUMMYFUNCTION("""COMPUTED_VALUE"""),1039.0)</f>
        <v>1039</v>
      </c>
      <c r="B1043" s="2" t="str">
        <f>IFERROR(__xludf.DUMMYFUNCTION("""COMPUTED_VALUE"""),"COMPLETED")</f>
        <v>COMPLETED</v>
      </c>
      <c r="C1043" s="74">
        <f>IFERROR(__xludf.DUMMYFUNCTION("""COMPUTED_VALUE"""),45825.0)</f>
        <v>45825</v>
      </c>
      <c r="D1043" s="71" t="str">
        <f>IFERROR(__xludf.DUMMYFUNCTION("""COMPUTED_VALUE"""),"Cañapasan Banate Irrigators' Association Inc.")</f>
        <v>Cañapasan Banate Irrigators' Association Inc.</v>
      </c>
      <c r="E1043" s="71" t="str">
        <f>IFERROR(__xludf.DUMMYFUNCTION("""COMPUTED_VALUE"""),"Managopaya, Banate, ILOILO")</f>
        <v>Managopaya, Banate, ILOILO</v>
      </c>
      <c r="F1043" s="2" t="str">
        <f>IFERROR(__xludf.DUMMYFUNCTION("""COMPUTED_VALUE"""),"HELLY BAGSAIN")</f>
        <v>HELLY BAGSAIN</v>
      </c>
      <c r="G1043" s="2">
        <f>IFERROR(__xludf.DUMMYFUNCTION("""COMPUTED_VALUE"""),9.655208079E9)</f>
        <v>9655208079</v>
      </c>
      <c r="H1043" s="2"/>
      <c r="I1043" s="72" t="str">
        <f>IFERROR(__xludf.DUMMYFUNCTION("""COMPUTED_VALUE"""),"SPARE PARTS ACQUISITION")</f>
        <v>SPARE PARTS ACQUISITION</v>
      </c>
      <c r="J1043" s="72"/>
      <c r="K1043" s="72" t="str">
        <f>IFERROR(__xludf.DUMMYFUNCTION("""COMPUTED_VALUE"""),"MYK: (1 PCS) WIRE TC46410000 / ACCELERATOR CABLE WIRE 
 1 REAR AXLE OIL SEAL 
TOTAL = 8,000
REPLACED WIRE ACCELERATOR PEDAL DAHIL MALI ANG NAPADALANG PYESA, ")</f>
        <v>MYK: (1 PCS) WIRE TC46410000 / ACCELERATOR CABLE WIRE 
 1 REAR AXLE OIL SEAL 
TOTAL = 8,000
REPLACED WIRE ACCELERATOR PEDAL DAHIL MALI ANG NAPADALANG PYESA, </v>
      </c>
      <c r="L1043" s="72" t="str">
        <f>IFERROR(__xludf.DUMMYFUNCTION("""COMPUTED_VALUE"""),"QUOTATION SENT: PAID: FOR LBC")</f>
        <v>QUOTATION SENT: PAID: FOR LBC</v>
      </c>
      <c r="M1043" s="2"/>
      <c r="N1043" s="2" t="str">
        <f>IFERROR(__xludf.DUMMYFUNCTION("""COMPUTED_VALUE"""),"PARTS: 
WIRE ACCELERATOR PEDAL, 
REAR AXLE OIL SEAL")</f>
        <v>PARTS: 
WIRE ACCELERATOR PEDAL, 
REAR AXLE OIL SEAL</v>
      </c>
      <c r="O1043" s="2" t="str">
        <f>IFERROR(__xludf.DUMMYFUNCTION("""COMPUTED_VALUE"""),"N/A")</f>
        <v>N/A</v>
      </c>
      <c r="P1043" s="2"/>
      <c r="Q1043" s="2"/>
      <c r="R1043" s="74">
        <f>IFERROR(__xludf.DUMMYFUNCTION("""COMPUTED_VALUE"""),45828.0)</f>
        <v>45828</v>
      </c>
      <c r="S1043" s="2" t="str">
        <f>IFERROR(__xludf.DUMMYFUNCTION("""COMPUTED_VALUE"""),"MYKEE")</f>
        <v>MYKEE</v>
      </c>
      <c r="T1043" s="73">
        <f>IFERROR(__xludf.DUMMYFUNCTION("""COMPUTED_VALUE"""),8000.0)</f>
        <v>8000</v>
      </c>
      <c r="U1043" s="73" t="str">
        <f>IFERROR(__xludf.DUMMYFUNCTION("""COMPUTED_VALUE""")," REMITTED ")</f>
        <v>REMITTED</v>
      </c>
      <c r="V1043" s="2"/>
      <c r="W1043" s="2">
        <f>IFERROR(__xludf.DUMMYFUNCTION("""COMPUTED_VALUE"""),1503.0)</f>
        <v>1503</v>
      </c>
      <c r="X1043" s="2">
        <f>IFERROR(__xludf.DUMMYFUNCTION("""COMPUTED_VALUE"""),1423.0)</f>
        <v>1423</v>
      </c>
      <c r="Y1043" s="2"/>
      <c r="Z1043" s="2"/>
      <c r="AA1043" s="2"/>
      <c r="AB1043" s="2"/>
      <c r="AC1043" s="2"/>
      <c r="AD1043" s="2"/>
      <c r="AE1043" s="2"/>
      <c r="AF1043" s="2"/>
      <c r="AG1043" s="2"/>
      <c r="AH1043" s="2"/>
      <c r="AI1043" s="2"/>
      <c r="AJ1043" s="2" t="str">
        <f>IFERROR(__xludf.DUMMYFUNCTION("""COMPUTED_VALUE"""),"Managopaya")</f>
        <v>Managopaya</v>
      </c>
      <c r="AK1043" s="2" t="str">
        <f>IFERROR(__xludf.DUMMYFUNCTION("""COMPUTED_VALUE"""),"Banate")</f>
        <v>Banate</v>
      </c>
      <c r="AL1043" s="2" t="str">
        <f>IFERROR(__xludf.DUMMYFUNCTION("""COMPUTED_VALUE"""),"Iloilo")</f>
        <v>Iloilo</v>
      </c>
      <c r="AM1043" s="2">
        <f>IFERROR(__xludf.DUMMYFUNCTION("""COMPUTED_VALUE"""),6.0)</f>
        <v>6</v>
      </c>
      <c r="AN1043" s="2" t="str">
        <f>IFERROR(__xludf.DUMMYFUNCTION("""COMPUTED_VALUE"""),"RCEF 23-09-21 Rebidding")</f>
        <v>RCEF 23-09-21 Rebidding</v>
      </c>
      <c r="AO1043" s="2">
        <f>IFERROR(__xludf.DUMMYFUNCTION("""COMPUTED_VALUE"""),4.0)</f>
        <v>4</v>
      </c>
      <c r="AP1043" s="2"/>
      <c r="AQ1043" s="2"/>
      <c r="AR1043" s="2"/>
      <c r="AS1043" s="2"/>
      <c r="AT1043" s="2"/>
      <c r="AU1043" s="2"/>
      <c r="AV1043" s="2"/>
      <c r="AW1043" s="2"/>
      <c r="AX1043" s="2"/>
      <c r="AY1043" s="2"/>
      <c r="AZ1043" s="2"/>
      <c r="BA1043" s="2"/>
      <c r="BB1043" s="2"/>
    </row>
    <row r="1044">
      <c r="A1044" s="2">
        <f>IFERROR(__xludf.DUMMYFUNCTION("""COMPUTED_VALUE"""),1040.0)</f>
        <v>1040</v>
      </c>
      <c r="B1044" s="2" t="str">
        <f>IFERROR(__xludf.DUMMYFUNCTION("""COMPUTED_VALUE"""),"COMPLETED")</f>
        <v>COMPLETED</v>
      </c>
      <c r="C1044" s="74">
        <f>IFERROR(__xludf.DUMMYFUNCTION("""COMPUTED_VALUE"""),45825.0)</f>
        <v>45825</v>
      </c>
      <c r="D1044" s="71" t="str">
        <f>IFERROR(__xludf.DUMMYFUNCTION("""COMPUTED_VALUE"""),"KINALO LOGPON IRRIGATORS ASSOCIATION INC.")</f>
        <v>KINALO LOGPON IRRIGATORS ASSOCIATION INC.</v>
      </c>
      <c r="E1044" s="71" t="str">
        <f>IFERROR(__xludf.DUMMYFUNCTION("""COMPUTED_VALUE"""),"Kongkong, Kasibu, NUEVA VIZCAYA")</f>
        <v>Kongkong, Kasibu, NUEVA VIZCAYA</v>
      </c>
      <c r="F1044" s="2" t="str">
        <f>IFERROR(__xludf.DUMMYFUNCTION("""COMPUTED_VALUE"""),"Vic penarands")</f>
        <v>Vic penarands</v>
      </c>
      <c r="G1044" s="2">
        <f>IFERROR(__xludf.DUMMYFUNCTION("""COMPUTED_VALUE"""),9.287041944E9)</f>
        <v>9287041944</v>
      </c>
      <c r="H1044" s="2">
        <f>IFERROR(__xludf.DUMMYFUNCTION("""COMPUTED_VALUE"""),50.0)</f>
        <v>50</v>
      </c>
      <c r="I1044" s="72" t="str">
        <f>IFERROR(__xludf.DUMMYFUNCTION("""COMPUTED_VALUE"""),"PMS")</f>
        <v>PMS</v>
      </c>
      <c r="J1044" s="72" t="str">
        <f>IFERROR(__xludf.DUMMYFUNCTION("""COMPUTED_VALUE"""),"PMS")</f>
        <v>PMS</v>
      </c>
      <c r="K1044" s="72" t="str">
        <f>IFERROR(__xludf.DUMMYFUNCTION("""COMPUTED_VALUE"""),"MYK: 1ST PMS FREE")</f>
        <v>MYK: 1ST PMS FREE</v>
      </c>
      <c r="L1044" s="72" t="str">
        <f>IFERROR(__xludf.DUMMYFUNCTION("""COMPUTED_VALUE"""),"CFG: 1ST PMS DONE")</f>
        <v>CFG: 1ST PMS DONE</v>
      </c>
      <c r="M1044" s="2"/>
      <c r="N1044" s="2" t="str">
        <f>IFERROR(__xludf.DUMMYFUNCTION("""COMPUTED_VALUE"""),"PARTS: OIL FILTER, ENGINE OIL")</f>
        <v>PARTS: OIL FILTER, ENGINE OIL</v>
      </c>
      <c r="O1044" s="2">
        <f>IFERROR(__xludf.DUMMYFUNCTION("""COMPUTED_VALUE"""),1411.0)</f>
        <v>1411</v>
      </c>
      <c r="P1044" s="2"/>
      <c r="Q1044" s="2"/>
      <c r="R1044" s="74">
        <f>IFERROR(__xludf.DUMMYFUNCTION("""COMPUTED_VALUE"""),45842.0)</f>
        <v>45842</v>
      </c>
      <c r="S1044" s="2" t="str">
        <f>IFERROR(__xludf.DUMMYFUNCTION("""COMPUTED_VALUE"""),"JHP/CFG")</f>
        <v>JHP/CFG</v>
      </c>
      <c r="T1044" s="73" t="str">
        <f>IFERROR(__xludf.DUMMYFUNCTION("""COMPUTED_VALUE""")," N/A ")</f>
        <v>N/A</v>
      </c>
      <c r="U1044" s="73" t="str">
        <f>IFERROR(__xludf.DUMMYFUNCTION("""COMPUTED_VALUE""")," NO CHARGE ")</f>
        <v>NO CHARGE</v>
      </c>
      <c r="V1044" s="2"/>
      <c r="W1044" s="2" t="str">
        <f>IFERROR(__xludf.DUMMYFUNCTION("""COMPUTED_VALUE"""),"N/A")</f>
        <v>N/A</v>
      </c>
      <c r="X1044" s="2" t="str">
        <f>IFERROR(__xludf.DUMMYFUNCTION("""COMPUTED_VALUE"""),"N/A")</f>
        <v>N/A</v>
      </c>
      <c r="Y1044" s="2"/>
      <c r="Z1044" s="2"/>
      <c r="AA1044" s="2"/>
      <c r="AB1044" s="2"/>
      <c r="AC1044" s="2"/>
      <c r="AD1044" s="2"/>
      <c r="AE1044" s="2"/>
      <c r="AF1044" s="2"/>
      <c r="AG1044" s="2"/>
      <c r="AH1044" s="2"/>
      <c r="AI1044" s="2"/>
      <c r="AJ1044" s="2" t="str">
        <f>IFERROR(__xludf.DUMMYFUNCTION("""COMPUTED_VALUE"""),"Kongkong")</f>
        <v>Kongkong</v>
      </c>
      <c r="AK1044" s="2" t="str">
        <f>IFERROR(__xludf.DUMMYFUNCTION("""COMPUTED_VALUE"""),"Kasibu")</f>
        <v>Kasibu</v>
      </c>
      <c r="AL1044" s="2" t="str">
        <f>IFERROR(__xludf.DUMMYFUNCTION("""COMPUTED_VALUE"""),"Nueva Vizcaya")</f>
        <v>Nueva Vizcaya</v>
      </c>
      <c r="AM1044" s="2">
        <f>IFERROR(__xludf.DUMMYFUNCTION("""COMPUTED_VALUE"""),2.0)</f>
        <v>2</v>
      </c>
      <c r="AN1044" s="2" t="str">
        <f>IFERROR(__xludf.DUMMYFUNCTION("""COMPUTED_VALUE"""),"RCEF 24-04-15")</f>
        <v>RCEF 24-04-15</v>
      </c>
      <c r="AO1044" s="2">
        <f>IFERROR(__xludf.DUMMYFUNCTION("""COMPUTED_VALUE"""),6.0)</f>
        <v>6</v>
      </c>
      <c r="AP1044" s="2" t="str">
        <f>IFERROR(__xludf.DUMMYFUNCTION("""COMPUTED_VALUE"""),"FREE PMS")</f>
        <v>FREE PMS</v>
      </c>
      <c r="AQ1044" s="2"/>
      <c r="AR1044" s="2"/>
      <c r="AS1044" s="2"/>
      <c r="AT1044" s="2"/>
      <c r="AU1044" s="2"/>
      <c r="AV1044" s="2"/>
      <c r="AW1044" s="2"/>
      <c r="AX1044" s="2"/>
      <c r="AY1044" s="2"/>
      <c r="AZ1044" s="2"/>
      <c r="BA1044" s="2"/>
      <c r="BB1044" s="2"/>
    </row>
    <row r="1045">
      <c r="A1045" s="2">
        <f>IFERROR(__xludf.DUMMYFUNCTION("""COMPUTED_VALUE"""),1041.0)</f>
        <v>1041</v>
      </c>
      <c r="B1045" s="2" t="str">
        <f>IFERROR(__xludf.DUMMYFUNCTION("""COMPUTED_VALUE"""),"COMPLETED")</f>
        <v>COMPLETED</v>
      </c>
      <c r="C1045" s="74">
        <f>IFERROR(__xludf.DUMMYFUNCTION("""COMPUTED_VALUE"""),45826.0)</f>
        <v>45826</v>
      </c>
      <c r="D1045" s="71" t="str">
        <f>IFERROR(__xludf.DUMMYFUNCTION("""COMPUTED_VALUE"""),"BARANGAY BUENAVISTA FARMERS ASSOCIATION")</f>
        <v>BARANGAY BUENAVISTA FARMERS ASSOCIATION</v>
      </c>
      <c r="E1045" s="71" t="str">
        <f>IFERROR(__xludf.DUMMYFUNCTION("""COMPUTED_VALUE"""),"Buenavista, Lopez, Quezon")</f>
        <v>Buenavista, Lopez, Quezon</v>
      </c>
      <c r="F1045" s="2"/>
      <c r="G1045" s="2"/>
      <c r="H1045" s="2">
        <f>IFERROR(__xludf.DUMMYFUNCTION("""COMPUTED_VALUE"""),115.8)</f>
        <v>115.8</v>
      </c>
      <c r="I1045" s="72" t="str">
        <f>IFERROR(__xludf.DUMMYFUNCTION("""COMPUTED_VALUE"""),"REPAIR - TRACTOR")</f>
        <v>REPAIR - TRACTOR</v>
      </c>
      <c r="J1045" s="72" t="str">
        <f>IFERROR(__xludf.DUMMYFUNCTION("""COMPUTED_VALUE"""),"Hydraulic Hose Leak")</f>
        <v>Hydraulic Hose Leak</v>
      </c>
      <c r="K1045" s="72" t="str">
        <f>IFERROR(__xludf.DUMMYFUNCTION("""COMPUTED_VALUE"""),"JTT: HYDRAULIC LEAKING")</f>
        <v>JTT: HYDRAULIC LEAKING</v>
      </c>
      <c r="L1045" s="72" t="str">
        <f>IFERROR(__xludf.DUMMYFUNCTION("""COMPUTED_VALUE"""),"JTT: REPAIR LEAKING")</f>
        <v>JTT: REPAIR LEAKING</v>
      </c>
      <c r="M1045" s="2"/>
      <c r="N1045" s="2"/>
      <c r="O1045" s="2" t="str">
        <f>IFERROR(__xludf.DUMMYFUNCTION("""COMPUTED_VALUE"""),"NEED SERVICE REPORT")</f>
        <v>NEED SERVICE REPORT</v>
      </c>
      <c r="P1045" s="2"/>
      <c r="Q1045" s="2"/>
      <c r="R1045" s="74">
        <f>IFERROR(__xludf.DUMMYFUNCTION("""COMPUTED_VALUE"""),45826.0)</f>
        <v>45826</v>
      </c>
      <c r="S1045" s="2" t="str">
        <f>IFERROR(__xludf.DUMMYFUNCTION("""COMPUTED_VALUE"""),"JTT")</f>
        <v>JTT</v>
      </c>
      <c r="T1045" s="73" t="str">
        <f>IFERROR(__xludf.DUMMYFUNCTION("""COMPUTED_VALUE""")," N/A ")</f>
        <v>N/A</v>
      </c>
      <c r="U1045" s="73" t="str">
        <f>IFERROR(__xludf.DUMMYFUNCTION("""COMPUTED_VALUE""")," NO CHARGE ")</f>
        <v>NO CHARGE</v>
      </c>
      <c r="V1045" s="2"/>
      <c r="W1045" s="2" t="str">
        <f>IFERROR(__xludf.DUMMYFUNCTION("""COMPUTED_VALUE"""),"N/A")</f>
        <v>N/A</v>
      </c>
      <c r="X1045" s="2" t="str">
        <f>IFERROR(__xludf.DUMMYFUNCTION("""COMPUTED_VALUE"""),"N/A")</f>
        <v>N/A</v>
      </c>
      <c r="Y1045" s="2"/>
      <c r="Z1045" s="2"/>
      <c r="AA1045" s="2"/>
      <c r="AB1045" s="2"/>
      <c r="AC1045" s="2"/>
      <c r="AD1045" s="2"/>
      <c r="AE1045" s="2"/>
      <c r="AF1045" s="2"/>
      <c r="AG1045" s="2"/>
      <c r="AH1045" s="2"/>
      <c r="AI1045" s="2"/>
      <c r="AJ1045" s="2" t="str">
        <f>IFERROR(__xludf.DUMMYFUNCTION("""COMPUTED_VALUE"""),"Buenavista")</f>
        <v>Buenavista</v>
      </c>
      <c r="AK1045" s="2" t="str">
        <f>IFERROR(__xludf.DUMMYFUNCTION("""COMPUTED_VALUE"""),"Lopez")</f>
        <v>Lopez</v>
      </c>
      <c r="AL1045" s="2" t="str">
        <f>IFERROR(__xludf.DUMMYFUNCTION("""COMPUTED_VALUE"""),"Quezon")</f>
        <v>Quezon</v>
      </c>
      <c r="AM1045" s="2" t="str">
        <f>IFERROR(__xludf.DUMMYFUNCTION("""COMPUTED_VALUE"""),"4A")</f>
        <v>4A</v>
      </c>
      <c r="AN1045" s="2" t="str">
        <f>IFERROR(__xludf.DUMMYFUNCTION("""COMPUTED_VALUE"""),"RCEF 23-08-20 Rebidding")</f>
        <v>RCEF 23-08-20 Rebidding</v>
      </c>
      <c r="AO1045" s="2">
        <f>IFERROR(__xludf.DUMMYFUNCTION("""COMPUTED_VALUE"""),1.0)</f>
        <v>1</v>
      </c>
      <c r="AP1045" s="2"/>
      <c r="AQ1045" s="2"/>
      <c r="AR1045" s="2"/>
      <c r="AS1045" s="2"/>
      <c r="AT1045" s="2"/>
      <c r="AU1045" s="2"/>
      <c r="AV1045" s="2"/>
      <c r="AW1045" s="2"/>
      <c r="AX1045" s="2"/>
      <c r="AY1045" s="2"/>
      <c r="AZ1045" s="2"/>
      <c r="BA1045" s="2"/>
      <c r="BB1045" s="2"/>
    </row>
    <row r="1046">
      <c r="A1046" s="2">
        <f>IFERROR(__xludf.DUMMYFUNCTION("""COMPUTED_VALUE"""),1042.0)</f>
        <v>1042</v>
      </c>
      <c r="B1046" s="2" t="str">
        <f>IFERROR(__xludf.DUMMYFUNCTION("""COMPUTED_VALUE"""),"COMPLETED")</f>
        <v>COMPLETED</v>
      </c>
      <c r="C1046" s="74">
        <f>IFERROR(__xludf.DUMMYFUNCTION("""COMPUTED_VALUE"""),45826.0)</f>
        <v>45826</v>
      </c>
      <c r="D1046" s="71" t="str">
        <f>IFERROR(__xludf.DUMMYFUNCTION("""COMPUTED_VALUE"""),"Cuantacla Farmers Association Inc.")</f>
        <v>Cuantacla Farmers Association Inc.</v>
      </c>
      <c r="E1046" s="71" t="str">
        <f>IFERROR(__xludf.DUMMYFUNCTION("""COMPUTED_VALUE"""),"Cuantacla, Cabugao, Ilocos Sur")</f>
        <v>Cuantacla, Cabugao, Ilocos Sur</v>
      </c>
      <c r="F1046" s="2" t="str">
        <f>IFERROR(__xludf.DUMMYFUNCTION("""COMPUTED_VALUE"""),"RUSVEL PALPAL-LATOC ")</f>
        <v>RUSVEL PALPAL-LATOC </v>
      </c>
      <c r="G1046" s="2">
        <f>IFERROR(__xludf.DUMMYFUNCTION("""COMPUTED_VALUE"""),9.954646517E9)</f>
        <v>9954646517</v>
      </c>
      <c r="H1046" s="2">
        <f>IFERROR(__xludf.DUMMYFUNCTION("""COMPUTED_VALUE"""),345.0)</f>
        <v>345</v>
      </c>
      <c r="I1046" s="72" t="str">
        <f>IFERROR(__xludf.DUMMYFUNCTION("""COMPUTED_VALUE"""),"SPARE PARTS ACQUISITION")</f>
        <v>SPARE PARTS ACQUISITION</v>
      </c>
      <c r="J1046" s="72" t="str">
        <f>IFERROR(__xludf.DUMMYFUNCTION("""COMPUTED_VALUE"""),"PARTS REQUEST")</f>
        <v>PARTS REQUEST</v>
      </c>
      <c r="K1046" s="72" t="str">
        <f>IFERROR(__xludf.DUMMYFUNCTION("""COMPUTED_VALUE"""),"ACS: HYDRAULIC FILTER")</f>
        <v>ACS: HYDRAULIC FILTER</v>
      </c>
      <c r="L1046" s="72" t="str">
        <f>IFERROR(__xludf.DUMMYFUNCTION("""COMPUTED_VALUE"""),"EGT: GENERAL PMS DONE")</f>
        <v>EGT: GENERAL PMS DONE</v>
      </c>
      <c r="M1046" s="2"/>
      <c r="N1046" s="2" t="str">
        <f>IFERROR(__xludf.DUMMYFUNCTION("""COMPUTED_VALUE"""),"PARTS: HYDRAULIC FILTER")</f>
        <v>PARTS: HYDRAULIC FILTER</v>
      </c>
      <c r="O1046" s="2">
        <f>IFERROR(__xludf.DUMMYFUNCTION("""COMPUTED_VALUE"""),1136.0)</f>
        <v>1136</v>
      </c>
      <c r="P1046" s="2"/>
      <c r="Q1046" s="2" t="str">
        <f>IFERROR(__xludf.DUMMYFUNCTION("""COMPUTED_VALUE"""),"Y")</f>
        <v>Y</v>
      </c>
      <c r="R1046" s="74">
        <f>IFERROR(__xludf.DUMMYFUNCTION("""COMPUTED_VALUE"""),45833.0)</f>
        <v>45833</v>
      </c>
      <c r="S1046" s="2" t="str">
        <f>IFERROR(__xludf.DUMMYFUNCTION("""COMPUTED_VALUE"""),"EGT/DRM")</f>
        <v>EGT/DRM</v>
      </c>
      <c r="T1046" s="73">
        <f>IFERROR(__xludf.DUMMYFUNCTION("""COMPUTED_VALUE"""),2800.0)</f>
        <v>2800</v>
      </c>
      <c r="U1046" s="73" t="str">
        <f>IFERROR(__xludf.DUMMYFUNCTION("""COMPUTED_VALUE""")," REMITTED ")</f>
        <v>REMITTED</v>
      </c>
      <c r="V1046" s="2"/>
      <c r="W1046" s="2">
        <f>IFERROR(__xludf.DUMMYFUNCTION("""COMPUTED_VALUE"""),1651.0)</f>
        <v>1651</v>
      </c>
      <c r="X1046" s="2">
        <f>IFERROR(__xludf.DUMMYFUNCTION("""COMPUTED_VALUE"""),1525.0)</f>
        <v>1525</v>
      </c>
      <c r="Y1046" s="2"/>
      <c r="Z1046" s="2"/>
      <c r="AA1046" s="2"/>
      <c r="AB1046" s="2"/>
      <c r="AC1046" s="2"/>
      <c r="AD1046" s="2"/>
      <c r="AE1046" s="2"/>
      <c r="AF1046" s="2"/>
      <c r="AG1046" s="2"/>
      <c r="AH1046" s="2"/>
      <c r="AI1046" s="2"/>
      <c r="AJ1046" s="2" t="str">
        <f>IFERROR(__xludf.DUMMYFUNCTION("""COMPUTED_VALUE"""),"Cuantacla")</f>
        <v>Cuantacla</v>
      </c>
      <c r="AK1046" s="2" t="str">
        <f>IFERROR(__xludf.DUMMYFUNCTION("""COMPUTED_VALUE"""),"Cabugao")</f>
        <v>Cabugao</v>
      </c>
      <c r="AL1046" s="2" t="str">
        <f>IFERROR(__xludf.DUMMYFUNCTION("""COMPUTED_VALUE"""),"Ilocos Sur")</f>
        <v>Ilocos Sur</v>
      </c>
      <c r="AM1046" s="2">
        <f>IFERROR(__xludf.DUMMYFUNCTION("""COMPUTED_VALUE"""),1.0)</f>
        <v>1</v>
      </c>
      <c r="AN1046" s="2" t="str">
        <f>IFERROR(__xludf.DUMMYFUNCTION("""COMPUTED_VALUE"""),"RCEF 23-09-21 Rebidding")</f>
        <v>RCEF 23-09-21 Rebidding</v>
      </c>
      <c r="AO1046" s="2">
        <f>IFERROR(__xludf.DUMMYFUNCTION("""COMPUTED_VALUE"""),2.0)</f>
        <v>2</v>
      </c>
      <c r="AP1046" s="2"/>
      <c r="AQ1046" s="2"/>
      <c r="AR1046" s="2"/>
      <c r="AS1046" s="2"/>
      <c r="AT1046" s="2"/>
      <c r="AU1046" s="2"/>
      <c r="AV1046" s="2"/>
      <c r="AW1046" s="2"/>
      <c r="AX1046" s="2"/>
      <c r="AY1046" s="2"/>
      <c r="AZ1046" s="2"/>
      <c r="BA1046" s="2"/>
      <c r="BB1046" s="2"/>
    </row>
    <row r="1047">
      <c r="A1047" s="2">
        <f>IFERROR(__xludf.DUMMYFUNCTION("""COMPUTED_VALUE"""),1043.0)</f>
        <v>1043</v>
      </c>
      <c r="B1047" s="2" t="str">
        <f>IFERROR(__xludf.DUMMYFUNCTION("""COMPUTED_VALUE"""),"COMPLETED")</f>
        <v>COMPLETED</v>
      </c>
      <c r="C1047" s="74">
        <f>IFERROR(__xludf.DUMMYFUNCTION("""COMPUTED_VALUE"""),45826.0)</f>
        <v>45826</v>
      </c>
      <c r="D1047" s="71" t="str">
        <f>IFERROR(__xludf.DUMMYFUNCTION("""COMPUTED_VALUE"""),"GOLDEN HARVEST FARMERS ASSOCIATION")</f>
        <v>GOLDEN HARVEST FARMERS ASSOCIATION</v>
      </c>
      <c r="E1047" s="71" t="str">
        <f>IFERROR(__xludf.DUMMYFUNCTION("""COMPUTED_VALUE"""),"San Jose, San Luis, PAMPANGA")</f>
        <v>San Jose, San Luis, PAMPANGA</v>
      </c>
      <c r="F1047" s="2" t="str">
        <f>IFERROR(__xludf.DUMMYFUNCTION("""COMPUTED_VALUE"""),"Diosdado Cruz")</f>
        <v>Diosdado Cruz</v>
      </c>
      <c r="G1047" s="2">
        <f>IFERROR(__xludf.DUMMYFUNCTION("""COMPUTED_VALUE"""),9.179247663E9)</f>
        <v>9179247663</v>
      </c>
      <c r="H1047" s="2">
        <f>IFERROR(__xludf.DUMMYFUNCTION("""COMPUTED_VALUE"""),601.0)</f>
        <v>601</v>
      </c>
      <c r="I1047" s="72" t="str">
        <f>IFERROR(__xludf.DUMMYFUNCTION("""COMPUTED_VALUE"""),"REPAIR - ROTAVATOR")</f>
        <v>REPAIR - ROTAVATOR</v>
      </c>
      <c r="J1047" s="72" t="str">
        <f>IFERROR(__xludf.DUMMYFUNCTION("""COMPUTED_VALUE"""),"Gearbox")</f>
        <v>Gearbox</v>
      </c>
      <c r="K1047" s="72" t="str">
        <f>IFERROR(__xludf.DUMMYFUNCTION("""COMPUTED_VALUE"""),"DSD: ROTAVATOR PROBLEM
JVV: 6/27/25: ASSESSMENT : DAMAGE PARTS DRIVE SHAFT, HARD LOCK NUT, BEARING 32211, BEVEL GEAR 24T")</f>
        <v>DSD: ROTAVATOR PROBLEM
JVV: 6/27/25: ASSESSMENT : DAMAGE PARTS DRIVE SHAFT, HARD LOCK NUT, BEARING 32211, BEVEL GEAR 24T</v>
      </c>
      <c r="L1047" s="72" t="str">
        <f>IFERROR(__xludf.DUMMYFUNCTION("""COMPUTED_VALUE"""),"QUOTATION SENT:
ACS: REPLACED BERING #32211")</f>
        <v>QUOTATION SENT:
ACS: REPLACED BERING #32211</v>
      </c>
      <c r="M1047" s="2"/>
      <c r="N1047" s="2" t="str">
        <f>IFERROR(__xludf.DUMMYFUNCTION("""COMPUTED_VALUE"""),"PARTS:
TAPER ROLLER BEARING #32211
SF: 4,000")</f>
        <v>PARTS:
TAPER ROLLER BEARING #32211
SF: 4,000</v>
      </c>
      <c r="O1047" s="2">
        <f>IFERROR(__xludf.DUMMYFUNCTION("""COMPUTED_VALUE"""),1424.0)</f>
        <v>1424</v>
      </c>
      <c r="P1047" s="2"/>
      <c r="Q1047" s="2"/>
      <c r="R1047" s="74">
        <f>IFERROR(__xludf.DUMMYFUNCTION("""COMPUTED_VALUE"""),45918.0)</f>
        <v>45918</v>
      </c>
      <c r="S1047" s="2" t="str">
        <f>IFERROR(__xludf.DUMMYFUNCTION("""COMPUTED_VALUE"""),"JHP/ACS")</f>
        <v>JHP/ACS</v>
      </c>
      <c r="T1047" s="73">
        <f>IFERROR(__xludf.DUMMYFUNCTION("""COMPUTED_VALUE"""),6300.0)</f>
        <v>6300</v>
      </c>
      <c r="U1047" s="73" t="str">
        <f>IFERROR(__xludf.DUMMYFUNCTION("""COMPUTED_VALUE""")," REMITTED ")</f>
        <v>REMITTED</v>
      </c>
      <c r="V1047" s="2"/>
      <c r="W1047" s="2">
        <f>IFERROR(__xludf.DUMMYFUNCTION("""COMPUTED_VALUE"""),1090.0)</f>
        <v>1090</v>
      </c>
      <c r="X1047" s="2">
        <f>IFERROR(__xludf.DUMMYFUNCTION("""COMPUTED_VALUE"""),1622.0)</f>
        <v>1622</v>
      </c>
      <c r="Y1047" s="2"/>
      <c r="Z1047" s="2"/>
      <c r="AA1047" s="2"/>
      <c r="AB1047" s="2"/>
      <c r="AC1047" s="2"/>
      <c r="AD1047" s="2"/>
      <c r="AE1047" s="2"/>
      <c r="AF1047" s="2"/>
      <c r="AG1047" s="2"/>
      <c r="AH1047" s="2"/>
      <c r="AI1047" s="2"/>
      <c r="AJ1047" s="2" t="str">
        <f>IFERROR(__xludf.DUMMYFUNCTION("""COMPUTED_VALUE"""),"San Jose")</f>
        <v>San Jose</v>
      </c>
      <c r="AK1047" s="2" t="str">
        <f>IFERROR(__xludf.DUMMYFUNCTION("""COMPUTED_VALUE"""),"San Luis")</f>
        <v>San Luis</v>
      </c>
      <c r="AL1047" s="2" t="str">
        <f>IFERROR(__xludf.DUMMYFUNCTION("""COMPUTED_VALUE"""),"Pampanga")</f>
        <v>Pampanga</v>
      </c>
      <c r="AM1047" s="2">
        <f>IFERROR(__xludf.DUMMYFUNCTION("""COMPUTED_VALUE"""),3.0)</f>
        <v>3</v>
      </c>
      <c r="AN1047" s="2" t="str">
        <f>IFERROR(__xludf.DUMMYFUNCTION("""COMPUTED_VALUE"""),"RCEF 23-09-21 Rebidding")</f>
        <v>RCEF 23-09-21 Rebidding</v>
      </c>
      <c r="AO1047" s="2">
        <f>IFERROR(__xludf.DUMMYFUNCTION("""COMPUTED_VALUE"""),3.0)</f>
        <v>3</v>
      </c>
      <c r="AP1047" s="2"/>
      <c r="AQ1047" s="2"/>
      <c r="AR1047" s="2"/>
      <c r="AS1047" s="2"/>
      <c r="AT1047" s="2"/>
      <c r="AU1047" s="2"/>
      <c r="AV1047" s="2"/>
      <c r="AW1047" s="2"/>
      <c r="AX1047" s="2"/>
      <c r="AY1047" s="2"/>
      <c r="AZ1047" s="2"/>
      <c r="BA1047" s="2"/>
      <c r="BB1047" s="2"/>
    </row>
    <row r="1048">
      <c r="A1048" s="2">
        <f>IFERROR(__xludf.DUMMYFUNCTION("""COMPUTED_VALUE"""),1044.0)</f>
        <v>1044</v>
      </c>
      <c r="B1048" s="2" t="str">
        <f>IFERROR(__xludf.DUMMYFUNCTION("""COMPUTED_VALUE"""),"COMPLETED")</f>
        <v>COMPLETED</v>
      </c>
      <c r="C1048" s="74">
        <f>IFERROR(__xludf.DUMMYFUNCTION("""COMPUTED_VALUE"""),45826.0)</f>
        <v>45826</v>
      </c>
      <c r="D1048" s="71" t="str">
        <f>IFERROR(__xludf.DUMMYFUNCTION("""COMPUTED_VALUE"""),"SAMAHAN NG MAGSASAKA SA PALANGHIRAN")</f>
        <v>SAMAHAN NG MAGSASAKA SA PALANGHIRAN</v>
      </c>
      <c r="E1048" s="71" t="str">
        <f>IFERROR(__xludf.DUMMYFUNCTION("""COMPUTED_VALUE"""),"MAPAYA, SAN JOSE, OCCIDENTAL MINDORO")</f>
        <v>MAPAYA, SAN JOSE, OCCIDENTAL MINDORO</v>
      </c>
      <c r="F1048" s="2" t="str">
        <f>IFERROR(__xludf.DUMMYFUNCTION("""COMPUTED_VALUE"""),"Ricardo E. Dela Cruz")</f>
        <v>Ricardo E. Dela Cruz</v>
      </c>
      <c r="G1048" s="2" t="str">
        <f>IFERROR(__xludf.DUMMYFUNCTION("""COMPUTED_VALUE"""),"0912 631 8700")</f>
        <v>0912 631 8700</v>
      </c>
      <c r="H1048" s="2"/>
      <c r="I1048" s="72" t="str">
        <f>IFERROR(__xludf.DUMMYFUNCTION("""COMPUTED_VALUE"""),"SPARE PARTS ACQUISITION")</f>
        <v>SPARE PARTS ACQUISITION</v>
      </c>
      <c r="J1048" s="72"/>
      <c r="K1048" s="72" t="str">
        <f>IFERROR(__xludf.DUMMYFUNCTION("""COMPUTED_VALUE"""),"RCG: QOUTAION FOR OIL SEAL FRONT AND REAR AXLE")</f>
        <v>RCG: QOUTAION FOR OIL SEAL FRONT AND REAR AXLE</v>
      </c>
      <c r="L1048" s="72" t="str">
        <f>IFERROR(__xludf.DUMMYFUNCTION("""COMPUTED_VALUE"""),"RCG: CANCELLED")</f>
        <v>RCG: CANCELLED</v>
      </c>
      <c r="M1048" s="2"/>
      <c r="N1048" s="2"/>
      <c r="O1048" s="2" t="str">
        <f>IFERROR(__xludf.DUMMYFUNCTION("""COMPUTED_VALUE"""),"N/A")</f>
        <v>N/A</v>
      </c>
      <c r="P1048" s="2"/>
      <c r="Q1048" s="2"/>
      <c r="R1048" s="74">
        <f>IFERROR(__xludf.DUMMYFUNCTION("""COMPUTED_VALUE"""),45828.0)</f>
        <v>45828</v>
      </c>
      <c r="S1048" s="2" t="str">
        <f>IFERROR(__xludf.DUMMYFUNCTION("""COMPUTED_VALUE"""),"RCG")</f>
        <v>RCG</v>
      </c>
      <c r="T1048" s="73" t="str">
        <f>IFERROR(__xludf.DUMMYFUNCTION("""COMPUTED_VALUE""")," N/A ")</f>
        <v>N/A</v>
      </c>
      <c r="U1048" s="73" t="str">
        <f>IFERROR(__xludf.DUMMYFUNCTION("""COMPUTED_VALUE""")," NO CHARGE ")</f>
        <v>NO CHARGE</v>
      </c>
      <c r="V1048" s="2"/>
      <c r="W1048" s="2" t="str">
        <f>IFERROR(__xludf.DUMMYFUNCTION("""COMPUTED_VALUE"""),"N/A")</f>
        <v>N/A</v>
      </c>
      <c r="X1048" s="2" t="str">
        <f>IFERROR(__xludf.DUMMYFUNCTION("""COMPUTED_VALUE"""),"N/A")</f>
        <v>N/A</v>
      </c>
      <c r="Y1048" s="2"/>
      <c r="Z1048" s="2"/>
      <c r="AA1048" s="2"/>
      <c r="AB1048" s="2"/>
      <c r="AC1048" s="2"/>
      <c r="AD1048" s="2"/>
      <c r="AE1048" s="2"/>
      <c r="AF1048" s="2"/>
      <c r="AG1048" s="2"/>
      <c r="AH1048" s="2"/>
      <c r="AI1048" s="2"/>
      <c r="AJ1048" s="2" t="str">
        <f>IFERROR(__xludf.DUMMYFUNCTION("""COMPUTED_VALUE"""),"Mapaya")</f>
        <v>Mapaya</v>
      </c>
      <c r="AK1048" s="2" t="str">
        <f>IFERROR(__xludf.DUMMYFUNCTION("""COMPUTED_VALUE"""),"San Jose")</f>
        <v>San Jose</v>
      </c>
      <c r="AL1048" s="2" t="str">
        <f>IFERROR(__xludf.DUMMYFUNCTION("""COMPUTED_VALUE"""),"Occidental Mindoro")</f>
        <v>Occidental Mindoro</v>
      </c>
      <c r="AM1048" s="2" t="str">
        <f>IFERROR(__xludf.DUMMYFUNCTION("""COMPUTED_VALUE"""),"4B")</f>
        <v>4B</v>
      </c>
      <c r="AN1048" s="2" t="str">
        <f>IFERROR(__xludf.DUMMYFUNCTION("""COMPUTED_VALUE"""),"RCEF 23-08-20 Rebidding")</f>
        <v>RCEF 23-08-20 Rebidding</v>
      </c>
      <c r="AO1048" s="2">
        <f>IFERROR(__xludf.DUMMYFUNCTION("""COMPUTED_VALUE"""),1.0)</f>
        <v>1</v>
      </c>
      <c r="AP1048" s="2"/>
      <c r="AQ1048" s="2"/>
      <c r="AR1048" s="2"/>
      <c r="AS1048" s="2"/>
      <c r="AT1048" s="2"/>
      <c r="AU1048" s="2"/>
      <c r="AV1048" s="2"/>
      <c r="AW1048" s="2"/>
      <c r="AX1048" s="2"/>
      <c r="AY1048" s="2"/>
      <c r="AZ1048" s="2"/>
      <c r="BA1048" s="2"/>
      <c r="BB1048" s="2"/>
    </row>
    <row r="1049">
      <c r="A1049" s="2">
        <f>IFERROR(__xludf.DUMMYFUNCTION("""COMPUTED_VALUE"""),1045.0)</f>
        <v>1045</v>
      </c>
      <c r="B1049" s="2" t="str">
        <f>IFERROR(__xludf.DUMMYFUNCTION("""COMPUTED_VALUE"""),"COMPLETED")</f>
        <v>COMPLETED</v>
      </c>
      <c r="C1049" s="74">
        <f>IFERROR(__xludf.DUMMYFUNCTION("""COMPUTED_VALUE"""),45826.0)</f>
        <v>45826</v>
      </c>
      <c r="D1049" s="71" t="str">
        <f>IFERROR(__xludf.DUMMYFUNCTION("""COMPUTED_VALUE"""),"Provincial Local Government Unit of Camarines Sur")</f>
        <v>Provincial Local Government Unit of Camarines Sur</v>
      </c>
      <c r="E1049" s="71" t="str">
        <f>IFERROR(__xludf.DUMMYFUNCTION("""COMPUTED_VALUE"""),"Cadlan, Pili, CAMARINES SUR")</f>
        <v>Cadlan, Pili, CAMARINES SUR</v>
      </c>
      <c r="F1049" s="2" t="str">
        <f>IFERROR(__xludf.DUMMYFUNCTION("""COMPUTED_VALUE"""),"VON S. QUIDON")</f>
        <v>VON S. QUIDON</v>
      </c>
      <c r="G1049" s="2"/>
      <c r="H1049" s="2">
        <f>IFERROR(__xludf.DUMMYFUNCTION("""COMPUTED_VALUE"""),51.1)</f>
        <v>51.1</v>
      </c>
      <c r="I1049" s="72" t="str">
        <f>IFERROR(__xludf.DUMMYFUNCTION("""COMPUTED_VALUE"""),"PMS")</f>
        <v>PMS</v>
      </c>
      <c r="J1049" s="72" t="str">
        <f>IFERROR(__xludf.DUMMYFUNCTION("""COMPUTED_VALUE"""),"PMS")</f>
        <v>PMS</v>
      </c>
      <c r="K1049" s="72" t="str">
        <f>IFERROR(__xludf.DUMMYFUNCTION("""COMPUTED_VALUE"""),"JTT: 1ST PMS FREE (UNIT 1)")</f>
        <v>JTT: 1ST PMS FREE (UNIT 1)</v>
      </c>
      <c r="L1049" s="72" t="str">
        <f>IFERROR(__xludf.DUMMYFUNCTION("""COMPUTED_VALUE"""),"JTT: 1ST PMS DONE (UNIT 1)")</f>
        <v>JTT: 1ST PMS DONE (UNIT 1)</v>
      </c>
      <c r="M1049" s="2"/>
      <c r="N1049" s="2" t="str">
        <f>IFERROR(__xludf.DUMMYFUNCTION("""COMPUTED_VALUE"""),"PARTS:
OIL FILTER
ENGINE OIL")</f>
        <v>PARTS:
OIL FILTER
ENGINE OIL</v>
      </c>
      <c r="O1049" s="2" t="str">
        <f>IFERROR(__xludf.DUMMYFUNCTION("""COMPUTED_VALUE"""),"NEED SERVICE REPORT")</f>
        <v>NEED SERVICE REPORT</v>
      </c>
      <c r="P1049" s="2"/>
      <c r="Q1049" s="2"/>
      <c r="R1049" s="74">
        <f>IFERROR(__xludf.DUMMYFUNCTION("""COMPUTED_VALUE"""),45826.0)</f>
        <v>45826</v>
      </c>
      <c r="S1049" s="2" t="str">
        <f>IFERROR(__xludf.DUMMYFUNCTION("""COMPUTED_VALUE"""),"JTT/LBA")</f>
        <v>JTT/LBA</v>
      </c>
      <c r="T1049" s="73" t="str">
        <f>IFERROR(__xludf.DUMMYFUNCTION("""COMPUTED_VALUE""")," N/A ")</f>
        <v>N/A</v>
      </c>
      <c r="U1049" s="73" t="str">
        <f>IFERROR(__xludf.DUMMYFUNCTION("""COMPUTED_VALUE""")," NO CHARGE ")</f>
        <v>NO CHARGE</v>
      </c>
      <c r="V1049" s="2"/>
      <c r="W1049" s="2" t="str">
        <f>IFERROR(__xludf.DUMMYFUNCTION("""COMPUTED_VALUE"""),"N/A")</f>
        <v>N/A</v>
      </c>
      <c r="X1049" s="2" t="str">
        <f>IFERROR(__xludf.DUMMYFUNCTION("""COMPUTED_VALUE"""),"N/A")</f>
        <v>N/A</v>
      </c>
      <c r="Y1049" s="2" t="str">
        <f>IFERROR(__xludf.DUMMYFUNCTION("""COMPUTED_VALUE"""),"UNIT 1")</f>
        <v>UNIT 1</v>
      </c>
      <c r="Z1049" s="2"/>
      <c r="AA1049" s="2"/>
      <c r="AB1049" s="2"/>
      <c r="AC1049" s="2"/>
      <c r="AD1049" s="2"/>
      <c r="AE1049" s="2"/>
      <c r="AF1049" s="2"/>
      <c r="AG1049" s="2"/>
      <c r="AH1049" s="2"/>
      <c r="AI1049" s="2"/>
      <c r="AJ1049" s="2" t="str">
        <f>IFERROR(__xludf.DUMMYFUNCTION("""COMPUTED_VALUE"""),"Cadlan")</f>
        <v>Cadlan</v>
      </c>
      <c r="AK1049" s="2" t="str">
        <f>IFERROR(__xludf.DUMMYFUNCTION("""COMPUTED_VALUE"""),"Pili")</f>
        <v>Pili</v>
      </c>
      <c r="AL1049" s="2" t="str">
        <f>IFERROR(__xludf.DUMMYFUNCTION("""COMPUTED_VALUE"""),"Camarines Sur")</f>
        <v>Camarines Sur</v>
      </c>
      <c r="AM1049" s="2">
        <f>IFERROR(__xludf.DUMMYFUNCTION("""COMPUTED_VALUE"""),5.0)</f>
        <v>5</v>
      </c>
      <c r="AN1049" s="2" t="str">
        <f>IFERROR(__xludf.DUMMYFUNCTION("""COMPUTED_VALUE"""),"RCEF 25-03-05")</f>
        <v>RCEF 25-03-05</v>
      </c>
      <c r="AO1049" s="2">
        <f>IFERROR(__xludf.DUMMYFUNCTION("""COMPUTED_VALUE"""),6.0)</f>
        <v>6</v>
      </c>
      <c r="AP1049" s="2" t="str">
        <f>IFERROR(__xludf.DUMMYFUNCTION("""COMPUTED_VALUE"""),"FREE PMS")</f>
        <v>FREE PMS</v>
      </c>
      <c r="AQ1049" s="2"/>
      <c r="AR1049" s="2"/>
      <c r="AS1049" s="2"/>
      <c r="AT1049" s="2"/>
      <c r="AU1049" s="2"/>
      <c r="AV1049" s="2"/>
      <c r="AW1049" s="2"/>
      <c r="AX1049" s="2"/>
      <c r="AY1049" s="2"/>
      <c r="AZ1049" s="2"/>
      <c r="BA1049" s="2"/>
      <c r="BB1049" s="2"/>
    </row>
    <row r="1050">
      <c r="A1050" s="2">
        <f>IFERROR(__xludf.DUMMYFUNCTION("""COMPUTED_VALUE"""),1046.0)</f>
        <v>1046</v>
      </c>
      <c r="B1050" s="2" t="str">
        <f>IFERROR(__xludf.DUMMYFUNCTION("""COMPUTED_VALUE"""),"COMPLETED")</f>
        <v>COMPLETED</v>
      </c>
      <c r="C1050" s="74">
        <f>IFERROR(__xludf.DUMMYFUNCTION("""COMPUTED_VALUE"""),45826.0)</f>
        <v>45826</v>
      </c>
      <c r="D1050" s="71" t="str">
        <f>IFERROR(__xludf.DUMMYFUNCTION("""COMPUTED_VALUE"""),"Provincial Local Government Unit of Camarines Sur")</f>
        <v>Provincial Local Government Unit of Camarines Sur</v>
      </c>
      <c r="E1050" s="71" t="str">
        <f>IFERROR(__xludf.DUMMYFUNCTION("""COMPUTED_VALUE"""),"Cadlan, Pili, CAMARINES SUR")</f>
        <v>Cadlan, Pili, CAMARINES SUR</v>
      </c>
      <c r="F1050" s="2" t="str">
        <f>IFERROR(__xludf.DUMMYFUNCTION("""COMPUTED_VALUE"""),"VON S. QUIDON")</f>
        <v>VON S. QUIDON</v>
      </c>
      <c r="G1050" s="2"/>
      <c r="H1050" s="2">
        <f>IFERROR(__xludf.DUMMYFUNCTION("""COMPUTED_VALUE"""),55.9)</f>
        <v>55.9</v>
      </c>
      <c r="I1050" s="72" t="str">
        <f>IFERROR(__xludf.DUMMYFUNCTION("""COMPUTED_VALUE"""),"PMS")</f>
        <v>PMS</v>
      </c>
      <c r="J1050" s="72" t="str">
        <f>IFERROR(__xludf.DUMMYFUNCTION("""COMPUTED_VALUE"""),"PMS")</f>
        <v>PMS</v>
      </c>
      <c r="K1050" s="72" t="str">
        <f>IFERROR(__xludf.DUMMYFUNCTION("""COMPUTED_VALUE"""),"JTT: 1ST PMS FREE (UNIT 2)")</f>
        <v>JTT: 1ST PMS FREE (UNIT 2)</v>
      </c>
      <c r="L1050" s="72" t="str">
        <f>IFERROR(__xludf.DUMMYFUNCTION("""COMPUTED_VALUE"""),"JTT: 1ST PMS DONE (UNIT 2)")</f>
        <v>JTT: 1ST PMS DONE (UNIT 2)</v>
      </c>
      <c r="M1050" s="2"/>
      <c r="N1050" s="2" t="str">
        <f>IFERROR(__xludf.DUMMYFUNCTION("""COMPUTED_VALUE"""),"PARTS:
OIL FILTER
ENGINE OIL")</f>
        <v>PARTS:
OIL FILTER
ENGINE OIL</v>
      </c>
      <c r="O1050" s="2" t="str">
        <f>IFERROR(__xludf.DUMMYFUNCTION("""COMPUTED_VALUE"""),"NEED SERVICE REPORT")</f>
        <v>NEED SERVICE REPORT</v>
      </c>
      <c r="P1050" s="2"/>
      <c r="Q1050" s="2"/>
      <c r="R1050" s="74">
        <f>IFERROR(__xludf.DUMMYFUNCTION("""COMPUTED_VALUE"""),45826.0)</f>
        <v>45826</v>
      </c>
      <c r="S1050" s="2" t="str">
        <f>IFERROR(__xludf.DUMMYFUNCTION("""COMPUTED_VALUE"""),"JTT/LBA")</f>
        <v>JTT/LBA</v>
      </c>
      <c r="T1050" s="73" t="str">
        <f>IFERROR(__xludf.DUMMYFUNCTION("""COMPUTED_VALUE""")," N/A ")</f>
        <v>N/A</v>
      </c>
      <c r="U1050" s="73" t="str">
        <f>IFERROR(__xludf.DUMMYFUNCTION("""COMPUTED_VALUE""")," NO CHARGE ")</f>
        <v>NO CHARGE</v>
      </c>
      <c r="V1050" s="2"/>
      <c r="W1050" s="2" t="str">
        <f>IFERROR(__xludf.DUMMYFUNCTION("""COMPUTED_VALUE"""),"N/A")</f>
        <v>N/A</v>
      </c>
      <c r="X1050" s="2" t="str">
        <f>IFERROR(__xludf.DUMMYFUNCTION("""COMPUTED_VALUE"""),"N/A")</f>
        <v>N/A</v>
      </c>
      <c r="Y1050" s="2" t="str">
        <f>IFERROR(__xludf.DUMMYFUNCTION("""COMPUTED_VALUE"""),"UNIT 2")</f>
        <v>UNIT 2</v>
      </c>
      <c r="Z1050" s="2"/>
      <c r="AA1050" s="2"/>
      <c r="AB1050" s="2"/>
      <c r="AC1050" s="2"/>
      <c r="AD1050" s="2"/>
      <c r="AE1050" s="2"/>
      <c r="AF1050" s="2"/>
      <c r="AG1050" s="2"/>
      <c r="AH1050" s="2"/>
      <c r="AI1050" s="2"/>
      <c r="AJ1050" s="2" t="str">
        <f>IFERROR(__xludf.DUMMYFUNCTION("""COMPUTED_VALUE"""),"Cadlan")</f>
        <v>Cadlan</v>
      </c>
      <c r="AK1050" s="2" t="str">
        <f>IFERROR(__xludf.DUMMYFUNCTION("""COMPUTED_VALUE"""),"Pili")</f>
        <v>Pili</v>
      </c>
      <c r="AL1050" s="2" t="str">
        <f>IFERROR(__xludf.DUMMYFUNCTION("""COMPUTED_VALUE"""),"Camarines Sur")</f>
        <v>Camarines Sur</v>
      </c>
      <c r="AM1050" s="2">
        <f>IFERROR(__xludf.DUMMYFUNCTION("""COMPUTED_VALUE"""),5.0)</f>
        <v>5</v>
      </c>
      <c r="AN1050" s="2" t="str">
        <f>IFERROR(__xludf.DUMMYFUNCTION("""COMPUTED_VALUE"""),"RCEF 25-03-05")</f>
        <v>RCEF 25-03-05</v>
      </c>
      <c r="AO1050" s="2">
        <f>IFERROR(__xludf.DUMMYFUNCTION("""COMPUTED_VALUE"""),6.0)</f>
        <v>6</v>
      </c>
      <c r="AP1050" s="2" t="str">
        <f>IFERROR(__xludf.DUMMYFUNCTION("""COMPUTED_VALUE"""),"FREE PMS")</f>
        <v>FREE PMS</v>
      </c>
      <c r="AQ1050" s="2"/>
      <c r="AR1050" s="2"/>
      <c r="AS1050" s="2"/>
      <c r="AT1050" s="2"/>
      <c r="AU1050" s="2"/>
      <c r="AV1050" s="2"/>
      <c r="AW1050" s="2"/>
      <c r="AX1050" s="2"/>
      <c r="AY1050" s="2"/>
      <c r="AZ1050" s="2"/>
      <c r="BA1050" s="2"/>
      <c r="BB1050" s="2"/>
    </row>
    <row r="1051">
      <c r="A1051" s="2">
        <f>IFERROR(__xludf.DUMMYFUNCTION("""COMPUTED_VALUE"""),1047.0)</f>
        <v>1047</v>
      </c>
      <c r="B1051" s="2" t="str">
        <f>IFERROR(__xludf.DUMMYFUNCTION("""COMPUTED_VALUE"""),"COMPLETED")</f>
        <v>COMPLETED</v>
      </c>
      <c r="C1051" s="74">
        <f>IFERROR(__xludf.DUMMYFUNCTION("""COMPUTED_VALUE"""),45827.0)</f>
        <v>45827</v>
      </c>
      <c r="D1051" s="71" t="str">
        <f>IFERROR(__xludf.DUMMYFUNCTION("""COMPUTED_VALUE"""),"Solido Cluster Farmers Association")</f>
        <v>Solido Cluster Farmers Association</v>
      </c>
      <c r="E1051" s="71" t="str">
        <f>IFERROR(__xludf.DUMMYFUNCTION("""COMPUTED_VALUE"""),"Solido, Nabas, AKLAN")</f>
        <v>Solido, Nabas, AKLAN</v>
      </c>
      <c r="F1051" s="2" t="str">
        <f>IFERROR(__xludf.DUMMYFUNCTION("""COMPUTED_VALUE"""),"Lonie B. Talde")</f>
        <v>Lonie B. Talde</v>
      </c>
      <c r="G1051" s="2">
        <f>IFERROR(__xludf.DUMMYFUNCTION("""COMPUTED_VALUE"""),9.914765569E9)</f>
        <v>9914765569</v>
      </c>
      <c r="H1051" s="2"/>
      <c r="I1051" s="72" t="str">
        <f>IFERROR(__xludf.DUMMYFUNCTION("""COMPUTED_VALUE"""),"SPARE PARTS ACQUISITION")</f>
        <v>SPARE PARTS ACQUISITION</v>
      </c>
      <c r="J1051" s="72" t="str">
        <f>IFERROR(__xludf.DUMMYFUNCTION("""COMPUTED_VALUE"""),"PARTS REQUEST")</f>
        <v>PARTS REQUEST</v>
      </c>
      <c r="K1051" s="72" t="str">
        <f>IFERROR(__xludf.DUMMYFUNCTION("""COMPUTED_VALUE"""),"DRM: HYDRAULIC FILTER , 40L HYDRAULIC OIL (TENTATIVE)
MYK: HUMIHINA DIN ANG HATAK NG MAKINA ")</f>
        <v>DRM: HYDRAULIC FILTER , 40L HYDRAULIC OIL (TENTATIVE)
MYK: HUMIHINA DIN ANG HATAK NG MAKINA </v>
      </c>
      <c r="L1051" s="72" t="str">
        <f>IFERROR(__xludf.DUMMYFUNCTION("""COMPUTED_VALUE"""),"DRM: GENERAL PMS")</f>
        <v>DRM: GENERAL PMS</v>
      </c>
      <c r="M1051" s="2"/>
      <c r="N1051" s="2" t="str">
        <f>IFERROR(__xludf.DUMMYFUNCTION("""COMPUTED_VALUE"""),"PARTS:
HYDRAULIC FILTER")</f>
        <v>PARTS:
HYDRAULIC FILTER</v>
      </c>
      <c r="O1051" s="2">
        <f>IFERROR(__xludf.DUMMYFUNCTION("""COMPUTED_VALUE"""),412.0)</f>
        <v>412</v>
      </c>
      <c r="P1051" s="2"/>
      <c r="Q1051" s="2" t="str">
        <f>IFERROR(__xludf.DUMMYFUNCTION("""COMPUTED_VALUE"""),"y")</f>
        <v>y</v>
      </c>
      <c r="R1051" s="74">
        <f>IFERROR(__xludf.DUMMYFUNCTION("""COMPUTED_VALUE"""),45914.0)</f>
        <v>45914</v>
      </c>
      <c r="S1051" s="2" t="str">
        <f>IFERROR(__xludf.DUMMYFUNCTION("""COMPUTED_VALUE"""),"EGT/DRM/DSD")</f>
        <v>EGT/DRM/DSD</v>
      </c>
      <c r="T1051" s="73">
        <f>IFERROR(__xludf.DUMMYFUNCTION("""COMPUTED_VALUE"""),2800.0)</f>
        <v>2800</v>
      </c>
      <c r="U1051" s="73" t="str">
        <f>IFERROR(__xludf.DUMMYFUNCTION("""COMPUTED_VALUE""")," REMITTED ")</f>
        <v>REMITTED</v>
      </c>
      <c r="V1051" s="2">
        <f>IFERROR(__xludf.DUMMYFUNCTION("""COMPUTED_VALUE"""),1307.0)</f>
        <v>1307</v>
      </c>
      <c r="W1051" s="2">
        <f>IFERROR(__xludf.DUMMYFUNCTION("""COMPUTED_VALUE"""),1661.0)</f>
        <v>1661</v>
      </c>
      <c r="X1051" s="2">
        <f>IFERROR(__xludf.DUMMYFUNCTION("""COMPUTED_VALUE"""),1681.0)</f>
        <v>1681</v>
      </c>
      <c r="Y1051" s="2"/>
      <c r="Z1051" s="2"/>
      <c r="AA1051" s="2"/>
      <c r="AB1051" s="2"/>
      <c r="AC1051" s="2"/>
      <c r="AD1051" s="2"/>
      <c r="AE1051" s="2"/>
      <c r="AF1051" s="2"/>
      <c r="AG1051" s="2"/>
      <c r="AH1051" s="2"/>
      <c r="AI1051" s="2"/>
      <c r="AJ1051" s="2" t="str">
        <f>IFERROR(__xludf.DUMMYFUNCTION("""COMPUTED_VALUE"""),"Solido")</f>
        <v>Solido</v>
      </c>
      <c r="AK1051" s="2" t="str">
        <f>IFERROR(__xludf.DUMMYFUNCTION("""COMPUTED_VALUE"""),"Nabas")</f>
        <v>Nabas</v>
      </c>
      <c r="AL1051" s="2" t="str">
        <f>IFERROR(__xludf.DUMMYFUNCTION("""COMPUTED_VALUE"""),"Aklan")</f>
        <v>Aklan</v>
      </c>
      <c r="AM1051" s="2">
        <f>IFERROR(__xludf.DUMMYFUNCTION("""COMPUTED_VALUE"""),6.0)</f>
        <v>6</v>
      </c>
      <c r="AN1051" s="2" t="str">
        <f>IFERROR(__xludf.DUMMYFUNCTION("""COMPUTED_VALUE"""),"RCEF 23-09-21 Rebidding")</f>
        <v>RCEF 23-09-21 Rebidding</v>
      </c>
      <c r="AO1051" s="2">
        <f>IFERROR(__xludf.DUMMYFUNCTION("""COMPUTED_VALUE"""),4.0)</f>
        <v>4</v>
      </c>
      <c r="AP1051" s="2"/>
      <c r="AQ1051" s="2"/>
      <c r="AR1051" s="2"/>
      <c r="AS1051" s="2"/>
      <c r="AT1051" s="2"/>
      <c r="AU1051" s="2"/>
      <c r="AV1051" s="2"/>
      <c r="AW1051" s="2"/>
      <c r="AX1051" s="2"/>
      <c r="AY1051" s="2"/>
      <c r="AZ1051" s="2"/>
      <c r="BA1051" s="2"/>
      <c r="BB1051" s="2"/>
    </row>
    <row r="1052">
      <c r="A1052" s="2">
        <f>IFERROR(__xludf.DUMMYFUNCTION("""COMPUTED_VALUE"""),1048.0)</f>
        <v>1048</v>
      </c>
      <c r="B1052" s="2" t="str">
        <f>IFERROR(__xludf.DUMMYFUNCTION("""COMPUTED_VALUE"""),"COMPLETED")</f>
        <v>COMPLETED</v>
      </c>
      <c r="C1052" s="74">
        <f>IFERROR(__xludf.DUMMYFUNCTION("""COMPUTED_VALUE"""),45827.0)</f>
        <v>45827</v>
      </c>
      <c r="D1052" s="71" t="str">
        <f>IFERROR(__xludf.DUMMYFUNCTION("""COMPUTED_VALUE"""),"Free Farmers Multi Purpose Cooperative")</f>
        <v>Free Farmers Multi Purpose Cooperative</v>
      </c>
      <c r="E1052" s="71" t="str">
        <f>IFERROR(__xludf.DUMMYFUNCTION("""COMPUTED_VALUE"""),"SAYAGADEN, CABUGAO, ILOCOS SUR")</f>
        <v>SAYAGADEN, CABUGAO, ILOCOS SUR</v>
      </c>
      <c r="F1052" s="2" t="str">
        <f>IFERROR(__xludf.DUMMYFUNCTION("""COMPUTED_VALUE"""),"Zosimo Sayaboc")</f>
        <v>Zosimo Sayaboc</v>
      </c>
      <c r="G1052" s="2" t="str">
        <f>IFERROR(__xludf.DUMMYFUNCTION("""COMPUTED_VALUE"""),"0926-603-9607")</f>
        <v>0926-603-9607</v>
      </c>
      <c r="H1052" s="2">
        <f>IFERROR(__xludf.DUMMYFUNCTION("""COMPUTED_VALUE"""),500.0)</f>
        <v>500</v>
      </c>
      <c r="I1052" s="72" t="str">
        <f>IFERROR(__xludf.DUMMYFUNCTION("""COMPUTED_VALUE"""),"PMS")</f>
        <v>PMS</v>
      </c>
      <c r="J1052" s="72" t="str">
        <f>IFERROR(__xludf.DUMMYFUNCTION("""COMPUTED_VALUE"""),"PMS")</f>
        <v>PMS</v>
      </c>
      <c r="K1052" s="72" t="str">
        <f>IFERROR(__xludf.DUMMYFUNCTION("""COMPUTED_VALUE"""),"ERP: PMS ")</f>
        <v>ERP: PMS </v>
      </c>
      <c r="L1052" s="72" t="str">
        <f>IFERROR(__xludf.DUMMYFUNCTION("""COMPUTED_VALUE"""),"EGT: GENERAL PMS DONE")</f>
        <v>EGT: GENERAL PMS DONE</v>
      </c>
      <c r="M1052" s="2"/>
      <c r="N1052" s="2" t="str">
        <f>IFERROR(__xludf.DUMMYFUNCTION("""COMPUTED_VALUE"""),"PARTS: OIL FILTER, HYDRAULIC FILTER")</f>
        <v>PARTS: OIL FILTER, HYDRAULIC FILTER</v>
      </c>
      <c r="O1052" s="2">
        <f>IFERROR(__xludf.DUMMYFUNCTION("""COMPUTED_VALUE"""),1137.0)</f>
        <v>1137</v>
      </c>
      <c r="P1052" s="2"/>
      <c r="Q1052" s="2" t="str">
        <f>IFERROR(__xludf.DUMMYFUNCTION("""COMPUTED_VALUE"""),"Y")</f>
        <v>Y</v>
      </c>
      <c r="R1052" s="74">
        <f>IFERROR(__xludf.DUMMYFUNCTION("""COMPUTED_VALUE"""),45831.0)</f>
        <v>45831</v>
      </c>
      <c r="S1052" s="2" t="str">
        <f>IFERROR(__xludf.DUMMYFUNCTION("""COMPUTED_VALUE"""),"EGT/DRM")</f>
        <v>EGT/DRM</v>
      </c>
      <c r="T1052" s="73">
        <f>IFERROR(__xludf.DUMMYFUNCTION("""COMPUTED_VALUE"""),4400.0)</f>
        <v>4400</v>
      </c>
      <c r="U1052" s="73" t="str">
        <f>IFERROR(__xludf.DUMMYFUNCTION("""COMPUTED_VALUE""")," REMITTED ")</f>
        <v>REMITTED</v>
      </c>
      <c r="V1052" s="2"/>
      <c r="W1052" s="2">
        <f>IFERROR(__xludf.DUMMYFUNCTION("""COMPUTED_VALUE"""),1653.0)</f>
        <v>1653</v>
      </c>
      <c r="X1052" s="2">
        <f>IFERROR(__xludf.DUMMYFUNCTION("""COMPUTED_VALUE"""),1526.0)</f>
        <v>1526</v>
      </c>
      <c r="Y1052" s="2"/>
      <c r="Z1052" s="2"/>
      <c r="AA1052" s="2"/>
      <c r="AB1052" s="2"/>
      <c r="AC1052" s="2"/>
      <c r="AD1052" s="2"/>
      <c r="AE1052" s="2"/>
      <c r="AF1052" s="2"/>
      <c r="AG1052" s="2"/>
      <c r="AH1052" s="2"/>
      <c r="AI1052" s="2"/>
      <c r="AJ1052" s="2" t="str">
        <f>IFERROR(__xludf.DUMMYFUNCTION("""COMPUTED_VALUE"""),"Sayagaden")</f>
        <v>Sayagaden</v>
      </c>
      <c r="AK1052" s="2" t="str">
        <f>IFERROR(__xludf.DUMMYFUNCTION("""COMPUTED_VALUE"""),"Cabugao")</f>
        <v>Cabugao</v>
      </c>
      <c r="AL1052" s="2" t="str">
        <f>IFERROR(__xludf.DUMMYFUNCTION("""COMPUTED_VALUE"""),"Ilocos Sur")</f>
        <v>Ilocos Sur</v>
      </c>
      <c r="AM1052" s="2">
        <f>IFERROR(__xludf.DUMMYFUNCTION("""COMPUTED_VALUE"""),1.0)</f>
        <v>1</v>
      </c>
      <c r="AN1052" s="2" t="str">
        <f>IFERROR(__xludf.DUMMYFUNCTION("""COMPUTED_VALUE"""),"RCEF 23-09-21 Rebidding")</f>
        <v>RCEF 23-09-21 Rebidding</v>
      </c>
      <c r="AO1052" s="2">
        <f>IFERROR(__xludf.DUMMYFUNCTION("""COMPUTED_VALUE"""),2.0)</f>
        <v>2</v>
      </c>
      <c r="AP1052" s="2"/>
      <c r="AQ1052" s="2"/>
      <c r="AR1052" s="2"/>
      <c r="AS1052" s="2"/>
      <c r="AT1052" s="2"/>
      <c r="AU1052" s="2"/>
      <c r="AV1052" s="2"/>
      <c r="AW1052" s="2"/>
      <c r="AX1052" s="2"/>
      <c r="AY1052" s="2"/>
      <c r="AZ1052" s="2"/>
      <c r="BA1052" s="2"/>
      <c r="BB1052" s="2"/>
    </row>
    <row r="1053">
      <c r="A1053" s="2">
        <f>IFERROR(__xludf.DUMMYFUNCTION("""COMPUTED_VALUE"""),1049.0)</f>
        <v>1049</v>
      </c>
      <c r="B1053" s="2" t="str">
        <f>IFERROR(__xludf.DUMMYFUNCTION("""COMPUTED_VALUE"""),"COMPLETED")</f>
        <v>COMPLETED</v>
      </c>
      <c r="C1053" s="74">
        <f>IFERROR(__xludf.DUMMYFUNCTION("""COMPUTED_VALUE"""),45827.0)</f>
        <v>45827</v>
      </c>
      <c r="D1053" s="71" t="str">
        <f>IFERROR(__xludf.DUMMYFUNCTION("""COMPUTED_VALUE"""),"BRGY. MALIMPEC, BAYAMBANG, PANGASINAN FARMERS ASSOCIATION")</f>
        <v>BRGY. MALIMPEC, BAYAMBANG, PANGASINAN FARMERS ASSOCIATION</v>
      </c>
      <c r="E1053" s="71" t="str">
        <f>IFERROR(__xludf.DUMMYFUNCTION("""COMPUTED_VALUE"""),"Malimpec, Bayambang, PANGASINAN")</f>
        <v>Malimpec, Bayambang, PANGASINAN</v>
      </c>
      <c r="F1053" s="2" t="str">
        <f>IFERROR(__xludf.DUMMYFUNCTION("""COMPUTED_VALUE"""),"WALLY SAYGO")</f>
        <v>WALLY SAYGO</v>
      </c>
      <c r="G1053" s="2">
        <f>IFERROR(__xludf.DUMMYFUNCTION("""COMPUTED_VALUE"""),9.486524355E9)</f>
        <v>9486524355</v>
      </c>
      <c r="H1053" s="2">
        <f>IFERROR(__xludf.DUMMYFUNCTION("""COMPUTED_VALUE"""),618.0)</f>
        <v>618</v>
      </c>
      <c r="I1053" s="72" t="str">
        <f>IFERROR(__xludf.DUMMYFUNCTION("""COMPUTED_VALUE"""),"REPAIR - TRACTOR")</f>
        <v>REPAIR - TRACTOR</v>
      </c>
      <c r="J1053" s="72" t="str">
        <f>IFERROR(__xludf.DUMMYFUNCTION("""COMPUTED_VALUE"""),"CHECK UP UNIT")</f>
        <v>CHECK UP UNIT</v>
      </c>
      <c r="K1053" s="72" t="str">
        <f>IFERROR(__xludf.DUMMYFUNCTION("""COMPUTED_VALUE"""),"JDP: MAHINANG HUMATAK")</f>
        <v>JDP: MAHINANG HUMATAK</v>
      </c>
      <c r="L1053" s="72" t="str">
        <f>IFERROR(__xludf.DUMMYFUNCTION("""COMPUTED_VALUE"""),"DSD: PUT ADDITIONAL HYDRAULIC OIL")</f>
        <v>DSD: PUT ADDITIONAL HYDRAULIC OIL</v>
      </c>
      <c r="M1053" s="2"/>
      <c r="N1053" s="2"/>
      <c r="O1053" s="2">
        <f>IFERROR(__xludf.DUMMYFUNCTION("""COMPUTED_VALUE"""),1085.0)</f>
        <v>1085</v>
      </c>
      <c r="P1053" s="2"/>
      <c r="Q1053" s="2" t="str">
        <f>IFERROR(__xludf.DUMMYFUNCTION("""COMPUTED_VALUE"""),"Y")</f>
        <v>Y</v>
      </c>
      <c r="R1053" s="74" t="str">
        <f>IFERROR(__xludf.DUMMYFUNCTION("""COMPUTED_VALUE"""),"6/262/5")</f>
        <v>6/262/5</v>
      </c>
      <c r="S1053" s="2" t="str">
        <f>IFERROR(__xludf.DUMMYFUNCTION("""COMPUTED_VALUE"""),"DSD/JDP")</f>
        <v>DSD/JDP</v>
      </c>
      <c r="T1053" s="73" t="str">
        <f>IFERROR(__xludf.DUMMYFUNCTION("""COMPUTED_VALUE""")," N/A ")</f>
        <v>N/A</v>
      </c>
      <c r="U1053" s="73" t="str">
        <f>IFERROR(__xludf.DUMMYFUNCTION("""COMPUTED_VALUE""")," NO CHARGE ")</f>
        <v>NO CHARGE</v>
      </c>
      <c r="V1053" s="2"/>
      <c r="W1053" s="2" t="str">
        <f>IFERROR(__xludf.DUMMYFUNCTION("""COMPUTED_VALUE"""),"N/A")</f>
        <v>N/A</v>
      </c>
      <c r="X1053" s="2" t="str">
        <f>IFERROR(__xludf.DUMMYFUNCTION("""COMPUTED_VALUE"""),"N/A")</f>
        <v>N/A</v>
      </c>
      <c r="Y1053" s="2"/>
      <c r="Z1053" s="2"/>
      <c r="AA1053" s="2"/>
      <c r="AB1053" s="2"/>
      <c r="AC1053" s="2"/>
      <c r="AD1053" s="2"/>
      <c r="AE1053" s="2"/>
      <c r="AF1053" s="2"/>
      <c r="AG1053" s="2"/>
      <c r="AH1053" s="2"/>
      <c r="AI1053" s="2"/>
      <c r="AJ1053" s="2" t="str">
        <f>IFERROR(__xludf.DUMMYFUNCTION("""COMPUTED_VALUE"""),"Malimpec")</f>
        <v>Malimpec</v>
      </c>
      <c r="AK1053" s="2" t="str">
        <f>IFERROR(__xludf.DUMMYFUNCTION("""COMPUTED_VALUE"""),"Bayambang")</f>
        <v>Bayambang</v>
      </c>
      <c r="AL1053" s="2" t="str">
        <f>IFERROR(__xludf.DUMMYFUNCTION("""COMPUTED_VALUE"""),"Pangasinan")</f>
        <v>Pangasinan</v>
      </c>
      <c r="AM1053" s="2">
        <f>IFERROR(__xludf.DUMMYFUNCTION("""COMPUTED_VALUE"""),1.0)</f>
        <v>1</v>
      </c>
      <c r="AN1053" s="2" t="str">
        <f>IFERROR(__xludf.DUMMYFUNCTION("""COMPUTED_VALUE"""),"RCEF 23-09-21 Rebidding")</f>
        <v>RCEF 23-09-21 Rebidding</v>
      </c>
      <c r="AO1053" s="2">
        <f>IFERROR(__xludf.DUMMYFUNCTION("""COMPUTED_VALUE"""),2.0)</f>
        <v>2</v>
      </c>
      <c r="AP1053" s="2"/>
      <c r="AQ1053" s="2"/>
      <c r="AR1053" s="2"/>
      <c r="AS1053" s="2"/>
      <c r="AT1053" s="2"/>
      <c r="AU1053" s="2"/>
      <c r="AV1053" s="2"/>
      <c r="AW1053" s="2"/>
      <c r="AX1053" s="2"/>
      <c r="AY1053" s="2"/>
      <c r="AZ1053" s="2"/>
      <c r="BA1053" s="2"/>
      <c r="BB1053" s="2"/>
    </row>
    <row r="1054">
      <c r="A1054" s="2">
        <f>IFERROR(__xludf.DUMMYFUNCTION("""COMPUTED_VALUE"""),1050.0)</f>
        <v>1050</v>
      </c>
      <c r="B1054" s="2" t="str">
        <f>IFERROR(__xludf.DUMMYFUNCTION("""COMPUTED_VALUE"""),"COMPLETED")</f>
        <v>COMPLETED</v>
      </c>
      <c r="C1054" s="74">
        <f>IFERROR(__xludf.DUMMYFUNCTION("""COMPUTED_VALUE"""),45827.0)</f>
        <v>45827</v>
      </c>
      <c r="D1054" s="71" t="str">
        <f>IFERROR(__xludf.DUMMYFUNCTION("""COMPUTED_VALUE"""),"PAG-ASA SAN AGUSTIN AGRARIAN BENEFICIARIES FARMERS ASSOCIATION")</f>
        <v>PAG-ASA SAN AGUSTIN AGRARIAN BENEFICIARIES FARMERS ASSOCIATION</v>
      </c>
      <c r="E1054" s="71" t="str">
        <f>IFERROR(__xludf.DUMMYFUNCTION("""COMPUTED_VALUE"""),"San Agustin, Pili, CAMARINES SUR")</f>
        <v>San Agustin, Pili, CAMARINES SUR</v>
      </c>
      <c r="F1054" s="2" t="str">
        <f>IFERROR(__xludf.DUMMYFUNCTION("""COMPUTED_VALUE"""),"NACARIO JOSELYN")</f>
        <v>NACARIO JOSELYN</v>
      </c>
      <c r="G1054" s="2"/>
      <c r="H1054" s="2">
        <f>IFERROR(__xludf.DUMMYFUNCTION("""COMPUTED_VALUE"""),29.3)</f>
        <v>29.3</v>
      </c>
      <c r="I1054" s="72" t="str">
        <f>IFERROR(__xludf.DUMMYFUNCTION("""COMPUTED_VALUE"""),"REPAIR - TRACTOR")</f>
        <v>REPAIR - TRACTOR</v>
      </c>
      <c r="J1054" s="72" t="str">
        <f>IFERROR(__xludf.DUMMYFUNCTION("""COMPUTED_VALUE"""),"Electrical - Dashboard")</f>
        <v>Electrical - Dashboard</v>
      </c>
      <c r="K1054" s="72" t="str">
        <f>IFERROR(__xludf.DUMMYFUNCTION("""COMPUTED_VALUE"""),"JTT: LOOSE COUNDOWN MACHINE HOURS AND FUEL GAUGE")</f>
        <v>JTT: LOOSE COUNDOWN MACHINE HOURS AND FUEL GAUGE</v>
      </c>
      <c r="L1054" s="72" t="str">
        <f>IFERROR(__xludf.DUMMYFUNCTION("""COMPUTED_VALUE"""),"JTT: REPAIR METER PANEL ")</f>
        <v>JTT: REPAIR METER PANEL </v>
      </c>
      <c r="M1054" s="2"/>
      <c r="N1054" s="2"/>
      <c r="O1054" s="2" t="str">
        <f>IFERROR(__xludf.DUMMYFUNCTION("""COMPUTED_VALUE"""),"NEED SERVICE REPORT")</f>
        <v>NEED SERVICE REPORT</v>
      </c>
      <c r="P1054" s="2"/>
      <c r="Q1054" s="2"/>
      <c r="R1054" s="74">
        <f>IFERROR(__xludf.DUMMYFUNCTION("""COMPUTED_VALUE"""),45827.0)</f>
        <v>45827</v>
      </c>
      <c r="S1054" s="2" t="str">
        <f>IFERROR(__xludf.DUMMYFUNCTION("""COMPUTED_VALUE"""),"JTT/LBA")</f>
        <v>JTT/LBA</v>
      </c>
      <c r="T1054" s="73" t="str">
        <f>IFERROR(__xludf.DUMMYFUNCTION("""COMPUTED_VALUE""")," N/A ")</f>
        <v>N/A</v>
      </c>
      <c r="U1054" s="73" t="str">
        <f>IFERROR(__xludf.DUMMYFUNCTION("""COMPUTED_VALUE""")," NO CHARGE ")</f>
        <v>NO CHARGE</v>
      </c>
      <c r="V1054" s="2"/>
      <c r="W1054" s="2" t="str">
        <f>IFERROR(__xludf.DUMMYFUNCTION("""COMPUTED_VALUE"""),"N/A")</f>
        <v>N/A</v>
      </c>
      <c r="X1054" s="2" t="str">
        <f>IFERROR(__xludf.DUMMYFUNCTION("""COMPUTED_VALUE"""),"N/A")</f>
        <v>N/A</v>
      </c>
      <c r="Y1054" s="2"/>
      <c r="Z1054" s="2"/>
      <c r="AA1054" s="2"/>
      <c r="AB1054" s="2"/>
      <c r="AC1054" s="2"/>
      <c r="AD1054" s="2"/>
      <c r="AE1054" s="2"/>
      <c r="AF1054" s="2"/>
      <c r="AG1054" s="2"/>
      <c r="AH1054" s="2"/>
      <c r="AI1054" s="2"/>
      <c r="AJ1054" s="2" t="str">
        <f>IFERROR(__xludf.DUMMYFUNCTION("""COMPUTED_VALUE"""),"San Agustin")</f>
        <v>San Agustin</v>
      </c>
      <c r="AK1054" s="2" t="str">
        <f>IFERROR(__xludf.DUMMYFUNCTION("""COMPUTED_VALUE"""),"Pili")</f>
        <v>Pili</v>
      </c>
      <c r="AL1054" s="2" t="str">
        <f>IFERROR(__xludf.DUMMYFUNCTION("""COMPUTED_VALUE"""),"Camarines Sur")</f>
        <v>Camarines Sur</v>
      </c>
      <c r="AM1054" s="2">
        <f>IFERROR(__xludf.DUMMYFUNCTION("""COMPUTED_VALUE"""),5.0)</f>
        <v>5</v>
      </c>
      <c r="AN1054" s="2" t="str">
        <f>IFERROR(__xludf.DUMMYFUNCTION("""COMPUTED_VALUE"""),"RCEF 24-04-15")</f>
        <v>RCEF 24-04-15</v>
      </c>
      <c r="AO1054" s="2">
        <f>IFERROR(__xludf.DUMMYFUNCTION("""COMPUTED_VALUE"""),7.0)</f>
        <v>7</v>
      </c>
      <c r="AP1054" s="2" t="str">
        <f>IFERROR(__xludf.DUMMYFUNCTION("""COMPUTED_VALUE"""),"FREE PMS")</f>
        <v>FREE PMS</v>
      </c>
      <c r="AQ1054" s="2"/>
      <c r="AR1054" s="2"/>
      <c r="AS1054" s="2"/>
      <c r="AT1054" s="2"/>
      <c r="AU1054" s="2"/>
      <c r="AV1054" s="2"/>
      <c r="AW1054" s="2"/>
      <c r="AX1054" s="2"/>
      <c r="AY1054" s="2"/>
      <c r="AZ1054" s="2"/>
      <c r="BA1054" s="2"/>
      <c r="BB1054" s="2"/>
    </row>
    <row r="1055">
      <c r="A1055" s="2">
        <f>IFERROR(__xludf.DUMMYFUNCTION("""COMPUTED_VALUE"""),1051.0)</f>
        <v>1051</v>
      </c>
      <c r="B1055" s="2" t="str">
        <f>IFERROR(__xludf.DUMMYFUNCTION("""COMPUTED_VALUE"""),"COMPLETED")</f>
        <v>COMPLETED</v>
      </c>
      <c r="C1055" s="74">
        <f>IFERROR(__xludf.DUMMYFUNCTION("""COMPUTED_VALUE"""),45827.0)</f>
        <v>45827</v>
      </c>
      <c r="D1055" s="71" t="str">
        <f>IFERROR(__xludf.DUMMYFUNCTION("""COMPUTED_VALUE"""),"MANTALISAY TARUM CAMAMBUGAN BAGUMBAYAN IRRIGATORS ASSOCIATION, INC.")</f>
        <v>MANTALISAY TARUM CAMAMBUGAN BAGUMBAYAN IRRIGATORS ASSOCIATION, INC.</v>
      </c>
      <c r="E1055" s="71" t="str">
        <f>IFERROR(__xludf.DUMMYFUNCTION("""COMPUTED_VALUE"""),"Handong, Libmanan, CAMARINES SUR")</f>
        <v>Handong, Libmanan, CAMARINES SUR</v>
      </c>
      <c r="F1055" s="2"/>
      <c r="G1055" s="2"/>
      <c r="H1055" s="2">
        <f>IFERROR(__xludf.DUMMYFUNCTION("""COMPUTED_VALUE"""),183.6)</f>
        <v>183.6</v>
      </c>
      <c r="I1055" s="72" t="str">
        <f>IFERROR(__xludf.DUMMYFUNCTION("""COMPUTED_VALUE"""),"PMS")</f>
        <v>PMS</v>
      </c>
      <c r="J1055" s="72" t="str">
        <f>IFERROR(__xludf.DUMMYFUNCTION("""COMPUTED_VALUE"""),"PMS")</f>
        <v>PMS</v>
      </c>
      <c r="K1055" s="72" t="str">
        <f>IFERROR(__xludf.DUMMYFUNCTION("""COMPUTED_VALUE"""),"JTT: 1ST PMS FREE ")</f>
        <v>JTT: 1ST PMS FREE </v>
      </c>
      <c r="L1055" s="72" t="str">
        <f>IFERROR(__xludf.DUMMYFUNCTION("""COMPUTED_VALUE"""),"JTT: 1ST PMS DONE")</f>
        <v>JTT: 1ST PMS DONE</v>
      </c>
      <c r="M1055" s="2"/>
      <c r="N1055" s="2" t="str">
        <f>IFERROR(__xludf.DUMMYFUNCTION("""COMPUTED_VALUE"""),"PARTS:
OIL FILTER
ENGINE OIL")</f>
        <v>PARTS:
OIL FILTER
ENGINE OIL</v>
      </c>
      <c r="O1055" s="2" t="str">
        <f>IFERROR(__xludf.DUMMYFUNCTION("""COMPUTED_VALUE"""),"NEED SERVICE REPORT")</f>
        <v>NEED SERVICE REPORT</v>
      </c>
      <c r="P1055" s="2"/>
      <c r="Q1055" s="2"/>
      <c r="R1055" s="74">
        <f>IFERROR(__xludf.DUMMYFUNCTION("""COMPUTED_VALUE"""),45827.0)</f>
        <v>45827</v>
      </c>
      <c r="S1055" s="2" t="str">
        <f>IFERROR(__xludf.DUMMYFUNCTION("""COMPUTED_VALUE"""),"JTT/LBA")</f>
        <v>JTT/LBA</v>
      </c>
      <c r="T1055" s="73" t="str">
        <f>IFERROR(__xludf.DUMMYFUNCTION("""COMPUTED_VALUE""")," N/A ")</f>
        <v>N/A</v>
      </c>
      <c r="U1055" s="73" t="str">
        <f>IFERROR(__xludf.DUMMYFUNCTION("""COMPUTED_VALUE""")," NO CHARGE ")</f>
        <v>NO CHARGE</v>
      </c>
      <c r="V1055" s="2"/>
      <c r="W1055" s="2" t="str">
        <f>IFERROR(__xludf.DUMMYFUNCTION("""COMPUTED_VALUE"""),"N/A")</f>
        <v>N/A</v>
      </c>
      <c r="X1055" s="2" t="str">
        <f>IFERROR(__xludf.DUMMYFUNCTION("""COMPUTED_VALUE"""),"N/A")</f>
        <v>N/A</v>
      </c>
      <c r="Y1055" s="2"/>
      <c r="Z1055" s="2"/>
      <c r="AA1055" s="2"/>
      <c r="AB1055" s="2"/>
      <c r="AC1055" s="2"/>
      <c r="AD1055" s="2"/>
      <c r="AE1055" s="2"/>
      <c r="AF1055" s="2"/>
      <c r="AG1055" s="2"/>
      <c r="AH1055" s="2"/>
      <c r="AI1055" s="2"/>
      <c r="AJ1055" s="2" t="str">
        <f>IFERROR(__xludf.DUMMYFUNCTION("""COMPUTED_VALUE"""),"Handong")</f>
        <v>Handong</v>
      </c>
      <c r="AK1055" s="2" t="str">
        <f>IFERROR(__xludf.DUMMYFUNCTION("""COMPUTED_VALUE"""),"Libmanan")</f>
        <v>Libmanan</v>
      </c>
      <c r="AL1055" s="2" t="str">
        <f>IFERROR(__xludf.DUMMYFUNCTION("""COMPUTED_VALUE"""),"Camarines Sur")</f>
        <v>Camarines Sur</v>
      </c>
      <c r="AM1055" s="2">
        <f>IFERROR(__xludf.DUMMYFUNCTION("""COMPUTED_VALUE"""),5.0)</f>
        <v>5</v>
      </c>
      <c r="AN1055" s="2" t="str">
        <f>IFERROR(__xludf.DUMMYFUNCTION("""COMPUTED_VALUE"""),"RCEF 24-04-15")</f>
        <v>RCEF 24-04-15</v>
      </c>
      <c r="AO1055" s="2">
        <f>IFERROR(__xludf.DUMMYFUNCTION("""COMPUTED_VALUE"""),7.0)</f>
        <v>7</v>
      </c>
      <c r="AP1055" s="2" t="str">
        <f>IFERROR(__xludf.DUMMYFUNCTION("""COMPUTED_VALUE"""),"FREE PMS")</f>
        <v>FREE PMS</v>
      </c>
      <c r="AQ1055" s="2"/>
      <c r="AR1055" s="2"/>
      <c r="AS1055" s="2"/>
      <c r="AT1055" s="2"/>
      <c r="AU1055" s="2"/>
      <c r="AV1055" s="2"/>
      <c r="AW1055" s="2"/>
      <c r="AX1055" s="2"/>
      <c r="AY1055" s="2"/>
      <c r="AZ1055" s="2"/>
      <c r="BA1055" s="2"/>
      <c r="BB1055" s="2"/>
    </row>
    <row r="1056">
      <c r="A1056" s="2">
        <f>IFERROR(__xludf.DUMMYFUNCTION("""COMPUTED_VALUE"""),1052.0)</f>
        <v>1052</v>
      </c>
      <c r="B1056" s="2" t="str">
        <f>IFERROR(__xludf.DUMMYFUNCTION("""COMPUTED_VALUE"""),"COMPLETED")</f>
        <v>COMPLETED</v>
      </c>
      <c r="C1056" s="74">
        <f>IFERROR(__xludf.DUMMYFUNCTION("""COMPUTED_VALUE"""),45828.0)</f>
        <v>45828</v>
      </c>
      <c r="D1056" s="71" t="str">
        <f>IFERROR(__xludf.DUMMYFUNCTION("""COMPUTED_VALUE"""),"City Local Government Unit of Cabanatuan")</f>
        <v>City Local Government Unit of Cabanatuan</v>
      </c>
      <c r="E1056" s="71" t="str">
        <f>IFERROR(__xludf.DUMMYFUNCTION("""COMPUTED_VALUE"""),"Kapitan Pepe (Pob.), Cabanatuan City, NUEVA ECIJA")</f>
        <v>Kapitan Pepe (Pob.), Cabanatuan City, NUEVA ECIJA</v>
      </c>
      <c r="F1056" s="2" t="str">
        <f>IFERROR(__xludf.DUMMYFUNCTION("""COMPUTED_VALUE"""),"IAN JOSHUA SANTIAGO")</f>
        <v>IAN JOSHUA SANTIAGO</v>
      </c>
      <c r="G1056" s="2">
        <f>IFERROR(__xludf.DUMMYFUNCTION("""COMPUTED_VALUE"""),9.097995611E9)</f>
        <v>9097995611</v>
      </c>
      <c r="H1056" s="2">
        <f>IFERROR(__xludf.DUMMYFUNCTION("""COMPUTED_VALUE"""),77.0)</f>
        <v>77</v>
      </c>
      <c r="I1056" s="72" t="str">
        <f>IFERROR(__xludf.DUMMYFUNCTION("""COMPUTED_VALUE"""),"REPAIR - TRACTOR")</f>
        <v>REPAIR - TRACTOR</v>
      </c>
      <c r="J1056" s="72" t="str">
        <f>IFERROR(__xludf.DUMMYFUNCTION("""COMPUTED_VALUE"""),"Transmission - Clutch")</f>
        <v>Transmission - Clutch</v>
      </c>
      <c r="K1056" s="72" t="str">
        <f>IFERROR(__xludf.DUMMYFUNCTION("""COMPUTED_VALUE"""),"DSD: 1393: SUNOG ANG LINING (PRINTED)")</f>
        <v>DSD: 1393: SUNOG ANG LINING (PRINTED)</v>
      </c>
      <c r="L1056" s="72" t="str">
        <f>IFERROR(__xludf.DUMMYFUNCTION("""COMPUTED_VALUE"""),"JIE: NAKA PAG OUTSOURCE NA SILA NG CLUTCH LINING. UNIT IS OPERATIONAL")</f>
        <v>JIE: NAKA PAG OUTSOURCE NA SILA NG CLUTCH LINING. UNIT IS OPERATIONAL</v>
      </c>
      <c r="M1056" s="2"/>
      <c r="N1056" s="2"/>
      <c r="O1056" s="2" t="str">
        <f>IFERROR(__xludf.DUMMYFUNCTION("""COMPUTED_VALUE"""),"N/A")</f>
        <v>N/A</v>
      </c>
      <c r="P1056" s="2"/>
      <c r="Q1056" s="2"/>
      <c r="R1056" s="74">
        <f>IFERROR(__xludf.DUMMYFUNCTION("""COMPUTED_VALUE"""),45967.0)</f>
        <v>45967</v>
      </c>
      <c r="S1056" s="2" t="str">
        <f>IFERROR(__xludf.DUMMYFUNCTION("""COMPUTED_VALUE"""),"JIE")</f>
        <v>JIE</v>
      </c>
      <c r="T1056" s="2"/>
      <c r="U1056" s="2"/>
      <c r="V1056" s="2"/>
      <c r="W1056" s="2"/>
      <c r="X1056" s="2"/>
      <c r="Y1056" s="2" t="str">
        <f>IFERROR(__xludf.DUMMYFUNCTION("""COMPUTED_VALUE"""),"1393-PRINTED")</f>
        <v>1393-PRINTED</v>
      </c>
      <c r="Z1056" s="2"/>
      <c r="AA1056" s="2"/>
      <c r="AB1056" s="2"/>
      <c r="AC1056" s="2"/>
      <c r="AD1056" s="2"/>
      <c r="AE1056" s="2"/>
      <c r="AF1056" s="2"/>
      <c r="AG1056" s="2"/>
      <c r="AH1056" s="2"/>
      <c r="AI1056" s="2"/>
      <c r="AJ1056" s="2" t="str">
        <f>IFERROR(__xludf.DUMMYFUNCTION("""COMPUTED_VALUE"""),"Kapitan Pepe (Pob.)")</f>
        <v>Kapitan Pepe (Pob.)</v>
      </c>
      <c r="AK1056" s="2" t="str">
        <f>IFERROR(__xludf.DUMMYFUNCTION("""COMPUTED_VALUE"""),"Cabanatuan City")</f>
        <v>Cabanatuan City</v>
      </c>
      <c r="AL1056" s="2" t="str">
        <f>IFERROR(__xludf.DUMMYFUNCTION("""COMPUTED_VALUE"""),"Nueva Ecija")</f>
        <v>Nueva Ecija</v>
      </c>
      <c r="AM1056" s="2">
        <f>IFERROR(__xludf.DUMMYFUNCTION("""COMPUTED_VALUE"""),3.0)</f>
        <v>3</v>
      </c>
      <c r="AN1056" s="2" t="str">
        <f>IFERROR(__xludf.DUMMYFUNCTION("""COMPUTED_VALUE"""),"RCEF 24-04-15")</f>
        <v>RCEF 24-04-15</v>
      </c>
      <c r="AO1056" s="2">
        <f>IFERROR(__xludf.DUMMYFUNCTION("""COMPUTED_VALUE"""),6.0)</f>
        <v>6</v>
      </c>
      <c r="AP1056" s="2" t="str">
        <f>IFERROR(__xludf.DUMMYFUNCTION("""COMPUTED_VALUE"""),"FREE PMS")</f>
        <v>FREE PMS</v>
      </c>
      <c r="AQ1056" s="2"/>
      <c r="AR1056" s="2"/>
      <c r="AS1056" s="2"/>
      <c r="AT1056" s="2"/>
      <c r="AU1056" s="2"/>
      <c r="AV1056" s="2"/>
      <c r="AW1056" s="2"/>
      <c r="AX1056" s="2"/>
      <c r="AY1056" s="2"/>
      <c r="AZ1056" s="2"/>
      <c r="BA1056" s="2"/>
      <c r="BB1056" s="2"/>
    </row>
    <row r="1057">
      <c r="A1057" s="2">
        <f>IFERROR(__xludf.DUMMYFUNCTION("""COMPUTED_VALUE"""),1053.0)</f>
        <v>1053</v>
      </c>
      <c r="B1057" s="2" t="str">
        <f>IFERROR(__xludf.DUMMYFUNCTION("""COMPUTED_VALUE"""),"COMPLETED")</f>
        <v>COMPLETED</v>
      </c>
      <c r="C1057" s="74">
        <f>IFERROR(__xludf.DUMMYFUNCTION("""COMPUTED_VALUE"""),45828.0)</f>
        <v>45828</v>
      </c>
      <c r="D1057" s="71" t="str">
        <f>IFERROR(__xludf.DUMMYFUNCTION("""COMPUTED_VALUE"""),"Nancamaliran West Biskeg Farmers Association")</f>
        <v>Nancamaliran West Biskeg Farmers Association</v>
      </c>
      <c r="E1057" s="71" t="str">
        <f>IFERROR(__xludf.DUMMYFUNCTION("""COMPUTED_VALUE"""),"Nancamaliran West, Urdaneta City, PANGASINAN")</f>
        <v>Nancamaliran West, Urdaneta City, PANGASINAN</v>
      </c>
      <c r="F1057" s="2" t="str">
        <f>IFERROR(__xludf.DUMMYFUNCTION("""COMPUTED_VALUE"""),"FELIX CUDIAMAT Sr.")</f>
        <v>FELIX CUDIAMAT Sr.</v>
      </c>
      <c r="G1057" s="2">
        <f>IFERROR(__xludf.DUMMYFUNCTION("""COMPUTED_VALUE"""),9.090340851E9)</f>
        <v>9090340851</v>
      </c>
      <c r="H1057" s="2">
        <f>IFERROR(__xludf.DUMMYFUNCTION("""COMPUTED_VALUE"""),355.0)</f>
        <v>355</v>
      </c>
      <c r="I1057" s="72" t="str">
        <f>IFERROR(__xludf.DUMMYFUNCTION("""COMPUTED_VALUE"""),"PMS")</f>
        <v>PMS</v>
      </c>
      <c r="J1057" s="72" t="str">
        <f>IFERROR(__xludf.DUMMYFUNCTION("""COMPUTED_VALUE"""),"PMS")</f>
        <v>PMS</v>
      </c>
      <c r="K1057" s="72" t="str">
        <f>IFERROR(__xludf.DUMMYFUNCTION("""COMPUTED_VALUE"""),"RBS: FOR PMS
QUOTE FOR:
OIL FILTER-
HYDRAULIC FILTER-
FRONT AXLE OIL SEAL-")</f>
        <v>RBS: FOR PMS
QUOTE FOR:
OIL FILTER-
HYDRAULIC FILTER-
FRONT AXLE OIL SEAL-</v>
      </c>
      <c r="L1057" s="72" t="str">
        <f>IFERROR(__xludf.DUMMYFUNCTION("""COMPUTED_VALUE"""),"DSD: REPLACED FRONT AXLE OIL SEAL  AND 2ND PMS")</f>
        <v>DSD: REPLACED FRONT AXLE OIL SEAL  AND 2ND PMS</v>
      </c>
      <c r="M1057" s="2"/>
      <c r="N1057" s="2" t="str">
        <f>IFERROR(__xludf.DUMMYFUNCTION("""COMPUTED_VALUE"""),"PARTS: 
2- FRONT AXLE OIL SEAL (MID) TA00041359
1- HYDRAULIC FILTER")</f>
        <v>PARTS: 
2- FRONT AXLE OIL SEAL (MID) TA00041359
1- HYDRAULIC FILTER</v>
      </c>
      <c r="O1057" s="2">
        <f>IFERROR(__xludf.DUMMYFUNCTION("""COMPUTED_VALUE"""),1082.0)</f>
        <v>1082</v>
      </c>
      <c r="P1057" s="2"/>
      <c r="Q1057" s="2" t="str">
        <f>IFERROR(__xludf.DUMMYFUNCTION("""COMPUTED_VALUE"""),"Y")</f>
        <v>Y</v>
      </c>
      <c r="R1057" s="74">
        <f>IFERROR(__xludf.DUMMYFUNCTION("""COMPUTED_VALUE"""),45831.0)</f>
        <v>45831</v>
      </c>
      <c r="S1057" s="2" t="str">
        <f>IFERROR(__xludf.DUMMYFUNCTION("""COMPUTED_VALUE"""),"DSD/JDP")</f>
        <v>DSD/JDP</v>
      </c>
      <c r="T1057" s="73">
        <f>IFERROR(__xludf.DUMMYFUNCTION("""COMPUTED_VALUE"""),9550.0)</f>
        <v>9550</v>
      </c>
      <c r="U1057" s="73" t="str">
        <f>IFERROR(__xludf.DUMMYFUNCTION("""COMPUTED_VALUE""")," REMITTED ")</f>
        <v>REMITTED</v>
      </c>
      <c r="V1057" s="2"/>
      <c r="W1057" s="2">
        <f>IFERROR(__xludf.DUMMYFUNCTION("""COMPUTED_VALUE"""),1603.0)</f>
        <v>1603</v>
      </c>
      <c r="X1057" s="2"/>
      <c r="Y1057" s="2"/>
      <c r="Z1057" s="2"/>
      <c r="AA1057" s="2"/>
      <c r="AB1057" s="2"/>
      <c r="AC1057" s="2"/>
      <c r="AD1057" s="2"/>
      <c r="AE1057" s="2"/>
      <c r="AF1057" s="2"/>
      <c r="AG1057" s="2"/>
      <c r="AH1057" s="2"/>
      <c r="AI1057" s="2"/>
      <c r="AJ1057" s="2" t="str">
        <f>IFERROR(__xludf.DUMMYFUNCTION("""COMPUTED_VALUE"""),"Nancamaliran West")</f>
        <v>Nancamaliran West</v>
      </c>
      <c r="AK1057" s="2" t="str">
        <f>IFERROR(__xludf.DUMMYFUNCTION("""COMPUTED_VALUE"""),"Urdaneta City")</f>
        <v>Urdaneta City</v>
      </c>
      <c r="AL1057" s="2" t="str">
        <f>IFERROR(__xludf.DUMMYFUNCTION("""COMPUTED_VALUE"""),"Pangasinan")</f>
        <v>Pangasinan</v>
      </c>
      <c r="AM1057" s="2">
        <f>IFERROR(__xludf.DUMMYFUNCTION("""COMPUTED_VALUE"""),1.0)</f>
        <v>1</v>
      </c>
      <c r="AN1057" s="2" t="str">
        <f>IFERROR(__xludf.DUMMYFUNCTION("""COMPUTED_VALUE"""),"RCEF 23-09-21 Rebidding")</f>
        <v>RCEF 23-09-21 Rebidding</v>
      </c>
      <c r="AO1057" s="2">
        <f>IFERROR(__xludf.DUMMYFUNCTION("""COMPUTED_VALUE"""),2.0)</f>
        <v>2</v>
      </c>
      <c r="AP1057" s="2"/>
      <c r="AQ1057" s="2"/>
      <c r="AR1057" s="2"/>
      <c r="AS1057" s="2"/>
      <c r="AT1057" s="2"/>
      <c r="AU1057" s="2"/>
      <c r="AV1057" s="2"/>
      <c r="AW1057" s="2"/>
      <c r="AX1057" s="2"/>
      <c r="AY1057" s="2"/>
      <c r="AZ1057" s="2"/>
      <c r="BA1057" s="2"/>
      <c r="BB1057" s="2"/>
    </row>
    <row r="1058">
      <c r="A1058" s="2">
        <f>IFERROR(__xludf.DUMMYFUNCTION("""COMPUTED_VALUE"""),1054.0)</f>
        <v>1054</v>
      </c>
      <c r="B1058" s="2" t="str">
        <f>IFERROR(__xludf.DUMMYFUNCTION("""COMPUTED_VALUE"""),"COMPLETED")</f>
        <v>COMPLETED</v>
      </c>
      <c r="C1058" s="74">
        <f>IFERROR(__xludf.DUMMYFUNCTION("""COMPUTED_VALUE"""),45828.0)</f>
        <v>45828</v>
      </c>
      <c r="D1058" s="71" t="str">
        <f>IFERROR(__xludf.DUMMYFUNCTION("""COMPUTED_VALUE"""),"AGKAKARUBA IRRIGATORS ASSOCIATION, INC.")</f>
        <v>AGKAKARUBA IRRIGATORS ASSOCIATION, INC.</v>
      </c>
      <c r="E1058" s="71" t="str">
        <f>IFERROR(__xludf.DUMMYFUNCTION("""COMPUTED_VALUE"""),"Plaridel, Aborlan, Palawan")</f>
        <v>Plaridel, Aborlan, Palawan</v>
      </c>
      <c r="F1058" s="2" t="str">
        <f>IFERROR(__xludf.DUMMYFUNCTION("""COMPUTED_VALUE"""),"Buenaventura L. Rosario")</f>
        <v>Buenaventura L. Rosario</v>
      </c>
      <c r="G1058" s="2" t="str">
        <f>IFERROR(__xludf.DUMMYFUNCTION("""COMPUTED_VALUE"""),"0910 764 9489")</f>
        <v>0910 764 9489</v>
      </c>
      <c r="H1058" s="2"/>
      <c r="I1058" s="72" t="str">
        <f>IFERROR(__xludf.DUMMYFUNCTION("""COMPUTED_VALUE"""),"SPARE PARTS ACQUISITION")</f>
        <v>SPARE PARTS ACQUISITION</v>
      </c>
      <c r="J1058" s="72" t="str">
        <f>IFERROR(__xludf.DUMMYFUNCTION("""COMPUTED_VALUE"""),"PARTS REQUEST")</f>
        <v>PARTS REQUEST</v>
      </c>
      <c r="K1058" s="72" t="str">
        <f>IFERROR(__xludf.DUMMYFUNCTION("""COMPUTED_VALUE"""),"RCG: PARTS: 
1ST SHAFT TA00033827A = 4500
GEAR, DIFFERENTIAL 14 -TC57090000 = 4000
DIFFERENCIAL PINION GEAR 10 - TC57100000 = 2100
")</f>
        <v>RCG: PARTS: 
1ST SHAFT TA00033827A = 4500
GEAR, DIFFERENTIAL 14 -TC57090000 = 4000
DIFFERENCIAL PINION GEAR 10 - TC57100000 = 2100
</v>
      </c>
      <c r="L1058" s="72" t="str">
        <f>IFERROR(__xludf.DUMMYFUNCTION("""COMPUTED_VALUE"""),"CANCELLED")</f>
        <v>CANCELLED</v>
      </c>
      <c r="M1058" s="2"/>
      <c r="N1058" s="2"/>
      <c r="O1058" s="2" t="str">
        <f>IFERROR(__xludf.DUMMYFUNCTION("""COMPUTED_VALUE"""),"N/A")</f>
        <v>N/A</v>
      </c>
      <c r="P1058" s="2"/>
      <c r="Q1058" s="2"/>
      <c r="R1058" s="74">
        <f>IFERROR(__xludf.DUMMYFUNCTION("""COMPUTED_VALUE"""),46045.0)</f>
        <v>46045</v>
      </c>
      <c r="S1058" s="2" t="str">
        <f>IFERROR(__xludf.DUMMYFUNCTION("""COMPUTED_VALUE"""),"MYKEE")</f>
        <v>MYKEE</v>
      </c>
      <c r="T1058" s="73" t="str">
        <f>IFERROR(__xludf.DUMMYFUNCTION("""COMPUTED_VALUE""")," N/A ")</f>
        <v>N/A</v>
      </c>
      <c r="U1058" s="73" t="str">
        <f>IFERROR(__xludf.DUMMYFUNCTION("""COMPUTED_VALUE""")," NO CHARGE ")</f>
        <v>NO CHARGE</v>
      </c>
      <c r="V1058" s="2"/>
      <c r="W1058" s="2" t="str">
        <f>IFERROR(__xludf.DUMMYFUNCTION("""COMPUTED_VALUE"""),"N/A")</f>
        <v>N/A</v>
      </c>
      <c r="X1058" s="2" t="str">
        <f>IFERROR(__xludf.DUMMYFUNCTION("""COMPUTED_VALUE"""),"N/A")</f>
        <v>N/A</v>
      </c>
      <c r="Y1058" s="2"/>
      <c r="Z1058" s="2"/>
      <c r="AA1058" s="2"/>
      <c r="AB1058" s="2"/>
      <c r="AC1058" s="2"/>
      <c r="AD1058" s="2"/>
      <c r="AE1058" s="2"/>
      <c r="AF1058" s="2"/>
      <c r="AG1058" s="2"/>
      <c r="AH1058" s="2"/>
      <c r="AI1058" s="2"/>
      <c r="AJ1058" s="2" t="str">
        <f>IFERROR(__xludf.DUMMYFUNCTION("""COMPUTED_VALUE"""),"Plaridel")</f>
        <v>Plaridel</v>
      </c>
      <c r="AK1058" s="2" t="str">
        <f>IFERROR(__xludf.DUMMYFUNCTION("""COMPUTED_VALUE"""),"Aborlan")</f>
        <v>Aborlan</v>
      </c>
      <c r="AL1058" s="2" t="str">
        <f>IFERROR(__xludf.DUMMYFUNCTION("""COMPUTED_VALUE"""),"Palawan")</f>
        <v>Palawan</v>
      </c>
      <c r="AM1058" s="2" t="str">
        <f>IFERROR(__xludf.DUMMYFUNCTION("""COMPUTED_VALUE"""),"4B")</f>
        <v>4B</v>
      </c>
      <c r="AN1058" s="2" t="str">
        <f>IFERROR(__xludf.DUMMYFUNCTION("""COMPUTED_VALUE"""),"RCEF 23-08-20 Rebidding")</f>
        <v>RCEF 23-08-20 Rebidding</v>
      </c>
      <c r="AO1058" s="2">
        <f>IFERROR(__xludf.DUMMYFUNCTION("""COMPUTED_VALUE"""),1.0)</f>
        <v>1</v>
      </c>
      <c r="AP1058" s="2"/>
      <c r="AQ1058" s="2"/>
      <c r="AR1058" s="2"/>
      <c r="AS1058" s="2"/>
      <c r="AT1058" s="2"/>
      <c r="AU1058" s="2"/>
      <c r="AV1058" s="2"/>
      <c r="AW1058" s="2"/>
      <c r="AX1058" s="2"/>
      <c r="AY1058" s="2"/>
      <c r="AZ1058" s="2"/>
      <c r="BA1058" s="2"/>
      <c r="BB1058" s="2"/>
    </row>
    <row r="1059">
      <c r="A1059" s="2">
        <f>IFERROR(__xludf.DUMMYFUNCTION("""COMPUTED_VALUE"""),1055.0)</f>
        <v>1055</v>
      </c>
      <c r="B1059" s="2" t="str">
        <f>IFERROR(__xludf.DUMMYFUNCTION("""COMPUTED_VALUE"""),"COMPLETED")</f>
        <v>COMPLETED</v>
      </c>
      <c r="C1059" s="74">
        <f>IFERROR(__xludf.DUMMYFUNCTION("""COMPUTED_VALUE"""),45828.0)</f>
        <v>45828</v>
      </c>
      <c r="D1059" s="71" t="str">
        <f>IFERROR(__xludf.DUMMYFUNCTION("""COMPUTED_VALUE"""),"Magarao Multi-Purpose Cooperative")</f>
        <v>Magarao Multi-Purpose Cooperative</v>
      </c>
      <c r="E1059" s="71" t="str">
        <f>IFERROR(__xludf.DUMMYFUNCTION("""COMPUTED_VALUE"""),"San Isidro (Pob.), Magarao, CAMARINES SUR")</f>
        <v>San Isidro (Pob.), Magarao, CAMARINES SUR</v>
      </c>
      <c r="F1059" s="2" t="str">
        <f>IFERROR(__xludf.DUMMYFUNCTION("""COMPUTED_VALUE"""),"ROSANA ALMAZAN")</f>
        <v>ROSANA ALMAZAN</v>
      </c>
      <c r="G1059" s="2"/>
      <c r="H1059" s="2">
        <f>IFERROR(__xludf.DUMMYFUNCTION("""COMPUTED_VALUE"""),111.0)</f>
        <v>111</v>
      </c>
      <c r="I1059" s="72" t="str">
        <f>IFERROR(__xludf.DUMMYFUNCTION("""COMPUTED_VALUE"""),"PMS")</f>
        <v>PMS</v>
      </c>
      <c r="J1059" s="72" t="str">
        <f>IFERROR(__xludf.DUMMYFUNCTION("""COMPUTED_VALUE"""),"PMS")</f>
        <v>PMS</v>
      </c>
      <c r="K1059" s="72" t="str">
        <f>IFERROR(__xludf.DUMMYFUNCTION("""COMPUTED_VALUE"""),"JTT: 1ST PMS FREE ")</f>
        <v>JTT: 1ST PMS FREE </v>
      </c>
      <c r="L1059" s="72" t="str">
        <f>IFERROR(__xludf.DUMMYFUNCTION("""COMPUTED_VALUE"""),"JTT: 1ST PMS DONE")</f>
        <v>JTT: 1ST PMS DONE</v>
      </c>
      <c r="M1059" s="2"/>
      <c r="N1059" s="2" t="str">
        <f>IFERROR(__xludf.DUMMYFUNCTION("""COMPUTED_VALUE"""),"PARTS:
OIL FILTER
ENGINE OIL")</f>
        <v>PARTS:
OIL FILTER
ENGINE OIL</v>
      </c>
      <c r="O1059" s="2" t="str">
        <f>IFERROR(__xludf.DUMMYFUNCTION("""COMPUTED_VALUE"""),"NEED SERVICE REPORT")</f>
        <v>NEED SERVICE REPORT</v>
      </c>
      <c r="P1059" s="2"/>
      <c r="Q1059" s="2"/>
      <c r="R1059" s="74">
        <f>IFERROR(__xludf.DUMMYFUNCTION("""COMPUTED_VALUE"""),45827.0)</f>
        <v>45827</v>
      </c>
      <c r="S1059" s="2" t="str">
        <f>IFERROR(__xludf.DUMMYFUNCTION("""COMPUTED_VALUE"""),"JTT/LBA")</f>
        <v>JTT/LBA</v>
      </c>
      <c r="T1059" s="73" t="str">
        <f>IFERROR(__xludf.DUMMYFUNCTION("""COMPUTED_VALUE""")," N/A ")</f>
        <v>N/A</v>
      </c>
      <c r="U1059" s="73" t="str">
        <f>IFERROR(__xludf.DUMMYFUNCTION("""COMPUTED_VALUE""")," NO CHARGE ")</f>
        <v>NO CHARGE</v>
      </c>
      <c r="V1059" s="2"/>
      <c r="W1059" s="2" t="str">
        <f>IFERROR(__xludf.DUMMYFUNCTION("""COMPUTED_VALUE"""),"N/A")</f>
        <v>N/A</v>
      </c>
      <c r="X1059" s="2" t="str">
        <f>IFERROR(__xludf.DUMMYFUNCTION("""COMPUTED_VALUE"""),"N/A")</f>
        <v>N/A</v>
      </c>
      <c r="Y1059" s="2"/>
      <c r="Z1059" s="2"/>
      <c r="AA1059" s="2"/>
      <c r="AB1059" s="2"/>
      <c r="AC1059" s="2"/>
      <c r="AD1059" s="2"/>
      <c r="AE1059" s="2"/>
      <c r="AF1059" s="2"/>
      <c r="AG1059" s="2"/>
      <c r="AH1059" s="2"/>
      <c r="AI1059" s="2"/>
      <c r="AJ1059" s="2" t="str">
        <f>IFERROR(__xludf.DUMMYFUNCTION("""COMPUTED_VALUE"""),"San Isidro (Pob.)")</f>
        <v>San Isidro (Pob.)</v>
      </c>
      <c r="AK1059" s="2" t="str">
        <f>IFERROR(__xludf.DUMMYFUNCTION("""COMPUTED_VALUE"""),"Magarao")</f>
        <v>Magarao</v>
      </c>
      <c r="AL1059" s="2" t="str">
        <f>IFERROR(__xludf.DUMMYFUNCTION("""COMPUTED_VALUE"""),"Camarines Sur")</f>
        <v>Camarines Sur</v>
      </c>
      <c r="AM1059" s="2">
        <f>IFERROR(__xludf.DUMMYFUNCTION("""COMPUTED_VALUE"""),5.0)</f>
        <v>5</v>
      </c>
      <c r="AN1059" s="2" t="str">
        <f>IFERROR(__xludf.DUMMYFUNCTION("""COMPUTED_VALUE"""),"RCEF 24-04-15")</f>
        <v>RCEF 24-04-15</v>
      </c>
      <c r="AO1059" s="2">
        <f>IFERROR(__xludf.DUMMYFUNCTION("""COMPUTED_VALUE"""),7.0)</f>
        <v>7</v>
      </c>
      <c r="AP1059" s="2" t="str">
        <f>IFERROR(__xludf.DUMMYFUNCTION("""COMPUTED_VALUE"""),"FREE PMS")</f>
        <v>FREE PMS</v>
      </c>
      <c r="AQ1059" s="2"/>
      <c r="AR1059" s="2"/>
      <c r="AS1059" s="2"/>
      <c r="AT1059" s="2"/>
      <c r="AU1059" s="2"/>
      <c r="AV1059" s="2"/>
      <c r="AW1059" s="2"/>
      <c r="AX1059" s="2"/>
      <c r="AY1059" s="2"/>
      <c r="AZ1059" s="2"/>
      <c r="BA1059" s="2"/>
      <c r="BB1059" s="2"/>
    </row>
    <row r="1060">
      <c r="A1060" s="2">
        <f>IFERROR(__xludf.DUMMYFUNCTION("""COMPUTED_VALUE"""),1056.0)</f>
        <v>1056</v>
      </c>
      <c r="B1060" s="2" t="str">
        <f>IFERROR(__xludf.DUMMYFUNCTION("""COMPUTED_VALUE"""),"COMPLETED")</f>
        <v>COMPLETED</v>
      </c>
      <c r="C1060" s="74">
        <f>IFERROR(__xludf.DUMMYFUNCTION("""COMPUTED_VALUE"""),45830.0)</f>
        <v>45830</v>
      </c>
      <c r="D1060" s="71" t="str">
        <f>IFERROR(__xludf.DUMMYFUNCTION("""COMPUTED_VALUE"""),"LIOZON FISHERFOLKS AND FARMERS' ASSOCIATION")</f>
        <v>LIOZON FISHERFOLKS AND FARMERS' ASSOCIATION</v>
      </c>
      <c r="E1060" s="71" t="str">
        <f>IFERROR(__xludf.DUMMYFUNCTION("""COMPUTED_VALUE"""),"Liozon, Palauig, ZAMBALES")</f>
        <v>Liozon, Palauig, ZAMBALES</v>
      </c>
      <c r="F1060" s="2" t="str">
        <f>IFERROR(__xludf.DUMMYFUNCTION("""COMPUTED_VALUE"""),"RENE  ALVES")</f>
        <v>RENE  ALVES</v>
      </c>
      <c r="G1060" s="2"/>
      <c r="H1060" s="2"/>
      <c r="I1060" s="72" t="str">
        <f>IFERROR(__xludf.DUMMYFUNCTION("""COMPUTED_VALUE"""),"REPAIR - TRACTOR")</f>
        <v>REPAIR - TRACTOR</v>
      </c>
      <c r="J1060" s="72" t="str">
        <f>IFERROR(__xludf.DUMMYFUNCTION("""COMPUTED_VALUE"""),"CHECK UP/ REPAIR")</f>
        <v>CHECK UP/ REPAIR</v>
      </c>
      <c r="K1060" s="72" t="str">
        <f>IFERROR(__xludf.DUMMYFUNCTION("""COMPUTED_VALUE"""),"EGT: Hanggang 15 rpm lang yung power lang engine 
")</f>
        <v>EGT: Hanggang 15 rpm lang yung power lang engine 
</v>
      </c>
      <c r="L1060" s="72" t="str">
        <f>IFERROR(__xludf.DUMMYFUNCTION("""COMPUTED_VALUE"""),"CFG: 
napuntahan na po namin ito. oky nmn na po pala unit nila. nilinis dw po nila ung Fuel pump at fuel filter at yomg mga hose na dadaanan ng diesel. at sabi po namin pag naulit pa po yong ganon na mangyari sa unit nila mag palit na po sila ng fuel fil"&amp;"ter at fuel pump at linis linis din po ng unit nyo. un po ang sinabi po namin sa FCA at Operator po nya. ")</f>
        <v>CFG: 
napuntahan na po namin ito. oky nmn na po pala unit nila. nilinis dw po nila ung Fuel pump at fuel filter at yomg mga hose na dadaanan ng diesel. at sabi po namin pag naulit pa po yong ganon na mangyari sa unit nila mag palit na po sila ng fuel filter at fuel pump at linis linis din po ng unit nyo. un po ang sinabi po namin sa FCA at Operator po nya. </v>
      </c>
      <c r="M1060" s="2"/>
      <c r="N1060" s="2"/>
      <c r="O1060" s="2" t="str">
        <f>IFERROR(__xludf.DUMMYFUNCTION("""COMPUTED_VALUE"""),"N/A")</f>
        <v>N/A</v>
      </c>
      <c r="P1060" s="2"/>
      <c r="Q1060" s="2"/>
      <c r="R1060" s="74">
        <f>IFERROR(__xludf.DUMMYFUNCTION("""COMPUTED_VALUE"""),45834.0)</f>
        <v>45834</v>
      </c>
      <c r="S1060" s="2" t="str">
        <f>IFERROR(__xludf.DUMMYFUNCTION("""COMPUTED_VALUE"""),"CFG")</f>
        <v>CFG</v>
      </c>
      <c r="T1060" s="73" t="str">
        <f>IFERROR(__xludf.DUMMYFUNCTION("""COMPUTED_VALUE""")," N/A ")</f>
        <v>N/A</v>
      </c>
      <c r="U1060" s="73" t="str">
        <f>IFERROR(__xludf.DUMMYFUNCTION("""COMPUTED_VALUE""")," NO CHARGE ")</f>
        <v>NO CHARGE</v>
      </c>
      <c r="V1060" s="2"/>
      <c r="W1060" s="2" t="str">
        <f>IFERROR(__xludf.DUMMYFUNCTION("""COMPUTED_VALUE"""),"N/A")</f>
        <v>N/A</v>
      </c>
      <c r="X1060" s="2" t="str">
        <f>IFERROR(__xludf.DUMMYFUNCTION("""COMPUTED_VALUE"""),"N/A")</f>
        <v>N/A</v>
      </c>
      <c r="Y1060" s="2"/>
      <c r="Z1060" s="2"/>
      <c r="AA1060" s="2"/>
      <c r="AB1060" s="2"/>
      <c r="AC1060" s="2"/>
      <c r="AD1060" s="2"/>
      <c r="AE1060" s="2"/>
      <c r="AF1060" s="2"/>
      <c r="AG1060" s="2"/>
      <c r="AH1060" s="2"/>
      <c r="AI1060" s="2"/>
      <c r="AJ1060" s="2" t="str">
        <f>IFERROR(__xludf.DUMMYFUNCTION("""COMPUTED_VALUE"""),"Liozon")</f>
        <v>Liozon</v>
      </c>
      <c r="AK1060" s="2" t="str">
        <f>IFERROR(__xludf.DUMMYFUNCTION("""COMPUTED_VALUE"""),"Palauig")</f>
        <v>Palauig</v>
      </c>
      <c r="AL1060" s="2" t="str">
        <f>IFERROR(__xludf.DUMMYFUNCTION("""COMPUTED_VALUE"""),"Zambales")</f>
        <v>Zambales</v>
      </c>
      <c r="AM1060" s="2">
        <f>IFERROR(__xludf.DUMMYFUNCTION("""COMPUTED_VALUE"""),3.0)</f>
        <v>3</v>
      </c>
      <c r="AN1060" s="2" t="str">
        <f>IFERROR(__xludf.DUMMYFUNCTION("""COMPUTED_VALUE"""),"RCEF 23-09-21 Rebidding")</f>
        <v>RCEF 23-09-21 Rebidding</v>
      </c>
      <c r="AO1060" s="2">
        <f>IFERROR(__xludf.DUMMYFUNCTION("""COMPUTED_VALUE"""),3.0)</f>
        <v>3</v>
      </c>
      <c r="AP1060" s="2"/>
      <c r="AQ1060" s="2"/>
      <c r="AR1060" s="2"/>
      <c r="AS1060" s="2"/>
      <c r="AT1060" s="2"/>
      <c r="AU1060" s="2"/>
      <c r="AV1060" s="2"/>
      <c r="AW1060" s="2"/>
      <c r="AX1060" s="2"/>
      <c r="AY1060" s="2"/>
      <c r="AZ1060" s="2"/>
      <c r="BA1060" s="2"/>
      <c r="BB1060" s="2"/>
    </row>
    <row r="1061">
      <c r="A1061" s="2">
        <f>IFERROR(__xludf.DUMMYFUNCTION("""COMPUTED_VALUE"""),1057.0)</f>
        <v>1057</v>
      </c>
      <c r="B1061" s="2" t="str">
        <f>IFERROR(__xludf.DUMMYFUNCTION("""COMPUTED_VALUE"""),"COMPLETED")</f>
        <v>COMPLETED</v>
      </c>
      <c r="C1061" s="74">
        <f>IFERROR(__xludf.DUMMYFUNCTION("""COMPUTED_VALUE"""),45830.0)</f>
        <v>45830</v>
      </c>
      <c r="D1061" s="71" t="str">
        <f>IFERROR(__xludf.DUMMYFUNCTION("""COMPUTED_VALUE"""),"MAGIPAN IRRIGATORS ASSOCIATION, INC.")</f>
        <v>MAGIPAN IRRIGATORS ASSOCIATION, INC.</v>
      </c>
      <c r="E1061" s="71" t="str">
        <f>IFERROR(__xludf.DUMMYFUNCTION("""COMPUTED_VALUE"""),"Ilaor Norte, Oas, ALBAY")</f>
        <v>Ilaor Norte, Oas, ALBAY</v>
      </c>
      <c r="F1061" s="2" t="str">
        <f>IFERROR(__xludf.DUMMYFUNCTION("""COMPUTED_VALUE"""),"MARLON SERRANILCA")</f>
        <v>MARLON SERRANILCA</v>
      </c>
      <c r="G1061" s="2"/>
      <c r="H1061" s="2"/>
      <c r="I1061" s="72" t="str">
        <f>IFERROR(__xludf.DUMMYFUNCTION("""COMPUTED_VALUE"""),"PMS")</f>
        <v>PMS</v>
      </c>
      <c r="J1061" s="72" t="str">
        <f>IFERROR(__xludf.DUMMYFUNCTION("""COMPUTED_VALUE"""),"PMS")</f>
        <v>PMS</v>
      </c>
      <c r="K1061" s="72" t="str">
        <f>IFERROR(__xludf.DUMMYFUNCTION("""COMPUTED_VALUE"""),"JTT: 1ST PMS FREE")</f>
        <v>JTT: 1ST PMS FREE</v>
      </c>
      <c r="L1061" s="72" t="str">
        <f>IFERROR(__xludf.DUMMYFUNCTION("""COMPUTED_VALUE"""),"JTT: 1ST PMS DONE")</f>
        <v>JTT: 1ST PMS DONE</v>
      </c>
      <c r="M1061" s="2"/>
      <c r="N1061" s="2" t="str">
        <f>IFERROR(__xludf.DUMMYFUNCTION("""COMPUTED_VALUE"""),"PARTS:
OIL FILTER
ENGINE OIL")</f>
        <v>PARTS:
OIL FILTER
ENGINE OIL</v>
      </c>
      <c r="O1061" s="2" t="str">
        <f>IFERROR(__xludf.DUMMYFUNCTION("""COMPUTED_VALUE"""),"NEED SERVICE REPORT")</f>
        <v>NEED SERVICE REPORT</v>
      </c>
      <c r="P1061" s="2"/>
      <c r="Q1061" s="2"/>
      <c r="R1061" s="74">
        <f>IFERROR(__xludf.DUMMYFUNCTION("""COMPUTED_VALUE"""),45809.0)</f>
        <v>45809</v>
      </c>
      <c r="S1061" s="2" t="str">
        <f>IFERROR(__xludf.DUMMYFUNCTION("""COMPUTED_VALUE"""),"JTT")</f>
        <v>JTT</v>
      </c>
      <c r="T1061" s="73" t="str">
        <f>IFERROR(__xludf.DUMMYFUNCTION("""COMPUTED_VALUE""")," N/A ")</f>
        <v>N/A</v>
      </c>
      <c r="U1061" s="73" t="str">
        <f>IFERROR(__xludf.DUMMYFUNCTION("""COMPUTED_VALUE""")," NO CHARGE ")</f>
        <v>NO CHARGE</v>
      </c>
      <c r="V1061" s="2"/>
      <c r="W1061" s="2" t="str">
        <f>IFERROR(__xludf.DUMMYFUNCTION("""COMPUTED_VALUE"""),"N/A")</f>
        <v>N/A</v>
      </c>
      <c r="X1061" s="2" t="str">
        <f>IFERROR(__xludf.DUMMYFUNCTION("""COMPUTED_VALUE"""),"N/A")</f>
        <v>N/A</v>
      </c>
      <c r="Y1061" s="2"/>
      <c r="Z1061" s="2"/>
      <c r="AA1061" s="2"/>
      <c r="AB1061" s="2"/>
      <c r="AC1061" s="2"/>
      <c r="AD1061" s="2"/>
      <c r="AE1061" s="2"/>
      <c r="AF1061" s="2"/>
      <c r="AG1061" s="2"/>
      <c r="AH1061" s="2"/>
      <c r="AI1061" s="2"/>
      <c r="AJ1061" s="2" t="str">
        <f>IFERROR(__xludf.DUMMYFUNCTION("""COMPUTED_VALUE"""),"Ilaor Norte")</f>
        <v>Ilaor Norte</v>
      </c>
      <c r="AK1061" s="2" t="str">
        <f>IFERROR(__xludf.DUMMYFUNCTION("""COMPUTED_VALUE"""),"Oas")</f>
        <v>Oas</v>
      </c>
      <c r="AL1061" s="2" t="str">
        <f>IFERROR(__xludf.DUMMYFUNCTION("""COMPUTED_VALUE"""),"Albay")</f>
        <v>Albay</v>
      </c>
      <c r="AM1061" s="2">
        <f>IFERROR(__xludf.DUMMYFUNCTION("""COMPUTED_VALUE"""),5.0)</f>
        <v>5</v>
      </c>
      <c r="AN1061" s="2" t="str">
        <f>IFERROR(__xludf.DUMMYFUNCTION("""COMPUTED_VALUE"""),"RCEF 24-04-15")</f>
        <v>RCEF 24-04-15</v>
      </c>
      <c r="AO1061" s="2">
        <f>IFERROR(__xludf.DUMMYFUNCTION("""COMPUTED_VALUE"""),7.0)</f>
        <v>7</v>
      </c>
      <c r="AP1061" s="2" t="str">
        <f>IFERROR(__xludf.DUMMYFUNCTION("""COMPUTED_VALUE"""),"FREE PMS")</f>
        <v>FREE PMS</v>
      </c>
      <c r="AQ1061" s="2"/>
      <c r="AR1061" s="2"/>
      <c r="AS1061" s="2"/>
      <c r="AT1061" s="2"/>
      <c r="AU1061" s="2"/>
      <c r="AV1061" s="2"/>
      <c r="AW1061" s="2"/>
      <c r="AX1061" s="2"/>
      <c r="AY1061" s="2"/>
      <c r="AZ1061" s="2"/>
      <c r="BA1061" s="2"/>
      <c r="BB1061" s="2"/>
    </row>
    <row r="1062">
      <c r="A1062" s="2">
        <f>IFERROR(__xludf.DUMMYFUNCTION("""COMPUTED_VALUE"""),1058.0)</f>
        <v>1058</v>
      </c>
      <c r="B1062" s="2" t="str">
        <f>IFERROR(__xludf.DUMMYFUNCTION("""COMPUTED_VALUE"""),"COMPLETED")</f>
        <v>COMPLETED</v>
      </c>
      <c r="C1062" s="74">
        <f>IFERROR(__xludf.DUMMYFUNCTION("""COMPUTED_VALUE"""),45830.0)</f>
        <v>45830</v>
      </c>
      <c r="D1062" s="71" t="str">
        <f>IFERROR(__xludf.DUMMYFUNCTION("""COMPUTED_VALUE"""),"CANTARICIO IRRIGATORS ASSOCIATION, INC.")</f>
        <v>CANTARICIO IRRIGATORS ASSOCIATION, INC.</v>
      </c>
      <c r="E1062" s="71" t="str">
        <f>IFERROR(__xludf.DUMMYFUNCTION("""COMPUTED_VALUE"""),"Garita I A, Maragondon, CAVITE")</f>
        <v>Garita I A, Maragondon, CAVITE</v>
      </c>
      <c r="F1062" s="2" t="str">
        <f>IFERROR(__xludf.DUMMYFUNCTION("""COMPUTED_VALUE"""),"Arjay antazo")</f>
        <v>Arjay antazo</v>
      </c>
      <c r="G1062" s="2">
        <f>IFERROR(__xludf.DUMMYFUNCTION("""COMPUTED_VALUE"""),6.39923621554E11)</f>
        <v>639923621554</v>
      </c>
      <c r="H1062" s="2">
        <f>IFERROR(__xludf.DUMMYFUNCTION("""COMPUTED_VALUE"""),281.0)</f>
        <v>281</v>
      </c>
      <c r="I1062" s="72" t="str">
        <f>IFERROR(__xludf.DUMMYFUNCTION("""COMPUTED_VALUE"""),"REPAIR - TRACTOR")</f>
        <v>REPAIR - TRACTOR</v>
      </c>
      <c r="J1062" s="72" t="str">
        <f>IFERROR(__xludf.DUMMYFUNCTION("""COMPUTED_VALUE"""),"Differential")</f>
        <v>Differential</v>
      </c>
      <c r="K1062" s="72" t="str">
        <f>IFERROR(__xludf.DUMMYFUNCTION("""COMPUTED_VALUE"""),"RCG: naglalagutukan daw po sa my rear axle kpag pinapatakbo
RCG: LUMANG TRACTOR NA BINIGAY NI FIT COREA, NUNG DUMATING NA YUNG TRACTOR 18 HRS , ANG POSIBLENG SIRA MAY SIRA SA MAY KALIWA PARTS NG REAR AXLE  (FINAL PINION (R) - TA00032596)")</f>
        <v>RCG: naglalagutukan daw po sa my rear axle kpag pinapatakbo
RCG: LUMANG TRACTOR NA BINIGAY NI FIT COREA, NUNG DUMATING NA YUNG TRACTOR 18 HRS , ANG POSIBLENG SIRA MAY SIRA SA MAY KALIWA PARTS NG REAR AXLE  (FINAL PINION (R) - TA00032596)</v>
      </c>
      <c r="L1062" s="72" t="str">
        <f>IFERROR(__xludf.DUMMYFUNCTION("""COMPUTED_VALUE"""),"RCG: HINDI NA KAILANGAN")</f>
        <v>RCG: HINDI NA KAILANGAN</v>
      </c>
      <c r="M1062" s="2" t="str">
        <f>IFERROR(__xludf.DUMMYFUNCTION("""COMPUTED_VALUE"""),"FINAL PINION (R) - TA00032596")</f>
        <v>FINAL PINION (R) - TA00032596</v>
      </c>
      <c r="N1062" s="2"/>
      <c r="O1062" s="2" t="str">
        <f>IFERROR(__xludf.DUMMYFUNCTION("""COMPUTED_VALUE"""),"N/A")</f>
        <v>N/A</v>
      </c>
      <c r="P1062" s="2"/>
      <c r="Q1062" s="2"/>
      <c r="R1062" s="74">
        <f>IFERROR(__xludf.DUMMYFUNCTION("""COMPUTED_VALUE"""),46150.0)</f>
        <v>46150</v>
      </c>
      <c r="S1062" s="2" t="str">
        <f>IFERROR(__xludf.DUMMYFUNCTION("""COMPUTED_VALUE"""),"RCG")</f>
        <v>RCG</v>
      </c>
      <c r="T1062" s="73" t="str">
        <f>IFERROR(__xludf.DUMMYFUNCTION("""COMPUTED_VALUE""")," N/A ")</f>
        <v>N/A</v>
      </c>
      <c r="U1062" s="73" t="str">
        <f>IFERROR(__xludf.DUMMYFUNCTION("""COMPUTED_VALUE""")," NO CHARGE ")</f>
        <v>NO CHARGE</v>
      </c>
      <c r="V1062" s="2" t="str">
        <f>IFERROR(__xludf.DUMMYFUNCTION("""COMPUTED_VALUE"""),"N/A")</f>
        <v>N/A</v>
      </c>
      <c r="W1062" s="2" t="str">
        <f>IFERROR(__xludf.DUMMYFUNCTION("""COMPUTED_VALUE"""),"N/A")</f>
        <v>N/A</v>
      </c>
      <c r="X1062" s="2" t="str">
        <f>IFERROR(__xludf.DUMMYFUNCTION("""COMPUTED_VALUE"""),"N/A")</f>
        <v>N/A</v>
      </c>
      <c r="Y1062" s="2"/>
      <c r="Z1062" s="2"/>
      <c r="AA1062" s="2"/>
      <c r="AB1062" s="2"/>
      <c r="AC1062" s="2"/>
      <c r="AD1062" s="2"/>
      <c r="AE1062" s="2"/>
      <c r="AF1062" s="2"/>
      <c r="AG1062" s="2"/>
      <c r="AH1062" s="2"/>
      <c r="AI1062" s="2"/>
      <c r="AJ1062" s="2" t="str">
        <f>IFERROR(__xludf.DUMMYFUNCTION("""COMPUTED_VALUE"""),"Garita I A")</f>
        <v>Garita I A</v>
      </c>
      <c r="AK1062" s="2" t="str">
        <f>IFERROR(__xludf.DUMMYFUNCTION("""COMPUTED_VALUE"""),"Maragondon")</f>
        <v>Maragondon</v>
      </c>
      <c r="AL1062" s="2" t="str">
        <f>IFERROR(__xludf.DUMMYFUNCTION("""COMPUTED_VALUE"""),"Cavite")</f>
        <v>Cavite</v>
      </c>
      <c r="AM1062" s="2" t="str">
        <f>IFERROR(__xludf.DUMMYFUNCTION("""COMPUTED_VALUE"""),"4A")</f>
        <v>4A</v>
      </c>
      <c r="AN1062" s="2" t="str">
        <f>IFERROR(__xludf.DUMMYFUNCTION("""COMPUTED_VALUE"""),"RCEF 24-04-15")</f>
        <v>RCEF 24-04-15</v>
      </c>
      <c r="AO1062" s="2">
        <f>IFERROR(__xludf.DUMMYFUNCTION("""COMPUTED_VALUE"""),7.0)</f>
        <v>7</v>
      </c>
      <c r="AP1062" s="2" t="str">
        <f>IFERROR(__xludf.DUMMYFUNCTION("""COMPUTED_VALUE"""),"FREE PMS")</f>
        <v>FREE PMS</v>
      </c>
      <c r="AQ1062" s="2"/>
      <c r="AR1062" s="2" t="str">
        <f>IFERROR(__xludf.DUMMYFUNCTION("""COMPUTED_VALUE"""),"FINAL PINION (R) - TA00032596")</f>
        <v>FINAL PINION (R) - TA00032596</v>
      </c>
      <c r="AS1062" s="2"/>
      <c r="AT1062" s="2"/>
      <c r="AU1062" s="2"/>
      <c r="AV1062" s="2"/>
      <c r="AW1062" s="2"/>
      <c r="AX1062" s="2"/>
      <c r="AY1062" s="2"/>
      <c r="AZ1062" s="2"/>
      <c r="BA1062" s="2"/>
      <c r="BB1062" s="2"/>
    </row>
    <row r="1063">
      <c r="A1063" s="2">
        <f>IFERROR(__xludf.DUMMYFUNCTION("""COMPUTED_VALUE"""),1059.0)</f>
        <v>1059</v>
      </c>
      <c r="B1063" s="2" t="str">
        <f>IFERROR(__xludf.DUMMYFUNCTION("""COMPUTED_VALUE"""),"COMPLETED")</f>
        <v>COMPLETED</v>
      </c>
      <c r="C1063" s="74">
        <f>IFERROR(__xludf.DUMMYFUNCTION("""COMPUTED_VALUE"""),45831.0)</f>
        <v>45831</v>
      </c>
      <c r="D1063" s="71" t="str">
        <f>IFERROR(__xludf.DUMMYFUNCTION("""COMPUTED_VALUE"""),"BAY FARMERS ASSOCIATION (BaFAss)")</f>
        <v>BAY FARMERS ASSOCIATION (BaFAss)</v>
      </c>
      <c r="E1063" s="71" t="str">
        <f>IFERROR(__xludf.DUMMYFUNCTION("""COMPUTED_VALUE"""),"Bay, Ligao City, ALBAY")</f>
        <v>Bay, Ligao City, ALBAY</v>
      </c>
      <c r="F1063" s="2" t="str">
        <f>IFERROR(__xludf.DUMMYFUNCTION("""COMPUTED_VALUE"""),"EVANGELINE")</f>
        <v>EVANGELINE</v>
      </c>
      <c r="G1063" s="2"/>
      <c r="H1063" s="2">
        <f>IFERROR(__xludf.DUMMYFUNCTION("""COMPUTED_VALUE"""),53.0)</f>
        <v>53</v>
      </c>
      <c r="I1063" s="72" t="str">
        <f>IFERROR(__xludf.DUMMYFUNCTION("""COMPUTED_VALUE"""),"PMS")</f>
        <v>PMS</v>
      </c>
      <c r="J1063" s="72" t="str">
        <f>IFERROR(__xludf.DUMMYFUNCTION("""COMPUTED_VALUE"""),"PMS")</f>
        <v>PMS</v>
      </c>
      <c r="K1063" s="72" t="str">
        <f>IFERROR(__xludf.DUMMYFUNCTION("""COMPUTED_VALUE"""),"JTT: 1ST PMS FREE")</f>
        <v>JTT: 1ST PMS FREE</v>
      </c>
      <c r="L1063" s="72" t="str">
        <f>IFERROR(__xludf.DUMMYFUNCTION("""COMPUTED_VALUE"""),"JTT: 1ST PMS DONE")</f>
        <v>JTT: 1ST PMS DONE</v>
      </c>
      <c r="M1063" s="2"/>
      <c r="N1063" s="2" t="str">
        <f>IFERROR(__xludf.DUMMYFUNCTION("""COMPUTED_VALUE"""),"PARTS:
1- OIL FILTER
5L - ENGINE OIL")</f>
        <v>PARTS:
1- OIL FILTER
5L - ENGINE OIL</v>
      </c>
      <c r="O1063" s="2" t="str">
        <f>IFERROR(__xludf.DUMMYFUNCTION("""COMPUTED_VALUE"""),"NEED SERVICE REPORT")</f>
        <v>NEED SERVICE REPORT</v>
      </c>
      <c r="P1063" s="2"/>
      <c r="Q1063" s="2"/>
      <c r="R1063" s="74">
        <f>IFERROR(__xludf.DUMMYFUNCTION("""COMPUTED_VALUE"""),45809.0)</f>
        <v>45809</v>
      </c>
      <c r="S1063" s="2" t="str">
        <f>IFERROR(__xludf.DUMMYFUNCTION("""COMPUTED_VALUE"""),"JTT")</f>
        <v>JTT</v>
      </c>
      <c r="T1063" s="73" t="str">
        <f>IFERROR(__xludf.DUMMYFUNCTION("""COMPUTED_VALUE""")," N/A ")</f>
        <v>N/A</v>
      </c>
      <c r="U1063" s="73" t="str">
        <f>IFERROR(__xludf.DUMMYFUNCTION("""COMPUTED_VALUE""")," NO CHARGE ")</f>
        <v>NO CHARGE</v>
      </c>
      <c r="V1063" s="2"/>
      <c r="W1063" s="2" t="str">
        <f>IFERROR(__xludf.DUMMYFUNCTION("""COMPUTED_VALUE"""),"N/A")</f>
        <v>N/A</v>
      </c>
      <c r="X1063" s="2" t="str">
        <f>IFERROR(__xludf.DUMMYFUNCTION("""COMPUTED_VALUE"""),"N/A")</f>
        <v>N/A</v>
      </c>
      <c r="Y1063" s="2"/>
      <c r="Z1063" s="2"/>
      <c r="AA1063" s="2"/>
      <c r="AB1063" s="2"/>
      <c r="AC1063" s="2"/>
      <c r="AD1063" s="2"/>
      <c r="AE1063" s="2"/>
      <c r="AF1063" s="2"/>
      <c r="AG1063" s="2"/>
      <c r="AH1063" s="2"/>
      <c r="AI1063" s="2"/>
      <c r="AJ1063" s="2" t="str">
        <f>IFERROR(__xludf.DUMMYFUNCTION("""COMPUTED_VALUE"""),"Bay")</f>
        <v>Bay</v>
      </c>
      <c r="AK1063" s="2" t="str">
        <f>IFERROR(__xludf.DUMMYFUNCTION("""COMPUTED_VALUE"""),"Ligao City")</f>
        <v>Ligao City</v>
      </c>
      <c r="AL1063" s="2" t="str">
        <f>IFERROR(__xludf.DUMMYFUNCTION("""COMPUTED_VALUE"""),"Albay")</f>
        <v>Albay</v>
      </c>
      <c r="AM1063" s="2">
        <f>IFERROR(__xludf.DUMMYFUNCTION("""COMPUTED_VALUE"""),5.0)</f>
        <v>5</v>
      </c>
      <c r="AN1063" s="2" t="str">
        <f>IFERROR(__xludf.DUMMYFUNCTION("""COMPUTED_VALUE"""),"RCEF 24-04-15")</f>
        <v>RCEF 24-04-15</v>
      </c>
      <c r="AO1063" s="2">
        <f>IFERROR(__xludf.DUMMYFUNCTION("""COMPUTED_VALUE"""),7.0)</f>
        <v>7</v>
      </c>
      <c r="AP1063" s="2" t="str">
        <f>IFERROR(__xludf.DUMMYFUNCTION("""COMPUTED_VALUE"""),"FREE PMS")</f>
        <v>FREE PMS</v>
      </c>
      <c r="AQ1063" s="2"/>
      <c r="AR1063" s="2"/>
      <c r="AS1063" s="2"/>
      <c r="AT1063" s="2"/>
      <c r="AU1063" s="2"/>
      <c r="AV1063" s="2"/>
      <c r="AW1063" s="2"/>
      <c r="AX1063" s="2"/>
      <c r="AY1063" s="2"/>
      <c r="AZ1063" s="2"/>
      <c r="BA1063" s="2"/>
      <c r="BB1063" s="2"/>
    </row>
    <row r="1064">
      <c r="A1064" s="2">
        <f>IFERROR(__xludf.DUMMYFUNCTION("""COMPUTED_VALUE"""),1060.0)</f>
        <v>1060</v>
      </c>
      <c r="B1064" s="2" t="str">
        <f>IFERROR(__xludf.DUMMYFUNCTION("""COMPUTED_VALUE"""),"COMPLETED")</f>
        <v>COMPLETED</v>
      </c>
      <c r="C1064" s="74">
        <f>IFERROR(__xludf.DUMMYFUNCTION("""COMPUTED_VALUE"""),45831.0)</f>
        <v>45831</v>
      </c>
      <c r="D1064" s="71" t="str">
        <f>IFERROR(__xludf.DUMMYFUNCTION("""COMPUTED_VALUE"""),"City Local Government Unit of Iriga")</f>
        <v>City Local Government Unit of Iriga</v>
      </c>
      <c r="E1064" s="71" t="str">
        <f>IFERROR(__xludf.DUMMYFUNCTION("""COMPUTED_VALUE"""),"Santa Cruz Sur, Iriga City, CAMARINES SUR")</f>
        <v>Santa Cruz Sur, Iriga City, CAMARINES SUR</v>
      </c>
      <c r="F1064" s="2" t="str">
        <f>IFERROR(__xludf.DUMMYFUNCTION("""COMPUTED_VALUE"""),"Eleazar G. Montesor")</f>
        <v>Eleazar G. Montesor</v>
      </c>
      <c r="G1064" s="2" t="str">
        <f>IFERROR(__xludf.DUMMYFUNCTION("""COMPUTED_VALUE"""),"0936-305 3639")</f>
        <v>0936-305 3639</v>
      </c>
      <c r="H1064" s="2">
        <f>IFERROR(__xludf.DUMMYFUNCTION("""COMPUTED_VALUE"""),20.0)</f>
        <v>20</v>
      </c>
      <c r="I1064" s="72" t="str">
        <f>IFERROR(__xludf.DUMMYFUNCTION("""COMPUTED_VALUE"""),"REPAIR - TRACTOR")</f>
        <v>REPAIR - TRACTOR</v>
      </c>
      <c r="J1064" s="72" t="str">
        <f>IFERROR(__xludf.DUMMYFUNCTION("""COMPUTED_VALUE"""),"Engine - Thermostat")</f>
        <v>Engine - Thermostat</v>
      </c>
      <c r="K1064" s="72" t="str">
        <f>IFERROR(__xludf.DUMMYFUNCTION("""COMPUTED_VALUE"""),"KFS: -April 21 po nag-iinit na po si makina tas mejo may nagtutnog po sa makina. Tapos di na po muna namin ginamit chineck man po ng aming operator, sabi niya po makina na daw po ang problema.
-Tapos 1st Week po ata yun ng May tigtry po namin ipaandar "&amp;"po mejo mahina na po yung hatak niya kasi itataas po sana namin sa trailer. Dun na po umusok yung makina po.")</f>
        <v>KFS: -April 21 po nag-iinit na po si makina tas mejo may nagtutnog po sa makina. Tapos di na po muna namin ginamit chineck man po ng aming operator, sabi niya po makina na daw po ang problema.
-Tapos 1st Week po ata yun ng May tigtry po namin ipaandar po mejo mahina na po yung hatak niya kasi itataas po sana namin sa trailer. Dun na po umusok yung makina po.</v>
      </c>
      <c r="L1064" s="72" t="str">
        <f>IFERROR(__xludf.DUMMYFUNCTION("""COMPUTED_VALUE"""),"JTT: THERMOSTAT NOT FUNCTIONING, I REMOVE THE THERMOSTAT, UNIT ARE OPERATIONAL")</f>
        <v>JTT: THERMOSTAT NOT FUNCTIONING, I REMOVE THE THERMOSTAT, UNIT ARE OPERATIONAL</v>
      </c>
      <c r="M1064" s="2"/>
      <c r="N1064" s="2"/>
      <c r="O1064" s="2" t="str">
        <f>IFERROR(__xludf.DUMMYFUNCTION("""COMPUTED_VALUE"""),"NEED SERVICE REPORT")</f>
        <v>NEED SERVICE REPORT</v>
      </c>
      <c r="P1064" s="2"/>
      <c r="Q1064" s="2"/>
      <c r="R1064" s="74">
        <f>IFERROR(__xludf.DUMMYFUNCTION("""COMPUTED_VALUE"""),45836.0)</f>
        <v>45836</v>
      </c>
      <c r="S1064" s="2" t="str">
        <f>IFERROR(__xludf.DUMMYFUNCTION("""COMPUTED_VALUE"""),"JTT/LBA")</f>
        <v>JTT/LBA</v>
      </c>
      <c r="T1064" s="73" t="str">
        <f>IFERROR(__xludf.DUMMYFUNCTION("""COMPUTED_VALUE""")," N/A ")</f>
        <v>N/A</v>
      </c>
      <c r="U1064" s="73" t="str">
        <f>IFERROR(__xludf.DUMMYFUNCTION("""COMPUTED_VALUE""")," NO CHARGE ")</f>
        <v>NO CHARGE</v>
      </c>
      <c r="V1064" s="2"/>
      <c r="W1064" s="2" t="str">
        <f>IFERROR(__xludf.DUMMYFUNCTION("""COMPUTED_VALUE"""),"N/A")</f>
        <v>N/A</v>
      </c>
      <c r="X1064" s="2" t="str">
        <f>IFERROR(__xludf.DUMMYFUNCTION("""COMPUTED_VALUE"""),"N/A")</f>
        <v>N/A</v>
      </c>
      <c r="Y1064" s="2"/>
      <c r="Z1064" s="2"/>
      <c r="AA1064" s="2"/>
      <c r="AB1064" s="2"/>
      <c r="AC1064" s="2"/>
      <c r="AD1064" s="2"/>
      <c r="AE1064" s="2"/>
      <c r="AF1064" s="2"/>
      <c r="AG1064" s="2"/>
      <c r="AH1064" s="2"/>
      <c r="AI1064" s="2"/>
      <c r="AJ1064" s="2" t="str">
        <f>IFERROR(__xludf.DUMMYFUNCTION("""COMPUTED_VALUE"""),"Santa Cruz Sur")</f>
        <v>Santa Cruz Sur</v>
      </c>
      <c r="AK1064" s="2" t="str">
        <f>IFERROR(__xludf.DUMMYFUNCTION("""COMPUTED_VALUE"""),"Iriga City")</f>
        <v>Iriga City</v>
      </c>
      <c r="AL1064" s="2" t="str">
        <f>IFERROR(__xludf.DUMMYFUNCTION("""COMPUTED_VALUE"""),"Camarines Sur")</f>
        <v>Camarines Sur</v>
      </c>
      <c r="AM1064" s="2">
        <f>IFERROR(__xludf.DUMMYFUNCTION("""COMPUTED_VALUE"""),5.0)</f>
        <v>5</v>
      </c>
      <c r="AN1064" s="2" t="str">
        <f>IFERROR(__xludf.DUMMYFUNCTION("""COMPUTED_VALUE"""),"RCEF 24-04-15")</f>
        <v>RCEF 24-04-15</v>
      </c>
      <c r="AO1064" s="2">
        <f>IFERROR(__xludf.DUMMYFUNCTION("""COMPUTED_VALUE"""),7.0)</f>
        <v>7</v>
      </c>
      <c r="AP1064" s="2" t="str">
        <f>IFERROR(__xludf.DUMMYFUNCTION("""COMPUTED_VALUE"""),"FREE PMS")</f>
        <v>FREE PMS</v>
      </c>
      <c r="AQ1064" s="2"/>
      <c r="AR1064" s="2"/>
      <c r="AS1064" s="2"/>
      <c r="AT1064" s="2"/>
      <c r="AU1064" s="2"/>
      <c r="AV1064" s="2"/>
      <c r="AW1064" s="2"/>
      <c r="AX1064" s="2"/>
      <c r="AY1064" s="2"/>
      <c r="AZ1064" s="2"/>
      <c r="BA1064" s="2"/>
      <c r="BB1064" s="2"/>
    </row>
    <row r="1065">
      <c r="A1065" s="2">
        <f>IFERROR(__xludf.DUMMYFUNCTION("""COMPUTED_VALUE"""),1061.0)</f>
        <v>1061</v>
      </c>
      <c r="B1065" s="2" t="str">
        <f>IFERROR(__xludf.DUMMYFUNCTION("""COMPUTED_VALUE"""),"PENDING")</f>
        <v>PENDING</v>
      </c>
      <c r="C1065" s="74">
        <f>IFERROR(__xludf.DUMMYFUNCTION("""COMPUTED_VALUE"""),45831.0)</f>
        <v>45831</v>
      </c>
      <c r="D1065" s="71" t="str">
        <f>IFERROR(__xludf.DUMMYFUNCTION("""COMPUTED_VALUE"""),"Municipal Government Unit of Pio Duran")</f>
        <v>Municipal Government Unit of Pio Duran</v>
      </c>
      <c r="E1065" s="71" t="str">
        <f>IFERROR(__xludf.DUMMYFUNCTION("""COMPUTED_VALUE"""),"Caratagan, Pio Duran, ALBAY")</f>
        <v>Caratagan, Pio Duran, ALBAY</v>
      </c>
      <c r="F1065" s="2" t="str">
        <f>IFERROR(__xludf.DUMMYFUNCTION("""COMPUTED_VALUE"""),"JERRY APULE")</f>
        <v>JERRY APULE</v>
      </c>
      <c r="G1065" s="2"/>
      <c r="H1065" s="2">
        <f>IFERROR(__xludf.DUMMYFUNCTION("""COMPUTED_VALUE"""),175.0)</f>
        <v>175</v>
      </c>
      <c r="I1065" s="72" t="str">
        <f>IFERROR(__xludf.DUMMYFUNCTION("""COMPUTED_VALUE"""),"REPAIR - TRACTOR")</f>
        <v>REPAIR - TRACTOR</v>
      </c>
      <c r="J1065" s="72" t="str">
        <f>IFERROR(__xludf.DUMMYFUNCTION("""COMPUTED_VALUE"""),"Electrical - Dashboard")</f>
        <v>Electrical - Dashboard</v>
      </c>
      <c r="K1065" s="72" t="str">
        <f>IFERROR(__xludf.DUMMYFUNCTION("""COMPUTED_VALUE"""),"JTT: PANEL BOARD BLACK OUT 
0042: JTT:- NEED TO REPLACE")</f>
        <v>JTT: PANEL BOARD BLACK OUT 
0042: JTT:- NEED TO REPLACE</v>
      </c>
      <c r="L1065" s="72"/>
      <c r="M1065" s="2" t="str">
        <f>IFERROR(__xludf.DUMMYFUNCTION("""COMPUTED_VALUE"""),"METER PANEL")</f>
        <v>METER PANEL</v>
      </c>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t="str">
        <f>IFERROR(__xludf.DUMMYFUNCTION("""COMPUTED_VALUE"""),"Caratagan")</f>
        <v>Caratagan</v>
      </c>
      <c r="AK1065" s="2" t="str">
        <f>IFERROR(__xludf.DUMMYFUNCTION("""COMPUTED_VALUE"""),"Pio Duran")</f>
        <v>Pio Duran</v>
      </c>
      <c r="AL1065" s="2" t="str">
        <f>IFERROR(__xludf.DUMMYFUNCTION("""COMPUTED_VALUE"""),"Albay")</f>
        <v>Albay</v>
      </c>
      <c r="AM1065" s="2">
        <f>IFERROR(__xludf.DUMMYFUNCTION("""COMPUTED_VALUE"""),5.0)</f>
        <v>5</v>
      </c>
      <c r="AN1065" s="2" t="str">
        <f>IFERROR(__xludf.DUMMYFUNCTION("""COMPUTED_VALUE"""),"RCEF 24-04-15")</f>
        <v>RCEF 24-04-15</v>
      </c>
      <c r="AO1065" s="2">
        <f>IFERROR(__xludf.DUMMYFUNCTION("""COMPUTED_VALUE"""),7.0)</f>
        <v>7</v>
      </c>
      <c r="AP1065" s="2" t="str">
        <f>IFERROR(__xludf.DUMMYFUNCTION("""COMPUTED_VALUE"""),"FREE PMS")</f>
        <v>FREE PMS</v>
      </c>
      <c r="AQ1065" s="2"/>
      <c r="AR1065" s="2"/>
      <c r="AS1065" s="2"/>
      <c r="AT1065" s="2"/>
      <c r="AU1065" s="2"/>
      <c r="AV1065" s="2"/>
      <c r="AW1065" s="2"/>
      <c r="AX1065" s="2"/>
      <c r="AY1065" s="2"/>
      <c r="AZ1065" s="2"/>
      <c r="BA1065" s="2"/>
      <c r="BB1065" s="2"/>
    </row>
    <row r="1066">
      <c r="A1066" s="2">
        <f>IFERROR(__xludf.DUMMYFUNCTION("""COMPUTED_VALUE"""),1062.0)</f>
        <v>1062</v>
      </c>
      <c r="B1066" s="2" t="str">
        <f>IFERROR(__xludf.DUMMYFUNCTION("""COMPUTED_VALUE"""),"COMPLETED")</f>
        <v>COMPLETED</v>
      </c>
      <c r="C1066" s="74">
        <f>IFERROR(__xludf.DUMMYFUNCTION("""COMPUTED_VALUE"""),45832.0)</f>
        <v>45832</v>
      </c>
      <c r="D1066" s="71" t="str">
        <f>IFERROR(__xludf.DUMMYFUNCTION("""COMPUTED_VALUE"""),"CPCL ALISTO IRRIGATORS ASSOCIATION INC.")</f>
        <v>CPCL ALISTO IRRIGATORS ASSOCIATION INC.</v>
      </c>
      <c r="E1066" s="71" t="str">
        <f>IFERROR(__xludf.DUMMYFUNCTION("""COMPUTED_VALUE"""),"Pataquid, Santa Maria, PANGASINAN")</f>
        <v>Pataquid, Santa Maria, PANGASINAN</v>
      </c>
      <c r="F1066" s="2" t="str">
        <f>IFERROR(__xludf.DUMMYFUNCTION("""COMPUTED_VALUE"""),"Jonathan E. Murla")</f>
        <v>Jonathan E. Murla</v>
      </c>
      <c r="G1066" s="2" t="str">
        <f>IFERROR(__xludf.DUMMYFUNCTION("""COMPUTED_VALUE"""),"0929-785-4909")</f>
        <v>0929-785-4909</v>
      </c>
      <c r="H1066" s="2">
        <f>IFERROR(__xludf.DUMMYFUNCTION("""COMPUTED_VALUE"""),1214.0)</f>
        <v>1214</v>
      </c>
      <c r="I1066" s="72" t="str">
        <f>IFERROR(__xludf.DUMMYFUNCTION("""COMPUTED_VALUE"""),"REPAIR - TRACTOR")</f>
        <v>REPAIR - TRACTOR</v>
      </c>
      <c r="J1066" s="72" t="str">
        <f>IFERROR(__xludf.DUMMYFUNCTION("""COMPUTED_VALUE"""),"Engine - Overhaul")</f>
        <v>Engine - Overhaul</v>
      </c>
      <c r="K1066" s="72" t="str">
        <f>IFERROR(__xludf.DUMMYFUNCTION("""COMPUTED_VALUE"""),"ERP: ENGINE OVERHAUL -MAY BAAK ANG CYLINDER HEAD 
7/17/25: ACS: ENGINE OVERHAUL
PARTS NEEDED
1-ENGINE BLOCK
4-PISTON
4-PISTON RING
1-CYLINDER HEAS ASSY
1-CYLINDER HEAD GASKET
4-BEARING, CRANKSHAFT THRUST
10-BEARING, MAIN
8-BEARING, CONNECTING ROD
4-PIN, "&amp;"PISTON
4-ROD, ENGINE CONNECTING
8-RING, RETAINING
JHP:PARTS
1-ENGINE BLOCK
1-CYLINDER HEAD ASSY
1-CYLINDER HEAD GASKET
4-PISTON ENGINE
4-PISTON RING SET")</f>
        <v>ERP: ENGINE OVERHAUL -MAY BAAK ANG CYLINDER HEAD 
7/17/25: ACS: ENGINE OVERHAUL
PARTS NEEDED
1-ENGINE BLOCK
4-PISTON
4-PISTON RING
1-CYLINDER HEAS ASSY
1-CYLINDER HEAD GASKET
4-BEARING, CRANKSHAFT THRUST
10-BEARING, MAIN
8-BEARING, CONNECTING ROD
4-PIN, PISTON
4-ROD, ENGINE CONNECTING
8-RING, RETAINING
JHP:PARTS
1-ENGINE BLOCK
1-CYLINDER HEAD ASSY
1-CYLINDER HEAD GASKET
4-PISTON ENGINE
4-PISTON RING SET</v>
      </c>
      <c r="L1066" s="72" t="str">
        <f>IFERROR(__xludf.DUMMYFUNCTION("""COMPUTED_VALUE"""),"QUOTATION SENT OF REPAIRED ENGINE BLOCK.
CANCELLED: HINDI KAYA NG FARMER ANG PRESYO NG MGA PYESA")</f>
        <v>QUOTATION SENT OF REPAIRED ENGINE BLOCK.
CANCELLED: HINDI KAYA NG FARMER ANG PRESYO NG MGA PYESA</v>
      </c>
      <c r="M1066" s="2"/>
      <c r="N1066" s="2"/>
      <c r="O1066" s="2" t="str">
        <f>IFERROR(__xludf.DUMMYFUNCTION("""COMPUTED_VALUE"""),"N/A")</f>
        <v>N/A</v>
      </c>
      <c r="P1066" s="2"/>
      <c r="Q1066" s="2"/>
      <c r="R1066" s="74">
        <f>IFERROR(__xludf.DUMMYFUNCTION("""COMPUTED_VALUE"""),45968.0)</f>
        <v>45968</v>
      </c>
      <c r="S1066" s="2" t="str">
        <f>IFERROR(__xludf.DUMMYFUNCTION("""COMPUTED_VALUE"""),"MYKEE")</f>
        <v>MYKEE</v>
      </c>
      <c r="T1066" s="73" t="str">
        <f>IFERROR(__xludf.DUMMYFUNCTION("""COMPUTED_VALUE""")," N/A ")</f>
        <v>N/A</v>
      </c>
      <c r="U1066" s="73" t="str">
        <f>IFERROR(__xludf.DUMMYFUNCTION("""COMPUTED_VALUE""")," NO CHARGE ")</f>
        <v>NO CHARGE</v>
      </c>
      <c r="V1066" s="2"/>
      <c r="W1066" s="2" t="str">
        <f>IFERROR(__xludf.DUMMYFUNCTION("""COMPUTED_VALUE"""),"N/A")</f>
        <v>N/A</v>
      </c>
      <c r="X1066" s="2" t="str">
        <f>IFERROR(__xludf.DUMMYFUNCTION("""COMPUTED_VALUE"""),"N/A")</f>
        <v>N/A</v>
      </c>
      <c r="Y1066" s="2"/>
      <c r="Z1066" s="2"/>
      <c r="AA1066" s="2"/>
      <c r="AB1066" s="2"/>
      <c r="AC1066" s="2"/>
      <c r="AD1066" s="2"/>
      <c r="AE1066" s="2"/>
      <c r="AF1066" s="2"/>
      <c r="AG1066" s="2"/>
      <c r="AH1066" s="2"/>
      <c r="AI1066" s="2"/>
      <c r="AJ1066" s="2" t="str">
        <f>IFERROR(__xludf.DUMMYFUNCTION("""COMPUTED_VALUE"""),"Pataquid")</f>
        <v>Pataquid</v>
      </c>
      <c r="AK1066" s="2" t="str">
        <f>IFERROR(__xludf.DUMMYFUNCTION("""COMPUTED_VALUE"""),"Santa Maria")</f>
        <v>Santa Maria</v>
      </c>
      <c r="AL1066" s="2" t="str">
        <f>IFERROR(__xludf.DUMMYFUNCTION("""COMPUTED_VALUE"""),"Pangasinan")</f>
        <v>Pangasinan</v>
      </c>
      <c r="AM1066" s="2">
        <f>IFERROR(__xludf.DUMMYFUNCTION("""COMPUTED_VALUE"""),1.0)</f>
        <v>1</v>
      </c>
      <c r="AN1066" s="2" t="str">
        <f>IFERROR(__xludf.DUMMYFUNCTION("""COMPUTED_VALUE"""),"RCEF 23-09-21 Rebidding")</f>
        <v>RCEF 23-09-21 Rebidding</v>
      </c>
      <c r="AO1066" s="2">
        <f>IFERROR(__xludf.DUMMYFUNCTION("""COMPUTED_VALUE"""),2.0)</f>
        <v>2</v>
      </c>
      <c r="AP1066" s="2"/>
      <c r="AQ1066" s="2"/>
      <c r="AR1066" s="2"/>
      <c r="AS1066" s="2"/>
      <c r="AT1066" s="2"/>
      <c r="AU1066" s="2"/>
      <c r="AV1066" s="2"/>
      <c r="AW1066" s="2"/>
      <c r="AX1066" s="2"/>
      <c r="AY1066" s="2"/>
      <c r="AZ1066" s="2"/>
      <c r="BA1066" s="2"/>
      <c r="BB1066" s="2"/>
    </row>
    <row r="1067">
      <c r="A1067" s="2">
        <f>IFERROR(__xludf.DUMMYFUNCTION("""COMPUTED_VALUE"""),1063.0)</f>
        <v>1063</v>
      </c>
      <c r="B1067" s="2" t="str">
        <f>IFERROR(__xludf.DUMMYFUNCTION("""COMPUTED_VALUE"""),"COMPLETED")</f>
        <v>COMPLETED</v>
      </c>
      <c r="C1067" s="74">
        <f>IFERROR(__xludf.DUMMYFUNCTION("""COMPUTED_VALUE"""),45833.0)</f>
        <v>45833</v>
      </c>
      <c r="D1067" s="71" t="str">
        <f>IFERROR(__xludf.DUMMYFUNCTION("""COMPUTED_VALUE"""),"SAN LUIS CONDEZ TIG-ANIT FARMERS IRRIGATORS ASSOCIATION")</f>
        <v>SAN LUIS CONDEZ TIG-ANIT FARMERS IRRIGATORS ASSOCIATION</v>
      </c>
      <c r="E1067" s="71" t="str">
        <f>IFERROR(__xludf.DUMMYFUNCTION("""COMPUTED_VALUE"""),"San Luis, Culasi, ANTIQUE")</f>
        <v>San Luis, Culasi, ANTIQUE</v>
      </c>
      <c r="F1067" s="2" t="str">
        <f>IFERROR(__xludf.DUMMYFUNCTION("""COMPUTED_VALUE"""),"ROGELIO OSORIO")</f>
        <v>ROGELIO OSORIO</v>
      </c>
      <c r="G1067" s="2">
        <f>IFERROR(__xludf.DUMMYFUNCTION("""COMPUTED_VALUE"""),9.364375842E9)</f>
        <v>9364375842</v>
      </c>
      <c r="H1067" s="2"/>
      <c r="I1067" s="72" t="str">
        <f>IFERROR(__xludf.DUMMYFUNCTION("""COMPUTED_VALUE"""),"REPAIR - TRACTOR")</f>
        <v>REPAIR - TRACTOR</v>
      </c>
      <c r="J1067" s="72" t="str">
        <f>IFERROR(__xludf.DUMMYFUNCTION("""COMPUTED_VALUE"""),"Transmission - Front Drive")</f>
        <v>Transmission - Front Drive</v>
      </c>
      <c r="K1067" s="72" t="str">
        <f>IFERROR(__xludf.DUMMYFUNCTION("""COMPUTED_VALUE"""),"MYK: PAG NAG AARARO MAY MAINGAY SA HARAPANG GULONG NG TRACTORA, PAG NAKA FRONT DRIVE TUMUTUNOG O LUMALAGUTOK.")</f>
        <v>MYK: PAG NAG AARARO MAY MAINGAY SA HARAPANG GULONG NG TRACTORA, PAG NAKA FRONT DRIVE TUMUTUNOG O LUMALAGUTOK.</v>
      </c>
      <c r="L1067" s="72" t="str">
        <f>IFERROR(__xludf.DUMMYFUNCTION("""COMPUTED_VALUE"""),"MYK: OK NADAW ANG UNIT SILA NA ANG GUMAWA")</f>
        <v>MYK: OK NADAW ANG UNIT SILA NA ANG GUMAWA</v>
      </c>
      <c r="M1067" s="2"/>
      <c r="N1067" s="2"/>
      <c r="O1067" s="2" t="str">
        <f>IFERROR(__xludf.DUMMYFUNCTION("""COMPUTED_VALUE"""),"N/A")</f>
        <v>N/A</v>
      </c>
      <c r="P1067" s="2"/>
      <c r="Q1067" s="2"/>
      <c r="R1067" s="74">
        <f>IFERROR(__xludf.DUMMYFUNCTION("""COMPUTED_VALUE"""),45861.0)</f>
        <v>45861</v>
      </c>
      <c r="S1067" s="2" t="str">
        <f>IFERROR(__xludf.DUMMYFUNCTION("""COMPUTED_VALUE"""),"MYKEE")</f>
        <v>MYKEE</v>
      </c>
      <c r="T1067" s="73" t="str">
        <f>IFERROR(__xludf.DUMMYFUNCTION("""COMPUTED_VALUE""")," N/A ")</f>
        <v>N/A</v>
      </c>
      <c r="U1067" s="73" t="str">
        <f>IFERROR(__xludf.DUMMYFUNCTION("""COMPUTED_VALUE""")," NO CHARGE ")</f>
        <v>NO CHARGE</v>
      </c>
      <c r="V1067" s="2"/>
      <c r="W1067" s="2" t="str">
        <f>IFERROR(__xludf.DUMMYFUNCTION("""COMPUTED_VALUE"""),"N/A")</f>
        <v>N/A</v>
      </c>
      <c r="X1067" s="2" t="str">
        <f>IFERROR(__xludf.DUMMYFUNCTION("""COMPUTED_VALUE"""),"N/A")</f>
        <v>N/A</v>
      </c>
      <c r="Y1067" s="2"/>
      <c r="Z1067" s="2"/>
      <c r="AA1067" s="2"/>
      <c r="AB1067" s="2"/>
      <c r="AC1067" s="2"/>
      <c r="AD1067" s="2"/>
      <c r="AE1067" s="2"/>
      <c r="AF1067" s="2"/>
      <c r="AG1067" s="2"/>
      <c r="AH1067" s="2"/>
      <c r="AI1067" s="2"/>
      <c r="AJ1067" s="2" t="str">
        <f>IFERROR(__xludf.DUMMYFUNCTION("""COMPUTED_VALUE"""),"San Luis")</f>
        <v>San Luis</v>
      </c>
      <c r="AK1067" s="2" t="str">
        <f>IFERROR(__xludf.DUMMYFUNCTION("""COMPUTED_VALUE"""),"Culasi")</f>
        <v>Culasi</v>
      </c>
      <c r="AL1067" s="2" t="str">
        <f>IFERROR(__xludf.DUMMYFUNCTION("""COMPUTED_VALUE"""),"Antique")</f>
        <v>Antique</v>
      </c>
      <c r="AM1067" s="2">
        <f>IFERROR(__xludf.DUMMYFUNCTION("""COMPUTED_VALUE"""),6.0)</f>
        <v>6</v>
      </c>
      <c r="AN1067" s="2" t="str">
        <f>IFERROR(__xludf.DUMMYFUNCTION("""COMPUTED_VALUE"""),"RCEF 23-09-21 Rebidding")</f>
        <v>RCEF 23-09-21 Rebidding</v>
      </c>
      <c r="AO1067" s="2">
        <f>IFERROR(__xludf.DUMMYFUNCTION("""COMPUTED_VALUE"""),4.0)</f>
        <v>4</v>
      </c>
      <c r="AP1067" s="2"/>
      <c r="AQ1067" s="2"/>
      <c r="AR1067" s="2"/>
      <c r="AS1067" s="2"/>
      <c r="AT1067" s="2"/>
      <c r="AU1067" s="2"/>
      <c r="AV1067" s="2"/>
      <c r="AW1067" s="2"/>
      <c r="AX1067" s="2"/>
      <c r="AY1067" s="2"/>
      <c r="AZ1067" s="2"/>
      <c r="BA1067" s="2"/>
      <c r="BB1067" s="2"/>
    </row>
    <row r="1068">
      <c r="A1068" s="2">
        <f>IFERROR(__xludf.DUMMYFUNCTION("""COMPUTED_VALUE"""),1064.0)</f>
        <v>1064</v>
      </c>
      <c r="B1068" s="2" t="str">
        <f>IFERROR(__xludf.DUMMYFUNCTION("""COMPUTED_VALUE"""),"COMPLETED")</f>
        <v>COMPLETED</v>
      </c>
      <c r="C1068" s="74">
        <f>IFERROR(__xludf.DUMMYFUNCTION("""COMPUTED_VALUE"""),45833.0)</f>
        <v>45833</v>
      </c>
      <c r="D1068" s="71" t="str">
        <f>IFERROR(__xludf.DUMMYFUNCTION("""COMPUTED_VALUE"""),"BAGONG PAG-ASA FARMERS ASSOCIATION")</f>
        <v>BAGONG PAG-ASA FARMERS ASSOCIATION</v>
      </c>
      <c r="E1068" s="71" t="str">
        <f>IFERROR(__xludf.DUMMYFUNCTION("""COMPUTED_VALUE"""),"Divisoria, Mexico, PAMPANGA")</f>
        <v>Divisoria, Mexico, PAMPANGA</v>
      </c>
      <c r="F1068" s="2" t="str">
        <f>IFERROR(__xludf.DUMMYFUNCTION("""COMPUTED_VALUE"""),"Romeo Colis Jr.")</f>
        <v>Romeo Colis Jr.</v>
      </c>
      <c r="G1068" s="2">
        <f>IFERROR(__xludf.DUMMYFUNCTION("""COMPUTED_VALUE"""),9.154750946E9)</f>
        <v>9154750946</v>
      </c>
      <c r="H1068" s="2">
        <f>IFERROR(__xludf.DUMMYFUNCTION("""COMPUTED_VALUE"""),50.0)</f>
        <v>50</v>
      </c>
      <c r="I1068" s="72" t="str">
        <f>IFERROR(__xludf.DUMMYFUNCTION("""COMPUTED_VALUE"""),"PMS")</f>
        <v>PMS</v>
      </c>
      <c r="J1068" s="72" t="str">
        <f>IFERROR(__xludf.DUMMYFUNCTION("""COMPUTED_VALUE"""),"PMS")</f>
        <v>PMS</v>
      </c>
      <c r="K1068" s="72" t="str">
        <f>IFERROR(__xludf.DUMMYFUNCTION("""COMPUTED_VALUE"""),"MYK: 1ST PMS FREE")</f>
        <v>MYK: 1ST PMS FREE</v>
      </c>
      <c r="L1068" s="72" t="str">
        <f>IFERROR(__xludf.DUMMYFUNCTION("""COMPUTED_VALUE"""),"JVV: 1ST PMS DONE")</f>
        <v>JVV: 1ST PMS DONE</v>
      </c>
      <c r="M1068" s="2"/>
      <c r="N1068" s="2" t="str">
        <f>IFERROR(__xludf.DUMMYFUNCTION("""COMPUTED_VALUE"""),"PARTS: OIL FILTER, ENGINE OIL")</f>
        <v>PARTS: OIL FILTER, ENGINE OIL</v>
      </c>
      <c r="O1068" s="2">
        <f>IFERROR(__xludf.DUMMYFUNCTION("""COMPUTED_VALUE"""),1185.0)</f>
        <v>1185</v>
      </c>
      <c r="P1068" s="2"/>
      <c r="Q1068" s="2" t="str">
        <f>IFERROR(__xludf.DUMMYFUNCTION("""COMPUTED_VALUE"""),"y")</f>
        <v>y</v>
      </c>
      <c r="R1068" s="74">
        <f>IFERROR(__xludf.DUMMYFUNCTION("""COMPUTED_VALUE"""),45835.0)</f>
        <v>45835</v>
      </c>
      <c r="S1068" s="2" t="str">
        <f>IFERROR(__xludf.DUMMYFUNCTION("""COMPUTED_VALUE"""),"CFG/JVV")</f>
        <v>CFG/JVV</v>
      </c>
      <c r="T1068" s="73" t="str">
        <f>IFERROR(__xludf.DUMMYFUNCTION("""COMPUTED_VALUE""")," N/A ")</f>
        <v>N/A</v>
      </c>
      <c r="U1068" s="73" t="str">
        <f>IFERROR(__xludf.DUMMYFUNCTION("""COMPUTED_VALUE""")," NO CHARGE ")</f>
        <v>NO CHARGE</v>
      </c>
      <c r="V1068" s="2"/>
      <c r="W1068" s="2" t="str">
        <f>IFERROR(__xludf.DUMMYFUNCTION("""COMPUTED_VALUE"""),"N/A")</f>
        <v>N/A</v>
      </c>
      <c r="X1068" s="2" t="str">
        <f>IFERROR(__xludf.DUMMYFUNCTION("""COMPUTED_VALUE"""),"N/A")</f>
        <v>N/A</v>
      </c>
      <c r="Y1068" s="2"/>
      <c r="Z1068" s="2"/>
      <c r="AA1068" s="2"/>
      <c r="AB1068" s="2"/>
      <c r="AC1068" s="2"/>
      <c r="AD1068" s="2"/>
      <c r="AE1068" s="2"/>
      <c r="AF1068" s="2"/>
      <c r="AG1068" s="2"/>
      <c r="AH1068" s="2"/>
      <c r="AI1068" s="2"/>
      <c r="AJ1068" s="2" t="str">
        <f>IFERROR(__xludf.DUMMYFUNCTION("""COMPUTED_VALUE"""),"Divisoria")</f>
        <v>Divisoria</v>
      </c>
      <c r="AK1068" s="2" t="str">
        <f>IFERROR(__xludf.DUMMYFUNCTION("""COMPUTED_VALUE"""),"Mexico")</f>
        <v>Mexico</v>
      </c>
      <c r="AL1068" s="2" t="str">
        <f>IFERROR(__xludf.DUMMYFUNCTION("""COMPUTED_VALUE"""),"Pampanga")</f>
        <v>Pampanga</v>
      </c>
      <c r="AM1068" s="2">
        <f>IFERROR(__xludf.DUMMYFUNCTION("""COMPUTED_VALUE"""),3.0)</f>
        <v>3</v>
      </c>
      <c r="AN1068" s="2" t="str">
        <f>IFERROR(__xludf.DUMMYFUNCTION("""COMPUTED_VALUE"""),"RCEF 24-04-15")</f>
        <v>RCEF 24-04-15</v>
      </c>
      <c r="AO1068" s="2">
        <f>IFERROR(__xludf.DUMMYFUNCTION("""COMPUTED_VALUE"""),6.0)</f>
        <v>6</v>
      </c>
      <c r="AP1068" s="2" t="str">
        <f>IFERROR(__xludf.DUMMYFUNCTION("""COMPUTED_VALUE"""),"FREE PMS")</f>
        <v>FREE PMS</v>
      </c>
      <c r="AQ1068" s="2"/>
      <c r="AR1068" s="2"/>
      <c r="AS1068" s="2"/>
      <c r="AT1068" s="2"/>
      <c r="AU1068" s="2"/>
      <c r="AV1068" s="2"/>
      <c r="AW1068" s="2"/>
      <c r="AX1068" s="2"/>
      <c r="AY1068" s="2"/>
      <c r="AZ1068" s="2"/>
      <c r="BA1068" s="2"/>
      <c r="BB1068" s="2"/>
    </row>
    <row r="1069">
      <c r="A1069" s="2">
        <f>IFERROR(__xludf.DUMMYFUNCTION("""COMPUTED_VALUE"""),1065.0)</f>
        <v>1065</v>
      </c>
      <c r="B1069" s="2" t="str">
        <f>IFERROR(__xludf.DUMMYFUNCTION("""COMPUTED_VALUE"""),"COMPLETED")</f>
        <v>COMPLETED</v>
      </c>
      <c r="C1069" s="74">
        <f>IFERROR(__xludf.DUMMYFUNCTION("""COMPUTED_VALUE"""),45834.0)</f>
        <v>45834</v>
      </c>
      <c r="D1069" s="71" t="str">
        <f>IFERROR(__xludf.DUMMYFUNCTION("""COMPUTED_VALUE"""),"62A NAVOTAS FARMERS ASSOCIATION INCORPORATED")</f>
        <v>62A NAVOTAS FARMERS ASSOCIATION INCORPORATED</v>
      </c>
      <c r="E1069" s="71" t="str">
        <f>IFERROR(__xludf.DUMMYFUNCTION("""COMPUTED_VALUE"""),"62A- NAVOTAS NORTH, LAOAG CITY, ILOCOS NORTE")</f>
        <v>62A- NAVOTAS NORTH, LAOAG CITY, ILOCOS NORTE</v>
      </c>
      <c r="F1069" s="2" t="str">
        <f>IFERROR(__xludf.DUMMYFUNCTION("""COMPUTED_VALUE"""),"JERRY CORPUZ ")</f>
        <v>JERRY CORPUZ </v>
      </c>
      <c r="G1069" s="2">
        <f>IFERROR(__xludf.DUMMYFUNCTION("""COMPUTED_VALUE"""),9.272329218E9)</f>
        <v>9272329218</v>
      </c>
      <c r="H1069" s="2">
        <f>IFERROR(__xludf.DUMMYFUNCTION("""COMPUTED_VALUE"""),347.0)</f>
        <v>347</v>
      </c>
      <c r="I1069" s="72" t="str">
        <f>IFERROR(__xludf.DUMMYFUNCTION("""COMPUTED_VALUE"""),"REPAIR - TRACTOR")</f>
        <v>REPAIR - TRACTOR</v>
      </c>
      <c r="J1069" s="72" t="str">
        <f>IFERROR(__xludf.DUMMYFUNCTION("""COMPUTED_VALUE"""),"PST - Cylinder")</f>
        <v>PST - Cylinder</v>
      </c>
      <c r="K1069" s="72" t="str">
        <f>IFERROR(__xludf.DUMMYFUNCTION("""COMPUTED_VALUE"""),"JHP: THE RUTOR DOES NOT ROTATE AND ALSO THE STEERING WHEEL DOES NOT FUNCTIONING
9/16/25:JHP: Ayaw lumiko ng gulong pag iniikot ang manibela
PARTS:
PST VALVE ASSY - 98,420
SERVICE CHARGE - 4,500 (PAID)")</f>
        <v>JHP: THE RUTOR DOES NOT ROTATE AND ALSO THE STEERING WHEEL DOES NOT FUNCTIONING
9/16/25:JHP: Ayaw lumiko ng gulong pag iniikot ang manibela
PARTS:
PST VALVE ASSY - 98,420
SERVICE CHARGE - 4,500 (PAID)</v>
      </c>
      <c r="L1069" s="72" t="str">
        <f>IFERROR(__xludf.DUMMYFUNCTION("""COMPUTED_VALUE"""),"QUTATION SENT:
ACS: REPLACED REPAIR KIT OF STEERING CYLINDER")</f>
        <v>QUTATION SENT:
ACS: REPLACED REPAIR KIT OF STEERING CYLINDER</v>
      </c>
      <c r="M1069" s="2"/>
      <c r="N1069" s="2" t="str">
        <f>IFERROR(__xludf.DUMMYFUNCTION("""COMPUTED_VALUE"""),"SERVICE FEE: 4500")</f>
        <v>SERVICE FEE: 4500</v>
      </c>
      <c r="O1069" s="2">
        <f>IFERROR(__xludf.DUMMYFUNCTION("""COMPUTED_VALUE"""),1427.0)</f>
        <v>1427</v>
      </c>
      <c r="P1069" s="2" t="str">
        <f>IFERROR(__xludf.DUMMYFUNCTION("""COMPUTED_VALUE"""),"1427- 62A Navotas Farmers Association.pdf")</f>
        <v>1427- 62A Navotas Farmers Association.pdf</v>
      </c>
      <c r="Q1069" s="2" t="str">
        <f>IFERROR(__xludf.DUMMYFUNCTION("""COMPUTED_VALUE"""),"y")</f>
        <v>y</v>
      </c>
      <c r="R1069" s="74">
        <f>IFERROR(__xludf.DUMMYFUNCTION("""COMPUTED_VALUE"""),45931.0)</f>
        <v>45931</v>
      </c>
      <c r="S1069" s="2" t="str">
        <f>IFERROR(__xludf.DUMMYFUNCTION("""COMPUTED_VALUE"""),"JHP/ACS")</f>
        <v>JHP/ACS</v>
      </c>
      <c r="T1069" s="73">
        <f>IFERROR(__xludf.DUMMYFUNCTION("""COMPUTED_VALUE"""),4500.0)</f>
        <v>4500</v>
      </c>
      <c r="U1069" s="73" t="str">
        <f>IFERROR(__xludf.DUMMYFUNCTION("""COMPUTED_VALUE""")," REMITTED ")</f>
        <v>REMITTED</v>
      </c>
      <c r="V1069" s="2"/>
      <c r="W1069" s="2">
        <f>IFERROR(__xludf.DUMMYFUNCTION("""COMPUTED_VALUE"""),1092.0)</f>
        <v>1092</v>
      </c>
      <c r="X1069" s="2">
        <f>IFERROR(__xludf.DUMMYFUNCTION("""COMPUTED_VALUE"""),1624.0)</f>
        <v>1624</v>
      </c>
      <c r="Y1069" s="2"/>
      <c r="Z1069" s="2"/>
      <c r="AA1069" s="2"/>
      <c r="AB1069" s="2"/>
      <c r="AC1069" s="2"/>
      <c r="AD1069" s="2"/>
      <c r="AE1069" s="2"/>
      <c r="AF1069" s="2"/>
      <c r="AG1069" s="2"/>
      <c r="AH1069" s="2"/>
      <c r="AI1069" s="2"/>
      <c r="AJ1069" s="2" t="str">
        <f>IFERROR(__xludf.DUMMYFUNCTION("""COMPUTED_VALUE"""),"62A- Navotas North")</f>
        <v>62A- Navotas North</v>
      </c>
      <c r="AK1069" s="2" t="str">
        <f>IFERROR(__xludf.DUMMYFUNCTION("""COMPUTED_VALUE"""),"Laoag City")</f>
        <v>Laoag City</v>
      </c>
      <c r="AL1069" s="2" t="str">
        <f>IFERROR(__xludf.DUMMYFUNCTION("""COMPUTED_VALUE"""),"Ilocos Norte")</f>
        <v>Ilocos Norte</v>
      </c>
      <c r="AM1069" s="2">
        <f>IFERROR(__xludf.DUMMYFUNCTION("""COMPUTED_VALUE"""),1.0)</f>
        <v>1</v>
      </c>
      <c r="AN1069" s="2" t="str">
        <f>IFERROR(__xludf.DUMMYFUNCTION("""COMPUTED_VALUE"""),"RCEF 23-09-21 Rebidding")</f>
        <v>RCEF 23-09-21 Rebidding</v>
      </c>
      <c r="AO1069" s="2">
        <f>IFERROR(__xludf.DUMMYFUNCTION("""COMPUTED_VALUE"""),2.0)</f>
        <v>2</v>
      </c>
      <c r="AP1069" s="2"/>
      <c r="AQ1069" s="2"/>
      <c r="AR1069" s="2"/>
      <c r="AS1069" s="2"/>
      <c r="AT1069" s="2"/>
      <c r="AU1069" s="2"/>
      <c r="AV1069" s="2"/>
      <c r="AW1069" s="2"/>
      <c r="AX1069" s="2"/>
      <c r="AY1069" s="2"/>
      <c r="AZ1069" s="2"/>
      <c r="BA1069" s="2"/>
      <c r="BB1069" s="2"/>
    </row>
    <row r="1070">
      <c r="A1070" s="2">
        <f>IFERROR(__xludf.DUMMYFUNCTION("""COMPUTED_VALUE"""),1066.0)</f>
        <v>1066</v>
      </c>
      <c r="B1070" s="2" t="str">
        <f>IFERROR(__xludf.DUMMYFUNCTION("""COMPUTED_VALUE"""),"COMPLETED")</f>
        <v>COMPLETED</v>
      </c>
      <c r="C1070" s="74">
        <f>IFERROR(__xludf.DUMMYFUNCTION("""COMPUTED_VALUE"""),45834.0)</f>
        <v>45834</v>
      </c>
      <c r="D1070" s="71" t="str">
        <f>IFERROR(__xludf.DUMMYFUNCTION("""COMPUTED_VALUE"""),"BALOPAPU FARMERS ASSOCIATION, INC.")</f>
        <v>BALOPAPU FARMERS ASSOCIATION, INC.</v>
      </c>
      <c r="E1070" s="71" t="str">
        <f>IFERROR(__xludf.DUMMYFUNCTION("""COMPUTED_VALUE"""),"Barayong, Ligao City, ALBAY")</f>
        <v>Barayong, Ligao City, ALBAY</v>
      </c>
      <c r="F1070" s="2" t="str">
        <f>IFERROR(__xludf.DUMMYFUNCTION("""COMPUTED_VALUE"""),"Clemente murillo jr")</f>
        <v>Clemente murillo jr</v>
      </c>
      <c r="G1070" s="2">
        <f>IFERROR(__xludf.DUMMYFUNCTION("""COMPUTED_VALUE"""),9.989922919E9)</f>
        <v>9989922919</v>
      </c>
      <c r="H1070" s="2">
        <f>IFERROR(__xludf.DUMMYFUNCTION("""COMPUTED_VALUE"""),74.0)</f>
        <v>74</v>
      </c>
      <c r="I1070" s="72" t="str">
        <f>IFERROR(__xludf.DUMMYFUNCTION("""COMPUTED_VALUE"""),"PMS")</f>
        <v>PMS</v>
      </c>
      <c r="J1070" s="72" t="str">
        <f>IFERROR(__xludf.DUMMYFUNCTION("""COMPUTED_VALUE"""),"PMS")</f>
        <v>PMS</v>
      </c>
      <c r="K1070" s="72" t="str">
        <f>IFERROR(__xludf.DUMMYFUNCTION("""COMPUTED_VALUE"""),"KFS; 1ST PMS FREE")</f>
        <v>KFS; 1ST PMS FREE</v>
      </c>
      <c r="L1070" s="72" t="str">
        <f>IFERROR(__xludf.DUMMYFUNCTION("""COMPUTED_VALUE"""),"JTT: 1ST PMS DONE")</f>
        <v>JTT: 1ST PMS DONE</v>
      </c>
      <c r="M1070" s="2"/>
      <c r="N1070" s="2" t="str">
        <f>IFERROR(__xludf.DUMMYFUNCTION("""COMPUTED_VALUE"""),"PARTS: 
OIL FILTER
ENGINE OIL")</f>
        <v>PARTS: 
OIL FILTER
ENGINE OIL</v>
      </c>
      <c r="O1070" s="2" t="str">
        <f>IFERROR(__xludf.DUMMYFUNCTION("""COMPUTED_VALUE"""),"NEED SERVICE REPORT")</f>
        <v>NEED SERVICE REPORT</v>
      </c>
      <c r="P1070" s="2"/>
      <c r="Q1070" s="2"/>
      <c r="R1070" s="74">
        <f>IFERROR(__xludf.DUMMYFUNCTION("""COMPUTED_VALUE"""),45836.0)</f>
        <v>45836</v>
      </c>
      <c r="S1070" s="2" t="str">
        <f>IFERROR(__xludf.DUMMYFUNCTION("""COMPUTED_VALUE"""),"JTT/LBA")</f>
        <v>JTT/LBA</v>
      </c>
      <c r="T1070" s="73" t="str">
        <f>IFERROR(__xludf.DUMMYFUNCTION("""COMPUTED_VALUE""")," N/A ")</f>
        <v>N/A</v>
      </c>
      <c r="U1070" s="73" t="str">
        <f>IFERROR(__xludf.DUMMYFUNCTION("""COMPUTED_VALUE""")," NO CHARGE ")</f>
        <v>NO CHARGE</v>
      </c>
      <c r="V1070" s="2"/>
      <c r="W1070" s="2" t="str">
        <f>IFERROR(__xludf.DUMMYFUNCTION("""COMPUTED_VALUE"""),"N/A")</f>
        <v>N/A</v>
      </c>
      <c r="X1070" s="2" t="str">
        <f>IFERROR(__xludf.DUMMYFUNCTION("""COMPUTED_VALUE"""),"N/A")</f>
        <v>N/A</v>
      </c>
      <c r="Y1070" s="2"/>
      <c r="Z1070" s="2"/>
      <c r="AA1070" s="2"/>
      <c r="AB1070" s="2"/>
      <c r="AC1070" s="2"/>
      <c r="AD1070" s="2"/>
      <c r="AE1070" s="2"/>
      <c r="AF1070" s="2"/>
      <c r="AG1070" s="2"/>
      <c r="AH1070" s="2"/>
      <c r="AI1070" s="2"/>
      <c r="AJ1070" s="2" t="str">
        <f>IFERROR(__xludf.DUMMYFUNCTION("""COMPUTED_VALUE"""),"Barayong")</f>
        <v>Barayong</v>
      </c>
      <c r="AK1070" s="2" t="str">
        <f>IFERROR(__xludf.DUMMYFUNCTION("""COMPUTED_VALUE"""),"Ligao City")</f>
        <v>Ligao City</v>
      </c>
      <c r="AL1070" s="2" t="str">
        <f>IFERROR(__xludf.DUMMYFUNCTION("""COMPUTED_VALUE"""),"Albay")</f>
        <v>Albay</v>
      </c>
      <c r="AM1070" s="2">
        <f>IFERROR(__xludf.DUMMYFUNCTION("""COMPUTED_VALUE"""),5.0)</f>
        <v>5</v>
      </c>
      <c r="AN1070" s="2" t="str">
        <f>IFERROR(__xludf.DUMMYFUNCTION("""COMPUTED_VALUE"""),"RCEF 24-04-15")</f>
        <v>RCEF 24-04-15</v>
      </c>
      <c r="AO1070" s="2">
        <f>IFERROR(__xludf.DUMMYFUNCTION("""COMPUTED_VALUE"""),7.0)</f>
        <v>7</v>
      </c>
      <c r="AP1070" s="2" t="str">
        <f>IFERROR(__xludf.DUMMYFUNCTION("""COMPUTED_VALUE"""),"FREE PMS")</f>
        <v>FREE PMS</v>
      </c>
      <c r="AQ1070" s="2"/>
      <c r="AR1070" s="2"/>
      <c r="AS1070" s="2"/>
      <c r="AT1070" s="2"/>
      <c r="AU1070" s="2"/>
      <c r="AV1070" s="2"/>
      <c r="AW1070" s="2"/>
      <c r="AX1070" s="2"/>
      <c r="AY1070" s="2"/>
      <c r="AZ1070" s="2"/>
      <c r="BA1070" s="2"/>
      <c r="BB1070" s="2"/>
    </row>
    <row r="1071">
      <c r="A1071" s="2">
        <f>IFERROR(__xludf.DUMMYFUNCTION("""COMPUTED_VALUE"""),1067.0)</f>
        <v>1067</v>
      </c>
      <c r="B1071" s="2" t="str">
        <f>IFERROR(__xludf.DUMMYFUNCTION("""COMPUTED_VALUE"""),"COMPLETED")</f>
        <v>COMPLETED</v>
      </c>
      <c r="C1071" s="74">
        <f>IFERROR(__xludf.DUMMYFUNCTION("""COMPUTED_VALUE"""),45834.0)</f>
        <v>45834</v>
      </c>
      <c r="D1071" s="71" t="str">
        <f>IFERROR(__xludf.DUMMYFUNCTION("""COMPUTED_VALUE"""),"City Government Unit of Ligao City")</f>
        <v>City Government Unit of Ligao City</v>
      </c>
      <c r="E1071" s="71" t="str">
        <f>IFERROR(__xludf.DUMMYFUNCTION("""COMPUTED_VALUE"""),"Santa Cruz (Pob.), Ligao City, ALBAY")</f>
        <v>Santa Cruz (Pob.), Ligao City, ALBAY</v>
      </c>
      <c r="F1071" s="2" t="str">
        <f>IFERROR(__xludf.DUMMYFUNCTION("""COMPUTED_VALUE"""),"ENGR. MAT D. PEÑAFIEL")</f>
        <v>ENGR. MAT D. PEÑAFIEL</v>
      </c>
      <c r="G1071" s="2">
        <f>IFERROR(__xludf.DUMMYFUNCTION("""COMPUTED_VALUE"""),9.055447572E9)</f>
        <v>9055447572</v>
      </c>
      <c r="H1071" s="2">
        <f>IFERROR(__xludf.DUMMYFUNCTION("""COMPUTED_VALUE"""),60.0)</f>
        <v>60</v>
      </c>
      <c r="I1071" s="72" t="str">
        <f>IFERROR(__xludf.DUMMYFUNCTION("""COMPUTED_VALUE"""),"PMS")</f>
        <v>PMS</v>
      </c>
      <c r="J1071" s="72" t="str">
        <f>IFERROR(__xludf.DUMMYFUNCTION("""COMPUTED_VALUE"""),"PMS")</f>
        <v>PMS</v>
      </c>
      <c r="K1071" s="72" t="str">
        <f>IFERROR(__xludf.DUMMYFUNCTION("""COMPUTED_VALUE"""),"MYK: ADDRESS: TOMOLIN, LIGAO CITY (infront of Ligao Community College)
1ST PMS FREE")</f>
        <v>MYK: ADDRESS: TOMOLIN, LIGAO CITY (infront of Ligao Community College)
1ST PMS FREE</v>
      </c>
      <c r="L1071" s="72" t="str">
        <f>IFERROR(__xludf.DUMMYFUNCTION("""COMPUTED_VALUE"""),"JTT: 1ST PMS DONE")</f>
        <v>JTT: 1ST PMS DONE</v>
      </c>
      <c r="M1071" s="2"/>
      <c r="N1071" s="2" t="str">
        <f>IFERROR(__xludf.DUMMYFUNCTION("""COMPUTED_VALUE"""),"PARTS: 
OIL FILTER
ENGINE OIL")</f>
        <v>PARTS: 
OIL FILTER
ENGINE OIL</v>
      </c>
      <c r="O1071" s="2" t="str">
        <f>IFERROR(__xludf.DUMMYFUNCTION("""COMPUTED_VALUE"""),"NEED SERVICE REPORT")</f>
        <v>NEED SERVICE REPORT</v>
      </c>
      <c r="P1071" s="2"/>
      <c r="Q1071" s="2"/>
      <c r="R1071" s="74">
        <f>IFERROR(__xludf.DUMMYFUNCTION("""COMPUTED_VALUE"""),45842.0)</f>
        <v>45842</v>
      </c>
      <c r="S1071" s="2" t="str">
        <f>IFERROR(__xludf.DUMMYFUNCTION("""COMPUTED_VALUE"""),"JTT")</f>
        <v>JTT</v>
      </c>
      <c r="T1071" s="73" t="str">
        <f>IFERROR(__xludf.DUMMYFUNCTION("""COMPUTED_VALUE""")," N/A ")</f>
        <v>N/A</v>
      </c>
      <c r="U1071" s="73" t="str">
        <f>IFERROR(__xludf.DUMMYFUNCTION("""COMPUTED_VALUE""")," NO CHARGE ")</f>
        <v>NO CHARGE</v>
      </c>
      <c r="V1071" s="2"/>
      <c r="W1071" s="2" t="str">
        <f>IFERROR(__xludf.DUMMYFUNCTION("""COMPUTED_VALUE"""),"N/A")</f>
        <v>N/A</v>
      </c>
      <c r="X1071" s="2" t="str">
        <f>IFERROR(__xludf.DUMMYFUNCTION("""COMPUTED_VALUE"""),"N/A")</f>
        <v>N/A</v>
      </c>
      <c r="Y1071" s="2"/>
      <c r="Z1071" s="2"/>
      <c r="AA1071" s="2"/>
      <c r="AB1071" s="2"/>
      <c r="AC1071" s="2"/>
      <c r="AD1071" s="2"/>
      <c r="AE1071" s="2"/>
      <c r="AF1071" s="2"/>
      <c r="AG1071" s="2"/>
      <c r="AH1071" s="2"/>
      <c r="AI1071" s="2"/>
      <c r="AJ1071" s="2" t="str">
        <f>IFERROR(__xludf.DUMMYFUNCTION("""COMPUTED_VALUE"""),"Santa Cruz (Pob.)")</f>
        <v>Santa Cruz (Pob.)</v>
      </c>
      <c r="AK1071" s="2" t="str">
        <f>IFERROR(__xludf.DUMMYFUNCTION("""COMPUTED_VALUE"""),"Ligao City")</f>
        <v>Ligao City</v>
      </c>
      <c r="AL1071" s="2" t="str">
        <f>IFERROR(__xludf.DUMMYFUNCTION("""COMPUTED_VALUE"""),"Albay")</f>
        <v>Albay</v>
      </c>
      <c r="AM1071" s="2">
        <f>IFERROR(__xludf.DUMMYFUNCTION("""COMPUTED_VALUE"""),5.0)</f>
        <v>5</v>
      </c>
      <c r="AN1071" s="2" t="str">
        <f>IFERROR(__xludf.DUMMYFUNCTION("""COMPUTED_VALUE"""),"RCEF 24-04-15")</f>
        <v>RCEF 24-04-15</v>
      </c>
      <c r="AO1071" s="2">
        <f>IFERROR(__xludf.DUMMYFUNCTION("""COMPUTED_VALUE"""),7.0)</f>
        <v>7</v>
      </c>
      <c r="AP1071" s="2" t="str">
        <f>IFERROR(__xludf.DUMMYFUNCTION("""COMPUTED_VALUE"""),"FREE PMS")</f>
        <v>FREE PMS</v>
      </c>
      <c r="AQ1071" s="2"/>
      <c r="AR1071" s="2"/>
      <c r="AS1071" s="2"/>
      <c r="AT1071" s="2"/>
      <c r="AU1071" s="2"/>
      <c r="AV1071" s="2"/>
      <c r="AW1071" s="2"/>
      <c r="AX1071" s="2"/>
      <c r="AY1071" s="2"/>
      <c r="AZ1071" s="2"/>
      <c r="BA1071" s="2"/>
      <c r="BB1071" s="2"/>
    </row>
    <row r="1072">
      <c r="A1072" s="2">
        <f>IFERROR(__xludf.DUMMYFUNCTION("""COMPUTED_VALUE"""),1068.0)</f>
        <v>1068</v>
      </c>
      <c r="B1072" s="2" t="str">
        <f>IFERROR(__xludf.DUMMYFUNCTION("""COMPUTED_VALUE"""),"PENDING")</f>
        <v>PENDING</v>
      </c>
      <c r="C1072" s="74">
        <f>IFERROR(__xludf.DUMMYFUNCTION("""COMPUTED_VALUE"""),45834.0)</f>
        <v>45834</v>
      </c>
      <c r="D1072" s="71" t="str">
        <f>IFERROR(__xludf.DUMMYFUNCTION("""COMPUTED_VALUE"""),"SANDOVAL FARMERS ASSOCIATION")</f>
        <v>SANDOVAL FARMERS ASSOCIATION</v>
      </c>
      <c r="E1072" s="71" t="str">
        <f>IFERROR(__xludf.DUMMYFUNCTION("""COMPUTED_VALUE"""),"Sandoval, Roxas, Palawan")</f>
        <v>Sandoval, Roxas, Palawan</v>
      </c>
      <c r="F1072" s="2" t="str">
        <f>IFERROR(__xludf.DUMMYFUNCTION("""COMPUTED_VALUE"""),"PHILIP G. FLORES")</f>
        <v>PHILIP G. FLORES</v>
      </c>
      <c r="G1072" s="2" t="str">
        <f>IFERROR(__xludf.DUMMYFUNCTION("""COMPUTED_VALUE"""),"0906-957-8374")</f>
        <v>0906-957-8374</v>
      </c>
      <c r="H1072" s="2"/>
      <c r="I1072" s="72" t="str">
        <f>IFERROR(__xludf.DUMMYFUNCTION("""COMPUTED_VALUE"""),"SPARE PARTS ACQUISITION")</f>
        <v>SPARE PARTS ACQUISITION</v>
      </c>
      <c r="J1072" s="72" t="str">
        <f>IFERROR(__xludf.DUMMYFUNCTION("""COMPUTED_VALUE"""),"PARTS REQUEST")</f>
        <v>PARTS REQUEST</v>
      </c>
      <c r="K1072" s="72" t="str">
        <f>IFERROR(__xludf.DUMMYFUNCTION("""COMPUTED_VALUE"""),"PARTS: 
GEAR BEVEL GEAR 49T = 16,800
GEAR, DIFFERENTIAL 14 = 4,000
DIFFERENCIAL PINION GEAR 10 = 2,100")</f>
        <v>PARTS: 
GEAR BEVEL GEAR 49T = 16,800
GEAR, DIFFERENTIAL 14 = 4,000
DIFFERENCIAL PINION GEAR 10 = 2,100</v>
      </c>
      <c r="L1072" s="72" t="str">
        <f>IFERROR(__xludf.DUMMYFUNCTION("""COMPUTED_VALUE"""),"PARTS REQUESTED FOR PO")</f>
        <v>PARTS REQUESTED FOR PO</v>
      </c>
      <c r="M1072" s="2" t="str">
        <f>IFERROR(__xludf.DUMMYFUNCTION("""COMPUTED_VALUE"""),"GEAR BEVEL GEAR 49T = 16,800
GEAR, DIFFERENTIAL 14 = 4,000
DIFFERENCIAL PINION GEAR 10 = 2,100")</f>
        <v>GEAR BEVEL GEAR 49T = 16,800
GEAR, DIFFERENTIAL 14 = 4,000
DIFFERENCIAL PINION GEAR 10 = 2,100</v>
      </c>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t="str">
        <f>IFERROR(__xludf.DUMMYFUNCTION("""COMPUTED_VALUE"""),"Sandoval")</f>
        <v>Sandoval</v>
      </c>
      <c r="AK1072" s="2" t="str">
        <f>IFERROR(__xludf.DUMMYFUNCTION("""COMPUTED_VALUE"""),"Roxas")</f>
        <v>Roxas</v>
      </c>
      <c r="AL1072" s="2" t="str">
        <f>IFERROR(__xludf.DUMMYFUNCTION("""COMPUTED_VALUE"""),"Palawan")</f>
        <v>Palawan</v>
      </c>
      <c r="AM1072" s="2" t="str">
        <f>IFERROR(__xludf.DUMMYFUNCTION("""COMPUTED_VALUE"""),"4B")</f>
        <v>4B</v>
      </c>
      <c r="AN1072" s="2" t="str">
        <f>IFERROR(__xludf.DUMMYFUNCTION("""COMPUTED_VALUE"""),"RCEF 23-08-20 Rebidding")</f>
        <v>RCEF 23-08-20 Rebidding</v>
      </c>
      <c r="AO1072" s="2">
        <f>IFERROR(__xludf.DUMMYFUNCTION("""COMPUTED_VALUE"""),1.0)</f>
        <v>1</v>
      </c>
      <c r="AP1072" s="2"/>
      <c r="AQ1072" s="2"/>
      <c r="AR1072" s="2"/>
      <c r="AS1072" s="2"/>
      <c r="AT1072" s="2"/>
      <c r="AU1072" s="2"/>
      <c r="AV1072" s="2"/>
      <c r="AW1072" s="2"/>
      <c r="AX1072" s="2"/>
      <c r="AY1072" s="2"/>
      <c r="AZ1072" s="2"/>
      <c r="BA1072" s="2"/>
      <c r="BB1072" s="2"/>
    </row>
    <row r="1073">
      <c r="A1073" s="2">
        <f>IFERROR(__xludf.DUMMYFUNCTION("""COMPUTED_VALUE"""),1069.0)</f>
        <v>1069</v>
      </c>
      <c r="B1073" s="2" t="str">
        <f>IFERROR(__xludf.DUMMYFUNCTION("""COMPUTED_VALUE"""),"COMPLETED")</f>
        <v>COMPLETED</v>
      </c>
      <c r="C1073" s="74">
        <f>IFERROR(__xludf.DUMMYFUNCTION("""COMPUTED_VALUE"""),45835.0)</f>
        <v>45835</v>
      </c>
      <c r="D1073" s="71" t="str">
        <f>IFERROR(__xludf.DUMMYFUNCTION("""COMPUTED_VALUE"""),"BARANGAY PAYAPA FARMERS ASSOCIATION")</f>
        <v>BARANGAY PAYAPA FARMERS ASSOCIATION</v>
      </c>
      <c r="E1073" s="71" t="str">
        <f>IFERROR(__xludf.DUMMYFUNCTION("""COMPUTED_VALUE"""),"Payapa, Tagkawayan, Quezon")</f>
        <v>Payapa, Tagkawayan, Quezon</v>
      </c>
      <c r="F1073" s="2" t="str">
        <f>IFERROR(__xludf.DUMMYFUNCTION("""COMPUTED_VALUE"""),"Ruel  Gonzaga ")</f>
        <v>Ruel  Gonzaga </v>
      </c>
      <c r="G1073" s="2" t="str">
        <f>IFERROR(__xludf.DUMMYFUNCTION("""COMPUTED_VALUE"""),"0912 624 3910 ")</f>
        <v>0912 624 3910 </v>
      </c>
      <c r="H1073" s="2"/>
      <c r="I1073" s="72" t="str">
        <f>IFERROR(__xludf.DUMMYFUNCTION("""COMPUTED_VALUE"""),"SPARE PARTS ACQUISITION")</f>
        <v>SPARE PARTS ACQUISITION</v>
      </c>
      <c r="J1073" s="72" t="str">
        <f>IFERROR(__xludf.DUMMYFUNCTION("""COMPUTED_VALUE"""),"PARTS REQUEST")</f>
        <v>PARTS REQUEST</v>
      </c>
      <c r="K1073" s="72" t="str">
        <f>IFERROR(__xludf.DUMMYFUNCTION("""COMPUTED_VALUE"""),"KFS: Bevel Gear 24T 
Hydraulic hose from loader control to back inplements..")</f>
        <v>KFS: Bevel Gear 24T 
Hydraulic hose from loader control to back inplements..</v>
      </c>
      <c r="L1073" s="72" t="str">
        <f>IFERROR(__xludf.DUMMYFUNCTION("""COMPUTED_VALUE"""),"JTT: DELIVERED PARTS : 
1-PINION GEAR 11T
1-BEVEL GEAR 24T
2- TAPER ROLLER BEARING #32211
1-HARD LOCK NUT")</f>
        <v>JTT: DELIVERED PARTS : 
1-PINION GEAR 11T
1-BEVEL GEAR 24T
2- TAPER ROLLER BEARING #32211
1-HARD LOCK NUT</v>
      </c>
      <c r="M1073" s="2"/>
      <c r="N1073" s="2" t="str">
        <f>IFERROR(__xludf.DUMMYFUNCTION("""COMPUTED_VALUE"""),"PARTS
1-PINION GEAR 11T
1-BEVEL GEAR 24T
2- TAPER ROLLER BEARING #32211
1-HARD LOCK NUT")</f>
        <v>PARTS
1-PINION GEAR 11T
1-BEVEL GEAR 24T
2- TAPER ROLLER BEARING #32211
1-HARD LOCK NUT</v>
      </c>
      <c r="O1073" s="2" t="str">
        <f>IFERROR(__xludf.DUMMYFUNCTION("""COMPUTED_VALUE"""),"NEED SERVICE REPORT")</f>
        <v>NEED SERVICE REPORT</v>
      </c>
      <c r="P1073" s="2"/>
      <c r="Q1073" s="2"/>
      <c r="R1073" s="74">
        <f>IFERROR(__xludf.DUMMYFUNCTION("""COMPUTED_VALUE"""),45846.0)</f>
        <v>45846</v>
      </c>
      <c r="S1073" s="2" t="str">
        <f>IFERROR(__xludf.DUMMYFUNCTION("""COMPUTED_VALUE"""),"JTT")</f>
        <v>JTT</v>
      </c>
      <c r="T1073" s="73">
        <f>IFERROR(__xludf.DUMMYFUNCTION("""COMPUTED_VALUE"""),25100.0)</f>
        <v>25100</v>
      </c>
      <c r="U1073" s="73" t="str">
        <f>IFERROR(__xludf.DUMMYFUNCTION("""COMPUTED_VALUE""")," REMITTED ")</f>
        <v>REMITTED</v>
      </c>
      <c r="V1073" s="2"/>
      <c r="W1073" s="2">
        <f>IFERROR(__xludf.DUMMYFUNCTION("""COMPUTED_VALUE"""),1245.0)</f>
        <v>1245</v>
      </c>
      <c r="X1073" s="2">
        <f>IFERROR(__xludf.DUMMYFUNCTION("""COMPUTED_VALUE"""),1521.0)</f>
        <v>1521</v>
      </c>
      <c r="Y1073" s="2" t="str">
        <f>IFERROR(__xludf.DUMMYFUNCTION("""COMPUTED_VALUE"""),"300 - BALANCE FOR COLLECTION KAY FARMER / C/O JTT")</f>
        <v>300 - BALANCE FOR COLLECTION KAY FARMER / C/O JTT</v>
      </c>
      <c r="Z1073" s="2"/>
      <c r="AA1073" s="2"/>
      <c r="AB1073" s="2"/>
      <c r="AC1073" s="2"/>
      <c r="AD1073" s="2"/>
      <c r="AE1073" s="2"/>
      <c r="AF1073" s="2"/>
      <c r="AG1073" s="2"/>
      <c r="AH1073" s="2"/>
      <c r="AI1073" s="2"/>
      <c r="AJ1073" s="2" t="str">
        <f>IFERROR(__xludf.DUMMYFUNCTION("""COMPUTED_VALUE"""),"Payapa")</f>
        <v>Payapa</v>
      </c>
      <c r="AK1073" s="2" t="str">
        <f>IFERROR(__xludf.DUMMYFUNCTION("""COMPUTED_VALUE"""),"Tagkawayan")</f>
        <v>Tagkawayan</v>
      </c>
      <c r="AL1073" s="2" t="str">
        <f>IFERROR(__xludf.DUMMYFUNCTION("""COMPUTED_VALUE"""),"Quezon")</f>
        <v>Quezon</v>
      </c>
      <c r="AM1073" s="2" t="str">
        <f>IFERROR(__xludf.DUMMYFUNCTION("""COMPUTED_VALUE"""),"4A")</f>
        <v>4A</v>
      </c>
      <c r="AN1073" s="2" t="str">
        <f>IFERROR(__xludf.DUMMYFUNCTION("""COMPUTED_VALUE"""),"RCEF 23-08-20 Rebidding")</f>
        <v>RCEF 23-08-20 Rebidding</v>
      </c>
      <c r="AO1073" s="2">
        <f>IFERROR(__xludf.DUMMYFUNCTION("""COMPUTED_VALUE"""),1.0)</f>
        <v>1</v>
      </c>
      <c r="AP1073" s="2"/>
      <c r="AQ1073" s="2"/>
      <c r="AR1073" s="2"/>
      <c r="AS1073" s="2"/>
      <c r="AT1073" s="2"/>
      <c r="AU1073" s="2"/>
      <c r="AV1073" s="2"/>
      <c r="AW1073" s="2"/>
      <c r="AX1073" s="2"/>
      <c r="AY1073" s="2"/>
      <c r="AZ1073" s="2"/>
      <c r="BA1073" s="2"/>
      <c r="BB1073" s="2"/>
    </row>
    <row r="1074">
      <c r="A1074" s="2">
        <f>IFERROR(__xludf.DUMMYFUNCTION("""COMPUTED_VALUE"""),1070.0)</f>
        <v>1070</v>
      </c>
      <c r="B1074" s="2" t="str">
        <f>IFERROR(__xludf.DUMMYFUNCTION("""COMPUTED_VALUE"""),"COMPLETED")</f>
        <v>COMPLETED</v>
      </c>
      <c r="C1074" s="74">
        <f>IFERROR(__xludf.DUMMYFUNCTION("""COMPUTED_VALUE"""),45835.0)</f>
        <v>45835</v>
      </c>
      <c r="D1074" s="71" t="str">
        <f>IFERROR(__xludf.DUMMYFUNCTION("""COMPUTED_VALUE"""),"SANTIAGO RICEUP FARMERS ASSOCIATION")</f>
        <v>SANTIAGO RICEUP FARMERS ASSOCIATION</v>
      </c>
      <c r="E1074" s="71" t="str">
        <f>IFERROR(__xludf.DUMMYFUNCTION("""COMPUTED_VALUE"""),"Santiago, Lubao, PAMPANGA")</f>
        <v>Santiago, Lubao, PAMPANGA</v>
      </c>
      <c r="F1074" s="2" t="str">
        <f>IFERROR(__xludf.DUMMYFUNCTION("""COMPUTED_VALUE"""),"GEMMA GUTIERREZ")</f>
        <v>GEMMA GUTIERREZ</v>
      </c>
      <c r="G1074" s="2">
        <f>IFERROR(__xludf.DUMMYFUNCTION("""COMPUTED_VALUE"""),9.198512719E9)</f>
        <v>9198512719</v>
      </c>
      <c r="H1074" s="2">
        <f>IFERROR(__xludf.DUMMYFUNCTION("""COMPUTED_VALUE"""),340.0)</f>
        <v>340</v>
      </c>
      <c r="I1074" s="72" t="str">
        <f>IFERROR(__xludf.DUMMYFUNCTION("""COMPUTED_VALUE"""),"PMS")</f>
        <v>PMS</v>
      </c>
      <c r="J1074" s="72" t="str">
        <f>IFERROR(__xludf.DUMMYFUNCTION("""COMPUTED_VALUE"""),"PMS")</f>
        <v>PMS</v>
      </c>
      <c r="K1074" s="72" t="str">
        <f>IFERROR(__xludf.DUMMYFUNCTION("""COMPUTED_VALUE"""),"MYK: 2ND PMS")</f>
        <v>MYK: 2ND PMS</v>
      </c>
      <c r="L1074" s="72" t="str">
        <f>IFERROR(__xludf.DUMMYFUNCTION("""COMPUTED_VALUE"""),"EGT: GENERAL PMS DONE")</f>
        <v>EGT: GENERAL PMS DONE</v>
      </c>
      <c r="M1074" s="2"/>
      <c r="N1074" s="2" t="str">
        <f>IFERROR(__xludf.DUMMYFUNCTION("""COMPUTED_VALUE"""),"PARTS: OIL FILTER, HYDRAULIC FILTER")</f>
        <v>PARTS: OIL FILTER, HYDRAULIC FILTER</v>
      </c>
      <c r="O1074" s="2">
        <f>IFERROR(__xludf.DUMMYFUNCTION("""COMPUTED_VALUE"""),1139.0)</f>
        <v>1139</v>
      </c>
      <c r="P1074" s="2"/>
      <c r="Q1074" s="2" t="str">
        <f>IFERROR(__xludf.DUMMYFUNCTION("""COMPUTED_VALUE"""),"y")</f>
        <v>y</v>
      </c>
      <c r="R1074" s="74">
        <f>IFERROR(__xludf.DUMMYFUNCTION("""COMPUTED_VALUE"""),45841.0)</f>
        <v>45841</v>
      </c>
      <c r="S1074" s="2" t="str">
        <f>IFERROR(__xludf.DUMMYFUNCTION("""COMPUTED_VALUE"""),"EGT/DRM")</f>
        <v>EGT/DRM</v>
      </c>
      <c r="T1074" s="73">
        <f>IFERROR(__xludf.DUMMYFUNCTION("""COMPUTED_VALUE"""),4400.0)</f>
        <v>4400</v>
      </c>
      <c r="U1074" s="73" t="str">
        <f>IFERROR(__xludf.DUMMYFUNCTION("""COMPUTED_VALUE""")," REMITTED ")</f>
        <v>REMITTED</v>
      </c>
      <c r="V1074" s="2"/>
      <c r="W1074" s="2">
        <f>IFERROR(__xludf.DUMMYFUNCTION("""COMPUTED_VALUE"""),1654.0)</f>
        <v>1654</v>
      </c>
      <c r="X1074" s="2">
        <f>IFERROR(__xludf.DUMMYFUNCTION("""COMPUTED_VALUE"""),1527.0)</f>
        <v>1527</v>
      </c>
      <c r="Y1074" s="2"/>
      <c r="Z1074" s="2"/>
      <c r="AA1074" s="2"/>
      <c r="AB1074" s="2"/>
      <c r="AC1074" s="2"/>
      <c r="AD1074" s="2"/>
      <c r="AE1074" s="2"/>
      <c r="AF1074" s="2"/>
      <c r="AG1074" s="2"/>
      <c r="AH1074" s="2"/>
      <c r="AI1074" s="2"/>
      <c r="AJ1074" s="2" t="str">
        <f>IFERROR(__xludf.DUMMYFUNCTION("""COMPUTED_VALUE"""),"Santiago")</f>
        <v>Santiago</v>
      </c>
      <c r="AK1074" s="2" t="str">
        <f>IFERROR(__xludf.DUMMYFUNCTION("""COMPUTED_VALUE"""),"Lubao")</f>
        <v>Lubao</v>
      </c>
      <c r="AL1074" s="2" t="str">
        <f>IFERROR(__xludf.DUMMYFUNCTION("""COMPUTED_VALUE"""),"Pampanga")</f>
        <v>Pampanga</v>
      </c>
      <c r="AM1074" s="2">
        <f>IFERROR(__xludf.DUMMYFUNCTION("""COMPUTED_VALUE"""),3.0)</f>
        <v>3</v>
      </c>
      <c r="AN1074" s="2" t="str">
        <f>IFERROR(__xludf.DUMMYFUNCTION("""COMPUTED_VALUE"""),"RCEF 24-04-15")</f>
        <v>RCEF 24-04-15</v>
      </c>
      <c r="AO1074" s="2">
        <f>IFERROR(__xludf.DUMMYFUNCTION("""COMPUTED_VALUE"""),6.0)</f>
        <v>6</v>
      </c>
      <c r="AP1074" s="2" t="str">
        <f>IFERROR(__xludf.DUMMYFUNCTION("""COMPUTED_VALUE"""),"FREE PMS")</f>
        <v>FREE PMS</v>
      </c>
      <c r="AQ1074" s="2"/>
      <c r="AR1074" s="2"/>
      <c r="AS1074" s="2"/>
      <c r="AT1074" s="2"/>
      <c r="AU1074" s="2"/>
      <c r="AV1074" s="2"/>
      <c r="AW1074" s="2"/>
      <c r="AX1074" s="2"/>
      <c r="AY1074" s="2"/>
      <c r="AZ1074" s="2"/>
      <c r="BA1074" s="2"/>
      <c r="BB1074" s="2"/>
    </row>
    <row r="1075">
      <c r="A1075" s="2">
        <f>IFERROR(__xludf.DUMMYFUNCTION("""COMPUTED_VALUE"""),1071.0)</f>
        <v>1071</v>
      </c>
      <c r="B1075" s="2" t="str">
        <f>IFERROR(__xludf.DUMMYFUNCTION("""COMPUTED_VALUE"""),"COMPLETED")</f>
        <v>COMPLETED</v>
      </c>
      <c r="C1075" s="74">
        <f>IFERROR(__xludf.DUMMYFUNCTION("""COMPUTED_VALUE"""),45836.0)</f>
        <v>45836</v>
      </c>
      <c r="D1075" s="71" t="str">
        <f>IFERROR(__xludf.DUMMYFUNCTION("""COMPUTED_VALUE"""),"SAN CRISTOBAL FARMERS IRRIGATORS' ASSOCIATION, INC.")</f>
        <v>SAN CRISTOBAL FARMERS IRRIGATORS' ASSOCIATION, INC.</v>
      </c>
      <c r="E1075" s="71" t="str">
        <f>IFERROR(__xludf.DUMMYFUNCTION("""COMPUTED_VALUE"""),"San Cristobal, Licab, NUEVA ECIJA")</f>
        <v>San Cristobal, Licab, NUEVA ECIJA</v>
      </c>
      <c r="F1075" s="2" t="str">
        <f>IFERROR(__xludf.DUMMYFUNCTION("""COMPUTED_VALUE"""),"ALFREDO M LOZANO")</f>
        <v>ALFREDO M LOZANO</v>
      </c>
      <c r="G1075" s="2">
        <f>IFERROR(__xludf.DUMMYFUNCTION("""COMPUTED_VALUE"""),9.506409554E9)</f>
        <v>9506409554</v>
      </c>
      <c r="H1075" s="2">
        <f>IFERROR(__xludf.DUMMYFUNCTION("""COMPUTED_VALUE"""),478.0)</f>
        <v>478</v>
      </c>
      <c r="I1075" s="72" t="str">
        <f>IFERROR(__xludf.DUMMYFUNCTION("""COMPUTED_VALUE"""),"REPAIR - ROTAVATOR")</f>
        <v>REPAIR - ROTAVATOR</v>
      </c>
      <c r="J1075" s="72" t="str">
        <f>IFERROR(__xludf.DUMMYFUNCTION("""COMPUTED_VALUE"""),"Gearbox")</f>
        <v>Gearbox</v>
      </c>
      <c r="K1075" s="72" t="str">
        <f>IFERROR(__xludf.DUMMYFUNCTION("""COMPUTED_VALUE"""),"CTF: 
nag papa schedule po si farmer ng service para po sa pag kabit ng bevel at pinion Gear.")</f>
        <v>CTF: 
nag papa schedule po si farmer ng service para po sa pag kabit ng bevel at pinion Gear.</v>
      </c>
      <c r="L1075" s="72" t="str">
        <f>IFERROR(__xludf.DUMMYFUNCTION("""COMPUTED_VALUE"""),"ECM: Ok na din ung Licab napagawa na daw hindi pupuntahan")</f>
        <v>ECM: Ok na din ung Licab napagawa na daw hindi pupuntahan</v>
      </c>
      <c r="M1075" s="2"/>
      <c r="N1075" s="2"/>
      <c r="O1075" s="2" t="str">
        <f>IFERROR(__xludf.DUMMYFUNCTION("""COMPUTED_VALUE"""),"N/A")</f>
        <v>N/A</v>
      </c>
      <c r="P1075" s="2"/>
      <c r="Q1075" s="2"/>
      <c r="R1075" s="74">
        <f>IFERROR(__xludf.DUMMYFUNCTION("""COMPUTED_VALUE"""),45841.0)</f>
        <v>45841</v>
      </c>
      <c r="S1075" s="2" t="str">
        <f>IFERROR(__xludf.DUMMYFUNCTION("""COMPUTED_VALUE"""),"ECM")</f>
        <v>ECM</v>
      </c>
      <c r="T1075" s="73" t="str">
        <f>IFERROR(__xludf.DUMMYFUNCTION("""COMPUTED_VALUE""")," N/A ")</f>
        <v>N/A</v>
      </c>
      <c r="U1075" s="73" t="str">
        <f>IFERROR(__xludf.DUMMYFUNCTION("""COMPUTED_VALUE""")," NO CHARGE ")</f>
        <v>NO CHARGE</v>
      </c>
      <c r="V1075" s="2"/>
      <c r="W1075" s="2" t="str">
        <f>IFERROR(__xludf.DUMMYFUNCTION("""COMPUTED_VALUE"""),"N/A")</f>
        <v>N/A</v>
      </c>
      <c r="X1075" s="2" t="str">
        <f>IFERROR(__xludf.DUMMYFUNCTION("""COMPUTED_VALUE"""),"N/A")</f>
        <v>N/A</v>
      </c>
      <c r="Y1075" s="2"/>
      <c r="Z1075" s="2"/>
      <c r="AA1075" s="2"/>
      <c r="AB1075" s="2"/>
      <c r="AC1075" s="2"/>
      <c r="AD1075" s="2"/>
      <c r="AE1075" s="2"/>
      <c r="AF1075" s="2"/>
      <c r="AG1075" s="2"/>
      <c r="AH1075" s="2"/>
      <c r="AI1075" s="2"/>
      <c r="AJ1075" s="2" t="str">
        <f>IFERROR(__xludf.DUMMYFUNCTION("""COMPUTED_VALUE"""),"San Cristobal")</f>
        <v>San Cristobal</v>
      </c>
      <c r="AK1075" s="2" t="str">
        <f>IFERROR(__xludf.DUMMYFUNCTION("""COMPUTED_VALUE"""),"Licab")</f>
        <v>Licab</v>
      </c>
      <c r="AL1075" s="2" t="str">
        <f>IFERROR(__xludf.DUMMYFUNCTION("""COMPUTED_VALUE"""),"Nueva Ecija")</f>
        <v>Nueva Ecija</v>
      </c>
      <c r="AM1075" s="2">
        <f>IFERROR(__xludf.DUMMYFUNCTION("""COMPUTED_VALUE"""),3.0)</f>
        <v>3</v>
      </c>
      <c r="AN1075" s="2" t="str">
        <f>IFERROR(__xludf.DUMMYFUNCTION("""COMPUTED_VALUE"""),"RCEF 23-09-21 Rebidding")</f>
        <v>RCEF 23-09-21 Rebidding</v>
      </c>
      <c r="AO1075" s="2">
        <f>IFERROR(__xludf.DUMMYFUNCTION("""COMPUTED_VALUE"""),3.0)</f>
        <v>3</v>
      </c>
      <c r="AP1075" s="2"/>
      <c r="AQ1075" s="2"/>
      <c r="AR1075" s="2"/>
      <c r="AS1075" s="2"/>
      <c r="AT1075" s="2"/>
      <c r="AU1075" s="2"/>
      <c r="AV1075" s="2"/>
      <c r="AW1075" s="2"/>
      <c r="AX1075" s="2"/>
      <c r="AY1075" s="2"/>
      <c r="AZ1075" s="2"/>
      <c r="BA1075" s="2"/>
      <c r="BB1075" s="2"/>
    </row>
    <row r="1076">
      <c r="A1076" s="2">
        <f>IFERROR(__xludf.DUMMYFUNCTION("""COMPUTED_VALUE"""),1072.0)</f>
        <v>1072</v>
      </c>
      <c r="B1076" s="2" t="str">
        <f>IFERROR(__xludf.DUMMYFUNCTION("""COMPUTED_VALUE"""),"COMPLETED")</f>
        <v>COMPLETED</v>
      </c>
      <c r="C1076" s="74">
        <f>IFERROR(__xludf.DUMMYFUNCTION("""COMPUTED_VALUE"""),45838.0)</f>
        <v>45838</v>
      </c>
      <c r="D1076" s="71" t="str">
        <f>IFERROR(__xludf.DUMMYFUNCTION("""COMPUTED_VALUE"""),"Municipal Local Government Unit of QUEZON")</f>
        <v>Municipal Local Government Unit of QUEZON</v>
      </c>
      <c r="E1076" s="71" t="str">
        <f>IFERROR(__xludf.DUMMYFUNCTION("""COMPUTED_VALUE"""),"Dulong Bayan, Quezon, Nueva Ecija")</f>
        <v>Dulong Bayan, Quezon, Nueva Ecija</v>
      </c>
      <c r="F1076" s="2" t="str">
        <f>IFERROR(__xludf.DUMMYFUNCTION("""COMPUTED_VALUE"""),"PERCIVAL DE GUZMAN ")</f>
        <v>PERCIVAL DE GUZMAN </v>
      </c>
      <c r="G1076" s="2">
        <f>IFERROR(__xludf.DUMMYFUNCTION("""COMPUTED_VALUE"""),9.174556826E9)</f>
        <v>9174556826</v>
      </c>
      <c r="H1076" s="2">
        <f>IFERROR(__xludf.DUMMYFUNCTION("""COMPUTED_VALUE"""),154.0)</f>
        <v>154</v>
      </c>
      <c r="I1076" s="72" t="str">
        <f>IFERROR(__xludf.DUMMYFUNCTION("""COMPUTED_VALUE"""),"PMS")</f>
        <v>PMS</v>
      </c>
      <c r="J1076" s="72" t="str">
        <f>IFERROR(__xludf.DUMMYFUNCTION("""COMPUTED_VALUE"""),"PMS")</f>
        <v>PMS</v>
      </c>
      <c r="K1076" s="72" t="str">
        <f>IFERROR(__xludf.DUMMYFUNCTION("""COMPUTED_VALUE"""),"KMC5825 AVRFPV0541
1ST PMS (WARRANTY)")</f>
        <v>KMC5825 AVRFPV0541
1ST PMS (WARRANTY)</v>
      </c>
      <c r="L1076" s="72" t="str">
        <f>IFERROR(__xludf.DUMMYFUNCTION("""COMPUTED_VALUE"""),"EGT: 1ST PMS DONE")</f>
        <v>EGT: 1ST PMS DONE</v>
      </c>
      <c r="M1076" s="2"/>
      <c r="N1076" s="2" t="str">
        <f>IFERROR(__xludf.DUMMYFUNCTION("""COMPUTED_VALUE"""),"PARTS: OIL FILTER, ENGINE OIL")</f>
        <v>PARTS: OIL FILTER, ENGINE OIL</v>
      </c>
      <c r="O1076" s="2">
        <f>IFERROR(__xludf.DUMMYFUNCTION("""COMPUTED_VALUE"""),1138.0)</f>
        <v>1138</v>
      </c>
      <c r="P1076" s="2"/>
      <c r="Q1076" s="2" t="str">
        <f>IFERROR(__xludf.DUMMYFUNCTION("""COMPUTED_VALUE"""),"Y")</f>
        <v>Y</v>
      </c>
      <c r="R1076" s="74">
        <f>IFERROR(__xludf.DUMMYFUNCTION("""COMPUTED_VALUE"""),45838.0)</f>
        <v>45838</v>
      </c>
      <c r="S1076" s="2" t="str">
        <f>IFERROR(__xludf.DUMMYFUNCTION("""COMPUTED_VALUE"""),"EGT/DRM")</f>
        <v>EGT/DRM</v>
      </c>
      <c r="T1076" s="73" t="str">
        <f>IFERROR(__xludf.DUMMYFUNCTION("""COMPUTED_VALUE""")," N/A ")</f>
        <v>N/A</v>
      </c>
      <c r="U1076" s="73" t="str">
        <f>IFERROR(__xludf.DUMMYFUNCTION("""COMPUTED_VALUE""")," NO CHARGE ")</f>
        <v>NO CHARGE</v>
      </c>
      <c r="V1076" s="2"/>
      <c r="W1076" s="2" t="str">
        <f>IFERROR(__xludf.DUMMYFUNCTION("""COMPUTED_VALUE"""),"N/A")</f>
        <v>N/A</v>
      </c>
      <c r="X1076" s="2" t="str">
        <f>IFERROR(__xludf.DUMMYFUNCTION("""COMPUTED_VALUE"""),"N/A")</f>
        <v>N/A</v>
      </c>
      <c r="Y1076" s="2"/>
      <c r="Z1076" s="2"/>
      <c r="AA1076" s="2"/>
      <c r="AB1076" s="2"/>
      <c r="AC1076" s="2"/>
      <c r="AD1076" s="2"/>
      <c r="AE1076" s="2"/>
      <c r="AF1076" s="2"/>
      <c r="AG1076" s="2"/>
      <c r="AH1076" s="2"/>
      <c r="AI1076" s="2" t="str">
        <f>IFERROR(__xludf.DUMMYFUNCTION("""COMPUTED_VALUE"""),"KMC5825 AVRFPV0541")</f>
        <v>KMC5825 AVRFPV0541</v>
      </c>
      <c r="AJ1076" s="2" t="str">
        <f>IFERROR(__xludf.DUMMYFUNCTION("""COMPUTED_VALUE"""),"Dulong Bayan")</f>
        <v>Dulong Bayan</v>
      </c>
      <c r="AK1076" s="2" t="str">
        <f>IFERROR(__xludf.DUMMYFUNCTION("""COMPUTED_VALUE"""),"Quezon")</f>
        <v>Quezon</v>
      </c>
      <c r="AL1076" s="2" t="str">
        <f>IFERROR(__xludf.DUMMYFUNCTION("""COMPUTED_VALUE"""),"Nueva Ecija")</f>
        <v>Nueva Ecija</v>
      </c>
      <c r="AM1076" s="2">
        <f>IFERROR(__xludf.DUMMYFUNCTION("""COMPUTED_VALUE"""),3.0)</f>
        <v>3</v>
      </c>
      <c r="AN1076" s="2" t="str">
        <f>IFERROR(__xludf.DUMMYFUNCTION("""COMPUTED_VALUE"""),"RCEF 23-09-21 Rebidding")</f>
        <v>RCEF 23-09-21 Rebidding</v>
      </c>
      <c r="AO1076" s="2">
        <f>IFERROR(__xludf.DUMMYFUNCTION("""COMPUTED_VALUE"""),3.0)</f>
        <v>3</v>
      </c>
      <c r="AP1076" s="2"/>
      <c r="AQ1076" s="2"/>
      <c r="AR1076" s="2"/>
      <c r="AS1076" s="2"/>
      <c r="AT1076" s="2"/>
      <c r="AU1076" s="2"/>
      <c r="AV1076" s="2"/>
      <c r="AW1076" s="2"/>
      <c r="AX1076" s="2"/>
      <c r="AY1076" s="2"/>
      <c r="AZ1076" s="2"/>
      <c r="BA1076" s="2"/>
      <c r="BB1076" s="2"/>
    </row>
    <row r="1077">
      <c r="A1077" s="2">
        <f>IFERROR(__xludf.DUMMYFUNCTION("""COMPUTED_VALUE"""),1073.0)</f>
        <v>1073</v>
      </c>
      <c r="B1077" s="2" t="str">
        <f>IFERROR(__xludf.DUMMYFUNCTION("""COMPUTED_VALUE"""),"COMPLETED")</f>
        <v>COMPLETED</v>
      </c>
      <c r="C1077" s="74">
        <f>IFERROR(__xludf.DUMMYFUNCTION("""COMPUTED_VALUE"""),45838.0)</f>
        <v>45838</v>
      </c>
      <c r="D1077" s="71" t="str">
        <f>IFERROR(__xludf.DUMMYFUNCTION("""COMPUTED_VALUE"""),"Malinao Farmer Association")</f>
        <v>Malinao Farmer Association</v>
      </c>
      <c r="E1077" s="71" t="str">
        <f>IFERROR(__xludf.DUMMYFUNCTION("""COMPUTED_VALUE"""),"Malinao, Santa Cruz, LAGUNA")</f>
        <v>Malinao, Santa Cruz, LAGUNA</v>
      </c>
      <c r="F1077" s="2" t="str">
        <f>IFERROR(__xludf.DUMMYFUNCTION("""COMPUTED_VALUE"""),"benjamin tobias")</f>
        <v>benjamin tobias</v>
      </c>
      <c r="G1077" s="2" t="str">
        <f>IFERROR(__xludf.DUMMYFUNCTION("""COMPUTED_VALUE"""),"0995-2661928")</f>
        <v>0995-2661928</v>
      </c>
      <c r="H1077" s="2"/>
      <c r="I1077" s="72" t="str">
        <f>IFERROR(__xludf.DUMMYFUNCTION("""COMPUTED_VALUE"""),"REPAIR - TRACTOR")</f>
        <v>REPAIR - TRACTOR</v>
      </c>
      <c r="J1077" s="72" t="str">
        <f>IFERROR(__xludf.DUMMYFUNCTION("""COMPUTED_VALUE"""),"RADIATOR")</f>
        <v>RADIATOR</v>
      </c>
      <c r="K1077" s="72" t="str">
        <f>IFERROR(__xludf.DUMMYFUNCTION("""COMPUTED_VALUE"""),"KFS: may nag leak daw na langis sa unit
JTT:  MAY TAPAL NA ANG RADIATOR,")</f>
        <v>KFS: may nag leak daw na langis sa unit
JTT:  MAY TAPAL NA ANG RADIATOR,</v>
      </c>
      <c r="L1077" s="72" t="str">
        <f>IFERROR(__xludf.DUMMYFUNCTION("""COMPUTED_VALUE"""),"JTT: 1ST PMS DONE")</f>
        <v>JTT: 1ST PMS DONE</v>
      </c>
      <c r="M1077" s="2"/>
      <c r="N1077" s="2"/>
      <c r="O1077" s="2" t="str">
        <f>IFERROR(__xludf.DUMMYFUNCTION("""COMPUTED_VALUE"""),"NEED SERVICE REPORT")</f>
        <v>NEED SERVICE REPORT</v>
      </c>
      <c r="P1077" s="2"/>
      <c r="Q1077" s="2"/>
      <c r="R1077" s="74">
        <f>IFERROR(__xludf.DUMMYFUNCTION("""COMPUTED_VALUE"""),45838.0)</f>
        <v>45838</v>
      </c>
      <c r="S1077" s="2" t="str">
        <f>IFERROR(__xludf.DUMMYFUNCTION("""COMPUTED_VALUE"""),"JTT")</f>
        <v>JTT</v>
      </c>
      <c r="T1077" s="73" t="str">
        <f>IFERROR(__xludf.DUMMYFUNCTION("""COMPUTED_VALUE""")," N/A ")</f>
        <v>N/A</v>
      </c>
      <c r="U1077" s="73" t="str">
        <f>IFERROR(__xludf.DUMMYFUNCTION("""COMPUTED_VALUE""")," NO CHARGE ")</f>
        <v>NO CHARGE</v>
      </c>
      <c r="V1077" s="2"/>
      <c r="W1077" s="2" t="str">
        <f>IFERROR(__xludf.DUMMYFUNCTION("""COMPUTED_VALUE"""),"N/A")</f>
        <v>N/A</v>
      </c>
      <c r="X1077" s="2" t="str">
        <f>IFERROR(__xludf.DUMMYFUNCTION("""COMPUTED_VALUE"""),"N/A")</f>
        <v>N/A</v>
      </c>
      <c r="Y1077" s="2"/>
      <c r="Z1077" s="2"/>
      <c r="AA1077" s="2"/>
      <c r="AB1077" s="2"/>
      <c r="AC1077" s="2"/>
      <c r="AD1077" s="2"/>
      <c r="AE1077" s="2"/>
      <c r="AF1077" s="2"/>
      <c r="AG1077" s="2"/>
      <c r="AH1077" s="2"/>
      <c r="AI1077" s="2"/>
      <c r="AJ1077" s="2" t="str">
        <f>IFERROR(__xludf.DUMMYFUNCTION("""COMPUTED_VALUE"""),"Malinao")</f>
        <v>Malinao</v>
      </c>
      <c r="AK1077" s="2" t="str">
        <f>IFERROR(__xludf.DUMMYFUNCTION("""COMPUTED_VALUE"""),"Santa Cruz")</f>
        <v>Santa Cruz</v>
      </c>
      <c r="AL1077" s="2" t="str">
        <f>IFERROR(__xludf.DUMMYFUNCTION("""COMPUTED_VALUE"""),"Laguna")</f>
        <v>Laguna</v>
      </c>
      <c r="AM1077" s="2" t="str">
        <f>IFERROR(__xludf.DUMMYFUNCTION("""COMPUTED_VALUE"""),"4A")</f>
        <v>4A</v>
      </c>
      <c r="AN1077" s="2" t="str">
        <f>IFERROR(__xludf.DUMMYFUNCTION("""COMPUTED_VALUE"""),"RCEF 24-04-15")</f>
        <v>RCEF 24-04-15</v>
      </c>
      <c r="AO1077" s="2">
        <f>IFERROR(__xludf.DUMMYFUNCTION("""COMPUTED_VALUE"""),7.0)</f>
        <v>7</v>
      </c>
      <c r="AP1077" s="2" t="str">
        <f>IFERROR(__xludf.DUMMYFUNCTION("""COMPUTED_VALUE"""),"FREE PMS")</f>
        <v>FREE PMS</v>
      </c>
      <c r="AQ1077" s="2"/>
      <c r="AR1077" s="2"/>
      <c r="AS1077" s="2"/>
      <c r="AT1077" s="2"/>
      <c r="AU1077" s="2"/>
      <c r="AV1077" s="2"/>
      <c r="AW1077" s="2"/>
      <c r="AX1077" s="2"/>
      <c r="AY1077" s="2"/>
      <c r="AZ1077" s="2"/>
      <c r="BA1077" s="2"/>
      <c r="BB1077" s="2"/>
    </row>
    <row r="1078">
      <c r="A1078" s="2">
        <f>IFERROR(__xludf.DUMMYFUNCTION("""COMPUTED_VALUE"""),1074.0)</f>
        <v>1074</v>
      </c>
      <c r="B1078" s="2" t="str">
        <f>IFERROR(__xludf.DUMMYFUNCTION("""COMPUTED_VALUE"""),"COMPLETED")</f>
        <v>COMPLETED</v>
      </c>
      <c r="C1078" s="74">
        <f>IFERROR(__xludf.DUMMYFUNCTION("""COMPUTED_VALUE"""),45838.0)</f>
        <v>45838</v>
      </c>
      <c r="D1078" s="71" t="str">
        <f>IFERROR(__xludf.DUMMYFUNCTION("""COMPUTED_VALUE"""),"KABANKALAN CITY, BRGY. LINAO FARMERS IRRIGATORS' ASSOCIATION, INC")</f>
        <v>KABANKALAN CITY, BRGY. LINAO FARMERS IRRIGATORS' ASSOCIATION, INC</v>
      </c>
      <c r="E1078" s="71" t="str">
        <f>IFERROR(__xludf.DUMMYFUNCTION("""COMPUTED_VALUE"""),"Linao, Kabankalan City, NEGROS OCCIDENTAL")</f>
        <v>Linao, Kabankalan City, NEGROS OCCIDENTAL</v>
      </c>
      <c r="F1078" s="2" t="str">
        <f>IFERROR(__xludf.DUMMYFUNCTION("""COMPUTED_VALUE"""),"Mickmick Pagunsan Latoza")</f>
        <v>Mickmick Pagunsan Latoza</v>
      </c>
      <c r="G1078" s="2"/>
      <c r="H1078" s="2"/>
      <c r="I1078" s="72" t="str">
        <f>IFERROR(__xludf.DUMMYFUNCTION("""COMPUTED_VALUE"""),"SPARE PARTS ACQUISITION")</f>
        <v>SPARE PARTS ACQUISITION</v>
      </c>
      <c r="J1078" s="72" t="str">
        <f>IFERROR(__xludf.DUMMYFUNCTION("""COMPUTED_VALUE"""),"PARTS REQUEST")</f>
        <v>PARTS REQUEST</v>
      </c>
      <c r="K1078" s="72" t="str">
        <f>IFERROR(__xludf.DUMMYFUNCTION("""COMPUTED_VALUE"""),"ERP: Coupling 2pcs , front drive pinion 1pc. At front drive oil seal 1pc.
PARTS: 
2- COUPLING (R) (NT15080000)
1- PIN, SPRING (22351-040036)
1-SHAFT (TA00015872)
1-RING GEAR ASSY (TA00033454)
1-OIL SEAL (24421-405508)
")</f>
        <v>ERP: Coupling 2pcs , front drive pinion 1pc. At front drive oil seal 1pc.
PARTS: 
2- COUPLING (R) (NT15080000)
1- PIN, SPRING (22351-040036)
1-SHAFT (TA00015872)
1-RING GEAR ASSY (TA00033454)
1-OIL SEAL (24421-405508)
</v>
      </c>
      <c r="L1078" s="72" t="str">
        <f>IFERROR(__xludf.DUMMYFUNCTION("""COMPUTED_VALUE"""),"QUOTATION SENT: PAID: PARTS REQUESTEDTO FIT COREA: PAID: FOR SHIPPING:")</f>
        <v>QUOTATION SENT: PAID: PARTS REQUESTEDTO FIT COREA: PAID: FOR SHIPPING:</v>
      </c>
      <c r="M1078" s="2"/>
      <c r="N1078" s="2" t="str">
        <f>IFERROR(__xludf.DUMMYFUNCTION("""COMPUTED_VALUE"""),"PARTS: 
2- COUPLING (R) (NT15080000)
1- PIN, SPRING (22351-040036)
1-RING GEAR ASSY (TA00033454)
1-OIL SEAL (24421-405508)
")</f>
        <v>PARTS: 
2- COUPLING (R) (NT15080000)
1- PIN, SPRING (22351-040036)
1-RING GEAR ASSY (TA00033454)
1-OIL SEAL (24421-405508)
</v>
      </c>
      <c r="O1078" s="2" t="str">
        <f>IFERROR(__xludf.DUMMYFUNCTION("""COMPUTED_VALUE"""),"N/A")</f>
        <v>N/A</v>
      </c>
      <c r="P1078" s="2"/>
      <c r="Q1078" s="2"/>
      <c r="R1078" s="74">
        <f>IFERROR(__xludf.DUMMYFUNCTION("""COMPUTED_VALUE"""),45867.0)</f>
        <v>45867</v>
      </c>
      <c r="S1078" s="2" t="str">
        <f>IFERROR(__xludf.DUMMYFUNCTION("""COMPUTED_VALUE"""),"MYKEE")</f>
        <v>MYKEE</v>
      </c>
      <c r="T1078" s="73">
        <f>IFERROR(__xludf.DUMMYFUNCTION("""COMPUTED_VALUE"""),22810.0)</f>
        <v>22810</v>
      </c>
      <c r="U1078" s="73" t="str">
        <f>IFERROR(__xludf.DUMMYFUNCTION("""COMPUTED_VALUE""")," REMITTED ")</f>
        <v>REMITTED</v>
      </c>
      <c r="V1078" s="2"/>
      <c r="W1078" s="2">
        <f>IFERROR(__xludf.DUMMYFUNCTION("""COMPUTED_VALUE"""),1508.0)</f>
        <v>1508</v>
      </c>
      <c r="X1078" s="2">
        <f>IFERROR(__xludf.DUMMYFUNCTION("""COMPUTED_VALUE"""),1505.0)</f>
        <v>1505</v>
      </c>
      <c r="Y1078" s="2"/>
      <c r="Z1078" s="2"/>
      <c r="AA1078" s="2"/>
      <c r="AB1078" s="2"/>
      <c r="AC1078" s="2"/>
      <c r="AD1078" s="2"/>
      <c r="AE1078" s="2"/>
      <c r="AF1078" s="2"/>
      <c r="AG1078" s="2"/>
      <c r="AH1078" s="2"/>
      <c r="AI1078" s="2"/>
      <c r="AJ1078" s="2" t="str">
        <f>IFERROR(__xludf.DUMMYFUNCTION("""COMPUTED_VALUE"""),"Linao")</f>
        <v>Linao</v>
      </c>
      <c r="AK1078" s="2" t="str">
        <f>IFERROR(__xludf.DUMMYFUNCTION("""COMPUTED_VALUE"""),"Kabankalan City")</f>
        <v>Kabankalan City</v>
      </c>
      <c r="AL1078" s="2" t="str">
        <f>IFERROR(__xludf.DUMMYFUNCTION("""COMPUTED_VALUE"""),"Negros Occidental")</f>
        <v>Negros Occidental</v>
      </c>
      <c r="AM1078" s="2">
        <f>IFERROR(__xludf.DUMMYFUNCTION("""COMPUTED_VALUE"""),6.0)</f>
        <v>6</v>
      </c>
      <c r="AN1078" s="2" t="str">
        <f>IFERROR(__xludf.DUMMYFUNCTION("""COMPUTED_VALUE"""),"RCEF 23-09-21 Rebidding")</f>
        <v>RCEF 23-09-21 Rebidding</v>
      </c>
      <c r="AO1078" s="2">
        <f>IFERROR(__xludf.DUMMYFUNCTION("""COMPUTED_VALUE"""),4.0)</f>
        <v>4</v>
      </c>
      <c r="AP1078" s="2"/>
      <c r="AQ1078" s="2"/>
      <c r="AR1078" s="2"/>
      <c r="AS1078" s="2"/>
      <c r="AT1078" s="2"/>
      <c r="AU1078" s="2"/>
      <c r="AV1078" s="2"/>
      <c r="AW1078" s="2"/>
      <c r="AX1078" s="2"/>
      <c r="AY1078" s="2"/>
      <c r="AZ1078" s="2"/>
      <c r="BA1078" s="2"/>
      <c r="BB1078" s="2"/>
    </row>
    <row r="1079">
      <c r="A1079" s="2">
        <f>IFERROR(__xludf.DUMMYFUNCTION("""COMPUTED_VALUE"""),1075.0)</f>
        <v>1075</v>
      </c>
      <c r="B1079" s="2" t="str">
        <f>IFERROR(__xludf.DUMMYFUNCTION("""COMPUTED_VALUE"""),"PENDING")</f>
        <v>PENDING</v>
      </c>
      <c r="C1079" s="74">
        <f>IFERROR(__xludf.DUMMYFUNCTION("""COMPUTED_VALUE"""),45839.0)</f>
        <v>45839</v>
      </c>
      <c r="D1079" s="71" t="str">
        <f>IFERROR(__xludf.DUMMYFUNCTION("""COMPUTED_VALUE"""),"Pura Farmers Agriculture Cooperative (PFAC)")</f>
        <v>Pura Farmers Agriculture Cooperative (PFAC)</v>
      </c>
      <c r="E1079" s="71" t="str">
        <f>IFERROR(__xludf.DUMMYFUNCTION("""COMPUTED_VALUE"""),"Poblacion 2, Pura, TARLAC")</f>
        <v>Poblacion 2, Pura, TARLAC</v>
      </c>
      <c r="F1079" s="2" t="str">
        <f>IFERROR(__xludf.DUMMYFUNCTION("""COMPUTED_VALUE"""),"Benjamin Antalan")</f>
        <v>Benjamin Antalan</v>
      </c>
      <c r="G1079" s="2" t="str">
        <f>IFERROR(__xludf.DUMMYFUNCTION("""COMPUTED_VALUE"""),"926-176-7147")</f>
        <v>926-176-7147</v>
      </c>
      <c r="H1079" s="2"/>
      <c r="I1079" s="72" t="str">
        <f>IFERROR(__xludf.DUMMYFUNCTION("""COMPUTED_VALUE"""),"SPARE PARTS ACQUISITION")</f>
        <v>SPARE PARTS ACQUISITION</v>
      </c>
      <c r="J1079" s="72" t="str">
        <f>IFERROR(__xludf.DUMMYFUNCTION("""COMPUTED_VALUE"""),"PARTS REQUEST")</f>
        <v>PARTS REQUEST</v>
      </c>
      <c r="K1079" s="72" t="str">
        <f>IFERROR(__xludf.DUMMYFUNCTION("""COMPUTED_VALUE"""),"KFS: Cross joint")</f>
        <v>KFS: Cross joint</v>
      </c>
      <c r="L1079" s="72" t="str">
        <f>IFERROR(__xludf.DUMMYFUNCTION("""COMPUTED_VALUE"""),"PATS N/A")</f>
        <v>PATS N/A</v>
      </c>
      <c r="M1079" s="2" t="str">
        <f>IFERROR(__xludf.DUMMYFUNCTION("""COMPUTED_VALUE"""),"PROPELLER CROSS JOINT")</f>
        <v>PROPELLER CROSS JOINT</v>
      </c>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t="str">
        <f>IFERROR(__xludf.DUMMYFUNCTION("""COMPUTED_VALUE"""),"Poblacion 2")</f>
        <v>Poblacion 2</v>
      </c>
      <c r="AK1079" s="2" t="str">
        <f>IFERROR(__xludf.DUMMYFUNCTION("""COMPUTED_VALUE"""),"Pura")</f>
        <v>Pura</v>
      </c>
      <c r="AL1079" s="2" t="str">
        <f>IFERROR(__xludf.DUMMYFUNCTION("""COMPUTED_VALUE"""),"Tarlac")</f>
        <v>Tarlac</v>
      </c>
      <c r="AM1079" s="2">
        <f>IFERROR(__xludf.DUMMYFUNCTION("""COMPUTED_VALUE"""),3.0)</f>
        <v>3</v>
      </c>
      <c r="AN1079" s="2" t="str">
        <f>IFERROR(__xludf.DUMMYFUNCTION("""COMPUTED_VALUE"""),"RCEF 23-09-21 Rebidding")</f>
        <v>RCEF 23-09-21 Rebidding</v>
      </c>
      <c r="AO1079" s="2">
        <f>IFERROR(__xludf.DUMMYFUNCTION("""COMPUTED_VALUE"""),3.0)</f>
        <v>3</v>
      </c>
      <c r="AP1079" s="2"/>
      <c r="AQ1079" s="2"/>
      <c r="AR1079" s="2"/>
      <c r="AS1079" s="2"/>
      <c r="AT1079" s="2"/>
      <c r="AU1079" s="2"/>
      <c r="AV1079" s="2"/>
      <c r="AW1079" s="2"/>
      <c r="AX1079" s="2"/>
      <c r="AY1079" s="2"/>
      <c r="AZ1079" s="2"/>
      <c r="BA1079" s="2"/>
      <c r="BB1079" s="2"/>
    </row>
    <row r="1080">
      <c r="A1080" s="2">
        <f>IFERROR(__xludf.DUMMYFUNCTION("""COMPUTED_VALUE"""),1076.0)</f>
        <v>1076</v>
      </c>
      <c r="B1080" s="2" t="str">
        <f>IFERROR(__xludf.DUMMYFUNCTION("""COMPUTED_VALUE"""),"COMPLETED")</f>
        <v>COMPLETED</v>
      </c>
      <c r="C1080" s="74">
        <f>IFERROR(__xludf.DUMMYFUNCTION("""COMPUTED_VALUE"""),45840.0)</f>
        <v>45840</v>
      </c>
      <c r="D1080" s="71" t="str">
        <f>IFERROR(__xludf.DUMMYFUNCTION("""COMPUTED_VALUE"""),"MUNICIPAL LOCAL GOVERNMENT OF LAUR")</f>
        <v>MUNICIPAL LOCAL GOVERNMENT OF LAUR</v>
      </c>
      <c r="E1080" s="71" t="str">
        <f>IFERROR(__xludf.DUMMYFUNCTION("""COMPUTED_VALUE"""),"Barangay III (Pob.), Laur, NUEVA ECIJA")</f>
        <v>Barangay III (Pob.), Laur, NUEVA ECIJA</v>
      </c>
      <c r="F1080" s="2" t="str">
        <f>IFERROR(__xludf.DUMMYFUNCTION("""COMPUTED_VALUE"""),"ENGR. JOHN FAUSTO")</f>
        <v>ENGR. JOHN FAUSTO</v>
      </c>
      <c r="G1080" s="2">
        <f>IFERROR(__xludf.DUMMYFUNCTION("""COMPUTED_VALUE"""),9.362900527E9)</f>
        <v>9362900527</v>
      </c>
      <c r="H1080" s="2">
        <f>IFERROR(__xludf.DUMMYFUNCTION("""COMPUTED_VALUE"""),455.0)</f>
        <v>455</v>
      </c>
      <c r="I1080" s="72" t="str">
        <f>IFERROR(__xludf.DUMMYFUNCTION("""COMPUTED_VALUE"""),"REPAIR - TRACTOR")</f>
        <v>REPAIR - TRACTOR</v>
      </c>
      <c r="J1080" s="72" t="str">
        <f>IFERROR(__xludf.DUMMYFUNCTION("""COMPUTED_VALUE"""),"Electrical - FR Switch")</f>
        <v>Electrical - FR Switch</v>
      </c>
      <c r="K1080" s="72" t="str">
        <f>IFERROR(__xludf.DUMMYFUNCTION("""COMPUTED_VALUE"""),"MYK: AYAW MAG START TRACTOR, PAG SINUSUSI WALA YUNG NUETRAL , OK NAMAN ANG STARTER.
2nd PMS
PARTS:
F/R SWITCH, OIL FILTER, HYDRAULIC FILTER, ENGINE OIL, HYDRAULIC OIL, GEAR OIL")</f>
        <v>MYK: AYAW MAG START TRACTOR, PAG SINUSUSI WALA YUNG NUETRAL , OK NAMAN ANG STARTER.
2nd PMS
PARTS:
F/R SWITCH, OIL FILTER, HYDRAULIC FILTER, ENGINE OIL, HYDRAULIC OIL, GEAR OIL</v>
      </c>
      <c r="L1080" s="72" t="str">
        <f>IFERROR(__xludf.DUMMYFUNCTION("""COMPUTED_VALUE"""),"QUOTATION SENT:
GENERAL PMS DONE")</f>
        <v>QUOTATION SENT:
GENERAL PMS DONE</v>
      </c>
      <c r="M1080" s="2"/>
      <c r="N1080" s="2" t="str">
        <f>IFERROR(__xludf.DUMMYFUNCTION("""COMPUTED_VALUE"""),"PARTS: 
1 pc nuetral switch/ F/R SWITCH
1 pc oil filter
1 pc hydraulic filter
40 Liters hydrauli oil
4.5 liters engine oil
7 Liters gear oil
23,387
with PAYMENT AGREEMET- LTC-PA-002")</f>
        <v>PARTS: 
1 pc nuetral switch/ F/R SWITCH
1 pc oil filter
1 pc hydraulic filter
40 Liters hydrauli oil
4.5 liters engine oil
7 Liters gear oil
23,387
with PAYMENT AGREEMET- LTC-PA-002</v>
      </c>
      <c r="O1080" s="2">
        <f>IFERROR(__xludf.DUMMYFUNCTION("""COMPUTED_VALUE"""),1186.0)</f>
        <v>1186</v>
      </c>
      <c r="P1080" s="2"/>
      <c r="Q1080" s="2" t="str">
        <f>IFERROR(__xludf.DUMMYFUNCTION("""COMPUTED_VALUE"""),"y")</f>
        <v>y</v>
      </c>
      <c r="R1080" s="74">
        <f>IFERROR(__xludf.DUMMYFUNCTION("""COMPUTED_VALUE"""),45848.0)</f>
        <v>45848</v>
      </c>
      <c r="S1080" s="2" t="str">
        <f>IFERROR(__xludf.DUMMYFUNCTION("""COMPUTED_VALUE"""),"CFG/JVV")</f>
        <v>CFG/JVV</v>
      </c>
      <c r="T1080" s="73">
        <f>IFERROR(__xludf.DUMMYFUNCTION("""COMPUTED_VALUE"""),22134.13)</f>
        <v>22134.13</v>
      </c>
      <c r="U1080" s="73" t="str">
        <f>IFERROR(__xludf.DUMMYFUNCTION("""COMPUTED_VALUE""")," REMITTED ")</f>
        <v>REMITTED</v>
      </c>
      <c r="V1080" s="2"/>
      <c r="W1080" s="2">
        <f>IFERROR(__xludf.DUMMYFUNCTION("""COMPUTED_VALUE"""),1760.0)</f>
        <v>1760</v>
      </c>
      <c r="X1080" s="2"/>
      <c r="Y1080" s="2" t="str">
        <f>IFERROR(__xludf.DUMMYFUNCTION("""COMPUTED_VALUE"""),"CHECK DEPOSITED BY CJ")</f>
        <v>CHECK DEPOSITED BY CJ</v>
      </c>
      <c r="Z1080" s="2"/>
      <c r="AA1080" s="2"/>
      <c r="AB1080" s="2"/>
      <c r="AC1080" s="2"/>
      <c r="AD1080" s="2"/>
      <c r="AE1080" s="2"/>
      <c r="AF1080" s="2"/>
      <c r="AG1080" s="2"/>
      <c r="AH1080" s="2"/>
      <c r="AI1080" s="2"/>
      <c r="AJ1080" s="2" t="str">
        <f>IFERROR(__xludf.DUMMYFUNCTION("""COMPUTED_VALUE"""),"Barangay Iii (Pob.)")</f>
        <v>Barangay Iii (Pob.)</v>
      </c>
      <c r="AK1080" s="2" t="str">
        <f>IFERROR(__xludf.DUMMYFUNCTION("""COMPUTED_VALUE"""),"Laur")</f>
        <v>Laur</v>
      </c>
      <c r="AL1080" s="2" t="str">
        <f>IFERROR(__xludf.DUMMYFUNCTION("""COMPUTED_VALUE"""),"Nueva Ecija")</f>
        <v>Nueva Ecija</v>
      </c>
      <c r="AM1080" s="2">
        <f>IFERROR(__xludf.DUMMYFUNCTION("""COMPUTED_VALUE"""),3.0)</f>
        <v>3</v>
      </c>
      <c r="AN1080" s="2" t="str">
        <f>IFERROR(__xludf.DUMMYFUNCTION("""COMPUTED_VALUE"""),"RCEF 24-04-15")</f>
        <v>RCEF 24-04-15</v>
      </c>
      <c r="AO1080" s="2">
        <f>IFERROR(__xludf.DUMMYFUNCTION("""COMPUTED_VALUE"""),6.0)</f>
        <v>6</v>
      </c>
      <c r="AP1080" s="2" t="str">
        <f>IFERROR(__xludf.DUMMYFUNCTION("""COMPUTED_VALUE"""),"FREE PMS")</f>
        <v>FREE PMS</v>
      </c>
      <c r="AQ1080" s="2"/>
      <c r="AR1080" s="2"/>
      <c r="AS1080" s="2"/>
      <c r="AT1080" s="2"/>
      <c r="AU1080" s="2"/>
      <c r="AV1080" s="2"/>
      <c r="AW1080" s="2"/>
      <c r="AX1080" s="2"/>
      <c r="AY1080" s="2"/>
      <c r="AZ1080" s="2"/>
      <c r="BA1080" s="2"/>
      <c r="BB1080" s="2"/>
    </row>
    <row r="1081">
      <c r="A1081" s="2">
        <f>IFERROR(__xludf.DUMMYFUNCTION("""COMPUTED_VALUE"""),1077.0)</f>
        <v>1077</v>
      </c>
      <c r="B1081" s="2" t="str">
        <f>IFERROR(__xludf.DUMMYFUNCTION("""COMPUTED_VALUE"""),"COMPLETED")</f>
        <v>COMPLETED</v>
      </c>
      <c r="C1081" s="74">
        <f>IFERROR(__xludf.DUMMYFUNCTION("""COMPUTED_VALUE"""),45840.0)</f>
        <v>45840</v>
      </c>
      <c r="D1081" s="71" t="str">
        <f>IFERROR(__xludf.DUMMYFUNCTION("""COMPUTED_VALUE"""),"Sablayan Farmers and Market Vendors Multi-Purpose Cooperative")</f>
        <v>Sablayan Farmers and Market Vendors Multi-Purpose Cooperative</v>
      </c>
      <c r="E1081" s="71" t="str">
        <f>IFERROR(__xludf.DUMMYFUNCTION("""COMPUTED_VALUE"""),"Buenavista, Sablayan, OCCIDENTAL MINDORO")</f>
        <v>Buenavista, Sablayan, OCCIDENTAL MINDORO</v>
      </c>
      <c r="F1081" s="2" t="str">
        <f>IFERROR(__xludf.DUMMYFUNCTION("""COMPUTED_VALUE"""),"Leonardo Pacheco")</f>
        <v>Leonardo Pacheco</v>
      </c>
      <c r="G1081" s="2">
        <f>IFERROR(__xludf.DUMMYFUNCTION("""COMPUTED_VALUE"""),9.169402502E9)</f>
        <v>9169402502</v>
      </c>
      <c r="H1081" s="2">
        <f>IFERROR(__xludf.DUMMYFUNCTION("""COMPUTED_VALUE"""),54.0)</f>
        <v>54</v>
      </c>
      <c r="I1081" s="72" t="str">
        <f>IFERROR(__xludf.DUMMYFUNCTION("""COMPUTED_VALUE"""),"PMS")</f>
        <v>PMS</v>
      </c>
      <c r="J1081" s="72" t="str">
        <f>IFERROR(__xludf.DUMMYFUNCTION("""COMPUTED_VALUE"""),"PMS")</f>
        <v>PMS</v>
      </c>
      <c r="K1081" s="72" t="str">
        <f>IFERROR(__xludf.DUMMYFUNCTION("""COMPUTED_VALUE"""),"MYK: 1ST PMS FREE")</f>
        <v>MYK: 1ST PMS FREE</v>
      </c>
      <c r="L1081" s="72" t="str">
        <f>IFERROR(__xludf.DUMMYFUNCTION("""COMPUTED_VALUE"""),"RCG: 1ST PMS DONE")</f>
        <v>RCG: 1ST PMS DONE</v>
      </c>
      <c r="M1081" s="2"/>
      <c r="N1081" s="2" t="str">
        <f>IFERROR(__xludf.DUMMYFUNCTION("""COMPUTED_VALUE"""),"PARTS: OIL FILTER, ENGINE OIL")</f>
        <v>PARTS: OIL FILTER, ENGINE OIL</v>
      </c>
      <c r="O1081" s="2">
        <f>IFERROR(__xludf.DUMMYFUNCTION("""COMPUTED_VALUE"""),172.0)</f>
        <v>172</v>
      </c>
      <c r="P1081" s="2"/>
      <c r="Q1081" s="2" t="str">
        <f>IFERROR(__xludf.DUMMYFUNCTION("""COMPUTED_VALUE"""),"y")</f>
        <v>y</v>
      </c>
      <c r="R1081" s="74">
        <f>IFERROR(__xludf.DUMMYFUNCTION("""COMPUTED_VALUE"""),45841.0)</f>
        <v>45841</v>
      </c>
      <c r="S1081" s="2" t="str">
        <f>IFERROR(__xludf.DUMMYFUNCTION("""COMPUTED_VALUE"""),"RCG/RBS")</f>
        <v>RCG/RBS</v>
      </c>
      <c r="T1081" s="73" t="str">
        <f>IFERROR(__xludf.DUMMYFUNCTION("""COMPUTED_VALUE""")," N/A ")</f>
        <v>N/A</v>
      </c>
      <c r="U1081" s="73" t="str">
        <f>IFERROR(__xludf.DUMMYFUNCTION("""COMPUTED_VALUE""")," NO CHARGE ")</f>
        <v>NO CHARGE</v>
      </c>
      <c r="V1081" s="2"/>
      <c r="W1081" s="2" t="str">
        <f>IFERROR(__xludf.DUMMYFUNCTION("""COMPUTED_VALUE"""),"N/A")</f>
        <v>N/A</v>
      </c>
      <c r="X1081" s="2" t="str">
        <f>IFERROR(__xludf.DUMMYFUNCTION("""COMPUTED_VALUE"""),"N/A")</f>
        <v>N/A</v>
      </c>
      <c r="Y1081" s="2"/>
      <c r="Z1081" s="2"/>
      <c r="AA1081" s="2"/>
      <c r="AB1081" s="2"/>
      <c r="AC1081" s="2"/>
      <c r="AD1081" s="2"/>
      <c r="AE1081" s="2"/>
      <c r="AF1081" s="2"/>
      <c r="AG1081" s="2"/>
      <c r="AH1081" s="2"/>
      <c r="AI1081" s="2"/>
      <c r="AJ1081" s="2" t="str">
        <f>IFERROR(__xludf.DUMMYFUNCTION("""COMPUTED_VALUE"""),"Buenavista")</f>
        <v>Buenavista</v>
      </c>
      <c r="AK1081" s="2" t="str">
        <f>IFERROR(__xludf.DUMMYFUNCTION("""COMPUTED_VALUE"""),"Sablayan")</f>
        <v>Sablayan</v>
      </c>
      <c r="AL1081" s="2" t="str">
        <f>IFERROR(__xludf.DUMMYFUNCTION("""COMPUTED_VALUE"""),"Occidental Mindoro")</f>
        <v>Occidental Mindoro</v>
      </c>
      <c r="AM1081" s="2" t="str">
        <f>IFERROR(__xludf.DUMMYFUNCTION("""COMPUTED_VALUE"""),"4B")</f>
        <v>4B</v>
      </c>
      <c r="AN1081" s="2" t="str">
        <f>IFERROR(__xludf.DUMMYFUNCTION("""COMPUTED_VALUE"""),"Repeat Order")</f>
        <v>Repeat Order</v>
      </c>
      <c r="AO1081" s="2">
        <f>IFERROR(__xludf.DUMMYFUNCTION("""COMPUTED_VALUE"""),7.0)</f>
        <v>7</v>
      </c>
      <c r="AP1081" s="2" t="str">
        <f>IFERROR(__xludf.DUMMYFUNCTION("""COMPUTED_VALUE"""),"FREE PMS")</f>
        <v>FREE PMS</v>
      </c>
      <c r="AQ1081" s="2"/>
      <c r="AR1081" s="2"/>
      <c r="AS1081" s="2"/>
      <c r="AT1081" s="2"/>
      <c r="AU1081" s="2"/>
      <c r="AV1081" s="2"/>
      <c r="AW1081" s="2"/>
      <c r="AX1081" s="2"/>
      <c r="AY1081" s="2"/>
      <c r="AZ1081" s="2"/>
      <c r="BA1081" s="2"/>
      <c r="BB1081" s="2"/>
    </row>
    <row r="1082">
      <c r="A1082" s="2">
        <f>IFERROR(__xludf.DUMMYFUNCTION("""COMPUTED_VALUE"""),1078.0)</f>
        <v>1078</v>
      </c>
      <c r="B1082" s="2" t="str">
        <f>IFERROR(__xludf.DUMMYFUNCTION("""COMPUTED_VALUE"""),"COMPLETED")</f>
        <v>COMPLETED</v>
      </c>
      <c r="C1082" s="74">
        <f>IFERROR(__xludf.DUMMYFUNCTION("""COMPUTED_VALUE"""),45841.0)</f>
        <v>45841</v>
      </c>
      <c r="D1082" s="71" t="str">
        <f>IFERROR(__xludf.DUMMYFUNCTION("""COMPUTED_VALUE"""),"MALIMPIN P4MP INC.")</f>
        <v>MALIMPIN P4MP INC.</v>
      </c>
      <c r="E1082" s="71" t="str">
        <f>IFERROR(__xludf.DUMMYFUNCTION("""COMPUTED_VALUE"""),"MALIMPIN, DASOL, PANGASINAN")</f>
        <v>MALIMPIN, DASOL, PANGASINAN</v>
      </c>
      <c r="F1082" s="2" t="str">
        <f>IFERROR(__xludf.DUMMYFUNCTION("""COMPUTED_VALUE"""),"Shiela Dela Cruz")</f>
        <v>Shiela Dela Cruz</v>
      </c>
      <c r="G1082" s="2">
        <f>IFERROR(__xludf.DUMMYFUNCTION("""COMPUTED_VALUE"""),9.605645003E9)</f>
        <v>9605645003</v>
      </c>
      <c r="H1082" s="2">
        <f>IFERROR(__xludf.DUMMYFUNCTION("""COMPUTED_VALUE"""),18.4)</f>
        <v>18.4</v>
      </c>
      <c r="I1082" s="72" t="str">
        <f>IFERROR(__xludf.DUMMYFUNCTION("""COMPUTED_VALUE"""),"REPAIR - TRACTOR")</f>
        <v>REPAIR - TRACTOR</v>
      </c>
      <c r="J1082" s="72" t="str">
        <f>IFERROR(__xludf.DUMMYFUNCTION("""COMPUTED_VALUE"""),"Electrical - Fuse Box")</f>
        <v>Electrical - Fuse Box</v>
      </c>
      <c r="K1082" s="72" t="str">
        <f>IFERROR(__xludf.DUMMYFUNCTION("""COMPUTED_VALUE"""),"KFS: AYAW UMANDAR NG FWT 
ACS: AYAW UMANDAR")</f>
        <v>KFS: AYAW UMANDAR NG FWT 
ACS: AYAW UMANDAR</v>
      </c>
      <c r="L1082" s="72" t="str">
        <f>IFERROR(__xludf.DUMMYFUNCTION("""COMPUTED_VALUE"""),"ACS: REPLACE MAIN FUSE 60 AMP ")</f>
        <v>ACS: REPLACE MAIN FUSE 60 AMP </v>
      </c>
      <c r="M1082" s="2"/>
      <c r="N1082" s="2"/>
      <c r="O1082" s="2">
        <f>IFERROR(__xludf.DUMMYFUNCTION("""COMPUTED_VALUE"""),1412.0)</f>
        <v>1412</v>
      </c>
      <c r="P1082" s="2"/>
      <c r="Q1082" s="2" t="str">
        <f>IFERROR(__xludf.DUMMYFUNCTION("""COMPUTED_VALUE"""),"Y")</f>
        <v>Y</v>
      </c>
      <c r="R1082" s="74">
        <f>IFERROR(__xludf.DUMMYFUNCTION("""COMPUTED_VALUE"""),45853.0)</f>
        <v>45853</v>
      </c>
      <c r="S1082" s="2" t="str">
        <f>IFERROR(__xludf.DUMMYFUNCTION("""COMPUTED_VALUE"""),"JHP/ACS")</f>
        <v>JHP/ACS</v>
      </c>
      <c r="T1082" s="73" t="str">
        <f>IFERROR(__xludf.DUMMYFUNCTION("""COMPUTED_VALUE""")," N/A ")</f>
        <v>N/A</v>
      </c>
      <c r="U1082" s="73" t="str">
        <f>IFERROR(__xludf.DUMMYFUNCTION("""COMPUTED_VALUE""")," NO CHARGE ")</f>
        <v>NO CHARGE</v>
      </c>
      <c r="V1082" s="2"/>
      <c r="W1082" s="2" t="str">
        <f>IFERROR(__xludf.DUMMYFUNCTION("""COMPUTED_VALUE"""),"N/A")</f>
        <v>N/A</v>
      </c>
      <c r="X1082" s="2" t="str">
        <f>IFERROR(__xludf.DUMMYFUNCTION("""COMPUTED_VALUE"""),"N/A")</f>
        <v>N/A</v>
      </c>
      <c r="Y1082" s="2"/>
      <c r="Z1082" s="2"/>
      <c r="AA1082" s="2"/>
      <c r="AB1082" s="2"/>
      <c r="AC1082" s="2"/>
      <c r="AD1082" s="2"/>
      <c r="AE1082" s="2"/>
      <c r="AF1082" s="2"/>
      <c r="AG1082" s="2"/>
      <c r="AH1082" s="2"/>
      <c r="AI1082" s="2"/>
      <c r="AJ1082" s="2" t="str">
        <f>IFERROR(__xludf.DUMMYFUNCTION("""COMPUTED_VALUE"""),"Malimpin")</f>
        <v>Malimpin</v>
      </c>
      <c r="AK1082" s="2" t="str">
        <f>IFERROR(__xludf.DUMMYFUNCTION("""COMPUTED_VALUE"""),"Dasol")</f>
        <v>Dasol</v>
      </c>
      <c r="AL1082" s="2" t="str">
        <f>IFERROR(__xludf.DUMMYFUNCTION("""COMPUTED_VALUE"""),"Pangasinan")</f>
        <v>Pangasinan</v>
      </c>
      <c r="AM1082" s="2">
        <f>IFERROR(__xludf.DUMMYFUNCTION("""COMPUTED_VALUE"""),1.0)</f>
        <v>1</v>
      </c>
      <c r="AN1082" s="2" t="str">
        <f>IFERROR(__xludf.DUMMYFUNCTION("""COMPUTED_VALUE"""),"RCEF 23-09-21 Rebidding")</f>
        <v>RCEF 23-09-21 Rebidding</v>
      </c>
      <c r="AO1082" s="2">
        <f>IFERROR(__xludf.DUMMYFUNCTION("""COMPUTED_VALUE"""),2.0)</f>
        <v>2</v>
      </c>
      <c r="AP1082" s="2"/>
      <c r="AQ1082" s="2"/>
      <c r="AR1082" s="2"/>
      <c r="AS1082" s="2"/>
      <c r="AT1082" s="2"/>
      <c r="AU1082" s="2"/>
      <c r="AV1082" s="2"/>
      <c r="AW1082" s="2"/>
      <c r="AX1082" s="2"/>
      <c r="AY1082" s="2"/>
      <c r="AZ1082" s="2"/>
      <c r="BA1082" s="2"/>
      <c r="BB1082" s="2"/>
    </row>
    <row r="1083">
      <c r="A1083" s="2">
        <f>IFERROR(__xludf.DUMMYFUNCTION("""COMPUTED_VALUE"""),1079.0)</f>
        <v>1079</v>
      </c>
      <c r="B1083" s="2" t="str">
        <f>IFERROR(__xludf.DUMMYFUNCTION("""COMPUTED_VALUE"""),"PENDING")</f>
        <v>PENDING</v>
      </c>
      <c r="C1083" s="74">
        <f>IFERROR(__xludf.DUMMYFUNCTION("""COMPUTED_VALUE"""),45841.0)</f>
        <v>45841</v>
      </c>
      <c r="D1083" s="71" t="str">
        <f>IFERROR(__xludf.DUMMYFUNCTION("""COMPUTED_VALUE"""),"CamSur Multi-Purpose Cooperative")</f>
        <v>CamSur Multi-Purpose Cooperative</v>
      </c>
      <c r="E1083" s="71" t="str">
        <f>IFERROR(__xludf.DUMMYFUNCTION("""COMPUTED_VALUE"""),"Cadlan, Pili, CAMARINES SUR")</f>
        <v>Cadlan, Pili, CAMARINES SUR</v>
      </c>
      <c r="F1083" s="2" t="str">
        <f>IFERROR(__xludf.DUMMYFUNCTION("""COMPUTED_VALUE"""),"Jonel Jesalva")</f>
        <v>Jonel Jesalva</v>
      </c>
      <c r="G1083" s="2">
        <f>IFERROR(__xludf.DUMMYFUNCTION("""COMPUTED_VALUE"""),9.916674687E9)</f>
        <v>9916674687</v>
      </c>
      <c r="H1083" s="2">
        <f>IFERROR(__xludf.DUMMYFUNCTION("""COMPUTED_VALUE"""),68.0)</f>
        <v>68</v>
      </c>
      <c r="I1083" s="72" t="str">
        <f>IFERROR(__xludf.DUMMYFUNCTION("""COMPUTED_VALUE"""),"PMS")</f>
        <v>PMS</v>
      </c>
      <c r="J1083" s="72" t="str">
        <f>IFERROR(__xludf.DUMMYFUNCTION("""COMPUTED_VALUE"""),"PMS")</f>
        <v>PMS</v>
      </c>
      <c r="K1083" s="72" t="str">
        <f>IFERROR(__xludf.DUMMYFUNCTION("""COMPUTED_VALUE"""),"KFS: 1ST PMS")</f>
        <v>KFS: 1ST PMS</v>
      </c>
      <c r="L1083" s="7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t="str">
        <f>IFERROR(__xludf.DUMMYFUNCTION("""COMPUTED_VALUE"""),"Cadlan")</f>
        <v>Cadlan</v>
      </c>
      <c r="AK1083" s="2" t="str">
        <f>IFERROR(__xludf.DUMMYFUNCTION("""COMPUTED_VALUE"""),"Pili")</f>
        <v>Pili</v>
      </c>
      <c r="AL1083" s="2" t="str">
        <f>IFERROR(__xludf.DUMMYFUNCTION("""COMPUTED_VALUE"""),"Camarines Sur")</f>
        <v>Camarines Sur</v>
      </c>
      <c r="AM1083" s="2">
        <f>IFERROR(__xludf.DUMMYFUNCTION("""COMPUTED_VALUE"""),5.0)</f>
        <v>5</v>
      </c>
      <c r="AN1083" s="2" t="str">
        <f>IFERROR(__xludf.DUMMYFUNCTION("""COMPUTED_VALUE"""),"Repeat Order")</f>
        <v>Repeat Order</v>
      </c>
      <c r="AO1083" s="2">
        <f>IFERROR(__xludf.DUMMYFUNCTION("""COMPUTED_VALUE"""),7.0)</f>
        <v>7</v>
      </c>
      <c r="AP1083" s="2" t="str">
        <f>IFERROR(__xludf.DUMMYFUNCTION("""COMPUTED_VALUE"""),"FREE PMS")</f>
        <v>FREE PMS</v>
      </c>
      <c r="AQ1083" s="2"/>
      <c r="AR1083" s="2"/>
      <c r="AS1083" s="2"/>
      <c r="AT1083" s="2"/>
      <c r="AU1083" s="2"/>
      <c r="AV1083" s="2"/>
      <c r="AW1083" s="2"/>
      <c r="AX1083" s="2"/>
      <c r="AY1083" s="2"/>
      <c r="AZ1083" s="2"/>
      <c r="BA1083" s="2"/>
      <c r="BB1083" s="2"/>
    </row>
    <row r="1084">
      <c r="A1084" s="2">
        <f>IFERROR(__xludf.DUMMYFUNCTION("""COMPUTED_VALUE"""),1080.0)</f>
        <v>1080</v>
      </c>
      <c r="B1084" s="2" t="str">
        <f>IFERROR(__xludf.DUMMYFUNCTION("""COMPUTED_VALUE"""),"COMPLETED")</f>
        <v>COMPLETED</v>
      </c>
      <c r="C1084" s="74">
        <f>IFERROR(__xludf.DUMMYFUNCTION("""COMPUTED_VALUE"""),45842.0)</f>
        <v>45842</v>
      </c>
      <c r="D1084" s="71" t="str">
        <f>IFERROR(__xludf.DUMMYFUNCTION("""COMPUTED_VALUE"""),"Pura Farmers Agriculture Cooperative (PFAC)")</f>
        <v>Pura Farmers Agriculture Cooperative (PFAC)</v>
      </c>
      <c r="E1084" s="71" t="str">
        <f>IFERROR(__xludf.DUMMYFUNCTION("""COMPUTED_VALUE"""),"Poblacion 2, Pura, TARLAC")</f>
        <v>Poblacion 2, Pura, TARLAC</v>
      </c>
      <c r="F1084" s="2" t="str">
        <f>IFERROR(__xludf.DUMMYFUNCTION("""COMPUTED_VALUE"""),"BENJAMIN ANTALAN ")</f>
        <v>BENJAMIN ANTALAN </v>
      </c>
      <c r="G1084" s="2" t="str">
        <f>IFERROR(__xludf.DUMMYFUNCTION("""COMPUTED_VALUE"""),"0926-1767147")</f>
        <v>0926-1767147</v>
      </c>
      <c r="H1084" s="2">
        <f>IFERROR(__xludf.DUMMYFUNCTION("""COMPUTED_VALUE"""),750.0)</f>
        <v>750</v>
      </c>
      <c r="I1084" s="72" t="str">
        <f>IFERROR(__xludf.DUMMYFUNCTION("""COMPUTED_VALUE"""),"REPAIR - ROTAVATOR")</f>
        <v>REPAIR - ROTAVATOR</v>
      </c>
      <c r="J1084" s="72" t="str">
        <f>IFERROR(__xludf.DUMMYFUNCTION("""COMPUTED_VALUE"""),"Gearbox")</f>
        <v>Gearbox</v>
      </c>
      <c r="K1084" s="72" t="str">
        <f>IFERROR(__xludf.DUMMYFUNCTION("""COMPUTED_VALUE"""),"MYK: ROTAVATOR PROBLEM, FOR CHECK-UP
EGT: 9/30/25:ASSESSMENT
PARTS:
BEVEL GEAR 24T 
PINION GEAR 11T
DRIVE SHAFT
WILIING TO PAY")</f>
        <v>MYK: ROTAVATOR PROBLEM, FOR CHECK-UP
EGT: 9/30/25:ASSESSMENT
PARTS:
BEVEL GEAR 24T 
PINION GEAR 11T
DRIVE SHAFT
WILIING TO PAY</v>
      </c>
      <c r="L1084" s="72" t="str">
        <f>IFERROR(__xludf.DUMMYFUNCTION("""COMPUTED_VALUE"""),"FOR PAYMENT AGREEMENT: PROPOSED PAYMENT AGREEMENT SENT: 
ACS: REPLACED GEARBOX PARTS")</f>
        <v>FOR PAYMENT AGREEMENT: PROPOSED PAYMENT AGREEMENT SENT: 
ACS: REPLACED GEARBOX PARTS</v>
      </c>
      <c r="M1084" s="2"/>
      <c r="N1084" s="2" t="str">
        <f>IFERROR(__xludf.DUMMYFUNCTION("""COMPUTED_VALUE"""),"PARTS:
BEVEL GEAR 24T
DRIVE SHAFT
TAPER ROLLER BEARING 32211
HARD LOCK NUT M35X1.5P
WITH PAYMENT AGREEMENT
DUE- 1/7/26
PARTIAL- 23,000
FULL- 23,170 PAID
")</f>
        <v>PARTS:
BEVEL GEAR 24T
DRIVE SHAFT
TAPER ROLLER BEARING 32211
HARD LOCK NUT M35X1.5P
WITH PAYMENT AGREEMENT
DUE- 1/7/26
PARTIAL- 23,000
FULL- 23,170 PAID
</v>
      </c>
      <c r="O1084" s="2">
        <f>IFERROR(__xludf.DUMMYFUNCTION("""COMPUTED_VALUE"""),1438.0)</f>
        <v>1438</v>
      </c>
      <c r="P1084" s="2"/>
      <c r="Q1084" s="2" t="str">
        <f>IFERROR(__xludf.DUMMYFUNCTION("""COMPUTED_VALUE"""),"y")</f>
        <v>y</v>
      </c>
      <c r="R1084" s="74">
        <f>IFERROR(__xludf.DUMMYFUNCTION("""COMPUTED_VALUE"""),45968.0)</f>
        <v>45968</v>
      </c>
      <c r="S1084" s="2" t="str">
        <f>IFERROR(__xludf.DUMMYFUNCTION("""COMPUTED_VALUE"""),"JHP/ACS")</f>
        <v>JHP/ACS</v>
      </c>
      <c r="T1084" s="73">
        <f>IFERROR(__xludf.DUMMYFUNCTION("""COMPUTED_VALUE"""),46170.0)</f>
        <v>46170</v>
      </c>
      <c r="U1084" s="73" t="str">
        <f>IFERROR(__xludf.DUMMYFUNCTION("""COMPUTED_VALUE""")," REMITTED ")</f>
        <v>REMITTED</v>
      </c>
      <c r="V1084" s="2"/>
      <c r="W1084" s="2">
        <f>IFERROR(__xludf.DUMMYFUNCTION("""COMPUTED_VALUE"""),1097.0)</f>
        <v>1097</v>
      </c>
      <c r="X1084" s="2">
        <f>IFERROR(__xludf.DUMMYFUNCTION("""COMPUTED_VALUE"""),1627.0)</f>
        <v>1627</v>
      </c>
      <c r="Y1084" s="2" t="str">
        <f>IFERROR(__xludf.DUMMYFUNCTION("""COMPUTED_VALUE"""),"CR# 1097- 23,000 PARTIAL
CR#  -  23,170 FULL PAYAMENT  ")</f>
        <v>CR# 1097- 23,000 PARTIAL
CR#  -  23,170 FULL PAYAMENT  </v>
      </c>
      <c r="Z1084" s="2"/>
      <c r="AA1084" s="2"/>
      <c r="AB1084" s="2"/>
      <c r="AC1084" s="2"/>
      <c r="AD1084" s="2"/>
      <c r="AE1084" s="2"/>
      <c r="AF1084" s="2"/>
      <c r="AG1084" s="2"/>
      <c r="AH1084" s="2"/>
      <c r="AI1084" s="2"/>
      <c r="AJ1084" s="2" t="str">
        <f>IFERROR(__xludf.DUMMYFUNCTION("""COMPUTED_VALUE"""),"Poblacion 2")</f>
        <v>Poblacion 2</v>
      </c>
      <c r="AK1084" s="2" t="str">
        <f>IFERROR(__xludf.DUMMYFUNCTION("""COMPUTED_VALUE"""),"Pura")</f>
        <v>Pura</v>
      </c>
      <c r="AL1084" s="2" t="str">
        <f>IFERROR(__xludf.DUMMYFUNCTION("""COMPUTED_VALUE"""),"Tarlac")</f>
        <v>Tarlac</v>
      </c>
      <c r="AM1084" s="2">
        <f>IFERROR(__xludf.DUMMYFUNCTION("""COMPUTED_VALUE"""),3.0)</f>
        <v>3</v>
      </c>
      <c r="AN1084" s="2" t="str">
        <f>IFERROR(__xludf.DUMMYFUNCTION("""COMPUTED_VALUE"""),"RCEF 23-09-21 Rebidding")</f>
        <v>RCEF 23-09-21 Rebidding</v>
      </c>
      <c r="AO1084" s="2">
        <f>IFERROR(__xludf.DUMMYFUNCTION("""COMPUTED_VALUE"""),3.0)</f>
        <v>3</v>
      </c>
      <c r="AP1084" s="2"/>
      <c r="AQ1084" s="2"/>
      <c r="AR1084" s="2"/>
      <c r="AS1084" s="2"/>
      <c r="AT1084" s="2"/>
      <c r="AU1084" s="2"/>
      <c r="AV1084" s="2"/>
      <c r="AW1084" s="2"/>
      <c r="AX1084" s="2"/>
      <c r="AY1084" s="2"/>
      <c r="AZ1084" s="2"/>
      <c r="BA1084" s="2"/>
      <c r="BB1084" s="2"/>
    </row>
    <row r="1085">
      <c r="A1085" s="2">
        <f>IFERROR(__xludf.DUMMYFUNCTION("""COMPUTED_VALUE"""),1081.0)</f>
        <v>1081</v>
      </c>
      <c r="B1085" s="2" t="str">
        <f>IFERROR(__xludf.DUMMYFUNCTION("""COMPUTED_VALUE"""),"PENDING")</f>
        <v>PENDING</v>
      </c>
      <c r="C1085" s="74">
        <f>IFERROR(__xludf.DUMMYFUNCTION("""COMPUTED_VALUE"""),45848.0)</f>
        <v>45848</v>
      </c>
      <c r="D1085" s="71" t="str">
        <f>IFERROR(__xludf.DUMMYFUNCTION("""COMPUTED_VALUE"""),"NAGUILIAN IRRIGATORS' ASSOCIATION, INC.")</f>
        <v>NAGUILIAN IRRIGATORS' ASSOCIATION, INC.</v>
      </c>
      <c r="E1085" s="71" t="str">
        <f>IFERROR(__xludf.DUMMYFUNCTION("""COMPUTED_VALUE"""),"Naguilian, Lal-lo, CAGAYAN")</f>
        <v>Naguilian, Lal-lo, CAGAYAN</v>
      </c>
      <c r="F1085" s="2" t="str">
        <f>IFERROR(__xludf.DUMMYFUNCTION("""COMPUTED_VALUE"""),"DIOSDADO URMATAM")</f>
        <v>DIOSDADO URMATAM</v>
      </c>
      <c r="G1085" s="2">
        <f>IFERROR(__xludf.DUMMYFUNCTION("""COMPUTED_VALUE"""),9.061000932E9)</f>
        <v>9061000932</v>
      </c>
      <c r="H1085" s="2"/>
      <c r="I1085" s="72" t="str">
        <f>IFERROR(__xludf.DUMMYFUNCTION("""COMPUTED_VALUE"""),"SPARE PARTS ACQUISITION")</f>
        <v>SPARE PARTS ACQUISITION</v>
      </c>
      <c r="J1085" s="72" t="str">
        <f>IFERROR(__xludf.DUMMYFUNCTION("""COMPUTED_VALUE"""),"PARTS REQUEST")</f>
        <v>PARTS REQUEST</v>
      </c>
      <c r="K1085" s="72" t="str">
        <f>IFERROR(__xludf.DUMMYFUNCTION("""COMPUTED_VALUE"""),"MYK: CROSS JOINT")</f>
        <v>MYK: CROSS JOINT</v>
      </c>
      <c r="L1085" s="72" t="str">
        <f>IFERROR(__xludf.DUMMYFUNCTION("""COMPUTED_VALUE"""),"5/7/26: MYK: BIBILI PADIN SILA NG CROSSJOINT")</f>
        <v>5/7/26: MYK: BIBILI PADIN SILA NG CROSSJOINT</v>
      </c>
      <c r="M1085" s="2" t="str">
        <f>IFERROR(__xludf.DUMMYFUNCTION("""COMPUTED_VALUE"""),"PROPELLER CROSS JOINT")</f>
        <v>PROPELLER CROSS JOINT</v>
      </c>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t="str">
        <f>IFERROR(__xludf.DUMMYFUNCTION("""COMPUTED_VALUE"""),"Naguilian")</f>
        <v>Naguilian</v>
      </c>
      <c r="AK1085" s="2" t="str">
        <f>IFERROR(__xludf.DUMMYFUNCTION("""COMPUTED_VALUE"""),"Lal-Lo")</f>
        <v>Lal-Lo</v>
      </c>
      <c r="AL1085" s="2" t="str">
        <f>IFERROR(__xludf.DUMMYFUNCTION("""COMPUTED_VALUE"""),"Cagayan")</f>
        <v>Cagayan</v>
      </c>
      <c r="AM1085" s="2">
        <f>IFERROR(__xludf.DUMMYFUNCTION("""COMPUTED_VALUE"""),2.0)</f>
        <v>2</v>
      </c>
      <c r="AN1085" s="2" t="str">
        <f>IFERROR(__xludf.DUMMYFUNCTION("""COMPUTED_VALUE"""),"RCEF 23-09-21 Rebidding")</f>
        <v>RCEF 23-09-21 Rebidding</v>
      </c>
      <c r="AO1085" s="2">
        <f>IFERROR(__xludf.DUMMYFUNCTION("""COMPUTED_VALUE"""),9.0)</f>
        <v>9</v>
      </c>
      <c r="AP1085" s="2"/>
      <c r="AQ1085" s="2"/>
      <c r="AR1085" s="2"/>
      <c r="AS1085" s="2"/>
      <c r="AT1085" s="2"/>
      <c r="AU1085" s="2"/>
      <c r="AV1085" s="2"/>
      <c r="AW1085" s="2"/>
      <c r="AX1085" s="2"/>
      <c r="AY1085" s="2"/>
      <c r="AZ1085" s="2"/>
      <c r="BA1085" s="2"/>
      <c r="BB1085" s="2"/>
    </row>
    <row r="1086">
      <c r="A1086" s="2">
        <f>IFERROR(__xludf.DUMMYFUNCTION("""COMPUTED_VALUE"""),1082.0)</f>
        <v>1082</v>
      </c>
      <c r="B1086" s="2" t="str">
        <f>IFERROR(__xludf.DUMMYFUNCTION("""COMPUTED_VALUE"""),"PENDING")</f>
        <v>PENDING</v>
      </c>
      <c r="C1086" s="74">
        <f>IFERROR(__xludf.DUMMYFUNCTION("""COMPUTED_VALUE"""),45848.0)</f>
        <v>45848</v>
      </c>
      <c r="D1086" s="71" t="str">
        <f>IFERROR(__xludf.DUMMYFUNCTION("""COMPUTED_VALUE"""),"Magarao Multi-Purpose Cooperative")</f>
        <v>Magarao Multi-Purpose Cooperative</v>
      </c>
      <c r="E1086" s="71" t="str">
        <f>IFERROR(__xludf.DUMMYFUNCTION("""COMPUTED_VALUE"""),"San Isidro (Pob.), Magarao, CAMARINES SUR")</f>
        <v>San Isidro (Pob.), Magarao, CAMARINES SUR</v>
      </c>
      <c r="F1086" s="2" t="str">
        <f>IFERROR(__xludf.DUMMYFUNCTION("""COMPUTED_VALUE"""),"DORIS SENA/ OPERATOR ")</f>
        <v>DORIS SENA/ OPERATOR </v>
      </c>
      <c r="G1086" s="2">
        <f>IFERROR(__xludf.DUMMYFUNCTION("""COMPUTED_VALUE"""),9.074694335E9)</f>
        <v>9074694335</v>
      </c>
      <c r="H1086" s="2">
        <f>IFERROR(__xludf.DUMMYFUNCTION("""COMPUTED_VALUE"""),113.0)</f>
        <v>113</v>
      </c>
      <c r="I1086" s="72" t="str">
        <f>IFERROR(__xludf.DUMMYFUNCTION("""COMPUTED_VALUE"""),"REPAIR - TRACTOR")</f>
        <v>REPAIR - TRACTOR</v>
      </c>
      <c r="J1086" s="72" t="str">
        <f>IFERROR(__xludf.DUMMYFUNCTION("""COMPUTED_VALUE"""),"PST/PTO VALVE")</f>
        <v>PST/PTO VALVE</v>
      </c>
      <c r="K1086" s="72" t="str">
        <f>IFERROR(__xludf.DUMMYFUNCTION("""COMPUTED_VALUE"""),"MYK: PAG NAG FUFUNCTION YUNG ROTARY MAY NARIRINIG NA INGAY SA TRANSMISSION,  
JTT: 10/20/25: PST POWER STEERING PROBLEM
PST CYLINDER ASSY
PTO CLUTCH PACK LINING (6)")</f>
        <v>MYK: PAG NAG FUFUNCTION YUNG ROTARY MAY NARIRINIG NA INGAY SA TRANSMISSION,  
JTT: 10/20/25: PST POWER STEERING PROBLEM
PST CYLINDER ASSY
PTO CLUTCH PACK LINING (6)</v>
      </c>
      <c r="L1086" s="72" t="str">
        <f>IFERROR(__xludf.DUMMYFUNCTION("""COMPUTED_VALUE"""),"QUOTATION SENT TO FPJ - ")</f>
        <v>QUOTATION SENT TO FPJ - </v>
      </c>
      <c r="M1086" s="2" t="str">
        <f>IFERROR(__xludf.DUMMYFUNCTION("""COMPUTED_VALUE"""),"PST VALVE ASSY
PTO CLUTCH PACK LINING (6)")</f>
        <v>PST VALVE ASSY
PTO CLUTCH PACK LINING (6)</v>
      </c>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t="str">
        <f>IFERROR(__xludf.DUMMYFUNCTION("""COMPUTED_VALUE"""),"San Isidro (Pob.)")</f>
        <v>San Isidro (Pob.)</v>
      </c>
      <c r="AK1086" s="2" t="str">
        <f>IFERROR(__xludf.DUMMYFUNCTION("""COMPUTED_VALUE"""),"Magarao")</f>
        <v>Magarao</v>
      </c>
      <c r="AL1086" s="2" t="str">
        <f>IFERROR(__xludf.DUMMYFUNCTION("""COMPUTED_VALUE"""),"Camarines Sur")</f>
        <v>Camarines Sur</v>
      </c>
      <c r="AM1086" s="2">
        <f>IFERROR(__xludf.DUMMYFUNCTION("""COMPUTED_VALUE"""),5.0)</f>
        <v>5</v>
      </c>
      <c r="AN1086" s="2" t="str">
        <f>IFERROR(__xludf.DUMMYFUNCTION("""COMPUTED_VALUE"""),"RCEF 24-04-15")</f>
        <v>RCEF 24-04-15</v>
      </c>
      <c r="AO1086" s="2">
        <f>IFERROR(__xludf.DUMMYFUNCTION("""COMPUTED_VALUE"""),7.0)</f>
        <v>7</v>
      </c>
      <c r="AP1086" s="2" t="str">
        <f>IFERROR(__xludf.DUMMYFUNCTION("""COMPUTED_VALUE"""),"FREE PMS")</f>
        <v>FREE PMS</v>
      </c>
      <c r="AQ1086" s="2"/>
      <c r="AR1086" s="2"/>
      <c r="AS1086" s="2"/>
      <c r="AT1086" s="2"/>
      <c r="AU1086" s="2"/>
      <c r="AV1086" s="2"/>
      <c r="AW1086" s="2"/>
      <c r="AX1086" s="2"/>
      <c r="AY1086" s="2"/>
      <c r="AZ1086" s="2"/>
      <c r="BA1086" s="2"/>
      <c r="BB1086" s="2"/>
    </row>
    <row r="1087">
      <c r="A1087" s="2">
        <f>IFERROR(__xludf.DUMMYFUNCTION("""COMPUTED_VALUE"""),1083.0)</f>
        <v>1083</v>
      </c>
      <c r="B1087" s="2" t="str">
        <f>IFERROR(__xludf.DUMMYFUNCTION("""COMPUTED_VALUE"""),"COMPLETED")</f>
        <v>COMPLETED</v>
      </c>
      <c r="C1087" s="74">
        <f>IFERROR(__xludf.DUMMYFUNCTION("""COMPUTED_VALUE"""),45849.0)</f>
        <v>45849</v>
      </c>
      <c r="D1087" s="71" t="str">
        <f>IFERROR(__xludf.DUMMYFUNCTION("""COMPUTED_VALUE"""),"VILLAGUNDA IRRIGATORS ASSOCIATION INC.")</f>
        <v>VILLAGUNDA IRRIGATORS ASSOCIATION INC.</v>
      </c>
      <c r="E1087" s="71" t="str">
        <f>IFERROR(__xludf.DUMMYFUNCTION("""COMPUTED_VALUE"""),"Gundaway (Pob.), Cabarroguis, QUIRINO")</f>
        <v>Gundaway (Pob.), Cabarroguis, QUIRINO</v>
      </c>
      <c r="F1087" s="2" t="str">
        <f>IFERROR(__xludf.DUMMYFUNCTION("""COMPUTED_VALUE"""),"ARNOLD AGUSTIN")</f>
        <v>ARNOLD AGUSTIN</v>
      </c>
      <c r="G1087" s="2">
        <f>IFERROR(__xludf.DUMMYFUNCTION("""COMPUTED_VALUE"""),9.752996194E9)</f>
        <v>9752996194</v>
      </c>
      <c r="H1087" s="2">
        <f>IFERROR(__xludf.DUMMYFUNCTION("""COMPUTED_VALUE"""),356.0)</f>
        <v>356</v>
      </c>
      <c r="I1087" s="72" t="str">
        <f>IFERROR(__xludf.DUMMYFUNCTION("""COMPUTED_VALUE"""),"SPARE PARTS ACQUISITION")</f>
        <v>SPARE PARTS ACQUISITION</v>
      </c>
      <c r="J1087" s="72" t="str">
        <f>IFERROR(__xludf.DUMMYFUNCTION("""COMPUTED_VALUE"""),"PARTS REQUEST")</f>
        <v>PARTS REQUEST</v>
      </c>
      <c r="K1087" s="72" t="str">
        <f>IFERROR(__xludf.DUMMYFUNCTION("""COMPUTED_VALUE"""),"CFG: BEVEL GEAR 24T, OIL SEAL 55-85-12, BEARING 32211, HARD LOCK NUT, ")</f>
        <v>CFG: BEVEL GEAR 24T, OIL SEAL 55-85-12, BEARING 32211, HARD LOCK NUT, </v>
      </c>
      <c r="L1087" s="72" t="str">
        <f>IFERROR(__xludf.DUMMYFUNCTION("""COMPUTED_VALUE"""),"CFG: Nakausap ko po ito sabi po nya bibili dw po sya ng pyesa ng ROTA ngaun April. Wala pa dw po syang nasingil na pambayad sa pyesa kaya tatawag nlng dw po sya skin sa April kung may pambayad na po sya sa pyesa na order po nya.")</f>
        <v>CFG: Nakausap ko po ito sabi po nya bibili dw po sya ng pyesa ng ROTA ngaun April. Wala pa dw po syang nasingil na pambayad sa pyesa kaya tatawag nlng dw po sya skin sa April kung may pambayad na po sya sa pyesa na order po nya.</v>
      </c>
      <c r="M1087" s="2" t="str">
        <f>IFERROR(__xludf.DUMMYFUNCTION("""COMPUTED_VALUE"""),"BEVEL GEAR 24T
OIL SEAL 55-85-12
BEARING 32211
HARD LOCK NUT")</f>
        <v>BEVEL GEAR 24T
OIL SEAL 55-85-12
BEARING 32211
HARD LOCK NUT</v>
      </c>
      <c r="N1087" s="2"/>
      <c r="O1087" s="2" t="str">
        <f>IFERROR(__xludf.DUMMYFUNCTION("""COMPUTED_VALUE"""),"N/A")</f>
        <v>N/A</v>
      </c>
      <c r="P1087" s="2"/>
      <c r="Q1087" s="2"/>
      <c r="R1087" s="74">
        <f>IFERROR(__xludf.DUMMYFUNCTION("""COMPUTED_VALUE"""),46104.0)</f>
        <v>46104</v>
      </c>
      <c r="S1087" s="2" t="str">
        <f>IFERROR(__xludf.DUMMYFUNCTION("""COMPUTED_VALUE"""),"CFG")</f>
        <v>CFG</v>
      </c>
      <c r="T1087" s="73" t="str">
        <f>IFERROR(__xludf.DUMMYFUNCTION("""COMPUTED_VALUE""")," N/A ")</f>
        <v>N/A</v>
      </c>
      <c r="U1087" s="73" t="str">
        <f>IFERROR(__xludf.DUMMYFUNCTION("""COMPUTED_VALUE""")," NO CHARGE ")</f>
        <v>NO CHARGE</v>
      </c>
      <c r="V1087" s="2" t="str">
        <f>IFERROR(__xludf.DUMMYFUNCTION("""COMPUTED_VALUE"""),"N/A")</f>
        <v>N/A</v>
      </c>
      <c r="W1087" s="2" t="str">
        <f>IFERROR(__xludf.DUMMYFUNCTION("""COMPUTED_VALUE"""),"N/A")</f>
        <v>N/A</v>
      </c>
      <c r="X1087" s="2" t="str">
        <f>IFERROR(__xludf.DUMMYFUNCTION("""COMPUTED_VALUE"""),"N/A")</f>
        <v>N/A</v>
      </c>
      <c r="Y1087" s="2"/>
      <c r="Z1087" s="2"/>
      <c r="AA1087" s="2"/>
      <c r="AB1087" s="2"/>
      <c r="AC1087" s="2"/>
      <c r="AD1087" s="2"/>
      <c r="AE1087" s="2"/>
      <c r="AF1087" s="2"/>
      <c r="AG1087" s="2"/>
      <c r="AH1087" s="2"/>
      <c r="AI1087" s="2"/>
      <c r="AJ1087" s="2" t="str">
        <f>IFERROR(__xludf.DUMMYFUNCTION("""COMPUTED_VALUE"""),"Gundaway (Pob.)")</f>
        <v>Gundaway (Pob.)</v>
      </c>
      <c r="AK1087" s="2" t="str">
        <f>IFERROR(__xludf.DUMMYFUNCTION("""COMPUTED_VALUE"""),"Cabarroguis")</f>
        <v>Cabarroguis</v>
      </c>
      <c r="AL1087" s="2" t="str">
        <f>IFERROR(__xludf.DUMMYFUNCTION("""COMPUTED_VALUE"""),"Quirino")</f>
        <v>Quirino</v>
      </c>
      <c r="AM1087" s="2">
        <f>IFERROR(__xludf.DUMMYFUNCTION("""COMPUTED_VALUE"""),2.0)</f>
        <v>2</v>
      </c>
      <c r="AN1087" s="2" t="str">
        <f>IFERROR(__xludf.DUMMYFUNCTION("""COMPUTED_VALUE"""),"RCEF 23-09-21 Rebidding")</f>
        <v>RCEF 23-09-21 Rebidding</v>
      </c>
      <c r="AO1087" s="2">
        <f>IFERROR(__xludf.DUMMYFUNCTION("""COMPUTED_VALUE"""),9.0)</f>
        <v>9</v>
      </c>
      <c r="AP1087" s="2"/>
      <c r="AQ1087" s="2"/>
      <c r="AR1087" s="2"/>
      <c r="AS1087" s="2"/>
      <c r="AT1087" s="2"/>
      <c r="AU1087" s="2"/>
      <c r="AV1087" s="2"/>
      <c r="AW1087" s="2"/>
      <c r="AX1087" s="2"/>
      <c r="AY1087" s="2"/>
      <c r="AZ1087" s="2"/>
      <c r="BA1087" s="2"/>
      <c r="BB1087" s="2"/>
    </row>
    <row r="1088">
      <c r="A1088" s="2">
        <f>IFERROR(__xludf.DUMMYFUNCTION("""COMPUTED_VALUE"""),1084.0)</f>
        <v>1084</v>
      </c>
      <c r="B1088" s="2" t="str">
        <f>IFERROR(__xludf.DUMMYFUNCTION("""COMPUTED_VALUE"""),"COMPLETED")</f>
        <v>COMPLETED</v>
      </c>
      <c r="C1088" s="74">
        <f>IFERROR(__xludf.DUMMYFUNCTION("""COMPUTED_VALUE"""),45849.0)</f>
        <v>45849</v>
      </c>
      <c r="D1088" s="71" t="str">
        <f>IFERROR(__xludf.DUMMYFUNCTION("""COMPUTED_VALUE"""),"SITE GUAVA FARMERS INCORPORATED")</f>
        <v>SITE GUAVA FARMERS INCORPORATED</v>
      </c>
      <c r="E1088" s="71" t="str">
        <f>IFERROR(__xludf.DUMMYFUNCTION("""COMPUTED_VALUE"""),"Armenia, Tarlac City, TARLAC")</f>
        <v>Armenia, Tarlac City, TARLAC</v>
      </c>
      <c r="F1088" s="2" t="str">
        <f>IFERROR(__xludf.DUMMYFUNCTION("""COMPUTED_VALUE"""),"Ronnie yumul 
Robin yumul ")</f>
        <v>Ronnie yumul 
Robin yumul </v>
      </c>
      <c r="G1088" s="2" t="str">
        <f>IFERROR(__xludf.DUMMYFUNCTION("""COMPUTED_VALUE"""),"09661748217 09942965495")</f>
        <v>09661748217 09942965495</v>
      </c>
      <c r="H1088" s="2">
        <f>IFERROR(__xludf.DUMMYFUNCTION("""COMPUTED_VALUE"""),55.0)</f>
        <v>55</v>
      </c>
      <c r="I1088" s="72" t="str">
        <f>IFERROR(__xludf.DUMMYFUNCTION("""COMPUTED_VALUE"""),"PMS")</f>
        <v>PMS</v>
      </c>
      <c r="J1088" s="72" t="str">
        <f>IFERROR(__xludf.DUMMYFUNCTION("""COMPUTED_VALUE"""),"PMS")</f>
        <v>PMS</v>
      </c>
      <c r="K1088" s="72" t="str">
        <f>IFERROR(__xludf.DUMMYFUNCTION("""COMPUTED_VALUE"""),"MYK: FIRST PMS (FREE)")</f>
        <v>MYK: FIRST PMS (FREE)</v>
      </c>
      <c r="L1088" s="72" t="str">
        <f>IFERROR(__xludf.DUMMYFUNCTION("""COMPUTED_VALUE"""),"JDP: 1ST PMS DONE")</f>
        <v>JDP: 1ST PMS DONE</v>
      </c>
      <c r="M1088" s="2"/>
      <c r="N1088" s="2" t="str">
        <f>IFERROR(__xludf.DUMMYFUNCTION("""COMPUTED_VALUE"""),"PARTS: OIL FILTER, ENGINE OIL")</f>
        <v>PARTS: OIL FILTER, ENGINE OIL</v>
      </c>
      <c r="O1088" s="2">
        <f>IFERROR(__xludf.DUMMYFUNCTION("""COMPUTED_VALUE"""),1088.0)</f>
        <v>1088</v>
      </c>
      <c r="P1088" s="2"/>
      <c r="Q1088" s="2" t="str">
        <f>IFERROR(__xludf.DUMMYFUNCTION("""COMPUTED_VALUE"""),"y")</f>
        <v>y</v>
      </c>
      <c r="R1088" s="74">
        <f>IFERROR(__xludf.DUMMYFUNCTION("""COMPUTED_VALUE"""),45856.0)</f>
        <v>45856</v>
      </c>
      <c r="S1088" s="2" t="str">
        <f>IFERROR(__xludf.DUMMYFUNCTION("""COMPUTED_VALUE"""),"JDP/DSD")</f>
        <v>JDP/DSD</v>
      </c>
      <c r="T1088" s="73" t="str">
        <f>IFERROR(__xludf.DUMMYFUNCTION("""COMPUTED_VALUE""")," N/A ")</f>
        <v>N/A</v>
      </c>
      <c r="U1088" s="73" t="str">
        <f>IFERROR(__xludf.DUMMYFUNCTION("""COMPUTED_VALUE""")," NO CHARGE ")</f>
        <v>NO CHARGE</v>
      </c>
      <c r="V1088" s="2"/>
      <c r="W1088" s="2" t="str">
        <f>IFERROR(__xludf.DUMMYFUNCTION("""COMPUTED_VALUE"""),"N/A")</f>
        <v>N/A</v>
      </c>
      <c r="X1088" s="2" t="str">
        <f>IFERROR(__xludf.DUMMYFUNCTION("""COMPUTED_VALUE"""),"N/A")</f>
        <v>N/A</v>
      </c>
      <c r="Y1088" s="2"/>
      <c r="Z1088" s="2"/>
      <c r="AA1088" s="2"/>
      <c r="AB1088" s="2"/>
      <c r="AC1088" s="2"/>
      <c r="AD1088" s="2"/>
      <c r="AE1088" s="2"/>
      <c r="AF1088" s="2"/>
      <c r="AG1088" s="2"/>
      <c r="AH1088" s="2"/>
      <c r="AI1088" s="2"/>
      <c r="AJ1088" s="2" t="str">
        <f>IFERROR(__xludf.DUMMYFUNCTION("""COMPUTED_VALUE"""),"Armenia")</f>
        <v>Armenia</v>
      </c>
      <c r="AK1088" s="2" t="str">
        <f>IFERROR(__xludf.DUMMYFUNCTION("""COMPUTED_VALUE"""),"Tarlac City")</f>
        <v>Tarlac City</v>
      </c>
      <c r="AL1088" s="2" t="str">
        <f>IFERROR(__xludf.DUMMYFUNCTION("""COMPUTED_VALUE"""),"Tarlac")</f>
        <v>Tarlac</v>
      </c>
      <c r="AM1088" s="2">
        <f>IFERROR(__xludf.DUMMYFUNCTION("""COMPUTED_VALUE"""),3.0)</f>
        <v>3</v>
      </c>
      <c r="AN1088" s="2" t="str">
        <f>IFERROR(__xludf.DUMMYFUNCTION("""COMPUTED_VALUE"""),"RCEF 24-04-15")</f>
        <v>RCEF 24-04-15</v>
      </c>
      <c r="AO1088" s="2">
        <f>IFERROR(__xludf.DUMMYFUNCTION("""COMPUTED_VALUE"""),6.0)</f>
        <v>6</v>
      </c>
      <c r="AP1088" s="2" t="str">
        <f>IFERROR(__xludf.DUMMYFUNCTION("""COMPUTED_VALUE"""),"FREE PMS")</f>
        <v>FREE PMS</v>
      </c>
      <c r="AQ1088" s="2"/>
      <c r="AR1088" s="2"/>
      <c r="AS1088" s="2"/>
      <c r="AT1088" s="2"/>
      <c r="AU1088" s="2"/>
      <c r="AV1088" s="2"/>
      <c r="AW1088" s="2"/>
      <c r="AX1088" s="2"/>
      <c r="AY1088" s="2"/>
      <c r="AZ1088" s="2"/>
      <c r="BA1088" s="2"/>
      <c r="BB1088" s="2"/>
    </row>
    <row r="1089">
      <c r="A1089" s="2">
        <f>IFERROR(__xludf.DUMMYFUNCTION("""COMPUTED_VALUE"""),1085.0)</f>
        <v>1085</v>
      </c>
      <c r="B1089" s="2" t="str">
        <f>IFERROR(__xludf.DUMMYFUNCTION("""COMPUTED_VALUE"""),"COMPLETED")</f>
        <v>COMPLETED</v>
      </c>
      <c r="C1089" s="74">
        <f>IFERROR(__xludf.DUMMYFUNCTION("""COMPUTED_VALUE"""),45849.0)</f>
        <v>45849</v>
      </c>
      <c r="D1089" s="71" t="str">
        <f>IFERROR(__xludf.DUMMYFUNCTION("""COMPUTED_VALUE"""),"Nangalisan Multi Purpose Cooperative Inc.")</f>
        <v>Nangalisan Multi Purpose Cooperative Inc.</v>
      </c>
      <c r="E1089" s="71" t="str">
        <f>IFERROR(__xludf.DUMMYFUNCTION("""COMPUTED_VALUE"""),"Nangalisan, Bacnotan, LA UNION")</f>
        <v>Nangalisan, Bacnotan, LA UNION</v>
      </c>
      <c r="F1089" s="2"/>
      <c r="G1089" s="2"/>
      <c r="H1089" s="2">
        <f>IFERROR(__xludf.DUMMYFUNCTION("""COMPUTED_VALUE"""),335.0)</f>
        <v>335</v>
      </c>
      <c r="I1089" s="72" t="str">
        <f>IFERROR(__xludf.DUMMYFUNCTION("""COMPUTED_VALUE"""),"PMS")</f>
        <v>PMS</v>
      </c>
      <c r="J1089" s="72" t="str">
        <f>IFERROR(__xludf.DUMMYFUNCTION("""COMPUTED_VALUE"""),"PMS")</f>
        <v>PMS</v>
      </c>
      <c r="K1089" s="72" t="str">
        <f>IFERROR(__xludf.DUMMYFUNCTION("""COMPUTED_VALUE"""),"JVV: 2ND PMS")</f>
        <v>JVV: 2ND PMS</v>
      </c>
      <c r="L1089" s="72" t="str">
        <f>IFERROR(__xludf.DUMMYFUNCTION("""COMPUTED_VALUE"""),"JVV: 2ND PMS DONE")</f>
        <v>JVV: 2ND PMS DONE</v>
      </c>
      <c r="M1089" s="2"/>
      <c r="N1089" s="2" t="str">
        <f>IFERROR(__xludf.DUMMYFUNCTION("""COMPUTED_VALUE"""),"PARTS: OIL FILTER, HYDRAULIC FILTER")</f>
        <v>PARTS: OIL FILTER, HYDRAULIC FILTER</v>
      </c>
      <c r="O1089" s="2">
        <f>IFERROR(__xludf.DUMMYFUNCTION("""COMPUTED_VALUE"""),1187.0)</f>
        <v>1187</v>
      </c>
      <c r="P1089" s="2"/>
      <c r="Q1089" s="2" t="str">
        <f>IFERROR(__xludf.DUMMYFUNCTION("""COMPUTED_VALUE"""),"y")</f>
        <v>y</v>
      </c>
      <c r="R1089" s="74">
        <f>IFERROR(__xludf.DUMMYFUNCTION("""COMPUTED_VALUE"""),45849.0)</f>
        <v>45849</v>
      </c>
      <c r="S1089" s="2" t="str">
        <f>IFERROR(__xludf.DUMMYFUNCTION("""COMPUTED_VALUE"""),"JVV/CFG")</f>
        <v>JVV/CFG</v>
      </c>
      <c r="T1089" s="73">
        <f>IFERROR(__xludf.DUMMYFUNCTION("""COMPUTED_VALUE"""),4400.0)</f>
        <v>4400</v>
      </c>
      <c r="U1089" s="73" t="str">
        <f>IFERROR(__xludf.DUMMYFUNCTION("""COMPUTED_VALUE""")," FOR REMIT ")</f>
        <v>FOR REMIT</v>
      </c>
      <c r="V1089" s="2"/>
      <c r="W1089" s="2">
        <f>IFERROR(__xludf.DUMMYFUNCTION("""COMPUTED_VALUE"""),1574.0)</f>
        <v>1574</v>
      </c>
      <c r="X1089" s="2"/>
      <c r="Y1089" s="2"/>
      <c r="Z1089" s="2"/>
      <c r="AA1089" s="2"/>
      <c r="AB1089" s="2"/>
      <c r="AC1089" s="2"/>
      <c r="AD1089" s="2"/>
      <c r="AE1089" s="2"/>
      <c r="AF1089" s="2"/>
      <c r="AG1089" s="2"/>
      <c r="AH1089" s="2"/>
      <c r="AI1089" s="2"/>
      <c r="AJ1089" s="2" t="str">
        <f>IFERROR(__xludf.DUMMYFUNCTION("""COMPUTED_VALUE"""),"Nangalisan")</f>
        <v>Nangalisan</v>
      </c>
      <c r="AK1089" s="2" t="str">
        <f>IFERROR(__xludf.DUMMYFUNCTION("""COMPUTED_VALUE"""),"Bacnotan")</f>
        <v>Bacnotan</v>
      </c>
      <c r="AL1089" s="2" t="str">
        <f>IFERROR(__xludf.DUMMYFUNCTION("""COMPUTED_VALUE"""),"La Union")</f>
        <v>La Union</v>
      </c>
      <c r="AM1089" s="2">
        <f>IFERROR(__xludf.DUMMYFUNCTION("""COMPUTED_VALUE"""),1.0)</f>
        <v>1</v>
      </c>
      <c r="AN1089" s="2" t="str">
        <f>IFERROR(__xludf.DUMMYFUNCTION("""COMPUTED_VALUE"""),"RCEF 23-09-21 Rebidding")</f>
        <v>RCEF 23-09-21 Rebidding</v>
      </c>
      <c r="AO1089" s="2">
        <f>IFERROR(__xludf.DUMMYFUNCTION("""COMPUTED_VALUE"""),2.0)</f>
        <v>2</v>
      </c>
      <c r="AP1089" s="2"/>
      <c r="AQ1089" s="2"/>
      <c r="AR1089" s="2"/>
      <c r="AS1089" s="2"/>
      <c r="AT1089" s="2"/>
      <c r="AU1089" s="2"/>
      <c r="AV1089" s="2"/>
      <c r="AW1089" s="2"/>
      <c r="AX1089" s="2"/>
      <c r="AY1089" s="2"/>
      <c r="AZ1089" s="2"/>
      <c r="BA1089" s="2"/>
      <c r="BB1089" s="2"/>
    </row>
    <row r="1090">
      <c r="A1090" s="2">
        <f>IFERROR(__xludf.DUMMYFUNCTION("""COMPUTED_VALUE"""),1086.0)</f>
        <v>1086</v>
      </c>
      <c r="B1090" s="2" t="str">
        <f>IFERROR(__xludf.DUMMYFUNCTION("""COMPUTED_VALUE"""),"COMPLETED")</f>
        <v>COMPLETED</v>
      </c>
      <c r="C1090" s="74">
        <f>IFERROR(__xludf.DUMMYFUNCTION("""COMPUTED_VALUE"""),45851.0)</f>
        <v>45851</v>
      </c>
      <c r="D1090" s="71" t="str">
        <f>IFERROR(__xludf.DUMMYFUNCTION("""COMPUTED_VALUE"""),"CATAO PAGBIAGAN ASSOCIATION FOR DEVELOPMENT")</f>
        <v>CATAO PAGBIAGAN ASSOCIATION FOR DEVELOPMENT</v>
      </c>
      <c r="E1090" s="71" t="str">
        <f>IFERROR(__xludf.DUMMYFUNCTION("""COMPUTED_VALUE"""),"Laya East, Tabuk City, KALINGA")</f>
        <v>Laya East, Tabuk City, KALINGA</v>
      </c>
      <c r="F1090" s="2" t="str">
        <f>IFERROR(__xludf.DUMMYFUNCTION("""COMPUTED_VALUE"""),"Robert Liab")</f>
        <v>Robert Liab</v>
      </c>
      <c r="G1090" s="2">
        <f>IFERROR(__xludf.DUMMYFUNCTION("""COMPUTED_VALUE"""),9.556683409E9)</f>
        <v>9556683409</v>
      </c>
      <c r="H1090" s="2">
        <f>IFERROR(__xludf.DUMMYFUNCTION("""COMPUTED_VALUE"""),300.0)</f>
        <v>300</v>
      </c>
      <c r="I1090" s="72" t="str">
        <f>IFERROR(__xludf.DUMMYFUNCTION("""COMPUTED_VALUE"""),"PMS")</f>
        <v>PMS</v>
      </c>
      <c r="J1090" s="72" t="str">
        <f>IFERROR(__xludf.DUMMYFUNCTION("""COMPUTED_VALUE"""),"PMS")</f>
        <v>PMS</v>
      </c>
      <c r="K1090" s="72" t="str">
        <f>IFERROR(__xludf.DUMMYFUNCTION("""COMPUTED_VALUE"""),"CFG: 2ND PMS")</f>
        <v>CFG: 2ND PMS</v>
      </c>
      <c r="L1090" s="72" t="str">
        <f>IFERROR(__xludf.DUMMYFUNCTION("""COMPUTED_VALUE"""),"CFG: 2ND PMS DONE")</f>
        <v>CFG: 2ND PMS DONE</v>
      </c>
      <c r="M1090" s="2"/>
      <c r="N1090" s="2" t="str">
        <f>IFERROR(__xludf.DUMMYFUNCTION("""COMPUTED_VALUE"""),"PARTS: 
1 pc oil filter
1 pc hydraulic filter")</f>
        <v>PARTS: 
1 pc oil filter
1 pc hydraulic filter</v>
      </c>
      <c r="O1090" s="2">
        <f>IFERROR(__xludf.DUMMYFUNCTION("""COMPUTED_VALUE"""),1190.0)</f>
        <v>1190</v>
      </c>
      <c r="P1090" s="2"/>
      <c r="Q1090" s="2"/>
      <c r="R1090" s="74">
        <f>IFERROR(__xludf.DUMMYFUNCTION("""COMPUTED_VALUE"""),45862.0)</f>
        <v>45862</v>
      </c>
      <c r="S1090" s="2" t="str">
        <f>IFERROR(__xludf.DUMMYFUNCTION("""COMPUTED_VALUE"""),"CFG/ACS")</f>
        <v>CFG/ACS</v>
      </c>
      <c r="T1090" s="73">
        <f>IFERROR(__xludf.DUMMYFUNCTION("""COMPUTED_VALUE"""),4370.0)</f>
        <v>4370</v>
      </c>
      <c r="U1090" s="73" t="str">
        <f>IFERROR(__xludf.DUMMYFUNCTION("""COMPUTED_VALUE""")," REMITTED ")</f>
        <v>REMITTED</v>
      </c>
      <c r="V1090" s="2"/>
      <c r="W1090" s="2">
        <f>IFERROR(__xludf.DUMMYFUNCTION("""COMPUTED_VALUE"""),1752.0)</f>
        <v>1752</v>
      </c>
      <c r="X1090" s="2">
        <f>IFERROR(__xludf.DUMMYFUNCTION("""COMPUTED_VALUE"""),1535.0)</f>
        <v>1535</v>
      </c>
      <c r="Y1090" s="2"/>
      <c r="Z1090" s="2"/>
      <c r="AA1090" s="2"/>
      <c r="AB1090" s="2"/>
      <c r="AC1090" s="2"/>
      <c r="AD1090" s="2"/>
      <c r="AE1090" s="2"/>
      <c r="AF1090" s="2"/>
      <c r="AG1090" s="2"/>
      <c r="AH1090" s="2"/>
      <c r="AI1090" s="2"/>
      <c r="AJ1090" s="2" t="str">
        <f>IFERROR(__xludf.DUMMYFUNCTION("""COMPUTED_VALUE"""),"Laya East")</f>
        <v>Laya East</v>
      </c>
      <c r="AK1090" s="2" t="str">
        <f>IFERROR(__xludf.DUMMYFUNCTION("""COMPUTED_VALUE"""),"Tabuk City")</f>
        <v>Tabuk City</v>
      </c>
      <c r="AL1090" s="2" t="str">
        <f>IFERROR(__xludf.DUMMYFUNCTION("""COMPUTED_VALUE"""),"Kalinga")</f>
        <v>Kalinga</v>
      </c>
      <c r="AM1090" s="2" t="str">
        <f>IFERROR(__xludf.DUMMYFUNCTION("""COMPUTED_VALUE"""),"CAR")</f>
        <v>CAR</v>
      </c>
      <c r="AN1090" s="2" t="str">
        <f>IFERROR(__xludf.DUMMYFUNCTION("""COMPUTED_VALUE"""),"RCEF 24-04-15")</f>
        <v>RCEF 24-04-15</v>
      </c>
      <c r="AO1090" s="2">
        <f>IFERROR(__xludf.DUMMYFUNCTION("""COMPUTED_VALUE"""),6.0)</f>
        <v>6</v>
      </c>
      <c r="AP1090" s="2" t="str">
        <f>IFERROR(__xludf.DUMMYFUNCTION("""COMPUTED_VALUE"""),"FREE PMS")</f>
        <v>FREE PMS</v>
      </c>
      <c r="AQ1090" s="2"/>
      <c r="AR1090" s="2"/>
      <c r="AS1090" s="2"/>
      <c r="AT1090" s="2"/>
      <c r="AU1090" s="2"/>
      <c r="AV1090" s="2"/>
      <c r="AW1090" s="2"/>
      <c r="AX1090" s="2"/>
      <c r="AY1090" s="2"/>
      <c r="AZ1090" s="2"/>
      <c r="BA1090" s="2"/>
      <c r="BB1090" s="2"/>
    </row>
    <row r="1091">
      <c r="A1091" s="2">
        <f>IFERROR(__xludf.DUMMYFUNCTION("""COMPUTED_VALUE"""),1087.0)</f>
        <v>1087</v>
      </c>
      <c r="B1091" s="2" t="str">
        <f>IFERROR(__xludf.DUMMYFUNCTION("""COMPUTED_VALUE"""),"COMPLETED")</f>
        <v>COMPLETED</v>
      </c>
      <c r="C1091" s="74">
        <f>IFERROR(__xludf.DUMMYFUNCTION("""COMPUTED_VALUE"""),45852.0)</f>
        <v>45852</v>
      </c>
      <c r="D1091" s="71" t="str">
        <f>IFERROR(__xludf.DUMMYFUNCTION("""COMPUTED_VALUE"""),"BALOPAPU FARMERS ASSOCIATION, INC.")</f>
        <v>BALOPAPU FARMERS ASSOCIATION, INC.</v>
      </c>
      <c r="E1091" s="71" t="str">
        <f>IFERROR(__xludf.DUMMYFUNCTION("""COMPUTED_VALUE"""),"Barayong, Ligao City, ALBAY")</f>
        <v>Barayong, Ligao City, ALBAY</v>
      </c>
      <c r="F1091" s="2" t="str">
        <f>IFERROR(__xludf.DUMMYFUNCTION("""COMPUTED_VALUE"""),"Clemente Murillo Jr")</f>
        <v>Clemente Murillo Jr</v>
      </c>
      <c r="G1091" s="2">
        <f>IFERROR(__xludf.DUMMYFUNCTION("""COMPUTED_VALUE"""),9.98992219E8)</f>
        <v>998992219</v>
      </c>
      <c r="H1091" s="2">
        <f>IFERROR(__xludf.DUMMYFUNCTION("""COMPUTED_VALUE"""),81.0)</f>
        <v>81</v>
      </c>
      <c r="I1091" s="72" t="str">
        <f>IFERROR(__xludf.DUMMYFUNCTION("""COMPUTED_VALUE"""),"REPAIR - TRACTOR")</f>
        <v>REPAIR - TRACTOR</v>
      </c>
      <c r="J1091" s="72" t="str">
        <f>IFERROR(__xludf.DUMMYFUNCTION("""COMPUTED_VALUE"""),"Transmission - Clutch")</f>
        <v>Transmission - Clutch</v>
      </c>
      <c r="K1091" s="72" t="str">
        <f>IFERROR(__xludf.DUMMYFUNCTION("""COMPUTED_VALUE"""),"JTT: Problem kumapit Ang clutch linIng need to replace
PARTS:
CLUTCH DISC ASSY
KFS: Clutch lining. Try lang daw palinis muna @⁨Joseph⁩. Babayaran service. Pero magready padin kayo pyesa")</f>
        <v>JTT: Problem kumapit Ang clutch linIng need to replace
PARTS:
CLUTCH DISC ASSY
KFS: Clutch lining. Try lang daw palinis muna @⁨Joseph⁩. Babayaran service. Pero magready padin kayo pyesa</v>
      </c>
      <c r="L1091" s="72" t="str">
        <f>IFERROR(__xludf.DUMMYFUNCTION("""COMPUTED_VALUE"""),"FPJ: HINDI KAYA NI FERNAN AT DI RIN KAYA NG BUDGET NG FCA
JAH: CLEANING OF CLUTCH LINING AND REPLACED RELEASE BEARING")</f>
        <v>FPJ: HINDI KAYA NI FERNAN AT DI RIN KAYA NG BUDGET NG FCA
JAH: CLEANING OF CLUTCH LINING AND REPLACED RELEASE BEARING</v>
      </c>
      <c r="M1091" s="2"/>
      <c r="N1091" s="2" t="str">
        <f>IFERROR(__xludf.DUMMYFUNCTION("""COMPUTED_VALUE"""),"PARTS:
RELEASE BEARING TT4003000")</f>
        <v>PARTS:
RELEASE BEARING TT4003000</v>
      </c>
      <c r="O1091" s="2">
        <f>IFERROR(__xludf.DUMMYFUNCTION("""COMPUTED_VALUE"""),378.0)</f>
        <v>378</v>
      </c>
      <c r="P1091" s="2"/>
      <c r="Q1091" s="2" t="str">
        <f>IFERROR(__xludf.DUMMYFUNCTION("""COMPUTED_VALUE"""),"y")</f>
        <v>y</v>
      </c>
      <c r="R1091" s="74">
        <f>IFERROR(__xludf.DUMMYFUNCTION("""COMPUTED_VALUE"""),45986.0)</f>
        <v>45986</v>
      </c>
      <c r="S1091" s="2" t="str">
        <f>IFERROR(__xludf.DUMMYFUNCTION("""COMPUTED_VALUE"""),"JTT/JAH")</f>
        <v>JTT/JAH</v>
      </c>
      <c r="T1091" s="73">
        <f>IFERROR(__xludf.DUMMYFUNCTION("""COMPUTED_VALUE"""),14220.0)</f>
        <v>14220</v>
      </c>
      <c r="U1091" s="73" t="str">
        <f>IFERROR(__xludf.DUMMYFUNCTION("""COMPUTED_VALUE""")," REMITTED ")</f>
        <v>REMITTED</v>
      </c>
      <c r="V1091" s="2"/>
      <c r="W1091" s="2">
        <f>IFERROR(__xludf.DUMMYFUNCTION("""COMPUTED_VALUE"""),1867.0)</f>
        <v>1867</v>
      </c>
      <c r="X1091" s="2">
        <f>IFERROR(__xludf.DUMMYFUNCTION("""COMPUTED_VALUE"""),1611.0)</f>
        <v>1611</v>
      </c>
      <c r="Y1091" s="2"/>
      <c r="Z1091" s="2"/>
      <c r="AA1091" s="2"/>
      <c r="AB1091" s="2"/>
      <c r="AC1091" s="2"/>
      <c r="AD1091" s="2"/>
      <c r="AE1091" s="2"/>
      <c r="AF1091" s="2"/>
      <c r="AG1091" s="2"/>
      <c r="AH1091" s="2"/>
      <c r="AI1091" s="2"/>
      <c r="AJ1091" s="2" t="str">
        <f>IFERROR(__xludf.DUMMYFUNCTION("""COMPUTED_VALUE"""),"Barayong")</f>
        <v>Barayong</v>
      </c>
      <c r="AK1091" s="2" t="str">
        <f>IFERROR(__xludf.DUMMYFUNCTION("""COMPUTED_VALUE"""),"Ligao City")</f>
        <v>Ligao City</v>
      </c>
      <c r="AL1091" s="2" t="str">
        <f>IFERROR(__xludf.DUMMYFUNCTION("""COMPUTED_VALUE"""),"Albay")</f>
        <v>Albay</v>
      </c>
      <c r="AM1091" s="2">
        <f>IFERROR(__xludf.DUMMYFUNCTION("""COMPUTED_VALUE"""),5.0)</f>
        <v>5</v>
      </c>
      <c r="AN1091" s="2" t="str">
        <f>IFERROR(__xludf.DUMMYFUNCTION("""COMPUTED_VALUE"""),"RCEF 24-04-15")</f>
        <v>RCEF 24-04-15</v>
      </c>
      <c r="AO1091" s="2">
        <f>IFERROR(__xludf.DUMMYFUNCTION("""COMPUTED_VALUE"""),7.0)</f>
        <v>7</v>
      </c>
      <c r="AP1091" s="2" t="str">
        <f>IFERROR(__xludf.DUMMYFUNCTION("""COMPUTED_VALUE"""),"FREE PMS")</f>
        <v>FREE PMS</v>
      </c>
      <c r="AQ1091" s="2"/>
      <c r="AR1091" s="2"/>
      <c r="AS1091" s="2"/>
      <c r="AT1091" s="2"/>
      <c r="AU1091" s="2"/>
      <c r="AV1091" s="2"/>
      <c r="AW1091" s="2"/>
      <c r="AX1091" s="2"/>
      <c r="AY1091" s="2"/>
      <c r="AZ1091" s="2"/>
      <c r="BA1091" s="2"/>
      <c r="BB1091" s="2"/>
    </row>
    <row r="1092">
      <c r="A1092" s="2">
        <f>IFERROR(__xludf.DUMMYFUNCTION("""COMPUTED_VALUE"""),1088.0)</f>
        <v>1088</v>
      </c>
      <c r="B1092" s="2" t="str">
        <f>IFERROR(__xludf.DUMMYFUNCTION("""COMPUTED_VALUE"""),"PENDING")</f>
        <v>PENDING</v>
      </c>
      <c r="C1092" s="74">
        <f>IFERROR(__xludf.DUMMYFUNCTION("""COMPUTED_VALUE"""),45852.0)</f>
        <v>45852</v>
      </c>
      <c r="D1092" s="71" t="str">
        <f>IFERROR(__xludf.DUMMYFUNCTION("""COMPUTED_VALUE"""),"BARANGAY BAGONG SIKAT FARMERS ASSOCIATION")</f>
        <v>BARANGAY BAGONG SIKAT FARMERS ASSOCIATION</v>
      </c>
      <c r="E1092" s="71" t="str">
        <f>IFERROR(__xludf.DUMMYFUNCTION("""COMPUTED_VALUE"""),"Bagong Sikat, Cabanatuan City, NUEVA ECIJA")</f>
        <v>Bagong Sikat, Cabanatuan City, NUEVA ECIJA</v>
      </c>
      <c r="F1092" s="2" t="str">
        <f>IFERROR(__xludf.DUMMYFUNCTION("""COMPUTED_VALUE"""),"Manolito Delos Reyes")</f>
        <v>Manolito Delos Reyes</v>
      </c>
      <c r="G1092" s="2">
        <f>IFERROR(__xludf.DUMMYFUNCTION("""COMPUTED_VALUE"""),9.388270938E9)</f>
        <v>9388270938</v>
      </c>
      <c r="H1092" s="2">
        <f>IFERROR(__xludf.DUMMYFUNCTION("""COMPUTED_VALUE"""),86.6)</f>
        <v>86.6</v>
      </c>
      <c r="I1092" s="72" t="str">
        <f>IFERROR(__xludf.DUMMYFUNCTION("""COMPUTED_VALUE"""),"REPAIR - DISC PLOW")</f>
        <v>REPAIR - DISC PLOW</v>
      </c>
      <c r="J1092" s="72" t="str">
        <f>IFERROR(__xludf.DUMMYFUNCTION("""COMPUTED_VALUE"""),"Gearbox")</f>
        <v>Gearbox</v>
      </c>
      <c r="K1092" s="72" t="str">
        <f>IFERROR(__xludf.DUMMYFUNCTION("""COMPUTED_VALUE"""),"MYK: Nabangal yung araro disco, kumakatas yung langis sa makina
1089:DSD:7/21/25
NAPUTOL ANG DISC FLANGE AXIS NG DISC PLOW
9/12/25:JVV:
naputol yung disk flange axis ng disc plough
Parts needs for Disc plough
1. OIL SEAL (458512T)
2.Disc Flange Axis
3"&amp;".Tapper Roller Bearing (30208)")</f>
        <v>MYK: Nabangal yung araro disco, kumakatas yung langis sa makina
1089:DSD:7/21/25
NAPUTOL ANG DISC FLANGE AXIS NG DISC PLOW
9/12/25:JVV:
naputol yung disk flange axis ng disc plough
Parts needs for Disc plough
1. OIL SEAL (458512T)
2.Disc Flange Axis
3.Tapper Roller Bearing (30208)</v>
      </c>
      <c r="L1092" s="72" t="str">
        <f>IFERROR(__xludf.DUMMYFUNCTION("""COMPUTED_VALUE"""),"MYK: DISC FLANGE AXIS - REQUESTED FOR PO
BEARING 30208 -  AVAILABLE WH")</f>
        <v>MYK: DISC FLANGE AXIS - REQUESTED FOR PO
BEARING 30208 -  AVAILABLE WH</v>
      </c>
      <c r="M1092" s="2" t="str">
        <f>IFERROR(__xludf.DUMMYFUNCTION("""COMPUTED_VALUE"""),"OI SEAL 45-85-12T
DISCK FALNGE AXIS
BEARING 30208")</f>
        <v>OI SEAL 45-85-12T
DISCK FALNGE AXIS
BEARING 30208</v>
      </c>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t="str">
        <f>IFERROR(__xludf.DUMMYFUNCTION("""COMPUTED_VALUE"""),"Bagong Sikat")</f>
        <v>Bagong Sikat</v>
      </c>
      <c r="AK1092" s="2" t="str">
        <f>IFERROR(__xludf.DUMMYFUNCTION("""COMPUTED_VALUE"""),"Cabanatuan City")</f>
        <v>Cabanatuan City</v>
      </c>
      <c r="AL1092" s="2" t="str">
        <f>IFERROR(__xludf.DUMMYFUNCTION("""COMPUTED_VALUE"""),"Nueva Ecija")</f>
        <v>Nueva Ecija</v>
      </c>
      <c r="AM1092" s="2">
        <f>IFERROR(__xludf.DUMMYFUNCTION("""COMPUTED_VALUE"""),3.0)</f>
        <v>3</v>
      </c>
      <c r="AN1092" s="2" t="str">
        <f>IFERROR(__xludf.DUMMYFUNCTION("""COMPUTED_VALUE"""),"RCEF 23-09-21 Rebidding")</f>
        <v>RCEF 23-09-21 Rebidding</v>
      </c>
      <c r="AO1092" s="2">
        <f>IFERROR(__xludf.DUMMYFUNCTION("""COMPUTED_VALUE"""),3.0)</f>
        <v>3</v>
      </c>
      <c r="AP1092" s="2"/>
      <c r="AQ1092" s="2"/>
      <c r="AR1092" s="2"/>
      <c r="AS1092" s="2"/>
      <c r="AT1092" s="2"/>
      <c r="AU1092" s="2"/>
      <c r="AV1092" s="2"/>
      <c r="AW1092" s="2"/>
      <c r="AX1092" s="2"/>
      <c r="AY1092" s="2"/>
      <c r="AZ1092" s="2"/>
      <c r="BA1092" s="2"/>
      <c r="BB1092" s="2"/>
    </row>
    <row r="1093">
      <c r="A1093" s="2">
        <f>IFERROR(__xludf.DUMMYFUNCTION("""COMPUTED_VALUE"""),1089.0)</f>
        <v>1089</v>
      </c>
      <c r="B1093" s="2" t="str">
        <f>IFERROR(__xludf.DUMMYFUNCTION("""COMPUTED_VALUE"""),"COMPLETED")</f>
        <v>COMPLETED</v>
      </c>
      <c r="C1093" s="74">
        <f>IFERROR(__xludf.DUMMYFUNCTION("""COMPUTED_VALUE"""),45853.0)</f>
        <v>45853</v>
      </c>
      <c r="D1093" s="71" t="str">
        <f>IFERROR(__xludf.DUMMYFUNCTION("""COMPUTED_VALUE"""),"San Pedro United Farmers Association")</f>
        <v>San Pedro United Farmers Association</v>
      </c>
      <c r="E1093" s="71" t="str">
        <f>IFERROR(__xludf.DUMMYFUNCTION("""COMPUTED_VALUE"""),"San Pedro, Pilar, CAPIZ")</f>
        <v>San Pedro, Pilar, CAPIZ</v>
      </c>
      <c r="F1093" s="2" t="str">
        <f>IFERROR(__xludf.DUMMYFUNCTION("""COMPUTED_VALUE"""),"Ronnnie Muyco")</f>
        <v>Ronnnie Muyco</v>
      </c>
      <c r="G1093" s="2" t="str">
        <f>IFERROR(__xludf.DUMMYFUNCTION("""COMPUTED_VALUE"""),"&gt;09613080999
&gt;09535222999")</f>
        <v>&gt;09613080999
&gt;09535222999</v>
      </c>
      <c r="H1093" s="2">
        <f>IFERROR(__xludf.DUMMYFUNCTION("""COMPUTED_VALUE"""),909.0)</f>
        <v>909</v>
      </c>
      <c r="I1093" s="72" t="str">
        <f>IFERROR(__xludf.DUMMYFUNCTION("""COMPUTED_VALUE"""),"SPARE PARTS ACQUISITION")</f>
        <v>SPARE PARTS ACQUISITION</v>
      </c>
      <c r="J1093" s="72"/>
      <c r="K1093" s="72" t="str">
        <f>IFERROR(__xludf.DUMMYFUNCTION("""COMPUTED_VALUE"""),"PARTS: FRONT AXLE OIL SEAL / 2- OIL SEAL TA000041359A = 6760")</f>
        <v>PARTS: FRONT AXLE OIL SEAL / 2- OIL SEAL TA000041359A = 6760</v>
      </c>
      <c r="L1093" s="72" t="str">
        <f>IFERROR(__xludf.DUMMYFUNCTION("""COMPUTED_VALUE"""),"QUOTATION SENT: PRICE SENT: PAID: FOR SHIPPING:")</f>
        <v>QUOTATION SENT: PRICE SENT: PAID: FOR SHIPPING:</v>
      </c>
      <c r="M1093" s="2"/>
      <c r="N1093" s="2" t="str">
        <f>IFERROR(__xludf.DUMMYFUNCTION("""COMPUTED_VALUE"""),"PARTS: 2- OIL SEAL TA000041359A")</f>
        <v>PARTS: 2- OIL SEAL TA000041359A</v>
      </c>
      <c r="O1093" s="2" t="str">
        <f>IFERROR(__xludf.DUMMYFUNCTION("""COMPUTED_VALUE"""),"N/A")</f>
        <v>N/A</v>
      </c>
      <c r="P1093" s="2"/>
      <c r="Q1093" s="2"/>
      <c r="R1093" s="74">
        <f>IFERROR(__xludf.DUMMYFUNCTION("""COMPUTED_VALUE"""),45860.0)</f>
        <v>45860</v>
      </c>
      <c r="S1093" s="2" t="str">
        <f>IFERROR(__xludf.DUMMYFUNCTION("""COMPUTED_VALUE"""),"MYKEE")</f>
        <v>MYKEE</v>
      </c>
      <c r="T1093" s="73">
        <f>IFERROR(__xludf.DUMMYFUNCTION("""COMPUTED_VALUE"""),6760.0)</f>
        <v>6760</v>
      </c>
      <c r="U1093" s="73" t="str">
        <f>IFERROR(__xludf.DUMMYFUNCTION("""COMPUTED_VALUE""")," REMITTED ")</f>
        <v>REMITTED</v>
      </c>
      <c r="V1093" s="2"/>
      <c r="W1093" s="2">
        <f>IFERROR(__xludf.DUMMYFUNCTION("""COMPUTED_VALUE"""),1506.0)</f>
        <v>1506</v>
      </c>
      <c r="X1093" s="2">
        <f>IFERROR(__xludf.DUMMYFUNCTION("""COMPUTED_VALUE"""),1504.0)</f>
        <v>1504</v>
      </c>
      <c r="Y1093" s="2"/>
      <c r="Z1093" s="2"/>
      <c r="AA1093" s="2"/>
      <c r="AB1093" s="2"/>
      <c r="AC1093" s="2"/>
      <c r="AD1093" s="2"/>
      <c r="AE1093" s="2"/>
      <c r="AF1093" s="2"/>
      <c r="AG1093" s="2"/>
      <c r="AH1093" s="2"/>
      <c r="AI1093" s="2"/>
      <c r="AJ1093" s="2" t="str">
        <f>IFERROR(__xludf.DUMMYFUNCTION("""COMPUTED_VALUE"""),"San Pedro")</f>
        <v>San Pedro</v>
      </c>
      <c r="AK1093" s="2" t="str">
        <f>IFERROR(__xludf.DUMMYFUNCTION("""COMPUTED_VALUE"""),"Pilar")</f>
        <v>Pilar</v>
      </c>
      <c r="AL1093" s="2" t="str">
        <f>IFERROR(__xludf.DUMMYFUNCTION("""COMPUTED_VALUE"""),"Capiz")</f>
        <v>Capiz</v>
      </c>
      <c r="AM1093" s="2">
        <f>IFERROR(__xludf.DUMMYFUNCTION("""COMPUTED_VALUE"""),6.0)</f>
        <v>6</v>
      </c>
      <c r="AN1093" s="2" t="str">
        <f>IFERROR(__xludf.DUMMYFUNCTION("""COMPUTED_VALUE"""),"RCEF 23-09-21 Rebidding")</f>
        <v>RCEF 23-09-21 Rebidding</v>
      </c>
      <c r="AO1093" s="2">
        <f>IFERROR(__xludf.DUMMYFUNCTION("""COMPUTED_VALUE"""),4.0)</f>
        <v>4</v>
      </c>
      <c r="AP1093" s="2"/>
      <c r="AQ1093" s="2"/>
      <c r="AR1093" s="2"/>
      <c r="AS1093" s="2"/>
      <c r="AT1093" s="2"/>
      <c r="AU1093" s="2"/>
      <c r="AV1093" s="2"/>
      <c r="AW1093" s="2"/>
      <c r="AX1093" s="2"/>
      <c r="AY1093" s="2"/>
      <c r="AZ1093" s="2"/>
      <c r="BA1093" s="2"/>
      <c r="BB1093" s="2"/>
    </row>
    <row r="1094">
      <c r="A1094" s="2">
        <f>IFERROR(__xludf.DUMMYFUNCTION("""COMPUTED_VALUE"""),1090.0)</f>
        <v>1090</v>
      </c>
      <c r="B1094" s="2" t="str">
        <f>IFERROR(__xludf.DUMMYFUNCTION("""COMPUTED_VALUE"""),"COMPLETED")</f>
        <v>COMPLETED</v>
      </c>
      <c r="C1094" s="74">
        <f>IFERROR(__xludf.DUMMYFUNCTION("""COMPUTED_VALUE"""),45853.0)</f>
        <v>45853</v>
      </c>
      <c r="D1094" s="71" t="str">
        <f>IFERROR(__xludf.DUMMYFUNCTION("""COMPUTED_VALUE"""),"CORON FARMER'S FEDERATION")</f>
        <v>CORON FARMER'S FEDERATION</v>
      </c>
      <c r="E1094" s="71" t="str">
        <f>IFERROR(__xludf.DUMMYFUNCTION("""COMPUTED_VALUE"""),"Borac, Coron, Palawan")</f>
        <v>Borac, Coron, Palawan</v>
      </c>
      <c r="F1094" s="2" t="str">
        <f>IFERROR(__xludf.DUMMYFUNCTION("""COMPUTED_VALUE"""),"Numeriano Echague")</f>
        <v>Numeriano Echague</v>
      </c>
      <c r="G1094" s="2">
        <f>IFERROR(__xludf.DUMMYFUNCTION("""COMPUTED_VALUE"""),9.621682786E9)</f>
        <v>9621682786</v>
      </c>
      <c r="H1094" s="2"/>
      <c r="I1094" s="72" t="str">
        <f>IFERROR(__xludf.DUMMYFUNCTION("""COMPUTED_VALUE"""),"SPARE PARTS ACQUISITION")</f>
        <v>SPARE PARTS ACQUISITION</v>
      </c>
      <c r="J1094" s="72" t="str">
        <f>IFERROR(__xludf.DUMMYFUNCTION("""COMPUTED_VALUE"""),"PARTS REQUEST")</f>
        <v>PARTS REQUEST</v>
      </c>
      <c r="K1094" s="72" t="str">
        <f>IFERROR(__xludf.DUMMYFUNCTION("""COMPUTED_VALUE"""),"PARTS: FIXED COVER  = 1,760")</f>
        <v>PARTS: FIXED COVER  = 1,760</v>
      </c>
      <c r="L1094" s="72" t="str">
        <f>IFERROR(__xludf.DUMMYFUNCTION("""COMPUTED_VALUE"""),"QUOTATION SENT: NO RESPOSE FROM FCA")</f>
        <v>QUOTATION SENT: NO RESPOSE FROM FCA</v>
      </c>
      <c r="M1094" s="2"/>
      <c r="N1094" s="2"/>
      <c r="O1094" s="2" t="str">
        <f>IFERROR(__xludf.DUMMYFUNCTION("""COMPUTED_VALUE"""),"N/A")</f>
        <v>N/A</v>
      </c>
      <c r="P1094" s="2"/>
      <c r="Q1094" s="2"/>
      <c r="R1094" s="74">
        <f>IFERROR(__xludf.DUMMYFUNCTION("""COMPUTED_VALUE"""),46045.0)</f>
        <v>46045</v>
      </c>
      <c r="S1094" s="2" t="str">
        <f>IFERROR(__xludf.DUMMYFUNCTION("""COMPUTED_VALUE"""),"MYKEE")</f>
        <v>MYKEE</v>
      </c>
      <c r="T1094" s="73" t="str">
        <f>IFERROR(__xludf.DUMMYFUNCTION("""COMPUTED_VALUE""")," N/A ")</f>
        <v>N/A</v>
      </c>
      <c r="U1094" s="73" t="str">
        <f>IFERROR(__xludf.DUMMYFUNCTION("""COMPUTED_VALUE""")," NO CHARGE ")</f>
        <v>NO CHARGE</v>
      </c>
      <c r="V1094" s="2"/>
      <c r="W1094" s="2" t="str">
        <f>IFERROR(__xludf.DUMMYFUNCTION("""COMPUTED_VALUE"""),"N/A")</f>
        <v>N/A</v>
      </c>
      <c r="X1094" s="2" t="str">
        <f>IFERROR(__xludf.DUMMYFUNCTION("""COMPUTED_VALUE"""),"N/A")</f>
        <v>N/A</v>
      </c>
      <c r="Y1094" s="2"/>
      <c r="Z1094" s="2"/>
      <c r="AA1094" s="2"/>
      <c r="AB1094" s="2"/>
      <c r="AC1094" s="2"/>
      <c r="AD1094" s="2"/>
      <c r="AE1094" s="2"/>
      <c r="AF1094" s="2"/>
      <c r="AG1094" s="2"/>
      <c r="AH1094" s="2"/>
      <c r="AI1094" s="2"/>
      <c r="AJ1094" s="2" t="str">
        <f>IFERROR(__xludf.DUMMYFUNCTION("""COMPUTED_VALUE"""),"Borac")</f>
        <v>Borac</v>
      </c>
      <c r="AK1094" s="2" t="str">
        <f>IFERROR(__xludf.DUMMYFUNCTION("""COMPUTED_VALUE"""),"Coron")</f>
        <v>Coron</v>
      </c>
      <c r="AL1094" s="2" t="str">
        <f>IFERROR(__xludf.DUMMYFUNCTION("""COMPUTED_VALUE"""),"Palawan")</f>
        <v>Palawan</v>
      </c>
      <c r="AM1094" s="2" t="str">
        <f>IFERROR(__xludf.DUMMYFUNCTION("""COMPUTED_VALUE"""),"4B")</f>
        <v>4B</v>
      </c>
      <c r="AN1094" s="2" t="str">
        <f>IFERROR(__xludf.DUMMYFUNCTION("""COMPUTED_VALUE"""),"RCEF 23-08-20 Rebidding")</f>
        <v>RCEF 23-08-20 Rebidding</v>
      </c>
      <c r="AO1094" s="2">
        <f>IFERROR(__xludf.DUMMYFUNCTION("""COMPUTED_VALUE"""),1.0)</f>
        <v>1</v>
      </c>
      <c r="AP1094" s="2"/>
      <c r="AQ1094" s="2"/>
      <c r="AR1094" s="2"/>
      <c r="AS1094" s="2"/>
      <c r="AT1094" s="2"/>
      <c r="AU1094" s="2"/>
      <c r="AV1094" s="2"/>
      <c r="AW1094" s="2"/>
      <c r="AX1094" s="2"/>
      <c r="AY1094" s="2"/>
      <c r="AZ1094" s="2"/>
      <c r="BA1094" s="2"/>
      <c r="BB1094" s="2"/>
    </row>
    <row r="1095">
      <c r="A1095" s="2">
        <f>IFERROR(__xludf.DUMMYFUNCTION("""COMPUTED_VALUE"""),1091.0)</f>
        <v>1091</v>
      </c>
      <c r="B1095" s="2" t="str">
        <f>IFERROR(__xludf.DUMMYFUNCTION("""COMPUTED_VALUE"""),"COMPLETED")</f>
        <v>COMPLETED</v>
      </c>
      <c r="C1095" s="74">
        <f>IFERROR(__xludf.DUMMYFUNCTION("""COMPUTED_VALUE"""),45853.0)</f>
        <v>45853</v>
      </c>
      <c r="D1095" s="71" t="str">
        <f>IFERROR(__xludf.DUMMYFUNCTION("""COMPUTED_VALUE"""),"Holy Trinity Cathedral Multipurpose Cooperative")</f>
        <v>Holy Trinity Cathedral Multipurpose Cooperative</v>
      </c>
      <c r="E1095" s="71" t="str">
        <f>IFERROR(__xludf.DUMMYFUNCTION("""COMPUTED_VALUE"""),"Bulanao, Tabuk City, KALINGA")</f>
        <v>Bulanao, Tabuk City, KALINGA</v>
      </c>
      <c r="F1095" s="2" t="str">
        <f>IFERROR(__xludf.DUMMYFUNCTION("""COMPUTED_VALUE"""),"BRENDA DELAN")</f>
        <v>BRENDA DELAN</v>
      </c>
      <c r="G1095" s="2"/>
      <c r="H1095" s="2">
        <f>IFERROR(__xludf.DUMMYFUNCTION("""COMPUTED_VALUE"""),394.0)</f>
        <v>394</v>
      </c>
      <c r="I1095" s="72" t="str">
        <f>IFERROR(__xludf.DUMMYFUNCTION("""COMPUTED_VALUE"""),"SPARE PARTS ACQUISITION")</f>
        <v>SPARE PARTS ACQUISITION</v>
      </c>
      <c r="J1095" s="72" t="str">
        <f>IFERROR(__xludf.DUMMYFUNCTION("""COMPUTED_VALUE"""),"PARTS REQUEST")</f>
        <v>PARTS REQUEST</v>
      </c>
      <c r="K1095" s="72" t="str">
        <f>IFERROR(__xludf.DUMMYFUNCTION("""COMPUTED_VALUE"""),"PARTS: COOLER, OIL ASSY - EA00000309
7/16/25: QUOTATION 2ND PMS")</f>
        <v>PARTS: COOLER, OIL ASSY - EA00000309
7/16/25: QUOTATION 2ND PMS</v>
      </c>
      <c r="L1095" s="72" t="str">
        <f>IFERROR(__xludf.DUMMYFUNCTION("""COMPUTED_VALUE"""),"CFG: TATAWAG NALANG DAW SILA PAG KAYLANGAN, MAHAL DAW ANG PYESA")</f>
        <v>CFG: TATAWAG NALANG DAW SILA PAG KAYLANGAN, MAHAL DAW ANG PYESA</v>
      </c>
      <c r="M1095" s="2"/>
      <c r="N1095" s="2"/>
      <c r="O1095" s="2" t="str">
        <f>IFERROR(__xludf.DUMMYFUNCTION("""COMPUTED_VALUE"""),"N/A")</f>
        <v>N/A</v>
      </c>
      <c r="P1095" s="2"/>
      <c r="Q1095" s="2"/>
      <c r="R1095" s="74">
        <f>IFERROR(__xludf.DUMMYFUNCTION("""COMPUTED_VALUE"""),46036.0)</f>
        <v>46036</v>
      </c>
      <c r="S1095" s="2" t="str">
        <f>IFERROR(__xludf.DUMMYFUNCTION("""COMPUTED_VALUE"""),"CFG")</f>
        <v>CFG</v>
      </c>
      <c r="T1095" s="73" t="str">
        <f>IFERROR(__xludf.DUMMYFUNCTION("""COMPUTED_VALUE""")," N/A ")</f>
        <v>N/A</v>
      </c>
      <c r="U1095" s="73" t="str">
        <f>IFERROR(__xludf.DUMMYFUNCTION("""COMPUTED_VALUE""")," NO CHARGE ")</f>
        <v>NO CHARGE</v>
      </c>
      <c r="V1095" s="2"/>
      <c r="W1095" s="2" t="str">
        <f>IFERROR(__xludf.DUMMYFUNCTION("""COMPUTED_VALUE"""),"N/A")</f>
        <v>N/A</v>
      </c>
      <c r="X1095" s="2" t="str">
        <f>IFERROR(__xludf.DUMMYFUNCTION("""COMPUTED_VALUE"""),"N/A")</f>
        <v>N/A</v>
      </c>
      <c r="Y1095" s="2"/>
      <c r="Z1095" s="2"/>
      <c r="AA1095" s="2"/>
      <c r="AB1095" s="2"/>
      <c r="AC1095" s="2"/>
      <c r="AD1095" s="2"/>
      <c r="AE1095" s="2"/>
      <c r="AF1095" s="2"/>
      <c r="AG1095" s="2"/>
      <c r="AH1095" s="2"/>
      <c r="AI1095" s="2"/>
      <c r="AJ1095" s="2" t="str">
        <f>IFERROR(__xludf.DUMMYFUNCTION("""COMPUTED_VALUE"""),"Bulanao")</f>
        <v>Bulanao</v>
      </c>
      <c r="AK1095" s="2" t="str">
        <f>IFERROR(__xludf.DUMMYFUNCTION("""COMPUTED_VALUE"""),"Tabuk City")</f>
        <v>Tabuk City</v>
      </c>
      <c r="AL1095" s="2" t="str">
        <f>IFERROR(__xludf.DUMMYFUNCTION("""COMPUTED_VALUE"""),"Kalinga")</f>
        <v>Kalinga</v>
      </c>
      <c r="AM1095" s="2" t="str">
        <f>IFERROR(__xludf.DUMMYFUNCTION("""COMPUTED_VALUE"""),"CAR")</f>
        <v>CAR</v>
      </c>
      <c r="AN1095" s="2" t="str">
        <f>IFERROR(__xludf.DUMMYFUNCTION("""COMPUTED_VALUE"""),"RCEF 23-09-21 Rebidding")</f>
        <v>RCEF 23-09-21 Rebidding</v>
      </c>
      <c r="AO1095" s="2">
        <f>IFERROR(__xludf.DUMMYFUNCTION("""COMPUTED_VALUE"""),1.0)</f>
        <v>1</v>
      </c>
      <c r="AP1095" s="2"/>
      <c r="AQ1095" s="2"/>
      <c r="AR1095" s="2"/>
      <c r="AS1095" s="2"/>
      <c r="AT1095" s="2"/>
      <c r="AU1095" s="2"/>
      <c r="AV1095" s="2"/>
      <c r="AW1095" s="2"/>
      <c r="AX1095" s="2"/>
      <c r="AY1095" s="2"/>
      <c r="AZ1095" s="2"/>
      <c r="BA1095" s="2"/>
      <c r="BB1095" s="2"/>
    </row>
    <row r="1096">
      <c r="A1096" s="2">
        <f>IFERROR(__xludf.DUMMYFUNCTION("""COMPUTED_VALUE"""),1092.0)</f>
        <v>1092</v>
      </c>
      <c r="B1096" s="2" t="str">
        <f>IFERROR(__xludf.DUMMYFUNCTION("""COMPUTED_VALUE"""),"COMPLETED")</f>
        <v>COMPLETED</v>
      </c>
      <c r="C1096" s="74">
        <f>IFERROR(__xludf.DUMMYFUNCTION("""COMPUTED_VALUE"""),45855.0)</f>
        <v>45855</v>
      </c>
      <c r="D1096" s="71" t="str">
        <f>IFERROR(__xludf.DUMMYFUNCTION("""COMPUTED_VALUE"""),"CATAO-NAMBARAN FARMERS IRRIGATORS
  ASSOCIATION INC.")</f>
        <v>CATAO-NAMBARAN FARMERS IRRIGATORS
  ASSOCIATION INC.</v>
      </c>
      <c r="E1096" s="71" t="str">
        <f>IFERROR(__xludf.DUMMYFUNCTION("""COMPUTED_VALUE"""),"Nambaran, Tabuk City, KALINGA")</f>
        <v>Nambaran, Tabuk City, KALINGA</v>
      </c>
      <c r="F1096" s="2"/>
      <c r="G1096" s="2"/>
      <c r="H1096" s="2"/>
      <c r="I1096" s="72" t="str">
        <f>IFERROR(__xludf.DUMMYFUNCTION("""COMPUTED_VALUE"""),"TRAINING REQUEST")</f>
        <v>TRAINING REQUEST</v>
      </c>
      <c r="J1096" s="72"/>
      <c r="K1096" s="72" t="str">
        <f>IFERROR(__xludf.DUMMYFUNCTION("""COMPUTED_VALUE"""),"ERP: July 22 or 23, 2025
nagpapaschedule ang beneficiary natin sa actual operation ng PRS nila.")</f>
        <v>ERP: July 22 or 23, 2025
nagpapaschedule ang beneficiary natin sa actual operation ng PRS nila.</v>
      </c>
      <c r="L1096" s="72" t="str">
        <f>IFERROR(__xludf.DUMMYFUNCTION("""COMPUTED_VALUE"""),"ECM: OK NA W/O SERVICE REPORT
CFG: DONE TRAINING")</f>
        <v>ECM: OK NA W/O SERVICE REPORT
CFG: DONE TRAINING</v>
      </c>
      <c r="M1096" s="2"/>
      <c r="N1096" s="2"/>
      <c r="O1096" s="2" t="str">
        <f>IFERROR(__xludf.DUMMYFUNCTION("""COMPUTED_VALUE"""),"N/A")</f>
        <v>N/A</v>
      </c>
      <c r="P1096" s="2"/>
      <c r="Q1096" s="2"/>
      <c r="R1096" s="74">
        <f>IFERROR(__xludf.DUMMYFUNCTION("""COMPUTED_VALUE"""),46092.0)</f>
        <v>46092</v>
      </c>
      <c r="S1096" s="2" t="str">
        <f>IFERROR(__xludf.DUMMYFUNCTION("""COMPUTED_VALUE"""),"CFG/ACS")</f>
        <v>CFG/ACS</v>
      </c>
      <c r="T1096" s="73" t="str">
        <f>IFERROR(__xludf.DUMMYFUNCTION("""COMPUTED_VALUE""")," N/A ")</f>
        <v>N/A</v>
      </c>
      <c r="U1096" s="73" t="str">
        <f>IFERROR(__xludf.DUMMYFUNCTION("""COMPUTED_VALUE""")," NO CHARGE ")</f>
        <v>NO CHARGE</v>
      </c>
      <c r="V1096" s="2" t="str">
        <f>IFERROR(__xludf.DUMMYFUNCTION("""COMPUTED_VALUE"""),"N/A")</f>
        <v>N/A</v>
      </c>
      <c r="W1096" s="2" t="str">
        <f>IFERROR(__xludf.DUMMYFUNCTION("""COMPUTED_VALUE"""),"N/A")</f>
        <v>N/A</v>
      </c>
      <c r="X1096" s="2" t="str">
        <f>IFERROR(__xludf.DUMMYFUNCTION("""COMPUTED_VALUE"""),"N/A")</f>
        <v>N/A</v>
      </c>
      <c r="Y1096" s="2"/>
      <c r="Z1096" s="2"/>
      <c r="AA1096" s="2"/>
      <c r="AB1096" s="2"/>
      <c r="AC1096" s="2"/>
      <c r="AD1096" s="2"/>
      <c r="AE1096" s="2"/>
      <c r="AF1096" s="2"/>
      <c r="AG1096" s="2"/>
      <c r="AH1096" s="2"/>
      <c r="AI1096" s="2"/>
      <c r="AJ1096" s="2" t="str">
        <f>IFERROR(__xludf.DUMMYFUNCTION("""COMPUTED_VALUE"""),"Nambaran")</f>
        <v>Nambaran</v>
      </c>
      <c r="AK1096" s="2" t="str">
        <f>IFERROR(__xludf.DUMMYFUNCTION("""COMPUTED_VALUE"""),"Tabuk City")</f>
        <v>Tabuk City</v>
      </c>
      <c r="AL1096" s="2" t="str">
        <f>IFERROR(__xludf.DUMMYFUNCTION("""COMPUTED_VALUE"""),"Kalinga")</f>
        <v>Kalinga</v>
      </c>
      <c r="AM1096" s="2" t="str">
        <f>IFERROR(__xludf.DUMMYFUNCTION("""COMPUTED_VALUE"""),"CAR")</f>
        <v>CAR</v>
      </c>
      <c r="AN1096" s="2" t="str">
        <f>IFERROR(__xludf.DUMMYFUNCTION("""COMPUTED_VALUE"""),"RCEF 24-04-15")</f>
        <v>RCEF 24-04-15</v>
      </c>
      <c r="AO1096" s="2">
        <f>IFERROR(__xludf.DUMMYFUNCTION("""COMPUTED_VALUE"""),6.0)</f>
        <v>6</v>
      </c>
      <c r="AP1096" s="2" t="str">
        <f>IFERROR(__xludf.DUMMYFUNCTION("""COMPUTED_VALUE"""),"FREE PMS")</f>
        <v>FREE PMS</v>
      </c>
      <c r="AQ1096" s="2"/>
      <c r="AR1096" s="2"/>
      <c r="AS1096" s="2"/>
      <c r="AT1096" s="2"/>
      <c r="AU1096" s="2"/>
      <c r="AV1096" s="2"/>
      <c r="AW1096" s="2"/>
      <c r="AX1096" s="2"/>
      <c r="AY1096" s="2"/>
      <c r="AZ1096" s="2"/>
      <c r="BA1096" s="2"/>
      <c r="BB1096" s="2"/>
    </row>
    <row r="1097">
      <c r="A1097" s="2">
        <f>IFERROR(__xludf.DUMMYFUNCTION("""COMPUTED_VALUE"""),1093.0)</f>
        <v>1093</v>
      </c>
      <c r="B1097" s="2" t="str">
        <f>IFERROR(__xludf.DUMMYFUNCTION("""COMPUTED_VALUE"""),"COMPLETED")</f>
        <v>COMPLETED</v>
      </c>
      <c r="C1097" s="74">
        <f>IFERROR(__xludf.DUMMYFUNCTION("""COMPUTED_VALUE"""),45857.0)</f>
        <v>45857</v>
      </c>
      <c r="D1097" s="71" t="str">
        <f>IFERROR(__xludf.DUMMYFUNCTION("""COMPUTED_VALUE"""),"SAN QUINTIN INTEGRATED FARMERS ASSOCIATION")</f>
        <v>SAN QUINTIN INTEGRATED FARMERS ASSOCIATION</v>
      </c>
      <c r="E1097" s="71" t="str">
        <f>IFERROR(__xludf.DUMMYFUNCTION("""COMPUTED_VALUE"""),"San Quintin, Alfonso Lista (Potia), IFUGAO")</f>
        <v>San Quintin, Alfonso Lista (Potia), IFUGAO</v>
      </c>
      <c r="F1097" s="2" t="str">
        <f>IFERROR(__xludf.DUMMYFUNCTION("""COMPUTED_VALUE"""),"michael  mabalo")</f>
        <v>michael  mabalo</v>
      </c>
      <c r="G1097" s="2">
        <f>IFERROR(__xludf.DUMMYFUNCTION("""COMPUTED_VALUE"""),9.175053586E9)</f>
        <v>9175053586</v>
      </c>
      <c r="H1097" s="2"/>
      <c r="I1097" s="72" t="str">
        <f>IFERROR(__xludf.DUMMYFUNCTION("""COMPUTED_VALUE"""),"SPARE PARTS ACQUISITION")</f>
        <v>SPARE PARTS ACQUISITION</v>
      </c>
      <c r="J1097" s="72" t="str">
        <f>IFERROR(__xludf.DUMMYFUNCTION("""COMPUTED_VALUE"""),"PARTS REQUEST")</f>
        <v>PARTS REQUEST</v>
      </c>
      <c r="K1097" s="72" t="str">
        <f>IFERROR(__xludf.DUMMYFUNCTION("""COMPUTED_VALUE"""),"CFG: replace bearing and oilseal ng frontdrive pinion gear, and replace oilseal front wheel
tinatanong po kung meron tayo at kung mag kano dw po. 
CFG:  
BEARING, ROLLER (#32-00-60) 24141-320060
OIL SEAL 24421-405508")</f>
        <v>CFG: replace bearing and oilseal ng frontdrive pinion gear, and replace oilseal front wheel
tinatanong po kung meron tayo at kung mag kano dw po. 
CFG:  
BEARING, ROLLER (#32-00-60) 24141-320060
OIL SEAL 24421-405508</v>
      </c>
      <c r="L1097" s="72" t="str">
        <f>IFERROR(__xludf.DUMMYFUNCTION("""COMPUTED_VALUE"""),"CFG: REPLACED RING GEAR ASSY")</f>
        <v>CFG: REPLACED RING GEAR ASSY</v>
      </c>
      <c r="M1097" s="2"/>
      <c r="N1097" s="2" t="str">
        <f>IFERROR(__xludf.DUMMYFUNCTION("""COMPUTED_VALUE"""),"PARTS:
RING GEAR ASSY
OIL SEAL 24421405508
LABOR- 5,000")</f>
        <v>PARTS:
RING GEAR ASSY
OIL SEAL 24421405508
LABOR- 5,000</v>
      </c>
      <c r="O1097" s="2">
        <f>IFERROR(__xludf.DUMMYFUNCTION("""COMPUTED_VALUE"""),473.0)</f>
        <v>473</v>
      </c>
      <c r="P1097" s="2"/>
      <c r="Q1097" s="2" t="str">
        <f>IFERROR(__xludf.DUMMYFUNCTION("""COMPUTED_VALUE"""),"y")</f>
        <v>y</v>
      </c>
      <c r="R1097" s="74">
        <f>IFERROR(__xludf.DUMMYFUNCTION("""COMPUTED_VALUE"""),45966.0)</f>
        <v>45966</v>
      </c>
      <c r="S1097" s="2" t="str">
        <f>IFERROR(__xludf.DUMMYFUNCTION("""COMPUTED_VALUE"""),"CFG/JDP")</f>
        <v>CFG/JDP</v>
      </c>
      <c r="T1097" s="73">
        <f>IFERROR(__xludf.DUMMYFUNCTION("""COMPUTED_VALUE"""),24520.0)</f>
        <v>24520</v>
      </c>
      <c r="U1097" s="73" t="str">
        <f>IFERROR(__xludf.DUMMYFUNCTION("""COMPUTED_VALUE""")," REMITTED ")</f>
        <v>REMITTED</v>
      </c>
      <c r="V1097" s="2"/>
      <c r="W1097" s="2">
        <f>IFERROR(__xludf.DUMMYFUNCTION("""COMPUTED_VALUE"""),1764.0)</f>
        <v>1764</v>
      </c>
      <c r="X1097" s="2">
        <f>IFERROR(__xludf.DUMMYFUNCTION("""COMPUTED_VALUE"""),1640.0)</f>
        <v>1640</v>
      </c>
      <c r="Y1097" s="2"/>
      <c r="Z1097" s="2"/>
      <c r="AA1097" s="2"/>
      <c r="AB1097" s="2"/>
      <c r="AC1097" s="2"/>
      <c r="AD1097" s="2"/>
      <c r="AE1097" s="2"/>
      <c r="AF1097" s="2"/>
      <c r="AG1097" s="2"/>
      <c r="AH1097" s="2"/>
      <c r="AI1097" s="2"/>
      <c r="AJ1097" s="2" t="str">
        <f>IFERROR(__xludf.DUMMYFUNCTION("""COMPUTED_VALUE"""),"San Quintin")</f>
        <v>San Quintin</v>
      </c>
      <c r="AK1097" s="2" t="str">
        <f>IFERROR(__xludf.DUMMYFUNCTION("""COMPUTED_VALUE"""),"Alfonso Lista (Potia)")</f>
        <v>Alfonso Lista (Potia)</v>
      </c>
      <c r="AL1097" s="2" t="str">
        <f>IFERROR(__xludf.DUMMYFUNCTION("""COMPUTED_VALUE"""),"Ifugao")</f>
        <v>Ifugao</v>
      </c>
      <c r="AM1097" s="2" t="str">
        <f>IFERROR(__xludf.DUMMYFUNCTION("""COMPUTED_VALUE"""),"CAR")</f>
        <v>CAR</v>
      </c>
      <c r="AN1097" s="2" t="str">
        <f>IFERROR(__xludf.DUMMYFUNCTION("""COMPUTED_VALUE"""),"RCEF 23-09-21 Rebidding")</f>
        <v>RCEF 23-09-21 Rebidding</v>
      </c>
      <c r="AO1097" s="2">
        <f>IFERROR(__xludf.DUMMYFUNCTION("""COMPUTED_VALUE"""),1.0)</f>
        <v>1</v>
      </c>
      <c r="AP1097" s="2"/>
      <c r="AQ1097" s="2"/>
      <c r="AR1097" s="2"/>
      <c r="AS1097" s="2"/>
      <c r="AT1097" s="2"/>
      <c r="AU1097" s="2"/>
      <c r="AV1097" s="2"/>
      <c r="AW1097" s="2"/>
      <c r="AX1097" s="2"/>
      <c r="AY1097" s="2"/>
      <c r="AZ1097" s="2"/>
      <c r="BA1097" s="2"/>
      <c r="BB1097" s="2"/>
    </row>
    <row r="1098">
      <c r="A1098" s="2">
        <f>IFERROR(__xludf.DUMMYFUNCTION("""COMPUTED_VALUE"""),1094.0)</f>
        <v>1094</v>
      </c>
      <c r="B1098" s="2" t="str">
        <f>IFERROR(__xludf.DUMMYFUNCTION("""COMPUTED_VALUE"""),"COMPLETED")</f>
        <v>COMPLETED</v>
      </c>
      <c r="C1098" s="74">
        <f>IFERROR(__xludf.DUMMYFUNCTION("""COMPUTED_VALUE"""),45860.0)</f>
        <v>45860</v>
      </c>
      <c r="D1098" s="71" t="str">
        <f>IFERROR(__xludf.DUMMYFUNCTION("""COMPUTED_VALUE"""),"ALACSAN SQ IRRIGATORS ASSOCIATION, INC")</f>
        <v>ALACSAN SQ IRRIGATORS ASSOCIATION, INC</v>
      </c>
      <c r="E1098" s="71" t="str">
        <f>IFERROR(__xludf.DUMMYFUNCTION("""COMPUTED_VALUE"""),"Alac, San Quintin, PANGASINAN")</f>
        <v>Alac, San Quintin, PANGASINAN</v>
      </c>
      <c r="F1098" s="2"/>
      <c r="G1098" s="2">
        <f>IFERROR(__xludf.DUMMYFUNCTION("""COMPUTED_VALUE"""),9.553785021E9)</f>
        <v>9553785021</v>
      </c>
      <c r="H1098" s="2"/>
      <c r="I1098" s="72" t="str">
        <f>IFERROR(__xludf.DUMMYFUNCTION("""COMPUTED_VALUE"""),"REPAIR - DISC PLOW")</f>
        <v>REPAIR - DISC PLOW</v>
      </c>
      <c r="J1098" s="72" t="str">
        <f>IFERROR(__xludf.DUMMYFUNCTION("""COMPUTED_VALUE"""),"Gearbox")</f>
        <v>Gearbox</v>
      </c>
      <c r="K1098" s="72" t="str">
        <f>IFERROR(__xludf.DUMMYFUNCTION("""COMPUTED_VALUE"""),"MYK: Diskplow differential noisy , doesn't work
MYK: 11/24/25
Complain regarding our diskplow traktora we report this already and tech came to fix it , bearing is the problem they take the parts that is broken until now no return yet
ECM: Sila EGT nag p"&amp;"unta dyan for warranty yan waiting lang sa parts
")</f>
        <v>MYK: Diskplow differential noisy , doesn't work
MYK: 11/24/25
Complain regarding our diskplow traktora we report this already and tech came to fix it , bearing is the problem they take the parts that is broken until now no return yet
ECM: Sila EGT nag punta dyan for warranty yan waiting lang sa parts
</v>
      </c>
      <c r="L1098" s="72" t="str">
        <f>IFERROR(__xludf.DUMMYFUNCTION("""COMPUTED_VALUE"""),"ECM: OK NA ITO NILA EGT - WAITING SA SERVICE REPORT
EGT: REPAIR SHAFTING OF DISC PLOW")</f>
        <v>ECM: OK NA ITO NILA EGT - WAITING SA SERVICE REPORT
EGT: REPAIR SHAFTING OF DISC PLOW</v>
      </c>
      <c r="M1098" s="2"/>
      <c r="N1098" s="2" t="str">
        <f>IFERROR(__xludf.DUMMYFUNCTION("""COMPUTED_VALUE"""),"PARTS:
OIL SEAL 35-5012T
TAPPER ROLLER BEARING 32208")</f>
        <v>PARTS:
OIL SEAL 35-5012T
TAPPER ROLLER BEARING 32208</v>
      </c>
      <c r="O1098" s="2">
        <f>IFERROR(__xludf.DUMMYFUNCTION("""COMPUTED_VALUE"""),436.0)</f>
        <v>436</v>
      </c>
      <c r="P1098" s="2" t="str">
        <f>IFERROR(__xludf.DUMMYFUNCTION("""COMPUTED_VALUE"""),"436-ALACSAN SQ IRRIGATORS ASSOCIATION, INC.pdf")</f>
        <v>436-ALACSAN SQ IRRIGATORS ASSOCIATION, INC.pdf</v>
      </c>
      <c r="Q1098" s="2" t="str">
        <f>IFERROR(__xludf.DUMMYFUNCTION("""COMPUTED_VALUE"""),"y")</f>
        <v>y</v>
      </c>
      <c r="R1098" s="74">
        <f>IFERROR(__xludf.DUMMYFUNCTION("""COMPUTED_VALUE"""),46090.0)</f>
        <v>46090</v>
      </c>
      <c r="S1098" s="2" t="str">
        <f>IFERROR(__xludf.DUMMYFUNCTION("""COMPUTED_VALUE"""),"EGT/DRM")</f>
        <v>EGT/DRM</v>
      </c>
      <c r="T1098" s="73" t="str">
        <f>IFERROR(__xludf.DUMMYFUNCTION("""COMPUTED_VALUE""")," N/A ")</f>
        <v>N/A</v>
      </c>
      <c r="U1098" s="73" t="str">
        <f>IFERROR(__xludf.DUMMYFUNCTION("""COMPUTED_VALUE""")," NO CHARGE ")</f>
        <v>NO CHARGE</v>
      </c>
      <c r="V1098" s="2" t="str">
        <f>IFERROR(__xludf.DUMMYFUNCTION("""COMPUTED_VALUE"""),"NO DR")</f>
        <v>NO DR</v>
      </c>
      <c r="W1098" s="2" t="str">
        <f>IFERROR(__xludf.DUMMYFUNCTION("""COMPUTED_VALUE"""),"N/A")</f>
        <v>N/A</v>
      </c>
      <c r="X1098" s="2" t="str">
        <f>IFERROR(__xludf.DUMMYFUNCTION("""COMPUTED_VALUE"""),"N/A")</f>
        <v>N/A</v>
      </c>
      <c r="Y1098" s="2"/>
      <c r="Z1098" s="2"/>
      <c r="AA1098" s="2"/>
      <c r="AB1098" s="2"/>
      <c r="AC1098" s="2"/>
      <c r="AD1098" s="2"/>
      <c r="AE1098" s="2"/>
      <c r="AF1098" s="2"/>
      <c r="AG1098" s="2"/>
      <c r="AH1098" s="2"/>
      <c r="AI1098" s="2"/>
      <c r="AJ1098" s="2" t="str">
        <f>IFERROR(__xludf.DUMMYFUNCTION("""COMPUTED_VALUE"""),"Alac")</f>
        <v>Alac</v>
      </c>
      <c r="AK1098" s="2" t="str">
        <f>IFERROR(__xludf.DUMMYFUNCTION("""COMPUTED_VALUE"""),"San Quintin")</f>
        <v>San Quintin</v>
      </c>
      <c r="AL1098" s="2" t="str">
        <f>IFERROR(__xludf.DUMMYFUNCTION("""COMPUTED_VALUE"""),"Pangasinan")</f>
        <v>Pangasinan</v>
      </c>
      <c r="AM1098" s="2">
        <f>IFERROR(__xludf.DUMMYFUNCTION("""COMPUTED_VALUE"""),1.0)</f>
        <v>1</v>
      </c>
      <c r="AN1098" s="2" t="str">
        <f>IFERROR(__xludf.DUMMYFUNCTION("""COMPUTED_VALUE"""),"Repeat Order")</f>
        <v>Repeat Order</v>
      </c>
      <c r="AO1098" s="2">
        <f>IFERROR(__xludf.DUMMYFUNCTION("""COMPUTED_VALUE"""),6.0)</f>
        <v>6</v>
      </c>
      <c r="AP1098" s="2" t="str">
        <f>IFERROR(__xludf.DUMMYFUNCTION("""COMPUTED_VALUE"""),"FREE PMS")</f>
        <v>FREE PMS</v>
      </c>
      <c r="AQ1098" s="2"/>
      <c r="AR1098" s="2"/>
      <c r="AS1098" s="2"/>
      <c r="AT1098" s="2"/>
      <c r="AU1098" s="2"/>
      <c r="AV1098" s="2"/>
      <c r="AW1098" s="2"/>
      <c r="AX1098" s="2"/>
      <c r="AY1098" s="2"/>
      <c r="AZ1098" s="2"/>
      <c r="BA1098" s="2"/>
      <c r="BB1098" s="2"/>
    </row>
    <row r="1099">
      <c r="A1099" s="2">
        <f>IFERROR(__xludf.DUMMYFUNCTION("""COMPUTED_VALUE"""),1095.0)</f>
        <v>1095</v>
      </c>
      <c r="B1099" s="2" t="str">
        <f>IFERROR(__xludf.DUMMYFUNCTION("""COMPUTED_VALUE"""),"COMPLETED")</f>
        <v>COMPLETED</v>
      </c>
      <c r="C1099" s="74">
        <f>IFERROR(__xludf.DUMMYFUNCTION("""COMPUTED_VALUE"""),45860.0)</f>
        <v>45860</v>
      </c>
      <c r="D1099" s="71" t="str">
        <f>IFERROR(__xludf.DUMMYFUNCTION("""COMPUTED_VALUE"""),"NAGUILIAN IRRIGATORS' ASSOCIATION, INC.")</f>
        <v>NAGUILIAN IRRIGATORS' ASSOCIATION, INC.</v>
      </c>
      <c r="E1099" s="71" t="str">
        <f>IFERROR(__xludf.DUMMYFUNCTION("""COMPUTED_VALUE"""),"Naguilian, Lal-lo, CAGAYAN")</f>
        <v>Naguilian, Lal-lo, CAGAYAN</v>
      </c>
      <c r="F1099" s="2" t="str">
        <f>IFERROR(__xludf.DUMMYFUNCTION("""COMPUTED_VALUE"""),"DIOSDADO URMATAM")</f>
        <v>DIOSDADO URMATAM</v>
      </c>
      <c r="G1099" s="2">
        <f>IFERROR(__xludf.DUMMYFUNCTION("""COMPUTED_VALUE"""),9.061000932E9)</f>
        <v>9061000932</v>
      </c>
      <c r="H1099" s="2"/>
      <c r="I1099" s="72" t="str">
        <f>IFERROR(__xludf.DUMMYFUNCTION("""COMPUTED_VALUE"""),"REPAIR - TRACTOR")</f>
        <v>REPAIR - TRACTOR</v>
      </c>
      <c r="J1099" s="72" t="str">
        <f>IFERROR(__xludf.DUMMYFUNCTION("""COMPUTED_VALUE"""),"Rear Axle - Leaking")</f>
        <v>Rear Axle - Leaking</v>
      </c>
      <c r="K1099" s="72" t="str">
        <f>IFERROR(__xludf.DUMMYFUNCTION("""COMPUTED_VALUE"""),"MYK:Good am,ma'am nsiraan kami oil ng axle sa likod,dalawa,ma'am paservice sa mechanic nyo para magamit namin makina,thanks!
PARTS: 2-REAR AXLE OIL SEAL")</f>
        <v>MYK:Good am,ma'am nsiraan kami oil ng axle sa likod,dalawa,ma'am paservice sa mechanic nyo para magamit namin makina,thanks!
PARTS: 2-REAR AXLE OIL SEAL</v>
      </c>
      <c r="L1099" s="72" t="str">
        <f>IFERROR(__xludf.DUMMYFUNCTION("""COMPUTED_VALUE"""),"PAID: FOR SHIPPING: SHIPPED VIA LBC")</f>
        <v>PAID: FOR SHIPPING: SHIPPED VIA LBC</v>
      </c>
      <c r="M1099" s="2"/>
      <c r="N1099" s="2" t="str">
        <f>IFERROR(__xludf.DUMMYFUNCTION("""COMPUTED_VALUE"""),"PARTS: 2- REAR AXLE OIL SEAL TA00033423A")</f>
        <v>PARTS: 2- REAR AXLE OIL SEAL TA00033423A</v>
      </c>
      <c r="O1099" s="2" t="str">
        <f>IFERROR(__xludf.DUMMYFUNCTION("""COMPUTED_VALUE"""),"N/A")</f>
        <v>N/A</v>
      </c>
      <c r="P1099" s="2"/>
      <c r="Q1099" s="2"/>
      <c r="R1099" s="74">
        <f>IFERROR(__xludf.DUMMYFUNCTION("""COMPUTED_VALUE"""),45868.0)</f>
        <v>45868</v>
      </c>
      <c r="S1099" s="2" t="str">
        <f>IFERROR(__xludf.DUMMYFUNCTION("""COMPUTED_VALUE"""),"MYKEE")</f>
        <v>MYKEE</v>
      </c>
      <c r="T1099" s="73">
        <f>IFERROR(__xludf.DUMMYFUNCTION("""COMPUTED_VALUE"""),12000.0)</f>
        <v>12000</v>
      </c>
      <c r="U1099" s="73" t="str">
        <f>IFERROR(__xludf.DUMMYFUNCTION("""COMPUTED_VALUE""")," REMITTED ")</f>
        <v>REMITTED</v>
      </c>
      <c r="V1099" s="2"/>
      <c r="W1099" s="2">
        <f>IFERROR(__xludf.DUMMYFUNCTION("""COMPUTED_VALUE"""),1509.0)</f>
        <v>1509</v>
      </c>
      <c r="X1099" s="2"/>
      <c r="Y1099" s="2" t="str">
        <f>IFERROR(__xludf.DUMMYFUNCTION("""COMPUTED_VALUE"""),"BANK TRANSFER")</f>
        <v>BANK TRANSFER</v>
      </c>
      <c r="Z1099" s="2"/>
      <c r="AA1099" s="2"/>
      <c r="AB1099" s="2"/>
      <c r="AC1099" s="2"/>
      <c r="AD1099" s="2"/>
      <c r="AE1099" s="2"/>
      <c r="AF1099" s="2"/>
      <c r="AG1099" s="2"/>
      <c r="AH1099" s="2"/>
      <c r="AI1099" s="2"/>
      <c r="AJ1099" s="2" t="str">
        <f>IFERROR(__xludf.DUMMYFUNCTION("""COMPUTED_VALUE"""),"Naguilian")</f>
        <v>Naguilian</v>
      </c>
      <c r="AK1099" s="2" t="str">
        <f>IFERROR(__xludf.DUMMYFUNCTION("""COMPUTED_VALUE"""),"Lal-Lo")</f>
        <v>Lal-Lo</v>
      </c>
      <c r="AL1099" s="2" t="str">
        <f>IFERROR(__xludf.DUMMYFUNCTION("""COMPUTED_VALUE"""),"Cagayan")</f>
        <v>Cagayan</v>
      </c>
      <c r="AM1099" s="2">
        <f>IFERROR(__xludf.DUMMYFUNCTION("""COMPUTED_VALUE"""),2.0)</f>
        <v>2</v>
      </c>
      <c r="AN1099" s="2" t="str">
        <f>IFERROR(__xludf.DUMMYFUNCTION("""COMPUTED_VALUE"""),"RCEF 23-09-21 Rebidding")</f>
        <v>RCEF 23-09-21 Rebidding</v>
      </c>
      <c r="AO1099" s="2">
        <f>IFERROR(__xludf.DUMMYFUNCTION("""COMPUTED_VALUE"""),9.0)</f>
        <v>9</v>
      </c>
      <c r="AP1099" s="2"/>
      <c r="AQ1099" s="2"/>
      <c r="AR1099" s="2"/>
      <c r="AS1099" s="2"/>
      <c r="AT1099" s="2"/>
      <c r="AU1099" s="2"/>
      <c r="AV1099" s="2"/>
      <c r="AW1099" s="2"/>
      <c r="AX1099" s="2"/>
      <c r="AY1099" s="2"/>
      <c r="AZ1099" s="2"/>
      <c r="BA1099" s="2"/>
      <c r="BB1099" s="2"/>
    </row>
    <row r="1100">
      <c r="A1100" s="2">
        <f>IFERROR(__xludf.DUMMYFUNCTION("""COMPUTED_VALUE"""),1096.0)</f>
        <v>1096</v>
      </c>
      <c r="B1100" s="2" t="str">
        <f>IFERROR(__xludf.DUMMYFUNCTION("""COMPUTED_VALUE"""),"COMPLETED")</f>
        <v>COMPLETED</v>
      </c>
      <c r="C1100" s="74">
        <f>IFERROR(__xludf.DUMMYFUNCTION("""COMPUTED_VALUE"""),45861.0)</f>
        <v>45861</v>
      </c>
      <c r="D1100" s="71" t="str">
        <f>IFERROR(__xludf.DUMMYFUNCTION("""COMPUTED_VALUE"""),"SAINT JOSEPH THE WORKER FARMERS ASSOCIATION INC.")</f>
        <v>SAINT JOSEPH THE WORKER FARMERS ASSOCIATION INC.</v>
      </c>
      <c r="E1100" s="71" t="str">
        <f>IFERROR(__xludf.DUMMYFUNCTION("""COMPUTED_VALUE"""),"San Jose North, Anao, TARLAC")</f>
        <v>San Jose North, Anao, TARLAC</v>
      </c>
      <c r="F1100" s="2" t="str">
        <f>IFERROR(__xludf.DUMMYFUNCTION("""COMPUTED_VALUE"""),"nemesio traspe jr")</f>
        <v>nemesio traspe jr</v>
      </c>
      <c r="G1100" s="2">
        <f>IFERROR(__xludf.DUMMYFUNCTION("""COMPUTED_VALUE"""),9.603372743E9)</f>
        <v>9603372743</v>
      </c>
      <c r="H1100" s="2">
        <f>IFERROR(__xludf.DUMMYFUNCTION("""COMPUTED_VALUE"""),648.0)</f>
        <v>648</v>
      </c>
      <c r="I1100" s="72" t="str">
        <f>IFERROR(__xludf.DUMMYFUNCTION("""COMPUTED_VALUE"""),"REPAIR - ROTAVATOR")</f>
        <v>REPAIR - ROTAVATOR</v>
      </c>
      <c r="J1100" s="72" t="str">
        <f>IFERROR(__xludf.DUMMYFUNCTION("""COMPUTED_VALUE"""),"Gearbox")</f>
        <v>Gearbox</v>
      </c>
      <c r="K1100" s="72" t="str">
        <f>IFERROR(__xludf.DUMMYFUNCTION("""COMPUTED_VALUE"""),"KFS: DAMAGE ROTAVATOR GEARBOX
PARTS:
BEVEL GEAR 24T
HARD LOCK NUT
TAPER ROLLER BEARING #32211
OIL SEAL 35-50-8T
CROSS JOINT")</f>
        <v>KFS: DAMAGE ROTAVATOR GEARBOX
PARTS:
BEVEL GEAR 24T
HARD LOCK NUT
TAPER ROLLER BEARING #32211
OIL SEAL 35-50-8T
CROSS JOINT</v>
      </c>
      <c r="L1100" s="72" t="str">
        <f>IFERROR(__xludf.DUMMYFUNCTION("""COMPUTED_VALUE"""),"CFG: REPAIR ROTAVATOR GEARBOX")</f>
        <v>CFG: REPAIR ROTAVATOR GEARBOX</v>
      </c>
      <c r="M1100" s="2"/>
      <c r="N1100" s="2" t="str">
        <f>IFERROR(__xludf.DUMMYFUNCTION("""COMPUTED_VALUE"""),"PARTS: 
1 pc bevel gear 24t
1 pc topper roller bearing 32211
1 pc oil seal 55-80-12")</f>
        <v>PARTS: 
1 pc bevel gear 24t
1 pc topper roller bearing 32211
1 pc oil seal 55-80-12</v>
      </c>
      <c r="O1100" s="2">
        <f>IFERROR(__xludf.DUMMYFUNCTION("""COMPUTED_VALUE"""),1191.0)</f>
        <v>1191</v>
      </c>
      <c r="P1100" s="2"/>
      <c r="Q1100" s="2" t="str">
        <f>IFERROR(__xludf.DUMMYFUNCTION("""COMPUTED_VALUE"""),"Y")</f>
        <v>Y</v>
      </c>
      <c r="R1100" s="74">
        <f>IFERROR(__xludf.DUMMYFUNCTION("""COMPUTED_VALUE"""),45866.0)</f>
        <v>45866</v>
      </c>
      <c r="S1100" s="2" t="str">
        <f>IFERROR(__xludf.DUMMYFUNCTION("""COMPUTED_VALUE"""),"CFG")</f>
        <v>CFG</v>
      </c>
      <c r="T1100" s="73">
        <f>IFERROR(__xludf.DUMMYFUNCTION("""COMPUTED_VALUE"""),22130.0)</f>
        <v>22130</v>
      </c>
      <c r="U1100" s="73" t="str">
        <f>IFERROR(__xludf.DUMMYFUNCTION("""COMPUTED_VALUE""")," REMITTED ")</f>
        <v>REMITTED</v>
      </c>
      <c r="V1100" s="2"/>
      <c r="W1100" s="2">
        <f>IFERROR(__xludf.DUMMYFUNCTION("""COMPUTED_VALUE"""),1751.0)</f>
        <v>1751</v>
      </c>
      <c r="X1100" s="2">
        <f>IFERROR(__xludf.DUMMYFUNCTION("""COMPUTED_VALUE"""),1536.0)</f>
        <v>1536</v>
      </c>
      <c r="Y1100" s="2"/>
      <c r="Z1100" s="2"/>
      <c r="AA1100" s="2"/>
      <c r="AB1100" s="2"/>
      <c r="AC1100" s="2"/>
      <c r="AD1100" s="2"/>
      <c r="AE1100" s="2"/>
      <c r="AF1100" s="2"/>
      <c r="AG1100" s="2"/>
      <c r="AH1100" s="2"/>
      <c r="AI1100" s="2"/>
      <c r="AJ1100" s="2" t="str">
        <f>IFERROR(__xludf.DUMMYFUNCTION("""COMPUTED_VALUE"""),"San Jose North")</f>
        <v>San Jose North</v>
      </c>
      <c r="AK1100" s="2" t="str">
        <f>IFERROR(__xludf.DUMMYFUNCTION("""COMPUTED_VALUE"""),"Anao")</f>
        <v>Anao</v>
      </c>
      <c r="AL1100" s="2" t="str">
        <f>IFERROR(__xludf.DUMMYFUNCTION("""COMPUTED_VALUE"""),"Tarlac")</f>
        <v>Tarlac</v>
      </c>
      <c r="AM1100" s="2">
        <f>IFERROR(__xludf.DUMMYFUNCTION("""COMPUTED_VALUE"""),3.0)</f>
        <v>3</v>
      </c>
      <c r="AN1100" s="2" t="str">
        <f>IFERROR(__xludf.DUMMYFUNCTION("""COMPUTED_VALUE"""),"RCEF 23-09-21 Rebidding")</f>
        <v>RCEF 23-09-21 Rebidding</v>
      </c>
      <c r="AO1100" s="2">
        <f>IFERROR(__xludf.DUMMYFUNCTION("""COMPUTED_VALUE"""),3.0)</f>
        <v>3</v>
      </c>
      <c r="AP1100" s="2"/>
      <c r="AQ1100" s="2"/>
      <c r="AR1100" s="2"/>
      <c r="AS1100" s="2"/>
      <c r="AT1100" s="2"/>
      <c r="AU1100" s="2"/>
      <c r="AV1100" s="2"/>
      <c r="AW1100" s="2"/>
      <c r="AX1100" s="2"/>
      <c r="AY1100" s="2"/>
      <c r="AZ1100" s="2"/>
      <c r="BA1100" s="2"/>
      <c r="BB1100" s="2"/>
    </row>
    <row r="1101">
      <c r="A1101" s="2">
        <f>IFERROR(__xludf.DUMMYFUNCTION("""COMPUTED_VALUE"""),1097.0)</f>
        <v>1097</v>
      </c>
      <c r="B1101" s="2" t="str">
        <f>IFERROR(__xludf.DUMMYFUNCTION("""COMPUTED_VALUE"""),"COMPLETED")</f>
        <v>COMPLETED</v>
      </c>
      <c r="C1101" s="74">
        <f>IFERROR(__xludf.DUMMYFUNCTION("""COMPUTED_VALUE"""),45861.0)</f>
        <v>45861</v>
      </c>
      <c r="D1101" s="71" t="str">
        <f>IFERROR(__xludf.DUMMYFUNCTION("""COMPUTED_VALUE"""),"SAN LUIS CONDEZ TIG-ANIT FARMERS IRRIGATORS ASSOCIATION")</f>
        <v>SAN LUIS CONDEZ TIG-ANIT FARMERS IRRIGATORS ASSOCIATION</v>
      </c>
      <c r="E1101" s="71" t="str">
        <f>IFERROR(__xludf.DUMMYFUNCTION("""COMPUTED_VALUE"""),"San Luis, Culasi, ANTIQUE")</f>
        <v>San Luis, Culasi, ANTIQUE</v>
      </c>
      <c r="F1101" s="2" t="str">
        <f>IFERROR(__xludf.DUMMYFUNCTION("""COMPUTED_VALUE"""),"ROGELIO OSORIO")</f>
        <v>ROGELIO OSORIO</v>
      </c>
      <c r="G1101" s="2">
        <f>IFERROR(__xludf.DUMMYFUNCTION("""COMPUTED_VALUE"""),9.364375842E9)</f>
        <v>9364375842</v>
      </c>
      <c r="H1101" s="2"/>
      <c r="I1101" s="72" t="str">
        <f>IFERROR(__xludf.DUMMYFUNCTION("""COMPUTED_VALUE"""),"REPAIR - TRACTOR")</f>
        <v>REPAIR - TRACTOR</v>
      </c>
      <c r="J1101" s="72" t="str">
        <f>IFERROR(__xludf.DUMMYFUNCTION("""COMPUTED_VALUE"""),"Rear Axle - Leaking")</f>
        <v>Rear Axle - Leaking</v>
      </c>
      <c r="K1101" s="72" t="str">
        <f>IFERROR(__xludf.DUMMYFUNCTION("""COMPUTED_VALUE"""),"MYK: MAY LEAK SA MAY OIL FAN
DRM: LEAK AT REAR AXLE ")</f>
        <v>MYK: MAY LEAK SA MAY OIL FAN
DRM: LEAK AT REAR AXLE </v>
      </c>
      <c r="L1101" s="72" t="str">
        <f>IFERROR(__xludf.DUMMYFUNCTION("""COMPUTED_VALUE"""),"DRM: Rear axle oilseal- paguusapan pa daw ang presyo ng ating oilseal. tatawag nalang daw sila para sa pagpadala")</f>
        <v>DRM: Rear axle oilseal- paguusapan pa daw ang presyo ng ating oilseal. tatawag nalang daw sila para sa pagpadala</v>
      </c>
      <c r="M1101" s="2"/>
      <c r="N1101" s="2"/>
      <c r="O1101" s="2">
        <f>IFERROR(__xludf.DUMMYFUNCTION("""COMPUTED_VALUE"""),413.0)</f>
        <v>413</v>
      </c>
      <c r="P1101" s="2"/>
      <c r="Q1101" s="2" t="str">
        <f>IFERROR(__xludf.DUMMYFUNCTION("""COMPUTED_VALUE"""),"y")</f>
        <v>y</v>
      </c>
      <c r="R1101" s="74">
        <f>IFERROR(__xludf.DUMMYFUNCTION("""COMPUTED_VALUE"""),45914.0)</f>
        <v>45914</v>
      </c>
      <c r="S1101" s="2" t="str">
        <f>IFERROR(__xludf.DUMMYFUNCTION("""COMPUTED_VALUE"""),"EGT/DRM/DSD")</f>
        <v>EGT/DRM/DSD</v>
      </c>
      <c r="T1101" s="73" t="str">
        <f>IFERROR(__xludf.DUMMYFUNCTION("""COMPUTED_VALUE""")," N/A ")</f>
        <v>N/A</v>
      </c>
      <c r="U1101" s="73" t="str">
        <f>IFERROR(__xludf.DUMMYFUNCTION("""COMPUTED_VALUE""")," NO CHARGE ")</f>
        <v>NO CHARGE</v>
      </c>
      <c r="V1101" s="2"/>
      <c r="W1101" s="2" t="str">
        <f>IFERROR(__xludf.DUMMYFUNCTION("""COMPUTED_VALUE"""),"N/A")</f>
        <v>N/A</v>
      </c>
      <c r="X1101" s="2" t="str">
        <f>IFERROR(__xludf.DUMMYFUNCTION("""COMPUTED_VALUE"""),"N/A")</f>
        <v>N/A</v>
      </c>
      <c r="Y1101" s="2"/>
      <c r="Z1101" s="2"/>
      <c r="AA1101" s="2"/>
      <c r="AB1101" s="2"/>
      <c r="AC1101" s="2"/>
      <c r="AD1101" s="2"/>
      <c r="AE1101" s="2"/>
      <c r="AF1101" s="2"/>
      <c r="AG1101" s="2"/>
      <c r="AH1101" s="2"/>
      <c r="AI1101" s="2"/>
      <c r="AJ1101" s="2" t="str">
        <f>IFERROR(__xludf.DUMMYFUNCTION("""COMPUTED_VALUE"""),"San Luis")</f>
        <v>San Luis</v>
      </c>
      <c r="AK1101" s="2" t="str">
        <f>IFERROR(__xludf.DUMMYFUNCTION("""COMPUTED_VALUE"""),"Culasi")</f>
        <v>Culasi</v>
      </c>
      <c r="AL1101" s="2" t="str">
        <f>IFERROR(__xludf.DUMMYFUNCTION("""COMPUTED_VALUE"""),"Antique")</f>
        <v>Antique</v>
      </c>
      <c r="AM1101" s="2">
        <f>IFERROR(__xludf.DUMMYFUNCTION("""COMPUTED_VALUE"""),6.0)</f>
        <v>6</v>
      </c>
      <c r="AN1101" s="2" t="str">
        <f>IFERROR(__xludf.DUMMYFUNCTION("""COMPUTED_VALUE"""),"RCEF 23-09-21 Rebidding")</f>
        <v>RCEF 23-09-21 Rebidding</v>
      </c>
      <c r="AO1101" s="2">
        <f>IFERROR(__xludf.DUMMYFUNCTION("""COMPUTED_VALUE"""),4.0)</f>
        <v>4</v>
      </c>
      <c r="AP1101" s="2"/>
      <c r="AQ1101" s="2"/>
      <c r="AR1101" s="2"/>
      <c r="AS1101" s="2"/>
      <c r="AT1101" s="2"/>
      <c r="AU1101" s="2"/>
      <c r="AV1101" s="2"/>
      <c r="AW1101" s="2"/>
      <c r="AX1101" s="2"/>
      <c r="AY1101" s="2"/>
      <c r="AZ1101" s="2"/>
      <c r="BA1101" s="2"/>
      <c r="BB1101" s="2"/>
    </row>
    <row r="1102">
      <c r="A1102" s="2">
        <f>IFERROR(__xludf.DUMMYFUNCTION("""COMPUTED_VALUE"""),1098.0)</f>
        <v>1098</v>
      </c>
      <c r="B1102" s="2" t="str">
        <f>IFERROR(__xludf.DUMMYFUNCTION("""COMPUTED_VALUE"""),"COMPLETED")</f>
        <v>COMPLETED</v>
      </c>
      <c r="C1102" s="74">
        <f>IFERROR(__xludf.DUMMYFUNCTION("""COMPUTED_VALUE"""),45862.0)</f>
        <v>45862</v>
      </c>
      <c r="D1102" s="71" t="str">
        <f>IFERROR(__xludf.DUMMYFUNCTION("""COMPUTED_VALUE"""),"KIRANG IMPOUNDING ARITAO IRRIGATORS ASSOCIATION INC.,")</f>
        <v>KIRANG IMPOUNDING ARITAO IRRIGATORS ASSOCIATION INC.,</v>
      </c>
      <c r="E1102" s="71" t="str">
        <f>IFERROR(__xludf.DUMMYFUNCTION("""COMPUTED_VALUE"""),", Aritao, Nueva Vizcaya")</f>
        <v>, Aritao, Nueva Vizcaya</v>
      </c>
      <c r="F1102" s="2" t="str">
        <f>IFERROR(__xludf.DUMMYFUNCTION("""COMPUTED_VALUE"""),"TERESITO ,FLORES")</f>
        <v>TERESITO ,FLORES</v>
      </c>
      <c r="G1102" s="2">
        <f>IFERROR(__xludf.DUMMYFUNCTION("""COMPUTED_VALUE"""),9.291895337E9)</f>
        <v>9291895337</v>
      </c>
      <c r="H1102" s="2">
        <f>IFERROR(__xludf.DUMMYFUNCTION("""COMPUTED_VALUE"""),330.0)</f>
        <v>330</v>
      </c>
      <c r="I1102" s="72" t="str">
        <f>IFERROR(__xludf.DUMMYFUNCTION("""COMPUTED_VALUE"""),"PMS")</f>
        <v>PMS</v>
      </c>
      <c r="J1102" s="72" t="str">
        <f>IFERROR(__xludf.DUMMYFUNCTION("""COMPUTED_VALUE"""),"PMS")</f>
        <v>PMS</v>
      </c>
      <c r="K1102" s="72" t="str">
        <f>IFERROR(__xludf.DUMMYFUNCTION("""COMPUTED_VALUE"""),"RBS: 2ND PMS")</f>
        <v>RBS: 2ND PMS</v>
      </c>
      <c r="L1102" s="72" t="str">
        <f>IFERROR(__xludf.DUMMYFUNCTION("""COMPUTED_VALUE"""),"JHP: 2ND PMS DONE")</f>
        <v>JHP: 2ND PMS DONE</v>
      </c>
      <c r="M1102" s="2"/>
      <c r="N1102" s="2" t="str">
        <f>IFERROR(__xludf.DUMMYFUNCTION("""COMPUTED_VALUE"""),"PARTS:
OIL FILTER
HYDRAULIC FILTER")</f>
        <v>PARTS:
OIL FILTER
HYDRAULIC FILTER</v>
      </c>
      <c r="O1102" s="2" t="str">
        <f>IFERROR(__xludf.DUMMYFUNCTION("""COMPUTED_VALUE"""),"NEED SERVICE REPORT")</f>
        <v>NEED SERVICE REPORT</v>
      </c>
      <c r="P1102" s="2"/>
      <c r="Q1102" s="2"/>
      <c r="R1102" s="74">
        <f>IFERROR(__xludf.DUMMYFUNCTION("""COMPUTED_VALUE"""),45905.0)</f>
        <v>45905</v>
      </c>
      <c r="S1102" s="2" t="str">
        <f>IFERROR(__xludf.DUMMYFUNCTION("""COMPUTED_VALUE"""),"JHP")</f>
        <v>JHP</v>
      </c>
      <c r="T1102" s="73">
        <f>IFERROR(__xludf.DUMMYFUNCTION("""COMPUTED_VALUE"""),6400.0)</f>
        <v>6400</v>
      </c>
      <c r="U1102" s="73" t="str">
        <f>IFERROR(__xludf.DUMMYFUNCTION("""COMPUTED_VALUE""")," REMITTED ")</f>
        <v>REMITTED</v>
      </c>
      <c r="V1102" s="2"/>
      <c r="W1102" s="2">
        <f>IFERROR(__xludf.DUMMYFUNCTION("""COMPUTED_VALUE"""),1080.0)</f>
        <v>1080</v>
      </c>
      <c r="X1102" s="2">
        <f>IFERROR(__xludf.DUMMYFUNCTION("""COMPUTED_VALUE"""),1538.0)</f>
        <v>1538</v>
      </c>
      <c r="Y1102" s="2"/>
      <c r="Z1102" s="2"/>
      <c r="AA1102" s="2"/>
      <c r="AB1102" s="2"/>
      <c r="AC1102" s="2"/>
      <c r="AD1102" s="2"/>
      <c r="AE1102" s="2"/>
      <c r="AF1102" s="2"/>
      <c r="AG1102" s="2"/>
      <c r="AH1102" s="2"/>
      <c r="AI1102" s="2"/>
      <c r="AJ1102" s="2" t="str">
        <f>IFERROR(__xludf.DUMMYFUNCTION("""COMPUTED_VALUE"""),"")</f>
        <v/>
      </c>
      <c r="AK1102" s="2" t="str">
        <f>IFERROR(__xludf.DUMMYFUNCTION("""COMPUTED_VALUE"""),"Aritao")</f>
        <v>Aritao</v>
      </c>
      <c r="AL1102" s="2" t="str">
        <f>IFERROR(__xludf.DUMMYFUNCTION("""COMPUTED_VALUE"""),"Nueva Vizcaya")</f>
        <v>Nueva Vizcaya</v>
      </c>
      <c r="AM1102" s="2">
        <f>IFERROR(__xludf.DUMMYFUNCTION("""COMPUTED_VALUE"""),2.0)</f>
        <v>2</v>
      </c>
      <c r="AN1102" s="2" t="str">
        <f>IFERROR(__xludf.DUMMYFUNCTION("""COMPUTED_VALUE"""),"RCEF 23-09-21 Rebidding")</f>
        <v>RCEF 23-09-21 Rebidding</v>
      </c>
      <c r="AO1102" s="2">
        <f>IFERROR(__xludf.DUMMYFUNCTION("""COMPUTED_VALUE"""),9.0)</f>
        <v>9</v>
      </c>
      <c r="AP1102" s="2"/>
      <c r="AQ1102" s="2"/>
      <c r="AR1102" s="2"/>
      <c r="AS1102" s="2"/>
      <c r="AT1102" s="2"/>
      <c r="AU1102" s="2"/>
      <c r="AV1102" s="2"/>
      <c r="AW1102" s="2"/>
      <c r="AX1102" s="2"/>
      <c r="AY1102" s="2"/>
      <c r="AZ1102" s="2"/>
      <c r="BA1102" s="2"/>
      <c r="BB1102" s="2"/>
    </row>
    <row r="1103">
      <c r="A1103" s="2">
        <f>IFERROR(__xludf.DUMMYFUNCTION("""COMPUTED_VALUE"""),1099.0)</f>
        <v>1099</v>
      </c>
      <c r="B1103" s="2" t="str">
        <f>IFERROR(__xludf.DUMMYFUNCTION("""COMPUTED_VALUE"""),"COMPLETED")</f>
        <v>COMPLETED</v>
      </c>
      <c r="C1103" s="74">
        <f>IFERROR(__xludf.DUMMYFUNCTION("""COMPUTED_VALUE"""),45866.0)</f>
        <v>45866</v>
      </c>
      <c r="D1103" s="71" t="str">
        <f>IFERROR(__xludf.DUMMYFUNCTION("""COMPUTED_VALUE"""),"Cabilauan Farmers Association")</f>
        <v>Cabilauan Farmers Association</v>
      </c>
      <c r="E1103" s="71" t="str">
        <f>IFERROR(__xludf.DUMMYFUNCTION("""COMPUTED_VALUE"""),"Cabilauan, New Lucena, ILOILO")</f>
        <v>Cabilauan, New Lucena, ILOILO</v>
      </c>
      <c r="F1103" s="2" t="str">
        <f>IFERROR(__xludf.DUMMYFUNCTION("""COMPUTED_VALUE"""),"Cecilio Niego")</f>
        <v>Cecilio Niego</v>
      </c>
      <c r="G1103" s="2">
        <f>IFERROR(__xludf.DUMMYFUNCTION("""COMPUTED_VALUE"""),9.101237802E9)</f>
        <v>9101237802</v>
      </c>
      <c r="H1103" s="2">
        <f>IFERROR(__xludf.DUMMYFUNCTION("""COMPUTED_VALUE"""),1245.0)</f>
        <v>1245</v>
      </c>
      <c r="I1103" s="72" t="str">
        <f>IFERROR(__xludf.DUMMYFUNCTION("""COMPUTED_VALUE"""),"REPAIR - TRACTOR")</f>
        <v>REPAIR - TRACTOR</v>
      </c>
      <c r="J1103" s="72" t="str">
        <f>IFERROR(__xludf.DUMMYFUNCTION("""COMPUTED_VALUE"""),"PTO - Valve Solenoid")</f>
        <v>PTO - Valve Solenoid</v>
      </c>
      <c r="K1103" s="72" t="str">
        <f>IFERROR(__xludf.DUMMYFUNCTION("""COMPUTED_VALUE"""),"MYK: Na  sira ang solenoid valve
Nag short ang wirings
Randy: 8/4/25: PTO VALVE SOLINOID")</f>
        <v>MYK: Na  sira ang solenoid valve
Nag short ang wirings
Randy: 8/4/25: PTO VALVE SOLINOID</v>
      </c>
      <c r="L1103" s="72" t="str">
        <f>IFERROR(__xludf.DUMMYFUNCTION("""COMPUTED_VALUE"""),"DRM: SUNOG ANG SOLENOID PTO VALVE, REPLACED PTO VLAVE SOLENOID")</f>
        <v>DRM: SUNOG ANG SOLENOID PTO VALVE, REPLACED PTO VLAVE SOLENOID</v>
      </c>
      <c r="M1103" s="2"/>
      <c r="N1103" s="2" t="str">
        <f>IFERROR(__xludf.DUMMYFUNCTION("""COMPUTED_VALUE"""),"PARTS:
PTO VALVE SOLENOID
HYDRAULIC FILTER
SF: 2,500")</f>
        <v>PARTS:
PTO VALVE SOLENOID
HYDRAULIC FILTER
SF: 2,500</v>
      </c>
      <c r="O1103" s="2">
        <f>IFERROR(__xludf.DUMMYFUNCTION("""COMPUTED_VALUE"""),408.0)</f>
        <v>408</v>
      </c>
      <c r="P1103" s="2"/>
      <c r="Q1103" s="2" t="str">
        <f>IFERROR(__xludf.DUMMYFUNCTION("""COMPUTED_VALUE"""),"y")</f>
        <v>y</v>
      </c>
      <c r="R1103" s="74">
        <f>IFERROR(__xludf.DUMMYFUNCTION("""COMPUTED_VALUE"""),45909.0)</f>
        <v>45909</v>
      </c>
      <c r="S1103" s="2" t="str">
        <f>IFERROR(__xludf.DUMMYFUNCTION("""COMPUTED_VALUE"""),"EGT/DRM/DSD")</f>
        <v>EGT/DRM/DSD</v>
      </c>
      <c r="T1103" s="73">
        <f>IFERROR(__xludf.DUMMYFUNCTION("""COMPUTED_VALUE"""),20830.0)</f>
        <v>20830</v>
      </c>
      <c r="U1103" s="73" t="str">
        <f>IFERROR(__xludf.DUMMYFUNCTION("""COMPUTED_VALUE""")," REMITTED ")</f>
        <v>REMITTED</v>
      </c>
      <c r="V1103" s="2">
        <f>IFERROR(__xludf.DUMMYFUNCTION("""COMPUTED_VALUE"""),1305.0)</f>
        <v>1305</v>
      </c>
      <c r="W1103" s="2">
        <f>IFERROR(__xludf.DUMMYFUNCTION("""COMPUTED_VALUE"""),1659.0)</f>
        <v>1659</v>
      </c>
      <c r="X1103" s="2">
        <f>IFERROR(__xludf.DUMMYFUNCTION("""COMPUTED_VALUE"""),1679.0)</f>
        <v>1679</v>
      </c>
      <c r="Y1103" s="2"/>
      <c r="Z1103" s="2"/>
      <c r="AA1103" s="2"/>
      <c r="AB1103" s="2"/>
      <c r="AC1103" s="2"/>
      <c r="AD1103" s="2"/>
      <c r="AE1103" s="2"/>
      <c r="AF1103" s="2"/>
      <c r="AG1103" s="2"/>
      <c r="AH1103" s="2"/>
      <c r="AI1103" s="2"/>
      <c r="AJ1103" s="2" t="str">
        <f>IFERROR(__xludf.DUMMYFUNCTION("""COMPUTED_VALUE"""),"Cabilauan")</f>
        <v>Cabilauan</v>
      </c>
      <c r="AK1103" s="2" t="str">
        <f>IFERROR(__xludf.DUMMYFUNCTION("""COMPUTED_VALUE"""),"New Lucena")</f>
        <v>New Lucena</v>
      </c>
      <c r="AL1103" s="2" t="str">
        <f>IFERROR(__xludf.DUMMYFUNCTION("""COMPUTED_VALUE"""),"Iloilo")</f>
        <v>Iloilo</v>
      </c>
      <c r="AM1103" s="2">
        <f>IFERROR(__xludf.DUMMYFUNCTION("""COMPUTED_VALUE"""),6.0)</f>
        <v>6</v>
      </c>
      <c r="AN1103" s="2" t="str">
        <f>IFERROR(__xludf.DUMMYFUNCTION("""COMPUTED_VALUE"""),"RCEF 23-09-21 Rebidding")</f>
        <v>RCEF 23-09-21 Rebidding</v>
      </c>
      <c r="AO1103" s="2">
        <f>IFERROR(__xludf.DUMMYFUNCTION("""COMPUTED_VALUE"""),4.0)</f>
        <v>4</v>
      </c>
      <c r="AP1103" s="2"/>
      <c r="AQ1103" s="2"/>
      <c r="AR1103" s="2"/>
      <c r="AS1103" s="2"/>
      <c r="AT1103" s="2"/>
      <c r="AU1103" s="2"/>
      <c r="AV1103" s="2"/>
      <c r="AW1103" s="2"/>
      <c r="AX1103" s="2"/>
      <c r="AY1103" s="2"/>
      <c r="AZ1103" s="2"/>
      <c r="BA1103" s="2"/>
      <c r="BB1103" s="2"/>
    </row>
    <row r="1104">
      <c r="A1104" s="2">
        <f>IFERROR(__xludf.DUMMYFUNCTION("""COMPUTED_VALUE"""),1100.0)</f>
        <v>1100</v>
      </c>
      <c r="B1104" s="2" t="str">
        <f>IFERROR(__xludf.DUMMYFUNCTION("""COMPUTED_VALUE"""),"COMPLETED")</f>
        <v>COMPLETED</v>
      </c>
      <c r="C1104" s="74">
        <f>IFERROR(__xludf.DUMMYFUNCTION("""COMPUTED_VALUE"""),45866.0)</f>
        <v>45866</v>
      </c>
      <c r="D1104" s="71" t="str">
        <f>IFERROR(__xludf.DUMMYFUNCTION("""COMPUTED_VALUE"""),"AGKAKARUBA IRRIGATORS ASSOCIATION, INC.")</f>
        <v>AGKAKARUBA IRRIGATORS ASSOCIATION, INC.</v>
      </c>
      <c r="E1104" s="71" t="str">
        <f>IFERROR(__xludf.DUMMYFUNCTION("""COMPUTED_VALUE"""),"Plaridel, Aborlan, Palawan")</f>
        <v>Plaridel, Aborlan, Palawan</v>
      </c>
      <c r="F1104" s="2" t="str">
        <f>IFERROR(__xludf.DUMMYFUNCTION("""COMPUTED_VALUE"""),"Buenaventura L. Rosario")</f>
        <v>Buenaventura L. Rosario</v>
      </c>
      <c r="G1104" s="2" t="str">
        <f>IFERROR(__xludf.DUMMYFUNCTION("""COMPUTED_VALUE"""),"0910 764 9489")</f>
        <v>0910 764 9489</v>
      </c>
      <c r="H1104" s="2"/>
      <c r="I1104" s="72" t="str">
        <f>IFERROR(__xludf.DUMMYFUNCTION("""COMPUTED_VALUE"""),"SPARE PARTS ACQUISITION")</f>
        <v>SPARE PARTS ACQUISITION</v>
      </c>
      <c r="J1104" s="72" t="str">
        <f>IFERROR(__xludf.DUMMYFUNCTION("""COMPUTED_VALUE"""),"PARTS REQUEST")</f>
        <v>PARTS REQUEST</v>
      </c>
      <c r="K1104" s="72" t="str">
        <f>IFERROR(__xludf.DUMMYFUNCTION("""COMPUTED_VALUE"""),"RCG: 
BEVEL GEAR 24T
PINION GEAR 11T")</f>
        <v>RCG: 
BEVEL GEAR 24T
PINION GEAR 11T</v>
      </c>
      <c r="L1104" s="72" t="str">
        <f>IFERROR(__xludf.DUMMYFUNCTION("""COMPUTED_VALUE"""),"RCG: QOUTATION SENT: PARTS FOR SHIPPING: SHIPPED TO SIR BASTE")</f>
        <v>RCG: QOUTATION SENT: PARTS FOR SHIPPING: SHIPPED TO SIR BASTE</v>
      </c>
      <c r="M1104" s="2"/>
      <c r="N1104" s="2" t="str">
        <f>IFERROR(__xludf.DUMMYFUNCTION("""COMPUTED_VALUE"""),"PARTS:
BEVEL GEAR 24T
PINION GEAR 11T")</f>
        <v>PARTS:
BEVEL GEAR 24T
PINION GEAR 11T</v>
      </c>
      <c r="O1104" s="2" t="str">
        <f>IFERROR(__xludf.DUMMYFUNCTION("""COMPUTED_VALUE"""),"N/A")</f>
        <v>N/A</v>
      </c>
      <c r="P1104" s="2"/>
      <c r="Q1104" s="2" t="str">
        <f>IFERROR(__xludf.DUMMYFUNCTION("""COMPUTED_VALUE"""),"N")</f>
        <v>N</v>
      </c>
      <c r="R1104" s="74">
        <f>IFERROR(__xludf.DUMMYFUNCTION("""COMPUTED_VALUE"""),45875.0)</f>
        <v>45875</v>
      </c>
      <c r="S1104" s="2" t="str">
        <f>IFERROR(__xludf.DUMMYFUNCTION("""COMPUTED_VALUE"""),"MYKEE/BASTE")</f>
        <v>MYKEE/BASTE</v>
      </c>
      <c r="T1104" s="73">
        <f>IFERROR(__xludf.DUMMYFUNCTION("""COMPUTED_VALUE"""),34030.0)</f>
        <v>34030</v>
      </c>
      <c r="U1104" s="73" t="str">
        <f>IFERROR(__xludf.DUMMYFUNCTION("""COMPUTED_VALUE""")," NO CHARGE ")</f>
        <v>NO CHARGE</v>
      </c>
      <c r="V1104" s="2"/>
      <c r="W1104" s="2" t="str">
        <f>IFERROR(__xludf.DUMMYFUNCTION("""COMPUTED_VALUE"""),"N/A")</f>
        <v>N/A</v>
      </c>
      <c r="X1104" s="2" t="str">
        <f>IFERROR(__xludf.DUMMYFUNCTION("""COMPUTED_VALUE"""),"N/A")</f>
        <v>N/A</v>
      </c>
      <c r="Y1104" s="2"/>
      <c r="Z1104" s="2"/>
      <c r="AA1104" s="2"/>
      <c r="AB1104" s="2"/>
      <c r="AC1104" s="2"/>
      <c r="AD1104" s="2"/>
      <c r="AE1104" s="2"/>
      <c r="AF1104" s="2"/>
      <c r="AG1104" s="2"/>
      <c r="AH1104" s="2"/>
      <c r="AI1104" s="2"/>
      <c r="AJ1104" s="2" t="str">
        <f>IFERROR(__xludf.DUMMYFUNCTION("""COMPUTED_VALUE"""),"Plaridel")</f>
        <v>Plaridel</v>
      </c>
      <c r="AK1104" s="2" t="str">
        <f>IFERROR(__xludf.DUMMYFUNCTION("""COMPUTED_VALUE"""),"Aborlan")</f>
        <v>Aborlan</v>
      </c>
      <c r="AL1104" s="2" t="str">
        <f>IFERROR(__xludf.DUMMYFUNCTION("""COMPUTED_VALUE"""),"Palawan")</f>
        <v>Palawan</v>
      </c>
      <c r="AM1104" s="2" t="str">
        <f>IFERROR(__xludf.DUMMYFUNCTION("""COMPUTED_VALUE"""),"4B")</f>
        <v>4B</v>
      </c>
      <c r="AN1104" s="2" t="str">
        <f>IFERROR(__xludf.DUMMYFUNCTION("""COMPUTED_VALUE"""),"RCEF 23-08-20 Rebidding")</f>
        <v>RCEF 23-08-20 Rebidding</v>
      </c>
      <c r="AO1104" s="2">
        <f>IFERROR(__xludf.DUMMYFUNCTION("""COMPUTED_VALUE"""),1.0)</f>
        <v>1</v>
      </c>
      <c r="AP1104" s="2"/>
      <c r="AQ1104" s="2"/>
      <c r="AR1104" s="2"/>
      <c r="AS1104" s="2"/>
      <c r="AT1104" s="2"/>
      <c r="AU1104" s="2"/>
      <c r="AV1104" s="2"/>
      <c r="AW1104" s="2"/>
      <c r="AX1104" s="2"/>
      <c r="AY1104" s="2"/>
      <c r="AZ1104" s="2"/>
      <c r="BA1104" s="2"/>
      <c r="BB1104" s="2"/>
    </row>
    <row r="1105">
      <c r="A1105" s="2">
        <f>IFERROR(__xludf.DUMMYFUNCTION("""COMPUTED_VALUE"""),1101.0)</f>
        <v>1101</v>
      </c>
      <c r="B1105" s="2" t="str">
        <f>IFERROR(__xludf.DUMMYFUNCTION("""COMPUTED_VALUE"""),"COMPLETED")</f>
        <v>COMPLETED</v>
      </c>
      <c r="C1105" s="74">
        <f>IFERROR(__xludf.DUMMYFUNCTION("""COMPUTED_VALUE"""),45867.0)</f>
        <v>45867</v>
      </c>
      <c r="D1105" s="71" t="str">
        <f>IFERROR(__xludf.DUMMYFUNCTION("""COMPUTED_VALUE"""),"MUNICIPAL LOCAL GOVERNMENT UNIT OF LOOC")</f>
        <v>MUNICIPAL LOCAL GOVERNMENT UNIT OF LOOC</v>
      </c>
      <c r="E1105" s="71" t="str">
        <f>IFERROR(__xludf.DUMMYFUNCTION("""COMPUTED_VALUE"""),"POBLACION GUITNA, LOOC, OCCIDENTAL MINDORO")</f>
        <v>POBLACION GUITNA, LOOC, OCCIDENTAL MINDORO</v>
      </c>
      <c r="F1105" s="2" t="str">
        <f>IFERROR(__xludf.DUMMYFUNCTION("""COMPUTED_VALUE"""),"FB PAGE: 
Nicole Cueto")</f>
        <v>FB PAGE: 
Nicole Cueto</v>
      </c>
      <c r="G1105" s="2">
        <f>IFERROR(__xludf.DUMMYFUNCTION("""COMPUTED_VALUE"""),9.469748188E9)</f>
        <v>9469748188</v>
      </c>
      <c r="H1105" s="2"/>
      <c r="I1105" s="72" t="str">
        <f>IFERROR(__xludf.DUMMYFUNCTION("""COMPUTED_VALUE"""),"SPARE PARTS ACQUISITION")</f>
        <v>SPARE PARTS ACQUISITION</v>
      </c>
      <c r="J1105" s="72" t="str">
        <f>IFERROR(__xludf.DUMMYFUNCTION("""COMPUTED_VALUE"""),"PARTS REQUEST")</f>
        <v>PARTS REQUEST</v>
      </c>
      <c r="K1105" s="72" t="str">
        <f>IFERROR(__xludf.DUMMYFUNCTION("""COMPUTED_VALUE"""),"RBS: 
4-FUEL INJECTOR 
PARTS AVAILABLE:
GUSTO NILANG MA CHECK UP DIN NG MGA TAO NATIN YUNG UNIT NILA.
MYK: 10/28/25: PARTS REQUEST :
42- ROTAVATOR BLADES")</f>
        <v>RBS: 
4-FUEL INJECTOR 
PARTS AVAILABLE:
GUSTO NILANG MA CHECK UP DIN NG MGA TAO NATIN YUNG UNIT NILA.
MYK: 10/28/25: PARTS REQUEST :
42- ROTAVATOR BLADES</v>
      </c>
      <c r="L1105" s="72" t="str">
        <f>IFERROR(__xludf.DUMMYFUNCTION("""COMPUTED_VALUE"""),"RBS: NAGKABIT NG APAT NA INJECTOR TAPOS NAG BAKLAS NG INJECTION PUMP.
QOUTATION SENT:CHECK PAYMENT:")</f>
        <v>RBS: NAGKABIT NG APAT NA INJECTOR TAPOS NAG BAKLAS NG INJECTION PUMP.
QOUTATION SENT:CHECK PAYMENT:</v>
      </c>
      <c r="M1105" s="2"/>
      <c r="N1105" s="2" t="str">
        <f>IFERROR(__xludf.DUMMYFUNCTION("""COMPUTED_VALUE"""),"PARTS:
4- INJECTOR
42- ROTAVATOR BLADES
LABOR- 8,000")</f>
        <v>PARTS:
4- INJECTOR
42- ROTAVATOR BLADES
LABOR- 8,000</v>
      </c>
      <c r="O1105" s="2" t="str">
        <f>IFERROR(__xludf.DUMMYFUNCTION("""COMPUTED_VALUE"""),"N/A")</f>
        <v>N/A</v>
      </c>
      <c r="P1105" s="2"/>
      <c r="Q1105" s="2"/>
      <c r="R1105" s="74">
        <f>IFERROR(__xludf.DUMMYFUNCTION("""COMPUTED_VALUE"""),46004.0)</f>
        <v>46004</v>
      </c>
      <c r="S1105" s="2" t="str">
        <f>IFERROR(__xludf.DUMMYFUNCTION("""COMPUTED_VALUE"""),"RBS / MYKEE")</f>
        <v>RBS / MYKEE</v>
      </c>
      <c r="T1105" s="73">
        <f>IFERROR(__xludf.DUMMYFUNCTION("""COMPUTED_VALUE"""),53127.0)</f>
        <v>53127</v>
      </c>
      <c r="U1105" s="73" t="str">
        <f>IFERROR(__xludf.DUMMYFUNCTION("""COMPUTED_VALUE""")," REMITTED ")</f>
        <v>REMITTED</v>
      </c>
      <c r="V1105" s="2"/>
      <c r="W1105" s="2" t="str">
        <f>IFERROR(__xludf.DUMMYFUNCTION("""COMPUTED_VALUE"""),"1522
1533")</f>
        <v>1522
1533</v>
      </c>
      <c r="X1105" s="2"/>
      <c r="Y1105" s="2"/>
      <c r="Z1105" s="2"/>
      <c r="AA1105" s="2"/>
      <c r="AB1105" s="2"/>
      <c r="AC1105" s="2"/>
      <c r="AD1105" s="2"/>
      <c r="AE1105" s="2"/>
      <c r="AF1105" s="2"/>
      <c r="AG1105" s="2"/>
      <c r="AH1105" s="2"/>
      <c r="AI1105" s="2"/>
      <c r="AJ1105" s="2" t="str">
        <f>IFERROR(__xludf.DUMMYFUNCTION("""COMPUTED_VALUE"""),"Poblacion Guitna")</f>
        <v>Poblacion Guitna</v>
      </c>
      <c r="AK1105" s="2" t="str">
        <f>IFERROR(__xludf.DUMMYFUNCTION("""COMPUTED_VALUE"""),"Looc")</f>
        <v>Looc</v>
      </c>
      <c r="AL1105" s="2" t="str">
        <f>IFERROR(__xludf.DUMMYFUNCTION("""COMPUTED_VALUE"""),"Occidental Mindoro")</f>
        <v>Occidental Mindoro</v>
      </c>
      <c r="AM1105" s="2" t="str">
        <f>IFERROR(__xludf.DUMMYFUNCTION("""COMPUTED_VALUE"""),"4B")</f>
        <v>4B</v>
      </c>
      <c r="AN1105" s="2" t="str">
        <f>IFERROR(__xludf.DUMMYFUNCTION("""COMPUTED_VALUE"""),"RCEF 23-08-20 Rebidding")</f>
        <v>RCEF 23-08-20 Rebidding</v>
      </c>
      <c r="AO1105" s="2">
        <f>IFERROR(__xludf.DUMMYFUNCTION("""COMPUTED_VALUE"""),1.0)</f>
        <v>1</v>
      </c>
      <c r="AP1105" s="2"/>
      <c r="AQ1105" s="2"/>
      <c r="AR1105" s="2"/>
      <c r="AS1105" s="2"/>
      <c r="AT1105" s="2"/>
      <c r="AU1105" s="2"/>
      <c r="AV1105" s="2"/>
      <c r="AW1105" s="2"/>
      <c r="AX1105" s="2"/>
      <c r="AY1105" s="2"/>
      <c r="AZ1105" s="2"/>
      <c r="BA1105" s="2"/>
      <c r="BB1105" s="2"/>
    </row>
    <row r="1106">
      <c r="A1106" s="2">
        <f>IFERROR(__xludf.DUMMYFUNCTION("""COMPUTED_VALUE"""),1102.0)</f>
        <v>1102</v>
      </c>
      <c r="B1106" s="2" t="str">
        <f>IFERROR(__xludf.DUMMYFUNCTION("""COMPUTED_VALUE"""),"COMPLETED")</f>
        <v>COMPLETED</v>
      </c>
      <c r="C1106" s="74">
        <f>IFERROR(__xludf.DUMMYFUNCTION("""COMPUTED_VALUE"""),45868.0)</f>
        <v>45868</v>
      </c>
      <c r="D1106" s="71" t="str">
        <f>IFERROR(__xludf.DUMMYFUNCTION("""COMPUTED_VALUE"""),"FARMERS IRRIGATORS ASSOCATION POB. 2 PURA TARLAC, INC.")</f>
        <v>FARMERS IRRIGATORS ASSOCATION POB. 2 PURA TARLAC, INC.</v>
      </c>
      <c r="E1106" s="71" t="str">
        <f>IFERROR(__xludf.DUMMYFUNCTION("""COMPUTED_VALUE"""),"Poblacion 2, Pura, TARLAC")</f>
        <v>Poblacion 2, Pura, TARLAC</v>
      </c>
      <c r="F1106" s="2" t="str">
        <f>IFERROR(__xludf.DUMMYFUNCTION("""COMPUTED_VALUE"""),"DIONISIO JAVIER")</f>
        <v>DIONISIO JAVIER</v>
      </c>
      <c r="G1106" s="2" t="str">
        <f>IFERROR(__xludf.DUMMYFUNCTION("""COMPUTED_VALUE"""),"0948-776-6537")</f>
        <v>0948-776-6537</v>
      </c>
      <c r="H1106" s="2">
        <f>IFERROR(__xludf.DUMMYFUNCTION("""COMPUTED_VALUE"""),888.0)</f>
        <v>888</v>
      </c>
      <c r="I1106" s="72" t="str">
        <f>IFERROR(__xludf.DUMMYFUNCTION("""COMPUTED_VALUE"""),"REPAIR - TRACTOR")</f>
        <v>REPAIR - TRACTOR</v>
      </c>
      <c r="J1106" s="72" t="str">
        <f>IFERROR(__xludf.DUMMYFUNCTION("""COMPUTED_VALUE"""),"Engine - Cylinder Head Gasket")</f>
        <v>Engine - Cylinder Head Gasket</v>
      </c>
      <c r="K1106" s="72" t="str">
        <f>IFERROR(__xludf.DUMMYFUNCTION("""COMPUTED_VALUE"""),"EGT: BLOW-BY")</f>
        <v>EGT: BLOW-BY</v>
      </c>
      <c r="L1106" s="72" t="str">
        <f>IFERROR(__xludf.DUMMYFUNCTION("""COMPUTED_VALUE"""),"JHP: PINGAWA NA SA IBA NUNG FARMER")</f>
        <v>JHP: PINGAWA NA SA IBA NUNG FARMER</v>
      </c>
      <c r="M1106" s="2"/>
      <c r="N1106" s="2" t="str">
        <f>IFERROR(__xludf.DUMMYFUNCTION("""COMPUTED_VALUE"""),"CYLINDER HEAD GASKET")</f>
        <v>CYLINDER HEAD GASKET</v>
      </c>
      <c r="O1106" s="2" t="str">
        <f>IFERROR(__xludf.DUMMYFUNCTION("""COMPUTED_VALUE"""),"N/A")</f>
        <v>N/A</v>
      </c>
      <c r="P1106" s="2"/>
      <c r="Q1106" s="2"/>
      <c r="R1106" s="77">
        <f>IFERROR(__xludf.DUMMYFUNCTION("""COMPUTED_VALUE"""),46092.0)</f>
        <v>46092</v>
      </c>
      <c r="S1106" s="2" t="str">
        <f>IFERROR(__xludf.DUMMYFUNCTION("""COMPUTED_VALUE"""),"JHP")</f>
        <v>JHP</v>
      </c>
      <c r="T1106" s="73" t="str">
        <f>IFERROR(__xludf.DUMMYFUNCTION("""COMPUTED_VALUE""")," N/A ")</f>
        <v>N/A</v>
      </c>
      <c r="U1106" s="73" t="str">
        <f>IFERROR(__xludf.DUMMYFUNCTION("""COMPUTED_VALUE""")," NO CHARGE ")</f>
        <v>NO CHARGE</v>
      </c>
      <c r="V1106" s="2" t="str">
        <f>IFERROR(__xludf.DUMMYFUNCTION("""COMPUTED_VALUE"""),"N/A")</f>
        <v>N/A</v>
      </c>
      <c r="W1106" s="2" t="str">
        <f>IFERROR(__xludf.DUMMYFUNCTION("""COMPUTED_VALUE"""),"N/A")</f>
        <v>N/A</v>
      </c>
      <c r="X1106" s="2" t="str">
        <f>IFERROR(__xludf.DUMMYFUNCTION("""COMPUTED_VALUE"""),"N/A")</f>
        <v>N/A</v>
      </c>
      <c r="Y1106" s="2"/>
      <c r="Z1106" s="2"/>
      <c r="AA1106" s="2"/>
      <c r="AB1106" s="2"/>
      <c r="AC1106" s="2"/>
      <c r="AD1106" s="2"/>
      <c r="AE1106" s="2"/>
      <c r="AF1106" s="2"/>
      <c r="AG1106" s="2"/>
      <c r="AH1106" s="2"/>
      <c r="AI1106" s="2"/>
      <c r="AJ1106" s="2" t="str">
        <f>IFERROR(__xludf.DUMMYFUNCTION("""COMPUTED_VALUE"""),"Poblacion 2")</f>
        <v>Poblacion 2</v>
      </c>
      <c r="AK1106" s="2" t="str">
        <f>IFERROR(__xludf.DUMMYFUNCTION("""COMPUTED_VALUE"""),"Pura")</f>
        <v>Pura</v>
      </c>
      <c r="AL1106" s="2" t="str">
        <f>IFERROR(__xludf.DUMMYFUNCTION("""COMPUTED_VALUE"""),"Tarlac")</f>
        <v>Tarlac</v>
      </c>
      <c r="AM1106" s="2">
        <f>IFERROR(__xludf.DUMMYFUNCTION("""COMPUTED_VALUE"""),3.0)</f>
        <v>3</v>
      </c>
      <c r="AN1106" s="2" t="str">
        <f>IFERROR(__xludf.DUMMYFUNCTION("""COMPUTED_VALUE"""),"RCEF 23-09-21 Rebidding")</f>
        <v>RCEF 23-09-21 Rebidding</v>
      </c>
      <c r="AO1106" s="2">
        <f>IFERROR(__xludf.DUMMYFUNCTION("""COMPUTED_VALUE"""),3.0)</f>
        <v>3</v>
      </c>
      <c r="AP1106" s="2"/>
      <c r="AQ1106" s="2"/>
      <c r="AR1106" s="2"/>
      <c r="AS1106" s="2"/>
      <c r="AT1106" s="2"/>
      <c r="AU1106" s="2"/>
      <c r="AV1106" s="2"/>
      <c r="AW1106" s="2"/>
      <c r="AX1106" s="2"/>
      <c r="AY1106" s="2"/>
      <c r="AZ1106" s="2"/>
      <c r="BA1106" s="2"/>
      <c r="BB1106" s="2"/>
    </row>
    <row r="1107">
      <c r="A1107" s="2">
        <f>IFERROR(__xludf.DUMMYFUNCTION("""COMPUTED_VALUE"""),1103.0)</f>
        <v>1103</v>
      </c>
      <c r="B1107" s="2" t="str">
        <f>IFERROR(__xludf.DUMMYFUNCTION("""COMPUTED_VALUE"""),"COMPLETED")</f>
        <v>COMPLETED</v>
      </c>
      <c r="C1107" s="74">
        <f>IFERROR(__xludf.DUMMYFUNCTION("""COMPUTED_VALUE"""),45870.0)</f>
        <v>45870</v>
      </c>
      <c r="D1107" s="71" t="str">
        <f>IFERROR(__xludf.DUMMYFUNCTION("""COMPUTED_VALUE"""),"MALAWAAN 4TH INTAKE FARMERS IRRIGATORS ASSOCIATION, INC.")</f>
        <v>MALAWAAN 4TH INTAKE FARMERS IRRIGATORS ASSOCIATION, INC.</v>
      </c>
      <c r="E1107" s="71" t="str">
        <f>IFERROR(__xludf.DUMMYFUNCTION("""COMPUTED_VALUE"""),"Malawaan, Rizal, OCCIDENTAL MINDORO")</f>
        <v>Malawaan, Rizal, OCCIDENTAL MINDORO</v>
      </c>
      <c r="F1107" s="2" t="str">
        <f>IFERROR(__xludf.DUMMYFUNCTION("""COMPUTED_VALUE"""),"MAO OF RIZAL OCCI")</f>
        <v>MAO OF RIZAL OCCI</v>
      </c>
      <c r="G1107" s="2">
        <f>IFERROR(__xludf.DUMMYFUNCTION("""COMPUTED_VALUE"""),9.486577789E9)</f>
        <v>9486577789</v>
      </c>
      <c r="H1107" s="2"/>
      <c r="I1107" s="72" t="str">
        <f>IFERROR(__xludf.DUMMYFUNCTION("""COMPUTED_VALUE"""),"REPAIR - TRACTOR")</f>
        <v>REPAIR - TRACTOR</v>
      </c>
      <c r="J1107" s="72" t="str">
        <f>IFERROR(__xludf.DUMMYFUNCTION("""COMPUTED_VALUE"""),"Inspection")</f>
        <v>Inspection</v>
      </c>
      <c r="K1107" s="72" t="str">
        <f>IFERROR(__xludf.DUMMYFUNCTION("""COMPUTED_VALUE"""),"KFS TO RCG: TUMATAGAS ANG HYDRAULIC OIL
RCG: HINID PA MATAWAGAN TO IDENTIFY ANONG 
JIE:10/2/25
NOT ANSWERING")</f>
        <v>KFS TO RCG: TUMATAGAS ANG HYDRAULIC OIL
RCG: HINID PA MATAWAGAN TO IDENTIFY ANONG 
JIE:10/2/25
NOT ANSWERING</v>
      </c>
      <c r="L1107" s="72" t="str">
        <f>IFERROR(__xludf.DUMMYFUNCTION("""COMPUTED_VALUE"""),"RCG: UMAWAS LANG YUNG HYDRAULIC OI SA  REFILLING CUP.")</f>
        <v>RCG: UMAWAS LANG YUNG HYDRAULIC OI SA  REFILLING CUP.</v>
      </c>
      <c r="M1107" s="2"/>
      <c r="N1107" s="2"/>
      <c r="O1107" s="2">
        <f>IFERROR(__xludf.DUMMYFUNCTION("""COMPUTED_VALUE"""),179.0)</f>
        <v>179</v>
      </c>
      <c r="P1107" s="2"/>
      <c r="Q1107" s="2" t="str">
        <f>IFERROR(__xludf.DUMMYFUNCTION("""COMPUTED_VALUE"""),"y")</f>
        <v>y</v>
      </c>
      <c r="R1107" s="74">
        <f>IFERROR(__xludf.DUMMYFUNCTION("""COMPUTED_VALUE"""),45959.0)</f>
        <v>45959</v>
      </c>
      <c r="S1107" s="2" t="str">
        <f>IFERROR(__xludf.DUMMYFUNCTION("""COMPUTED_VALUE"""),"RCG/RBS")</f>
        <v>RCG/RBS</v>
      </c>
      <c r="T1107" s="73" t="str">
        <f>IFERROR(__xludf.DUMMYFUNCTION("""COMPUTED_VALUE""")," N/A ")</f>
        <v>N/A</v>
      </c>
      <c r="U1107" s="73" t="str">
        <f>IFERROR(__xludf.DUMMYFUNCTION("""COMPUTED_VALUE""")," NO CHARGE ")</f>
        <v>NO CHARGE</v>
      </c>
      <c r="V1107" s="2"/>
      <c r="W1107" s="2" t="str">
        <f>IFERROR(__xludf.DUMMYFUNCTION("""COMPUTED_VALUE"""),"N/A")</f>
        <v>N/A</v>
      </c>
      <c r="X1107" s="2" t="str">
        <f>IFERROR(__xludf.DUMMYFUNCTION("""COMPUTED_VALUE"""),"N/A")</f>
        <v>N/A</v>
      </c>
      <c r="Y1107" s="2"/>
      <c r="Z1107" s="2"/>
      <c r="AA1107" s="2"/>
      <c r="AB1107" s="2"/>
      <c r="AC1107" s="2"/>
      <c r="AD1107" s="2"/>
      <c r="AE1107" s="2"/>
      <c r="AF1107" s="2"/>
      <c r="AG1107" s="2"/>
      <c r="AH1107" s="2"/>
      <c r="AI1107" s="2"/>
      <c r="AJ1107" s="2" t="str">
        <f>IFERROR(__xludf.DUMMYFUNCTION("""COMPUTED_VALUE"""),"Malawaan")</f>
        <v>Malawaan</v>
      </c>
      <c r="AK1107" s="2" t="str">
        <f>IFERROR(__xludf.DUMMYFUNCTION("""COMPUTED_VALUE"""),"Rizal")</f>
        <v>Rizal</v>
      </c>
      <c r="AL1107" s="2" t="str">
        <f>IFERROR(__xludf.DUMMYFUNCTION("""COMPUTED_VALUE"""),"Occidental Mindoro")</f>
        <v>Occidental Mindoro</v>
      </c>
      <c r="AM1107" s="2" t="str">
        <f>IFERROR(__xludf.DUMMYFUNCTION("""COMPUTED_VALUE"""),"4B")</f>
        <v>4B</v>
      </c>
      <c r="AN1107" s="2" t="str">
        <f>IFERROR(__xludf.DUMMYFUNCTION("""COMPUTED_VALUE"""),"RCEF 24-04-15")</f>
        <v>RCEF 24-04-15</v>
      </c>
      <c r="AO1107" s="2">
        <f>IFERROR(__xludf.DUMMYFUNCTION("""COMPUTED_VALUE"""),7.0)</f>
        <v>7</v>
      </c>
      <c r="AP1107" s="2" t="str">
        <f>IFERROR(__xludf.DUMMYFUNCTION("""COMPUTED_VALUE"""),"FREE PMS")</f>
        <v>FREE PMS</v>
      </c>
      <c r="AQ1107" s="2"/>
      <c r="AR1107" s="2"/>
      <c r="AS1107" s="2"/>
      <c r="AT1107" s="2"/>
      <c r="AU1107" s="2"/>
      <c r="AV1107" s="2"/>
      <c r="AW1107" s="2"/>
      <c r="AX1107" s="2"/>
      <c r="AY1107" s="2"/>
      <c r="AZ1107" s="2"/>
      <c r="BA1107" s="2"/>
      <c r="BB1107" s="2"/>
    </row>
    <row r="1108">
      <c r="A1108" s="2">
        <f>IFERROR(__xludf.DUMMYFUNCTION("""COMPUTED_VALUE"""),1104.0)</f>
        <v>1104</v>
      </c>
      <c r="B1108" s="2" t="str">
        <f>IFERROR(__xludf.DUMMYFUNCTION("""COMPUTED_VALUE"""),"COMPLETED")</f>
        <v>COMPLETED</v>
      </c>
      <c r="C1108" s="74">
        <f>IFERROR(__xludf.DUMMYFUNCTION("""COMPUTED_VALUE"""),45872.0)</f>
        <v>45872</v>
      </c>
      <c r="D1108" s="71" t="str">
        <f>IFERROR(__xludf.DUMMYFUNCTION("""COMPUTED_VALUE"""),"BUKLURAN NG MAKABAGONG MASASASAKA NG SAN ANTON")</f>
        <v>BUKLURAN NG MAKABAGONG MASASASAKA NG SAN ANTON</v>
      </c>
      <c r="E1108" s="71" t="str">
        <f>IFERROR(__xludf.DUMMYFUNCTION("""COMPUTED_VALUE"""),"San Anton, San Leonardo, NUEVA ECIJA")</f>
        <v>San Anton, San Leonardo, NUEVA ECIJA</v>
      </c>
      <c r="F1108" s="2" t="str">
        <f>IFERROR(__xludf.DUMMYFUNCTION("""COMPUTED_VALUE"""),"PERLITA DE LEON")</f>
        <v>PERLITA DE LEON</v>
      </c>
      <c r="G1108" s="2">
        <f>IFERROR(__xludf.DUMMYFUNCTION("""COMPUTED_VALUE"""),9.772470304E9)</f>
        <v>9772470304</v>
      </c>
      <c r="H1108" s="2"/>
      <c r="I1108" s="72" t="str">
        <f>IFERROR(__xludf.DUMMYFUNCTION("""COMPUTED_VALUE"""),"PMS")</f>
        <v>PMS</v>
      </c>
      <c r="J1108" s="72" t="str">
        <f>IFERROR(__xludf.DUMMYFUNCTION("""COMPUTED_VALUE"""),"PMS")</f>
        <v>PMS</v>
      </c>
      <c r="K1108" s="72" t="str">
        <f>IFERROR(__xludf.DUMMYFUNCTION("""COMPUTED_VALUE"""),"MYK: 1ST PMS FREE")</f>
        <v>MYK: 1ST PMS FREE</v>
      </c>
      <c r="L1108" s="72" t="str">
        <f>IFERROR(__xludf.DUMMYFUNCTION("""COMPUTED_VALUE"""),"ACS: 1ST PMS DONE")</f>
        <v>ACS: 1ST PMS DONE</v>
      </c>
      <c r="M1108" s="2"/>
      <c r="N1108" s="2" t="str">
        <f>IFERROR(__xludf.DUMMYFUNCTION("""COMPUTED_VALUE"""),"PARTS:
OIL FILTER
ENGINE OIL")</f>
        <v>PARTS:
OIL FILTER
ENGINE OIL</v>
      </c>
      <c r="O1108" s="2">
        <f>IFERROR(__xludf.DUMMYFUNCTION("""COMPUTED_VALUE"""),1414.0)</f>
        <v>1414</v>
      </c>
      <c r="P1108" s="2"/>
      <c r="Q1108" s="2" t="str">
        <f>IFERROR(__xludf.DUMMYFUNCTION("""COMPUTED_VALUE"""),"Y")</f>
        <v>Y</v>
      </c>
      <c r="R1108" s="74">
        <f>IFERROR(__xludf.DUMMYFUNCTION("""COMPUTED_VALUE"""),45873.0)</f>
        <v>45873</v>
      </c>
      <c r="S1108" s="2" t="str">
        <f>IFERROR(__xludf.DUMMYFUNCTION("""COMPUTED_VALUE"""),"JHP/ACS")</f>
        <v>JHP/ACS</v>
      </c>
      <c r="T1108" s="73" t="str">
        <f>IFERROR(__xludf.DUMMYFUNCTION("""COMPUTED_VALUE""")," N/A ")</f>
        <v>N/A</v>
      </c>
      <c r="U1108" s="73" t="str">
        <f>IFERROR(__xludf.DUMMYFUNCTION("""COMPUTED_VALUE""")," NO CHARGE ")</f>
        <v>NO CHARGE</v>
      </c>
      <c r="V1108" s="2"/>
      <c r="W1108" s="2" t="str">
        <f>IFERROR(__xludf.DUMMYFUNCTION("""COMPUTED_VALUE"""),"N/A")</f>
        <v>N/A</v>
      </c>
      <c r="X1108" s="2" t="str">
        <f>IFERROR(__xludf.DUMMYFUNCTION("""COMPUTED_VALUE"""),"N/A")</f>
        <v>N/A</v>
      </c>
      <c r="Y1108" s="2"/>
      <c r="Z1108" s="2"/>
      <c r="AA1108" s="2"/>
      <c r="AB1108" s="2"/>
      <c r="AC1108" s="2"/>
      <c r="AD1108" s="2"/>
      <c r="AE1108" s="2"/>
      <c r="AF1108" s="2"/>
      <c r="AG1108" s="2"/>
      <c r="AH1108" s="2"/>
      <c r="AI1108" s="2"/>
      <c r="AJ1108" s="2" t="str">
        <f>IFERROR(__xludf.DUMMYFUNCTION("""COMPUTED_VALUE"""),"San Anton")</f>
        <v>San Anton</v>
      </c>
      <c r="AK1108" s="2" t="str">
        <f>IFERROR(__xludf.DUMMYFUNCTION("""COMPUTED_VALUE"""),"San Leonardo")</f>
        <v>San Leonardo</v>
      </c>
      <c r="AL1108" s="2" t="str">
        <f>IFERROR(__xludf.DUMMYFUNCTION("""COMPUTED_VALUE"""),"Nueva Ecija")</f>
        <v>Nueva Ecija</v>
      </c>
      <c r="AM1108" s="2">
        <f>IFERROR(__xludf.DUMMYFUNCTION("""COMPUTED_VALUE"""),3.0)</f>
        <v>3</v>
      </c>
      <c r="AN1108" s="2" t="str">
        <f>IFERROR(__xludf.DUMMYFUNCTION("""COMPUTED_VALUE"""),"Repeat Order")</f>
        <v>Repeat Order</v>
      </c>
      <c r="AO1108" s="2">
        <f>IFERROR(__xludf.DUMMYFUNCTION("""COMPUTED_VALUE"""),6.0)</f>
        <v>6</v>
      </c>
      <c r="AP1108" s="2" t="str">
        <f>IFERROR(__xludf.DUMMYFUNCTION("""COMPUTED_VALUE"""),"FREE PMS")</f>
        <v>FREE PMS</v>
      </c>
      <c r="AQ1108" s="2"/>
      <c r="AR1108" s="2"/>
      <c r="AS1108" s="2"/>
      <c r="AT1108" s="2"/>
      <c r="AU1108" s="2"/>
      <c r="AV1108" s="2"/>
      <c r="AW1108" s="2"/>
      <c r="AX1108" s="2"/>
      <c r="AY1108" s="2"/>
      <c r="AZ1108" s="2"/>
      <c r="BA1108" s="2"/>
      <c r="BB1108" s="2"/>
    </row>
    <row r="1109">
      <c r="A1109" s="2">
        <f>IFERROR(__xludf.DUMMYFUNCTION("""COMPUTED_VALUE"""),1105.0)</f>
        <v>1105</v>
      </c>
      <c r="B1109" s="2" t="str">
        <f>IFERROR(__xludf.DUMMYFUNCTION("""COMPUTED_VALUE"""),"COMPLETED")</f>
        <v>COMPLETED</v>
      </c>
      <c r="C1109" s="74">
        <f>IFERROR(__xludf.DUMMYFUNCTION("""COMPUTED_VALUE"""),45872.0)</f>
        <v>45872</v>
      </c>
      <c r="D1109" s="71" t="str">
        <f>IFERROR(__xludf.DUMMYFUNCTION("""COMPUTED_VALUE"""),"Paagahan Farmers Irrigators Association, Inc.")</f>
        <v>Paagahan Farmers Irrigators Association, Inc.</v>
      </c>
      <c r="E1109" s="71" t="str">
        <f>IFERROR(__xludf.DUMMYFUNCTION("""COMPUTED_VALUE"""),"Paagahan, Mabitac, LAGUNA")</f>
        <v>Paagahan, Mabitac, LAGUNA</v>
      </c>
      <c r="F1109" s="2" t="str">
        <f>IFERROR(__xludf.DUMMYFUNCTION("""COMPUTED_VALUE"""),"TOMASITO MARTINEZ  /  JAIME C PAGOLA")</f>
        <v>TOMASITO MARTINEZ  /  JAIME C PAGOLA</v>
      </c>
      <c r="G1109" s="2" t="str">
        <f>IFERROR(__xludf.DUMMYFUNCTION("""COMPUTED_VALUE"""),"9852980005  /  9053705324")</f>
        <v>9852980005  /  9053705324</v>
      </c>
      <c r="H1109" s="2">
        <f>IFERROR(__xludf.DUMMYFUNCTION("""COMPUTED_VALUE"""),45.0)</f>
        <v>45</v>
      </c>
      <c r="I1109" s="72" t="str">
        <f>IFERROR(__xludf.DUMMYFUNCTION("""COMPUTED_VALUE"""),"PMS")</f>
        <v>PMS</v>
      </c>
      <c r="J1109" s="72" t="str">
        <f>IFERROR(__xludf.DUMMYFUNCTION("""COMPUTED_VALUE"""),"PMS")</f>
        <v>PMS</v>
      </c>
      <c r="K1109" s="72" t="str">
        <f>IFERROR(__xludf.DUMMYFUNCTION("""COMPUTED_VALUE"""),"MYK: 1ST PMS FREE")</f>
        <v>MYK: 1ST PMS FREE</v>
      </c>
      <c r="L1109" s="72" t="str">
        <f>IFERROR(__xludf.DUMMYFUNCTION("""COMPUTED_VALUE"""),"MYK: 1ST PMS DONE")</f>
        <v>MYK: 1ST PMS DONE</v>
      </c>
      <c r="M1109" s="2"/>
      <c r="N1109" s="2" t="str">
        <f>IFERROR(__xludf.DUMMYFUNCTION("""COMPUTED_VALUE"""),"PARTS:
OIL FILTER
ENGINE OIL")</f>
        <v>PARTS:
OIL FILTER
ENGINE OIL</v>
      </c>
      <c r="O1109" s="2" t="str">
        <f>IFERROR(__xludf.DUMMYFUNCTION("""COMPUTED_VALUE"""),"NEED SERVICE REPORT")</f>
        <v>NEED SERVICE REPORT</v>
      </c>
      <c r="P1109" s="2"/>
      <c r="Q1109" s="2"/>
      <c r="R1109" s="74">
        <f>IFERROR(__xludf.DUMMYFUNCTION("""COMPUTED_VALUE"""),45931.0)</f>
        <v>45931</v>
      </c>
      <c r="S1109" s="2" t="str">
        <f>IFERROR(__xludf.DUMMYFUNCTION("""COMPUTED_VALUE"""),"JTT/PPS")</f>
        <v>JTT/PPS</v>
      </c>
      <c r="T1109" s="73" t="str">
        <f>IFERROR(__xludf.DUMMYFUNCTION("""COMPUTED_VALUE""")," N/A ")</f>
        <v>N/A</v>
      </c>
      <c r="U1109" s="73" t="str">
        <f>IFERROR(__xludf.DUMMYFUNCTION("""COMPUTED_VALUE""")," NO CHARGE ")</f>
        <v>NO CHARGE</v>
      </c>
      <c r="V1109" s="2"/>
      <c r="W1109" s="2" t="str">
        <f>IFERROR(__xludf.DUMMYFUNCTION("""COMPUTED_VALUE"""),"N/A")</f>
        <v>N/A</v>
      </c>
      <c r="X1109" s="2" t="str">
        <f>IFERROR(__xludf.DUMMYFUNCTION("""COMPUTED_VALUE"""),"N/A")</f>
        <v>N/A</v>
      </c>
      <c r="Y1109" s="2"/>
      <c r="Z1109" s="2"/>
      <c r="AA1109" s="2"/>
      <c r="AB1109" s="2"/>
      <c r="AC1109" s="2"/>
      <c r="AD1109" s="2"/>
      <c r="AE1109" s="2"/>
      <c r="AF1109" s="2"/>
      <c r="AG1109" s="2"/>
      <c r="AH1109" s="2"/>
      <c r="AI1109" s="2"/>
      <c r="AJ1109" s="2" t="str">
        <f>IFERROR(__xludf.DUMMYFUNCTION("""COMPUTED_VALUE"""),"Paagahan")</f>
        <v>Paagahan</v>
      </c>
      <c r="AK1109" s="2" t="str">
        <f>IFERROR(__xludf.DUMMYFUNCTION("""COMPUTED_VALUE"""),"Mabitac")</f>
        <v>Mabitac</v>
      </c>
      <c r="AL1109" s="2" t="str">
        <f>IFERROR(__xludf.DUMMYFUNCTION("""COMPUTED_VALUE"""),"Laguna")</f>
        <v>Laguna</v>
      </c>
      <c r="AM1109" s="2" t="str">
        <f>IFERROR(__xludf.DUMMYFUNCTION("""COMPUTED_VALUE"""),"4A")</f>
        <v>4A</v>
      </c>
      <c r="AN1109" s="2" t="str">
        <f>IFERROR(__xludf.DUMMYFUNCTION("""COMPUTED_VALUE"""),"RCEF 24-04-15")</f>
        <v>RCEF 24-04-15</v>
      </c>
      <c r="AO1109" s="2">
        <f>IFERROR(__xludf.DUMMYFUNCTION("""COMPUTED_VALUE"""),7.0)</f>
        <v>7</v>
      </c>
      <c r="AP1109" s="2" t="str">
        <f>IFERROR(__xludf.DUMMYFUNCTION("""COMPUTED_VALUE"""),"FREE PMS")</f>
        <v>FREE PMS</v>
      </c>
      <c r="AQ1109" s="2"/>
      <c r="AR1109" s="2"/>
      <c r="AS1109" s="2"/>
      <c r="AT1109" s="2"/>
      <c r="AU1109" s="2"/>
      <c r="AV1109" s="2"/>
      <c r="AW1109" s="2"/>
      <c r="AX1109" s="2"/>
      <c r="AY1109" s="2"/>
      <c r="AZ1109" s="2"/>
      <c r="BA1109" s="2"/>
      <c r="BB1109" s="2"/>
    </row>
    <row r="1110">
      <c r="A1110" s="2">
        <f>IFERROR(__xludf.DUMMYFUNCTION("""COMPUTED_VALUE"""),1106.0)</f>
        <v>1106</v>
      </c>
      <c r="B1110" s="2" t="str">
        <f>IFERROR(__xludf.DUMMYFUNCTION("""COMPUTED_VALUE"""),"COMPLETED")</f>
        <v>COMPLETED</v>
      </c>
      <c r="C1110" s="74">
        <f>IFERROR(__xludf.DUMMYFUNCTION("""COMPUTED_VALUE"""),45877.0)</f>
        <v>45877</v>
      </c>
      <c r="D1110" s="71" t="str">
        <f>IFERROR(__xludf.DUMMYFUNCTION("""COMPUTED_VALUE"""),"COLLADO IRRIGATORS' ASSOCIATION, INC.")</f>
        <v>COLLADO IRRIGATORS' ASSOCIATION, INC.</v>
      </c>
      <c r="E1110" s="71" t="str">
        <f>IFERROR(__xludf.DUMMYFUNCTION("""COMPUTED_VALUE"""),"Collado, Talavera, NUEVA ECIJA")</f>
        <v>Collado, Talavera, NUEVA ECIJA</v>
      </c>
      <c r="F1110" s="2" t="str">
        <f>IFERROR(__xludf.DUMMYFUNCTION("""COMPUTED_VALUE"""),"NOLI LANDINGIN")</f>
        <v>NOLI LANDINGIN</v>
      </c>
      <c r="G1110" s="2">
        <f>IFERROR(__xludf.DUMMYFUNCTION("""COMPUTED_VALUE"""),9.927526611E9)</f>
        <v>9927526611</v>
      </c>
      <c r="H1110" s="2">
        <f>IFERROR(__xludf.DUMMYFUNCTION("""COMPUTED_VALUE"""),938.0)</f>
        <v>938</v>
      </c>
      <c r="I1110" s="72" t="str">
        <f>IFERROR(__xludf.DUMMYFUNCTION("""COMPUTED_VALUE"""),"REPAIR - TRACTOR")</f>
        <v>REPAIR - TRACTOR</v>
      </c>
      <c r="J1110" s="72" t="str">
        <f>IFERROR(__xludf.DUMMYFUNCTION("""COMPUTED_VALUE"""),"FUEL PUMP")</f>
        <v>FUEL PUMP</v>
      </c>
      <c r="K1110" s="72" t="str">
        <f>IFERROR(__xludf.DUMMYFUNCTION("""COMPUTED_VALUE"""),"DSD: DAMAGE FUEL PUMP")</f>
        <v>DSD: DAMAGE FUEL PUMP</v>
      </c>
      <c r="L1110" s="72" t="str">
        <f>IFERROR(__xludf.DUMMYFUNCTION("""COMPUTED_VALUE"""),"DSD: REPLACED FUEL PUMP - SA HARVESTER NILA KINUHA YUNG PINALIT NA FUEL PUMP")</f>
        <v>DSD: REPLACED FUEL PUMP - SA HARVESTER NILA KINUHA YUNG PINALIT NA FUEL PUMP</v>
      </c>
      <c r="M1110" s="2"/>
      <c r="N1110" s="2"/>
      <c r="O1110" s="2">
        <f>IFERROR(__xludf.DUMMYFUNCTION("""COMPUTED_VALUE"""),1416.0)</f>
        <v>1416</v>
      </c>
      <c r="P1110" s="2"/>
      <c r="Q1110" s="2" t="str">
        <f>IFERROR(__xludf.DUMMYFUNCTION("""COMPUTED_VALUE"""),"Y")</f>
        <v>Y</v>
      </c>
      <c r="R1110" s="74">
        <f>IFERROR(__xludf.DUMMYFUNCTION("""COMPUTED_VALUE"""),45877.0)</f>
        <v>45877</v>
      </c>
      <c r="S1110" s="2" t="str">
        <f>IFERROR(__xludf.DUMMYFUNCTION("""COMPUTED_VALUE"""),"DSD/JHP/ACS")</f>
        <v>DSD/JHP/ACS</v>
      </c>
      <c r="T1110" s="73" t="str">
        <f>IFERROR(__xludf.DUMMYFUNCTION("""COMPUTED_VALUE""")," N/A ")</f>
        <v>N/A</v>
      </c>
      <c r="U1110" s="73" t="str">
        <f>IFERROR(__xludf.DUMMYFUNCTION("""COMPUTED_VALUE""")," NO CHARGE ")</f>
        <v>NO CHARGE</v>
      </c>
      <c r="V1110" s="2"/>
      <c r="W1110" s="2" t="str">
        <f>IFERROR(__xludf.DUMMYFUNCTION("""COMPUTED_VALUE"""),"N/A")</f>
        <v>N/A</v>
      </c>
      <c r="X1110" s="2" t="str">
        <f>IFERROR(__xludf.DUMMYFUNCTION("""COMPUTED_VALUE"""),"N/A")</f>
        <v>N/A</v>
      </c>
      <c r="Y1110" s="2"/>
      <c r="Z1110" s="2"/>
      <c r="AA1110" s="2"/>
      <c r="AB1110" s="2"/>
      <c r="AC1110" s="2"/>
      <c r="AD1110" s="2"/>
      <c r="AE1110" s="2"/>
      <c r="AF1110" s="2"/>
      <c r="AG1110" s="2"/>
      <c r="AH1110" s="2"/>
      <c r="AI1110" s="2"/>
      <c r="AJ1110" s="2" t="str">
        <f>IFERROR(__xludf.DUMMYFUNCTION("""COMPUTED_VALUE"""),"Collado")</f>
        <v>Collado</v>
      </c>
      <c r="AK1110" s="2" t="str">
        <f>IFERROR(__xludf.DUMMYFUNCTION("""COMPUTED_VALUE"""),"Talavera")</f>
        <v>Talavera</v>
      </c>
      <c r="AL1110" s="2" t="str">
        <f>IFERROR(__xludf.DUMMYFUNCTION("""COMPUTED_VALUE"""),"Nueva Ecija")</f>
        <v>Nueva Ecija</v>
      </c>
      <c r="AM1110" s="2">
        <f>IFERROR(__xludf.DUMMYFUNCTION("""COMPUTED_VALUE"""),3.0)</f>
        <v>3</v>
      </c>
      <c r="AN1110" s="2" t="str">
        <f>IFERROR(__xludf.DUMMYFUNCTION("""COMPUTED_VALUE"""),"RCEF 23-09-21 Rebidding")</f>
        <v>RCEF 23-09-21 Rebidding</v>
      </c>
      <c r="AO1110" s="2">
        <f>IFERROR(__xludf.DUMMYFUNCTION("""COMPUTED_VALUE"""),3.0)</f>
        <v>3</v>
      </c>
      <c r="AP1110" s="2"/>
      <c r="AQ1110" s="2"/>
      <c r="AR1110" s="2"/>
      <c r="AS1110" s="2"/>
      <c r="AT1110" s="2"/>
      <c r="AU1110" s="2"/>
      <c r="AV1110" s="2"/>
      <c r="AW1110" s="2"/>
      <c r="AX1110" s="2"/>
      <c r="AY1110" s="2"/>
      <c r="AZ1110" s="2"/>
      <c r="BA1110" s="2"/>
      <c r="BB1110" s="2"/>
    </row>
    <row r="1111">
      <c r="A1111" s="2">
        <f>IFERROR(__xludf.DUMMYFUNCTION("""COMPUTED_VALUE"""),1107.0)</f>
        <v>1107</v>
      </c>
      <c r="B1111" s="2" t="str">
        <f>IFERROR(__xludf.DUMMYFUNCTION("""COMPUTED_VALUE"""),"COMPLETED")</f>
        <v>COMPLETED</v>
      </c>
      <c r="C1111" s="74">
        <f>IFERROR(__xludf.DUMMYFUNCTION("""COMPUTED_VALUE"""),45877.0)</f>
        <v>45877</v>
      </c>
      <c r="D1111" s="71" t="str">
        <f>IFERROR(__xludf.DUMMYFUNCTION("""COMPUTED_VALUE"""),"SAMAHANG MATAGUMPAY NA MAGSASAKA")</f>
        <v>SAMAHANG MATAGUMPAY NA MAGSASAKA</v>
      </c>
      <c r="E1111" s="71" t="str">
        <f>IFERROR(__xludf.DUMMYFUNCTION("""COMPUTED_VALUE"""),"Ilvita, Sablayan, OCCIDENTAL MINDORO")</f>
        <v>Ilvita, Sablayan, OCCIDENTAL MINDORO</v>
      </c>
      <c r="F1111" s="2"/>
      <c r="G1111" s="2"/>
      <c r="H1111" s="2">
        <f>IFERROR(__xludf.DUMMYFUNCTION("""COMPUTED_VALUE"""),381.0)</f>
        <v>381</v>
      </c>
      <c r="I1111" s="72" t="str">
        <f>IFERROR(__xludf.DUMMYFUNCTION("""COMPUTED_VALUE"""),"PMS")</f>
        <v>PMS</v>
      </c>
      <c r="J1111" s="72" t="str">
        <f>IFERROR(__xludf.DUMMYFUNCTION("""COMPUTED_VALUE"""),"PMS")</f>
        <v>PMS</v>
      </c>
      <c r="K1111" s="72" t="str">
        <f>IFERROR(__xludf.DUMMYFUNCTION("""COMPUTED_VALUE"""),"RBS: 2ND PMS")</f>
        <v>RBS: 2ND PMS</v>
      </c>
      <c r="L1111" s="72" t="str">
        <f>IFERROR(__xludf.DUMMYFUNCTION("""COMPUTED_VALUE"""),"RBS: 2ND PMS DONE")</f>
        <v>RBS: 2ND PMS DONE</v>
      </c>
      <c r="M1111" s="2"/>
      <c r="N1111" s="2" t="str">
        <f>IFERROR(__xludf.DUMMYFUNCTION("""COMPUTED_VALUE"""),"PARTS: 
HYDRAULIC FILTER
OIL FILTER")</f>
        <v>PARTS: 
HYDRAULIC FILTER
OIL FILTER</v>
      </c>
      <c r="O1111" s="2">
        <f>IFERROR(__xludf.DUMMYFUNCTION("""COMPUTED_VALUE"""),191.0)</f>
        <v>191</v>
      </c>
      <c r="P1111" s="2"/>
      <c r="Q1111" s="2" t="str">
        <f>IFERROR(__xludf.DUMMYFUNCTION("""COMPUTED_VALUE"""),"y")</f>
        <v>y</v>
      </c>
      <c r="R1111" s="74">
        <f>IFERROR(__xludf.DUMMYFUNCTION("""COMPUTED_VALUE"""),45877.0)</f>
        <v>45877</v>
      </c>
      <c r="S1111" s="2" t="str">
        <f>IFERROR(__xludf.DUMMYFUNCTION("""COMPUTED_VALUE"""),"RBS/RCG")</f>
        <v>RBS/RCG</v>
      </c>
      <c r="T1111" s="73">
        <f>IFERROR(__xludf.DUMMYFUNCTION("""COMPUTED_VALUE"""),4370.0)</f>
        <v>4370</v>
      </c>
      <c r="U1111" s="73" t="str">
        <f>IFERROR(__xludf.DUMMYFUNCTION("""COMPUTED_VALUE""")," REMITTED ")</f>
        <v>REMITTED</v>
      </c>
      <c r="V1111" s="2"/>
      <c r="W1111" s="2">
        <f>IFERROR(__xludf.DUMMYFUNCTION("""COMPUTED_VALUE"""),1418.0)</f>
        <v>1418</v>
      </c>
      <c r="X1111" s="2">
        <f>IFERROR(__xludf.DUMMYFUNCTION("""COMPUTED_VALUE"""),1528.0)</f>
        <v>1528</v>
      </c>
      <c r="Y1111" s="2"/>
      <c r="Z1111" s="2"/>
      <c r="AA1111" s="2"/>
      <c r="AB1111" s="2"/>
      <c r="AC1111" s="2"/>
      <c r="AD1111" s="2"/>
      <c r="AE1111" s="2"/>
      <c r="AF1111" s="2"/>
      <c r="AG1111" s="2"/>
      <c r="AH1111" s="2"/>
      <c r="AI1111" s="2"/>
      <c r="AJ1111" s="2" t="str">
        <f>IFERROR(__xludf.DUMMYFUNCTION("""COMPUTED_VALUE"""),"Ilvita")</f>
        <v>Ilvita</v>
      </c>
      <c r="AK1111" s="2" t="str">
        <f>IFERROR(__xludf.DUMMYFUNCTION("""COMPUTED_VALUE"""),"Sablayan")</f>
        <v>Sablayan</v>
      </c>
      <c r="AL1111" s="2" t="str">
        <f>IFERROR(__xludf.DUMMYFUNCTION("""COMPUTED_VALUE"""),"Occidental Mindoro")</f>
        <v>Occidental Mindoro</v>
      </c>
      <c r="AM1111" s="2" t="str">
        <f>IFERROR(__xludf.DUMMYFUNCTION("""COMPUTED_VALUE"""),"4B")</f>
        <v>4B</v>
      </c>
      <c r="AN1111" s="2" t="str">
        <f>IFERROR(__xludf.DUMMYFUNCTION("""COMPUTED_VALUE"""),"RCEF 24-04-15")</f>
        <v>RCEF 24-04-15</v>
      </c>
      <c r="AO1111" s="2">
        <f>IFERROR(__xludf.DUMMYFUNCTION("""COMPUTED_VALUE"""),7.0)</f>
        <v>7</v>
      </c>
      <c r="AP1111" s="2" t="str">
        <f>IFERROR(__xludf.DUMMYFUNCTION("""COMPUTED_VALUE"""),"FREE PMS")</f>
        <v>FREE PMS</v>
      </c>
      <c r="AQ1111" s="2"/>
      <c r="AR1111" s="2"/>
      <c r="AS1111" s="2"/>
      <c r="AT1111" s="2"/>
      <c r="AU1111" s="2"/>
      <c r="AV1111" s="2"/>
      <c r="AW1111" s="2"/>
      <c r="AX1111" s="2"/>
      <c r="AY1111" s="2"/>
      <c r="AZ1111" s="2"/>
      <c r="BA1111" s="2"/>
      <c r="BB1111" s="2"/>
    </row>
    <row r="1112">
      <c r="A1112" s="2">
        <f>IFERROR(__xludf.DUMMYFUNCTION("""COMPUTED_VALUE"""),1108.0)</f>
        <v>1108</v>
      </c>
      <c r="B1112" s="2" t="str">
        <f>IFERROR(__xludf.DUMMYFUNCTION("""COMPUTED_VALUE"""),"COMPLETED")</f>
        <v>COMPLETED</v>
      </c>
      <c r="C1112" s="74">
        <f>IFERROR(__xludf.DUMMYFUNCTION("""COMPUTED_VALUE"""),45880.0)</f>
        <v>45880</v>
      </c>
      <c r="D1112" s="71" t="str">
        <f>IFERROR(__xludf.DUMMYFUNCTION("""COMPUTED_VALUE"""),"BARANGAY MALIBAGO POLA IRRIGATORS' ASSOCIATION INC.")</f>
        <v>BARANGAY MALIBAGO POLA IRRIGATORS' ASSOCIATION INC.</v>
      </c>
      <c r="E1112" s="71" t="str">
        <f>IFERROR(__xludf.DUMMYFUNCTION("""COMPUTED_VALUE"""),"Malibago, Pola, ORIENTAL MINDORO")</f>
        <v>Malibago, Pola, ORIENTAL MINDORO</v>
      </c>
      <c r="F1112" s="2" t="str">
        <f>IFERROR(__xludf.DUMMYFUNCTION("""COMPUTED_VALUE"""),"ROMEO LOBERIANO")</f>
        <v>ROMEO LOBERIANO</v>
      </c>
      <c r="G1112" s="2">
        <f>IFERROR(__xludf.DUMMYFUNCTION("""COMPUTED_VALUE"""),9.260664669E9)</f>
        <v>9260664669</v>
      </c>
      <c r="H1112" s="2"/>
      <c r="I1112" s="72" t="str">
        <f>IFERROR(__xludf.DUMMYFUNCTION("""COMPUTED_VALUE"""),"REPAIR - TRACTOR")</f>
        <v>REPAIR - TRACTOR</v>
      </c>
      <c r="J1112" s="72" t="str">
        <f>IFERROR(__xludf.DUMMYFUNCTION("""COMPUTED_VALUE"""),"Transmission - Clutch")</f>
        <v>Transmission - Clutch</v>
      </c>
      <c r="K1112" s="72" t="str">
        <f>IFERROR(__xludf.DUMMYFUNCTION("""COMPUTED_VALUE"""),"MYK: MAHINA SYANG BUMATAK, MAY NANGANGAMOY  SA TRANSMISSION, 
RCG: CLUTCH DISC ASSY
RCG: Babayaran daw po nila yung parts kung hindi sakop sa warranty.")</f>
        <v>MYK: MAHINA SYANG BUMATAK, MAY NANGANGAMOY  SA TRANSMISSION, 
RCG: CLUTCH DISC ASSY
RCG: Babayaran daw po nila yung parts kung hindi sakop sa warranty.</v>
      </c>
      <c r="L1112" s="72" t="str">
        <f>IFERROR(__xludf.DUMMYFUNCTION("""COMPUTED_VALUE"""),"RCG: REPLACED CLUTCH  DISC ASSY")</f>
        <v>RCG: REPLACED CLUTCH  DISC ASSY</v>
      </c>
      <c r="M1112" s="2"/>
      <c r="N1112" s="2" t="str">
        <f>IFERROR(__xludf.DUMMYFUNCTION("""COMPUTED_VALUE"""),"W/ PAYMENT AGREEMENT
PARTS:
CLUTCH DISC ASSY
LABOR: 8,000")</f>
        <v>W/ PAYMENT AGREEMENT
PARTS:
CLUTCH DISC ASSY
LABOR: 8,000</v>
      </c>
      <c r="O1112" s="2">
        <f>IFERROR(__xludf.DUMMYFUNCTION("""COMPUTED_VALUE"""),182.0)</f>
        <v>182</v>
      </c>
      <c r="P1112" s="2"/>
      <c r="Q1112" s="2" t="str">
        <f>IFERROR(__xludf.DUMMYFUNCTION("""COMPUTED_VALUE"""),"y")</f>
        <v>y</v>
      </c>
      <c r="R1112" s="74">
        <f>IFERROR(__xludf.DUMMYFUNCTION("""COMPUTED_VALUE"""),45945.0)</f>
        <v>45945</v>
      </c>
      <c r="S1112" s="2" t="str">
        <f>IFERROR(__xludf.DUMMYFUNCTION("""COMPUTED_VALUE"""),"RCG/RBS")</f>
        <v>RCG/RBS</v>
      </c>
      <c r="T1112" s="73">
        <f>IFERROR(__xludf.DUMMYFUNCTION("""COMPUTED_VALUE"""),30000.0)</f>
        <v>30000</v>
      </c>
      <c r="U1112" s="73" t="str">
        <f>IFERROR(__xludf.DUMMYFUNCTION("""COMPUTED_VALUE""")," FOR COLLECTION ")</f>
        <v>FOR COLLECTION</v>
      </c>
      <c r="V1112" s="2"/>
      <c r="W1112" s="2">
        <f>IFERROR(__xludf.DUMMYFUNCTION("""COMPUTED_VALUE"""),1198.0)</f>
        <v>1198</v>
      </c>
      <c r="X1112" s="2">
        <f>IFERROR(__xludf.DUMMYFUNCTION("""COMPUTED_VALUE"""),1646.0)</f>
        <v>1646</v>
      </c>
      <c r="Y1112" s="2" t="str">
        <f>IFERROR(__xludf.DUMMYFUNCTION("""COMPUTED_VALUE"""),"PARTIAL- 10,000")</f>
        <v>PARTIAL- 10,000</v>
      </c>
      <c r="Z1112" s="2"/>
      <c r="AA1112" s="2"/>
      <c r="AB1112" s="2"/>
      <c r="AC1112" s="2"/>
      <c r="AD1112" s="2"/>
      <c r="AE1112" s="2"/>
      <c r="AF1112" s="2"/>
      <c r="AG1112" s="2"/>
      <c r="AH1112" s="2"/>
      <c r="AI1112" s="2"/>
      <c r="AJ1112" s="2" t="str">
        <f>IFERROR(__xludf.DUMMYFUNCTION("""COMPUTED_VALUE"""),"Malibago")</f>
        <v>Malibago</v>
      </c>
      <c r="AK1112" s="2" t="str">
        <f>IFERROR(__xludf.DUMMYFUNCTION("""COMPUTED_VALUE"""),"Pola")</f>
        <v>Pola</v>
      </c>
      <c r="AL1112" s="2" t="str">
        <f>IFERROR(__xludf.DUMMYFUNCTION("""COMPUTED_VALUE"""),"Oriental Mindoro")</f>
        <v>Oriental Mindoro</v>
      </c>
      <c r="AM1112" s="2" t="str">
        <f>IFERROR(__xludf.DUMMYFUNCTION("""COMPUTED_VALUE"""),"4B")</f>
        <v>4B</v>
      </c>
      <c r="AN1112" s="2" t="str">
        <f>IFERROR(__xludf.DUMMYFUNCTION("""COMPUTED_VALUE"""),"RCEF 24-04-15")</f>
        <v>RCEF 24-04-15</v>
      </c>
      <c r="AO1112" s="2">
        <f>IFERROR(__xludf.DUMMYFUNCTION("""COMPUTED_VALUE"""),7.0)</f>
        <v>7</v>
      </c>
      <c r="AP1112" s="2" t="str">
        <f>IFERROR(__xludf.DUMMYFUNCTION("""COMPUTED_VALUE"""),"FREE PMS")</f>
        <v>FREE PMS</v>
      </c>
      <c r="AQ1112" s="2"/>
      <c r="AR1112" s="2"/>
      <c r="AS1112" s="2"/>
      <c r="AT1112" s="2"/>
      <c r="AU1112" s="2"/>
      <c r="AV1112" s="2"/>
      <c r="AW1112" s="2"/>
      <c r="AX1112" s="2"/>
      <c r="AY1112" s="2"/>
      <c r="AZ1112" s="2"/>
      <c r="BA1112" s="2"/>
      <c r="BB1112" s="2"/>
    </row>
    <row r="1113">
      <c r="A1113" s="2">
        <f>IFERROR(__xludf.DUMMYFUNCTION("""COMPUTED_VALUE"""),1109.0)</f>
        <v>1109</v>
      </c>
      <c r="B1113" s="2" t="str">
        <f>IFERROR(__xludf.DUMMYFUNCTION("""COMPUTED_VALUE"""),"COMPLETED")</f>
        <v>COMPLETED</v>
      </c>
      <c r="C1113" s="74">
        <f>IFERROR(__xludf.DUMMYFUNCTION("""COMPUTED_VALUE"""),45880.0)</f>
        <v>45880</v>
      </c>
      <c r="D1113" s="71" t="str">
        <f>IFERROR(__xludf.DUMMYFUNCTION("""COMPUTED_VALUE"""),"Lingay Estern Farmers Association Inc.")</f>
        <v>Lingay Estern Farmers Association Inc.</v>
      </c>
      <c r="E1113" s="71" t="str">
        <f>IFERROR(__xludf.DUMMYFUNCTION("""COMPUTED_VALUE"""),"Bonfal East, Bayombong, NUEVA VIZCAYA")</f>
        <v>Bonfal East, Bayombong, NUEVA VIZCAYA</v>
      </c>
      <c r="F1113" s="2" t="str">
        <f>IFERROR(__xludf.DUMMYFUNCTION("""COMPUTED_VALUE"""),"ALFREDO BALITON")</f>
        <v>ALFREDO BALITON</v>
      </c>
      <c r="G1113" s="2">
        <f>IFERROR(__xludf.DUMMYFUNCTION("""COMPUTED_VALUE"""),9.157439281E9)</f>
        <v>9157439281</v>
      </c>
      <c r="H1113" s="2">
        <f>IFERROR(__xludf.DUMMYFUNCTION("""COMPUTED_VALUE"""),280.0)</f>
        <v>280</v>
      </c>
      <c r="I1113" s="72" t="str">
        <f>IFERROR(__xludf.DUMMYFUNCTION("""COMPUTED_VALUE"""),"PMS")</f>
        <v>PMS</v>
      </c>
      <c r="J1113" s="72" t="str">
        <f>IFERROR(__xludf.DUMMYFUNCTION("""COMPUTED_VALUE"""),"PMS")</f>
        <v>PMS</v>
      </c>
      <c r="K1113" s="72" t="str">
        <f>IFERROR(__xludf.DUMMYFUNCTION("""COMPUTED_VALUE"""),"MYK: 2ND PMS
MYK: MAY NANGANGAMOY SA TRANSMISSION
JHP: Clutch lining(hindi maikambiyo)")</f>
        <v>MYK: 2ND PMS
MYK: MAY NANGANGAMOY SA TRANSMISSION
JHP: Clutch lining(hindi maikambiyo)</v>
      </c>
      <c r="L1113" s="72" t="str">
        <f>IFERROR(__xludf.DUMMYFUNCTION("""COMPUTED_VALUE"""),"ACS: REPLACED CLUTCH LINING AND 2ND PMS
FOR PAYMENT AGREEMENT:")</f>
        <v>ACS: REPLACED CLUTCH LINING AND 2ND PMS
FOR PAYMENT AGREEMENT:</v>
      </c>
      <c r="M1113" s="2"/>
      <c r="N1113" s="2" t="str">
        <f>IFERROR(__xludf.DUMMYFUNCTION("""COMPUTED_VALUE"""),"PARTS:
OIL FILTER
HYDRAULIC FILTER
CLUTCH DISC ASSY
PARTIAL= 20,000
BLANCE= 10,900")</f>
        <v>PARTS:
OIL FILTER
HYDRAULIC FILTER
CLUTCH DISC ASSY
PARTIAL= 20,000
BLANCE= 10,900</v>
      </c>
      <c r="O1113" s="2">
        <f>IFERROR(__xludf.DUMMYFUNCTION("""COMPUTED_VALUE"""),1419.0)</f>
        <v>1419</v>
      </c>
      <c r="P1113" s="2"/>
      <c r="Q1113" s="2" t="str">
        <f>IFERROR(__xludf.DUMMYFUNCTION("""COMPUTED_VALUE"""),"y")</f>
        <v>y</v>
      </c>
      <c r="R1113" s="74">
        <f>IFERROR(__xludf.DUMMYFUNCTION("""COMPUTED_VALUE"""),45909.0)</f>
        <v>45909</v>
      </c>
      <c r="S1113" s="2" t="str">
        <f>IFERROR(__xludf.DUMMYFUNCTION("""COMPUTED_VALUE"""),"JHP/ACS")</f>
        <v>JHP/ACS</v>
      </c>
      <c r="T1113" s="73">
        <f>IFERROR(__xludf.DUMMYFUNCTION("""COMPUTED_VALUE"""),30900.0)</f>
        <v>30900</v>
      </c>
      <c r="U1113" s="73" t="str">
        <f>IFERROR(__xludf.DUMMYFUNCTION("""COMPUTED_VALUE""")," REMITTED ")</f>
        <v>REMITTED</v>
      </c>
      <c r="V1113" s="2"/>
      <c r="W1113" s="2">
        <f>IFERROR(__xludf.DUMMYFUNCTION("""COMPUTED_VALUE"""),1086.0)</f>
        <v>1086</v>
      </c>
      <c r="X1113" s="2">
        <f>IFERROR(__xludf.DUMMYFUNCTION("""COMPUTED_VALUE"""),1618.0)</f>
        <v>1618</v>
      </c>
      <c r="Y1113" s="2" t="str">
        <f>IFERROR(__xludf.DUMMYFUNCTION("""COMPUTED_VALUE"""),"PARTIAL= 20,000
BLANCE= 10,900")</f>
        <v>PARTIAL= 20,000
BLANCE= 10,900</v>
      </c>
      <c r="Z1113" s="2"/>
      <c r="AA1113" s="2"/>
      <c r="AB1113" s="2"/>
      <c r="AC1113" s="2"/>
      <c r="AD1113" s="2"/>
      <c r="AE1113" s="2"/>
      <c r="AF1113" s="2"/>
      <c r="AG1113" s="2"/>
      <c r="AH1113" s="2"/>
      <c r="AI1113" s="2"/>
      <c r="AJ1113" s="2" t="str">
        <f>IFERROR(__xludf.DUMMYFUNCTION("""COMPUTED_VALUE"""),"Bonfal East")</f>
        <v>Bonfal East</v>
      </c>
      <c r="AK1113" s="2" t="str">
        <f>IFERROR(__xludf.DUMMYFUNCTION("""COMPUTED_VALUE"""),"Bayombong")</f>
        <v>Bayombong</v>
      </c>
      <c r="AL1113" s="2" t="str">
        <f>IFERROR(__xludf.DUMMYFUNCTION("""COMPUTED_VALUE"""),"Nueva Vizcaya")</f>
        <v>Nueva Vizcaya</v>
      </c>
      <c r="AM1113" s="2">
        <f>IFERROR(__xludf.DUMMYFUNCTION("""COMPUTED_VALUE"""),2.0)</f>
        <v>2</v>
      </c>
      <c r="AN1113" s="2" t="str">
        <f>IFERROR(__xludf.DUMMYFUNCTION("""COMPUTED_VALUE"""),"RCEF 24-04-15")</f>
        <v>RCEF 24-04-15</v>
      </c>
      <c r="AO1113" s="2">
        <f>IFERROR(__xludf.DUMMYFUNCTION("""COMPUTED_VALUE"""),6.0)</f>
        <v>6</v>
      </c>
      <c r="AP1113" s="2" t="str">
        <f>IFERROR(__xludf.DUMMYFUNCTION("""COMPUTED_VALUE"""),"FREE PMS")</f>
        <v>FREE PMS</v>
      </c>
      <c r="AQ1113" s="2"/>
      <c r="AR1113" s="2"/>
      <c r="AS1113" s="2"/>
      <c r="AT1113" s="2"/>
      <c r="AU1113" s="2"/>
      <c r="AV1113" s="2"/>
      <c r="AW1113" s="2"/>
      <c r="AX1113" s="2"/>
      <c r="AY1113" s="2"/>
      <c r="AZ1113" s="2"/>
      <c r="BA1113" s="2"/>
      <c r="BB1113" s="2"/>
    </row>
    <row r="1114">
      <c r="A1114" s="2">
        <f>IFERROR(__xludf.DUMMYFUNCTION("""COMPUTED_VALUE"""),1110.0)</f>
        <v>1110</v>
      </c>
      <c r="B1114" s="2" t="str">
        <f>IFERROR(__xludf.DUMMYFUNCTION("""COMPUTED_VALUE"""),"COMPLETED")</f>
        <v>COMPLETED</v>
      </c>
      <c r="C1114" s="74">
        <f>IFERROR(__xludf.DUMMYFUNCTION("""COMPUTED_VALUE"""),45888.0)</f>
        <v>45888</v>
      </c>
      <c r="D1114" s="71" t="str">
        <f>IFERROR(__xludf.DUMMYFUNCTION("""COMPUTED_VALUE"""),"CALUBANG FARMERS CLUSTER ASSOCIATION")</f>
        <v>CALUBANG FARMERS CLUSTER ASSOCIATION</v>
      </c>
      <c r="E1114" s="71" t="str">
        <f>IFERROR(__xludf.DUMMYFUNCTION("""COMPUTED_VALUE"""),"Calubang, Ilog, NEGROS OCCIDENTAL")</f>
        <v>Calubang, Ilog, NEGROS OCCIDENTAL</v>
      </c>
      <c r="F1114" s="2" t="str">
        <f>IFERROR(__xludf.DUMMYFUNCTION("""COMPUTED_VALUE"""),"‎Calubang President New‎")</f>
        <v>‎Calubang President New‎</v>
      </c>
      <c r="G1114" s="2">
        <f>IFERROR(__xludf.DUMMYFUNCTION("""COMPUTED_VALUE"""),9.508562471E9)</f>
        <v>9508562471</v>
      </c>
      <c r="H1114" s="2">
        <f>IFERROR(__xludf.DUMMYFUNCTION("""COMPUTED_VALUE"""),1369.2)</f>
        <v>1369.2</v>
      </c>
      <c r="I1114" s="72" t="str">
        <f>IFERROR(__xludf.DUMMYFUNCTION("""COMPUTED_VALUE"""),"REPAIR - TRACTOR")</f>
        <v>REPAIR - TRACTOR</v>
      </c>
      <c r="J1114" s="72" t="str">
        <f>IFERROR(__xludf.DUMMYFUNCTION("""COMPUTED_VALUE"""),"Electrical - PTO Switch")</f>
        <v>Electrical - PTO Switch</v>
      </c>
      <c r="K1114" s="72" t="str">
        <f>IFERROR(__xludf.DUMMYFUNCTION("""COMPUTED_VALUE"""),"MYK:  AYAW GUMANA NG SWITCH, HINDI MAPAANDAR ANG DISCPLOW
THEY REQUEST AUTORIZATION LETTER: ALLOWED THEM TO REPAIR THE UNIT: AUTORIZATION LETTER SENT")</f>
        <v>MYK:  AYAW GUMANA NG SWITCH, HINDI MAPAANDAR ANG DISCPLOW
THEY REQUEST AUTORIZATION LETTER: ALLOWED THEM TO REPAIR THE UNIT: AUTORIZATION LETTER SENT</v>
      </c>
      <c r="L1114" s="72" t="str">
        <f>IFERROR(__xludf.DUMMYFUNCTION("""COMPUTED_VALUE"""),"DRM: PAG UUSAPAN PADAW NILA YUNG PARTS NA KAYLANGAN SA UNIT NILA, THEN HYDRAULIC FILTER DELIVERED
DRM: STOCK UP OF PTO 540/540 AND PTO SWITCH")</f>
        <v>DRM: PAG UUSAPAN PADAW NILA YUNG PARTS NA KAYLANGAN SA UNIT NILA, THEN HYDRAULIC FILTER DELIVERED
DRM: STOCK UP OF PTO 540/540 AND PTO SWITCH</v>
      </c>
      <c r="M1114" s="2"/>
      <c r="N1114" s="2" t="str">
        <f>IFERROR(__xludf.DUMMYFUNCTION("""COMPUTED_VALUE"""),"PARTS: 
HYDRAULIC FILTER")</f>
        <v>PARTS: 
HYDRAULIC FILTER</v>
      </c>
      <c r="O1114" s="2">
        <f>IFERROR(__xludf.DUMMYFUNCTION("""COMPUTED_VALUE"""),1141.0)</f>
        <v>1141</v>
      </c>
      <c r="P1114" s="2"/>
      <c r="Q1114" s="2" t="str">
        <f>IFERROR(__xludf.DUMMYFUNCTION("""COMPUTED_VALUE"""),"y")</f>
        <v>y</v>
      </c>
      <c r="R1114" s="74">
        <f>IFERROR(__xludf.DUMMYFUNCTION("""COMPUTED_VALUE"""),45901.0)</f>
        <v>45901</v>
      </c>
      <c r="S1114" s="2" t="str">
        <f>IFERROR(__xludf.DUMMYFUNCTION("""COMPUTED_VALUE"""),"EGT/DRM/DSD")</f>
        <v>EGT/DRM/DSD</v>
      </c>
      <c r="T1114" s="73">
        <f>IFERROR(__xludf.DUMMYFUNCTION("""COMPUTED_VALUE"""),2800.0)</f>
        <v>2800</v>
      </c>
      <c r="U1114" s="73" t="str">
        <f>IFERROR(__xludf.DUMMYFUNCTION("""COMPUTED_VALUE""")," REMITTED ")</f>
        <v>REMITTED</v>
      </c>
      <c r="V1114" s="2">
        <f>IFERROR(__xludf.DUMMYFUNCTION("""COMPUTED_VALUE"""),1301.0)</f>
        <v>1301</v>
      </c>
      <c r="W1114" s="2">
        <f>IFERROR(__xludf.DUMMYFUNCTION("""COMPUTED_VALUE"""),1655.0)</f>
        <v>1655</v>
      </c>
      <c r="X1114" s="2">
        <f>IFERROR(__xludf.DUMMYFUNCTION("""COMPUTED_VALUE"""),1674.0)</f>
        <v>1674</v>
      </c>
      <c r="Y1114" s="2"/>
      <c r="Z1114" s="2"/>
      <c r="AA1114" s="2"/>
      <c r="AB1114" s="2"/>
      <c r="AC1114" s="2"/>
      <c r="AD1114" s="2"/>
      <c r="AE1114" s="2"/>
      <c r="AF1114" s="2"/>
      <c r="AG1114" s="2"/>
      <c r="AH1114" s="2"/>
      <c r="AI1114" s="2"/>
      <c r="AJ1114" s="2" t="str">
        <f>IFERROR(__xludf.DUMMYFUNCTION("""COMPUTED_VALUE"""),"Calubang")</f>
        <v>Calubang</v>
      </c>
      <c r="AK1114" s="2" t="str">
        <f>IFERROR(__xludf.DUMMYFUNCTION("""COMPUTED_VALUE"""),"Ilog")</f>
        <v>Ilog</v>
      </c>
      <c r="AL1114" s="2" t="str">
        <f>IFERROR(__xludf.DUMMYFUNCTION("""COMPUTED_VALUE"""),"Negros Occidental")</f>
        <v>Negros Occidental</v>
      </c>
      <c r="AM1114" s="2">
        <f>IFERROR(__xludf.DUMMYFUNCTION("""COMPUTED_VALUE"""),6.0)</f>
        <v>6</v>
      </c>
      <c r="AN1114" s="2" t="str">
        <f>IFERROR(__xludf.DUMMYFUNCTION("""COMPUTED_VALUE"""),"RCEF 23-09-21 Rebidding")</f>
        <v>RCEF 23-09-21 Rebidding</v>
      </c>
      <c r="AO1114" s="2">
        <f>IFERROR(__xludf.DUMMYFUNCTION("""COMPUTED_VALUE"""),4.0)</f>
        <v>4</v>
      </c>
      <c r="AP1114" s="2"/>
      <c r="AQ1114" s="2"/>
      <c r="AR1114" s="2"/>
      <c r="AS1114" s="2"/>
      <c r="AT1114" s="2"/>
      <c r="AU1114" s="2"/>
      <c r="AV1114" s="2"/>
      <c r="AW1114" s="2"/>
      <c r="AX1114" s="2"/>
      <c r="AY1114" s="2"/>
      <c r="AZ1114" s="2"/>
      <c r="BA1114" s="2"/>
      <c r="BB1114" s="2"/>
    </row>
    <row r="1115">
      <c r="A1115" s="2">
        <f>IFERROR(__xludf.DUMMYFUNCTION("""COMPUTED_VALUE"""),1111.0)</f>
        <v>1111</v>
      </c>
      <c r="B1115" s="2" t="str">
        <f>IFERROR(__xludf.DUMMYFUNCTION("""COMPUTED_VALUE"""),"COMPLETED")</f>
        <v>COMPLETED</v>
      </c>
      <c r="C1115" s="74">
        <f>IFERROR(__xludf.DUMMYFUNCTION("""COMPUTED_VALUE"""),45891.0)</f>
        <v>45891</v>
      </c>
      <c r="D1115" s="71" t="str">
        <f>IFERROR(__xludf.DUMMYFUNCTION("""COMPUTED_VALUE"""),"Provincial Local Government Unit of Camarines Sur")</f>
        <v>Provincial Local Government Unit of Camarines Sur</v>
      </c>
      <c r="E1115" s="71" t="str">
        <f>IFERROR(__xludf.DUMMYFUNCTION("""COMPUTED_VALUE"""),"Cadlan, Pili, CAMARINES SUR")</f>
        <v>Cadlan, Pili, CAMARINES SUR</v>
      </c>
      <c r="F1115" s="2" t="str">
        <f>IFERROR(__xludf.DUMMYFUNCTION("""COMPUTED_VALUE"""),"Kgd Roselo Abad")</f>
        <v>Kgd Roselo Abad</v>
      </c>
      <c r="G1115" s="2" t="str">
        <f>IFERROR(__xludf.DUMMYFUNCTION("""COMPUTED_VALUE"""),"(0968) 291 3284")</f>
        <v>(0968) 291 3284</v>
      </c>
      <c r="H1115" s="2">
        <f>IFERROR(__xludf.DUMMYFUNCTION("""COMPUTED_VALUE"""),40.0)</f>
        <v>40</v>
      </c>
      <c r="I1115" s="72" t="str">
        <f>IFERROR(__xludf.DUMMYFUNCTION("""COMPUTED_VALUE"""),"PMS")</f>
        <v>PMS</v>
      </c>
      <c r="J1115" s="72" t="str">
        <f>IFERROR(__xludf.DUMMYFUNCTION("""COMPUTED_VALUE"""),"PMS")</f>
        <v>PMS</v>
      </c>
      <c r="K1115" s="72" t="str">
        <f>IFERROR(__xludf.DUMMYFUNCTION("""COMPUTED_VALUE"""),"KFS:  1ST PMS FREE (3RD UNIT)
CURRENT ADDRESS: Brgy Nalayahan, Siruma, Cam Sur")</f>
        <v>KFS:  1ST PMS FREE (3RD UNIT)
CURRENT ADDRESS: Brgy Nalayahan, Siruma, Cam Sur</v>
      </c>
      <c r="L1115" s="72" t="str">
        <f>IFERROR(__xludf.DUMMYFUNCTION("""COMPUTED_VALUE"""),"FPJ: 1ST PMS DONE (UNIT 3) KMC2585 AARFPV1058")</f>
        <v>FPJ: 1ST PMS DONE (UNIT 3) KMC2585 AARFPV1058</v>
      </c>
      <c r="M1115" s="2"/>
      <c r="N1115" s="2" t="str">
        <f>IFERROR(__xludf.DUMMYFUNCTION("""COMPUTED_VALUE"""),"PARTS:
OIL FILTER 
ENGINE OIL")</f>
        <v>PARTS:
OIL FILTER 
ENGINE OIL</v>
      </c>
      <c r="O1115" s="2">
        <f>IFERROR(__xludf.DUMMYFUNCTION("""COMPUTED_VALUE"""),370.0)</f>
        <v>370</v>
      </c>
      <c r="P1115" s="2"/>
      <c r="Q1115" s="2" t="str">
        <f>IFERROR(__xludf.DUMMYFUNCTION("""COMPUTED_VALUE"""),"y")</f>
        <v>y</v>
      </c>
      <c r="R1115" s="74">
        <f>IFERROR(__xludf.DUMMYFUNCTION("""COMPUTED_VALUE"""),45910.0)</f>
        <v>45910</v>
      </c>
      <c r="S1115" s="2" t="str">
        <f>IFERROR(__xludf.DUMMYFUNCTION("""COMPUTED_VALUE"""),"JTT/FPJ/JAH")</f>
        <v>JTT/FPJ/JAH</v>
      </c>
      <c r="T1115" s="73" t="str">
        <f>IFERROR(__xludf.DUMMYFUNCTION("""COMPUTED_VALUE""")," N/A ")</f>
        <v>N/A</v>
      </c>
      <c r="U1115" s="73" t="str">
        <f>IFERROR(__xludf.DUMMYFUNCTION("""COMPUTED_VALUE""")," NO CHARGE ")</f>
        <v>NO CHARGE</v>
      </c>
      <c r="V1115" s="2"/>
      <c r="W1115" s="2" t="str">
        <f>IFERROR(__xludf.DUMMYFUNCTION("""COMPUTED_VALUE"""),"N/A")</f>
        <v>N/A</v>
      </c>
      <c r="X1115" s="2" t="str">
        <f>IFERROR(__xludf.DUMMYFUNCTION("""COMPUTED_VALUE"""),"N/A")</f>
        <v>N/A</v>
      </c>
      <c r="Y1115" s="2" t="str">
        <f>IFERROR(__xludf.DUMMYFUNCTION("""COMPUTED_VALUE""")," (UNIT 3) KMC2585 AARFPV1058")</f>
        <v> (UNIT 3) KMC2585 AARFPV1058</v>
      </c>
      <c r="Z1115" s="2"/>
      <c r="AA1115" s="2"/>
      <c r="AB1115" s="2"/>
      <c r="AC1115" s="2"/>
      <c r="AD1115" s="2"/>
      <c r="AE1115" s="2"/>
      <c r="AF1115" s="2"/>
      <c r="AG1115" s="2"/>
      <c r="AH1115" s="2"/>
      <c r="AI1115" s="2"/>
      <c r="AJ1115" s="2" t="str">
        <f>IFERROR(__xludf.DUMMYFUNCTION("""COMPUTED_VALUE"""),"Cadlan")</f>
        <v>Cadlan</v>
      </c>
      <c r="AK1115" s="2" t="str">
        <f>IFERROR(__xludf.DUMMYFUNCTION("""COMPUTED_VALUE"""),"Pili")</f>
        <v>Pili</v>
      </c>
      <c r="AL1115" s="2" t="str">
        <f>IFERROR(__xludf.DUMMYFUNCTION("""COMPUTED_VALUE"""),"Camarines Sur")</f>
        <v>Camarines Sur</v>
      </c>
      <c r="AM1115" s="2">
        <f>IFERROR(__xludf.DUMMYFUNCTION("""COMPUTED_VALUE"""),5.0)</f>
        <v>5</v>
      </c>
      <c r="AN1115" s="2" t="str">
        <f>IFERROR(__xludf.DUMMYFUNCTION("""COMPUTED_VALUE"""),"RCEF 25-03-05")</f>
        <v>RCEF 25-03-05</v>
      </c>
      <c r="AO1115" s="2">
        <f>IFERROR(__xludf.DUMMYFUNCTION("""COMPUTED_VALUE"""),6.0)</f>
        <v>6</v>
      </c>
      <c r="AP1115" s="2" t="str">
        <f>IFERROR(__xludf.DUMMYFUNCTION("""COMPUTED_VALUE"""),"FREE PMS")</f>
        <v>FREE PMS</v>
      </c>
      <c r="AQ1115" s="2"/>
      <c r="AR1115" s="2"/>
      <c r="AS1115" s="2"/>
      <c r="AT1115" s="2"/>
      <c r="AU1115" s="2"/>
      <c r="AV1115" s="2"/>
      <c r="AW1115" s="2"/>
      <c r="AX1115" s="2"/>
      <c r="AY1115" s="2"/>
      <c r="AZ1115" s="2"/>
      <c r="BA1115" s="2"/>
      <c r="BB1115" s="2"/>
    </row>
    <row r="1116">
      <c r="A1116" s="2">
        <f>IFERROR(__xludf.DUMMYFUNCTION("""COMPUTED_VALUE"""),1112.0)</f>
        <v>1112</v>
      </c>
      <c r="B1116" s="2" t="str">
        <f>IFERROR(__xludf.DUMMYFUNCTION("""COMPUTED_VALUE"""),"COMPLETED")</f>
        <v>COMPLETED</v>
      </c>
      <c r="C1116" s="74">
        <f>IFERROR(__xludf.DUMMYFUNCTION("""COMPUTED_VALUE"""),45891.0)</f>
        <v>45891</v>
      </c>
      <c r="D1116" s="71" t="str">
        <f>IFERROR(__xludf.DUMMYFUNCTION("""COMPUTED_VALUE"""),"TAMBOLI FARMERS ASSOCIATION")</f>
        <v>TAMBOLI FARMERS ASSOCIATION</v>
      </c>
      <c r="E1116" s="71" t="str">
        <f>IFERROR(__xludf.DUMMYFUNCTION("""COMPUTED_VALUE"""),"Tamboli, Allacapan, CAGAYAN")</f>
        <v>Tamboli, Allacapan, CAGAYAN</v>
      </c>
      <c r="F1116" s="2" t="str">
        <f>IFERROR(__xludf.DUMMYFUNCTION("""COMPUTED_VALUE"""),"Patrocinio R. Cortez")</f>
        <v>Patrocinio R. Cortez</v>
      </c>
      <c r="G1116" s="2" t="str">
        <f>IFERROR(__xludf.DUMMYFUNCTION("""COMPUTED_VALUE"""),"0927-312-9829")</f>
        <v>0927-312-9829</v>
      </c>
      <c r="H1116" s="2"/>
      <c r="I1116" s="72" t="str">
        <f>IFERROR(__xludf.DUMMYFUNCTION("""COMPUTED_VALUE"""),"REPAIR - TRACTOR")</f>
        <v>REPAIR - TRACTOR</v>
      </c>
      <c r="J1116" s="72" t="str">
        <f>IFERROR(__xludf.DUMMYFUNCTION("""COMPUTED_VALUE"""),"CHECK UP UNIT")</f>
        <v>CHECK UP UNIT</v>
      </c>
      <c r="K1116" s="72" t="str">
        <f>IFERROR(__xludf.DUMMYFUNCTION("""COMPUTED_VALUE"""),"MYK: AYAW UMIKOT NG ROTAVATOR, PAG UMIINIT SYA NAG SSTOCK-UP YUNG ROTA.")</f>
        <v>MYK: AYAW UMIKOT NG ROTAVATOR, PAG UMIINIT SYA NAG SSTOCK-UP YUNG ROTA.</v>
      </c>
      <c r="L1116" s="72" t="str">
        <f>IFERROR(__xludf.DUMMYFUNCTION("""COMPUTED_VALUE"""),"ACS: DELIVERED HYDRAULIC FILTER : TO REPLACED BY FARMER
(HINDI NA TESTING)")</f>
        <v>ACS: DELIVERED HYDRAULIC FILTER : TO REPLACED BY FARMER
(HINDI NA TESTING)</v>
      </c>
      <c r="M1116" s="2"/>
      <c r="N1116" s="2" t="str">
        <f>IFERROR(__xludf.DUMMYFUNCTION("""COMPUTED_VALUE"""),"PARTS:
HYDRAULIC FILTER")</f>
        <v>PARTS:
HYDRAULIC FILTER</v>
      </c>
      <c r="O1116" s="2">
        <f>IFERROR(__xludf.DUMMYFUNCTION("""COMPUTED_VALUE"""),1420.0)</f>
        <v>1420</v>
      </c>
      <c r="P1116" s="2"/>
      <c r="Q1116" s="2" t="str">
        <f>IFERROR(__xludf.DUMMYFUNCTION("""COMPUTED_VALUE"""),"y")</f>
        <v>y</v>
      </c>
      <c r="R1116" s="74">
        <f>IFERROR(__xludf.DUMMYFUNCTION("""COMPUTED_VALUE"""),45910.0)</f>
        <v>45910</v>
      </c>
      <c r="S1116" s="2" t="str">
        <f>IFERROR(__xludf.DUMMYFUNCTION("""COMPUTED_VALUE"""),"ACS/JHP")</f>
        <v>ACS/JHP</v>
      </c>
      <c r="T1116" s="73">
        <f>IFERROR(__xludf.DUMMYFUNCTION("""COMPUTED_VALUE"""),2800.0)</f>
        <v>2800</v>
      </c>
      <c r="U1116" s="73" t="str">
        <f>IFERROR(__xludf.DUMMYFUNCTION("""COMPUTED_VALUE""")," REMITTED ")</f>
        <v>REMITTED</v>
      </c>
      <c r="V1116" s="2"/>
      <c r="W1116" s="2">
        <f>IFERROR(__xludf.DUMMYFUNCTION("""COMPUTED_VALUE"""),1087.0)</f>
        <v>1087</v>
      </c>
      <c r="X1116" s="2"/>
      <c r="Y1116" s="2"/>
      <c r="Z1116" s="2"/>
      <c r="AA1116" s="2"/>
      <c r="AB1116" s="2"/>
      <c r="AC1116" s="2"/>
      <c r="AD1116" s="2"/>
      <c r="AE1116" s="2"/>
      <c r="AF1116" s="2"/>
      <c r="AG1116" s="2"/>
      <c r="AH1116" s="2"/>
      <c r="AI1116" s="2"/>
      <c r="AJ1116" s="2" t="str">
        <f>IFERROR(__xludf.DUMMYFUNCTION("""COMPUTED_VALUE"""),"Tamboli")</f>
        <v>Tamboli</v>
      </c>
      <c r="AK1116" s="2" t="str">
        <f>IFERROR(__xludf.DUMMYFUNCTION("""COMPUTED_VALUE"""),"Allacapan")</f>
        <v>Allacapan</v>
      </c>
      <c r="AL1116" s="2" t="str">
        <f>IFERROR(__xludf.DUMMYFUNCTION("""COMPUTED_VALUE"""),"Cagayan")</f>
        <v>Cagayan</v>
      </c>
      <c r="AM1116" s="2">
        <f>IFERROR(__xludf.DUMMYFUNCTION("""COMPUTED_VALUE"""),2.0)</f>
        <v>2</v>
      </c>
      <c r="AN1116" s="2" t="str">
        <f>IFERROR(__xludf.DUMMYFUNCTION("""COMPUTED_VALUE"""),"RCEF 23-09-21 Rebidding")</f>
        <v>RCEF 23-09-21 Rebidding</v>
      </c>
      <c r="AO1116" s="2">
        <f>IFERROR(__xludf.DUMMYFUNCTION("""COMPUTED_VALUE"""),9.0)</f>
        <v>9</v>
      </c>
      <c r="AP1116" s="2"/>
      <c r="AQ1116" s="2"/>
      <c r="AR1116" s="2"/>
      <c r="AS1116" s="2"/>
      <c r="AT1116" s="2"/>
      <c r="AU1116" s="2"/>
      <c r="AV1116" s="2"/>
      <c r="AW1116" s="2"/>
      <c r="AX1116" s="2"/>
      <c r="AY1116" s="2"/>
      <c r="AZ1116" s="2"/>
      <c r="BA1116" s="2"/>
      <c r="BB1116" s="2"/>
    </row>
    <row r="1117">
      <c r="A1117" s="2">
        <f>IFERROR(__xludf.DUMMYFUNCTION("""COMPUTED_VALUE"""),1113.0)</f>
        <v>1113</v>
      </c>
      <c r="B1117" s="2" t="str">
        <f>IFERROR(__xludf.DUMMYFUNCTION("""COMPUTED_VALUE"""),"COMPLETED")</f>
        <v>COMPLETED</v>
      </c>
      <c r="C1117" s="74">
        <f>IFERROR(__xludf.DUMMYFUNCTION("""COMPUTED_VALUE"""),45893.0)</f>
        <v>45893</v>
      </c>
      <c r="D1117" s="71" t="str">
        <f>IFERROR(__xludf.DUMMYFUNCTION("""COMPUTED_VALUE"""),"INTEGRATED BARANGAYS OF NUMANCIA MULTI-PURPOSE COOPERATIVE (IBON MPC)")</f>
        <v>INTEGRATED BARANGAYS OF NUMANCIA MULTI-PURPOSE COOPERATIVE (IBON MPC)</v>
      </c>
      <c r="E1117" s="71" t="str">
        <f>IFERROR(__xludf.DUMMYFUNCTION("""COMPUTED_VALUE"""),"Pusiw, Numancia, AKLAN")</f>
        <v>Pusiw, Numancia, AKLAN</v>
      </c>
      <c r="F1117" s="2" t="str">
        <f>IFERROR(__xludf.DUMMYFUNCTION("""COMPUTED_VALUE"""),"JuLius Indemne Icabandi")</f>
        <v>JuLius Indemne Icabandi</v>
      </c>
      <c r="G1117" s="2">
        <f>IFERROR(__xludf.DUMMYFUNCTION("""COMPUTED_VALUE"""),9.636233856E9)</f>
        <v>9636233856</v>
      </c>
      <c r="H1117" s="2"/>
      <c r="I1117" s="72" t="str">
        <f>IFERROR(__xludf.DUMMYFUNCTION("""COMPUTED_VALUE"""),"SPARE PARTS ACQUISITION")</f>
        <v>SPARE PARTS ACQUISITION</v>
      </c>
      <c r="J1117" s="72" t="str">
        <f>IFERROR(__xludf.DUMMYFUNCTION("""COMPUTED_VALUE"""),"PARTS REQUEST")</f>
        <v>PARTS REQUEST</v>
      </c>
      <c r="K1117" s="72" t="str">
        <f>IFERROR(__xludf.DUMMYFUNCTION("""COMPUTED_VALUE"""),"MYK: BEVEL GEAR 24T")</f>
        <v>MYK: BEVEL GEAR 24T</v>
      </c>
      <c r="L1117" s="72" t="str">
        <f>IFERROR(__xludf.DUMMYFUNCTION("""COMPUTED_VALUE"""),"QOUTATION SENT: PAID: FOR SHIPPED: SHIPPPED")</f>
        <v>QOUTATION SENT: PAID: FOR SHIPPED: SHIPPPED</v>
      </c>
      <c r="M1117" s="2"/>
      <c r="N1117" s="2" t="str">
        <f>IFERROR(__xludf.DUMMYFUNCTION("""COMPUTED_VALUE"""),"PARTS:
BEVEL GEAR 24T")</f>
        <v>PARTS:
BEVEL GEAR 24T</v>
      </c>
      <c r="O1117" s="2" t="str">
        <f>IFERROR(__xludf.DUMMYFUNCTION("""COMPUTED_VALUE"""),"N/A")</f>
        <v>N/A</v>
      </c>
      <c r="P1117" s="2"/>
      <c r="Q1117" s="2"/>
      <c r="R1117" s="74">
        <f>IFERROR(__xludf.DUMMYFUNCTION("""COMPUTED_VALUE"""),45938.0)</f>
        <v>45938</v>
      </c>
      <c r="S1117" s="2" t="str">
        <f>IFERROR(__xludf.DUMMYFUNCTION("""COMPUTED_VALUE"""),"MYKEE/CTF")</f>
        <v>MYKEE/CTF</v>
      </c>
      <c r="T1117" s="73">
        <f>IFERROR(__xludf.DUMMYFUNCTION("""COMPUTED_VALUE"""),19510.0)</f>
        <v>19510</v>
      </c>
      <c r="U1117" s="73" t="str">
        <f>IFERROR(__xludf.DUMMYFUNCTION("""COMPUTED_VALUE""")," REMITTED ")</f>
        <v>REMITTED</v>
      </c>
      <c r="V1117" s="2"/>
      <c r="W1117" s="2" t="str">
        <f>IFERROR(__xludf.DUMMYFUNCTION("""COMPUTED_VALUE"""),"CR C/O CTF")</f>
        <v>CR C/O CTF</v>
      </c>
      <c r="X1117" s="2"/>
      <c r="Y1117" s="2"/>
      <c r="Z1117" s="2"/>
      <c r="AA1117" s="2"/>
      <c r="AB1117" s="2"/>
      <c r="AC1117" s="2"/>
      <c r="AD1117" s="2"/>
      <c r="AE1117" s="2"/>
      <c r="AF1117" s="2"/>
      <c r="AG1117" s="2"/>
      <c r="AH1117" s="2"/>
      <c r="AI1117" s="2"/>
      <c r="AJ1117" s="2" t="str">
        <f>IFERROR(__xludf.DUMMYFUNCTION("""COMPUTED_VALUE"""),"Pusiw")</f>
        <v>Pusiw</v>
      </c>
      <c r="AK1117" s="2" t="str">
        <f>IFERROR(__xludf.DUMMYFUNCTION("""COMPUTED_VALUE"""),"Numancia")</f>
        <v>Numancia</v>
      </c>
      <c r="AL1117" s="2" t="str">
        <f>IFERROR(__xludf.DUMMYFUNCTION("""COMPUTED_VALUE"""),"Aklan")</f>
        <v>Aklan</v>
      </c>
      <c r="AM1117" s="2">
        <f>IFERROR(__xludf.DUMMYFUNCTION("""COMPUTED_VALUE"""),6.0)</f>
        <v>6</v>
      </c>
      <c r="AN1117" s="2" t="str">
        <f>IFERROR(__xludf.DUMMYFUNCTION("""COMPUTED_VALUE"""),"RCEF 23-09-21 Rebidding")</f>
        <v>RCEF 23-09-21 Rebidding</v>
      </c>
      <c r="AO1117" s="2">
        <f>IFERROR(__xludf.DUMMYFUNCTION("""COMPUTED_VALUE"""),4.0)</f>
        <v>4</v>
      </c>
      <c r="AP1117" s="2"/>
      <c r="AQ1117" s="2"/>
      <c r="AR1117" s="2"/>
      <c r="AS1117" s="2"/>
      <c r="AT1117" s="2"/>
      <c r="AU1117" s="2"/>
      <c r="AV1117" s="2"/>
      <c r="AW1117" s="2"/>
      <c r="AX1117" s="2"/>
      <c r="AY1117" s="2"/>
      <c r="AZ1117" s="2"/>
      <c r="BA1117" s="2"/>
      <c r="BB1117" s="2"/>
    </row>
    <row r="1118">
      <c r="A1118" s="2">
        <f>IFERROR(__xludf.DUMMYFUNCTION("""COMPUTED_VALUE"""),1114.0)</f>
        <v>1114</v>
      </c>
      <c r="B1118" s="2" t="str">
        <f>IFERROR(__xludf.DUMMYFUNCTION("""COMPUTED_VALUE"""),"COMPLETED")</f>
        <v>COMPLETED</v>
      </c>
      <c r="C1118" s="74">
        <f>IFERROR(__xludf.DUMMYFUNCTION("""COMPUTED_VALUE"""),45898.0)</f>
        <v>45898</v>
      </c>
      <c r="D1118" s="71" t="str">
        <f>IFERROR(__xludf.DUMMYFUNCTION("""COMPUTED_VALUE"""),"BAMBAN FARMERS AND LIVESTOCK ASSOCIATION")</f>
        <v>BAMBAN FARMERS AND LIVESTOCK ASSOCIATION</v>
      </c>
      <c r="E1118" s="71" t="str">
        <f>IFERROR(__xludf.DUMMYFUNCTION("""COMPUTED_VALUE"""),"Bamban, San Clemente, TARLAC")</f>
        <v>Bamban, San Clemente, TARLAC</v>
      </c>
      <c r="F1118" s="2" t="str">
        <f>IFERROR(__xludf.DUMMYFUNCTION("""COMPUTED_VALUE"""),"Jayson aclaca")</f>
        <v>Jayson aclaca</v>
      </c>
      <c r="G1118" s="2">
        <f>IFERROR(__xludf.DUMMYFUNCTION("""COMPUTED_VALUE"""),9.070182813E9)</f>
        <v>9070182813</v>
      </c>
      <c r="H1118" s="2">
        <f>IFERROR(__xludf.DUMMYFUNCTION("""COMPUTED_VALUE"""),140.0)</f>
        <v>140</v>
      </c>
      <c r="I1118" s="72" t="str">
        <f>IFERROR(__xludf.DUMMYFUNCTION("""COMPUTED_VALUE"""),"PMS")</f>
        <v>PMS</v>
      </c>
      <c r="J1118" s="72"/>
      <c r="K1118" s="72" t="str">
        <f>IFERROR(__xludf.DUMMYFUNCTION("""COMPUTED_VALUE"""),"DATE DELIVERD: 
MYK: NO ANSWER YET")</f>
        <v>DATE DELIVERD: 
MYK: NO ANSWER YET</v>
      </c>
      <c r="L1118" s="72" t="str">
        <f>IFERROR(__xludf.DUMMYFUNCTION("""COMPUTED_VALUE"""),"ACS: 1ST PMS DONE")</f>
        <v>ACS: 1ST PMS DONE</v>
      </c>
      <c r="M1118" s="2"/>
      <c r="N1118" s="2" t="str">
        <f>IFERROR(__xludf.DUMMYFUNCTION("""COMPUTED_VALUE"""),"PARTS:
OIL FILTER
SERVICE: 1500
")</f>
        <v>PARTS:
OIL FILTER
SERVICE: 1500
</v>
      </c>
      <c r="O1118" s="2">
        <f>IFERROR(__xludf.DUMMYFUNCTION("""COMPUTED_VALUE"""),1418.0)</f>
        <v>1418</v>
      </c>
      <c r="P1118" s="2"/>
      <c r="Q1118" s="2" t="str">
        <f>IFERROR(__xludf.DUMMYFUNCTION("""COMPUTED_VALUE"""),"y")</f>
        <v>y</v>
      </c>
      <c r="R1118" s="74">
        <f>IFERROR(__xludf.DUMMYFUNCTION("""COMPUTED_VALUE"""),45902.0)</f>
        <v>45902</v>
      </c>
      <c r="S1118" s="2" t="str">
        <f>IFERROR(__xludf.DUMMYFUNCTION("""COMPUTED_VALUE"""),"ACS/JHP")</f>
        <v>ACS/JHP</v>
      </c>
      <c r="T1118" s="73">
        <f>IFERROR(__xludf.DUMMYFUNCTION("""COMPUTED_VALUE"""),3100.0)</f>
        <v>3100</v>
      </c>
      <c r="U1118" s="73" t="str">
        <f>IFERROR(__xludf.DUMMYFUNCTION("""COMPUTED_VALUE""")," REMITTED ")</f>
        <v>REMITTED</v>
      </c>
      <c r="V1118" s="2"/>
      <c r="W1118" s="2">
        <f>IFERROR(__xludf.DUMMYFUNCTION("""COMPUTED_VALUE"""),1081.0)</f>
        <v>1081</v>
      </c>
      <c r="X1118" s="2"/>
      <c r="Y1118" s="2"/>
      <c r="Z1118" s="2"/>
      <c r="AA1118" s="2"/>
      <c r="AB1118" s="2"/>
      <c r="AC1118" s="2"/>
      <c r="AD1118" s="2"/>
      <c r="AE1118" s="2"/>
      <c r="AF1118" s="2"/>
      <c r="AG1118" s="2"/>
      <c r="AH1118" s="2"/>
      <c r="AI1118" s="2"/>
      <c r="AJ1118" s="2" t="str">
        <f>IFERROR(__xludf.DUMMYFUNCTION("""COMPUTED_VALUE"""),"Bamban")</f>
        <v>Bamban</v>
      </c>
      <c r="AK1118" s="2" t="str">
        <f>IFERROR(__xludf.DUMMYFUNCTION("""COMPUTED_VALUE"""),"San Clemente")</f>
        <v>San Clemente</v>
      </c>
      <c r="AL1118" s="2" t="str">
        <f>IFERROR(__xludf.DUMMYFUNCTION("""COMPUTED_VALUE"""),"Tarlac")</f>
        <v>Tarlac</v>
      </c>
      <c r="AM1118" s="2">
        <f>IFERROR(__xludf.DUMMYFUNCTION("""COMPUTED_VALUE"""),3.0)</f>
        <v>3</v>
      </c>
      <c r="AN1118" s="2" t="str">
        <f>IFERROR(__xludf.DUMMYFUNCTION("""COMPUTED_VALUE"""),"RCEF 23-09-21 Rebidding")</f>
        <v>RCEF 23-09-21 Rebidding</v>
      </c>
      <c r="AO1118" s="2">
        <f>IFERROR(__xludf.DUMMYFUNCTION("""COMPUTED_VALUE"""),3.0)</f>
        <v>3</v>
      </c>
      <c r="AP1118" s="2"/>
      <c r="AQ1118" s="2"/>
      <c r="AR1118" s="2"/>
      <c r="AS1118" s="2"/>
      <c r="AT1118" s="2"/>
      <c r="AU1118" s="2"/>
      <c r="AV1118" s="2"/>
      <c r="AW1118" s="2"/>
      <c r="AX1118" s="2"/>
      <c r="AY1118" s="2"/>
      <c r="AZ1118" s="2"/>
      <c r="BA1118" s="2"/>
      <c r="BB1118" s="2"/>
    </row>
    <row r="1119">
      <c r="A1119" s="2">
        <f>IFERROR(__xludf.DUMMYFUNCTION("""COMPUTED_VALUE"""),1115.0)</f>
        <v>1115</v>
      </c>
      <c r="B1119" s="2" t="str">
        <f>IFERROR(__xludf.DUMMYFUNCTION("""COMPUTED_VALUE"""),"COMPLETED")</f>
        <v>COMPLETED</v>
      </c>
      <c r="C1119" s="74">
        <f>IFERROR(__xludf.DUMMYFUNCTION("""COMPUTED_VALUE"""),45902.0)</f>
        <v>45902</v>
      </c>
      <c r="D1119" s="71" t="str">
        <f>IFERROR(__xludf.DUMMYFUNCTION("""COMPUTED_VALUE"""),"BAMBAN FARMERS AND LIVESTOCK ASSOCIATION")</f>
        <v>BAMBAN FARMERS AND LIVESTOCK ASSOCIATION</v>
      </c>
      <c r="E1119" s="71" t="str">
        <f>IFERROR(__xludf.DUMMYFUNCTION("""COMPUTED_VALUE"""),"Bamban, San Clemente, TARLAC")</f>
        <v>Bamban, San Clemente, TARLAC</v>
      </c>
      <c r="F1119" s="2"/>
      <c r="G1119" s="2"/>
      <c r="H1119" s="2"/>
      <c r="I1119" s="72" t="str">
        <f>IFERROR(__xludf.DUMMYFUNCTION("""COMPUTED_VALUE"""),"PMS")</f>
        <v>PMS</v>
      </c>
      <c r="J1119" s="72"/>
      <c r="K1119" s="72" t="str">
        <f>IFERROR(__xludf.DUMMYFUNCTION("""COMPUTED_VALUE"""),"JHP: CHANGE OIL")</f>
        <v>JHP: CHANGE OIL</v>
      </c>
      <c r="L1119" s="72"/>
      <c r="M1119" s="2"/>
      <c r="N1119" s="2" t="str">
        <f>IFERROR(__xludf.DUMMYFUNCTION("""COMPUTED_VALUE"""),"PARTS:
OIL FILTER - 1,600
LABOR: 1,500")</f>
        <v>PARTS:
OIL FILTER - 1,600
LABOR: 1,500</v>
      </c>
      <c r="O1119" s="2" t="str">
        <f>IFERROR(__xludf.DUMMYFUNCTION("""COMPUTED_VALUE"""),"?")</f>
        <v>?</v>
      </c>
      <c r="P1119" s="2"/>
      <c r="Q1119" s="2"/>
      <c r="R1119" s="74">
        <f>IFERROR(__xludf.DUMMYFUNCTION("""COMPUTED_VALUE"""),45902.0)</f>
        <v>45902</v>
      </c>
      <c r="S1119" s="2" t="str">
        <f>IFERROR(__xludf.DUMMYFUNCTION("""COMPUTED_VALUE"""),"JHP")</f>
        <v>JHP</v>
      </c>
      <c r="T1119" s="73">
        <f>IFERROR(__xludf.DUMMYFUNCTION("""COMPUTED_VALUE"""),3100.0)</f>
        <v>3100</v>
      </c>
      <c r="U1119" s="73" t="str">
        <f>IFERROR(__xludf.DUMMYFUNCTION("""COMPUTED_VALUE""")," REMITTED ")</f>
        <v>REMITTED</v>
      </c>
      <c r="V1119" s="2"/>
      <c r="W1119" s="2">
        <f>IFERROR(__xludf.DUMMYFUNCTION("""COMPUTED_VALUE"""),1081.0)</f>
        <v>1081</v>
      </c>
      <c r="X1119" s="2">
        <f>IFERROR(__xludf.DUMMYFUNCTION("""COMPUTED_VALUE"""),1615.0)</f>
        <v>1615</v>
      </c>
      <c r="Y1119" s="2"/>
      <c r="Z1119" s="2"/>
      <c r="AA1119" s="2"/>
      <c r="AB1119" s="2"/>
      <c r="AC1119" s="2"/>
      <c r="AD1119" s="2"/>
      <c r="AE1119" s="2"/>
      <c r="AF1119" s="2"/>
      <c r="AG1119" s="2"/>
      <c r="AH1119" s="2"/>
      <c r="AI1119" s="2"/>
      <c r="AJ1119" s="2" t="str">
        <f>IFERROR(__xludf.DUMMYFUNCTION("""COMPUTED_VALUE"""),"Bamban")</f>
        <v>Bamban</v>
      </c>
      <c r="AK1119" s="2" t="str">
        <f>IFERROR(__xludf.DUMMYFUNCTION("""COMPUTED_VALUE"""),"San Clemente")</f>
        <v>San Clemente</v>
      </c>
      <c r="AL1119" s="2" t="str">
        <f>IFERROR(__xludf.DUMMYFUNCTION("""COMPUTED_VALUE"""),"Tarlac")</f>
        <v>Tarlac</v>
      </c>
      <c r="AM1119" s="2">
        <f>IFERROR(__xludf.DUMMYFUNCTION("""COMPUTED_VALUE"""),3.0)</f>
        <v>3</v>
      </c>
      <c r="AN1119" s="2" t="str">
        <f>IFERROR(__xludf.DUMMYFUNCTION("""COMPUTED_VALUE"""),"RCEF 23-09-21 Rebidding")</f>
        <v>RCEF 23-09-21 Rebidding</v>
      </c>
      <c r="AO1119" s="2">
        <f>IFERROR(__xludf.DUMMYFUNCTION("""COMPUTED_VALUE"""),3.0)</f>
        <v>3</v>
      </c>
      <c r="AP1119" s="2"/>
      <c r="AQ1119" s="2"/>
      <c r="AR1119" s="2"/>
      <c r="AS1119" s="2"/>
      <c r="AT1119" s="2"/>
      <c r="AU1119" s="2"/>
      <c r="AV1119" s="2"/>
      <c r="AW1119" s="2"/>
      <c r="AX1119" s="2"/>
      <c r="AY1119" s="2"/>
      <c r="AZ1119" s="2"/>
      <c r="BA1119" s="2"/>
      <c r="BB1119" s="2"/>
    </row>
    <row r="1120">
      <c r="A1120" s="2">
        <f>IFERROR(__xludf.DUMMYFUNCTION("""COMPUTED_VALUE"""),1116.0)</f>
        <v>1116</v>
      </c>
      <c r="B1120" s="2" t="str">
        <f>IFERROR(__xludf.DUMMYFUNCTION("""COMPUTED_VALUE"""),"COMPLETED")</f>
        <v>COMPLETED</v>
      </c>
      <c r="C1120" s="74">
        <f>IFERROR(__xludf.DUMMYFUNCTION("""COMPUTED_VALUE"""),45903.0)</f>
        <v>45903</v>
      </c>
      <c r="D1120" s="71" t="str">
        <f>IFERROR(__xludf.DUMMYFUNCTION("""COMPUTED_VALUE"""),"Bulusukan Farmers Palay and Vegetable Producers Cooperative")</f>
        <v>Bulusukan Farmers Palay and Vegetable Producers Cooperative</v>
      </c>
      <c r="E1120" s="71" t="str">
        <f>IFERROR(__xludf.DUMMYFUNCTION("""COMPUTED_VALUE"""),"Bulusukan, San Ildefonso, BULACAN")</f>
        <v>Bulusukan, San Ildefonso, BULACAN</v>
      </c>
      <c r="F1120" s="2" t="str">
        <f>IFERROR(__xludf.DUMMYFUNCTION("""COMPUTED_VALUE"""),"NALDY NUNEZ")</f>
        <v>NALDY NUNEZ</v>
      </c>
      <c r="G1120" s="2" t="str">
        <f>IFERROR(__xludf.DUMMYFUNCTION("""COMPUTED_VALUE"""),"09128630 521 ")</f>
        <v>09128630 521 </v>
      </c>
      <c r="H1120" s="2">
        <f>IFERROR(__xludf.DUMMYFUNCTION("""COMPUTED_VALUE"""),574.0)</f>
        <v>574</v>
      </c>
      <c r="I1120" s="72" t="str">
        <f>IFERROR(__xludf.DUMMYFUNCTION("""COMPUTED_VALUE"""),"REPAIR - TRACTOR")</f>
        <v>REPAIR - TRACTOR</v>
      </c>
      <c r="J1120" s="72" t="str">
        <f>IFERROR(__xludf.DUMMYFUNCTION("""COMPUTED_VALUE"""),"PTO - Valve Solenoid")</f>
        <v>PTO - Valve Solenoid</v>
      </c>
      <c r="K1120" s="72" t="str">
        <f>IFERROR(__xludf.DUMMYFUNCTION("""COMPUTED_VALUE"""),"DRM: NAMAMATAY ANG ROTAVATOR AT DI NAGANA ANG 4WD
ECM: 9/30/25: 
PTO VALVE SOLENOID")</f>
        <v>DRM: NAMAMATAY ANG ROTAVATOR AT DI NAGANA ANG 4WD
ECM: 9/30/25: 
PTO VALVE SOLENOID</v>
      </c>
      <c r="L1120" s="72" t="str">
        <f>IFERROR(__xludf.DUMMYFUNCTION("""COMPUTED_VALUE"""),"QUOTATION SENT:VIA TEXT: TATAEAG NALANG PAG IPAGAGAWA NILA")</f>
        <v>QUOTATION SENT:VIA TEXT: TATAEAG NALANG PAG IPAGAGAWA NILA</v>
      </c>
      <c r="M1120" s="2"/>
      <c r="N1120" s="2"/>
      <c r="O1120" s="2" t="str">
        <f>IFERROR(__xludf.DUMMYFUNCTION("""COMPUTED_VALUE"""),"N/A")</f>
        <v>N/A</v>
      </c>
      <c r="P1120" s="2"/>
      <c r="Q1120" s="2" t="str">
        <f>IFERROR(__xludf.DUMMYFUNCTION("""COMPUTED_VALUE"""),"N")</f>
        <v>N</v>
      </c>
      <c r="R1120" s="74">
        <f>IFERROR(__xludf.DUMMYFUNCTION("""COMPUTED_VALUE"""),45952.0)</f>
        <v>45952</v>
      </c>
      <c r="S1120" s="2" t="str">
        <f>IFERROR(__xludf.DUMMYFUNCTION("""COMPUTED_VALUE"""),"JHP")</f>
        <v>JHP</v>
      </c>
      <c r="T1120" s="73" t="str">
        <f>IFERROR(__xludf.DUMMYFUNCTION("""COMPUTED_VALUE""")," N/A ")</f>
        <v>N/A</v>
      </c>
      <c r="U1120" s="73" t="str">
        <f>IFERROR(__xludf.DUMMYFUNCTION("""COMPUTED_VALUE""")," NO CHARGE ")</f>
        <v>NO CHARGE</v>
      </c>
      <c r="V1120" s="2"/>
      <c r="W1120" s="2" t="str">
        <f>IFERROR(__xludf.DUMMYFUNCTION("""COMPUTED_VALUE"""),"N/A")</f>
        <v>N/A</v>
      </c>
      <c r="X1120" s="2" t="str">
        <f>IFERROR(__xludf.DUMMYFUNCTION("""COMPUTED_VALUE"""),"N/A")</f>
        <v>N/A</v>
      </c>
      <c r="Y1120" s="2"/>
      <c r="Z1120" s="2"/>
      <c r="AA1120" s="2"/>
      <c r="AB1120" s="2"/>
      <c r="AC1120" s="2"/>
      <c r="AD1120" s="2"/>
      <c r="AE1120" s="2"/>
      <c r="AF1120" s="2"/>
      <c r="AG1120" s="2"/>
      <c r="AH1120" s="2"/>
      <c r="AI1120" s="2"/>
      <c r="AJ1120" s="2" t="str">
        <f>IFERROR(__xludf.DUMMYFUNCTION("""COMPUTED_VALUE"""),"Bulusukan")</f>
        <v>Bulusukan</v>
      </c>
      <c r="AK1120" s="2" t="str">
        <f>IFERROR(__xludf.DUMMYFUNCTION("""COMPUTED_VALUE"""),"San Ildefonso")</f>
        <v>San Ildefonso</v>
      </c>
      <c r="AL1120" s="2" t="str">
        <f>IFERROR(__xludf.DUMMYFUNCTION("""COMPUTED_VALUE"""),"Bulacan")</f>
        <v>Bulacan</v>
      </c>
      <c r="AM1120" s="2">
        <f>IFERROR(__xludf.DUMMYFUNCTION("""COMPUTED_VALUE"""),3.0)</f>
        <v>3</v>
      </c>
      <c r="AN1120" s="2" t="str">
        <f>IFERROR(__xludf.DUMMYFUNCTION("""COMPUTED_VALUE"""),"RCEF 23-09-21 Rebidding")</f>
        <v>RCEF 23-09-21 Rebidding</v>
      </c>
      <c r="AO1120" s="2">
        <f>IFERROR(__xludf.DUMMYFUNCTION("""COMPUTED_VALUE"""),9.0)</f>
        <v>9</v>
      </c>
      <c r="AP1120" s="2"/>
      <c r="AQ1120" s="2"/>
      <c r="AR1120" s="2"/>
      <c r="AS1120" s="2"/>
      <c r="AT1120" s="2"/>
      <c r="AU1120" s="2"/>
      <c r="AV1120" s="2"/>
      <c r="AW1120" s="2"/>
      <c r="AX1120" s="2"/>
      <c r="AY1120" s="2"/>
      <c r="AZ1120" s="2"/>
      <c r="BA1120" s="2"/>
      <c r="BB1120" s="2"/>
    </row>
    <row r="1121">
      <c r="A1121" s="2">
        <f>IFERROR(__xludf.DUMMYFUNCTION("""COMPUTED_VALUE"""),1117.0)</f>
        <v>1117</v>
      </c>
      <c r="B1121" s="2" t="str">
        <f>IFERROR(__xludf.DUMMYFUNCTION("""COMPUTED_VALUE"""),"PENDING")</f>
        <v>PENDING</v>
      </c>
      <c r="C1121" s="74">
        <f>IFERROR(__xludf.DUMMYFUNCTION("""COMPUTED_VALUE"""),45903.0)</f>
        <v>45903</v>
      </c>
      <c r="D1121" s="71" t="str">
        <f>IFERROR(__xludf.DUMMYFUNCTION("""COMPUTED_VALUE"""),"Echague Development Cooperative")</f>
        <v>Echague Development Cooperative</v>
      </c>
      <c r="E1121" s="71" t="str">
        <f>IFERROR(__xludf.DUMMYFUNCTION("""COMPUTED_VALUE"""),"Silauan Norte (Pob.), Echague, ISABELA")</f>
        <v>Silauan Norte (Pob.), Echague, ISABELA</v>
      </c>
      <c r="F1121" s="2" t="str">
        <f>IFERROR(__xludf.DUMMYFUNCTION("""COMPUTED_VALUE"""),"LILIY DUMALYANG")</f>
        <v>LILIY DUMALYANG</v>
      </c>
      <c r="G1121" s="2">
        <f>IFERROR(__xludf.DUMMYFUNCTION("""COMPUTED_VALUE"""),9.065862827E9)</f>
        <v>9065862827</v>
      </c>
      <c r="H1121" s="2"/>
      <c r="I1121" s="72" t="str">
        <f>IFERROR(__xludf.DUMMYFUNCTION("""COMPUTED_VALUE"""),"SPARE PARTS ACQUISITION")</f>
        <v>SPARE PARTS ACQUISITION</v>
      </c>
      <c r="J1121" s="72" t="str">
        <f>IFERROR(__xludf.DUMMYFUNCTION("""COMPUTED_VALUE"""),"PARTS REQUEST")</f>
        <v>PARTS REQUEST</v>
      </c>
      <c r="K1121" s="72" t="str">
        <f>IFERROR(__xludf.DUMMYFUNCTION("""COMPUTED_VALUE"""),"JVV:
 1  connecting arm
 Bearings:
 1 set main bearing Size  0.50-5 sets
1 set connecting rod Size 0.50-4pcs
1 set  trust bearing  Standard-2sets
JVV: 10/8/25
1- CYLINDER HEAD GASKET
1 SET- PISTON RING
1 SET- MAIN BEARING
1 SET- CONNECTING ROD BEARING
1 "&amp;"SET- TRUST BEARING
1- CONNECTING ROD ARM
1-OIL FILTER
")</f>
        <v>JVV:
 1  connecting arm
 Bearings:
 1 set main bearing Size  0.50-5 sets
1 set connecting rod Size 0.50-4pcs
1 set  trust bearing  Standard-2sets
JVV: 10/8/25
1- CYLINDER HEAD GASKET
1 SET- PISTON RING
1 SET- MAIN BEARING
1 SET- CONNECTING ROD BEARING
1 SET- TRUST BEARING
1- CONNECTING ROD ARM
1-OIL FILTER
</v>
      </c>
      <c r="L1121" s="72" t="str">
        <f>IFERROR(__xludf.DUMMYFUNCTION("""COMPUTED_VALUE"""),"QUOTATION SENT TO JVV:")</f>
        <v>QUOTATION SENT TO JVV:</v>
      </c>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t="str">
        <f>IFERROR(__xludf.DUMMYFUNCTION("""COMPUTED_VALUE"""),"Silauan Norte (Pob.)")</f>
        <v>Silauan Norte (Pob.)</v>
      </c>
      <c r="AK1121" s="2" t="str">
        <f>IFERROR(__xludf.DUMMYFUNCTION("""COMPUTED_VALUE"""),"Echague")</f>
        <v>Echague</v>
      </c>
      <c r="AL1121" s="2" t="str">
        <f>IFERROR(__xludf.DUMMYFUNCTION("""COMPUTED_VALUE"""),"Isabela")</f>
        <v>Isabela</v>
      </c>
      <c r="AM1121" s="2">
        <f>IFERROR(__xludf.DUMMYFUNCTION("""COMPUTED_VALUE"""),2.0)</f>
        <v>2</v>
      </c>
      <c r="AN1121" s="2" t="str">
        <f>IFERROR(__xludf.DUMMYFUNCTION("""COMPUTED_VALUE"""),"RCEF 23-09-21 Rebidding")</f>
        <v>RCEF 23-09-21 Rebidding</v>
      </c>
      <c r="AO1121" s="2">
        <f>IFERROR(__xludf.DUMMYFUNCTION("""COMPUTED_VALUE"""),1.0)</f>
        <v>1</v>
      </c>
      <c r="AP1121" s="2"/>
      <c r="AQ1121" s="2"/>
      <c r="AR1121" s="2"/>
      <c r="AS1121" s="2"/>
      <c r="AT1121" s="2"/>
      <c r="AU1121" s="2"/>
      <c r="AV1121" s="2"/>
      <c r="AW1121" s="2"/>
      <c r="AX1121" s="2"/>
      <c r="AY1121" s="2"/>
      <c r="AZ1121" s="2"/>
      <c r="BA1121" s="2"/>
      <c r="BB1121" s="2"/>
    </row>
    <row r="1122">
      <c r="A1122" s="2">
        <f>IFERROR(__xludf.DUMMYFUNCTION("""COMPUTED_VALUE"""),1118.0)</f>
        <v>1118</v>
      </c>
      <c r="B1122" s="2" t="str">
        <f>IFERROR(__xludf.DUMMYFUNCTION("""COMPUTED_VALUE"""),"COMPLETED")</f>
        <v>COMPLETED</v>
      </c>
      <c r="C1122" s="74">
        <f>IFERROR(__xludf.DUMMYFUNCTION("""COMPUTED_VALUE"""),45908.0)</f>
        <v>45908</v>
      </c>
      <c r="D1122" s="71"/>
      <c r="E1122" s="71" t="str">
        <f>IFERROR(__xludf.DUMMYFUNCTION("""COMPUTED_VALUE""")," ")</f>
        <v> </v>
      </c>
      <c r="F1122" s="2" t="str">
        <f>IFERROR(__xludf.DUMMYFUNCTION("""COMPUTED_VALUE"""),"ANTIPOLO MINALABAC CAMARINES SUR")</f>
        <v>ANTIPOLO MINALABAC CAMARINES SUR</v>
      </c>
      <c r="G1122" s="2"/>
      <c r="H1122" s="2"/>
      <c r="I1122" s="72" t="str">
        <f>IFERROR(__xludf.DUMMYFUNCTION("""COMPUTED_VALUE"""),"REPAIR - TRACTOR")</f>
        <v>REPAIR - TRACTOR</v>
      </c>
      <c r="J1122" s="72" t="str">
        <f>IFERROR(__xludf.DUMMYFUNCTION("""COMPUTED_VALUE"""),"CLUTCH")</f>
        <v>CLUTCH</v>
      </c>
      <c r="K1122" s="72" t="str">
        <f>IFERROR(__xludf.DUMMYFUNCTION("""COMPUTED_VALUE"""),"JTT: CLUTCH DISC PROBLEM")</f>
        <v>JTT: CLUTCH DISC PROBLEM</v>
      </c>
      <c r="L1122" s="72" t="str">
        <f>IFERROR(__xludf.DUMMYFUNCTION("""COMPUTED_VALUE"""),"FPJ: REPLACED CLUTCH DISC ASSY")</f>
        <v>FPJ: REPLACED CLUTCH DISC ASSY</v>
      </c>
      <c r="M1122" s="2"/>
      <c r="N1122" s="2" t="str">
        <f>IFERROR(__xludf.DUMMYFUNCTION("""COMPUTED_VALUE"""),"PARTS: 
CLUTCH DISC ASSY")</f>
        <v>PARTS: 
CLUTCH DISC ASSY</v>
      </c>
      <c r="O1122" s="2">
        <f>IFERROR(__xludf.DUMMYFUNCTION("""COMPUTED_VALUE"""),372.0)</f>
        <v>372</v>
      </c>
      <c r="P1122" s="2"/>
      <c r="Q1122" s="2" t="str">
        <f>IFERROR(__xludf.DUMMYFUNCTION("""COMPUTED_VALUE"""),"FOR PRINT")</f>
        <v>FOR PRINT</v>
      </c>
      <c r="R1122" s="74">
        <f>IFERROR(__xludf.DUMMYFUNCTION("""COMPUTED_VALUE"""),45910.0)</f>
        <v>45910</v>
      </c>
      <c r="S1122" s="2" t="str">
        <f>IFERROR(__xludf.DUMMYFUNCTION("""COMPUTED_VALUE"""),"JTT/FPJ/JAH")</f>
        <v>JTT/FPJ/JAH</v>
      </c>
      <c r="T1122" s="73">
        <f>IFERROR(__xludf.DUMMYFUNCTION("""COMPUTED_VALUE"""),21330.0)</f>
        <v>21330</v>
      </c>
      <c r="U1122" s="73" t="str">
        <f>IFERROR(__xludf.DUMMYFUNCTION("""COMPUTED_VALUE""")," REMITTED ")</f>
        <v>REMITTED</v>
      </c>
      <c r="V1122" s="2"/>
      <c r="W1122" s="2">
        <f>IFERROR(__xludf.DUMMYFUNCTION("""COMPUTED_VALUE"""),1861.0)</f>
        <v>1861</v>
      </c>
      <c r="X1122" s="2">
        <f>IFERROR(__xludf.DUMMYFUNCTION("""COMPUTED_VALUE"""),1562.0)</f>
        <v>1562</v>
      </c>
      <c r="Y1122" s="2"/>
      <c r="Z1122" s="2"/>
      <c r="AA1122" s="2"/>
      <c r="AB1122" s="2"/>
      <c r="AC1122" s="2"/>
      <c r="AD1122" s="2"/>
      <c r="AE1122" s="2"/>
      <c r="AF1122" s="2"/>
      <c r="AG1122" s="2"/>
      <c r="AH1122" s="2"/>
      <c r="AI1122" s="2"/>
      <c r="AJ1122" s="2" t="str">
        <f>IFERROR(__xludf.DUMMYFUNCTION("""COMPUTED_VALUE"""),"")</f>
        <v/>
      </c>
      <c r="AK1122" s="2" t="str">
        <f>IFERROR(__xludf.DUMMYFUNCTION("""COMPUTED_VALUE"""),"")</f>
        <v/>
      </c>
      <c r="AL1122" s="2" t="str">
        <f>IFERROR(__xludf.DUMMYFUNCTION("""COMPUTED_VALUE"""),"")</f>
        <v/>
      </c>
      <c r="AM1122" s="2" t="str">
        <f>IFERROR(__xludf.DUMMYFUNCTION("""COMPUTED_VALUE"""),"")</f>
        <v/>
      </c>
      <c r="AN1122" s="2" t="str">
        <f>IFERROR(__xludf.DUMMYFUNCTION("""COMPUTED_VALUE""")," ")</f>
        <v> </v>
      </c>
      <c r="AO1122" s="2" t="str">
        <f>IFERROR(__xludf.DUMMYFUNCTION("""COMPUTED_VALUE""")," ")</f>
        <v> </v>
      </c>
      <c r="AP1122" s="2" t="str">
        <f>IFERROR(__xludf.DUMMYFUNCTION("""COMPUTED_VALUE"""),"")</f>
        <v/>
      </c>
      <c r="AQ1122" s="2"/>
      <c r="AR1122" s="2"/>
      <c r="AS1122" s="2"/>
      <c r="AT1122" s="2"/>
      <c r="AU1122" s="2"/>
      <c r="AV1122" s="2"/>
      <c r="AW1122" s="2"/>
      <c r="AX1122" s="2"/>
      <c r="AY1122" s="2"/>
      <c r="AZ1122" s="2"/>
      <c r="BA1122" s="2"/>
      <c r="BB1122" s="2"/>
    </row>
    <row r="1123">
      <c r="A1123" s="2">
        <f>IFERROR(__xludf.DUMMYFUNCTION("""COMPUTED_VALUE"""),1119.0)</f>
        <v>1119</v>
      </c>
      <c r="B1123" s="2" t="str">
        <f>IFERROR(__xludf.DUMMYFUNCTION("""COMPUTED_VALUE"""),"COMPLETED")</f>
        <v>COMPLETED</v>
      </c>
      <c r="C1123" s="74">
        <f>IFERROR(__xludf.DUMMYFUNCTION("""COMPUTED_VALUE"""),45908.0)</f>
        <v>45908</v>
      </c>
      <c r="D1123" s="71" t="str">
        <f>IFERROR(__xludf.DUMMYFUNCTION("""COMPUTED_VALUE"""),"UGNAYAN NG MAGSASAKA FARMERS ASSOCIATION")</f>
        <v>UGNAYAN NG MAGSASAKA FARMERS ASSOCIATION</v>
      </c>
      <c r="E1123" s="71" t="str">
        <f>IFERROR(__xludf.DUMMYFUNCTION("""COMPUTED_VALUE"""),"Lusacan, Tiaong, QUEZON")</f>
        <v>Lusacan, Tiaong, QUEZON</v>
      </c>
      <c r="F1123" s="2" t="str">
        <f>IFERROR(__xludf.DUMMYFUNCTION("""COMPUTED_VALUE"""),"Benito E. Mitra")</f>
        <v>Benito E. Mitra</v>
      </c>
      <c r="G1123" s="2" t="str">
        <f>IFERROR(__xludf.DUMMYFUNCTION("""COMPUTED_VALUE"""),"0921 468 0930")</f>
        <v>0921 468 0930</v>
      </c>
      <c r="H1123" s="2"/>
      <c r="I1123" s="72" t="str">
        <f>IFERROR(__xludf.DUMMYFUNCTION("""COMPUTED_VALUE"""),"PMS")</f>
        <v>PMS</v>
      </c>
      <c r="J1123" s="72" t="str">
        <f>IFERROR(__xludf.DUMMYFUNCTION("""COMPUTED_VALUE"""),"PMS")</f>
        <v>PMS</v>
      </c>
      <c r="K1123" s="72" t="str">
        <f>IFERROR(__xludf.DUMMYFUNCTION("""COMPUTED_VALUE"""),"JTT: PMS")</f>
        <v>JTT: PMS</v>
      </c>
      <c r="L1123" s="72" t="str">
        <f>IFERROR(__xludf.DUMMYFUNCTION("""COMPUTED_VALUE"""),"RBS: 1ST PMS DONE")</f>
        <v>RBS: 1ST PMS DONE</v>
      </c>
      <c r="M1123" s="2"/>
      <c r="N1123" s="2" t="str">
        <f>IFERROR(__xludf.DUMMYFUNCTION("""COMPUTED_VALUE"""),"PARTS:
OIL FILTER
ENGINE OIL")</f>
        <v>PARTS:
OIL FILTER
ENGINE OIL</v>
      </c>
      <c r="O1123" s="2">
        <f>IFERROR(__xludf.DUMMYFUNCTION("""COMPUTED_VALUE"""),174.0)</f>
        <v>174</v>
      </c>
      <c r="P1123" s="2"/>
      <c r="Q1123" s="2" t="str">
        <f>IFERROR(__xludf.DUMMYFUNCTION("""COMPUTED_VALUE"""),"FOR SCAN")</f>
        <v>FOR SCAN</v>
      </c>
      <c r="R1123" s="74">
        <f>IFERROR(__xludf.DUMMYFUNCTION("""COMPUTED_VALUE"""),45910.0)</f>
        <v>45910</v>
      </c>
      <c r="S1123" s="2" t="str">
        <f>IFERROR(__xludf.DUMMYFUNCTION("""COMPUTED_VALUE"""),"RBS/JIE")</f>
        <v>RBS/JIE</v>
      </c>
      <c r="T1123" s="73" t="str">
        <f>IFERROR(__xludf.DUMMYFUNCTION("""COMPUTED_VALUE""")," N/A ")</f>
        <v>N/A</v>
      </c>
      <c r="U1123" s="73" t="str">
        <f>IFERROR(__xludf.DUMMYFUNCTION("""COMPUTED_VALUE""")," NO CHARGE ")</f>
        <v>NO CHARGE</v>
      </c>
      <c r="V1123" s="2"/>
      <c r="W1123" s="2" t="str">
        <f>IFERROR(__xludf.DUMMYFUNCTION("""COMPUTED_VALUE"""),"N/A")</f>
        <v>N/A</v>
      </c>
      <c r="X1123" s="2" t="str">
        <f>IFERROR(__xludf.DUMMYFUNCTION("""COMPUTED_VALUE"""),"N/A")</f>
        <v>N/A</v>
      </c>
      <c r="Y1123" s="2"/>
      <c r="Z1123" s="2"/>
      <c r="AA1123" s="2"/>
      <c r="AB1123" s="2"/>
      <c r="AC1123" s="2"/>
      <c r="AD1123" s="2"/>
      <c r="AE1123" s="2"/>
      <c r="AF1123" s="2"/>
      <c r="AG1123" s="2"/>
      <c r="AH1123" s="2"/>
      <c r="AI1123" s="2"/>
      <c r="AJ1123" s="2" t="str">
        <f>IFERROR(__xludf.DUMMYFUNCTION("""COMPUTED_VALUE"""),"Lusacan")</f>
        <v>Lusacan</v>
      </c>
      <c r="AK1123" s="2" t="str">
        <f>IFERROR(__xludf.DUMMYFUNCTION("""COMPUTED_VALUE"""),"Tiaong")</f>
        <v>Tiaong</v>
      </c>
      <c r="AL1123" s="2" t="str">
        <f>IFERROR(__xludf.DUMMYFUNCTION("""COMPUTED_VALUE"""),"Quezon")</f>
        <v>Quezon</v>
      </c>
      <c r="AM1123" s="2" t="str">
        <f>IFERROR(__xludf.DUMMYFUNCTION("""COMPUTED_VALUE"""),"4A")</f>
        <v>4A</v>
      </c>
      <c r="AN1123" s="2" t="str">
        <f>IFERROR(__xludf.DUMMYFUNCTION("""COMPUTED_VALUE"""),"Repeat Order")</f>
        <v>Repeat Order</v>
      </c>
      <c r="AO1123" s="2">
        <f>IFERROR(__xludf.DUMMYFUNCTION("""COMPUTED_VALUE"""),7.0)</f>
        <v>7</v>
      </c>
      <c r="AP1123" s="2" t="str">
        <f>IFERROR(__xludf.DUMMYFUNCTION("""COMPUTED_VALUE"""),"FREE PMS")</f>
        <v>FREE PMS</v>
      </c>
      <c r="AQ1123" s="2"/>
      <c r="AR1123" s="2"/>
      <c r="AS1123" s="2"/>
      <c r="AT1123" s="2"/>
      <c r="AU1123" s="2"/>
      <c r="AV1123" s="2"/>
      <c r="AW1123" s="2"/>
      <c r="AX1123" s="2"/>
      <c r="AY1123" s="2"/>
      <c r="AZ1123" s="2"/>
      <c r="BA1123" s="2"/>
      <c r="BB1123" s="2"/>
    </row>
    <row r="1124">
      <c r="A1124" s="2">
        <f>IFERROR(__xludf.DUMMYFUNCTION("""COMPUTED_VALUE"""),1120.0)</f>
        <v>1120</v>
      </c>
      <c r="B1124" s="2" t="str">
        <f>IFERROR(__xludf.DUMMYFUNCTION("""COMPUTED_VALUE"""),"COMPLETED")</f>
        <v>COMPLETED</v>
      </c>
      <c r="C1124" s="74">
        <f>IFERROR(__xludf.DUMMYFUNCTION("""COMPUTED_VALUE"""),45908.0)</f>
        <v>45908</v>
      </c>
      <c r="D1124" s="71" t="str">
        <f>IFERROR(__xludf.DUMMYFUNCTION("""COMPUTED_VALUE"""),"Pangasinan Farmers Agriculture Cooperative")</f>
        <v>Pangasinan Farmers Agriculture Cooperative</v>
      </c>
      <c r="E1124" s="71" t="str">
        <f>IFERROR(__xludf.DUMMYFUNCTION("""COMPUTED_VALUE"""),", UMINGAN, PANGASINAN")</f>
        <v>, UMINGAN, PANGASINAN</v>
      </c>
      <c r="F1124" s="2" t="str">
        <f>IFERROR(__xludf.DUMMYFUNCTION("""COMPUTED_VALUE"""),"EFREN AGUILAR")</f>
        <v>EFREN AGUILAR</v>
      </c>
      <c r="G1124" s="2" t="str">
        <f>IFERROR(__xludf.DUMMYFUNCTION("""COMPUTED_VALUE"""),"0991-939-1366")</f>
        <v>0991-939-1366</v>
      </c>
      <c r="H1124" s="2"/>
      <c r="I1124" s="72" t="str">
        <f>IFERROR(__xludf.DUMMYFUNCTION("""COMPUTED_VALUE"""),"REPAIR - TRACTOR")</f>
        <v>REPAIR - TRACTOR</v>
      </c>
      <c r="J1124" s="72" t="str">
        <f>IFERROR(__xludf.DUMMYFUNCTION("""COMPUTED_VALUE"""),"CHECK UP UNIT")</f>
        <v>CHECK UP UNIT</v>
      </c>
      <c r="K1124" s="72" t="str">
        <f>IFERROR(__xludf.DUMMYFUNCTION("""COMPUTED_VALUE"""),"KFS: ayaw daw po gumana ng high and low gear")</f>
        <v>KFS: ayaw daw po gumana ng high and low gear</v>
      </c>
      <c r="L1124" s="72" t="str">
        <f>IFERROR(__xludf.DUMMYFUNCTION("""COMPUTED_VALUE"""),"MYK: OK NA ANG UNIT AS PER FARMER")</f>
        <v>MYK: OK NA ANG UNIT AS PER FARMER</v>
      </c>
      <c r="M1124" s="2"/>
      <c r="N1124" s="2"/>
      <c r="O1124" s="2" t="str">
        <f>IFERROR(__xludf.DUMMYFUNCTION("""COMPUTED_VALUE"""),"N/A")</f>
        <v>N/A</v>
      </c>
      <c r="P1124" s="2"/>
      <c r="Q1124" s="2"/>
      <c r="R1124" s="74">
        <f>IFERROR(__xludf.DUMMYFUNCTION("""COMPUTED_VALUE"""),46077.0)</f>
        <v>46077</v>
      </c>
      <c r="S1124" s="2" t="str">
        <f>IFERROR(__xludf.DUMMYFUNCTION("""COMPUTED_VALUE"""),"MYKEE")</f>
        <v>MYKEE</v>
      </c>
      <c r="T1124" s="73" t="str">
        <f>IFERROR(__xludf.DUMMYFUNCTION("""COMPUTED_VALUE""")," N/A ")</f>
        <v>N/A</v>
      </c>
      <c r="U1124" s="73" t="str">
        <f>IFERROR(__xludf.DUMMYFUNCTION("""COMPUTED_VALUE""")," NO CHARGE ")</f>
        <v>NO CHARGE</v>
      </c>
      <c r="V1124" s="2" t="str">
        <f>IFERROR(__xludf.DUMMYFUNCTION("""COMPUTED_VALUE"""),"N/A")</f>
        <v>N/A</v>
      </c>
      <c r="W1124" s="2" t="str">
        <f>IFERROR(__xludf.DUMMYFUNCTION("""COMPUTED_VALUE"""),"N/A")</f>
        <v>N/A</v>
      </c>
      <c r="X1124" s="2" t="str">
        <f>IFERROR(__xludf.DUMMYFUNCTION("""COMPUTED_VALUE"""),"N/A")</f>
        <v>N/A</v>
      </c>
      <c r="Y1124" s="2"/>
      <c r="Z1124" s="2"/>
      <c r="AA1124" s="2"/>
      <c r="AB1124" s="2"/>
      <c r="AC1124" s="2"/>
      <c r="AD1124" s="2"/>
      <c r="AE1124" s="2"/>
      <c r="AF1124" s="2"/>
      <c r="AG1124" s="2"/>
      <c r="AH1124" s="2"/>
      <c r="AI1124" s="2"/>
      <c r="AJ1124" s="2" t="str">
        <f>IFERROR(__xludf.DUMMYFUNCTION("""COMPUTED_VALUE"""),"")</f>
        <v/>
      </c>
      <c r="AK1124" s="2" t="str">
        <f>IFERROR(__xludf.DUMMYFUNCTION("""COMPUTED_VALUE"""),"Umingan")</f>
        <v>Umingan</v>
      </c>
      <c r="AL1124" s="2" t="str">
        <f>IFERROR(__xludf.DUMMYFUNCTION("""COMPUTED_VALUE"""),"Pangasinan")</f>
        <v>Pangasinan</v>
      </c>
      <c r="AM1124" s="2">
        <f>IFERROR(__xludf.DUMMYFUNCTION("""COMPUTED_VALUE"""),1.0)</f>
        <v>1</v>
      </c>
      <c r="AN1124" s="2" t="str">
        <f>IFERROR(__xludf.DUMMYFUNCTION("""COMPUTED_VALUE"""),"RCEF 23-09-21 Rebidding")</f>
        <v>RCEF 23-09-21 Rebidding</v>
      </c>
      <c r="AO1124" s="2">
        <f>IFERROR(__xludf.DUMMYFUNCTION("""COMPUTED_VALUE"""),2.0)</f>
        <v>2</v>
      </c>
      <c r="AP1124" s="2"/>
      <c r="AQ1124" s="2"/>
      <c r="AR1124" s="2"/>
      <c r="AS1124" s="2"/>
      <c r="AT1124" s="2"/>
      <c r="AU1124" s="2"/>
      <c r="AV1124" s="2"/>
      <c r="AW1124" s="2"/>
      <c r="AX1124" s="2"/>
      <c r="AY1124" s="2"/>
      <c r="AZ1124" s="2"/>
      <c r="BA1124" s="2"/>
      <c r="BB1124" s="2"/>
    </row>
    <row r="1125">
      <c r="A1125" s="2">
        <f>IFERROR(__xludf.DUMMYFUNCTION("""COMPUTED_VALUE"""),1121.0)</f>
        <v>1121</v>
      </c>
      <c r="B1125" s="2" t="str">
        <f>IFERROR(__xludf.DUMMYFUNCTION("""COMPUTED_VALUE"""),"PENDING")</f>
        <v>PENDING</v>
      </c>
      <c r="C1125" s="74">
        <f>IFERROR(__xludf.DUMMYFUNCTION("""COMPUTED_VALUE"""),45908.0)</f>
        <v>45908</v>
      </c>
      <c r="D1125" s="71" t="str">
        <f>IFERROR(__xludf.DUMMYFUNCTION("""COMPUTED_VALUE"""),"Municipal Government Unit of Malinao")</f>
        <v>Municipal Government Unit of Malinao</v>
      </c>
      <c r="E1125" s="71" t="str">
        <f>IFERROR(__xludf.DUMMYFUNCTION("""COMPUTED_VALUE"""),"Poblacion, Malinao, ALBAY")</f>
        <v>Poblacion, Malinao, ALBAY</v>
      </c>
      <c r="F1125" s="2" t="str">
        <f>IFERROR(__xludf.DUMMYFUNCTION("""COMPUTED_VALUE"""),"JOAN CALLOS")</f>
        <v>JOAN CALLOS</v>
      </c>
      <c r="G1125" s="2">
        <f>IFERROR(__xludf.DUMMYFUNCTION("""COMPUTED_VALUE"""),9.98558698E9)</f>
        <v>9985586980</v>
      </c>
      <c r="H1125" s="2"/>
      <c r="I1125" s="72" t="str">
        <f>IFERROR(__xludf.DUMMYFUNCTION("""COMPUTED_VALUE"""),"REPAIR - TRACTOR")</f>
        <v>REPAIR - TRACTOR</v>
      </c>
      <c r="J1125" s="72" t="str">
        <f>IFERROR(__xludf.DUMMYFUNCTION("""COMPUTED_VALUE"""),"RADIATOR")</f>
        <v>RADIATOR</v>
      </c>
      <c r="K1125" s="72" t="str">
        <f>IFERROR(__xludf.DUMMYFUNCTION("""COMPUTED_VALUE"""),"JTT: FOR CHECK-UP 
10/23/2025: FPJ: MAY TAGAS ANG RADIATOR
10/24/26: FPJ: RADIATOR LEAKS ( FOR WARRANTY CLAIM)")</f>
        <v>JTT: FOR CHECK-UP 
10/23/2025: FPJ: MAY TAGAS ANG RADIATOR
10/24/26: FPJ: RADIATOR LEAKS ( FOR WARRANTY CLAIM)</v>
      </c>
      <c r="L1125" s="72"/>
      <c r="M1125" s="2" t="str">
        <f>IFERROR(__xludf.DUMMYFUNCTION("""COMPUTED_VALUE"""),"RADIATOR")</f>
        <v>RADIATOR</v>
      </c>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t="str">
        <f>IFERROR(__xludf.DUMMYFUNCTION("""COMPUTED_VALUE"""),"Poblacion")</f>
        <v>Poblacion</v>
      </c>
      <c r="AK1125" s="2" t="str">
        <f>IFERROR(__xludf.DUMMYFUNCTION("""COMPUTED_VALUE"""),"Malinao")</f>
        <v>Malinao</v>
      </c>
      <c r="AL1125" s="2" t="str">
        <f>IFERROR(__xludf.DUMMYFUNCTION("""COMPUTED_VALUE"""),"Albay")</f>
        <v>Albay</v>
      </c>
      <c r="AM1125" s="2">
        <f>IFERROR(__xludf.DUMMYFUNCTION("""COMPUTED_VALUE"""),5.0)</f>
        <v>5</v>
      </c>
      <c r="AN1125" s="2" t="str">
        <f>IFERROR(__xludf.DUMMYFUNCTION("""COMPUTED_VALUE"""),"RCEF 24-04-15")</f>
        <v>RCEF 24-04-15</v>
      </c>
      <c r="AO1125" s="2">
        <f>IFERROR(__xludf.DUMMYFUNCTION("""COMPUTED_VALUE"""),7.0)</f>
        <v>7</v>
      </c>
      <c r="AP1125" s="2" t="str">
        <f>IFERROR(__xludf.DUMMYFUNCTION("""COMPUTED_VALUE"""),"FREE PMS")</f>
        <v>FREE PMS</v>
      </c>
      <c r="AQ1125" s="2"/>
      <c r="AR1125" s="2"/>
      <c r="AS1125" s="2"/>
      <c r="AT1125" s="2"/>
      <c r="AU1125" s="2"/>
      <c r="AV1125" s="2"/>
      <c r="AW1125" s="2"/>
      <c r="AX1125" s="2"/>
      <c r="AY1125" s="2"/>
      <c r="AZ1125" s="2"/>
      <c r="BA1125" s="2"/>
      <c r="BB1125" s="2"/>
    </row>
    <row r="1126">
      <c r="A1126" s="2">
        <f>IFERROR(__xludf.DUMMYFUNCTION("""COMPUTED_VALUE"""),1122.0)</f>
        <v>1122</v>
      </c>
      <c r="B1126" s="2" t="str">
        <f>IFERROR(__xludf.DUMMYFUNCTION("""COMPUTED_VALUE"""),"PENDING")</f>
        <v>PENDING</v>
      </c>
      <c r="C1126" s="74">
        <f>IFERROR(__xludf.DUMMYFUNCTION("""COMPUTED_VALUE"""),45908.0)</f>
        <v>45908</v>
      </c>
      <c r="D1126" s="71" t="str">
        <f>IFERROR(__xludf.DUMMYFUNCTION("""COMPUTED_VALUE"""),"Magsaysay Farmer's Association")</f>
        <v>Magsaysay Farmer's Association</v>
      </c>
      <c r="E1126" s="71" t="str">
        <f>IFERROR(__xludf.DUMMYFUNCTION("""COMPUTED_VALUE"""),"Magsaysay, Patnongon, ANTIQUE")</f>
        <v>Magsaysay, Patnongon, ANTIQUE</v>
      </c>
      <c r="F1126" s="2" t="str">
        <f>IFERROR(__xludf.DUMMYFUNCTION("""COMPUTED_VALUE"""),"Felix C. Molining")</f>
        <v>Felix C. Molining</v>
      </c>
      <c r="G1126" s="2">
        <f>IFERROR(__xludf.DUMMYFUNCTION("""COMPUTED_VALUE"""),9.069193017E9)</f>
        <v>9069193017</v>
      </c>
      <c r="H1126" s="2"/>
      <c r="I1126" s="72" t="str">
        <f>IFERROR(__xludf.DUMMYFUNCTION("""COMPUTED_VALUE"""),"REPAIR - ROTAVATOR")</f>
        <v>REPAIR - ROTAVATOR</v>
      </c>
      <c r="J1126" s="72" t="str">
        <f>IFERROR(__xludf.DUMMYFUNCTION("""COMPUTED_VALUE"""),"Gearbox")</f>
        <v>Gearbox</v>
      </c>
      <c r="K1126" s="72" t="str">
        <f>IFERROR(__xludf.DUMMYFUNCTION("""COMPUTED_VALUE"""),"MYK: ROTAVATOR CONCERN
MYK: 11/19/25: GUSTO NILA MATIGNAN MUNA ANG UNIT BAGO MAG QUOTATION
BEVEL GEAR 24T
PINION GEAR 11T
DRIVE SHAFT
TAPER ROLLER BEARING 32211
TAPER ROLLER BEARING 30208
HARD LOCK NUT")</f>
        <v>MYK: ROTAVATOR CONCERN
MYK: 11/19/25: GUSTO NILA MATIGNAN MUNA ANG UNIT BAGO MAG QUOTATION
BEVEL GEAR 24T
PINION GEAR 11T
DRIVE SHAFT
TAPER ROLLER BEARING 32211
TAPER ROLLER BEARING 30208
HARD LOCK NUT</v>
      </c>
      <c r="L1126" s="72"/>
      <c r="M1126" s="2" t="str">
        <f>IFERROR(__xludf.DUMMYFUNCTION("""COMPUTED_VALUE"""),"BEVEL GEAR 24T
PINION GEAR 11T
DRIVE SHAFT
TAPER ROLLER BEARING 32211
TAPER ROLLER BEARING 30208
2 - HARD LOCK NUT")</f>
        <v>BEVEL GEAR 24T
PINION GEAR 11T
DRIVE SHAFT
TAPER ROLLER BEARING 32211
TAPER ROLLER BEARING 30208
2 - HARD LOCK NUT</v>
      </c>
      <c r="N1126" s="2"/>
      <c r="O1126" s="2"/>
      <c r="P1126" s="2"/>
      <c r="Q1126" s="2"/>
      <c r="R1126" s="2"/>
      <c r="S1126" s="2"/>
      <c r="T1126" s="2"/>
      <c r="U1126" s="2"/>
      <c r="V1126" s="2"/>
      <c r="W1126" s="2"/>
      <c r="X1126" s="2"/>
      <c r="Y1126" s="2"/>
      <c r="Z1126" s="2"/>
      <c r="AA1126" s="2"/>
      <c r="AB1126" s="2"/>
      <c r="AC1126" s="2"/>
      <c r="AD1126" s="2"/>
      <c r="AE1126" s="2"/>
      <c r="AF1126" s="2"/>
      <c r="AG1126" s="2"/>
      <c r="AH1126" s="2"/>
      <c r="AI1126" s="2"/>
      <c r="AJ1126" s="2" t="str">
        <f>IFERROR(__xludf.DUMMYFUNCTION("""COMPUTED_VALUE"""),"Magsaysay")</f>
        <v>Magsaysay</v>
      </c>
      <c r="AK1126" s="2" t="str">
        <f>IFERROR(__xludf.DUMMYFUNCTION("""COMPUTED_VALUE"""),"Patnongon")</f>
        <v>Patnongon</v>
      </c>
      <c r="AL1126" s="2" t="str">
        <f>IFERROR(__xludf.DUMMYFUNCTION("""COMPUTED_VALUE"""),"Antique")</f>
        <v>Antique</v>
      </c>
      <c r="AM1126" s="2">
        <f>IFERROR(__xludf.DUMMYFUNCTION("""COMPUTED_VALUE"""),6.0)</f>
        <v>6</v>
      </c>
      <c r="AN1126" s="2" t="str">
        <f>IFERROR(__xludf.DUMMYFUNCTION("""COMPUTED_VALUE"""),"RCEF 23-09-21 Rebidding")</f>
        <v>RCEF 23-09-21 Rebidding</v>
      </c>
      <c r="AO1126" s="2">
        <f>IFERROR(__xludf.DUMMYFUNCTION("""COMPUTED_VALUE"""),4.0)</f>
        <v>4</v>
      </c>
      <c r="AP1126" s="2"/>
      <c r="AQ1126" s="2"/>
      <c r="AR1126" s="2"/>
      <c r="AS1126" s="2"/>
      <c r="AT1126" s="2"/>
      <c r="AU1126" s="2"/>
      <c r="AV1126" s="2"/>
      <c r="AW1126" s="2"/>
      <c r="AX1126" s="2"/>
      <c r="AY1126" s="2"/>
      <c r="AZ1126" s="2"/>
      <c r="BA1126" s="2"/>
      <c r="BB1126" s="2"/>
    </row>
    <row r="1127">
      <c r="A1127" s="2">
        <f>IFERROR(__xludf.DUMMYFUNCTION("""COMPUTED_VALUE"""),1123.0)</f>
        <v>1123</v>
      </c>
      <c r="B1127" s="2" t="str">
        <f>IFERROR(__xludf.DUMMYFUNCTION("""COMPUTED_VALUE"""),"COMPLETED")</f>
        <v>COMPLETED</v>
      </c>
      <c r="C1127" s="74">
        <f>IFERROR(__xludf.DUMMYFUNCTION("""COMPUTED_VALUE"""),45908.0)</f>
        <v>45908</v>
      </c>
      <c r="D1127" s="71" t="str">
        <f>IFERROR(__xludf.DUMMYFUNCTION("""COMPUTED_VALUE"""),"TUBIG BIYAYA IRRIGATORS' ASSOCIATION, INC.")</f>
        <v>TUBIG BIYAYA IRRIGATORS' ASSOCIATION, INC.</v>
      </c>
      <c r="E1127" s="71" t="str">
        <f>IFERROR(__xludf.DUMMYFUNCTION("""COMPUTED_VALUE"""),"Binahaan, Pagbilao, Quezon")</f>
        <v>Binahaan, Pagbilao, Quezon</v>
      </c>
      <c r="F1127" s="2" t="str">
        <f>IFERROR(__xludf.DUMMYFUNCTION("""COMPUTED_VALUE"""),"BINAHAAN FAMERS ASSOCIATION ")</f>
        <v>BINAHAAN FAMERS ASSOCIATION </v>
      </c>
      <c r="G1127" s="2"/>
      <c r="H1127" s="2"/>
      <c r="I1127" s="72" t="str">
        <f>IFERROR(__xludf.DUMMYFUNCTION("""COMPUTED_VALUE"""),"REPAIR - TRACTOR")</f>
        <v>REPAIR - TRACTOR</v>
      </c>
      <c r="J1127" s="72" t="str">
        <f>IFERROR(__xludf.DUMMYFUNCTION("""COMPUTED_VALUE"""),"Hydraulic Pump")</f>
        <v>Hydraulic Pump</v>
      </c>
      <c r="K1127" s="72" t="str">
        <f>IFERROR(__xludf.DUMMYFUNCTION("""COMPUTED_VALUE"""),"JTT: CHECK UP POWER STEERING PROBLEM
JTT: HYDRAULIC PUMP")</f>
        <v>JTT: CHECK UP POWER STEERING PROBLEM
JTT: HYDRAULIC PUMP</v>
      </c>
      <c r="L1127" s="72" t="str">
        <f>IFERROR(__xludf.DUMMYFUNCTION("""COMPUTED_VALUE"""),"JIE: NO NUMBER , WALA DING NUMBER SA REPORT AT SA MASTERLIST - 
MYK: CLOSE -  HINDI BIBILI SI FARMER NG HYDRAULIC PUMP")</f>
        <v>JIE: NO NUMBER , WALA DING NUMBER SA REPORT AT SA MASTERLIST - 
MYK: CLOSE -  HINDI BIBILI SI FARMER NG HYDRAULIC PUMP</v>
      </c>
      <c r="M1127" s="2" t="str">
        <f>IFERROR(__xludf.DUMMYFUNCTION("""COMPUTED_VALUE"""),"HYDRAULIC PUMP")</f>
        <v>HYDRAULIC PUMP</v>
      </c>
      <c r="N1127" s="2"/>
      <c r="O1127" s="2" t="str">
        <f>IFERROR(__xludf.DUMMYFUNCTION("""COMPUTED_VALUE"""),"N/A")</f>
        <v>N/A</v>
      </c>
      <c r="P1127" s="2"/>
      <c r="Q1127" s="2"/>
      <c r="R1127" s="74">
        <f>IFERROR(__xludf.DUMMYFUNCTION("""COMPUTED_VALUE"""),46153.0)</f>
        <v>46153</v>
      </c>
      <c r="S1127" s="2" t="str">
        <f>IFERROR(__xludf.DUMMYFUNCTION("""COMPUTED_VALUE"""),"MYKEE")</f>
        <v>MYKEE</v>
      </c>
      <c r="T1127" s="73" t="str">
        <f>IFERROR(__xludf.DUMMYFUNCTION("""COMPUTED_VALUE""")," N/A ")</f>
        <v>N/A</v>
      </c>
      <c r="U1127" s="73" t="str">
        <f>IFERROR(__xludf.DUMMYFUNCTION("""COMPUTED_VALUE""")," NO CHARGE ")</f>
        <v>NO CHARGE</v>
      </c>
      <c r="V1127" s="2" t="str">
        <f>IFERROR(__xludf.DUMMYFUNCTION("""COMPUTED_VALUE"""),"N/A")</f>
        <v>N/A</v>
      </c>
      <c r="W1127" s="2" t="str">
        <f>IFERROR(__xludf.DUMMYFUNCTION("""COMPUTED_VALUE"""),"N/A")</f>
        <v>N/A</v>
      </c>
      <c r="X1127" s="2" t="str">
        <f>IFERROR(__xludf.DUMMYFUNCTION("""COMPUTED_VALUE"""),"N/A")</f>
        <v>N/A</v>
      </c>
      <c r="Y1127" s="2"/>
      <c r="Z1127" s="2"/>
      <c r="AA1127" s="2"/>
      <c r="AB1127" s="2"/>
      <c r="AC1127" s="2"/>
      <c r="AD1127" s="2"/>
      <c r="AE1127" s="2"/>
      <c r="AF1127" s="2"/>
      <c r="AG1127" s="2"/>
      <c r="AH1127" s="2"/>
      <c r="AI1127" s="2"/>
      <c r="AJ1127" s="2" t="str">
        <f>IFERROR(__xludf.DUMMYFUNCTION("""COMPUTED_VALUE"""),"Binahaan")</f>
        <v>Binahaan</v>
      </c>
      <c r="AK1127" s="2" t="str">
        <f>IFERROR(__xludf.DUMMYFUNCTION("""COMPUTED_VALUE"""),"Pagbilao")</f>
        <v>Pagbilao</v>
      </c>
      <c r="AL1127" s="2" t="str">
        <f>IFERROR(__xludf.DUMMYFUNCTION("""COMPUTED_VALUE"""),"Quezon")</f>
        <v>Quezon</v>
      </c>
      <c r="AM1127" s="2" t="str">
        <f>IFERROR(__xludf.DUMMYFUNCTION("""COMPUTED_VALUE"""),"4A")</f>
        <v>4A</v>
      </c>
      <c r="AN1127" s="2" t="str">
        <f>IFERROR(__xludf.DUMMYFUNCTION("""COMPUTED_VALUE"""),"RCEF 23-08-20 Rebidding")</f>
        <v>RCEF 23-08-20 Rebidding</v>
      </c>
      <c r="AO1127" s="2">
        <f>IFERROR(__xludf.DUMMYFUNCTION("""COMPUTED_VALUE"""),1.0)</f>
        <v>1</v>
      </c>
      <c r="AP1127" s="2"/>
      <c r="AQ1127" s="2"/>
      <c r="AR1127" s="2"/>
      <c r="AS1127" s="2"/>
      <c r="AT1127" s="2"/>
      <c r="AU1127" s="2"/>
      <c r="AV1127" s="2"/>
      <c r="AW1127" s="2"/>
      <c r="AX1127" s="2"/>
      <c r="AY1127" s="2"/>
      <c r="AZ1127" s="2"/>
      <c r="BA1127" s="2"/>
      <c r="BB1127" s="2"/>
    </row>
    <row r="1128">
      <c r="A1128" s="2">
        <f>IFERROR(__xludf.DUMMYFUNCTION("""COMPUTED_VALUE"""),1124.0)</f>
        <v>1124</v>
      </c>
      <c r="B1128" s="2" t="str">
        <f>IFERROR(__xludf.DUMMYFUNCTION("""COMPUTED_VALUE"""),"COMPLETED")</f>
        <v>COMPLETED</v>
      </c>
      <c r="C1128" s="74">
        <f>IFERROR(__xludf.DUMMYFUNCTION("""COMPUTED_VALUE"""),45909.0)</f>
        <v>45909</v>
      </c>
      <c r="D1128" s="71" t="str">
        <f>IFERROR(__xludf.DUMMYFUNCTION("""COMPUTED_VALUE"""),"DIAGYAN MULTI FARMERS ASSOCIATION")</f>
        <v>DIAGYAN MULTI FARMERS ASSOCIATION</v>
      </c>
      <c r="E1128" s="71" t="str">
        <f>IFERROR(__xludf.DUMMYFUNCTION("""COMPUTED_VALUE"""),"DIAGYAN, DILASAG, AURORA")</f>
        <v>DIAGYAN, DILASAG, AURORA</v>
      </c>
      <c r="F1128" s="2" t="str">
        <f>IFERROR(__xludf.DUMMYFUNCTION("""COMPUTED_VALUE"""),"Vincent Bio")</f>
        <v>Vincent Bio</v>
      </c>
      <c r="G1128" s="2">
        <f>IFERROR(__xludf.DUMMYFUNCTION("""COMPUTED_VALUE"""),9.539314399E9)</f>
        <v>9539314399</v>
      </c>
      <c r="H1128" s="2"/>
      <c r="I1128" s="72" t="str">
        <f>IFERROR(__xludf.DUMMYFUNCTION("""COMPUTED_VALUE"""),"REPAIR - TRACTOR")</f>
        <v>REPAIR - TRACTOR</v>
      </c>
      <c r="J1128" s="72" t="str">
        <f>IFERROR(__xludf.DUMMYFUNCTION("""COMPUTED_VALUE"""),"Engine - Leaking")</f>
        <v>Engine - Leaking</v>
      </c>
      <c r="K1128" s="72" t="str">
        <f>IFERROR(__xludf.DUMMYFUNCTION("""COMPUTED_VALUE"""),"JHP: Crankcase cover may leak
JHP: SILICON GASKET (OUTSOURCE)")</f>
        <v>JHP: Crankcase cover may leak
JHP: SILICON GASKET (OUTSOURCE)</v>
      </c>
      <c r="L1128" s="72" t="str">
        <f>IFERROR(__xludf.DUMMYFUNCTION("""COMPUTED_VALUE"""),"ACS: IPINA WELDING ANG BITAK SA OIL FAN")</f>
        <v>ACS: IPINA WELDING ANG BITAK SA OIL FAN</v>
      </c>
      <c r="M1128" s="2"/>
      <c r="N1128" s="2"/>
      <c r="O1128" s="2">
        <f>IFERROR(__xludf.DUMMYFUNCTION("""COMPUTED_VALUE"""),1433.0)</f>
        <v>1433</v>
      </c>
      <c r="P1128" s="2"/>
      <c r="Q1128" s="2" t="str">
        <f>IFERROR(__xludf.DUMMYFUNCTION("""COMPUTED_VALUE"""),"y")</f>
        <v>y</v>
      </c>
      <c r="R1128" s="74">
        <f>IFERROR(__xludf.DUMMYFUNCTION("""COMPUTED_VALUE"""),45954.0)</f>
        <v>45954</v>
      </c>
      <c r="S1128" s="2" t="str">
        <f>IFERROR(__xludf.DUMMYFUNCTION("""COMPUTED_VALUE"""),"JHP/ACS")</f>
        <v>JHP/ACS</v>
      </c>
      <c r="T1128" s="73" t="str">
        <f>IFERROR(__xludf.DUMMYFUNCTION("""COMPUTED_VALUE""")," N/A ")</f>
        <v>N/A</v>
      </c>
      <c r="U1128" s="73" t="str">
        <f>IFERROR(__xludf.DUMMYFUNCTION("""COMPUTED_VALUE""")," NO CHARGE ")</f>
        <v>NO CHARGE</v>
      </c>
      <c r="V1128" s="2"/>
      <c r="W1128" s="2" t="str">
        <f>IFERROR(__xludf.DUMMYFUNCTION("""COMPUTED_VALUE"""),"N/A")</f>
        <v>N/A</v>
      </c>
      <c r="X1128" s="2" t="str">
        <f>IFERROR(__xludf.DUMMYFUNCTION("""COMPUTED_VALUE"""),"N/A")</f>
        <v>N/A</v>
      </c>
      <c r="Y1128" s="2"/>
      <c r="Z1128" s="2"/>
      <c r="AA1128" s="2"/>
      <c r="AB1128" s="2"/>
      <c r="AC1128" s="2"/>
      <c r="AD1128" s="2"/>
      <c r="AE1128" s="2"/>
      <c r="AF1128" s="2"/>
      <c r="AG1128" s="2"/>
      <c r="AH1128" s="2"/>
      <c r="AI1128" s="2"/>
      <c r="AJ1128" s="2" t="str">
        <f>IFERROR(__xludf.DUMMYFUNCTION("""COMPUTED_VALUE"""),"Diagyan")</f>
        <v>Diagyan</v>
      </c>
      <c r="AK1128" s="2" t="str">
        <f>IFERROR(__xludf.DUMMYFUNCTION("""COMPUTED_VALUE"""),"Dilasag")</f>
        <v>Dilasag</v>
      </c>
      <c r="AL1128" s="2" t="str">
        <f>IFERROR(__xludf.DUMMYFUNCTION("""COMPUTED_VALUE"""),"Aurora")</f>
        <v>Aurora</v>
      </c>
      <c r="AM1128" s="2">
        <f>IFERROR(__xludf.DUMMYFUNCTION("""COMPUTED_VALUE"""),3.0)</f>
        <v>3</v>
      </c>
      <c r="AN1128" s="2" t="str">
        <f>IFERROR(__xludf.DUMMYFUNCTION("""COMPUTED_VALUE"""),"RCEF 23-09-21 Rebidding")</f>
        <v>RCEF 23-09-21 Rebidding</v>
      </c>
      <c r="AO1128" s="2">
        <f>IFERROR(__xludf.DUMMYFUNCTION("""COMPUTED_VALUE"""),9.0)</f>
        <v>9</v>
      </c>
      <c r="AP1128" s="2"/>
      <c r="AQ1128" s="2"/>
      <c r="AR1128" s="2"/>
      <c r="AS1128" s="2"/>
      <c r="AT1128" s="2"/>
      <c r="AU1128" s="2"/>
      <c r="AV1128" s="2"/>
      <c r="AW1128" s="2"/>
      <c r="AX1128" s="2"/>
      <c r="AY1128" s="2"/>
      <c r="AZ1128" s="2"/>
      <c r="BA1128" s="2"/>
      <c r="BB1128" s="2"/>
    </row>
    <row r="1129">
      <c r="A1129" s="2">
        <f>IFERROR(__xludf.DUMMYFUNCTION("""COMPUTED_VALUE"""),1125.0)</f>
        <v>1125</v>
      </c>
      <c r="B1129" s="2" t="str">
        <f>IFERROR(__xludf.DUMMYFUNCTION("""COMPUTED_VALUE"""),"COMPLETED")</f>
        <v>COMPLETED</v>
      </c>
      <c r="C1129" s="74">
        <f>IFERROR(__xludf.DUMMYFUNCTION("""COMPUTED_VALUE"""),45910.0)</f>
        <v>45910</v>
      </c>
      <c r="D1129" s="71" t="str">
        <f>IFERROR(__xludf.DUMMYFUNCTION("""COMPUTED_VALUE"""),"LACARON FARMERS ASSOCIATION")</f>
        <v>LACARON FARMERS ASSOCIATION</v>
      </c>
      <c r="E1129" s="71" t="str">
        <f>IFERROR(__xludf.DUMMYFUNCTION("""COMPUTED_VALUE"""),"Lacaron, Sibalom, ANTIQUE")</f>
        <v>Lacaron, Sibalom, ANTIQUE</v>
      </c>
      <c r="F1129" s="2" t="str">
        <f>IFERROR(__xludf.DUMMYFUNCTION("""COMPUTED_VALUE"""),"LORGIE ABAO")</f>
        <v>LORGIE ABAO</v>
      </c>
      <c r="G1129" s="2">
        <f>IFERROR(__xludf.DUMMYFUNCTION("""COMPUTED_VALUE"""),6.39972241653E11)</f>
        <v>639972241653</v>
      </c>
      <c r="H1129" s="2"/>
      <c r="I1129" s="72" t="str">
        <f>IFERROR(__xludf.DUMMYFUNCTION("""COMPUTED_VALUE"""),"PMS")</f>
        <v>PMS</v>
      </c>
      <c r="J1129" s="72" t="str">
        <f>IFERROR(__xludf.DUMMYFUNCTION("""COMPUTED_VALUE"""),"PMS")</f>
        <v>PMS</v>
      </c>
      <c r="K1129" s="72" t="str">
        <f>IFERROR(__xludf.DUMMYFUNCTION("""COMPUTED_VALUE"""),"MYK: FOR PMS")</f>
        <v>MYK: FOR PMS</v>
      </c>
      <c r="L1129" s="72" t="str">
        <f>IFERROR(__xludf.DUMMYFUNCTION("""COMPUTED_VALUE"""),"DRM: GENERAL PMS DONE")</f>
        <v>DRM: GENERAL PMS DONE</v>
      </c>
      <c r="M1129" s="2"/>
      <c r="N1129" s="2" t="str">
        <f>IFERROR(__xludf.DUMMYFUNCTION("""COMPUTED_VALUE"""),"PARTS:
HYDRAULIC FILTER
SF: 2500")</f>
        <v>PARTS:
HYDRAULIC FILTER
SF: 2500</v>
      </c>
      <c r="O1129" s="2">
        <f>IFERROR(__xludf.DUMMYFUNCTION("""COMPUTED_VALUE"""),415.0)</f>
        <v>415</v>
      </c>
      <c r="P1129" s="2"/>
      <c r="Q1129" s="2" t="str">
        <f>IFERROR(__xludf.DUMMYFUNCTION("""COMPUTED_VALUE"""),"Y")</f>
        <v>Y</v>
      </c>
      <c r="R1129" s="74">
        <f>IFERROR(__xludf.DUMMYFUNCTION("""COMPUTED_VALUE"""),45915.0)</f>
        <v>45915</v>
      </c>
      <c r="S1129" s="2" t="str">
        <f>IFERROR(__xludf.DUMMYFUNCTION("""COMPUTED_VALUE"""),"EGT/DRM/DSD")</f>
        <v>EGT/DRM/DSD</v>
      </c>
      <c r="T1129" s="73">
        <f>IFERROR(__xludf.DUMMYFUNCTION("""COMPUTED_VALUE"""),5300.0)</f>
        <v>5300</v>
      </c>
      <c r="U1129" s="73" t="str">
        <f>IFERROR(__xludf.DUMMYFUNCTION("""COMPUTED_VALUE""")," REMITTED ")</f>
        <v>REMITTED</v>
      </c>
      <c r="V1129" s="2">
        <f>IFERROR(__xludf.DUMMYFUNCTION("""COMPUTED_VALUE"""),1308.0)</f>
        <v>1308</v>
      </c>
      <c r="W1129" s="2">
        <f>IFERROR(__xludf.DUMMYFUNCTION("""COMPUTED_VALUE"""),1663.0)</f>
        <v>1663</v>
      </c>
      <c r="X1129" s="2">
        <f>IFERROR(__xludf.DUMMYFUNCTION("""COMPUTED_VALUE"""),1684.0)</f>
        <v>1684</v>
      </c>
      <c r="Y1129" s="2"/>
      <c r="Z1129" s="2"/>
      <c r="AA1129" s="2"/>
      <c r="AB1129" s="2"/>
      <c r="AC1129" s="2"/>
      <c r="AD1129" s="2"/>
      <c r="AE1129" s="2"/>
      <c r="AF1129" s="2"/>
      <c r="AG1129" s="2"/>
      <c r="AH1129" s="2"/>
      <c r="AI1129" s="2"/>
      <c r="AJ1129" s="2" t="str">
        <f>IFERROR(__xludf.DUMMYFUNCTION("""COMPUTED_VALUE"""),"Lacaron")</f>
        <v>Lacaron</v>
      </c>
      <c r="AK1129" s="2" t="str">
        <f>IFERROR(__xludf.DUMMYFUNCTION("""COMPUTED_VALUE"""),"Sibalom")</f>
        <v>Sibalom</v>
      </c>
      <c r="AL1129" s="2" t="str">
        <f>IFERROR(__xludf.DUMMYFUNCTION("""COMPUTED_VALUE"""),"Antique")</f>
        <v>Antique</v>
      </c>
      <c r="AM1129" s="2">
        <f>IFERROR(__xludf.DUMMYFUNCTION("""COMPUTED_VALUE"""),6.0)</f>
        <v>6</v>
      </c>
      <c r="AN1129" s="2" t="str">
        <f>IFERROR(__xludf.DUMMYFUNCTION("""COMPUTED_VALUE"""),"RCEF 23-09-21 Rebidding")</f>
        <v>RCEF 23-09-21 Rebidding</v>
      </c>
      <c r="AO1129" s="2">
        <f>IFERROR(__xludf.DUMMYFUNCTION("""COMPUTED_VALUE"""),4.0)</f>
        <v>4</v>
      </c>
      <c r="AP1129" s="2"/>
      <c r="AQ1129" s="2"/>
      <c r="AR1129" s="2"/>
      <c r="AS1129" s="2"/>
      <c r="AT1129" s="2"/>
      <c r="AU1129" s="2"/>
      <c r="AV1129" s="2"/>
      <c r="AW1129" s="2"/>
      <c r="AX1129" s="2"/>
      <c r="AY1129" s="2"/>
      <c r="AZ1129" s="2"/>
      <c r="BA1129" s="2"/>
      <c r="BB1129" s="2"/>
    </row>
    <row r="1130">
      <c r="A1130" s="2">
        <f>IFERROR(__xludf.DUMMYFUNCTION("""COMPUTED_VALUE"""),1126.0)</f>
        <v>1126</v>
      </c>
      <c r="B1130" s="2" t="str">
        <f>IFERROR(__xludf.DUMMYFUNCTION("""COMPUTED_VALUE"""),"COMPLETED")</f>
        <v>COMPLETED</v>
      </c>
      <c r="C1130" s="74">
        <f>IFERROR(__xludf.DUMMYFUNCTION("""COMPUTED_VALUE"""),45910.0)</f>
        <v>45910</v>
      </c>
      <c r="D1130" s="71" t="str">
        <f>IFERROR(__xludf.DUMMYFUNCTION("""COMPUTED_VALUE"""),"Municipal Local Government Unit of Mansalay")</f>
        <v>Municipal Local Government Unit of Mansalay</v>
      </c>
      <c r="E1130" s="71" t="str">
        <f>IFERROR(__xludf.DUMMYFUNCTION("""COMPUTED_VALUE"""),"Poblacion, Mansalay, ORIENTAL MINDORO")</f>
        <v>Poblacion, Mansalay, ORIENTAL MINDORO</v>
      </c>
      <c r="F1130" s="2"/>
      <c r="G1130" s="2"/>
      <c r="H1130" s="2"/>
      <c r="I1130" s="72" t="str">
        <f>IFERROR(__xludf.DUMMYFUNCTION("""COMPUTED_VALUE"""),"PMS")</f>
        <v>PMS</v>
      </c>
      <c r="J1130" s="72" t="str">
        <f>IFERROR(__xludf.DUMMYFUNCTION("""COMPUTED_VALUE"""),"PMS")</f>
        <v>PMS</v>
      </c>
      <c r="K1130" s="72" t="str">
        <f>IFERROR(__xludf.DUMMYFUNCTION("""COMPUTED_VALUE"""),"RCG: 1ST PMS FREE")</f>
        <v>RCG: 1ST PMS FREE</v>
      </c>
      <c r="L1130" s="72" t="str">
        <f>IFERROR(__xludf.DUMMYFUNCTION("""COMPUTED_VALUE"""),"RCG: 1ST PMS DONE")</f>
        <v>RCG: 1ST PMS DONE</v>
      </c>
      <c r="M1130" s="2"/>
      <c r="N1130" s="2" t="str">
        <f>IFERROR(__xludf.DUMMYFUNCTION("""COMPUTED_VALUE"""),"PARTS:
OIL FILTER 
ENGINE OIL")</f>
        <v>PARTS:
OIL FILTER 
ENGINE OIL</v>
      </c>
      <c r="O1130" s="2">
        <f>IFERROR(__xludf.DUMMYFUNCTION("""COMPUTED_VALUE"""),183.0)</f>
        <v>183</v>
      </c>
      <c r="P1130" s="2"/>
      <c r="Q1130" s="2" t="str">
        <f>IFERROR(__xludf.DUMMYFUNCTION("""COMPUTED_VALUE"""),"y")</f>
        <v>y</v>
      </c>
      <c r="R1130" s="74">
        <f>IFERROR(__xludf.DUMMYFUNCTION("""COMPUTED_VALUE"""),45924.0)</f>
        <v>45924</v>
      </c>
      <c r="S1130" s="2" t="str">
        <f>IFERROR(__xludf.DUMMYFUNCTION("""COMPUTED_VALUE"""),"RCG")</f>
        <v>RCG</v>
      </c>
      <c r="T1130" s="73" t="str">
        <f>IFERROR(__xludf.DUMMYFUNCTION("""COMPUTED_VALUE""")," N/A ")</f>
        <v>N/A</v>
      </c>
      <c r="U1130" s="73" t="str">
        <f>IFERROR(__xludf.DUMMYFUNCTION("""COMPUTED_VALUE""")," NO CHARGE ")</f>
        <v>NO CHARGE</v>
      </c>
      <c r="V1130" s="2"/>
      <c r="W1130" s="2" t="str">
        <f>IFERROR(__xludf.DUMMYFUNCTION("""COMPUTED_VALUE"""),"N/A")</f>
        <v>N/A</v>
      </c>
      <c r="X1130" s="2" t="str">
        <f>IFERROR(__xludf.DUMMYFUNCTION("""COMPUTED_VALUE"""),"N/A")</f>
        <v>N/A</v>
      </c>
      <c r="Y1130" s="2"/>
      <c r="Z1130" s="2"/>
      <c r="AA1130" s="2"/>
      <c r="AB1130" s="2"/>
      <c r="AC1130" s="2"/>
      <c r="AD1130" s="2"/>
      <c r="AE1130" s="2"/>
      <c r="AF1130" s="2"/>
      <c r="AG1130" s="2"/>
      <c r="AH1130" s="2"/>
      <c r="AI1130" s="2"/>
      <c r="AJ1130" s="2" t="str">
        <f>IFERROR(__xludf.DUMMYFUNCTION("""COMPUTED_VALUE"""),"Poblacion")</f>
        <v>Poblacion</v>
      </c>
      <c r="AK1130" s="2" t="str">
        <f>IFERROR(__xludf.DUMMYFUNCTION("""COMPUTED_VALUE"""),"Mansalay")</f>
        <v>Mansalay</v>
      </c>
      <c r="AL1130" s="2" t="str">
        <f>IFERROR(__xludf.DUMMYFUNCTION("""COMPUTED_VALUE"""),"Oriental Mindoro")</f>
        <v>Oriental Mindoro</v>
      </c>
      <c r="AM1130" s="2" t="str">
        <f>IFERROR(__xludf.DUMMYFUNCTION("""COMPUTED_VALUE"""),"4B")</f>
        <v>4B</v>
      </c>
      <c r="AN1130" s="2" t="str">
        <f>IFERROR(__xludf.DUMMYFUNCTION("""COMPUTED_VALUE"""),"Repeat Order")</f>
        <v>Repeat Order</v>
      </c>
      <c r="AO1130" s="2">
        <f>IFERROR(__xludf.DUMMYFUNCTION("""COMPUTED_VALUE"""),7.0)</f>
        <v>7</v>
      </c>
      <c r="AP1130" s="2" t="str">
        <f>IFERROR(__xludf.DUMMYFUNCTION("""COMPUTED_VALUE"""),"FREE PMS")</f>
        <v>FREE PMS</v>
      </c>
      <c r="AQ1130" s="2"/>
      <c r="AR1130" s="2"/>
      <c r="AS1130" s="2"/>
      <c r="AT1130" s="2"/>
      <c r="AU1130" s="2"/>
      <c r="AV1130" s="2"/>
      <c r="AW1130" s="2"/>
      <c r="AX1130" s="2"/>
      <c r="AY1130" s="2"/>
      <c r="AZ1130" s="2"/>
      <c r="BA1130" s="2"/>
      <c r="BB1130" s="2"/>
    </row>
    <row r="1131">
      <c r="A1131" s="2">
        <f>IFERROR(__xludf.DUMMYFUNCTION("""COMPUTED_VALUE"""),1127.0)</f>
        <v>1127</v>
      </c>
      <c r="B1131" s="2" t="str">
        <f>IFERROR(__xludf.DUMMYFUNCTION("""COMPUTED_VALUE"""),"COMPLETED")</f>
        <v>COMPLETED</v>
      </c>
      <c r="C1131" s="74">
        <f>IFERROR(__xludf.DUMMYFUNCTION("""COMPUTED_VALUE"""),45911.0)</f>
        <v>45911</v>
      </c>
      <c r="D1131" s="71" t="str">
        <f>IFERROR(__xludf.DUMMYFUNCTION("""COMPUTED_VALUE"""),"Provincial Local Government Unit of Camarines Sur")</f>
        <v>Provincial Local Government Unit of Camarines Sur</v>
      </c>
      <c r="E1131" s="71" t="str">
        <f>IFERROR(__xludf.DUMMYFUNCTION("""COMPUTED_VALUE"""),"Cadlan, Pili, CAMARINES SUR")</f>
        <v>Cadlan, Pili, CAMARINES SUR</v>
      </c>
      <c r="F1131" s="2" t="str">
        <f>IFERROR(__xludf.DUMMYFUNCTION("""COMPUTED_VALUE"""),"Shiela Requinta")</f>
        <v>Shiela Requinta</v>
      </c>
      <c r="G1131" s="2">
        <f>IFERROR(__xludf.DUMMYFUNCTION("""COMPUTED_VALUE"""),9.985693758E9)</f>
        <v>9985693758</v>
      </c>
      <c r="H1131" s="2">
        <f>IFERROR(__xludf.DUMMYFUNCTION("""COMPUTED_VALUE"""),69.0)</f>
        <v>69</v>
      </c>
      <c r="I1131" s="72" t="str">
        <f>IFERROR(__xludf.DUMMYFUNCTION("""COMPUTED_VALUE"""),"PMS")</f>
        <v>PMS</v>
      </c>
      <c r="J1131" s="72" t="str">
        <f>IFERROR(__xludf.DUMMYFUNCTION("""COMPUTED_VALUE"""),"PMS")</f>
        <v>PMS</v>
      </c>
      <c r="K1131" s="72" t="str">
        <f>IFERROR(__xludf.DUMMYFUNCTION("""COMPUTED_VALUE"""),"FPJ: 1ST PMS FREE")</f>
        <v>FPJ: 1ST PMS FREE</v>
      </c>
      <c r="L1131" s="72" t="str">
        <f>IFERROR(__xludf.DUMMYFUNCTION("""COMPUTED_VALUE"""),"FPJ: 1ST PMS DONE (UNIT 4) KMC2585 ACRFPV0912")</f>
        <v>FPJ: 1ST PMS DONE (UNIT 4) KMC2585 ACRFPV0912</v>
      </c>
      <c r="M1131" s="2"/>
      <c r="N1131" s="2" t="str">
        <f>IFERROR(__xludf.DUMMYFUNCTION("""COMPUTED_VALUE"""),"PARTS:
OIL FILTER 
ENGINE OIL")</f>
        <v>PARTS:
OIL FILTER 
ENGINE OIL</v>
      </c>
      <c r="O1131" s="2">
        <f>IFERROR(__xludf.DUMMYFUNCTION("""COMPUTED_VALUE"""),371.0)</f>
        <v>371</v>
      </c>
      <c r="P1131" s="2"/>
      <c r="Q1131" s="2" t="str">
        <f>IFERROR(__xludf.DUMMYFUNCTION("""COMPUTED_VALUE"""),"Y")</f>
        <v>Y</v>
      </c>
      <c r="R1131" s="74">
        <f>IFERROR(__xludf.DUMMYFUNCTION("""COMPUTED_VALUE"""),45910.0)</f>
        <v>45910</v>
      </c>
      <c r="S1131" s="2" t="str">
        <f>IFERROR(__xludf.DUMMYFUNCTION("""COMPUTED_VALUE"""),"JTT/FPJ/JAH")</f>
        <v>JTT/FPJ/JAH</v>
      </c>
      <c r="T1131" s="73" t="str">
        <f>IFERROR(__xludf.DUMMYFUNCTION("""COMPUTED_VALUE""")," N/A ")</f>
        <v>N/A</v>
      </c>
      <c r="U1131" s="73" t="str">
        <f>IFERROR(__xludf.DUMMYFUNCTION("""COMPUTED_VALUE""")," NO CHARGE ")</f>
        <v>NO CHARGE</v>
      </c>
      <c r="V1131" s="2"/>
      <c r="W1131" s="2" t="str">
        <f>IFERROR(__xludf.DUMMYFUNCTION("""COMPUTED_VALUE"""),"N/A")</f>
        <v>N/A</v>
      </c>
      <c r="X1131" s="2" t="str">
        <f>IFERROR(__xludf.DUMMYFUNCTION("""COMPUTED_VALUE"""),"N/A")</f>
        <v>N/A</v>
      </c>
      <c r="Y1131" s="2" t="str">
        <f>IFERROR(__xludf.DUMMYFUNCTION("""COMPUTED_VALUE"""),"(UNIT 4) KMC2585 ACRFPV0912")</f>
        <v>(UNIT 4) KMC2585 ACRFPV0912</v>
      </c>
      <c r="Z1131" s="2"/>
      <c r="AA1131" s="2"/>
      <c r="AB1131" s="2"/>
      <c r="AC1131" s="2"/>
      <c r="AD1131" s="2"/>
      <c r="AE1131" s="2"/>
      <c r="AF1131" s="2"/>
      <c r="AG1131" s="2"/>
      <c r="AH1131" s="2"/>
      <c r="AI1131" s="2"/>
      <c r="AJ1131" s="2" t="str">
        <f>IFERROR(__xludf.DUMMYFUNCTION("""COMPUTED_VALUE"""),"Cadlan")</f>
        <v>Cadlan</v>
      </c>
      <c r="AK1131" s="2" t="str">
        <f>IFERROR(__xludf.DUMMYFUNCTION("""COMPUTED_VALUE"""),"Pili")</f>
        <v>Pili</v>
      </c>
      <c r="AL1131" s="2" t="str">
        <f>IFERROR(__xludf.DUMMYFUNCTION("""COMPUTED_VALUE"""),"Camarines Sur")</f>
        <v>Camarines Sur</v>
      </c>
      <c r="AM1131" s="2">
        <f>IFERROR(__xludf.DUMMYFUNCTION("""COMPUTED_VALUE"""),5.0)</f>
        <v>5</v>
      </c>
      <c r="AN1131" s="2" t="str">
        <f>IFERROR(__xludf.DUMMYFUNCTION("""COMPUTED_VALUE"""),"RCEF 25-03-05")</f>
        <v>RCEF 25-03-05</v>
      </c>
      <c r="AO1131" s="2">
        <f>IFERROR(__xludf.DUMMYFUNCTION("""COMPUTED_VALUE"""),6.0)</f>
        <v>6</v>
      </c>
      <c r="AP1131" s="2" t="str">
        <f>IFERROR(__xludf.DUMMYFUNCTION("""COMPUTED_VALUE"""),"FREE PMS")</f>
        <v>FREE PMS</v>
      </c>
      <c r="AQ1131" s="2"/>
      <c r="AR1131" s="2"/>
      <c r="AS1131" s="2"/>
      <c r="AT1131" s="2"/>
      <c r="AU1131" s="2"/>
      <c r="AV1131" s="2"/>
      <c r="AW1131" s="2"/>
      <c r="AX1131" s="2"/>
      <c r="AY1131" s="2"/>
      <c r="AZ1131" s="2"/>
      <c r="BA1131" s="2"/>
      <c r="BB1131" s="2"/>
    </row>
    <row r="1132">
      <c r="A1132" s="2">
        <f>IFERROR(__xludf.DUMMYFUNCTION("""COMPUTED_VALUE"""),1128.0)</f>
        <v>1128</v>
      </c>
      <c r="B1132" s="2" t="str">
        <f>IFERROR(__xludf.DUMMYFUNCTION("""COMPUTED_VALUE"""),"COMPLETED")</f>
        <v>COMPLETED</v>
      </c>
      <c r="C1132" s="74">
        <f>IFERROR(__xludf.DUMMYFUNCTION("""COMPUTED_VALUE"""),45911.0)</f>
        <v>45911</v>
      </c>
      <c r="D1132" s="71" t="str">
        <f>IFERROR(__xludf.DUMMYFUNCTION("""COMPUTED_VALUE"""),"ALISTO STO. NINO FARMERS ASSOCIATION INC.")</f>
        <v>ALISTO STO. NINO FARMERS ASSOCIATION INC.</v>
      </c>
      <c r="E1132" s="71" t="str">
        <f>IFERROR(__xludf.DUMMYFUNCTION("""COMPUTED_VALUE"""),"Santo Niño, Binalonan, PANGASINAN")</f>
        <v>Santo Niño, Binalonan, PANGASINAN</v>
      </c>
      <c r="F1132" s="2" t="str">
        <f>IFERROR(__xludf.DUMMYFUNCTION("""COMPUTED_VALUE"""),"Sto.Niño Farmers Association
Lorenzo SF. Santillan")</f>
        <v>Sto.Niño Farmers Association
Lorenzo SF. Santillan</v>
      </c>
      <c r="G1132" s="2">
        <f>IFERROR(__xludf.DUMMYFUNCTION("""COMPUTED_VALUE"""),9.133129422E9)</f>
        <v>9133129422</v>
      </c>
      <c r="H1132" s="2">
        <f>IFERROR(__xludf.DUMMYFUNCTION("""COMPUTED_VALUE"""),495.0)</f>
        <v>495</v>
      </c>
      <c r="I1132" s="72" t="str">
        <f>IFERROR(__xludf.DUMMYFUNCTION("""COMPUTED_VALUE"""),"REPAIR - TRACTOR")</f>
        <v>REPAIR - TRACTOR</v>
      </c>
      <c r="J1132" s="72" t="str">
        <f>IFERROR(__xludf.DUMMYFUNCTION("""COMPUTED_VALUE"""),"Transmission - Clutch")</f>
        <v>Transmission - Clutch</v>
      </c>
      <c r="K1132" s="72" t="str">
        <f>IFERROR(__xludf.DUMMYFUNCTION("""COMPUTED_VALUE"""),"FPJ: CLUTCH LINING SLIDDING")</f>
        <v>FPJ: CLUTCH LINING SLIDDING</v>
      </c>
      <c r="L1132" s="72" t="str">
        <f>IFERROR(__xludf.DUMMYFUNCTION("""COMPUTED_VALUE"""),"FPJ: REPLACE CLUTCH DISC ASSY")</f>
        <v>FPJ: REPLACE CLUTCH DISC ASSY</v>
      </c>
      <c r="M1132" s="2"/>
      <c r="N1132" s="2" t="str">
        <f>IFERROR(__xludf.DUMMYFUNCTION("""COMPUTED_VALUE"""),"PARTS:
CLUTCH DISC ASSY")</f>
        <v>PARTS:
CLUTCH DISC ASSY</v>
      </c>
      <c r="O1132" s="2">
        <f>IFERROR(__xludf.DUMMYFUNCTION("""COMPUTED_VALUE"""),372.0)</f>
        <v>372</v>
      </c>
      <c r="P1132" s="2"/>
      <c r="Q1132" s="2" t="str">
        <f>IFERROR(__xludf.DUMMYFUNCTION("""COMPUTED_VALUE"""),"FOR PRINT")</f>
        <v>FOR PRINT</v>
      </c>
      <c r="R1132" s="74">
        <f>IFERROR(__xludf.DUMMYFUNCTION("""COMPUTED_VALUE"""),45910.0)</f>
        <v>45910</v>
      </c>
      <c r="S1132" s="2" t="str">
        <f>IFERROR(__xludf.DUMMYFUNCTION("""COMPUTED_VALUE"""),"JTT/FPJ/JAH")</f>
        <v>JTT/FPJ/JAH</v>
      </c>
      <c r="T1132" s="73">
        <f>IFERROR(__xludf.DUMMYFUNCTION("""COMPUTED_VALUE"""),21330.0)</f>
        <v>21330</v>
      </c>
      <c r="U1132" s="73" t="str">
        <f>IFERROR(__xludf.DUMMYFUNCTION("""COMPUTED_VALUE""")," REMITTED ")</f>
        <v>REMITTED</v>
      </c>
      <c r="V1132" s="2"/>
      <c r="W1132" s="2">
        <f>IFERROR(__xludf.DUMMYFUNCTION("""COMPUTED_VALUE"""),1861.0)</f>
        <v>1861</v>
      </c>
      <c r="X1132" s="2">
        <f>IFERROR(__xludf.DUMMYFUNCTION("""COMPUTED_VALUE"""),1562.0)</f>
        <v>1562</v>
      </c>
      <c r="Y1132" s="2"/>
      <c r="Z1132" s="2"/>
      <c r="AA1132" s="2"/>
      <c r="AB1132" s="2"/>
      <c r="AC1132" s="2"/>
      <c r="AD1132" s="2"/>
      <c r="AE1132" s="2"/>
      <c r="AF1132" s="2"/>
      <c r="AG1132" s="2"/>
      <c r="AH1132" s="2"/>
      <c r="AI1132" s="2"/>
      <c r="AJ1132" s="2" t="str">
        <f>IFERROR(__xludf.DUMMYFUNCTION("""COMPUTED_VALUE"""),"Santo Niño")</f>
        <v>Santo Niño</v>
      </c>
      <c r="AK1132" s="2" t="str">
        <f>IFERROR(__xludf.DUMMYFUNCTION("""COMPUTED_VALUE"""),"Binalonan")</f>
        <v>Binalonan</v>
      </c>
      <c r="AL1132" s="2" t="str">
        <f>IFERROR(__xludf.DUMMYFUNCTION("""COMPUTED_VALUE"""),"Pangasinan")</f>
        <v>Pangasinan</v>
      </c>
      <c r="AM1132" s="2">
        <f>IFERROR(__xludf.DUMMYFUNCTION("""COMPUTED_VALUE"""),1.0)</f>
        <v>1</v>
      </c>
      <c r="AN1132" s="2" t="str">
        <f>IFERROR(__xludf.DUMMYFUNCTION("""COMPUTED_VALUE"""),"RCEF 23-09-21 Rebidding")</f>
        <v>RCEF 23-09-21 Rebidding</v>
      </c>
      <c r="AO1132" s="2">
        <f>IFERROR(__xludf.DUMMYFUNCTION("""COMPUTED_VALUE"""),2.0)</f>
        <v>2</v>
      </c>
      <c r="AP1132" s="2"/>
      <c r="AQ1132" s="2"/>
      <c r="AR1132" s="2"/>
      <c r="AS1132" s="2"/>
      <c r="AT1132" s="2"/>
      <c r="AU1132" s="2"/>
      <c r="AV1132" s="2"/>
      <c r="AW1132" s="2"/>
      <c r="AX1132" s="2"/>
      <c r="AY1132" s="2"/>
      <c r="AZ1132" s="2"/>
      <c r="BA1132" s="2"/>
      <c r="BB1132" s="2"/>
    </row>
    <row r="1133">
      <c r="A1133" s="2">
        <f>IFERROR(__xludf.DUMMYFUNCTION("""COMPUTED_VALUE"""),1129.0)</f>
        <v>1129</v>
      </c>
      <c r="B1133" s="2" t="str">
        <f>IFERROR(__xludf.DUMMYFUNCTION("""COMPUTED_VALUE"""),"COMPLETED")</f>
        <v>COMPLETED</v>
      </c>
      <c r="C1133" s="74">
        <f>IFERROR(__xludf.DUMMYFUNCTION("""COMPUTED_VALUE"""),45912.0)</f>
        <v>45912</v>
      </c>
      <c r="D1133" s="71" t="str">
        <f>IFERROR(__xludf.DUMMYFUNCTION("""COMPUTED_VALUE"""),"Dumayop Tabban Irrigators Association Inc.")</f>
        <v>Dumayop Tabban Irrigators Association Inc.</v>
      </c>
      <c r="E1133" s="71" t="str">
        <f>IFERROR(__xludf.DUMMYFUNCTION("""COMPUTED_VALUE"""),"Pogonsino, Bagabag, NUEVA VIZCAYA")</f>
        <v>Pogonsino, Bagabag, NUEVA VIZCAYA</v>
      </c>
      <c r="F1133" s="2" t="str">
        <f>IFERROR(__xludf.DUMMYFUNCTION("""COMPUTED_VALUE"""),"MERLITO CLETO")</f>
        <v>MERLITO CLETO</v>
      </c>
      <c r="G1133" s="2">
        <f>IFERROR(__xludf.DUMMYFUNCTION("""COMPUTED_VALUE"""),9.059787219E9)</f>
        <v>9059787219</v>
      </c>
      <c r="H1133" s="2">
        <f>IFERROR(__xludf.DUMMYFUNCTION("""COMPUTED_VALUE"""),370.0)</f>
        <v>370</v>
      </c>
      <c r="I1133" s="72" t="str">
        <f>IFERROR(__xludf.DUMMYFUNCTION("""COMPUTED_VALUE"""),"SPARE PARTS ACQUISITION")</f>
        <v>SPARE PARTS ACQUISITION</v>
      </c>
      <c r="J1133" s="72"/>
      <c r="K1133" s="72" t="str">
        <f>IFERROR(__xludf.DUMMYFUNCTION("""COMPUTED_VALUE"""),"ACS: NEED TO REPLACED
PARTS:
CRANKSHAFT OIL SEAL/  OIL SEAL(F) - HRC0300802
HEAD GASKET
OIL SEAL (G) - HRC0200402")</f>
        <v>ACS: NEED TO REPLACED
PARTS:
CRANKSHAFT OIL SEAL/  OIL SEAL(F) - HRC0300802
HEAD GASKET
OIL SEAL (G) - HRC0200402</v>
      </c>
      <c r="L1133" s="72" t="str">
        <f>IFERROR(__xludf.DUMMYFUNCTION("""COMPUTED_VALUE"""),"ACS: WARRANTY AS PER ECM
-REPLACED OIL SEAL (G) AND TIGHTENING CYLINDER BOLT
")</f>
        <v>ACS: WARRANTY AS PER ECM
-REPLACED OIL SEAL (G) AND TIGHTENING CYLINDER BOLT
</v>
      </c>
      <c r="M1133" s="2"/>
      <c r="N1133" s="2" t="str">
        <f>IFERROR(__xludf.DUMMYFUNCTION("""COMPUTED_VALUE"""),"PARTS: 
OIL SEAL (G) ")</f>
        <v>PARTS: 
OIL SEAL (G) </v>
      </c>
      <c r="O1133" s="2">
        <f>IFERROR(__xludf.DUMMYFUNCTION("""COMPUTED_VALUE"""),1430.0)</f>
        <v>1430</v>
      </c>
      <c r="P1133" s="2"/>
      <c r="Q1133" s="2" t="str">
        <f>IFERROR(__xludf.DUMMYFUNCTION("""COMPUTED_VALUE"""),"FOR PRINT")</f>
        <v>FOR PRINT</v>
      </c>
      <c r="R1133" s="74">
        <f>IFERROR(__xludf.DUMMYFUNCTION("""COMPUTED_VALUE"""),45945.0)</f>
        <v>45945</v>
      </c>
      <c r="S1133" s="2" t="str">
        <f>IFERROR(__xludf.DUMMYFUNCTION("""COMPUTED_VALUE"""),"JHP/ACS")</f>
        <v>JHP/ACS</v>
      </c>
      <c r="T1133" s="73" t="str">
        <f>IFERROR(__xludf.DUMMYFUNCTION("""COMPUTED_VALUE""")," N/A ")</f>
        <v>N/A</v>
      </c>
      <c r="U1133" s="73" t="str">
        <f>IFERROR(__xludf.DUMMYFUNCTION("""COMPUTED_VALUE""")," NO CHARGE ")</f>
        <v>NO CHARGE</v>
      </c>
      <c r="V1133" s="2"/>
      <c r="W1133" s="2" t="str">
        <f>IFERROR(__xludf.DUMMYFUNCTION("""COMPUTED_VALUE"""),"N/A")</f>
        <v>N/A</v>
      </c>
      <c r="X1133" s="2" t="str">
        <f>IFERROR(__xludf.DUMMYFUNCTION("""COMPUTED_VALUE"""),"N/A")</f>
        <v>N/A</v>
      </c>
      <c r="Y1133" s="2"/>
      <c r="Z1133" s="2"/>
      <c r="AA1133" s="2"/>
      <c r="AB1133" s="2"/>
      <c r="AC1133" s="2"/>
      <c r="AD1133" s="2"/>
      <c r="AE1133" s="2"/>
      <c r="AF1133" s="2"/>
      <c r="AG1133" s="2"/>
      <c r="AH1133" s="2"/>
      <c r="AI1133" s="2"/>
      <c r="AJ1133" s="2" t="str">
        <f>IFERROR(__xludf.DUMMYFUNCTION("""COMPUTED_VALUE"""),"Pogonsino")</f>
        <v>Pogonsino</v>
      </c>
      <c r="AK1133" s="2" t="str">
        <f>IFERROR(__xludf.DUMMYFUNCTION("""COMPUTED_VALUE"""),"Bagabag")</f>
        <v>Bagabag</v>
      </c>
      <c r="AL1133" s="2" t="str">
        <f>IFERROR(__xludf.DUMMYFUNCTION("""COMPUTED_VALUE"""),"Nueva Vizcaya")</f>
        <v>Nueva Vizcaya</v>
      </c>
      <c r="AM1133" s="2">
        <f>IFERROR(__xludf.DUMMYFUNCTION("""COMPUTED_VALUE"""),2.0)</f>
        <v>2</v>
      </c>
      <c r="AN1133" s="2" t="str">
        <f>IFERROR(__xludf.DUMMYFUNCTION("""COMPUTED_VALUE"""),"RCEF 24-04-15")</f>
        <v>RCEF 24-04-15</v>
      </c>
      <c r="AO1133" s="2">
        <f>IFERROR(__xludf.DUMMYFUNCTION("""COMPUTED_VALUE"""),6.0)</f>
        <v>6</v>
      </c>
      <c r="AP1133" s="2" t="str">
        <f>IFERROR(__xludf.DUMMYFUNCTION("""COMPUTED_VALUE"""),"FREE PMS")</f>
        <v>FREE PMS</v>
      </c>
      <c r="AQ1133" s="2"/>
      <c r="AR1133" s="2"/>
      <c r="AS1133" s="2"/>
      <c r="AT1133" s="2"/>
      <c r="AU1133" s="2"/>
      <c r="AV1133" s="2"/>
      <c r="AW1133" s="2"/>
      <c r="AX1133" s="2"/>
      <c r="AY1133" s="2"/>
      <c r="AZ1133" s="2"/>
      <c r="BA1133" s="2"/>
      <c r="BB1133" s="2"/>
    </row>
    <row r="1134">
      <c r="A1134" s="2">
        <f>IFERROR(__xludf.DUMMYFUNCTION("""COMPUTED_VALUE"""),1130.0)</f>
        <v>1130</v>
      </c>
      <c r="B1134" s="2" t="str">
        <f>IFERROR(__xludf.DUMMYFUNCTION("""COMPUTED_VALUE"""),"COMPLETED")</f>
        <v>COMPLETED</v>
      </c>
      <c r="C1134" s="74">
        <f>IFERROR(__xludf.DUMMYFUNCTION("""COMPUTED_VALUE"""),45912.0)</f>
        <v>45912</v>
      </c>
      <c r="D1134" s="71" t="str">
        <f>IFERROR(__xludf.DUMMYFUNCTION("""COMPUTED_VALUE"""),"Cañapasan Banate Irrigators' Association Inc.")</f>
        <v>Cañapasan Banate Irrigators' Association Inc.</v>
      </c>
      <c r="E1134" s="71" t="str">
        <f>IFERROR(__xludf.DUMMYFUNCTION("""COMPUTED_VALUE"""),"Managopaya, Banate, ILOILO")</f>
        <v>Managopaya, Banate, ILOILO</v>
      </c>
      <c r="F1134" s="2" t="str">
        <f>IFERROR(__xludf.DUMMYFUNCTION("""COMPUTED_VALUE"""),"HELLY BAGSAIN")</f>
        <v>HELLY BAGSAIN</v>
      </c>
      <c r="G1134" s="2">
        <f>IFERROR(__xludf.DUMMYFUNCTION("""COMPUTED_VALUE"""),9.655208079E9)</f>
        <v>9655208079</v>
      </c>
      <c r="H1134" s="2"/>
      <c r="I1134" s="72" t="str">
        <f>IFERROR(__xludf.DUMMYFUNCTION("""COMPUTED_VALUE"""),"REPAIR - TRACTOR")</f>
        <v>REPAIR - TRACTOR</v>
      </c>
      <c r="J1134" s="72" t="str">
        <f>IFERROR(__xludf.DUMMYFUNCTION("""COMPUTED_VALUE"""),"PTO - Valve Assy")</f>
        <v>PTO - Valve Assy</v>
      </c>
      <c r="K1134" s="72" t="str">
        <f>IFERROR(__xludf.DUMMYFUNCTION("""COMPUTED_VALUE"""),"MYK: HINDI PADIN DAW GUMAGANA ANG ROTAVATOR NILA,  ANG SABI NADAW PO SA KANILA NI SIR RANDY PTO VALVE ASSY NADAW PO ANG SIRA.
9/12/25: CFG: ASSESSMENT VIA CALL, PTO VALVE ASSY LANG ANG POSIBLENG SIRA NG UNIT AT WALANG DAMAGE ANG PTO CLUTCH PACK. 
9/16/2"&amp;"5: NI REPLACED DIN NI SIR RANDY YUNG PTO VALVE SOLENOID, PAYMENT OF PARTS C/O SIR RANDY (15,600)")</f>
        <v>MYK: HINDI PADIN DAW GUMAGANA ANG ROTAVATOR NILA,  ANG SABI NADAW PO SA KANILA NI SIR RANDY PTO VALVE ASSY NADAW PO ANG SIRA.
9/12/25: CFG: ASSESSMENT VIA CALL, PTO VALVE ASSY LANG ANG POSIBLENG SIRA NG UNIT AT WALANG DAMAGE ANG PTO CLUTCH PACK. 
9/16/25: NI REPLACED DIN NI SIR RANDY YUNG PTO VALVE SOLENOID, PAYMENT OF PARTS C/O SIR RANDY (15,600)</v>
      </c>
      <c r="L1134" s="72" t="str">
        <f>IFERROR(__xludf.DUMMYFUNCTION("""COMPUTED_VALUE"""),"COORDINATED TO SIR RANDY:PARTS FOR LBC: PTO VALVE ASSY LBC TO SIR RANDY: RECEIVED:
")</f>
        <v>COORDINATED TO SIR RANDY:PARTS FOR LBC: PTO VALVE ASSY LBC TO SIR RANDY: RECEIVED:
</v>
      </c>
      <c r="M1134" s="2"/>
      <c r="N1134" s="2" t="str">
        <f>IFERROR(__xludf.DUMMYFUNCTION("""COMPUTED_VALUE"""),"PARTS:
PTO VALVE SOLENOID (15,600)
-PAYMENT C/O SIR RANDY
-Transfer this payment to PTO VALVE ASSY
 Hydraulic Filter- 2,800
Check Up: 1500")</f>
        <v>PARTS:
PTO VALVE SOLENOID (15,600)
-PAYMENT C/O SIR RANDY
-Transfer this payment to PTO VALVE ASSY
 Hydraulic Filter- 2,800
Check Up: 1500</v>
      </c>
      <c r="O1134" s="2">
        <f>IFERROR(__xludf.DUMMYFUNCTION("""COMPUTED_VALUE"""),417.0)</f>
        <v>417</v>
      </c>
      <c r="P1134" s="2"/>
      <c r="Q1134" s="2" t="str">
        <f>IFERROR(__xludf.DUMMYFUNCTION("""COMPUTED_VALUE"""),"Y")</f>
        <v>Y</v>
      </c>
      <c r="R1134" s="74">
        <f>IFERROR(__xludf.DUMMYFUNCTION("""COMPUTED_VALUE"""),45916.0)</f>
        <v>45916</v>
      </c>
      <c r="S1134" s="2" t="str">
        <f>IFERROR(__xludf.DUMMYFUNCTION("""COMPUTED_VALUE"""),"EGT/DRM/DSD")</f>
        <v>EGT/DRM/DSD</v>
      </c>
      <c r="T1134" s="73">
        <f>IFERROR(__xludf.DUMMYFUNCTION("""COMPUTED_VALUE"""),4300.0)</f>
        <v>4300</v>
      </c>
      <c r="U1134" s="73" t="str">
        <f>IFERROR(__xludf.DUMMYFUNCTION("""COMPUTED_VALUE""")," REMITTED ")</f>
        <v>REMITTED</v>
      </c>
      <c r="V1134" s="2">
        <f>IFERROR(__xludf.DUMMYFUNCTION("""COMPUTED_VALUE"""),1309.0)</f>
        <v>1309</v>
      </c>
      <c r="W1134" s="2">
        <f>IFERROR(__xludf.DUMMYFUNCTION("""COMPUTED_VALUE"""),1664.0)</f>
        <v>1664</v>
      </c>
      <c r="X1134" s="2">
        <f>IFERROR(__xludf.DUMMYFUNCTION("""COMPUTED_VALUE"""),1685.0)</f>
        <v>1685</v>
      </c>
      <c r="Y1134" s="2"/>
      <c r="Z1134" s="2"/>
      <c r="AA1134" s="2"/>
      <c r="AB1134" s="2"/>
      <c r="AC1134" s="2"/>
      <c r="AD1134" s="2"/>
      <c r="AE1134" s="2"/>
      <c r="AF1134" s="2"/>
      <c r="AG1134" s="2"/>
      <c r="AH1134" s="2"/>
      <c r="AI1134" s="2"/>
      <c r="AJ1134" s="2" t="str">
        <f>IFERROR(__xludf.DUMMYFUNCTION("""COMPUTED_VALUE"""),"Managopaya")</f>
        <v>Managopaya</v>
      </c>
      <c r="AK1134" s="2" t="str">
        <f>IFERROR(__xludf.DUMMYFUNCTION("""COMPUTED_VALUE"""),"Banate")</f>
        <v>Banate</v>
      </c>
      <c r="AL1134" s="2" t="str">
        <f>IFERROR(__xludf.DUMMYFUNCTION("""COMPUTED_VALUE"""),"Iloilo")</f>
        <v>Iloilo</v>
      </c>
      <c r="AM1134" s="2">
        <f>IFERROR(__xludf.DUMMYFUNCTION("""COMPUTED_VALUE"""),6.0)</f>
        <v>6</v>
      </c>
      <c r="AN1134" s="2" t="str">
        <f>IFERROR(__xludf.DUMMYFUNCTION("""COMPUTED_VALUE"""),"RCEF 23-09-21 Rebidding")</f>
        <v>RCEF 23-09-21 Rebidding</v>
      </c>
      <c r="AO1134" s="2">
        <f>IFERROR(__xludf.DUMMYFUNCTION("""COMPUTED_VALUE"""),4.0)</f>
        <v>4</v>
      </c>
      <c r="AP1134" s="2"/>
      <c r="AQ1134" s="2"/>
      <c r="AR1134" s="2"/>
      <c r="AS1134" s="2"/>
      <c r="AT1134" s="2"/>
      <c r="AU1134" s="2"/>
      <c r="AV1134" s="2"/>
      <c r="AW1134" s="2"/>
      <c r="AX1134" s="2"/>
      <c r="AY1134" s="2"/>
      <c r="AZ1134" s="2"/>
      <c r="BA1134" s="2"/>
      <c r="BB1134" s="2"/>
    </row>
    <row r="1135">
      <c r="A1135" s="2">
        <f>IFERROR(__xludf.DUMMYFUNCTION("""COMPUTED_VALUE"""),1131.0)</f>
        <v>1131</v>
      </c>
      <c r="B1135" s="2" t="str">
        <f>IFERROR(__xludf.DUMMYFUNCTION("""COMPUTED_VALUE"""),"COMPLETED")</f>
        <v>COMPLETED</v>
      </c>
      <c r="C1135" s="74">
        <f>IFERROR(__xludf.DUMMYFUNCTION("""COMPUTED_VALUE"""),45912.0)</f>
        <v>45912</v>
      </c>
      <c r="D1135" s="71" t="str">
        <f>IFERROR(__xludf.DUMMYFUNCTION("""COMPUTED_VALUE"""),"BARANGAY BAGONG SIKAT FARMERS ASSOCIATION")</f>
        <v>BARANGAY BAGONG SIKAT FARMERS ASSOCIATION</v>
      </c>
      <c r="E1135" s="71" t="str">
        <f>IFERROR(__xludf.DUMMYFUNCTION("""COMPUTED_VALUE"""),"Bagong Sikat, Cabanatuan City, NUEVA ECIJA")</f>
        <v>Bagong Sikat, Cabanatuan City, NUEVA ECIJA</v>
      </c>
      <c r="F1135" s="2" t="str">
        <f>IFERROR(__xludf.DUMMYFUNCTION("""COMPUTED_VALUE"""),"Manolito Delos Reyes")</f>
        <v>Manolito Delos Reyes</v>
      </c>
      <c r="G1135" s="2">
        <f>IFERROR(__xludf.DUMMYFUNCTION("""COMPUTED_VALUE"""),9.388270938E9)</f>
        <v>9388270938</v>
      </c>
      <c r="H1135" s="2"/>
      <c r="I1135" s="72" t="str">
        <f>IFERROR(__xludf.DUMMYFUNCTION("""COMPUTED_VALUE"""),"REPAIR - TRACTOR")</f>
        <v>REPAIR - TRACTOR</v>
      </c>
      <c r="J1135" s="72" t="str">
        <f>IFERROR(__xludf.DUMMYFUNCTION("""COMPUTED_VALUE"""),"Engine - Leaking")</f>
        <v>Engine - Leaking</v>
      </c>
      <c r="K1135" s="72" t="str">
        <f>IFERROR(__xludf.DUMMYFUNCTION("""COMPUTED_VALUE"""),"JHP: ENGINE LEAKING
JHP: 1 need to split the unit for replacement of Oil Seal (F) HRC0300802A4
")</f>
        <v>JHP: ENGINE LEAKING
JHP: 1 need to split the unit for replacement of Oil Seal (F) HRC0300802A4
</v>
      </c>
      <c r="L1135" s="72" t="str">
        <f>IFERROR(__xludf.DUMMYFUNCTION("""COMPUTED_VALUE"""),"ACS: NILAGYAN NG GASKET SEALANT")</f>
        <v>ACS: NILAGYAN NG GASKET SEALANT</v>
      </c>
      <c r="M1135" s="2"/>
      <c r="N1135" s="2"/>
      <c r="O1135" s="2">
        <f>IFERROR(__xludf.DUMMYFUNCTION("""COMPUTED_VALUE"""),1435.0)</f>
        <v>1435</v>
      </c>
      <c r="P1135" s="2"/>
      <c r="Q1135" s="2" t="str">
        <f>IFERROR(__xludf.DUMMYFUNCTION("""COMPUTED_VALUE"""),"y")</f>
        <v>y</v>
      </c>
      <c r="R1135" s="74">
        <f>IFERROR(__xludf.DUMMYFUNCTION("""COMPUTED_VALUE"""),45964.0)</f>
        <v>45964</v>
      </c>
      <c r="S1135" s="2" t="str">
        <f>IFERROR(__xludf.DUMMYFUNCTION("""COMPUTED_VALUE"""),"JHP/ACS")</f>
        <v>JHP/ACS</v>
      </c>
      <c r="T1135" s="73" t="str">
        <f>IFERROR(__xludf.DUMMYFUNCTION("""COMPUTED_VALUE""")," N/A ")</f>
        <v>N/A</v>
      </c>
      <c r="U1135" s="73" t="str">
        <f>IFERROR(__xludf.DUMMYFUNCTION("""COMPUTED_VALUE""")," NO CHARGE ")</f>
        <v>NO CHARGE</v>
      </c>
      <c r="V1135" s="2"/>
      <c r="W1135" s="2" t="str">
        <f>IFERROR(__xludf.DUMMYFUNCTION("""COMPUTED_VALUE"""),"N/A")</f>
        <v>N/A</v>
      </c>
      <c r="X1135" s="2" t="str">
        <f>IFERROR(__xludf.DUMMYFUNCTION("""COMPUTED_VALUE"""),"N/A")</f>
        <v>N/A</v>
      </c>
      <c r="Y1135" s="2"/>
      <c r="Z1135" s="2"/>
      <c r="AA1135" s="2"/>
      <c r="AB1135" s="2"/>
      <c r="AC1135" s="2"/>
      <c r="AD1135" s="2"/>
      <c r="AE1135" s="2"/>
      <c r="AF1135" s="2"/>
      <c r="AG1135" s="2"/>
      <c r="AH1135" s="2"/>
      <c r="AI1135" s="2"/>
      <c r="AJ1135" s="2" t="str">
        <f>IFERROR(__xludf.DUMMYFUNCTION("""COMPUTED_VALUE"""),"Bagong Sikat")</f>
        <v>Bagong Sikat</v>
      </c>
      <c r="AK1135" s="2" t="str">
        <f>IFERROR(__xludf.DUMMYFUNCTION("""COMPUTED_VALUE"""),"Cabanatuan City")</f>
        <v>Cabanatuan City</v>
      </c>
      <c r="AL1135" s="2" t="str">
        <f>IFERROR(__xludf.DUMMYFUNCTION("""COMPUTED_VALUE"""),"Nueva Ecija")</f>
        <v>Nueva Ecija</v>
      </c>
      <c r="AM1135" s="2">
        <f>IFERROR(__xludf.DUMMYFUNCTION("""COMPUTED_VALUE"""),3.0)</f>
        <v>3</v>
      </c>
      <c r="AN1135" s="2" t="str">
        <f>IFERROR(__xludf.DUMMYFUNCTION("""COMPUTED_VALUE"""),"RCEF 23-09-21 Rebidding")</f>
        <v>RCEF 23-09-21 Rebidding</v>
      </c>
      <c r="AO1135" s="2">
        <f>IFERROR(__xludf.DUMMYFUNCTION("""COMPUTED_VALUE"""),3.0)</f>
        <v>3</v>
      </c>
      <c r="AP1135" s="2"/>
      <c r="AQ1135" s="2"/>
      <c r="AR1135" s="2"/>
      <c r="AS1135" s="2"/>
      <c r="AT1135" s="2"/>
      <c r="AU1135" s="2"/>
      <c r="AV1135" s="2"/>
      <c r="AW1135" s="2"/>
      <c r="AX1135" s="2"/>
      <c r="AY1135" s="2"/>
      <c r="AZ1135" s="2"/>
      <c r="BA1135" s="2"/>
      <c r="BB1135" s="2"/>
    </row>
    <row r="1136">
      <c r="A1136" s="2">
        <f>IFERROR(__xludf.DUMMYFUNCTION("""COMPUTED_VALUE"""),1132.0)</f>
        <v>1132</v>
      </c>
      <c r="B1136" s="2" t="str">
        <f>IFERROR(__xludf.DUMMYFUNCTION("""COMPUTED_VALUE"""),"COMPLETED")</f>
        <v>COMPLETED</v>
      </c>
      <c r="C1136" s="74">
        <f>IFERROR(__xludf.DUMMYFUNCTION("""COMPUTED_VALUE"""),45912.0)</f>
        <v>45912</v>
      </c>
      <c r="D1136" s="71" t="str">
        <f>IFERROR(__xludf.DUMMYFUNCTION("""COMPUTED_VALUE"""),"Gaub Farmers Association")</f>
        <v>Gaub Farmers Association</v>
      </c>
      <c r="E1136" s="71" t="str">
        <f>IFERROR(__xludf.DUMMYFUNCTION("""COMPUTED_VALUE"""),"Gaub, Cabatuan, ILOILO")</f>
        <v>Gaub, Cabatuan, ILOILO</v>
      </c>
      <c r="F1136" s="2" t="str">
        <f>IFERROR(__xludf.DUMMYFUNCTION("""COMPUTED_VALUE"""),"Rosanne A. Paniagua")</f>
        <v>Rosanne A. Paniagua</v>
      </c>
      <c r="G1136" s="2">
        <f>IFERROR(__xludf.DUMMYFUNCTION("""COMPUTED_VALUE"""),9.177914376E9)</f>
        <v>9177914376</v>
      </c>
      <c r="H1136" s="2"/>
      <c r="I1136" s="72" t="str">
        <f>IFERROR(__xludf.DUMMYFUNCTION("""COMPUTED_VALUE"""),"REPAIR - TRACTOR")</f>
        <v>REPAIR - TRACTOR</v>
      </c>
      <c r="J1136" s="72" t="str">
        <f>IFERROR(__xludf.DUMMYFUNCTION("""COMPUTED_VALUE"""),"CHECK UP UNIT")</f>
        <v>CHECK UP UNIT</v>
      </c>
      <c r="K1136" s="72" t="str">
        <f>IFERROR(__xludf.DUMMYFUNCTION("""COMPUTED_VALUE"""),"MYK: AYAW TUMAKBO, PAG NAKALAGAY SA RANGE B, C NAKA KAMBYO SA 2ND GEAR AYAW NA TUMAKBO, ")</f>
        <v>MYK: AYAW TUMAKBO, PAG NAKALAGAY SA RANGE B, C NAKA KAMBYO SA 2ND GEAR AYAW NA TUMAKBO, </v>
      </c>
      <c r="L1136" s="72" t="str">
        <f>IFERROR(__xludf.DUMMYFUNCTION("""COMPUTED_VALUE"""),"RANDY : OK NA NAG UNIT")</f>
        <v>RANDY : OK NA NAG UNIT</v>
      </c>
      <c r="M1136" s="2"/>
      <c r="N1136" s="2"/>
      <c r="O1136" s="2" t="str">
        <f>IFERROR(__xludf.DUMMYFUNCTION("""COMPUTED_VALUE"""),"MYKEE")</f>
        <v>MYKEE</v>
      </c>
      <c r="P1136" s="2"/>
      <c r="Q1136" s="2"/>
      <c r="R1136" s="74">
        <f>IFERROR(__xludf.DUMMYFUNCTION("""COMPUTED_VALUE"""),45915.0)</f>
        <v>45915</v>
      </c>
      <c r="S1136" s="2" t="str">
        <f>IFERROR(__xludf.DUMMYFUNCTION("""COMPUTED_VALUE"""),"RANDY")</f>
        <v>RANDY</v>
      </c>
      <c r="T1136" s="73" t="str">
        <f>IFERROR(__xludf.DUMMYFUNCTION("""COMPUTED_VALUE""")," N/A ")</f>
        <v>N/A</v>
      </c>
      <c r="U1136" s="73" t="str">
        <f>IFERROR(__xludf.DUMMYFUNCTION("""COMPUTED_VALUE""")," NO CHARGE ")</f>
        <v>NO CHARGE</v>
      </c>
      <c r="V1136" s="2"/>
      <c r="W1136" s="2" t="str">
        <f>IFERROR(__xludf.DUMMYFUNCTION("""COMPUTED_VALUE"""),"N/A")</f>
        <v>N/A</v>
      </c>
      <c r="X1136" s="2" t="str">
        <f>IFERROR(__xludf.DUMMYFUNCTION("""COMPUTED_VALUE"""),"N/A")</f>
        <v>N/A</v>
      </c>
      <c r="Y1136" s="2"/>
      <c r="Z1136" s="2"/>
      <c r="AA1136" s="2"/>
      <c r="AB1136" s="2"/>
      <c r="AC1136" s="2"/>
      <c r="AD1136" s="2"/>
      <c r="AE1136" s="2"/>
      <c r="AF1136" s="2"/>
      <c r="AG1136" s="2"/>
      <c r="AH1136" s="2"/>
      <c r="AI1136" s="2"/>
      <c r="AJ1136" s="2" t="str">
        <f>IFERROR(__xludf.DUMMYFUNCTION("""COMPUTED_VALUE"""),"Gaub")</f>
        <v>Gaub</v>
      </c>
      <c r="AK1136" s="2" t="str">
        <f>IFERROR(__xludf.DUMMYFUNCTION("""COMPUTED_VALUE"""),"Cabatuan")</f>
        <v>Cabatuan</v>
      </c>
      <c r="AL1136" s="2" t="str">
        <f>IFERROR(__xludf.DUMMYFUNCTION("""COMPUTED_VALUE"""),"Iloilo")</f>
        <v>Iloilo</v>
      </c>
      <c r="AM1136" s="2">
        <f>IFERROR(__xludf.DUMMYFUNCTION("""COMPUTED_VALUE"""),6.0)</f>
        <v>6</v>
      </c>
      <c r="AN1136" s="2" t="str">
        <f>IFERROR(__xludf.DUMMYFUNCTION("""COMPUTED_VALUE"""),"RCEF 23-09-21 Rebidding")</f>
        <v>RCEF 23-09-21 Rebidding</v>
      </c>
      <c r="AO1136" s="2">
        <f>IFERROR(__xludf.DUMMYFUNCTION("""COMPUTED_VALUE"""),4.0)</f>
        <v>4</v>
      </c>
      <c r="AP1136" s="2"/>
      <c r="AQ1136" s="2"/>
      <c r="AR1136" s="2"/>
      <c r="AS1136" s="2"/>
      <c r="AT1136" s="2"/>
      <c r="AU1136" s="2"/>
      <c r="AV1136" s="2"/>
      <c r="AW1136" s="2"/>
      <c r="AX1136" s="2"/>
      <c r="AY1136" s="2"/>
      <c r="AZ1136" s="2"/>
      <c r="BA1136" s="2"/>
      <c r="BB1136" s="2"/>
    </row>
    <row r="1137">
      <c r="A1137" s="2">
        <f>IFERROR(__xludf.DUMMYFUNCTION("""COMPUTED_VALUE"""),1133.0)</f>
        <v>1133</v>
      </c>
      <c r="B1137" s="2" t="str">
        <f>IFERROR(__xludf.DUMMYFUNCTION("""COMPUTED_VALUE"""),"COMPLETED")</f>
        <v>COMPLETED</v>
      </c>
      <c r="C1137" s="74">
        <f>IFERROR(__xludf.DUMMYFUNCTION("""COMPUTED_VALUE"""),45912.0)</f>
        <v>45912</v>
      </c>
      <c r="D1137" s="71" t="str">
        <f>IFERROR(__xludf.DUMMYFUNCTION("""COMPUTED_VALUE"""),"Cabayugan Farmers Association")</f>
        <v>Cabayugan Farmers Association</v>
      </c>
      <c r="E1137" s="71" t="str">
        <f>IFERROR(__xludf.DUMMYFUNCTION("""COMPUTED_VALUE"""),"Cabayugan, Puerto Princesa City, Palawan")</f>
        <v>Cabayugan, Puerto Princesa City, Palawan</v>
      </c>
      <c r="F1137" s="2" t="str">
        <f>IFERROR(__xludf.DUMMYFUNCTION("""COMPUTED_VALUE"""),"Louie joy aungon")</f>
        <v>Louie joy aungon</v>
      </c>
      <c r="G1137" s="2">
        <f>IFERROR(__xludf.DUMMYFUNCTION("""COMPUTED_VALUE"""),9.050960839E9)</f>
        <v>9050960839</v>
      </c>
      <c r="H1137" s="2"/>
      <c r="I1137" s="72" t="str">
        <f>IFERROR(__xludf.DUMMYFUNCTION("""COMPUTED_VALUE"""),"SPARE PARTS ACQUISITION")</f>
        <v>SPARE PARTS ACQUISITION</v>
      </c>
      <c r="J1137" s="72" t="str">
        <f>IFERROR(__xludf.DUMMYFUNCTION("""COMPUTED_VALUE"""),"PARTS REQUEST")</f>
        <v>PARTS REQUEST</v>
      </c>
      <c r="K1137" s="72" t="str">
        <f>IFERROR(__xludf.DUMMYFUNCTION("""COMPUTED_VALUE"""),"MYK: PARTS: 2 - OIL SEAL AP6-57-80-15")</f>
        <v>MYK: PARTS: 2 - OIL SEAL AP6-57-80-15</v>
      </c>
      <c r="L1137" s="72" t="str">
        <f>IFERROR(__xludf.DUMMYFUNCTION("""COMPUTED_VALUE"""),"QUOTATION SENT: PAID: FOR SHIPPING:SHIPPED")</f>
        <v>QUOTATION SENT: PAID: FOR SHIPPING:SHIPPED</v>
      </c>
      <c r="M1137" s="2"/>
      <c r="N1137" s="2" t="str">
        <f>IFERROR(__xludf.DUMMYFUNCTION("""COMPUTED_VALUE"""),"PARTS:
2-OIL SEAL AP6-57-80-15")</f>
        <v>PARTS:
2-OIL SEAL AP6-57-80-15</v>
      </c>
      <c r="O1137" s="2" t="str">
        <f>IFERROR(__xludf.DUMMYFUNCTION("""COMPUTED_VALUE"""),"N/A")</f>
        <v>N/A</v>
      </c>
      <c r="P1137" s="2"/>
      <c r="Q1137" s="2"/>
      <c r="R1137" s="74">
        <f>IFERROR(__xludf.DUMMYFUNCTION("""COMPUTED_VALUE"""),45912.0)</f>
        <v>45912</v>
      </c>
      <c r="S1137" s="2" t="str">
        <f>IFERROR(__xludf.DUMMYFUNCTION("""COMPUTED_VALUE"""),"MYK/CTF")</f>
        <v>MYK/CTF</v>
      </c>
      <c r="T1137" s="73">
        <f>IFERROR(__xludf.DUMMYFUNCTION("""COMPUTED_VALUE"""),6760.0)</f>
        <v>6760</v>
      </c>
      <c r="U1137" s="73" t="str">
        <f>IFERROR(__xludf.DUMMYFUNCTION("""COMPUTED_VALUE""")," REMITTED ")</f>
        <v>REMITTED</v>
      </c>
      <c r="V1137" s="2"/>
      <c r="W1137" s="2">
        <f>IFERROR(__xludf.DUMMYFUNCTION("""COMPUTED_VALUE"""),1706.0)</f>
        <v>1706</v>
      </c>
      <c r="X1137" s="2">
        <f>IFERROR(__xludf.DUMMYFUNCTION("""COMPUTED_VALUE"""),1565.0)</f>
        <v>1565</v>
      </c>
      <c r="Y1137" s="2"/>
      <c r="Z1137" s="2"/>
      <c r="AA1137" s="2"/>
      <c r="AB1137" s="2"/>
      <c r="AC1137" s="2"/>
      <c r="AD1137" s="2"/>
      <c r="AE1137" s="2"/>
      <c r="AF1137" s="2"/>
      <c r="AG1137" s="2"/>
      <c r="AH1137" s="2"/>
      <c r="AI1137" s="2"/>
      <c r="AJ1137" s="2" t="str">
        <f>IFERROR(__xludf.DUMMYFUNCTION("""COMPUTED_VALUE"""),"Cabayugan")</f>
        <v>Cabayugan</v>
      </c>
      <c r="AK1137" s="2" t="str">
        <f>IFERROR(__xludf.DUMMYFUNCTION("""COMPUTED_VALUE"""),"Puerto Princesa City")</f>
        <v>Puerto Princesa City</v>
      </c>
      <c r="AL1137" s="2" t="str">
        <f>IFERROR(__xludf.DUMMYFUNCTION("""COMPUTED_VALUE"""),"Palawan")</f>
        <v>Palawan</v>
      </c>
      <c r="AM1137" s="2" t="str">
        <f>IFERROR(__xludf.DUMMYFUNCTION("""COMPUTED_VALUE"""),"4B")</f>
        <v>4B</v>
      </c>
      <c r="AN1137" s="2" t="str">
        <f>IFERROR(__xludf.DUMMYFUNCTION("""COMPUTED_VALUE"""),"RCEF 23-08-20 Rebidding")</f>
        <v>RCEF 23-08-20 Rebidding</v>
      </c>
      <c r="AO1137" s="2">
        <f>IFERROR(__xludf.DUMMYFUNCTION("""COMPUTED_VALUE"""),1.0)</f>
        <v>1</v>
      </c>
      <c r="AP1137" s="2"/>
      <c r="AQ1137" s="2"/>
      <c r="AR1137" s="2"/>
      <c r="AS1137" s="2"/>
      <c r="AT1137" s="2"/>
      <c r="AU1137" s="2"/>
      <c r="AV1137" s="2"/>
      <c r="AW1137" s="2"/>
      <c r="AX1137" s="2"/>
      <c r="AY1137" s="2"/>
      <c r="AZ1137" s="2"/>
      <c r="BA1137" s="2"/>
      <c r="BB1137" s="2"/>
    </row>
    <row r="1138">
      <c r="A1138" s="2">
        <f>IFERROR(__xludf.DUMMYFUNCTION("""COMPUTED_VALUE"""),1134.0)</f>
        <v>1134</v>
      </c>
      <c r="B1138" s="2" t="str">
        <f>IFERROR(__xludf.DUMMYFUNCTION("""COMPUTED_VALUE"""),"COMPLETED")</f>
        <v>COMPLETED</v>
      </c>
      <c r="C1138" s="74">
        <f>IFERROR(__xludf.DUMMYFUNCTION("""COMPUTED_VALUE"""),45912.0)</f>
        <v>45912</v>
      </c>
      <c r="D1138" s="71" t="str">
        <f>IFERROR(__xludf.DUMMYFUNCTION("""COMPUTED_VALUE"""),"DINAIT CAPILLANGAN IRRIGATORS' ASSOCIATION, INC.")</f>
        <v>DINAIT CAPILLANGAN IRRIGATORS' ASSOCIATION, INC.</v>
      </c>
      <c r="E1138" s="71" t="str">
        <f>IFERROR(__xludf.DUMMYFUNCTION("""COMPUTED_VALUE"""),"Villamor, Cabarroguis, QUIRINO")</f>
        <v>Villamor, Cabarroguis, QUIRINO</v>
      </c>
      <c r="F1138" s="2"/>
      <c r="G1138" s="2">
        <f>IFERROR(__xludf.DUMMYFUNCTION("""COMPUTED_VALUE"""),9.161864604E9)</f>
        <v>9161864604</v>
      </c>
      <c r="H1138" s="2">
        <f>IFERROR(__xludf.DUMMYFUNCTION("""COMPUTED_VALUE"""),163.0)</f>
        <v>163</v>
      </c>
      <c r="I1138" s="72" t="str">
        <f>IFERROR(__xludf.DUMMYFUNCTION("""COMPUTED_VALUE"""),"PMS")</f>
        <v>PMS</v>
      </c>
      <c r="J1138" s="72"/>
      <c r="K1138" s="72" t="str">
        <f>IFERROR(__xludf.DUMMYFUNCTION("""COMPUTED_VALUE"""),"ACS: 2ND PMS")</f>
        <v>ACS: 2ND PMS</v>
      </c>
      <c r="L1138" s="72" t="str">
        <f>IFERROR(__xludf.DUMMYFUNCTION("""COMPUTED_VALUE"""),"ACS: 2ND PMS DONE")</f>
        <v>ACS: 2ND PMS DONE</v>
      </c>
      <c r="M1138" s="2"/>
      <c r="N1138" s="2" t="str">
        <f>IFERROR(__xludf.DUMMYFUNCTION("""COMPUTED_VALUE"""),"PARTS:
HYDRAULIC FILTER
SF: 1500")</f>
        <v>PARTS:
HYDRAULIC FILTER
SF: 1500</v>
      </c>
      <c r="O1138" s="2">
        <f>IFERROR(__xludf.DUMMYFUNCTION("""COMPUTED_VALUE"""),1421.0)</f>
        <v>1421</v>
      </c>
      <c r="P1138" s="2"/>
      <c r="Q1138" s="2" t="str">
        <f>IFERROR(__xludf.DUMMYFUNCTION("""COMPUTED_VALUE"""),"y")</f>
        <v>y</v>
      </c>
      <c r="R1138" s="74">
        <f>IFERROR(__xludf.DUMMYFUNCTION("""COMPUTED_VALUE"""),45912.0)</f>
        <v>45912</v>
      </c>
      <c r="S1138" s="2" t="str">
        <f>IFERROR(__xludf.DUMMYFUNCTION("""COMPUTED_VALUE"""),"ACS/JHP")</f>
        <v>ACS/JHP</v>
      </c>
      <c r="T1138" s="73">
        <f>IFERROR(__xludf.DUMMYFUNCTION("""COMPUTED_VALUE"""),4300.0)</f>
        <v>4300</v>
      </c>
      <c r="U1138" s="73" t="str">
        <f>IFERROR(__xludf.DUMMYFUNCTION("""COMPUTED_VALUE""")," REMITTED ")</f>
        <v>REMITTED</v>
      </c>
      <c r="V1138" s="2"/>
      <c r="W1138" s="2">
        <f>IFERROR(__xludf.DUMMYFUNCTION("""COMPUTED_VALUE"""),1088.0)</f>
        <v>1088</v>
      </c>
      <c r="X1138" s="2">
        <f>IFERROR(__xludf.DUMMYFUNCTION("""COMPUTED_VALUE"""),1620.0)</f>
        <v>1620</v>
      </c>
      <c r="Y1138" s="2"/>
      <c r="Z1138" s="2"/>
      <c r="AA1138" s="2"/>
      <c r="AB1138" s="2"/>
      <c r="AC1138" s="2"/>
      <c r="AD1138" s="2"/>
      <c r="AE1138" s="2"/>
      <c r="AF1138" s="2"/>
      <c r="AG1138" s="2"/>
      <c r="AH1138" s="2"/>
      <c r="AI1138" s="2"/>
      <c r="AJ1138" s="2" t="str">
        <f>IFERROR(__xludf.DUMMYFUNCTION("""COMPUTED_VALUE"""),"Villamor")</f>
        <v>Villamor</v>
      </c>
      <c r="AK1138" s="2" t="str">
        <f>IFERROR(__xludf.DUMMYFUNCTION("""COMPUTED_VALUE"""),"Cabarroguis")</f>
        <v>Cabarroguis</v>
      </c>
      <c r="AL1138" s="2" t="str">
        <f>IFERROR(__xludf.DUMMYFUNCTION("""COMPUTED_VALUE"""),"Quirino")</f>
        <v>Quirino</v>
      </c>
      <c r="AM1138" s="2">
        <f>IFERROR(__xludf.DUMMYFUNCTION("""COMPUTED_VALUE"""),2.0)</f>
        <v>2</v>
      </c>
      <c r="AN1138" s="2" t="str">
        <f>IFERROR(__xludf.DUMMYFUNCTION("""COMPUTED_VALUE"""),"RCEF 23-09-21 Rebidding")</f>
        <v>RCEF 23-09-21 Rebidding</v>
      </c>
      <c r="AO1138" s="2">
        <f>IFERROR(__xludf.DUMMYFUNCTION("""COMPUTED_VALUE"""),1.0)</f>
        <v>1</v>
      </c>
      <c r="AP1138" s="2"/>
      <c r="AQ1138" s="2"/>
      <c r="AR1138" s="2"/>
      <c r="AS1138" s="2"/>
      <c r="AT1138" s="2"/>
      <c r="AU1138" s="2"/>
      <c r="AV1138" s="2"/>
      <c r="AW1138" s="2"/>
      <c r="AX1138" s="2"/>
      <c r="AY1138" s="2"/>
      <c r="AZ1138" s="2"/>
      <c r="BA1138" s="2"/>
      <c r="BB1138" s="2"/>
    </row>
    <row r="1139">
      <c r="A1139" s="2">
        <f>IFERROR(__xludf.DUMMYFUNCTION("""COMPUTED_VALUE"""),1135.0)</f>
        <v>1135</v>
      </c>
      <c r="B1139" s="2" t="str">
        <f>IFERROR(__xludf.DUMMYFUNCTION("""COMPUTED_VALUE"""),"COMPLETED")</f>
        <v>COMPLETED</v>
      </c>
      <c r="C1139" s="74">
        <f>IFERROR(__xludf.DUMMYFUNCTION("""COMPUTED_VALUE"""),45912.0)</f>
        <v>45912</v>
      </c>
      <c r="D1139" s="71" t="str">
        <f>IFERROR(__xludf.DUMMYFUNCTION("""COMPUTED_VALUE"""),"Dumayop Tabban Irrigators Association Inc.")</f>
        <v>Dumayop Tabban Irrigators Association Inc.</v>
      </c>
      <c r="E1139" s="71" t="str">
        <f>IFERROR(__xludf.DUMMYFUNCTION("""COMPUTED_VALUE"""),"Pogonsino, Bagabag, NUEVA VIZCAYA")</f>
        <v>Pogonsino, Bagabag, NUEVA VIZCAYA</v>
      </c>
      <c r="F1139" s="2" t="str">
        <f>IFERROR(__xludf.DUMMYFUNCTION("""COMPUTED_VALUE"""),"MERLITO CLETO")</f>
        <v>MERLITO CLETO</v>
      </c>
      <c r="G1139" s="2">
        <f>IFERROR(__xludf.DUMMYFUNCTION("""COMPUTED_VALUE"""),9.059787219E9)</f>
        <v>9059787219</v>
      </c>
      <c r="H1139" s="2"/>
      <c r="I1139" s="72" t="str">
        <f>IFERROR(__xludf.DUMMYFUNCTION("""COMPUTED_VALUE"""),"REPAIR - TRACTOR")</f>
        <v>REPAIR - TRACTOR</v>
      </c>
      <c r="J1139" s="72" t="str">
        <f>IFERROR(__xludf.DUMMYFUNCTION("""COMPUTED_VALUE"""),"PMS / Check up")</f>
        <v>PMS / Check up</v>
      </c>
      <c r="K1139" s="72" t="str">
        <f>IFERROR(__xludf.DUMMYFUNCTION("""COMPUTED_VALUE"""),"ACS: CRANKSHAFT OIL SEAL AND CYLINDER HEAD GASKET LEAKING")</f>
        <v>ACS: CRANKSHAFT OIL SEAL AND CYLINDER HEAD GASKET LEAKING</v>
      </c>
      <c r="L1139" s="72" t="str">
        <f>IFERROR(__xludf.DUMMYFUNCTION("""COMPUTED_VALUE"""),"ACS: 2ND PMS DONE")</f>
        <v>ACS: 2ND PMS DONE</v>
      </c>
      <c r="M1139" s="2"/>
      <c r="N1139" s="2" t="str">
        <f>IFERROR(__xludf.DUMMYFUNCTION("""COMPUTED_VALUE"""),"PARTS:
OIL FILTER
HYDRAULIC FILTER
SF: 1,500")</f>
        <v>PARTS:
OIL FILTER
HYDRAULIC FILTER
SF: 1,500</v>
      </c>
      <c r="O1139" s="2">
        <f>IFERROR(__xludf.DUMMYFUNCTION("""COMPUTED_VALUE"""),1422.0)</f>
        <v>1422</v>
      </c>
      <c r="P1139" s="2"/>
      <c r="Q1139" s="2" t="str">
        <f>IFERROR(__xludf.DUMMYFUNCTION("""COMPUTED_VALUE"""),"y")</f>
        <v>y</v>
      </c>
      <c r="R1139" s="74">
        <f>IFERROR(__xludf.DUMMYFUNCTION("""COMPUTED_VALUE"""),45912.0)</f>
        <v>45912</v>
      </c>
      <c r="S1139" s="2" t="str">
        <f>IFERROR(__xludf.DUMMYFUNCTION("""COMPUTED_VALUE"""),"ACS/JHP")</f>
        <v>ACS/JHP</v>
      </c>
      <c r="T1139" s="73">
        <f>IFERROR(__xludf.DUMMYFUNCTION("""COMPUTED_VALUE"""),5900.0)</f>
        <v>5900</v>
      </c>
      <c r="U1139" s="73" t="str">
        <f>IFERROR(__xludf.DUMMYFUNCTION("""COMPUTED_VALUE""")," REMITTED ")</f>
        <v>REMITTED</v>
      </c>
      <c r="V1139" s="2"/>
      <c r="W1139" s="2">
        <f>IFERROR(__xludf.DUMMYFUNCTION("""COMPUTED_VALUE"""),1089.0)</f>
        <v>1089</v>
      </c>
      <c r="X1139" s="2">
        <f>IFERROR(__xludf.DUMMYFUNCTION("""COMPUTED_VALUE"""),1621.0)</f>
        <v>1621</v>
      </c>
      <c r="Y1139" s="2"/>
      <c r="Z1139" s="2"/>
      <c r="AA1139" s="2"/>
      <c r="AB1139" s="2"/>
      <c r="AC1139" s="2"/>
      <c r="AD1139" s="2"/>
      <c r="AE1139" s="2"/>
      <c r="AF1139" s="2"/>
      <c r="AG1139" s="2"/>
      <c r="AH1139" s="2"/>
      <c r="AI1139" s="2"/>
      <c r="AJ1139" s="2" t="str">
        <f>IFERROR(__xludf.DUMMYFUNCTION("""COMPUTED_VALUE"""),"Pogonsino")</f>
        <v>Pogonsino</v>
      </c>
      <c r="AK1139" s="2" t="str">
        <f>IFERROR(__xludf.DUMMYFUNCTION("""COMPUTED_VALUE"""),"Bagabag")</f>
        <v>Bagabag</v>
      </c>
      <c r="AL1139" s="2" t="str">
        <f>IFERROR(__xludf.DUMMYFUNCTION("""COMPUTED_VALUE"""),"Nueva Vizcaya")</f>
        <v>Nueva Vizcaya</v>
      </c>
      <c r="AM1139" s="2">
        <f>IFERROR(__xludf.DUMMYFUNCTION("""COMPUTED_VALUE"""),2.0)</f>
        <v>2</v>
      </c>
      <c r="AN1139" s="2" t="str">
        <f>IFERROR(__xludf.DUMMYFUNCTION("""COMPUTED_VALUE"""),"RCEF 24-04-15")</f>
        <v>RCEF 24-04-15</v>
      </c>
      <c r="AO1139" s="2">
        <f>IFERROR(__xludf.DUMMYFUNCTION("""COMPUTED_VALUE"""),6.0)</f>
        <v>6</v>
      </c>
      <c r="AP1139" s="2" t="str">
        <f>IFERROR(__xludf.DUMMYFUNCTION("""COMPUTED_VALUE"""),"FREE PMS")</f>
        <v>FREE PMS</v>
      </c>
      <c r="AQ1139" s="2"/>
      <c r="AR1139" s="2"/>
      <c r="AS1139" s="2"/>
      <c r="AT1139" s="2"/>
      <c r="AU1139" s="2"/>
      <c r="AV1139" s="2"/>
      <c r="AW1139" s="2"/>
      <c r="AX1139" s="2"/>
      <c r="AY1139" s="2"/>
      <c r="AZ1139" s="2"/>
      <c r="BA1139" s="2"/>
      <c r="BB1139" s="2"/>
    </row>
    <row r="1140">
      <c r="A1140" s="2">
        <f>IFERROR(__xludf.DUMMYFUNCTION("""COMPUTED_VALUE"""),1136.0)</f>
        <v>1136</v>
      </c>
      <c r="B1140" s="2" t="str">
        <f>IFERROR(__xludf.DUMMYFUNCTION("""COMPUTED_VALUE"""),"COMPLETED")</f>
        <v>COMPLETED</v>
      </c>
      <c r="C1140" s="74">
        <f>IFERROR(__xludf.DUMMYFUNCTION("""COMPUTED_VALUE"""),45912.0)</f>
        <v>45912</v>
      </c>
      <c r="D1140" s="71" t="str">
        <f>IFERROR(__xludf.DUMMYFUNCTION("""COMPUTED_VALUE"""),"NAGUILIAN IRRIGATORS' ASSOCIATION, INC.")</f>
        <v>NAGUILIAN IRRIGATORS' ASSOCIATION, INC.</v>
      </c>
      <c r="E1140" s="71" t="str">
        <f>IFERROR(__xludf.DUMMYFUNCTION("""COMPUTED_VALUE"""),"Naguilian, Lal-lo, CAGAYAN")</f>
        <v>Naguilian, Lal-lo, CAGAYAN</v>
      </c>
      <c r="F1140" s="2" t="str">
        <f>IFERROR(__xludf.DUMMYFUNCTION("""COMPUTED_VALUE"""),"DIOSDADO URMATAM")</f>
        <v>DIOSDADO URMATAM</v>
      </c>
      <c r="G1140" s="2">
        <f>IFERROR(__xludf.DUMMYFUNCTION("""COMPUTED_VALUE"""),9.061000932E9)</f>
        <v>9061000932</v>
      </c>
      <c r="H1140" s="2"/>
      <c r="I1140" s="72" t="str">
        <f>IFERROR(__xludf.DUMMYFUNCTION("""COMPUTED_VALUE"""),"SPARE PARTS ACQUISITION")</f>
        <v>SPARE PARTS ACQUISITION</v>
      </c>
      <c r="J1140" s="72" t="str">
        <f>IFERROR(__xludf.DUMMYFUNCTION("""COMPUTED_VALUE"""),"PARTS REQUEST")</f>
        <v>PARTS REQUEST</v>
      </c>
      <c r="K1140" s="72" t="str">
        <f>IFERROR(__xludf.DUMMYFUNCTION("""COMPUTED_VALUE"""),"MYK:  FRONT AXLE OIL SEAL for confrimation of CFG")</f>
        <v>MYK:  FRONT AXLE OIL SEAL for confrimation of CFG</v>
      </c>
      <c r="L1140" s="72" t="str">
        <f>IFERROR(__xludf.DUMMYFUNCTION("""COMPUTED_VALUE"""),"FARMER: Good am,ma'am saka n lang kami bumili oil seal,Kasi kinalas namin at iibinalik ulit,ngayon di naman n  tumagas oil,")</f>
        <v>FARMER: Good am,ma'am saka n lang kami bumili oil seal,Kasi kinalas namin at iibinalik ulit,ngayon di naman n  tumagas oil,</v>
      </c>
      <c r="M1140" s="2"/>
      <c r="N1140" s="2"/>
      <c r="O1140" s="2" t="str">
        <f>IFERROR(__xludf.DUMMYFUNCTION("""COMPUTED_VALUE"""),"N/A")</f>
        <v>N/A</v>
      </c>
      <c r="P1140" s="2"/>
      <c r="Q1140" s="2" t="str">
        <f>IFERROR(__xludf.DUMMYFUNCTION("""COMPUTED_VALUE"""),"N")</f>
        <v>N</v>
      </c>
      <c r="R1140" s="74">
        <f>IFERROR(__xludf.DUMMYFUNCTION("""COMPUTED_VALUE"""),45918.0)</f>
        <v>45918</v>
      </c>
      <c r="S1140" s="2" t="str">
        <f>IFERROR(__xludf.DUMMYFUNCTION("""COMPUTED_VALUE"""),"MYKEE")</f>
        <v>MYKEE</v>
      </c>
      <c r="T1140" s="73" t="str">
        <f>IFERROR(__xludf.DUMMYFUNCTION("""COMPUTED_VALUE""")," N/A ")</f>
        <v>N/A</v>
      </c>
      <c r="U1140" s="73" t="str">
        <f>IFERROR(__xludf.DUMMYFUNCTION("""COMPUTED_VALUE""")," NO CHARGE ")</f>
        <v>NO CHARGE</v>
      </c>
      <c r="V1140" s="2"/>
      <c r="W1140" s="2" t="str">
        <f>IFERROR(__xludf.DUMMYFUNCTION("""COMPUTED_VALUE"""),"N/A")</f>
        <v>N/A</v>
      </c>
      <c r="X1140" s="2" t="str">
        <f>IFERROR(__xludf.DUMMYFUNCTION("""COMPUTED_VALUE"""),"N/A")</f>
        <v>N/A</v>
      </c>
      <c r="Y1140" s="2"/>
      <c r="Z1140" s="2"/>
      <c r="AA1140" s="2"/>
      <c r="AB1140" s="2"/>
      <c r="AC1140" s="2"/>
      <c r="AD1140" s="2"/>
      <c r="AE1140" s="2"/>
      <c r="AF1140" s="2"/>
      <c r="AG1140" s="2"/>
      <c r="AH1140" s="2"/>
      <c r="AI1140" s="2"/>
      <c r="AJ1140" s="2" t="str">
        <f>IFERROR(__xludf.DUMMYFUNCTION("""COMPUTED_VALUE"""),"Naguilian")</f>
        <v>Naguilian</v>
      </c>
      <c r="AK1140" s="2" t="str">
        <f>IFERROR(__xludf.DUMMYFUNCTION("""COMPUTED_VALUE"""),"Lal-Lo")</f>
        <v>Lal-Lo</v>
      </c>
      <c r="AL1140" s="2" t="str">
        <f>IFERROR(__xludf.DUMMYFUNCTION("""COMPUTED_VALUE"""),"Cagayan")</f>
        <v>Cagayan</v>
      </c>
      <c r="AM1140" s="2">
        <f>IFERROR(__xludf.DUMMYFUNCTION("""COMPUTED_VALUE"""),2.0)</f>
        <v>2</v>
      </c>
      <c r="AN1140" s="2" t="str">
        <f>IFERROR(__xludf.DUMMYFUNCTION("""COMPUTED_VALUE"""),"RCEF 23-09-21 Rebidding")</f>
        <v>RCEF 23-09-21 Rebidding</v>
      </c>
      <c r="AO1140" s="2">
        <f>IFERROR(__xludf.DUMMYFUNCTION("""COMPUTED_VALUE"""),9.0)</f>
        <v>9</v>
      </c>
      <c r="AP1140" s="2"/>
      <c r="AQ1140" s="2"/>
      <c r="AR1140" s="2"/>
      <c r="AS1140" s="2"/>
      <c r="AT1140" s="2"/>
      <c r="AU1140" s="2"/>
      <c r="AV1140" s="2"/>
      <c r="AW1140" s="2"/>
      <c r="AX1140" s="2"/>
      <c r="AY1140" s="2"/>
      <c r="AZ1140" s="2"/>
      <c r="BA1140" s="2"/>
      <c r="BB1140" s="2"/>
    </row>
    <row r="1141">
      <c r="A1141" s="2">
        <f>IFERROR(__xludf.DUMMYFUNCTION("""COMPUTED_VALUE"""),1137.0)</f>
        <v>1137</v>
      </c>
      <c r="B1141" s="2" t="str">
        <f>IFERROR(__xludf.DUMMYFUNCTION("""COMPUTED_VALUE"""),"COMPLETED")</f>
        <v>COMPLETED</v>
      </c>
      <c r="C1141" s="74">
        <f>IFERROR(__xludf.DUMMYFUNCTION("""COMPUTED_VALUE"""),45915.0)</f>
        <v>45915</v>
      </c>
      <c r="D1141" s="71" t="str">
        <f>IFERROR(__xludf.DUMMYFUNCTION("""COMPUTED_VALUE"""),"Maspasan Farmers Association")</f>
        <v>Maspasan Farmers Association</v>
      </c>
      <c r="E1141" s="71" t="str">
        <f>IFERROR(__xludf.DUMMYFUNCTION("""COMPUTED_VALUE"""),"Maspasan, Calinog, ILOILO")</f>
        <v>Maspasan, Calinog, ILOILO</v>
      </c>
      <c r="F1141" s="2" t="str">
        <f>IFERROR(__xludf.DUMMYFUNCTION("""COMPUTED_VALUE"""),"Ninfa G. Sumagpao")</f>
        <v>Ninfa G. Sumagpao</v>
      </c>
      <c r="G1141" s="2">
        <f>IFERROR(__xludf.DUMMYFUNCTION("""COMPUTED_VALUE"""),9.750020005E9)</f>
        <v>9750020005</v>
      </c>
      <c r="H1141" s="2"/>
      <c r="I1141" s="72" t="str">
        <f>IFERROR(__xludf.DUMMYFUNCTION("""COMPUTED_VALUE"""),"SPARE PARTS ACQUISITION")</f>
        <v>SPARE PARTS ACQUISITION</v>
      </c>
      <c r="J1141" s="72"/>
      <c r="K1141" s="72" t="str">
        <f>IFERROR(__xludf.DUMMYFUNCTION("""COMPUTED_VALUE"""),"MYK: ORDER 2 OIL FILTER")</f>
        <v>MYK: ORDER 2 OIL FILTER</v>
      </c>
      <c r="L1141" s="72" t="str">
        <f>IFERROR(__xludf.DUMMYFUNCTION("""COMPUTED_VALUE"""),"QUOTATION SENT:PAID:FOR SHIPPING: SHIPPED")</f>
        <v>QUOTATION SENT:PAID:FOR SHIPPING: SHIPPED</v>
      </c>
      <c r="M1141" s="2"/>
      <c r="N1141" s="2" t="str">
        <f>IFERROR(__xludf.DUMMYFUNCTION("""COMPUTED_VALUE"""),"PARTS: 
2- OIL FILTER
")</f>
        <v>PARTS: 
2- OIL FILTER
</v>
      </c>
      <c r="O1141" s="2" t="str">
        <f>IFERROR(__xludf.DUMMYFUNCTION("""COMPUTED_VALUE"""),"N/A")</f>
        <v>N/A</v>
      </c>
      <c r="P1141" s="2"/>
      <c r="Q1141" s="2"/>
      <c r="R1141" s="74">
        <f>IFERROR(__xludf.DUMMYFUNCTION("""COMPUTED_VALUE"""),45919.0)</f>
        <v>45919</v>
      </c>
      <c r="S1141" s="2" t="str">
        <f>IFERROR(__xludf.DUMMYFUNCTION("""COMPUTED_VALUE"""),"MYKEE/CTF")</f>
        <v>MYKEE/CTF</v>
      </c>
      <c r="T1141" s="73">
        <f>IFERROR(__xludf.DUMMYFUNCTION("""COMPUTED_VALUE"""),3600.0)</f>
        <v>3600</v>
      </c>
      <c r="U1141" s="73" t="str">
        <f>IFERROR(__xludf.DUMMYFUNCTION("""COMPUTED_VALUE""")," REMITTED ")</f>
        <v>REMITTED</v>
      </c>
      <c r="V1141" s="2"/>
      <c r="W1141" s="2">
        <f>IFERROR(__xludf.DUMMYFUNCTION("""COMPUTED_VALUE"""),1713.0)</f>
        <v>1713</v>
      </c>
      <c r="X1141" s="2"/>
      <c r="Y1141" s="2"/>
      <c r="Z1141" s="2"/>
      <c r="AA1141" s="2"/>
      <c r="AB1141" s="2"/>
      <c r="AC1141" s="2"/>
      <c r="AD1141" s="2"/>
      <c r="AE1141" s="2"/>
      <c r="AF1141" s="2"/>
      <c r="AG1141" s="2"/>
      <c r="AH1141" s="2"/>
      <c r="AI1141" s="2"/>
      <c r="AJ1141" s="2" t="str">
        <f>IFERROR(__xludf.DUMMYFUNCTION("""COMPUTED_VALUE"""),"Maspasan")</f>
        <v>Maspasan</v>
      </c>
      <c r="AK1141" s="2" t="str">
        <f>IFERROR(__xludf.DUMMYFUNCTION("""COMPUTED_VALUE"""),"Calinog")</f>
        <v>Calinog</v>
      </c>
      <c r="AL1141" s="2" t="str">
        <f>IFERROR(__xludf.DUMMYFUNCTION("""COMPUTED_VALUE"""),"Iloilo")</f>
        <v>Iloilo</v>
      </c>
      <c r="AM1141" s="2">
        <f>IFERROR(__xludf.DUMMYFUNCTION("""COMPUTED_VALUE"""),6.0)</f>
        <v>6</v>
      </c>
      <c r="AN1141" s="2" t="str">
        <f>IFERROR(__xludf.DUMMYFUNCTION("""COMPUTED_VALUE"""),"RCEF 23-09-21 Rebidding")</f>
        <v>RCEF 23-09-21 Rebidding</v>
      </c>
      <c r="AO1141" s="2">
        <f>IFERROR(__xludf.DUMMYFUNCTION("""COMPUTED_VALUE"""),4.0)</f>
        <v>4</v>
      </c>
      <c r="AP1141" s="2"/>
      <c r="AQ1141" s="2"/>
      <c r="AR1141" s="2"/>
      <c r="AS1141" s="2"/>
      <c r="AT1141" s="2"/>
      <c r="AU1141" s="2"/>
      <c r="AV1141" s="2"/>
      <c r="AW1141" s="2"/>
      <c r="AX1141" s="2"/>
      <c r="AY1141" s="2"/>
      <c r="AZ1141" s="2"/>
      <c r="BA1141" s="2"/>
      <c r="BB1141" s="2"/>
    </row>
    <row r="1142">
      <c r="A1142" s="2">
        <f>IFERROR(__xludf.DUMMYFUNCTION("""COMPUTED_VALUE"""),1138.0)</f>
        <v>1138</v>
      </c>
      <c r="B1142" s="2" t="str">
        <f>IFERROR(__xludf.DUMMYFUNCTION("""COMPUTED_VALUE"""),"COMPLETED")</f>
        <v>COMPLETED</v>
      </c>
      <c r="C1142" s="74">
        <f>IFERROR(__xludf.DUMMYFUNCTION("""COMPUTED_VALUE"""),45915.0)</f>
        <v>45915</v>
      </c>
      <c r="D1142" s="71" t="str">
        <f>IFERROR(__xludf.DUMMYFUNCTION("""COMPUTED_VALUE"""),"Sablayan Farmers and Market Vendors Multi-Purpose Cooperative")</f>
        <v>Sablayan Farmers and Market Vendors Multi-Purpose Cooperative</v>
      </c>
      <c r="E1142" s="71" t="str">
        <f>IFERROR(__xludf.DUMMYFUNCTION("""COMPUTED_VALUE"""),"Buenavista, Sablayan, OCCIDENTAL MINDORO")</f>
        <v>Buenavista, Sablayan, OCCIDENTAL MINDORO</v>
      </c>
      <c r="F1142" s="2" t="str">
        <f>IFERROR(__xludf.DUMMYFUNCTION("""COMPUTED_VALUE"""),"Ley G. Balsamo")</f>
        <v>Ley G. Balsamo</v>
      </c>
      <c r="G1142" s="2">
        <f>IFERROR(__xludf.DUMMYFUNCTION("""COMPUTED_VALUE"""),9.462064801E9)</f>
        <v>9462064801</v>
      </c>
      <c r="H1142" s="2"/>
      <c r="I1142" s="72" t="str">
        <f>IFERROR(__xludf.DUMMYFUNCTION("""COMPUTED_VALUE"""),"REPAIR - TRACTOR")</f>
        <v>REPAIR - TRACTOR</v>
      </c>
      <c r="J1142" s="72" t="str">
        <f>IFERROR(__xludf.DUMMYFUNCTION("""COMPUTED_VALUE"""),"Inspection")</f>
        <v>Inspection</v>
      </c>
      <c r="K1142" s="72" t="str">
        <f>IFERROR(__xludf.DUMMYFUNCTION("""COMPUTED_VALUE"""),"KFS: Sira Hydraulic ng Tractor")</f>
        <v>KFS: Sira Hydraulic ng Tractor</v>
      </c>
      <c r="L1142" s="72" t="str">
        <f>IFERROR(__xludf.DUMMYFUNCTION("""COMPUTED_VALUE"""),"RCG: UMAPAW LANG ANG HYDRAULIC SA TAKIP.")</f>
        <v>RCG: UMAPAW LANG ANG HYDRAULIC SA TAKIP.</v>
      </c>
      <c r="M1142" s="2"/>
      <c r="N1142" s="2"/>
      <c r="O1142" s="2" t="str">
        <f>IFERROR(__xludf.DUMMYFUNCTION("""COMPUTED_VALUE"""),"N/A")</f>
        <v>N/A</v>
      </c>
      <c r="P1142" s="2"/>
      <c r="Q1142" s="2"/>
      <c r="R1142" s="74">
        <f>IFERROR(__xludf.DUMMYFUNCTION("""COMPUTED_VALUE"""),45985.0)</f>
        <v>45985</v>
      </c>
      <c r="S1142" s="2" t="str">
        <f>IFERROR(__xludf.DUMMYFUNCTION("""COMPUTED_VALUE"""),"RCG/RBS")</f>
        <v>RCG/RBS</v>
      </c>
      <c r="T1142" s="73" t="str">
        <f>IFERROR(__xludf.DUMMYFUNCTION("""COMPUTED_VALUE""")," N/A ")</f>
        <v>N/A</v>
      </c>
      <c r="U1142" s="73" t="str">
        <f>IFERROR(__xludf.DUMMYFUNCTION("""COMPUTED_VALUE""")," NO CHARGE ")</f>
        <v>NO CHARGE</v>
      </c>
      <c r="V1142" s="2"/>
      <c r="W1142" s="2" t="str">
        <f>IFERROR(__xludf.DUMMYFUNCTION("""COMPUTED_VALUE"""),"N/A")</f>
        <v>N/A</v>
      </c>
      <c r="X1142" s="2" t="str">
        <f>IFERROR(__xludf.DUMMYFUNCTION("""COMPUTED_VALUE"""),"N/A")</f>
        <v>N/A</v>
      </c>
      <c r="Y1142" s="2"/>
      <c r="Z1142" s="2"/>
      <c r="AA1142" s="2"/>
      <c r="AB1142" s="2"/>
      <c r="AC1142" s="2"/>
      <c r="AD1142" s="2"/>
      <c r="AE1142" s="2"/>
      <c r="AF1142" s="2"/>
      <c r="AG1142" s="2"/>
      <c r="AH1142" s="2"/>
      <c r="AI1142" s="2"/>
      <c r="AJ1142" s="2" t="str">
        <f>IFERROR(__xludf.DUMMYFUNCTION("""COMPUTED_VALUE"""),"Buenavista")</f>
        <v>Buenavista</v>
      </c>
      <c r="AK1142" s="2" t="str">
        <f>IFERROR(__xludf.DUMMYFUNCTION("""COMPUTED_VALUE"""),"Sablayan")</f>
        <v>Sablayan</v>
      </c>
      <c r="AL1142" s="2" t="str">
        <f>IFERROR(__xludf.DUMMYFUNCTION("""COMPUTED_VALUE"""),"Occidental Mindoro")</f>
        <v>Occidental Mindoro</v>
      </c>
      <c r="AM1142" s="2" t="str">
        <f>IFERROR(__xludf.DUMMYFUNCTION("""COMPUTED_VALUE"""),"4B")</f>
        <v>4B</v>
      </c>
      <c r="AN1142" s="2" t="str">
        <f>IFERROR(__xludf.DUMMYFUNCTION("""COMPUTED_VALUE"""),"Repeat Order")</f>
        <v>Repeat Order</v>
      </c>
      <c r="AO1142" s="2">
        <f>IFERROR(__xludf.DUMMYFUNCTION("""COMPUTED_VALUE"""),7.0)</f>
        <v>7</v>
      </c>
      <c r="AP1142" s="2" t="str">
        <f>IFERROR(__xludf.DUMMYFUNCTION("""COMPUTED_VALUE"""),"FREE PMS")</f>
        <v>FREE PMS</v>
      </c>
      <c r="AQ1142" s="2"/>
      <c r="AR1142" s="2"/>
      <c r="AS1142" s="2"/>
      <c r="AT1142" s="2"/>
      <c r="AU1142" s="2"/>
      <c r="AV1142" s="2"/>
      <c r="AW1142" s="2"/>
      <c r="AX1142" s="2"/>
      <c r="AY1142" s="2"/>
      <c r="AZ1142" s="2"/>
      <c r="BA1142" s="2"/>
      <c r="BB1142" s="2"/>
    </row>
    <row r="1143">
      <c r="A1143" s="2">
        <f>IFERROR(__xludf.DUMMYFUNCTION("""COMPUTED_VALUE"""),1139.0)</f>
        <v>1139</v>
      </c>
      <c r="B1143" s="2" t="str">
        <f>IFERROR(__xludf.DUMMYFUNCTION("""COMPUTED_VALUE"""),"PENDING")</f>
        <v>PENDING</v>
      </c>
      <c r="C1143" s="74">
        <f>IFERROR(__xludf.DUMMYFUNCTION("""COMPUTED_VALUE"""),45915.0)</f>
        <v>45915</v>
      </c>
      <c r="D1143" s="71" t="str">
        <f>IFERROR(__xludf.DUMMYFUNCTION("""COMPUTED_VALUE"""),"Municipal Government Unit of Pio Duran")</f>
        <v>Municipal Government Unit of Pio Duran</v>
      </c>
      <c r="E1143" s="71" t="str">
        <f>IFERROR(__xludf.DUMMYFUNCTION("""COMPUTED_VALUE"""),"Caratagan, Pio Duran, ALBAY")</f>
        <v>Caratagan, Pio Duran, ALBAY</v>
      </c>
      <c r="F1143" s="2" t="str">
        <f>IFERROR(__xludf.DUMMYFUNCTION("""COMPUTED_VALUE"""),"Aaron Israel Losabia")</f>
        <v>Aaron Israel Losabia</v>
      </c>
      <c r="G1143" s="2"/>
      <c r="H1143" s="2"/>
      <c r="I1143" s="72" t="str">
        <f>IFERROR(__xludf.DUMMYFUNCTION("""COMPUTED_VALUE"""),"SPARE PARTS ACQUISITION")</f>
        <v>SPARE PARTS ACQUISITION</v>
      </c>
      <c r="J1143" s="72" t="str">
        <f>IFERROR(__xludf.DUMMYFUNCTION("""COMPUTED_VALUE"""),"PARTS REQUEST")</f>
        <v>PARTS REQUEST</v>
      </c>
      <c r="K1143" s="72" t="str">
        <f>IFERROR(__xludf.DUMMYFUNCTION("""COMPUTED_VALUE"""),"JTT: JOYSTICK ASSY 
MYK: 1/29/26 PART FOR QUOTATION
4- OIL SEAL TA000041359A
4- OIL SEAL TC60110000A3
4- OIL SEAL FE78010000B
4- REAR AXLE OIL SEAL TA00033423A
")</f>
        <v>JTT: JOYSTICK ASSY 
MYK: 1/29/26 PART FOR QUOTATION
4- OIL SEAL TA000041359A
4- OIL SEAL TC60110000A3
4- OIL SEAL FE78010000B
4- REAR AXLE OIL SEAL TA00033423A
</v>
      </c>
      <c r="L1143" s="72" t="str">
        <f>IFERROR(__xludf.DUMMYFUNCTION("""COMPUTED_VALUE"""),"QUOTATION SENT: PARTS AVAILABLE
SENT NEW QUOTATION- WAITING FOR NEW CHECK
1/29/26 -  SENT NEW QUOTATION - WATING SA CHECK")</f>
        <v>QUOTATION SENT: PARTS AVAILABLE
SENT NEW QUOTATION- WAITING FOR NEW CHECK
1/29/26 -  SENT NEW QUOTATION - WATING SA CHECK</v>
      </c>
      <c r="M1143" s="2" t="str">
        <f>IFERROR(__xludf.DUMMYFUNCTION("""COMPUTED_VALUE"""),"4- OIL SEAL TA000041359A
4- OIL SEAL TC60110000A3
4- OIL SEAL FE78010000B
4- REAR AXLE OIL SEAL TA00033423A")</f>
        <v>4- OIL SEAL TA000041359A
4- OIL SEAL TC60110000A3
4- OIL SEAL FE78010000B
4- REAR AXLE OIL SEAL TA00033423A</v>
      </c>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t="str">
        <f>IFERROR(__xludf.DUMMYFUNCTION("""COMPUTED_VALUE"""),"Caratagan")</f>
        <v>Caratagan</v>
      </c>
      <c r="AK1143" s="2" t="str">
        <f>IFERROR(__xludf.DUMMYFUNCTION("""COMPUTED_VALUE"""),"Pio Duran")</f>
        <v>Pio Duran</v>
      </c>
      <c r="AL1143" s="2" t="str">
        <f>IFERROR(__xludf.DUMMYFUNCTION("""COMPUTED_VALUE"""),"Albay")</f>
        <v>Albay</v>
      </c>
      <c r="AM1143" s="2">
        <f>IFERROR(__xludf.DUMMYFUNCTION("""COMPUTED_VALUE"""),5.0)</f>
        <v>5</v>
      </c>
      <c r="AN1143" s="2" t="str">
        <f>IFERROR(__xludf.DUMMYFUNCTION("""COMPUTED_VALUE"""),"RCEF 24-04-15")</f>
        <v>RCEF 24-04-15</v>
      </c>
      <c r="AO1143" s="2">
        <f>IFERROR(__xludf.DUMMYFUNCTION("""COMPUTED_VALUE"""),7.0)</f>
        <v>7</v>
      </c>
      <c r="AP1143" s="2" t="str">
        <f>IFERROR(__xludf.DUMMYFUNCTION("""COMPUTED_VALUE"""),"FREE PMS")</f>
        <v>FREE PMS</v>
      </c>
      <c r="AQ1143" s="2"/>
      <c r="AR1143" s="2"/>
      <c r="AS1143" s="2"/>
      <c r="AT1143" s="2"/>
      <c r="AU1143" s="2"/>
      <c r="AV1143" s="2"/>
      <c r="AW1143" s="2"/>
      <c r="AX1143" s="2"/>
      <c r="AY1143" s="2"/>
      <c r="AZ1143" s="2"/>
      <c r="BA1143" s="2"/>
      <c r="BB1143" s="2"/>
    </row>
    <row r="1144">
      <c r="A1144" s="2">
        <f>IFERROR(__xludf.DUMMYFUNCTION("""COMPUTED_VALUE"""),1140.0)</f>
        <v>1140</v>
      </c>
      <c r="B1144" s="2" t="str">
        <f>IFERROR(__xludf.DUMMYFUNCTION("""COMPUTED_VALUE"""),"COMPLETED")</f>
        <v>COMPLETED</v>
      </c>
      <c r="C1144" s="74">
        <f>IFERROR(__xludf.DUMMYFUNCTION("""COMPUTED_VALUE"""),45916.0)</f>
        <v>45916</v>
      </c>
      <c r="D1144" s="71" t="str">
        <f>IFERROR(__xludf.DUMMYFUNCTION("""COMPUTED_VALUE"""),"CULAT IRRIGATORS FARMERS ASSOCIATION.")</f>
        <v>CULAT IRRIGATORS FARMERS ASSOCIATION.</v>
      </c>
      <c r="E1144" s="71" t="str">
        <f>IFERROR(__xludf.DUMMYFUNCTION("""COMPUTED_VALUE"""),"Culat, Casiguran, AURORA")</f>
        <v>Culat, Casiguran, AURORA</v>
      </c>
      <c r="F1144" s="2" t="str">
        <f>IFERROR(__xludf.DUMMYFUNCTION("""COMPUTED_VALUE"""),"REYNALDO TORRE/ROSALINA T.CURITANA")</f>
        <v>REYNALDO TORRE/ROSALINA T.CURITANA</v>
      </c>
      <c r="G1144" s="2">
        <f>IFERROR(__xludf.DUMMYFUNCTION("""COMPUTED_VALUE"""),9.39613209E9)</f>
        <v>9396132090</v>
      </c>
      <c r="H1144" s="2">
        <f>IFERROR(__xludf.DUMMYFUNCTION("""COMPUTED_VALUE"""),32.17)</f>
        <v>32.17</v>
      </c>
      <c r="I1144" s="72" t="str">
        <f>IFERROR(__xludf.DUMMYFUNCTION("""COMPUTED_VALUE"""),"PMS")</f>
        <v>PMS</v>
      </c>
      <c r="J1144" s="72"/>
      <c r="K1144" s="72" t="str">
        <f>IFERROR(__xludf.DUMMYFUNCTION("""COMPUTED_VALUE"""),"JHP: 2ND PMS
MYK: NALUBOG DAW ITO SA BAHA AS PER FCA")</f>
        <v>JHP: 2ND PMS
MYK: NALUBOG DAW ITO SA BAHA AS PER FCA</v>
      </c>
      <c r="L1144" s="72" t="str">
        <f>IFERROR(__xludf.DUMMYFUNCTION("""COMPUTED_VALUE"""),"ACS: 2ND PMS DONE")</f>
        <v>ACS: 2ND PMS DONE</v>
      </c>
      <c r="M1144" s="2"/>
      <c r="N1144" s="2" t="str">
        <f>IFERROR(__xludf.DUMMYFUNCTION("""COMPUTED_VALUE"""),"PARTS:
OIL FILTER
HYDRAULIC FILTER
LABOR: 2,500")</f>
        <v>PARTS:
OIL FILTER
HYDRAULIC FILTER
LABOR: 2,500</v>
      </c>
      <c r="O1144" s="2">
        <f>IFERROR(__xludf.DUMMYFUNCTION("""COMPUTED_VALUE"""),1431.0)</f>
        <v>1431</v>
      </c>
      <c r="P1144" s="2"/>
      <c r="Q1144" s="2" t="str">
        <f>IFERROR(__xludf.DUMMYFUNCTION("""COMPUTED_VALUE"""),"y")</f>
        <v>y</v>
      </c>
      <c r="R1144" s="74">
        <f>IFERROR(__xludf.DUMMYFUNCTION("""COMPUTED_VALUE"""),45953.0)</f>
        <v>45953</v>
      </c>
      <c r="S1144" s="2" t="str">
        <f>IFERROR(__xludf.DUMMYFUNCTION("""COMPUTED_VALUE"""),"JHP/ACS")</f>
        <v>JHP/ACS</v>
      </c>
      <c r="T1144" s="73">
        <f>IFERROR(__xludf.DUMMYFUNCTION("""COMPUTED_VALUE"""),6940.0)</f>
        <v>6940</v>
      </c>
      <c r="U1144" s="73" t="str">
        <f>IFERROR(__xludf.DUMMYFUNCTION("""COMPUTED_VALUE""")," REMITTED ")</f>
        <v>REMITTED</v>
      </c>
      <c r="V1144" s="2"/>
      <c r="W1144" s="2">
        <f>IFERROR(__xludf.DUMMYFUNCTION("""COMPUTED_VALUE"""),1095.0)</f>
        <v>1095</v>
      </c>
      <c r="X1144" s="2">
        <f>IFERROR(__xludf.DUMMYFUNCTION("""COMPUTED_VALUE"""),1626.0)</f>
        <v>1626</v>
      </c>
      <c r="Y1144" s="2"/>
      <c r="Z1144" s="2"/>
      <c r="AA1144" s="2"/>
      <c r="AB1144" s="2"/>
      <c r="AC1144" s="2"/>
      <c r="AD1144" s="2"/>
      <c r="AE1144" s="2"/>
      <c r="AF1144" s="2"/>
      <c r="AG1144" s="2"/>
      <c r="AH1144" s="2"/>
      <c r="AI1144" s="2"/>
      <c r="AJ1144" s="2" t="str">
        <f>IFERROR(__xludf.DUMMYFUNCTION("""COMPUTED_VALUE"""),"Culat")</f>
        <v>Culat</v>
      </c>
      <c r="AK1144" s="2" t="str">
        <f>IFERROR(__xludf.DUMMYFUNCTION("""COMPUTED_VALUE"""),"Casiguran")</f>
        <v>Casiguran</v>
      </c>
      <c r="AL1144" s="2" t="str">
        <f>IFERROR(__xludf.DUMMYFUNCTION("""COMPUTED_VALUE"""),"Aurora")</f>
        <v>Aurora</v>
      </c>
      <c r="AM1144" s="2">
        <f>IFERROR(__xludf.DUMMYFUNCTION("""COMPUTED_VALUE"""),3.0)</f>
        <v>3</v>
      </c>
      <c r="AN1144" s="2" t="str">
        <f>IFERROR(__xludf.DUMMYFUNCTION("""COMPUTED_VALUE"""),"RCEF 23-09-21 Rebidding")</f>
        <v>RCEF 23-09-21 Rebidding</v>
      </c>
      <c r="AO1144" s="2">
        <f>IFERROR(__xludf.DUMMYFUNCTION("""COMPUTED_VALUE"""),3.0)</f>
        <v>3</v>
      </c>
      <c r="AP1144" s="2"/>
      <c r="AQ1144" s="2"/>
      <c r="AR1144" s="2"/>
      <c r="AS1144" s="2"/>
      <c r="AT1144" s="2"/>
      <c r="AU1144" s="2"/>
      <c r="AV1144" s="2"/>
      <c r="AW1144" s="2"/>
      <c r="AX1144" s="2"/>
      <c r="AY1144" s="2"/>
      <c r="AZ1144" s="2"/>
      <c r="BA1144" s="2"/>
      <c r="BB1144" s="2"/>
    </row>
    <row r="1145">
      <c r="A1145" s="2">
        <f>IFERROR(__xludf.DUMMYFUNCTION("""COMPUTED_VALUE"""),1141.0)</f>
        <v>1141</v>
      </c>
      <c r="B1145" s="2" t="str">
        <f>IFERROR(__xludf.DUMMYFUNCTION("""COMPUTED_VALUE"""),"COMPLETED")</f>
        <v>COMPLETED</v>
      </c>
      <c r="C1145" s="74">
        <f>IFERROR(__xludf.DUMMYFUNCTION("""COMPUTED_VALUE"""),45916.0)</f>
        <v>45916</v>
      </c>
      <c r="D1145" s="71" t="str">
        <f>IFERROR(__xludf.DUMMYFUNCTION("""COMPUTED_VALUE"""),"BANCAGAN NAGUILIAN IRRIGATORS ASOCIATION INC.")</f>
        <v>BANCAGAN NAGUILIAN IRRIGATORS ASOCIATION INC.</v>
      </c>
      <c r="E1145" s="71" t="str">
        <f>IFERROR(__xludf.DUMMYFUNCTION("""COMPUTED_VALUE"""),"Bancagan, Naguilian, LA UNION")</f>
        <v>Bancagan, Naguilian, LA UNION</v>
      </c>
      <c r="F1145" s="2" t="str">
        <f>IFERROR(__xludf.DUMMYFUNCTION("""COMPUTED_VALUE"""),"Edgar G Espunueva ")</f>
        <v>Edgar G Espunueva </v>
      </c>
      <c r="G1145" s="2" t="str">
        <f>IFERROR(__xludf.DUMMYFUNCTION("""COMPUTED_VALUE"""),"0936 265 5713")</f>
        <v>0936 265 5713</v>
      </c>
      <c r="H1145" s="2">
        <f>IFERROR(__xludf.DUMMYFUNCTION("""COMPUTED_VALUE"""),361.9)</f>
        <v>361.9</v>
      </c>
      <c r="I1145" s="72" t="str">
        <f>IFERROR(__xludf.DUMMYFUNCTION("""COMPUTED_VALUE"""),"REPAIR - TRACTOR")</f>
        <v>REPAIR - TRACTOR</v>
      </c>
      <c r="J1145" s="72" t="str">
        <f>IFERROR(__xludf.DUMMYFUNCTION("""COMPUTED_VALUE"""),"CHECK UP/ REPAIR")</f>
        <v>CHECK UP/ REPAIR</v>
      </c>
      <c r="K1145" s="72" t="str">
        <f>IFERROR(__xludf.DUMMYFUNCTION("""COMPUTED_VALUE"""),"MYK:Clutch lining /stop light switch/1pc signal right side &amp;adjust break.and pki check n dun po ung starter kc Minsan pumapalya
PARTS:
CLUTCH DISC ASSY
STOP LIGHT SWITCH
1PC SIGNAL RIGHT SIDE")</f>
        <v>MYK:Clutch lining /stop light switch/1pc signal right side &amp;adjust break.and pki check n dun po ung starter kc Minsan pumapalya
PARTS:
CLUTCH DISC ASSY
STOP LIGHT SWITCH
1PC SIGNAL RIGHT SIDE</v>
      </c>
      <c r="L1145" s="72" t="str">
        <f>IFERROR(__xludf.DUMMYFUNCTION("""COMPUTED_VALUE"""),"ACS:  MALINIS ANG CLUTCH LINING AT 2ND CHANGE OIL")</f>
        <v>ACS:  MALINIS ANG CLUTCH LINING AT 2ND CHANGE OIL</v>
      </c>
      <c r="M1145" s="2"/>
      <c r="N1145" s="2" t="str">
        <f>IFERROR(__xludf.DUMMYFUNCTION("""COMPUTED_VALUE"""),"PARTS:
HYDRAULIC FILTER
SERVICE FEE: 2,500")</f>
        <v>PARTS:
HYDRAULIC FILTER
SERVICE FEE: 2,500</v>
      </c>
      <c r="O1145" s="2">
        <f>IFERROR(__xludf.DUMMYFUNCTION("""COMPUTED_VALUE"""),1426.0)</f>
        <v>1426</v>
      </c>
      <c r="P1145" s="2"/>
      <c r="Q1145" s="2" t="str">
        <f>IFERROR(__xludf.DUMMYFUNCTION("""COMPUTED_VALUE"""),"y")</f>
        <v>y</v>
      </c>
      <c r="R1145" s="74">
        <f>IFERROR(__xludf.DUMMYFUNCTION("""COMPUTED_VALUE"""),45930.0)</f>
        <v>45930</v>
      </c>
      <c r="S1145" s="2" t="str">
        <f>IFERROR(__xludf.DUMMYFUNCTION("""COMPUTED_VALUE"""),"JHP/ACS")</f>
        <v>JHP/ACS</v>
      </c>
      <c r="T1145" s="73">
        <f>IFERROR(__xludf.DUMMYFUNCTION("""COMPUTED_VALUE"""),5300.0)</f>
        <v>5300</v>
      </c>
      <c r="U1145" s="73" t="str">
        <f>IFERROR(__xludf.DUMMYFUNCTION("""COMPUTED_VALUE""")," REMITTED ")</f>
        <v>REMITTED</v>
      </c>
      <c r="V1145" s="2"/>
      <c r="W1145" s="2">
        <f>IFERROR(__xludf.DUMMYFUNCTION("""COMPUTED_VALUE"""),1091.0)</f>
        <v>1091</v>
      </c>
      <c r="X1145" s="2">
        <f>IFERROR(__xludf.DUMMYFUNCTION("""COMPUTED_VALUE"""),1623.0)</f>
        <v>1623</v>
      </c>
      <c r="Y1145" s="2"/>
      <c r="Z1145" s="2"/>
      <c r="AA1145" s="2"/>
      <c r="AB1145" s="2"/>
      <c r="AC1145" s="2"/>
      <c r="AD1145" s="2"/>
      <c r="AE1145" s="2"/>
      <c r="AF1145" s="2"/>
      <c r="AG1145" s="2"/>
      <c r="AH1145" s="2"/>
      <c r="AI1145" s="2"/>
      <c r="AJ1145" s="2" t="str">
        <f>IFERROR(__xludf.DUMMYFUNCTION("""COMPUTED_VALUE"""),"Bancagan")</f>
        <v>Bancagan</v>
      </c>
      <c r="AK1145" s="2" t="str">
        <f>IFERROR(__xludf.DUMMYFUNCTION("""COMPUTED_VALUE"""),"Naguilian")</f>
        <v>Naguilian</v>
      </c>
      <c r="AL1145" s="2" t="str">
        <f>IFERROR(__xludf.DUMMYFUNCTION("""COMPUTED_VALUE"""),"La Union")</f>
        <v>La Union</v>
      </c>
      <c r="AM1145" s="2">
        <f>IFERROR(__xludf.DUMMYFUNCTION("""COMPUTED_VALUE"""),1.0)</f>
        <v>1</v>
      </c>
      <c r="AN1145" s="2" t="str">
        <f>IFERROR(__xludf.DUMMYFUNCTION("""COMPUTED_VALUE"""),"RCEF 23-09-21 Rebidding")</f>
        <v>RCEF 23-09-21 Rebidding</v>
      </c>
      <c r="AO1145" s="2">
        <f>IFERROR(__xludf.DUMMYFUNCTION("""COMPUTED_VALUE"""),2.0)</f>
        <v>2</v>
      </c>
      <c r="AP1145" s="2"/>
      <c r="AQ1145" s="2"/>
      <c r="AR1145" s="2"/>
      <c r="AS1145" s="2"/>
      <c r="AT1145" s="2"/>
      <c r="AU1145" s="2"/>
      <c r="AV1145" s="2"/>
      <c r="AW1145" s="2"/>
      <c r="AX1145" s="2"/>
      <c r="AY1145" s="2"/>
      <c r="AZ1145" s="2"/>
      <c r="BA1145" s="2"/>
      <c r="BB1145" s="2"/>
    </row>
    <row r="1146">
      <c r="A1146" s="2">
        <f>IFERROR(__xludf.DUMMYFUNCTION("""COMPUTED_VALUE"""),1142.0)</f>
        <v>1142</v>
      </c>
      <c r="B1146" s="2" t="str">
        <f>IFERROR(__xludf.DUMMYFUNCTION("""COMPUTED_VALUE"""),"PENDING")</f>
        <v>PENDING</v>
      </c>
      <c r="C1146" s="74">
        <f>IFERROR(__xludf.DUMMYFUNCTION("""COMPUTED_VALUE"""),45916.0)</f>
        <v>45916</v>
      </c>
      <c r="D1146" s="71" t="str">
        <f>IFERROR(__xludf.DUMMYFUNCTION("""COMPUTED_VALUE"""),"SANDOVAL FARMERS ASSOCIATON")</f>
        <v>SANDOVAL FARMERS ASSOCIATON</v>
      </c>
      <c r="E1146" s="71" t="str">
        <f>IFERROR(__xludf.DUMMYFUNCTION("""COMPUTED_VALUE"""),"Sandoval, Taytay, Palawan")</f>
        <v>Sandoval, Taytay, Palawan</v>
      </c>
      <c r="F1146" s="2" t="str">
        <f>IFERROR(__xludf.DUMMYFUNCTION("""COMPUTED_VALUE"""),"ISAGANI REPE")</f>
        <v>ISAGANI REPE</v>
      </c>
      <c r="G1146" s="2">
        <f>IFERROR(__xludf.DUMMYFUNCTION("""COMPUTED_VALUE"""),9.466248004E9)</f>
        <v>9466248004</v>
      </c>
      <c r="H1146" s="2"/>
      <c r="I1146" s="72" t="str">
        <f>IFERROR(__xludf.DUMMYFUNCTION("""COMPUTED_VALUE"""),"REPAIR - TRACTOR")</f>
        <v>REPAIR - TRACTOR</v>
      </c>
      <c r="J1146" s="72" t="str">
        <f>IFERROR(__xludf.DUMMYFUNCTION("""COMPUTED_VALUE"""),"Engine - Overhaul")</f>
        <v>Engine - Overhaul</v>
      </c>
      <c r="K1146" s="72" t="str">
        <f>IFERROR(__xludf.DUMMYFUNCTION("""COMPUTED_VALUE"""),"KFS: LETTER FROM PHILMECH
ENGINE PROBLEM")</f>
        <v>KFS: LETTER FROM PHILMECH
ENGINE PROBLEM</v>
      </c>
      <c r="L1146" s="72"/>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c r="AJ1146" s="2" t="str">
        <f>IFERROR(__xludf.DUMMYFUNCTION("""COMPUTED_VALUE"""),"Sandoval")</f>
        <v>Sandoval</v>
      </c>
      <c r="AK1146" s="2" t="str">
        <f>IFERROR(__xludf.DUMMYFUNCTION("""COMPUTED_VALUE"""),"Taytay")</f>
        <v>Taytay</v>
      </c>
      <c r="AL1146" s="2" t="str">
        <f>IFERROR(__xludf.DUMMYFUNCTION("""COMPUTED_VALUE"""),"Palawan")</f>
        <v>Palawan</v>
      </c>
      <c r="AM1146" s="2" t="str">
        <f>IFERROR(__xludf.DUMMYFUNCTION("""COMPUTED_VALUE"""),"4B")</f>
        <v>4B</v>
      </c>
      <c r="AN1146" s="2" t="str">
        <f>IFERROR(__xludf.DUMMYFUNCTION("""COMPUTED_VALUE"""),"RCEF 23-08-20 Rebidding")</f>
        <v>RCEF 23-08-20 Rebidding</v>
      </c>
      <c r="AO1146" s="2">
        <f>IFERROR(__xludf.DUMMYFUNCTION("""COMPUTED_VALUE"""),1.0)</f>
        <v>1</v>
      </c>
      <c r="AP1146" s="2"/>
      <c r="AQ1146" s="2"/>
      <c r="AR1146" s="2"/>
      <c r="AS1146" s="2"/>
      <c r="AT1146" s="2"/>
      <c r="AU1146" s="2"/>
      <c r="AV1146" s="2"/>
      <c r="AW1146" s="2"/>
      <c r="AX1146" s="2"/>
      <c r="AY1146" s="2"/>
      <c r="AZ1146" s="2"/>
      <c r="BA1146" s="2"/>
      <c r="BB1146" s="2"/>
    </row>
    <row r="1147">
      <c r="A1147" s="2">
        <f>IFERROR(__xludf.DUMMYFUNCTION("""COMPUTED_VALUE"""),1143.0)</f>
        <v>1143</v>
      </c>
      <c r="B1147" s="2" t="str">
        <f>IFERROR(__xludf.DUMMYFUNCTION("""COMPUTED_VALUE"""),"COMPLETED")</f>
        <v>COMPLETED</v>
      </c>
      <c r="C1147" s="74">
        <f>IFERROR(__xludf.DUMMYFUNCTION("""COMPUTED_VALUE"""),45917.0)</f>
        <v>45917</v>
      </c>
      <c r="D1147" s="71" t="str">
        <f>IFERROR(__xludf.DUMMYFUNCTION("""COMPUTED_VALUE"""),"POBLACION ILAYA PANIT-AN FARMERS ASSOCIATION")</f>
        <v>POBLACION ILAYA PANIT-AN FARMERS ASSOCIATION</v>
      </c>
      <c r="E1147" s="71" t="str">
        <f>IFERROR(__xludf.DUMMYFUNCTION("""COMPUTED_VALUE"""),"Poblacion Ilaya, Panitan, CAPIZ")</f>
        <v>Poblacion Ilaya, Panitan, CAPIZ</v>
      </c>
      <c r="F1147" s="2" t="str">
        <f>IFERROR(__xludf.DUMMYFUNCTION("""COMPUTED_VALUE"""),"Lorenzo Dumol")</f>
        <v>Lorenzo Dumol</v>
      </c>
      <c r="G1147" s="2" t="str">
        <f>IFERROR(__xludf.DUMMYFUNCTION("""COMPUTED_VALUE"""),"0927-029-3201")</f>
        <v>0927-029-3201</v>
      </c>
      <c r="H1147" s="2">
        <f>IFERROR(__xludf.DUMMYFUNCTION("""COMPUTED_VALUE"""),550.0)</f>
        <v>550</v>
      </c>
      <c r="I1147" s="72" t="str">
        <f>IFERROR(__xludf.DUMMYFUNCTION("""COMPUTED_VALUE"""),"SPARE PARTS ACQUISITION")</f>
        <v>SPARE PARTS ACQUISITION</v>
      </c>
      <c r="J1147" s="72" t="str">
        <f>IFERROR(__xludf.DUMMYFUNCTION("""COMPUTED_VALUE"""),"PARTS REQUEST")</f>
        <v>PARTS REQUEST</v>
      </c>
      <c r="K1147" s="72" t="str">
        <f>IFERROR(__xludf.DUMMYFUNCTION("""COMPUTED_VALUE"""),"MYK: 2 - REAR AXLE OIL SEAL")</f>
        <v>MYK: 2 - REAR AXLE OIL SEAL</v>
      </c>
      <c r="L1147" s="72" t="str">
        <f>IFERROR(__xludf.DUMMYFUNCTION("""COMPUTED_VALUE"""),"QUOTAION SENT: INFROM MUNA DAW SA ASSOCIATION")</f>
        <v>QUOTAION SENT: INFROM MUNA DAW SA ASSOCIATION</v>
      </c>
      <c r="M1147" s="2"/>
      <c r="N1147" s="2"/>
      <c r="O1147" s="2" t="str">
        <f>IFERROR(__xludf.DUMMYFUNCTION("""COMPUTED_VALUE"""),"N/A")</f>
        <v>N/A</v>
      </c>
      <c r="P1147" s="2"/>
      <c r="Q1147" s="2"/>
      <c r="R1147" s="74">
        <f>IFERROR(__xludf.DUMMYFUNCTION("""COMPUTED_VALUE"""),45980.0)</f>
        <v>45980</v>
      </c>
      <c r="S1147" s="2" t="str">
        <f>IFERROR(__xludf.DUMMYFUNCTION("""COMPUTED_VALUE"""),"MYKEE")</f>
        <v>MYKEE</v>
      </c>
      <c r="T1147" s="73" t="str">
        <f>IFERROR(__xludf.DUMMYFUNCTION("""COMPUTED_VALUE""")," N/A ")</f>
        <v>N/A</v>
      </c>
      <c r="U1147" s="73" t="str">
        <f>IFERROR(__xludf.DUMMYFUNCTION("""COMPUTED_VALUE""")," NO CHARGE ")</f>
        <v>NO CHARGE</v>
      </c>
      <c r="V1147" s="2"/>
      <c r="W1147" s="2" t="str">
        <f>IFERROR(__xludf.DUMMYFUNCTION("""COMPUTED_VALUE"""),"N/A")</f>
        <v>N/A</v>
      </c>
      <c r="X1147" s="2" t="str">
        <f>IFERROR(__xludf.DUMMYFUNCTION("""COMPUTED_VALUE"""),"N/A")</f>
        <v>N/A</v>
      </c>
      <c r="Y1147" s="2"/>
      <c r="Z1147" s="2"/>
      <c r="AA1147" s="2"/>
      <c r="AB1147" s="2"/>
      <c r="AC1147" s="2"/>
      <c r="AD1147" s="2"/>
      <c r="AE1147" s="2"/>
      <c r="AF1147" s="2"/>
      <c r="AG1147" s="2"/>
      <c r="AH1147" s="2"/>
      <c r="AI1147" s="2"/>
      <c r="AJ1147" s="2" t="str">
        <f>IFERROR(__xludf.DUMMYFUNCTION("""COMPUTED_VALUE"""),"Poblacion Ilaya")</f>
        <v>Poblacion Ilaya</v>
      </c>
      <c r="AK1147" s="2" t="str">
        <f>IFERROR(__xludf.DUMMYFUNCTION("""COMPUTED_VALUE"""),"Panitan")</f>
        <v>Panitan</v>
      </c>
      <c r="AL1147" s="2" t="str">
        <f>IFERROR(__xludf.DUMMYFUNCTION("""COMPUTED_VALUE"""),"Capiz")</f>
        <v>Capiz</v>
      </c>
      <c r="AM1147" s="2">
        <f>IFERROR(__xludf.DUMMYFUNCTION("""COMPUTED_VALUE"""),6.0)</f>
        <v>6</v>
      </c>
      <c r="AN1147" s="2" t="str">
        <f>IFERROR(__xludf.DUMMYFUNCTION("""COMPUTED_VALUE"""),"RCEF 23-09-21 Rebidding")</f>
        <v>RCEF 23-09-21 Rebidding</v>
      </c>
      <c r="AO1147" s="2">
        <f>IFERROR(__xludf.DUMMYFUNCTION("""COMPUTED_VALUE"""),4.0)</f>
        <v>4</v>
      </c>
      <c r="AP1147" s="2"/>
      <c r="AQ1147" s="2"/>
      <c r="AR1147" s="2"/>
      <c r="AS1147" s="2"/>
      <c r="AT1147" s="2"/>
      <c r="AU1147" s="2"/>
      <c r="AV1147" s="2"/>
      <c r="AW1147" s="2"/>
      <c r="AX1147" s="2"/>
      <c r="AY1147" s="2"/>
      <c r="AZ1147" s="2"/>
      <c r="BA1147" s="2"/>
      <c r="BB1147" s="2"/>
    </row>
    <row r="1148">
      <c r="A1148" s="2">
        <f>IFERROR(__xludf.DUMMYFUNCTION("""COMPUTED_VALUE"""),1144.0)</f>
        <v>1144</v>
      </c>
      <c r="B1148" s="2" t="str">
        <f>IFERROR(__xludf.DUMMYFUNCTION("""COMPUTED_VALUE"""),"COMPLETED")</f>
        <v>COMPLETED</v>
      </c>
      <c r="C1148" s="74">
        <f>IFERROR(__xludf.DUMMYFUNCTION("""COMPUTED_VALUE"""),45923.0)</f>
        <v>45923</v>
      </c>
      <c r="D1148" s="71" t="str">
        <f>IFERROR(__xludf.DUMMYFUNCTION("""COMPUTED_VALUE"""),"GOLDEN HARVEST FARMERS ASSOCIATION")</f>
        <v>GOLDEN HARVEST FARMERS ASSOCIATION</v>
      </c>
      <c r="E1148" s="71" t="str">
        <f>IFERROR(__xludf.DUMMYFUNCTION("""COMPUTED_VALUE"""),"San Jose, San Luis, PAMPANGA")</f>
        <v>San Jose, San Luis, PAMPANGA</v>
      </c>
      <c r="F1148" s="2" t="str">
        <f>IFERROR(__xludf.DUMMYFUNCTION("""COMPUTED_VALUE"""),"Diosdado Cruz")</f>
        <v>Diosdado Cruz</v>
      </c>
      <c r="G1148" s="2">
        <f>IFERROR(__xludf.DUMMYFUNCTION("""COMPUTED_VALUE"""),9.179247663E9)</f>
        <v>9179247663</v>
      </c>
      <c r="H1148" s="2"/>
      <c r="I1148" s="72" t="str">
        <f>IFERROR(__xludf.DUMMYFUNCTION("""COMPUTED_VALUE"""),"REPAIR - TRACTOR")</f>
        <v>REPAIR - TRACTOR</v>
      </c>
      <c r="J1148" s="72" t="str">
        <f>IFERROR(__xludf.DUMMYFUNCTION("""COMPUTED_VALUE"""),"Engine - Turbo Charger")</f>
        <v>Engine - Turbo Charger</v>
      </c>
      <c r="K1148" s="72" t="str">
        <f>IFERROR(__xludf.DUMMYFUNCTION("""COMPUTED_VALUE"""),"JHP: Mausok ang unit ")</f>
        <v>JHP: Mausok ang unit </v>
      </c>
      <c r="L1148" s="72" t="str">
        <f>IFERROR(__xludf.DUMMYFUNCTION("""COMPUTED_VALUE"""),"ACS: CLEANING THE TURBO")</f>
        <v>ACS: CLEANING THE TURBO</v>
      </c>
      <c r="M1148" s="2"/>
      <c r="N1148" s="2"/>
      <c r="O1148" s="2">
        <f>IFERROR(__xludf.DUMMYFUNCTION("""COMPUTED_VALUE"""),1425.0)</f>
        <v>1425</v>
      </c>
      <c r="P1148" s="2"/>
      <c r="Q1148" s="2"/>
      <c r="R1148" s="74">
        <f>IFERROR(__xludf.DUMMYFUNCTION("""COMPUTED_VALUE"""),45929.0)</f>
        <v>45929</v>
      </c>
      <c r="S1148" s="2" t="str">
        <f>IFERROR(__xludf.DUMMYFUNCTION("""COMPUTED_VALUE"""),"JHP/ACS")</f>
        <v>JHP/ACS</v>
      </c>
      <c r="T1148" s="73" t="str">
        <f>IFERROR(__xludf.DUMMYFUNCTION("""COMPUTED_VALUE""")," N/A ")</f>
        <v>N/A</v>
      </c>
      <c r="U1148" s="73" t="str">
        <f>IFERROR(__xludf.DUMMYFUNCTION("""COMPUTED_VALUE""")," NO CHARGE ")</f>
        <v>NO CHARGE</v>
      </c>
      <c r="V1148" s="2"/>
      <c r="W1148" s="2" t="str">
        <f>IFERROR(__xludf.DUMMYFUNCTION("""COMPUTED_VALUE"""),"N/A")</f>
        <v>N/A</v>
      </c>
      <c r="X1148" s="2" t="str">
        <f>IFERROR(__xludf.DUMMYFUNCTION("""COMPUTED_VALUE"""),"N/A")</f>
        <v>N/A</v>
      </c>
      <c r="Y1148" s="2"/>
      <c r="Z1148" s="2"/>
      <c r="AA1148" s="2"/>
      <c r="AB1148" s="2"/>
      <c r="AC1148" s="2"/>
      <c r="AD1148" s="2"/>
      <c r="AE1148" s="2"/>
      <c r="AF1148" s="2"/>
      <c r="AG1148" s="2"/>
      <c r="AH1148" s="2"/>
      <c r="AI1148" s="2"/>
      <c r="AJ1148" s="2" t="str">
        <f>IFERROR(__xludf.DUMMYFUNCTION("""COMPUTED_VALUE"""),"San Jose")</f>
        <v>San Jose</v>
      </c>
      <c r="AK1148" s="2" t="str">
        <f>IFERROR(__xludf.DUMMYFUNCTION("""COMPUTED_VALUE"""),"San Luis")</f>
        <v>San Luis</v>
      </c>
      <c r="AL1148" s="2" t="str">
        <f>IFERROR(__xludf.DUMMYFUNCTION("""COMPUTED_VALUE"""),"Pampanga")</f>
        <v>Pampanga</v>
      </c>
      <c r="AM1148" s="2">
        <f>IFERROR(__xludf.DUMMYFUNCTION("""COMPUTED_VALUE"""),3.0)</f>
        <v>3</v>
      </c>
      <c r="AN1148" s="2" t="str">
        <f>IFERROR(__xludf.DUMMYFUNCTION("""COMPUTED_VALUE"""),"RCEF 23-09-21 Rebidding")</f>
        <v>RCEF 23-09-21 Rebidding</v>
      </c>
      <c r="AO1148" s="2">
        <f>IFERROR(__xludf.DUMMYFUNCTION("""COMPUTED_VALUE"""),3.0)</f>
        <v>3</v>
      </c>
      <c r="AP1148" s="2"/>
      <c r="AQ1148" s="2"/>
      <c r="AR1148" s="2"/>
      <c r="AS1148" s="2"/>
      <c r="AT1148" s="2"/>
      <c r="AU1148" s="2"/>
      <c r="AV1148" s="2"/>
      <c r="AW1148" s="2"/>
      <c r="AX1148" s="2"/>
      <c r="AY1148" s="2"/>
      <c r="AZ1148" s="2"/>
      <c r="BA1148" s="2"/>
      <c r="BB1148" s="2"/>
    </row>
    <row r="1149">
      <c r="A1149" s="2">
        <f>IFERROR(__xludf.DUMMYFUNCTION("""COMPUTED_VALUE"""),1145.0)</f>
        <v>1145</v>
      </c>
      <c r="B1149" s="2" t="str">
        <f>IFERROR(__xludf.DUMMYFUNCTION("""COMPUTED_VALUE"""),"COMPLETED")</f>
        <v>COMPLETED</v>
      </c>
      <c r="C1149" s="74">
        <f>IFERROR(__xludf.DUMMYFUNCTION("""COMPUTED_VALUE"""),45925.0)</f>
        <v>45925</v>
      </c>
      <c r="D1149" s="71" t="str">
        <f>IFERROR(__xludf.DUMMYFUNCTION("""COMPUTED_VALUE"""),"MANNALON NGA NAURNOS TI PURA FARMERS ASSOCIATION Inc.")</f>
        <v>MANNALON NGA NAURNOS TI PURA FARMERS ASSOCIATION Inc.</v>
      </c>
      <c r="E1149" s="71" t="str">
        <f>IFERROR(__xludf.DUMMYFUNCTION("""COMPUTED_VALUE"""),"Estipona, Pura, TARLAC")</f>
        <v>Estipona, Pura, TARLAC</v>
      </c>
      <c r="F1149" s="2" t="str">
        <f>IFERROR(__xludf.DUMMYFUNCTION("""COMPUTED_VALUE"""),"Ceferina G. Pascua ")</f>
        <v>Ceferina G. Pascua </v>
      </c>
      <c r="G1149" s="2">
        <f>IFERROR(__xludf.DUMMYFUNCTION("""COMPUTED_VALUE"""),9.973003011E9)</f>
        <v>9973003011</v>
      </c>
      <c r="H1149" s="2">
        <f>IFERROR(__xludf.DUMMYFUNCTION("""COMPUTED_VALUE"""),793.7)</f>
        <v>793.7</v>
      </c>
      <c r="I1149" s="72" t="str">
        <f>IFERROR(__xludf.DUMMYFUNCTION("""COMPUTED_VALUE"""),"REPAIR - TRACTOR")</f>
        <v>REPAIR - TRACTOR</v>
      </c>
      <c r="J1149" s="72" t="str">
        <f>IFERROR(__xludf.DUMMYFUNCTION("""COMPUTED_VALUE"""),"Front Axle - Leaking")</f>
        <v>Front Axle - Leaking</v>
      </c>
      <c r="K1149" s="72" t="str">
        <f>IFERROR(__xludf.DUMMYFUNCTION("""COMPUTED_VALUE"""),"JDP: May leak sa  front axel sa may kanang rim
PARTS: Oil Seal - TC60430000A")</f>
        <v>JDP: May leak sa  front axel sa may kanang rim
PARTS: Oil Seal - TC60430000A</v>
      </c>
      <c r="L1149" s="72" t="str">
        <f>IFERROR(__xludf.DUMMYFUNCTION("""COMPUTED_VALUE"""),"DRM: Replaced new Front Oil seal
Front Axle Oil seal TA00041359 - 3,380,00
Service Charge -3,000,00
Collection- 6,380,00")</f>
        <v>DRM: Replaced new Front Oil seal
Front Axle Oil seal TA00041359 - 3,380,00
Service Charge -3,000,00
Collection- 6,380,00</v>
      </c>
      <c r="M1149" s="2"/>
      <c r="N1149" s="2" t="str">
        <f>IFERROR(__xludf.DUMMYFUNCTION("""COMPUTED_VALUE"""),"PARTS:
Front Axle Oil seal TA00041359 - 3,380,00
Service Charge -3,000,00")</f>
        <v>PARTS:
Front Axle Oil seal TA00041359 - 3,380,00
Service Charge -3,000,00</v>
      </c>
      <c r="O1149" s="2">
        <f>IFERROR(__xludf.DUMMYFUNCTION("""COMPUTED_VALUE"""),418.0)</f>
        <v>418</v>
      </c>
      <c r="P1149" s="2"/>
      <c r="Q1149" s="2" t="str">
        <f>IFERROR(__xludf.DUMMYFUNCTION("""COMPUTED_VALUE"""),"Y")</f>
        <v>Y</v>
      </c>
      <c r="R1149" s="74">
        <f>IFERROR(__xludf.DUMMYFUNCTION("""COMPUTED_VALUE"""),45926.0)</f>
        <v>45926</v>
      </c>
      <c r="S1149" s="2" t="str">
        <f>IFERROR(__xludf.DUMMYFUNCTION("""COMPUTED_VALUE"""),"EGT/DRM")</f>
        <v>EGT/DRM</v>
      </c>
      <c r="T1149" s="73">
        <f>IFERROR(__xludf.DUMMYFUNCTION("""COMPUTED_VALUE"""),6380.0)</f>
        <v>6380</v>
      </c>
      <c r="U1149" s="73" t="str">
        <f>IFERROR(__xludf.DUMMYFUNCTION("""COMPUTED_VALUE""")," REMITTED ")</f>
        <v>REMITTED</v>
      </c>
      <c r="V1149" s="2">
        <f>IFERROR(__xludf.DUMMYFUNCTION("""COMPUTED_VALUE"""),1311.0)</f>
        <v>1311</v>
      </c>
      <c r="W1149" s="2">
        <f>IFERROR(__xludf.DUMMYFUNCTION("""COMPUTED_VALUE"""),1666.0)</f>
        <v>1666</v>
      </c>
      <c r="X1149" s="2">
        <f>IFERROR(__xludf.DUMMYFUNCTION("""COMPUTED_VALUE"""),1687.0)</f>
        <v>1687</v>
      </c>
      <c r="Y1149" s="2"/>
      <c r="Z1149" s="2"/>
      <c r="AA1149" s="2"/>
      <c r="AB1149" s="2"/>
      <c r="AC1149" s="2"/>
      <c r="AD1149" s="2"/>
      <c r="AE1149" s="2"/>
      <c r="AF1149" s="2"/>
      <c r="AG1149" s="2"/>
      <c r="AH1149" s="2"/>
      <c r="AI1149" s="2"/>
      <c r="AJ1149" s="2" t="str">
        <f>IFERROR(__xludf.DUMMYFUNCTION("""COMPUTED_VALUE"""),"Estipona")</f>
        <v>Estipona</v>
      </c>
      <c r="AK1149" s="2" t="str">
        <f>IFERROR(__xludf.DUMMYFUNCTION("""COMPUTED_VALUE"""),"Pura")</f>
        <v>Pura</v>
      </c>
      <c r="AL1149" s="2" t="str">
        <f>IFERROR(__xludf.DUMMYFUNCTION("""COMPUTED_VALUE"""),"Tarlac")</f>
        <v>Tarlac</v>
      </c>
      <c r="AM1149" s="2">
        <f>IFERROR(__xludf.DUMMYFUNCTION("""COMPUTED_VALUE"""),3.0)</f>
        <v>3</v>
      </c>
      <c r="AN1149" s="2" t="str">
        <f>IFERROR(__xludf.DUMMYFUNCTION("""COMPUTED_VALUE"""),"RCEF 23-09-21 Rebidding")</f>
        <v>RCEF 23-09-21 Rebidding</v>
      </c>
      <c r="AO1149" s="2">
        <f>IFERROR(__xludf.DUMMYFUNCTION("""COMPUTED_VALUE"""),3.0)</f>
        <v>3</v>
      </c>
      <c r="AP1149" s="2"/>
      <c r="AQ1149" s="2"/>
      <c r="AR1149" s="2"/>
      <c r="AS1149" s="2"/>
      <c r="AT1149" s="2"/>
      <c r="AU1149" s="2"/>
      <c r="AV1149" s="2"/>
      <c r="AW1149" s="2"/>
      <c r="AX1149" s="2"/>
      <c r="AY1149" s="2"/>
      <c r="AZ1149" s="2"/>
      <c r="BA1149" s="2"/>
      <c r="BB1149" s="2"/>
    </row>
    <row r="1150">
      <c r="A1150" s="2">
        <f>IFERROR(__xludf.DUMMYFUNCTION("""COMPUTED_VALUE"""),1146.0)</f>
        <v>1146</v>
      </c>
      <c r="B1150" s="2" t="str">
        <f>IFERROR(__xludf.DUMMYFUNCTION("""COMPUTED_VALUE"""),"PENDING")</f>
        <v>PENDING</v>
      </c>
      <c r="C1150" s="74">
        <f>IFERROR(__xludf.DUMMYFUNCTION("""COMPUTED_VALUE"""),45925.0)</f>
        <v>45925</v>
      </c>
      <c r="D1150" s="71" t="str">
        <f>IFERROR(__xludf.DUMMYFUNCTION("""COMPUTED_VALUE"""),"SAN AGUSTIN II FARMERS ASSOCIATION")</f>
        <v>SAN AGUSTIN II FARMERS ASSOCIATION</v>
      </c>
      <c r="E1150" s="71" t="str">
        <f>IFERROR(__xludf.DUMMYFUNCTION("""COMPUTED_VALUE"""),"San Agustin, Naujan, ORIENTAL MINDORO")</f>
        <v>San Agustin, Naujan, ORIENTAL MINDORO</v>
      </c>
      <c r="F1150" s="2" t="str">
        <f>IFERROR(__xludf.DUMMYFUNCTION("""COMPUTED_VALUE"""),"Victor Macalalad")</f>
        <v>Victor Macalalad</v>
      </c>
      <c r="G1150" s="2">
        <f>IFERROR(__xludf.DUMMYFUNCTION("""COMPUTED_VALUE"""),9.537540359E9)</f>
        <v>9537540359</v>
      </c>
      <c r="H1150" s="2">
        <f>IFERROR(__xludf.DUMMYFUNCTION("""COMPUTED_VALUE"""),109.6)</f>
        <v>109.6</v>
      </c>
      <c r="I1150" s="72" t="str">
        <f>IFERROR(__xludf.DUMMYFUNCTION("""COMPUTED_VALUE"""),"REPAIR - TRACTOR")</f>
        <v>REPAIR - TRACTOR</v>
      </c>
      <c r="J1150" s="72" t="str">
        <f>IFERROR(__xludf.DUMMYFUNCTION("""COMPUTED_VALUE"""),"Electrical Wiring - Flasher Relay")</f>
        <v>Electrical Wiring - Flasher Relay</v>
      </c>
      <c r="K1150" s="72" t="str">
        <f>IFERROR(__xludf.DUMMYFUNCTION("""COMPUTED_VALUE"""),"RCG: Nagpuputok ang Fuse,Grounded ang Wirings
PARTS: FLASHER RELAY  - 8,281")</f>
        <v>RCG: Nagpuputok ang Fuse,Grounded ang Wirings
PARTS: FLASHER RELAY  - 8,281</v>
      </c>
      <c r="L1150" s="72" t="str">
        <f>IFERROR(__xludf.DUMMYFUNCTION("""COMPUTED_VALUE"""),"- PARTS REQUESTED - FOR PO 
5/23/26 - 745: RCG: CHECK UP ONLY - KUNG PWEDE DAW NA SA SUNOD NA IKOT IREPAIR NA DAHIL NAGHAHABOL SILA NG TRATORA DAHIL NAGASTOS SA PAG PA CALIBRATE NG INJECTION PUMP.")</f>
        <v>- PARTS REQUESTED - FOR PO 
5/23/26 - 745: RCG: CHECK UP ONLY - KUNG PWEDE DAW NA SA SUNOD NA IKOT IREPAIR NA DAHIL NAGHAHABOL SILA NG TRATORA DAHIL NAGASTOS SA PAG PA CALIBRATE NG INJECTION PUMP.</v>
      </c>
      <c r="M1150" s="2" t="str">
        <f>IFERROR(__xludf.DUMMYFUNCTION("""COMPUTED_VALUE"""),"FLASHER RELAY")</f>
        <v>FLASHER RELAY</v>
      </c>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t="str">
        <f>IFERROR(__xludf.DUMMYFUNCTION("""COMPUTED_VALUE"""),"San Agustin")</f>
        <v>San Agustin</v>
      </c>
      <c r="AK1150" s="2" t="str">
        <f>IFERROR(__xludf.DUMMYFUNCTION("""COMPUTED_VALUE"""),"Naujan")</f>
        <v>Naujan</v>
      </c>
      <c r="AL1150" s="2" t="str">
        <f>IFERROR(__xludf.DUMMYFUNCTION("""COMPUTED_VALUE"""),"Oriental Mindoro")</f>
        <v>Oriental Mindoro</v>
      </c>
      <c r="AM1150" s="2" t="str">
        <f>IFERROR(__xludf.DUMMYFUNCTION("""COMPUTED_VALUE"""),"4B")</f>
        <v>4B</v>
      </c>
      <c r="AN1150" s="2" t="str">
        <f>IFERROR(__xludf.DUMMYFUNCTION("""COMPUTED_VALUE"""),"RCEF 24-04-15")</f>
        <v>RCEF 24-04-15</v>
      </c>
      <c r="AO1150" s="2">
        <f>IFERROR(__xludf.DUMMYFUNCTION("""COMPUTED_VALUE"""),7.0)</f>
        <v>7</v>
      </c>
      <c r="AP1150" s="2" t="str">
        <f>IFERROR(__xludf.DUMMYFUNCTION("""COMPUTED_VALUE"""),"FREE PMS")</f>
        <v>FREE PMS</v>
      </c>
      <c r="AQ1150" s="2"/>
      <c r="AR1150" s="2"/>
      <c r="AS1150" s="2"/>
      <c r="AT1150" s="2"/>
      <c r="AU1150" s="2"/>
      <c r="AV1150" s="2"/>
      <c r="AW1150" s="2"/>
      <c r="AX1150" s="2"/>
      <c r="AY1150" s="2"/>
      <c r="AZ1150" s="2"/>
      <c r="BA1150" s="2"/>
      <c r="BB1150" s="2"/>
    </row>
    <row r="1151">
      <c r="A1151" s="2">
        <f>IFERROR(__xludf.DUMMYFUNCTION("""COMPUTED_VALUE"""),1147.0)</f>
        <v>1147</v>
      </c>
      <c r="B1151" s="2" t="str">
        <f>IFERROR(__xludf.DUMMYFUNCTION("""COMPUTED_VALUE"""),"COMPLETED")</f>
        <v>COMPLETED</v>
      </c>
      <c r="C1151" s="74">
        <f>IFERROR(__xludf.DUMMYFUNCTION("""COMPUTED_VALUE"""),45929.0)</f>
        <v>45929</v>
      </c>
      <c r="D1151" s="71" t="str">
        <f>IFERROR(__xludf.DUMMYFUNCTION("""COMPUTED_VALUE"""),"Diffun Saranay and Development Cooperative (DISADECO)")</f>
        <v>Diffun Saranay and Development Cooperative (DISADECO)</v>
      </c>
      <c r="E1151" s="71" t="str">
        <f>IFERROR(__xludf.DUMMYFUNCTION("""COMPUTED_VALUE"""),"Andres Bonifacio (Pob.), Diffun, QUIRINO")</f>
        <v>Andres Bonifacio (Pob.), Diffun, QUIRINO</v>
      </c>
      <c r="F1151" s="2" t="str">
        <f>IFERROR(__xludf.DUMMYFUNCTION("""COMPUTED_VALUE"""),"CHRISTIAN PAUL DACUMOS")</f>
        <v>CHRISTIAN PAUL DACUMOS</v>
      </c>
      <c r="G1151" s="2" t="str">
        <f>IFERROR(__xludf.DUMMYFUNCTION("""COMPUTED_VALUE"""),"0906 135 4403")</f>
        <v>0906 135 4403</v>
      </c>
      <c r="H1151" s="2">
        <f>IFERROR(__xludf.DUMMYFUNCTION("""COMPUTED_VALUE"""),340.0)</f>
        <v>340</v>
      </c>
      <c r="I1151" s="72" t="str">
        <f>IFERROR(__xludf.DUMMYFUNCTION("""COMPUTED_VALUE"""),"REPAIR - TRACTOR")</f>
        <v>REPAIR - TRACTOR</v>
      </c>
      <c r="J1151" s="72" t="str">
        <f>IFERROR(__xludf.DUMMYFUNCTION("""COMPUTED_VALUE"""),"Transmission - Clutch")</f>
        <v>Transmission - Clutch</v>
      </c>
      <c r="K1151" s="72" t="str">
        <f>IFERROR(__xludf.DUMMYFUNCTION("""COMPUTED_VALUE"""),"CFG: nasira po ang joystick ng bucket
PARTS:
CLUTCH COVER ASSY
JOYSTICK OF BUCKET
MYK: IF AVAILABLE NA ANG JOYSTICK BUCKET INFORM NALANG SILA
PARTS ORDER:
CLUTCH COVER ASSY
CLUTCH DISC ASSY
RELEASE BEARING")</f>
        <v>CFG: nasira po ang joystick ng bucket
PARTS:
CLUTCH COVER ASSY
JOYSTICK OF BUCKET
MYK: IF AVAILABLE NA ANG JOYSTICK BUCKET INFORM NALANG SILA
PARTS ORDER:
CLUTCH COVER ASSY
CLUTCH DISC ASSY
RELEASE BEARING</v>
      </c>
      <c r="L1151" s="72" t="str">
        <f>IFERROR(__xludf.DUMMYFUNCTION("""COMPUTED_VALUE"""),"CFG: PARTS REQUEST DELIVERED")</f>
        <v>CFG: PARTS REQUEST DELIVERED</v>
      </c>
      <c r="M1151" s="2"/>
      <c r="N1151" s="2" t="str">
        <f>IFERROR(__xludf.DUMMYFUNCTION("""COMPUTED_VALUE"""),"PARTS:
1 pc Clutch Disc Assy.- 21,330
1 pc Clutch cover Assy.- 18,020
1 pc Release bearing.- 6,220
TOTAL- 45,570")</f>
        <v>PARTS:
1 pc Clutch Disc Assy.- 21,330
1 pc Clutch cover Assy.- 18,020
1 pc Release bearing.- 6,220
TOTAL- 45,570</v>
      </c>
      <c r="O1151" s="2">
        <f>IFERROR(__xludf.DUMMYFUNCTION("""COMPUTED_VALUE"""),472.0)</f>
        <v>472</v>
      </c>
      <c r="P1151" s="2"/>
      <c r="Q1151" s="2" t="str">
        <f>IFERROR(__xludf.DUMMYFUNCTION("""COMPUTED_VALUE"""),"FOR PRINT")</f>
        <v>FOR PRINT</v>
      </c>
      <c r="R1151" s="74">
        <f>IFERROR(__xludf.DUMMYFUNCTION("""COMPUTED_VALUE"""),45965.0)</f>
        <v>45965</v>
      </c>
      <c r="S1151" s="2" t="str">
        <f>IFERROR(__xludf.DUMMYFUNCTION("""COMPUTED_VALUE"""),"CFG/JDP")</f>
        <v>CFG/JDP</v>
      </c>
      <c r="T1151" s="73">
        <f>IFERROR(__xludf.DUMMYFUNCTION("""COMPUTED_VALUE"""),45570.0)</f>
        <v>45570</v>
      </c>
      <c r="U1151" s="73" t="str">
        <f>IFERROR(__xludf.DUMMYFUNCTION("""COMPUTED_VALUE""")," REMITTED ")</f>
        <v>REMITTED</v>
      </c>
      <c r="V1151" s="2"/>
      <c r="W1151" s="2">
        <f>IFERROR(__xludf.DUMMYFUNCTION("""COMPUTED_VALUE"""),1762.0)</f>
        <v>1762</v>
      </c>
      <c r="X1151" s="2">
        <f>IFERROR(__xludf.DUMMYFUNCTION("""COMPUTED_VALUE"""),1639.0)</f>
        <v>1639</v>
      </c>
      <c r="Y1151" s="2"/>
      <c r="Z1151" s="2"/>
      <c r="AA1151" s="2"/>
      <c r="AB1151" s="2"/>
      <c r="AC1151" s="2"/>
      <c r="AD1151" s="2"/>
      <c r="AE1151" s="2"/>
      <c r="AF1151" s="2"/>
      <c r="AG1151" s="2"/>
      <c r="AH1151" s="2"/>
      <c r="AI1151" s="2"/>
      <c r="AJ1151" s="2" t="str">
        <f>IFERROR(__xludf.DUMMYFUNCTION("""COMPUTED_VALUE"""),"Andres Bonifacio (Pob.)")</f>
        <v>Andres Bonifacio (Pob.)</v>
      </c>
      <c r="AK1151" s="2" t="str">
        <f>IFERROR(__xludf.DUMMYFUNCTION("""COMPUTED_VALUE"""),"Diffun")</f>
        <v>Diffun</v>
      </c>
      <c r="AL1151" s="2" t="str">
        <f>IFERROR(__xludf.DUMMYFUNCTION("""COMPUTED_VALUE"""),"Quirino")</f>
        <v>Quirino</v>
      </c>
      <c r="AM1151" s="2">
        <f>IFERROR(__xludf.DUMMYFUNCTION("""COMPUTED_VALUE"""),2.0)</f>
        <v>2</v>
      </c>
      <c r="AN1151" s="2" t="str">
        <f>IFERROR(__xludf.DUMMYFUNCTION("""COMPUTED_VALUE"""),"RCEF 23-09-21 Rebidding")</f>
        <v>RCEF 23-09-21 Rebidding</v>
      </c>
      <c r="AO1151" s="2">
        <f>IFERROR(__xludf.DUMMYFUNCTION("""COMPUTED_VALUE"""),1.0)</f>
        <v>1</v>
      </c>
      <c r="AP1151" s="2"/>
      <c r="AQ1151" s="2"/>
      <c r="AR1151" s="2"/>
      <c r="AS1151" s="2"/>
      <c r="AT1151" s="2"/>
      <c r="AU1151" s="2"/>
      <c r="AV1151" s="2"/>
      <c r="AW1151" s="2"/>
      <c r="AX1151" s="2"/>
      <c r="AY1151" s="2"/>
      <c r="AZ1151" s="2"/>
      <c r="BA1151" s="2"/>
      <c r="BB1151" s="2"/>
    </row>
    <row r="1152">
      <c r="A1152" s="2">
        <f>IFERROR(__xludf.DUMMYFUNCTION("""COMPUTED_VALUE"""),1148.0)</f>
        <v>1148</v>
      </c>
      <c r="B1152" s="2" t="str">
        <f>IFERROR(__xludf.DUMMYFUNCTION("""COMPUTED_VALUE"""),"COMPLETED")</f>
        <v>COMPLETED</v>
      </c>
      <c r="C1152" s="74">
        <f>IFERROR(__xludf.DUMMYFUNCTION("""COMPUTED_VALUE"""),45930.0)</f>
        <v>45930</v>
      </c>
      <c r="D1152" s="71" t="str">
        <f>IFERROR(__xludf.DUMMYFUNCTION("""COMPUTED_VALUE"""),"CAMANDANG IRRIGATORS ASSOCIATION")</f>
        <v>CAMANDANG IRRIGATORS ASSOCIATION</v>
      </c>
      <c r="E1152" s="71" t="str">
        <f>IFERROR(__xludf.DUMMYFUNCTION("""COMPUTED_VALUE"""),"MONTECLARO, SAN JOSE, OCCIDENTAL MINDORO")</f>
        <v>MONTECLARO, SAN JOSE, OCCIDENTAL MINDORO</v>
      </c>
      <c r="F1152" s="2" t="str">
        <f>IFERROR(__xludf.DUMMYFUNCTION("""COMPUTED_VALUE"""),"Eduardo Toquero")</f>
        <v>Eduardo Toquero</v>
      </c>
      <c r="G1152" s="2">
        <f>IFERROR(__xludf.DUMMYFUNCTION("""COMPUTED_VALUE"""),9.658977577E9)</f>
        <v>9658977577</v>
      </c>
      <c r="H1152" s="2"/>
      <c r="I1152" s="72" t="str">
        <f>IFERROR(__xludf.DUMMYFUNCTION("""COMPUTED_VALUE"""),"SPARE PARTS ACQUISITION")</f>
        <v>SPARE PARTS ACQUISITION</v>
      </c>
      <c r="J1152" s="72" t="str">
        <f>IFERROR(__xludf.DUMMYFUNCTION("""COMPUTED_VALUE"""),"PARTS REQUEST")</f>
        <v>PARTS REQUEST</v>
      </c>
      <c r="K1152" s="72" t="str">
        <f>IFERROR(__xludf.DUMMYFUNCTION("""COMPUTED_VALUE"""),"MYK:PARTS:
COUNT SHAFT TA00033455
GEAR, BEVEL 11T TA00033473
PINION, FRONT 1ST SHAFT TA00033461
MYK: 10/8/25: 
TIE ROD LEFT 
TIE ROD RIGHT
FRONT 2ND AXLE LH
COUPLING(R) NT15080000")</f>
        <v>MYK:PARTS:
COUNT SHAFT TA00033455
GEAR, BEVEL 11T TA00033473
PINION, FRONT 1ST SHAFT TA00033461
MYK: 10/8/25: 
TIE ROD LEFT 
TIE ROD RIGHT
FRONT 2ND AXLE LH
COUPLING(R) NT15080000</v>
      </c>
      <c r="L1152" s="72" t="str">
        <f>IFERROR(__xludf.DUMMYFUNCTION("""COMPUTED_VALUE"""),"QUOTATION SENT: PAID")</f>
        <v>QUOTATION SENT: PAID</v>
      </c>
      <c r="M1152" s="2"/>
      <c r="N1152" s="2" t="str">
        <f>IFERROR(__xludf.DUMMYFUNCTION("""COMPUTED_VALUE"""),"PARTS:
1 - GEAR, BEVEL 11T TA00033473
1 - PINION, FRONT 1ST SHAFT TA00033461
1 - TIE ROD LEFT 
1 - TIE ROD RIGHT
1 - FRONT 2ND AXLE LH
2 - COUPLING(R) NT15080000")</f>
        <v>PARTS:
1 - GEAR, BEVEL 11T TA00033473
1 - PINION, FRONT 1ST SHAFT TA00033461
1 - TIE ROD LEFT 
1 - TIE ROD RIGHT
1 - FRONT 2ND AXLE LH
2 - COUPLING(R) NT15080000</v>
      </c>
      <c r="O1152" s="2" t="str">
        <f>IFERROR(__xludf.DUMMYFUNCTION("""COMPUTED_VALUE"""),"N/A")</f>
        <v>N/A</v>
      </c>
      <c r="P1152" s="2"/>
      <c r="Q1152" s="2"/>
      <c r="R1152" s="74">
        <f>IFERROR(__xludf.DUMMYFUNCTION("""COMPUTED_VALUE"""),46051.0)</f>
        <v>46051</v>
      </c>
      <c r="S1152" s="2" t="str">
        <f>IFERROR(__xludf.DUMMYFUNCTION("""COMPUTED_VALUE"""),"MYKEE")</f>
        <v>MYKEE</v>
      </c>
      <c r="T1152" s="73">
        <f>IFERROR(__xludf.DUMMYFUNCTION("""COMPUTED_VALUE"""),32590.0)</f>
        <v>32590</v>
      </c>
      <c r="U1152" s="73" t="str">
        <f>IFERROR(__xludf.DUMMYFUNCTION("""COMPUTED_VALUE""")," NO CHARGE ")</f>
        <v>NO CHARGE</v>
      </c>
      <c r="V1152" s="2"/>
      <c r="W1152" s="2" t="str">
        <f>IFERROR(__xludf.DUMMYFUNCTION("""COMPUTED_VALUE"""),"N/A")</f>
        <v>N/A</v>
      </c>
      <c r="X1152" s="2" t="str">
        <f>IFERROR(__xludf.DUMMYFUNCTION("""COMPUTED_VALUE"""),"N/A")</f>
        <v>N/A</v>
      </c>
      <c r="Y1152" s="2"/>
      <c r="Z1152" s="2"/>
      <c r="AA1152" s="2"/>
      <c r="AB1152" s="2"/>
      <c r="AC1152" s="2"/>
      <c r="AD1152" s="2"/>
      <c r="AE1152" s="2"/>
      <c r="AF1152" s="2"/>
      <c r="AG1152" s="2"/>
      <c r="AH1152" s="2"/>
      <c r="AI1152" s="2"/>
      <c r="AJ1152" s="2" t="str">
        <f>IFERROR(__xludf.DUMMYFUNCTION("""COMPUTED_VALUE"""),"Monteclaro")</f>
        <v>Monteclaro</v>
      </c>
      <c r="AK1152" s="2" t="str">
        <f>IFERROR(__xludf.DUMMYFUNCTION("""COMPUTED_VALUE"""),"San Jose")</f>
        <v>San Jose</v>
      </c>
      <c r="AL1152" s="2" t="str">
        <f>IFERROR(__xludf.DUMMYFUNCTION("""COMPUTED_VALUE"""),"Occidental Mindoro")</f>
        <v>Occidental Mindoro</v>
      </c>
      <c r="AM1152" s="2" t="str">
        <f>IFERROR(__xludf.DUMMYFUNCTION("""COMPUTED_VALUE"""),"4B")</f>
        <v>4B</v>
      </c>
      <c r="AN1152" s="2" t="str">
        <f>IFERROR(__xludf.DUMMYFUNCTION("""COMPUTED_VALUE"""),"RCEF 23-08-20 Rebidding")</f>
        <v>RCEF 23-08-20 Rebidding</v>
      </c>
      <c r="AO1152" s="2">
        <f>IFERROR(__xludf.DUMMYFUNCTION("""COMPUTED_VALUE"""),1.0)</f>
        <v>1</v>
      </c>
      <c r="AP1152" s="2"/>
      <c r="AQ1152" s="2"/>
      <c r="AR1152" s="2"/>
      <c r="AS1152" s="2"/>
      <c r="AT1152" s="2"/>
      <c r="AU1152" s="2"/>
      <c r="AV1152" s="2"/>
      <c r="AW1152" s="2"/>
      <c r="AX1152" s="2"/>
      <c r="AY1152" s="2"/>
      <c r="AZ1152" s="2"/>
      <c r="BA1152" s="2"/>
      <c r="BB1152" s="2"/>
    </row>
    <row r="1153">
      <c r="A1153" s="2">
        <f>IFERROR(__xludf.DUMMYFUNCTION("""COMPUTED_VALUE"""),1149.0)</f>
        <v>1149</v>
      </c>
      <c r="B1153" s="2" t="str">
        <f>IFERROR(__xludf.DUMMYFUNCTION("""COMPUTED_VALUE"""),"PENDING")</f>
        <v>PENDING</v>
      </c>
      <c r="C1153" s="74">
        <f>IFERROR(__xludf.DUMMYFUNCTION("""COMPUTED_VALUE"""),45930.0)</f>
        <v>45930</v>
      </c>
      <c r="D1153" s="71" t="str">
        <f>IFERROR(__xludf.DUMMYFUNCTION("""COMPUTED_VALUE"""),"Mabais Tagaytay Bantayan Farmer’s Association")</f>
        <v>Mabais Tagaytay Bantayan Farmer’s Association</v>
      </c>
      <c r="E1153" s="71" t="str">
        <f>IFERROR(__xludf.DUMMYFUNCTION("""COMPUTED_VALUE"""),"Feliciano, Balete, AKLAN")</f>
        <v>Feliciano, Balete, AKLAN</v>
      </c>
      <c r="F1153" s="2" t="str">
        <f>IFERROR(__xludf.DUMMYFUNCTION("""COMPUTED_VALUE"""),"Raul Birol")</f>
        <v>Raul Birol</v>
      </c>
      <c r="G1153" s="2">
        <f>IFERROR(__xludf.DUMMYFUNCTION("""COMPUTED_VALUE"""),9.812682119E9)</f>
        <v>9812682119</v>
      </c>
      <c r="H1153" s="2"/>
      <c r="I1153" s="72" t="str">
        <f>IFERROR(__xludf.DUMMYFUNCTION("""COMPUTED_VALUE"""),"REPAIR - TRACTOR")</f>
        <v>REPAIR - TRACTOR</v>
      </c>
      <c r="J1153" s="72" t="str">
        <f>IFERROR(__xludf.DUMMYFUNCTION("""COMPUTED_VALUE"""),"Transmission - Clutch")</f>
        <v>Transmission - Clutch</v>
      </c>
      <c r="K1153" s="72" t="str">
        <f>IFERROR(__xludf.DUMMYFUNCTION("""COMPUTED_VALUE"""),"PHILMECH: CLUTCH LINING PROBLEM
MYK: CALL 10/8/25
MYK: HINDI OK YUNG TRACTOR I PA CHECK MUNA NILA SA TECHNICIAN SANA PAG MAY SCHEDULE SA AKLAN")</f>
        <v>PHILMECH: CLUTCH LINING PROBLEM
MYK: CALL 10/8/25
MYK: HINDI OK YUNG TRACTOR I PA CHECK MUNA NILA SA TECHNICIAN SANA PAG MAY SCHEDULE SA AKLAN</v>
      </c>
      <c r="L1153" s="72"/>
      <c r="M1153" s="2" t="str">
        <f>IFERROR(__xludf.DUMMYFUNCTION("""COMPUTED_VALUE"""),"CLUTCH DISC ASSY")</f>
        <v>CLUTCH DISC ASSY</v>
      </c>
      <c r="N1153" s="2"/>
      <c r="O1153" s="2"/>
      <c r="P1153" s="2"/>
      <c r="Q1153" s="2"/>
      <c r="R1153" s="2"/>
      <c r="S1153" s="2"/>
      <c r="T1153" s="2"/>
      <c r="U1153" s="2"/>
      <c r="V1153" s="2"/>
      <c r="W1153" s="2"/>
      <c r="X1153" s="2"/>
      <c r="Y1153" s="2"/>
      <c r="Z1153" s="2"/>
      <c r="AA1153" s="2"/>
      <c r="AB1153" s="2"/>
      <c r="AC1153" s="2"/>
      <c r="AD1153" s="2"/>
      <c r="AE1153" s="2"/>
      <c r="AF1153" s="2"/>
      <c r="AG1153" s="2"/>
      <c r="AH1153" s="2"/>
      <c r="AI1153" s="2"/>
      <c r="AJ1153" s="2" t="str">
        <f>IFERROR(__xludf.DUMMYFUNCTION("""COMPUTED_VALUE"""),"Feliciano")</f>
        <v>Feliciano</v>
      </c>
      <c r="AK1153" s="2" t="str">
        <f>IFERROR(__xludf.DUMMYFUNCTION("""COMPUTED_VALUE"""),"Balete")</f>
        <v>Balete</v>
      </c>
      <c r="AL1153" s="2" t="str">
        <f>IFERROR(__xludf.DUMMYFUNCTION("""COMPUTED_VALUE"""),"Aklan")</f>
        <v>Aklan</v>
      </c>
      <c r="AM1153" s="2">
        <f>IFERROR(__xludf.DUMMYFUNCTION("""COMPUTED_VALUE"""),6.0)</f>
        <v>6</v>
      </c>
      <c r="AN1153" s="2" t="str">
        <f>IFERROR(__xludf.DUMMYFUNCTION("""COMPUTED_VALUE"""),"RCEF 23-09-21 Rebidding")</f>
        <v>RCEF 23-09-21 Rebidding</v>
      </c>
      <c r="AO1153" s="2">
        <f>IFERROR(__xludf.DUMMYFUNCTION("""COMPUTED_VALUE"""),4.0)</f>
        <v>4</v>
      </c>
      <c r="AP1153" s="2"/>
      <c r="AQ1153" s="2"/>
      <c r="AR1153" s="2"/>
      <c r="AS1153" s="2"/>
      <c r="AT1153" s="2"/>
      <c r="AU1153" s="2"/>
      <c r="AV1153" s="2"/>
      <c r="AW1153" s="2"/>
      <c r="AX1153" s="2"/>
      <c r="AY1153" s="2"/>
      <c r="AZ1153" s="2"/>
      <c r="BA1153" s="2"/>
      <c r="BB1153" s="2"/>
    </row>
    <row r="1154">
      <c r="A1154" s="2">
        <f>IFERROR(__xludf.DUMMYFUNCTION("""COMPUTED_VALUE"""),1150.0)</f>
        <v>1150</v>
      </c>
      <c r="B1154" s="2" t="str">
        <f>IFERROR(__xludf.DUMMYFUNCTION("""COMPUTED_VALUE"""),"COMPLETED")</f>
        <v>COMPLETED</v>
      </c>
      <c r="C1154" s="74">
        <f>IFERROR(__xludf.DUMMYFUNCTION("""COMPUTED_VALUE"""),45931.0)</f>
        <v>45931</v>
      </c>
      <c r="D1154" s="71" t="str">
        <f>IFERROR(__xludf.DUMMYFUNCTION("""COMPUTED_VALUE"""),"Municipal Local Government Unit of QUEZON")</f>
        <v>Municipal Local Government Unit of QUEZON</v>
      </c>
      <c r="E1154" s="71" t="str">
        <f>IFERROR(__xludf.DUMMYFUNCTION("""COMPUTED_VALUE"""),"Dulong Bayan, Quezon, Nueva Ecija")</f>
        <v>Dulong Bayan, Quezon, Nueva Ecija</v>
      </c>
      <c r="F1154" s="2" t="str">
        <f>IFERROR(__xludf.DUMMYFUNCTION("""COMPUTED_VALUE"""),"Mariano Cristino N. Joson")</f>
        <v>Mariano Cristino N. Joson</v>
      </c>
      <c r="G1154" s="2" t="str">
        <f>IFERROR(__xludf.DUMMYFUNCTION("""COMPUTED_VALUE"""),"0926-667-9909")</f>
        <v>0926-667-9909</v>
      </c>
      <c r="H1154" s="2"/>
      <c r="I1154" s="72" t="str">
        <f>IFERROR(__xludf.DUMMYFUNCTION("""COMPUTED_VALUE"""),"PMS")</f>
        <v>PMS</v>
      </c>
      <c r="J1154" s="72"/>
      <c r="K1154" s="72" t="str">
        <f>IFERROR(__xludf.DUMMYFUNCTION("""COMPUTED_VALUE"""),"ERP: Magpa change oil daw po ng 1 tractor and papa inspection po sana ang clutch lining ng unit. May tagas daw po")</f>
        <v>ERP: Magpa change oil daw po ng 1 tractor and papa inspection po sana ang clutch lining ng unit. May tagas daw po</v>
      </c>
      <c r="L1154" s="72" t="str">
        <f>IFERROR(__xludf.DUMMYFUNCTION("""COMPUTED_VALUE"""),"DRM: 2ND PMS DONE")</f>
        <v>DRM: 2ND PMS DONE</v>
      </c>
      <c r="M1154" s="2"/>
      <c r="N1154" s="2" t="str">
        <f>IFERROR(__xludf.DUMMYFUNCTION("""COMPUTED_VALUE"""),"PARTS:
Oil Filter- 1,600,00
Engine Oil- 1,650,00
Service Charge -1,500,00")</f>
        <v>PARTS:
Oil Filter- 1,600,00
Engine Oil- 1,650,00
Service Charge -1,500,00</v>
      </c>
      <c r="O1154" s="2" t="str">
        <f>IFERROR(__xludf.DUMMYFUNCTION("""COMPUTED_VALUE"""),"?")</f>
        <v>?</v>
      </c>
      <c r="P1154" s="2"/>
      <c r="Q1154" s="2"/>
      <c r="R1154" s="74">
        <f>IFERROR(__xludf.DUMMYFUNCTION("""COMPUTED_VALUE"""),45933.0)</f>
        <v>45933</v>
      </c>
      <c r="S1154" s="2" t="str">
        <f>IFERROR(__xludf.DUMMYFUNCTION("""COMPUTED_VALUE"""),"EGT/DRM")</f>
        <v>EGT/DRM</v>
      </c>
      <c r="T1154" s="73">
        <f>IFERROR(__xludf.DUMMYFUNCTION("""COMPUTED_VALUE"""),4750.0)</f>
        <v>4750</v>
      </c>
      <c r="U1154" s="73" t="str">
        <f>IFERROR(__xludf.DUMMYFUNCTION("""COMPUTED_VALUE""")," REMITTED ")</f>
        <v>REMITTED</v>
      </c>
      <c r="V1154" s="2">
        <f>IFERROR(__xludf.DUMMYFUNCTION("""COMPUTED_VALUE"""),1312.0)</f>
        <v>1312</v>
      </c>
      <c r="W1154" s="2">
        <f>IFERROR(__xludf.DUMMYFUNCTION("""COMPUTED_VALUE"""),1667.0)</f>
        <v>1667</v>
      </c>
      <c r="X1154" s="2">
        <f>IFERROR(__xludf.DUMMYFUNCTION("""COMPUTED_VALUE"""),1688.0)</f>
        <v>1688</v>
      </c>
      <c r="Y1154" s="2"/>
      <c r="Z1154" s="2"/>
      <c r="AA1154" s="2"/>
      <c r="AB1154" s="2"/>
      <c r="AC1154" s="2"/>
      <c r="AD1154" s="2"/>
      <c r="AE1154" s="2"/>
      <c r="AF1154" s="2"/>
      <c r="AG1154" s="2"/>
      <c r="AH1154" s="2"/>
      <c r="AI1154" s="2"/>
      <c r="AJ1154" s="2" t="str">
        <f>IFERROR(__xludf.DUMMYFUNCTION("""COMPUTED_VALUE"""),"Dulong Bayan")</f>
        <v>Dulong Bayan</v>
      </c>
      <c r="AK1154" s="2" t="str">
        <f>IFERROR(__xludf.DUMMYFUNCTION("""COMPUTED_VALUE"""),"Quezon")</f>
        <v>Quezon</v>
      </c>
      <c r="AL1154" s="2" t="str">
        <f>IFERROR(__xludf.DUMMYFUNCTION("""COMPUTED_VALUE"""),"Nueva Ecija")</f>
        <v>Nueva Ecija</v>
      </c>
      <c r="AM1154" s="2">
        <f>IFERROR(__xludf.DUMMYFUNCTION("""COMPUTED_VALUE"""),3.0)</f>
        <v>3</v>
      </c>
      <c r="AN1154" s="2" t="str">
        <f>IFERROR(__xludf.DUMMYFUNCTION("""COMPUTED_VALUE"""),"RCEF 23-09-21 Rebidding")</f>
        <v>RCEF 23-09-21 Rebidding</v>
      </c>
      <c r="AO1154" s="2">
        <f>IFERROR(__xludf.DUMMYFUNCTION("""COMPUTED_VALUE"""),3.0)</f>
        <v>3</v>
      </c>
      <c r="AP1154" s="2"/>
      <c r="AQ1154" s="2"/>
      <c r="AR1154" s="2"/>
      <c r="AS1154" s="2"/>
      <c r="AT1154" s="2"/>
      <c r="AU1154" s="2"/>
      <c r="AV1154" s="2"/>
      <c r="AW1154" s="2"/>
      <c r="AX1154" s="2"/>
      <c r="AY1154" s="2"/>
      <c r="AZ1154" s="2"/>
      <c r="BA1154" s="2"/>
      <c r="BB1154" s="2"/>
    </row>
    <row r="1155">
      <c r="A1155" s="2">
        <f>IFERROR(__xludf.DUMMYFUNCTION("""COMPUTED_VALUE"""),1151.0)</f>
        <v>1151</v>
      </c>
      <c r="B1155" s="2" t="str">
        <f>IFERROR(__xludf.DUMMYFUNCTION("""COMPUTED_VALUE"""),"COMPLETED")</f>
        <v>COMPLETED</v>
      </c>
      <c r="C1155" s="74">
        <f>IFERROR(__xludf.DUMMYFUNCTION("""COMPUTED_VALUE"""),45931.0)</f>
        <v>45931</v>
      </c>
      <c r="D1155" s="71" t="str">
        <f>IFERROR(__xludf.DUMMYFUNCTION("""COMPUTED_VALUE"""),"San Pedro United Farmers Association")</f>
        <v>San Pedro United Farmers Association</v>
      </c>
      <c r="E1155" s="71" t="str">
        <f>IFERROR(__xludf.DUMMYFUNCTION("""COMPUTED_VALUE"""),"San Pedro, Pilar, CAPIZ")</f>
        <v>San Pedro, Pilar, CAPIZ</v>
      </c>
      <c r="F1155" s="2" t="str">
        <f>IFERROR(__xludf.DUMMYFUNCTION("""COMPUTED_VALUE"""),"Ronnie muyco")</f>
        <v>Ronnie muyco</v>
      </c>
      <c r="G1155" s="2">
        <f>IFERROR(__xludf.DUMMYFUNCTION("""COMPUTED_VALUE"""),9.613080999E9)</f>
        <v>9613080999</v>
      </c>
      <c r="H1155" s="2"/>
      <c r="I1155" s="72" t="str">
        <f>IFERROR(__xludf.DUMMYFUNCTION("""COMPUTED_VALUE"""),"SPARE PARTS ACQUISITION")</f>
        <v>SPARE PARTS ACQUISITION</v>
      </c>
      <c r="J1155" s="72" t="str">
        <f>IFERROR(__xludf.DUMMYFUNCTION("""COMPUTED_VALUE"""),"PARTS REQUEST")</f>
        <v>PARTS REQUEST</v>
      </c>
      <c r="K1155" s="72" t="str">
        <f>IFERROR(__xludf.DUMMYFUNCTION("""COMPUTED_VALUE"""),"PARTS: 
LINER, DIFFERENTIAL GEAR TC57120000
GEAR, DIFFERENTIAL 14 TC57090000
DIFFERENCIAL PINION GEAR 10 TC57100000
3/11/26: ADDITIONAL PARTS ORDER
OIL SEAL AT FRONT DRIVE SHAFT (FOR CONFIRMATION)
JTT: 3/23/26: 
TA0033463 front  2nd axleLH
TC60110000 se"&amp;"al oil
TA0033473 Gear bevel 11T
")</f>
        <v>PARTS: 
LINER, DIFFERENTIAL GEAR TC57120000
GEAR, DIFFERENTIAL 14 TC57090000
DIFFERENCIAL PINION GEAR 10 TC57100000
3/11/26: ADDITIONAL PARTS ORDER
OIL SEAL AT FRONT DRIVE SHAFT (FOR CONFIRMATION)
JTT: 3/23/26: 
TA0033463 front  2nd axleLH
TC60110000 seal oil
TA0033473 Gear bevel 11T
</v>
      </c>
      <c r="L1155" s="72" t="str">
        <f>IFERROR(__xludf.DUMMYFUNCTION("""COMPUTED_VALUE"""),"CTF:3/23/26:  ALL AVAILABLE EXCEPT LINER
MYK: QUOTATION SENT")</f>
        <v>CTF:3/23/26:  ALL AVAILABLE EXCEPT LINER
MYK: QUOTATION SENT</v>
      </c>
      <c r="M1155" s="2" t="str">
        <f>IFERROR(__xludf.DUMMYFUNCTION("""COMPUTED_VALUE"""),"LINER, DIFFERENTIAL GEAR TC57120000
GEAR, DIFFERENTIAL 14 TC57090000
DIFFERENCIAL PINION GEAR 10 TC57100000
TA0033463 front  2nd axleLH
TC60110000 seal oil
PINION, FRONT 1ST SHAFT - TA00033461")</f>
        <v>LINER, DIFFERENTIAL GEAR TC57120000
GEAR, DIFFERENTIAL 14 TC57090000
DIFFERENCIAL PINION GEAR 10 TC57100000
TA0033463 front  2nd axleLH
TC60110000 seal oil
PINION, FRONT 1ST SHAFT - TA00033461</v>
      </c>
      <c r="N1155" s="2" t="str">
        <f>IFERROR(__xludf.DUMMYFUNCTION("""COMPUTED_VALUE"""),"PARTS:
TA0033463 front  2nd axleLH
TC60110000 seal oil
PINION, FRONT 1ST SHAFT - TA00033461")</f>
        <v>PARTS:
TA0033463 front  2nd axleLH
TC60110000 seal oil
PINION, FRONT 1ST SHAFT - TA00033461</v>
      </c>
      <c r="O1155" s="2" t="str">
        <f>IFERROR(__xludf.DUMMYFUNCTION("""COMPUTED_VALUE"""),"N/A")</f>
        <v>N/A</v>
      </c>
      <c r="P1155" s="2"/>
      <c r="Q1155" s="2"/>
      <c r="R1155" s="74">
        <f>IFERROR(__xludf.DUMMYFUNCTION("""COMPUTED_VALUE"""),46105.0)</f>
        <v>46105</v>
      </c>
      <c r="S1155" s="2" t="str">
        <f>IFERROR(__xludf.DUMMYFUNCTION("""COMPUTED_VALUE"""),"MYK/CTF")</f>
        <v>MYK/CTF</v>
      </c>
      <c r="T1155" s="73">
        <f>IFERROR(__xludf.DUMMYFUNCTION("""COMPUTED_VALUE"""),9390.0)</f>
        <v>9390</v>
      </c>
      <c r="U1155" s="73" t="str">
        <f>IFERROR(__xludf.DUMMYFUNCTION("""COMPUTED_VALUE""")," DIRECT PAYMENT ")</f>
        <v>DIRECT PAYMENT</v>
      </c>
      <c r="V1155" s="2">
        <f>IFERROR(__xludf.DUMMYFUNCTION("""COMPUTED_VALUE"""),1538.0)</f>
        <v>1538</v>
      </c>
      <c r="W1155" s="2">
        <f>IFERROR(__xludf.DUMMYFUNCTION("""COMPUTED_VALUE"""),2054.0)</f>
        <v>2054</v>
      </c>
      <c r="X1155" s="2">
        <f>IFERROR(__xludf.DUMMYFUNCTION("""COMPUTED_VALUE"""),1774.0)</f>
        <v>1774</v>
      </c>
      <c r="Y1155" s="2"/>
      <c r="Z1155" s="2"/>
      <c r="AA1155" s="2"/>
      <c r="AB1155" s="2"/>
      <c r="AC1155" s="2"/>
      <c r="AD1155" s="2"/>
      <c r="AE1155" s="2"/>
      <c r="AF1155" s="2"/>
      <c r="AG1155" s="2"/>
      <c r="AH1155" s="2"/>
      <c r="AI1155" s="2"/>
      <c r="AJ1155" s="2" t="str">
        <f>IFERROR(__xludf.DUMMYFUNCTION("""COMPUTED_VALUE"""),"San Pedro")</f>
        <v>San Pedro</v>
      </c>
      <c r="AK1155" s="2" t="str">
        <f>IFERROR(__xludf.DUMMYFUNCTION("""COMPUTED_VALUE"""),"Pilar")</f>
        <v>Pilar</v>
      </c>
      <c r="AL1155" s="2" t="str">
        <f>IFERROR(__xludf.DUMMYFUNCTION("""COMPUTED_VALUE"""),"Capiz")</f>
        <v>Capiz</v>
      </c>
      <c r="AM1155" s="2">
        <f>IFERROR(__xludf.DUMMYFUNCTION("""COMPUTED_VALUE"""),6.0)</f>
        <v>6</v>
      </c>
      <c r="AN1155" s="2" t="str">
        <f>IFERROR(__xludf.DUMMYFUNCTION("""COMPUTED_VALUE"""),"RCEF 23-09-21 Rebidding")</f>
        <v>RCEF 23-09-21 Rebidding</v>
      </c>
      <c r="AO1155" s="2">
        <f>IFERROR(__xludf.DUMMYFUNCTION("""COMPUTED_VALUE"""),4.0)</f>
        <v>4</v>
      </c>
      <c r="AP1155" s="2"/>
      <c r="AQ1155" s="2"/>
      <c r="AR1155" s="2"/>
      <c r="AS1155" s="2"/>
      <c r="AT1155" s="2"/>
      <c r="AU1155" s="2"/>
      <c r="AV1155" s="2"/>
      <c r="AW1155" s="2"/>
      <c r="AX1155" s="2"/>
      <c r="AY1155" s="2"/>
      <c r="AZ1155" s="2"/>
      <c r="BA1155" s="2"/>
      <c r="BB1155" s="2"/>
    </row>
    <row r="1156">
      <c r="A1156" s="2">
        <f>IFERROR(__xludf.DUMMYFUNCTION("""COMPUTED_VALUE"""),1152.0)</f>
        <v>1152</v>
      </c>
      <c r="B1156" s="2" t="str">
        <f>IFERROR(__xludf.DUMMYFUNCTION("""COMPUTED_VALUE"""),"COMPLETED")</f>
        <v>COMPLETED</v>
      </c>
      <c r="C1156" s="74">
        <f>IFERROR(__xludf.DUMMYFUNCTION("""COMPUTED_VALUE"""),45932.0)</f>
        <v>45932</v>
      </c>
      <c r="D1156" s="71" t="str">
        <f>IFERROR(__xludf.DUMMYFUNCTION("""COMPUTED_VALUE"""),"GULOD FARMERS ASSOCIATION")</f>
        <v>GULOD FARMERS ASSOCIATION</v>
      </c>
      <c r="E1156" s="71" t="str">
        <f>IFERROR(__xludf.DUMMYFUNCTION("""COMPUTED_VALUE"""),"Gulod, Calapan City, Oriental Mindoro")</f>
        <v>Gulod, Calapan City, Oriental Mindoro</v>
      </c>
      <c r="F1156" s="2" t="str">
        <f>IFERROR(__xludf.DUMMYFUNCTION("""COMPUTED_VALUE"""),"CELEDONIO")</f>
        <v>CELEDONIO</v>
      </c>
      <c r="G1156" s="2" t="str">
        <f>IFERROR(__xludf.DUMMYFUNCTION("""COMPUTED_VALUE"""),"09609194546 / 09153897698")</f>
        <v>09609194546 / 09153897698</v>
      </c>
      <c r="H1156" s="2">
        <f>IFERROR(__xludf.DUMMYFUNCTION("""COMPUTED_VALUE"""),200.0)</f>
        <v>200</v>
      </c>
      <c r="I1156" s="72" t="str">
        <f>IFERROR(__xludf.DUMMYFUNCTION("""COMPUTED_VALUE"""),"REPAIR - TRACTOR")</f>
        <v>REPAIR - TRACTOR</v>
      </c>
      <c r="J1156" s="72" t="str">
        <f>IFERROR(__xludf.DUMMYFUNCTION("""COMPUTED_VALUE"""),"CHECK UP UNIT")</f>
        <v>CHECK UP UNIT</v>
      </c>
      <c r="K1156" s="72" t="str">
        <f>IFERROR(__xludf.DUMMYFUNCTION("""COMPUTED_VALUE"""),"JIE: NAG IINIT ANG PARTENG LIKOD NG TRACTORA HABANG PINAGAGANA ANG IMPLEMENTS
")</f>
        <v>JIE: NAG IINIT ANG PARTENG LIKOD NG TRACTORA HABANG PINAGAGANA ANG IMPLEMENTS
</v>
      </c>
      <c r="L1156" s="72" t="str">
        <f>IFERROR(__xludf.DUMMYFUNCTION("""COMPUTED_VALUE"""),"RCG: VISUAL CHECK-UP
RECOMMENDATION: LAGING LINISIN YUNG SCREEN  SA MAY RADIATOR AT AIR FILTER")</f>
        <v>RCG: VISUAL CHECK-UP
RECOMMENDATION: LAGING LINISIN YUNG SCREEN  SA MAY RADIATOR AT AIR FILTER</v>
      </c>
      <c r="M1156" s="2"/>
      <c r="N1156" s="2"/>
      <c r="O1156" s="2">
        <f>IFERROR(__xludf.DUMMYFUNCTION("""COMPUTED_VALUE"""),181.0)</f>
        <v>181</v>
      </c>
      <c r="P1156" s="2"/>
      <c r="Q1156" s="2" t="str">
        <f>IFERROR(__xludf.DUMMYFUNCTION("""COMPUTED_VALUE"""),"Y")</f>
        <v>Y</v>
      </c>
      <c r="R1156" s="74">
        <f>IFERROR(__xludf.DUMMYFUNCTION("""COMPUTED_VALUE"""),45945.0)</f>
        <v>45945</v>
      </c>
      <c r="S1156" s="2" t="str">
        <f>IFERROR(__xludf.DUMMYFUNCTION("""COMPUTED_VALUE"""),"RCG/RBS")</f>
        <v>RCG/RBS</v>
      </c>
      <c r="T1156" s="73">
        <f>IFERROR(__xludf.DUMMYFUNCTION("""COMPUTED_VALUE"""),1500.0)</f>
        <v>1500</v>
      </c>
      <c r="U1156" s="73" t="str">
        <f>IFERROR(__xludf.DUMMYFUNCTION("""COMPUTED_VALUE""")," REMITTED ")</f>
        <v>REMITTED</v>
      </c>
      <c r="V1156" s="2"/>
      <c r="W1156" s="2">
        <f>IFERROR(__xludf.DUMMYFUNCTION("""COMPUTED_VALUE"""),1197.0)</f>
        <v>1197</v>
      </c>
      <c r="X1156" s="2">
        <f>IFERROR(__xludf.DUMMYFUNCTION("""COMPUTED_VALUE"""),1645.0)</f>
        <v>1645</v>
      </c>
      <c r="Y1156" s="2"/>
      <c r="Z1156" s="2"/>
      <c r="AA1156" s="2"/>
      <c r="AB1156" s="2"/>
      <c r="AC1156" s="2"/>
      <c r="AD1156" s="2"/>
      <c r="AE1156" s="2"/>
      <c r="AF1156" s="2"/>
      <c r="AG1156" s="2"/>
      <c r="AH1156" s="2"/>
      <c r="AI1156" s="2"/>
      <c r="AJ1156" s="2" t="str">
        <f>IFERROR(__xludf.DUMMYFUNCTION("""COMPUTED_VALUE"""),"Gulod")</f>
        <v>Gulod</v>
      </c>
      <c r="AK1156" s="2" t="str">
        <f>IFERROR(__xludf.DUMMYFUNCTION("""COMPUTED_VALUE"""),"Calapan City")</f>
        <v>Calapan City</v>
      </c>
      <c r="AL1156" s="2" t="str">
        <f>IFERROR(__xludf.DUMMYFUNCTION("""COMPUTED_VALUE"""),"Oriental Mindoro")</f>
        <v>Oriental Mindoro</v>
      </c>
      <c r="AM1156" s="2" t="str">
        <f>IFERROR(__xludf.DUMMYFUNCTION("""COMPUTED_VALUE"""),"4B")</f>
        <v>4B</v>
      </c>
      <c r="AN1156" s="2" t="str">
        <f>IFERROR(__xludf.DUMMYFUNCTION("""COMPUTED_VALUE"""),"RCEF 23-08-20 Rebidding")</f>
        <v>RCEF 23-08-20 Rebidding</v>
      </c>
      <c r="AO1156" s="2">
        <f>IFERROR(__xludf.DUMMYFUNCTION("""COMPUTED_VALUE"""),1.0)</f>
        <v>1</v>
      </c>
      <c r="AP1156" s="2"/>
      <c r="AQ1156" s="2"/>
      <c r="AR1156" s="2"/>
      <c r="AS1156" s="2"/>
      <c r="AT1156" s="2"/>
      <c r="AU1156" s="2"/>
      <c r="AV1156" s="2"/>
      <c r="AW1156" s="2"/>
      <c r="AX1156" s="2"/>
      <c r="AY1156" s="2"/>
      <c r="AZ1156" s="2"/>
      <c r="BA1156" s="2"/>
      <c r="BB1156" s="2"/>
    </row>
    <row r="1157">
      <c r="A1157" s="2">
        <f>IFERROR(__xludf.DUMMYFUNCTION("""COMPUTED_VALUE"""),1153.0)</f>
        <v>1153</v>
      </c>
      <c r="B1157" s="2" t="str">
        <f>IFERROR(__xludf.DUMMYFUNCTION("""COMPUTED_VALUE"""),"COMPLETED")</f>
        <v>COMPLETED</v>
      </c>
      <c r="C1157" s="74">
        <f>IFERROR(__xludf.DUMMYFUNCTION("""COMPUTED_VALUE"""),45932.0)</f>
        <v>45932</v>
      </c>
      <c r="D1157" s="71" t="str">
        <f>IFERROR(__xludf.DUMMYFUNCTION("""COMPUTED_VALUE"""),"A. BONIFACIO FARMERS ASSOCIATION")</f>
        <v>A. BONIFACIO FARMERS ASSOCIATION</v>
      </c>
      <c r="E1157" s="71" t="str">
        <f>IFERROR(__xludf.DUMMYFUNCTION("""COMPUTED_VALUE"""),"A. Bonifacio, Gloria, Oriental Mindoro")</f>
        <v>A. Bonifacio, Gloria, Oriental Mindoro</v>
      </c>
      <c r="F1157" s="2" t="str">
        <f>IFERROR(__xludf.DUMMYFUNCTION("""COMPUTED_VALUE"""),"GILBERT MALANOG")</f>
        <v>GILBERT MALANOG</v>
      </c>
      <c r="G1157" s="2">
        <f>IFERROR(__xludf.DUMMYFUNCTION("""COMPUTED_VALUE"""),9.128389639E9)</f>
        <v>9128389639</v>
      </c>
      <c r="H1157" s="2"/>
      <c r="I1157" s="72" t="str">
        <f>IFERROR(__xludf.DUMMYFUNCTION("""COMPUTED_VALUE"""),"REPAIR - TRACTOR")</f>
        <v>REPAIR - TRACTOR</v>
      </c>
      <c r="J1157" s="72" t="str">
        <f>IFERROR(__xludf.DUMMYFUNCTION("""COMPUTED_VALUE"""),"Rear Axle - Leaking")</f>
        <v>Rear Axle - Leaking</v>
      </c>
      <c r="K1157" s="72" t="str">
        <f>IFERROR(__xludf.DUMMYFUNCTION("""COMPUTED_VALUE"""),"JIE: OIL SEAL SA BADANG LEFT SIDE SA HULIHANG GULONG
PARTS:
REAR AXLE OIL SEAL
")</f>
        <v>JIE: OIL SEAL SA BADANG LEFT SIDE SA HULIHANG GULONG
PARTS:
REAR AXLE OIL SEAL
</v>
      </c>
      <c r="L1157" s="72" t="str">
        <f>IFERROR(__xludf.DUMMYFUNCTION("""COMPUTED_VALUE"""),"RCG: WALA PROBLEMA YUNG TRACTOR, WALANG LEAKING, VIA CALL")</f>
        <v>RCG: WALA PROBLEMA YUNG TRACTOR, WALANG LEAKING, VIA CALL</v>
      </c>
      <c r="M1157" s="2"/>
      <c r="N1157" s="2"/>
      <c r="O1157" s="2" t="str">
        <f>IFERROR(__xludf.DUMMYFUNCTION("""COMPUTED_VALUE"""),"N/A")</f>
        <v>N/A</v>
      </c>
      <c r="P1157" s="2"/>
      <c r="Q1157" s="2"/>
      <c r="R1157" s="74">
        <f>IFERROR(__xludf.DUMMYFUNCTION("""COMPUTED_VALUE"""),45946.0)</f>
        <v>45946</v>
      </c>
      <c r="S1157" s="2" t="str">
        <f>IFERROR(__xludf.DUMMYFUNCTION("""COMPUTED_VALUE"""),"RCG/RBS")</f>
        <v>RCG/RBS</v>
      </c>
      <c r="T1157" s="73" t="str">
        <f>IFERROR(__xludf.DUMMYFUNCTION("""COMPUTED_VALUE""")," N/A ")</f>
        <v>N/A</v>
      </c>
      <c r="U1157" s="73" t="str">
        <f>IFERROR(__xludf.DUMMYFUNCTION("""COMPUTED_VALUE""")," NO CHARGE ")</f>
        <v>NO CHARGE</v>
      </c>
      <c r="V1157" s="2"/>
      <c r="W1157" s="2" t="str">
        <f>IFERROR(__xludf.DUMMYFUNCTION("""COMPUTED_VALUE"""),"N/A")</f>
        <v>N/A</v>
      </c>
      <c r="X1157" s="2" t="str">
        <f>IFERROR(__xludf.DUMMYFUNCTION("""COMPUTED_VALUE"""),"N/A")</f>
        <v>N/A</v>
      </c>
      <c r="Y1157" s="2"/>
      <c r="Z1157" s="2"/>
      <c r="AA1157" s="2"/>
      <c r="AB1157" s="2"/>
      <c r="AC1157" s="2"/>
      <c r="AD1157" s="2"/>
      <c r="AE1157" s="2"/>
      <c r="AF1157" s="2"/>
      <c r="AG1157" s="2"/>
      <c r="AH1157" s="2"/>
      <c r="AI1157" s="2"/>
      <c r="AJ1157" s="2" t="str">
        <f>IFERROR(__xludf.DUMMYFUNCTION("""COMPUTED_VALUE"""),"A. Bonifacio")</f>
        <v>A. Bonifacio</v>
      </c>
      <c r="AK1157" s="2" t="str">
        <f>IFERROR(__xludf.DUMMYFUNCTION("""COMPUTED_VALUE"""),"Gloria")</f>
        <v>Gloria</v>
      </c>
      <c r="AL1157" s="2" t="str">
        <f>IFERROR(__xludf.DUMMYFUNCTION("""COMPUTED_VALUE"""),"Oriental Mindoro")</f>
        <v>Oriental Mindoro</v>
      </c>
      <c r="AM1157" s="2" t="str">
        <f>IFERROR(__xludf.DUMMYFUNCTION("""COMPUTED_VALUE"""),"4B")</f>
        <v>4B</v>
      </c>
      <c r="AN1157" s="2" t="str">
        <f>IFERROR(__xludf.DUMMYFUNCTION("""COMPUTED_VALUE"""),"RCEF 23-08-20 Rebidding")</f>
        <v>RCEF 23-08-20 Rebidding</v>
      </c>
      <c r="AO1157" s="2">
        <f>IFERROR(__xludf.DUMMYFUNCTION("""COMPUTED_VALUE"""),1.0)</f>
        <v>1</v>
      </c>
      <c r="AP1157" s="2"/>
      <c r="AQ1157" s="2"/>
      <c r="AR1157" s="2"/>
      <c r="AS1157" s="2"/>
      <c r="AT1157" s="2"/>
      <c r="AU1157" s="2"/>
      <c r="AV1157" s="2"/>
      <c r="AW1157" s="2"/>
      <c r="AX1157" s="2"/>
      <c r="AY1157" s="2"/>
      <c r="AZ1157" s="2"/>
      <c r="BA1157" s="2"/>
      <c r="BB1157" s="2"/>
    </row>
    <row r="1158">
      <c r="A1158" s="2">
        <f>IFERROR(__xludf.DUMMYFUNCTION("""COMPUTED_VALUE"""),1154.0)</f>
        <v>1154</v>
      </c>
      <c r="B1158" s="2" t="str">
        <f>IFERROR(__xludf.DUMMYFUNCTION("""COMPUTED_VALUE"""),"COMPLETED")</f>
        <v>COMPLETED</v>
      </c>
      <c r="C1158" s="74">
        <f>IFERROR(__xludf.DUMMYFUNCTION("""COMPUTED_VALUE"""),45932.0)</f>
        <v>45932</v>
      </c>
      <c r="D1158" s="71" t="str">
        <f>IFERROR(__xludf.DUMMYFUNCTION("""COMPUTED_VALUE"""),"BAGUMBAYAN ROXAS ORIENTAL MINDORO FARMERS ASSOCIATION")</f>
        <v>BAGUMBAYAN ROXAS ORIENTAL MINDORO FARMERS ASSOCIATION</v>
      </c>
      <c r="E1158" s="71" t="str">
        <f>IFERROR(__xludf.DUMMYFUNCTION("""COMPUTED_VALUE"""),"Bagumbayan, Roxas, Oriental Mindoro")</f>
        <v>Bagumbayan, Roxas, Oriental Mindoro</v>
      </c>
      <c r="F1158" s="2" t="str">
        <f>IFERROR(__xludf.DUMMYFUNCTION("""COMPUTED_VALUE"""),"GIOVANI GAA")</f>
        <v>GIOVANI GAA</v>
      </c>
      <c r="G1158" s="2">
        <f>IFERROR(__xludf.DUMMYFUNCTION("""COMPUTED_VALUE"""),9.304790163E9)</f>
        <v>9304790163</v>
      </c>
      <c r="H1158" s="2"/>
      <c r="I1158" s="72" t="str">
        <f>IFERROR(__xludf.DUMMYFUNCTION("""COMPUTED_VALUE"""),"REPAIR - ROTAVATOR")</f>
        <v>REPAIR - ROTAVATOR</v>
      </c>
      <c r="J1158" s="72" t="str">
        <f>IFERROR(__xludf.DUMMYFUNCTION("""COMPUTED_VALUE"""),"Training")</f>
        <v>Training</v>
      </c>
      <c r="K1158" s="72" t="str">
        <f>IFERROR(__xludf.DUMMYFUNCTION("""COMPUTED_VALUE"""),"JIE: BLADE OF ROTA NEED BAWASAN")</f>
        <v>JIE: BLADE OF ROTA NEED BAWASAN</v>
      </c>
      <c r="L1158" s="72" t="str">
        <f>IFERROR(__xludf.DUMMYFUNCTION("""COMPUTED_VALUE"""),"RCG: SILA NADAW MAG BABAWAS NG BLADE")</f>
        <v>RCG: SILA NADAW MAG BABAWAS NG BLADE</v>
      </c>
      <c r="M1158" s="2"/>
      <c r="N1158" s="2"/>
      <c r="O1158" s="2" t="str">
        <f>IFERROR(__xludf.DUMMYFUNCTION("""COMPUTED_VALUE"""),"N/A")</f>
        <v>N/A</v>
      </c>
      <c r="P1158" s="2"/>
      <c r="Q1158" s="2"/>
      <c r="R1158" s="74">
        <f>IFERROR(__xludf.DUMMYFUNCTION("""COMPUTED_VALUE"""),45949.0)</f>
        <v>45949</v>
      </c>
      <c r="S1158" s="2" t="str">
        <f>IFERROR(__xludf.DUMMYFUNCTION("""COMPUTED_VALUE"""),"RCG")</f>
        <v>RCG</v>
      </c>
      <c r="T1158" s="73" t="str">
        <f>IFERROR(__xludf.DUMMYFUNCTION("""COMPUTED_VALUE""")," N/A ")</f>
        <v>N/A</v>
      </c>
      <c r="U1158" s="73" t="str">
        <f>IFERROR(__xludf.DUMMYFUNCTION("""COMPUTED_VALUE""")," NO CHARGE ")</f>
        <v>NO CHARGE</v>
      </c>
      <c r="V1158" s="2"/>
      <c r="W1158" s="2" t="str">
        <f>IFERROR(__xludf.DUMMYFUNCTION("""COMPUTED_VALUE"""),"N/A")</f>
        <v>N/A</v>
      </c>
      <c r="X1158" s="2" t="str">
        <f>IFERROR(__xludf.DUMMYFUNCTION("""COMPUTED_VALUE"""),"N/A")</f>
        <v>N/A</v>
      </c>
      <c r="Y1158" s="2"/>
      <c r="Z1158" s="2"/>
      <c r="AA1158" s="2"/>
      <c r="AB1158" s="2"/>
      <c r="AC1158" s="2"/>
      <c r="AD1158" s="2"/>
      <c r="AE1158" s="2"/>
      <c r="AF1158" s="2"/>
      <c r="AG1158" s="2"/>
      <c r="AH1158" s="2"/>
      <c r="AI1158" s="2"/>
      <c r="AJ1158" s="2" t="str">
        <f>IFERROR(__xludf.DUMMYFUNCTION("""COMPUTED_VALUE"""),"Bagumbayan")</f>
        <v>Bagumbayan</v>
      </c>
      <c r="AK1158" s="2" t="str">
        <f>IFERROR(__xludf.DUMMYFUNCTION("""COMPUTED_VALUE"""),"Roxas")</f>
        <v>Roxas</v>
      </c>
      <c r="AL1158" s="2" t="str">
        <f>IFERROR(__xludf.DUMMYFUNCTION("""COMPUTED_VALUE"""),"Oriental Mindoro")</f>
        <v>Oriental Mindoro</v>
      </c>
      <c r="AM1158" s="2" t="str">
        <f>IFERROR(__xludf.DUMMYFUNCTION("""COMPUTED_VALUE"""),"4B")</f>
        <v>4B</v>
      </c>
      <c r="AN1158" s="2" t="str">
        <f>IFERROR(__xludf.DUMMYFUNCTION("""COMPUTED_VALUE"""),"RCEF 23-08-20 Rebidding")</f>
        <v>RCEF 23-08-20 Rebidding</v>
      </c>
      <c r="AO1158" s="2">
        <f>IFERROR(__xludf.DUMMYFUNCTION("""COMPUTED_VALUE"""),1.0)</f>
        <v>1</v>
      </c>
      <c r="AP1158" s="2"/>
      <c r="AQ1158" s="2"/>
      <c r="AR1158" s="2"/>
      <c r="AS1158" s="2"/>
      <c r="AT1158" s="2"/>
      <c r="AU1158" s="2"/>
      <c r="AV1158" s="2"/>
      <c r="AW1158" s="2"/>
      <c r="AX1158" s="2"/>
      <c r="AY1158" s="2"/>
      <c r="AZ1158" s="2"/>
      <c r="BA1158" s="2"/>
      <c r="BB1158" s="2"/>
    </row>
    <row r="1159">
      <c r="A1159" s="2">
        <f>IFERROR(__xludf.DUMMYFUNCTION("""COMPUTED_VALUE"""),1155.0)</f>
        <v>1155</v>
      </c>
      <c r="B1159" s="2" t="str">
        <f>IFERROR(__xludf.DUMMYFUNCTION("""COMPUTED_VALUE"""),"COMPLETED")</f>
        <v>COMPLETED</v>
      </c>
      <c r="C1159" s="74">
        <f>IFERROR(__xludf.DUMMYFUNCTION("""COMPUTED_VALUE"""),45932.0)</f>
        <v>45932</v>
      </c>
      <c r="D1159" s="71" t="str">
        <f>IFERROR(__xludf.DUMMYFUNCTION("""COMPUTED_VALUE"""),"Amnay Cabagan Irrigators and Farmers Agriculture Cooperative")</f>
        <v>Amnay Cabagan Irrigators and Farmers Agriculture Cooperative</v>
      </c>
      <c r="E1159" s="71" t="str">
        <f>IFERROR(__xludf.DUMMYFUNCTION("""COMPUTED_VALUE"""),"Barahan, Santa Cruz, OCCIDENTAL MINDORO")</f>
        <v>Barahan, Santa Cruz, OCCIDENTAL MINDORO</v>
      </c>
      <c r="F1159" s="2" t="str">
        <f>IFERROR(__xludf.DUMMYFUNCTION("""COMPUTED_VALUE"""),"JHONIFER APAN")</f>
        <v>JHONIFER APAN</v>
      </c>
      <c r="G1159" s="2">
        <f>IFERROR(__xludf.DUMMYFUNCTION("""COMPUTED_VALUE"""),9.557733522E9)</f>
        <v>9557733522</v>
      </c>
      <c r="H1159" s="2"/>
      <c r="I1159" s="72" t="str">
        <f>IFERROR(__xludf.DUMMYFUNCTION("""COMPUTED_VALUE"""),"REPAIR - TRACTOR")</f>
        <v>REPAIR - TRACTOR</v>
      </c>
      <c r="J1159" s="72" t="str">
        <f>IFERROR(__xludf.DUMMYFUNCTION("""COMPUTED_VALUE"""),"Front Axle - Leaking")</f>
        <v>Front Axle - Leaking</v>
      </c>
      <c r="K1159" s="72" t="str">
        <f>IFERROR(__xludf.DUMMYFUNCTION("""COMPUTED_VALUE"""),"MYK: FRONT AXLE LEAKING , DI NILA MA INDENTIFY KUNG ALING OIL SEAL SA HARAPAN ANG SIRA, 
(PREPARE 3 KINDS OF FRONT AXLE OIL SEAL)
MYK: ADDITIONAL PROBLEM: FUSE BOX AND HARNESS BURN OUT")</f>
        <v>MYK: FRONT AXLE LEAKING , DI NILA MA INDENTIFY KUNG ALING OIL SEAL SA HARAPAN ANG SIRA, 
(PREPARE 3 KINDS OF FRONT AXLE OIL SEAL)
MYK: ADDITIONAL PROBLEM: FUSE BOX AND HARNESS BURN OUT</v>
      </c>
      <c r="L1159" s="72" t="str">
        <f>IFERROR(__xludf.DUMMYFUNCTION("""COMPUTED_VALUE"""),"RCG: SILA NA MAG OUTSOURCE NG OILSEAL SA LABAS")</f>
        <v>RCG: SILA NA MAG OUTSOURCE NG OILSEAL SA LABAS</v>
      </c>
      <c r="M1159" s="2"/>
      <c r="N1159" s="2"/>
      <c r="O1159" s="2" t="str">
        <f>IFERROR(__xludf.DUMMYFUNCTION("""COMPUTED_VALUE"""),"N/A")</f>
        <v>N/A</v>
      </c>
      <c r="P1159" s="2"/>
      <c r="Q1159" s="2"/>
      <c r="R1159" s="74">
        <f>IFERROR(__xludf.DUMMYFUNCTION("""COMPUTED_VALUE"""),45978.0)</f>
        <v>45978</v>
      </c>
      <c r="S1159" s="2" t="str">
        <f>IFERROR(__xludf.DUMMYFUNCTION("""COMPUTED_VALUE"""),"RCG")</f>
        <v>RCG</v>
      </c>
      <c r="T1159" s="73" t="str">
        <f>IFERROR(__xludf.DUMMYFUNCTION("""COMPUTED_VALUE""")," N/A ")</f>
        <v>N/A</v>
      </c>
      <c r="U1159" s="73" t="str">
        <f>IFERROR(__xludf.DUMMYFUNCTION("""COMPUTED_VALUE""")," NO CHARGE ")</f>
        <v>NO CHARGE</v>
      </c>
      <c r="V1159" s="2"/>
      <c r="W1159" s="2" t="str">
        <f>IFERROR(__xludf.DUMMYFUNCTION("""COMPUTED_VALUE"""),"N/A")</f>
        <v>N/A</v>
      </c>
      <c r="X1159" s="2" t="str">
        <f>IFERROR(__xludf.DUMMYFUNCTION("""COMPUTED_VALUE"""),"N/A")</f>
        <v>N/A</v>
      </c>
      <c r="Y1159" s="2"/>
      <c r="Z1159" s="2"/>
      <c r="AA1159" s="2"/>
      <c r="AB1159" s="2"/>
      <c r="AC1159" s="2"/>
      <c r="AD1159" s="2"/>
      <c r="AE1159" s="2"/>
      <c r="AF1159" s="2"/>
      <c r="AG1159" s="2"/>
      <c r="AH1159" s="2"/>
      <c r="AI1159" s="2"/>
      <c r="AJ1159" s="2" t="str">
        <f>IFERROR(__xludf.DUMMYFUNCTION("""COMPUTED_VALUE"""),"Barahan")</f>
        <v>Barahan</v>
      </c>
      <c r="AK1159" s="2" t="str">
        <f>IFERROR(__xludf.DUMMYFUNCTION("""COMPUTED_VALUE"""),"Santa Cruz")</f>
        <v>Santa Cruz</v>
      </c>
      <c r="AL1159" s="2" t="str">
        <f>IFERROR(__xludf.DUMMYFUNCTION("""COMPUTED_VALUE"""),"Occidental Mindoro")</f>
        <v>Occidental Mindoro</v>
      </c>
      <c r="AM1159" s="2" t="str">
        <f>IFERROR(__xludf.DUMMYFUNCTION("""COMPUTED_VALUE"""),"4B")</f>
        <v>4B</v>
      </c>
      <c r="AN1159" s="2" t="str">
        <f>IFERROR(__xludf.DUMMYFUNCTION("""COMPUTED_VALUE"""),"RCEF 24-04-15")</f>
        <v>RCEF 24-04-15</v>
      </c>
      <c r="AO1159" s="2">
        <f>IFERROR(__xludf.DUMMYFUNCTION("""COMPUTED_VALUE"""),7.0)</f>
        <v>7</v>
      </c>
      <c r="AP1159" s="2" t="str">
        <f>IFERROR(__xludf.DUMMYFUNCTION("""COMPUTED_VALUE"""),"FREE PMS")</f>
        <v>FREE PMS</v>
      </c>
      <c r="AQ1159" s="2"/>
      <c r="AR1159" s="2"/>
      <c r="AS1159" s="2"/>
      <c r="AT1159" s="2"/>
      <c r="AU1159" s="2"/>
      <c r="AV1159" s="2"/>
      <c r="AW1159" s="2"/>
      <c r="AX1159" s="2"/>
      <c r="AY1159" s="2"/>
      <c r="AZ1159" s="2"/>
      <c r="BA1159" s="2"/>
      <c r="BB1159" s="2"/>
    </row>
    <row r="1160">
      <c r="A1160" s="2">
        <f>IFERROR(__xludf.DUMMYFUNCTION("""COMPUTED_VALUE"""),1156.0)</f>
        <v>1156</v>
      </c>
      <c r="B1160" s="2" t="str">
        <f>IFERROR(__xludf.DUMMYFUNCTION("""COMPUTED_VALUE"""),"COMPLETED")</f>
        <v>COMPLETED</v>
      </c>
      <c r="C1160" s="74">
        <f>IFERROR(__xludf.DUMMYFUNCTION("""COMPUTED_VALUE"""),45932.0)</f>
        <v>45932</v>
      </c>
      <c r="D1160" s="71" t="str">
        <f>IFERROR(__xludf.DUMMYFUNCTION("""COMPUTED_VALUE"""),"Cañapasan Banate Irrigators' Association Inc.")</f>
        <v>Cañapasan Banate Irrigators' Association Inc.</v>
      </c>
      <c r="E1160" s="71" t="str">
        <f>IFERROR(__xludf.DUMMYFUNCTION("""COMPUTED_VALUE"""),"Managopaya, Banate, ILOILO")</f>
        <v>Managopaya, Banate, ILOILO</v>
      </c>
      <c r="F1160" s="2" t="str">
        <f>IFERROR(__xludf.DUMMYFUNCTION("""COMPUTED_VALUE"""),"HELLY BAGSAIN")</f>
        <v>HELLY BAGSAIN</v>
      </c>
      <c r="G1160" s="2">
        <f>IFERROR(__xludf.DUMMYFUNCTION("""COMPUTED_VALUE"""),9.655208079E9)</f>
        <v>9655208079</v>
      </c>
      <c r="H1160" s="2"/>
      <c r="I1160" s="72" t="str">
        <f>IFERROR(__xludf.DUMMYFUNCTION("""COMPUTED_VALUE"""),"REPAIR - TRACTOR")</f>
        <v>REPAIR - TRACTOR</v>
      </c>
      <c r="J1160" s="72" t="str">
        <f>IFERROR(__xludf.DUMMYFUNCTION("""COMPUTED_VALUE"""),"PTO - Valve Assy")</f>
        <v>PTO - Valve Assy</v>
      </c>
      <c r="K1160" s="72" t="str">
        <f>IFERROR(__xludf.DUMMYFUNCTION("""COMPUTED_VALUE"""),"MYK: PAHINTO HINTO ULIT ANG ROTAVATOR
CFG: PTO VALVE ASSY PROBLEM , FOR PULL OUT THE PTO VALVE SOLENOID
RANDY: 10/20/25:
UPON REPLACEMENT OF PTO VALVE ASSY, NAPANSIN NA NI SIR RANDY NA NAG KARON NG TUBIG ANG HYDRAULIC TANK NILA, DAHIL NUNG NAG PMS SYA NO"&amp;"ON KULAY GATAS NA ANG LUMABAS, MAY POSIBILIDAD NA MASIRA NADIN ANG HYDRAULIC PUMP NILA. AT WALA NADI ANG ORIHINAL NA TAKIP ANG HYDRAULIC TANK PINALITAN NADIN NILA ITO NG TEMPORARY HYDRAULIC CUP, FOR OBSERVATION OF FARMER. (OPERATORS FAULT).")</f>
        <v>MYK: PAHINTO HINTO ULIT ANG ROTAVATOR
CFG: PTO VALVE ASSY PROBLEM , FOR PULL OUT THE PTO VALVE SOLENOID
RANDY: 10/20/25:
UPON REPLACEMENT OF PTO VALVE ASSY, NAPANSIN NA NI SIR RANDY NA NAG KARON NG TUBIG ANG HYDRAULIC TANK NILA, DAHIL NUNG NAG PMS SYA NOON KULAY GATAS NA ANG LUMABAS, MAY POSIBILIDAD NA MASIRA NADIN ANG HYDRAULIC PUMP NILA. AT WALA NADI ANG ORIHINAL NA TAKIP ANG HYDRAULIC TANK PINALITAN NADIN NILA ITO NG TEMPORARY HYDRAULIC CUP, FOR OBSERVATION OF FARMER. (OPERATORS FAULT).</v>
      </c>
      <c r="L1160" s="72" t="str">
        <f>IFERROR(__xludf.DUMMYFUNCTION("""COMPUTED_VALUE"""),"RANDY: REPLACED PTO VALVE ASSY")</f>
        <v>RANDY: REPLACED PTO VALVE ASSY</v>
      </c>
      <c r="M1160" s="2"/>
      <c r="N1160" s="2" t="str">
        <f>IFERROR(__xludf.DUMMYFUNCTION("""COMPUTED_VALUE"""),"PARTS:
PTO VALVE ASSEMBLY
LABOR c/o FCA")</f>
        <v>PARTS:
PTO VALVE ASSEMBLY
LABOR c/o FCA</v>
      </c>
      <c r="O1160" s="2" t="str">
        <f>IFERROR(__xludf.DUMMYFUNCTION("""COMPUTED_VALUE"""),"RANDY")</f>
        <v>RANDY</v>
      </c>
      <c r="P1160" s="2"/>
      <c r="Q1160" s="2"/>
      <c r="R1160" s="74">
        <f>IFERROR(__xludf.DUMMYFUNCTION("""COMPUTED_VALUE"""),45950.0)</f>
        <v>45950</v>
      </c>
      <c r="S1160" s="2" t="str">
        <f>IFERROR(__xludf.DUMMYFUNCTION("""COMPUTED_VALUE"""),"RANDY")</f>
        <v>RANDY</v>
      </c>
      <c r="T1160" s="73">
        <f>IFERROR(__xludf.DUMMYFUNCTION("""COMPUTED_VALUE"""),38460.0)</f>
        <v>38460</v>
      </c>
      <c r="U1160" s="73" t="str">
        <f>IFERROR(__xludf.DUMMYFUNCTION("""COMPUTED_VALUE""")," NO CHARGE ")</f>
        <v>NO CHARGE</v>
      </c>
      <c r="V1160" s="2"/>
      <c r="W1160" s="2" t="str">
        <f>IFERROR(__xludf.DUMMYFUNCTION("""COMPUTED_VALUE"""),"N/A")</f>
        <v>N/A</v>
      </c>
      <c r="X1160" s="2" t="str">
        <f>IFERROR(__xludf.DUMMYFUNCTION("""COMPUTED_VALUE"""),"N/A")</f>
        <v>N/A</v>
      </c>
      <c r="Y1160" s="2"/>
      <c r="Z1160" s="2"/>
      <c r="AA1160" s="2"/>
      <c r="AB1160" s="2"/>
      <c r="AC1160" s="2"/>
      <c r="AD1160" s="2"/>
      <c r="AE1160" s="2"/>
      <c r="AF1160" s="2"/>
      <c r="AG1160" s="2"/>
      <c r="AH1160" s="2"/>
      <c r="AI1160" s="2"/>
      <c r="AJ1160" s="2" t="str">
        <f>IFERROR(__xludf.DUMMYFUNCTION("""COMPUTED_VALUE"""),"Managopaya")</f>
        <v>Managopaya</v>
      </c>
      <c r="AK1160" s="2" t="str">
        <f>IFERROR(__xludf.DUMMYFUNCTION("""COMPUTED_VALUE"""),"Banate")</f>
        <v>Banate</v>
      </c>
      <c r="AL1160" s="2" t="str">
        <f>IFERROR(__xludf.DUMMYFUNCTION("""COMPUTED_VALUE"""),"Iloilo")</f>
        <v>Iloilo</v>
      </c>
      <c r="AM1160" s="2">
        <f>IFERROR(__xludf.DUMMYFUNCTION("""COMPUTED_VALUE"""),6.0)</f>
        <v>6</v>
      </c>
      <c r="AN1160" s="2" t="str">
        <f>IFERROR(__xludf.DUMMYFUNCTION("""COMPUTED_VALUE"""),"RCEF 23-09-21 Rebidding")</f>
        <v>RCEF 23-09-21 Rebidding</v>
      </c>
      <c r="AO1160" s="2">
        <f>IFERROR(__xludf.DUMMYFUNCTION("""COMPUTED_VALUE"""),4.0)</f>
        <v>4</v>
      </c>
      <c r="AP1160" s="2"/>
      <c r="AQ1160" s="2"/>
      <c r="AR1160" s="2"/>
      <c r="AS1160" s="2"/>
      <c r="AT1160" s="2"/>
      <c r="AU1160" s="2"/>
      <c r="AV1160" s="2"/>
      <c r="AW1160" s="2"/>
      <c r="AX1160" s="2"/>
      <c r="AY1160" s="2"/>
      <c r="AZ1160" s="2"/>
      <c r="BA1160" s="2"/>
      <c r="BB1160" s="2"/>
    </row>
    <row r="1161">
      <c r="A1161" s="2">
        <f>IFERROR(__xludf.DUMMYFUNCTION("""COMPUTED_VALUE"""),1157.0)</f>
        <v>1157</v>
      </c>
      <c r="B1161" s="2" t="str">
        <f>IFERROR(__xludf.DUMMYFUNCTION("""COMPUTED_VALUE"""),"COMPLETED")</f>
        <v>COMPLETED</v>
      </c>
      <c r="C1161" s="74">
        <f>IFERROR(__xludf.DUMMYFUNCTION("""COMPUTED_VALUE"""),45932.0)</f>
        <v>45932</v>
      </c>
      <c r="D1161" s="71" t="str">
        <f>IFERROR(__xludf.DUMMYFUNCTION("""COMPUTED_VALUE"""),"BARANGAY BATONG BUHAY FARMER'S ASSOCIATION")</f>
        <v>BARANGAY BATONG BUHAY FARMER'S ASSOCIATION</v>
      </c>
      <c r="E1161" s="71" t="str">
        <f>IFERROR(__xludf.DUMMYFUNCTION("""COMPUTED_VALUE"""),"BATONG BUHAY, SABLAYAN, OCCIDENTAL MINDORO")</f>
        <v>BATONG BUHAY, SABLAYAN, OCCIDENTAL MINDORO</v>
      </c>
      <c r="F1161" s="2" t="str">
        <f>IFERROR(__xludf.DUMMYFUNCTION("""COMPUTED_VALUE"""),"SIR SILAO
UNITED AS ONE AGRICULTURE COOPERATIVE")</f>
        <v>SIR SILAO
UNITED AS ONE AGRICULTURE COOPERATIVE</v>
      </c>
      <c r="G1161" s="2">
        <f>IFERROR(__xludf.DUMMYFUNCTION("""COMPUTED_VALUE"""),9.663595285E9)</f>
        <v>9663595285</v>
      </c>
      <c r="H1161" s="2"/>
      <c r="I1161" s="72" t="str">
        <f>IFERROR(__xludf.DUMMYFUNCTION("""COMPUTED_VALUE"""),"REPAIR - TRACTOR")</f>
        <v>REPAIR - TRACTOR</v>
      </c>
      <c r="J1161" s="72" t="str">
        <f>IFERROR(__xludf.DUMMYFUNCTION("""COMPUTED_VALUE"""),"Rear Axle - Leaking")</f>
        <v>Rear Axle - Leaking</v>
      </c>
      <c r="K1161" s="72" t="str">
        <f>IFERROR(__xludf.DUMMYFUNCTION("""COMPUTED_VALUE"""),"JIE: OIL SEAL SA LIKUDANG GULONG
PARTS: 
1-REAR AXLE OIL SEAL
2- OIL SEAL TA000041359A")</f>
        <v>JIE: OIL SEAL SA LIKUDANG GULONG
PARTS: 
1-REAR AXLE OIL SEAL
2- OIL SEAL TA000041359A</v>
      </c>
      <c r="L1161" s="72" t="str">
        <f>IFERROR(__xludf.DUMMYFUNCTION("""COMPUTED_VALUE"""),"QUOTATION SENT: CANCELLED: MAG OUTSOURCE NALANG SILA SA LABAS")</f>
        <v>QUOTATION SENT: CANCELLED: MAG OUTSOURCE NALANG SILA SA LABAS</v>
      </c>
      <c r="M1161" s="2"/>
      <c r="N1161" s="2"/>
      <c r="O1161" s="2" t="str">
        <f>IFERROR(__xludf.DUMMYFUNCTION("""COMPUTED_VALUE"""),"N/A")</f>
        <v>N/A</v>
      </c>
      <c r="P1161" s="2"/>
      <c r="Q1161" s="2"/>
      <c r="R1161" s="74">
        <f>IFERROR(__xludf.DUMMYFUNCTION("""COMPUTED_VALUE"""),45952.0)</f>
        <v>45952</v>
      </c>
      <c r="S1161" s="2" t="str">
        <f>IFERROR(__xludf.DUMMYFUNCTION("""COMPUTED_VALUE"""),"N/A")</f>
        <v>N/A</v>
      </c>
      <c r="T1161" s="73" t="str">
        <f>IFERROR(__xludf.DUMMYFUNCTION("""COMPUTED_VALUE""")," N/A ")</f>
        <v>N/A</v>
      </c>
      <c r="U1161" s="73" t="str">
        <f>IFERROR(__xludf.DUMMYFUNCTION("""COMPUTED_VALUE""")," NO CHARGE ")</f>
        <v>NO CHARGE</v>
      </c>
      <c r="V1161" s="2"/>
      <c r="W1161" s="2" t="str">
        <f>IFERROR(__xludf.DUMMYFUNCTION("""COMPUTED_VALUE"""),"N/A")</f>
        <v>N/A</v>
      </c>
      <c r="X1161" s="2" t="str">
        <f>IFERROR(__xludf.DUMMYFUNCTION("""COMPUTED_VALUE"""),"N/A")</f>
        <v>N/A</v>
      </c>
      <c r="Y1161" s="2"/>
      <c r="Z1161" s="2"/>
      <c r="AA1161" s="2"/>
      <c r="AB1161" s="2"/>
      <c r="AC1161" s="2"/>
      <c r="AD1161" s="2"/>
      <c r="AE1161" s="2"/>
      <c r="AF1161" s="2"/>
      <c r="AG1161" s="2"/>
      <c r="AH1161" s="2"/>
      <c r="AI1161" s="2"/>
      <c r="AJ1161" s="2" t="str">
        <f>IFERROR(__xludf.DUMMYFUNCTION("""COMPUTED_VALUE"""),"Batong Buhay")</f>
        <v>Batong Buhay</v>
      </c>
      <c r="AK1161" s="2" t="str">
        <f>IFERROR(__xludf.DUMMYFUNCTION("""COMPUTED_VALUE"""),"Sablayan")</f>
        <v>Sablayan</v>
      </c>
      <c r="AL1161" s="2" t="str">
        <f>IFERROR(__xludf.DUMMYFUNCTION("""COMPUTED_VALUE"""),"Occidental Mindoro")</f>
        <v>Occidental Mindoro</v>
      </c>
      <c r="AM1161" s="2" t="str">
        <f>IFERROR(__xludf.DUMMYFUNCTION("""COMPUTED_VALUE"""),"4B")</f>
        <v>4B</v>
      </c>
      <c r="AN1161" s="2" t="str">
        <f>IFERROR(__xludf.DUMMYFUNCTION("""COMPUTED_VALUE"""),"RCEF 23-08-20 Rebidding")</f>
        <v>RCEF 23-08-20 Rebidding</v>
      </c>
      <c r="AO1161" s="2">
        <f>IFERROR(__xludf.DUMMYFUNCTION("""COMPUTED_VALUE"""),1.0)</f>
        <v>1</v>
      </c>
      <c r="AP1161" s="2"/>
      <c r="AQ1161" s="2"/>
      <c r="AR1161" s="2"/>
      <c r="AS1161" s="2"/>
      <c r="AT1161" s="2"/>
      <c r="AU1161" s="2"/>
      <c r="AV1161" s="2"/>
      <c r="AW1161" s="2"/>
      <c r="AX1161" s="2"/>
      <c r="AY1161" s="2"/>
      <c r="AZ1161" s="2"/>
      <c r="BA1161" s="2"/>
      <c r="BB1161" s="2"/>
    </row>
    <row r="1162">
      <c r="A1162" s="2">
        <f>IFERROR(__xludf.DUMMYFUNCTION("""COMPUTED_VALUE"""),1158.0)</f>
        <v>1158</v>
      </c>
      <c r="B1162" s="2" t="str">
        <f>IFERROR(__xludf.DUMMYFUNCTION("""COMPUTED_VALUE"""),"COMPLETED")</f>
        <v>COMPLETED</v>
      </c>
      <c r="C1162" s="74">
        <f>IFERROR(__xludf.DUMMYFUNCTION("""COMPUTED_VALUE"""),45936.0)</f>
        <v>45936</v>
      </c>
      <c r="D1162" s="71" t="str">
        <f>IFERROR(__xludf.DUMMYFUNCTION("""COMPUTED_VALUE"""),"STO. TOMAS FARMERS' AND FISHERFOLKS ASSOCIATION")</f>
        <v>STO. TOMAS FARMERS' AND FISHERFOLKS ASSOCIATION</v>
      </c>
      <c r="E1162" s="71" t="str">
        <f>IFERROR(__xludf.DUMMYFUNCTION("""COMPUTED_VALUE"""),"Santo Tomas, Abulug, CAGAYAN")</f>
        <v>Santo Tomas, Abulug, CAGAYAN</v>
      </c>
      <c r="F1162" s="2" t="str">
        <f>IFERROR(__xludf.DUMMYFUNCTION("""COMPUTED_VALUE"""),"Enriqueta D. Tayco")</f>
        <v>Enriqueta D. Tayco</v>
      </c>
      <c r="G1162" s="2">
        <f>IFERROR(__xludf.DUMMYFUNCTION("""COMPUTED_VALUE"""),9.455369385E9)</f>
        <v>9455369385</v>
      </c>
      <c r="H1162" s="2">
        <f>IFERROR(__xludf.DUMMYFUNCTION("""COMPUTED_VALUE"""),516.0)</f>
        <v>516</v>
      </c>
      <c r="I1162" s="72" t="str">
        <f>IFERROR(__xludf.DUMMYFUNCTION("""COMPUTED_VALUE"""),"REPAIR - TRACTOR")</f>
        <v>REPAIR - TRACTOR</v>
      </c>
      <c r="J1162" s="72" t="str">
        <f>IFERROR(__xludf.DUMMYFUNCTION("""COMPUTED_VALUE"""),"PTO - Valve Assy")</f>
        <v>PTO - Valve Assy</v>
      </c>
      <c r="K1162" s="72" t="str">
        <f>IFERROR(__xludf.DUMMYFUNCTION("""COMPUTED_VALUE"""),"CFG: PAHINTO HINTO ANG ROTAVATOR
PARTS: PTO VALVE ASSEMBLY")</f>
        <v>CFG: PAHINTO HINTO ANG ROTAVATOR
PARTS: PTO VALVE ASSEMBLY</v>
      </c>
      <c r="L1162" s="72" t="str">
        <f>IFERROR(__xludf.DUMMYFUNCTION("""COMPUTED_VALUE"""),"JHP: NAMAHALAN SA PYESA PRICE: 38,460
CFG: OK NA 
CFG: NAG ORDER NALANG SILA SA SHOPPEE NG SOLENOID VALVE (VIA CALL)")</f>
        <v>JHP: NAMAHALAN SA PYESA PRICE: 38,460
CFG: OK NA 
CFG: NAG ORDER NALANG SILA SA SHOPPEE NG SOLENOID VALVE (VIA CALL)</v>
      </c>
      <c r="M1162" s="2" t="str">
        <f>IFERROR(__xludf.DUMMYFUNCTION("""COMPUTED_VALUE"""),"PTO VALVE ASSY")</f>
        <v>PTO VALVE ASSY</v>
      </c>
      <c r="N1162" s="2"/>
      <c r="O1162" s="2" t="str">
        <f>IFERROR(__xludf.DUMMYFUNCTION("""COMPUTED_VALUE"""),"N/A")</f>
        <v>N/A</v>
      </c>
      <c r="P1162" s="2"/>
      <c r="Q1162" s="2"/>
      <c r="R1162" s="74">
        <f>IFERROR(__xludf.DUMMYFUNCTION("""COMPUTED_VALUE"""),46092.0)</f>
        <v>46092</v>
      </c>
      <c r="S1162" s="2" t="str">
        <f>IFERROR(__xludf.DUMMYFUNCTION("""COMPUTED_VALUE"""),"CFG")</f>
        <v>CFG</v>
      </c>
      <c r="T1162" s="73" t="str">
        <f>IFERROR(__xludf.DUMMYFUNCTION("""COMPUTED_VALUE""")," N/A ")</f>
        <v>N/A</v>
      </c>
      <c r="U1162" s="73" t="str">
        <f>IFERROR(__xludf.DUMMYFUNCTION("""COMPUTED_VALUE""")," NO CHARGE ")</f>
        <v>NO CHARGE</v>
      </c>
      <c r="V1162" s="2" t="str">
        <f>IFERROR(__xludf.DUMMYFUNCTION("""COMPUTED_VALUE"""),"N/A")</f>
        <v>N/A</v>
      </c>
      <c r="W1162" s="2" t="str">
        <f>IFERROR(__xludf.DUMMYFUNCTION("""COMPUTED_VALUE"""),"N/A")</f>
        <v>N/A</v>
      </c>
      <c r="X1162" s="2" t="str">
        <f>IFERROR(__xludf.DUMMYFUNCTION("""COMPUTED_VALUE"""),"N/A")</f>
        <v>N/A</v>
      </c>
      <c r="Y1162" s="2"/>
      <c r="Z1162" s="2"/>
      <c r="AA1162" s="2"/>
      <c r="AB1162" s="2"/>
      <c r="AC1162" s="2"/>
      <c r="AD1162" s="2"/>
      <c r="AE1162" s="2"/>
      <c r="AF1162" s="2"/>
      <c r="AG1162" s="2"/>
      <c r="AH1162" s="2"/>
      <c r="AI1162" s="2"/>
      <c r="AJ1162" s="2" t="str">
        <f>IFERROR(__xludf.DUMMYFUNCTION("""COMPUTED_VALUE"""),"Santo Tomas")</f>
        <v>Santo Tomas</v>
      </c>
      <c r="AK1162" s="2" t="str">
        <f>IFERROR(__xludf.DUMMYFUNCTION("""COMPUTED_VALUE"""),"Abulug")</f>
        <v>Abulug</v>
      </c>
      <c r="AL1162" s="2" t="str">
        <f>IFERROR(__xludf.DUMMYFUNCTION("""COMPUTED_VALUE"""),"Cagayan")</f>
        <v>Cagayan</v>
      </c>
      <c r="AM1162" s="2">
        <f>IFERROR(__xludf.DUMMYFUNCTION("""COMPUTED_VALUE"""),2.0)</f>
        <v>2</v>
      </c>
      <c r="AN1162" s="2" t="str">
        <f>IFERROR(__xludf.DUMMYFUNCTION("""COMPUTED_VALUE"""),"RCEF 23-09-21 Rebidding")</f>
        <v>RCEF 23-09-21 Rebidding</v>
      </c>
      <c r="AO1162" s="2">
        <f>IFERROR(__xludf.DUMMYFUNCTION("""COMPUTED_VALUE"""),9.0)</f>
        <v>9</v>
      </c>
      <c r="AP1162" s="2"/>
      <c r="AQ1162" s="2"/>
      <c r="AR1162" s="2"/>
      <c r="AS1162" s="2"/>
      <c r="AT1162" s="2"/>
      <c r="AU1162" s="2"/>
      <c r="AV1162" s="2"/>
      <c r="AW1162" s="2"/>
      <c r="AX1162" s="2"/>
      <c r="AY1162" s="2"/>
      <c r="AZ1162" s="2"/>
      <c r="BA1162" s="2"/>
      <c r="BB1162" s="2"/>
    </row>
    <row r="1163">
      <c r="A1163" s="2">
        <f>IFERROR(__xludf.DUMMYFUNCTION("""COMPUTED_VALUE"""),1159.0)</f>
        <v>1159</v>
      </c>
      <c r="B1163" s="2" t="str">
        <f>IFERROR(__xludf.DUMMYFUNCTION("""COMPUTED_VALUE"""),"COMPLETED")</f>
        <v>COMPLETED</v>
      </c>
      <c r="C1163" s="74">
        <f>IFERROR(__xludf.DUMMYFUNCTION("""COMPUTED_VALUE"""),45936.0)</f>
        <v>45936</v>
      </c>
      <c r="D1163" s="71" t="str">
        <f>IFERROR(__xludf.DUMMYFUNCTION("""COMPUTED_VALUE"""),"Dalipdip Integrated Farmers Association")</f>
        <v>Dalipdip Integrated Farmers Association</v>
      </c>
      <c r="E1163" s="71" t="str">
        <f>IFERROR(__xludf.DUMMYFUNCTION("""COMPUTED_VALUE"""),"Dalipdip, Altavas, AKLAN")</f>
        <v>Dalipdip, Altavas, AKLAN</v>
      </c>
      <c r="F1163" s="2" t="str">
        <f>IFERROR(__xludf.DUMMYFUNCTION("""COMPUTED_VALUE"""),"Reynaldo Gallo")</f>
        <v>Reynaldo Gallo</v>
      </c>
      <c r="G1163" s="2">
        <f>IFERROR(__xludf.DUMMYFUNCTION("""COMPUTED_VALUE"""),6.39638247116E11)</f>
        <v>639638247116</v>
      </c>
      <c r="H1163" s="2"/>
      <c r="I1163" s="72" t="str">
        <f>IFERROR(__xludf.DUMMYFUNCTION("""COMPUTED_VALUE"""),"REPAIR - TRACTOR")</f>
        <v>REPAIR - TRACTOR</v>
      </c>
      <c r="J1163" s="72" t="str">
        <f>IFERROR(__xludf.DUMMYFUNCTION("""COMPUTED_VALUE"""),"CHECK UP UNIT")</f>
        <v>CHECK UP UNIT</v>
      </c>
      <c r="K1163" s="72" t="str">
        <f>IFERROR(__xludf.DUMMYFUNCTION("""COMPUTED_VALUE"""),"MYK: 
Concerns
... power take off ( PTO)
Work done: (FARMER)
... check dic plow bearings for Grease lub
.... disconnect PTO drive shaft 
And check PTO drive run the engine and activate Auto or manual mode and observe PTO result no power transmitted.
")</f>
        <v>MYK: 
Concerns
... power take off ( PTO)
Work done: (FARMER)
... check dic plow bearings for Grease lub
.... disconnect PTO drive shaft 
And check PTO drive run the engine and activate Auto or manual mode and observe PTO result no power transmitted.
</v>
      </c>
      <c r="L1163" s="72" t="str">
        <f>IFERROR(__xludf.DUMMYFUNCTION("""COMPUTED_VALUE"""),"MYK:  NAAYOS YUNG TRACTOR, SA NGAYUN OPERATIONAL, THEY CALL NALANG ULIT ONCE NAG KARON NG PROBLEM YUNG UNIT.")</f>
        <v>MYK:  NAAYOS YUNG TRACTOR, SA NGAYUN OPERATIONAL, THEY CALL NALANG ULIT ONCE NAG KARON NG PROBLEM YUNG UNIT.</v>
      </c>
      <c r="M1163" s="2"/>
      <c r="N1163" s="2"/>
      <c r="O1163" s="2" t="str">
        <f>IFERROR(__xludf.DUMMYFUNCTION("""COMPUTED_VALUE"""),"N/A")</f>
        <v>N/A</v>
      </c>
      <c r="P1163" s="2"/>
      <c r="Q1163" s="2"/>
      <c r="R1163" s="74">
        <f>IFERROR(__xludf.DUMMYFUNCTION("""COMPUTED_VALUE"""),45952.0)</f>
        <v>45952</v>
      </c>
      <c r="S1163" s="2" t="str">
        <f>IFERROR(__xludf.DUMMYFUNCTION("""COMPUTED_VALUE"""),"MYKEE")</f>
        <v>MYKEE</v>
      </c>
      <c r="T1163" s="73" t="str">
        <f>IFERROR(__xludf.DUMMYFUNCTION("""COMPUTED_VALUE""")," N/A ")</f>
        <v>N/A</v>
      </c>
      <c r="U1163" s="73" t="str">
        <f>IFERROR(__xludf.DUMMYFUNCTION("""COMPUTED_VALUE""")," NO CHARGE ")</f>
        <v>NO CHARGE</v>
      </c>
      <c r="V1163" s="2"/>
      <c r="W1163" s="2" t="str">
        <f>IFERROR(__xludf.DUMMYFUNCTION("""COMPUTED_VALUE"""),"N/A")</f>
        <v>N/A</v>
      </c>
      <c r="X1163" s="2" t="str">
        <f>IFERROR(__xludf.DUMMYFUNCTION("""COMPUTED_VALUE"""),"N/A")</f>
        <v>N/A</v>
      </c>
      <c r="Y1163" s="2"/>
      <c r="Z1163" s="2"/>
      <c r="AA1163" s="2"/>
      <c r="AB1163" s="2"/>
      <c r="AC1163" s="2"/>
      <c r="AD1163" s="2"/>
      <c r="AE1163" s="2"/>
      <c r="AF1163" s="2"/>
      <c r="AG1163" s="2"/>
      <c r="AH1163" s="2"/>
      <c r="AI1163" s="2"/>
      <c r="AJ1163" s="2" t="str">
        <f>IFERROR(__xludf.DUMMYFUNCTION("""COMPUTED_VALUE"""),"Dalipdip")</f>
        <v>Dalipdip</v>
      </c>
      <c r="AK1163" s="2" t="str">
        <f>IFERROR(__xludf.DUMMYFUNCTION("""COMPUTED_VALUE"""),"Altavas")</f>
        <v>Altavas</v>
      </c>
      <c r="AL1163" s="2" t="str">
        <f>IFERROR(__xludf.DUMMYFUNCTION("""COMPUTED_VALUE"""),"Aklan")</f>
        <v>Aklan</v>
      </c>
      <c r="AM1163" s="2">
        <f>IFERROR(__xludf.DUMMYFUNCTION("""COMPUTED_VALUE"""),6.0)</f>
        <v>6</v>
      </c>
      <c r="AN1163" s="2" t="str">
        <f>IFERROR(__xludf.DUMMYFUNCTION("""COMPUTED_VALUE"""),"RCEF 23-09-21 Rebidding")</f>
        <v>RCEF 23-09-21 Rebidding</v>
      </c>
      <c r="AO1163" s="2">
        <f>IFERROR(__xludf.DUMMYFUNCTION("""COMPUTED_VALUE"""),4.0)</f>
        <v>4</v>
      </c>
      <c r="AP1163" s="2"/>
      <c r="AQ1163" s="2"/>
      <c r="AR1163" s="2"/>
      <c r="AS1163" s="2"/>
      <c r="AT1163" s="2"/>
      <c r="AU1163" s="2"/>
      <c r="AV1163" s="2"/>
      <c r="AW1163" s="2"/>
      <c r="AX1163" s="2"/>
      <c r="AY1163" s="2"/>
      <c r="AZ1163" s="2"/>
      <c r="BA1163" s="2"/>
      <c r="BB1163" s="2"/>
    </row>
    <row r="1164">
      <c r="A1164" s="2">
        <f>IFERROR(__xludf.DUMMYFUNCTION("""COMPUTED_VALUE"""),1160.0)</f>
        <v>1160</v>
      </c>
      <c r="B1164" s="2" t="str">
        <f>IFERROR(__xludf.DUMMYFUNCTION("""COMPUTED_VALUE"""),"COMPLETED")</f>
        <v>COMPLETED</v>
      </c>
      <c r="C1164" s="74">
        <f>IFERROR(__xludf.DUMMYFUNCTION("""COMPUTED_VALUE"""),45936.0)</f>
        <v>45936</v>
      </c>
      <c r="D1164" s="71" t="str">
        <f>IFERROR(__xludf.DUMMYFUNCTION("""COMPUTED_VALUE"""),"MATABIAGA MALAWAAN IRRIGATORS ASSOCIATION, INC.")</f>
        <v>MATABIAGA MALAWAAN IRRIGATORS ASSOCIATION, INC.</v>
      </c>
      <c r="E1164" s="71" t="str">
        <f>IFERROR(__xludf.DUMMYFUNCTION("""COMPUTED_VALUE"""),"MALAWAAN, RIZAL, OCCIDENTAL MINDORO")</f>
        <v>MALAWAAN, RIZAL, OCCIDENTAL MINDORO</v>
      </c>
      <c r="F1164" s="2"/>
      <c r="G1164" s="2">
        <f>IFERROR(__xludf.DUMMYFUNCTION("""COMPUTED_VALUE"""),9.093540587E9)</f>
        <v>9093540587</v>
      </c>
      <c r="H1164" s="2"/>
      <c r="I1164" s="72" t="str">
        <f>IFERROR(__xludf.DUMMYFUNCTION("""COMPUTED_VALUE"""),"SPARE PARTS ACQUISITION")</f>
        <v>SPARE PARTS ACQUISITION</v>
      </c>
      <c r="J1164" s="72" t="str">
        <f>IFERROR(__xludf.DUMMYFUNCTION("""COMPUTED_VALUE"""),"SPARE PARTS ACQUISITION")</f>
        <v>SPARE PARTS ACQUISITION</v>
      </c>
      <c r="K1164" s="72" t="str">
        <f>IFERROR(__xludf.DUMMYFUNCTION("""COMPUTED_VALUE"""),"KFS:PARTS:
FRONT TIRES (LEFT &amp; RIGHT)
FRONT TUBE (LEFT &amp; RIGHT)
MYK: Willing to wait")</f>
        <v>KFS:PARTS:
FRONT TIRES (LEFT &amp; RIGHT)
FRONT TUBE (LEFT &amp; RIGHT)
MYK: Willing to wait</v>
      </c>
      <c r="L1164" s="72" t="str">
        <f>IFERROR(__xludf.DUMMYFUNCTION("""COMPUTED_VALUE"""),"QUOTATION SENT: DEILVERED")</f>
        <v>QUOTATION SENT: DEILVERED</v>
      </c>
      <c r="M1164" s="2"/>
      <c r="N1164" s="2" t="str">
        <f>IFERROR(__xludf.DUMMYFUNCTION("""COMPUTED_VALUE"""),"PARTS:
2-FRONT TIRE (9.5-16, 6PR) TC63050201
1-TUBE , 9.5-16 TC63050202
1-TUBE , 9.5-16 TC63050202 (DAMAGE)")</f>
        <v>PARTS:
2-FRONT TIRE (9.5-16, 6PR) TC63050201
1-TUBE , 9.5-16 TC63050202
1-TUBE , 9.5-16 TC63050202 (DAMAGE)</v>
      </c>
      <c r="O1164" s="2" t="str">
        <f>IFERROR(__xludf.DUMMYFUNCTION("""COMPUTED_VALUE"""),"N/A")</f>
        <v>N/A</v>
      </c>
      <c r="P1164" s="2"/>
      <c r="Q1164" s="2"/>
      <c r="R1164" s="74">
        <f>IFERROR(__xludf.DUMMYFUNCTION("""COMPUTED_VALUE"""),45946.0)</f>
        <v>45946</v>
      </c>
      <c r="S1164" s="2" t="str">
        <f>IFERROR(__xludf.DUMMYFUNCTION("""COMPUTED_VALUE"""),"MYKEE")</f>
        <v>MYKEE</v>
      </c>
      <c r="T1164" s="73">
        <f>IFERROR(__xludf.DUMMYFUNCTION("""COMPUTED_VALUE"""),87370.0)</f>
        <v>87370</v>
      </c>
      <c r="U1164" s="73" t="str">
        <f>IFERROR(__xludf.DUMMYFUNCTION("""COMPUTED_VALUE""")," REMITTED ")</f>
        <v>REMITTED</v>
      </c>
      <c r="V1164" s="2"/>
      <c r="W1164" s="2">
        <f>IFERROR(__xludf.DUMMYFUNCTION("""COMPUTED_VALUE"""),1520.0)</f>
        <v>1520</v>
      </c>
      <c r="X1164" s="2"/>
      <c r="Y1164" s="2"/>
      <c r="Z1164" s="2"/>
      <c r="AA1164" s="2"/>
      <c r="AB1164" s="2"/>
      <c r="AC1164" s="2"/>
      <c r="AD1164" s="2"/>
      <c r="AE1164" s="2"/>
      <c r="AF1164" s="2"/>
      <c r="AG1164" s="2"/>
      <c r="AH1164" s="2"/>
      <c r="AI1164" s="2"/>
      <c r="AJ1164" s="2" t="str">
        <f>IFERROR(__xludf.DUMMYFUNCTION("""COMPUTED_VALUE"""),"Malawaan")</f>
        <v>Malawaan</v>
      </c>
      <c r="AK1164" s="2" t="str">
        <f>IFERROR(__xludf.DUMMYFUNCTION("""COMPUTED_VALUE"""),"Rizal")</f>
        <v>Rizal</v>
      </c>
      <c r="AL1164" s="2" t="str">
        <f>IFERROR(__xludf.DUMMYFUNCTION("""COMPUTED_VALUE"""),"Occidental Mindoro")</f>
        <v>Occidental Mindoro</v>
      </c>
      <c r="AM1164" s="2" t="str">
        <f>IFERROR(__xludf.DUMMYFUNCTION("""COMPUTED_VALUE"""),"4B")</f>
        <v>4B</v>
      </c>
      <c r="AN1164" s="2" t="str">
        <f>IFERROR(__xludf.DUMMYFUNCTION("""COMPUTED_VALUE"""),"RCEF 23-08-20 Rebidding")</f>
        <v>RCEF 23-08-20 Rebidding</v>
      </c>
      <c r="AO1164" s="2">
        <f>IFERROR(__xludf.DUMMYFUNCTION("""COMPUTED_VALUE"""),1.0)</f>
        <v>1</v>
      </c>
      <c r="AP1164" s="2"/>
      <c r="AQ1164" s="2"/>
      <c r="AR1164" s="2"/>
      <c r="AS1164" s="2"/>
      <c r="AT1164" s="2"/>
      <c r="AU1164" s="2"/>
      <c r="AV1164" s="2"/>
      <c r="AW1164" s="2"/>
      <c r="AX1164" s="2"/>
      <c r="AY1164" s="2"/>
      <c r="AZ1164" s="2"/>
      <c r="BA1164" s="2"/>
      <c r="BB1164" s="2"/>
    </row>
    <row r="1165">
      <c r="A1165" s="2">
        <f>IFERROR(__xludf.DUMMYFUNCTION("""COMPUTED_VALUE"""),1161.0)</f>
        <v>1161</v>
      </c>
      <c r="B1165" s="2" t="str">
        <f>IFERROR(__xludf.DUMMYFUNCTION("""COMPUTED_VALUE"""),"COMPLETED")</f>
        <v>COMPLETED</v>
      </c>
      <c r="C1165" s="74">
        <f>IFERROR(__xludf.DUMMYFUNCTION("""COMPUTED_VALUE"""),45936.0)</f>
        <v>45936</v>
      </c>
      <c r="D1165" s="71" t="str">
        <f>IFERROR(__xludf.DUMMYFUNCTION("""COMPUTED_VALUE"""),"Oyungan Tacas Irrigators Association")</f>
        <v>Oyungan Tacas Irrigators Association</v>
      </c>
      <c r="E1165" s="71" t="str">
        <f>IFERROR(__xludf.DUMMYFUNCTION("""COMPUTED_VALUE"""),"Oyungan, Miagao, ILOILO")</f>
        <v>Oyungan, Miagao, ILOILO</v>
      </c>
      <c r="F1165" s="2" t="str">
        <f>IFERROR(__xludf.DUMMYFUNCTION("""COMPUTED_VALUE"""),"Jose N Mollenido")</f>
        <v>Jose N Mollenido</v>
      </c>
      <c r="G1165" s="2">
        <f>IFERROR(__xludf.DUMMYFUNCTION("""COMPUTED_VALUE"""),9.07183239E9)</f>
        <v>9071832390</v>
      </c>
      <c r="H1165" s="2"/>
      <c r="I1165" s="72" t="str">
        <f>IFERROR(__xludf.DUMMYFUNCTION("""COMPUTED_VALUE"""),"SPARE PARTS ACQUISITION")</f>
        <v>SPARE PARTS ACQUISITION</v>
      </c>
      <c r="J1165" s="72" t="str">
        <f>IFERROR(__xludf.DUMMYFUNCTION("""COMPUTED_VALUE"""),"PARTS REQUEST")</f>
        <v>PARTS REQUEST</v>
      </c>
      <c r="K1165" s="72" t="str">
        <f>IFERROR(__xludf.DUMMYFUNCTION("""COMPUTED_VALUE"""),"PARTS:
Fuel filter
Air cleaner Element")</f>
        <v>PARTS:
Fuel filter
Air cleaner Element</v>
      </c>
      <c r="L1165" s="72" t="str">
        <f>IFERROR(__xludf.DUMMYFUNCTION("""COMPUTED_VALUE"""),"QUOTATION SENT: CLOSED -  NO FEEDBACK FROM CLIENT")</f>
        <v>QUOTATION SENT: CLOSED -  NO FEEDBACK FROM CLIENT</v>
      </c>
      <c r="M1165" s="2"/>
      <c r="N1165" s="2"/>
      <c r="O1165" s="2" t="str">
        <f>IFERROR(__xludf.DUMMYFUNCTION("""COMPUTED_VALUE"""),"N/A")</f>
        <v>N/A</v>
      </c>
      <c r="P1165" s="2"/>
      <c r="Q1165" s="2"/>
      <c r="R1165" s="74">
        <f>IFERROR(__xludf.DUMMYFUNCTION("""COMPUTED_VALUE"""),46153.0)</f>
        <v>46153</v>
      </c>
      <c r="S1165" s="2" t="str">
        <f>IFERROR(__xludf.DUMMYFUNCTION("""COMPUTED_VALUE"""),"MYKEE")</f>
        <v>MYKEE</v>
      </c>
      <c r="T1165" s="73" t="str">
        <f>IFERROR(__xludf.DUMMYFUNCTION("""COMPUTED_VALUE""")," N/A ")</f>
        <v>N/A</v>
      </c>
      <c r="U1165" s="73" t="str">
        <f>IFERROR(__xludf.DUMMYFUNCTION("""COMPUTED_VALUE""")," NO CHARGE ")</f>
        <v>NO CHARGE</v>
      </c>
      <c r="V1165" s="2" t="str">
        <f>IFERROR(__xludf.DUMMYFUNCTION("""COMPUTED_VALUE"""),"N/A")</f>
        <v>N/A</v>
      </c>
      <c r="W1165" s="2" t="str">
        <f>IFERROR(__xludf.DUMMYFUNCTION("""COMPUTED_VALUE"""),"N/A")</f>
        <v>N/A</v>
      </c>
      <c r="X1165" s="2" t="str">
        <f>IFERROR(__xludf.DUMMYFUNCTION("""COMPUTED_VALUE"""),"N/A")</f>
        <v>N/A</v>
      </c>
      <c r="Y1165" s="2"/>
      <c r="Z1165" s="2"/>
      <c r="AA1165" s="2"/>
      <c r="AB1165" s="2"/>
      <c r="AC1165" s="2"/>
      <c r="AD1165" s="2"/>
      <c r="AE1165" s="2"/>
      <c r="AF1165" s="2"/>
      <c r="AG1165" s="2"/>
      <c r="AH1165" s="2"/>
      <c r="AI1165" s="2"/>
      <c r="AJ1165" s="2" t="str">
        <f>IFERROR(__xludf.DUMMYFUNCTION("""COMPUTED_VALUE"""),"Oyungan")</f>
        <v>Oyungan</v>
      </c>
      <c r="AK1165" s="2" t="str">
        <f>IFERROR(__xludf.DUMMYFUNCTION("""COMPUTED_VALUE"""),"Miagao")</f>
        <v>Miagao</v>
      </c>
      <c r="AL1165" s="2" t="str">
        <f>IFERROR(__xludf.DUMMYFUNCTION("""COMPUTED_VALUE"""),"Iloilo")</f>
        <v>Iloilo</v>
      </c>
      <c r="AM1165" s="2">
        <f>IFERROR(__xludf.DUMMYFUNCTION("""COMPUTED_VALUE"""),6.0)</f>
        <v>6</v>
      </c>
      <c r="AN1165" s="2" t="str">
        <f>IFERROR(__xludf.DUMMYFUNCTION("""COMPUTED_VALUE"""),"RCEF 23-09-21 Rebidding")</f>
        <v>RCEF 23-09-21 Rebidding</v>
      </c>
      <c r="AO1165" s="2">
        <f>IFERROR(__xludf.DUMMYFUNCTION("""COMPUTED_VALUE"""),4.0)</f>
        <v>4</v>
      </c>
      <c r="AP1165" s="2"/>
      <c r="AQ1165" s="2"/>
      <c r="AR1165" s="2"/>
      <c r="AS1165" s="2"/>
      <c r="AT1165" s="2"/>
      <c r="AU1165" s="2"/>
      <c r="AV1165" s="2"/>
      <c r="AW1165" s="2"/>
      <c r="AX1165" s="2"/>
      <c r="AY1165" s="2"/>
      <c r="AZ1165" s="2"/>
      <c r="BA1165" s="2"/>
      <c r="BB1165" s="2"/>
    </row>
    <row r="1166">
      <c r="A1166" s="2">
        <f>IFERROR(__xludf.DUMMYFUNCTION("""COMPUTED_VALUE"""),1162.0)</f>
        <v>1162</v>
      </c>
      <c r="B1166" s="2" t="str">
        <f>IFERROR(__xludf.DUMMYFUNCTION("""COMPUTED_VALUE"""),"COMPLETED")</f>
        <v>COMPLETED</v>
      </c>
      <c r="C1166" s="74">
        <f>IFERROR(__xludf.DUMMYFUNCTION("""COMPUTED_VALUE"""),45937.0)</f>
        <v>45937</v>
      </c>
      <c r="D1166" s="71" t="str">
        <f>IFERROR(__xludf.DUMMYFUNCTION("""COMPUTED_VALUE"""),"Upper Tiloy Farmers Association")</f>
        <v>Upper Tiloy Farmers Association</v>
      </c>
      <c r="E1166" s="71" t="str">
        <f>IFERROR(__xludf.DUMMYFUNCTION("""COMPUTED_VALUE"""),"Ilvita, Sablayan, OCCIDENTAL MINDORO")</f>
        <v>Ilvita, Sablayan, OCCIDENTAL MINDORO</v>
      </c>
      <c r="F1166" s="2" t="str">
        <f>IFERROR(__xludf.DUMMYFUNCTION("""COMPUTED_VALUE"""),"Artemio Lopez")</f>
        <v>Artemio Lopez</v>
      </c>
      <c r="G1166" s="2">
        <f>IFERROR(__xludf.DUMMYFUNCTION("""COMPUTED_VALUE"""),9.066011337E9)</f>
        <v>9066011337</v>
      </c>
      <c r="H1166" s="2">
        <f>IFERROR(__xludf.DUMMYFUNCTION("""COMPUTED_VALUE"""),65.0)</f>
        <v>65</v>
      </c>
      <c r="I1166" s="72" t="str">
        <f>IFERROR(__xludf.DUMMYFUNCTION("""COMPUTED_VALUE"""),"PMS")</f>
        <v>PMS</v>
      </c>
      <c r="J1166" s="72" t="str">
        <f>IFERROR(__xludf.DUMMYFUNCTION("""COMPUTED_VALUE"""),"PMS")</f>
        <v>PMS</v>
      </c>
      <c r="K1166" s="72" t="str">
        <f>IFERROR(__xludf.DUMMYFUNCTION("""COMPUTED_VALUE"""),"RCG: 1ST PMS")</f>
        <v>RCG: 1ST PMS</v>
      </c>
      <c r="L1166" s="72" t="str">
        <f>IFERROR(__xludf.DUMMYFUNCTION("""COMPUTED_VALUE"""),"RCG:PMS DONE")</f>
        <v>RCG:PMS DONE</v>
      </c>
      <c r="M1166" s="2"/>
      <c r="N1166" s="2" t="str">
        <f>IFERROR(__xludf.DUMMYFUNCTION("""COMPUTED_VALUE"""),"PARTS:
OIL FILTER
ENGINE OIL")</f>
        <v>PARTS:
OIL FILTER
ENGINE OIL</v>
      </c>
      <c r="O1166" s="2">
        <f>IFERROR(__xludf.DUMMYFUNCTION("""COMPUTED_VALUE"""),186.0)</f>
        <v>186</v>
      </c>
      <c r="P1166" s="2"/>
      <c r="Q1166" s="2" t="str">
        <f>IFERROR(__xludf.DUMMYFUNCTION("""COMPUTED_VALUE"""),"Y")</f>
        <v>Y</v>
      </c>
      <c r="R1166" s="74">
        <f>IFERROR(__xludf.DUMMYFUNCTION("""COMPUTED_VALUE"""),45947.0)</f>
        <v>45947</v>
      </c>
      <c r="S1166" s="2" t="str">
        <f>IFERROR(__xludf.DUMMYFUNCTION("""COMPUTED_VALUE"""),"RCG/RBS")</f>
        <v>RCG/RBS</v>
      </c>
      <c r="T1166" s="73" t="str">
        <f>IFERROR(__xludf.DUMMYFUNCTION("""COMPUTED_VALUE""")," N/A ")</f>
        <v>N/A</v>
      </c>
      <c r="U1166" s="73" t="str">
        <f>IFERROR(__xludf.DUMMYFUNCTION("""COMPUTED_VALUE""")," NO CHARGE ")</f>
        <v>NO CHARGE</v>
      </c>
      <c r="V1166" s="2"/>
      <c r="W1166" s="2" t="str">
        <f>IFERROR(__xludf.DUMMYFUNCTION("""COMPUTED_VALUE"""),"N/A")</f>
        <v>N/A</v>
      </c>
      <c r="X1166" s="2" t="str">
        <f>IFERROR(__xludf.DUMMYFUNCTION("""COMPUTED_VALUE"""),"N/A")</f>
        <v>N/A</v>
      </c>
      <c r="Y1166" s="2"/>
      <c r="Z1166" s="2"/>
      <c r="AA1166" s="2"/>
      <c r="AB1166" s="2"/>
      <c r="AC1166" s="2"/>
      <c r="AD1166" s="2"/>
      <c r="AE1166" s="2"/>
      <c r="AF1166" s="2"/>
      <c r="AG1166" s="2"/>
      <c r="AH1166" s="2"/>
      <c r="AI1166" s="2"/>
      <c r="AJ1166" s="2" t="str">
        <f>IFERROR(__xludf.DUMMYFUNCTION("""COMPUTED_VALUE"""),"Ilvita")</f>
        <v>Ilvita</v>
      </c>
      <c r="AK1166" s="2" t="str">
        <f>IFERROR(__xludf.DUMMYFUNCTION("""COMPUTED_VALUE"""),"Sablayan")</f>
        <v>Sablayan</v>
      </c>
      <c r="AL1166" s="2" t="str">
        <f>IFERROR(__xludf.DUMMYFUNCTION("""COMPUTED_VALUE"""),"Occidental Mindoro")</f>
        <v>Occidental Mindoro</v>
      </c>
      <c r="AM1166" s="2" t="str">
        <f>IFERROR(__xludf.DUMMYFUNCTION("""COMPUTED_VALUE"""),"4B")</f>
        <v>4B</v>
      </c>
      <c r="AN1166" s="2" t="str">
        <f>IFERROR(__xludf.DUMMYFUNCTION("""COMPUTED_VALUE"""),"RCEF 25-03-05")</f>
        <v>RCEF 25-03-05</v>
      </c>
      <c r="AO1166" s="2">
        <f>IFERROR(__xludf.DUMMYFUNCTION("""COMPUTED_VALUE"""),6.0)</f>
        <v>6</v>
      </c>
      <c r="AP1166" s="2" t="str">
        <f>IFERROR(__xludf.DUMMYFUNCTION("""COMPUTED_VALUE"""),"FREE PMS")</f>
        <v>FREE PMS</v>
      </c>
      <c r="AQ1166" s="2"/>
      <c r="AR1166" s="2"/>
      <c r="AS1166" s="2"/>
      <c r="AT1166" s="2"/>
      <c r="AU1166" s="2"/>
      <c r="AV1166" s="2"/>
      <c r="AW1166" s="2"/>
      <c r="AX1166" s="2"/>
      <c r="AY1166" s="2"/>
      <c r="AZ1166" s="2"/>
      <c r="BA1166" s="2"/>
      <c r="BB1166" s="2"/>
    </row>
    <row r="1167">
      <c r="A1167" s="2">
        <f>IFERROR(__xludf.DUMMYFUNCTION("""COMPUTED_VALUE"""),1163.0)</f>
        <v>1163</v>
      </c>
      <c r="B1167" s="2" t="str">
        <f>IFERROR(__xludf.DUMMYFUNCTION("""COMPUTED_VALUE"""),"COMPLETED")</f>
        <v>COMPLETED</v>
      </c>
      <c r="C1167" s="74">
        <f>IFERROR(__xludf.DUMMYFUNCTION("""COMPUTED_VALUE"""),45939.0)</f>
        <v>45939</v>
      </c>
      <c r="D1167" s="71" t="str">
        <f>IFERROR(__xludf.DUMMYFUNCTION("""COMPUTED_VALUE"""),"BARING SAN NICOLAS FARMERS ASSOCIATION")</f>
        <v>BARING SAN NICOLAS FARMERS ASSOCIATION</v>
      </c>
      <c r="E1167" s="71" t="str">
        <f>IFERROR(__xludf.DUMMYFUNCTION("""COMPUTED_VALUE"""),"San Nicolas, Castillejos, ZAMBALES")</f>
        <v>San Nicolas, Castillejos, ZAMBALES</v>
      </c>
      <c r="F1167" s="2"/>
      <c r="G1167" s="2" t="str">
        <f>IFERROR(__xludf.DUMMYFUNCTION("""COMPUTED_VALUE"""),"63 960 379 5403")</f>
        <v>63 960 379 5403</v>
      </c>
      <c r="H1167" s="2"/>
      <c r="I1167" s="72" t="str">
        <f>IFERROR(__xludf.DUMMYFUNCTION("""COMPUTED_VALUE"""),"REPAIR - TRACTOR")</f>
        <v>REPAIR - TRACTOR</v>
      </c>
      <c r="J1167" s="72" t="str">
        <f>IFERROR(__xludf.DUMMYFUNCTION("""COMPUTED_VALUE"""),"FUEL PUMP")</f>
        <v>FUEL PUMP</v>
      </c>
      <c r="K1167" s="72" t="str">
        <f>IFERROR(__xludf.DUMMYFUNCTION("""COMPUTED_VALUE"""),"ERP: Mababa yung RPM kapag nagrorotor- for check up and assessment")</f>
        <v>ERP: Mababa yung RPM kapag nagrorotor- for check up and assessment</v>
      </c>
      <c r="L1167" s="72" t="str">
        <f>IFERROR(__xludf.DUMMYFUNCTION("""COMPUTED_VALUE"""),"EGT:  CHECK UP UNIT , WE FOUND OUT THE PROBLEM IS THE FUEL PUMP")</f>
        <v>EGT:  CHECK UP UNIT , WE FOUND OUT THE PROBLEM IS THE FUEL PUMP</v>
      </c>
      <c r="M1167" s="2"/>
      <c r="N1167" s="2"/>
      <c r="O1167" s="2">
        <f>IFERROR(__xludf.DUMMYFUNCTION("""COMPUTED_VALUE"""),421.0)</f>
        <v>421</v>
      </c>
      <c r="P1167" s="2"/>
      <c r="Q1167" s="2" t="str">
        <f>IFERROR(__xludf.DUMMYFUNCTION("""COMPUTED_VALUE"""),"FOR PRINT")</f>
        <v>FOR PRINT</v>
      </c>
      <c r="R1167" s="74">
        <f>IFERROR(__xludf.DUMMYFUNCTION("""COMPUTED_VALUE"""),45950.0)</f>
        <v>45950</v>
      </c>
      <c r="S1167" s="2" t="str">
        <f>IFERROR(__xludf.DUMMYFUNCTION("""COMPUTED_VALUE"""),"EGT/DRM")</f>
        <v>EGT/DRM</v>
      </c>
      <c r="T1167" s="73" t="str">
        <f>IFERROR(__xludf.DUMMYFUNCTION("""COMPUTED_VALUE""")," N/A ")</f>
        <v>N/A</v>
      </c>
      <c r="U1167" s="73" t="str">
        <f>IFERROR(__xludf.DUMMYFUNCTION("""COMPUTED_VALUE""")," NO CHARGE ")</f>
        <v>NO CHARGE</v>
      </c>
      <c r="V1167" s="2"/>
      <c r="W1167" s="2" t="str">
        <f>IFERROR(__xludf.DUMMYFUNCTION("""COMPUTED_VALUE"""),"N/A")</f>
        <v>N/A</v>
      </c>
      <c r="X1167" s="2" t="str">
        <f>IFERROR(__xludf.DUMMYFUNCTION("""COMPUTED_VALUE"""),"N/A")</f>
        <v>N/A</v>
      </c>
      <c r="Y1167" s="2"/>
      <c r="Z1167" s="2"/>
      <c r="AA1167" s="2"/>
      <c r="AB1167" s="2"/>
      <c r="AC1167" s="2"/>
      <c r="AD1167" s="2"/>
      <c r="AE1167" s="2"/>
      <c r="AF1167" s="2"/>
      <c r="AG1167" s="2"/>
      <c r="AH1167" s="2"/>
      <c r="AI1167" s="2"/>
      <c r="AJ1167" s="2" t="str">
        <f>IFERROR(__xludf.DUMMYFUNCTION("""COMPUTED_VALUE"""),"San Nicolas")</f>
        <v>San Nicolas</v>
      </c>
      <c r="AK1167" s="2" t="str">
        <f>IFERROR(__xludf.DUMMYFUNCTION("""COMPUTED_VALUE"""),"Castillejos")</f>
        <v>Castillejos</v>
      </c>
      <c r="AL1167" s="2" t="str">
        <f>IFERROR(__xludf.DUMMYFUNCTION("""COMPUTED_VALUE"""),"Zambales")</f>
        <v>Zambales</v>
      </c>
      <c r="AM1167" s="2">
        <f>IFERROR(__xludf.DUMMYFUNCTION("""COMPUTED_VALUE"""),3.0)</f>
        <v>3</v>
      </c>
      <c r="AN1167" s="2" t="str">
        <f>IFERROR(__xludf.DUMMYFUNCTION("""COMPUTED_VALUE"""),"RCEF 23-09-21 Rebidding")</f>
        <v>RCEF 23-09-21 Rebidding</v>
      </c>
      <c r="AO1167" s="2">
        <f>IFERROR(__xludf.DUMMYFUNCTION("""COMPUTED_VALUE"""),3.0)</f>
        <v>3</v>
      </c>
      <c r="AP1167" s="2"/>
      <c r="AQ1167" s="2"/>
      <c r="AR1167" s="2"/>
      <c r="AS1167" s="2"/>
      <c r="AT1167" s="2"/>
      <c r="AU1167" s="2"/>
      <c r="AV1167" s="2"/>
      <c r="AW1167" s="2"/>
      <c r="AX1167" s="2"/>
      <c r="AY1167" s="2"/>
      <c r="AZ1167" s="2"/>
      <c r="BA1167" s="2"/>
      <c r="BB1167" s="2"/>
    </row>
    <row r="1168">
      <c r="A1168" s="2">
        <f>IFERROR(__xludf.DUMMYFUNCTION("""COMPUTED_VALUE"""),1164.0)</f>
        <v>1164</v>
      </c>
      <c r="B1168" s="2" t="str">
        <f>IFERROR(__xludf.DUMMYFUNCTION("""COMPUTED_VALUE"""),"COMPLETED")</f>
        <v>COMPLETED</v>
      </c>
      <c r="C1168" s="74">
        <f>IFERROR(__xludf.DUMMYFUNCTION("""COMPUTED_VALUE"""),45939.0)</f>
        <v>45939</v>
      </c>
      <c r="D1168" s="71" t="str">
        <f>IFERROR(__xludf.DUMMYFUNCTION("""COMPUTED_VALUE"""),"BAGACAY FARMERS ANG LIVESTOCK RAISERS ASSOCIATION")</f>
        <v>BAGACAY FARMERS ANG LIVESTOCK RAISERS ASSOCIATION</v>
      </c>
      <c r="E1168" s="71" t="str">
        <f>IFERROR(__xludf.DUMMYFUNCTION("""COMPUTED_VALUE"""),"Nasukob (Pob.), Bulalacao, ORIENTAL MINDORO")</f>
        <v>Nasukob (Pob.), Bulalacao, ORIENTAL MINDORO</v>
      </c>
      <c r="F1168" s="2" t="str">
        <f>IFERROR(__xludf.DUMMYFUNCTION("""COMPUTED_VALUE"""),"PIPITO CANTOS")</f>
        <v>PIPITO CANTOS</v>
      </c>
      <c r="G1168" s="2">
        <f>IFERROR(__xludf.DUMMYFUNCTION("""COMPUTED_VALUE"""),9.352515123E9)</f>
        <v>9352515123</v>
      </c>
      <c r="H1168" s="2">
        <f>IFERROR(__xludf.DUMMYFUNCTION("""COMPUTED_VALUE"""),8.0)</f>
        <v>8</v>
      </c>
      <c r="I1168" s="72" t="str">
        <f>IFERROR(__xludf.DUMMYFUNCTION("""COMPUTED_VALUE"""),"REPAIR - TRACTOR")</f>
        <v>REPAIR - TRACTOR</v>
      </c>
      <c r="J1168" s="72" t="str">
        <f>IFERROR(__xludf.DUMMYFUNCTION("""COMPUTED_VALUE"""),"Training")</f>
        <v>Training</v>
      </c>
      <c r="K1168" s="72" t="str">
        <f>IFERROR(__xludf.DUMMYFUNCTION("""COMPUTED_VALUE"""),"MYK: AYAW TUMAAS NA NG ROTAVATOR.")</f>
        <v>MYK: AYAW TUMAAS NA NG ROTAVATOR.</v>
      </c>
      <c r="L1168" s="72" t="str">
        <f>IFERROR(__xludf.DUMMYFUNCTION("""COMPUTED_VALUE"""),"RCG: ASSIST VIA CALL: LEVER SA GILID NG UPUAN SA KANAN , NAKA ENGAGE , PINA NEUTRAL KO. ")</f>
        <v>RCG: ASSIST VIA CALL: LEVER SA GILID NG UPUAN SA KANAN , NAKA ENGAGE , PINA NEUTRAL KO. </v>
      </c>
      <c r="M1168" s="2"/>
      <c r="N1168" s="2"/>
      <c r="O1168" s="2" t="str">
        <f>IFERROR(__xludf.DUMMYFUNCTION("""COMPUTED_VALUE"""),"N/A")</f>
        <v>N/A</v>
      </c>
      <c r="P1168" s="2"/>
      <c r="Q1168" s="2"/>
      <c r="R1168" s="74" t="str">
        <f>IFERROR(__xludf.DUMMYFUNCTION("""COMPUTED_VALUE"""),"10//9/25")</f>
        <v>10//9/25</v>
      </c>
      <c r="S1168" s="2" t="str">
        <f>IFERROR(__xludf.DUMMYFUNCTION("""COMPUTED_VALUE"""),"RCG")</f>
        <v>RCG</v>
      </c>
      <c r="T1168" s="73" t="str">
        <f>IFERROR(__xludf.DUMMYFUNCTION("""COMPUTED_VALUE""")," N/A ")</f>
        <v>N/A</v>
      </c>
      <c r="U1168" s="73" t="str">
        <f>IFERROR(__xludf.DUMMYFUNCTION("""COMPUTED_VALUE""")," NO CHARGE ")</f>
        <v>NO CHARGE</v>
      </c>
      <c r="V1168" s="2"/>
      <c r="W1168" s="2" t="str">
        <f>IFERROR(__xludf.DUMMYFUNCTION("""COMPUTED_VALUE"""),"N/A")</f>
        <v>N/A</v>
      </c>
      <c r="X1168" s="2" t="str">
        <f>IFERROR(__xludf.DUMMYFUNCTION("""COMPUTED_VALUE"""),"N/A")</f>
        <v>N/A</v>
      </c>
      <c r="Y1168" s="2"/>
      <c r="Z1168" s="2"/>
      <c r="AA1168" s="2"/>
      <c r="AB1168" s="2"/>
      <c r="AC1168" s="2"/>
      <c r="AD1168" s="2"/>
      <c r="AE1168" s="2"/>
      <c r="AF1168" s="2"/>
      <c r="AG1168" s="2"/>
      <c r="AH1168" s="2"/>
      <c r="AI1168" s="2"/>
      <c r="AJ1168" s="2" t="str">
        <f>IFERROR(__xludf.DUMMYFUNCTION("""COMPUTED_VALUE"""),"Nasukob (Pob.)")</f>
        <v>Nasukob (Pob.)</v>
      </c>
      <c r="AK1168" s="2" t="str">
        <f>IFERROR(__xludf.DUMMYFUNCTION("""COMPUTED_VALUE"""),"Bulalacao")</f>
        <v>Bulalacao</v>
      </c>
      <c r="AL1168" s="2" t="str">
        <f>IFERROR(__xludf.DUMMYFUNCTION("""COMPUTED_VALUE"""),"Oriental Mindoro")</f>
        <v>Oriental Mindoro</v>
      </c>
      <c r="AM1168" s="2" t="str">
        <f>IFERROR(__xludf.DUMMYFUNCTION("""COMPUTED_VALUE"""),"4B")</f>
        <v>4B</v>
      </c>
      <c r="AN1168" s="2" t="str">
        <f>IFERROR(__xludf.DUMMYFUNCTION("""COMPUTED_VALUE"""),"RCEF 25-03-05")</f>
        <v>RCEF 25-03-05</v>
      </c>
      <c r="AO1168" s="2">
        <f>IFERROR(__xludf.DUMMYFUNCTION("""COMPUTED_VALUE"""),6.0)</f>
        <v>6</v>
      </c>
      <c r="AP1168" s="2" t="str">
        <f>IFERROR(__xludf.DUMMYFUNCTION("""COMPUTED_VALUE"""),"FREE PMS")</f>
        <v>FREE PMS</v>
      </c>
      <c r="AQ1168" s="2"/>
      <c r="AR1168" s="2"/>
      <c r="AS1168" s="2"/>
      <c r="AT1168" s="2"/>
      <c r="AU1168" s="2"/>
      <c r="AV1168" s="2"/>
      <c r="AW1168" s="2"/>
      <c r="AX1168" s="2"/>
      <c r="AY1168" s="2"/>
      <c r="AZ1168" s="2"/>
      <c r="BA1168" s="2"/>
      <c r="BB1168" s="2"/>
    </row>
    <row r="1169">
      <c r="A1169" s="2">
        <f>IFERROR(__xludf.DUMMYFUNCTION("""COMPUTED_VALUE"""),1165.0)</f>
        <v>1165</v>
      </c>
      <c r="B1169" s="2" t="str">
        <f>IFERROR(__xludf.DUMMYFUNCTION("""COMPUTED_VALUE"""),"COMPLETED")</f>
        <v>COMPLETED</v>
      </c>
      <c r="C1169" s="74">
        <f>IFERROR(__xludf.DUMMYFUNCTION("""COMPUTED_VALUE"""),45944.0)</f>
        <v>45944</v>
      </c>
      <c r="D1169" s="71" t="str">
        <f>IFERROR(__xludf.DUMMYFUNCTION("""COMPUTED_VALUE"""),"ASSOCIATION OF HARDWORKING FARMERS OF SAN JOSE")</f>
        <v>ASSOCIATION OF HARDWORKING FARMERS OF SAN JOSE</v>
      </c>
      <c r="E1169" s="71" t="str">
        <f>IFERROR(__xludf.DUMMYFUNCTION("""COMPUTED_VALUE"""),"Mababanaba, San Jose, TARLAC")</f>
        <v>Mababanaba, San Jose, TARLAC</v>
      </c>
      <c r="F1169" s="2" t="str">
        <f>IFERROR(__xludf.DUMMYFUNCTION("""COMPUTED_VALUE"""),"Rey Rombaoa")</f>
        <v>Rey Rombaoa</v>
      </c>
      <c r="G1169" s="2">
        <f>IFERROR(__xludf.DUMMYFUNCTION("""COMPUTED_VALUE"""),9.636805444E9)</f>
        <v>9636805444</v>
      </c>
      <c r="H1169" s="2">
        <f>IFERROR(__xludf.DUMMYFUNCTION("""COMPUTED_VALUE"""),661.0)</f>
        <v>661</v>
      </c>
      <c r="I1169" s="72" t="str">
        <f>IFERROR(__xludf.DUMMYFUNCTION("""COMPUTED_VALUE"""),"REPAIR - TRACTOR")</f>
        <v>REPAIR - TRACTOR</v>
      </c>
      <c r="J1169" s="72" t="str">
        <f>IFERROR(__xludf.DUMMYFUNCTION("""COMPUTED_VALUE"""),"Engine - Overhaul")</f>
        <v>Engine - Overhaul</v>
      </c>
      <c r="K1169" s="72" t="str">
        <f>IFERROR(__xludf.DUMMYFUNCTION("""COMPUTED_VALUE"""),"JHP: MAY KAKAIBANG TUNOG SA MAKINA
JHP: MAY GASGAS ULIT ANG LINER, ENGINE NUTING , 
ENGINE BLOCK
PISTON 
PISTONG RING
")</f>
        <v>JHP: MAY KAKAIBANG TUNOG SA MAKINA
JHP: MAY GASGAS ULIT ANG LINER, ENGINE NUTING , 
ENGINE BLOCK
PISTON 
PISTONG RING
</v>
      </c>
      <c r="L1169" s="72" t="str">
        <f>IFERROR(__xludf.DUMMYFUNCTION("""COMPUTED_VALUE"""),"ACS: ENGINE OVERHAUL")</f>
        <v>ACS: ENGINE OVERHAUL</v>
      </c>
      <c r="M1169" s="2"/>
      <c r="N1169" s="2" t="str">
        <f>IFERROR(__xludf.DUMMYFUNCTION("""COMPUTED_VALUE"""),"PARTS:
ENGINE BLOCK
4- PISTONG RING
4- PISTON ENGINE
1- CYLINDER HEAD GASKET
5L- ENGINE OIL
1- OIL FILTER ")</f>
        <v>PARTS:
ENGINE BLOCK
4- PISTONG RING
4- PISTON ENGINE
1- CYLINDER HEAD GASKET
5L- ENGINE OIL
1- OIL FILTER </v>
      </c>
      <c r="O1169" s="2">
        <f>IFERROR(__xludf.DUMMYFUNCTION("""COMPUTED_VALUE"""),1434.0)</f>
        <v>1434</v>
      </c>
      <c r="P1169" s="2"/>
      <c r="Q1169" s="2" t="str">
        <f>IFERROR(__xludf.DUMMYFUNCTION("""COMPUTED_VALUE"""),"Y")</f>
        <v>Y</v>
      </c>
      <c r="R1169" s="74">
        <f>IFERROR(__xludf.DUMMYFUNCTION("""COMPUTED_VALUE"""),45960.0)</f>
        <v>45960</v>
      </c>
      <c r="S1169" s="2" t="str">
        <f>IFERROR(__xludf.DUMMYFUNCTION("""COMPUTED_VALUE"""),"JHP/ACS")</f>
        <v>JHP/ACS</v>
      </c>
      <c r="T1169" s="73" t="str">
        <f>IFERROR(__xludf.DUMMYFUNCTION("""COMPUTED_VALUE""")," N/A ")</f>
        <v>N/A</v>
      </c>
      <c r="U1169" s="73" t="str">
        <f>IFERROR(__xludf.DUMMYFUNCTION("""COMPUTED_VALUE""")," NO CHARGE ")</f>
        <v>NO CHARGE</v>
      </c>
      <c r="V1169" s="2"/>
      <c r="W1169" s="2" t="str">
        <f>IFERROR(__xludf.DUMMYFUNCTION("""COMPUTED_VALUE"""),"N/A")</f>
        <v>N/A</v>
      </c>
      <c r="X1169" s="2" t="str">
        <f>IFERROR(__xludf.DUMMYFUNCTION("""COMPUTED_VALUE"""),"N/A")</f>
        <v>N/A</v>
      </c>
      <c r="Y1169" s="2"/>
      <c r="Z1169" s="2"/>
      <c r="AA1169" s="2"/>
      <c r="AB1169" s="2"/>
      <c r="AC1169" s="2"/>
      <c r="AD1169" s="2"/>
      <c r="AE1169" s="2"/>
      <c r="AF1169" s="2"/>
      <c r="AG1169" s="2"/>
      <c r="AH1169" s="2"/>
      <c r="AI1169" s="2"/>
      <c r="AJ1169" s="2" t="str">
        <f>IFERROR(__xludf.DUMMYFUNCTION("""COMPUTED_VALUE"""),"Mababanaba")</f>
        <v>Mababanaba</v>
      </c>
      <c r="AK1169" s="2" t="str">
        <f>IFERROR(__xludf.DUMMYFUNCTION("""COMPUTED_VALUE"""),"San Jose")</f>
        <v>San Jose</v>
      </c>
      <c r="AL1169" s="2" t="str">
        <f>IFERROR(__xludf.DUMMYFUNCTION("""COMPUTED_VALUE"""),"Tarlac")</f>
        <v>Tarlac</v>
      </c>
      <c r="AM1169" s="2">
        <f>IFERROR(__xludf.DUMMYFUNCTION("""COMPUTED_VALUE"""),3.0)</f>
        <v>3</v>
      </c>
      <c r="AN1169" s="2" t="str">
        <f>IFERROR(__xludf.DUMMYFUNCTION("""COMPUTED_VALUE"""),"RCEF 23-09-21 Rebidding")</f>
        <v>RCEF 23-09-21 Rebidding</v>
      </c>
      <c r="AO1169" s="2">
        <f>IFERROR(__xludf.DUMMYFUNCTION("""COMPUTED_VALUE"""),3.0)</f>
        <v>3</v>
      </c>
      <c r="AP1169" s="2"/>
      <c r="AQ1169" s="2"/>
      <c r="AR1169" s="2"/>
      <c r="AS1169" s="2"/>
      <c r="AT1169" s="2"/>
      <c r="AU1169" s="2"/>
      <c r="AV1169" s="2"/>
      <c r="AW1169" s="2"/>
      <c r="AX1169" s="2"/>
      <c r="AY1169" s="2"/>
      <c r="AZ1169" s="2"/>
      <c r="BA1169" s="2"/>
      <c r="BB1169" s="2"/>
    </row>
    <row r="1170">
      <c r="A1170" s="2">
        <f>IFERROR(__xludf.DUMMYFUNCTION("""COMPUTED_VALUE"""),1166.0)</f>
        <v>1166</v>
      </c>
      <c r="B1170" s="2" t="str">
        <f>IFERROR(__xludf.DUMMYFUNCTION("""COMPUTED_VALUE"""),"COMPLETED")</f>
        <v>COMPLETED</v>
      </c>
      <c r="C1170" s="74">
        <f>IFERROR(__xludf.DUMMYFUNCTION("""COMPUTED_VALUE"""),45944.0)</f>
        <v>45944</v>
      </c>
      <c r="D1170" s="71" t="str">
        <f>IFERROR(__xludf.DUMMYFUNCTION("""COMPUTED_VALUE"""),"PEDERASYON NG MGA SAMAHAN NG MAGSASAKA NG TIAONG, QUEZON")</f>
        <v>PEDERASYON NG MGA SAMAHAN NG MAGSASAKA NG TIAONG, QUEZON</v>
      </c>
      <c r="E1170" s="71" t="str">
        <f>IFERROR(__xludf.DUMMYFUNCTION("""COMPUTED_VALUE"""),"Poblacion 3, Tiaong, Quezon")</f>
        <v>Poblacion 3, Tiaong, Quezon</v>
      </c>
      <c r="F1170" s="2" t="str">
        <f>IFERROR(__xludf.DUMMYFUNCTION("""COMPUTED_VALUE"""),"DANILO GUEVARA")</f>
        <v>DANILO GUEVARA</v>
      </c>
      <c r="G1170" s="2">
        <f>IFERROR(__xludf.DUMMYFUNCTION("""COMPUTED_VALUE"""),9.282559507E9)</f>
        <v>9282559507</v>
      </c>
      <c r="H1170" s="2"/>
      <c r="I1170" s="72" t="str">
        <f>IFERROR(__xludf.DUMMYFUNCTION("""COMPUTED_VALUE"""),"REPAIR - TRACTOR")</f>
        <v>REPAIR - TRACTOR</v>
      </c>
      <c r="J1170" s="72" t="str">
        <f>IFERROR(__xludf.DUMMYFUNCTION("""COMPUTED_VALUE"""),"Transmission - Clutch")</f>
        <v>Transmission - Clutch</v>
      </c>
      <c r="K1170" s="72" t="str">
        <f>IFERROR(__xludf.DUMMYFUNCTION("""COMPUTED_VALUE"""),"MYK: AYAW NANG HUMATAK NG TRACTOR")</f>
        <v>MYK: AYAW NANG HUMATAK NG TRACTOR</v>
      </c>
      <c r="L1170" s="72" t="str">
        <f>IFERROR(__xludf.DUMMYFUNCTION("""COMPUTED_VALUE"""),"JIE: PINGAWA NA SA IBA ANG UNIT. UNIT  IS OPERATIONAL - 11//6/25")</f>
        <v>JIE: PINGAWA NA SA IBA ANG UNIT. UNIT  IS OPERATIONAL - 11//6/25</v>
      </c>
      <c r="M1170" s="2"/>
      <c r="N1170" s="2"/>
      <c r="O1170" s="2" t="str">
        <f>IFERROR(__xludf.DUMMYFUNCTION("""COMPUTED_VALUE"""),"N/A")</f>
        <v>N/A</v>
      </c>
      <c r="P1170" s="2"/>
      <c r="Q1170" s="2"/>
      <c r="R1170" s="74">
        <f>IFERROR(__xludf.DUMMYFUNCTION("""COMPUTED_VALUE"""),45967.0)</f>
        <v>45967</v>
      </c>
      <c r="S1170" s="2" t="str">
        <f>IFERROR(__xludf.DUMMYFUNCTION("""COMPUTED_VALUE"""),"JIE")</f>
        <v>JIE</v>
      </c>
      <c r="T1170" s="73" t="str">
        <f>IFERROR(__xludf.DUMMYFUNCTION("""COMPUTED_VALUE""")," N/A ")</f>
        <v>N/A</v>
      </c>
      <c r="U1170" s="73" t="str">
        <f>IFERROR(__xludf.DUMMYFUNCTION("""COMPUTED_VALUE""")," NO CHARGE ")</f>
        <v>NO CHARGE</v>
      </c>
      <c r="V1170" s="2"/>
      <c r="W1170" s="2" t="str">
        <f>IFERROR(__xludf.DUMMYFUNCTION("""COMPUTED_VALUE"""),"N/A")</f>
        <v>N/A</v>
      </c>
      <c r="X1170" s="2" t="str">
        <f>IFERROR(__xludf.DUMMYFUNCTION("""COMPUTED_VALUE"""),"N/A")</f>
        <v>N/A</v>
      </c>
      <c r="Y1170" s="2"/>
      <c r="Z1170" s="2"/>
      <c r="AA1170" s="2"/>
      <c r="AB1170" s="2"/>
      <c r="AC1170" s="2"/>
      <c r="AD1170" s="2"/>
      <c r="AE1170" s="2"/>
      <c r="AF1170" s="2"/>
      <c r="AG1170" s="2"/>
      <c r="AH1170" s="2"/>
      <c r="AI1170" s="2"/>
      <c r="AJ1170" s="2" t="str">
        <f>IFERROR(__xludf.DUMMYFUNCTION("""COMPUTED_VALUE"""),"Poblacion 3")</f>
        <v>Poblacion 3</v>
      </c>
      <c r="AK1170" s="2" t="str">
        <f>IFERROR(__xludf.DUMMYFUNCTION("""COMPUTED_VALUE"""),"Tiaong")</f>
        <v>Tiaong</v>
      </c>
      <c r="AL1170" s="2" t="str">
        <f>IFERROR(__xludf.DUMMYFUNCTION("""COMPUTED_VALUE"""),"Quezon")</f>
        <v>Quezon</v>
      </c>
      <c r="AM1170" s="2" t="str">
        <f>IFERROR(__xludf.DUMMYFUNCTION("""COMPUTED_VALUE"""),"4A")</f>
        <v>4A</v>
      </c>
      <c r="AN1170" s="2" t="str">
        <f>IFERROR(__xludf.DUMMYFUNCTION("""COMPUTED_VALUE"""),"RCEF 23-08-20 Rebidding")</f>
        <v>RCEF 23-08-20 Rebidding</v>
      </c>
      <c r="AO1170" s="2">
        <f>IFERROR(__xludf.DUMMYFUNCTION("""COMPUTED_VALUE"""),1.0)</f>
        <v>1</v>
      </c>
      <c r="AP1170" s="2"/>
      <c r="AQ1170" s="2"/>
      <c r="AR1170" s="2"/>
      <c r="AS1170" s="2"/>
      <c r="AT1170" s="2"/>
      <c r="AU1170" s="2"/>
      <c r="AV1170" s="2"/>
      <c r="AW1170" s="2"/>
      <c r="AX1170" s="2"/>
      <c r="AY1170" s="2"/>
      <c r="AZ1170" s="2"/>
      <c r="BA1170" s="2"/>
      <c r="BB1170" s="2"/>
    </row>
    <row r="1171">
      <c r="A1171" s="2">
        <f>IFERROR(__xludf.DUMMYFUNCTION("""COMPUTED_VALUE"""),1167.0)</f>
        <v>1167</v>
      </c>
      <c r="B1171" s="2" t="str">
        <f>IFERROR(__xludf.DUMMYFUNCTION("""COMPUTED_VALUE"""),"COMPLETED")</f>
        <v>COMPLETED</v>
      </c>
      <c r="C1171" s="74">
        <f>IFERROR(__xludf.DUMMYFUNCTION("""COMPUTED_VALUE"""),45944.0)</f>
        <v>45944</v>
      </c>
      <c r="D1171" s="71" t="str">
        <f>IFERROR(__xludf.DUMMYFUNCTION("""COMPUTED_VALUE"""),"Puente Bunglas Farmers Association")</f>
        <v>Puente Bunglas Farmers Association</v>
      </c>
      <c r="E1171" s="71" t="str">
        <f>IFERROR(__xludf.DUMMYFUNCTION("""COMPUTED_VALUE"""),"Puente Bunglas, Ajuy, ILOILO")</f>
        <v>Puente Bunglas, Ajuy, ILOILO</v>
      </c>
      <c r="F1171" s="2" t="str">
        <f>IFERROR(__xludf.DUMMYFUNCTION("""COMPUTED_VALUE"""),"RIZA ELER")</f>
        <v>RIZA ELER</v>
      </c>
      <c r="G1171" s="2">
        <f>IFERROR(__xludf.DUMMYFUNCTION("""COMPUTED_VALUE"""),9.382247049E9)</f>
        <v>9382247049</v>
      </c>
      <c r="H1171" s="2"/>
      <c r="I1171" s="72" t="str">
        <f>IFERROR(__xludf.DUMMYFUNCTION("""COMPUTED_VALUE"""),"SPARE PARTS ACQUISITION")</f>
        <v>SPARE PARTS ACQUISITION</v>
      </c>
      <c r="J1171" s="72" t="str">
        <f>IFERROR(__xludf.DUMMYFUNCTION("""COMPUTED_VALUE"""),"PARTS REQUEST")</f>
        <v>PARTS REQUEST</v>
      </c>
      <c r="K1171" s="72" t="str">
        <f>IFERROR(__xludf.DUMMYFUNCTION("""COMPUTED_VALUE"""),"MYK: PARTS REQUEST
FUEL FILTER
1/27/26- 
PTO VALVE 
SHAFTING SA FRONT DRIVE
")</f>
        <v>MYK: PARTS REQUEST
FUEL FILTER
1/27/26- 
PTO VALVE 
SHAFTING SA FRONT DRIVE
</v>
      </c>
      <c r="L1171" s="72" t="str">
        <f>IFERROR(__xludf.DUMMYFUNCTION("""COMPUTED_VALUE"""),"FF. CALL-  1/27/26 -  BALIKAN NALANG DAW SILA SA 2ND WEEK OF FEBRUARY 2026
MYK: CLOSED NO FEEDBACK FROM CLIENT")</f>
        <v>FF. CALL-  1/27/26 -  BALIKAN NALANG DAW SILA SA 2ND WEEK OF FEBRUARY 2026
MYK: CLOSED NO FEEDBACK FROM CLIENT</v>
      </c>
      <c r="M1171" s="2"/>
      <c r="N1171" s="2"/>
      <c r="O1171" s="2" t="str">
        <f>IFERROR(__xludf.DUMMYFUNCTION("""COMPUTED_VALUE"""),"N/A")</f>
        <v>N/A</v>
      </c>
      <c r="P1171" s="2"/>
      <c r="Q1171" s="2"/>
      <c r="R1171" s="74">
        <f>IFERROR(__xludf.DUMMYFUNCTION("""COMPUTED_VALUE"""),46153.0)</f>
        <v>46153</v>
      </c>
      <c r="S1171" s="2" t="str">
        <f>IFERROR(__xludf.DUMMYFUNCTION("""COMPUTED_VALUE"""),"MYKEE")</f>
        <v>MYKEE</v>
      </c>
      <c r="T1171" s="73" t="str">
        <f>IFERROR(__xludf.DUMMYFUNCTION("""COMPUTED_VALUE""")," N/A ")</f>
        <v>N/A</v>
      </c>
      <c r="U1171" s="73" t="str">
        <f>IFERROR(__xludf.DUMMYFUNCTION("""COMPUTED_VALUE""")," NO CHARGE ")</f>
        <v>NO CHARGE</v>
      </c>
      <c r="V1171" s="2" t="str">
        <f>IFERROR(__xludf.DUMMYFUNCTION("""COMPUTED_VALUE"""),"N/A")</f>
        <v>N/A</v>
      </c>
      <c r="W1171" s="2" t="str">
        <f>IFERROR(__xludf.DUMMYFUNCTION("""COMPUTED_VALUE"""),"N/A")</f>
        <v>N/A</v>
      </c>
      <c r="X1171" s="2" t="str">
        <f>IFERROR(__xludf.DUMMYFUNCTION("""COMPUTED_VALUE"""),"N/A")</f>
        <v>N/A</v>
      </c>
      <c r="Y1171" s="2"/>
      <c r="Z1171" s="2"/>
      <c r="AA1171" s="2"/>
      <c r="AB1171" s="2"/>
      <c r="AC1171" s="2"/>
      <c r="AD1171" s="2"/>
      <c r="AE1171" s="2"/>
      <c r="AF1171" s="2"/>
      <c r="AG1171" s="2"/>
      <c r="AH1171" s="2"/>
      <c r="AI1171" s="2"/>
      <c r="AJ1171" s="2" t="str">
        <f>IFERROR(__xludf.DUMMYFUNCTION("""COMPUTED_VALUE"""),"Puente Bunglas")</f>
        <v>Puente Bunglas</v>
      </c>
      <c r="AK1171" s="2" t="str">
        <f>IFERROR(__xludf.DUMMYFUNCTION("""COMPUTED_VALUE"""),"Ajuy")</f>
        <v>Ajuy</v>
      </c>
      <c r="AL1171" s="2" t="str">
        <f>IFERROR(__xludf.DUMMYFUNCTION("""COMPUTED_VALUE"""),"Iloilo")</f>
        <v>Iloilo</v>
      </c>
      <c r="AM1171" s="2">
        <f>IFERROR(__xludf.DUMMYFUNCTION("""COMPUTED_VALUE"""),6.0)</f>
        <v>6</v>
      </c>
      <c r="AN1171" s="2" t="str">
        <f>IFERROR(__xludf.DUMMYFUNCTION("""COMPUTED_VALUE"""),"RCEF 23-09-21 Rebidding")</f>
        <v>RCEF 23-09-21 Rebidding</v>
      </c>
      <c r="AO1171" s="2">
        <f>IFERROR(__xludf.DUMMYFUNCTION("""COMPUTED_VALUE"""),4.0)</f>
        <v>4</v>
      </c>
      <c r="AP1171" s="2"/>
      <c r="AQ1171" s="2"/>
      <c r="AR1171" s="2"/>
      <c r="AS1171" s="2"/>
      <c r="AT1171" s="2"/>
      <c r="AU1171" s="2"/>
      <c r="AV1171" s="2"/>
      <c r="AW1171" s="2"/>
      <c r="AX1171" s="2"/>
      <c r="AY1171" s="2"/>
      <c r="AZ1171" s="2"/>
      <c r="BA1171" s="2"/>
      <c r="BB1171" s="2"/>
    </row>
    <row r="1172">
      <c r="A1172" s="2">
        <f>IFERROR(__xludf.DUMMYFUNCTION("""COMPUTED_VALUE"""),1168.0)</f>
        <v>1168</v>
      </c>
      <c r="B1172" s="2" t="str">
        <f>IFERROR(__xludf.DUMMYFUNCTION("""COMPUTED_VALUE"""),"COMPLETED")</f>
        <v>COMPLETED</v>
      </c>
      <c r="C1172" s="74">
        <f>IFERROR(__xludf.DUMMYFUNCTION("""COMPUTED_VALUE"""),45945.0)</f>
        <v>45945</v>
      </c>
      <c r="D1172" s="71" t="str">
        <f>IFERROR(__xludf.DUMMYFUNCTION("""COMPUTED_VALUE"""),"Kalumpit Malapaga Ibud Irrigators Association, Inc.")</f>
        <v>Kalumpit Malapaga Ibud Irrigators Association, Inc.</v>
      </c>
      <c r="E1172" s="71" t="str">
        <f>IFERROR(__xludf.DUMMYFUNCTION("""COMPUTED_VALUE"""),"San Vicente, Sablayan, OCCIDENTAL MINDORO")</f>
        <v>San Vicente, Sablayan, OCCIDENTAL MINDORO</v>
      </c>
      <c r="F1172" s="2" t="str">
        <f>IFERROR(__xludf.DUMMYFUNCTION("""COMPUTED_VALUE"""),"Romulo D. Dauran")</f>
        <v>Romulo D. Dauran</v>
      </c>
      <c r="G1172" s="2">
        <f>IFERROR(__xludf.DUMMYFUNCTION("""COMPUTED_VALUE"""),9.264923229E9)</f>
        <v>9264923229</v>
      </c>
      <c r="H1172" s="2"/>
      <c r="I1172" s="72" t="str">
        <f>IFERROR(__xludf.DUMMYFUNCTION("""COMPUTED_VALUE"""),"PMS")</f>
        <v>PMS</v>
      </c>
      <c r="J1172" s="72"/>
      <c r="K1172" s="72" t="str">
        <f>IFERROR(__xludf.DUMMYFUNCTION("""COMPUTED_VALUE"""),"RCG: 1ST PMS")</f>
        <v>RCG: 1ST PMS</v>
      </c>
      <c r="L1172" s="72" t="str">
        <f>IFERROR(__xludf.DUMMYFUNCTION("""COMPUTED_VALUE"""),"RCG:PMS DONE")</f>
        <v>RCG:PMS DONE</v>
      </c>
      <c r="M1172" s="2"/>
      <c r="N1172" s="2" t="str">
        <f>IFERROR(__xludf.DUMMYFUNCTION("""COMPUTED_VALUE"""),"PARTS:
OIL FILTER
ENGINE OIL")</f>
        <v>PARTS:
OIL FILTER
ENGINE OIL</v>
      </c>
      <c r="O1172" s="2">
        <f>IFERROR(__xludf.DUMMYFUNCTION("""COMPUTED_VALUE"""),187.0)</f>
        <v>187</v>
      </c>
      <c r="P1172" s="2"/>
      <c r="Q1172" s="2" t="str">
        <f>IFERROR(__xludf.DUMMYFUNCTION("""COMPUTED_VALUE"""),"Y")</f>
        <v>Y</v>
      </c>
      <c r="R1172" s="74">
        <f>IFERROR(__xludf.DUMMYFUNCTION("""COMPUTED_VALUE"""),45947.0)</f>
        <v>45947</v>
      </c>
      <c r="S1172" s="2" t="str">
        <f>IFERROR(__xludf.DUMMYFUNCTION("""COMPUTED_VALUE"""),"RCG/RBS")</f>
        <v>RCG/RBS</v>
      </c>
      <c r="T1172" s="73" t="str">
        <f>IFERROR(__xludf.DUMMYFUNCTION("""COMPUTED_VALUE""")," N/A ")</f>
        <v>N/A</v>
      </c>
      <c r="U1172" s="73" t="str">
        <f>IFERROR(__xludf.DUMMYFUNCTION("""COMPUTED_VALUE""")," NO CHARGE ")</f>
        <v>NO CHARGE</v>
      </c>
      <c r="V1172" s="2"/>
      <c r="W1172" s="2" t="str">
        <f>IFERROR(__xludf.DUMMYFUNCTION("""COMPUTED_VALUE"""),"N/A")</f>
        <v>N/A</v>
      </c>
      <c r="X1172" s="2" t="str">
        <f>IFERROR(__xludf.DUMMYFUNCTION("""COMPUTED_VALUE"""),"N/A")</f>
        <v>N/A</v>
      </c>
      <c r="Y1172" s="2"/>
      <c r="Z1172" s="2"/>
      <c r="AA1172" s="2"/>
      <c r="AB1172" s="2"/>
      <c r="AC1172" s="2"/>
      <c r="AD1172" s="2"/>
      <c r="AE1172" s="2"/>
      <c r="AF1172" s="2"/>
      <c r="AG1172" s="2"/>
      <c r="AH1172" s="2"/>
      <c r="AI1172" s="2"/>
      <c r="AJ1172" s="2" t="str">
        <f>IFERROR(__xludf.DUMMYFUNCTION("""COMPUTED_VALUE"""),"San Vicente")</f>
        <v>San Vicente</v>
      </c>
      <c r="AK1172" s="2" t="str">
        <f>IFERROR(__xludf.DUMMYFUNCTION("""COMPUTED_VALUE"""),"Sablayan")</f>
        <v>Sablayan</v>
      </c>
      <c r="AL1172" s="2" t="str">
        <f>IFERROR(__xludf.DUMMYFUNCTION("""COMPUTED_VALUE"""),"Occidental Mindoro")</f>
        <v>Occidental Mindoro</v>
      </c>
      <c r="AM1172" s="2" t="str">
        <f>IFERROR(__xludf.DUMMYFUNCTION("""COMPUTED_VALUE"""),"4B")</f>
        <v>4B</v>
      </c>
      <c r="AN1172" s="2" t="str">
        <f>IFERROR(__xludf.DUMMYFUNCTION("""COMPUTED_VALUE"""),"RCEF 25-03-05")</f>
        <v>RCEF 25-03-05</v>
      </c>
      <c r="AO1172" s="2">
        <f>IFERROR(__xludf.DUMMYFUNCTION("""COMPUTED_VALUE"""),6.0)</f>
        <v>6</v>
      </c>
      <c r="AP1172" s="2" t="str">
        <f>IFERROR(__xludf.DUMMYFUNCTION("""COMPUTED_VALUE"""),"FREE PMS")</f>
        <v>FREE PMS</v>
      </c>
      <c r="AQ1172" s="2"/>
      <c r="AR1172" s="2"/>
      <c r="AS1172" s="2"/>
      <c r="AT1172" s="2"/>
      <c r="AU1172" s="2"/>
      <c r="AV1172" s="2"/>
      <c r="AW1172" s="2"/>
      <c r="AX1172" s="2"/>
      <c r="AY1172" s="2"/>
      <c r="AZ1172" s="2"/>
      <c r="BA1172" s="2"/>
      <c r="BB1172" s="2"/>
    </row>
    <row r="1173">
      <c r="A1173" s="2">
        <f>IFERROR(__xludf.DUMMYFUNCTION("""COMPUTED_VALUE"""),1169.0)</f>
        <v>1169</v>
      </c>
      <c r="B1173" s="2" t="str">
        <f>IFERROR(__xludf.DUMMYFUNCTION("""COMPUTED_VALUE"""),"COMPLETED")</f>
        <v>COMPLETED</v>
      </c>
      <c r="C1173" s="74">
        <f>IFERROR(__xludf.DUMMYFUNCTION("""COMPUTED_VALUE"""),45945.0)</f>
        <v>45945</v>
      </c>
      <c r="D1173" s="71" t="str">
        <f>IFERROR(__xludf.DUMMYFUNCTION("""COMPUTED_VALUE"""),"Pias Farmers Agriculture Cooperative")</f>
        <v>Pias Farmers Agriculture Cooperative</v>
      </c>
      <c r="E1173" s="71" t="str">
        <f>IFERROR(__xludf.DUMMYFUNCTION("""COMPUTED_VALUE"""),"Pias, Porac, PAMPANGA")</f>
        <v>Pias, Porac, PAMPANGA</v>
      </c>
      <c r="F1173" s="2" t="str">
        <f>IFERROR(__xludf.DUMMYFUNCTION("""COMPUTED_VALUE"""),"ALAN SANTOS")</f>
        <v>ALAN SANTOS</v>
      </c>
      <c r="G1173" s="2">
        <f>IFERROR(__xludf.DUMMYFUNCTION("""COMPUTED_VALUE"""),9.953421437E9)</f>
        <v>9953421437</v>
      </c>
      <c r="H1173" s="2"/>
      <c r="I1173" s="72" t="str">
        <f>IFERROR(__xludf.DUMMYFUNCTION("""COMPUTED_VALUE"""),"PMS")</f>
        <v>PMS</v>
      </c>
      <c r="J1173" s="72" t="str">
        <f>IFERROR(__xludf.DUMMYFUNCTION("""COMPUTED_VALUE"""),"PMS")</f>
        <v>PMS</v>
      </c>
      <c r="K1173" s="72" t="str">
        <f>IFERROR(__xludf.DUMMYFUNCTION("""COMPUTED_VALUE"""),"MYK: 2ND  PMS")</f>
        <v>MYK: 2ND  PMS</v>
      </c>
      <c r="L1173" s="72" t="str">
        <f>IFERROR(__xludf.DUMMYFUNCTION("""COMPUTED_VALUE"""),"QUOTATION SENT: CANCELLED DAHIL WALA PADAW BUDGET ANG FARMER")</f>
        <v>QUOTATION SENT: CANCELLED DAHIL WALA PADAW BUDGET ANG FARMER</v>
      </c>
      <c r="M1173" s="2"/>
      <c r="N1173" s="2"/>
      <c r="O1173" s="2" t="str">
        <f>IFERROR(__xludf.DUMMYFUNCTION("""COMPUTED_VALUE"""),"N/A")</f>
        <v>N/A</v>
      </c>
      <c r="P1173" s="2"/>
      <c r="Q1173" s="2" t="str">
        <f>IFERROR(__xludf.DUMMYFUNCTION("""COMPUTED_VALUE"""),"N")</f>
        <v>N</v>
      </c>
      <c r="R1173" s="74">
        <f>IFERROR(__xludf.DUMMYFUNCTION("""COMPUTED_VALUE"""),45952.0)</f>
        <v>45952</v>
      </c>
      <c r="S1173" s="2" t="str">
        <f>IFERROR(__xludf.DUMMYFUNCTION("""COMPUTED_VALUE"""),"JHP")</f>
        <v>JHP</v>
      </c>
      <c r="T1173" s="73" t="str">
        <f>IFERROR(__xludf.DUMMYFUNCTION("""COMPUTED_VALUE""")," N/A ")</f>
        <v>N/A</v>
      </c>
      <c r="U1173" s="73" t="str">
        <f>IFERROR(__xludf.DUMMYFUNCTION("""COMPUTED_VALUE""")," NO CHARGE ")</f>
        <v>NO CHARGE</v>
      </c>
      <c r="V1173" s="2"/>
      <c r="W1173" s="2" t="str">
        <f>IFERROR(__xludf.DUMMYFUNCTION("""COMPUTED_VALUE"""),"N/A")</f>
        <v>N/A</v>
      </c>
      <c r="X1173" s="2" t="str">
        <f>IFERROR(__xludf.DUMMYFUNCTION("""COMPUTED_VALUE"""),"N/A")</f>
        <v>N/A</v>
      </c>
      <c r="Y1173" s="2"/>
      <c r="Z1173" s="2"/>
      <c r="AA1173" s="2"/>
      <c r="AB1173" s="2"/>
      <c r="AC1173" s="2"/>
      <c r="AD1173" s="2"/>
      <c r="AE1173" s="2"/>
      <c r="AF1173" s="2"/>
      <c r="AG1173" s="2"/>
      <c r="AH1173" s="2"/>
      <c r="AI1173" s="2"/>
      <c r="AJ1173" s="2" t="str">
        <f>IFERROR(__xludf.DUMMYFUNCTION("""COMPUTED_VALUE"""),"Pias")</f>
        <v>Pias</v>
      </c>
      <c r="AK1173" s="2" t="str">
        <f>IFERROR(__xludf.DUMMYFUNCTION("""COMPUTED_VALUE"""),"Porac")</f>
        <v>Porac</v>
      </c>
      <c r="AL1173" s="2" t="str">
        <f>IFERROR(__xludf.DUMMYFUNCTION("""COMPUTED_VALUE"""),"Pampanga")</f>
        <v>Pampanga</v>
      </c>
      <c r="AM1173" s="2">
        <f>IFERROR(__xludf.DUMMYFUNCTION("""COMPUTED_VALUE"""),3.0)</f>
        <v>3</v>
      </c>
      <c r="AN1173" s="2" t="str">
        <f>IFERROR(__xludf.DUMMYFUNCTION("""COMPUTED_VALUE"""),"RCEF 24-04-15")</f>
        <v>RCEF 24-04-15</v>
      </c>
      <c r="AO1173" s="2">
        <f>IFERROR(__xludf.DUMMYFUNCTION("""COMPUTED_VALUE"""),6.0)</f>
        <v>6</v>
      </c>
      <c r="AP1173" s="2" t="str">
        <f>IFERROR(__xludf.DUMMYFUNCTION("""COMPUTED_VALUE"""),"FREE PMS")</f>
        <v>FREE PMS</v>
      </c>
      <c r="AQ1173" s="2"/>
      <c r="AR1173" s="2"/>
      <c r="AS1173" s="2"/>
      <c r="AT1173" s="2"/>
      <c r="AU1173" s="2"/>
      <c r="AV1173" s="2"/>
      <c r="AW1173" s="2"/>
      <c r="AX1173" s="2"/>
      <c r="AY1173" s="2"/>
      <c r="AZ1173" s="2"/>
      <c r="BA1173" s="2"/>
      <c r="BB1173" s="2"/>
    </row>
    <row r="1174">
      <c r="A1174" s="2">
        <f>IFERROR(__xludf.DUMMYFUNCTION("""COMPUTED_VALUE"""),1170.0)</f>
        <v>1170</v>
      </c>
      <c r="B1174" s="2" t="str">
        <f>IFERROR(__xludf.DUMMYFUNCTION("""COMPUTED_VALUE"""),"COMPLETED")</f>
        <v>COMPLETED</v>
      </c>
      <c r="C1174" s="74">
        <f>IFERROR(__xludf.DUMMYFUNCTION("""COMPUTED_VALUE"""),45946.0)</f>
        <v>45946</v>
      </c>
      <c r="D1174" s="71" t="str">
        <f>IFERROR(__xludf.DUMMYFUNCTION("""COMPUTED_VALUE"""),"Lanaban Farmers Irrigators, Inc.")</f>
        <v>Lanaban Farmers Irrigators, Inc.</v>
      </c>
      <c r="E1174" s="71" t="str">
        <f>IFERROR(__xludf.DUMMYFUNCTION("""COMPUTED_VALUE"""),"Rizal, Rizal, OCCIDENTAL MINDORO")</f>
        <v>Rizal, Rizal, OCCIDENTAL MINDORO</v>
      </c>
      <c r="F1174" s="2"/>
      <c r="G1174" s="2"/>
      <c r="H1174" s="2">
        <f>IFERROR(__xludf.DUMMYFUNCTION("""COMPUTED_VALUE"""),56.0)</f>
        <v>56</v>
      </c>
      <c r="I1174" s="72" t="str">
        <f>IFERROR(__xludf.DUMMYFUNCTION("""COMPUTED_VALUE"""),"PMS")</f>
        <v>PMS</v>
      </c>
      <c r="J1174" s="72"/>
      <c r="K1174" s="72" t="str">
        <f>IFERROR(__xludf.DUMMYFUNCTION("""COMPUTED_VALUE"""),"RCG: 1ST PMS FREE")</f>
        <v>RCG: 1ST PMS FREE</v>
      </c>
      <c r="L1174" s="72" t="str">
        <f>IFERROR(__xludf.DUMMYFUNCTION("""COMPUTED_VALUE"""),"RCG: 1ST PMS DONE")</f>
        <v>RCG: 1ST PMS DONE</v>
      </c>
      <c r="M1174" s="2"/>
      <c r="N1174" s="2" t="str">
        <f>IFERROR(__xludf.DUMMYFUNCTION("""COMPUTED_VALUE"""),"PARTS:
OIL FILTER
ENGINE EOIL")</f>
        <v>PARTS:
OIL FILTER
ENGINE EOIL</v>
      </c>
      <c r="O1174" s="2" t="str">
        <f>IFERROR(__xludf.DUMMYFUNCTION("""COMPUTED_VALUE"""),"N/A")</f>
        <v>N/A</v>
      </c>
      <c r="P1174" s="2"/>
      <c r="Q1174" s="2"/>
      <c r="R1174" s="74" t="str">
        <f>IFERROR(__xludf.DUMMYFUNCTION("""COMPUTED_VALUE"""),"N/A")</f>
        <v>N/A</v>
      </c>
      <c r="S1174" s="2" t="str">
        <f>IFERROR(__xludf.DUMMYFUNCTION("""COMPUTED_VALUE"""),"RCG/RBS")</f>
        <v>RCG/RBS</v>
      </c>
      <c r="T1174" s="73" t="str">
        <f>IFERROR(__xludf.DUMMYFUNCTION("""COMPUTED_VALUE""")," N/A ")</f>
        <v>N/A</v>
      </c>
      <c r="U1174" s="73" t="str">
        <f>IFERROR(__xludf.DUMMYFUNCTION("""COMPUTED_VALUE""")," NO CHARGE ")</f>
        <v>NO CHARGE</v>
      </c>
      <c r="V1174" s="2"/>
      <c r="W1174" s="2" t="str">
        <f>IFERROR(__xludf.DUMMYFUNCTION("""COMPUTED_VALUE"""),"N/A")</f>
        <v>N/A</v>
      </c>
      <c r="X1174" s="2" t="str">
        <f>IFERROR(__xludf.DUMMYFUNCTION("""COMPUTED_VALUE"""),"N/A")</f>
        <v>N/A</v>
      </c>
      <c r="Y1174" s="2"/>
      <c r="Z1174" s="2"/>
      <c r="AA1174" s="2"/>
      <c r="AB1174" s="2"/>
      <c r="AC1174" s="2"/>
      <c r="AD1174" s="2"/>
      <c r="AE1174" s="2"/>
      <c r="AF1174" s="2"/>
      <c r="AG1174" s="2"/>
      <c r="AH1174" s="2"/>
      <c r="AI1174" s="2"/>
      <c r="AJ1174" s="2" t="str">
        <f>IFERROR(__xludf.DUMMYFUNCTION("""COMPUTED_VALUE"""),"Rizal")</f>
        <v>Rizal</v>
      </c>
      <c r="AK1174" s="2" t="str">
        <f>IFERROR(__xludf.DUMMYFUNCTION("""COMPUTED_VALUE"""),"Rizal")</f>
        <v>Rizal</v>
      </c>
      <c r="AL1174" s="2" t="str">
        <f>IFERROR(__xludf.DUMMYFUNCTION("""COMPUTED_VALUE"""),"Occidental Mindoro")</f>
        <v>Occidental Mindoro</v>
      </c>
      <c r="AM1174" s="2" t="str">
        <f>IFERROR(__xludf.DUMMYFUNCTION("""COMPUTED_VALUE"""),"4B")</f>
        <v>4B</v>
      </c>
      <c r="AN1174" s="2" t="str">
        <f>IFERROR(__xludf.DUMMYFUNCTION("""COMPUTED_VALUE"""),"RCEF 25-03-05")</f>
        <v>RCEF 25-03-05</v>
      </c>
      <c r="AO1174" s="2">
        <f>IFERROR(__xludf.DUMMYFUNCTION("""COMPUTED_VALUE"""),6.0)</f>
        <v>6</v>
      </c>
      <c r="AP1174" s="2" t="str">
        <f>IFERROR(__xludf.DUMMYFUNCTION("""COMPUTED_VALUE"""),"FREE PMS")</f>
        <v>FREE PMS</v>
      </c>
      <c r="AQ1174" s="2"/>
      <c r="AR1174" s="2"/>
      <c r="AS1174" s="2"/>
      <c r="AT1174" s="2"/>
      <c r="AU1174" s="2"/>
      <c r="AV1174" s="2"/>
      <c r="AW1174" s="2"/>
      <c r="AX1174" s="2"/>
      <c r="AY1174" s="2"/>
      <c r="AZ1174" s="2"/>
      <c r="BA1174" s="2"/>
      <c r="BB1174" s="2"/>
    </row>
    <row r="1175">
      <c r="A1175" s="2">
        <f>IFERROR(__xludf.DUMMYFUNCTION("""COMPUTED_VALUE"""),1171.0)</f>
        <v>1171</v>
      </c>
      <c r="B1175" s="2" t="str">
        <f>IFERROR(__xludf.DUMMYFUNCTION("""COMPUTED_VALUE"""),"COMPLETED")</f>
        <v>COMPLETED</v>
      </c>
      <c r="C1175" s="74">
        <f>IFERROR(__xludf.DUMMYFUNCTION("""COMPUTED_VALUE"""),45946.0)</f>
        <v>45946</v>
      </c>
      <c r="D1175" s="71" t="str">
        <f>IFERROR(__xludf.DUMMYFUNCTION("""COMPUTED_VALUE"""),"BAGACAY FARMERS ANG LIVESTOCK RAISERS ASSOCIATION")</f>
        <v>BAGACAY FARMERS ANG LIVESTOCK RAISERS ASSOCIATION</v>
      </c>
      <c r="E1175" s="71" t="str">
        <f>IFERROR(__xludf.DUMMYFUNCTION("""COMPUTED_VALUE"""),"Nasukob (Pob.), Bulalacao, ORIENTAL MINDORO")</f>
        <v>Nasukob (Pob.), Bulalacao, ORIENTAL MINDORO</v>
      </c>
      <c r="F1175" s="2" t="str">
        <f>IFERROR(__xludf.DUMMYFUNCTION("""COMPUTED_VALUE"""),"PIPITO CANTOS")</f>
        <v>PIPITO CANTOS</v>
      </c>
      <c r="G1175" s="2">
        <f>IFERROR(__xludf.DUMMYFUNCTION("""COMPUTED_VALUE"""),9.352515123E9)</f>
        <v>9352515123</v>
      </c>
      <c r="H1175" s="2">
        <f>IFERROR(__xludf.DUMMYFUNCTION("""COMPUTED_VALUE"""),40.0)</f>
        <v>40</v>
      </c>
      <c r="I1175" s="72" t="str">
        <f>IFERROR(__xludf.DUMMYFUNCTION("""COMPUTED_VALUE"""),"PMS")</f>
        <v>PMS</v>
      </c>
      <c r="J1175" s="72"/>
      <c r="K1175" s="72" t="str">
        <f>IFERROR(__xludf.DUMMYFUNCTION("""COMPUTED_VALUE"""),"MYK: 1ST PMS (FREE)
kung ok lang daw po na sila na ang mag pms, palitan nalang daw po natin yung filter at langis na magagamit nila pag bumalik na tayo ng Ormin.
NEXT SCHEDULE: BRING 1 OIL FILTER AND ENGINE OIL
10/20/25: QUOTATION FOR OIL FILTER AND H"&amp;"YDRAULIC FILTER")</f>
        <v>MYK: 1ST PMS (FREE)
kung ok lang daw po na sila na ang mag pms, palitan nalang daw po natin yung filter at langis na magagamit nila pag bumalik na tayo ng Ormin.
NEXT SCHEDULE: BRING 1 OIL FILTER AND ENGINE OIL
10/20/25: QUOTATION FOR OIL FILTER AND HYDRAULIC FILTER</v>
      </c>
      <c r="L1175" s="72" t="str">
        <f>IFERROR(__xludf.DUMMYFUNCTION("""COMPUTED_VALUE"""),"FOR 1ST PMS AGREEMENT: QUOTATION SENT: PAID")</f>
        <v>FOR 1ST PMS AGREEMENT: QUOTATION SENT: PAID</v>
      </c>
      <c r="M1175" s="2"/>
      <c r="N1175" s="2" t="str">
        <f>IFERROR(__xludf.DUMMYFUNCTION("""COMPUTED_VALUE"""),"PARTS:
HYDRAULIC FILTER
2-OIL FILTER
")</f>
        <v>PARTS:
HYDRAULIC FILTER
2-OIL FILTER
</v>
      </c>
      <c r="O1175" s="2" t="str">
        <f>IFERROR(__xludf.DUMMYFUNCTION("""COMPUTED_VALUE"""),"N/A")</f>
        <v>N/A</v>
      </c>
      <c r="P1175" s="2"/>
      <c r="Q1175" s="2" t="str">
        <f>IFERROR(__xludf.DUMMYFUNCTION("""COMPUTED_VALUE""")," ")</f>
        <v> </v>
      </c>
      <c r="R1175" s="74">
        <f>IFERROR(__xludf.DUMMYFUNCTION("""COMPUTED_VALUE"""),45951.0)</f>
        <v>45951</v>
      </c>
      <c r="S1175" s="2" t="str">
        <f>IFERROR(__xludf.DUMMYFUNCTION("""COMPUTED_VALUE"""),"MYKEE")</f>
        <v>MYKEE</v>
      </c>
      <c r="T1175" s="73">
        <f>IFERROR(__xludf.DUMMYFUNCTION("""COMPUTED_VALUE"""),5903.0)</f>
        <v>5903</v>
      </c>
      <c r="U1175" s="73" t="str">
        <f>IFERROR(__xludf.DUMMYFUNCTION("""COMPUTED_VALUE""")," REMITTED ")</f>
        <v>REMITTED</v>
      </c>
      <c r="V1175" s="2"/>
      <c r="W1175" s="2" t="str">
        <f>IFERROR(__xludf.DUMMYFUNCTION("""COMPUTED_VALUE"""),"CR C/O CTF")</f>
        <v>CR C/O CTF</v>
      </c>
      <c r="X1175" s="2"/>
      <c r="Y1175" s="2" t="str">
        <f>IFERROR(__xludf.DUMMYFUNCTION("""COMPUTED_VALUE"""),"BANK TRANSFER")</f>
        <v>BANK TRANSFER</v>
      </c>
      <c r="Z1175" s="2"/>
      <c r="AA1175" s="2"/>
      <c r="AB1175" s="2"/>
      <c r="AC1175" s="2"/>
      <c r="AD1175" s="2"/>
      <c r="AE1175" s="2"/>
      <c r="AF1175" s="2"/>
      <c r="AG1175" s="2"/>
      <c r="AH1175" s="2"/>
      <c r="AI1175" s="2"/>
      <c r="AJ1175" s="2" t="str">
        <f>IFERROR(__xludf.DUMMYFUNCTION("""COMPUTED_VALUE"""),"Nasukob (Pob.)")</f>
        <v>Nasukob (Pob.)</v>
      </c>
      <c r="AK1175" s="2" t="str">
        <f>IFERROR(__xludf.DUMMYFUNCTION("""COMPUTED_VALUE"""),"Bulalacao")</f>
        <v>Bulalacao</v>
      </c>
      <c r="AL1175" s="2" t="str">
        <f>IFERROR(__xludf.DUMMYFUNCTION("""COMPUTED_VALUE"""),"Oriental Mindoro")</f>
        <v>Oriental Mindoro</v>
      </c>
      <c r="AM1175" s="2" t="str">
        <f>IFERROR(__xludf.DUMMYFUNCTION("""COMPUTED_VALUE"""),"4B")</f>
        <v>4B</v>
      </c>
      <c r="AN1175" s="2" t="str">
        <f>IFERROR(__xludf.DUMMYFUNCTION("""COMPUTED_VALUE"""),"RCEF 25-03-05")</f>
        <v>RCEF 25-03-05</v>
      </c>
      <c r="AO1175" s="2">
        <f>IFERROR(__xludf.DUMMYFUNCTION("""COMPUTED_VALUE"""),6.0)</f>
        <v>6</v>
      </c>
      <c r="AP1175" s="2" t="str">
        <f>IFERROR(__xludf.DUMMYFUNCTION("""COMPUTED_VALUE"""),"FREE PMS")</f>
        <v>FREE PMS</v>
      </c>
      <c r="AQ1175" s="2"/>
      <c r="AR1175" s="2"/>
      <c r="AS1175" s="2"/>
      <c r="AT1175" s="2"/>
      <c r="AU1175" s="2"/>
      <c r="AV1175" s="2"/>
      <c r="AW1175" s="2"/>
      <c r="AX1175" s="2"/>
      <c r="AY1175" s="2"/>
      <c r="AZ1175" s="2"/>
      <c r="BA1175" s="2"/>
      <c r="BB1175" s="2"/>
    </row>
    <row r="1176">
      <c r="A1176" s="2">
        <f>IFERROR(__xludf.DUMMYFUNCTION("""COMPUTED_VALUE"""),1172.0)</f>
        <v>1172</v>
      </c>
      <c r="B1176" s="2" t="str">
        <f>IFERROR(__xludf.DUMMYFUNCTION("""COMPUTED_VALUE"""),"COMPLETED")</f>
        <v>COMPLETED</v>
      </c>
      <c r="C1176" s="74">
        <f>IFERROR(__xludf.DUMMYFUNCTION("""COMPUTED_VALUE"""),45947.0)</f>
        <v>45947</v>
      </c>
      <c r="D1176" s="71" t="str">
        <f>IFERROR(__xludf.DUMMYFUNCTION("""COMPUTED_VALUE"""),"Maspasan Farmers Association")</f>
        <v>Maspasan Farmers Association</v>
      </c>
      <c r="E1176" s="71" t="str">
        <f>IFERROR(__xludf.DUMMYFUNCTION("""COMPUTED_VALUE"""),"Maspasan, Calinog, ILOILO")</f>
        <v>Maspasan, Calinog, ILOILO</v>
      </c>
      <c r="F1176" s="2" t="str">
        <f>IFERROR(__xludf.DUMMYFUNCTION("""COMPUTED_VALUE"""),"Ninfa G. Sumagpao")</f>
        <v>Ninfa G. Sumagpao</v>
      </c>
      <c r="G1176" s="2">
        <f>IFERROR(__xludf.DUMMYFUNCTION("""COMPUTED_VALUE"""),9.750020005E9)</f>
        <v>9750020005</v>
      </c>
      <c r="H1176" s="2"/>
      <c r="I1176" s="72" t="str">
        <f>IFERROR(__xludf.DUMMYFUNCTION("""COMPUTED_VALUE"""),"SPARE PARTS ACQUISITION")</f>
        <v>SPARE PARTS ACQUISITION</v>
      </c>
      <c r="J1176" s="72"/>
      <c r="K1176" s="72" t="str">
        <f>IFERROR(__xludf.DUMMYFUNCTION("""COMPUTED_VALUE"""),"PARTS REQUEST: FOR CONFIRMATION OF PARTS REQUEST DISCPLOW PARTS
JDP/CTF: ROTAVATOR PARTS
Bevel Gear 24T
Pinion Gear 11T
Drive Shaft
Hard lock nut (c/o randy)
Taper Roller bearing 32211 (c/o randy)")</f>
        <v>PARTS REQUEST: FOR CONFIRMATION OF PARTS REQUEST DISCPLOW PARTS
JDP/CTF: ROTAVATOR PARTS
Bevel Gear 24T
Pinion Gear 11T
Drive Shaft
Hard lock nut (c/o randy)
Taper Roller bearing 32211 (c/o randy)</v>
      </c>
      <c r="L1176" s="72" t="str">
        <f>IFERROR(__xludf.DUMMYFUNCTION("""COMPUTED_VALUE"""),"PARTS AVAILABILTY SENT: QUOTATION SENT: PAID: FOR SHIPPING:
REPAIR BY SIR RANDY: LABOR C/O BY FARMER")</f>
        <v>PARTS AVAILABILTY SENT: QUOTATION SENT: PAID: FOR SHIPPING:
REPAIR BY SIR RANDY: LABOR C/O BY FARMER</v>
      </c>
      <c r="M1176" s="2"/>
      <c r="N1176" s="2" t="str">
        <f>IFERROR(__xludf.DUMMYFUNCTION("""COMPUTED_VALUE"""),"PARTS:
Bevel Gear 24T
Pinion Gear 11T
Drive Shaft
Hard lock nut (RANDY OH)
Taper Roller bearing 32211 (RANDY OH)")</f>
        <v>PARTS:
Bevel Gear 24T
Pinion Gear 11T
Drive Shaft
Hard lock nut (RANDY OH)
Taper Roller bearing 32211 (RANDY OH)</v>
      </c>
      <c r="O1176" s="2" t="str">
        <f>IFERROR(__xludf.DUMMYFUNCTION("""COMPUTED_VALUE"""),"RANDY")</f>
        <v>RANDY</v>
      </c>
      <c r="P1176" s="2"/>
      <c r="Q1176" s="2"/>
      <c r="R1176" s="74">
        <f>IFERROR(__xludf.DUMMYFUNCTION("""COMPUTED_VALUE"""),45968.0)</f>
        <v>45968</v>
      </c>
      <c r="S1176" s="2" t="str">
        <f>IFERROR(__xludf.DUMMYFUNCTION("""COMPUTED_VALUE"""),"RANDY")</f>
        <v>RANDY</v>
      </c>
      <c r="T1176" s="73">
        <f>IFERROR(__xludf.DUMMYFUNCTION("""COMPUTED_VALUE"""),61300.0)</f>
        <v>61300</v>
      </c>
      <c r="U1176" s="73" t="str">
        <f>IFERROR(__xludf.DUMMYFUNCTION("""COMPUTED_VALUE""")," REMITTED ")</f>
        <v>REMITTED</v>
      </c>
      <c r="V1176" s="2"/>
      <c r="W1176" s="2">
        <f>IFERROR(__xludf.DUMMYFUNCTION("""COMPUTED_VALUE"""),1725.0)</f>
        <v>1725</v>
      </c>
      <c r="X1176" s="2"/>
      <c r="Y1176" s="2"/>
      <c r="Z1176" s="2"/>
      <c r="AA1176" s="2"/>
      <c r="AB1176" s="2"/>
      <c r="AC1176" s="2"/>
      <c r="AD1176" s="2"/>
      <c r="AE1176" s="2"/>
      <c r="AF1176" s="2"/>
      <c r="AG1176" s="2"/>
      <c r="AH1176" s="2"/>
      <c r="AI1176" s="2"/>
      <c r="AJ1176" s="2" t="str">
        <f>IFERROR(__xludf.DUMMYFUNCTION("""COMPUTED_VALUE"""),"Maspasan")</f>
        <v>Maspasan</v>
      </c>
      <c r="AK1176" s="2" t="str">
        <f>IFERROR(__xludf.DUMMYFUNCTION("""COMPUTED_VALUE"""),"Calinog")</f>
        <v>Calinog</v>
      </c>
      <c r="AL1176" s="2" t="str">
        <f>IFERROR(__xludf.DUMMYFUNCTION("""COMPUTED_VALUE"""),"Iloilo")</f>
        <v>Iloilo</v>
      </c>
      <c r="AM1176" s="2">
        <f>IFERROR(__xludf.DUMMYFUNCTION("""COMPUTED_VALUE"""),6.0)</f>
        <v>6</v>
      </c>
      <c r="AN1176" s="2" t="str">
        <f>IFERROR(__xludf.DUMMYFUNCTION("""COMPUTED_VALUE"""),"RCEF 23-09-21 Rebidding")</f>
        <v>RCEF 23-09-21 Rebidding</v>
      </c>
      <c r="AO1176" s="2">
        <f>IFERROR(__xludf.DUMMYFUNCTION("""COMPUTED_VALUE"""),4.0)</f>
        <v>4</v>
      </c>
      <c r="AP1176" s="2"/>
      <c r="AQ1176" s="2"/>
      <c r="AR1176" s="2"/>
      <c r="AS1176" s="2"/>
      <c r="AT1176" s="2"/>
      <c r="AU1176" s="2"/>
      <c r="AV1176" s="2"/>
      <c r="AW1176" s="2"/>
      <c r="AX1176" s="2"/>
      <c r="AY1176" s="2"/>
      <c r="AZ1176" s="2"/>
      <c r="BA1176" s="2"/>
      <c r="BB1176" s="2"/>
    </row>
    <row r="1177">
      <c r="A1177" s="2">
        <f>IFERROR(__xludf.DUMMYFUNCTION("""COMPUTED_VALUE"""),1173.0)</f>
        <v>1173</v>
      </c>
      <c r="B1177" s="2" t="str">
        <f>IFERROR(__xludf.DUMMYFUNCTION("""COMPUTED_VALUE"""),"COMPLETED")</f>
        <v>COMPLETED</v>
      </c>
      <c r="C1177" s="74">
        <f>IFERROR(__xludf.DUMMYFUNCTION("""COMPUTED_VALUE"""),45948.0)</f>
        <v>45948</v>
      </c>
      <c r="D1177" s="71" t="str">
        <f>IFERROR(__xludf.DUMMYFUNCTION("""COMPUTED_VALUE"""),"Alfonso Lista Rice Cluster Farmers Federation Incorporated")</f>
        <v>Alfonso Lista Rice Cluster Farmers Federation Incorporated</v>
      </c>
      <c r="E1177" s="71" t="str">
        <f>IFERROR(__xludf.DUMMYFUNCTION("""COMPUTED_VALUE"""),"Santa Maria, Alfonso Lista (Potia), IFUGAO")</f>
        <v>Santa Maria, Alfonso Lista (Potia), IFUGAO</v>
      </c>
      <c r="F1177" s="2" t="str">
        <f>IFERROR(__xludf.DUMMYFUNCTION("""COMPUTED_VALUE"""),"Elmer Vidad ")</f>
        <v>Elmer Vidad </v>
      </c>
      <c r="G1177" s="2">
        <f>IFERROR(__xludf.DUMMYFUNCTION("""COMPUTED_VALUE"""),9.30628772E9)</f>
        <v>9306287720</v>
      </c>
      <c r="H1177" s="2">
        <f>IFERROR(__xludf.DUMMYFUNCTION("""COMPUTED_VALUE"""),918.0)</f>
        <v>918</v>
      </c>
      <c r="I1177" s="72" t="str">
        <f>IFERROR(__xludf.DUMMYFUNCTION("""COMPUTED_VALUE"""),"SPARE PARTS ACQUISITION")</f>
        <v>SPARE PARTS ACQUISITION</v>
      </c>
      <c r="J1177" s="72"/>
      <c r="K1177" s="72" t="str">
        <f>IFERROR(__xludf.DUMMYFUNCTION("""COMPUTED_VALUE"""),"CFG: FUNDRIVE
MYK: 10/27/25: Pag pinupunta sa frontdrive, biglang humhinto at maingay at nung nasira ang front drive tumagas na ang mga gear oil .
CFG: yon nga po hind po malalaman yan mam kung hnd pa nila mababaklas mam. kaya nga po pinapapuntahan po n"&amp;"ila mam. ")</f>
        <v>CFG: FUNDRIVE
MYK: 10/27/25: Pag pinupunta sa frontdrive, biglang humhinto at maingay at nung nasira ang front drive tumagas na ang mga gear oil .
CFG: yon nga po hind po malalaman yan mam kung hnd pa nila mababaklas mam. kaya nga po pinapapuntahan po nila mam. </v>
      </c>
      <c r="L1177" s="72" t="str">
        <f>IFERROR(__xludf.DUMMYFUNCTION("""COMPUTED_VALUE"""),"CFG: RING GEAR ASSY PROBLEM, PERO SILA NA ANG UMAYOS")</f>
        <v>CFG: RING GEAR ASSY PROBLEM, PERO SILA NA ANG UMAYOS</v>
      </c>
      <c r="M1177" s="2"/>
      <c r="N1177" s="2"/>
      <c r="O1177" s="2" t="str">
        <f>IFERROR(__xludf.DUMMYFUNCTION("""COMPUTED_VALUE"""),"NEED SERVICE REPORT")</f>
        <v>NEED SERVICE REPORT</v>
      </c>
      <c r="P1177" s="2"/>
      <c r="Q1177" s="2"/>
      <c r="R1177" s="74">
        <f>IFERROR(__xludf.DUMMYFUNCTION("""COMPUTED_VALUE"""),45967.0)</f>
        <v>45967</v>
      </c>
      <c r="S1177" s="2" t="str">
        <f>IFERROR(__xludf.DUMMYFUNCTION("""COMPUTED_VALUE"""),"CFG/JDP")</f>
        <v>CFG/JDP</v>
      </c>
      <c r="T1177" s="2"/>
      <c r="U1177" s="73" t="str">
        <f>IFERROR(__xludf.DUMMYFUNCTION("""COMPUTED_VALUE""")," NO CHARGE ")</f>
        <v>NO CHARGE</v>
      </c>
      <c r="V1177" s="2"/>
      <c r="W1177" s="2" t="str">
        <f>IFERROR(__xludf.DUMMYFUNCTION("""COMPUTED_VALUE"""),"N/A")</f>
        <v>N/A</v>
      </c>
      <c r="X1177" s="2" t="str">
        <f>IFERROR(__xludf.DUMMYFUNCTION("""COMPUTED_VALUE"""),"N/A")</f>
        <v>N/A</v>
      </c>
      <c r="Y1177" s="2"/>
      <c r="Z1177" s="2"/>
      <c r="AA1177" s="2"/>
      <c r="AB1177" s="2"/>
      <c r="AC1177" s="2"/>
      <c r="AD1177" s="2"/>
      <c r="AE1177" s="2"/>
      <c r="AF1177" s="2"/>
      <c r="AG1177" s="2"/>
      <c r="AH1177" s="2"/>
      <c r="AI1177" s="2"/>
      <c r="AJ1177" s="2" t="str">
        <f>IFERROR(__xludf.DUMMYFUNCTION("""COMPUTED_VALUE"""),"Santa Maria")</f>
        <v>Santa Maria</v>
      </c>
      <c r="AK1177" s="2" t="str">
        <f>IFERROR(__xludf.DUMMYFUNCTION("""COMPUTED_VALUE"""),"Alfonso Lista (Potia)")</f>
        <v>Alfonso Lista (Potia)</v>
      </c>
      <c r="AL1177" s="2" t="str">
        <f>IFERROR(__xludf.DUMMYFUNCTION("""COMPUTED_VALUE"""),"Ifugao")</f>
        <v>Ifugao</v>
      </c>
      <c r="AM1177" s="2" t="str">
        <f>IFERROR(__xludf.DUMMYFUNCTION("""COMPUTED_VALUE"""),"CAR")</f>
        <v>CAR</v>
      </c>
      <c r="AN1177" s="2" t="str">
        <f>IFERROR(__xludf.DUMMYFUNCTION("""COMPUTED_VALUE"""),"RCEF 23-09-21 Rebidding")</f>
        <v>RCEF 23-09-21 Rebidding</v>
      </c>
      <c r="AO1177" s="2">
        <f>IFERROR(__xludf.DUMMYFUNCTION("""COMPUTED_VALUE"""),1.0)</f>
        <v>1</v>
      </c>
      <c r="AP1177" s="2"/>
      <c r="AQ1177" s="2"/>
      <c r="AR1177" s="2"/>
      <c r="AS1177" s="2"/>
      <c r="AT1177" s="2"/>
      <c r="AU1177" s="2"/>
      <c r="AV1177" s="2"/>
      <c r="AW1177" s="2"/>
      <c r="AX1177" s="2"/>
      <c r="AY1177" s="2"/>
      <c r="AZ1177" s="2"/>
      <c r="BA1177" s="2"/>
      <c r="BB1177" s="2"/>
    </row>
    <row r="1178">
      <c r="A1178" s="2">
        <f>IFERROR(__xludf.DUMMYFUNCTION("""COMPUTED_VALUE"""),1174.0)</f>
        <v>1174</v>
      </c>
      <c r="B1178" s="2" t="str">
        <f>IFERROR(__xludf.DUMMYFUNCTION("""COMPUTED_VALUE"""),"COMPLETED")</f>
        <v>COMPLETED</v>
      </c>
      <c r="C1178" s="74">
        <f>IFERROR(__xludf.DUMMYFUNCTION("""COMPUTED_VALUE"""),45950.0)</f>
        <v>45950</v>
      </c>
      <c r="D1178" s="71" t="str">
        <f>IFERROR(__xludf.DUMMYFUNCTION("""COMPUTED_VALUE"""),"Astorga Farmers Association")</f>
        <v>Astorga Farmers Association</v>
      </c>
      <c r="E1178" s="71" t="str">
        <f>IFERROR(__xludf.DUMMYFUNCTION("""COMPUTED_VALUE"""),"Astorga, Dumarao, CAPIZ")</f>
        <v>Astorga, Dumarao, CAPIZ</v>
      </c>
      <c r="F1178" s="2" t="str">
        <f>IFERROR(__xludf.DUMMYFUNCTION("""COMPUTED_VALUE"""),"ROBERTO MARCELINO (FB)")</f>
        <v>ROBERTO MARCELINO (FB)</v>
      </c>
      <c r="G1178" s="2"/>
      <c r="H1178" s="2"/>
      <c r="I1178" s="72" t="str">
        <f>IFERROR(__xludf.DUMMYFUNCTION("""COMPUTED_VALUE"""),"REPAIR - TRACTOR")</f>
        <v>REPAIR - TRACTOR</v>
      </c>
      <c r="J1178" s="72" t="str">
        <f>IFERROR(__xludf.DUMMYFUNCTION("""COMPUTED_VALUE"""),"Transmission - Clutch")</f>
        <v>Transmission - Clutch</v>
      </c>
      <c r="K1178" s="72" t="str">
        <f>IFERROR(__xludf.DUMMYFUNCTION("""COMPUTED_VALUE"""),"MYK: MAY UMIINGAY HABNAG TINATAPAKAN ANG CLUTCH , PARANG HUMAHASA O SIPOL
(Kung maaari daw na ang labor e wala nang bayad, dahil wala padaw kita ang unit nila)
JTT: RELEASE BEARING")</f>
        <v>MYK: MAY UMIINGAY HABNAG TINATAPAKAN ANG CLUTCH , PARANG HUMAHASA O SIPOL
(Kung maaari daw na ang labor e wala nang bayad, dahil wala padaw kita ang unit nila)
JTT: RELEASE BEARING</v>
      </c>
      <c r="L1178" s="72" t="str">
        <f>IFERROR(__xludf.DUMMYFUNCTION("""COMPUTED_VALUE"""),"RANDY: REPLACED RELEASED BEARING")</f>
        <v>RANDY: REPLACED RELEASED BEARING</v>
      </c>
      <c r="M1178" s="2"/>
      <c r="N1178" s="2" t="str">
        <f>IFERROR(__xludf.DUMMYFUNCTION("""COMPUTED_VALUE"""),"PARTS:
BEARING TK 45")</f>
        <v>PARTS:
BEARING TK 45</v>
      </c>
      <c r="O1178" s="2" t="str">
        <f>IFERROR(__xludf.DUMMYFUNCTION("""COMPUTED_VALUE"""),"MYKEE")</f>
        <v>MYKEE</v>
      </c>
      <c r="P1178" s="2"/>
      <c r="Q1178" s="2"/>
      <c r="R1178" s="74">
        <f>IFERROR(__xludf.DUMMYFUNCTION("""COMPUTED_VALUE"""),45955.0)</f>
        <v>45955</v>
      </c>
      <c r="S1178" s="2" t="str">
        <f>IFERROR(__xludf.DUMMYFUNCTION("""COMPUTED_VALUE"""),"RANDY")</f>
        <v>RANDY</v>
      </c>
      <c r="T1178" s="73">
        <f>IFERROR(__xludf.DUMMYFUNCTION("""COMPUTED_VALUE"""),6000.0)</f>
        <v>6000</v>
      </c>
      <c r="U1178" s="73" t="str">
        <f>IFERROR(__xludf.DUMMYFUNCTION("""COMPUTED_VALUE""")," NO CHARGE ")</f>
        <v>NO CHARGE</v>
      </c>
      <c r="V1178" s="2"/>
      <c r="W1178" s="2" t="str">
        <f>IFERROR(__xludf.DUMMYFUNCTION("""COMPUTED_VALUE"""),"N/A")</f>
        <v>N/A</v>
      </c>
      <c r="X1178" s="2" t="str">
        <f>IFERROR(__xludf.DUMMYFUNCTION("""COMPUTED_VALUE"""),"N/A")</f>
        <v>N/A</v>
      </c>
      <c r="Y1178" s="2"/>
      <c r="Z1178" s="2"/>
      <c r="AA1178" s="2"/>
      <c r="AB1178" s="2"/>
      <c r="AC1178" s="2"/>
      <c r="AD1178" s="2"/>
      <c r="AE1178" s="2"/>
      <c r="AF1178" s="2"/>
      <c r="AG1178" s="2"/>
      <c r="AH1178" s="2"/>
      <c r="AI1178" s="2"/>
      <c r="AJ1178" s="2" t="str">
        <f>IFERROR(__xludf.DUMMYFUNCTION("""COMPUTED_VALUE"""),"Astorga")</f>
        <v>Astorga</v>
      </c>
      <c r="AK1178" s="2" t="str">
        <f>IFERROR(__xludf.DUMMYFUNCTION("""COMPUTED_VALUE"""),"Dumarao")</f>
        <v>Dumarao</v>
      </c>
      <c r="AL1178" s="2" t="str">
        <f>IFERROR(__xludf.DUMMYFUNCTION("""COMPUTED_VALUE"""),"Capiz")</f>
        <v>Capiz</v>
      </c>
      <c r="AM1178" s="2">
        <f>IFERROR(__xludf.DUMMYFUNCTION("""COMPUTED_VALUE"""),6.0)</f>
        <v>6</v>
      </c>
      <c r="AN1178" s="2" t="str">
        <f>IFERROR(__xludf.DUMMYFUNCTION("""COMPUTED_VALUE"""),"RCEF 23-09-21 Rebidding")</f>
        <v>RCEF 23-09-21 Rebidding</v>
      </c>
      <c r="AO1178" s="2">
        <f>IFERROR(__xludf.DUMMYFUNCTION("""COMPUTED_VALUE"""),4.0)</f>
        <v>4</v>
      </c>
      <c r="AP1178" s="2"/>
      <c r="AQ1178" s="2"/>
      <c r="AR1178" s="2"/>
      <c r="AS1178" s="2"/>
      <c r="AT1178" s="2"/>
      <c r="AU1178" s="2"/>
      <c r="AV1178" s="2"/>
      <c r="AW1178" s="2"/>
      <c r="AX1178" s="2"/>
      <c r="AY1178" s="2"/>
      <c r="AZ1178" s="2"/>
      <c r="BA1178" s="2"/>
      <c r="BB1178" s="2"/>
    </row>
    <row r="1179">
      <c r="A1179" s="2">
        <f>IFERROR(__xludf.DUMMYFUNCTION("""COMPUTED_VALUE"""),1175.0)</f>
        <v>1175</v>
      </c>
      <c r="B1179" s="2" t="str">
        <f>IFERROR(__xludf.DUMMYFUNCTION("""COMPUTED_VALUE"""),"COMPLETED")</f>
        <v>COMPLETED</v>
      </c>
      <c r="C1179" s="74">
        <f>IFERROR(__xludf.DUMMYFUNCTION("""COMPUTED_VALUE"""),45950.0)</f>
        <v>45950</v>
      </c>
      <c r="D1179" s="71" t="str">
        <f>IFERROR(__xludf.DUMMYFUNCTION("""COMPUTED_VALUE"""),"KAISAHAN IRRIGATOR'S ASSOCIATION INC.")</f>
        <v>KAISAHAN IRRIGATOR'S ASSOCIATION INC.</v>
      </c>
      <c r="E1179" s="71" t="str">
        <f>IFERROR(__xludf.DUMMYFUNCTION("""COMPUTED_VALUE"""),"San Fabian, Santo Domingo, NUEVA ECIJA")</f>
        <v>San Fabian, Santo Domingo, NUEVA ECIJA</v>
      </c>
      <c r="F1179" s="2" t="str">
        <f>IFERROR(__xludf.DUMMYFUNCTION("""COMPUTED_VALUE"""),"DARWIN CACAL")</f>
        <v>DARWIN CACAL</v>
      </c>
      <c r="G1179" s="2">
        <f>IFERROR(__xludf.DUMMYFUNCTION("""COMPUTED_VALUE"""),9.533782306E9)</f>
        <v>9533782306</v>
      </c>
      <c r="H1179" s="2"/>
      <c r="I1179" s="72" t="str">
        <f>IFERROR(__xludf.DUMMYFUNCTION("""COMPUTED_VALUE"""),"REPAIR - TRACTOR")</f>
        <v>REPAIR - TRACTOR</v>
      </c>
      <c r="J1179" s="72" t="str">
        <f>IFERROR(__xludf.DUMMYFUNCTION("""COMPUTED_VALUE"""),"PST - Oilseal")</f>
        <v>PST - Oilseal</v>
      </c>
      <c r="K1179" s="72" t="str">
        <f>IFERROR(__xludf.DUMMYFUNCTION("""COMPUTED_VALUE"""),"MYK: OILSEAL SA STEERING WHEEL")</f>
        <v>MYK: OILSEAL SA STEERING WHEEL</v>
      </c>
      <c r="L1179" s="72" t="str">
        <f>IFERROR(__xludf.DUMMYFUNCTION("""COMPUTED_VALUE"""),"MYK: OK NA AS PER FCA")</f>
        <v>MYK: OK NA AS PER FCA</v>
      </c>
      <c r="M1179" s="2"/>
      <c r="N1179" s="2"/>
      <c r="O1179" s="2" t="str">
        <f>IFERROR(__xludf.DUMMYFUNCTION("""COMPUTED_VALUE"""),"N/A")</f>
        <v>N/A</v>
      </c>
      <c r="P1179" s="2"/>
      <c r="Q1179" s="2"/>
      <c r="R1179" s="74">
        <f>IFERROR(__xludf.DUMMYFUNCTION("""COMPUTED_VALUE"""),45992.0)</f>
        <v>45992</v>
      </c>
      <c r="S1179" s="2" t="str">
        <f>IFERROR(__xludf.DUMMYFUNCTION("""COMPUTED_VALUE"""),"MYKEE")</f>
        <v>MYKEE</v>
      </c>
      <c r="T1179" s="73" t="str">
        <f>IFERROR(__xludf.DUMMYFUNCTION("""COMPUTED_VALUE""")," N/A ")</f>
        <v>N/A</v>
      </c>
      <c r="U1179" s="73" t="str">
        <f>IFERROR(__xludf.DUMMYFUNCTION("""COMPUTED_VALUE""")," NO CHARGE ")</f>
        <v>NO CHARGE</v>
      </c>
      <c r="V1179" s="2"/>
      <c r="W1179" s="2" t="str">
        <f>IFERROR(__xludf.DUMMYFUNCTION("""COMPUTED_VALUE"""),"N/A")</f>
        <v>N/A</v>
      </c>
      <c r="X1179" s="2" t="str">
        <f>IFERROR(__xludf.DUMMYFUNCTION("""COMPUTED_VALUE"""),"N/A")</f>
        <v>N/A</v>
      </c>
      <c r="Y1179" s="2"/>
      <c r="Z1179" s="2"/>
      <c r="AA1179" s="2"/>
      <c r="AB1179" s="2"/>
      <c r="AC1179" s="2"/>
      <c r="AD1179" s="2"/>
      <c r="AE1179" s="2"/>
      <c r="AF1179" s="2"/>
      <c r="AG1179" s="2"/>
      <c r="AH1179" s="2"/>
      <c r="AI1179" s="2"/>
      <c r="AJ1179" s="2" t="str">
        <f>IFERROR(__xludf.DUMMYFUNCTION("""COMPUTED_VALUE"""),"San Fabian")</f>
        <v>San Fabian</v>
      </c>
      <c r="AK1179" s="2" t="str">
        <f>IFERROR(__xludf.DUMMYFUNCTION("""COMPUTED_VALUE"""),"Santo Domingo")</f>
        <v>Santo Domingo</v>
      </c>
      <c r="AL1179" s="2" t="str">
        <f>IFERROR(__xludf.DUMMYFUNCTION("""COMPUTED_VALUE"""),"Nueva Ecija")</f>
        <v>Nueva Ecija</v>
      </c>
      <c r="AM1179" s="2">
        <f>IFERROR(__xludf.DUMMYFUNCTION("""COMPUTED_VALUE"""),3.0)</f>
        <v>3</v>
      </c>
      <c r="AN1179" s="2" t="str">
        <f>IFERROR(__xludf.DUMMYFUNCTION("""COMPUTED_VALUE"""),"RCEF 23-09-21 Rebidding")</f>
        <v>RCEF 23-09-21 Rebidding</v>
      </c>
      <c r="AO1179" s="2">
        <f>IFERROR(__xludf.DUMMYFUNCTION("""COMPUTED_VALUE"""),3.0)</f>
        <v>3</v>
      </c>
      <c r="AP1179" s="2"/>
      <c r="AQ1179" s="2"/>
      <c r="AR1179" s="2"/>
      <c r="AS1179" s="2"/>
      <c r="AT1179" s="2"/>
      <c r="AU1179" s="2"/>
      <c r="AV1179" s="2"/>
      <c r="AW1179" s="2"/>
      <c r="AX1179" s="2"/>
      <c r="AY1179" s="2"/>
      <c r="AZ1179" s="2"/>
      <c r="BA1179" s="2"/>
      <c r="BB1179" s="2"/>
    </row>
    <row r="1180">
      <c r="A1180" s="2">
        <f>IFERROR(__xludf.DUMMYFUNCTION("""COMPUTED_VALUE"""),1176.0)</f>
        <v>1176</v>
      </c>
      <c r="B1180" s="2" t="str">
        <f>IFERROR(__xludf.DUMMYFUNCTION("""COMPUTED_VALUE"""),"COMPLETED")</f>
        <v>COMPLETED</v>
      </c>
      <c r="C1180" s="74">
        <f>IFERROR(__xludf.DUMMYFUNCTION("""COMPUTED_VALUE"""),45950.0)</f>
        <v>45950</v>
      </c>
      <c r="D1180" s="71" t="str">
        <f>IFERROR(__xludf.DUMMYFUNCTION("""COMPUTED_VALUE"""),"SAINT JOSEPH THE WORKER FARMERS ASSOCIATION INC.")</f>
        <v>SAINT JOSEPH THE WORKER FARMERS ASSOCIATION INC.</v>
      </c>
      <c r="E1180" s="71" t="str">
        <f>IFERROR(__xludf.DUMMYFUNCTION("""COMPUTED_VALUE"""),"San Jose North, Anao, TARLAC")</f>
        <v>San Jose North, Anao, TARLAC</v>
      </c>
      <c r="F1180" s="2" t="str">
        <f>IFERROR(__xludf.DUMMYFUNCTION("""COMPUTED_VALUE"""),"nemesio traspe jr")</f>
        <v>nemesio traspe jr</v>
      </c>
      <c r="G1180" s="2">
        <f>IFERROR(__xludf.DUMMYFUNCTION("""COMPUTED_VALUE"""),9.603372743E9)</f>
        <v>9603372743</v>
      </c>
      <c r="H1180" s="2">
        <f>IFERROR(__xludf.DUMMYFUNCTION("""COMPUTED_VALUE"""),648.0)</f>
        <v>648</v>
      </c>
      <c r="I1180" s="72" t="str">
        <f>IFERROR(__xludf.DUMMYFUNCTION("""COMPUTED_VALUE"""),"REPAIR - ROTAVATOR")</f>
        <v>REPAIR - ROTAVATOR</v>
      </c>
      <c r="J1180" s="72" t="str">
        <f>IFERROR(__xludf.DUMMYFUNCTION("""COMPUTED_VALUE"""),"Gearbox")</f>
        <v>Gearbox</v>
      </c>
      <c r="K1180" s="72" t="str">
        <f>IFERROR(__xludf.DUMMYFUNCTION("""COMPUTED_VALUE"""),"CFG: ROTAVATOR PROBLEM
sira ang 
1 pc LSGW drive shaft. ipapa machine shop nlng dw po nila. 
1 pc bevel gear 24t. ipapa machine shop din dw po nila. 
1 pc tapper roller bearing 32211. bibili
1 pc oil seal 55-80-12. bibili
ipapa machine shop nlng dw po ni"&amp;"la ung ibang parts. kasi wala dw po silang budget at nalugi dw po sila. tawag nlng dw po sila kung oky na po ung ipapa machine shop po nila. ")</f>
        <v>CFG: ROTAVATOR PROBLEM
sira ang 
1 pc LSGW drive shaft. ipapa machine shop nlng dw po nila. 
1 pc bevel gear 24t. ipapa machine shop din dw po nila. 
1 pc tapper roller bearing 32211. bibili
1 pc oil seal 55-80-12. bibili
ipapa machine shop nlng dw po nila ung ibang parts. kasi wala dw po silang budget at nalugi dw po sila. tawag nlng dw po sila kung oky na po ung ipapa machine shop po nila. </v>
      </c>
      <c r="L1180" s="72" t="str">
        <f>IFERROR(__xludf.DUMMYFUNCTION("""COMPUTED_VALUE"""),"MYK: CANCEL NA , TATAWAG NALANG SILA ULIT ONCE MAY BUDGET NA SILA")</f>
        <v>MYK: CANCEL NA , TATAWAG NALANG SILA ULIT ONCE MAY BUDGET NA SILA</v>
      </c>
      <c r="M1180" s="2"/>
      <c r="N1180" s="2"/>
      <c r="O1180" s="2" t="str">
        <f>IFERROR(__xludf.DUMMYFUNCTION("""COMPUTED_VALUE"""),"N/A")</f>
        <v>N/A</v>
      </c>
      <c r="P1180" s="2"/>
      <c r="Q1180" s="2"/>
      <c r="R1180" s="74">
        <f>IFERROR(__xludf.DUMMYFUNCTION("""COMPUTED_VALUE"""),46093.0)</f>
        <v>46093</v>
      </c>
      <c r="S1180" s="2" t="str">
        <f>IFERROR(__xludf.DUMMYFUNCTION("""COMPUTED_VALUE"""),"MYKEE")</f>
        <v>MYKEE</v>
      </c>
      <c r="T1180" s="73" t="str">
        <f>IFERROR(__xludf.DUMMYFUNCTION("""COMPUTED_VALUE""")," N/A ")</f>
        <v>N/A</v>
      </c>
      <c r="U1180" s="73" t="str">
        <f>IFERROR(__xludf.DUMMYFUNCTION("""COMPUTED_VALUE""")," NO CHARGE ")</f>
        <v>NO CHARGE</v>
      </c>
      <c r="V1180" s="2" t="str">
        <f>IFERROR(__xludf.DUMMYFUNCTION("""COMPUTED_VALUE"""),"N/A")</f>
        <v>N/A</v>
      </c>
      <c r="W1180" s="2" t="str">
        <f>IFERROR(__xludf.DUMMYFUNCTION("""COMPUTED_VALUE"""),"N/A")</f>
        <v>N/A</v>
      </c>
      <c r="X1180" s="2" t="str">
        <f>IFERROR(__xludf.DUMMYFUNCTION("""COMPUTED_VALUE"""),"N/A")</f>
        <v>N/A</v>
      </c>
      <c r="Y1180" s="2"/>
      <c r="Z1180" s="2"/>
      <c r="AA1180" s="2"/>
      <c r="AB1180" s="2"/>
      <c r="AC1180" s="2"/>
      <c r="AD1180" s="2"/>
      <c r="AE1180" s="2"/>
      <c r="AF1180" s="2"/>
      <c r="AG1180" s="2"/>
      <c r="AH1180" s="2"/>
      <c r="AI1180" s="2"/>
      <c r="AJ1180" s="2" t="str">
        <f>IFERROR(__xludf.DUMMYFUNCTION("""COMPUTED_VALUE"""),"San Jose North")</f>
        <v>San Jose North</v>
      </c>
      <c r="AK1180" s="2" t="str">
        <f>IFERROR(__xludf.DUMMYFUNCTION("""COMPUTED_VALUE"""),"Anao")</f>
        <v>Anao</v>
      </c>
      <c r="AL1180" s="2" t="str">
        <f>IFERROR(__xludf.DUMMYFUNCTION("""COMPUTED_VALUE"""),"Tarlac")</f>
        <v>Tarlac</v>
      </c>
      <c r="AM1180" s="2">
        <f>IFERROR(__xludf.DUMMYFUNCTION("""COMPUTED_VALUE"""),3.0)</f>
        <v>3</v>
      </c>
      <c r="AN1180" s="2" t="str">
        <f>IFERROR(__xludf.DUMMYFUNCTION("""COMPUTED_VALUE"""),"RCEF 23-09-21 Rebidding")</f>
        <v>RCEF 23-09-21 Rebidding</v>
      </c>
      <c r="AO1180" s="2">
        <f>IFERROR(__xludf.DUMMYFUNCTION("""COMPUTED_VALUE"""),3.0)</f>
        <v>3</v>
      </c>
      <c r="AP1180" s="2"/>
      <c r="AQ1180" s="2"/>
      <c r="AR1180" s="2"/>
      <c r="AS1180" s="2"/>
      <c r="AT1180" s="2"/>
      <c r="AU1180" s="2"/>
      <c r="AV1180" s="2"/>
      <c r="AW1180" s="2"/>
      <c r="AX1180" s="2"/>
      <c r="AY1180" s="2"/>
      <c r="AZ1180" s="2"/>
      <c r="BA1180" s="2"/>
      <c r="BB1180" s="2"/>
    </row>
    <row r="1181">
      <c r="A1181" s="2">
        <f>IFERROR(__xludf.DUMMYFUNCTION("""COMPUTED_VALUE"""),1177.0)</f>
        <v>1177</v>
      </c>
      <c r="B1181" s="2" t="str">
        <f>IFERROR(__xludf.DUMMYFUNCTION("""COMPUTED_VALUE"""),"PENDING")</f>
        <v>PENDING</v>
      </c>
      <c r="C1181" s="74">
        <f>IFERROR(__xludf.DUMMYFUNCTION("""COMPUTED_VALUE"""),45950.0)</f>
        <v>45950</v>
      </c>
      <c r="D1181" s="71" t="str">
        <f>IFERROR(__xludf.DUMMYFUNCTION("""COMPUTED_VALUE"""),"CABAYUGAN FARMERS ASSOCIATION")</f>
        <v>CABAYUGAN FARMERS ASSOCIATION</v>
      </c>
      <c r="E1181" s="71" t="str">
        <f>IFERROR(__xludf.DUMMYFUNCTION("""COMPUTED_VALUE"""),"Cabayugan, Puerto Princesa City, Palawan")</f>
        <v>Cabayugan, Puerto Princesa City, Palawan</v>
      </c>
      <c r="F1181" s="2" t="str">
        <f>IFERROR(__xludf.DUMMYFUNCTION("""COMPUTED_VALUE"""),"Louie joy aungon")</f>
        <v>Louie joy aungon</v>
      </c>
      <c r="G1181" s="2">
        <f>IFERROR(__xludf.DUMMYFUNCTION("""COMPUTED_VALUE"""),9.050960839E9)</f>
        <v>9050960839</v>
      </c>
      <c r="H1181" s="2"/>
      <c r="I1181" s="72" t="str">
        <f>IFERROR(__xludf.DUMMYFUNCTION("""COMPUTED_VALUE"""),"SPARE PARTS ACQUISITION")</f>
        <v>SPARE PARTS ACQUISITION</v>
      </c>
      <c r="J1181" s="72" t="str">
        <f>IFERROR(__xludf.DUMMYFUNCTION("""COMPUTED_VALUE"""),"PARTS REQUEST")</f>
        <v>PARTS REQUEST</v>
      </c>
      <c r="K1181" s="72" t="str">
        <f>IFERROR(__xludf.DUMMYFUNCTION("""COMPUTED_VALUE"""),"MYK: PARTS FOR CLARIFICATION
OIL SAL NAK 40-55-8-16")</f>
        <v>MYK: PARTS FOR CLARIFICATION
OIL SAL NAK 40-55-8-16</v>
      </c>
      <c r="L1181" s="72" t="str">
        <f>IFERROR(__xludf.DUMMYFUNCTION("""COMPUTED_VALUE"""),"TO CALL BY RCG -  UNATTENDED -  MAHINA TALAGA ANG SIGNAL DOON")</f>
        <v>TO CALL BY RCG -  UNATTENDED -  MAHINA TALAGA ANG SIGNAL DOON</v>
      </c>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c r="AJ1181" s="2" t="str">
        <f>IFERROR(__xludf.DUMMYFUNCTION("""COMPUTED_VALUE"""),"Cabayugan")</f>
        <v>Cabayugan</v>
      </c>
      <c r="AK1181" s="2" t="str">
        <f>IFERROR(__xludf.DUMMYFUNCTION("""COMPUTED_VALUE"""),"Puerto Princesa City")</f>
        <v>Puerto Princesa City</v>
      </c>
      <c r="AL1181" s="2" t="str">
        <f>IFERROR(__xludf.DUMMYFUNCTION("""COMPUTED_VALUE"""),"Palawan")</f>
        <v>Palawan</v>
      </c>
      <c r="AM1181" s="2" t="str">
        <f>IFERROR(__xludf.DUMMYFUNCTION("""COMPUTED_VALUE"""),"4B")</f>
        <v>4B</v>
      </c>
      <c r="AN1181" s="2" t="str">
        <f>IFERROR(__xludf.DUMMYFUNCTION("""COMPUTED_VALUE"""),"RCEF 23-08-20 Rebidding")</f>
        <v>RCEF 23-08-20 Rebidding</v>
      </c>
      <c r="AO1181" s="2">
        <f>IFERROR(__xludf.DUMMYFUNCTION("""COMPUTED_VALUE"""),1.0)</f>
        <v>1</v>
      </c>
      <c r="AP1181" s="2"/>
      <c r="AQ1181" s="2"/>
      <c r="AR1181" s="2"/>
      <c r="AS1181" s="2"/>
      <c r="AT1181" s="2"/>
      <c r="AU1181" s="2"/>
      <c r="AV1181" s="2"/>
      <c r="AW1181" s="2"/>
      <c r="AX1181" s="2"/>
      <c r="AY1181" s="2"/>
      <c r="AZ1181" s="2"/>
      <c r="BA1181" s="2"/>
      <c r="BB1181" s="2"/>
    </row>
    <row r="1182">
      <c r="A1182" s="2">
        <f>IFERROR(__xludf.DUMMYFUNCTION("""COMPUTED_VALUE"""),1178.0)</f>
        <v>1178</v>
      </c>
      <c r="B1182" s="2" t="str">
        <f>IFERROR(__xludf.DUMMYFUNCTION("""COMPUTED_VALUE"""),"COMPLETED")</f>
        <v>COMPLETED</v>
      </c>
      <c r="C1182" s="74">
        <f>IFERROR(__xludf.DUMMYFUNCTION("""COMPUTED_VALUE"""),45951.0)</f>
        <v>45951</v>
      </c>
      <c r="D1182" s="71" t="str">
        <f>IFERROR(__xludf.DUMMYFUNCTION("""COMPUTED_VALUE"""),"Provincial Local Government Unit of Camarines Sur")</f>
        <v>Provincial Local Government Unit of Camarines Sur</v>
      </c>
      <c r="E1182" s="71" t="str">
        <f>IFERROR(__xludf.DUMMYFUNCTION("""COMPUTED_VALUE"""),"Cadlan, Pili, CAMARINES SUR")</f>
        <v>Cadlan, Pili, CAMARINES SUR</v>
      </c>
      <c r="F1182" s="2" t="str">
        <f>IFERROR(__xludf.DUMMYFUNCTION("""COMPUTED_VALUE"""),"Von Quidor")</f>
        <v>Von Quidor</v>
      </c>
      <c r="G1182" s="2">
        <f>IFERROR(__xludf.DUMMYFUNCTION("""COMPUTED_VALUE"""),9.384503848E9)</f>
        <v>9384503848</v>
      </c>
      <c r="H1182" s="2" t="str">
        <f>IFERROR(__xludf.DUMMYFUNCTION("""COMPUTED_VALUE"""),"200+")</f>
        <v>200+</v>
      </c>
      <c r="I1182" s="72" t="str">
        <f>IFERROR(__xludf.DUMMYFUNCTION("""COMPUTED_VALUE"""),"SPARE PARTS ACQUISITION")</f>
        <v>SPARE PARTS ACQUISITION</v>
      </c>
      <c r="J1182" s="72" t="str">
        <f>IFERROR(__xludf.DUMMYFUNCTION("""COMPUTED_VALUE"""),"PARTS REQUEST")</f>
        <v>PARTS REQUEST</v>
      </c>
      <c r="K1182" s="72" t="str">
        <f>IFERROR(__xludf.DUMMYFUNCTION("""COMPUTED_VALUE"""),"MYK: Hydraulic pump sa steering rack
JTT: PST CYLINDER ASSY")</f>
        <v>MYK: Hydraulic pump sa steering rack
JTT: PST CYLINDER ASSY</v>
      </c>
      <c r="L1182" s="72" t="str">
        <f>IFERROR(__xludf.DUMMYFUNCTION("""COMPUTED_VALUE"""),"1 PST AVAILABLE SA WH: QUOTATION SENT: PAID: FOR SHIPPING C/O CJ")</f>
        <v>1 PST AVAILABLE SA WH: QUOTATION SENT: PAID: FOR SHIPPING C/O CJ</v>
      </c>
      <c r="M1182" s="2"/>
      <c r="N1182" s="2" t="str">
        <f>IFERROR(__xludf.DUMMYFUNCTION("""COMPUTED_VALUE"""),"PARTS:
PST CYLINDER ASSY")</f>
        <v>PARTS:
PST CYLINDER ASSY</v>
      </c>
      <c r="O1182" s="2" t="str">
        <f>IFERROR(__xludf.DUMMYFUNCTION("""COMPUTED_VALUE"""),"N/A")</f>
        <v>N/A</v>
      </c>
      <c r="P1182" s="2"/>
      <c r="Q1182" s="2"/>
      <c r="R1182" s="74">
        <f>IFERROR(__xludf.DUMMYFUNCTION("""COMPUTED_VALUE"""),46036.0)</f>
        <v>46036</v>
      </c>
      <c r="S1182" s="2" t="str">
        <f>IFERROR(__xludf.DUMMYFUNCTION("""COMPUTED_VALUE"""),"MYKEE")</f>
        <v>MYKEE</v>
      </c>
      <c r="T1182" s="73">
        <f>IFERROR(__xludf.DUMMYFUNCTION("""COMPUTED_VALUE"""),29560.0)</f>
        <v>29560</v>
      </c>
      <c r="U1182" s="73" t="str">
        <f>IFERROR(__xludf.DUMMYFUNCTION("""COMPUTED_VALUE""")," REMITTED ")</f>
        <v>REMITTED</v>
      </c>
      <c r="V1182" s="2"/>
      <c r="W1182" s="2">
        <f>IFERROR(__xludf.DUMMYFUNCTION("""COMPUTED_VALUE"""),1735.0)</f>
        <v>1735</v>
      </c>
      <c r="X1182" s="2"/>
      <c r="Y1182" s="2" t="str">
        <f>IFERROR(__xludf.DUMMYFUNCTION("""COMPUTED_VALUE"""),"BANK TRANSFER")</f>
        <v>BANK TRANSFER</v>
      </c>
      <c r="Z1182" s="2"/>
      <c r="AA1182" s="2"/>
      <c r="AB1182" s="2"/>
      <c r="AC1182" s="2"/>
      <c r="AD1182" s="2"/>
      <c r="AE1182" s="2"/>
      <c r="AF1182" s="2"/>
      <c r="AG1182" s="2"/>
      <c r="AH1182" s="2"/>
      <c r="AI1182" s="2"/>
      <c r="AJ1182" s="2" t="str">
        <f>IFERROR(__xludf.DUMMYFUNCTION("""COMPUTED_VALUE"""),"Cadlan")</f>
        <v>Cadlan</v>
      </c>
      <c r="AK1182" s="2" t="str">
        <f>IFERROR(__xludf.DUMMYFUNCTION("""COMPUTED_VALUE"""),"Pili")</f>
        <v>Pili</v>
      </c>
      <c r="AL1182" s="2" t="str">
        <f>IFERROR(__xludf.DUMMYFUNCTION("""COMPUTED_VALUE"""),"Camarines Sur")</f>
        <v>Camarines Sur</v>
      </c>
      <c r="AM1182" s="2">
        <f>IFERROR(__xludf.DUMMYFUNCTION("""COMPUTED_VALUE"""),5.0)</f>
        <v>5</v>
      </c>
      <c r="AN1182" s="2" t="str">
        <f>IFERROR(__xludf.DUMMYFUNCTION("""COMPUTED_VALUE"""),"RCEF 25-03-05")</f>
        <v>RCEF 25-03-05</v>
      </c>
      <c r="AO1182" s="2">
        <f>IFERROR(__xludf.DUMMYFUNCTION("""COMPUTED_VALUE"""),6.0)</f>
        <v>6</v>
      </c>
      <c r="AP1182" s="2" t="str">
        <f>IFERROR(__xludf.DUMMYFUNCTION("""COMPUTED_VALUE"""),"FREE PMS")</f>
        <v>FREE PMS</v>
      </c>
      <c r="AQ1182" s="2"/>
      <c r="AR1182" s="2"/>
      <c r="AS1182" s="2"/>
      <c r="AT1182" s="2"/>
      <c r="AU1182" s="2"/>
      <c r="AV1182" s="2"/>
      <c r="AW1182" s="2"/>
      <c r="AX1182" s="2"/>
      <c r="AY1182" s="2"/>
      <c r="AZ1182" s="2"/>
      <c r="BA1182" s="2"/>
      <c r="BB1182" s="2"/>
    </row>
    <row r="1183">
      <c r="A1183" s="2">
        <f>IFERROR(__xludf.DUMMYFUNCTION("""COMPUTED_VALUE"""),1179.0)</f>
        <v>1179</v>
      </c>
      <c r="B1183" s="2" t="str">
        <f>IFERROR(__xludf.DUMMYFUNCTION("""COMPUTED_VALUE"""),"PENDING")</f>
        <v>PENDING</v>
      </c>
      <c r="C1183" s="74">
        <f>IFERROR(__xludf.DUMMYFUNCTION("""COMPUTED_VALUE"""),45951.0)</f>
        <v>45951</v>
      </c>
      <c r="D1183" s="71" t="str">
        <f>IFERROR(__xludf.DUMMYFUNCTION("""COMPUTED_VALUE"""),"Bugtongan Farmers Association")</f>
        <v>Bugtongan Farmers Association</v>
      </c>
      <c r="E1183" s="71" t="str">
        <f>IFERROR(__xludf.DUMMYFUNCTION("""COMPUTED_VALUE"""),"Bugtongan, Duenas, ILOILO")</f>
        <v>Bugtongan, Duenas, ILOILO</v>
      </c>
      <c r="F1183" s="2" t="str">
        <f>IFERROR(__xludf.DUMMYFUNCTION("""COMPUTED_VALUE"""),"NARCISSO SORONGON")</f>
        <v>NARCISSO SORONGON</v>
      </c>
      <c r="G1183" s="2">
        <f>IFERROR(__xludf.DUMMYFUNCTION("""COMPUTED_VALUE"""),9.213188684E9)</f>
        <v>9213188684</v>
      </c>
      <c r="H1183" s="2"/>
      <c r="I1183" s="72" t="str">
        <f>IFERROR(__xludf.DUMMYFUNCTION("""COMPUTED_VALUE"""),"SPARE PARTS ACQUISITION")</f>
        <v>SPARE PARTS ACQUISITION</v>
      </c>
      <c r="J1183" s="72" t="str">
        <f>IFERROR(__xludf.DUMMYFUNCTION("""COMPUTED_VALUE"""),"PARTS REQUEST")</f>
        <v>PARTS REQUEST</v>
      </c>
      <c r="K1183" s="72" t="str">
        <f>IFERROR(__xludf.DUMMYFUNCTION("""COMPUTED_VALUE"""),"MYK: PARTS REQUEST
1-FLASHER RELAY - 8,281")</f>
        <v>MYK: PARTS REQUEST
1-FLASHER RELAY - 8,281</v>
      </c>
      <c r="L1183" s="72"/>
      <c r="M1183" s="2" t="str">
        <f>IFERROR(__xludf.DUMMYFUNCTION("""COMPUTED_VALUE"""),"FLASHER RELAY")</f>
        <v>FLASHER RELAY</v>
      </c>
      <c r="N1183" s="2"/>
      <c r="O1183" s="2"/>
      <c r="P1183" s="2"/>
      <c r="Q1183" s="2"/>
      <c r="R1183" s="2"/>
      <c r="S1183" s="2"/>
      <c r="T1183" s="2"/>
      <c r="U1183" s="2"/>
      <c r="V1183" s="2"/>
      <c r="W1183" s="2"/>
      <c r="X1183" s="2"/>
      <c r="Y1183" s="2"/>
      <c r="Z1183" s="2"/>
      <c r="AA1183" s="2"/>
      <c r="AB1183" s="2"/>
      <c r="AC1183" s="2"/>
      <c r="AD1183" s="2"/>
      <c r="AE1183" s="2"/>
      <c r="AF1183" s="2"/>
      <c r="AG1183" s="2"/>
      <c r="AH1183" s="2"/>
      <c r="AI1183" s="2"/>
      <c r="AJ1183" s="2" t="str">
        <f>IFERROR(__xludf.DUMMYFUNCTION("""COMPUTED_VALUE"""),"Bugtongan")</f>
        <v>Bugtongan</v>
      </c>
      <c r="AK1183" s="2" t="str">
        <f>IFERROR(__xludf.DUMMYFUNCTION("""COMPUTED_VALUE"""),"Duenas")</f>
        <v>Duenas</v>
      </c>
      <c r="AL1183" s="2" t="str">
        <f>IFERROR(__xludf.DUMMYFUNCTION("""COMPUTED_VALUE"""),"Iloilo")</f>
        <v>Iloilo</v>
      </c>
      <c r="AM1183" s="2">
        <f>IFERROR(__xludf.DUMMYFUNCTION("""COMPUTED_VALUE"""),6.0)</f>
        <v>6</v>
      </c>
      <c r="AN1183" s="2" t="str">
        <f>IFERROR(__xludf.DUMMYFUNCTION("""COMPUTED_VALUE"""),"RCEF 23-09-21 Rebidding")</f>
        <v>RCEF 23-09-21 Rebidding</v>
      </c>
      <c r="AO1183" s="2">
        <f>IFERROR(__xludf.DUMMYFUNCTION("""COMPUTED_VALUE"""),4.0)</f>
        <v>4</v>
      </c>
      <c r="AP1183" s="2"/>
      <c r="AQ1183" s="2"/>
      <c r="AR1183" s="2"/>
      <c r="AS1183" s="2"/>
      <c r="AT1183" s="2"/>
      <c r="AU1183" s="2"/>
      <c r="AV1183" s="2"/>
      <c r="AW1183" s="2"/>
      <c r="AX1183" s="2"/>
      <c r="AY1183" s="2"/>
      <c r="AZ1183" s="2"/>
      <c r="BA1183" s="2"/>
      <c r="BB1183" s="2"/>
    </row>
    <row r="1184">
      <c r="A1184" s="2">
        <f>IFERROR(__xludf.DUMMYFUNCTION("""COMPUTED_VALUE"""),1180.0)</f>
        <v>1180</v>
      </c>
      <c r="B1184" s="2" t="str">
        <f>IFERROR(__xludf.DUMMYFUNCTION("""COMPUTED_VALUE"""),"PENDING")</f>
        <v>PENDING</v>
      </c>
      <c r="C1184" s="74">
        <f>IFERROR(__xludf.DUMMYFUNCTION("""COMPUTED_VALUE"""),45951.0)</f>
        <v>45951</v>
      </c>
      <c r="D1184" s="71" t="str">
        <f>IFERROR(__xludf.DUMMYFUNCTION("""COMPUTED_VALUE"""),"Pili Farmers Association")</f>
        <v>Pili Farmers Association</v>
      </c>
      <c r="E1184" s="71" t="str">
        <f>IFERROR(__xludf.DUMMYFUNCTION("""COMPUTED_VALUE"""),"Pili, Ajuy, ILOILO")</f>
        <v>Pili, Ajuy, ILOILO</v>
      </c>
      <c r="F1184" s="2" t="str">
        <f>IFERROR(__xludf.DUMMYFUNCTION("""COMPUTED_VALUE"""),"Hermino Atadero")</f>
        <v>Hermino Atadero</v>
      </c>
      <c r="G1184" s="2">
        <f>IFERROR(__xludf.DUMMYFUNCTION("""COMPUTED_VALUE"""),9.979185275E9)</f>
        <v>9979185275</v>
      </c>
      <c r="H1184" s="2"/>
      <c r="I1184" s="72" t="str">
        <f>IFERROR(__xludf.DUMMYFUNCTION("""COMPUTED_VALUE"""),"SPARE PARTS ACQUISITION")</f>
        <v>SPARE PARTS ACQUISITION</v>
      </c>
      <c r="J1184" s="72"/>
      <c r="K1184" s="72" t="str">
        <f>IFERROR(__xludf.DUMMYFUNCTION("""COMPUTED_VALUE"""),"MYK: SHAFTING SA UNAHAN KANANG BANDA NG TRACTORA, NA ERASE NA ANG SHIPLINE HINDI NA NAGANA ANG GULONG PAG NAKA FRONT DRIVE .
PARTS REQUEST:")</f>
        <v>MYK: SHAFTING SA UNAHAN KANANG BANDA NG TRACTORA, NA ERASE NA ANG SHIPLINE HINDI NA NAGANA ANG GULONG PAG NAKA FRONT DRIVE .
PARTS REQUEST:</v>
      </c>
      <c r="L1184" s="72" t="str">
        <f>IFERROR(__xludf.DUMMYFUNCTION("""COMPUTED_VALUE"""),"SUNDAY 10/26/25-PALANG DAW MABUBUKSAN YUNG TRACTOR
MYK- UNATTENDED PAG TINATAWAGAN")</f>
        <v>SUNDAY 10/26/25-PALANG DAW MABUBUKSAN YUNG TRACTOR
MYK- UNATTENDED PAG TINATAWAGAN</v>
      </c>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c r="AJ1184" s="2" t="str">
        <f>IFERROR(__xludf.DUMMYFUNCTION("""COMPUTED_VALUE"""),"Pili")</f>
        <v>Pili</v>
      </c>
      <c r="AK1184" s="2" t="str">
        <f>IFERROR(__xludf.DUMMYFUNCTION("""COMPUTED_VALUE"""),"Ajuy")</f>
        <v>Ajuy</v>
      </c>
      <c r="AL1184" s="2" t="str">
        <f>IFERROR(__xludf.DUMMYFUNCTION("""COMPUTED_VALUE"""),"Iloilo")</f>
        <v>Iloilo</v>
      </c>
      <c r="AM1184" s="2">
        <f>IFERROR(__xludf.DUMMYFUNCTION("""COMPUTED_VALUE"""),6.0)</f>
        <v>6</v>
      </c>
      <c r="AN1184" s="2" t="str">
        <f>IFERROR(__xludf.DUMMYFUNCTION("""COMPUTED_VALUE"""),"RCEF 23-09-21 Rebidding")</f>
        <v>RCEF 23-09-21 Rebidding</v>
      </c>
      <c r="AO1184" s="2">
        <f>IFERROR(__xludf.DUMMYFUNCTION("""COMPUTED_VALUE"""),4.0)</f>
        <v>4</v>
      </c>
      <c r="AP1184" s="2"/>
      <c r="AQ1184" s="2"/>
      <c r="AR1184" s="2"/>
      <c r="AS1184" s="2"/>
      <c r="AT1184" s="2"/>
      <c r="AU1184" s="2"/>
      <c r="AV1184" s="2"/>
      <c r="AW1184" s="2"/>
      <c r="AX1184" s="2"/>
      <c r="AY1184" s="2"/>
      <c r="AZ1184" s="2"/>
      <c r="BA1184" s="2"/>
      <c r="BB1184" s="2"/>
    </row>
    <row r="1185">
      <c r="A1185" s="2">
        <f>IFERROR(__xludf.DUMMYFUNCTION("""COMPUTED_VALUE"""),1181.0)</f>
        <v>1181</v>
      </c>
      <c r="B1185" s="2" t="str">
        <f>IFERROR(__xludf.DUMMYFUNCTION("""COMPUTED_VALUE"""),"COMPLETED")</f>
        <v>COMPLETED</v>
      </c>
      <c r="C1185" s="74">
        <f>IFERROR(__xludf.DUMMYFUNCTION("""COMPUTED_VALUE"""),45952.0)</f>
        <v>45952</v>
      </c>
      <c r="D1185" s="71" t="str">
        <f>IFERROR(__xludf.DUMMYFUNCTION("""COMPUTED_VALUE"""),"KIRANG IMPOUNDING ARITAO IRRIGATORS ASSOCIATION INC.,")</f>
        <v>KIRANG IMPOUNDING ARITAO IRRIGATORS ASSOCIATION INC.,</v>
      </c>
      <c r="E1185" s="71" t="str">
        <f>IFERROR(__xludf.DUMMYFUNCTION("""COMPUTED_VALUE"""),", Aritao, Nueva Vizcaya")</f>
        <v>, Aritao, Nueva Vizcaya</v>
      </c>
      <c r="F1185" s="2"/>
      <c r="G1185" s="2">
        <f>IFERROR(__xludf.DUMMYFUNCTION("""COMPUTED_VALUE"""),9.291895337E9)</f>
        <v>9291895337</v>
      </c>
      <c r="H1185" s="2"/>
      <c r="I1185" s="72" t="str">
        <f>IFERROR(__xludf.DUMMYFUNCTION("""COMPUTED_VALUE"""),"REPAIR - TRACTOR")</f>
        <v>REPAIR - TRACTOR</v>
      </c>
      <c r="J1185" s="72" t="str">
        <f>IFERROR(__xludf.DUMMYFUNCTION("""COMPUTED_VALUE"""),"Transmission - Clutch")</f>
        <v>Transmission - Clutch</v>
      </c>
      <c r="K1185" s="72" t="str">
        <f>IFERROR(__xludf.DUMMYFUNCTION("""COMPUTED_VALUE"""),"RBS: ayaw pumasok ang kambyo (clutch )")</f>
        <v>RBS: ayaw pumasok ang kambyo (clutch )</v>
      </c>
      <c r="L1185" s="72" t="str">
        <f>IFERROR(__xludf.DUMMYFUNCTION("""COMPUTED_VALUE"""),"JDP: REMOVE THE CLUTCH DISC ASSY THAT WAS STUCK ON THE FLY WHELL")</f>
        <v>JDP: REMOVE THE CLUTCH DISC ASSY THAT WAS STUCK ON THE FLY WHELL</v>
      </c>
      <c r="M1185" s="2"/>
      <c r="N1185" s="2" t="str">
        <f>IFERROR(__xludf.DUMMYFUNCTION("""COMPUTED_VALUE"""),"LABOR: 8,000")</f>
        <v>LABOR: 8,000</v>
      </c>
      <c r="O1185" s="2">
        <f>IFERROR(__xludf.DUMMYFUNCTION("""COMPUTED_VALUE"""),475.0)</f>
        <v>475</v>
      </c>
      <c r="P1185" s="2"/>
      <c r="Q1185" s="2" t="str">
        <f>IFERROR(__xludf.DUMMYFUNCTION("""COMPUTED_VALUE"""),"Y")</f>
        <v>Y</v>
      </c>
      <c r="R1185" s="74">
        <f>IFERROR(__xludf.DUMMYFUNCTION("""COMPUTED_VALUE"""),45968.0)</f>
        <v>45968</v>
      </c>
      <c r="S1185" s="2" t="str">
        <f>IFERROR(__xludf.DUMMYFUNCTION("""COMPUTED_VALUE"""),"CFG/JDP")</f>
        <v>CFG/JDP</v>
      </c>
      <c r="T1185" s="73">
        <f>IFERROR(__xludf.DUMMYFUNCTION("""COMPUTED_VALUE"""),7000.0)</f>
        <v>7000</v>
      </c>
      <c r="U1185" s="73" t="str">
        <f>IFERROR(__xludf.DUMMYFUNCTION("""COMPUTED_VALUE""")," RECORDED ")</f>
        <v>RECORDED</v>
      </c>
      <c r="V1185" s="2"/>
      <c r="W1185" s="2">
        <f>IFERROR(__xludf.DUMMYFUNCTION("""COMPUTED_VALUE"""),1766.0)</f>
        <v>1766</v>
      </c>
      <c r="X1185" s="2">
        <f>IFERROR(__xludf.DUMMYFUNCTION("""COMPUTED_VALUE"""),1716.0)</f>
        <v>1716</v>
      </c>
      <c r="Y1185" s="2"/>
      <c r="Z1185" s="2"/>
      <c r="AA1185" s="2"/>
      <c r="AB1185" s="2"/>
      <c r="AC1185" s="2"/>
      <c r="AD1185" s="2"/>
      <c r="AE1185" s="2"/>
      <c r="AF1185" s="2"/>
      <c r="AG1185" s="2"/>
      <c r="AH1185" s="2"/>
      <c r="AI1185" s="2"/>
      <c r="AJ1185" s="2" t="str">
        <f>IFERROR(__xludf.DUMMYFUNCTION("""COMPUTED_VALUE"""),"")</f>
        <v/>
      </c>
      <c r="AK1185" s="2" t="str">
        <f>IFERROR(__xludf.DUMMYFUNCTION("""COMPUTED_VALUE"""),"Aritao")</f>
        <v>Aritao</v>
      </c>
      <c r="AL1185" s="2" t="str">
        <f>IFERROR(__xludf.DUMMYFUNCTION("""COMPUTED_VALUE"""),"Nueva Vizcaya")</f>
        <v>Nueva Vizcaya</v>
      </c>
      <c r="AM1185" s="2">
        <f>IFERROR(__xludf.DUMMYFUNCTION("""COMPUTED_VALUE"""),2.0)</f>
        <v>2</v>
      </c>
      <c r="AN1185" s="2" t="str">
        <f>IFERROR(__xludf.DUMMYFUNCTION("""COMPUTED_VALUE"""),"RCEF 23-09-21 Rebidding")</f>
        <v>RCEF 23-09-21 Rebidding</v>
      </c>
      <c r="AO1185" s="2">
        <f>IFERROR(__xludf.DUMMYFUNCTION("""COMPUTED_VALUE"""),9.0)</f>
        <v>9</v>
      </c>
      <c r="AP1185" s="2"/>
      <c r="AQ1185" s="2"/>
      <c r="AR1185" s="2"/>
      <c r="AS1185" s="2"/>
      <c r="AT1185" s="2"/>
      <c r="AU1185" s="2"/>
      <c r="AV1185" s="2"/>
      <c r="AW1185" s="2"/>
      <c r="AX1185" s="2"/>
      <c r="AY1185" s="2"/>
      <c r="AZ1185" s="2"/>
      <c r="BA1185" s="2"/>
      <c r="BB1185" s="2"/>
    </row>
    <row r="1186">
      <c r="A1186" s="2">
        <f>IFERROR(__xludf.DUMMYFUNCTION("""COMPUTED_VALUE"""),1182.0)</f>
        <v>1182</v>
      </c>
      <c r="B1186" s="2" t="str">
        <f>IFERROR(__xludf.DUMMYFUNCTION("""COMPUTED_VALUE"""),"COMPLETED")</f>
        <v>COMPLETED</v>
      </c>
      <c r="C1186" s="74">
        <f>IFERROR(__xludf.DUMMYFUNCTION("""COMPUTED_VALUE"""),45952.0)</f>
        <v>45952</v>
      </c>
      <c r="D1186" s="71" t="str">
        <f>IFERROR(__xludf.DUMMYFUNCTION("""COMPUTED_VALUE"""),"Lumannap Aurora Irrigators Association Inc.")</f>
        <v>Lumannap Aurora Irrigators Association Inc.</v>
      </c>
      <c r="E1186" s="71" t="str">
        <f>IFERROR(__xludf.DUMMYFUNCTION("""COMPUTED_VALUE"""),"Aurora, Quezon, NUEVA VIZCAYA")</f>
        <v>Aurora, Quezon, NUEVA VIZCAYA</v>
      </c>
      <c r="F1186" s="2" t="str">
        <f>IFERROR(__xludf.DUMMYFUNCTION("""COMPUTED_VALUE"""),"DANIEL DAGDAG")</f>
        <v>DANIEL DAGDAG</v>
      </c>
      <c r="G1186" s="2">
        <f>IFERROR(__xludf.DUMMYFUNCTION("""COMPUTED_VALUE"""),9.669871651E9)</f>
        <v>9669871651</v>
      </c>
      <c r="H1186" s="2" t="str">
        <f>IFERROR(__xludf.DUMMYFUNCTION("""COMPUTED_VALUE"""),"350+")</f>
        <v>350+</v>
      </c>
      <c r="I1186" s="72" t="str">
        <f>IFERROR(__xludf.DUMMYFUNCTION("""COMPUTED_VALUE"""),"SPARE PARTS ACQUISITION")</f>
        <v>SPARE PARTS ACQUISITION</v>
      </c>
      <c r="J1186" s="72"/>
      <c r="K1186" s="72" t="str">
        <f>IFERROR(__xludf.DUMMYFUNCTION("""COMPUTED_VALUE"""),"MYK: 2ND PMS
HYDRUALIC FILTER
ENGINE FILTER")</f>
        <v>MYK: 2ND PMS
HYDRUALIC FILTER
ENGINE FILTER</v>
      </c>
      <c r="L1186" s="72" t="str">
        <f>IFERROR(__xludf.DUMMYFUNCTION("""COMPUTED_VALUE"""),"QUOTATION SENT: SHIPPED")</f>
        <v>QUOTATION SENT: SHIPPED</v>
      </c>
      <c r="M1186" s="2"/>
      <c r="N1186" s="2" t="str">
        <f>IFERROR(__xludf.DUMMYFUNCTION("""COMPUTED_VALUE"""),"PARTS: 
HYDRAULIC FILTER")</f>
        <v>PARTS: 
HYDRAULIC FILTER</v>
      </c>
      <c r="O1186" s="2" t="str">
        <f>IFERROR(__xludf.DUMMYFUNCTION("""COMPUTED_VALUE"""),"N/A")</f>
        <v>N/A</v>
      </c>
      <c r="P1186" s="2"/>
      <c r="Q1186" s="2" t="str">
        <f>IFERROR(__xludf.DUMMYFUNCTION("""COMPUTED_VALUE"""),"N")</f>
        <v>N</v>
      </c>
      <c r="R1186" s="74">
        <f>IFERROR(__xludf.DUMMYFUNCTION("""COMPUTED_VALUE"""),45953.0)</f>
        <v>45953</v>
      </c>
      <c r="S1186" s="2" t="str">
        <f>IFERROR(__xludf.DUMMYFUNCTION("""COMPUTED_VALUE"""),"MYKEE")</f>
        <v>MYKEE</v>
      </c>
      <c r="T1186" s="73">
        <f>IFERROR(__xludf.DUMMYFUNCTION("""COMPUTED_VALUE"""),2837.0)</f>
        <v>2837</v>
      </c>
      <c r="U1186" s="73" t="str">
        <f>IFERROR(__xludf.DUMMYFUNCTION("""COMPUTED_VALUE""")," REMITTED ")</f>
        <v>REMITTED</v>
      </c>
      <c r="V1186" s="2"/>
      <c r="W1186" s="2">
        <f>IFERROR(__xludf.DUMMYFUNCTION("""COMPUTED_VALUE"""),1723.0)</f>
        <v>1723</v>
      </c>
      <c r="X1186" s="2" t="str">
        <f>IFERROR(__xludf.DUMMYFUNCTION("""COMPUTED_VALUE"""),"N/A")</f>
        <v>N/A</v>
      </c>
      <c r="Y1186" s="2"/>
      <c r="Z1186" s="2"/>
      <c r="AA1186" s="2"/>
      <c r="AB1186" s="2"/>
      <c r="AC1186" s="2"/>
      <c r="AD1186" s="2"/>
      <c r="AE1186" s="2"/>
      <c r="AF1186" s="2"/>
      <c r="AG1186" s="2"/>
      <c r="AH1186" s="2"/>
      <c r="AI1186" s="2"/>
      <c r="AJ1186" s="2" t="str">
        <f>IFERROR(__xludf.DUMMYFUNCTION("""COMPUTED_VALUE"""),"Aurora")</f>
        <v>Aurora</v>
      </c>
      <c r="AK1186" s="2" t="str">
        <f>IFERROR(__xludf.DUMMYFUNCTION("""COMPUTED_VALUE"""),"Quezon")</f>
        <v>Quezon</v>
      </c>
      <c r="AL1186" s="2" t="str">
        <f>IFERROR(__xludf.DUMMYFUNCTION("""COMPUTED_VALUE"""),"Nueva Vizcaya")</f>
        <v>Nueva Vizcaya</v>
      </c>
      <c r="AM1186" s="2">
        <f>IFERROR(__xludf.DUMMYFUNCTION("""COMPUTED_VALUE"""),2.0)</f>
        <v>2</v>
      </c>
      <c r="AN1186" s="2" t="str">
        <f>IFERROR(__xludf.DUMMYFUNCTION("""COMPUTED_VALUE"""),"RCEF 23-09-21 Rebidding")</f>
        <v>RCEF 23-09-21 Rebidding</v>
      </c>
      <c r="AO1186" s="2">
        <f>IFERROR(__xludf.DUMMYFUNCTION("""COMPUTED_VALUE"""),9.0)</f>
        <v>9</v>
      </c>
      <c r="AP1186" s="2"/>
      <c r="AQ1186" s="2"/>
      <c r="AR1186" s="2"/>
      <c r="AS1186" s="2"/>
      <c r="AT1186" s="2"/>
      <c r="AU1186" s="2"/>
      <c r="AV1186" s="2"/>
      <c r="AW1186" s="2"/>
      <c r="AX1186" s="2"/>
      <c r="AY1186" s="2"/>
      <c r="AZ1186" s="2"/>
      <c r="BA1186" s="2"/>
      <c r="BB1186" s="2"/>
    </row>
    <row r="1187">
      <c r="A1187" s="2">
        <f>IFERROR(__xludf.DUMMYFUNCTION("""COMPUTED_VALUE"""),1183.0)</f>
        <v>1183</v>
      </c>
      <c r="B1187" s="2" t="str">
        <f>IFERROR(__xludf.DUMMYFUNCTION("""COMPUTED_VALUE"""),"COMPLETED")</f>
        <v>COMPLETED</v>
      </c>
      <c r="C1187" s="74">
        <f>IFERROR(__xludf.DUMMYFUNCTION("""COMPUTED_VALUE"""),45952.0)</f>
        <v>45952</v>
      </c>
      <c r="D1187" s="71" t="str">
        <f>IFERROR(__xludf.DUMMYFUNCTION("""COMPUTED_VALUE"""),"BUKLUD KAPAMPANGAN FARMERS ASSOCIATION INC.")</f>
        <v>BUKLUD KAPAMPANGAN FARMERS ASSOCIATION INC.</v>
      </c>
      <c r="E1187" s="71" t="str">
        <f>IFERROR(__xludf.DUMMYFUNCTION("""COMPUTED_VALUE"""),"Cabetican, Bacolor, PAMPANGA")</f>
        <v>Cabetican, Bacolor, PAMPANGA</v>
      </c>
      <c r="F1187" s="2" t="str">
        <f>IFERROR(__xludf.DUMMYFUNCTION("""COMPUTED_VALUE"""),"Dario Gueco")</f>
        <v>Dario Gueco</v>
      </c>
      <c r="G1187" s="2" t="str">
        <f>IFERROR(__xludf.DUMMYFUNCTION("""COMPUTED_VALUE"""),"0960 936 8115")</f>
        <v>0960 936 8115</v>
      </c>
      <c r="H1187" s="2">
        <f>IFERROR(__xludf.DUMMYFUNCTION("""COMPUTED_VALUE"""),150.0)</f>
        <v>150</v>
      </c>
      <c r="I1187" s="72" t="str">
        <f>IFERROR(__xludf.DUMMYFUNCTION("""COMPUTED_VALUE"""),"SPARE PARTS ACQUISITION")</f>
        <v>SPARE PARTS ACQUISITION</v>
      </c>
      <c r="J1187" s="72"/>
      <c r="K1187" s="72" t="str">
        <f>IFERROR(__xludf.DUMMYFUNCTION("""COMPUTED_VALUE"""),"JDP: PARTS REQUEST 
Front Axel Oil Seal
Oil seal NAK AP6 57 80 15
Oil seal TC60110000")</f>
        <v>JDP: PARTS REQUEST 
Front Axel Oil Seal
Oil seal NAK AP6 57 80 15
Oil seal TC60110000</v>
      </c>
      <c r="L1187" s="72" t="str">
        <f>IFERROR(__xludf.DUMMYFUNCTION("""COMPUTED_VALUE"""),"C/O JOEY- SASABIHIN DAW MUNA SA BOSS NYA ANG PRICE
JDP:Not available daw po si FCA today at nakahanap na daw po sila ng oil seal")</f>
        <v>C/O JOEY- SASABIHIN DAW MUNA SA BOSS NYA ANG PRICE
JDP:Not available daw po si FCA today at nakahanap na daw po sila ng oil seal</v>
      </c>
      <c r="M1187" s="2"/>
      <c r="N1187" s="2"/>
      <c r="O1187" s="2" t="str">
        <f>IFERROR(__xludf.DUMMYFUNCTION("""COMPUTED_VALUE"""),"N/A")</f>
        <v>N/A</v>
      </c>
      <c r="P1187" s="2"/>
      <c r="Q1187" s="2"/>
      <c r="R1187" s="74">
        <f>IFERROR(__xludf.DUMMYFUNCTION("""COMPUTED_VALUE"""),45964.0)</f>
        <v>45964</v>
      </c>
      <c r="S1187" s="2" t="str">
        <f>IFERROR(__xludf.DUMMYFUNCTION("""COMPUTED_VALUE"""),"JDP")</f>
        <v>JDP</v>
      </c>
      <c r="T1187" s="73" t="str">
        <f>IFERROR(__xludf.DUMMYFUNCTION("""COMPUTED_VALUE""")," N/A ")</f>
        <v>N/A</v>
      </c>
      <c r="U1187" s="73" t="str">
        <f>IFERROR(__xludf.DUMMYFUNCTION("""COMPUTED_VALUE""")," NO CHARGE ")</f>
        <v>NO CHARGE</v>
      </c>
      <c r="V1187" s="2"/>
      <c r="W1187" s="2" t="str">
        <f>IFERROR(__xludf.DUMMYFUNCTION("""COMPUTED_VALUE"""),"N/A")</f>
        <v>N/A</v>
      </c>
      <c r="X1187" s="2" t="str">
        <f>IFERROR(__xludf.DUMMYFUNCTION("""COMPUTED_VALUE"""),"N/A")</f>
        <v>N/A</v>
      </c>
      <c r="Y1187" s="2"/>
      <c r="Z1187" s="2"/>
      <c r="AA1187" s="2"/>
      <c r="AB1187" s="2"/>
      <c r="AC1187" s="2"/>
      <c r="AD1187" s="2"/>
      <c r="AE1187" s="2"/>
      <c r="AF1187" s="2"/>
      <c r="AG1187" s="2"/>
      <c r="AH1187" s="2"/>
      <c r="AI1187" s="2"/>
      <c r="AJ1187" s="2" t="str">
        <f>IFERROR(__xludf.DUMMYFUNCTION("""COMPUTED_VALUE"""),"Cabetican")</f>
        <v>Cabetican</v>
      </c>
      <c r="AK1187" s="2" t="str">
        <f>IFERROR(__xludf.DUMMYFUNCTION("""COMPUTED_VALUE"""),"Bacolor")</f>
        <v>Bacolor</v>
      </c>
      <c r="AL1187" s="2" t="str">
        <f>IFERROR(__xludf.DUMMYFUNCTION("""COMPUTED_VALUE"""),"Pampanga")</f>
        <v>Pampanga</v>
      </c>
      <c r="AM1187" s="2">
        <f>IFERROR(__xludf.DUMMYFUNCTION("""COMPUTED_VALUE"""),3.0)</f>
        <v>3</v>
      </c>
      <c r="AN1187" s="2" t="str">
        <f>IFERROR(__xludf.DUMMYFUNCTION("""COMPUTED_VALUE"""),"RCEF 24-04-15")</f>
        <v>RCEF 24-04-15</v>
      </c>
      <c r="AO1187" s="2">
        <f>IFERROR(__xludf.DUMMYFUNCTION("""COMPUTED_VALUE"""),6.0)</f>
        <v>6</v>
      </c>
      <c r="AP1187" s="2" t="str">
        <f>IFERROR(__xludf.DUMMYFUNCTION("""COMPUTED_VALUE"""),"FREE PMS")</f>
        <v>FREE PMS</v>
      </c>
      <c r="AQ1187" s="2"/>
      <c r="AR1187" s="2"/>
      <c r="AS1187" s="2"/>
      <c r="AT1187" s="2"/>
      <c r="AU1187" s="2"/>
      <c r="AV1187" s="2"/>
      <c r="AW1187" s="2"/>
      <c r="AX1187" s="2"/>
      <c r="AY1187" s="2"/>
      <c r="AZ1187" s="2"/>
      <c r="BA1187" s="2"/>
      <c r="BB1187" s="2"/>
    </row>
    <row r="1188">
      <c r="A1188" s="2">
        <f>IFERROR(__xludf.DUMMYFUNCTION("""COMPUTED_VALUE"""),1184.0)</f>
        <v>1184</v>
      </c>
      <c r="B1188" s="2" t="str">
        <f>IFERROR(__xludf.DUMMYFUNCTION("""COMPUTED_VALUE"""),"COMPLETED")</f>
        <v>COMPLETED</v>
      </c>
      <c r="C1188" s="74">
        <f>IFERROR(__xludf.DUMMYFUNCTION("""COMPUTED_VALUE"""),45957.0)</f>
        <v>45957</v>
      </c>
      <c r="D1188" s="71" t="str">
        <f>IFERROR(__xludf.DUMMYFUNCTION("""COMPUTED_VALUE"""),"Santiago Nagkakaisa Agriculture Cooperative")</f>
        <v>Santiago Nagkakaisa Agriculture Cooperative</v>
      </c>
      <c r="E1188" s="71" t="str">
        <f>IFERROR(__xludf.DUMMYFUNCTION("""COMPUTED_VALUE"""),"Santiago, Gerona, TARLAC")</f>
        <v>Santiago, Gerona, TARLAC</v>
      </c>
      <c r="F1188" s="2" t="str">
        <f>IFERROR(__xludf.DUMMYFUNCTION("""COMPUTED_VALUE"""),"Loreto Guillermo ")</f>
        <v>Loreto Guillermo </v>
      </c>
      <c r="G1188" s="2">
        <f>IFERROR(__xludf.DUMMYFUNCTION("""COMPUTED_VALUE"""),9.504815033E9)</f>
        <v>9504815033</v>
      </c>
      <c r="H1188" s="2">
        <f>IFERROR(__xludf.DUMMYFUNCTION("""COMPUTED_VALUE"""),816.0)</f>
        <v>816</v>
      </c>
      <c r="I1188" s="72" t="str">
        <f>IFERROR(__xludf.DUMMYFUNCTION("""COMPUTED_VALUE"""),"REPAIR - TRACTOR")</f>
        <v>REPAIR - TRACTOR</v>
      </c>
      <c r="J1188" s="72" t="str">
        <f>IFERROR(__xludf.DUMMYFUNCTION("""COMPUTED_VALUE"""),"Front Axle - Leaking")</f>
        <v>Front Axle - Leaking</v>
      </c>
      <c r="K1188" s="72" t="str">
        <f>IFERROR(__xludf.DUMMYFUNCTION("""COMPUTED_VALUE"""),"DRM: leak oil seal in front drive wheels both
JHP: KULANG ANG DALANG PARTS, ISANG SET LANG ANG NAPADALA PARA SA FRONT AXLE.")</f>
        <v>DRM: leak oil seal in front drive wheels both
JHP: KULANG ANG DALANG PARTS, ISANG SET LANG ANG NAPADALA PARA SA FRONT AXLE.</v>
      </c>
      <c r="L1188" s="72" t="str">
        <f>IFERROR(__xludf.DUMMYFUNCTION("""COMPUTED_VALUE"""),"JHP: REPLACED OIL SEAL TC60110000A3")</f>
        <v>JHP: REPLACED OIL SEAL TC60110000A3</v>
      </c>
      <c r="M1188" s="2"/>
      <c r="N1188" s="2" t="str">
        <f>IFERROR(__xludf.DUMMYFUNCTION("""COMPUTED_VALUE"""),"PARTS:
2- OIL SEAL TC60110000A3
LABOR: 3,000")</f>
        <v>PARTS:
2- OIL SEAL TC60110000A3
LABOR: 3,000</v>
      </c>
      <c r="O1188" s="2">
        <f>IFERROR(__xludf.DUMMYFUNCTION("""COMPUTED_VALUE"""),1439.0)</f>
        <v>1439</v>
      </c>
      <c r="P1188" s="2"/>
      <c r="Q1188" s="2" t="str">
        <f>IFERROR(__xludf.DUMMYFUNCTION("""COMPUTED_VALUE"""),"FOR PRINT")</f>
        <v>FOR PRINT</v>
      </c>
      <c r="R1188" s="74">
        <f>IFERROR(__xludf.DUMMYFUNCTION("""COMPUTED_VALUE"""),45972.0)</f>
        <v>45972</v>
      </c>
      <c r="S1188" s="2" t="str">
        <f>IFERROR(__xludf.DUMMYFUNCTION("""COMPUTED_VALUE"""),"JHP/ACS")</f>
        <v>JHP/ACS</v>
      </c>
      <c r="T1188" s="73">
        <f>IFERROR(__xludf.DUMMYFUNCTION("""COMPUTED_VALUE"""),7240.0)</f>
        <v>7240</v>
      </c>
      <c r="U1188" s="73" t="str">
        <f>IFERROR(__xludf.DUMMYFUNCTION("""COMPUTED_VALUE""")," REMITTED ")</f>
        <v>REMITTED</v>
      </c>
      <c r="V1188" s="2"/>
      <c r="W1188" s="2">
        <f>IFERROR(__xludf.DUMMYFUNCTION("""COMPUTED_VALUE"""),1098.0)</f>
        <v>1098</v>
      </c>
      <c r="X1188" s="2">
        <f>IFERROR(__xludf.DUMMYFUNCTION("""COMPUTED_VALUE"""),1628.0)</f>
        <v>1628</v>
      </c>
      <c r="Y1188" s="2"/>
      <c r="Z1188" s="2"/>
      <c r="AA1188" s="2"/>
      <c r="AB1188" s="2"/>
      <c r="AC1188" s="2"/>
      <c r="AD1188" s="2"/>
      <c r="AE1188" s="2"/>
      <c r="AF1188" s="2"/>
      <c r="AG1188" s="2"/>
      <c r="AH1188" s="2"/>
      <c r="AI1188" s="2"/>
      <c r="AJ1188" s="2" t="str">
        <f>IFERROR(__xludf.DUMMYFUNCTION("""COMPUTED_VALUE"""),"Santiago")</f>
        <v>Santiago</v>
      </c>
      <c r="AK1188" s="2" t="str">
        <f>IFERROR(__xludf.DUMMYFUNCTION("""COMPUTED_VALUE"""),"Gerona")</f>
        <v>Gerona</v>
      </c>
      <c r="AL1188" s="2" t="str">
        <f>IFERROR(__xludf.DUMMYFUNCTION("""COMPUTED_VALUE"""),"Tarlac")</f>
        <v>Tarlac</v>
      </c>
      <c r="AM1188" s="2">
        <f>IFERROR(__xludf.DUMMYFUNCTION("""COMPUTED_VALUE"""),3.0)</f>
        <v>3</v>
      </c>
      <c r="AN1188" s="2" t="str">
        <f>IFERROR(__xludf.DUMMYFUNCTION("""COMPUTED_VALUE"""),"RCEF 23-09-21 Rebidding")</f>
        <v>RCEF 23-09-21 Rebidding</v>
      </c>
      <c r="AO1188" s="2">
        <f>IFERROR(__xludf.DUMMYFUNCTION("""COMPUTED_VALUE"""),3.0)</f>
        <v>3</v>
      </c>
      <c r="AP1188" s="2"/>
      <c r="AQ1188" s="2"/>
      <c r="AR1188" s="2"/>
      <c r="AS1188" s="2"/>
      <c r="AT1188" s="2"/>
      <c r="AU1188" s="2"/>
      <c r="AV1188" s="2"/>
      <c r="AW1188" s="2"/>
      <c r="AX1188" s="2"/>
      <c r="AY1188" s="2"/>
      <c r="AZ1188" s="2"/>
      <c r="BA1188" s="2"/>
      <c r="BB1188" s="2"/>
    </row>
    <row r="1189">
      <c r="A1189" s="2">
        <f>IFERROR(__xludf.DUMMYFUNCTION("""COMPUTED_VALUE"""),1185.0)</f>
        <v>1185</v>
      </c>
      <c r="B1189" s="2" t="str">
        <f>IFERROR(__xludf.DUMMYFUNCTION("""COMPUTED_VALUE"""),"COMPLETED")</f>
        <v>COMPLETED</v>
      </c>
      <c r="C1189" s="74">
        <f>IFERROR(__xludf.DUMMYFUNCTION("""COMPUTED_VALUE"""),45957.0)</f>
        <v>45957</v>
      </c>
      <c r="D1189" s="71" t="str">
        <f>IFERROR(__xludf.DUMMYFUNCTION("""COMPUTED_VALUE"""),"Cañapasan Banate Irrigators' Association Inc.")</f>
        <v>Cañapasan Banate Irrigators' Association Inc.</v>
      </c>
      <c r="E1189" s="71" t="str">
        <f>IFERROR(__xludf.DUMMYFUNCTION("""COMPUTED_VALUE"""),"Managopaya, Banate, ILOILO")</f>
        <v>Managopaya, Banate, ILOILO</v>
      </c>
      <c r="F1189" s="2" t="str">
        <f>IFERROR(__xludf.DUMMYFUNCTION("""COMPUTED_VALUE"""),"HELLY BAGSAIN")</f>
        <v>HELLY BAGSAIN</v>
      </c>
      <c r="G1189" s="2">
        <f>IFERROR(__xludf.DUMMYFUNCTION("""COMPUTED_VALUE"""),9.655208079E9)</f>
        <v>9655208079</v>
      </c>
      <c r="H1189" s="2"/>
      <c r="I1189" s="72" t="str">
        <f>IFERROR(__xludf.DUMMYFUNCTION("""COMPUTED_VALUE"""),"REPAIR - TRACTOR")</f>
        <v>REPAIR - TRACTOR</v>
      </c>
      <c r="J1189" s="72" t="str">
        <f>IFERROR(__xludf.DUMMYFUNCTION("""COMPUTED_VALUE"""),"Hydraulic Pump")</f>
        <v>Hydraulic Pump</v>
      </c>
      <c r="K1189" s="72" t="str">
        <f>IFERROR(__xludf.DUMMYFUNCTION("""COMPUTED_VALUE"""),"MYK:
HYDRAULIC PUMP")</f>
        <v>MYK:
HYDRAULIC PUMP</v>
      </c>
      <c r="L1189" s="72" t="str">
        <f>IFERROR(__xludf.DUMMYFUNCTION("""COMPUTED_VALUE"""),"FOR SHIPPING: SHIPPED: DELIVERED
RANDY: REPLACED HYDRAULIC PUMP")</f>
        <v>FOR SHIPPING: SHIPPED: DELIVERED
RANDY: REPLACED HYDRAULIC PUMP</v>
      </c>
      <c r="M1189" s="2"/>
      <c r="N1189" s="2" t="str">
        <f>IFERROR(__xludf.DUMMYFUNCTION("""COMPUTED_VALUE"""),"PARTS:
HYDRAULIC PUMP
W/ PAYMENT AGREEMENT
LABOR c/o FCA")</f>
        <v>PARTS:
HYDRAULIC PUMP
W/ PAYMENT AGREEMENT
LABOR c/o FCA</v>
      </c>
      <c r="O1189" s="2" t="str">
        <f>IFERROR(__xludf.DUMMYFUNCTION("""COMPUTED_VALUE"""),"RANDY")</f>
        <v>RANDY</v>
      </c>
      <c r="P1189" s="2"/>
      <c r="Q1189" s="2"/>
      <c r="R1189" s="74">
        <f>IFERROR(__xludf.DUMMYFUNCTION("""COMPUTED_VALUE"""),45966.0)</f>
        <v>45966</v>
      </c>
      <c r="S1189" s="2" t="str">
        <f>IFERROR(__xludf.DUMMYFUNCTION("""COMPUTED_VALUE"""),"RANDY")</f>
        <v>RANDY</v>
      </c>
      <c r="T1189" s="73">
        <f>IFERROR(__xludf.DUMMYFUNCTION("""COMPUTED_VALUE"""),50019.0)</f>
        <v>50019</v>
      </c>
      <c r="U1189" s="73" t="str">
        <f>IFERROR(__xludf.DUMMYFUNCTION("""COMPUTED_VALUE""")," NO CHARGE ")</f>
        <v>NO CHARGE</v>
      </c>
      <c r="V1189" s="2"/>
      <c r="W1189" s="2" t="str">
        <f>IFERROR(__xludf.DUMMYFUNCTION("""COMPUTED_VALUE"""),"N/A")</f>
        <v>N/A</v>
      </c>
      <c r="X1189" s="2" t="str">
        <f>IFERROR(__xludf.DUMMYFUNCTION("""COMPUTED_VALUE"""),"N/A")</f>
        <v>N/A</v>
      </c>
      <c r="Y1189" s="2"/>
      <c r="Z1189" s="2"/>
      <c r="AA1189" s="2"/>
      <c r="AB1189" s="2"/>
      <c r="AC1189" s="2"/>
      <c r="AD1189" s="2"/>
      <c r="AE1189" s="2"/>
      <c r="AF1189" s="2"/>
      <c r="AG1189" s="2"/>
      <c r="AH1189" s="2"/>
      <c r="AI1189" s="2"/>
      <c r="AJ1189" s="2" t="str">
        <f>IFERROR(__xludf.DUMMYFUNCTION("""COMPUTED_VALUE"""),"Managopaya")</f>
        <v>Managopaya</v>
      </c>
      <c r="AK1189" s="2" t="str">
        <f>IFERROR(__xludf.DUMMYFUNCTION("""COMPUTED_VALUE"""),"Banate")</f>
        <v>Banate</v>
      </c>
      <c r="AL1189" s="2" t="str">
        <f>IFERROR(__xludf.DUMMYFUNCTION("""COMPUTED_VALUE"""),"Iloilo")</f>
        <v>Iloilo</v>
      </c>
      <c r="AM1189" s="2">
        <f>IFERROR(__xludf.DUMMYFUNCTION("""COMPUTED_VALUE"""),6.0)</f>
        <v>6</v>
      </c>
      <c r="AN1189" s="2" t="str">
        <f>IFERROR(__xludf.DUMMYFUNCTION("""COMPUTED_VALUE"""),"RCEF 23-09-21 Rebidding")</f>
        <v>RCEF 23-09-21 Rebidding</v>
      </c>
      <c r="AO1189" s="2">
        <f>IFERROR(__xludf.DUMMYFUNCTION("""COMPUTED_VALUE"""),4.0)</f>
        <v>4</v>
      </c>
      <c r="AP1189" s="2"/>
      <c r="AQ1189" s="2"/>
      <c r="AR1189" s="2"/>
      <c r="AS1189" s="2"/>
      <c r="AT1189" s="2"/>
      <c r="AU1189" s="2"/>
      <c r="AV1189" s="2"/>
      <c r="AW1189" s="2"/>
      <c r="AX1189" s="2"/>
      <c r="AY1189" s="2"/>
      <c r="AZ1189" s="2"/>
      <c r="BA1189" s="2"/>
      <c r="BB1189" s="2"/>
    </row>
    <row r="1190">
      <c r="A1190" s="2">
        <f>IFERROR(__xludf.DUMMYFUNCTION("""COMPUTED_VALUE"""),1186.0)</f>
        <v>1186</v>
      </c>
      <c r="B1190" s="2" t="str">
        <f>IFERROR(__xludf.DUMMYFUNCTION("""COMPUTED_VALUE"""),"COMPLETED")</f>
        <v>COMPLETED</v>
      </c>
      <c r="C1190" s="74">
        <f>IFERROR(__xludf.DUMMYFUNCTION("""COMPUTED_VALUE"""),45957.0)</f>
        <v>45957</v>
      </c>
      <c r="D1190" s="71" t="str">
        <f>IFERROR(__xludf.DUMMYFUNCTION("""COMPUTED_VALUE"""),"SANTIAGO RICEUP FARMERS ASSOCIATION")</f>
        <v>SANTIAGO RICEUP FARMERS ASSOCIATION</v>
      </c>
      <c r="E1190" s="71" t="str">
        <f>IFERROR(__xludf.DUMMYFUNCTION("""COMPUTED_VALUE"""),"Santiago, Lubao, PAMPANGA")</f>
        <v>Santiago, Lubao, PAMPANGA</v>
      </c>
      <c r="F1190" s="2" t="str">
        <f>IFERROR(__xludf.DUMMYFUNCTION("""COMPUTED_VALUE"""),"GEMMA GUTIERREZ")</f>
        <v>GEMMA GUTIERREZ</v>
      </c>
      <c r="G1190" s="2">
        <f>IFERROR(__xludf.DUMMYFUNCTION("""COMPUTED_VALUE"""),9.198512719E9)</f>
        <v>9198512719</v>
      </c>
      <c r="H1190" s="2">
        <f>IFERROR(__xludf.DUMMYFUNCTION("""COMPUTED_VALUE"""),500.0)</f>
        <v>500</v>
      </c>
      <c r="I1190" s="72" t="str">
        <f>IFERROR(__xludf.DUMMYFUNCTION("""COMPUTED_VALUE"""),"PMS")</f>
        <v>PMS</v>
      </c>
      <c r="J1190" s="72"/>
      <c r="K1190" s="72" t="str">
        <f>IFERROR(__xludf.DUMMYFUNCTION("""COMPUTED_VALUE"""),"MYK: AYAW UMIKOT NG ROTAVATOR, 
REQUEST 3RD PMS
JHP: Kaylangan puntahan para sa Assessment
MYK: IPAPAKITA DAW MUNA SA BOARD NILA YUNG QUOTATION.")</f>
        <v>MYK: AYAW UMIKOT NG ROTAVATOR, 
REQUEST 3RD PMS
JHP: Kaylangan puntahan para sa Assessment
MYK: IPAPAKITA DAW MUNA SA BOARD NILA YUNG QUOTATION.</v>
      </c>
      <c r="L1190" s="72" t="str">
        <f>IFERROR(__xludf.DUMMYFUNCTION("""COMPUTED_VALUE"""),"FOR QUOTATION: PMS QUOTATION SENT:
JIE: INFORM PADIN DAW NILA SA TRESURY NILA, SILA NALANG DAW ANG TATAWAG SATIN. - 11/7/25")</f>
        <v>FOR QUOTATION: PMS QUOTATION SENT:
JIE: INFORM PADIN DAW NILA SA TRESURY NILA, SILA NALANG DAW ANG TATAWAG SATIN. - 11/7/25</v>
      </c>
      <c r="M1190" s="2"/>
      <c r="N1190" s="2"/>
      <c r="O1190" s="2" t="str">
        <f>IFERROR(__xludf.DUMMYFUNCTION("""COMPUTED_VALUE"""),"N/A")</f>
        <v>N/A</v>
      </c>
      <c r="P1190" s="2"/>
      <c r="Q1190" s="2"/>
      <c r="R1190" s="74">
        <f>IFERROR(__xludf.DUMMYFUNCTION("""COMPUTED_VALUE"""),45992.0)</f>
        <v>45992</v>
      </c>
      <c r="S1190" s="2" t="str">
        <f>IFERROR(__xludf.DUMMYFUNCTION("""COMPUTED_VALUE"""),"MYKEE")</f>
        <v>MYKEE</v>
      </c>
      <c r="T1190" s="73" t="str">
        <f>IFERROR(__xludf.DUMMYFUNCTION("""COMPUTED_VALUE""")," N/A ")</f>
        <v>N/A</v>
      </c>
      <c r="U1190" s="73" t="str">
        <f>IFERROR(__xludf.DUMMYFUNCTION("""COMPUTED_VALUE""")," NO CHARGE ")</f>
        <v>NO CHARGE</v>
      </c>
      <c r="V1190" s="2"/>
      <c r="W1190" s="2" t="str">
        <f>IFERROR(__xludf.DUMMYFUNCTION("""COMPUTED_VALUE"""),"N/A")</f>
        <v>N/A</v>
      </c>
      <c r="X1190" s="2" t="str">
        <f>IFERROR(__xludf.DUMMYFUNCTION("""COMPUTED_VALUE"""),"N/A")</f>
        <v>N/A</v>
      </c>
      <c r="Y1190" s="2"/>
      <c r="Z1190" s="2"/>
      <c r="AA1190" s="2"/>
      <c r="AB1190" s="2"/>
      <c r="AC1190" s="2"/>
      <c r="AD1190" s="2"/>
      <c r="AE1190" s="2"/>
      <c r="AF1190" s="2"/>
      <c r="AG1190" s="2"/>
      <c r="AH1190" s="2"/>
      <c r="AI1190" s="2"/>
      <c r="AJ1190" s="2" t="str">
        <f>IFERROR(__xludf.DUMMYFUNCTION("""COMPUTED_VALUE"""),"Santiago")</f>
        <v>Santiago</v>
      </c>
      <c r="AK1190" s="2" t="str">
        <f>IFERROR(__xludf.DUMMYFUNCTION("""COMPUTED_VALUE"""),"Lubao")</f>
        <v>Lubao</v>
      </c>
      <c r="AL1190" s="2" t="str">
        <f>IFERROR(__xludf.DUMMYFUNCTION("""COMPUTED_VALUE"""),"Pampanga")</f>
        <v>Pampanga</v>
      </c>
      <c r="AM1190" s="2">
        <f>IFERROR(__xludf.DUMMYFUNCTION("""COMPUTED_VALUE"""),3.0)</f>
        <v>3</v>
      </c>
      <c r="AN1190" s="2" t="str">
        <f>IFERROR(__xludf.DUMMYFUNCTION("""COMPUTED_VALUE"""),"RCEF 24-04-15")</f>
        <v>RCEF 24-04-15</v>
      </c>
      <c r="AO1190" s="2">
        <f>IFERROR(__xludf.DUMMYFUNCTION("""COMPUTED_VALUE"""),6.0)</f>
        <v>6</v>
      </c>
      <c r="AP1190" s="2" t="str">
        <f>IFERROR(__xludf.DUMMYFUNCTION("""COMPUTED_VALUE"""),"FREE PMS")</f>
        <v>FREE PMS</v>
      </c>
      <c r="AQ1190" s="2"/>
      <c r="AR1190" s="2"/>
      <c r="AS1190" s="2"/>
      <c r="AT1190" s="2"/>
      <c r="AU1190" s="2"/>
      <c r="AV1190" s="2"/>
      <c r="AW1190" s="2"/>
      <c r="AX1190" s="2"/>
      <c r="AY1190" s="2"/>
      <c r="AZ1190" s="2"/>
      <c r="BA1190" s="2"/>
      <c r="BB1190" s="2"/>
    </row>
    <row r="1191">
      <c r="A1191" s="2">
        <f>IFERROR(__xludf.DUMMYFUNCTION("""COMPUTED_VALUE"""),1187.0)</f>
        <v>1187</v>
      </c>
      <c r="B1191" s="2" t="str">
        <f>IFERROR(__xludf.DUMMYFUNCTION("""COMPUTED_VALUE"""),"COMPLETED")</f>
        <v>COMPLETED</v>
      </c>
      <c r="C1191" s="74">
        <f>IFERROR(__xludf.DUMMYFUNCTION("""COMPUTED_VALUE"""),45959.0)</f>
        <v>45959</v>
      </c>
      <c r="D1191" s="71" t="str">
        <f>IFERROR(__xludf.DUMMYFUNCTION("""COMPUTED_VALUE"""),"WEST DULLAO FARMERS ASSOCIATIN IN.,")</f>
        <v>WEST DULLAO FARMERS ASSOCIATIN IN.,</v>
      </c>
      <c r="E1191" s="71" t="str">
        <f>IFERROR(__xludf.DUMMYFUNCTION("""COMPUTED_VALUE"""),"Dullao, Bambang, Nueva Vizcaya")</f>
        <v>Dullao, Bambang, Nueva Vizcaya</v>
      </c>
      <c r="F1191" s="2" t="str">
        <f>IFERROR(__xludf.DUMMYFUNCTION("""COMPUTED_VALUE"""),"ARJAY ANTONIO")</f>
        <v>ARJAY ANTONIO</v>
      </c>
      <c r="G1191" s="2" t="str">
        <f>IFERROR(__xludf.DUMMYFUNCTION("""COMPUTED_VALUE"""),"(0967) 910 1317")</f>
        <v>(0967) 910 1317</v>
      </c>
      <c r="H1191" s="2"/>
      <c r="I1191" s="72" t="str">
        <f>IFERROR(__xludf.DUMMYFUNCTION("""COMPUTED_VALUE"""),"SPARE PARTS ACQUISITION")</f>
        <v>SPARE PARTS ACQUISITION</v>
      </c>
      <c r="J1191" s="72" t="str">
        <f>IFERROR(__xludf.DUMMYFUNCTION("""COMPUTED_VALUE"""),"PARTS REQUEST")</f>
        <v>PARTS REQUEST</v>
      </c>
      <c r="K1191" s="72" t="str">
        <f>IFERROR(__xludf.DUMMYFUNCTION("""COMPUTED_VALUE"""),"MYK: FRONT DRIVE  OIL SEAL.
2-OIL SEAL TA000041359A
2-OIL SEAL TC60110000A3
2-OIL SEAL FE78010000B
Additional parts request: Oil seal at front drive Case: for confirmation.
PLATE TA00033478
O RING(P TYPE) 24311-000300")</f>
        <v>MYK: FRONT DRIVE  OIL SEAL.
2-OIL SEAL TA000041359A
2-OIL SEAL TC60110000A3
2-OIL SEAL FE78010000B
Additional parts request: Oil seal at front drive Case: for confirmation.
PLATE TA00033478
O RING(P TYPE) 24311-000300</v>
      </c>
      <c r="L1191" s="72" t="str">
        <f>IFERROR(__xludf.DUMMYFUNCTION("""COMPUTED_VALUE"""),"JDP: DELIVERED  PARTS")</f>
        <v>JDP: DELIVERED  PARTS</v>
      </c>
      <c r="M1191" s="2"/>
      <c r="N1191" s="2" t="str">
        <f>IFERROR(__xludf.DUMMYFUNCTION("""COMPUTED_VALUE"""),"PARTS:
OIL SEAL TA00041359A
OIL SEAL TC0011000A3
OIL SEAL FE78010000B
OIL SEAL 24421-40558")</f>
        <v>PARTS:
OIL SEAL TA00041359A
OIL SEAL TC0011000A3
OIL SEAL FE78010000B
OIL SEAL 24421-40558</v>
      </c>
      <c r="O1191" s="2">
        <f>IFERROR(__xludf.DUMMYFUNCTION("""COMPUTED_VALUE"""),474.0)</f>
        <v>474</v>
      </c>
      <c r="P1191" s="2"/>
      <c r="Q1191" s="2" t="str">
        <f>IFERROR(__xludf.DUMMYFUNCTION("""COMPUTED_VALUE"""),"FOR PRINT")</f>
        <v>FOR PRINT</v>
      </c>
      <c r="R1191" s="74">
        <f>IFERROR(__xludf.DUMMYFUNCTION("""COMPUTED_VALUE"""),45967.0)</f>
        <v>45967</v>
      </c>
      <c r="S1191" s="2" t="str">
        <f>IFERROR(__xludf.DUMMYFUNCTION("""COMPUTED_VALUE"""),"CFG/JDP")</f>
        <v>CFG/JDP</v>
      </c>
      <c r="T1191" s="73">
        <f>IFERROR(__xludf.DUMMYFUNCTION("""COMPUTED_VALUE"""),7775.0)</f>
        <v>7775</v>
      </c>
      <c r="U1191" s="73" t="str">
        <f>IFERROR(__xludf.DUMMYFUNCTION("""COMPUTED_VALUE""")," REMITTED ")</f>
        <v>REMITTED</v>
      </c>
      <c r="V1191" s="2"/>
      <c r="W1191" s="2">
        <f>IFERROR(__xludf.DUMMYFUNCTION("""COMPUTED_VALUE"""),1765.0)</f>
        <v>1765</v>
      </c>
      <c r="X1191" s="2">
        <f>IFERROR(__xludf.DUMMYFUNCTION("""COMPUTED_VALUE"""),1641.0)</f>
        <v>1641</v>
      </c>
      <c r="Y1191" s="2"/>
      <c r="Z1191" s="2"/>
      <c r="AA1191" s="2"/>
      <c r="AB1191" s="2"/>
      <c r="AC1191" s="2"/>
      <c r="AD1191" s="2"/>
      <c r="AE1191" s="2"/>
      <c r="AF1191" s="2"/>
      <c r="AG1191" s="2"/>
      <c r="AH1191" s="2"/>
      <c r="AI1191" s="2"/>
      <c r="AJ1191" s="2" t="str">
        <f>IFERROR(__xludf.DUMMYFUNCTION("""COMPUTED_VALUE"""),"Dullao")</f>
        <v>Dullao</v>
      </c>
      <c r="AK1191" s="2" t="str">
        <f>IFERROR(__xludf.DUMMYFUNCTION("""COMPUTED_VALUE"""),"Bambang")</f>
        <v>Bambang</v>
      </c>
      <c r="AL1191" s="2" t="str">
        <f>IFERROR(__xludf.DUMMYFUNCTION("""COMPUTED_VALUE"""),"Nueva Vizcaya")</f>
        <v>Nueva Vizcaya</v>
      </c>
      <c r="AM1191" s="2">
        <f>IFERROR(__xludf.DUMMYFUNCTION("""COMPUTED_VALUE"""),2.0)</f>
        <v>2</v>
      </c>
      <c r="AN1191" s="2" t="str">
        <f>IFERROR(__xludf.DUMMYFUNCTION("""COMPUTED_VALUE"""),"RCEF 23-09-21 Rebidding")</f>
        <v>RCEF 23-09-21 Rebidding</v>
      </c>
      <c r="AO1191" s="2">
        <f>IFERROR(__xludf.DUMMYFUNCTION("""COMPUTED_VALUE"""),9.0)</f>
        <v>9</v>
      </c>
      <c r="AP1191" s="2"/>
      <c r="AQ1191" s="2"/>
      <c r="AR1191" s="2"/>
      <c r="AS1191" s="2"/>
      <c r="AT1191" s="2"/>
      <c r="AU1191" s="2"/>
      <c r="AV1191" s="2"/>
      <c r="AW1191" s="2"/>
      <c r="AX1191" s="2"/>
      <c r="AY1191" s="2"/>
      <c r="AZ1191" s="2"/>
      <c r="BA1191" s="2"/>
      <c r="BB1191" s="2"/>
    </row>
    <row r="1192">
      <c r="A1192" s="2">
        <f>IFERROR(__xludf.DUMMYFUNCTION("""COMPUTED_VALUE"""),1188.0)</f>
        <v>1188</v>
      </c>
      <c r="B1192" s="2" t="str">
        <f>IFERROR(__xludf.DUMMYFUNCTION("""COMPUTED_VALUE"""),"COMPLETED")</f>
        <v>COMPLETED</v>
      </c>
      <c r="C1192" s="74">
        <f>IFERROR(__xludf.DUMMYFUNCTION("""COMPUTED_VALUE"""),45959.0)</f>
        <v>45959</v>
      </c>
      <c r="D1192" s="71" t="str">
        <f>IFERROR(__xludf.DUMMYFUNCTION("""COMPUTED_VALUE"""),"Brgy. San Jose San Jacinto Pangasinan Farmers Association Inc.")</f>
        <v>Brgy. San Jose San Jacinto Pangasinan Farmers Association Inc.</v>
      </c>
      <c r="E1192" s="71" t="str">
        <f>IFERROR(__xludf.DUMMYFUNCTION("""COMPUTED_VALUE"""),"San Jose, San Jacinto, PANGASINAN")</f>
        <v>San Jose, San Jacinto, PANGASINAN</v>
      </c>
      <c r="F1192" s="2" t="str">
        <f>IFERROR(__xludf.DUMMYFUNCTION("""COMPUTED_VALUE"""),"JERWIN DIPOMIDES")</f>
        <v>JERWIN DIPOMIDES</v>
      </c>
      <c r="G1192" s="2">
        <f>IFERROR(__xludf.DUMMYFUNCTION("""COMPUTED_VALUE"""),9.920136059E9)</f>
        <v>9920136059</v>
      </c>
      <c r="H1192" s="2"/>
      <c r="I1192" s="72" t="str">
        <f>IFERROR(__xludf.DUMMYFUNCTION("""COMPUTED_VALUE"""),"PMS")</f>
        <v>PMS</v>
      </c>
      <c r="J1192" s="72"/>
      <c r="K1192" s="72" t="str">
        <f>IFERROR(__xludf.DUMMYFUNCTION("""COMPUTED_VALUE"""),"MYK: 1ST PMS (FREE)")</f>
        <v>MYK: 1ST PMS (FREE)</v>
      </c>
      <c r="L1192" s="72" t="str">
        <f>IFERROR(__xludf.DUMMYFUNCTION("""COMPUTED_VALUE"""),"EGT: 1ST PMS DONE")</f>
        <v>EGT: 1ST PMS DONE</v>
      </c>
      <c r="M1192" s="2"/>
      <c r="N1192" s="2" t="str">
        <f>IFERROR(__xludf.DUMMYFUNCTION("""COMPUTED_VALUE"""),"PARTS:
OIL FILTER
ENGINE OIL")</f>
        <v>PARTS:
OIL FILTER
ENGINE OIL</v>
      </c>
      <c r="O1192" s="2">
        <f>IFERROR(__xludf.DUMMYFUNCTION("""COMPUTED_VALUE"""),423.0)</f>
        <v>423</v>
      </c>
      <c r="P1192" s="2"/>
      <c r="Q1192" s="2" t="str">
        <f>IFERROR(__xludf.DUMMYFUNCTION("""COMPUTED_VALUE"""),"FOR PRINT")</f>
        <v>FOR PRINT</v>
      </c>
      <c r="R1192" s="74">
        <f>IFERROR(__xludf.DUMMYFUNCTION("""COMPUTED_VALUE"""),45972.0)</f>
        <v>45972</v>
      </c>
      <c r="S1192" s="2" t="str">
        <f>IFERROR(__xludf.DUMMYFUNCTION("""COMPUTED_VALUE"""),"EGT/DRM")</f>
        <v>EGT/DRM</v>
      </c>
      <c r="T1192" s="73" t="str">
        <f>IFERROR(__xludf.DUMMYFUNCTION("""COMPUTED_VALUE""")," N/A ")</f>
        <v>N/A</v>
      </c>
      <c r="U1192" s="73" t="str">
        <f>IFERROR(__xludf.DUMMYFUNCTION("""COMPUTED_VALUE""")," NO CHARGE ")</f>
        <v>NO CHARGE</v>
      </c>
      <c r="V1192" s="2"/>
      <c r="W1192" s="2" t="str">
        <f>IFERROR(__xludf.DUMMYFUNCTION("""COMPUTED_VALUE"""),"N/A")</f>
        <v>N/A</v>
      </c>
      <c r="X1192" s="2" t="str">
        <f>IFERROR(__xludf.DUMMYFUNCTION("""COMPUTED_VALUE"""),"N/A")</f>
        <v>N/A</v>
      </c>
      <c r="Y1192" s="2"/>
      <c r="Z1192" s="2"/>
      <c r="AA1192" s="2"/>
      <c r="AB1192" s="2"/>
      <c r="AC1192" s="2"/>
      <c r="AD1192" s="2"/>
      <c r="AE1192" s="2"/>
      <c r="AF1192" s="2"/>
      <c r="AG1192" s="2"/>
      <c r="AH1192" s="2"/>
      <c r="AI1192" s="2"/>
      <c r="AJ1192" s="2" t="str">
        <f>IFERROR(__xludf.DUMMYFUNCTION("""COMPUTED_VALUE"""),"San Jose")</f>
        <v>San Jose</v>
      </c>
      <c r="AK1192" s="2" t="str">
        <f>IFERROR(__xludf.DUMMYFUNCTION("""COMPUTED_VALUE"""),"San Jacinto")</f>
        <v>San Jacinto</v>
      </c>
      <c r="AL1192" s="2" t="str">
        <f>IFERROR(__xludf.DUMMYFUNCTION("""COMPUTED_VALUE"""),"Pangasinan")</f>
        <v>Pangasinan</v>
      </c>
      <c r="AM1192" s="2">
        <f>IFERROR(__xludf.DUMMYFUNCTION("""COMPUTED_VALUE"""),1.0)</f>
        <v>1</v>
      </c>
      <c r="AN1192" s="2" t="str">
        <f>IFERROR(__xludf.DUMMYFUNCTION("""COMPUTED_VALUE"""),"RCEF 24-04-15")</f>
        <v>RCEF 24-04-15</v>
      </c>
      <c r="AO1192" s="2">
        <f>IFERROR(__xludf.DUMMYFUNCTION("""COMPUTED_VALUE"""),6.0)</f>
        <v>6</v>
      </c>
      <c r="AP1192" s="2" t="str">
        <f>IFERROR(__xludf.DUMMYFUNCTION("""COMPUTED_VALUE"""),"FREE PMS")</f>
        <v>FREE PMS</v>
      </c>
      <c r="AQ1192" s="2"/>
      <c r="AR1192" s="2"/>
      <c r="AS1192" s="2"/>
      <c r="AT1192" s="2"/>
      <c r="AU1192" s="2"/>
      <c r="AV1192" s="2"/>
      <c r="AW1192" s="2"/>
      <c r="AX1192" s="2"/>
      <c r="AY1192" s="2"/>
      <c r="AZ1192" s="2"/>
      <c r="BA1192" s="2"/>
      <c r="BB1192" s="2"/>
    </row>
    <row r="1193">
      <c r="A1193" s="2">
        <f>IFERROR(__xludf.DUMMYFUNCTION("""COMPUTED_VALUE"""),1189.0)</f>
        <v>1189</v>
      </c>
      <c r="B1193" s="2" t="str">
        <f>IFERROR(__xludf.DUMMYFUNCTION("""COMPUTED_VALUE"""),"COMPLETED")</f>
        <v>COMPLETED</v>
      </c>
      <c r="C1193" s="74">
        <f>IFERROR(__xludf.DUMMYFUNCTION("""COMPUTED_VALUE"""),45964.0)</f>
        <v>45964</v>
      </c>
      <c r="D1193" s="71" t="str">
        <f>IFERROR(__xludf.DUMMYFUNCTION("""COMPUTED_VALUE"""),"MALIPA FARMERS ASSOCIATION")</f>
        <v>MALIPA FARMERS ASSOCIATION</v>
      </c>
      <c r="E1193" s="71" t="str">
        <f>IFERROR(__xludf.DUMMYFUNCTION("""COMPUTED_VALUE"""),"Nagbayan, Castillejos, ZAMBALES")</f>
        <v>Nagbayan, Castillejos, ZAMBALES</v>
      </c>
      <c r="F1193" s="2" t="str">
        <f>IFERROR(__xludf.DUMMYFUNCTION("""COMPUTED_VALUE"""),"Carmela jane Villanueva ")</f>
        <v>Carmela jane Villanueva </v>
      </c>
      <c r="G1193" s="2" t="str">
        <f>IFERROR(__xludf.DUMMYFUNCTION("""COMPUTED_VALUE"""),"9127622036  /  09542817055")</f>
        <v>9127622036  /  09542817055</v>
      </c>
      <c r="H1193" s="2">
        <f>IFERROR(__xludf.DUMMYFUNCTION("""COMPUTED_VALUE"""),50.0)</f>
        <v>50</v>
      </c>
      <c r="I1193" s="72" t="str">
        <f>IFERROR(__xludf.DUMMYFUNCTION("""COMPUTED_VALUE"""),"PMS")</f>
        <v>PMS</v>
      </c>
      <c r="J1193" s="72" t="str">
        <f>IFERROR(__xludf.DUMMYFUNCTION("""COMPUTED_VALUE"""),"PMS")</f>
        <v>PMS</v>
      </c>
      <c r="K1193" s="72" t="str">
        <f>IFERROR(__xludf.DUMMYFUNCTION("""COMPUTED_VALUE"""),"KFS: First PMS 50 hrs")</f>
        <v>KFS: First PMS 50 hrs</v>
      </c>
      <c r="L1193" s="72" t="str">
        <f>IFERROR(__xludf.DUMMYFUNCTION("""COMPUTED_VALUE"""),"EGT: 1ST PMS DONE")</f>
        <v>EGT: 1ST PMS DONE</v>
      </c>
      <c r="M1193" s="2"/>
      <c r="N1193" s="2" t="str">
        <f>IFERROR(__xludf.DUMMYFUNCTION("""COMPUTED_VALUE"""),"PARTS
OIL FILTER
ENGINE OIL")</f>
        <v>PARTS
OIL FILTER
ENGINE OIL</v>
      </c>
      <c r="O1193" s="2">
        <f>IFERROR(__xludf.DUMMYFUNCTION("""COMPUTED_VALUE"""),422.0)</f>
        <v>422</v>
      </c>
      <c r="P1193" s="2"/>
      <c r="Q1193" s="2" t="str">
        <f>IFERROR(__xludf.DUMMYFUNCTION("""COMPUTED_VALUE"""),"FOR PRINT")</f>
        <v>FOR PRINT</v>
      </c>
      <c r="R1193" s="74">
        <f>IFERROR(__xludf.DUMMYFUNCTION("""COMPUTED_VALUE"""),45968.0)</f>
        <v>45968</v>
      </c>
      <c r="S1193" s="2" t="str">
        <f>IFERROR(__xludf.DUMMYFUNCTION("""COMPUTED_VALUE"""),"EGT")</f>
        <v>EGT</v>
      </c>
      <c r="T1193" s="73" t="str">
        <f>IFERROR(__xludf.DUMMYFUNCTION("""COMPUTED_VALUE""")," N/A ")</f>
        <v>N/A</v>
      </c>
      <c r="U1193" s="73" t="str">
        <f>IFERROR(__xludf.DUMMYFUNCTION("""COMPUTED_VALUE""")," NO CHARGE ")</f>
        <v>NO CHARGE</v>
      </c>
      <c r="V1193" s="2"/>
      <c r="W1193" s="2" t="str">
        <f>IFERROR(__xludf.DUMMYFUNCTION("""COMPUTED_VALUE"""),"N/A")</f>
        <v>N/A</v>
      </c>
      <c r="X1193" s="2" t="str">
        <f>IFERROR(__xludf.DUMMYFUNCTION("""COMPUTED_VALUE"""),"N/A")</f>
        <v>N/A</v>
      </c>
      <c r="Y1193" s="2"/>
      <c r="Z1193" s="2"/>
      <c r="AA1193" s="2"/>
      <c r="AB1193" s="2"/>
      <c r="AC1193" s="2"/>
      <c r="AD1193" s="2"/>
      <c r="AE1193" s="2"/>
      <c r="AF1193" s="2"/>
      <c r="AG1193" s="2"/>
      <c r="AH1193" s="2"/>
      <c r="AI1193" s="2"/>
      <c r="AJ1193" s="2" t="str">
        <f>IFERROR(__xludf.DUMMYFUNCTION("""COMPUTED_VALUE"""),"Nagbayan")</f>
        <v>Nagbayan</v>
      </c>
      <c r="AK1193" s="2" t="str">
        <f>IFERROR(__xludf.DUMMYFUNCTION("""COMPUTED_VALUE"""),"Castillejos")</f>
        <v>Castillejos</v>
      </c>
      <c r="AL1193" s="2" t="str">
        <f>IFERROR(__xludf.DUMMYFUNCTION("""COMPUTED_VALUE"""),"Zambales")</f>
        <v>Zambales</v>
      </c>
      <c r="AM1193" s="2">
        <f>IFERROR(__xludf.DUMMYFUNCTION("""COMPUTED_VALUE"""),3.0)</f>
        <v>3</v>
      </c>
      <c r="AN1193" s="2" t="str">
        <f>IFERROR(__xludf.DUMMYFUNCTION("""COMPUTED_VALUE"""),"RCEF 25-03-05")</f>
        <v>RCEF 25-03-05</v>
      </c>
      <c r="AO1193" s="2">
        <f>IFERROR(__xludf.DUMMYFUNCTION("""COMPUTED_VALUE"""),5.0)</f>
        <v>5</v>
      </c>
      <c r="AP1193" s="2" t="str">
        <f>IFERROR(__xludf.DUMMYFUNCTION("""COMPUTED_VALUE"""),"FREE PMS")</f>
        <v>FREE PMS</v>
      </c>
      <c r="AQ1193" s="2"/>
      <c r="AR1193" s="2"/>
      <c r="AS1193" s="2"/>
      <c r="AT1193" s="2"/>
      <c r="AU1193" s="2"/>
      <c r="AV1193" s="2"/>
      <c r="AW1193" s="2"/>
      <c r="AX1193" s="2"/>
      <c r="AY1193" s="2"/>
      <c r="AZ1193" s="2"/>
      <c r="BA1193" s="2"/>
      <c r="BB1193" s="2"/>
    </row>
    <row r="1194">
      <c r="A1194" s="2">
        <f>IFERROR(__xludf.DUMMYFUNCTION("""COMPUTED_VALUE"""),1190.0)</f>
        <v>1190</v>
      </c>
      <c r="B1194" s="2" t="str">
        <f>IFERROR(__xludf.DUMMYFUNCTION("""COMPUTED_VALUE"""),"COMPLETED")</f>
        <v>COMPLETED</v>
      </c>
      <c r="C1194" s="74">
        <f>IFERROR(__xludf.DUMMYFUNCTION("""COMPUTED_VALUE"""),45965.0)</f>
        <v>45965</v>
      </c>
      <c r="D1194" s="71" t="str">
        <f>IFERROR(__xludf.DUMMYFUNCTION("""COMPUTED_VALUE"""),"RAJAL CENTRO IRRIGATORS ASSOCIATION, INC.")</f>
        <v>RAJAL CENTRO IRRIGATORS ASSOCIATION, INC.</v>
      </c>
      <c r="E1194" s="71" t="str">
        <f>IFERROR(__xludf.DUMMYFUNCTION("""COMPUTED_VALUE"""),"Rajal Centro, Santa Rosa, NUEVA ECIJA")</f>
        <v>Rajal Centro, Santa Rosa, NUEVA ECIJA</v>
      </c>
      <c r="F1194" s="2" t="str">
        <f>IFERROR(__xludf.DUMMYFUNCTION("""COMPUTED_VALUE"""),"Victor Hernandez")</f>
        <v>Victor Hernandez</v>
      </c>
      <c r="G1194" s="2" t="str">
        <f>IFERROR(__xludf.DUMMYFUNCTION("""COMPUTED_VALUE"""),"9274708816 / 09619306226")</f>
        <v>9274708816 / 09619306226</v>
      </c>
      <c r="H1194" s="2"/>
      <c r="I1194" s="72" t="str">
        <f>IFERROR(__xludf.DUMMYFUNCTION("""COMPUTED_VALUE"""),"REPAIR - TRACTOR")</f>
        <v>REPAIR - TRACTOR</v>
      </c>
      <c r="J1194" s="72" t="str">
        <f>IFERROR(__xludf.DUMMYFUNCTION("""COMPUTED_VALUE"""),"CHECK UP UNIT")</f>
        <v>CHECK UP UNIT</v>
      </c>
      <c r="K1194" s="72" t="str">
        <f>IFERROR(__xludf.DUMMYFUNCTION("""COMPUTED_VALUE"""),"MYK: AYAW MA MAKAMBYO NG FORWARD REVERSE SA GILID NG MANOBELA
JHP: FOR ASSESMENT")</f>
        <v>MYK: AYAW MA MAKAMBYO NG FORWARD REVERSE SA GILID NG MANOBELA
JHP: FOR ASSESMENT</v>
      </c>
      <c r="L1194" s="72" t="str">
        <f>IFERROR(__xludf.DUMMYFUNCTION("""COMPUTED_VALUE"""),"MYK: OK NADAW ANG UNIT NILA")</f>
        <v>MYK: OK NADAW ANG UNIT NILA</v>
      </c>
      <c r="M1194" s="2"/>
      <c r="N1194" s="2"/>
      <c r="O1194" s="2" t="str">
        <f>IFERROR(__xludf.DUMMYFUNCTION("""COMPUTED_VALUE"""),"N/A")</f>
        <v>N/A</v>
      </c>
      <c r="P1194" s="2"/>
      <c r="Q1194" s="2"/>
      <c r="R1194" s="74">
        <f>IFERROR(__xludf.DUMMYFUNCTION("""COMPUTED_VALUE"""),45978.0)</f>
        <v>45978</v>
      </c>
      <c r="S1194" s="2" t="str">
        <f>IFERROR(__xludf.DUMMYFUNCTION("""COMPUTED_VALUE"""),"MYKEE")</f>
        <v>MYKEE</v>
      </c>
      <c r="T1194" s="73" t="str">
        <f>IFERROR(__xludf.DUMMYFUNCTION("""COMPUTED_VALUE""")," N/A ")</f>
        <v>N/A</v>
      </c>
      <c r="U1194" s="73" t="str">
        <f>IFERROR(__xludf.DUMMYFUNCTION("""COMPUTED_VALUE""")," NO CHARGE ")</f>
        <v>NO CHARGE</v>
      </c>
      <c r="V1194" s="2"/>
      <c r="W1194" s="2" t="str">
        <f>IFERROR(__xludf.DUMMYFUNCTION("""COMPUTED_VALUE"""),"N/A")</f>
        <v>N/A</v>
      </c>
      <c r="X1194" s="2" t="str">
        <f>IFERROR(__xludf.DUMMYFUNCTION("""COMPUTED_VALUE"""),"N/A")</f>
        <v>N/A</v>
      </c>
      <c r="Y1194" s="2"/>
      <c r="Z1194" s="2"/>
      <c r="AA1194" s="2"/>
      <c r="AB1194" s="2"/>
      <c r="AC1194" s="2"/>
      <c r="AD1194" s="2"/>
      <c r="AE1194" s="2"/>
      <c r="AF1194" s="2"/>
      <c r="AG1194" s="2"/>
      <c r="AH1194" s="2"/>
      <c r="AI1194" s="2"/>
      <c r="AJ1194" s="2" t="str">
        <f>IFERROR(__xludf.DUMMYFUNCTION("""COMPUTED_VALUE"""),"Rajal Centro")</f>
        <v>Rajal Centro</v>
      </c>
      <c r="AK1194" s="2" t="str">
        <f>IFERROR(__xludf.DUMMYFUNCTION("""COMPUTED_VALUE"""),"Santa Rosa")</f>
        <v>Santa Rosa</v>
      </c>
      <c r="AL1194" s="2" t="str">
        <f>IFERROR(__xludf.DUMMYFUNCTION("""COMPUTED_VALUE"""),"Nueva Ecija")</f>
        <v>Nueva Ecija</v>
      </c>
      <c r="AM1194" s="2">
        <f>IFERROR(__xludf.DUMMYFUNCTION("""COMPUTED_VALUE"""),3.0)</f>
        <v>3</v>
      </c>
      <c r="AN1194" s="2" t="str">
        <f>IFERROR(__xludf.DUMMYFUNCTION("""COMPUTED_VALUE"""),"RCEF 23-09-21 Rebidding")</f>
        <v>RCEF 23-09-21 Rebidding</v>
      </c>
      <c r="AO1194" s="2">
        <f>IFERROR(__xludf.DUMMYFUNCTION("""COMPUTED_VALUE"""),3.0)</f>
        <v>3</v>
      </c>
      <c r="AP1194" s="2"/>
      <c r="AQ1194" s="2"/>
      <c r="AR1194" s="2"/>
      <c r="AS1194" s="2"/>
      <c r="AT1194" s="2"/>
      <c r="AU1194" s="2"/>
      <c r="AV1194" s="2"/>
      <c r="AW1194" s="2"/>
      <c r="AX1194" s="2"/>
      <c r="AY1194" s="2"/>
      <c r="AZ1194" s="2"/>
      <c r="BA1194" s="2"/>
      <c r="BB1194" s="2"/>
    </row>
    <row r="1195">
      <c r="A1195" s="2">
        <f>IFERROR(__xludf.DUMMYFUNCTION("""COMPUTED_VALUE"""),1191.0)</f>
        <v>1191</v>
      </c>
      <c r="B1195" s="2" t="str">
        <f>IFERROR(__xludf.DUMMYFUNCTION("""COMPUTED_VALUE"""),"COMPLETED")</f>
        <v>COMPLETED</v>
      </c>
      <c r="C1195" s="74">
        <f>IFERROR(__xludf.DUMMYFUNCTION("""COMPUTED_VALUE"""),45965.0)</f>
        <v>45965</v>
      </c>
      <c r="D1195" s="71" t="str">
        <f>IFERROR(__xludf.DUMMYFUNCTION("""COMPUTED_VALUE"""),"ANAHAWIN BOMBONGAN IRRIGATORS' ASSOCIATION, INC.")</f>
        <v>ANAHAWIN BOMBONGAN IRRIGATORS' ASSOCIATION, INC.</v>
      </c>
      <c r="E1195" s="71" t="str">
        <f>IFERROR(__xludf.DUMMYFUNCTION("""COMPUTED_VALUE"""),"Iriron, Calintaan, OCCIDENTAL MINDORO")</f>
        <v>Iriron, Calintaan, OCCIDENTAL MINDORO</v>
      </c>
      <c r="F1195" s="2" t="str">
        <f>IFERROR(__xludf.DUMMYFUNCTION("""COMPUTED_VALUE"""),"RODRIGO CARIITATIVO")</f>
        <v>RODRIGO CARIITATIVO</v>
      </c>
      <c r="G1195" s="2">
        <f>IFERROR(__xludf.DUMMYFUNCTION("""COMPUTED_VALUE"""),9.066210076E9)</f>
        <v>9066210076</v>
      </c>
      <c r="H1195" s="2">
        <f>IFERROR(__xludf.DUMMYFUNCTION("""COMPUTED_VALUE"""),350.0)</f>
        <v>350</v>
      </c>
      <c r="I1195" s="72" t="str">
        <f>IFERROR(__xludf.DUMMYFUNCTION("""COMPUTED_VALUE"""),"PMS")</f>
        <v>PMS</v>
      </c>
      <c r="J1195" s="72" t="str">
        <f>IFERROR(__xludf.DUMMYFUNCTION("""COMPUTED_VALUE"""),"PMS")</f>
        <v>PMS</v>
      </c>
      <c r="K1195" s="72" t="str">
        <f>IFERROR(__xludf.DUMMYFUNCTION("""COMPUTED_VALUE"""),"MYK: 2ND PMS")</f>
        <v>MYK: 2ND PMS</v>
      </c>
      <c r="L1195" s="72" t="str">
        <f>IFERROR(__xludf.DUMMYFUNCTION("""COMPUTED_VALUE"""),"RCG: SILA NALANG ANG MAG PMS")</f>
        <v>RCG: SILA NALANG ANG MAG PMS</v>
      </c>
      <c r="M1195" s="2"/>
      <c r="N1195" s="2" t="str">
        <f>IFERROR(__xludf.DUMMYFUNCTION("""COMPUTED_VALUE"""),"PARTS:
OIL FILTER")</f>
        <v>PARTS:
OIL FILTER</v>
      </c>
      <c r="O1195" s="2" t="str">
        <f>IFERROR(__xludf.DUMMYFUNCTION("""COMPUTED_VALUE"""),"N/A")</f>
        <v>N/A</v>
      </c>
      <c r="P1195" s="2"/>
      <c r="Q1195" s="2"/>
      <c r="R1195" s="74">
        <f>IFERROR(__xludf.DUMMYFUNCTION("""COMPUTED_VALUE"""),45978.0)</f>
        <v>45978</v>
      </c>
      <c r="S1195" s="2" t="str">
        <f>IFERROR(__xludf.DUMMYFUNCTION("""COMPUTED_VALUE"""),"RCG")</f>
        <v>RCG</v>
      </c>
      <c r="T1195" s="73">
        <f>IFERROR(__xludf.DUMMYFUNCTION("""COMPUTED_VALUE"""),1533.0)</f>
        <v>1533</v>
      </c>
      <c r="U1195" s="73" t="str">
        <f>IFERROR(__xludf.DUMMYFUNCTION("""COMPUTED_VALUE""")," REMITTED ")</f>
        <v>REMITTED</v>
      </c>
      <c r="V1195" s="2">
        <f>IFERROR(__xludf.DUMMYFUNCTION("""COMPUTED_VALUE"""),1450.0)</f>
        <v>1450</v>
      </c>
      <c r="W1195" s="2">
        <f>IFERROR(__xludf.DUMMYFUNCTION("""COMPUTED_VALUE"""),2008.0)</f>
        <v>2008</v>
      </c>
      <c r="X1195" s="2">
        <f>IFERROR(__xludf.DUMMYFUNCTION("""COMPUTED_VALUE"""),1771.0)</f>
        <v>1771</v>
      </c>
      <c r="Y1195" s="2"/>
      <c r="Z1195" s="2"/>
      <c r="AA1195" s="2"/>
      <c r="AB1195" s="2"/>
      <c r="AC1195" s="2"/>
      <c r="AD1195" s="2"/>
      <c r="AE1195" s="2"/>
      <c r="AF1195" s="2"/>
      <c r="AG1195" s="2"/>
      <c r="AH1195" s="2"/>
      <c r="AI1195" s="2"/>
      <c r="AJ1195" s="2" t="str">
        <f>IFERROR(__xludf.DUMMYFUNCTION("""COMPUTED_VALUE"""),"Iriron")</f>
        <v>Iriron</v>
      </c>
      <c r="AK1195" s="2" t="str">
        <f>IFERROR(__xludf.DUMMYFUNCTION("""COMPUTED_VALUE"""),"Calintaan")</f>
        <v>Calintaan</v>
      </c>
      <c r="AL1195" s="2" t="str">
        <f>IFERROR(__xludf.DUMMYFUNCTION("""COMPUTED_VALUE"""),"Occidental Mindoro")</f>
        <v>Occidental Mindoro</v>
      </c>
      <c r="AM1195" s="2" t="str">
        <f>IFERROR(__xludf.DUMMYFUNCTION("""COMPUTED_VALUE"""),"4B")</f>
        <v>4B</v>
      </c>
      <c r="AN1195" s="2" t="str">
        <f>IFERROR(__xludf.DUMMYFUNCTION("""COMPUTED_VALUE"""),"RCEF 24-04-15")</f>
        <v>RCEF 24-04-15</v>
      </c>
      <c r="AO1195" s="2">
        <f>IFERROR(__xludf.DUMMYFUNCTION("""COMPUTED_VALUE"""),7.0)</f>
        <v>7</v>
      </c>
      <c r="AP1195" s="2" t="str">
        <f>IFERROR(__xludf.DUMMYFUNCTION("""COMPUTED_VALUE"""),"FREE PMS")</f>
        <v>FREE PMS</v>
      </c>
      <c r="AQ1195" s="2"/>
      <c r="AR1195" s="2"/>
      <c r="AS1195" s="2"/>
      <c r="AT1195" s="2"/>
      <c r="AU1195" s="2"/>
      <c r="AV1195" s="2"/>
      <c r="AW1195" s="2"/>
      <c r="AX1195" s="2"/>
      <c r="AY1195" s="2"/>
      <c r="AZ1195" s="2"/>
      <c r="BA1195" s="2"/>
      <c r="BB1195" s="2"/>
    </row>
    <row r="1196">
      <c r="A1196" s="2">
        <f>IFERROR(__xludf.DUMMYFUNCTION("""COMPUTED_VALUE"""),1192.0)</f>
        <v>1192</v>
      </c>
      <c r="B1196" s="2" t="str">
        <f>IFERROR(__xludf.DUMMYFUNCTION("""COMPUTED_VALUE"""),"COMPLETED")</f>
        <v>COMPLETED</v>
      </c>
      <c r="C1196" s="74">
        <f>IFERROR(__xludf.DUMMYFUNCTION("""COMPUTED_VALUE"""),45966.0)</f>
        <v>45966</v>
      </c>
      <c r="D1196" s="71" t="str">
        <f>IFERROR(__xludf.DUMMYFUNCTION("""COMPUTED_VALUE"""),"BESSANG SMALL WATER IMPOUNDING SYSTEM ASSOCIATION (BESWISA)")</f>
        <v>BESSANG SMALL WATER IMPOUNDING SYSTEM ASSOCIATION (BESWISA)</v>
      </c>
      <c r="E1196" s="71" t="str">
        <f>IFERROR(__xludf.DUMMYFUNCTION("""COMPUTED_VALUE"""),"Bessang, Allacapan, CAGAYAN")</f>
        <v>Bessang, Allacapan, CAGAYAN</v>
      </c>
      <c r="F1196" s="2" t="str">
        <f>IFERROR(__xludf.DUMMYFUNCTION("""COMPUTED_VALUE"""),"Maximo T. Vicerra")</f>
        <v>Maximo T. Vicerra</v>
      </c>
      <c r="G1196" s="2">
        <f>IFERROR(__xludf.DUMMYFUNCTION("""COMPUTED_VALUE"""),9.178227233E9)</f>
        <v>9178227233</v>
      </c>
      <c r="H1196" s="2"/>
      <c r="I1196" s="72" t="str">
        <f>IFERROR(__xludf.DUMMYFUNCTION("""COMPUTED_VALUE"""),"SPARE PARTS ACQUISITION")</f>
        <v>SPARE PARTS ACQUISITION</v>
      </c>
      <c r="J1196" s="72" t="str">
        <f>IFERROR(__xludf.DUMMYFUNCTION("""COMPUTED_VALUE"""),"PARTS REQUEST")</f>
        <v>PARTS REQUEST</v>
      </c>
      <c r="K1196" s="72" t="str">
        <f>IFERROR(__xludf.DUMMYFUNCTION("""COMPUTED_VALUE"""),"ERP: 
Air filter 1 set
Fuel filter
Oil filter
OIL FILTER")</f>
        <v>ERP: 
Air filter 1 set
Fuel filter
Oil filter
OIL FILTER</v>
      </c>
      <c r="L1196" s="72" t="str">
        <f>IFERROR(__xludf.DUMMYFUNCTION("""COMPUTED_VALUE"""),"QUOTATION SENT: ORDER ONLY: OIL FILTER: PAID: FOR SHIPPING:SHIPPED")</f>
        <v>QUOTATION SENT: ORDER ONLY: OIL FILTER: PAID: FOR SHIPPING:SHIPPED</v>
      </c>
      <c r="M1196" s="2"/>
      <c r="N1196" s="2" t="str">
        <f>IFERROR(__xludf.DUMMYFUNCTION("""COMPUTED_VALUE"""),"PARTS:
OIL FILTER")</f>
        <v>PARTS:
OIL FILTER</v>
      </c>
      <c r="O1196" s="2" t="str">
        <f>IFERROR(__xludf.DUMMYFUNCTION("""COMPUTED_VALUE"""),"N/A")</f>
        <v>N/A</v>
      </c>
      <c r="P1196" s="2"/>
      <c r="Q1196" s="2"/>
      <c r="R1196" s="74">
        <f>IFERROR(__xludf.DUMMYFUNCTION("""COMPUTED_VALUE"""),45971.0)</f>
        <v>45971</v>
      </c>
      <c r="S1196" s="2" t="str">
        <f>IFERROR(__xludf.DUMMYFUNCTION("""COMPUTED_VALUE"""),"MYKEE/CTF")</f>
        <v>MYKEE/CTF</v>
      </c>
      <c r="T1196" s="73">
        <f>IFERROR(__xludf.DUMMYFUNCTION("""COMPUTED_VALUE"""),1533.0)</f>
        <v>1533</v>
      </c>
      <c r="U1196" s="73" t="str">
        <f>IFERROR(__xludf.DUMMYFUNCTION("""COMPUTED_VALUE""")," REMITTED ")</f>
        <v>REMITTED</v>
      </c>
      <c r="V1196" s="2"/>
      <c r="W1196" s="2" t="str">
        <f>IFERROR(__xludf.DUMMYFUNCTION("""COMPUTED_VALUE"""),"FOR CR BY CTF")</f>
        <v>FOR CR BY CTF</v>
      </c>
      <c r="X1196" s="2">
        <f>IFERROR(__xludf.DUMMYFUNCTION("""COMPUTED_VALUE"""),1601.0)</f>
        <v>1601</v>
      </c>
      <c r="Y1196" s="2"/>
      <c r="Z1196" s="2"/>
      <c r="AA1196" s="2"/>
      <c r="AB1196" s="2"/>
      <c r="AC1196" s="2"/>
      <c r="AD1196" s="2"/>
      <c r="AE1196" s="2"/>
      <c r="AF1196" s="2"/>
      <c r="AG1196" s="2"/>
      <c r="AH1196" s="2"/>
      <c r="AI1196" s="2"/>
      <c r="AJ1196" s="2" t="str">
        <f>IFERROR(__xludf.DUMMYFUNCTION("""COMPUTED_VALUE"""),"Bessang")</f>
        <v>Bessang</v>
      </c>
      <c r="AK1196" s="2" t="str">
        <f>IFERROR(__xludf.DUMMYFUNCTION("""COMPUTED_VALUE"""),"Allacapan")</f>
        <v>Allacapan</v>
      </c>
      <c r="AL1196" s="2" t="str">
        <f>IFERROR(__xludf.DUMMYFUNCTION("""COMPUTED_VALUE"""),"Cagayan")</f>
        <v>Cagayan</v>
      </c>
      <c r="AM1196" s="2">
        <f>IFERROR(__xludf.DUMMYFUNCTION("""COMPUTED_VALUE"""),2.0)</f>
        <v>2</v>
      </c>
      <c r="AN1196" s="2" t="str">
        <f>IFERROR(__xludf.DUMMYFUNCTION("""COMPUTED_VALUE"""),"RCEF 23-09-21 Rebidding")</f>
        <v>RCEF 23-09-21 Rebidding</v>
      </c>
      <c r="AO1196" s="2">
        <f>IFERROR(__xludf.DUMMYFUNCTION("""COMPUTED_VALUE"""),1.0)</f>
        <v>1</v>
      </c>
      <c r="AP1196" s="2"/>
      <c r="AQ1196" s="2"/>
      <c r="AR1196" s="2"/>
      <c r="AS1196" s="2"/>
      <c r="AT1196" s="2"/>
      <c r="AU1196" s="2"/>
      <c r="AV1196" s="2"/>
      <c r="AW1196" s="2"/>
      <c r="AX1196" s="2"/>
      <c r="AY1196" s="2"/>
      <c r="AZ1196" s="2"/>
      <c r="BA1196" s="2"/>
      <c r="BB1196" s="2"/>
    </row>
    <row r="1197">
      <c r="A1197" s="2">
        <f>IFERROR(__xludf.DUMMYFUNCTION("""COMPUTED_VALUE"""),1193.0)</f>
        <v>1193</v>
      </c>
      <c r="B1197" s="2" t="str">
        <f>IFERROR(__xludf.DUMMYFUNCTION("""COMPUTED_VALUE"""),"COMPLETED")</f>
        <v>COMPLETED</v>
      </c>
      <c r="C1197" s="74">
        <f>IFERROR(__xludf.DUMMYFUNCTION("""COMPUTED_VALUE"""),45967.0)</f>
        <v>45967</v>
      </c>
      <c r="D1197" s="71" t="str">
        <f>IFERROR(__xludf.DUMMYFUNCTION("""COMPUTED_VALUE"""),"SAMPALUCAN IRRIGATORS ASSOCIATION INC.")</f>
        <v>SAMPALUCAN IRRIGATORS ASSOCIATION INC.</v>
      </c>
      <c r="E1197" s="71" t="str">
        <f>IFERROR(__xludf.DUMMYFUNCTION("""COMPUTED_VALUE"""),"Pulo, San Isidro, NUEVA ECIJA")</f>
        <v>Pulo, San Isidro, NUEVA ECIJA</v>
      </c>
      <c r="F1197" s="2" t="str">
        <f>IFERROR(__xludf.DUMMYFUNCTION("""COMPUTED_VALUE"""),"Fernando Magbitang")</f>
        <v>Fernando Magbitang</v>
      </c>
      <c r="G1197" s="2" t="str">
        <f>IFERROR(__xludf.DUMMYFUNCTION("""COMPUTED_VALUE"""),"0997-502-5628")</f>
        <v>0997-502-5628</v>
      </c>
      <c r="H1197" s="2">
        <f>IFERROR(__xludf.DUMMYFUNCTION("""COMPUTED_VALUE"""),434.2)</f>
        <v>434.2</v>
      </c>
      <c r="I1197" s="72" t="str">
        <f>IFERROR(__xludf.DUMMYFUNCTION("""COMPUTED_VALUE"""),"REPAIR - TRACTOR")</f>
        <v>REPAIR - TRACTOR</v>
      </c>
      <c r="J1197" s="72" t="str">
        <f>IFERROR(__xludf.DUMMYFUNCTION("""COMPUTED_VALUE"""),"Front Axle - Leaking")</f>
        <v>Front Axle - Leaking</v>
      </c>
      <c r="K1197" s="72" t="str">
        <f>IFERROR(__xludf.DUMMYFUNCTION("""COMPUTED_VALUE"""),"MYK: MAINGAY PO ANG CLUTCH PAG TINATAPAKAN, LEAKING OF OIL SA GAWING KALIWA NG GULONG. ")</f>
        <v>MYK: MAINGAY PO ANG CLUTCH PAG TINATAPAKAN, LEAKING OF OIL SA GAWING KALIWA NG GULONG. </v>
      </c>
      <c r="L1197" s="72" t="str">
        <f>IFERROR(__xludf.DUMMYFUNCTION("""COMPUTED_VALUE"""),"QUOTATION SENT: 
JDP: SPLIT OF TRANSMISSION AND SELL OF OIL SEAL - HINDI PO MUNA PINAGAWA NI FCA ANG UNIT NILA DAHIL KULANG PO ANG BUDGET NILA MAG IIPON DAW PO MUNA SILA")</f>
        <v>QUOTATION SENT: 
JDP: SPLIT OF TRANSMISSION AND SELL OF OIL SEAL - HINDI PO MUNA PINAGAWA NI FCA ANG UNIT NILA DAHIL KULANG PO ANG BUDGET NILA MAG IIPON DAW PO MUNA SILA</v>
      </c>
      <c r="M1197" s="2"/>
      <c r="N1197" s="2" t="str">
        <f>IFERROR(__xludf.DUMMYFUNCTION("""COMPUTED_VALUE"""),"PARTS:
OIL SEAL TA00041359 - 3,380
LABOR- 4,000")</f>
        <v>PARTS:
OIL SEAL TA00041359 - 3,380
LABOR- 4,000</v>
      </c>
      <c r="O1197" s="2">
        <f>IFERROR(__xludf.DUMMYFUNCTION("""COMPUTED_VALUE"""),424.0)</f>
        <v>424</v>
      </c>
      <c r="P1197" s="2"/>
      <c r="Q1197" s="2" t="str">
        <f>IFERROR(__xludf.DUMMYFUNCTION("""COMPUTED_VALUE"""),"FOR PRINT")</f>
        <v>FOR PRINT</v>
      </c>
      <c r="R1197" s="74">
        <f>IFERROR(__xludf.DUMMYFUNCTION("""COMPUTED_VALUE"""),45978.0)</f>
        <v>45978</v>
      </c>
      <c r="S1197" s="2" t="str">
        <f>IFERROR(__xludf.DUMMYFUNCTION("""COMPUTED_VALUE"""),"EGT/JDP")</f>
        <v>EGT/JDP</v>
      </c>
      <c r="T1197" s="73">
        <f>IFERROR(__xludf.DUMMYFUNCTION("""COMPUTED_VALUE"""),7380.0)</f>
        <v>7380</v>
      </c>
      <c r="U1197" s="73" t="str">
        <f>IFERROR(__xludf.DUMMYFUNCTION("""COMPUTED_VALUE""")," REMITTED ")</f>
        <v>REMITTED</v>
      </c>
      <c r="V1197" s="2"/>
      <c r="W1197" s="2">
        <f>IFERROR(__xludf.DUMMYFUNCTION("""COMPUTED_VALUE"""),1669.0)</f>
        <v>1669</v>
      </c>
      <c r="X1197" s="2">
        <f>IFERROR(__xludf.DUMMYFUNCTION("""COMPUTED_VALUE"""),1690.0)</f>
        <v>1690</v>
      </c>
      <c r="Y1197" s="2"/>
      <c r="Z1197" s="2"/>
      <c r="AA1197" s="2"/>
      <c r="AB1197" s="2"/>
      <c r="AC1197" s="2"/>
      <c r="AD1197" s="2"/>
      <c r="AE1197" s="2"/>
      <c r="AF1197" s="2"/>
      <c r="AG1197" s="2"/>
      <c r="AH1197" s="2"/>
      <c r="AI1197" s="2"/>
      <c r="AJ1197" s="2" t="str">
        <f>IFERROR(__xludf.DUMMYFUNCTION("""COMPUTED_VALUE"""),"Pulo")</f>
        <v>Pulo</v>
      </c>
      <c r="AK1197" s="2" t="str">
        <f>IFERROR(__xludf.DUMMYFUNCTION("""COMPUTED_VALUE"""),"San Isidro")</f>
        <v>San Isidro</v>
      </c>
      <c r="AL1197" s="2" t="str">
        <f>IFERROR(__xludf.DUMMYFUNCTION("""COMPUTED_VALUE"""),"Nueva Ecija")</f>
        <v>Nueva Ecija</v>
      </c>
      <c r="AM1197" s="2">
        <f>IFERROR(__xludf.DUMMYFUNCTION("""COMPUTED_VALUE"""),3.0)</f>
        <v>3</v>
      </c>
      <c r="AN1197" s="2" t="str">
        <f>IFERROR(__xludf.DUMMYFUNCTION("""COMPUTED_VALUE"""),"RCEF 23-09-21 Rebidding")</f>
        <v>RCEF 23-09-21 Rebidding</v>
      </c>
      <c r="AO1197" s="2">
        <f>IFERROR(__xludf.DUMMYFUNCTION("""COMPUTED_VALUE"""),3.0)</f>
        <v>3</v>
      </c>
      <c r="AP1197" s="2"/>
      <c r="AQ1197" s="2"/>
      <c r="AR1197" s="2"/>
      <c r="AS1197" s="2"/>
      <c r="AT1197" s="2"/>
      <c r="AU1197" s="2"/>
      <c r="AV1197" s="2"/>
      <c r="AW1197" s="2"/>
      <c r="AX1197" s="2"/>
      <c r="AY1197" s="2"/>
      <c r="AZ1197" s="2"/>
      <c r="BA1197" s="2"/>
      <c r="BB1197" s="2"/>
    </row>
    <row r="1198">
      <c r="A1198" s="2">
        <f>IFERROR(__xludf.DUMMYFUNCTION("""COMPUTED_VALUE"""),1194.0)</f>
        <v>1194</v>
      </c>
      <c r="B1198" s="2" t="str">
        <f>IFERROR(__xludf.DUMMYFUNCTION("""COMPUTED_VALUE"""),"PENDING")</f>
        <v>PENDING</v>
      </c>
      <c r="C1198" s="74">
        <f>IFERROR(__xludf.DUMMYFUNCTION("""COMPUTED_VALUE"""),45967.0)</f>
        <v>45967</v>
      </c>
      <c r="D1198" s="71" t="str">
        <f>IFERROR(__xludf.DUMMYFUNCTION("""COMPUTED_VALUE"""),"Aquino Cluster Farmers Association")</f>
        <v>Aquino Cluster Farmers Association</v>
      </c>
      <c r="E1198" s="71" t="str">
        <f>IFERROR(__xludf.DUMMYFUNCTION("""COMPUTED_VALUE"""),"Aquino, Ibajay, AKLAN")</f>
        <v>Aquino, Ibajay, AKLAN</v>
      </c>
      <c r="F1198" s="2" t="str">
        <f>IFERROR(__xludf.DUMMYFUNCTION("""COMPUTED_VALUE"""),"SERMUNDO CUNANAN")</f>
        <v>SERMUNDO CUNANAN</v>
      </c>
      <c r="G1198" s="2">
        <f>IFERROR(__xludf.DUMMYFUNCTION("""COMPUTED_VALUE"""),9.108744791E9)</f>
        <v>9108744791</v>
      </c>
      <c r="H1198" s="2"/>
      <c r="I1198" s="72" t="str">
        <f>IFERROR(__xludf.DUMMYFUNCTION("""COMPUTED_VALUE"""),"SPARE PARTS ACQUISITION")</f>
        <v>SPARE PARTS ACQUISITION</v>
      </c>
      <c r="J1198" s="72" t="str">
        <f>IFERROR(__xludf.DUMMYFUNCTION("""COMPUTED_VALUE"""),"PARTS REQUEST")</f>
        <v>PARTS REQUEST</v>
      </c>
      <c r="K1198" s="72" t="str">
        <f>IFERROR(__xludf.DUMMYFUNCTION("""COMPUTED_VALUE"""),"MYK: NABASAG ANG GEAR NG ROTAVATOR AT BEARING
PARTS:
BEVEL GEAR 24T")</f>
        <v>MYK: NABASAG ANG GEAR NG ROTAVATOR AT BEARING
PARTS:
BEVEL GEAR 24T</v>
      </c>
      <c r="L1198" s="72"/>
      <c r="M1198" s="2" t="str">
        <f>IFERROR(__xludf.DUMMYFUNCTION("""COMPUTED_VALUE"""),"BEVEL GEAR 24T")</f>
        <v>BEVEL GEAR 24T</v>
      </c>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t="str">
        <f>IFERROR(__xludf.DUMMYFUNCTION("""COMPUTED_VALUE"""),"Aquino")</f>
        <v>Aquino</v>
      </c>
      <c r="AK1198" s="2" t="str">
        <f>IFERROR(__xludf.DUMMYFUNCTION("""COMPUTED_VALUE"""),"Ibajay")</f>
        <v>Ibajay</v>
      </c>
      <c r="AL1198" s="2" t="str">
        <f>IFERROR(__xludf.DUMMYFUNCTION("""COMPUTED_VALUE"""),"Aklan")</f>
        <v>Aklan</v>
      </c>
      <c r="AM1198" s="2">
        <f>IFERROR(__xludf.DUMMYFUNCTION("""COMPUTED_VALUE"""),6.0)</f>
        <v>6</v>
      </c>
      <c r="AN1198" s="2" t="str">
        <f>IFERROR(__xludf.DUMMYFUNCTION("""COMPUTED_VALUE"""),"RCEF 23-09-21 Rebidding")</f>
        <v>RCEF 23-09-21 Rebidding</v>
      </c>
      <c r="AO1198" s="2">
        <f>IFERROR(__xludf.DUMMYFUNCTION("""COMPUTED_VALUE"""),4.0)</f>
        <v>4</v>
      </c>
      <c r="AP1198" s="2"/>
      <c r="AQ1198" s="2"/>
      <c r="AR1198" s="2"/>
      <c r="AS1198" s="2"/>
      <c r="AT1198" s="2"/>
      <c r="AU1198" s="2"/>
      <c r="AV1198" s="2"/>
      <c r="AW1198" s="2"/>
      <c r="AX1198" s="2"/>
      <c r="AY1198" s="2"/>
      <c r="AZ1198" s="2"/>
      <c r="BA1198" s="2"/>
      <c r="BB1198" s="2"/>
    </row>
    <row r="1199">
      <c r="A1199" s="2">
        <f>IFERROR(__xludf.DUMMYFUNCTION("""COMPUTED_VALUE"""),1195.0)</f>
        <v>1195</v>
      </c>
      <c r="B1199" s="2" t="str">
        <f>IFERROR(__xludf.DUMMYFUNCTION("""COMPUTED_VALUE"""),"PENDING")</f>
        <v>PENDING</v>
      </c>
      <c r="C1199" s="74">
        <f>IFERROR(__xludf.DUMMYFUNCTION("""COMPUTED_VALUE"""),45967.0)</f>
        <v>45967</v>
      </c>
      <c r="D1199" s="71" t="str">
        <f>IFERROR(__xludf.DUMMYFUNCTION("""COMPUTED_VALUE"""),"City Local Government Unit of Cabanatuan")</f>
        <v>City Local Government Unit of Cabanatuan</v>
      </c>
      <c r="E1199" s="71" t="str">
        <f>IFERROR(__xludf.DUMMYFUNCTION("""COMPUTED_VALUE"""),"Kapitan Pepe (Pob.), Cabanatuan City, NUEVA ECIJA")</f>
        <v>Kapitan Pepe (Pob.), Cabanatuan City, NUEVA ECIJA</v>
      </c>
      <c r="F1199" s="2" t="str">
        <f>IFERROR(__xludf.DUMMYFUNCTION("""COMPUTED_VALUE"""),"IAN JOSHUA SANTIAGO")</f>
        <v>IAN JOSHUA SANTIAGO</v>
      </c>
      <c r="G1199" s="2">
        <f>IFERROR(__xludf.DUMMYFUNCTION("""COMPUTED_VALUE"""),9.097995611E9)</f>
        <v>9097995611</v>
      </c>
      <c r="H1199" s="2"/>
      <c r="I1199" s="72" t="str">
        <f>IFERROR(__xludf.DUMMYFUNCTION("""COMPUTED_VALUE"""),"SPARE PARTS ACQUISITION")</f>
        <v>SPARE PARTS ACQUISITION</v>
      </c>
      <c r="J1199" s="72" t="str">
        <f>IFERROR(__xludf.DUMMYFUNCTION("""COMPUTED_VALUE"""),"PARTS REQUEST")</f>
        <v>PARTS REQUEST</v>
      </c>
      <c r="K1199" s="72" t="str">
        <f>IFERROR(__xludf.DUMMYFUNCTION("""COMPUTED_VALUE"""),"JIE: BLADE PRICE (FOR CONFIRMATION ANONG BLADE)")</f>
        <v>JIE: BLADE PRICE (FOR CONFIRMATION ANONG BLADE)</v>
      </c>
      <c r="L1199" s="72" t="str">
        <f>IFERROR(__xludf.DUMMYFUNCTION("""COMPUTED_VALUE"""),"JIE: NOT ANSWERING - 11/7/25")</f>
        <v>JIE: NOT ANSWERING - 11/7/25</v>
      </c>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c r="AJ1199" s="2" t="str">
        <f>IFERROR(__xludf.DUMMYFUNCTION("""COMPUTED_VALUE"""),"Kapitan Pepe (Pob.)")</f>
        <v>Kapitan Pepe (Pob.)</v>
      </c>
      <c r="AK1199" s="2" t="str">
        <f>IFERROR(__xludf.DUMMYFUNCTION("""COMPUTED_VALUE"""),"Cabanatuan City")</f>
        <v>Cabanatuan City</v>
      </c>
      <c r="AL1199" s="2" t="str">
        <f>IFERROR(__xludf.DUMMYFUNCTION("""COMPUTED_VALUE"""),"Nueva Ecija")</f>
        <v>Nueva Ecija</v>
      </c>
      <c r="AM1199" s="2">
        <f>IFERROR(__xludf.DUMMYFUNCTION("""COMPUTED_VALUE"""),3.0)</f>
        <v>3</v>
      </c>
      <c r="AN1199" s="2" t="str">
        <f>IFERROR(__xludf.DUMMYFUNCTION("""COMPUTED_VALUE"""),"RCEF 24-04-15")</f>
        <v>RCEF 24-04-15</v>
      </c>
      <c r="AO1199" s="2">
        <f>IFERROR(__xludf.DUMMYFUNCTION("""COMPUTED_VALUE"""),6.0)</f>
        <v>6</v>
      </c>
      <c r="AP1199" s="2" t="str">
        <f>IFERROR(__xludf.DUMMYFUNCTION("""COMPUTED_VALUE"""),"FREE PMS")</f>
        <v>FREE PMS</v>
      </c>
      <c r="AQ1199" s="2"/>
      <c r="AR1199" s="2"/>
      <c r="AS1199" s="2"/>
      <c r="AT1199" s="2"/>
      <c r="AU1199" s="2"/>
      <c r="AV1199" s="2"/>
      <c r="AW1199" s="2"/>
      <c r="AX1199" s="2"/>
      <c r="AY1199" s="2"/>
      <c r="AZ1199" s="2"/>
      <c r="BA1199" s="2"/>
      <c r="BB1199" s="2"/>
    </row>
    <row r="1200">
      <c r="A1200" s="2">
        <f>IFERROR(__xludf.DUMMYFUNCTION("""COMPUTED_VALUE"""),1196.0)</f>
        <v>1196</v>
      </c>
      <c r="B1200" s="2" t="str">
        <f>IFERROR(__xludf.DUMMYFUNCTION("""COMPUTED_VALUE"""),"PENDING")</f>
        <v>PENDING</v>
      </c>
      <c r="C1200" s="74">
        <f>IFERROR(__xludf.DUMMYFUNCTION("""COMPUTED_VALUE"""),45967.0)</f>
        <v>45967</v>
      </c>
      <c r="D1200" s="71" t="str">
        <f>IFERROR(__xludf.DUMMYFUNCTION("""COMPUTED_VALUE"""),"MAKABAGONG MAGSASAKA IRRIGATORS ASSOCIATION INC.")</f>
        <v>MAKABAGONG MAGSASAKA IRRIGATORS ASSOCIATION INC.</v>
      </c>
      <c r="E1200" s="71" t="str">
        <f>IFERROR(__xludf.DUMMYFUNCTION("""COMPUTED_VALUE"""),"Angio, San Fabian, PANGASINAN")</f>
        <v>Angio, San Fabian, PANGASINAN</v>
      </c>
      <c r="F1200" s="2" t="str">
        <f>IFERROR(__xludf.DUMMYFUNCTION("""COMPUTED_VALUE"""),"DERNI VISPO")</f>
        <v>DERNI VISPO</v>
      </c>
      <c r="G1200" s="2">
        <f>IFERROR(__xludf.DUMMYFUNCTION("""COMPUTED_VALUE"""),9.859183029E9)</f>
        <v>9859183029</v>
      </c>
      <c r="H1200" s="2"/>
      <c r="I1200" s="72" t="str">
        <f>IFERROR(__xludf.DUMMYFUNCTION("""COMPUTED_VALUE"""),"REPAIR - ROTAVATOR")</f>
        <v>REPAIR - ROTAVATOR</v>
      </c>
      <c r="J1200" s="72" t="str">
        <f>IFERROR(__xludf.DUMMYFUNCTION("""COMPUTED_VALUE"""),"Gearbox")</f>
        <v>Gearbox</v>
      </c>
      <c r="K1200" s="72" t="str">
        <f>IFERROR(__xludf.DUMMYFUNCTION("""COMPUTED_VALUE"""),"MYK: NABASAG ANG GEAR NG ROTAVATOR")</f>
        <v>MYK: NABASAG ANG GEAR NG ROTAVATOR</v>
      </c>
      <c r="L1200" s="72" t="str">
        <f>IFERROR(__xludf.DUMMYFUNCTION("""COMPUTED_VALUE"""),"ECM: NAMAHALAN SA PYESA  -  NO PARTS STILL FROM FC")</f>
        <v>ECM: NAMAHALAN SA PYESA  -  NO PARTS STILL FROM FC</v>
      </c>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c r="AJ1200" s="2" t="str">
        <f>IFERROR(__xludf.DUMMYFUNCTION("""COMPUTED_VALUE"""),"Angio")</f>
        <v>Angio</v>
      </c>
      <c r="AK1200" s="2" t="str">
        <f>IFERROR(__xludf.DUMMYFUNCTION("""COMPUTED_VALUE"""),"San Fabian")</f>
        <v>San Fabian</v>
      </c>
      <c r="AL1200" s="2" t="str">
        <f>IFERROR(__xludf.DUMMYFUNCTION("""COMPUTED_VALUE"""),"Pangasinan")</f>
        <v>Pangasinan</v>
      </c>
      <c r="AM1200" s="2">
        <f>IFERROR(__xludf.DUMMYFUNCTION("""COMPUTED_VALUE"""),1.0)</f>
        <v>1</v>
      </c>
      <c r="AN1200" s="2" t="str">
        <f>IFERROR(__xludf.DUMMYFUNCTION("""COMPUTED_VALUE"""),"RCEF 23-09-21 Rebidding")</f>
        <v>RCEF 23-09-21 Rebidding</v>
      </c>
      <c r="AO1200" s="2">
        <f>IFERROR(__xludf.DUMMYFUNCTION("""COMPUTED_VALUE"""),2.0)</f>
        <v>2</v>
      </c>
      <c r="AP1200" s="2"/>
      <c r="AQ1200" s="2"/>
      <c r="AR1200" s="2"/>
      <c r="AS1200" s="2"/>
      <c r="AT1200" s="2"/>
      <c r="AU1200" s="2"/>
      <c r="AV1200" s="2"/>
      <c r="AW1200" s="2"/>
      <c r="AX1200" s="2"/>
      <c r="AY1200" s="2"/>
      <c r="AZ1200" s="2"/>
      <c r="BA1200" s="2"/>
      <c r="BB1200" s="2"/>
    </row>
    <row r="1201">
      <c r="A1201" s="2">
        <f>IFERROR(__xludf.DUMMYFUNCTION("""COMPUTED_VALUE"""),1197.0)</f>
        <v>1197</v>
      </c>
      <c r="B1201" s="2" t="str">
        <f>IFERROR(__xludf.DUMMYFUNCTION("""COMPUTED_VALUE"""),"COMPLETED")</f>
        <v>COMPLETED</v>
      </c>
      <c r="C1201" s="74">
        <f>IFERROR(__xludf.DUMMYFUNCTION("""COMPUTED_VALUE"""),45969.0)</f>
        <v>45969</v>
      </c>
      <c r="D1201" s="71" t="str">
        <f>IFERROR(__xludf.DUMMYFUNCTION("""COMPUTED_VALUE"""),"Zambales Competitive Farmers Association Inc.")</f>
        <v>Zambales Competitive Farmers Association Inc.</v>
      </c>
      <c r="E1201" s="71" t="str">
        <f>IFERROR(__xludf.DUMMYFUNCTION("""COMPUTED_VALUE"""),"Laoag, San Marcelino, ZAMBALES")</f>
        <v>Laoag, San Marcelino, ZAMBALES</v>
      </c>
      <c r="F1201" s="2" t="str">
        <f>IFERROR(__xludf.DUMMYFUNCTION("""COMPUTED_VALUE"""),"Ferdinand L Rabanes ")</f>
        <v>Ferdinand L Rabanes </v>
      </c>
      <c r="G1201" s="2">
        <f>IFERROR(__xludf.DUMMYFUNCTION("""COMPUTED_VALUE"""),9.510005197E9)</f>
        <v>9510005197</v>
      </c>
      <c r="H1201" s="2"/>
      <c r="I1201" s="72" t="str">
        <f>IFERROR(__xludf.DUMMYFUNCTION("""COMPUTED_VALUE"""),"PMS")</f>
        <v>PMS</v>
      </c>
      <c r="J1201" s="72"/>
      <c r="K1201" s="72" t="str">
        <f>IFERROR(__xludf.DUMMYFUNCTION("""COMPUTED_VALUE"""),"MYK: 1ST PMS (FREE)")</f>
        <v>MYK: 1ST PMS (FREE)</v>
      </c>
      <c r="L1201" s="72" t="str">
        <f>IFERROR(__xludf.DUMMYFUNCTION("""COMPUTED_VALUE"""),"JDP: 1ST PMS DONE")</f>
        <v>JDP: 1ST PMS DONE</v>
      </c>
      <c r="M1201" s="2"/>
      <c r="N1201" s="2" t="str">
        <f>IFERROR(__xludf.DUMMYFUNCTION("""COMPUTED_VALUE"""),"PARTS:
OIL FILTER
ENGINE OIL")</f>
        <v>PARTS:
OIL FILTER
ENGINE OIL</v>
      </c>
      <c r="O1201" s="2">
        <f>IFERROR(__xludf.DUMMYFUNCTION("""COMPUTED_VALUE"""),426.0)</f>
        <v>426</v>
      </c>
      <c r="P1201" s="2"/>
      <c r="Q1201" s="2" t="str">
        <f>IFERROR(__xludf.DUMMYFUNCTION("""COMPUTED_VALUE"""),"y")</f>
        <v>y</v>
      </c>
      <c r="R1201" s="74">
        <f>IFERROR(__xludf.DUMMYFUNCTION("""COMPUTED_VALUE"""),45980.0)</f>
        <v>45980</v>
      </c>
      <c r="S1201" s="2" t="str">
        <f>IFERROR(__xludf.DUMMYFUNCTION("""COMPUTED_VALUE"""),"EGT/JDP")</f>
        <v>EGT/JDP</v>
      </c>
      <c r="T1201" s="73" t="str">
        <f>IFERROR(__xludf.DUMMYFUNCTION("""COMPUTED_VALUE""")," N/A ")</f>
        <v>N/A</v>
      </c>
      <c r="U1201" s="73" t="str">
        <f>IFERROR(__xludf.DUMMYFUNCTION("""COMPUTED_VALUE""")," NO CHARGE ")</f>
        <v>NO CHARGE</v>
      </c>
      <c r="V1201" s="2"/>
      <c r="W1201" s="2" t="str">
        <f>IFERROR(__xludf.DUMMYFUNCTION("""COMPUTED_VALUE"""),"N/A")</f>
        <v>N/A</v>
      </c>
      <c r="X1201" s="2" t="str">
        <f>IFERROR(__xludf.DUMMYFUNCTION("""COMPUTED_VALUE"""),"N/A")</f>
        <v>N/A</v>
      </c>
      <c r="Y1201" s="2"/>
      <c r="Z1201" s="2"/>
      <c r="AA1201" s="2"/>
      <c r="AB1201" s="2"/>
      <c r="AC1201" s="2"/>
      <c r="AD1201" s="2"/>
      <c r="AE1201" s="2"/>
      <c r="AF1201" s="2"/>
      <c r="AG1201" s="2"/>
      <c r="AH1201" s="2"/>
      <c r="AI1201" s="2"/>
      <c r="AJ1201" s="2" t="str">
        <f>IFERROR(__xludf.DUMMYFUNCTION("""COMPUTED_VALUE"""),"Laoag")</f>
        <v>Laoag</v>
      </c>
      <c r="AK1201" s="2" t="str">
        <f>IFERROR(__xludf.DUMMYFUNCTION("""COMPUTED_VALUE"""),"San Marcelino")</f>
        <v>San Marcelino</v>
      </c>
      <c r="AL1201" s="2" t="str">
        <f>IFERROR(__xludf.DUMMYFUNCTION("""COMPUTED_VALUE"""),"Zambales")</f>
        <v>Zambales</v>
      </c>
      <c r="AM1201" s="2">
        <f>IFERROR(__xludf.DUMMYFUNCTION("""COMPUTED_VALUE"""),3.0)</f>
        <v>3</v>
      </c>
      <c r="AN1201" s="2" t="str">
        <f>IFERROR(__xludf.DUMMYFUNCTION("""COMPUTED_VALUE"""),"RCEF 25-03-05")</f>
        <v>RCEF 25-03-05</v>
      </c>
      <c r="AO1201" s="2">
        <f>IFERROR(__xludf.DUMMYFUNCTION("""COMPUTED_VALUE"""),5.0)</f>
        <v>5</v>
      </c>
      <c r="AP1201" s="2" t="str">
        <f>IFERROR(__xludf.DUMMYFUNCTION("""COMPUTED_VALUE"""),"FREE PMS")</f>
        <v>FREE PMS</v>
      </c>
      <c r="AQ1201" s="2"/>
      <c r="AR1201" s="2"/>
      <c r="AS1201" s="2"/>
      <c r="AT1201" s="2"/>
      <c r="AU1201" s="2"/>
      <c r="AV1201" s="2"/>
      <c r="AW1201" s="2"/>
      <c r="AX1201" s="2"/>
      <c r="AY1201" s="2"/>
      <c r="AZ1201" s="2"/>
      <c r="BA1201" s="2"/>
      <c r="BB1201" s="2"/>
    </row>
    <row r="1202">
      <c r="A1202" s="2">
        <f>IFERROR(__xludf.DUMMYFUNCTION("""COMPUTED_VALUE"""),1198.0)</f>
        <v>1198</v>
      </c>
      <c r="B1202" s="2" t="str">
        <f>IFERROR(__xludf.DUMMYFUNCTION("""COMPUTED_VALUE"""),"COMPLETED")</f>
        <v>COMPLETED</v>
      </c>
      <c r="C1202" s="74">
        <f>IFERROR(__xludf.DUMMYFUNCTION("""COMPUTED_VALUE"""),45971.0)</f>
        <v>45971</v>
      </c>
      <c r="D1202" s="71" t="str">
        <f>IFERROR(__xludf.DUMMYFUNCTION("""COMPUTED_VALUE"""),"Zambales Agri-Farmers Entrepreneurship Association (ZAFEA) Inc.")</f>
        <v>Zambales Agri-Farmers Entrepreneurship Association (ZAFEA) Inc.</v>
      </c>
      <c r="E1202" s="71" t="str">
        <f>IFERROR(__xludf.DUMMYFUNCTION("""COMPUTED_VALUE"""),"San Isidro (Pob.), San Marcelino, ZAMBALES")</f>
        <v>San Isidro (Pob.), San Marcelino, ZAMBALES</v>
      </c>
      <c r="F1202" s="2" t="str">
        <f>IFERROR(__xludf.DUMMYFUNCTION("""COMPUTED_VALUE"""),"DANILO LABRADOR")</f>
        <v>DANILO LABRADOR</v>
      </c>
      <c r="G1202" s="2" t="str">
        <f>IFERROR(__xludf.DUMMYFUNCTION("""COMPUTED_VALUE"""),"9123080355  /  09364149508")</f>
        <v>9123080355  /  09364149508</v>
      </c>
      <c r="H1202" s="2" t="str">
        <f>IFERROR(__xludf.DUMMYFUNCTION("""COMPUTED_VALUE"""),"50+")</f>
        <v>50+</v>
      </c>
      <c r="I1202" s="72" t="str">
        <f>IFERROR(__xludf.DUMMYFUNCTION("""COMPUTED_VALUE"""),"PMS")</f>
        <v>PMS</v>
      </c>
      <c r="J1202" s="72"/>
      <c r="K1202" s="72" t="str">
        <f>IFERROR(__xludf.DUMMYFUNCTION("""COMPUTED_VALUE"""),"MYK: 1ST PMS (FREE)")</f>
        <v>MYK: 1ST PMS (FREE)</v>
      </c>
      <c r="L1202" s="72" t="str">
        <f>IFERROR(__xludf.DUMMYFUNCTION("""COMPUTED_VALUE"""),"JDP: 1ST PMS DONE")</f>
        <v>JDP: 1ST PMS DONE</v>
      </c>
      <c r="M1202" s="2"/>
      <c r="N1202" s="2" t="str">
        <f>IFERROR(__xludf.DUMMYFUNCTION("""COMPUTED_VALUE"""),"PARTS:
OIL FILTER
ENGINE OIL")</f>
        <v>PARTS:
OIL FILTER
ENGINE OIL</v>
      </c>
      <c r="O1202" s="2">
        <f>IFERROR(__xludf.DUMMYFUNCTION("""COMPUTED_VALUE"""),425.0)</f>
        <v>425</v>
      </c>
      <c r="P1202" s="2"/>
      <c r="Q1202" s="2" t="str">
        <f>IFERROR(__xludf.DUMMYFUNCTION("""COMPUTED_VALUE"""),"FOR PRINT")</f>
        <v>FOR PRINT</v>
      </c>
      <c r="R1202" s="74">
        <f>IFERROR(__xludf.DUMMYFUNCTION("""COMPUTED_VALUE"""),45979.0)</f>
        <v>45979</v>
      </c>
      <c r="S1202" s="2" t="str">
        <f>IFERROR(__xludf.DUMMYFUNCTION("""COMPUTED_VALUE"""),"EGT/JDP")</f>
        <v>EGT/JDP</v>
      </c>
      <c r="T1202" s="73" t="str">
        <f>IFERROR(__xludf.DUMMYFUNCTION("""COMPUTED_VALUE""")," N/A ")</f>
        <v>N/A</v>
      </c>
      <c r="U1202" s="73" t="str">
        <f>IFERROR(__xludf.DUMMYFUNCTION("""COMPUTED_VALUE""")," NO CHARGE ")</f>
        <v>NO CHARGE</v>
      </c>
      <c r="V1202" s="2"/>
      <c r="W1202" s="2" t="str">
        <f>IFERROR(__xludf.DUMMYFUNCTION("""COMPUTED_VALUE"""),"N/A")</f>
        <v>N/A</v>
      </c>
      <c r="X1202" s="2" t="str">
        <f>IFERROR(__xludf.DUMMYFUNCTION("""COMPUTED_VALUE"""),"N/A")</f>
        <v>N/A</v>
      </c>
      <c r="Y1202" s="2"/>
      <c r="Z1202" s="2"/>
      <c r="AA1202" s="2"/>
      <c r="AB1202" s="2"/>
      <c r="AC1202" s="2"/>
      <c r="AD1202" s="2"/>
      <c r="AE1202" s="2"/>
      <c r="AF1202" s="2"/>
      <c r="AG1202" s="2"/>
      <c r="AH1202" s="2"/>
      <c r="AI1202" s="2"/>
      <c r="AJ1202" s="2" t="str">
        <f>IFERROR(__xludf.DUMMYFUNCTION("""COMPUTED_VALUE"""),"San Isidro (Pob.)")</f>
        <v>San Isidro (Pob.)</v>
      </c>
      <c r="AK1202" s="2" t="str">
        <f>IFERROR(__xludf.DUMMYFUNCTION("""COMPUTED_VALUE"""),"San Marcelino")</f>
        <v>San Marcelino</v>
      </c>
      <c r="AL1202" s="2" t="str">
        <f>IFERROR(__xludf.DUMMYFUNCTION("""COMPUTED_VALUE"""),"Zambales")</f>
        <v>Zambales</v>
      </c>
      <c r="AM1202" s="2">
        <f>IFERROR(__xludf.DUMMYFUNCTION("""COMPUTED_VALUE"""),3.0)</f>
        <v>3</v>
      </c>
      <c r="AN1202" s="2" t="str">
        <f>IFERROR(__xludf.DUMMYFUNCTION("""COMPUTED_VALUE"""),"RCEF 25-03-05")</f>
        <v>RCEF 25-03-05</v>
      </c>
      <c r="AO1202" s="2">
        <f>IFERROR(__xludf.DUMMYFUNCTION("""COMPUTED_VALUE"""),5.0)</f>
        <v>5</v>
      </c>
      <c r="AP1202" s="2" t="str">
        <f>IFERROR(__xludf.DUMMYFUNCTION("""COMPUTED_VALUE"""),"FREE PMS")</f>
        <v>FREE PMS</v>
      </c>
      <c r="AQ1202" s="2"/>
      <c r="AR1202" s="2"/>
      <c r="AS1202" s="2"/>
      <c r="AT1202" s="2"/>
      <c r="AU1202" s="2"/>
      <c r="AV1202" s="2"/>
      <c r="AW1202" s="2"/>
      <c r="AX1202" s="2"/>
      <c r="AY1202" s="2"/>
      <c r="AZ1202" s="2"/>
      <c r="BA1202" s="2"/>
      <c r="BB1202" s="2"/>
    </row>
    <row r="1203">
      <c r="A1203" s="2">
        <f>IFERROR(__xludf.DUMMYFUNCTION("""COMPUTED_VALUE"""),1199.0)</f>
        <v>1199</v>
      </c>
      <c r="B1203" s="2" t="str">
        <f>IFERROR(__xludf.DUMMYFUNCTION("""COMPUTED_VALUE"""),"COMPLETED")</f>
        <v>COMPLETED</v>
      </c>
      <c r="C1203" s="74">
        <f>IFERROR(__xludf.DUMMYFUNCTION("""COMPUTED_VALUE"""),45971.0)</f>
        <v>45971</v>
      </c>
      <c r="D1203" s="71" t="str">
        <f>IFERROR(__xludf.DUMMYFUNCTION("""COMPUTED_VALUE"""),"Manoot Rizal Women's Farmers Association (MARWOFA) Inc.")</f>
        <v>Manoot Rizal Women's Farmers Association (MARWOFA) Inc.</v>
      </c>
      <c r="E1203" s="71" t="str">
        <f>IFERROR(__xludf.DUMMYFUNCTION("""COMPUTED_VALUE"""),"Manoot, Rizal, OCCIDENTAL MINDORO")</f>
        <v>Manoot, Rizal, OCCIDENTAL MINDORO</v>
      </c>
      <c r="F1203" s="2" t="str">
        <f>IFERROR(__xludf.DUMMYFUNCTION("""COMPUTED_VALUE"""),"Leolyn Cabuntocan")</f>
        <v>Leolyn Cabuntocan</v>
      </c>
      <c r="G1203" s="2">
        <f>IFERROR(__xludf.DUMMYFUNCTION("""COMPUTED_VALUE"""),9.064907397E9)</f>
        <v>9064907397</v>
      </c>
      <c r="H1203" s="2"/>
      <c r="I1203" s="72" t="str">
        <f>IFERROR(__xludf.DUMMYFUNCTION("""COMPUTED_VALUE"""),"PMS")</f>
        <v>PMS</v>
      </c>
      <c r="J1203" s="72"/>
      <c r="K1203" s="72" t="str">
        <f>IFERROR(__xludf.DUMMYFUNCTION("""COMPUTED_VALUE"""),"ECM: 1ST PMS (FREE)")</f>
        <v>ECM: 1ST PMS (FREE)</v>
      </c>
      <c r="L1203" s="72" t="str">
        <f>IFERROR(__xludf.DUMMYFUNCTION("""COMPUTED_VALUE"""),"RCG: 1ST PMS DONE")</f>
        <v>RCG: 1ST PMS DONE</v>
      </c>
      <c r="M1203" s="2"/>
      <c r="N1203" s="2" t="str">
        <f>IFERROR(__xludf.DUMMYFUNCTION("""COMPUTED_VALUE"""),"PARTS:
OIL FILTER
ENGINE OIL")</f>
        <v>PARTS:
OIL FILTER
ENGINE OIL</v>
      </c>
      <c r="O1203" s="2">
        <f>IFERROR(__xludf.DUMMYFUNCTION("""COMPUTED_VALUE"""),189.0)</f>
        <v>189</v>
      </c>
      <c r="P1203" s="2"/>
      <c r="Q1203" s="2" t="str">
        <f>IFERROR(__xludf.DUMMYFUNCTION("""COMPUTED_VALUE"""),"FOR PRINT")</f>
        <v>FOR PRINT</v>
      </c>
      <c r="R1203" s="74">
        <f>IFERROR(__xludf.DUMMYFUNCTION("""COMPUTED_VALUE"""),45985.0)</f>
        <v>45985</v>
      </c>
      <c r="S1203" s="2" t="str">
        <f>IFERROR(__xludf.DUMMYFUNCTION("""COMPUTED_VALUE"""),"RCG/RBS")</f>
        <v>RCG/RBS</v>
      </c>
      <c r="T1203" s="73" t="str">
        <f>IFERROR(__xludf.DUMMYFUNCTION("""COMPUTED_VALUE""")," N/A ")</f>
        <v>N/A</v>
      </c>
      <c r="U1203" s="73" t="str">
        <f>IFERROR(__xludf.DUMMYFUNCTION("""COMPUTED_VALUE""")," NO CHARGE ")</f>
        <v>NO CHARGE</v>
      </c>
      <c r="V1203" s="2"/>
      <c r="W1203" s="2" t="str">
        <f>IFERROR(__xludf.DUMMYFUNCTION("""COMPUTED_VALUE"""),"N/A")</f>
        <v>N/A</v>
      </c>
      <c r="X1203" s="2" t="str">
        <f>IFERROR(__xludf.DUMMYFUNCTION("""COMPUTED_VALUE"""),"N/A")</f>
        <v>N/A</v>
      </c>
      <c r="Y1203" s="2"/>
      <c r="Z1203" s="2"/>
      <c r="AA1203" s="2"/>
      <c r="AB1203" s="2"/>
      <c r="AC1203" s="2"/>
      <c r="AD1203" s="2"/>
      <c r="AE1203" s="2"/>
      <c r="AF1203" s="2"/>
      <c r="AG1203" s="2"/>
      <c r="AH1203" s="2"/>
      <c r="AI1203" s="2"/>
      <c r="AJ1203" s="2" t="str">
        <f>IFERROR(__xludf.DUMMYFUNCTION("""COMPUTED_VALUE"""),"Manoot")</f>
        <v>Manoot</v>
      </c>
      <c r="AK1203" s="2" t="str">
        <f>IFERROR(__xludf.DUMMYFUNCTION("""COMPUTED_VALUE"""),"Rizal")</f>
        <v>Rizal</v>
      </c>
      <c r="AL1203" s="2" t="str">
        <f>IFERROR(__xludf.DUMMYFUNCTION("""COMPUTED_VALUE"""),"Occidental Mindoro")</f>
        <v>Occidental Mindoro</v>
      </c>
      <c r="AM1203" s="2" t="str">
        <f>IFERROR(__xludf.DUMMYFUNCTION("""COMPUTED_VALUE"""),"4B")</f>
        <v>4B</v>
      </c>
      <c r="AN1203" s="2" t="str">
        <f>IFERROR(__xludf.DUMMYFUNCTION("""COMPUTED_VALUE"""),"RCEF 25-03-05")</f>
        <v>RCEF 25-03-05</v>
      </c>
      <c r="AO1203" s="2">
        <f>IFERROR(__xludf.DUMMYFUNCTION("""COMPUTED_VALUE"""),6.0)</f>
        <v>6</v>
      </c>
      <c r="AP1203" s="2" t="str">
        <f>IFERROR(__xludf.DUMMYFUNCTION("""COMPUTED_VALUE"""),"FREE PMS")</f>
        <v>FREE PMS</v>
      </c>
      <c r="AQ1203" s="2"/>
      <c r="AR1203" s="2"/>
      <c r="AS1203" s="2"/>
      <c r="AT1203" s="2"/>
      <c r="AU1203" s="2"/>
      <c r="AV1203" s="2"/>
      <c r="AW1203" s="2"/>
      <c r="AX1203" s="2"/>
      <c r="AY1203" s="2"/>
      <c r="AZ1203" s="2"/>
      <c r="BA1203" s="2"/>
      <c r="BB1203" s="2"/>
    </row>
    <row r="1204">
      <c r="A1204" s="2">
        <f>IFERROR(__xludf.DUMMYFUNCTION("""COMPUTED_VALUE"""),1200.0)</f>
        <v>1200</v>
      </c>
      <c r="B1204" s="2" t="str">
        <f>IFERROR(__xludf.DUMMYFUNCTION("""COMPUTED_VALUE"""),"COMPLETED")</f>
        <v>COMPLETED</v>
      </c>
      <c r="C1204" s="74">
        <f>IFERROR(__xludf.DUMMYFUNCTION("""COMPUTED_VALUE"""),45972.0)</f>
        <v>45972</v>
      </c>
      <c r="D1204" s="71" t="str">
        <f>IFERROR(__xludf.DUMMYFUNCTION("""COMPUTED_VALUE"""),"Aluminit-Santor Farmers Irrigators Association Inc. (ASFIA)")</f>
        <v>Aluminit-Santor Farmers Irrigators Association Inc. (ASFIA)</v>
      </c>
      <c r="E1204" s="71" t="str">
        <f>IFERROR(__xludf.DUMMYFUNCTION("""COMPUTED_VALUE"""),"Santor, Rizal (Liwan), KALINGA")</f>
        <v>Santor, Rizal (Liwan), KALINGA</v>
      </c>
      <c r="F1204" s="2"/>
      <c r="G1204" s="2">
        <f>IFERROR(__xludf.DUMMYFUNCTION("""COMPUTED_VALUE"""),9.358413516E9)</f>
        <v>9358413516</v>
      </c>
      <c r="H1204" s="2" t="str">
        <f>IFERROR(__xludf.DUMMYFUNCTION("""COMPUTED_VALUE"""),"200+")</f>
        <v>200+</v>
      </c>
      <c r="I1204" s="72" t="str">
        <f>IFERROR(__xludf.DUMMYFUNCTION("""COMPUTED_VALUE"""),"REPAIR - TRACTOR")</f>
        <v>REPAIR - TRACTOR</v>
      </c>
      <c r="J1204" s="72" t="str">
        <f>IFERROR(__xludf.DUMMYFUNCTION("""COMPUTED_VALUE"""),"PMS/Brake Problem")</f>
        <v>PMS/Brake Problem</v>
      </c>
      <c r="K1204" s="72" t="str">
        <f>IFERROR(__xludf.DUMMYFUNCTION("""COMPUTED_VALUE"""),"MYK: 2ND PMS + BRAKE PROBLEM ")</f>
        <v>MYK: 2ND PMS + BRAKE PROBLEM </v>
      </c>
      <c r="L1204" s="72" t="str">
        <f>IFERROR(__xludf.DUMMYFUNCTION("""COMPUTED_VALUE"""),"CFG: pinuntahan ko po ito at check up po preno ng TYM po nila oky nmn po pinaadjust ko lng po sa kanila ung cable ng preno po ng unit nila. oky na po.
Nakapag change oil na po sila sa unit nila matagal na dw po. bumili nlng po sila ng Hydrualic filter po"&amp;" skin.  PMS DONE")</f>
        <v>CFG: pinuntahan ko po ito at check up po preno ng TYM po nila oky nmn po pinaadjust ko lng po sa kanila ung cable ng preno po ng unit nila. oky na po.
Nakapag change oil na po sila sa unit nila matagal na dw po. bumili nlng po sila ng Hydrualic filter po skin.  PMS DONE</v>
      </c>
      <c r="M1204" s="2"/>
      <c r="N1204" s="2" t="str">
        <f>IFERROR(__xludf.DUMMYFUNCTION("""COMPUTED_VALUE"""),"PARTS:
HYDRAULIC FILTER")</f>
        <v>PARTS:
HYDRAULIC FILTER</v>
      </c>
      <c r="O1204" s="2">
        <f>IFERROR(__xludf.DUMMYFUNCTION("""COMPUTED_VALUE"""),758.0)</f>
        <v>758</v>
      </c>
      <c r="P1204" s="2" t="str">
        <f>IFERROR(__xludf.DUMMYFUNCTION("""COMPUTED_VALUE"""),"0758 - Aluminit-Santor Farmers Irrigators Association Inc. (ASFIA).pdf")</f>
        <v>0758 - Aluminit-Santor Farmers Irrigators Association Inc. (ASFIA).pdf</v>
      </c>
      <c r="Q1204" s="2" t="str">
        <f>IFERROR(__xludf.DUMMYFUNCTION("""COMPUTED_VALUE"""),"FOR PRINT")</f>
        <v>FOR PRINT</v>
      </c>
      <c r="R1204" s="74">
        <f>IFERROR(__xludf.DUMMYFUNCTION("""COMPUTED_VALUE"""),46104.0)</f>
        <v>46104</v>
      </c>
      <c r="S1204" s="2" t="str">
        <f>IFERROR(__xludf.DUMMYFUNCTION("""COMPUTED_VALUE"""),"CFG")</f>
        <v>CFG</v>
      </c>
      <c r="T1204" s="73">
        <f>IFERROR(__xludf.DUMMYFUNCTION("""COMPUTED_VALUE"""),2850.0)</f>
        <v>2850</v>
      </c>
      <c r="U1204" s="73" t="str">
        <f>IFERROR(__xludf.DUMMYFUNCTION("""COMPUTED_VALUE""")," REMITTED ")</f>
        <v>REMITTED</v>
      </c>
      <c r="V1204" s="2">
        <f>IFERROR(__xludf.DUMMYFUNCTION("""COMPUTED_VALUE"""),1657.0)</f>
        <v>1657</v>
      </c>
      <c r="W1204" s="2">
        <f>IFERROR(__xludf.DUMMYFUNCTION("""COMPUTED_VALUE"""),1770.0)</f>
        <v>1770</v>
      </c>
      <c r="X1204" s="2">
        <f>IFERROR(__xludf.DUMMYFUNCTION("""COMPUTED_VALUE"""),1784.0)</f>
        <v>1784</v>
      </c>
      <c r="Y1204" s="2"/>
      <c r="Z1204" s="2"/>
      <c r="AA1204" s="2"/>
      <c r="AB1204" s="2"/>
      <c r="AC1204" s="2"/>
      <c r="AD1204" s="2"/>
      <c r="AE1204" s="2"/>
      <c r="AF1204" s="2"/>
      <c r="AG1204" s="2"/>
      <c r="AH1204" s="2"/>
      <c r="AI1204" s="2"/>
      <c r="AJ1204" s="2" t="str">
        <f>IFERROR(__xludf.DUMMYFUNCTION("""COMPUTED_VALUE"""),"Santor")</f>
        <v>Santor</v>
      </c>
      <c r="AK1204" s="2" t="str">
        <f>IFERROR(__xludf.DUMMYFUNCTION("""COMPUTED_VALUE"""),"Rizal (Liwan)")</f>
        <v>Rizal (Liwan)</v>
      </c>
      <c r="AL1204" s="2" t="str">
        <f>IFERROR(__xludf.DUMMYFUNCTION("""COMPUTED_VALUE"""),"Kalinga")</f>
        <v>Kalinga</v>
      </c>
      <c r="AM1204" s="2" t="str">
        <f>IFERROR(__xludf.DUMMYFUNCTION("""COMPUTED_VALUE"""),"CAR")</f>
        <v>CAR</v>
      </c>
      <c r="AN1204" s="2" t="str">
        <f>IFERROR(__xludf.DUMMYFUNCTION("""COMPUTED_VALUE"""),"RCEF 24-04-15")</f>
        <v>RCEF 24-04-15</v>
      </c>
      <c r="AO1204" s="2">
        <f>IFERROR(__xludf.DUMMYFUNCTION("""COMPUTED_VALUE"""),6.0)</f>
        <v>6</v>
      </c>
      <c r="AP1204" s="2" t="str">
        <f>IFERROR(__xludf.DUMMYFUNCTION("""COMPUTED_VALUE"""),"FREE PMS")</f>
        <v>FREE PMS</v>
      </c>
      <c r="AQ1204" s="2"/>
      <c r="AR1204" s="2"/>
      <c r="AS1204" s="2"/>
      <c r="AT1204" s="2"/>
      <c r="AU1204" s="2"/>
      <c r="AV1204" s="2"/>
      <c r="AW1204" s="2"/>
      <c r="AX1204" s="2"/>
      <c r="AY1204" s="2"/>
      <c r="AZ1204" s="2"/>
      <c r="BA1204" s="2"/>
      <c r="BB1204" s="2"/>
    </row>
    <row r="1205">
      <c r="A1205" s="2">
        <f>IFERROR(__xludf.DUMMYFUNCTION("""COMPUTED_VALUE"""),1201.0)</f>
        <v>1201</v>
      </c>
      <c r="B1205" s="2" t="str">
        <f>IFERROR(__xludf.DUMMYFUNCTION("""COMPUTED_VALUE"""),"COMPLETED")</f>
        <v>COMPLETED</v>
      </c>
      <c r="C1205" s="74">
        <f>IFERROR(__xludf.DUMMYFUNCTION("""COMPUTED_VALUE"""),45972.0)</f>
        <v>45972</v>
      </c>
      <c r="D1205" s="71" t="str">
        <f>IFERROR(__xludf.DUMMYFUNCTION("""COMPUTED_VALUE"""),"UGNAYAN NG MAGSASAKA FARMERS ASSOCIATION")</f>
        <v>UGNAYAN NG MAGSASAKA FARMERS ASSOCIATION</v>
      </c>
      <c r="E1205" s="71" t="str">
        <f>IFERROR(__xludf.DUMMYFUNCTION("""COMPUTED_VALUE"""),"Lusacan, Tiaong, QUEZON")</f>
        <v>Lusacan, Tiaong, QUEZON</v>
      </c>
      <c r="F1205" s="2" t="str">
        <f>IFERROR(__xludf.DUMMYFUNCTION("""COMPUTED_VALUE"""),"Benito E. Mitra")</f>
        <v>Benito E. Mitra</v>
      </c>
      <c r="G1205" s="2" t="str">
        <f>IFERROR(__xludf.DUMMYFUNCTION("""COMPUTED_VALUE"""),"0921 468 0930")</f>
        <v>0921 468 0930</v>
      </c>
      <c r="H1205" s="2"/>
      <c r="I1205" s="72" t="str">
        <f>IFERROR(__xludf.DUMMYFUNCTION("""COMPUTED_VALUE"""),"REPAIR - TRACTOR")</f>
        <v>REPAIR - TRACTOR</v>
      </c>
      <c r="J1205" s="72" t="str">
        <f>IFERROR(__xludf.DUMMYFUNCTION("""COMPUTED_VALUE"""),"Inspection")</f>
        <v>Inspection</v>
      </c>
      <c r="K1205" s="72" t="str">
        <f>IFERROR(__xludf.DUMMYFUNCTION("""COMPUTED_VALUE"""),"JTT: AYAW MAG START")</f>
        <v>JTT: AYAW MAG START</v>
      </c>
      <c r="L1205" s="72" t="str">
        <f>IFERROR(__xludf.DUMMYFUNCTION("""COMPUTED_VALUE"""),"JTT: LOCK OF ROTAVATOR ADJUSTMENT")</f>
        <v>JTT: LOCK OF ROTAVATOR ADJUSTMENT</v>
      </c>
      <c r="M1205" s="2"/>
      <c r="N1205" s="2"/>
      <c r="O1205" s="2">
        <f>IFERROR(__xludf.DUMMYFUNCTION("""COMPUTED_VALUE"""),376.0)</f>
        <v>376</v>
      </c>
      <c r="P1205" s="2"/>
      <c r="Q1205" s="2" t="str">
        <f>IFERROR(__xludf.DUMMYFUNCTION("""COMPUTED_VALUE"""),"FOR PRINT")</f>
        <v>FOR PRINT</v>
      </c>
      <c r="R1205" s="74">
        <f>IFERROR(__xludf.DUMMYFUNCTION("""COMPUTED_VALUE"""),45972.0)</f>
        <v>45972</v>
      </c>
      <c r="S1205" s="2" t="str">
        <f>IFERROR(__xludf.DUMMYFUNCTION("""COMPUTED_VALUE"""),"JTT/JIE")</f>
        <v>JTT/JIE</v>
      </c>
      <c r="T1205" s="73" t="str">
        <f>IFERROR(__xludf.DUMMYFUNCTION("""COMPUTED_VALUE""")," N/A ")</f>
        <v>N/A</v>
      </c>
      <c r="U1205" s="73" t="str">
        <f>IFERROR(__xludf.DUMMYFUNCTION("""COMPUTED_VALUE""")," NO CHARGE ")</f>
        <v>NO CHARGE</v>
      </c>
      <c r="V1205" s="2"/>
      <c r="W1205" s="2" t="str">
        <f>IFERROR(__xludf.DUMMYFUNCTION("""COMPUTED_VALUE"""),"N/A")</f>
        <v>N/A</v>
      </c>
      <c r="X1205" s="2" t="str">
        <f>IFERROR(__xludf.DUMMYFUNCTION("""COMPUTED_VALUE"""),"N/A")</f>
        <v>N/A</v>
      </c>
      <c r="Y1205" s="2"/>
      <c r="Z1205" s="2"/>
      <c r="AA1205" s="2"/>
      <c r="AB1205" s="2"/>
      <c r="AC1205" s="2"/>
      <c r="AD1205" s="2"/>
      <c r="AE1205" s="2"/>
      <c r="AF1205" s="2"/>
      <c r="AG1205" s="2"/>
      <c r="AH1205" s="2"/>
      <c r="AI1205" s="2"/>
      <c r="AJ1205" s="2" t="str">
        <f>IFERROR(__xludf.DUMMYFUNCTION("""COMPUTED_VALUE"""),"Lusacan")</f>
        <v>Lusacan</v>
      </c>
      <c r="AK1205" s="2" t="str">
        <f>IFERROR(__xludf.DUMMYFUNCTION("""COMPUTED_VALUE"""),"Tiaong")</f>
        <v>Tiaong</v>
      </c>
      <c r="AL1205" s="2" t="str">
        <f>IFERROR(__xludf.DUMMYFUNCTION("""COMPUTED_VALUE"""),"Quezon")</f>
        <v>Quezon</v>
      </c>
      <c r="AM1205" s="2" t="str">
        <f>IFERROR(__xludf.DUMMYFUNCTION("""COMPUTED_VALUE"""),"4A")</f>
        <v>4A</v>
      </c>
      <c r="AN1205" s="2" t="str">
        <f>IFERROR(__xludf.DUMMYFUNCTION("""COMPUTED_VALUE"""),"Repeat Order")</f>
        <v>Repeat Order</v>
      </c>
      <c r="AO1205" s="2">
        <f>IFERROR(__xludf.DUMMYFUNCTION("""COMPUTED_VALUE"""),7.0)</f>
        <v>7</v>
      </c>
      <c r="AP1205" s="2" t="str">
        <f>IFERROR(__xludf.DUMMYFUNCTION("""COMPUTED_VALUE"""),"FREE PMS")</f>
        <v>FREE PMS</v>
      </c>
      <c r="AQ1205" s="2"/>
      <c r="AR1205" s="2"/>
      <c r="AS1205" s="2"/>
      <c r="AT1205" s="2"/>
      <c r="AU1205" s="2"/>
      <c r="AV1205" s="2"/>
      <c r="AW1205" s="2"/>
      <c r="AX1205" s="2"/>
      <c r="AY1205" s="2"/>
      <c r="AZ1205" s="2"/>
      <c r="BA1205" s="2"/>
      <c r="BB1205" s="2"/>
    </row>
    <row r="1206">
      <c r="A1206" s="2">
        <f>IFERROR(__xludf.DUMMYFUNCTION("""COMPUTED_VALUE"""),1202.0)</f>
        <v>1202</v>
      </c>
      <c r="B1206" s="2" t="str">
        <f>IFERROR(__xludf.DUMMYFUNCTION("""COMPUTED_VALUE"""),"COMPLETED")</f>
        <v>COMPLETED</v>
      </c>
      <c r="C1206" s="74">
        <f>IFERROR(__xludf.DUMMYFUNCTION("""COMPUTED_VALUE"""),45973.0)</f>
        <v>45973</v>
      </c>
      <c r="D1206" s="71" t="str">
        <f>IFERROR(__xludf.DUMMYFUNCTION("""COMPUTED_VALUE"""),"ILOG BALIWAG-SAN MIGUEL FARMERS ASSOCIATION (ISFA)")</f>
        <v>ILOG BALIWAG-SAN MIGUEL FARMERS ASSOCIATION (ISFA)</v>
      </c>
      <c r="E1206" s="71" t="str">
        <f>IFERROR(__xludf.DUMMYFUNCTION("""COMPUTED_VALUE"""),"Ilog Baliwag, Quezon, NUEVA ECIJA")</f>
        <v>Ilog Baliwag, Quezon, NUEVA ECIJA</v>
      </c>
      <c r="F1206" s="2" t="str">
        <f>IFERROR(__xludf.DUMMYFUNCTION("""COMPUTED_VALUE"""),"Bernie A. Melendez")</f>
        <v>Bernie A. Melendez</v>
      </c>
      <c r="G1206" s="2" t="str">
        <f>IFERROR(__xludf.DUMMYFUNCTION("""COMPUTED_VALUE"""),"0927-518-0179")</f>
        <v>0927-518-0179</v>
      </c>
      <c r="H1206" s="2"/>
      <c r="I1206" s="72" t="str">
        <f>IFERROR(__xludf.DUMMYFUNCTION("""COMPUTED_VALUE"""),"REPAIR - TRACTOR")</f>
        <v>REPAIR - TRACTOR</v>
      </c>
      <c r="J1206" s="72" t="str">
        <f>IFERROR(__xludf.DUMMYFUNCTION("""COMPUTED_VALUE"""),"PTO VALVE")</f>
        <v>PTO VALVE</v>
      </c>
      <c r="K1206" s="72" t="str">
        <f>IFERROR(__xludf.DUMMYFUNCTION("""COMPUTED_VALUE"""),"CTF: Nagpapa Schedule po ng Check up at may napansin ang operator na humihinto ang rotavator during operation.")</f>
        <v>CTF: Nagpapa Schedule po ng Check up at may napansin ang operator na humihinto ang rotavator during operation.</v>
      </c>
      <c r="L1206" s="72" t="str">
        <f>IFERROR(__xludf.DUMMYFUNCTION("""COMPUTED_VALUE"""),"CFG: ADJUSTMENT TO PTO VALVE AND CHANGE HYRAULIC AND ENGINE OIL , PMS DONE")</f>
        <v>CFG: ADJUSTMENT TO PTO VALVE AND CHANGE HYRAULIC AND ENGINE OIL , PMS DONE</v>
      </c>
      <c r="M1206" s="2"/>
      <c r="N1206" s="2" t="str">
        <f>IFERROR(__xludf.DUMMYFUNCTION("""COMPUTED_VALUE"""),"PARTS:
HYDRAULIC FILTER
ENGINE OIL FILTER")</f>
        <v>PARTS:
HYDRAULIC FILTER
ENGINE OIL FILTER</v>
      </c>
      <c r="O1206" s="2">
        <f>IFERROR(__xludf.DUMMYFUNCTION("""COMPUTED_VALUE"""),1195.0)</f>
        <v>1195</v>
      </c>
      <c r="P1206" s="2"/>
      <c r="Q1206" s="2" t="str">
        <f>IFERROR(__xludf.DUMMYFUNCTION("""COMPUTED_VALUE"""),"FOR PRINT")</f>
        <v>FOR PRINT</v>
      </c>
      <c r="R1206" s="74">
        <f>IFERROR(__xludf.DUMMYFUNCTION("""COMPUTED_VALUE"""),45979.0)</f>
        <v>45979</v>
      </c>
      <c r="S1206" s="2" t="str">
        <f>IFERROR(__xludf.DUMMYFUNCTION("""COMPUTED_VALUE"""),"CFG")</f>
        <v>CFG</v>
      </c>
      <c r="T1206" s="73" t="str">
        <f>IFERROR(__xludf.DUMMYFUNCTION("""COMPUTED_VALUE""")," N/A ")</f>
        <v>N/A</v>
      </c>
      <c r="U1206" s="73" t="str">
        <f>IFERROR(__xludf.DUMMYFUNCTION("""COMPUTED_VALUE""")," NO CHARGE ")</f>
        <v>NO CHARGE</v>
      </c>
      <c r="V1206" s="2"/>
      <c r="W1206" s="2" t="str">
        <f>IFERROR(__xludf.DUMMYFUNCTION("""COMPUTED_VALUE"""),"N/A")</f>
        <v>N/A</v>
      </c>
      <c r="X1206" s="2" t="str">
        <f>IFERROR(__xludf.DUMMYFUNCTION("""COMPUTED_VALUE"""),"N/A")</f>
        <v>N/A</v>
      </c>
      <c r="Y1206" s="2"/>
      <c r="Z1206" s="2"/>
      <c r="AA1206" s="2"/>
      <c r="AB1206" s="2"/>
      <c r="AC1206" s="2"/>
      <c r="AD1206" s="2"/>
      <c r="AE1206" s="2"/>
      <c r="AF1206" s="2"/>
      <c r="AG1206" s="2"/>
      <c r="AH1206" s="2"/>
      <c r="AI1206" s="2"/>
      <c r="AJ1206" s="2" t="str">
        <f>IFERROR(__xludf.DUMMYFUNCTION("""COMPUTED_VALUE"""),"Ilog Baliwag")</f>
        <v>Ilog Baliwag</v>
      </c>
      <c r="AK1206" s="2" t="str">
        <f>IFERROR(__xludf.DUMMYFUNCTION("""COMPUTED_VALUE"""),"Quezon")</f>
        <v>Quezon</v>
      </c>
      <c r="AL1206" s="2" t="str">
        <f>IFERROR(__xludf.DUMMYFUNCTION("""COMPUTED_VALUE"""),"Nueva Ecija")</f>
        <v>Nueva Ecija</v>
      </c>
      <c r="AM1206" s="2">
        <f>IFERROR(__xludf.DUMMYFUNCTION("""COMPUTED_VALUE"""),3.0)</f>
        <v>3</v>
      </c>
      <c r="AN1206" s="2" t="str">
        <f>IFERROR(__xludf.DUMMYFUNCTION("""COMPUTED_VALUE"""),"RCEF 24-04-15")</f>
        <v>RCEF 24-04-15</v>
      </c>
      <c r="AO1206" s="2">
        <f>IFERROR(__xludf.DUMMYFUNCTION("""COMPUTED_VALUE"""),6.0)</f>
        <v>6</v>
      </c>
      <c r="AP1206" s="2" t="str">
        <f>IFERROR(__xludf.DUMMYFUNCTION("""COMPUTED_VALUE"""),"FREE PMS")</f>
        <v>FREE PMS</v>
      </c>
      <c r="AQ1206" s="2"/>
      <c r="AR1206" s="2"/>
      <c r="AS1206" s="2"/>
      <c r="AT1206" s="2"/>
      <c r="AU1206" s="2"/>
      <c r="AV1206" s="2"/>
      <c r="AW1206" s="2"/>
      <c r="AX1206" s="2"/>
      <c r="AY1206" s="2"/>
      <c r="AZ1206" s="2"/>
      <c r="BA1206" s="2"/>
      <c r="BB1206" s="2"/>
    </row>
    <row r="1207">
      <c r="A1207" s="2">
        <f>IFERROR(__xludf.DUMMYFUNCTION("""COMPUTED_VALUE"""),1203.0)</f>
        <v>1203</v>
      </c>
      <c r="B1207" s="2" t="str">
        <f>IFERROR(__xludf.DUMMYFUNCTION("""COMPUTED_VALUE"""),"COMPLETED")</f>
        <v>COMPLETED</v>
      </c>
      <c r="C1207" s="74">
        <f>IFERROR(__xludf.DUMMYFUNCTION("""COMPUTED_VALUE"""),45973.0)</f>
        <v>45973</v>
      </c>
      <c r="D1207" s="71" t="str">
        <f>IFERROR(__xludf.DUMMYFUNCTION("""COMPUTED_VALUE"""),"Free Farmers Multi Purpose Cooperative")</f>
        <v>Free Farmers Multi Purpose Cooperative</v>
      </c>
      <c r="E1207" s="71" t="str">
        <f>IFERROR(__xludf.DUMMYFUNCTION("""COMPUTED_VALUE"""),"SAYAGADEN, CABUGAO, ILOCOS SUR")</f>
        <v>SAYAGADEN, CABUGAO, ILOCOS SUR</v>
      </c>
      <c r="F1207" s="2" t="str">
        <f>IFERROR(__xludf.DUMMYFUNCTION("""COMPUTED_VALUE"""),"Zosimo Sayaboc")</f>
        <v>Zosimo Sayaboc</v>
      </c>
      <c r="G1207" s="2">
        <f>IFERROR(__xludf.DUMMYFUNCTION("""COMPUTED_VALUE"""),9.266039607E9)</f>
        <v>9266039607</v>
      </c>
      <c r="H1207" s="2"/>
      <c r="I1207" s="72" t="str">
        <f>IFERROR(__xludf.DUMMYFUNCTION("""COMPUTED_VALUE"""),"SPARE PARTS ACQUISITION")</f>
        <v>SPARE PARTS ACQUISITION</v>
      </c>
      <c r="J1207" s="72" t="str">
        <f>IFERROR(__xludf.DUMMYFUNCTION("""COMPUTED_VALUE"""),"PARTS REQUEST")</f>
        <v>PARTS REQUEST</v>
      </c>
      <c r="K1207" s="72" t="str">
        <f>IFERROR(__xludf.DUMMYFUNCTION("""COMPUTED_VALUE"""),"2 fuel filter 
2 oil filter
2 hydraulic filter")</f>
        <v>2 fuel filter 
2 oil filter
2 hydraulic filter</v>
      </c>
      <c r="L1207" s="72" t="str">
        <f>IFERROR(__xludf.DUMMYFUNCTION("""COMPUTED_VALUE"""),"QUOTATION SENT: PAID: FOR SHIPPING:")</f>
        <v>QUOTATION SENT: PAID: FOR SHIPPING:</v>
      </c>
      <c r="M1207" s="2"/>
      <c r="N1207" s="2" t="str">
        <f>IFERROR(__xludf.DUMMYFUNCTION("""COMPUTED_VALUE"""),"PARTS:
2 fuel filter 
2 oil filter
2 hydraulic filter")</f>
        <v>PARTS:
2 fuel filter 
2 oil filter
2 hydraulic filter</v>
      </c>
      <c r="O1207" s="2" t="str">
        <f>IFERROR(__xludf.DUMMYFUNCTION("""COMPUTED_VALUE"""),"N/A")</f>
        <v>N/A</v>
      </c>
      <c r="P1207" s="2"/>
      <c r="Q1207" s="2"/>
      <c r="R1207" s="74">
        <f>IFERROR(__xludf.DUMMYFUNCTION("""COMPUTED_VALUE"""),45974.0)</f>
        <v>45974</v>
      </c>
      <c r="S1207" s="2" t="str">
        <f>IFERROR(__xludf.DUMMYFUNCTION("""COMPUTED_VALUE"""),"MYKEE/CTF")</f>
        <v>MYKEE/CTF</v>
      </c>
      <c r="T1207" s="73">
        <f>IFERROR(__xludf.DUMMYFUNCTION("""COMPUTED_VALUE"""),21560.0)</f>
        <v>21560</v>
      </c>
      <c r="U1207" s="73" t="str">
        <f>IFERROR(__xludf.DUMMYFUNCTION("""COMPUTED_VALUE""")," REMITTED ")</f>
        <v>REMITTED</v>
      </c>
      <c r="V1207" s="2"/>
      <c r="W1207" s="2">
        <f>IFERROR(__xludf.DUMMYFUNCTION("""COMPUTED_VALUE"""),1728.0)</f>
        <v>1728</v>
      </c>
      <c r="X1207" s="2">
        <f>IFERROR(__xludf.DUMMYFUNCTION("""COMPUTED_VALUE"""),1603.0)</f>
        <v>1603</v>
      </c>
      <c r="Y1207" s="2"/>
      <c r="Z1207" s="2"/>
      <c r="AA1207" s="2"/>
      <c r="AB1207" s="2"/>
      <c r="AC1207" s="2"/>
      <c r="AD1207" s="2"/>
      <c r="AE1207" s="2"/>
      <c r="AF1207" s="2"/>
      <c r="AG1207" s="2"/>
      <c r="AH1207" s="2"/>
      <c r="AI1207" s="2"/>
      <c r="AJ1207" s="2" t="str">
        <f>IFERROR(__xludf.DUMMYFUNCTION("""COMPUTED_VALUE"""),"Sayagaden")</f>
        <v>Sayagaden</v>
      </c>
      <c r="AK1207" s="2" t="str">
        <f>IFERROR(__xludf.DUMMYFUNCTION("""COMPUTED_VALUE"""),"Cabugao")</f>
        <v>Cabugao</v>
      </c>
      <c r="AL1207" s="2" t="str">
        <f>IFERROR(__xludf.DUMMYFUNCTION("""COMPUTED_VALUE"""),"Ilocos Sur")</f>
        <v>Ilocos Sur</v>
      </c>
      <c r="AM1207" s="2">
        <f>IFERROR(__xludf.DUMMYFUNCTION("""COMPUTED_VALUE"""),1.0)</f>
        <v>1</v>
      </c>
      <c r="AN1207" s="2" t="str">
        <f>IFERROR(__xludf.DUMMYFUNCTION("""COMPUTED_VALUE"""),"RCEF 23-09-21 Rebidding")</f>
        <v>RCEF 23-09-21 Rebidding</v>
      </c>
      <c r="AO1207" s="2">
        <f>IFERROR(__xludf.DUMMYFUNCTION("""COMPUTED_VALUE"""),2.0)</f>
        <v>2</v>
      </c>
      <c r="AP1207" s="2"/>
      <c r="AQ1207" s="2"/>
      <c r="AR1207" s="2"/>
      <c r="AS1207" s="2"/>
      <c r="AT1207" s="2"/>
      <c r="AU1207" s="2"/>
      <c r="AV1207" s="2"/>
      <c r="AW1207" s="2"/>
      <c r="AX1207" s="2"/>
      <c r="AY1207" s="2"/>
      <c r="AZ1207" s="2"/>
      <c r="BA1207" s="2"/>
      <c r="BB1207" s="2"/>
    </row>
    <row r="1208">
      <c r="A1208" s="2">
        <f>IFERROR(__xludf.DUMMYFUNCTION("""COMPUTED_VALUE"""),1204.0)</f>
        <v>1204</v>
      </c>
      <c r="B1208" s="2" t="str">
        <f>IFERROR(__xludf.DUMMYFUNCTION("""COMPUTED_VALUE"""),"COMPLETED")</f>
        <v>COMPLETED</v>
      </c>
      <c r="C1208" s="74">
        <f>IFERROR(__xludf.DUMMYFUNCTION("""COMPUTED_VALUE"""),45973.0)</f>
        <v>45973</v>
      </c>
      <c r="D1208" s="71" t="str">
        <f>IFERROR(__xludf.DUMMYFUNCTION("""COMPUTED_VALUE"""),"BAYANAN I FARMERS ASSOCIATION")</f>
        <v>BAYANAN I FARMERS ASSOCIATION</v>
      </c>
      <c r="E1208" s="71" t="str">
        <f>IFERROR(__xludf.DUMMYFUNCTION("""COMPUTED_VALUE"""),"Bayanan I, Calapan City, ORIENTAL MINDORO")</f>
        <v>Bayanan I, Calapan City, ORIENTAL MINDORO</v>
      </c>
      <c r="F1208" s="2" t="str">
        <f>IFERROR(__xludf.DUMMYFUNCTION("""COMPUTED_VALUE"""),"DANILO GRANIL")</f>
        <v>DANILO GRANIL</v>
      </c>
      <c r="G1208" s="2" t="str">
        <f>IFERROR(__xludf.DUMMYFUNCTION("""COMPUTED_VALUE"""),"09101334123/09460876310")</f>
        <v>09101334123/09460876310</v>
      </c>
      <c r="H1208" s="2">
        <f>IFERROR(__xludf.DUMMYFUNCTION("""COMPUTED_VALUE"""),280.0)</f>
        <v>280</v>
      </c>
      <c r="I1208" s="72" t="str">
        <f>IFERROR(__xludf.DUMMYFUNCTION("""COMPUTED_VALUE"""),"SPARE PARTS ACQUISITION")</f>
        <v>SPARE PARTS ACQUISITION</v>
      </c>
      <c r="J1208" s="72" t="str">
        <f>IFERROR(__xludf.DUMMYFUNCTION("""COMPUTED_VALUE"""),"PARTS REQUEST")</f>
        <v>PARTS REQUEST</v>
      </c>
      <c r="K1208" s="72" t="str">
        <f>IFERROR(__xludf.DUMMYFUNCTION("""COMPUTED_VALUE"""),"1- HYDRAULIC OIL FILTER
1- OIL FILTER")</f>
        <v>1- HYDRAULIC OIL FILTER
1- OIL FILTER</v>
      </c>
      <c r="L1208" s="72" t="str">
        <f>IFERROR(__xludf.DUMMYFUNCTION("""COMPUTED_VALUE"""),"QUOTAION SENT: PAID VIA GCASH TO LTC ACCT:  WILL DELIVER BY RBS AND FPJ")</f>
        <v>QUOTAION SENT: PAID VIA GCASH TO LTC ACCT:  WILL DELIVER BY RBS AND FPJ</v>
      </c>
      <c r="M1208" s="2"/>
      <c r="N1208" s="2" t="str">
        <f>IFERROR(__xludf.DUMMYFUNCTION("""COMPUTED_VALUE"""),"PARTS:
HYDRAULIC FILTER
OIL FILTER")</f>
        <v>PARTS:
HYDRAULIC FILTER
OIL FILTER</v>
      </c>
      <c r="O1208" s="2" t="str">
        <f>IFERROR(__xludf.DUMMYFUNCTION("""COMPUTED_VALUE"""),"N/A")</f>
        <v>N/A</v>
      </c>
      <c r="P1208" s="2"/>
      <c r="Q1208" s="2"/>
      <c r="R1208" s="74">
        <f>IFERROR(__xludf.DUMMYFUNCTION("""COMPUTED_VALUE"""),45992.0)</f>
        <v>45992</v>
      </c>
      <c r="S1208" s="2" t="str">
        <f>IFERROR(__xludf.DUMMYFUNCTION("""COMPUTED_VALUE"""),"RBS/FPJ")</f>
        <v>RBS/FPJ</v>
      </c>
      <c r="T1208" s="2"/>
      <c r="U1208" s="73" t="str">
        <f>IFERROR(__xludf.DUMMYFUNCTION("""COMPUTED_VALUE""")," REMITTED ")</f>
        <v>REMITTED</v>
      </c>
      <c r="V1208" s="2">
        <f>IFERROR(__xludf.DUMMYFUNCTION("""COMPUTED_VALUE"""),1302.0)</f>
        <v>1302</v>
      </c>
      <c r="W1208" s="2">
        <f>IFERROR(__xludf.DUMMYFUNCTION("""COMPUTED_VALUE"""),1732.0)</f>
        <v>1732</v>
      </c>
      <c r="X1208" s="2">
        <f>IFERROR(__xludf.DUMMYFUNCTION("""COMPUTED_VALUE"""),1606.0)</f>
        <v>1606</v>
      </c>
      <c r="Y1208" s="2"/>
      <c r="Z1208" s="2"/>
      <c r="AA1208" s="2"/>
      <c r="AB1208" s="2"/>
      <c r="AC1208" s="2"/>
      <c r="AD1208" s="2"/>
      <c r="AE1208" s="2"/>
      <c r="AF1208" s="2"/>
      <c r="AG1208" s="2"/>
      <c r="AH1208" s="2"/>
      <c r="AI1208" s="2"/>
      <c r="AJ1208" s="2" t="str">
        <f>IFERROR(__xludf.DUMMYFUNCTION("""COMPUTED_VALUE"""),"Bayanan I")</f>
        <v>Bayanan I</v>
      </c>
      <c r="AK1208" s="2" t="str">
        <f>IFERROR(__xludf.DUMMYFUNCTION("""COMPUTED_VALUE"""),"Calapan City")</f>
        <v>Calapan City</v>
      </c>
      <c r="AL1208" s="2" t="str">
        <f>IFERROR(__xludf.DUMMYFUNCTION("""COMPUTED_VALUE"""),"Oriental Mindoro")</f>
        <v>Oriental Mindoro</v>
      </c>
      <c r="AM1208" s="2" t="str">
        <f>IFERROR(__xludf.DUMMYFUNCTION("""COMPUTED_VALUE"""),"4B")</f>
        <v>4B</v>
      </c>
      <c r="AN1208" s="2" t="str">
        <f>IFERROR(__xludf.DUMMYFUNCTION("""COMPUTED_VALUE"""),"RCEF 24-04-15")</f>
        <v>RCEF 24-04-15</v>
      </c>
      <c r="AO1208" s="2">
        <f>IFERROR(__xludf.DUMMYFUNCTION("""COMPUTED_VALUE"""),7.0)</f>
        <v>7</v>
      </c>
      <c r="AP1208" s="2" t="str">
        <f>IFERROR(__xludf.DUMMYFUNCTION("""COMPUTED_VALUE"""),"FREE PMS")</f>
        <v>FREE PMS</v>
      </c>
      <c r="AQ1208" s="2"/>
      <c r="AR1208" s="2"/>
      <c r="AS1208" s="2"/>
      <c r="AT1208" s="2"/>
      <c r="AU1208" s="2"/>
      <c r="AV1208" s="2"/>
      <c r="AW1208" s="2"/>
      <c r="AX1208" s="2"/>
      <c r="AY1208" s="2"/>
      <c r="AZ1208" s="2"/>
      <c r="BA1208" s="2"/>
      <c r="BB1208" s="2"/>
    </row>
    <row r="1209">
      <c r="A1209" s="2">
        <f>IFERROR(__xludf.DUMMYFUNCTION("""COMPUTED_VALUE"""),1205.0)</f>
        <v>1205</v>
      </c>
      <c r="B1209" s="2" t="str">
        <f>IFERROR(__xludf.DUMMYFUNCTION("""COMPUTED_VALUE"""),"COMPLETED")</f>
        <v>COMPLETED</v>
      </c>
      <c r="C1209" s="74">
        <f>IFERROR(__xludf.DUMMYFUNCTION("""COMPUTED_VALUE"""),45974.0)</f>
        <v>45974</v>
      </c>
      <c r="D1209" s="71" t="str">
        <f>IFERROR(__xludf.DUMMYFUNCTION("""COMPUTED_VALUE"""),"MUNICIPAL LOCAL GOVERNMENT UNIT OF ANGAT")</f>
        <v>MUNICIPAL LOCAL GOVERNMENT UNIT OF ANGAT</v>
      </c>
      <c r="E1209" s="71" t="str">
        <f>IFERROR(__xludf.DUMMYFUNCTION("""COMPUTED_VALUE"""),"Poblacion, Angat, Bulacan")</f>
        <v>Poblacion, Angat, Bulacan</v>
      </c>
      <c r="F1209" s="2" t="str">
        <f>IFERROR(__xludf.DUMMYFUNCTION("""COMPUTED_VALUE"""),"MASSEY BOY")</f>
        <v>MASSEY BOY</v>
      </c>
      <c r="G1209" s="2">
        <f>IFERROR(__xludf.DUMMYFUNCTION("""COMPUTED_VALUE"""),9.179941102E9)</f>
        <v>9179941102</v>
      </c>
      <c r="H1209" s="2"/>
      <c r="I1209" s="72" t="str">
        <f>IFERROR(__xludf.DUMMYFUNCTION("""COMPUTED_VALUE"""),"SPARE PARTS ACQUISITION")</f>
        <v>SPARE PARTS ACQUISITION</v>
      </c>
      <c r="J1209" s="72" t="str">
        <f>IFERROR(__xludf.DUMMYFUNCTION("""COMPUTED_VALUE"""),"SPARE PARTS ACQUISITION")</f>
        <v>SPARE PARTS ACQUISITION</v>
      </c>
      <c r="K1209" s="72" t="str">
        <f>IFERROR(__xludf.DUMMYFUNCTION("""COMPUTED_VALUE"""),"DRM: ROTAVATOR BLADES ")</f>
        <v>DRM: ROTAVATOR BLADES </v>
      </c>
      <c r="L1209" s="72" t="str">
        <f>IFERROR(__xludf.DUMMYFUNCTION("""COMPUTED_VALUE"""),"DELIVERED")</f>
        <v>DELIVERED</v>
      </c>
      <c r="M1209" s="2"/>
      <c r="N1209" s="2" t="str">
        <f>IFERROR(__xludf.DUMMYFUNCTION("""COMPUTED_VALUE"""),"PARTS:
28 ROTAVATOR BLADES
1- HYDRAULIC FILTER - 2,800")</f>
        <v>PARTS:
28 ROTAVATOR BLADES
1- HYDRAULIC FILTER - 2,800</v>
      </c>
      <c r="O1209" s="2" t="str">
        <f>IFERROR(__xludf.DUMMYFUNCTION("""COMPUTED_VALUE"""),"N/A")</f>
        <v>N/A</v>
      </c>
      <c r="P1209" s="2"/>
      <c r="Q1209" s="2"/>
      <c r="R1209" s="74">
        <f>IFERROR(__xludf.DUMMYFUNCTION("""COMPUTED_VALUE"""),45974.0)</f>
        <v>45974</v>
      </c>
      <c r="S1209" s="2" t="str">
        <f>IFERROR(__xludf.DUMMYFUNCTION("""COMPUTED_VALUE"""),"EGT/DRM")</f>
        <v>EGT/DRM</v>
      </c>
      <c r="T1209" s="73">
        <f>IFERROR(__xludf.DUMMYFUNCTION("""COMPUTED_VALUE"""),19880.0)</f>
        <v>19880</v>
      </c>
      <c r="U1209" s="73" t="str">
        <f>IFERROR(__xludf.DUMMYFUNCTION("""COMPUTED_VALUE""")," RECORDED ")</f>
        <v>RECORDED</v>
      </c>
      <c r="V1209" s="2">
        <f>IFERROR(__xludf.DUMMYFUNCTION("""COMPUTED_VALUE"""),1313.0)</f>
        <v>1313</v>
      </c>
      <c r="W1209" s="2">
        <f>IFERROR(__xludf.DUMMYFUNCTION("""COMPUTED_VALUE"""),1668.0)</f>
        <v>1668</v>
      </c>
      <c r="X1209" s="2">
        <f>IFERROR(__xludf.DUMMYFUNCTION("""COMPUTED_VALUE"""),1689.0)</f>
        <v>1689</v>
      </c>
      <c r="Y1209" s="2"/>
      <c r="Z1209" s="2"/>
      <c r="AA1209" s="2"/>
      <c r="AB1209" s="2"/>
      <c r="AC1209" s="2"/>
      <c r="AD1209" s="2"/>
      <c r="AE1209" s="2"/>
      <c r="AF1209" s="2"/>
      <c r="AG1209" s="2"/>
      <c r="AH1209" s="2"/>
      <c r="AI1209" s="2"/>
      <c r="AJ1209" s="2" t="str">
        <f>IFERROR(__xludf.DUMMYFUNCTION("""COMPUTED_VALUE"""),"Poblacion")</f>
        <v>Poblacion</v>
      </c>
      <c r="AK1209" s="2" t="str">
        <f>IFERROR(__xludf.DUMMYFUNCTION("""COMPUTED_VALUE"""),"Angat")</f>
        <v>Angat</v>
      </c>
      <c r="AL1209" s="2" t="str">
        <f>IFERROR(__xludf.DUMMYFUNCTION("""COMPUTED_VALUE"""),"Bulacan")</f>
        <v>Bulacan</v>
      </c>
      <c r="AM1209" s="2">
        <f>IFERROR(__xludf.DUMMYFUNCTION("""COMPUTED_VALUE"""),3.0)</f>
        <v>3</v>
      </c>
      <c r="AN1209" s="2" t="str">
        <f>IFERROR(__xludf.DUMMYFUNCTION("""COMPUTED_VALUE"""),"RCEF 23-09-21 Rebidding")</f>
        <v>RCEF 23-09-21 Rebidding</v>
      </c>
      <c r="AO1209" s="2">
        <f>IFERROR(__xludf.DUMMYFUNCTION("""COMPUTED_VALUE"""),3.0)</f>
        <v>3</v>
      </c>
      <c r="AP1209" s="2"/>
      <c r="AQ1209" s="2"/>
      <c r="AR1209" s="2"/>
      <c r="AS1209" s="2"/>
      <c r="AT1209" s="2"/>
      <c r="AU1209" s="2"/>
      <c r="AV1209" s="2"/>
      <c r="AW1209" s="2"/>
      <c r="AX1209" s="2"/>
      <c r="AY1209" s="2"/>
      <c r="AZ1209" s="2"/>
      <c r="BA1209" s="2"/>
      <c r="BB1209" s="2"/>
    </row>
    <row r="1210">
      <c r="A1210" s="2">
        <f>IFERROR(__xludf.DUMMYFUNCTION("""COMPUTED_VALUE"""),1206.0)</f>
        <v>1206</v>
      </c>
      <c r="B1210" s="2" t="str">
        <f>IFERROR(__xludf.DUMMYFUNCTION("""COMPUTED_VALUE"""),"COMPLETED")</f>
        <v>COMPLETED</v>
      </c>
      <c r="C1210" s="74">
        <f>IFERROR(__xludf.DUMMYFUNCTION("""COMPUTED_VALUE"""),45974.0)</f>
        <v>45974</v>
      </c>
      <c r="D1210" s="71" t="str">
        <f>IFERROR(__xludf.DUMMYFUNCTION("""COMPUTED_VALUE"""),"Pias Farmers Agriculture Cooperative")</f>
        <v>Pias Farmers Agriculture Cooperative</v>
      </c>
      <c r="E1210" s="71" t="str">
        <f>IFERROR(__xludf.DUMMYFUNCTION("""COMPUTED_VALUE"""),"Pias, Porac, PAMPANGA")</f>
        <v>Pias, Porac, PAMPANGA</v>
      </c>
      <c r="F1210" s="2" t="str">
        <f>IFERROR(__xludf.DUMMYFUNCTION("""COMPUTED_VALUE"""),"Alan F.Santos")</f>
        <v>Alan F.Santos</v>
      </c>
      <c r="G1210" s="2">
        <f>IFERROR(__xludf.DUMMYFUNCTION("""COMPUTED_VALUE"""),9.953421437E9)</f>
        <v>9953421437</v>
      </c>
      <c r="H1210" s="2"/>
      <c r="I1210" s="72" t="str">
        <f>IFERROR(__xludf.DUMMYFUNCTION("""COMPUTED_VALUE"""),"SPARE PARTS ACQUISITION")</f>
        <v>SPARE PARTS ACQUISITION</v>
      </c>
      <c r="J1210" s="72" t="str">
        <f>IFERROR(__xludf.DUMMYFUNCTION("""COMPUTED_VALUE"""),"PARTS REQUEST")</f>
        <v>PARTS REQUEST</v>
      </c>
      <c r="K1210" s="72" t="str">
        <f>IFERROR(__xludf.DUMMYFUNCTION("""COMPUTED_VALUE"""),"42- ROTAVATOR BLADES")</f>
        <v>42- ROTAVATOR BLADES</v>
      </c>
      <c r="L1210" s="72" t="str">
        <f>IFERROR(__xludf.DUMMYFUNCTION("""COMPUTED_VALUE"""),"QUOTATION SENT: DELIVER PARTS ORDER")</f>
        <v>QUOTATION SENT: DELIVER PARTS ORDER</v>
      </c>
      <c r="M1210" s="2"/>
      <c r="N1210" s="2" t="str">
        <f>IFERROR(__xludf.DUMMYFUNCTION("""COMPUTED_VALUE"""),"PARTS:
42- ROTAVATOR BLADES")</f>
        <v>PARTS:
42- ROTAVATOR BLADES</v>
      </c>
      <c r="O1210" s="2">
        <f>IFERROR(__xludf.DUMMYFUNCTION("""COMPUTED_VALUE"""),428.0)</f>
        <v>428</v>
      </c>
      <c r="P1210" s="2"/>
      <c r="Q1210" s="2" t="str">
        <f>IFERROR(__xludf.DUMMYFUNCTION("""COMPUTED_VALUE"""),"FOR PRINT")</f>
        <v>FOR PRINT</v>
      </c>
      <c r="R1210" s="74">
        <f>IFERROR(__xludf.DUMMYFUNCTION("""COMPUTED_VALUE"""),45981.0)</f>
        <v>45981</v>
      </c>
      <c r="S1210" s="2" t="str">
        <f>IFERROR(__xludf.DUMMYFUNCTION("""COMPUTED_VALUE"""),"EGT/JDP")</f>
        <v>EGT/JDP</v>
      </c>
      <c r="T1210" s="73">
        <f>IFERROR(__xludf.DUMMYFUNCTION("""COMPUTED_VALUE"""),25620.0)</f>
        <v>25620</v>
      </c>
      <c r="U1210" s="73" t="str">
        <f>IFERROR(__xludf.DUMMYFUNCTION("""COMPUTED_VALUE""")," RECORDED ")</f>
        <v>RECORDED</v>
      </c>
      <c r="V1210" s="2">
        <f>IFERROR(__xludf.DUMMYFUNCTION("""COMPUTED_VALUE"""),1315.0)</f>
        <v>1315</v>
      </c>
      <c r="W1210" s="2">
        <f>IFERROR(__xludf.DUMMYFUNCTION("""COMPUTED_VALUE"""),1670.0)</f>
        <v>1670</v>
      </c>
      <c r="X1210" s="2">
        <f>IFERROR(__xludf.DUMMYFUNCTION("""COMPUTED_VALUE"""),1691.0)</f>
        <v>1691</v>
      </c>
      <c r="Y1210" s="2"/>
      <c r="Z1210" s="2"/>
      <c r="AA1210" s="2"/>
      <c r="AB1210" s="2"/>
      <c r="AC1210" s="2"/>
      <c r="AD1210" s="2"/>
      <c r="AE1210" s="2"/>
      <c r="AF1210" s="2"/>
      <c r="AG1210" s="2"/>
      <c r="AH1210" s="2"/>
      <c r="AI1210" s="2"/>
      <c r="AJ1210" s="2" t="str">
        <f>IFERROR(__xludf.DUMMYFUNCTION("""COMPUTED_VALUE"""),"Pias")</f>
        <v>Pias</v>
      </c>
      <c r="AK1210" s="2" t="str">
        <f>IFERROR(__xludf.DUMMYFUNCTION("""COMPUTED_VALUE"""),"Porac")</f>
        <v>Porac</v>
      </c>
      <c r="AL1210" s="2" t="str">
        <f>IFERROR(__xludf.DUMMYFUNCTION("""COMPUTED_VALUE"""),"Pampanga")</f>
        <v>Pampanga</v>
      </c>
      <c r="AM1210" s="2">
        <f>IFERROR(__xludf.DUMMYFUNCTION("""COMPUTED_VALUE"""),3.0)</f>
        <v>3</v>
      </c>
      <c r="AN1210" s="2" t="str">
        <f>IFERROR(__xludf.DUMMYFUNCTION("""COMPUTED_VALUE"""),"RCEF 24-04-15")</f>
        <v>RCEF 24-04-15</v>
      </c>
      <c r="AO1210" s="2">
        <f>IFERROR(__xludf.DUMMYFUNCTION("""COMPUTED_VALUE"""),6.0)</f>
        <v>6</v>
      </c>
      <c r="AP1210" s="2" t="str">
        <f>IFERROR(__xludf.DUMMYFUNCTION("""COMPUTED_VALUE"""),"FREE PMS")</f>
        <v>FREE PMS</v>
      </c>
      <c r="AQ1210" s="2"/>
      <c r="AR1210" s="2"/>
      <c r="AS1210" s="2"/>
      <c r="AT1210" s="2"/>
      <c r="AU1210" s="2"/>
      <c r="AV1210" s="2"/>
      <c r="AW1210" s="2"/>
      <c r="AX1210" s="2"/>
      <c r="AY1210" s="2"/>
      <c r="AZ1210" s="2"/>
      <c r="BA1210" s="2"/>
      <c r="BB1210" s="2"/>
    </row>
    <row r="1211">
      <c r="A1211" s="2">
        <f>IFERROR(__xludf.DUMMYFUNCTION("""COMPUTED_VALUE"""),1207.0)</f>
        <v>1207</v>
      </c>
      <c r="B1211" s="2" t="str">
        <f>IFERROR(__xludf.DUMMYFUNCTION("""COMPUTED_VALUE"""),"COMPLETED")</f>
        <v>COMPLETED</v>
      </c>
      <c r="C1211" s="74">
        <f>IFERROR(__xludf.DUMMYFUNCTION("""COMPUTED_VALUE"""),45974.0)</f>
        <v>45974</v>
      </c>
      <c r="D1211" s="71" t="str">
        <f>IFERROR(__xludf.DUMMYFUNCTION("""COMPUTED_VALUE"""),"MAGSASAKA NG BAGONG HENERASYON NG BARANGAY SIMMINUBLAN (MBHBS)")</f>
        <v>MAGSASAKA NG BAGONG HENERASYON NG BARANGAY SIMMINUBLAN (MBHBS)</v>
      </c>
      <c r="E1211" s="71" t="str">
        <f>IFERROR(__xludf.DUMMYFUNCTION("""COMPUTED_VALUE"""),"Siminublan, San Narciso, ZAMBALES")</f>
        <v>Siminublan, San Narciso, ZAMBALES</v>
      </c>
      <c r="F1211" s="2" t="str">
        <f>IFERROR(__xludf.DUMMYFUNCTION("""COMPUTED_VALUE"""),"JACQUILINE DADURAL")</f>
        <v>JACQUILINE DADURAL</v>
      </c>
      <c r="G1211" s="2">
        <f>IFERROR(__xludf.DUMMYFUNCTION("""COMPUTED_VALUE"""),9.100724561E9)</f>
        <v>9100724561</v>
      </c>
      <c r="H1211" s="2" t="str">
        <f>IFERROR(__xludf.DUMMYFUNCTION("""COMPUTED_VALUE"""),"300+")</f>
        <v>300+</v>
      </c>
      <c r="I1211" s="72" t="str">
        <f>IFERROR(__xludf.DUMMYFUNCTION("""COMPUTED_VALUE"""),"REPAIR - TRACTOR")</f>
        <v>REPAIR - TRACTOR</v>
      </c>
      <c r="J1211" s="72" t="str">
        <f>IFERROR(__xludf.DUMMYFUNCTION("""COMPUTED_VALUE"""),"Front Axle - Leaking")</f>
        <v>Front Axle - Leaking</v>
      </c>
      <c r="K1211" s="72" t="str">
        <f>IFERROR(__xludf.DUMMYFUNCTION("""COMPUTED_VALUE"""),"MYK: FRONT AXLE LEAKING (RIGHT SIDE)
ROTAVATOR BLADES- 42")</f>
        <v>MYK: FRONT AXLE LEAKING (RIGHT SIDE)
ROTAVATOR BLADES- 42</v>
      </c>
      <c r="L1211" s="72" t="str">
        <f>IFERROR(__xludf.DUMMYFUNCTION("""COMPUTED_VALUE"""),"NO INTERNET SIGNAL, BUT INFORM NA SILA SA PRICE NG ROTAVATOR BLADES PER PCS.
FARMER: 3/2/26: MAY PUMUNTA DAW NA TECHNICIAN DOON PERO NUNG TIME DAW PO NA PINUNTAHAN WALANG NAKITANG LEAKING. (REQUESTING DISCOUNT- 42 ROTA BLADES)
MYK: TATAWAG NALAMANG ONCE"&amp;" NAKAPAG HARVEST NA NG MAIS, WALA PANG BUDGET NGAYUN.")</f>
        <v>NO INTERNET SIGNAL, BUT INFORM NA SILA SA PRICE NG ROTAVATOR BLADES PER PCS.
FARMER: 3/2/26: MAY PUMUNTA DAW NA TECHNICIAN DOON PERO NUNG TIME DAW PO NA PINUNTAHAN WALANG NAKITANG LEAKING. (REQUESTING DISCOUNT- 42 ROTA BLADES)
MYK: TATAWAG NALAMANG ONCE NAKAPAG HARVEST NA NG MAIS, WALA PANG BUDGET NGAYUN.</v>
      </c>
      <c r="M1211" s="2"/>
      <c r="N1211" s="2"/>
      <c r="O1211" s="2" t="str">
        <f>IFERROR(__xludf.DUMMYFUNCTION("""COMPUTED_VALUE"""),"N/A")</f>
        <v>N/A</v>
      </c>
      <c r="P1211" s="2"/>
      <c r="Q1211" s="2"/>
      <c r="R1211" s="74">
        <f>IFERROR(__xludf.DUMMYFUNCTION("""COMPUTED_VALUE"""),46091.0)</f>
        <v>46091</v>
      </c>
      <c r="S1211" s="2" t="str">
        <f>IFERROR(__xludf.DUMMYFUNCTION("""COMPUTED_VALUE"""),"MYKEE")</f>
        <v>MYKEE</v>
      </c>
      <c r="T1211" s="73" t="str">
        <f>IFERROR(__xludf.DUMMYFUNCTION("""COMPUTED_VALUE""")," N/A ")</f>
        <v>N/A</v>
      </c>
      <c r="U1211" s="73" t="str">
        <f>IFERROR(__xludf.DUMMYFUNCTION("""COMPUTED_VALUE""")," NO CHARGE ")</f>
        <v>NO CHARGE</v>
      </c>
      <c r="V1211" s="2" t="str">
        <f>IFERROR(__xludf.DUMMYFUNCTION("""COMPUTED_VALUE"""),"N/A")</f>
        <v>N/A</v>
      </c>
      <c r="W1211" s="2" t="str">
        <f>IFERROR(__xludf.DUMMYFUNCTION("""COMPUTED_VALUE"""),"N/A")</f>
        <v>N/A</v>
      </c>
      <c r="X1211" s="2" t="str">
        <f>IFERROR(__xludf.DUMMYFUNCTION("""COMPUTED_VALUE"""),"N/A")</f>
        <v>N/A</v>
      </c>
      <c r="Y1211" s="2"/>
      <c r="Z1211" s="2"/>
      <c r="AA1211" s="2"/>
      <c r="AB1211" s="2"/>
      <c r="AC1211" s="2"/>
      <c r="AD1211" s="2"/>
      <c r="AE1211" s="2"/>
      <c r="AF1211" s="2"/>
      <c r="AG1211" s="2"/>
      <c r="AH1211" s="2"/>
      <c r="AI1211" s="2"/>
      <c r="AJ1211" s="2" t="str">
        <f>IFERROR(__xludf.DUMMYFUNCTION("""COMPUTED_VALUE"""),"Siminublan")</f>
        <v>Siminublan</v>
      </c>
      <c r="AK1211" s="2" t="str">
        <f>IFERROR(__xludf.DUMMYFUNCTION("""COMPUTED_VALUE"""),"San Narciso")</f>
        <v>San Narciso</v>
      </c>
      <c r="AL1211" s="2" t="str">
        <f>IFERROR(__xludf.DUMMYFUNCTION("""COMPUTED_VALUE"""),"Zambales")</f>
        <v>Zambales</v>
      </c>
      <c r="AM1211" s="2">
        <f>IFERROR(__xludf.DUMMYFUNCTION("""COMPUTED_VALUE"""),3.0)</f>
        <v>3</v>
      </c>
      <c r="AN1211" s="2" t="str">
        <f>IFERROR(__xludf.DUMMYFUNCTION("""COMPUTED_VALUE"""),"RCEF 23-09-21 Rebidding")</f>
        <v>RCEF 23-09-21 Rebidding</v>
      </c>
      <c r="AO1211" s="2">
        <f>IFERROR(__xludf.DUMMYFUNCTION("""COMPUTED_VALUE"""),9.0)</f>
        <v>9</v>
      </c>
      <c r="AP1211" s="2"/>
      <c r="AQ1211" s="2"/>
      <c r="AR1211" s="2"/>
      <c r="AS1211" s="2"/>
      <c r="AT1211" s="2"/>
      <c r="AU1211" s="2"/>
      <c r="AV1211" s="2"/>
      <c r="AW1211" s="2"/>
      <c r="AX1211" s="2"/>
      <c r="AY1211" s="2"/>
      <c r="AZ1211" s="2"/>
      <c r="BA1211" s="2"/>
      <c r="BB1211" s="2"/>
    </row>
    <row r="1212">
      <c r="A1212" s="2">
        <f>IFERROR(__xludf.DUMMYFUNCTION("""COMPUTED_VALUE"""),1208.0)</f>
        <v>1208</v>
      </c>
      <c r="B1212" s="2" t="str">
        <f>IFERROR(__xludf.DUMMYFUNCTION("""COMPUTED_VALUE"""),"COMPLETED")</f>
        <v>COMPLETED</v>
      </c>
      <c r="C1212" s="74">
        <f>IFERROR(__xludf.DUMMYFUNCTION("""COMPUTED_VALUE"""),45974.0)</f>
        <v>45974</v>
      </c>
      <c r="D1212" s="71" t="str">
        <f>IFERROR(__xludf.DUMMYFUNCTION("""COMPUTED_VALUE"""),"GREATEST MANIMAS FARMERS AND FISHERFOLKS ASSOCIATION")</f>
        <v>GREATEST MANIMAS FARMERS AND FISHERFOLKS ASSOCIATION</v>
      </c>
      <c r="E1212" s="71" t="str">
        <f>IFERROR(__xludf.DUMMYFUNCTION("""COMPUTED_VALUE"""),"Cataning, Balanga City, BATAAN")</f>
        <v>Cataning, Balanga City, BATAAN</v>
      </c>
      <c r="F1212" s="2" t="str">
        <f>IFERROR(__xludf.DUMMYFUNCTION("""COMPUTED_VALUE"""),"Renato Carig")</f>
        <v>Renato Carig</v>
      </c>
      <c r="G1212" s="2">
        <f>IFERROR(__xludf.DUMMYFUNCTION("""COMPUTED_VALUE"""),9.922415542E9)</f>
        <v>9922415542</v>
      </c>
      <c r="H1212" s="2"/>
      <c r="I1212" s="72" t="str">
        <f>IFERROR(__xludf.DUMMYFUNCTION("""COMPUTED_VALUE"""),"REPAIR - ROTAVATOR")</f>
        <v>REPAIR - ROTAVATOR</v>
      </c>
      <c r="J1212" s="72" t="str">
        <f>IFERROR(__xludf.DUMMYFUNCTION("""COMPUTED_VALUE"""),"Gearbox")</f>
        <v>Gearbox</v>
      </c>
      <c r="K1212" s="72" t="str">
        <f>IFERROR(__xludf.DUMMYFUNCTION("""COMPUTED_VALUE"""),"JHP: Rotavator problem nag stock up 
")</f>
        <v>JHP: Rotavator problem nag stock up 
</v>
      </c>
      <c r="L1212" s="72" t="str">
        <f>IFERROR(__xludf.DUMMYFUNCTION("""COMPUTED_VALUE"""),"CFG: GINAWA NA NG OPERATOR YUNG UNIT")</f>
        <v>CFG: GINAWA NA NG OPERATOR YUNG UNIT</v>
      </c>
      <c r="M1212" s="2"/>
      <c r="N1212" s="2"/>
      <c r="O1212" s="2" t="str">
        <f>IFERROR(__xludf.DUMMYFUNCTION("""COMPUTED_VALUE"""),"N/A")</f>
        <v>N/A</v>
      </c>
      <c r="P1212" s="2"/>
      <c r="Q1212" s="2"/>
      <c r="R1212" s="74">
        <f>IFERROR(__xludf.DUMMYFUNCTION("""COMPUTED_VALUE"""),46029.0)</f>
        <v>46029</v>
      </c>
      <c r="S1212" s="2" t="str">
        <f>IFERROR(__xludf.DUMMYFUNCTION("""COMPUTED_VALUE"""),"CFG/JAH")</f>
        <v>CFG/JAH</v>
      </c>
      <c r="T1212" s="73" t="str">
        <f>IFERROR(__xludf.DUMMYFUNCTION("""COMPUTED_VALUE""")," N/A ")</f>
        <v>N/A</v>
      </c>
      <c r="U1212" s="73" t="str">
        <f>IFERROR(__xludf.DUMMYFUNCTION("""COMPUTED_VALUE""")," NO CHARGE ")</f>
        <v>NO CHARGE</v>
      </c>
      <c r="V1212" s="2"/>
      <c r="W1212" s="2" t="str">
        <f>IFERROR(__xludf.DUMMYFUNCTION("""COMPUTED_VALUE"""),"N/A")</f>
        <v>N/A</v>
      </c>
      <c r="X1212" s="2" t="str">
        <f>IFERROR(__xludf.DUMMYFUNCTION("""COMPUTED_VALUE"""),"N/A")</f>
        <v>N/A</v>
      </c>
      <c r="Y1212" s="2"/>
      <c r="Z1212" s="2"/>
      <c r="AA1212" s="2"/>
      <c r="AB1212" s="2"/>
      <c r="AC1212" s="2"/>
      <c r="AD1212" s="2"/>
      <c r="AE1212" s="2"/>
      <c r="AF1212" s="2"/>
      <c r="AG1212" s="2"/>
      <c r="AH1212" s="2"/>
      <c r="AI1212" s="2"/>
      <c r="AJ1212" s="2" t="str">
        <f>IFERROR(__xludf.DUMMYFUNCTION("""COMPUTED_VALUE"""),"Cataning")</f>
        <v>Cataning</v>
      </c>
      <c r="AK1212" s="2" t="str">
        <f>IFERROR(__xludf.DUMMYFUNCTION("""COMPUTED_VALUE"""),"Balanga City")</f>
        <v>Balanga City</v>
      </c>
      <c r="AL1212" s="2" t="str">
        <f>IFERROR(__xludf.DUMMYFUNCTION("""COMPUTED_VALUE"""),"Bataan")</f>
        <v>Bataan</v>
      </c>
      <c r="AM1212" s="2">
        <f>IFERROR(__xludf.DUMMYFUNCTION("""COMPUTED_VALUE"""),3.0)</f>
        <v>3</v>
      </c>
      <c r="AN1212" s="2" t="str">
        <f>IFERROR(__xludf.DUMMYFUNCTION("""COMPUTED_VALUE"""),"RCEF 23-09-21 Rebidding")</f>
        <v>RCEF 23-09-21 Rebidding</v>
      </c>
      <c r="AO1212" s="2">
        <f>IFERROR(__xludf.DUMMYFUNCTION("""COMPUTED_VALUE"""),3.0)</f>
        <v>3</v>
      </c>
      <c r="AP1212" s="2"/>
      <c r="AQ1212" s="2"/>
      <c r="AR1212" s="2"/>
      <c r="AS1212" s="2"/>
      <c r="AT1212" s="2"/>
      <c r="AU1212" s="2"/>
      <c r="AV1212" s="2"/>
      <c r="AW1212" s="2"/>
      <c r="AX1212" s="2"/>
      <c r="AY1212" s="2"/>
      <c r="AZ1212" s="2"/>
      <c r="BA1212" s="2"/>
      <c r="BB1212" s="2"/>
    </row>
    <row r="1213">
      <c r="A1213" s="2">
        <f>IFERROR(__xludf.DUMMYFUNCTION("""COMPUTED_VALUE"""),1209.0)</f>
        <v>1209</v>
      </c>
      <c r="B1213" s="2" t="str">
        <f>IFERROR(__xludf.DUMMYFUNCTION("""COMPUTED_VALUE"""),"COMPLETED")</f>
        <v>COMPLETED</v>
      </c>
      <c r="C1213" s="74">
        <f>IFERROR(__xludf.DUMMYFUNCTION("""COMPUTED_VALUE"""),45975.0)</f>
        <v>45975</v>
      </c>
      <c r="D1213" s="71" t="str">
        <f>IFERROR(__xludf.DUMMYFUNCTION("""COMPUTED_VALUE"""),"Barangay Cruz Victoria Tarlac Farmers Irrigator Association Inc.")</f>
        <v>Barangay Cruz Victoria Tarlac Farmers Irrigator Association Inc.</v>
      </c>
      <c r="E1213" s="71" t="str">
        <f>IFERROR(__xludf.DUMMYFUNCTION("""COMPUTED_VALUE"""),"Cruz, Victoria, TARLAC")</f>
        <v>Cruz, Victoria, TARLAC</v>
      </c>
      <c r="F1213" s="2" t="str">
        <f>IFERROR(__xludf.DUMMYFUNCTION("""COMPUTED_VALUE"""),"FILINO PASCUAL")</f>
        <v>FILINO PASCUAL</v>
      </c>
      <c r="G1213" s="2">
        <f>IFERROR(__xludf.DUMMYFUNCTION("""COMPUTED_VALUE"""),9.705230313E9)</f>
        <v>9705230313</v>
      </c>
      <c r="H1213" s="2"/>
      <c r="I1213" s="72" t="str">
        <f>IFERROR(__xludf.DUMMYFUNCTION("""COMPUTED_VALUE"""),"REPAIR - ROTAVATOR")</f>
        <v>REPAIR - ROTAVATOR</v>
      </c>
      <c r="J1213" s="72" t="str">
        <f>IFERROR(__xludf.DUMMYFUNCTION("""COMPUTED_VALUE"""),"Training")</f>
        <v>Training</v>
      </c>
      <c r="K1213" s="72" t="str">
        <f>IFERROR(__xludf.DUMMYFUNCTION("""COMPUTED_VALUE"""),"MYK: KADIDILIVER LANG NG UNIT NGAYUNG ARAW, AYAW MAG BABA TAAS NG ROTAVATOR.")</f>
        <v>MYK: KADIDILIVER LANG NG UNIT NGAYUNG ARAW, AYAW MAG BABA TAAS NG ROTAVATOR.</v>
      </c>
      <c r="L1213" s="72" t="str">
        <f>IFERROR(__xludf.DUMMYFUNCTION("""COMPUTED_VALUE"""),"MYK: OK NA ANG UNIT, NAAYOS NA NG OPERATOR NILA")</f>
        <v>MYK: OK NA ANG UNIT, NAAYOS NA NG OPERATOR NILA</v>
      </c>
      <c r="M1213" s="2"/>
      <c r="N1213" s="2"/>
      <c r="O1213" s="2" t="str">
        <f>IFERROR(__xludf.DUMMYFUNCTION("""COMPUTED_VALUE"""),"N/A")</f>
        <v>N/A</v>
      </c>
      <c r="P1213" s="2"/>
      <c r="Q1213" s="2"/>
      <c r="R1213" s="74">
        <f>IFERROR(__xludf.DUMMYFUNCTION("""COMPUTED_VALUE"""),45977.0)</f>
        <v>45977</v>
      </c>
      <c r="S1213" s="2" t="str">
        <f>IFERROR(__xludf.DUMMYFUNCTION("""COMPUTED_VALUE"""),"MYKEE")</f>
        <v>MYKEE</v>
      </c>
      <c r="T1213" s="73" t="str">
        <f>IFERROR(__xludf.DUMMYFUNCTION("""COMPUTED_VALUE""")," N/A ")</f>
        <v>N/A</v>
      </c>
      <c r="U1213" s="73" t="str">
        <f>IFERROR(__xludf.DUMMYFUNCTION("""COMPUTED_VALUE""")," NO CHARGE ")</f>
        <v>NO CHARGE</v>
      </c>
      <c r="V1213" s="2" t="str">
        <f>IFERROR(__xludf.DUMMYFUNCTION("""COMPUTED_VALUE"""),"N/A")</f>
        <v>N/A</v>
      </c>
      <c r="W1213" s="2" t="str">
        <f>IFERROR(__xludf.DUMMYFUNCTION("""COMPUTED_VALUE"""),"N/A")</f>
        <v>N/A</v>
      </c>
      <c r="X1213" s="2" t="str">
        <f>IFERROR(__xludf.DUMMYFUNCTION("""COMPUTED_VALUE"""),"N/A")</f>
        <v>N/A</v>
      </c>
      <c r="Y1213" s="2"/>
      <c r="Z1213" s="2"/>
      <c r="AA1213" s="2"/>
      <c r="AB1213" s="2"/>
      <c r="AC1213" s="2"/>
      <c r="AD1213" s="2"/>
      <c r="AE1213" s="2"/>
      <c r="AF1213" s="2"/>
      <c r="AG1213" s="2"/>
      <c r="AH1213" s="2"/>
      <c r="AI1213" s="2"/>
      <c r="AJ1213" s="2" t="str">
        <f>IFERROR(__xludf.DUMMYFUNCTION("""COMPUTED_VALUE"""),"Cruz")</f>
        <v>Cruz</v>
      </c>
      <c r="AK1213" s="2" t="str">
        <f>IFERROR(__xludf.DUMMYFUNCTION("""COMPUTED_VALUE"""),"Victoria")</f>
        <v>Victoria</v>
      </c>
      <c r="AL1213" s="2" t="str">
        <f>IFERROR(__xludf.DUMMYFUNCTION("""COMPUTED_VALUE"""),"Tarlac")</f>
        <v>Tarlac</v>
      </c>
      <c r="AM1213" s="2">
        <f>IFERROR(__xludf.DUMMYFUNCTION("""COMPUTED_VALUE"""),3.0)</f>
        <v>3</v>
      </c>
      <c r="AN1213" s="2" t="str">
        <f>IFERROR(__xludf.DUMMYFUNCTION("""COMPUTED_VALUE"""),"RCEF 25-03-05")</f>
        <v>RCEF 25-03-05</v>
      </c>
      <c r="AO1213" s="2">
        <f>IFERROR(__xludf.DUMMYFUNCTION("""COMPUTED_VALUE"""),5.0)</f>
        <v>5</v>
      </c>
      <c r="AP1213" s="2" t="str">
        <f>IFERROR(__xludf.DUMMYFUNCTION("""COMPUTED_VALUE"""),"FREE PMS")</f>
        <v>FREE PMS</v>
      </c>
      <c r="AQ1213" s="2"/>
      <c r="AR1213" s="2"/>
      <c r="AS1213" s="2"/>
      <c r="AT1213" s="2"/>
      <c r="AU1213" s="2"/>
      <c r="AV1213" s="2"/>
      <c r="AW1213" s="2"/>
      <c r="AX1213" s="2"/>
      <c r="AY1213" s="2"/>
      <c r="AZ1213" s="2"/>
      <c r="BA1213" s="2"/>
      <c r="BB1213" s="2"/>
    </row>
    <row r="1214">
      <c r="A1214" s="2">
        <f>IFERROR(__xludf.DUMMYFUNCTION("""COMPUTED_VALUE"""),1210.0)</f>
        <v>1210</v>
      </c>
      <c r="B1214" s="2" t="str">
        <f>IFERROR(__xludf.DUMMYFUNCTION("""COMPUTED_VALUE"""),"COMPLETED")</f>
        <v>COMPLETED</v>
      </c>
      <c r="C1214" s="74">
        <f>IFERROR(__xludf.DUMMYFUNCTION("""COMPUTED_VALUE"""),45975.0)</f>
        <v>45975</v>
      </c>
      <c r="D1214" s="71" t="str">
        <f>IFERROR(__xludf.DUMMYFUNCTION("""COMPUTED_VALUE"""),"Municipal Local Government Unit of Llanera")</f>
        <v>Municipal Local Government Unit of Llanera</v>
      </c>
      <c r="E1214" s="71" t="str">
        <f>IFERROR(__xludf.DUMMYFUNCTION("""COMPUTED_VALUE"""),"Victoria, Llanera, NUEVA ECIJA")</f>
        <v>Victoria, Llanera, NUEVA ECIJA</v>
      </c>
      <c r="F1214" s="2" t="str">
        <f>IFERROR(__xludf.DUMMYFUNCTION("""COMPUTED_VALUE"""),"Arman Villanueva
Ronnie Roy G. Pascual")</f>
        <v>Arman Villanueva
Ronnie Roy G. Pascual</v>
      </c>
      <c r="G1214" s="2" t="str">
        <f>IFERROR(__xludf.DUMMYFUNCTION("""COMPUTED_VALUE"""),":09393036339")</f>
        <v>:09393036339</v>
      </c>
      <c r="H1214" s="2">
        <f>IFERROR(__xludf.DUMMYFUNCTION("""COMPUTED_VALUE"""),745.0)</f>
        <v>745</v>
      </c>
      <c r="I1214" s="72" t="str">
        <f>IFERROR(__xludf.DUMMYFUNCTION("""COMPUTED_VALUE"""),"REPAIR - TRACTOR")</f>
        <v>REPAIR - TRACTOR</v>
      </c>
      <c r="J1214" s="72" t="str">
        <f>IFERROR(__xludf.DUMMYFUNCTION("""COMPUTED_VALUE"""),"Transmission - Front Drive")</f>
        <v>Transmission - Front Drive</v>
      </c>
      <c r="K1214" s="72" t="str">
        <f>IFERROR(__xludf.DUMMYFUNCTION("""COMPUTED_VALUE"""),"KFS: Ayaw gumana ng frontdrive..okay naman daw pag nasa matigas na lugar pero pag nasa bukid ay ayaw n umabante..ayaw n umikot
JHP: FOR ASSESSMENT
CFG: 1196 (FOR PRINT)
NEED TO REPLACE 2 PCS BEARINGS OF RING GEAR AND OIL SEAL OF RING GEAR ( FOR RESCHEDU"&amp;"LE,DAHIL WALANG PARTS)
2- BEARING, ROLLER (#32-00-60)
1- OIL SEAL 24421-405508
CFG: SILA NALANG DAW ANG MAG HAHANAP NG BEARING")</f>
        <v>KFS: Ayaw gumana ng frontdrive..okay naman daw pag nasa matigas na lugar pero pag nasa bukid ay ayaw n umabante..ayaw n umikot
JHP: FOR ASSESSMENT
CFG: 1196 (FOR PRINT)
NEED TO REPLACE 2 PCS BEARINGS OF RING GEAR AND OIL SEAL OF RING GEAR ( FOR RESCHEDULE,DAHIL WALANG PARTS)
2- BEARING, ROLLER (#32-00-60)
1- OIL SEAL 24421-405508
CFG: SILA NALANG DAW ANG MAG HAHANAP NG BEARING</v>
      </c>
      <c r="L1214" s="72" t="str">
        <f>IFERROR(__xludf.DUMMYFUNCTION("""COMPUTED_VALUE"""),"CFG: SILA NALANG DAW ANG MAG HAHANAP NG BEARING")</f>
        <v>CFG: SILA NALANG DAW ANG MAG HAHANAP NG BEARING</v>
      </c>
      <c r="M1214" s="2"/>
      <c r="N1214" s="2"/>
      <c r="O1214" s="2" t="str">
        <f>IFERROR(__xludf.DUMMYFUNCTION("""COMPUTED_VALUE"""),"N/A")</f>
        <v>N/A</v>
      </c>
      <c r="P1214" s="2"/>
      <c r="Q1214" s="2"/>
      <c r="R1214" s="74">
        <f>IFERROR(__xludf.DUMMYFUNCTION("""COMPUTED_VALUE"""),46093.0)</f>
        <v>46093</v>
      </c>
      <c r="S1214" s="2" t="str">
        <f>IFERROR(__xludf.DUMMYFUNCTION("""COMPUTED_VALUE"""),"CFG")</f>
        <v>CFG</v>
      </c>
      <c r="T1214" s="73" t="str">
        <f>IFERROR(__xludf.DUMMYFUNCTION("""COMPUTED_VALUE""")," N/A ")</f>
        <v>N/A</v>
      </c>
      <c r="U1214" s="73" t="str">
        <f>IFERROR(__xludf.DUMMYFUNCTION("""COMPUTED_VALUE""")," NO CHARGE ")</f>
        <v>NO CHARGE</v>
      </c>
      <c r="V1214" s="2" t="str">
        <f>IFERROR(__xludf.DUMMYFUNCTION("""COMPUTED_VALUE"""),"N/A")</f>
        <v>N/A</v>
      </c>
      <c r="W1214" s="2" t="str">
        <f>IFERROR(__xludf.DUMMYFUNCTION("""COMPUTED_VALUE"""),"N/A")</f>
        <v>N/A</v>
      </c>
      <c r="X1214" s="2" t="str">
        <f>IFERROR(__xludf.DUMMYFUNCTION("""COMPUTED_VALUE"""),"N/A")</f>
        <v>N/A</v>
      </c>
      <c r="Y1214" s="2"/>
      <c r="Z1214" s="2"/>
      <c r="AA1214" s="2"/>
      <c r="AB1214" s="2"/>
      <c r="AC1214" s="2"/>
      <c r="AD1214" s="2"/>
      <c r="AE1214" s="2"/>
      <c r="AF1214" s="2"/>
      <c r="AG1214" s="2"/>
      <c r="AH1214" s="2"/>
      <c r="AI1214" s="2"/>
      <c r="AJ1214" s="2" t="str">
        <f>IFERROR(__xludf.DUMMYFUNCTION("""COMPUTED_VALUE"""),"Victoria")</f>
        <v>Victoria</v>
      </c>
      <c r="AK1214" s="2" t="str">
        <f>IFERROR(__xludf.DUMMYFUNCTION("""COMPUTED_VALUE"""),"Llanera")</f>
        <v>Llanera</v>
      </c>
      <c r="AL1214" s="2" t="str">
        <f>IFERROR(__xludf.DUMMYFUNCTION("""COMPUTED_VALUE"""),"Nueva Ecija")</f>
        <v>Nueva Ecija</v>
      </c>
      <c r="AM1214" s="2">
        <f>IFERROR(__xludf.DUMMYFUNCTION("""COMPUTED_VALUE"""),3.0)</f>
        <v>3</v>
      </c>
      <c r="AN1214" s="2" t="str">
        <f>IFERROR(__xludf.DUMMYFUNCTION("""COMPUTED_VALUE"""),"RCEF 23-09-21 Rebidding")</f>
        <v>RCEF 23-09-21 Rebidding</v>
      </c>
      <c r="AO1214" s="2">
        <f>IFERROR(__xludf.DUMMYFUNCTION("""COMPUTED_VALUE"""),3.0)</f>
        <v>3</v>
      </c>
      <c r="AP1214" s="2"/>
      <c r="AQ1214" s="2"/>
      <c r="AR1214" s="2"/>
      <c r="AS1214" s="2"/>
      <c r="AT1214" s="2"/>
      <c r="AU1214" s="2"/>
      <c r="AV1214" s="2"/>
      <c r="AW1214" s="2"/>
      <c r="AX1214" s="2"/>
      <c r="AY1214" s="2"/>
      <c r="AZ1214" s="2"/>
      <c r="BA1214" s="2"/>
      <c r="BB1214" s="2"/>
    </row>
    <row r="1215">
      <c r="A1215" s="2">
        <f>IFERROR(__xludf.DUMMYFUNCTION("""COMPUTED_VALUE"""),1211.0)</f>
        <v>1211</v>
      </c>
      <c r="B1215" s="2" t="str">
        <f>IFERROR(__xludf.DUMMYFUNCTION("""COMPUTED_VALUE"""),"COMPLETED")</f>
        <v>COMPLETED</v>
      </c>
      <c r="C1215" s="74">
        <f>IFERROR(__xludf.DUMMYFUNCTION("""COMPUTED_VALUE"""),45978.0)</f>
        <v>45978</v>
      </c>
      <c r="D1215" s="71" t="str">
        <f>IFERROR(__xludf.DUMMYFUNCTION("""COMPUTED_VALUE"""),"Buenavista Farmers Association")</f>
        <v>Buenavista Farmers Association</v>
      </c>
      <c r="E1215" s="71" t="str">
        <f>IFERROR(__xludf.DUMMYFUNCTION("""COMPUTED_VALUE"""),"Buenavista, Sablayan, OCCIDENTAL MINDORO")</f>
        <v>Buenavista, Sablayan, OCCIDENTAL MINDORO</v>
      </c>
      <c r="F1215" s="2" t="str">
        <f>IFERROR(__xludf.DUMMYFUNCTION("""COMPUTED_VALUE"""),"Simplicio Castro")</f>
        <v>Simplicio Castro</v>
      </c>
      <c r="G1215" s="2" t="str">
        <f>IFERROR(__xludf.DUMMYFUNCTION("""COMPUTED_VALUE"""),"0955 3160909")</f>
        <v>0955 3160909</v>
      </c>
      <c r="H1215" s="2"/>
      <c r="I1215" s="72" t="str">
        <f>IFERROR(__xludf.DUMMYFUNCTION("""COMPUTED_VALUE"""),"REPAIR - TRACTOR")</f>
        <v>REPAIR - TRACTOR</v>
      </c>
      <c r="J1215" s="72" t="str">
        <f>IFERROR(__xludf.DUMMYFUNCTION("""COMPUTED_VALUE"""),"Electrical - Dashboard")</f>
        <v>Electrical - Dashboard</v>
      </c>
      <c r="K1215" s="72" t="str">
        <f>IFERROR(__xludf.DUMMYFUNCTION("""COMPUTED_VALUE"""),"ON DELIVERY
RCG: ayaw gumana yung meter panel.kanina lng namin napansin during inspection.")</f>
        <v>ON DELIVERY
RCG: ayaw gumana yung meter panel.kanina lng namin napansin during inspection.</v>
      </c>
      <c r="L1215" s="72" t="str">
        <f>IFERROR(__xludf.DUMMYFUNCTION("""COMPUTED_VALUE"""),"RCG: CHECK UP AND TROUBLE SHOOT
RCG: REPLACED METER PANEL")</f>
        <v>RCG: CHECK UP AND TROUBLE SHOOT
RCG: REPLACED METER PANEL</v>
      </c>
      <c r="M1215" s="2"/>
      <c r="N1215" s="2" t="str">
        <f>IFERROR(__xludf.DUMMYFUNCTION("""COMPUTED_VALUE"""),"PARTS:
METER PANEL")</f>
        <v>PARTS:
METER PANEL</v>
      </c>
      <c r="O1215" s="2">
        <f>IFERROR(__xludf.DUMMYFUNCTION("""COMPUTED_VALUE"""),731.0)</f>
        <v>731</v>
      </c>
      <c r="P1215" s="2"/>
      <c r="Q1215" s="2" t="str">
        <f>IFERROR(__xludf.DUMMYFUNCTION("""COMPUTED_VALUE"""),"FOR PRINT")</f>
        <v>FOR PRINT</v>
      </c>
      <c r="R1215" s="74">
        <f>IFERROR(__xludf.DUMMYFUNCTION("""COMPUTED_VALUE"""),46089.0)</f>
        <v>46089</v>
      </c>
      <c r="S1215" s="2" t="str">
        <f>IFERROR(__xludf.DUMMYFUNCTION("""COMPUTED_VALUE"""),"RCG/RCM")</f>
        <v>RCG/RCM</v>
      </c>
      <c r="T1215" s="73" t="str">
        <f>IFERROR(__xludf.DUMMYFUNCTION("""COMPUTED_VALUE""")," N/A ")</f>
        <v>N/A</v>
      </c>
      <c r="U1215" s="73" t="str">
        <f>IFERROR(__xludf.DUMMYFUNCTION("""COMPUTED_VALUE""")," NO CHARGE ")</f>
        <v>NO CHARGE</v>
      </c>
      <c r="V1215" s="2">
        <f>IFERROR(__xludf.DUMMYFUNCTION("""COMPUTED_VALUE"""),1447.0)</f>
        <v>1447</v>
      </c>
      <c r="W1215" s="2" t="str">
        <f>IFERROR(__xludf.DUMMYFUNCTION("""COMPUTED_VALUE"""),"N/A")</f>
        <v>N/A</v>
      </c>
      <c r="X1215" s="2" t="str">
        <f>IFERROR(__xludf.DUMMYFUNCTION("""COMPUTED_VALUE"""),"N/A")</f>
        <v>N/A</v>
      </c>
      <c r="Y1215" s="2"/>
      <c r="Z1215" s="2"/>
      <c r="AA1215" s="2"/>
      <c r="AB1215" s="2"/>
      <c r="AC1215" s="2"/>
      <c r="AD1215" s="2"/>
      <c r="AE1215" s="2"/>
      <c r="AF1215" s="2"/>
      <c r="AG1215" s="2"/>
      <c r="AH1215" s="2"/>
      <c r="AI1215" s="2"/>
      <c r="AJ1215" s="2" t="str">
        <f>IFERROR(__xludf.DUMMYFUNCTION("""COMPUTED_VALUE"""),"Buenavista")</f>
        <v>Buenavista</v>
      </c>
      <c r="AK1215" s="2" t="str">
        <f>IFERROR(__xludf.DUMMYFUNCTION("""COMPUTED_VALUE"""),"Sablayan")</f>
        <v>Sablayan</v>
      </c>
      <c r="AL1215" s="2" t="str">
        <f>IFERROR(__xludf.DUMMYFUNCTION("""COMPUTED_VALUE"""),"Occidental Mindoro")</f>
        <v>Occidental Mindoro</v>
      </c>
      <c r="AM1215" s="2" t="str">
        <f>IFERROR(__xludf.DUMMYFUNCTION("""COMPUTED_VALUE"""),"4B")</f>
        <v>4B</v>
      </c>
      <c r="AN1215" s="2" t="str">
        <f>IFERROR(__xludf.DUMMYFUNCTION("""COMPUTED_VALUE"""),"RCEF 25-03-05")</f>
        <v>RCEF 25-03-05</v>
      </c>
      <c r="AO1215" s="2">
        <f>IFERROR(__xludf.DUMMYFUNCTION("""COMPUTED_VALUE"""),6.0)</f>
        <v>6</v>
      </c>
      <c r="AP1215" s="2" t="str">
        <f>IFERROR(__xludf.DUMMYFUNCTION("""COMPUTED_VALUE"""),"FREE PMS")</f>
        <v>FREE PMS</v>
      </c>
      <c r="AQ1215" s="2"/>
      <c r="AR1215" s="2"/>
      <c r="AS1215" s="2"/>
      <c r="AT1215" s="2"/>
      <c r="AU1215" s="2"/>
      <c r="AV1215" s="2"/>
      <c r="AW1215" s="2"/>
      <c r="AX1215" s="2"/>
      <c r="AY1215" s="2"/>
      <c r="AZ1215" s="2"/>
      <c r="BA1215" s="2"/>
      <c r="BB1215" s="2"/>
    </row>
    <row r="1216">
      <c r="A1216" s="2">
        <f>IFERROR(__xludf.DUMMYFUNCTION("""COMPUTED_VALUE"""),1212.0)</f>
        <v>1212</v>
      </c>
      <c r="B1216" s="2" t="str">
        <f>IFERROR(__xludf.DUMMYFUNCTION("""COMPUTED_VALUE"""),"COMPLETED")</f>
        <v>COMPLETED</v>
      </c>
      <c r="C1216" s="74">
        <f>IFERROR(__xludf.DUMMYFUNCTION("""COMPUTED_VALUE"""),45978.0)</f>
        <v>45978</v>
      </c>
      <c r="D1216" s="71" t="str">
        <f>IFERROR(__xludf.DUMMYFUNCTION("""COMPUTED_VALUE"""),"Zambales Competitive Farmers Association Inc.")</f>
        <v>Zambales Competitive Farmers Association Inc.</v>
      </c>
      <c r="E1216" s="71" t="str">
        <f>IFERROR(__xludf.DUMMYFUNCTION("""COMPUTED_VALUE"""),"Laoag, San Marcelino, ZAMBALES")</f>
        <v>Laoag, San Marcelino, ZAMBALES</v>
      </c>
      <c r="F1216" s="2" t="str">
        <f>IFERROR(__xludf.DUMMYFUNCTION("""COMPUTED_VALUE"""),"Ferdinand L Rabanes ")</f>
        <v>Ferdinand L Rabanes </v>
      </c>
      <c r="G1216" s="2">
        <f>IFERROR(__xludf.DUMMYFUNCTION("""COMPUTED_VALUE"""),9.510005197E9)</f>
        <v>9510005197</v>
      </c>
      <c r="H1216" s="2">
        <f>IFERROR(__xludf.DUMMYFUNCTION("""COMPUTED_VALUE"""),63.5)</f>
        <v>63.5</v>
      </c>
      <c r="I1216" s="72" t="str">
        <f>IFERROR(__xludf.DUMMYFUNCTION("""COMPUTED_VALUE"""),"REPAIR - TRACTOR")</f>
        <v>REPAIR - TRACTOR</v>
      </c>
      <c r="J1216" s="72" t="str">
        <f>IFERROR(__xludf.DUMMYFUNCTION("""COMPUTED_VALUE"""),"FUEL PUMP")</f>
        <v>FUEL PUMP</v>
      </c>
      <c r="K1216" s="72" t="str">
        <f>IFERROR(__xludf.DUMMYFUNCTION("""COMPUTED_VALUE"""),"MYK: BABA TAAS ANG RPM")</f>
        <v>MYK: BABA TAAS ANG RPM</v>
      </c>
      <c r="L1216" s="72" t="str">
        <f>IFERROR(__xludf.DUMMYFUNCTION("""COMPUTED_VALUE"""),"JDP: NAG BLEED LANG KAMI NG FUEL AND WATER SEPARATOR AT TINESTING NAMIN ANG UNIT , NAG OK NAMAN NA ITO . ")</f>
        <v>JDP: NAG BLEED LANG KAMI NG FUEL AND WATER SEPARATOR AT TINESTING NAMIN ANG UNIT , NAG OK NAMAN NA ITO . </v>
      </c>
      <c r="M1216" s="2"/>
      <c r="N1216" s="2"/>
      <c r="O1216" s="2">
        <f>IFERROR(__xludf.DUMMYFUNCTION("""COMPUTED_VALUE"""),427.0)</f>
        <v>427</v>
      </c>
      <c r="P1216" s="2"/>
      <c r="Q1216" s="2" t="str">
        <f>IFERROR(__xludf.DUMMYFUNCTION("""COMPUTED_VALUE"""),"FOR PRINT")</f>
        <v>FOR PRINT</v>
      </c>
      <c r="R1216" s="74">
        <f>IFERROR(__xludf.DUMMYFUNCTION("""COMPUTED_VALUE"""),45981.0)</f>
        <v>45981</v>
      </c>
      <c r="S1216" s="2" t="str">
        <f>IFERROR(__xludf.DUMMYFUNCTION("""COMPUTED_VALUE"""),"EGT/JDP")</f>
        <v>EGT/JDP</v>
      </c>
      <c r="T1216" s="73" t="str">
        <f>IFERROR(__xludf.DUMMYFUNCTION("""COMPUTED_VALUE""")," N/A ")</f>
        <v>N/A</v>
      </c>
      <c r="U1216" s="73" t="str">
        <f>IFERROR(__xludf.DUMMYFUNCTION("""COMPUTED_VALUE""")," NO CHARGE ")</f>
        <v>NO CHARGE</v>
      </c>
      <c r="V1216" s="2"/>
      <c r="W1216" s="2" t="str">
        <f>IFERROR(__xludf.DUMMYFUNCTION("""COMPUTED_VALUE"""),"N/A")</f>
        <v>N/A</v>
      </c>
      <c r="X1216" s="2" t="str">
        <f>IFERROR(__xludf.DUMMYFUNCTION("""COMPUTED_VALUE"""),"N/A")</f>
        <v>N/A</v>
      </c>
      <c r="Y1216" s="2"/>
      <c r="Z1216" s="2"/>
      <c r="AA1216" s="2"/>
      <c r="AB1216" s="2"/>
      <c r="AC1216" s="2"/>
      <c r="AD1216" s="2"/>
      <c r="AE1216" s="2"/>
      <c r="AF1216" s="2"/>
      <c r="AG1216" s="2"/>
      <c r="AH1216" s="2"/>
      <c r="AI1216" s="2"/>
      <c r="AJ1216" s="2" t="str">
        <f>IFERROR(__xludf.DUMMYFUNCTION("""COMPUTED_VALUE"""),"Laoag")</f>
        <v>Laoag</v>
      </c>
      <c r="AK1216" s="2" t="str">
        <f>IFERROR(__xludf.DUMMYFUNCTION("""COMPUTED_VALUE"""),"San Marcelino")</f>
        <v>San Marcelino</v>
      </c>
      <c r="AL1216" s="2" t="str">
        <f>IFERROR(__xludf.DUMMYFUNCTION("""COMPUTED_VALUE"""),"Zambales")</f>
        <v>Zambales</v>
      </c>
      <c r="AM1216" s="2">
        <f>IFERROR(__xludf.DUMMYFUNCTION("""COMPUTED_VALUE"""),3.0)</f>
        <v>3</v>
      </c>
      <c r="AN1216" s="2" t="str">
        <f>IFERROR(__xludf.DUMMYFUNCTION("""COMPUTED_VALUE"""),"RCEF 25-03-05")</f>
        <v>RCEF 25-03-05</v>
      </c>
      <c r="AO1216" s="2">
        <f>IFERROR(__xludf.DUMMYFUNCTION("""COMPUTED_VALUE"""),5.0)</f>
        <v>5</v>
      </c>
      <c r="AP1216" s="2" t="str">
        <f>IFERROR(__xludf.DUMMYFUNCTION("""COMPUTED_VALUE"""),"FREE PMS")</f>
        <v>FREE PMS</v>
      </c>
      <c r="AQ1216" s="2"/>
      <c r="AR1216" s="2"/>
      <c r="AS1216" s="2"/>
      <c r="AT1216" s="2"/>
      <c r="AU1216" s="2"/>
      <c r="AV1216" s="2"/>
      <c r="AW1216" s="2"/>
      <c r="AX1216" s="2"/>
      <c r="AY1216" s="2"/>
      <c r="AZ1216" s="2"/>
      <c r="BA1216" s="2"/>
      <c r="BB1216" s="2"/>
    </row>
    <row r="1217">
      <c r="A1217" s="2">
        <f>IFERROR(__xludf.DUMMYFUNCTION("""COMPUTED_VALUE"""),1213.0)</f>
        <v>1213</v>
      </c>
      <c r="B1217" s="2" t="str">
        <f>IFERROR(__xludf.DUMMYFUNCTION("""COMPUTED_VALUE"""),"COMPLETED")</f>
        <v>COMPLETED</v>
      </c>
      <c r="C1217" s="74">
        <f>IFERROR(__xludf.DUMMYFUNCTION("""COMPUTED_VALUE"""),45978.0)</f>
        <v>45978</v>
      </c>
      <c r="D1217" s="71" t="str">
        <f>IFERROR(__xludf.DUMMYFUNCTION("""COMPUTED_VALUE"""),"PANTOC FARMER'S ASSOCIATION")</f>
        <v>PANTOC FARMER'S ASSOCIATION</v>
      </c>
      <c r="E1217" s="71" t="str">
        <f>IFERROR(__xludf.DUMMYFUNCTION("""COMPUTED_VALUE"""),"Pantoc, Gabaldon, NUEVA ECIJA")</f>
        <v>Pantoc, Gabaldon, NUEVA ECIJA</v>
      </c>
      <c r="F1217" s="2" t="str">
        <f>IFERROR(__xludf.DUMMYFUNCTION("""COMPUTED_VALUE"""),"Victor D. Dacumos")</f>
        <v>Victor D. Dacumos</v>
      </c>
      <c r="G1217" s="2">
        <f>IFERROR(__xludf.DUMMYFUNCTION("""COMPUTED_VALUE"""),9.569688856E9)</f>
        <v>9569688856</v>
      </c>
      <c r="H1217" s="2"/>
      <c r="I1217" s="72" t="str">
        <f>IFERROR(__xludf.DUMMYFUNCTION("""COMPUTED_VALUE"""),"SPARE PARTS ACQUISITION")</f>
        <v>SPARE PARTS ACQUISITION</v>
      </c>
      <c r="J1217" s="72"/>
      <c r="K1217" s="72" t="str">
        <f>IFERROR(__xludf.DUMMYFUNCTION("""COMPUTED_VALUE"""),"KFS: DIESEL TANK COVER / FUEL CAP")</f>
        <v>KFS: DIESEL TANK COVER / FUEL CAP</v>
      </c>
      <c r="L1217" s="72" t="str">
        <f>IFERROR(__xludf.DUMMYFUNCTION("""COMPUTED_VALUE"""),"QUOTATION SENT:PAID : FOR SHIPPING: SHIPPED")</f>
        <v>QUOTATION SENT:PAID : FOR SHIPPING: SHIPPED</v>
      </c>
      <c r="M1217" s="2"/>
      <c r="N1217" s="2" t="str">
        <f>IFERROR(__xludf.DUMMYFUNCTION("""COMPUTED_VALUE"""),"PARTS:
FUEL FILTER")</f>
        <v>PARTS:
FUEL FILTER</v>
      </c>
      <c r="O1217" s="2" t="str">
        <f>IFERROR(__xludf.DUMMYFUNCTION("""COMPUTED_VALUE"""),"N/A")</f>
        <v>N/A</v>
      </c>
      <c r="P1217" s="2"/>
      <c r="Q1217" s="2"/>
      <c r="R1217" s="74" t="str">
        <f>IFERROR(__xludf.DUMMYFUNCTION("""COMPUTED_VALUE"""),"11/19/.25")</f>
        <v>11/19/.25</v>
      </c>
      <c r="S1217" s="2" t="str">
        <f>IFERROR(__xludf.DUMMYFUNCTION("""COMPUTED_VALUE"""),"MYKEE/CTF")</f>
        <v>MYKEE/CTF</v>
      </c>
      <c r="T1217" s="73">
        <f>IFERROR(__xludf.DUMMYFUNCTION("""COMPUTED_VALUE"""),2030.0)</f>
        <v>2030</v>
      </c>
      <c r="U1217" s="73" t="str">
        <f>IFERROR(__xludf.DUMMYFUNCTION("""COMPUTED_VALUE""")," REMITTED ")</f>
        <v>REMITTED</v>
      </c>
      <c r="V1217" s="2"/>
      <c r="W1217" s="2">
        <f>IFERROR(__xludf.DUMMYFUNCTION("""COMPUTED_VALUE"""),1730.0)</f>
        <v>1730</v>
      </c>
      <c r="X1217" s="2">
        <f>IFERROR(__xludf.DUMMYFUNCTION("""COMPUTED_VALUE"""),1607.0)</f>
        <v>1607</v>
      </c>
      <c r="Y1217" s="2"/>
      <c r="Z1217" s="2"/>
      <c r="AA1217" s="2"/>
      <c r="AB1217" s="2"/>
      <c r="AC1217" s="2"/>
      <c r="AD1217" s="2"/>
      <c r="AE1217" s="2"/>
      <c r="AF1217" s="2"/>
      <c r="AG1217" s="2"/>
      <c r="AH1217" s="2"/>
      <c r="AI1217" s="2"/>
      <c r="AJ1217" s="2" t="str">
        <f>IFERROR(__xludf.DUMMYFUNCTION("""COMPUTED_VALUE"""),"Pantoc")</f>
        <v>Pantoc</v>
      </c>
      <c r="AK1217" s="2" t="str">
        <f>IFERROR(__xludf.DUMMYFUNCTION("""COMPUTED_VALUE"""),"Gabaldon")</f>
        <v>Gabaldon</v>
      </c>
      <c r="AL1217" s="2" t="str">
        <f>IFERROR(__xludf.DUMMYFUNCTION("""COMPUTED_VALUE"""),"Nueva Ecija")</f>
        <v>Nueva Ecija</v>
      </c>
      <c r="AM1217" s="2">
        <f>IFERROR(__xludf.DUMMYFUNCTION("""COMPUTED_VALUE"""),3.0)</f>
        <v>3</v>
      </c>
      <c r="AN1217" s="2" t="str">
        <f>IFERROR(__xludf.DUMMYFUNCTION("""COMPUTED_VALUE"""),"RCEF 23-09-21 Rebidding")</f>
        <v>RCEF 23-09-21 Rebidding</v>
      </c>
      <c r="AO1217" s="2">
        <f>IFERROR(__xludf.DUMMYFUNCTION("""COMPUTED_VALUE"""),3.0)</f>
        <v>3</v>
      </c>
      <c r="AP1217" s="2"/>
      <c r="AQ1217" s="2"/>
      <c r="AR1217" s="2"/>
      <c r="AS1217" s="2"/>
      <c r="AT1217" s="2"/>
      <c r="AU1217" s="2"/>
      <c r="AV1217" s="2"/>
      <c r="AW1217" s="2"/>
      <c r="AX1217" s="2"/>
      <c r="AY1217" s="2"/>
      <c r="AZ1217" s="2"/>
      <c r="BA1217" s="2"/>
      <c r="BB1217" s="2"/>
    </row>
    <row r="1218">
      <c r="A1218" s="2">
        <f>IFERROR(__xludf.DUMMYFUNCTION("""COMPUTED_VALUE"""),1214.0)</f>
        <v>1214</v>
      </c>
      <c r="B1218" s="2" t="str">
        <f>IFERROR(__xludf.DUMMYFUNCTION("""COMPUTED_VALUE"""),"COMPLETED")</f>
        <v>COMPLETED</v>
      </c>
      <c r="C1218" s="74">
        <f>IFERROR(__xludf.DUMMYFUNCTION("""COMPUTED_VALUE"""),45978.0)</f>
        <v>45978</v>
      </c>
      <c r="D1218" s="71" t="str">
        <f>IFERROR(__xludf.DUMMYFUNCTION("""COMPUTED_VALUE"""),"GUTAD FARMERS IRRIGATORS ASSOCIATION INCORPORATED")</f>
        <v>GUTAD FARMERS IRRIGATORS ASSOCIATION INCORPORATED</v>
      </c>
      <c r="E1218" s="71" t="str">
        <f>IFERROR(__xludf.DUMMYFUNCTION("""COMPUTED_VALUE"""),"Tanyag, Calintaan, OCCIDENTAL MINDORO")</f>
        <v>Tanyag, Calintaan, OCCIDENTAL MINDORO</v>
      </c>
      <c r="F1218" s="2" t="str">
        <f>IFERROR(__xludf.DUMMYFUNCTION("""COMPUTED_VALUE"""),"JUAN ESTEBAN, JR.")</f>
        <v>JUAN ESTEBAN, JR.</v>
      </c>
      <c r="G1218" s="2" t="str">
        <f>IFERROR(__xludf.DUMMYFUNCTION("""COMPUTED_VALUE"""),"09358380144 / 0905 195 2181")</f>
        <v>09358380144 / 0905 195 2181</v>
      </c>
      <c r="H1218" s="2">
        <f>IFERROR(__xludf.DUMMYFUNCTION("""COMPUTED_VALUE"""),350.0)</f>
        <v>350</v>
      </c>
      <c r="I1218" s="72" t="str">
        <f>IFERROR(__xludf.DUMMYFUNCTION("""COMPUTED_VALUE"""),"PMS")</f>
        <v>PMS</v>
      </c>
      <c r="J1218" s="72" t="str">
        <f>IFERROR(__xludf.DUMMYFUNCTION("""COMPUTED_VALUE"""),"PMS")</f>
        <v>PMS</v>
      </c>
      <c r="K1218" s="72" t="str">
        <f>IFERROR(__xludf.DUMMYFUNCTION("""COMPUTED_VALUE"""),"MYK: 2ND PMS")</f>
        <v>MYK: 2ND PMS</v>
      </c>
      <c r="L1218" s="72" t="str">
        <f>IFERROR(__xludf.DUMMYFUNCTION("""COMPUTED_VALUE"""),"FPJ: Di daw po muna mag pa 2nd pms at walang Budget")</f>
        <v>FPJ: Di daw po muna mag pa 2nd pms at walang Budget</v>
      </c>
      <c r="M1218" s="2"/>
      <c r="N1218" s="2" t="str">
        <f>IFERROR(__xludf.DUMMYFUNCTION("""COMPUTED_VALUE"""),"PARTS:
HYDRAULIC FILTER")</f>
        <v>PARTS:
HYDRAULIC FILTER</v>
      </c>
      <c r="O1218" s="2" t="str">
        <f>IFERROR(__xludf.DUMMYFUNCTION("""COMPUTED_VALUE"""),"N/A")</f>
        <v>N/A</v>
      </c>
      <c r="P1218" s="2"/>
      <c r="Q1218" s="2"/>
      <c r="R1218" s="74">
        <f>IFERROR(__xludf.DUMMYFUNCTION("""COMPUTED_VALUE"""),45993.0)</f>
        <v>45993</v>
      </c>
      <c r="S1218" s="2" t="str">
        <f>IFERROR(__xludf.DUMMYFUNCTION("""COMPUTED_VALUE"""),"RBS/FPJ")</f>
        <v>RBS/FPJ</v>
      </c>
      <c r="T1218" s="73">
        <f>IFERROR(__xludf.DUMMYFUNCTION("""COMPUTED_VALUE"""),2800.0)</f>
        <v>2800</v>
      </c>
      <c r="U1218" s="73" t="str">
        <f>IFERROR(__xludf.DUMMYFUNCTION("""COMPUTED_VALUE""")," REMITTED ")</f>
        <v>REMITTED</v>
      </c>
      <c r="V1218" s="2"/>
      <c r="W1218" s="2">
        <f>IFERROR(__xludf.DUMMYFUNCTION("""COMPUTED_VALUE"""),1420.0)</f>
        <v>1420</v>
      </c>
      <c r="X1218" s="2">
        <f>IFERROR(__xludf.DUMMYFUNCTION("""COMPUTED_VALUE"""),1633.0)</f>
        <v>1633</v>
      </c>
      <c r="Y1218" s="2"/>
      <c r="Z1218" s="2"/>
      <c r="AA1218" s="2"/>
      <c r="AB1218" s="2"/>
      <c r="AC1218" s="2"/>
      <c r="AD1218" s="2"/>
      <c r="AE1218" s="2"/>
      <c r="AF1218" s="2"/>
      <c r="AG1218" s="2"/>
      <c r="AH1218" s="2"/>
      <c r="AI1218" s="2"/>
      <c r="AJ1218" s="2" t="str">
        <f>IFERROR(__xludf.DUMMYFUNCTION("""COMPUTED_VALUE"""),"Tanyag")</f>
        <v>Tanyag</v>
      </c>
      <c r="AK1218" s="2" t="str">
        <f>IFERROR(__xludf.DUMMYFUNCTION("""COMPUTED_VALUE"""),"Calintaan")</f>
        <v>Calintaan</v>
      </c>
      <c r="AL1218" s="2" t="str">
        <f>IFERROR(__xludf.DUMMYFUNCTION("""COMPUTED_VALUE"""),"Occidental Mindoro")</f>
        <v>Occidental Mindoro</v>
      </c>
      <c r="AM1218" s="2" t="str">
        <f>IFERROR(__xludf.DUMMYFUNCTION("""COMPUTED_VALUE"""),"4B")</f>
        <v>4B</v>
      </c>
      <c r="AN1218" s="2" t="str">
        <f>IFERROR(__xludf.DUMMYFUNCTION("""COMPUTED_VALUE"""),"RCEF 24-04-15")</f>
        <v>RCEF 24-04-15</v>
      </c>
      <c r="AO1218" s="2">
        <f>IFERROR(__xludf.DUMMYFUNCTION("""COMPUTED_VALUE"""),7.0)</f>
        <v>7</v>
      </c>
      <c r="AP1218" s="2" t="str">
        <f>IFERROR(__xludf.DUMMYFUNCTION("""COMPUTED_VALUE"""),"FREE PMS")</f>
        <v>FREE PMS</v>
      </c>
      <c r="AQ1218" s="2"/>
      <c r="AR1218" s="2"/>
      <c r="AS1218" s="2"/>
      <c r="AT1218" s="2"/>
      <c r="AU1218" s="2"/>
      <c r="AV1218" s="2"/>
      <c r="AW1218" s="2"/>
      <c r="AX1218" s="2"/>
      <c r="AY1218" s="2"/>
      <c r="AZ1218" s="2"/>
      <c r="BA1218" s="2"/>
      <c r="BB1218" s="2"/>
    </row>
    <row r="1219">
      <c r="A1219" s="2">
        <f>IFERROR(__xludf.DUMMYFUNCTION("""COMPUTED_VALUE"""),1215.0)</f>
        <v>1215</v>
      </c>
      <c r="B1219" s="2" t="str">
        <f>IFERROR(__xludf.DUMMYFUNCTION("""COMPUTED_VALUE"""),"COMPLETED")</f>
        <v>COMPLETED</v>
      </c>
      <c r="C1219" s="74">
        <f>IFERROR(__xludf.DUMMYFUNCTION("""COMPUTED_VALUE"""),45978.0)</f>
        <v>45978</v>
      </c>
      <c r="D1219" s="71" t="str">
        <f>IFERROR(__xludf.DUMMYFUNCTION("""COMPUTED_VALUE"""),"MATABIAGA MALAWAAN IRRIGATORS ASSOCIATION, INC.")</f>
        <v>MATABIAGA MALAWAAN IRRIGATORS ASSOCIATION, INC.</v>
      </c>
      <c r="E1219" s="71" t="str">
        <f>IFERROR(__xludf.DUMMYFUNCTION("""COMPUTED_VALUE"""),"MALAWAAN, RIZAL, OCCIDENTAL MINDORO")</f>
        <v>MALAWAAN, RIZAL, OCCIDENTAL MINDORO</v>
      </c>
      <c r="F1219" s="2" t="str">
        <f>IFERROR(__xludf.DUMMYFUNCTION("""COMPUTED_VALUE"""),"Enriqueta D. Tayco")</f>
        <v>Enriqueta D. Tayco</v>
      </c>
      <c r="G1219" s="2">
        <f>IFERROR(__xludf.DUMMYFUNCTION("""COMPUTED_VALUE"""),9.093540587E9)</f>
        <v>9093540587</v>
      </c>
      <c r="H1219" s="2"/>
      <c r="I1219" s="72" t="str">
        <f>IFERROR(__xludf.DUMMYFUNCTION("""COMPUTED_VALUE"""),"SPARE PARTS ACQUISITION")</f>
        <v>SPARE PARTS ACQUISITION</v>
      </c>
      <c r="J1219" s="72" t="str">
        <f>IFERROR(__xludf.DUMMYFUNCTION("""COMPUTED_VALUE"""),"SPARE PARTS ACQUISITION")</f>
        <v>SPARE PARTS ACQUISITION</v>
      </c>
      <c r="K1219" s="72" t="str">
        <f>IFERROR(__xludf.DUMMYFUNCTION("""COMPUTED_VALUE"""),"MYK: ROTAVATOR BLADES")</f>
        <v>MYK: ROTAVATOR BLADES</v>
      </c>
      <c r="L1219" s="72" t="str">
        <f>IFERROR(__xludf.DUMMYFUNCTION("""COMPUTED_VALUE"""),"QUOTATION SENT:PAID: FOR SHIPPING:")</f>
        <v>QUOTATION SENT:PAID: FOR SHIPPING:</v>
      </c>
      <c r="M1219" s="2"/>
      <c r="N1219" s="2" t="str">
        <f>IFERROR(__xludf.DUMMYFUNCTION("""COMPUTED_VALUE"""),"PARTS:
42 ROTAVATOR BLADES")</f>
        <v>PARTS:
42 ROTAVATOR BLADES</v>
      </c>
      <c r="O1219" s="2" t="str">
        <f>IFERROR(__xludf.DUMMYFUNCTION("""COMPUTED_VALUE"""),"N/A")</f>
        <v>N/A</v>
      </c>
      <c r="P1219" s="2"/>
      <c r="Q1219" s="2"/>
      <c r="R1219" s="74">
        <f>IFERROR(__xludf.DUMMYFUNCTION("""COMPUTED_VALUE"""),45979.0)</f>
        <v>45979</v>
      </c>
      <c r="S1219" s="2" t="str">
        <f>IFERROR(__xludf.DUMMYFUNCTION("""COMPUTED_VALUE"""),"MYKEE")</f>
        <v>MYKEE</v>
      </c>
      <c r="T1219" s="73">
        <f>IFERROR(__xludf.DUMMYFUNCTION("""COMPUTED_VALUE"""),25620.0)</f>
        <v>25620</v>
      </c>
      <c r="U1219" s="73" t="str">
        <f>IFERROR(__xludf.DUMMYFUNCTION("""COMPUTED_VALUE""")," REMITTED ")</f>
        <v>REMITTED</v>
      </c>
      <c r="V1219" s="2"/>
      <c r="W1219" s="2">
        <f>IFERROR(__xludf.DUMMYFUNCTION("""COMPUTED_VALUE"""),1729.0)</f>
        <v>1729</v>
      </c>
      <c r="X1219" s="2">
        <f>IFERROR(__xludf.DUMMYFUNCTION("""COMPUTED_VALUE"""),1604.0)</f>
        <v>1604</v>
      </c>
      <c r="Y1219" s="2"/>
      <c r="Z1219" s="2"/>
      <c r="AA1219" s="2"/>
      <c r="AB1219" s="2"/>
      <c r="AC1219" s="2"/>
      <c r="AD1219" s="2"/>
      <c r="AE1219" s="2"/>
      <c r="AF1219" s="2"/>
      <c r="AG1219" s="2"/>
      <c r="AH1219" s="2"/>
      <c r="AI1219" s="2"/>
      <c r="AJ1219" s="2" t="str">
        <f>IFERROR(__xludf.DUMMYFUNCTION("""COMPUTED_VALUE"""),"Malawaan")</f>
        <v>Malawaan</v>
      </c>
      <c r="AK1219" s="2" t="str">
        <f>IFERROR(__xludf.DUMMYFUNCTION("""COMPUTED_VALUE"""),"Rizal")</f>
        <v>Rizal</v>
      </c>
      <c r="AL1219" s="2" t="str">
        <f>IFERROR(__xludf.DUMMYFUNCTION("""COMPUTED_VALUE"""),"Occidental Mindoro")</f>
        <v>Occidental Mindoro</v>
      </c>
      <c r="AM1219" s="2" t="str">
        <f>IFERROR(__xludf.DUMMYFUNCTION("""COMPUTED_VALUE"""),"4B")</f>
        <v>4B</v>
      </c>
      <c r="AN1219" s="2" t="str">
        <f>IFERROR(__xludf.DUMMYFUNCTION("""COMPUTED_VALUE"""),"RCEF 23-08-20 Rebidding")</f>
        <v>RCEF 23-08-20 Rebidding</v>
      </c>
      <c r="AO1219" s="2">
        <f>IFERROR(__xludf.DUMMYFUNCTION("""COMPUTED_VALUE"""),1.0)</f>
        <v>1</v>
      </c>
      <c r="AP1219" s="2"/>
      <c r="AQ1219" s="2"/>
      <c r="AR1219" s="2"/>
      <c r="AS1219" s="2"/>
      <c r="AT1219" s="2"/>
      <c r="AU1219" s="2"/>
      <c r="AV1219" s="2"/>
      <c r="AW1219" s="2"/>
      <c r="AX1219" s="2"/>
      <c r="AY1219" s="2"/>
      <c r="AZ1219" s="2"/>
      <c r="BA1219" s="2"/>
      <c r="BB1219" s="2"/>
    </row>
    <row r="1220">
      <c r="A1220" s="2">
        <f>IFERROR(__xludf.DUMMYFUNCTION("""COMPUTED_VALUE"""),1216.0)</f>
        <v>1216</v>
      </c>
      <c r="B1220" s="2" t="str">
        <f>IFERROR(__xludf.DUMMYFUNCTION("""COMPUTED_VALUE"""),"COMPLETED")</f>
        <v>COMPLETED</v>
      </c>
      <c r="C1220" s="74">
        <f>IFERROR(__xludf.DUMMYFUNCTION("""COMPUTED_VALUE"""),45978.0)</f>
        <v>45978</v>
      </c>
      <c r="D1220" s="71" t="str">
        <f>IFERROR(__xludf.DUMMYFUNCTION("""COMPUTED_VALUE"""),"ANOLID GUANTANG FARMERS ASSOCIATION INC")</f>
        <v>ANOLID GUANTANG FARMERS ASSOCIATION INC</v>
      </c>
      <c r="E1220" s="71" t="str">
        <f>IFERROR(__xludf.DUMMYFUNCTION("""COMPUTED_VALUE"""),"Anolid, Mangaldan, PANGASINAN")</f>
        <v>Anolid, Mangaldan, PANGASINAN</v>
      </c>
      <c r="F1220" s="2" t="str">
        <f>IFERROR(__xludf.DUMMYFUNCTION("""COMPUTED_VALUE"""),"MARIO A. FLORES")</f>
        <v>MARIO A. FLORES</v>
      </c>
      <c r="G1220" s="2">
        <f>IFERROR(__xludf.DUMMYFUNCTION("""COMPUTED_VALUE"""),9.281639958E9)</f>
        <v>9281639958</v>
      </c>
      <c r="H1220" s="2">
        <f>IFERROR(__xludf.DUMMYFUNCTION("""COMPUTED_VALUE"""),480.0)</f>
        <v>480</v>
      </c>
      <c r="I1220" s="72" t="str">
        <f>IFERROR(__xludf.DUMMYFUNCTION("""COMPUTED_VALUE"""),"REPAIR - TRACTOR")</f>
        <v>REPAIR - TRACTOR</v>
      </c>
      <c r="J1220" s="72" t="str">
        <f>IFERROR(__xludf.DUMMYFUNCTION("""COMPUTED_VALUE"""),"PTO - Valve Solenoid")</f>
        <v>PTO - Valve Solenoid</v>
      </c>
      <c r="K1220" s="72" t="str">
        <f>IFERROR(__xludf.DUMMYFUNCTION("""COMPUTED_VALUE"""),"MYK: HINDI UMIIKOT ANG PTO ")</f>
        <v>MYK: HINDI UMIIKOT ANG PTO </v>
      </c>
      <c r="L1220" s="72" t="str">
        <f>IFERROR(__xludf.DUMMYFUNCTION("""COMPUTED_VALUE"""),"432: EGT: 2/24/26 : ASSESMENT - AYAW GUMANA NG ROTAVATOR - PARTS NEEDED: SOLENOID VALVE
MYK: 3/9/26 : KUNG PWEDE DAW KATAPUSAN IPAGAWA, AWARE DIN SILA SA PRICE NG PARTS AT KUNG PWEDE BAWASAN ANG SERVICE CHARGE (5K)
KFS: TO ORDER BY ECM (OUTSOURCE)
MYK:"&amp;" GUSTO NA IPAGAWA NI FCA YUNG TRACTOR. (FOR SCHEDULE)
CFG: REPLACED AND REPAIR PRO VALVE SOLENOID")</f>
        <v>432: EGT: 2/24/26 : ASSESMENT - AYAW GUMANA NG ROTAVATOR - PARTS NEEDED: SOLENOID VALVE
MYK: 3/9/26 : KUNG PWEDE DAW KATAPUSAN IPAGAWA, AWARE DIN SILA SA PRICE NG PARTS AT KUNG PWEDE BAWASAN ANG SERVICE CHARGE (5K)
KFS: TO ORDER BY ECM (OUTSOURCE)
MYK: GUSTO NA IPAGAWA NI FCA YUNG TRACTOR. (FOR SCHEDULE)
CFG: REPLACED AND REPAIR PRO VALVE SOLENOID</v>
      </c>
      <c r="M1220" s="2" t="str">
        <f>IFERROR(__xludf.DUMMYFUNCTION("""COMPUTED_VALUE"""),"PARTS:
SOLENOID PTO VALVE                                                                           PTO Valve Assy")</f>
        <v>PARTS:
SOLENOID PTO VALVE                                                                           PTO Valve Assy</v>
      </c>
      <c r="N1220" s="2" t="str">
        <f>IFERROR(__xludf.DUMMYFUNCTION("""COMPUTED_VALUE"""),"PARTS:
PTO VALVE SOLENOID
SERVICE CHARGE: 5,000")</f>
        <v>PARTS:
PTO VALVE SOLENOID
SERVICE CHARGE: 5,000</v>
      </c>
      <c r="O1220" s="2">
        <f>IFERROR(__xludf.DUMMYFUNCTION("""COMPUTED_VALUE"""),765.0)</f>
        <v>765</v>
      </c>
      <c r="P1220" s="2"/>
      <c r="Q1220" s="2" t="str">
        <f>IFERROR(__xludf.DUMMYFUNCTION("""COMPUTED_VALUE"""),"FOR PRINT")</f>
        <v>FOR PRINT</v>
      </c>
      <c r="R1220" s="74">
        <f>IFERROR(__xludf.DUMMYFUNCTION("""COMPUTED_VALUE"""),46160.0)</f>
        <v>46160</v>
      </c>
      <c r="S1220" s="2" t="str">
        <f>IFERROR(__xludf.DUMMYFUNCTION("""COMPUTED_VALUE"""),"CFG/JVV")</f>
        <v>CFG/JVV</v>
      </c>
      <c r="T1220" s="73">
        <f>IFERROR(__xludf.DUMMYFUNCTION("""COMPUTED_VALUE"""),20500.0)</f>
        <v>20500</v>
      </c>
      <c r="U1220" s="73" t="str">
        <f>IFERROR(__xludf.DUMMYFUNCTION("""COMPUTED_VALUE""")," FOR REMIT ")</f>
        <v>FOR REMIT</v>
      </c>
      <c r="V1220" s="2">
        <f>IFERROR(__xludf.DUMMYFUNCTION("""COMPUTED_VALUE"""),1662.0)</f>
        <v>1662</v>
      </c>
      <c r="W1220" s="2">
        <f>IFERROR(__xludf.DUMMYFUNCTION("""COMPUTED_VALUE"""),1789.0)</f>
        <v>1789</v>
      </c>
      <c r="X1220" s="2"/>
      <c r="Y1220" s="2"/>
      <c r="Z1220" s="2"/>
      <c r="AA1220" s="2"/>
      <c r="AB1220" s="2"/>
      <c r="AC1220" s="2"/>
      <c r="AD1220" s="2"/>
      <c r="AE1220" s="2"/>
      <c r="AF1220" s="2"/>
      <c r="AG1220" s="2"/>
      <c r="AH1220" s="2"/>
      <c r="AI1220" s="2"/>
      <c r="AJ1220" s="2" t="str">
        <f>IFERROR(__xludf.DUMMYFUNCTION("""COMPUTED_VALUE"""),"Anolid")</f>
        <v>Anolid</v>
      </c>
      <c r="AK1220" s="2" t="str">
        <f>IFERROR(__xludf.DUMMYFUNCTION("""COMPUTED_VALUE"""),"Mangaldan")</f>
        <v>Mangaldan</v>
      </c>
      <c r="AL1220" s="2" t="str">
        <f>IFERROR(__xludf.DUMMYFUNCTION("""COMPUTED_VALUE"""),"Pangasinan")</f>
        <v>Pangasinan</v>
      </c>
      <c r="AM1220" s="2">
        <f>IFERROR(__xludf.DUMMYFUNCTION("""COMPUTED_VALUE"""),1.0)</f>
        <v>1</v>
      </c>
      <c r="AN1220" s="2" t="str">
        <f>IFERROR(__xludf.DUMMYFUNCTION("""COMPUTED_VALUE"""),"RCEF 23-09-21 Rebidding")</f>
        <v>RCEF 23-09-21 Rebidding</v>
      </c>
      <c r="AO1220" s="2">
        <f>IFERROR(__xludf.DUMMYFUNCTION("""COMPUTED_VALUE"""),2.0)</f>
        <v>2</v>
      </c>
      <c r="AP1220" s="2"/>
      <c r="AQ1220" s="2"/>
      <c r="AR1220" s="2"/>
      <c r="AS1220" s="2"/>
      <c r="AT1220" s="2"/>
      <c r="AU1220" s="2"/>
      <c r="AV1220" s="2"/>
      <c r="AW1220" s="2"/>
      <c r="AX1220" s="2"/>
      <c r="AY1220" s="2"/>
      <c r="AZ1220" s="2"/>
      <c r="BA1220" s="2"/>
      <c r="BB1220" s="2"/>
    </row>
    <row r="1221">
      <c r="A1221" s="2">
        <f>IFERROR(__xludf.DUMMYFUNCTION("""COMPUTED_VALUE"""),1217.0)</f>
        <v>1217</v>
      </c>
      <c r="B1221" s="2" t="str">
        <f>IFERROR(__xludf.DUMMYFUNCTION("""COMPUTED_VALUE"""),"COMPLETED")</f>
        <v>COMPLETED</v>
      </c>
      <c r="C1221" s="74">
        <f>IFERROR(__xludf.DUMMYFUNCTION("""COMPUTED_VALUE"""),45979.0)</f>
        <v>45979</v>
      </c>
      <c r="D1221" s="71" t="str">
        <f>IFERROR(__xludf.DUMMYFUNCTION("""COMPUTED_VALUE"""),"Malawaan Farmers and Fisherfolk Agriculture Cooperative (MAFAFICO)")</f>
        <v>Malawaan Farmers and Fisherfolk Agriculture Cooperative (MAFAFICO)</v>
      </c>
      <c r="E1221" s="71" t="str">
        <f>IFERROR(__xludf.DUMMYFUNCTION("""COMPUTED_VALUE"""),"Malawaan, Rizal, OCCIDENTAL MINDORO")</f>
        <v>Malawaan, Rizal, OCCIDENTAL MINDORO</v>
      </c>
      <c r="F1221" s="2" t="str">
        <f>IFERROR(__xludf.DUMMYFUNCTION("""COMPUTED_VALUE"""),"NANCY IBARRA")</f>
        <v>NANCY IBARRA</v>
      </c>
      <c r="G1221" s="2">
        <f>IFERROR(__xludf.DUMMYFUNCTION("""COMPUTED_VALUE"""),9.128969214E9)</f>
        <v>9128969214</v>
      </c>
      <c r="H1221" s="2">
        <f>IFERROR(__xludf.DUMMYFUNCTION("""COMPUTED_VALUE"""),170.0)</f>
        <v>170</v>
      </c>
      <c r="I1221" s="72" t="str">
        <f>IFERROR(__xludf.DUMMYFUNCTION("""COMPUTED_VALUE"""),"PMS")</f>
        <v>PMS</v>
      </c>
      <c r="J1221" s="72" t="str">
        <f>IFERROR(__xludf.DUMMYFUNCTION("""COMPUTED_VALUE"""),"PMS")</f>
        <v>PMS</v>
      </c>
      <c r="K1221" s="72" t="str">
        <f>IFERROR(__xludf.DUMMYFUNCTION("""COMPUTED_VALUE"""),"RCG: 1ST PMS")</f>
        <v>RCG: 1ST PMS</v>
      </c>
      <c r="L1221" s="72" t="str">
        <f>IFERROR(__xludf.DUMMYFUNCTION("""COMPUTED_VALUE"""),"RCG: 1ST PMS DONE")</f>
        <v>RCG: 1ST PMS DONE</v>
      </c>
      <c r="M1221" s="2"/>
      <c r="N1221" s="2" t="str">
        <f>IFERROR(__xludf.DUMMYFUNCTION("""COMPUTED_VALUE"""),"PARTS:
OIL FILTER
ENGINE OIL")</f>
        <v>PARTS:
OIL FILTER
ENGINE OIL</v>
      </c>
      <c r="O1221" s="2">
        <f>IFERROR(__xludf.DUMMYFUNCTION("""COMPUTED_VALUE"""),190.0)</f>
        <v>190</v>
      </c>
      <c r="P1221" s="2"/>
      <c r="Q1221" s="2" t="str">
        <f>IFERROR(__xludf.DUMMYFUNCTION("""COMPUTED_VALUE"""),"FOR PRINT")</f>
        <v>FOR PRINT</v>
      </c>
      <c r="R1221" s="74">
        <f>IFERROR(__xludf.DUMMYFUNCTION("""COMPUTED_VALUE"""),45979.0)</f>
        <v>45979</v>
      </c>
      <c r="S1221" s="2" t="str">
        <f>IFERROR(__xludf.DUMMYFUNCTION("""COMPUTED_VALUE"""),"RCG/RBS")</f>
        <v>RCG/RBS</v>
      </c>
      <c r="T1221" s="73" t="str">
        <f>IFERROR(__xludf.DUMMYFUNCTION("""COMPUTED_VALUE""")," N/A ")</f>
        <v>N/A</v>
      </c>
      <c r="U1221" s="73" t="str">
        <f>IFERROR(__xludf.DUMMYFUNCTION("""COMPUTED_VALUE""")," NO CHARGE ")</f>
        <v>NO CHARGE</v>
      </c>
      <c r="V1221" s="2"/>
      <c r="W1221" s="2" t="str">
        <f>IFERROR(__xludf.DUMMYFUNCTION("""COMPUTED_VALUE"""),"N/A")</f>
        <v>N/A</v>
      </c>
      <c r="X1221" s="2" t="str">
        <f>IFERROR(__xludf.DUMMYFUNCTION("""COMPUTED_VALUE"""),"N/A")</f>
        <v>N/A</v>
      </c>
      <c r="Y1221" s="2"/>
      <c r="Z1221" s="2"/>
      <c r="AA1221" s="2"/>
      <c r="AB1221" s="2"/>
      <c r="AC1221" s="2"/>
      <c r="AD1221" s="2"/>
      <c r="AE1221" s="2"/>
      <c r="AF1221" s="2"/>
      <c r="AG1221" s="2"/>
      <c r="AH1221" s="2"/>
      <c r="AI1221" s="2"/>
      <c r="AJ1221" s="2" t="str">
        <f>IFERROR(__xludf.DUMMYFUNCTION("""COMPUTED_VALUE"""),"Malawaan")</f>
        <v>Malawaan</v>
      </c>
      <c r="AK1221" s="2" t="str">
        <f>IFERROR(__xludf.DUMMYFUNCTION("""COMPUTED_VALUE"""),"Rizal")</f>
        <v>Rizal</v>
      </c>
      <c r="AL1221" s="2" t="str">
        <f>IFERROR(__xludf.DUMMYFUNCTION("""COMPUTED_VALUE"""),"Occidental Mindoro")</f>
        <v>Occidental Mindoro</v>
      </c>
      <c r="AM1221" s="2" t="str">
        <f>IFERROR(__xludf.DUMMYFUNCTION("""COMPUTED_VALUE"""),"4B")</f>
        <v>4B</v>
      </c>
      <c r="AN1221" s="2" t="str">
        <f>IFERROR(__xludf.DUMMYFUNCTION("""COMPUTED_VALUE"""),"RCEF 25-03-05")</f>
        <v>RCEF 25-03-05</v>
      </c>
      <c r="AO1221" s="2">
        <f>IFERROR(__xludf.DUMMYFUNCTION("""COMPUTED_VALUE"""),6.0)</f>
        <v>6</v>
      </c>
      <c r="AP1221" s="2" t="str">
        <f>IFERROR(__xludf.DUMMYFUNCTION("""COMPUTED_VALUE"""),"FREE PMS")</f>
        <v>FREE PMS</v>
      </c>
      <c r="AQ1221" s="2"/>
      <c r="AR1221" s="2"/>
      <c r="AS1221" s="2"/>
      <c r="AT1221" s="2"/>
      <c r="AU1221" s="2"/>
      <c r="AV1221" s="2"/>
      <c r="AW1221" s="2"/>
      <c r="AX1221" s="2"/>
      <c r="AY1221" s="2"/>
      <c r="AZ1221" s="2"/>
      <c r="BA1221" s="2"/>
      <c r="BB1221" s="2"/>
    </row>
    <row r="1222">
      <c r="A1222" s="2">
        <f>IFERROR(__xludf.DUMMYFUNCTION("""COMPUTED_VALUE"""),1218.0)</f>
        <v>1218</v>
      </c>
      <c r="B1222" s="2" t="str">
        <f>IFERROR(__xludf.DUMMYFUNCTION("""COMPUTED_VALUE"""),"PENDING")</f>
        <v>PENDING</v>
      </c>
      <c r="C1222" s="74">
        <f>IFERROR(__xludf.DUMMYFUNCTION("""COMPUTED_VALUE"""),45979.0)</f>
        <v>45979</v>
      </c>
      <c r="D1222" s="71" t="str">
        <f>IFERROR(__xludf.DUMMYFUNCTION("""COMPUTED_VALUE"""),"Samahan ng mga Magsasaka ng Brgy. Sta. Remedios")</f>
        <v>Samahan ng mga Magsasaka ng Brgy. Sta. Remedios</v>
      </c>
      <c r="E1222" s="71" t="str">
        <f>IFERROR(__xludf.DUMMYFUNCTION("""COMPUTED_VALUE"""),"Santa Remedios, Bulan, SORSOGON")</f>
        <v>Santa Remedios, Bulan, SORSOGON</v>
      </c>
      <c r="F1222" s="2" t="str">
        <f>IFERROR(__xludf.DUMMYFUNCTION("""COMPUTED_VALUE"""),"Daniel Z. Ginga")</f>
        <v>Daniel Z. Ginga</v>
      </c>
      <c r="G1222" s="2" t="str">
        <f>IFERROR(__xludf.DUMMYFUNCTION("""COMPUTED_VALUE"""),"0997 857 1666")</f>
        <v>0997 857 1666</v>
      </c>
      <c r="H1222" s="2">
        <f>IFERROR(__xludf.DUMMYFUNCTION("""COMPUTED_VALUE"""),40.0)</f>
        <v>40</v>
      </c>
      <c r="I1222" s="72" t="str">
        <f>IFERROR(__xludf.DUMMYFUNCTION("""COMPUTED_VALUE"""),"PMS")</f>
        <v>PMS</v>
      </c>
      <c r="J1222" s="72" t="str">
        <f>IFERROR(__xludf.DUMMYFUNCTION("""COMPUTED_VALUE"""),"PMS")</f>
        <v>PMS</v>
      </c>
      <c r="K1222" s="72" t="str">
        <f>IFERROR(__xludf.DUMMYFUNCTION("""COMPUTED_VALUE"""),"FPJ: 1ST PMS FREE")</f>
        <v>FPJ: 1ST PMS FREE</v>
      </c>
      <c r="L1222" s="72"/>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c r="AJ1222" s="2" t="str">
        <f>IFERROR(__xludf.DUMMYFUNCTION("""COMPUTED_VALUE"""),"Santa Remedios")</f>
        <v>Santa Remedios</v>
      </c>
      <c r="AK1222" s="2" t="str">
        <f>IFERROR(__xludf.DUMMYFUNCTION("""COMPUTED_VALUE"""),"Bulan")</f>
        <v>Bulan</v>
      </c>
      <c r="AL1222" s="2" t="str">
        <f>IFERROR(__xludf.DUMMYFUNCTION("""COMPUTED_VALUE"""),"Sorsogon")</f>
        <v>Sorsogon</v>
      </c>
      <c r="AM1222" s="2">
        <f>IFERROR(__xludf.DUMMYFUNCTION("""COMPUTED_VALUE"""),5.0)</f>
        <v>5</v>
      </c>
      <c r="AN1222" s="2" t="str">
        <f>IFERROR(__xludf.DUMMYFUNCTION("""COMPUTED_VALUE"""),"RCEF 25-03-05")</f>
        <v>RCEF 25-03-05</v>
      </c>
      <c r="AO1222" s="2">
        <f>IFERROR(__xludf.DUMMYFUNCTION("""COMPUTED_VALUE"""),6.0)</f>
        <v>6</v>
      </c>
      <c r="AP1222" s="2" t="str">
        <f>IFERROR(__xludf.DUMMYFUNCTION("""COMPUTED_VALUE"""),"FREE PMS")</f>
        <v>FREE PMS</v>
      </c>
      <c r="AQ1222" s="2"/>
      <c r="AR1222" s="2"/>
      <c r="AS1222" s="2"/>
      <c r="AT1222" s="2"/>
      <c r="AU1222" s="2"/>
      <c r="AV1222" s="2"/>
      <c r="AW1222" s="2"/>
      <c r="AX1222" s="2"/>
      <c r="AY1222" s="2"/>
      <c r="AZ1222" s="2"/>
      <c r="BA1222" s="2"/>
      <c r="BB1222" s="2"/>
    </row>
    <row r="1223">
      <c r="A1223" s="2">
        <f>IFERROR(__xludf.DUMMYFUNCTION("""COMPUTED_VALUE"""),1219.0)</f>
        <v>1219</v>
      </c>
      <c r="B1223" s="2" t="str">
        <f>IFERROR(__xludf.DUMMYFUNCTION("""COMPUTED_VALUE"""),"COMPLETED")</f>
        <v>COMPLETED</v>
      </c>
      <c r="C1223" s="74">
        <f>IFERROR(__xludf.DUMMYFUNCTION("""COMPUTED_VALUE"""),45980.0)</f>
        <v>45980</v>
      </c>
      <c r="D1223" s="71" t="str">
        <f>IFERROR(__xludf.DUMMYFUNCTION("""COMPUTED_VALUE"""),"SAN RAMON LAGONOY FARMERS ASSOCIATION (SRLFA)")</f>
        <v>SAN RAMON LAGONOY FARMERS ASSOCIATION (SRLFA)</v>
      </c>
      <c r="E1223" s="71" t="str">
        <f>IFERROR(__xludf.DUMMYFUNCTION("""COMPUTED_VALUE"""),"San Ramon, Lagonoy, CAMARINES SUR")</f>
        <v>San Ramon, Lagonoy, CAMARINES SUR</v>
      </c>
      <c r="F1223" s="2" t="str">
        <f>IFERROR(__xludf.DUMMYFUNCTION("""COMPUTED_VALUE"""),"BUCK MADRID")</f>
        <v>BUCK MADRID</v>
      </c>
      <c r="G1223" s="2">
        <f>IFERROR(__xludf.DUMMYFUNCTION("""COMPUTED_VALUE"""),9.491186638E9)</f>
        <v>9491186638</v>
      </c>
      <c r="H1223" s="2">
        <f>IFERROR(__xludf.DUMMYFUNCTION("""COMPUTED_VALUE"""),149.0)</f>
        <v>149</v>
      </c>
      <c r="I1223" s="72" t="str">
        <f>IFERROR(__xludf.DUMMYFUNCTION("""COMPUTED_VALUE"""),"REPAIR - TRACTOR")</f>
        <v>REPAIR - TRACTOR</v>
      </c>
      <c r="J1223" s="72" t="str">
        <f>IFERROR(__xludf.DUMMYFUNCTION("""COMPUTED_VALUE"""),"Transmission - Clutch")</f>
        <v>Transmission - Clutch</v>
      </c>
      <c r="K1223" s="72" t="str">
        <f>IFERROR(__xludf.DUMMYFUNCTION("""COMPUTED_VALUE"""),"KFS: NAG LOW POWER AT AYAW UMABANTE")</f>
        <v>KFS: NAG LOW POWER AT AYAW UMABANTE</v>
      </c>
      <c r="L1223" s="72" t="str">
        <f>IFERROR(__xludf.DUMMYFUNCTION("""COMPUTED_VALUE"""),"JAH: NAG ADJUST NG CLUTCH PEDAL")</f>
        <v>JAH: NAG ADJUST NG CLUTCH PEDAL</v>
      </c>
      <c r="M1223" s="2"/>
      <c r="N1223" s="2"/>
      <c r="O1223" s="2">
        <f>IFERROR(__xludf.DUMMYFUNCTION("""COMPUTED_VALUE"""),377.0)</f>
        <v>377</v>
      </c>
      <c r="P1223" s="2"/>
      <c r="Q1223" s="2" t="str">
        <f>IFERROR(__xludf.DUMMYFUNCTION("""COMPUTED_VALUE"""),"FOR PRINT")</f>
        <v>FOR PRINT</v>
      </c>
      <c r="R1223" s="74">
        <f>IFERROR(__xludf.DUMMYFUNCTION("""COMPUTED_VALUE"""),45985.0)</f>
        <v>45985</v>
      </c>
      <c r="S1223" s="2" t="str">
        <f>IFERROR(__xludf.DUMMYFUNCTION("""COMPUTED_VALUE"""),"JTT/JAH")</f>
        <v>JTT/JAH</v>
      </c>
      <c r="T1223" s="73" t="str">
        <f>IFERROR(__xludf.DUMMYFUNCTION("""COMPUTED_VALUE""")," N/A ")</f>
        <v>N/A</v>
      </c>
      <c r="U1223" s="73" t="str">
        <f>IFERROR(__xludf.DUMMYFUNCTION("""COMPUTED_VALUE""")," NO CHARGE ")</f>
        <v>NO CHARGE</v>
      </c>
      <c r="V1223" s="2"/>
      <c r="W1223" s="2" t="str">
        <f>IFERROR(__xludf.DUMMYFUNCTION("""COMPUTED_VALUE"""),"N/A")</f>
        <v>N/A</v>
      </c>
      <c r="X1223" s="2" t="str">
        <f>IFERROR(__xludf.DUMMYFUNCTION("""COMPUTED_VALUE"""),"N/A")</f>
        <v>N/A</v>
      </c>
      <c r="Y1223" s="2"/>
      <c r="Z1223" s="2"/>
      <c r="AA1223" s="2"/>
      <c r="AB1223" s="2"/>
      <c r="AC1223" s="2"/>
      <c r="AD1223" s="2"/>
      <c r="AE1223" s="2"/>
      <c r="AF1223" s="2"/>
      <c r="AG1223" s="2"/>
      <c r="AH1223" s="2"/>
      <c r="AI1223" s="2"/>
      <c r="AJ1223" s="2" t="str">
        <f>IFERROR(__xludf.DUMMYFUNCTION("""COMPUTED_VALUE"""),"San Ramon")</f>
        <v>San Ramon</v>
      </c>
      <c r="AK1223" s="2" t="str">
        <f>IFERROR(__xludf.DUMMYFUNCTION("""COMPUTED_VALUE"""),"Lagonoy")</f>
        <v>Lagonoy</v>
      </c>
      <c r="AL1223" s="2" t="str">
        <f>IFERROR(__xludf.DUMMYFUNCTION("""COMPUTED_VALUE"""),"Camarines Sur")</f>
        <v>Camarines Sur</v>
      </c>
      <c r="AM1223" s="2">
        <f>IFERROR(__xludf.DUMMYFUNCTION("""COMPUTED_VALUE"""),5.0)</f>
        <v>5</v>
      </c>
      <c r="AN1223" s="2" t="str">
        <f>IFERROR(__xludf.DUMMYFUNCTION("""COMPUTED_VALUE"""),"RCEF 24-04-15")</f>
        <v>RCEF 24-04-15</v>
      </c>
      <c r="AO1223" s="2">
        <f>IFERROR(__xludf.DUMMYFUNCTION("""COMPUTED_VALUE"""),7.0)</f>
        <v>7</v>
      </c>
      <c r="AP1223" s="2" t="str">
        <f>IFERROR(__xludf.DUMMYFUNCTION("""COMPUTED_VALUE"""),"FREE PMS")</f>
        <v>FREE PMS</v>
      </c>
      <c r="AQ1223" s="2"/>
      <c r="AR1223" s="2"/>
      <c r="AS1223" s="2"/>
      <c r="AT1223" s="2"/>
      <c r="AU1223" s="2"/>
      <c r="AV1223" s="2"/>
      <c r="AW1223" s="2"/>
      <c r="AX1223" s="2"/>
      <c r="AY1223" s="2"/>
      <c r="AZ1223" s="2"/>
      <c r="BA1223" s="2"/>
      <c r="BB1223" s="2"/>
    </row>
    <row r="1224">
      <c r="A1224" s="2">
        <f>IFERROR(__xludf.DUMMYFUNCTION("""COMPUTED_VALUE"""),1220.0)</f>
        <v>1220</v>
      </c>
      <c r="B1224" s="2" t="str">
        <f>IFERROR(__xludf.DUMMYFUNCTION("""COMPUTED_VALUE"""),"COMPLETED")</f>
        <v>COMPLETED</v>
      </c>
      <c r="C1224" s="74">
        <f>IFERROR(__xludf.DUMMYFUNCTION("""COMPUTED_VALUE"""),45980.0)</f>
        <v>45980</v>
      </c>
      <c r="D1224" s="71" t="str">
        <f>IFERROR(__xludf.DUMMYFUNCTION("""COMPUTED_VALUE"""),"Central D Multi-Purpose Cooperative")</f>
        <v>Central D Multi-Purpose Cooperative</v>
      </c>
      <c r="E1224" s="71" t="str">
        <f>IFERROR(__xludf.DUMMYFUNCTION("""COMPUTED_VALUE"""),"Central, San Jose, OCCIDENTAL MINDORO")</f>
        <v>Central, San Jose, OCCIDENTAL MINDORO</v>
      </c>
      <c r="F1224" s="2" t="str">
        <f>IFERROR(__xludf.DUMMYFUNCTION("""COMPUTED_VALUE"""),"CHRISTIAN SALAZAR")</f>
        <v>CHRISTIAN SALAZAR</v>
      </c>
      <c r="G1224" s="2" t="str">
        <f>IFERROR(__xludf.DUMMYFUNCTION("""COMPUTED_VALUE"""),"09297039961  /  09613071010")</f>
        <v>09297039961  /  09613071010</v>
      </c>
      <c r="H1224" s="2">
        <f>IFERROR(__xludf.DUMMYFUNCTION("""COMPUTED_VALUE"""),50.0)</f>
        <v>50</v>
      </c>
      <c r="I1224" s="72" t="str">
        <f>IFERROR(__xludf.DUMMYFUNCTION("""COMPUTED_VALUE"""),"PMS")</f>
        <v>PMS</v>
      </c>
      <c r="J1224" s="72"/>
      <c r="K1224" s="72" t="str">
        <f>IFERROR(__xludf.DUMMYFUNCTION("""COMPUTED_VALUE"""),"MYK: 1ST PMS FREE")</f>
        <v>MYK: 1ST PMS FREE</v>
      </c>
      <c r="L1224" s="72" t="str">
        <f>IFERROR(__xludf.DUMMYFUNCTION("""COMPUTED_VALUE"""),"FPJ: 1ST PMS DONE")</f>
        <v>FPJ: 1ST PMS DONE</v>
      </c>
      <c r="M1224" s="2"/>
      <c r="N1224" s="2" t="str">
        <f>IFERROR(__xludf.DUMMYFUNCTION("""COMPUTED_VALUE"""),"PARTS:
OIL FILTER
ENGINE OIL")</f>
        <v>PARTS:
OIL FILTER
ENGINE OIL</v>
      </c>
      <c r="O1224" s="2">
        <f>IFERROR(__xludf.DUMMYFUNCTION("""COMPUTED_VALUE"""),195.0)</f>
        <v>195</v>
      </c>
      <c r="P1224" s="2"/>
      <c r="Q1224" s="2" t="str">
        <f>IFERROR(__xludf.DUMMYFUNCTION("""COMPUTED_VALUE"""),"FOR PRINT")</f>
        <v>FOR PRINT</v>
      </c>
      <c r="R1224" s="74">
        <f>IFERROR(__xludf.DUMMYFUNCTION("""COMPUTED_VALUE"""),45994.0)</f>
        <v>45994</v>
      </c>
      <c r="S1224" s="2" t="str">
        <f>IFERROR(__xludf.DUMMYFUNCTION("""COMPUTED_VALUE"""),"RBS/FPJ")</f>
        <v>RBS/FPJ</v>
      </c>
      <c r="T1224" s="73" t="str">
        <f>IFERROR(__xludf.DUMMYFUNCTION("""COMPUTED_VALUE""")," N/A ")</f>
        <v>N/A</v>
      </c>
      <c r="U1224" s="73" t="str">
        <f>IFERROR(__xludf.DUMMYFUNCTION("""COMPUTED_VALUE""")," NO CHARGE ")</f>
        <v>NO CHARGE</v>
      </c>
      <c r="V1224" s="2"/>
      <c r="W1224" s="2" t="str">
        <f>IFERROR(__xludf.DUMMYFUNCTION("""COMPUTED_VALUE"""),"N/A")</f>
        <v>N/A</v>
      </c>
      <c r="X1224" s="2" t="str">
        <f>IFERROR(__xludf.DUMMYFUNCTION("""COMPUTED_VALUE"""),"N/A")</f>
        <v>N/A</v>
      </c>
      <c r="Y1224" s="2"/>
      <c r="Z1224" s="2"/>
      <c r="AA1224" s="2"/>
      <c r="AB1224" s="2"/>
      <c r="AC1224" s="2"/>
      <c r="AD1224" s="2"/>
      <c r="AE1224" s="2"/>
      <c r="AF1224" s="2"/>
      <c r="AG1224" s="2"/>
      <c r="AH1224" s="2"/>
      <c r="AI1224" s="2"/>
      <c r="AJ1224" s="2" t="str">
        <f>IFERROR(__xludf.DUMMYFUNCTION("""COMPUTED_VALUE"""),"Central")</f>
        <v>Central</v>
      </c>
      <c r="AK1224" s="2" t="str">
        <f>IFERROR(__xludf.DUMMYFUNCTION("""COMPUTED_VALUE"""),"San Jose")</f>
        <v>San Jose</v>
      </c>
      <c r="AL1224" s="2" t="str">
        <f>IFERROR(__xludf.DUMMYFUNCTION("""COMPUTED_VALUE"""),"Occidental Mindoro")</f>
        <v>Occidental Mindoro</v>
      </c>
      <c r="AM1224" s="2" t="str">
        <f>IFERROR(__xludf.DUMMYFUNCTION("""COMPUTED_VALUE"""),"4B")</f>
        <v>4B</v>
      </c>
      <c r="AN1224" s="2" t="str">
        <f>IFERROR(__xludf.DUMMYFUNCTION("""COMPUTED_VALUE"""),"RCEF 25-03-05")</f>
        <v>RCEF 25-03-05</v>
      </c>
      <c r="AO1224" s="2">
        <f>IFERROR(__xludf.DUMMYFUNCTION("""COMPUTED_VALUE"""),6.0)</f>
        <v>6</v>
      </c>
      <c r="AP1224" s="2" t="str">
        <f>IFERROR(__xludf.DUMMYFUNCTION("""COMPUTED_VALUE"""),"FREE PMS")</f>
        <v>FREE PMS</v>
      </c>
      <c r="AQ1224" s="2"/>
      <c r="AR1224" s="2"/>
      <c r="AS1224" s="2"/>
      <c r="AT1224" s="2"/>
      <c r="AU1224" s="2"/>
      <c r="AV1224" s="2"/>
      <c r="AW1224" s="2"/>
      <c r="AX1224" s="2"/>
      <c r="AY1224" s="2"/>
      <c r="AZ1224" s="2"/>
      <c r="BA1224" s="2"/>
      <c r="BB1224" s="2"/>
    </row>
    <row r="1225">
      <c r="A1225" s="2">
        <f>IFERROR(__xludf.DUMMYFUNCTION("""COMPUTED_VALUE"""),1221.0)</f>
        <v>1221</v>
      </c>
      <c r="B1225" s="2" t="str">
        <f>IFERROR(__xludf.DUMMYFUNCTION("""COMPUTED_VALUE"""),"COMPLETED")</f>
        <v>COMPLETED</v>
      </c>
      <c r="C1225" s="74">
        <f>IFERROR(__xludf.DUMMYFUNCTION("""COMPUTED_VALUE"""),45980.0)</f>
        <v>45980</v>
      </c>
      <c r="D1225" s="71" t="str">
        <f>IFERROR(__xludf.DUMMYFUNCTION("""COMPUTED_VALUE"""),"ASOSASYON NG MAGBUBUKID NG GATID, INC.")</f>
        <v>ASOSASYON NG MAGBUBUKID NG GATID, INC.</v>
      </c>
      <c r="E1225" s="71" t="str">
        <f>IFERROR(__xludf.DUMMYFUNCTION("""COMPUTED_VALUE"""),"Gatid, Santa Cruz, LAGUNA")</f>
        <v>Gatid, Santa Cruz, LAGUNA</v>
      </c>
      <c r="F1225" s="2"/>
      <c r="G1225" s="2"/>
      <c r="H1225" s="2"/>
      <c r="I1225" s="72" t="str">
        <f>IFERROR(__xludf.DUMMYFUNCTION("""COMPUTED_VALUE"""),"REPAIR - TRACTOR")</f>
        <v>REPAIR - TRACTOR</v>
      </c>
      <c r="J1225" s="72" t="str">
        <f>IFERROR(__xludf.DUMMYFUNCTION("""COMPUTED_VALUE"""),"CHECK UP UNIT")</f>
        <v>CHECK UP UNIT</v>
      </c>
      <c r="K1225" s="72" t="str">
        <f>IFERROR(__xludf.DUMMYFUNCTION("""COMPUTED_VALUE"""),"JTT: PTO COVER DAMAGE")</f>
        <v>JTT: PTO COVER DAMAGE</v>
      </c>
      <c r="L1225" s="72" t="str">
        <f>IFERROR(__xludf.DUMMYFUNCTION("""COMPUTED_VALUE"""),"ECM: OK NA WITH JTT UPON INSFECTION")</f>
        <v>ECM: OK NA WITH JTT UPON INSFECTION</v>
      </c>
      <c r="M1225" s="2"/>
      <c r="N1225" s="2"/>
      <c r="O1225" s="2" t="str">
        <f>IFERROR(__xludf.DUMMYFUNCTION("""COMPUTED_VALUE"""),"N/A")</f>
        <v>N/A</v>
      </c>
      <c r="P1225" s="2"/>
      <c r="Q1225" s="2"/>
      <c r="R1225" s="74">
        <f>IFERROR(__xludf.DUMMYFUNCTION("""COMPUTED_VALUE"""),45992.0)</f>
        <v>45992</v>
      </c>
      <c r="S1225" s="2" t="str">
        <f>IFERROR(__xludf.DUMMYFUNCTION("""COMPUTED_VALUE"""),"ECM/JTT")</f>
        <v>ECM/JTT</v>
      </c>
      <c r="T1225" s="73" t="str">
        <f>IFERROR(__xludf.DUMMYFUNCTION("""COMPUTED_VALUE""")," N/A ")</f>
        <v>N/A</v>
      </c>
      <c r="U1225" s="73" t="str">
        <f>IFERROR(__xludf.DUMMYFUNCTION("""COMPUTED_VALUE""")," NO CHARGE ")</f>
        <v>NO CHARGE</v>
      </c>
      <c r="V1225" s="2"/>
      <c r="W1225" s="2" t="str">
        <f>IFERROR(__xludf.DUMMYFUNCTION("""COMPUTED_VALUE"""),"N/A")</f>
        <v>N/A</v>
      </c>
      <c r="X1225" s="2" t="str">
        <f>IFERROR(__xludf.DUMMYFUNCTION("""COMPUTED_VALUE"""),"N/A")</f>
        <v>N/A</v>
      </c>
      <c r="Y1225" s="2"/>
      <c r="Z1225" s="2"/>
      <c r="AA1225" s="2"/>
      <c r="AB1225" s="2"/>
      <c r="AC1225" s="2"/>
      <c r="AD1225" s="2"/>
      <c r="AE1225" s="2"/>
      <c r="AF1225" s="2"/>
      <c r="AG1225" s="2"/>
      <c r="AH1225" s="2"/>
      <c r="AI1225" s="2"/>
      <c r="AJ1225" s="2" t="str">
        <f>IFERROR(__xludf.DUMMYFUNCTION("""COMPUTED_VALUE"""),"Gatid")</f>
        <v>Gatid</v>
      </c>
      <c r="AK1225" s="2" t="str">
        <f>IFERROR(__xludf.DUMMYFUNCTION("""COMPUTED_VALUE"""),"Santa Cruz")</f>
        <v>Santa Cruz</v>
      </c>
      <c r="AL1225" s="2" t="str">
        <f>IFERROR(__xludf.DUMMYFUNCTION("""COMPUTED_VALUE"""),"Laguna")</f>
        <v>Laguna</v>
      </c>
      <c r="AM1225" s="2" t="str">
        <f>IFERROR(__xludf.DUMMYFUNCTION("""COMPUTED_VALUE"""),"4A")</f>
        <v>4A</v>
      </c>
      <c r="AN1225" s="2" t="str">
        <f>IFERROR(__xludf.DUMMYFUNCTION("""COMPUTED_VALUE"""),"RCEF 25-03-05")</f>
        <v>RCEF 25-03-05</v>
      </c>
      <c r="AO1225" s="2">
        <f>IFERROR(__xludf.DUMMYFUNCTION("""COMPUTED_VALUE"""),7.0)</f>
        <v>7</v>
      </c>
      <c r="AP1225" s="2" t="str">
        <f>IFERROR(__xludf.DUMMYFUNCTION("""COMPUTED_VALUE"""),"FREE PMS")</f>
        <v>FREE PMS</v>
      </c>
      <c r="AQ1225" s="2"/>
      <c r="AR1225" s="2"/>
      <c r="AS1225" s="2"/>
      <c r="AT1225" s="2"/>
      <c r="AU1225" s="2"/>
      <c r="AV1225" s="2"/>
      <c r="AW1225" s="2"/>
      <c r="AX1225" s="2"/>
      <c r="AY1225" s="2"/>
      <c r="AZ1225" s="2"/>
      <c r="BA1225" s="2"/>
      <c r="BB1225" s="2"/>
    </row>
    <row r="1226">
      <c r="A1226" s="2">
        <f>IFERROR(__xludf.DUMMYFUNCTION("""COMPUTED_VALUE"""),1222.0)</f>
        <v>1222</v>
      </c>
      <c r="B1226" s="2" t="str">
        <f>IFERROR(__xludf.DUMMYFUNCTION("""COMPUTED_VALUE"""),"COMPLETED")</f>
        <v>COMPLETED</v>
      </c>
      <c r="C1226" s="74">
        <f>IFERROR(__xludf.DUMMYFUNCTION("""COMPUTED_VALUE"""),45980.0)</f>
        <v>45980</v>
      </c>
      <c r="D1226" s="71" t="str">
        <f>IFERROR(__xludf.DUMMYFUNCTION("""COMPUTED_VALUE"""),"BARANGAY BIÑAN MULTI-CROPS AND LIVESTOCK FARMERS ASSOCIATION (BBMCLFA)")</f>
        <v>BARANGAY BIÑAN MULTI-CROPS AND LIVESTOCK FARMERS ASSOCIATION (BBMCLFA)</v>
      </c>
      <c r="E1226" s="71" t="str">
        <f>IFERROR(__xludf.DUMMYFUNCTION("""COMPUTED_VALUE"""),"Biñan, Pagsanjan, LAGUNA")</f>
        <v>Biñan, Pagsanjan, LAGUNA</v>
      </c>
      <c r="F1226" s="2"/>
      <c r="G1226" s="2"/>
      <c r="H1226" s="2"/>
      <c r="I1226" s="72"/>
      <c r="J1226" s="72"/>
      <c r="K1226" s="72" t="str">
        <f>IFERROR(__xludf.DUMMYFUNCTION("""COMPUTED_VALUE"""),"JTT: PTO COVER DAMAGE")</f>
        <v>JTT: PTO COVER DAMAGE</v>
      </c>
      <c r="L1226" s="72" t="str">
        <f>IFERROR(__xludf.DUMMYFUNCTION("""COMPUTED_VALUE"""),"ECM: OK NA WITH JTT UPON INSFECTION")</f>
        <v>ECM: OK NA WITH JTT UPON INSFECTION</v>
      </c>
      <c r="M1226" s="2"/>
      <c r="N1226" s="2"/>
      <c r="O1226" s="2" t="str">
        <f>IFERROR(__xludf.DUMMYFUNCTION("""COMPUTED_VALUE"""),"N/A")</f>
        <v>N/A</v>
      </c>
      <c r="P1226" s="2"/>
      <c r="Q1226" s="2"/>
      <c r="R1226" s="74">
        <f>IFERROR(__xludf.DUMMYFUNCTION("""COMPUTED_VALUE"""),45992.0)</f>
        <v>45992</v>
      </c>
      <c r="S1226" s="2" t="str">
        <f>IFERROR(__xludf.DUMMYFUNCTION("""COMPUTED_VALUE"""),"ECM/JTT")</f>
        <v>ECM/JTT</v>
      </c>
      <c r="T1226" s="73" t="str">
        <f>IFERROR(__xludf.DUMMYFUNCTION("""COMPUTED_VALUE""")," N/A ")</f>
        <v>N/A</v>
      </c>
      <c r="U1226" s="73" t="str">
        <f>IFERROR(__xludf.DUMMYFUNCTION("""COMPUTED_VALUE""")," NO CHARGE ")</f>
        <v>NO CHARGE</v>
      </c>
      <c r="V1226" s="2"/>
      <c r="W1226" s="2" t="str">
        <f>IFERROR(__xludf.DUMMYFUNCTION("""COMPUTED_VALUE"""),"N/A")</f>
        <v>N/A</v>
      </c>
      <c r="X1226" s="2" t="str">
        <f>IFERROR(__xludf.DUMMYFUNCTION("""COMPUTED_VALUE"""),"N/A")</f>
        <v>N/A</v>
      </c>
      <c r="Y1226" s="2"/>
      <c r="Z1226" s="2"/>
      <c r="AA1226" s="2"/>
      <c r="AB1226" s="2"/>
      <c r="AC1226" s="2"/>
      <c r="AD1226" s="2"/>
      <c r="AE1226" s="2"/>
      <c r="AF1226" s="2"/>
      <c r="AG1226" s="2"/>
      <c r="AH1226" s="2"/>
      <c r="AI1226" s="2"/>
      <c r="AJ1226" s="2" t="str">
        <f>IFERROR(__xludf.DUMMYFUNCTION("""COMPUTED_VALUE"""),"Biñan")</f>
        <v>Biñan</v>
      </c>
      <c r="AK1226" s="2" t="str">
        <f>IFERROR(__xludf.DUMMYFUNCTION("""COMPUTED_VALUE"""),"Pagsanjan")</f>
        <v>Pagsanjan</v>
      </c>
      <c r="AL1226" s="2" t="str">
        <f>IFERROR(__xludf.DUMMYFUNCTION("""COMPUTED_VALUE"""),"Laguna")</f>
        <v>Laguna</v>
      </c>
      <c r="AM1226" s="2" t="str">
        <f>IFERROR(__xludf.DUMMYFUNCTION("""COMPUTED_VALUE"""),"4A")</f>
        <v>4A</v>
      </c>
      <c r="AN1226" s="2" t="str">
        <f>IFERROR(__xludf.DUMMYFUNCTION("""COMPUTED_VALUE"""),"RCEF 25-03-05")</f>
        <v>RCEF 25-03-05</v>
      </c>
      <c r="AO1226" s="2">
        <f>IFERROR(__xludf.DUMMYFUNCTION("""COMPUTED_VALUE"""),7.0)</f>
        <v>7</v>
      </c>
      <c r="AP1226" s="2" t="str">
        <f>IFERROR(__xludf.DUMMYFUNCTION("""COMPUTED_VALUE"""),"FREE PMS")</f>
        <v>FREE PMS</v>
      </c>
      <c r="AQ1226" s="2"/>
      <c r="AR1226" s="2"/>
      <c r="AS1226" s="2"/>
      <c r="AT1226" s="2"/>
      <c r="AU1226" s="2"/>
      <c r="AV1226" s="2"/>
      <c r="AW1226" s="2"/>
      <c r="AX1226" s="2"/>
      <c r="AY1226" s="2"/>
      <c r="AZ1226" s="2"/>
      <c r="BA1226" s="2"/>
      <c r="BB1226" s="2"/>
    </row>
    <row r="1227">
      <c r="A1227" s="2">
        <f>IFERROR(__xludf.DUMMYFUNCTION("""COMPUTED_VALUE"""),1223.0)</f>
        <v>1223</v>
      </c>
      <c r="B1227" s="2" t="str">
        <f>IFERROR(__xludf.DUMMYFUNCTION("""COMPUTED_VALUE"""),"PENDING")</f>
        <v>PENDING</v>
      </c>
      <c r="C1227" s="74">
        <f>IFERROR(__xludf.DUMMYFUNCTION("""COMPUTED_VALUE"""),45980.0)</f>
        <v>45980</v>
      </c>
      <c r="D1227" s="71" t="str">
        <f>IFERROR(__xludf.DUMMYFUNCTION("""COMPUTED_VALUE"""),"PUROK PALAYAN AMIA VILLAGE DINAPA FARMERS ASSOCIATION")</f>
        <v>PUROK PALAYAN AMIA VILLAGE DINAPA FARMERS ASSOCIATION</v>
      </c>
      <c r="E1227" s="71" t="str">
        <f>IFERROR(__xludf.DUMMYFUNCTION("""COMPUTED_VALUE"""),"Dinapa, Castilla, SORSOGON")</f>
        <v>Dinapa, Castilla, SORSOGON</v>
      </c>
      <c r="F1227" s="2" t="str">
        <f>IFERROR(__xludf.DUMMYFUNCTION("""COMPUTED_VALUE"""),"Benji Litino")</f>
        <v>Benji Litino</v>
      </c>
      <c r="G1227" s="2">
        <f>IFERROR(__xludf.DUMMYFUNCTION("""COMPUTED_VALUE"""),9.927287126E9)</f>
        <v>9927287126</v>
      </c>
      <c r="H1227" s="2"/>
      <c r="I1227" s="72" t="str">
        <f>IFERROR(__xludf.DUMMYFUNCTION("""COMPUTED_VALUE"""),"REPAIR - TRACTOR")</f>
        <v>REPAIR - TRACTOR</v>
      </c>
      <c r="J1227" s="72" t="str">
        <f>IFERROR(__xludf.DUMMYFUNCTION("""COMPUTED_VALUE"""),"Electrical - Dashboard")</f>
        <v>Electrical - Dashboard</v>
      </c>
      <c r="K1227" s="72" t="str">
        <f>IFERROR(__xludf.DUMMYFUNCTION("""COMPUTED_VALUE"""),"ON DELIVERY
FPJ: Di nagana ang meter panel")</f>
        <v>ON DELIVERY
FPJ: Di nagana ang meter panel</v>
      </c>
      <c r="L1227" s="72" t="str">
        <f>IFERROR(__xludf.DUMMYFUNCTION("""COMPUTED_VALUE"""),"MYK: UNATTENDED")</f>
        <v>MYK: UNATTENDED</v>
      </c>
      <c r="M1227" s="2" t="str">
        <f>IFERROR(__xludf.DUMMYFUNCTION("""COMPUTED_VALUE"""),"METER PANEL")</f>
        <v>METER PANEL</v>
      </c>
      <c r="N1227" s="2"/>
      <c r="O1227" s="2" t="str">
        <f>IFERROR(__xludf.DUMMYFUNCTION("""COMPUTED_VALUE"""),"PENDING")</f>
        <v>PENDING</v>
      </c>
      <c r="P1227" s="2"/>
      <c r="Q1227" s="2"/>
      <c r="R1227" s="2"/>
      <c r="S1227" s="2"/>
      <c r="T1227" s="2"/>
      <c r="U1227" s="2"/>
      <c r="V1227" s="2"/>
      <c r="W1227" s="2"/>
      <c r="X1227" s="2"/>
      <c r="Y1227" s="2"/>
      <c r="Z1227" s="2"/>
      <c r="AA1227" s="2"/>
      <c r="AB1227" s="2"/>
      <c r="AC1227" s="2"/>
      <c r="AD1227" s="2"/>
      <c r="AE1227" s="2"/>
      <c r="AF1227" s="2"/>
      <c r="AG1227" s="2"/>
      <c r="AH1227" s="2"/>
      <c r="AI1227" s="2"/>
      <c r="AJ1227" s="2" t="str">
        <f>IFERROR(__xludf.DUMMYFUNCTION("""COMPUTED_VALUE"""),"Dinapa")</f>
        <v>Dinapa</v>
      </c>
      <c r="AK1227" s="2" t="str">
        <f>IFERROR(__xludf.DUMMYFUNCTION("""COMPUTED_VALUE"""),"Castilla")</f>
        <v>Castilla</v>
      </c>
      <c r="AL1227" s="2" t="str">
        <f>IFERROR(__xludf.DUMMYFUNCTION("""COMPUTED_VALUE"""),"Sorsogon")</f>
        <v>Sorsogon</v>
      </c>
      <c r="AM1227" s="2">
        <f>IFERROR(__xludf.DUMMYFUNCTION("""COMPUTED_VALUE"""),5.0)</f>
        <v>5</v>
      </c>
      <c r="AN1227" s="2" t="str">
        <f>IFERROR(__xludf.DUMMYFUNCTION("""COMPUTED_VALUE"""),"RCEF 25-03-05")</f>
        <v>RCEF 25-03-05</v>
      </c>
      <c r="AO1227" s="2">
        <f>IFERROR(__xludf.DUMMYFUNCTION("""COMPUTED_VALUE"""),6.0)</f>
        <v>6</v>
      </c>
      <c r="AP1227" s="2" t="str">
        <f>IFERROR(__xludf.DUMMYFUNCTION("""COMPUTED_VALUE"""),"FREE PMS")</f>
        <v>FREE PMS</v>
      </c>
      <c r="AQ1227" s="2"/>
      <c r="AR1227" s="2"/>
      <c r="AS1227" s="2"/>
      <c r="AT1227" s="2"/>
      <c r="AU1227" s="2"/>
      <c r="AV1227" s="2"/>
      <c r="AW1227" s="2"/>
      <c r="AX1227" s="2"/>
      <c r="AY1227" s="2"/>
      <c r="AZ1227" s="2"/>
      <c r="BA1227" s="2"/>
      <c r="BB1227" s="2"/>
    </row>
    <row r="1228">
      <c r="A1228" s="2">
        <f>IFERROR(__xludf.DUMMYFUNCTION("""COMPUTED_VALUE"""),1224.0)</f>
        <v>1224</v>
      </c>
      <c r="B1228" s="2" t="str">
        <f>IFERROR(__xludf.DUMMYFUNCTION("""COMPUTED_VALUE"""),"COMPLETED")</f>
        <v>COMPLETED</v>
      </c>
      <c r="C1228" s="74">
        <f>IFERROR(__xludf.DUMMYFUNCTION("""COMPUTED_VALUE"""),45981.0)</f>
        <v>45981</v>
      </c>
      <c r="D1228" s="71" t="str">
        <f>IFERROR(__xludf.DUMMYFUNCTION("""COMPUTED_VALUE"""),"Tamaraw Development Cooperative (TADECO)")</f>
        <v>Tamaraw Development Cooperative (TADECO)</v>
      </c>
      <c r="E1228" s="71" t="str">
        <f>IFERROR(__xludf.DUMMYFUNCTION("""COMPUTED_VALUE"""),"La Curva, San Jose, OCCIDENTAL MINDORO")</f>
        <v>La Curva, San Jose, OCCIDENTAL MINDORO</v>
      </c>
      <c r="F1228" s="2" t="str">
        <f>IFERROR(__xludf.DUMMYFUNCTION("""COMPUTED_VALUE"""),"FRANCO BERGONIA")</f>
        <v>FRANCO BERGONIA</v>
      </c>
      <c r="G1228" s="2">
        <f>IFERROR(__xludf.DUMMYFUNCTION("""COMPUTED_VALUE"""),9.503537207E9)</f>
        <v>9503537207</v>
      </c>
      <c r="H1228" s="2">
        <f>IFERROR(__xludf.DUMMYFUNCTION("""COMPUTED_VALUE"""),42.0)</f>
        <v>42</v>
      </c>
      <c r="I1228" s="72" t="str">
        <f>IFERROR(__xludf.DUMMYFUNCTION("""COMPUTED_VALUE"""),"REPAIR - TRACTOR")</f>
        <v>REPAIR - TRACTOR</v>
      </c>
      <c r="J1228" s="72" t="str">
        <f>IFERROR(__xludf.DUMMYFUNCTION("""COMPUTED_VALUE"""),"Engine - Thermostat")</f>
        <v>Engine - Thermostat</v>
      </c>
      <c r="K1228" s="72" t="str">
        <f>IFERROR(__xludf.DUMMYFUNCTION("""COMPUTED_VALUE"""),"DELIVERED: 11/11/25
ENGINE OVERHEAT AND ALARM")</f>
        <v>DELIVERED: 11/11/25
ENGINE OVERHEAT AND ALARM</v>
      </c>
      <c r="L1228" s="72" t="str">
        <f>IFERROR(__xludf.DUMMYFUNCTION("""COMPUTED_VALUE"""),"FPJ: ito po yung reported engine Alarm and Overheat. 
Tinanggalan po ito ng thermostat . Wala na po update si farmer about sa issue
Iniwanan nalang po namin ng langis at oil filter gawa ng sila nag PMS ng una.
FPJ: 1ST PMS DONE")</f>
        <v>FPJ: ito po yung reported engine Alarm and Overheat. 
Tinanggalan po ito ng thermostat . Wala na po update si farmer about sa issue
Iniwanan nalang po namin ng langis at oil filter gawa ng sila nag PMS ng una.
FPJ: 1ST PMS DONE</v>
      </c>
      <c r="M1228" s="2"/>
      <c r="N1228" s="2" t="str">
        <f>IFERROR(__xludf.DUMMYFUNCTION("""COMPUTED_VALUE"""),"PARTS:
OIL FILTER
ENGINE OIL")</f>
        <v>PARTS:
OIL FILTER
ENGINE OIL</v>
      </c>
      <c r="O1228" s="2">
        <f>IFERROR(__xludf.DUMMYFUNCTION("""COMPUTED_VALUE"""),194.0)</f>
        <v>194</v>
      </c>
      <c r="P1228" s="2"/>
      <c r="Q1228" s="2" t="str">
        <f>IFERROR(__xludf.DUMMYFUNCTION("""COMPUTED_VALUE"""),"FOR PRINT")</f>
        <v>FOR PRINT</v>
      </c>
      <c r="R1228" s="74">
        <f>IFERROR(__xludf.DUMMYFUNCTION("""COMPUTED_VALUE"""),45993.0)</f>
        <v>45993</v>
      </c>
      <c r="S1228" s="2" t="str">
        <f>IFERROR(__xludf.DUMMYFUNCTION("""COMPUTED_VALUE"""),"RBS/FPJ")</f>
        <v>RBS/FPJ</v>
      </c>
      <c r="T1228" s="73" t="str">
        <f>IFERROR(__xludf.DUMMYFUNCTION("""COMPUTED_VALUE""")," N/A ")</f>
        <v>N/A</v>
      </c>
      <c r="U1228" s="73" t="str">
        <f>IFERROR(__xludf.DUMMYFUNCTION("""COMPUTED_VALUE""")," NO CHARGE ")</f>
        <v>NO CHARGE</v>
      </c>
      <c r="V1228" s="2"/>
      <c r="W1228" s="2" t="str">
        <f>IFERROR(__xludf.DUMMYFUNCTION("""COMPUTED_VALUE"""),"N/A")</f>
        <v>N/A</v>
      </c>
      <c r="X1228" s="2" t="str">
        <f>IFERROR(__xludf.DUMMYFUNCTION("""COMPUTED_VALUE"""),"N/A")</f>
        <v>N/A</v>
      </c>
      <c r="Y1228" s="2"/>
      <c r="Z1228" s="2"/>
      <c r="AA1228" s="2"/>
      <c r="AB1228" s="2"/>
      <c r="AC1228" s="2"/>
      <c r="AD1228" s="2"/>
      <c r="AE1228" s="2"/>
      <c r="AF1228" s="2"/>
      <c r="AG1228" s="2"/>
      <c r="AH1228" s="2"/>
      <c r="AI1228" s="2"/>
      <c r="AJ1228" s="2" t="str">
        <f>IFERROR(__xludf.DUMMYFUNCTION("""COMPUTED_VALUE"""),"La Curva")</f>
        <v>La Curva</v>
      </c>
      <c r="AK1228" s="2" t="str">
        <f>IFERROR(__xludf.DUMMYFUNCTION("""COMPUTED_VALUE"""),"San Jose")</f>
        <v>San Jose</v>
      </c>
      <c r="AL1228" s="2" t="str">
        <f>IFERROR(__xludf.DUMMYFUNCTION("""COMPUTED_VALUE"""),"Occidental Mindoro")</f>
        <v>Occidental Mindoro</v>
      </c>
      <c r="AM1228" s="2" t="str">
        <f>IFERROR(__xludf.DUMMYFUNCTION("""COMPUTED_VALUE"""),"4B")</f>
        <v>4B</v>
      </c>
      <c r="AN1228" s="2" t="str">
        <f>IFERROR(__xludf.DUMMYFUNCTION("""COMPUTED_VALUE"""),"RCEF 25-03-05")</f>
        <v>RCEF 25-03-05</v>
      </c>
      <c r="AO1228" s="2">
        <f>IFERROR(__xludf.DUMMYFUNCTION("""COMPUTED_VALUE"""),6.0)</f>
        <v>6</v>
      </c>
      <c r="AP1228" s="2" t="str">
        <f>IFERROR(__xludf.DUMMYFUNCTION("""COMPUTED_VALUE"""),"FREE PMS")</f>
        <v>FREE PMS</v>
      </c>
      <c r="AQ1228" s="2"/>
      <c r="AR1228" s="2"/>
      <c r="AS1228" s="2"/>
      <c r="AT1228" s="2"/>
      <c r="AU1228" s="2"/>
      <c r="AV1228" s="2"/>
      <c r="AW1228" s="2"/>
      <c r="AX1228" s="2"/>
      <c r="AY1228" s="2"/>
      <c r="AZ1228" s="2"/>
      <c r="BA1228" s="2"/>
      <c r="BB1228" s="2"/>
    </row>
    <row r="1229">
      <c r="A1229" s="2">
        <f>IFERROR(__xludf.DUMMYFUNCTION("""COMPUTED_VALUE"""),1225.0)</f>
        <v>1225</v>
      </c>
      <c r="B1229" s="2" t="str">
        <f>IFERROR(__xludf.DUMMYFUNCTION("""COMPUTED_VALUE"""),"COMPLETED")</f>
        <v>COMPLETED</v>
      </c>
      <c r="C1229" s="74">
        <f>IFERROR(__xludf.DUMMYFUNCTION("""COMPUTED_VALUE"""),45981.0)</f>
        <v>45981</v>
      </c>
      <c r="D1229" s="71" t="str">
        <f>IFERROR(__xludf.DUMMYFUNCTION("""COMPUTED_VALUE"""),"Guran-Sapa Multipurpose Cooperative")</f>
        <v>Guran-Sapa Multipurpose Cooperative</v>
      </c>
      <c r="E1229" s="71" t="str">
        <f>IFERROR(__xludf.DUMMYFUNCTION("""COMPUTED_VALUE"""),"San Pablo, Santa Ana, PAMPANGA")</f>
        <v>San Pablo, Santa Ana, PAMPANGA</v>
      </c>
      <c r="F1229" s="2" t="str">
        <f>IFERROR(__xludf.DUMMYFUNCTION("""COMPUTED_VALUE"""),"RICHARD POLICARPIO")</f>
        <v>RICHARD POLICARPIO</v>
      </c>
      <c r="G1229" s="2">
        <f>IFERROR(__xludf.DUMMYFUNCTION("""COMPUTED_VALUE"""),9.36311415E9)</f>
        <v>9363114150</v>
      </c>
      <c r="H1229" s="2"/>
      <c r="I1229" s="72" t="str">
        <f>IFERROR(__xludf.DUMMYFUNCTION("""COMPUTED_VALUE"""),"REPAIR - ROTAVATOR")</f>
        <v>REPAIR - ROTAVATOR</v>
      </c>
      <c r="J1229" s="72" t="str">
        <f>IFERROR(__xludf.DUMMYFUNCTION("""COMPUTED_VALUE"""),"Gearbox")</f>
        <v>Gearbox</v>
      </c>
      <c r="K1229" s="72" t="str">
        <f>IFERROR(__xludf.DUMMYFUNCTION("""COMPUTED_VALUE"""),"DATE DELIVERED: 11/20/25
MYK: MAINGAY YUNG ROTAVATOR, MAY KUMAKALAMPAG SA LOOB NG GEAR BOX")</f>
        <v>DATE DELIVERED: 11/20/25
MYK: MAINGAY YUNG ROTAVATOR, MAY KUMAKALAMPAG SA LOOB NG GEAR BOX</v>
      </c>
      <c r="L1229" s="72" t="str">
        <f>IFERROR(__xludf.DUMMYFUNCTION("""COMPUTED_VALUE"""),"JHP: UPON CHECK UP, WALANG PROBLEMA ANG UNIT, YUNG INGAY AY NORMAL NOISE LAMANG")</f>
        <v>JHP: UPON CHECK UP, WALANG PROBLEMA ANG UNIT, YUNG INGAY AY NORMAL NOISE LAMANG</v>
      </c>
      <c r="M1229" s="2"/>
      <c r="N1229" s="2"/>
      <c r="O1229" s="2">
        <f>IFERROR(__xludf.DUMMYFUNCTION("""COMPUTED_VALUE"""),1447.0)</f>
        <v>1447</v>
      </c>
      <c r="P1229" s="2"/>
      <c r="Q1229" s="2" t="str">
        <f>IFERROR(__xludf.DUMMYFUNCTION("""COMPUTED_VALUE"""),"FOR PRINT")</f>
        <v>FOR PRINT</v>
      </c>
      <c r="R1229" s="74">
        <f>IFERROR(__xludf.DUMMYFUNCTION("""COMPUTED_VALUE"""),45995.0)</f>
        <v>45995</v>
      </c>
      <c r="S1229" s="2" t="str">
        <f>IFERROR(__xludf.DUMMYFUNCTION("""COMPUTED_VALUE"""),"JHP")</f>
        <v>JHP</v>
      </c>
      <c r="T1229" s="73" t="str">
        <f>IFERROR(__xludf.DUMMYFUNCTION("""COMPUTED_VALUE""")," N/A ")</f>
        <v>N/A</v>
      </c>
      <c r="U1229" s="73" t="str">
        <f>IFERROR(__xludf.DUMMYFUNCTION("""COMPUTED_VALUE""")," NO CHARGE ")</f>
        <v>NO CHARGE</v>
      </c>
      <c r="V1229" s="2"/>
      <c r="W1229" s="2" t="str">
        <f>IFERROR(__xludf.DUMMYFUNCTION("""COMPUTED_VALUE"""),"N/A")</f>
        <v>N/A</v>
      </c>
      <c r="X1229" s="2" t="str">
        <f>IFERROR(__xludf.DUMMYFUNCTION("""COMPUTED_VALUE"""),"N/A")</f>
        <v>N/A</v>
      </c>
      <c r="Y1229" s="2"/>
      <c r="Z1229" s="2"/>
      <c r="AA1229" s="2"/>
      <c r="AB1229" s="2"/>
      <c r="AC1229" s="2"/>
      <c r="AD1229" s="2"/>
      <c r="AE1229" s="2"/>
      <c r="AF1229" s="2"/>
      <c r="AG1229" s="2"/>
      <c r="AH1229" s="2"/>
      <c r="AI1229" s="2"/>
      <c r="AJ1229" s="2" t="str">
        <f>IFERROR(__xludf.DUMMYFUNCTION("""COMPUTED_VALUE"""),"San Pablo")</f>
        <v>San Pablo</v>
      </c>
      <c r="AK1229" s="2" t="str">
        <f>IFERROR(__xludf.DUMMYFUNCTION("""COMPUTED_VALUE"""),"Santa Ana")</f>
        <v>Santa Ana</v>
      </c>
      <c r="AL1229" s="2" t="str">
        <f>IFERROR(__xludf.DUMMYFUNCTION("""COMPUTED_VALUE"""),"Pampanga")</f>
        <v>Pampanga</v>
      </c>
      <c r="AM1229" s="2">
        <f>IFERROR(__xludf.DUMMYFUNCTION("""COMPUTED_VALUE"""),3.0)</f>
        <v>3</v>
      </c>
      <c r="AN1229" s="2" t="str">
        <f>IFERROR(__xludf.DUMMYFUNCTION("""COMPUTED_VALUE"""),"RCEF 25-03-05")</f>
        <v>RCEF 25-03-05</v>
      </c>
      <c r="AO1229" s="2">
        <f>IFERROR(__xludf.DUMMYFUNCTION("""COMPUTED_VALUE"""),5.0)</f>
        <v>5</v>
      </c>
      <c r="AP1229" s="2" t="str">
        <f>IFERROR(__xludf.DUMMYFUNCTION("""COMPUTED_VALUE"""),"FREE PMS")</f>
        <v>FREE PMS</v>
      </c>
      <c r="AQ1229" s="2"/>
      <c r="AR1229" s="2"/>
      <c r="AS1229" s="2"/>
      <c r="AT1229" s="2"/>
      <c r="AU1229" s="2"/>
      <c r="AV1229" s="2"/>
      <c r="AW1229" s="2"/>
      <c r="AX1229" s="2"/>
      <c r="AY1229" s="2"/>
      <c r="AZ1229" s="2"/>
      <c r="BA1229" s="2"/>
      <c r="BB1229" s="2"/>
    </row>
    <row r="1230">
      <c r="A1230" s="2">
        <f>IFERROR(__xludf.DUMMYFUNCTION("""COMPUTED_VALUE"""),1226.0)</f>
        <v>1226</v>
      </c>
      <c r="B1230" s="2" t="str">
        <f>IFERROR(__xludf.DUMMYFUNCTION("""COMPUTED_VALUE"""),"COMPLETED")</f>
        <v>COMPLETED</v>
      </c>
      <c r="C1230" s="74">
        <f>IFERROR(__xludf.DUMMYFUNCTION("""COMPUTED_VALUE"""),45981.0)</f>
        <v>45981</v>
      </c>
      <c r="D1230" s="71" t="str">
        <f>IFERROR(__xludf.DUMMYFUNCTION("""COMPUTED_VALUE"""),"Samahan ng Manggagawang Bukid ng Central")</f>
        <v>Samahan ng Manggagawang Bukid ng Central</v>
      </c>
      <c r="E1230" s="71" t="str">
        <f>IFERROR(__xludf.DUMMYFUNCTION("""COMPUTED_VALUE"""),"Central, San Jose, OCCIDENTAL MINDORO")</f>
        <v>Central, San Jose, OCCIDENTAL MINDORO</v>
      </c>
      <c r="F1230" s="2" t="str">
        <f>IFERROR(__xludf.DUMMYFUNCTION("""COMPUTED_VALUE"""),"EMELYN DIONISIO")</f>
        <v>EMELYN DIONISIO</v>
      </c>
      <c r="G1230" s="2">
        <f>IFERROR(__xludf.DUMMYFUNCTION("""COMPUTED_VALUE"""),9.163860341E9)</f>
        <v>9163860341</v>
      </c>
      <c r="H1230" s="2">
        <f>IFERROR(__xludf.DUMMYFUNCTION("""COMPUTED_VALUE"""),48.0)</f>
        <v>48</v>
      </c>
      <c r="I1230" s="72" t="str">
        <f>IFERROR(__xludf.DUMMYFUNCTION("""COMPUTED_VALUE"""),"PMS")</f>
        <v>PMS</v>
      </c>
      <c r="J1230" s="72" t="str">
        <f>IFERROR(__xludf.DUMMYFUNCTION("""COMPUTED_VALUE"""),"PMS")</f>
        <v>PMS</v>
      </c>
      <c r="K1230" s="72" t="str">
        <f>IFERROR(__xludf.DUMMYFUNCTION("""COMPUTED_VALUE"""),"MYK: 1ST PMS FREE")</f>
        <v>MYK: 1ST PMS FREE</v>
      </c>
      <c r="L1230" s="72" t="str">
        <f>IFERROR(__xludf.DUMMYFUNCTION("""COMPUTED_VALUE"""),"FPJ: 1ST PMS DONE")</f>
        <v>FPJ: 1ST PMS DONE</v>
      </c>
      <c r="M1230" s="2"/>
      <c r="N1230" s="2" t="str">
        <f>IFERROR(__xludf.DUMMYFUNCTION("""COMPUTED_VALUE"""),"PARTS:
OIL FILTER
ENGINE OIL")</f>
        <v>PARTS:
OIL FILTER
ENGINE OIL</v>
      </c>
      <c r="O1230" s="2">
        <f>IFERROR(__xludf.DUMMYFUNCTION("""COMPUTED_VALUE"""),196.0)</f>
        <v>196</v>
      </c>
      <c r="P1230" s="2"/>
      <c r="Q1230" s="2" t="str">
        <f>IFERROR(__xludf.DUMMYFUNCTION("""COMPUTED_VALUE"""),"FOR PRINT")</f>
        <v>FOR PRINT</v>
      </c>
      <c r="R1230" s="74">
        <f>IFERROR(__xludf.DUMMYFUNCTION("""COMPUTED_VALUE"""),45994.0)</f>
        <v>45994</v>
      </c>
      <c r="S1230" s="2" t="str">
        <f>IFERROR(__xludf.DUMMYFUNCTION("""COMPUTED_VALUE"""),"RBS/FPJ")</f>
        <v>RBS/FPJ</v>
      </c>
      <c r="T1230" s="73" t="str">
        <f>IFERROR(__xludf.DUMMYFUNCTION("""COMPUTED_VALUE""")," N/A ")</f>
        <v>N/A</v>
      </c>
      <c r="U1230" s="73" t="str">
        <f>IFERROR(__xludf.DUMMYFUNCTION("""COMPUTED_VALUE""")," NO CHARGE ")</f>
        <v>NO CHARGE</v>
      </c>
      <c r="V1230" s="2"/>
      <c r="W1230" s="2" t="str">
        <f>IFERROR(__xludf.DUMMYFUNCTION("""COMPUTED_VALUE"""),"N/A")</f>
        <v>N/A</v>
      </c>
      <c r="X1230" s="2" t="str">
        <f>IFERROR(__xludf.DUMMYFUNCTION("""COMPUTED_VALUE"""),"N/A")</f>
        <v>N/A</v>
      </c>
      <c r="Y1230" s="2"/>
      <c r="Z1230" s="2"/>
      <c r="AA1230" s="2"/>
      <c r="AB1230" s="2"/>
      <c r="AC1230" s="2"/>
      <c r="AD1230" s="2"/>
      <c r="AE1230" s="2"/>
      <c r="AF1230" s="2"/>
      <c r="AG1230" s="2"/>
      <c r="AH1230" s="2"/>
      <c r="AI1230" s="2"/>
      <c r="AJ1230" s="2" t="str">
        <f>IFERROR(__xludf.DUMMYFUNCTION("""COMPUTED_VALUE"""),"Central")</f>
        <v>Central</v>
      </c>
      <c r="AK1230" s="2" t="str">
        <f>IFERROR(__xludf.DUMMYFUNCTION("""COMPUTED_VALUE"""),"San Jose")</f>
        <v>San Jose</v>
      </c>
      <c r="AL1230" s="2" t="str">
        <f>IFERROR(__xludf.DUMMYFUNCTION("""COMPUTED_VALUE"""),"Occidental Mindoro")</f>
        <v>Occidental Mindoro</v>
      </c>
      <c r="AM1230" s="2" t="str">
        <f>IFERROR(__xludf.DUMMYFUNCTION("""COMPUTED_VALUE"""),"4B")</f>
        <v>4B</v>
      </c>
      <c r="AN1230" s="2" t="str">
        <f>IFERROR(__xludf.DUMMYFUNCTION("""COMPUTED_VALUE"""),"RCEF 25-03-05")</f>
        <v>RCEF 25-03-05</v>
      </c>
      <c r="AO1230" s="2">
        <f>IFERROR(__xludf.DUMMYFUNCTION("""COMPUTED_VALUE"""),6.0)</f>
        <v>6</v>
      </c>
      <c r="AP1230" s="2" t="str">
        <f>IFERROR(__xludf.DUMMYFUNCTION("""COMPUTED_VALUE"""),"FREE PMS")</f>
        <v>FREE PMS</v>
      </c>
      <c r="AQ1230" s="2"/>
      <c r="AR1230" s="2"/>
      <c r="AS1230" s="2"/>
      <c r="AT1230" s="2"/>
      <c r="AU1230" s="2"/>
      <c r="AV1230" s="2"/>
      <c r="AW1230" s="2"/>
      <c r="AX1230" s="2"/>
      <c r="AY1230" s="2"/>
      <c r="AZ1230" s="2"/>
      <c r="BA1230" s="2"/>
      <c r="BB1230" s="2"/>
    </row>
    <row r="1231">
      <c r="A1231" s="2">
        <f>IFERROR(__xludf.DUMMYFUNCTION("""COMPUTED_VALUE"""),1227.0)</f>
        <v>1227</v>
      </c>
      <c r="B1231" s="2" t="str">
        <f>IFERROR(__xludf.DUMMYFUNCTION("""COMPUTED_VALUE"""),"COMPLETED")</f>
        <v>COMPLETED</v>
      </c>
      <c r="C1231" s="74">
        <f>IFERROR(__xludf.DUMMYFUNCTION("""COMPUTED_VALUE"""),45981.0)</f>
        <v>45981</v>
      </c>
      <c r="D1231" s="71" t="str">
        <f>IFERROR(__xludf.DUMMYFUNCTION("""COMPUTED_VALUE"""),"Lucky 9 Farmers Agriculture Cooperative")</f>
        <v>Lucky 9 Farmers Agriculture Cooperative</v>
      </c>
      <c r="E1231" s="71" t="str">
        <f>IFERROR(__xludf.DUMMYFUNCTION("""COMPUTED_VALUE"""),"Dolores, Capas, TARLAC")</f>
        <v>Dolores, Capas, TARLAC</v>
      </c>
      <c r="F1231" s="2" t="str">
        <f>IFERROR(__xludf.DUMMYFUNCTION("""COMPUTED_VALUE"""),"GERARDO S. GARCIA")</f>
        <v>GERARDO S. GARCIA</v>
      </c>
      <c r="G1231" s="2" t="str">
        <f>IFERROR(__xludf.DUMMYFUNCTION("""COMPUTED_VALUE"""),"9079646260 /  09858422480")</f>
        <v>9079646260 /  09858422480</v>
      </c>
      <c r="H1231" s="2">
        <f>IFERROR(__xludf.DUMMYFUNCTION("""COMPUTED_VALUE"""),333.5)</f>
        <v>333.5</v>
      </c>
      <c r="I1231" s="72" t="str">
        <f>IFERROR(__xludf.DUMMYFUNCTION("""COMPUTED_VALUE"""),"REPAIR - ROTAVATOR")</f>
        <v>REPAIR - ROTAVATOR</v>
      </c>
      <c r="J1231" s="72" t="str">
        <f>IFERROR(__xludf.DUMMYFUNCTION("""COMPUTED_VALUE"""),"Gearbox")</f>
        <v>Gearbox</v>
      </c>
      <c r="K1231" s="72" t="str">
        <f>IFERROR(__xludf.DUMMYFUNCTION("""COMPUTED_VALUE"""),"BMD: MAY PROBLEM ANG SHAFTING ROTAVATOR, AYAW UMIKOT NG ROTAVATOR, FOR ASSESSMENT")</f>
        <v>BMD: MAY PROBLEM ANG SHAFTING ROTAVATOR, AYAW UMIKOT NG ROTAVATOR, FOR ASSESSMENT</v>
      </c>
      <c r="L1231" s="72" t="str">
        <f>IFERROR(__xludf.DUMMYFUNCTION("""COMPUTED_VALUE"""),"JDP: Tinawagan ko po kanina si farmer pinagawa na daw po nila yung rotavator nila")</f>
        <v>JDP: Tinawagan ko po kanina si farmer pinagawa na daw po nila yung rotavator nila</v>
      </c>
      <c r="M1231" s="2"/>
      <c r="N1231" s="2"/>
      <c r="O1231" s="2" t="str">
        <f>IFERROR(__xludf.DUMMYFUNCTION("""COMPUTED_VALUE"""),"N/A")</f>
        <v>N/A</v>
      </c>
      <c r="P1231" s="2"/>
      <c r="Q1231" s="2"/>
      <c r="R1231" s="74">
        <f>IFERROR(__xludf.DUMMYFUNCTION("""COMPUTED_VALUE"""),46331.0)</f>
        <v>46331</v>
      </c>
      <c r="S1231" s="2" t="str">
        <f>IFERROR(__xludf.DUMMYFUNCTION("""COMPUTED_VALUE"""),"CFG/JDP")</f>
        <v>CFG/JDP</v>
      </c>
      <c r="T1231" s="73" t="str">
        <f>IFERROR(__xludf.DUMMYFUNCTION("""COMPUTED_VALUE""")," N/A ")</f>
        <v>N/A</v>
      </c>
      <c r="U1231" s="73" t="str">
        <f>IFERROR(__xludf.DUMMYFUNCTION("""COMPUTED_VALUE""")," NO CHARGE ")</f>
        <v>NO CHARGE</v>
      </c>
      <c r="V1231" s="2"/>
      <c r="W1231" s="2" t="str">
        <f>IFERROR(__xludf.DUMMYFUNCTION("""COMPUTED_VALUE"""),"N/A")</f>
        <v>N/A</v>
      </c>
      <c r="X1231" s="2" t="str">
        <f>IFERROR(__xludf.DUMMYFUNCTION("""COMPUTED_VALUE"""),"N/A")</f>
        <v>N/A</v>
      </c>
      <c r="Y1231" s="2"/>
      <c r="Z1231" s="2"/>
      <c r="AA1231" s="2"/>
      <c r="AB1231" s="2"/>
      <c r="AC1231" s="2"/>
      <c r="AD1231" s="2"/>
      <c r="AE1231" s="2"/>
      <c r="AF1231" s="2"/>
      <c r="AG1231" s="2"/>
      <c r="AH1231" s="2"/>
      <c r="AI1231" s="2"/>
      <c r="AJ1231" s="2" t="str">
        <f>IFERROR(__xludf.DUMMYFUNCTION("""COMPUTED_VALUE"""),"Dolores")</f>
        <v>Dolores</v>
      </c>
      <c r="AK1231" s="2" t="str">
        <f>IFERROR(__xludf.DUMMYFUNCTION("""COMPUTED_VALUE"""),"Capas")</f>
        <v>Capas</v>
      </c>
      <c r="AL1231" s="2" t="str">
        <f>IFERROR(__xludf.DUMMYFUNCTION("""COMPUTED_VALUE"""),"Tarlac")</f>
        <v>Tarlac</v>
      </c>
      <c r="AM1231" s="2">
        <f>IFERROR(__xludf.DUMMYFUNCTION("""COMPUTED_VALUE"""),3.0)</f>
        <v>3</v>
      </c>
      <c r="AN1231" s="2" t="str">
        <f>IFERROR(__xludf.DUMMYFUNCTION("""COMPUTED_VALUE"""),"RCEF 23-09-21 Rebidding")</f>
        <v>RCEF 23-09-21 Rebidding</v>
      </c>
      <c r="AO1231" s="2">
        <f>IFERROR(__xludf.DUMMYFUNCTION("""COMPUTED_VALUE"""),3.0)</f>
        <v>3</v>
      </c>
      <c r="AP1231" s="2"/>
      <c r="AQ1231" s="2"/>
      <c r="AR1231" s="2"/>
      <c r="AS1231" s="2"/>
      <c r="AT1231" s="2"/>
      <c r="AU1231" s="2"/>
      <c r="AV1231" s="2"/>
      <c r="AW1231" s="2"/>
      <c r="AX1231" s="2"/>
      <c r="AY1231" s="2"/>
      <c r="AZ1231" s="2"/>
      <c r="BA1231" s="2"/>
      <c r="BB1231" s="2"/>
    </row>
    <row r="1232">
      <c r="A1232" s="2">
        <f>IFERROR(__xludf.DUMMYFUNCTION("""COMPUTED_VALUE"""),1228.0)</f>
        <v>1228</v>
      </c>
      <c r="B1232" s="2" t="str">
        <f>IFERROR(__xludf.DUMMYFUNCTION("""COMPUTED_VALUE"""),"COMPLETED")</f>
        <v>COMPLETED</v>
      </c>
      <c r="C1232" s="74">
        <f>IFERROR(__xludf.DUMMYFUNCTION("""COMPUTED_VALUE"""),45981.0)</f>
        <v>45981</v>
      </c>
      <c r="D1232" s="71" t="str">
        <f>IFERROR(__xludf.DUMMYFUNCTION("""COMPUTED_VALUE"""),"SAMAHANG MAGSASAKA NG SAN ISIDRO BACON INC.")</f>
        <v>SAMAHANG MAGSASAKA NG SAN ISIDRO BACON INC.</v>
      </c>
      <c r="E1232" s="71" t="str">
        <f>IFERROR(__xludf.DUMMYFUNCTION("""COMPUTED_VALUE"""),"San Isidro (Bacon District), Sorsogon City, SORSOGON")</f>
        <v>San Isidro (Bacon District), Sorsogon City, SORSOGON</v>
      </c>
      <c r="F1232" s="2" t="str">
        <f>IFERROR(__xludf.DUMMYFUNCTION("""COMPUTED_VALUE"""),"Geronimo Divina")</f>
        <v>Geronimo Divina</v>
      </c>
      <c r="G1232" s="2">
        <f>IFERROR(__xludf.DUMMYFUNCTION("""COMPUTED_VALUE"""),9.308428343E9)</f>
        <v>9308428343</v>
      </c>
      <c r="H1232" s="2">
        <f>IFERROR(__xludf.DUMMYFUNCTION("""COMPUTED_VALUE"""),44.0)</f>
        <v>44</v>
      </c>
      <c r="I1232" s="72" t="str">
        <f>IFERROR(__xludf.DUMMYFUNCTION("""COMPUTED_VALUE"""),"PMS")</f>
        <v>PMS</v>
      </c>
      <c r="J1232" s="72" t="str">
        <f>IFERROR(__xludf.DUMMYFUNCTION("""COMPUTED_VALUE"""),"PMS")</f>
        <v>PMS</v>
      </c>
      <c r="K1232" s="72" t="str">
        <f>IFERROR(__xludf.DUMMYFUNCTION("""COMPUTED_VALUE"""),"FPJ: 1ST PMS FREE")</f>
        <v>FPJ: 1ST PMS FREE</v>
      </c>
      <c r="L1232" s="72" t="str">
        <f>IFERROR(__xludf.DUMMYFUNCTION("""COMPUTED_VALUE"""),"FPJ: 1ST PMS DONE")</f>
        <v>FPJ: 1ST PMS DONE</v>
      </c>
      <c r="M1232" s="2"/>
      <c r="N1232" s="2" t="str">
        <f>IFERROR(__xludf.DUMMYFUNCTION("""COMPUTED_VALUE"""),"PARTS:
OIL FILTER
ENGINE OIL")</f>
        <v>PARTS:
OIL FILTER
ENGINE OIL</v>
      </c>
      <c r="O1232" s="2">
        <f>IFERROR(__xludf.DUMMYFUNCTION("""COMPUTED_VALUE"""),67.0)</f>
        <v>67</v>
      </c>
      <c r="P1232" s="2"/>
      <c r="Q1232" s="2" t="str">
        <f>IFERROR(__xludf.DUMMYFUNCTION("""COMPUTED_VALUE"""),"FOR PRINT")</f>
        <v>FOR PRINT</v>
      </c>
      <c r="R1232" s="74">
        <f>IFERROR(__xludf.DUMMYFUNCTION("""COMPUTED_VALUE"""),45984.0)</f>
        <v>45984</v>
      </c>
      <c r="S1232" s="2" t="str">
        <f>IFERROR(__xludf.DUMMYFUNCTION("""COMPUTED_VALUE"""),"FPJ")</f>
        <v>FPJ</v>
      </c>
      <c r="T1232" s="73" t="str">
        <f>IFERROR(__xludf.DUMMYFUNCTION("""COMPUTED_VALUE""")," N/A ")</f>
        <v>N/A</v>
      </c>
      <c r="U1232" s="73" t="str">
        <f>IFERROR(__xludf.DUMMYFUNCTION("""COMPUTED_VALUE""")," NO CHARGE ")</f>
        <v>NO CHARGE</v>
      </c>
      <c r="V1232" s="2"/>
      <c r="W1232" s="2" t="str">
        <f>IFERROR(__xludf.DUMMYFUNCTION("""COMPUTED_VALUE"""),"N/A")</f>
        <v>N/A</v>
      </c>
      <c r="X1232" s="2" t="str">
        <f>IFERROR(__xludf.DUMMYFUNCTION("""COMPUTED_VALUE"""),"N/A")</f>
        <v>N/A</v>
      </c>
      <c r="Y1232" s="2"/>
      <c r="Z1232" s="2"/>
      <c r="AA1232" s="2"/>
      <c r="AB1232" s="2"/>
      <c r="AC1232" s="2"/>
      <c r="AD1232" s="2"/>
      <c r="AE1232" s="2"/>
      <c r="AF1232" s="2"/>
      <c r="AG1232" s="2"/>
      <c r="AH1232" s="2"/>
      <c r="AI1232" s="2"/>
      <c r="AJ1232" s="2" t="str">
        <f>IFERROR(__xludf.DUMMYFUNCTION("""COMPUTED_VALUE"""),"San Isidro (Bacon District)")</f>
        <v>San Isidro (Bacon District)</v>
      </c>
      <c r="AK1232" s="2" t="str">
        <f>IFERROR(__xludf.DUMMYFUNCTION("""COMPUTED_VALUE"""),"Sorsogon City")</f>
        <v>Sorsogon City</v>
      </c>
      <c r="AL1232" s="2" t="str">
        <f>IFERROR(__xludf.DUMMYFUNCTION("""COMPUTED_VALUE"""),"Sorsogon")</f>
        <v>Sorsogon</v>
      </c>
      <c r="AM1232" s="2">
        <f>IFERROR(__xludf.DUMMYFUNCTION("""COMPUTED_VALUE"""),5.0)</f>
        <v>5</v>
      </c>
      <c r="AN1232" s="2" t="str">
        <f>IFERROR(__xludf.DUMMYFUNCTION("""COMPUTED_VALUE"""),"RCEF 25-03-05")</f>
        <v>RCEF 25-03-05</v>
      </c>
      <c r="AO1232" s="2">
        <f>IFERROR(__xludf.DUMMYFUNCTION("""COMPUTED_VALUE"""),6.0)</f>
        <v>6</v>
      </c>
      <c r="AP1232" s="2" t="str">
        <f>IFERROR(__xludf.DUMMYFUNCTION("""COMPUTED_VALUE"""),"FREE PMS")</f>
        <v>FREE PMS</v>
      </c>
      <c r="AQ1232" s="2"/>
      <c r="AR1232" s="2"/>
      <c r="AS1232" s="2"/>
      <c r="AT1232" s="2"/>
      <c r="AU1232" s="2"/>
      <c r="AV1232" s="2"/>
      <c r="AW1232" s="2"/>
      <c r="AX1232" s="2"/>
      <c r="AY1232" s="2"/>
      <c r="AZ1232" s="2"/>
      <c r="BA1232" s="2"/>
      <c r="BB1232" s="2"/>
    </row>
    <row r="1233">
      <c r="A1233" s="2">
        <f>IFERROR(__xludf.DUMMYFUNCTION("""COMPUTED_VALUE"""),1229.0)</f>
        <v>1229</v>
      </c>
      <c r="B1233" s="2" t="str">
        <f>IFERROR(__xludf.DUMMYFUNCTION("""COMPUTED_VALUE"""),"COMPLETED")</f>
        <v>COMPLETED</v>
      </c>
      <c r="C1233" s="74">
        <f>IFERROR(__xludf.DUMMYFUNCTION("""COMPUTED_VALUE"""),45981.0)</f>
        <v>45981</v>
      </c>
      <c r="D1233" s="71" t="str">
        <f>IFERROR(__xludf.DUMMYFUNCTION("""COMPUTED_VALUE"""),"Samahang ng Manggagawang Mindoreño Agriculture Cooperative (SAMMAGRICO)")</f>
        <v>Samahang ng Manggagawang Mindoreño Agriculture Cooperative (SAMMAGRICO)</v>
      </c>
      <c r="E1233" s="71" t="str">
        <f>IFERROR(__xludf.DUMMYFUNCTION("""COMPUTED_VALUE"""),"Magbay, San Jose, OCCIDENTAL MINDORO")</f>
        <v>Magbay, San Jose, OCCIDENTAL MINDORO</v>
      </c>
      <c r="F1233" s="2" t="str">
        <f>IFERROR(__xludf.DUMMYFUNCTION("""COMPUTED_VALUE"""),"JERWIN OCINDO")</f>
        <v>JERWIN OCINDO</v>
      </c>
      <c r="G1233" s="2">
        <f>IFERROR(__xludf.DUMMYFUNCTION("""COMPUTED_VALUE"""),9.662635401E9)</f>
        <v>9662635401</v>
      </c>
      <c r="H1233" s="2"/>
      <c r="I1233" s="72" t="str">
        <f>IFERROR(__xludf.DUMMYFUNCTION("""COMPUTED_VALUE"""),"REPAIR - DISC PLOW")</f>
        <v>REPAIR - DISC PLOW</v>
      </c>
      <c r="J1233" s="72" t="str">
        <f>IFERROR(__xludf.DUMMYFUNCTION("""COMPUTED_VALUE"""),"Leak")</f>
        <v>Leak</v>
      </c>
      <c r="K1233" s="72" t="str">
        <f>IFERROR(__xludf.DUMMYFUNCTION("""COMPUTED_VALUE"""),"DELIVERE: 11/13/25
MYK: MAY LEAKING SA DICSPLOW, UMAALOG NADIN ANG MGA DISC.")</f>
        <v>DELIVERE: 11/13/25
MYK: MAY LEAKING SA DICSPLOW, UMAALOG NADIN ANG MGA DISC.</v>
      </c>
      <c r="L1233" s="72" t="str">
        <f>IFERROR(__xludf.DUMMYFUNCTION("""COMPUTED_VALUE"""),"FPJ: NUNG PUMUNTA KAMI HINIKPITAN NA NILA YUNG MGA BOLT SA FRONT DISC ")</f>
        <v>FPJ: NUNG PUMUNTA KAMI HINIKPITAN NA NILA YUNG MGA BOLT SA FRONT DISC </v>
      </c>
      <c r="M1233" s="2"/>
      <c r="N1233" s="2"/>
      <c r="O1233" s="2" t="str">
        <f>IFERROR(__xludf.DUMMYFUNCTION("""COMPUTED_VALUE"""),"N/A")</f>
        <v>N/A</v>
      </c>
      <c r="P1233" s="2"/>
      <c r="Q1233" s="2"/>
      <c r="R1233" s="74">
        <f>IFERROR(__xludf.DUMMYFUNCTION("""COMPUTED_VALUE"""),45994.0)</f>
        <v>45994</v>
      </c>
      <c r="S1233" s="2" t="str">
        <f>IFERROR(__xludf.DUMMYFUNCTION("""COMPUTED_VALUE"""),"RBS/FPJ")</f>
        <v>RBS/FPJ</v>
      </c>
      <c r="T1233" s="73" t="str">
        <f>IFERROR(__xludf.DUMMYFUNCTION("""COMPUTED_VALUE""")," N/A ")</f>
        <v>N/A</v>
      </c>
      <c r="U1233" s="73" t="str">
        <f>IFERROR(__xludf.DUMMYFUNCTION("""COMPUTED_VALUE""")," NO CHARGE ")</f>
        <v>NO CHARGE</v>
      </c>
      <c r="V1233" s="2"/>
      <c r="W1233" s="2" t="str">
        <f>IFERROR(__xludf.DUMMYFUNCTION("""COMPUTED_VALUE"""),"N/A")</f>
        <v>N/A</v>
      </c>
      <c r="X1233" s="2" t="str">
        <f>IFERROR(__xludf.DUMMYFUNCTION("""COMPUTED_VALUE"""),"N/A")</f>
        <v>N/A</v>
      </c>
      <c r="Y1233" s="2"/>
      <c r="Z1233" s="2"/>
      <c r="AA1233" s="2"/>
      <c r="AB1233" s="2"/>
      <c r="AC1233" s="2"/>
      <c r="AD1233" s="2"/>
      <c r="AE1233" s="2"/>
      <c r="AF1233" s="2"/>
      <c r="AG1233" s="2"/>
      <c r="AH1233" s="2"/>
      <c r="AI1233" s="2"/>
      <c r="AJ1233" s="2" t="str">
        <f>IFERROR(__xludf.DUMMYFUNCTION("""COMPUTED_VALUE"""),"Magbay")</f>
        <v>Magbay</v>
      </c>
      <c r="AK1233" s="2" t="str">
        <f>IFERROR(__xludf.DUMMYFUNCTION("""COMPUTED_VALUE"""),"San Jose")</f>
        <v>San Jose</v>
      </c>
      <c r="AL1233" s="2" t="str">
        <f>IFERROR(__xludf.DUMMYFUNCTION("""COMPUTED_VALUE"""),"Occidental Mindoro")</f>
        <v>Occidental Mindoro</v>
      </c>
      <c r="AM1233" s="2" t="str">
        <f>IFERROR(__xludf.DUMMYFUNCTION("""COMPUTED_VALUE"""),"4B")</f>
        <v>4B</v>
      </c>
      <c r="AN1233" s="2" t="str">
        <f>IFERROR(__xludf.DUMMYFUNCTION("""COMPUTED_VALUE"""),"RCEF 25-03-05")</f>
        <v>RCEF 25-03-05</v>
      </c>
      <c r="AO1233" s="2">
        <f>IFERROR(__xludf.DUMMYFUNCTION("""COMPUTED_VALUE"""),6.0)</f>
        <v>6</v>
      </c>
      <c r="AP1233" s="2" t="str">
        <f>IFERROR(__xludf.DUMMYFUNCTION("""COMPUTED_VALUE"""),"FREE PMS")</f>
        <v>FREE PMS</v>
      </c>
      <c r="AQ1233" s="2"/>
      <c r="AR1233" s="2"/>
      <c r="AS1233" s="2"/>
      <c r="AT1233" s="2"/>
      <c r="AU1233" s="2"/>
      <c r="AV1233" s="2"/>
      <c r="AW1233" s="2"/>
      <c r="AX1233" s="2"/>
      <c r="AY1233" s="2"/>
      <c r="AZ1233" s="2"/>
      <c r="BA1233" s="2"/>
      <c r="BB1233" s="2"/>
    </row>
    <row r="1234">
      <c r="A1234" s="2">
        <f>IFERROR(__xludf.DUMMYFUNCTION("""COMPUTED_VALUE"""),1230.0)</f>
        <v>1230</v>
      </c>
      <c r="B1234" s="2" t="str">
        <f>IFERROR(__xludf.DUMMYFUNCTION("""COMPUTED_VALUE"""),"COMPLETED")</f>
        <v>COMPLETED</v>
      </c>
      <c r="C1234" s="74">
        <f>IFERROR(__xludf.DUMMYFUNCTION("""COMPUTED_VALUE"""),45981.0)</f>
        <v>45981</v>
      </c>
      <c r="D1234" s="71" t="str">
        <f>IFERROR(__xludf.DUMMYFUNCTION("""COMPUTED_VALUE"""),"Santa Maria Pangasinan Integrated Farming Association, Inc.")</f>
        <v>Santa Maria Pangasinan Integrated Farming Association, Inc.</v>
      </c>
      <c r="E1234" s="71" t="str">
        <f>IFERROR(__xludf.DUMMYFUNCTION("""COMPUTED_VALUE"""),"Poblacion West, Santa Maria, PANGASINAN")</f>
        <v>Poblacion West, Santa Maria, PANGASINAN</v>
      </c>
      <c r="F1234" s="2" t="str">
        <f>IFERROR(__xludf.DUMMYFUNCTION("""COMPUTED_VALUE"""),"NOLI GANADEN")</f>
        <v>NOLI GANADEN</v>
      </c>
      <c r="G1234" s="2">
        <f>IFERROR(__xludf.DUMMYFUNCTION("""COMPUTED_VALUE"""),9.165977602E9)</f>
        <v>9165977602</v>
      </c>
      <c r="H1234" s="2">
        <f>IFERROR(__xludf.DUMMYFUNCTION("""COMPUTED_VALUE"""),295.0)</f>
        <v>295</v>
      </c>
      <c r="I1234" s="72" t="str">
        <f>IFERROR(__xludf.DUMMYFUNCTION("""COMPUTED_VALUE"""),"PMS")</f>
        <v>PMS</v>
      </c>
      <c r="J1234" s="72" t="str">
        <f>IFERROR(__xludf.DUMMYFUNCTION("""COMPUTED_VALUE"""),"PMS")</f>
        <v>PMS</v>
      </c>
      <c r="K1234" s="72" t="str">
        <f>IFERROR(__xludf.DUMMYFUNCTION("""COMPUTED_VALUE"""),"JHP: 2ND PMS AND CROSS JOINT
JDP: BATTERY PROBLEM UPON DAY OF ASSESSMENT")</f>
        <v>JHP: 2ND PMS AND CROSS JOINT
JDP: BATTERY PROBLEM UPON DAY OF ASSESSMENT</v>
      </c>
      <c r="L1234" s="72" t="str">
        <f>IFERROR(__xludf.DUMMYFUNCTION("""COMPUTED_VALUE"""),"JDP: SI FARMER NA ANG NAG PALIT NG CROSS JOINT , 2ND PMS IN ENGINE ONLY")</f>
        <v>JDP: SI FARMER NA ANG NAG PALIT NG CROSS JOINT , 2ND PMS IN ENGINE ONLY</v>
      </c>
      <c r="M1234" s="2"/>
      <c r="N1234" s="2"/>
      <c r="O1234" s="2">
        <f>IFERROR(__xludf.DUMMYFUNCTION("""COMPUTED_VALUE"""),482.0)</f>
        <v>482</v>
      </c>
      <c r="P1234" s="2"/>
      <c r="Q1234" s="2" t="str">
        <f>IFERROR(__xludf.DUMMYFUNCTION("""COMPUTED_VALUE"""),"FOR PRINT")</f>
        <v>FOR PRINT</v>
      </c>
      <c r="R1234" s="74">
        <f>IFERROR(__xludf.DUMMYFUNCTION("""COMPUTED_VALUE"""),46029.0)</f>
        <v>46029</v>
      </c>
      <c r="S1234" s="2" t="str">
        <f>IFERROR(__xludf.DUMMYFUNCTION("""COMPUTED_VALUE"""),"EGT/JDP")</f>
        <v>EGT/JDP</v>
      </c>
      <c r="T1234" s="73">
        <f>IFERROR(__xludf.DUMMYFUNCTION("""COMPUTED_VALUE"""),1500.0)</f>
        <v>1500</v>
      </c>
      <c r="U1234" s="73" t="str">
        <f>IFERROR(__xludf.DUMMYFUNCTION("""COMPUTED_VALUE""")," REMITTED ")</f>
        <v>REMITTED</v>
      </c>
      <c r="V1234" s="2"/>
      <c r="W1234" s="2">
        <f>IFERROR(__xludf.DUMMYFUNCTION("""COMPUTED_VALUE"""),1672.0)</f>
        <v>1672</v>
      </c>
      <c r="X1234" s="2">
        <f>IFERROR(__xludf.DUMMYFUNCTION("""COMPUTED_VALUE"""),1734.0)</f>
        <v>1734</v>
      </c>
      <c r="Y1234" s="2"/>
      <c r="Z1234" s="2"/>
      <c r="AA1234" s="2"/>
      <c r="AB1234" s="2"/>
      <c r="AC1234" s="2"/>
      <c r="AD1234" s="2"/>
      <c r="AE1234" s="2"/>
      <c r="AF1234" s="2"/>
      <c r="AG1234" s="2"/>
      <c r="AH1234" s="2"/>
      <c r="AI1234" s="2"/>
      <c r="AJ1234" s="2" t="str">
        <f>IFERROR(__xludf.DUMMYFUNCTION("""COMPUTED_VALUE"""),"Poblacion West")</f>
        <v>Poblacion West</v>
      </c>
      <c r="AK1234" s="2" t="str">
        <f>IFERROR(__xludf.DUMMYFUNCTION("""COMPUTED_VALUE"""),"Santa Maria")</f>
        <v>Santa Maria</v>
      </c>
      <c r="AL1234" s="2" t="str">
        <f>IFERROR(__xludf.DUMMYFUNCTION("""COMPUTED_VALUE"""),"Pangasinan")</f>
        <v>Pangasinan</v>
      </c>
      <c r="AM1234" s="2">
        <f>IFERROR(__xludf.DUMMYFUNCTION("""COMPUTED_VALUE"""),1.0)</f>
        <v>1</v>
      </c>
      <c r="AN1234" s="2" t="str">
        <f>IFERROR(__xludf.DUMMYFUNCTION("""COMPUTED_VALUE"""),"RCEF 24-04-15")</f>
        <v>RCEF 24-04-15</v>
      </c>
      <c r="AO1234" s="2">
        <f>IFERROR(__xludf.DUMMYFUNCTION("""COMPUTED_VALUE"""),6.0)</f>
        <v>6</v>
      </c>
      <c r="AP1234" s="2" t="str">
        <f>IFERROR(__xludf.DUMMYFUNCTION("""COMPUTED_VALUE"""),"FREE PMS")</f>
        <v>FREE PMS</v>
      </c>
      <c r="AQ1234" s="2"/>
      <c r="AR1234" s="2"/>
      <c r="AS1234" s="2"/>
      <c r="AT1234" s="2"/>
      <c r="AU1234" s="2"/>
      <c r="AV1234" s="2"/>
      <c r="AW1234" s="2"/>
      <c r="AX1234" s="2"/>
      <c r="AY1234" s="2"/>
      <c r="AZ1234" s="2"/>
      <c r="BA1234" s="2"/>
      <c r="BB1234" s="2"/>
    </row>
    <row r="1235">
      <c r="A1235" s="2">
        <f>IFERROR(__xludf.DUMMYFUNCTION("""COMPUTED_VALUE"""),1231.0)</f>
        <v>1231</v>
      </c>
      <c r="B1235" s="2" t="str">
        <f>IFERROR(__xludf.DUMMYFUNCTION("""COMPUTED_VALUE"""),"COMPLETED")</f>
        <v>COMPLETED</v>
      </c>
      <c r="C1235" s="74">
        <f>IFERROR(__xludf.DUMMYFUNCTION("""COMPUTED_VALUE"""),45981.0)</f>
        <v>45981</v>
      </c>
      <c r="D1235" s="71" t="str">
        <f>IFERROR(__xludf.DUMMYFUNCTION("""COMPUTED_VALUE"""),"BESSANG SMALL WATER IMPOUNDING SYSTEM ASSOCIATION (BESWISA)")</f>
        <v>BESSANG SMALL WATER IMPOUNDING SYSTEM ASSOCIATION (BESWISA)</v>
      </c>
      <c r="E1235" s="71" t="str">
        <f>IFERROR(__xludf.DUMMYFUNCTION("""COMPUTED_VALUE"""),"Bessang, Allacapan, CAGAYAN")</f>
        <v>Bessang, Allacapan, CAGAYAN</v>
      </c>
      <c r="F1235" s="2" t="str">
        <f>IFERROR(__xludf.DUMMYFUNCTION("""COMPUTED_VALUE"""),"MAXIMO VICERRA")</f>
        <v>MAXIMO VICERRA</v>
      </c>
      <c r="G1235" s="2">
        <f>IFERROR(__xludf.DUMMYFUNCTION("""COMPUTED_VALUE"""),9.178227233E9)</f>
        <v>9178227233</v>
      </c>
      <c r="H1235" s="2">
        <f>IFERROR(__xludf.DUMMYFUNCTION("""COMPUTED_VALUE"""),638.0)</f>
        <v>638</v>
      </c>
      <c r="I1235" s="72" t="str">
        <f>IFERROR(__xludf.DUMMYFUNCTION("""COMPUTED_VALUE"""),"PMS")</f>
        <v>PMS</v>
      </c>
      <c r="J1235" s="72" t="str">
        <f>IFERROR(__xludf.DUMMYFUNCTION("""COMPUTED_VALUE"""),"PMS")</f>
        <v>PMS</v>
      </c>
      <c r="K1235" s="72" t="str">
        <f>IFERROR(__xludf.DUMMYFUNCTION("""COMPUTED_VALUE"""),"DELIVERED: FEBRUARY 2024
MYK: 3RD PMS QUOTATION, AND LOADER CONCERNS. ")</f>
        <v>DELIVERED: FEBRUARY 2024
MYK: 3RD PMS QUOTATION, AND LOADER CONCERNS. </v>
      </c>
      <c r="L1235" s="72" t="str">
        <f>IFERROR(__xludf.DUMMYFUNCTION("""COMPUTED_VALUE"""),"QUOTATION SENT
CFG: 2ND PMS DONE")</f>
        <v>QUOTATION SENT
CFG: 2ND PMS DONE</v>
      </c>
      <c r="M1235" s="2"/>
      <c r="N1235" s="2" t="str">
        <f>IFERROR(__xludf.DUMMYFUNCTION("""COMPUTED_VALUE"""),"PARTS:
HYDRAULIC FILTER")</f>
        <v>PARTS:
HYDRAULIC FILTER</v>
      </c>
      <c r="O1235" s="2">
        <f>IFERROR(__xludf.DUMMYFUNCTION("""COMPUTED_VALUE"""),752.0)</f>
        <v>752</v>
      </c>
      <c r="P1235" s="2"/>
      <c r="Q1235" s="2" t="str">
        <f>IFERROR(__xludf.DUMMYFUNCTION("""COMPUTED_VALUE"""),"FOR PRINT")</f>
        <v>FOR PRINT</v>
      </c>
      <c r="R1235" s="74">
        <f>IFERROR(__xludf.DUMMYFUNCTION("""COMPUTED_VALUE"""),46075.0)</f>
        <v>46075</v>
      </c>
      <c r="S1235" s="2" t="str">
        <f>IFERROR(__xludf.DUMMYFUNCTION("""COMPUTED_VALUE"""),"CFG")</f>
        <v>CFG</v>
      </c>
      <c r="T1235" s="73">
        <f>IFERROR(__xludf.DUMMYFUNCTION("""COMPUTED_VALUE"""),2837.0)</f>
        <v>2837</v>
      </c>
      <c r="U1235" s="73" t="str">
        <f>IFERROR(__xludf.DUMMYFUNCTION("""COMPUTED_VALUE""")," RECORDED ")</f>
        <v>RECORDED</v>
      </c>
      <c r="V1235" s="2">
        <f>IFERROR(__xludf.DUMMYFUNCTION("""COMPUTED_VALUE"""),1652.0)</f>
        <v>1652</v>
      </c>
      <c r="W1235" s="2">
        <f>IFERROR(__xludf.DUMMYFUNCTION("""COMPUTED_VALUE"""),1768.0)</f>
        <v>1768</v>
      </c>
      <c r="X1235" s="2">
        <f>IFERROR(__xludf.DUMMYFUNCTION("""COMPUTED_VALUE"""),1713.0)</f>
        <v>1713</v>
      </c>
      <c r="Y1235" s="2"/>
      <c r="Z1235" s="2"/>
      <c r="AA1235" s="2"/>
      <c r="AB1235" s="2"/>
      <c r="AC1235" s="2"/>
      <c r="AD1235" s="2"/>
      <c r="AE1235" s="2"/>
      <c r="AF1235" s="2"/>
      <c r="AG1235" s="2"/>
      <c r="AH1235" s="2"/>
      <c r="AI1235" s="2"/>
      <c r="AJ1235" s="2" t="str">
        <f>IFERROR(__xludf.DUMMYFUNCTION("""COMPUTED_VALUE"""),"Bessang")</f>
        <v>Bessang</v>
      </c>
      <c r="AK1235" s="2" t="str">
        <f>IFERROR(__xludf.DUMMYFUNCTION("""COMPUTED_VALUE"""),"Allacapan")</f>
        <v>Allacapan</v>
      </c>
      <c r="AL1235" s="2" t="str">
        <f>IFERROR(__xludf.DUMMYFUNCTION("""COMPUTED_VALUE"""),"Cagayan")</f>
        <v>Cagayan</v>
      </c>
      <c r="AM1235" s="2">
        <f>IFERROR(__xludf.DUMMYFUNCTION("""COMPUTED_VALUE"""),2.0)</f>
        <v>2</v>
      </c>
      <c r="AN1235" s="2" t="str">
        <f>IFERROR(__xludf.DUMMYFUNCTION("""COMPUTED_VALUE"""),"RCEF 23-09-21 Rebidding")</f>
        <v>RCEF 23-09-21 Rebidding</v>
      </c>
      <c r="AO1235" s="2">
        <f>IFERROR(__xludf.DUMMYFUNCTION("""COMPUTED_VALUE"""),1.0)</f>
        <v>1</v>
      </c>
      <c r="AP1235" s="2"/>
      <c r="AQ1235" s="2"/>
      <c r="AR1235" s="2"/>
      <c r="AS1235" s="2"/>
      <c r="AT1235" s="2"/>
      <c r="AU1235" s="2"/>
      <c r="AV1235" s="2"/>
      <c r="AW1235" s="2"/>
      <c r="AX1235" s="2"/>
      <c r="AY1235" s="2"/>
      <c r="AZ1235" s="2"/>
      <c r="BA1235" s="2"/>
      <c r="BB1235" s="2"/>
    </row>
    <row r="1236">
      <c r="A1236" s="2">
        <f>IFERROR(__xludf.DUMMYFUNCTION("""COMPUTED_VALUE"""),1232.0)</f>
        <v>1232</v>
      </c>
      <c r="B1236" s="2" t="str">
        <f>IFERROR(__xludf.DUMMYFUNCTION("""COMPUTED_VALUE"""),"COMPLETED")</f>
        <v>COMPLETED</v>
      </c>
      <c r="C1236" s="74">
        <f>IFERROR(__xludf.DUMMYFUNCTION("""COMPUTED_VALUE"""),45981.0)</f>
        <v>45981</v>
      </c>
      <c r="D1236" s="71" t="str">
        <f>IFERROR(__xludf.DUMMYFUNCTION("""COMPUTED_VALUE"""),"Gatbo Farmers Irrigators Association (GAFIA)")</f>
        <v>Gatbo Farmers Irrigators Association (GAFIA)</v>
      </c>
      <c r="E1236" s="71" t="str">
        <f>IFERROR(__xludf.DUMMYFUNCTION("""COMPUTED_VALUE"""),"Gatbo, Sorsogon City, SORSOGON")</f>
        <v>Gatbo, Sorsogon City, SORSOGON</v>
      </c>
      <c r="F1236" s="2" t="str">
        <f>IFERROR(__xludf.DUMMYFUNCTION("""COMPUTED_VALUE"""),"Ryan Espinola ")</f>
        <v>Ryan Espinola </v>
      </c>
      <c r="G1236" s="2">
        <f>IFERROR(__xludf.DUMMYFUNCTION("""COMPUTED_VALUE"""),9.708264081E9)</f>
        <v>9708264081</v>
      </c>
      <c r="H1236" s="2">
        <f>IFERROR(__xludf.DUMMYFUNCTION("""COMPUTED_VALUE"""),48.0)</f>
        <v>48</v>
      </c>
      <c r="I1236" s="72" t="str">
        <f>IFERROR(__xludf.DUMMYFUNCTION("""COMPUTED_VALUE"""),"PMS")</f>
        <v>PMS</v>
      </c>
      <c r="J1236" s="72" t="str">
        <f>IFERROR(__xludf.DUMMYFUNCTION("""COMPUTED_VALUE"""),"PMS")</f>
        <v>PMS</v>
      </c>
      <c r="K1236" s="72" t="str">
        <f>IFERROR(__xludf.DUMMYFUNCTION("""COMPUTED_VALUE"""),"FPJ: 1ST PMS FREE")</f>
        <v>FPJ: 1ST PMS FREE</v>
      </c>
      <c r="L1236" s="72" t="str">
        <f>IFERROR(__xludf.DUMMYFUNCTION("""COMPUTED_VALUE"""),"FPJ: 1ST PMS DONE (C/O FARMER) DELIVERED OIL FILTER ONLY")</f>
        <v>FPJ: 1ST PMS DONE (C/O FARMER) DELIVERED OIL FILTER ONLY</v>
      </c>
      <c r="M1236" s="2"/>
      <c r="N1236" s="2" t="str">
        <f>IFERROR(__xludf.DUMMYFUNCTION("""COMPUTED_VALUE"""),"PARTS:
OIL FILTER
ENGINE OIL")</f>
        <v>PARTS:
OIL FILTER
ENGINE OIL</v>
      </c>
      <c r="O1236" s="2" t="str">
        <f>IFERROR(__xludf.DUMMYFUNCTION("""COMPUTED_VALUE"""),"N/A")</f>
        <v>N/A</v>
      </c>
      <c r="P1236" s="2"/>
      <c r="Q1236" s="2"/>
      <c r="R1236" s="74">
        <f>IFERROR(__xludf.DUMMYFUNCTION("""COMPUTED_VALUE"""),45962.0)</f>
        <v>45962</v>
      </c>
      <c r="S1236" s="2" t="str">
        <f>IFERROR(__xludf.DUMMYFUNCTION("""COMPUTED_VALUE"""),"FPJ")</f>
        <v>FPJ</v>
      </c>
      <c r="T1236" s="73" t="str">
        <f>IFERROR(__xludf.DUMMYFUNCTION("""COMPUTED_VALUE""")," N/A ")</f>
        <v>N/A</v>
      </c>
      <c r="U1236" s="73" t="str">
        <f>IFERROR(__xludf.DUMMYFUNCTION("""COMPUTED_VALUE""")," NO CHARGE ")</f>
        <v>NO CHARGE</v>
      </c>
      <c r="V1236" s="2" t="str">
        <f>IFERROR(__xludf.DUMMYFUNCTION("""COMPUTED_VALUE"""),"NO DR")</f>
        <v>NO DR</v>
      </c>
      <c r="W1236" s="2" t="str">
        <f>IFERROR(__xludf.DUMMYFUNCTION("""COMPUTED_VALUE"""),"N/A")</f>
        <v>N/A</v>
      </c>
      <c r="X1236" s="2" t="str">
        <f>IFERROR(__xludf.DUMMYFUNCTION("""COMPUTED_VALUE"""),"N/A")</f>
        <v>N/A</v>
      </c>
      <c r="Y1236" s="2"/>
      <c r="Z1236" s="2"/>
      <c r="AA1236" s="2"/>
      <c r="AB1236" s="2"/>
      <c r="AC1236" s="2"/>
      <c r="AD1236" s="2"/>
      <c r="AE1236" s="2"/>
      <c r="AF1236" s="2"/>
      <c r="AG1236" s="2"/>
      <c r="AH1236" s="2"/>
      <c r="AI1236" s="2"/>
      <c r="AJ1236" s="2" t="str">
        <f>IFERROR(__xludf.DUMMYFUNCTION("""COMPUTED_VALUE"""),"Gatbo")</f>
        <v>Gatbo</v>
      </c>
      <c r="AK1236" s="2" t="str">
        <f>IFERROR(__xludf.DUMMYFUNCTION("""COMPUTED_VALUE"""),"Sorsogon City")</f>
        <v>Sorsogon City</v>
      </c>
      <c r="AL1236" s="2" t="str">
        <f>IFERROR(__xludf.DUMMYFUNCTION("""COMPUTED_VALUE"""),"Sorsogon")</f>
        <v>Sorsogon</v>
      </c>
      <c r="AM1236" s="2">
        <f>IFERROR(__xludf.DUMMYFUNCTION("""COMPUTED_VALUE"""),5.0)</f>
        <v>5</v>
      </c>
      <c r="AN1236" s="2" t="str">
        <f>IFERROR(__xludf.DUMMYFUNCTION("""COMPUTED_VALUE"""),"RCEF 25-03-05")</f>
        <v>RCEF 25-03-05</v>
      </c>
      <c r="AO1236" s="2">
        <f>IFERROR(__xludf.DUMMYFUNCTION("""COMPUTED_VALUE"""),6.0)</f>
        <v>6</v>
      </c>
      <c r="AP1236" s="2" t="str">
        <f>IFERROR(__xludf.DUMMYFUNCTION("""COMPUTED_VALUE"""),"FREE PMS")</f>
        <v>FREE PMS</v>
      </c>
      <c r="AQ1236" s="2"/>
      <c r="AR1236" s="2"/>
      <c r="AS1236" s="2"/>
      <c r="AT1236" s="2"/>
      <c r="AU1236" s="2"/>
      <c r="AV1236" s="2"/>
      <c r="AW1236" s="2"/>
      <c r="AX1236" s="2"/>
      <c r="AY1236" s="2"/>
      <c r="AZ1236" s="2"/>
      <c r="BA1236" s="2"/>
      <c r="BB1236" s="2"/>
    </row>
    <row r="1237">
      <c r="A1237" s="2">
        <f>IFERROR(__xludf.DUMMYFUNCTION("""COMPUTED_VALUE"""),1233.0)</f>
        <v>1233</v>
      </c>
      <c r="B1237" s="2" t="str">
        <f>IFERROR(__xludf.DUMMYFUNCTION("""COMPUTED_VALUE"""),"COMPLETED")</f>
        <v>COMPLETED</v>
      </c>
      <c r="C1237" s="74">
        <f>IFERROR(__xludf.DUMMYFUNCTION("""COMPUTED_VALUE"""),45981.0)</f>
        <v>45981</v>
      </c>
      <c r="D1237" s="71" t="str">
        <f>IFERROR(__xludf.DUMMYFUNCTION("""COMPUTED_VALUE"""),"Navitas Farmer's Association (NFA)")</f>
        <v>Navitas Farmer's Association (NFA)</v>
      </c>
      <c r="E1237" s="71" t="str">
        <f>IFERROR(__xludf.DUMMYFUNCTION("""COMPUTED_VALUE"""),"Navitas, Malinao, AKLAN")</f>
        <v>Navitas, Malinao, AKLAN</v>
      </c>
      <c r="F1237" s="2" t="str">
        <f>IFERROR(__xludf.DUMMYFUNCTION("""COMPUTED_VALUE"""),"Jeffrey Inventado")</f>
        <v>Jeffrey Inventado</v>
      </c>
      <c r="G1237" s="2">
        <f>IFERROR(__xludf.DUMMYFUNCTION("""COMPUTED_VALUE"""),9.50114888E9)</f>
        <v>9501148880</v>
      </c>
      <c r="H1237" s="2">
        <f>IFERROR(__xludf.DUMMYFUNCTION("""COMPUTED_VALUE"""),535.0)</f>
        <v>535</v>
      </c>
      <c r="I1237" s="72" t="str">
        <f>IFERROR(__xludf.DUMMYFUNCTION("""COMPUTED_VALUE"""),"SPARE PARTS ACQUISITION")</f>
        <v>SPARE PARTS ACQUISITION</v>
      </c>
      <c r="J1237" s="72"/>
      <c r="K1237" s="72" t="str">
        <f>IFERROR(__xludf.DUMMYFUNCTION("""COMPUTED_VALUE"""),"MYK: PARTS REQUEST
ROTAVATOR BLADES")</f>
        <v>MYK: PARTS REQUEST
ROTAVATOR BLADES</v>
      </c>
      <c r="L1237" s="72" t="str">
        <f>IFERROR(__xludf.DUMMYFUNCTION("""COMPUTED_VALUE"""),"MYK: NO FEEDBACK FROM CLIENT")</f>
        <v>MYK: NO FEEDBACK FROM CLIENT</v>
      </c>
      <c r="M1237" s="2"/>
      <c r="N1237" s="2"/>
      <c r="O1237" s="2" t="str">
        <f>IFERROR(__xludf.DUMMYFUNCTION("""COMPUTED_VALUE"""),"N/A")</f>
        <v>N/A</v>
      </c>
      <c r="P1237" s="2"/>
      <c r="Q1237" s="2"/>
      <c r="R1237" s="74">
        <f>IFERROR(__xludf.DUMMYFUNCTION("""COMPUTED_VALUE"""),46153.0)</f>
        <v>46153</v>
      </c>
      <c r="S1237" s="2" t="str">
        <f>IFERROR(__xludf.DUMMYFUNCTION("""COMPUTED_VALUE"""),"MYKEE")</f>
        <v>MYKEE</v>
      </c>
      <c r="T1237" s="73" t="str">
        <f>IFERROR(__xludf.DUMMYFUNCTION("""COMPUTED_VALUE""")," N/A ")</f>
        <v>N/A</v>
      </c>
      <c r="U1237" s="73" t="str">
        <f>IFERROR(__xludf.DUMMYFUNCTION("""COMPUTED_VALUE""")," NO CHARGE ")</f>
        <v>NO CHARGE</v>
      </c>
      <c r="V1237" s="2" t="str">
        <f>IFERROR(__xludf.DUMMYFUNCTION("""COMPUTED_VALUE"""),"N/A")</f>
        <v>N/A</v>
      </c>
      <c r="W1237" s="2" t="str">
        <f>IFERROR(__xludf.DUMMYFUNCTION("""COMPUTED_VALUE"""),"N/A")</f>
        <v>N/A</v>
      </c>
      <c r="X1237" s="2" t="str">
        <f>IFERROR(__xludf.DUMMYFUNCTION("""COMPUTED_VALUE"""),"N/A")</f>
        <v>N/A</v>
      </c>
      <c r="Y1237" s="2"/>
      <c r="Z1237" s="2"/>
      <c r="AA1237" s="2"/>
      <c r="AB1237" s="2"/>
      <c r="AC1237" s="2"/>
      <c r="AD1237" s="2"/>
      <c r="AE1237" s="2"/>
      <c r="AF1237" s="2"/>
      <c r="AG1237" s="2"/>
      <c r="AH1237" s="2"/>
      <c r="AI1237" s="2"/>
      <c r="AJ1237" s="2" t="str">
        <f>IFERROR(__xludf.DUMMYFUNCTION("""COMPUTED_VALUE"""),"Navitas")</f>
        <v>Navitas</v>
      </c>
      <c r="AK1237" s="2" t="str">
        <f>IFERROR(__xludf.DUMMYFUNCTION("""COMPUTED_VALUE"""),"Malinao")</f>
        <v>Malinao</v>
      </c>
      <c r="AL1237" s="2" t="str">
        <f>IFERROR(__xludf.DUMMYFUNCTION("""COMPUTED_VALUE"""),"Aklan")</f>
        <v>Aklan</v>
      </c>
      <c r="AM1237" s="2">
        <f>IFERROR(__xludf.DUMMYFUNCTION("""COMPUTED_VALUE"""),6.0)</f>
        <v>6</v>
      </c>
      <c r="AN1237" s="2" t="str">
        <f>IFERROR(__xludf.DUMMYFUNCTION("""COMPUTED_VALUE"""),"RCEF 23-09-21 Rebidding")</f>
        <v>RCEF 23-09-21 Rebidding</v>
      </c>
      <c r="AO1237" s="2">
        <f>IFERROR(__xludf.DUMMYFUNCTION("""COMPUTED_VALUE"""),4.0)</f>
        <v>4</v>
      </c>
      <c r="AP1237" s="2"/>
      <c r="AQ1237" s="2"/>
      <c r="AR1237" s="2"/>
      <c r="AS1237" s="2"/>
      <c r="AT1237" s="2"/>
      <c r="AU1237" s="2"/>
      <c r="AV1237" s="2"/>
      <c r="AW1237" s="2"/>
      <c r="AX1237" s="2"/>
      <c r="AY1237" s="2"/>
      <c r="AZ1237" s="2"/>
      <c r="BA1237" s="2"/>
      <c r="BB1237" s="2"/>
    </row>
    <row r="1238">
      <c r="A1238" s="2">
        <f>IFERROR(__xludf.DUMMYFUNCTION("""COMPUTED_VALUE"""),1234.0)</f>
        <v>1234</v>
      </c>
      <c r="B1238" s="2" t="str">
        <f>IFERROR(__xludf.DUMMYFUNCTION("""COMPUTED_VALUE"""),"PENDING")</f>
        <v>PENDING</v>
      </c>
      <c r="C1238" s="74">
        <f>IFERROR(__xludf.DUMMYFUNCTION("""COMPUTED_VALUE"""),45981.0)</f>
        <v>45981</v>
      </c>
      <c r="D1238" s="71" t="str">
        <f>IFERROR(__xludf.DUMMYFUNCTION("""COMPUTED_VALUE"""),"TIRIS INTEGRATED FARMERS ASSOCIATION (TIFA)")</f>
        <v>TIRIS INTEGRATED FARMERS ASSOCIATION (TIFA)</v>
      </c>
      <c r="E1238" s="71" t="str">
        <f>IFERROR(__xludf.DUMMYFUNCTION("""COMPUTED_VALUE"""),"Tiris, Gubat, SORSOGON")</f>
        <v>Tiris, Gubat, SORSOGON</v>
      </c>
      <c r="F1238" s="2" t="str">
        <f>IFERROR(__xludf.DUMMYFUNCTION("""COMPUTED_VALUE"""),"Engr.Domingo Escober")</f>
        <v>Engr.Domingo Escober</v>
      </c>
      <c r="G1238" s="2">
        <f>IFERROR(__xludf.DUMMYFUNCTION("""COMPUTED_VALUE"""),9.38430062E8)</f>
        <v>938430062</v>
      </c>
      <c r="H1238" s="2">
        <f>IFERROR(__xludf.DUMMYFUNCTION("""COMPUTED_VALUE"""),40.0)</f>
        <v>40</v>
      </c>
      <c r="I1238" s="72" t="str">
        <f>IFERROR(__xludf.DUMMYFUNCTION("""COMPUTED_VALUE"""),"PMS")</f>
        <v>PMS</v>
      </c>
      <c r="J1238" s="72" t="str">
        <f>IFERROR(__xludf.DUMMYFUNCTION("""COMPUTED_VALUE"""),"PMS")</f>
        <v>PMS</v>
      </c>
      <c r="K1238" s="72" t="str">
        <f>IFERROR(__xludf.DUMMYFUNCTION("""COMPUTED_VALUE"""),"FPJ: 1ST PMS FREE")</f>
        <v>FPJ: 1ST PMS FREE</v>
      </c>
      <c r="L1238" s="7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t="str">
        <f>IFERROR(__xludf.DUMMYFUNCTION("""COMPUTED_VALUE"""),"Tiris")</f>
        <v>Tiris</v>
      </c>
      <c r="AK1238" s="2" t="str">
        <f>IFERROR(__xludf.DUMMYFUNCTION("""COMPUTED_VALUE"""),"Gubat")</f>
        <v>Gubat</v>
      </c>
      <c r="AL1238" s="2" t="str">
        <f>IFERROR(__xludf.DUMMYFUNCTION("""COMPUTED_VALUE"""),"Sorsogon")</f>
        <v>Sorsogon</v>
      </c>
      <c r="AM1238" s="2">
        <f>IFERROR(__xludf.DUMMYFUNCTION("""COMPUTED_VALUE"""),5.0)</f>
        <v>5</v>
      </c>
      <c r="AN1238" s="2" t="str">
        <f>IFERROR(__xludf.DUMMYFUNCTION("""COMPUTED_VALUE"""),"RCEF 25-03-05")</f>
        <v>RCEF 25-03-05</v>
      </c>
      <c r="AO1238" s="2">
        <f>IFERROR(__xludf.DUMMYFUNCTION("""COMPUTED_VALUE"""),6.0)</f>
        <v>6</v>
      </c>
      <c r="AP1238" s="2" t="str">
        <f>IFERROR(__xludf.DUMMYFUNCTION("""COMPUTED_VALUE"""),"FREE PMS")</f>
        <v>FREE PMS</v>
      </c>
      <c r="AQ1238" s="2"/>
      <c r="AR1238" s="2"/>
      <c r="AS1238" s="2"/>
      <c r="AT1238" s="2"/>
      <c r="AU1238" s="2"/>
      <c r="AV1238" s="2"/>
      <c r="AW1238" s="2"/>
      <c r="AX1238" s="2"/>
      <c r="AY1238" s="2"/>
      <c r="AZ1238" s="2"/>
      <c r="BA1238" s="2"/>
      <c r="BB1238" s="2"/>
    </row>
    <row r="1239">
      <c r="A1239" s="2">
        <f>IFERROR(__xludf.DUMMYFUNCTION("""COMPUTED_VALUE"""),1235.0)</f>
        <v>1235</v>
      </c>
      <c r="B1239" s="2" t="str">
        <f>IFERROR(__xludf.DUMMYFUNCTION("""COMPUTED_VALUE"""),"COMPLETED")</f>
        <v>COMPLETED</v>
      </c>
      <c r="C1239" s="74">
        <f>IFERROR(__xludf.DUMMYFUNCTION("""COMPUTED_VALUE"""),45982.0)</f>
        <v>45982</v>
      </c>
      <c r="D1239" s="71" t="str">
        <f>IFERROR(__xludf.DUMMYFUNCTION("""COMPUTED_VALUE"""),"TAGABASA IRRIGATORS' ASSOCIATION, INC.")</f>
        <v>TAGABASA IRRIGATORS' ASSOCIATION, INC.</v>
      </c>
      <c r="E1239" s="71" t="str">
        <f>IFERROR(__xludf.DUMMYFUNCTION("""COMPUTED_VALUE"""),"Tagaytay, Talavera, NUEVA ECIJA")</f>
        <v>Tagaytay, Talavera, NUEVA ECIJA</v>
      </c>
      <c r="F1239" s="2" t="str">
        <f>IFERROR(__xludf.DUMMYFUNCTION("""COMPUTED_VALUE"""),"Rogelio C. Laugo")</f>
        <v>Rogelio C. Laugo</v>
      </c>
      <c r="G1239" s="2" t="str">
        <f>IFERROR(__xludf.DUMMYFUNCTION("""COMPUTED_VALUE"""),"0951-099-0098")</f>
        <v>0951-099-0098</v>
      </c>
      <c r="H1239" s="2"/>
      <c r="I1239" s="72" t="str">
        <f>IFERROR(__xludf.DUMMYFUNCTION("""COMPUTED_VALUE"""),"REPAIR - ROTAVATOR")</f>
        <v>REPAIR - ROTAVATOR</v>
      </c>
      <c r="J1239" s="72" t="str">
        <f>IFERROR(__xludf.DUMMYFUNCTION("""COMPUTED_VALUE"""),"Gearbox")</f>
        <v>Gearbox</v>
      </c>
      <c r="K1239" s="72" t="str">
        <f>IFERROR(__xludf.DUMMYFUNCTION("""COMPUTED_VALUE"""),"KFS: ROTAVATOR GEAR BOX PROBLEM, LOCK AND GEAR")</f>
        <v>KFS: ROTAVATOR GEAR BOX PROBLEM, LOCK AND GEAR</v>
      </c>
      <c r="L1239" s="72" t="str">
        <f>IFERROR(__xludf.DUMMYFUNCTION("""COMPUTED_VALUE"""),"DSD: REPLACED GEARBOX PARTS")</f>
        <v>DSD: REPLACED GEARBOX PARTS</v>
      </c>
      <c r="M1239" s="2"/>
      <c r="N1239" s="2" t="str">
        <f>IFERROR(__xludf.DUMMYFUNCTION("""COMPUTED_VALUE"""),"PARTS:
BEVEL GEAR 24T
PINIO GEAR 11T
HARD LOCK NUT")</f>
        <v>PARTS:
BEVEL GEAR 24T
PINIO GEAR 11T
HARD LOCK NUT</v>
      </c>
      <c r="O1239" s="2">
        <f>IFERROR(__xludf.DUMMYFUNCTION("""COMPUTED_VALUE"""),1440.0)</f>
        <v>1440</v>
      </c>
      <c r="P1239" s="2"/>
      <c r="Q1239" s="2" t="str">
        <f>IFERROR(__xludf.DUMMYFUNCTION("""COMPUTED_VALUE"""),"FOR PRINT")</f>
        <v>FOR PRINT</v>
      </c>
      <c r="R1239" s="74">
        <f>IFERROR(__xludf.DUMMYFUNCTION("""COMPUTED_VALUE"""),45985.0)</f>
        <v>45985</v>
      </c>
      <c r="S1239" s="2" t="str">
        <f>IFERROR(__xludf.DUMMYFUNCTION("""COMPUTED_VALUE"""),"JHP/DSD")</f>
        <v>JHP/DSD</v>
      </c>
      <c r="T1239" s="73">
        <f>IFERROR(__xludf.DUMMYFUNCTION("""COMPUTED_VALUE"""),34640.0)</f>
        <v>34640</v>
      </c>
      <c r="U1239" s="73" t="str">
        <f>IFERROR(__xludf.DUMMYFUNCTION("""COMPUTED_VALUE""")," REMITTED ")</f>
        <v>REMITTED</v>
      </c>
      <c r="V1239" s="2"/>
      <c r="W1239" s="2">
        <f>IFERROR(__xludf.DUMMYFUNCTION("""COMPUTED_VALUE"""),1099.0)</f>
        <v>1099</v>
      </c>
      <c r="X1239" s="2">
        <f>IFERROR(__xludf.DUMMYFUNCTION("""COMPUTED_VALUE"""),1629.0)</f>
        <v>1629</v>
      </c>
      <c r="Y1239" s="2"/>
      <c r="Z1239" s="2"/>
      <c r="AA1239" s="2"/>
      <c r="AB1239" s="2"/>
      <c r="AC1239" s="2"/>
      <c r="AD1239" s="2"/>
      <c r="AE1239" s="2"/>
      <c r="AF1239" s="2"/>
      <c r="AG1239" s="2"/>
      <c r="AH1239" s="2"/>
      <c r="AI1239" s="2"/>
      <c r="AJ1239" s="2" t="str">
        <f>IFERROR(__xludf.DUMMYFUNCTION("""COMPUTED_VALUE"""),"Tagaytay")</f>
        <v>Tagaytay</v>
      </c>
      <c r="AK1239" s="2" t="str">
        <f>IFERROR(__xludf.DUMMYFUNCTION("""COMPUTED_VALUE"""),"Talavera")</f>
        <v>Talavera</v>
      </c>
      <c r="AL1239" s="2" t="str">
        <f>IFERROR(__xludf.DUMMYFUNCTION("""COMPUTED_VALUE"""),"Nueva Ecija")</f>
        <v>Nueva Ecija</v>
      </c>
      <c r="AM1239" s="2">
        <f>IFERROR(__xludf.DUMMYFUNCTION("""COMPUTED_VALUE"""),3.0)</f>
        <v>3</v>
      </c>
      <c r="AN1239" s="2" t="str">
        <f>IFERROR(__xludf.DUMMYFUNCTION("""COMPUTED_VALUE"""),"RCEF 23-09-21 Rebidding")</f>
        <v>RCEF 23-09-21 Rebidding</v>
      </c>
      <c r="AO1239" s="2">
        <f>IFERROR(__xludf.DUMMYFUNCTION("""COMPUTED_VALUE"""),3.0)</f>
        <v>3</v>
      </c>
      <c r="AP1239" s="2"/>
      <c r="AQ1239" s="2"/>
      <c r="AR1239" s="2"/>
      <c r="AS1239" s="2"/>
      <c r="AT1239" s="2"/>
      <c r="AU1239" s="2"/>
      <c r="AV1239" s="2"/>
      <c r="AW1239" s="2"/>
      <c r="AX1239" s="2"/>
      <c r="AY1239" s="2"/>
      <c r="AZ1239" s="2"/>
      <c r="BA1239" s="2"/>
      <c r="BB1239" s="2"/>
    </row>
    <row r="1240">
      <c r="A1240" s="2">
        <f>IFERROR(__xludf.DUMMYFUNCTION("""COMPUTED_VALUE"""),1236.0)</f>
        <v>1236</v>
      </c>
      <c r="B1240" s="2" t="str">
        <f>IFERROR(__xludf.DUMMYFUNCTION("""COMPUTED_VALUE"""),"COMPLETED")</f>
        <v>COMPLETED</v>
      </c>
      <c r="C1240" s="74">
        <f>IFERROR(__xludf.DUMMYFUNCTION("""COMPUTED_VALUE"""),45982.0)</f>
        <v>45982</v>
      </c>
      <c r="D1240" s="71" t="str">
        <f>IFERROR(__xludf.DUMMYFUNCTION("""COMPUTED_VALUE"""),"VIRGEN FARMERS IRRIGATORS ASSOCIATION, INC.")</f>
        <v>VIRGEN FARMERS IRRIGATORS ASSOCIATION, INC.</v>
      </c>
      <c r="E1240" s="71" t="str">
        <f>IFERROR(__xludf.DUMMYFUNCTION("""COMPUTED_VALUE"""),"Paralaya (Pob.), Candaba, PAMPANGA")</f>
        <v>Paralaya (Pob.), Candaba, PAMPANGA</v>
      </c>
      <c r="F1240" s="2" t="str">
        <f>IFERROR(__xludf.DUMMYFUNCTION("""COMPUTED_VALUE"""),"RENATO CULALA")</f>
        <v>RENATO CULALA</v>
      </c>
      <c r="G1240" s="2">
        <f>IFERROR(__xludf.DUMMYFUNCTION("""COMPUTED_VALUE"""),9.168393643E9)</f>
        <v>9168393643</v>
      </c>
      <c r="H1240" s="2"/>
      <c r="I1240" s="72" t="str">
        <f>IFERROR(__xludf.DUMMYFUNCTION("""COMPUTED_VALUE"""),"REPAIR - LOADER")</f>
        <v>REPAIR - LOADER</v>
      </c>
      <c r="J1240" s="72" t="str">
        <f>IFERROR(__xludf.DUMMYFUNCTION("""COMPUTED_VALUE"""),"Leak")</f>
        <v>Leak</v>
      </c>
      <c r="K1240" s="72" t="str">
        <f>IFERROR(__xludf.DUMMYFUNCTION("""COMPUTED_VALUE"""),"DATE DELIVERED: 11-21-25
MYK: MAY LEAKING  SA MAY HYDRAULIC HOSE ")</f>
        <v>DATE DELIVERED: 11-21-25
MYK: MAY LEAKING  SA MAY HYDRAULIC HOSE </v>
      </c>
      <c r="L1240" s="72" t="str">
        <f>IFERROR(__xludf.DUMMYFUNCTION("""COMPUTED_VALUE"""),"RCG: TIGHTEN OF HYDRAULIC HOSE")</f>
        <v>RCG: TIGHTEN OF HYDRAULIC HOSE</v>
      </c>
      <c r="M1240" s="2"/>
      <c r="N1240" s="2"/>
      <c r="O1240" s="2">
        <f>IFERROR(__xludf.DUMMYFUNCTION("""COMPUTED_VALUE"""),701.0)</f>
        <v>701</v>
      </c>
      <c r="P1240" s="2"/>
      <c r="Q1240" s="2" t="str">
        <f>IFERROR(__xludf.DUMMYFUNCTION("""COMPUTED_VALUE"""),"FOR PRINT")</f>
        <v>FOR PRINT</v>
      </c>
      <c r="R1240" s="74">
        <f>IFERROR(__xludf.DUMMYFUNCTION("""COMPUTED_VALUE"""),46027.0)</f>
        <v>46027</v>
      </c>
      <c r="S1240" s="2" t="str">
        <f>IFERROR(__xludf.DUMMYFUNCTION("""COMPUTED_VALUE"""),"RCG/DRM")</f>
        <v>RCG/DRM</v>
      </c>
      <c r="T1240" s="73" t="str">
        <f>IFERROR(__xludf.DUMMYFUNCTION("""COMPUTED_VALUE""")," N/A ")</f>
        <v>N/A</v>
      </c>
      <c r="U1240" s="73" t="str">
        <f>IFERROR(__xludf.DUMMYFUNCTION("""COMPUTED_VALUE""")," NO CHARGE ")</f>
        <v>NO CHARGE</v>
      </c>
      <c r="V1240" s="2"/>
      <c r="W1240" s="2" t="str">
        <f>IFERROR(__xludf.DUMMYFUNCTION("""COMPUTED_VALUE"""),"N/A")</f>
        <v>N/A</v>
      </c>
      <c r="X1240" s="2" t="str">
        <f>IFERROR(__xludf.DUMMYFUNCTION("""COMPUTED_VALUE"""),"N/A")</f>
        <v>N/A</v>
      </c>
      <c r="Y1240" s="2"/>
      <c r="Z1240" s="2"/>
      <c r="AA1240" s="2"/>
      <c r="AB1240" s="2"/>
      <c r="AC1240" s="2"/>
      <c r="AD1240" s="2"/>
      <c r="AE1240" s="2"/>
      <c r="AF1240" s="2"/>
      <c r="AG1240" s="2"/>
      <c r="AH1240" s="2"/>
      <c r="AI1240" s="2"/>
      <c r="AJ1240" s="2" t="str">
        <f>IFERROR(__xludf.DUMMYFUNCTION("""COMPUTED_VALUE"""),"Paralaya (Pob.)")</f>
        <v>Paralaya (Pob.)</v>
      </c>
      <c r="AK1240" s="2" t="str">
        <f>IFERROR(__xludf.DUMMYFUNCTION("""COMPUTED_VALUE"""),"Candaba")</f>
        <v>Candaba</v>
      </c>
      <c r="AL1240" s="2" t="str">
        <f>IFERROR(__xludf.DUMMYFUNCTION("""COMPUTED_VALUE"""),"Pampanga")</f>
        <v>Pampanga</v>
      </c>
      <c r="AM1240" s="2">
        <f>IFERROR(__xludf.DUMMYFUNCTION("""COMPUTED_VALUE"""),3.0)</f>
        <v>3</v>
      </c>
      <c r="AN1240" s="2" t="str">
        <f>IFERROR(__xludf.DUMMYFUNCTION("""COMPUTED_VALUE"""),"RCEF 25-03-05")</f>
        <v>RCEF 25-03-05</v>
      </c>
      <c r="AO1240" s="2">
        <f>IFERROR(__xludf.DUMMYFUNCTION("""COMPUTED_VALUE"""),5.0)</f>
        <v>5</v>
      </c>
      <c r="AP1240" s="2" t="str">
        <f>IFERROR(__xludf.DUMMYFUNCTION("""COMPUTED_VALUE"""),"FREE PMS")</f>
        <v>FREE PMS</v>
      </c>
      <c r="AQ1240" s="2"/>
      <c r="AR1240" s="2"/>
      <c r="AS1240" s="2"/>
      <c r="AT1240" s="2"/>
      <c r="AU1240" s="2"/>
      <c r="AV1240" s="2"/>
      <c r="AW1240" s="2"/>
      <c r="AX1240" s="2"/>
      <c r="AY1240" s="2"/>
      <c r="AZ1240" s="2"/>
      <c r="BA1240" s="2"/>
      <c r="BB1240" s="2"/>
    </row>
    <row r="1241">
      <c r="A1241" s="2">
        <f>IFERROR(__xludf.DUMMYFUNCTION("""COMPUTED_VALUE"""),1237.0)</f>
        <v>1237</v>
      </c>
      <c r="B1241" s="2" t="str">
        <f>IFERROR(__xludf.DUMMYFUNCTION("""COMPUTED_VALUE"""),"PENDING")</f>
        <v>PENDING</v>
      </c>
      <c r="C1241" s="74">
        <f>IFERROR(__xludf.DUMMYFUNCTION("""COMPUTED_VALUE"""),45982.0)</f>
        <v>45982</v>
      </c>
      <c r="D1241" s="71" t="str">
        <f>IFERROR(__xludf.DUMMYFUNCTION("""COMPUTED_VALUE"""),"Municipal Local Government Unit of Camalig")</f>
        <v>Municipal Local Government Unit of Camalig</v>
      </c>
      <c r="E1241" s="71" t="str">
        <f>IFERROR(__xludf.DUMMYFUNCTION("""COMPUTED_VALUE"""),"Barangay 2 (Pob.), Camalig, ALBAY")</f>
        <v>Barangay 2 (Pob.), Camalig, ALBAY</v>
      </c>
      <c r="F1241" s="2" t="str">
        <f>IFERROR(__xludf.DUMMYFUNCTION("""COMPUTED_VALUE"""),"Hon. Carlos Irwin G. Baldo Jr")</f>
        <v>Hon. Carlos Irwin G. Baldo Jr</v>
      </c>
      <c r="G1241" s="2">
        <f>IFERROR(__xludf.DUMMYFUNCTION("""COMPUTED_VALUE"""),9.757581009E9)</f>
        <v>9757581009</v>
      </c>
      <c r="H1241" s="2"/>
      <c r="I1241" s="72" t="str">
        <f>IFERROR(__xludf.DUMMYFUNCTION("""COMPUTED_VALUE"""),"TRAINING REQUEST")</f>
        <v>TRAINING REQUEST</v>
      </c>
      <c r="J1241" s="72"/>
      <c r="K1241" s="72" t="str">
        <f>IFERROR(__xludf.DUMMYFUNCTION("""COMPUTED_VALUE"""),"KFS: DEMO OF FOUR WHEEL TRACTOR")</f>
        <v>KFS: DEMO OF FOUR WHEEL TRACTOR</v>
      </c>
      <c r="L1241" s="7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t="str">
        <f>IFERROR(__xludf.DUMMYFUNCTION("""COMPUTED_VALUE"""),"Barangay 2 (Pob.)")</f>
        <v>Barangay 2 (Pob.)</v>
      </c>
      <c r="AK1241" s="2" t="str">
        <f>IFERROR(__xludf.DUMMYFUNCTION("""COMPUTED_VALUE"""),"Camalig")</f>
        <v>Camalig</v>
      </c>
      <c r="AL1241" s="2" t="str">
        <f>IFERROR(__xludf.DUMMYFUNCTION("""COMPUTED_VALUE"""),"Albay")</f>
        <v>Albay</v>
      </c>
      <c r="AM1241" s="2">
        <f>IFERROR(__xludf.DUMMYFUNCTION("""COMPUTED_VALUE"""),5.0)</f>
        <v>5</v>
      </c>
      <c r="AN1241" s="2" t="str">
        <f>IFERROR(__xludf.DUMMYFUNCTION("""COMPUTED_VALUE"""),"RCEF 25-03-05")</f>
        <v>RCEF 25-03-05</v>
      </c>
      <c r="AO1241" s="2">
        <f>IFERROR(__xludf.DUMMYFUNCTION("""COMPUTED_VALUE"""),6.0)</f>
        <v>6</v>
      </c>
      <c r="AP1241" s="2" t="str">
        <f>IFERROR(__xludf.DUMMYFUNCTION("""COMPUTED_VALUE"""),"FREE PMS")</f>
        <v>FREE PMS</v>
      </c>
      <c r="AQ1241" s="2"/>
      <c r="AR1241" s="2"/>
      <c r="AS1241" s="2"/>
      <c r="AT1241" s="2"/>
      <c r="AU1241" s="2"/>
      <c r="AV1241" s="2"/>
      <c r="AW1241" s="2"/>
      <c r="AX1241" s="2"/>
      <c r="AY1241" s="2"/>
      <c r="AZ1241" s="2"/>
      <c r="BA1241" s="2"/>
      <c r="BB1241" s="2"/>
    </row>
    <row r="1242">
      <c r="A1242" s="2">
        <f>IFERROR(__xludf.DUMMYFUNCTION("""COMPUTED_VALUE"""),1238.0)</f>
        <v>1238</v>
      </c>
      <c r="B1242" s="2" t="str">
        <f>IFERROR(__xludf.DUMMYFUNCTION("""COMPUTED_VALUE"""),"PENDING")</f>
        <v>PENDING</v>
      </c>
      <c r="C1242" s="74">
        <f>IFERROR(__xludf.DUMMYFUNCTION("""COMPUTED_VALUE"""),45982.0)</f>
        <v>45982</v>
      </c>
      <c r="D1242" s="71" t="str">
        <f>IFERROR(__xludf.DUMMYFUNCTION("""COMPUTED_VALUE"""),"PILA LAGUNA AGRICULTURE COOPERATIVE (PILAC)")</f>
        <v>PILA LAGUNA AGRICULTURE COOPERATIVE (PILAC)</v>
      </c>
      <c r="E1242" s="71" t="str">
        <f>IFERROR(__xludf.DUMMYFUNCTION("""COMPUTED_VALUE"""),"PANSOL, PILA, LAGUNA")</f>
        <v>PANSOL, PILA, LAGUNA</v>
      </c>
      <c r="F1242" s="2" t="str">
        <f>IFERROR(__xludf.DUMMYFUNCTION("""COMPUTED_VALUE"""),"ROBERTO TABERNILIA")</f>
        <v>ROBERTO TABERNILIA</v>
      </c>
      <c r="G1242" s="2">
        <f>IFERROR(__xludf.DUMMYFUNCTION("""COMPUTED_VALUE"""),9.227617642E9)</f>
        <v>9227617642</v>
      </c>
      <c r="H1242" s="2"/>
      <c r="I1242" s="72" t="str">
        <f>IFERROR(__xludf.DUMMYFUNCTION("""COMPUTED_VALUE"""),"REPAIR - TRACTOR")</f>
        <v>REPAIR - TRACTOR</v>
      </c>
      <c r="J1242" s="72" t="str">
        <f>IFERROR(__xludf.DUMMYFUNCTION("""COMPUTED_VALUE"""),"CHECK UP UNIT")</f>
        <v>CHECK UP UNIT</v>
      </c>
      <c r="K1242" s="72" t="str">
        <f>IFERROR(__xludf.DUMMYFUNCTION("""COMPUTED_VALUE"""),"JIE: TYM MAINGAY SA LIKOD.
REPORTED TO JAYJAY LASTWEEK, 3 MONTHS AGO KAY JOSEPH, LAND PREP PREPARATION NA PO.")</f>
        <v>JIE: TYM MAINGAY SA LIKOD.
REPORTED TO JAYJAY LASTWEEK, 3 MONTHS AGO KAY JOSEPH, LAND PREP PREPARATION NA PO.</v>
      </c>
      <c r="L1242" s="72" t="str">
        <f>IFERROR(__xludf.DUMMYFUNCTION("""COMPUTED_VALUE"""),"JTT: Ok na hindi lang natangal ang cover")</f>
        <v>JTT: Ok na hindi lang natangal ang cover</v>
      </c>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t="str">
        <f>IFERROR(__xludf.DUMMYFUNCTION("""COMPUTED_VALUE"""),"Pansol")</f>
        <v>Pansol</v>
      </c>
      <c r="AK1242" s="2" t="str">
        <f>IFERROR(__xludf.DUMMYFUNCTION("""COMPUTED_VALUE"""),"Pila")</f>
        <v>Pila</v>
      </c>
      <c r="AL1242" s="2" t="str">
        <f>IFERROR(__xludf.DUMMYFUNCTION("""COMPUTED_VALUE"""),"Laguna")</f>
        <v>Laguna</v>
      </c>
      <c r="AM1242" s="2" t="str">
        <f>IFERROR(__xludf.DUMMYFUNCTION("""COMPUTED_VALUE"""),"4A")</f>
        <v>4A</v>
      </c>
      <c r="AN1242" s="2" t="str">
        <f>IFERROR(__xludf.DUMMYFUNCTION("""COMPUTED_VALUE"""),"RCEF 23-08-20 Rebidding")</f>
        <v>RCEF 23-08-20 Rebidding</v>
      </c>
      <c r="AO1242" s="2">
        <f>IFERROR(__xludf.DUMMYFUNCTION("""COMPUTED_VALUE"""),1.0)</f>
        <v>1</v>
      </c>
      <c r="AP1242" s="2"/>
      <c r="AQ1242" s="2"/>
      <c r="AR1242" s="2"/>
      <c r="AS1242" s="2"/>
      <c r="AT1242" s="2"/>
      <c r="AU1242" s="2"/>
      <c r="AV1242" s="2"/>
      <c r="AW1242" s="2"/>
      <c r="AX1242" s="2"/>
      <c r="AY1242" s="2"/>
      <c r="AZ1242" s="2"/>
      <c r="BA1242" s="2"/>
      <c r="BB1242" s="2"/>
    </row>
    <row r="1243">
      <c r="A1243" s="2">
        <f>IFERROR(__xludf.DUMMYFUNCTION("""COMPUTED_VALUE"""),1239.0)</f>
        <v>1239</v>
      </c>
      <c r="B1243" s="2" t="str">
        <f>IFERROR(__xludf.DUMMYFUNCTION("""COMPUTED_VALUE"""),"COMPLETED")</f>
        <v>COMPLETED</v>
      </c>
      <c r="C1243" s="74">
        <f>IFERROR(__xludf.DUMMYFUNCTION("""COMPUTED_VALUE"""),45984.0)</f>
        <v>45984</v>
      </c>
      <c r="D1243" s="71" t="str">
        <f>IFERROR(__xludf.DUMMYFUNCTION("""COMPUTED_VALUE"""),"MATABIAGA MALAWAAN IRRIGATORS ASSOCIATION, INC.")</f>
        <v>MATABIAGA MALAWAAN IRRIGATORS ASSOCIATION, INC.</v>
      </c>
      <c r="E1243" s="71" t="str">
        <f>IFERROR(__xludf.DUMMYFUNCTION("""COMPUTED_VALUE"""),"MALAWAAN, RIZAL, OCCIDENTAL MINDORO")</f>
        <v>MALAWAAN, RIZAL, OCCIDENTAL MINDORO</v>
      </c>
      <c r="F1243" s="2" t="str">
        <f>IFERROR(__xludf.DUMMYFUNCTION("""COMPUTED_VALUE"""),"Enriqueta D. Tayco")</f>
        <v>Enriqueta D. Tayco</v>
      </c>
      <c r="G1243" s="2">
        <f>IFERROR(__xludf.DUMMYFUNCTION("""COMPUTED_VALUE"""),9.093540587E9)</f>
        <v>9093540587</v>
      </c>
      <c r="H1243" s="2"/>
      <c r="I1243" s="72" t="str">
        <f>IFERROR(__xludf.DUMMYFUNCTION("""COMPUTED_VALUE"""),"SPARE PARTS ACQUISITION")</f>
        <v>SPARE PARTS ACQUISITION</v>
      </c>
      <c r="J1243" s="72"/>
      <c r="K1243" s="72" t="str">
        <f>IFERROR(__xludf.DUMMYFUNCTION("""COMPUTED_VALUE"""),"ECM:
Order: 
2pcs - Rear Axle Oilseal
2sets - Steering Cylinder Seal Kit
2sets - Front Axle Oilseal.")</f>
        <v>ECM:
Order: 
2pcs - Rear Axle Oilseal
2sets - Steering Cylinder Seal Kit
2sets - Front Axle Oilseal.</v>
      </c>
      <c r="L1243" s="72" t="str">
        <f>IFERROR(__xludf.DUMMYFUNCTION("""COMPUTED_VALUE"""),"FARMER: CANCELL ORDER")</f>
        <v>FARMER: CANCELL ORDER</v>
      </c>
      <c r="M1243" s="2"/>
      <c r="N1243" s="2"/>
      <c r="O1243" s="2" t="str">
        <f>IFERROR(__xludf.DUMMYFUNCTION("""COMPUTED_VALUE"""),"N/A")</f>
        <v>N/A</v>
      </c>
      <c r="P1243" s="2"/>
      <c r="Q1243" s="2"/>
      <c r="R1243" s="74">
        <f>IFERROR(__xludf.DUMMYFUNCTION("""COMPUTED_VALUE"""),45987.0)</f>
        <v>45987</v>
      </c>
      <c r="S1243" s="2" t="str">
        <f>IFERROR(__xludf.DUMMYFUNCTION("""COMPUTED_VALUE"""),"MYKEE")</f>
        <v>MYKEE</v>
      </c>
      <c r="T1243" s="73" t="str">
        <f>IFERROR(__xludf.DUMMYFUNCTION("""COMPUTED_VALUE""")," N/A ")</f>
        <v>N/A</v>
      </c>
      <c r="U1243" s="73" t="str">
        <f>IFERROR(__xludf.DUMMYFUNCTION("""COMPUTED_VALUE""")," NO CHARGE ")</f>
        <v>NO CHARGE</v>
      </c>
      <c r="V1243" s="2"/>
      <c r="W1243" s="2" t="str">
        <f>IFERROR(__xludf.DUMMYFUNCTION("""COMPUTED_VALUE"""),"N/A")</f>
        <v>N/A</v>
      </c>
      <c r="X1243" s="2" t="str">
        <f>IFERROR(__xludf.DUMMYFUNCTION("""COMPUTED_VALUE"""),"N/A")</f>
        <v>N/A</v>
      </c>
      <c r="Y1243" s="2"/>
      <c r="Z1243" s="2"/>
      <c r="AA1243" s="2"/>
      <c r="AB1243" s="2"/>
      <c r="AC1243" s="2"/>
      <c r="AD1243" s="2"/>
      <c r="AE1243" s="2"/>
      <c r="AF1243" s="2"/>
      <c r="AG1243" s="2"/>
      <c r="AH1243" s="2"/>
      <c r="AI1243" s="2"/>
      <c r="AJ1243" s="2" t="str">
        <f>IFERROR(__xludf.DUMMYFUNCTION("""COMPUTED_VALUE"""),"Malawaan")</f>
        <v>Malawaan</v>
      </c>
      <c r="AK1243" s="2" t="str">
        <f>IFERROR(__xludf.DUMMYFUNCTION("""COMPUTED_VALUE"""),"Rizal")</f>
        <v>Rizal</v>
      </c>
      <c r="AL1243" s="2" t="str">
        <f>IFERROR(__xludf.DUMMYFUNCTION("""COMPUTED_VALUE"""),"Occidental Mindoro")</f>
        <v>Occidental Mindoro</v>
      </c>
      <c r="AM1243" s="2" t="str">
        <f>IFERROR(__xludf.DUMMYFUNCTION("""COMPUTED_VALUE"""),"4B")</f>
        <v>4B</v>
      </c>
      <c r="AN1243" s="2" t="str">
        <f>IFERROR(__xludf.DUMMYFUNCTION("""COMPUTED_VALUE"""),"RCEF 23-08-20 Rebidding")</f>
        <v>RCEF 23-08-20 Rebidding</v>
      </c>
      <c r="AO1243" s="2">
        <f>IFERROR(__xludf.DUMMYFUNCTION("""COMPUTED_VALUE"""),1.0)</f>
        <v>1</v>
      </c>
      <c r="AP1243" s="2"/>
      <c r="AQ1243" s="2"/>
      <c r="AR1243" s="2"/>
      <c r="AS1243" s="2"/>
      <c r="AT1243" s="2"/>
      <c r="AU1243" s="2"/>
      <c r="AV1243" s="2"/>
      <c r="AW1243" s="2"/>
      <c r="AX1243" s="2"/>
      <c r="AY1243" s="2"/>
      <c r="AZ1243" s="2"/>
      <c r="BA1243" s="2"/>
      <c r="BB1243" s="2"/>
    </row>
    <row r="1244">
      <c r="A1244" s="2">
        <f>IFERROR(__xludf.DUMMYFUNCTION("""COMPUTED_VALUE"""),1240.0)</f>
        <v>1240</v>
      </c>
      <c r="B1244" s="2" t="str">
        <f>IFERROR(__xludf.DUMMYFUNCTION("""COMPUTED_VALUE"""),"COMPLETED")</f>
        <v>COMPLETED</v>
      </c>
      <c r="C1244" s="74">
        <f>IFERROR(__xludf.DUMMYFUNCTION("""COMPUTED_VALUE"""),45985.0)</f>
        <v>45985</v>
      </c>
      <c r="D1244" s="71" t="str">
        <f>IFERROR(__xludf.DUMMYFUNCTION("""COMPUTED_VALUE"""),"STA. TERESA 1ST., RICE, CORN, HVCC AND LIVESTOCK")</f>
        <v>STA. TERESA 1ST., RICE, CORN, HVCC AND LIVESTOCK</v>
      </c>
      <c r="E1244" s="71" t="str">
        <f>IFERROR(__xludf.DUMMYFUNCTION("""COMPUTED_VALUE"""),"Santa Teresa 1st, Lubao, PAMPANGA")</f>
        <v>Santa Teresa 1st, Lubao, PAMPANGA</v>
      </c>
      <c r="F1244" s="2"/>
      <c r="G1244" s="2">
        <f>IFERROR(__xludf.DUMMYFUNCTION("""COMPUTED_VALUE"""),9.159241613E9)</f>
        <v>9159241613</v>
      </c>
      <c r="H1244" s="2"/>
      <c r="I1244" s="72" t="str">
        <f>IFERROR(__xludf.DUMMYFUNCTION("""COMPUTED_VALUE"""),"REPAIR - ROTAVATOR")</f>
        <v>REPAIR - ROTAVATOR</v>
      </c>
      <c r="J1244" s="72" t="str">
        <f>IFERROR(__xludf.DUMMYFUNCTION("""COMPUTED_VALUE"""),"Training")</f>
        <v>Training</v>
      </c>
      <c r="K1244" s="72" t="str">
        <f>IFERROR(__xludf.DUMMYFUNCTION("""COMPUTED_VALUE"""),"MYK: FUEL GUAGE PROBLEM, AND ROTAVATOR BLADES CONCERN, NAMUMUO ANG MGA LUPA SA BLADE, ANY RECOMMENDATION PO DITO? ")</f>
        <v>MYK: FUEL GUAGE PROBLEM, AND ROTAVATOR BLADES CONCERN, NAMUMUO ANG MGA LUPA SA BLADE, ANY RECOMMENDATION PO DITO? </v>
      </c>
      <c r="L1244" s="72" t="str">
        <f>IFERROR(__xludf.DUMMYFUNCTION("""COMPUTED_VALUE"""),"FOR CLOSED")</f>
        <v>FOR CLOSED</v>
      </c>
      <c r="M1244" s="2"/>
      <c r="N1244" s="2"/>
      <c r="O1244" s="2" t="str">
        <f>IFERROR(__xludf.DUMMYFUNCTION("""COMPUTED_VALUE"""),"N/A")</f>
        <v>N/A</v>
      </c>
      <c r="P1244" s="2"/>
      <c r="Q1244" s="2"/>
      <c r="R1244" s="74">
        <f>IFERROR(__xludf.DUMMYFUNCTION("""COMPUTED_VALUE"""),46099.0)</f>
        <v>46099</v>
      </c>
      <c r="S1244" s="2" t="str">
        <f>IFERROR(__xludf.DUMMYFUNCTION("""COMPUTED_VALUE"""),"MYKEE")</f>
        <v>MYKEE</v>
      </c>
      <c r="T1244" s="73" t="str">
        <f>IFERROR(__xludf.DUMMYFUNCTION("""COMPUTED_VALUE""")," N/A ")</f>
        <v>N/A</v>
      </c>
      <c r="U1244" s="73" t="str">
        <f>IFERROR(__xludf.DUMMYFUNCTION("""COMPUTED_VALUE""")," NO CHARGE ")</f>
        <v>NO CHARGE</v>
      </c>
      <c r="V1244" s="2" t="str">
        <f>IFERROR(__xludf.DUMMYFUNCTION("""COMPUTED_VALUE"""),"N/A")</f>
        <v>N/A</v>
      </c>
      <c r="W1244" s="2" t="str">
        <f>IFERROR(__xludf.DUMMYFUNCTION("""COMPUTED_VALUE"""),"N/A")</f>
        <v>N/A</v>
      </c>
      <c r="X1244" s="2" t="str">
        <f>IFERROR(__xludf.DUMMYFUNCTION("""COMPUTED_VALUE"""),"N/A")</f>
        <v>N/A</v>
      </c>
      <c r="Y1244" s="2"/>
      <c r="Z1244" s="2"/>
      <c r="AA1244" s="2"/>
      <c r="AB1244" s="2"/>
      <c r="AC1244" s="2"/>
      <c r="AD1244" s="2"/>
      <c r="AE1244" s="2"/>
      <c r="AF1244" s="2"/>
      <c r="AG1244" s="2"/>
      <c r="AH1244" s="2"/>
      <c r="AI1244" s="2"/>
      <c r="AJ1244" s="2" t="str">
        <f>IFERROR(__xludf.DUMMYFUNCTION("""COMPUTED_VALUE"""),"Santa Teresa 1St")</f>
        <v>Santa Teresa 1St</v>
      </c>
      <c r="AK1244" s="2" t="str">
        <f>IFERROR(__xludf.DUMMYFUNCTION("""COMPUTED_VALUE"""),"Lubao")</f>
        <v>Lubao</v>
      </c>
      <c r="AL1244" s="2" t="str">
        <f>IFERROR(__xludf.DUMMYFUNCTION("""COMPUTED_VALUE"""),"Pampanga")</f>
        <v>Pampanga</v>
      </c>
      <c r="AM1244" s="2">
        <f>IFERROR(__xludf.DUMMYFUNCTION("""COMPUTED_VALUE"""),3.0)</f>
        <v>3</v>
      </c>
      <c r="AN1244" s="2" t="str">
        <f>IFERROR(__xludf.DUMMYFUNCTION("""COMPUTED_VALUE"""),"RCEF 25-03-05")</f>
        <v>RCEF 25-03-05</v>
      </c>
      <c r="AO1244" s="2">
        <f>IFERROR(__xludf.DUMMYFUNCTION("""COMPUTED_VALUE"""),5.0)</f>
        <v>5</v>
      </c>
      <c r="AP1244" s="2" t="str">
        <f>IFERROR(__xludf.DUMMYFUNCTION("""COMPUTED_VALUE"""),"FREE PMS")</f>
        <v>FREE PMS</v>
      </c>
      <c r="AQ1244" s="2"/>
      <c r="AR1244" s="2"/>
      <c r="AS1244" s="2"/>
      <c r="AT1244" s="2"/>
      <c r="AU1244" s="2"/>
      <c r="AV1244" s="2"/>
      <c r="AW1244" s="2"/>
      <c r="AX1244" s="2"/>
      <c r="AY1244" s="2"/>
      <c r="AZ1244" s="2"/>
      <c r="BA1244" s="2"/>
      <c r="BB1244" s="2"/>
    </row>
    <row r="1245">
      <c r="A1245" s="2">
        <f>IFERROR(__xludf.DUMMYFUNCTION("""COMPUTED_VALUE"""),1241.0)</f>
        <v>1241</v>
      </c>
      <c r="B1245" s="2" t="str">
        <f>IFERROR(__xludf.DUMMYFUNCTION("""COMPUTED_VALUE"""),"COMPLETED")</f>
        <v>COMPLETED</v>
      </c>
      <c r="C1245" s="74">
        <f>IFERROR(__xludf.DUMMYFUNCTION("""COMPUTED_VALUE"""),45985.0)</f>
        <v>45985</v>
      </c>
      <c r="D1245" s="71" t="str">
        <f>IFERROR(__xludf.DUMMYFUNCTION("""COMPUTED_VALUE"""),"PUROK PALAYAN AMIA VILLAGE DINAPA FARMERS ASSOCIATION")</f>
        <v>PUROK PALAYAN AMIA VILLAGE DINAPA FARMERS ASSOCIATION</v>
      </c>
      <c r="E1245" s="71" t="str">
        <f>IFERROR(__xludf.DUMMYFUNCTION("""COMPUTED_VALUE"""),"Dinapa, Castilla, SORSOGON")</f>
        <v>Dinapa, Castilla, SORSOGON</v>
      </c>
      <c r="F1245" s="2" t="str">
        <f>IFERROR(__xludf.DUMMYFUNCTION("""COMPUTED_VALUE"""),"Benjie Lotino")</f>
        <v>Benjie Lotino</v>
      </c>
      <c r="G1245" s="2">
        <f>IFERROR(__xludf.DUMMYFUNCTION("""COMPUTED_VALUE"""),9.927287126E9)</f>
        <v>9927287126</v>
      </c>
      <c r="H1245" s="2">
        <f>IFERROR(__xludf.DUMMYFUNCTION("""COMPUTED_VALUE"""),50.0)</f>
        <v>50</v>
      </c>
      <c r="I1245" s="72" t="str">
        <f>IFERROR(__xludf.DUMMYFUNCTION("""COMPUTED_VALUE"""),"PMS")</f>
        <v>PMS</v>
      </c>
      <c r="J1245" s="72" t="str">
        <f>IFERROR(__xludf.DUMMYFUNCTION("""COMPUTED_VALUE"""),"PMS")</f>
        <v>PMS</v>
      </c>
      <c r="K1245" s="72" t="str">
        <f>IFERROR(__xludf.DUMMYFUNCTION("""COMPUTED_VALUE"""),"JAH: 1ST PMS")</f>
        <v>JAH: 1ST PMS</v>
      </c>
      <c r="L1245" s="72" t="str">
        <f>IFERROR(__xludf.DUMMYFUNCTION("""COMPUTED_VALUE"""),"JAH: 1ST PMS DONE")</f>
        <v>JAH: 1ST PMS DONE</v>
      </c>
      <c r="M1245" s="2"/>
      <c r="N1245" s="2" t="str">
        <f>IFERROR(__xludf.DUMMYFUNCTION("""COMPUTED_VALUE"""),"PARTS:
OIL FILTER
ENGINE OIL ")</f>
        <v>PARTS:
OIL FILTER
ENGINE OIL </v>
      </c>
      <c r="O1245" s="2">
        <f>IFERROR(__xludf.DUMMYFUNCTION("""COMPUTED_VALUE"""),379.0)</f>
        <v>379</v>
      </c>
      <c r="P1245" s="2"/>
      <c r="Q1245" s="2" t="str">
        <f>IFERROR(__xludf.DUMMYFUNCTION("""COMPUTED_VALUE"""),"FOR PRINT")</f>
        <v>FOR PRINT</v>
      </c>
      <c r="R1245" s="74">
        <f>IFERROR(__xludf.DUMMYFUNCTION("""COMPUTED_VALUE"""),45987.0)</f>
        <v>45987</v>
      </c>
      <c r="S1245" s="2" t="str">
        <f>IFERROR(__xludf.DUMMYFUNCTION("""COMPUTED_VALUE"""),"JTT/JAH")</f>
        <v>JTT/JAH</v>
      </c>
      <c r="T1245" s="73" t="str">
        <f>IFERROR(__xludf.DUMMYFUNCTION("""COMPUTED_VALUE""")," N/A ")</f>
        <v>N/A</v>
      </c>
      <c r="U1245" s="73" t="str">
        <f>IFERROR(__xludf.DUMMYFUNCTION("""COMPUTED_VALUE""")," NO CHARGE ")</f>
        <v>NO CHARGE</v>
      </c>
      <c r="V1245" s="2"/>
      <c r="W1245" s="2" t="str">
        <f>IFERROR(__xludf.DUMMYFUNCTION("""COMPUTED_VALUE"""),"N/A")</f>
        <v>N/A</v>
      </c>
      <c r="X1245" s="2" t="str">
        <f>IFERROR(__xludf.DUMMYFUNCTION("""COMPUTED_VALUE"""),"N/A")</f>
        <v>N/A</v>
      </c>
      <c r="Y1245" s="2"/>
      <c r="Z1245" s="2"/>
      <c r="AA1245" s="2"/>
      <c r="AB1245" s="2"/>
      <c r="AC1245" s="2"/>
      <c r="AD1245" s="2"/>
      <c r="AE1245" s="2"/>
      <c r="AF1245" s="2"/>
      <c r="AG1245" s="2"/>
      <c r="AH1245" s="2"/>
      <c r="AI1245" s="2"/>
      <c r="AJ1245" s="2" t="str">
        <f>IFERROR(__xludf.DUMMYFUNCTION("""COMPUTED_VALUE"""),"Dinapa")</f>
        <v>Dinapa</v>
      </c>
      <c r="AK1245" s="2" t="str">
        <f>IFERROR(__xludf.DUMMYFUNCTION("""COMPUTED_VALUE"""),"Castilla")</f>
        <v>Castilla</v>
      </c>
      <c r="AL1245" s="2" t="str">
        <f>IFERROR(__xludf.DUMMYFUNCTION("""COMPUTED_VALUE"""),"Sorsogon")</f>
        <v>Sorsogon</v>
      </c>
      <c r="AM1245" s="2">
        <f>IFERROR(__xludf.DUMMYFUNCTION("""COMPUTED_VALUE"""),5.0)</f>
        <v>5</v>
      </c>
      <c r="AN1245" s="2" t="str">
        <f>IFERROR(__xludf.DUMMYFUNCTION("""COMPUTED_VALUE"""),"RCEF 25-03-05")</f>
        <v>RCEF 25-03-05</v>
      </c>
      <c r="AO1245" s="2">
        <f>IFERROR(__xludf.DUMMYFUNCTION("""COMPUTED_VALUE"""),6.0)</f>
        <v>6</v>
      </c>
      <c r="AP1245" s="2" t="str">
        <f>IFERROR(__xludf.DUMMYFUNCTION("""COMPUTED_VALUE"""),"FREE PMS")</f>
        <v>FREE PMS</v>
      </c>
      <c r="AQ1245" s="2"/>
      <c r="AR1245" s="2"/>
      <c r="AS1245" s="2"/>
      <c r="AT1245" s="2"/>
      <c r="AU1245" s="2"/>
      <c r="AV1245" s="2"/>
      <c r="AW1245" s="2"/>
      <c r="AX1245" s="2"/>
      <c r="AY1245" s="2"/>
      <c r="AZ1245" s="2"/>
      <c r="BA1245" s="2"/>
      <c r="BB1245" s="2"/>
    </row>
    <row r="1246">
      <c r="A1246" s="2">
        <f>IFERROR(__xludf.DUMMYFUNCTION("""COMPUTED_VALUE"""),1242.0)</f>
        <v>1242</v>
      </c>
      <c r="B1246" s="2" t="str">
        <f>IFERROR(__xludf.DUMMYFUNCTION("""COMPUTED_VALUE"""),"COMPLETED")</f>
        <v>COMPLETED</v>
      </c>
      <c r="C1246" s="74">
        <f>IFERROR(__xludf.DUMMYFUNCTION("""COMPUTED_VALUE"""),45985.0)</f>
        <v>45985</v>
      </c>
      <c r="D1246" s="71" t="str">
        <f>IFERROR(__xludf.DUMMYFUNCTION("""COMPUTED_VALUE"""),"P-38 Farmers Irrigators Association Inc")</f>
        <v>P-38 Farmers Irrigators Association Inc</v>
      </c>
      <c r="E1246" s="71" t="str">
        <f>IFERROR(__xludf.DUMMYFUNCTION("""COMPUTED_VALUE"""),"Canarem, Victoria, TARLAC")</f>
        <v>Canarem, Victoria, TARLAC</v>
      </c>
      <c r="F1246" s="2" t="str">
        <f>IFERROR(__xludf.DUMMYFUNCTION("""COMPUTED_VALUE"""),"Myrna Sabordo ")</f>
        <v>Myrna Sabordo </v>
      </c>
      <c r="G1246" s="2">
        <f>IFERROR(__xludf.DUMMYFUNCTION("""COMPUTED_VALUE"""),9.956891989E9)</f>
        <v>9956891989</v>
      </c>
      <c r="H1246" s="2">
        <f>IFERROR(__xludf.DUMMYFUNCTION("""COMPUTED_VALUE"""),50.0)</f>
        <v>50</v>
      </c>
      <c r="I1246" s="72" t="str">
        <f>IFERROR(__xludf.DUMMYFUNCTION("""COMPUTED_VALUE"""),"PMS")</f>
        <v>PMS</v>
      </c>
      <c r="J1246" s="72" t="str">
        <f>IFERROR(__xludf.DUMMYFUNCTION("""COMPUTED_VALUE"""),"PMS")</f>
        <v>PMS</v>
      </c>
      <c r="K1246" s="72" t="str">
        <f>IFERROR(__xludf.DUMMYFUNCTION("""COMPUTED_VALUE"""),"MYK: 1ST PMS FREE")</f>
        <v>MYK: 1ST PMS FREE</v>
      </c>
      <c r="L1246" s="72" t="str">
        <f>IFERROR(__xludf.DUMMYFUNCTION("""COMPUTED_VALUE"""),"DSD: 1ST PMS DONE")</f>
        <v>DSD: 1ST PMS DONE</v>
      </c>
      <c r="M1246" s="2"/>
      <c r="N1246" s="2" t="str">
        <f>IFERROR(__xludf.DUMMYFUNCTION("""COMPUTED_VALUE"""),"PARTS:
OIL FILTER
ENGINE OIL ")</f>
        <v>PARTS:
OIL FILTER
ENGINE OIL </v>
      </c>
      <c r="O1246" s="2">
        <f>IFERROR(__xludf.DUMMYFUNCTION("""COMPUTED_VALUE"""),1441.0)</f>
        <v>1441</v>
      </c>
      <c r="P1246" s="2"/>
      <c r="Q1246" s="2" t="str">
        <f>IFERROR(__xludf.DUMMYFUNCTION("""COMPUTED_VALUE"""),"FOR PRINT")</f>
        <v>FOR PRINT</v>
      </c>
      <c r="R1246" s="74">
        <f>IFERROR(__xludf.DUMMYFUNCTION("""COMPUTED_VALUE"""),45985.0)</f>
        <v>45985</v>
      </c>
      <c r="S1246" s="2" t="str">
        <f>IFERROR(__xludf.DUMMYFUNCTION("""COMPUTED_VALUE"""),"JHP/DSD")</f>
        <v>JHP/DSD</v>
      </c>
      <c r="T1246" s="73" t="str">
        <f>IFERROR(__xludf.DUMMYFUNCTION("""COMPUTED_VALUE""")," N/A ")</f>
        <v>N/A</v>
      </c>
      <c r="U1246" s="73" t="str">
        <f>IFERROR(__xludf.DUMMYFUNCTION("""COMPUTED_VALUE""")," NO CHARGE ")</f>
        <v>NO CHARGE</v>
      </c>
      <c r="V1246" s="2"/>
      <c r="W1246" s="2" t="str">
        <f>IFERROR(__xludf.DUMMYFUNCTION("""COMPUTED_VALUE"""),"N/A")</f>
        <v>N/A</v>
      </c>
      <c r="X1246" s="2" t="str">
        <f>IFERROR(__xludf.DUMMYFUNCTION("""COMPUTED_VALUE"""),"N/A")</f>
        <v>N/A</v>
      </c>
      <c r="Y1246" s="2"/>
      <c r="Z1246" s="2"/>
      <c r="AA1246" s="2"/>
      <c r="AB1246" s="2"/>
      <c r="AC1246" s="2"/>
      <c r="AD1246" s="2"/>
      <c r="AE1246" s="2"/>
      <c r="AF1246" s="2"/>
      <c r="AG1246" s="2"/>
      <c r="AH1246" s="2"/>
      <c r="AI1246" s="2"/>
      <c r="AJ1246" s="2" t="str">
        <f>IFERROR(__xludf.DUMMYFUNCTION("""COMPUTED_VALUE"""),"Canarem")</f>
        <v>Canarem</v>
      </c>
      <c r="AK1246" s="2" t="str">
        <f>IFERROR(__xludf.DUMMYFUNCTION("""COMPUTED_VALUE"""),"Victoria")</f>
        <v>Victoria</v>
      </c>
      <c r="AL1246" s="2" t="str">
        <f>IFERROR(__xludf.DUMMYFUNCTION("""COMPUTED_VALUE"""),"Tarlac")</f>
        <v>Tarlac</v>
      </c>
      <c r="AM1246" s="2">
        <f>IFERROR(__xludf.DUMMYFUNCTION("""COMPUTED_VALUE"""),3.0)</f>
        <v>3</v>
      </c>
      <c r="AN1246" s="2" t="str">
        <f>IFERROR(__xludf.DUMMYFUNCTION("""COMPUTED_VALUE"""),"RCEF 25-03-05")</f>
        <v>RCEF 25-03-05</v>
      </c>
      <c r="AO1246" s="2">
        <f>IFERROR(__xludf.DUMMYFUNCTION("""COMPUTED_VALUE"""),5.0)</f>
        <v>5</v>
      </c>
      <c r="AP1246" s="2" t="str">
        <f>IFERROR(__xludf.DUMMYFUNCTION("""COMPUTED_VALUE"""),"FREE PMS")</f>
        <v>FREE PMS</v>
      </c>
      <c r="AQ1246" s="2"/>
      <c r="AR1246" s="2"/>
      <c r="AS1246" s="2"/>
      <c r="AT1246" s="2"/>
      <c r="AU1246" s="2"/>
      <c r="AV1246" s="2"/>
      <c r="AW1246" s="2"/>
      <c r="AX1246" s="2"/>
      <c r="AY1246" s="2"/>
      <c r="AZ1246" s="2"/>
      <c r="BA1246" s="2"/>
      <c r="BB1246" s="2"/>
    </row>
    <row r="1247">
      <c r="A1247" s="2">
        <f>IFERROR(__xludf.DUMMYFUNCTION("""COMPUTED_VALUE"""),1243.0)</f>
        <v>1243</v>
      </c>
      <c r="B1247" s="2" t="str">
        <f>IFERROR(__xludf.DUMMYFUNCTION("""COMPUTED_VALUE"""),"COMPLETED")</f>
        <v>COMPLETED</v>
      </c>
      <c r="C1247" s="74">
        <f>IFERROR(__xludf.DUMMYFUNCTION("""COMPUTED_VALUE"""),45985.0)</f>
        <v>45985</v>
      </c>
      <c r="D1247" s="71" t="str">
        <f>IFERROR(__xludf.DUMMYFUNCTION("""COMPUTED_VALUE"""),"San Roque Farmers Agriculture Cooperative")</f>
        <v>San Roque Farmers Agriculture Cooperative</v>
      </c>
      <c r="E1247" s="71" t="str">
        <f>IFERROR(__xludf.DUMMYFUNCTION("""COMPUTED_VALUE"""),"Sepung Bulaun, Porac, PAMPANGA")</f>
        <v>Sepung Bulaun, Porac, PAMPANGA</v>
      </c>
      <c r="F1247" s="2" t="str">
        <f>IFERROR(__xludf.DUMMYFUNCTION("""COMPUTED_VALUE"""),"GLEN OCAMPO")</f>
        <v>GLEN OCAMPO</v>
      </c>
      <c r="G1247" s="2">
        <f>IFERROR(__xludf.DUMMYFUNCTION("""COMPUTED_VALUE"""),9.602453262E9)</f>
        <v>9602453262</v>
      </c>
      <c r="H1247" s="2">
        <f>IFERROR(__xludf.DUMMYFUNCTION("""COMPUTED_VALUE"""),400.0)</f>
        <v>400</v>
      </c>
      <c r="I1247" s="72" t="str">
        <f>IFERROR(__xludf.DUMMYFUNCTION("""COMPUTED_VALUE"""),"REPAIR - TRACTOR")</f>
        <v>REPAIR - TRACTOR</v>
      </c>
      <c r="J1247" s="72" t="str">
        <f>IFERROR(__xludf.DUMMYFUNCTION("""COMPUTED_VALUE"""),"Steering")</f>
        <v>Steering</v>
      </c>
      <c r="K1247" s="72" t="str">
        <f>IFERROR(__xludf.DUMMYFUNCTION("""COMPUTED_VALUE"""),"MYK: MAINGAY ANG MANOBELA, ")</f>
        <v>MYK: MAINGAY ANG MANOBELA, </v>
      </c>
      <c r="L1247" s="72" t="str">
        <f>IFERROR(__xludf.DUMMYFUNCTION("""COMPUTED_VALUE"""),"RCG: NILAGYAN NA  NG GRASA YUNG RUBBER, NAWALA NA ANG INGAY ")</f>
        <v>RCG: NILAGYAN NA  NG GRASA YUNG RUBBER, NAWALA NA ANG INGAY </v>
      </c>
      <c r="M1247" s="2"/>
      <c r="N1247" s="2"/>
      <c r="O1247" s="2">
        <f>IFERROR(__xludf.DUMMYFUNCTION("""COMPUTED_VALUE"""),706.0)</f>
        <v>706</v>
      </c>
      <c r="P1247" s="2"/>
      <c r="Q1247" s="2" t="str">
        <f>IFERROR(__xludf.DUMMYFUNCTION("""COMPUTED_VALUE"""),"FOR PRINT")</f>
        <v>FOR PRINT</v>
      </c>
      <c r="R1247" s="74">
        <f>IFERROR(__xludf.DUMMYFUNCTION("""COMPUTED_VALUE"""),46028.0)</f>
        <v>46028</v>
      </c>
      <c r="S1247" s="2" t="str">
        <f>IFERROR(__xludf.DUMMYFUNCTION("""COMPUTED_VALUE"""),"RCG/DRM")</f>
        <v>RCG/DRM</v>
      </c>
      <c r="T1247" s="73" t="str">
        <f>IFERROR(__xludf.DUMMYFUNCTION("""COMPUTED_VALUE""")," N/A ")</f>
        <v>N/A</v>
      </c>
      <c r="U1247" s="73" t="str">
        <f>IFERROR(__xludf.DUMMYFUNCTION("""COMPUTED_VALUE""")," NO CHARGE ")</f>
        <v>NO CHARGE</v>
      </c>
      <c r="V1247" s="2"/>
      <c r="W1247" s="2" t="str">
        <f>IFERROR(__xludf.DUMMYFUNCTION("""COMPUTED_VALUE"""),"N/A")</f>
        <v>N/A</v>
      </c>
      <c r="X1247" s="2" t="str">
        <f>IFERROR(__xludf.DUMMYFUNCTION("""COMPUTED_VALUE"""),"N/A")</f>
        <v>N/A</v>
      </c>
      <c r="Y1247" s="2"/>
      <c r="Z1247" s="2"/>
      <c r="AA1247" s="2"/>
      <c r="AB1247" s="2"/>
      <c r="AC1247" s="2"/>
      <c r="AD1247" s="2"/>
      <c r="AE1247" s="2"/>
      <c r="AF1247" s="2"/>
      <c r="AG1247" s="2"/>
      <c r="AH1247" s="2"/>
      <c r="AI1247" s="2"/>
      <c r="AJ1247" s="2" t="str">
        <f>IFERROR(__xludf.DUMMYFUNCTION("""COMPUTED_VALUE"""),"Sepung Bulaun")</f>
        <v>Sepung Bulaun</v>
      </c>
      <c r="AK1247" s="2" t="str">
        <f>IFERROR(__xludf.DUMMYFUNCTION("""COMPUTED_VALUE"""),"Porac")</f>
        <v>Porac</v>
      </c>
      <c r="AL1247" s="2" t="str">
        <f>IFERROR(__xludf.DUMMYFUNCTION("""COMPUTED_VALUE"""),"Pampanga")</f>
        <v>Pampanga</v>
      </c>
      <c r="AM1247" s="2">
        <f>IFERROR(__xludf.DUMMYFUNCTION("""COMPUTED_VALUE"""),3.0)</f>
        <v>3</v>
      </c>
      <c r="AN1247" s="2" t="str">
        <f>IFERROR(__xludf.DUMMYFUNCTION("""COMPUTED_VALUE"""),"RCEF 23-09-21 Rebidding")</f>
        <v>RCEF 23-09-21 Rebidding</v>
      </c>
      <c r="AO1247" s="2">
        <f>IFERROR(__xludf.DUMMYFUNCTION("""COMPUTED_VALUE"""),3.0)</f>
        <v>3</v>
      </c>
      <c r="AP1247" s="2"/>
      <c r="AQ1247" s="2"/>
      <c r="AR1247" s="2"/>
      <c r="AS1247" s="2"/>
      <c r="AT1247" s="2"/>
      <c r="AU1247" s="2"/>
      <c r="AV1247" s="2"/>
      <c r="AW1247" s="2"/>
      <c r="AX1247" s="2"/>
      <c r="AY1247" s="2"/>
      <c r="AZ1247" s="2"/>
      <c r="BA1247" s="2"/>
      <c r="BB1247" s="2"/>
    </row>
    <row r="1248">
      <c r="A1248" s="2">
        <f>IFERROR(__xludf.DUMMYFUNCTION("""COMPUTED_VALUE"""),1244.0)</f>
        <v>1244</v>
      </c>
      <c r="B1248" s="2" t="str">
        <f>IFERROR(__xludf.DUMMYFUNCTION("""COMPUTED_VALUE"""),"PENDING")</f>
        <v>PENDING</v>
      </c>
      <c r="C1248" s="74">
        <f>IFERROR(__xludf.DUMMYFUNCTION("""COMPUTED_VALUE"""),45985.0)</f>
        <v>45985</v>
      </c>
      <c r="D1248" s="71" t="str">
        <f>IFERROR(__xludf.DUMMYFUNCTION("""COMPUTED_VALUE"""),"Conconig East Farmers Multi Purpose Cooperative")</f>
        <v>Conconig East Farmers Multi Purpose Cooperative</v>
      </c>
      <c r="E1248" s="71" t="str">
        <f>IFERROR(__xludf.DUMMYFUNCTION("""COMPUTED_VALUE"""),"Conconig East, Santa Lucia, ILOCOS SUR")</f>
        <v>Conconig East, Santa Lucia, ILOCOS SUR</v>
      </c>
      <c r="F1248" s="2" t="str">
        <f>IFERROR(__xludf.DUMMYFUNCTION("""COMPUTED_VALUE"""),"DELIA EVABNGELISTA")</f>
        <v>DELIA EVABNGELISTA</v>
      </c>
      <c r="G1248" s="2">
        <f>IFERROR(__xludf.DUMMYFUNCTION("""COMPUTED_VALUE"""),9.26438023E9)</f>
        <v>9264380230</v>
      </c>
      <c r="H1248" s="2"/>
      <c r="I1248" s="72" t="str">
        <f>IFERROR(__xludf.DUMMYFUNCTION("""COMPUTED_VALUE"""),"SPARE PARTS ACQUISITION")</f>
        <v>SPARE PARTS ACQUISITION</v>
      </c>
      <c r="J1248" s="72" t="str">
        <f>IFERROR(__xludf.DUMMYFUNCTION("""COMPUTED_VALUE"""),"PARTS REQUEST")</f>
        <v>PARTS REQUEST</v>
      </c>
      <c r="K1248" s="72" t="str">
        <f>IFERROR(__xludf.DUMMYFUNCTION("""COMPUTED_VALUE"""),"MYK: PARTS REQUEST: 
- ROTAVATOR PARTS : FACEBOOK PAGE SENT
1- BEVEL GEAR 24T
1- DRIVE SHAFT")</f>
        <v>MYK: PARTS REQUEST: 
- ROTAVATOR PARTS : FACEBOOK PAGE SENT
1- BEVEL GEAR 24T
1- DRIVE SHAFT</v>
      </c>
      <c r="L1248" s="72" t="str">
        <f>IFERROR(__xludf.DUMMYFUNCTION("""COMPUTED_VALUE"""),"QUOTATION SENT: WILLIWNG TO PAY - PARTS NOT YET AVAILABLE
MYK: INFORM FCA PARTS AVAILABLE -INTAYIN KO LANG MAKAPAG CHAT SILA SA FB PARA MASENDAN KO NG QUOTATION. ")</f>
        <v>QUOTATION SENT: WILLIWNG TO PAY - PARTS NOT YET AVAILABLE
MYK: INFORM FCA PARTS AVAILABLE -INTAYIN KO LANG MAKAPAG CHAT SILA SA FB PARA MASENDAN KO NG QUOTATION. </v>
      </c>
      <c r="M1248" s="2" t="str">
        <f>IFERROR(__xludf.DUMMYFUNCTION("""COMPUTED_VALUE"""),"1- BEVEL GEAR 24T
1- DRIVE SHAFT")</f>
        <v>1- BEVEL GEAR 24T
1- DRIVE SHAFT</v>
      </c>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t="str">
        <f>IFERROR(__xludf.DUMMYFUNCTION("""COMPUTED_VALUE"""),"Conconig East")</f>
        <v>Conconig East</v>
      </c>
      <c r="AK1248" s="2" t="str">
        <f>IFERROR(__xludf.DUMMYFUNCTION("""COMPUTED_VALUE"""),"Santa Lucia")</f>
        <v>Santa Lucia</v>
      </c>
      <c r="AL1248" s="2" t="str">
        <f>IFERROR(__xludf.DUMMYFUNCTION("""COMPUTED_VALUE"""),"Ilocos Sur")</f>
        <v>Ilocos Sur</v>
      </c>
      <c r="AM1248" s="2">
        <f>IFERROR(__xludf.DUMMYFUNCTION("""COMPUTED_VALUE"""),1.0)</f>
        <v>1</v>
      </c>
      <c r="AN1248" s="2" t="str">
        <f>IFERROR(__xludf.DUMMYFUNCTION("""COMPUTED_VALUE"""),"RCEF 23-09-21 Rebidding")</f>
        <v>RCEF 23-09-21 Rebidding</v>
      </c>
      <c r="AO1248" s="2">
        <f>IFERROR(__xludf.DUMMYFUNCTION("""COMPUTED_VALUE"""),2.0)</f>
        <v>2</v>
      </c>
      <c r="AP1248" s="2"/>
      <c r="AQ1248" s="2"/>
      <c r="AR1248" s="2"/>
      <c r="AS1248" s="2"/>
      <c r="AT1248" s="2"/>
      <c r="AU1248" s="2"/>
      <c r="AV1248" s="2"/>
      <c r="AW1248" s="2"/>
      <c r="AX1248" s="2"/>
      <c r="AY1248" s="2"/>
      <c r="AZ1248" s="2"/>
      <c r="BA1248" s="2"/>
      <c r="BB1248" s="2"/>
    </row>
    <row r="1249">
      <c r="A1249" s="2">
        <f>IFERROR(__xludf.DUMMYFUNCTION("""COMPUTED_VALUE"""),1245.0)</f>
        <v>1245</v>
      </c>
      <c r="B1249" s="2" t="str">
        <f>IFERROR(__xludf.DUMMYFUNCTION("""COMPUTED_VALUE"""),"COMPLETED")</f>
        <v>COMPLETED</v>
      </c>
      <c r="C1249" s="74">
        <f>IFERROR(__xludf.DUMMYFUNCTION("""COMPUTED_VALUE"""),45985.0)</f>
        <v>45985</v>
      </c>
      <c r="D1249" s="71" t="str">
        <f>IFERROR(__xludf.DUMMYFUNCTION("""COMPUTED_VALUE"""),"Gatbo Farmers Irrigators Association (GAFIA)")</f>
        <v>Gatbo Farmers Irrigators Association (GAFIA)</v>
      </c>
      <c r="E1249" s="71" t="str">
        <f>IFERROR(__xludf.DUMMYFUNCTION("""COMPUTED_VALUE"""),"Gatbo, Sorsogon City, SORSOGON")</f>
        <v>Gatbo, Sorsogon City, SORSOGON</v>
      </c>
      <c r="F1249" s="2" t="str">
        <f>IFERROR(__xludf.DUMMYFUNCTION("""COMPUTED_VALUE"""),"Ryan Espinola")</f>
        <v>Ryan Espinola</v>
      </c>
      <c r="G1249" s="2"/>
      <c r="H1249" s="2"/>
      <c r="I1249" s="72" t="str">
        <f>IFERROR(__xludf.DUMMYFUNCTION("""COMPUTED_VALUE"""),"REPAIR - TRACTOR")</f>
        <v>REPAIR - TRACTOR</v>
      </c>
      <c r="J1249" s="72" t="str">
        <f>IFERROR(__xludf.DUMMYFUNCTION("""COMPUTED_VALUE"""),"ENGINE OIL COOLER")</f>
        <v>ENGINE OIL COOLER</v>
      </c>
      <c r="K1249" s="72" t="str">
        <f>IFERROR(__xludf.DUMMYFUNCTION("""COMPUTED_VALUE"""),"FPJ: nasira pinag kakabitan ng oil filter pag PMS nila
FPJ: BIBILI PO SILA NG OIL COOLER ASSY.")</f>
        <v>FPJ: nasira pinag kakabitan ng oil filter pag PMS nila
FPJ: BIBILI PO SILA NG OIL COOLER ASSY.</v>
      </c>
      <c r="L1249" s="72" t="str">
        <f>IFERROR(__xludf.DUMMYFUNCTION("""COMPUTED_VALUE"""),"JHP SUDDGEST FOR MACHINE SHOP
CLOSED -  NO FEEDBACK FROM FCA")</f>
        <v>JHP SUDDGEST FOR MACHINE SHOP
CLOSED -  NO FEEDBACK FROM FCA</v>
      </c>
      <c r="M1249" s="2"/>
      <c r="N1249" s="2"/>
      <c r="O1249" s="2" t="str">
        <f>IFERROR(__xludf.DUMMYFUNCTION("""COMPUTED_VALUE"""),"N/A")</f>
        <v>N/A</v>
      </c>
      <c r="P1249" s="2"/>
      <c r="Q1249" s="2"/>
      <c r="R1249" s="74">
        <f>IFERROR(__xludf.DUMMYFUNCTION("""COMPUTED_VALUE"""),46153.0)</f>
        <v>46153</v>
      </c>
      <c r="S1249" s="2" t="str">
        <f>IFERROR(__xludf.DUMMYFUNCTION("""COMPUTED_VALUE"""),"MYKEE")</f>
        <v>MYKEE</v>
      </c>
      <c r="T1249" s="73" t="str">
        <f>IFERROR(__xludf.DUMMYFUNCTION("""COMPUTED_VALUE""")," N/A ")</f>
        <v>N/A</v>
      </c>
      <c r="U1249" s="73" t="str">
        <f>IFERROR(__xludf.DUMMYFUNCTION("""COMPUTED_VALUE""")," NO CHARGE ")</f>
        <v>NO CHARGE</v>
      </c>
      <c r="V1249" s="2" t="str">
        <f>IFERROR(__xludf.DUMMYFUNCTION("""COMPUTED_VALUE"""),"N/A")</f>
        <v>N/A</v>
      </c>
      <c r="W1249" s="2" t="str">
        <f>IFERROR(__xludf.DUMMYFUNCTION("""COMPUTED_VALUE"""),"N/A")</f>
        <v>N/A</v>
      </c>
      <c r="X1249" s="2" t="str">
        <f>IFERROR(__xludf.DUMMYFUNCTION("""COMPUTED_VALUE"""),"N/A")</f>
        <v>N/A</v>
      </c>
      <c r="Y1249" s="2"/>
      <c r="Z1249" s="2"/>
      <c r="AA1249" s="2"/>
      <c r="AB1249" s="2"/>
      <c r="AC1249" s="2"/>
      <c r="AD1249" s="2"/>
      <c r="AE1249" s="2"/>
      <c r="AF1249" s="2"/>
      <c r="AG1249" s="2"/>
      <c r="AH1249" s="2"/>
      <c r="AI1249" s="2"/>
      <c r="AJ1249" s="2" t="str">
        <f>IFERROR(__xludf.DUMMYFUNCTION("""COMPUTED_VALUE"""),"Gatbo")</f>
        <v>Gatbo</v>
      </c>
      <c r="AK1249" s="2" t="str">
        <f>IFERROR(__xludf.DUMMYFUNCTION("""COMPUTED_VALUE"""),"Sorsogon City")</f>
        <v>Sorsogon City</v>
      </c>
      <c r="AL1249" s="2" t="str">
        <f>IFERROR(__xludf.DUMMYFUNCTION("""COMPUTED_VALUE"""),"Sorsogon")</f>
        <v>Sorsogon</v>
      </c>
      <c r="AM1249" s="2">
        <f>IFERROR(__xludf.DUMMYFUNCTION("""COMPUTED_VALUE"""),5.0)</f>
        <v>5</v>
      </c>
      <c r="AN1249" s="2" t="str">
        <f>IFERROR(__xludf.DUMMYFUNCTION("""COMPUTED_VALUE"""),"RCEF 25-03-05")</f>
        <v>RCEF 25-03-05</v>
      </c>
      <c r="AO1249" s="2">
        <f>IFERROR(__xludf.DUMMYFUNCTION("""COMPUTED_VALUE"""),6.0)</f>
        <v>6</v>
      </c>
      <c r="AP1249" s="2" t="str">
        <f>IFERROR(__xludf.DUMMYFUNCTION("""COMPUTED_VALUE"""),"FREE PMS")</f>
        <v>FREE PMS</v>
      </c>
      <c r="AQ1249" s="2"/>
      <c r="AR1249" s="2"/>
      <c r="AS1249" s="2"/>
      <c r="AT1249" s="2"/>
      <c r="AU1249" s="2"/>
      <c r="AV1249" s="2"/>
      <c r="AW1249" s="2"/>
      <c r="AX1249" s="2"/>
      <c r="AY1249" s="2"/>
      <c r="AZ1249" s="2"/>
      <c r="BA1249" s="2"/>
      <c r="BB1249" s="2"/>
    </row>
    <row r="1250">
      <c r="A1250" s="2">
        <f>IFERROR(__xludf.DUMMYFUNCTION("""COMPUTED_VALUE"""),1246.0)</f>
        <v>1246</v>
      </c>
      <c r="B1250" s="2" t="str">
        <f>IFERROR(__xludf.DUMMYFUNCTION("""COMPUTED_VALUE"""),"COMPLETED")</f>
        <v>COMPLETED</v>
      </c>
      <c r="C1250" s="74">
        <f>IFERROR(__xludf.DUMMYFUNCTION("""COMPUTED_VALUE"""),45986.0)</f>
        <v>45986</v>
      </c>
      <c r="D1250" s="71" t="str">
        <f>IFERROR(__xludf.DUMMYFUNCTION("""COMPUTED_VALUE"""),"Murtha Agriculture Cooperative")</f>
        <v>Murtha Agriculture Cooperative</v>
      </c>
      <c r="E1250" s="71" t="str">
        <f>IFERROR(__xludf.DUMMYFUNCTION("""COMPUTED_VALUE"""),"Murtha, San Jose, OCCIDENTAL MINDORO")</f>
        <v>Murtha, San Jose, OCCIDENTAL MINDORO</v>
      </c>
      <c r="F1250" s="2"/>
      <c r="G1250" s="2">
        <f>IFERROR(__xludf.DUMMYFUNCTION("""COMPUTED_VALUE"""),9.664919749E9)</f>
        <v>9664919749</v>
      </c>
      <c r="H1250" s="2">
        <f>IFERROR(__xludf.DUMMYFUNCTION("""COMPUTED_VALUE"""),98.4)</f>
        <v>98.4</v>
      </c>
      <c r="I1250" s="72" t="str">
        <f>IFERROR(__xludf.DUMMYFUNCTION("""COMPUTED_VALUE"""),"REPAIR - TRACTOR")</f>
        <v>REPAIR - TRACTOR</v>
      </c>
      <c r="J1250" s="72" t="str">
        <f>IFERROR(__xludf.DUMMYFUNCTION("""COMPUTED_VALUE"""),"Electrical - Dashboard")</f>
        <v>Electrical - Dashboard</v>
      </c>
      <c r="K1250" s="72" t="str">
        <f>IFERROR(__xludf.DUMMYFUNCTION("""COMPUTED_VALUE"""),"ON DELIVERY
KFS: WALANG DISPLAY ANG DASHBOARD")</f>
        <v>ON DELIVERY
KFS: WALANG DISPLAY ANG DASHBOARD</v>
      </c>
      <c r="L1250" s="72" t="str">
        <f>IFERROR(__xludf.DUMMYFUNCTION("""COMPUTED_VALUE"""),"FPJ: ito po yung reported na wala display Yung dashboard. 
Ok na po dashboard nito.
FPJ: 1ST PMS DONE")</f>
        <v>FPJ: ito po yung reported na wala display Yung dashboard. 
Ok na po dashboard nito.
FPJ: 1ST PMS DONE</v>
      </c>
      <c r="M1250" s="2"/>
      <c r="N1250" s="2" t="str">
        <f>IFERROR(__xludf.DUMMYFUNCTION("""COMPUTED_VALUE"""),"PARTS:
OIL FILTER
ENGINE OIL")</f>
        <v>PARTS:
OIL FILTER
ENGINE OIL</v>
      </c>
      <c r="O1250" s="2">
        <f>IFERROR(__xludf.DUMMYFUNCTION("""COMPUTED_VALUE"""),193.0)</f>
        <v>193</v>
      </c>
      <c r="P1250" s="2"/>
      <c r="Q1250" s="2" t="str">
        <f>IFERROR(__xludf.DUMMYFUNCTION("""COMPUTED_VALUE"""),"FOR PRINT")</f>
        <v>FOR PRINT</v>
      </c>
      <c r="R1250" s="74">
        <f>IFERROR(__xludf.DUMMYFUNCTION("""COMPUTED_VALUE"""),45993.0)</f>
        <v>45993</v>
      </c>
      <c r="S1250" s="2" t="str">
        <f>IFERROR(__xludf.DUMMYFUNCTION("""COMPUTED_VALUE"""),"RBS/FPJ")</f>
        <v>RBS/FPJ</v>
      </c>
      <c r="T1250" s="73" t="str">
        <f>IFERROR(__xludf.DUMMYFUNCTION("""COMPUTED_VALUE""")," N/A ")</f>
        <v>N/A</v>
      </c>
      <c r="U1250" s="73" t="str">
        <f>IFERROR(__xludf.DUMMYFUNCTION("""COMPUTED_VALUE""")," NO CHARGE ")</f>
        <v>NO CHARGE</v>
      </c>
      <c r="V1250" s="2"/>
      <c r="W1250" s="2" t="str">
        <f>IFERROR(__xludf.DUMMYFUNCTION("""COMPUTED_VALUE"""),"N/A")</f>
        <v>N/A</v>
      </c>
      <c r="X1250" s="2" t="str">
        <f>IFERROR(__xludf.DUMMYFUNCTION("""COMPUTED_VALUE"""),"N/A")</f>
        <v>N/A</v>
      </c>
      <c r="Y1250" s="2"/>
      <c r="Z1250" s="2"/>
      <c r="AA1250" s="2"/>
      <c r="AB1250" s="2"/>
      <c r="AC1250" s="2"/>
      <c r="AD1250" s="2"/>
      <c r="AE1250" s="2"/>
      <c r="AF1250" s="2"/>
      <c r="AG1250" s="2"/>
      <c r="AH1250" s="2"/>
      <c r="AI1250" s="2"/>
      <c r="AJ1250" s="2" t="str">
        <f>IFERROR(__xludf.DUMMYFUNCTION("""COMPUTED_VALUE"""),"Murtha")</f>
        <v>Murtha</v>
      </c>
      <c r="AK1250" s="2" t="str">
        <f>IFERROR(__xludf.DUMMYFUNCTION("""COMPUTED_VALUE"""),"San Jose")</f>
        <v>San Jose</v>
      </c>
      <c r="AL1250" s="2" t="str">
        <f>IFERROR(__xludf.DUMMYFUNCTION("""COMPUTED_VALUE"""),"Occidental Mindoro")</f>
        <v>Occidental Mindoro</v>
      </c>
      <c r="AM1250" s="2" t="str">
        <f>IFERROR(__xludf.DUMMYFUNCTION("""COMPUTED_VALUE"""),"4B")</f>
        <v>4B</v>
      </c>
      <c r="AN1250" s="2" t="str">
        <f>IFERROR(__xludf.DUMMYFUNCTION("""COMPUTED_VALUE"""),"RCEF 25-03-05")</f>
        <v>RCEF 25-03-05</v>
      </c>
      <c r="AO1250" s="2">
        <f>IFERROR(__xludf.DUMMYFUNCTION("""COMPUTED_VALUE"""),6.0)</f>
        <v>6</v>
      </c>
      <c r="AP1250" s="2" t="str">
        <f>IFERROR(__xludf.DUMMYFUNCTION("""COMPUTED_VALUE"""),"FREE PMS")</f>
        <v>FREE PMS</v>
      </c>
      <c r="AQ1250" s="2"/>
      <c r="AR1250" s="2"/>
      <c r="AS1250" s="2"/>
      <c r="AT1250" s="2"/>
      <c r="AU1250" s="2"/>
      <c r="AV1250" s="2"/>
      <c r="AW1250" s="2"/>
      <c r="AX1250" s="2"/>
      <c r="AY1250" s="2"/>
      <c r="AZ1250" s="2"/>
      <c r="BA1250" s="2"/>
      <c r="BB1250" s="2"/>
    </row>
    <row r="1251">
      <c r="A1251" s="2">
        <f>IFERROR(__xludf.DUMMYFUNCTION("""COMPUTED_VALUE"""),1247.0)</f>
        <v>1247</v>
      </c>
      <c r="B1251" s="2" t="str">
        <f>IFERROR(__xludf.DUMMYFUNCTION("""COMPUTED_VALUE"""),"COMPLETED")</f>
        <v>COMPLETED</v>
      </c>
      <c r="C1251" s="74">
        <f>IFERROR(__xludf.DUMMYFUNCTION("""COMPUTED_VALUE"""),45986.0)</f>
        <v>45986</v>
      </c>
      <c r="D1251" s="71" t="str">
        <f>IFERROR(__xludf.DUMMYFUNCTION("""COMPUTED_VALUE"""),"PANTOC FARMER'S ASSOCIATION")</f>
        <v>PANTOC FARMER'S ASSOCIATION</v>
      </c>
      <c r="E1251" s="71" t="str">
        <f>IFERROR(__xludf.DUMMYFUNCTION("""COMPUTED_VALUE"""),"Pantoc, Gabaldon, NUEVA ECIJA")</f>
        <v>Pantoc, Gabaldon, NUEVA ECIJA</v>
      </c>
      <c r="F1251" s="2" t="str">
        <f>IFERROR(__xludf.DUMMYFUNCTION("""COMPUTED_VALUE"""),"Victor D. Dacumos")</f>
        <v>Victor D. Dacumos</v>
      </c>
      <c r="G1251" s="2">
        <f>IFERROR(__xludf.DUMMYFUNCTION("""COMPUTED_VALUE"""),9.569688856E9)</f>
        <v>9569688856</v>
      </c>
      <c r="H1251" s="2"/>
      <c r="I1251" s="72" t="str">
        <f>IFERROR(__xludf.DUMMYFUNCTION("""COMPUTED_VALUE"""),"SPARE PARTS ACQUISITION")</f>
        <v>SPARE PARTS ACQUISITION</v>
      </c>
      <c r="J1251" s="72"/>
      <c r="K1251" s="72" t="str">
        <f>IFERROR(__xludf.DUMMYFUNCTION("""COMPUTED_VALUE"""),"MYK: ENGINE OIL FILTER")</f>
        <v>MYK: ENGINE OIL FILTER</v>
      </c>
      <c r="L1251" s="72" t="str">
        <f>IFERROR(__xludf.DUMMYFUNCTION("""COMPUTED_VALUE"""),"QUOTATION SENT:PAID : FOR SHIPPING: SHIPPED")</f>
        <v>QUOTATION SENT:PAID : FOR SHIPPING: SHIPPED</v>
      </c>
      <c r="M1251" s="2"/>
      <c r="N1251" s="2" t="str">
        <f>IFERROR(__xludf.DUMMYFUNCTION("""COMPUTED_VALUE"""),"PARTS:
OIL FILTER")</f>
        <v>PARTS:
OIL FILTER</v>
      </c>
      <c r="O1251" s="2" t="str">
        <f>IFERROR(__xludf.DUMMYFUNCTION("""COMPUTED_VALUE"""),"N/A")</f>
        <v>N/A</v>
      </c>
      <c r="P1251" s="2"/>
      <c r="Q1251" s="2"/>
      <c r="R1251" s="74">
        <f>IFERROR(__xludf.DUMMYFUNCTION("""COMPUTED_VALUE"""),46001.0)</f>
        <v>46001</v>
      </c>
      <c r="S1251" s="2" t="str">
        <f>IFERROR(__xludf.DUMMYFUNCTION("""COMPUTED_VALUE"""),"MYKEE/CTF")</f>
        <v>MYKEE/CTF</v>
      </c>
      <c r="T1251" s="73">
        <f>IFERROR(__xludf.DUMMYFUNCTION("""COMPUTED_VALUE"""),1533.0)</f>
        <v>1533</v>
      </c>
      <c r="U1251" s="73" t="str">
        <f>IFERROR(__xludf.DUMMYFUNCTION("""COMPUTED_VALUE""")," REMITTED ")</f>
        <v>REMITTED</v>
      </c>
      <c r="V1251" s="2"/>
      <c r="W1251" s="2">
        <f>IFERROR(__xludf.DUMMYFUNCTION("""COMPUTED_VALUE"""),1734.0)</f>
        <v>1734</v>
      </c>
      <c r="X1251" s="2">
        <f>IFERROR(__xludf.DUMMYFUNCTION("""COMPUTED_VALUE"""),1636.0)</f>
        <v>1636</v>
      </c>
      <c r="Y1251" s="2"/>
      <c r="Z1251" s="2"/>
      <c r="AA1251" s="2"/>
      <c r="AB1251" s="2"/>
      <c r="AC1251" s="2"/>
      <c r="AD1251" s="2"/>
      <c r="AE1251" s="2"/>
      <c r="AF1251" s="2"/>
      <c r="AG1251" s="2"/>
      <c r="AH1251" s="2"/>
      <c r="AI1251" s="2"/>
      <c r="AJ1251" s="2" t="str">
        <f>IFERROR(__xludf.DUMMYFUNCTION("""COMPUTED_VALUE"""),"Pantoc")</f>
        <v>Pantoc</v>
      </c>
      <c r="AK1251" s="2" t="str">
        <f>IFERROR(__xludf.DUMMYFUNCTION("""COMPUTED_VALUE"""),"Gabaldon")</f>
        <v>Gabaldon</v>
      </c>
      <c r="AL1251" s="2" t="str">
        <f>IFERROR(__xludf.DUMMYFUNCTION("""COMPUTED_VALUE"""),"Nueva Ecija")</f>
        <v>Nueva Ecija</v>
      </c>
      <c r="AM1251" s="2">
        <f>IFERROR(__xludf.DUMMYFUNCTION("""COMPUTED_VALUE"""),3.0)</f>
        <v>3</v>
      </c>
      <c r="AN1251" s="2" t="str">
        <f>IFERROR(__xludf.DUMMYFUNCTION("""COMPUTED_VALUE"""),"RCEF 23-09-21 Rebidding")</f>
        <v>RCEF 23-09-21 Rebidding</v>
      </c>
      <c r="AO1251" s="2">
        <f>IFERROR(__xludf.DUMMYFUNCTION("""COMPUTED_VALUE"""),3.0)</f>
        <v>3</v>
      </c>
      <c r="AP1251" s="2"/>
      <c r="AQ1251" s="2"/>
      <c r="AR1251" s="2"/>
      <c r="AS1251" s="2"/>
      <c r="AT1251" s="2"/>
      <c r="AU1251" s="2"/>
      <c r="AV1251" s="2"/>
      <c r="AW1251" s="2"/>
      <c r="AX1251" s="2"/>
      <c r="AY1251" s="2"/>
      <c r="AZ1251" s="2"/>
      <c r="BA1251" s="2"/>
      <c r="BB1251" s="2"/>
    </row>
    <row r="1252">
      <c r="A1252" s="2">
        <f>IFERROR(__xludf.DUMMYFUNCTION("""COMPUTED_VALUE"""),1248.0)</f>
        <v>1248</v>
      </c>
      <c r="B1252" s="2" t="str">
        <f>IFERROR(__xludf.DUMMYFUNCTION("""COMPUTED_VALUE"""),"COMPLETED")</f>
        <v>COMPLETED</v>
      </c>
      <c r="C1252" s="74">
        <f>IFERROR(__xludf.DUMMYFUNCTION("""COMPUTED_VALUE"""),45986.0)</f>
        <v>45986</v>
      </c>
      <c r="D1252" s="71" t="str">
        <f>IFERROR(__xludf.DUMMYFUNCTION("""COMPUTED_VALUE"""),"PATIMBAO-PALASAN FARMERS ASSOCIATION")</f>
        <v>PATIMBAO-PALASAN FARMERS ASSOCIATION</v>
      </c>
      <c r="E1252" s="71" t="str">
        <f>IFERROR(__xludf.DUMMYFUNCTION("""COMPUTED_VALUE"""),"Patimbao, Santa Cruz, LAGUNA")</f>
        <v>Patimbao, Santa Cruz, LAGUNA</v>
      </c>
      <c r="F1252" s="2" t="str">
        <f>IFERROR(__xludf.DUMMYFUNCTION("""COMPUTED_VALUE"""),"ERWIN BERNARDINO")</f>
        <v>ERWIN BERNARDINO</v>
      </c>
      <c r="G1252" s="2">
        <f>IFERROR(__xludf.DUMMYFUNCTION("""COMPUTED_VALUE"""),9.26241796E9)</f>
        <v>9262417960</v>
      </c>
      <c r="H1252" s="2">
        <f>IFERROR(__xludf.DUMMYFUNCTION("""COMPUTED_VALUE"""),60.0)</f>
        <v>60</v>
      </c>
      <c r="I1252" s="72" t="str">
        <f>IFERROR(__xludf.DUMMYFUNCTION("""COMPUTED_VALUE"""),"PMS")</f>
        <v>PMS</v>
      </c>
      <c r="J1252" s="72" t="str">
        <f>IFERROR(__xludf.DUMMYFUNCTION("""COMPUTED_VALUE"""),"PMS")</f>
        <v>PMS</v>
      </c>
      <c r="K1252" s="72" t="str">
        <f>IFERROR(__xludf.DUMMYFUNCTION("""COMPUTED_VALUE"""),"MYK: 1ST PMS FREE")</f>
        <v>MYK: 1ST PMS FREE</v>
      </c>
      <c r="L1252" s="72" t="str">
        <f>IFERROR(__xludf.DUMMYFUNCTION("""COMPUTED_VALUE"""),"FPJ: 1ST PMS DONE")</f>
        <v>FPJ: 1ST PMS DONE</v>
      </c>
      <c r="M1252" s="2"/>
      <c r="N1252" s="2" t="str">
        <f>IFERROR(__xludf.DUMMYFUNCTION("""COMPUTED_VALUE"""),"PARTS:
OIL FILTER
ENGINE OIL")</f>
        <v>PARTS:
OIL FILTER
ENGINE OIL</v>
      </c>
      <c r="O1252" s="2">
        <f>IFERROR(__xludf.DUMMYFUNCTION("""COMPUTED_VALUE"""),387.0)</f>
        <v>387</v>
      </c>
      <c r="P1252" s="2"/>
      <c r="Q1252" s="2" t="str">
        <f>IFERROR(__xludf.DUMMYFUNCTION("""COMPUTED_VALUE"""),"FOR PRINT")</f>
        <v>FOR PRINT</v>
      </c>
      <c r="R1252" s="74">
        <f>IFERROR(__xludf.DUMMYFUNCTION("""COMPUTED_VALUE"""),46031.0)</f>
        <v>46031</v>
      </c>
      <c r="S1252" s="2" t="str">
        <f>IFERROR(__xludf.DUMMYFUNCTION("""COMPUTED_VALUE"""),"JTT/FPJ")</f>
        <v>JTT/FPJ</v>
      </c>
      <c r="T1252" s="73" t="str">
        <f>IFERROR(__xludf.DUMMYFUNCTION("""COMPUTED_VALUE""")," N/A  ")</f>
        <v>N/A </v>
      </c>
      <c r="U1252" s="73" t="str">
        <f>IFERROR(__xludf.DUMMYFUNCTION("""COMPUTED_VALUE""")," NO CHARGE ")</f>
        <v>NO CHARGE</v>
      </c>
      <c r="V1252" s="2"/>
      <c r="W1252" s="2" t="str">
        <f>IFERROR(__xludf.DUMMYFUNCTION("""COMPUTED_VALUE"""),"N/A")</f>
        <v>N/A</v>
      </c>
      <c r="X1252" s="2" t="str">
        <f>IFERROR(__xludf.DUMMYFUNCTION("""COMPUTED_VALUE"""),"N/A")</f>
        <v>N/A</v>
      </c>
      <c r="Y1252" s="2"/>
      <c r="Z1252" s="2"/>
      <c r="AA1252" s="2"/>
      <c r="AB1252" s="2"/>
      <c r="AC1252" s="2"/>
      <c r="AD1252" s="2"/>
      <c r="AE1252" s="2"/>
      <c r="AF1252" s="2"/>
      <c r="AG1252" s="2"/>
      <c r="AH1252" s="2"/>
      <c r="AI1252" s="2"/>
      <c r="AJ1252" s="2" t="str">
        <f>IFERROR(__xludf.DUMMYFUNCTION("""COMPUTED_VALUE"""),"Patimbao")</f>
        <v>Patimbao</v>
      </c>
      <c r="AK1252" s="2" t="str">
        <f>IFERROR(__xludf.DUMMYFUNCTION("""COMPUTED_VALUE"""),"Santa Cruz")</f>
        <v>Santa Cruz</v>
      </c>
      <c r="AL1252" s="2" t="str">
        <f>IFERROR(__xludf.DUMMYFUNCTION("""COMPUTED_VALUE"""),"Laguna")</f>
        <v>Laguna</v>
      </c>
      <c r="AM1252" s="2" t="str">
        <f>IFERROR(__xludf.DUMMYFUNCTION("""COMPUTED_VALUE"""),"4A")</f>
        <v>4A</v>
      </c>
      <c r="AN1252" s="2" t="str">
        <f>IFERROR(__xludf.DUMMYFUNCTION("""COMPUTED_VALUE"""),"RCEF 25-03-05")</f>
        <v>RCEF 25-03-05</v>
      </c>
      <c r="AO1252" s="2">
        <f>IFERROR(__xludf.DUMMYFUNCTION("""COMPUTED_VALUE"""),7.0)</f>
        <v>7</v>
      </c>
      <c r="AP1252" s="2" t="str">
        <f>IFERROR(__xludf.DUMMYFUNCTION("""COMPUTED_VALUE"""),"FREE PMS")</f>
        <v>FREE PMS</v>
      </c>
      <c r="AQ1252" s="2"/>
      <c r="AR1252" s="2"/>
      <c r="AS1252" s="2"/>
      <c r="AT1252" s="2"/>
      <c r="AU1252" s="2"/>
      <c r="AV1252" s="2"/>
      <c r="AW1252" s="2"/>
      <c r="AX1252" s="2"/>
      <c r="AY1252" s="2"/>
      <c r="AZ1252" s="2"/>
      <c r="BA1252" s="2"/>
      <c r="BB1252" s="2"/>
    </row>
    <row r="1253">
      <c r="A1253" s="2">
        <f>IFERROR(__xludf.DUMMYFUNCTION("""COMPUTED_VALUE"""),1249.0)</f>
        <v>1249</v>
      </c>
      <c r="B1253" s="2" t="str">
        <f>IFERROR(__xludf.DUMMYFUNCTION("""COMPUTED_VALUE"""),"COMPLETED")</f>
        <v>COMPLETED</v>
      </c>
      <c r="C1253" s="74">
        <f>IFERROR(__xludf.DUMMYFUNCTION("""COMPUTED_VALUE"""),45986.0)</f>
        <v>45986</v>
      </c>
      <c r="D1253" s="71" t="str">
        <f>IFERROR(__xludf.DUMMYFUNCTION("""COMPUTED_VALUE"""),"Cañapasan Banate Irrigators' Association Inc.")</f>
        <v>Cañapasan Banate Irrigators' Association Inc.</v>
      </c>
      <c r="E1253" s="71" t="str">
        <f>IFERROR(__xludf.DUMMYFUNCTION("""COMPUTED_VALUE"""),"Managopaya, Banate, ILOILO")</f>
        <v>Managopaya, Banate, ILOILO</v>
      </c>
      <c r="F1253" s="2" t="str">
        <f>IFERROR(__xludf.DUMMYFUNCTION("""COMPUTED_VALUE"""),"HELLY BAGASIN")</f>
        <v>HELLY BAGASIN</v>
      </c>
      <c r="G1253" s="2"/>
      <c r="H1253" s="2"/>
      <c r="I1253" s="72" t="str">
        <f>IFERROR(__xludf.DUMMYFUNCTION("""COMPUTED_VALUE"""),"SPARE PARTS ACQUISITION")</f>
        <v>SPARE PARTS ACQUISITION</v>
      </c>
      <c r="J1253" s="72"/>
      <c r="K1253" s="72" t="str">
        <f>IFERROR(__xludf.DUMMYFUNCTION("""COMPUTED_VALUE"""),"PARTS REQUEST:
2-  BEARING ROLLER #32-00-60 24141-320060
1- OIL SEAL 24421-405508
1- BEARING #6014 24101-060144
1- BALL BEARING #6013 24101-060134
2- OIL SEAL FE78010000B")</f>
        <v>PARTS REQUEST:
2-  BEARING ROLLER #32-00-60 24141-320060
1- OIL SEAL 24421-405508
1- BEARING #6014 24101-060144
1- BALL BEARING #6013 24101-060134
2- OIL SEAL FE78010000B</v>
      </c>
      <c r="L1253" s="72" t="str">
        <f>IFERROR(__xludf.DUMMYFUNCTION("""COMPUTED_VALUE"""),"CANCELLED")</f>
        <v>CANCELLED</v>
      </c>
      <c r="M1253" s="2"/>
      <c r="N1253" s="2"/>
      <c r="O1253" s="2" t="str">
        <f>IFERROR(__xludf.DUMMYFUNCTION("""COMPUTED_VALUE"""),"N/A")</f>
        <v>N/A</v>
      </c>
      <c r="P1253" s="2"/>
      <c r="Q1253" s="2"/>
      <c r="R1253" s="74">
        <f>IFERROR(__xludf.DUMMYFUNCTION("""COMPUTED_VALUE"""),46045.0)</f>
        <v>46045</v>
      </c>
      <c r="S1253" s="2" t="str">
        <f>IFERROR(__xludf.DUMMYFUNCTION("""COMPUTED_VALUE"""),"MYKEE")</f>
        <v>MYKEE</v>
      </c>
      <c r="T1253" s="73" t="str">
        <f>IFERROR(__xludf.DUMMYFUNCTION("""COMPUTED_VALUE""")," N/A ")</f>
        <v>N/A</v>
      </c>
      <c r="U1253" s="73" t="str">
        <f>IFERROR(__xludf.DUMMYFUNCTION("""COMPUTED_VALUE""")," NO CHARGE ")</f>
        <v>NO CHARGE</v>
      </c>
      <c r="V1253" s="2"/>
      <c r="W1253" s="2" t="str">
        <f>IFERROR(__xludf.DUMMYFUNCTION("""COMPUTED_VALUE"""),"N/A")</f>
        <v>N/A</v>
      </c>
      <c r="X1253" s="2" t="str">
        <f>IFERROR(__xludf.DUMMYFUNCTION("""COMPUTED_VALUE"""),"N/A")</f>
        <v>N/A</v>
      </c>
      <c r="Y1253" s="2"/>
      <c r="Z1253" s="2"/>
      <c r="AA1253" s="2"/>
      <c r="AB1253" s="2"/>
      <c r="AC1253" s="2"/>
      <c r="AD1253" s="2"/>
      <c r="AE1253" s="2"/>
      <c r="AF1253" s="2"/>
      <c r="AG1253" s="2"/>
      <c r="AH1253" s="2"/>
      <c r="AI1253" s="2"/>
      <c r="AJ1253" s="2" t="str">
        <f>IFERROR(__xludf.DUMMYFUNCTION("""COMPUTED_VALUE"""),"Managopaya")</f>
        <v>Managopaya</v>
      </c>
      <c r="AK1253" s="2" t="str">
        <f>IFERROR(__xludf.DUMMYFUNCTION("""COMPUTED_VALUE"""),"Banate")</f>
        <v>Banate</v>
      </c>
      <c r="AL1253" s="2" t="str">
        <f>IFERROR(__xludf.DUMMYFUNCTION("""COMPUTED_VALUE"""),"Iloilo")</f>
        <v>Iloilo</v>
      </c>
      <c r="AM1253" s="2">
        <f>IFERROR(__xludf.DUMMYFUNCTION("""COMPUTED_VALUE"""),6.0)</f>
        <v>6</v>
      </c>
      <c r="AN1253" s="2" t="str">
        <f>IFERROR(__xludf.DUMMYFUNCTION("""COMPUTED_VALUE"""),"RCEF 23-09-21 Rebidding")</f>
        <v>RCEF 23-09-21 Rebidding</v>
      </c>
      <c r="AO1253" s="2">
        <f>IFERROR(__xludf.DUMMYFUNCTION("""COMPUTED_VALUE"""),4.0)</f>
        <v>4</v>
      </c>
      <c r="AP1253" s="2"/>
      <c r="AQ1253" s="2"/>
      <c r="AR1253" s="2"/>
      <c r="AS1253" s="2"/>
      <c r="AT1253" s="2"/>
      <c r="AU1253" s="2"/>
      <c r="AV1253" s="2"/>
      <c r="AW1253" s="2"/>
      <c r="AX1253" s="2"/>
      <c r="AY1253" s="2"/>
      <c r="AZ1253" s="2"/>
      <c r="BA1253" s="2"/>
      <c r="BB1253" s="2"/>
    </row>
    <row r="1254">
      <c r="A1254" s="2">
        <f>IFERROR(__xludf.DUMMYFUNCTION("""COMPUTED_VALUE"""),1250.0)</f>
        <v>1250</v>
      </c>
      <c r="B1254" s="2" t="str">
        <f>IFERROR(__xludf.DUMMYFUNCTION("""COMPUTED_VALUE"""),"COMPLETED")</f>
        <v>COMPLETED</v>
      </c>
      <c r="C1254" s="74">
        <f>IFERROR(__xludf.DUMMYFUNCTION("""COMPUTED_VALUE"""),45986.0)</f>
        <v>45986</v>
      </c>
      <c r="D1254" s="71" t="str">
        <f>IFERROR(__xludf.DUMMYFUNCTION("""COMPUTED_VALUE"""),"BINHING BUTIL AGRICULTURAL MAKER ASSOCIATION (BBAMA)")</f>
        <v>BINHING BUTIL AGRICULTURAL MAKER ASSOCIATION (BBAMA)</v>
      </c>
      <c r="E1254" s="71" t="str">
        <f>IFERROR(__xludf.DUMMYFUNCTION("""COMPUTED_VALUE"""),", Penaranda, NUEVA ECIJA")</f>
        <v>, Penaranda, NUEVA ECIJA</v>
      </c>
      <c r="F1254" s="2" t="str">
        <f>IFERROR(__xludf.DUMMYFUNCTION("""COMPUTED_VALUE"""),"ROGELIO RAMOS")</f>
        <v>ROGELIO RAMOS</v>
      </c>
      <c r="G1254" s="2">
        <f>IFERROR(__xludf.DUMMYFUNCTION("""COMPUTED_VALUE"""),9.614554945E9)</f>
        <v>9614554945</v>
      </c>
      <c r="H1254" s="2">
        <f>IFERROR(__xludf.DUMMYFUNCTION("""COMPUTED_VALUE"""),93.4)</f>
        <v>93.4</v>
      </c>
      <c r="I1254" s="72" t="str">
        <f>IFERROR(__xludf.DUMMYFUNCTION("""COMPUTED_VALUE"""),"REPAIR - TRACTOR")</f>
        <v>REPAIR - TRACTOR</v>
      </c>
      <c r="J1254" s="72" t="str">
        <f>IFERROR(__xludf.DUMMYFUNCTION("""COMPUTED_VALUE"""),"Engine - Leaking")</f>
        <v>Engine - Leaking</v>
      </c>
      <c r="K1254" s="72" t="str">
        <f>IFERROR(__xludf.DUMMYFUNCTION("""COMPUTED_VALUE"""),"JHP: Oil Seal ( G ) leaking ")</f>
        <v>JHP: Oil Seal ( G ) leaking </v>
      </c>
      <c r="L1254" s="72" t="str">
        <f>IFERROR(__xludf.DUMMYFUNCTION("""COMPUTED_VALUE"""),"JHP: REPLACED OIL SEAL (G) ")</f>
        <v>JHP: REPLACED OIL SEAL (G) </v>
      </c>
      <c r="M1254" s="2"/>
      <c r="N1254" s="2" t="str">
        <f>IFERROR(__xludf.DUMMYFUNCTION("""COMPUTED_VALUE"""),"PARTS:
OIL SEAL (G)")</f>
        <v>PARTS:
OIL SEAL (G)</v>
      </c>
      <c r="O1254" s="2">
        <f>IFERROR(__xludf.DUMMYFUNCTION("""COMPUTED_VALUE"""),659.0)</f>
        <v>659</v>
      </c>
      <c r="P1254" s="2"/>
      <c r="Q1254" s="2" t="str">
        <f>IFERROR(__xludf.DUMMYFUNCTION("""COMPUTED_VALUE"""),"FOR PRINT")</f>
        <v>FOR PRINT</v>
      </c>
      <c r="R1254" s="74">
        <f>IFERROR(__xludf.DUMMYFUNCTION("""COMPUTED_VALUE"""),46029.0)</f>
        <v>46029</v>
      </c>
      <c r="S1254" s="2" t="str">
        <f>IFERROR(__xludf.DUMMYFUNCTION("""COMPUTED_VALUE""")," JHP/ACS")</f>
        <v> JHP/ACS</v>
      </c>
      <c r="T1254" s="73" t="str">
        <f>IFERROR(__xludf.DUMMYFUNCTION("""COMPUTED_VALUE""")," N/A ")</f>
        <v>N/A</v>
      </c>
      <c r="U1254" s="73" t="str">
        <f>IFERROR(__xludf.DUMMYFUNCTION("""COMPUTED_VALUE""")," REMITTED ")</f>
        <v>REMITTED</v>
      </c>
      <c r="V1254" s="2">
        <f>IFERROR(__xludf.DUMMYFUNCTION("""COMPUTED_VALUE"""),1713.0)</f>
        <v>1713</v>
      </c>
      <c r="W1254" s="2" t="str">
        <f>IFERROR(__xludf.DUMMYFUNCTION("""COMPUTED_VALUE"""),"N/A")</f>
        <v>N/A</v>
      </c>
      <c r="X1254" s="2" t="str">
        <f>IFERROR(__xludf.DUMMYFUNCTION("""COMPUTED_VALUE"""),"N/A")</f>
        <v>N/A</v>
      </c>
      <c r="Y1254" s="2"/>
      <c r="Z1254" s="2"/>
      <c r="AA1254" s="2"/>
      <c r="AB1254" s="2"/>
      <c r="AC1254" s="2"/>
      <c r="AD1254" s="2"/>
      <c r="AE1254" s="2"/>
      <c r="AF1254" s="2"/>
      <c r="AG1254" s="2"/>
      <c r="AH1254" s="2"/>
      <c r="AI1254" s="2"/>
      <c r="AJ1254" s="2" t="str">
        <f>IFERROR(__xludf.DUMMYFUNCTION("""COMPUTED_VALUE"""),"")</f>
        <v/>
      </c>
      <c r="AK1254" s="2" t="str">
        <f>IFERROR(__xludf.DUMMYFUNCTION("""COMPUTED_VALUE"""),"Penaranda")</f>
        <v>Penaranda</v>
      </c>
      <c r="AL1254" s="2" t="str">
        <f>IFERROR(__xludf.DUMMYFUNCTION("""COMPUTED_VALUE"""),"Nueva Ecija")</f>
        <v>Nueva Ecija</v>
      </c>
      <c r="AM1254" s="2">
        <f>IFERROR(__xludf.DUMMYFUNCTION("""COMPUTED_VALUE"""),3.0)</f>
        <v>3</v>
      </c>
      <c r="AN1254" s="2" t="str">
        <f>IFERROR(__xludf.DUMMYFUNCTION("""COMPUTED_VALUE"""),"RCEF 23-09-21 Rebidding")</f>
        <v>RCEF 23-09-21 Rebidding</v>
      </c>
      <c r="AO1254" s="2">
        <f>IFERROR(__xludf.DUMMYFUNCTION("""COMPUTED_VALUE"""),3.0)</f>
        <v>3</v>
      </c>
      <c r="AP1254" s="2"/>
      <c r="AQ1254" s="2"/>
      <c r="AR1254" s="2"/>
      <c r="AS1254" s="2"/>
      <c r="AT1254" s="2"/>
      <c r="AU1254" s="2"/>
      <c r="AV1254" s="2"/>
      <c r="AW1254" s="2"/>
      <c r="AX1254" s="2"/>
      <c r="AY1254" s="2"/>
      <c r="AZ1254" s="2"/>
      <c r="BA1254" s="2"/>
      <c r="BB1254" s="2"/>
    </row>
    <row r="1255">
      <c r="A1255" s="2">
        <f>IFERROR(__xludf.DUMMYFUNCTION("""COMPUTED_VALUE"""),1251.0)</f>
        <v>1251</v>
      </c>
      <c r="B1255" s="2" t="str">
        <f>IFERROR(__xludf.DUMMYFUNCTION("""COMPUTED_VALUE"""),"COMPLETED")</f>
        <v>COMPLETED</v>
      </c>
      <c r="C1255" s="74">
        <f>IFERROR(__xludf.DUMMYFUNCTION("""COMPUTED_VALUE"""),45987.0)</f>
        <v>45987</v>
      </c>
      <c r="D1255" s="71" t="str">
        <f>IFERROR(__xludf.DUMMYFUNCTION("""COMPUTED_VALUE"""),"Southern BugueyAgrarian Reform Beneficiary Cooperative")</f>
        <v>Southern BugueyAgrarian Reform Beneficiary Cooperative</v>
      </c>
      <c r="E1255" s="71" t="str">
        <f>IFERROR(__xludf.DUMMYFUNCTION("""COMPUTED_VALUE"""),"Santa Isabel, Buguey, CAGAYAN")</f>
        <v>Santa Isabel, Buguey, CAGAYAN</v>
      </c>
      <c r="F1255" s="2" t="str">
        <f>IFERROR(__xludf.DUMMYFUNCTION("""COMPUTED_VALUE"""),"RAMIL FONTIVEROS")</f>
        <v>RAMIL FONTIVEROS</v>
      </c>
      <c r="G1255" s="2">
        <f>IFERROR(__xludf.DUMMYFUNCTION("""COMPUTED_VALUE"""),9.940342625E9)</f>
        <v>9940342625</v>
      </c>
      <c r="H1255" s="2"/>
      <c r="I1255" s="72" t="str">
        <f>IFERROR(__xludf.DUMMYFUNCTION("""COMPUTED_VALUE"""),"SPARE PARTS ACQUISITION")</f>
        <v>SPARE PARTS ACQUISITION</v>
      </c>
      <c r="J1255" s="72"/>
      <c r="K1255" s="72" t="str">
        <f>IFERROR(__xludf.DUMMYFUNCTION("""COMPUTED_VALUE"""),"RBS: nabasag ang  bearing at oil seal sa harap sa may differential  . Order po kami ng piyesa")</f>
        <v>RBS: nabasag ang  bearing at oil seal sa harap sa may differential  . Order po kami ng piyesa</v>
      </c>
      <c r="L1255" s="72" t="str">
        <f>IFERROR(__xludf.DUMMYFUNCTION("""COMPUTED_VALUE"""),"TO CALL- TO CONFIRM PARTS NEEDED
CFG: Meron dw po silang nabili sa labas po. Kaya hnd ko na po pinuntahan.
Tinawagan ko muna po sila bago po sana ako pupunta sa area po nila thanks. Oky na po ito ")</f>
        <v>TO CALL- TO CONFIRM PARTS NEEDED
CFG: Meron dw po silang nabili sa labas po. Kaya hnd ko na po pinuntahan.
Tinawagan ko muna po sila bago po sana ako pupunta sa area po nila thanks. Oky na po ito </v>
      </c>
      <c r="M1255" s="2"/>
      <c r="N1255" s="2"/>
      <c r="O1255" s="2" t="str">
        <f>IFERROR(__xludf.DUMMYFUNCTION("""COMPUTED_VALUE"""),"N/A")</f>
        <v>N/A</v>
      </c>
      <c r="P1255" s="2"/>
      <c r="Q1255" s="2"/>
      <c r="R1255" s="74">
        <f>IFERROR(__xludf.DUMMYFUNCTION("""COMPUTED_VALUE"""),46104.0)</f>
        <v>46104</v>
      </c>
      <c r="S1255" s="2" t="str">
        <f>IFERROR(__xludf.DUMMYFUNCTION("""COMPUTED_VALUE"""),"CFG")</f>
        <v>CFG</v>
      </c>
      <c r="T1255" s="73" t="str">
        <f>IFERROR(__xludf.DUMMYFUNCTION("""COMPUTED_VALUE""")," N/A ")</f>
        <v>N/A</v>
      </c>
      <c r="U1255" s="73" t="str">
        <f>IFERROR(__xludf.DUMMYFUNCTION("""COMPUTED_VALUE""")," NO CHARGE ")</f>
        <v>NO CHARGE</v>
      </c>
      <c r="V1255" s="2" t="str">
        <f>IFERROR(__xludf.DUMMYFUNCTION("""COMPUTED_VALUE"""),"N/A")</f>
        <v>N/A</v>
      </c>
      <c r="W1255" s="2" t="str">
        <f>IFERROR(__xludf.DUMMYFUNCTION("""COMPUTED_VALUE"""),"N/A")</f>
        <v>N/A</v>
      </c>
      <c r="X1255" s="2" t="str">
        <f>IFERROR(__xludf.DUMMYFUNCTION("""COMPUTED_VALUE"""),"N/A")</f>
        <v>N/A</v>
      </c>
      <c r="Y1255" s="2"/>
      <c r="Z1255" s="2"/>
      <c r="AA1255" s="2"/>
      <c r="AB1255" s="2"/>
      <c r="AC1255" s="2"/>
      <c r="AD1255" s="2"/>
      <c r="AE1255" s="2"/>
      <c r="AF1255" s="2"/>
      <c r="AG1255" s="2"/>
      <c r="AH1255" s="2"/>
      <c r="AI1255" s="2"/>
      <c r="AJ1255" s="2" t="str">
        <f>IFERROR(__xludf.DUMMYFUNCTION("""COMPUTED_VALUE"""),"Santa Isabel")</f>
        <v>Santa Isabel</v>
      </c>
      <c r="AK1255" s="2" t="str">
        <f>IFERROR(__xludf.DUMMYFUNCTION("""COMPUTED_VALUE"""),"Buguey")</f>
        <v>Buguey</v>
      </c>
      <c r="AL1255" s="2" t="str">
        <f>IFERROR(__xludf.DUMMYFUNCTION("""COMPUTED_VALUE"""),"Cagayan")</f>
        <v>Cagayan</v>
      </c>
      <c r="AM1255" s="2">
        <f>IFERROR(__xludf.DUMMYFUNCTION("""COMPUTED_VALUE"""),2.0)</f>
        <v>2</v>
      </c>
      <c r="AN1255" s="2" t="str">
        <f>IFERROR(__xludf.DUMMYFUNCTION("""COMPUTED_VALUE"""),"RCEF 23-09-21 Rebidding")</f>
        <v>RCEF 23-09-21 Rebidding</v>
      </c>
      <c r="AO1255" s="2">
        <f>IFERROR(__xludf.DUMMYFUNCTION("""COMPUTED_VALUE"""),1.0)</f>
        <v>1</v>
      </c>
      <c r="AP1255" s="2"/>
      <c r="AQ1255" s="2"/>
      <c r="AR1255" s="2"/>
      <c r="AS1255" s="2"/>
      <c r="AT1255" s="2"/>
      <c r="AU1255" s="2"/>
      <c r="AV1255" s="2"/>
      <c r="AW1255" s="2"/>
      <c r="AX1255" s="2"/>
      <c r="AY1255" s="2"/>
      <c r="AZ1255" s="2"/>
      <c r="BA1255" s="2"/>
      <c r="BB1255" s="2"/>
    </row>
    <row r="1256">
      <c r="A1256" s="2">
        <f>IFERROR(__xludf.DUMMYFUNCTION("""COMPUTED_VALUE"""),1252.0)</f>
        <v>1252</v>
      </c>
      <c r="B1256" s="2" t="str">
        <f>IFERROR(__xludf.DUMMYFUNCTION("""COMPUTED_VALUE"""),"COMPLETED")</f>
        <v>COMPLETED</v>
      </c>
      <c r="C1256" s="74">
        <f>IFERROR(__xludf.DUMMYFUNCTION("""COMPUTED_VALUE"""),45987.0)</f>
        <v>45987</v>
      </c>
      <c r="D1256" s="71" t="str">
        <f>IFERROR(__xludf.DUMMYFUNCTION("""COMPUTED_VALUE"""),"SALU FARMERS ASSOCIATION")</f>
        <v>SALU FARMERS ASSOCIATION</v>
      </c>
      <c r="E1256" s="71" t="str">
        <f>IFERROR(__xludf.DUMMYFUNCTION("""COMPUTED_VALUE"""),"Salu, Porac, PAMPANGA")</f>
        <v>Salu, Porac, PAMPANGA</v>
      </c>
      <c r="F1256" s="2" t="str">
        <f>IFERROR(__xludf.DUMMYFUNCTION("""COMPUTED_VALUE"""),"NANDING GUTIERREZ")</f>
        <v>NANDING GUTIERREZ</v>
      </c>
      <c r="G1256" s="2">
        <f>IFERROR(__xludf.DUMMYFUNCTION("""COMPUTED_VALUE"""),9.159271478E9)</f>
        <v>9159271478</v>
      </c>
      <c r="H1256" s="2">
        <f>IFERROR(__xludf.DUMMYFUNCTION("""COMPUTED_VALUE"""),62.0)</f>
        <v>62</v>
      </c>
      <c r="I1256" s="72" t="str">
        <f>IFERROR(__xludf.DUMMYFUNCTION("""COMPUTED_VALUE"""),"REPAIR - ROTAVATOR")</f>
        <v>REPAIR - ROTAVATOR</v>
      </c>
      <c r="J1256" s="72" t="str">
        <f>IFERROR(__xludf.DUMMYFUNCTION("""COMPUTED_VALUE"""),"Gearbox")</f>
        <v>Gearbox</v>
      </c>
      <c r="K1256" s="72" t="str">
        <f>IFERROR(__xludf.DUMMYFUNCTION("""COMPUTED_VALUE"""),"DATE DELIVERED: 1SANG LINGO PALANG, 2 BESES PALANG NAGAGAMIT.
MYK: MAINGAY ANG ROTAVATOR, PAG TINAAS MAINGAY ANG GEARBOX.")</f>
        <v>DATE DELIVERED: 1SANG LINGO PALANG, 2 BESES PALANG NAGAGAMIT.
MYK: MAINGAY ANG ROTAVATOR, PAG TINAAS MAINGAY ANG GEARBOX.</v>
      </c>
      <c r="L1256" s="72" t="str">
        <f>IFERROR(__xludf.DUMMYFUNCTION("""COMPUTED_VALUE"""),"EGT: PENDING PADIN /  FOR PMS NADIN
 JVV: 1ST PMS DONE")</f>
        <v>EGT: PENDING PADIN /  FOR PMS NADIN
 JVV: 1ST PMS DONE</v>
      </c>
      <c r="M1256" s="2"/>
      <c r="N1256" s="2" t="str">
        <f>IFERROR(__xludf.DUMMYFUNCTION("""COMPUTED_VALUE"""),"PARTS:
OIL FILTER
ENGINE OIL")</f>
        <v>PARTS:
OIL FILTER
ENGINE OIL</v>
      </c>
      <c r="O1256" s="2" t="str">
        <f>IFERROR(__xludf.DUMMYFUNCTION("""COMPUTED_VALUE"""),"NEED SERVICE REPORT")</f>
        <v>NEED SERVICE REPORT</v>
      </c>
      <c r="P1256" s="2"/>
      <c r="Q1256" s="2" t="str">
        <f>IFERROR(__xludf.DUMMYFUNCTION("""COMPUTED_VALUE"""),"FOR PRINT")</f>
        <v>FOR PRINT</v>
      </c>
      <c r="R1256" s="74">
        <f>IFERROR(__xludf.DUMMYFUNCTION("""COMPUTED_VALUE"""),46111.0)</f>
        <v>46111</v>
      </c>
      <c r="S1256" s="2" t="str">
        <f>IFERROR(__xludf.DUMMYFUNCTION("""COMPUTED_VALUE"""),"JVV/ACS")</f>
        <v>JVV/ACS</v>
      </c>
      <c r="T1256" s="73" t="str">
        <f>IFERROR(__xludf.DUMMYFUNCTION("""COMPUTED_VALUE""")," N/A ")</f>
        <v>N/A</v>
      </c>
      <c r="U1256" s="73" t="str">
        <f>IFERROR(__xludf.DUMMYFUNCTION("""COMPUTED_VALUE""")," NO CHARGE ")</f>
        <v>NO CHARGE</v>
      </c>
      <c r="V1256" s="2">
        <f>IFERROR(__xludf.DUMMYFUNCTION("""COMPUTED_VALUE"""),1803.0)</f>
        <v>1803</v>
      </c>
      <c r="W1256" s="2" t="str">
        <f>IFERROR(__xludf.DUMMYFUNCTION("""COMPUTED_VALUE"""),"N/A")</f>
        <v>N/A</v>
      </c>
      <c r="X1256" s="2" t="str">
        <f>IFERROR(__xludf.DUMMYFUNCTION("""COMPUTED_VALUE"""),"N/A")</f>
        <v>N/A</v>
      </c>
      <c r="Y1256" s="2"/>
      <c r="Z1256" s="2"/>
      <c r="AA1256" s="2"/>
      <c r="AB1256" s="2"/>
      <c r="AC1256" s="2"/>
      <c r="AD1256" s="2"/>
      <c r="AE1256" s="2"/>
      <c r="AF1256" s="2"/>
      <c r="AG1256" s="2"/>
      <c r="AH1256" s="2"/>
      <c r="AI1256" s="2"/>
      <c r="AJ1256" s="2" t="str">
        <f>IFERROR(__xludf.DUMMYFUNCTION("""COMPUTED_VALUE"""),"Salu")</f>
        <v>Salu</v>
      </c>
      <c r="AK1256" s="2" t="str">
        <f>IFERROR(__xludf.DUMMYFUNCTION("""COMPUTED_VALUE"""),"Porac")</f>
        <v>Porac</v>
      </c>
      <c r="AL1256" s="2" t="str">
        <f>IFERROR(__xludf.DUMMYFUNCTION("""COMPUTED_VALUE"""),"Pampanga")</f>
        <v>Pampanga</v>
      </c>
      <c r="AM1256" s="2">
        <f>IFERROR(__xludf.DUMMYFUNCTION("""COMPUTED_VALUE"""),3.0)</f>
        <v>3</v>
      </c>
      <c r="AN1256" s="2" t="str">
        <f>IFERROR(__xludf.DUMMYFUNCTION("""COMPUTED_VALUE"""),"RCEF 25-03-05")</f>
        <v>RCEF 25-03-05</v>
      </c>
      <c r="AO1256" s="2">
        <f>IFERROR(__xludf.DUMMYFUNCTION("""COMPUTED_VALUE"""),5.0)</f>
        <v>5</v>
      </c>
      <c r="AP1256" s="2" t="str">
        <f>IFERROR(__xludf.DUMMYFUNCTION("""COMPUTED_VALUE"""),"FREE PMS")</f>
        <v>FREE PMS</v>
      </c>
      <c r="AQ1256" s="2"/>
      <c r="AR1256" s="2"/>
      <c r="AS1256" s="2"/>
      <c r="AT1256" s="2"/>
      <c r="AU1256" s="2"/>
      <c r="AV1256" s="2"/>
      <c r="AW1256" s="2"/>
      <c r="AX1256" s="2"/>
      <c r="AY1256" s="2"/>
      <c r="AZ1256" s="2"/>
      <c r="BA1256" s="2"/>
      <c r="BB1256" s="2"/>
    </row>
    <row r="1257">
      <c r="A1257" s="2">
        <f>IFERROR(__xludf.DUMMYFUNCTION("""COMPUTED_VALUE"""),1253.0)</f>
        <v>1253</v>
      </c>
      <c r="B1257" s="2" t="str">
        <f>IFERROR(__xludf.DUMMYFUNCTION("""COMPUTED_VALUE"""),"PENDING")</f>
        <v>PENDING</v>
      </c>
      <c r="C1257" s="74">
        <f>IFERROR(__xludf.DUMMYFUNCTION("""COMPUTED_VALUE"""),45987.0)</f>
        <v>45987</v>
      </c>
      <c r="D1257" s="71" t="str">
        <f>IFERROR(__xludf.DUMMYFUNCTION("""COMPUTED_VALUE"""),"DELTA SQUAD GUARDIAN FARMERS ASSOCIATION")</f>
        <v>DELTA SQUAD GUARDIAN FARMERS ASSOCIATION</v>
      </c>
      <c r="E1257" s="71" t="str">
        <f>IFERROR(__xludf.DUMMYFUNCTION("""COMPUTED_VALUE"""),"Mapaya, San Jose, OCCIDENTAL MINDORO")</f>
        <v>Mapaya, San Jose, OCCIDENTAL MINDORO</v>
      </c>
      <c r="F1257" s="2" t="str">
        <f>IFERROR(__xludf.DUMMYFUNCTION("""COMPUTED_VALUE"""),"Eddie boy garcia")</f>
        <v>Eddie boy garcia</v>
      </c>
      <c r="G1257" s="2">
        <f>IFERROR(__xludf.DUMMYFUNCTION("""COMPUTED_VALUE"""),9.508692448E9)</f>
        <v>9508692448</v>
      </c>
      <c r="H1257" s="2">
        <f>IFERROR(__xludf.DUMMYFUNCTION("""COMPUTED_VALUE"""),33.0)</f>
        <v>33</v>
      </c>
      <c r="I1257" s="72" t="str">
        <f>IFERROR(__xludf.DUMMYFUNCTION("""COMPUTED_VALUE"""),"SPARE PARTS ACQUISITION")</f>
        <v>SPARE PARTS ACQUISITION</v>
      </c>
      <c r="J1257" s="72"/>
      <c r="K1257" s="72" t="str">
        <f>IFERROR(__xludf.DUMMYFUNCTION("""COMPUTED_VALUE"""),"PARTS REQUEST:
PROBLEM:DISC PLOW FOR REQUEST PARTS
1.DISC FLANGE AXIS -  8,190
2.OIL SEAL 55*85*12 - 610
3.TAPER ROLLER BEARING #30208 - 1,830
")</f>
        <v>PARTS REQUEST:
PROBLEM:DISC PLOW FOR REQUEST PARTS
1.DISC FLANGE AXIS -  8,190
2.OIL SEAL 55*85*12 - 610
3.TAPER ROLLER BEARING #30208 - 1,830
</v>
      </c>
      <c r="L1257" s="72" t="str">
        <f>IFERROR(__xludf.DUMMYFUNCTION("""COMPUTED_VALUE"""),"RCG: SCHEDULE - 3RD WEEK OF MAY 2026
MYK: 5/19/26:  nung ni infrom ko sa kanila ang presyo ng parts,  nung una pumayag sila na bilhin, pero nung ni relay na nung contact person natin sa chairman nila namhalan sila, at bakit daw hindi nalang i warranty si"&amp;"nce kabago bago ng unit e nasira agad, ganun din daw yung isang case sa kalapit nilang coop, buti nalang daw nakita nila na maluwag ang mga bolt kaya naagapan. 
Wala padaw 2 hectares ang natratrabaho nung disc plow nasira agad. Itinawag nadaw nila sa PHi"&amp;"lmech, ang sabi daw sakanila na ipa warranty claim.")</f>
        <v>RCG: SCHEDULE - 3RD WEEK OF MAY 2026
MYK: 5/19/26:  nung ni infrom ko sa kanila ang presyo ng parts,  nung una pumayag sila na bilhin, pero nung ni relay na nung contact person natin sa chairman nila namhalan sila, at bakit daw hindi nalang i warranty since kabago bago ng unit e nasira agad, ganun din daw yung isang case sa kalapit nilang coop, buti nalang daw nakita nila na maluwag ang mga bolt kaya naagapan. 
Wala padaw 2 hectares ang natratrabaho nung disc plow nasira agad. Itinawag nadaw nila sa PHilmech, ang sabi daw sakanila na ipa warranty claim.</v>
      </c>
      <c r="M1257" s="2" t="str">
        <f>IFERROR(__xludf.DUMMYFUNCTION("""COMPUTED_VALUE"""),"1.DISC FLANGE AXIS -  6,120
2.OIL SEAL 55*85*12 - 610
3.TAPER ROLLER BEARING #30208 - 1,830")</f>
        <v>1.DISC FLANGE AXIS -  6,120
2.OIL SEAL 55*85*12 - 610
3.TAPER ROLLER BEARING #30208 - 1,830</v>
      </c>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t="str">
        <f>IFERROR(__xludf.DUMMYFUNCTION("""COMPUTED_VALUE"""),"Mapaya")</f>
        <v>Mapaya</v>
      </c>
      <c r="AK1257" s="2" t="str">
        <f>IFERROR(__xludf.DUMMYFUNCTION("""COMPUTED_VALUE"""),"San Jose")</f>
        <v>San Jose</v>
      </c>
      <c r="AL1257" s="2" t="str">
        <f>IFERROR(__xludf.DUMMYFUNCTION("""COMPUTED_VALUE"""),"Occidental Mindoro")</f>
        <v>Occidental Mindoro</v>
      </c>
      <c r="AM1257" s="2" t="str">
        <f>IFERROR(__xludf.DUMMYFUNCTION("""COMPUTED_VALUE"""),"4B")</f>
        <v>4B</v>
      </c>
      <c r="AN1257" s="2" t="str">
        <f>IFERROR(__xludf.DUMMYFUNCTION("""COMPUTED_VALUE"""),"RCEF 25-03-05")</f>
        <v>RCEF 25-03-05</v>
      </c>
      <c r="AO1257" s="2">
        <f>IFERROR(__xludf.DUMMYFUNCTION("""COMPUTED_VALUE"""),6.0)</f>
        <v>6</v>
      </c>
      <c r="AP1257" s="2" t="str">
        <f>IFERROR(__xludf.DUMMYFUNCTION("""COMPUTED_VALUE"""),"FREE PMS")</f>
        <v>FREE PMS</v>
      </c>
      <c r="AQ1257" s="2"/>
      <c r="AR1257" s="2"/>
      <c r="AS1257" s="2"/>
      <c r="AT1257" s="2"/>
      <c r="AU1257" s="2"/>
      <c r="AV1257" s="2"/>
      <c r="AW1257" s="2"/>
      <c r="AX1257" s="2"/>
      <c r="AY1257" s="2"/>
      <c r="AZ1257" s="2"/>
      <c r="BA1257" s="2"/>
      <c r="BB1257" s="2"/>
    </row>
    <row r="1258">
      <c r="A1258" s="2">
        <f>IFERROR(__xludf.DUMMYFUNCTION("""COMPUTED_VALUE"""),1254.0)</f>
        <v>1254</v>
      </c>
      <c r="B1258" s="2" t="str">
        <f>IFERROR(__xludf.DUMMYFUNCTION("""COMPUTED_VALUE"""),"COMPLETED")</f>
        <v>COMPLETED</v>
      </c>
      <c r="C1258" s="74">
        <f>IFERROR(__xludf.DUMMYFUNCTION("""COMPUTED_VALUE"""),45988.0)</f>
        <v>45988</v>
      </c>
      <c r="D1258" s="71" t="str">
        <f>IFERROR(__xludf.DUMMYFUNCTION("""COMPUTED_VALUE"""),"STA. TERESA 1ST., RICE, CORN, HVCC AND LIVESTOCK")</f>
        <v>STA. TERESA 1ST., RICE, CORN, HVCC AND LIVESTOCK</v>
      </c>
      <c r="E1258" s="71" t="str">
        <f>IFERROR(__xludf.DUMMYFUNCTION("""COMPUTED_VALUE"""),"Santa Teresa 1st, Lubao, PAMPANGA")</f>
        <v>Santa Teresa 1st, Lubao, PAMPANGA</v>
      </c>
      <c r="F1258" s="2" t="str">
        <f>IFERROR(__xludf.DUMMYFUNCTION("""COMPUTED_VALUE"""),"CRISANTO PANGILINAN")</f>
        <v>CRISANTO PANGILINAN</v>
      </c>
      <c r="G1258" s="2">
        <f>IFERROR(__xludf.DUMMYFUNCTION("""COMPUTED_VALUE"""),9.159241613E9)</f>
        <v>9159241613</v>
      </c>
      <c r="H1258" s="2"/>
      <c r="I1258" s="72"/>
      <c r="J1258" s="72"/>
      <c r="K1258" s="72" t="str">
        <f>IFERROR(__xludf.DUMMYFUNCTION("""COMPUTED_VALUE"""),"DATE DELIVERED:  NOV 2025
MYK: HINAHANAPAN NILA NG PAPEL NA NAKA INDICATE ANG MGA SERIAL NUMBERS AT CHASSIS NUMBER, DAHIL IPAPASOK DAW NILA SA PCIC INSURANCE ANG TRACTOR , (Philippine Crop Insurance Corporation) ")</f>
        <v>DATE DELIVERED:  NOV 2025
MYK: HINAHANAPAN NILA NG PAPEL NA NAKA INDICATE ANG MGA SERIAL NUMBERS AT CHASSIS NUMBER, DAHIL IPAPASOK DAW NILA SA PCIC INSURANCE ANG TRACTOR , (Philippine Crop Insurance Corporation) </v>
      </c>
      <c r="L1258" s="72"/>
      <c r="M1258" s="2"/>
      <c r="N1258" s="2"/>
      <c r="O1258" s="2" t="str">
        <f>IFERROR(__xludf.DUMMYFUNCTION("""COMPUTED_VALUE"""),"N/A")</f>
        <v>N/A</v>
      </c>
      <c r="P1258" s="2"/>
      <c r="Q1258" s="2"/>
      <c r="R1258" s="74">
        <f>IFERROR(__xludf.DUMMYFUNCTION("""COMPUTED_VALUE"""),46057.0)</f>
        <v>46057</v>
      </c>
      <c r="S1258" s="2"/>
      <c r="T1258" s="73" t="str">
        <f>IFERROR(__xludf.DUMMYFUNCTION("""COMPUTED_VALUE""")," N/A ")</f>
        <v>N/A</v>
      </c>
      <c r="U1258" s="73" t="str">
        <f>IFERROR(__xludf.DUMMYFUNCTION("""COMPUTED_VALUE""")," NO CHARGE ")</f>
        <v>NO CHARGE</v>
      </c>
      <c r="V1258" s="2" t="str">
        <f>IFERROR(__xludf.DUMMYFUNCTION("""COMPUTED_VALUE"""),"N/A")</f>
        <v>N/A</v>
      </c>
      <c r="W1258" s="2" t="str">
        <f>IFERROR(__xludf.DUMMYFUNCTION("""COMPUTED_VALUE"""),"N/A")</f>
        <v>N/A</v>
      </c>
      <c r="X1258" s="2" t="str">
        <f>IFERROR(__xludf.DUMMYFUNCTION("""COMPUTED_VALUE"""),"N/A")</f>
        <v>N/A</v>
      </c>
      <c r="Y1258" s="2"/>
      <c r="Z1258" s="2"/>
      <c r="AA1258" s="2"/>
      <c r="AB1258" s="2"/>
      <c r="AC1258" s="2"/>
      <c r="AD1258" s="2"/>
      <c r="AE1258" s="2"/>
      <c r="AF1258" s="2"/>
      <c r="AG1258" s="2"/>
      <c r="AH1258" s="2"/>
      <c r="AI1258" s="2"/>
      <c r="AJ1258" s="2" t="str">
        <f>IFERROR(__xludf.DUMMYFUNCTION("""COMPUTED_VALUE"""),"Santa Teresa 1St")</f>
        <v>Santa Teresa 1St</v>
      </c>
      <c r="AK1258" s="2" t="str">
        <f>IFERROR(__xludf.DUMMYFUNCTION("""COMPUTED_VALUE"""),"Lubao")</f>
        <v>Lubao</v>
      </c>
      <c r="AL1258" s="2" t="str">
        <f>IFERROR(__xludf.DUMMYFUNCTION("""COMPUTED_VALUE"""),"Pampanga")</f>
        <v>Pampanga</v>
      </c>
      <c r="AM1258" s="2">
        <f>IFERROR(__xludf.DUMMYFUNCTION("""COMPUTED_VALUE"""),3.0)</f>
        <v>3</v>
      </c>
      <c r="AN1258" s="2" t="str">
        <f>IFERROR(__xludf.DUMMYFUNCTION("""COMPUTED_VALUE"""),"RCEF 25-03-05")</f>
        <v>RCEF 25-03-05</v>
      </c>
      <c r="AO1258" s="2">
        <f>IFERROR(__xludf.DUMMYFUNCTION("""COMPUTED_VALUE"""),5.0)</f>
        <v>5</v>
      </c>
      <c r="AP1258" s="2" t="str">
        <f>IFERROR(__xludf.DUMMYFUNCTION("""COMPUTED_VALUE"""),"FREE PMS")</f>
        <v>FREE PMS</v>
      </c>
      <c r="AQ1258" s="2"/>
      <c r="AR1258" s="2"/>
      <c r="AS1258" s="2"/>
      <c r="AT1258" s="2"/>
      <c r="AU1258" s="2"/>
      <c r="AV1258" s="2"/>
      <c r="AW1258" s="2"/>
      <c r="AX1258" s="2"/>
      <c r="AY1258" s="2"/>
      <c r="AZ1258" s="2"/>
      <c r="BA1258" s="2"/>
      <c r="BB1258" s="2"/>
    </row>
    <row r="1259">
      <c r="A1259" s="2">
        <f>IFERROR(__xludf.DUMMYFUNCTION("""COMPUTED_VALUE"""),1255.0)</f>
        <v>1255</v>
      </c>
      <c r="B1259" s="2" t="str">
        <f>IFERROR(__xludf.DUMMYFUNCTION("""COMPUTED_VALUE"""),"COMPLETED")</f>
        <v>COMPLETED</v>
      </c>
      <c r="C1259" s="74">
        <f>IFERROR(__xludf.DUMMYFUNCTION("""COMPUTED_VALUE"""),45988.0)</f>
        <v>45988</v>
      </c>
      <c r="D1259" s="71" t="str">
        <f>IFERROR(__xludf.DUMMYFUNCTION("""COMPUTED_VALUE"""),"BIGAYAN SA PAGPAPATUBIG IRRIGATORS' ASSOCIATION, INC.")</f>
        <v>BIGAYAN SA PAGPAPATUBIG IRRIGATORS' ASSOCIATION, INC.</v>
      </c>
      <c r="E1259" s="71" t="str">
        <f>IFERROR(__xludf.DUMMYFUNCTION("""COMPUTED_VALUE"""),"Pulo, San Isidro, NUEVA ECIJA")</f>
        <v>Pulo, San Isidro, NUEVA ECIJA</v>
      </c>
      <c r="F1259" s="2" t="str">
        <f>IFERROR(__xludf.DUMMYFUNCTION("""COMPUTED_VALUE"""),"JOSELITO LOPEZ")</f>
        <v>JOSELITO LOPEZ</v>
      </c>
      <c r="G1259" s="2">
        <f>IFERROR(__xludf.DUMMYFUNCTION("""COMPUTED_VALUE"""),9.329556009E9)</f>
        <v>9329556009</v>
      </c>
      <c r="H1259" s="2">
        <f>IFERROR(__xludf.DUMMYFUNCTION("""COMPUTED_VALUE"""),868.0)</f>
        <v>868</v>
      </c>
      <c r="I1259" s="72" t="str">
        <f>IFERROR(__xludf.DUMMYFUNCTION("""COMPUTED_VALUE"""),"REPAIR - TRACTOR")</f>
        <v>REPAIR - TRACTOR</v>
      </c>
      <c r="J1259" s="72" t="str">
        <f>IFERROR(__xludf.DUMMYFUNCTION("""COMPUTED_VALUE"""),"Transmission - Front Drive")</f>
        <v>Transmission - Front Drive</v>
      </c>
      <c r="K1259" s="72" t="str">
        <f>IFERROR(__xludf.DUMMYFUNCTION("""COMPUTED_VALUE"""),"DATE DELIVERED: 2024
MYK: YUNG 4X4 AYAW GUMANA, MATAAS ANG KONSUMO ")</f>
        <v>DATE DELIVERED: 2024
MYK: YUNG 4X4 AYAW GUMANA, MATAAS ANG KONSUMO </v>
      </c>
      <c r="L1259" s="72" t="str">
        <f>IFERROR(__xludf.DUMMYFUNCTION("""COMPUTED_VALUE"""),"FPJ: PAG MEMEETINGAN PA DAW ANG BUDGET 
DSD: POSIBLE RING GEAR ASSY
3/25/26: DSD: IPAPAGAWA NADAW PO NILA
JDP: REPLACED RING GEAR ASSY, BEARING AND OIL SEAL OF FRONT DRIVE")</f>
        <v>FPJ: PAG MEMEETINGAN PA DAW ANG BUDGET 
DSD: POSIBLE RING GEAR ASSY
3/25/26: DSD: IPAPAGAWA NADAW PO NILA
JDP: REPLACED RING GEAR ASSY, BEARING AND OIL SEAL OF FRONT DRIVE</v>
      </c>
      <c r="M1259" s="2" t="str">
        <f>IFERROR(__xludf.DUMMYFUNCTION("""COMPUTED_VALUE"""),"RING GEAR ASSY")</f>
        <v>RING GEAR ASSY</v>
      </c>
      <c r="N1259" s="2" t="str">
        <f>IFERROR(__xludf.DUMMYFUNCTION("""COMPUTED_VALUE"""),"PARTS:
Ring gear Assy * TA00033454 1pc.
Oil Seal * 40*55*08 1pc 
Oil Seal * TA00041369 2pcs. 
Oil Seal * TC60110000 2pcs 
Oil Seal * FE78010000 2pcs.")</f>
        <v>PARTS:
Ring gear Assy * TA00033454 1pc.
Oil Seal * 40*55*08 1pc 
Oil Seal * TA00041369 2pcs. 
Oil Seal * TC60110000 2pcs 
Oil Seal * FE78010000 2pcs.</v>
      </c>
      <c r="O1259" s="2">
        <f>IFERROR(__xludf.DUMMYFUNCTION("""COMPUTED_VALUE"""),449.0)</f>
        <v>449</v>
      </c>
      <c r="P1259" s="2"/>
      <c r="Q1259" s="2" t="str">
        <f>IFERROR(__xludf.DUMMYFUNCTION("""COMPUTED_VALUE"""),"FOR PRINT")</f>
        <v>FOR PRINT</v>
      </c>
      <c r="R1259" s="74">
        <f>IFERROR(__xludf.DUMMYFUNCTION("""COMPUTED_VALUE"""),46137.0)</f>
        <v>46137</v>
      </c>
      <c r="S1259" s="2" t="str">
        <f>IFERROR(__xludf.DUMMYFUNCTION("""COMPUTED_VALUE"""),"EGT/JDP")</f>
        <v>EGT/JDP</v>
      </c>
      <c r="T1259" s="73">
        <f>IFERROR(__xludf.DUMMYFUNCTION("""COMPUTED_VALUE"""),37340.0)</f>
        <v>37340</v>
      </c>
      <c r="U1259" s="73" t="str">
        <f>IFERROR(__xludf.DUMMYFUNCTION("""COMPUTED_VALUE""")," REMITTED ")</f>
        <v>REMITTED</v>
      </c>
      <c r="V1259" s="2">
        <f>IFERROR(__xludf.DUMMYFUNCTION("""COMPUTED_VALUE"""),1325.0)</f>
        <v>1325</v>
      </c>
      <c r="W1259" s="2">
        <f>IFERROR(__xludf.DUMMYFUNCTION("""COMPUTED_VALUE"""),1678.0)</f>
        <v>1678</v>
      </c>
      <c r="X1259" s="2">
        <f>IFERROR(__xludf.DUMMYFUNCTION("""COMPUTED_VALUE"""),1781.0)</f>
        <v>1781</v>
      </c>
      <c r="Y1259" s="2"/>
      <c r="Z1259" s="2"/>
      <c r="AA1259" s="2"/>
      <c r="AB1259" s="2"/>
      <c r="AC1259" s="2"/>
      <c r="AD1259" s="2"/>
      <c r="AE1259" s="2"/>
      <c r="AF1259" s="2"/>
      <c r="AG1259" s="2"/>
      <c r="AH1259" s="2"/>
      <c r="AI1259" s="2"/>
      <c r="AJ1259" s="2" t="str">
        <f>IFERROR(__xludf.DUMMYFUNCTION("""COMPUTED_VALUE"""),"Pulo")</f>
        <v>Pulo</v>
      </c>
      <c r="AK1259" s="2" t="str">
        <f>IFERROR(__xludf.DUMMYFUNCTION("""COMPUTED_VALUE"""),"San Isidro")</f>
        <v>San Isidro</v>
      </c>
      <c r="AL1259" s="2" t="str">
        <f>IFERROR(__xludf.DUMMYFUNCTION("""COMPUTED_VALUE"""),"Nueva Ecija")</f>
        <v>Nueva Ecija</v>
      </c>
      <c r="AM1259" s="2">
        <f>IFERROR(__xludf.DUMMYFUNCTION("""COMPUTED_VALUE"""),3.0)</f>
        <v>3</v>
      </c>
      <c r="AN1259" s="2" t="str">
        <f>IFERROR(__xludf.DUMMYFUNCTION("""COMPUTED_VALUE"""),"RCEF 23-09-21 Rebidding")</f>
        <v>RCEF 23-09-21 Rebidding</v>
      </c>
      <c r="AO1259" s="2">
        <f>IFERROR(__xludf.DUMMYFUNCTION("""COMPUTED_VALUE"""),3.0)</f>
        <v>3</v>
      </c>
      <c r="AP1259" s="2"/>
      <c r="AQ1259" s="2"/>
      <c r="AR1259" s="2"/>
      <c r="AS1259" s="2"/>
      <c r="AT1259" s="2"/>
      <c r="AU1259" s="2"/>
      <c r="AV1259" s="2"/>
      <c r="AW1259" s="2"/>
      <c r="AX1259" s="2"/>
      <c r="AY1259" s="2"/>
      <c r="AZ1259" s="2"/>
      <c r="BA1259" s="2"/>
      <c r="BB1259" s="2"/>
    </row>
    <row r="1260">
      <c r="A1260" s="2">
        <f>IFERROR(__xludf.DUMMYFUNCTION("""COMPUTED_VALUE"""),1256.0)</f>
        <v>1256</v>
      </c>
      <c r="B1260" s="2" t="str">
        <f>IFERROR(__xludf.DUMMYFUNCTION("""COMPUTED_VALUE"""),"PENDING")</f>
        <v>PENDING</v>
      </c>
      <c r="C1260" s="74">
        <f>IFERROR(__xludf.DUMMYFUNCTION("""COMPUTED_VALUE"""),45988.0)</f>
        <v>45988</v>
      </c>
      <c r="D1260" s="71" t="str">
        <f>IFERROR(__xludf.DUMMYFUNCTION("""COMPUTED_VALUE"""),"Cuantacla Farmers Association Inc.")</f>
        <v>Cuantacla Farmers Association Inc.</v>
      </c>
      <c r="E1260" s="71" t="str">
        <f>IFERROR(__xludf.DUMMYFUNCTION("""COMPUTED_VALUE"""),"Cuantacla, Cabugao, Ilocos Sur")</f>
        <v>Cuantacla, Cabugao, Ilocos Sur</v>
      </c>
      <c r="F1260" s="2" t="str">
        <f>IFERROR(__xludf.DUMMYFUNCTION("""COMPUTED_VALUE"""),"RUSVEL PALPAL-LATOC ")</f>
        <v>RUSVEL PALPAL-LATOC </v>
      </c>
      <c r="G1260" s="2">
        <f>IFERROR(__xludf.DUMMYFUNCTION("""COMPUTED_VALUE"""),9.954646517E9)</f>
        <v>9954646517</v>
      </c>
      <c r="H1260" s="2">
        <f>IFERROR(__xludf.DUMMYFUNCTION("""COMPUTED_VALUE"""),714.0)</f>
        <v>714</v>
      </c>
      <c r="I1260" s="72" t="str">
        <f>IFERROR(__xludf.DUMMYFUNCTION("""COMPUTED_VALUE"""),"REPAIR - TRACTOR")</f>
        <v>REPAIR - TRACTOR</v>
      </c>
      <c r="J1260" s="72" t="str">
        <f>IFERROR(__xludf.DUMMYFUNCTION("""COMPUTED_VALUE"""),"Electrical - Wire Harness")</f>
        <v>Electrical - Wire Harness</v>
      </c>
      <c r="K1260" s="72" t="str">
        <f>IFERROR(__xludf.DUMMYFUNCTION("""COMPUTED_VALUE"""),"DATE DELIVERED: JULY 2024
MYK: NAWALA ANG BUSINA, TEMPERATURE GAUGE ABNORMAL, WALANG FLASHER AT HAZARD , BEFORE MAY NGATNGAT NG ITO NG DAGA, TINAWAG KO KAY JOSEPH, SINABING IPAGDUGTONG LANG NGUNIT ILANG MINUTO LANG PINAANDAR BUMALIK ANG SIRA,
- SA LOADER "&amp;"NAMAN PO NAWALA ANG GREASE FITTING (5PCS) .. ")</f>
        <v>DATE DELIVERED: JULY 2024
MYK: NAWALA ANG BUSINA, TEMPERATURE GAUGE ABNORMAL, WALANG FLASHER AT HAZARD , BEFORE MAY NGATNGAT NG ITO NG DAGA, TINAWAG KO KAY JOSEPH, SINABING IPAGDUGTONG LANG NGUNIT ILANG MINUTO LANG PINAANDAR BUMALIK ANG SIRA,
- SA LOADER NAMAN PO NAWALA ANG GREASE FITTING (5PCS) .. </v>
      </c>
      <c r="L1260" s="72" t="str">
        <f>IFERROR(__xludf.DUMMYFUNCTION("""COMPUTED_VALUE"""),"KFS: CALL THIS WEEK (ECM)
DSD: CHECK FUSE 
IF GROUNDED REPLACEMENT OF FUSE, 
IF NO PROBLEM WITH THE FUSE MAY IBA PANG NAPUTOL NA WIRE- REWIRING 
WORSE CASE - REPLACEMENT OF HARNESS")</f>
        <v>KFS: CALL THIS WEEK (ECM)
DSD: CHECK FUSE 
IF GROUNDED REPLACEMENT OF FUSE, 
IF NO PROBLEM WITH THE FUSE MAY IBA PANG NAPUTOL NA WIRE- REWIRING 
WORSE CASE - REPLACEMENT OF HARNESS</v>
      </c>
      <c r="M1260" s="2" t="str">
        <f>IFERROR(__xludf.DUMMYFUNCTION("""COMPUTED_VALUE"""),"GREASE FITTINGS (5)
FUSE BOX ASSY")</f>
        <v>GREASE FITTINGS (5)
FUSE BOX ASSY</v>
      </c>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t="str">
        <f>IFERROR(__xludf.DUMMYFUNCTION("""COMPUTED_VALUE"""),"Cuantacla")</f>
        <v>Cuantacla</v>
      </c>
      <c r="AK1260" s="2" t="str">
        <f>IFERROR(__xludf.DUMMYFUNCTION("""COMPUTED_VALUE"""),"Cabugao")</f>
        <v>Cabugao</v>
      </c>
      <c r="AL1260" s="2" t="str">
        <f>IFERROR(__xludf.DUMMYFUNCTION("""COMPUTED_VALUE"""),"Ilocos Sur")</f>
        <v>Ilocos Sur</v>
      </c>
      <c r="AM1260" s="2">
        <f>IFERROR(__xludf.DUMMYFUNCTION("""COMPUTED_VALUE"""),1.0)</f>
        <v>1</v>
      </c>
      <c r="AN1260" s="2" t="str">
        <f>IFERROR(__xludf.DUMMYFUNCTION("""COMPUTED_VALUE"""),"RCEF 23-09-21 Rebidding")</f>
        <v>RCEF 23-09-21 Rebidding</v>
      </c>
      <c r="AO1260" s="2">
        <f>IFERROR(__xludf.DUMMYFUNCTION("""COMPUTED_VALUE"""),2.0)</f>
        <v>2</v>
      </c>
      <c r="AP1260" s="2"/>
      <c r="AQ1260" s="2"/>
      <c r="AR1260" s="2"/>
      <c r="AS1260" s="2"/>
      <c r="AT1260" s="2"/>
      <c r="AU1260" s="2"/>
      <c r="AV1260" s="2"/>
      <c r="AW1260" s="2"/>
      <c r="AX1260" s="2"/>
      <c r="AY1260" s="2"/>
      <c r="AZ1260" s="2"/>
      <c r="BA1260" s="2"/>
      <c r="BB1260" s="2"/>
    </row>
    <row r="1261">
      <c r="A1261" s="2">
        <f>IFERROR(__xludf.DUMMYFUNCTION("""COMPUTED_VALUE"""),1257.0)</f>
        <v>1257</v>
      </c>
      <c r="B1261" s="2" t="str">
        <f>IFERROR(__xludf.DUMMYFUNCTION("""COMPUTED_VALUE"""),"PENDING")</f>
        <v>PENDING</v>
      </c>
      <c r="C1261" s="74">
        <f>IFERROR(__xludf.DUMMYFUNCTION("""COMPUTED_VALUE"""),45989.0)</f>
        <v>45989</v>
      </c>
      <c r="D1261" s="71" t="str">
        <f>IFERROR(__xludf.DUMMYFUNCTION("""COMPUTED_VALUE"""),"KAISAHAN IRRIGATOR'S ASSOCIATION INC.")</f>
        <v>KAISAHAN IRRIGATOR'S ASSOCIATION INC.</v>
      </c>
      <c r="E1261" s="71" t="str">
        <f>IFERROR(__xludf.DUMMYFUNCTION("""COMPUTED_VALUE"""),"San Fabian, Santo Domingo, NUEVA ECIJA")</f>
        <v>San Fabian, Santo Domingo, NUEVA ECIJA</v>
      </c>
      <c r="F1261" s="2" t="str">
        <f>IFERROR(__xludf.DUMMYFUNCTION("""COMPUTED_VALUE"""),"DARWIN CACAL")</f>
        <v>DARWIN CACAL</v>
      </c>
      <c r="G1261" s="2">
        <f>IFERROR(__xludf.DUMMYFUNCTION("""COMPUTED_VALUE"""),9.533782306E9)</f>
        <v>9533782306</v>
      </c>
      <c r="H1261" s="2">
        <f>IFERROR(__xludf.DUMMYFUNCTION("""COMPUTED_VALUE"""),1248.6)</f>
        <v>1248.6</v>
      </c>
      <c r="I1261" s="72" t="str">
        <f>IFERROR(__xludf.DUMMYFUNCTION("""COMPUTED_VALUE"""),"REPAIR - TRACTOR")</f>
        <v>REPAIR - TRACTOR</v>
      </c>
      <c r="J1261" s="72" t="str">
        <f>IFERROR(__xludf.DUMMYFUNCTION("""COMPUTED_VALUE"""),"PTO - Clutch Pack")</f>
        <v>PTO - Clutch Pack</v>
      </c>
      <c r="K1261" s="72" t="str">
        <f>IFERROR(__xludf.DUMMYFUNCTION("""COMPUTED_VALUE"""),"MYK: humihinto yung rotavator pag binabaon sa lupa/mahina umikot")</f>
        <v>MYK: humihinto yung rotavator pag binabaon sa lupa/mahina umikot</v>
      </c>
      <c r="L1261" s="72" t="str">
        <f>IFERROR(__xludf.DUMMYFUNCTION("""COMPUTED_VALUE"""),"JVV: 
Ok Naman na Po umiikot na ulit yung Rotavator nila hinugot kolang po yung socket ng sensor para sa PTO at sobrang putik tapos nag adjust po ako sa PTO Valve niya
JHP: PTO CLUTCH PACK ASSY
JHP: STILL PENDING NO BUDGET 
PTO CLUTCH PACK  -  35,560")</f>
        <v>JVV: 
Ok Naman na Po umiikot na ulit yung Rotavator nila hinugot kolang po yung socket ng sensor para sa PTO at sobrang putik tapos nag adjust po ako sa PTO Valve niya
JHP: PTO CLUTCH PACK ASSY
JHP: STILL PENDING NO BUDGET 
PTO CLUTCH PACK  -  35,560</v>
      </c>
      <c r="M1261" s="2" t="str">
        <f>IFERROR(__xludf.DUMMYFUNCTION("""COMPUTED_VALUE"""),"PTO CLUTCH PACK ASSY")</f>
        <v>PTO CLUTCH PACK ASSY</v>
      </c>
      <c r="N1261" s="2"/>
      <c r="O1261" s="2"/>
      <c r="P1261" s="2"/>
      <c r="Q1261" s="2"/>
      <c r="R1261" s="2"/>
      <c r="S1261" s="2" t="str">
        <f>IFERROR(__xludf.DUMMYFUNCTION("""COMPUTED_VALUE"""),"JVV")</f>
        <v>JVV</v>
      </c>
      <c r="T1261" s="73" t="str">
        <f>IFERROR(__xludf.DUMMYFUNCTION("""COMPUTED_VALUE""")," N/A ")</f>
        <v>N/A</v>
      </c>
      <c r="U1261" s="73" t="str">
        <f>IFERROR(__xludf.DUMMYFUNCTION("""COMPUTED_VALUE""")," NO CHARGE ")</f>
        <v>NO CHARGE</v>
      </c>
      <c r="V1261" s="2"/>
      <c r="W1261" s="2" t="str">
        <f>IFERROR(__xludf.DUMMYFUNCTION("""COMPUTED_VALUE"""),"N/A")</f>
        <v>N/A</v>
      </c>
      <c r="X1261" s="2" t="str">
        <f>IFERROR(__xludf.DUMMYFUNCTION("""COMPUTED_VALUE"""),"N/A")</f>
        <v>N/A</v>
      </c>
      <c r="Y1261" s="2"/>
      <c r="Z1261" s="2"/>
      <c r="AA1261" s="2"/>
      <c r="AB1261" s="2"/>
      <c r="AC1261" s="2"/>
      <c r="AD1261" s="2"/>
      <c r="AE1261" s="2"/>
      <c r="AF1261" s="2"/>
      <c r="AG1261" s="2"/>
      <c r="AH1261" s="2"/>
      <c r="AI1261" s="2"/>
      <c r="AJ1261" s="2" t="str">
        <f>IFERROR(__xludf.DUMMYFUNCTION("""COMPUTED_VALUE"""),"San Fabian")</f>
        <v>San Fabian</v>
      </c>
      <c r="AK1261" s="2" t="str">
        <f>IFERROR(__xludf.DUMMYFUNCTION("""COMPUTED_VALUE"""),"Santo Domingo")</f>
        <v>Santo Domingo</v>
      </c>
      <c r="AL1261" s="2" t="str">
        <f>IFERROR(__xludf.DUMMYFUNCTION("""COMPUTED_VALUE"""),"Nueva Ecija")</f>
        <v>Nueva Ecija</v>
      </c>
      <c r="AM1261" s="2">
        <f>IFERROR(__xludf.DUMMYFUNCTION("""COMPUTED_VALUE"""),3.0)</f>
        <v>3</v>
      </c>
      <c r="AN1261" s="2" t="str">
        <f>IFERROR(__xludf.DUMMYFUNCTION("""COMPUTED_VALUE"""),"RCEF 23-09-21 Rebidding")</f>
        <v>RCEF 23-09-21 Rebidding</v>
      </c>
      <c r="AO1261" s="2">
        <f>IFERROR(__xludf.DUMMYFUNCTION("""COMPUTED_VALUE"""),3.0)</f>
        <v>3</v>
      </c>
      <c r="AP1261" s="2"/>
      <c r="AQ1261" s="2"/>
      <c r="AR1261" s="2"/>
      <c r="AS1261" s="2"/>
      <c r="AT1261" s="2"/>
      <c r="AU1261" s="2"/>
      <c r="AV1261" s="2"/>
      <c r="AW1261" s="2"/>
      <c r="AX1261" s="2"/>
      <c r="AY1261" s="2"/>
      <c r="AZ1261" s="2"/>
      <c r="BA1261" s="2"/>
      <c r="BB1261" s="2"/>
    </row>
    <row r="1262">
      <c r="A1262" s="2">
        <f>IFERROR(__xludf.DUMMYFUNCTION("""COMPUTED_VALUE"""),1258.0)</f>
        <v>1258</v>
      </c>
      <c r="B1262" s="2" t="str">
        <f>IFERROR(__xludf.DUMMYFUNCTION("""COMPUTED_VALUE"""),"COMPLETED")</f>
        <v>COMPLETED</v>
      </c>
      <c r="C1262" s="74">
        <f>IFERROR(__xludf.DUMMYFUNCTION("""COMPUTED_VALUE"""),45990.0)</f>
        <v>45990</v>
      </c>
      <c r="D1262" s="71" t="str">
        <f>IFERROR(__xludf.DUMMYFUNCTION("""COMPUTED_VALUE"""),"CANLUBATOG FARMERS ASSOCIATION INC.")</f>
        <v>CANLUBATOG FARMERS ASSOCIATION INC.</v>
      </c>
      <c r="E1262" s="71" t="str">
        <f>IFERROR(__xludf.DUMMYFUNCTION("""COMPUTED_VALUE"""),"Amagbagan, Pozorrubio, PANGASINAN")</f>
        <v>Amagbagan, Pozorrubio, PANGASINAN</v>
      </c>
      <c r="F1262" s="2" t="str">
        <f>IFERROR(__xludf.DUMMYFUNCTION("""COMPUTED_VALUE"""),"Juan Calpotura Jr.")</f>
        <v>Juan Calpotura Jr.</v>
      </c>
      <c r="G1262" s="2">
        <f>IFERROR(__xludf.DUMMYFUNCTION("""COMPUTED_VALUE"""),9.955164969E9)</f>
        <v>9955164969</v>
      </c>
      <c r="H1262" s="2">
        <f>IFERROR(__xludf.DUMMYFUNCTION("""COMPUTED_VALUE"""),455.0)</f>
        <v>455</v>
      </c>
      <c r="I1262" s="72" t="str">
        <f>IFERROR(__xludf.DUMMYFUNCTION("""COMPUTED_VALUE"""),"REPAIR - TRACTOR")</f>
        <v>REPAIR - TRACTOR</v>
      </c>
      <c r="J1262" s="72" t="str">
        <f>IFERROR(__xludf.DUMMYFUNCTION("""COMPUTED_VALUE"""),"Transmission - Clutch")</f>
        <v>Transmission - Clutch</v>
      </c>
      <c r="K1262" s="72" t="str">
        <f>IFERROR(__xludf.DUMMYFUNCTION("""COMPUTED_VALUE"""),"DATE DELIVERED: 2/17/25
JHP: CLUTCH PROBLEM DI MAIPASOK ANG KAMBYO")</f>
        <v>DATE DELIVERED: 2/17/25
JHP: CLUTCH PROBLEM DI MAIPASOK ANG KAMBYO</v>
      </c>
      <c r="L1262" s="72" t="str">
        <f>IFERROR(__xludf.DUMMYFUNCTION("""COMPUTED_VALUE"""),"EGT: PINAGAWA NA SA IBA")</f>
        <v>EGT: PINAGAWA NA SA IBA</v>
      </c>
      <c r="M1262" s="2"/>
      <c r="N1262" s="2"/>
      <c r="O1262" s="2" t="str">
        <f>IFERROR(__xludf.DUMMYFUNCTION("""COMPUTED_VALUE"""),"N/A")</f>
        <v>N/A</v>
      </c>
      <c r="P1262" s="2"/>
      <c r="Q1262" s="2"/>
      <c r="R1262" s="74">
        <f>IFERROR(__xludf.DUMMYFUNCTION("""COMPUTED_VALUE"""),46092.0)</f>
        <v>46092</v>
      </c>
      <c r="S1262" s="2" t="str">
        <f>IFERROR(__xludf.DUMMYFUNCTION("""COMPUTED_VALUE"""),"EGT")</f>
        <v>EGT</v>
      </c>
      <c r="T1262" s="73" t="str">
        <f>IFERROR(__xludf.DUMMYFUNCTION("""COMPUTED_VALUE""")," N/A ")</f>
        <v>N/A</v>
      </c>
      <c r="U1262" s="73" t="str">
        <f>IFERROR(__xludf.DUMMYFUNCTION("""COMPUTED_VALUE""")," NO CHARGE ")</f>
        <v>NO CHARGE</v>
      </c>
      <c r="V1262" s="2" t="str">
        <f>IFERROR(__xludf.DUMMYFUNCTION("""COMPUTED_VALUE"""),"N/A")</f>
        <v>N/A</v>
      </c>
      <c r="W1262" s="2" t="str">
        <f>IFERROR(__xludf.DUMMYFUNCTION("""COMPUTED_VALUE"""),"N/A")</f>
        <v>N/A</v>
      </c>
      <c r="X1262" s="2" t="str">
        <f>IFERROR(__xludf.DUMMYFUNCTION("""COMPUTED_VALUE"""),"N/A")</f>
        <v>N/A</v>
      </c>
      <c r="Y1262" s="2"/>
      <c r="Z1262" s="2"/>
      <c r="AA1262" s="2"/>
      <c r="AB1262" s="2"/>
      <c r="AC1262" s="2"/>
      <c r="AD1262" s="2"/>
      <c r="AE1262" s="2"/>
      <c r="AF1262" s="2"/>
      <c r="AG1262" s="2"/>
      <c r="AH1262" s="2"/>
      <c r="AI1262" s="2"/>
      <c r="AJ1262" s="2" t="str">
        <f>IFERROR(__xludf.DUMMYFUNCTION("""COMPUTED_VALUE"""),"Amagbagan")</f>
        <v>Amagbagan</v>
      </c>
      <c r="AK1262" s="2" t="str">
        <f>IFERROR(__xludf.DUMMYFUNCTION("""COMPUTED_VALUE"""),"Pozorrubio")</f>
        <v>Pozorrubio</v>
      </c>
      <c r="AL1262" s="2" t="str">
        <f>IFERROR(__xludf.DUMMYFUNCTION("""COMPUTED_VALUE"""),"Pangasinan")</f>
        <v>Pangasinan</v>
      </c>
      <c r="AM1262" s="2">
        <f>IFERROR(__xludf.DUMMYFUNCTION("""COMPUTED_VALUE"""),1.0)</f>
        <v>1</v>
      </c>
      <c r="AN1262" s="2" t="str">
        <f>IFERROR(__xludf.DUMMYFUNCTION("""COMPUTED_VALUE"""),"RCEF 24-04-15")</f>
        <v>RCEF 24-04-15</v>
      </c>
      <c r="AO1262" s="2">
        <f>IFERROR(__xludf.DUMMYFUNCTION("""COMPUTED_VALUE"""),6.0)</f>
        <v>6</v>
      </c>
      <c r="AP1262" s="2" t="str">
        <f>IFERROR(__xludf.DUMMYFUNCTION("""COMPUTED_VALUE"""),"FREE PMS")</f>
        <v>FREE PMS</v>
      </c>
      <c r="AQ1262" s="2"/>
      <c r="AR1262" s="2"/>
      <c r="AS1262" s="2"/>
      <c r="AT1262" s="2"/>
      <c r="AU1262" s="2"/>
      <c r="AV1262" s="2"/>
      <c r="AW1262" s="2"/>
      <c r="AX1262" s="2"/>
      <c r="AY1262" s="2"/>
      <c r="AZ1262" s="2"/>
      <c r="BA1262" s="2"/>
      <c r="BB1262" s="2"/>
    </row>
    <row r="1263">
      <c r="A1263" s="2">
        <f>IFERROR(__xludf.DUMMYFUNCTION("""COMPUTED_VALUE"""),1259.0)</f>
        <v>1259</v>
      </c>
      <c r="B1263" s="2" t="str">
        <f>IFERROR(__xludf.DUMMYFUNCTION("""COMPUTED_VALUE"""),"COMPLETED")</f>
        <v>COMPLETED</v>
      </c>
      <c r="C1263" s="74">
        <f>IFERROR(__xludf.DUMMYFUNCTION("""COMPUTED_VALUE"""),45992.0)</f>
        <v>45992</v>
      </c>
      <c r="D1263" s="71" t="str">
        <f>IFERROR(__xludf.DUMMYFUNCTION("""COMPUTED_VALUE"""),"STA. ISABEL FARMERS ASSOCIATION")</f>
        <v>STA. ISABEL FARMERS ASSOCIATION</v>
      </c>
      <c r="E1263" s="71" t="str">
        <f>IFERROR(__xludf.DUMMYFUNCTION("""COMPUTED_VALUE"""),"Santa Isabel, Jones, ISABELA")</f>
        <v>Santa Isabel, Jones, ISABELA</v>
      </c>
      <c r="F1263" s="2" t="str">
        <f>IFERROR(__xludf.DUMMYFUNCTION("""COMPUTED_VALUE"""),"JERIEL RATUM")</f>
        <v>JERIEL RATUM</v>
      </c>
      <c r="G1263" s="2">
        <f>IFERROR(__xludf.DUMMYFUNCTION("""COMPUTED_VALUE"""),9.676456279E9)</f>
        <v>9676456279</v>
      </c>
      <c r="H1263" s="2"/>
      <c r="I1263" s="72" t="str">
        <f>IFERROR(__xludf.DUMMYFUNCTION("""COMPUTED_VALUE"""),"REPAIR - TRACTOR")</f>
        <v>REPAIR - TRACTOR</v>
      </c>
      <c r="J1263" s="72" t="str">
        <f>IFERROR(__xludf.DUMMYFUNCTION("""COMPUTED_VALUE"""),"CHECK UP UNIT")</f>
        <v>CHECK UP UNIT</v>
      </c>
      <c r="K1263" s="72" t="str">
        <f>IFERROR(__xludf.DUMMYFUNCTION("""COMPUTED_VALUE"""),"MYK: MAY TUMUTUNOG SA LIKUDANG GULONG (LEFT SIDE)")</f>
        <v>MYK: MAY TUMUTUNOG SA LIKUDANG GULONG (LEFT SIDE)</v>
      </c>
      <c r="L1263" s="72" t="str">
        <f>IFERROR(__xludf.DUMMYFUNCTION("""COMPUTED_VALUE"""),"CFG: OK NA , BINAKLAS NI FCA SA MAY TRANSMISSION NA GULONG, MERON LAMANG NA NATANGAL (VIA CALL)")</f>
        <v>CFG: OK NA , BINAKLAS NI FCA SA MAY TRANSMISSION NA GULONG, MERON LAMANG NA NATANGAL (VIA CALL)</v>
      </c>
      <c r="M1263" s="2"/>
      <c r="N1263" s="2"/>
      <c r="O1263" s="2" t="str">
        <f>IFERROR(__xludf.DUMMYFUNCTION("""COMPUTED_VALUE"""),"N/A")</f>
        <v>N/A</v>
      </c>
      <c r="P1263" s="2"/>
      <c r="Q1263" s="2"/>
      <c r="R1263" s="74">
        <f>IFERROR(__xludf.DUMMYFUNCTION("""COMPUTED_VALUE"""),46092.0)</f>
        <v>46092</v>
      </c>
      <c r="S1263" s="2" t="str">
        <f>IFERROR(__xludf.DUMMYFUNCTION("""COMPUTED_VALUE"""),"CFG")</f>
        <v>CFG</v>
      </c>
      <c r="T1263" s="73" t="str">
        <f>IFERROR(__xludf.DUMMYFUNCTION("""COMPUTED_VALUE""")," N/A ")</f>
        <v>N/A</v>
      </c>
      <c r="U1263" s="73" t="str">
        <f>IFERROR(__xludf.DUMMYFUNCTION("""COMPUTED_VALUE""")," NO CHARGE ")</f>
        <v>NO CHARGE</v>
      </c>
      <c r="V1263" s="2" t="str">
        <f>IFERROR(__xludf.DUMMYFUNCTION("""COMPUTED_VALUE"""),"N/A")</f>
        <v>N/A</v>
      </c>
      <c r="W1263" s="2" t="str">
        <f>IFERROR(__xludf.DUMMYFUNCTION("""COMPUTED_VALUE"""),"N/A")</f>
        <v>N/A</v>
      </c>
      <c r="X1263" s="2" t="str">
        <f>IFERROR(__xludf.DUMMYFUNCTION("""COMPUTED_VALUE"""),"N/A")</f>
        <v>N/A</v>
      </c>
      <c r="Y1263" s="2"/>
      <c r="Z1263" s="2"/>
      <c r="AA1263" s="2"/>
      <c r="AB1263" s="2"/>
      <c r="AC1263" s="2"/>
      <c r="AD1263" s="2"/>
      <c r="AE1263" s="2"/>
      <c r="AF1263" s="2"/>
      <c r="AG1263" s="2"/>
      <c r="AH1263" s="2"/>
      <c r="AI1263" s="2"/>
      <c r="AJ1263" s="2" t="str">
        <f>IFERROR(__xludf.DUMMYFUNCTION("""COMPUTED_VALUE"""),"Santa Isabel")</f>
        <v>Santa Isabel</v>
      </c>
      <c r="AK1263" s="2" t="str">
        <f>IFERROR(__xludf.DUMMYFUNCTION("""COMPUTED_VALUE"""),"Jones")</f>
        <v>Jones</v>
      </c>
      <c r="AL1263" s="2" t="str">
        <f>IFERROR(__xludf.DUMMYFUNCTION("""COMPUTED_VALUE"""),"Isabela")</f>
        <v>Isabela</v>
      </c>
      <c r="AM1263" s="2">
        <f>IFERROR(__xludf.DUMMYFUNCTION("""COMPUTED_VALUE"""),2.0)</f>
        <v>2</v>
      </c>
      <c r="AN1263" s="2" t="str">
        <f>IFERROR(__xludf.DUMMYFUNCTION("""COMPUTED_VALUE"""),"RCEF 23-09-21 Rebidding")</f>
        <v>RCEF 23-09-21 Rebidding</v>
      </c>
      <c r="AO1263" s="2">
        <f>IFERROR(__xludf.DUMMYFUNCTION("""COMPUTED_VALUE"""),9.0)</f>
        <v>9</v>
      </c>
      <c r="AP1263" s="2"/>
      <c r="AQ1263" s="2"/>
      <c r="AR1263" s="2"/>
      <c r="AS1263" s="2"/>
      <c r="AT1263" s="2"/>
      <c r="AU1263" s="2"/>
      <c r="AV1263" s="2"/>
      <c r="AW1263" s="2"/>
      <c r="AX1263" s="2"/>
      <c r="AY1263" s="2"/>
      <c r="AZ1263" s="2"/>
      <c r="BA1263" s="2"/>
      <c r="BB1263" s="2"/>
    </row>
    <row r="1264">
      <c r="A1264" s="2">
        <f>IFERROR(__xludf.DUMMYFUNCTION("""COMPUTED_VALUE"""),1260.0)</f>
        <v>1260</v>
      </c>
      <c r="B1264" s="2" t="str">
        <f>IFERROR(__xludf.DUMMYFUNCTION("""COMPUTED_VALUE"""),"COMPLETED")</f>
        <v>COMPLETED</v>
      </c>
      <c r="C1264" s="74">
        <f>IFERROR(__xludf.DUMMYFUNCTION("""COMPUTED_VALUE"""),45992.0)</f>
        <v>45992</v>
      </c>
      <c r="D1264" s="71" t="str">
        <f>IFERROR(__xludf.DUMMYFUNCTION("""COMPUTED_VALUE"""),"Mandala Farmers Agriculture Cooperative (MFC)")</f>
        <v>Mandala Farmers Agriculture Cooperative (MFC)</v>
      </c>
      <c r="E1264" s="71" t="str">
        <f>IFERROR(__xludf.DUMMYFUNCTION("""COMPUTED_VALUE"""),"Coral-Iloco, Ramos, TARLAC")</f>
        <v>Coral-Iloco, Ramos, TARLAC</v>
      </c>
      <c r="F1264" s="2" t="str">
        <f>IFERROR(__xludf.DUMMYFUNCTION("""COMPUTED_VALUE"""),"CHRISTOPHER TAWATAO")</f>
        <v>CHRISTOPHER TAWATAO</v>
      </c>
      <c r="G1264" s="2">
        <f>IFERROR(__xludf.DUMMYFUNCTION("""COMPUTED_VALUE"""),9.511562616E9)</f>
        <v>9511562616</v>
      </c>
      <c r="H1264" s="2">
        <f>IFERROR(__xludf.DUMMYFUNCTION("""COMPUTED_VALUE"""),42.2)</f>
        <v>42.2</v>
      </c>
      <c r="I1264" s="72" t="str">
        <f>IFERROR(__xludf.DUMMYFUNCTION("""COMPUTED_VALUE"""),"PMS")</f>
        <v>PMS</v>
      </c>
      <c r="J1264" s="72" t="str">
        <f>IFERROR(__xludf.DUMMYFUNCTION("""COMPUTED_VALUE"""),"PMS")</f>
        <v>PMS</v>
      </c>
      <c r="K1264" s="72" t="str">
        <f>IFERROR(__xludf.DUMMYFUNCTION("""COMPUTED_VALUE"""),"MYK: 1ST PMS FREE")</f>
        <v>MYK: 1ST PMS FREE</v>
      </c>
      <c r="L1264" s="72" t="str">
        <f>IFERROR(__xludf.DUMMYFUNCTION("""COMPUTED_VALUE"""),"JDP: 1ST PMS DONE")</f>
        <v>JDP: 1ST PMS DONE</v>
      </c>
      <c r="M1264" s="2"/>
      <c r="N1264" s="2" t="str">
        <f>IFERROR(__xludf.DUMMYFUNCTION("""COMPUTED_VALUE"""),"PARTS:
OIL FILTER
ENGINE OIL")</f>
        <v>PARTS:
OIL FILTER
ENGINE OIL</v>
      </c>
      <c r="O1264" s="2">
        <f>IFERROR(__xludf.DUMMYFUNCTION("""COMPUTED_VALUE"""),477.0)</f>
        <v>477</v>
      </c>
      <c r="P1264" s="2"/>
      <c r="Q1264" s="2" t="str">
        <f>IFERROR(__xludf.DUMMYFUNCTION("""COMPUTED_VALUE"""),"FOR PRINT")</f>
        <v>FOR PRINT</v>
      </c>
      <c r="R1264" s="74">
        <f>IFERROR(__xludf.DUMMYFUNCTION("""COMPUTED_VALUE"""),46027.0)</f>
        <v>46027</v>
      </c>
      <c r="S1264" s="2" t="str">
        <f>IFERROR(__xludf.DUMMYFUNCTION("""COMPUTED_VALUE"""),"CFG/JDP")</f>
        <v>CFG/JDP</v>
      </c>
      <c r="T1264" s="73" t="str">
        <f>IFERROR(__xludf.DUMMYFUNCTION("""COMPUTED_VALUE""")," N/A ")</f>
        <v>N/A</v>
      </c>
      <c r="U1264" s="73" t="str">
        <f>IFERROR(__xludf.DUMMYFUNCTION("""COMPUTED_VALUE""")," NO CHARGE ")</f>
        <v>NO CHARGE</v>
      </c>
      <c r="V1264" s="2"/>
      <c r="W1264" s="2" t="str">
        <f>IFERROR(__xludf.DUMMYFUNCTION("""COMPUTED_VALUE"""),"N/A")</f>
        <v>N/A</v>
      </c>
      <c r="X1264" s="2" t="str">
        <f>IFERROR(__xludf.DUMMYFUNCTION("""COMPUTED_VALUE"""),"N/A")</f>
        <v>N/A</v>
      </c>
      <c r="Y1264" s="2"/>
      <c r="Z1264" s="2"/>
      <c r="AA1264" s="2"/>
      <c r="AB1264" s="2"/>
      <c r="AC1264" s="2"/>
      <c r="AD1264" s="2"/>
      <c r="AE1264" s="2"/>
      <c r="AF1264" s="2"/>
      <c r="AG1264" s="2"/>
      <c r="AH1264" s="2"/>
      <c r="AI1264" s="2"/>
      <c r="AJ1264" s="2" t="str">
        <f>IFERROR(__xludf.DUMMYFUNCTION("""COMPUTED_VALUE"""),"Coral-Iloco")</f>
        <v>Coral-Iloco</v>
      </c>
      <c r="AK1264" s="2" t="str">
        <f>IFERROR(__xludf.DUMMYFUNCTION("""COMPUTED_VALUE"""),"Ramos")</f>
        <v>Ramos</v>
      </c>
      <c r="AL1264" s="2" t="str">
        <f>IFERROR(__xludf.DUMMYFUNCTION("""COMPUTED_VALUE"""),"Tarlac")</f>
        <v>Tarlac</v>
      </c>
      <c r="AM1264" s="2">
        <f>IFERROR(__xludf.DUMMYFUNCTION("""COMPUTED_VALUE"""),3.0)</f>
        <v>3</v>
      </c>
      <c r="AN1264" s="2" t="str">
        <f>IFERROR(__xludf.DUMMYFUNCTION("""COMPUTED_VALUE"""),"RCEF 25-03-05")</f>
        <v>RCEF 25-03-05</v>
      </c>
      <c r="AO1264" s="2">
        <f>IFERROR(__xludf.DUMMYFUNCTION("""COMPUTED_VALUE"""),5.0)</f>
        <v>5</v>
      </c>
      <c r="AP1264" s="2" t="str">
        <f>IFERROR(__xludf.DUMMYFUNCTION("""COMPUTED_VALUE"""),"FREE PMS")</f>
        <v>FREE PMS</v>
      </c>
      <c r="AQ1264" s="2"/>
      <c r="AR1264" s="2"/>
      <c r="AS1264" s="2"/>
      <c r="AT1264" s="2"/>
      <c r="AU1264" s="2"/>
      <c r="AV1264" s="2"/>
      <c r="AW1264" s="2"/>
      <c r="AX1264" s="2"/>
      <c r="AY1264" s="2"/>
      <c r="AZ1264" s="2"/>
      <c r="BA1264" s="2"/>
      <c r="BB1264" s="2"/>
    </row>
    <row r="1265">
      <c r="A1265" s="2">
        <f>IFERROR(__xludf.DUMMYFUNCTION("""COMPUTED_VALUE"""),1261.0)</f>
        <v>1261</v>
      </c>
      <c r="B1265" s="2" t="str">
        <f>IFERROR(__xludf.DUMMYFUNCTION("""COMPUTED_VALUE"""),"COMPLETED")</f>
        <v>COMPLETED</v>
      </c>
      <c r="C1265" s="74">
        <f>IFERROR(__xludf.DUMMYFUNCTION("""COMPUTED_VALUE"""),45992.0)</f>
        <v>45992</v>
      </c>
      <c r="D1265" s="71" t="str">
        <f>IFERROR(__xludf.DUMMYFUNCTION("""COMPUTED_VALUE"""),"UNITED PRODUCTIVE FARMERS OF CALIBUNGAN INC.")</f>
        <v>UNITED PRODUCTIVE FARMERS OF CALIBUNGAN INC.</v>
      </c>
      <c r="E1265" s="71" t="str">
        <f>IFERROR(__xludf.DUMMYFUNCTION("""COMPUTED_VALUE"""),"Calibungan, Victoria, TARLAC")</f>
        <v>Calibungan, Victoria, TARLAC</v>
      </c>
      <c r="F1265" s="2" t="str">
        <f>IFERROR(__xludf.DUMMYFUNCTION("""COMPUTED_VALUE"""),"INOCENCIO RIGOR")</f>
        <v>INOCENCIO RIGOR</v>
      </c>
      <c r="G1265" s="2">
        <f>IFERROR(__xludf.DUMMYFUNCTION("""COMPUTED_VALUE"""),9.486012057E9)</f>
        <v>9486012057</v>
      </c>
      <c r="H1265" s="2">
        <f>IFERROR(__xludf.DUMMYFUNCTION("""COMPUTED_VALUE"""),47.7)</f>
        <v>47.7</v>
      </c>
      <c r="I1265" s="72" t="str">
        <f>IFERROR(__xludf.DUMMYFUNCTION("""COMPUTED_VALUE"""),"PMS")</f>
        <v>PMS</v>
      </c>
      <c r="J1265" s="72" t="str">
        <f>IFERROR(__xludf.DUMMYFUNCTION("""COMPUTED_VALUE"""),"PMS")</f>
        <v>PMS</v>
      </c>
      <c r="K1265" s="72" t="str">
        <f>IFERROR(__xludf.DUMMYFUNCTION("""COMPUTED_VALUE"""),"DATE DELIVERED: OCTOBER 2025
MYK: 1ST PMS FREE")</f>
        <v>DATE DELIVERED: OCTOBER 2025
MYK: 1ST PMS FREE</v>
      </c>
      <c r="L1265" s="72" t="str">
        <f>IFERROR(__xludf.DUMMYFUNCTION("""COMPUTED_VALUE"""),"ACS: 1ST PMS DONE")</f>
        <v>ACS: 1ST PMS DONE</v>
      </c>
      <c r="M1265" s="2"/>
      <c r="N1265" s="2" t="str">
        <f>IFERROR(__xludf.DUMMYFUNCTION("""COMPUTED_VALUE"""),"PARTS:
OIL FILTER
ENGINE OIL")</f>
        <v>PARTS:
OIL FILTER
ENGINE OIL</v>
      </c>
      <c r="O1265" s="2">
        <f>IFERROR(__xludf.DUMMYFUNCTION("""COMPUTED_VALUE"""),1450.0)</f>
        <v>1450</v>
      </c>
      <c r="P1265" s="2"/>
      <c r="Q1265" s="2" t="str">
        <f>IFERROR(__xludf.DUMMYFUNCTION("""COMPUTED_VALUE"""),"FOR PRINT")</f>
        <v>FOR PRINT</v>
      </c>
      <c r="R1265" s="74">
        <f>IFERROR(__xludf.DUMMYFUNCTION("""COMPUTED_VALUE"""),46006.0)</f>
        <v>46006</v>
      </c>
      <c r="S1265" s="2" t="str">
        <f>IFERROR(__xludf.DUMMYFUNCTION("""COMPUTED_VALUE"""),"JHP/ACS")</f>
        <v>JHP/ACS</v>
      </c>
      <c r="T1265" s="73" t="str">
        <f>IFERROR(__xludf.DUMMYFUNCTION("""COMPUTED_VALUE""")," N/A  ")</f>
        <v>N/A </v>
      </c>
      <c r="U1265" s="73" t="str">
        <f>IFERROR(__xludf.DUMMYFUNCTION("""COMPUTED_VALUE""")," NO CHARGE ")</f>
        <v>NO CHARGE</v>
      </c>
      <c r="V1265" s="2"/>
      <c r="W1265" s="2" t="str">
        <f>IFERROR(__xludf.DUMMYFUNCTION("""COMPUTED_VALUE"""),"N/A")</f>
        <v>N/A</v>
      </c>
      <c r="X1265" s="2" t="str">
        <f>IFERROR(__xludf.DUMMYFUNCTION("""COMPUTED_VALUE"""),"N/A")</f>
        <v>N/A</v>
      </c>
      <c r="Y1265" s="2"/>
      <c r="Z1265" s="2"/>
      <c r="AA1265" s="2"/>
      <c r="AB1265" s="2"/>
      <c r="AC1265" s="2"/>
      <c r="AD1265" s="2"/>
      <c r="AE1265" s="2"/>
      <c r="AF1265" s="2"/>
      <c r="AG1265" s="2"/>
      <c r="AH1265" s="2"/>
      <c r="AI1265" s="2"/>
      <c r="AJ1265" s="2" t="str">
        <f>IFERROR(__xludf.DUMMYFUNCTION("""COMPUTED_VALUE"""),"Calibungan")</f>
        <v>Calibungan</v>
      </c>
      <c r="AK1265" s="2" t="str">
        <f>IFERROR(__xludf.DUMMYFUNCTION("""COMPUTED_VALUE"""),"Victoria")</f>
        <v>Victoria</v>
      </c>
      <c r="AL1265" s="2" t="str">
        <f>IFERROR(__xludf.DUMMYFUNCTION("""COMPUTED_VALUE"""),"Tarlac")</f>
        <v>Tarlac</v>
      </c>
      <c r="AM1265" s="2">
        <f>IFERROR(__xludf.DUMMYFUNCTION("""COMPUTED_VALUE"""),3.0)</f>
        <v>3</v>
      </c>
      <c r="AN1265" s="2" t="str">
        <f>IFERROR(__xludf.DUMMYFUNCTION("""COMPUTED_VALUE"""),"RCEF 25-03-05")</f>
        <v>RCEF 25-03-05</v>
      </c>
      <c r="AO1265" s="2">
        <f>IFERROR(__xludf.DUMMYFUNCTION("""COMPUTED_VALUE"""),5.0)</f>
        <v>5</v>
      </c>
      <c r="AP1265" s="2" t="str">
        <f>IFERROR(__xludf.DUMMYFUNCTION("""COMPUTED_VALUE"""),"FREE PMS")</f>
        <v>FREE PMS</v>
      </c>
      <c r="AQ1265" s="2"/>
      <c r="AR1265" s="2"/>
      <c r="AS1265" s="2"/>
      <c r="AT1265" s="2"/>
      <c r="AU1265" s="2"/>
      <c r="AV1265" s="2"/>
      <c r="AW1265" s="2"/>
      <c r="AX1265" s="2"/>
      <c r="AY1265" s="2"/>
      <c r="AZ1265" s="2"/>
      <c r="BA1265" s="2"/>
      <c r="BB1265" s="2"/>
    </row>
    <row r="1266">
      <c r="A1266" s="2">
        <f>IFERROR(__xludf.DUMMYFUNCTION("""COMPUTED_VALUE"""),1262.0)</f>
        <v>1262</v>
      </c>
      <c r="B1266" s="2" t="str">
        <f>IFERROR(__xludf.DUMMYFUNCTION("""COMPUTED_VALUE"""),"COMPLETED")</f>
        <v>COMPLETED</v>
      </c>
      <c r="C1266" s="74">
        <f>IFERROR(__xludf.DUMMYFUNCTION("""COMPUTED_VALUE"""),45992.0)</f>
        <v>45992</v>
      </c>
      <c r="D1266" s="71" t="str">
        <f>IFERROR(__xludf.DUMMYFUNCTION("""COMPUTED_VALUE"""),"Calamansian Irrigators Balud Farmers Association")</f>
        <v>Calamansian Irrigators Balud Farmers Association</v>
      </c>
      <c r="E1266" s="71" t="str">
        <f>IFERROR(__xludf.DUMMYFUNCTION("""COMPUTED_VALUE"""),"Batasan, San Jose, OCCIDENTAL MINDORO")</f>
        <v>Batasan, San Jose, OCCIDENTAL MINDORO</v>
      </c>
      <c r="F1266" s="2" t="str">
        <f>IFERROR(__xludf.DUMMYFUNCTION("""COMPUTED_VALUE"""),"RENATO SUDIO")</f>
        <v>RENATO SUDIO</v>
      </c>
      <c r="G1266" s="2">
        <f>IFERROR(__xludf.DUMMYFUNCTION("""COMPUTED_VALUE"""),9.53046475E9)</f>
        <v>9530464750</v>
      </c>
      <c r="H1266" s="2"/>
      <c r="I1266" s="72" t="str">
        <f>IFERROR(__xludf.DUMMYFUNCTION("""COMPUTED_VALUE"""),"PMS")</f>
        <v>PMS</v>
      </c>
      <c r="J1266" s="72" t="str">
        <f>IFERROR(__xludf.DUMMYFUNCTION("""COMPUTED_VALUE"""),"PMS")</f>
        <v>PMS</v>
      </c>
      <c r="K1266" s="72" t="str">
        <f>IFERROR(__xludf.DUMMYFUNCTION("""COMPUTED_VALUE"""),"MYK: 1ST PMS FREE")</f>
        <v>MYK: 1ST PMS FREE</v>
      </c>
      <c r="L1266" s="72" t="str">
        <f>IFERROR(__xludf.DUMMYFUNCTION("""COMPUTED_VALUE"""),"FPJ: 1ST PMS DONE")</f>
        <v>FPJ: 1ST PMS DONE</v>
      </c>
      <c r="M1266" s="2"/>
      <c r="N1266" s="2" t="str">
        <f>IFERROR(__xludf.DUMMYFUNCTION("""COMPUTED_VALUE"""),"PARTS:
OIL FILTER
ENGINE OIL")</f>
        <v>PARTS:
OIL FILTER
ENGINE OIL</v>
      </c>
      <c r="O1266" s="2">
        <f>IFERROR(__xludf.DUMMYFUNCTION("""COMPUTED_VALUE"""),197.0)</f>
        <v>197</v>
      </c>
      <c r="P1266" s="2"/>
      <c r="Q1266" s="2" t="str">
        <f>IFERROR(__xludf.DUMMYFUNCTION("""COMPUTED_VALUE"""),"FOR PRINT")</f>
        <v>FOR PRINT</v>
      </c>
      <c r="R1266" s="74">
        <f>IFERROR(__xludf.DUMMYFUNCTION("""COMPUTED_VALUE"""),45994.0)</f>
        <v>45994</v>
      </c>
      <c r="S1266" s="2" t="str">
        <f>IFERROR(__xludf.DUMMYFUNCTION("""COMPUTED_VALUE"""),"RBS/FPJ")</f>
        <v>RBS/FPJ</v>
      </c>
      <c r="T1266" s="73" t="str">
        <f>IFERROR(__xludf.DUMMYFUNCTION("""COMPUTED_VALUE""")," N/A ")</f>
        <v>N/A</v>
      </c>
      <c r="U1266" s="73" t="str">
        <f>IFERROR(__xludf.DUMMYFUNCTION("""COMPUTED_VALUE""")," NO CHARGE ")</f>
        <v>NO CHARGE</v>
      </c>
      <c r="V1266" s="2"/>
      <c r="W1266" s="2" t="str">
        <f>IFERROR(__xludf.DUMMYFUNCTION("""COMPUTED_VALUE"""),"N/A")</f>
        <v>N/A</v>
      </c>
      <c r="X1266" s="2" t="str">
        <f>IFERROR(__xludf.DUMMYFUNCTION("""COMPUTED_VALUE"""),"N/A")</f>
        <v>N/A</v>
      </c>
      <c r="Y1266" s="2"/>
      <c r="Z1266" s="2"/>
      <c r="AA1266" s="2"/>
      <c r="AB1266" s="2"/>
      <c r="AC1266" s="2"/>
      <c r="AD1266" s="2"/>
      <c r="AE1266" s="2"/>
      <c r="AF1266" s="2"/>
      <c r="AG1266" s="2"/>
      <c r="AH1266" s="2"/>
      <c r="AI1266" s="2"/>
      <c r="AJ1266" s="2" t="str">
        <f>IFERROR(__xludf.DUMMYFUNCTION("""COMPUTED_VALUE"""),"Batasan")</f>
        <v>Batasan</v>
      </c>
      <c r="AK1266" s="2" t="str">
        <f>IFERROR(__xludf.DUMMYFUNCTION("""COMPUTED_VALUE"""),"San Jose")</f>
        <v>San Jose</v>
      </c>
      <c r="AL1266" s="2" t="str">
        <f>IFERROR(__xludf.DUMMYFUNCTION("""COMPUTED_VALUE"""),"Occidental Mindoro")</f>
        <v>Occidental Mindoro</v>
      </c>
      <c r="AM1266" s="2" t="str">
        <f>IFERROR(__xludf.DUMMYFUNCTION("""COMPUTED_VALUE"""),"4B")</f>
        <v>4B</v>
      </c>
      <c r="AN1266" s="2" t="str">
        <f>IFERROR(__xludf.DUMMYFUNCTION("""COMPUTED_VALUE"""),"RCEF 25-03-05")</f>
        <v>RCEF 25-03-05</v>
      </c>
      <c r="AO1266" s="2">
        <f>IFERROR(__xludf.DUMMYFUNCTION("""COMPUTED_VALUE"""),6.0)</f>
        <v>6</v>
      </c>
      <c r="AP1266" s="2" t="str">
        <f>IFERROR(__xludf.DUMMYFUNCTION("""COMPUTED_VALUE"""),"FREE PMS")</f>
        <v>FREE PMS</v>
      </c>
      <c r="AQ1266" s="2"/>
      <c r="AR1266" s="2"/>
      <c r="AS1266" s="2"/>
      <c r="AT1266" s="2"/>
      <c r="AU1266" s="2"/>
      <c r="AV1266" s="2"/>
      <c r="AW1266" s="2"/>
      <c r="AX1266" s="2"/>
      <c r="AY1266" s="2"/>
      <c r="AZ1266" s="2"/>
      <c r="BA1266" s="2"/>
      <c r="BB1266" s="2"/>
    </row>
    <row r="1267">
      <c r="A1267" s="2">
        <f>IFERROR(__xludf.DUMMYFUNCTION("""COMPUTED_VALUE"""),1263.0)</f>
        <v>1263</v>
      </c>
      <c r="B1267" s="2" t="str">
        <f>IFERROR(__xludf.DUMMYFUNCTION("""COMPUTED_VALUE"""),"COMPLETED")</f>
        <v>COMPLETED</v>
      </c>
      <c r="C1267" s="74">
        <f>IFERROR(__xludf.DUMMYFUNCTION("""COMPUTED_VALUE"""),45992.0)</f>
        <v>45992</v>
      </c>
      <c r="D1267" s="71" t="str">
        <f>IFERROR(__xludf.DUMMYFUNCTION("""COMPUTED_VALUE"""),"Samahang ng Manggagawang Mindoreño Agriculture Cooperative (SAMMAGRICO)")</f>
        <v>Samahang ng Manggagawang Mindoreño Agriculture Cooperative (SAMMAGRICO)</v>
      </c>
      <c r="E1267" s="71" t="str">
        <f>IFERROR(__xludf.DUMMYFUNCTION("""COMPUTED_VALUE"""),"Magbay, San Jose, OCCIDENTAL MINDORO")</f>
        <v>Magbay, San Jose, OCCIDENTAL MINDORO</v>
      </c>
      <c r="F1267" s="2" t="str">
        <f>IFERROR(__xludf.DUMMYFUNCTION("""COMPUTED_VALUE"""),"JERWIN OCINDO")</f>
        <v>JERWIN OCINDO</v>
      </c>
      <c r="G1267" s="2">
        <f>IFERROR(__xludf.DUMMYFUNCTION("""COMPUTED_VALUE"""),9.662635401E9)</f>
        <v>9662635401</v>
      </c>
      <c r="H1267" s="2">
        <f>IFERROR(__xludf.DUMMYFUNCTION("""COMPUTED_VALUE"""),56.0)</f>
        <v>56</v>
      </c>
      <c r="I1267" s="72" t="str">
        <f>IFERROR(__xludf.DUMMYFUNCTION("""COMPUTED_VALUE"""),"PMS")</f>
        <v>PMS</v>
      </c>
      <c r="J1267" s="72" t="str">
        <f>IFERROR(__xludf.DUMMYFUNCTION("""COMPUTED_VALUE"""),"PMS")</f>
        <v>PMS</v>
      </c>
      <c r="K1267" s="72" t="str">
        <f>IFERROR(__xludf.DUMMYFUNCTION("""COMPUTED_VALUE"""),"MYK: 1ST PMS FREE")</f>
        <v>MYK: 1ST PMS FREE</v>
      </c>
      <c r="L1267" s="72" t="str">
        <f>IFERROR(__xludf.DUMMYFUNCTION("""COMPUTED_VALUE"""),"FPJ: 1ST PMS DONE")</f>
        <v>FPJ: 1ST PMS DONE</v>
      </c>
      <c r="M1267" s="2"/>
      <c r="N1267" s="2" t="str">
        <f>IFERROR(__xludf.DUMMYFUNCTION("""COMPUTED_VALUE"""),"PARTS:
OIL FILTER
ENGINE OIL")</f>
        <v>PARTS:
OIL FILTER
ENGINE OIL</v>
      </c>
      <c r="O1267" s="2">
        <f>IFERROR(__xludf.DUMMYFUNCTION("""COMPUTED_VALUE"""),198.0)</f>
        <v>198</v>
      </c>
      <c r="P1267" s="2"/>
      <c r="Q1267" s="2" t="str">
        <f>IFERROR(__xludf.DUMMYFUNCTION("""COMPUTED_VALUE"""),"FOR PRINT")</f>
        <v>FOR PRINT</v>
      </c>
      <c r="R1267" s="74">
        <f>IFERROR(__xludf.DUMMYFUNCTION("""COMPUTED_VALUE"""),45994.0)</f>
        <v>45994</v>
      </c>
      <c r="S1267" s="2" t="str">
        <f>IFERROR(__xludf.DUMMYFUNCTION("""COMPUTED_VALUE"""),"RBS/FPJ")</f>
        <v>RBS/FPJ</v>
      </c>
      <c r="T1267" s="73" t="str">
        <f>IFERROR(__xludf.DUMMYFUNCTION("""COMPUTED_VALUE""")," N/A ")</f>
        <v>N/A</v>
      </c>
      <c r="U1267" s="73" t="str">
        <f>IFERROR(__xludf.DUMMYFUNCTION("""COMPUTED_VALUE""")," NO CHARGE ")</f>
        <v>NO CHARGE</v>
      </c>
      <c r="V1267" s="2"/>
      <c r="W1267" s="2" t="str">
        <f>IFERROR(__xludf.DUMMYFUNCTION("""COMPUTED_VALUE"""),"N/A")</f>
        <v>N/A</v>
      </c>
      <c r="X1267" s="2" t="str">
        <f>IFERROR(__xludf.DUMMYFUNCTION("""COMPUTED_VALUE"""),"N/A")</f>
        <v>N/A</v>
      </c>
      <c r="Y1267" s="2"/>
      <c r="Z1267" s="2"/>
      <c r="AA1267" s="2"/>
      <c r="AB1267" s="2"/>
      <c r="AC1267" s="2"/>
      <c r="AD1267" s="2"/>
      <c r="AE1267" s="2"/>
      <c r="AF1267" s="2"/>
      <c r="AG1267" s="2"/>
      <c r="AH1267" s="2"/>
      <c r="AI1267" s="2"/>
      <c r="AJ1267" s="2" t="str">
        <f>IFERROR(__xludf.DUMMYFUNCTION("""COMPUTED_VALUE"""),"Magbay")</f>
        <v>Magbay</v>
      </c>
      <c r="AK1267" s="2" t="str">
        <f>IFERROR(__xludf.DUMMYFUNCTION("""COMPUTED_VALUE"""),"San Jose")</f>
        <v>San Jose</v>
      </c>
      <c r="AL1267" s="2" t="str">
        <f>IFERROR(__xludf.DUMMYFUNCTION("""COMPUTED_VALUE"""),"Occidental Mindoro")</f>
        <v>Occidental Mindoro</v>
      </c>
      <c r="AM1267" s="2" t="str">
        <f>IFERROR(__xludf.DUMMYFUNCTION("""COMPUTED_VALUE"""),"4B")</f>
        <v>4B</v>
      </c>
      <c r="AN1267" s="2" t="str">
        <f>IFERROR(__xludf.DUMMYFUNCTION("""COMPUTED_VALUE"""),"RCEF 25-03-05")</f>
        <v>RCEF 25-03-05</v>
      </c>
      <c r="AO1267" s="2">
        <f>IFERROR(__xludf.DUMMYFUNCTION("""COMPUTED_VALUE"""),6.0)</f>
        <v>6</v>
      </c>
      <c r="AP1267" s="2" t="str">
        <f>IFERROR(__xludf.DUMMYFUNCTION("""COMPUTED_VALUE"""),"FREE PMS")</f>
        <v>FREE PMS</v>
      </c>
      <c r="AQ1267" s="2"/>
      <c r="AR1267" s="2"/>
      <c r="AS1267" s="2"/>
      <c r="AT1267" s="2"/>
      <c r="AU1267" s="2"/>
      <c r="AV1267" s="2"/>
      <c r="AW1267" s="2"/>
      <c r="AX1267" s="2"/>
      <c r="AY1267" s="2"/>
      <c r="AZ1267" s="2"/>
      <c r="BA1267" s="2"/>
      <c r="BB1267" s="2"/>
    </row>
    <row r="1268">
      <c r="A1268" s="2">
        <f>IFERROR(__xludf.DUMMYFUNCTION("""COMPUTED_VALUE"""),1264.0)</f>
        <v>1264</v>
      </c>
      <c r="B1268" s="2" t="str">
        <f>IFERROR(__xludf.DUMMYFUNCTION("""COMPUTED_VALUE"""),"COMPLETED")</f>
        <v>COMPLETED</v>
      </c>
      <c r="C1268" s="74">
        <f>IFERROR(__xludf.DUMMYFUNCTION("""COMPUTED_VALUE"""),45992.0)</f>
        <v>45992</v>
      </c>
      <c r="D1268" s="71" t="str">
        <f>IFERROR(__xludf.DUMMYFUNCTION("""COMPUTED_VALUE"""),"RIVECO FARMERS ASSOCIATON")</f>
        <v>RIVECO FARMERS ASSOCIATON</v>
      </c>
      <c r="E1268" s="71" t="str">
        <f>IFERROR(__xludf.DUMMYFUNCTION("""COMPUTED_VALUE"""),", Magsaysay, OCCIDENTAL MINDORO")</f>
        <v>, Magsaysay, OCCIDENTAL MINDORO</v>
      </c>
      <c r="F1268" s="2" t="str">
        <f>IFERROR(__xludf.DUMMYFUNCTION("""COMPUTED_VALUE"""),"FLORENCE LIMOS")</f>
        <v>FLORENCE LIMOS</v>
      </c>
      <c r="G1268" s="2">
        <f>IFERROR(__xludf.DUMMYFUNCTION("""COMPUTED_VALUE"""),9.503088146E9)</f>
        <v>9503088146</v>
      </c>
      <c r="H1268" s="2"/>
      <c r="I1268" s="72" t="str">
        <f>IFERROR(__xludf.DUMMYFUNCTION("""COMPUTED_VALUE"""),"PMS")</f>
        <v>PMS</v>
      </c>
      <c r="J1268" s="72" t="str">
        <f>IFERROR(__xludf.DUMMYFUNCTION("""COMPUTED_VALUE"""),"PMS")</f>
        <v>PMS</v>
      </c>
      <c r="K1268" s="72" t="str">
        <f>IFERROR(__xludf.DUMMYFUNCTION("""COMPUTED_VALUE"""),"RCG: 1ST PMS FREE")</f>
        <v>RCG: 1ST PMS FREE</v>
      </c>
      <c r="L1268" s="72" t="str">
        <f>IFERROR(__xludf.DUMMYFUNCTION("""COMPUTED_VALUE"""),"FPJ: 1ST PMS DONE")</f>
        <v>FPJ: 1ST PMS DONE</v>
      </c>
      <c r="M1268" s="2"/>
      <c r="N1268" s="2" t="str">
        <f>IFERROR(__xludf.DUMMYFUNCTION("""COMPUTED_VALUE"""),"PARTS:
OIL FILTER
ENGINE OIL")</f>
        <v>PARTS:
OIL FILTER
ENGINE OIL</v>
      </c>
      <c r="O1268" s="2">
        <f>IFERROR(__xludf.DUMMYFUNCTION("""COMPUTED_VALUE"""),200.0)</f>
        <v>200</v>
      </c>
      <c r="P1268" s="2"/>
      <c r="Q1268" s="2" t="str">
        <f>IFERROR(__xludf.DUMMYFUNCTION("""COMPUTED_VALUE"""),"FOR PRINT")</f>
        <v>FOR PRINT</v>
      </c>
      <c r="R1268" s="74">
        <f>IFERROR(__xludf.DUMMYFUNCTION("""COMPUTED_VALUE"""),45995.0)</f>
        <v>45995</v>
      </c>
      <c r="S1268" s="2" t="str">
        <f>IFERROR(__xludf.DUMMYFUNCTION("""COMPUTED_VALUE"""),"RBS/FPJ")</f>
        <v>RBS/FPJ</v>
      </c>
      <c r="T1268" s="73" t="str">
        <f>IFERROR(__xludf.DUMMYFUNCTION("""COMPUTED_VALUE""")," N/A ")</f>
        <v>N/A</v>
      </c>
      <c r="U1268" s="73" t="str">
        <f>IFERROR(__xludf.DUMMYFUNCTION("""COMPUTED_VALUE""")," NO CHARGE ")</f>
        <v>NO CHARGE</v>
      </c>
      <c r="V1268" s="2"/>
      <c r="W1268" s="2" t="str">
        <f>IFERROR(__xludf.DUMMYFUNCTION("""COMPUTED_VALUE"""),"N/A")</f>
        <v>N/A</v>
      </c>
      <c r="X1268" s="2" t="str">
        <f>IFERROR(__xludf.DUMMYFUNCTION("""COMPUTED_VALUE"""),"N/A")</f>
        <v>N/A</v>
      </c>
      <c r="Y1268" s="2"/>
      <c r="Z1268" s="2"/>
      <c r="AA1268" s="2"/>
      <c r="AB1268" s="2"/>
      <c r="AC1268" s="2"/>
      <c r="AD1268" s="2"/>
      <c r="AE1268" s="2"/>
      <c r="AF1268" s="2"/>
      <c r="AG1268" s="2"/>
      <c r="AH1268" s="2"/>
      <c r="AI1268" s="2"/>
      <c r="AJ1268" s="2" t="str">
        <f>IFERROR(__xludf.DUMMYFUNCTION("""COMPUTED_VALUE"""),"")</f>
        <v/>
      </c>
      <c r="AK1268" s="2" t="str">
        <f>IFERROR(__xludf.DUMMYFUNCTION("""COMPUTED_VALUE"""),"Magsaysay")</f>
        <v>Magsaysay</v>
      </c>
      <c r="AL1268" s="2" t="str">
        <f>IFERROR(__xludf.DUMMYFUNCTION("""COMPUTED_VALUE"""),"Occidental Mindoro")</f>
        <v>Occidental Mindoro</v>
      </c>
      <c r="AM1268" s="2" t="str">
        <f>IFERROR(__xludf.DUMMYFUNCTION("""COMPUTED_VALUE"""),"4B")</f>
        <v>4B</v>
      </c>
      <c r="AN1268" s="2" t="str">
        <f>IFERROR(__xludf.DUMMYFUNCTION("""COMPUTED_VALUE"""),"RCEF 25-03-05")</f>
        <v>RCEF 25-03-05</v>
      </c>
      <c r="AO1268" s="2">
        <f>IFERROR(__xludf.DUMMYFUNCTION("""COMPUTED_VALUE"""),6.0)</f>
        <v>6</v>
      </c>
      <c r="AP1268" s="2" t="str">
        <f>IFERROR(__xludf.DUMMYFUNCTION("""COMPUTED_VALUE"""),"FREE PMS")</f>
        <v>FREE PMS</v>
      </c>
      <c r="AQ1268" s="2"/>
      <c r="AR1268" s="2"/>
      <c r="AS1268" s="2"/>
      <c r="AT1268" s="2"/>
      <c r="AU1268" s="2"/>
      <c r="AV1268" s="2"/>
      <c r="AW1268" s="2"/>
      <c r="AX1268" s="2"/>
      <c r="AY1268" s="2"/>
      <c r="AZ1268" s="2"/>
      <c r="BA1268" s="2"/>
      <c r="BB1268" s="2"/>
    </row>
    <row r="1269">
      <c r="A1269" s="2">
        <f>IFERROR(__xludf.DUMMYFUNCTION("""COMPUTED_VALUE"""),1265.0)</f>
        <v>1265</v>
      </c>
      <c r="B1269" s="2" t="str">
        <f>IFERROR(__xludf.DUMMYFUNCTION("""COMPUTED_VALUE"""),"COMPLETED")</f>
        <v>COMPLETED</v>
      </c>
      <c r="C1269" s="74">
        <f>IFERROR(__xludf.DUMMYFUNCTION("""COMPUTED_VALUE"""),45992.0)</f>
        <v>45992</v>
      </c>
      <c r="D1269" s="71" t="str">
        <f>IFERROR(__xludf.DUMMYFUNCTION("""COMPUTED_VALUE"""),"Inipitan Calawag Irrigators Association, Inc.")</f>
        <v>Inipitan Calawag Irrigators Association, Inc.</v>
      </c>
      <c r="E1269" s="71" t="str">
        <f>IFERROR(__xludf.DUMMYFUNCTION("""COMPUTED_VALUE"""),", Magsaysay, OCCIDENTAL MINDORO")</f>
        <v>, Magsaysay, OCCIDENTAL MINDORO</v>
      </c>
      <c r="F1269" s="2" t="str">
        <f>IFERROR(__xludf.DUMMYFUNCTION("""COMPUTED_VALUE"""),"FLORENCE LIMOS")</f>
        <v>FLORENCE LIMOS</v>
      </c>
      <c r="G1269" s="2">
        <f>IFERROR(__xludf.DUMMYFUNCTION("""COMPUTED_VALUE"""),9.503088146E9)</f>
        <v>9503088146</v>
      </c>
      <c r="H1269" s="2"/>
      <c r="I1269" s="72" t="str">
        <f>IFERROR(__xludf.DUMMYFUNCTION("""COMPUTED_VALUE"""),"PMS")</f>
        <v>PMS</v>
      </c>
      <c r="J1269" s="72" t="str">
        <f>IFERROR(__xludf.DUMMYFUNCTION("""COMPUTED_VALUE"""),"PMS")</f>
        <v>PMS</v>
      </c>
      <c r="K1269" s="72" t="str">
        <f>IFERROR(__xludf.DUMMYFUNCTION("""COMPUTED_VALUE"""),"RCG: 1ST PMS FREE")</f>
        <v>RCG: 1ST PMS FREE</v>
      </c>
      <c r="L1269" s="72" t="str">
        <f>IFERROR(__xludf.DUMMYFUNCTION("""COMPUTED_VALUE"""),"FPJ: 1ST PMS DONE")</f>
        <v>FPJ: 1ST PMS DONE</v>
      </c>
      <c r="M1269" s="2"/>
      <c r="N1269" s="2" t="str">
        <f>IFERROR(__xludf.DUMMYFUNCTION("""COMPUTED_VALUE"""),"PARTS:
OIL FILTER
ENGINE OIL ")</f>
        <v>PARTS:
OIL FILTER
ENGINE OIL </v>
      </c>
      <c r="O1269" s="2">
        <f>IFERROR(__xludf.DUMMYFUNCTION("""COMPUTED_VALUE"""),552.0)</f>
        <v>552</v>
      </c>
      <c r="P1269" s="2"/>
      <c r="Q1269" s="2" t="str">
        <f>IFERROR(__xludf.DUMMYFUNCTION("""COMPUTED_VALUE"""),"FOR PRINT")</f>
        <v>FOR PRINT</v>
      </c>
      <c r="R1269" s="74">
        <f>IFERROR(__xludf.DUMMYFUNCTION("""COMPUTED_VALUE"""),45995.0)</f>
        <v>45995</v>
      </c>
      <c r="S1269" s="2" t="str">
        <f>IFERROR(__xludf.DUMMYFUNCTION("""COMPUTED_VALUE"""),"JHP")</f>
        <v>JHP</v>
      </c>
      <c r="T1269" s="73" t="str">
        <f>IFERROR(__xludf.DUMMYFUNCTION("""COMPUTED_VALUE""")," N/A ")</f>
        <v>N/A</v>
      </c>
      <c r="U1269" s="73" t="str">
        <f>IFERROR(__xludf.DUMMYFUNCTION("""COMPUTED_VALUE""")," NO CHARGE ")</f>
        <v>NO CHARGE</v>
      </c>
      <c r="V1269" s="2"/>
      <c r="W1269" s="2" t="str">
        <f>IFERROR(__xludf.DUMMYFUNCTION("""COMPUTED_VALUE"""),"N/A")</f>
        <v>N/A</v>
      </c>
      <c r="X1269" s="2" t="str">
        <f>IFERROR(__xludf.DUMMYFUNCTION("""COMPUTED_VALUE"""),"N/A")</f>
        <v>N/A</v>
      </c>
      <c r="Y1269" s="2"/>
      <c r="Z1269" s="2"/>
      <c r="AA1269" s="2"/>
      <c r="AB1269" s="2"/>
      <c r="AC1269" s="2"/>
      <c r="AD1269" s="2"/>
      <c r="AE1269" s="2"/>
      <c r="AF1269" s="2"/>
      <c r="AG1269" s="2"/>
      <c r="AH1269" s="2"/>
      <c r="AI1269" s="2"/>
      <c r="AJ1269" s="2" t="str">
        <f>IFERROR(__xludf.DUMMYFUNCTION("""COMPUTED_VALUE"""),"")</f>
        <v/>
      </c>
      <c r="AK1269" s="2" t="str">
        <f>IFERROR(__xludf.DUMMYFUNCTION("""COMPUTED_VALUE"""),"Magsaysay")</f>
        <v>Magsaysay</v>
      </c>
      <c r="AL1269" s="2" t="str">
        <f>IFERROR(__xludf.DUMMYFUNCTION("""COMPUTED_VALUE"""),"Occidental Mindoro")</f>
        <v>Occidental Mindoro</v>
      </c>
      <c r="AM1269" s="2" t="str">
        <f>IFERROR(__xludf.DUMMYFUNCTION("""COMPUTED_VALUE"""),"4B")</f>
        <v>4B</v>
      </c>
      <c r="AN1269" s="2" t="str">
        <f>IFERROR(__xludf.DUMMYFUNCTION("""COMPUTED_VALUE"""),"RCEF 25-03-05")</f>
        <v>RCEF 25-03-05</v>
      </c>
      <c r="AO1269" s="2">
        <f>IFERROR(__xludf.DUMMYFUNCTION("""COMPUTED_VALUE"""),6.0)</f>
        <v>6</v>
      </c>
      <c r="AP1269" s="2" t="str">
        <f>IFERROR(__xludf.DUMMYFUNCTION("""COMPUTED_VALUE"""),"FREE PMS")</f>
        <v>FREE PMS</v>
      </c>
      <c r="AQ1269" s="2"/>
      <c r="AR1269" s="2"/>
      <c r="AS1269" s="2"/>
      <c r="AT1269" s="2"/>
      <c r="AU1269" s="2"/>
      <c r="AV1269" s="2"/>
      <c r="AW1269" s="2"/>
      <c r="AX1269" s="2"/>
      <c r="AY1269" s="2"/>
      <c r="AZ1269" s="2"/>
      <c r="BA1269" s="2"/>
      <c r="BB1269" s="2"/>
    </row>
    <row r="1270">
      <c r="A1270" s="2">
        <f>IFERROR(__xludf.DUMMYFUNCTION("""COMPUTED_VALUE"""),1266.0)</f>
        <v>1266</v>
      </c>
      <c r="B1270" s="2" t="str">
        <f>IFERROR(__xludf.DUMMYFUNCTION("""COMPUTED_VALUE"""),"COMPLETED")</f>
        <v>COMPLETED</v>
      </c>
      <c r="C1270" s="74">
        <f>IFERROR(__xludf.DUMMYFUNCTION("""COMPUTED_VALUE"""),45992.0)</f>
        <v>45992</v>
      </c>
      <c r="D1270" s="71" t="str">
        <f>IFERROR(__xludf.DUMMYFUNCTION("""COMPUTED_VALUE"""),"Mabuting Pastol ng Kanlurang Mindoro Multi-Purpose Cooperative")</f>
        <v>Mabuting Pastol ng Kanlurang Mindoro Multi-Purpose Cooperative</v>
      </c>
      <c r="E1270" s="71" t="str">
        <f>IFERROR(__xludf.DUMMYFUNCTION("""COMPUTED_VALUE"""),", Magsaysay, OCCIDENTAL MINDORO")</f>
        <v>, Magsaysay, OCCIDENTAL MINDORO</v>
      </c>
      <c r="F1270" s="2" t="str">
        <f>IFERROR(__xludf.DUMMYFUNCTION("""COMPUTED_VALUE"""),"FLORENCE LIMOS")</f>
        <v>FLORENCE LIMOS</v>
      </c>
      <c r="G1270" s="2">
        <f>IFERROR(__xludf.DUMMYFUNCTION("""COMPUTED_VALUE"""),9.503088146E9)</f>
        <v>9503088146</v>
      </c>
      <c r="H1270" s="2"/>
      <c r="I1270" s="72" t="str">
        <f>IFERROR(__xludf.DUMMYFUNCTION("""COMPUTED_VALUE"""),"PMS")</f>
        <v>PMS</v>
      </c>
      <c r="J1270" s="72" t="str">
        <f>IFERROR(__xludf.DUMMYFUNCTION("""COMPUTED_VALUE"""),"PMS")</f>
        <v>PMS</v>
      </c>
      <c r="K1270" s="72" t="str">
        <f>IFERROR(__xludf.DUMMYFUNCTION("""COMPUTED_VALUE"""),"RCG: 1ST PMS FREE")</f>
        <v>RCG: 1ST PMS FREE</v>
      </c>
      <c r="L1270" s="72" t="str">
        <f>IFERROR(__xludf.DUMMYFUNCTION("""COMPUTED_VALUE"""),"FPJ: 1ST PMS DONE")</f>
        <v>FPJ: 1ST PMS DONE</v>
      </c>
      <c r="M1270" s="2"/>
      <c r="N1270" s="2" t="str">
        <f>IFERROR(__xludf.DUMMYFUNCTION("""COMPUTED_VALUE"""),"PARTS:
OIL FILTER
ENGINE OIL ")</f>
        <v>PARTS:
OIL FILTER
ENGINE OIL </v>
      </c>
      <c r="O1270" s="2">
        <f>IFERROR(__xludf.DUMMYFUNCTION("""COMPUTED_VALUE"""),553.0)</f>
        <v>553</v>
      </c>
      <c r="P1270" s="2"/>
      <c r="Q1270" s="2" t="str">
        <f>IFERROR(__xludf.DUMMYFUNCTION("""COMPUTED_VALUE"""),"FOR PRINT")</f>
        <v>FOR PRINT</v>
      </c>
      <c r="R1270" s="74">
        <f>IFERROR(__xludf.DUMMYFUNCTION("""COMPUTED_VALUE"""),45995.0)</f>
        <v>45995</v>
      </c>
      <c r="S1270" s="2" t="str">
        <f>IFERROR(__xludf.DUMMYFUNCTION("""COMPUTED_VALUE"""),"JHP")</f>
        <v>JHP</v>
      </c>
      <c r="T1270" s="73" t="str">
        <f>IFERROR(__xludf.DUMMYFUNCTION("""COMPUTED_VALUE""")," N/A ")</f>
        <v>N/A</v>
      </c>
      <c r="U1270" s="73" t="str">
        <f>IFERROR(__xludf.DUMMYFUNCTION("""COMPUTED_VALUE""")," NO CHARGE ")</f>
        <v>NO CHARGE</v>
      </c>
      <c r="V1270" s="2"/>
      <c r="W1270" s="2" t="str">
        <f>IFERROR(__xludf.DUMMYFUNCTION("""COMPUTED_VALUE"""),"N/A")</f>
        <v>N/A</v>
      </c>
      <c r="X1270" s="2" t="str">
        <f>IFERROR(__xludf.DUMMYFUNCTION("""COMPUTED_VALUE"""),"N/A")</f>
        <v>N/A</v>
      </c>
      <c r="Y1270" s="2"/>
      <c r="Z1270" s="2"/>
      <c r="AA1270" s="2"/>
      <c r="AB1270" s="2"/>
      <c r="AC1270" s="2"/>
      <c r="AD1270" s="2"/>
      <c r="AE1270" s="2"/>
      <c r="AF1270" s="2"/>
      <c r="AG1270" s="2"/>
      <c r="AH1270" s="2"/>
      <c r="AI1270" s="2"/>
      <c r="AJ1270" s="2" t="str">
        <f>IFERROR(__xludf.DUMMYFUNCTION("""COMPUTED_VALUE"""),"")</f>
        <v/>
      </c>
      <c r="AK1270" s="2" t="str">
        <f>IFERROR(__xludf.DUMMYFUNCTION("""COMPUTED_VALUE"""),"Magsaysay")</f>
        <v>Magsaysay</v>
      </c>
      <c r="AL1270" s="2" t="str">
        <f>IFERROR(__xludf.DUMMYFUNCTION("""COMPUTED_VALUE"""),"Occidental Mindoro")</f>
        <v>Occidental Mindoro</v>
      </c>
      <c r="AM1270" s="2" t="str">
        <f>IFERROR(__xludf.DUMMYFUNCTION("""COMPUTED_VALUE"""),"4B")</f>
        <v>4B</v>
      </c>
      <c r="AN1270" s="2" t="str">
        <f>IFERROR(__xludf.DUMMYFUNCTION("""COMPUTED_VALUE"""),"RCEF 25-03-05")</f>
        <v>RCEF 25-03-05</v>
      </c>
      <c r="AO1270" s="2">
        <f>IFERROR(__xludf.DUMMYFUNCTION("""COMPUTED_VALUE"""),6.0)</f>
        <v>6</v>
      </c>
      <c r="AP1270" s="2" t="str">
        <f>IFERROR(__xludf.DUMMYFUNCTION("""COMPUTED_VALUE"""),"FREE PMS")</f>
        <v>FREE PMS</v>
      </c>
      <c r="AQ1270" s="2"/>
      <c r="AR1270" s="2"/>
      <c r="AS1270" s="2"/>
      <c r="AT1270" s="2"/>
      <c r="AU1270" s="2"/>
      <c r="AV1270" s="2"/>
      <c r="AW1270" s="2"/>
      <c r="AX1270" s="2"/>
      <c r="AY1270" s="2"/>
      <c r="AZ1270" s="2"/>
      <c r="BA1270" s="2"/>
      <c r="BB1270" s="2"/>
    </row>
    <row r="1271">
      <c r="A1271" s="2">
        <f>IFERROR(__xludf.DUMMYFUNCTION("""COMPUTED_VALUE"""),1267.0)</f>
        <v>1267</v>
      </c>
      <c r="B1271" s="2" t="str">
        <f>IFERROR(__xludf.DUMMYFUNCTION("""COMPUTED_VALUE"""),"COMPLETED")</f>
        <v>COMPLETED</v>
      </c>
      <c r="C1271" s="74">
        <f>IFERROR(__xludf.DUMMYFUNCTION("""COMPUTED_VALUE"""),45992.0)</f>
        <v>45992</v>
      </c>
      <c r="D1271" s="71" t="str">
        <f>IFERROR(__xludf.DUMMYFUNCTION("""COMPUTED_VALUE"""),"PURNAGA FARMERS ASSOCIATION, INC.")</f>
        <v>PURNAGA FARMERS ASSOCIATION, INC.</v>
      </c>
      <c r="E1271" s="71" t="str">
        <f>IFERROR(__xludf.DUMMYFUNCTION("""COMPUTED_VALUE"""),"Purnaga, Magsaysay, OCCIDENTAL MINDORO")</f>
        <v>Purnaga, Magsaysay, OCCIDENTAL MINDORO</v>
      </c>
      <c r="F1271" s="2" t="str">
        <f>IFERROR(__xludf.DUMMYFUNCTION("""COMPUTED_VALUE"""),"FLORENCE LIMOS")</f>
        <v>FLORENCE LIMOS</v>
      </c>
      <c r="G1271" s="2">
        <f>IFERROR(__xludf.DUMMYFUNCTION("""COMPUTED_VALUE"""),9.503088146E9)</f>
        <v>9503088146</v>
      </c>
      <c r="H1271" s="2">
        <f>IFERROR(__xludf.DUMMYFUNCTION("""COMPUTED_VALUE"""),116.0)</f>
        <v>116</v>
      </c>
      <c r="I1271" s="72" t="str">
        <f>IFERROR(__xludf.DUMMYFUNCTION("""COMPUTED_VALUE"""),"PMS")</f>
        <v>PMS</v>
      </c>
      <c r="J1271" s="72" t="str">
        <f>IFERROR(__xludf.DUMMYFUNCTION("""COMPUTED_VALUE"""),"PMS")</f>
        <v>PMS</v>
      </c>
      <c r="K1271" s="72" t="str">
        <f>IFERROR(__xludf.DUMMYFUNCTION("""COMPUTED_VALUE"""),"RCG: 1ST PMS FREE")</f>
        <v>RCG: 1ST PMS FREE</v>
      </c>
      <c r="L1271" s="72" t="str">
        <f>IFERROR(__xludf.DUMMYFUNCTION("""COMPUTED_VALUE"""),"FPJ: 1ST PMS DONE")</f>
        <v>FPJ: 1ST PMS DONE</v>
      </c>
      <c r="M1271" s="2"/>
      <c r="N1271" s="2" t="str">
        <f>IFERROR(__xludf.DUMMYFUNCTION("""COMPUTED_VALUE"""),"PARTS:
OIL FILTER
ENGINE OIL")</f>
        <v>PARTS:
OIL FILTER
ENGINE OIL</v>
      </c>
      <c r="O1271" s="2">
        <f>IFERROR(__xludf.DUMMYFUNCTION("""COMPUTED_VALUE"""),554.0)</f>
        <v>554</v>
      </c>
      <c r="P1271" s="2"/>
      <c r="Q1271" s="2" t="str">
        <f>IFERROR(__xludf.DUMMYFUNCTION("""COMPUTED_VALUE"""),"FOR PRINT")</f>
        <v>FOR PRINT</v>
      </c>
      <c r="R1271" s="74">
        <f>IFERROR(__xludf.DUMMYFUNCTION("""COMPUTED_VALUE"""),45995.0)</f>
        <v>45995</v>
      </c>
      <c r="S1271" s="2" t="str">
        <f>IFERROR(__xludf.DUMMYFUNCTION("""COMPUTED_VALUE"""),"RBS/FPJ")</f>
        <v>RBS/FPJ</v>
      </c>
      <c r="T1271" s="73" t="str">
        <f>IFERROR(__xludf.DUMMYFUNCTION("""COMPUTED_VALUE""")," N/A ")</f>
        <v>N/A</v>
      </c>
      <c r="U1271" s="73" t="str">
        <f>IFERROR(__xludf.DUMMYFUNCTION("""COMPUTED_VALUE""")," NO CHARGE ")</f>
        <v>NO CHARGE</v>
      </c>
      <c r="V1271" s="2"/>
      <c r="W1271" s="2" t="str">
        <f>IFERROR(__xludf.DUMMYFUNCTION("""COMPUTED_VALUE"""),"N/A")</f>
        <v>N/A</v>
      </c>
      <c r="X1271" s="2" t="str">
        <f>IFERROR(__xludf.DUMMYFUNCTION("""COMPUTED_VALUE"""),"N/A")</f>
        <v>N/A</v>
      </c>
      <c r="Y1271" s="2"/>
      <c r="Z1271" s="2"/>
      <c r="AA1271" s="2"/>
      <c r="AB1271" s="2"/>
      <c r="AC1271" s="2"/>
      <c r="AD1271" s="2"/>
      <c r="AE1271" s="2"/>
      <c r="AF1271" s="2"/>
      <c r="AG1271" s="2"/>
      <c r="AH1271" s="2"/>
      <c r="AI1271" s="2"/>
      <c r="AJ1271" s="2" t="str">
        <f>IFERROR(__xludf.DUMMYFUNCTION("""COMPUTED_VALUE"""),"Purnaga")</f>
        <v>Purnaga</v>
      </c>
      <c r="AK1271" s="2" t="str">
        <f>IFERROR(__xludf.DUMMYFUNCTION("""COMPUTED_VALUE"""),"Magsaysay")</f>
        <v>Magsaysay</v>
      </c>
      <c r="AL1271" s="2" t="str">
        <f>IFERROR(__xludf.DUMMYFUNCTION("""COMPUTED_VALUE"""),"Occidental Mindoro")</f>
        <v>Occidental Mindoro</v>
      </c>
      <c r="AM1271" s="2" t="str">
        <f>IFERROR(__xludf.DUMMYFUNCTION("""COMPUTED_VALUE"""),"4B")</f>
        <v>4B</v>
      </c>
      <c r="AN1271" s="2" t="str">
        <f>IFERROR(__xludf.DUMMYFUNCTION("""COMPUTED_VALUE"""),"RCEF 25-03-05")</f>
        <v>RCEF 25-03-05</v>
      </c>
      <c r="AO1271" s="2">
        <f>IFERROR(__xludf.DUMMYFUNCTION("""COMPUTED_VALUE"""),6.0)</f>
        <v>6</v>
      </c>
      <c r="AP1271" s="2" t="str">
        <f>IFERROR(__xludf.DUMMYFUNCTION("""COMPUTED_VALUE"""),"FREE PMS")</f>
        <v>FREE PMS</v>
      </c>
      <c r="AQ1271" s="2"/>
      <c r="AR1271" s="2"/>
      <c r="AS1271" s="2"/>
      <c r="AT1271" s="2"/>
      <c r="AU1271" s="2"/>
      <c r="AV1271" s="2"/>
      <c r="AW1271" s="2"/>
      <c r="AX1271" s="2"/>
      <c r="AY1271" s="2"/>
      <c r="AZ1271" s="2"/>
      <c r="BA1271" s="2"/>
      <c r="BB1271" s="2"/>
    </row>
    <row r="1272">
      <c r="A1272" s="2">
        <f>IFERROR(__xludf.DUMMYFUNCTION("""COMPUTED_VALUE"""),1268.0)</f>
        <v>1268</v>
      </c>
      <c r="B1272" s="2" t="str">
        <f>IFERROR(__xludf.DUMMYFUNCTION("""COMPUTED_VALUE"""),"COMPLETED")</f>
        <v>COMPLETED</v>
      </c>
      <c r="C1272" s="74">
        <f>IFERROR(__xludf.DUMMYFUNCTION("""COMPUTED_VALUE"""),45992.0)</f>
        <v>45992</v>
      </c>
      <c r="D1272" s="71" t="str">
        <f>IFERROR(__xludf.DUMMYFUNCTION("""COMPUTED_VALUE"""),"Samahan ng Pagpapatubig ng Paclolo, Inc.")</f>
        <v>Samahan ng Pagpapatubig ng Paclolo, Inc.</v>
      </c>
      <c r="E1272" s="71" t="str">
        <f>IFERROR(__xludf.DUMMYFUNCTION("""COMPUTED_VALUE"""),"Paclolo, Magsaysay, OCCIDENTAL MINDORO")</f>
        <v>Paclolo, Magsaysay, OCCIDENTAL MINDORO</v>
      </c>
      <c r="F1272" s="2" t="str">
        <f>IFERROR(__xludf.DUMMYFUNCTION("""COMPUTED_VALUE"""),"FLORENCE LIMOS")</f>
        <v>FLORENCE LIMOS</v>
      </c>
      <c r="G1272" s="2">
        <f>IFERROR(__xludf.DUMMYFUNCTION("""COMPUTED_VALUE"""),9.503088146E9)</f>
        <v>9503088146</v>
      </c>
      <c r="H1272" s="2">
        <f>IFERROR(__xludf.DUMMYFUNCTION("""COMPUTED_VALUE"""),291.0)</f>
        <v>291</v>
      </c>
      <c r="I1272" s="72" t="str">
        <f>IFERROR(__xludf.DUMMYFUNCTION("""COMPUTED_VALUE"""),"PMS")</f>
        <v>PMS</v>
      </c>
      <c r="J1272" s="72" t="str">
        <f>IFERROR(__xludf.DUMMYFUNCTION("""COMPUTED_VALUE"""),"PMS")</f>
        <v>PMS</v>
      </c>
      <c r="K1272" s="72" t="str">
        <f>IFERROR(__xludf.DUMMYFUNCTION("""COMPUTED_VALUE"""),"RCG: 1ST PMS FREE")</f>
        <v>RCG: 1ST PMS FREE</v>
      </c>
      <c r="L1272" s="72" t="str">
        <f>IFERROR(__xludf.DUMMYFUNCTION("""COMPUTED_VALUE"""),"FPJ: 1ST PMS DONE")</f>
        <v>FPJ: 1ST PMS DONE</v>
      </c>
      <c r="M1272" s="2"/>
      <c r="N1272" s="2" t="str">
        <f>IFERROR(__xludf.DUMMYFUNCTION("""COMPUTED_VALUE"""),"PARTS:
OIL FILTER
ENGINE OIL")</f>
        <v>PARTS:
OIL FILTER
ENGINE OIL</v>
      </c>
      <c r="O1272" s="2">
        <f>IFERROR(__xludf.DUMMYFUNCTION("""COMPUTED_VALUE"""),555.0)</f>
        <v>555</v>
      </c>
      <c r="P1272" s="2"/>
      <c r="Q1272" s="2" t="str">
        <f>IFERROR(__xludf.DUMMYFUNCTION("""COMPUTED_VALUE"""),"FOR PRINT")</f>
        <v>FOR PRINT</v>
      </c>
      <c r="R1272" s="74">
        <f>IFERROR(__xludf.DUMMYFUNCTION("""COMPUTED_VALUE"""),45995.0)</f>
        <v>45995</v>
      </c>
      <c r="S1272" s="2" t="str">
        <f>IFERROR(__xludf.DUMMYFUNCTION("""COMPUTED_VALUE"""),"RBS/FPJ")</f>
        <v>RBS/FPJ</v>
      </c>
      <c r="T1272" s="73" t="str">
        <f>IFERROR(__xludf.DUMMYFUNCTION("""COMPUTED_VALUE""")," N/A ")</f>
        <v>N/A</v>
      </c>
      <c r="U1272" s="73" t="str">
        <f>IFERROR(__xludf.DUMMYFUNCTION("""COMPUTED_VALUE""")," NO CHARGE ")</f>
        <v>NO CHARGE</v>
      </c>
      <c r="V1272" s="2"/>
      <c r="W1272" s="2" t="str">
        <f>IFERROR(__xludf.DUMMYFUNCTION("""COMPUTED_VALUE"""),"N/A")</f>
        <v>N/A</v>
      </c>
      <c r="X1272" s="2" t="str">
        <f>IFERROR(__xludf.DUMMYFUNCTION("""COMPUTED_VALUE"""),"N/A")</f>
        <v>N/A</v>
      </c>
      <c r="Y1272" s="2"/>
      <c r="Z1272" s="2"/>
      <c r="AA1272" s="2"/>
      <c r="AB1272" s="2"/>
      <c r="AC1272" s="2"/>
      <c r="AD1272" s="2"/>
      <c r="AE1272" s="2"/>
      <c r="AF1272" s="2"/>
      <c r="AG1272" s="2"/>
      <c r="AH1272" s="2"/>
      <c r="AI1272" s="2"/>
      <c r="AJ1272" s="2" t="str">
        <f>IFERROR(__xludf.DUMMYFUNCTION("""COMPUTED_VALUE"""),"Paclolo")</f>
        <v>Paclolo</v>
      </c>
      <c r="AK1272" s="2" t="str">
        <f>IFERROR(__xludf.DUMMYFUNCTION("""COMPUTED_VALUE"""),"Magsaysay")</f>
        <v>Magsaysay</v>
      </c>
      <c r="AL1272" s="2" t="str">
        <f>IFERROR(__xludf.DUMMYFUNCTION("""COMPUTED_VALUE"""),"Occidental Mindoro")</f>
        <v>Occidental Mindoro</v>
      </c>
      <c r="AM1272" s="2" t="str">
        <f>IFERROR(__xludf.DUMMYFUNCTION("""COMPUTED_VALUE"""),"4B")</f>
        <v>4B</v>
      </c>
      <c r="AN1272" s="2" t="str">
        <f>IFERROR(__xludf.DUMMYFUNCTION("""COMPUTED_VALUE"""),"RCEF 25-03-05")</f>
        <v>RCEF 25-03-05</v>
      </c>
      <c r="AO1272" s="2">
        <f>IFERROR(__xludf.DUMMYFUNCTION("""COMPUTED_VALUE"""),6.0)</f>
        <v>6</v>
      </c>
      <c r="AP1272" s="2" t="str">
        <f>IFERROR(__xludf.DUMMYFUNCTION("""COMPUTED_VALUE"""),"FREE PMS")</f>
        <v>FREE PMS</v>
      </c>
      <c r="AQ1272" s="2"/>
      <c r="AR1272" s="2"/>
      <c r="AS1272" s="2"/>
      <c r="AT1272" s="2"/>
      <c r="AU1272" s="2"/>
      <c r="AV1272" s="2"/>
      <c r="AW1272" s="2"/>
      <c r="AX1272" s="2"/>
      <c r="AY1272" s="2"/>
      <c r="AZ1272" s="2"/>
      <c r="BA1272" s="2"/>
      <c r="BB1272" s="2"/>
    </row>
    <row r="1273">
      <c r="A1273" s="2">
        <f>IFERROR(__xludf.DUMMYFUNCTION("""COMPUTED_VALUE"""),1269.0)</f>
        <v>1269</v>
      </c>
      <c r="B1273" s="2" t="str">
        <f>IFERROR(__xludf.DUMMYFUNCTION("""COMPUTED_VALUE"""),"COMPLETED")</f>
        <v>COMPLETED</v>
      </c>
      <c r="C1273" s="74">
        <f>IFERROR(__xludf.DUMMYFUNCTION("""COMPUTED_VALUE"""),45992.0)</f>
        <v>45992</v>
      </c>
      <c r="D1273" s="71" t="str">
        <f>IFERROR(__xludf.DUMMYFUNCTION("""COMPUTED_VALUE"""),"MATABIAGA MALAWAAN IRRIGATORS ASSOCIATION, INC.")</f>
        <v>MATABIAGA MALAWAAN IRRIGATORS ASSOCIATION, INC.</v>
      </c>
      <c r="E1273" s="71" t="str">
        <f>IFERROR(__xludf.DUMMYFUNCTION("""COMPUTED_VALUE"""),"MALAWAAN, RIZAL, OCCIDENTAL MINDORO")</f>
        <v>MALAWAAN, RIZAL, OCCIDENTAL MINDORO</v>
      </c>
      <c r="F1273" s="2" t="str">
        <f>IFERROR(__xludf.DUMMYFUNCTION("""COMPUTED_VALUE"""),"Enriqueta D. Tayco")</f>
        <v>Enriqueta D. Tayco</v>
      </c>
      <c r="G1273" s="2">
        <f>IFERROR(__xludf.DUMMYFUNCTION("""COMPUTED_VALUE"""),9.093540587E9)</f>
        <v>9093540587</v>
      </c>
      <c r="H1273" s="2"/>
      <c r="I1273" s="72" t="str">
        <f>IFERROR(__xludf.DUMMYFUNCTION("""COMPUTED_VALUE"""),"SPARE PARTS ACQUISITION")</f>
        <v>SPARE PARTS ACQUISITION</v>
      </c>
      <c r="J1273" s="72"/>
      <c r="K1273" s="72" t="str">
        <f>IFERROR(__xludf.DUMMYFUNCTION("""COMPUTED_VALUE"""),"MYK: 
6- REAR AXLE OIL SEAL")</f>
        <v>MYK: 
6- REAR AXLE OIL SEAL</v>
      </c>
      <c r="L1273" s="72" t="str">
        <f>IFERROR(__xludf.DUMMYFUNCTION("""COMPUTED_VALUE"""),"CANCELL ORDER")</f>
        <v>CANCELL ORDER</v>
      </c>
      <c r="M1273" s="2"/>
      <c r="N1273" s="2"/>
      <c r="O1273" s="2" t="str">
        <f>IFERROR(__xludf.DUMMYFUNCTION("""COMPUTED_VALUE"""),"N/A")</f>
        <v>N/A</v>
      </c>
      <c r="P1273" s="2"/>
      <c r="Q1273" s="2"/>
      <c r="R1273" s="74">
        <f>IFERROR(__xludf.DUMMYFUNCTION("""COMPUTED_VALUE"""),45992.0)</f>
        <v>45992</v>
      </c>
      <c r="S1273" s="2" t="str">
        <f>IFERROR(__xludf.DUMMYFUNCTION("""COMPUTED_VALUE"""),"MYKEE")</f>
        <v>MYKEE</v>
      </c>
      <c r="T1273" s="73" t="str">
        <f>IFERROR(__xludf.DUMMYFUNCTION("""COMPUTED_VALUE""")," N/A ")</f>
        <v>N/A</v>
      </c>
      <c r="U1273" s="73" t="str">
        <f>IFERROR(__xludf.DUMMYFUNCTION("""COMPUTED_VALUE""")," NO CHARGE ")</f>
        <v>NO CHARGE</v>
      </c>
      <c r="V1273" s="2"/>
      <c r="W1273" s="2" t="str">
        <f>IFERROR(__xludf.DUMMYFUNCTION("""COMPUTED_VALUE"""),"N/A")</f>
        <v>N/A</v>
      </c>
      <c r="X1273" s="2" t="str">
        <f>IFERROR(__xludf.DUMMYFUNCTION("""COMPUTED_VALUE"""),"N/A")</f>
        <v>N/A</v>
      </c>
      <c r="Y1273" s="2"/>
      <c r="Z1273" s="2"/>
      <c r="AA1273" s="2"/>
      <c r="AB1273" s="2"/>
      <c r="AC1273" s="2"/>
      <c r="AD1273" s="2"/>
      <c r="AE1273" s="2"/>
      <c r="AF1273" s="2"/>
      <c r="AG1273" s="2"/>
      <c r="AH1273" s="2"/>
      <c r="AI1273" s="2"/>
      <c r="AJ1273" s="2" t="str">
        <f>IFERROR(__xludf.DUMMYFUNCTION("""COMPUTED_VALUE"""),"Malawaan")</f>
        <v>Malawaan</v>
      </c>
      <c r="AK1273" s="2" t="str">
        <f>IFERROR(__xludf.DUMMYFUNCTION("""COMPUTED_VALUE"""),"Rizal")</f>
        <v>Rizal</v>
      </c>
      <c r="AL1273" s="2" t="str">
        <f>IFERROR(__xludf.DUMMYFUNCTION("""COMPUTED_VALUE"""),"Occidental Mindoro")</f>
        <v>Occidental Mindoro</v>
      </c>
      <c r="AM1273" s="2" t="str">
        <f>IFERROR(__xludf.DUMMYFUNCTION("""COMPUTED_VALUE"""),"4B")</f>
        <v>4B</v>
      </c>
      <c r="AN1273" s="2" t="str">
        <f>IFERROR(__xludf.DUMMYFUNCTION("""COMPUTED_VALUE"""),"RCEF 23-08-20 Rebidding")</f>
        <v>RCEF 23-08-20 Rebidding</v>
      </c>
      <c r="AO1273" s="2">
        <f>IFERROR(__xludf.DUMMYFUNCTION("""COMPUTED_VALUE"""),1.0)</f>
        <v>1</v>
      </c>
      <c r="AP1273" s="2"/>
      <c r="AQ1273" s="2"/>
      <c r="AR1273" s="2"/>
      <c r="AS1273" s="2"/>
      <c r="AT1273" s="2"/>
      <c r="AU1273" s="2"/>
      <c r="AV1273" s="2"/>
      <c r="AW1273" s="2"/>
      <c r="AX1273" s="2"/>
      <c r="AY1273" s="2"/>
      <c r="AZ1273" s="2"/>
      <c r="BA1273" s="2"/>
      <c r="BB1273" s="2"/>
    </row>
    <row r="1274">
      <c r="A1274" s="2">
        <f>IFERROR(__xludf.DUMMYFUNCTION("""COMPUTED_VALUE"""),1270.0)</f>
        <v>1270</v>
      </c>
      <c r="B1274" s="2" t="str">
        <f>IFERROR(__xludf.DUMMYFUNCTION("""COMPUTED_VALUE"""),"COMPLETED")</f>
        <v>COMPLETED</v>
      </c>
      <c r="C1274" s="74">
        <f>IFERROR(__xludf.DUMMYFUNCTION("""COMPUTED_VALUE"""),45992.0)</f>
        <v>45992</v>
      </c>
      <c r="D1274" s="71" t="str">
        <f>IFERROR(__xludf.DUMMYFUNCTION("""COMPUTED_VALUE"""),"Guran-Sapa Multipurpose Cooperative")</f>
        <v>Guran-Sapa Multipurpose Cooperative</v>
      </c>
      <c r="E1274" s="71" t="str">
        <f>IFERROR(__xludf.DUMMYFUNCTION("""COMPUTED_VALUE"""),"San Pablo, Santa Ana, PAMPANGA")</f>
        <v>San Pablo, Santa Ana, PAMPANGA</v>
      </c>
      <c r="F1274" s="2" t="str">
        <f>IFERROR(__xludf.DUMMYFUNCTION("""COMPUTED_VALUE"""),"RICHARD POLICARPIO")</f>
        <v>RICHARD POLICARPIO</v>
      </c>
      <c r="G1274" s="2">
        <f>IFERROR(__xludf.DUMMYFUNCTION("""COMPUTED_VALUE"""),9.36311415E9)</f>
        <v>9363114150</v>
      </c>
      <c r="H1274" s="2">
        <f>IFERROR(__xludf.DUMMYFUNCTION("""COMPUTED_VALUE"""),50.0)</f>
        <v>50</v>
      </c>
      <c r="I1274" s="72" t="str">
        <f>IFERROR(__xludf.DUMMYFUNCTION("""COMPUTED_VALUE"""),"PMS")</f>
        <v>PMS</v>
      </c>
      <c r="J1274" s="72" t="str">
        <f>IFERROR(__xludf.DUMMYFUNCTION("""COMPUTED_VALUE"""),"PMS")</f>
        <v>PMS</v>
      </c>
      <c r="K1274" s="72" t="str">
        <f>IFERROR(__xludf.DUMMYFUNCTION("""COMPUTED_VALUE"""),"MYK: 1ST PMS FREE")</f>
        <v>MYK: 1ST PMS FREE</v>
      </c>
      <c r="L1274" s="72" t="str">
        <f>IFERROR(__xludf.DUMMYFUNCTION("""COMPUTED_VALUE"""),"JHP: 1ST PMS DONE")</f>
        <v>JHP: 1ST PMS DONE</v>
      </c>
      <c r="M1274" s="2"/>
      <c r="N1274" s="2" t="str">
        <f>IFERROR(__xludf.DUMMYFUNCTION("""COMPUTED_VALUE"""),"PARTS:
OIL FILTER
ENGINE OIL ")</f>
        <v>PARTS:
OIL FILTER
ENGINE OIL </v>
      </c>
      <c r="O1274" s="2">
        <f>IFERROR(__xludf.DUMMYFUNCTION("""COMPUTED_VALUE"""),1447.0)</f>
        <v>1447</v>
      </c>
      <c r="P1274" s="2"/>
      <c r="Q1274" s="2" t="str">
        <f>IFERROR(__xludf.DUMMYFUNCTION("""COMPUTED_VALUE"""),"FOR PRINT")</f>
        <v>FOR PRINT</v>
      </c>
      <c r="R1274" s="74">
        <f>IFERROR(__xludf.DUMMYFUNCTION("""COMPUTED_VALUE"""),45995.0)</f>
        <v>45995</v>
      </c>
      <c r="S1274" s="2" t="str">
        <f>IFERROR(__xludf.DUMMYFUNCTION("""COMPUTED_VALUE"""),"JHP")</f>
        <v>JHP</v>
      </c>
      <c r="T1274" s="73" t="str">
        <f>IFERROR(__xludf.DUMMYFUNCTION("""COMPUTED_VALUE""")," N/A ")</f>
        <v>N/A</v>
      </c>
      <c r="U1274" s="73" t="str">
        <f>IFERROR(__xludf.DUMMYFUNCTION("""COMPUTED_VALUE""")," NO CHARGE ")</f>
        <v>NO CHARGE</v>
      </c>
      <c r="V1274" s="2"/>
      <c r="W1274" s="2" t="str">
        <f>IFERROR(__xludf.DUMMYFUNCTION("""COMPUTED_VALUE"""),"N/A")</f>
        <v>N/A</v>
      </c>
      <c r="X1274" s="2" t="str">
        <f>IFERROR(__xludf.DUMMYFUNCTION("""COMPUTED_VALUE"""),"N/A")</f>
        <v>N/A</v>
      </c>
      <c r="Y1274" s="2"/>
      <c r="Z1274" s="2"/>
      <c r="AA1274" s="2"/>
      <c r="AB1274" s="2"/>
      <c r="AC1274" s="2"/>
      <c r="AD1274" s="2"/>
      <c r="AE1274" s="2"/>
      <c r="AF1274" s="2"/>
      <c r="AG1274" s="2"/>
      <c r="AH1274" s="2"/>
      <c r="AI1274" s="2"/>
      <c r="AJ1274" s="2" t="str">
        <f>IFERROR(__xludf.DUMMYFUNCTION("""COMPUTED_VALUE"""),"San Pablo")</f>
        <v>San Pablo</v>
      </c>
      <c r="AK1274" s="2" t="str">
        <f>IFERROR(__xludf.DUMMYFUNCTION("""COMPUTED_VALUE"""),"Santa Ana")</f>
        <v>Santa Ana</v>
      </c>
      <c r="AL1274" s="2" t="str">
        <f>IFERROR(__xludf.DUMMYFUNCTION("""COMPUTED_VALUE"""),"Pampanga")</f>
        <v>Pampanga</v>
      </c>
      <c r="AM1274" s="2">
        <f>IFERROR(__xludf.DUMMYFUNCTION("""COMPUTED_VALUE"""),3.0)</f>
        <v>3</v>
      </c>
      <c r="AN1274" s="2" t="str">
        <f>IFERROR(__xludf.DUMMYFUNCTION("""COMPUTED_VALUE"""),"RCEF 25-03-05")</f>
        <v>RCEF 25-03-05</v>
      </c>
      <c r="AO1274" s="2">
        <f>IFERROR(__xludf.DUMMYFUNCTION("""COMPUTED_VALUE"""),5.0)</f>
        <v>5</v>
      </c>
      <c r="AP1274" s="2" t="str">
        <f>IFERROR(__xludf.DUMMYFUNCTION("""COMPUTED_VALUE"""),"FREE PMS")</f>
        <v>FREE PMS</v>
      </c>
      <c r="AQ1274" s="2"/>
      <c r="AR1274" s="2"/>
      <c r="AS1274" s="2"/>
      <c r="AT1274" s="2"/>
      <c r="AU1274" s="2"/>
      <c r="AV1274" s="2"/>
      <c r="AW1274" s="2"/>
      <c r="AX1274" s="2"/>
      <c r="AY1274" s="2"/>
      <c r="AZ1274" s="2"/>
      <c r="BA1274" s="2"/>
      <c r="BB1274" s="2"/>
    </row>
    <row r="1275">
      <c r="A1275" s="2">
        <f>IFERROR(__xludf.DUMMYFUNCTION("""COMPUTED_VALUE"""),1271.0)</f>
        <v>1271</v>
      </c>
      <c r="B1275" s="2" t="str">
        <f>IFERROR(__xludf.DUMMYFUNCTION("""COMPUTED_VALUE"""),"COMPLETED")</f>
        <v>COMPLETED</v>
      </c>
      <c r="C1275" s="74">
        <f>IFERROR(__xludf.DUMMYFUNCTION("""COMPUTED_VALUE"""),45992.0)</f>
        <v>45992</v>
      </c>
      <c r="D1275" s="71" t="str">
        <f>IFERROR(__xludf.DUMMYFUNCTION("""COMPUTED_VALUE"""),"Municipal Local Government Unit of Magsaysay")</f>
        <v>Municipal Local Government Unit of Magsaysay</v>
      </c>
      <c r="E1275" s="71" t="str">
        <f>IFERROR(__xludf.DUMMYFUNCTION("""COMPUTED_VALUE"""),", Magsaysay, OCCIDENTAL MINDORO")</f>
        <v>, Magsaysay, OCCIDENTAL MINDORO</v>
      </c>
      <c r="F1275" s="2" t="str">
        <f>IFERROR(__xludf.DUMMYFUNCTION("""COMPUTED_VALUE"""),"FLORENCE LIMOS")</f>
        <v>FLORENCE LIMOS</v>
      </c>
      <c r="G1275" s="2">
        <f>IFERROR(__xludf.DUMMYFUNCTION("""COMPUTED_VALUE"""),9.503088146E9)</f>
        <v>9503088146</v>
      </c>
      <c r="H1275" s="2"/>
      <c r="I1275" s="72" t="str">
        <f>IFERROR(__xludf.DUMMYFUNCTION("""COMPUTED_VALUE"""),"PMS")</f>
        <v>PMS</v>
      </c>
      <c r="J1275" s="72" t="str">
        <f>IFERROR(__xludf.DUMMYFUNCTION("""COMPUTED_VALUE"""),"PMS")</f>
        <v>PMS</v>
      </c>
      <c r="K1275" s="72" t="str">
        <f>IFERROR(__xludf.DUMMYFUNCTION("""COMPUTED_VALUE"""),"RCG: 1ST PMS FREE")</f>
        <v>RCG: 1ST PMS FREE</v>
      </c>
      <c r="L1275" s="72" t="str">
        <f>IFERROR(__xludf.DUMMYFUNCTION("""COMPUTED_VALUE"""),"FPJ: 1ST PMS DONE")</f>
        <v>FPJ: 1ST PMS DONE</v>
      </c>
      <c r="M1275" s="2"/>
      <c r="N1275" s="2" t="str">
        <f>IFERROR(__xludf.DUMMYFUNCTION("""COMPUTED_VALUE"""),"PARTS:
OIL FILTER
ENGINE OIL")</f>
        <v>PARTS:
OIL FILTER
ENGINE OIL</v>
      </c>
      <c r="O1275" s="2">
        <f>IFERROR(__xludf.DUMMYFUNCTION("""COMPUTED_VALUE"""),556.0)</f>
        <v>556</v>
      </c>
      <c r="P1275" s="2"/>
      <c r="Q1275" s="2" t="str">
        <f>IFERROR(__xludf.DUMMYFUNCTION("""COMPUTED_VALUE"""),"FOR PRINT")</f>
        <v>FOR PRINT</v>
      </c>
      <c r="R1275" s="74">
        <f>IFERROR(__xludf.DUMMYFUNCTION("""COMPUTED_VALUE"""),46360.0)</f>
        <v>46360</v>
      </c>
      <c r="S1275" s="2" t="str">
        <f>IFERROR(__xludf.DUMMYFUNCTION("""COMPUTED_VALUE"""),"RBS/FPJ")</f>
        <v>RBS/FPJ</v>
      </c>
      <c r="T1275" s="73" t="str">
        <f>IFERROR(__xludf.DUMMYFUNCTION("""COMPUTED_VALUE""")," N/A ")</f>
        <v>N/A</v>
      </c>
      <c r="U1275" s="73" t="str">
        <f>IFERROR(__xludf.DUMMYFUNCTION("""COMPUTED_VALUE""")," NO CHARGE ")</f>
        <v>NO CHARGE</v>
      </c>
      <c r="V1275" s="2"/>
      <c r="W1275" s="2" t="str">
        <f>IFERROR(__xludf.DUMMYFUNCTION("""COMPUTED_VALUE"""),"N/A")</f>
        <v>N/A</v>
      </c>
      <c r="X1275" s="2" t="str">
        <f>IFERROR(__xludf.DUMMYFUNCTION("""COMPUTED_VALUE"""),"N/A")</f>
        <v>N/A</v>
      </c>
      <c r="Y1275" s="2"/>
      <c r="Z1275" s="2"/>
      <c r="AA1275" s="2"/>
      <c r="AB1275" s="2"/>
      <c r="AC1275" s="2"/>
      <c r="AD1275" s="2"/>
      <c r="AE1275" s="2"/>
      <c r="AF1275" s="2"/>
      <c r="AG1275" s="2"/>
      <c r="AH1275" s="2"/>
      <c r="AI1275" s="2"/>
      <c r="AJ1275" s="2" t="str">
        <f>IFERROR(__xludf.DUMMYFUNCTION("""COMPUTED_VALUE"""),"")</f>
        <v/>
      </c>
      <c r="AK1275" s="2" t="str">
        <f>IFERROR(__xludf.DUMMYFUNCTION("""COMPUTED_VALUE"""),"Magsaysay")</f>
        <v>Magsaysay</v>
      </c>
      <c r="AL1275" s="2" t="str">
        <f>IFERROR(__xludf.DUMMYFUNCTION("""COMPUTED_VALUE"""),"Occidental Mindoro")</f>
        <v>Occidental Mindoro</v>
      </c>
      <c r="AM1275" s="2" t="str">
        <f>IFERROR(__xludf.DUMMYFUNCTION("""COMPUTED_VALUE"""),"4B")</f>
        <v>4B</v>
      </c>
      <c r="AN1275" s="2" t="str">
        <f>IFERROR(__xludf.DUMMYFUNCTION("""COMPUTED_VALUE"""),"RCEF 25-03-05")</f>
        <v>RCEF 25-03-05</v>
      </c>
      <c r="AO1275" s="2">
        <f>IFERROR(__xludf.DUMMYFUNCTION("""COMPUTED_VALUE"""),6.0)</f>
        <v>6</v>
      </c>
      <c r="AP1275" s="2" t="str">
        <f>IFERROR(__xludf.DUMMYFUNCTION("""COMPUTED_VALUE"""),"FREE PMS")</f>
        <v>FREE PMS</v>
      </c>
      <c r="AQ1275" s="2"/>
      <c r="AR1275" s="2"/>
      <c r="AS1275" s="2"/>
      <c r="AT1275" s="2"/>
      <c r="AU1275" s="2"/>
      <c r="AV1275" s="2"/>
      <c r="AW1275" s="2"/>
      <c r="AX1275" s="2"/>
      <c r="AY1275" s="2"/>
      <c r="AZ1275" s="2"/>
      <c r="BA1275" s="2"/>
      <c r="BB1275" s="2"/>
    </row>
    <row r="1276">
      <c r="A1276" s="2">
        <f>IFERROR(__xludf.DUMMYFUNCTION("""COMPUTED_VALUE"""),1272.0)</f>
        <v>1272</v>
      </c>
      <c r="B1276" s="2" t="str">
        <f>IFERROR(__xludf.DUMMYFUNCTION("""COMPUTED_VALUE"""),"COMPLETED")</f>
        <v>COMPLETED</v>
      </c>
      <c r="C1276" s="74">
        <f>IFERROR(__xludf.DUMMYFUNCTION("""COMPUTED_VALUE"""),45992.0)</f>
        <v>45992</v>
      </c>
      <c r="D1276" s="71" t="str">
        <f>IFERROR(__xludf.DUMMYFUNCTION("""COMPUTED_VALUE"""),"Brgy. Bantog Anao Rang-Ay Iti Farmers Association Inc.")</f>
        <v>Brgy. Bantog Anao Rang-Ay Iti Farmers Association Inc.</v>
      </c>
      <c r="E1276" s="71" t="str">
        <f>IFERROR(__xludf.DUMMYFUNCTION("""COMPUTED_VALUE"""),"Bantog, Anao, TARLAC")</f>
        <v>Bantog, Anao, TARLAC</v>
      </c>
      <c r="F1276" s="2" t="str">
        <f>IFERROR(__xludf.DUMMYFUNCTION("""COMPUTED_VALUE"""),"JACKSON CARBONEL")</f>
        <v>JACKSON CARBONEL</v>
      </c>
      <c r="G1276" s="2">
        <f>IFERROR(__xludf.DUMMYFUNCTION("""COMPUTED_VALUE"""),9.051998004E9)</f>
        <v>9051998004</v>
      </c>
      <c r="H1276" s="2">
        <f>IFERROR(__xludf.DUMMYFUNCTION("""COMPUTED_VALUE"""),54.0)</f>
        <v>54</v>
      </c>
      <c r="I1276" s="72" t="str">
        <f>IFERROR(__xludf.DUMMYFUNCTION("""COMPUTED_VALUE"""),"PMS")</f>
        <v>PMS</v>
      </c>
      <c r="J1276" s="72" t="str">
        <f>IFERROR(__xludf.DUMMYFUNCTION("""COMPUTED_VALUE"""),"PMS")</f>
        <v>PMS</v>
      </c>
      <c r="K1276" s="72" t="str">
        <f>IFERROR(__xludf.DUMMYFUNCTION("""COMPUTED_VALUE"""),"MYK: 1ST PMS FREE")</f>
        <v>MYK: 1ST PMS FREE</v>
      </c>
      <c r="L1276" s="72" t="str">
        <f>IFERROR(__xludf.DUMMYFUNCTION("""COMPUTED_VALUE"""),"JHP: 1ST PMS DONE")</f>
        <v>JHP: 1ST PMS DONE</v>
      </c>
      <c r="M1276" s="2"/>
      <c r="N1276" s="2" t="str">
        <f>IFERROR(__xludf.DUMMYFUNCTION("""COMPUTED_VALUE"""),"PARTS:
OIL FILTER
ENGINE OIL")</f>
        <v>PARTS:
OIL FILTER
ENGINE OIL</v>
      </c>
      <c r="O1276" s="2">
        <f>IFERROR(__xludf.DUMMYFUNCTION("""COMPUTED_VALUE"""),653.0)</f>
        <v>653</v>
      </c>
      <c r="P1276" s="2"/>
      <c r="Q1276" s="2" t="str">
        <f>IFERROR(__xludf.DUMMYFUNCTION("""COMPUTED_VALUE"""),"FOR PRINT")</f>
        <v>FOR PRINT</v>
      </c>
      <c r="R1276" s="74">
        <f>IFERROR(__xludf.DUMMYFUNCTION("""COMPUTED_VALUE"""),46013.0)</f>
        <v>46013</v>
      </c>
      <c r="S1276" s="2" t="str">
        <f>IFERROR(__xludf.DUMMYFUNCTION("""COMPUTED_VALUE"""),"JHP")</f>
        <v>JHP</v>
      </c>
      <c r="T1276" s="73" t="str">
        <f>IFERROR(__xludf.DUMMYFUNCTION("""COMPUTED_VALUE""")," N/A ")</f>
        <v>N/A</v>
      </c>
      <c r="U1276" s="73" t="str">
        <f>IFERROR(__xludf.DUMMYFUNCTION("""COMPUTED_VALUE""")," NO CHARGE ")</f>
        <v>NO CHARGE</v>
      </c>
      <c r="V1276" s="2">
        <f>IFERROR(__xludf.DUMMYFUNCTION("""COMPUTED_VALUE"""),1282.0)</f>
        <v>1282</v>
      </c>
      <c r="W1276" s="2" t="str">
        <f>IFERROR(__xludf.DUMMYFUNCTION("""COMPUTED_VALUE"""),"N/A")</f>
        <v>N/A</v>
      </c>
      <c r="X1276" s="2" t="str">
        <f>IFERROR(__xludf.DUMMYFUNCTION("""COMPUTED_VALUE"""),"N/A")</f>
        <v>N/A</v>
      </c>
      <c r="Y1276" s="2"/>
      <c r="Z1276" s="2"/>
      <c r="AA1276" s="2"/>
      <c r="AB1276" s="2"/>
      <c r="AC1276" s="2"/>
      <c r="AD1276" s="2"/>
      <c r="AE1276" s="2"/>
      <c r="AF1276" s="2"/>
      <c r="AG1276" s="2"/>
      <c r="AH1276" s="2"/>
      <c r="AI1276" s="2"/>
      <c r="AJ1276" s="2" t="str">
        <f>IFERROR(__xludf.DUMMYFUNCTION("""COMPUTED_VALUE"""),"Bantog")</f>
        <v>Bantog</v>
      </c>
      <c r="AK1276" s="2" t="str">
        <f>IFERROR(__xludf.DUMMYFUNCTION("""COMPUTED_VALUE"""),"Anao")</f>
        <v>Anao</v>
      </c>
      <c r="AL1276" s="2" t="str">
        <f>IFERROR(__xludf.DUMMYFUNCTION("""COMPUTED_VALUE"""),"Tarlac")</f>
        <v>Tarlac</v>
      </c>
      <c r="AM1276" s="2">
        <f>IFERROR(__xludf.DUMMYFUNCTION("""COMPUTED_VALUE"""),3.0)</f>
        <v>3</v>
      </c>
      <c r="AN1276" s="2" t="str">
        <f>IFERROR(__xludf.DUMMYFUNCTION("""COMPUTED_VALUE"""),"RCEF 25-03-05")</f>
        <v>RCEF 25-03-05</v>
      </c>
      <c r="AO1276" s="2">
        <f>IFERROR(__xludf.DUMMYFUNCTION("""COMPUTED_VALUE"""),5.0)</f>
        <v>5</v>
      </c>
      <c r="AP1276" s="2" t="str">
        <f>IFERROR(__xludf.DUMMYFUNCTION("""COMPUTED_VALUE"""),"FREE PMS")</f>
        <v>FREE PMS</v>
      </c>
      <c r="AQ1276" s="2"/>
      <c r="AR1276" s="2"/>
      <c r="AS1276" s="2"/>
      <c r="AT1276" s="2"/>
      <c r="AU1276" s="2"/>
      <c r="AV1276" s="2"/>
      <c r="AW1276" s="2"/>
      <c r="AX1276" s="2"/>
      <c r="AY1276" s="2"/>
      <c r="AZ1276" s="2"/>
      <c r="BA1276" s="2"/>
      <c r="BB1276" s="2"/>
    </row>
    <row r="1277">
      <c r="A1277" s="2">
        <f>IFERROR(__xludf.DUMMYFUNCTION("""COMPUTED_VALUE"""),1273.0)</f>
        <v>1273</v>
      </c>
      <c r="B1277" s="2" t="str">
        <f>IFERROR(__xludf.DUMMYFUNCTION("""COMPUTED_VALUE"""),"COMPLETED")</f>
        <v>COMPLETED</v>
      </c>
      <c r="C1277" s="74">
        <f>IFERROR(__xludf.DUMMYFUNCTION("""COMPUTED_VALUE"""),45992.0)</f>
        <v>45992</v>
      </c>
      <c r="D1277" s="71" t="str">
        <f>IFERROR(__xludf.DUMMYFUNCTION("""COMPUTED_VALUE"""),"PANGBIYERNES IRRIGATORS ASSOCIATION, INC.")</f>
        <v>PANGBIYERNES IRRIGATORS ASSOCIATION, INC.</v>
      </c>
      <c r="E1277" s="71" t="str">
        <f>IFERROR(__xludf.DUMMYFUNCTION("""COMPUTED_VALUE"""),"Tabuating, San Leonardo, NUEVA ECIJA")</f>
        <v>Tabuating, San Leonardo, NUEVA ECIJA</v>
      </c>
      <c r="F1277" s="2" t="str">
        <f>IFERROR(__xludf.DUMMYFUNCTION("""COMPUTED_VALUE"""),"Roy Domingo")</f>
        <v>Roy Domingo</v>
      </c>
      <c r="G1277" s="2">
        <f>IFERROR(__xludf.DUMMYFUNCTION("""COMPUTED_VALUE"""),9.366660108E9)</f>
        <v>9366660108</v>
      </c>
      <c r="H1277" s="2">
        <f>IFERROR(__xludf.DUMMYFUNCTION("""COMPUTED_VALUE"""),209.0)</f>
        <v>209</v>
      </c>
      <c r="I1277" s="72" t="str">
        <f>IFERROR(__xludf.DUMMYFUNCTION("""COMPUTED_VALUE"""),"PMS")</f>
        <v>PMS</v>
      </c>
      <c r="J1277" s="72" t="str">
        <f>IFERROR(__xludf.DUMMYFUNCTION("""COMPUTED_VALUE"""),"PMS")</f>
        <v>PMS</v>
      </c>
      <c r="K1277" s="72" t="str">
        <f>IFERROR(__xludf.DUMMYFUNCTION("""COMPUTED_VALUE"""),"JHP: 2ND PMS, MAHIRAP ILIKO ANG MANOBELA")</f>
        <v>JHP: 2ND PMS, MAHIRAP ILIKO ANG MANOBELA</v>
      </c>
      <c r="L1277" s="72" t="str">
        <f>IFERROR(__xludf.DUMMYFUNCTION("""COMPUTED_VALUE"""),"JHP: 2ND PMS DONE")</f>
        <v>JHP: 2ND PMS DONE</v>
      </c>
      <c r="M1277" s="2"/>
      <c r="N1277" s="2" t="str">
        <f>IFERROR(__xludf.DUMMYFUNCTION("""COMPUTED_VALUE"""),"PARTS
OIL FILTER
HYDRAULIC FILTER
SERVICE : ")</f>
        <v>PARTS
OIL FILTER
HYDRAULIC FILTER
SERVICE : </v>
      </c>
      <c r="O1277" s="2">
        <f>IFERROR(__xludf.DUMMYFUNCTION("""COMPUTED_VALUE"""),652.0)</f>
        <v>652</v>
      </c>
      <c r="P1277" s="2"/>
      <c r="Q1277" s="2" t="str">
        <f>IFERROR(__xludf.DUMMYFUNCTION("""COMPUTED_VALUE"""),"FOR PRINT")</f>
        <v>FOR PRINT</v>
      </c>
      <c r="R1277" s="74">
        <f>IFERROR(__xludf.DUMMYFUNCTION("""COMPUTED_VALUE"""),46372.0)</f>
        <v>46372</v>
      </c>
      <c r="S1277" s="2" t="str">
        <f>IFERROR(__xludf.DUMMYFUNCTION("""COMPUTED_VALUE"""),"JHP/ACS")</f>
        <v>JHP/ACS</v>
      </c>
      <c r="T1277" s="73">
        <f>IFERROR(__xludf.DUMMYFUNCTION("""COMPUTED_VALUE"""),7450.0)</f>
        <v>7450</v>
      </c>
      <c r="U1277" s="73" t="str">
        <f>IFERROR(__xludf.DUMMYFUNCTION("""COMPUTED_VALUE""")," REMITTED ")</f>
        <v>REMITTED</v>
      </c>
      <c r="V1277" s="2">
        <f>IFERROR(__xludf.DUMMYFUNCTION("""COMPUTED_VALUE"""),1281.0)</f>
        <v>1281</v>
      </c>
      <c r="W1277" s="2">
        <f>IFERROR(__xludf.DUMMYFUNCTION("""COMPUTED_VALUE"""),1951.0)</f>
        <v>1951</v>
      </c>
      <c r="X1277" s="2"/>
      <c r="Y1277" s="2"/>
      <c r="Z1277" s="2"/>
      <c r="AA1277" s="2"/>
      <c r="AB1277" s="2"/>
      <c r="AC1277" s="2"/>
      <c r="AD1277" s="2"/>
      <c r="AE1277" s="2"/>
      <c r="AF1277" s="2"/>
      <c r="AG1277" s="2"/>
      <c r="AH1277" s="2"/>
      <c r="AI1277" s="2"/>
      <c r="AJ1277" s="2" t="str">
        <f>IFERROR(__xludf.DUMMYFUNCTION("""COMPUTED_VALUE"""),"Tabuating")</f>
        <v>Tabuating</v>
      </c>
      <c r="AK1277" s="2" t="str">
        <f>IFERROR(__xludf.DUMMYFUNCTION("""COMPUTED_VALUE"""),"San Leonardo")</f>
        <v>San Leonardo</v>
      </c>
      <c r="AL1277" s="2" t="str">
        <f>IFERROR(__xludf.DUMMYFUNCTION("""COMPUTED_VALUE"""),"Nueva Ecija")</f>
        <v>Nueva Ecija</v>
      </c>
      <c r="AM1277" s="2">
        <f>IFERROR(__xludf.DUMMYFUNCTION("""COMPUTED_VALUE"""),3.0)</f>
        <v>3</v>
      </c>
      <c r="AN1277" s="2" t="str">
        <f>IFERROR(__xludf.DUMMYFUNCTION("""COMPUTED_VALUE"""),"RCEF 23-09-21 Rebidding")</f>
        <v>RCEF 23-09-21 Rebidding</v>
      </c>
      <c r="AO1277" s="2">
        <f>IFERROR(__xludf.DUMMYFUNCTION("""COMPUTED_VALUE"""),3.0)</f>
        <v>3</v>
      </c>
      <c r="AP1277" s="2"/>
      <c r="AQ1277" s="2"/>
      <c r="AR1277" s="2"/>
      <c r="AS1277" s="2"/>
      <c r="AT1277" s="2"/>
      <c r="AU1277" s="2"/>
      <c r="AV1277" s="2"/>
      <c r="AW1277" s="2"/>
      <c r="AX1277" s="2"/>
      <c r="AY1277" s="2"/>
      <c r="AZ1277" s="2"/>
      <c r="BA1277" s="2"/>
      <c r="BB1277" s="2"/>
    </row>
    <row r="1278">
      <c r="A1278" s="2">
        <f>IFERROR(__xludf.DUMMYFUNCTION("""COMPUTED_VALUE"""),1274.0)</f>
        <v>1274</v>
      </c>
      <c r="B1278" s="2" t="str">
        <f>IFERROR(__xludf.DUMMYFUNCTION("""COMPUTED_VALUE"""),"COMPLETED")</f>
        <v>COMPLETED</v>
      </c>
      <c r="C1278" s="74">
        <f>IFERROR(__xludf.DUMMYFUNCTION("""COMPUTED_VALUE"""),45993.0)</f>
        <v>45993</v>
      </c>
      <c r="D1278" s="71" t="str">
        <f>IFERROR(__xludf.DUMMYFUNCTION("""COMPUTED_VALUE"""),"Lanaban Farmers Irrigators, Inc.")</f>
        <v>Lanaban Farmers Irrigators, Inc.</v>
      </c>
      <c r="E1278" s="71" t="str">
        <f>IFERROR(__xludf.DUMMYFUNCTION("""COMPUTED_VALUE"""),"Rizal, Rizal, OCCIDENTAL MINDORO")</f>
        <v>Rizal, Rizal, OCCIDENTAL MINDORO</v>
      </c>
      <c r="F1278" s="2"/>
      <c r="G1278" s="2">
        <f>IFERROR(__xludf.DUMMYFUNCTION("""COMPUTED_VALUE"""),9.362107203E9)</f>
        <v>9362107203</v>
      </c>
      <c r="H1278" s="2">
        <f>IFERROR(__xludf.DUMMYFUNCTION("""COMPUTED_VALUE"""),364.0)</f>
        <v>364</v>
      </c>
      <c r="I1278" s="72" t="str">
        <f>IFERROR(__xludf.DUMMYFUNCTION("""COMPUTED_VALUE"""),"PMS")</f>
        <v>PMS</v>
      </c>
      <c r="J1278" s="72" t="str">
        <f>IFERROR(__xludf.DUMMYFUNCTION("""COMPUTED_VALUE"""),"PMS")</f>
        <v>PMS</v>
      </c>
      <c r="K1278" s="72" t="str">
        <f>IFERROR(__xludf.DUMMYFUNCTION("""COMPUTED_VALUE"""),"FPJ: 2ND PMS")</f>
        <v>FPJ: 2ND PMS</v>
      </c>
      <c r="L1278" s="72" t="str">
        <f>IFERROR(__xludf.DUMMYFUNCTION("""COMPUTED_VALUE"""),"FPJ: 2ND PMS DONE")</f>
        <v>FPJ: 2ND PMS DONE</v>
      </c>
      <c r="M1278" s="2"/>
      <c r="N1278" s="2" t="str">
        <f>IFERROR(__xludf.DUMMYFUNCTION("""COMPUTED_VALUE"""),"PARTS:
OIL FILTER
HYDRAULIC FILTER
LABOR: 2,500")</f>
        <v>PARTS:
OIL FILTER
HYDRAULIC FILTER
LABOR: 2,500</v>
      </c>
      <c r="O1278" s="2">
        <f>IFERROR(__xludf.DUMMYFUNCTION("""COMPUTED_VALUE"""),192.0)</f>
        <v>192</v>
      </c>
      <c r="P1278" s="2"/>
      <c r="Q1278" s="2" t="str">
        <f>IFERROR(__xludf.DUMMYFUNCTION("""COMPUTED_VALUE"""),"FOR PRINT")</f>
        <v>FOR PRINT</v>
      </c>
      <c r="R1278" s="74">
        <f>IFERROR(__xludf.DUMMYFUNCTION("""COMPUTED_VALUE"""),45993.0)</f>
        <v>45993</v>
      </c>
      <c r="S1278" s="2" t="str">
        <f>IFERROR(__xludf.DUMMYFUNCTION("""COMPUTED_VALUE"""),"RBS/FPJ")</f>
        <v>RBS/FPJ</v>
      </c>
      <c r="T1278" s="73">
        <f>IFERROR(__xludf.DUMMYFUNCTION("""COMPUTED_VALUE"""),6833.0)</f>
        <v>6833</v>
      </c>
      <c r="U1278" s="73" t="str">
        <f>IFERROR(__xludf.DUMMYFUNCTION("""COMPUTED_VALUE""")," REMITTED ")</f>
        <v>REMITTED</v>
      </c>
      <c r="V1278" s="2"/>
      <c r="W1278" s="2">
        <f>IFERROR(__xludf.DUMMYFUNCTION("""COMPUTED_VALUE"""),1421.0)</f>
        <v>1421</v>
      </c>
      <c r="X1278" s="2">
        <f>IFERROR(__xludf.DUMMYFUNCTION("""COMPUTED_VALUE"""),1634.0)</f>
        <v>1634</v>
      </c>
      <c r="Y1278" s="2"/>
      <c r="Z1278" s="2"/>
      <c r="AA1278" s="2"/>
      <c r="AB1278" s="2"/>
      <c r="AC1278" s="2"/>
      <c r="AD1278" s="2"/>
      <c r="AE1278" s="2"/>
      <c r="AF1278" s="2"/>
      <c r="AG1278" s="2"/>
      <c r="AH1278" s="2"/>
      <c r="AI1278" s="2"/>
      <c r="AJ1278" s="2" t="str">
        <f>IFERROR(__xludf.DUMMYFUNCTION("""COMPUTED_VALUE"""),"Rizal")</f>
        <v>Rizal</v>
      </c>
      <c r="AK1278" s="2" t="str">
        <f>IFERROR(__xludf.DUMMYFUNCTION("""COMPUTED_VALUE"""),"Rizal")</f>
        <v>Rizal</v>
      </c>
      <c r="AL1278" s="2" t="str">
        <f>IFERROR(__xludf.DUMMYFUNCTION("""COMPUTED_VALUE"""),"Occidental Mindoro")</f>
        <v>Occidental Mindoro</v>
      </c>
      <c r="AM1278" s="2" t="str">
        <f>IFERROR(__xludf.DUMMYFUNCTION("""COMPUTED_VALUE"""),"4B")</f>
        <v>4B</v>
      </c>
      <c r="AN1278" s="2" t="str">
        <f>IFERROR(__xludf.DUMMYFUNCTION("""COMPUTED_VALUE"""),"RCEF 25-03-05")</f>
        <v>RCEF 25-03-05</v>
      </c>
      <c r="AO1278" s="2">
        <f>IFERROR(__xludf.DUMMYFUNCTION("""COMPUTED_VALUE"""),6.0)</f>
        <v>6</v>
      </c>
      <c r="AP1278" s="2" t="str">
        <f>IFERROR(__xludf.DUMMYFUNCTION("""COMPUTED_VALUE"""),"FREE PMS")</f>
        <v>FREE PMS</v>
      </c>
      <c r="AQ1278" s="2"/>
      <c r="AR1278" s="2"/>
      <c r="AS1278" s="2"/>
      <c r="AT1278" s="2"/>
      <c r="AU1278" s="2"/>
      <c r="AV1278" s="2"/>
      <c r="AW1278" s="2"/>
      <c r="AX1278" s="2"/>
      <c r="AY1278" s="2"/>
      <c r="AZ1278" s="2"/>
      <c r="BA1278" s="2"/>
      <c r="BB1278" s="2"/>
    </row>
    <row r="1279">
      <c r="A1279" s="2">
        <f>IFERROR(__xludf.DUMMYFUNCTION("""COMPUTED_VALUE"""),1275.0)</f>
        <v>1275</v>
      </c>
      <c r="B1279" s="2" t="str">
        <f>IFERROR(__xludf.DUMMYFUNCTION("""COMPUTED_VALUE"""),"COMPLETED")</f>
        <v>COMPLETED</v>
      </c>
      <c r="C1279" s="74">
        <f>IFERROR(__xludf.DUMMYFUNCTION("""COMPUTED_VALUE"""),45993.0)</f>
        <v>45993</v>
      </c>
      <c r="D1279" s="71" t="str">
        <f>IFERROR(__xludf.DUMMYFUNCTION("""COMPUTED_VALUE"""),"COMMUNITY SAVERS AGRICULTURE COOPERATIVE")</f>
        <v>COMMUNITY SAVERS AGRICULTURE COOPERATIVE</v>
      </c>
      <c r="E1279" s="71" t="str">
        <f>IFERROR(__xludf.DUMMYFUNCTION("""COMPUTED_VALUE"""),"Banawang, Bagac, BATAAN")</f>
        <v>Banawang, Bagac, BATAAN</v>
      </c>
      <c r="F1279" s="2" t="str">
        <f>IFERROR(__xludf.DUMMYFUNCTION("""COMPUTED_VALUE"""),"ENRITA ")</f>
        <v>ENRITA </v>
      </c>
      <c r="G1279" s="2">
        <f>IFERROR(__xludf.DUMMYFUNCTION("""COMPUTED_VALUE"""),9.565202308E9)</f>
        <v>9565202308</v>
      </c>
      <c r="H1279" s="2"/>
      <c r="I1279" s="72" t="str">
        <f>IFERROR(__xludf.DUMMYFUNCTION("""COMPUTED_VALUE"""),"REPAIR - ROTAVATOR")</f>
        <v>REPAIR - ROTAVATOR</v>
      </c>
      <c r="J1279" s="72" t="str">
        <f>IFERROR(__xludf.DUMMYFUNCTION("""COMPUTED_VALUE"""),"Training")</f>
        <v>Training</v>
      </c>
      <c r="K1279" s="72" t="str">
        <f>IFERROR(__xludf.DUMMYFUNCTION("""COMPUTED_VALUE"""),"ERP: TRACTOR UNABLE TO LIFT THE ROTAVATOR")</f>
        <v>ERP: TRACTOR UNABLE TO LIFT THE ROTAVATOR</v>
      </c>
      <c r="L1279" s="72" t="str">
        <f>IFERROR(__xludf.DUMMYFUNCTION("""COMPUTED_VALUE"""),"CFG: HINID LANG ALAM NG OPERATOR, OK NA ANG CONCERN.")</f>
        <v>CFG: HINID LANG ALAM NG OPERATOR, OK NA ANG CONCERN.</v>
      </c>
      <c r="M1279" s="2"/>
      <c r="N1279" s="2"/>
      <c r="O1279" s="2" t="str">
        <f>IFERROR(__xludf.DUMMYFUNCTION("""COMPUTED_VALUE"""),"N/A")</f>
        <v>N/A</v>
      </c>
      <c r="P1279" s="2"/>
      <c r="Q1279" s="2"/>
      <c r="R1279" s="74">
        <f>IFERROR(__xludf.DUMMYFUNCTION("""COMPUTED_VALUE"""),46029.0)</f>
        <v>46029</v>
      </c>
      <c r="S1279" s="2" t="str">
        <f>IFERROR(__xludf.DUMMYFUNCTION("""COMPUTED_VALUE"""),"CFG/JAH")</f>
        <v>CFG/JAH</v>
      </c>
      <c r="T1279" s="73" t="str">
        <f>IFERROR(__xludf.DUMMYFUNCTION("""COMPUTED_VALUE""")," N/A ")</f>
        <v>N/A</v>
      </c>
      <c r="U1279" s="73" t="str">
        <f>IFERROR(__xludf.DUMMYFUNCTION("""COMPUTED_VALUE""")," NO CHARGE ")</f>
        <v>NO CHARGE</v>
      </c>
      <c r="V1279" s="2"/>
      <c r="W1279" s="2" t="str">
        <f>IFERROR(__xludf.DUMMYFUNCTION("""COMPUTED_VALUE"""),"N/A")</f>
        <v>N/A</v>
      </c>
      <c r="X1279" s="2" t="str">
        <f>IFERROR(__xludf.DUMMYFUNCTION("""COMPUTED_VALUE"""),"N/A")</f>
        <v>N/A</v>
      </c>
      <c r="Y1279" s="2"/>
      <c r="Z1279" s="2"/>
      <c r="AA1279" s="2"/>
      <c r="AB1279" s="2"/>
      <c r="AC1279" s="2"/>
      <c r="AD1279" s="2"/>
      <c r="AE1279" s="2"/>
      <c r="AF1279" s="2"/>
      <c r="AG1279" s="2"/>
      <c r="AH1279" s="2"/>
      <c r="AI1279" s="2"/>
      <c r="AJ1279" s="2" t="str">
        <f>IFERROR(__xludf.DUMMYFUNCTION("""COMPUTED_VALUE"""),"Banawang")</f>
        <v>Banawang</v>
      </c>
      <c r="AK1279" s="2" t="str">
        <f>IFERROR(__xludf.DUMMYFUNCTION("""COMPUTED_VALUE"""),"Bagac")</f>
        <v>Bagac</v>
      </c>
      <c r="AL1279" s="2" t="str">
        <f>IFERROR(__xludf.DUMMYFUNCTION("""COMPUTED_VALUE"""),"Bataan")</f>
        <v>Bataan</v>
      </c>
      <c r="AM1279" s="2">
        <f>IFERROR(__xludf.DUMMYFUNCTION("""COMPUTED_VALUE"""),3.0)</f>
        <v>3</v>
      </c>
      <c r="AN1279" s="2" t="str">
        <f>IFERROR(__xludf.DUMMYFUNCTION("""COMPUTED_VALUE"""),"RCEF 23-09-21 Rebidding")</f>
        <v>RCEF 23-09-21 Rebidding</v>
      </c>
      <c r="AO1279" s="2">
        <f>IFERROR(__xludf.DUMMYFUNCTION("""COMPUTED_VALUE"""),3.0)</f>
        <v>3</v>
      </c>
      <c r="AP1279" s="2"/>
      <c r="AQ1279" s="2"/>
      <c r="AR1279" s="2"/>
      <c r="AS1279" s="2"/>
      <c r="AT1279" s="2"/>
      <c r="AU1279" s="2"/>
      <c r="AV1279" s="2"/>
      <c r="AW1279" s="2"/>
      <c r="AX1279" s="2"/>
      <c r="AY1279" s="2"/>
      <c r="AZ1279" s="2"/>
      <c r="BA1279" s="2"/>
      <c r="BB1279" s="2"/>
    </row>
    <row r="1280">
      <c r="A1280" s="2">
        <f>IFERROR(__xludf.DUMMYFUNCTION("""COMPUTED_VALUE"""),1276.0)</f>
        <v>1276</v>
      </c>
      <c r="B1280" s="2" t="str">
        <f>IFERROR(__xludf.DUMMYFUNCTION("""COMPUTED_VALUE"""),"PENDING")</f>
        <v>PENDING</v>
      </c>
      <c r="C1280" s="74">
        <f>IFERROR(__xludf.DUMMYFUNCTION("""COMPUTED_VALUE"""),45993.0)</f>
        <v>45993</v>
      </c>
      <c r="D1280" s="71" t="str">
        <f>IFERROR(__xludf.DUMMYFUNCTION("""COMPUTED_VALUE"""),"Newtown Farmers Association")</f>
        <v>Newtown Farmers Association</v>
      </c>
      <c r="E1280" s="71" t="str">
        <f>IFERROR(__xludf.DUMMYFUNCTION("""COMPUTED_VALUE"""),"Bagumbayan, Ligao City, ALBAY")</f>
        <v>Bagumbayan, Ligao City, ALBAY</v>
      </c>
      <c r="F1280" s="2" t="str">
        <f>IFERROR(__xludf.DUMMYFUNCTION("""COMPUTED_VALUE"""),"ROBERTO QUITASOL")</f>
        <v>ROBERTO QUITASOL</v>
      </c>
      <c r="G1280" s="2">
        <f>IFERROR(__xludf.DUMMYFUNCTION("""COMPUTED_VALUE"""),9.163393261E9)</f>
        <v>9163393261</v>
      </c>
      <c r="H1280" s="2">
        <f>IFERROR(__xludf.DUMMYFUNCTION("""COMPUTED_VALUE"""),56.0)</f>
        <v>56</v>
      </c>
      <c r="I1280" s="72" t="str">
        <f>IFERROR(__xludf.DUMMYFUNCTION("""COMPUTED_VALUE"""),"REPAIR - TRACTOR")</f>
        <v>REPAIR - TRACTOR</v>
      </c>
      <c r="J1280" s="72" t="str">
        <f>IFERROR(__xludf.DUMMYFUNCTION("""COMPUTED_VALUE"""),"Transmission - Clutch")</f>
        <v>Transmission - Clutch</v>
      </c>
      <c r="K1280" s="72" t="str">
        <f>IFERROR(__xludf.DUMMYFUNCTION("""COMPUTED_VALUE"""),"DATE DELIVERE: OCTOBER 2025
MYK: PAG INAPAKAN ANG CLUTCH MAINGAY SYA SA SIMULA, PERO PAG MAINIT NA AT INAPAKAN NA ULIT ANG CLUTCH WALA NA ANG INGAY. 
TECH: FPJ                 JTT - Cable lock")</f>
        <v>DATE DELIVERE: OCTOBER 2025
MYK: PAG INAPAKAN ANG CLUTCH MAINGAY SYA SA SIMULA, PERO PAG MAINIT NA AT INAPAKAN NA ULIT ANG CLUTCH WALA NA ANG INGAY. 
TECH: FPJ                 JTT - Cable lock</v>
      </c>
      <c r="L1280" s="72" t="str">
        <f>IFERROR(__xludf.DUMMYFUNCTION("""COMPUTED_VALUE"""),"TO CALL BY RBS")</f>
        <v>TO CALL BY RBS</v>
      </c>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t="str">
        <f>IFERROR(__xludf.DUMMYFUNCTION("""COMPUTED_VALUE"""),"Bagumbayan")</f>
        <v>Bagumbayan</v>
      </c>
      <c r="AK1280" s="2" t="str">
        <f>IFERROR(__xludf.DUMMYFUNCTION("""COMPUTED_VALUE"""),"Ligao City")</f>
        <v>Ligao City</v>
      </c>
      <c r="AL1280" s="2" t="str">
        <f>IFERROR(__xludf.DUMMYFUNCTION("""COMPUTED_VALUE"""),"Albay")</f>
        <v>Albay</v>
      </c>
      <c r="AM1280" s="2">
        <f>IFERROR(__xludf.DUMMYFUNCTION("""COMPUTED_VALUE"""),5.0)</f>
        <v>5</v>
      </c>
      <c r="AN1280" s="2" t="str">
        <f>IFERROR(__xludf.DUMMYFUNCTION("""COMPUTED_VALUE"""),"RCEF 25-03-05")</f>
        <v>RCEF 25-03-05</v>
      </c>
      <c r="AO1280" s="2">
        <f>IFERROR(__xludf.DUMMYFUNCTION("""COMPUTED_VALUE"""),6.0)</f>
        <v>6</v>
      </c>
      <c r="AP1280" s="2" t="str">
        <f>IFERROR(__xludf.DUMMYFUNCTION("""COMPUTED_VALUE"""),"FREE PMS")</f>
        <v>FREE PMS</v>
      </c>
      <c r="AQ1280" s="2"/>
      <c r="AR1280" s="2"/>
      <c r="AS1280" s="2"/>
      <c r="AT1280" s="2"/>
      <c r="AU1280" s="2"/>
      <c r="AV1280" s="2"/>
      <c r="AW1280" s="2"/>
      <c r="AX1280" s="2"/>
      <c r="AY1280" s="2"/>
      <c r="AZ1280" s="2"/>
      <c r="BA1280" s="2"/>
      <c r="BB1280" s="2"/>
    </row>
    <row r="1281">
      <c r="A1281" s="2">
        <f>IFERROR(__xludf.DUMMYFUNCTION("""COMPUTED_VALUE"""),1277.0)</f>
        <v>1277</v>
      </c>
      <c r="B1281" s="2" t="str">
        <f>IFERROR(__xludf.DUMMYFUNCTION("""COMPUTED_VALUE"""),"COMPLETED")</f>
        <v>COMPLETED</v>
      </c>
      <c r="C1281" s="74">
        <f>IFERROR(__xludf.DUMMYFUNCTION("""COMPUTED_VALUE"""),45994.0)</f>
        <v>45994</v>
      </c>
      <c r="D1281" s="71" t="str">
        <f>IFERROR(__xludf.DUMMYFUNCTION("""COMPUTED_VALUE"""),"TOLEGA NORTE FARMERS ASSOCIATION")</f>
        <v>TOLEGA NORTE FARMERS ASSOCIATION</v>
      </c>
      <c r="E1281" s="71" t="str">
        <f>IFERROR(__xludf.DUMMYFUNCTION("""COMPUTED_VALUE"""),"Tolega Norte, Moncada, TARLAC")</f>
        <v>Tolega Norte, Moncada, TARLAC</v>
      </c>
      <c r="F1281" s="2" t="str">
        <f>IFERROR(__xludf.DUMMYFUNCTION("""COMPUTED_VALUE"""),"MYRNA TOLENTINO")</f>
        <v>MYRNA TOLENTINO</v>
      </c>
      <c r="G1281" s="2">
        <f>IFERROR(__xludf.DUMMYFUNCTION("""COMPUTED_VALUE"""),9.214125189E9)</f>
        <v>9214125189</v>
      </c>
      <c r="H1281" s="2">
        <f>IFERROR(__xludf.DUMMYFUNCTION("""COMPUTED_VALUE"""),105.3)</f>
        <v>105.3</v>
      </c>
      <c r="I1281" s="72" t="str">
        <f>IFERROR(__xludf.DUMMYFUNCTION("""COMPUTED_VALUE"""),"PMS")</f>
        <v>PMS</v>
      </c>
      <c r="J1281" s="72" t="str">
        <f>IFERROR(__xludf.DUMMYFUNCTION("""COMPUTED_VALUE"""),"PMS")</f>
        <v>PMS</v>
      </c>
      <c r="K1281" s="72" t="str">
        <f>IFERROR(__xludf.DUMMYFUNCTION("""COMPUTED_VALUE"""),"MYK: 1ST PMS FREE")</f>
        <v>MYK: 1ST PMS FREE</v>
      </c>
      <c r="L1281" s="72" t="str">
        <f>IFERROR(__xludf.DUMMYFUNCTION("""COMPUTED_VALUE"""),"JDP: 1ST PMS DONE")</f>
        <v>JDP: 1ST PMS DONE</v>
      </c>
      <c r="M1281" s="2"/>
      <c r="N1281" s="2" t="str">
        <f>IFERROR(__xludf.DUMMYFUNCTION("""COMPUTED_VALUE"""),"PARTS:
OIL FILTER
ENGINE OIL")</f>
        <v>PARTS:
OIL FILTER
ENGINE OIL</v>
      </c>
      <c r="O1281" s="2">
        <f>IFERROR(__xludf.DUMMYFUNCTION("""COMPUTED_VALUE"""),479.0)</f>
        <v>479</v>
      </c>
      <c r="P1281" s="2"/>
      <c r="Q1281" s="2" t="str">
        <f>IFERROR(__xludf.DUMMYFUNCTION("""COMPUTED_VALUE"""),"FOR PRINT")</f>
        <v>FOR PRINT</v>
      </c>
      <c r="R1281" s="74">
        <f>IFERROR(__xludf.DUMMYFUNCTION("""COMPUTED_VALUE"""),46028.0)</f>
        <v>46028</v>
      </c>
      <c r="S1281" s="2" t="str">
        <f>IFERROR(__xludf.DUMMYFUNCTION("""COMPUTED_VALUE"""),"CFG/JDP")</f>
        <v>CFG/JDP</v>
      </c>
      <c r="T1281" s="73" t="str">
        <f>IFERROR(__xludf.DUMMYFUNCTION("""COMPUTED_VALUE""")," N/A ")</f>
        <v>N/A</v>
      </c>
      <c r="U1281" s="73" t="str">
        <f>IFERROR(__xludf.DUMMYFUNCTION("""COMPUTED_VALUE""")," NO CHARGE ")</f>
        <v>NO CHARGE</v>
      </c>
      <c r="V1281" s="2"/>
      <c r="W1281" s="2" t="str">
        <f>IFERROR(__xludf.DUMMYFUNCTION("""COMPUTED_VALUE"""),"N/A")</f>
        <v>N/A</v>
      </c>
      <c r="X1281" s="2" t="str">
        <f>IFERROR(__xludf.DUMMYFUNCTION("""COMPUTED_VALUE"""),"N/A")</f>
        <v>N/A</v>
      </c>
      <c r="Y1281" s="2"/>
      <c r="Z1281" s="2"/>
      <c r="AA1281" s="2"/>
      <c r="AB1281" s="2"/>
      <c r="AC1281" s="2"/>
      <c r="AD1281" s="2"/>
      <c r="AE1281" s="2"/>
      <c r="AF1281" s="2"/>
      <c r="AG1281" s="2"/>
      <c r="AH1281" s="2"/>
      <c r="AI1281" s="2"/>
      <c r="AJ1281" s="2" t="str">
        <f>IFERROR(__xludf.DUMMYFUNCTION("""COMPUTED_VALUE"""),"Tolega Norte")</f>
        <v>Tolega Norte</v>
      </c>
      <c r="AK1281" s="2" t="str">
        <f>IFERROR(__xludf.DUMMYFUNCTION("""COMPUTED_VALUE"""),"Moncada")</f>
        <v>Moncada</v>
      </c>
      <c r="AL1281" s="2" t="str">
        <f>IFERROR(__xludf.DUMMYFUNCTION("""COMPUTED_VALUE"""),"Tarlac")</f>
        <v>Tarlac</v>
      </c>
      <c r="AM1281" s="2">
        <f>IFERROR(__xludf.DUMMYFUNCTION("""COMPUTED_VALUE"""),3.0)</f>
        <v>3</v>
      </c>
      <c r="AN1281" s="2" t="str">
        <f>IFERROR(__xludf.DUMMYFUNCTION("""COMPUTED_VALUE"""),"RCEF 25-03-05")</f>
        <v>RCEF 25-03-05</v>
      </c>
      <c r="AO1281" s="2">
        <f>IFERROR(__xludf.DUMMYFUNCTION("""COMPUTED_VALUE"""),5.0)</f>
        <v>5</v>
      </c>
      <c r="AP1281" s="2" t="str">
        <f>IFERROR(__xludf.DUMMYFUNCTION("""COMPUTED_VALUE"""),"FREE PMS")</f>
        <v>FREE PMS</v>
      </c>
      <c r="AQ1281" s="2"/>
      <c r="AR1281" s="2"/>
      <c r="AS1281" s="2"/>
      <c r="AT1281" s="2"/>
      <c r="AU1281" s="2"/>
      <c r="AV1281" s="2"/>
      <c r="AW1281" s="2"/>
      <c r="AX1281" s="2"/>
      <c r="AY1281" s="2"/>
      <c r="AZ1281" s="2"/>
      <c r="BA1281" s="2"/>
      <c r="BB1281" s="2"/>
    </row>
    <row r="1282">
      <c r="A1282" s="2">
        <f>IFERROR(__xludf.DUMMYFUNCTION("""COMPUTED_VALUE"""),1278.0)</f>
        <v>1278</v>
      </c>
      <c r="B1282" s="2" t="str">
        <f>IFERROR(__xludf.DUMMYFUNCTION("""COMPUTED_VALUE"""),"COMPLETED")</f>
        <v>COMPLETED</v>
      </c>
      <c r="C1282" s="74">
        <f>IFERROR(__xludf.DUMMYFUNCTION("""COMPUTED_VALUE"""),45994.0)</f>
        <v>45994</v>
      </c>
      <c r="D1282" s="71" t="str">
        <f>IFERROR(__xludf.DUMMYFUNCTION("""COMPUTED_VALUE"""),"KAYANTABE FARMERS IRRIGATOR AGRICULTURE COOPERATIVE")</f>
        <v>KAYANTABE FARMERS IRRIGATOR AGRICULTURE COOPERATIVE</v>
      </c>
      <c r="E1282" s="71" t="str">
        <f>IFERROR(__xludf.DUMMYFUNCTION("""COMPUTED_VALUE"""),"Santo Rosario, Capas, TARLAC")</f>
        <v>Santo Rosario, Capas, TARLAC</v>
      </c>
      <c r="F1282" s="2" t="str">
        <f>IFERROR(__xludf.DUMMYFUNCTION("""COMPUTED_VALUE"""),"PITO DELOS REYES")</f>
        <v>PITO DELOS REYES</v>
      </c>
      <c r="G1282" s="2">
        <f>IFERROR(__xludf.DUMMYFUNCTION("""COMPUTED_VALUE"""),9.166084051E9)</f>
        <v>9166084051</v>
      </c>
      <c r="H1282" s="2">
        <f>IFERROR(__xludf.DUMMYFUNCTION("""COMPUTED_VALUE"""),48.0)</f>
        <v>48</v>
      </c>
      <c r="I1282" s="72" t="str">
        <f>IFERROR(__xludf.DUMMYFUNCTION("""COMPUTED_VALUE"""),"PMS")</f>
        <v>PMS</v>
      </c>
      <c r="J1282" s="72" t="str">
        <f>IFERROR(__xludf.DUMMYFUNCTION("""COMPUTED_VALUE"""),"PMS")</f>
        <v>PMS</v>
      </c>
      <c r="K1282" s="72" t="str">
        <f>IFERROR(__xludf.DUMMYFUNCTION("""COMPUTED_VALUE"""),"MYK: 1ST PMS FREE")</f>
        <v>MYK: 1ST PMS FREE</v>
      </c>
      <c r="L1282" s="72" t="str">
        <f>IFERROR(__xludf.DUMMYFUNCTION("""COMPUTED_VALUE"""),"JDP: 1ST PMS DONE")</f>
        <v>JDP: 1ST PMS DONE</v>
      </c>
      <c r="M1282" s="2"/>
      <c r="N1282" s="2" t="str">
        <f>IFERROR(__xludf.DUMMYFUNCTION("""COMPUTED_VALUE"""),"PARTS:
OIL FILTER
ENGINE OIL")</f>
        <v>PARTS:
OIL FILTER
ENGINE OIL</v>
      </c>
      <c r="O1282" s="2">
        <f>IFERROR(__xludf.DUMMYFUNCTION("""COMPUTED_VALUE"""),480.0)</f>
        <v>480</v>
      </c>
      <c r="P1282" s="2"/>
      <c r="Q1282" s="2" t="str">
        <f>IFERROR(__xludf.DUMMYFUNCTION("""COMPUTED_VALUE"""),"FOR PRINT")</f>
        <v>FOR PRINT</v>
      </c>
      <c r="R1282" s="74">
        <f>IFERROR(__xludf.DUMMYFUNCTION("""COMPUTED_VALUE"""),46028.0)</f>
        <v>46028</v>
      </c>
      <c r="S1282" s="2" t="str">
        <f>IFERROR(__xludf.DUMMYFUNCTION("""COMPUTED_VALUE"""),"CFG/JDP")</f>
        <v>CFG/JDP</v>
      </c>
      <c r="T1282" s="73" t="str">
        <f>IFERROR(__xludf.DUMMYFUNCTION("""COMPUTED_VALUE""")," N/A ")</f>
        <v>N/A</v>
      </c>
      <c r="U1282" s="73" t="str">
        <f>IFERROR(__xludf.DUMMYFUNCTION("""COMPUTED_VALUE""")," NO CHARGE ")</f>
        <v>NO CHARGE</v>
      </c>
      <c r="V1282" s="2"/>
      <c r="W1282" s="2" t="str">
        <f>IFERROR(__xludf.DUMMYFUNCTION("""COMPUTED_VALUE"""),"N/A")</f>
        <v>N/A</v>
      </c>
      <c r="X1282" s="2" t="str">
        <f>IFERROR(__xludf.DUMMYFUNCTION("""COMPUTED_VALUE"""),"N/A")</f>
        <v>N/A</v>
      </c>
      <c r="Y1282" s="2"/>
      <c r="Z1282" s="2"/>
      <c r="AA1282" s="2"/>
      <c r="AB1282" s="2"/>
      <c r="AC1282" s="2"/>
      <c r="AD1282" s="2"/>
      <c r="AE1282" s="2"/>
      <c r="AF1282" s="2"/>
      <c r="AG1282" s="2"/>
      <c r="AH1282" s="2"/>
      <c r="AI1282" s="2"/>
      <c r="AJ1282" s="2" t="str">
        <f>IFERROR(__xludf.DUMMYFUNCTION("""COMPUTED_VALUE"""),"Santo Rosario")</f>
        <v>Santo Rosario</v>
      </c>
      <c r="AK1282" s="2" t="str">
        <f>IFERROR(__xludf.DUMMYFUNCTION("""COMPUTED_VALUE"""),"Capas")</f>
        <v>Capas</v>
      </c>
      <c r="AL1282" s="2" t="str">
        <f>IFERROR(__xludf.DUMMYFUNCTION("""COMPUTED_VALUE"""),"Tarlac")</f>
        <v>Tarlac</v>
      </c>
      <c r="AM1282" s="2">
        <f>IFERROR(__xludf.DUMMYFUNCTION("""COMPUTED_VALUE"""),3.0)</f>
        <v>3</v>
      </c>
      <c r="AN1282" s="2" t="str">
        <f>IFERROR(__xludf.DUMMYFUNCTION("""COMPUTED_VALUE"""),"RCEF 25-03-05")</f>
        <v>RCEF 25-03-05</v>
      </c>
      <c r="AO1282" s="2">
        <f>IFERROR(__xludf.DUMMYFUNCTION("""COMPUTED_VALUE"""),5.0)</f>
        <v>5</v>
      </c>
      <c r="AP1282" s="2" t="str">
        <f>IFERROR(__xludf.DUMMYFUNCTION("""COMPUTED_VALUE"""),"FREE PMS")</f>
        <v>FREE PMS</v>
      </c>
      <c r="AQ1282" s="2"/>
      <c r="AR1282" s="2"/>
      <c r="AS1282" s="2"/>
      <c r="AT1282" s="2"/>
      <c r="AU1282" s="2"/>
      <c r="AV1282" s="2"/>
      <c r="AW1282" s="2"/>
      <c r="AX1282" s="2"/>
      <c r="AY1282" s="2"/>
      <c r="AZ1282" s="2"/>
      <c r="BA1282" s="2"/>
      <c r="BB1282" s="2"/>
    </row>
    <row r="1283">
      <c r="A1283" s="2">
        <f>IFERROR(__xludf.DUMMYFUNCTION("""COMPUTED_VALUE"""),1279.0)</f>
        <v>1279</v>
      </c>
      <c r="B1283" s="2" t="str">
        <f>IFERROR(__xludf.DUMMYFUNCTION("""COMPUTED_VALUE"""),"COMPLETED")</f>
        <v>COMPLETED</v>
      </c>
      <c r="C1283" s="74">
        <f>IFERROR(__xludf.DUMMYFUNCTION("""COMPUTED_VALUE"""),45994.0)</f>
        <v>45994</v>
      </c>
      <c r="D1283" s="71" t="str">
        <f>IFERROR(__xludf.DUMMYFUNCTION("""COMPUTED_VALUE"""),"Baloy Agriculture Cooperative (BAC)")</f>
        <v>Baloy Agriculture Cooperative (BAC)</v>
      </c>
      <c r="E1283" s="71" t="str">
        <f>IFERROR(__xludf.DUMMYFUNCTION("""COMPUTED_VALUE"""),"Baloy, Cuyapo, NUEVA ECIJA")</f>
        <v>Baloy, Cuyapo, NUEVA ECIJA</v>
      </c>
      <c r="F1283" s="2" t="str">
        <f>IFERROR(__xludf.DUMMYFUNCTION("""COMPUTED_VALUE"""),"Emmanuel R. Gagarin Jr. ")</f>
        <v>Emmanuel R. Gagarin Jr. </v>
      </c>
      <c r="G1283" s="2">
        <f>IFERROR(__xludf.DUMMYFUNCTION("""COMPUTED_VALUE"""),9.493945718E9)</f>
        <v>9493945718</v>
      </c>
      <c r="H1283" s="2">
        <f>IFERROR(__xludf.DUMMYFUNCTION("""COMPUTED_VALUE"""),48.1)</f>
        <v>48.1</v>
      </c>
      <c r="I1283" s="72" t="str">
        <f>IFERROR(__xludf.DUMMYFUNCTION("""COMPUTED_VALUE"""),"PMS")</f>
        <v>PMS</v>
      </c>
      <c r="J1283" s="72" t="str">
        <f>IFERROR(__xludf.DUMMYFUNCTION("""COMPUTED_VALUE"""),"PMS")</f>
        <v>PMS</v>
      </c>
      <c r="K1283" s="72" t="str">
        <f>IFERROR(__xludf.DUMMYFUNCTION("""COMPUTED_VALUE"""),"JHP: 1ST PMS FREE")</f>
        <v>JHP: 1ST PMS FREE</v>
      </c>
      <c r="L1283" s="72" t="str">
        <f>IFERROR(__xludf.DUMMYFUNCTION("""COMPUTED_VALUE"""),"ACS: 1ST PMS DONE")</f>
        <v>ACS: 1ST PMS DONE</v>
      </c>
      <c r="M1283" s="2"/>
      <c r="N1283" s="2" t="str">
        <f>IFERROR(__xludf.DUMMYFUNCTION("""COMPUTED_VALUE"""),"PARTS:
OIL FILTER
ENGINE OIL")</f>
        <v>PARTS:
OIL FILTER
ENGINE OIL</v>
      </c>
      <c r="O1283" s="2">
        <f>IFERROR(__xludf.DUMMYFUNCTION("""COMPUTED_VALUE"""),651.0)</f>
        <v>651</v>
      </c>
      <c r="P1283" s="2"/>
      <c r="Q1283" s="2" t="str">
        <f>IFERROR(__xludf.DUMMYFUNCTION("""COMPUTED_VALUE"""),"FOR PRINT")</f>
        <v>FOR PRINT</v>
      </c>
      <c r="R1283" s="74">
        <f>IFERROR(__xludf.DUMMYFUNCTION("""COMPUTED_VALUE"""),46007.0)</f>
        <v>46007</v>
      </c>
      <c r="S1283" s="2" t="str">
        <f>IFERROR(__xludf.DUMMYFUNCTION("""COMPUTED_VALUE"""),"JHP/ACS")</f>
        <v>JHP/ACS</v>
      </c>
      <c r="T1283" s="73" t="str">
        <f>IFERROR(__xludf.DUMMYFUNCTION("""COMPUTED_VALUE""")," N/A ")</f>
        <v>N/A</v>
      </c>
      <c r="U1283" s="73" t="str">
        <f>IFERROR(__xludf.DUMMYFUNCTION("""COMPUTED_VALUE""")," NO CHARGE ")</f>
        <v>NO CHARGE</v>
      </c>
      <c r="V1283" s="2"/>
      <c r="W1283" s="2" t="str">
        <f>IFERROR(__xludf.DUMMYFUNCTION("""COMPUTED_VALUE"""),"N/A")</f>
        <v>N/A</v>
      </c>
      <c r="X1283" s="2" t="str">
        <f>IFERROR(__xludf.DUMMYFUNCTION("""COMPUTED_VALUE"""),"N/A")</f>
        <v>N/A</v>
      </c>
      <c r="Y1283" s="2"/>
      <c r="Z1283" s="2"/>
      <c r="AA1283" s="2"/>
      <c r="AB1283" s="2"/>
      <c r="AC1283" s="2"/>
      <c r="AD1283" s="2"/>
      <c r="AE1283" s="2"/>
      <c r="AF1283" s="2"/>
      <c r="AG1283" s="2"/>
      <c r="AH1283" s="2"/>
      <c r="AI1283" s="2"/>
      <c r="AJ1283" s="2" t="str">
        <f>IFERROR(__xludf.DUMMYFUNCTION("""COMPUTED_VALUE"""),"Baloy")</f>
        <v>Baloy</v>
      </c>
      <c r="AK1283" s="2" t="str">
        <f>IFERROR(__xludf.DUMMYFUNCTION("""COMPUTED_VALUE"""),"Cuyapo")</f>
        <v>Cuyapo</v>
      </c>
      <c r="AL1283" s="2" t="str">
        <f>IFERROR(__xludf.DUMMYFUNCTION("""COMPUTED_VALUE"""),"Nueva Ecija")</f>
        <v>Nueva Ecija</v>
      </c>
      <c r="AM1283" s="2">
        <f>IFERROR(__xludf.DUMMYFUNCTION("""COMPUTED_VALUE"""),3.0)</f>
        <v>3</v>
      </c>
      <c r="AN1283" s="2" t="str">
        <f>IFERROR(__xludf.DUMMYFUNCTION("""COMPUTED_VALUE"""),"RCEF 25-03-05")</f>
        <v>RCEF 25-03-05</v>
      </c>
      <c r="AO1283" s="2">
        <f>IFERROR(__xludf.DUMMYFUNCTION("""COMPUTED_VALUE"""),5.0)</f>
        <v>5</v>
      </c>
      <c r="AP1283" s="2" t="str">
        <f>IFERROR(__xludf.DUMMYFUNCTION("""COMPUTED_VALUE"""),"FREE PMS")</f>
        <v>FREE PMS</v>
      </c>
      <c r="AQ1283" s="2"/>
      <c r="AR1283" s="2"/>
      <c r="AS1283" s="2"/>
      <c r="AT1283" s="2"/>
      <c r="AU1283" s="2"/>
      <c r="AV1283" s="2"/>
      <c r="AW1283" s="2"/>
      <c r="AX1283" s="2"/>
      <c r="AY1283" s="2"/>
      <c r="AZ1283" s="2"/>
      <c r="BA1283" s="2"/>
      <c r="BB1283" s="2"/>
    </row>
    <row r="1284">
      <c r="A1284" s="2">
        <f>IFERROR(__xludf.DUMMYFUNCTION("""COMPUTED_VALUE"""),1280.0)</f>
        <v>1280</v>
      </c>
      <c r="B1284" s="2" t="str">
        <f>IFERROR(__xludf.DUMMYFUNCTION("""COMPUTED_VALUE"""),"COMPLETED")</f>
        <v>COMPLETED</v>
      </c>
      <c r="C1284" s="74">
        <f>IFERROR(__xludf.DUMMYFUNCTION("""COMPUTED_VALUE"""),45994.0)</f>
        <v>45994</v>
      </c>
      <c r="D1284" s="71" t="str">
        <f>IFERROR(__xludf.DUMMYFUNCTION("""COMPUTED_VALUE"""),"DELTA SQUAD GUARDIAN FARMERS ASSOCIATION")</f>
        <v>DELTA SQUAD GUARDIAN FARMERS ASSOCIATION</v>
      </c>
      <c r="E1284" s="71" t="str">
        <f>IFERROR(__xludf.DUMMYFUNCTION("""COMPUTED_VALUE"""),"Mapaya, San Jose, OCCIDENTAL MINDORO")</f>
        <v>Mapaya, San Jose, OCCIDENTAL MINDORO</v>
      </c>
      <c r="F1284" s="2" t="str">
        <f>IFERROR(__xludf.DUMMYFUNCTION("""COMPUTED_VALUE"""),"Eddie boy garcia")</f>
        <v>Eddie boy garcia</v>
      </c>
      <c r="G1284" s="2">
        <f>IFERROR(__xludf.DUMMYFUNCTION("""COMPUTED_VALUE"""),9.508692448E9)</f>
        <v>9508692448</v>
      </c>
      <c r="H1284" s="2">
        <f>IFERROR(__xludf.DUMMYFUNCTION("""COMPUTED_VALUE"""),33.0)</f>
        <v>33</v>
      </c>
      <c r="I1284" s="72" t="str">
        <f>IFERROR(__xludf.DUMMYFUNCTION("""COMPUTED_VALUE"""),"PMS")</f>
        <v>PMS</v>
      </c>
      <c r="J1284" s="72" t="str">
        <f>IFERROR(__xludf.DUMMYFUNCTION("""COMPUTED_VALUE"""),"PMS")</f>
        <v>PMS</v>
      </c>
      <c r="K1284" s="72" t="str">
        <f>IFERROR(__xludf.DUMMYFUNCTION("""COMPUTED_VALUE"""),"FPJ: 1ST PMS FREE")</f>
        <v>FPJ: 1ST PMS FREE</v>
      </c>
      <c r="L1284" s="72" t="str">
        <f>IFERROR(__xludf.DUMMYFUNCTION("""COMPUTED_VALUE"""),"FPJ: 1ST PMS DONE")</f>
        <v>FPJ: 1ST PMS DONE</v>
      </c>
      <c r="M1284" s="2"/>
      <c r="N1284" s="2" t="str">
        <f>IFERROR(__xludf.DUMMYFUNCTION("""COMPUTED_VALUE"""),"PARTS:
OIL FILTER
ENGINE OIL")</f>
        <v>PARTS:
OIL FILTER
ENGINE OIL</v>
      </c>
      <c r="O1284" s="2">
        <f>IFERROR(__xludf.DUMMYFUNCTION("""COMPUTED_VALUE"""),199.0)</f>
        <v>199</v>
      </c>
      <c r="P1284" s="2"/>
      <c r="Q1284" s="2" t="str">
        <f>IFERROR(__xludf.DUMMYFUNCTION("""COMPUTED_VALUE"""),"FOR PRINT")</f>
        <v>FOR PRINT</v>
      </c>
      <c r="R1284" s="74">
        <f>IFERROR(__xludf.DUMMYFUNCTION("""COMPUTED_VALUE"""),45994.0)</f>
        <v>45994</v>
      </c>
      <c r="S1284" s="2" t="str">
        <f>IFERROR(__xludf.DUMMYFUNCTION("""COMPUTED_VALUE"""),"RBS/FPJ")</f>
        <v>RBS/FPJ</v>
      </c>
      <c r="T1284" s="73" t="str">
        <f>IFERROR(__xludf.DUMMYFUNCTION("""COMPUTED_VALUE""")," N/A ")</f>
        <v>N/A</v>
      </c>
      <c r="U1284" s="73" t="str">
        <f>IFERROR(__xludf.DUMMYFUNCTION("""COMPUTED_VALUE""")," NO CHARGE ")</f>
        <v>NO CHARGE</v>
      </c>
      <c r="V1284" s="2"/>
      <c r="W1284" s="2" t="str">
        <f>IFERROR(__xludf.DUMMYFUNCTION("""COMPUTED_VALUE"""),"N/A")</f>
        <v>N/A</v>
      </c>
      <c r="X1284" s="2" t="str">
        <f>IFERROR(__xludf.DUMMYFUNCTION("""COMPUTED_VALUE"""),"N/A")</f>
        <v>N/A</v>
      </c>
      <c r="Y1284" s="2"/>
      <c r="Z1284" s="2"/>
      <c r="AA1284" s="2"/>
      <c r="AB1284" s="2"/>
      <c r="AC1284" s="2"/>
      <c r="AD1284" s="2"/>
      <c r="AE1284" s="2"/>
      <c r="AF1284" s="2"/>
      <c r="AG1284" s="2"/>
      <c r="AH1284" s="2"/>
      <c r="AI1284" s="2"/>
      <c r="AJ1284" s="2" t="str">
        <f>IFERROR(__xludf.DUMMYFUNCTION("""COMPUTED_VALUE"""),"Mapaya")</f>
        <v>Mapaya</v>
      </c>
      <c r="AK1284" s="2" t="str">
        <f>IFERROR(__xludf.DUMMYFUNCTION("""COMPUTED_VALUE"""),"San Jose")</f>
        <v>San Jose</v>
      </c>
      <c r="AL1284" s="2" t="str">
        <f>IFERROR(__xludf.DUMMYFUNCTION("""COMPUTED_VALUE"""),"Occidental Mindoro")</f>
        <v>Occidental Mindoro</v>
      </c>
      <c r="AM1284" s="2" t="str">
        <f>IFERROR(__xludf.DUMMYFUNCTION("""COMPUTED_VALUE"""),"4B")</f>
        <v>4B</v>
      </c>
      <c r="AN1284" s="2" t="str">
        <f>IFERROR(__xludf.DUMMYFUNCTION("""COMPUTED_VALUE"""),"RCEF 25-03-05")</f>
        <v>RCEF 25-03-05</v>
      </c>
      <c r="AO1284" s="2">
        <f>IFERROR(__xludf.DUMMYFUNCTION("""COMPUTED_VALUE"""),6.0)</f>
        <v>6</v>
      </c>
      <c r="AP1284" s="2" t="str">
        <f>IFERROR(__xludf.DUMMYFUNCTION("""COMPUTED_VALUE"""),"FREE PMS")</f>
        <v>FREE PMS</v>
      </c>
      <c r="AQ1284" s="2"/>
      <c r="AR1284" s="2"/>
      <c r="AS1284" s="2"/>
      <c r="AT1284" s="2"/>
      <c r="AU1284" s="2"/>
      <c r="AV1284" s="2"/>
      <c r="AW1284" s="2"/>
      <c r="AX1284" s="2"/>
      <c r="AY1284" s="2"/>
      <c r="AZ1284" s="2"/>
      <c r="BA1284" s="2"/>
      <c r="BB1284" s="2"/>
    </row>
    <row r="1285">
      <c r="A1285" s="2">
        <f>IFERROR(__xludf.DUMMYFUNCTION("""COMPUTED_VALUE"""),1281.0)</f>
        <v>1281</v>
      </c>
      <c r="B1285" s="2" t="str">
        <f>IFERROR(__xludf.DUMMYFUNCTION("""COMPUTED_VALUE"""),"COMPLETED")</f>
        <v>COMPLETED</v>
      </c>
      <c r="C1285" s="74">
        <f>IFERROR(__xludf.DUMMYFUNCTION("""COMPUTED_VALUE"""),45994.0)</f>
        <v>45994</v>
      </c>
      <c r="D1285" s="71" t="str">
        <f>IFERROR(__xludf.DUMMYFUNCTION("""COMPUTED_VALUE"""),"NEW PLANAS AGRICULTURE")</f>
        <v>NEW PLANAS AGRICULTURE</v>
      </c>
      <c r="E1285" s="71" t="str">
        <f>IFERROR(__xludf.DUMMYFUNCTION("""COMPUTED_VALUE"""),"PLANAS, PORAC, PAMPANGA")</f>
        <v>PLANAS, PORAC, PAMPANGA</v>
      </c>
      <c r="F1285" s="2" t="str">
        <f>IFERROR(__xludf.DUMMYFUNCTION("""COMPUTED_VALUE"""),"Amor P Mallari")</f>
        <v>Amor P Mallari</v>
      </c>
      <c r="G1285" s="2">
        <f>IFERROR(__xludf.DUMMYFUNCTION("""COMPUTED_VALUE"""),9.093105708E9)</f>
        <v>9093105708</v>
      </c>
      <c r="H1285" s="2"/>
      <c r="I1285" s="72" t="str">
        <f>IFERROR(__xludf.DUMMYFUNCTION("""COMPUTED_VALUE"""),"SPARE PARTS ACQUISITION")</f>
        <v>SPARE PARTS ACQUISITION</v>
      </c>
      <c r="J1285" s="72" t="str">
        <f>IFERROR(__xludf.DUMMYFUNCTION("""COMPUTED_VALUE"""),"PARTS REQUEST")</f>
        <v>PARTS REQUEST</v>
      </c>
      <c r="K1285" s="72" t="str">
        <f>IFERROR(__xludf.DUMMYFUNCTION("""COMPUTED_VALUE"""),"JVV: Order daw po sila ng takip Ng diesel hydraulic filter Isa tapos papa change oil nadaw po sila ng hydraulic")</f>
        <v>JVV: Order daw po sila ng takip Ng diesel hydraulic filter Isa tapos papa change oil nadaw po sila ng hydraulic</v>
      </c>
      <c r="L1285" s="72" t="str">
        <f>IFERROR(__xludf.DUMMYFUNCTION("""COMPUTED_VALUE"""),"RCG: SUBJECT FOR CHANGE OIL
- MAG OUT SOURCE DAW MUNA SILA FILTER TAPOS YUNG OPERATOR NA ANG NAG PERFORM NG PMS. NAG TANUNG NA LANG SILA KUNG ILAN LITRO LANG NANG LANGIS ANG KAILANGAN . 
- BUMILI LANG SILA SATIN NG FUEL CUP")</f>
        <v>RCG: SUBJECT FOR CHANGE OIL
- MAG OUT SOURCE DAW MUNA SILA FILTER TAPOS YUNG OPERATOR NA ANG NAG PERFORM NG PMS. NAG TANUNG NA LANG SILA KUNG ILAN LITRO LANG NANG LANGIS ANG KAILANGAN . 
- BUMILI LANG SILA SATIN NG FUEL CUP</v>
      </c>
      <c r="M1285" s="2"/>
      <c r="N1285" s="2" t="str">
        <f>IFERROR(__xludf.DUMMYFUNCTION("""COMPUTED_VALUE"""),"PARTS:
FUEL CAP TA00017995A")</f>
        <v>PARTS:
FUEL CAP TA00017995A</v>
      </c>
      <c r="O1285" s="2">
        <f>IFERROR(__xludf.DUMMYFUNCTION("""COMPUTED_VALUE"""),707.0)</f>
        <v>707</v>
      </c>
      <c r="P1285" s="2"/>
      <c r="Q1285" s="2" t="str">
        <f>IFERROR(__xludf.DUMMYFUNCTION("""COMPUTED_VALUE"""),"FOR PRINT")</f>
        <v>FOR PRINT</v>
      </c>
      <c r="R1285" s="74">
        <f>IFERROR(__xludf.DUMMYFUNCTION("""COMPUTED_VALUE"""),46029.0)</f>
        <v>46029</v>
      </c>
      <c r="S1285" s="2" t="str">
        <f>IFERROR(__xludf.DUMMYFUNCTION("""COMPUTED_VALUE"""),"RCG/DRM")</f>
        <v>RCG/DRM</v>
      </c>
      <c r="T1285" s="73">
        <f>IFERROR(__xludf.DUMMYFUNCTION("""COMPUTED_VALUE"""),2030.0)</f>
        <v>2030</v>
      </c>
      <c r="U1285" s="73" t="str">
        <f>IFERROR(__xludf.DUMMYFUNCTION("""COMPUTED_VALUE""")," REMITTED ")</f>
        <v>REMITTED</v>
      </c>
      <c r="V1285" s="2">
        <f>IFERROR(__xludf.DUMMYFUNCTION("""COMPUTED_VALUE"""),1449.0)</f>
        <v>1449</v>
      </c>
      <c r="W1285" s="2">
        <f>IFERROR(__xludf.DUMMYFUNCTION("""COMPUTED_VALUE"""),2001.0)</f>
        <v>2001</v>
      </c>
      <c r="X1285" s="2">
        <f>IFERROR(__xludf.DUMMYFUNCTION("""COMPUTED_VALUE"""),1770.0)</f>
        <v>1770</v>
      </c>
      <c r="Y1285" s="2"/>
      <c r="Z1285" s="2"/>
      <c r="AA1285" s="2"/>
      <c r="AB1285" s="2"/>
      <c r="AC1285" s="2"/>
      <c r="AD1285" s="2"/>
      <c r="AE1285" s="2"/>
      <c r="AF1285" s="2"/>
      <c r="AG1285" s="2"/>
      <c r="AH1285" s="2"/>
      <c r="AI1285" s="2"/>
      <c r="AJ1285" s="2" t="str">
        <f>IFERROR(__xludf.DUMMYFUNCTION("""COMPUTED_VALUE"""),"Planas")</f>
        <v>Planas</v>
      </c>
      <c r="AK1285" s="2" t="str">
        <f>IFERROR(__xludf.DUMMYFUNCTION("""COMPUTED_VALUE"""),"Porac")</f>
        <v>Porac</v>
      </c>
      <c r="AL1285" s="2" t="str">
        <f>IFERROR(__xludf.DUMMYFUNCTION("""COMPUTED_VALUE"""),"Pampanga")</f>
        <v>Pampanga</v>
      </c>
      <c r="AM1285" s="2">
        <f>IFERROR(__xludf.DUMMYFUNCTION("""COMPUTED_VALUE"""),3.0)</f>
        <v>3</v>
      </c>
      <c r="AN1285" s="2" t="str">
        <f>IFERROR(__xludf.DUMMYFUNCTION("""COMPUTED_VALUE"""),"RCEF 23-09-21 Rebidding")</f>
        <v>RCEF 23-09-21 Rebidding</v>
      </c>
      <c r="AO1285" s="2">
        <f>IFERROR(__xludf.DUMMYFUNCTION("""COMPUTED_VALUE"""),9.0)</f>
        <v>9</v>
      </c>
      <c r="AP1285" s="2"/>
      <c r="AQ1285" s="2"/>
      <c r="AR1285" s="2"/>
      <c r="AS1285" s="2"/>
      <c r="AT1285" s="2"/>
      <c r="AU1285" s="2"/>
      <c r="AV1285" s="2"/>
      <c r="AW1285" s="2"/>
      <c r="AX1285" s="2"/>
      <c r="AY1285" s="2"/>
      <c r="AZ1285" s="2"/>
      <c r="BA1285" s="2"/>
      <c r="BB1285" s="2"/>
    </row>
    <row r="1286">
      <c r="A1286" s="2">
        <f>IFERROR(__xludf.DUMMYFUNCTION("""COMPUTED_VALUE"""),1282.0)</f>
        <v>1282</v>
      </c>
      <c r="B1286" s="2" t="str">
        <f>IFERROR(__xludf.DUMMYFUNCTION("""COMPUTED_VALUE"""),"COMPLETED")</f>
        <v>COMPLETED</v>
      </c>
      <c r="C1286" s="74">
        <f>IFERROR(__xludf.DUMMYFUNCTION("""COMPUTED_VALUE"""),45994.0)</f>
        <v>45994</v>
      </c>
      <c r="D1286" s="71" t="str">
        <f>IFERROR(__xludf.DUMMYFUNCTION("""COMPUTED_VALUE"""),"PARAAN IRRIGATORS ASSOCIATION INC.")</f>
        <v>PARAAN IRRIGATORS ASSOCIATION INC.</v>
      </c>
      <c r="E1286" s="71" t="str">
        <f>IFERROR(__xludf.DUMMYFUNCTION("""COMPUTED_VALUE"""),"Tinejero, Pulilan, BULACAN")</f>
        <v>Tinejero, Pulilan, BULACAN</v>
      </c>
      <c r="F1286" s="2" t="str">
        <f>IFERROR(__xludf.DUMMYFUNCTION("""COMPUTED_VALUE"""),"JOSELITO CALDERON")</f>
        <v>JOSELITO CALDERON</v>
      </c>
      <c r="G1286" s="2">
        <f>IFERROR(__xludf.DUMMYFUNCTION("""COMPUTED_VALUE"""),9.185844336E9)</f>
        <v>9185844336</v>
      </c>
      <c r="H1286" s="2">
        <f>IFERROR(__xludf.DUMMYFUNCTION("""COMPUTED_VALUE"""),51.0)</f>
        <v>51</v>
      </c>
      <c r="I1286" s="72" t="str">
        <f>IFERROR(__xludf.DUMMYFUNCTION("""COMPUTED_VALUE"""),"PMS")</f>
        <v>PMS</v>
      </c>
      <c r="J1286" s="72" t="str">
        <f>IFERROR(__xludf.DUMMYFUNCTION("""COMPUTED_VALUE"""),"PMS")</f>
        <v>PMS</v>
      </c>
      <c r="K1286" s="72" t="str">
        <f>IFERROR(__xludf.DUMMYFUNCTION("""COMPUTED_VALUE"""),"JVV: Order daw po sila ng takip Ng diesel hydraulic filter Isa tapos papa change oil nadaw po sila ng hydraulic")</f>
        <v>JVV: Order daw po sila ng takip Ng diesel hydraulic filter Isa tapos papa change oil nadaw po sila ng hydraulic</v>
      </c>
      <c r="L1286" s="72" t="str">
        <f>IFERROR(__xludf.DUMMYFUNCTION("""COMPUTED_VALUE"""),"JHP: 1ST PMS DONE")</f>
        <v>JHP: 1ST PMS DONE</v>
      </c>
      <c r="M1286" s="2"/>
      <c r="N1286" s="2" t="str">
        <f>IFERROR(__xludf.DUMMYFUNCTION("""COMPUTED_VALUE"""),"PARTS:
OIL FILTER
ENGINE OIL")</f>
        <v>PARTS:
OIL FILTER
ENGINE OIL</v>
      </c>
      <c r="O1286" s="2">
        <f>IFERROR(__xludf.DUMMYFUNCTION("""COMPUTED_VALUE"""),1448.0)</f>
        <v>1448</v>
      </c>
      <c r="P1286" s="2"/>
      <c r="Q1286" s="2" t="str">
        <f>IFERROR(__xludf.DUMMYFUNCTION("""COMPUTED_VALUE"""),"FOR PRINT")</f>
        <v>FOR PRINT</v>
      </c>
      <c r="R1286" s="74">
        <f>IFERROR(__xludf.DUMMYFUNCTION("""COMPUTED_VALUE"""),46000.0)</f>
        <v>46000</v>
      </c>
      <c r="S1286" s="2" t="str">
        <f>IFERROR(__xludf.DUMMYFUNCTION("""COMPUTED_VALUE"""),"JHP")</f>
        <v>JHP</v>
      </c>
      <c r="T1286" s="73" t="str">
        <f>IFERROR(__xludf.DUMMYFUNCTION("""COMPUTED_VALUE""")," N/A ")</f>
        <v>N/A</v>
      </c>
      <c r="U1286" s="73" t="str">
        <f>IFERROR(__xludf.DUMMYFUNCTION("""COMPUTED_VALUE""")," NO CHARGE ")</f>
        <v>NO CHARGE</v>
      </c>
      <c r="V1286" s="2"/>
      <c r="W1286" s="2" t="str">
        <f>IFERROR(__xludf.DUMMYFUNCTION("""COMPUTED_VALUE"""),"N/A")</f>
        <v>N/A</v>
      </c>
      <c r="X1286" s="2" t="str">
        <f>IFERROR(__xludf.DUMMYFUNCTION("""COMPUTED_VALUE"""),"N/A")</f>
        <v>N/A</v>
      </c>
      <c r="Y1286" s="2"/>
      <c r="Z1286" s="2"/>
      <c r="AA1286" s="2"/>
      <c r="AB1286" s="2"/>
      <c r="AC1286" s="2"/>
      <c r="AD1286" s="2"/>
      <c r="AE1286" s="2"/>
      <c r="AF1286" s="2"/>
      <c r="AG1286" s="2"/>
      <c r="AH1286" s="2"/>
      <c r="AI1286" s="2"/>
      <c r="AJ1286" s="2" t="str">
        <f>IFERROR(__xludf.DUMMYFUNCTION("""COMPUTED_VALUE"""),"Tinejero")</f>
        <v>Tinejero</v>
      </c>
      <c r="AK1286" s="2" t="str">
        <f>IFERROR(__xludf.DUMMYFUNCTION("""COMPUTED_VALUE"""),"Pulilan")</f>
        <v>Pulilan</v>
      </c>
      <c r="AL1286" s="2" t="str">
        <f>IFERROR(__xludf.DUMMYFUNCTION("""COMPUTED_VALUE"""),"Bulacan")</f>
        <v>Bulacan</v>
      </c>
      <c r="AM1286" s="2">
        <f>IFERROR(__xludf.DUMMYFUNCTION("""COMPUTED_VALUE"""),3.0)</f>
        <v>3</v>
      </c>
      <c r="AN1286" s="2" t="str">
        <f>IFERROR(__xludf.DUMMYFUNCTION("""COMPUTED_VALUE"""),"RCEF 25-03-05")</f>
        <v>RCEF 25-03-05</v>
      </c>
      <c r="AO1286" s="2">
        <f>IFERROR(__xludf.DUMMYFUNCTION("""COMPUTED_VALUE"""),5.0)</f>
        <v>5</v>
      </c>
      <c r="AP1286" s="2" t="str">
        <f>IFERROR(__xludf.DUMMYFUNCTION("""COMPUTED_VALUE"""),"FREE PMS")</f>
        <v>FREE PMS</v>
      </c>
      <c r="AQ1286" s="2"/>
      <c r="AR1286" s="2"/>
      <c r="AS1286" s="2"/>
      <c r="AT1286" s="2"/>
      <c r="AU1286" s="2"/>
      <c r="AV1286" s="2"/>
      <c r="AW1286" s="2"/>
      <c r="AX1286" s="2"/>
      <c r="AY1286" s="2"/>
      <c r="AZ1286" s="2"/>
      <c r="BA1286" s="2"/>
      <c r="BB1286" s="2"/>
    </row>
    <row r="1287">
      <c r="A1287" s="2">
        <f>IFERROR(__xludf.DUMMYFUNCTION("""COMPUTED_VALUE"""),1283.0)</f>
        <v>1283</v>
      </c>
      <c r="B1287" s="2" t="str">
        <f>IFERROR(__xludf.DUMMYFUNCTION("""COMPUTED_VALUE"""),"PENDING")</f>
        <v>PENDING</v>
      </c>
      <c r="C1287" s="74">
        <f>IFERROR(__xludf.DUMMYFUNCTION("""COMPUTED_VALUE"""),45994.0)</f>
        <v>45994</v>
      </c>
      <c r="D1287" s="71" t="str">
        <f>IFERROR(__xludf.DUMMYFUNCTION("""COMPUTED_VALUE"""),"Paunlarin ang Kabataan sa Pagsasaka Farmers Association")</f>
        <v>Paunlarin ang Kabataan sa Pagsasaka Farmers Association</v>
      </c>
      <c r="E1287" s="71" t="str">
        <f>IFERROR(__xludf.DUMMYFUNCTION("""COMPUTED_VALUE"""),"Mulawin, Santa Cruz, OCCIDENTAL MINDORO")</f>
        <v>Mulawin, Santa Cruz, OCCIDENTAL MINDORO</v>
      </c>
      <c r="F1287" s="2" t="str">
        <f>IFERROR(__xludf.DUMMYFUNCTION("""COMPUTED_VALUE"""),"FERNANDO TUSTANO")</f>
        <v>FERNANDO TUSTANO</v>
      </c>
      <c r="G1287" s="2">
        <f>IFERROR(__xludf.DUMMYFUNCTION("""COMPUTED_VALUE"""),9.974851055E9)</f>
        <v>9974851055</v>
      </c>
      <c r="H1287" s="2">
        <f>IFERROR(__xludf.DUMMYFUNCTION("""COMPUTED_VALUE"""),26.0)</f>
        <v>26</v>
      </c>
      <c r="I1287" s="72" t="str">
        <f>IFERROR(__xludf.DUMMYFUNCTION("""COMPUTED_VALUE"""),"REPAIR - TRACTOR")</f>
        <v>REPAIR - TRACTOR</v>
      </c>
      <c r="J1287" s="72" t="str">
        <f>IFERROR(__xludf.DUMMYFUNCTION("""COMPUTED_VALUE"""),"Transmission - Clutch Problem / Disc Plow - Gearbox")</f>
        <v>Transmission - Clutch Problem / Disc Plow - Gearbox</v>
      </c>
      <c r="K1287" s="72" t="str">
        <f>IFERROR(__xludf.DUMMYFUNCTION("""COMPUTED_VALUE"""),"DATE DELIVERED: NOVEMBER 27, 2025
MYK: 
-MALUWAG YUNG TURNILYO NG MGA GULONG,  
-HARAPANG DISC NG DISCPLOW NATANGAL DAHIL LOST TREAD AND MGA TURNILYO,  
-AMOY SUNOG ANG TRACTOR. 
-MAITIM NA AGAD ANG LANGIS NG ENGINE OIL.
NUNG ROADSHOW, HINDI NA DEMO ANG U"&amp;"NIT SA KANILA, 
-WARRANTY CERTS NILA MALI ANG SERIAL NUMBER VS. SA ACTUAL UNIT.  DAHIL NAG KANYA KANYA NALANG DAW SILA NG UWI NG TRACTOR, WALA DAW NAKAPAG SABI SA KANILA NA DAPAT TIGNAN ANG WARRANTY CERT AT ANG TRACTOR. DAHIL WALA DAW NAG ASSIST SA KANILA"&amp;".
-NAKUHA LANG NILA ANG UNIT NOONG NOV. 27, 2025")</f>
        <v>DATE DELIVERED: NOVEMBER 27, 2025
MYK: 
-MALUWAG YUNG TURNILYO NG MGA GULONG,  
-HARAPANG DISC NG DISCPLOW NATANGAL DAHIL LOST TREAD AND MGA TURNILYO,  
-AMOY SUNOG ANG TRACTOR. 
-MAITIM NA AGAD ANG LANGIS NG ENGINE OIL.
NUNG ROADSHOW, HINDI NA DEMO ANG UNIT SA KANILA, 
-WARRANTY CERTS NILA MALI ANG SERIAL NUMBER VS. SA ACTUAL UNIT.  DAHIL NAG KANYA KANYA NALANG DAW SILA NG UWI NG TRACTOR, WALA DAW NAKAPAG SABI SA KANILA NA DAPAT TIGNAN ANG WARRANTY CERT AT ANG TRACTOR. DAHIL WALA DAW NAG ASSIST SA KANILA.
-NAKUHA LANG NILA ANG UNIT NOONG NOV. 27, 2025</v>
      </c>
      <c r="L1287" s="72" t="str">
        <f>IFERROR(__xludf.DUMMYFUNCTION("""COMPUTED_VALUE"""),"558: FPJ: ADJUST THE CLUTCH PEDAL CHECK THE GPS (INIWANAN NALANG PO NAMIN NG LANGIS AT FILTER , SILA NALANG DAW PO ANG MAG 1ST PMS)
DISCPLOW PREOBLEM PENDING: NEED PARTS
BOLT M14*45*1.25P (B19)
BEVEL GEAR 14T - 3N
OIL SEAL 45 - 85 - 12
RCG: MAHIRAP HUMA"&amp;"NAP NG BOLT PAG WALANG SAMPLE.
RCG: SCHEDULE - 3RD WEEK OF MAY 2026")</f>
        <v>558: FPJ: ADJUST THE CLUTCH PEDAL CHECK THE GPS (INIWANAN NALANG PO NAMIN NG LANGIS AT FILTER , SILA NALANG DAW PO ANG MAG 1ST PMS)
DISCPLOW PREOBLEM PENDING: NEED PARTS
BOLT M14*45*1.25P (B19)
BEVEL GEAR 14T - 3N
OIL SEAL 45 - 85 - 12
RCG: MAHIRAP HUMANAP NG BOLT PAG WALANG SAMPLE.
RCG: SCHEDULE - 3RD WEEK OF MAY 2026</v>
      </c>
      <c r="M1287" s="2" t="str">
        <f>IFERROR(__xludf.DUMMYFUNCTION("""COMPUTED_VALUE"""),"BOLT M14*45*1.25P (B19)
BEVEL GEAR 14T - 3N
OIL SEAL 45 - 85 - 12")</f>
        <v>BOLT M14*45*1.25P (B19)
BEVEL GEAR 14T - 3N
OIL SEAL 45 - 85 - 12</v>
      </c>
      <c r="N1287" s="2" t="str">
        <f>IFERROR(__xludf.DUMMYFUNCTION("""COMPUTED_VALUE"""),"PARTS:
OIL FILTER
ENGINE OIL
")</f>
        <v>PARTS:
OIL FILTER
ENGINE OIL
</v>
      </c>
      <c r="O1287" s="2"/>
      <c r="P1287" s="2"/>
      <c r="Q1287" s="2"/>
      <c r="R1287" s="2"/>
      <c r="S1287" s="2"/>
      <c r="T1287" s="2"/>
      <c r="U1287" s="2"/>
      <c r="V1287" s="2"/>
      <c r="W1287" s="2"/>
      <c r="X1287" s="2"/>
      <c r="Y1287" s="2"/>
      <c r="Z1287" s="2"/>
      <c r="AA1287" s="2"/>
      <c r="AB1287" s="2"/>
      <c r="AC1287" s="2"/>
      <c r="AD1287" s="2"/>
      <c r="AE1287" s="2"/>
      <c r="AF1287" s="2"/>
      <c r="AG1287" s="2"/>
      <c r="AH1287" s="2"/>
      <c r="AI1287" s="2"/>
      <c r="AJ1287" s="2" t="str">
        <f>IFERROR(__xludf.DUMMYFUNCTION("""COMPUTED_VALUE"""),"Mulawin")</f>
        <v>Mulawin</v>
      </c>
      <c r="AK1287" s="2" t="str">
        <f>IFERROR(__xludf.DUMMYFUNCTION("""COMPUTED_VALUE"""),"Santa Cruz")</f>
        <v>Santa Cruz</v>
      </c>
      <c r="AL1287" s="2" t="str">
        <f>IFERROR(__xludf.DUMMYFUNCTION("""COMPUTED_VALUE"""),"Occidental Mindoro")</f>
        <v>Occidental Mindoro</v>
      </c>
      <c r="AM1287" s="2" t="str">
        <f>IFERROR(__xludf.DUMMYFUNCTION("""COMPUTED_VALUE"""),"4B")</f>
        <v>4B</v>
      </c>
      <c r="AN1287" s="2" t="str">
        <f>IFERROR(__xludf.DUMMYFUNCTION("""COMPUTED_VALUE"""),"RCEF 25-03-05")</f>
        <v>RCEF 25-03-05</v>
      </c>
      <c r="AO1287" s="2">
        <f>IFERROR(__xludf.DUMMYFUNCTION("""COMPUTED_VALUE"""),6.0)</f>
        <v>6</v>
      </c>
      <c r="AP1287" s="2" t="str">
        <f>IFERROR(__xludf.DUMMYFUNCTION("""COMPUTED_VALUE"""),"FREE PMS")</f>
        <v>FREE PMS</v>
      </c>
      <c r="AQ1287" s="2"/>
      <c r="AR1287" s="2"/>
      <c r="AS1287" s="2"/>
      <c r="AT1287" s="2"/>
      <c r="AU1287" s="2"/>
      <c r="AV1287" s="2"/>
      <c r="AW1287" s="2"/>
      <c r="AX1287" s="2"/>
      <c r="AY1287" s="2"/>
      <c r="AZ1287" s="2"/>
      <c r="BA1287" s="2"/>
      <c r="BB1287" s="2"/>
    </row>
    <row r="1288">
      <c r="A1288" s="2">
        <f>IFERROR(__xludf.DUMMYFUNCTION("""COMPUTED_VALUE"""),1284.0)</f>
        <v>1284</v>
      </c>
      <c r="B1288" s="2" t="str">
        <f>IFERROR(__xludf.DUMMYFUNCTION("""COMPUTED_VALUE"""),"COMPLETED")</f>
        <v>COMPLETED</v>
      </c>
      <c r="C1288" s="74">
        <f>IFERROR(__xludf.DUMMYFUNCTION("""COMPUTED_VALUE"""),45995.0)</f>
        <v>45995</v>
      </c>
      <c r="D1288" s="71" t="str">
        <f>IFERROR(__xludf.DUMMYFUNCTION("""COMPUTED_VALUE"""),"Cruzian Multipurpose Cooperative")</f>
        <v>Cruzian Multipurpose Cooperative</v>
      </c>
      <c r="E1288" s="71" t="str">
        <f>IFERROR(__xludf.DUMMYFUNCTION("""COMPUTED_VALUE"""),"Santa Cruz (Pob.), Magalang, PAMPANGA")</f>
        <v>Santa Cruz (Pob.), Magalang, PAMPANGA</v>
      </c>
      <c r="F1288" s="2" t="str">
        <f>IFERROR(__xludf.DUMMYFUNCTION("""COMPUTED_VALUE"""),"Ma. Cecilia  Baltazal")</f>
        <v>Ma. Cecilia  Baltazal</v>
      </c>
      <c r="G1288" s="2" t="str">
        <f>IFERROR(__xludf.DUMMYFUNCTION("""COMPUTED_VALUE"""),"09273799362/
09326184149")</f>
        <v>09273799362/
09326184149</v>
      </c>
      <c r="H1288" s="2">
        <f>IFERROR(__xludf.DUMMYFUNCTION("""COMPUTED_VALUE"""),45.3)</f>
        <v>45.3</v>
      </c>
      <c r="I1288" s="72" t="str">
        <f>IFERROR(__xludf.DUMMYFUNCTION("""COMPUTED_VALUE"""),"PMS")</f>
        <v>PMS</v>
      </c>
      <c r="J1288" s="72" t="str">
        <f>IFERROR(__xludf.DUMMYFUNCTION("""COMPUTED_VALUE"""),"PMS")</f>
        <v>PMS</v>
      </c>
      <c r="K1288" s="72" t="str">
        <f>IFERROR(__xludf.DUMMYFUNCTION("""COMPUTED_VALUE"""),"JHP: 1ST PMS FREE")</f>
        <v>JHP: 1ST PMS FREE</v>
      </c>
      <c r="L1288" s="72" t="str">
        <f>IFERROR(__xludf.DUMMYFUNCTION("""COMPUTED_VALUE"""),"JHP: 1ST PMS DONE")</f>
        <v>JHP: 1ST PMS DONE</v>
      </c>
      <c r="M1288" s="2"/>
      <c r="N1288" s="2" t="str">
        <f>IFERROR(__xludf.DUMMYFUNCTION("""COMPUTED_VALUE"""),"PARTS:
OIL FILTER
ENGINE OIL ")</f>
        <v>PARTS:
OIL FILTER
ENGINE OIL </v>
      </c>
      <c r="O1288" s="2">
        <f>IFERROR(__xludf.DUMMYFUNCTION("""COMPUTED_VALUE"""),1445.0)</f>
        <v>1445</v>
      </c>
      <c r="P1288" s="2"/>
      <c r="Q1288" s="2" t="str">
        <f>IFERROR(__xludf.DUMMYFUNCTION("""COMPUTED_VALUE"""),"FOR PRINT")</f>
        <v>FOR PRINT</v>
      </c>
      <c r="R1288" s="74">
        <f>IFERROR(__xludf.DUMMYFUNCTION("""COMPUTED_VALUE"""),45995.0)</f>
        <v>45995</v>
      </c>
      <c r="S1288" s="2" t="str">
        <f>IFERROR(__xludf.DUMMYFUNCTION("""COMPUTED_VALUE"""),"JHP")</f>
        <v>JHP</v>
      </c>
      <c r="T1288" s="73" t="str">
        <f>IFERROR(__xludf.DUMMYFUNCTION("""COMPUTED_VALUE""")," N/A ")</f>
        <v>N/A</v>
      </c>
      <c r="U1288" s="73" t="str">
        <f>IFERROR(__xludf.DUMMYFUNCTION("""COMPUTED_VALUE""")," NO CHARGE ")</f>
        <v>NO CHARGE</v>
      </c>
      <c r="V1288" s="2"/>
      <c r="W1288" s="2" t="str">
        <f>IFERROR(__xludf.DUMMYFUNCTION("""COMPUTED_VALUE"""),"N/A")</f>
        <v>N/A</v>
      </c>
      <c r="X1288" s="2" t="str">
        <f>IFERROR(__xludf.DUMMYFUNCTION("""COMPUTED_VALUE"""),"N/A")</f>
        <v>N/A</v>
      </c>
      <c r="Y1288" s="2"/>
      <c r="Z1288" s="2"/>
      <c r="AA1288" s="2"/>
      <c r="AB1288" s="2"/>
      <c r="AC1288" s="2"/>
      <c r="AD1288" s="2"/>
      <c r="AE1288" s="2"/>
      <c r="AF1288" s="2"/>
      <c r="AG1288" s="2"/>
      <c r="AH1288" s="2"/>
      <c r="AI1288" s="2"/>
      <c r="AJ1288" s="2" t="str">
        <f>IFERROR(__xludf.DUMMYFUNCTION("""COMPUTED_VALUE"""),"Santa Cruz (Pob.)")</f>
        <v>Santa Cruz (Pob.)</v>
      </c>
      <c r="AK1288" s="2" t="str">
        <f>IFERROR(__xludf.DUMMYFUNCTION("""COMPUTED_VALUE"""),"Magalang")</f>
        <v>Magalang</v>
      </c>
      <c r="AL1288" s="2" t="str">
        <f>IFERROR(__xludf.DUMMYFUNCTION("""COMPUTED_VALUE"""),"Pampanga")</f>
        <v>Pampanga</v>
      </c>
      <c r="AM1288" s="2">
        <f>IFERROR(__xludf.DUMMYFUNCTION("""COMPUTED_VALUE"""),3.0)</f>
        <v>3</v>
      </c>
      <c r="AN1288" s="2" t="str">
        <f>IFERROR(__xludf.DUMMYFUNCTION("""COMPUTED_VALUE"""),"RCEF 25-03-05")</f>
        <v>RCEF 25-03-05</v>
      </c>
      <c r="AO1288" s="2">
        <f>IFERROR(__xludf.DUMMYFUNCTION("""COMPUTED_VALUE"""),5.0)</f>
        <v>5</v>
      </c>
      <c r="AP1288" s="2" t="str">
        <f>IFERROR(__xludf.DUMMYFUNCTION("""COMPUTED_VALUE"""),"FREE PMS")</f>
        <v>FREE PMS</v>
      </c>
      <c r="AQ1288" s="2"/>
      <c r="AR1288" s="2"/>
      <c r="AS1288" s="2"/>
      <c r="AT1288" s="2"/>
      <c r="AU1288" s="2"/>
      <c r="AV1288" s="2"/>
      <c r="AW1288" s="2"/>
      <c r="AX1288" s="2"/>
      <c r="AY1288" s="2"/>
      <c r="AZ1288" s="2"/>
      <c r="BA1288" s="2"/>
      <c r="BB1288" s="2"/>
    </row>
    <row r="1289">
      <c r="A1289" s="2">
        <f>IFERROR(__xludf.DUMMYFUNCTION("""COMPUTED_VALUE"""),1285.0)</f>
        <v>1285</v>
      </c>
      <c r="B1289" s="2" t="str">
        <f>IFERROR(__xludf.DUMMYFUNCTION("""COMPUTED_VALUE"""),"COMPLETED")</f>
        <v>COMPLETED</v>
      </c>
      <c r="C1289" s="74">
        <f>IFERROR(__xludf.DUMMYFUNCTION("""COMPUTED_VALUE"""),45995.0)</f>
        <v>45995</v>
      </c>
      <c r="D1289" s="71" t="str">
        <f>IFERROR(__xludf.DUMMYFUNCTION("""COMPUTED_VALUE"""),"BARANGAY MALINAO FARMERS' ASSOCIATION")</f>
        <v>BARANGAY MALINAO FARMERS' ASSOCIATION</v>
      </c>
      <c r="E1289" s="71" t="str">
        <f>IFERROR(__xludf.DUMMYFUNCTION("""COMPUTED_VALUE"""),"Malinao, Naujan, Oriental Mindoro")</f>
        <v>Malinao, Naujan, Oriental Mindoro</v>
      </c>
      <c r="F1289" s="2" t="str">
        <f>IFERROR(__xludf.DUMMYFUNCTION("""COMPUTED_VALUE"""),"ERVIN GARILLO")</f>
        <v>ERVIN GARILLO</v>
      </c>
      <c r="G1289" s="2" t="str">
        <f>IFERROR(__xludf.DUMMYFUNCTION("""COMPUTED_VALUE"""),"0956-911-1213")</f>
        <v>0956-911-1213</v>
      </c>
      <c r="H1289" s="2"/>
      <c r="I1289" s="72" t="str">
        <f>IFERROR(__xludf.DUMMYFUNCTION("""COMPUTED_VALUE"""),"SPARE PARTS ACQUISITION")</f>
        <v>SPARE PARTS ACQUISITION</v>
      </c>
      <c r="J1289" s="72"/>
      <c r="K1289" s="72" t="str">
        <f>IFERROR(__xludf.DUMMYFUNCTION("""COMPUTED_VALUE"""),"BEVEL GEAR 24T")</f>
        <v>BEVEL GEAR 24T</v>
      </c>
      <c r="L1289" s="72" t="str">
        <f>IFERROR(__xludf.DUMMYFUNCTION("""COMPUTED_VALUE"""),"DELIVERED")</f>
        <v>DELIVERED</v>
      </c>
      <c r="M1289" s="2"/>
      <c r="N1289" s="2" t="str">
        <f>IFERROR(__xludf.DUMMYFUNCTION("""COMPUTED_VALUE"""),"PARTS:
BEVEL GEAR 24T")</f>
        <v>PARTS:
BEVEL GEAR 24T</v>
      </c>
      <c r="O1289" s="2"/>
      <c r="P1289" s="2"/>
      <c r="Q1289" s="2"/>
      <c r="R1289" s="74">
        <f>IFERROR(__xludf.DUMMYFUNCTION("""COMPUTED_VALUE"""),45995.0)</f>
        <v>45995</v>
      </c>
      <c r="S1289" s="2" t="str">
        <f>IFERROR(__xludf.DUMMYFUNCTION("""COMPUTED_VALUE"""),"RBS/FPJ")</f>
        <v>RBS/FPJ</v>
      </c>
      <c r="T1289" s="73">
        <f>IFERROR(__xludf.DUMMYFUNCTION("""COMPUTED_VALUE"""),19510.0)</f>
        <v>19510</v>
      </c>
      <c r="U1289" s="73" t="str">
        <f>IFERROR(__xludf.DUMMYFUNCTION("""COMPUTED_VALUE""")," REMITTED ")</f>
        <v>REMITTED</v>
      </c>
      <c r="V1289" s="2"/>
      <c r="W1289" s="2">
        <f>IFERROR(__xludf.DUMMYFUNCTION("""COMPUTED_VALUE"""),1422.0)</f>
        <v>1422</v>
      </c>
      <c r="X1289" s="2">
        <f>IFERROR(__xludf.DUMMYFUNCTION("""COMPUTED_VALUE"""),1365.0)</f>
        <v>1365</v>
      </c>
      <c r="Y1289" s="2"/>
      <c r="Z1289" s="2"/>
      <c r="AA1289" s="2"/>
      <c r="AB1289" s="2"/>
      <c r="AC1289" s="2"/>
      <c r="AD1289" s="2"/>
      <c r="AE1289" s="2"/>
      <c r="AF1289" s="2"/>
      <c r="AG1289" s="2"/>
      <c r="AH1289" s="2"/>
      <c r="AI1289" s="2"/>
      <c r="AJ1289" s="2" t="str">
        <f>IFERROR(__xludf.DUMMYFUNCTION("""COMPUTED_VALUE"""),"Malinao")</f>
        <v>Malinao</v>
      </c>
      <c r="AK1289" s="2" t="str">
        <f>IFERROR(__xludf.DUMMYFUNCTION("""COMPUTED_VALUE"""),"Naujan")</f>
        <v>Naujan</v>
      </c>
      <c r="AL1289" s="2" t="str">
        <f>IFERROR(__xludf.DUMMYFUNCTION("""COMPUTED_VALUE"""),"Oriental Mindoro")</f>
        <v>Oriental Mindoro</v>
      </c>
      <c r="AM1289" s="2" t="str">
        <f>IFERROR(__xludf.DUMMYFUNCTION("""COMPUTED_VALUE"""),"4B")</f>
        <v>4B</v>
      </c>
      <c r="AN1289" s="2" t="str">
        <f>IFERROR(__xludf.DUMMYFUNCTION("""COMPUTED_VALUE"""),"RCEF 23-08-20 Rebidding")</f>
        <v>RCEF 23-08-20 Rebidding</v>
      </c>
      <c r="AO1289" s="2">
        <f>IFERROR(__xludf.DUMMYFUNCTION("""COMPUTED_VALUE"""),1.0)</f>
        <v>1</v>
      </c>
      <c r="AP1289" s="2"/>
      <c r="AQ1289" s="2"/>
      <c r="AR1289" s="2"/>
      <c r="AS1289" s="2"/>
      <c r="AT1289" s="2"/>
      <c r="AU1289" s="2"/>
      <c r="AV1289" s="2"/>
      <c r="AW1289" s="2"/>
      <c r="AX1289" s="2"/>
      <c r="AY1289" s="2"/>
      <c r="AZ1289" s="2"/>
      <c r="BA1289" s="2"/>
      <c r="BB1289" s="2"/>
    </row>
    <row r="1290">
      <c r="A1290" s="2">
        <f>IFERROR(__xludf.DUMMYFUNCTION("""COMPUTED_VALUE"""),1286.0)</f>
        <v>1286</v>
      </c>
      <c r="B1290" s="2" t="str">
        <f>IFERROR(__xludf.DUMMYFUNCTION("""COMPUTED_VALUE"""),"COMPLETED")</f>
        <v>COMPLETED</v>
      </c>
      <c r="C1290" s="74">
        <f>IFERROR(__xludf.DUMMYFUNCTION("""COMPUTED_VALUE"""),45996.0)</f>
        <v>45996</v>
      </c>
      <c r="D1290" s="71" t="str">
        <f>IFERROR(__xludf.DUMMYFUNCTION("""COMPUTED_VALUE"""),"BAYOTBOT SAN ISIDRO FARMERS ASSOCIATION INC.")</f>
        <v>BAYOTBOT SAN ISIDRO FARMERS ASSOCIATION INC.</v>
      </c>
      <c r="E1290" s="71" t="str">
        <f>IFERROR(__xludf.DUMMYFUNCTION("""COMPUTED_VALUE"""),"Bayotbot, San Jose, OCCIDENTAL MINDORO")</f>
        <v>Bayotbot, San Jose, OCCIDENTAL MINDORO</v>
      </c>
      <c r="F1290" s="2" t="str">
        <f>IFERROR(__xludf.DUMMYFUNCTION("""COMPUTED_VALUE"""),"Pres.Bernardo V. Fernando")</f>
        <v>Pres.Bernardo V. Fernando</v>
      </c>
      <c r="G1290" s="2">
        <f>IFERROR(__xludf.DUMMYFUNCTION("""COMPUTED_VALUE"""),9.771256367E9)</f>
        <v>9771256367</v>
      </c>
      <c r="H1290" s="2">
        <f>IFERROR(__xludf.DUMMYFUNCTION("""COMPUTED_VALUE"""),127.0)</f>
        <v>127</v>
      </c>
      <c r="I1290" s="72" t="str">
        <f>IFERROR(__xludf.DUMMYFUNCTION("""COMPUTED_VALUE"""),"PMS")</f>
        <v>PMS</v>
      </c>
      <c r="J1290" s="72" t="str">
        <f>IFERROR(__xludf.DUMMYFUNCTION("""COMPUTED_VALUE"""),"PMS")</f>
        <v>PMS</v>
      </c>
      <c r="K1290" s="72" t="str">
        <f>IFERROR(__xludf.DUMMYFUNCTION("""COMPUTED_VALUE"""),"RBS: 1ST PMS FREE")</f>
        <v>RBS: 1ST PMS FREE</v>
      </c>
      <c r="L1290" s="72" t="str">
        <f>IFERROR(__xludf.DUMMYFUNCTION("""COMPUTED_VALUE"""),"FPJ: 1ST PMS DONE")</f>
        <v>FPJ: 1ST PMS DONE</v>
      </c>
      <c r="M1290" s="2"/>
      <c r="N1290" s="2" t="str">
        <f>IFERROR(__xludf.DUMMYFUNCTION("""COMPUTED_VALUE"""),"PARTS:
OIL FILTER
ENGINE OIL")</f>
        <v>PARTS:
OIL FILTER
ENGINE OIL</v>
      </c>
      <c r="O1290" s="2">
        <f>IFERROR(__xludf.DUMMYFUNCTION("""COMPUTED_VALUE"""),557.0)</f>
        <v>557</v>
      </c>
      <c r="P1290" s="2"/>
      <c r="Q1290" s="2" t="str">
        <f>IFERROR(__xludf.DUMMYFUNCTION("""COMPUTED_VALUE"""),"FOR PRINT")</f>
        <v>FOR PRINT</v>
      </c>
      <c r="R1290" s="74">
        <f>IFERROR(__xludf.DUMMYFUNCTION("""COMPUTED_VALUE"""),45996.0)</f>
        <v>45996</v>
      </c>
      <c r="S1290" s="2" t="str">
        <f>IFERROR(__xludf.DUMMYFUNCTION("""COMPUTED_VALUE"""),"RBS/FPJ")</f>
        <v>RBS/FPJ</v>
      </c>
      <c r="T1290" s="73" t="str">
        <f>IFERROR(__xludf.DUMMYFUNCTION("""COMPUTED_VALUE""")," N/A ")</f>
        <v>N/A</v>
      </c>
      <c r="U1290" s="73" t="str">
        <f>IFERROR(__xludf.DUMMYFUNCTION("""COMPUTED_VALUE""")," NO CHARGE ")</f>
        <v>NO CHARGE</v>
      </c>
      <c r="V1290" s="2"/>
      <c r="W1290" s="2" t="str">
        <f>IFERROR(__xludf.DUMMYFUNCTION("""COMPUTED_VALUE"""),"N/A")</f>
        <v>N/A</v>
      </c>
      <c r="X1290" s="2" t="str">
        <f>IFERROR(__xludf.DUMMYFUNCTION("""COMPUTED_VALUE"""),"N/A")</f>
        <v>N/A</v>
      </c>
      <c r="Y1290" s="2"/>
      <c r="Z1290" s="2"/>
      <c r="AA1290" s="2"/>
      <c r="AB1290" s="2"/>
      <c r="AC1290" s="2"/>
      <c r="AD1290" s="2"/>
      <c r="AE1290" s="2"/>
      <c r="AF1290" s="2"/>
      <c r="AG1290" s="2"/>
      <c r="AH1290" s="2"/>
      <c r="AI1290" s="2"/>
      <c r="AJ1290" s="2" t="str">
        <f>IFERROR(__xludf.DUMMYFUNCTION("""COMPUTED_VALUE"""),"Bayotbot")</f>
        <v>Bayotbot</v>
      </c>
      <c r="AK1290" s="2" t="str">
        <f>IFERROR(__xludf.DUMMYFUNCTION("""COMPUTED_VALUE"""),"San Jose")</f>
        <v>San Jose</v>
      </c>
      <c r="AL1290" s="2" t="str">
        <f>IFERROR(__xludf.DUMMYFUNCTION("""COMPUTED_VALUE"""),"Occidental Mindoro")</f>
        <v>Occidental Mindoro</v>
      </c>
      <c r="AM1290" s="2" t="str">
        <f>IFERROR(__xludf.DUMMYFUNCTION("""COMPUTED_VALUE"""),"4B")</f>
        <v>4B</v>
      </c>
      <c r="AN1290" s="2" t="str">
        <f>IFERROR(__xludf.DUMMYFUNCTION("""COMPUTED_VALUE"""),"RCEF 25-03-05")</f>
        <v>RCEF 25-03-05</v>
      </c>
      <c r="AO1290" s="2">
        <f>IFERROR(__xludf.DUMMYFUNCTION("""COMPUTED_VALUE"""),6.0)</f>
        <v>6</v>
      </c>
      <c r="AP1290" s="2" t="str">
        <f>IFERROR(__xludf.DUMMYFUNCTION("""COMPUTED_VALUE"""),"FREE PMS")</f>
        <v>FREE PMS</v>
      </c>
      <c r="AQ1290" s="2"/>
      <c r="AR1290" s="2"/>
      <c r="AS1290" s="2"/>
      <c r="AT1290" s="2"/>
      <c r="AU1290" s="2"/>
      <c r="AV1290" s="2"/>
      <c r="AW1290" s="2"/>
      <c r="AX1290" s="2"/>
      <c r="AY1290" s="2"/>
      <c r="AZ1290" s="2"/>
      <c r="BA1290" s="2"/>
      <c r="BB1290" s="2"/>
    </row>
    <row r="1291">
      <c r="A1291" s="2">
        <f>IFERROR(__xludf.DUMMYFUNCTION("""COMPUTED_VALUE"""),1287.0)</f>
        <v>1287</v>
      </c>
      <c r="B1291" s="2" t="str">
        <f>IFERROR(__xludf.DUMMYFUNCTION("""COMPUTED_VALUE"""),"COMPLETED")</f>
        <v>COMPLETED</v>
      </c>
      <c r="C1291" s="74">
        <f>IFERROR(__xludf.DUMMYFUNCTION("""COMPUTED_VALUE"""),45996.0)</f>
        <v>45996</v>
      </c>
      <c r="D1291" s="71" t="str">
        <f>IFERROR(__xludf.DUMMYFUNCTION("""COMPUTED_VALUE"""),"MUNICIPAL LOCAL GOVERNMENT UNIT OF GENERAL MAMERTO NATIVIDAD")</f>
        <v>MUNICIPAL LOCAL GOVERNMENT UNIT OF GENERAL MAMERTO NATIVIDAD</v>
      </c>
      <c r="E1291" s="71" t="str">
        <f>IFERROR(__xludf.DUMMYFUNCTION("""COMPUTED_VALUE"""),"POBLACION, GENERAL MAMERTO NATIVIDAD, NUEVA ECIJA")</f>
        <v>POBLACION, GENERAL MAMERTO NATIVIDAD, NUEVA ECIJA</v>
      </c>
      <c r="F1291" s="2"/>
      <c r="G1291" s="2">
        <f>IFERROR(__xludf.DUMMYFUNCTION("""COMPUTED_VALUE"""),9.959136839E9)</f>
        <v>9959136839</v>
      </c>
      <c r="H1291" s="2"/>
      <c r="I1291" s="72" t="str">
        <f>IFERROR(__xludf.DUMMYFUNCTION("""COMPUTED_VALUE"""),"REPAIR - TRACTOR")</f>
        <v>REPAIR - TRACTOR</v>
      </c>
      <c r="J1291" s="72" t="str">
        <f>IFERROR(__xludf.DUMMYFUNCTION("""COMPUTED_VALUE"""),"Cable lock")</f>
        <v>Cable lock</v>
      </c>
      <c r="K1291" s="72" t="str">
        <f>IFERROR(__xludf.DUMMYFUNCTION("""COMPUTED_VALUE"""),"ERP: Nagsstockup daw ung gas pedal at rpm. ")</f>
        <v>ERP: Nagsstockup daw ung gas pedal at rpm. </v>
      </c>
      <c r="L1291" s="72" t="str">
        <f>IFERROR(__xludf.DUMMYFUNCTION("""COMPUTED_VALUE"""),"JHP: NAAYOS NG FCA, ANG GINAAWA DAW NILA AY NILAGYAN NG DIESEL  YUNG CABLE, AT SINALSAL ANG TROTLE CABLE AT NILAGYAN NG LANGIS PARA LUMUWAG.")</f>
        <v>JHP: NAAYOS NG FCA, ANG GINAAWA DAW NILA AY NILAGYAN NG DIESEL  YUNG CABLE, AT SINALSAL ANG TROTLE CABLE AT NILAGYAN NG LANGIS PARA LUMUWAG.</v>
      </c>
      <c r="M1291" s="2"/>
      <c r="N1291" s="2"/>
      <c r="O1291" s="2" t="str">
        <f>IFERROR(__xludf.DUMMYFUNCTION("""COMPUTED_VALUE"""),"N/A")</f>
        <v>N/A</v>
      </c>
      <c r="P1291" s="2"/>
      <c r="Q1291" s="2"/>
      <c r="R1291" s="74">
        <f>IFERROR(__xludf.DUMMYFUNCTION("""COMPUTED_VALUE"""),46093.0)</f>
        <v>46093</v>
      </c>
      <c r="S1291" s="2" t="str">
        <f>IFERROR(__xludf.DUMMYFUNCTION("""COMPUTED_VALUE"""),"JHP/ACS")</f>
        <v>JHP/ACS</v>
      </c>
      <c r="T1291" s="73" t="str">
        <f>IFERROR(__xludf.DUMMYFUNCTION("""COMPUTED_VALUE""")," N/A ")</f>
        <v>N/A</v>
      </c>
      <c r="U1291" s="73" t="str">
        <f>IFERROR(__xludf.DUMMYFUNCTION("""COMPUTED_VALUE""")," NO CHARGE ")</f>
        <v>NO CHARGE</v>
      </c>
      <c r="V1291" s="2" t="str">
        <f>IFERROR(__xludf.DUMMYFUNCTION("""COMPUTED_VALUE"""),"N/A")</f>
        <v>N/A</v>
      </c>
      <c r="W1291" s="2" t="str">
        <f>IFERROR(__xludf.DUMMYFUNCTION("""COMPUTED_VALUE"""),"N/A")</f>
        <v>N/A</v>
      </c>
      <c r="X1291" s="2" t="str">
        <f>IFERROR(__xludf.DUMMYFUNCTION("""COMPUTED_VALUE"""),"N/A")</f>
        <v>N/A</v>
      </c>
      <c r="Y1291" s="2"/>
      <c r="Z1291" s="2"/>
      <c r="AA1291" s="2"/>
      <c r="AB1291" s="2"/>
      <c r="AC1291" s="2"/>
      <c r="AD1291" s="2"/>
      <c r="AE1291" s="2"/>
      <c r="AF1291" s="2"/>
      <c r="AG1291" s="2"/>
      <c r="AH1291" s="2"/>
      <c r="AI1291" s="2"/>
      <c r="AJ1291" s="2" t="str">
        <f>IFERROR(__xludf.DUMMYFUNCTION("""COMPUTED_VALUE"""),"Poblacion")</f>
        <v>Poblacion</v>
      </c>
      <c r="AK1291" s="2" t="str">
        <f>IFERROR(__xludf.DUMMYFUNCTION("""COMPUTED_VALUE"""),"General Mamerto Natividad")</f>
        <v>General Mamerto Natividad</v>
      </c>
      <c r="AL1291" s="2" t="str">
        <f>IFERROR(__xludf.DUMMYFUNCTION("""COMPUTED_VALUE"""),"Nueva Ecija")</f>
        <v>Nueva Ecija</v>
      </c>
      <c r="AM1291" s="2">
        <f>IFERROR(__xludf.DUMMYFUNCTION("""COMPUTED_VALUE"""),3.0)</f>
        <v>3</v>
      </c>
      <c r="AN1291" s="2" t="str">
        <f>IFERROR(__xludf.DUMMYFUNCTION("""COMPUTED_VALUE"""),"RCEF 23-09-21 Rebidding")</f>
        <v>RCEF 23-09-21 Rebidding</v>
      </c>
      <c r="AO1291" s="2">
        <f>IFERROR(__xludf.DUMMYFUNCTION("""COMPUTED_VALUE"""),3.0)</f>
        <v>3</v>
      </c>
      <c r="AP1291" s="2"/>
      <c r="AQ1291" s="2"/>
      <c r="AR1291" s="2"/>
      <c r="AS1291" s="2"/>
      <c r="AT1291" s="2"/>
      <c r="AU1291" s="2"/>
      <c r="AV1291" s="2"/>
      <c r="AW1291" s="2"/>
      <c r="AX1291" s="2"/>
      <c r="AY1291" s="2"/>
      <c r="AZ1291" s="2"/>
      <c r="BA1291" s="2"/>
      <c r="BB1291" s="2"/>
    </row>
    <row r="1292">
      <c r="A1292" s="2">
        <f>IFERROR(__xludf.DUMMYFUNCTION("""COMPUTED_VALUE"""),1288.0)</f>
        <v>1288</v>
      </c>
      <c r="B1292" s="2" t="str">
        <f>IFERROR(__xludf.DUMMYFUNCTION("""COMPUTED_VALUE"""),"PENDING")</f>
        <v>PENDING</v>
      </c>
      <c r="C1292" s="74">
        <f>IFERROR(__xludf.DUMMYFUNCTION("""COMPUTED_VALUE"""),45996.0)</f>
        <v>45996</v>
      </c>
      <c r="D1292" s="71" t="str">
        <f>IFERROR(__xludf.DUMMYFUNCTION("""COMPUTED_VALUE"""),"Network of Responsible Citizens of Munoz Agriculture Cooperative (NRCMAC)")</f>
        <v>Network of Responsible Citizens of Munoz Agriculture Cooperative (NRCMAC)</v>
      </c>
      <c r="E1292" s="71" t="str">
        <f>IFERROR(__xludf.DUMMYFUNCTION("""COMPUTED_VALUE"""),"Poblacion East, Science City of Munoz, NUEVA ECIJA")</f>
        <v>Poblacion East, Science City of Munoz, NUEVA ECIJA</v>
      </c>
      <c r="F1292" s="2" t="str">
        <f>IFERROR(__xludf.DUMMYFUNCTION("""COMPUTED_VALUE"""),"RAMON ANTONIO CIRONEL")</f>
        <v>RAMON ANTONIO CIRONEL</v>
      </c>
      <c r="G1292" s="2">
        <f>IFERROR(__xludf.DUMMYFUNCTION("""COMPUTED_VALUE"""),9.992221958E9)</f>
        <v>9992221958</v>
      </c>
      <c r="H1292" s="2">
        <f>IFERROR(__xludf.DUMMYFUNCTION("""COMPUTED_VALUE"""),20.0)</f>
        <v>20</v>
      </c>
      <c r="I1292" s="72" t="str">
        <f>IFERROR(__xludf.DUMMYFUNCTION("""COMPUTED_VALUE"""),"SPARE PARTS ACQUISITION")</f>
        <v>SPARE PARTS ACQUISITION</v>
      </c>
      <c r="J1292" s="72"/>
      <c r="K1292" s="72" t="str">
        <f>IFERROR(__xludf.DUMMYFUNCTION("""COMPUTED_VALUE"""),"MYK: 
Request interior for front tires 
SIZE : 9.5 x 16 ( TR -15)")</f>
        <v>MYK: 
Request interior for front tires 
SIZE : 9.5 x 16 ( TR -15)</v>
      </c>
      <c r="L1292" s="7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t="str">
        <f>IFERROR(__xludf.DUMMYFUNCTION("""COMPUTED_VALUE"""),"Poblacion East")</f>
        <v>Poblacion East</v>
      </c>
      <c r="AK1292" s="2" t="str">
        <f>IFERROR(__xludf.DUMMYFUNCTION("""COMPUTED_VALUE"""),"Science City Of Munoz")</f>
        <v>Science City Of Munoz</v>
      </c>
      <c r="AL1292" s="2" t="str">
        <f>IFERROR(__xludf.DUMMYFUNCTION("""COMPUTED_VALUE"""),"Nueva Ecija")</f>
        <v>Nueva Ecija</v>
      </c>
      <c r="AM1292" s="2">
        <f>IFERROR(__xludf.DUMMYFUNCTION("""COMPUTED_VALUE"""),3.0)</f>
        <v>3</v>
      </c>
      <c r="AN1292" s="2" t="str">
        <f>IFERROR(__xludf.DUMMYFUNCTION("""COMPUTED_VALUE"""),"RCEF 25-03-05")</f>
        <v>RCEF 25-03-05</v>
      </c>
      <c r="AO1292" s="2">
        <f>IFERROR(__xludf.DUMMYFUNCTION("""COMPUTED_VALUE"""),5.0)</f>
        <v>5</v>
      </c>
      <c r="AP1292" s="2" t="str">
        <f>IFERROR(__xludf.DUMMYFUNCTION("""COMPUTED_VALUE"""),"FREE PMS")</f>
        <v>FREE PMS</v>
      </c>
      <c r="AQ1292" s="2"/>
      <c r="AR1292" s="2"/>
      <c r="AS1292" s="2"/>
      <c r="AT1292" s="2"/>
      <c r="AU1292" s="2"/>
      <c r="AV1292" s="2"/>
      <c r="AW1292" s="2"/>
      <c r="AX1292" s="2"/>
      <c r="AY1292" s="2"/>
      <c r="AZ1292" s="2"/>
      <c r="BA1292" s="2"/>
      <c r="BB1292" s="2"/>
    </row>
    <row r="1293">
      <c r="A1293" s="2">
        <f>IFERROR(__xludf.DUMMYFUNCTION("""COMPUTED_VALUE"""),1289.0)</f>
        <v>1289</v>
      </c>
      <c r="B1293" s="2" t="str">
        <f>IFERROR(__xludf.DUMMYFUNCTION("""COMPUTED_VALUE"""),"COMPLETED")</f>
        <v>COMPLETED</v>
      </c>
      <c r="C1293" s="74">
        <f>IFERROR(__xludf.DUMMYFUNCTION("""COMPUTED_VALUE"""),45997.0)</f>
        <v>45997</v>
      </c>
      <c r="D1293" s="71" t="str">
        <f>IFERROR(__xludf.DUMMYFUNCTION("""COMPUTED_VALUE"""),"ALINAO IRRIGATORS' ASSOCIATION, INC.")</f>
        <v>ALINAO IRRIGATORS' ASSOCIATION, INC.</v>
      </c>
      <c r="E1293" s="71" t="str">
        <f>IFERROR(__xludf.DUMMYFUNCTION("""COMPUTED_VALUE"""),"Bibincahan, Sorsogon City, SORSOGON")</f>
        <v>Bibincahan, Sorsogon City, SORSOGON</v>
      </c>
      <c r="F1293" s="2" t="str">
        <f>IFERROR(__xludf.DUMMYFUNCTION("""COMPUTED_VALUE"""),"Diane Desquatado")</f>
        <v>Diane Desquatado</v>
      </c>
      <c r="G1293" s="2">
        <f>IFERROR(__xludf.DUMMYFUNCTION("""COMPUTED_VALUE"""),9.664577599E9)</f>
        <v>9664577599</v>
      </c>
      <c r="H1293" s="2">
        <f>IFERROR(__xludf.DUMMYFUNCTION("""COMPUTED_VALUE"""),44.0)</f>
        <v>44</v>
      </c>
      <c r="I1293" s="72" t="str">
        <f>IFERROR(__xludf.DUMMYFUNCTION("""COMPUTED_VALUE"""),"PMS")</f>
        <v>PMS</v>
      </c>
      <c r="J1293" s="72" t="str">
        <f>IFERROR(__xludf.DUMMYFUNCTION("""COMPUTED_VALUE"""),"PMS")</f>
        <v>PMS</v>
      </c>
      <c r="K1293" s="72" t="str">
        <f>IFERROR(__xludf.DUMMYFUNCTION("""COMPUTED_VALUE"""),"FPJ: 1ST PMS FREE")</f>
        <v>FPJ: 1ST PMS FREE</v>
      </c>
      <c r="L1293" s="72" t="str">
        <f>IFERROR(__xludf.DUMMYFUNCTION("""COMPUTED_VALUE"""),"JAH: 1ST PMS DONE")</f>
        <v>JAH: 1ST PMS DONE</v>
      </c>
      <c r="M1293" s="2"/>
      <c r="N1293" s="2" t="str">
        <f>IFERROR(__xludf.DUMMYFUNCTION("""COMPUTED_VALUE"""),"PARTS:
OIL FILTER
ENGINE OIL")</f>
        <v>PARTS:
OIL FILTER
ENGINE OIL</v>
      </c>
      <c r="O1293" s="2">
        <f>IFERROR(__xludf.DUMMYFUNCTION("""COMPUTED_VALUE"""),382.0)</f>
        <v>382</v>
      </c>
      <c r="P1293" s="2" t="str">
        <f>IFERROR(__xludf.DUMMYFUNCTION("""COMPUTED_VALUE"""),"382-ALINAO IRRIGATORS' ASSOCIATION, INC..pdf")</f>
        <v>382-ALINAO IRRIGATORS' ASSOCIATION, INC..pdf</v>
      </c>
      <c r="Q1293" s="2" t="str">
        <f>IFERROR(__xludf.DUMMYFUNCTION("""COMPUTED_VALUE"""),"FOR PRINT")</f>
        <v>FOR PRINT</v>
      </c>
      <c r="R1293" s="74">
        <f>IFERROR(__xludf.DUMMYFUNCTION("""COMPUTED_VALUE"""),46003.0)</f>
        <v>46003</v>
      </c>
      <c r="S1293" s="2" t="str">
        <f>IFERROR(__xludf.DUMMYFUNCTION("""COMPUTED_VALUE"""),"JTT/JAH")</f>
        <v>JTT/JAH</v>
      </c>
      <c r="T1293" s="73" t="str">
        <f>IFERROR(__xludf.DUMMYFUNCTION("""COMPUTED_VALUE""")," N/A ")</f>
        <v>N/A</v>
      </c>
      <c r="U1293" s="73" t="str">
        <f>IFERROR(__xludf.DUMMYFUNCTION("""COMPUTED_VALUE""")," NO CHARGE ")</f>
        <v>NO CHARGE</v>
      </c>
      <c r="V1293" s="2"/>
      <c r="W1293" s="2" t="str">
        <f>IFERROR(__xludf.DUMMYFUNCTION("""COMPUTED_VALUE"""),"N/A")</f>
        <v>N/A</v>
      </c>
      <c r="X1293" s="2" t="str">
        <f>IFERROR(__xludf.DUMMYFUNCTION("""COMPUTED_VALUE"""),"N/A")</f>
        <v>N/A</v>
      </c>
      <c r="Y1293" s="2"/>
      <c r="Z1293" s="2"/>
      <c r="AA1293" s="2"/>
      <c r="AB1293" s="2"/>
      <c r="AC1293" s="2"/>
      <c r="AD1293" s="2"/>
      <c r="AE1293" s="2"/>
      <c r="AF1293" s="2"/>
      <c r="AG1293" s="2"/>
      <c r="AH1293" s="2"/>
      <c r="AI1293" s="2"/>
      <c r="AJ1293" s="2" t="str">
        <f>IFERROR(__xludf.DUMMYFUNCTION("""COMPUTED_VALUE"""),"Bibincahan")</f>
        <v>Bibincahan</v>
      </c>
      <c r="AK1293" s="2" t="str">
        <f>IFERROR(__xludf.DUMMYFUNCTION("""COMPUTED_VALUE"""),"Sorsogon City")</f>
        <v>Sorsogon City</v>
      </c>
      <c r="AL1293" s="2" t="str">
        <f>IFERROR(__xludf.DUMMYFUNCTION("""COMPUTED_VALUE"""),"Sorsogon")</f>
        <v>Sorsogon</v>
      </c>
      <c r="AM1293" s="2">
        <f>IFERROR(__xludf.DUMMYFUNCTION("""COMPUTED_VALUE"""),5.0)</f>
        <v>5</v>
      </c>
      <c r="AN1293" s="2" t="str">
        <f>IFERROR(__xludf.DUMMYFUNCTION("""COMPUTED_VALUE"""),"RCEF 25-03-05")</f>
        <v>RCEF 25-03-05</v>
      </c>
      <c r="AO1293" s="2">
        <f>IFERROR(__xludf.DUMMYFUNCTION("""COMPUTED_VALUE"""),6.0)</f>
        <v>6</v>
      </c>
      <c r="AP1293" s="2" t="str">
        <f>IFERROR(__xludf.DUMMYFUNCTION("""COMPUTED_VALUE"""),"FREE PMS")</f>
        <v>FREE PMS</v>
      </c>
      <c r="AQ1293" s="2"/>
      <c r="AR1293" s="2"/>
      <c r="AS1293" s="2"/>
      <c r="AT1293" s="2"/>
      <c r="AU1293" s="2"/>
      <c r="AV1293" s="2"/>
      <c r="AW1293" s="2"/>
      <c r="AX1293" s="2"/>
      <c r="AY1293" s="2"/>
      <c r="AZ1293" s="2"/>
      <c r="BA1293" s="2"/>
      <c r="BB1293" s="2"/>
    </row>
    <row r="1294">
      <c r="A1294" s="2">
        <f>IFERROR(__xludf.DUMMYFUNCTION("""COMPUTED_VALUE"""),1290.0)</f>
        <v>1290</v>
      </c>
      <c r="B1294" s="2" t="str">
        <f>IFERROR(__xludf.DUMMYFUNCTION("""COMPUTED_VALUE"""),"COMPLETED")</f>
        <v>COMPLETED</v>
      </c>
      <c r="C1294" s="74">
        <f>IFERROR(__xludf.DUMMYFUNCTION("""COMPUTED_VALUE"""),45998.0)</f>
        <v>45998</v>
      </c>
      <c r="D1294" s="71" t="str">
        <f>IFERROR(__xludf.DUMMYFUNCTION("""COMPUTED_VALUE"""),"Gaub Farmers Association")</f>
        <v>Gaub Farmers Association</v>
      </c>
      <c r="E1294" s="71" t="str">
        <f>IFERROR(__xludf.DUMMYFUNCTION("""COMPUTED_VALUE"""),"Gaub, Cabatuan, ILOILO")</f>
        <v>Gaub, Cabatuan, ILOILO</v>
      </c>
      <c r="F1294" s="2" t="str">
        <f>IFERROR(__xludf.DUMMYFUNCTION("""COMPUTED_VALUE"""),"Rosanne A. Paniagua")</f>
        <v>Rosanne A. Paniagua</v>
      </c>
      <c r="G1294" s="2">
        <f>IFERROR(__xludf.DUMMYFUNCTION("""COMPUTED_VALUE"""),9.177914376E9)</f>
        <v>9177914376</v>
      </c>
      <c r="H1294" s="2"/>
      <c r="I1294" s="72" t="str">
        <f>IFERROR(__xludf.DUMMYFUNCTION("""COMPUTED_VALUE"""),"REPAIR - TRACTOR")</f>
        <v>REPAIR - TRACTOR</v>
      </c>
      <c r="J1294" s="72" t="str">
        <f>IFERROR(__xludf.DUMMYFUNCTION("""COMPUTED_VALUE"""),"Transmission - Clutch")</f>
        <v>Transmission - Clutch</v>
      </c>
      <c r="K1294" s="72" t="str">
        <f>IFERROR(__xludf.DUMMYFUNCTION("""COMPUTED_VALUE"""),"RANDY: CLUTCH DISC ASSY PROBLEM")</f>
        <v>RANDY: CLUTCH DISC ASSY PROBLEM</v>
      </c>
      <c r="L1294" s="72" t="str">
        <f>IFERROR(__xludf.DUMMYFUNCTION("""COMPUTED_VALUE"""),"RANDY: REPLACED CLUTCH DISC ASSY
LABOR PAID BY FCA TO RANDY ")</f>
        <v>RANDY: REPLACED CLUTCH DISC ASSY
LABOR PAID BY FCA TO RANDY </v>
      </c>
      <c r="M1294" s="2"/>
      <c r="N1294" s="2" t="str">
        <f>IFERROR(__xludf.DUMMYFUNCTION("""COMPUTED_VALUE"""),"PARTS:
CLUTCH DISC ASSY")</f>
        <v>PARTS:
CLUTCH DISC ASSY</v>
      </c>
      <c r="O1294" s="2" t="str">
        <f>IFERROR(__xludf.DUMMYFUNCTION("""COMPUTED_VALUE"""),"MYKEE")</f>
        <v>MYKEE</v>
      </c>
      <c r="P1294" s="2"/>
      <c r="Q1294" s="2"/>
      <c r="R1294" s="74">
        <f>IFERROR(__xludf.DUMMYFUNCTION("""COMPUTED_VALUE"""),46000.0)</f>
        <v>46000</v>
      </c>
      <c r="S1294" s="2" t="str">
        <f>IFERROR(__xludf.DUMMYFUNCTION("""COMPUTED_VALUE"""),"RANDY")</f>
        <v>RANDY</v>
      </c>
      <c r="T1294" s="73">
        <f>IFERROR(__xludf.DUMMYFUNCTION("""COMPUTED_VALUE"""),21330.0)</f>
        <v>21330</v>
      </c>
      <c r="U1294" s="73" t="str">
        <f>IFERROR(__xludf.DUMMYFUNCTION("""COMPUTED_VALUE""")," NO CHARGE ")</f>
        <v>NO CHARGE</v>
      </c>
      <c r="V1294" s="2"/>
      <c r="W1294" s="2" t="str">
        <f>IFERROR(__xludf.DUMMYFUNCTION("""COMPUTED_VALUE"""),"N/A")</f>
        <v>N/A</v>
      </c>
      <c r="X1294" s="2" t="str">
        <f>IFERROR(__xludf.DUMMYFUNCTION("""COMPUTED_VALUE"""),"N/A")</f>
        <v>N/A</v>
      </c>
      <c r="Y1294" s="2"/>
      <c r="Z1294" s="2"/>
      <c r="AA1294" s="2"/>
      <c r="AB1294" s="2"/>
      <c r="AC1294" s="2"/>
      <c r="AD1294" s="2"/>
      <c r="AE1294" s="2"/>
      <c r="AF1294" s="2"/>
      <c r="AG1294" s="2"/>
      <c r="AH1294" s="2"/>
      <c r="AI1294" s="2"/>
      <c r="AJ1294" s="2" t="str">
        <f>IFERROR(__xludf.DUMMYFUNCTION("""COMPUTED_VALUE"""),"Gaub")</f>
        <v>Gaub</v>
      </c>
      <c r="AK1294" s="2" t="str">
        <f>IFERROR(__xludf.DUMMYFUNCTION("""COMPUTED_VALUE"""),"Cabatuan")</f>
        <v>Cabatuan</v>
      </c>
      <c r="AL1294" s="2" t="str">
        <f>IFERROR(__xludf.DUMMYFUNCTION("""COMPUTED_VALUE"""),"Iloilo")</f>
        <v>Iloilo</v>
      </c>
      <c r="AM1294" s="2">
        <f>IFERROR(__xludf.DUMMYFUNCTION("""COMPUTED_VALUE"""),6.0)</f>
        <v>6</v>
      </c>
      <c r="AN1294" s="2" t="str">
        <f>IFERROR(__xludf.DUMMYFUNCTION("""COMPUTED_VALUE"""),"RCEF 23-09-21 Rebidding")</f>
        <v>RCEF 23-09-21 Rebidding</v>
      </c>
      <c r="AO1294" s="2">
        <f>IFERROR(__xludf.DUMMYFUNCTION("""COMPUTED_VALUE"""),4.0)</f>
        <v>4</v>
      </c>
      <c r="AP1294" s="2"/>
      <c r="AQ1294" s="2"/>
      <c r="AR1294" s="2"/>
      <c r="AS1294" s="2"/>
      <c r="AT1294" s="2"/>
      <c r="AU1294" s="2"/>
      <c r="AV1294" s="2"/>
      <c r="AW1294" s="2"/>
      <c r="AX1294" s="2"/>
      <c r="AY1294" s="2"/>
      <c r="AZ1294" s="2"/>
      <c r="BA1294" s="2"/>
      <c r="BB1294" s="2"/>
    </row>
    <row r="1295">
      <c r="A1295" s="2">
        <f>IFERROR(__xludf.DUMMYFUNCTION("""COMPUTED_VALUE"""),1291.0)</f>
        <v>1291</v>
      </c>
      <c r="B1295" s="2" t="str">
        <f>IFERROR(__xludf.DUMMYFUNCTION("""COMPUTED_VALUE"""),"COMPLETED")</f>
        <v>COMPLETED</v>
      </c>
      <c r="C1295" s="74">
        <f>IFERROR(__xludf.DUMMYFUNCTION("""COMPUTED_VALUE"""),45998.0)</f>
        <v>45998</v>
      </c>
      <c r="D1295" s="71" t="str">
        <f>IFERROR(__xludf.DUMMYFUNCTION("""COMPUTED_VALUE"""),"ILOG BALIWAG-SAN MIGUEL FARMERS ASSOCIATION (ISFA)")</f>
        <v>ILOG BALIWAG-SAN MIGUEL FARMERS ASSOCIATION (ISFA)</v>
      </c>
      <c r="E1295" s="71" t="str">
        <f>IFERROR(__xludf.DUMMYFUNCTION("""COMPUTED_VALUE"""),"Ilog Baliwag, Quezon, NUEVA ECIJA")</f>
        <v>Ilog Baliwag, Quezon, NUEVA ECIJA</v>
      </c>
      <c r="F1295" s="2" t="str">
        <f>IFERROR(__xludf.DUMMYFUNCTION("""COMPUTED_VALUE"""),"Bernie A. Melendez")</f>
        <v>Bernie A. Melendez</v>
      </c>
      <c r="G1295" s="2" t="str">
        <f>IFERROR(__xludf.DUMMYFUNCTION("""COMPUTED_VALUE"""),"0927-518-0179")</f>
        <v>0927-518-0179</v>
      </c>
      <c r="H1295" s="2"/>
      <c r="I1295" s="72" t="str">
        <f>IFERROR(__xludf.DUMMYFUNCTION("""COMPUTED_VALUE"""),"REPAIR - TRACTOR")</f>
        <v>REPAIR - TRACTOR</v>
      </c>
      <c r="J1295" s="72" t="str">
        <f>IFERROR(__xludf.DUMMYFUNCTION("""COMPUTED_VALUE"""),"PTO Valve")</f>
        <v>PTO Valve</v>
      </c>
      <c r="K1295" s="72" t="str">
        <f>IFERROR(__xludf.DUMMYFUNCTION("""COMPUTED_VALUE"""),"CTF: nag rrequest po ulit check up, ayaw daw po ulit umikot Ang rota pag bumabaon sa lupa.")</f>
        <v>CTF: nag rrequest po ulit check up, ayaw daw po ulit umikot Ang rota pag bumabaon sa lupa.</v>
      </c>
      <c r="L1295" s="72" t="str">
        <f>IFERROR(__xludf.DUMMYFUNCTION("""COMPUTED_VALUE"""),"JHP: ADJUSTMENT OF PTO VALVE")</f>
        <v>JHP: ADJUSTMENT OF PTO VALVE</v>
      </c>
      <c r="M1295" s="2"/>
      <c r="N1295" s="2"/>
      <c r="O1295" s="2" t="str">
        <f>IFERROR(__xludf.DUMMYFUNCTION("""COMPUTED_VALUE"""),"N/A")</f>
        <v>N/A</v>
      </c>
      <c r="P1295" s="2"/>
      <c r="Q1295" s="2"/>
      <c r="R1295" s="74">
        <f>IFERROR(__xludf.DUMMYFUNCTION("""COMPUTED_VALUE"""),46092.0)</f>
        <v>46092</v>
      </c>
      <c r="S1295" s="2" t="str">
        <f>IFERROR(__xludf.DUMMYFUNCTION("""COMPUTED_VALUE"""),"JHP")</f>
        <v>JHP</v>
      </c>
      <c r="T1295" s="73" t="str">
        <f>IFERROR(__xludf.DUMMYFUNCTION("""COMPUTED_VALUE""")," N/A ")</f>
        <v>N/A</v>
      </c>
      <c r="U1295" s="73" t="str">
        <f>IFERROR(__xludf.DUMMYFUNCTION("""COMPUTED_VALUE""")," NO CHARGE ")</f>
        <v>NO CHARGE</v>
      </c>
      <c r="V1295" s="2" t="str">
        <f>IFERROR(__xludf.DUMMYFUNCTION("""COMPUTED_VALUE"""),"N/A")</f>
        <v>N/A</v>
      </c>
      <c r="W1295" s="2" t="str">
        <f>IFERROR(__xludf.DUMMYFUNCTION("""COMPUTED_VALUE"""),"N/A")</f>
        <v>N/A</v>
      </c>
      <c r="X1295" s="2" t="str">
        <f>IFERROR(__xludf.DUMMYFUNCTION("""COMPUTED_VALUE"""),"N/A")</f>
        <v>N/A</v>
      </c>
      <c r="Y1295" s="2"/>
      <c r="Z1295" s="2"/>
      <c r="AA1295" s="2"/>
      <c r="AB1295" s="2"/>
      <c r="AC1295" s="2"/>
      <c r="AD1295" s="2"/>
      <c r="AE1295" s="2"/>
      <c r="AF1295" s="2"/>
      <c r="AG1295" s="2"/>
      <c r="AH1295" s="2"/>
      <c r="AI1295" s="2"/>
      <c r="AJ1295" s="2" t="str">
        <f>IFERROR(__xludf.DUMMYFUNCTION("""COMPUTED_VALUE"""),"Ilog Baliwag")</f>
        <v>Ilog Baliwag</v>
      </c>
      <c r="AK1295" s="2" t="str">
        <f>IFERROR(__xludf.DUMMYFUNCTION("""COMPUTED_VALUE"""),"Quezon")</f>
        <v>Quezon</v>
      </c>
      <c r="AL1295" s="2" t="str">
        <f>IFERROR(__xludf.DUMMYFUNCTION("""COMPUTED_VALUE"""),"Nueva Ecija")</f>
        <v>Nueva Ecija</v>
      </c>
      <c r="AM1295" s="2">
        <f>IFERROR(__xludf.DUMMYFUNCTION("""COMPUTED_VALUE"""),3.0)</f>
        <v>3</v>
      </c>
      <c r="AN1295" s="2" t="str">
        <f>IFERROR(__xludf.DUMMYFUNCTION("""COMPUTED_VALUE"""),"RCEF 24-04-15")</f>
        <v>RCEF 24-04-15</v>
      </c>
      <c r="AO1295" s="2">
        <f>IFERROR(__xludf.DUMMYFUNCTION("""COMPUTED_VALUE"""),6.0)</f>
        <v>6</v>
      </c>
      <c r="AP1295" s="2" t="str">
        <f>IFERROR(__xludf.DUMMYFUNCTION("""COMPUTED_VALUE"""),"FREE PMS")</f>
        <v>FREE PMS</v>
      </c>
      <c r="AQ1295" s="2"/>
      <c r="AR1295" s="2"/>
      <c r="AS1295" s="2"/>
      <c r="AT1295" s="2"/>
      <c r="AU1295" s="2"/>
      <c r="AV1295" s="2"/>
      <c r="AW1295" s="2"/>
      <c r="AX1295" s="2"/>
      <c r="AY1295" s="2"/>
      <c r="AZ1295" s="2"/>
      <c r="BA1295" s="2"/>
      <c r="BB1295" s="2"/>
    </row>
    <row r="1296">
      <c r="A1296" s="2">
        <f>IFERROR(__xludf.DUMMYFUNCTION("""COMPUTED_VALUE"""),1292.0)</f>
        <v>1292</v>
      </c>
      <c r="B1296" s="2" t="str">
        <f>IFERROR(__xludf.DUMMYFUNCTION("""COMPUTED_VALUE"""),"COMPLETED")</f>
        <v>COMPLETED</v>
      </c>
      <c r="C1296" s="74">
        <f>IFERROR(__xludf.DUMMYFUNCTION("""COMPUTED_VALUE"""),46000.0)</f>
        <v>46000</v>
      </c>
      <c r="D1296" s="71" t="str">
        <f>IFERROR(__xludf.DUMMYFUNCTION("""COMPUTED_VALUE"""),"POBLACION-NEW DAGUPAN FARMER-IRRIGATORS' ASSOCIATION (PONDAFIA) INC.")</f>
        <v>POBLACION-NEW DAGUPAN FARMER-IRRIGATORS' ASSOCIATION (PONDAFIA) INC.</v>
      </c>
      <c r="E1296" s="71" t="str">
        <f>IFERROR(__xludf.DUMMYFUNCTION("""COMPUTED_VALUE"""),"POBLACION, CALinTAAN, OCCIDENTAL MINDORO")</f>
        <v>POBLACION, CALinTAAN, OCCIDENTAL MINDORO</v>
      </c>
      <c r="F1296" s="2" t="str">
        <f>IFERROR(__xludf.DUMMYFUNCTION("""COMPUTED_VALUE"""),"Manuel A. Francisco")</f>
        <v>Manuel A. Francisco</v>
      </c>
      <c r="G1296" s="2" t="str">
        <f>IFERROR(__xludf.DUMMYFUNCTION("""COMPUTED_VALUE"""),"0935 417 5163")</f>
        <v>0935 417 5163</v>
      </c>
      <c r="H1296" s="2"/>
      <c r="I1296" s="72" t="str">
        <f>IFERROR(__xludf.DUMMYFUNCTION("""COMPUTED_VALUE"""),"REPAIR - TRACTOR")</f>
        <v>REPAIR - TRACTOR</v>
      </c>
      <c r="J1296" s="72" t="str">
        <f>IFERROR(__xludf.DUMMYFUNCTION("""COMPUTED_VALUE"""),"Rear Axle - Leaking")</f>
        <v>Rear Axle - Leaking</v>
      </c>
      <c r="K1296" s="72" t="str">
        <f>IFERROR(__xludf.DUMMYFUNCTION("""COMPUTED_VALUE"""),"KFS: Malakas ang tagas sa Rear Wheel
PARTS: ")</f>
        <v>KFS: Malakas ang tagas sa Rear Wheel
PARTS: </v>
      </c>
      <c r="L1296" s="72" t="str">
        <f>IFERROR(__xludf.DUMMYFUNCTION("""COMPUTED_VALUE"""),"RCG: HANAP DAW MUNA SILA SA LABAS")</f>
        <v>RCG: HANAP DAW MUNA SILA SA LABAS</v>
      </c>
      <c r="M1296" s="2"/>
      <c r="N1296" s="2"/>
      <c r="O1296" s="2" t="str">
        <f>IFERROR(__xludf.DUMMYFUNCTION("""COMPUTED_VALUE"""),"N/A")</f>
        <v>N/A</v>
      </c>
      <c r="P1296" s="2"/>
      <c r="Q1296" s="2"/>
      <c r="R1296" s="74">
        <f>IFERROR(__xludf.DUMMYFUNCTION("""COMPUTED_VALUE"""),42442.0)</f>
        <v>42442</v>
      </c>
      <c r="S1296" s="2" t="str">
        <f>IFERROR(__xludf.DUMMYFUNCTION("""COMPUTED_VALUE"""),"RCG")</f>
        <v>RCG</v>
      </c>
      <c r="T1296" s="73" t="str">
        <f>IFERROR(__xludf.DUMMYFUNCTION("""COMPUTED_VALUE""")," N/A ")</f>
        <v>N/A</v>
      </c>
      <c r="U1296" s="73" t="str">
        <f>IFERROR(__xludf.DUMMYFUNCTION("""COMPUTED_VALUE""")," NO CHARGE ")</f>
        <v>NO CHARGE</v>
      </c>
      <c r="V1296" s="2" t="str">
        <f>IFERROR(__xludf.DUMMYFUNCTION("""COMPUTED_VALUE"""),"N/A")</f>
        <v>N/A</v>
      </c>
      <c r="W1296" s="2" t="str">
        <f>IFERROR(__xludf.DUMMYFUNCTION("""COMPUTED_VALUE"""),"N/A")</f>
        <v>N/A</v>
      </c>
      <c r="X1296" s="2" t="str">
        <f>IFERROR(__xludf.DUMMYFUNCTION("""COMPUTED_VALUE"""),"N/A")</f>
        <v>N/A</v>
      </c>
      <c r="Y1296" s="2"/>
      <c r="Z1296" s="2"/>
      <c r="AA1296" s="2"/>
      <c r="AB1296" s="2"/>
      <c r="AC1296" s="2"/>
      <c r="AD1296" s="2"/>
      <c r="AE1296" s="2"/>
      <c r="AF1296" s="2"/>
      <c r="AG1296" s="2"/>
      <c r="AH1296" s="2"/>
      <c r="AI1296" s="2"/>
      <c r="AJ1296" s="2" t="str">
        <f>IFERROR(__xludf.DUMMYFUNCTION("""COMPUTED_VALUE"""),"Poblacion")</f>
        <v>Poblacion</v>
      </c>
      <c r="AK1296" s="2" t="str">
        <f>IFERROR(__xludf.DUMMYFUNCTION("""COMPUTED_VALUE"""),"Calintaan")</f>
        <v>Calintaan</v>
      </c>
      <c r="AL1296" s="2" t="str">
        <f>IFERROR(__xludf.DUMMYFUNCTION("""COMPUTED_VALUE"""),"Occidental Mindoro")</f>
        <v>Occidental Mindoro</v>
      </c>
      <c r="AM1296" s="2" t="str">
        <f>IFERROR(__xludf.DUMMYFUNCTION("""COMPUTED_VALUE"""),"4B")</f>
        <v>4B</v>
      </c>
      <c r="AN1296" s="2" t="str">
        <f>IFERROR(__xludf.DUMMYFUNCTION("""COMPUTED_VALUE"""),"RCEF 23-08-20 Rebidding")</f>
        <v>RCEF 23-08-20 Rebidding</v>
      </c>
      <c r="AO1296" s="2">
        <f>IFERROR(__xludf.DUMMYFUNCTION("""COMPUTED_VALUE"""),1.0)</f>
        <v>1</v>
      </c>
      <c r="AP1296" s="2"/>
      <c r="AQ1296" s="2"/>
      <c r="AR1296" s="2"/>
      <c r="AS1296" s="2"/>
      <c r="AT1296" s="2"/>
      <c r="AU1296" s="2"/>
      <c r="AV1296" s="2"/>
      <c r="AW1296" s="2"/>
      <c r="AX1296" s="2"/>
      <c r="AY1296" s="2"/>
      <c r="AZ1296" s="2"/>
      <c r="BA1296" s="2"/>
      <c r="BB1296" s="2"/>
    </row>
    <row r="1297">
      <c r="A1297" s="2">
        <f>IFERROR(__xludf.DUMMYFUNCTION("""COMPUTED_VALUE"""),1293.0)</f>
        <v>1293</v>
      </c>
      <c r="B1297" s="2" t="str">
        <f>IFERROR(__xludf.DUMMYFUNCTION("""COMPUTED_VALUE"""),"COMPLETED")</f>
        <v>COMPLETED</v>
      </c>
      <c r="C1297" s="74">
        <f>IFERROR(__xludf.DUMMYFUNCTION("""COMPUTED_VALUE"""),46000.0)</f>
        <v>46000</v>
      </c>
      <c r="D1297" s="71" t="str">
        <f>IFERROR(__xludf.DUMMYFUNCTION("""COMPUTED_VALUE"""),"BIGKIS SAN PARAOMA SA BULAN (BPB), INC.")</f>
        <v>BIGKIS SAN PARAOMA SA BULAN (BPB), INC.</v>
      </c>
      <c r="E1297" s="71" t="str">
        <f>IFERROR(__xludf.DUMMYFUNCTION("""COMPUTED_VALUE"""),"Somagongsong, Bulan, SORSOGON")</f>
        <v>Somagongsong, Bulan, SORSOGON</v>
      </c>
      <c r="F1297" s="2" t="str">
        <f>IFERROR(__xludf.DUMMYFUNCTION("""COMPUTED_VALUE"""),"RAFAEL GORDOLA")</f>
        <v>RAFAEL GORDOLA</v>
      </c>
      <c r="G1297" s="2" t="str">
        <f>IFERROR(__xludf.DUMMYFUNCTION("""COMPUTED_VALUE"""),"VIA MESSENGER")</f>
        <v>VIA MESSENGER</v>
      </c>
      <c r="H1297" s="2"/>
      <c r="I1297" s="72" t="str">
        <f>IFERROR(__xludf.DUMMYFUNCTION("""COMPUTED_VALUE"""),"PMS")</f>
        <v>PMS</v>
      </c>
      <c r="J1297" s="72" t="str">
        <f>IFERROR(__xludf.DUMMYFUNCTION("""COMPUTED_VALUE"""),"PMS")</f>
        <v>PMS</v>
      </c>
      <c r="K1297" s="72" t="str">
        <f>IFERROR(__xludf.DUMMYFUNCTION("""COMPUTED_VALUE"""),"JAH: 1ST PMS FREE")</f>
        <v>JAH: 1ST PMS FREE</v>
      </c>
      <c r="L1297" s="72" t="str">
        <f>IFERROR(__xludf.DUMMYFUNCTION("""COMPUTED_VALUE"""),"JAH: 1ST PMS DONE")</f>
        <v>JAH: 1ST PMS DONE</v>
      </c>
      <c r="M1297" s="2"/>
      <c r="N1297" s="2" t="str">
        <f>IFERROR(__xludf.DUMMYFUNCTION("""COMPUTED_VALUE"""),"PARTS:
OIL FILTER
NEGINE OIL")</f>
        <v>PARTS:
OIL FILTER
NEGINE OIL</v>
      </c>
      <c r="O1297" s="2">
        <f>IFERROR(__xludf.DUMMYFUNCTION("""COMPUTED_VALUE"""),384.0)</f>
        <v>384</v>
      </c>
      <c r="P1297" s="2"/>
      <c r="Q1297" s="2" t="str">
        <f>IFERROR(__xludf.DUMMYFUNCTION("""COMPUTED_VALUE"""),"FOR PRINT")</f>
        <v>FOR PRINT</v>
      </c>
      <c r="R1297" s="74">
        <f>IFERROR(__xludf.DUMMYFUNCTION("""COMPUTED_VALUE"""),46003.0)</f>
        <v>46003</v>
      </c>
      <c r="S1297" s="2" t="str">
        <f>IFERROR(__xludf.DUMMYFUNCTION("""COMPUTED_VALUE"""),"JTT/JAH")</f>
        <v>JTT/JAH</v>
      </c>
      <c r="T1297" s="73" t="str">
        <f>IFERROR(__xludf.DUMMYFUNCTION("""COMPUTED_VALUE""")," N/A ")</f>
        <v>N/A</v>
      </c>
      <c r="U1297" s="73" t="str">
        <f>IFERROR(__xludf.DUMMYFUNCTION("""COMPUTED_VALUE""")," NO CHARGE ")</f>
        <v>NO CHARGE</v>
      </c>
      <c r="V1297" s="2"/>
      <c r="W1297" s="2" t="str">
        <f>IFERROR(__xludf.DUMMYFUNCTION("""COMPUTED_VALUE"""),"N/A")</f>
        <v>N/A</v>
      </c>
      <c r="X1297" s="2" t="str">
        <f>IFERROR(__xludf.DUMMYFUNCTION("""COMPUTED_VALUE"""),"N/A")</f>
        <v>N/A</v>
      </c>
      <c r="Y1297" s="2"/>
      <c r="Z1297" s="2"/>
      <c r="AA1297" s="2"/>
      <c r="AB1297" s="2"/>
      <c r="AC1297" s="2"/>
      <c r="AD1297" s="2"/>
      <c r="AE1297" s="2"/>
      <c r="AF1297" s="2"/>
      <c r="AG1297" s="2"/>
      <c r="AH1297" s="2"/>
      <c r="AI1297" s="2"/>
      <c r="AJ1297" s="2" t="str">
        <f>IFERROR(__xludf.DUMMYFUNCTION("""COMPUTED_VALUE"""),"Somagongsong")</f>
        <v>Somagongsong</v>
      </c>
      <c r="AK1297" s="2" t="str">
        <f>IFERROR(__xludf.DUMMYFUNCTION("""COMPUTED_VALUE"""),"Bulan")</f>
        <v>Bulan</v>
      </c>
      <c r="AL1297" s="2" t="str">
        <f>IFERROR(__xludf.DUMMYFUNCTION("""COMPUTED_VALUE"""),"Sorsogon")</f>
        <v>Sorsogon</v>
      </c>
      <c r="AM1297" s="2">
        <f>IFERROR(__xludf.DUMMYFUNCTION("""COMPUTED_VALUE"""),5.0)</f>
        <v>5</v>
      </c>
      <c r="AN1297" s="2" t="str">
        <f>IFERROR(__xludf.DUMMYFUNCTION("""COMPUTED_VALUE"""),"RCEF 25-03-05")</f>
        <v>RCEF 25-03-05</v>
      </c>
      <c r="AO1297" s="2">
        <f>IFERROR(__xludf.DUMMYFUNCTION("""COMPUTED_VALUE"""),6.0)</f>
        <v>6</v>
      </c>
      <c r="AP1297" s="2" t="str">
        <f>IFERROR(__xludf.DUMMYFUNCTION("""COMPUTED_VALUE"""),"FREE PMS")</f>
        <v>FREE PMS</v>
      </c>
      <c r="AQ1297" s="2"/>
      <c r="AR1297" s="2"/>
      <c r="AS1297" s="2"/>
      <c r="AT1297" s="2"/>
      <c r="AU1297" s="2"/>
      <c r="AV1297" s="2"/>
      <c r="AW1297" s="2"/>
      <c r="AX1297" s="2"/>
      <c r="AY1297" s="2"/>
      <c r="AZ1297" s="2"/>
      <c r="BA1297" s="2"/>
      <c r="BB1297" s="2"/>
    </row>
    <row r="1298">
      <c r="A1298" s="2">
        <f>IFERROR(__xludf.DUMMYFUNCTION("""COMPUTED_VALUE"""),1294.0)</f>
        <v>1294</v>
      </c>
      <c r="B1298" s="2" t="str">
        <f>IFERROR(__xludf.DUMMYFUNCTION("""COMPUTED_VALUE"""),"COMPLETED")</f>
        <v>COMPLETED</v>
      </c>
      <c r="C1298" s="74">
        <f>IFERROR(__xludf.DUMMYFUNCTION("""COMPUTED_VALUE"""),46000.0)</f>
        <v>46000</v>
      </c>
      <c r="D1298" s="71" t="str">
        <f>IFERROR(__xludf.DUMMYFUNCTION("""COMPUTED_VALUE"""),"Mabini Main Farmer's Association")</f>
        <v>Mabini Main Farmer's Association</v>
      </c>
      <c r="E1298" s="71" t="str">
        <f>IFERROR(__xludf.DUMMYFUNCTION("""COMPUTED_VALUE"""),"Mabini, San Jose, OCCIDENTAL MINDORO")</f>
        <v>Mabini, San Jose, OCCIDENTAL MINDORO</v>
      </c>
      <c r="F1298" s="2" t="str">
        <f>IFERROR(__xludf.DUMMYFUNCTION("""COMPUTED_VALUE"""),"MICHAEL CUSTUDIO")</f>
        <v>MICHAEL CUSTUDIO</v>
      </c>
      <c r="G1298" s="2">
        <f>IFERROR(__xludf.DUMMYFUNCTION("""COMPUTED_VALUE"""),9.654101547E9)</f>
        <v>9654101547</v>
      </c>
      <c r="H1298" s="2">
        <f>IFERROR(__xludf.DUMMYFUNCTION("""COMPUTED_VALUE"""),53.0)</f>
        <v>53</v>
      </c>
      <c r="I1298" s="72" t="str">
        <f>IFERROR(__xludf.DUMMYFUNCTION("""COMPUTED_VALUE"""),"PMS")</f>
        <v>PMS</v>
      </c>
      <c r="J1298" s="72" t="str">
        <f>IFERROR(__xludf.DUMMYFUNCTION("""COMPUTED_VALUE"""),"PMS")</f>
        <v>PMS</v>
      </c>
      <c r="K1298" s="72" t="str">
        <f>IFERROR(__xludf.DUMMYFUNCTION("""COMPUTED_VALUE"""),"MYK: 1ST PMS FREE")</f>
        <v>MYK: 1ST PMS FREE</v>
      </c>
      <c r="L1298" s="72" t="str">
        <f>IFERROR(__xludf.DUMMYFUNCTION("""COMPUTED_VALUE"""),"RBS:1ST PMS DONE")</f>
        <v>RBS:1ST PMS DONE</v>
      </c>
      <c r="M1298" s="2"/>
      <c r="N1298" s="2" t="str">
        <f>IFERROR(__xludf.DUMMYFUNCTION("""COMPUTED_VALUE"""),"PARTS:
OIL FILTER
ENGINE OIL")</f>
        <v>PARTS:
OIL FILTER
ENGINE OIL</v>
      </c>
      <c r="O1298" s="2">
        <f>IFERROR(__xludf.DUMMYFUNCTION("""COMPUTED_VALUE"""),605.0)</f>
        <v>605</v>
      </c>
      <c r="P1298" s="2"/>
      <c r="Q1298" s="2" t="str">
        <f>IFERROR(__xludf.DUMMYFUNCTION("""COMPUTED_VALUE"""),"FOR PRINT")</f>
        <v>FOR PRINT</v>
      </c>
      <c r="R1298" s="74">
        <f>IFERROR(__xludf.DUMMYFUNCTION("""COMPUTED_VALUE"""),46013.0)</f>
        <v>46013</v>
      </c>
      <c r="S1298" s="2" t="str">
        <f>IFERROR(__xludf.DUMMYFUNCTION("""COMPUTED_VALUE"""),"RBS")</f>
        <v>RBS</v>
      </c>
      <c r="T1298" s="73" t="str">
        <f>IFERROR(__xludf.DUMMYFUNCTION("""COMPUTED_VALUE""")," N/A ")</f>
        <v>N/A</v>
      </c>
      <c r="U1298" s="73" t="str">
        <f>IFERROR(__xludf.DUMMYFUNCTION("""COMPUTED_VALUE""")," NO CHARGE ")</f>
        <v>NO CHARGE</v>
      </c>
      <c r="V1298" s="2"/>
      <c r="W1298" s="2" t="str">
        <f>IFERROR(__xludf.DUMMYFUNCTION("""COMPUTED_VALUE"""),"N/A")</f>
        <v>N/A</v>
      </c>
      <c r="X1298" s="2" t="str">
        <f>IFERROR(__xludf.DUMMYFUNCTION("""COMPUTED_VALUE"""),"N/A")</f>
        <v>N/A</v>
      </c>
      <c r="Y1298" s="2"/>
      <c r="Z1298" s="2"/>
      <c r="AA1298" s="2"/>
      <c r="AB1298" s="2"/>
      <c r="AC1298" s="2"/>
      <c r="AD1298" s="2"/>
      <c r="AE1298" s="2"/>
      <c r="AF1298" s="2"/>
      <c r="AG1298" s="2"/>
      <c r="AH1298" s="2"/>
      <c r="AI1298" s="2"/>
      <c r="AJ1298" s="2" t="str">
        <f>IFERROR(__xludf.DUMMYFUNCTION("""COMPUTED_VALUE"""),"Mabini")</f>
        <v>Mabini</v>
      </c>
      <c r="AK1298" s="2" t="str">
        <f>IFERROR(__xludf.DUMMYFUNCTION("""COMPUTED_VALUE"""),"San Jose")</f>
        <v>San Jose</v>
      </c>
      <c r="AL1298" s="2" t="str">
        <f>IFERROR(__xludf.DUMMYFUNCTION("""COMPUTED_VALUE"""),"Occidental Mindoro")</f>
        <v>Occidental Mindoro</v>
      </c>
      <c r="AM1298" s="2" t="str">
        <f>IFERROR(__xludf.DUMMYFUNCTION("""COMPUTED_VALUE"""),"4B")</f>
        <v>4B</v>
      </c>
      <c r="AN1298" s="2" t="str">
        <f>IFERROR(__xludf.DUMMYFUNCTION("""COMPUTED_VALUE"""),"RCEF 25-03-05")</f>
        <v>RCEF 25-03-05</v>
      </c>
      <c r="AO1298" s="2">
        <f>IFERROR(__xludf.DUMMYFUNCTION("""COMPUTED_VALUE"""),6.0)</f>
        <v>6</v>
      </c>
      <c r="AP1298" s="2" t="str">
        <f>IFERROR(__xludf.DUMMYFUNCTION("""COMPUTED_VALUE"""),"FREE PMS")</f>
        <v>FREE PMS</v>
      </c>
      <c r="AQ1298" s="2"/>
      <c r="AR1298" s="2"/>
      <c r="AS1298" s="2"/>
      <c r="AT1298" s="2"/>
      <c r="AU1298" s="2"/>
      <c r="AV1298" s="2"/>
      <c r="AW1298" s="2"/>
      <c r="AX1298" s="2"/>
      <c r="AY1298" s="2"/>
      <c r="AZ1298" s="2"/>
      <c r="BA1298" s="2"/>
      <c r="BB1298" s="2"/>
    </row>
    <row r="1299">
      <c r="A1299" s="2">
        <f>IFERROR(__xludf.DUMMYFUNCTION("""COMPUTED_VALUE"""),1295.0)</f>
        <v>1295</v>
      </c>
      <c r="B1299" s="2" t="str">
        <f>IFERROR(__xludf.DUMMYFUNCTION("""COMPUTED_VALUE"""),"COMPLETED")</f>
        <v>COMPLETED</v>
      </c>
      <c r="C1299" s="74">
        <f>IFERROR(__xludf.DUMMYFUNCTION("""COMPUTED_VALUE"""),46000.0)</f>
        <v>46000</v>
      </c>
      <c r="D1299" s="71" t="str">
        <f>IFERROR(__xludf.DUMMYFUNCTION("""COMPUTED_VALUE"""),"Watchers Multi-Purpose Cooperative")</f>
        <v>Watchers Multi-Purpose Cooperative</v>
      </c>
      <c r="E1299" s="71" t="str">
        <f>IFERROR(__xludf.DUMMYFUNCTION("""COMPUTED_VALUE"""),"Labangan Poblacion, San Jose, OCCIDENTAL MINDORO")</f>
        <v>Labangan Poblacion, San Jose, OCCIDENTAL MINDORO</v>
      </c>
      <c r="F1299" s="2" t="str">
        <f>IFERROR(__xludf.DUMMYFUNCTION("""COMPUTED_VALUE"""),"Ptr. Chris")</f>
        <v>Ptr. Chris</v>
      </c>
      <c r="G1299" s="2" t="str">
        <f>IFERROR(__xludf.DUMMYFUNCTION("""COMPUTED_VALUE"""),"(0935) 487 8552")</f>
        <v>(0935) 487 8552</v>
      </c>
      <c r="H1299" s="2"/>
      <c r="I1299" s="72" t="str">
        <f>IFERROR(__xludf.DUMMYFUNCTION("""COMPUTED_VALUE"""),"REPAIR - TRACTOR")</f>
        <v>REPAIR - TRACTOR</v>
      </c>
      <c r="J1299" s="72" t="str">
        <f>IFERROR(__xludf.DUMMYFUNCTION("""COMPUTED_VALUE"""),"Hydraulic Hose Leak")</f>
        <v>Hydraulic Hose Leak</v>
      </c>
      <c r="K1299" s="72" t="str">
        <f>IFERROR(__xludf.DUMMYFUNCTION("""COMPUTED_VALUE"""),"KFS: May tagas ng langis sa manibela. ")</f>
        <v>KFS: May tagas ng langis sa manibela. </v>
      </c>
      <c r="L1299" s="72" t="str">
        <f>IFERROR(__xludf.DUMMYFUNCTION("""COMPUTED_VALUE"""),"JTT: IPAPA CRIP NALANG ANG HYDRAULIC HOSE C/O FARMER")</f>
        <v>JTT: IPAPA CRIP NALANG ANG HYDRAULIC HOSE C/O FARMER</v>
      </c>
      <c r="M1299" s="2"/>
      <c r="N1299" s="2"/>
      <c r="O1299" s="2" t="str">
        <f>IFERROR(__xludf.DUMMYFUNCTION("""COMPUTED_VALUE"""),"N/A")</f>
        <v>N/A</v>
      </c>
      <c r="P1299" s="2"/>
      <c r="Q1299" s="2"/>
      <c r="R1299" s="74">
        <f>IFERROR(__xludf.DUMMYFUNCTION("""COMPUTED_VALUE"""),46048.0)</f>
        <v>46048</v>
      </c>
      <c r="S1299" s="2" t="str">
        <f>IFERROR(__xludf.DUMMYFUNCTION("""COMPUTED_VALUE"""),"JTT")</f>
        <v>JTT</v>
      </c>
      <c r="T1299" s="73" t="str">
        <f>IFERROR(__xludf.DUMMYFUNCTION("""COMPUTED_VALUE""")," N/A ")</f>
        <v>N/A</v>
      </c>
      <c r="U1299" s="73" t="str">
        <f>IFERROR(__xludf.DUMMYFUNCTION("""COMPUTED_VALUE""")," NO CHARGE ")</f>
        <v>NO CHARGE</v>
      </c>
      <c r="V1299" s="2"/>
      <c r="W1299" s="2" t="str">
        <f>IFERROR(__xludf.DUMMYFUNCTION("""COMPUTED_VALUE"""),"N/A")</f>
        <v>N/A</v>
      </c>
      <c r="X1299" s="2" t="str">
        <f>IFERROR(__xludf.DUMMYFUNCTION("""COMPUTED_VALUE"""),"N/A")</f>
        <v>N/A</v>
      </c>
      <c r="Y1299" s="2"/>
      <c r="Z1299" s="2"/>
      <c r="AA1299" s="2"/>
      <c r="AB1299" s="2"/>
      <c r="AC1299" s="2"/>
      <c r="AD1299" s="2"/>
      <c r="AE1299" s="2"/>
      <c r="AF1299" s="2"/>
      <c r="AG1299" s="2"/>
      <c r="AH1299" s="2"/>
      <c r="AI1299" s="2"/>
      <c r="AJ1299" s="2" t="str">
        <f>IFERROR(__xludf.DUMMYFUNCTION("""COMPUTED_VALUE"""),"Labangan Poblacion")</f>
        <v>Labangan Poblacion</v>
      </c>
      <c r="AK1299" s="2" t="str">
        <f>IFERROR(__xludf.DUMMYFUNCTION("""COMPUTED_VALUE"""),"San Jose")</f>
        <v>San Jose</v>
      </c>
      <c r="AL1299" s="2" t="str">
        <f>IFERROR(__xludf.DUMMYFUNCTION("""COMPUTED_VALUE"""),"Occidental Mindoro")</f>
        <v>Occidental Mindoro</v>
      </c>
      <c r="AM1299" s="2" t="str">
        <f>IFERROR(__xludf.DUMMYFUNCTION("""COMPUTED_VALUE"""),"4B")</f>
        <v>4B</v>
      </c>
      <c r="AN1299" s="2" t="str">
        <f>IFERROR(__xludf.DUMMYFUNCTION("""COMPUTED_VALUE"""),"RCEF 25-03-05")</f>
        <v>RCEF 25-03-05</v>
      </c>
      <c r="AO1299" s="2">
        <f>IFERROR(__xludf.DUMMYFUNCTION("""COMPUTED_VALUE"""),6.0)</f>
        <v>6</v>
      </c>
      <c r="AP1299" s="2" t="str">
        <f>IFERROR(__xludf.DUMMYFUNCTION("""COMPUTED_VALUE"""),"FREE PMS")</f>
        <v>FREE PMS</v>
      </c>
      <c r="AQ1299" s="2"/>
      <c r="AR1299" s="2"/>
      <c r="AS1299" s="2"/>
      <c r="AT1299" s="2"/>
      <c r="AU1299" s="2"/>
      <c r="AV1299" s="2"/>
      <c r="AW1299" s="2"/>
      <c r="AX1299" s="2"/>
      <c r="AY1299" s="2"/>
      <c r="AZ1299" s="2"/>
      <c r="BA1299" s="2"/>
      <c r="BB1299" s="2"/>
    </row>
    <row r="1300">
      <c r="A1300" s="2">
        <f>IFERROR(__xludf.DUMMYFUNCTION("""COMPUTED_VALUE"""),1296.0)</f>
        <v>1296</v>
      </c>
      <c r="B1300" s="2" t="str">
        <f>IFERROR(__xludf.DUMMYFUNCTION("""COMPUTED_VALUE"""),"COMPLETED")</f>
        <v>COMPLETED</v>
      </c>
      <c r="C1300" s="74">
        <f>IFERROR(__xludf.DUMMYFUNCTION("""COMPUTED_VALUE"""),46000.0)</f>
        <v>46000</v>
      </c>
      <c r="D1300" s="71" t="str">
        <f>IFERROR(__xludf.DUMMYFUNCTION("""COMPUTED_VALUE"""),"San Miguel Sinag Tala Multipurpose Cooperative")</f>
        <v>San Miguel Sinag Tala Multipurpose Cooperative</v>
      </c>
      <c r="E1300" s="71" t="str">
        <f>IFERROR(__xludf.DUMMYFUNCTION("""COMPUTED_VALUE"""),"San Vicente, San Miguel, BULACAN")</f>
        <v>San Vicente, San Miguel, BULACAN</v>
      </c>
      <c r="F1300" s="2" t="str">
        <f>IFERROR(__xludf.DUMMYFUNCTION("""COMPUTED_VALUE"""),"DIGNA CALIWAG / ANDRES CALIWAG ")</f>
        <v>DIGNA CALIWAG / ANDRES CALIWAG </v>
      </c>
      <c r="G1300" s="2">
        <f>IFERROR(__xludf.DUMMYFUNCTION("""COMPUTED_VALUE"""),9.32271408E9)</f>
        <v>9322714080</v>
      </c>
      <c r="H1300" s="2">
        <f>IFERROR(__xludf.DUMMYFUNCTION("""COMPUTED_VALUE"""),50.0)</f>
        <v>50</v>
      </c>
      <c r="I1300" s="72" t="str">
        <f>IFERROR(__xludf.DUMMYFUNCTION("""COMPUTED_VALUE"""),"PMS")</f>
        <v>PMS</v>
      </c>
      <c r="J1300" s="72" t="str">
        <f>IFERROR(__xludf.DUMMYFUNCTION("""COMPUTED_VALUE"""),"PMS")</f>
        <v>PMS</v>
      </c>
      <c r="K1300" s="72" t="str">
        <f>IFERROR(__xludf.DUMMYFUNCTION("""COMPUTED_VALUE"""),"MYK: 1ST PMS FREE")</f>
        <v>MYK: 1ST PMS FREE</v>
      </c>
      <c r="L1300" s="72" t="str">
        <f>IFERROR(__xludf.DUMMYFUNCTION("""COMPUTED_VALUE"""),"JDP: 1ST PMS DONE")</f>
        <v>JDP: 1ST PMS DONE</v>
      </c>
      <c r="M1300" s="2"/>
      <c r="N1300" s="2" t="str">
        <f>IFERROR(__xludf.DUMMYFUNCTION("""COMPUTED_VALUE"""),"PARTS:
OIL FILTER
ENGINE OIL")</f>
        <v>PARTS:
OIL FILTER
ENGINE OIL</v>
      </c>
      <c r="O1300" s="2">
        <f>IFERROR(__xludf.DUMMYFUNCTION("""COMPUTED_VALUE"""),483.0)</f>
        <v>483</v>
      </c>
      <c r="P1300" s="2"/>
      <c r="Q1300" s="2" t="str">
        <f>IFERROR(__xludf.DUMMYFUNCTION("""COMPUTED_VALUE"""),"FOR PRINT")</f>
        <v>FOR PRINT</v>
      </c>
      <c r="R1300" s="74">
        <f>IFERROR(__xludf.DUMMYFUNCTION("""COMPUTED_VALUE"""),46031.0)</f>
        <v>46031</v>
      </c>
      <c r="S1300" s="2" t="str">
        <f>IFERROR(__xludf.DUMMYFUNCTION("""COMPUTED_VALUE"""),"JDP/DRM")</f>
        <v>JDP/DRM</v>
      </c>
      <c r="T1300" s="73" t="str">
        <f>IFERROR(__xludf.DUMMYFUNCTION("""COMPUTED_VALUE""")," N/A ")</f>
        <v>N/A</v>
      </c>
      <c r="U1300" s="73" t="str">
        <f>IFERROR(__xludf.DUMMYFUNCTION("""COMPUTED_VALUE""")," NO CHARGE ")</f>
        <v>NO CHARGE</v>
      </c>
      <c r="V1300" s="2" t="str">
        <f>IFERROR(__xludf.DUMMYFUNCTION("""COMPUTED_VALUE"""),"NO DR")</f>
        <v>NO DR</v>
      </c>
      <c r="W1300" s="2" t="str">
        <f>IFERROR(__xludf.DUMMYFUNCTION("""COMPUTED_VALUE"""),"N/A")</f>
        <v>N/A</v>
      </c>
      <c r="X1300" s="2" t="str">
        <f>IFERROR(__xludf.DUMMYFUNCTION("""COMPUTED_VALUE"""),"N/A")</f>
        <v>N/A</v>
      </c>
      <c r="Y1300" s="2"/>
      <c r="Z1300" s="2"/>
      <c r="AA1300" s="2"/>
      <c r="AB1300" s="2"/>
      <c r="AC1300" s="2"/>
      <c r="AD1300" s="2"/>
      <c r="AE1300" s="2"/>
      <c r="AF1300" s="2"/>
      <c r="AG1300" s="2"/>
      <c r="AH1300" s="2"/>
      <c r="AI1300" s="2"/>
      <c r="AJ1300" s="2" t="str">
        <f>IFERROR(__xludf.DUMMYFUNCTION("""COMPUTED_VALUE"""),"San Vicente")</f>
        <v>San Vicente</v>
      </c>
      <c r="AK1300" s="2" t="str">
        <f>IFERROR(__xludf.DUMMYFUNCTION("""COMPUTED_VALUE"""),"San Miguel")</f>
        <v>San Miguel</v>
      </c>
      <c r="AL1300" s="2" t="str">
        <f>IFERROR(__xludf.DUMMYFUNCTION("""COMPUTED_VALUE"""),"Bulacan")</f>
        <v>Bulacan</v>
      </c>
      <c r="AM1300" s="2">
        <f>IFERROR(__xludf.DUMMYFUNCTION("""COMPUTED_VALUE"""),3.0)</f>
        <v>3</v>
      </c>
      <c r="AN1300" s="2" t="str">
        <f>IFERROR(__xludf.DUMMYFUNCTION("""COMPUTED_VALUE"""),"RCEF 25-03-05")</f>
        <v>RCEF 25-03-05</v>
      </c>
      <c r="AO1300" s="2">
        <f>IFERROR(__xludf.DUMMYFUNCTION("""COMPUTED_VALUE"""),5.0)</f>
        <v>5</v>
      </c>
      <c r="AP1300" s="2" t="str">
        <f>IFERROR(__xludf.DUMMYFUNCTION("""COMPUTED_VALUE"""),"FREE PMS")</f>
        <v>FREE PMS</v>
      </c>
      <c r="AQ1300" s="2"/>
      <c r="AR1300" s="2"/>
      <c r="AS1300" s="2"/>
      <c r="AT1300" s="2"/>
      <c r="AU1300" s="2"/>
      <c r="AV1300" s="2"/>
      <c r="AW1300" s="2"/>
      <c r="AX1300" s="2"/>
      <c r="AY1300" s="2"/>
      <c r="AZ1300" s="2"/>
      <c r="BA1300" s="2"/>
      <c r="BB1300" s="2"/>
    </row>
    <row r="1301">
      <c r="A1301" s="2">
        <f>IFERROR(__xludf.DUMMYFUNCTION("""COMPUTED_VALUE"""),1297.0)</f>
        <v>1297</v>
      </c>
      <c r="B1301" s="2" t="str">
        <f>IFERROR(__xludf.DUMMYFUNCTION("""COMPUTED_VALUE"""),"COMPLETED")</f>
        <v>COMPLETED</v>
      </c>
      <c r="C1301" s="74">
        <f>IFERROR(__xludf.DUMMYFUNCTION("""COMPUTED_VALUE"""),46001.0)</f>
        <v>46001</v>
      </c>
      <c r="D1301" s="71" t="str">
        <f>IFERROR(__xludf.DUMMYFUNCTION("""COMPUTED_VALUE"""),"BAGACAY FARMERS ANG LIVESTOCK RAISERS ASSOCIATION")</f>
        <v>BAGACAY FARMERS ANG LIVESTOCK RAISERS ASSOCIATION</v>
      </c>
      <c r="E1301" s="71" t="str">
        <f>IFERROR(__xludf.DUMMYFUNCTION("""COMPUTED_VALUE"""),"Nasukob (Pob.), Bulalacao, ORIENTAL MINDORO")</f>
        <v>Nasukob (Pob.), Bulalacao, ORIENTAL MINDORO</v>
      </c>
      <c r="F1301" s="2" t="str">
        <f>IFERROR(__xludf.DUMMYFUNCTION("""COMPUTED_VALUE"""),"Pepito Cantos ")</f>
        <v>Pepito Cantos </v>
      </c>
      <c r="G1301" s="2">
        <f>IFERROR(__xludf.DUMMYFUNCTION("""COMPUTED_VALUE"""),9.352515123E9)</f>
        <v>9352515123</v>
      </c>
      <c r="H1301" s="2">
        <f>IFERROR(__xludf.DUMMYFUNCTION("""COMPUTED_VALUE"""),200.0)</f>
        <v>200</v>
      </c>
      <c r="I1301" s="72" t="str">
        <f>IFERROR(__xludf.DUMMYFUNCTION("""COMPUTED_VALUE"""),"SPARE PARTS ACQUISITION")</f>
        <v>SPARE PARTS ACQUISITION</v>
      </c>
      <c r="J1301" s="72"/>
      <c r="K1301" s="72" t="str">
        <f>IFERROR(__xludf.DUMMYFUNCTION("""COMPUTED_VALUE"""),"MYK: AIR FILTER
ELEMENT AIR CLEANER (OUTER) - HLT0621020
ELEMENT, AIR CLEANER (INNER) - HLT0621030")</f>
        <v>MYK: AIR FILTER
ELEMENT AIR CLEANER (OUTER) - HLT0621020
ELEMENT, AIR CLEANER (INNER) - HLT0621030</v>
      </c>
      <c r="L1301" s="72" t="str">
        <f>IFERROR(__xludf.DUMMYFUNCTION("""COMPUTED_VALUE"""),"QUOTATION SENT: NAMAHALAN")</f>
        <v>QUOTATION SENT: NAMAHALAN</v>
      </c>
      <c r="M1301" s="2"/>
      <c r="N1301" s="2"/>
      <c r="O1301" s="2" t="str">
        <f>IFERROR(__xludf.DUMMYFUNCTION("""COMPUTED_VALUE"""),"N/A")</f>
        <v>N/A</v>
      </c>
      <c r="P1301" s="2"/>
      <c r="Q1301" s="2"/>
      <c r="R1301" s="74">
        <f>IFERROR(__xludf.DUMMYFUNCTION("""COMPUTED_VALUE"""),46002.0)</f>
        <v>46002</v>
      </c>
      <c r="S1301" s="2" t="str">
        <f>IFERROR(__xludf.DUMMYFUNCTION("""COMPUTED_VALUE"""),"MYKEE")</f>
        <v>MYKEE</v>
      </c>
      <c r="T1301" s="73" t="str">
        <f>IFERROR(__xludf.DUMMYFUNCTION("""COMPUTED_VALUE""")," N/A ")</f>
        <v>N/A</v>
      </c>
      <c r="U1301" s="73" t="str">
        <f>IFERROR(__xludf.DUMMYFUNCTION("""COMPUTED_VALUE""")," NO CHARGE ")</f>
        <v>NO CHARGE</v>
      </c>
      <c r="V1301" s="2" t="str">
        <f>IFERROR(__xludf.DUMMYFUNCTION("""COMPUTED_VALUE"""),"N/A")</f>
        <v>N/A</v>
      </c>
      <c r="W1301" s="2" t="str">
        <f>IFERROR(__xludf.DUMMYFUNCTION("""COMPUTED_VALUE"""),"N/A")</f>
        <v>N/A</v>
      </c>
      <c r="X1301" s="2" t="str">
        <f>IFERROR(__xludf.DUMMYFUNCTION("""COMPUTED_VALUE"""),"N/A")</f>
        <v>N/A</v>
      </c>
      <c r="Y1301" s="2"/>
      <c r="Z1301" s="2"/>
      <c r="AA1301" s="2"/>
      <c r="AB1301" s="2"/>
      <c r="AC1301" s="2"/>
      <c r="AD1301" s="2"/>
      <c r="AE1301" s="2"/>
      <c r="AF1301" s="2"/>
      <c r="AG1301" s="2"/>
      <c r="AH1301" s="2"/>
      <c r="AI1301" s="2"/>
      <c r="AJ1301" s="2" t="str">
        <f>IFERROR(__xludf.DUMMYFUNCTION("""COMPUTED_VALUE"""),"Nasukob (Pob.)")</f>
        <v>Nasukob (Pob.)</v>
      </c>
      <c r="AK1301" s="2" t="str">
        <f>IFERROR(__xludf.DUMMYFUNCTION("""COMPUTED_VALUE"""),"Bulalacao")</f>
        <v>Bulalacao</v>
      </c>
      <c r="AL1301" s="2" t="str">
        <f>IFERROR(__xludf.DUMMYFUNCTION("""COMPUTED_VALUE"""),"Oriental Mindoro")</f>
        <v>Oriental Mindoro</v>
      </c>
      <c r="AM1301" s="2" t="str">
        <f>IFERROR(__xludf.DUMMYFUNCTION("""COMPUTED_VALUE"""),"4B")</f>
        <v>4B</v>
      </c>
      <c r="AN1301" s="2" t="str">
        <f>IFERROR(__xludf.DUMMYFUNCTION("""COMPUTED_VALUE"""),"RCEF 25-03-05")</f>
        <v>RCEF 25-03-05</v>
      </c>
      <c r="AO1301" s="2">
        <f>IFERROR(__xludf.DUMMYFUNCTION("""COMPUTED_VALUE"""),6.0)</f>
        <v>6</v>
      </c>
      <c r="AP1301" s="2" t="str">
        <f>IFERROR(__xludf.DUMMYFUNCTION("""COMPUTED_VALUE"""),"FREE PMS")</f>
        <v>FREE PMS</v>
      </c>
      <c r="AQ1301" s="2"/>
      <c r="AR1301" s="2"/>
      <c r="AS1301" s="2"/>
      <c r="AT1301" s="2"/>
      <c r="AU1301" s="2"/>
      <c r="AV1301" s="2"/>
      <c r="AW1301" s="2"/>
      <c r="AX1301" s="2"/>
      <c r="AY1301" s="2"/>
      <c r="AZ1301" s="2"/>
      <c r="BA1301" s="2"/>
      <c r="BB1301" s="2"/>
    </row>
    <row r="1302">
      <c r="A1302" s="2">
        <f>IFERROR(__xludf.DUMMYFUNCTION("""COMPUTED_VALUE"""),1298.0)</f>
        <v>1298</v>
      </c>
      <c r="B1302" s="2" t="str">
        <f>IFERROR(__xludf.DUMMYFUNCTION("""COMPUTED_VALUE"""),"COMPLETED")</f>
        <v>COMPLETED</v>
      </c>
      <c r="C1302" s="74">
        <f>IFERROR(__xludf.DUMMYFUNCTION("""COMPUTED_VALUE"""),46001.0)</f>
        <v>46001</v>
      </c>
      <c r="D1302" s="71" t="str">
        <f>IFERROR(__xludf.DUMMYFUNCTION("""COMPUTED_VALUE"""),"BAGSA RICE-ING FARMERS ASSOCIATION")</f>
        <v>BAGSA RICE-ING FARMERS ASSOCIATION</v>
      </c>
      <c r="E1302" s="71" t="str">
        <f>IFERROR(__xludf.DUMMYFUNCTION("""COMPUTED_VALUE"""),"Bagsa, Oas, ALBAY")</f>
        <v>Bagsa, Oas, ALBAY</v>
      </c>
      <c r="F1302" s="2" t="str">
        <f>IFERROR(__xludf.DUMMYFUNCTION("""COMPUTED_VALUE"""),"MARIO AGUILAR")</f>
        <v>MARIO AGUILAR</v>
      </c>
      <c r="G1302" s="2">
        <f>IFERROR(__xludf.DUMMYFUNCTION("""COMPUTED_VALUE"""),9.270222551E9)</f>
        <v>9270222551</v>
      </c>
      <c r="H1302" s="2">
        <f>IFERROR(__xludf.DUMMYFUNCTION("""COMPUTED_VALUE"""),30.0)</f>
        <v>30</v>
      </c>
      <c r="I1302" s="72" t="str">
        <f>IFERROR(__xludf.DUMMYFUNCTION("""COMPUTED_VALUE"""),"PMS")</f>
        <v>PMS</v>
      </c>
      <c r="J1302" s="72" t="str">
        <f>IFERROR(__xludf.DUMMYFUNCTION("""COMPUTED_VALUE"""),"PMS")</f>
        <v>PMS</v>
      </c>
      <c r="K1302" s="72" t="str">
        <f>IFERROR(__xludf.DUMMYFUNCTION("""COMPUTED_VALUE"""),"MYK: 1ST PMS FREE")</f>
        <v>MYK: 1ST PMS FREE</v>
      </c>
      <c r="L1302" s="72" t="str">
        <f>IFERROR(__xludf.DUMMYFUNCTION("""COMPUTED_VALUE"""),"FPJ: 1ST PMS DONE")</f>
        <v>FPJ: 1ST PMS DONE</v>
      </c>
      <c r="M1302" s="2"/>
      <c r="N1302" s="2" t="str">
        <f>IFERROR(__xludf.DUMMYFUNCTION("""COMPUTED_VALUE"""),"PARTS:
OIL FILTER
ENGINE OIL")</f>
        <v>PARTS:
OIL FILTER
ENGINE OIL</v>
      </c>
      <c r="O1302" s="2">
        <f>IFERROR(__xludf.DUMMYFUNCTION("""COMPUTED_VALUE"""),564.0)</f>
        <v>564</v>
      </c>
      <c r="P1302" s="2"/>
      <c r="Q1302" s="2" t="str">
        <f>IFERROR(__xludf.DUMMYFUNCTION("""COMPUTED_VALUE"""),"FOR PRINT")</f>
        <v>FOR PRINT</v>
      </c>
      <c r="R1302" s="74">
        <f>IFERROR(__xludf.DUMMYFUNCTION("""COMPUTED_VALUE"""),46056.0)</f>
        <v>46056</v>
      </c>
      <c r="S1302" s="2" t="str">
        <f>IFERROR(__xludf.DUMMYFUNCTION("""COMPUTED_VALUE"""),"FPJ")</f>
        <v>FPJ</v>
      </c>
      <c r="T1302" s="73" t="str">
        <f>IFERROR(__xludf.DUMMYFUNCTION("""COMPUTED_VALUE""")," N/A ")</f>
        <v>N/A</v>
      </c>
      <c r="U1302" s="73" t="str">
        <f>IFERROR(__xludf.DUMMYFUNCTION("""COMPUTED_VALUE""")," NO CHARGE ")</f>
        <v>NO CHARGE</v>
      </c>
      <c r="V1302" s="2"/>
      <c r="W1302" s="2" t="str">
        <f>IFERROR(__xludf.DUMMYFUNCTION("""COMPUTED_VALUE"""),"N/A")</f>
        <v>N/A</v>
      </c>
      <c r="X1302" s="2" t="str">
        <f>IFERROR(__xludf.DUMMYFUNCTION("""COMPUTED_VALUE"""),"N/A")</f>
        <v>N/A</v>
      </c>
      <c r="Y1302" s="2"/>
      <c r="Z1302" s="2"/>
      <c r="AA1302" s="2"/>
      <c r="AB1302" s="2"/>
      <c r="AC1302" s="2"/>
      <c r="AD1302" s="2"/>
      <c r="AE1302" s="2"/>
      <c r="AF1302" s="2"/>
      <c r="AG1302" s="2"/>
      <c r="AH1302" s="2"/>
      <c r="AI1302" s="2"/>
      <c r="AJ1302" s="2" t="str">
        <f>IFERROR(__xludf.DUMMYFUNCTION("""COMPUTED_VALUE"""),"Bagsa")</f>
        <v>Bagsa</v>
      </c>
      <c r="AK1302" s="2" t="str">
        <f>IFERROR(__xludf.DUMMYFUNCTION("""COMPUTED_VALUE"""),"Oas")</f>
        <v>Oas</v>
      </c>
      <c r="AL1302" s="2" t="str">
        <f>IFERROR(__xludf.DUMMYFUNCTION("""COMPUTED_VALUE"""),"Albay")</f>
        <v>Albay</v>
      </c>
      <c r="AM1302" s="2">
        <f>IFERROR(__xludf.DUMMYFUNCTION("""COMPUTED_VALUE"""),5.0)</f>
        <v>5</v>
      </c>
      <c r="AN1302" s="2" t="str">
        <f>IFERROR(__xludf.DUMMYFUNCTION("""COMPUTED_VALUE"""),"RCEF 25-03-05")</f>
        <v>RCEF 25-03-05</v>
      </c>
      <c r="AO1302" s="2">
        <f>IFERROR(__xludf.DUMMYFUNCTION("""COMPUTED_VALUE"""),6.0)</f>
        <v>6</v>
      </c>
      <c r="AP1302" s="2" t="str">
        <f>IFERROR(__xludf.DUMMYFUNCTION("""COMPUTED_VALUE"""),"FREE PMS")</f>
        <v>FREE PMS</v>
      </c>
      <c r="AQ1302" s="2"/>
      <c r="AR1302" s="2"/>
      <c r="AS1302" s="2"/>
      <c r="AT1302" s="2"/>
      <c r="AU1302" s="2"/>
      <c r="AV1302" s="2"/>
      <c r="AW1302" s="2"/>
      <c r="AX1302" s="2"/>
      <c r="AY1302" s="2"/>
      <c r="AZ1302" s="2"/>
      <c r="BA1302" s="2"/>
      <c r="BB1302" s="2"/>
    </row>
    <row r="1303">
      <c r="A1303" s="2">
        <f>IFERROR(__xludf.DUMMYFUNCTION("""COMPUTED_VALUE"""),1299.0)</f>
        <v>1299</v>
      </c>
      <c r="B1303" s="2" t="str">
        <f>IFERROR(__xludf.DUMMYFUNCTION("""COMPUTED_VALUE"""),"COMPLETED")</f>
        <v>COMPLETED</v>
      </c>
      <c r="C1303" s="74">
        <f>IFERROR(__xludf.DUMMYFUNCTION("""COMPUTED_VALUE"""),46001.0)</f>
        <v>46001</v>
      </c>
      <c r="D1303" s="71" t="str">
        <f>IFERROR(__xludf.DUMMYFUNCTION("""COMPUTED_VALUE"""),"Free Farmers Multi Purpose Cooperative")</f>
        <v>Free Farmers Multi Purpose Cooperative</v>
      </c>
      <c r="E1303" s="71" t="str">
        <f>IFERROR(__xludf.DUMMYFUNCTION("""COMPUTED_VALUE"""),"SAYAGADEN, CABUGAO, ILOCOS SUR")</f>
        <v>SAYAGADEN, CABUGAO, ILOCOS SUR</v>
      </c>
      <c r="F1303" s="2" t="str">
        <f>IFERROR(__xludf.DUMMYFUNCTION("""COMPUTED_VALUE"""),"Zosimo Sayaboc")</f>
        <v>Zosimo Sayaboc</v>
      </c>
      <c r="G1303" s="2">
        <f>IFERROR(__xludf.DUMMYFUNCTION("""COMPUTED_VALUE"""),9.266039607E9)</f>
        <v>9266039607</v>
      </c>
      <c r="H1303" s="2">
        <f>IFERROR(__xludf.DUMMYFUNCTION("""COMPUTED_VALUE"""),55.0)</f>
        <v>55</v>
      </c>
      <c r="I1303" s="72" t="str">
        <f>IFERROR(__xludf.DUMMYFUNCTION("""COMPUTED_VALUE"""),"PMS")</f>
        <v>PMS</v>
      </c>
      <c r="J1303" s="72" t="str">
        <f>IFERROR(__xludf.DUMMYFUNCTION("""COMPUTED_VALUE"""),"PMS")</f>
        <v>PMS</v>
      </c>
      <c r="K1303" s="72" t="str">
        <f>IFERROR(__xludf.DUMMYFUNCTION("""COMPUTED_VALUE"""),"MYK: 1ST PMS FREE")</f>
        <v>MYK: 1ST PMS FREE</v>
      </c>
      <c r="L1303" s="72" t="str">
        <f>IFERROR(__xludf.DUMMYFUNCTION("""COMPUTED_VALUE"""),"FARMER: IBANG SUPPLIER YUNG KABIBIGAY LAMANG NA TYM TRACTOR DIN SA KANILA")</f>
        <v>FARMER: IBANG SUPPLIER YUNG KABIBIGAY LAMANG NA TYM TRACTOR DIN SA KANILA</v>
      </c>
      <c r="M1303" s="2"/>
      <c r="N1303" s="2"/>
      <c r="O1303" s="2" t="str">
        <f>IFERROR(__xludf.DUMMYFUNCTION("""COMPUTED_VALUE"""),"N/A")</f>
        <v>N/A</v>
      </c>
      <c r="P1303" s="2"/>
      <c r="Q1303" s="2"/>
      <c r="R1303" s="74">
        <f>IFERROR(__xludf.DUMMYFUNCTION("""COMPUTED_VALUE"""),46006.0)</f>
        <v>46006</v>
      </c>
      <c r="S1303" s="2" t="str">
        <f>IFERROR(__xludf.DUMMYFUNCTION("""COMPUTED_VALUE"""),"MYKEE")</f>
        <v>MYKEE</v>
      </c>
      <c r="T1303" s="73" t="str">
        <f>IFERROR(__xludf.DUMMYFUNCTION("""COMPUTED_VALUE""")," N/A ")</f>
        <v>N/A</v>
      </c>
      <c r="U1303" s="73" t="str">
        <f>IFERROR(__xludf.DUMMYFUNCTION("""COMPUTED_VALUE""")," NO CHARGE ")</f>
        <v>NO CHARGE</v>
      </c>
      <c r="V1303" s="2"/>
      <c r="W1303" s="2" t="str">
        <f>IFERROR(__xludf.DUMMYFUNCTION("""COMPUTED_VALUE"""),"N/A")</f>
        <v>N/A</v>
      </c>
      <c r="X1303" s="2" t="str">
        <f>IFERROR(__xludf.DUMMYFUNCTION("""COMPUTED_VALUE"""),"N/A")</f>
        <v>N/A</v>
      </c>
      <c r="Y1303" s="2"/>
      <c r="Z1303" s="2"/>
      <c r="AA1303" s="2"/>
      <c r="AB1303" s="2"/>
      <c r="AC1303" s="2"/>
      <c r="AD1303" s="2"/>
      <c r="AE1303" s="2"/>
      <c r="AF1303" s="2"/>
      <c r="AG1303" s="2"/>
      <c r="AH1303" s="2"/>
      <c r="AI1303" s="2"/>
      <c r="AJ1303" s="2" t="str">
        <f>IFERROR(__xludf.DUMMYFUNCTION("""COMPUTED_VALUE"""),"Sayagaden")</f>
        <v>Sayagaden</v>
      </c>
      <c r="AK1303" s="2" t="str">
        <f>IFERROR(__xludf.DUMMYFUNCTION("""COMPUTED_VALUE"""),"Cabugao")</f>
        <v>Cabugao</v>
      </c>
      <c r="AL1303" s="2" t="str">
        <f>IFERROR(__xludf.DUMMYFUNCTION("""COMPUTED_VALUE"""),"Ilocos Sur")</f>
        <v>Ilocos Sur</v>
      </c>
      <c r="AM1303" s="2">
        <f>IFERROR(__xludf.DUMMYFUNCTION("""COMPUTED_VALUE"""),1.0)</f>
        <v>1</v>
      </c>
      <c r="AN1303" s="2" t="str">
        <f>IFERROR(__xludf.DUMMYFUNCTION("""COMPUTED_VALUE"""),"RCEF 23-09-21 Rebidding")</f>
        <v>RCEF 23-09-21 Rebidding</v>
      </c>
      <c r="AO1303" s="2">
        <f>IFERROR(__xludf.DUMMYFUNCTION("""COMPUTED_VALUE"""),2.0)</f>
        <v>2</v>
      </c>
      <c r="AP1303" s="2"/>
      <c r="AQ1303" s="2"/>
      <c r="AR1303" s="2"/>
      <c r="AS1303" s="2"/>
      <c r="AT1303" s="2"/>
      <c r="AU1303" s="2"/>
      <c r="AV1303" s="2"/>
      <c r="AW1303" s="2"/>
      <c r="AX1303" s="2"/>
      <c r="AY1303" s="2"/>
      <c r="AZ1303" s="2"/>
      <c r="BA1303" s="2"/>
      <c r="BB1303" s="2"/>
    </row>
    <row r="1304">
      <c r="A1304" s="2">
        <f>IFERROR(__xludf.DUMMYFUNCTION("""COMPUTED_VALUE"""),1300.0)</f>
        <v>1300</v>
      </c>
      <c r="B1304" s="2" t="str">
        <f>IFERROR(__xludf.DUMMYFUNCTION("""COMPUTED_VALUE"""),"COMPLETED")</f>
        <v>COMPLETED</v>
      </c>
      <c r="C1304" s="74">
        <f>IFERROR(__xludf.DUMMYFUNCTION("""COMPUTED_VALUE"""),46001.0)</f>
        <v>46001</v>
      </c>
      <c r="D1304" s="71" t="str">
        <f>IFERROR(__xludf.DUMMYFUNCTION("""COMPUTED_VALUE"""),"San Vicente Tabaco Irrigators Association Inc.")</f>
        <v>San Vicente Tabaco Irrigators Association Inc.</v>
      </c>
      <c r="E1304" s="71" t="str">
        <f>IFERROR(__xludf.DUMMYFUNCTION("""COMPUTED_VALUE"""),"San Vicente, Tabaco City, ALBAY")</f>
        <v>San Vicente, Tabaco City, ALBAY</v>
      </c>
      <c r="F1304" s="2"/>
      <c r="G1304" s="2">
        <f>IFERROR(__xludf.DUMMYFUNCTION("""COMPUTED_VALUE"""),9.468318464E9)</f>
        <v>9468318464</v>
      </c>
      <c r="H1304" s="2">
        <f>IFERROR(__xludf.DUMMYFUNCTION("""COMPUTED_VALUE"""),70.0)</f>
        <v>70</v>
      </c>
      <c r="I1304" s="72" t="str">
        <f>IFERROR(__xludf.DUMMYFUNCTION("""COMPUTED_VALUE"""),"PMS")</f>
        <v>PMS</v>
      </c>
      <c r="J1304" s="72" t="str">
        <f>IFERROR(__xludf.DUMMYFUNCTION("""COMPUTED_VALUE"""),"PMS")</f>
        <v>PMS</v>
      </c>
      <c r="K1304" s="72" t="str">
        <f>IFERROR(__xludf.DUMMYFUNCTION("""COMPUTED_VALUE"""),"MYK: 1ST PMS FREE")</f>
        <v>MYK: 1ST PMS FREE</v>
      </c>
      <c r="L1304" s="72" t="str">
        <f>IFERROR(__xludf.DUMMYFUNCTION("""COMPUTED_VALUE"""),"FPJ: 1ST PMS DONE")</f>
        <v>FPJ: 1ST PMS DONE</v>
      </c>
      <c r="M1304" s="2"/>
      <c r="N1304" s="2" t="str">
        <f>IFERROR(__xludf.DUMMYFUNCTION("""COMPUTED_VALUE"""),"PARTS:
OIL FILTER
ENGINE OIL")</f>
        <v>PARTS:
OIL FILTER
ENGINE OIL</v>
      </c>
      <c r="O1304" s="2">
        <f>IFERROR(__xludf.DUMMYFUNCTION("""COMPUTED_VALUE"""),588.0)</f>
        <v>588</v>
      </c>
      <c r="P1304" s="2"/>
      <c r="Q1304" s="2" t="str">
        <f>IFERROR(__xludf.DUMMYFUNCTION("""COMPUTED_VALUE"""),"FOR PRINT")</f>
        <v>FOR PRINT</v>
      </c>
      <c r="R1304" s="74">
        <f>IFERROR(__xludf.DUMMYFUNCTION("""COMPUTED_VALUE"""),46090.0)</f>
        <v>46090</v>
      </c>
      <c r="S1304" s="2" t="str">
        <f>IFERROR(__xludf.DUMMYFUNCTION("""COMPUTED_VALUE"""),"FPJ")</f>
        <v>FPJ</v>
      </c>
      <c r="T1304" s="73" t="str">
        <f>IFERROR(__xludf.DUMMYFUNCTION("""COMPUTED_VALUE""")," N/A ")</f>
        <v>N/A</v>
      </c>
      <c r="U1304" s="73" t="str">
        <f>IFERROR(__xludf.DUMMYFUNCTION("""COMPUTED_VALUE""")," NO CHARGE ")</f>
        <v>NO CHARGE</v>
      </c>
      <c r="V1304" s="2" t="str">
        <f>IFERROR(__xludf.DUMMYFUNCTION("""COMPUTED_VALUE"""),"NO DR")</f>
        <v>NO DR</v>
      </c>
      <c r="W1304" s="2" t="str">
        <f>IFERROR(__xludf.DUMMYFUNCTION("""COMPUTED_VALUE"""),"N/A")</f>
        <v>N/A</v>
      </c>
      <c r="X1304" s="2" t="str">
        <f>IFERROR(__xludf.DUMMYFUNCTION("""COMPUTED_VALUE"""),"N/A")</f>
        <v>N/A</v>
      </c>
      <c r="Y1304" s="2"/>
      <c r="Z1304" s="2"/>
      <c r="AA1304" s="2"/>
      <c r="AB1304" s="2"/>
      <c r="AC1304" s="2"/>
      <c r="AD1304" s="2"/>
      <c r="AE1304" s="2"/>
      <c r="AF1304" s="2"/>
      <c r="AG1304" s="2"/>
      <c r="AH1304" s="2"/>
      <c r="AI1304" s="2"/>
      <c r="AJ1304" s="2" t="str">
        <f>IFERROR(__xludf.DUMMYFUNCTION("""COMPUTED_VALUE"""),"San Vicente")</f>
        <v>San Vicente</v>
      </c>
      <c r="AK1304" s="2" t="str">
        <f>IFERROR(__xludf.DUMMYFUNCTION("""COMPUTED_VALUE"""),"Tabaco City")</f>
        <v>Tabaco City</v>
      </c>
      <c r="AL1304" s="2" t="str">
        <f>IFERROR(__xludf.DUMMYFUNCTION("""COMPUTED_VALUE"""),"Albay")</f>
        <v>Albay</v>
      </c>
      <c r="AM1304" s="2">
        <f>IFERROR(__xludf.DUMMYFUNCTION("""COMPUTED_VALUE"""),5.0)</f>
        <v>5</v>
      </c>
      <c r="AN1304" s="2" t="str">
        <f>IFERROR(__xludf.DUMMYFUNCTION("""COMPUTED_VALUE"""),"RCEF 25-03-05")</f>
        <v>RCEF 25-03-05</v>
      </c>
      <c r="AO1304" s="2">
        <f>IFERROR(__xludf.DUMMYFUNCTION("""COMPUTED_VALUE"""),6.0)</f>
        <v>6</v>
      </c>
      <c r="AP1304" s="2" t="str">
        <f>IFERROR(__xludf.DUMMYFUNCTION("""COMPUTED_VALUE"""),"FREE PMS")</f>
        <v>FREE PMS</v>
      </c>
      <c r="AQ1304" s="2"/>
      <c r="AR1304" s="2"/>
      <c r="AS1304" s="2"/>
      <c r="AT1304" s="2"/>
      <c r="AU1304" s="2"/>
      <c r="AV1304" s="2"/>
      <c r="AW1304" s="2"/>
      <c r="AX1304" s="2"/>
      <c r="AY1304" s="2"/>
      <c r="AZ1304" s="2"/>
      <c r="BA1304" s="2"/>
      <c r="BB1304" s="2"/>
    </row>
    <row r="1305">
      <c r="A1305" s="2">
        <f>IFERROR(__xludf.DUMMYFUNCTION("""COMPUTED_VALUE"""),1301.0)</f>
        <v>1301</v>
      </c>
      <c r="B1305" s="2" t="str">
        <f>IFERROR(__xludf.DUMMYFUNCTION("""COMPUTED_VALUE"""),"COMPLETED")</f>
        <v>COMPLETED</v>
      </c>
      <c r="C1305" s="74">
        <f>IFERROR(__xludf.DUMMYFUNCTION("""COMPUTED_VALUE"""),46001.0)</f>
        <v>46001</v>
      </c>
      <c r="D1305" s="71" t="str">
        <f>IFERROR(__xludf.DUMMYFUNCTION("""COMPUTED_VALUE"""),"Cañapasan Banate Irrigators' Association Inc.")</f>
        <v>Cañapasan Banate Irrigators' Association Inc.</v>
      </c>
      <c r="E1305" s="71" t="str">
        <f>IFERROR(__xludf.DUMMYFUNCTION("""COMPUTED_VALUE"""),"Managopaya, Banate, ILOILO")</f>
        <v>Managopaya, Banate, ILOILO</v>
      </c>
      <c r="F1305" s="2" t="str">
        <f>IFERROR(__xludf.DUMMYFUNCTION("""COMPUTED_VALUE"""),"HELLY BAGSAIN")</f>
        <v>HELLY BAGSAIN</v>
      </c>
      <c r="G1305" s="2">
        <f>IFERROR(__xludf.DUMMYFUNCTION("""COMPUTED_VALUE"""),9.655208079E9)</f>
        <v>9655208079</v>
      </c>
      <c r="H1305" s="2"/>
      <c r="I1305" s="72" t="str">
        <f>IFERROR(__xludf.DUMMYFUNCTION("""COMPUTED_VALUE"""),"SPARE PARTS ACQUISITION")</f>
        <v>SPARE PARTS ACQUISITION</v>
      </c>
      <c r="J1305" s="72"/>
      <c r="K1305" s="72" t="str">
        <f>IFERROR(__xludf.DUMMYFUNCTION("""COMPUTED_VALUE"""),"MYK: OIL SEAL 57-80-15 -   TA00041359")</f>
        <v>MYK: OIL SEAL 57-80-15 -   TA00041359</v>
      </c>
      <c r="L1305" s="72" t="str">
        <f>IFERROR(__xludf.DUMMYFUNCTION("""COMPUTED_VALUE"""),"PRICE SENT:NO REPLY ")</f>
        <v>PRICE SENT:NO REPLY </v>
      </c>
      <c r="M1305" s="2"/>
      <c r="N1305" s="2"/>
      <c r="O1305" s="2" t="str">
        <f>IFERROR(__xludf.DUMMYFUNCTION("""COMPUTED_VALUE"""),"N/A")</f>
        <v>N/A</v>
      </c>
      <c r="P1305" s="2"/>
      <c r="Q1305" s="2"/>
      <c r="R1305" s="74">
        <f>IFERROR(__xludf.DUMMYFUNCTION("""COMPUTED_VALUE"""),46072.0)</f>
        <v>46072</v>
      </c>
      <c r="S1305" s="2" t="str">
        <f>IFERROR(__xludf.DUMMYFUNCTION("""COMPUTED_VALUE"""),"MYKEE")</f>
        <v>MYKEE</v>
      </c>
      <c r="T1305" s="73" t="str">
        <f>IFERROR(__xludf.DUMMYFUNCTION("""COMPUTED_VALUE""")," N/A ")</f>
        <v>N/A</v>
      </c>
      <c r="U1305" s="73" t="str">
        <f>IFERROR(__xludf.DUMMYFUNCTION("""COMPUTED_VALUE""")," NO CHARGE ")</f>
        <v>NO CHARGE</v>
      </c>
      <c r="V1305" s="2"/>
      <c r="W1305" s="2" t="str">
        <f>IFERROR(__xludf.DUMMYFUNCTION("""COMPUTED_VALUE"""),"N/A")</f>
        <v>N/A</v>
      </c>
      <c r="X1305" s="2" t="str">
        <f>IFERROR(__xludf.DUMMYFUNCTION("""COMPUTED_VALUE"""),"N/A")</f>
        <v>N/A</v>
      </c>
      <c r="Y1305" s="2"/>
      <c r="Z1305" s="2"/>
      <c r="AA1305" s="2"/>
      <c r="AB1305" s="2"/>
      <c r="AC1305" s="2"/>
      <c r="AD1305" s="2"/>
      <c r="AE1305" s="2"/>
      <c r="AF1305" s="2"/>
      <c r="AG1305" s="2"/>
      <c r="AH1305" s="2"/>
      <c r="AI1305" s="2"/>
      <c r="AJ1305" s="2" t="str">
        <f>IFERROR(__xludf.DUMMYFUNCTION("""COMPUTED_VALUE"""),"Managopaya")</f>
        <v>Managopaya</v>
      </c>
      <c r="AK1305" s="2" t="str">
        <f>IFERROR(__xludf.DUMMYFUNCTION("""COMPUTED_VALUE"""),"Banate")</f>
        <v>Banate</v>
      </c>
      <c r="AL1305" s="2" t="str">
        <f>IFERROR(__xludf.DUMMYFUNCTION("""COMPUTED_VALUE"""),"Iloilo")</f>
        <v>Iloilo</v>
      </c>
      <c r="AM1305" s="2">
        <f>IFERROR(__xludf.DUMMYFUNCTION("""COMPUTED_VALUE"""),6.0)</f>
        <v>6</v>
      </c>
      <c r="AN1305" s="2" t="str">
        <f>IFERROR(__xludf.DUMMYFUNCTION("""COMPUTED_VALUE"""),"RCEF 23-09-21 Rebidding")</f>
        <v>RCEF 23-09-21 Rebidding</v>
      </c>
      <c r="AO1305" s="2">
        <f>IFERROR(__xludf.DUMMYFUNCTION("""COMPUTED_VALUE"""),4.0)</f>
        <v>4</v>
      </c>
      <c r="AP1305" s="2"/>
      <c r="AQ1305" s="2"/>
      <c r="AR1305" s="2"/>
      <c r="AS1305" s="2"/>
      <c r="AT1305" s="2"/>
      <c r="AU1305" s="2"/>
      <c r="AV1305" s="2"/>
      <c r="AW1305" s="2"/>
      <c r="AX1305" s="2"/>
      <c r="AY1305" s="2"/>
      <c r="AZ1305" s="2"/>
      <c r="BA1305" s="2"/>
      <c r="BB1305" s="2"/>
    </row>
    <row r="1306">
      <c r="A1306" s="2">
        <f>IFERROR(__xludf.DUMMYFUNCTION("""COMPUTED_VALUE"""),1302.0)</f>
        <v>1302</v>
      </c>
      <c r="B1306" s="2" t="str">
        <f>IFERROR(__xludf.DUMMYFUNCTION("""COMPUTED_VALUE"""),"COMPLETED")</f>
        <v>COMPLETED</v>
      </c>
      <c r="C1306" s="74">
        <f>IFERROR(__xludf.DUMMYFUNCTION("""COMPUTED_VALUE"""),46002.0)</f>
        <v>46002</v>
      </c>
      <c r="D1306" s="71" t="str">
        <f>IFERROR(__xludf.DUMMYFUNCTION("""COMPUTED_VALUE"""),"Murtha Development Multi-Purpose Cooperative")</f>
        <v>Murtha Development Multi-Purpose Cooperative</v>
      </c>
      <c r="E1306" s="71" t="str">
        <f>IFERROR(__xludf.DUMMYFUNCTION("""COMPUTED_VALUE"""),"Murtha, San Jose, OCCIDENTAL MINDORO")</f>
        <v>Murtha, San Jose, OCCIDENTAL MINDORO</v>
      </c>
      <c r="F1306" s="2" t="str">
        <f>IFERROR(__xludf.DUMMYFUNCTION("""COMPUTED_VALUE"""),"JOSELYN JARABATA")</f>
        <v>JOSELYN JARABATA</v>
      </c>
      <c r="G1306" s="2">
        <f>IFERROR(__xludf.DUMMYFUNCTION("""COMPUTED_VALUE"""),9.106561858E9)</f>
        <v>9106561858</v>
      </c>
      <c r="H1306" s="2">
        <f>IFERROR(__xludf.DUMMYFUNCTION("""COMPUTED_VALUE"""),98.4)</f>
        <v>98.4</v>
      </c>
      <c r="I1306" s="72" t="str">
        <f>IFERROR(__xludf.DUMMYFUNCTION("""COMPUTED_VALUE"""),"PMS")</f>
        <v>PMS</v>
      </c>
      <c r="J1306" s="72" t="str">
        <f>IFERROR(__xludf.DUMMYFUNCTION("""COMPUTED_VALUE"""),"PMS")</f>
        <v>PMS</v>
      </c>
      <c r="K1306" s="72" t="str">
        <f>IFERROR(__xludf.DUMMYFUNCTION("""COMPUTED_VALUE"""),"DELIVERED: NOVEMBER 13, 2025
MYK: 1ST PMS FREE , ITIM NA ANG LANGIS ")</f>
        <v>DELIVERED: NOVEMBER 13, 2025
MYK: 1ST PMS FREE , ITIM NA ANG LANGIS </v>
      </c>
      <c r="L1306" s="72" t="str">
        <f>IFERROR(__xludf.DUMMYFUNCTION("""COMPUTED_VALUE"""),"RBS: 1ST PMS DONE")</f>
        <v>RBS: 1ST PMS DONE</v>
      </c>
      <c r="M1306" s="2"/>
      <c r="N1306" s="2" t="str">
        <f>IFERROR(__xludf.DUMMYFUNCTION("""COMPUTED_VALUE"""),"PARTS:
OIL FILTER
ENGINE OIL")</f>
        <v>PARTS:
OIL FILTER
ENGINE OIL</v>
      </c>
      <c r="O1306" s="2">
        <f>IFERROR(__xludf.DUMMYFUNCTION("""COMPUTED_VALUE"""),611.0)</f>
        <v>611</v>
      </c>
      <c r="P1306" s="2"/>
      <c r="Q1306" s="2" t="str">
        <f>IFERROR(__xludf.DUMMYFUNCTION("""COMPUTED_VALUE"""),"FOR PRINT")</f>
        <v>FOR PRINT</v>
      </c>
      <c r="R1306" s="74">
        <f>IFERROR(__xludf.DUMMYFUNCTION("""COMPUTED_VALUE"""),46057.0)</f>
        <v>46057</v>
      </c>
      <c r="S1306" s="2" t="str">
        <f>IFERROR(__xludf.DUMMYFUNCTION("""COMPUTED_VALUE"""),"RBS")</f>
        <v>RBS</v>
      </c>
      <c r="T1306" s="73" t="str">
        <f>IFERROR(__xludf.DUMMYFUNCTION("""COMPUTED_VALUE""")," N/A ")</f>
        <v>N/A</v>
      </c>
      <c r="U1306" s="73" t="str">
        <f>IFERROR(__xludf.DUMMYFUNCTION("""COMPUTED_VALUE""")," NO CHARGE ")</f>
        <v>NO CHARGE</v>
      </c>
      <c r="V1306" s="2"/>
      <c r="W1306" s="2" t="str">
        <f>IFERROR(__xludf.DUMMYFUNCTION("""COMPUTED_VALUE"""),"N/A")</f>
        <v>N/A</v>
      </c>
      <c r="X1306" s="2" t="str">
        <f>IFERROR(__xludf.DUMMYFUNCTION("""COMPUTED_VALUE"""),"N/A")</f>
        <v>N/A</v>
      </c>
      <c r="Y1306" s="2"/>
      <c r="Z1306" s="2"/>
      <c r="AA1306" s="2"/>
      <c r="AB1306" s="2"/>
      <c r="AC1306" s="2"/>
      <c r="AD1306" s="2"/>
      <c r="AE1306" s="2"/>
      <c r="AF1306" s="2"/>
      <c r="AG1306" s="2"/>
      <c r="AH1306" s="2"/>
      <c r="AI1306" s="2"/>
      <c r="AJ1306" s="2" t="str">
        <f>IFERROR(__xludf.DUMMYFUNCTION("""COMPUTED_VALUE"""),"Murtha")</f>
        <v>Murtha</v>
      </c>
      <c r="AK1306" s="2" t="str">
        <f>IFERROR(__xludf.DUMMYFUNCTION("""COMPUTED_VALUE"""),"San Jose")</f>
        <v>San Jose</v>
      </c>
      <c r="AL1306" s="2" t="str">
        <f>IFERROR(__xludf.DUMMYFUNCTION("""COMPUTED_VALUE"""),"Occidental Mindoro")</f>
        <v>Occidental Mindoro</v>
      </c>
      <c r="AM1306" s="2" t="str">
        <f>IFERROR(__xludf.DUMMYFUNCTION("""COMPUTED_VALUE"""),"4B")</f>
        <v>4B</v>
      </c>
      <c r="AN1306" s="2" t="str">
        <f>IFERROR(__xludf.DUMMYFUNCTION("""COMPUTED_VALUE"""),"RCEF 25-03-05")</f>
        <v>RCEF 25-03-05</v>
      </c>
      <c r="AO1306" s="2">
        <f>IFERROR(__xludf.DUMMYFUNCTION("""COMPUTED_VALUE"""),6.0)</f>
        <v>6</v>
      </c>
      <c r="AP1306" s="2" t="str">
        <f>IFERROR(__xludf.DUMMYFUNCTION("""COMPUTED_VALUE"""),"FREE PMS")</f>
        <v>FREE PMS</v>
      </c>
      <c r="AQ1306" s="2"/>
      <c r="AR1306" s="2"/>
      <c r="AS1306" s="2"/>
      <c r="AT1306" s="2"/>
      <c r="AU1306" s="2"/>
      <c r="AV1306" s="2"/>
      <c r="AW1306" s="2"/>
      <c r="AX1306" s="2"/>
      <c r="AY1306" s="2"/>
      <c r="AZ1306" s="2"/>
      <c r="BA1306" s="2"/>
      <c r="BB1306" s="2"/>
    </row>
    <row r="1307">
      <c r="A1307" s="2">
        <f>IFERROR(__xludf.DUMMYFUNCTION("""COMPUTED_VALUE"""),1303.0)</f>
        <v>1303</v>
      </c>
      <c r="B1307" s="2" t="str">
        <f>IFERROR(__xludf.DUMMYFUNCTION("""COMPUTED_VALUE"""),"PENDING")</f>
        <v>PENDING</v>
      </c>
      <c r="C1307" s="74">
        <f>IFERROR(__xludf.DUMMYFUNCTION("""COMPUTED_VALUE"""),46002.0)</f>
        <v>46002</v>
      </c>
      <c r="D1307" s="71" t="str">
        <f>IFERROR(__xludf.DUMMYFUNCTION("""COMPUTED_VALUE"""),"Tamaraw Development Cooperative (TADECO)")</f>
        <v>Tamaraw Development Cooperative (TADECO)</v>
      </c>
      <c r="E1307" s="71" t="str">
        <f>IFERROR(__xludf.DUMMYFUNCTION("""COMPUTED_VALUE"""),"La Curva, San Jose, OCCIDENTAL MINDORO")</f>
        <v>La Curva, San Jose, OCCIDENTAL MINDORO</v>
      </c>
      <c r="F1307" s="2" t="str">
        <f>IFERROR(__xludf.DUMMYFUNCTION("""COMPUTED_VALUE"""),"ANGELITA BERNADETH")</f>
        <v>ANGELITA BERNADETH</v>
      </c>
      <c r="G1307" s="2">
        <f>IFERROR(__xludf.DUMMYFUNCTION("""COMPUTED_VALUE"""),9.50992073E9)</f>
        <v>9509920730</v>
      </c>
      <c r="H1307" s="2">
        <f>IFERROR(__xludf.DUMMYFUNCTION("""COMPUTED_VALUE"""),120.0)</f>
        <v>120</v>
      </c>
      <c r="I1307" s="72" t="str">
        <f>IFERROR(__xludf.DUMMYFUNCTION("""COMPUTED_VALUE"""),"REPAIR - DISC PLOW")</f>
        <v>REPAIR - DISC PLOW</v>
      </c>
      <c r="J1307" s="72" t="str">
        <f>IFERROR(__xludf.DUMMYFUNCTION("""COMPUTED_VALUE"""),"Leak")</f>
        <v>Leak</v>
      </c>
      <c r="K1307" s="72" t="str">
        <f>IFERROR(__xludf.DUMMYFUNCTION("""COMPUTED_VALUE"""),"MYK: MAY TUMATAGAS NA OIL SA DISCPLOW GEARBOX, TAPAT NG MGA TURNILYUHAN.
12/12/25- hinikpitan nadaw ng operator, pero may leaking padin, nung natangal ang pintura Nakita na nakabuka or bitak ang gearbox ng discplow.")</f>
        <v>MYK: MAY TUMATAGAS NA OIL SA DISCPLOW GEARBOX, TAPAT NG MGA TURNILYUHAN.
12/12/25- hinikpitan nadaw ng operator, pero may leaking padin, nung natangal ang pintura Nakita na nakabuka or bitak ang gearbox ng discplow.</v>
      </c>
      <c r="L1307" s="72" t="str">
        <f>IFERROR(__xludf.DUMMYFUNCTION("""COMPUTED_VALUE"""),"JTT: HINDI MATAWAGAN NOON
TO CALL BY RBS -  LOW POWER - MALAKAS SA DIESEL -  LUGE SA KITA
ECM: TO CALIBRATE INECTION PUMP")</f>
        <v>JTT: HINDI MATAWAGAN NOON
TO CALL BY RBS -  LOW POWER - MALAKAS SA DIESEL -  LUGE SA KITA
ECM: TO CALIBRATE INECTION PUMP</v>
      </c>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t="str">
        <f>IFERROR(__xludf.DUMMYFUNCTION("""COMPUTED_VALUE"""),"La Curva")</f>
        <v>La Curva</v>
      </c>
      <c r="AK1307" s="2" t="str">
        <f>IFERROR(__xludf.DUMMYFUNCTION("""COMPUTED_VALUE"""),"San Jose")</f>
        <v>San Jose</v>
      </c>
      <c r="AL1307" s="2" t="str">
        <f>IFERROR(__xludf.DUMMYFUNCTION("""COMPUTED_VALUE"""),"Occidental Mindoro")</f>
        <v>Occidental Mindoro</v>
      </c>
      <c r="AM1307" s="2" t="str">
        <f>IFERROR(__xludf.DUMMYFUNCTION("""COMPUTED_VALUE"""),"4B")</f>
        <v>4B</v>
      </c>
      <c r="AN1307" s="2" t="str">
        <f>IFERROR(__xludf.DUMMYFUNCTION("""COMPUTED_VALUE"""),"RCEF 25-03-05")</f>
        <v>RCEF 25-03-05</v>
      </c>
      <c r="AO1307" s="2">
        <f>IFERROR(__xludf.DUMMYFUNCTION("""COMPUTED_VALUE"""),6.0)</f>
        <v>6</v>
      </c>
      <c r="AP1307" s="2" t="str">
        <f>IFERROR(__xludf.DUMMYFUNCTION("""COMPUTED_VALUE"""),"FREE PMS")</f>
        <v>FREE PMS</v>
      </c>
      <c r="AQ1307" s="2"/>
      <c r="AR1307" s="2"/>
      <c r="AS1307" s="2"/>
      <c r="AT1307" s="2"/>
      <c r="AU1307" s="2"/>
      <c r="AV1307" s="2"/>
      <c r="AW1307" s="2"/>
      <c r="AX1307" s="2"/>
      <c r="AY1307" s="2"/>
      <c r="AZ1307" s="2"/>
      <c r="BA1307" s="2"/>
      <c r="BB1307" s="2"/>
    </row>
    <row r="1308">
      <c r="A1308" s="2">
        <f>IFERROR(__xludf.DUMMYFUNCTION("""COMPUTED_VALUE"""),1304.0)</f>
        <v>1304</v>
      </c>
      <c r="B1308" s="2" t="str">
        <f>IFERROR(__xludf.DUMMYFUNCTION("""COMPUTED_VALUE"""),"COMPLETED")</f>
        <v>COMPLETED</v>
      </c>
      <c r="C1308" s="74">
        <f>IFERROR(__xludf.DUMMYFUNCTION("""COMPUTED_VALUE"""),46003.0)</f>
        <v>46003</v>
      </c>
      <c r="D1308" s="71" t="str">
        <f>IFERROR(__xludf.DUMMYFUNCTION("""COMPUTED_VALUE"""),"LICTIN USWAG IRRIGATORS ASSOCIATION INC.")</f>
        <v>LICTIN USWAG IRRIGATORS ASSOCIATION INC.</v>
      </c>
      <c r="E1308" s="71" t="str">
        <f>IFERROR(__xludf.DUMMYFUNCTION("""COMPUTED_VALUE"""),"Trece Martirez, Casiguran, SORSOGON")</f>
        <v>Trece Martirez, Casiguran, SORSOGON</v>
      </c>
      <c r="F1308" s="2" t="str">
        <f>IFERROR(__xludf.DUMMYFUNCTION("""COMPUTED_VALUE"""),"Virgilio Destreza")</f>
        <v>Virgilio Destreza</v>
      </c>
      <c r="G1308" s="2" t="str">
        <f>IFERROR(__xludf.DUMMYFUNCTION("""COMPUTED_VALUE"""),"0907-447-0500")</f>
        <v>0907-447-0500</v>
      </c>
      <c r="H1308" s="2">
        <f>IFERROR(__xludf.DUMMYFUNCTION("""COMPUTED_VALUE"""),61.8)</f>
        <v>61.8</v>
      </c>
      <c r="I1308" s="72" t="str">
        <f>IFERROR(__xludf.DUMMYFUNCTION("""COMPUTED_VALUE"""),"PMS")</f>
        <v>PMS</v>
      </c>
      <c r="J1308" s="72" t="str">
        <f>IFERROR(__xludf.DUMMYFUNCTION("""COMPUTED_VALUE"""),"PMS")</f>
        <v>PMS</v>
      </c>
      <c r="K1308" s="72" t="str">
        <f>IFERROR(__xludf.DUMMYFUNCTION("""COMPUTED_VALUE"""),"JAH: 1ST PMS FREE")</f>
        <v>JAH: 1ST PMS FREE</v>
      </c>
      <c r="L1308" s="72" t="str">
        <f>IFERROR(__xludf.DUMMYFUNCTION("""COMPUTED_VALUE"""),"JAH: 1ST PMS DONE")</f>
        <v>JAH: 1ST PMS DONE</v>
      </c>
      <c r="M1308" s="2"/>
      <c r="N1308" s="2" t="str">
        <f>IFERROR(__xludf.DUMMYFUNCTION("""COMPUTED_VALUE"""),"PARTS: 
OIL FILTER
ENGINE OIL")</f>
        <v>PARTS: 
OIL FILTER
ENGINE OIL</v>
      </c>
      <c r="O1308" s="2">
        <f>IFERROR(__xludf.DUMMYFUNCTION("""COMPUTED_VALUE"""),383.0)</f>
        <v>383</v>
      </c>
      <c r="P1308" s="2"/>
      <c r="Q1308" s="2" t="str">
        <f>IFERROR(__xludf.DUMMYFUNCTION("""COMPUTED_VALUE"""),"FOR PRINT")</f>
        <v>FOR PRINT</v>
      </c>
      <c r="R1308" s="74">
        <f>IFERROR(__xludf.DUMMYFUNCTION("""COMPUTED_VALUE"""),46003.0)</f>
        <v>46003</v>
      </c>
      <c r="S1308" s="2" t="str">
        <f>IFERROR(__xludf.DUMMYFUNCTION("""COMPUTED_VALUE"""),"JTT/JAH")</f>
        <v>JTT/JAH</v>
      </c>
      <c r="T1308" s="73" t="str">
        <f>IFERROR(__xludf.DUMMYFUNCTION("""COMPUTED_VALUE""")," N/A  ")</f>
        <v>N/A </v>
      </c>
      <c r="U1308" s="73" t="str">
        <f>IFERROR(__xludf.DUMMYFUNCTION("""COMPUTED_VALUE""")," NO CHARGE ")</f>
        <v>NO CHARGE</v>
      </c>
      <c r="V1308" s="2"/>
      <c r="W1308" s="2" t="str">
        <f>IFERROR(__xludf.DUMMYFUNCTION("""COMPUTED_VALUE"""),"N/A")</f>
        <v>N/A</v>
      </c>
      <c r="X1308" s="2" t="str">
        <f>IFERROR(__xludf.DUMMYFUNCTION("""COMPUTED_VALUE"""),"N/A")</f>
        <v>N/A</v>
      </c>
      <c r="Y1308" s="2"/>
      <c r="Z1308" s="2"/>
      <c r="AA1308" s="2"/>
      <c r="AB1308" s="2"/>
      <c r="AC1308" s="2"/>
      <c r="AD1308" s="2"/>
      <c r="AE1308" s="2"/>
      <c r="AF1308" s="2"/>
      <c r="AG1308" s="2"/>
      <c r="AH1308" s="2"/>
      <c r="AI1308" s="2"/>
      <c r="AJ1308" s="2" t="str">
        <f>IFERROR(__xludf.DUMMYFUNCTION("""COMPUTED_VALUE"""),"Trece Martirez")</f>
        <v>Trece Martirez</v>
      </c>
      <c r="AK1308" s="2" t="str">
        <f>IFERROR(__xludf.DUMMYFUNCTION("""COMPUTED_VALUE"""),"Casiguran")</f>
        <v>Casiguran</v>
      </c>
      <c r="AL1308" s="2" t="str">
        <f>IFERROR(__xludf.DUMMYFUNCTION("""COMPUTED_VALUE"""),"Sorsogon")</f>
        <v>Sorsogon</v>
      </c>
      <c r="AM1308" s="2">
        <f>IFERROR(__xludf.DUMMYFUNCTION("""COMPUTED_VALUE"""),5.0)</f>
        <v>5</v>
      </c>
      <c r="AN1308" s="2" t="str">
        <f>IFERROR(__xludf.DUMMYFUNCTION("""COMPUTED_VALUE"""),"RCEF 25-03-05")</f>
        <v>RCEF 25-03-05</v>
      </c>
      <c r="AO1308" s="2">
        <f>IFERROR(__xludf.DUMMYFUNCTION("""COMPUTED_VALUE"""),6.0)</f>
        <v>6</v>
      </c>
      <c r="AP1308" s="2" t="str">
        <f>IFERROR(__xludf.DUMMYFUNCTION("""COMPUTED_VALUE"""),"FREE PMS")</f>
        <v>FREE PMS</v>
      </c>
      <c r="AQ1308" s="2"/>
      <c r="AR1308" s="2"/>
      <c r="AS1308" s="2"/>
      <c r="AT1308" s="2"/>
      <c r="AU1308" s="2"/>
      <c r="AV1308" s="2"/>
      <c r="AW1308" s="2"/>
      <c r="AX1308" s="2"/>
      <c r="AY1308" s="2"/>
      <c r="AZ1308" s="2"/>
      <c r="BA1308" s="2"/>
      <c r="BB1308" s="2"/>
    </row>
    <row r="1309">
      <c r="A1309" s="2">
        <f>IFERROR(__xludf.DUMMYFUNCTION("""COMPUTED_VALUE"""),1305.0)</f>
        <v>1305</v>
      </c>
      <c r="B1309" s="2" t="str">
        <f>IFERROR(__xludf.DUMMYFUNCTION("""COMPUTED_VALUE"""),"COMPLETED")</f>
        <v>COMPLETED</v>
      </c>
      <c r="C1309" s="74">
        <f>IFERROR(__xludf.DUMMYFUNCTION("""COMPUTED_VALUE"""),46003.0)</f>
        <v>46003</v>
      </c>
      <c r="D1309" s="71" t="str">
        <f>IFERROR(__xludf.DUMMYFUNCTION("""COMPUTED_VALUE"""),"Bantog Anao Bagong Sibol Farmers Association Inc.")</f>
        <v>Bantog Anao Bagong Sibol Farmers Association Inc.</v>
      </c>
      <c r="E1309" s="71" t="str">
        <f>IFERROR(__xludf.DUMMYFUNCTION("""COMPUTED_VALUE"""),"Bantog, Anao, TARLAC")</f>
        <v>Bantog, Anao, TARLAC</v>
      </c>
      <c r="F1309" s="2" t="str">
        <f>IFERROR(__xludf.DUMMYFUNCTION("""COMPUTED_VALUE"""),"PEDRO HAILAR JR.")</f>
        <v>PEDRO HAILAR JR.</v>
      </c>
      <c r="G1309" s="2">
        <f>IFERROR(__xludf.DUMMYFUNCTION("""COMPUTED_VALUE"""),9.663982625E9)</f>
        <v>9663982625</v>
      </c>
      <c r="H1309" s="2">
        <f>IFERROR(__xludf.DUMMYFUNCTION("""COMPUTED_VALUE"""),40.0)</f>
        <v>40</v>
      </c>
      <c r="I1309" s="72" t="str">
        <f>IFERROR(__xludf.DUMMYFUNCTION("""COMPUTED_VALUE"""),"PMS")</f>
        <v>PMS</v>
      </c>
      <c r="J1309" s="72"/>
      <c r="K1309" s="72" t="str">
        <f>IFERROR(__xludf.DUMMYFUNCTION("""COMPUTED_VALUE"""),"DELIVERED: OCTOBER 2025
MYK: NATANGAL ANG ISANG TALIM NG DISCPLOW , SA BANDANG GITNA NG UNIT.")</f>
        <v>DELIVERED: OCTOBER 2025
MYK: NATANGAL ANG ISANG TALIM NG DISCPLOW , SA BANDANG GITNA NG UNIT.</v>
      </c>
      <c r="L1309" s="72" t="str">
        <f>IFERROR(__xludf.DUMMYFUNCTION("""COMPUTED_VALUE"""),"JHP: 1ST PMS DONE")</f>
        <v>JHP: 1ST PMS DONE</v>
      </c>
      <c r="M1309" s="2"/>
      <c r="N1309" s="2" t="str">
        <f>IFERROR(__xludf.DUMMYFUNCTION("""COMPUTED_VALUE"""),"PARTS:
OIL FILTER
ENGINE OIL")</f>
        <v>PARTS:
OIL FILTER
ENGINE OIL</v>
      </c>
      <c r="O1309" s="2">
        <f>IFERROR(__xludf.DUMMYFUNCTION("""COMPUTED_VALUE"""),654.0)</f>
        <v>654</v>
      </c>
      <c r="P1309" s="2"/>
      <c r="Q1309" s="2" t="str">
        <f>IFERROR(__xludf.DUMMYFUNCTION("""COMPUTED_VALUE"""),"FOR PRINT")</f>
        <v>FOR PRINT</v>
      </c>
      <c r="R1309" s="74">
        <f>IFERROR(__xludf.DUMMYFUNCTION("""COMPUTED_VALUE"""),46013.0)</f>
        <v>46013</v>
      </c>
      <c r="S1309" s="2" t="str">
        <f>IFERROR(__xludf.DUMMYFUNCTION("""COMPUTED_VALUE"""),"JHP")</f>
        <v>JHP</v>
      </c>
      <c r="T1309" s="73" t="str">
        <f>IFERROR(__xludf.DUMMYFUNCTION("""COMPUTED_VALUE""")," N/A ")</f>
        <v>N/A</v>
      </c>
      <c r="U1309" s="73" t="str">
        <f>IFERROR(__xludf.DUMMYFUNCTION("""COMPUTED_VALUE""")," NO CHARGE ")</f>
        <v>NO CHARGE</v>
      </c>
      <c r="V1309" s="2">
        <f>IFERROR(__xludf.DUMMYFUNCTION("""COMPUTED_VALUE"""),1283.0)</f>
        <v>1283</v>
      </c>
      <c r="W1309" s="2" t="str">
        <f>IFERROR(__xludf.DUMMYFUNCTION("""COMPUTED_VALUE"""),"N/A")</f>
        <v>N/A</v>
      </c>
      <c r="X1309" s="2" t="str">
        <f>IFERROR(__xludf.DUMMYFUNCTION("""COMPUTED_VALUE"""),"N/A")</f>
        <v>N/A</v>
      </c>
      <c r="Y1309" s="2"/>
      <c r="Z1309" s="2"/>
      <c r="AA1309" s="2"/>
      <c r="AB1309" s="2"/>
      <c r="AC1309" s="2"/>
      <c r="AD1309" s="2"/>
      <c r="AE1309" s="2"/>
      <c r="AF1309" s="2"/>
      <c r="AG1309" s="2"/>
      <c r="AH1309" s="2"/>
      <c r="AI1309" s="2"/>
      <c r="AJ1309" s="2" t="str">
        <f>IFERROR(__xludf.DUMMYFUNCTION("""COMPUTED_VALUE"""),"Bantog")</f>
        <v>Bantog</v>
      </c>
      <c r="AK1309" s="2" t="str">
        <f>IFERROR(__xludf.DUMMYFUNCTION("""COMPUTED_VALUE"""),"Anao")</f>
        <v>Anao</v>
      </c>
      <c r="AL1309" s="2" t="str">
        <f>IFERROR(__xludf.DUMMYFUNCTION("""COMPUTED_VALUE"""),"Tarlac")</f>
        <v>Tarlac</v>
      </c>
      <c r="AM1309" s="2">
        <f>IFERROR(__xludf.DUMMYFUNCTION("""COMPUTED_VALUE"""),3.0)</f>
        <v>3</v>
      </c>
      <c r="AN1309" s="2" t="str">
        <f>IFERROR(__xludf.DUMMYFUNCTION("""COMPUTED_VALUE"""),"RCEF 25-03-05")</f>
        <v>RCEF 25-03-05</v>
      </c>
      <c r="AO1309" s="2">
        <f>IFERROR(__xludf.DUMMYFUNCTION("""COMPUTED_VALUE"""),5.0)</f>
        <v>5</v>
      </c>
      <c r="AP1309" s="2" t="str">
        <f>IFERROR(__xludf.DUMMYFUNCTION("""COMPUTED_VALUE"""),"FREE PMS")</f>
        <v>FREE PMS</v>
      </c>
      <c r="AQ1309" s="2"/>
      <c r="AR1309" s="2"/>
      <c r="AS1309" s="2"/>
      <c r="AT1309" s="2"/>
      <c r="AU1309" s="2"/>
      <c r="AV1309" s="2"/>
      <c r="AW1309" s="2"/>
      <c r="AX1309" s="2"/>
      <c r="AY1309" s="2"/>
      <c r="AZ1309" s="2"/>
      <c r="BA1309" s="2"/>
      <c r="BB1309" s="2"/>
    </row>
    <row r="1310">
      <c r="A1310" s="2">
        <f>IFERROR(__xludf.DUMMYFUNCTION("""COMPUTED_VALUE"""),1306.0)</f>
        <v>1306</v>
      </c>
      <c r="B1310" s="2" t="str">
        <f>IFERROR(__xludf.DUMMYFUNCTION("""COMPUTED_VALUE"""),"COMPLETED")</f>
        <v>COMPLETED</v>
      </c>
      <c r="C1310" s="74">
        <f>IFERROR(__xludf.DUMMYFUNCTION("""COMPUTED_VALUE"""),46003.0)</f>
        <v>46003</v>
      </c>
      <c r="D1310" s="71" t="str">
        <f>IFERROR(__xludf.DUMMYFUNCTION("""COMPUTED_VALUE"""),"SGRNE FARMERS ASSOCIATION INCORPORATED")</f>
        <v>SGRNE FARMERS ASSOCIATION INCORPORATED</v>
      </c>
      <c r="E1310" s="71" t="str">
        <f>IFERROR(__xludf.DUMMYFUNCTION("""COMPUTED_VALUE"""),"San Gregorio, Rizal, NUEVA ECIJA")</f>
        <v>San Gregorio, Rizal, NUEVA ECIJA</v>
      </c>
      <c r="F1310" s="2" t="str">
        <f>IFERROR(__xludf.DUMMYFUNCTION("""COMPUTED_VALUE"""),"JAIME CABUSFLAY")</f>
        <v>JAIME CABUSFLAY</v>
      </c>
      <c r="G1310" s="2">
        <f>IFERROR(__xludf.DUMMYFUNCTION("""COMPUTED_VALUE"""),9.389114222E9)</f>
        <v>9389114222</v>
      </c>
      <c r="H1310" s="2">
        <f>IFERROR(__xludf.DUMMYFUNCTION("""COMPUTED_VALUE"""),2.0)</f>
        <v>2</v>
      </c>
      <c r="I1310" s="72" t="str">
        <f>IFERROR(__xludf.DUMMYFUNCTION("""COMPUTED_VALUE"""),"REPAIR - TRACTOR")</f>
        <v>REPAIR - TRACTOR</v>
      </c>
      <c r="J1310" s="72" t="str">
        <f>IFERROR(__xludf.DUMMYFUNCTION("""COMPUTED_VALUE"""),"Brake Problem")</f>
        <v>Brake Problem</v>
      </c>
      <c r="K1310" s="72" t="str">
        <f>IFERROR(__xludf.DUMMYFUNCTION("""COMPUTED_VALUE"""),"MYK:  BRAKE PEDAL AYAW GUMANA , MAG FLOW NG FLUID ")</f>
        <v>MYK:  BRAKE PEDAL AYAW GUMANA , MAG FLOW NG FLUID </v>
      </c>
      <c r="L1310" s="72" t="str">
        <f>IFERROR(__xludf.DUMMYFUNCTION("""COMPUTED_VALUE"""),"JHP: SI FARMER NA ANG GUMAWA")</f>
        <v>JHP: SI FARMER NA ANG GUMAWA</v>
      </c>
      <c r="M1310" s="2"/>
      <c r="N1310" s="2"/>
      <c r="O1310" s="2" t="str">
        <f>IFERROR(__xludf.DUMMYFUNCTION("""COMPUTED_VALUE"""),"N/A")</f>
        <v>N/A</v>
      </c>
      <c r="P1310" s="2"/>
      <c r="Q1310" s="2"/>
      <c r="R1310" s="74">
        <f>IFERROR(__xludf.DUMMYFUNCTION("""COMPUTED_VALUE"""),46092.0)</f>
        <v>46092</v>
      </c>
      <c r="S1310" s="2" t="str">
        <f>IFERROR(__xludf.DUMMYFUNCTION("""COMPUTED_VALUE"""),"JHP")</f>
        <v>JHP</v>
      </c>
      <c r="T1310" s="73" t="str">
        <f>IFERROR(__xludf.DUMMYFUNCTION("""COMPUTED_VALUE""")," N/A ")</f>
        <v>N/A</v>
      </c>
      <c r="U1310" s="73" t="str">
        <f>IFERROR(__xludf.DUMMYFUNCTION("""COMPUTED_VALUE""")," NO CHARGE ")</f>
        <v>NO CHARGE</v>
      </c>
      <c r="V1310" s="2" t="str">
        <f>IFERROR(__xludf.DUMMYFUNCTION("""COMPUTED_VALUE"""),"N/A")</f>
        <v>N/A</v>
      </c>
      <c r="W1310" s="2" t="str">
        <f>IFERROR(__xludf.DUMMYFUNCTION("""COMPUTED_VALUE"""),"N/A")</f>
        <v>N/A</v>
      </c>
      <c r="X1310" s="2" t="str">
        <f>IFERROR(__xludf.DUMMYFUNCTION("""COMPUTED_VALUE"""),"N/A")</f>
        <v>N/A</v>
      </c>
      <c r="Y1310" s="2"/>
      <c r="Z1310" s="2"/>
      <c r="AA1310" s="2"/>
      <c r="AB1310" s="2"/>
      <c r="AC1310" s="2"/>
      <c r="AD1310" s="2"/>
      <c r="AE1310" s="2"/>
      <c r="AF1310" s="2"/>
      <c r="AG1310" s="2"/>
      <c r="AH1310" s="2"/>
      <c r="AI1310" s="2"/>
      <c r="AJ1310" s="2" t="str">
        <f>IFERROR(__xludf.DUMMYFUNCTION("""COMPUTED_VALUE"""),"San Gregorio")</f>
        <v>San Gregorio</v>
      </c>
      <c r="AK1310" s="2" t="str">
        <f>IFERROR(__xludf.DUMMYFUNCTION("""COMPUTED_VALUE"""),"Rizal")</f>
        <v>Rizal</v>
      </c>
      <c r="AL1310" s="2" t="str">
        <f>IFERROR(__xludf.DUMMYFUNCTION("""COMPUTED_VALUE"""),"Nueva Ecija")</f>
        <v>Nueva Ecija</v>
      </c>
      <c r="AM1310" s="2">
        <f>IFERROR(__xludf.DUMMYFUNCTION("""COMPUTED_VALUE"""),3.0)</f>
        <v>3</v>
      </c>
      <c r="AN1310" s="2" t="str">
        <f>IFERROR(__xludf.DUMMYFUNCTION("""COMPUTED_VALUE"""),"RCEF 25-03-05")</f>
        <v>RCEF 25-03-05</v>
      </c>
      <c r="AO1310" s="2">
        <f>IFERROR(__xludf.DUMMYFUNCTION("""COMPUTED_VALUE"""),5.0)</f>
        <v>5</v>
      </c>
      <c r="AP1310" s="2" t="str">
        <f>IFERROR(__xludf.DUMMYFUNCTION("""COMPUTED_VALUE"""),"FREE PMS")</f>
        <v>FREE PMS</v>
      </c>
      <c r="AQ1310" s="2"/>
      <c r="AR1310" s="2"/>
      <c r="AS1310" s="2"/>
      <c r="AT1310" s="2"/>
      <c r="AU1310" s="2"/>
      <c r="AV1310" s="2"/>
      <c r="AW1310" s="2"/>
      <c r="AX1310" s="2"/>
      <c r="AY1310" s="2"/>
      <c r="AZ1310" s="2"/>
      <c r="BA1310" s="2"/>
      <c r="BB1310" s="2"/>
    </row>
    <row r="1311">
      <c r="A1311" s="2">
        <f>IFERROR(__xludf.DUMMYFUNCTION("""COMPUTED_VALUE"""),1307.0)</f>
        <v>1307</v>
      </c>
      <c r="B1311" s="2" t="str">
        <f>IFERROR(__xludf.DUMMYFUNCTION("""COMPUTED_VALUE"""),"COMPLETED")</f>
        <v>COMPLETED</v>
      </c>
      <c r="C1311" s="74">
        <f>IFERROR(__xludf.DUMMYFUNCTION("""COMPUTED_VALUE"""),46004.0)</f>
        <v>46004</v>
      </c>
      <c r="D1311" s="71" t="str">
        <f>IFERROR(__xludf.DUMMYFUNCTION("""COMPUTED_VALUE"""),"Mindoro Occidental Womens Rotary Corps Multipurpose Cooperative (MOWRCCO MPC)")</f>
        <v>Mindoro Occidental Womens Rotary Corps Multipurpose Cooperative (MOWRCCO MPC)</v>
      </c>
      <c r="E1311" s="71" t="str">
        <f>IFERROR(__xludf.DUMMYFUNCTION("""COMPUTED_VALUE"""),"Labangan Poblacion, San Jose, OCCIDENTAL MINDORO")</f>
        <v>Labangan Poblacion, San Jose, OCCIDENTAL MINDORO</v>
      </c>
      <c r="F1311" s="2" t="str">
        <f>IFERROR(__xludf.DUMMYFUNCTION("""COMPUTED_VALUE"""),"NIDA RAMIREZ")</f>
        <v>NIDA RAMIREZ</v>
      </c>
      <c r="G1311" s="2">
        <f>IFERROR(__xludf.DUMMYFUNCTION("""COMPUTED_VALUE"""),9.511041923E9)</f>
        <v>9511041923</v>
      </c>
      <c r="H1311" s="2"/>
      <c r="I1311" s="72" t="str">
        <f>IFERROR(__xludf.DUMMYFUNCTION("""COMPUTED_VALUE"""),"REPAIR - TRACTOR")</f>
        <v>REPAIR - TRACTOR</v>
      </c>
      <c r="J1311" s="72" t="str">
        <f>IFERROR(__xludf.DUMMYFUNCTION("""COMPUTED_VALUE"""),"PMS")</f>
        <v>PMS</v>
      </c>
      <c r="K1311" s="72" t="str">
        <f>IFERROR(__xludf.DUMMYFUNCTION("""COMPUTED_VALUE"""),"KFS: ayaw daw po tumaas ung hydraulic NG displow NG tractora po")</f>
        <v>KFS: ayaw daw po tumaas ung hydraulic NG displow NG tractora po</v>
      </c>
      <c r="L1311" s="72" t="str">
        <f>IFERROR(__xludf.DUMMYFUNCTION("""COMPUTED_VALUE"""),"JTT: Okey n poh Yung unit kulang lang ng hydraulic oil pero mag papa change oil parin sila Ng hydraulic oil sa atin pati hydraulic filter
RBS: NEED TO CHANGE HYDRAULIC SYSTEM
CHANGE ENGINE OIL FILTER, AND ENGINE OIL , PMS DONE")</f>
        <v>JTT: Okey n poh Yung unit kulang lang ng hydraulic oil pero mag papa change oil parin sila Ng hydraulic oil sa atin pati hydraulic filter
RBS: NEED TO CHANGE HYDRAULIC SYSTEM
CHANGE ENGINE OIL FILTER, AND ENGINE OIL , PMS DONE</v>
      </c>
      <c r="M1311" s="2"/>
      <c r="N1311" s="2" t="str">
        <f>IFERROR(__xludf.DUMMYFUNCTION("""COMPUTED_VALUE"""),"PARTS:
OIL FILTER
ENGINE OIL 
HYDRAULIC FILTER")</f>
        <v>PARTS:
OIL FILTER
ENGINE OIL 
HYDRAULIC FILTER</v>
      </c>
      <c r="O1311" s="2">
        <f>IFERROR(__xludf.DUMMYFUNCTION("""COMPUTED_VALUE"""),606.0)</f>
        <v>606</v>
      </c>
      <c r="P1311" s="2"/>
      <c r="Q1311" s="2" t="str">
        <f>IFERROR(__xludf.DUMMYFUNCTION("""COMPUTED_VALUE"""),"FOR PRINT")</f>
        <v>FOR PRINT</v>
      </c>
      <c r="R1311" s="74">
        <f>IFERROR(__xludf.DUMMYFUNCTION("""COMPUTED_VALUE"""),46014.0)</f>
        <v>46014</v>
      </c>
      <c r="S1311" s="2" t="str">
        <f>IFERROR(__xludf.DUMMYFUNCTION("""COMPUTED_VALUE"""),"RBS")</f>
        <v>RBS</v>
      </c>
      <c r="T1311" s="73">
        <f>IFERROR(__xludf.DUMMYFUNCTION("""COMPUTED_VALUE"""),2800.0)</f>
        <v>2800</v>
      </c>
      <c r="U1311" s="73" t="str">
        <f>IFERROR(__xludf.DUMMYFUNCTION("""COMPUTED_VALUE""")," REMITTED ")</f>
        <v>REMITTED</v>
      </c>
      <c r="V1311" s="2"/>
      <c r="W1311" s="2">
        <f>IFERROR(__xludf.DUMMYFUNCTION("""COMPUTED_VALUE"""),1426.0)</f>
        <v>1426</v>
      </c>
      <c r="X1311" s="2">
        <f>IFERROR(__xludf.DUMMYFUNCTION("""COMPUTED_VALUE"""),1651.0)</f>
        <v>1651</v>
      </c>
      <c r="Y1311" s="2"/>
      <c r="Z1311" s="2"/>
      <c r="AA1311" s="2"/>
      <c r="AB1311" s="2"/>
      <c r="AC1311" s="2"/>
      <c r="AD1311" s="2"/>
      <c r="AE1311" s="2"/>
      <c r="AF1311" s="2"/>
      <c r="AG1311" s="2"/>
      <c r="AH1311" s="2"/>
      <c r="AI1311" s="2"/>
      <c r="AJ1311" s="2" t="str">
        <f>IFERROR(__xludf.DUMMYFUNCTION("""COMPUTED_VALUE"""),"Labangan Poblacion")</f>
        <v>Labangan Poblacion</v>
      </c>
      <c r="AK1311" s="2" t="str">
        <f>IFERROR(__xludf.DUMMYFUNCTION("""COMPUTED_VALUE"""),"San Jose")</f>
        <v>San Jose</v>
      </c>
      <c r="AL1311" s="2" t="str">
        <f>IFERROR(__xludf.DUMMYFUNCTION("""COMPUTED_VALUE"""),"Occidental Mindoro")</f>
        <v>Occidental Mindoro</v>
      </c>
      <c r="AM1311" s="2" t="str">
        <f>IFERROR(__xludf.DUMMYFUNCTION("""COMPUTED_VALUE"""),"4B")</f>
        <v>4B</v>
      </c>
      <c r="AN1311" s="2" t="str">
        <f>IFERROR(__xludf.DUMMYFUNCTION("""COMPUTED_VALUE"""),"RCEF 24-04-15")</f>
        <v>RCEF 24-04-15</v>
      </c>
      <c r="AO1311" s="2">
        <f>IFERROR(__xludf.DUMMYFUNCTION("""COMPUTED_VALUE"""),7.0)</f>
        <v>7</v>
      </c>
      <c r="AP1311" s="2" t="str">
        <f>IFERROR(__xludf.DUMMYFUNCTION("""COMPUTED_VALUE"""),"FREE PMS")</f>
        <v>FREE PMS</v>
      </c>
      <c r="AQ1311" s="2"/>
      <c r="AR1311" s="2"/>
      <c r="AS1311" s="2"/>
      <c r="AT1311" s="2"/>
      <c r="AU1311" s="2"/>
      <c r="AV1311" s="2"/>
      <c r="AW1311" s="2"/>
      <c r="AX1311" s="2"/>
      <c r="AY1311" s="2"/>
      <c r="AZ1311" s="2"/>
      <c r="BA1311" s="2"/>
      <c r="BB1311" s="2"/>
    </row>
    <row r="1312">
      <c r="A1312" s="2">
        <f>IFERROR(__xludf.DUMMYFUNCTION("""COMPUTED_VALUE"""),1308.0)</f>
        <v>1308</v>
      </c>
      <c r="B1312" s="2" t="str">
        <f>IFERROR(__xludf.DUMMYFUNCTION("""COMPUTED_VALUE"""),"COMPLETED")</f>
        <v>COMPLETED</v>
      </c>
      <c r="C1312" s="74">
        <f>IFERROR(__xludf.DUMMYFUNCTION("""COMPUTED_VALUE"""),46006.0)</f>
        <v>46006</v>
      </c>
      <c r="D1312" s="71" t="str">
        <f>IFERROR(__xludf.DUMMYFUNCTION("""COMPUTED_VALUE"""),"BRGY. VILLA ISLA-MUÑOZ WATER IMPOUNDING IRRIGATORS ASSOCIATION, INC")</f>
        <v>BRGY. VILLA ISLA-MUÑOZ WATER IMPOUNDING IRRIGATORS ASSOCIATION, INC</v>
      </c>
      <c r="E1312" s="71" t="str">
        <f>IFERROR(__xludf.DUMMYFUNCTION("""COMPUTED_VALUE"""),"Villa Isla, Science City of Munoz, NUEVA ECIJA")</f>
        <v>Villa Isla, Science City of Munoz, NUEVA ECIJA</v>
      </c>
      <c r="F1312" s="2" t="str">
        <f>IFERROR(__xludf.DUMMYFUNCTION("""COMPUTED_VALUE"""),"Darwin Paclibare")</f>
        <v>Darwin Paclibare</v>
      </c>
      <c r="G1312" s="2" t="str">
        <f>IFERROR(__xludf.DUMMYFUNCTION("""COMPUTED_VALUE"""),"0965 571 7350")</f>
        <v>0965 571 7350</v>
      </c>
      <c r="H1312" s="2">
        <f>IFERROR(__xludf.DUMMYFUNCTION("""COMPUTED_VALUE"""),225.3)</f>
        <v>225.3</v>
      </c>
      <c r="I1312" s="72" t="str">
        <f>IFERROR(__xludf.DUMMYFUNCTION("""COMPUTED_VALUE"""),"REPAIR - TRACTOR")</f>
        <v>REPAIR - TRACTOR</v>
      </c>
      <c r="J1312" s="72" t="str">
        <f>IFERROR(__xludf.DUMMYFUNCTION("""COMPUTED_VALUE"""),"Transmission - Clutch")</f>
        <v>Transmission - Clutch</v>
      </c>
      <c r="K1312" s="72" t="str">
        <f>IFERROR(__xludf.DUMMYFUNCTION("""COMPUTED_VALUE"""),"ACS: CLUTCH LINING AND RELEASE BEARING")</f>
        <v>ACS: CLUTCH LINING AND RELEASE BEARING</v>
      </c>
      <c r="L1312" s="72" t="str">
        <f>IFERROR(__xludf.DUMMYFUNCTION("""COMPUTED_VALUE"""),"0386- FPJ:CHECK UP THE TRACTOR, RELEASE BEARING PROBLEM
0388- FPJ: PMS THE TRACTOR AND REPLACE THE RELEASE BEARING")</f>
        <v>0386- FPJ:CHECK UP THE TRACTOR, RELEASE BEARING PROBLEM
0388- FPJ: PMS THE TRACTOR AND REPLACE THE RELEASE BEARING</v>
      </c>
      <c r="M1312" s="2"/>
      <c r="N1312" s="2" t="str">
        <f>IFERROR(__xludf.DUMMYFUNCTION("""COMPUTED_VALUE"""),"PARTS:
OIL FILTER
ENGINE OIL
HYDRAULIC FILTER
RELEASE BEARING
SERVICE UNDER WARRANTY")</f>
        <v>PARTS:
OIL FILTER
ENGINE OIL
HYDRAULIC FILTER
RELEASE BEARING
SERVICE UNDER WARRANTY</v>
      </c>
      <c r="O1312" s="2">
        <f>IFERROR(__xludf.DUMMYFUNCTION("""COMPUTED_VALUE"""),388.0)</f>
        <v>388</v>
      </c>
      <c r="P1312" s="2"/>
      <c r="Q1312" s="2" t="str">
        <f>IFERROR(__xludf.DUMMYFUNCTION("""COMPUTED_VALUE"""),"FOR PRINT")</f>
        <v>FOR PRINT</v>
      </c>
      <c r="R1312" s="74">
        <f>IFERROR(__xludf.DUMMYFUNCTION("""COMPUTED_VALUE"""),46036.0)</f>
        <v>46036</v>
      </c>
      <c r="S1312" s="2" t="str">
        <f>IFERROR(__xludf.DUMMYFUNCTION("""COMPUTED_VALUE"""),"JTT/FPJ")</f>
        <v>JTT/FPJ</v>
      </c>
      <c r="T1312" s="73">
        <f>IFERROR(__xludf.DUMMYFUNCTION("""COMPUTED_VALUE"""),9057.0)</f>
        <v>9057</v>
      </c>
      <c r="U1312" s="73" t="str">
        <f>IFERROR(__xludf.DUMMYFUNCTION("""COMPUTED_VALUE""")," REMITTED ")</f>
        <v>REMITTED</v>
      </c>
      <c r="V1312" s="2">
        <f>IFERROR(__xludf.DUMMYFUNCTION("""COMPUTED_VALUE"""),1608.0)</f>
        <v>1608</v>
      </c>
      <c r="W1312" s="2">
        <f>IFERROR(__xludf.DUMMYFUNCTION("""COMPUTED_VALUE"""),1872.0)</f>
        <v>1872</v>
      </c>
      <c r="X1312" s="2">
        <f>IFERROR(__xludf.DUMMYFUNCTION("""COMPUTED_VALUE"""),1722.0)</f>
        <v>1722</v>
      </c>
      <c r="Y1312" s="2"/>
      <c r="Z1312" s="2"/>
      <c r="AA1312" s="2"/>
      <c r="AB1312" s="2"/>
      <c r="AC1312" s="2"/>
      <c r="AD1312" s="2"/>
      <c r="AE1312" s="2"/>
      <c r="AF1312" s="2"/>
      <c r="AG1312" s="2"/>
      <c r="AH1312" s="2"/>
      <c r="AI1312" s="2"/>
      <c r="AJ1312" s="2" t="str">
        <f>IFERROR(__xludf.DUMMYFUNCTION("""COMPUTED_VALUE"""),"Villa Isla")</f>
        <v>Villa Isla</v>
      </c>
      <c r="AK1312" s="2" t="str">
        <f>IFERROR(__xludf.DUMMYFUNCTION("""COMPUTED_VALUE"""),"Science City Of Munoz")</f>
        <v>Science City Of Munoz</v>
      </c>
      <c r="AL1312" s="2" t="str">
        <f>IFERROR(__xludf.DUMMYFUNCTION("""COMPUTED_VALUE"""),"Nueva Ecija")</f>
        <v>Nueva Ecija</v>
      </c>
      <c r="AM1312" s="2">
        <f>IFERROR(__xludf.DUMMYFUNCTION("""COMPUTED_VALUE"""),3.0)</f>
        <v>3</v>
      </c>
      <c r="AN1312" s="2" t="str">
        <f>IFERROR(__xludf.DUMMYFUNCTION("""COMPUTED_VALUE"""),"RCEF 25-03-05")</f>
        <v>RCEF 25-03-05</v>
      </c>
      <c r="AO1312" s="2">
        <f>IFERROR(__xludf.DUMMYFUNCTION("""COMPUTED_VALUE"""),5.0)</f>
        <v>5</v>
      </c>
      <c r="AP1312" s="2" t="str">
        <f>IFERROR(__xludf.DUMMYFUNCTION("""COMPUTED_VALUE"""),"FREE PMS")</f>
        <v>FREE PMS</v>
      </c>
      <c r="AQ1312" s="2"/>
      <c r="AR1312" s="2"/>
      <c r="AS1312" s="2"/>
      <c r="AT1312" s="2"/>
      <c r="AU1312" s="2"/>
      <c r="AV1312" s="2"/>
      <c r="AW1312" s="2"/>
      <c r="AX1312" s="2"/>
      <c r="AY1312" s="2"/>
      <c r="AZ1312" s="2"/>
      <c r="BA1312" s="2"/>
      <c r="BB1312" s="2"/>
    </row>
    <row r="1313">
      <c r="A1313" s="2">
        <f>IFERROR(__xludf.DUMMYFUNCTION("""COMPUTED_VALUE"""),1309.0)</f>
        <v>1309</v>
      </c>
      <c r="B1313" s="2" t="str">
        <f>IFERROR(__xludf.DUMMYFUNCTION("""COMPUTED_VALUE"""),"COMPLETED")</f>
        <v>COMPLETED</v>
      </c>
      <c r="C1313" s="74">
        <f>IFERROR(__xludf.DUMMYFUNCTION("""COMPUTED_VALUE"""),46007.0)</f>
        <v>46007</v>
      </c>
      <c r="D1313" s="71" t="str">
        <f>IFERROR(__xludf.DUMMYFUNCTION("""COMPUTED_VALUE"""),"Free Farmers Multi Purpose Cooperative")</f>
        <v>Free Farmers Multi Purpose Cooperative</v>
      </c>
      <c r="E1313" s="71" t="str">
        <f>IFERROR(__xludf.DUMMYFUNCTION("""COMPUTED_VALUE"""),"SAYAGADEN, CABUGAO, ILOCOS SUR")</f>
        <v>SAYAGADEN, CABUGAO, ILOCOS SUR</v>
      </c>
      <c r="F1313" s="2" t="str">
        <f>IFERROR(__xludf.DUMMYFUNCTION("""COMPUTED_VALUE"""),"Zosimo Sayaboc")</f>
        <v>Zosimo Sayaboc</v>
      </c>
      <c r="G1313" s="2">
        <f>IFERROR(__xludf.DUMMYFUNCTION("""COMPUTED_VALUE"""),9.266039607E9)</f>
        <v>9266039607</v>
      </c>
      <c r="H1313" s="2">
        <f>IFERROR(__xludf.DUMMYFUNCTION("""COMPUTED_VALUE"""),937.0)</f>
        <v>937</v>
      </c>
      <c r="I1313" s="72" t="str">
        <f>IFERROR(__xludf.DUMMYFUNCTION("""COMPUTED_VALUE"""),"REPAIR - TRACTOR")</f>
        <v>REPAIR - TRACTOR</v>
      </c>
      <c r="J1313" s="72" t="str">
        <f>IFERROR(__xludf.DUMMYFUNCTION("""COMPUTED_VALUE"""),"PTO - Gear")</f>
        <v>PTO - Gear</v>
      </c>
      <c r="K1313" s="72" t="str">
        <f>IFERROR(__xludf.DUMMYFUNCTION("""COMPUTED_VALUE"""),"MYK: MAY TYUMUTUNOG SA TRANSMISSION, SA MAY PINAGKAKABITAN NG PTO ")</f>
        <v>MYK: MAY TYUMUTUNOG SA TRANSMISSION, SA MAY PINAGKAKABITAN NG PTO </v>
      </c>
      <c r="L1313" s="72" t="str">
        <f>IFERROR(__xludf.DUMMYFUNCTION("""COMPUTED_VALUE"""),"KFS: CALL THIS WEEK (ECM)
DSD: CHECK HYDRAULIC FILTER
TO CALL BY RBS
ECM/JHP: PARTS NEEDED
1- SHAFT, PTO SHIFT NT45920000
1- GEAR 49T, PTO TA00033212
1 - Shaft, PTO NT45130000
ACS: REPLACED SET OF PTO SHAFT AND GEAR")</f>
        <v>KFS: CALL THIS WEEK (ECM)
DSD: CHECK HYDRAULIC FILTER
TO CALL BY RBS
ECM/JHP: PARTS NEEDED
1- SHAFT, PTO SHIFT NT45920000
1- GEAR 49T, PTO TA00033212
1 - Shaft, PTO NT45130000
ACS: REPLACED SET OF PTO SHAFT AND GEAR</v>
      </c>
      <c r="M1313" s="2" t="str">
        <f>IFERROR(__xludf.DUMMYFUNCTION("""COMPUTED_VALUE"""),"1- SHAFT, PTO SHIFT NT45920000
1- GEAR 49T, PTO TA00033212
1 - Shaft, PTO NT45130000")</f>
        <v>1- SHAFT, PTO SHIFT NT45920000
1- GEAR 49T, PTO TA00033212
1 - Shaft, PTO NT45130000</v>
      </c>
      <c r="N1313" s="2" t="str">
        <f>IFERROR(__xludf.DUMMYFUNCTION("""COMPUTED_VALUE"""),"PARTS:
1- SHAFT, PTO SHIFT NT45920000
1- GEAR 49T, PTO TA00033212
1 - Shaft, PTO NT45130000
1- GEAR 46T, PTO TA00033211")</f>
        <v>PARTS:
1- SHAFT, PTO SHIFT NT45920000
1- GEAR 49T, PTO TA00033212
1 - Shaft, PTO NT45130000
1- GEAR 46T, PTO TA00033211</v>
      </c>
      <c r="O1313" s="2">
        <f>IFERROR(__xludf.DUMMYFUNCTION("""COMPUTED_VALUE"""),1719.0)</f>
        <v>1719</v>
      </c>
      <c r="P1313" s="2" t="str">
        <f>IFERROR(__xludf.DUMMYFUNCTION("""COMPUTED_VALUE"""),"1719 - Free Farmers Multi Purpose Cooperative.pdf")</f>
        <v>1719 - Free Farmers Multi Purpose Cooperative.pdf</v>
      </c>
      <c r="Q1313" s="2" t="str">
        <f>IFERROR(__xludf.DUMMYFUNCTION("""COMPUTED_VALUE"""),"FOR PRINT")</f>
        <v>FOR PRINT</v>
      </c>
      <c r="R1313" s="74">
        <f>IFERROR(__xludf.DUMMYFUNCTION("""COMPUTED_VALUE"""),46176.0)</f>
        <v>46176</v>
      </c>
      <c r="S1313" s="2" t="str">
        <f>IFERROR(__xludf.DUMMYFUNCTION("""COMPUTED_VALUE"""),"JHP/ACS")</f>
        <v>JHP/ACS</v>
      </c>
      <c r="T1313" s="73">
        <f>IFERROR(__xludf.DUMMYFUNCTION("""COMPUTED_VALUE"""),51382.0)</f>
        <v>51382</v>
      </c>
      <c r="U1313" s="73" t="str">
        <f>IFERROR(__xludf.DUMMYFUNCTION("""COMPUTED_VALUE""")," FOR REMIT ")</f>
        <v>FOR REMIT</v>
      </c>
      <c r="V1313" s="2">
        <f>IFERROR(__xludf.DUMMYFUNCTION("""COMPUTED_VALUE"""),1719.0)</f>
        <v>1719</v>
      </c>
      <c r="W1313" s="2">
        <f>IFERROR(__xludf.DUMMYFUNCTION("""COMPUTED_VALUE"""),1970.0)</f>
        <v>1970</v>
      </c>
      <c r="X1313" s="2"/>
      <c r="Y1313" s="2"/>
      <c r="Z1313" s="2"/>
      <c r="AA1313" s="2"/>
      <c r="AB1313" s="2"/>
      <c r="AC1313" s="2"/>
      <c r="AD1313" s="2"/>
      <c r="AE1313" s="2"/>
      <c r="AF1313" s="2"/>
      <c r="AG1313" s="2"/>
      <c r="AH1313" s="2"/>
      <c r="AI1313" s="2"/>
      <c r="AJ1313" s="2" t="str">
        <f>IFERROR(__xludf.DUMMYFUNCTION("""COMPUTED_VALUE"""),"Sayagaden")</f>
        <v>Sayagaden</v>
      </c>
      <c r="AK1313" s="2" t="str">
        <f>IFERROR(__xludf.DUMMYFUNCTION("""COMPUTED_VALUE"""),"Cabugao")</f>
        <v>Cabugao</v>
      </c>
      <c r="AL1313" s="2" t="str">
        <f>IFERROR(__xludf.DUMMYFUNCTION("""COMPUTED_VALUE"""),"Ilocos Sur")</f>
        <v>Ilocos Sur</v>
      </c>
      <c r="AM1313" s="2">
        <f>IFERROR(__xludf.DUMMYFUNCTION("""COMPUTED_VALUE"""),1.0)</f>
        <v>1</v>
      </c>
      <c r="AN1313" s="2" t="str">
        <f>IFERROR(__xludf.DUMMYFUNCTION("""COMPUTED_VALUE"""),"RCEF 23-09-21 Rebidding")</f>
        <v>RCEF 23-09-21 Rebidding</v>
      </c>
      <c r="AO1313" s="2">
        <f>IFERROR(__xludf.DUMMYFUNCTION("""COMPUTED_VALUE"""),2.0)</f>
        <v>2</v>
      </c>
      <c r="AP1313" s="2"/>
      <c r="AQ1313" s="2"/>
      <c r="AR1313" s="2"/>
      <c r="AS1313" s="2"/>
      <c r="AT1313" s="2"/>
      <c r="AU1313" s="2"/>
      <c r="AV1313" s="2"/>
      <c r="AW1313" s="2"/>
      <c r="AX1313" s="2"/>
      <c r="AY1313" s="2"/>
      <c r="AZ1313" s="2"/>
      <c r="BA1313" s="2"/>
      <c r="BB1313" s="2"/>
    </row>
    <row r="1314">
      <c r="A1314" s="2">
        <f>IFERROR(__xludf.DUMMYFUNCTION("""COMPUTED_VALUE"""),1310.0)</f>
        <v>1310</v>
      </c>
      <c r="B1314" s="2" t="str">
        <f>IFERROR(__xludf.DUMMYFUNCTION("""COMPUTED_VALUE"""),"COMPLETED")</f>
        <v>COMPLETED</v>
      </c>
      <c r="C1314" s="74">
        <f>IFERROR(__xludf.DUMMYFUNCTION("""COMPUTED_VALUE"""),46007.0)</f>
        <v>46007</v>
      </c>
      <c r="D1314" s="71" t="str">
        <f>IFERROR(__xludf.DUMMYFUNCTION("""COMPUTED_VALUE"""),"Novaliches Development Cooperative (NOVADECI)")</f>
        <v>Novaliches Development Cooperative (NOVADECI)</v>
      </c>
      <c r="E1314" s="71" t="str">
        <f>IFERROR(__xludf.DUMMYFUNCTION("""COMPUTED_VALUE"""),"Tagtagumbao, Cuyapo, NUEVA ECIJA")</f>
        <v>Tagtagumbao, Cuyapo, NUEVA ECIJA</v>
      </c>
      <c r="F1314" s="2"/>
      <c r="G1314" s="2"/>
      <c r="H1314" s="2"/>
      <c r="I1314" s="72" t="str">
        <f>IFERROR(__xludf.DUMMYFUNCTION("""COMPUTED_VALUE"""),"PMS")</f>
        <v>PMS</v>
      </c>
      <c r="J1314" s="72"/>
      <c r="K1314" s="72" t="str">
        <f>IFERROR(__xludf.DUMMYFUNCTION("""COMPUTED_VALUE"""),"JHP: CHANGE OIL")</f>
        <v>JHP: CHANGE OIL</v>
      </c>
      <c r="L1314" s="72" t="str">
        <f>IFERROR(__xludf.DUMMYFUNCTION("""COMPUTED_VALUE"""),"ACS: 1ST PMS DONE")</f>
        <v>ACS: 1ST PMS DONE</v>
      </c>
      <c r="M1314" s="2"/>
      <c r="N1314" s="2" t="str">
        <f>IFERROR(__xludf.DUMMYFUNCTION("""COMPUTED_VALUE"""),"PARTS
OIL FILTER
ENGINE OIL")</f>
        <v>PARTS
OIL FILTER
ENGINE OIL</v>
      </c>
      <c r="O1314" s="2">
        <f>IFERROR(__xludf.DUMMYFUNCTION("""COMPUTED_VALUE"""),1408.0)</f>
        <v>1408</v>
      </c>
      <c r="P1314" s="2"/>
      <c r="Q1314" s="2" t="str">
        <f>IFERROR(__xludf.DUMMYFUNCTION("""COMPUTED_VALUE"""),"FOR PRINT")</f>
        <v>FOR PRINT</v>
      </c>
      <c r="R1314" s="74">
        <f>IFERROR(__xludf.DUMMYFUNCTION("""COMPUTED_VALUE"""),46007.0)</f>
        <v>46007</v>
      </c>
      <c r="S1314" s="2" t="str">
        <f>IFERROR(__xludf.DUMMYFUNCTION("""COMPUTED_VALUE"""),"JHP/ACS")</f>
        <v>JHP/ACS</v>
      </c>
      <c r="T1314" s="73" t="str">
        <f>IFERROR(__xludf.DUMMYFUNCTION("""COMPUTED_VALUE""")," N/A ")</f>
        <v>N/A</v>
      </c>
      <c r="U1314" s="73" t="str">
        <f>IFERROR(__xludf.DUMMYFUNCTION("""COMPUTED_VALUE""")," NO CHARGE ")</f>
        <v>NO CHARGE</v>
      </c>
      <c r="V1314" s="2"/>
      <c r="W1314" s="2" t="str">
        <f>IFERROR(__xludf.DUMMYFUNCTION("""COMPUTED_VALUE"""),"N/A")</f>
        <v>N/A</v>
      </c>
      <c r="X1314" s="2" t="str">
        <f>IFERROR(__xludf.DUMMYFUNCTION("""COMPUTED_VALUE"""),"N/A")</f>
        <v>N/A</v>
      </c>
      <c r="Y1314" s="2"/>
      <c r="Z1314" s="2"/>
      <c r="AA1314" s="2"/>
      <c r="AB1314" s="2"/>
      <c r="AC1314" s="2"/>
      <c r="AD1314" s="2"/>
      <c r="AE1314" s="2"/>
      <c r="AF1314" s="2"/>
      <c r="AG1314" s="2"/>
      <c r="AH1314" s="2"/>
      <c r="AI1314" s="2"/>
      <c r="AJ1314" s="2" t="str">
        <f>IFERROR(__xludf.DUMMYFUNCTION("""COMPUTED_VALUE"""),"Tagtagumbao")</f>
        <v>Tagtagumbao</v>
      </c>
      <c r="AK1314" s="2" t="str">
        <f>IFERROR(__xludf.DUMMYFUNCTION("""COMPUTED_VALUE"""),"Cuyapo")</f>
        <v>Cuyapo</v>
      </c>
      <c r="AL1314" s="2" t="str">
        <f>IFERROR(__xludf.DUMMYFUNCTION("""COMPUTED_VALUE"""),"Nueva Ecija")</f>
        <v>Nueva Ecija</v>
      </c>
      <c r="AM1314" s="2">
        <f>IFERROR(__xludf.DUMMYFUNCTION("""COMPUTED_VALUE"""),3.0)</f>
        <v>3</v>
      </c>
      <c r="AN1314" s="2" t="str">
        <f>IFERROR(__xludf.DUMMYFUNCTION("""COMPUTED_VALUE"""),"RCEF 25-03-05")</f>
        <v>RCEF 25-03-05</v>
      </c>
      <c r="AO1314" s="2">
        <f>IFERROR(__xludf.DUMMYFUNCTION("""COMPUTED_VALUE"""),5.0)</f>
        <v>5</v>
      </c>
      <c r="AP1314" s="2" t="str">
        <f>IFERROR(__xludf.DUMMYFUNCTION("""COMPUTED_VALUE"""),"FREE PMS")</f>
        <v>FREE PMS</v>
      </c>
      <c r="AQ1314" s="2"/>
      <c r="AR1314" s="2"/>
      <c r="AS1314" s="2"/>
      <c r="AT1314" s="2"/>
      <c r="AU1314" s="2"/>
      <c r="AV1314" s="2"/>
      <c r="AW1314" s="2"/>
      <c r="AX1314" s="2"/>
      <c r="AY1314" s="2"/>
      <c r="AZ1314" s="2"/>
      <c r="BA1314" s="2"/>
      <c r="BB1314" s="2"/>
    </row>
    <row r="1315">
      <c r="A1315" s="2">
        <f>IFERROR(__xludf.DUMMYFUNCTION("""COMPUTED_VALUE"""),1311.0)</f>
        <v>1311</v>
      </c>
      <c r="B1315" s="2" t="str">
        <f>IFERROR(__xludf.DUMMYFUNCTION("""COMPUTED_VALUE"""),"COMPLETED")</f>
        <v>COMPLETED</v>
      </c>
      <c r="C1315" s="74">
        <f>IFERROR(__xludf.DUMMYFUNCTION("""COMPUTED_VALUE"""),46007.0)</f>
        <v>46007</v>
      </c>
      <c r="D1315" s="71" t="str">
        <f>IFERROR(__xludf.DUMMYFUNCTION("""COMPUTED_VALUE"""),"PINAGBUKLOD FARMERS' ASSOCIATION")</f>
        <v>PINAGBUKLOD FARMERS' ASSOCIATION</v>
      </c>
      <c r="E1315" s="71" t="str">
        <f>IFERROR(__xludf.DUMMYFUNCTION("""COMPUTED_VALUE"""),"San Nicolas, Sablayan, OCCIDENTAL MINDORO")</f>
        <v>San Nicolas, Sablayan, OCCIDENTAL MINDORO</v>
      </c>
      <c r="F1315" s="2" t="str">
        <f>IFERROR(__xludf.DUMMYFUNCTION("""COMPUTED_VALUE"""),"SIXTO DELA FUENTE")</f>
        <v>SIXTO DELA FUENTE</v>
      </c>
      <c r="G1315" s="2">
        <f>IFERROR(__xludf.DUMMYFUNCTION("""COMPUTED_VALUE"""),9.350297782E9)</f>
        <v>9350297782</v>
      </c>
      <c r="H1315" s="2">
        <f>IFERROR(__xludf.DUMMYFUNCTION("""COMPUTED_VALUE"""),748.0)</f>
        <v>748</v>
      </c>
      <c r="I1315" s="72" t="str">
        <f>IFERROR(__xludf.DUMMYFUNCTION("""COMPUTED_VALUE"""),"SPARE PARTS ACQUISITION")</f>
        <v>SPARE PARTS ACQUISITION</v>
      </c>
      <c r="J1315" s="72"/>
      <c r="K1315" s="72" t="str">
        <f>IFERROR(__xludf.DUMMYFUNCTION("""COMPUTED_VALUE"""),"RBS: 
DRIVE SHAFT
BEVEL GEAR 24T")</f>
        <v>RBS: 
DRIVE SHAFT
BEVEL GEAR 24T</v>
      </c>
      <c r="L1315" s="72" t="str">
        <f>IFERROR(__xludf.DUMMYFUNCTION("""COMPUTED_VALUE"""),"RBS: 
DELIVERED BEVEL GEAR 24T, PINION GEAR 11T, DRIVE SHAFT")</f>
        <v>RBS: 
DELIVERED BEVEL GEAR 24T, PINION GEAR 11T, DRIVE SHAFT</v>
      </c>
      <c r="M1315" s="2"/>
      <c r="N1315" s="2" t="str">
        <f>IFERROR(__xludf.DUMMYFUNCTION("""COMPUTED_VALUE"""),"PARTS:
BEVEL GEAR 24T
PINION GEAR 11T
DRIVE SHAFT
W/ PAYMENT AGREEMENT
LTC-PA-010
CR# 1425 PARTIAL-  7,780 ")</f>
        <v>PARTS:
BEVEL GEAR 24T
PINION GEAR 11T
DRIVE SHAFT
W/ PAYMENT AGREEMENT
LTC-PA-010
CR# 1425 PARTIAL-  7,780 </v>
      </c>
      <c r="O1315" s="2" t="str">
        <f>IFERROR(__xludf.DUMMYFUNCTION("""COMPUTED_VALUE"""),"N/A")</f>
        <v>N/A</v>
      </c>
      <c r="P1315" s="2"/>
      <c r="Q1315" s="2"/>
      <c r="R1315" s="74">
        <f>IFERROR(__xludf.DUMMYFUNCTION("""COMPUTED_VALUE"""),46012.0)</f>
        <v>46012</v>
      </c>
      <c r="S1315" s="2" t="str">
        <f>IFERROR(__xludf.DUMMYFUNCTION("""COMPUTED_VALUE"""),"RBS")</f>
        <v>RBS</v>
      </c>
      <c r="T1315" s="73">
        <f>IFERROR(__xludf.DUMMYFUNCTION("""COMPUTED_VALUE"""),57780.0)</f>
        <v>57780</v>
      </c>
      <c r="U1315" s="73" t="str">
        <f>IFERROR(__xludf.DUMMYFUNCTION("""COMPUTED_VALUE""")," FOR COLLECTION ")</f>
        <v>FOR COLLECTION</v>
      </c>
      <c r="V1315" s="2"/>
      <c r="W1315" s="2">
        <f>IFERROR(__xludf.DUMMYFUNCTION("""COMPUTED_VALUE"""),1425.0)</f>
        <v>1425</v>
      </c>
      <c r="X1315" s="2"/>
      <c r="Y1315" s="2" t="str">
        <f>IFERROR(__xludf.DUMMYFUNCTION("""COMPUTED_VALUE"""),"PARTIAL- 7,780
BALANCE- 50,000")</f>
        <v>PARTIAL- 7,780
BALANCE- 50,000</v>
      </c>
      <c r="Z1315" s="2"/>
      <c r="AA1315" s="2"/>
      <c r="AB1315" s="2"/>
      <c r="AC1315" s="2"/>
      <c r="AD1315" s="2"/>
      <c r="AE1315" s="2"/>
      <c r="AF1315" s="2"/>
      <c r="AG1315" s="2"/>
      <c r="AH1315" s="2"/>
      <c r="AI1315" s="2"/>
      <c r="AJ1315" s="2" t="str">
        <f>IFERROR(__xludf.DUMMYFUNCTION("""COMPUTED_VALUE"""),"San Nicolas")</f>
        <v>San Nicolas</v>
      </c>
      <c r="AK1315" s="2" t="str">
        <f>IFERROR(__xludf.DUMMYFUNCTION("""COMPUTED_VALUE"""),"Sablayan")</f>
        <v>Sablayan</v>
      </c>
      <c r="AL1315" s="2" t="str">
        <f>IFERROR(__xludf.DUMMYFUNCTION("""COMPUTED_VALUE"""),"Occidental Mindoro")</f>
        <v>Occidental Mindoro</v>
      </c>
      <c r="AM1315" s="2" t="str">
        <f>IFERROR(__xludf.DUMMYFUNCTION("""COMPUTED_VALUE"""),"4B")</f>
        <v>4B</v>
      </c>
      <c r="AN1315" s="2" t="str">
        <f>IFERROR(__xludf.DUMMYFUNCTION("""COMPUTED_VALUE"""),"RCEF 24-04-15")</f>
        <v>RCEF 24-04-15</v>
      </c>
      <c r="AO1315" s="2">
        <f>IFERROR(__xludf.DUMMYFUNCTION("""COMPUTED_VALUE"""),7.0)</f>
        <v>7</v>
      </c>
      <c r="AP1315" s="2" t="str">
        <f>IFERROR(__xludf.DUMMYFUNCTION("""COMPUTED_VALUE"""),"FREE PMS")</f>
        <v>FREE PMS</v>
      </c>
      <c r="AQ1315" s="2"/>
      <c r="AR1315" s="2"/>
      <c r="AS1315" s="2"/>
      <c r="AT1315" s="2"/>
      <c r="AU1315" s="2"/>
      <c r="AV1315" s="2"/>
      <c r="AW1315" s="2"/>
      <c r="AX1315" s="2"/>
      <c r="AY1315" s="2"/>
      <c r="AZ1315" s="2"/>
      <c r="BA1315" s="2"/>
      <c r="BB1315" s="2"/>
    </row>
    <row r="1316">
      <c r="A1316" s="2">
        <f>IFERROR(__xludf.DUMMYFUNCTION("""COMPUTED_VALUE"""),1312.0)</f>
        <v>1312</v>
      </c>
      <c r="B1316" s="2" t="str">
        <f>IFERROR(__xludf.DUMMYFUNCTION("""COMPUTED_VALUE"""),"COMPLETED")</f>
        <v>COMPLETED</v>
      </c>
      <c r="C1316" s="74">
        <f>IFERROR(__xludf.DUMMYFUNCTION("""COMPUTED_VALUE"""),46008.0)</f>
        <v>46008</v>
      </c>
      <c r="D1316" s="71" t="str">
        <f>IFERROR(__xludf.DUMMYFUNCTION("""COMPUTED_VALUE"""),"Mayao Farmers Association")</f>
        <v>Mayao Farmers Association</v>
      </c>
      <c r="E1316" s="71" t="str">
        <f>IFERROR(__xludf.DUMMYFUNCTION("""COMPUTED_VALUE"""),"Mayao, Oas, ALBAY")</f>
        <v>Mayao, Oas, ALBAY</v>
      </c>
      <c r="F1316" s="2" t="str">
        <f>IFERROR(__xludf.DUMMYFUNCTION("""COMPUTED_VALUE"""),"RENE NAGUIO")</f>
        <v>RENE NAGUIO</v>
      </c>
      <c r="G1316" s="2">
        <f>IFERROR(__xludf.DUMMYFUNCTION("""COMPUTED_VALUE"""),9.682938501E9)</f>
        <v>9682938501</v>
      </c>
      <c r="H1316" s="2">
        <f>IFERROR(__xludf.DUMMYFUNCTION("""COMPUTED_VALUE"""),45.0)</f>
        <v>45</v>
      </c>
      <c r="I1316" s="72" t="str">
        <f>IFERROR(__xludf.DUMMYFUNCTION("""COMPUTED_VALUE"""),"PMS")</f>
        <v>PMS</v>
      </c>
      <c r="J1316" s="72"/>
      <c r="K1316" s="72" t="str">
        <f>IFERROR(__xludf.DUMMYFUNCTION("""COMPUTED_VALUE"""),"DELIVERED: OCTOBER 2025
MYK: 1ST PMS FREE")</f>
        <v>DELIVERED: OCTOBER 2025
MYK: 1ST PMS FREE</v>
      </c>
      <c r="L1316" s="72" t="str">
        <f>IFERROR(__xludf.DUMMYFUNCTION("""COMPUTED_VALUE"""),"FPJ: 1ST PMS DONE")</f>
        <v>FPJ: 1ST PMS DONE</v>
      </c>
      <c r="M1316" s="2"/>
      <c r="N1316" s="2" t="str">
        <f>IFERROR(__xludf.DUMMYFUNCTION("""COMPUTED_VALUE"""),"PARTS:
OIL FILTER
ENGINE OIL")</f>
        <v>PARTS:
OIL FILTER
ENGINE OIL</v>
      </c>
      <c r="O1316" s="2">
        <f>IFERROR(__xludf.DUMMYFUNCTION("""COMPUTED_VALUE"""),565.0)</f>
        <v>565</v>
      </c>
      <c r="P1316" s="2"/>
      <c r="Q1316" s="2" t="str">
        <f>IFERROR(__xludf.DUMMYFUNCTION("""COMPUTED_VALUE"""),"FOR PRINT")</f>
        <v>FOR PRINT</v>
      </c>
      <c r="R1316" s="74">
        <f>IFERROR(__xludf.DUMMYFUNCTION("""COMPUTED_VALUE"""),46056.0)</f>
        <v>46056</v>
      </c>
      <c r="S1316" s="2" t="str">
        <f>IFERROR(__xludf.DUMMYFUNCTION("""COMPUTED_VALUE"""),"FPJ")</f>
        <v>FPJ</v>
      </c>
      <c r="T1316" s="73" t="str">
        <f>IFERROR(__xludf.DUMMYFUNCTION("""COMPUTED_VALUE""")," N/A ")</f>
        <v>N/A</v>
      </c>
      <c r="U1316" s="73" t="str">
        <f>IFERROR(__xludf.DUMMYFUNCTION("""COMPUTED_VALUE""")," NO CHARGE ")</f>
        <v>NO CHARGE</v>
      </c>
      <c r="V1316" s="2"/>
      <c r="W1316" s="2" t="str">
        <f>IFERROR(__xludf.DUMMYFUNCTION("""COMPUTED_VALUE"""),"N/A")</f>
        <v>N/A</v>
      </c>
      <c r="X1316" s="2" t="str">
        <f>IFERROR(__xludf.DUMMYFUNCTION("""COMPUTED_VALUE"""),"N/A")</f>
        <v>N/A</v>
      </c>
      <c r="Y1316" s="2"/>
      <c r="Z1316" s="2"/>
      <c r="AA1316" s="2"/>
      <c r="AB1316" s="2"/>
      <c r="AC1316" s="2"/>
      <c r="AD1316" s="2"/>
      <c r="AE1316" s="2"/>
      <c r="AF1316" s="2"/>
      <c r="AG1316" s="2"/>
      <c r="AH1316" s="2"/>
      <c r="AI1316" s="2"/>
      <c r="AJ1316" s="2" t="str">
        <f>IFERROR(__xludf.DUMMYFUNCTION("""COMPUTED_VALUE"""),"Mayao")</f>
        <v>Mayao</v>
      </c>
      <c r="AK1316" s="2" t="str">
        <f>IFERROR(__xludf.DUMMYFUNCTION("""COMPUTED_VALUE"""),"Oas")</f>
        <v>Oas</v>
      </c>
      <c r="AL1316" s="2" t="str">
        <f>IFERROR(__xludf.DUMMYFUNCTION("""COMPUTED_VALUE"""),"Albay")</f>
        <v>Albay</v>
      </c>
      <c r="AM1316" s="2">
        <f>IFERROR(__xludf.DUMMYFUNCTION("""COMPUTED_VALUE"""),5.0)</f>
        <v>5</v>
      </c>
      <c r="AN1316" s="2" t="str">
        <f>IFERROR(__xludf.DUMMYFUNCTION("""COMPUTED_VALUE"""),"RCEF 25-03-05")</f>
        <v>RCEF 25-03-05</v>
      </c>
      <c r="AO1316" s="2">
        <f>IFERROR(__xludf.DUMMYFUNCTION("""COMPUTED_VALUE"""),6.0)</f>
        <v>6</v>
      </c>
      <c r="AP1316" s="2" t="str">
        <f>IFERROR(__xludf.DUMMYFUNCTION("""COMPUTED_VALUE"""),"FREE PMS")</f>
        <v>FREE PMS</v>
      </c>
      <c r="AQ1316" s="2"/>
      <c r="AR1316" s="2"/>
      <c r="AS1316" s="2"/>
      <c r="AT1316" s="2"/>
      <c r="AU1316" s="2"/>
      <c r="AV1316" s="2"/>
      <c r="AW1316" s="2"/>
      <c r="AX1316" s="2"/>
      <c r="AY1316" s="2"/>
      <c r="AZ1316" s="2"/>
      <c r="BA1316" s="2"/>
      <c r="BB1316" s="2"/>
    </row>
    <row r="1317">
      <c r="A1317" s="2">
        <f>IFERROR(__xludf.DUMMYFUNCTION("""COMPUTED_VALUE"""),1313.0)</f>
        <v>1313</v>
      </c>
      <c r="B1317" s="2" t="str">
        <f>IFERROR(__xludf.DUMMYFUNCTION("""COMPUTED_VALUE"""),"COMPLETED")</f>
        <v>COMPLETED</v>
      </c>
      <c r="C1317" s="74">
        <f>IFERROR(__xludf.DUMMYFUNCTION("""COMPUTED_VALUE"""),46008.0)</f>
        <v>46008</v>
      </c>
      <c r="D1317" s="71" t="str">
        <f>IFERROR(__xludf.DUMMYFUNCTION("""COMPUTED_VALUE"""),"BARIT FARMERS IRRIGATORS ASSOCIATION OF CANDABA INC.")</f>
        <v>BARIT FARMERS IRRIGATORS ASSOCIATION OF CANDABA INC.</v>
      </c>
      <c r="E1317" s="71" t="str">
        <f>IFERROR(__xludf.DUMMYFUNCTION("""COMPUTED_VALUE"""),"Barit, Candaba, PAMPANGA")</f>
        <v>Barit, Candaba, PAMPANGA</v>
      </c>
      <c r="F1317" s="2" t="str">
        <f>IFERROR(__xludf.DUMMYFUNCTION("""COMPUTED_VALUE"""),"GILBERT MANGALOS")</f>
        <v>GILBERT MANGALOS</v>
      </c>
      <c r="G1317" s="2"/>
      <c r="H1317" s="2">
        <f>IFERROR(__xludf.DUMMYFUNCTION("""COMPUTED_VALUE"""),48.0)</f>
        <v>48</v>
      </c>
      <c r="I1317" s="72" t="str">
        <f>IFERROR(__xludf.DUMMYFUNCTION("""COMPUTED_VALUE"""),"PMS")</f>
        <v>PMS</v>
      </c>
      <c r="J1317" s="72"/>
      <c r="K1317" s="72" t="str">
        <f>IFERROR(__xludf.DUMMYFUNCTION("""COMPUTED_VALUE"""),"DELIVERED: NOVEMBER 21, 2025
MYK: 1ST PMS FREE")</f>
        <v>DELIVERED: NOVEMBER 21, 2025
MYK: 1ST PMS FREE</v>
      </c>
      <c r="L1317" s="72" t="str">
        <f>IFERROR(__xludf.DUMMYFUNCTION("""COMPUTED_VALUE"""),"RCG: 1ST PMS DONE")</f>
        <v>RCG: 1ST PMS DONE</v>
      </c>
      <c r="M1317" s="2"/>
      <c r="N1317" s="2"/>
      <c r="O1317" s="2">
        <f>IFERROR(__xludf.DUMMYFUNCTION("""COMPUTED_VALUE"""),702.0)</f>
        <v>702</v>
      </c>
      <c r="P1317" s="2"/>
      <c r="Q1317" s="2" t="str">
        <f>IFERROR(__xludf.DUMMYFUNCTION("""COMPUTED_VALUE"""),"FOR PRINT")</f>
        <v>FOR PRINT</v>
      </c>
      <c r="R1317" s="74">
        <f>IFERROR(__xludf.DUMMYFUNCTION("""COMPUTED_VALUE"""),46027.0)</f>
        <v>46027</v>
      </c>
      <c r="S1317" s="2" t="str">
        <f>IFERROR(__xludf.DUMMYFUNCTION("""COMPUTED_VALUE"""),"RCG/DRM")</f>
        <v>RCG/DRM</v>
      </c>
      <c r="T1317" s="73" t="str">
        <f>IFERROR(__xludf.DUMMYFUNCTION("""COMPUTED_VALUE""")," N/A ")</f>
        <v>N/A</v>
      </c>
      <c r="U1317" s="73" t="str">
        <f>IFERROR(__xludf.DUMMYFUNCTION("""COMPUTED_VALUE""")," NO CHARGE ")</f>
        <v>NO CHARGE</v>
      </c>
      <c r="V1317" s="2"/>
      <c r="W1317" s="2" t="str">
        <f>IFERROR(__xludf.DUMMYFUNCTION("""COMPUTED_VALUE"""),"N/A")</f>
        <v>N/A</v>
      </c>
      <c r="X1317" s="2" t="str">
        <f>IFERROR(__xludf.DUMMYFUNCTION("""COMPUTED_VALUE"""),"N/A")</f>
        <v>N/A</v>
      </c>
      <c r="Y1317" s="2"/>
      <c r="Z1317" s="2"/>
      <c r="AA1317" s="2"/>
      <c r="AB1317" s="2"/>
      <c r="AC1317" s="2"/>
      <c r="AD1317" s="2"/>
      <c r="AE1317" s="2"/>
      <c r="AF1317" s="2"/>
      <c r="AG1317" s="2"/>
      <c r="AH1317" s="2"/>
      <c r="AI1317" s="2"/>
      <c r="AJ1317" s="2" t="str">
        <f>IFERROR(__xludf.DUMMYFUNCTION("""COMPUTED_VALUE"""),"Barit")</f>
        <v>Barit</v>
      </c>
      <c r="AK1317" s="2" t="str">
        <f>IFERROR(__xludf.DUMMYFUNCTION("""COMPUTED_VALUE"""),"Candaba")</f>
        <v>Candaba</v>
      </c>
      <c r="AL1317" s="2" t="str">
        <f>IFERROR(__xludf.DUMMYFUNCTION("""COMPUTED_VALUE"""),"Pampanga")</f>
        <v>Pampanga</v>
      </c>
      <c r="AM1317" s="2">
        <f>IFERROR(__xludf.DUMMYFUNCTION("""COMPUTED_VALUE"""),3.0)</f>
        <v>3</v>
      </c>
      <c r="AN1317" s="2" t="str">
        <f>IFERROR(__xludf.DUMMYFUNCTION("""COMPUTED_VALUE"""),"RCEF 25-03-05")</f>
        <v>RCEF 25-03-05</v>
      </c>
      <c r="AO1317" s="2">
        <f>IFERROR(__xludf.DUMMYFUNCTION("""COMPUTED_VALUE"""),5.0)</f>
        <v>5</v>
      </c>
      <c r="AP1317" s="2" t="str">
        <f>IFERROR(__xludf.DUMMYFUNCTION("""COMPUTED_VALUE"""),"FREE PMS")</f>
        <v>FREE PMS</v>
      </c>
      <c r="AQ1317" s="2"/>
      <c r="AR1317" s="2"/>
      <c r="AS1317" s="2"/>
      <c r="AT1317" s="2"/>
      <c r="AU1317" s="2"/>
      <c r="AV1317" s="2"/>
      <c r="AW1317" s="2"/>
      <c r="AX1317" s="2"/>
      <c r="AY1317" s="2"/>
      <c r="AZ1317" s="2"/>
      <c r="BA1317" s="2"/>
      <c r="BB1317" s="2"/>
    </row>
    <row r="1318">
      <c r="A1318" s="2">
        <f>IFERROR(__xludf.DUMMYFUNCTION("""COMPUTED_VALUE"""),1314.0)</f>
        <v>1314</v>
      </c>
      <c r="B1318" s="2" t="str">
        <f>IFERROR(__xludf.DUMMYFUNCTION("""COMPUTED_VALUE"""),"COMPLETED")</f>
        <v>COMPLETED</v>
      </c>
      <c r="C1318" s="74">
        <f>IFERROR(__xludf.DUMMYFUNCTION("""COMPUTED_VALUE"""),46008.0)</f>
        <v>46008</v>
      </c>
      <c r="D1318" s="71" t="str">
        <f>IFERROR(__xludf.DUMMYFUNCTION("""COMPUTED_VALUE"""),"KALAUKAN IRRIGATORS ASSOCIATION, INC.")</f>
        <v>KALAUKAN IRRIGATORS ASSOCIATION, INC.</v>
      </c>
      <c r="E1318" s="71" t="str">
        <f>IFERROR(__xludf.DUMMYFUNCTION("""COMPUTED_VALUE"""),"Cullalabo San Antonio, Burgos, ISABELA")</f>
        <v>Cullalabo San Antonio, Burgos, ISABELA</v>
      </c>
      <c r="F1318" s="2" t="str">
        <f>IFERROR(__xludf.DUMMYFUNCTION("""COMPUTED_VALUE"""),"AMOR FORONDA")</f>
        <v>AMOR FORONDA</v>
      </c>
      <c r="G1318" s="2">
        <f>IFERROR(__xludf.DUMMYFUNCTION("""COMPUTED_VALUE"""),9.952941507E9)</f>
        <v>9952941507</v>
      </c>
      <c r="H1318" s="2"/>
      <c r="I1318" s="72" t="str">
        <f>IFERROR(__xludf.DUMMYFUNCTION("""COMPUTED_VALUE"""),"SPARE PARTS ACQUISITION")</f>
        <v>SPARE PARTS ACQUISITION</v>
      </c>
      <c r="J1318" s="72"/>
      <c r="K1318" s="72" t="str">
        <f>IFERROR(__xludf.DUMMYFUNCTION("""COMPUTED_VALUE"""),"PTO SWITCH")</f>
        <v>PTO SWITCH</v>
      </c>
      <c r="L1318" s="72" t="str">
        <f>IFERROR(__xludf.DUMMYFUNCTION("""COMPUTED_VALUE"""),"DELIVERED")</f>
        <v>DELIVERED</v>
      </c>
      <c r="M1318" s="2"/>
      <c r="N1318" s="2" t="str">
        <f>IFERROR(__xludf.DUMMYFUNCTION("""COMPUTED_VALUE"""),"PARTS:
PTO SWITCH")</f>
        <v>PARTS:
PTO SWITCH</v>
      </c>
      <c r="O1318" s="2" t="str">
        <f>IFERROR(__xludf.DUMMYFUNCTION("""COMPUTED_VALUE"""),"N/A")</f>
        <v>N/A</v>
      </c>
      <c r="P1318" s="2"/>
      <c r="Q1318" s="2"/>
      <c r="R1318" s="74">
        <f>IFERROR(__xludf.DUMMYFUNCTION("""COMPUTED_VALUE"""),45946.0)</f>
        <v>45946</v>
      </c>
      <c r="S1318" s="2" t="str">
        <f>IFERROR(__xludf.DUMMYFUNCTION("""COMPUTED_VALUE"""),"CFG")</f>
        <v>CFG</v>
      </c>
      <c r="T1318" s="73">
        <f>IFERROR(__xludf.DUMMYFUNCTION("""COMPUTED_VALUE"""),4250.0)</f>
        <v>4250</v>
      </c>
      <c r="U1318" s="73" t="str">
        <f>IFERROR(__xludf.DUMMYFUNCTION("""COMPUTED_VALUE""")," REMITTED ")</f>
        <v>REMITTED</v>
      </c>
      <c r="V1318" s="2"/>
      <c r="W1318" s="2">
        <f>IFERROR(__xludf.DUMMYFUNCTION("""COMPUTED_VALUE"""),1761.0)</f>
        <v>1761</v>
      </c>
      <c r="X1318" s="2">
        <f>IFERROR(__xludf.DUMMYFUNCTION("""COMPUTED_VALUE"""),1638.0)</f>
        <v>1638</v>
      </c>
      <c r="Y1318" s="2"/>
      <c r="Z1318" s="2"/>
      <c r="AA1318" s="2"/>
      <c r="AB1318" s="2"/>
      <c r="AC1318" s="2"/>
      <c r="AD1318" s="2"/>
      <c r="AE1318" s="2"/>
      <c r="AF1318" s="2"/>
      <c r="AG1318" s="2"/>
      <c r="AH1318" s="2"/>
      <c r="AI1318" s="2"/>
      <c r="AJ1318" s="2" t="str">
        <f>IFERROR(__xludf.DUMMYFUNCTION("""COMPUTED_VALUE"""),"Cullalabo San Antonio")</f>
        <v>Cullalabo San Antonio</v>
      </c>
      <c r="AK1318" s="2" t="str">
        <f>IFERROR(__xludf.DUMMYFUNCTION("""COMPUTED_VALUE"""),"Burgos")</f>
        <v>Burgos</v>
      </c>
      <c r="AL1318" s="2" t="str">
        <f>IFERROR(__xludf.DUMMYFUNCTION("""COMPUTED_VALUE"""),"Isabela")</f>
        <v>Isabela</v>
      </c>
      <c r="AM1318" s="2">
        <f>IFERROR(__xludf.DUMMYFUNCTION("""COMPUTED_VALUE"""),2.0)</f>
        <v>2</v>
      </c>
      <c r="AN1318" s="2" t="str">
        <f>IFERROR(__xludf.DUMMYFUNCTION("""COMPUTED_VALUE"""),"RCEF 23-09-21 Rebidding")</f>
        <v>RCEF 23-09-21 Rebidding</v>
      </c>
      <c r="AO1318" s="2">
        <f>IFERROR(__xludf.DUMMYFUNCTION("""COMPUTED_VALUE"""),9.0)</f>
        <v>9</v>
      </c>
      <c r="AP1318" s="2"/>
      <c r="AQ1318" s="2"/>
      <c r="AR1318" s="2"/>
      <c r="AS1318" s="2"/>
      <c r="AT1318" s="2"/>
      <c r="AU1318" s="2"/>
      <c r="AV1318" s="2"/>
      <c r="AW1318" s="2"/>
      <c r="AX1318" s="2"/>
      <c r="AY1318" s="2"/>
      <c r="AZ1318" s="2"/>
      <c r="BA1318" s="2"/>
      <c r="BB1318" s="2"/>
    </row>
    <row r="1319">
      <c r="A1319" s="2">
        <f>IFERROR(__xludf.DUMMYFUNCTION("""COMPUTED_VALUE"""),1315.0)</f>
        <v>1315</v>
      </c>
      <c r="B1319" s="2" t="str">
        <f>IFERROR(__xludf.DUMMYFUNCTION("""COMPUTED_VALUE"""),"COMPLETED")</f>
        <v>COMPLETED</v>
      </c>
      <c r="C1319" s="74">
        <f>IFERROR(__xludf.DUMMYFUNCTION("""COMPUTED_VALUE"""),46008.0)</f>
        <v>46008</v>
      </c>
      <c r="D1319" s="71" t="str">
        <f>IFERROR(__xludf.DUMMYFUNCTION("""COMPUTED_VALUE"""),"Sta. Maria Kapatanian Agriculture Cooperative")</f>
        <v>Sta. Maria Kapatanian Agriculture Cooperative</v>
      </c>
      <c r="E1319" s="71" t="str">
        <f>IFERROR(__xludf.DUMMYFUNCTION("""COMPUTED_VALUE"""),"Santa Maria, Camiling, TARLAC")</f>
        <v>Santa Maria, Camiling, TARLAC</v>
      </c>
      <c r="F1319" s="2" t="str">
        <f>IFERROR(__xludf.DUMMYFUNCTION("""COMPUTED_VALUE"""),"LOUIS AGUSTIN")</f>
        <v>LOUIS AGUSTIN</v>
      </c>
      <c r="G1319" s="2">
        <f>IFERROR(__xludf.DUMMYFUNCTION("""COMPUTED_VALUE"""),9.691064703E9)</f>
        <v>9691064703</v>
      </c>
      <c r="H1319" s="2">
        <f>IFERROR(__xludf.DUMMYFUNCTION("""COMPUTED_VALUE"""),23.2)</f>
        <v>23.2</v>
      </c>
      <c r="I1319" s="72" t="str">
        <f>IFERROR(__xludf.DUMMYFUNCTION("""COMPUTED_VALUE"""),"REPAIR - TRACTOR")</f>
        <v>REPAIR - TRACTOR</v>
      </c>
      <c r="J1319" s="72" t="str">
        <f>IFERROR(__xludf.DUMMYFUNCTION("""COMPUTED_VALUE"""),"Tire")</f>
        <v>Tire</v>
      </c>
      <c r="K1319" s="72" t="str">
        <f>IFERROR(__xludf.DUMMYFUNCTION("""COMPUTED_VALUE"""),"DELIVERED: NOVEMBER 20. 2025
MYK: NASIRA ANG GULONG , 2 BESES  NANG NAGPAPALIT NG GULONG, NAAKSIDENETE NUNG NAGHAHATAK NG HARVESTER NATAMAAN ANG GULONG, GUSTO NILANG MA ASSESS MUNA.")</f>
        <v>DELIVERED: NOVEMBER 20. 2025
MYK: NASIRA ANG GULONG , 2 BESES  NANG NAGPAPALIT NG GULONG, NAAKSIDENETE NUNG NAGHAHATAK NG HARVESTER NATAMAAN ANG GULONG, GUSTO NILANG MA ASSESS MUNA.</v>
      </c>
      <c r="L1319" s="72" t="str">
        <f>IFERROR(__xludf.DUMMYFUNCTION("""COMPUTED_VALUE"""),"JDP: VISUAL CHECK UP: NAPUNIT YUNG EXTERIOR NA GULONG  (REAR TIRE LEFT SIDE)")</f>
        <v>JDP: VISUAL CHECK UP: NAPUNIT YUNG EXTERIOR NA GULONG  (REAR TIRE LEFT SIDE)</v>
      </c>
      <c r="M1319" s="2"/>
      <c r="N1319" s="2"/>
      <c r="O1319" s="2">
        <f>IFERROR(__xludf.DUMMYFUNCTION("""COMPUTED_VALUE"""),476.0)</f>
        <v>476</v>
      </c>
      <c r="P1319" s="2"/>
      <c r="Q1319" s="2" t="str">
        <f>IFERROR(__xludf.DUMMYFUNCTION("""COMPUTED_VALUE"""),"FOR PRINT")</f>
        <v>FOR PRINT</v>
      </c>
      <c r="R1319" s="74">
        <f>IFERROR(__xludf.DUMMYFUNCTION("""COMPUTED_VALUE"""),46027.0)</f>
        <v>46027</v>
      </c>
      <c r="S1319" s="2" t="str">
        <f>IFERROR(__xludf.DUMMYFUNCTION("""COMPUTED_VALUE"""),"CFG/JDP")</f>
        <v>CFG/JDP</v>
      </c>
      <c r="T1319" s="73" t="str">
        <f>IFERROR(__xludf.DUMMYFUNCTION("""COMPUTED_VALUE""")," N/A ")</f>
        <v>N/A</v>
      </c>
      <c r="U1319" s="73" t="str">
        <f>IFERROR(__xludf.DUMMYFUNCTION("""COMPUTED_VALUE""")," NO CHARGE ")</f>
        <v>NO CHARGE</v>
      </c>
      <c r="V1319" s="2"/>
      <c r="W1319" s="2" t="str">
        <f>IFERROR(__xludf.DUMMYFUNCTION("""COMPUTED_VALUE"""),"N/A")</f>
        <v>N/A</v>
      </c>
      <c r="X1319" s="2" t="str">
        <f>IFERROR(__xludf.DUMMYFUNCTION("""COMPUTED_VALUE"""),"N/A")</f>
        <v>N/A</v>
      </c>
      <c r="Y1319" s="2"/>
      <c r="Z1319" s="2"/>
      <c r="AA1319" s="2"/>
      <c r="AB1319" s="2"/>
      <c r="AC1319" s="2"/>
      <c r="AD1319" s="2"/>
      <c r="AE1319" s="2"/>
      <c r="AF1319" s="2"/>
      <c r="AG1319" s="2"/>
      <c r="AH1319" s="2"/>
      <c r="AI1319" s="2"/>
      <c r="AJ1319" s="2" t="str">
        <f>IFERROR(__xludf.DUMMYFUNCTION("""COMPUTED_VALUE"""),"Santa Maria")</f>
        <v>Santa Maria</v>
      </c>
      <c r="AK1319" s="2" t="str">
        <f>IFERROR(__xludf.DUMMYFUNCTION("""COMPUTED_VALUE"""),"Camiling")</f>
        <v>Camiling</v>
      </c>
      <c r="AL1319" s="2" t="str">
        <f>IFERROR(__xludf.DUMMYFUNCTION("""COMPUTED_VALUE"""),"Tarlac")</f>
        <v>Tarlac</v>
      </c>
      <c r="AM1319" s="2">
        <f>IFERROR(__xludf.DUMMYFUNCTION("""COMPUTED_VALUE"""),3.0)</f>
        <v>3</v>
      </c>
      <c r="AN1319" s="2" t="str">
        <f>IFERROR(__xludf.DUMMYFUNCTION("""COMPUTED_VALUE"""),"RCEF 25-03-05")</f>
        <v>RCEF 25-03-05</v>
      </c>
      <c r="AO1319" s="2">
        <f>IFERROR(__xludf.DUMMYFUNCTION("""COMPUTED_VALUE"""),5.0)</f>
        <v>5</v>
      </c>
      <c r="AP1319" s="2" t="str">
        <f>IFERROR(__xludf.DUMMYFUNCTION("""COMPUTED_VALUE"""),"FREE PMS")</f>
        <v>FREE PMS</v>
      </c>
      <c r="AQ1319" s="2"/>
      <c r="AR1319" s="2"/>
      <c r="AS1319" s="2"/>
      <c r="AT1319" s="2"/>
      <c r="AU1319" s="2"/>
      <c r="AV1319" s="2"/>
      <c r="AW1319" s="2"/>
      <c r="AX1319" s="2"/>
      <c r="AY1319" s="2"/>
      <c r="AZ1319" s="2"/>
      <c r="BA1319" s="2"/>
      <c r="BB1319" s="2"/>
    </row>
    <row r="1320">
      <c r="A1320" s="2">
        <f>IFERROR(__xludf.DUMMYFUNCTION("""COMPUTED_VALUE"""),1316.0)</f>
        <v>1316</v>
      </c>
      <c r="B1320" s="2" t="str">
        <f>IFERROR(__xludf.DUMMYFUNCTION("""COMPUTED_VALUE"""),"COMPLETED")</f>
        <v>COMPLETED</v>
      </c>
      <c r="C1320" s="74">
        <f>IFERROR(__xludf.DUMMYFUNCTION("""COMPUTED_VALUE"""),46008.0)</f>
        <v>46008</v>
      </c>
      <c r="D1320" s="71" t="str">
        <f>IFERROR(__xludf.DUMMYFUNCTION("""COMPUTED_VALUE"""),"Manggawa farmers Environmental Development Association")</f>
        <v>Manggawa farmers Environmental Development Association</v>
      </c>
      <c r="E1320" s="71" t="str">
        <f>IFERROR(__xludf.DUMMYFUNCTION("""COMPUTED_VALUE"""),"New Tanglag, Tabuk City, KALINGA")</f>
        <v>New Tanglag, Tabuk City, KALINGA</v>
      </c>
      <c r="F1320" s="2" t="str">
        <f>IFERROR(__xludf.DUMMYFUNCTION("""COMPUTED_VALUE"""),"WILMA ALVESTER")</f>
        <v>WILMA ALVESTER</v>
      </c>
      <c r="G1320" s="2">
        <f>IFERROR(__xludf.DUMMYFUNCTION("""COMPUTED_VALUE"""),9.557995356E9)</f>
        <v>9557995356</v>
      </c>
      <c r="H1320" s="2"/>
      <c r="I1320" s="72" t="str">
        <f>IFERROR(__xludf.DUMMYFUNCTION("""COMPUTED_VALUE"""),"SPARE PARTS ACQUISITION")</f>
        <v>SPARE PARTS ACQUISITION</v>
      </c>
      <c r="J1320" s="72"/>
      <c r="K1320" s="72" t="str">
        <f>IFERROR(__xludf.DUMMYFUNCTION("""COMPUTED_VALUE"""),"OIL SEAL FRONT AXLE")</f>
        <v>OIL SEAL FRONT AXLE</v>
      </c>
      <c r="L1320" s="72"/>
      <c r="M1320" s="2"/>
      <c r="N1320" s="2" t="str">
        <f>IFERROR(__xludf.DUMMYFUNCTION("""COMPUTED_VALUE"""),"PARTS:
OIL SEAL TC60110000A3
OIL SEAL FE78010000B
")</f>
        <v>PARTS:
OIL SEAL TC60110000A3
OIL SEAL FE78010000B
</v>
      </c>
      <c r="O1320" s="2" t="str">
        <f>IFERROR(__xludf.DUMMYFUNCTION("""COMPUTED_VALUE"""),"N/A")</f>
        <v>N/A</v>
      </c>
      <c r="P1320" s="2"/>
      <c r="Q1320" s="2"/>
      <c r="R1320" s="74">
        <f>IFERROR(__xludf.DUMMYFUNCTION("""COMPUTED_VALUE"""),46078.0)</f>
        <v>46078</v>
      </c>
      <c r="S1320" s="2" t="str">
        <f>IFERROR(__xludf.DUMMYFUNCTION("""COMPUTED_VALUE"""),"CFG")</f>
        <v>CFG</v>
      </c>
      <c r="T1320" s="73">
        <f>IFERROR(__xludf.DUMMYFUNCTION("""COMPUTED_VALUE"""),8200.0)</f>
        <v>8200</v>
      </c>
      <c r="U1320" s="73" t="str">
        <f>IFERROR(__xludf.DUMMYFUNCTION("""COMPUTED_VALUE""")," RECORDED ")</f>
        <v>RECORDED</v>
      </c>
      <c r="V1320" s="2">
        <f>IFERROR(__xludf.DUMMYFUNCTION("""COMPUTED_VALUE"""),1654.0)</f>
        <v>1654</v>
      </c>
      <c r="W1320" s="2">
        <f>IFERROR(__xludf.DUMMYFUNCTION("""COMPUTED_VALUE"""),1771.0)</f>
        <v>1771</v>
      </c>
      <c r="X1320" s="2">
        <f>IFERROR(__xludf.DUMMYFUNCTION("""COMPUTED_VALUE"""),1712.0)</f>
        <v>1712</v>
      </c>
      <c r="Y1320" s="2"/>
      <c r="Z1320" s="2"/>
      <c r="AA1320" s="2"/>
      <c r="AB1320" s="2"/>
      <c r="AC1320" s="2"/>
      <c r="AD1320" s="2"/>
      <c r="AE1320" s="2"/>
      <c r="AF1320" s="2"/>
      <c r="AG1320" s="2"/>
      <c r="AH1320" s="2"/>
      <c r="AI1320" s="2"/>
      <c r="AJ1320" s="2" t="str">
        <f>IFERROR(__xludf.DUMMYFUNCTION("""COMPUTED_VALUE"""),"New Tanglag")</f>
        <v>New Tanglag</v>
      </c>
      <c r="AK1320" s="2" t="str">
        <f>IFERROR(__xludf.DUMMYFUNCTION("""COMPUTED_VALUE"""),"Tabuk City")</f>
        <v>Tabuk City</v>
      </c>
      <c r="AL1320" s="2" t="str">
        <f>IFERROR(__xludf.DUMMYFUNCTION("""COMPUTED_VALUE"""),"Kalinga")</f>
        <v>Kalinga</v>
      </c>
      <c r="AM1320" s="2" t="str">
        <f>IFERROR(__xludf.DUMMYFUNCTION("""COMPUTED_VALUE"""),"CAR")</f>
        <v>CAR</v>
      </c>
      <c r="AN1320" s="2" t="str">
        <f>IFERROR(__xludf.DUMMYFUNCTION("""COMPUTED_VALUE"""),"RCEF 23-09-21 Rebidding")</f>
        <v>RCEF 23-09-21 Rebidding</v>
      </c>
      <c r="AO1320" s="2">
        <f>IFERROR(__xludf.DUMMYFUNCTION("""COMPUTED_VALUE"""),1.0)</f>
        <v>1</v>
      </c>
      <c r="AP1320" s="2"/>
      <c r="AQ1320" s="2"/>
      <c r="AR1320" s="2"/>
      <c r="AS1320" s="2"/>
      <c r="AT1320" s="2"/>
      <c r="AU1320" s="2"/>
      <c r="AV1320" s="2"/>
      <c r="AW1320" s="2"/>
      <c r="AX1320" s="2"/>
      <c r="AY1320" s="2"/>
      <c r="AZ1320" s="2"/>
      <c r="BA1320" s="2"/>
      <c r="BB1320" s="2"/>
    </row>
    <row r="1321">
      <c r="A1321" s="2">
        <f>IFERROR(__xludf.DUMMYFUNCTION("""COMPUTED_VALUE"""),1317.0)</f>
        <v>1317</v>
      </c>
      <c r="B1321" s="2" t="str">
        <f>IFERROR(__xludf.DUMMYFUNCTION("""COMPUTED_VALUE"""),"COMPLETED")</f>
        <v>COMPLETED</v>
      </c>
      <c r="C1321" s="74">
        <f>IFERROR(__xludf.DUMMYFUNCTION("""COMPUTED_VALUE"""),46009.0)</f>
        <v>46009</v>
      </c>
      <c r="D1321" s="71" t="str">
        <f>IFERROR(__xludf.DUMMYFUNCTION("""COMPUTED_VALUE"""),"Samahan ng mga Magbibinhi ng Sablayan Agriculture Cooperative (SAMASACO)")</f>
        <v>Samahan ng mga Magbibinhi ng Sablayan Agriculture Cooperative (SAMASACO)</v>
      </c>
      <c r="E1321" s="71" t="str">
        <f>IFERROR(__xludf.DUMMYFUNCTION("""COMPUTED_VALUE"""),"San Francisco, Sablayan, OCCIDENTAL MINDORO")</f>
        <v>San Francisco, Sablayan, OCCIDENTAL MINDORO</v>
      </c>
      <c r="F1321" s="2" t="str">
        <f>IFERROR(__xludf.DUMMYFUNCTION("""COMPUTED_VALUE"""),"Cesar bicera or Celso Salgado")</f>
        <v>Cesar bicera or Celso Salgado</v>
      </c>
      <c r="G1321" s="2" t="str">
        <f>IFERROR(__xludf.DUMMYFUNCTION("""COMPUTED_VALUE"""),"0921 869 3302/ 0917 853 2047")</f>
        <v>0921 869 3302/ 0917 853 2047</v>
      </c>
      <c r="H1321" s="2">
        <f>IFERROR(__xludf.DUMMYFUNCTION("""COMPUTED_VALUE"""),67.0)</f>
        <v>67</v>
      </c>
      <c r="I1321" s="72" t="str">
        <f>IFERROR(__xludf.DUMMYFUNCTION("""COMPUTED_VALUE"""),"PMS")</f>
        <v>PMS</v>
      </c>
      <c r="J1321" s="72"/>
      <c r="K1321" s="72" t="str">
        <f>IFERROR(__xludf.DUMMYFUNCTION("""COMPUTED_VALUE"""),"KFS: 1ST PMS FREE")</f>
        <v>KFS: 1ST PMS FREE</v>
      </c>
      <c r="L1321" s="72" t="str">
        <f>IFERROR(__xludf.DUMMYFUNCTION("""COMPUTED_VALUE"""),"RBS: 1ST PMS DONE")</f>
        <v>RBS: 1ST PMS DONE</v>
      </c>
      <c r="M1321" s="2"/>
      <c r="N1321" s="2" t="str">
        <f>IFERROR(__xludf.DUMMYFUNCTION("""COMPUTED_VALUE"""),"PARTS
OIL FILTER
ENGINE OIL")</f>
        <v>PARTS
OIL FILTER
ENGINE OIL</v>
      </c>
      <c r="O1321" s="2">
        <f>IFERROR(__xludf.DUMMYFUNCTION("""COMPUTED_VALUE"""),602.0)</f>
        <v>602</v>
      </c>
      <c r="P1321" s="2"/>
      <c r="Q1321" s="2" t="str">
        <f>IFERROR(__xludf.DUMMYFUNCTION("""COMPUTED_VALUE"""),"FOR PRINT")</f>
        <v>FOR PRINT</v>
      </c>
      <c r="R1321" s="74">
        <f>IFERROR(__xludf.DUMMYFUNCTION("""COMPUTED_VALUE"""),46012.0)</f>
        <v>46012</v>
      </c>
      <c r="S1321" s="2" t="str">
        <f>IFERROR(__xludf.DUMMYFUNCTION("""COMPUTED_VALUE"""),"RBS")</f>
        <v>RBS</v>
      </c>
      <c r="T1321" s="73" t="str">
        <f>IFERROR(__xludf.DUMMYFUNCTION("""COMPUTED_VALUE""")," N/A ")</f>
        <v>N/A</v>
      </c>
      <c r="U1321" s="73" t="str">
        <f>IFERROR(__xludf.DUMMYFUNCTION("""COMPUTED_VALUE""")," NO CHARGE ")</f>
        <v>NO CHARGE</v>
      </c>
      <c r="V1321" s="2"/>
      <c r="W1321" s="2" t="str">
        <f>IFERROR(__xludf.DUMMYFUNCTION("""COMPUTED_VALUE"""),"N/A")</f>
        <v>N/A</v>
      </c>
      <c r="X1321" s="2" t="str">
        <f>IFERROR(__xludf.DUMMYFUNCTION("""COMPUTED_VALUE"""),"N/A")</f>
        <v>N/A</v>
      </c>
      <c r="Y1321" s="2"/>
      <c r="Z1321" s="2"/>
      <c r="AA1321" s="2"/>
      <c r="AB1321" s="2"/>
      <c r="AC1321" s="2"/>
      <c r="AD1321" s="2"/>
      <c r="AE1321" s="2"/>
      <c r="AF1321" s="2"/>
      <c r="AG1321" s="2"/>
      <c r="AH1321" s="2"/>
      <c r="AI1321" s="2"/>
      <c r="AJ1321" s="2" t="str">
        <f>IFERROR(__xludf.DUMMYFUNCTION("""COMPUTED_VALUE"""),"San Francisco")</f>
        <v>San Francisco</v>
      </c>
      <c r="AK1321" s="2" t="str">
        <f>IFERROR(__xludf.DUMMYFUNCTION("""COMPUTED_VALUE"""),"Sablayan")</f>
        <v>Sablayan</v>
      </c>
      <c r="AL1321" s="2" t="str">
        <f>IFERROR(__xludf.DUMMYFUNCTION("""COMPUTED_VALUE"""),"Occidental Mindoro")</f>
        <v>Occidental Mindoro</v>
      </c>
      <c r="AM1321" s="2" t="str">
        <f>IFERROR(__xludf.DUMMYFUNCTION("""COMPUTED_VALUE"""),"4B")</f>
        <v>4B</v>
      </c>
      <c r="AN1321" s="2" t="str">
        <f>IFERROR(__xludf.DUMMYFUNCTION("""COMPUTED_VALUE"""),"RCEF 25-03-05")</f>
        <v>RCEF 25-03-05</v>
      </c>
      <c r="AO1321" s="2">
        <f>IFERROR(__xludf.DUMMYFUNCTION("""COMPUTED_VALUE"""),6.0)</f>
        <v>6</v>
      </c>
      <c r="AP1321" s="2" t="str">
        <f>IFERROR(__xludf.DUMMYFUNCTION("""COMPUTED_VALUE"""),"FREE PMS")</f>
        <v>FREE PMS</v>
      </c>
      <c r="AQ1321" s="2"/>
      <c r="AR1321" s="2"/>
      <c r="AS1321" s="2"/>
      <c r="AT1321" s="2"/>
      <c r="AU1321" s="2"/>
      <c r="AV1321" s="2"/>
      <c r="AW1321" s="2"/>
      <c r="AX1321" s="2"/>
      <c r="AY1321" s="2"/>
      <c r="AZ1321" s="2"/>
      <c r="BA1321" s="2"/>
      <c r="BB1321" s="2"/>
    </row>
    <row r="1322">
      <c r="A1322" s="2">
        <f>IFERROR(__xludf.DUMMYFUNCTION("""COMPUTED_VALUE"""),1318.0)</f>
        <v>1318</v>
      </c>
      <c r="B1322" s="2" t="str">
        <f>IFERROR(__xludf.DUMMYFUNCTION("""COMPUTED_VALUE"""),"COMPLETED")</f>
        <v>COMPLETED</v>
      </c>
      <c r="C1322" s="74">
        <f>IFERROR(__xludf.DUMMYFUNCTION("""COMPUTED_VALUE"""),46009.0)</f>
        <v>46009</v>
      </c>
      <c r="D1322" s="71" t="str">
        <f>IFERROR(__xludf.DUMMYFUNCTION("""COMPUTED_VALUE"""),"Watchers Multi-Purpose Cooperative")</f>
        <v>Watchers Multi-Purpose Cooperative</v>
      </c>
      <c r="E1322" s="71" t="str">
        <f>IFERROR(__xludf.DUMMYFUNCTION("""COMPUTED_VALUE"""),"Labangan Poblacion, San Jose, OCCIDENTAL MINDORO")</f>
        <v>Labangan Poblacion, San Jose, OCCIDENTAL MINDORO</v>
      </c>
      <c r="F1322" s="2" t="str">
        <f>IFERROR(__xludf.DUMMYFUNCTION("""COMPUTED_VALUE"""),"Ptr. Chris")</f>
        <v>Ptr. Chris</v>
      </c>
      <c r="G1322" s="2" t="str">
        <f>IFERROR(__xludf.DUMMYFUNCTION("""COMPUTED_VALUE"""),"(0935) 487 8552")</f>
        <v>(0935) 487 8552</v>
      </c>
      <c r="H1322" s="2">
        <f>IFERROR(__xludf.DUMMYFUNCTION("""COMPUTED_VALUE"""),44.0)</f>
        <v>44</v>
      </c>
      <c r="I1322" s="72" t="str">
        <f>IFERROR(__xludf.DUMMYFUNCTION("""COMPUTED_VALUE"""),"PMS")</f>
        <v>PMS</v>
      </c>
      <c r="J1322" s="72"/>
      <c r="K1322" s="72" t="str">
        <f>IFERROR(__xludf.DUMMYFUNCTION("""COMPUTED_VALUE"""),"KFS: 1ST PMS FREE")</f>
        <v>KFS: 1ST PMS FREE</v>
      </c>
      <c r="L1322" s="72" t="str">
        <f>IFERROR(__xludf.DUMMYFUNCTION("""COMPUTED_VALUE"""),"RBS: 1ST PMS DONE")</f>
        <v>RBS: 1ST PMS DONE</v>
      </c>
      <c r="M1322" s="2"/>
      <c r="N1322" s="2" t="str">
        <f>IFERROR(__xludf.DUMMYFUNCTION("""COMPUTED_VALUE"""),"PARTS:
OIL FILTER
ENGINE OIL")</f>
        <v>PARTS:
OIL FILTER
ENGINE OIL</v>
      </c>
      <c r="O1322" s="2">
        <f>IFERROR(__xludf.DUMMYFUNCTION("""COMPUTED_VALUE"""),607.0)</f>
        <v>607</v>
      </c>
      <c r="P1322" s="2"/>
      <c r="Q1322" s="2" t="str">
        <f>IFERROR(__xludf.DUMMYFUNCTION("""COMPUTED_VALUE"""),"FOR PRINT")</f>
        <v>FOR PRINT</v>
      </c>
      <c r="R1322" s="74">
        <f>IFERROR(__xludf.DUMMYFUNCTION("""COMPUTED_VALUE"""),46014.0)</f>
        <v>46014</v>
      </c>
      <c r="S1322" s="2" t="str">
        <f>IFERROR(__xludf.DUMMYFUNCTION("""COMPUTED_VALUE"""),"RBS")</f>
        <v>RBS</v>
      </c>
      <c r="T1322" s="73" t="str">
        <f>IFERROR(__xludf.DUMMYFUNCTION("""COMPUTED_VALUE""")," N/A ")</f>
        <v>N/A</v>
      </c>
      <c r="U1322" s="73" t="str">
        <f>IFERROR(__xludf.DUMMYFUNCTION("""COMPUTED_VALUE""")," NO CHARGE ")</f>
        <v>NO CHARGE</v>
      </c>
      <c r="V1322" s="2"/>
      <c r="W1322" s="2" t="str">
        <f>IFERROR(__xludf.DUMMYFUNCTION("""COMPUTED_VALUE"""),"N/A")</f>
        <v>N/A</v>
      </c>
      <c r="X1322" s="2" t="str">
        <f>IFERROR(__xludf.DUMMYFUNCTION("""COMPUTED_VALUE"""),"N/A")</f>
        <v>N/A</v>
      </c>
      <c r="Y1322" s="2"/>
      <c r="Z1322" s="2"/>
      <c r="AA1322" s="2"/>
      <c r="AB1322" s="2"/>
      <c r="AC1322" s="2"/>
      <c r="AD1322" s="2"/>
      <c r="AE1322" s="2"/>
      <c r="AF1322" s="2"/>
      <c r="AG1322" s="2"/>
      <c r="AH1322" s="2"/>
      <c r="AI1322" s="2"/>
      <c r="AJ1322" s="2" t="str">
        <f>IFERROR(__xludf.DUMMYFUNCTION("""COMPUTED_VALUE"""),"Labangan Poblacion")</f>
        <v>Labangan Poblacion</v>
      </c>
      <c r="AK1322" s="2" t="str">
        <f>IFERROR(__xludf.DUMMYFUNCTION("""COMPUTED_VALUE"""),"San Jose")</f>
        <v>San Jose</v>
      </c>
      <c r="AL1322" s="2" t="str">
        <f>IFERROR(__xludf.DUMMYFUNCTION("""COMPUTED_VALUE"""),"Occidental Mindoro")</f>
        <v>Occidental Mindoro</v>
      </c>
      <c r="AM1322" s="2" t="str">
        <f>IFERROR(__xludf.DUMMYFUNCTION("""COMPUTED_VALUE"""),"4B")</f>
        <v>4B</v>
      </c>
      <c r="AN1322" s="2" t="str">
        <f>IFERROR(__xludf.DUMMYFUNCTION("""COMPUTED_VALUE"""),"RCEF 25-03-05")</f>
        <v>RCEF 25-03-05</v>
      </c>
      <c r="AO1322" s="2">
        <f>IFERROR(__xludf.DUMMYFUNCTION("""COMPUTED_VALUE"""),6.0)</f>
        <v>6</v>
      </c>
      <c r="AP1322" s="2" t="str">
        <f>IFERROR(__xludf.DUMMYFUNCTION("""COMPUTED_VALUE"""),"FREE PMS")</f>
        <v>FREE PMS</v>
      </c>
      <c r="AQ1322" s="2"/>
      <c r="AR1322" s="2"/>
      <c r="AS1322" s="2"/>
      <c r="AT1322" s="2"/>
      <c r="AU1322" s="2"/>
      <c r="AV1322" s="2"/>
      <c r="AW1322" s="2"/>
      <c r="AX1322" s="2"/>
      <c r="AY1322" s="2"/>
      <c r="AZ1322" s="2"/>
      <c r="BA1322" s="2"/>
      <c r="BB1322" s="2"/>
    </row>
    <row r="1323">
      <c r="A1323" s="2">
        <f>IFERROR(__xludf.DUMMYFUNCTION("""COMPUTED_VALUE"""),1319.0)</f>
        <v>1319</v>
      </c>
      <c r="B1323" s="2" t="str">
        <f>IFERROR(__xludf.DUMMYFUNCTION("""COMPUTED_VALUE"""),"PENDING")</f>
        <v>PENDING</v>
      </c>
      <c r="C1323" s="74">
        <f>IFERROR(__xludf.DUMMYFUNCTION("""COMPUTED_VALUE"""),46009.0)</f>
        <v>46009</v>
      </c>
      <c r="D1323" s="71" t="str">
        <f>IFERROR(__xludf.DUMMYFUNCTION("""COMPUTED_VALUE"""),"NINNEWC IRRIGATORS' ASSOCIATION, INC.")</f>
        <v>NINNEWC IRRIGATORS' ASSOCIATION, INC.</v>
      </c>
      <c r="E1323" s="71" t="str">
        <f>IFERROR(__xludf.DUMMYFUNCTION("""COMPUTED_VALUE"""),"Bayongan, San Miguel, BOHOL")</f>
        <v>Bayongan, San Miguel, BOHOL</v>
      </c>
      <c r="F1323" s="2" t="str">
        <f>IFERROR(__xludf.DUMMYFUNCTION("""COMPUTED_VALUE"""),"Ismael T. Jumamoy")</f>
        <v>Ismael T. Jumamoy</v>
      </c>
      <c r="G1323" s="2">
        <f>IFERROR(__xludf.DUMMYFUNCTION("""COMPUTED_VALUE"""),9.31784767E9)</f>
        <v>9317847670</v>
      </c>
      <c r="H1323" s="2"/>
      <c r="I1323" s="72" t="str">
        <f>IFERROR(__xludf.DUMMYFUNCTION("""COMPUTED_VALUE"""),"PMS")</f>
        <v>PMS</v>
      </c>
      <c r="J1323" s="72"/>
      <c r="K1323" s="72" t="str">
        <f>IFERROR(__xludf.DUMMYFUNCTION("""COMPUTED_VALUE"""),"KFS: 1ST PMS FREE")</f>
        <v>KFS: 1ST PMS FREE</v>
      </c>
      <c r="L1323" s="7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t="str">
        <f>IFERROR(__xludf.DUMMYFUNCTION("""COMPUTED_VALUE"""),"Bayongan")</f>
        <v>Bayongan</v>
      </c>
      <c r="AK1323" s="2" t="str">
        <f>IFERROR(__xludf.DUMMYFUNCTION("""COMPUTED_VALUE"""),"San Miguel")</f>
        <v>San Miguel</v>
      </c>
      <c r="AL1323" s="2" t="str">
        <f>IFERROR(__xludf.DUMMYFUNCTION("""COMPUTED_VALUE"""),"Bohol")</f>
        <v>Bohol</v>
      </c>
      <c r="AM1323" s="2">
        <f>IFERROR(__xludf.DUMMYFUNCTION("""COMPUTED_VALUE"""),7.0)</f>
        <v>7</v>
      </c>
      <c r="AN1323" s="2" t="str">
        <f>IFERROR(__xludf.DUMMYFUNCTION("""COMPUTED_VALUE"""),"RCEF 25-03-05")</f>
        <v>RCEF 25-03-05</v>
      </c>
      <c r="AO1323" s="2">
        <f>IFERROR(__xludf.DUMMYFUNCTION("""COMPUTED_VALUE"""),7.0)</f>
        <v>7</v>
      </c>
      <c r="AP1323" s="2" t="str">
        <f>IFERROR(__xludf.DUMMYFUNCTION("""COMPUTED_VALUE"""),"FREE PMS")</f>
        <v>FREE PMS</v>
      </c>
      <c r="AQ1323" s="2"/>
      <c r="AR1323" s="2"/>
      <c r="AS1323" s="2"/>
      <c r="AT1323" s="2"/>
      <c r="AU1323" s="2"/>
      <c r="AV1323" s="2"/>
      <c r="AW1323" s="2"/>
      <c r="AX1323" s="2"/>
      <c r="AY1323" s="2"/>
      <c r="AZ1323" s="2"/>
      <c r="BA1323" s="2"/>
      <c r="BB1323" s="2"/>
    </row>
    <row r="1324">
      <c r="A1324" s="2">
        <f>IFERROR(__xludf.DUMMYFUNCTION("""COMPUTED_VALUE"""),1320.0)</f>
        <v>1320</v>
      </c>
      <c r="B1324" s="2" t="str">
        <f>IFERROR(__xludf.DUMMYFUNCTION("""COMPUTED_VALUE"""),"COMPLETED")</f>
        <v>COMPLETED</v>
      </c>
      <c r="C1324" s="74">
        <f>IFERROR(__xludf.DUMMYFUNCTION("""COMPUTED_VALUE"""),46010.0)</f>
        <v>46010</v>
      </c>
      <c r="D1324" s="71" t="str">
        <f>IFERROR(__xludf.DUMMYFUNCTION("""COMPUTED_VALUE"""),"GOLDEN HARVEST FARMERS ASSOCIATION")</f>
        <v>GOLDEN HARVEST FARMERS ASSOCIATION</v>
      </c>
      <c r="E1324" s="71" t="str">
        <f>IFERROR(__xludf.DUMMYFUNCTION("""COMPUTED_VALUE"""),"San Jose, San Luis, PAMPANGA")</f>
        <v>San Jose, San Luis, PAMPANGA</v>
      </c>
      <c r="F1324" s="2" t="str">
        <f>IFERROR(__xludf.DUMMYFUNCTION("""COMPUTED_VALUE"""),"Diosdado Cruz")</f>
        <v>Diosdado Cruz</v>
      </c>
      <c r="G1324" s="2">
        <f>IFERROR(__xludf.DUMMYFUNCTION("""COMPUTED_VALUE"""),9.179247663E9)</f>
        <v>9179247663</v>
      </c>
      <c r="H1324" s="2"/>
      <c r="I1324" s="72" t="str">
        <f>IFERROR(__xludf.DUMMYFUNCTION("""COMPUTED_VALUE"""),"REPAIR - ROTAVATOR")</f>
        <v>REPAIR - ROTAVATOR</v>
      </c>
      <c r="J1324" s="72" t="str">
        <f>IFERROR(__xludf.DUMMYFUNCTION("""COMPUTED_VALUE"""),"Gearbox")</f>
        <v>Gearbox</v>
      </c>
      <c r="K1324" s="72" t="str">
        <f>IFERROR(__xludf.DUMMYFUNCTION("""COMPUTED_VALUE"""),"JHP: Rotavator problem umiinit ang gear box. Sana mapuntahan asap 
")</f>
        <v>JHP: Rotavator problem umiinit ang gear box. Sana mapuntahan asap 
</v>
      </c>
      <c r="L1324" s="72" t="str">
        <f>IFERROR(__xludf.DUMMYFUNCTION("""COMPUTED_VALUE"""),"RCG-MYK: nung pumunta daw sila nakapag fabricate na yung farmer nung kinakabitan ng gear, wala din daw propeller dahil sira ang cross joint kaya di din nila napaandar, wala din daw nung oras na yung hydraulic oil yung unit, tumawag daw sa kanilang umaga y"&amp;"ung farmer ok nadaw napapaikot na nila, tapos maya maya tumawag daw ulit at hindi nadaw ulit umiikot yung rota.
EGT: PINALIWANAG NALAMANG NAMIN NA NATURAL LANG UMIINIT ANG GEARBOX NG ROTAVATOR, WAG LAMANG MAINGAY, ")</f>
        <v>RCG-MYK: nung pumunta daw sila nakapag fabricate na yung farmer nung kinakabitan ng gear, wala din daw propeller dahil sira ang cross joint kaya di din nila napaandar, wala din daw nung oras na yung hydraulic oil yung unit, tumawag daw sa kanilang umaga yung farmer ok nadaw napapaikot na nila, tapos maya maya tumawag daw ulit at hindi nadaw ulit umiikot yung rota.
EGT: PINALIWANAG NALAMANG NAMIN NA NATURAL LANG UMIINIT ANG GEARBOX NG ROTAVATOR, WAG LAMANG MAINGAY, </v>
      </c>
      <c r="M1324" s="2"/>
      <c r="N1324" s="2"/>
      <c r="O1324" s="2" t="str">
        <f>IFERROR(__xludf.DUMMYFUNCTION("""COMPUTED_VALUE"""),"N/A")</f>
        <v>N/A</v>
      </c>
      <c r="P1324" s="2"/>
      <c r="Q1324" s="2"/>
      <c r="R1324" s="74">
        <f>IFERROR(__xludf.DUMMYFUNCTION("""COMPUTED_VALUE"""),46093.0)</f>
        <v>46093</v>
      </c>
      <c r="S1324" s="2" t="str">
        <f>IFERROR(__xludf.DUMMYFUNCTION("""COMPUTED_VALUE"""),"EGT/DRM")</f>
        <v>EGT/DRM</v>
      </c>
      <c r="T1324" s="73" t="str">
        <f>IFERROR(__xludf.DUMMYFUNCTION("""COMPUTED_VALUE""")," N/A ")</f>
        <v>N/A</v>
      </c>
      <c r="U1324" s="73" t="str">
        <f>IFERROR(__xludf.DUMMYFUNCTION("""COMPUTED_VALUE""")," NO CHARGE ")</f>
        <v>NO CHARGE</v>
      </c>
      <c r="V1324" s="2" t="str">
        <f>IFERROR(__xludf.DUMMYFUNCTION("""COMPUTED_VALUE"""),"N/A")</f>
        <v>N/A</v>
      </c>
      <c r="W1324" s="2" t="str">
        <f>IFERROR(__xludf.DUMMYFUNCTION("""COMPUTED_VALUE"""),"N/A")</f>
        <v>N/A</v>
      </c>
      <c r="X1324" s="2" t="str">
        <f>IFERROR(__xludf.DUMMYFUNCTION("""COMPUTED_VALUE"""),"N/A")</f>
        <v>N/A</v>
      </c>
      <c r="Y1324" s="2"/>
      <c r="Z1324" s="2"/>
      <c r="AA1324" s="2"/>
      <c r="AB1324" s="2"/>
      <c r="AC1324" s="2"/>
      <c r="AD1324" s="2"/>
      <c r="AE1324" s="2"/>
      <c r="AF1324" s="2"/>
      <c r="AG1324" s="2"/>
      <c r="AH1324" s="2"/>
      <c r="AI1324" s="2"/>
      <c r="AJ1324" s="2" t="str">
        <f>IFERROR(__xludf.DUMMYFUNCTION("""COMPUTED_VALUE"""),"San Jose")</f>
        <v>San Jose</v>
      </c>
      <c r="AK1324" s="2" t="str">
        <f>IFERROR(__xludf.DUMMYFUNCTION("""COMPUTED_VALUE"""),"San Luis")</f>
        <v>San Luis</v>
      </c>
      <c r="AL1324" s="2" t="str">
        <f>IFERROR(__xludf.DUMMYFUNCTION("""COMPUTED_VALUE"""),"Pampanga")</f>
        <v>Pampanga</v>
      </c>
      <c r="AM1324" s="2">
        <f>IFERROR(__xludf.DUMMYFUNCTION("""COMPUTED_VALUE"""),3.0)</f>
        <v>3</v>
      </c>
      <c r="AN1324" s="2" t="str">
        <f>IFERROR(__xludf.DUMMYFUNCTION("""COMPUTED_VALUE"""),"RCEF 23-09-21 Rebidding")</f>
        <v>RCEF 23-09-21 Rebidding</v>
      </c>
      <c r="AO1324" s="2">
        <f>IFERROR(__xludf.DUMMYFUNCTION("""COMPUTED_VALUE"""),3.0)</f>
        <v>3</v>
      </c>
      <c r="AP1324" s="2"/>
      <c r="AQ1324" s="2"/>
      <c r="AR1324" s="2"/>
      <c r="AS1324" s="2"/>
      <c r="AT1324" s="2"/>
      <c r="AU1324" s="2"/>
      <c r="AV1324" s="2"/>
      <c r="AW1324" s="2"/>
      <c r="AX1324" s="2"/>
      <c r="AY1324" s="2"/>
      <c r="AZ1324" s="2"/>
      <c r="BA1324" s="2"/>
      <c r="BB1324" s="2"/>
    </row>
    <row r="1325">
      <c r="A1325" s="2">
        <f>IFERROR(__xludf.DUMMYFUNCTION("""COMPUTED_VALUE"""),1321.0)</f>
        <v>1321</v>
      </c>
      <c r="B1325" s="2" t="str">
        <f>IFERROR(__xludf.DUMMYFUNCTION("""COMPUTED_VALUE"""),"COMPLETED")</f>
        <v>COMPLETED</v>
      </c>
      <c r="C1325" s="74">
        <f>IFERROR(__xludf.DUMMYFUNCTION("""COMPUTED_VALUE"""),46012.0)</f>
        <v>46012</v>
      </c>
      <c r="D1325" s="71" t="str">
        <f>IFERROR(__xludf.DUMMYFUNCTION("""COMPUTED_VALUE"""),"GINTONG BUTIL FARMERS ASSOCIATION")</f>
        <v>GINTONG BUTIL FARMERS ASSOCIATION</v>
      </c>
      <c r="E1325" s="71" t="str">
        <f>IFERROR(__xludf.DUMMYFUNCTION("""COMPUTED_VALUE"""),"PINAGTURIHAN, SANTA CRUZ, OCCIDENTAL MINDORO")</f>
        <v>PINAGTURIHAN, SANTA CRUZ, OCCIDENTAL MINDORO</v>
      </c>
      <c r="F1325" s="2"/>
      <c r="G1325" s="2"/>
      <c r="H1325" s="2"/>
      <c r="I1325" s="72" t="str">
        <f>IFERROR(__xludf.DUMMYFUNCTION("""COMPUTED_VALUE"""),"SPARE PARTS ACQUISITION")</f>
        <v>SPARE PARTS ACQUISITION</v>
      </c>
      <c r="J1325" s="72"/>
      <c r="K1325" s="72" t="str">
        <f>IFERROR(__xludf.DUMMYFUNCTION("""COMPUTED_VALUE"""),"RBS: OIL SEAL TA00033423")</f>
        <v>RBS: OIL SEAL TA00033423</v>
      </c>
      <c r="L1325" s="72" t="str">
        <f>IFERROR(__xludf.DUMMYFUNCTION("""COMPUTED_VALUE"""),"RBS: DELIVERED")</f>
        <v>RBS: DELIVERED</v>
      </c>
      <c r="M1325" s="2"/>
      <c r="N1325" s="2" t="str">
        <f>IFERROR(__xludf.DUMMYFUNCTION("""COMPUTED_VALUE"""),"PARTS:
OIL SEAL TA00033423")</f>
        <v>PARTS:
OIL SEAL TA00033423</v>
      </c>
      <c r="O1325" s="2" t="str">
        <f>IFERROR(__xludf.DUMMYFUNCTION("""COMPUTED_VALUE"""),"N/A")</f>
        <v>N/A</v>
      </c>
      <c r="P1325" s="2"/>
      <c r="Q1325" s="2"/>
      <c r="R1325" s="74">
        <f>IFERROR(__xludf.DUMMYFUNCTION("""COMPUTED_VALUE"""),46012.0)</f>
        <v>46012</v>
      </c>
      <c r="S1325" s="2" t="str">
        <f>IFERROR(__xludf.DUMMYFUNCTION("""COMPUTED_VALUE"""),"RBS")</f>
        <v>RBS</v>
      </c>
      <c r="T1325" s="73">
        <f>IFERROR(__xludf.DUMMYFUNCTION("""COMPUTED_VALUE"""),6330.0)</f>
        <v>6330</v>
      </c>
      <c r="U1325" s="73" t="str">
        <f>IFERROR(__xludf.DUMMYFUNCTION("""COMPUTED_VALUE""")," REMITTED ")</f>
        <v>REMITTED</v>
      </c>
      <c r="V1325" s="2"/>
      <c r="W1325" s="2">
        <f>IFERROR(__xludf.DUMMYFUNCTION("""COMPUTED_VALUE"""),1424.0)</f>
        <v>1424</v>
      </c>
      <c r="X1325" s="2">
        <f>IFERROR(__xludf.DUMMYFUNCTION("""COMPUTED_VALUE"""),1650.0)</f>
        <v>1650</v>
      </c>
      <c r="Y1325" s="2"/>
      <c r="Z1325" s="2"/>
      <c r="AA1325" s="2"/>
      <c r="AB1325" s="2"/>
      <c r="AC1325" s="2"/>
      <c r="AD1325" s="2"/>
      <c r="AE1325" s="2"/>
      <c r="AF1325" s="2"/>
      <c r="AG1325" s="2"/>
      <c r="AH1325" s="2"/>
      <c r="AI1325" s="2"/>
      <c r="AJ1325" s="2" t="str">
        <f>IFERROR(__xludf.DUMMYFUNCTION("""COMPUTED_VALUE"""),"Pinagturihan")</f>
        <v>Pinagturihan</v>
      </c>
      <c r="AK1325" s="2" t="str">
        <f>IFERROR(__xludf.DUMMYFUNCTION("""COMPUTED_VALUE"""),"Santa Cruz")</f>
        <v>Santa Cruz</v>
      </c>
      <c r="AL1325" s="2" t="str">
        <f>IFERROR(__xludf.DUMMYFUNCTION("""COMPUTED_VALUE"""),"Occidental Mindoro")</f>
        <v>Occidental Mindoro</v>
      </c>
      <c r="AM1325" s="2" t="str">
        <f>IFERROR(__xludf.DUMMYFUNCTION("""COMPUTED_VALUE"""),"4B")</f>
        <v>4B</v>
      </c>
      <c r="AN1325" s="2" t="str">
        <f>IFERROR(__xludf.DUMMYFUNCTION("""COMPUTED_VALUE"""),"RCEF 23-08-20 Rebidding")</f>
        <v>RCEF 23-08-20 Rebidding</v>
      </c>
      <c r="AO1325" s="2">
        <f>IFERROR(__xludf.DUMMYFUNCTION("""COMPUTED_VALUE"""),1.0)</f>
        <v>1</v>
      </c>
      <c r="AP1325" s="2"/>
      <c r="AQ1325" s="2"/>
      <c r="AR1325" s="2"/>
      <c r="AS1325" s="2"/>
      <c r="AT1325" s="2"/>
      <c r="AU1325" s="2"/>
      <c r="AV1325" s="2"/>
      <c r="AW1325" s="2"/>
      <c r="AX1325" s="2"/>
      <c r="AY1325" s="2"/>
      <c r="AZ1325" s="2"/>
      <c r="BA1325" s="2"/>
      <c r="BB1325" s="2"/>
    </row>
    <row r="1326">
      <c r="A1326" s="2">
        <f>IFERROR(__xludf.DUMMYFUNCTION("""COMPUTED_VALUE"""),1322.0)</f>
        <v>1322</v>
      </c>
      <c r="B1326" s="2" t="str">
        <f>IFERROR(__xludf.DUMMYFUNCTION("""COMPUTED_VALUE"""),"COMPLETED")</f>
        <v>COMPLETED</v>
      </c>
      <c r="C1326" s="74">
        <f>IFERROR(__xludf.DUMMYFUNCTION("""COMPUTED_VALUE"""),46013.0)</f>
        <v>46013</v>
      </c>
      <c r="D1326" s="71" t="str">
        <f>IFERROR(__xludf.DUMMYFUNCTION("""COMPUTED_VALUE"""),"Provincial Local Government Unit of Occidental Mindoro")</f>
        <v>Provincial Local Government Unit of Occidental Mindoro</v>
      </c>
      <c r="E1326" s="71" t="str">
        <f>IFERROR(__xludf.DUMMYFUNCTION("""COMPUTED_VALUE"""),"Poblacion 1 (Barangay 1), Mamburao, OCCIDENTAL MINDORO")</f>
        <v>Poblacion 1 (Barangay 1), Mamburao, OCCIDENTAL MINDORO</v>
      </c>
      <c r="F1326" s="2"/>
      <c r="G1326" s="2" t="str">
        <f>IFERROR(__xludf.DUMMYFUNCTION("""COMPUTED_VALUE"""),"0915-452-0188")</f>
        <v>0915-452-0188</v>
      </c>
      <c r="H1326" s="2">
        <f>IFERROR(__xludf.DUMMYFUNCTION("""COMPUTED_VALUE"""),422.8)</f>
        <v>422.8</v>
      </c>
      <c r="I1326" s="72" t="str">
        <f>IFERROR(__xludf.DUMMYFUNCTION("""COMPUTED_VALUE"""),"PMS")</f>
        <v>PMS</v>
      </c>
      <c r="J1326" s="72" t="str">
        <f>IFERROR(__xludf.DUMMYFUNCTION("""COMPUTED_VALUE"""),"PMS")</f>
        <v>PMS</v>
      </c>
      <c r="K1326" s="72" t="str">
        <f>IFERROR(__xludf.DUMMYFUNCTION("""COMPUTED_VALUE"""),"KFS TO RBS: 1ST PMS ")</f>
        <v>KFS TO RBS: 1ST PMS </v>
      </c>
      <c r="L1326" s="72" t="str">
        <f>IFERROR(__xludf.DUMMYFUNCTION("""COMPUTED_VALUE"""),"RBS: 1ST  PMS DONE")</f>
        <v>RBS: 1ST  PMS DONE</v>
      </c>
      <c r="M1326" s="2"/>
      <c r="N1326" s="2" t="str">
        <f>IFERROR(__xludf.DUMMYFUNCTION("""COMPUTED_VALUE"""),"PARTS: 
OIL FILTER
ENGINE OIL")</f>
        <v>PARTS: 
OIL FILTER
ENGINE OIL</v>
      </c>
      <c r="O1326" s="2">
        <f>IFERROR(__xludf.DUMMYFUNCTION("""COMPUTED_VALUE"""),603.0)</f>
        <v>603</v>
      </c>
      <c r="P1326" s="2"/>
      <c r="Q1326" s="2" t="str">
        <f>IFERROR(__xludf.DUMMYFUNCTION("""COMPUTED_VALUE"""),"FOR PRINT")</f>
        <v>FOR PRINT</v>
      </c>
      <c r="R1326" s="74">
        <f>IFERROR(__xludf.DUMMYFUNCTION("""COMPUTED_VALUE"""),46013.0)</f>
        <v>46013</v>
      </c>
      <c r="S1326" s="2" t="str">
        <f>IFERROR(__xludf.DUMMYFUNCTION("""COMPUTED_VALUE"""),"RBS")</f>
        <v>RBS</v>
      </c>
      <c r="T1326" s="73" t="str">
        <f>IFERROR(__xludf.DUMMYFUNCTION("""COMPUTED_VALUE""")," N/A  ")</f>
        <v>N/A </v>
      </c>
      <c r="U1326" s="73" t="str">
        <f>IFERROR(__xludf.DUMMYFUNCTION("""COMPUTED_VALUE""")," NO CHARGE ")</f>
        <v>NO CHARGE</v>
      </c>
      <c r="V1326" s="2"/>
      <c r="W1326" s="2" t="str">
        <f>IFERROR(__xludf.DUMMYFUNCTION("""COMPUTED_VALUE"""),"N/A")</f>
        <v>N/A</v>
      </c>
      <c r="X1326" s="2" t="str">
        <f>IFERROR(__xludf.DUMMYFUNCTION("""COMPUTED_VALUE"""),"N/A")</f>
        <v>N/A</v>
      </c>
      <c r="Y1326" s="2"/>
      <c r="Z1326" s="2"/>
      <c r="AA1326" s="2"/>
      <c r="AB1326" s="2"/>
      <c r="AC1326" s="2"/>
      <c r="AD1326" s="2"/>
      <c r="AE1326" s="2"/>
      <c r="AF1326" s="2"/>
      <c r="AG1326" s="2"/>
      <c r="AH1326" s="2"/>
      <c r="AI1326" s="2"/>
      <c r="AJ1326" s="2" t="str">
        <f>IFERROR(__xludf.DUMMYFUNCTION("""COMPUTED_VALUE"""),"Poblacion 1 (Barangay 1)")</f>
        <v>Poblacion 1 (Barangay 1)</v>
      </c>
      <c r="AK1326" s="2" t="str">
        <f>IFERROR(__xludf.DUMMYFUNCTION("""COMPUTED_VALUE"""),"Mamburao")</f>
        <v>Mamburao</v>
      </c>
      <c r="AL1326" s="2" t="str">
        <f>IFERROR(__xludf.DUMMYFUNCTION("""COMPUTED_VALUE"""),"Occidental Mindoro")</f>
        <v>Occidental Mindoro</v>
      </c>
      <c r="AM1326" s="2" t="str">
        <f>IFERROR(__xludf.DUMMYFUNCTION("""COMPUTED_VALUE"""),"4B")</f>
        <v>4B</v>
      </c>
      <c r="AN1326" s="2" t="str">
        <f>IFERROR(__xludf.DUMMYFUNCTION("""COMPUTED_VALUE"""),"RCEF 25-03-05")</f>
        <v>RCEF 25-03-05</v>
      </c>
      <c r="AO1326" s="2">
        <f>IFERROR(__xludf.DUMMYFUNCTION("""COMPUTED_VALUE"""),6.0)</f>
        <v>6</v>
      </c>
      <c r="AP1326" s="2" t="str">
        <f>IFERROR(__xludf.DUMMYFUNCTION("""COMPUTED_VALUE"""),"FREE PMS")</f>
        <v>FREE PMS</v>
      </c>
      <c r="AQ1326" s="2"/>
      <c r="AR1326" s="2"/>
      <c r="AS1326" s="2"/>
      <c r="AT1326" s="2"/>
      <c r="AU1326" s="2"/>
      <c r="AV1326" s="2"/>
      <c r="AW1326" s="2"/>
      <c r="AX1326" s="2"/>
      <c r="AY1326" s="2"/>
      <c r="AZ1326" s="2"/>
      <c r="BA1326" s="2"/>
      <c r="BB1326" s="2"/>
    </row>
    <row r="1327">
      <c r="A1327" s="2">
        <f>IFERROR(__xludf.DUMMYFUNCTION("""COMPUTED_VALUE"""),1323.0)</f>
        <v>1323</v>
      </c>
      <c r="B1327" s="2" t="str">
        <f>IFERROR(__xludf.DUMMYFUNCTION("""COMPUTED_VALUE"""),"COMPLETED")</f>
        <v>COMPLETED</v>
      </c>
      <c r="C1327" s="74">
        <f>IFERROR(__xludf.DUMMYFUNCTION("""COMPUTED_VALUE"""),46013.0)</f>
        <v>46013</v>
      </c>
      <c r="D1327" s="71" t="str">
        <f>IFERROR(__xludf.DUMMYFUNCTION("""COMPUTED_VALUE"""),"Concepcion Farmers Multi-Purpose Cooperative")</f>
        <v>Concepcion Farmers Multi-Purpose Cooperative</v>
      </c>
      <c r="E1327" s="71" t="str">
        <f>IFERROR(__xludf.DUMMYFUNCTION("""COMPUTED_VALUE"""),", Calintaan, OCCIDENTAL MINDORO")</f>
        <v>, Calintaan, OCCIDENTAL MINDORO</v>
      </c>
      <c r="F1327" s="2"/>
      <c r="G1327" s="2" t="str">
        <f>IFERROR(__xludf.DUMMYFUNCTION("""COMPUTED_VALUE"""),"0930 793 6313")</f>
        <v>0930 793 6313</v>
      </c>
      <c r="H1327" s="2">
        <f>IFERROR(__xludf.DUMMYFUNCTION("""COMPUTED_VALUE"""),55.7)</f>
        <v>55.7</v>
      </c>
      <c r="I1327" s="72" t="str">
        <f>IFERROR(__xludf.DUMMYFUNCTION("""COMPUTED_VALUE"""),"PMS")</f>
        <v>PMS</v>
      </c>
      <c r="J1327" s="72"/>
      <c r="K1327" s="72" t="str">
        <f>IFERROR(__xludf.DUMMYFUNCTION("""COMPUTED_VALUE"""),"KFS: 1ST PMS FREE")</f>
        <v>KFS: 1ST PMS FREE</v>
      </c>
      <c r="L1327" s="72" t="str">
        <f>IFERROR(__xludf.DUMMYFUNCTION("""COMPUTED_VALUE"""),"RBS: 1ST PMS DONE")</f>
        <v>RBS: 1ST PMS DONE</v>
      </c>
      <c r="M1327" s="2"/>
      <c r="N1327" s="2" t="str">
        <f>IFERROR(__xludf.DUMMYFUNCTION("""COMPUTED_VALUE"""),"PARTS:
OIL FILTER
ENGINE OIL")</f>
        <v>PARTS:
OIL FILTER
ENGINE OIL</v>
      </c>
      <c r="O1327" s="2">
        <f>IFERROR(__xludf.DUMMYFUNCTION("""COMPUTED_VALUE"""),604.0)</f>
        <v>604</v>
      </c>
      <c r="P1327" s="2"/>
      <c r="Q1327" s="2" t="str">
        <f>IFERROR(__xludf.DUMMYFUNCTION("""COMPUTED_VALUE"""),"FOR PRINT")</f>
        <v>FOR PRINT</v>
      </c>
      <c r="R1327" s="74">
        <f>IFERROR(__xludf.DUMMYFUNCTION("""COMPUTED_VALUE"""),46013.0)</f>
        <v>46013</v>
      </c>
      <c r="S1327" s="2" t="str">
        <f>IFERROR(__xludf.DUMMYFUNCTION("""COMPUTED_VALUE"""),"RBS")</f>
        <v>RBS</v>
      </c>
      <c r="T1327" s="73" t="str">
        <f>IFERROR(__xludf.DUMMYFUNCTION("""COMPUTED_VALUE""")," N/A ")</f>
        <v>N/A</v>
      </c>
      <c r="U1327" s="73" t="str">
        <f>IFERROR(__xludf.DUMMYFUNCTION("""COMPUTED_VALUE""")," NO CHARGE ")</f>
        <v>NO CHARGE</v>
      </c>
      <c r="V1327" s="2"/>
      <c r="W1327" s="2" t="str">
        <f>IFERROR(__xludf.DUMMYFUNCTION("""COMPUTED_VALUE"""),"N/A")</f>
        <v>N/A</v>
      </c>
      <c r="X1327" s="2" t="str">
        <f>IFERROR(__xludf.DUMMYFUNCTION("""COMPUTED_VALUE"""),"N/A")</f>
        <v>N/A</v>
      </c>
      <c r="Y1327" s="2"/>
      <c r="Z1327" s="2"/>
      <c r="AA1327" s="2"/>
      <c r="AB1327" s="2"/>
      <c r="AC1327" s="2"/>
      <c r="AD1327" s="2"/>
      <c r="AE1327" s="2"/>
      <c r="AF1327" s="2"/>
      <c r="AG1327" s="2"/>
      <c r="AH1327" s="2"/>
      <c r="AI1327" s="2"/>
      <c r="AJ1327" s="2" t="str">
        <f>IFERROR(__xludf.DUMMYFUNCTION("""COMPUTED_VALUE"""),"")</f>
        <v/>
      </c>
      <c r="AK1327" s="2" t="str">
        <f>IFERROR(__xludf.DUMMYFUNCTION("""COMPUTED_VALUE"""),"Calintaan")</f>
        <v>Calintaan</v>
      </c>
      <c r="AL1327" s="2" t="str">
        <f>IFERROR(__xludf.DUMMYFUNCTION("""COMPUTED_VALUE"""),"Occidental Mindoro")</f>
        <v>Occidental Mindoro</v>
      </c>
      <c r="AM1327" s="2" t="str">
        <f>IFERROR(__xludf.DUMMYFUNCTION("""COMPUTED_VALUE"""),"4B")</f>
        <v>4B</v>
      </c>
      <c r="AN1327" s="2" t="str">
        <f>IFERROR(__xludf.DUMMYFUNCTION("""COMPUTED_VALUE"""),"RCEF 25-03-05")</f>
        <v>RCEF 25-03-05</v>
      </c>
      <c r="AO1327" s="2">
        <f>IFERROR(__xludf.DUMMYFUNCTION("""COMPUTED_VALUE"""),6.0)</f>
        <v>6</v>
      </c>
      <c r="AP1327" s="2" t="str">
        <f>IFERROR(__xludf.DUMMYFUNCTION("""COMPUTED_VALUE"""),"FREE PMS")</f>
        <v>FREE PMS</v>
      </c>
      <c r="AQ1327" s="2"/>
      <c r="AR1327" s="2"/>
      <c r="AS1327" s="2"/>
      <c r="AT1327" s="2"/>
      <c r="AU1327" s="2"/>
      <c r="AV1327" s="2"/>
      <c r="AW1327" s="2"/>
      <c r="AX1327" s="2"/>
      <c r="AY1327" s="2"/>
      <c r="AZ1327" s="2"/>
      <c r="BA1327" s="2"/>
      <c r="BB1327" s="2"/>
    </row>
    <row r="1328">
      <c r="A1328" s="2">
        <f>IFERROR(__xludf.DUMMYFUNCTION("""COMPUTED_VALUE"""),1324.0)</f>
        <v>1324</v>
      </c>
      <c r="B1328" s="2" t="str">
        <f>IFERROR(__xludf.DUMMYFUNCTION("""COMPUTED_VALUE"""),"COMPLETED")</f>
        <v>COMPLETED</v>
      </c>
      <c r="C1328" s="74">
        <f>IFERROR(__xludf.DUMMYFUNCTION("""COMPUTED_VALUE"""),46013.0)</f>
        <v>46013</v>
      </c>
      <c r="D1328" s="71" t="str">
        <f>IFERROR(__xludf.DUMMYFUNCTION("""COMPUTED_VALUE"""),"CAMLONGAN IRRIGATORS ASSOCIATION INC.")</f>
        <v>CAMLONGAN IRRIGATORS ASSOCIATION INC.</v>
      </c>
      <c r="E1328" s="71" t="str">
        <f>IFERROR(__xludf.DUMMYFUNCTION("""COMPUTED_VALUE"""),"Kapitangan, Paombong, BULACAN")</f>
        <v>Kapitangan, Paombong, BULACAN</v>
      </c>
      <c r="F1328" s="2" t="str">
        <f>IFERROR(__xludf.DUMMYFUNCTION("""COMPUTED_VALUE"""),"Rolando santiago")</f>
        <v>Rolando santiago</v>
      </c>
      <c r="G1328" s="2">
        <f>IFERROR(__xludf.DUMMYFUNCTION("""COMPUTED_VALUE"""),9.235058815E9)</f>
        <v>9235058815</v>
      </c>
      <c r="H1328" s="2"/>
      <c r="I1328" s="72" t="str">
        <f>IFERROR(__xludf.DUMMYFUNCTION("""COMPUTED_VALUE"""),"SPARE PARTS ACQUISITION")</f>
        <v>SPARE PARTS ACQUISITION</v>
      </c>
      <c r="J1328" s="72"/>
      <c r="K1328" s="72" t="str">
        <f>IFERROR(__xludf.DUMMYFUNCTION("""COMPUTED_VALUE"""),"KFS: 
Parts acquisition today at san simon:
Oil Filter HRA110200083	- 1,533.00
Hydraulic Filter TA00025525B - 2,837.00
FUEL FILTER EA00005318A - 6,410.00")</f>
        <v>KFS: 
Parts acquisition today at san simon:
Oil Filter HRA110200083	- 1,533.00
Hydraulic Filter TA00025525B - 2,837.00
FUEL FILTER EA00005318A - 6,410.00</v>
      </c>
      <c r="L1328" s="72" t="str">
        <f>IFERROR(__xludf.DUMMYFUNCTION("""COMPUTED_VALUE"""),"HYDRAULIC FILTER ONLY - PAYMENT C/O GUARD ")</f>
        <v>HYDRAULIC FILTER ONLY - PAYMENT C/O GUARD </v>
      </c>
      <c r="M1328" s="2"/>
      <c r="N1328" s="2" t="str">
        <f>IFERROR(__xludf.DUMMYFUNCTION("""COMPUTED_VALUE"""),"PARTS:
HYDRAULIC FILTER")</f>
        <v>PARTS:
HYDRAULIC FILTER</v>
      </c>
      <c r="O1328" s="2" t="str">
        <f>IFERROR(__xludf.DUMMYFUNCTION("""COMPUTED_VALUE"""),"N/A")</f>
        <v>N/A</v>
      </c>
      <c r="P1328" s="2"/>
      <c r="Q1328" s="2"/>
      <c r="R1328" s="74">
        <f>IFERROR(__xludf.DUMMYFUNCTION("""COMPUTED_VALUE"""),46013.0)</f>
        <v>46013</v>
      </c>
      <c r="S1328" s="2" t="str">
        <f>IFERROR(__xludf.DUMMYFUNCTION("""COMPUTED_VALUE"""),"MYK")</f>
        <v>MYK</v>
      </c>
      <c r="T1328" s="73">
        <f>IFERROR(__xludf.DUMMYFUNCTION("""COMPUTED_VALUE"""),2837.0)</f>
        <v>2837</v>
      </c>
      <c r="U1328" s="73" t="str">
        <f>IFERROR(__xludf.DUMMYFUNCTION("""COMPUTED_VALUE""")," NO CHARGE ")</f>
        <v>NO CHARGE</v>
      </c>
      <c r="V1328" s="2"/>
      <c r="W1328" s="2" t="str">
        <f>IFERROR(__xludf.DUMMYFUNCTION("""COMPUTED_VALUE"""),"N/A")</f>
        <v>N/A</v>
      </c>
      <c r="X1328" s="2" t="str">
        <f>IFERROR(__xludf.DUMMYFUNCTION("""COMPUTED_VALUE"""),"N/A")</f>
        <v>N/A</v>
      </c>
      <c r="Y1328" s="2"/>
      <c r="Z1328" s="2"/>
      <c r="AA1328" s="2"/>
      <c r="AB1328" s="2"/>
      <c r="AC1328" s="2"/>
      <c r="AD1328" s="2"/>
      <c r="AE1328" s="2"/>
      <c r="AF1328" s="2"/>
      <c r="AG1328" s="2"/>
      <c r="AH1328" s="2"/>
      <c r="AI1328" s="2"/>
      <c r="AJ1328" s="2" t="str">
        <f>IFERROR(__xludf.DUMMYFUNCTION("""COMPUTED_VALUE"""),"Kapitangan")</f>
        <v>Kapitangan</v>
      </c>
      <c r="AK1328" s="2" t="str">
        <f>IFERROR(__xludf.DUMMYFUNCTION("""COMPUTED_VALUE"""),"Paombong")</f>
        <v>Paombong</v>
      </c>
      <c r="AL1328" s="2" t="str">
        <f>IFERROR(__xludf.DUMMYFUNCTION("""COMPUTED_VALUE"""),"Bulacan")</f>
        <v>Bulacan</v>
      </c>
      <c r="AM1328" s="2">
        <f>IFERROR(__xludf.DUMMYFUNCTION("""COMPUTED_VALUE"""),3.0)</f>
        <v>3</v>
      </c>
      <c r="AN1328" s="2" t="str">
        <f>IFERROR(__xludf.DUMMYFUNCTION("""COMPUTED_VALUE"""),"RCEF 23-09-21 Rebidding")</f>
        <v>RCEF 23-09-21 Rebidding</v>
      </c>
      <c r="AO1328" s="2">
        <f>IFERROR(__xludf.DUMMYFUNCTION("""COMPUTED_VALUE"""),3.0)</f>
        <v>3</v>
      </c>
      <c r="AP1328" s="2"/>
      <c r="AQ1328" s="2"/>
      <c r="AR1328" s="2"/>
      <c r="AS1328" s="2"/>
      <c r="AT1328" s="2"/>
      <c r="AU1328" s="2"/>
      <c r="AV1328" s="2"/>
      <c r="AW1328" s="2"/>
      <c r="AX1328" s="2"/>
      <c r="AY1328" s="2"/>
      <c r="AZ1328" s="2"/>
      <c r="BA1328" s="2"/>
      <c r="BB1328" s="2"/>
    </row>
    <row r="1329">
      <c r="A1329" s="2">
        <f>IFERROR(__xludf.DUMMYFUNCTION("""COMPUTED_VALUE"""),1325.0)</f>
        <v>1325</v>
      </c>
      <c r="B1329" s="2" t="str">
        <f>IFERROR(__xludf.DUMMYFUNCTION("""COMPUTED_VALUE"""),"COMPLETED")</f>
        <v>COMPLETED</v>
      </c>
      <c r="C1329" s="74">
        <f>IFERROR(__xludf.DUMMYFUNCTION("""COMPUTED_VALUE"""),46013.0)</f>
        <v>46013</v>
      </c>
      <c r="D1329" s="71" t="str">
        <f>IFERROR(__xludf.DUMMYFUNCTION("""COMPUTED_VALUE"""),"AGBANNAWAG IRRIGATORS ASSOCIATION, INC")</f>
        <v>AGBANNAWAG IRRIGATORS ASSOCIATION, INC</v>
      </c>
      <c r="E1329" s="71" t="str">
        <f>IFERROR(__xludf.DUMMYFUNCTION("""COMPUTED_VALUE"""),"Agbannawag, Rizal, NUEVA ECIJA")</f>
        <v>Agbannawag, Rizal, NUEVA ECIJA</v>
      </c>
      <c r="F1329" s="2" t="str">
        <f>IFERROR(__xludf.DUMMYFUNCTION("""COMPUTED_VALUE"""),"Quirino E Tabangay Jr ")</f>
        <v>Quirino E Tabangay Jr </v>
      </c>
      <c r="G1329" s="2" t="str">
        <f>IFERROR(__xludf.DUMMYFUNCTION("""COMPUTED_VALUE"""),"0930 5011233")</f>
        <v>0930 5011233</v>
      </c>
      <c r="H1329" s="2">
        <f>IFERROR(__xludf.DUMMYFUNCTION("""COMPUTED_VALUE"""),52.0)</f>
        <v>52</v>
      </c>
      <c r="I1329" s="72" t="str">
        <f>IFERROR(__xludf.DUMMYFUNCTION("""COMPUTED_VALUE"""),"PMS")</f>
        <v>PMS</v>
      </c>
      <c r="J1329" s="72" t="str">
        <f>IFERROR(__xludf.DUMMYFUNCTION("""COMPUTED_VALUE"""),"PMS")</f>
        <v>PMS</v>
      </c>
      <c r="K1329" s="72" t="str">
        <f>IFERROR(__xludf.DUMMYFUNCTION("""COMPUTED_VALUE"""),"MYK: 1ST PMS FREE")</f>
        <v>MYK: 1ST PMS FREE</v>
      </c>
      <c r="L1329" s="72" t="str">
        <f>IFERROR(__xludf.DUMMYFUNCTION("""COMPUTED_VALUE"""),"JHP: 1ST PSM DONE")</f>
        <v>JHP: 1ST PSM DONE</v>
      </c>
      <c r="M1329" s="2"/>
      <c r="N1329" s="2" t="str">
        <f>IFERROR(__xludf.DUMMYFUNCTION("""COMPUTED_VALUE"""),"PARTS:
OIL FILTER
ENGINE OIL")</f>
        <v>PARTS:
OIL FILTER
ENGINE OIL</v>
      </c>
      <c r="O1329" s="2">
        <f>IFERROR(__xludf.DUMMYFUNCTION("""COMPUTED_VALUE"""),656.0)</f>
        <v>656</v>
      </c>
      <c r="P1329" s="2" t="str">
        <f>IFERROR(__xludf.DUMMYFUNCTION("""COMPUTED_VALUE"""),"656-AGBANNAWAG IRRIGATORS ASSOCIATION, INC.jpg")</f>
        <v>656-AGBANNAWAG IRRIGATORS ASSOCIATION, INC.jpg</v>
      </c>
      <c r="Q1329" s="2" t="str">
        <f>IFERROR(__xludf.DUMMYFUNCTION("""COMPUTED_VALUE"""),"FOR PRINT")</f>
        <v>FOR PRINT</v>
      </c>
      <c r="R1329" s="74">
        <f>IFERROR(__xludf.DUMMYFUNCTION("""COMPUTED_VALUE"""),46027.0)</f>
        <v>46027</v>
      </c>
      <c r="S1329" s="2" t="str">
        <f>IFERROR(__xludf.DUMMYFUNCTION("""COMPUTED_VALUE"""),"JHP/ACS")</f>
        <v>JHP/ACS</v>
      </c>
      <c r="T1329" s="73" t="str">
        <f>IFERROR(__xludf.DUMMYFUNCTION("""COMPUTED_VALUE""")," N/A  ")</f>
        <v>N/A </v>
      </c>
      <c r="U1329" s="73" t="str">
        <f>IFERROR(__xludf.DUMMYFUNCTION("""COMPUTED_VALUE""")," NO CHARGE ")</f>
        <v>NO CHARGE</v>
      </c>
      <c r="V1329" s="2">
        <f>IFERROR(__xludf.DUMMYFUNCTION("""COMPUTED_VALUE"""),1285.0)</f>
        <v>1285</v>
      </c>
      <c r="W1329" s="2" t="str">
        <f>IFERROR(__xludf.DUMMYFUNCTION("""COMPUTED_VALUE"""),"N/A")</f>
        <v>N/A</v>
      </c>
      <c r="X1329" s="2" t="str">
        <f>IFERROR(__xludf.DUMMYFUNCTION("""COMPUTED_VALUE"""),"N/A")</f>
        <v>N/A</v>
      </c>
      <c r="Y1329" s="2"/>
      <c r="Z1329" s="2"/>
      <c r="AA1329" s="2"/>
      <c r="AB1329" s="2"/>
      <c r="AC1329" s="2"/>
      <c r="AD1329" s="2"/>
      <c r="AE1329" s="2"/>
      <c r="AF1329" s="2"/>
      <c r="AG1329" s="2"/>
      <c r="AH1329" s="2"/>
      <c r="AI1329" s="2"/>
      <c r="AJ1329" s="2" t="str">
        <f>IFERROR(__xludf.DUMMYFUNCTION("""COMPUTED_VALUE"""),"Agbannawag")</f>
        <v>Agbannawag</v>
      </c>
      <c r="AK1329" s="2" t="str">
        <f>IFERROR(__xludf.DUMMYFUNCTION("""COMPUTED_VALUE"""),"Rizal")</f>
        <v>Rizal</v>
      </c>
      <c r="AL1329" s="2" t="str">
        <f>IFERROR(__xludf.DUMMYFUNCTION("""COMPUTED_VALUE"""),"Nueva Ecija")</f>
        <v>Nueva Ecija</v>
      </c>
      <c r="AM1329" s="2">
        <f>IFERROR(__xludf.DUMMYFUNCTION("""COMPUTED_VALUE"""),3.0)</f>
        <v>3</v>
      </c>
      <c r="AN1329" s="2" t="str">
        <f>IFERROR(__xludf.DUMMYFUNCTION("""COMPUTED_VALUE"""),"RCEF 25-03-05")</f>
        <v>RCEF 25-03-05</v>
      </c>
      <c r="AO1329" s="2">
        <f>IFERROR(__xludf.DUMMYFUNCTION("""COMPUTED_VALUE"""),5.0)</f>
        <v>5</v>
      </c>
      <c r="AP1329" s="2" t="str">
        <f>IFERROR(__xludf.DUMMYFUNCTION("""COMPUTED_VALUE"""),"FREE PMS")</f>
        <v>FREE PMS</v>
      </c>
      <c r="AQ1329" s="2"/>
      <c r="AR1329" s="2"/>
      <c r="AS1329" s="2"/>
      <c r="AT1329" s="2"/>
      <c r="AU1329" s="2"/>
      <c r="AV1329" s="2"/>
      <c r="AW1329" s="2"/>
      <c r="AX1329" s="2"/>
      <c r="AY1329" s="2"/>
      <c r="AZ1329" s="2"/>
      <c r="BA1329" s="2"/>
      <c r="BB1329" s="2"/>
    </row>
    <row r="1330">
      <c r="A1330" s="2">
        <f>IFERROR(__xludf.DUMMYFUNCTION("""COMPUTED_VALUE"""),1326.0)</f>
        <v>1326</v>
      </c>
      <c r="B1330" s="2" t="str">
        <f>IFERROR(__xludf.DUMMYFUNCTION("""COMPUTED_VALUE"""),"COMPLETED")</f>
        <v>COMPLETED</v>
      </c>
      <c r="C1330" s="74">
        <f>IFERROR(__xludf.DUMMYFUNCTION("""COMPUTED_VALUE"""),46013.0)</f>
        <v>46013</v>
      </c>
      <c r="D1330" s="71" t="str">
        <f>IFERROR(__xludf.DUMMYFUNCTION("""COMPUTED_VALUE"""),"KALASAG MULTIPURPOSE COOPERATIVE")</f>
        <v>KALASAG MULTIPURPOSE COOPERATIVE</v>
      </c>
      <c r="E1330" s="71" t="str">
        <f>IFERROR(__xludf.DUMMYFUNCTION("""COMPUTED_VALUE"""),"San Agustin, San Jose City, NUEVA ECIJA")</f>
        <v>San Agustin, San Jose City, NUEVA ECIJA</v>
      </c>
      <c r="F1330" s="2" t="str">
        <f>IFERROR(__xludf.DUMMYFUNCTION("""COMPUTED_VALUE"""),"Arnold Dizon")</f>
        <v>Arnold Dizon</v>
      </c>
      <c r="G1330" s="2">
        <f>IFERROR(__xludf.DUMMYFUNCTION("""COMPUTED_VALUE"""),9.302586813E9)</f>
        <v>9302586813</v>
      </c>
      <c r="H1330" s="2">
        <f>IFERROR(__xludf.DUMMYFUNCTION("""COMPUTED_VALUE"""),50.0)</f>
        <v>50</v>
      </c>
      <c r="I1330" s="72" t="str">
        <f>IFERROR(__xludf.DUMMYFUNCTION("""COMPUTED_VALUE"""),"PMS")</f>
        <v>PMS</v>
      </c>
      <c r="J1330" s="72" t="str">
        <f>IFERROR(__xludf.DUMMYFUNCTION("""COMPUTED_VALUE"""),"PMS")</f>
        <v>PMS</v>
      </c>
      <c r="K1330" s="72" t="str">
        <f>IFERROR(__xludf.DUMMYFUNCTION("""COMPUTED_VALUE"""),"MYK: 1ST PMS FREE")</f>
        <v>MYK: 1ST PMS FREE</v>
      </c>
      <c r="L1330" s="72" t="str">
        <f>IFERROR(__xludf.DUMMYFUNCTION("""COMPUTED_VALUE"""),"JHP: 1ST PSM DONE")</f>
        <v>JHP: 1ST PSM DONE</v>
      </c>
      <c r="M1330" s="2"/>
      <c r="N1330" s="2" t="str">
        <f>IFERROR(__xludf.DUMMYFUNCTION("""COMPUTED_VALUE"""),"PARTS:
OIL FILTER
ENGINE OIL")</f>
        <v>PARTS:
OIL FILTER
ENGINE OIL</v>
      </c>
      <c r="O1330" s="2">
        <f>IFERROR(__xludf.DUMMYFUNCTION("""COMPUTED_VALUE"""),657.0)</f>
        <v>657</v>
      </c>
      <c r="P1330" s="2"/>
      <c r="Q1330" s="2" t="str">
        <f>IFERROR(__xludf.DUMMYFUNCTION("""COMPUTED_VALUE"""),"FOR PRINT")</f>
        <v>FOR PRINT</v>
      </c>
      <c r="R1330" s="77">
        <f>IFERROR(__xludf.DUMMYFUNCTION("""COMPUTED_VALUE"""),46028.0)</f>
        <v>46028</v>
      </c>
      <c r="S1330" s="2" t="str">
        <f>IFERROR(__xludf.DUMMYFUNCTION("""COMPUTED_VALUE"""),"JHP/ACS")</f>
        <v>JHP/ACS</v>
      </c>
      <c r="T1330" s="73" t="str">
        <f>IFERROR(__xludf.DUMMYFUNCTION("""COMPUTED_VALUE""")," N/A  ")</f>
        <v>N/A </v>
      </c>
      <c r="U1330" s="73" t="str">
        <f>IFERROR(__xludf.DUMMYFUNCTION("""COMPUTED_VALUE""")," NO CHARGE ")</f>
        <v>NO CHARGE</v>
      </c>
      <c r="V1330" s="2">
        <f>IFERROR(__xludf.DUMMYFUNCTION("""COMPUTED_VALUE"""),1286.0)</f>
        <v>1286</v>
      </c>
      <c r="W1330" s="2" t="str">
        <f>IFERROR(__xludf.DUMMYFUNCTION("""COMPUTED_VALUE"""),"N/A")</f>
        <v>N/A</v>
      </c>
      <c r="X1330" s="2" t="str">
        <f>IFERROR(__xludf.DUMMYFUNCTION("""COMPUTED_VALUE"""),"N/A")</f>
        <v>N/A</v>
      </c>
      <c r="Y1330" s="2"/>
      <c r="Z1330" s="2"/>
      <c r="AA1330" s="2"/>
      <c r="AB1330" s="2"/>
      <c r="AC1330" s="2"/>
      <c r="AD1330" s="2"/>
      <c r="AE1330" s="2"/>
      <c r="AF1330" s="2"/>
      <c r="AG1330" s="2"/>
      <c r="AH1330" s="2"/>
      <c r="AI1330" s="2"/>
      <c r="AJ1330" s="2" t="str">
        <f>IFERROR(__xludf.DUMMYFUNCTION("""COMPUTED_VALUE"""),"San Agustin")</f>
        <v>San Agustin</v>
      </c>
      <c r="AK1330" s="2" t="str">
        <f>IFERROR(__xludf.DUMMYFUNCTION("""COMPUTED_VALUE"""),"San Jose City")</f>
        <v>San Jose City</v>
      </c>
      <c r="AL1330" s="2" t="str">
        <f>IFERROR(__xludf.DUMMYFUNCTION("""COMPUTED_VALUE"""),"Nueva Ecija")</f>
        <v>Nueva Ecija</v>
      </c>
      <c r="AM1330" s="2">
        <f>IFERROR(__xludf.DUMMYFUNCTION("""COMPUTED_VALUE"""),3.0)</f>
        <v>3</v>
      </c>
      <c r="AN1330" s="2" t="str">
        <f>IFERROR(__xludf.DUMMYFUNCTION("""COMPUTED_VALUE"""),"RCEF 25-03-05")</f>
        <v>RCEF 25-03-05</v>
      </c>
      <c r="AO1330" s="2">
        <f>IFERROR(__xludf.DUMMYFUNCTION("""COMPUTED_VALUE"""),5.0)</f>
        <v>5</v>
      </c>
      <c r="AP1330" s="2" t="str">
        <f>IFERROR(__xludf.DUMMYFUNCTION("""COMPUTED_VALUE"""),"FREE PMS")</f>
        <v>FREE PMS</v>
      </c>
      <c r="AQ1330" s="2"/>
      <c r="AR1330" s="2"/>
      <c r="AS1330" s="2"/>
      <c r="AT1330" s="2"/>
      <c r="AU1330" s="2"/>
      <c r="AV1330" s="2"/>
      <c r="AW1330" s="2"/>
      <c r="AX1330" s="2"/>
      <c r="AY1330" s="2"/>
      <c r="AZ1330" s="2"/>
      <c r="BA1330" s="2"/>
      <c r="BB1330" s="2"/>
    </row>
    <row r="1331">
      <c r="A1331" s="2">
        <f>IFERROR(__xludf.DUMMYFUNCTION("""COMPUTED_VALUE"""),1327.0)</f>
        <v>1327</v>
      </c>
      <c r="B1331" s="2" t="str">
        <f>IFERROR(__xludf.DUMMYFUNCTION("""COMPUTED_VALUE"""),"COMPLETED")</f>
        <v>COMPLETED</v>
      </c>
      <c r="C1331" s="74">
        <f>IFERROR(__xludf.DUMMYFUNCTION("""COMPUTED_VALUE"""),46014.0)</f>
        <v>46014</v>
      </c>
      <c r="D1331" s="71" t="str">
        <f>IFERROR(__xludf.DUMMYFUNCTION("""COMPUTED_VALUE"""),"BEPACAL IRRIGATORS ASSOCIATION, INC.")</f>
        <v>BEPACAL IRRIGATORS ASSOCIATION, INC.</v>
      </c>
      <c r="E1331" s="71" t="str">
        <f>IFERROR(__xludf.DUMMYFUNCTION("""COMPUTED_VALUE"""),"San Isidro, San Luis, PAMPANGA")</f>
        <v>San Isidro, San Luis, PAMPANGA</v>
      </c>
      <c r="F1331" s="2" t="str">
        <f>IFERROR(__xludf.DUMMYFUNCTION("""COMPUTED_VALUE"""),"LUCIANO L. SALAS")</f>
        <v>LUCIANO L. SALAS</v>
      </c>
      <c r="G1331" s="2">
        <f>IFERROR(__xludf.DUMMYFUNCTION("""COMPUTED_VALUE"""),9.518664252E9)</f>
        <v>9518664252</v>
      </c>
      <c r="H1331" s="2" t="str">
        <f>IFERROR(__xludf.DUMMYFUNCTION("""COMPUTED_VALUE"""),"40+")</f>
        <v>40+</v>
      </c>
      <c r="I1331" s="72" t="str">
        <f>IFERROR(__xludf.DUMMYFUNCTION("""COMPUTED_VALUE"""),"PMS")</f>
        <v>PMS</v>
      </c>
      <c r="J1331" s="72"/>
      <c r="K1331" s="72" t="str">
        <f>IFERROR(__xludf.DUMMYFUNCTION("""COMPUTED_VALUE"""),"MYK: 
1ST PMS FREE
AYAW TUMAAS BABA ANG LEVER")</f>
        <v>MYK: 
1ST PMS FREE
AYAW TUMAAS BABA ANG LEVER</v>
      </c>
      <c r="L1331" s="72" t="str">
        <f>IFERROR(__xludf.DUMMYFUNCTION("""COMPUTED_VALUE"""),"RCG: 1ST PMS DONE")</f>
        <v>RCG: 1ST PMS DONE</v>
      </c>
      <c r="M1331" s="2"/>
      <c r="N1331" s="2"/>
      <c r="O1331" s="2">
        <f>IFERROR(__xludf.DUMMYFUNCTION("""COMPUTED_VALUE"""),703.0)</f>
        <v>703</v>
      </c>
      <c r="P1331" s="2"/>
      <c r="Q1331" s="2" t="str">
        <f>IFERROR(__xludf.DUMMYFUNCTION("""COMPUTED_VALUE"""),"FOR PRINT")</f>
        <v>FOR PRINT</v>
      </c>
      <c r="R1331" s="74">
        <f>IFERROR(__xludf.DUMMYFUNCTION("""COMPUTED_VALUE"""),46027.0)</f>
        <v>46027</v>
      </c>
      <c r="S1331" s="2" t="str">
        <f>IFERROR(__xludf.DUMMYFUNCTION("""COMPUTED_VALUE"""),"RCG/DRM")</f>
        <v>RCG/DRM</v>
      </c>
      <c r="T1331" s="73" t="str">
        <f>IFERROR(__xludf.DUMMYFUNCTION("""COMPUTED_VALUE""")," N/A  ")</f>
        <v>N/A </v>
      </c>
      <c r="U1331" s="73" t="str">
        <f>IFERROR(__xludf.DUMMYFUNCTION("""COMPUTED_VALUE""")," NO CHARGE ")</f>
        <v>NO CHARGE</v>
      </c>
      <c r="V1331" s="2"/>
      <c r="W1331" s="2" t="str">
        <f>IFERROR(__xludf.DUMMYFUNCTION("""COMPUTED_VALUE"""),"N/A")</f>
        <v>N/A</v>
      </c>
      <c r="X1331" s="2" t="str">
        <f>IFERROR(__xludf.DUMMYFUNCTION("""COMPUTED_VALUE"""),"N/A")</f>
        <v>N/A</v>
      </c>
      <c r="Y1331" s="2"/>
      <c r="Z1331" s="2"/>
      <c r="AA1331" s="2"/>
      <c r="AB1331" s="2"/>
      <c r="AC1331" s="2"/>
      <c r="AD1331" s="2"/>
      <c r="AE1331" s="2"/>
      <c r="AF1331" s="2"/>
      <c r="AG1331" s="2"/>
      <c r="AH1331" s="2"/>
      <c r="AI1331" s="2"/>
      <c r="AJ1331" s="2" t="str">
        <f>IFERROR(__xludf.DUMMYFUNCTION("""COMPUTED_VALUE"""),"San Isidro")</f>
        <v>San Isidro</v>
      </c>
      <c r="AK1331" s="2" t="str">
        <f>IFERROR(__xludf.DUMMYFUNCTION("""COMPUTED_VALUE"""),"San Luis")</f>
        <v>San Luis</v>
      </c>
      <c r="AL1331" s="2" t="str">
        <f>IFERROR(__xludf.DUMMYFUNCTION("""COMPUTED_VALUE"""),"Pampanga")</f>
        <v>Pampanga</v>
      </c>
      <c r="AM1331" s="2">
        <f>IFERROR(__xludf.DUMMYFUNCTION("""COMPUTED_VALUE"""),3.0)</f>
        <v>3</v>
      </c>
      <c r="AN1331" s="2" t="str">
        <f>IFERROR(__xludf.DUMMYFUNCTION("""COMPUTED_VALUE"""),"RCEF 25-03-05")</f>
        <v>RCEF 25-03-05</v>
      </c>
      <c r="AO1331" s="2">
        <f>IFERROR(__xludf.DUMMYFUNCTION("""COMPUTED_VALUE"""),5.0)</f>
        <v>5</v>
      </c>
      <c r="AP1331" s="2" t="str">
        <f>IFERROR(__xludf.DUMMYFUNCTION("""COMPUTED_VALUE"""),"FREE PMS")</f>
        <v>FREE PMS</v>
      </c>
      <c r="AQ1331" s="2"/>
      <c r="AR1331" s="2"/>
      <c r="AS1331" s="2"/>
      <c r="AT1331" s="2"/>
      <c r="AU1331" s="2"/>
      <c r="AV1331" s="2"/>
      <c r="AW1331" s="2"/>
      <c r="AX1331" s="2"/>
      <c r="AY1331" s="2"/>
      <c r="AZ1331" s="2"/>
      <c r="BA1331" s="2"/>
      <c r="BB1331" s="2"/>
    </row>
    <row r="1332">
      <c r="A1332" s="2">
        <f>IFERROR(__xludf.DUMMYFUNCTION("""COMPUTED_VALUE"""),1328.0)</f>
        <v>1328</v>
      </c>
      <c r="B1332" s="2" t="str">
        <f>IFERROR(__xludf.DUMMYFUNCTION("""COMPUTED_VALUE"""),"COMPLETED")</f>
        <v>COMPLETED</v>
      </c>
      <c r="C1332" s="74">
        <f>IFERROR(__xludf.DUMMYFUNCTION("""COMPUTED_VALUE"""),46014.0)</f>
        <v>46014</v>
      </c>
      <c r="D1332" s="71" t="str">
        <f>IFERROR(__xludf.DUMMYFUNCTION("""COMPUTED_VALUE"""),"Barangay Local Government Unit of Camachile")</f>
        <v>Barangay Local Government Unit of Camachile</v>
      </c>
      <c r="E1332" s="71" t="str">
        <f>IFERROR(__xludf.DUMMYFUNCTION("""COMPUTED_VALUE"""),"Camachile, Gabaldon, NUEVA ECIJA")</f>
        <v>Camachile, Gabaldon, NUEVA ECIJA</v>
      </c>
      <c r="F1332" s="2" t="str">
        <f>IFERROR(__xludf.DUMMYFUNCTION("""COMPUTED_VALUE"""),"AMANDY COLLORADO")</f>
        <v>AMANDY COLLORADO</v>
      </c>
      <c r="G1332" s="2">
        <f>IFERROR(__xludf.DUMMYFUNCTION("""COMPUTED_VALUE"""),9.364415176E9)</f>
        <v>9364415176</v>
      </c>
      <c r="H1332" s="2">
        <f>IFERROR(__xludf.DUMMYFUNCTION("""COMPUTED_VALUE"""),50.0)</f>
        <v>50</v>
      </c>
      <c r="I1332" s="72" t="str">
        <f>IFERROR(__xludf.DUMMYFUNCTION("""COMPUTED_VALUE"""),"PMS")</f>
        <v>PMS</v>
      </c>
      <c r="J1332" s="72" t="str">
        <f>IFERROR(__xludf.DUMMYFUNCTION("""COMPUTED_VALUE"""),"PMS")</f>
        <v>PMS</v>
      </c>
      <c r="K1332" s="72" t="str">
        <f>IFERROR(__xludf.DUMMYFUNCTION("""COMPUTED_VALUE"""),"MYK: 1ST PMS FREE
GUSTO DING MAG PA TRAIN NG ANG OPERATOR NILA, KUNG PWEDE DAW SILANG MATAWAGAN AT MAY ITATANONG SILA SILA REGARDING SA TRANSMISSION")</f>
        <v>MYK: 1ST PMS FREE
GUSTO DING MAG PA TRAIN NG ANG OPERATOR NILA, KUNG PWEDE DAW SILANG MATAWAGAN AT MAY ITATANONG SILA SILA REGARDING SA TRANSMISSION</v>
      </c>
      <c r="L1332" s="72" t="str">
        <f>IFERROR(__xludf.DUMMYFUNCTION("""COMPUTED_VALUE"""),"JHP: 1ST PMS DONE")</f>
        <v>JHP: 1ST PMS DONE</v>
      </c>
      <c r="M1332" s="2"/>
      <c r="N1332" s="2" t="str">
        <f>IFERROR(__xludf.DUMMYFUNCTION("""COMPUTED_VALUE"""),"PARTS: 
OIL FILTER
ENGINE OIL")</f>
        <v>PARTS: 
OIL FILTER
ENGINE OIL</v>
      </c>
      <c r="O1332" s="2">
        <f>IFERROR(__xludf.DUMMYFUNCTION("""COMPUTED_VALUE"""),655.0)</f>
        <v>655</v>
      </c>
      <c r="P1332" s="2"/>
      <c r="Q1332" s="2" t="str">
        <f>IFERROR(__xludf.DUMMYFUNCTION("""COMPUTED_VALUE"""),"FOR PRINT")</f>
        <v>FOR PRINT</v>
      </c>
      <c r="R1332" s="74">
        <f>IFERROR(__xludf.DUMMYFUNCTION("""COMPUTED_VALUE"""),46027.0)</f>
        <v>46027</v>
      </c>
      <c r="S1332" s="2" t="str">
        <f>IFERROR(__xludf.DUMMYFUNCTION("""COMPUTED_VALUE"""),"JHP/ACS")</f>
        <v>JHP/ACS</v>
      </c>
      <c r="T1332" s="73" t="str">
        <f>IFERROR(__xludf.DUMMYFUNCTION("""COMPUTED_VALUE""")," N/A  ")</f>
        <v>N/A </v>
      </c>
      <c r="U1332" s="73" t="str">
        <f>IFERROR(__xludf.DUMMYFUNCTION("""COMPUTED_VALUE""")," NO CHARGE ")</f>
        <v>NO CHARGE</v>
      </c>
      <c r="V1332" s="2">
        <f>IFERROR(__xludf.DUMMYFUNCTION("""COMPUTED_VALUE"""),1284.0)</f>
        <v>1284</v>
      </c>
      <c r="W1332" s="2" t="str">
        <f>IFERROR(__xludf.DUMMYFUNCTION("""COMPUTED_VALUE"""),"N/A")</f>
        <v>N/A</v>
      </c>
      <c r="X1332" s="2" t="str">
        <f>IFERROR(__xludf.DUMMYFUNCTION("""COMPUTED_VALUE"""),"N/A")</f>
        <v>N/A</v>
      </c>
      <c r="Y1332" s="2"/>
      <c r="Z1332" s="2"/>
      <c r="AA1332" s="2"/>
      <c r="AB1332" s="2"/>
      <c r="AC1332" s="2"/>
      <c r="AD1332" s="2"/>
      <c r="AE1332" s="2"/>
      <c r="AF1332" s="2"/>
      <c r="AG1332" s="2"/>
      <c r="AH1332" s="2"/>
      <c r="AI1332" s="2"/>
      <c r="AJ1332" s="2" t="str">
        <f>IFERROR(__xludf.DUMMYFUNCTION("""COMPUTED_VALUE"""),"Camachile")</f>
        <v>Camachile</v>
      </c>
      <c r="AK1332" s="2" t="str">
        <f>IFERROR(__xludf.DUMMYFUNCTION("""COMPUTED_VALUE"""),"Gabaldon")</f>
        <v>Gabaldon</v>
      </c>
      <c r="AL1332" s="2" t="str">
        <f>IFERROR(__xludf.DUMMYFUNCTION("""COMPUTED_VALUE"""),"Nueva Ecija")</f>
        <v>Nueva Ecija</v>
      </c>
      <c r="AM1332" s="2">
        <f>IFERROR(__xludf.DUMMYFUNCTION("""COMPUTED_VALUE"""),3.0)</f>
        <v>3</v>
      </c>
      <c r="AN1332" s="2" t="str">
        <f>IFERROR(__xludf.DUMMYFUNCTION("""COMPUTED_VALUE"""),"RCEF 25-03-05")</f>
        <v>RCEF 25-03-05</v>
      </c>
      <c r="AO1332" s="2">
        <f>IFERROR(__xludf.DUMMYFUNCTION("""COMPUTED_VALUE"""),5.0)</f>
        <v>5</v>
      </c>
      <c r="AP1332" s="2" t="str">
        <f>IFERROR(__xludf.DUMMYFUNCTION("""COMPUTED_VALUE"""),"FREE PMS")</f>
        <v>FREE PMS</v>
      </c>
      <c r="AQ1332" s="2"/>
      <c r="AR1332" s="2"/>
      <c r="AS1332" s="2"/>
      <c r="AT1332" s="2"/>
      <c r="AU1332" s="2"/>
      <c r="AV1332" s="2"/>
      <c r="AW1332" s="2"/>
      <c r="AX1332" s="2"/>
      <c r="AY1332" s="2"/>
      <c r="AZ1332" s="2"/>
      <c r="BA1332" s="2"/>
      <c r="BB1332" s="2"/>
    </row>
    <row r="1333">
      <c r="A1333" s="2">
        <f>IFERROR(__xludf.DUMMYFUNCTION("""COMPUTED_VALUE"""),1329.0)</f>
        <v>1329</v>
      </c>
      <c r="B1333" s="2" t="str">
        <f>IFERROR(__xludf.DUMMYFUNCTION("""COMPUTED_VALUE"""),"PENDING")</f>
        <v>PENDING</v>
      </c>
      <c r="C1333" s="74">
        <f>IFERROR(__xludf.DUMMYFUNCTION("""COMPUTED_VALUE"""),46014.0)</f>
        <v>46014</v>
      </c>
      <c r="D1333" s="71" t="str">
        <f>IFERROR(__xludf.DUMMYFUNCTION("""COMPUTED_VALUE"""),"Amnay Cabagan Irrigators and Farmers Agriculture Cooperative")</f>
        <v>Amnay Cabagan Irrigators and Farmers Agriculture Cooperative</v>
      </c>
      <c r="E1333" s="71" t="str">
        <f>IFERROR(__xludf.DUMMYFUNCTION("""COMPUTED_VALUE"""),"Barahan, Santa Cruz, OCCIDENTAL MINDORO")</f>
        <v>Barahan, Santa Cruz, OCCIDENTAL MINDORO</v>
      </c>
      <c r="F1333" s="2" t="str">
        <f>IFERROR(__xludf.DUMMYFUNCTION("""COMPUTED_VALUE"""),"Ronilo Salgado")</f>
        <v>Ronilo Salgado</v>
      </c>
      <c r="G1333" s="2"/>
      <c r="H1333" s="2"/>
      <c r="I1333" s="72" t="str">
        <f>IFERROR(__xludf.DUMMYFUNCTION("""COMPUTED_VALUE"""),"REPAIR - TRACTOR")</f>
        <v>REPAIR - TRACTOR</v>
      </c>
      <c r="J1333" s="72" t="str">
        <f>IFERROR(__xludf.DUMMYFUNCTION("""COMPUTED_VALUE"""),"Electrical - Fuse Box / Transmission - Front Drive / Front Axle Leaking")</f>
        <v>Electrical - Fuse Box / Transmission - Front Drive / Front Axle Leaking</v>
      </c>
      <c r="K1333" s="72" t="str">
        <f>IFERROR(__xludf.DUMMYFUNCTION("""COMPUTED_VALUE"""),"MYK: FOLLOW UP FUSE BOX PROBLEM
MAY TAGAS ANG OIL SEAL SA FRONT AXLE AT BASAG ANG BEARING SA FRONT DRIVE PROPELLER")</f>
        <v>MYK: FOLLOW UP FUSE BOX PROBLEM
MAY TAGAS ANG OIL SEAL SA FRONT AXLE AT BASAG ANG BEARING SA FRONT DRIVE PROPELLER</v>
      </c>
      <c r="L1333" s="72" t="str">
        <f>IFERROR(__xludf.DUMMYFUNCTION("""COMPUTED_VALUE"""),"- PARTS REQUESTED - DONE PO-  NO PARTS AVL")</f>
        <v>- PARTS REQUESTED - DONE PO-  NO PARTS AVL</v>
      </c>
      <c r="M1333" s="2" t="str">
        <f>IFERROR(__xludf.DUMMYFUNCTION("""COMPUTED_VALUE"""),"FUESE BOX ASSY")</f>
        <v>FUESE BOX ASSY</v>
      </c>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t="str">
        <f>IFERROR(__xludf.DUMMYFUNCTION("""COMPUTED_VALUE"""),"Barahan")</f>
        <v>Barahan</v>
      </c>
      <c r="AK1333" s="2" t="str">
        <f>IFERROR(__xludf.DUMMYFUNCTION("""COMPUTED_VALUE"""),"Santa Cruz")</f>
        <v>Santa Cruz</v>
      </c>
      <c r="AL1333" s="2" t="str">
        <f>IFERROR(__xludf.DUMMYFUNCTION("""COMPUTED_VALUE"""),"Occidental Mindoro")</f>
        <v>Occidental Mindoro</v>
      </c>
      <c r="AM1333" s="2" t="str">
        <f>IFERROR(__xludf.DUMMYFUNCTION("""COMPUTED_VALUE"""),"4B")</f>
        <v>4B</v>
      </c>
      <c r="AN1333" s="2" t="str">
        <f>IFERROR(__xludf.DUMMYFUNCTION("""COMPUTED_VALUE"""),"RCEF 24-04-15")</f>
        <v>RCEF 24-04-15</v>
      </c>
      <c r="AO1333" s="2">
        <f>IFERROR(__xludf.DUMMYFUNCTION("""COMPUTED_VALUE"""),7.0)</f>
        <v>7</v>
      </c>
      <c r="AP1333" s="2" t="str">
        <f>IFERROR(__xludf.DUMMYFUNCTION("""COMPUTED_VALUE"""),"FREE PMS")</f>
        <v>FREE PMS</v>
      </c>
      <c r="AQ1333" s="2"/>
      <c r="AR1333" s="2"/>
      <c r="AS1333" s="2"/>
      <c r="AT1333" s="2"/>
      <c r="AU1333" s="2"/>
      <c r="AV1333" s="2"/>
      <c r="AW1333" s="2"/>
      <c r="AX1333" s="2"/>
      <c r="AY1333" s="2"/>
      <c r="AZ1333" s="2"/>
      <c r="BA1333" s="2"/>
      <c r="BB1333" s="2"/>
    </row>
    <row r="1334">
      <c r="A1334" s="2">
        <f>IFERROR(__xludf.DUMMYFUNCTION("""COMPUTED_VALUE"""),1330.0)</f>
        <v>1330</v>
      </c>
      <c r="B1334" s="2" t="str">
        <f>IFERROR(__xludf.DUMMYFUNCTION("""COMPUTED_VALUE"""),"COMPLETED")</f>
        <v>COMPLETED</v>
      </c>
      <c r="C1334" s="74">
        <f>IFERROR(__xludf.DUMMYFUNCTION("""COMPUTED_VALUE"""),46014.0)</f>
        <v>46014</v>
      </c>
      <c r="D1334" s="71" t="str">
        <f>IFERROR(__xludf.DUMMYFUNCTION("""COMPUTED_VALUE"""),"Tamaraw Development Cooperative (TADECO)")</f>
        <v>Tamaraw Development Cooperative (TADECO)</v>
      </c>
      <c r="E1334" s="71" t="str">
        <f>IFERROR(__xludf.DUMMYFUNCTION("""COMPUTED_VALUE"""),"La Curva, San Jose, OCCIDENTAL MINDORO")</f>
        <v>La Curva, San Jose, OCCIDENTAL MINDORO</v>
      </c>
      <c r="F1334" s="2" t="str">
        <f>IFERROR(__xludf.DUMMYFUNCTION("""COMPUTED_VALUE"""),"Franco Bergonia")</f>
        <v>Franco Bergonia</v>
      </c>
      <c r="G1334" s="2" t="str">
        <f>IFERROR(__xludf.DUMMYFUNCTION("""COMPUTED_VALUE"""),"9503537207 / 09278347186")</f>
        <v>9503537207 / 09278347186</v>
      </c>
      <c r="H1334" s="2">
        <f>IFERROR(__xludf.DUMMYFUNCTION("""COMPUTED_VALUE"""),280.0)</f>
        <v>280</v>
      </c>
      <c r="I1334" s="72" t="str">
        <f>IFERROR(__xludf.DUMMYFUNCTION("""COMPUTED_VALUE"""),"REPAIR - TRACTOR")</f>
        <v>REPAIR - TRACTOR</v>
      </c>
      <c r="J1334" s="72" t="str">
        <f>IFERROR(__xludf.DUMMYFUNCTION("""COMPUTED_VALUE"""),"Engine - Injector Pump")</f>
        <v>Engine - Injector Pump</v>
      </c>
      <c r="K1334" s="72" t="str">
        <f>IFERROR(__xludf.DUMMYFUNCTION("""COMPUTED_VALUE"""),"RBS: Naglo-low power at mausok,may lumabas n langis s turbo..
RBS: 2/5/26: over heating and turbo problem may lumabas na langis.
Low power ")</f>
        <v>RBS: Naglo-low power at mausok,may lumabas n langis s turbo..
RBS: 2/5/26: over heating and turbo problem may lumabas na langis.
Low power </v>
      </c>
      <c r="L1334" s="72" t="str">
        <f>IFERROR(__xludf.DUMMYFUNCTION("""COMPUTED_VALUE"""),"732:RCG: NEED TO CALIBRATE INJECTOR OF TYM  C/O FCA
5/25/26 - 747:RCG: REPLACED INJECTOR NOZZLE 4 PCS IN CALIBRATION CENTER - REPLACED 4 PCS LASHER")</f>
        <v>732:RCG: NEED TO CALIBRATE INJECTOR OF TYM  C/O FCA
5/25/26 - 747:RCG: REPLACED INJECTOR NOZZLE 4 PCS IN CALIBRATION CENTER - REPLACED 4 PCS LASHER</v>
      </c>
      <c r="M1334" s="2"/>
      <c r="N1334" s="2" t="str">
        <f>IFERROR(__xludf.DUMMYFUNCTION("""COMPUTED_VALUE"""),"PARTS:
4 - INJECTOR NOZZLE - 7400
4 - INJECTOR WASHER  - 1000
CALIBRATION CHARGE - 9500
(WARRANTY BY LTC)")</f>
        <v>PARTS:
4 - INJECTOR NOZZLE - 7400
4 - INJECTOR WASHER  - 1000
CALIBRATION CHARGE - 9500
(WARRANTY BY LTC)</v>
      </c>
      <c r="O1334" s="2">
        <f>IFERROR(__xludf.DUMMYFUNCTION("""COMPUTED_VALUE"""),747.0)</f>
        <v>747</v>
      </c>
      <c r="P1334" s="2" t="str">
        <f>IFERROR(__xludf.DUMMYFUNCTION("""COMPUTED_VALUE"""),"747 - Tamaraw Development Cooperative (TADECO).pdf")</f>
        <v>747 - Tamaraw Development Cooperative (TADECO).pdf</v>
      </c>
      <c r="Q1334" s="2" t="str">
        <f>IFERROR(__xludf.DUMMYFUNCTION("""COMPUTED_VALUE"""),"FOR PRINT")</f>
        <v>FOR PRINT</v>
      </c>
      <c r="R1334" s="74">
        <f>IFERROR(__xludf.DUMMYFUNCTION("""COMPUTED_VALUE"""),46167.0)</f>
        <v>46167</v>
      </c>
      <c r="S1334" s="2" t="str">
        <f>IFERROR(__xludf.DUMMYFUNCTION("""COMPUTED_VALUE"""),"RCG/RBS")</f>
        <v>RCG/RBS</v>
      </c>
      <c r="T1334" s="73" t="str">
        <f>IFERROR(__xludf.DUMMYFUNCTION("""COMPUTED_VALUE""")," N/A ")</f>
        <v>N/A</v>
      </c>
      <c r="U1334" s="73" t="str">
        <f>IFERROR(__xludf.DUMMYFUNCTION("""COMPUTED_VALUE""")," NO CHARGE ")</f>
        <v>NO CHARGE</v>
      </c>
      <c r="V1334" s="2" t="str">
        <f>IFERROR(__xludf.DUMMYFUNCTION("""COMPUTED_VALUE"""),"N/A")</f>
        <v>N/A</v>
      </c>
      <c r="W1334" s="2" t="str">
        <f>IFERROR(__xludf.DUMMYFUNCTION("""COMPUTED_VALUE"""),"N/A")</f>
        <v>N/A</v>
      </c>
      <c r="X1334" s="2" t="str">
        <f>IFERROR(__xludf.DUMMYFUNCTION("""COMPUTED_VALUE"""),"N/A")</f>
        <v>N/A</v>
      </c>
      <c r="Y1334" s="2"/>
      <c r="Z1334" s="2"/>
      <c r="AA1334" s="2"/>
      <c r="AB1334" s="2"/>
      <c r="AC1334" s="2"/>
      <c r="AD1334" s="2"/>
      <c r="AE1334" s="2"/>
      <c r="AF1334" s="2"/>
      <c r="AG1334" s="2"/>
      <c r="AH1334" s="2"/>
      <c r="AI1334" s="2"/>
      <c r="AJ1334" s="2" t="str">
        <f>IFERROR(__xludf.DUMMYFUNCTION("""COMPUTED_VALUE"""),"La Curva")</f>
        <v>La Curva</v>
      </c>
      <c r="AK1334" s="2" t="str">
        <f>IFERROR(__xludf.DUMMYFUNCTION("""COMPUTED_VALUE"""),"San Jose")</f>
        <v>San Jose</v>
      </c>
      <c r="AL1334" s="2" t="str">
        <f>IFERROR(__xludf.DUMMYFUNCTION("""COMPUTED_VALUE"""),"Occidental Mindoro")</f>
        <v>Occidental Mindoro</v>
      </c>
      <c r="AM1334" s="2" t="str">
        <f>IFERROR(__xludf.DUMMYFUNCTION("""COMPUTED_VALUE"""),"4B")</f>
        <v>4B</v>
      </c>
      <c r="AN1334" s="2" t="str">
        <f>IFERROR(__xludf.DUMMYFUNCTION("""COMPUTED_VALUE"""),"RCEF 25-03-05")</f>
        <v>RCEF 25-03-05</v>
      </c>
      <c r="AO1334" s="2">
        <f>IFERROR(__xludf.DUMMYFUNCTION("""COMPUTED_VALUE"""),6.0)</f>
        <v>6</v>
      </c>
      <c r="AP1334" s="2" t="str">
        <f>IFERROR(__xludf.DUMMYFUNCTION("""COMPUTED_VALUE"""),"FREE PMS")</f>
        <v>FREE PMS</v>
      </c>
      <c r="AQ1334" s="2"/>
      <c r="AR1334" s="2"/>
      <c r="AS1334" s="2"/>
      <c r="AT1334" s="2"/>
      <c r="AU1334" s="2"/>
      <c r="AV1334" s="2"/>
      <c r="AW1334" s="2"/>
      <c r="AX1334" s="2"/>
      <c r="AY1334" s="2"/>
      <c r="AZ1334" s="2"/>
      <c r="BA1334" s="2"/>
      <c r="BB1334" s="2"/>
    </row>
    <row r="1335">
      <c r="A1335" s="2">
        <f>IFERROR(__xludf.DUMMYFUNCTION("""COMPUTED_VALUE"""),1331.0)</f>
        <v>1331</v>
      </c>
      <c r="B1335" s="2" t="str">
        <f>IFERROR(__xludf.DUMMYFUNCTION("""COMPUTED_VALUE"""),"COMPLETED")</f>
        <v>COMPLETED</v>
      </c>
      <c r="C1335" s="74">
        <f>IFERROR(__xludf.DUMMYFUNCTION("""COMPUTED_VALUE"""),46017.0)</f>
        <v>46017</v>
      </c>
      <c r="D1335" s="71" t="str">
        <f>IFERROR(__xludf.DUMMYFUNCTION("""COMPUTED_VALUE"""),"Samahang ng Manggagawang Mindoreño Agriculture Cooperative (SAMMAGRICO)")</f>
        <v>Samahang ng Manggagawang Mindoreño Agriculture Cooperative (SAMMAGRICO)</v>
      </c>
      <c r="E1335" s="71" t="str">
        <f>IFERROR(__xludf.DUMMYFUNCTION("""COMPUTED_VALUE"""),"Magbay, San Jose, OCCIDENTAL MINDORO")</f>
        <v>Magbay, San Jose, OCCIDENTAL MINDORO</v>
      </c>
      <c r="F1335" s="2" t="str">
        <f>IFERROR(__xludf.DUMMYFUNCTION("""COMPUTED_VALUE"""),"GERRYWIN OQUINDO")</f>
        <v>GERRYWIN OQUINDO</v>
      </c>
      <c r="G1335" s="2">
        <f>IFERROR(__xludf.DUMMYFUNCTION("""COMPUTED_VALUE"""),9.662635401E9)</f>
        <v>9662635401</v>
      </c>
      <c r="H1335" s="2"/>
      <c r="I1335" s="72" t="str">
        <f>IFERROR(__xludf.DUMMYFUNCTION("""COMPUTED_VALUE"""),"REPAIR - TRACTOR")</f>
        <v>REPAIR - TRACTOR</v>
      </c>
      <c r="J1335" s="72" t="str">
        <f>IFERROR(__xludf.DUMMYFUNCTION("""COMPUTED_VALUE"""),"Electrical - Dashboard")</f>
        <v>Electrical - Dashboard</v>
      </c>
      <c r="K1335" s="72" t="str">
        <f>IFERROR(__xludf.DUMMYFUNCTION("""COMPUTED_VALUE"""),"RBS: PANEL BOARD IS NOT WORKING (FOR WARRANTY CLAIM)
RADIATOR FAN IS DAMAGE ")</f>
        <v>RBS: PANEL BOARD IS NOT WORKING (FOR WARRANTY CLAIM)
RADIATOR FAN IS DAMAGE </v>
      </c>
      <c r="L1335" s="72" t="str">
        <f>IFERROR(__xludf.DUMMYFUNCTION("""COMPUTED_VALUE"""),"MYK: REQUEST PICTURE AND VIDEO TO FCA -  SENT  - FORWARDED TO LTC SOUTH GC -  FOR WARRANTY CLAIM
RCG: LOOSE CONTACT, CHECK UP THE WIRING AND PANEL  BOARD")</f>
        <v>MYK: REQUEST PICTURE AND VIDEO TO FCA -  SENT  - FORWARDED TO LTC SOUTH GC -  FOR WARRANTY CLAIM
RCG: LOOSE CONTACT, CHECK UP THE WIRING AND PANEL  BOARD</v>
      </c>
      <c r="M1335" s="2"/>
      <c r="N1335" s="2"/>
      <c r="O1335" s="2">
        <f>IFERROR(__xludf.DUMMYFUNCTION("""COMPUTED_VALUE"""),729.0)</f>
        <v>729</v>
      </c>
      <c r="P1335" s="2"/>
      <c r="Q1335" s="2" t="str">
        <f>IFERROR(__xludf.DUMMYFUNCTION("""COMPUTED_VALUE"""),"FOR PRINT")</f>
        <v>FOR PRINT</v>
      </c>
      <c r="R1335" s="74">
        <f>IFERROR(__xludf.DUMMYFUNCTION("""COMPUTED_VALUE"""),46088.0)</f>
        <v>46088</v>
      </c>
      <c r="S1335" s="2" t="str">
        <f>IFERROR(__xludf.DUMMYFUNCTION("""COMPUTED_VALUE"""),"RCG/RCM")</f>
        <v>RCG/RCM</v>
      </c>
      <c r="T1335" s="73" t="str">
        <f>IFERROR(__xludf.DUMMYFUNCTION("""COMPUTED_VALUE""")," N/A  ")</f>
        <v>N/A </v>
      </c>
      <c r="U1335" s="73" t="str">
        <f>IFERROR(__xludf.DUMMYFUNCTION("""COMPUTED_VALUE""")," NO CHARGE ")</f>
        <v>NO CHARGE</v>
      </c>
      <c r="V1335" s="2" t="str">
        <f>IFERROR(__xludf.DUMMYFUNCTION("""COMPUTED_VALUE"""),"N/A")</f>
        <v>N/A</v>
      </c>
      <c r="W1335" s="2" t="str">
        <f>IFERROR(__xludf.DUMMYFUNCTION("""COMPUTED_VALUE"""),"N/A")</f>
        <v>N/A</v>
      </c>
      <c r="X1335" s="2" t="str">
        <f>IFERROR(__xludf.DUMMYFUNCTION("""COMPUTED_VALUE"""),"N/A")</f>
        <v>N/A</v>
      </c>
      <c r="Y1335" s="2"/>
      <c r="Z1335" s="2"/>
      <c r="AA1335" s="2"/>
      <c r="AB1335" s="2"/>
      <c r="AC1335" s="2"/>
      <c r="AD1335" s="2"/>
      <c r="AE1335" s="2"/>
      <c r="AF1335" s="2"/>
      <c r="AG1335" s="2"/>
      <c r="AH1335" s="2"/>
      <c r="AI1335" s="2"/>
      <c r="AJ1335" s="2" t="str">
        <f>IFERROR(__xludf.DUMMYFUNCTION("""COMPUTED_VALUE"""),"Magbay")</f>
        <v>Magbay</v>
      </c>
      <c r="AK1335" s="2" t="str">
        <f>IFERROR(__xludf.DUMMYFUNCTION("""COMPUTED_VALUE"""),"San Jose")</f>
        <v>San Jose</v>
      </c>
      <c r="AL1335" s="2" t="str">
        <f>IFERROR(__xludf.DUMMYFUNCTION("""COMPUTED_VALUE"""),"Occidental Mindoro")</f>
        <v>Occidental Mindoro</v>
      </c>
      <c r="AM1335" s="2" t="str">
        <f>IFERROR(__xludf.DUMMYFUNCTION("""COMPUTED_VALUE"""),"4B")</f>
        <v>4B</v>
      </c>
      <c r="AN1335" s="2" t="str">
        <f>IFERROR(__xludf.DUMMYFUNCTION("""COMPUTED_VALUE"""),"RCEF 25-03-05")</f>
        <v>RCEF 25-03-05</v>
      </c>
      <c r="AO1335" s="2">
        <f>IFERROR(__xludf.DUMMYFUNCTION("""COMPUTED_VALUE"""),6.0)</f>
        <v>6</v>
      </c>
      <c r="AP1335" s="2" t="str">
        <f>IFERROR(__xludf.DUMMYFUNCTION("""COMPUTED_VALUE"""),"FREE PMS")</f>
        <v>FREE PMS</v>
      </c>
      <c r="AQ1335" s="2"/>
      <c r="AR1335" s="2"/>
      <c r="AS1335" s="2"/>
      <c r="AT1335" s="2"/>
      <c r="AU1335" s="2"/>
      <c r="AV1335" s="2"/>
      <c r="AW1335" s="2"/>
      <c r="AX1335" s="2"/>
      <c r="AY1335" s="2"/>
      <c r="AZ1335" s="2"/>
      <c r="BA1335" s="2"/>
      <c r="BB1335" s="2"/>
    </row>
    <row r="1336">
      <c r="A1336" s="2">
        <f>IFERROR(__xludf.DUMMYFUNCTION("""COMPUTED_VALUE"""),1332.0)</f>
        <v>1332</v>
      </c>
      <c r="B1336" s="2" t="str">
        <f>IFERROR(__xludf.DUMMYFUNCTION("""COMPUTED_VALUE"""),"COMPLETED")</f>
        <v>COMPLETED</v>
      </c>
      <c r="C1336" s="74">
        <f>IFERROR(__xludf.DUMMYFUNCTION("""COMPUTED_VALUE"""),46017.0)</f>
        <v>46017</v>
      </c>
      <c r="D1336" s="71" t="str">
        <f>IFERROR(__xludf.DUMMYFUNCTION("""COMPUTED_VALUE"""),"Samahan sa Ikauunlad ng Pagsasaka")</f>
        <v>Samahan sa Ikauunlad ng Pagsasaka</v>
      </c>
      <c r="E1336" s="71" t="str">
        <f>IFERROR(__xludf.DUMMYFUNCTION("""COMPUTED_VALUE"""),"San Vicente, Santa Cruz, OCCIDENTAL MINDORO")</f>
        <v>San Vicente, Santa Cruz, OCCIDENTAL MINDORO</v>
      </c>
      <c r="F1336" s="2" t="str">
        <f>IFERROR(__xludf.DUMMYFUNCTION("""COMPUTED_VALUE"""),"Fe legaspi")</f>
        <v>Fe legaspi</v>
      </c>
      <c r="G1336" s="2"/>
      <c r="H1336" s="2">
        <f>IFERROR(__xludf.DUMMYFUNCTION("""COMPUTED_VALUE"""),140.6)</f>
        <v>140.6</v>
      </c>
      <c r="I1336" s="72" t="str">
        <f>IFERROR(__xludf.DUMMYFUNCTION("""COMPUTED_VALUE"""),"PMS")</f>
        <v>PMS</v>
      </c>
      <c r="J1336" s="72" t="str">
        <f>IFERROR(__xludf.DUMMYFUNCTION("""COMPUTED_VALUE"""),"PMS")</f>
        <v>PMS</v>
      </c>
      <c r="K1336" s="72" t="str">
        <f>IFERROR(__xludf.DUMMYFUNCTION("""COMPUTED_VALUE"""),"RBS: 1ST PMS FREE")</f>
        <v>RBS: 1ST PMS FREE</v>
      </c>
      <c r="L1336" s="72" t="str">
        <f>IFERROR(__xludf.DUMMYFUNCTION("""COMPUTED_VALUE"""),"RBS: 1ST  PMS DONE")</f>
        <v>RBS: 1ST  PMS DONE</v>
      </c>
      <c r="M1336" s="2"/>
      <c r="N1336" s="2" t="str">
        <f>IFERROR(__xludf.DUMMYFUNCTION("""COMPUTED_VALUE"""),"PARTS: 
OIL FILTER
ENGINE OIL")</f>
        <v>PARTS: 
OIL FILTER
ENGINE OIL</v>
      </c>
      <c r="O1336" s="2">
        <f>IFERROR(__xludf.DUMMYFUNCTION("""COMPUTED_VALUE"""),601.0)</f>
        <v>601</v>
      </c>
      <c r="P1336" s="2"/>
      <c r="Q1336" s="2" t="str">
        <f>IFERROR(__xludf.DUMMYFUNCTION("""COMPUTED_VALUE"""),"FOR PRINT")</f>
        <v>FOR PRINT</v>
      </c>
      <c r="R1336" s="74">
        <f>IFERROR(__xludf.DUMMYFUNCTION("""COMPUTED_VALUE"""),46012.0)</f>
        <v>46012</v>
      </c>
      <c r="S1336" s="2" t="str">
        <f>IFERROR(__xludf.DUMMYFUNCTION("""COMPUTED_VALUE"""),"RBS")</f>
        <v>RBS</v>
      </c>
      <c r="T1336" s="73" t="str">
        <f>IFERROR(__xludf.DUMMYFUNCTION("""COMPUTED_VALUE""")," N/A  ")</f>
        <v>N/A </v>
      </c>
      <c r="U1336" s="73" t="str">
        <f>IFERROR(__xludf.DUMMYFUNCTION("""COMPUTED_VALUE""")," NO CHARGE ")</f>
        <v>NO CHARGE</v>
      </c>
      <c r="V1336" s="2"/>
      <c r="W1336" s="2" t="str">
        <f>IFERROR(__xludf.DUMMYFUNCTION("""COMPUTED_VALUE"""),"N/A")</f>
        <v>N/A</v>
      </c>
      <c r="X1336" s="2" t="str">
        <f>IFERROR(__xludf.DUMMYFUNCTION("""COMPUTED_VALUE"""),"N/A")</f>
        <v>N/A</v>
      </c>
      <c r="Y1336" s="2"/>
      <c r="Z1336" s="2"/>
      <c r="AA1336" s="2"/>
      <c r="AB1336" s="2"/>
      <c r="AC1336" s="2"/>
      <c r="AD1336" s="2"/>
      <c r="AE1336" s="2"/>
      <c r="AF1336" s="2"/>
      <c r="AG1336" s="2"/>
      <c r="AH1336" s="2"/>
      <c r="AI1336" s="2"/>
      <c r="AJ1336" s="2" t="str">
        <f>IFERROR(__xludf.DUMMYFUNCTION("""COMPUTED_VALUE"""),"San Vicente")</f>
        <v>San Vicente</v>
      </c>
      <c r="AK1336" s="2" t="str">
        <f>IFERROR(__xludf.DUMMYFUNCTION("""COMPUTED_VALUE"""),"Santa Cruz")</f>
        <v>Santa Cruz</v>
      </c>
      <c r="AL1336" s="2" t="str">
        <f>IFERROR(__xludf.DUMMYFUNCTION("""COMPUTED_VALUE"""),"Occidental Mindoro")</f>
        <v>Occidental Mindoro</v>
      </c>
      <c r="AM1336" s="2" t="str">
        <f>IFERROR(__xludf.DUMMYFUNCTION("""COMPUTED_VALUE"""),"4B")</f>
        <v>4B</v>
      </c>
      <c r="AN1336" s="2" t="str">
        <f>IFERROR(__xludf.DUMMYFUNCTION("""COMPUTED_VALUE"""),"RCEF 25-03-05")</f>
        <v>RCEF 25-03-05</v>
      </c>
      <c r="AO1336" s="2">
        <f>IFERROR(__xludf.DUMMYFUNCTION("""COMPUTED_VALUE"""),6.0)</f>
        <v>6</v>
      </c>
      <c r="AP1336" s="2" t="str">
        <f>IFERROR(__xludf.DUMMYFUNCTION("""COMPUTED_VALUE"""),"FREE PMS")</f>
        <v>FREE PMS</v>
      </c>
      <c r="AQ1336" s="2"/>
      <c r="AR1336" s="2"/>
      <c r="AS1336" s="2"/>
      <c r="AT1336" s="2"/>
      <c r="AU1336" s="2"/>
      <c r="AV1336" s="2"/>
      <c r="AW1336" s="2"/>
      <c r="AX1336" s="2"/>
      <c r="AY1336" s="2"/>
      <c r="AZ1336" s="2"/>
      <c r="BA1336" s="2"/>
      <c r="BB1336" s="2"/>
    </row>
    <row r="1337">
      <c r="A1337" s="2">
        <f>IFERROR(__xludf.DUMMYFUNCTION("""COMPUTED_VALUE"""),1333.0)</f>
        <v>1333</v>
      </c>
      <c r="B1337" s="2" t="str">
        <f>IFERROR(__xludf.DUMMYFUNCTION("""COMPUTED_VALUE"""),"COMPLETED")</f>
        <v>COMPLETED</v>
      </c>
      <c r="C1337" s="74">
        <f>IFERROR(__xludf.DUMMYFUNCTION("""COMPUTED_VALUE"""),46017.0)</f>
        <v>46017</v>
      </c>
      <c r="D1337" s="71" t="str">
        <f>IFERROR(__xludf.DUMMYFUNCTION("""COMPUTED_VALUE"""),"Kalayaan Grain Farmers Association")</f>
        <v>Kalayaan Grain Farmers Association</v>
      </c>
      <c r="E1337" s="71" t="str">
        <f>IFERROR(__xludf.DUMMYFUNCTION("""COMPUTED_VALUE"""),"Dakila, Malolos City, BULACAN")</f>
        <v>Dakila, Malolos City, BULACAN</v>
      </c>
      <c r="F1337" s="2" t="str">
        <f>IFERROR(__xludf.DUMMYFUNCTION("""COMPUTED_VALUE"""),"APOLINARIO SURIO")</f>
        <v>APOLINARIO SURIO</v>
      </c>
      <c r="G1337" s="2">
        <f>IFERROR(__xludf.DUMMYFUNCTION("""COMPUTED_VALUE"""),9.670497805E9)</f>
        <v>9670497805</v>
      </c>
      <c r="H1337" s="2"/>
      <c r="I1337" s="72" t="str">
        <f>IFERROR(__xludf.DUMMYFUNCTION("""COMPUTED_VALUE"""),"PMS")</f>
        <v>PMS</v>
      </c>
      <c r="J1337" s="72" t="str">
        <f>IFERROR(__xludf.DUMMYFUNCTION("""COMPUTED_VALUE"""),"PMS")</f>
        <v>PMS</v>
      </c>
      <c r="K1337" s="72" t="str">
        <f>IFERROR(__xludf.DUMMYFUNCTION("""COMPUTED_VALUE"""),"ECM:2ND PMS")</f>
        <v>ECM:2ND PMS</v>
      </c>
      <c r="L1337" s="72" t="str">
        <f>IFERROR(__xludf.DUMMYFUNCTION("""COMPUTED_VALUE"""),"JDP: BUY ONLY HYDRAULIC FILTER")</f>
        <v>JDP: BUY ONLY HYDRAULIC FILTER</v>
      </c>
      <c r="M1337" s="2"/>
      <c r="N1337" s="2" t="str">
        <f>IFERROR(__xludf.DUMMYFUNCTION("""COMPUTED_VALUE"""),"PARTS:
HYDRAULIC FILTER")</f>
        <v>PARTS:
HYDRAULIC FILTER</v>
      </c>
      <c r="O1337" s="2" t="str">
        <f>IFERROR(__xludf.DUMMYFUNCTION("""COMPUTED_VALUE"""),"N/A")</f>
        <v>N/A</v>
      </c>
      <c r="P1337" s="2"/>
      <c r="Q1337" s="2"/>
      <c r="R1337" s="74">
        <f>IFERROR(__xludf.DUMMYFUNCTION("""COMPUTED_VALUE"""),46031.0)</f>
        <v>46031</v>
      </c>
      <c r="S1337" s="2" t="str">
        <f>IFERROR(__xludf.DUMMYFUNCTION("""COMPUTED_VALUE"""),"JDP/DRM")</f>
        <v>JDP/DRM</v>
      </c>
      <c r="T1337" s="73">
        <f>IFERROR(__xludf.DUMMYFUNCTION("""COMPUTED_VALUE"""),2838.0)</f>
        <v>2838</v>
      </c>
      <c r="U1337" s="73" t="str">
        <f>IFERROR(__xludf.DUMMYFUNCTION("""COMPUTED_VALUE""")," REMITTED ")</f>
        <v>REMITTED</v>
      </c>
      <c r="V1337" s="2">
        <f>IFERROR(__xludf.DUMMYFUNCTION("""COMPUTED_VALUE"""),1316.0)</f>
        <v>1316</v>
      </c>
      <c r="W1337" s="2">
        <f>IFERROR(__xludf.DUMMYFUNCTION("""COMPUTED_VALUE"""),1673.0)</f>
        <v>1673</v>
      </c>
      <c r="X1337" s="2">
        <f>IFERROR(__xludf.DUMMYFUNCTION("""COMPUTED_VALUE"""),1708.0)</f>
        <v>1708</v>
      </c>
      <c r="Y1337" s="2"/>
      <c r="Z1337" s="2"/>
      <c r="AA1337" s="2"/>
      <c r="AB1337" s="2"/>
      <c r="AC1337" s="2"/>
      <c r="AD1337" s="2"/>
      <c r="AE1337" s="2"/>
      <c r="AF1337" s="2"/>
      <c r="AG1337" s="2"/>
      <c r="AH1337" s="2"/>
      <c r="AI1337" s="2"/>
      <c r="AJ1337" s="2" t="str">
        <f>IFERROR(__xludf.DUMMYFUNCTION("""COMPUTED_VALUE"""),"Dakila")</f>
        <v>Dakila</v>
      </c>
      <c r="AK1337" s="2" t="str">
        <f>IFERROR(__xludf.DUMMYFUNCTION("""COMPUTED_VALUE"""),"Malolos City")</f>
        <v>Malolos City</v>
      </c>
      <c r="AL1337" s="2" t="str">
        <f>IFERROR(__xludf.DUMMYFUNCTION("""COMPUTED_VALUE"""),"Bulacan")</f>
        <v>Bulacan</v>
      </c>
      <c r="AM1337" s="2">
        <f>IFERROR(__xludf.DUMMYFUNCTION("""COMPUTED_VALUE"""),3.0)</f>
        <v>3</v>
      </c>
      <c r="AN1337" s="2" t="str">
        <f>IFERROR(__xludf.DUMMYFUNCTION("""COMPUTED_VALUE"""),"Repeat Order")</f>
        <v>Repeat Order</v>
      </c>
      <c r="AO1337" s="2">
        <f>IFERROR(__xludf.DUMMYFUNCTION("""COMPUTED_VALUE"""),6.0)</f>
        <v>6</v>
      </c>
      <c r="AP1337" s="2" t="str">
        <f>IFERROR(__xludf.DUMMYFUNCTION("""COMPUTED_VALUE"""),"FREE PMS")</f>
        <v>FREE PMS</v>
      </c>
      <c r="AQ1337" s="2"/>
      <c r="AR1337" s="2"/>
      <c r="AS1337" s="2"/>
      <c r="AT1337" s="2"/>
      <c r="AU1337" s="2"/>
      <c r="AV1337" s="2"/>
      <c r="AW1337" s="2"/>
      <c r="AX1337" s="2"/>
      <c r="AY1337" s="2"/>
      <c r="AZ1337" s="2"/>
      <c r="BA1337" s="2"/>
      <c r="BB1337" s="2"/>
    </row>
    <row r="1338">
      <c r="A1338" s="2">
        <f>IFERROR(__xludf.DUMMYFUNCTION("""COMPUTED_VALUE"""),1334.0)</f>
        <v>1334</v>
      </c>
      <c r="B1338" s="2" t="str">
        <f>IFERROR(__xludf.DUMMYFUNCTION("""COMPUTED_VALUE"""),"COMPLETED")</f>
        <v>COMPLETED</v>
      </c>
      <c r="C1338" s="74">
        <f>IFERROR(__xludf.DUMMYFUNCTION("""COMPUTED_VALUE"""),46017.0)</f>
        <v>46017</v>
      </c>
      <c r="D1338" s="71" t="str">
        <f>IFERROR(__xludf.DUMMYFUNCTION("""COMPUTED_VALUE"""),"CAMLONGAN IRRIGATORS ASSOCIATION INC.")</f>
        <v>CAMLONGAN IRRIGATORS ASSOCIATION INC.</v>
      </c>
      <c r="E1338" s="71" t="str">
        <f>IFERROR(__xludf.DUMMYFUNCTION("""COMPUTED_VALUE"""),"Kapitangan, Paombong, BULACAN")</f>
        <v>Kapitangan, Paombong, BULACAN</v>
      </c>
      <c r="F1338" s="2" t="str">
        <f>IFERROR(__xludf.DUMMYFUNCTION("""COMPUTED_VALUE"""),"Rolando santiago")</f>
        <v>Rolando santiago</v>
      </c>
      <c r="G1338" s="2">
        <f>IFERROR(__xludf.DUMMYFUNCTION("""COMPUTED_VALUE"""),9.235058815E9)</f>
        <v>9235058815</v>
      </c>
      <c r="H1338" s="2"/>
      <c r="I1338" s="72" t="str">
        <f>IFERROR(__xludf.DUMMYFUNCTION("""COMPUTED_VALUE"""),"REPAIR - TRACTOR")</f>
        <v>REPAIR - TRACTOR</v>
      </c>
      <c r="J1338" s="72" t="str">
        <f>IFERROR(__xludf.DUMMYFUNCTION("""COMPUTED_VALUE"""),"Hydraulic Pump")</f>
        <v>Hydraulic Pump</v>
      </c>
      <c r="K1338" s="72" t="str">
        <f>IFERROR(__xludf.DUMMYFUNCTION("""COMPUTED_VALUE"""),"JHP: AYAW TUMAAS ANG ROTO
JDP: HYDRAULIC PUMP PRICE - SENT")</f>
        <v>JHP: AYAW TUMAAS ANG ROTO
JDP: HYDRAULIC PUMP PRICE - SENT</v>
      </c>
      <c r="L1338" s="72" t="str">
        <f>IFERROR(__xludf.DUMMYFUNCTION("""COMPUTED_VALUE"""),"JDP: NO BUDGET
HYDRAULIC PUMP - 50,019
MYK: NAIPAGAWA NA NYA SA IBA YUNG PROBLEM NG UNIT NYA. OPERATIONAL")</f>
        <v>JDP: NO BUDGET
HYDRAULIC PUMP - 50,019
MYK: NAIPAGAWA NA NYA SA IBA YUNG PROBLEM NG UNIT NYA. OPERATIONAL</v>
      </c>
      <c r="M1338" s="2"/>
      <c r="N1338" s="2"/>
      <c r="O1338" s="2" t="str">
        <f>IFERROR(__xludf.DUMMYFUNCTION("""COMPUTED_VALUE"""),"N/A")</f>
        <v>N/A</v>
      </c>
      <c r="P1338" s="2"/>
      <c r="Q1338" s="2"/>
      <c r="R1338" s="74">
        <f>IFERROR(__xludf.DUMMYFUNCTION("""COMPUTED_VALUE"""),46132.0)</f>
        <v>46132</v>
      </c>
      <c r="S1338" s="2" t="str">
        <f>IFERROR(__xludf.DUMMYFUNCTION("""COMPUTED_VALUE"""),"MYKEE")</f>
        <v>MYKEE</v>
      </c>
      <c r="T1338" s="73" t="str">
        <f>IFERROR(__xludf.DUMMYFUNCTION("""COMPUTED_VALUE""")," N/A ")</f>
        <v>N/A</v>
      </c>
      <c r="U1338" s="73" t="str">
        <f>IFERROR(__xludf.DUMMYFUNCTION("""COMPUTED_VALUE""")," NO CHARGE ")</f>
        <v>NO CHARGE</v>
      </c>
      <c r="V1338" s="2" t="str">
        <f>IFERROR(__xludf.DUMMYFUNCTION("""COMPUTED_VALUE"""),"N/A")</f>
        <v>N/A</v>
      </c>
      <c r="W1338" s="2" t="str">
        <f>IFERROR(__xludf.DUMMYFUNCTION("""COMPUTED_VALUE"""),"N/A")</f>
        <v>N/A</v>
      </c>
      <c r="X1338" s="2" t="str">
        <f>IFERROR(__xludf.DUMMYFUNCTION("""COMPUTED_VALUE"""),"N/A")</f>
        <v>N/A</v>
      </c>
      <c r="Y1338" s="2"/>
      <c r="Z1338" s="2"/>
      <c r="AA1338" s="2"/>
      <c r="AB1338" s="2"/>
      <c r="AC1338" s="2"/>
      <c r="AD1338" s="2"/>
      <c r="AE1338" s="2"/>
      <c r="AF1338" s="2"/>
      <c r="AG1338" s="2"/>
      <c r="AH1338" s="2"/>
      <c r="AI1338" s="2"/>
      <c r="AJ1338" s="2" t="str">
        <f>IFERROR(__xludf.DUMMYFUNCTION("""COMPUTED_VALUE"""),"Kapitangan")</f>
        <v>Kapitangan</v>
      </c>
      <c r="AK1338" s="2" t="str">
        <f>IFERROR(__xludf.DUMMYFUNCTION("""COMPUTED_VALUE"""),"Paombong")</f>
        <v>Paombong</v>
      </c>
      <c r="AL1338" s="2" t="str">
        <f>IFERROR(__xludf.DUMMYFUNCTION("""COMPUTED_VALUE"""),"Bulacan")</f>
        <v>Bulacan</v>
      </c>
      <c r="AM1338" s="2">
        <f>IFERROR(__xludf.DUMMYFUNCTION("""COMPUTED_VALUE"""),3.0)</f>
        <v>3</v>
      </c>
      <c r="AN1338" s="2" t="str">
        <f>IFERROR(__xludf.DUMMYFUNCTION("""COMPUTED_VALUE"""),"RCEF 23-09-21 Rebidding")</f>
        <v>RCEF 23-09-21 Rebidding</v>
      </c>
      <c r="AO1338" s="2">
        <f>IFERROR(__xludf.DUMMYFUNCTION("""COMPUTED_VALUE"""),3.0)</f>
        <v>3</v>
      </c>
      <c r="AP1338" s="2"/>
      <c r="AQ1338" s="2"/>
      <c r="AR1338" s="2"/>
      <c r="AS1338" s="2"/>
      <c r="AT1338" s="2"/>
      <c r="AU1338" s="2"/>
      <c r="AV1338" s="2"/>
      <c r="AW1338" s="2"/>
      <c r="AX1338" s="2"/>
      <c r="AY1338" s="2"/>
      <c r="AZ1338" s="2"/>
      <c r="BA1338" s="2"/>
      <c r="BB1338" s="2"/>
    </row>
    <row r="1339">
      <c r="A1339" s="2">
        <f>IFERROR(__xludf.DUMMYFUNCTION("""COMPUTED_VALUE"""),1335.0)</f>
        <v>1335</v>
      </c>
      <c r="B1339" s="2" t="str">
        <f>IFERROR(__xludf.DUMMYFUNCTION("""COMPUTED_VALUE"""),"PENDING")</f>
        <v>PENDING</v>
      </c>
      <c r="C1339" s="74">
        <f>IFERROR(__xludf.DUMMYFUNCTION("""COMPUTED_VALUE"""),46017.0)</f>
        <v>46017</v>
      </c>
      <c r="D1339" s="71" t="str">
        <f>IFERROR(__xludf.DUMMYFUNCTION("""COMPUTED_VALUE"""),"Barangay Dibet Farmers Association (BDFA)")</f>
        <v>Barangay Dibet Farmers Association (BDFA)</v>
      </c>
      <c r="E1339" s="71" t="str">
        <f>IFERROR(__xludf.DUMMYFUNCTION("""COMPUTED_VALUE"""),"Dibet, Casiguran, AURORA")</f>
        <v>Dibet, Casiguran, AURORA</v>
      </c>
      <c r="F1339" s="2" t="str">
        <f>IFERROR(__xludf.DUMMYFUNCTION("""COMPUTED_VALUE"""),"Bernardo P. Alcantara")</f>
        <v>Bernardo P. Alcantara</v>
      </c>
      <c r="G1339" s="2">
        <f>IFERROR(__xludf.DUMMYFUNCTION("""COMPUTED_VALUE"""),9.284078188E9)</f>
        <v>9284078188</v>
      </c>
      <c r="H1339" s="2"/>
      <c r="I1339" s="72" t="str">
        <f>IFERROR(__xludf.DUMMYFUNCTION("""COMPUTED_VALUE"""),"PMS")</f>
        <v>PMS</v>
      </c>
      <c r="J1339" s="72"/>
      <c r="K1339" s="72" t="str">
        <f>IFERROR(__xludf.DUMMYFUNCTION("""COMPUTED_VALUE"""),"JHP: 1ST PMS FREE
CHECK UP THE DIFFERENTIAL UNUSUAL SOUND
PARTS NEEDED:
1- GEAR LEFT , REAR AXLE TA00032602
1- GEAR RIGHT, REAR AXLE  TA00033829A
2- BEARING 24141-320110
1 - NUT TA00032594A
ECM FNAL PARTS REQUEST:
1 - TN49510000 - COUNTERSHAFT
1 - TN495"&amp;"20000 - RINGGEAR
1 - TA00059310 - BEARING NJ370R")</f>
        <v>JHP: 1ST PMS FREE
CHECK UP THE DIFFERENTIAL UNUSUAL SOUND
PARTS NEEDED:
1- GEAR LEFT , REAR AXLE TA00032602
1- GEAR RIGHT, REAR AXLE  TA00033829A
2- BEARING 24141-320110
1 - NUT TA00032594A
ECM FNAL PARTS REQUEST:
1 - TN49510000 - COUNTERSHAFT
1 - TN49520000 - RINGGEAR
1 - TA00059310 - BEARING NJ370R</v>
      </c>
      <c r="L1339" s="72" t="str">
        <f>IFERROR(__xludf.DUMMYFUNCTION("""COMPUTED_VALUE"""),"ECM: WARRANTY CLAIM- WAITING SA TRANSMISSION CASE")</f>
        <v>ECM: WARRANTY CLAIM- WAITING SA TRANSMISSION CASE</v>
      </c>
      <c r="M1339" s="2" t="str">
        <f>IFERROR(__xludf.DUMMYFUNCTION("""COMPUTED_VALUE"""),"TRANSMISSION CASE")</f>
        <v>TRANSMISSION CASE</v>
      </c>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t="str">
        <f>IFERROR(__xludf.DUMMYFUNCTION("""COMPUTED_VALUE"""),"Dibet")</f>
        <v>Dibet</v>
      </c>
      <c r="AK1339" s="2" t="str">
        <f>IFERROR(__xludf.DUMMYFUNCTION("""COMPUTED_VALUE"""),"Casiguran")</f>
        <v>Casiguran</v>
      </c>
      <c r="AL1339" s="2" t="str">
        <f>IFERROR(__xludf.DUMMYFUNCTION("""COMPUTED_VALUE"""),"Aurora")</f>
        <v>Aurora</v>
      </c>
      <c r="AM1339" s="2">
        <f>IFERROR(__xludf.DUMMYFUNCTION("""COMPUTED_VALUE"""),3.0)</f>
        <v>3</v>
      </c>
      <c r="AN1339" s="2" t="str">
        <f>IFERROR(__xludf.DUMMYFUNCTION("""COMPUTED_VALUE"""),"RCEF 25-03-05")</f>
        <v>RCEF 25-03-05</v>
      </c>
      <c r="AO1339" s="2">
        <f>IFERROR(__xludf.DUMMYFUNCTION("""COMPUTED_VALUE"""),5.0)</f>
        <v>5</v>
      </c>
      <c r="AP1339" s="2" t="str">
        <f>IFERROR(__xludf.DUMMYFUNCTION("""COMPUTED_VALUE"""),"FREE PMS")</f>
        <v>FREE PMS</v>
      </c>
      <c r="AQ1339" s="2"/>
      <c r="AR1339" s="2"/>
      <c r="AS1339" s="2"/>
      <c r="AT1339" s="2"/>
      <c r="AU1339" s="2"/>
      <c r="AV1339" s="2"/>
      <c r="AW1339" s="2"/>
      <c r="AX1339" s="2"/>
      <c r="AY1339" s="2"/>
      <c r="AZ1339" s="2"/>
      <c r="BA1339" s="2"/>
      <c r="BB1339" s="2"/>
    </row>
    <row r="1340">
      <c r="A1340" s="2">
        <f>IFERROR(__xludf.DUMMYFUNCTION("""COMPUTED_VALUE"""),1336.0)</f>
        <v>1336</v>
      </c>
      <c r="B1340" s="2" t="str">
        <f>IFERROR(__xludf.DUMMYFUNCTION("""COMPUTED_VALUE"""),"COMPLETED")</f>
        <v>COMPLETED</v>
      </c>
      <c r="C1340" s="74">
        <f>IFERROR(__xludf.DUMMYFUNCTION("""COMPUTED_VALUE"""),46019.0)</f>
        <v>46019</v>
      </c>
      <c r="D1340" s="71" t="str">
        <f>IFERROR(__xludf.DUMMYFUNCTION("""COMPUTED_VALUE"""),"ILAWOD SAGAP SARARO PARAOMA ASOSASYON (ISSAPA)")</f>
        <v>ILAWOD SAGAP SARARO PARAOMA ASOSASYON (ISSAPA)</v>
      </c>
      <c r="E1340" s="71" t="str">
        <f>IFERROR(__xludf.DUMMYFUNCTION("""COMPUTED_VALUE"""),"Macawayan, Irosin, SORSOGON")</f>
        <v>Macawayan, Irosin, SORSOGON</v>
      </c>
      <c r="F1340" s="2" t="str">
        <f>IFERROR(__xludf.DUMMYFUNCTION("""COMPUTED_VALUE"""),"Lucia L. Estremera")</f>
        <v>Lucia L. Estremera</v>
      </c>
      <c r="G1340" s="2">
        <f>IFERROR(__xludf.DUMMYFUNCTION("""COMPUTED_VALUE"""),9.703627068E9)</f>
        <v>9703627068</v>
      </c>
      <c r="H1340" s="2">
        <f>IFERROR(__xludf.DUMMYFUNCTION("""COMPUTED_VALUE"""),55.2)</f>
        <v>55.2</v>
      </c>
      <c r="I1340" s="72" t="str">
        <f>IFERROR(__xludf.DUMMYFUNCTION("""COMPUTED_VALUE"""),"PMS")</f>
        <v>PMS</v>
      </c>
      <c r="J1340" s="72" t="str">
        <f>IFERROR(__xludf.DUMMYFUNCTION("""COMPUTED_VALUE"""),"PMS")</f>
        <v>PMS</v>
      </c>
      <c r="K1340" s="72" t="str">
        <f>IFERROR(__xludf.DUMMYFUNCTION("""COMPUTED_VALUE"""),"FPJ: 1ST PMS FREE")</f>
        <v>FPJ: 1ST PMS FREE</v>
      </c>
      <c r="L1340" s="72" t="str">
        <f>IFERROR(__xludf.DUMMYFUNCTION("""COMPUTED_VALUE"""),"FPJ: 1ST PMS DONE")</f>
        <v>FPJ: 1ST PMS DONE</v>
      </c>
      <c r="M1340" s="2"/>
      <c r="N1340" s="2" t="str">
        <f>IFERROR(__xludf.DUMMYFUNCTION("""COMPUTED_VALUE"""),"PARTS:
OIL FILTER
ENGINE OIL")</f>
        <v>PARTS:
OIL FILTER
ENGINE OIL</v>
      </c>
      <c r="O1340" s="2">
        <f>IFERROR(__xludf.DUMMYFUNCTION("""COMPUTED_VALUE"""),560.0)</f>
        <v>560</v>
      </c>
      <c r="P1340" s="2"/>
      <c r="Q1340" s="2" t="str">
        <f>IFERROR(__xludf.DUMMYFUNCTION("""COMPUTED_VALUE"""),"FOR PRINT")</f>
        <v>FOR PRINT</v>
      </c>
      <c r="R1340" s="74">
        <f>IFERROR(__xludf.DUMMYFUNCTION("""COMPUTED_VALUE"""),46019.0)</f>
        <v>46019</v>
      </c>
      <c r="S1340" s="2" t="str">
        <f>IFERROR(__xludf.DUMMYFUNCTION("""COMPUTED_VALUE"""),"FPJ")</f>
        <v>FPJ</v>
      </c>
      <c r="T1340" s="73" t="str">
        <f>IFERROR(__xludf.DUMMYFUNCTION("""COMPUTED_VALUE""")," N/A ")</f>
        <v>N/A</v>
      </c>
      <c r="U1340" s="73" t="str">
        <f>IFERROR(__xludf.DUMMYFUNCTION("""COMPUTED_VALUE""")," NO CHARGE ")</f>
        <v>NO CHARGE</v>
      </c>
      <c r="V1340" s="2"/>
      <c r="W1340" s="2" t="str">
        <f>IFERROR(__xludf.DUMMYFUNCTION("""COMPUTED_VALUE"""),"N/A")</f>
        <v>N/A</v>
      </c>
      <c r="X1340" s="2" t="str">
        <f>IFERROR(__xludf.DUMMYFUNCTION("""COMPUTED_VALUE"""),"N/A")</f>
        <v>N/A</v>
      </c>
      <c r="Y1340" s="2"/>
      <c r="Z1340" s="2"/>
      <c r="AA1340" s="2"/>
      <c r="AB1340" s="2"/>
      <c r="AC1340" s="2"/>
      <c r="AD1340" s="2"/>
      <c r="AE1340" s="2"/>
      <c r="AF1340" s="2"/>
      <c r="AG1340" s="2"/>
      <c r="AH1340" s="2"/>
      <c r="AI1340" s="2"/>
      <c r="AJ1340" s="2" t="str">
        <f>IFERROR(__xludf.DUMMYFUNCTION("""COMPUTED_VALUE"""),"Macawayan")</f>
        <v>Macawayan</v>
      </c>
      <c r="AK1340" s="2" t="str">
        <f>IFERROR(__xludf.DUMMYFUNCTION("""COMPUTED_VALUE"""),"Irosin")</f>
        <v>Irosin</v>
      </c>
      <c r="AL1340" s="2" t="str">
        <f>IFERROR(__xludf.DUMMYFUNCTION("""COMPUTED_VALUE"""),"Sorsogon")</f>
        <v>Sorsogon</v>
      </c>
      <c r="AM1340" s="2">
        <f>IFERROR(__xludf.DUMMYFUNCTION("""COMPUTED_VALUE"""),5.0)</f>
        <v>5</v>
      </c>
      <c r="AN1340" s="2" t="str">
        <f>IFERROR(__xludf.DUMMYFUNCTION("""COMPUTED_VALUE"""),"RCEF 25-03-05")</f>
        <v>RCEF 25-03-05</v>
      </c>
      <c r="AO1340" s="2">
        <f>IFERROR(__xludf.DUMMYFUNCTION("""COMPUTED_VALUE"""),6.0)</f>
        <v>6</v>
      </c>
      <c r="AP1340" s="2" t="str">
        <f>IFERROR(__xludf.DUMMYFUNCTION("""COMPUTED_VALUE"""),"FREE PMS")</f>
        <v>FREE PMS</v>
      </c>
      <c r="AQ1340" s="2"/>
      <c r="AR1340" s="2"/>
      <c r="AS1340" s="2"/>
      <c r="AT1340" s="2"/>
      <c r="AU1340" s="2"/>
      <c r="AV1340" s="2"/>
      <c r="AW1340" s="2"/>
      <c r="AX1340" s="2"/>
      <c r="AY1340" s="2"/>
      <c r="AZ1340" s="2"/>
      <c r="BA1340" s="2"/>
      <c r="BB1340" s="2"/>
    </row>
    <row r="1341">
      <c r="A1341" s="2">
        <f>IFERROR(__xludf.DUMMYFUNCTION("""COMPUTED_VALUE"""),1337.0)</f>
        <v>1337</v>
      </c>
      <c r="B1341" s="2" t="str">
        <f>IFERROR(__xludf.DUMMYFUNCTION("""COMPUTED_VALUE"""),"COMPLETED")</f>
        <v>COMPLETED</v>
      </c>
      <c r="C1341" s="74">
        <f>IFERROR(__xludf.DUMMYFUNCTION("""COMPUTED_VALUE"""),46020.0)</f>
        <v>46020</v>
      </c>
      <c r="D1341" s="71" t="str">
        <f>IFERROR(__xludf.DUMMYFUNCTION("""COMPUTED_VALUE"""),"Sawanga Farmers Association")</f>
        <v>Sawanga Farmers Association</v>
      </c>
      <c r="E1341" s="71" t="str">
        <f>IFERROR(__xludf.DUMMYFUNCTION("""COMPUTED_VALUE"""),"Sawanga, Sorsogon City, SORSOGON")</f>
        <v>Sawanga, Sorsogon City, SORSOGON</v>
      </c>
      <c r="F1341" s="2" t="str">
        <f>IFERROR(__xludf.DUMMYFUNCTION("""COMPUTED_VALUE"""),"Henry Dioquino ")</f>
        <v>Henry Dioquino </v>
      </c>
      <c r="G1341" s="2">
        <f>IFERROR(__xludf.DUMMYFUNCTION("""COMPUTED_VALUE"""),9.501194248E9)</f>
        <v>9501194248</v>
      </c>
      <c r="H1341" s="2"/>
      <c r="I1341" s="72" t="str">
        <f>IFERROR(__xludf.DUMMYFUNCTION("""COMPUTED_VALUE"""),"PMS")</f>
        <v>PMS</v>
      </c>
      <c r="J1341" s="72" t="str">
        <f>IFERROR(__xludf.DUMMYFUNCTION("""COMPUTED_VALUE"""),"PMS")</f>
        <v>PMS</v>
      </c>
      <c r="K1341" s="72" t="str">
        <f>IFERROR(__xludf.DUMMYFUNCTION("""COMPUTED_VALUE"""),"FPJ: 1ST PMS FREE")</f>
        <v>FPJ: 1ST PMS FREE</v>
      </c>
      <c r="L1341" s="72" t="str">
        <f>IFERROR(__xludf.DUMMYFUNCTION("""COMPUTED_VALUE"""),"FPJ: 1ST PMS DONE")</f>
        <v>FPJ: 1ST PMS DONE</v>
      </c>
      <c r="M1341" s="2"/>
      <c r="N1341" s="2" t="str">
        <f>IFERROR(__xludf.DUMMYFUNCTION("""COMPUTED_VALUE"""),"PARTS:
OIL FILTER
ENGINE OIL")</f>
        <v>PARTS:
OIL FILTER
ENGINE OIL</v>
      </c>
      <c r="O1341" s="2">
        <f>IFERROR(__xludf.DUMMYFUNCTION("""COMPUTED_VALUE"""),559.0)</f>
        <v>559</v>
      </c>
      <c r="P1341" s="2"/>
      <c r="Q1341" s="2" t="str">
        <f>IFERROR(__xludf.DUMMYFUNCTION("""COMPUTED_VALUE"""),"FOR PRINT")</f>
        <v>FOR PRINT</v>
      </c>
      <c r="R1341" s="74">
        <f>IFERROR(__xludf.DUMMYFUNCTION("""COMPUTED_VALUE"""),46020.0)</f>
        <v>46020</v>
      </c>
      <c r="S1341" s="2" t="str">
        <f>IFERROR(__xludf.DUMMYFUNCTION("""COMPUTED_VALUE"""),"FPJ")</f>
        <v>FPJ</v>
      </c>
      <c r="T1341" s="73" t="str">
        <f>IFERROR(__xludf.DUMMYFUNCTION("""COMPUTED_VALUE""")," N/A ")</f>
        <v>N/A</v>
      </c>
      <c r="U1341" s="73" t="str">
        <f>IFERROR(__xludf.DUMMYFUNCTION("""COMPUTED_VALUE""")," NO CHARGE ")</f>
        <v>NO CHARGE</v>
      </c>
      <c r="V1341" s="2"/>
      <c r="W1341" s="2" t="str">
        <f>IFERROR(__xludf.DUMMYFUNCTION("""COMPUTED_VALUE"""),"N/A")</f>
        <v>N/A</v>
      </c>
      <c r="X1341" s="2" t="str">
        <f>IFERROR(__xludf.DUMMYFUNCTION("""COMPUTED_VALUE"""),"N/A")</f>
        <v>N/A</v>
      </c>
      <c r="Y1341" s="2"/>
      <c r="Z1341" s="2"/>
      <c r="AA1341" s="2"/>
      <c r="AB1341" s="2"/>
      <c r="AC1341" s="2"/>
      <c r="AD1341" s="2"/>
      <c r="AE1341" s="2"/>
      <c r="AF1341" s="2"/>
      <c r="AG1341" s="2"/>
      <c r="AH1341" s="2"/>
      <c r="AI1341" s="2"/>
      <c r="AJ1341" s="2" t="str">
        <f>IFERROR(__xludf.DUMMYFUNCTION("""COMPUTED_VALUE"""),"Sawanga")</f>
        <v>Sawanga</v>
      </c>
      <c r="AK1341" s="2" t="str">
        <f>IFERROR(__xludf.DUMMYFUNCTION("""COMPUTED_VALUE"""),"Sorsogon City")</f>
        <v>Sorsogon City</v>
      </c>
      <c r="AL1341" s="2" t="str">
        <f>IFERROR(__xludf.DUMMYFUNCTION("""COMPUTED_VALUE"""),"Sorsogon")</f>
        <v>Sorsogon</v>
      </c>
      <c r="AM1341" s="2">
        <f>IFERROR(__xludf.DUMMYFUNCTION("""COMPUTED_VALUE"""),5.0)</f>
        <v>5</v>
      </c>
      <c r="AN1341" s="2" t="str">
        <f>IFERROR(__xludf.DUMMYFUNCTION("""COMPUTED_VALUE"""),"RCEF 25-03-05")</f>
        <v>RCEF 25-03-05</v>
      </c>
      <c r="AO1341" s="2">
        <f>IFERROR(__xludf.DUMMYFUNCTION("""COMPUTED_VALUE"""),6.0)</f>
        <v>6</v>
      </c>
      <c r="AP1341" s="2" t="str">
        <f>IFERROR(__xludf.DUMMYFUNCTION("""COMPUTED_VALUE"""),"FREE PMS")</f>
        <v>FREE PMS</v>
      </c>
      <c r="AQ1341" s="2"/>
      <c r="AR1341" s="2"/>
      <c r="AS1341" s="2"/>
      <c r="AT1341" s="2"/>
      <c r="AU1341" s="2"/>
      <c r="AV1341" s="2"/>
      <c r="AW1341" s="2"/>
      <c r="AX1341" s="2"/>
      <c r="AY1341" s="2"/>
      <c r="AZ1341" s="2"/>
      <c r="BA1341" s="2"/>
      <c r="BB1341" s="2"/>
    </row>
    <row r="1342">
      <c r="A1342" s="2">
        <f>IFERROR(__xludf.DUMMYFUNCTION("""COMPUTED_VALUE"""),1338.0)</f>
        <v>1338</v>
      </c>
      <c r="B1342" s="2" t="str">
        <f>IFERROR(__xludf.DUMMYFUNCTION("""COMPUTED_VALUE"""),"PENDING")</f>
        <v>PENDING</v>
      </c>
      <c r="C1342" s="74">
        <f>IFERROR(__xludf.DUMMYFUNCTION("""COMPUTED_VALUE"""),46026.0)</f>
        <v>46026</v>
      </c>
      <c r="D1342" s="71" t="str">
        <f>IFERROR(__xludf.DUMMYFUNCTION("""COMPUTED_VALUE"""),"Municipal Local Government Unit of Magsaysay")</f>
        <v>Municipal Local Government Unit of Magsaysay</v>
      </c>
      <c r="E1342" s="71" t="str">
        <f>IFERROR(__xludf.DUMMYFUNCTION("""COMPUTED_VALUE"""),", Magsaysay, OCCIDENTAL MINDORO")</f>
        <v>, Magsaysay, OCCIDENTAL MINDORO</v>
      </c>
      <c r="F1342" s="2" t="str">
        <f>IFERROR(__xludf.DUMMYFUNCTION("""COMPUTED_VALUE"""),"FLORENCE LIMOS")</f>
        <v>FLORENCE LIMOS</v>
      </c>
      <c r="G1342" s="2">
        <f>IFERROR(__xludf.DUMMYFUNCTION("""COMPUTED_VALUE"""),9.503088146E9)</f>
        <v>9503088146</v>
      </c>
      <c r="H1342" s="2"/>
      <c r="I1342" s="72" t="str">
        <f>IFERROR(__xludf.DUMMYFUNCTION("""COMPUTED_VALUE"""),"SPARE PARTS ACQUISITION")</f>
        <v>SPARE PARTS ACQUISITION</v>
      </c>
      <c r="J1342" s="72"/>
      <c r="K1342" s="72" t="str">
        <f>IFERROR(__xludf.DUMMYFUNCTION("""COMPUTED_VALUE"""),"RBS:
Parts needed 
oil seal 1 pc (45*85*12T) 
Taper roller bearing 1 pc # 30208 
Disk flange axis")</f>
        <v>RBS:
Parts needed 
oil seal 1 pc (45*85*12T) 
Taper roller bearing 1 pc # 30208 
Disk flange axis</v>
      </c>
      <c r="L1342" s="72"/>
      <c r="M1342" s="2" t="str">
        <f>IFERROR(__xludf.DUMMYFUNCTION("""COMPUTED_VALUE"""),"oil seal 1 pc (45*85*12T) 
Taper roller bearing 1 pc # 30208 
Disk flange axis")</f>
        <v>oil seal 1 pc (45*85*12T) 
Taper roller bearing 1 pc # 30208 
Disk flange axis</v>
      </c>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t="str">
        <f>IFERROR(__xludf.DUMMYFUNCTION("""COMPUTED_VALUE"""),"")</f>
        <v/>
      </c>
      <c r="AK1342" s="2" t="str">
        <f>IFERROR(__xludf.DUMMYFUNCTION("""COMPUTED_VALUE"""),"Magsaysay")</f>
        <v>Magsaysay</v>
      </c>
      <c r="AL1342" s="2" t="str">
        <f>IFERROR(__xludf.DUMMYFUNCTION("""COMPUTED_VALUE"""),"Occidental Mindoro")</f>
        <v>Occidental Mindoro</v>
      </c>
      <c r="AM1342" s="2" t="str">
        <f>IFERROR(__xludf.DUMMYFUNCTION("""COMPUTED_VALUE"""),"4B")</f>
        <v>4B</v>
      </c>
      <c r="AN1342" s="2" t="str">
        <f>IFERROR(__xludf.DUMMYFUNCTION("""COMPUTED_VALUE"""),"RCEF 25-03-05")</f>
        <v>RCEF 25-03-05</v>
      </c>
      <c r="AO1342" s="2">
        <f>IFERROR(__xludf.DUMMYFUNCTION("""COMPUTED_VALUE"""),6.0)</f>
        <v>6</v>
      </c>
      <c r="AP1342" s="2" t="str">
        <f>IFERROR(__xludf.DUMMYFUNCTION("""COMPUTED_VALUE"""),"FREE PMS")</f>
        <v>FREE PMS</v>
      </c>
      <c r="AQ1342" s="2"/>
      <c r="AR1342" s="2"/>
      <c r="AS1342" s="2"/>
      <c r="AT1342" s="2"/>
      <c r="AU1342" s="2"/>
      <c r="AV1342" s="2"/>
      <c r="AW1342" s="2"/>
      <c r="AX1342" s="2"/>
      <c r="AY1342" s="2"/>
      <c r="AZ1342" s="2"/>
      <c r="BA1342" s="2"/>
      <c r="BB1342" s="2"/>
    </row>
    <row r="1343">
      <c r="A1343" s="2">
        <f>IFERROR(__xludf.DUMMYFUNCTION("""COMPUTED_VALUE"""),1339.0)</f>
        <v>1339</v>
      </c>
      <c r="B1343" s="2" t="str">
        <f>IFERROR(__xludf.DUMMYFUNCTION("""COMPUTED_VALUE"""),"COMPLETED")</f>
        <v>COMPLETED</v>
      </c>
      <c r="C1343" s="74">
        <f>IFERROR(__xludf.DUMMYFUNCTION("""COMPUTED_VALUE"""),46027.0)</f>
        <v>46027</v>
      </c>
      <c r="D1343" s="71" t="str">
        <f>IFERROR(__xludf.DUMMYFUNCTION("""COMPUTED_VALUE"""),"SAMAHANG GUMAGAWA TUNGONG TAGUMPAY MULTI-PURPOSE COOPERATIVE (SAGUTT)")</f>
        <v>SAMAHANG GUMAGAWA TUNGONG TAGUMPAY MULTI-PURPOSE COOPERATIVE (SAGUTT)</v>
      </c>
      <c r="E1343" s="71" t="str">
        <f>IFERROR(__xludf.DUMMYFUNCTION("""COMPUTED_VALUE"""),"Paetan, Sablayan, OCCIDENTAL MINDORO")</f>
        <v>Paetan, Sablayan, OCCIDENTAL MINDORO</v>
      </c>
      <c r="F1343" s="2" t="str">
        <f>IFERROR(__xludf.DUMMYFUNCTION("""COMPUTED_VALUE"""),"EDWIN HERNANDEZ")</f>
        <v>EDWIN HERNANDEZ</v>
      </c>
      <c r="G1343" s="2">
        <f>IFERROR(__xludf.DUMMYFUNCTION("""COMPUTED_VALUE"""),9.913869204E9)</f>
        <v>9913869204</v>
      </c>
      <c r="H1343" s="2"/>
      <c r="I1343" s="72" t="str">
        <f>IFERROR(__xludf.DUMMYFUNCTION("""COMPUTED_VALUE"""),"SPARE PARTS ACQUISITION")</f>
        <v>SPARE PARTS ACQUISITION</v>
      </c>
      <c r="J1343" s="72"/>
      <c r="K1343" s="72" t="str">
        <f>IFERROR(__xludf.DUMMYFUNCTION("""COMPUTED_VALUE"""),"MYK: OIL FILTER (FOR CLARIFICATION OF ORDER)")</f>
        <v>MYK: OIL FILTER (FOR CLARIFICATION OF ORDER)</v>
      </c>
      <c r="L1343" s="72" t="str">
        <f>IFERROR(__xludf.DUMMYFUNCTION("""COMPUTED_VALUE"""),"QUOTATION SENT: CANCELL ORDER ")</f>
        <v>QUOTATION SENT: CANCELL ORDER </v>
      </c>
      <c r="M1343" s="2"/>
      <c r="N1343" s="2"/>
      <c r="O1343" s="2" t="str">
        <f>IFERROR(__xludf.DUMMYFUNCTION("""COMPUTED_VALUE"""),"N/A")</f>
        <v>N/A</v>
      </c>
      <c r="P1343" s="2"/>
      <c r="Q1343" s="2"/>
      <c r="R1343" s="74">
        <f>IFERROR(__xludf.DUMMYFUNCTION("""COMPUTED_VALUE"""),46099.0)</f>
        <v>46099</v>
      </c>
      <c r="S1343" s="2" t="str">
        <f>IFERROR(__xludf.DUMMYFUNCTION("""COMPUTED_VALUE"""),"MYKEE")</f>
        <v>MYKEE</v>
      </c>
      <c r="T1343" s="73" t="str">
        <f>IFERROR(__xludf.DUMMYFUNCTION("""COMPUTED_VALUE""")," N/A ")</f>
        <v>N/A</v>
      </c>
      <c r="U1343" s="73" t="str">
        <f>IFERROR(__xludf.DUMMYFUNCTION("""COMPUTED_VALUE""")," NO CHARGE ")</f>
        <v>NO CHARGE</v>
      </c>
      <c r="V1343" s="2" t="str">
        <f>IFERROR(__xludf.DUMMYFUNCTION("""COMPUTED_VALUE"""),"N/A")</f>
        <v>N/A</v>
      </c>
      <c r="W1343" s="2" t="str">
        <f>IFERROR(__xludf.DUMMYFUNCTION("""COMPUTED_VALUE"""),"N/A")</f>
        <v>N/A</v>
      </c>
      <c r="X1343" s="2" t="str">
        <f>IFERROR(__xludf.DUMMYFUNCTION("""COMPUTED_VALUE"""),"N/A")</f>
        <v>N/A</v>
      </c>
      <c r="Y1343" s="2"/>
      <c r="Z1343" s="2"/>
      <c r="AA1343" s="2"/>
      <c r="AB1343" s="2"/>
      <c r="AC1343" s="2"/>
      <c r="AD1343" s="2"/>
      <c r="AE1343" s="2"/>
      <c r="AF1343" s="2"/>
      <c r="AG1343" s="2"/>
      <c r="AH1343" s="2"/>
      <c r="AI1343" s="2"/>
      <c r="AJ1343" s="2" t="str">
        <f>IFERROR(__xludf.DUMMYFUNCTION("""COMPUTED_VALUE"""),"Paetan")</f>
        <v>Paetan</v>
      </c>
      <c r="AK1343" s="2" t="str">
        <f>IFERROR(__xludf.DUMMYFUNCTION("""COMPUTED_VALUE"""),"Sablayan")</f>
        <v>Sablayan</v>
      </c>
      <c r="AL1343" s="2" t="str">
        <f>IFERROR(__xludf.DUMMYFUNCTION("""COMPUTED_VALUE"""),"Occidental Mindoro")</f>
        <v>Occidental Mindoro</v>
      </c>
      <c r="AM1343" s="2" t="str">
        <f>IFERROR(__xludf.DUMMYFUNCTION("""COMPUTED_VALUE"""),"4B")</f>
        <v>4B</v>
      </c>
      <c r="AN1343" s="2" t="str">
        <f>IFERROR(__xludf.DUMMYFUNCTION("""COMPUTED_VALUE"""),"RCEF 24-04-15")</f>
        <v>RCEF 24-04-15</v>
      </c>
      <c r="AO1343" s="2">
        <f>IFERROR(__xludf.DUMMYFUNCTION("""COMPUTED_VALUE"""),7.0)</f>
        <v>7</v>
      </c>
      <c r="AP1343" s="2" t="str">
        <f>IFERROR(__xludf.DUMMYFUNCTION("""COMPUTED_VALUE"""),"FREE PMS")</f>
        <v>FREE PMS</v>
      </c>
      <c r="AQ1343" s="2"/>
      <c r="AR1343" s="2"/>
      <c r="AS1343" s="2"/>
      <c r="AT1343" s="2"/>
      <c r="AU1343" s="2"/>
      <c r="AV1343" s="2"/>
      <c r="AW1343" s="2"/>
      <c r="AX1343" s="2"/>
      <c r="AY1343" s="2"/>
      <c r="AZ1343" s="2"/>
      <c r="BA1343" s="2"/>
      <c r="BB1343" s="2"/>
    </row>
    <row r="1344">
      <c r="A1344" s="2">
        <f>IFERROR(__xludf.DUMMYFUNCTION("""COMPUTED_VALUE"""),1340.0)</f>
        <v>1340</v>
      </c>
      <c r="B1344" s="2" t="str">
        <f>IFERROR(__xludf.DUMMYFUNCTION("""COMPUTED_VALUE"""),"COMPLETED")</f>
        <v>COMPLETED</v>
      </c>
      <c r="C1344" s="74">
        <f>IFERROR(__xludf.DUMMYFUNCTION("""COMPUTED_VALUE"""),46027.0)</f>
        <v>46027</v>
      </c>
      <c r="D1344" s="71" t="str">
        <f>IFERROR(__xludf.DUMMYFUNCTION("""COMPUTED_VALUE"""),"LCCC-Lagasit Irrigators Association")</f>
        <v>LCCC-Lagasit Irrigators Association</v>
      </c>
      <c r="E1344" s="71" t="str">
        <f>IFERROR(__xludf.DUMMYFUNCTION("""COMPUTED_VALUE"""),"Lagasit, San Quintin, PANGASINAN")</f>
        <v>Lagasit, San Quintin, PANGASINAN</v>
      </c>
      <c r="F1344" s="2" t="str">
        <f>IFERROR(__xludf.DUMMYFUNCTION("""COMPUTED_VALUE"""),"BENITO OBRA")</f>
        <v>BENITO OBRA</v>
      </c>
      <c r="G1344" s="2" t="str">
        <f>IFERROR(__xludf.DUMMYFUNCTION("""COMPUTED_VALUE"""),"9984435917 / 09917371438")</f>
        <v>9984435917 / 09917371438</v>
      </c>
      <c r="H1344" s="2"/>
      <c r="I1344" s="72" t="str">
        <f>IFERROR(__xludf.DUMMYFUNCTION("""COMPUTED_VALUE"""),"REPAIR - TRACTOR")</f>
        <v>REPAIR - TRACTOR</v>
      </c>
      <c r="J1344" s="72" t="str">
        <f>IFERROR(__xludf.DUMMYFUNCTION("""COMPUTED_VALUE"""),"Rear Axle - Leaking")</f>
        <v>Rear Axle - Leaking</v>
      </c>
      <c r="K1344" s="72" t="str">
        <f>IFERROR(__xludf.DUMMYFUNCTION("""COMPUTED_VALUE"""),"MYK: LEAKING SA 2 LIKURANG GULONG, GUSTONG MAPUNTAHAN ANG UNIT")</f>
        <v>MYK: LEAKING SA 2 LIKURANG GULONG, GUSTONG MAPUNTAHAN ANG UNIT</v>
      </c>
      <c r="L1344" s="72" t="str">
        <f>IFERROR(__xludf.DUMMYFUNCTION("""COMPUTED_VALUE"""),"DSD: REPLACE REAR AXLE OIL SEAL BOTH SIDE ")</f>
        <v>DSD: REPLACE REAR AXLE OIL SEAL BOTH SIDE </v>
      </c>
      <c r="M1344" s="2"/>
      <c r="N1344" s="2" t="str">
        <f>IFERROR(__xludf.DUMMYFUNCTION("""COMPUTED_VALUE"""),"PARTS:
2- REAR AXLE OIL SEAL ")</f>
        <v>PARTS:
2- REAR AXLE OIL SEAL </v>
      </c>
      <c r="O1344" s="2">
        <f>IFERROR(__xludf.DUMMYFUNCTION("""COMPUTED_VALUE"""),661.0)</f>
        <v>661</v>
      </c>
      <c r="P1344" s="2"/>
      <c r="Q1344" s="2" t="str">
        <f>IFERROR(__xludf.DUMMYFUNCTION("""COMPUTED_VALUE"""),"FOR PRINT")</f>
        <v>FOR PRINT</v>
      </c>
      <c r="R1344" s="74">
        <f>IFERROR(__xludf.DUMMYFUNCTION("""COMPUTED_VALUE"""),46045.0)</f>
        <v>46045</v>
      </c>
      <c r="S1344" s="2" t="str">
        <f>IFERROR(__xludf.DUMMYFUNCTION("""COMPUTED_VALUE"""),"JHP/DSD")</f>
        <v>JHP/DSD</v>
      </c>
      <c r="T1344" s="73">
        <f>IFERROR(__xludf.DUMMYFUNCTION("""COMPUTED_VALUE"""),18000.0)</f>
        <v>18000</v>
      </c>
      <c r="U1344" s="73" t="str">
        <f>IFERROR(__xludf.DUMMYFUNCTION("""COMPUTED_VALUE""")," REMITTED ")</f>
        <v>REMITTED</v>
      </c>
      <c r="V1344" s="2">
        <f>IFERROR(__xludf.DUMMYFUNCTION("""COMPUTED_VALUE"""),1288.0)</f>
        <v>1288</v>
      </c>
      <c r="W1344" s="2">
        <f>IFERROR(__xludf.DUMMYFUNCTION("""COMPUTED_VALUE"""),1952.0)</f>
        <v>1952</v>
      </c>
      <c r="X1344" s="2">
        <f>IFERROR(__xludf.DUMMYFUNCTION("""COMPUTED_VALUE"""),1702.0)</f>
        <v>1702</v>
      </c>
      <c r="Y1344" s="2"/>
      <c r="Z1344" s="2"/>
      <c r="AA1344" s="2"/>
      <c r="AB1344" s="2"/>
      <c r="AC1344" s="2"/>
      <c r="AD1344" s="2"/>
      <c r="AE1344" s="2"/>
      <c r="AF1344" s="2"/>
      <c r="AG1344" s="2"/>
      <c r="AH1344" s="2"/>
      <c r="AI1344" s="2"/>
      <c r="AJ1344" s="2" t="str">
        <f>IFERROR(__xludf.DUMMYFUNCTION("""COMPUTED_VALUE"""),"Lagasit")</f>
        <v>Lagasit</v>
      </c>
      <c r="AK1344" s="2" t="str">
        <f>IFERROR(__xludf.DUMMYFUNCTION("""COMPUTED_VALUE"""),"San Quintin")</f>
        <v>San Quintin</v>
      </c>
      <c r="AL1344" s="2" t="str">
        <f>IFERROR(__xludf.DUMMYFUNCTION("""COMPUTED_VALUE"""),"Pangasinan")</f>
        <v>Pangasinan</v>
      </c>
      <c r="AM1344" s="2">
        <f>IFERROR(__xludf.DUMMYFUNCTION("""COMPUTED_VALUE"""),1.0)</f>
        <v>1</v>
      </c>
      <c r="AN1344" s="2" t="str">
        <f>IFERROR(__xludf.DUMMYFUNCTION("""COMPUTED_VALUE"""),"RCEF 23-09-21 Rebidding")</f>
        <v>RCEF 23-09-21 Rebidding</v>
      </c>
      <c r="AO1344" s="2">
        <f>IFERROR(__xludf.DUMMYFUNCTION("""COMPUTED_VALUE"""),2.0)</f>
        <v>2</v>
      </c>
      <c r="AP1344" s="2"/>
      <c r="AQ1344" s="2"/>
      <c r="AR1344" s="2"/>
      <c r="AS1344" s="2"/>
      <c r="AT1344" s="2"/>
      <c r="AU1344" s="2"/>
      <c r="AV1344" s="2"/>
      <c r="AW1344" s="2"/>
      <c r="AX1344" s="2"/>
      <c r="AY1344" s="2"/>
      <c r="AZ1344" s="2"/>
      <c r="BA1344" s="2"/>
      <c r="BB1344" s="2"/>
    </row>
    <row r="1345">
      <c r="A1345" s="2">
        <f>IFERROR(__xludf.DUMMYFUNCTION("""COMPUTED_VALUE"""),1341.0)</f>
        <v>1341</v>
      </c>
      <c r="B1345" s="2" t="str">
        <f>IFERROR(__xludf.DUMMYFUNCTION("""COMPUTED_VALUE"""),"COMPLETED")</f>
        <v>COMPLETED</v>
      </c>
      <c r="C1345" s="74">
        <f>IFERROR(__xludf.DUMMYFUNCTION("""COMPUTED_VALUE"""),46027.0)</f>
        <v>46027</v>
      </c>
      <c r="D1345" s="71" t="str">
        <f>IFERROR(__xludf.DUMMYFUNCTION("""COMPUTED_VALUE"""),"NARAGSAK DMD FARMERS IRRIGATORS ASSOCIATION INC.")</f>
        <v>NARAGSAK DMD FARMERS IRRIGATORS ASSOCIATION INC.</v>
      </c>
      <c r="E1345" s="71" t="str">
        <f>IFERROR(__xludf.DUMMYFUNCTION("""COMPUTED_VALUE"""),"Domanpot, Asingan, PANGASINAN")</f>
        <v>Domanpot, Asingan, PANGASINAN</v>
      </c>
      <c r="F1345" s="2" t="str">
        <f>IFERROR(__xludf.DUMMYFUNCTION("""COMPUTED_VALUE"""),"ALFREDO RANOT")</f>
        <v>ALFREDO RANOT</v>
      </c>
      <c r="G1345" s="2" t="str">
        <f>IFERROR(__xludf.DUMMYFUNCTION("""COMPUTED_VALUE"""),"9686043231 / ")</f>
        <v>9686043231 / </v>
      </c>
      <c r="H1345" s="2">
        <f>IFERROR(__xludf.DUMMYFUNCTION("""COMPUTED_VALUE"""),335.0)</f>
        <v>335</v>
      </c>
      <c r="I1345" s="72" t="str">
        <f>IFERROR(__xludf.DUMMYFUNCTION("""COMPUTED_VALUE"""),"REPAIR - ROTAVATOR")</f>
        <v>REPAIR - ROTAVATOR</v>
      </c>
      <c r="J1345" s="72" t="str">
        <f>IFERROR(__xludf.DUMMYFUNCTION("""COMPUTED_VALUE"""),"GearBOX")</f>
        <v>GearBOX</v>
      </c>
      <c r="K1345" s="72" t="str">
        <f>IFERROR(__xludf.DUMMYFUNCTION("""COMPUTED_VALUE"""),"DATE DELIVERED: FEBRUARY 2025
MYK: AYAW GUMANA NG ROTAVATOR, BIGLA NANGG HINDI NA UMIKOT ANG ROTAVATOR")</f>
        <v>DATE DELIVERED: FEBRUARY 2025
MYK: AYAW GUMANA NG ROTAVATOR, BIGLA NANGG HINDI NA UMIKOT ANG ROTAVATOR</v>
      </c>
      <c r="L1345" s="72" t="str">
        <f>IFERROR(__xludf.DUMMYFUNCTION("""COMPUTED_VALUE"""),"JDP:  CJHECK-UP: NAPUTOL ANG BEVEL GEAR NAG CRACK AND HARD LOCK NUT
CALL DAW PO SI FARMER PAG MAY BUDGET NA SILA")</f>
        <v>JDP:  CJHECK-UP: NAPUTOL ANG BEVEL GEAR NAG CRACK AND HARD LOCK NUT
CALL DAW PO SI FARMER PAG MAY BUDGET NA SILA</v>
      </c>
      <c r="M1345" s="2"/>
      <c r="N1345" s="2"/>
      <c r="O1345" s="2">
        <f>IFERROR(__xludf.DUMMYFUNCTION("""COMPUTED_VALUE"""),481.0)</f>
        <v>481</v>
      </c>
      <c r="P1345" s="2"/>
      <c r="Q1345" s="2" t="str">
        <f>IFERROR(__xludf.DUMMYFUNCTION("""COMPUTED_VALUE"""),"FOR PRINT")</f>
        <v>FOR PRINT</v>
      </c>
      <c r="R1345" s="74">
        <f>IFERROR(__xludf.DUMMYFUNCTION("""COMPUTED_VALUE"""),46029.0)</f>
        <v>46029</v>
      </c>
      <c r="S1345" s="2" t="str">
        <f>IFERROR(__xludf.DUMMYFUNCTION("""COMPUTED_VALUE"""),"EGT/JDP")</f>
        <v>EGT/JDP</v>
      </c>
      <c r="T1345" s="73">
        <f>IFERROR(__xludf.DUMMYFUNCTION("""COMPUTED_VALUE"""),1500.0)</f>
        <v>1500</v>
      </c>
      <c r="U1345" s="73" t="str">
        <f>IFERROR(__xludf.DUMMYFUNCTION("""COMPUTED_VALUE""")," REMITTED ")</f>
        <v>REMITTED</v>
      </c>
      <c r="V1345" s="2" t="str">
        <f>IFERROR(__xludf.DUMMYFUNCTION("""COMPUTED_VALUE"""),"N/A")</f>
        <v>N/A</v>
      </c>
      <c r="W1345" s="2">
        <f>IFERROR(__xludf.DUMMYFUNCTION("""COMPUTED_VALUE"""),1671.0)</f>
        <v>1671</v>
      </c>
      <c r="X1345" s="2">
        <f>IFERROR(__xludf.DUMMYFUNCTION("""COMPUTED_VALUE"""),1733.0)</f>
        <v>1733</v>
      </c>
      <c r="Y1345" s="2"/>
      <c r="Z1345" s="2"/>
      <c r="AA1345" s="2"/>
      <c r="AB1345" s="2"/>
      <c r="AC1345" s="2"/>
      <c r="AD1345" s="2"/>
      <c r="AE1345" s="2"/>
      <c r="AF1345" s="2"/>
      <c r="AG1345" s="2"/>
      <c r="AH1345" s="2"/>
      <c r="AI1345" s="2"/>
      <c r="AJ1345" s="2" t="str">
        <f>IFERROR(__xludf.DUMMYFUNCTION("""COMPUTED_VALUE"""),"Domanpot")</f>
        <v>Domanpot</v>
      </c>
      <c r="AK1345" s="2" t="str">
        <f>IFERROR(__xludf.DUMMYFUNCTION("""COMPUTED_VALUE"""),"Asingan")</f>
        <v>Asingan</v>
      </c>
      <c r="AL1345" s="2" t="str">
        <f>IFERROR(__xludf.DUMMYFUNCTION("""COMPUTED_VALUE"""),"Pangasinan")</f>
        <v>Pangasinan</v>
      </c>
      <c r="AM1345" s="2">
        <f>IFERROR(__xludf.DUMMYFUNCTION("""COMPUTED_VALUE"""),1.0)</f>
        <v>1</v>
      </c>
      <c r="AN1345" s="2" t="str">
        <f>IFERROR(__xludf.DUMMYFUNCTION("""COMPUTED_VALUE"""),"RCEF 24-04-15")</f>
        <v>RCEF 24-04-15</v>
      </c>
      <c r="AO1345" s="2">
        <f>IFERROR(__xludf.DUMMYFUNCTION("""COMPUTED_VALUE"""),6.0)</f>
        <v>6</v>
      </c>
      <c r="AP1345" s="2" t="str">
        <f>IFERROR(__xludf.DUMMYFUNCTION("""COMPUTED_VALUE"""),"FREE PMS")</f>
        <v>FREE PMS</v>
      </c>
      <c r="AQ1345" s="2"/>
      <c r="AR1345" s="2"/>
      <c r="AS1345" s="2"/>
      <c r="AT1345" s="2"/>
      <c r="AU1345" s="2"/>
      <c r="AV1345" s="2"/>
      <c r="AW1345" s="2"/>
      <c r="AX1345" s="2"/>
      <c r="AY1345" s="2"/>
      <c r="AZ1345" s="2"/>
      <c r="BA1345" s="2"/>
      <c r="BB1345" s="2"/>
    </row>
    <row r="1346">
      <c r="A1346" s="2">
        <f>IFERROR(__xludf.DUMMYFUNCTION("""COMPUTED_VALUE"""),1342.0)</f>
        <v>1342</v>
      </c>
      <c r="B1346" s="2" t="str">
        <f>IFERROR(__xludf.DUMMYFUNCTION("""COMPUTED_VALUE"""),"COMPLETED")</f>
        <v>COMPLETED</v>
      </c>
      <c r="C1346" s="74">
        <f>IFERROR(__xludf.DUMMYFUNCTION("""COMPUTED_VALUE"""),46027.0)</f>
        <v>46027</v>
      </c>
      <c r="D1346" s="71" t="str">
        <f>IFERROR(__xludf.DUMMYFUNCTION("""COMPUTED_VALUE"""),"ASOSASYON NA MASANTING YA DUMARALOS")</f>
        <v>ASOSASYON NA MASANTING YA DUMARALOS</v>
      </c>
      <c r="E1346" s="71" t="str">
        <f>IFERROR(__xludf.DUMMYFUNCTION("""COMPUTED_VALUE"""),"Macayug, Mangaldan, PANGASINAN")</f>
        <v>Macayug, Mangaldan, PANGASINAN</v>
      </c>
      <c r="F1346" s="2" t="str">
        <f>IFERROR(__xludf.DUMMYFUNCTION("""COMPUTED_VALUE"""),"TITO REVILLA")</f>
        <v>TITO REVILLA</v>
      </c>
      <c r="G1346" s="2" t="str">
        <f>IFERROR(__xludf.DUMMYFUNCTION("""COMPUTED_VALUE"""),"9639990521 /  09770945660")</f>
        <v>9639990521 /  09770945660</v>
      </c>
      <c r="H1346" s="2">
        <f>IFERROR(__xludf.DUMMYFUNCTION("""COMPUTED_VALUE"""),287.0)</f>
        <v>287</v>
      </c>
      <c r="I1346" s="72" t="str">
        <f>IFERROR(__xludf.DUMMYFUNCTION("""COMPUTED_VALUE"""),"PMS")</f>
        <v>PMS</v>
      </c>
      <c r="J1346" s="72" t="str">
        <f>IFERROR(__xludf.DUMMYFUNCTION("""COMPUTED_VALUE"""),"PMS")</f>
        <v>PMS</v>
      </c>
      <c r="K1346" s="72" t="str">
        <f>IFERROR(__xludf.DUMMYFUNCTION("""COMPUTED_VALUE"""),"MYK: 2ND PMS
INFORM SILA NA MAY SERVICE CHARGE")</f>
        <v>MYK: 2ND PMS
INFORM SILA NA MAY SERVICE CHARGE</v>
      </c>
      <c r="L1346" s="72" t="str">
        <f>IFERROR(__xludf.DUMMYFUNCTION("""COMPUTED_VALUE"""),"EGT: DELIVERY OF HYDRAULIC FILTER")</f>
        <v>EGT: DELIVERY OF HYDRAULIC FILTER</v>
      </c>
      <c r="M1346" s="2"/>
      <c r="N1346" s="2" t="str">
        <f>IFERROR(__xludf.DUMMYFUNCTION("""COMPUTED_VALUE"""),"PARTS:
HYDRAULIC FILTER")</f>
        <v>PARTS:
HYDRAULIC FILTER</v>
      </c>
      <c r="O1346" s="2">
        <f>IFERROR(__xludf.DUMMYFUNCTION("""COMPUTED_VALUE"""),431.0)</f>
        <v>431</v>
      </c>
      <c r="P1346" s="2"/>
      <c r="Q1346" s="2" t="str">
        <f>IFERROR(__xludf.DUMMYFUNCTION("""COMPUTED_VALUE"""),"FOR PRINT")</f>
        <v>FOR PRINT</v>
      </c>
      <c r="R1346" s="74">
        <f>IFERROR(__xludf.DUMMYFUNCTION("""COMPUTED_VALUE"""),46077.0)</f>
        <v>46077</v>
      </c>
      <c r="S1346" s="2" t="str">
        <f>IFERROR(__xludf.DUMMYFUNCTION("""COMPUTED_VALUE"""),"EGT/DRM")</f>
        <v>EGT/DRM</v>
      </c>
      <c r="T1346" s="73">
        <f>IFERROR(__xludf.DUMMYFUNCTION("""COMPUTED_VALUE"""),2800.0)</f>
        <v>2800</v>
      </c>
      <c r="U1346" s="73" t="str">
        <f>IFERROR(__xludf.DUMMYFUNCTION("""COMPUTED_VALUE""")," REMITTED ")</f>
        <v>REMITTED</v>
      </c>
      <c r="V1346" s="2">
        <f>IFERROR(__xludf.DUMMYFUNCTION("""COMPUTED_VALUE"""),1317.0)</f>
        <v>1317</v>
      </c>
      <c r="W1346" s="2">
        <f>IFERROR(__xludf.DUMMYFUNCTION("""COMPUTED_VALUE"""),1674.0)</f>
        <v>1674</v>
      </c>
      <c r="X1346" s="2">
        <f>IFERROR(__xludf.DUMMYFUNCTION("""COMPUTED_VALUE"""),1709.0)</f>
        <v>1709</v>
      </c>
      <c r="Y1346" s="2"/>
      <c r="Z1346" s="2"/>
      <c r="AA1346" s="2"/>
      <c r="AB1346" s="2"/>
      <c r="AC1346" s="2"/>
      <c r="AD1346" s="2"/>
      <c r="AE1346" s="2"/>
      <c r="AF1346" s="2"/>
      <c r="AG1346" s="2"/>
      <c r="AH1346" s="2"/>
      <c r="AI1346" s="2"/>
      <c r="AJ1346" s="2" t="str">
        <f>IFERROR(__xludf.DUMMYFUNCTION("""COMPUTED_VALUE"""),"Macayug")</f>
        <v>Macayug</v>
      </c>
      <c r="AK1346" s="2" t="str">
        <f>IFERROR(__xludf.DUMMYFUNCTION("""COMPUTED_VALUE"""),"Mangaldan")</f>
        <v>Mangaldan</v>
      </c>
      <c r="AL1346" s="2" t="str">
        <f>IFERROR(__xludf.DUMMYFUNCTION("""COMPUTED_VALUE"""),"Pangasinan")</f>
        <v>Pangasinan</v>
      </c>
      <c r="AM1346" s="2">
        <f>IFERROR(__xludf.DUMMYFUNCTION("""COMPUTED_VALUE"""),1.0)</f>
        <v>1</v>
      </c>
      <c r="AN1346" s="2" t="str">
        <f>IFERROR(__xludf.DUMMYFUNCTION("""COMPUTED_VALUE"""),"RCEF 24-04-15")</f>
        <v>RCEF 24-04-15</v>
      </c>
      <c r="AO1346" s="2">
        <f>IFERROR(__xludf.DUMMYFUNCTION("""COMPUTED_VALUE"""),6.0)</f>
        <v>6</v>
      </c>
      <c r="AP1346" s="2" t="str">
        <f>IFERROR(__xludf.DUMMYFUNCTION("""COMPUTED_VALUE"""),"FREE PMS")</f>
        <v>FREE PMS</v>
      </c>
      <c r="AQ1346" s="2"/>
      <c r="AR1346" s="2"/>
      <c r="AS1346" s="2"/>
      <c r="AT1346" s="2"/>
      <c r="AU1346" s="2"/>
      <c r="AV1346" s="2"/>
      <c r="AW1346" s="2"/>
      <c r="AX1346" s="2"/>
      <c r="AY1346" s="2"/>
      <c r="AZ1346" s="2"/>
      <c r="BA1346" s="2"/>
      <c r="BB1346" s="2"/>
    </row>
    <row r="1347">
      <c r="A1347" s="2">
        <f>IFERROR(__xludf.DUMMYFUNCTION("""COMPUTED_VALUE"""),1343.0)</f>
        <v>1343</v>
      </c>
      <c r="B1347" s="2" t="str">
        <f>IFERROR(__xludf.DUMMYFUNCTION("""COMPUTED_VALUE"""),"COMPLETED")</f>
        <v>COMPLETED</v>
      </c>
      <c r="C1347" s="74">
        <f>IFERROR(__xludf.DUMMYFUNCTION("""COMPUTED_VALUE"""),46028.0)</f>
        <v>46028</v>
      </c>
      <c r="D1347" s="71" t="str">
        <f>IFERROR(__xludf.DUMMYFUNCTION("""COMPUTED_VALUE"""),"Municipal Local Government Unit of Matalom")</f>
        <v>Municipal Local Government Unit of Matalom</v>
      </c>
      <c r="E1347" s="71" t="str">
        <f>IFERROR(__xludf.DUMMYFUNCTION("""COMPUTED_VALUE"""),"Santo Niño (Pob.), Matalom, LEYTE")</f>
        <v>Santo Niño (Pob.), Matalom, LEYTE</v>
      </c>
      <c r="F1347" s="2" t="str">
        <f>IFERROR(__xludf.DUMMYFUNCTION("""COMPUTED_VALUE"""),"ROMULO LABRADOR")</f>
        <v>ROMULO LABRADOR</v>
      </c>
      <c r="G1347" s="2">
        <f>IFERROR(__xludf.DUMMYFUNCTION("""COMPUTED_VALUE"""),9.564326187E9)</f>
        <v>9564326187</v>
      </c>
      <c r="H1347" s="2">
        <f>IFERROR(__xludf.DUMMYFUNCTION("""COMPUTED_VALUE"""),16.0)</f>
        <v>16</v>
      </c>
      <c r="I1347" s="72" t="str">
        <f>IFERROR(__xludf.DUMMYFUNCTION("""COMPUTED_VALUE"""),"REPAIR - TRACTOR")</f>
        <v>REPAIR - TRACTOR</v>
      </c>
      <c r="J1347" s="72" t="str">
        <f>IFERROR(__xludf.DUMMYFUNCTION("""COMPUTED_VALUE"""),"Cable Lock")</f>
        <v>Cable Lock</v>
      </c>
      <c r="K1347" s="72" t="str">
        <f>IFERROR(__xludf.DUMMYFUNCTION("""COMPUTED_VALUE"""),"KFS: JOYSTICK MULFUNCTION
PARTS NEEDED: JOYSTICK CABLE
FINAL PARTS NEEDED: 
SCV ASSY (20R/C)- TA00057976
")</f>
        <v>KFS: JOYSTICK MULFUNCTION
PARTS NEEDED: JOYSTICK CABLE
FINAL PARTS NEEDED: 
SCV ASSY (20R/C)- TA00057976
</v>
      </c>
      <c r="L1347" s="72" t="str">
        <f>IFERROR(__xludf.DUMMYFUNCTION("""COMPUTED_VALUE"""),"FPJ: OK NA , FABRICATED ")</f>
        <v>FPJ: OK NA , FABRICATED </v>
      </c>
      <c r="M1347" s="2"/>
      <c r="N1347" s="2"/>
      <c r="O1347" s="2" t="str">
        <f>IFERROR(__xludf.DUMMYFUNCTION("""COMPUTED_VALUE"""),"N/A")</f>
        <v>N/A</v>
      </c>
      <c r="P1347" s="2"/>
      <c r="Q1347" s="2"/>
      <c r="R1347" s="74">
        <f>IFERROR(__xludf.DUMMYFUNCTION("""COMPUTED_VALUE"""),46059.0)</f>
        <v>46059</v>
      </c>
      <c r="S1347" s="2" t="str">
        <f>IFERROR(__xludf.DUMMYFUNCTION("""COMPUTED_VALUE"""),"FPJ")</f>
        <v>FPJ</v>
      </c>
      <c r="T1347" s="73" t="str">
        <f>IFERROR(__xludf.DUMMYFUNCTION("""COMPUTED_VALUE""")," N/A ")</f>
        <v>N/A</v>
      </c>
      <c r="U1347" s="73" t="str">
        <f>IFERROR(__xludf.DUMMYFUNCTION("""COMPUTED_VALUE""")," NO CHARGE ")</f>
        <v>NO CHARGE</v>
      </c>
      <c r="V1347" s="2" t="str">
        <f>IFERROR(__xludf.DUMMYFUNCTION("""COMPUTED_VALUE"""),"N/A")</f>
        <v>N/A</v>
      </c>
      <c r="W1347" s="2" t="str">
        <f>IFERROR(__xludf.DUMMYFUNCTION("""COMPUTED_VALUE"""),"N/A")</f>
        <v>N/A</v>
      </c>
      <c r="X1347" s="2" t="str">
        <f>IFERROR(__xludf.DUMMYFUNCTION("""COMPUTED_VALUE"""),"N/A")</f>
        <v>N/A</v>
      </c>
      <c r="Y1347" s="2"/>
      <c r="Z1347" s="2"/>
      <c r="AA1347" s="2"/>
      <c r="AB1347" s="2"/>
      <c r="AC1347" s="2"/>
      <c r="AD1347" s="2"/>
      <c r="AE1347" s="2"/>
      <c r="AF1347" s="2"/>
      <c r="AG1347" s="2"/>
      <c r="AH1347" s="2"/>
      <c r="AI1347" s="2"/>
      <c r="AJ1347" s="2" t="str">
        <f>IFERROR(__xludf.DUMMYFUNCTION("""COMPUTED_VALUE"""),"Santo Niño (Pob.)")</f>
        <v>Santo Niño (Pob.)</v>
      </c>
      <c r="AK1347" s="2" t="str">
        <f>IFERROR(__xludf.DUMMYFUNCTION("""COMPUTED_VALUE"""),"Matalom")</f>
        <v>Matalom</v>
      </c>
      <c r="AL1347" s="2" t="str">
        <f>IFERROR(__xludf.DUMMYFUNCTION("""COMPUTED_VALUE"""),"Leyte")</f>
        <v>Leyte</v>
      </c>
      <c r="AM1347" s="2">
        <f>IFERROR(__xludf.DUMMYFUNCTION("""COMPUTED_VALUE"""),8.0)</f>
        <v>8</v>
      </c>
      <c r="AN1347" s="2" t="str">
        <f>IFERROR(__xludf.DUMMYFUNCTION("""COMPUTED_VALUE"""),"RCEF 25-03-05")</f>
        <v>RCEF 25-03-05</v>
      </c>
      <c r="AO1347" s="2">
        <f>IFERROR(__xludf.DUMMYFUNCTION("""COMPUTED_VALUE"""),7.0)</f>
        <v>7</v>
      </c>
      <c r="AP1347" s="2" t="str">
        <f>IFERROR(__xludf.DUMMYFUNCTION("""COMPUTED_VALUE"""),"FREE PMS")</f>
        <v>FREE PMS</v>
      </c>
      <c r="AQ1347" s="2"/>
      <c r="AR1347" s="2"/>
      <c r="AS1347" s="2"/>
      <c r="AT1347" s="2"/>
      <c r="AU1347" s="2"/>
      <c r="AV1347" s="2"/>
      <c r="AW1347" s="2"/>
      <c r="AX1347" s="2"/>
      <c r="AY1347" s="2"/>
      <c r="AZ1347" s="2"/>
      <c r="BA1347" s="2"/>
      <c r="BB1347" s="2"/>
    </row>
    <row r="1348">
      <c r="A1348" s="2">
        <f>IFERROR(__xludf.DUMMYFUNCTION("""COMPUTED_VALUE"""),1344.0)</f>
        <v>1344</v>
      </c>
      <c r="B1348" s="2" t="str">
        <f>IFERROR(__xludf.DUMMYFUNCTION("""COMPUTED_VALUE"""),"COMPLETED")</f>
        <v>COMPLETED</v>
      </c>
      <c r="C1348" s="74">
        <f>IFERROR(__xludf.DUMMYFUNCTION("""COMPUTED_VALUE"""),46028.0)</f>
        <v>46028</v>
      </c>
      <c r="D1348" s="71" t="str">
        <f>IFERROR(__xludf.DUMMYFUNCTION("""COMPUTED_VALUE"""),"GP-124 Irrigation Services Association Inc.")</f>
        <v>GP-124 Irrigation Services Association Inc.</v>
      </c>
      <c r="E1348" s="71" t="str">
        <f>IFERROR(__xludf.DUMMYFUNCTION("""COMPUTED_VALUE"""),"Coral-Iloco, Ramos, TARLAC")</f>
        <v>Coral-Iloco, Ramos, TARLAC</v>
      </c>
      <c r="F1348" s="2" t="str">
        <f>IFERROR(__xludf.DUMMYFUNCTION("""COMPUTED_VALUE"""),"NOMER DELA VEGA")</f>
        <v>NOMER DELA VEGA</v>
      </c>
      <c r="G1348" s="2"/>
      <c r="H1348" s="2">
        <f>IFERROR(__xludf.DUMMYFUNCTION("""COMPUTED_VALUE"""),69.0)</f>
        <v>69</v>
      </c>
      <c r="I1348" s="72" t="str">
        <f>IFERROR(__xludf.DUMMYFUNCTION("""COMPUTED_VALUE"""),"PMS")</f>
        <v>PMS</v>
      </c>
      <c r="J1348" s="72" t="str">
        <f>IFERROR(__xludf.DUMMYFUNCTION("""COMPUTED_VALUE"""),"PMS")</f>
        <v>PMS</v>
      </c>
      <c r="K1348" s="72" t="str">
        <f>IFERROR(__xludf.DUMMYFUNCTION("""COMPUTED_VALUE"""),"JDP: 1ST PMS FREE")</f>
        <v>JDP: 1ST PMS FREE</v>
      </c>
      <c r="L1348" s="72" t="str">
        <f>IFERROR(__xludf.DUMMYFUNCTION("""COMPUTED_VALUE"""),"JDP: 1ST PMS DONE")</f>
        <v>JDP: 1ST PMS DONE</v>
      </c>
      <c r="M1348" s="2"/>
      <c r="N1348" s="2" t="str">
        <f>IFERROR(__xludf.DUMMYFUNCTION("""COMPUTED_VALUE"""),"PARTS:
OIL FILTER
ENGINE OIL")</f>
        <v>PARTS:
OIL FILTER
ENGINE OIL</v>
      </c>
      <c r="O1348" s="2">
        <f>IFERROR(__xludf.DUMMYFUNCTION("""COMPUTED_VALUE"""),478.0)</f>
        <v>478</v>
      </c>
      <c r="P1348" s="2"/>
      <c r="Q1348" s="2" t="str">
        <f>IFERROR(__xludf.DUMMYFUNCTION("""COMPUTED_VALUE"""),"FOR PRINT")</f>
        <v>FOR PRINT</v>
      </c>
      <c r="R1348" s="74">
        <f>IFERROR(__xludf.DUMMYFUNCTION("""COMPUTED_VALUE"""),46028.0)</f>
        <v>46028</v>
      </c>
      <c r="S1348" s="2" t="str">
        <f>IFERROR(__xludf.DUMMYFUNCTION("""COMPUTED_VALUE"""),"CFG/JDP")</f>
        <v>CFG/JDP</v>
      </c>
      <c r="T1348" s="73" t="str">
        <f>IFERROR(__xludf.DUMMYFUNCTION("""COMPUTED_VALUE""")," N/A ")</f>
        <v>N/A</v>
      </c>
      <c r="U1348" s="73" t="str">
        <f>IFERROR(__xludf.DUMMYFUNCTION("""COMPUTED_VALUE""")," NO CHARGE ")</f>
        <v>NO CHARGE</v>
      </c>
      <c r="V1348" s="2"/>
      <c r="W1348" s="2" t="str">
        <f>IFERROR(__xludf.DUMMYFUNCTION("""COMPUTED_VALUE"""),"N/A")</f>
        <v>N/A</v>
      </c>
      <c r="X1348" s="2" t="str">
        <f>IFERROR(__xludf.DUMMYFUNCTION("""COMPUTED_VALUE"""),"N/A")</f>
        <v>N/A</v>
      </c>
      <c r="Y1348" s="2"/>
      <c r="Z1348" s="2"/>
      <c r="AA1348" s="2"/>
      <c r="AB1348" s="2"/>
      <c r="AC1348" s="2"/>
      <c r="AD1348" s="2"/>
      <c r="AE1348" s="2"/>
      <c r="AF1348" s="2"/>
      <c r="AG1348" s="2"/>
      <c r="AH1348" s="2"/>
      <c r="AI1348" s="2"/>
      <c r="AJ1348" s="2" t="str">
        <f>IFERROR(__xludf.DUMMYFUNCTION("""COMPUTED_VALUE"""),"Coral-Iloco")</f>
        <v>Coral-Iloco</v>
      </c>
      <c r="AK1348" s="2" t="str">
        <f>IFERROR(__xludf.DUMMYFUNCTION("""COMPUTED_VALUE"""),"Ramos")</f>
        <v>Ramos</v>
      </c>
      <c r="AL1348" s="2" t="str">
        <f>IFERROR(__xludf.DUMMYFUNCTION("""COMPUTED_VALUE"""),"Tarlac")</f>
        <v>Tarlac</v>
      </c>
      <c r="AM1348" s="2">
        <f>IFERROR(__xludf.DUMMYFUNCTION("""COMPUTED_VALUE"""),3.0)</f>
        <v>3</v>
      </c>
      <c r="AN1348" s="2" t="str">
        <f>IFERROR(__xludf.DUMMYFUNCTION("""COMPUTED_VALUE"""),"RCEF 25-03-05")</f>
        <v>RCEF 25-03-05</v>
      </c>
      <c r="AO1348" s="2">
        <f>IFERROR(__xludf.DUMMYFUNCTION("""COMPUTED_VALUE"""),5.0)</f>
        <v>5</v>
      </c>
      <c r="AP1348" s="2" t="str">
        <f>IFERROR(__xludf.DUMMYFUNCTION("""COMPUTED_VALUE"""),"FREE PMS")</f>
        <v>FREE PMS</v>
      </c>
      <c r="AQ1348" s="2"/>
      <c r="AR1348" s="2"/>
      <c r="AS1348" s="2"/>
      <c r="AT1348" s="2"/>
      <c r="AU1348" s="2"/>
      <c r="AV1348" s="2"/>
      <c r="AW1348" s="2"/>
      <c r="AX1348" s="2"/>
      <c r="AY1348" s="2"/>
      <c r="AZ1348" s="2"/>
      <c r="BA1348" s="2"/>
      <c r="BB1348" s="2"/>
    </row>
    <row r="1349">
      <c r="A1349" s="2">
        <f>IFERROR(__xludf.DUMMYFUNCTION("""COMPUTED_VALUE"""),1345.0)</f>
        <v>1345</v>
      </c>
      <c r="B1349" s="2" t="str">
        <f>IFERROR(__xludf.DUMMYFUNCTION("""COMPUTED_VALUE"""),"COMPLETED")</f>
        <v>COMPLETED</v>
      </c>
      <c r="C1349" s="74">
        <f>IFERROR(__xludf.DUMMYFUNCTION("""COMPUTED_VALUE"""),46028.0)</f>
        <v>46028</v>
      </c>
      <c r="D1349" s="71" t="str">
        <f>IFERROR(__xludf.DUMMYFUNCTION("""COMPUTED_VALUE"""),"KADANGDANGLAAN FARMERS ASSOCIATION, INC.")</f>
        <v>KADANGDANGLAAN FARMERS ASSOCIATION, INC.</v>
      </c>
      <c r="E1349" s="71" t="str">
        <f>IFERROR(__xludf.DUMMYFUNCTION("""COMPUTED_VALUE"""),"General Luna, Carranglan, NUEVA ECIJA")</f>
        <v>General Luna, Carranglan, NUEVA ECIJA</v>
      </c>
      <c r="F1349" s="2" t="str">
        <f>IFERROR(__xludf.DUMMYFUNCTION("""COMPUTED_VALUE"""),"Chairman Rodrigo Manzano ")</f>
        <v>Chairman Rodrigo Manzano </v>
      </c>
      <c r="G1349" s="2" t="str">
        <f>IFERROR(__xludf.DUMMYFUNCTION("""COMPUTED_VALUE"""),"0991 710 1350")</f>
        <v>0991 710 1350</v>
      </c>
      <c r="H1349" s="2">
        <f>IFERROR(__xludf.DUMMYFUNCTION("""COMPUTED_VALUE"""),50.0)</f>
        <v>50</v>
      </c>
      <c r="I1349" s="72" t="str">
        <f>IFERROR(__xludf.DUMMYFUNCTION("""COMPUTED_VALUE"""),"PMS")</f>
        <v>PMS</v>
      </c>
      <c r="J1349" s="72" t="str">
        <f>IFERROR(__xludf.DUMMYFUNCTION("""COMPUTED_VALUE"""),"PMS")</f>
        <v>PMS</v>
      </c>
      <c r="K1349" s="72" t="str">
        <f>IFERROR(__xludf.DUMMYFUNCTION("""COMPUTED_VALUE"""),"ERP: 1ST PMS DONE")</f>
        <v>ERP: 1ST PMS DONE</v>
      </c>
      <c r="L1349" s="72" t="str">
        <f>IFERROR(__xludf.DUMMYFUNCTION("""COMPUTED_VALUE"""),"JHP: 1ST PMS DONE")</f>
        <v>JHP: 1ST PMS DONE</v>
      </c>
      <c r="M1349" s="2"/>
      <c r="N1349" s="2" t="str">
        <f>IFERROR(__xludf.DUMMYFUNCTION("""COMPUTED_VALUE"""),"PARTS:
OIL FILTER
ENGINE OIL")</f>
        <v>PARTS:
OIL FILTER
ENGINE OIL</v>
      </c>
      <c r="O1349" s="2">
        <f>IFERROR(__xludf.DUMMYFUNCTION("""COMPUTED_VALUE"""),663.0)</f>
        <v>663</v>
      </c>
      <c r="P1349" s="2"/>
      <c r="Q1349" s="2" t="str">
        <f>IFERROR(__xludf.DUMMYFUNCTION("""COMPUTED_VALUE"""),"FOR PRINT")</f>
        <v>FOR PRINT</v>
      </c>
      <c r="R1349" s="74">
        <f>IFERROR(__xludf.DUMMYFUNCTION("""COMPUTED_VALUE"""),46050.0)</f>
        <v>46050</v>
      </c>
      <c r="S1349" s="2" t="str">
        <f>IFERROR(__xludf.DUMMYFUNCTION("""COMPUTED_VALUE"""),"JHP")</f>
        <v>JHP</v>
      </c>
      <c r="T1349" s="73" t="str">
        <f>IFERROR(__xludf.DUMMYFUNCTION("""COMPUTED_VALUE""")," N/A ")</f>
        <v>N/A</v>
      </c>
      <c r="U1349" s="73" t="str">
        <f>IFERROR(__xludf.DUMMYFUNCTION("""COMPUTED_VALUE""")," NO CHARGE ")</f>
        <v>NO CHARGE</v>
      </c>
      <c r="V1349" s="2">
        <f>IFERROR(__xludf.DUMMYFUNCTION("""COMPUTED_VALUE"""),1290.0)</f>
        <v>1290</v>
      </c>
      <c r="W1349" s="2" t="str">
        <f>IFERROR(__xludf.DUMMYFUNCTION("""COMPUTED_VALUE"""),"N/A")</f>
        <v>N/A</v>
      </c>
      <c r="X1349" s="2" t="str">
        <f>IFERROR(__xludf.DUMMYFUNCTION("""COMPUTED_VALUE"""),"N/A")</f>
        <v>N/A</v>
      </c>
      <c r="Y1349" s="2"/>
      <c r="Z1349" s="2"/>
      <c r="AA1349" s="2"/>
      <c r="AB1349" s="2"/>
      <c r="AC1349" s="2"/>
      <c r="AD1349" s="2"/>
      <c r="AE1349" s="2"/>
      <c r="AF1349" s="2"/>
      <c r="AG1349" s="2"/>
      <c r="AH1349" s="2"/>
      <c r="AI1349" s="2"/>
      <c r="AJ1349" s="2" t="str">
        <f>IFERROR(__xludf.DUMMYFUNCTION("""COMPUTED_VALUE"""),"General Luna")</f>
        <v>General Luna</v>
      </c>
      <c r="AK1349" s="2" t="str">
        <f>IFERROR(__xludf.DUMMYFUNCTION("""COMPUTED_VALUE"""),"Carranglan")</f>
        <v>Carranglan</v>
      </c>
      <c r="AL1349" s="2" t="str">
        <f>IFERROR(__xludf.DUMMYFUNCTION("""COMPUTED_VALUE"""),"Nueva Ecija")</f>
        <v>Nueva Ecija</v>
      </c>
      <c r="AM1349" s="2">
        <f>IFERROR(__xludf.DUMMYFUNCTION("""COMPUTED_VALUE"""),3.0)</f>
        <v>3</v>
      </c>
      <c r="AN1349" s="2" t="str">
        <f>IFERROR(__xludf.DUMMYFUNCTION("""COMPUTED_VALUE"""),"RCEF 25-03-05")</f>
        <v>RCEF 25-03-05</v>
      </c>
      <c r="AO1349" s="2">
        <f>IFERROR(__xludf.DUMMYFUNCTION("""COMPUTED_VALUE"""),5.0)</f>
        <v>5</v>
      </c>
      <c r="AP1349" s="2" t="str">
        <f>IFERROR(__xludf.DUMMYFUNCTION("""COMPUTED_VALUE"""),"FREE PMS")</f>
        <v>FREE PMS</v>
      </c>
      <c r="AQ1349" s="2"/>
      <c r="AR1349" s="2"/>
      <c r="AS1349" s="2"/>
      <c r="AT1349" s="2"/>
      <c r="AU1349" s="2"/>
      <c r="AV1349" s="2"/>
      <c r="AW1349" s="2"/>
      <c r="AX1349" s="2"/>
      <c r="AY1349" s="2"/>
      <c r="AZ1349" s="2"/>
      <c r="BA1349" s="2"/>
      <c r="BB1349" s="2"/>
    </row>
    <row r="1350">
      <c r="A1350" s="2">
        <f>IFERROR(__xludf.DUMMYFUNCTION("""COMPUTED_VALUE"""),1346.0)</f>
        <v>1346</v>
      </c>
      <c r="B1350" s="2" t="str">
        <f>IFERROR(__xludf.DUMMYFUNCTION("""COMPUTED_VALUE"""),"COMPLETED")</f>
        <v>COMPLETED</v>
      </c>
      <c r="C1350" s="74">
        <f>IFERROR(__xludf.DUMMYFUNCTION("""COMPUTED_VALUE"""),46028.0)</f>
        <v>46028</v>
      </c>
      <c r="D1350" s="71" t="str">
        <f>IFERROR(__xludf.DUMMYFUNCTION("""COMPUTED_VALUE"""),"Samahang Magsasaka ng Bustos (SMB) Inc.")</f>
        <v>Samahang Magsasaka ng Bustos (SMB) Inc.</v>
      </c>
      <c r="E1350" s="71" t="str">
        <f>IFERROR(__xludf.DUMMYFUNCTION("""COMPUTED_VALUE"""),"Poblacion, Bustos, BULACAN")</f>
        <v>Poblacion, Bustos, BULACAN</v>
      </c>
      <c r="F1350" s="2" t="str">
        <f>IFERROR(__xludf.DUMMYFUNCTION("""COMPUTED_VALUE"""),"JOEL GATUS")</f>
        <v>JOEL GATUS</v>
      </c>
      <c r="G1350" s="2">
        <f>IFERROR(__xludf.DUMMYFUNCTION("""COMPUTED_VALUE"""),9.435019407E9)</f>
        <v>9435019407</v>
      </c>
      <c r="H1350" s="2">
        <f>IFERROR(__xludf.DUMMYFUNCTION("""COMPUTED_VALUE"""),70.0)</f>
        <v>70</v>
      </c>
      <c r="I1350" s="72" t="str">
        <f>IFERROR(__xludf.DUMMYFUNCTION("""COMPUTED_VALUE"""),"PMS")</f>
        <v>PMS</v>
      </c>
      <c r="J1350" s="72" t="str">
        <f>IFERROR(__xludf.DUMMYFUNCTION("""COMPUTED_VALUE"""),"PMS")</f>
        <v>PMS</v>
      </c>
      <c r="K1350" s="72" t="str">
        <f>IFERROR(__xludf.DUMMYFUNCTION("""COMPUTED_VALUE"""),"MYK: 1ST PMS FREE")</f>
        <v>MYK: 1ST PMS FREE</v>
      </c>
      <c r="L1350" s="72" t="str">
        <f>IFERROR(__xludf.DUMMYFUNCTION("""COMPUTED_VALUE"""),"JDP: 1ST PMS DONE")</f>
        <v>JDP: 1ST PMS DONE</v>
      </c>
      <c r="M1350" s="2"/>
      <c r="N1350" s="2" t="str">
        <f>IFERROR(__xludf.DUMMYFUNCTION("""COMPUTED_VALUE"""),"PARTS:
OIL FILTER
ENGINE OIL")</f>
        <v>PARTS:
OIL FILTER
ENGINE OIL</v>
      </c>
      <c r="O1350" s="2">
        <f>IFERROR(__xludf.DUMMYFUNCTION("""COMPUTED_VALUE"""),484.0)</f>
        <v>484</v>
      </c>
      <c r="P1350" s="2"/>
      <c r="Q1350" s="2" t="str">
        <f>IFERROR(__xludf.DUMMYFUNCTION("""COMPUTED_VALUE"""),"FOR PRINT")</f>
        <v>FOR PRINT</v>
      </c>
      <c r="R1350" s="74">
        <f>IFERROR(__xludf.DUMMYFUNCTION("""COMPUTED_VALUE"""),46031.0)</f>
        <v>46031</v>
      </c>
      <c r="S1350" s="2" t="str">
        <f>IFERROR(__xludf.DUMMYFUNCTION("""COMPUTED_VALUE"""),"JDP/DRM")</f>
        <v>JDP/DRM</v>
      </c>
      <c r="T1350" s="73" t="str">
        <f>IFERROR(__xludf.DUMMYFUNCTION("""COMPUTED_VALUE""")," N/A ")</f>
        <v>N/A</v>
      </c>
      <c r="U1350" s="73" t="str">
        <f>IFERROR(__xludf.DUMMYFUNCTION("""COMPUTED_VALUE""")," NO CHARGE ")</f>
        <v>NO CHARGE</v>
      </c>
      <c r="V1350" s="2"/>
      <c r="W1350" s="2" t="str">
        <f>IFERROR(__xludf.DUMMYFUNCTION("""COMPUTED_VALUE"""),"N/A")</f>
        <v>N/A</v>
      </c>
      <c r="X1350" s="2" t="str">
        <f>IFERROR(__xludf.DUMMYFUNCTION("""COMPUTED_VALUE"""),"N/A")</f>
        <v>N/A</v>
      </c>
      <c r="Y1350" s="2"/>
      <c r="Z1350" s="2"/>
      <c r="AA1350" s="2"/>
      <c r="AB1350" s="2"/>
      <c r="AC1350" s="2"/>
      <c r="AD1350" s="2"/>
      <c r="AE1350" s="2"/>
      <c r="AF1350" s="2"/>
      <c r="AG1350" s="2"/>
      <c r="AH1350" s="2"/>
      <c r="AI1350" s="2"/>
      <c r="AJ1350" s="2" t="str">
        <f>IFERROR(__xludf.DUMMYFUNCTION("""COMPUTED_VALUE"""),"Poblacion")</f>
        <v>Poblacion</v>
      </c>
      <c r="AK1350" s="2" t="str">
        <f>IFERROR(__xludf.DUMMYFUNCTION("""COMPUTED_VALUE"""),"Bustos")</f>
        <v>Bustos</v>
      </c>
      <c r="AL1350" s="2" t="str">
        <f>IFERROR(__xludf.DUMMYFUNCTION("""COMPUTED_VALUE"""),"Bulacan")</f>
        <v>Bulacan</v>
      </c>
      <c r="AM1350" s="2">
        <f>IFERROR(__xludf.DUMMYFUNCTION("""COMPUTED_VALUE"""),3.0)</f>
        <v>3</v>
      </c>
      <c r="AN1350" s="2" t="str">
        <f>IFERROR(__xludf.DUMMYFUNCTION("""COMPUTED_VALUE"""),"RCEF 25-03-05")</f>
        <v>RCEF 25-03-05</v>
      </c>
      <c r="AO1350" s="2">
        <f>IFERROR(__xludf.DUMMYFUNCTION("""COMPUTED_VALUE"""),5.0)</f>
        <v>5</v>
      </c>
      <c r="AP1350" s="2" t="str">
        <f>IFERROR(__xludf.DUMMYFUNCTION("""COMPUTED_VALUE"""),"FREE PMS")</f>
        <v>FREE PMS</v>
      </c>
      <c r="AQ1350" s="2"/>
      <c r="AR1350" s="2"/>
      <c r="AS1350" s="2"/>
      <c r="AT1350" s="2"/>
      <c r="AU1350" s="2"/>
      <c r="AV1350" s="2"/>
      <c r="AW1350" s="2"/>
      <c r="AX1350" s="2"/>
      <c r="AY1350" s="2"/>
      <c r="AZ1350" s="2"/>
      <c r="BA1350" s="2"/>
      <c r="BB1350" s="2"/>
    </row>
    <row r="1351">
      <c r="A1351" s="2">
        <f>IFERROR(__xludf.DUMMYFUNCTION("""COMPUTED_VALUE"""),1347.0)</f>
        <v>1347</v>
      </c>
      <c r="B1351" s="2" t="str">
        <f>IFERROR(__xludf.DUMMYFUNCTION("""COMPUTED_VALUE"""),"COMPLETED")</f>
        <v>COMPLETED</v>
      </c>
      <c r="C1351" s="74">
        <f>IFERROR(__xludf.DUMMYFUNCTION("""COMPUTED_VALUE"""),46028.0)</f>
        <v>46028</v>
      </c>
      <c r="D1351" s="71" t="str">
        <f>IFERROR(__xludf.DUMMYFUNCTION("""COMPUTED_VALUE"""),"MALIPA FARMERS ASSOCIATION")</f>
        <v>MALIPA FARMERS ASSOCIATION</v>
      </c>
      <c r="E1351" s="71" t="str">
        <f>IFERROR(__xludf.DUMMYFUNCTION("""COMPUTED_VALUE"""),"Nagbayan, Castillejos, ZAMBALES")</f>
        <v>Nagbayan, Castillejos, ZAMBALES</v>
      </c>
      <c r="F1351" s="2" t="str">
        <f>IFERROR(__xludf.DUMMYFUNCTION("""COMPUTED_VALUE"""),"Carmela Jane c villanueva")</f>
        <v>Carmela Jane c villanueva</v>
      </c>
      <c r="G1351" s="2">
        <f>IFERROR(__xludf.DUMMYFUNCTION("""COMPUTED_VALUE"""),9.542817055E9)</f>
        <v>9542817055</v>
      </c>
      <c r="H1351" s="2">
        <f>IFERROR(__xludf.DUMMYFUNCTION("""COMPUTED_VALUE"""),159.0)</f>
        <v>159</v>
      </c>
      <c r="I1351" s="72" t="str">
        <f>IFERROR(__xludf.DUMMYFUNCTION("""COMPUTED_VALUE"""),"REPAIR - ROTAVATOR")</f>
        <v>REPAIR - ROTAVATOR</v>
      </c>
      <c r="J1351" s="72" t="str">
        <f>IFERROR(__xludf.DUMMYFUNCTION("""COMPUTED_VALUE"""),"Training")</f>
        <v>Training</v>
      </c>
      <c r="K1351" s="72" t="str">
        <f>IFERROR(__xludf.DUMMYFUNCTION("""COMPUTED_VALUE"""),"EGT/KFS: BIGLANG NAG STOCK ANG ROTA , AYAW MAG BABA TAAS.")</f>
        <v>EGT/KFS: BIGLANG NAG STOCK ANG ROTA , AYAW MAG BABA TAAS.</v>
      </c>
      <c r="L1351" s="72" t="str">
        <f>IFERROR(__xludf.DUMMYFUNCTION("""COMPUTED_VALUE"""),"DSD: WALANG SIRA, NAPIHIT LANG ANG HYDRAULIC LOCK KAYA AYAW BUMABA NG ROTAVATOR.")</f>
        <v>DSD: WALANG SIRA, NAPIHIT LANG ANG HYDRAULIC LOCK KAYA AYAW BUMABA NG ROTAVATOR.</v>
      </c>
      <c r="M1351" s="2"/>
      <c r="N1351" s="2"/>
      <c r="O1351" s="2" t="str">
        <f>IFERROR(__xludf.DUMMYFUNCTION("""COMPUTED_VALUE"""),"NEED SERVICE REPORT ")</f>
        <v>NEED SERVICE REPORT </v>
      </c>
      <c r="P1351" s="2"/>
      <c r="Q1351" s="2"/>
      <c r="R1351" s="74">
        <f>IFERROR(__xludf.DUMMYFUNCTION("""COMPUTED_VALUE"""),46061.0)</f>
        <v>46061</v>
      </c>
      <c r="S1351" s="2" t="str">
        <f>IFERROR(__xludf.DUMMYFUNCTION("""COMPUTED_VALUE"""),"DSD")</f>
        <v>DSD</v>
      </c>
      <c r="T1351" s="73" t="str">
        <f>IFERROR(__xludf.DUMMYFUNCTION("""COMPUTED_VALUE""")," N/A ")</f>
        <v>N/A</v>
      </c>
      <c r="U1351" s="73" t="str">
        <f>IFERROR(__xludf.DUMMYFUNCTION("""COMPUTED_VALUE""")," NO CHARGE ")</f>
        <v>NO CHARGE</v>
      </c>
      <c r="V1351" s="2"/>
      <c r="W1351" s="2" t="str">
        <f>IFERROR(__xludf.DUMMYFUNCTION("""COMPUTED_VALUE"""),"N/A")</f>
        <v>N/A</v>
      </c>
      <c r="X1351" s="2" t="str">
        <f>IFERROR(__xludf.DUMMYFUNCTION("""COMPUTED_VALUE"""),"N/A")</f>
        <v>N/A</v>
      </c>
      <c r="Y1351" s="2"/>
      <c r="Z1351" s="2"/>
      <c r="AA1351" s="2"/>
      <c r="AB1351" s="2"/>
      <c r="AC1351" s="2"/>
      <c r="AD1351" s="2"/>
      <c r="AE1351" s="2"/>
      <c r="AF1351" s="2"/>
      <c r="AG1351" s="2"/>
      <c r="AH1351" s="2"/>
      <c r="AI1351" s="2"/>
      <c r="AJ1351" s="2" t="str">
        <f>IFERROR(__xludf.DUMMYFUNCTION("""COMPUTED_VALUE"""),"Nagbayan")</f>
        <v>Nagbayan</v>
      </c>
      <c r="AK1351" s="2" t="str">
        <f>IFERROR(__xludf.DUMMYFUNCTION("""COMPUTED_VALUE"""),"Castillejos")</f>
        <v>Castillejos</v>
      </c>
      <c r="AL1351" s="2" t="str">
        <f>IFERROR(__xludf.DUMMYFUNCTION("""COMPUTED_VALUE"""),"Zambales")</f>
        <v>Zambales</v>
      </c>
      <c r="AM1351" s="2">
        <f>IFERROR(__xludf.DUMMYFUNCTION("""COMPUTED_VALUE"""),3.0)</f>
        <v>3</v>
      </c>
      <c r="AN1351" s="2" t="str">
        <f>IFERROR(__xludf.DUMMYFUNCTION("""COMPUTED_VALUE"""),"RCEF 25-03-05")</f>
        <v>RCEF 25-03-05</v>
      </c>
      <c r="AO1351" s="2">
        <f>IFERROR(__xludf.DUMMYFUNCTION("""COMPUTED_VALUE"""),5.0)</f>
        <v>5</v>
      </c>
      <c r="AP1351" s="2" t="str">
        <f>IFERROR(__xludf.DUMMYFUNCTION("""COMPUTED_VALUE"""),"FREE PMS")</f>
        <v>FREE PMS</v>
      </c>
      <c r="AQ1351" s="2"/>
      <c r="AR1351" s="2"/>
      <c r="AS1351" s="2"/>
      <c r="AT1351" s="2"/>
      <c r="AU1351" s="2"/>
      <c r="AV1351" s="2"/>
      <c r="AW1351" s="2"/>
      <c r="AX1351" s="2"/>
      <c r="AY1351" s="2"/>
      <c r="AZ1351" s="2"/>
      <c r="BA1351" s="2"/>
      <c r="BB1351" s="2"/>
    </row>
    <row r="1352">
      <c r="A1352" s="2">
        <f>IFERROR(__xludf.DUMMYFUNCTION("""COMPUTED_VALUE"""),1348.0)</f>
        <v>1348</v>
      </c>
      <c r="B1352" s="2" t="str">
        <f>IFERROR(__xludf.DUMMYFUNCTION("""COMPUTED_VALUE"""),"COMPLETED")</f>
        <v>COMPLETED</v>
      </c>
      <c r="C1352" s="74">
        <f>IFERROR(__xludf.DUMMYFUNCTION("""COMPUTED_VALUE"""),46028.0)</f>
        <v>46028</v>
      </c>
      <c r="D1352" s="71" t="str">
        <f>IFERROR(__xludf.DUMMYFUNCTION("""COMPUTED_VALUE"""),"VIRGEN FARMERS IRRIGATORS ASSOCIATION, INC.")</f>
        <v>VIRGEN FARMERS IRRIGATORS ASSOCIATION, INC.</v>
      </c>
      <c r="E1352" s="71" t="str">
        <f>IFERROR(__xludf.DUMMYFUNCTION("""COMPUTED_VALUE"""),"Paralaya (Pob.), Candaba, PAMPANGA")</f>
        <v>Paralaya (Pob.), Candaba, PAMPANGA</v>
      </c>
      <c r="F1352" s="2" t="str">
        <f>IFERROR(__xludf.DUMMYFUNCTION("""COMPUTED_VALUE"""),"RENATO CULALA")</f>
        <v>RENATO CULALA</v>
      </c>
      <c r="G1352" s="2">
        <f>IFERROR(__xludf.DUMMYFUNCTION("""COMPUTED_VALUE"""),9.168393643E9)</f>
        <v>9168393643</v>
      </c>
      <c r="H1352" s="2">
        <f>IFERROR(__xludf.DUMMYFUNCTION("""COMPUTED_VALUE"""),65.0)</f>
        <v>65</v>
      </c>
      <c r="I1352" s="72" t="str">
        <f>IFERROR(__xludf.DUMMYFUNCTION("""COMPUTED_VALUE"""),"PMS")</f>
        <v>PMS</v>
      </c>
      <c r="J1352" s="72"/>
      <c r="K1352" s="72" t="str">
        <f>IFERROR(__xludf.DUMMYFUNCTION("""COMPUTED_VALUE"""),"RCG: 1ST PMS FREE")</f>
        <v>RCG: 1ST PMS FREE</v>
      </c>
      <c r="L1352" s="72" t="str">
        <f>IFERROR(__xludf.DUMMYFUNCTION("""COMPUTED_VALUE"""),"RCG: 1ST PMS DONE")</f>
        <v>RCG: 1ST PMS DONE</v>
      </c>
      <c r="M1352" s="2"/>
      <c r="N1352" s="2" t="str">
        <f>IFERROR(__xludf.DUMMYFUNCTION("""COMPUTED_VALUE"""),"PARTS:
OIL FILTER
ENGINE OIL")</f>
        <v>PARTS:
OIL FILTER
ENGINE OIL</v>
      </c>
      <c r="O1352" s="2">
        <f>IFERROR(__xludf.DUMMYFUNCTION("""COMPUTED_VALUE"""),704.0)</f>
        <v>704</v>
      </c>
      <c r="P1352" s="2"/>
      <c r="Q1352" s="2" t="str">
        <f>IFERROR(__xludf.DUMMYFUNCTION("""COMPUTED_VALUE"""),"FOR PRINT")</f>
        <v>FOR PRINT</v>
      </c>
      <c r="R1352" s="74">
        <f>IFERROR(__xludf.DUMMYFUNCTION("""COMPUTED_VALUE"""),46028.0)</f>
        <v>46028</v>
      </c>
      <c r="S1352" s="2" t="str">
        <f>IFERROR(__xludf.DUMMYFUNCTION("""COMPUTED_VALUE"""),"RCG/DRM")</f>
        <v>RCG/DRM</v>
      </c>
      <c r="T1352" s="73" t="str">
        <f>IFERROR(__xludf.DUMMYFUNCTION("""COMPUTED_VALUE""")," N/A ")</f>
        <v>N/A</v>
      </c>
      <c r="U1352" s="73" t="str">
        <f>IFERROR(__xludf.DUMMYFUNCTION("""COMPUTED_VALUE""")," NO CHARGE ")</f>
        <v>NO CHARGE</v>
      </c>
      <c r="V1352" s="2"/>
      <c r="W1352" s="2" t="str">
        <f>IFERROR(__xludf.DUMMYFUNCTION("""COMPUTED_VALUE"""),"N/A")</f>
        <v>N/A</v>
      </c>
      <c r="X1352" s="2" t="str">
        <f>IFERROR(__xludf.DUMMYFUNCTION("""COMPUTED_VALUE"""),"N/A")</f>
        <v>N/A</v>
      </c>
      <c r="Y1352" s="2"/>
      <c r="Z1352" s="2"/>
      <c r="AA1352" s="2"/>
      <c r="AB1352" s="2"/>
      <c r="AC1352" s="2"/>
      <c r="AD1352" s="2"/>
      <c r="AE1352" s="2"/>
      <c r="AF1352" s="2"/>
      <c r="AG1352" s="2"/>
      <c r="AH1352" s="2"/>
      <c r="AI1352" s="2"/>
      <c r="AJ1352" s="2" t="str">
        <f>IFERROR(__xludf.DUMMYFUNCTION("""COMPUTED_VALUE"""),"Paralaya (Pob.)")</f>
        <v>Paralaya (Pob.)</v>
      </c>
      <c r="AK1352" s="2" t="str">
        <f>IFERROR(__xludf.DUMMYFUNCTION("""COMPUTED_VALUE"""),"Candaba")</f>
        <v>Candaba</v>
      </c>
      <c r="AL1352" s="2" t="str">
        <f>IFERROR(__xludf.DUMMYFUNCTION("""COMPUTED_VALUE"""),"Pampanga")</f>
        <v>Pampanga</v>
      </c>
      <c r="AM1352" s="2">
        <f>IFERROR(__xludf.DUMMYFUNCTION("""COMPUTED_VALUE"""),3.0)</f>
        <v>3</v>
      </c>
      <c r="AN1352" s="2" t="str">
        <f>IFERROR(__xludf.DUMMYFUNCTION("""COMPUTED_VALUE"""),"RCEF 25-03-05")</f>
        <v>RCEF 25-03-05</v>
      </c>
      <c r="AO1352" s="2">
        <f>IFERROR(__xludf.DUMMYFUNCTION("""COMPUTED_VALUE"""),5.0)</f>
        <v>5</v>
      </c>
      <c r="AP1352" s="2" t="str">
        <f>IFERROR(__xludf.DUMMYFUNCTION("""COMPUTED_VALUE"""),"FREE PMS")</f>
        <v>FREE PMS</v>
      </c>
      <c r="AQ1352" s="2"/>
      <c r="AR1352" s="2"/>
      <c r="AS1352" s="2"/>
      <c r="AT1352" s="2"/>
      <c r="AU1352" s="2"/>
      <c r="AV1352" s="2"/>
      <c r="AW1352" s="2"/>
      <c r="AX1352" s="2"/>
      <c r="AY1352" s="2"/>
      <c r="AZ1352" s="2"/>
      <c r="BA1352" s="2"/>
      <c r="BB1352" s="2"/>
    </row>
    <row r="1353">
      <c r="A1353" s="2">
        <f>IFERROR(__xludf.DUMMYFUNCTION("""COMPUTED_VALUE"""),1349.0)</f>
        <v>1349</v>
      </c>
      <c r="B1353" s="2" t="str">
        <f>IFERROR(__xludf.DUMMYFUNCTION("""COMPUTED_VALUE"""),"COMPLETED")</f>
        <v>COMPLETED</v>
      </c>
      <c r="C1353" s="74">
        <f>IFERROR(__xludf.DUMMYFUNCTION("""COMPUTED_VALUE"""),46029.0)</f>
        <v>46029</v>
      </c>
      <c r="D1353" s="71" t="str">
        <f>IFERROR(__xludf.DUMMYFUNCTION("""COMPUTED_VALUE"""),"MUNICIPAL LOCAL GOVERNMENT OF LAUR")</f>
        <v>MUNICIPAL LOCAL GOVERNMENT OF LAUR</v>
      </c>
      <c r="E1353" s="71" t="str">
        <f>IFERROR(__xludf.DUMMYFUNCTION("""COMPUTED_VALUE"""),"Barangay III (Pob.), Laur, NUEVA ECIJA")</f>
        <v>Barangay III (Pob.), Laur, NUEVA ECIJA</v>
      </c>
      <c r="F1353" s="2" t="str">
        <f>IFERROR(__xludf.DUMMYFUNCTION("""COMPUTED_VALUE"""),"John Arvin Fausto")</f>
        <v>John Arvin Fausto</v>
      </c>
      <c r="G1353" s="2">
        <f>IFERROR(__xludf.DUMMYFUNCTION("""COMPUTED_VALUE"""),9.362900527E9)</f>
        <v>9362900527</v>
      </c>
      <c r="H1353" s="2"/>
      <c r="I1353" s="72" t="str">
        <f>IFERROR(__xludf.DUMMYFUNCTION("""COMPUTED_VALUE"""),"SPARE PARTS ACQUISITION")</f>
        <v>SPARE PARTS ACQUISITION</v>
      </c>
      <c r="J1353" s="72"/>
      <c r="K1353" s="72" t="str">
        <f>IFERROR(__xludf.DUMMYFUNCTION("""COMPUTED_VALUE"""),"MYK: RELAY ANAD FUSE
30 AMP FUSE
RELAY")</f>
        <v>MYK: RELAY ANAD FUSE
30 AMP FUSE
RELAY</v>
      </c>
      <c r="L1353" s="72" t="str">
        <f>IFERROR(__xludf.DUMMYFUNCTION("""COMPUTED_VALUE"""),"CANCELL ORDER ")</f>
        <v>CANCELL ORDER </v>
      </c>
      <c r="M1353" s="2"/>
      <c r="N1353" s="2"/>
      <c r="O1353" s="2" t="str">
        <f>IFERROR(__xludf.DUMMYFUNCTION("""COMPUTED_VALUE"""),"N/A")</f>
        <v>N/A</v>
      </c>
      <c r="P1353" s="2"/>
      <c r="Q1353" s="2"/>
      <c r="R1353" s="74">
        <f>IFERROR(__xludf.DUMMYFUNCTION("""COMPUTED_VALUE"""),46099.0)</f>
        <v>46099</v>
      </c>
      <c r="S1353" s="2" t="str">
        <f>IFERROR(__xludf.DUMMYFUNCTION("""COMPUTED_VALUE"""),"MTKEE")</f>
        <v>MTKEE</v>
      </c>
      <c r="T1353" s="73" t="str">
        <f>IFERROR(__xludf.DUMMYFUNCTION("""COMPUTED_VALUE""")," N/A ")</f>
        <v>N/A</v>
      </c>
      <c r="U1353" s="73" t="str">
        <f>IFERROR(__xludf.DUMMYFUNCTION("""COMPUTED_VALUE""")," NO CHARGE ")</f>
        <v>NO CHARGE</v>
      </c>
      <c r="V1353" s="2" t="str">
        <f>IFERROR(__xludf.DUMMYFUNCTION("""COMPUTED_VALUE"""),"N/A")</f>
        <v>N/A</v>
      </c>
      <c r="W1353" s="2" t="str">
        <f>IFERROR(__xludf.DUMMYFUNCTION("""COMPUTED_VALUE"""),"N/A")</f>
        <v>N/A</v>
      </c>
      <c r="X1353" s="2"/>
      <c r="Y1353" s="2"/>
      <c r="Z1353" s="2"/>
      <c r="AA1353" s="2"/>
      <c r="AB1353" s="2"/>
      <c r="AC1353" s="2"/>
      <c r="AD1353" s="2"/>
      <c r="AE1353" s="2"/>
      <c r="AF1353" s="2"/>
      <c r="AG1353" s="2"/>
      <c r="AH1353" s="2"/>
      <c r="AI1353" s="2"/>
      <c r="AJ1353" s="2" t="str">
        <f>IFERROR(__xludf.DUMMYFUNCTION("""COMPUTED_VALUE"""),"Barangay Iii (Pob.)")</f>
        <v>Barangay Iii (Pob.)</v>
      </c>
      <c r="AK1353" s="2" t="str">
        <f>IFERROR(__xludf.DUMMYFUNCTION("""COMPUTED_VALUE"""),"Laur")</f>
        <v>Laur</v>
      </c>
      <c r="AL1353" s="2" t="str">
        <f>IFERROR(__xludf.DUMMYFUNCTION("""COMPUTED_VALUE"""),"Nueva Ecija")</f>
        <v>Nueva Ecija</v>
      </c>
      <c r="AM1353" s="2">
        <f>IFERROR(__xludf.DUMMYFUNCTION("""COMPUTED_VALUE"""),3.0)</f>
        <v>3</v>
      </c>
      <c r="AN1353" s="2" t="str">
        <f>IFERROR(__xludf.DUMMYFUNCTION("""COMPUTED_VALUE"""),"RCEF 24-04-15")</f>
        <v>RCEF 24-04-15</v>
      </c>
      <c r="AO1353" s="2">
        <f>IFERROR(__xludf.DUMMYFUNCTION("""COMPUTED_VALUE"""),6.0)</f>
        <v>6</v>
      </c>
      <c r="AP1353" s="2" t="str">
        <f>IFERROR(__xludf.DUMMYFUNCTION("""COMPUTED_VALUE"""),"FREE PMS")</f>
        <v>FREE PMS</v>
      </c>
      <c r="AQ1353" s="2"/>
      <c r="AR1353" s="2"/>
      <c r="AS1353" s="2"/>
      <c r="AT1353" s="2"/>
      <c r="AU1353" s="2"/>
      <c r="AV1353" s="2"/>
      <c r="AW1353" s="2"/>
      <c r="AX1353" s="2"/>
      <c r="AY1353" s="2"/>
      <c r="AZ1353" s="2"/>
      <c r="BA1353" s="2"/>
      <c r="BB1353" s="2"/>
    </row>
    <row r="1354">
      <c r="A1354" s="2">
        <f>IFERROR(__xludf.DUMMYFUNCTION("""COMPUTED_VALUE"""),1350.0)</f>
        <v>1350</v>
      </c>
      <c r="B1354" s="2" t="str">
        <f>IFERROR(__xludf.DUMMYFUNCTION("""COMPUTED_VALUE"""),"COMPLETED")</f>
        <v>COMPLETED</v>
      </c>
      <c r="C1354" s="74">
        <f>IFERROR(__xludf.DUMMYFUNCTION("""COMPUTED_VALUE"""),46029.0)</f>
        <v>46029</v>
      </c>
      <c r="D1354" s="71" t="str">
        <f>IFERROR(__xludf.DUMMYFUNCTION("""COMPUTED_VALUE"""),"SAGINGAN EAST AND WEST FARMERS ASSOCIATION")</f>
        <v>SAGINGAN EAST AND WEST FARMERS ASSOCIATION</v>
      </c>
      <c r="E1354" s="71" t="str">
        <f>IFERROR(__xludf.DUMMYFUNCTION("""COMPUTED_VALUE"""),"Concepcion, Zaragosa, NUEVA ECIJA")</f>
        <v>Concepcion, Zaragosa, NUEVA ECIJA</v>
      </c>
      <c r="F1354" s="2" t="str">
        <f>IFERROR(__xludf.DUMMYFUNCTION("""COMPUTED_VALUE"""),"EDDIE RAMOS")</f>
        <v>EDDIE RAMOS</v>
      </c>
      <c r="G1354" s="2">
        <f>IFERROR(__xludf.DUMMYFUNCTION("""COMPUTED_VALUE"""),9.778241191E9)</f>
        <v>9778241191</v>
      </c>
      <c r="H1354" s="2">
        <f>IFERROR(__xludf.DUMMYFUNCTION("""COMPUTED_VALUE"""),112.0)</f>
        <v>112</v>
      </c>
      <c r="I1354" s="72" t="str">
        <f>IFERROR(__xludf.DUMMYFUNCTION("""COMPUTED_VALUE"""),"REPAIR - TRACTOR")</f>
        <v>REPAIR - TRACTOR</v>
      </c>
      <c r="J1354" s="72" t="str">
        <f>IFERROR(__xludf.DUMMYFUNCTION("""COMPUTED_VALUE"""),"CHECK UP/ REPAIR")</f>
        <v>CHECK UP/ REPAIR</v>
      </c>
      <c r="K1354" s="72" t="str">
        <f>IFERROR(__xludf.DUMMYFUNCTION("""COMPUTED_VALUE"""),"DATE DELIVERED: APRIL 2024
MYK: 
-MAY LUMALABAS NA LANGIS BREATER , 
-YUNG MANOBELA HINDI NA  NA LELEFT AND RIGHT, DEREXO NALANG ANG TAKBO NG GULONG, 
-AT NAG STOCK UP ANG ROTAVATOR NA NAKABABA.  HINDI NA MAITAAS")</f>
        <v>DATE DELIVERED: APRIL 2024
MYK: 
-MAY LUMALABAS NA LANGIS BREATER , 
-YUNG MANOBELA HINDI NA  NA LELEFT AND RIGHT, DEREXO NALANG ANG TAKBO NG GULONG, 
-AT NAG STOCK UP ANG ROTAVATOR NA NAKABABA.  HINDI NA MAITAAS</v>
      </c>
      <c r="L1354" s="72" t="str">
        <f>IFERROR(__xludf.DUMMYFUNCTION("""COMPUTED_VALUE"""),"ACS: NEED TO DRAIN ENGINE OIL AT SIRA DIN YUNG STEERING CYLINDER
DRM: ENGINE CHANGE OIL AND HYDRAULIC OIL TOP UP")</f>
        <v>ACS: NEED TO DRAIN ENGINE OIL AT SIRA DIN YUNG STEERING CYLINDER
DRM: ENGINE CHANGE OIL AND HYDRAULIC OIL TOP UP</v>
      </c>
      <c r="M1354" s="2" t="str">
        <f>IFERROR(__xludf.DUMMYFUNCTION("""COMPUTED_VALUE"""),"PARTS:
STEERING CYLINDER ORING 
DEEP STICK ")</f>
        <v>PARTS:
STEERING CYLINDER ORING 
DEEP STICK </v>
      </c>
      <c r="N1354" s="2" t="str">
        <f>IFERROR(__xludf.DUMMYFUNCTION("""COMPUTED_VALUE"""),"PARTS:
OIL FILTER")</f>
        <v>PARTS:
OIL FILTER</v>
      </c>
      <c r="O1354" s="2">
        <f>IFERROR(__xludf.DUMMYFUNCTION("""COMPUTED_VALUE"""),681.0)</f>
        <v>681</v>
      </c>
      <c r="P1354" s="2"/>
      <c r="Q1354" s="2" t="str">
        <f>IFERROR(__xludf.DUMMYFUNCTION("""COMPUTED_VALUE"""),"FOR PRINT")</f>
        <v>FOR PRINT</v>
      </c>
      <c r="R1354" s="74">
        <f>IFERROR(__xludf.DUMMYFUNCTION("""COMPUTED_VALUE"""),46141.0)</f>
        <v>46141</v>
      </c>
      <c r="S1354" s="2" t="str">
        <f>IFERROR(__xludf.DUMMYFUNCTION("""COMPUTED_VALUE"""),"JHP/DRM")</f>
        <v>JHP/DRM</v>
      </c>
      <c r="T1354" s="73">
        <f>IFERROR(__xludf.DUMMYFUNCTION("""COMPUTED_VALUE"""),3200.0)</f>
        <v>3200</v>
      </c>
      <c r="U1354" s="73" t="str">
        <f>IFERROR(__xludf.DUMMYFUNCTION("""COMPUTED_VALUE""")," REMITTED ")</f>
        <v>REMITTED</v>
      </c>
      <c r="V1354" s="2">
        <f>IFERROR(__xludf.DUMMYFUNCTION("""COMPUTED_VALUE"""),1710.0)</f>
        <v>1710</v>
      </c>
      <c r="W1354" s="2">
        <f>IFERROR(__xludf.DUMMYFUNCTION("""COMPUTED_VALUE"""),1963.0)</f>
        <v>1963</v>
      </c>
      <c r="X1354" s="2">
        <f>IFERROR(__xludf.DUMMYFUNCTION("""COMPUTED_VALUE"""),1778.0)</f>
        <v>1778</v>
      </c>
      <c r="Y1354" s="2"/>
      <c r="Z1354" s="2"/>
      <c r="AA1354" s="2"/>
      <c r="AB1354" s="2"/>
      <c r="AC1354" s="2"/>
      <c r="AD1354" s="2"/>
      <c r="AE1354" s="2"/>
      <c r="AF1354" s="2"/>
      <c r="AG1354" s="2"/>
      <c r="AH1354" s="2"/>
      <c r="AI1354" s="2"/>
      <c r="AJ1354" s="2" t="str">
        <f>IFERROR(__xludf.DUMMYFUNCTION("""COMPUTED_VALUE"""),"Concepcion")</f>
        <v>Concepcion</v>
      </c>
      <c r="AK1354" s="2" t="str">
        <f>IFERROR(__xludf.DUMMYFUNCTION("""COMPUTED_VALUE"""),"Zaragosa")</f>
        <v>Zaragosa</v>
      </c>
      <c r="AL1354" s="2" t="str">
        <f>IFERROR(__xludf.DUMMYFUNCTION("""COMPUTED_VALUE"""),"Nueva Ecija")</f>
        <v>Nueva Ecija</v>
      </c>
      <c r="AM1354" s="2">
        <f>IFERROR(__xludf.DUMMYFUNCTION("""COMPUTED_VALUE"""),3.0)</f>
        <v>3</v>
      </c>
      <c r="AN1354" s="2" t="str">
        <f>IFERROR(__xludf.DUMMYFUNCTION("""COMPUTED_VALUE"""),"RCEF 23-09-21 Rebidding")</f>
        <v>RCEF 23-09-21 Rebidding</v>
      </c>
      <c r="AO1354" s="2">
        <f>IFERROR(__xludf.DUMMYFUNCTION("""COMPUTED_VALUE"""),3.0)</f>
        <v>3</v>
      </c>
      <c r="AP1354" s="2"/>
      <c r="AQ1354" s="2"/>
      <c r="AR1354" s="2"/>
      <c r="AS1354" s="2"/>
      <c r="AT1354" s="2"/>
      <c r="AU1354" s="2"/>
      <c r="AV1354" s="2"/>
      <c r="AW1354" s="2"/>
      <c r="AX1354" s="2"/>
      <c r="AY1354" s="2"/>
      <c r="AZ1354" s="2"/>
      <c r="BA1354" s="2"/>
      <c r="BB1354" s="2"/>
    </row>
    <row r="1355">
      <c r="A1355" s="2">
        <f>IFERROR(__xludf.DUMMYFUNCTION("""COMPUTED_VALUE"""),1351.0)</f>
        <v>1351</v>
      </c>
      <c r="B1355" s="2" t="str">
        <f>IFERROR(__xludf.DUMMYFUNCTION("""COMPUTED_VALUE"""),"COMPLETED")</f>
        <v>COMPLETED</v>
      </c>
      <c r="C1355" s="74">
        <f>IFERROR(__xludf.DUMMYFUNCTION("""COMPUTED_VALUE"""),46029.0)</f>
        <v>46029</v>
      </c>
      <c r="D1355" s="71" t="str">
        <f>IFERROR(__xludf.DUMMYFUNCTION("""COMPUTED_VALUE"""),"DIAGYAN MULTI FARMERS ASSOCIATION")</f>
        <v>DIAGYAN MULTI FARMERS ASSOCIATION</v>
      </c>
      <c r="E1355" s="71" t="str">
        <f>IFERROR(__xludf.DUMMYFUNCTION("""COMPUTED_VALUE"""),"DIAGYAN, DILASAG, AURORA")</f>
        <v>DIAGYAN, DILASAG, AURORA</v>
      </c>
      <c r="F1355" s="2" t="str">
        <f>IFERROR(__xludf.DUMMYFUNCTION("""COMPUTED_VALUE"""),"Vincent Bio")</f>
        <v>Vincent Bio</v>
      </c>
      <c r="G1355" s="2">
        <f>IFERROR(__xludf.DUMMYFUNCTION("""COMPUTED_VALUE"""),9.539314399E9)</f>
        <v>9539314399</v>
      </c>
      <c r="H1355" s="2"/>
      <c r="I1355" s="72" t="str">
        <f>IFERROR(__xludf.DUMMYFUNCTION("""COMPUTED_VALUE"""),"REPAIR - TRACTOR")</f>
        <v>REPAIR - TRACTOR</v>
      </c>
      <c r="J1355" s="72" t="str">
        <f>IFERROR(__xludf.DUMMYFUNCTION("""COMPUTED_VALUE"""),"Front Axle - Leaking")</f>
        <v>Front Axle - Leaking</v>
      </c>
      <c r="K1355" s="72" t="str">
        <f>IFERROR(__xludf.DUMMYFUNCTION("""COMPUTED_VALUE"""),"JHP: front axle oil seal leaking left and right
Parts needed 
 2 set of Oil sel at front axle
 All bearing at front axle
")</f>
        <v>JHP: front axle oil seal leaking left and right
Parts needed 
 2 set of Oil sel at front axle
 All bearing at front axle
</v>
      </c>
      <c r="L1355" s="72" t="str">
        <f>IFERROR(__xludf.DUMMYFUNCTION("""COMPUTED_VALUE"""),"PRICES OF FRONT AXLE OIL SEAL - QUOTATION SENT VIA TEXT- MAGHAHANAP DAW MUNA SILA SA LABAS.
ACS: REPLACED ALL BEARING AND OIL SEAL AT FRONT AXLE")</f>
        <v>PRICES OF FRONT AXLE OIL SEAL - QUOTATION SENT VIA TEXT- MAGHAHANAP DAW MUNA SILA SA LABAS.
ACS: REPLACED ALL BEARING AND OIL SEAL AT FRONT AXLE</v>
      </c>
      <c r="M1355" s="2"/>
      <c r="N1355" s="2" t="str">
        <f>IFERROR(__xludf.DUMMYFUNCTION("""COMPUTED_VALUE"""),"PARTS:
2- OIL SEAL TA000041359A
2- OIL SEAL TC60110000A3
2- OIL SEAL FE78010000B")</f>
        <v>PARTS:
2- OIL SEAL TA000041359A
2- OIL SEAL TC60110000A3
2- OIL SEAL FE78010000B</v>
      </c>
      <c r="O1355" s="2">
        <f>IFERROR(__xludf.DUMMYFUNCTION("""COMPUTED_VALUE"""),673.0)</f>
        <v>673</v>
      </c>
      <c r="P1355" s="2"/>
      <c r="Q1355" s="2" t="str">
        <f>IFERROR(__xludf.DUMMYFUNCTION("""COMPUTED_VALUE"""),"FOR PRINT")</f>
        <v>FOR PRINT</v>
      </c>
      <c r="R1355" s="74">
        <f>IFERROR(__xludf.DUMMYFUNCTION("""COMPUTED_VALUE"""),46062.0)</f>
        <v>46062</v>
      </c>
      <c r="S1355" s="2" t="str">
        <f>IFERROR(__xludf.DUMMYFUNCTION("""COMPUTED_VALUE"""),"JHP/ACS")</f>
        <v>JHP/ACS</v>
      </c>
      <c r="T1355" s="73">
        <f>IFERROR(__xludf.DUMMYFUNCTION("""COMPUTED_VALUE"""),17860.0)</f>
        <v>17860</v>
      </c>
      <c r="U1355" s="73" t="str">
        <f>IFERROR(__xludf.DUMMYFUNCTION("""COMPUTED_VALUE""")," REMITTED ")</f>
        <v>REMITTED</v>
      </c>
      <c r="V1355" s="2">
        <f>IFERROR(__xludf.DUMMYFUNCTION("""COMPUTED_VALUE"""),1701.0)</f>
        <v>1701</v>
      </c>
      <c r="W1355" s="2">
        <f>IFERROR(__xludf.DUMMYFUNCTION("""COMPUTED_VALUE"""),1957.0)</f>
        <v>1957</v>
      </c>
      <c r="X1355" s="2">
        <f>IFERROR(__xludf.DUMMYFUNCTION("""COMPUTED_VALUE"""),1705.0)</f>
        <v>1705</v>
      </c>
      <c r="Y1355" s="2"/>
      <c r="Z1355" s="2"/>
      <c r="AA1355" s="2"/>
      <c r="AB1355" s="2"/>
      <c r="AC1355" s="2"/>
      <c r="AD1355" s="2"/>
      <c r="AE1355" s="2"/>
      <c r="AF1355" s="2"/>
      <c r="AG1355" s="2"/>
      <c r="AH1355" s="2"/>
      <c r="AI1355" s="2"/>
      <c r="AJ1355" s="2" t="str">
        <f>IFERROR(__xludf.DUMMYFUNCTION("""COMPUTED_VALUE"""),"Diagyan")</f>
        <v>Diagyan</v>
      </c>
      <c r="AK1355" s="2" t="str">
        <f>IFERROR(__xludf.DUMMYFUNCTION("""COMPUTED_VALUE"""),"Dilasag")</f>
        <v>Dilasag</v>
      </c>
      <c r="AL1355" s="2" t="str">
        <f>IFERROR(__xludf.DUMMYFUNCTION("""COMPUTED_VALUE"""),"Aurora")</f>
        <v>Aurora</v>
      </c>
      <c r="AM1355" s="2">
        <f>IFERROR(__xludf.DUMMYFUNCTION("""COMPUTED_VALUE"""),3.0)</f>
        <v>3</v>
      </c>
      <c r="AN1355" s="2" t="str">
        <f>IFERROR(__xludf.DUMMYFUNCTION("""COMPUTED_VALUE"""),"RCEF 23-09-21 Rebidding")</f>
        <v>RCEF 23-09-21 Rebidding</v>
      </c>
      <c r="AO1355" s="2">
        <f>IFERROR(__xludf.DUMMYFUNCTION("""COMPUTED_VALUE"""),9.0)</f>
        <v>9</v>
      </c>
      <c r="AP1355" s="2"/>
      <c r="AQ1355" s="2"/>
      <c r="AR1355" s="2"/>
      <c r="AS1355" s="2"/>
      <c r="AT1355" s="2"/>
      <c r="AU1355" s="2"/>
      <c r="AV1355" s="2"/>
      <c r="AW1355" s="2"/>
      <c r="AX1355" s="2"/>
      <c r="AY1355" s="2"/>
      <c r="AZ1355" s="2"/>
      <c r="BA1355" s="2"/>
      <c r="BB1355" s="2"/>
    </row>
    <row r="1356">
      <c r="A1356" s="2">
        <f>IFERROR(__xludf.DUMMYFUNCTION("""COMPUTED_VALUE"""),1352.0)</f>
        <v>1352</v>
      </c>
      <c r="B1356" s="2" t="str">
        <f>IFERROR(__xludf.DUMMYFUNCTION("""COMPUTED_VALUE"""),"COMPLETED")</f>
        <v>COMPLETED</v>
      </c>
      <c r="C1356" s="74">
        <f>IFERROR(__xludf.DUMMYFUNCTION("""COMPUTED_VALUE"""),46029.0)</f>
        <v>46029</v>
      </c>
      <c r="D1356" s="71" t="str">
        <f>IFERROR(__xludf.DUMMYFUNCTION("""COMPUTED_VALUE"""),"BRGY. POBLACION SUR AGRICULTURAL FARMERS ASSOCIATION")</f>
        <v>BRGY. POBLACION SUR AGRICULTURAL FARMERS ASSOCIATION</v>
      </c>
      <c r="E1356" s="71" t="str">
        <f>IFERROR(__xludf.DUMMYFUNCTION("""COMPUTED_VALUE"""),"Poblacion Sur, Mayantoc, TARLAC")</f>
        <v>Poblacion Sur, Mayantoc, TARLAC</v>
      </c>
      <c r="F1356" s="2" t="str">
        <f>IFERROR(__xludf.DUMMYFUNCTION("""COMPUTED_VALUE"""),"Jesus Toledo")</f>
        <v>Jesus Toledo</v>
      </c>
      <c r="G1356" s="2">
        <f>IFERROR(__xludf.DUMMYFUNCTION("""COMPUTED_VALUE"""),9.264234209E9)</f>
        <v>9264234209</v>
      </c>
      <c r="H1356" s="2">
        <f>IFERROR(__xludf.DUMMYFUNCTION("""COMPUTED_VALUE"""),51.0)</f>
        <v>51</v>
      </c>
      <c r="I1356" s="72" t="str">
        <f>IFERROR(__xludf.DUMMYFUNCTION("""COMPUTED_VALUE"""),"PMS")</f>
        <v>PMS</v>
      </c>
      <c r="J1356" s="72" t="str">
        <f>IFERROR(__xludf.DUMMYFUNCTION("""COMPUTED_VALUE"""),"PMS")</f>
        <v>PMS</v>
      </c>
      <c r="K1356" s="72" t="str">
        <f>IFERROR(__xludf.DUMMYFUNCTION("""COMPUTED_VALUE"""),"JHP: 1ST PMS FREE")</f>
        <v>JHP: 1ST PMS FREE</v>
      </c>
      <c r="L1356" s="72" t="str">
        <f>IFERROR(__xludf.DUMMYFUNCTION("""COMPUTED_VALUE"""),"JHP:  1ST PMS DONE")</f>
        <v>JHP:  1ST PMS DONE</v>
      </c>
      <c r="M1356" s="2"/>
      <c r="N1356" s="2" t="str">
        <f>IFERROR(__xludf.DUMMYFUNCTION("""COMPUTED_VALUE"""),"PARTS:
OIL FILTER
ENGINE OIL")</f>
        <v>PARTS:
OIL FILTER
ENGINE OIL</v>
      </c>
      <c r="O1356" s="2">
        <f>IFERROR(__xludf.DUMMYFUNCTION("""COMPUTED_VALUE"""),668.0)</f>
        <v>668</v>
      </c>
      <c r="P1356" s="2"/>
      <c r="Q1356" s="2" t="str">
        <f>IFERROR(__xludf.DUMMYFUNCTION("""COMPUTED_VALUE"""),"FOR PRINT")</f>
        <v>FOR PRINT</v>
      </c>
      <c r="R1356" s="74">
        <f>IFERROR(__xludf.DUMMYFUNCTION("""COMPUTED_VALUE"""),46064.0)</f>
        <v>46064</v>
      </c>
      <c r="S1356" s="2" t="str">
        <f>IFERROR(__xludf.DUMMYFUNCTION("""COMPUTED_VALUE"""),"JHP")</f>
        <v>JHP</v>
      </c>
      <c r="T1356" s="73" t="str">
        <f>IFERROR(__xludf.DUMMYFUNCTION("""COMPUTED_VALUE""")," N/A ")</f>
        <v>N/A</v>
      </c>
      <c r="U1356" s="73" t="str">
        <f>IFERROR(__xludf.DUMMYFUNCTION("""COMPUTED_VALUE""")," NO CHARGE ")</f>
        <v>NO CHARGE</v>
      </c>
      <c r="V1356" s="2"/>
      <c r="W1356" s="2" t="str">
        <f>IFERROR(__xludf.DUMMYFUNCTION("""COMPUTED_VALUE"""),"N/A")</f>
        <v>N/A</v>
      </c>
      <c r="X1356" s="2" t="str">
        <f>IFERROR(__xludf.DUMMYFUNCTION("""COMPUTED_VALUE"""),"N/A")</f>
        <v>N/A</v>
      </c>
      <c r="Y1356" s="2"/>
      <c r="Z1356" s="2"/>
      <c r="AA1356" s="2"/>
      <c r="AB1356" s="2"/>
      <c r="AC1356" s="2"/>
      <c r="AD1356" s="2"/>
      <c r="AE1356" s="2"/>
      <c r="AF1356" s="2"/>
      <c r="AG1356" s="2"/>
      <c r="AH1356" s="2"/>
      <c r="AI1356" s="2"/>
      <c r="AJ1356" s="2" t="str">
        <f>IFERROR(__xludf.DUMMYFUNCTION("""COMPUTED_VALUE"""),"Poblacion Sur")</f>
        <v>Poblacion Sur</v>
      </c>
      <c r="AK1356" s="2" t="str">
        <f>IFERROR(__xludf.DUMMYFUNCTION("""COMPUTED_VALUE"""),"Mayantoc")</f>
        <v>Mayantoc</v>
      </c>
      <c r="AL1356" s="2" t="str">
        <f>IFERROR(__xludf.DUMMYFUNCTION("""COMPUTED_VALUE"""),"Tarlac")</f>
        <v>Tarlac</v>
      </c>
      <c r="AM1356" s="2">
        <f>IFERROR(__xludf.DUMMYFUNCTION("""COMPUTED_VALUE"""),3.0)</f>
        <v>3</v>
      </c>
      <c r="AN1356" s="2" t="str">
        <f>IFERROR(__xludf.DUMMYFUNCTION("""COMPUTED_VALUE"""),"RCEF 25-03-05")</f>
        <v>RCEF 25-03-05</v>
      </c>
      <c r="AO1356" s="2">
        <f>IFERROR(__xludf.DUMMYFUNCTION("""COMPUTED_VALUE"""),5.0)</f>
        <v>5</v>
      </c>
      <c r="AP1356" s="2" t="str">
        <f>IFERROR(__xludf.DUMMYFUNCTION("""COMPUTED_VALUE"""),"FREE PMS")</f>
        <v>FREE PMS</v>
      </c>
      <c r="AQ1356" s="2"/>
      <c r="AR1356" s="2"/>
      <c r="AS1356" s="2"/>
      <c r="AT1356" s="2"/>
      <c r="AU1356" s="2"/>
      <c r="AV1356" s="2"/>
      <c r="AW1356" s="2"/>
      <c r="AX1356" s="2"/>
      <c r="AY1356" s="2"/>
      <c r="AZ1356" s="2"/>
      <c r="BA1356" s="2"/>
      <c r="BB1356" s="2"/>
    </row>
    <row r="1357">
      <c r="A1357" s="2">
        <f>IFERROR(__xludf.DUMMYFUNCTION("""COMPUTED_VALUE"""),1353.0)</f>
        <v>1353</v>
      </c>
      <c r="B1357" s="2" t="str">
        <f>IFERROR(__xludf.DUMMYFUNCTION("""COMPUTED_VALUE"""),"COMPLETED")</f>
        <v>COMPLETED</v>
      </c>
      <c r="C1357" s="74">
        <f>IFERROR(__xludf.DUMMYFUNCTION("""COMPUTED_VALUE"""),46029.0)</f>
        <v>46029</v>
      </c>
      <c r="D1357" s="71" t="str">
        <f>IFERROR(__xludf.DUMMYFUNCTION("""COMPUTED_VALUE"""),"Sapang Buhay Agriculture Cooperative")</f>
        <v>Sapang Buhay Agriculture Cooperative</v>
      </c>
      <c r="E1357" s="71" t="str">
        <f>IFERROR(__xludf.DUMMYFUNCTION("""COMPUTED_VALUE"""),"Tagpos, Santa Rosa, NUEVA ECIJA")</f>
        <v>Tagpos, Santa Rosa, NUEVA ECIJA</v>
      </c>
      <c r="F1357" s="2" t="str">
        <f>IFERROR(__xludf.DUMMYFUNCTION("""COMPUTED_VALUE"""),"BOBBY DIAZ")</f>
        <v>BOBBY DIAZ</v>
      </c>
      <c r="G1357" s="2">
        <f>IFERROR(__xludf.DUMMYFUNCTION("""COMPUTED_VALUE"""),9.499854314E9)</f>
        <v>9499854314</v>
      </c>
      <c r="H1357" s="2">
        <f>IFERROR(__xludf.DUMMYFUNCTION("""COMPUTED_VALUE"""),552.0)</f>
        <v>552</v>
      </c>
      <c r="I1357" s="72" t="str">
        <f>IFERROR(__xludf.DUMMYFUNCTION("""COMPUTED_VALUE"""),"REPAIR - TRACTOR")</f>
        <v>REPAIR - TRACTOR</v>
      </c>
      <c r="J1357" s="72" t="str">
        <f>IFERROR(__xludf.DUMMYFUNCTION("""COMPUTED_VALUE"""),"CHECK UP/ REPAIR")</f>
        <v>CHECK UP/ REPAIR</v>
      </c>
      <c r="K1357" s="72" t="str">
        <f>IFERROR(__xludf.DUMMYFUNCTION("""COMPUTED_VALUE"""),"658: ACS: MULFUNCTION OF FUEL PUMP")</f>
        <v>658: ACS: MULFUNCTION OF FUEL PUMP</v>
      </c>
      <c r="L1357" s="72" t="str">
        <f>IFERROR(__xludf.DUMMYFUNCTION("""COMPUTED_VALUE"""),"JHP: OK NA ITO , NILINIS LANG NILA ANG FUEL TANK")</f>
        <v>JHP: OK NA ITO , NILINIS LANG NILA ANG FUEL TANK</v>
      </c>
      <c r="M1357" s="2"/>
      <c r="N1357" s="2"/>
      <c r="O1357" s="2" t="str">
        <f>IFERROR(__xludf.DUMMYFUNCTION("""COMPUTED_VALUE"""),"N/A")</f>
        <v>N/A</v>
      </c>
      <c r="P1357" s="2"/>
      <c r="Q1357" s="2"/>
      <c r="R1357" s="74">
        <f>IFERROR(__xludf.DUMMYFUNCTION("""COMPUTED_VALUE"""),46084.0)</f>
        <v>46084</v>
      </c>
      <c r="S1357" s="2" t="str">
        <f>IFERROR(__xludf.DUMMYFUNCTION("""COMPUTED_VALUE"""),"JHP")</f>
        <v>JHP</v>
      </c>
      <c r="T1357" s="73" t="str">
        <f>IFERROR(__xludf.DUMMYFUNCTION("""COMPUTED_VALUE""")," N/A ")</f>
        <v>N/A</v>
      </c>
      <c r="U1357" s="73" t="str">
        <f>IFERROR(__xludf.DUMMYFUNCTION("""COMPUTED_VALUE""")," NO CHARGE ")</f>
        <v>NO CHARGE</v>
      </c>
      <c r="V1357" s="2" t="str">
        <f>IFERROR(__xludf.DUMMYFUNCTION("""COMPUTED_VALUE"""),"N/A")</f>
        <v>N/A</v>
      </c>
      <c r="W1357" s="2" t="str">
        <f>IFERROR(__xludf.DUMMYFUNCTION("""COMPUTED_VALUE"""),"N/A")</f>
        <v>N/A</v>
      </c>
      <c r="X1357" s="2" t="str">
        <f>IFERROR(__xludf.DUMMYFUNCTION("""COMPUTED_VALUE"""),"N/A")</f>
        <v>N/A</v>
      </c>
      <c r="Y1357" s="2"/>
      <c r="Z1357" s="2"/>
      <c r="AA1357" s="2"/>
      <c r="AB1357" s="2"/>
      <c r="AC1357" s="2"/>
      <c r="AD1357" s="2"/>
      <c r="AE1357" s="2"/>
      <c r="AF1357" s="2"/>
      <c r="AG1357" s="2"/>
      <c r="AH1357" s="2"/>
      <c r="AI1357" s="2"/>
      <c r="AJ1357" s="2" t="str">
        <f>IFERROR(__xludf.DUMMYFUNCTION("""COMPUTED_VALUE"""),"Tagpos")</f>
        <v>Tagpos</v>
      </c>
      <c r="AK1357" s="2" t="str">
        <f>IFERROR(__xludf.DUMMYFUNCTION("""COMPUTED_VALUE"""),"Santa Rosa")</f>
        <v>Santa Rosa</v>
      </c>
      <c r="AL1357" s="2" t="str">
        <f>IFERROR(__xludf.DUMMYFUNCTION("""COMPUTED_VALUE"""),"Nueva Ecija")</f>
        <v>Nueva Ecija</v>
      </c>
      <c r="AM1357" s="2">
        <f>IFERROR(__xludf.DUMMYFUNCTION("""COMPUTED_VALUE"""),3.0)</f>
        <v>3</v>
      </c>
      <c r="AN1357" s="2" t="str">
        <f>IFERROR(__xludf.DUMMYFUNCTION("""COMPUTED_VALUE"""),"RCEF 23-09-21 Rebidding")</f>
        <v>RCEF 23-09-21 Rebidding</v>
      </c>
      <c r="AO1357" s="2">
        <f>IFERROR(__xludf.DUMMYFUNCTION("""COMPUTED_VALUE"""),3.0)</f>
        <v>3</v>
      </c>
      <c r="AP1357" s="2"/>
      <c r="AQ1357" s="2"/>
      <c r="AR1357" s="2"/>
      <c r="AS1357" s="2"/>
      <c r="AT1357" s="2"/>
      <c r="AU1357" s="2"/>
      <c r="AV1357" s="2"/>
      <c r="AW1357" s="2"/>
      <c r="AX1357" s="2"/>
      <c r="AY1357" s="2"/>
      <c r="AZ1357" s="2"/>
      <c r="BA1357" s="2"/>
      <c r="BB1357" s="2"/>
    </row>
    <row r="1358">
      <c r="A1358" s="2">
        <f>IFERROR(__xludf.DUMMYFUNCTION("""COMPUTED_VALUE"""),1354.0)</f>
        <v>1354</v>
      </c>
      <c r="B1358" s="2" t="str">
        <f>IFERROR(__xludf.DUMMYFUNCTION("""COMPUTED_VALUE"""),"PENDING")</f>
        <v>PENDING</v>
      </c>
      <c r="C1358" s="74">
        <f>IFERROR(__xludf.DUMMYFUNCTION("""COMPUTED_VALUE"""),46029.0)</f>
        <v>46029</v>
      </c>
      <c r="D1358" s="71" t="str">
        <f>IFERROR(__xludf.DUMMYFUNCTION("""COMPUTED_VALUE"""),"HAMBABAURAN FARMERS ASSOCIATION")</f>
        <v>HAMBABAURAN FARMERS ASSOCIATION</v>
      </c>
      <c r="E1358" s="71" t="str">
        <f>IFERROR(__xludf.DUMMYFUNCTION("""COMPUTED_VALUE"""),"Hambabauran, Ubay, BOHOL")</f>
        <v>Hambabauran, Ubay, BOHOL</v>
      </c>
      <c r="F1358" s="2" t="str">
        <f>IFERROR(__xludf.DUMMYFUNCTION("""COMPUTED_VALUE"""),"Tessie Dungog")</f>
        <v>Tessie Dungog</v>
      </c>
      <c r="G1358" s="2">
        <f>IFERROR(__xludf.DUMMYFUNCTION("""COMPUTED_VALUE"""),9.127876399E9)</f>
        <v>9127876399</v>
      </c>
      <c r="H1358" s="2">
        <f>IFERROR(__xludf.DUMMYFUNCTION("""COMPUTED_VALUE"""),52.0)</f>
        <v>52</v>
      </c>
      <c r="I1358" s="72" t="str">
        <f>IFERROR(__xludf.DUMMYFUNCTION("""COMPUTED_VALUE"""),"PMS")</f>
        <v>PMS</v>
      </c>
      <c r="J1358" s="72" t="str">
        <f>IFERROR(__xludf.DUMMYFUNCTION("""COMPUTED_VALUE"""),"PMS")</f>
        <v>PMS</v>
      </c>
      <c r="K1358" s="72" t="str">
        <f>IFERROR(__xludf.DUMMYFUNCTION("""COMPUTED_VALUE"""),"KFS: 1ST PMS FREE")</f>
        <v>KFS: 1ST PMS FREE</v>
      </c>
      <c r="L1358" s="72"/>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c r="AJ1358" s="2" t="str">
        <f>IFERROR(__xludf.DUMMYFUNCTION("""COMPUTED_VALUE"""),"Hambabauran")</f>
        <v>Hambabauran</v>
      </c>
      <c r="AK1358" s="2" t="str">
        <f>IFERROR(__xludf.DUMMYFUNCTION("""COMPUTED_VALUE"""),"Ubay")</f>
        <v>Ubay</v>
      </c>
      <c r="AL1358" s="2" t="str">
        <f>IFERROR(__xludf.DUMMYFUNCTION("""COMPUTED_VALUE"""),"Bohol")</f>
        <v>Bohol</v>
      </c>
      <c r="AM1358" s="2">
        <f>IFERROR(__xludf.DUMMYFUNCTION("""COMPUTED_VALUE"""),7.0)</f>
        <v>7</v>
      </c>
      <c r="AN1358" s="2" t="str">
        <f>IFERROR(__xludf.DUMMYFUNCTION("""COMPUTED_VALUE"""),"RCEF 25-03-05")</f>
        <v>RCEF 25-03-05</v>
      </c>
      <c r="AO1358" s="2">
        <f>IFERROR(__xludf.DUMMYFUNCTION("""COMPUTED_VALUE"""),7.0)</f>
        <v>7</v>
      </c>
      <c r="AP1358" s="2" t="str">
        <f>IFERROR(__xludf.DUMMYFUNCTION("""COMPUTED_VALUE"""),"FREE PMS")</f>
        <v>FREE PMS</v>
      </c>
      <c r="AQ1358" s="2"/>
      <c r="AR1358" s="2"/>
      <c r="AS1358" s="2"/>
      <c r="AT1358" s="2"/>
      <c r="AU1358" s="2"/>
      <c r="AV1358" s="2"/>
      <c r="AW1358" s="2"/>
      <c r="AX1358" s="2"/>
      <c r="AY1358" s="2"/>
      <c r="AZ1358" s="2"/>
      <c r="BA1358" s="2"/>
      <c r="BB1358" s="2"/>
    </row>
    <row r="1359">
      <c r="A1359" s="2">
        <f>IFERROR(__xludf.DUMMYFUNCTION("""COMPUTED_VALUE"""),1355.0)</f>
        <v>1355</v>
      </c>
      <c r="B1359" s="2" t="str">
        <f>IFERROR(__xludf.DUMMYFUNCTION("""COMPUTED_VALUE"""),"COMPLETED")</f>
        <v>COMPLETED</v>
      </c>
      <c r="C1359" s="74">
        <f>IFERROR(__xludf.DUMMYFUNCTION("""COMPUTED_VALUE"""),46031.0)</f>
        <v>46031</v>
      </c>
      <c r="D1359" s="71" t="str">
        <f>IFERROR(__xludf.DUMMYFUNCTION("""COMPUTED_VALUE"""),"Adamson - Bambang Farmers Association")</f>
        <v>Adamson - Bambang Farmers Association</v>
      </c>
      <c r="E1359" s="71" t="str">
        <f>IFERROR(__xludf.DUMMYFUNCTION("""COMPUTED_VALUE"""),"Gugo, Samal, BATAAN")</f>
        <v>Gugo, Samal, BATAAN</v>
      </c>
      <c r="F1359" s="2" t="str">
        <f>IFERROR(__xludf.DUMMYFUNCTION("""COMPUTED_VALUE"""),"Raul Dela Rosa")</f>
        <v>Raul Dela Rosa</v>
      </c>
      <c r="G1359" s="2">
        <f>IFERROR(__xludf.DUMMYFUNCTION("""COMPUTED_VALUE"""),9.266164086E9)</f>
        <v>9266164086</v>
      </c>
      <c r="H1359" s="2"/>
      <c r="I1359" s="72" t="str">
        <f>IFERROR(__xludf.DUMMYFUNCTION("""COMPUTED_VALUE"""),"PMS")</f>
        <v>PMS</v>
      </c>
      <c r="J1359" s="72" t="str">
        <f>IFERROR(__xludf.DUMMYFUNCTION("""COMPUTED_VALUE"""),"PMS")</f>
        <v>PMS</v>
      </c>
      <c r="K1359" s="72" t="str">
        <f>IFERROR(__xludf.DUMMYFUNCTION("""COMPUTED_VALUE"""),"ECM: 1ST PMS FREE")</f>
        <v>ECM: 1ST PMS FREE</v>
      </c>
      <c r="L1359" s="72" t="str">
        <f>IFERROR(__xludf.DUMMYFUNCTION("""COMPUTED_VALUE"""),"JDP: 1ST PMS DONE")</f>
        <v>JDP: 1ST PMS DONE</v>
      </c>
      <c r="M1359" s="2"/>
      <c r="N1359" s="2"/>
      <c r="O1359" s="2">
        <f>IFERROR(__xludf.DUMMYFUNCTION("""COMPUTED_VALUE"""),486.0)</f>
        <v>486</v>
      </c>
      <c r="P1359" s="2" t="str">
        <f>IFERROR(__xludf.DUMMYFUNCTION("""COMPUTED_VALUE"""),"486-Adamson - Bambang Farmers Association.pdf")</f>
        <v>486-Adamson - Bambang Farmers Association.pdf</v>
      </c>
      <c r="Q1359" s="2" t="str">
        <f>IFERROR(__xludf.DUMMYFUNCTION("""COMPUTED_VALUE"""),"FOR PRINT")</f>
        <v>FOR PRINT</v>
      </c>
      <c r="R1359" s="74">
        <f>IFERROR(__xludf.DUMMYFUNCTION("""COMPUTED_VALUE"""),46087.0)</f>
        <v>46087</v>
      </c>
      <c r="S1359" s="2" t="str">
        <f>IFERROR(__xludf.DUMMYFUNCTION("""COMPUTED_VALUE"""),"JDP/JVV")</f>
        <v>JDP/JVV</v>
      </c>
      <c r="T1359" s="73" t="str">
        <f>IFERROR(__xludf.DUMMYFUNCTION("""COMPUTED_VALUE""")," N/A ")</f>
        <v>N/A</v>
      </c>
      <c r="U1359" s="73" t="str">
        <f>IFERROR(__xludf.DUMMYFUNCTION("""COMPUTED_VALUE""")," NO CHARGE ")</f>
        <v>NO CHARGE</v>
      </c>
      <c r="V1359" s="2" t="str">
        <f>IFERROR(__xludf.DUMMYFUNCTION("""COMPUTED_VALUE"""),"NO DR")</f>
        <v>NO DR</v>
      </c>
      <c r="W1359" s="2" t="str">
        <f>IFERROR(__xludf.DUMMYFUNCTION("""COMPUTED_VALUE"""),"N/A")</f>
        <v>N/A</v>
      </c>
      <c r="X1359" s="2" t="str">
        <f>IFERROR(__xludf.DUMMYFUNCTION("""COMPUTED_VALUE"""),"N/A")</f>
        <v>N/A</v>
      </c>
      <c r="Y1359" s="2"/>
      <c r="Z1359" s="2"/>
      <c r="AA1359" s="2"/>
      <c r="AB1359" s="2"/>
      <c r="AC1359" s="2"/>
      <c r="AD1359" s="2"/>
      <c r="AE1359" s="2"/>
      <c r="AF1359" s="2"/>
      <c r="AG1359" s="2"/>
      <c r="AH1359" s="2"/>
      <c r="AI1359" s="2"/>
      <c r="AJ1359" s="2" t="str">
        <f>IFERROR(__xludf.DUMMYFUNCTION("""COMPUTED_VALUE"""),"Gugo")</f>
        <v>Gugo</v>
      </c>
      <c r="AK1359" s="2" t="str">
        <f>IFERROR(__xludf.DUMMYFUNCTION("""COMPUTED_VALUE"""),"Samal")</f>
        <v>Samal</v>
      </c>
      <c r="AL1359" s="2" t="str">
        <f>IFERROR(__xludf.DUMMYFUNCTION("""COMPUTED_VALUE"""),"Bataan")</f>
        <v>Bataan</v>
      </c>
      <c r="AM1359" s="2">
        <f>IFERROR(__xludf.DUMMYFUNCTION("""COMPUTED_VALUE"""),3.0)</f>
        <v>3</v>
      </c>
      <c r="AN1359" s="2" t="str">
        <f>IFERROR(__xludf.DUMMYFUNCTION("""COMPUTED_VALUE"""),"RCEF 25-03-05")</f>
        <v>RCEF 25-03-05</v>
      </c>
      <c r="AO1359" s="2">
        <f>IFERROR(__xludf.DUMMYFUNCTION("""COMPUTED_VALUE"""),5.0)</f>
        <v>5</v>
      </c>
      <c r="AP1359" s="2" t="str">
        <f>IFERROR(__xludf.DUMMYFUNCTION("""COMPUTED_VALUE"""),"FREE PMS")</f>
        <v>FREE PMS</v>
      </c>
      <c r="AQ1359" s="2"/>
      <c r="AR1359" s="2"/>
      <c r="AS1359" s="2"/>
      <c r="AT1359" s="2"/>
      <c r="AU1359" s="2"/>
      <c r="AV1359" s="2"/>
      <c r="AW1359" s="2"/>
      <c r="AX1359" s="2"/>
      <c r="AY1359" s="2"/>
      <c r="AZ1359" s="2"/>
      <c r="BA1359" s="2"/>
      <c r="BB1359" s="2"/>
    </row>
    <row r="1360">
      <c r="A1360" s="2">
        <f>IFERROR(__xludf.DUMMYFUNCTION("""COMPUTED_VALUE"""),1356.0)</f>
        <v>1356</v>
      </c>
      <c r="B1360" s="2" t="str">
        <f>IFERROR(__xludf.DUMMYFUNCTION("""COMPUTED_VALUE"""),"PENDING")</f>
        <v>PENDING</v>
      </c>
      <c r="C1360" s="74">
        <f>IFERROR(__xludf.DUMMYFUNCTION("""COMPUTED_VALUE"""),46031.0)</f>
        <v>46031</v>
      </c>
      <c r="D1360" s="71" t="str">
        <f>IFERROR(__xludf.DUMMYFUNCTION("""COMPUTED_VALUE"""),"San Andres Farmers Association INC")</f>
        <v>San Andres Farmers Association INC</v>
      </c>
      <c r="E1360" s="71" t="str">
        <f>IFERROR(__xludf.DUMMYFUNCTION("""COMPUTED_VALUE"""),"San Andres (Quinayangan Dacu), Balud, MASBATE")</f>
        <v>San Andres (Quinayangan Dacu), Balud, MASBATE</v>
      </c>
      <c r="F1360" s="2" t="str">
        <f>IFERROR(__xludf.DUMMYFUNCTION("""COMPUTED_VALUE"""),"Jun Dale Espinosa")</f>
        <v>Jun Dale Espinosa</v>
      </c>
      <c r="G1360" s="2">
        <f>IFERROR(__xludf.DUMMYFUNCTION("""COMPUTED_VALUE"""),9.468488709E9)</f>
        <v>9468488709</v>
      </c>
      <c r="H1360" s="2"/>
      <c r="I1360" s="72" t="str">
        <f>IFERROR(__xludf.DUMMYFUNCTION("""COMPUTED_VALUE"""),"REPAIR - TRACTOR")</f>
        <v>REPAIR - TRACTOR</v>
      </c>
      <c r="J1360" s="72" t="str">
        <f>IFERROR(__xludf.DUMMYFUNCTION("""COMPUTED_VALUE"""),"FUEL PUMP")</f>
        <v>FUEL PUMP</v>
      </c>
      <c r="K1360" s="72" t="str">
        <f>IFERROR(__xludf.DUMMYFUNCTION("""COMPUTED_VALUE"""),"JVV: FRONT DRIVE OF TRACTOR NOT WORKING                                                                          JTT: Hindi 4x4 ang sira kundi Fuel Pump. bumili na sila ng Fuel Pump")</f>
        <v>JVV: FRONT DRIVE OF TRACTOR NOT WORKING                                                                          JTT: Hindi 4x4 ang sira kundi Fuel Pump. bumili na sila ng Fuel Pump</v>
      </c>
      <c r="L1360" s="72" t="str">
        <f>IFERROR(__xludf.DUMMYFUNCTION("""COMPUTED_VALUE"""),"TO CALL- TO CONFIRM PARTS NEEDED
TO CALL BY RBS")</f>
        <v>TO CALL- TO CONFIRM PARTS NEEDED
TO CALL BY RBS</v>
      </c>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c r="AJ1360" s="2" t="str">
        <f>IFERROR(__xludf.DUMMYFUNCTION("""COMPUTED_VALUE"""),"San Andres (Quinayangan Dacu)")</f>
        <v>San Andres (Quinayangan Dacu)</v>
      </c>
      <c r="AK1360" s="2" t="str">
        <f>IFERROR(__xludf.DUMMYFUNCTION("""COMPUTED_VALUE"""),"Balud")</f>
        <v>Balud</v>
      </c>
      <c r="AL1360" s="2" t="str">
        <f>IFERROR(__xludf.DUMMYFUNCTION("""COMPUTED_VALUE"""),"Masbate")</f>
        <v>Masbate</v>
      </c>
      <c r="AM1360" s="2">
        <f>IFERROR(__xludf.DUMMYFUNCTION("""COMPUTED_VALUE"""),5.0)</f>
        <v>5</v>
      </c>
      <c r="AN1360" s="2" t="str">
        <f>IFERROR(__xludf.DUMMYFUNCTION("""COMPUTED_VALUE"""),"RCEF 25-03-05")</f>
        <v>RCEF 25-03-05</v>
      </c>
      <c r="AO1360" s="2">
        <f>IFERROR(__xludf.DUMMYFUNCTION("""COMPUTED_VALUE"""),6.0)</f>
        <v>6</v>
      </c>
      <c r="AP1360" s="2" t="str">
        <f>IFERROR(__xludf.DUMMYFUNCTION("""COMPUTED_VALUE"""),"FREE PMS")</f>
        <v>FREE PMS</v>
      </c>
      <c r="AQ1360" s="2"/>
      <c r="AR1360" s="2"/>
      <c r="AS1360" s="2"/>
      <c r="AT1360" s="2"/>
      <c r="AU1360" s="2"/>
      <c r="AV1360" s="2"/>
      <c r="AW1360" s="2"/>
      <c r="AX1360" s="2"/>
      <c r="AY1360" s="2"/>
      <c r="AZ1360" s="2"/>
      <c r="BA1360" s="2"/>
      <c r="BB1360" s="2"/>
    </row>
    <row r="1361">
      <c r="A1361" s="2">
        <f>IFERROR(__xludf.DUMMYFUNCTION("""COMPUTED_VALUE"""),1357.0)</f>
        <v>1357</v>
      </c>
      <c r="B1361" s="2" t="str">
        <f>IFERROR(__xludf.DUMMYFUNCTION("""COMPUTED_VALUE"""),"PENDING")</f>
        <v>PENDING</v>
      </c>
      <c r="C1361" s="74">
        <f>IFERROR(__xludf.DUMMYFUNCTION("""COMPUTED_VALUE"""),46031.0)</f>
        <v>46031</v>
      </c>
      <c r="D1361" s="71" t="str">
        <f>IFERROR(__xludf.DUMMYFUNCTION("""COMPUTED_VALUE"""),"POPOLON FARMERS ASSOCIATION, PALAYAN CITY")</f>
        <v>POPOLON FARMERS ASSOCIATION, PALAYAN CITY</v>
      </c>
      <c r="E1361" s="71" t="str">
        <f>IFERROR(__xludf.DUMMYFUNCTION("""COMPUTED_VALUE"""),"Popolon Pagas, Palayan City, NUEVA ECIJA")</f>
        <v>Popolon Pagas, Palayan City, NUEVA ECIJA</v>
      </c>
      <c r="F1361" s="2" t="str">
        <f>IFERROR(__xludf.DUMMYFUNCTION("""COMPUTED_VALUE"""),"Joseph Limos")</f>
        <v>Joseph Limos</v>
      </c>
      <c r="G1361" s="2">
        <f>IFERROR(__xludf.DUMMYFUNCTION("""COMPUTED_VALUE"""),9.125802914E9)</f>
        <v>9125802914</v>
      </c>
      <c r="H1361" s="2"/>
      <c r="I1361" s="72" t="str">
        <f>IFERROR(__xludf.DUMMYFUNCTION("""COMPUTED_VALUE"""),"SPARE PARTS ACQUISITION")</f>
        <v>SPARE PARTS ACQUISITION</v>
      </c>
      <c r="J1361" s="72"/>
      <c r="K1361" s="72" t="str">
        <f>IFERROR(__xludf.DUMMYFUNCTION("""COMPUTED_VALUE"""),"JHP: Bibili ng Oil Seal ng Disc Plow 
2 - 45×85×12T")</f>
        <v>JHP: Bibili ng Oil Seal ng Disc Plow 
2 - 45×85×12T</v>
      </c>
      <c r="L1361" s="72"/>
      <c r="M1361" s="2" t="str">
        <f>IFERROR(__xludf.DUMMYFUNCTION("""COMPUTED_VALUE"""),"2 - OIL SEAL 45-85-12T")</f>
        <v>2 - OIL SEAL 45-85-12T</v>
      </c>
      <c r="N1361" s="2"/>
      <c r="O1361" s="2"/>
      <c r="P1361" s="2"/>
      <c r="Q1361" s="2"/>
      <c r="R1361" s="2"/>
      <c r="S1361" s="2"/>
      <c r="T1361" s="2"/>
      <c r="U1361" s="2"/>
      <c r="V1361" s="2"/>
      <c r="W1361" s="2"/>
      <c r="X1361" s="2"/>
      <c r="Y1361" s="2"/>
      <c r="Z1361" s="2"/>
      <c r="AA1361" s="2"/>
      <c r="AB1361" s="2"/>
      <c r="AC1361" s="2"/>
      <c r="AD1361" s="2"/>
      <c r="AE1361" s="2"/>
      <c r="AF1361" s="2"/>
      <c r="AG1361" s="2"/>
      <c r="AH1361" s="2"/>
      <c r="AI1361" s="2"/>
      <c r="AJ1361" s="2" t="str">
        <f>IFERROR(__xludf.DUMMYFUNCTION("""COMPUTED_VALUE"""),"Popolon Pagas")</f>
        <v>Popolon Pagas</v>
      </c>
      <c r="AK1361" s="2" t="str">
        <f>IFERROR(__xludf.DUMMYFUNCTION("""COMPUTED_VALUE"""),"Palayan City")</f>
        <v>Palayan City</v>
      </c>
      <c r="AL1361" s="2" t="str">
        <f>IFERROR(__xludf.DUMMYFUNCTION("""COMPUTED_VALUE"""),"Nueva Ecija")</f>
        <v>Nueva Ecija</v>
      </c>
      <c r="AM1361" s="2">
        <f>IFERROR(__xludf.DUMMYFUNCTION("""COMPUTED_VALUE"""),3.0)</f>
        <v>3</v>
      </c>
      <c r="AN1361" s="2" t="str">
        <f>IFERROR(__xludf.DUMMYFUNCTION("""COMPUTED_VALUE"""),"RCEF 23-09-21 Rebidding")</f>
        <v>RCEF 23-09-21 Rebidding</v>
      </c>
      <c r="AO1361" s="2">
        <f>IFERROR(__xludf.DUMMYFUNCTION("""COMPUTED_VALUE"""),3.0)</f>
        <v>3</v>
      </c>
      <c r="AP1361" s="2"/>
      <c r="AQ1361" s="2"/>
      <c r="AR1361" s="2"/>
      <c r="AS1361" s="2"/>
      <c r="AT1361" s="2"/>
      <c r="AU1361" s="2"/>
      <c r="AV1361" s="2"/>
      <c r="AW1361" s="2"/>
      <c r="AX1361" s="2"/>
      <c r="AY1361" s="2"/>
      <c r="AZ1361" s="2"/>
      <c r="BA1361" s="2"/>
      <c r="BB1361" s="2"/>
    </row>
    <row r="1362">
      <c r="A1362" s="2">
        <f>IFERROR(__xludf.DUMMYFUNCTION("""COMPUTED_VALUE"""),1358.0)</f>
        <v>1358</v>
      </c>
      <c r="B1362" s="2" t="str">
        <f>IFERROR(__xludf.DUMMYFUNCTION("""COMPUTED_VALUE"""),"COMPLETED")</f>
        <v>COMPLETED</v>
      </c>
      <c r="C1362" s="74">
        <f>IFERROR(__xludf.DUMMYFUNCTION("""COMPUTED_VALUE"""),46034.0)</f>
        <v>46034</v>
      </c>
      <c r="D1362" s="71" t="str">
        <f>IFERROR(__xludf.DUMMYFUNCTION("""COMPUTED_VALUE"""),"Cubay Evangelical Farmers Association")</f>
        <v>Cubay Evangelical Farmers Association</v>
      </c>
      <c r="E1362" s="71" t="str">
        <f>IFERROR(__xludf.DUMMYFUNCTION("""COMPUTED_VALUE"""),"Poblacion, Bingawan, ILOILO")</f>
        <v>Poblacion, Bingawan, ILOILO</v>
      </c>
      <c r="F1362" s="2" t="str">
        <f>IFERROR(__xludf.DUMMYFUNCTION("""COMPUTED_VALUE"""),"MARYSAN ANRDAMOY")</f>
        <v>MARYSAN ANRDAMOY</v>
      </c>
      <c r="G1362" s="2">
        <f>IFERROR(__xludf.DUMMYFUNCTION("""COMPUTED_VALUE"""),9.100619193E9)</f>
        <v>9100619193</v>
      </c>
      <c r="H1362" s="2"/>
      <c r="I1362" s="72" t="str">
        <f>IFERROR(__xludf.DUMMYFUNCTION("""COMPUTED_VALUE"""),"SPARE PARTS ACQUISITION")</f>
        <v>SPARE PARTS ACQUISITION</v>
      </c>
      <c r="J1362" s="72"/>
      <c r="K1362" s="72" t="str">
        <f>IFERROR(__xludf.DUMMYFUNCTION("""COMPUTED_VALUE"""),"MYK: 2 - OIL SEAL TA000041359A")</f>
        <v>MYK: 2 - OIL SEAL TA000041359A</v>
      </c>
      <c r="L1362" s="72" t="str">
        <f>IFERROR(__xludf.DUMMYFUNCTION("""COMPUTED_VALUE"""),"QUOTATION SENT:PAID: FOR SHIPPING")</f>
        <v>QUOTATION SENT:PAID: FOR SHIPPING</v>
      </c>
      <c r="M1362" s="2"/>
      <c r="N1362" s="2" t="str">
        <f>IFERROR(__xludf.DUMMYFUNCTION("""COMPUTED_VALUE"""),"PARTS:
 2 - OIL SEAL TA000041359A")</f>
        <v>PARTS:
 2 - OIL SEAL TA000041359A</v>
      </c>
      <c r="O1362" s="2" t="str">
        <f>IFERROR(__xludf.DUMMYFUNCTION("""COMPUTED_VALUE"""),"N/A")</f>
        <v>N/A</v>
      </c>
      <c r="P1362" s="2"/>
      <c r="Q1362" s="2"/>
      <c r="R1362" s="74">
        <f>IFERROR(__xludf.DUMMYFUNCTION("""COMPUTED_VALUE"""),46045.0)</f>
        <v>46045</v>
      </c>
      <c r="S1362" s="2" t="str">
        <f>IFERROR(__xludf.DUMMYFUNCTION("""COMPUTED_VALUE"""),"MYKEE")</f>
        <v>MYKEE</v>
      </c>
      <c r="T1362" s="73">
        <f>IFERROR(__xludf.DUMMYFUNCTION("""COMPUTED_VALUE"""),6760.0)</f>
        <v>6760</v>
      </c>
      <c r="U1362" s="73" t="str">
        <f>IFERROR(__xludf.DUMMYFUNCTION("""COMPUTED_VALUE""")," REMITTED ")</f>
        <v>REMITTED</v>
      </c>
      <c r="V1362" s="2"/>
      <c r="W1362" s="2"/>
      <c r="X1362" s="2"/>
      <c r="Y1362" s="2"/>
      <c r="Z1362" s="2"/>
      <c r="AA1362" s="2"/>
      <c r="AB1362" s="2"/>
      <c r="AC1362" s="2"/>
      <c r="AD1362" s="2"/>
      <c r="AE1362" s="2"/>
      <c r="AF1362" s="2"/>
      <c r="AG1362" s="2"/>
      <c r="AH1362" s="2"/>
      <c r="AI1362" s="2"/>
      <c r="AJ1362" s="2" t="str">
        <f>IFERROR(__xludf.DUMMYFUNCTION("""COMPUTED_VALUE"""),"Poblacion")</f>
        <v>Poblacion</v>
      </c>
      <c r="AK1362" s="2" t="str">
        <f>IFERROR(__xludf.DUMMYFUNCTION("""COMPUTED_VALUE"""),"Bingawan")</f>
        <v>Bingawan</v>
      </c>
      <c r="AL1362" s="2" t="str">
        <f>IFERROR(__xludf.DUMMYFUNCTION("""COMPUTED_VALUE"""),"Iloilo")</f>
        <v>Iloilo</v>
      </c>
      <c r="AM1362" s="2">
        <f>IFERROR(__xludf.DUMMYFUNCTION("""COMPUTED_VALUE"""),6.0)</f>
        <v>6</v>
      </c>
      <c r="AN1362" s="2" t="str">
        <f>IFERROR(__xludf.DUMMYFUNCTION("""COMPUTED_VALUE"""),"RCEF 23-09-21 Rebidding")</f>
        <v>RCEF 23-09-21 Rebidding</v>
      </c>
      <c r="AO1362" s="2">
        <f>IFERROR(__xludf.DUMMYFUNCTION("""COMPUTED_VALUE"""),4.0)</f>
        <v>4</v>
      </c>
      <c r="AP1362" s="2"/>
      <c r="AQ1362" s="2"/>
      <c r="AR1362" s="2"/>
      <c r="AS1362" s="2"/>
      <c r="AT1362" s="2"/>
      <c r="AU1362" s="2"/>
      <c r="AV1362" s="2"/>
      <c r="AW1362" s="2"/>
      <c r="AX1362" s="2"/>
      <c r="AY1362" s="2"/>
      <c r="AZ1362" s="2"/>
      <c r="BA1362" s="2"/>
      <c r="BB1362" s="2"/>
    </row>
    <row r="1363">
      <c r="A1363" s="2">
        <f>IFERROR(__xludf.DUMMYFUNCTION("""COMPUTED_VALUE"""),1359.0)</f>
        <v>1359</v>
      </c>
      <c r="B1363" s="2" t="str">
        <f>IFERROR(__xludf.DUMMYFUNCTION("""COMPUTED_VALUE"""),"COMPLETED")</f>
        <v>COMPLETED</v>
      </c>
      <c r="C1363" s="74">
        <f>IFERROR(__xludf.DUMMYFUNCTION("""COMPUTED_VALUE"""),46035.0)</f>
        <v>46035</v>
      </c>
      <c r="D1363" s="71" t="str">
        <f>IFERROR(__xludf.DUMMYFUNCTION("""COMPUTED_VALUE"""),"ZARALICA FARMERS ASSOCIATION Inc.")</f>
        <v>ZARALICA FARMERS ASSOCIATION Inc.</v>
      </c>
      <c r="E1363" s="71" t="str">
        <f>IFERROR(__xludf.DUMMYFUNCTION("""COMPUTED_VALUE"""),"Santa Lucia Old, Zaragosa, NUEVA ECIJA")</f>
        <v>Santa Lucia Old, Zaragosa, NUEVA ECIJA</v>
      </c>
      <c r="F1363" s="2" t="str">
        <f>IFERROR(__xludf.DUMMYFUNCTION("""COMPUTED_VALUE"""),"Ricky C Gaitan ")</f>
        <v>Ricky C Gaitan </v>
      </c>
      <c r="G1363" s="2" t="str">
        <f>IFERROR(__xludf.DUMMYFUNCTION("""COMPUTED_VALUE"""),"0953-426-9961")</f>
        <v>0953-426-9961</v>
      </c>
      <c r="H1363" s="2">
        <f>IFERROR(__xludf.DUMMYFUNCTION("""COMPUTED_VALUE"""),50.0)</f>
        <v>50</v>
      </c>
      <c r="I1363" s="72" t="str">
        <f>IFERROR(__xludf.DUMMYFUNCTION("""COMPUTED_VALUE"""),"PMS")</f>
        <v>PMS</v>
      </c>
      <c r="J1363" s="72" t="str">
        <f>IFERROR(__xludf.DUMMYFUNCTION("""COMPUTED_VALUE"""),"PMS")</f>
        <v>PMS</v>
      </c>
      <c r="K1363" s="72" t="str">
        <f>IFERROR(__xludf.DUMMYFUNCTION("""COMPUTED_VALUE"""),"MYK: 1ST PMS FREE")</f>
        <v>MYK: 1ST PMS FREE</v>
      </c>
      <c r="L1363" s="72" t="str">
        <f>IFERROR(__xludf.DUMMYFUNCTION("""COMPUTED_VALUE"""),"JHP: 1ST PMS DONE")</f>
        <v>JHP: 1ST PMS DONE</v>
      </c>
      <c r="M1363" s="2"/>
      <c r="N1363" s="2" t="str">
        <f>IFERROR(__xludf.DUMMYFUNCTION("""COMPUTED_VALUE"""),"PARTS:
OIL FILTER
ENGINE OIL")</f>
        <v>PARTS:
OIL FILTER
ENGINE OIL</v>
      </c>
      <c r="O1363" s="2">
        <f>IFERROR(__xludf.DUMMYFUNCTION("""COMPUTED_VALUE"""),662.0)</f>
        <v>662</v>
      </c>
      <c r="P1363" s="2"/>
      <c r="Q1363" s="2" t="str">
        <f>IFERROR(__xludf.DUMMYFUNCTION("""COMPUTED_VALUE"""),"FOR PRINT")</f>
        <v>FOR PRINT</v>
      </c>
      <c r="R1363" s="74">
        <f>IFERROR(__xludf.DUMMYFUNCTION("""COMPUTED_VALUE"""),46048.0)</f>
        <v>46048</v>
      </c>
      <c r="S1363" s="2" t="str">
        <f>IFERROR(__xludf.DUMMYFUNCTION("""COMPUTED_VALUE"""),"JHP")</f>
        <v>JHP</v>
      </c>
      <c r="T1363" s="73" t="str">
        <f>IFERROR(__xludf.DUMMYFUNCTION("""COMPUTED_VALUE""")," N/A ")</f>
        <v>N/A</v>
      </c>
      <c r="U1363" s="73" t="str">
        <f>IFERROR(__xludf.DUMMYFUNCTION("""COMPUTED_VALUE""")," NO CHARGE ")</f>
        <v>NO CHARGE</v>
      </c>
      <c r="V1363" s="2">
        <f>IFERROR(__xludf.DUMMYFUNCTION("""COMPUTED_VALUE"""),1289.0)</f>
        <v>1289</v>
      </c>
      <c r="W1363" s="2" t="str">
        <f>IFERROR(__xludf.DUMMYFUNCTION("""COMPUTED_VALUE"""),"N/A")</f>
        <v>N/A</v>
      </c>
      <c r="X1363" s="2" t="str">
        <f>IFERROR(__xludf.DUMMYFUNCTION("""COMPUTED_VALUE"""),"N/A")</f>
        <v>N/A</v>
      </c>
      <c r="Y1363" s="2"/>
      <c r="Z1363" s="2"/>
      <c r="AA1363" s="2"/>
      <c r="AB1363" s="2"/>
      <c r="AC1363" s="2"/>
      <c r="AD1363" s="2"/>
      <c r="AE1363" s="2"/>
      <c r="AF1363" s="2"/>
      <c r="AG1363" s="2"/>
      <c r="AH1363" s="2"/>
      <c r="AI1363" s="2"/>
      <c r="AJ1363" s="2" t="str">
        <f>IFERROR(__xludf.DUMMYFUNCTION("""COMPUTED_VALUE"""),"Santa Lucia Old")</f>
        <v>Santa Lucia Old</v>
      </c>
      <c r="AK1363" s="2" t="str">
        <f>IFERROR(__xludf.DUMMYFUNCTION("""COMPUTED_VALUE"""),"Zaragosa")</f>
        <v>Zaragosa</v>
      </c>
      <c r="AL1363" s="2" t="str">
        <f>IFERROR(__xludf.DUMMYFUNCTION("""COMPUTED_VALUE"""),"Nueva Ecija")</f>
        <v>Nueva Ecija</v>
      </c>
      <c r="AM1363" s="2">
        <f>IFERROR(__xludf.DUMMYFUNCTION("""COMPUTED_VALUE"""),3.0)</f>
        <v>3</v>
      </c>
      <c r="AN1363" s="2" t="str">
        <f>IFERROR(__xludf.DUMMYFUNCTION("""COMPUTED_VALUE"""),"RCEF 25-03-05")</f>
        <v>RCEF 25-03-05</v>
      </c>
      <c r="AO1363" s="2">
        <f>IFERROR(__xludf.DUMMYFUNCTION("""COMPUTED_VALUE"""),5.0)</f>
        <v>5</v>
      </c>
      <c r="AP1363" s="2" t="str">
        <f>IFERROR(__xludf.DUMMYFUNCTION("""COMPUTED_VALUE"""),"FREE PMS")</f>
        <v>FREE PMS</v>
      </c>
      <c r="AQ1363" s="2"/>
      <c r="AR1363" s="2"/>
      <c r="AS1363" s="2"/>
      <c r="AT1363" s="2"/>
      <c r="AU1363" s="2"/>
      <c r="AV1363" s="2"/>
      <c r="AW1363" s="2"/>
      <c r="AX1363" s="2"/>
      <c r="AY1363" s="2"/>
      <c r="AZ1363" s="2"/>
      <c r="BA1363" s="2"/>
      <c r="BB1363" s="2"/>
    </row>
    <row r="1364">
      <c r="A1364" s="2">
        <f>IFERROR(__xludf.DUMMYFUNCTION("""COMPUTED_VALUE"""),1360.0)</f>
        <v>1360</v>
      </c>
      <c r="B1364" s="2" t="str">
        <f>IFERROR(__xludf.DUMMYFUNCTION("""COMPUTED_VALUE"""),"COMPLETED")</f>
        <v>COMPLETED</v>
      </c>
      <c r="C1364" s="74">
        <f>IFERROR(__xludf.DUMMYFUNCTION("""COMPUTED_VALUE"""),46035.0)</f>
        <v>46035</v>
      </c>
      <c r="D1364" s="71" t="str">
        <f>IFERROR(__xludf.DUMMYFUNCTION("""COMPUTED_VALUE"""),"Calantas Palaycheck Farmers Association")</f>
        <v>Calantas Palaycheck Farmers Association</v>
      </c>
      <c r="E1364" s="71" t="str">
        <f>IFERROR(__xludf.DUMMYFUNCTION("""COMPUTED_VALUE"""),"Calantas, Casiguran, AURORA")</f>
        <v>Calantas, Casiguran, AURORA</v>
      </c>
      <c r="F1364" s="2" t="str">
        <f>IFERROR(__xludf.DUMMYFUNCTION("""COMPUTED_VALUE"""),"CHRISTOPER ROXAS")</f>
        <v>CHRISTOPER ROXAS</v>
      </c>
      <c r="G1364" s="2"/>
      <c r="H1364" s="2">
        <f>IFERROR(__xludf.DUMMYFUNCTION("""COMPUTED_VALUE"""),132.9)</f>
        <v>132.9</v>
      </c>
      <c r="I1364" s="72" t="str">
        <f>IFERROR(__xludf.DUMMYFUNCTION("""COMPUTED_VALUE"""),"PMS")</f>
        <v>PMS</v>
      </c>
      <c r="J1364" s="72" t="str">
        <f>IFERROR(__xludf.DUMMYFUNCTION("""COMPUTED_VALUE"""),"PMS")</f>
        <v>PMS</v>
      </c>
      <c r="K1364" s="72" t="str">
        <f>IFERROR(__xludf.DUMMYFUNCTION("""COMPUTED_VALUE"""),"ACS: 1ST PMS FREE")</f>
        <v>ACS: 1ST PMS FREE</v>
      </c>
      <c r="L1364" s="72" t="str">
        <f>IFERROR(__xludf.DUMMYFUNCTION("""COMPUTED_VALUE"""),"ACS: 1ST PMS DONE")</f>
        <v>ACS: 1ST PMS DONE</v>
      </c>
      <c r="M1364" s="2"/>
      <c r="N1364" s="2" t="str">
        <f>IFERROR(__xludf.DUMMYFUNCTION("""COMPUTED_VALUE"""),"PARTS:
OIL FILTER
ENGINE OIL")</f>
        <v>PARTS:
OIL FILTER
ENGINE OIL</v>
      </c>
      <c r="O1364" s="2">
        <f>IFERROR(__xludf.DUMMYFUNCTION("""COMPUTED_VALUE"""),660.0)</f>
        <v>660</v>
      </c>
      <c r="P1364" s="2"/>
      <c r="Q1364" s="2" t="str">
        <f>IFERROR(__xludf.DUMMYFUNCTION("""COMPUTED_VALUE"""),"FOR PRINT")</f>
        <v>FOR PRINT</v>
      </c>
      <c r="R1364" s="74">
        <f>IFERROR(__xludf.DUMMYFUNCTION("""COMPUTED_VALUE"""),46035.0)</f>
        <v>46035</v>
      </c>
      <c r="S1364" s="2" t="str">
        <f>IFERROR(__xludf.DUMMYFUNCTION("""COMPUTED_VALUE"""),"JHP/ACS")</f>
        <v>JHP/ACS</v>
      </c>
      <c r="T1364" s="73" t="str">
        <f>IFERROR(__xludf.DUMMYFUNCTION("""COMPUTED_VALUE""")," N/A ")</f>
        <v>N/A</v>
      </c>
      <c r="U1364" s="73" t="str">
        <f>IFERROR(__xludf.DUMMYFUNCTION("""COMPUTED_VALUE""")," NO CHARGE ")</f>
        <v>NO CHARGE</v>
      </c>
      <c r="V1364" s="2">
        <f>IFERROR(__xludf.DUMMYFUNCTION("""COMPUTED_VALUE"""),1287.0)</f>
        <v>1287</v>
      </c>
      <c r="W1364" s="2" t="str">
        <f>IFERROR(__xludf.DUMMYFUNCTION("""COMPUTED_VALUE"""),"N/A")</f>
        <v>N/A</v>
      </c>
      <c r="X1364" s="2" t="str">
        <f>IFERROR(__xludf.DUMMYFUNCTION("""COMPUTED_VALUE"""),"N/A")</f>
        <v>N/A</v>
      </c>
      <c r="Y1364" s="2"/>
      <c r="Z1364" s="2"/>
      <c r="AA1364" s="2"/>
      <c r="AB1364" s="2"/>
      <c r="AC1364" s="2"/>
      <c r="AD1364" s="2"/>
      <c r="AE1364" s="2"/>
      <c r="AF1364" s="2"/>
      <c r="AG1364" s="2"/>
      <c r="AH1364" s="2"/>
      <c r="AI1364" s="2"/>
      <c r="AJ1364" s="2" t="str">
        <f>IFERROR(__xludf.DUMMYFUNCTION("""COMPUTED_VALUE"""),"Calantas")</f>
        <v>Calantas</v>
      </c>
      <c r="AK1364" s="2" t="str">
        <f>IFERROR(__xludf.DUMMYFUNCTION("""COMPUTED_VALUE"""),"Casiguran")</f>
        <v>Casiguran</v>
      </c>
      <c r="AL1364" s="2" t="str">
        <f>IFERROR(__xludf.DUMMYFUNCTION("""COMPUTED_VALUE"""),"Aurora")</f>
        <v>Aurora</v>
      </c>
      <c r="AM1364" s="2">
        <f>IFERROR(__xludf.DUMMYFUNCTION("""COMPUTED_VALUE"""),3.0)</f>
        <v>3</v>
      </c>
      <c r="AN1364" s="2" t="str">
        <f>IFERROR(__xludf.DUMMYFUNCTION("""COMPUTED_VALUE"""),"RCEF 25-03-05")</f>
        <v>RCEF 25-03-05</v>
      </c>
      <c r="AO1364" s="2">
        <f>IFERROR(__xludf.DUMMYFUNCTION("""COMPUTED_VALUE"""),5.0)</f>
        <v>5</v>
      </c>
      <c r="AP1364" s="2" t="str">
        <f>IFERROR(__xludf.DUMMYFUNCTION("""COMPUTED_VALUE"""),"FREE PMS")</f>
        <v>FREE PMS</v>
      </c>
      <c r="AQ1364" s="2"/>
      <c r="AR1364" s="2"/>
      <c r="AS1364" s="2"/>
      <c r="AT1364" s="2"/>
      <c r="AU1364" s="2"/>
      <c r="AV1364" s="2"/>
      <c r="AW1364" s="2"/>
      <c r="AX1364" s="2"/>
      <c r="AY1364" s="2"/>
      <c r="AZ1364" s="2"/>
      <c r="BA1364" s="2"/>
      <c r="BB1364" s="2"/>
    </row>
    <row r="1365">
      <c r="A1365" s="2">
        <f>IFERROR(__xludf.DUMMYFUNCTION("""COMPUTED_VALUE"""),1361.0)</f>
        <v>1361</v>
      </c>
      <c r="B1365" s="2" t="str">
        <f>IFERROR(__xludf.DUMMYFUNCTION("""COMPUTED_VALUE"""),"PENDING")</f>
        <v>PENDING</v>
      </c>
      <c r="C1365" s="74">
        <f>IFERROR(__xludf.DUMMYFUNCTION("""COMPUTED_VALUE"""),46035.0)</f>
        <v>46035</v>
      </c>
      <c r="D1365" s="71" t="str">
        <f>IFERROR(__xludf.DUMMYFUNCTION("""COMPUTED_VALUE"""),"AGBANNAWAG IRRIGATORS ASSOCIATION, INC")</f>
        <v>AGBANNAWAG IRRIGATORS ASSOCIATION, INC</v>
      </c>
      <c r="E1365" s="71" t="str">
        <f>IFERROR(__xludf.DUMMYFUNCTION("""COMPUTED_VALUE"""),"Agbannawag, Rizal, NUEVA ECIJA")</f>
        <v>Agbannawag, Rizal, NUEVA ECIJA</v>
      </c>
      <c r="F1365" s="2" t="str">
        <f>IFERROR(__xludf.DUMMYFUNCTION("""COMPUTED_VALUE"""),"QUIRINO TABANGAY JR.")</f>
        <v>QUIRINO TABANGAY JR.</v>
      </c>
      <c r="G1365" s="2">
        <f>IFERROR(__xludf.DUMMYFUNCTION("""COMPUTED_VALUE"""),9.359972118E9)</f>
        <v>9359972118</v>
      </c>
      <c r="H1365" s="2">
        <f>IFERROR(__xludf.DUMMYFUNCTION("""COMPUTED_VALUE"""),57.0)</f>
        <v>57</v>
      </c>
      <c r="I1365" s="72" t="str">
        <f>IFERROR(__xludf.DUMMYFUNCTION("""COMPUTED_VALUE"""),"REPAIR - TRACTOR")</f>
        <v>REPAIR - TRACTOR</v>
      </c>
      <c r="J1365" s="72" t="str">
        <f>IFERROR(__xludf.DUMMYFUNCTION("""COMPUTED_VALUE"""),"Electrical - Dashboard")</f>
        <v>Electrical - Dashboard</v>
      </c>
      <c r="K1365" s="72" t="str">
        <f>IFERROR(__xludf.DUMMYFUNCTION("""COMPUTED_VALUE"""),"JDP: HINDI GUMAGANA ANG RPM GAUGE  (WITH VIDEO)
2/17/26 - JDP: Nag pa-follow up po sila kung kelan daw po mapapalitan yung meter assembly ng tractor nila
DSD: 4/24/26: FF. VIA CALL -  RPM GUAGE AYAW GUMANA  SIMULA PO NUNG NA TURNOVER")</f>
        <v>JDP: HINDI GUMAGANA ANG RPM GAUGE  (WITH VIDEO)
2/17/26 - JDP: Nag pa-follow up po sila kung kelan daw po mapapalitan yung meter assembly ng tractor nila
DSD: 4/24/26: FF. VIA CALL -  RPM GUAGE AYAW GUMANA  SIMULA PO NUNG NA TURNOVER</v>
      </c>
      <c r="L1365" s="72" t="str">
        <f>IFERROR(__xludf.DUMMYFUNCTION("""COMPUTED_VALUE"""),"EGT: 3/9/26 : HINDI GUMAGANA ANG RPM GAUGE WITH PICTURES AND VIDEO
ECM: FOR WARRANTY CLAIM")</f>
        <v>EGT: 3/9/26 : HINDI GUMAGANA ANG RPM GAUGE WITH PICTURES AND VIDEO
ECM: FOR WARRANTY CLAIM</v>
      </c>
      <c r="M1365" s="2" t="str">
        <f>IFERROR(__xludf.DUMMYFUNCTION("""COMPUTED_VALUE"""),"METER PANEL")</f>
        <v>METER PANEL</v>
      </c>
      <c r="N1365" s="2"/>
      <c r="O1365" s="2"/>
      <c r="P1365" s="2"/>
      <c r="Q1365" s="2"/>
      <c r="R1365" s="2"/>
      <c r="S1365" s="2"/>
      <c r="T1365" s="2"/>
      <c r="U1365" s="2"/>
      <c r="V1365" s="2"/>
      <c r="W1365" s="2"/>
      <c r="X1365" s="2"/>
      <c r="Y1365" s="2"/>
      <c r="Z1365" s="2"/>
      <c r="AA1365" s="2"/>
      <c r="AB1365" s="2"/>
      <c r="AC1365" s="2"/>
      <c r="AD1365" s="2"/>
      <c r="AE1365" s="2" t="str">
        <f>IFERROR(__xludf.DUMMYFUNCTION("""COMPUTED_VALUE"""),"DASHBOARD")</f>
        <v>DASHBOARD</v>
      </c>
      <c r="AF1365" s="2"/>
      <c r="AG1365" s="2"/>
      <c r="AH1365" s="2"/>
      <c r="AI1365" s="2"/>
      <c r="AJ1365" s="2" t="str">
        <f>IFERROR(__xludf.DUMMYFUNCTION("""COMPUTED_VALUE"""),"Agbannawag")</f>
        <v>Agbannawag</v>
      </c>
      <c r="AK1365" s="2" t="str">
        <f>IFERROR(__xludf.DUMMYFUNCTION("""COMPUTED_VALUE"""),"Rizal")</f>
        <v>Rizal</v>
      </c>
      <c r="AL1365" s="2" t="str">
        <f>IFERROR(__xludf.DUMMYFUNCTION("""COMPUTED_VALUE"""),"Nueva Ecija")</f>
        <v>Nueva Ecija</v>
      </c>
      <c r="AM1365" s="2">
        <f>IFERROR(__xludf.DUMMYFUNCTION("""COMPUTED_VALUE"""),3.0)</f>
        <v>3</v>
      </c>
      <c r="AN1365" s="2" t="str">
        <f>IFERROR(__xludf.DUMMYFUNCTION("""COMPUTED_VALUE"""),"RCEF 25-03-05")</f>
        <v>RCEF 25-03-05</v>
      </c>
      <c r="AO1365" s="2">
        <f>IFERROR(__xludf.DUMMYFUNCTION("""COMPUTED_VALUE"""),5.0)</f>
        <v>5</v>
      </c>
      <c r="AP1365" s="2" t="str">
        <f>IFERROR(__xludf.DUMMYFUNCTION("""COMPUTED_VALUE"""),"FREE PMS")</f>
        <v>FREE PMS</v>
      </c>
      <c r="AQ1365" s="2"/>
      <c r="AR1365" s="2"/>
      <c r="AS1365" s="2"/>
      <c r="AT1365" s="2"/>
      <c r="AU1365" s="2"/>
      <c r="AV1365" s="2"/>
      <c r="AW1365" s="2"/>
      <c r="AX1365" s="2"/>
      <c r="AY1365" s="2"/>
      <c r="AZ1365" s="2"/>
      <c r="BA1365" s="2"/>
      <c r="BB1365" s="2"/>
    </row>
    <row r="1366">
      <c r="A1366" s="2">
        <f>IFERROR(__xludf.DUMMYFUNCTION("""COMPUTED_VALUE"""),1362.0)</f>
        <v>1362</v>
      </c>
      <c r="B1366" s="2" t="str">
        <f>IFERROR(__xludf.DUMMYFUNCTION("""COMPUTED_VALUE"""),"COMPLETED")</f>
        <v>COMPLETED</v>
      </c>
      <c r="C1366" s="74">
        <f>IFERROR(__xludf.DUMMYFUNCTION("""COMPUTED_VALUE"""),46036.0)</f>
        <v>46036</v>
      </c>
      <c r="D1366" s="71" t="str">
        <f>IFERROR(__xludf.DUMMYFUNCTION("""COMPUTED_VALUE"""),"Barangay Indayagan Farmers Association")</f>
        <v>Barangay Indayagan Farmers Association</v>
      </c>
      <c r="E1366" s="71" t="str">
        <f>IFERROR(__xludf.DUMMYFUNCTION("""COMPUTED_VALUE"""),"Indayagan, Ma-ayon, CAPIZ")</f>
        <v>Indayagan, Ma-ayon, CAPIZ</v>
      </c>
      <c r="F1366" s="2" t="str">
        <f>IFERROR(__xludf.DUMMYFUNCTION("""COMPUTED_VALUE"""),"QUERICO DANGAN")</f>
        <v>QUERICO DANGAN</v>
      </c>
      <c r="G1366" s="2">
        <f>IFERROR(__xludf.DUMMYFUNCTION("""COMPUTED_VALUE"""),9.48886342E9)</f>
        <v>9488863420</v>
      </c>
      <c r="H1366" s="2">
        <f>IFERROR(__xludf.DUMMYFUNCTION("""COMPUTED_VALUE"""),650.0)</f>
        <v>650</v>
      </c>
      <c r="I1366" s="72" t="str">
        <f>IFERROR(__xludf.DUMMYFUNCTION("""COMPUTED_VALUE"""),"REPAIR - TRACTOR")</f>
        <v>REPAIR - TRACTOR</v>
      </c>
      <c r="J1366" s="72" t="str">
        <f>IFERROR(__xludf.DUMMYFUNCTION("""COMPUTED_VALUE"""),"CHECK UP UNIT")</f>
        <v>CHECK UP UNIT</v>
      </c>
      <c r="K1366" s="72" t="str">
        <f>IFERROR(__xludf.DUMMYFUNCTION("""COMPUTED_VALUE"""),"MYK: MAYROONG LUMALABAS NA USOK SA BREATHER NG UNIT")</f>
        <v>MYK: MAYROONG LUMALABAS NA USOK SA BREATHER NG UNIT</v>
      </c>
      <c r="L1366" s="72" t="str">
        <f>IFERROR(__xludf.DUMMYFUNCTION("""COMPUTED_VALUE"""),"RANDY:  NAG OK NA ANG UNIT NUNG TUMAWAG AKO SA FARMER. ")</f>
        <v>RANDY:  NAG OK NA ANG UNIT NUNG TUMAWAG AKO SA FARMER. </v>
      </c>
      <c r="M1366" s="2"/>
      <c r="N1366" s="2"/>
      <c r="O1366" s="2" t="str">
        <f>IFERROR(__xludf.DUMMYFUNCTION("""COMPUTED_VALUE"""),"N/A")</f>
        <v>N/A</v>
      </c>
      <c r="P1366" s="2"/>
      <c r="Q1366" s="2"/>
      <c r="R1366" s="74">
        <f>IFERROR(__xludf.DUMMYFUNCTION("""COMPUTED_VALUE"""),46056.0)</f>
        <v>46056</v>
      </c>
      <c r="S1366" s="2" t="str">
        <f>IFERROR(__xludf.DUMMYFUNCTION("""COMPUTED_VALUE"""),"RANDY")</f>
        <v>RANDY</v>
      </c>
      <c r="T1366" s="2"/>
      <c r="U1366" s="2"/>
      <c r="V1366" s="2"/>
      <c r="W1366" s="2"/>
      <c r="X1366" s="2"/>
      <c r="Y1366" s="2"/>
      <c r="Z1366" s="2"/>
      <c r="AA1366" s="2"/>
      <c r="AB1366" s="2"/>
      <c r="AC1366" s="2"/>
      <c r="AD1366" s="2"/>
      <c r="AE1366" s="2"/>
      <c r="AF1366" s="2"/>
      <c r="AG1366" s="2"/>
      <c r="AH1366" s="2"/>
      <c r="AI1366" s="2"/>
      <c r="AJ1366" s="2" t="str">
        <f>IFERROR(__xludf.DUMMYFUNCTION("""COMPUTED_VALUE"""),"Indayagan")</f>
        <v>Indayagan</v>
      </c>
      <c r="AK1366" s="2" t="str">
        <f>IFERROR(__xludf.DUMMYFUNCTION("""COMPUTED_VALUE"""),"Ma-Ayon")</f>
        <v>Ma-Ayon</v>
      </c>
      <c r="AL1366" s="2" t="str">
        <f>IFERROR(__xludf.DUMMYFUNCTION("""COMPUTED_VALUE"""),"Capiz")</f>
        <v>Capiz</v>
      </c>
      <c r="AM1366" s="2">
        <f>IFERROR(__xludf.DUMMYFUNCTION("""COMPUTED_VALUE"""),6.0)</f>
        <v>6</v>
      </c>
      <c r="AN1366" s="2" t="str">
        <f>IFERROR(__xludf.DUMMYFUNCTION("""COMPUTED_VALUE"""),"RCEF 23-09-21 Rebidding")</f>
        <v>RCEF 23-09-21 Rebidding</v>
      </c>
      <c r="AO1366" s="2">
        <f>IFERROR(__xludf.DUMMYFUNCTION("""COMPUTED_VALUE"""),4.0)</f>
        <v>4</v>
      </c>
      <c r="AP1366" s="2"/>
      <c r="AQ1366" s="2"/>
      <c r="AR1366" s="2"/>
      <c r="AS1366" s="2"/>
      <c r="AT1366" s="2"/>
      <c r="AU1366" s="2"/>
      <c r="AV1366" s="2"/>
      <c r="AW1366" s="2"/>
      <c r="AX1366" s="2"/>
      <c r="AY1366" s="2"/>
      <c r="AZ1366" s="2"/>
      <c r="BA1366" s="2"/>
      <c r="BB1366" s="2"/>
    </row>
    <row r="1367">
      <c r="A1367" s="2">
        <f>IFERROR(__xludf.DUMMYFUNCTION("""COMPUTED_VALUE"""),1363.0)</f>
        <v>1363</v>
      </c>
      <c r="B1367" s="2" t="str">
        <f>IFERROR(__xludf.DUMMYFUNCTION("""COMPUTED_VALUE"""),"COMPLETED")</f>
        <v>COMPLETED</v>
      </c>
      <c r="C1367" s="74">
        <f>IFERROR(__xludf.DUMMYFUNCTION("""COMPUTED_VALUE"""),46036.0)</f>
        <v>46036</v>
      </c>
      <c r="D1367" s="71" t="str">
        <f>IFERROR(__xludf.DUMMYFUNCTION("""COMPUTED_VALUE"""),"MAYANG UNITED FARMERS AGRICULTURE COOPERATIVE")</f>
        <v>MAYANG UNITED FARMERS AGRICULTURE COOPERATIVE</v>
      </c>
      <c r="E1367" s="71" t="str">
        <f>IFERROR(__xludf.DUMMYFUNCTION("""COMPUTED_VALUE"""),"Mayang, La Paz, TARLAC")</f>
        <v>Mayang, La Paz, TARLAC</v>
      </c>
      <c r="F1367" s="2" t="str">
        <f>IFERROR(__xludf.DUMMYFUNCTION("""COMPUTED_VALUE"""),"FROYLAN TALEGA")</f>
        <v>FROYLAN TALEGA</v>
      </c>
      <c r="G1367" s="2">
        <f>IFERROR(__xludf.DUMMYFUNCTION("""COMPUTED_VALUE"""),9.062369113E9)</f>
        <v>9062369113</v>
      </c>
      <c r="H1367" s="2">
        <f>IFERROR(__xludf.DUMMYFUNCTION("""COMPUTED_VALUE"""),70.0)</f>
        <v>70</v>
      </c>
      <c r="I1367" s="72" t="str">
        <f>IFERROR(__xludf.DUMMYFUNCTION("""COMPUTED_VALUE"""),"PMS")</f>
        <v>PMS</v>
      </c>
      <c r="J1367" s="72" t="str">
        <f>IFERROR(__xludf.DUMMYFUNCTION("""COMPUTED_VALUE"""),"PMS")</f>
        <v>PMS</v>
      </c>
      <c r="K1367" s="72" t="str">
        <f>IFERROR(__xludf.DUMMYFUNCTION("""COMPUTED_VALUE"""),"MYK: 1ST PMS FREE")</f>
        <v>MYK: 1ST PMS FREE</v>
      </c>
      <c r="L1367" s="72" t="str">
        <f>IFERROR(__xludf.DUMMYFUNCTION("""COMPUTED_VALUE"""),"ACS: 1ST PMS DONE")</f>
        <v>ACS: 1ST PMS DONE</v>
      </c>
      <c r="M1367" s="2"/>
      <c r="N1367" s="2" t="str">
        <f>IFERROR(__xludf.DUMMYFUNCTION("""COMPUTED_VALUE"""),"PARTS:
OIL FILTER
ENGINE OIL")</f>
        <v>PARTS:
OIL FILTER
ENGINE OIL</v>
      </c>
      <c r="O1367" s="2">
        <f>IFERROR(__xludf.DUMMYFUNCTION("""COMPUTED_VALUE"""),671.0)</f>
        <v>671</v>
      </c>
      <c r="P1367" s="2"/>
      <c r="Q1367" s="2" t="str">
        <f>IFERROR(__xludf.DUMMYFUNCTION("""COMPUTED_VALUE"""),"FOR PRINT")</f>
        <v>FOR PRINT</v>
      </c>
      <c r="R1367" s="74">
        <f>IFERROR(__xludf.DUMMYFUNCTION("""COMPUTED_VALUE"""),46069.0)</f>
        <v>46069</v>
      </c>
      <c r="S1367" s="2" t="str">
        <f>IFERROR(__xludf.DUMMYFUNCTION("""COMPUTED_VALUE"""),"JHP/ACS")</f>
        <v>JHP/ACS</v>
      </c>
      <c r="T1367" s="73" t="str">
        <f>IFERROR(__xludf.DUMMYFUNCTION("""COMPUTED_VALUE""")," N/A ")</f>
        <v>N/A</v>
      </c>
      <c r="U1367" s="73" t="str">
        <f>IFERROR(__xludf.DUMMYFUNCTION("""COMPUTED_VALUE""")," NO CHARGE ")</f>
        <v>NO CHARGE</v>
      </c>
      <c r="V1367" s="2">
        <f>IFERROR(__xludf.DUMMYFUNCTION("""COMPUTED_VALUE"""),1299.0)</f>
        <v>1299</v>
      </c>
      <c r="W1367" s="2" t="str">
        <f>IFERROR(__xludf.DUMMYFUNCTION("""COMPUTED_VALUE"""),"N/A")</f>
        <v>N/A</v>
      </c>
      <c r="X1367" s="2" t="str">
        <f>IFERROR(__xludf.DUMMYFUNCTION("""COMPUTED_VALUE"""),"N/A")</f>
        <v>N/A</v>
      </c>
      <c r="Y1367" s="2"/>
      <c r="Z1367" s="2"/>
      <c r="AA1367" s="2"/>
      <c r="AB1367" s="2"/>
      <c r="AC1367" s="2"/>
      <c r="AD1367" s="2"/>
      <c r="AE1367" s="2"/>
      <c r="AF1367" s="2"/>
      <c r="AG1367" s="2"/>
      <c r="AH1367" s="2"/>
      <c r="AI1367" s="2"/>
      <c r="AJ1367" s="2" t="str">
        <f>IFERROR(__xludf.DUMMYFUNCTION("""COMPUTED_VALUE"""),"Mayang")</f>
        <v>Mayang</v>
      </c>
      <c r="AK1367" s="2" t="str">
        <f>IFERROR(__xludf.DUMMYFUNCTION("""COMPUTED_VALUE"""),"La Paz")</f>
        <v>La Paz</v>
      </c>
      <c r="AL1367" s="2" t="str">
        <f>IFERROR(__xludf.DUMMYFUNCTION("""COMPUTED_VALUE"""),"Tarlac")</f>
        <v>Tarlac</v>
      </c>
      <c r="AM1367" s="2">
        <f>IFERROR(__xludf.DUMMYFUNCTION("""COMPUTED_VALUE"""),3.0)</f>
        <v>3</v>
      </c>
      <c r="AN1367" s="2" t="str">
        <f>IFERROR(__xludf.DUMMYFUNCTION("""COMPUTED_VALUE"""),"RCEF 25-03-05")</f>
        <v>RCEF 25-03-05</v>
      </c>
      <c r="AO1367" s="2">
        <f>IFERROR(__xludf.DUMMYFUNCTION("""COMPUTED_VALUE"""),5.0)</f>
        <v>5</v>
      </c>
      <c r="AP1367" s="2" t="str">
        <f>IFERROR(__xludf.DUMMYFUNCTION("""COMPUTED_VALUE"""),"FREE PMS")</f>
        <v>FREE PMS</v>
      </c>
      <c r="AQ1367" s="2"/>
      <c r="AR1367" s="2"/>
      <c r="AS1367" s="2"/>
      <c r="AT1367" s="2"/>
      <c r="AU1367" s="2"/>
      <c r="AV1367" s="2"/>
      <c r="AW1367" s="2"/>
      <c r="AX1367" s="2"/>
      <c r="AY1367" s="2"/>
      <c r="AZ1367" s="2"/>
      <c r="BA1367" s="2"/>
      <c r="BB1367" s="2"/>
    </row>
    <row r="1368">
      <c r="A1368" s="2">
        <f>IFERROR(__xludf.DUMMYFUNCTION("""COMPUTED_VALUE"""),1364.0)</f>
        <v>1364</v>
      </c>
      <c r="B1368" s="2" t="str">
        <f>IFERROR(__xludf.DUMMYFUNCTION("""COMPUTED_VALUE"""),"COMPLETED")</f>
        <v>COMPLETED</v>
      </c>
      <c r="C1368" s="74">
        <f>IFERROR(__xludf.DUMMYFUNCTION("""COMPUTED_VALUE"""),46036.0)</f>
        <v>46036</v>
      </c>
      <c r="D1368" s="71" t="str">
        <f>IFERROR(__xludf.DUMMYFUNCTION("""COMPUTED_VALUE"""),"Diffun Saranay and Development Cooperative (DISADECO)")</f>
        <v>Diffun Saranay and Development Cooperative (DISADECO)</v>
      </c>
      <c r="E1368" s="71" t="str">
        <f>IFERROR(__xludf.DUMMYFUNCTION("""COMPUTED_VALUE"""),"Andres Bonifacio (Pob.), Diffun, QUIRINO")</f>
        <v>Andres Bonifacio (Pob.), Diffun, QUIRINO</v>
      </c>
      <c r="F1368" s="2" t="str">
        <f>IFERROR(__xludf.DUMMYFUNCTION("""COMPUTED_VALUE"""),"Christian Dacumos")</f>
        <v>Christian Dacumos</v>
      </c>
      <c r="G1368" s="2" t="str">
        <f>IFERROR(__xludf.DUMMYFUNCTION("""COMPUTED_VALUE"""),"0906 135 4403")</f>
        <v>0906 135 4403</v>
      </c>
      <c r="H1368" s="2">
        <f>IFERROR(__xludf.DUMMYFUNCTION("""COMPUTED_VALUE"""),100.0)</f>
        <v>100</v>
      </c>
      <c r="I1368" s="72" t="str">
        <f>IFERROR(__xludf.DUMMYFUNCTION("""COMPUTED_VALUE"""),"SPARE PARTS ACQUISITION")</f>
        <v>SPARE PARTS ACQUISITION</v>
      </c>
      <c r="J1368" s="72"/>
      <c r="K1368" s="72" t="str">
        <f>IFERROR(__xludf.DUMMYFUNCTION("""COMPUTED_VALUE"""),"MYK: Water pump and Joystick Assembly")</f>
        <v>MYK: Water pump and Joystick Assembly</v>
      </c>
      <c r="L1368" s="72" t="str">
        <f>IFERROR(__xludf.DUMMYFUNCTION("""COMPUTED_VALUE"""),"QUOTATION SENT: DELIVERED")</f>
        <v>QUOTATION SENT: DELIVERED</v>
      </c>
      <c r="M1368" s="2"/>
      <c r="N1368" s="2" t="str">
        <f>IFERROR(__xludf.DUMMYFUNCTION("""COMPUTED_VALUE"""),"PARTS:
WATER PUMP ASSY
JOY STICK ASSY")</f>
        <v>PARTS:
WATER PUMP ASSY
JOY STICK ASSY</v>
      </c>
      <c r="O1368" s="2" t="str">
        <f>IFERROR(__xludf.DUMMYFUNCTION("""COMPUTED_VALUE"""),"N/A")</f>
        <v>N/A</v>
      </c>
      <c r="P1368" s="2"/>
      <c r="Q1368" s="2"/>
      <c r="R1368" s="74">
        <f>IFERROR(__xludf.DUMMYFUNCTION("""COMPUTED_VALUE"""),46045.0)</f>
        <v>46045</v>
      </c>
      <c r="S1368" s="2" t="str">
        <f>IFERROR(__xludf.DUMMYFUNCTION("""COMPUTED_VALUE"""),"CFG")</f>
        <v>CFG</v>
      </c>
      <c r="T1368" s="73">
        <f>IFERROR(__xludf.DUMMYFUNCTION("""COMPUTED_VALUE"""),56310.0)</f>
        <v>56310</v>
      </c>
      <c r="U1368" s="73" t="str">
        <f>IFERROR(__xludf.DUMMYFUNCTION("""COMPUTED_VALUE""")," RECORDED ")</f>
        <v>RECORDED</v>
      </c>
      <c r="V1368" s="2">
        <f>IFERROR(__xludf.DUMMYFUNCTION("""COMPUTED_VALUE"""),1651.0)</f>
        <v>1651</v>
      </c>
      <c r="W1368" s="2">
        <f>IFERROR(__xludf.DUMMYFUNCTION("""COMPUTED_VALUE"""),1767.0)</f>
        <v>1767</v>
      </c>
      <c r="X1368" s="2">
        <f>IFERROR(__xludf.DUMMYFUNCTION("""COMPUTED_VALUE"""),1715.0)</f>
        <v>1715</v>
      </c>
      <c r="Y1368" s="2"/>
      <c r="Z1368" s="2"/>
      <c r="AA1368" s="2"/>
      <c r="AB1368" s="2"/>
      <c r="AC1368" s="2"/>
      <c r="AD1368" s="2"/>
      <c r="AE1368" s="2"/>
      <c r="AF1368" s="2"/>
      <c r="AG1368" s="2"/>
      <c r="AH1368" s="2"/>
      <c r="AI1368" s="2"/>
      <c r="AJ1368" s="2" t="str">
        <f>IFERROR(__xludf.DUMMYFUNCTION("""COMPUTED_VALUE"""),"Andres Bonifacio (Pob.)")</f>
        <v>Andres Bonifacio (Pob.)</v>
      </c>
      <c r="AK1368" s="2" t="str">
        <f>IFERROR(__xludf.DUMMYFUNCTION("""COMPUTED_VALUE"""),"Diffun")</f>
        <v>Diffun</v>
      </c>
      <c r="AL1368" s="2" t="str">
        <f>IFERROR(__xludf.DUMMYFUNCTION("""COMPUTED_VALUE"""),"Quirino")</f>
        <v>Quirino</v>
      </c>
      <c r="AM1368" s="2">
        <f>IFERROR(__xludf.DUMMYFUNCTION("""COMPUTED_VALUE"""),2.0)</f>
        <v>2</v>
      </c>
      <c r="AN1368" s="2" t="str">
        <f>IFERROR(__xludf.DUMMYFUNCTION("""COMPUTED_VALUE"""),"RCEF 23-09-21 Rebidding")</f>
        <v>RCEF 23-09-21 Rebidding</v>
      </c>
      <c r="AO1368" s="2">
        <f>IFERROR(__xludf.DUMMYFUNCTION("""COMPUTED_VALUE"""),1.0)</f>
        <v>1</v>
      </c>
      <c r="AP1368" s="2"/>
      <c r="AQ1368" s="2"/>
      <c r="AR1368" s="2"/>
      <c r="AS1368" s="2"/>
      <c r="AT1368" s="2"/>
      <c r="AU1368" s="2"/>
      <c r="AV1368" s="2"/>
      <c r="AW1368" s="2"/>
      <c r="AX1368" s="2"/>
      <c r="AY1368" s="2"/>
      <c r="AZ1368" s="2"/>
      <c r="BA1368" s="2"/>
      <c r="BB1368" s="2"/>
    </row>
    <row r="1369">
      <c r="A1369" s="2">
        <f>IFERROR(__xludf.DUMMYFUNCTION("""COMPUTED_VALUE"""),1365.0)</f>
        <v>1365</v>
      </c>
      <c r="B1369" s="2" t="str">
        <f>IFERROR(__xludf.DUMMYFUNCTION("""COMPUTED_VALUE"""),"COMPLETED")</f>
        <v>COMPLETED</v>
      </c>
      <c r="C1369" s="74">
        <f>IFERROR(__xludf.DUMMYFUNCTION("""COMPUTED_VALUE"""),46037.0)</f>
        <v>46037</v>
      </c>
      <c r="D1369" s="71" t="str">
        <f>IFERROR(__xludf.DUMMYFUNCTION("""COMPUTED_VALUE"""),"SAMAHAN NG MANGINGISDA AT MAGSASAKA NG CASUGAD INC.")</f>
        <v>SAMAHAN NG MANGINGISDA AT MAGSASAKA NG CASUGAD INC.</v>
      </c>
      <c r="E1369" s="71" t="str">
        <f>IFERROR(__xludf.DUMMYFUNCTION("""COMPUTED_VALUE"""),"Casugad, Bula, CAMARINES SUR")</f>
        <v>Casugad, Bula, CAMARINES SUR</v>
      </c>
      <c r="F1369" s="2" t="str">
        <f>IFERROR(__xludf.DUMMYFUNCTION("""COMPUTED_VALUE"""),"ROGELIO YABRES")</f>
        <v>ROGELIO YABRES</v>
      </c>
      <c r="G1369" s="2">
        <f>IFERROR(__xludf.DUMMYFUNCTION("""COMPUTED_VALUE"""),9.604285727E9)</f>
        <v>9604285727</v>
      </c>
      <c r="H1369" s="2">
        <f>IFERROR(__xludf.DUMMYFUNCTION("""COMPUTED_VALUE"""),40.0)</f>
        <v>40</v>
      </c>
      <c r="I1369" s="72" t="str">
        <f>IFERROR(__xludf.DUMMYFUNCTION("""COMPUTED_VALUE"""),"PMS")</f>
        <v>PMS</v>
      </c>
      <c r="J1369" s="72" t="str">
        <f>IFERROR(__xludf.DUMMYFUNCTION("""COMPUTED_VALUE"""),"PMS")</f>
        <v>PMS</v>
      </c>
      <c r="K1369" s="72" t="str">
        <f>IFERROR(__xludf.DUMMYFUNCTION("""COMPUTED_VALUE"""),"MYK: 1ST PMS FREE")</f>
        <v>MYK: 1ST PMS FREE</v>
      </c>
      <c r="L1369" s="72" t="str">
        <f>IFERROR(__xludf.DUMMYFUNCTION("""COMPUTED_VALUE"""),"FPJ: 1ST PMS DONE")</f>
        <v>FPJ: 1ST PMS DONE</v>
      </c>
      <c r="M1369" s="2"/>
      <c r="N1369" s="2" t="str">
        <f>IFERROR(__xludf.DUMMYFUNCTION("""COMPUTED_VALUE"""),"PARTS:
OIL FILTER
ENGINE OIL")</f>
        <v>PARTS:
OIL FILTER
ENGINE OIL</v>
      </c>
      <c r="O1369" s="2">
        <f>IFERROR(__xludf.DUMMYFUNCTION("""COMPUTED_VALUE"""),568.0)</f>
        <v>568</v>
      </c>
      <c r="P1369" s="2"/>
      <c r="Q1369" s="2" t="str">
        <f>IFERROR(__xludf.DUMMYFUNCTION("""COMPUTED_VALUE"""),"FOR PRINT")</f>
        <v>FOR PRINT</v>
      </c>
      <c r="R1369" s="74">
        <f>IFERROR(__xludf.DUMMYFUNCTION("""COMPUTED_VALUE"""),46073.0)</f>
        <v>46073</v>
      </c>
      <c r="S1369" s="2" t="str">
        <f>IFERROR(__xludf.DUMMYFUNCTION("""COMPUTED_VALUE"""),"FPJ/JAH")</f>
        <v>FPJ/JAH</v>
      </c>
      <c r="T1369" s="73" t="str">
        <f>IFERROR(__xludf.DUMMYFUNCTION("""COMPUTED_VALUE""")," N/A ")</f>
        <v>N/A</v>
      </c>
      <c r="U1369" s="73" t="str">
        <f>IFERROR(__xludf.DUMMYFUNCTION("""COMPUTED_VALUE""")," NO CHARGE ")</f>
        <v>NO CHARGE</v>
      </c>
      <c r="V1369" s="2" t="str">
        <f>IFERROR(__xludf.DUMMYFUNCTION("""COMPUTED_VALUE"""),"NO DR")</f>
        <v>NO DR</v>
      </c>
      <c r="W1369" s="2" t="str">
        <f>IFERROR(__xludf.DUMMYFUNCTION("""COMPUTED_VALUE"""),"N/A")</f>
        <v>N/A</v>
      </c>
      <c r="X1369" s="2" t="str">
        <f>IFERROR(__xludf.DUMMYFUNCTION("""COMPUTED_VALUE"""),"N/A")</f>
        <v>N/A</v>
      </c>
      <c r="Y1369" s="2"/>
      <c r="Z1369" s="2"/>
      <c r="AA1369" s="2"/>
      <c r="AB1369" s="2"/>
      <c r="AC1369" s="2"/>
      <c r="AD1369" s="2"/>
      <c r="AE1369" s="2"/>
      <c r="AF1369" s="2"/>
      <c r="AG1369" s="2"/>
      <c r="AH1369" s="2"/>
      <c r="AI1369" s="2"/>
      <c r="AJ1369" s="2" t="str">
        <f>IFERROR(__xludf.DUMMYFUNCTION("""COMPUTED_VALUE"""),"Casugad")</f>
        <v>Casugad</v>
      </c>
      <c r="AK1369" s="2" t="str">
        <f>IFERROR(__xludf.DUMMYFUNCTION("""COMPUTED_VALUE"""),"Bula")</f>
        <v>Bula</v>
      </c>
      <c r="AL1369" s="2" t="str">
        <f>IFERROR(__xludf.DUMMYFUNCTION("""COMPUTED_VALUE"""),"Camarines Sur")</f>
        <v>Camarines Sur</v>
      </c>
      <c r="AM1369" s="2">
        <f>IFERROR(__xludf.DUMMYFUNCTION("""COMPUTED_VALUE"""),5.0)</f>
        <v>5</v>
      </c>
      <c r="AN1369" s="2" t="str">
        <f>IFERROR(__xludf.DUMMYFUNCTION("""COMPUTED_VALUE"""),"RCEF 25-03-05")</f>
        <v>RCEF 25-03-05</v>
      </c>
      <c r="AO1369" s="2">
        <f>IFERROR(__xludf.DUMMYFUNCTION("""COMPUTED_VALUE"""),6.0)</f>
        <v>6</v>
      </c>
      <c r="AP1369" s="2" t="str">
        <f>IFERROR(__xludf.DUMMYFUNCTION("""COMPUTED_VALUE"""),"FREE PMS")</f>
        <v>FREE PMS</v>
      </c>
      <c r="AQ1369" s="2"/>
      <c r="AR1369" s="2"/>
      <c r="AS1369" s="2"/>
      <c r="AT1369" s="2"/>
      <c r="AU1369" s="2"/>
      <c r="AV1369" s="2"/>
      <c r="AW1369" s="2"/>
      <c r="AX1369" s="2"/>
      <c r="AY1369" s="2"/>
      <c r="AZ1369" s="2"/>
      <c r="BA1369" s="2"/>
      <c r="BB1369" s="2"/>
    </row>
    <row r="1370">
      <c r="A1370" s="2">
        <f>IFERROR(__xludf.DUMMYFUNCTION("""COMPUTED_VALUE"""),1366.0)</f>
        <v>1366</v>
      </c>
      <c r="B1370" s="2" t="str">
        <f>IFERROR(__xludf.DUMMYFUNCTION("""COMPUTED_VALUE"""),"PENDING")</f>
        <v>PENDING</v>
      </c>
      <c r="C1370" s="74">
        <f>IFERROR(__xludf.DUMMYFUNCTION("""COMPUTED_VALUE"""),46037.0)</f>
        <v>46037</v>
      </c>
      <c r="D1370" s="71" t="str">
        <f>IFERROR(__xludf.DUMMYFUNCTION("""COMPUTED_VALUE"""),"METRO DALIGAN IRRIGATORS ASSOCIATION")</f>
        <v>METRO DALIGAN IRRIGATORS ASSOCIATION</v>
      </c>
      <c r="E1370" s="71" t="str">
        <f>IFERROR(__xludf.DUMMYFUNCTION("""COMPUTED_VALUE"""),"Daligan, Santa Cruz, ILOCOS SUR")</f>
        <v>Daligan, Santa Cruz, ILOCOS SUR</v>
      </c>
      <c r="F1370" s="2" t="str">
        <f>IFERROR(__xludf.DUMMYFUNCTION("""COMPUTED_VALUE"""),"Edwin M Jandoc")</f>
        <v>Edwin M Jandoc</v>
      </c>
      <c r="G1370" s="2">
        <f>IFERROR(__xludf.DUMMYFUNCTION("""COMPUTED_VALUE"""),9.918147893E9)</f>
        <v>9918147893</v>
      </c>
      <c r="H1370" s="2"/>
      <c r="I1370" s="72" t="str">
        <f>IFERROR(__xludf.DUMMYFUNCTION("""COMPUTED_VALUE"""),"SPARE PARTS ACQUISITION")</f>
        <v>SPARE PARTS ACQUISITION</v>
      </c>
      <c r="J1370" s="72"/>
      <c r="K1370" s="72" t="str">
        <f>IFERROR(__xludf.DUMMYFUNCTION("""COMPUTED_VALUE"""),"MYK: ROTAVATOR PARTS:
BEVEL GEAR 24T
PINION GEAR 11T")</f>
        <v>MYK: ROTAVATOR PARTS:
BEVEL GEAR 24T
PINION GEAR 11T</v>
      </c>
      <c r="L1370" s="72" t="str">
        <f>IFERROR(__xludf.DUMMYFUNCTION("""COMPUTED_VALUE"""),"INFORMED THEN ONLY PINION GEAR 11T AVAILABLE- ")</f>
        <v>INFORMED THEN ONLY PINION GEAR 11T AVAILABLE- </v>
      </c>
      <c r="M1370" s="2" t="str">
        <f>IFERROR(__xludf.DUMMYFUNCTION("""COMPUTED_VALUE"""),"BEVEL GEAR 24T
PINION GEAR 11T")</f>
        <v>BEVEL GEAR 24T
PINION GEAR 11T</v>
      </c>
      <c r="N1370" s="2"/>
      <c r="O1370" s="2"/>
      <c r="P1370" s="2"/>
      <c r="Q1370" s="2"/>
      <c r="R1370" s="2"/>
      <c r="S1370" s="2"/>
      <c r="T1370" s="2"/>
      <c r="U1370" s="2"/>
      <c r="V1370" s="2"/>
      <c r="W1370" s="2"/>
      <c r="X1370" s="2"/>
      <c r="Y1370" s="2"/>
      <c r="Z1370" s="2"/>
      <c r="AA1370" s="2"/>
      <c r="AB1370" s="2"/>
      <c r="AC1370" s="2"/>
      <c r="AD1370" s="2"/>
      <c r="AE1370" s="2"/>
      <c r="AF1370" s="2"/>
      <c r="AG1370" s="2"/>
      <c r="AH1370" s="2"/>
      <c r="AI1370" s="2"/>
      <c r="AJ1370" s="2" t="str">
        <f>IFERROR(__xludf.DUMMYFUNCTION("""COMPUTED_VALUE"""),"Daligan")</f>
        <v>Daligan</v>
      </c>
      <c r="AK1370" s="2" t="str">
        <f>IFERROR(__xludf.DUMMYFUNCTION("""COMPUTED_VALUE"""),"Santa Cruz")</f>
        <v>Santa Cruz</v>
      </c>
      <c r="AL1370" s="2" t="str">
        <f>IFERROR(__xludf.DUMMYFUNCTION("""COMPUTED_VALUE"""),"Ilocos Sur")</f>
        <v>Ilocos Sur</v>
      </c>
      <c r="AM1370" s="2">
        <f>IFERROR(__xludf.DUMMYFUNCTION("""COMPUTED_VALUE"""),1.0)</f>
        <v>1</v>
      </c>
      <c r="AN1370" s="2" t="str">
        <f>IFERROR(__xludf.DUMMYFUNCTION("""COMPUTED_VALUE"""),"RCEF 23-09-21 Rebidding")</f>
        <v>RCEF 23-09-21 Rebidding</v>
      </c>
      <c r="AO1370" s="2">
        <f>IFERROR(__xludf.DUMMYFUNCTION("""COMPUTED_VALUE"""),9.0)</f>
        <v>9</v>
      </c>
      <c r="AP1370" s="2"/>
      <c r="AQ1370" s="2"/>
      <c r="AR1370" s="2"/>
      <c r="AS1370" s="2"/>
      <c r="AT1370" s="2"/>
      <c r="AU1370" s="2"/>
      <c r="AV1370" s="2"/>
      <c r="AW1370" s="2"/>
      <c r="AX1370" s="2"/>
      <c r="AY1370" s="2"/>
      <c r="AZ1370" s="2"/>
      <c r="BA1370" s="2"/>
      <c r="BB1370" s="2"/>
    </row>
    <row r="1371">
      <c r="A1371" s="2">
        <f>IFERROR(__xludf.DUMMYFUNCTION("""COMPUTED_VALUE"""),1367.0)</f>
        <v>1367</v>
      </c>
      <c r="B1371" s="2" t="str">
        <f>IFERROR(__xludf.DUMMYFUNCTION("""COMPUTED_VALUE"""),"PENDING")</f>
        <v>PENDING</v>
      </c>
      <c r="C1371" s="74">
        <f>IFERROR(__xludf.DUMMYFUNCTION("""COMPUTED_VALUE"""),46037.0)</f>
        <v>46037</v>
      </c>
      <c r="D1371" s="71" t="str">
        <f>IFERROR(__xludf.DUMMYFUNCTION("""COMPUTED_VALUE"""),"Balangay of San Fracisco Farmers Association")</f>
        <v>Balangay of San Fracisco Farmers Association</v>
      </c>
      <c r="E1371" s="71" t="str">
        <f>IFERROR(__xludf.DUMMYFUNCTION("""COMPUTED_VALUE"""),"San Francisco, Llanera, NUEVA ECIJA")</f>
        <v>San Francisco, Llanera, NUEVA ECIJA</v>
      </c>
      <c r="F1371" s="2" t="str">
        <f>IFERROR(__xludf.DUMMYFUNCTION("""COMPUTED_VALUE"""),"CECELIA G. QUIBRANTOS")</f>
        <v>CECELIA G. QUIBRANTOS</v>
      </c>
      <c r="G1371" s="2">
        <f>IFERROR(__xludf.DUMMYFUNCTION("""COMPUTED_VALUE"""),9.0845772118E10)</f>
        <v>90845772118</v>
      </c>
      <c r="H1371" s="2"/>
      <c r="I1371" s="72" t="str">
        <f>IFERROR(__xludf.DUMMYFUNCTION("""COMPUTED_VALUE"""),"REPAIR - ROTAVATOR")</f>
        <v>REPAIR - ROTAVATOR</v>
      </c>
      <c r="J1371" s="72" t="str">
        <f>IFERROR(__xludf.DUMMYFUNCTION("""COMPUTED_VALUE"""),"Leak")</f>
        <v>Leak</v>
      </c>
      <c r="K1371" s="72" t="str">
        <f>IFERROR(__xludf.DUMMYFUNCTION("""COMPUTED_VALUE"""),"FPJ: MAY LEAK YUNG GEARBOX NG ROTATOR MAY MGA BUTAS BUTAS.")</f>
        <v>FPJ: MAY LEAK YUNG GEARBOX NG ROTATOR MAY MGA BUTAS BUTAS.</v>
      </c>
      <c r="L1371" s="72" t="str">
        <f>IFERROR(__xludf.DUMMYFUNCTION("""COMPUTED_VALUE"""),"EGT: 3/9/26 : PICTURES AND VIDEO OF ROTAVATOR GEARBOX
ECM: FOR WARRANTY CLAIM")</f>
        <v>EGT: 3/9/26 : PICTURES AND VIDEO OF ROTAVATOR GEARBOX
ECM: FOR WARRANTY CLAIM</v>
      </c>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c r="AJ1371" s="2" t="str">
        <f>IFERROR(__xludf.DUMMYFUNCTION("""COMPUTED_VALUE"""),"San Francisco")</f>
        <v>San Francisco</v>
      </c>
      <c r="AK1371" s="2" t="str">
        <f>IFERROR(__xludf.DUMMYFUNCTION("""COMPUTED_VALUE"""),"Llanera")</f>
        <v>Llanera</v>
      </c>
      <c r="AL1371" s="2" t="str">
        <f>IFERROR(__xludf.DUMMYFUNCTION("""COMPUTED_VALUE"""),"Nueva Ecija")</f>
        <v>Nueva Ecija</v>
      </c>
      <c r="AM1371" s="2">
        <f>IFERROR(__xludf.DUMMYFUNCTION("""COMPUTED_VALUE"""),3.0)</f>
        <v>3</v>
      </c>
      <c r="AN1371" s="2" t="str">
        <f>IFERROR(__xludf.DUMMYFUNCTION("""COMPUTED_VALUE"""),"RCEF 25-03-05")</f>
        <v>RCEF 25-03-05</v>
      </c>
      <c r="AO1371" s="2">
        <f>IFERROR(__xludf.DUMMYFUNCTION("""COMPUTED_VALUE"""),5.0)</f>
        <v>5</v>
      </c>
      <c r="AP1371" s="2" t="str">
        <f>IFERROR(__xludf.DUMMYFUNCTION("""COMPUTED_VALUE"""),"FREE PMS")</f>
        <v>FREE PMS</v>
      </c>
      <c r="AQ1371" s="2"/>
      <c r="AR1371" s="2"/>
      <c r="AS1371" s="2"/>
      <c r="AT1371" s="2"/>
      <c r="AU1371" s="2"/>
      <c r="AV1371" s="2"/>
      <c r="AW1371" s="2"/>
      <c r="AX1371" s="2"/>
      <c r="AY1371" s="2"/>
      <c r="AZ1371" s="2"/>
      <c r="BA1371" s="2"/>
      <c r="BB1371" s="2"/>
    </row>
    <row r="1372">
      <c r="A1372" s="2">
        <f>IFERROR(__xludf.DUMMYFUNCTION("""COMPUTED_VALUE"""),1368.0)</f>
        <v>1368</v>
      </c>
      <c r="B1372" s="2" t="str">
        <f>IFERROR(__xludf.DUMMYFUNCTION("""COMPUTED_VALUE"""),"COMPLETED")</f>
        <v>COMPLETED</v>
      </c>
      <c r="C1372" s="74">
        <f>IFERROR(__xludf.DUMMYFUNCTION("""COMPUTED_VALUE"""),46038.0)</f>
        <v>46038</v>
      </c>
      <c r="D1372" s="71" t="str">
        <f>IFERROR(__xludf.DUMMYFUNCTION("""COMPUTED_VALUE"""),"MUNICIPAL LOCAL GOVERNMENT OF LAUR")</f>
        <v>MUNICIPAL LOCAL GOVERNMENT OF LAUR</v>
      </c>
      <c r="E1372" s="71" t="str">
        <f>IFERROR(__xludf.DUMMYFUNCTION("""COMPUTED_VALUE"""),"Barangay III (Pob.), Laur, NUEVA ECIJA")</f>
        <v>Barangay III (Pob.), Laur, NUEVA ECIJA</v>
      </c>
      <c r="F1372" s="2" t="str">
        <f>IFERROR(__xludf.DUMMYFUNCTION("""COMPUTED_VALUE"""),"John Arvin Fausto")</f>
        <v>John Arvin Fausto</v>
      </c>
      <c r="G1372" s="2">
        <f>IFERROR(__xludf.DUMMYFUNCTION("""COMPUTED_VALUE"""),9.362900527E9)</f>
        <v>9362900527</v>
      </c>
      <c r="H1372" s="2"/>
      <c r="I1372" s="72" t="str">
        <f>IFERROR(__xludf.DUMMYFUNCTION("""COMPUTED_VALUE"""),"SPARE PARTS ACQUISITION")</f>
        <v>SPARE PARTS ACQUISITION</v>
      </c>
      <c r="J1372" s="72"/>
      <c r="K1372" s="72" t="str">
        <f>IFERROR(__xludf.DUMMYFUNCTION("""COMPUTED_VALUE"""),"MYK: 1- FLASHER RELAY /  BUZZER RELAY")</f>
        <v>MYK: 1- FLASHER RELAY /  BUZZER RELAY</v>
      </c>
      <c r="L1372" s="72" t="str">
        <f>IFERROR(__xludf.DUMMYFUNCTION("""COMPUTED_VALUE"""),"PARTS SHIPPED VIA LBC")</f>
        <v>PARTS SHIPPED VIA LBC</v>
      </c>
      <c r="M1372" s="2"/>
      <c r="N1372" s="2" t="str">
        <f>IFERROR(__xludf.DUMMYFUNCTION("""COMPUTED_VALUE"""),"PARTS:
BUZZER CONTROLER")</f>
        <v>PARTS:
BUZZER CONTROLER</v>
      </c>
      <c r="O1372" s="2" t="str">
        <f>IFERROR(__xludf.DUMMYFUNCTION("""COMPUTED_VALUE"""),"N/A")</f>
        <v>N/A</v>
      </c>
      <c r="P1372" s="2"/>
      <c r="Q1372" s="2"/>
      <c r="R1372" s="74">
        <f>IFERROR(__xludf.DUMMYFUNCTION("""COMPUTED_VALUE"""),46046.0)</f>
        <v>46046</v>
      </c>
      <c r="S1372" s="2" t="str">
        <f>IFERROR(__xludf.DUMMYFUNCTION("""COMPUTED_VALUE"""),"MYKEE")</f>
        <v>MYKEE</v>
      </c>
      <c r="T1372" s="73">
        <f>IFERROR(__xludf.DUMMYFUNCTION("""COMPUTED_VALUE"""),5200.0)</f>
        <v>5200</v>
      </c>
      <c r="U1372" s="73" t="str">
        <f>IFERROR(__xludf.DUMMYFUNCTION("""COMPUTED_VALUE""")," NO CHARGE ")</f>
        <v>NO CHARGE</v>
      </c>
      <c r="V1372" s="2" t="str">
        <f>IFERROR(__xludf.DUMMYFUNCTION("""COMPUTED_VALUE"""),"N/A")</f>
        <v>N/A</v>
      </c>
      <c r="W1372" s="2" t="str">
        <f>IFERROR(__xludf.DUMMYFUNCTION("""COMPUTED_VALUE"""),"N/A")</f>
        <v>N/A</v>
      </c>
      <c r="X1372" s="2" t="str">
        <f>IFERROR(__xludf.DUMMYFUNCTION("""COMPUTED_VALUE"""),"N/A")</f>
        <v>N/A</v>
      </c>
      <c r="Y1372" s="2"/>
      <c r="Z1372" s="2"/>
      <c r="AA1372" s="2"/>
      <c r="AB1372" s="2"/>
      <c r="AC1372" s="2"/>
      <c r="AD1372" s="2"/>
      <c r="AE1372" s="2"/>
      <c r="AF1372" s="2"/>
      <c r="AG1372" s="2"/>
      <c r="AH1372" s="2"/>
      <c r="AI1372" s="2"/>
      <c r="AJ1372" s="2" t="str">
        <f>IFERROR(__xludf.DUMMYFUNCTION("""COMPUTED_VALUE"""),"Barangay Iii (Pob.)")</f>
        <v>Barangay Iii (Pob.)</v>
      </c>
      <c r="AK1372" s="2" t="str">
        <f>IFERROR(__xludf.DUMMYFUNCTION("""COMPUTED_VALUE"""),"Laur")</f>
        <v>Laur</v>
      </c>
      <c r="AL1372" s="2" t="str">
        <f>IFERROR(__xludf.DUMMYFUNCTION("""COMPUTED_VALUE"""),"Nueva Ecija")</f>
        <v>Nueva Ecija</v>
      </c>
      <c r="AM1372" s="2">
        <f>IFERROR(__xludf.DUMMYFUNCTION("""COMPUTED_VALUE"""),3.0)</f>
        <v>3</v>
      </c>
      <c r="AN1372" s="2" t="str">
        <f>IFERROR(__xludf.DUMMYFUNCTION("""COMPUTED_VALUE"""),"RCEF 24-04-15")</f>
        <v>RCEF 24-04-15</v>
      </c>
      <c r="AO1372" s="2">
        <f>IFERROR(__xludf.DUMMYFUNCTION("""COMPUTED_VALUE"""),6.0)</f>
        <v>6</v>
      </c>
      <c r="AP1372" s="2" t="str">
        <f>IFERROR(__xludf.DUMMYFUNCTION("""COMPUTED_VALUE"""),"FREE PMS")</f>
        <v>FREE PMS</v>
      </c>
      <c r="AQ1372" s="2"/>
      <c r="AR1372" s="2"/>
      <c r="AS1372" s="2"/>
      <c r="AT1372" s="2"/>
      <c r="AU1372" s="2"/>
      <c r="AV1372" s="2"/>
      <c r="AW1372" s="2"/>
      <c r="AX1372" s="2"/>
      <c r="AY1372" s="2"/>
      <c r="AZ1372" s="2"/>
      <c r="BA1372" s="2"/>
      <c r="BB1372" s="2"/>
    </row>
    <row r="1373">
      <c r="A1373" s="2">
        <f>IFERROR(__xludf.DUMMYFUNCTION("""COMPUTED_VALUE"""),1369.0)</f>
        <v>1369</v>
      </c>
      <c r="B1373" s="2" t="str">
        <f>IFERROR(__xludf.DUMMYFUNCTION("""COMPUTED_VALUE"""),"COMPLETED")</f>
        <v>COMPLETED</v>
      </c>
      <c r="C1373" s="74">
        <f>IFERROR(__xludf.DUMMYFUNCTION("""COMPUTED_VALUE"""),46042.0)</f>
        <v>46042</v>
      </c>
      <c r="D1373" s="71" t="str">
        <f>IFERROR(__xludf.DUMMYFUNCTION("""COMPUTED_VALUE"""),"Pandan Dike Farmers Agriculture Cooperative")</f>
        <v>Pandan Dike Farmers Agriculture Cooperative</v>
      </c>
      <c r="E1373" s="71" t="str">
        <f>IFERROR(__xludf.DUMMYFUNCTION("""COMPUTED_VALUE"""),"Claudio Salgado, Sablayan, OCCIDENTAL MINDORO")</f>
        <v>Claudio Salgado, Sablayan, OCCIDENTAL MINDORO</v>
      </c>
      <c r="F1373" s="2" t="str">
        <f>IFERROR(__xludf.DUMMYFUNCTION("""COMPUTED_VALUE"""),"Grace Castillo ")</f>
        <v>Grace Castillo </v>
      </c>
      <c r="G1373" s="2">
        <f>IFERROR(__xludf.DUMMYFUNCTION("""COMPUTED_VALUE"""),9.092106787E9)</f>
        <v>9092106787</v>
      </c>
      <c r="H1373" s="2">
        <f>IFERROR(__xludf.DUMMYFUNCTION("""COMPUTED_VALUE"""),125.0)</f>
        <v>125</v>
      </c>
      <c r="I1373" s="72" t="str">
        <f>IFERROR(__xludf.DUMMYFUNCTION("""COMPUTED_VALUE"""),"PMS")</f>
        <v>PMS</v>
      </c>
      <c r="J1373" s="72" t="str">
        <f>IFERROR(__xludf.DUMMYFUNCTION("""COMPUTED_VALUE"""),"PMS")</f>
        <v>PMS</v>
      </c>
      <c r="K1373" s="72" t="str">
        <f>IFERROR(__xludf.DUMMYFUNCTION("""COMPUTED_VALUE"""),"RCG: 1ST PMS FREE")</f>
        <v>RCG: 1ST PMS FREE</v>
      </c>
      <c r="L1373" s="72" t="str">
        <f>IFERROR(__xludf.DUMMYFUNCTION("""COMPUTED_VALUE"""),"RBS: 1ST PMS DONE")</f>
        <v>RBS: 1ST PMS DONE</v>
      </c>
      <c r="M1373" s="2"/>
      <c r="N1373" s="2" t="str">
        <f>IFERROR(__xludf.DUMMYFUNCTION("""COMPUTED_VALUE"""),"PARTS:
OIL FILTER
ENGINE OIL")</f>
        <v>PARTS:
OIL FILTER
ENGINE OIL</v>
      </c>
      <c r="O1373" s="2">
        <f>IFERROR(__xludf.DUMMYFUNCTION("""COMPUTED_VALUE"""),608.0)</f>
        <v>608</v>
      </c>
      <c r="P1373" s="2"/>
      <c r="Q1373" s="2" t="str">
        <f>IFERROR(__xludf.DUMMYFUNCTION("""COMPUTED_VALUE"""),"FOR PRINT")</f>
        <v>FOR PRINT</v>
      </c>
      <c r="R1373" s="74">
        <f>IFERROR(__xludf.DUMMYFUNCTION("""COMPUTED_VALUE"""),46056.0)</f>
        <v>46056</v>
      </c>
      <c r="S1373" s="2" t="str">
        <f>IFERROR(__xludf.DUMMYFUNCTION("""COMPUTED_VALUE"""),"RBS/OJT")</f>
        <v>RBS/OJT</v>
      </c>
      <c r="T1373" s="73" t="str">
        <f>IFERROR(__xludf.DUMMYFUNCTION("""COMPUTED_VALUE""")," N/A ")</f>
        <v>N/A</v>
      </c>
      <c r="U1373" s="73" t="str">
        <f>IFERROR(__xludf.DUMMYFUNCTION("""COMPUTED_VALUE""")," NO CHARGE ")</f>
        <v>NO CHARGE</v>
      </c>
      <c r="V1373" s="2"/>
      <c r="W1373" s="2" t="str">
        <f>IFERROR(__xludf.DUMMYFUNCTION("""COMPUTED_VALUE"""),"N/A")</f>
        <v>N/A</v>
      </c>
      <c r="X1373" s="2" t="str">
        <f>IFERROR(__xludf.DUMMYFUNCTION("""COMPUTED_VALUE"""),"N/A")</f>
        <v>N/A</v>
      </c>
      <c r="Y1373" s="2"/>
      <c r="Z1373" s="2"/>
      <c r="AA1373" s="2"/>
      <c r="AB1373" s="2"/>
      <c r="AC1373" s="2"/>
      <c r="AD1373" s="2"/>
      <c r="AE1373" s="2"/>
      <c r="AF1373" s="2"/>
      <c r="AG1373" s="2"/>
      <c r="AH1373" s="2"/>
      <c r="AI1373" s="2"/>
      <c r="AJ1373" s="2" t="str">
        <f>IFERROR(__xludf.DUMMYFUNCTION("""COMPUTED_VALUE"""),"Claudio Salgado")</f>
        <v>Claudio Salgado</v>
      </c>
      <c r="AK1373" s="2" t="str">
        <f>IFERROR(__xludf.DUMMYFUNCTION("""COMPUTED_VALUE"""),"Sablayan")</f>
        <v>Sablayan</v>
      </c>
      <c r="AL1373" s="2" t="str">
        <f>IFERROR(__xludf.DUMMYFUNCTION("""COMPUTED_VALUE"""),"Occidental Mindoro")</f>
        <v>Occidental Mindoro</v>
      </c>
      <c r="AM1373" s="2" t="str">
        <f>IFERROR(__xludf.DUMMYFUNCTION("""COMPUTED_VALUE"""),"4B")</f>
        <v>4B</v>
      </c>
      <c r="AN1373" s="2" t="str">
        <f>IFERROR(__xludf.DUMMYFUNCTION("""COMPUTED_VALUE"""),"RCEF 25-03-05")</f>
        <v>RCEF 25-03-05</v>
      </c>
      <c r="AO1373" s="2">
        <f>IFERROR(__xludf.DUMMYFUNCTION("""COMPUTED_VALUE"""),6.0)</f>
        <v>6</v>
      </c>
      <c r="AP1373" s="2" t="str">
        <f>IFERROR(__xludf.DUMMYFUNCTION("""COMPUTED_VALUE"""),"FREE PMS")</f>
        <v>FREE PMS</v>
      </c>
      <c r="AQ1373" s="2"/>
      <c r="AR1373" s="2"/>
      <c r="AS1373" s="2"/>
      <c r="AT1373" s="2"/>
      <c r="AU1373" s="2"/>
      <c r="AV1373" s="2"/>
      <c r="AW1373" s="2"/>
      <c r="AX1373" s="2"/>
      <c r="AY1373" s="2"/>
      <c r="AZ1373" s="2"/>
      <c r="BA1373" s="2"/>
      <c r="BB1373" s="2"/>
    </row>
    <row r="1374">
      <c r="A1374" s="2">
        <f>IFERROR(__xludf.DUMMYFUNCTION("""COMPUTED_VALUE"""),1370.0)</f>
        <v>1370</v>
      </c>
      <c r="B1374" s="2" t="str">
        <f>IFERROR(__xludf.DUMMYFUNCTION("""COMPUTED_VALUE"""),"COMPLETED")</f>
        <v>COMPLETED</v>
      </c>
      <c r="C1374" s="74">
        <f>IFERROR(__xludf.DUMMYFUNCTION("""COMPUTED_VALUE"""),46042.0)</f>
        <v>46042</v>
      </c>
      <c r="D1374" s="71" t="str">
        <f>IFERROR(__xludf.DUMMYFUNCTION("""COMPUTED_VALUE"""),"Igulot Farmers Association")</f>
        <v>Igulot Farmers Association</v>
      </c>
      <c r="E1374" s="71" t="str">
        <f>IFERROR(__xludf.DUMMYFUNCTION("""COMPUTED_VALUE"""),"Igulot, Bocaue, BULACAN")</f>
        <v>Igulot, Bocaue, BULACAN</v>
      </c>
      <c r="F1374" s="2" t="str">
        <f>IFERROR(__xludf.DUMMYFUNCTION("""COMPUTED_VALUE"""),"Nora M. Agapito")</f>
        <v>Nora M. Agapito</v>
      </c>
      <c r="G1374" s="2" t="str">
        <f>IFERROR(__xludf.DUMMYFUNCTION("""COMPUTED_VALUE"""),"0953 157 5953")</f>
        <v>0953 157 5953</v>
      </c>
      <c r="H1374" s="2">
        <f>IFERROR(__xludf.DUMMYFUNCTION("""COMPUTED_VALUE"""),11.7)</f>
        <v>11.7</v>
      </c>
      <c r="I1374" s="72" t="str">
        <f>IFERROR(__xludf.DUMMYFUNCTION("""COMPUTED_VALUE"""),"REPAIR - ROTAVATOR")</f>
        <v>REPAIR - ROTAVATOR</v>
      </c>
      <c r="J1374" s="72" t="str">
        <f>IFERROR(__xludf.DUMMYFUNCTION("""COMPUTED_VALUE"""),"Training")</f>
        <v>Training</v>
      </c>
      <c r="K1374" s="72" t="str">
        <f>IFERROR(__xludf.DUMMYFUNCTION("""COMPUTED_VALUE"""),"MYK: AYAW MAG OPERATE NG ROTAVATOR")</f>
        <v>MYK: AYAW MAG OPERATE NG ROTAVATOR</v>
      </c>
      <c r="L1374" s="72" t="str">
        <f>IFERROR(__xludf.DUMMYFUNCTION("""COMPUTED_VALUE"""),"JTT: HINDI LAMANG NAPINDOT ANG PTO SWICTH")</f>
        <v>JTT: HINDI LAMANG NAPINDOT ANG PTO SWICTH</v>
      </c>
      <c r="M1374" s="2"/>
      <c r="N1374" s="2"/>
      <c r="O1374" s="2">
        <f>IFERROR(__xludf.DUMMYFUNCTION("""COMPUTED_VALUE"""),390.0)</f>
        <v>390</v>
      </c>
      <c r="P1374" s="2"/>
      <c r="Q1374" s="2" t="str">
        <f>IFERROR(__xludf.DUMMYFUNCTION("""COMPUTED_VALUE"""),"FOR PRINT")</f>
        <v>FOR PRINT</v>
      </c>
      <c r="R1374" s="74">
        <f>IFERROR(__xludf.DUMMYFUNCTION("""COMPUTED_VALUE"""),46076.0)</f>
        <v>46076</v>
      </c>
      <c r="S1374" s="2" t="str">
        <f>IFERROR(__xludf.DUMMYFUNCTION("""COMPUTED_VALUE"""),"JTT/OJT")</f>
        <v>JTT/OJT</v>
      </c>
      <c r="T1374" s="73" t="str">
        <f>IFERROR(__xludf.DUMMYFUNCTION("""COMPUTED_VALUE""")," N/A ")</f>
        <v>N/A</v>
      </c>
      <c r="U1374" s="73" t="str">
        <f>IFERROR(__xludf.DUMMYFUNCTION("""COMPUTED_VALUE""")," NO CHARGE ")</f>
        <v>NO CHARGE</v>
      </c>
      <c r="V1374" s="2" t="str">
        <f>IFERROR(__xludf.DUMMYFUNCTION("""COMPUTED_VALUE"""),"NO DR")</f>
        <v>NO DR</v>
      </c>
      <c r="W1374" s="2" t="str">
        <f>IFERROR(__xludf.DUMMYFUNCTION("""COMPUTED_VALUE"""),"N/A")</f>
        <v>N/A</v>
      </c>
      <c r="X1374" s="2" t="str">
        <f>IFERROR(__xludf.DUMMYFUNCTION("""COMPUTED_VALUE"""),"N/A")</f>
        <v>N/A</v>
      </c>
      <c r="Y1374" s="2"/>
      <c r="Z1374" s="2"/>
      <c r="AA1374" s="2"/>
      <c r="AB1374" s="2"/>
      <c r="AC1374" s="2"/>
      <c r="AD1374" s="2"/>
      <c r="AE1374" s="2"/>
      <c r="AF1374" s="2"/>
      <c r="AG1374" s="2"/>
      <c r="AH1374" s="2"/>
      <c r="AI1374" s="2"/>
      <c r="AJ1374" s="2" t="str">
        <f>IFERROR(__xludf.DUMMYFUNCTION("""COMPUTED_VALUE"""),"Igulot")</f>
        <v>Igulot</v>
      </c>
      <c r="AK1374" s="2" t="str">
        <f>IFERROR(__xludf.DUMMYFUNCTION("""COMPUTED_VALUE"""),"Bocaue")</f>
        <v>Bocaue</v>
      </c>
      <c r="AL1374" s="2" t="str">
        <f>IFERROR(__xludf.DUMMYFUNCTION("""COMPUTED_VALUE"""),"Bulacan")</f>
        <v>Bulacan</v>
      </c>
      <c r="AM1374" s="2">
        <f>IFERROR(__xludf.DUMMYFUNCTION("""COMPUTED_VALUE"""),3.0)</f>
        <v>3</v>
      </c>
      <c r="AN1374" s="2" t="str">
        <f>IFERROR(__xludf.DUMMYFUNCTION("""COMPUTED_VALUE"""),"RCEF 25-03-05")</f>
        <v>RCEF 25-03-05</v>
      </c>
      <c r="AO1374" s="2">
        <f>IFERROR(__xludf.DUMMYFUNCTION("""COMPUTED_VALUE"""),5.0)</f>
        <v>5</v>
      </c>
      <c r="AP1374" s="2" t="str">
        <f>IFERROR(__xludf.DUMMYFUNCTION("""COMPUTED_VALUE"""),"FREE PMS")</f>
        <v>FREE PMS</v>
      </c>
      <c r="AQ1374" s="2"/>
      <c r="AR1374" s="2"/>
      <c r="AS1374" s="2"/>
      <c r="AT1374" s="2"/>
      <c r="AU1374" s="2"/>
      <c r="AV1374" s="2"/>
      <c r="AW1374" s="2"/>
      <c r="AX1374" s="2"/>
      <c r="AY1374" s="2"/>
      <c r="AZ1374" s="2"/>
      <c r="BA1374" s="2"/>
      <c r="BB1374" s="2"/>
    </row>
    <row r="1375">
      <c r="A1375" s="2">
        <f>IFERROR(__xludf.DUMMYFUNCTION("""COMPUTED_VALUE"""),1371.0)</f>
        <v>1371</v>
      </c>
      <c r="B1375" s="2" t="str">
        <f>IFERROR(__xludf.DUMMYFUNCTION("""COMPUTED_VALUE"""),"PENDING")</f>
        <v>PENDING</v>
      </c>
      <c r="C1375" s="74">
        <f>IFERROR(__xludf.DUMMYFUNCTION("""COMPUTED_VALUE"""),46042.0)</f>
        <v>46042</v>
      </c>
      <c r="D1375" s="71" t="str">
        <f>IFERROR(__xludf.DUMMYFUNCTION("""COMPUTED_VALUE"""),"SAN CRISTOBAL FARMERS IRRIGATORS' ASSOCIATION, INC.")</f>
        <v>SAN CRISTOBAL FARMERS IRRIGATORS' ASSOCIATION, INC.</v>
      </c>
      <c r="E1375" s="71" t="str">
        <f>IFERROR(__xludf.DUMMYFUNCTION("""COMPUTED_VALUE"""),"San Cristobal, Licab, NUEVA ECIJA")</f>
        <v>San Cristobal, Licab, NUEVA ECIJA</v>
      </c>
      <c r="F1375" s="2" t="str">
        <f>IFERROR(__xludf.DUMMYFUNCTION("""COMPUTED_VALUE"""),"ALFREDO M LOZANO")</f>
        <v>ALFREDO M LOZANO</v>
      </c>
      <c r="G1375" s="2">
        <f>IFERROR(__xludf.DUMMYFUNCTION("""COMPUTED_VALUE"""),9.506409554E9)</f>
        <v>9506409554</v>
      </c>
      <c r="H1375" s="2"/>
      <c r="I1375" s="72" t="str">
        <f>IFERROR(__xludf.DUMMYFUNCTION("""COMPUTED_VALUE"""),"SPARE PARTS ACQUISITION")</f>
        <v>SPARE PARTS ACQUISITION</v>
      </c>
      <c r="J1375" s="72"/>
      <c r="K1375" s="72" t="str">
        <f>IFERROR(__xludf.DUMMYFUNCTION("""COMPUTED_VALUE"""),"KFS: ORDER 1 PTO SWITCH
JHP: PTO NOT WORKING
JHP: OK NAMAN DAW YUNG SWITCH NITO, MUKANG ANG SIRA DAW AY CLUTCH PACK ASSY
")</f>
        <v>KFS: ORDER 1 PTO SWITCH
JHP: PTO NOT WORKING
JHP: OK NAMAN DAW YUNG SWITCH NITO, MUKANG ANG SIRA DAW AY CLUTCH PACK ASSY
</v>
      </c>
      <c r="L1375" s="72" t="str">
        <f>IFERROR(__xludf.DUMMYFUNCTION("""COMPUTED_VALUE"""),"CANCELLED")</f>
        <v>CANCELLED</v>
      </c>
      <c r="M1375" s="2" t="str">
        <f>IFERROR(__xludf.DUMMYFUNCTION("""COMPUTED_VALUE"""),"PTO CLUTCH PACK ASSY")</f>
        <v>PTO CLUTCH PACK ASSY</v>
      </c>
      <c r="N1375" s="2"/>
      <c r="O1375" s="2"/>
      <c r="P1375" s="2"/>
      <c r="Q1375" s="2"/>
      <c r="R1375" s="2"/>
      <c r="S1375" s="2"/>
      <c r="T1375" s="2"/>
      <c r="U1375" s="2"/>
      <c r="V1375" s="2"/>
      <c r="W1375" s="2"/>
      <c r="X1375" s="2"/>
      <c r="Y1375" s="2"/>
      <c r="Z1375" s="2"/>
      <c r="AA1375" s="2"/>
      <c r="AB1375" s="2"/>
      <c r="AC1375" s="2"/>
      <c r="AD1375" s="2"/>
      <c r="AE1375" s="2"/>
      <c r="AF1375" s="2"/>
      <c r="AG1375" s="2"/>
      <c r="AH1375" s="2"/>
      <c r="AI1375" s="2"/>
      <c r="AJ1375" s="2" t="str">
        <f>IFERROR(__xludf.DUMMYFUNCTION("""COMPUTED_VALUE"""),"San Cristobal")</f>
        <v>San Cristobal</v>
      </c>
      <c r="AK1375" s="2" t="str">
        <f>IFERROR(__xludf.DUMMYFUNCTION("""COMPUTED_VALUE"""),"Licab")</f>
        <v>Licab</v>
      </c>
      <c r="AL1375" s="2" t="str">
        <f>IFERROR(__xludf.DUMMYFUNCTION("""COMPUTED_VALUE"""),"Nueva Ecija")</f>
        <v>Nueva Ecija</v>
      </c>
      <c r="AM1375" s="2">
        <f>IFERROR(__xludf.DUMMYFUNCTION("""COMPUTED_VALUE"""),3.0)</f>
        <v>3</v>
      </c>
      <c r="AN1375" s="2" t="str">
        <f>IFERROR(__xludf.DUMMYFUNCTION("""COMPUTED_VALUE"""),"RCEF 23-09-21 Rebidding")</f>
        <v>RCEF 23-09-21 Rebidding</v>
      </c>
      <c r="AO1375" s="2">
        <f>IFERROR(__xludf.DUMMYFUNCTION("""COMPUTED_VALUE"""),3.0)</f>
        <v>3</v>
      </c>
      <c r="AP1375" s="2"/>
      <c r="AQ1375" s="2"/>
      <c r="AR1375" s="2"/>
      <c r="AS1375" s="2"/>
      <c r="AT1375" s="2"/>
      <c r="AU1375" s="2"/>
      <c r="AV1375" s="2"/>
      <c r="AW1375" s="2"/>
      <c r="AX1375" s="2"/>
      <c r="AY1375" s="2"/>
      <c r="AZ1375" s="2"/>
      <c r="BA1375" s="2"/>
      <c r="BB1375" s="2"/>
    </row>
    <row r="1376">
      <c r="A1376" s="2">
        <f>IFERROR(__xludf.DUMMYFUNCTION("""COMPUTED_VALUE"""),1372.0)</f>
        <v>1372</v>
      </c>
      <c r="B1376" s="2" t="str">
        <f>IFERROR(__xludf.DUMMYFUNCTION("""COMPUTED_VALUE"""),"PENDING")</f>
        <v>PENDING</v>
      </c>
      <c r="C1376" s="74">
        <f>IFERROR(__xludf.DUMMYFUNCTION("""COMPUTED_VALUE"""),46044.0)</f>
        <v>46044</v>
      </c>
      <c r="D1376" s="71" t="str">
        <f>IFERROR(__xludf.DUMMYFUNCTION("""COMPUTED_VALUE"""),"LUMINGON FARMERS ASSOCIATION")</f>
        <v>LUMINGON FARMERS ASSOCIATION</v>
      </c>
      <c r="E1376" s="71" t="str">
        <f>IFERROR(__xludf.DUMMYFUNCTION("""COMPUTED_VALUE"""),"Lumingon, Tiaong, QUEZON")</f>
        <v>Lumingon, Tiaong, QUEZON</v>
      </c>
      <c r="F1376" s="2" t="str">
        <f>IFERROR(__xludf.DUMMYFUNCTION("""COMPUTED_VALUE"""),"RUZZEL MORTHY")</f>
        <v>RUZZEL MORTHY</v>
      </c>
      <c r="G1376" s="2">
        <f>IFERROR(__xludf.DUMMYFUNCTION("""COMPUTED_VALUE"""),9.859862215E9)</f>
        <v>9859862215</v>
      </c>
      <c r="H1376" s="2"/>
      <c r="I1376" s="72" t="str">
        <f>IFERROR(__xludf.DUMMYFUNCTION("""COMPUTED_VALUE"""),"PMS")</f>
        <v>PMS</v>
      </c>
      <c r="J1376" s="72" t="str">
        <f>IFERROR(__xludf.DUMMYFUNCTION("""COMPUTED_VALUE"""),"PMS")</f>
        <v>PMS</v>
      </c>
      <c r="K1376" s="72" t="str">
        <f>IFERROR(__xludf.DUMMYFUNCTION("""COMPUTED_VALUE"""),"FPJ: 1ST PMS FREE")</f>
        <v>FPJ: 1ST PMS FREE</v>
      </c>
      <c r="L1376" s="72" t="str">
        <f>IFERROR(__xludf.DUMMYFUNCTION("""COMPUTED_VALUE"""),"ECM: OK NA C/O RBS AND JIE")</f>
        <v>ECM: OK NA C/O RBS AND JIE</v>
      </c>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c r="AJ1376" s="2" t="str">
        <f>IFERROR(__xludf.DUMMYFUNCTION("""COMPUTED_VALUE"""),"Lumingon")</f>
        <v>Lumingon</v>
      </c>
      <c r="AK1376" s="2" t="str">
        <f>IFERROR(__xludf.DUMMYFUNCTION("""COMPUTED_VALUE"""),"Tiaong")</f>
        <v>Tiaong</v>
      </c>
      <c r="AL1376" s="2" t="str">
        <f>IFERROR(__xludf.DUMMYFUNCTION("""COMPUTED_VALUE"""),"Quezon")</f>
        <v>Quezon</v>
      </c>
      <c r="AM1376" s="2" t="str">
        <f>IFERROR(__xludf.DUMMYFUNCTION("""COMPUTED_VALUE"""),"4A")</f>
        <v>4A</v>
      </c>
      <c r="AN1376" s="2" t="str">
        <f>IFERROR(__xludf.DUMMYFUNCTION("""COMPUTED_VALUE"""),"RCEF 25-03-05")</f>
        <v>RCEF 25-03-05</v>
      </c>
      <c r="AO1376" s="2">
        <f>IFERROR(__xludf.DUMMYFUNCTION("""COMPUTED_VALUE"""),7.0)</f>
        <v>7</v>
      </c>
      <c r="AP1376" s="2" t="str">
        <f>IFERROR(__xludf.DUMMYFUNCTION("""COMPUTED_VALUE"""),"FREE PMS")</f>
        <v>FREE PMS</v>
      </c>
      <c r="AQ1376" s="2"/>
      <c r="AR1376" s="2"/>
      <c r="AS1376" s="2"/>
      <c r="AT1376" s="2"/>
      <c r="AU1376" s="2"/>
      <c r="AV1376" s="2"/>
      <c r="AW1376" s="2"/>
      <c r="AX1376" s="2"/>
      <c r="AY1376" s="2"/>
      <c r="AZ1376" s="2"/>
      <c r="BA1376" s="2"/>
      <c r="BB1376" s="2"/>
    </row>
    <row r="1377">
      <c r="A1377" s="2">
        <f>IFERROR(__xludf.DUMMYFUNCTION("""COMPUTED_VALUE"""),1373.0)</f>
        <v>1373</v>
      </c>
      <c r="B1377" s="2" t="str">
        <f>IFERROR(__xludf.DUMMYFUNCTION("""COMPUTED_VALUE"""),"COMPLETED")</f>
        <v>COMPLETED</v>
      </c>
      <c r="C1377" s="74">
        <f>IFERROR(__xludf.DUMMYFUNCTION("""COMPUTED_VALUE"""),46045.0)</f>
        <v>46045</v>
      </c>
      <c r="D1377" s="71" t="str">
        <f>IFERROR(__xludf.DUMMYFUNCTION("""COMPUTED_VALUE"""),"Asosasyon ng Magsasaka para sa Kalikasan at Kabuhayan")</f>
        <v>Asosasyon ng Magsasaka para sa Kalikasan at Kabuhayan</v>
      </c>
      <c r="E1377" s="71" t="str">
        <f>IFERROR(__xludf.DUMMYFUNCTION("""COMPUTED_VALUE"""),"J. U. Tienzo (Arimal), Lupao, NUEVA ECIJA")</f>
        <v>J. U. Tienzo (Arimal), Lupao, NUEVA ECIJA</v>
      </c>
      <c r="F1377" s="2" t="str">
        <f>IFERROR(__xludf.DUMMYFUNCTION("""COMPUTED_VALUE"""),"PERPECTO L. PAGADUAN")</f>
        <v>PERPECTO L. PAGADUAN</v>
      </c>
      <c r="G1377" s="2">
        <f>IFERROR(__xludf.DUMMYFUNCTION("""COMPUTED_VALUE"""),9.367960003E9)</f>
        <v>9367960003</v>
      </c>
      <c r="H1377" s="2">
        <f>IFERROR(__xludf.DUMMYFUNCTION("""COMPUTED_VALUE"""),53.4)</f>
        <v>53.4</v>
      </c>
      <c r="I1377" s="72" t="str">
        <f>IFERROR(__xludf.DUMMYFUNCTION("""COMPUTED_VALUE"""),"PMS")</f>
        <v>PMS</v>
      </c>
      <c r="J1377" s="72" t="str">
        <f>IFERROR(__xludf.DUMMYFUNCTION("""COMPUTED_VALUE"""),"PMS")</f>
        <v>PMS</v>
      </c>
      <c r="K1377" s="72" t="str">
        <f>IFERROR(__xludf.DUMMYFUNCTION("""COMPUTED_VALUE"""),"MYK: 1ST PMS FREE")</f>
        <v>MYK: 1ST PMS FREE</v>
      </c>
      <c r="L1377" s="72" t="str">
        <f>IFERROR(__xludf.DUMMYFUNCTION("""COMPUTED_VALUE"""),"JHP: 1ST PMS DONE")</f>
        <v>JHP: 1ST PMS DONE</v>
      </c>
      <c r="M1377" s="2"/>
      <c r="N1377" s="2" t="str">
        <f>IFERROR(__xludf.DUMMYFUNCTION("""COMPUTED_VALUE"""),"PARTS:
OIL FILYTER
ENGINE OIL")</f>
        <v>PARTS:
OIL FILYTER
ENGINE OIL</v>
      </c>
      <c r="O1377" s="2">
        <f>IFERROR(__xludf.DUMMYFUNCTION("""COMPUTED_VALUE"""),664.0)</f>
        <v>664</v>
      </c>
      <c r="P1377" s="2"/>
      <c r="Q1377" s="2" t="str">
        <f>IFERROR(__xludf.DUMMYFUNCTION("""COMPUTED_VALUE"""),"FOR PRINT")</f>
        <v>FOR PRINT</v>
      </c>
      <c r="R1377" s="74">
        <f>IFERROR(__xludf.DUMMYFUNCTION("""COMPUTED_VALUE"""),46050.0)</f>
        <v>46050</v>
      </c>
      <c r="S1377" s="2" t="str">
        <f>IFERROR(__xludf.DUMMYFUNCTION("""COMPUTED_VALUE"""),"JHP")</f>
        <v>JHP</v>
      </c>
      <c r="T1377" s="73" t="str">
        <f>IFERROR(__xludf.DUMMYFUNCTION("""COMPUTED_VALUE""")," N/A ")</f>
        <v>N/A</v>
      </c>
      <c r="U1377" s="73" t="str">
        <f>IFERROR(__xludf.DUMMYFUNCTION("""COMPUTED_VALUE""")," NO CHARGE ")</f>
        <v>NO CHARGE</v>
      </c>
      <c r="V1377" s="2">
        <f>IFERROR(__xludf.DUMMYFUNCTION("""COMPUTED_VALUE"""),1291.0)</f>
        <v>1291</v>
      </c>
      <c r="W1377" s="2" t="str">
        <f>IFERROR(__xludf.DUMMYFUNCTION("""COMPUTED_VALUE"""),"N/A")</f>
        <v>N/A</v>
      </c>
      <c r="X1377" s="2" t="str">
        <f>IFERROR(__xludf.DUMMYFUNCTION("""COMPUTED_VALUE"""),"N/A")</f>
        <v>N/A</v>
      </c>
      <c r="Y1377" s="2"/>
      <c r="Z1377" s="2"/>
      <c r="AA1377" s="2"/>
      <c r="AB1377" s="2"/>
      <c r="AC1377" s="2"/>
      <c r="AD1377" s="2"/>
      <c r="AE1377" s="2"/>
      <c r="AF1377" s="2"/>
      <c r="AG1377" s="2"/>
      <c r="AH1377" s="2"/>
      <c r="AI1377" s="2"/>
      <c r="AJ1377" s="2" t="str">
        <f>IFERROR(__xludf.DUMMYFUNCTION("""COMPUTED_VALUE"""),"J. U. Tienzo (Arimal)")</f>
        <v>J. U. Tienzo (Arimal)</v>
      </c>
      <c r="AK1377" s="2" t="str">
        <f>IFERROR(__xludf.DUMMYFUNCTION("""COMPUTED_VALUE"""),"Lupao")</f>
        <v>Lupao</v>
      </c>
      <c r="AL1377" s="2" t="str">
        <f>IFERROR(__xludf.DUMMYFUNCTION("""COMPUTED_VALUE"""),"Nueva Ecija")</f>
        <v>Nueva Ecija</v>
      </c>
      <c r="AM1377" s="2">
        <f>IFERROR(__xludf.DUMMYFUNCTION("""COMPUTED_VALUE"""),3.0)</f>
        <v>3</v>
      </c>
      <c r="AN1377" s="2" t="str">
        <f>IFERROR(__xludf.DUMMYFUNCTION("""COMPUTED_VALUE"""),"RCEF 25-03-05")</f>
        <v>RCEF 25-03-05</v>
      </c>
      <c r="AO1377" s="2">
        <f>IFERROR(__xludf.DUMMYFUNCTION("""COMPUTED_VALUE"""),5.0)</f>
        <v>5</v>
      </c>
      <c r="AP1377" s="2" t="str">
        <f>IFERROR(__xludf.DUMMYFUNCTION("""COMPUTED_VALUE"""),"FREE PMS")</f>
        <v>FREE PMS</v>
      </c>
      <c r="AQ1377" s="2"/>
      <c r="AR1377" s="2"/>
      <c r="AS1377" s="2"/>
      <c r="AT1377" s="2"/>
      <c r="AU1377" s="2"/>
      <c r="AV1377" s="2"/>
      <c r="AW1377" s="2"/>
      <c r="AX1377" s="2"/>
      <c r="AY1377" s="2"/>
      <c r="AZ1377" s="2"/>
      <c r="BA1377" s="2"/>
      <c r="BB1377" s="2"/>
    </row>
    <row r="1378">
      <c r="A1378" s="2">
        <f>IFERROR(__xludf.DUMMYFUNCTION("""COMPUTED_VALUE"""),1374.0)</f>
        <v>1374</v>
      </c>
      <c r="B1378" s="2" t="str">
        <f>IFERROR(__xludf.DUMMYFUNCTION("""COMPUTED_VALUE"""),"COMPLETED")</f>
        <v>COMPLETED</v>
      </c>
      <c r="C1378" s="74">
        <f>IFERROR(__xludf.DUMMYFUNCTION("""COMPUTED_VALUE"""),46046.0)</f>
        <v>46046</v>
      </c>
      <c r="D1378" s="71" t="str">
        <f>IFERROR(__xludf.DUMMYFUNCTION("""COMPUTED_VALUE"""),"Bulusukan Farmers Palay and Vegetable Producers Cooperative")</f>
        <v>Bulusukan Farmers Palay and Vegetable Producers Cooperative</v>
      </c>
      <c r="E1378" s="71" t="str">
        <f>IFERROR(__xludf.DUMMYFUNCTION("""COMPUTED_VALUE"""),"Bulusukan, San Ildefonso, BULACAN")</f>
        <v>Bulusukan, San Ildefonso, BULACAN</v>
      </c>
      <c r="F1378" s="2" t="str">
        <f>IFERROR(__xludf.DUMMYFUNCTION("""COMPUTED_VALUE"""),"Naldy Nun̈ez ")</f>
        <v>Naldy Nun̈ez </v>
      </c>
      <c r="G1378" s="2">
        <f>IFERROR(__xludf.DUMMYFUNCTION("""COMPUTED_VALUE"""),6.39128630521E11)</f>
        <v>639128630521</v>
      </c>
      <c r="H1378" s="2"/>
      <c r="I1378" s="72" t="str">
        <f>IFERROR(__xludf.DUMMYFUNCTION("""COMPUTED_VALUE"""),"REPAIR - TRACTOR")</f>
        <v>REPAIR - TRACTOR</v>
      </c>
      <c r="J1378" s="72" t="str">
        <f>IFERROR(__xludf.DUMMYFUNCTION("""COMPUTED_VALUE"""),"Front Axle - Leaking          Rear Axle - Leaking")</f>
        <v>Front Axle - Leaking          Rear Axle - Leaking</v>
      </c>
      <c r="K1378" s="72" t="str">
        <f>IFERROR(__xludf.DUMMYFUNCTION("""COMPUTED_VALUE"""),"JHP: FRONT AXLE AT REAR AXLE LEAKING")</f>
        <v>JHP: FRONT AXLE AT REAR AXLE LEAKING</v>
      </c>
      <c r="L1378" s="72" t="str">
        <f>IFERROR(__xludf.DUMMYFUNCTION("""COMPUTED_VALUE"""),"MYK- CALLED: WILLING TO PAY
JHP: REPLACED REAR AND FRONT AXLE OILSEAL")</f>
        <v>MYK- CALLED: WILLING TO PAY
JHP: REPLACED REAR AND FRONT AXLE OILSEAL</v>
      </c>
      <c r="M1378" s="2"/>
      <c r="N1378" s="2" t="str">
        <f>IFERROR(__xludf.DUMMYFUNCTION("""COMPUTED_VALUE"""),"PARTS:
1- REAR AXLE OIL SEAL
1- OIL SEAL TC60110000A3
1-  OIL SEAL FE78010000B")</f>
        <v>PARTS:
1- REAR AXLE OIL SEAL
1- OIL SEAL TC60110000A3
1-  OIL SEAL FE78010000B</v>
      </c>
      <c r="O1378" s="2">
        <f>IFERROR(__xludf.DUMMYFUNCTION("""COMPUTED_VALUE"""),667.0)</f>
        <v>667</v>
      </c>
      <c r="P1378" s="2"/>
      <c r="Q1378" s="2" t="str">
        <f>IFERROR(__xludf.DUMMYFUNCTION("""COMPUTED_VALUE"""),"FOR PRINT")</f>
        <v>FOR PRINT</v>
      </c>
      <c r="R1378" s="74">
        <f>IFERROR(__xludf.DUMMYFUNCTION("""COMPUTED_VALUE"""),46063.0)</f>
        <v>46063</v>
      </c>
      <c r="S1378" s="2" t="str">
        <f>IFERROR(__xludf.DUMMYFUNCTION("""COMPUTED_VALUE"""),"JHP")</f>
        <v>JHP</v>
      </c>
      <c r="T1378" s="73">
        <f>IFERROR(__xludf.DUMMYFUNCTION("""COMPUTED_VALUE"""),16030.0)</f>
        <v>16030</v>
      </c>
      <c r="U1378" s="73" t="str">
        <f>IFERROR(__xludf.DUMMYFUNCTION("""COMPUTED_VALUE""")," REMITTED ")</f>
        <v>REMITTED</v>
      </c>
      <c r="V1378" s="2">
        <f>IFERROR(__xludf.DUMMYFUNCTION("""COMPUTED_VALUE"""),1294.0)</f>
        <v>1294</v>
      </c>
      <c r="W1378" s="2">
        <f>IFERROR(__xludf.DUMMYFUNCTION("""COMPUTED_VALUE"""),1954.0)</f>
        <v>1954</v>
      </c>
      <c r="X1378" s="2">
        <f>IFERROR(__xludf.DUMMYFUNCTION("""COMPUTED_VALUE"""),1703.0)</f>
        <v>1703</v>
      </c>
      <c r="Y1378" s="2"/>
      <c r="Z1378" s="2"/>
      <c r="AA1378" s="2"/>
      <c r="AB1378" s="2"/>
      <c r="AC1378" s="2"/>
      <c r="AD1378" s="2"/>
      <c r="AE1378" s="2"/>
      <c r="AF1378" s="2"/>
      <c r="AG1378" s="2"/>
      <c r="AH1378" s="2"/>
      <c r="AI1378" s="2"/>
      <c r="AJ1378" s="2" t="str">
        <f>IFERROR(__xludf.DUMMYFUNCTION("""COMPUTED_VALUE"""),"Bulusukan")</f>
        <v>Bulusukan</v>
      </c>
      <c r="AK1378" s="2" t="str">
        <f>IFERROR(__xludf.DUMMYFUNCTION("""COMPUTED_VALUE"""),"San Ildefonso")</f>
        <v>San Ildefonso</v>
      </c>
      <c r="AL1378" s="2" t="str">
        <f>IFERROR(__xludf.DUMMYFUNCTION("""COMPUTED_VALUE"""),"Bulacan")</f>
        <v>Bulacan</v>
      </c>
      <c r="AM1378" s="2">
        <f>IFERROR(__xludf.DUMMYFUNCTION("""COMPUTED_VALUE"""),3.0)</f>
        <v>3</v>
      </c>
      <c r="AN1378" s="2" t="str">
        <f>IFERROR(__xludf.DUMMYFUNCTION("""COMPUTED_VALUE"""),"RCEF 23-09-21 Rebidding")</f>
        <v>RCEF 23-09-21 Rebidding</v>
      </c>
      <c r="AO1378" s="2">
        <f>IFERROR(__xludf.DUMMYFUNCTION("""COMPUTED_VALUE"""),9.0)</f>
        <v>9</v>
      </c>
      <c r="AP1378" s="2"/>
      <c r="AQ1378" s="2"/>
      <c r="AR1378" s="2"/>
      <c r="AS1378" s="2"/>
      <c r="AT1378" s="2"/>
      <c r="AU1378" s="2"/>
      <c r="AV1378" s="2"/>
      <c r="AW1378" s="2"/>
      <c r="AX1378" s="2"/>
      <c r="AY1378" s="2"/>
      <c r="AZ1378" s="2"/>
      <c r="BA1378" s="2"/>
      <c r="BB1378" s="2"/>
    </row>
    <row r="1379">
      <c r="A1379" s="2">
        <f>IFERROR(__xludf.DUMMYFUNCTION("""COMPUTED_VALUE"""),1375.0)</f>
        <v>1375</v>
      </c>
      <c r="B1379" s="2" t="str">
        <f>IFERROR(__xludf.DUMMYFUNCTION("""COMPUTED_VALUE"""),"COMPLETED")</f>
        <v>COMPLETED</v>
      </c>
      <c r="C1379" s="74">
        <f>IFERROR(__xludf.DUMMYFUNCTION("""COMPUTED_VALUE"""),46048.0)</f>
        <v>46048</v>
      </c>
      <c r="D1379" s="71" t="str">
        <f>IFERROR(__xludf.DUMMYFUNCTION("""COMPUTED_VALUE"""),"Cabanabaan Farmer's Livelihood Association Incorporation")</f>
        <v>Cabanabaan Farmer's Livelihood Association Incorporation</v>
      </c>
      <c r="E1379" s="71" t="str">
        <f>IFERROR(__xludf.DUMMYFUNCTION("""COMPUTED_VALUE"""),"Cabanabaan, Camiling, TARLAC")</f>
        <v>Cabanabaan, Camiling, TARLAC</v>
      </c>
      <c r="F1379" s="2" t="str">
        <f>IFERROR(__xludf.DUMMYFUNCTION("""COMPUTED_VALUE"""),"MARIAN GERVASIO")</f>
        <v>MARIAN GERVASIO</v>
      </c>
      <c r="G1379" s="2">
        <f>IFERROR(__xludf.DUMMYFUNCTION("""COMPUTED_VALUE"""),9.459742277E9)</f>
        <v>9459742277</v>
      </c>
      <c r="H1379" s="2">
        <f>IFERROR(__xludf.DUMMYFUNCTION("""COMPUTED_VALUE"""),40.0)</f>
        <v>40</v>
      </c>
      <c r="I1379" s="72" t="str">
        <f>IFERROR(__xludf.DUMMYFUNCTION("""COMPUTED_VALUE"""),"PMS")</f>
        <v>PMS</v>
      </c>
      <c r="J1379" s="72" t="str">
        <f>IFERROR(__xludf.DUMMYFUNCTION("""COMPUTED_VALUE"""),"PMS")</f>
        <v>PMS</v>
      </c>
      <c r="K1379" s="72" t="str">
        <f>IFERROR(__xludf.DUMMYFUNCTION("""COMPUTED_VALUE"""),"MYK: 1ST PSM FREE - 
FOR CHECK UP- OLD UNIT OF VTRM (GOLD) WITH SERVICE FEE")</f>
        <v>MYK: 1ST PSM FREE - 
FOR CHECK UP- OLD UNIT OF VTRM (GOLD) WITH SERVICE FEE</v>
      </c>
      <c r="L1379" s="72" t="str">
        <f>IFERROR(__xludf.DUMMYFUNCTION("""COMPUTED_VALUE"""),"JHP: 1ST PMS DONE
VTRM GOLD- NO CHECK-UP BASE ONLY ON DESCRIPTION OF FARMER- PINABILI NALANG NG STARTER CAPACITOR   ")</f>
        <v>JHP: 1ST PMS DONE
VTRM GOLD- NO CHECK-UP BASE ONLY ON DESCRIPTION OF FARMER- PINABILI NALANG NG STARTER CAPACITOR   </v>
      </c>
      <c r="M1379" s="2"/>
      <c r="N1379" s="2" t="str">
        <f>IFERROR(__xludf.DUMMYFUNCTION("""COMPUTED_VALUE"""),"PARTS:
OIL FILTER
ENGINE OIL")</f>
        <v>PARTS:
OIL FILTER
ENGINE OIL</v>
      </c>
      <c r="O1379" s="2">
        <f>IFERROR(__xludf.DUMMYFUNCTION("""COMPUTED_VALUE"""),670.0)</f>
        <v>670</v>
      </c>
      <c r="P1379" s="2"/>
      <c r="Q1379" s="2" t="str">
        <f>IFERROR(__xludf.DUMMYFUNCTION("""COMPUTED_VALUE"""),"FOR PRINT")</f>
        <v>FOR PRINT</v>
      </c>
      <c r="R1379" s="74">
        <f>IFERROR(__xludf.DUMMYFUNCTION("""COMPUTED_VALUE"""),46064.0)</f>
        <v>46064</v>
      </c>
      <c r="S1379" s="2" t="str">
        <f>IFERROR(__xludf.DUMMYFUNCTION("""COMPUTED_VALUE"""),"JHP")</f>
        <v>JHP</v>
      </c>
      <c r="T1379" s="73" t="str">
        <f>IFERROR(__xludf.DUMMYFUNCTION("""COMPUTED_VALUE""")," N/A ")</f>
        <v>N/A</v>
      </c>
      <c r="U1379" s="73" t="str">
        <f>IFERROR(__xludf.DUMMYFUNCTION("""COMPUTED_VALUE""")," NO CHARGE ")</f>
        <v>NO CHARGE</v>
      </c>
      <c r="V1379" s="2"/>
      <c r="W1379" s="2" t="str">
        <f>IFERROR(__xludf.DUMMYFUNCTION("""COMPUTED_VALUE"""),"N/A")</f>
        <v>N/A</v>
      </c>
      <c r="X1379" s="2" t="str">
        <f>IFERROR(__xludf.DUMMYFUNCTION("""COMPUTED_VALUE"""),"N/A")</f>
        <v>N/A</v>
      </c>
      <c r="Y1379" s="2"/>
      <c r="Z1379" s="2"/>
      <c r="AA1379" s="2"/>
      <c r="AB1379" s="2"/>
      <c r="AC1379" s="2"/>
      <c r="AD1379" s="2"/>
      <c r="AE1379" s="2"/>
      <c r="AF1379" s="2"/>
      <c r="AG1379" s="2"/>
      <c r="AH1379" s="2"/>
      <c r="AI1379" s="2"/>
      <c r="AJ1379" s="2" t="str">
        <f>IFERROR(__xludf.DUMMYFUNCTION("""COMPUTED_VALUE"""),"Cabanabaan")</f>
        <v>Cabanabaan</v>
      </c>
      <c r="AK1379" s="2" t="str">
        <f>IFERROR(__xludf.DUMMYFUNCTION("""COMPUTED_VALUE"""),"Camiling")</f>
        <v>Camiling</v>
      </c>
      <c r="AL1379" s="2" t="str">
        <f>IFERROR(__xludf.DUMMYFUNCTION("""COMPUTED_VALUE"""),"Tarlac")</f>
        <v>Tarlac</v>
      </c>
      <c r="AM1379" s="2">
        <f>IFERROR(__xludf.DUMMYFUNCTION("""COMPUTED_VALUE"""),3.0)</f>
        <v>3</v>
      </c>
      <c r="AN1379" s="2" t="str">
        <f>IFERROR(__xludf.DUMMYFUNCTION("""COMPUTED_VALUE"""),"RCEF 25-03-05")</f>
        <v>RCEF 25-03-05</v>
      </c>
      <c r="AO1379" s="2">
        <f>IFERROR(__xludf.DUMMYFUNCTION("""COMPUTED_VALUE"""),5.0)</f>
        <v>5</v>
      </c>
      <c r="AP1379" s="2" t="str">
        <f>IFERROR(__xludf.DUMMYFUNCTION("""COMPUTED_VALUE"""),"FREE PMS")</f>
        <v>FREE PMS</v>
      </c>
      <c r="AQ1379" s="2"/>
      <c r="AR1379" s="2"/>
      <c r="AS1379" s="2"/>
      <c r="AT1379" s="2"/>
      <c r="AU1379" s="2"/>
      <c r="AV1379" s="2"/>
      <c r="AW1379" s="2"/>
      <c r="AX1379" s="2"/>
      <c r="AY1379" s="2"/>
      <c r="AZ1379" s="2"/>
      <c r="BA1379" s="2"/>
      <c r="BB1379" s="2"/>
    </row>
    <row r="1380">
      <c r="A1380" s="2">
        <f>IFERROR(__xludf.DUMMYFUNCTION("""COMPUTED_VALUE"""),1376.0)</f>
        <v>1376</v>
      </c>
      <c r="B1380" s="2" t="str">
        <f>IFERROR(__xludf.DUMMYFUNCTION("""COMPUTED_VALUE"""),"COMPLETED")</f>
        <v>COMPLETED</v>
      </c>
      <c r="C1380" s="74">
        <f>IFERROR(__xludf.DUMMYFUNCTION("""COMPUTED_VALUE"""),46048.0)</f>
        <v>46048</v>
      </c>
      <c r="D1380" s="71" t="str">
        <f>IFERROR(__xludf.DUMMYFUNCTION("""COMPUTED_VALUE"""),"Kaagapay Agrarian Reform Cooperative (KARC)")</f>
        <v>Kaagapay Agrarian Reform Cooperative (KARC)</v>
      </c>
      <c r="E1380" s="71" t="str">
        <f>IFERROR(__xludf.DUMMYFUNCTION("""COMPUTED_VALUE"""),"adam")</f>
        <v>adam</v>
      </c>
      <c r="F1380" s="2" t="str">
        <f>IFERROR(__xludf.DUMMYFUNCTION("""COMPUTED_VALUE"""),"Arnel Jayson D. Baldedara")</f>
        <v>Arnel Jayson D. Baldedara</v>
      </c>
      <c r="G1380" s="2" t="str">
        <f>IFERROR(__xludf.DUMMYFUNCTION("""COMPUTED_VALUE"""),"0905-187-2955")</f>
        <v>0905-187-2955</v>
      </c>
      <c r="H1380" s="2">
        <f>IFERROR(__xludf.DUMMYFUNCTION("""COMPUTED_VALUE"""),14.0)</f>
        <v>14</v>
      </c>
      <c r="I1380" s="72" t="str">
        <f>IFERROR(__xludf.DUMMYFUNCTION("""COMPUTED_VALUE"""),"REPAIR - TRACTOR")</f>
        <v>REPAIR - TRACTOR</v>
      </c>
      <c r="J1380" s="72" t="str">
        <f>IFERROR(__xludf.DUMMYFUNCTION("""COMPUTED_VALUE"""),"Engine - Leaking")</f>
        <v>Engine - Leaking</v>
      </c>
      <c r="K1380" s="72" t="str">
        <f>IFERROR(__xludf.DUMMYFUNCTION("""COMPUTED_VALUE"""),"EGT: UPON DELIVERY AS PER FCA, OIL FAN LEAKING
JHP: 1-27-26: May butas sa engine block kaya natagas ang langis")</f>
        <v>EGT: UPON DELIVERY AS PER FCA, OIL FAN LEAKING
JHP: 1-27-26: May butas sa engine block kaya natagas ang langis</v>
      </c>
      <c r="L1380" s="72" t="str">
        <f>IFERROR(__xludf.DUMMYFUNCTION("""COMPUTED_VALUE"""),"ECM: FOR WARRANTY CLAIM
5/25/26 - ACS: REPLACED OIL PAN EXTENSION")</f>
        <v>ECM: FOR WARRANTY CLAIM
5/25/26 - ACS: REPLACED OIL PAN EXTENSION</v>
      </c>
      <c r="M1380" s="2" t="str">
        <f>IFERROR(__xludf.DUMMYFUNCTION("""COMPUTED_VALUE"""),"ADAPTER, OIL PAN HRA030400")</f>
        <v>ADAPTER, OIL PAN HRA030400</v>
      </c>
      <c r="N1380" s="2" t="str">
        <f>IFERROR(__xludf.DUMMYFUNCTION("""COMPUTED_VALUE"""),"PARTS:
ADAPTER, OIL PAN HRA030400
ENGINE OIL
")</f>
        <v>PARTS:
ADAPTER, OIL PAN HRA030400
ENGINE OIL
</v>
      </c>
      <c r="O1380" s="2" t="str">
        <f>IFERROR(__xludf.DUMMYFUNCTION("""COMPUTED_VALUE"""),"RESEND SERVICE REPORT")</f>
        <v>RESEND SERVICE REPORT</v>
      </c>
      <c r="P1380" s="2"/>
      <c r="Q1380" s="2" t="str">
        <f>IFERROR(__xludf.DUMMYFUNCTION("""COMPUTED_VALUE"""),"FOR PRINT")</f>
        <v>FOR PRINT</v>
      </c>
      <c r="R1380" s="74">
        <f>IFERROR(__xludf.DUMMYFUNCTION("""COMPUTED_VALUE"""),46167.0)</f>
        <v>46167</v>
      </c>
      <c r="S1380" s="2" t="str">
        <f>IFERROR(__xludf.DUMMYFUNCTION("""COMPUTED_VALUE"""),"JHP/ACS")</f>
        <v>JHP/ACS</v>
      </c>
      <c r="T1380" s="73" t="str">
        <f>IFERROR(__xludf.DUMMYFUNCTION("""COMPUTED_VALUE""")," N/A ")</f>
        <v>N/A</v>
      </c>
      <c r="U1380" s="73" t="str">
        <f>IFERROR(__xludf.DUMMYFUNCTION("""COMPUTED_VALUE""")," NO CHARGE ")</f>
        <v>NO CHARGE</v>
      </c>
      <c r="V1380" s="2">
        <f>IFERROR(__xludf.DUMMYFUNCTION("""COMPUTED_VALUE"""),1717.0)</f>
        <v>1717</v>
      </c>
      <c r="W1380" s="2" t="str">
        <f>IFERROR(__xludf.DUMMYFUNCTION("""COMPUTED_VALUE"""),"N/A")</f>
        <v>N/A</v>
      </c>
      <c r="X1380" s="2" t="str">
        <f>IFERROR(__xludf.DUMMYFUNCTION("""COMPUTED_VALUE"""),"N/A")</f>
        <v>N/A</v>
      </c>
      <c r="Y1380" s="2"/>
      <c r="Z1380" s="2"/>
      <c r="AA1380" s="2"/>
      <c r="AB1380" s="2"/>
      <c r="AC1380" s="2"/>
      <c r="AD1380" s="2"/>
      <c r="AE1380" s="2"/>
      <c r="AF1380" s="2"/>
      <c r="AG1380" s="2"/>
      <c r="AH1380" s="2"/>
      <c r="AI1380" s="2"/>
      <c r="AJ1380" s="2" t="str">
        <f>IFERROR(__xludf.DUMMYFUNCTION("""COMPUTED_VALUE"""),"")</f>
        <v/>
      </c>
      <c r="AK1380" s="2" t="str">
        <f>IFERROR(__xludf.DUMMYFUNCTION("""COMPUTED_VALUE"""),"")</f>
        <v/>
      </c>
      <c r="AL1380" s="2" t="str">
        <f>IFERROR(__xludf.DUMMYFUNCTION("""COMPUTED_VALUE"""),"")</f>
        <v/>
      </c>
      <c r="AM1380" s="2" t="str">
        <f>IFERROR(__xludf.DUMMYFUNCTION("""COMPUTED_VALUE"""),"")</f>
        <v/>
      </c>
      <c r="AN1380" s="2" t="str">
        <f>IFERROR(__xludf.DUMMYFUNCTION("""COMPUTED_VALUE"""),"RCEF 25-03-05")</f>
        <v>RCEF 25-03-05</v>
      </c>
      <c r="AO1380" s="2">
        <f>IFERROR(__xludf.DUMMYFUNCTION("""COMPUTED_VALUE"""),5.0)</f>
        <v>5</v>
      </c>
      <c r="AP1380" s="2" t="str">
        <f>IFERROR(__xludf.DUMMYFUNCTION("""COMPUTED_VALUE"""),"FREE PMS")</f>
        <v>FREE PMS</v>
      </c>
      <c r="AQ1380" s="2"/>
      <c r="AR1380" s="2"/>
      <c r="AS1380" s="2"/>
      <c r="AT1380" s="2"/>
      <c r="AU1380" s="2"/>
      <c r="AV1380" s="2"/>
      <c r="AW1380" s="2"/>
      <c r="AX1380" s="2"/>
      <c r="AY1380" s="2"/>
      <c r="AZ1380" s="2"/>
      <c r="BA1380" s="2"/>
      <c r="BB1380" s="2"/>
    </row>
    <row r="1381">
      <c r="A1381" s="2">
        <f>IFERROR(__xludf.DUMMYFUNCTION("""COMPUTED_VALUE"""),1377.0)</f>
        <v>1377</v>
      </c>
      <c r="B1381" s="2" t="str">
        <f>IFERROR(__xludf.DUMMYFUNCTION("""COMPUTED_VALUE"""),"COMPLETED")</f>
        <v>COMPLETED</v>
      </c>
      <c r="C1381" s="74">
        <f>IFERROR(__xludf.DUMMYFUNCTION("""COMPUTED_VALUE"""),46049.0)</f>
        <v>46049</v>
      </c>
      <c r="D1381" s="71" t="str">
        <f>IFERROR(__xludf.DUMMYFUNCTION("""COMPUTED_VALUE"""),"MUNICIPAL LOCAL GOVERNMENT UNIT OF SANTA MARIA")</f>
        <v>MUNICIPAL LOCAL GOVERNMENT UNIT OF SANTA MARIA</v>
      </c>
      <c r="E1381" s="71" t="str">
        <f>IFERROR(__xludf.DUMMYFUNCTION("""COMPUTED_VALUE"""),"Poblacion, Santa Maria, BULACAN")</f>
        <v>Poblacion, Santa Maria, BULACAN</v>
      </c>
      <c r="F1381" s="2" t="str">
        <f>IFERROR(__xludf.DUMMYFUNCTION("""COMPUTED_VALUE"""),"RONIEL REYES")</f>
        <v>RONIEL REYES</v>
      </c>
      <c r="G1381" s="2">
        <f>IFERROR(__xludf.DUMMYFUNCTION("""COMPUTED_VALUE"""),9.758870947E9)</f>
        <v>9758870947</v>
      </c>
      <c r="H1381" s="2">
        <f>IFERROR(__xludf.DUMMYFUNCTION("""COMPUTED_VALUE"""),5.0)</f>
        <v>5</v>
      </c>
      <c r="I1381" s="72" t="str">
        <f>IFERROR(__xludf.DUMMYFUNCTION("""COMPUTED_VALUE"""),"REPAIR - TRACTOR")</f>
        <v>REPAIR - TRACTOR</v>
      </c>
      <c r="J1381" s="72" t="str">
        <f>IFERROR(__xludf.DUMMYFUNCTION("""COMPUTED_VALUE"""),"Transmission - Clutch")</f>
        <v>Transmission - Clutch</v>
      </c>
      <c r="K1381" s="72" t="str">
        <f>IFERROR(__xludf.DUMMYFUNCTION("""COMPUTED_VALUE"""),"DATE DELIVERED: DECEMBER 2025
-PINAGAMIT SA IBANG ASSOCIATION, TESTING LANG 2 HRS LANG NAGAMIT MAY NANGANAGMOY SA TRANSMISSION, AFTER MANGAMOY ANG LINING AYAW NA MAG ATRAS ABANTE NG TRACTORA, 
- NASA GITNA NG PARANG, AS SOON AS POSIBBLE MAPUNTAHAN HINDI"&amp;" NILA MAALIS DOON")</f>
        <v>DATE DELIVERED: DECEMBER 2025
-PINAGAMIT SA IBANG ASSOCIATION, TESTING LANG 2 HRS LANG NAGAMIT MAY NANGANAGMOY SA TRANSMISSION, AFTER MANGAMOY ANG LINING AYAW NA MAG ATRAS ABANTE NG TRACTORA, 
- NASA GITNA NG PARANG, AS SOON AS POSIBBLE MAPUNTAHAN HINDI NILA MAALIS DOON</v>
      </c>
      <c r="L1381" s="72" t="str">
        <f>IFERROR(__xludf.DUMMYFUNCTION("""COMPUTED_VALUE"""),"DSD: REPLACED CLUTCH COMPONENTS")</f>
        <v>DSD: REPLACED CLUTCH COMPONENTS</v>
      </c>
      <c r="M1381" s="2"/>
      <c r="N1381" s="2" t="str">
        <f>IFERROR(__xludf.DUMMYFUNCTION("""COMPUTED_VALUE"""),"PARTS:
CLUTCH DISC ASSY
CLUTCH COVER ASSY
WARRANTY")</f>
        <v>PARTS:
CLUTCH DISC ASSY
CLUTCH COVER ASSY
WARRANTY</v>
      </c>
      <c r="O1381" s="2">
        <f>IFERROR(__xludf.DUMMYFUNCTION("""COMPUTED_VALUE"""),665.0)</f>
        <v>665</v>
      </c>
      <c r="P1381" s="2"/>
      <c r="Q1381" s="2" t="str">
        <f>IFERROR(__xludf.DUMMYFUNCTION("""COMPUTED_VALUE"""),"FOR PRINT")</f>
        <v>FOR PRINT</v>
      </c>
      <c r="R1381" s="74">
        <f>IFERROR(__xludf.DUMMYFUNCTION("""COMPUTED_VALUE"""),46057.0)</f>
        <v>46057</v>
      </c>
      <c r="S1381" s="2" t="str">
        <f>IFERROR(__xludf.DUMMYFUNCTION("""COMPUTED_VALUE"""),"JHP/DSD")</f>
        <v>JHP/DSD</v>
      </c>
      <c r="T1381" s="73" t="str">
        <f>IFERROR(__xludf.DUMMYFUNCTION("""COMPUTED_VALUE""")," N/A ")</f>
        <v>N/A</v>
      </c>
      <c r="U1381" s="73" t="str">
        <f>IFERROR(__xludf.DUMMYFUNCTION("""COMPUTED_VALUE""")," NO CHARGE ")</f>
        <v>NO CHARGE</v>
      </c>
      <c r="V1381" s="2">
        <f>IFERROR(__xludf.DUMMYFUNCTION("""COMPUTED_VALUE"""),1292.0)</f>
        <v>1292</v>
      </c>
      <c r="W1381" s="2" t="str">
        <f>IFERROR(__xludf.DUMMYFUNCTION("""COMPUTED_VALUE"""),"N/A")</f>
        <v>N/A</v>
      </c>
      <c r="X1381" s="2" t="str">
        <f>IFERROR(__xludf.DUMMYFUNCTION("""COMPUTED_VALUE"""),"N/A")</f>
        <v>N/A</v>
      </c>
      <c r="Y1381" s="2"/>
      <c r="Z1381" s="2"/>
      <c r="AA1381" s="2"/>
      <c r="AB1381" s="2"/>
      <c r="AC1381" s="2"/>
      <c r="AD1381" s="2"/>
      <c r="AE1381" s="2"/>
      <c r="AF1381" s="2"/>
      <c r="AG1381" s="2"/>
      <c r="AH1381" s="2"/>
      <c r="AI1381" s="2"/>
      <c r="AJ1381" s="2" t="str">
        <f>IFERROR(__xludf.DUMMYFUNCTION("""COMPUTED_VALUE"""),"Poblacion")</f>
        <v>Poblacion</v>
      </c>
      <c r="AK1381" s="2" t="str">
        <f>IFERROR(__xludf.DUMMYFUNCTION("""COMPUTED_VALUE"""),"Santa Maria")</f>
        <v>Santa Maria</v>
      </c>
      <c r="AL1381" s="2" t="str">
        <f>IFERROR(__xludf.DUMMYFUNCTION("""COMPUTED_VALUE"""),"Bulacan")</f>
        <v>Bulacan</v>
      </c>
      <c r="AM1381" s="2">
        <f>IFERROR(__xludf.DUMMYFUNCTION("""COMPUTED_VALUE"""),3.0)</f>
        <v>3</v>
      </c>
      <c r="AN1381" s="2" t="str">
        <f>IFERROR(__xludf.DUMMYFUNCTION("""COMPUTED_VALUE"""),"RCEF 25-03-05")</f>
        <v>RCEF 25-03-05</v>
      </c>
      <c r="AO1381" s="2">
        <f>IFERROR(__xludf.DUMMYFUNCTION("""COMPUTED_VALUE"""),5.0)</f>
        <v>5</v>
      </c>
      <c r="AP1381" s="2" t="str">
        <f>IFERROR(__xludf.DUMMYFUNCTION("""COMPUTED_VALUE"""),"FREE PMS")</f>
        <v>FREE PMS</v>
      </c>
      <c r="AQ1381" s="2"/>
      <c r="AR1381" s="2"/>
      <c r="AS1381" s="2"/>
      <c r="AT1381" s="2"/>
      <c r="AU1381" s="2"/>
      <c r="AV1381" s="2"/>
      <c r="AW1381" s="2"/>
      <c r="AX1381" s="2"/>
      <c r="AY1381" s="2"/>
      <c r="AZ1381" s="2"/>
      <c r="BA1381" s="2"/>
      <c r="BB1381" s="2"/>
    </row>
    <row r="1382">
      <c r="A1382" s="2">
        <f>IFERROR(__xludf.DUMMYFUNCTION("""COMPUTED_VALUE"""),1378.0)</f>
        <v>1378</v>
      </c>
      <c r="B1382" s="2" t="str">
        <f>IFERROR(__xludf.DUMMYFUNCTION("""COMPUTED_VALUE"""),"PENDING")</f>
        <v>PENDING</v>
      </c>
      <c r="C1382" s="74">
        <f>IFERROR(__xludf.DUMMYFUNCTION("""COMPUTED_VALUE"""),46050.0)</f>
        <v>46050</v>
      </c>
      <c r="D1382" s="71" t="str">
        <f>IFERROR(__xludf.DUMMYFUNCTION("""COMPUTED_VALUE"""),"Cabilauan Farmers Association")</f>
        <v>Cabilauan Farmers Association</v>
      </c>
      <c r="E1382" s="71" t="str">
        <f>IFERROR(__xludf.DUMMYFUNCTION("""COMPUTED_VALUE"""),"Cabilauan, New Lucena, ILOILO")</f>
        <v>Cabilauan, New Lucena, ILOILO</v>
      </c>
      <c r="F1382" s="2" t="str">
        <f>IFERROR(__xludf.DUMMYFUNCTION("""COMPUTED_VALUE"""),"Cecilio Niego ")</f>
        <v>Cecilio Niego </v>
      </c>
      <c r="G1382" s="2">
        <f>IFERROR(__xludf.DUMMYFUNCTION("""COMPUTED_VALUE"""),9.101237802E9)</f>
        <v>9101237802</v>
      </c>
      <c r="H1382" s="2">
        <f>IFERROR(__xludf.DUMMYFUNCTION("""COMPUTED_VALUE"""),1100.0)</f>
        <v>1100</v>
      </c>
      <c r="I1382" s="72" t="str">
        <f>IFERROR(__xludf.DUMMYFUNCTION("""COMPUTED_VALUE"""),"SPARE PARTS ACQUISITION")</f>
        <v>SPARE PARTS ACQUISITION</v>
      </c>
      <c r="J1382" s="72"/>
      <c r="K1382" s="72" t="str">
        <f>IFERROR(__xludf.DUMMYFUNCTION("""COMPUTED_VALUE"""),"MYK: PARTS REQUEST
BEVEL GEAR 24T")</f>
        <v>MYK: PARTS REQUEST
BEVEL GEAR 24T</v>
      </c>
      <c r="L1382" s="72" t="str">
        <f>IFERROR(__xludf.DUMMYFUNCTION("""COMPUTED_VALUE"""),"QUOTATION SENT- INFORMED NO PARTS - WILLING TO WAIT")</f>
        <v>QUOTATION SENT- INFORMED NO PARTS - WILLING TO WAIT</v>
      </c>
      <c r="M1382" s="2" t="str">
        <f>IFERROR(__xludf.DUMMYFUNCTION("""COMPUTED_VALUE"""),"BEVEL GEAR 24T")</f>
        <v>BEVEL GEAR 24T</v>
      </c>
      <c r="N1382" s="2"/>
      <c r="O1382" s="2"/>
      <c r="P1382" s="2"/>
      <c r="Q1382" s="2"/>
      <c r="R1382" s="2"/>
      <c r="S1382" s="2"/>
      <c r="T1382" s="2"/>
      <c r="U1382" s="2"/>
      <c r="V1382" s="2"/>
      <c r="W1382" s="2"/>
      <c r="X1382" s="2"/>
      <c r="Y1382" s="2"/>
      <c r="Z1382" s="2"/>
      <c r="AA1382" s="2"/>
      <c r="AB1382" s="2"/>
      <c r="AC1382" s="2"/>
      <c r="AD1382" s="2"/>
      <c r="AE1382" s="2"/>
      <c r="AF1382" s="2"/>
      <c r="AG1382" s="2"/>
      <c r="AH1382" s="2"/>
      <c r="AI1382" s="2"/>
      <c r="AJ1382" s="2" t="str">
        <f>IFERROR(__xludf.DUMMYFUNCTION("""COMPUTED_VALUE"""),"Cabilauan")</f>
        <v>Cabilauan</v>
      </c>
      <c r="AK1382" s="2" t="str">
        <f>IFERROR(__xludf.DUMMYFUNCTION("""COMPUTED_VALUE"""),"New Lucena")</f>
        <v>New Lucena</v>
      </c>
      <c r="AL1382" s="2" t="str">
        <f>IFERROR(__xludf.DUMMYFUNCTION("""COMPUTED_VALUE"""),"Iloilo")</f>
        <v>Iloilo</v>
      </c>
      <c r="AM1382" s="2">
        <f>IFERROR(__xludf.DUMMYFUNCTION("""COMPUTED_VALUE"""),6.0)</f>
        <v>6</v>
      </c>
      <c r="AN1382" s="2" t="str">
        <f>IFERROR(__xludf.DUMMYFUNCTION("""COMPUTED_VALUE"""),"RCEF 23-09-21 Rebidding")</f>
        <v>RCEF 23-09-21 Rebidding</v>
      </c>
      <c r="AO1382" s="2">
        <f>IFERROR(__xludf.DUMMYFUNCTION("""COMPUTED_VALUE"""),4.0)</f>
        <v>4</v>
      </c>
      <c r="AP1382" s="2"/>
      <c r="AQ1382" s="2"/>
      <c r="AR1382" s="2"/>
      <c r="AS1382" s="2"/>
      <c r="AT1382" s="2"/>
      <c r="AU1382" s="2"/>
      <c r="AV1382" s="2"/>
      <c r="AW1382" s="2"/>
      <c r="AX1382" s="2"/>
      <c r="AY1382" s="2"/>
      <c r="AZ1382" s="2"/>
      <c r="BA1382" s="2"/>
      <c r="BB1382" s="2"/>
    </row>
    <row r="1383">
      <c r="A1383" s="2">
        <f>IFERROR(__xludf.DUMMYFUNCTION("""COMPUTED_VALUE"""),1379.0)</f>
        <v>1379</v>
      </c>
      <c r="B1383" s="2" t="str">
        <f>IFERROR(__xludf.DUMMYFUNCTION("""COMPUTED_VALUE"""),"COMPLETED")</f>
        <v>COMPLETED</v>
      </c>
      <c r="C1383" s="74">
        <f>IFERROR(__xludf.DUMMYFUNCTION("""COMPUTED_VALUE"""),46051.0)</f>
        <v>46051</v>
      </c>
      <c r="D1383" s="71"/>
      <c r="E1383" s="71" t="str">
        <f>IFERROR(__xludf.DUMMYFUNCTION("""COMPUTED_VALUE""")," ")</f>
        <v> </v>
      </c>
      <c r="F1383" s="2" t="str">
        <f>IFERROR(__xludf.DUMMYFUNCTION("""COMPUTED_VALUE"""),"PHILMECH ILOILO
KATHERINE CASIO")</f>
        <v>PHILMECH ILOILO
KATHERINE CASIO</v>
      </c>
      <c r="G1383" s="2"/>
      <c r="H1383" s="2"/>
      <c r="I1383" s="72" t="str">
        <f>IFERROR(__xludf.DUMMYFUNCTION("""COMPUTED_VALUE"""),"TRAINING REQUEST")</f>
        <v>TRAINING REQUEST</v>
      </c>
      <c r="J1383" s="72"/>
      <c r="K1383" s="72" t="str">
        <f>IFERROR(__xludf.DUMMYFUNCTION("""COMPUTED_VALUE"""),"""PHILMECH ILOILO
KATHERINE CASIO""
MYK: TRAINING REQUEST FOR OPERATORS
")</f>
        <v>"PHILMECH ILOILO
KATHERINE CASIO"
MYK: TRAINING REQUEST FOR OPERATORS
</v>
      </c>
      <c r="L1383" s="72" t="str">
        <f>IFERROR(__xludf.DUMMYFUNCTION("""COMPUTED_VALUE"""),"DRM: TRAINED REGION 6 OPERATORS ")</f>
        <v>DRM: TRAINED REGION 6 OPERATORS </v>
      </c>
      <c r="M1383" s="2"/>
      <c r="N1383" s="2"/>
      <c r="O1383" s="2" t="str">
        <f>IFERROR(__xludf.DUMMYFUNCTION("""COMPUTED_VALUE"""),"NEED SERVICE REPORT")</f>
        <v>NEED SERVICE REPORT</v>
      </c>
      <c r="P1383" s="2"/>
      <c r="Q1383" s="2"/>
      <c r="R1383" s="74">
        <f>IFERROR(__xludf.DUMMYFUNCTION("""COMPUTED_VALUE"""),46063.0)</f>
        <v>46063</v>
      </c>
      <c r="S1383" s="2" t="str">
        <f>IFERROR(__xludf.DUMMYFUNCTION("""COMPUTED_VALUE"""),"EGT/DRM")</f>
        <v>EGT/DRM</v>
      </c>
      <c r="T1383" s="73" t="str">
        <f>IFERROR(__xludf.DUMMYFUNCTION("""COMPUTED_VALUE""")," N/A ")</f>
        <v>N/A</v>
      </c>
      <c r="U1383" s="73" t="str">
        <f>IFERROR(__xludf.DUMMYFUNCTION("""COMPUTED_VALUE""")," NO CHARGE ")</f>
        <v>NO CHARGE</v>
      </c>
      <c r="V1383" s="2"/>
      <c r="W1383" s="2" t="str">
        <f>IFERROR(__xludf.DUMMYFUNCTION("""COMPUTED_VALUE"""),"N/A")</f>
        <v>N/A</v>
      </c>
      <c r="X1383" s="2" t="str">
        <f>IFERROR(__xludf.DUMMYFUNCTION("""COMPUTED_VALUE"""),"N/A")</f>
        <v>N/A</v>
      </c>
      <c r="Y1383" s="2"/>
      <c r="Z1383" s="2"/>
      <c r="AA1383" s="2"/>
      <c r="AB1383" s="2"/>
      <c r="AC1383" s="2"/>
      <c r="AD1383" s="2"/>
      <c r="AE1383" s="2"/>
      <c r="AF1383" s="2"/>
      <c r="AG1383" s="2"/>
      <c r="AH1383" s="2"/>
      <c r="AI1383" s="2"/>
      <c r="AJ1383" s="2" t="str">
        <f>IFERROR(__xludf.DUMMYFUNCTION("""COMPUTED_VALUE"""),"")</f>
        <v/>
      </c>
      <c r="AK1383" s="2" t="str">
        <f>IFERROR(__xludf.DUMMYFUNCTION("""COMPUTED_VALUE"""),"")</f>
        <v/>
      </c>
      <c r="AL1383" s="2" t="str">
        <f>IFERROR(__xludf.DUMMYFUNCTION("""COMPUTED_VALUE"""),"")</f>
        <v/>
      </c>
      <c r="AM1383" s="2" t="str">
        <f>IFERROR(__xludf.DUMMYFUNCTION("""COMPUTED_VALUE"""),"")</f>
        <v/>
      </c>
      <c r="AN1383" s="2" t="str">
        <f>IFERROR(__xludf.DUMMYFUNCTION("""COMPUTED_VALUE""")," ")</f>
        <v> </v>
      </c>
      <c r="AO1383" s="2" t="str">
        <f>IFERROR(__xludf.DUMMYFUNCTION("""COMPUTED_VALUE""")," ")</f>
        <v> </v>
      </c>
      <c r="AP1383" s="2" t="str">
        <f>IFERROR(__xludf.DUMMYFUNCTION("""COMPUTED_VALUE"""),"")</f>
        <v/>
      </c>
      <c r="AQ1383" s="2"/>
      <c r="AR1383" s="2"/>
      <c r="AS1383" s="2"/>
      <c r="AT1383" s="2"/>
      <c r="AU1383" s="2"/>
      <c r="AV1383" s="2"/>
      <c r="AW1383" s="2"/>
      <c r="AX1383" s="2"/>
      <c r="AY1383" s="2"/>
      <c r="AZ1383" s="2"/>
      <c r="BA1383" s="2"/>
      <c r="BB1383" s="2"/>
    </row>
    <row r="1384">
      <c r="A1384" s="2">
        <f>IFERROR(__xludf.DUMMYFUNCTION("""COMPUTED_VALUE"""),1380.0)</f>
        <v>1380</v>
      </c>
      <c r="B1384" s="2" t="str">
        <f>IFERROR(__xludf.DUMMYFUNCTION("""COMPUTED_VALUE"""),"COMPLETED")</f>
        <v>COMPLETED</v>
      </c>
      <c r="C1384" s="74">
        <f>IFERROR(__xludf.DUMMYFUNCTION("""COMPUTED_VALUE"""),46051.0)</f>
        <v>46051</v>
      </c>
      <c r="D1384" s="71" t="str">
        <f>IFERROR(__xludf.DUMMYFUNCTION("""COMPUTED_VALUE"""),"MAGKANTA IRRIGATORS' ASSOCIATION, INC.")</f>
        <v>MAGKANTA IRRIGATORS' ASSOCIATION, INC.</v>
      </c>
      <c r="E1384" s="71" t="str">
        <f>IFERROR(__xludf.DUMMYFUNCTION("""COMPUTED_VALUE"""),"Magnangoy, Hilongos, LEYTE")</f>
        <v>Magnangoy, Hilongos, LEYTE</v>
      </c>
      <c r="F1384" s="2" t="str">
        <f>IFERROR(__xludf.DUMMYFUNCTION("""COMPUTED_VALUE"""),"Roberto Ma. B. Reyes")</f>
        <v>Roberto Ma. B. Reyes</v>
      </c>
      <c r="G1384" s="2" t="str">
        <f>IFERROR(__xludf.DUMMYFUNCTION("""COMPUTED_VALUE"""),"0927-769-7279")</f>
        <v>0927-769-7279</v>
      </c>
      <c r="H1384" s="2"/>
      <c r="I1384" s="72" t="str">
        <f>IFERROR(__xludf.DUMMYFUNCTION("""COMPUTED_VALUE"""),"PMS")</f>
        <v>PMS</v>
      </c>
      <c r="J1384" s="72" t="str">
        <f>IFERROR(__xludf.DUMMYFUNCTION("""COMPUTED_VALUE"""),"PMS")</f>
        <v>PMS</v>
      </c>
      <c r="K1384" s="72" t="str">
        <f>IFERROR(__xludf.DUMMYFUNCTION("""COMPUTED_VALUE"""),"FPJ: 1ST PSM FREE")</f>
        <v>FPJ: 1ST PSM FREE</v>
      </c>
      <c r="L1384" s="72" t="str">
        <f>IFERROR(__xludf.DUMMYFUNCTION("""COMPUTED_VALUE"""),"FPJ: 1ST PMS DONE
SERVICE REPORT-  MLGU HILONGOS")</f>
        <v>FPJ: 1ST PMS DONE
SERVICE REPORT-  MLGU HILONGOS</v>
      </c>
      <c r="M1384" s="2"/>
      <c r="N1384" s="2" t="str">
        <f>IFERROR(__xludf.DUMMYFUNCTION("""COMPUTED_VALUE"""),"PARTS:
OIL FILTER
ENGINE OIL")</f>
        <v>PARTS:
OIL FILTER
ENGINE OIL</v>
      </c>
      <c r="O1384" s="2">
        <f>IFERROR(__xludf.DUMMYFUNCTION("""COMPUTED_VALUE"""),563.0)</f>
        <v>563</v>
      </c>
      <c r="P1384" s="2"/>
      <c r="Q1384" s="2" t="str">
        <f>IFERROR(__xludf.DUMMYFUNCTION("""COMPUTED_VALUE"""),"FOR PRINT")</f>
        <v>FOR PRINT</v>
      </c>
      <c r="R1384" s="74">
        <f>IFERROR(__xludf.DUMMYFUNCTION("""COMPUTED_VALUE"""),46053.0)</f>
        <v>46053</v>
      </c>
      <c r="S1384" s="2" t="str">
        <f>IFERROR(__xludf.DUMMYFUNCTION("""COMPUTED_VALUE"""),"FPJ")</f>
        <v>FPJ</v>
      </c>
      <c r="T1384" s="73" t="str">
        <f>IFERROR(__xludf.DUMMYFUNCTION("""COMPUTED_VALUE""")," N/A ")</f>
        <v>N/A</v>
      </c>
      <c r="U1384" s="73" t="str">
        <f>IFERROR(__xludf.DUMMYFUNCTION("""COMPUTED_VALUE""")," NO CHARGE ")</f>
        <v>NO CHARGE</v>
      </c>
      <c r="V1384" s="2"/>
      <c r="W1384" s="2" t="str">
        <f>IFERROR(__xludf.DUMMYFUNCTION("""COMPUTED_VALUE"""),"N/A")</f>
        <v>N/A</v>
      </c>
      <c r="X1384" s="2" t="str">
        <f>IFERROR(__xludf.DUMMYFUNCTION("""COMPUTED_VALUE"""),"N/A")</f>
        <v>N/A</v>
      </c>
      <c r="Y1384" s="2"/>
      <c r="Z1384" s="2"/>
      <c r="AA1384" s="2"/>
      <c r="AB1384" s="2"/>
      <c r="AC1384" s="2"/>
      <c r="AD1384" s="2"/>
      <c r="AE1384" s="2"/>
      <c r="AF1384" s="2"/>
      <c r="AG1384" s="2"/>
      <c r="AH1384" s="2"/>
      <c r="AI1384" s="2"/>
      <c r="AJ1384" s="2" t="str">
        <f>IFERROR(__xludf.DUMMYFUNCTION("""COMPUTED_VALUE"""),"Magnangoy")</f>
        <v>Magnangoy</v>
      </c>
      <c r="AK1384" s="2" t="str">
        <f>IFERROR(__xludf.DUMMYFUNCTION("""COMPUTED_VALUE"""),"Hilongos")</f>
        <v>Hilongos</v>
      </c>
      <c r="AL1384" s="2" t="str">
        <f>IFERROR(__xludf.DUMMYFUNCTION("""COMPUTED_VALUE"""),"Leyte")</f>
        <v>Leyte</v>
      </c>
      <c r="AM1384" s="2">
        <f>IFERROR(__xludf.DUMMYFUNCTION("""COMPUTED_VALUE"""),8.0)</f>
        <v>8</v>
      </c>
      <c r="AN1384" s="2" t="str">
        <f>IFERROR(__xludf.DUMMYFUNCTION("""COMPUTED_VALUE"""),"RCEF 25-03-05")</f>
        <v>RCEF 25-03-05</v>
      </c>
      <c r="AO1384" s="2">
        <f>IFERROR(__xludf.DUMMYFUNCTION("""COMPUTED_VALUE"""),7.0)</f>
        <v>7</v>
      </c>
      <c r="AP1384" s="2" t="str">
        <f>IFERROR(__xludf.DUMMYFUNCTION("""COMPUTED_VALUE"""),"FREE PMS")</f>
        <v>FREE PMS</v>
      </c>
      <c r="AQ1384" s="2"/>
      <c r="AR1384" s="2"/>
      <c r="AS1384" s="2"/>
      <c r="AT1384" s="2"/>
      <c r="AU1384" s="2"/>
      <c r="AV1384" s="2"/>
      <c r="AW1384" s="2"/>
      <c r="AX1384" s="2"/>
      <c r="AY1384" s="2"/>
      <c r="AZ1384" s="2"/>
      <c r="BA1384" s="2"/>
      <c r="BB1384" s="2"/>
    </row>
    <row r="1385">
      <c r="A1385" s="2">
        <f>IFERROR(__xludf.DUMMYFUNCTION("""COMPUTED_VALUE"""),1381.0)</f>
        <v>1381</v>
      </c>
      <c r="B1385" s="2" t="str">
        <f>IFERROR(__xludf.DUMMYFUNCTION("""COMPUTED_VALUE"""),"COMPLETED")</f>
        <v>COMPLETED</v>
      </c>
      <c r="C1385" s="74">
        <f>IFERROR(__xludf.DUMMYFUNCTION("""COMPUTED_VALUE"""),46051.0)</f>
        <v>46051</v>
      </c>
      <c r="D1385" s="71" t="str">
        <f>IFERROR(__xludf.DUMMYFUNCTION("""COMPUTED_VALUE"""),"HAMBABAURAN FARMERS ASSOCIATION")</f>
        <v>HAMBABAURAN FARMERS ASSOCIATION</v>
      </c>
      <c r="E1385" s="71" t="str">
        <f>IFERROR(__xludf.DUMMYFUNCTION("""COMPUTED_VALUE"""),"Hambabauran, Ubay, BOHOL")</f>
        <v>Hambabauran, Ubay, BOHOL</v>
      </c>
      <c r="F1385" s="2"/>
      <c r="G1385" s="2"/>
      <c r="H1385" s="2">
        <f>IFERROR(__xludf.DUMMYFUNCTION("""COMPUTED_VALUE"""),78.0)</f>
        <v>78</v>
      </c>
      <c r="I1385" s="72" t="str">
        <f>IFERROR(__xludf.DUMMYFUNCTION("""COMPUTED_VALUE"""),"PMS")</f>
        <v>PMS</v>
      </c>
      <c r="J1385" s="72" t="str">
        <f>IFERROR(__xludf.DUMMYFUNCTION("""COMPUTED_VALUE"""),"PMS")</f>
        <v>PMS</v>
      </c>
      <c r="K1385" s="72" t="str">
        <f>IFERROR(__xludf.DUMMYFUNCTION("""COMPUTED_VALUE"""),"DSD: 1ST PMS FREE")</f>
        <v>DSD: 1ST PMS FREE</v>
      </c>
      <c r="L1385" s="72" t="str">
        <f>IFERROR(__xludf.DUMMYFUNCTION("""COMPUTED_VALUE"""),"DSD: 1ST PMS DONE")</f>
        <v>DSD: 1ST PMS DONE</v>
      </c>
      <c r="M1385" s="2"/>
      <c r="N1385" s="2" t="str">
        <f>IFERROR(__xludf.DUMMYFUNCTION("""COMPUTED_VALUE"""),"PARTS:
OIL FILTER
ENGINE OIL")</f>
        <v>PARTS:
OIL FILTER
ENGINE OIL</v>
      </c>
      <c r="O1385" s="2" t="str">
        <f>IFERROR(__xludf.DUMMYFUNCTION("""COMPUTED_VALUE"""),"NEED SERVICE REPORT")</f>
        <v>NEED SERVICE REPORT</v>
      </c>
      <c r="P1385" s="2"/>
      <c r="Q1385" s="2" t="str">
        <f>IFERROR(__xludf.DUMMYFUNCTION("""COMPUTED_VALUE"""),"FOR PRINT")</f>
        <v>FOR PRINT</v>
      </c>
      <c r="R1385" s="74">
        <f>IFERROR(__xludf.DUMMYFUNCTION("""COMPUTED_VALUE"""),46051.0)</f>
        <v>46051</v>
      </c>
      <c r="S1385" s="2" t="str">
        <f>IFERROR(__xludf.DUMMYFUNCTION("""COMPUTED_VALUE"""),"DSD/ACS/2 OJT/1 LAPC")</f>
        <v>DSD/ACS/2 OJT/1 LAPC</v>
      </c>
      <c r="T1385" s="73" t="str">
        <f>IFERROR(__xludf.DUMMYFUNCTION("""COMPUTED_VALUE""")," N/A ")</f>
        <v>N/A</v>
      </c>
      <c r="U1385" s="73" t="str">
        <f>IFERROR(__xludf.DUMMYFUNCTION("""COMPUTED_VALUE""")," NO CHARGE ")</f>
        <v>NO CHARGE</v>
      </c>
      <c r="V1385" s="2"/>
      <c r="W1385" s="2" t="str">
        <f>IFERROR(__xludf.DUMMYFUNCTION("""COMPUTED_VALUE"""),"N/A")</f>
        <v>N/A</v>
      </c>
      <c r="X1385" s="2" t="str">
        <f>IFERROR(__xludf.DUMMYFUNCTION("""COMPUTED_VALUE"""),"N/A ")</f>
        <v>N/A </v>
      </c>
      <c r="Y1385" s="2"/>
      <c r="Z1385" s="2"/>
      <c r="AA1385" s="2"/>
      <c r="AB1385" s="2"/>
      <c r="AC1385" s="2"/>
      <c r="AD1385" s="2"/>
      <c r="AE1385" s="2"/>
      <c r="AF1385" s="2"/>
      <c r="AG1385" s="2"/>
      <c r="AH1385" s="2"/>
      <c r="AI1385" s="2"/>
      <c r="AJ1385" s="2" t="str">
        <f>IFERROR(__xludf.DUMMYFUNCTION("""COMPUTED_VALUE"""),"Hambabauran")</f>
        <v>Hambabauran</v>
      </c>
      <c r="AK1385" s="2" t="str">
        <f>IFERROR(__xludf.DUMMYFUNCTION("""COMPUTED_VALUE"""),"Ubay")</f>
        <v>Ubay</v>
      </c>
      <c r="AL1385" s="2" t="str">
        <f>IFERROR(__xludf.DUMMYFUNCTION("""COMPUTED_VALUE"""),"Bohol")</f>
        <v>Bohol</v>
      </c>
      <c r="AM1385" s="2">
        <f>IFERROR(__xludf.DUMMYFUNCTION("""COMPUTED_VALUE"""),7.0)</f>
        <v>7</v>
      </c>
      <c r="AN1385" s="2" t="str">
        <f>IFERROR(__xludf.DUMMYFUNCTION("""COMPUTED_VALUE"""),"RCEF 25-03-05")</f>
        <v>RCEF 25-03-05</v>
      </c>
      <c r="AO1385" s="2">
        <f>IFERROR(__xludf.DUMMYFUNCTION("""COMPUTED_VALUE"""),7.0)</f>
        <v>7</v>
      </c>
      <c r="AP1385" s="2" t="str">
        <f>IFERROR(__xludf.DUMMYFUNCTION("""COMPUTED_VALUE"""),"FREE PMS")</f>
        <v>FREE PMS</v>
      </c>
      <c r="AQ1385" s="2"/>
      <c r="AR1385" s="2"/>
      <c r="AS1385" s="2"/>
      <c r="AT1385" s="2"/>
      <c r="AU1385" s="2"/>
      <c r="AV1385" s="2"/>
      <c r="AW1385" s="2"/>
      <c r="AX1385" s="2"/>
      <c r="AY1385" s="2"/>
      <c r="AZ1385" s="2"/>
      <c r="BA1385" s="2"/>
      <c r="BB1385" s="2"/>
    </row>
    <row r="1386">
      <c r="A1386" s="2">
        <f>IFERROR(__xludf.DUMMYFUNCTION("""COMPUTED_VALUE"""),1382.0)</f>
        <v>1382</v>
      </c>
      <c r="B1386" s="2" t="str">
        <f>IFERROR(__xludf.DUMMYFUNCTION("""COMPUTED_VALUE"""),"COMPLETED")</f>
        <v>COMPLETED</v>
      </c>
      <c r="C1386" s="74">
        <f>IFERROR(__xludf.DUMMYFUNCTION("""COMPUTED_VALUE"""),46051.0)</f>
        <v>46051</v>
      </c>
      <c r="D1386" s="71" t="str">
        <f>IFERROR(__xludf.DUMMYFUNCTION("""COMPUTED_VALUE"""),"CAM-BA-SAN IRRIGATORS' ASSOCIATION, INC.")</f>
        <v>CAM-BA-SAN IRRIGATORS' ASSOCIATION, INC.</v>
      </c>
      <c r="E1386" s="71" t="str">
        <f>IFERROR(__xludf.DUMMYFUNCTION("""COMPUTED_VALUE"""),"Cambangay Norte, San Miguel, BOHOL")</f>
        <v>Cambangay Norte, San Miguel, BOHOL</v>
      </c>
      <c r="F1386" s="2"/>
      <c r="G1386" s="2"/>
      <c r="H1386" s="2">
        <f>IFERROR(__xludf.DUMMYFUNCTION("""COMPUTED_VALUE"""),95.0)</f>
        <v>95</v>
      </c>
      <c r="I1386" s="72" t="str">
        <f>IFERROR(__xludf.DUMMYFUNCTION("""COMPUTED_VALUE"""),"PMS")</f>
        <v>PMS</v>
      </c>
      <c r="J1386" s="72" t="str">
        <f>IFERROR(__xludf.DUMMYFUNCTION("""COMPUTED_VALUE"""),"PMS")</f>
        <v>PMS</v>
      </c>
      <c r="K1386" s="72" t="str">
        <f>IFERROR(__xludf.DUMMYFUNCTION("""COMPUTED_VALUE"""),"DSD: 1ST PMS FREE")</f>
        <v>DSD: 1ST PMS FREE</v>
      </c>
      <c r="L1386" s="72" t="str">
        <f>IFERROR(__xludf.DUMMYFUNCTION("""COMPUTED_VALUE"""),"DSD: 1ST PMS DONE")</f>
        <v>DSD: 1ST PMS DONE</v>
      </c>
      <c r="M1386" s="2"/>
      <c r="N1386" s="2" t="str">
        <f>IFERROR(__xludf.DUMMYFUNCTION("""COMPUTED_VALUE"""),"PARTS:
OIL FILTER
ENGINE OIL")</f>
        <v>PARTS:
OIL FILTER
ENGINE OIL</v>
      </c>
      <c r="O1386" s="2" t="str">
        <f>IFERROR(__xludf.DUMMYFUNCTION("""COMPUTED_VALUE"""),"NEED SERVICE REPORT")</f>
        <v>NEED SERVICE REPORT</v>
      </c>
      <c r="P1386" s="2"/>
      <c r="Q1386" s="2" t="str">
        <f>IFERROR(__xludf.DUMMYFUNCTION("""COMPUTED_VALUE"""),"FOR PRINT")</f>
        <v>FOR PRINT</v>
      </c>
      <c r="R1386" s="74">
        <f>IFERROR(__xludf.DUMMYFUNCTION("""COMPUTED_VALUE"""),46051.0)</f>
        <v>46051</v>
      </c>
      <c r="S1386" s="2" t="str">
        <f>IFERROR(__xludf.DUMMYFUNCTION("""COMPUTED_VALUE"""),"DSD/ACS/2 OJT/1 LAPC")</f>
        <v>DSD/ACS/2 OJT/1 LAPC</v>
      </c>
      <c r="T1386" s="73" t="str">
        <f>IFERROR(__xludf.DUMMYFUNCTION("""COMPUTED_VALUE""")," N/A ")</f>
        <v>N/A</v>
      </c>
      <c r="U1386" s="73" t="str">
        <f>IFERROR(__xludf.DUMMYFUNCTION("""COMPUTED_VALUE""")," NO CHARGE ")</f>
        <v>NO CHARGE</v>
      </c>
      <c r="V1386" s="2"/>
      <c r="W1386" s="2" t="str">
        <f>IFERROR(__xludf.DUMMYFUNCTION("""COMPUTED_VALUE"""),"N/A")</f>
        <v>N/A</v>
      </c>
      <c r="X1386" s="2" t="str">
        <f>IFERROR(__xludf.DUMMYFUNCTION("""COMPUTED_VALUE"""),"N/A ")</f>
        <v>N/A </v>
      </c>
      <c r="Y1386" s="2"/>
      <c r="Z1386" s="2"/>
      <c r="AA1386" s="2"/>
      <c r="AB1386" s="2"/>
      <c r="AC1386" s="2"/>
      <c r="AD1386" s="2"/>
      <c r="AE1386" s="2"/>
      <c r="AF1386" s="2"/>
      <c r="AG1386" s="2"/>
      <c r="AH1386" s="2"/>
      <c r="AI1386" s="2"/>
      <c r="AJ1386" s="2" t="str">
        <f>IFERROR(__xludf.DUMMYFUNCTION("""COMPUTED_VALUE"""),"Cambangay Norte")</f>
        <v>Cambangay Norte</v>
      </c>
      <c r="AK1386" s="2" t="str">
        <f>IFERROR(__xludf.DUMMYFUNCTION("""COMPUTED_VALUE"""),"San Miguel")</f>
        <v>San Miguel</v>
      </c>
      <c r="AL1386" s="2" t="str">
        <f>IFERROR(__xludf.DUMMYFUNCTION("""COMPUTED_VALUE"""),"Bohol")</f>
        <v>Bohol</v>
      </c>
      <c r="AM1386" s="2">
        <f>IFERROR(__xludf.DUMMYFUNCTION("""COMPUTED_VALUE"""),7.0)</f>
        <v>7</v>
      </c>
      <c r="AN1386" s="2" t="str">
        <f>IFERROR(__xludf.DUMMYFUNCTION("""COMPUTED_VALUE"""),"RCEF 25-03-05")</f>
        <v>RCEF 25-03-05</v>
      </c>
      <c r="AO1386" s="2">
        <f>IFERROR(__xludf.DUMMYFUNCTION("""COMPUTED_VALUE"""),7.0)</f>
        <v>7</v>
      </c>
      <c r="AP1386" s="2" t="str">
        <f>IFERROR(__xludf.DUMMYFUNCTION("""COMPUTED_VALUE"""),"FREE PMS")</f>
        <v>FREE PMS</v>
      </c>
      <c r="AQ1386" s="2"/>
      <c r="AR1386" s="2"/>
      <c r="AS1386" s="2"/>
      <c r="AT1386" s="2"/>
      <c r="AU1386" s="2"/>
      <c r="AV1386" s="2"/>
      <c r="AW1386" s="2"/>
      <c r="AX1386" s="2"/>
      <c r="AY1386" s="2"/>
      <c r="AZ1386" s="2"/>
      <c r="BA1386" s="2"/>
      <c r="BB1386" s="2"/>
    </row>
    <row r="1387">
      <c r="A1387" s="2">
        <f>IFERROR(__xludf.DUMMYFUNCTION("""COMPUTED_VALUE"""),1383.0)</f>
        <v>1383</v>
      </c>
      <c r="B1387" s="2" t="str">
        <f>IFERROR(__xludf.DUMMYFUNCTION("""COMPUTED_VALUE"""),"COMPLETED")</f>
        <v>COMPLETED</v>
      </c>
      <c r="C1387" s="74">
        <f>IFERROR(__xludf.DUMMYFUNCTION("""COMPUTED_VALUE"""),46051.0)</f>
        <v>46051</v>
      </c>
      <c r="D1387" s="71" t="str">
        <f>IFERROR(__xludf.DUMMYFUNCTION("""COMPUTED_VALUE"""),"NINNEWC IRRIGATORS' ASSOCIATION, INC.")</f>
        <v>NINNEWC IRRIGATORS' ASSOCIATION, INC.</v>
      </c>
      <c r="E1387" s="71" t="str">
        <f>IFERROR(__xludf.DUMMYFUNCTION("""COMPUTED_VALUE"""),"Bayongan, San Miguel, BOHOL")</f>
        <v>Bayongan, San Miguel, BOHOL</v>
      </c>
      <c r="F1387" s="2"/>
      <c r="G1387" s="2"/>
      <c r="H1387" s="2">
        <f>IFERROR(__xludf.DUMMYFUNCTION("""COMPUTED_VALUE"""),87.0)</f>
        <v>87</v>
      </c>
      <c r="I1387" s="72" t="str">
        <f>IFERROR(__xludf.DUMMYFUNCTION("""COMPUTED_VALUE"""),"PMS")</f>
        <v>PMS</v>
      </c>
      <c r="J1387" s="72" t="str">
        <f>IFERROR(__xludf.DUMMYFUNCTION("""COMPUTED_VALUE"""),"PMS")</f>
        <v>PMS</v>
      </c>
      <c r="K1387" s="72" t="str">
        <f>IFERROR(__xludf.DUMMYFUNCTION("""COMPUTED_VALUE"""),"DSD: 1ST PMS FREE")</f>
        <v>DSD: 1ST PMS FREE</v>
      </c>
      <c r="L1387" s="72" t="str">
        <f>IFERROR(__xludf.DUMMYFUNCTION("""COMPUTED_VALUE"""),"DSD: 1ST PMS DONE")</f>
        <v>DSD: 1ST PMS DONE</v>
      </c>
      <c r="M1387" s="2"/>
      <c r="N1387" s="2" t="str">
        <f>IFERROR(__xludf.DUMMYFUNCTION("""COMPUTED_VALUE"""),"PARTS:
OIL FILTER
ENGINE OIL")</f>
        <v>PARTS:
OIL FILTER
ENGINE OIL</v>
      </c>
      <c r="O1387" s="2" t="str">
        <f>IFERROR(__xludf.DUMMYFUNCTION("""COMPUTED_VALUE"""),"NEED SERVICE REPORT")</f>
        <v>NEED SERVICE REPORT</v>
      </c>
      <c r="P1387" s="2"/>
      <c r="Q1387" s="2" t="str">
        <f>IFERROR(__xludf.DUMMYFUNCTION("""COMPUTED_VALUE"""),"FOR PRINT")</f>
        <v>FOR PRINT</v>
      </c>
      <c r="R1387" s="74">
        <f>IFERROR(__xludf.DUMMYFUNCTION("""COMPUTED_VALUE"""),46051.0)</f>
        <v>46051</v>
      </c>
      <c r="S1387" s="2" t="str">
        <f>IFERROR(__xludf.DUMMYFUNCTION("""COMPUTED_VALUE"""),"DSD/ACS/2 OJT/1 LAPC")</f>
        <v>DSD/ACS/2 OJT/1 LAPC</v>
      </c>
      <c r="T1387" s="73" t="str">
        <f>IFERROR(__xludf.DUMMYFUNCTION("""COMPUTED_VALUE""")," N/A ")</f>
        <v>N/A</v>
      </c>
      <c r="U1387" s="73" t="str">
        <f>IFERROR(__xludf.DUMMYFUNCTION("""COMPUTED_VALUE""")," NO CHARGE ")</f>
        <v>NO CHARGE</v>
      </c>
      <c r="V1387" s="2"/>
      <c r="W1387" s="2" t="str">
        <f>IFERROR(__xludf.DUMMYFUNCTION("""COMPUTED_VALUE"""),"N/A")</f>
        <v>N/A</v>
      </c>
      <c r="X1387" s="2" t="str">
        <f>IFERROR(__xludf.DUMMYFUNCTION("""COMPUTED_VALUE"""),"N/A ")</f>
        <v>N/A </v>
      </c>
      <c r="Y1387" s="2"/>
      <c r="Z1387" s="2"/>
      <c r="AA1387" s="2"/>
      <c r="AB1387" s="2"/>
      <c r="AC1387" s="2"/>
      <c r="AD1387" s="2"/>
      <c r="AE1387" s="2"/>
      <c r="AF1387" s="2"/>
      <c r="AG1387" s="2"/>
      <c r="AH1387" s="2"/>
      <c r="AI1387" s="2"/>
      <c r="AJ1387" s="2" t="str">
        <f>IFERROR(__xludf.DUMMYFUNCTION("""COMPUTED_VALUE"""),"Bayongan")</f>
        <v>Bayongan</v>
      </c>
      <c r="AK1387" s="2" t="str">
        <f>IFERROR(__xludf.DUMMYFUNCTION("""COMPUTED_VALUE"""),"San Miguel")</f>
        <v>San Miguel</v>
      </c>
      <c r="AL1387" s="2" t="str">
        <f>IFERROR(__xludf.DUMMYFUNCTION("""COMPUTED_VALUE"""),"Bohol")</f>
        <v>Bohol</v>
      </c>
      <c r="AM1387" s="2">
        <f>IFERROR(__xludf.DUMMYFUNCTION("""COMPUTED_VALUE"""),7.0)</f>
        <v>7</v>
      </c>
      <c r="AN1387" s="2" t="str">
        <f>IFERROR(__xludf.DUMMYFUNCTION("""COMPUTED_VALUE"""),"RCEF 25-03-05")</f>
        <v>RCEF 25-03-05</v>
      </c>
      <c r="AO1387" s="2">
        <f>IFERROR(__xludf.DUMMYFUNCTION("""COMPUTED_VALUE"""),7.0)</f>
        <v>7</v>
      </c>
      <c r="AP1387" s="2" t="str">
        <f>IFERROR(__xludf.DUMMYFUNCTION("""COMPUTED_VALUE"""),"FREE PMS")</f>
        <v>FREE PMS</v>
      </c>
      <c r="AQ1387" s="2"/>
      <c r="AR1387" s="2"/>
      <c r="AS1387" s="2"/>
      <c r="AT1387" s="2"/>
      <c r="AU1387" s="2"/>
      <c r="AV1387" s="2"/>
      <c r="AW1387" s="2"/>
      <c r="AX1387" s="2"/>
      <c r="AY1387" s="2"/>
      <c r="AZ1387" s="2"/>
      <c r="BA1387" s="2"/>
      <c r="BB1387" s="2"/>
    </row>
    <row r="1388">
      <c r="A1388" s="2">
        <f>IFERROR(__xludf.DUMMYFUNCTION("""COMPUTED_VALUE"""),1384.0)</f>
        <v>1384</v>
      </c>
      <c r="B1388" s="2" t="str">
        <f>IFERROR(__xludf.DUMMYFUNCTION("""COMPUTED_VALUE"""),"COMPLETED")</f>
        <v>COMPLETED</v>
      </c>
      <c r="C1388" s="74">
        <f>IFERROR(__xludf.DUMMYFUNCTION("""COMPUTED_VALUE"""),46051.0)</f>
        <v>46051</v>
      </c>
      <c r="D1388" s="71" t="str">
        <f>IFERROR(__xludf.DUMMYFUNCTION("""COMPUTED_VALUE"""),"Kahugpungan Sa Mga Igsoong Naglawig sa Kalamboan Multi-purpose Cooperative")</f>
        <v>Kahugpungan Sa Mga Igsoong Naglawig sa Kalamboan Multi-purpose Cooperative</v>
      </c>
      <c r="E1388" s="71" t="str">
        <f>IFERROR(__xludf.DUMMYFUNCTION("""COMPUTED_VALUE"""),"Poblacion, San Miguel, BOHOL")</f>
        <v>Poblacion, San Miguel, BOHOL</v>
      </c>
      <c r="F1388" s="2"/>
      <c r="G1388" s="2"/>
      <c r="H1388" s="2">
        <f>IFERROR(__xludf.DUMMYFUNCTION("""COMPUTED_VALUE"""),2.0)</f>
        <v>2</v>
      </c>
      <c r="I1388" s="72" t="str">
        <f>IFERROR(__xludf.DUMMYFUNCTION("""COMPUTED_VALUE"""),"PMS")</f>
        <v>PMS</v>
      </c>
      <c r="J1388" s="72" t="str">
        <f>IFERROR(__xludf.DUMMYFUNCTION("""COMPUTED_VALUE"""),"PMS")</f>
        <v>PMS</v>
      </c>
      <c r="K1388" s="72" t="str">
        <f>IFERROR(__xludf.DUMMYFUNCTION("""COMPUTED_VALUE"""),"DSD: 1ST PMS FREE")</f>
        <v>DSD: 1ST PMS FREE</v>
      </c>
      <c r="L1388" s="72" t="str">
        <f>IFERROR(__xludf.DUMMYFUNCTION("""COMPUTED_VALUE"""),"DSD: 1ST PMS DONE")</f>
        <v>DSD: 1ST PMS DONE</v>
      </c>
      <c r="M1388" s="2"/>
      <c r="N1388" s="2" t="str">
        <f>IFERROR(__xludf.DUMMYFUNCTION("""COMPUTED_VALUE"""),"PARTS:
OIL FILTER
ENGINE OIL")</f>
        <v>PARTS:
OIL FILTER
ENGINE OIL</v>
      </c>
      <c r="O1388" s="2" t="str">
        <f>IFERROR(__xludf.DUMMYFUNCTION("""COMPUTED_VALUE"""),"NEED SERVICE REPORT")</f>
        <v>NEED SERVICE REPORT</v>
      </c>
      <c r="P1388" s="2"/>
      <c r="Q1388" s="2" t="str">
        <f>IFERROR(__xludf.DUMMYFUNCTION("""COMPUTED_VALUE"""),"FOR PRINT")</f>
        <v>FOR PRINT</v>
      </c>
      <c r="R1388" s="74">
        <f>IFERROR(__xludf.DUMMYFUNCTION("""COMPUTED_VALUE"""),46051.0)</f>
        <v>46051</v>
      </c>
      <c r="S1388" s="2" t="str">
        <f>IFERROR(__xludf.DUMMYFUNCTION("""COMPUTED_VALUE"""),"DSD/ACS/2 OJT/1 LAPC")</f>
        <v>DSD/ACS/2 OJT/1 LAPC</v>
      </c>
      <c r="T1388" s="73" t="str">
        <f>IFERROR(__xludf.DUMMYFUNCTION("""COMPUTED_VALUE""")," N/A ")</f>
        <v>N/A</v>
      </c>
      <c r="U1388" s="73" t="str">
        <f>IFERROR(__xludf.DUMMYFUNCTION("""COMPUTED_VALUE""")," NO CHARGE ")</f>
        <v>NO CHARGE</v>
      </c>
      <c r="V1388" s="2"/>
      <c r="W1388" s="2" t="str">
        <f>IFERROR(__xludf.DUMMYFUNCTION("""COMPUTED_VALUE"""),"N/A")</f>
        <v>N/A</v>
      </c>
      <c r="X1388" s="2" t="str">
        <f>IFERROR(__xludf.DUMMYFUNCTION("""COMPUTED_VALUE"""),"N/A ")</f>
        <v>N/A </v>
      </c>
      <c r="Y1388" s="2"/>
      <c r="Z1388" s="2"/>
      <c r="AA1388" s="2"/>
      <c r="AB1388" s="2"/>
      <c r="AC1388" s="2"/>
      <c r="AD1388" s="2"/>
      <c r="AE1388" s="2"/>
      <c r="AF1388" s="2"/>
      <c r="AG1388" s="2"/>
      <c r="AH1388" s="2"/>
      <c r="AI1388" s="2"/>
      <c r="AJ1388" s="2" t="str">
        <f>IFERROR(__xludf.DUMMYFUNCTION("""COMPUTED_VALUE"""),"Poblacion")</f>
        <v>Poblacion</v>
      </c>
      <c r="AK1388" s="2" t="str">
        <f>IFERROR(__xludf.DUMMYFUNCTION("""COMPUTED_VALUE"""),"San Miguel")</f>
        <v>San Miguel</v>
      </c>
      <c r="AL1388" s="2" t="str">
        <f>IFERROR(__xludf.DUMMYFUNCTION("""COMPUTED_VALUE"""),"Bohol")</f>
        <v>Bohol</v>
      </c>
      <c r="AM1388" s="2">
        <f>IFERROR(__xludf.DUMMYFUNCTION("""COMPUTED_VALUE"""),7.0)</f>
        <v>7</v>
      </c>
      <c r="AN1388" s="2" t="str">
        <f>IFERROR(__xludf.DUMMYFUNCTION("""COMPUTED_VALUE"""),"RCEF 25-03-05")</f>
        <v>RCEF 25-03-05</v>
      </c>
      <c r="AO1388" s="2">
        <f>IFERROR(__xludf.DUMMYFUNCTION("""COMPUTED_VALUE"""),7.0)</f>
        <v>7</v>
      </c>
      <c r="AP1388" s="2" t="str">
        <f>IFERROR(__xludf.DUMMYFUNCTION("""COMPUTED_VALUE"""),"FREE PMS")</f>
        <v>FREE PMS</v>
      </c>
      <c r="AQ1388" s="2"/>
      <c r="AR1388" s="2"/>
      <c r="AS1388" s="2"/>
      <c r="AT1388" s="2"/>
      <c r="AU1388" s="2"/>
      <c r="AV1388" s="2"/>
      <c r="AW1388" s="2"/>
      <c r="AX1388" s="2"/>
      <c r="AY1388" s="2"/>
      <c r="AZ1388" s="2"/>
      <c r="BA1388" s="2"/>
      <c r="BB1388" s="2"/>
    </row>
    <row r="1389">
      <c r="A1389" s="2">
        <f>IFERROR(__xludf.DUMMYFUNCTION("""COMPUTED_VALUE"""),1385.0)</f>
        <v>1385</v>
      </c>
      <c r="B1389" s="2" t="str">
        <f>IFERROR(__xludf.DUMMYFUNCTION("""COMPUTED_VALUE"""),"COMPLETED")</f>
        <v>COMPLETED</v>
      </c>
      <c r="C1389" s="74">
        <f>IFERROR(__xludf.DUMMYFUNCTION("""COMPUTED_VALUE"""),46051.0)</f>
        <v>46051</v>
      </c>
      <c r="D1389" s="71" t="str">
        <f>IFERROR(__xludf.DUMMYFUNCTION("""COMPUTED_VALUE"""),"MAMAMIA IRRIGATORS' ASSOCIATION, INC.")</f>
        <v>MAMAMIA IRRIGATORS' ASSOCIATION, INC.</v>
      </c>
      <c r="E1389" s="71" t="str">
        <f>IFERROR(__xludf.DUMMYFUNCTION("""COMPUTED_VALUE"""),"Mahayag, San Miguel, BOHOL")</f>
        <v>Mahayag, San Miguel, BOHOL</v>
      </c>
      <c r="F1389" s="2"/>
      <c r="G1389" s="2"/>
      <c r="H1389" s="2">
        <f>IFERROR(__xludf.DUMMYFUNCTION("""COMPUTED_VALUE"""),2.9)</f>
        <v>2.9</v>
      </c>
      <c r="I1389" s="72" t="str">
        <f>IFERROR(__xludf.DUMMYFUNCTION("""COMPUTED_VALUE"""),"PMS")</f>
        <v>PMS</v>
      </c>
      <c r="J1389" s="72" t="str">
        <f>IFERROR(__xludf.DUMMYFUNCTION("""COMPUTED_VALUE"""),"PMS")</f>
        <v>PMS</v>
      </c>
      <c r="K1389" s="72" t="str">
        <f>IFERROR(__xludf.DUMMYFUNCTION("""COMPUTED_VALUE"""),"DSD: 1ST PMS FREE")</f>
        <v>DSD: 1ST PMS FREE</v>
      </c>
      <c r="L1389" s="72" t="str">
        <f>IFERROR(__xludf.DUMMYFUNCTION("""COMPUTED_VALUE"""),"DSD: 1ST PMS DONE")</f>
        <v>DSD: 1ST PMS DONE</v>
      </c>
      <c r="M1389" s="2"/>
      <c r="N1389" s="2" t="str">
        <f>IFERROR(__xludf.DUMMYFUNCTION("""COMPUTED_VALUE"""),"PARTS:
OIL FILTER
ENGINE OIL")</f>
        <v>PARTS:
OIL FILTER
ENGINE OIL</v>
      </c>
      <c r="O1389" s="2" t="str">
        <f>IFERROR(__xludf.DUMMYFUNCTION("""COMPUTED_VALUE"""),"NEED SERVICE REPORT")</f>
        <v>NEED SERVICE REPORT</v>
      </c>
      <c r="P1389" s="2"/>
      <c r="Q1389" s="2" t="str">
        <f>IFERROR(__xludf.DUMMYFUNCTION("""COMPUTED_VALUE"""),"FOR PRINT")</f>
        <v>FOR PRINT</v>
      </c>
      <c r="R1389" s="74">
        <f>IFERROR(__xludf.DUMMYFUNCTION("""COMPUTED_VALUE"""),46051.0)</f>
        <v>46051</v>
      </c>
      <c r="S1389" s="2" t="str">
        <f>IFERROR(__xludf.DUMMYFUNCTION("""COMPUTED_VALUE"""),"DSD/ACS/2 OJT/1 LAPC")</f>
        <v>DSD/ACS/2 OJT/1 LAPC</v>
      </c>
      <c r="T1389" s="73" t="str">
        <f>IFERROR(__xludf.DUMMYFUNCTION("""COMPUTED_VALUE""")," N/A ")</f>
        <v>N/A</v>
      </c>
      <c r="U1389" s="73" t="str">
        <f>IFERROR(__xludf.DUMMYFUNCTION("""COMPUTED_VALUE""")," NO CHARGE ")</f>
        <v>NO CHARGE</v>
      </c>
      <c r="V1389" s="2"/>
      <c r="W1389" s="2" t="str">
        <f>IFERROR(__xludf.DUMMYFUNCTION("""COMPUTED_VALUE"""),"N/A")</f>
        <v>N/A</v>
      </c>
      <c r="X1389" s="2" t="str">
        <f>IFERROR(__xludf.DUMMYFUNCTION("""COMPUTED_VALUE"""),"N/A ")</f>
        <v>N/A </v>
      </c>
      <c r="Y1389" s="2"/>
      <c r="Z1389" s="2"/>
      <c r="AA1389" s="2"/>
      <c r="AB1389" s="2"/>
      <c r="AC1389" s="2"/>
      <c r="AD1389" s="2"/>
      <c r="AE1389" s="2"/>
      <c r="AF1389" s="2"/>
      <c r="AG1389" s="2"/>
      <c r="AH1389" s="2"/>
      <c r="AI1389" s="2"/>
      <c r="AJ1389" s="2" t="str">
        <f>IFERROR(__xludf.DUMMYFUNCTION("""COMPUTED_VALUE"""),"Mahayag")</f>
        <v>Mahayag</v>
      </c>
      <c r="AK1389" s="2" t="str">
        <f>IFERROR(__xludf.DUMMYFUNCTION("""COMPUTED_VALUE"""),"San Miguel")</f>
        <v>San Miguel</v>
      </c>
      <c r="AL1389" s="2" t="str">
        <f>IFERROR(__xludf.DUMMYFUNCTION("""COMPUTED_VALUE"""),"Bohol")</f>
        <v>Bohol</v>
      </c>
      <c r="AM1389" s="2">
        <f>IFERROR(__xludf.DUMMYFUNCTION("""COMPUTED_VALUE"""),7.0)</f>
        <v>7</v>
      </c>
      <c r="AN1389" s="2" t="str">
        <f>IFERROR(__xludf.DUMMYFUNCTION("""COMPUTED_VALUE"""),"RCEF 25-03-05")</f>
        <v>RCEF 25-03-05</v>
      </c>
      <c r="AO1389" s="2">
        <f>IFERROR(__xludf.DUMMYFUNCTION("""COMPUTED_VALUE"""),7.0)</f>
        <v>7</v>
      </c>
      <c r="AP1389" s="2" t="str">
        <f>IFERROR(__xludf.DUMMYFUNCTION("""COMPUTED_VALUE"""),"FREE PMS")</f>
        <v>FREE PMS</v>
      </c>
      <c r="AQ1389" s="2"/>
      <c r="AR1389" s="2"/>
      <c r="AS1389" s="2"/>
      <c r="AT1389" s="2"/>
      <c r="AU1389" s="2"/>
      <c r="AV1389" s="2"/>
      <c r="AW1389" s="2"/>
      <c r="AX1389" s="2"/>
      <c r="AY1389" s="2"/>
      <c r="AZ1389" s="2"/>
      <c r="BA1389" s="2"/>
      <c r="BB1389" s="2"/>
    </row>
    <row r="1390">
      <c r="A1390" s="2">
        <f>IFERROR(__xludf.DUMMYFUNCTION("""COMPUTED_VALUE"""),1386.0)</f>
        <v>1386</v>
      </c>
      <c r="B1390" s="2" t="str">
        <f>IFERROR(__xludf.DUMMYFUNCTION("""COMPUTED_VALUE"""),"COMPLETED")</f>
        <v>COMPLETED</v>
      </c>
      <c r="C1390" s="74">
        <f>IFERROR(__xludf.DUMMYFUNCTION("""COMPUTED_VALUE"""),46051.0)</f>
        <v>46051</v>
      </c>
      <c r="D1390" s="71" t="str">
        <f>IFERROR(__xludf.DUMMYFUNCTION("""COMPUTED_VALUE"""),"San Isidro Multi-Purpose Cooperative")</f>
        <v>San Isidro Multi-Purpose Cooperative</v>
      </c>
      <c r="E1390" s="71" t="str">
        <f>IFERROR(__xludf.DUMMYFUNCTION("""COMPUTED_VALUE"""),"San Isidro, Pilar, BOHOL")</f>
        <v>San Isidro, Pilar, BOHOL</v>
      </c>
      <c r="F1390" s="2"/>
      <c r="G1390" s="2"/>
      <c r="H1390" s="2">
        <f>IFERROR(__xludf.DUMMYFUNCTION("""COMPUTED_VALUE"""),22.3)</f>
        <v>22.3</v>
      </c>
      <c r="I1390" s="72" t="str">
        <f>IFERROR(__xludf.DUMMYFUNCTION("""COMPUTED_VALUE"""),"PMS")</f>
        <v>PMS</v>
      </c>
      <c r="J1390" s="72" t="str">
        <f>IFERROR(__xludf.DUMMYFUNCTION("""COMPUTED_VALUE"""),"PMS")</f>
        <v>PMS</v>
      </c>
      <c r="K1390" s="72" t="str">
        <f>IFERROR(__xludf.DUMMYFUNCTION("""COMPUTED_VALUE"""),"DSD: 1ST PMS FREE")</f>
        <v>DSD: 1ST PMS FREE</v>
      </c>
      <c r="L1390" s="72" t="str">
        <f>IFERROR(__xludf.DUMMYFUNCTION("""COMPUTED_VALUE"""),"DSD: 1ST PMS DONE")</f>
        <v>DSD: 1ST PMS DONE</v>
      </c>
      <c r="M1390" s="2"/>
      <c r="N1390" s="2" t="str">
        <f>IFERROR(__xludf.DUMMYFUNCTION("""COMPUTED_VALUE"""),"PARTS:
OIL FILTER
ENGINE OIL")</f>
        <v>PARTS:
OIL FILTER
ENGINE OIL</v>
      </c>
      <c r="O1390" s="2" t="str">
        <f>IFERROR(__xludf.DUMMYFUNCTION("""COMPUTED_VALUE"""),"NEED SERVICE REPORT")</f>
        <v>NEED SERVICE REPORT</v>
      </c>
      <c r="P1390" s="2"/>
      <c r="Q1390" s="2" t="str">
        <f>IFERROR(__xludf.DUMMYFUNCTION("""COMPUTED_VALUE"""),"FOR PRINT")</f>
        <v>FOR PRINT</v>
      </c>
      <c r="R1390" s="74">
        <f>IFERROR(__xludf.DUMMYFUNCTION("""COMPUTED_VALUE"""),46051.0)</f>
        <v>46051</v>
      </c>
      <c r="S1390" s="2" t="str">
        <f>IFERROR(__xludf.DUMMYFUNCTION("""COMPUTED_VALUE"""),"DSD/ACS/2 OJT/1 LAPC")</f>
        <v>DSD/ACS/2 OJT/1 LAPC</v>
      </c>
      <c r="T1390" s="73" t="str">
        <f>IFERROR(__xludf.DUMMYFUNCTION("""COMPUTED_VALUE""")," N/A ")</f>
        <v>N/A</v>
      </c>
      <c r="U1390" s="73" t="str">
        <f>IFERROR(__xludf.DUMMYFUNCTION("""COMPUTED_VALUE""")," NO CHARGE ")</f>
        <v>NO CHARGE</v>
      </c>
      <c r="V1390" s="2"/>
      <c r="W1390" s="2" t="str">
        <f>IFERROR(__xludf.DUMMYFUNCTION("""COMPUTED_VALUE"""),"N/A")</f>
        <v>N/A</v>
      </c>
      <c r="X1390" s="2" t="str">
        <f>IFERROR(__xludf.DUMMYFUNCTION("""COMPUTED_VALUE"""),"N/A ")</f>
        <v>N/A </v>
      </c>
      <c r="Y1390" s="2"/>
      <c r="Z1390" s="2"/>
      <c r="AA1390" s="2"/>
      <c r="AB1390" s="2"/>
      <c r="AC1390" s="2"/>
      <c r="AD1390" s="2"/>
      <c r="AE1390" s="2"/>
      <c r="AF1390" s="2"/>
      <c r="AG1390" s="2"/>
      <c r="AH1390" s="2"/>
      <c r="AI1390" s="2"/>
      <c r="AJ1390" s="2" t="str">
        <f>IFERROR(__xludf.DUMMYFUNCTION("""COMPUTED_VALUE"""),"San Isidro")</f>
        <v>San Isidro</v>
      </c>
      <c r="AK1390" s="2" t="str">
        <f>IFERROR(__xludf.DUMMYFUNCTION("""COMPUTED_VALUE"""),"Pilar")</f>
        <v>Pilar</v>
      </c>
      <c r="AL1390" s="2" t="str">
        <f>IFERROR(__xludf.DUMMYFUNCTION("""COMPUTED_VALUE"""),"Bohol")</f>
        <v>Bohol</v>
      </c>
      <c r="AM1390" s="2">
        <f>IFERROR(__xludf.DUMMYFUNCTION("""COMPUTED_VALUE"""),7.0)</f>
        <v>7</v>
      </c>
      <c r="AN1390" s="2" t="str">
        <f>IFERROR(__xludf.DUMMYFUNCTION("""COMPUTED_VALUE"""),"RCEF 25-03-05")</f>
        <v>RCEF 25-03-05</v>
      </c>
      <c r="AO1390" s="2">
        <f>IFERROR(__xludf.DUMMYFUNCTION("""COMPUTED_VALUE"""),7.0)</f>
        <v>7</v>
      </c>
      <c r="AP1390" s="2" t="str">
        <f>IFERROR(__xludf.DUMMYFUNCTION("""COMPUTED_VALUE"""),"FREE PMS")</f>
        <v>FREE PMS</v>
      </c>
      <c r="AQ1390" s="2"/>
      <c r="AR1390" s="2"/>
      <c r="AS1390" s="2"/>
      <c r="AT1390" s="2"/>
      <c r="AU1390" s="2"/>
      <c r="AV1390" s="2"/>
      <c r="AW1390" s="2"/>
      <c r="AX1390" s="2"/>
      <c r="AY1390" s="2"/>
      <c r="AZ1390" s="2"/>
      <c r="BA1390" s="2"/>
      <c r="BB1390" s="2"/>
    </row>
    <row r="1391">
      <c r="A1391" s="2">
        <f>IFERROR(__xludf.DUMMYFUNCTION("""COMPUTED_VALUE"""),1387.0)</f>
        <v>1387</v>
      </c>
      <c r="B1391" s="2" t="str">
        <f>IFERROR(__xludf.DUMMYFUNCTION("""COMPUTED_VALUE"""),"COMPLETED")</f>
        <v>COMPLETED</v>
      </c>
      <c r="C1391" s="74">
        <f>IFERROR(__xludf.DUMMYFUNCTION("""COMPUTED_VALUE"""),46051.0)</f>
        <v>46051</v>
      </c>
      <c r="D1391" s="71" t="str">
        <f>IFERROR(__xludf.DUMMYFUNCTION("""COMPUTED_VALUE"""),"ORYZA SATIVA LINN PILAR IRRIGATORS' ASSOCIATION, INC.")</f>
        <v>ORYZA SATIVA LINN PILAR IRRIGATORS' ASSOCIATION, INC.</v>
      </c>
      <c r="E1391" s="71" t="str">
        <f>IFERROR(__xludf.DUMMYFUNCTION("""COMPUTED_VALUE"""),"San Isidro, Pilar, BOHOL")</f>
        <v>San Isidro, Pilar, BOHOL</v>
      </c>
      <c r="F1391" s="2"/>
      <c r="G1391" s="2"/>
      <c r="H1391" s="2">
        <f>IFERROR(__xludf.DUMMYFUNCTION("""COMPUTED_VALUE"""),23.4)</f>
        <v>23.4</v>
      </c>
      <c r="I1391" s="72" t="str">
        <f>IFERROR(__xludf.DUMMYFUNCTION("""COMPUTED_VALUE"""),"PMS")</f>
        <v>PMS</v>
      </c>
      <c r="J1391" s="72" t="str">
        <f>IFERROR(__xludf.DUMMYFUNCTION("""COMPUTED_VALUE"""),"PMS")</f>
        <v>PMS</v>
      </c>
      <c r="K1391" s="72" t="str">
        <f>IFERROR(__xludf.DUMMYFUNCTION("""COMPUTED_VALUE"""),"DSD: 1ST PMS FREE")</f>
        <v>DSD: 1ST PMS FREE</v>
      </c>
      <c r="L1391" s="72" t="str">
        <f>IFERROR(__xludf.DUMMYFUNCTION("""COMPUTED_VALUE"""),"DSD: 1ST PMS DONE")</f>
        <v>DSD: 1ST PMS DONE</v>
      </c>
      <c r="M1391" s="2"/>
      <c r="N1391" s="2" t="str">
        <f>IFERROR(__xludf.DUMMYFUNCTION("""COMPUTED_VALUE"""),"PARTS:
OIL FILTER
ENGINE OIL")</f>
        <v>PARTS:
OIL FILTER
ENGINE OIL</v>
      </c>
      <c r="O1391" s="2" t="str">
        <f>IFERROR(__xludf.DUMMYFUNCTION("""COMPUTED_VALUE"""),"NEED SERVICE REPORT")</f>
        <v>NEED SERVICE REPORT</v>
      </c>
      <c r="P1391" s="2"/>
      <c r="Q1391" s="2" t="str">
        <f>IFERROR(__xludf.DUMMYFUNCTION("""COMPUTED_VALUE"""),"FOR PRINT")</f>
        <v>FOR PRINT</v>
      </c>
      <c r="R1391" s="74">
        <f>IFERROR(__xludf.DUMMYFUNCTION("""COMPUTED_VALUE"""),46051.0)</f>
        <v>46051</v>
      </c>
      <c r="S1391" s="2" t="str">
        <f>IFERROR(__xludf.DUMMYFUNCTION("""COMPUTED_VALUE"""),"DSD/ACS/2 OJT/1 LAPC")</f>
        <v>DSD/ACS/2 OJT/1 LAPC</v>
      </c>
      <c r="T1391" s="73" t="str">
        <f>IFERROR(__xludf.DUMMYFUNCTION("""COMPUTED_VALUE""")," N/A ")</f>
        <v>N/A</v>
      </c>
      <c r="U1391" s="73" t="str">
        <f>IFERROR(__xludf.DUMMYFUNCTION("""COMPUTED_VALUE""")," NO CHARGE ")</f>
        <v>NO CHARGE</v>
      </c>
      <c r="V1391" s="2"/>
      <c r="W1391" s="2" t="str">
        <f>IFERROR(__xludf.DUMMYFUNCTION("""COMPUTED_VALUE"""),"N/A")</f>
        <v>N/A</v>
      </c>
      <c r="X1391" s="2" t="str">
        <f>IFERROR(__xludf.DUMMYFUNCTION("""COMPUTED_VALUE"""),"N/A ")</f>
        <v>N/A </v>
      </c>
      <c r="Y1391" s="2"/>
      <c r="Z1391" s="2"/>
      <c r="AA1391" s="2"/>
      <c r="AB1391" s="2"/>
      <c r="AC1391" s="2"/>
      <c r="AD1391" s="2"/>
      <c r="AE1391" s="2"/>
      <c r="AF1391" s="2"/>
      <c r="AG1391" s="2"/>
      <c r="AH1391" s="2"/>
      <c r="AI1391" s="2"/>
      <c r="AJ1391" s="2" t="str">
        <f>IFERROR(__xludf.DUMMYFUNCTION("""COMPUTED_VALUE"""),"San Isidro")</f>
        <v>San Isidro</v>
      </c>
      <c r="AK1391" s="2" t="str">
        <f>IFERROR(__xludf.DUMMYFUNCTION("""COMPUTED_VALUE"""),"Pilar")</f>
        <v>Pilar</v>
      </c>
      <c r="AL1391" s="2" t="str">
        <f>IFERROR(__xludf.DUMMYFUNCTION("""COMPUTED_VALUE"""),"Bohol")</f>
        <v>Bohol</v>
      </c>
      <c r="AM1391" s="2">
        <f>IFERROR(__xludf.DUMMYFUNCTION("""COMPUTED_VALUE"""),7.0)</f>
        <v>7</v>
      </c>
      <c r="AN1391" s="2" t="str">
        <f>IFERROR(__xludf.DUMMYFUNCTION("""COMPUTED_VALUE"""),"RCEF 25-03-05")</f>
        <v>RCEF 25-03-05</v>
      </c>
      <c r="AO1391" s="2">
        <f>IFERROR(__xludf.DUMMYFUNCTION("""COMPUTED_VALUE"""),7.0)</f>
        <v>7</v>
      </c>
      <c r="AP1391" s="2" t="str">
        <f>IFERROR(__xludf.DUMMYFUNCTION("""COMPUTED_VALUE"""),"FREE PMS")</f>
        <v>FREE PMS</v>
      </c>
      <c r="AQ1391" s="2"/>
      <c r="AR1391" s="2"/>
      <c r="AS1391" s="2"/>
      <c r="AT1391" s="2"/>
      <c r="AU1391" s="2"/>
      <c r="AV1391" s="2"/>
      <c r="AW1391" s="2"/>
      <c r="AX1391" s="2"/>
      <c r="AY1391" s="2"/>
      <c r="AZ1391" s="2"/>
      <c r="BA1391" s="2"/>
      <c r="BB1391" s="2"/>
    </row>
    <row r="1392">
      <c r="A1392" s="2">
        <f>IFERROR(__xludf.DUMMYFUNCTION("""COMPUTED_VALUE"""),1388.0)</f>
        <v>1388</v>
      </c>
      <c r="B1392" s="2" t="str">
        <f>IFERROR(__xludf.DUMMYFUNCTION("""COMPUTED_VALUE"""),"COMPLETED")</f>
        <v>COMPLETED</v>
      </c>
      <c r="C1392" s="74">
        <f>IFERROR(__xludf.DUMMYFUNCTION("""COMPUTED_VALUE"""),46051.0)</f>
        <v>46051</v>
      </c>
      <c r="D1392" s="71" t="str">
        <f>IFERROR(__xludf.DUMMYFUNCTION("""COMPUTED_VALUE"""),"MANDAWA-PITAO IRRIGATORS' ASSOCIATION INC.")</f>
        <v>MANDAWA-PITAO IRRIGATORS' ASSOCIATION INC.</v>
      </c>
      <c r="E1392" s="71" t="str">
        <f>IFERROR(__xludf.DUMMYFUNCTION("""COMPUTED_VALUE"""),"San Isidro, Pilar, BOHOL")</f>
        <v>San Isidro, Pilar, BOHOL</v>
      </c>
      <c r="F1392" s="2"/>
      <c r="G1392" s="2"/>
      <c r="H1392" s="2">
        <f>IFERROR(__xludf.DUMMYFUNCTION("""COMPUTED_VALUE"""),14.2)</f>
        <v>14.2</v>
      </c>
      <c r="I1392" s="72" t="str">
        <f>IFERROR(__xludf.DUMMYFUNCTION("""COMPUTED_VALUE"""),"PMS")</f>
        <v>PMS</v>
      </c>
      <c r="J1392" s="72" t="str">
        <f>IFERROR(__xludf.DUMMYFUNCTION("""COMPUTED_VALUE"""),"PMS")</f>
        <v>PMS</v>
      </c>
      <c r="K1392" s="72" t="str">
        <f>IFERROR(__xludf.DUMMYFUNCTION("""COMPUTED_VALUE"""),"DSD: 1ST PMS FREE")</f>
        <v>DSD: 1ST PMS FREE</v>
      </c>
      <c r="L1392" s="72" t="str">
        <f>IFERROR(__xludf.DUMMYFUNCTION("""COMPUTED_VALUE"""),"DSD: 1ST PMS DONE")</f>
        <v>DSD: 1ST PMS DONE</v>
      </c>
      <c r="M1392" s="2"/>
      <c r="N1392" s="2" t="str">
        <f>IFERROR(__xludf.DUMMYFUNCTION("""COMPUTED_VALUE"""),"PARTS:
OIL FILTER
ENGINE OIL")</f>
        <v>PARTS:
OIL FILTER
ENGINE OIL</v>
      </c>
      <c r="O1392" s="2" t="str">
        <f>IFERROR(__xludf.DUMMYFUNCTION("""COMPUTED_VALUE"""),"NEED SERVICE REPORT")</f>
        <v>NEED SERVICE REPORT</v>
      </c>
      <c r="P1392" s="2"/>
      <c r="Q1392" s="2" t="str">
        <f>IFERROR(__xludf.DUMMYFUNCTION("""COMPUTED_VALUE"""),"FOR PRINT")</f>
        <v>FOR PRINT</v>
      </c>
      <c r="R1392" s="74">
        <f>IFERROR(__xludf.DUMMYFUNCTION("""COMPUTED_VALUE"""),46051.0)</f>
        <v>46051</v>
      </c>
      <c r="S1392" s="2" t="str">
        <f>IFERROR(__xludf.DUMMYFUNCTION("""COMPUTED_VALUE"""),"DSD/ACS/2 OJT/1 LAPC")</f>
        <v>DSD/ACS/2 OJT/1 LAPC</v>
      </c>
      <c r="T1392" s="73" t="str">
        <f>IFERROR(__xludf.DUMMYFUNCTION("""COMPUTED_VALUE""")," N/A ")</f>
        <v>N/A</v>
      </c>
      <c r="U1392" s="73" t="str">
        <f>IFERROR(__xludf.DUMMYFUNCTION("""COMPUTED_VALUE""")," NO CHARGE ")</f>
        <v>NO CHARGE</v>
      </c>
      <c r="V1392" s="2"/>
      <c r="W1392" s="2" t="str">
        <f>IFERROR(__xludf.DUMMYFUNCTION("""COMPUTED_VALUE"""),"N/A")</f>
        <v>N/A</v>
      </c>
      <c r="X1392" s="2" t="str">
        <f>IFERROR(__xludf.DUMMYFUNCTION("""COMPUTED_VALUE"""),"N/A ")</f>
        <v>N/A </v>
      </c>
      <c r="Y1392" s="2"/>
      <c r="Z1392" s="2"/>
      <c r="AA1392" s="2"/>
      <c r="AB1392" s="2"/>
      <c r="AC1392" s="2"/>
      <c r="AD1392" s="2"/>
      <c r="AE1392" s="2"/>
      <c r="AF1392" s="2"/>
      <c r="AG1392" s="2"/>
      <c r="AH1392" s="2"/>
      <c r="AI1392" s="2"/>
      <c r="AJ1392" s="2" t="str">
        <f>IFERROR(__xludf.DUMMYFUNCTION("""COMPUTED_VALUE"""),"San Isidro")</f>
        <v>San Isidro</v>
      </c>
      <c r="AK1392" s="2" t="str">
        <f>IFERROR(__xludf.DUMMYFUNCTION("""COMPUTED_VALUE"""),"Pilar")</f>
        <v>Pilar</v>
      </c>
      <c r="AL1392" s="2" t="str">
        <f>IFERROR(__xludf.DUMMYFUNCTION("""COMPUTED_VALUE"""),"Bohol")</f>
        <v>Bohol</v>
      </c>
      <c r="AM1392" s="2">
        <f>IFERROR(__xludf.DUMMYFUNCTION("""COMPUTED_VALUE"""),7.0)</f>
        <v>7</v>
      </c>
      <c r="AN1392" s="2" t="str">
        <f>IFERROR(__xludf.DUMMYFUNCTION("""COMPUTED_VALUE"""),"RCEF 25-03-05")</f>
        <v>RCEF 25-03-05</v>
      </c>
      <c r="AO1392" s="2">
        <f>IFERROR(__xludf.DUMMYFUNCTION("""COMPUTED_VALUE"""),7.0)</f>
        <v>7</v>
      </c>
      <c r="AP1392" s="2" t="str">
        <f>IFERROR(__xludf.DUMMYFUNCTION("""COMPUTED_VALUE"""),"FREE PMS")</f>
        <v>FREE PMS</v>
      </c>
      <c r="AQ1392" s="2"/>
      <c r="AR1392" s="2"/>
      <c r="AS1392" s="2"/>
      <c r="AT1392" s="2"/>
      <c r="AU1392" s="2"/>
      <c r="AV1392" s="2"/>
      <c r="AW1392" s="2"/>
      <c r="AX1392" s="2"/>
      <c r="AY1392" s="2"/>
      <c r="AZ1392" s="2"/>
      <c r="BA1392" s="2"/>
      <c r="BB1392" s="2"/>
    </row>
    <row r="1393">
      <c r="A1393" s="2">
        <f>IFERROR(__xludf.DUMMYFUNCTION("""COMPUTED_VALUE"""),1389.0)</f>
        <v>1389</v>
      </c>
      <c r="B1393" s="2" t="str">
        <f>IFERROR(__xludf.DUMMYFUNCTION("""COMPUTED_VALUE"""),"COMPLETED")</f>
        <v>COMPLETED</v>
      </c>
      <c r="C1393" s="74">
        <f>IFERROR(__xludf.DUMMYFUNCTION("""COMPUTED_VALUE"""),46051.0)</f>
        <v>46051</v>
      </c>
      <c r="D1393" s="71" t="str">
        <f>IFERROR(__xludf.DUMMYFUNCTION("""COMPUTED_VALUE"""),"UNITED PROHANCE IRRIGATORS' ASSOCIATION, INC.")</f>
        <v>UNITED PROHANCE IRRIGATORS' ASSOCIATION, INC.</v>
      </c>
      <c r="E1393" s="71" t="str">
        <f>IFERROR(__xludf.DUMMYFUNCTION("""COMPUTED_VALUE"""),"Estaca, Pilar, BOHOL")</f>
        <v>Estaca, Pilar, BOHOL</v>
      </c>
      <c r="F1393" s="2"/>
      <c r="G1393" s="2"/>
      <c r="H1393" s="2">
        <f>IFERROR(__xludf.DUMMYFUNCTION("""COMPUTED_VALUE"""),3.9)</f>
        <v>3.9</v>
      </c>
      <c r="I1393" s="72" t="str">
        <f>IFERROR(__xludf.DUMMYFUNCTION("""COMPUTED_VALUE"""),"PMS")</f>
        <v>PMS</v>
      </c>
      <c r="J1393" s="72" t="str">
        <f>IFERROR(__xludf.DUMMYFUNCTION("""COMPUTED_VALUE"""),"PMS")</f>
        <v>PMS</v>
      </c>
      <c r="K1393" s="72" t="str">
        <f>IFERROR(__xludf.DUMMYFUNCTION("""COMPUTED_VALUE"""),"DSD: 1ST PMS FREE")</f>
        <v>DSD: 1ST PMS FREE</v>
      </c>
      <c r="L1393" s="72" t="str">
        <f>IFERROR(__xludf.DUMMYFUNCTION("""COMPUTED_VALUE"""),"DSD: 1ST PMS DONE")</f>
        <v>DSD: 1ST PMS DONE</v>
      </c>
      <c r="M1393" s="2"/>
      <c r="N1393" s="2" t="str">
        <f>IFERROR(__xludf.DUMMYFUNCTION("""COMPUTED_VALUE"""),"PARTS:
OIL FILTER
ENGINE OIL")</f>
        <v>PARTS:
OIL FILTER
ENGINE OIL</v>
      </c>
      <c r="O1393" s="2" t="str">
        <f>IFERROR(__xludf.DUMMYFUNCTION("""COMPUTED_VALUE"""),"NEED SERVICE REPORT")</f>
        <v>NEED SERVICE REPORT</v>
      </c>
      <c r="P1393" s="2"/>
      <c r="Q1393" s="2" t="str">
        <f>IFERROR(__xludf.DUMMYFUNCTION("""COMPUTED_VALUE"""),"FOR PRINT")</f>
        <v>FOR PRINT</v>
      </c>
      <c r="R1393" s="74">
        <f>IFERROR(__xludf.DUMMYFUNCTION("""COMPUTED_VALUE"""),46051.0)</f>
        <v>46051</v>
      </c>
      <c r="S1393" s="2" t="str">
        <f>IFERROR(__xludf.DUMMYFUNCTION("""COMPUTED_VALUE"""),"DSD/ACS/2 OJT/1 LAPC")</f>
        <v>DSD/ACS/2 OJT/1 LAPC</v>
      </c>
      <c r="T1393" s="73" t="str">
        <f>IFERROR(__xludf.DUMMYFUNCTION("""COMPUTED_VALUE""")," N/A ")</f>
        <v>N/A</v>
      </c>
      <c r="U1393" s="73" t="str">
        <f>IFERROR(__xludf.DUMMYFUNCTION("""COMPUTED_VALUE""")," NO CHARGE ")</f>
        <v>NO CHARGE</v>
      </c>
      <c r="V1393" s="2"/>
      <c r="W1393" s="2" t="str">
        <f>IFERROR(__xludf.DUMMYFUNCTION("""COMPUTED_VALUE"""),"N/A")</f>
        <v>N/A</v>
      </c>
      <c r="X1393" s="2" t="str">
        <f>IFERROR(__xludf.DUMMYFUNCTION("""COMPUTED_VALUE"""),"N/A ")</f>
        <v>N/A </v>
      </c>
      <c r="Y1393" s="2"/>
      <c r="Z1393" s="2"/>
      <c r="AA1393" s="2"/>
      <c r="AB1393" s="2"/>
      <c r="AC1393" s="2"/>
      <c r="AD1393" s="2"/>
      <c r="AE1393" s="2"/>
      <c r="AF1393" s="2"/>
      <c r="AG1393" s="2"/>
      <c r="AH1393" s="2"/>
      <c r="AI1393" s="2"/>
      <c r="AJ1393" s="2" t="str">
        <f>IFERROR(__xludf.DUMMYFUNCTION("""COMPUTED_VALUE"""),"Estaca")</f>
        <v>Estaca</v>
      </c>
      <c r="AK1393" s="2" t="str">
        <f>IFERROR(__xludf.DUMMYFUNCTION("""COMPUTED_VALUE"""),"Pilar")</f>
        <v>Pilar</v>
      </c>
      <c r="AL1393" s="2" t="str">
        <f>IFERROR(__xludf.DUMMYFUNCTION("""COMPUTED_VALUE"""),"Bohol")</f>
        <v>Bohol</v>
      </c>
      <c r="AM1393" s="2">
        <f>IFERROR(__xludf.DUMMYFUNCTION("""COMPUTED_VALUE"""),7.0)</f>
        <v>7</v>
      </c>
      <c r="AN1393" s="2" t="str">
        <f>IFERROR(__xludf.DUMMYFUNCTION("""COMPUTED_VALUE"""),"RCEF 25-03-05")</f>
        <v>RCEF 25-03-05</v>
      </c>
      <c r="AO1393" s="2">
        <f>IFERROR(__xludf.DUMMYFUNCTION("""COMPUTED_VALUE"""),7.0)</f>
        <v>7</v>
      </c>
      <c r="AP1393" s="2" t="str">
        <f>IFERROR(__xludf.DUMMYFUNCTION("""COMPUTED_VALUE"""),"FREE PMS")</f>
        <v>FREE PMS</v>
      </c>
      <c r="AQ1393" s="2"/>
      <c r="AR1393" s="2"/>
      <c r="AS1393" s="2"/>
      <c r="AT1393" s="2"/>
      <c r="AU1393" s="2"/>
      <c r="AV1393" s="2"/>
      <c r="AW1393" s="2"/>
      <c r="AX1393" s="2"/>
      <c r="AY1393" s="2"/>
      <c r="AZ1393" s="2"/>
      <c r="BA1393" s="2"/>
      <c r="BB1393" s="2"/>
    </row>
    <row r="1394">
      <c r="A1394" s="2">
        <f>IFERROR(__xludf.DUMMYFUNCTION("""COMPUTED_VALUE"""),1390.0)</f>
        <v>1390</v>
      </c>
      <c r="B1394" s="2" t="str">
        <f>IFERROR(__xludf.DUMMYFUNCTION("""COMPUTED_VALUE"""),"COMPLETED")</f>
        <v>COMPLETED</v>
      </c>
      <c r="C1394" s="74">
        <f>IFERROR(__xludf.DUMMYFUNCTION("""COMPUTED_VALUE"""),46051.0)</f>
        <v>46051</v>
      </c>
      <c r="D1394" s="71" t="str">
        <f>IFERROR(__xludf.DUMMYFUNCTION("""COMPUTED_VALUE"""),"TALAKAIGAN-APOCAPOC IRRIGATORS' ASSOCIATION, INC.")</f>
        <v>TALAKAIGAN-APOCAPOC IRRIGATORS' ASSOCIATION, INC.</v>
      </c>
      <c r="E1394" s="71" t="str">
        <f>IFERROR(__xludf.DUMMYFUNCTION("""COMPUTED_VALUE"""),"Apoc-apoc, Aborlan, PALAWAN")</f>
        <v>Apoc-apoc, Aborlan, PALAWAN</v>
      </c>
      <c r="F1394" s="2"/>
      <c r="G1394" s="2"/>
      <c r="H1394" s="2">
        <f>IFERROR(__xludf.DUMMYFUNCTION("""COMPUTED_VALUE"""),70.9)</f>
        <v>70.9</v>
      </c>
      <c r="I1394" s="72" t="str">
        <f>IFERROR(__xludf.DUMMYFUNCTION("""COMPUTED_VALUE"""),"PMS")</f>
        <v>PMS</v>
      </c>
      <c r="J1394" s="72" t="str">
        <f>IFERROR(__xludf.DUMMYFUNCTION("""COMPUTED_VALUE"""),"PMS")</f>
        <v>PMS</v>
      </c>
      <c r="K1394" s="72" t="str">
        <f>IFERROR(__xludf.DUMMYFUNCTION("""COMPUTED_VALUE"""),"RCG: 1ST PMS FREE")</f>
        <v>RCG: 1ST PMS FREE</v>
      </c>
      <c r="L1394" s="72" t="str">
        <f>IFERROR(__xludf.DUMMYFUNCTION("""COMPUTED_VALUE"""),"RCG: 1ST PSM DONE")</f>
        <v>RCG: 1ST PSM DONE</v>
      </c>
      <c r="M1394" s="2"/>
      <c r="N1394" s="2" t="str">
        <f>IFERROR(__xludf.DUMMYFUNCTION("""COMPUTED_VALUE"""),"PARTS:
ENGINE OIL
OIL FILTER")</f>
        <v>PARTS:
ENGINE OIL
OIL FILTER</v>
      </c>
      <c r="O1394" s="2">
        <f>IFERROR(__xludf.DUMMYFUNCTION("""COMPUTED_VALUE"""),709.0)</f>
        <v>709</v>
      </c>
      <c r="P1394" s="2"/>
      <c r="Q1394" s="2" t="str">
        <f>IFERROR(__xludf.DUMMYFUNCTION("""COMPUTED_VALUE"""),"FOR PRINT")</f>
        <v>FOR PRINT</v>
      </c>
      <c r="R1394" s="74">
        <f>IFERROR(__xludf.DUMMYFUNCTION("""COMPUTED_VALUE"""),46051.0)</f>
        <v>46051</v>
      </c>
      <c r="S1394" s="2" t="str">
        <f>IFERROR(__xludf.DUMMYFUNCTION("""COMPUTED_VALUE"""),"RCG/JDP/OJT")</f>
        <v>RCG/JDP/OJT</v>
      </c>
      <c r="T1394" s="73" t="str">
        <f>IFERROR(__xludf.DUMMYFUNCTION("""COMPUTED_VALUE""")," N/A ")</f>
        <v>N/A</v>
      </c>
      <c r="U1394" s="73" t="str">
        <f>IFERROR(__xludf.DUMMYFUNCTION("""COMPUTED_VALUE""")," NO CHARGE ")</f>
        <v>NO CHARGE</v>
      </c>
      <c r="V1394" s="2" t="str">
        <f>IFERROR(__xludf.DUMMYFUNCTION("""COMPUTED_VALUE"""),"NO DR")</f>
        <v>NO DR</v>
      </c>
      <c r="W1394" s="2" t="str">
        <f>IFERROR(__xludf.DUMMYFUNCTION("""COMPUTED_VALUE"""),"N/A")</f>
        <v>N/A</v>
      </c>
      <c r="X1394" s="2" t="str">
        <f>IFERROR(__xludf.DUMMYFUNCTION("""COMPUTED_VALUE"""),"N/A")</f>
        <v>N/A</v>
      </c>
      <c r="Y1394" s="2"/>
      <c r="Z1394" s="2"/>
      <c r="AA1394" s="2"/>
      <c r="AB1394" s="2"/>
      <c r="AC1394" s="2"/>
      <c r="AD1394" s="2"/>
      <c r="AE1394" s="2"/>
      <c r="AF1394" s="2"/>
      <c r="AG1394" s="2"/>
      <c r="AH1394" s="2"/>
      <c r="AI1394" s="2"/>
      <c r="AJ1394" s="2" t="str">
        <f>IFERROR(__xludf.DUMMYFUNCTION("""COMPUTED_VALUE"""),"Apoc-Apoc")</f>
        <v>Apoc-Apoc</v>
      </c>
      <c r="AK1394" s="2" t="str">
        <f>IFERROR(__xludf.DUMMYFUNCTION("""COMPUTED_VALUE"""),"Aborlan")</f>
        <v>Aborlan</v>
      </c>
      <c r="AL1394" s="2" t="str">
        <f>IFERROR(__xludf.DUMMYFUNCTION("""COMPUTED_VALUE"""),"Palawan")</f>
        <v>Palawan</v>
      </c>
      <c r="AM1394" s="2" t="str">
        <f>IFERROR(__xludf.DUMMYFUNCTION("""COMPUTED_VALUE"""),"4B")</f>
        <v>4B</v>
      </c>
      <c r="AN1394" s="2" t="str">
        <f>IFERROR(__xludf.DUMMYFUNCTION("""COMPUTED_VALUE"""),"RCEF 25-03-05")</f>
        <v>RCEF 25-03-05</v>
      </c>
      <c r="AO1394" s="2">
        <f>IFERROR(__xludf.DUMMYFUNCTION("""COMPUTED_VALUE"""),6.0)</f>
        <v>6</v>
      </c>
      <c r="AP1394" s="2" t="str">
        <f>IFERROR(__xludf.DUMMYFUNCTION("""COMPUTED_VALUE"""),"FREE PMS")</f>
        <v>FREE PMS</v>
      </c>
      <c r="AQ1394" s="2"/>
      <c r="AR1394" s="2"/>
      <c r="AS1394" s="2"/>
      <c r="AT1394" s="2"/>
      <c r="AU1394" s="2"/>
      <c r="AV1394" s="2"/>
      <c r="AW1394" s="2"/>
      <c r="AX1394" s="2"/>
      <c r="AY1394" s="2"/>
      <c r="AZ1394" s="2"/>
      <c r="BA1394" s="2"/>
      <c r="BB1394" s="2"/>
    </row>
    <row r="1395">
      <c r="A1395" s="2">
        <f>IFERROR(__xludf.DUMMYFUNCTION("""COMPUTED_VALUE"""),1391.0)</f>
        <v>1391</v>
      </c>
      <c r="B1395" s="2" t="str">
        <f>IFERROR(__xludf.DUMMYFUNCTION("""COMPUTED_VALUE"""),"COMPLETED")</f>
        <v>COMPLETED</v>
      </c>
      <c r="C1395" s="74">
        <f>IFERROR(__xludf.DUMMYFUNCTION("""COMPUTED_VALUE"""),46051.0)</f>
        <v>46051</v>
      </c>
      <c r="D1395" s="71" t="str">
        <f>IFERROR(__xludf.DUMMYFUNCTION("""COMPUTED_VALUE"""),"Municipal Local Government Unit of Donsol")</f>
        <v>Municipal Local Government Unit of Donsol</v>
      </c>
      <c r="E1395" s="71" t="str">
        <f>IFERROR(__xludf.DUMMYFUNCTION("""COMPUTED_VALUE"""),"Awai, Donsol, SORSOGON")</f>
        <v>Awai, Donsol, SORSOGON</v>
      </c>
      <c r="F1395" s="2" t="str">
        <f>IFERROR(__xludf.DUMMYFUNCTION("""COMPUTED_VALUE"""),"Hon. TEODORO B. DE GUZMAN")</f>
        <v>Hon. TEODORO B. DE GUZMAN</v>
      </c>
      <c r="G1395" s="2" t="str">
        <f>IFERROR(__xludf.DUMMYFUNCTION("""COMPUTED_VALUE"""),"0968 414 6735")</f>
        <v>0968 414 6735</v>
      </c>
      <c r="H1395" s="2"/>
      <c r="I1395" s="72" t="str">
        <f>IFERROR(__xludf.DUMMYFUNCTION("""COMPUTED_VALUE"""),"PMS")</f>
        <v>PMS</v>
      </c>
      <c r="J1395" s="72" t="str">
        <f>IFERROR(__xludf.DUMMYFUNCTION("""COMPUTED_VALUE"""),"PMS")</f>
        <v>PMS</v>
      </c>
      <c r="K1395" s="72" t="str">
        <f>IFERROR(__xludf.DUMMYFUNCTION("""COMPUTED_VALUE"""),"FPJ: 1ST PSM FREE")</f>
        <v>FPJ: 1ST PSM FREE</v>
      </c>
      <c r="L1395" s="72" t="str">
        <f>IFERROR(__xludf.DUMMYFUNCTION("""COMPUTED_VALUE"""),"FPJ: 1ST PMS DONE")</f>
        <v>FPJ: 1ST PMS DONE</v>
      </c>
      <c r="M1395" s="2"/>
      <c r="N1395" s="2" t="str">
        <f>IFERROR(__xludf.DUMMYFUNCTION("""COMPUTED_VALUE"""),"PARTS:
ENGINE OIL
OIL FILTER")</f>
        <v>PARTS:
ENGINE OIL
OIL FILTER</v>
      </c>
      <c r="O1395" s="2">
        <f>IFERROR(__xludf.DUMMYFUNCTION("""COMPUTED_VALUE"""),569.0)</f>
        <v>569</v>
      </c>
      <c r="P1395" s="2"/>
      <c r="Q1395" s="2" t="str">
        <f>IFERROR(__xludf.DUMMYFUNCTION("""COMPUTED_VALUE"""),"FOR PRINT")</f>
        <v>FOR PRINT</v>
      </c>
      <c r="R1395" s="74">
        <f>IFERROR(__xludf.DUMMYFUNCTION("""COMPUTED_VALUE"""),46078.0)</f>
        <v>46078</v>
      </c>
      <c r="S1395" s="2" t="str">
        <f>IFERROR(__xludf.DUMMYFUNCTION("""COMPUTED_VALUE"""),"FPJ/JAH")</f>
        <v>FPJ/JAH</v>
      </c>
      <c r="T1395" s="73" t="str">
        <f>IFERROR(__xludf.DUMMYFUNCTION("""COMPUTED_VALUE""")," N/A ")</f>
        <v>N/A</v>
      </c>
      <c r="U1395" s="73" t="str">
        <f>IFERROR(__xludf.DUMMYFUNCTION("""COMPUTED_VALUE""")," NO CHARGE ")</f>
        <v>NO CHARGE</v>
      </c>
      <c r="V1395" s="2" t="str">
        <f>IFERROR(__xludf.DUMMYFUNCTION("""COMPUTED_VALUE"""),"NO DR")</f>
        <v>NO DR</v>
      </c>
      <c r="W1395" s="2" t="str">
        <f>IFERROR(__xludf.DUMMYFUNCTION("""COMPUTED_VALUE"""),"N/A")</f>
        <v>N/A</v>
      </c>
      <c r="X1395" s="2" t="str">
        <f>IFERROR(__xludf.DUMMYFUNCTION("""COMPUTED_VALUE"""),"N/A")</f>
        <v>N/A</v>
      </c>
      <c r="Y1395" s="2"/>
      <c r="Z1395" s="2"/>
      <c r="AA1395" s="2"/>
      <c r="AB1395" s="2"/>
      <c r="AC1395" s="2"/>
      <c r="AD1395" s="2"/>
      <c r="AE1395" s="2"/>
      <c r="AF1395" s="2"/>
      <c r="AG1395" s="2"/>
      <c r="AH1395" s="2"/>
      <c r="AI1395" s="2"/>
      <c r="AJ1395" s="2" t="str">
        <f>IFERROR(__xludf.DUMMYFUNCTION("""COMPUTED_VALUE"""),"Awai")</f>
        <v>Awai</v>
      </c>
      <c r="AK1395" s="2" t="str">
        <f>IFERROR(__xludf.DUMMYFUNCTION("""COMPUTED_VALUE"""),"Donsol")</f>
        <v>Donsol</v>
      </c>
      <c r="AL1395" s="2" t="str">
        <f>IFERROR(__xludf.DUMMYFUNCTION("""COMPUTED_VALUE"""),"Sorsogon")</f>
        <v>Sorsogon</v>
      </c>
      <c r="AM1395" s="2">
        <f>IFERROR(__xludf.DUMMYFUNCTION("""COMPUTED_VALUE"""),5.0)</f>
        <v>5</v>
      </c>
      <c r="AN1395" s="2" t="str">
        <f>IFERROR(__xludf.DUMMYFUNCTION("""COMPUTED_VALUE"""),"RCEF 25-03-05")</f>
        <v>RCEF 25-03-05</v>
      </c>
      <c r="AO1395" s="2">
        <f>IFERROR(__xludf.DUMMYFUNCTION("""COMPUTED_VALUE"""),6.0)</f>
        <v>6</v>
      </c>
      <c r="AP1395" s="2" t="str">
        <f>IFERROR(__xludf.DUMMYFUNCTION("""COMPUTED_VALUE"""),"FREE PMS")</f>
        <v>FREE PMS</v>
      </c>
      <c r="AQ1395" s="2"/>
      <c r="AR1395" s="2"/>
      <c r="AS1395" s="2"/>
      <c r="AT1395" s="2"/>
      <c r="AU1395" s="2"/>
      <c r="AV1395" s="2"/>
      <c r="AW1395" s="2"/>
      <c r="AX1395" s="2"/>
      <c r="AY1395" s="2"/>
      <c r="AZ1395" s="2"/>
      <c r="BA1395" s="2"/>
      <c r="BB1395" s="2"/>
    </row>
    <row r="1396">
      <c r="A1396" s="2">
        <f>IFERROR(__xludf.DUMMYFUNCTION("""COMPUTED_VALUE"""),1392.0)</f>
        <v>1392</v>
      </c>
      <c r="B1396" s="2" t="str">
        <f>IFERROR(__xludf.DUMMYFUNCTION("""COMPUTED_VALUE"""),"COMPLETED")</f>
        <v>COMPLETED</v>
      </c>
      <c r="C1396" s="74">
        <f>IFERROR(__xludf.DUMMYFUNCTION("""COMPUTED_VALUE"""),46051.0)</f>
        <v>46051</v>
      </c>
      <c r="D1396" s="71" t="str">
        <f>IFERROR(__xludf.DUMMYFUNCTION("""COMPUTED_VALUE"""),"MUNICIPAL LOCAL GOVERNMENT UNIT OF DULAG")</f>
        <v>MUNICIPAL LOCAL GOVERNMENT UNIT OF DULAG</v>
      </c>
      <c r="E1396" s="71" t="str">
        <f>IFERROR(__xludf.DUMMYFUNCTION("""COMPUTED_VALUE"""),"Buntay (Pob.), Dulag, LEYTE")</f>
        <v>Buntay (Pob.), Dulag, LEYTE</v>
      </c>
      <c r="F1396" s="2" t="str">
        <f>IFERROR(__xludf.DUMMYFUNCTION("""COMPUTED_VALUE"""),"ALONITA M. BAUTISTA - MA")</f>
        <v>ALONITA M. BAUTISTA - MA</v>
      </c>
      <c r="G1396" s="2" t="str">
        <f>IFERROR(__xludf.DUMMYFUNCTION("""COMPUTED_VALUE"""),"0927-796-1198")</f>
        <v>0927-796-1198</v>
      </c>
      <c r="H1396" s="2"/>
      <c r="I1396" s="72" t="str">
        <f>IFERROR(__xludf.DUMMYFUNCTION("""COMPUTED_VALUE"""),"PMS")</f>
        <v>PMS</v>
      </c>
      <c r="J1396" s="72" t="str">
        <f>IFERROR(__xludf.DUMMYFUNCTION("""COMPUTED_VALUE"""),"PMS")</f>
        <v>PMS</v>
      </c>
      <c r="K1396" s="72" t="str">
        <f>IFERROR(__xludf.DUMMYFUNCTION("""COMPUTED_VALUE"""),"FPJ: 1ST PSM FREE")</f>
        <v>FPJ: 1ST PSM FREE</v>
      </c>
      <c r="L1396" s="72" t="str">
        <f>IFERROR(__xludf.DUMMYFUNCTION("""COMPUTED_VALUE"""),"FPJ: 1ST PMS FREE")</f>
        <v>FPJ: 1ST PMS FREE</v>
      </c>
      <c r="M1396" s="2"/>
      <c r="N1396" s="2" t="str">
        <f>IFERROR(__xludf.DUMMYFUNCTION("""COMPUTED_VALUE"""),"PARTS:
OIL FILTER
ENGINE OIL")</f>
        <v>PARTS:
OIL FILTER
ENGINE OIL</v>
      </c>
      <c r="O1396" s="2">
        <f>IFERROR(__xludf.DUMMYFUNCTION("""COMPUTED_VALUE"""),272.0)</f>
        <v>272</v>
      </c>
      <c r="P1396" s="2"/>
      <c r="Q1396" s="2" t="str">
        <f>IFERROR(__xludf.DUMMYFUNCTION("""COMPUTED_VALUE"""),"FOR PRINT")</f>
        <v>FOR PRINT</v>
      </c>
      <c r="R1396" s="74">
        <f>IFERROR(__xludf.DUMMYFUNCTION("""COMPUTED_VALUE"""),46130.0)</f>
        <v>46130</v>
      </c>
      <c r="S1396" s="2" t="str">
        <f>IFERROR(__xludf.DUMMYFUNCTION("""COMPUTED_VALUE"""),"FPJ/JAH")</f>
        <v>FPJ/JAH</v>
      </c>
      <c r="T1396" s="73" t="str">
        <f>IFERROR(__xludf.DUMMYFUNCTION("""COMPUTED_VALUE""")," N/A ")</f>
        <v>N/A</v>
      </c>
      <c r="U1396" s="73" t="str">
        <f>IFERROR(__xludf.DUMMYFUNCTION("""COMPUTED_VALUE""")," NO CHARGE ")</f>
        <v>NO CHARGE</v>
      </c>
      <c r="V1396" s="2">
        <f>IFERROR(__xludf.DUMMYFUNCTION("""COMPUTED_VALUE"""),1570.0)</f>
        <v>1570</v>
      </c>
      <c r="W1396" s="2" t="str">
        <f>IFERROR(__xludf.DUMMYFUNCTION("""COMPUTED_VALUE"""),"N/A")</f>
        <v>N/A</v>
      </c>
      <c r="X1396" s="2" t="str">
        <f>IFERROR(__xludf.DUMMYFUNCTION("""COMPUTED_VALUE"""),"N/A")</f>
        <v>N/A</v>
      </c>
      <c r="Y1396" s="2"/>
      <c r="Z1396" s="2"/>
      <c r="AA1396" s="2"/>
      <c r="AB1396" s="2"/>
      <c r="AC1396" s="2"/>
      <c r="AD1396" s="2"/>
      <c r="AE1396" s="2"/>
      <c r="AF1396" s="2"/>
      <c r="AG1396" s="2"/>
      <c r="AH1396" s="2"/>
      <c r="AI1396" s="2"/>
      <c r="AJ1396" s="2" t="str">
        <f>IFERROR(__xludf.DUMMYFUNCTION("""COMPUTED_VALUE"""),"Buntay (Pob.)")</f>
        <v>Buntay (Pob.)</v>
      </c>
      <c r="AK1396" s="2" t="str">
        <f>IFERROR(__xludf.DUMMYFUNCTION("""COMPUTED_VALUE"""),"Dulag")</f>
        <v>Dulag</v>
      </c>
      <c r="AL1396" s="2" t="str">
        <f>IFERROR(__xludf.DUMMYFUNCTION("""COMPUTED_VALUE"""),"Leyte")</f>
        <v>Leyte</v>
      </c>
      <c r="AM1396" s="2">
        <f>IFERROR(__xludf.DUMMYFUNCTION("""COMPUTED_VALUE"""),8.0)</f>
        <v>8</v>
      </c>
      <c r="AN1396" s="2" t="str">
        <f>IFERROR(__xludf.DUMMYFUNCTION("""COMPUTED_VALUE"""),"RCEF 25-03-05")</f>
        <v>RCEF 25-03-05</v>
      </c>
      <c r="AO1396" s="2">
        <f>IFERROR(__xludf.DUMMYFUNCTION("""COMPUTED_VALUE"""),7.0)</f>
        <v>7</v>
      </c>
      <c r="AP1396" s="2" t="str">
        <f>IFERROR(__xludf.DUMMYFUNCTION("""COMPUTED_VALUE"""),"FREE PMS")</f>
        <v>FREE PMS</v>
      </c>
      <c r="AQ1396" s="2"/>
      <c r="AR1396" s="2"/>
      <c r="AS1396" s="2"/>
      <c r="AT1396" s="2"/>
      <c r="AU1396" s="2"/>
      <c r="AV1396" s="2"/>
      <c r="AW1396" s="2"/>
      <c r="AX1396" s="2"/>
      <c r="AY1396" s="2"/>
      <c r="AZ1396" s="2"/>
      <c r="BA1396" s="2"/>
      <c r="BB1396" s="2"/>
    </row>
    <row r="1397">
      <c r="A1397" s="2">
        <f>IFERROR(__xludf.DUMMYFUNCTION("""COMPUTED_VALUE"""),1393.0)</f>
        <v>1393</v>
      </c>
      <c r="B1397" s="2" t="str">
        <f>IFERROR(__xludf.DUMMYFUNCTION("""COMPUTED_VALUE"""),"PENDING")</f>
        <v>PENDING</v>
      </c>
      <c r="C1397" s="74">
        <f>IFERROR(__xludf.DUMMYFUNCTION("""COMPUTED_VALUE"""),46051.0)</f>
        <v>46051</v>
      </c>
      <c r="D1397" s="71" t="str">
        <f>IFERROR(__xludf.DUMMYFUNCTION("""COMPUTED_VALUE"""),"BARANGAY WATER AGRICULTURE AND FOOD ASSOCAITION (BWAFA)")</f>
        <v>BARANGAY WATER AGRICULTURE AND FOOD ASSOCAITION (BWAFA)</v>
      </c>
      <c r="E1397" s="71" t="str">
        <f>IFERROR(__xludf.DUMMYFUNCTION("""COMPUTED_VALUE"""),"San Isidro, Sierra Bullones, BOHOL")</f>
        <v>San Isidro, Sierra Bullones, BOHOL</v>
      </c>
      <c r="F1397" s="2" t="str">
        <f>IFERROR(__xludf.DUMMYFUNCTION("""COMPUTED_VALUE"""),"Eduardo C. Rubia")</f>
        <v>Eduardo C. Rubia</v>
      </c>
      <c r="G1397" s="2" t="str">
        <f>IFERROR(__xludf.DUMMYFUNCTION("""COMPUTED_VALUE"""),"090975-450-3793")</f>
        <v>090975-450-3793</v>
      </c>
      <c r="H1397" s="2"/>
      <c r="I1397" s="72" t="str">
        <f>IFERROR(__xludf.DUMMYFUNCTION("""COMPUTED_VALUE"""),"REPAIR - TRACTOR")</f>
        <v>REPAIR - TRACTOR</v>
      </c>
      <c r="J1397" s="72" t="str">
        <f>IFERROR(__xludf.DUMMYFUNCTION("""COMPUTED_VALUE"""),"Electrical - Dashboard")</f>
        <v>Electrical - Dashboard</v>
      </c>
      <c r="K1397" s="72" t="str">
        <f>IFERROR(__xludf.DUMMYFUNCTION("""COMPUTED_VALUE"""),"DSD: PANEL BOARD PROBLEM - HINDI PA NAGAGAMIT ANG UNIT")</f>
        <v>DSD: PANEL BOARD PROBLEM - HINDI PA NAGAGAMIT ANG UNIT</v>
      </c>
      <c r="L1397" s="72" t="str">
        <f>IFERROR(__xludf.DUMMYFUNCTION("""COMPUTED_VALUE"""),"MYK- WRONG NUMBER")</f>
        <v>MYK- WRONG NUMBER</v>
      </c>
      <c r="M1397" s="2" t="str">
        <f>IFERROR(__xludf.DUMMYFUNCTION("""COMPUTED_VALUE"""),"METER PANEL")</f>
        <v>METER PANEL</v>
      </c>
      <c r="N1397" s="2"/>
      <c r="O1397" s="2"/>
      <c r="P1397" s="2"/>
      <c r="Q1397" s="2"/>
      <c r="R1397" s="2"/>
      <c r="S1397" s="2"/>
      <c r="T1397" s="2"/>
      <c r="U1397" s="2"/>
      <c r="V1397" s="2"/>
      <c r="W1397" s="2"/>
      <c r="X1397" s="2"/>
      <c r="Y1397" s="2"/>
      <c r="Z1397" s="2"/>
      <c r="AA1397" s="2"/>
      <c r="AB1397" s="2"/>
      <c r="AC1397" s="2"/>
      <c r="AD1397" s="2"/>
      <c r="AE1397" s="2"/>
      <c r="AF1397" s="2"/>
      <c r="AG1397" s="2"/>
      <c r="AH1397" s="2"/>
      <c r="AI1397" s="2"/>
      <c r="AJ1397" s="2" t="str">
        <f>IFERROR(__xludf.DUMMYFUNCTION("""COMPUTED_VALUE"""),"San Isidro")</f>
        <v>San Isidro</v>
      </c>
      <c r="AK1397" s="2" t="str">
        <f>IFERROR(__xludf.DUMMYFUNCTION("""COMPUTED_VALUE"""),"Sierra Bullones")</f>
        <v>Sierra Bullones</v>
      </c>
      <c r="AL1397" s="2" t="str">
        <f>IFERROR(__xludf.DUMMYFUNCTION("""COMPUTED_VALUE"""),"Bohol")</f>
        <v>Bohol</v>
      </c>
      <c r="AM1397" s="2">
        <f>IFERROR(__xludf.DUMMYFUNCTION("""COMPUTED_VALUE"""),7.0)</f>
        <v>7</v>
      </c>
      <c r="AN1397" s="2" t="str">
        <f>IFERROR(__xludf.DUMMYFUNCTION("""COMPUTED_VALUE"""),"RCEF 25-03-05")</f>
        <v>RCEF 25-03-05</v>
      </c>
      <c r="AO1397" s="2">
        <f>IFERROR(__xludf.DUMMYFUNCTION("""COMPUTED_VALUE"""),7.0)</f>
        <v>7</v>
      </c>
      <c r="AP1397" s="2" t="str">
        <f>IFERROR(__xludf.DUMMYFUNCTION("""COMPUTED_VALUE"""),"FREE PMS")</f>
        <v>FREE PMS</v>
      </c>
      <c r="AQ1397" s="2"/>
      <c r="AR1397" s="2"/>
      <c r="AS1397" s="2"/>
      <c r="AT1397" s="2"/>
      <c r="AU1397" s="2"/>
      <c r="AV1397" s="2"/>
      <c r="AW1397" s="2"/>
      <c r="AX1397" s="2"/>
      <c r="AY1397" s="2"/>
      <c r="AZ1397" s="2"/>
      <c r="BA1397" s="2"/>
      <c r="BB1397" s="2"/>
    </row>
    <row r="1398">
      <c r="A1398" s="2">
        <f>IFERROR(__xludf.DUMMYFUNCTION("""COMPUTED_VALUE"""),1394.0)</f>
        <v>1394</v>
      </c>
      <c r="B1398" s="2" t="str">
        <f>IFERROR(__xludf.DUMMYFUNCTION("""COMPUTED_VALUE"""),"COMPLETED")</f>
        <v>COMPLETED</v>
      </c>
      <c r="C1398" s="74">
        <f>IFERROR(__xludf.DUMMYFUNCTION("""COMPUTED_VALUE"""),46052.0)</f>
        <v>46052</v>
      </c>
      <c r="D1398" s="71" t="str">
        <f>IFERROR(__xludf.DUMMYFUNCTION("""COMPUTED_VALUE"""),"SAN ROQUE-GITABLA IRRIGATORS' ASSOCIATION, INC.")</f>
        <v>SAN ROQUE-GITABLA IRRIGATORS' ASSOCIATION, INC.</v>
      </c>
      <c r="E1398" s="71" t="str">
        <f>IFERROR(__xludf.DUMMYFUNCTION("""COMPUTED_VALUE"""),"Gitabla, Julita, LEYTE")</f>
        <v>Gitabla, Julita, LEYTE</v>
      </c>
      <c r="F1398" s="2" t="str">
        <f>IFERROR(__xludf.DUMMYFUNCTION("""COMPUTED_VALUE"""),"ROMY C. MAGAYANO")</f>
        <v>ROMY C. MAGAYANO</v>
      </c>
      <c r="G1398" s="2" t="str">
        <f>IFERROR(__xludf.DUMMYFUNCTION("""COMPUTED_VALUE"""),"0948-303-1634")</f>
        <v>0948-303-1634</v>
      </c>
      <c r="H1398" s="2"/>
      <c r="I1398" s="72" t="str">
        <f>IFERROR(__xludf.DUMMYFUNCTION("""COMPUTED_VALUE"""),"REPAIR - LOADER")</f>
        <v>REPAIR - LOADER</v>
      </c>
      <c r="J1398" s="72" t="str">
        <f>IFERROR(__xludf.DUMMYFUNCTION("""COMPUTED_VALUE"""),"Cable lock")</f>
        <v>Cable lock</v>
      </c>
      <c r="K1398" s="72" t="str">
        <f>IFERROR(__xludf.DUMMYFUNCTION("""COMPUTED_VALUE"""),"FPJ: sira daw po joy stick hindi na angat at na galaw ang loader (WITH PICTURES)")</f>
        <v>FPJ: sira daw po joy stick hindi na angat at na galaw ang loader (WITH PICTURES)</v>
      </c>
      <c r="L1398" s="72" t="str">
        <f>IFERROR(__xludf.DUMMYFUNCTION("""COMPUTED_VALUE"""),"FPJ: FABRICATED CABLE LOCK ASSIST FCA FOR FCA FOR INTALLATION OF CABLE LOCK")</f>
        <v>FPJ: FABRICATED CABLE LOCK ASSIST FCA FOR FCA FOR INTALLATION OF CABLE LOCK</v>
      </c>
      <c r="M1398" s="2"/>
      <c r="N1398" s="2" t="str">
        <f>IFERROR(__xludf.DUMMYFUNCTION("""COMPUTED_VALUE"""),"PARTS:
FABRICATED HYDRAULIC  CABLE LOCK (OUTSOURCE)")</f>
        <v>PARTS:
FABRICATED HYDRAULIC  CABLE LOCK (OUTSOURCE)</v>
      </c>
      <c r="O1398" s="2">
        <f>IFERROR(__xludf.DUMMYFUNCTION("""COMPUTED_VALUE"""),571.0)</f>
        <v>571</v>
      </c>
      <c r="P1398" s="2"/>
      <c r="Q1398" s="2" t="str">
        <f>IFERROR(__xludf.DUMMYFUNCTION("""COMPUTED_VALUE"""),"FOR PRINT")</f>
        <v>FOR PRINT</v>
      </c>
      <c r="R1398" s="74">
        <f>IFERROR(__xludf.DUMMYFUNCTION("""COMPUTED_VALUE"""),46064.0)</f>
        <v>46064</v>
      </c>
      <c r="S1398" s="2" t="str">
        <f>IFERROR(__xludf.DUMMYFUNCTION("""COMPUTED_VALUE"""),"FPJ/JAH")</f>
        <v>FPJ/JAH</v>
      </c>
      <c r="T1398" s="73" t="str">
        <f>IFERROR(__xludf.DUMMYFUNCTION("""COMPUTED_VALUE""")," N/A ")</f>
        <v>N/A</v>
      </c>
      <c r="U1398" s="73" t="str">
        <f>IFERROR(__xludf.DUMMYFUNCTION("""COMPUTED_VALUE""")," NO CHARGE ")</f>
        <v>NO CHARGE</v>
      </c>
      <c r="V1398" s="2" t="str">
        <f>IFERROR(__xludf.DUMMYFUNCTION("""COMPUTED_VALUE"""),"N/A")</f>
        <v>N/A</v>
      </c>
      <c r="W1398" s="2" t="str">
        <f>IFERROR(__xludf.DUMMYFUNCTION("""COMPUTED_VALUE"""),"N/A")</f>
        <v>N/A</v>
      </c>
      <c r="X1398" s="2" t="str">
        <f>IFERROR(__xludf.DUMMYFUNCTION("""COMPUTED_VALUE"""),"N/A")</f>
        <v>N/A</v>
      </c>
      <c r="Y1398" s="2"/>
      <c r="Z1398" s="2"/>
      <c r="AA1398" s="2"/>
      <c r="AB1398" s="2"/>
      <c r="AC1398" s="2"/>
      <c r="AD1398" s="2"/>
      <c r="AE1398" s="2"/>
      <c r="AF1398" s="2"/>
      <c r="AG1398" s="2"/>
      <c r="AH1398" s="2"/>
      <c r="AI1398" s="2"/>
      <c r="AJ1398" s="2" t="str">
        <f>IFERROR(__xludf.DUMMYFUNCTION("""COMPUTED_VALUE"""),"Gitabla")</f>
        <v>Gitabla</v>
      </c>
      <c r="AK1398" s="2" t="str">
        <f>IFERROR(__xludf.DUMMYFUNCTION("""COMPUTED_VALUE"""),"Julita")</f>
        <v>Julita</v>
      </c>
      <c r="AL1398" s="2" t="str">
        <f>IFERROR(__xludf.DUMMYFUNCTION("""COMPUTED_VALUE"""),"Leyte")</f>
        <v>Leyte</v>
      </c>
      <c r="AM1398" s="2">
        <f>IFERROR(__xludf.DUMMYFUNCTION("""COMPUTED_VALUE"""),8.0)</f>
        <v>8</v>
      </c>
      <c r="AN1398" s="2" t="str">
        <f>IFERROR(__xludf.DUMMYFUNCTION("""COMPUTED_VALUE"""),"RCEF 25-03-05")</f>
        <v>RCEF 25-03-05</v>
      </c>
      <c r="AO1398" s="2">
        <f>IFERROR(__xludf.DUMMYFUNCTION("""COMPUTED_VALUE"""),7.0)</f>
        <v>7</v>
      </c>
      <c r="AP1398" s="2" t="str">
        <f>IFERROR(__xludf.DUMMYFUNCTION("""COMPUTED_VALUE"""),"FREE PMS")</f>
        <v>FREE PMS</v>
      </c>
      <c r="AQ1398" s="2"/>
      <c r="AR1398" s="2"/>
      <c r="AS1398" s="2"/>
      <c r="AT1398" s="2"/>
      <c r="AU1398" s="2"/>
      <c r="AV1398" s="2"/>
      <c r="AW1398" s="2"/>
      <c r="AX1398" s="2"/>
      <c r="AY1398" s="2"/>
      <c r="AZ1398" s="2"/>
      <c r="BA1398" s="2"/>
      <c r="BB1398" s="2"/>
    </row>
    <row r="1399">
      <c r="A1399" s="2">
        <f>IFERROR(__xludf.DUMMYFUNCTION("""COMPUTED_VALUE"""),1395.0)</f>
        <v>1395</v>
      </c>
      <c r="B1399" s="2" t="str">
        <f>IFERROR(__xludf.DUMMYFUNCTION("""COMPUTED_VALUE"""),"COMPLETED")</f>
        <v>COMPLETED</v>
      </c>
      <c r="C1399" s="74">
        <f>IFERROR(__xludf.DUMMYFUNCTION("""COMPUTED_VALUE"""),46052.0)</f>
        <v>46052</v>
      </c>
      <c r="D1399" s="71" t="str">
        <f>IFERROR(__xludf.DUMMYFUNCTION("""COMPUTED_VALUE"""),"Masagana Producers Cooperative")</f>
        <v>Masagana Producers Cooperative</v>
      </c>
      <c r="E1399" s="71" t="str">
        <f>IFERROR(__xludf.DUMMYFUNCTION("""COMPUTED_VALUE"""),"Alagao, San Ildefonso, BULACAN")</f>
        <v>Alagao, San Ildefonso, BULACAN</v>
      </c>
      <c r="F1399" s="2" t="str">
        <f>IFERROR(__xludf.DUMMYFUNCTION("""COMPUTED_VALUE"""),"DAN SANTOS")</f>
        <v>DAN SANTOS</v>
      </c>
      <c r="G1399" s="2">
        <f>IFERROR(__xludf.DUMMYFUNCTION("""COMPUTED_VALUE"""),9.676598222E9)</f>
        <v>9676598222</v>
      </c>
      <c r="H1399" s="2"/>
      <c r="I1399" s="72" t="str">
        <f>IFERROR(__xludf.DUMMYFUNCTION("""COMPUTED_VALUE"""),"SPARE PARTS ACQUISITION")</f>
        <v>SPARE PARTS ACQUISITION</v>
      </c>
      <c r="J1399" s="72" t="str">
        <f>IFERROR(__xludf.DUMMYFUNCTION("""COMPUTED_VALUE"""),"STARTER")</f>
        <v>STARTER</v>
      </c>
      <c r="K1399" s="72" t="str">
        <f>IFERROR(__xludf.DUMMYFUNCTION("""COMPUTED_VALUE"""),"MYK: STARTER ")</f>
        <v>MYK: STARTER </v>
      </c>
      <c r="L1399" s="72" t="str">
        <f>IFERROR(__xludf.DUMMYFUNCTION("""COMPUTED_VALUE"""),"QUOTATION SENT- CLIENT DIRECT TO WAREHOUSE -  PAID")</f>
        <v>QUOTATION SENT- CLIENT DIRECT TO WAREHOUSE -  PAID</v>
      </c>
      <c r="M1399" s="2"/>
      <c r="N1399" s="2" t="str">
        <f>IFERROR(__xludf.DUMMYFUNCTION("""COMPUTED_VALUE"""),"PARTS:
STARTER ASSY ")</f>
        <v>PARTS:
STARTER ASSY </v>
      </c>
      <c r="O1399" s="2" t="str">
        <f>IFERROR(__xludf.DUMMYFUNCTION("""COMPUTED_VALUE"""),"N/A")</f>
        <v>N/A</v>
      </c>
      <c r="P1399" s="2"/>
      <c r="Q1399" s="2"/>
      <c r="R1399" s="74">
        <f>IFERROR(__xludf.DUMMYFUNCTION("""COMPUTED_VALUE"""),46056.0)</f>
        <v>46056</v>
      </c>
      <c r="S1399" s="2" t="str">
        <f>IFERROR(__xludf.DUMMYFUNCTION("""COMPUTED_VALUE"""),"CTF")</f>
        <v>CTF</v>
      </c>
      <c r="T1399" s="73">
        <f>IFERROR(__xludf.DUMMYFUNCTION("""COMPUTED_VALUE"""),42000.0)</f>
        <v>42000</v>
      </c>
      <c r="U1399" s="73" t="str">
        <f>IFERROR(__xludf.DUMMYFUNCTION("""COMPUTED_VALUE""")," FOR REMIT ")</f>
        <v>FOR REMIT</v>
      </c>
      <c r="V1399" s="2"/>
      <c r="W1399" s="2">
        <f>IFERROR(__xludf.DUMMYFUNCTION("""COMPUTED_VALUE"""),1739.0)</f>
        <v>1739</v>
      </c>
      <c r="X1399" s="2"/>
      <c r="Y1399" s="2"/>
      <c r="Z1399" s="2"/>
      <c r="AA1399" s="2"/>
      <c r="AB1399" s="2"/>
      <c r="AC1399" s="2"/>
      <c r="AD1399" s="2"/>
      <c r="AE1399" s="2"/>
      <c r="AF1399" s="2"/>
      <c r="AG1399" s="2"/>
      <c r="AH1399" s="2"/>
      <c r="AI1399" s="2"/>
      <c r="AJ1399" s="2" t="str">
        <f>IFERROR(__xludf.DUMMYFUNCTION("""COMPUTED_VALUE"""),"Alagao")</f>
        <v>Alagao</v>
      </c>
      <c r="AK1399" s="2" t="str">
        <f>IFERROR(__xludf.DUMMYFUNCTION("""COMPUTED_VALUE"""),"San Ildefonso")</f>
        <v>San Ildefonso</v>
      </c>
      <c r="AL1399" s="2" t="str">
        <f>IFERROR(__xludf.DUMMYFUNCTION("""COMPUTED_VALUE"""),"Bulacan")</f>
        <v>Bulacan</v>
      </c>
      <c r="AM1399" s="2">
        <f>IFERROR(__xludf.DUMMYFUNCTION("""COMPUTED_VALUE"""),3.0)</f>
        <v>3</v>
      </c>
      <c r="AN1399" s="2" t="str">
        <f>IFERROR(__xludf.DUMMYFUNCTION("""COMPUTED_VALUE"""),"RCEF 23-09-21 Rebidding")</f>
        <v>RCEF 23-09-21 Rebidding</v>
      </c>
      <c r="AO1399" s="2">
        <f>IFERROR(__xludf.DUMMYFUNCTION("""COMPUTED_VALUE"""),3.0)</f>
        <v>3</v>
      </c>
      <c r="AP1399" s="2"/>
      <c r="AQ1399" s="2"/>
      <c r="AR1399" s="2"/>
      <c r="AS1399" s="2"/>
      <c r="AT1399" s="2"/>
      <c r="AU1399" s="2"/>
      <c r="AV1399" s="2"/>
      <c r="AW1399" s="2"/>
      <c r="AX1399" s="2"/>
      <c r="AY1399" s="2"/>
      <c r="AZ1399" s="2"/>
      <c r="BA1399" s="2"/>
      <c r="BB1399" s="2"/>
    </row>
    <row r="1400">
      <c r="A1400" s="2">
        <f>IFERROR(__xludf.DUMMYFUNCTION("""COMPUTED_VALUE"""),1396.0)</f>
        <v>1396</v>
      </c>
      <c r="B1400" s="2" t="str">
        <f>IFERROR(__xludf.DUMMYFUNCTION("""COMPUTED_VALUE"""),"COMPLETED")</f>
        <v>COMPLETED</v>
      </c>
      <c r="C1400" s="74">
        <f>IFERROR(__xludf.DUMMYFUNCTION("""COMPUTED_VALUE"""),46055.0)</f>
        <v>46055</v>
      </c>
      <c r="D1400" s="71" t="str">
        <f>IFERROR(__xludf.DUMMYFUNCTION("""COMPUTED_VALUE"""),"Municipal Local Government Unit of Maria Aurora")</f>
        <v>Municipal Local Government Unit of Maria Aurora</v>
      </c>
      <c r="E1400" s="71" t="str">
        <f>IFERROR(__xludf.DUMMYFUNCTION("""COMPUTED_VALUE"""),"Barangay III (Pob.), Maria Aurora, AURORA")</f>
        <v>Barangay III (Pob.), Maria Aurora, AURORA</v>
      </c>
      <c r="F1400" s="2" t="str">
        <f>IFERROR(__xludf.DUMMYFUNCTION("""COMPUTED_VALUE"""),"JOHN GERALD PRADO")</f>
        <v>JOHN GERALD PRADO</v>
      </c>
      <c r="G1400" s="2">
        <f>IFERROR(__xludf.DUMMYFUNCTION("""COMPUTED_VALUE"""),9.171508929E9)</f>
        <v>9171508929</v>
      </c>
      <c r="H1400" s="2"/>
      <c r="I1400" s="72" t="str">
        <f>IFERROR(__xludf.DUMMYFUNCTION("""COMPUTED_VALUE"""),"SPARE PARTS ACQUISITION")</f>
        <v>SPARE PARTS ACQUISITION</v>
      </c>
      <c r="J1400" s="72"/>
      <c r="K1400" s="72" t="str">
        <f>IFERROR(__xludf.DUMMYFUNCTION("""COMPUTED_VALUE"""),"MYK: BOLT SA DISC NG DICS PLOW. (10 PCS)")</f>
        <v>MYK: BOLT SA DISC NG DICS PLOW. (10 PCS)</v>
      </c>
      <c r="L1400" s="72" t="str">
        <f>IFERROR(__xludf.DUMMYFUNCTION("""COMPUTED_VALUE"""),"ENDORCE TO FIT COREA- SENT NUMBER OF SIR ARZEL")</f>
        <v>ENDORCE TO FIT COREA- SENT NUMBER OF SIR ARZEL</v>
      </c>
      <c r="M1400" s="2"/>
      <c r="N1400" s="2"/>
      <c r="O1400" s="2" t="str">
        <f>IFERROR(__xludf.DUMMYFUNCTION("""COMPUTED_VALUE"""),"N/A")</f>
        <v>N/A</v>
      </c>
      <c r="P1400" s="2"/>
      <c r="Q1400" s="2"/>
      <c r="R1400" s="74">
        <f>IFERROR(__xludf.DUMMYFUNCTION("""COMPUTED_VALUE"""),46062.0)</f>
        <v>46062</v>
      </c>
      <c r="S1400" s="2" t="str">
        <f>IFERROR(__xludf.DUMMYFUNCTION("""COMPUTED_VALUE"""),"MYKEE")</f>
        <v>MYKEE</v>
      </c>
      <c r="T1400" s="73" t="str">
        <f>IFERROR(__xludf.DUMMYFUNCTION("""COMPUTED_VALUE""")," N/A ")</f>
        <v>N/A</v>
      </c>
      <c r="U1400" s="73" t="str">
        <f>IFERROR(__xludf.DUMMYFUNCTION("""COMPUTED_VALUE""")," NO CHARGE ")</f>
        <v>NO CHARGE</v>
      </c>
      <c r="V1400" s="2"/>
      <c r="W1400" s="2" t="str">
        <f>IFERROR(__xludf.DUMMYFUNCTION("""COMPUTED_VALUE"""),"N/A")</f>
        <v>N/A</v>
      </c>
      <c r="X1400" s="2" t="str">
        <f>IFERROR(__xludf.DUMMYFUNCTION("""COMPUTED_VALUE"""),"N/A")</f>
        <v>N/A</v>
      </c>
      <c r="Y1400" s="2"/>
      <c r="Z1400" s="2"/>
      <c r="AA1400" s="2"/>
      <c r="AB1400" s="2"/>
      <c r="AC1400" s="2"/>
      <c r="AD1400" s="2"/>
      <c r="AE1400" s="2"/>
      <c r="AF1400" s="2"/>
      <c r="AG1400" s="2"/>
      <c r="AH1400" s="2"/>
      <c r="AI1400" s="2"/>
      <c r="AJ1400" s="2" t="str">
        <f>IFERROR(__xludf.DUMMYFUNCTION("""COMPUTED_VALUE"""),"Barangay Iii (Pob.)")</f>
        <v>Barangay Iii (Pob.)</v>
      </c>
      <c r="AK1400" s="2" t="str">
        <f>IFERROR(__xludf.DUMMYFUNCTION("""COMPUTED_VALUE"""),"Maria Aurora")</f>
        <v>Maria Aurora</v>
      </c>
      <c r="AL1400" s="2" t="str">
        <f>IFERROR(__xludf.DUMMYFUNCTION("""COMPUTED_VALUE"""),"Aurora")</f>
        <v>Aurora</v>
      </c>
      <c r="AM1400" s="2">
        <f>IFERROR(__xludf.DUMMYFUNCTION("""COMPUTED_VALUE"""),3.0)</f>
        <v>3</v>
      </c>
      <c r="AN1400" s="2" t="str">
        <f>IFERROR(__xludf.DUMMYFUNCTION("""COMPUTED_VALUE"""),"RCEF 25-03-05")</f>
        <v>RCEF 25-03-05</v>
      </c>
      <c r="AO1400" s="2">
        <f>IFERROR(__xludf.DUMMYFUNCTION("""COMPUTED_VALUE"""),5.0)</f>
        <v>5</v>
      </c>
      <c r="AP1400" s="2" t="str">
        <f>IFERROR(__xludf.DUMMYFUNCTION("""COMPUTED_VALUE"""),"FREE PMS")</f>
        <v>FREE PMS</v>
      </c>
      <c r="AQ1400" s="2"/>
      <c r="AR1400" s="2"/>
      <c r="AS1400" s="2"/>
      <c r="AT1400" s="2"/>
      <c r="AU1400" s="2"/>
      <c r="AV1400" s="2"/>
      <c r="AW1400" s="2"/>
      <c r="AX1400" s="2"/>
      <c r="AY1400" s="2"/>
      <c r="AZ1400" s="2"/>
      <c r="BA1400" s="2"/>
      <c r="BB1400" s="2"/>
    </row>
    <row r="1401">
      <c r="A1401" s="2">
        <f>IFERROR(__xludf.DUMMYFUNCTION("""COMPUTED_VALUE"""),1397.0)</f>
        <v>1397</v>
      </c>
      <c r="B1401" s="2" t="str">
        <f>IFERROR(__xludf.DUMMYFUNCTION("""COMPUTED_VALUE"""),"COMPLETED")</f>
        <v>COMPLETED</v>
      </c>
      <c r="C1401" s="74">
        <f>IFERROR(__xludf.DUMMYFUNCTION("""COMPUTED_VALUE"""),46055.0)</f>
        <v>46055</v>
      </c>
      <c r="D1401" s="71" t="str">
        <f>IFERROR(__xludf.DUMMYFUNCTION("""COMPUTED_VALUE"""),"MALIGCONG FARMERS ASSOCIATION")</f>
        <v>MALIGCONG FARMERS ASSOCIATION</v>
      </c>
      <c r="E1401" s="71" t="str">
        <f>IFERROR(__xludf.DUMMYFUNCTION("""COMPUTED_VALUE"""),"MALIGCONG, SALCEDO, ILOCOS SUR")</f>
        <v>MALIGCONG, SALCEDO, ILOCOS SUR</v>
      </c>
      <c r="F1401" s="2" t="str">
        <f>IFERROR(__xludf.DUMMYFUNCTION("""COMPUTED_VALUE"""),"Admer Ortinez")</f>
        <v>Admer Ortinez</v>
      </c>
      <c r="G1401" s="2">
        <f>IFERROR(__xludf.DUMMYFUNCTION("""COMPUTED_VALUE"""),6.39558327248E11)</f>
        <v>639558327248</v>
      </c>
      <c r="H1401" s="2"/>
      <c r="I1401" s="72" t="str">
        <f>IFERROR(__xludf.DUMMYFUNCTION("""COMPUTED_VALUE"""),"SPARE PARTS ACQUISITION")</f>
        <v>SPARE PARTS ACQUISITION</v>
      </c>
      <c r="J1401" s="72"/>
      <c r="K1401" s="72" t="str">
        <f>IFERROR(__xludf.DUMMYFUNCTION("""COMPUTED_VALUE"""),"JHP: Report: parts order
 4pcs cross joint sa Rotavator 
 2pcs rear oil seal TA00033423
1pc oil seal  35×50×8T")</f>
        <v>JHP: Report: parts order
 4pcs cross joint sa Rotavator 
 2pcs rear oil seal TA00033423
1pc oil seal  35×50×8T</v>
      </c>
      <c r="L1401" s="72" t="str">
        <f>IFERROR(__xludf.DUMMYFUNCTION("""COMPUTED_VALUE"""),"QUOTATION SENT- CALL BACK ONCE MAY BUDGET NA")</f>
        <v>QUOTATION SENT- CALL BACK ONCE MAY BUDGET NA</v>
      </c>
      <c r="M1401" s="2"/>
      <c r="N1401" s="2"/>
      <c r="O1401" s="2" t="str">
        <f>IFERROR(__xludf.DUMMYFUNCTION("""COMPUTED_VALUE"""),"N/A")</f>
        <v>N/A</v>
      </c>
      <c r="P1401" s="2"/>
      <c r="Q1401" s="2"/>
      <c r="R1401" s="74">
        <f>IFERROR(__xludf.DUMMYFUNCTION("""COMPUTED_VALUE"""),46059.0)</f>
        <v>46059</v>
      </c>
      <c r="S1401" s="2" t="str">
        <f>IFERROR(__xludf.DUMMYFUNCTION("""COMPUTED_VALUE"""),"MYKEE")</f>
        <v>MYKEE</v>
      </c>
      <c r="T1401" s="73" t="str">
        <f>IFERROR(__xludf.DUMMYFUNCTION("""COMPUTED_VALUE""")," N/A ")</f>
        <v>N/A</v>
      </c>
      <c r="U1401" s="73" t="str">
        <f>IFERROR(__xludf.DUMMYFUNCTION("""COMPUTED_VALUE""")," NO CHARGE ")</f>
        <v>NO CHARGE</v>
      </c>
      <c r="V1401" s="2"/>
      <c r="W1401" s="2" t="str">
        <f>IFERROR(__xludf.DUMMYFUNCTION("""COMPUTED_VALUE"""),"N/A")</f>
        <v>N/A</v>
      </c>
      <c r="X1401" s="2" t="str">
        <f>IFERROR(__xludf.DUMMYFUNCTION("""COMPUTED_VALUE"""),"N/A")</f>
        <v>N/A</v>
      </c>
      <c r="Y1401" s="2"/>
      <c r="Z1401" s="2"/>
      <c r="AA1401" s="2"/>
      <c r="AB1401" s="2"/>
      <c r="AC1401" s="2"/>
      <c r="AD1401" s="2"/>
      <c r="AE1401" s="2"/>
      <c r="AF1401" s="2"/>
      <c r="AG1401" s="2"/>
      <c r="AH1401" s="2"/>
      <c r="AI1401" s="2"/>
      <c r="AJ1401" s="2" t="str">
        <f>IFERROR(__xludf.DUMMYFUNCTION("""COMPUTED_VALUE"""),"Maligcong")</f>
        <v>Maligcong</v>
      </c>
      <c r="AK1401" s="2" t="str">
        <f>IFERROR(__xludf.DUMMYFUNCTION("""COMPUTED_VALUE"""),"Salcedo")</f>
        <v>Salcedo</v>
      </c>
      <c r="AL1401" s="2" t="str">
        <f>IFERROR(__xludf.DUMMYFUNCTION("""COMPUTED_VALUE"""),"Ilocos Sur")</f>
        <v>Ilocos Sur</v>
      </c>
      <c r="AM1401" s="2">
        <f>IFERROR(__xludf.DUMMYFUNCTION("""COMPUTED_VALUE"""),1.0)</f>
        <v>1</v>
      </c>
      <c r="AN1401" s="2" t="str">
        <f>IFERROR(__xludf.DUMMYFUNCTION("""COMPUTED_VALUE"""),"RCEF 23-09-21 Rebidding")</f>
        <v>RCEF 23-09-21 Rebidding</v>
      </c>
      <c r="AO1401" s="2">
        <f>IFERROR(__xludf.DUMMYFUNCTION("""COMPUTED_VALUE"""),2.0)</f>
        <v>2</v>
      </c>
      <c r="AP1401" s="2"/>
      <c r="AQ1401" s="2"/>
      <c r="AR1401" s="2"/>
      <c r="AS1401" s="2"/>
      <c r="AT1401" s="2"/>
      <c r="AU1401" s="2"/>
      <c r="AV1401" s="2"/>
      <c r="AW1401" s="2"/>
      <c r="AX1401" s="2"/>
      <c r="AY1401" s="2"/>
      <c r="AZ1401" s="2"/>
      <c r="BA1401" s="2"/>
      <c r="BB1401" s="2"/>
    </row>
    <row r="1402">
      <c r="A1402" s="2">
        <f>IFERROR(__xludf.DUMMYFUNCTION("""COMPUTED_VALUE"""),1398.0)</f>
        <v>1398</v>
      </c>
      <c r="B1402" s="2" t="str">
        <f>IFERROR(__xludf.DUMMYFUNCTION("""COMPUTED_VALUE"""),"COMPLETED")</f>
        <v>COMPLETED</v>
      </c>
      <c r="C1402" s="74">
        <f>IFERROR(__xludf.DUMMYFUNCTION("""COMPUTED_VALUE"""),46056.0)</f>
        <v>46056</v>
      </c>
      <c r="D1402" s="71" t="str">
        <f>IFERROR(__xludf.DUMMYFUNCTION("""COMPUTED_VALUE"""),"Buenavista Farmers Association")</f>
        <v>Buenavista Farmers Association</v>
      </c>
      <c r="E1402" s="71" t="str">
        <f>IFERROR(__xludf.DUMMYFUNCTION("""COMPUTED_VALUE"""),"Buenavista, Sablayan, OCCIDENTAL MINDORO")</f>
        <v>Buenavista, Sablayan, OCCIDENTAL MINDORO</v>
      </c>
      <c r="F1402" s="2" t="str">
        <f>IFERROR(__xludf.DUMMYFUNCTION("""COMPUTED_VALUE"""),"Simplicio Castro")</f>
        <v>Simplicio Castro</v>
      </c>
      <c r="G1402" s="2" t="str">
        <f>IFERROR(__xludf.DUMMYFUNCTION("""COMPUTED_VALUE"""),"0955 3160909")</f>
        <v>0955 3160909</v>
      </c>
      <c r="H1402" s="2"/>
      <c r="I1402" s="72" t="str">
        <f>IFERROR(__xludf.DUMMYFUNCTION("""COMPUTED_VALUE"""),"PMS")</f>
        <v>PMS</v>
      </c>
      <c r="J1402" s="72" t="str">
        <f>IFERROR(__xludf.DUMMYFUNCTION("""COMPUTED_VALUE"""),"PMS")</f>
        <v>PMS</v>
      </c>
      <c r="K1402" s="72" t="str">
        <f>IFERROR(__xludf.DUMMYFUNCTION("""COMPUTED_VALUE"""),"RBS: 1ST PMS FREE")</f>
        <v>RBS: 1ST PMS FREE</v>
      </c>
      <c r="L1402" s="72" t="str">
        <f>IFERROR(__xludf.DUMMYFUNCTION("""COMPUTED_VALUE"""),"RBS: 1ST PMS DONE")</f>
        <v>RBS: 1ST PMS DONE</v>
      </c>
      <c r="M1402" s="2"/>
      <c r="N1402" s="2" t="str">
        <f>IFERROR(__xludf.DUMMYFUNCTION("""COMPUTED_VALUE"""),"PARTS:
OIL FILTER
ENGINE OIL")</f>
        <v>PARTS:
OIL FILTER
ENGINE OIL</v>
      </c>
      <c r="O1402" s="2">
        <f>IFERROR(__xludf.DUMMYFUNCTION("""COMPUTED_VALUE"""),609.0)</f>
        <v>609</v>
      </c>
      <c r="P1402" s="2"/>
      <c r="Q1402" s="2" t="str">
        <f>IFERROR(__xludf.DUMMYFUNCTION("""COMPUTED_VALUE"""),"FOR PRINT")</f>
        <v>FOR PRINT</v>
      </c>
      <c r="R1402" s="74">
        <f>IFERROR(__xludf.DUMMYFUNCTION("""COMPUTED_VALUE"""),46056.0)</f>
        <v>46056</v>
      </c>
      <c r="S1402" s="2" t="str">
        <f>IFERROR(__xludf.DUMMYFUNCTION("""COMPUTED_VALUE"""),"RBS/OJT")</f>
        <v>RBS/OJT</v>
      </c>
      <c r="T1402" s="73" t="str">
        <f>IFERROR(__xludf.DUMMYFUNCTION("""COMPUTED_VALUE""")," N/A ")</f>
        <v>N/A</v>
      </c>
      <c r="U1402" s="73" t="str">
        <f>IFERROR(__xludf.DUMMYFUNCTION("""COMPUTED_VALUE""")," NO CHARGE ")</f>
        <v>NO CHARGE</v>
      </c>
      <c r="V1402" s="2"/>
      <c r="W1402" s="2" t="str">
        <f>IFERROR(__xludf.DUMMYFUNCTION("""COMPUTED_VALUE"""),"N/A")</f>
        <v>N/A</v>
      </c>
      <c r="X1402" s="2" t="str">
        <f>IFERROR(__xludf.DUMMYFUNCTION("""COMPUTED_VALUE"""),"N/A")</f>
        <v>N/A</v>
      </c>
      <c r="Y1402" s="2"/>
      <c r="Z1402" s="2"/>
      <c r="AA1402" s="2"/>
      <c r="AB1402" s="2"/>
      <c r="AC1402" s="2"/>
      <c r="AD1402" s="2"/>
      <c r="AE1402" s="2"/>
      <c r="AF1402" s="2"/>
      <c r="AG1402" s="2"/>
      <c r="AH1402" s="2"/>
      <c r="AI1402" s="2"/>
      <c r="AJ1402" s="2" t="str">
        <f>IFERROR(__xludf.DUMMYFUNCTION("""COMPUTED_VALUE"""),"Buenavista")</f>
        <v>Buenavista</v>
      </c>
      <c r="AK1402" s="2" t="str">
        <f>IFERROR(__xludf.DUMMYFUNCTION("""COMPUTED_VALUE"""),"Sablayan")</f>
        <v>Sablayan</v>
      </c>
      <c r="AL1402" s="2" t="str">
        <f>IFERROR(__xludf.DUMMYFUNCTION("""COMPUTED_VALUE"""),"Occidental Mindoro")</f>
        <v>Occidental Mindoro</v>
      </c>
      <c r="AM1402" s="2" t="str">
        <f>IFERROR(__xludf.DUMMYFUNCTION("""COMPUTED_VALUE"""),"4B")</f>
        <v>4B</v>
      </c>
      <c r="AN1402" s="2" t="str">
        <f>IFERROR(__xludf.DUMMYFUNCTION("""COMPUTED_VALUE"""),"RCEF 25-03-05")</f>
        <v>RCEF 25-03-05</v>
      </c>
      <c r="AO1402" s="2">
        <f>IFERROR(__xludf.DUMMYFUNCTION("""COMPUTED_VALUE"""),6.0)</f>
        <v>6</v>
      </c>
      <c r="AP1402" s="2" t="str">
        <f>IFERROR(__xludf.DUMMYFUNCTION("""COMPUTED_VALUE"""),"FREE PMS")</f>
        <v>FREE PMS</v>
      </c>
      <c r="AQ1402" s="2"/>
      <c r="AR1402" s="2"/>
      <c r="AS1402" s="2"/>
      <c r="AT1402" s="2"/>
      <c r="AU1402" s="2"/>
      <c r="AV1402" s="2"/>
      <c r="AW1402" s="2"/>
      <c r="AX1402" s="2"/>
      <c r="AY1402" s="2"/>
      <c r="AZ1402" s="2"/>
      <c r="BA1402" s="2"/>
      <c r="BB1402" s="2"/>
    </row>
    <row r="1403">
      <c r="A1403" s="2">
        <f>IFERROR(__xludf.DUMMYFUNCTION("""COMPUTED_VALUE"""),1399.0)</f>
        <v>1399</v>
      </c>
      <c r="B1403" s="2" t="str">
        <f>IFERROR(__xludf.DUMMYFUNCTION("""COMPUTED_VALUE"""),"PENDING")</f>
        <v>PENDING</v>
      </c>
      <c r="C1403" s="74">
        <f>IFERROR(__xludf.DUMMYFUNCTION("""COMPUTED_VALUE"""),46056.0)</f>
        <v>46056</v>
      </c>
      <c r="D1403" s="71" t="str">
        <f>IFERROR(__xludf.DUMMYFUNCTION("""COMPUTED_VALUE"""),"Tina Integrated Farmers Association")</f>
        <v>Tina Integrated Farmers Association</v>
      </c>
      <c r="E1403" s="71" t="str">
        <f>IFERROR(__xludf.DUMMYFUNCTION("""COMPUTED_VALUE"""),"Tina, Badiangan, ILOILO")</f>
        <v>Tina, Badiangan, ILOILO</v>
      </c>
      <c r="F1403" s="2" t="str">
        <f>IFERROR(__xludf.DUMMYFUNCTION("""COMPUTED_VALUE"""),"Gilbert afinidad ")</f>
        <v>Gilbert afinidad </v>
      </c>
      <c r="G1403" s="2">
        <f>IFERROR(__xludf.DUMMYFUNCTION("""COMPUTED_VALUE"""),9.095285702E9)</f>
        <v>9095285702</v>
      </c>
      <c r="H1403" s="2">
        <f>IFERROR(__xludf.DUMMYFUNCTION("""COMPUTED_VALUE"""),284.0)</f>
        <v>284</v>
      </c>
      <c r="I1403" s="72" t="str">
        <f>IFERROR(__xludf.DUMMYFUNCTION("""COMPUTED_VALUE"""),"SPARE PARTS ACQUISITION")</f>
        <v>SPARE PARTS ACQUISITION</v>
      </c>
      <c r="J1403" s="72"/>
      <c r="K1403" s="72" t="str">
        <f>IFERROR(__xludf.DUMMYFUNCTION("""COMPUTED_VALUE"""),"RANDY: CYLINDER HEAD GASKET PROBLEM ")</f>
        <v>RANDY: CYLINDER HEAD GASKET PROBLEM </v>
      </c>
      <c r="L1403" s="72"/>
      <c r="M1403" s="2" t="str">
        <f>IFERROR(__xludf.DUMMYFUNCTION("""COMPUTED_VALUE"""),"CYLINDER HEAD GASKET")</f>
        <v>CYLINDER HEAD GASKET</v>
      </c>
      <c r="N1403" s="2"/>
      <c r="O1403" s="2"/>
      <c r="P1403" s="2"/>
      <c r="Q1403" s="2"/>
      <c r="R1403" s="2"/>
      <c r="S1403" s="2"/>
      <c r="T1403" s="2"/>
      <c r="U1403" s="2"/>
      <c r="V1403" s="2"/>
      <c r="W1403" s="2"/>
      <c r="X1403" s="2"/>
      <c r="Y1403" s="2"/>
      <c r="Z1403" s="2"/>
      <c r="AA1403" s="2"/>
      <c r="AB1403" s="2"/>
      <c r="AC1403" s="2"/>
      <c r="AD1403" s="2"/>
      <c r="AE1403" s="2"/>
      <c r="AF1403" s="2"/>
      <c r="AG1403" s="2"/>
      <c r="AH1403" s="2"/>
      <c r="AI1403" s="2"/>
      <c r="AJ1403" s="2" t="str">
        <f>IFERROR(__xludf.DUMMYFUNCTION("""COMPUTED_VALUE"""),"Tina")</f>
        <v>Tina</v>
      </c>
      <c r="AK1403" s="2" t="str">
        <f>IFERROR(__xludf.DUMMYFUNCTION("""COMPUTED_VALUE"""),"Badiangan")</f>
        <v>Badiangan</v>
      </c>
      <c r="AL1403" s="2" t="str">
        <f>IFERROR(__xludf.DUMMYFUNCTION("""COMPUTED_VALUE"""),"Iloilo")</f>
        <v>Iloilo</v>
      </c>
      <c r="AM1403" s="2">
        <f>IFERROR(__xludf.DUMMYFUNCTION("""COMPUTED_VALUE"""),6.0)</f>
        <v>6</v>
      </c>
      <c r="AN1403" s="2" t="str">
        <f>IFERROR(__xludf.DUMMYFUNCTION("""COMPUTED_VALUE"""),"RCEF 23-09-21 Rebidding")</f>
        <v>RCEF 23-09-21 Rebidding</v>
      </c>
      <c r="AO1403" s="2">
        <f>IFERROR(__xludf.DUMMYFUNCTION("""COMPUTED_VALUE"""),4.0)</f>
        <v>4</v>
      </c>
      <c r="AP1403" s="2"/>
      <c r="AQ1403" s="2"/>
      <c r="AR1403" s="2"/>
      <c r="AS1403" s="2"/>
      <c r="AT1403" s="2"/>
      <c r="AU1403" s="2"/>
      <c r="AV1403" s="2"/>
      <c r="AW1403" s="2"/>
      <c r="AX1403" s="2"/>
      <c r="AY1403" s="2"/>
      <c r="AZ1403" s="2"/>
      <c r="BA1403" s="2"/>
      <c r="BB1403" s="2"/>
    </row>
    <row r="1404">
      <c r="A1404" s="2">
        <f>IFERROR(__xludf.DUMMYFUNCTION("""COMPUTED_VALUE"""),1400.0)</f>
        <v>1400</v>
      </c>
      <c r="B1404" s="2" t="str">
        <f>IFERROR(__xludf.DUMMYFUNCTION("""COMPUTED_VALUE"""),"COMPLETED")</f>
        <v>COMPLETED</v>
      </c>
      <c r="C1404" s="74">
        <f>IFERROR(__xludf.DUMMYFUNCTION("""COMPUTED_VALUE"""),46057.0)</f>
        <v>46057</v>
      </c>
      <c r="D1404" s="71" t="str">
        <f>IFERROR(__xludf.DUMMYFUNCTION("""COMPUTED_VALUE"""),"FARMERS IRRIGATORS ASSOCATION POB. 2 PURA TARLAC, INC.")</f>
        <v>FARMERS IRRIGATORS ASSOCATION POB. 2 PURA TARLAC, INC.</v>
      </c>
      <c r="E1404" s="71" t="str">
        <f>IFERROR(__xludf.DUMMYFUNCTION("""COMPUTED_VALUE"""),"Poblacion 2, Pura, TARLAC")</f>
        <v>Poblacion 2, Pura, TARLAC</v>
      </c>
      <c r="F1404" s="2" t="str">
        <f>IFERROR(__xludf.DUMMYFUNCTION("""COMPUTED_VALUE"""),"DIONISIO JAVIER")</f>
        <v>DIONISIO JAVIER</v>
      </c>
      <c r="G1404" s="2">
        <f>IFERROR(__xludf.DUMMYFUNCTION("""COMPUTED_VALUE"""),9.318097583E9)</f>
        <v>9318097583</v>
      </c>
      <c r="H1404" s="2"/>
      <c r="I1404" s="72" t="str">
        <f>IFERROR(__xludf.DUMMYFUNCTION("""COMPUTED_VALUE"""),"SPARE PARTS ACQUISITION")</f>
        <v>SPARE PARTS ACQUISITION</v>
      </c>
      <c r="J1404" s="72"/>
      <c r="K1404" s="72" t="str">
        <f>IFERROR(__xludf.DUMMYFUNCTION("""COMPUTED_VALUE"""),"MYK: PARTS REQUEST: CYLINDER HEAD GASKET")</f>
        <v>MYK: PARTS REQUEST: CYLINDER HEAD GASKET</v>
      </c>
      <c r="L1404" s="72" t="str">
        <f>IFERROR(__xludf.DUMMYFUNCTION("""COMPUTED_VALUE"""),"QUOTATION SENT- DONE LBC")</f>
        <v>QUOTATION SENT- DONE LBC</v>
      </c>
      <c r="M1404" s="2"/>
      <c r="N1404" s="2" t="str">
        <f>IFERROR(__xludf.DUMMYFUNCTION("""COMPUTED_VALUE"""),"PARTS:
CYLINDER HEAD GASKET")</f>
        <v>PARTS:
CYLINDER HEAD GASKET</v>
      </c>
      <c r="O1404" s="2" t="str">
        <f>IFERROR(__xludf.DUMMYFUNCTION("""COMPUTED_VALUE"""),"N/A")</f>
        <v>N/A</v>
      </c>
      <c r="P1404" s="2"/>
      <c r="Q1404" s="2"/>
      <c r="R1404" s="74">
        <f>IFERROR(__xludf.DUMMYFUNCTION("""COMPUTED_VALUE"""),46078.0)</f>
        <v>46078</v>
      </c>
      <c r="S1404" s="2" t="str">
        <f>IFERROR(__xludf.DUMMYFUNCTION("""COMPUTED_VALUE"""),"MYKEE")</f>
        <v>MYKEE</v>
      </c>
      <c r="T1404" s="73">
        <f>IFERROR(__xludf.DUMMYFUNCTION("""COMPUTED_VALUE"""),7160.0)</f>
        <v>7160</v>
      </c>
      <c r="U1404" s="73" t="str">
        <f>IFERROR(__xludf.DUMMYFUNCTION("""COMPUTED_VALUE""")," NO CHARGE ")</f>
        <v>NO CHARGE</v>
      </c>
      <c r="V1404" s="2" t="str">
        <f>IFERROR(__xludf.DUMMYFUNCTION("""COMPUTED_VALUE"""),"N/A")</f>
        <v>N/A</v>
      </c>
      <c r="W1404" s="2" t="str">
        <f>IFERROR(__xludf.DUMMYFUNCTION("""COMPUTED_VALUE"""),"N/A")</f>
        <v>N/A</v>
      </c>
      <c r="X1404" s="2" t="str">
        <f>IFERROR(__xludf.DUMMYFUNCTION("""COMPUTED_VALUE"""),"N/A")</f>
        <v>N/A</v>
      </c>
      <c r="Y1404" s="2"/>
      <c r="Z1404" s="2"/>
      <c r="AA1404" s="2"/>
      <c r="AB1404" s="2"/>
      <c r="AC1404" s="2"/>
      <c r="AD1404" s="2"/>
      <c r="AE1404" s="2"/>
      <c r="AF1404" s="2"/>
      <c r="AG1404" s="2"/>
      <c r="AH1404" s="2"/>
      <c r="AI1404" s="2"/>
      <c r="AJ1404" s="2" t="str">
        <f>IFERROR(__xludf.DUMMYFUNCTION("""COMPUTED_VALUE"""),"Poblacion 2")</f>
        <v>Poblacion 2</v>
      </c>
      <c r="AK1404" s="2" t="str">
        <f>IFERROR(__xludf.DUMMYFUNCTION("""COMPUTED_VALUE"""),"Pura")</f>
        <v>Pura</v>
      </c>
      <c r="AL1404" s="2" t="str">
        <f>IFERROR(__xludf.DUMMYFUNCTION("""COMPUTED_VALUE"""),"Tarlac")</f>
        <v>Tarlac</v>
      </c>
      <c r="AM1404" s="2">
        <f>IFERROR(__xludf.DUMMYFUNCTION("""COMPUTED_VALUE"""),3.0)</f>
        <v>3</v>
      </c>
      <c r="AN1404" s="2" t="str">
        <f>IFERROR(__xludf.DUMMYFUNCTION("""COMPUTED_VALUE"""),"RCEF 23-09-21 Rebidding")</f>
        <v>RCEF 23-09-21 Rebidding</v>
      </c>
      <c r="AO1404" s="2">
        <f>IFERROR(__xludf.DUMMYFUNCTION("""COMPUTED_VALUE"""),3.0)</f>
        <v>3</v>
      </c>
      <c r="AP1404" s="2"/>
      <c r="AQ1404" s="2"/>
      <c r="AR1404" s="2"/>
      <c r="AS1404" s="2"/>
      <c r="AT1404" s="2"/>
      <c r="AU1404" s="2"/>
      <c r="AV1404" s="2"/>
      <c r="AW1404" s="2"/>
      <c r="AX1404" s="2"/>
      <c r="AY1404" s="2"/>
      <c r="AZ1404" s="2"/>
      <c r="BA1404" s="2"/>
      <c r="BB1404" s="2"/>
    </row>
    <row r="1405">
      <c r="A1405" s="2">
        <f>IFERROR(__xludf.DUMMYFUNCTION("""COMPUTED_VALUE"""),1401.0)</f>
        <v>1401</v>
      </c>
      <c r="B1405" s="2" t="str">
        <f>IFERROR(__xludf.DUMMYFUNCTION("""COMPUTED_VALUE"""),"COMPLETED")</f>
        <v>COMPLETED</v>
      </c>
      <c r="C1405" s="74">
        <f>IFERROR(__xludf.DUMMYFUNCTION("""COMPUTED_VALUE"""),46057.0)</f>
        <v>46057</v>
      </c>
      <c r="D1405" s="71" t="str">
        <f>IFERROR(__xludf.DUMMYFUNCTION("""COMPUTED_VALUE"""),"Dela Paz South Farmers Irrigators Association, Inc.")</f>
        <v>Dela Paz South Farmers Irrigators Association, Inc.</v>
      </c>
      <c r="E1405" s="71" t="str">
        <f>IFERROR(__xludf.DUMMYFUNCTION("""COMPUTED_VALUE"""),"Dela Paz, Tarlac City, TARLAC")</f>
        <v>Dela Paz, Tarlac City, TARLAC</v>
      </c>
      <c r="F1405" s="2" t="str">
        <f>IFERROR(__xludf.DUMMYFUNCTION("""COMPUTED_VALUE"""),"PEDRO NICDAO")</f>
        <v>PEDRO NICDAO</v>
      </c>
      <c r="G1405" s="2" t="str">
        <f>IFERROR(__xludf.DUMMYFUNCTION("""COMPUTED_VALUE"""),"0908 964 341")</f>
        <v>0908 964 341</v>
      </c>
      <c r="H1405" s="2">
        <f>IFERROR(__xludf.DUMMYFUNCTION("""COMPUTED_VALUE"""),20.0)</f>
        <v>20</v>
      </c>
      <c r="I1405" s="72" t="str">
        <f>IFERROR(__xludf.DUMMYFUNCTION("""COMPUTED_VALUE"""),"REPAIR - TRACTOR")</f>
        <v>REPAIR - TRACTOR</v>
      </c>
      <c r="J1405" s="72" t="str">
        <f>IFERROR(__xludf.DUMMYFUNCTION("""COMPUTED_VALUE"""),"Electrical - Dashboard")</f>
        <v>Electrical - Dashboard</v>
      </c>
      <c r="K1405" s="72" t="str">
        <f>IFERROR(__xludf.DUMMYFUNCTION("""COMPUTED_VALUE"""),"KFS: FOR CHECK UP- DASHBOARD / ELECTRICAL PROBLEM")</f>
        <v>KFS: FOR CHECK UP- DASHBOARD / ELECTRICAL PROBLEM</v>
      </c>
      <c r="L1405" s="72" t="str">
        <f>IFERROR(__xludf.DUMMYFUNCTION("""COMPUTED_VALUE"""),"ACS: FIXING DASHBOARD CONNECTION AND 1ST PMS DONE")</f>
        <v>ACS: FIXING DASHBOARD CONNECTION AND 1ST PMS DONE</v>
      </c>
      <c r="M1405" s="2"/>
      <c r="N1405" s="2" t="str">
        <f>IFERROR(__xludf.DUMMYFUNCTION("""COMPUTED_VALUE"""),"PARTS:
OIL FILTER
ENGINE OIL")</f>
        <v>PARTS:
OIL FILTER
ENGINE OIL</v>
      </c>
      <c r="O1405" s="2">
        <f>IFERROR(__xludf.DUMMYFUNCTION("""COMPUTED_VALUE"""),672.0)</f>
        <v>672</v>
      </c>
      <c r="P1405" s="2"/>
      <c r="Q1405" s="2" t="str">
        <f>IFERROR(__xludf.DUMMYFUNCTION("""COMPUTED_VALUE"""),"FOR PRINT")</f>
        <v>FOR PRINT</v>
      </c>
      <c r="R1405" s="74">
        <f>IFERROR(__xludf.DUMMYFUNCTION("""COMPUTED_VALUE"""),46069.0)</f>
        <v>46069</v>
      </c>
      <c r="S1405" s="2" t="str">
        <f>IFERROR(__xludf.DUMMYFUNCTION("""COMPUTED_VALUE"""),"JHP/ACS")</f>
        <v>JHP/ACS</v>
      </c>
      <c r="T1405" s="73" t="str">
        <f>IFERROR(__xludf.DUMMYFUNCTION("""COMPUTED_VALUE""")," N/A ")</f>
        <v>N/A</v>
      </c>
      <c r="U1405" s="73" t="str">
        <f>IFERROR(__xludf.DUMMYFUNCTION("""COMPUTED_VALUE""")," NO CHARGE ")</f>
        <v>NO CHARGE</v>
      </c>
      <c r="V1405" s="2">
        <f>IFERROR(__xludf.DUMMYFUNCTION("""COMPUTED_VALUE"""),1300.0)</f>
        <v>1300</v>
      </c>
      <c r="W1405" s="2" t="str">
        <f>IFERROR(__xludf.DUMMYFUNCTION("""COMPUTED_VALUE"""),"N/A")</f>
        <v>N/A</v>
      </c>
      <c r="X1405" s="2" t="str">
        <f>IFERROR(__xludf.DUMMYFUNCTION("""COMPUTED_VALUE"""),"N/A")</f>
        <v>N/A</v>
      </c>
      <c r="Y1405" s="2"/>
      <c r="Z1405" s="2"/>
      <c r="AA1405" s="2"/>
      <c r="AB1405" s="2"/>
      <c r="AC1405" s="2"/>
      <c r="AD1405" s="2"/>
      <c r="AE1405" s="2"/>
      <c r="AF1405" s="2"/>
      <c r="AG1405" s="2"/>
      <c r="AH1405" s="2"/>
      <c r="AI1405" s="2"/>
      <c r="AJ1405" s="2" t="str">
        <f>IFERROR(__xludf.DUMMYFUNCTION("""COMPUTED_VALUE"""),"Dela Paz")</f>
        <v>Dela Paz</v>
      </c>
      <c r="AK1405" s="2" t="str">
        <f>IFERROR(__xludf.DUMMYFUNCTION("""COMPUTED_VALUE"""),"Tarlac City")</f>
        <v>Tarlac City</v>
      </c>
      <c r="AL1405" s="2" t="str">
        <f>IFERROR(__xludf.DUMMYFUNCTION("""COMPUTED_VALUE"""),"Tarlac")</f>
        <v>Tarlac</v>
      </c>
      <c r="AM1405" s="2">
        <f>IFERROR(__xludf.DUMMYFUNCTION("""COMPUTED_VALUE"""),3.0)</f>
        <v>3</v>
      </c>
      <c r="AN1405" s="2" t="str">
        <f>IFERROR(__xludf.DUMMYFUNCTION("""COMPUTED_VALUE"""),"RCEF 25-03-05")</f>
        <v>RCEF 25-03-05</v>
      </c>
      <c r="AO1405" s="2">
        <f>IFERROR(__xludf.DUMMYFUNCTION("""COMPUTED_VALUE"""),5.0)</f>
        <v>5</v>
      </c>
      <c r="AP1405" s="2" t="str">
        <f>IFERROR(__xludf.DUMMYFUNCTION("""COMPUTED_VALUE"""),"FREE PMS")</f>
        <v>FREE PMS</v>
      </c>
      <c r="AQ1405" s="2"/>
      <c r="AR1405" s="2"/>
      <c r="AS1405" s="2"/>
      <c r="AT1405" s="2"/>
      <c r="AU1405" s="2"/>
      <c r="AV1405" s="2"/>
      <c r="AW1405" s="2"/>
      <c r="AX1405" s="2"/>
      <c r="AY1405" s="2"/>
      <c r="AZ1405" s="2"/>
      <c r="BA1405" s="2"/>
      <c r="BB1405" s="2"/>
    </row>
    <row r="1406">
      <c r="A1406" s="2">
        <f>IFERROR(__xludf.DUMMYFUNCTION("""COMPUTED_VALUE"""),1402.0)</f>
        <v>1402</v>
      </c>
      <c r="B1406" s="2" t="str">
        <f>IFERROR(__xludf.DUMMYFUNCTION("""COMPUTED_VALUE"""),"COMPLETED")</f>
        <v>COMPLETED</v>
      </c>
      <c r="C1406" s="74">
        <f>IFERROR(__xludf.DUMMYFUNCTION("""COMPUTED_VALUE"""),46057.0)</f>
        <v>46057</v>
      </c>
      <c r="D1406" s="71" t="str">
        <f>IFERROR(__xludf.DUMMYFUNCTION("""COMPUTED_VALUE"""),"Babancal Alindayat Farmers/Irrigators Association Inc.")</f>
        <v>Babancal Alindayat Farmers/Irrigators Association Inc.</v>
      </c>
      <c r="E1406" s="71" t="str">
        <f>IFERROR(__xludf.DUMMYFUNCTION("""COMPUTED_VALUE"""),"Babancal, Candelaria, ZAMBALES")</f>
        <v>Babancal, Candelaria, ZAMBALES</v>
      </c>
      <c r="F1406" s="2" t="str">
        <f>IFERROR(__xludf.DUMMYFUNCTION("""COMPUTED_VALUE"""),"ALLAN M, ALCANTARA ")</f>
        <v>ALLAN M, ALCANTARA </v>
      </c>
      <c r="G1406" s="2">
        <f>IFERROR(__xludf.DUMMYFUNCTION("""COMPUTED_VALUE"""),9.674951331E9)</f>
        <v>9674951331</v>
      </c>
      <c r="H1406" s="2">
        <f>IFERROR(__xludf.DUMMYFUNCTION("""COMPUTED_VALUE"""),50.0)</f>
        <v>50</v>
      </c>
      <c r="I1406" s="72" t="str">
        <f>IFERROR(__xludf.DUMMYFUNCTION("""COMPUTED_VALUE"""),"PMS")</f>
        <v>PMS</v>
      </c>
      <c r="J1406" s="72" t="str">
        <f>IFERROR(__xludf.DUMMYFUNCTION("""COMPUTED_VALUE"""),"PMS")</f>
        <v>PMS</v>
      </c>
      <c r="K1406" s="72" t="str">
        <f>IFERROR(__xludf.DUMMYFUNCTION("""COMPUTED_VALUE"""),"ACS: 1ST PMS FREE")</f>
        <v>ACS: 1ST PMS FREE</v>
      </c>
      <c r="L1406" s="72" t="str">
        <f>IFERROR(__xludf.DUMMYFUNCTION("""COMPUTED_VALUE"""),"ECM: 1ST PMS DONE")</f>
        <v>ECM: 1ST PMS DONE</v>
      </c>
      <c r="M1406" s="2"/>
      <c r="N1406" s="2" t="str">
        <f>IFERROR(__xludf.DUMMYFUNCTION("""COMPUTED_VALUE"""),"PARTS:
OIL FILTER
ENGINE OIL")</f>
        <v>PARTS:
OIL FILTER
ENGINE OIL</v>
      </c>
      <c r="O1406" s="2">
        <f>IFERROR(__xludf.DUMMYFUNCTION("""COMPUTED_VALUE"""),902.0)</f>
        <v>902</v>
      </c>
      <c r="P1406" s="2"/>
      <c r="Q1406" s="2" t="str">
        <f>IFERROR(__xludf.DUMMYFUNCTION("""COMPUTED_VALUE"""),"FOR PRINT")</f>
        <v>FOR PRINT</v>
      </c>
      <c r="R1406" s="74">
        <f>IFERROR(__xludf.DUMMYFUNCTION("""COMPUTED_VALUE"""),46063.0)</f>
        <v>46063</v>
      </c>
      <c r="S1406" s="2" t="str">
        <f>IFERROR(__xludf.DUMMYFUNCTION("""COMPUTED_VALUE"""),"ECM/PPS")</f>
        <v>ECM/PPS</v>
      </c>
      <c r="T1406" s="73" t="str">
        <f>IFERROR(__xludf.DUMMYFUNCTION("""COMPUTED_VALUE""")," N/A ")</f>
        <v>N/A</v>
      </c>
      <c r="U1406" s="73" t="str">
        <f>IFERROR(__xludf.DUMMYFUNCTION("""COMPUTED_VALUE""")," NO CHARGE ")</f>
        <v>NO CHARGE</v>
      </c>
      <c r="V1406" s="2" t="str">
        <f>IFERROR(__xludf.DUMMYFUNCTION("""COMPUTED_VALUE"""),"NO DR")</f>
        <v>NO DR</v>
      </c>
      <c r="W1406" s="2" t="str">
        <f>IFERROR(__xludf.DUMMYFUNCTION("""COMPUTED_VALUE"""),"N/A")</f>
        <v>N/A</v>
      </c>
      <c r="X1406" s="2" t="str">
        <f>IFERROR(__xludf.DUMMYFUNCTION("""COMPUTED_VALUE"""),"N/A")</f>
        <v>N/A</v>
      </c>
      <c r="Y1406" s="2"/>
      <c r="Z1406" s="2"/>
      <c r="AA1406" s="2"/>
      <c r="AB1406" s="2"/>
      <c r="AC1406" s="2"/>
      <c r="AD1406" s="2"/>
      <c r="AE1406" s="2"/>
      <c r="AF1406" s="2"/>
      <c r="AG1406" s="2"/>
      <c r="AH1406" s="2"/>
      <c r="AI1406" s="2"/>
      <c r="AJ1406" s="2" t="str">
        <f>IFERROR(__xludf.DUMMYFUNCTION("""COMPUTED_VALUE"""),"Babancal")</f>
        <v>Babancal</v>
      </c>
      <c r="AK1406" s="2" t="str">
        <f>IFERROR(__xludf.DUMMYFUNCTION("""COMPUTED_VALUE"""),"Candelaria")</f>
        <v>Candelaria</v>
      </c>
      <c r="AL1406" s="2" t="str">
        <f>IFERROR(__xludf.DUMMYFUNCTION("""COMPUTED_VALUE"""),"Zambales")</f>
        <v>Zambales</v>
      </c>
      <c r="AM1406" s="2">
        <f>IFERROR(__xludf.DUMMYFUNCTION("""COMPUTED_VALUE"""),3.0)</f>
        <v>3</v>
      </c>
      <c r="AN1406" s="2" t="str">
        <f>IFERROR(__xludf.DUMMYFUNCTION("""COMPUTED_VALUE"""),"RCEF 25-03-05")</f>
        <v>RCEF 25-03-05</v>
      </c>
      <c r="AO1406" s="2">
        <f>IFERROR(__xludf.DUMMYFUNCTION("""COMPUTED_VALUE"""),5.0)</f>
        <v>5</v>
      </c>
      <c r="AP1406" s="2" t="str">
        <f>IFERROR(__xludf.DUMMYFUNCTION("""COMPUTED_VALUE"""),"FREE PMS")</f>
        <v>FREE PMS</v>
      </c>
      <c r="AQ1406" s="2"/>
      <c r="AR1406" s="2"/>
      <c r="AS1406" s="2"/>
      <c r="AT1406" s="2"/>
      <c r="AU1406" s="2"/>
      <c r="AV1406" s="2"/>
      <c r="AW1406" s="2"/>
      <c r="AX1406" s="2"/>
      <c r="AY1406" s="2"/>
      <c r="AZ1406" s="2"/>
      <c r="BA1406" s="2"/>
      <c r="BB1406" s="2"/>
    </row>
    <row r="1407">
      <c r="A1407" s="2">
        <f>IFERROR(__xludf.DUMMYFUNCTION("""COMPUTED_VALUE"""),1403.0)</f>
        <v>1403</v>
      </c>
      <c r="B1407" s="2" t="str">
        <f>IFERROR(__xludf.DUMMYFUNCTION("""COMPUTED_VALUE"""),"COMPLETED")</f>
        <v>COMPLETED</v>
      </c>
      <c r="C1407" s="74">
        <f>IFERROR(__xludf.DUMMYFUNCTION("""COMPUTED_VALUE"""),46058.0)</f>
        <v>46058</v>
      </c>
      <c r="D1407" s="71" t="str">
        <f>IFERROR(__xludf.DUMMYFUNCTION("""COMPUTED_VALUE"""),"PINAGBUKLOD FARMERS' ASSOCIATION")</f>
        <v>PINAGBUKLOD FARMERS' ASSOCIATION</v>
      </c>
      <c r="E1407" s="71" t="str">
        <f>IFERROR(__xludf.DUMMYFUNCTION("""COMPUTED_VALUE"""),"San Nicolas, Sablayan, OCCIDENTAL MINDORO")</f>
        <v>San Nicolas, Sablayan, OCCIDENTAL MINDORO</v>
      </c>
      <c r="F1407" s="2"/>
      <c r="G1407" s="2">
        <f>IFERROR(__xludf.DUMMYFUNCTION("""COMPUTED_VALUE"""),9.268482324E9)</f>
        <v>9268482324</v>
      </c>
      <c r="H1407" s="2"/>
      <c r="I1407" s="72" t="str">
        <f>IFERROR(__xludf.DUMMYFUNCTION("""COMPUTED_VALUE"""),"SPARE PARTS ACQUISITION")</f>
        <v>SPARE PARTS ACQUISITION</v>
      </c>
      <c r="J1407" s="72"/>
      <c r="K1407" s="72" t="str">
        <f>IFERROR(__xludf.DUMMYFUNCTION("""COMPUTED_VALUE"""),"RBS: PARTS REQUEST
Clutch release bearing
Oil seal front")</f>
        <v>RBS: PARTS REQUEST
Clutch release bearing
Oil seal front</v>
      </c>
      <c r="L1407" s="72" t="str">
        <f>IFERROR(__xludf.DUMMYFUNCTION("""COMPUTED_VALUE"""),"FB PAGE SENT- CANCEL ORDER
 REPAIRED BY FCA")</f>
        <v>FB PAGE SENT- CANCEL ORDER
 REPAIRED BY FCA</v>
      </c>
      <c r="M1407" s="2"/>
      <c r="N1407" s="2"/>
      <c r="O1407" s="2" t="str">
        <f>IFERROR(__xludf.DUMMYFUNCTION("""COMPUTED_VALUE"""),"N/A")</f>
        <v>N/A</v>
      </c>
      <c r="P1407" s="2"/>
      <c r="Q1407" s="2"/>
      <c r="R1407" s="74">
        <f>IFERROR(__xludf.DUMMYFUNCTION("""COMPUTED_VALUE"""),13213.0)</f>
        <v>13213</v>
      </c>
      <c r="S1407" s="2" t="str">
        <f>IFERROR(__xludf.DUMMYFUNCTION("""COMPUTED_VALUE"""),"MYKEE")</f>
        <v>MYKEE</v>
      </c>
      <c r="T1407" s="73" t="str">
        <f>IFERROR(__xludf.DUMMYFUNCTION("""COMPUTED_VALUE""")," N/A ")</f>
        <v>N/A</v>
      </c>
      <c r="U1407" s="73" t="str">
        <f>IFERROR(__xludf.DUMMYFUNCTION("""COMPUTED_VALUE""")," NO CHARGE ")</f>
        <v>NO CHARGE</v>
      </c>
      <c r="V1407" s="2" t="str">
        <f>IFERROR(__xludf.DUMMYFUNCTION("""COMPUTED_VALUE"""),"N/A")</f>
        <v>N/A</v>
      </c>
      <c r="W1407" s="2" t="str">
        <f>IFERROR(__xludf.DUMMYFUNCTION("""COMPUTED_VALUE"""),"N/A")</f>
        <v>N/A</v>
      </c>
      <c r="X1407" s="2" t="str">
        <f>IFERROR(__xludf.DUMMYFUNCTION("""COMPUTED_VALUE"""),"N/A")</f>
        <v>N/A</v>
      </c>
      <c r="Y1407" s="2"/>
      <c r="Z1407" s="2"/>
      <c r="AA1407" s="2"/>
      <c r="AB1407" s="2"/>
      <c r="AC1407" s="2"/>
      <c r="AD1407" s="2"/>
      <c r="AE1407" s="2"/>
      <c r="AF1407" s="2"/>
      <c r="AG1407" s="2"/>
      <c r="AH1407" s="2"/>
      <c r="AI1407" s="2"/>
      <c r="AJ1407" s="2" t="str">
        <f>IFERROR(__xludf.DUMMYFUNCTION("""COMPUTED_VALUE"""),"San Nicolas")</f>
        <v>San Nicolas</v>
      </c>
      <c r="AK1407" s="2" t="str">
        <f>IFERROR(__xludf.DUMMYFUNCTION("""COMPUTED_VALUE"""),"Sablayan")</f>
        <v>Sablayan</v>
      </c>
      <c r="AL1407" s="2" t="str">
        <f>IFERROR(__xludf.DUMMYFUNCTION("""COMPUTED_VALUE"""),"Occidental Mindoro")</f>
        <v>Occidental Mindoro</v>
      </c>
      <c r="AM1407" s="2" t="str">
        <f>IFERROR(__xludf.DUMMYFUNCTION("""COMPUTED_VALUE"""),"4B")</f>
        <v>4B</v>
      </c>
      <c r="AN1407" s="2" t="str">
        <f>IFERROR(__xludf.DUMMYFUNCTION("""COMPUTED_VALUE"""),"RCEF 24-04-15")</f>
        <v>RCEF 24-04-15</v>
      </c>
      <c r="AO1407" s="2">
        <f>IFERROR(__xludf.DUMMYFUNCTION("""COMPUTED_VALUE"""),7.0)</f>
        <v>7</v>
      </c>
      <c r="AP1407" s="2" t="str">
        <f>IFERROR(__xludf.DUMMYFUNCTION("""COMPUTED_VALUE"""),"FREE PMS")</f>
        <v>FREE PMS</v>
      </c>
      <c r="AQ1407" s="2"/>
      <c r="AR1407" s="2"/>
      <c r="AS1407" s="2"/>
      <c r="AT1407" s="2"/>
      <c r="AU1407" s="2"/>
      <c r="AV1407" s="2"/>
      <c r="AW1407" s="2"/>
      <c r="AX1407" s="2"/>
      <c r="AY1407" s="2"/>
      <c r="AZ1407" s="2"/>
      <c r="BA1407" s="2"/>
      <c r="BB1407" s="2"/>
    </row>
    <row r="1408">
      <c r="A1408" s="2">
        <f>IFERROR(__xludf.DUMMYFUNCTION("""COMPUTED_VALUE"""),1404.0)</f>
        <v>1404</v>
      </c>
      <c r="B1408" s="2" t="str">
        <f>IFERROR(__xludf.DUMMYFUNCTION("""COMPUTED_VALUE"""),"COMPLETED")</f>
        <v>COMPLETED</v>
      </c>
      <c r="C1408" s="74">
        <f>IFERROR(__xludf.DUMMYFUNCTION("""COMPUTED_VALUE"""),46058.0)</f>
        <v>46058</v>
      </c>
      <c r="D1408" s="71" t="str">
        <f>IFERROR(__xludf.DUMMYFUNCTION("""COMPUTED_VALUE"""),"Sta. Maria Kapatanian Agriculture Cooperative")</f>
        <v>Sta. Maria Kapatanian Agriculture Cooperative</v>
      </c>
      <c r="E1408" s="71" t="str">
        <f>IFERROR(__xludf.DUMMYFUNCTION("""COMPUTED_VALUE"""),"Santa Maria, Camiling, TARLAC")</f>
        <v>Santa Maria, Camiling, TARLAC</v>
      </c>
      <c r="F1408" s="2" t="str">
        <f>IFERROR(__xludf.DUMMYFUNCTION("""COMPUTED_VALUE"""),"LOUIS AGUSTIN")</f>
        <v>LOUIS AGUSTIN</v>
      </c>
      <c r="G1408" s="2">
        <f>IFERROR(__xludf.DUMMYFUNCTION("""COMPUTED_VALUE"""),9.691064703E9)</f>
        <v>9691064703</v>
      </c>
      <c r="H1408" s="2"/>
      <c r="I1408" s="72" t="str">
        <f>IFERROR(__xludf.DUMMYFUNCTION("""COMPUTED_VALUE"""),"PMS")</f>
        <v>PMS</v>
      </c>
      <c r="J1408" s="72" t="str">
        <f>IFERROR(__xludf.DUMMYFUNCTION("""COMPUTED_VALUE"""),"PMS")</f>
        <v>PMS</v>
      </c>
      <c r="K1408" s="72" t="str">
        <f>IFERROR(__xludf.DUMMYFUNCTION("""COMPUTED_VALUE"""),"MYK: 1ST PMS FREE")</f>
        <v>MYK: 1ST PMS FREE</v>
      </c>
      <c r="L1408" s="72" t="str">
        <f>IFERROR(__xludf.DUMMYFUNCTION("""COMPUTED_VALUE"""),"JHP: 1ST PMS DONE")</f>
        <v>JHP: 1ST PMS DONE</v>
      </c>
      <c r="M1408" s="2"/>
      <c r="N1408" s="2" t="str">
        <f>IFERROR(__xludf.DUMMYFUNCTION("""COMPUTED_VALUE"""),"PARTS:
OIL FILTER
ENGINE OIL")</f>
        <v>PARTS:
OIL FILTER
ENGINE OIL</v>
      </c>
      <c r="O1408" s="2">
        <f>IFERROR(__xludf.DUMMYFUNCTION("""COMPUTED_VALUE"""),669.0)</f>
        <v>669</v>
      </c>
      <c r="P1408" s="2"/>
      <c r="Q1408" s="2" t="str">
        <f>IFERROR(__xludf.DUMMYFUNCTION("""COMPUTED_VALUE"""),"FOR PRINT")</f>
        <v>FOR PRINT</v>
      </c>
      <c r="R1408" s="74">
        <f>IFERROR(__xludf.DUMMYFUNCTION("""COMPUTED_VALUE"""),46064.0)</f>
        <v>46064</v>
      </c>
      <c r="S1408" s="2" t="str">
        <f>IFERROR(__xludf.DUMMYFUNCTION("""COMPUTED_VALUE"""),"JHP")</f>
        <v>JHP</v>
      </c>
      <c r="T1408" s="73" t="str">
        <f>IFERROR(__xludf.DUMMYFUNCTION("""COMPUTED_VALUE""")," N/A ")</f>
        <v>N/A</v>
      </c>
      <c r="U1408" s="73" t="str">
        <f>IFERROR(__xludf.DUMMYFUNCTION("""COMPUTED_VALUE""")," NO CHARGE ")</f>
        <v>NO CHARGE</v>
      </c>
      <c r="V1408" s="2"/>
      <c r="W1408" s="2" t="str">
        <f>IFERROR(__xludf.DUMMYFUNCTION("""COMPUTED_VALUE"""),"N/A")</f>
        <v>N/A</v>
      </c>
      <c r="X1408" s="2" t="str">
        <f>IFERROR(__xludf.DUMMYFUNCTION("""COMPUTED_VALUE"""),"N/A")</f>
        <v>N/A</v>
      </c>
      <c r="Y1408" s="2"/>
      <c r="Z1408" s="2"/>
      <c r="AA1408" s="2"/>
      <c r="AB1408" s="2"/>
      <c r="AC1408" s="2"/>
      <c r="AD1408" s="2"/>
      <c r="AE1408" s="2"/>
      <c r="AF1408" s="2"/>
      <c r="AG1408" s="2"/>
      <c r="AH1408" s="2"/>
      <c r="AI1408" s="2"/>
      <c r="AJ1408" s="2" t="str">
        <f>IFERROR(__xludf.DUMMYFUNCTION("""COMPUTED_VALUE"""),"Santa Maria")</f>
        <v>Santa Maria</v>
      </c>
      <c r="AK1408" s="2" t="str">
        <f>IFERROR(__xludf.DUMMYFUNCTION("""COMPUTED_VALUE"""),"Camiling")</f>
        <v>Camiling</v>
      </c>
      <c r="AL1408" s="2" t="str">
        <f>IFERROR(__xludf.DUMMYFUNCTION("""COMPUTED_VALUE"""),"Tarlac")</f>
        <v>Tarlac</v>
      </c>
      <c r="AM1408" s="2">
        <f>IFERROR(__xludf.DUMMYFUNCTION("""COMPUTED_VALUE"""),3.0)</f>
        <v>3</v>
      </c>
      <c r="AN1408" s="2" t="str">
        <f>IFERROR(__xludf.DUMMYFUNCTION("""COMPUTED_VALUE"""),"RCEF 25-03-05")</f>
        <v>RCEF 25-03-05</v>
      </c>
      <c r="AO1408" s="2">
        <f>IFERROR(__xludf.DUMMYFUNCTION("""COMPUTED_VALUE"""),5.0)</f>
        <v>5</v>
      </c>
      <c r="AP1408" s="2" t="str">
        <f>IFERROR(__xludf.DUMMYFUNCTION("""COMPUTED_VALUE"""),"FREE PMS")</f>
        <v>FREE PMS</v>
      </c>
      <c r="AQ1408" s="2"/>
      <c r="AR1408" s="2"/>
      <c r="AS1408" s="2"/>
      <c r="AT1408" s="2"/>
      <c r="AU1408" s="2"/>
      <c r="AV1408" s="2"/>
      <c r="AW1408" s="2"/>
      <c r="AX1408" s="2"/>
      <c r="AY1408" s="2"/>
      <c r="AZ1408" s="2"/>
      <c r="BA1408" s="2"/>
      <c r="BB1408" s="2"/>
    </row>
    <row r="1409">
      <c r="A1409" s="2">
        <f>IFERROR(__xludf.DUMMYFUNCTION("""COMPUTED_VALUE"""),1405.0)</f>
        <v>1405</v>
      </c>
      <c r="B1409" s="2" t="str">
        <f>IFERROR(__xludf.DUMMYFUNCTION("""COMPUTED_VALUE"""),"COMPLETED")</f>
        <v>COMPLETED</v>
      </c>
      <c r="C1409" s="74">
        <f>IFERROR(__xludf.DUMMYFUNCTION("""COMPUTED_VALUE"""),46058.0)</f>
        <v>46058</v>
      </c>
      <c r="D1409" s="71" t="str">
        <f>IFERROR(__xludf.DUMMYFUNCTION("""COMPUTED_VALUE"""),"Adamson - Bambang Farmers Association")</f>
        <v>Adamson - Bambang Farmers Association</v>
      </c>
      <c r="E1409" s="71" t="str">
        <f>IFERROR(__xludf.DUMMYFUNCTION("""COMPUTED_VALUE"""),"Gugo, Samal, BATAAN")</f>
        <v>Gugo, Samal, BATAAN</v>
      </c>
      <c r="F1409" s="2" t="str">
        <f>IFERROR(__xludf.DUMMYFUNCTION("""COMPUTED_VALUE"""),"Raul Dela Rosa")</f>
        <v>Raul Dela Rosa</v>
      </c>
      <c r="G1409" s="2" t="str">
        <f>IFERROR(__xludf.DUMMYFUNCTION("""COMPUTED_VALUE"""),"9266164086 / 09957427826  / 09683875257")</f>
        <v>9266164086 / 09957427826  / 09683875257</v>
      </c>
      <c r="H1409" s="2">
        <f>IFERROR(__xludf.DUMMYFUNCTION("""COMPUTED_VALUE"""),70.8)</f>
        <v>70.8</v>
      </c>
      <c r="I1409" s="72" t="str">
        <f>IFERROR(__xludf.DUMMYFUNCTION("""COMPUTED_VALUE"""),"REPAIR - TRACTOR")</f>
        <v>REPAIR - TRACTOR</v>
      </c>
      <c r="J1409" s="72" t="str">
        <f>IFERROR(__xludf.DUMMYFUNCTION("""COMPUTED_VALUE"""),"Transmission - Clutch")</f>
        <v>Transmission - Clutch</v>
      </c>
      <c r="K1409" s="72" t="str">
        <f>IFERROR(__xludf.DUMMYFUNCTION("""COMPUTED_VALUE"""),"DSD: BURNED CLUTCH LINING
MYK: ON SITE DELIVERY - UPON DELIVERY OF UNIT NO DEMO FROM SUPPLIER,  TRAINED YUNG OPERATOR SA KUBOTA,
BAGO UMABOT NG 50 HRS TINAWAG NA NI PRESIDENT FOR PMS SCHEDULE.  NGUNIT DI AGAD NAPUNTAHAN YUNG TRACTOR PARA MA PMS, HABANG "&amp;"DI PA NAPUPUNTAHAN GINAMIT PADIN ANG TRACTOR  PARA PATAGIN YUNG LUPA NA PAGTATAYUAN NG DRYER , DUN NA NANGANGAMOY SUNOG  TALAGA AT WALA NANG POWER ANG TRAKTORA,")</f>
        <v>DSD: BURNED CLUTCH LINING
MYK: ON SITE DELIVERY - UPON DELIVERY OF UNIT NO DEMO FROM SUPPLIER,  TRAINED YUNG OPERATOR SA KUBOTA,
BAGO UMABOT NG 50 HRS TINAWAG NA NI PRESIDENT FOR PMS SCHEDULE.  NGUNIT DI AGAD NAPUNTAHAN YUNG TRACTOR PARA MA PMS, HABANG DI PA NAPUPUNTAHAN GINAMIT PADIN ANG TRACTOR  PARA PATAGIN YUNG LUPA NA PAGTATAYUAN NG DRYER , DUN NA NANGANGAMOY SUNOG  TALAGA AT WALA NANG POWER ANG TRAKTORA,</v>
      </c>
      <c r="L1409" s="72" t="str">
        <f>IFERROR(__xludf.DUMMYFUNCTION("""COMPUTED_VALUE"""),"MYK: TINAPAT KO NA SILA SA HINDI NA ITO WARRANTY, AT GUSTO NALANG NILANG IPA SCHEDULE ITO KUNG KELAN PUPUNTAHAN, WILLING NA SILANG MAG BAYAD NALAMANG
MYK: GUSTO NI FARMER IPA SHOULDER SA SUPPLIER YUNG 50 % OF PARTS PRICE, THEN 50 % SA KANILA,
KFS: TO RE"&amp;"LAY ON PHILMECH
KFS: 19,000 - DISCOUNTED PRICE REPAIR CLUTCH DISC ASSY (FOR SCHEDULE)
JDP: REPLACED CLUTCH LINING")</f>
        <v>MYK: TINAPAT KO NA SILA SA HINDI NA ITO WARRANTY, AT GUSTO NALANG NILANG IPA SCHEDULE ITO KUNG KELAN PUPUNTAHAN, WILLING NA SILANG MAG BAYAD NALAMANG
MYK: GUSTO NI FARMER IPA SHOULDER SA SUPPLIER YUNG 50 % OF PARTS PRICE, THEN 50 % SA KANILA,
KFS: TO RELAY ON PHILMECH
KFS: 19,000 - DISCOUNTED PRICE REPAIR CLUTCH DISC ASSY (FOR SCHEDULE)
JDP: REPLACED CLUTCH LINING</v>
      </c>
      <c r="M1409" s="2" t="str">
        <f>IFERROR(__xludf.DUMMYFUNCTION("""COMPUTED_VALUE"""),"CLUTCH DISC ASSY")</f>
        <v>CLUTCH DISC ASSY</v>
      </c>
      <c r="N1409" s="2" t="str">
        <f>IFERROR(__xludf.DUMMYFUNCTION("""COMPUTED_VALUE"""),"PARTS:
CLUTCH DISC ASSY")</f>
        <v>PARTS:
CLUTCH DISC ASSY</v>
      </c>
      <c r="O1409" s="2">
        <f>IFERROR(__xludf.DUMMYFUNCTION("""COMPUTED_VALUE"""),441.0)</f>
        <v>441</v>
      </c>
      <c r="P1409" s="2" t="str">
        <f>IFERROR(__xludf.DUMMYFUNCTION("""COMPUTED_VALUE"""),"441 - ADAMSON BAMBANG FARMERS ASSOCIATION(1).pdf")</f>
        <v>441 - ADAMSON BAMBANG FARMERS ASSOCIATION(1).pdf</v>
      </c>
      <c r="Q1409" s="2" t="str">
        <f>IFERROR(__xludf.DUMMYFUNCTION("""COMPUTED_VALUE"""),"FOR PRINT")</f>
        <v>FOR PRINT</v>
      </c>
      <c r="R1409" s="74">
        <f>IFERROR(__xludf.DUMMYFUNCTION("""COMPUTED_VALUE"""),46108.0)</f>
        <v>46108</v>
      </c>
      <c r="S1409" s="2" t="str">
        <f>IFERROR(__xludf.DUMMYFUNCTION("""COMPUTED_VALUE"""),"EGT/DRM/JDP")</f>
        <v>EGT/DRM/JDP</v>
      </c>
      <c r="T1409" s="73">
        <f>IFERROR(__xludf.DUMMYFUNCTION("""COMPUTED_VALUE"""),19000.0)</f>
        <v>19000</v>
      </c>
      <c r="U1409" s="73" t="str">
        <f>IFERROR(__xludf.DUMMYFUNCTION("""COMPUTED_VALUE""")," REMITTED ")</f>
        <v>REMITTED</v>
      </c>
      <c r="V1409" s="2">
        <f>IFERROR(__xludf.DUMMYFUNCTION("""COMPUTED_VALUE"""),1323.0)</f>
        <v>1323</v>
      </c>
      <c r="W1409" s="2">
        <f>IFERROR(__xludf.DUMMYFUNCTION("""COMPUTED_VALUE"""),1677.0)</f>
        <v>1677</v>
      </c>
      <c r="X1409" s="2">
        <f>IFERROR(__xludf.DUMMYFUNCTION("""COMPUTED_VALUE"""),1780.0)</f>
        <v>1780</v>
      </c>
      <c r="Y1409" s="2"/>
      <c r="Z1409" s="2"/>
      <c r="AA1409" s="2"/>
      <c r="AB1409" s="2"/>
      <c r="AC1409" s="2"/>
      <c r="AD1409" s="2"/>
      <c r="AE1409" s="2"/>
      <c r="AF1409" s="2"/>
      <c r="AG1409" s="2"/>
      <c r="AH1409" s="2"/>
      <c r="AI1409" s="2"/>
      <c r="AJ1409" s="2" t="str">
        <f>IFERROR(__xludf.DUMMYFUNCTION("""COMPUTED_VALUE"""),"Gugo")</f>
        <v>Gugo</v>
      </c>
      <c r="AK1409" s="2" t="str">
        <f>IFERROR(__xludf.DUMMYFUNCTION("""COMPUTED_VALUE"""),"Samal")</f>
        <v>Samal</v>
      </c>
      <c r="AL1409" s="2" t="str">
        <f>IFERROR(__xludf.DUMMYFUNCTION("""COMPUTED_VALUE"""),"Bataan")</f>
        <v>Bataan</v>
      </c>
      <c r="AM1409" s="2">
        <f>IFERROR(__xludf.DUMMYFUNCTION("""COMPUTED_VALUE"""),3.0)</f>
        <v>3</v>
      </c>
      <c r="AN1409" s="2" t="str">
        <f>IFERROR(__xludf.DUMMYFUNCTION("""COMPUTED_VALUE"""),"RCEF 25-03-05")</f>
        <v>RCEF 25-03-05</v>
      </c>
      <c r="AO1409" s="2">
        <f>IFERROR(__xludf.DUMMYFUNCTION("""COMPUTED_VALUE"""),5.0)</f>
        <v>5</v>
      </c>
      <c r="AP1409" s="2" t="str">
        <f>IFERROR(__xludf.DUMMYFUNCTION("""COMPUTED_VALUE"""),"FREE PMS")</f>
        <v>FREE PMS</v>
      </c>
      <c r="AQ1409" s="2"/>
      <c r="AR1409" s="2"/>
      <c r="AS1409" s="2"/>
      <c r="AT1409" s="2"/>
      <c r="AU1409" s="2"/>
      <c r="AV1409" s="2"/>
      <c r="AW1409" s="2"/>
      <c r="AX1409" s="2"/>
      <c r="AY1409" s="2"/>
      <c r="AZ1409" s="2"/>
      <c r="BA1409" s="2"/>
      <c r="BB1409" s="2"/>
    </row>
    <row r="1410">
      <c r="A1410" s="2">
        <f>IFERROR(__xludf.DUMMYFUNCTION("""COMPUTED_VALUE"""),1406.0)</f>
        <v>1406</v>
      </c>
      <c r="B1410" s="2" t="str">
        <f>IFERROR(__xludf.DUMMYFUNCTION("""COMPUTED_VALUE"""),"PENDING")</f>
        <v>PENDING</v>
      </c>
      <c r="C1410" s="74">
        <f>IFERROR(__xludf.DUMMYFUNCTION("""COMPUTED_VALUE"""),46058.0)</f>
        <v>46058</v>
      </c>
      <c r="D1410" s="71" t="str">
        <f>IFERROR(__xludf.DUMMYFUNCTION("""COMPUTED_VALUE"""),"BALIKATAN")</f>
        <v>BALIKATAN</v>
      </c>
      <c r="E1410" s="71" t="str">
        <f>IFERROR(__xludf.DUMMYFUNCTION("""COMPUTED_VALUE"""),"San Pablo Sur, Santa Cruz, LAGUNA")</f>
        <v>San Pablo Sur, Santa Cruz, LAGUNA</v>
      </c>
      <c r="F1410" s="2" t="str">
        <f>IFERROR(__xludf.DUMMYFUNCTION("""COMPUTED_VALUE"""),"Fernando Dael")</f>
        <v>Fernando Dael</v>
      </c>
      <c r="G1410" s="2" t="str">
        <f>IFERROR(__xludf.DUMMYFUNCTION("""COMPUTED_VALUE"""),"0920 490 9415")</f>
        <v>0920 490 9415</v>
      </c>
      <c r="H1410" s="2"/>
      <c r="I1410" s="72" t="str">
        <f>IFERROR(__xludf.DUMMYFUNCTION("""COMPUTED_VALUE"""),"REPAIR - TRACTOR")</f>
        <v>REPAIR - TRACTOR</v>
      </c>
      <c r="J1410" s="72" t="str">
        <f>IFERROR(__xludf.DUMMYFUNCTION("""COMPUTED_VALUE"""),"Transmission - Clutch")</f>
        <v>Transmission - Clutch</v>
      </c>
      <c r="K1410" s="72" t="str">
        <f>IFERROR(__xludf.DUMMYFUNCTION("""COMPUTED_VALUE"""),"MYK: HUMIHINA BUMATAK ANG TRACTOR AT NADULAS ANG LININGN, NAG ADJUST NA SI FARMER PERO GANUN PADIN MAHINAPADING BUMATAK.")</f>
        <v>MYK: HUMIHINA BUMATAK ANG TRACTOR AT NADULAS ANG LININGN, NAG ADJUST NA SI FARMER PERO GANUN PADIN MAHINAPADING BUMATAK.</v>
      </c>
      <c r="L1410" s="72" t="str">
        <f>IFERROR(__xludf.DUMMYFUNCTION("""COMPUTED_VALUE"""),"TO CALL- TO CONFIRM PARTS NEEDED
FPJ: 
Mahina bumatak ang tractora slide.
Nag usap na kami ni fca 
Mag papa schedule daw po for repair .
Parts need
Clutch disc
Clutch cover")</f>
        <v>TO CALL- TO CONFIRM PARTS NEEDED
FPJ: 
Mahina bumatak ang tractora slide.
Nag usap na kami ni fca 
Mag papa schedule daw po for repair .
Parts need
Clutch disc
Clutch cover</v>
      </c>
      <c r="M1410" s="2" t="str">
        <f>IFERROR(__xludf.DUMMYFUNCTION("""COMPUTED_VALUE"""),"CLUTCH DISC ASSY
CLUTCH COVER ASSY")</f>
        <v>CLUTCH DISC ASSY
CLUTCH COVER ASSY</v>
      </c>
      <c r="N1410" s="2"/>
      <c r="O1410" s="2"/>
      <c r="P1410" s="2"/>
      <c r="Q1410" s="2"/>
      <c r="R1410" s="2"/>
      <c r="S1410" s="2"/>
      <c r="T1410" s="2"/>
      <c r="U1410" s="2"/>
      <c r="V1410" s="2"/>
      <c r="W1410" s="2"/>
      <c r="X1410" s="2"/>
      <c r="Y1410" s="2"/>
      <c r="Z1410" s="2"/>
      <c r="AA1410" s="2"/>
      <c r="AB1410" s="2"/>
      <c r="AC1410" s="2"/>
      <c r="AD1410" s="2"/>
      <c r="AE1410" s="2"/>
      <c r="AF1410" s="2"/>
      <c r="AG1410" s="2"/>
      <c r="AH1410" s="2"/>
      <c r="AI1410" s="2"/>
      <c r="AJ1410" s="2" t="str">
        <f>IFERROR(__xludf.DUMMYFUNCTION("""COMPUTED_VALUE"""),"San Pablo Sur")</f>
        <v>San Pablo Sur</v>
      </c>
      <c r="AK1410" s="2" t="str">
        <f>IFERROR(__xludf.DUMMYFUNCTION("""COMPUTED_VALUE"""),"Santa Cruz")</f>
        <v>Santa Cruz</v>
      </c>
      <c r="AL1410" s="2" t="str">
        <f>IFERROR(__xludf.DUMMYFUNCTION("""COMPUTED_VALUE"""),"Laguna")</f>
        <v>Laguna</v>
      </c>
      <c r="AM1410" s="2" t="str">
        <f>IFERROR(__xludf.DUMMYFUNCTION("""COMPUTED_VALUE"""),"4A")</f>
        <v>4A</v>
      </c>
      <c r="AN1410" s="2" t="str">
        <f>IFERROR(__xludf.DUMMYFUNCTION("""COMPUTED_VALUE"""),"RCEF 25-03-05")</f>
        <v>RCEF 25-03-05</v>
      </c>
      <c r="AO1410" s="2">
        <f>IFERROR(__xludf.DUMMYFUNCTION("""COMPUTED_VALUE"""),7.0)</f>
        <v>7</v>
      </c>
      <c r="AP1410" s="2" t="str">
        <f>IFERROR(__xludf.DUMMYFUNCTION("""COMPUTED_VALUE"""),"FREE PMS")</f>
        <v>FREE PMS</v>
      </c>
      <c r="AQ1410" s="2"/>
      <c r="AR1410" s="2"/>
      <c r="AS1410" s="2"/>
      <c r="AT1410" s="2"/>
      <c r="AU1410" s="2"/>
      <c r="AV1410" s="2"/>
      <c r="AW1410" s="2"/>
      <c r="AX1410" s="2"/>
      <c r="AY1410" s="2"/>
      <c r="AZ1410" s="2"/>
      <c r="BA1410" s="2"/>
      <c r="BB1410" s="2"/>
    </row>
    <row r="1411">
      <c r="A1411" s="2">
        <f>IFERROR(__xludf.DUMMYFUNCTION("""COMPUTED_VALUE"""),1407.0)</f>
        <v>1407</v>
      </c>
      <c r="B1411" s="2" t="str">
        <f>IFERROR(__xludf.DUMMYFUNCTION("""COMPUTED_VALUE"""),"PENDING")</f>
        <v>PENDING</v>
      </c>
      <c r="C1411" s="74">
        <f>IFERROR(__xludf.DUMMYFUNCTION("""COMPUTED_VALUE"""),46058.0)</f>
        <v>46058</v>
      </c>
      <c r="D1411" s="71" t="str">
        <f>IFERROR(__xludf.DUMMYFUNCTION("""COMPUTED_VALUE"""),"BAYOTBOT SAN ISIDRO FARMERS ASSOCIATION INC.")</f>
        <v>BAYOTBOT SAN ISIDRO FARMERS ASSOCIATION INC.</v>
      </c>
      <c r="E1411" s="71" t="str">
        <f>IFERROR(__xludf.DUMMYFUNCTION("""COMPUTED_VALUE"""),"Bayotbot, San Jose, OCCIDENTAL MINDORO")</f>
        <v>Bayotbot, San Jose, OCCIDENTAL MINDORO</v>
      </c>
      <c r="F1411" s="2" t="str">
        <f>IFERROR(__xludf.DUMMYFUNCTION("""COMPUTED_VALUE"""),"Pres.Bernardo V. Fernando")</f>
        <v>Pres.Bernardo V. Fernando</v>
      </c>
      <c r="G1411" s="2">
        <f>IFERROR(__xludf.DUMMYFUNCTION("""COMPUTED_VALUE"""),9.771256367E9)</f>
        <v>9771256367</v>
      </c>
      <c r="H1411" s="2"/>
      <c r="I1411" s="72" t="str">
        <f>IFERROR(__xludf.DUMMYFUNCTION("""COMPUTED_VALUE"""),"REPAIR - DISC PLOW")</f>
        <v>REPAIR - DISC PLOW</v>
      </c>
      <c r="J1411" s="72" t="str">
        <f>IFERROR(__xludf.DUMMYFUNCTION("""COMPUTED_VALUE"""),"Gearbox")</f>
        <v>Gearbox</v>
      </c>
      <c r="K1411" s="72" t="str">
        <f>IFERROR(__xludf.DUMMYFUNCTION("""COMPUTED_VALUE"""),"RBS: DISCPLOW PROBLEM, NABITAK YUNG PINAGKAKABITAN NG DISC. (WITH VIDEO)")</f>
        <v>RBS: DISCPLOW PROBLEM, NABITAK YUNG PINAGKAKABITAN NG DISC. (WITH VIDEO)</v>
      </c>
      <c r="L1411" s="72" t="str">
        <f>IFERROR(__xludf.DUMMYFUNCTION("""COMPUTED_VALUE"""),"TO CALL- TO CONFIRM PARTS NEEDED
FPJ: Na tawagan ko na si pangulo . Ito po yung may damaged na dicplow yung basag center chain gearbox 
Wala naman need na parts .  For decision pa ang FCA kung ipapa ayos (welding) or hindi na.")</f>
        <v>TO CALL- TO CONFIRM PARTS NEEDED
FPJ: Na tawagan ko na si pangulo . Ito po yung may damaged na dicplow yung basag center chain gearbox 
Wala naman need na parts .  For decision pa ang FCA kung ipapa ayos (welding) or hindi na.</v>
      </c>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t="str">
        <f>IFERROR(__xludf.DUMMYFUNCTION("""COMPUTED_VALUE"""),"Bayotbot")</f>
        <v>Bayotbot</v>
      </c>
      <c r="AK1411" s="2" t="str">
        <f>IFERROR(__xludf.DUMMYFUNCTION("""COMPUTED_VALUE"""),"San Jose")</f>
        <v>San Jose</v>
      </c>
      <c r="AL1411" s="2" t="str">
        <f>IFERROR(__xludf.DUMMYFUNCTION("""COMPUTED_VALUE"""),"Occidental Mindoro")</f>
        <v>Occidental Mindoro</v>
      </c>
      <c r="AM1411" s="2" t="str">
        <f>IFERROR(__xludf.DUMMYFUNCTION("""COMPUTED_VALUE"""),"4B")</f>
        <v>4B</v>
      </c>
      <c r="AN1411" s="2" t="str">
        <f>IFERROR(__xludf.DUMMYFUNCTION("""COMPUTED_VALUE"""),"RCEF 25-03-05")</f>
        <v>RCEF 25-03-05</v>
      </c>
      <c r="AO1411" s="2">
        <f>IFERROR(__xludf.DUMMYFUNCTION("""COMPUTED_VALUE"""),6.0)</f>
        <v>6</v>
      </c>
      <c r="AP1411" s="2" t="str">
        <f>IFERROR(__xludf.DUMMYFUNCTION("""COMPUTED_VALUE"""),"FREE PMS")</f>
        <v>FREE PMS</v>
      </c>
      <c r="AQ1411" s="2"/>
      <c r="AR1411" s="2"/>
      <c r="AS1411" s="2"/>
      <c r="AT1411" s="2"/>
      <c r="AU1411" s="2"/>
      <c r="AV1411" s="2"/>
      <c r="AW1411" s="2"/>
      <c r="AX1411" s="2"/>
      <c r="AY1411" s="2"/>
      <c r="AZ1411" s="2"/>
      <c r="BA1411" s="2"/>
      <c r="BB1411" s="2"/>
    </row>
    <row r="1412">
      <c r="A1412" s="2">
        <f>IFERROR(__xludf.DUMMYFUNCTION("""COMPUTED_VALUE"""),1408.0)</f>
        <v>1408</v>
      </c>
      <c r="B1412" s="2" t="str">
        <f>IFERROR(__xludf.DUMMYFUNCTION("""COMPUTED_VALUE"""),"COMPLETED")</f>
        <v>COMPLETED</v>
      </c>
      <c r="C1412" s="74">
        <f>IFERROR(__xludf.DUMMYFUNCTION("""COMPUTED_VALUE"""),46059.0)</f>
        <v>46059</v>
      </c>
      <c r="D1412" s="71" t="str">
        <f>IFERROR(__xludf.DUMMYFUNCTION("""COMPUTED_VALUE"""),"Monteclaro Irrigators Association, Incorporated")</f>
        <v>Monteclaro Irrigators Association, Incorporated</v>
      </c>
      <c r="E1412" s="71" t="str">
        <f>IFERROR(__xludf.DUMMYFUNCTION("""COMPUTED_VALUE"""),"Mapaya, San Jose, OCCIDENTAL MINDORO")</f>
        <v>Mapaya, San Jose, OCCIDENTAL MINDORO</v>
      </c>
      <c r="F1412" s="2" t="str">
        <f>IFERROR(__xludf.DUMMYFUNCTION("""COMPUTED_VALUE"""),"Fernando Ramos")</f>
        <v>Fernando Ramos</v>
      </c>
      <c r="G1412" s="2"/>
      <c r="H1412" s="2">
        <f>IFERROR(__xludf.DUMMYFUNCTION("""COMPUTED_VALUE"""),43.0)</f>
        <v>43</v>
      </c>
      <c r="I1412" s="72" t="str">
        <f>IFERROR(__xludf.DUMMYFUNCTION("""COMPUTED_VALUE"""),"PMS")</f>
        <v>PMS</v>
      </c>
      <c r="J1412" s="72" t="str">
        <f>IFERROR(__xludf.DUMMYFUNCTION("""COMPUTED_VALUE"""),"PMS")</f>
        <v>PMS</v>
      </c>
      <c r="K1412" s="72" t="str">
        <f>IFERROR(__xludf.DUMMYFUNCTION("""COMPUTED_VALUE"""),"RBS: 1ST PMS FREE")</f>
        <v>RBS: 1ST PMS FREE</v>
      </c>
      <c r="L1412" s="72" t="str">
        <f>IFERROR(__xludf.DUMMYFUNCTION("""COMPUTED_VALUE"""),"RBS: 1ST PMS DONE")</f>
        <v>RBS: 1ST PMS DONE</v>
      </c>
      <c r="M1412" s="2"/>
      <c r="N1412" s="2" t="str">
        <f>IFERROR(__xludf.DUMMYFUNCTION("""COMPUTED_VALUE"""),"PARTS:
OIL FILTER
ENGINE OIL")</f>
        <v>PARTS:
OIL FILTER
ENGINE OIL</v>
      </c>
      <c r="O1412" s="2">
        <f>IFERROR(__xludf.DUMMYFUNCTION("""COMPUTED_VALUE"""),610.0)</f>
        <v>610</v>
      </c>
      <c r="P1412" s="2"/>
      <c r="Q1412" s="2" t="str">
        <f>IFERROR(__xludf.DUMMYFUNCTION("""COMPUTED_VALUE"""),"FOR PRINT")</f>
        <v>FOR PRINT</v>
      </c>
      <c r="R1412" s="74">
        <f>IFERROR(__xludf.DUMMYFUNCTION("""COMPUTED_VALUE"""),46057.0)</f>
        <v>46057</v>
      </c>
      <c r="S1412" s="2" t="str">
        <f>IFERROR(__xludf.DUMMYFUNCTION("""COMPUTED_VALUE"""),"RBS")</f>
        <v>RBS</v>
      </c>
      <c r="T1412" s="73" t="str">
        <f>IFERROR(__xludf.DUMMYFUNCTION("""COMPUTED_VALUE""")," N/A ")</f>
        <v>N/A</v>
      </c>
      <c r="U1412" s="73" t="str">
        <f>IFERROR(__xludf.DUMMYFUNCTION("""COMPUTED_VALUE""")," NO CHARGE ")</f>
        <v>NO CHARGE</v>
      </c>
      <c r="V1412" s="2"/>
      <c r="W1412" s="2" t="str">
        <f>IFERROR(__xludf.DUMMYFUNCTION("""COMPUTED_VALUE"""),"N/A")</f>
        <v>N/A</v>
      </c>
      <c r="X1412" s="2" t="str">
        <f>IFERROR(__xludf.DUMMYFUNCTION("""COMPUTED_VALUE"""),"N/A")</f>
        <v>N/A</v>
      </c>
      <c r="Y1412" s="2"/>
      <c r="Z1412" s="2"/>
      <c r="AA1412" s="2"/>
      <c r="AB1412" s="2"/>
      <c r="AC1412" s="2"/>
      <c r="AD1412" s="2"/>
      <c r="AE1412" s="2"/>
      <c r="AF1412" s="2"/>
      <c r="AG1412" s="2"/>
      <c r="AH1412" s="2"/>
      <c r="AI1412" s="2"/>
      <c r="AJ1412" s="2" t="str">
        <f>IFERROR(__xludf.DUMMYFUNCTION("""COMPUTED_VALUE"""),"Mapaya")</f>
        <v>Mapaya</v>
      </c>
      <c r="AK1412" s="2" t="str">
        <f>IFERROR(__xludf.DUMMYFUNCTION("""COMPUTED_VALUE"""),"San Jose")</f>
        <v>San Jose</v>
      </c>
      <c r="AL1412" s="2" t="str">
        <f>IFERROR(__xludf.DUMMYFUNCTION("""COMPUTED_VALUE"""),"Occidental Mindoro")</f>
        <v>Occidental Mindoro</v>
      </c>
      <c r="AM1412" s="2" t="str">
        <f>IFERROR(__xludf.DUMMYFUNCTION("""COMPUTED_VALUE"""),"4B")</f>
        <v>4B</v>
      </c>
      <c r="AN1412" s="2" t="str">
        <f>IFERROR(__xludf.DUMMYFUNCTION("""COMPUTED_VALUE"""),"RCEF 25-03-05")</f>
        <v>RCEF 25-03-05</v>
      </c>
      <c r="AO1412" s="2">
        <f>IFERROR(__xludf.DUMMYFUNCTION("""COMPUTED_VALUE"""),6.0)</f>
        <v>6</v>
      </c>
      <c r="AP1412" s="2" t="str">
        <f>IFERROR(__xludf.DUMMYFUNCTION("""COMPUTED_VALUE"""),"FREE PMS")</f>
        <v>FREE PMS</v>
      </c>
      <c r="AQ1412" s="2"/>
      <c r="AR1412" s="2"/>
      <c r="AS1412" s="2"/>
      <c r="AT1412" s="2"/>
      <c r="AU1412" s="2"/>
      <c r="AV1412" s="2"/>
      <c r="AW1412" s="2"/>
      <c r="AX1412" s="2"/>
      <c r="AY1412" s="2"/>
      <c r="AZ1412" s="2"/>
      <c r="BA1412" s="2"/>
      <c r="BB1412" s="2"/>
    </row>
    <row r="1413">
      <c r="A1413" s="2">
        <f>IFERROR(__xludf.DUMMYFUNCTION("""COMPUTED_VALUE"""),1409.0)</f>
        <v>1409</v>
      </c>
      <c r="B1413" s="2" t="str">
        <f>IFERROR(__xludf.DUMMYFUNCTION("""COMPUTED_VALUE"""),"COMPLETED")</f>
        <v>COMPLETED</v>
      </c>
      <c r="C1413" s="74">
        <f>IFERROR(__xludf.DUMMYFUNCTION("""COMPUTED_VALUE"""),46059.0)</f>
        <v>46059</v>
      </c>
      <c r="D1413" s="71" t="str">
        <f>IFERROR(__xludf.DUMMYFUNCTION("""COMPUTED_VALUE"""),"BUBOG DEVELOPMENT COOPERATIVE")</f>
        <v>BUBOG DEVELOPMENT COOPERATIVE</v>
      </c>
      <c r="E1413" s="71" t="str">
        <f>IFERROR(__xludf.DUMMYFUNCTION("""COMPUTED_VALUE"""),"Bubog, San Jose, OCCIDENTAL MINDORO")</f>
        <v>Bubog, San Jose, OCCIDENTAL MINDORO</v>
      </c>
      <c r="F1413" s="2"/>
      <c r="G1413" s="2">
        <f>IFERROR(__xludf.DUMMYFUNCTION("""COMPUTED_VALUE"""),9.171131391E9)</f>
        <v>9171131391</v>
      </c>
      <c r="H1413" s="2">
        <f>IFERROR(__xludf.DUMMYFUNCTION("""COMPUTED_VALUE"""),114.7)</f>
        <v>114.7</v>
      </c>
      <c r="I1413" s="72" t="str">
        <f>IFERROR(__xludf.DUMMYFUNCTION("""COMPUTED_VALUE"""),"PMS")</f>
        <v>PMS</v>
      </c>
      <c r="J1413" s="72" t="str">
        <f>IFERROR(__xludf.DUMMYFUNCTION("""COMPUTED_VALUE"""),"PMS")</f>
        <v>PMS</v>
      </c>
      <c r="K1413" s="72" t="str">
        <f>IFERROR(__xludf.DUMMYFUNCTION("""COMPUTED_VALUE"""),"RBS: 1ST PMS FREE")</f>
        <v>RBS: 1ST PMS FREE</v>
      </c>
      <c r="L1413" s="72" t="str">
        <f>IFERROR(__xludf.DUMMYFUNCTION("""COMPUTED_VALUE"""),"RBS: 1ST PMS DONE")</f>
        <v>RBS: 1ST PMS DONE</v>
      </c>
      <c r="M1413" s="2"/>
      <c r="N1413" s="2" t="str">
        <f>IFERROR(__xludf.DUMMYFUNCTION("""COMPUTED_VALUE"""),"PARTS:
OIL FILTER
ENGINE OIL")</f>
        <v>PARTS:
OIL FILTER
ENGINE OIL</v>
      </c>
      <c r="O1413" s="2">
        <f>IFERROR(__xludf.DUMMYFUNCTION("""COMPUTED_VALUE"""),612.0)</f>
        <v>612</v>
      </c>
      <c r="P1413" s="2"/>
      <c r="Q1413" s="2" t="str">
        <f>IFERROR(__xludf.DUMMYFUNCTION("""COMPUTED_VALUE"""),"FOR PRINT")</f>
        <v>FOR PRINT</v>
      </c>
      <c r="R1413" s="74">
        <f>IFERROR(__xludf.DUMMYFUNCTION("""COMPUTED_VALUE"""),46057.0)</f>
        <v>46057</v>
      </c>
      <c r="S1413" s="2" t="str">
        <f>IFERROR(__xludf.DUMMYFUNCTION("""COMPUTED_VALUE"""),"RBS")</f>
        <v>RBS</v>
      </c>
      <c r="T1413" s="73" t="str">
        <f>IFERROR(__xludf.DUMMYFUNCTION("""COMPUTED_VALUE""")," N/A ")</f>
        <v>N/A</v>
      </c>
      <c r="U1413" s="73" t="str">
        <f>IFERROR(__xludf.DUMMYFUNCTION("""COMPUTED_VALUE""")," NO CHARGE ")</f>
        <v>NO CHARGE</v>
      </c>
      <c r="V1413" s="2"/>
      <c r="W1413" s="2" t="str">
        <f>IFERROR(__xludf.DUMMYFUNCTION("""COMPUTED_VALUE"""),"N/A")</f>
        <v>N/A</v>
      </c>
      <c r="X1413" s="2" t="str">
        <f>IFERROR(__xludf.DUMMYFUNCTION("""COMPUTED_VALUE"""),"N/A")</f>
        <v>N/A</v>
      </c>
      <c r="Y1413" s="2"/>
      <c r="Z1413" s="2"/>
      <c r="AA1413" s="2"/>
      <c r="AB1413" s="2"/>
      <c r="AC1413" s="2"/>
      <c r="AD1413" s="2"/>
      <c r="AE1413" s="2"/>
      <c r="AF1413" s="2"/>
      <c r="AG1413" s="2"/>
      <c r="AH1413" s="2"/>
      <c r="AI1413" s="2"/>
      <c r="AJ1413" s="2" t="str">
        <f>IFERROR(__xludf.DUMMYFUNCTION("""COMPUTED_VALUE"""),"Bubog")</f>
        <v>Bubog</v>
      </c>
      <c r="AK1413" s="2" t="str">
        <f>IFERROR(__xludf.DUMMYFUNCTION("""COMPUTED_VALUE"""),"San Jose")</f>
        <v>San Jose</v>
      </c>
      <c r="AL1413" s="2" t="str">
        <f>IFERROR(__xludf.DUMMYFUNCTION("""COMPUTED_VALUE"""),"Occidental Mindoro")</f>
        <v>Occidental Mindoro</v>
      </c>
      <c r="AM1413" s="2" t="str">
        <f>IFERROR(__xludf.DUMMYFUNCTION("""COMPUTED_VALUE"""),"4B")</f>
        <v>4B</v>
      </c>
      <c r="AN1413" s="2" t="str">
        <f>IFERROR(__xludf.DUMMYFUNCTION("""COMPUTED_VALUE"""),"RCEF 25-03-05")</f>
        <v>RCEF 25-03-05</v>
      </c>
      <c r="AO1413" s="2">
        <f>IFERROR(__xludf.DUMMYFUNCTION("""COMPUTED_VALUE"""),6.0)</f>
        <v>6</v>
      </c>
      <c r="AP1413" s="2" t="str">
        <f>IFERROR(__xludf.DUMMYFUNCTION("""COMPUTED_VALUE"""),"FREE PMS")</f>
        <v>FREE PMS</v>
      </c>
      <c r="AQ1413" s="2"/>
      <c r="AR1413" s="2"/>
      <c r="AS1413" s="2"/>
      <c r="AT1413" s="2"/>
      <c r="AU1413" s="2"/>
      <c r="AV1413" s="2"/>
      <c r="AW1413" s="2"/>
      <c r="AX1413" s="2"/>
      <c r="AY1413" s="2"/>
      <c r="AZ1413" s="2"/>
      <c r="BA1413" s="2"/>
      <c r="BB1413" s="2"/>
    </row>
    <row r="1414">
      <c r="A1414" s="2">
        <f>IFERROR(__xludf.DUMMYFUNCTION("""COMPUTED_VALUE"""),1410.0)</f>
        <v>1410</v>
      </c>
      <c r="B1414" s="2" t="str">
        <f>IFERROR(__xludf.DUMMYFUNCTION("""COMPUTED_VALUE"""),"COMPLETED")</f>
        <v>COMPLETED</v>
      </c>
      <c r="C1414" s="74">
        <f>IFERROR(__xludf.DUMMYFUNCTION("""COMPUTED_VALUE"""),46060.0)</f>
        <v>46060</v>
      </c>
      <c r="D1414" s="71" t="str">
        <f>IFERROR(__xludf.DUMMYFUNCTION("""COMPUTED_VALUE"""),"PINATARAY, AGIS AGIS AND PROPER FARMERS ASSOCIATION")</f>
        <v>PINATARAY, AGIS AGIS AND PROPER FARMERS ASSOCIATION</v>
      </c>
      <c r="E1414" s="71" t="str">
        <f>IFERROR(__xludf.DUMMYFUNCTION("""COMPUTED_VALUE"""),"Panitian, Sofronio Espanola, PALAWAN")</f>
        <v>Panitian, Sofronio Espanola, PALAWAN</v>
      </c>
      <c r="F1414" s="2"/>
      <c r="G1414" s="2"/>
      <c r="H1414" s="2">
        <f>IFERROR(__xludf.DUMMYFUNCTION("""COMPUTED_VALUE"""),51.7)</f>
        <v>51.7</v>
      </c>
      <c r="I1414" s="72" t="str">
        <f>IFERROR(__xludf.DUMMYFUNCTION("""COMPUTED_VALUE"""),"PMS")</f>
        <v>PMS</v>
      </c>
      <c r="J1414" s="72" t="str">
        <f>IFERROR(__xludf.DUMMYFUNCTION("""COMPUTED_VALUE"""),"PMS")</f>
        <v>PMS</v>
      </c>
      <c r="K1414" s="72" t="str">
        <f>IFERROR(__xludf.DUMMYFUNCTION("""COMPUTED_VALUE"""),"RCG: 1ST PMS FREE")</f>
        <v>RCG: 1ST PMS FREE</v>
      </c>
      <c r="L1414" s="72" t="str">
        <f>IFERROR(__xludf.DUMMYFUNCTION("""COMPUTED_VALUE"""),"RCG: 1ST PSM DONE")</f>
        <v>RCG: 1ST PSM DONE</v>
      </c>
      <c r="M1414" s="2"/>
      <c r="N1414" s="2" t="str">
        <f>IFERROR(__xludf.DUMMYFUNCTION("""COMPUTED_VALUE"""),"PARTS:
ENGINE OIL
OIL FILTER")</f>
        <v>PARTS:
ENGINE OIL
OIL FILTER</v>
      </c>
      <c r="O1414" s="2">
        <f>IFERROR(__xludf.DUMMYFUNCTION("""COMPUTED_VALUE"""),710.0)</f>
        <v>710</v>
      </c>
      <c r="P1414" s="2"/>
      <c r="Q1414" s="2" t="str">
        <f>IFERROR(__xludf.DUMMYFUNCTION("""COMPUTED_VALUE"""),"FOR PRINT")</f>
        <v>FOR PRINT</v>
      </c>
      <c r="R1414" s="74">
        <f>IFERROR(__xludf.DUMMYFUNCTION("""COMPUTED_VALUE"""),46060.0)</f>
        <v>46060</v>
      </c>
      <c r="S1414" s="2" t="str">
        <f>IFERROR(__xludf.DUMMYFUNCTION("""COMPUTED_VALUE"""),"RCG/JDP/OJT")</f>
        <v>RCG/JDP/OJT</v>
      </c>
      <c r="T1414" s="73" t="str">
        <f>IFERROR(__xludf.DUMMYFUNCTION("""COMPUTED_VALUE""")," N/A ")</f>
        <v>N/A</v>
      </c>
      <c r="U1414" s="73" t="str">
        <f>IFERROR(__xludf.DUMMYFUNCTION("""COMPUTED_VALUE""")," NO CHARGE ")</f>
        <v>NO CHARGE</v>
      </c>
      <c r="V1414" s="2" t="str">
        <f>IFERROR(__xludf.DUMMYFUNCTION("""COMPUTED_VALUE"""),"NO DR")</f>
        <v>NO DR</v>
      </c>
      <c r="W1414" s="2" t="str">
        <f>IFERROR(__xludf.DUMMYFUNCTION("""COMPUTED_VALUE"""),"N/A")</f>
        <v>N/A</v>
      </c>
      <c r="X1414" s="2" t="str">
        <f>IFERROR(__xludf.DUMMYFUNCTION("""COMPUTED_VALUE"""),"N/A")</f>
        <v>N/A</v>
      </c>
      <c r="Y1414" s="2"/>
      <c r="Z1414" s="2"/>
      <c r="AA1414" s="2"/>
      <c r="AB1414" s="2"/>
      <c r="AC1414" s="2"/>
      <c r="AD1414" s="2"/>
      <c r="AE1414" s="2"/>
      <c r="AF1414" s="2"/>
      <c r="AG1414" s="2"/>
      <c r="AH1414" s="2"/>
      <c r="AI1414" s="2"/>
      <c r="AJ1414" s="2" t="str">
        <f>IFERROR(__xludf.DUMMYFUNCTION("""COMPUTED_VALUE"""),"Panitian")</f>
        <v>Panitian</v>
      </c>
      <c r="AK1414" s="2" t="str">
        <f>IFERROR(__xludf.DUMMYFUNCTION("""COMPUTED_VALUE"""),"Sofronio Espanola")</f>
        <v>Sofronio Espanola</v>
      </c>
      <c r="AL1414" s="2" t="str">
        <f>IFERROR(__xludf.DUMMYFUNCTION("""COMPUTED_VALUE"""),"Palawan")</f>
        <v>Palawan</v>
      </c>
      <c r="AM1414" s="2" t="str">
        <f>IFERROR(__xludf.DUMMYFUNCTION("""COMPUTED_VALUE"""),"4B")</f>
        <v>4B</v>
      </c>
      <c r="AN1414" s="2" t="str">
        <f>IFERROR(__xludf.DUMMYFUNCTION("""COMPUTED_VALUE"""),"RCEF 25-03-05")</f>
        <v>RCEF 25-03-05</v>
      </c>
      <c r="AO1414" s="2">
        <f>IFERROR(__xludf.DUMMYFUNCTION("""COMPUTED_VALUE"""),6.0)</f>
        <v>6</v>
      </c>
      <c r="AP1414" s="2" t="str">
        <f>IFERROR(__xludf.DUMMYFUNCTION("""COMPUTED_VALUE"""),"FREE PMS")</f>
        <v>FREE PMS</v>
      </c>
      <c r="AQ1414" s="2"/>
      <c r="AR1414" s="2"/>
      <c r="AS1414" s="2"/>
      <c r="AT1414" s="2"/>
      <c r="AU1414" s="2"/>
      <c r="AV1414" s="2"/>
      <c r="AW1414" s="2"/>
      <c r="AX1414" s="2"/>
      <c r="AY1414" s="2"/>
      <c r="AZ1414" s="2"/>
      <c r="BA1414" s="2"/>
      <c r="BB1414" s="2"/>
    </row>
    <row r="1415">
      <c r="A1415" s="2">
        <f>IFERROR(__xludf.DUMMYFUNCTION("""COMPUTED_VALUE"""),1411.0)</f>
        <v>1411</v>
      </c>
      <c r="B1415" s="2" t="str">
        <f>IFERROR(__xludf.DUMMYFUNCTION("""COMPUTED_VALUE"""),"COMPLETED")</f>
        <v>COMPLETED</v>
      </c>
      <c r="C1415" s="74">
        <f>IFERROR(__xludf.DUMMYFUNCTION("""COMPUTED_VALUE"""),46060.0)</f>
        <v>46060</v>
      </c>
      <c r="D1415" s="71" t="str">
        <f>IFERROR(__xludf.DUMMYFUNCTION("""COMPUTED_VALUE"""),"LABOG FARMERS ASSOCIATION")</f>
        <v>LABOG FARMERS ASSOCIATION</v>
      </c>
      <c r="E1415" s="71" t="str">
        <f>IFERROR(__xludf.DUMMYFUNCTION("""COMPUTED_VALUE"""),"Labog, Sofronio Espanola, PALAWAN")</f>
        <v>Labog, Sofronio Espanola, PALAWAN</v>
      </c>
      <c r="F1415" s="2"/>
      <c r="G1415" s="2"/>
      <c r="H1415" s="2">
        <f>IFERROR(__xludf.DUMMYFUNCTION("""COMPUTED_VALUE"""),12.6)</f>
        <v>12.6</v>
      </c>
      <c r="I1415" s="72" t="str">
        <f>IFERROR(__xludf.DUMMYFUNCTION("""COMPUTED_VALUE"""),"PMS")</f>
        <v>PMS</v>
      </c>
      <c r="J1415" s="72" t="str">
        <f>IFERROR(__xludf.DUMMYFUNCTION("""COMPUTED_VALUE"""),"PMS")</f>
        <v>PMS</v>
      </c>
      <c r="K1415" s="72" t="str">
        <f>IFERROR(__xludf.DUMMYFUNCTION("""COMPUTED_VALUE"""),"RCG: 1ST PMS FREE")</f>
        <v>RCG: 1ST PMS FREE</v>
      </c>
      <c r="L1415" s="72" t="str">
        <f>IFERROR(__xludf.DUMMYFUNCTION("""COMPUTED_VALUE"""),"RCG:INIWAN NALANG ANG OIL AT OIL FILTER, TINURUAN KUNG PAPANO MAG CHANGE OIL, AT SINIGURA NA NA TRAINING SILA BAGO UMALIS , PMS ")</f>
        <v>RCG:INIWAN NALANG ANG OIL AT OIL FILTER, TINURUAN KUNG PAPANO MAG CHANGE OIL, AT SINIGURA NA NA TRAINING SILA BAGO UMALIS , PMS </v>
      </c>
      <c r="M1415" s="2"/>
      <c r="N1415" s="2" t="str">
        <f>IFERROR(__xludf.DUMMYFUNCTION("""COMPUTED_VALUE"""),"PARTS:
ENGINE OIL
OIL FILTER")</f>
        <v>PARTS:
ENGINE OIL
OIL FILTER</v>
      </c>
      <c r="O1415" s="2">
        <f>IFERROR(__xludf.DUMMYFUNCTION("""COMPUTED_VALUE"""),711.0)</f>
        <v>711</v>
      </c>
      <c r="P1415" s="2"/>
      <c r="Q1415" s="2" t="str">
        <f>IFERROR(__xludf.DUMMYFUNCTION("""COMPUTED_VALUE"""),"FOR PRINT")</f>
        <v>FOR PRINT</v>
      </c>
      <c r="R1415" s="74">
        <f>IFERROR(__xludf.DUMMYFUNCTION("""COMPUTED_VALUE"""),46060.0)</f>
        <v>46060</v>
      </c>
      <c r="S1415" s="2" t="str">
        <f>IFERROR(__xludf.DUMMYFUNCTION("""COMPUTED_VALUE"""),"RCG/JDP/OJT")</f>
        <v>RCG/JDP/OJT</v>
      </c>
      <c r="T1415" s="73" t="str">
        <f>IFERROR(__xludf.DUMMYFUNCTION("""COMPUTED_VALUE""")," N/A ")</f>
        <v>N/A</v>
      </c>
      <c r="U1415" s="73" t="str">
        <f>IFERROR(__xludf.DUMMYFUNCTION("""COMPUTED_VALUE""")," NO CHARGE ")</f>
        <v>NO CHARGE</v>
      </c>
      <c r="V1415" s="2" t="str">
        <f>IFERROR(__xludf.DUMMYFUNCTION("""COMPUTED_VALUE"""),"NO DR")</f>
        <v>NO DR</v>
      </c>
      <c r="W1415" s="2" t="str">
        <f>IFERROR(__xludf.DUMMYFUNCTION("""COMPUTED_VALUE"""),"N/A")</f>
        <v>N/A</v>
      </c>
      <c r="X1415" s="2" t="str">
        <f>IFERROR(__xludf.DUMMYFUNCTION("""COMPUTED_VALUE"""),"N/A")</f>
        <v>N/A</v>
      </c>
      <c r="Y1415" s="2"/>
      <c r="Z1415" s="2"/>
      <c r="AA1415" s="2"/>
      <c r="AB1415" s="2"/>
      <c r="AC1415" s="2"/>
      <c r="AD1415" s="2"/>
      <c r="AE1415" s="2"/>
      <c r="AF1415" s="2"/>
      <c r="AG1415" s="2"/>
      <c r="AH1415" s="2"/>
      <c r="AI1415" s="2"/>
      <c r="AJ1415" s="2" t="str">
        <f>IFERROR(__xludf.DUMMYFUNCTION("""COMPUTED_VALUE"""),"Labog")</f>
        <v>Labog</v>
      </c>
      <c r="AK1415" s="2" t="str">
        <f>IFERROR(__xludf.DUMMYFUNCTION("""COMPUTED_VALUE"""),"Sofronio Espanola")</f>
        <v>Sofronio Espanola</v>
      </c>
      <c r="AL1415" s="2" t="str">
        <f>IFERROR(__xludf.DUMMYFUNCTION("""COMPUTED_VALUE"""),"Palawan")</f>
        <v>Palawan</v>
      </c>
      <c r="AM1415" s="2" t="str">
        <f>IFERROR(__xludf.DUMMYFUNCTION("""COMPUTED_VALUE"""),"4B")</f>
        <v>4B</v>
      </c>
      <c r="AN1415" s="2" t="str">
        <f>IFERROR(__xludf.DUMMYFUNCTION("""COMPUTED_VALUE"""),"RCEF 25-03-05")</f>
        <v>RCEF 25-03-05</v>
      </c>
      <c r="AO1415" s="2">
        <f>IFERROR(__xludf.DUMMYFUNCTION("""COMPUTED_VALUE"""),6.0)</f>
        <v>6</v>
      </c>
      <c r="AP1415" s="2" t="str">
        <f>IFERROR(__xludf.DUMMYFUNCTION("""COMPUTED_VALUE"""),"FREE PMS")</f>
        <v>FREE PMS</v>
      </c>
      <c r="AQ1415" s="2"/>
      <c r="AR1415" s="2"/>
      <c r="AS1415" s="2"/>
      <c r="AT1415" s="2"/>
      <c r="AU1415" s="2"/>
      <c r="AV1415" s="2"/>
      <c r="AW1415" s="2"/>
      <c r="AX1415" s="2"/>
      <c r="AY1415" s="2"/>
      <c r="AZ1415" s="2"/>
      <c r="BA1415" s="2"/>
      <c r="BB1415" s="2"/>
    </row>
    <row r="1416">
      <c r="A1416" s="2">
        <f>IFERROR(__xludf.DUMMYFUNCTION("""COMPUTED_VALUE"""),1412.0)</f>
        <v>1412</v>
      </c>
      <c r="B1416" s="2" t="str">
        <f>IFERROR(__xludf.DUMMYFUNCTION("""COMPUTED_VALUE"""),"COMPLETED")</f>
        <v>COMPLETED</v>
      </c>
      <c r="C1416" s="74">
        <f>IFERROR(__xludf.DUMMYFUNCTION("""COMPUTED_VALUE"""),46060.0)</f>
        <v>46060</v>
      </c>
      <c r="D1416" s="71" t="str">
        <f>IFERROR(__xludf.DUMMYFUNCTION("""COMPUTED_VALUE"""),"ARAMAYWAN QUEZON FARMERS IRRIGATORS' ASSOCIATION, INC")</f>
        <v>ARAMAYWAN QUEZON FARMERS IRRIGATORS' ASSOCIATION, INC</v>
      </c>
      <c r="E1416" s="71" t="str">
        <f>IFERROR(__xludf.DUMMYFUNCTION("""COMPUTED_VALUE"""),"Aramaywan, Quezon, PALAWAN")</f>
        <v>Aramaywan, Quezon, PALAWAN</v>
      </c>
      <c r="F1416" s="2"/>
      <c r="G1416" s="2"/>
      <c r="H1416" s="2">
        <f>IFERROR(__xludf.DUMMYFUNCTION("""COMPUTED_VALUE"""),4.8)</f>
        <v>4.8</v>
      </c>
      <c r="I1416" s="72" t="str">
        <f>IFERROR(__xludf.DUMMYFUNCTION("""COMPUTED_VALUE"""),"PMS")</f>
        <v>PMS</v>
      </c>
      <c r="J1416" s="72" t="str">
        <f>IFERROR(__xludf.DUMMYFUNCTION("""COMPUTED_VALUE"""),"PMS")</f>
        <v>PMS</v>
      </c>
      <c r="K1416" s="72" t="str">
        <f>IFERROR(__xludf.DUMMYFUNCTION("""COMPUTED_VALUE"""),"RCG: 1ST PMS FREE")</f>
        <v>RCG: 1ST PMS FREE</v>
      </c>
      <c r="L1416" s="72" t="str">
        <f>IFERROR(__xludf.DUMMYFUNCTION("""COMPUTED_VALUE"""),"RCG:INIWAN NALANG ANG OIL AT OIL FILTER, TINURUAN KUNG PAPANO MAG CHANGE OIL, AT SINIGURA NA NA TRAINING SILA BAGO UMALIS , PMS ")</f>
        <v>RCG:INIWAN NALANG ANG OIL AT OIL FILTER, TINURUAN KUNG PAPANO MAG CHANGE OIL, AT SINIGURA NA NA TRAINING SILA BAGO UMALIS , PMS </v>
      </c>
      <c r="M1416" s="2"/>
      <c r="N1416" s="2" t="str">
        <f>IFERROR(__xludf.DUMMYFUNCTION("""COMPUTED_VALUE"""),"PARTS:
ENGINE OIL
OIL FILTER")</f>
        <v>PARTS:
ENGINE OIL
OIL FILTER</v>
      </c>
      <c r="O1416" s="2">
        <f>IFERROR(__xludf.DUMMYFUNCTION("""COMPUTED_VALUE"""),712.0)</f>
        <v>712</v>
      </c>
      <c r="P1416" s="2"/>
      <c r="Q1416" s="2" t="str">
        <f>IFERROR(__xludf.DUMMYFUNCTION("""COMPUTED_VALUE"""),"FOR PRINT")</f>
        <v>FOR PRINT</v>
      </c>
      <c r="R1416" s="74">
        <f>IFERROR(__xludf.DUMMYFUNCTION("""COMPUTED_VALUE"""),46060.0)</f>
        <v>46060</v>
      </c>
      <c r="S1416" s="2" t="str">
        <f>IFERROR(__xludf.DUMMYFUNCTION("""COMPUTED_VALUE"""),"RCG/JDP/OJT")</f>
        <v>RCG/JDP/OJT</v>
      </c>
      <c r="T1416" s="73" t="str">
        <f>IFERROR(__xludf.DUMMYFUNCTION("""COMPUTED_VALUE""")," N/A ")</f>
        <v>N/A</v>
      </c>
      <c r="U1416" s="73" t="str">
        <f>IFERROR(__xludf.DUMMYFUNCTION("""COMPUTED_VALUE""")," NO CHARGE ")</f>
        <v>NO CHARGE</v>
      </c>
      <c r="V1416" s="2" t="str">
        <f>IFERROR(__xludf.DUMMYFUNCTION("""COMPUTED_VALUE"""),"NO DR")</f>
        <v>NO DR</v>
      </c>
      <c r="W1416" s="2" t="str">
        <f>IFERROR(__xludf.DUMMYFUNCTION("""COMPUTED_VALUE"""),"N/A")</f>
        <v>N/A</v>
      </c>
      <c r="X1416" s="2" t="str">
        <f>IFERROR(__xludf.DUMMYFUNCTION("""COMPUTED_VALUE"""),"N/A")</f>
        <v>N/A</v>
      </c>
      <c r="Y1416" s="2"/>
      <c r="Z1416" s="2"/>
      <c r="AA1416" s="2"/>
      <c r="AB1416" s="2"/>
      <c r="AC1416" s="2"/>
      <c r="AD1416" s="2"/>
      <c r="AE1416" s="2"/>
      <c r="AF1416" s="2"/>
      <c r="AG1416" s="2"/>
      <c r="AH1416" s="2"/>
      <c r="AI1416" s="2"/>
      <c r="AJ1416" s="2" t="str">
        <f>IFERROR(__xludf.DUMMYFUNCTION("""COMPUTED_VALUE"""),"Aramaywan")</f>
        <v>Aramaywan</v>
      </c>
      <c r="AK1416" s="2" t="str">
        <f>IFERROR(__xludf.DUMMYFUNCTION("""COMPUTED_VALUE"""),"Quezon")</f>
        <v>Quezon</v>
      </c>
      <c r="AL1416" s="2" t="str">
        <f>IFERROR(__xludf.DUMMYFUNCTION("""COMPUTED_VALUE"""),"Palawan")</f>
        <v>Palawan</v>
      </c>
      <c r="AM1416" s="2" t="str">
        <f>IFERROR(__xludf.DUMMYFUNCTION("""COMPUTED_VALUE"""),"4B")</f>
        <v>4B</v>
      </c>
      <c r="AN1416" s="2" t="str">
        <f>IFERROR(__xludf.DUMMYFUNCTION("""COMPUTED_VALUE"""),"RCEF 25-03-05")</f>
        <v>RCEF 25-03-05</v>
      </c>
      <c r="AO1416" s="2">
        <f>IFERROR(__xludf.DUMMYFUNCTION("""COMPUTED_VALUE"""),6.0)</f>
        <v>6</v>
      </c>
      <c r="AP1416" s="2" t="str">
        <f>IFERROR(__xludf.DUMMYFUNCTION("""COMPUTED_VALUE"""),"FREE PMS")</f>
        <v>FREE PMS</v>
      </c>
      <c r="AQ1416" s="2"/>
      <c r="AR1416" s="2"/>
      <c r="AS1416" s="2"/>
      <c r="AT1416" s="2"/>
      <c r="AU1416" s="2"/>
      <c r="AV1416" s="2"/>
      <c r="AW1416" s="2"/>
      <c r="AX1416" s="2"/>
      <c r="AY1416" s="2"/>
      <c r="AZ1416" s="2"/>
      <c r="BA1416" s="2"/>
      <c r="BB1416" s="2"/>
    </row>
    <row r="1417">
      <c r="A1417" s="2">
        <f>IFERROR(__xludf.DUMMYFUNCTION("""COMPUTED_VALUE"""),1413.0)</f>
        <v>1413</v>
      </c>
      <c r="B1417" s="2" t="str">
        <f>IFERROR(__xludf.DUMMYFUNCTION("""COMPUTED_VALUE"""),"COMPLETED")</f>
        <v>COMPLETED</v>
      </c>
      <c r="C1417" s="74">
        <f>IFERROR(__xludf.DUMMYFUNCTION("""COMPUTED_VALUE"""),46060.0)</f>
        <v>46060</v>
      </c>
      <c r="D1417" s="71" t="str">
        <f>IFERROR(__xludf.DUMMYFUNCTION("""COMPUTED_VALUE"""),"UNITED FARMER'S IRRIGATORS ASSOCIATION OF MALATGAO AND PANITIAN INC.")</f>
        <v>UNITED FARMER'S IRRIGATORS ASSOCIATION OF MALATGAO AND PANITIAN INC.</v>
      </c>
      <c r="E1417" s="71" t="str">
        <f>IFERROR(__xludf.DUMMYFUNCTION("""COMPUTED_VALUE"""),"Malatgao, Quezon, PALAWAN")</f>
        <v>Malatgao, Quezon, PALAWAN</v>
      </c>
      <c r="F1417" s="2"/>
      <c r="G1417" s="2"/>
      <c r="H1417" s="2">
        <f>IFERROR(__xludf.DUMMYFUNCTION("""COMPUTED_VALUE"""),36.8)</f>
        <v>36.8</v>
      </c>
      <c r="I1417" s="72" t="str">
        <f>IFERROR(__xludf.DUMMYFUNCTION("""COMPUTED_VALUE"""),"PMS")</f>
        <v>PMS</v>
      </c>
      <c r="J1417" s="72" t="str">
        <f>IFERROR(__xludf.DUMMYFUNCTION("""COMPUTED_VALUE"""),"PMS")</f>
        <v>PMS</v>
      </c>
      <c r="K1417" s="72" t="str">
        <f>IFERROR(__xludf.DUMMYFUNCTION("""COMPUTED_VALUE"""),"RCG: 1ST PMS FREE")</f>
        <v>RCG: 1ST PMS FREE</v>
      </c>
      <c r="L1417" s="72" t="str">
        <f>IFERROR(__xludf.DUMMYFUNCTION("""COMPUTED_VALUE"""),"RCG:INIWAN NALANG ANG OIL AT OIL FILTER, TINURUAN KUNG PAPANO MAG CHANGE OIL, AT SINIGURA NA NA TRAINING SILA BAGO UMALIS , PMS ")</f>
        <v>RCG:INIWAN NALANG ANG OIL AT OIL FILTER, TINURUAN KUNG PAPANO MAG CHANGE OIL, AT SINIGURA NA NA TRAINING SILA BAGO UMALIS , PMS </v>
      </c>
      <c r="M1417" s="2"/>
      <c r="N1417" s="2" t="str">
        <f>IFERROR(__xludf.DUMMYFUNCTION("""COMPUTED_VALUE"""),"PARTS:
ENGINE OIL
OIL FILTER")</f>
        <v>PARTS:
ENGINE OIL
OIL FILTER</v>
      </c>
      <c r="O1417" s="2">
        <f>IFERROR(__xludf.DUMMYFUNCTION("""COMPUTED_VALUE"""),713.0)</f>
        <v>713</v>
      </c>
      <c r="P1417" s="2"/>
      <c r="Q1417" s="2" t="str">
        <f>IFERROR(__xludf.DUMMYFUNCTION("""COMPUTED_VALUE"""),"FOR PRINT")</f>
        <v>FOR PRINT</v>
      </c>
      <c r="R1417" s="74">
        <f>IFERROR(__xludf.DUMMYFUNCTION("""COMPUTED_VALUE"""),46060.0)</f>
        <v>46060</v>
      </c>
      <c r="S1417" s="2" t="str">
        <f>IFERROR(__xludf.DUMMYFUNCTION("""COMPUTED_VALUE"""),"RCG/JDP/OJT")</f>
        <v>RCG/JDP/OJT</v>
      </c>
      <c r="T1417" s="73" t="str">
        <f>IFERROR(__xludf.DUMMYFUNCTION("""COMPUTED_VALUE""")," N/A ")</f>
        <v>N/A</v>
      </c>
      <c r="U1417" s="73" t="str">
        <f>IFERROR(__xludf.DUMMYFUNCTION("""COMPUTED_VALUE""")," NO CHARGE ")</f>
        <v>NO CHARGE</v>
      </c>
      <c r="V1417" s="2" t="str">
        <f>IFERROR(__xludf.DUMMYFUNCTION("""COMPUTED_VALUE"""),"NO DR")</f>
        <v>NO DR</v>
      </c>
      <c r="W1417" s="2" t="str">
        <f>IFERROR(__xludf.DUMMYFUNCTION("""COMPUTED_VALUE"""),"N/A")</f>
        <v>N/A</v>
      </c>
      <c r="X1417" s="2" t="str">
        <f>IFERROR(__xludf.DUMMYFUNCTION("""COMPUTED_VALUE"""),"N/A")</f>
        <v>N/A</v>
      </c>
      <c r="Y1417" s="2"/>
      <c r="Z1417" s="2"/>
      <c r="AA1417" s="2"/>
      <c r="AB1417" s="2"/>
      <c r="AC1417" s="2"/>
      <c r="AD1417" s="2"/>
      <c r="AE1417" s="2"/>
      <c r="AF1417" s="2"/>
      <c r="AG1417" s="2"/>
      <c r="AH1417" s="2"/>
      <c r="AI1417" s="2"/>
      <c r="AJ1417" s="2" t="str">
        <f>IFERROR(__xludf.DUMMYFUNCTION("""COMPUTED_VALUE"""),"Malatgao")</f>
        <v>Malatgao</v>
      </c>
      <c r="AK1417" s="2" t="str">
        <f>IFERROR(__xludf.DUMMYFUNCTION("""COMPUTED_VALUE"""),"Quezon")</f>
        <v>Quezon</v>
      </c>
      <c r="AL1417" s="2" t="str">
        <f>IFERROR(__xludf.DUMMYFUNCTION("""COMPUTED_VALUE"""),"Palawan")</f>
        <v>Palawan</v>
      </c>
      <c r="AM1417" s="2" t="str">
        <f>IFERROR(__xludf.DUMMYFUNCTION("""COMPUTED_VALUE"""),"4B")</f>
        <v>4B</v>
      </c>
      <c r="AN1417" s="2" t="str">
        <f>IFERROR(__xludf.DUMMYFUNCTION("""COMPUTED_VALUE"""),"RCEF 25-03-05")</f>
        <v>RCEF 25-03-05</v>
      </c>
      <c r="AO1417" s="2">
        <f>IFERROR(__xludf.DUMMYFUNCTION("""COMPUTED_VALUE"""),6.0)</f>
        <v>6</v>
      </c>
      <c r="AP1417" s="2" t="str">
        <f>IFERROR(__xludf.DUMMYFUNCTION("""COMPUTED_VALUE"""),"FREE PMS")</f>
        <v>FREE PMS</v>
      </c>
      <c r="AQ1417" s="2"/>
      <c r="AR1417" s="2"/>
      <c r="AS1417" s="2"/>
      <c r="AT1417" s="2"/>
      <c r="AU1417" s="2"/>
      <c r="AV1417" s="2"/>
      <c r="AW1417" s="2"/>
      <c r="AX1417" s="2"/>
      <c r="AY1417" s="2"/>
      <c r="AZ1417" s="2"/>
      <c r="BA1417" s="2"/>
      <c r="BB1417" s="2"/>
    </row>
    <row r="1418">
      <c r="A1418" s="2">
        <f>IFERROR(__xludf.DUMMYFUNCTION("""COMPUTED_VALUE"""),1414.0)</f>
        <v>1414</v>
      </c>
      <c r="B1418" s="2" t="str">
        <f>IFERROR(__xludf.DUMMYFUNCTION("""COMPUTED_VALUE"""),"COMPLETED")</f>
        <v>COMPLETED</v>
      </c>
      <c r="C1418" s="74">
        <f>IFERROR(__xludf.DUMMYFUNCTION("""COMPUTED_VALUE"""),46060.0)</f>
        <v>46060</v>
      </c>
      <c r="D1418" s="71" t="str">
        <f>IFERROR(__xludf.DUMMYFUNCTION("""COMPUTED_VALUE"""),"ILULUWAY FARMER'S ASSOCIATION")</f>
        <v>ILULUWAY FARMER'S ASSOCIATION</v>
      </c>
      <c r="E1418" s="71" t="str">
        <f>IFERROR(__xludf.DUMMYFUNCTION("""COMPUTED_VALUE"""),"Alfonso XIII (Pob.), Quezon, PALAWAN")</f>
        <v>Alfonso XIII (Pob.), Quezon, PALAWAN</v>
      </c>
      <c r="F1418" s="2"/>
      <c r="G1418" s="2"/>
      <c r="H1418" s="2">
        <f>IFERROR(__xludf.DUMMYFUNCTION("""COMPUTED_VALUE"""),56.4)</f>
        <v>56.4</v>
      </c>
      <c r="I1418" s="72" t="str">
        <f>IFERROR(__xludf.DUMMYFUNCTION("""COMPUTED_VALUE"""),"PMS")</f>
        <v>PMS</v>
      </c>
      <c r="J1418" s="72" t="str">
        <f>IFERROR(__xludf.DUMMYFUNCTION("""COMPUTED_VALUE"""),"PMS")</f>
        <v>PMS</v>
      </c>
      <c r="K1418" s="72" t="str">
        <f>IFERROR(__xludf.DUMMYFUNCTION("""COMPUTED_VALUE"""),"RCG: 1ST PMS FREE")</f>
        <v>RCG: 1ST PMS FREE</v>
      </c>
      <c r="L1418" s="72" t="str">
        <f>IFERROR(__xludf.DUMMYFUNCTION("""COMPUTED_VALUE"""),"RCG: 1ST PSM DONE")</f>
        <v>RCG: 1ST PSM DONE</v>
      </c>
      <c r="M1418" s="2"/>
      <c r="N1418" s="2" t="str">
        <f>IFERROR(__xludf.DUMMYFUNCTION("""COMPUTED_VALUE"""),"PARTS:
ENGINE OIL
OIL FILTER")</f>
        <v>PARTS:
ENGINE OIL
OIL FILTER</v>
      </c>
      <c r="O1418" s="2">
        <f>IFERROR(__xludf.DUMMYFUNCTION("""COMPUTED_VALUE"""),714.0)</f>
        <v>714</v>
      </c>
      <c r="P1418" s="2"/>
      <c r="Q1418" s="2" t="str">
        <f>IFERROR(__xludf.DUMMYFUNCTION("""COMPUTED_VALUE"""),"FOR PRINT")</f>
        <v>FOR PRINT</v>
      </c>
      <c r="R1418" s="74">
        <f>IFERROR(__xludf.DUMMYFUNCTION("""COMPUTED_VALUE"""),46060.0)</f>
        <v>46060</v>
      </c>
      <c r="S1418" s="2" t="str">
        <f>IFERROR(__xludf.DUMMYFUNCTION("""COMPUTED_VALUE"""),"RCG/JDP/OJT")</f>
        <v>RCG/JDP/OJT</v>
      </c>
      <c r="T1418" s="73" t="str">
        <f>IFERROR(__xludf.DUMMYFUNCTION("""COMPUTED_VALUE""")," N/A ")</f>
        <v>N/A</v>
      </c>
      <c r="U1418" s="73" t="str">
        <f>IFERROR(__xludf.DUMMYFUNCTION("""COMPUTED_VALUE""")," NO CHARGE ")</f>
        <v>NO CHARGE</v>
      </c>
      <c r="V1418" s="2" t="str">
        <f>IFERROR(__xludf.DUMMYFUNCTION("""COMPUTED_VALUE"""),"NO DR")</f>
        <v>NO DR</v>
      </c>
      <c r="W1418" s="2" t="str">
        <f>IFERROR(__xludf.DUMMYFUNCTION("""COMPUTED_VALUE"""),"N/A")</f>
        <v>N/A</v>
      </c>
      <c r="X1418" s="2" t="str">
        <f>IFERROR(__xludf.DUMMYFUNCTION("""COMPUTED_VALUE"""),"N/A")</f>
        <v>N/A</v>
      </c>
      <c r="Y1418" s="2"/>
      <c r="Z1418" s="2"/>
      <c r="AA1418" s="2"/>
      <c r="AB1418" s="2"/>
      <c r="AC1418" s="2"/>
      <c r="AD1418" s="2"/>
      <c r="AE1418" s="2"/>
      <c r="AF1418" s="2"/>
      <c r="AG1418" s="2"/>
      <c r="AH1418" s="2"/>
      <c r="AI1418" s="2"/>
      <c r="AJ1418" s="2" t="str">
        <f>IFERROR(__xludf.DUMMYFUNCTION("""COMPUTED_VALUE"""),"Alfonso Xiii (Pob.)")</f>
        <v>Alfonso Xiii (Pob.)</v>
      </c>
      <c r="AK1418" s="2" t="str">
        <f>IFERROR(__xludf.DUMMYFUNCTION("""COMPUTED_VALUE"""),"Quezon")</f>
        <v>Quezon</v>
      </c>
      <c r="AL1418" s="2" t="str">
        <f>IFERROR(__xludf.DUMMYFUNCTION("""COMPUTED_VALUE"""),"Palawan")</f>
        <v>Palawan</v>
      </c>
      <c r="AM1418" s="2" t="str">
        <f>IFERROR(__xludf.DUMMYFUNCTION("""COMPUTED_VALUE"""),"4B")</f>
        <v>4B</v>
      </c>
      <c r="AN1418" s="2" t="str">
        <f>IFERROR(__xludf.DUMMYFUNCTION("""COMPUTED_VALUE"""),"RCEF 25-03-05")</f>
        <v>RCEF 25-03-05</v>
      </c>
      <c r="AO1418" s="2">
        <f>IFERROR(__xludf.DUMMYFUNCTION("""COMPUTED_VALUE"""),6.0)</f>
        <v>6</v>
      </c>
      <c r="AP1418" s="2" t="str">
        <f>IFERROR(__xludf.DUMMYFUNCTION("""COMPUTED_VALUE"""),"FREE PMS")</f>
        <v>FREE PMS</v>
      </c>
      <c r="AQ1418" s="2"/>
      <c r="AR1418" s="2"/>
      <c r="AS1418" s="2"/>
      <c r="AT1418" s="2"/>
      <c r="AU1418" s="2"/>
      <c r="AV1418" s="2"/>
      <c r="AW1418" s="2"/>
      <c r="AX1418" s="2"/>
      <c r="AY1418" s="2"/>
      <c r="AZ1418" s="2"/>
      <c r="BA1418" s="2"/>
      <c r="BB1418" s="2"/>
    </row>
    <row r="1419">
      <c r="A1419" s="2">
        <f>IFERROR(__xludf.DUMMYFUNCTION("""COMPUTED_VALUE"""),1415.0)</f>
        <v>1415</v>
      </c>
      <c r="B1419" s="2" t="str">
        <f>IFERROR(__xludf.DUMMYFUNCTION("""COMPUTED_VALUE"""),"COMPLETED")</f>
        <v>COMPLETED</v>
      </c>
      <c r="C1419" s="74">
        <f>IFERROR(__xludf.DUMMYFUNCTION("""COMPUTED_VALUE"""),46060.0)</f>
        <v>46060</v>
      </c>
      <c r="D1419" s="71" t="str">
        <f>IFERROR(__xludf.DUMMYFUNCTION("""COMPUTED_VALUE"""),"SITIO NALI IRRIGATORS' ASSOCIATION, INC.")</f>
        <v>SITIO NALI IRRIGATORS' ASSOCIATION, INC.</v>
      </c>
      <c r="E1419" s="71" t="str">
        <f>IFERROR(__xludf.DUMMYFUNCTION("""COMPUTED_VALUE"""),"Panitian, Quezon, PALAWAN")</f>
        <v>Panitian, Quezon, PALAWAN</v>
      </c>
      <c r="F1419" s="2"/>
      <c r="G1419" s="2"/>
      <c r="H1419" s="2">
        <f>IFERROR(__xludf.DUMMYFUNCTION("""COMPUTED_VALUE"""),22.3)</f>
        <v>22.3</v>
      </c>
      <c r="I1419" s="72" t="str">
        <f>IFERROR(__xludf.DUMMYFUNCTION("""COMPUTED_VALUE"""),"PMS")</f>
        <v>PMS</v>
      </c>
      <c r="J1419" s="72" t="str">
        <f>IFERROR(__xludf.DUMMYFUNCTION("""COMPUTED_VALUE"""),"PMS")</f>
        <v>PMS</v>
      </c>
      <c r="K1419" s="72" t="str">
        <f>IFERROR(__xludf.DUMMYFUNCTION("""COMPUTED_VALUE"""),"RCG: 1ST PMS FREE")</f>
        <v>RCG: 1ST PMS FREE</v>
      </c>
      <c r="L1419" s="72" t="str">
        <f>IFERROR(__xludf.DUMMYFUNCTION("""COMPUTED_VALUE"""),"RCG:INIWAN NALANG ANG OIL AT OIL FILTER, TINURUAN KUNG PAPANO MAG CHANGE OIL, AT SINIGURA NA NA TRAINING SILA BAGO UMALIS , PMS ")</f>
        <v>RCG:INIWAN NALANG ANG OIL AT OIL FILTER, TINURUAN KUNG PAPANO MAG CHANGE OIL, AT SINIGURA NA NA TRAINING SILA BAGO UMALIS , PMS </v>
      </c>
      <c r="M1419" s="2"/>
      <c r="N1419" s="2" t="str">
        <f>IFERROR(__xludf.DUMMYFUNCTION("""COMPUTED_VALUE"""),"PARTS:
ENGINE OIL
OIL FILTER")</f>
        <v>PARTS:
ENGINE OIL
OIL FILTER</v>
      </c>
      <c r="O1419" s="2">
        <f>IFERROR(__xludf.DUMMYFUNCTION("""COMPUTED_VALUE"""),715.0)</f>
        <v>715</v>
      </c>
      <c r="P1419" s="2"/>
      <c r="Q1419" s="2" t="str">
        <f>IFERROR(__xludf.DUMMYFUNCTION("""COMPUTED_VALUE"""),"FOR PRINT")</f>
        <v>FOR PRINT</v>
      </c>
      <c r="R1419" s="74">
        <f>IFERROR(__xludf.DUMMYFUNCTION("""COMPUTED_VALUE"""),46060.0)</f>
        <v>46060</v>
      </c>
      <c r="S1419" s="2" t="str">
        <f>IFERROR(__xludf.DUMMYFUNCTION("""COMPUTED_VALUE"""),"RCG/JDP/OJT")</f>
        <v>RCG/JDP/OJT</v>
      </c>
      <c r="T1419" s="73" t="str">
        <f>IFERROR(__xludf.DUMMYFUNCTION("""COMPUTED_VALUE""")," N/A ")</f>
        <v>N/A</v>
      </c>
      <c r="U1419" s="73" t="str">
        <f>IFERROR(__xludf.DUMMYFUNCTION("""COMPUTED_VALUE""")," NO CHARGE ")</f>
        <v>NO CHARGE</v>
      </c>
      <c r="V1419" s="2" t="str">
        <f>IFERROR(__xludf.DUMMYFUNCTION("""COMPUTED_VALUE"""),"NO DR")</f>
        <v>NO DR</v>
      </c>
      <c r="W1419" s="2" t="str">
        <f>IFERROR(__xludf.DUMMYFUNCTION("""COMPUTED_VALUE"""),"N/A")</f>
        <v>N/A</v>
      </c>
      <c r="X1419" s="2" t="str">
        <f>IFERROR(__xludf.DUMMYFUNCTION("""COMPUTED_VALUE"""),"N/A")</f>
        <v>N/A</v>
      </c>
      <c r="Y1419" s="2"/>
      <c r="Z1419" s="2"/>
      <c r="AA1419" s="2"/>
      <c r="AB1419" s="2"/>
      <c r="AC1419" s="2"/>
      <c r="AD1419" s="2"/>
      <c r="AE1419" s="2"/>
      <c r="AF1419" s="2"/>
      <c r="AG1419" s="2"/>
      <c r="AH1419" s="2"/>
      <c r="AI1419" s="2"/>
      <c r="AJ1419" s="2" t="str">
        <f>IFERROR(__xludf.DUMMYFUNCTION("""COMPUTED_VALUE"""),"Panitian")</f>
        <v>Panitian</v>
      </c>
      <c r="AK1419" s="2" t="str">
        <f>IFERROR(__xludf.DUMMYFUNCTION("""COMPUTED_VALUE"""),"Quezon")</f>
        <v>Quezon</v>
      </c>
      <c r="AL1419" s="2" t="str">
        <f>IFERROR(__xludf.DUMMYFUNCTION("""COMPUTED_VALUE"""),"Palawan")</f>
        <v>Palawan</v>
      </c>
      <c r="AM1419" s="2" t="str">
        <f>IFERROR(__xludf.DUMMYFUNCTION("""COMPUTED_VALUE"""),"4B")</f>
        <v>4B</v>
      </c>
      <c r="AN1419" s="2" t="str">
        <f>IFERROR(__xludf.DUMMYFUNCTION("""COMPUTED_VALUE"""),"RCEF 25-03-05")</f>
        <v>RCEF 25-03-05</v>
      </c>
      <c r="AO1419" s="2">
        <f>IFERROR(__xludf.DUMMYFUNCTION("""COMPUTED_VALUE"""),6.0)</f>
        <v>6</v>
      </c>
      <c r="AP1419" s="2" t="str">
        <f>IFERROR(__xludf.DUMMYFUNCTION("""COMPUTED_VALUE"""),"FREE PMS")</f>
        <v>FREE PMS</v>
      </c>
      <c r="AQ1419" s="2"/>
      <c r="AR1419" s="2"/>
      <c r="AS1419" s="2"/>
      <c r="AT1419" s="2"/>
      <c r="AU1419" s="2"/>
      <c r="AV1419" s="2"/>
      <c r="AW1419" s="2"/>
      <c r="AX1419" s="2"/>
      <c r="AY1419" s="2"/>
      <c r="AZ1419" s="2"/>
      <c r="BA1419" s="2"/>
      <c r="BB1419" s="2"/>
    </row>
    <row r="1420">
      <c r="A1420" s="2">
        <f>IFERROR(__xludf.DUMMYFUNCTION("""COMPUTED_VALUE"""),1416.0)</f>
        <v>1416</v>
      </c>
      <c r="B1420" s="2" t="str">
        <f>IFERROR(__xludf.DUMMYFUNCTION("""COMPUTED_VALUE"""),"COMPLETED")</f>
        <v>COMPLETED</v>
      </c>
      <c r="C1420" s="74">
        <f>IFERROR(__xludf.DUMMYFUNCTION("""COMPUTED_VALUE"""),46060.0)</f>
        <v>46060</v>
      </c>
      <c r="D1420" s="71" t="str">
        <f>IFERROR(__xludf.DUMMYFUNCTION("""COMPUTED_VALUE"""),"Palawan ARC Cooperative Federation (PARCOFED)")</f>
        <v>Palawan ARC Cooperative Federation (PARCOFED)</v>
      </c>
      <c r="E1420" s="71" t="str">
        <f>IFERROR(__xludf.DUMMYFUNCTION("""COMPUTED_VALUE"""),"Narra (Pob.), Narra, PALAWAN")</f>
        <v>Narra (Pob.), Narra, PALAWAN</v>
      </c>
      <c r="F1420" s="2"/>
      <c r="G1420" s="2"/>
      <c r="H1420" s="2">
        <f>IFERROR(__xludf.DUMMYFUNCTION("""COMPUTED_VALUE"""),67.7)</f>
        <v>67.7</v>
      </c>
      <c r="I1420" s="72" t="str">
        <f>IFERROR(__xludf.DUMMYFUNCTION("""COMPUTED_VALUE"""),"PMS")</f>
        <v>PMS</v>
      </c>
      <c r="J1420" s="72" t="str">
        <f>IFERROR(__xludf.DUMMYFUNCTION("""COMPUTED_VALUE"""),"PMS")</f>
        <v>PMS</v>
      </c>
      <c r="K1420" s="72" t="str">
        <f>IFERROR(__xludf.DUMMYFUNCTION("""COMPUTED_VALUE"""),"RCG: 1ST PMS FREE")</f>
        <v>RCG: 1ST PMS FREE</v>
      </c>
      <c r="L1420" s="72" t="str">
        <f>IFERROR(__xludf.DUMMYFUNCTION("""COMPUTED_VALUE"""),"RCG: 1ST PSM DONE")</f>
        <v>RCG: 1ST PSM DONE</v>
      </c>
      <c r="M1420" s="2"/>
      <c r="N1420" s="2" t="str">
        <f>IFERROR(__xludf.DUMMYFUNCTION("""COMPUTED_VALUE"""),"PARTS:
ENGINE OIL
OIL FILTER")</f>
        <v>PARTS:
ENGINE OIL
OIL FILTER</v>
      </c>
      <c r="O1420" s="2">
        <f>IFERROR(__xludf.DUMMYFUNCTION("""COMPUTED_VALUE"""),716.0)</f>
        <v>716</v>
      </c>
      <c r="P1420" s="2"/>
      <c r="Q1420" s="2" t="str">
        <f>IFERROR(__xludf.DUMMYFUNCTION("""COMPUTED_VALUE"""),"FOR PRINT")</f>
        <v>FOR PRINT</v>
      </c>
      <c r="R1420" s="74">
        <f>IFERROR(__xludf.DUMMYFUNCTION("""COMPUTED_VALUE"""),46060.0)</f>
        <v>46060</v>
      </c>
      <c r="S1420" s="2" t="str">
        <f>IFERROR(__xludf.DUMMYFUNCTION("""COMPUTED_VALUE"""),"RCG/JDP/OJT")</f>
        <v>RCG/JDP/OJT</v>
      </c>
      <c r="T1420" s="73" t="str">
        <f>IFERROR(__xludf.DUMMYFUNCTION("""COMPUTED_VALUE""")," N/A ")</f>
        <v>N/A</v>
      </c>
      <c r="U1420" s="73" t="str">
        <f>IFERROR(__xludf.DUMMYFUNCTION("""COMPUTED_VALUE""")," NO CHARGE ")</f>
        <v>NO CHARGE</v>
      </c>
      <c r="V1420" s="2" t="str">
        <f>IFERROR(__xludf.DUMMYFUNCTION("""COMPUTED_VALUE"""),"NO DR")</f>
        <v>NO DR</v>
      </c>
      <c r="W1420" s="2" t="str">
        <f>IFERROR(__xludf.DUMMYFUNCTION("""COMPUTED_VALUE"""),"N/A")</f>
        <v>N/A</v>
      </c>
      <c r="X1420" s="2" t="str">
        <f>IFERROR(__xludf.DUMMYFUNCTION("""COMPUTED_VALUE"""),"N/A")</f>
        <v>N/A</v>
      </c>
      <c r="Y1420" s="2"/>
      <c r="Z1420" s="2"/>
      <c r="AA1420" s="2"/>
      <c r="AB1420" s="2"/>
      <c r="AC1420" s="2"/>
      <c r="AD1420" s="2"/>
      <c r="AE1420" s="2"/>
      <c r="AF1420" s="2"/>
      <c r="AG1420" s="2"/>
      <c r="AH1420" s="2"/>
      <c r="AI1420" s="2"/>
      <c r="AJ1420" s="2" t="str">
        <f>IFERROR(__xludf.DUMMYFUNCTION("""COMPUTED_VALUE"""),"Narra (Pob.)")</f>
        <v>Narra (Pob.)</v>
      </c>
      <c r="AK1420" s="2" t="str">
        <f>IFERROR(__xludf.DUMMYFUNCTION("""COMPUTED_VALUE"""),"Narra")</f>
        <v>Narra</v>
      </c>
      <c r="AL1420" s="2" t="str">
        <f>IFERROR(__xludf.DUMMYFUNCTION("""COMPUTED_VALUE"""),"Palawan")</f>
        <v>Palawan</v>
      </c>
      <c r="AM1420" s="2" t="str">
        <f>IFERROR(__xludf.DUMMYFUNCTION("""COMPUTED_VALUE"""),"4B")</f>
        <v>4B</v>
      </c>
      <c r="AN1420" s="2" t="str">
        <f>IFERROR(__xludf.DUMMYFUNCTION("""COMPUTED_VALUE"""),"RCEF 25-03-05")</f>
        <v>RCEF 25-03-05</v>
      </c>
      <c r="AO1420" s="2">
        <f>IFERROR(__xludf.DUMMYFUNCTION("""COMPUTED_VALUE"""),6.0)</f>
        <v>6</v>
      </c>
      <c r="AP1420" s="2" t="str">
        <f>IFERROR(__xludf.DUMMYFUNCTION("""COMPUTED_VALUE"""),"FREE PMS")</f>
        <v>FREE PMS</v>
      </c>
      <c r="AQ1420" s="2"/>
      <c r="AR1420" s="2"/>
      <c r="AS1420" s="2"/>
      <c r="AT1420" s="2"/>
      <c r="AU1420" s="2"/>
      <c r="AV1420" s="2"/>
      <c r="AW1420" s="2"/>
      <c r="AX1420" s="2"/>
      <c r="AY1420" s="2"/>
      <c r="AZ1420" s="2"/>
      <c r="BA1420" s="2"/>
      <c r="BB1420" s="2"/>
    </row>
    <row r="1421">
      <c r="A1421" s="2">
        <f>IFERROR(__xludf.DUMMYFUNCTION("""COMPUTED_VALUE"""),1417.0)</f>
        <v>1417</v>
      </c>
      <c r="B1421" s="2" t="str">
        <f>IFERROR(__xludf.DUMMYFUNCTION("""COMPUTED_VALUE"""),"COMPLETED")</f>
        <v>COMPLETED</v>
      </c>
      <c r="C1421" s="74">
        <f>IFERROR(__xludf.DUMMYFUNCTION("""COMPUTED_VALUE"""),46060.0)</f>
        <v>46060</v>
      </c>
      <c r="D1421" s="71" t="str">
        <f>IFERROR(__xludf.DUMMYFUNCTION("""COMPUTED_VALUE"""),"UPPER MALINAO RICE FARMERS IRRIGATORS ASSOCIATION INC.")</f>
        <v>UPPER MALINAO RICE FARMERS IRRIGATORS ASSOCIATION INC.</v>
      </c>
      <c r="E1421" s="71" t="str">
        <f>IFERROR(__xludf.DUMMYFUNCTION("""COMPUTED_VALUE"""),"Malinao, Narra, PALAWAN")</f>
        <v>Malinao, Narra, PALAWAN</v>
      </c>
      <c r="F1421" s="2"/>
      <c r="G1421" s="2"/>
      <c r="H1421" s="2">
        <f>IFERROR(__xludf.DUMMYFUNCTION("""COMPUTED_VALUE"""),15.8)</f>
        <v>15.8</v>
      </c>
      <c r="I1421" s="72" t="str">
        <f>IFERROR(__xludf.DUMMYFUNCTION("""COMPUTED_VALUE"""),"PMS")</f>
        <v>PMS</v>
      </c>
      <c r="J1421" s="72" t="str">
        <f>IFERROR(__xludf.DUMMYFUNCTION("""COMPUTED_VALUE"""),"PMS")</f>
        <v>PMS</v>
      </c>
      <c r="K1421" s="72" t="str">
        <f>IFERROR(__xludf.DUMMYFUNCTION("""COMPUTED_VALUE"""),"RCG: 1ST PMS FREE")</f>
        <v>RCG: 1ST PMS FREE</v>
      </c>
      <c r="L1421" s="72" t="str">
        <f>IFERROR(__xludf.DUMMYFUNCTION("""COMPUTED_VALUE"""),"RCG:INIWAN NALANG ANG OIL AT OIL FILTER, TINURUAN KUNG PAPANO MAG CHANGE OIL, AT SINIGURA NA NA TRAINING SILA BAGO UMALIS , PMS ")</f>
        <v>RCG:INIWAN NALANG ANG OIL AT OIL FILTER, TINURUAN KUNG PAPANO MAG CHANGE OIL, AT SINIGURA NA NA TRAINING SILA BAGO UMALIS , PMS </v>
      </c>
      <c r="M1421" s="2"/>
      <c r="N1421" s="2" t="str">
        <f>IFERROR(__xludf.DUMMYFUNCTION("""COMPUTED_VALUE"""),"PARTS:
ENGINE OIL
OIL FILTER")</f>
        <v>PARTS:
ENGINE OIL
OIL FILTER</v>
      </c>
      <c r="O1421" s="2">
        <f>IFERROR(__xludf.DUMMYFUNCTION("""COMPUTED_VALUE"""),717.0)</f>
        <v>717</v>
      </c>
      <c r="P1421" s="2"/>
      <c r="Q1421" s="2" t="str">
        <f>IFERROR(__xludf.DUMMYFUNCTION("""COMPUTED_VALUE"""),"FOR PRINT")</f>
        <v>FOR PRINT</v>
      </c>
      <c r="R1421" s="74">
        <f>IFERROR(__xludf.DUMMYFUNCTION("""COMPUTED_VALUE"""),46060.0)</f>
        <v>46060</v>
      </c>
      <c r="S1421" s="2" t="str">
        <f>IFERROR(__xludf.DUMMYFUNCTION("""COMPUTED_VALUE"""),"RCG/JDP/OJT")</f>
        <v>RCG/JDP/OJT</v>
      </c>
      <c r="T1421" s="73" t="str">
        <f>IFERROR(__xludf.DUMMYFUNCTION("""COMPUTED_VALUE""")," N/A ")</f>
        <v>N/A</v>
      </c>
      <c r="U1421" s="73" t="str">
        <f>IFERROR(__xludf.DUMMYFUNCTION("""COMPUTED_VALUE""")," NO CHARGE ")</f>
        <v>NO CHARGE</v>
      </c>
      <c r="V1421" s="2" t="str">
        <f>IFERROR(__xludf.DUMMYFUNCTION("""COMPUTED_VALUE"""),"NO DR")</f>
        <v>NO DR</v>
      </c>
      <c r="W1421" s="2" t="str">
        <f>IFERROR(__xludf.DUMMYFUNCTION("""COMPUTED_VALUE"""),"N/A")</f>
        <v>N/A</v>
      </c>
      <c r="X1421" s="2" t="str">
        <f>IFERROR(__xludf.DUMMYFUNCTION("""COMPUTED_VALUE"""),"N/A")</f>
        <v>N/A</v>
      </c>
      <c r="Y1421" s="2"/>
      <c r="Z1421" s="2"/>
      <c r="AA1421" s="2"/>
      <c r="AB1421" s="2"/>
      <c r="AC1421" s="2"/>
      <c r="AD1421" s="2"/>
      <c r="AE1421" s="2"/>
      <c r="AF1421" s="2"/>
      <c r="AG1421" s="2"/>
      <c r="AH1421" s="2"/>
      <c r="AI1421" s="2"/>
      <c r="AJ1421" s="2" t="str">
        <f>IFERROR(__xludf.DUMMYFUNCTION("""COMPUTED_VALUE"""),"Malinao")</f>
        <v>Malinao</v>
      </c>
      <c r="AK1421" s="2" t="str">
        <f>IFERROR(__xludf.DUMMYFUNCTION("""COMPUTED_VALUE"""),"Narra")</f>
        <v>Narra</v>
      </c>
      <c r="AL1421" s="2" t="str">
        <f>IFERROR(__xludf.DUMMYFUNCTION("""COMPUTED_VALUE"""),"Palawan")</f>
        <v>Palawan</v>
      </c>
      <c r="AM1421" s="2" t="str">
        <f>IFERROR(__xludf.DUMMYFUNCTION("""COMPUTED_VALUE"""),"4B")</f>
        <v>4B</v>
      </c>
      <c r="AN1421" s="2" t="str">
        <f>IFERROR(__xludf.DUMMYFUNCTION("""COMPUTED_VALUE"""),"RCEF 25-03-05")</f>
        <v>RCEF 25-03-05</v>
      </c>
      <c r="AO1421" s="2">
        <f>IFERROR(__xludf.DUMMYFUNCTION("""COMPUTED_VALUE"""),6.0)</f>
        <v>6</v>
      </c>
      <c r="AP1421" s="2" t="str">
        <f>IFERROR(__xludf.DUMMYFUNCTION("""COMPUTED_VALUE"""),"FREE PMS")</f>
        <v>FREE PMS</v>
      </c>
      <c r="AQ1421" s="2"/>
      <c r="AR1421" s="2"/>
      <c r="AS1421" s="2"/>
      <c r="AT1421" s="2"/>
      <c r="AU1421" s="2"/>
      <c r="AV1421" s="2"/>
      <c r="AW1421" s="2"/>
      <c r="AX1421" s="2"/>
      <c r="AY1421" s="2"/>
      <c r="AZ1421" s="2"/>
      <c r="BA1421" s="2"/>
      <c r="BB1421" s="2"/>
    </row>
    <row r="1422">
      <c r="A1422" s="2">
        <f>IFERROR(__xludf.DUMMYFUNCTION("""COMPUTED_VALUE"""),1418.0)</f>
        <v>1418</v>
      </c>
      <c r="B1422" s="2" t="str">
        <f>IFERROR(__xludf.DUMMYFUNCTION("""COMPUTED_VALUE"""),"COMPLETED")</f>
        <v>COMPLETED</v>
      </c>
      <c r="C1422" s="74">
        <f>IFERROR(__xludf.DUMMYFUNCTION("""COMPUTED_VALUE"""),46060.0)</f>
        <v>46060</v>
      </c>
      <c r="D1422" s="71" t="str">
        <f>IFERROR(__xludf.DUMMYFUNCTION("""COMPUTED_VALUE"""),"NAGKAKAISANG LAHI IRRIGATORS ASSOCIATION INC.")</f>
        <v>NAGKAKAISANG LAHI IRRIGATORS ASSOCIATION INC.</v>
      </c>
      <c r="E1422" s="71" t="str">
        <f>IFERROR(__xludf.DUMMYFUNCTION("""COMPUTED_VALUE"""),"Malinao, Narra, PALAWAN")</f>
        <v>Malinao, Narra, PALAWAN</v>
      </c>
      <c r="F1422" s="2"/>
      <c r="G1422" s="2"/>
      <c r="H1422" s="2">
        <f>IFERROR(__xludf.DUMMYFUNCTION("""COMPUTED_VALUE"""),14.0)</f>
        <v>14</v>
      </c>
      <c r="I1422" s="72" t="str">
        <f>IFERROR(__xludf.DUMMYFUNCTION("""COMPUTED_VALUE"""),"PMS")</f>
        <v>PMS</v>
      </c>
      <c r="J1422" s="72" t="str">
        <f>IFERROR(__xludf.DUMMYFUNCTION("""COMPUTED_VALUE"""),"PMS")</f>
        <v>PMS</v>
      </c>
      <c r="K1422" s="72" t="str">
        <f>IFERROR(__xludf.DUMMYFUNCTION("""COMPUTED_VALUE"""),"RCG: 1ST PMS FREE")</f>
        <v>RCG: 1ST PMS FREE</v>
      </c>
      <c r="L1422" s="72" t="str">
        <f>IFERROR(__xludf.DUMMYFUNCTION("""COMPUTED_VALUE"""),"RCG:INIWAN NALANG ANG OIL AT OIL FILTER, TINURUAN KUNG PAPANO MAG CHANGE OIL, AT SINIGURA NA NA TRAINING SILA BAGO UMALIS , PMS ")</f>
        <v>RCG:INIWAN NALANG ANG OIL AT OIL FILTER, TINURUAN KUNG PAPANO MAG CHANGE OIL, AT SINIGURA NA NA TRAINING SILA BAGO UMALIS , PMS </v>
      </c>
      <c r="M1422" s="2"/>
      <c r="N1422" s="2" t="str">
        <f>IFERROR(__xludf.DUMMYFUNCTION("""COMPUTED_VALUE"""),"PARTS:
ENGINE OIL
OIL FILTER")</f>
        <v>PARTS:
ENGINE OIL
OIL FILTER</v>
      </c>
      <c r="O1422" s="2">
        <f>IFERROR(__xludf.DUMMYFUNCTION("""COMPUTED_VALUE"""),718.0)</f>
        <v>718</v>
      </c>
      <c r="P1422" s="2"/>
      <c r="Q1422" s="2" t="str">
        <f>IFERROR(__xludf.DUMMYFUNCTION("""COMPUTED_VALUE"""),"FOR PRINT")</f>
        <v>FOR PRINT</v>
      </c>
      <c r="R1422" s="74">
        <f>IFERROR(__xludf.DUMMYFUNCTION("""COMPUTED_VALUE"""),46060.0)</f>
        <v>46060</v>
      </c>
      <c r="S1422" s="2" t="str">
        <f>IFERROR(__xludf.DUMMYFUNCTION("""COMPUTED_VALUE"""),"RCG/JDP/OJT")</f>
        <v>RCG/JDP/OJT</v>
      </c>
      <c r="T1422" s="73" t="str">
        <f>IFERROR(__xludf.DUMMYFUNCTION("""COMPUTED_VALUE""")," N/A ")</f>
        <v>N/A</v>
      </c>
      <c r="U1422" s="73" t="str">
        <f>IFERROR(__xludf.DUMMYFUNCTION("""COMPUTED_VALUE""")," NO CHARGE ")</f>
        <v>NO CHARGE</v>
      </c>
      <c r="V1422" s="2" t="str">
        <f>IFERROR(__xludf.DUMMYFUNCTION("""COMPUTED_VALUE"""),"NO DR")</f>
        <v>NO DR</v>
      </c>
      <c r="W1422" s="2" t="str">
        <f>IFERROR(__xludf.DUMMYFUNCTION("""COMPUTED_VALUE"""),"N/A")</f>
        <v>N/A</v>
      </c>
      <c r="X1422" s="2" t="str">
        <f>IFERROR(__xludf.DUMMYFUNCTION("""COMPUTED_VALUE"""),"N/A")</f>
        <v>N/A</v>
      </c>
      <c r="Y1422" s="2"/>
      <c r="Z1422" s="2"/>
      <c r="AA1422" s="2"/>
      <c r="AB1422" s="2"/>
      <c r="AC1422" s="2"/>
      <c r="AD1422" s="2"/>
      <c r="AE1422" s="2"/>
      <c r="AF1422" s="2"/>
      <c r="AG1422" s="2"/>
      <c r="AH1422" s="2"/>
      <c r="AI1422" s="2"/>
      <c r="AJ1422" s="2" t="str">
        <f>IFERROR(__xludf.DUMMYFUNCTION("""COMPUTED_VALUE"""),"Malinao")</f>
        <v>Malinao</v>
      </c>
      <c r="AK1422" s="2" t="str">
        <f>IFERROR(__xludf.DUMMYFUNCTION("""COMPUTED_VALUE"""),"Narra")</f>
        <v>Narra</v>
      </c>
      <c r="AL1422" s="2" t="str">
        <f>IFERROR(__xludf.DUMMYFUNCTION("""COMPUTED_VALUE"""),"Palawan")</f>
        <v>Palawan</v>
      </c>
      <c r="AM1422" s="2" t="str">
        <f>IFERROR(__xludf.DUMMYFUNCTION("""COMPUTED_VALUE"""),"4B")</f>
        <v>4B</v>
      </c>
      <c r="AN1422" s="2" t="str">
        <f>IFERROR(__xludf.DUMMYFUNCTION("""COMPUTED_VALUE"""),"RCEF 25-03-05")</f>
        <v>RCEF 25-03-05</v>
      </c>
      <c r="AO1422" s="2">
        <f>IFERROR(__xludf.DUMMYFUNCTION("""COMPUTED_VALUE"""),6.0)</f>
        <v>6</v>
      </c>
      <c r="AP1422" s="2" t="str">
        <f>IFERROR(__xludf.DUMMYFUNCTION("""COMPUTED_VALUE"""),"FREE PMS")</f>
        <v>FREE PMS</v>
      </c>
      <c r="AQ1422" s="2"/>
      <c r="AR1422" s="2"/>
      <c r="AS1422" s="2"/>
      <c r="AT1422" s="2"/>
      <c r="AU1422" s="2"/>
      <c r="AV1422" s="2"/>
      <c r="AW1422" s="2"/>
      <c r="AX1422" s="2"/>
      <c r="AY1422" s="2"/>
      <c r="AZ1422" s="2"/>
      <c r="BA1422" s="2"/>
      <c r="BB1422" s="2"/>
    </row>
    <row r="1423">
      <c r="A1423" s="2">
        <f>IFERROR(__xludf.DUMMYFUNCTION("""COMPUTED_VALUE"""),1419.0)</f>
        <v>1419</v>
      </c>
      <c r="B1423" s="2" t="str">
        <f>IFERROR(__xludf.DUMMYFUNCTION("""COMPUTED_VALUE"""),"COMPLETED")</f>
        <v>COMPLETED</v>
      </c>
      <c r="C1423" s="74">
        <f>IFERROR(__xludf.DUMMYFUNCTION("""COMPUTED_VALUE"""),46061.0)</f>
        <v>46061</v>
      </c>
      <c r="D1423" s="71" t="str">
        <f>IFERROR(__xludf.DUMMYFUNCTION("""COMPUTED_VALUE"""),"PINAGBUKLOD NG SAMAHAN NG SAPANG BUO")</f>
        <v>PINAGBUKLOD NG SAMAHAN NG SAPANG BUO</v>
      </c>
      <c r="E1423" s="71" t="str">
        <f>IFERROR(__xludf.DUMMYFUNCTION("""COMPUTED_VALUE"""),"Concepcion, General Tinio, NUEVA ECIJA")</f>
        <v>Concepcion, General Tinio, NUEVA ECIJA</v>
      </c>
      <c r="F1423" s="2" t="str">
        <f>IFERROR(__xludf.DUMMYFUNCTION("""COMPUTED_VALUE"""),"Pantaleon Factor")</f>
        <v>Pantaleon Factor</v>
      </c>
      <c r="G1423" s="2">
        <f>IFERROR(__xludf.DUMMYFUNCTION("""COMPUTED_VALUE"""),9.62066883E9)</f>
        <v>9620668830</v>
      </c>
      <c r="H1423" s="2">
        <f>IFERROR(__xludf.DUMMYFUNCTION("""COMPUTED_VALUE"""),70.0)</f>
        <v>70</v>
      </c>
      <c r="I1423" s="72" t="str">
        <f>IFERROR(__xludf.DUMMYFUNCTION("""COMPUTED_VALUE"""),"PMS")</f>
        <v>PMS</v>
      </c>
      <c r="J1423" s="72" t="str">
        <f>IFERROR(__xludf.DUMMYFUNCTION("""COMPUTED_VALUE"""),"PMS")</f>
        <v>PMS</v>
      </c>
      <c r="K1423" s="72" t="str">
        <f>IFERROR(__xludf.DUMMYFUNCTION("""COMPUTED_VALUE"""),"JVV:  1ST PMS FREE")</f>
        <v>JVV:  1ST PMS FREE</v>
      </c>
      <c r="L1423" s="72" t="str">
        <f>IFERROR(__xludf.DUMMYFUNCTION("""COMPUTED_VALUE"""),"JHP: 1ST PMS DONE")</f>
        <v>JHP: 1ST PMS DONE</v>
      </c>
      <c r="M1423" s="2"/>
      <c r="N1423" s="2" t="str">
        <f>IFERROR(__xludf.DUMMYFUNCTION("""COMPUTED_VALUE"""),"PARTS:
ENGINE OIL
OIL FILTER")</f>
        <v>PARTS:
ENGINE OIL
OIL FILTER</v>
      </c>
      <c r="O1423" s="2" t="str">
        <f>IFERROR(__xludf.DUMMYFUNCTION("""COMPUTED_VALUE"""),"N/A")</f>
        <v>N/A</v>
      </c>
      <c r="P1423" s="2"/>
      <c r="Q1423" s="2"/>
      <c r="R1423" s="74">
        <f>IFERROR(__xludf.DUMMYFUNCTION("""COMPUTED_VALUE"""),46092.0)</f>
        <v>46092</v>
      </c>
      <c r="S1423" s="2" t="str">
        <f>IFERROR(__xludf.DUMMYFUNCTION("""COMPUTED_VALUE"""),"JHP")</f>
        <v>JHP</v>
      </c>
      <c r="T1423" s="73" t="str">
        <f>IFERROR(__xludf.DUMMYFUNCTION("""COMPUTED_VALUE""")," N/A ")</f>
        <v>N/A</v>
      </c>
      <c r="U1423" s="73" t="str">
        <f>IFERROR(__xludf.DUMMYFUNCTION("""COMPUTED_VALUE""")," NO CHARGE ")</f>
        <v>NO CHARGE</v>
      </c>
      <c r="V1423" s="2">
        <f>IFERROR(__xludf.DUMMYFUNCTION("""COMPUTED_VALUE"""),1293.0)</f>
        <v>1293</v>
      </c>
      <c r="W1423" s="2" t="str">
        <f>IFERROR(__xludf.DUMMYFUNCTION("""COMPUTED_VALUE"""),"N/A")</f>
        <v>N/A</v>
      </c>
      <c r="X1423" s="2" t="str">
        <f>IFERROR(__xludf.DUMMYFUNCTION("""COMPUTED_VALUE"""),"N/A")</f>
        <v>N/A</v>
      </c>
      <c r="Y1423" s="2"/>
      <c r="Z1423" s="2"/>
      <c r="AA1423" s="2"/>
      <c r="AB1423" s="2"/>
      <c r="AC1423" s="2"/>
      <c r="AD1423" s="2"/>
      <c r="AE1423" s="2"/>
      <c r="AF1423" s="2"/>
      <c r="AG1423" s="2"/>
      <c r="AH1423" s="2"/>
      <c r="AI1423" s="2"/>
      <c r="AJ1423" s="2" t="str">
        <f>IFERROR(__xludf.DUMMYFUNCTION("""COMPUTED_VALUE"""),"Concepcion")</f>
        <v>Concepcion</v>
      </c>
      <c r="AK1423" s="2" t="str">
        <f>IFERROR(__xludf.DUMMYFUNCTION("""COMPUTED_VALUE"""),"General Tinio")</f>
        <v>General Tinio</v>
      </c>
      <c r="AL1423" s="2" t="str">
        <f>IFERROR(__xludf.DUMMYFUNCTION("""COMPUTED_VALUE"""),"Nueva Ecija")</f>
        <v>Nueva Ecija</v>
      </c>
      <c r="AM1423" s="2">
        <f>IFERROR(__xludf.DUMMYFUNCTION("""COMPUTED_VALUE"""),3.0)</f>
        <v>3</v>
      </c>
      <c r="AN1423" s="2" t="str">
        <f>IFERROR(__xludf.DUMMYFUNCTION("""COMPUTED_VALUE"""),"RCEF 25-03-05")</f>
        <v>RCEF 25-03-05</v>
      </c>
      <c r="AO1423" s="2">
        <f>IFERROR(__xludf.DUMMYFUNCTION("""COMPUTED_VALUE"""),5.0)</f>
        <v>5</v>
      </c>
      <c r="AP1423" s="2" t="str">
        <f>IFERROR(__xludf.DUMMYFUNCTION("""COMPUTED_VALUE"""),"FREE PMS")</f>
        <v>FREE PMS</v>
      </c>
      <c r="AQ1423" s="2"/>
      <c r="AR1423" s="2"/>
      <c r="AS1423" s="2"/>
      <c r="AT1423" s="2"/>
      <c r="AU1423" s="2"/>
      <c r="AV1423" s="2"/>
      <c r="AW1423" s="2"/>
      <c r="AX1423" s="2"/>
      <c r="AY1423" s="2"/>
      <c r="AZ1423" s="2"/>
      <c r="BA1423" s="2"/>
      <c r="BB1423" s="2"/>
    </row>
    <row r="1424">
      <c r="A1424" s="2">
        <f>IFERROR(__xludf.DUMMYFUNCTION("""COMPUTED_VALUE"""),1420.0)</f>
        <v>1420</v>
      </c>
      <c r="B1424" s="2" t="str">
        <f>IFERROR(__xludf.DUMMYFUNCTION("""COMPUTED_VALUE"""),"COMPLETED")</f>
        <v>COMPLETED</v>
      </c>
      <c r="C1424" s="74">
        <f>IFERROR(__xludf.DUMMYFUNCTION("""COMPUTED_VALUE"""),46061.0)</f>
        <v>46061</v>
      </c>
      <c r="D1424" s="71" t="str">
        <f>IFERROR(__xludf.DUMMYFUNCTION("""COMPUTED_VALUE"""),"ARAMAYWAN FARMERS ASSOCIATION")</f>
        <v>ARAMAYWAN FARMERS ASSOCIATION</v>
      </c>
      <c r="E1424" s="71" t="str">
        <f>IFERROR(__xludf.DUMMYFUNCTION("""COMPUTED_VALUE"""),"Aramaywan, Narra, PALAWAN")</f>
        <v>Aramaywan, Narra, PALAWAN</v>
      </c>
      <c r="F1424" s="2"/>
      <c r="G1424" s="2"/>
      <c r="H1424" s="2">
        <f>IFERROR(__xludf.DUMMYFUNCTION("""COMPUTED_VALUE"""),88.1)</f>
        <v>88.1</v>
      </c>
      <c r="I1424" s="72" t="str">
        <f>IFERROR(__xludf.DUMMYFUNCTION("""COMPUTED_VALUE"""),"PMS")</f>
        <v>PMS</v>
      </c>
      <c r="J1424" s="72" t="str">
        <f>IFERROR(__xludf.DUMMYFUNCTION("""COMPUTED_VALUE"""),"PMS")</f>
        <v>PMS</v>
      </c>
      <c r="K1424" s="72" t="str">
        <f>IFERROR(__xludf.DUMMYFUNCTION("""COMPUTED_VALUE"""),"RCG: 1ST PMS FREE")</f>
        <v>RCG: 1ST PMS FREE</v>
      </c>
      <c r="L1424" s="72" t="str">
        <f>IFERROR(__xludf.DUMMYFUNCTION("""COMPUTED_VALUE"""),"RCG: 1ST PSM DONE")</f>
        <v>RCG: 1ST PSM DONE</v>
      </c>
      <c r="M1424" s="2"/>
      <c r="N1424" s="2" t="str">
        <f>IFERROR(__xludf.DUMMYFUNCTION("""COMPUTED_VALUE"""),"PARTS:
ENGINE OIL
OIL FILTER")</f>
        <v>PARTS:
ENGINE OIL
OIL FILTER</v>
      </c>
      <c r="O1424" s="2">
        <f>IFERROR(__xludf.DUMMYFUNCTION("""COMPUTED_VALUE"""),719.0)</f>
        <v>719</v>
      </c>
      <c r="P1424" s="2"/>
      <c r="Q1424" s="2" t="str">
        <f>IFERROR(__xludf.DUMMYFUNCTION("""COMPUTED_VALUE"""),"FOR PRINT")</f>
        <v>FOR PRINT</v>
      </c>
      <c r="R1424" s="74">
        <f>IFERROR(__xludf.DUMMYFUNCTION("""COMPUTED_VALUE"""),46061.0)</f>
        <v>46061</v>
      </c>
      <c r="S1424" s="2" t="str">
        <f>IFERROR(__xludf.DUMMYFUNCTION("""COMPUTED_VALUE"""),"RCG/JDP/OJT")</f>
        <v>RCG/JDP/OJT</v>
      </c>
      <c r="T1424" s="73" t="str">
        <f>IFERROR(__xludf.DUMMYFUNCTION("""COMPUTED_VALUE""")," N/A ")</f>
        <v>N/A</v>
      </c>
      <c r="U1424" s="73" t="str">
        <f>IFERROR(__xludf.DUMMYFUNCTION("""COMPUTED_VALUE""")," NO CHARGE ")</f>
        <v>NO CHARGE</v>
      </c>
      <c r="V1424" s="2" t="str">
        <f>IFERROR(__xludf.DUMMYFUNCTION("""COMPUTED_VALUE"""),"NO DR")</f>
        <v>NO DR</v>
      </c>
      <c r="W1424" s="2" t="str">
        <f>IFERROR(__xludf.DUMMYFUNCTION("""COMPUTED_VALUE"""),"N/A")</f>
        <v>N/A</v>
      </c>
      <c r="X1424" s="2" t="str">
        <f>IFERROR(__xludf.DUMMYFUNCTION("""COMPUTED_VALUE"""),"N/A")</f>
        <v>N/A</v>
      </c>
      <c r="Y1424" s="2"/>
      <c r="Z1424" s="2"/>
      <c r="AA1424" s="2"/>
      <c r="AB1424" s="2"/>
      <c r="AC1424" s="2"/>
      <c r="AD1424" s="2"/>
      <c r="AE1424" s="2"/>
      <c r="AF1424" s="2"/>
      <c r="AG1424" s="2"/>
      <c r="AH1424" s="2"/>
      <c r="AI1424" s="2"/>
      <c r="AJ1424" s="2" t="str">
        <f>IFERROR(__xludf.DUMMYFUNCTION("""COMPUTED_VALUE"""),"Aramaywan")</f>
        <v>Aramaywan</v>
      </c>
      <c r="AK1424" s="2" t="str">
        <f>IFERROR(__xludf.DUMMYFUNCTION("""COMPUTED_VALUE"""),"Narra")</f>
        <v>Narra</v>
      </c>
      <c r="AL1424" s="2" t="str">
        <f>IFERROR(__xludf.DUMMYFUNCTION("""COMPUTED_VALUE"""),"Palawan")</f>
        <v>Palawan</v>
      </c>
      <c r="AM1424" s="2" t="str">
        <f>IFERROR(__xludf.DUMMYFUNCTION("""COMPUTED_VALUE"""),"4B")</f>
        <v>4B</v>
      </c>
      <c r="AN1424" s="2" t="str">
        <f>IFERROR(__xludf.DUMMYFUNCTION("""COMPUTED_VALUE"""),"RCEF 25-03-05")</f>
        <v>RCEF 25-03-05</v>
      </c>
      <c r="AO1424" s="2">
        <f>IFERROR(__xludf.DUMMYFUNCTION("""COMPUTED_VALUE"""),6.0)</f>
        <v>6</v>
      </c>
      <c r="AP1424" s="2" t="str">
        <f>IFERROR(__xludf.DUMMYFUNCTION("""COMPUTED_VALUE"""),"FREE PMS")</f>
        <v>FREE PMS</v>
      </c>
      <c r="AQ1424" s="2"/>
      <c r="AR1424" s="2"/>
      <c r="AS1424" s="2"/>
      <c r="AT1424" s="2"/>
      <c r="AU1424" s="2"/>
      <c r="AV1424" s="2"/>
      <c r="AW1424" s="2"/>
      <c r="AX1424" s="2"/>
      <c r="AY1424" s="2"/>
      <c r="AZ1424" s="2"/>
      <c r="BA1424" s="2"/>
      <c r="BB1424" s="2"/>
    </row>
    <row r="1425">
      <c r="A1425" s="2">
        <f>IFERROR(__xludf.DUMMYFUNCTION("""COMPUTED_VALUE"""),1421.0)</f>
        <v>1421</v>
      </c>
      <c r="B1425" s="2" t="str">
        <f>IFERROR(__xludf.DUMMYFUNCTION("""COMPUTED_VALUE"""),"COMPLETED")</f>
        <v>COMPLETED</v>
      </c>
      <c r="C1425" s="74">
        <f>IFERROR(__xludf.DUMMYFUNCTION("""COMPUTED_VALUE"""),46061.0)</f>
        <v>46061</v>
      </c>
      <c r="D1425" s="71" t="str">
        <f>IFERROR(__xludf.DUMMYFUNCTION("""COMPUTED_VALUE"""),"BARANGAY TERESA RICE FARMERS ASSOCIATION")</f>
        <v>BARANGAY TERESA RICE FARMERS ASSOCIATION</v>
      </c>
      <c r="E1425" s="71" t="str">
        <f>IFERROR(__xludf.DUMMYFUNCTION("""COMPUTED_VALUE"""),"Teresa, Narra, PALAWAN")</f>
        <v>Teresa, Narra, PALAWAN</v>
      </c>
      <c r="F1425" s="2"/>
      <c r="G1425" s="2"/>
      <c r="H1425" s="2">
        <f>IFERROR(__xludf.DUMMYFUNCTION("""COMPUTED_VALUE"""),3.6)</f>
        <v>3.6</v>
      </c>
      <c r="I1425" s="72" t="str">
        <f>IFERROR(__xludf.DUMMYFUNCTION("""COMPUTED_VALUE"""),"PMS")</f>
        <v>PMS</v>
      </c>
      <c r="J1425" s="72" t="str">
        <f>IFERROR(__xludf.DUMMYFUNCTION("""COMPUTED_VALUE"""),"PMS")</f>
        <v>PMS</v>
      </c>
      <c r="K1425" s="72" t="str">
        <f>IFERROR(__xludf.DUMMYFUNCTION("""COMPUTED_VALUE"""),"RCG: 1ST PMS FREE")</f>
        <v>RCG: 1ST PMS FREE</v>
      </c>
      <c r="L1425" s="72" t="str">
        <f>IFERROR(__xludf.DUMMYFUNCTION("""COMPUTED_VALUE"""),"RCG:INIWAN NALANG ANG OIL AT OIL FILTER, TINURUAN KUNG PAPANO MAG CHANGE OIL, AT SINIGURA NA NA TRAINING SILA BAGO UMALIS , PMS ")</f>
        <v>RCG:INIWAN NALANG ANG OIL AT OIL FILTER, TINURUAN KUNG PAPANO MAG CHANGE OIL, AT SINIGURA NA NA TRAINING SILA BAGO UMALIS , PMS </v>
      </c>
      <c r="M1425" s="2"/>
      <c r="N1425" s="2" t="str">
        <f>IFERROR(__xludf.DUMMYFUNCTION("""COMPUTED_VALUE"""),"PARTS:
ENGINE OIL
OIL FILTER")</f>
        <v>PARTS:
ENGINE OIL
OIL FILTER</v>
      </c>
      <c r="O1425" s="2">
        <f>IFERROR(__xludf.DUMMYFUNCTION("""COMPUTED_VALUE"""),720.0)</f>
        <v>720</v>
      </c>
      <c r="P1425" s="2"/>
      <c r="Q1425" s="2" t="str">
        <f>IFERROR(__xludf.DUMMYFUNCTION("""COMPUTED_VALUE"""),"FOR PRINT")</f>
        <v>FOR PRINT</v>
      </c>
      <c r="R1425" s="74">
        <f>IFERROR(__xludf.DUMMYFUNCTION("""COMPUTED_VALUE"""),46061.0)</f>
        <v>46061</v>
      </c>
      <c r="S1425" s="2" t="str">
        <f>IFERROR(__xludf.DUMMYFUNCTION("""COMPUTED_VALUE"""),"RCG/JDP/OJT")</f>
        <v>RCG/JDP/OJT</v>
      </c>
      <c r="T1425" s="73" t="str">
        <f>IFERROR(__xludf.DUMMYFUNCTION("""COMPUTED_VALUE""")," N/A ")</f>
        <v>N/A</v>
      </c>
      <c r="U1425" s="73" t="str">
        <f>IFERROR(__xludf.DUMMYFUNCTION("""COMPUTED_VALUE""")," NO CHARGE ")</f>
        <v>NO CHARGE</v>
      </c>
      <c r="V1425" s="2" t="str">
        <f>IFERROR(__xludf.DUMMYFUNCTION("""COMPUTED_VALUE"""),"NO DR")</f>
        <v>NO DR</v>
      </c>
      <c r="W1425" s="2" t="str">
        <f>IFERROR(__xludf.DUMMYFUNCTION("""COMPUTED_VALUE"""),"N/A")</f>
        <v>N/A</v>
      </c>
      <c r="X1425" s="2" t="str">
        <f>IFERROR(__xludf.DUMMYFUNCTION("""COMPUTED_VALUE"""),"N/A")</f>
        <v>N/A</v>
      </c>
      <c r="Y1425" s="2"/>
      <c r="Z1425" s="2"/>
      <c r="AA1425" s="2"/>
      <c r="AB1425" s="2"/>
      <c r="AC1425" s="2"/>
      <c r="AD1425" s="2"/>
      <c r="AE1425" s="2"/>
      <c r="AF1425" s="2"/>
      <c r="AG1425" s="2"/>
      <c r="AH1425" s="2"/>
      <c r="AI1425" s="2"/>
      <c r="AJ1425" s="2" t="str">
        <f>IFERROR(__xludf.DUMMYFUNCTION("""COMPUTED_VALUE"""),"Teresa")</f>
        <v>Teresa</v>
      </c>
      <c r="AK1425" s="2" t="str">
        <f>IFERROR(__xludf.DUMMYFUNCTION("""COMPUTED_VALUE"""),"Narra")</f>
        <v>Narra</v>
      </c>
      <c r="AL1425" s="2" t="str">
        <f>IFERROR(__xludf.DUMMYFUNCTION("""COMPUTED_VALUE"""),"Palawan")</f>
        <v>Palawan</v>
      </c>
      <c r="AM1425" s="2" t="str">
        <f>IFERROR(__xludf.DUMMYFUNCTION("""COMPUTED_VALUE"""),"4B")</f>
        <v>4B</v>
      </c>
      <c r="AN1425" s="2" t="str">
        <f>IFERROR(__xludf.DUMMYFUNCTION("""COMPUTED_VALUE"""),"RCEF 25-03-05")</f>
        <v>RCEF 25-03-05</v>
      </c>
      <c r="AO1425" s="2">
        <f>IFERROR(__xludf.DUMMYFUNCTION("""COMPUTED_VALUE"""),6.0)</f>
        <v>6</v>
      </c>
      <c r="AP1425" s="2" t="str">
        <f>IFERROR(__xludf.DUMMYFUNCTION("""COMPUTED_VALUE"""),"FREE PMS")</f>
        <v>FREE PMS</v>
      </c>
      <c r="AQ1425" s="2"/>
      <c r="AR1425" s="2"/>
      <c r="AS1425" s="2"/>
      <c r="AT1425" s="2"/>
      <c r="AU1425" s="2"/>
      <c r="AV1425" s="2"/>
      <c r="AW1425" s="2"/>
      <c r="AX1425" s="2"/>
      <c r="AY1425" s="2"/>
      <c r="AZ1425" s="2"/>
      <c r="BA1425" s="2"/>
      <c r="BB1425" s="2"/>
    </row>
    <row r="1426">
      <c r="A1426" s="2">
        <f>IFERROR(__xludf.DUMMYFUNCTION("""COMPUTED_VALUE"""),1422.0)</f>
        <v>1422</v>
      </c>
      <c r="B1426" s="2" t="str">
        <f>IFERROR(__xludf.DUMMYFUNCTION("""COMPUTED_VALUE"""),"COMPLETED")</f>
        <v>COMPLETED</v>
      </c>
      <c r="C1426" s="74">
        <f>IFERROR(__xludf.DUMMYFUNCTION("""COMPUTED_VALUE"""),46061.0)</f>
        <v>46061</v>
      </c>
      <c r="D1426" s="71" t="str">
        <f>IFERROR(__xludf.DUMMYFUNCTION("""COMPUTED_VALUE"""),"SANDOVAL FARMERS ASSOCIATION")</f>
        <v>SANDOVAL FARMERS ASSOCIATION</v>
      </c>
      <c r="E1426" s="71" t="str">
        <f>IFERROR(__xludf.DUMMYFUNCTION("""COMPUTED_VALUE"""),"Sandoval, Roxas, Palawan")</f>
        <v>Sandoval, Roxas, Palawan</v>
      </c>
      <c r="F1426" s="2" t="str">
        <f>IFERROR(__xludf.DUMMYFUNCTION("""COMPUTED_VALUE"""),"SANDOVAL FARMERS ASSOCIATION - NARRA PALAWAN")</f>
        <v>SANDOVAL FARMERS ASSOCIATION - NARRA PALAWAN</v>
      </c>
      <c r="G1426" s="2"/>
      <c r="H1426" s="2">
        <f>IFERROR(__xludf.DUMMYFUNCTION("""COMPUTED_VALUE"""),12.7)</f>
        <v>12.7</v>
      </c>
      <c r="I1426" s="72" t="str">
        <f>IFERROR(__xludf.DUMMYFUNCTION("""COMPUTED_VALUE"""),"PMS")</f>
        <v>PMS</v>
      </c>
      <c r="J1426" s="72" t="str">
        <f>IFERROR(__xludf.DUMMYFUNCTION("""COMPUTED_VALUE"""),"PMS")</f>
        <v>PMS</v>
      </c>
      <c r="K1426" s="72" t="str">
        <f>IFERROR(__xludf.DUMMYFUNCTION("""COMPUTED_VALUE"""),"SANDOVAL FARMERS ASSOCIATION - NARRA PALAWAN
RCG: 1ST PMS FREE")</f>
        <v>SANDOVAL FARMERS ASSOCIATION - NARRA PALAWAN
RCG: 1ST PMS FREE</v>
      </c>
      <c r="L1426" s="72" t="str">
        <f>IFERROR(__xludf.DUMMYFUNCTION("""COMPUTED_VALUE"""),"RCG:INIWAN NALANG ANG OIL AT OIL FILTER, TINURUAN KUNG PAPANO MAG CHANGE OIL, AT SINIGURA NA NA TRAINING SILA BAGO UMALIS")</f>
        <v>RCG:INIWAN NALANG ANG OIL AT OIL FILTER, TINURUAN KUNG PAPANO MAG CHANGE OIL, AT SINIGURA NA NA TRAINING SILA BAGO UMALIS</v>
      </c>
      <c r="M1426" s="2"/>
      <c r="N1426" s="2" t="str">
        <f>IFERROR(__xludf.DUMMYFUNCTION("""COMPUTED_VALUE"""),"PARTS:
ENGINE OIL
OIL FILTER")</f>
        <v>PARTS:
ENGINE OIL
OIL FILTER</v>
      </c>
      <c r="O1426" s="2">
        <f>IFERROR(__xludf.DUMMYFUNCTION("""COMPUTED_VALUE"""),721.0)</f>
        <v>721</v>
      </c>
      <c r="P1426" s="2"/>
      <c r="Q1426" s="2" t="str">
        <f>IFERROR(__xludf.DUMMYFUNCTION("""COMPUTED_VALUE"""),"FOR PRINT")</f>
        <v>FOR PRINT</v>
      </c>
      <c r="R1426" s="74">
        <f>IFERROR(__xludf.DUMMYFUNCTION("""COMPUTED_VALUE"""),46061.0)</f>
        <v>46061</v>
      </c>
      <c r="S1426" s="2" t="str">
        <f>IFERROR(__xludf.DUMMYFUNCTION("""COMPUTED_VALUE"""),"RCG/JDP/OJT")</f>
        <v>RCG/JDP/OJT</v>
      </c>
      <c r="T1426" s="73" t="str">
        <f>IFERROR(__xludf.DUMMYFUNCTION("""COMPUTED_VALUE""")," N/A ")</f>
        <v>N/A</v>
      </c>
      <c r="U1426" s="73" t="str">
        <f>IFERROR(__xludf.DUMMYFUNCTION("""COMPUTED_VALUE""")," NO CHARGE ")</f>
        <v>NO CHARGE</v>
      </c>
      <c r="V1426" s="2" t="str">
        <f>IFERROR(__xludf.DUMMYFUNCTION("""COMPUTED_VALUE"""),"NO DR")</f>
        <v>NO DR</v>
      </c>
      <c r="W1426" s="2" t="str">
        <f>IFERROR(__xludf.DUMMYFUNCTION("""COMPUTED_VALUE"""),"N/A")</f>
        <v>N/A</v>
      </c>
      <c r="X1426" s="2" t="str">
        <f>IFERROR(__xludf.DUMMYFUNCTION("""COMPUTED_VALUE"""),"N/A")</f>
        <v>N/A</v>
      </c>
      <c r="Y1426" s="2"/>
      <c r="Z1426" s="2"/>
      <c r="AA1426" s="2"/>
      <c r="AB1426" s="2"/>
      <c r="AC1426" s="2"/>
      <c r="AD1426" s="2"/>
      <c r="AE1426" s="2"/>
      <c r="AF1426" s="2"/>
      <c r="AG1426" s="2"/>
      <c r="AH1426" s="2"/>
      <c r="AI1426" s="2"/>
      <c r="AJ1426" s="2" t="str">
        <f>IFERROR(__xludf.DUMMYFUNCTION("""COMPUTED_VALUE"""),"Sandoval")</f>
        <v>Sandoval</v>
      </c>
      <c r="AK1426" s="2" t="str">
        <f>IFERROR(__xludf.DUMMYFUNCTION("""COMPUTED_VALUE"""),"Roxas")</f>
        <v>Roxas</v>
      </c>
      <c r="AL1426" s="2" t="str">
        <f>IFERROR(__xludf.DUMMYFUNCTION("""COMPUTED_VALUE"""),"Palawan")</f>
        <v>Palawan</v>
      </c>
      <c r="AM1426" s="2" t="str">
        <f>IFERROR(__xludf.DUMMYFUNCTION("""COMPUTED_VALUE"""),"4B")</f>
        <v>4B</v>
      </c>
      <c r="AN1426" s="2" t="str">
        <f>IFERROR(__xludf.DUMMYFUNCTION("""COMPUTED_VALUE"""),"RCEF 23-08-20 Rebidding")</f>
        <v>RCEF 23-08-20 Rebidding</v>
      </c>
      <c r="AO1426" s="2">
        <f>IFERROR(__xludf.DUMMYFUNCTION("""COMPUTED_VALUE"""),1.0)</f>
        <v>1</v>
      </c>
      <c r="AP1426" s="2"/>
      <c r="AQ1426" s="2"/>
      <c r="AR1426" s="2"/>
      <c r="AS1426" s="2"/>
      <c r="AT1426" s="2"/>
      <c r="AU1426" s="2"/>
      <c r="AV1426" s="2"/>
      <c r="AW1426" s="2"/>
      <c r="AX1426" s="2"/>
      <c r="AY1426" s="2"/>
      <c r="AZ1426" s="2"/>
      <c r="BA1426" s="2"/>
      <c r="BB1426" s="2"/>
    </row>
    <row r="1427">
      <c r="A1427" s="2">
        <f>IFERROR(__xludf.DUMMYFUNCTION("""COMPUTED_VALUE"""),1423.0)</f>
        <v>1423</v>
      </c>
      <c r="B1427" s="2" t="str">
        <f>IFERROR(__xludf.DUMMYFUNCTION("""COMPUTED_VALUE"""),"COMPLETED")</f>
        <v>COMPLETED</v>
      </c>
      <c r="C1427" s="74">
        <f>IFERROR(__xludf.DUMMYFUNCTION("""COMPUTED_VALUE"""),46061.0)</f>
        <v>46061</v>
      </c>
      <c r="D1427" s="71" t="str">
        <f>IFERROR(__xludf.DUMMYFUNCTION("""COMPUTED_VALUE"""),"KAGANDAHAN IRRIGATORS ASSOCIATION INC.")</f>
        <v>KAGANDAHAN IRRIGATORS ASSOCIATION INC.</v>
      </c>
      <c r="E1427" s="71" t="str">
        <f>IFERROR(__xludf.DUMMYFUNCTION("""COMPUTED_VALUE"""),"Taritien, Narra, PALAWAN")</f>
        <v>Taritien, Narra, PALAWAN</v>
      </c>
      <c r="F1427" s="2"/>
      <c r="G1427" s="2"/>
      <c r="H1427" s="2">
        <f>IFERROR(__xludf.DUMMYFUNCTION("""COMPUTED_VALUE"""),4.6)</f>
        <v>4.6</v>
      </c>
      <c r="I1427" s="72" t="str">
        <f>IFERROR(__xludf.DUMMYFUNCTION("""COMPUTED_VALUE"""),"PMS")</f>
        <v>PMS</v>
      </c>
      <c r="J1427" s="72" t="str">
        <f>IFERROR(__xludf.DUMMYFUNCTION("""COMPUTED_VALUE"""),"PMS")</f>
        <v>PMS</v>
      </c>
      <c r="K1427" s="72" t="str">
        <f>IFERROR(__xludf.DUMMYFUNCTION("""COMPUTED_VALUE"""),"RCG: 1ST PMS FREE")</f>
        <v>RCG: 1ST PMS FREE</v>
      </c>
      <c r="L1427" s="72" t="str">
        <f>IFERROR(__xludf.DUMMYFUNCTION("""COMPUTED_VALUE"""),"RCG:INIWAN NALANG ANG OIL AT OIL FILTER, TINURUAN KUNG PAPANO MAG CHANGE OIL, AT SINIGURA NA NA TRAINING SILA BAGO UMALIS , PMS ")</f>
        <v>RCG:INIWAN NALANG ANG OIL AT OIL FILTER, TINURUAN KUNG PAPANO MAG CHANGE OIL, AT SINIGURA NA NA TRAINING SILA BAGO UMALIS , PMS </v>
      </c>
      <c r="M1427" s="2"/>
      <c r="N1427" s="2" t="str">
        <f>IFERROR(__xludf.DUMMYFUNCTION("""COMPUTED_VALUE"""),"PARTS:
ENGINE OIL
OIL FILTER")</f>
        <v>PARTS:
ENGINE OIL
OIL FILTER</v>
      </c>
      <c r="O1427" s="2">
        <f>IFERROR(__xludf.DUMMYFUNCTION("""COMPUTED_VALUE"""),722.0)</f>
        <v>722</v>
      </c>
      <c r="P1427" s="2"/>
      <c r="Q1427" s="2" t="str">
        <f>IFERROR(__xludf.DUMMYFUNCTION("""COMPUTED_VALUE"""),"FOR PRINT")</f>
        <v>FOR PRINT</v>
      </c>
      <c r="R1427" s="74">
        <f>IFERROR(__xludf.DUMMYFUNCTION("""COMPUTED_VALUE"""),46061.0)</f>
        <v>46061</v>
      </c>
      <c r="S1427" s="2" t="str">
        <f>IFERROR(__xludf.DUMMYFUNCTION("""COMPUTED_VALUE"""),"RCG/JDP/OJT")</f>
        <v>RCG/JDP/OJT</v>
      </c>
      <c r="T1427" s="73" t="str">
        <f>IFERROR(__xludf.DUMMYFUNCTION("""COMPUTED_VALUE""")," N/A ")</f>
        <v>N/A</v>
      </c>
      <c r="U1427" s="73" t="str">
        <f>IFERROR(__xludf.DUMMYFUNCTION("""COMPUTED_VALUE""")," NO CHARGE ")</f>
        <v>NO CHARGE</v>
      </c>
      <c r="V1427" s="2" t="str">
        <f>IFERROR(__xludf.DUMMYFUNCTION("""COMPUTED_VALUE"""),"NO DR")</f>
        <v>NO DR</v>
      </c>
      <c r="W1427" s="2" t="str">
        <f>IFERROR(__xludf.DUMMYFUNCTION("""COMPUTED_VALUE"""),"N/A")</f>
        <v>N/A</v>
      </c>
      <c r="X1427" s="2" t="str">
        <f>IFERROR(__xludf.DUMMYFUNCTION("""COMPUTED_VALUE"""),"N/A")</f>
        <v>N/A</v>
      </c>
      <c r="Y1427" s="2"/>
      <c r="Z1427" s="2"/>
      <c r="AA1427" s="2"/>
      <c r="AB1427" s="2"/>
      <c r="AC1427" s="2"/>
      <c r="AD1427" s="2"/>
      <c r="AE1427" s="2"/>
      <c r="AF1427" s="2"/>
      <c r="AG1427" s="2"/>
      <c r="AH1427" s="2"/>
      <c r="AI1427" s="2"/>
      <c r="AJ1427" s="2" t="str">
        <f>IFERROR(__xludf.DUMMYFUNCTION("""COMPUTED_VALUE"""),"Taritien")</f>
        <v>Taritien</v>
      </c>
      <c r="AK1427" s="2" t="str">
        <f>IFERROR(__xludf.DUMMYFUNCTION("""COMPUTED_VALUE"""),"Narra")</f>
        <v>Narra</v>
      </c>
      <c r="AL1427" s="2" t="str">
        <f>IFERROR(__xludf.DUMMYFUNCTION("""COMPUTED_VALUE"""),"Palawan")</f>
        <v>Palawan</v>
      </c>
      <c r="AM1427" s="2" t="str">
        <f>IFERROR(__xludf.DUMMYFUNCTION("""COMPUTED_VALUE"""),"4B")</f>
        <v>4B</v>
      </c>
      <c r="AN1427" s="2" t="str">
        <f>IFERROR(__xludf.DUMMYFUNCTION("""COMPUTED_VALUE"""),"RCEF 25-03-05")</f>
        <v>RCEF 25-03-05</v>
      </c>
      <c r="AO1427" s="2">
        <f>IFERROR(__xludf.DUMMYFUNCTION("""COMPUTED_VALUE"""),6.0)</f>
        <v>6</v>
      </c>
      <c r="AP1427" s="2" t="str">
        <f>IFERROR(__xludf.DUMMYFUNCTION("""COMPUTED_VALUE"""),"FREE PMS")</f>
        <v>FREE PMS</v>
      </c>
      <c r="AQ1427" s="2"/>
      <c r="AR1427" s="2"/>
      <c r="AS1427" s="2"/>
      <c r="AT1427" s="2"/>
      <c r="AU1427" s="2"/>
      <c r="AV1427" s="2"/>
      <c r="AW1427" s="2"/>
      <c r="AX1427" s="2"/>
      <c r="AY1427" s="2"/>
      <c r="AZ1427" s="2"/>
      <c r="BA1427" s="2"/>
      <c r="BB1427" s="2"/>
    </row>
    <row r="1428">
      <c r="A1428" s="2">
        <f>IFERROR(__xludf.DUMMYFUNCTION("""COMPUTED_VALUE"""),1424.0)</f>
        <v>1424</v>
      </c>
      <c r="B1428" s="2" t="str">
        <f>IFERROR(__xludf.DUMMYFUNCTION("""COMPUTED_VALUE"""),"COMPLETED")</f>
        <v>COMPLETED</v>
      </c>
      <c r="C1428" s="74">
        <f>IFERROR(__xludf.DUMMYFUNCTION("""COMPUTED_VALUE"""),46061.0)</f>
        <v>46061</v>
      </c>
      <c r="D1428" s="71" t="str">
        <f>IFERROR(__xludf.DUMMYFUNCTION("""COMPUTED_VALUE"""),"DELTA FALLS UPPER LAPU-LAPU IRRIGATORS ASSOCIATION,INC.")</f>
        <v>DELTA FALLS UPPER LAPU-LAPU IRRIGATORS ASSOCIATION,INC.</v>
      </c>
      <c r="E1428" s="71" t="str">
        <f>IFERROR(__xludf.DUMMYFUNCTION("""COMPUTED_VALUE"""),"Narra (Pob.), Narra, PALAWAN")</f>
        <v>Narra (Pob.), Narra, PALAWAN</v>
      </c>
      <c r="F1428" s="2"/>
      <c r="G1428" s="2"/>
      <c r="H1428" s="2">
        <f>IFERROR(__xludf.DUMMYFUNCTION("""COMPUTED_VALUE"""),14.3)</f>
        <v>14.3</v>
      </c>
      <c r="I1428" s="72" t="str">
        <f>IFERROR(__xludf.DUMMYFUNCTION("""COMPUTED_VALUE"""),"PMS")</f>
        <v>PMS</v>
      </c>
      <c r="J1428" s="72" t="str">
        <f>IFERROR(__xludf.DUMMYFUNCTION("""COMPUTED_VALUE"""),"PMS")</f>
        <v>PMS</v>
      </c>
      <c r="K1428" s="72" t="str">
        <f>IFERROR(__xludf.DUMMYFUNCTION("""COMPUTED_VALUE"""),"RCG: 1ST PMS FREE")</f>
        <v>RCG: 1ST PMS FREE</v>
      </c>
      <c r="L1428" s="72" t="str">
        <f>IFERROR(__xludf.DUMMYFUNCTION("""COMPUTED_VALUE"""),"RCG:INIWAN NALANG ANG OIL AT OIL FILTER, TINURUAN KUNG PAPANO MAG CHANGE OIL, AT SINIGURA NA NA TRAINING SILA BAGO UMALIS , PMS ")</f>
        <v>RCG:INIWAN NALANG ANG OIL AT OIL FILTER, TINURUAN KUNG PAPANO MAG CHANGE OIL, AT SINIGURA NA NA TRAINING SILA BAGO UMALIS , PMS </v>
      </c>
      <c r="M1428" s="2"/>
      <c r="N1428" s="2" t="str">
        <f>IFERROR(__xludf.DUMMYFUNCTION("""COMPUTED_VALUE"""),"PARTS:
ENGINE OIL
OIL FILTER")</f>
        <v>PARTS:
ENGINE OIL
OIL FILTER</v>
      </c>
      <c r="O1428" s="2">
        <f>IFERROR(__xludf.DUMMYFUNCTION("""COMPUTED_VALUE"""),723.0)</f>
        <v>723</v>
      </c>
      <c r="P1428" s="2"/>
      <c r="Q1428" s="2" t="str">
        <f>IFERROR(__xludf.DUMMYFUNCTION("""COMPUTED_VALUE"""),"FOR PRINT")</f>
        <v>FOR PRINT</v>
      </c>
      <c r="R1428" s="74">
        <f>IFERROR(__xludf.DUMMYFUNCTION("""COMPUTED_VALUE"""),46061.0)</f>
        <v>46061</v>
      </c>
      <c r="S1428" s="2" t="str">
        <f>IFERROR(__xludf.DUMMYFUNCTION("""COMPUTED_VALUE"""),"RCG/JDP/OJT")</f>
        <v>RCG/JDP/OJT</v>
      </c>
      <c r="T1428" s="73" t="str">
        <f>IFERROR(__xludf.DUMMYFUNCTION("""COMPUTED_VALUE""")," N/A ")</f>
        <v>N/A</v>
      </c>
      <c r="U1428" s="73" t="str">
        <f>IFERROR(__xludf.DUMMYFUNCTION("""COMPUTED_VALUE""")," NO CHARGE ")</f>
        <v>NO CHARGE</v>
      </c>
      <c r="V1428" s="2" t="str">
        <f>IFERROR(__xludf.DUMMYFUNCTION("""COMPUTED_VALUE"""),"NO DR")</f>
        <v>NO DR</v>
      </c>
      <c r="W1428" s="2" t="str">
        <f>IFERROR(__xludf.DUMMYFUNCTION("""COMPUTED_VALUE"""),"N/A")</f>
        <v>N/A</v>
      </c>
      <c r="X1428" s="2" t="str">
        <f>IFERROR(__xludf.DUMMYFUNCTION("""COMPUTED_VALUE"""),"N/A")</f>
        <v>N/A</v>
      </c>
      <c r="Y1428" s="2"/>
      <c r="Z1428" s="2"/>
      <c r="AA1428" s="2"/>
      <c r="AB1428" s="2"/>
      <c r="AC1428" s="2"/>
      <c r="AD1428" s="2"/>
      <c r="AE1428" s="2"/>
      <c r="AF1428" s="2"/>
      <c r="AG1428" s="2"/>
      <c r="AH1428" s="2"/>
      <c r="AI1428" s="2"/>
      <c r="AJ1428" s="2" t="str">
        <f>IFERROR(__xludf.DUMMYFUNCTION("""COMPUTED_VALUE"""),"Narra (Pob.)")</f>
        <v>Narra (Pob.)</v>
      </c>
      <c r="AK1428" s="2" t="str">
        <f>IFERROR(__xludf.DUMMYFUNCTION("""COMPUTED_VALUE"""),"Narra")</f>
        <v>Narra</v>
      </c>
      <c r="AL1428" s="2" t="str">
        <f>IFERROR(__xludf.DUMMYFUNCTION("""COMPUTED_VALUE"""),"Palawan")</f>
        <v>Palawan</v>
      </c>
      <c r="AM1428" s="2" t="str">
        <f>IFERROR(__xludf.DUMMYFUNCTION("""COMPUTED_VALUE"""),"4B")</f>
        <v>4B</v>
      </c>
      <c r="AN1428" s="2" t="str">
        <f>IFERROR(__xludf.DUMMYFUNCTION("""COMPUTED_VALUE"""),"RCEF 25-03-05")</f>
        <v>RCEF 25-03-05</v>
      </c>
      <c r="AO1428" s="2">
        <f>IFERROR(__xludf.DUMMYFUNCTION("""COMPUTED_VALUE"""),6.0)</f>
        <v>6</v>
      </c>
      <c r="AP1428" s="2" t="str">
        <f>IFERROR(__xludf.DUMMYFUNCTION("""COMPUTED_VALUE"""),"FREE PMS")</f>
        <v>FREE PMS</v>
      </c>
      <c r="AQ1428" s="2"/>
      <c r="AR1428" s="2"/>
      <c r="AS1428" s="2"/>
      <c r="AT1428" s="2"/>
      <c r="AU1428" s="2"/>
      <c r="AV1428" s="2"/>
      <c r="AW1428" s="2"/>
      <c r="AX1428" s="2"/>
      <c r="AY1428" s="2"/>
      <c r="AZ1428" s="2"/>
      <c r="BA1428" s="2"/>
      <c r="BB1428" s="2"/>
    </row>
    <row r="1429">
      <c r="A1429" s="2">
        <f>IFERROR(__xludf.DUMMYFUNCTION("""COMPUTED_VALUE"""),1425.0)</f>
        <v>1425</v>
      </c>
      <c r="B1429" s="2" t="str">
        <f>IFERROR(__xludf.DUMMYFUNCTION("""COMPUTED_VALUE"""),"COMPLETED")</f>
        <v>COMPLETED</v>
      </c>
      <c r="C1429" s="74">
        <f>IFERROR(__xludf.DUMMYFUNCTION("""COMPUTED_VALUE"""),46061.0)</f>
        <v>46061</v>
      </c>
      <c r="D1429" s="71" t="str">
        <f>IFERROR(__xludf.DUMMYFUNCTION("""COMPUTED_VALUE"""),"POBLACION CENTRO FARMERS ASSOCIATION (PoCeFa)")</f>
        <v>POBLACION CENTRO FARMERS ASSOCIATION (PoCeFa)</v>
      </c>
      <c r="E1429" s="71" t="str">
        <f>IFERROR(__xludf.DUMMYFUNCTION("""COMPUTED_VALUE"""),"Narra (Pob.), Narra, PALAWAN")</f>
        <v>Narra (Pob.), Narra, PALAWAN</v>
      </c>
      <c r="F1429" s="2"/>
      <c r="G1429" s="2"/>
      <c r="H1429" s="2">
        <f>IFERROR(__xludf.DUMMYFUNCTION("""COMPUTED_VALUE"""),8.1)</f>
        <v>8.1</v>
      </c>
      <c r="I1429" s="72" t="str">
        <f>IFERROR(__xludf.DUMMYFUNCTION("""COMPUTED_VALUE"""),"PMS")</f>
        <v>PMS</v>
      </c>
      <c r="J1429" s="72" t="str">
        <f>IFERROR(__xludf.DUMMYFUNCTION("""COMPUTED_VALUE"""),"PMS")</f>
        <v>PMS</v>
      </c>
      <c r="K1429" s="72" t="str">
        <f>IFERROR(__xludf.DUMMYFUNCTION("""COMPUTED_VALUE"""),"RCG: 1ST PMS FREE")</f>
        <v>RCG: 1ST PMS FREE</v>
      </c>
      <c r="L1429" s="72" t="str">
        <f>IFERROR(__xludf.DUMMYFUNCTION("""COMPUTED_VALUE"""),"RCG:INIWAN NALANG ANG OIL AT OIL FILTER, TINURUAN KUNG PAPANO MAG CHANGE OIL, AT SINIGURA NA NA TRAINING SILA BAGO UMALIS , PMS ")</f>
        <v>RCG:INIWAN NALANG ANG OIL AT OIL FILTER, TINURUAN KUNG PAPANO MAG CHANGE OIL, AT SINIGURA NA NA TRAINING SILA BAGO UMALIS , PMS </v>
      </c>
      <c r="M1429" s="2"/>
      <c r="N1429" s="2" t="str">
        <f>IFERROR(__xludf.DUMMYFUNCTION("""COMPUTED_VALUE"""),"PARTS:
ENGINE OIL
OIL FILTER")</f>
        <v>PARTS:
ENGINE OIL
OIL FILTER</v>
      </c>
      <c r="O1429" s="2">
        <f>IFERROR(__xludf.DUMMYFUNCTION("""COMPUTED_VALUE"""),724.0)</f>
        <v>724</v>
      </c>
      <c r="P1429" s="2"/>
      <c r="Q1429" s="2" t="str">
        <f>IFERROR(__xludf.DUMMYFUNCTION("""COMPUTED_VALUE"""),"FOR PRINT")</f>
        <v>FOR PRINT</v>
      </c>
      <c r="R1429" s="74">
        <f>IFERROR(__xludf.DUMMYFUNCTION("""COMPUTED_VALUE"""),46061.0)</f>
        <v>46061</v>
      </c>
      <c r="S1429" s="2" t="str">
        <f>IFERROR(__xludf.DUMMYFUNCTION("""COMPUTED_VALUE"""),"RCG/JDP/OJT")</f>
        <v>RCG/JDP/OJT</v>
      </c>
      <c r="T1429" s="73" t="str">
        <f>IFERROR(__xludf.DUMMYFUNCTION("""COMPUTED_VALUE""")," N/A ")</f>
        <v>N/A</v>
      </c>
      <c r="U1429" s="73" t="str">
        <f>IFERROR(__xludf.DUMMYFUNCTION("""COMPUTED_VALUE""")," NO CHARGE ")</f>
        <v>NO CHARGE</v>
      </c>
      <c r="V1429" s="2" t="str">
        <f>IFERROR(__xludf.DUMMYFUNCTION("""COMPUTED_VALUE"""),"NO DR")</f>
        <v>NO DR</v>
      </c>
      <c r="W1429" s="2" t="str">
        <f>IFERROR(__xludf.DUMMYFUNCTION("""COMPUTED_VALUE"""),"N/A")</f>
        <v>N/A</v>
      </c>
      <c r="X1429" s="2" t="str">
        <f>IFERROR(__xludf.DUMMYFUNCTION("""COMPUTED_VALUE"""),"N/A")</f>
        <v>N/A</v>
      </c>
      <c r="Y1429" s="2"/>
      <c r="Z1429" s="2"/>
      <c r="AA1429" s="2"/>
      <c r="AB1429" s="2"/>
      <c r="AC1429" s="2"/>
      <c r="AD1429" s="2"/>
      <c r="AE1429" s="2"/>
      <c r="AF1429" s="2"/>
      <c r="AG1429" s="2"/>
      <c r="AH1429" s="2"/>
      <c r="AI1429" s="2"/>
      <c r="AJ1429" s="2" t="str">
        <f>IFERROR(__xludf.DUMMYFUNCTION("""COMPUTED_VALUE"""),"Narra (Pob.)")</f>
        <v>Narra (Pob.)</v>
      </c>
      <c r="AK1429" s="2" t="str">
        <f>IFERROR(__xludf.DUMMYFUNCTION("""COMPUTED_VALUE"""),"Narra")</f>
        <v>Narra</v>
      </c>
      <c r="AL1429" s="2" t="str">
        <f>IFERROR(__xludf.DUMMYFUNCTION("""COMPUTED_VALUE"""),"Palawan")</f>
        <v>Palawan</v>
      </c>
      <c r="AM1429" s="2" t="str">
        <f>IFERROR(__xludf.DUMMYFUNCTION("""COMPUTED_VALUE"""),"4B")</f>
        <v>4B</v>
      </c>
      <c r="AN1429" s="2" t="str">
        <f>IFERROR(__xludf.DUMMYFUNCTION("""COMPUTED_VALUE"""),"RCEF 25-03-05")</f>
        <v>RCEF 25-03-05</v>
      </c>
      <c r="AO1429" s="2">
        <f>IFERROR(__xludf.DUMMYFUNCTION("""COMPUTED_VALUE"""),6.0)</f>
        <v>6</v>
      </c>
      <c r="AP1429" s="2" t="str">
        <f>IFERROR(__xludf.DUMMYFUNCTION("""COMPUTED_VALUE"""),"FREE PMS")</f>
        <v>FREE PMS</v>
      </c>
      <c r="AQ1429" s="2"/>
      <c r="AR1429" s="2"/>
      <c r="AS1429" s="2"/>
      <c r="AT1429" s="2"/>
      <c r="AU1429" s="2"/>
      <c r="AV1429" s="2"/>
      <c r="AW1429" s="2"/>
      <c r="AX1429" s="2"/>
      <c r="AY1429" s="2"/>
      <c r="AZ1429" s="2"/>
      <c r="BA1429" s="2"/>
      <c r="BB1429" s="2"/>
    </row>
    <row r="1430">
      <c r="A1430" s="2">
        <f>IFERROR(__xludf.DUMMYFUNCTION("""COMPUTED_VALUE"""),1426.0)</f>
        <v>1426</v>
      </c>
      <c r="B1430" s="2" t="str">
        <f>IFERROR(__xludf.DUMMYFUNCTION("""COMPUTED_VALUE"""),"COMPLETED")</f>
        <v>COMPLETED</v>
      </c>
      <c r="C1430" s="74">
        <f>IFERROR(__xludf.DUMMYFUNCTION("""COMPUTED_VALUE"""),46061.0)</f>
        <v>46061</v>
      </c>
      <c r="D1430" s="71" t="str">
        <f>IFERROR(__xludf.DUMMYFUNCTION("""COMPUTED_VALUE"""),"BARANGAY ANTIPULUAN FARMERS IRRIGATORS' ASSOCIATION, INC.")</f>
        <v>BARANGAY ANTIPULUAN FARMERS IRRIGATORS' ASSOCIATION, INC.</v>
      </c>
      <c r="E1430" s="71" t="str">
        <f>IFERROR(__xludf.DUMMYFUNCTION("""COMPUTED_VALUE"""),"Antipuluan, Narra, PALAWAN")</f>
        <v>Antipuluan, Narra, PALAWAN</v>
      </c>
      <c r="F1430" s="2"/>
      <c r="G1430" s="2"/>
      <c r="H1430" s="2">
        <f>IFERROR(__xludf.DUMMYFUNCTION("""COMPUTED_VALUE"""),18.8)</f>
        <v>18.8</v>
      </c>
      <c r="I1430" s="72" t="str">
        <f>IFERROR(__xludf.DUMMYFUNCTION("""COMPUTED_VALUE"""),"PMS")</f>
        <v>PMS</v>
      </c>
      <c r="J1430" s="72" t="str">
        <f>IFERROR(__xludf.DUMMYFUNCTION("""COMPUTED_VALUE"""),"PMS")</f>
        <v>PMS</v>
      </c>
      <c r="K1430" s="72" t="str">
        <f>IFERROR(__xludf.DUMMYFUNCTION("""COMPUTED_VALUE"""),"RCG: 1ST PMS FREE")</f>
        <v>RCG: 1ST PMS FREE</v>
      </c>
      <c r="L1430" s="72" t="str">
        <f>IFERROR(__xludf.DUMMYFUNCTION("""COMPUTED_VALUE"""),"RCG:INIWAN NALANG ANG OIL AT OIL FILTER, TINURUAN KUNG PAPANO MAG CHANGE OIL, AT SINIGURA NA NA TRAINING SILA BAGO UMALIS , PMS ")</f>
        <v>RCG:INIWAN NALANG ANG OIL AT OIL FILTER, TINURUAN KUNG PAPANO MAG CHANGE OIL, AT SINIGURA NA NA TRAINING SILA BAGO UMALIS , PMS </v>
      </c>
      <c r="M1430" s="2"/>
      <c r="N1430" s="2" t="str">
        <f>IFERROR(__xludf.DUMMYFUNCTION("""COMPUTED_VALUE"""),"PARTS:
ENGINE OIL
OIL FILTER")</f>
        <v>PARTS:
ENGINE OIL
OIL FILTER</v>
      </c>
      <c r="O1430" s="2">
        <f>IFERROR(__xludf.DUMMYFUNCTION("""COMPUTED_VALUE"""),725.0)</f>
        <v>725</v>
      </c>
      <c r="P1430" s="2"/>
      <c r="Q1430" s="2" t="str">
        <f>IFERROR(__xludf.DUMMYFUNCTION("""COMPUTED_VALUE"""),"FOR PRINT")</f>
        <v>FOR PRINT</v>
      </c>
      <c r="R1430" s="74">
        <f>IFERROR(__xludf.DUMMYFUNCTION("""COMPUTED_VALUE"""),46061.0)</f>
        <v>46061</v>
      </c>
      <c r="S1430" s="2" t="str">
        <f>IFERROR(__xludf.DUMMYFUNCTION("""COMPUTED_VALUE"""),"RCG/JDP/OJT")</f>
        <v>RCG/JDP/OJT</v>
      </c>
      <c r="T1430" s="73" t="str">
        <f>IFERROR(__xludf.DUMMYFUNCTION("""COMPUTED_VALUE""")," N/A ")</f>
        <v>N/A</v>
      </c>
      <c r="U1430" s="73" t="str">
        <f>IFERROR(__xludf.DUMMYFUNCTION("""COMPUTED_VALUE""")," NO CHARGE ")</f>
        <v>NO CHARGE</v>
      </c>
      <c r="V1430" s="2" t="str">
        <f>IFERROR(__xludf.DUMMYFUNCTION("""COMPUTED_VALUE"""),"NO DR")</f>
        <v>NO DR</v>
      </c>
      <c r="W1430" s="2" t="str">
        <f>IFERROR(__xludf.DUMMYFUNCTION("""COMPUTED_VALUE"""),"N/A")</f>
        <v>N/A</v>
      </c>
      <c r="X1430" s="2" t="str">
        <f>IFERROR(__xludf.DUMMYFUNCTION("""COMPUTED_VALUE"""),"N/A")</f>
        <v>N/A</v>
      </c>
      <c r="Y1430" s="2"/>
      <c r="Z1430" s="2"/>
      <c r="AA1430" s="2"/>
      <c r="AB1430" s="2"/>
      <c r="AC1430" s="2"/>
      <c r="AD1430" s="2"/>
      <c r="AE1430" s="2"/>
      <c r="AF1430" s="2"/>
      <c r="AG1430" s="2"/>
      <c r="AH1430" s="2"/>
      <c r="AI1430" s="2"/>
      <c r="AJ1430" s="2" t="str">
        <f>IFERROR(__xludf.DUMMYFUNCTION("""COMPUTED_VALUE"""),"Antipuluan")</f>
        <v>Antipuluan</v>
      </c>
      <c r="AK1430" s="2" t="str">
        <f>IFERROR(__xludf.DUMMYFUNCTION("""COMPUTED_VALUE"""),"Narra")</f>
        <v>Narra</v>
      </c>
      <c r="AL1430" s="2" t="str">
        <f>IFERROR(__xludf.DUMMYFUNCTION("""COMPUTED_VALUE"""),"Palawan")</f>
        <v>Palawan</v>
      </c>
      <c r="AM1430" s="2" t="str">
        <f>IFERROR(__xludf.DUMMYFUNCTION("""COMPUTED_VALUE"""),"4B")</f>
        <v>4B</v>
      </c>
      <c r="AN1430" s="2" t="str">
        <f>IFERROR(__xludf.DUMMYFUNCTION("""COMPUTED_VALUE"""),"RCEF 25-03-05")</f>
        <v>RCEF 25-03-05</v>
      </c>
      <c r="AO1430" s="2">
        <f>IFERROR(__xludf.DUMMYFUNCTION("""COMPUTED_VALUE"""),6.0)</f>
        <v>6</v>
      </c>
      <c r="AP1430" s="2" t="str">
        <f>IFERROR(__xludf.DUMMYFUNCTION("""COMPUTED_VALUE"""),"FREE PMS")</f>
        <v>FREE PMS</v>
      </c>
      <c r="AQ1430" s="2"/>
      <c r="AR1430" s="2"/>
      <c r="AS1430" s="2"/>
      <c r="AT1430" s="2"/>
      <c r="AU1430" s="2"/>
      <c r="AV1430" s="2"/>
      <c r="AW1430" s="2"/>
      <c r="AX1430" s="2"/>
      <c r="AY1430" s="2"/>
      <c r="AZ1430" s="2"/>
      <c r="BA1430" s="2"/>
      <c r="BB1430" s="2"/>
    </row>
    <row r="1431">
      <c r="A1431" s="2">
        <f>IFERROR(__xludf.DUMMYFUNCTION("""COMPUTED_VALUE"""),1427.0)</f>
        <v>1427</v>
      </c>
      <c r="B1431" s="2" t="str">
        <f>IFERROR(__xludf.DUMMYFUNCTION("""COMPUTED_VALUE"""),"COMPLETED")</f>
        <v>COMPLETED</v>
      </c>
      <c r="C1431" s="74">
        <f>IFERROR(__xludf.DUMMYFUNCTION("""COMPUTED_VALUE"""),46061.0)</f>
        <v>46061</v>
      </c>
      <c r="D1431" s="71" t="str">
        <f>IFERROR(__xludf.DUMMYFUNCTION("""COMPUTED_VALUE"""),"MALATGAO FARMERS ASSOCIATION")</f>
        <v>MALATGAO FARMERS ASSOCIATION</v>
      </c>
      <c r="E1431" s="71" t="str">
        <f>IFERROR(__xludf.DUMMYFUNCTION("""COMPUTED_VALUE"""),"Malatgao, Narra, PALAWAN")</f>
        <v>Malatgao, Narra, PALAWAN</v>
      </c>
      <c r="F1431" s="2"/>
      <c r="G1431" s="2"/>
      <c r="H1431" s="2">
        <f>IFERROR(__xludf.DUMMYFUNCTION("""COMPUTED_VALUE"""),18.7)</f>
        <v>18.7</v>
      </c>
      <c r="I1431" s="72" t="str">
        <f>IFERROR(__xludf.DUMMYFUNCTION("""COMPUTED_VALUE"""),"PMS")</f>
        <v>PMS</v>
      </c>
      <c r="J1431" s="72" t="str">
        <f>IFERROR(__xludf.DUMMYFUNCTION("""COMPUTED_VALUE"""),"PMS")</f>
        <v>PMS</v>
      </c>
      <c r="K1431" s="72" t="str">
        <f>IFERROR(__xludf.DUMMYFUNCTION("""COMPUTED_VALUE"""),"RCG: 1ST PMS FREE")</f>
        <v>RCG: 1ST PMS FREE</v>
      </c>
      <c r="L1431" s="72" t="str">
        <f>IFERROR(__xludf.DUMMYFUNCTION("""COMPUTED_VALUE"""),"RCG:INIWAN NALANG ANG OIL AT OIL FILTER, TINURUAN KUNG PAPANO MAG CHANGE OIL, AT SINIGURA NA NA TRAINING SILA BAGO UMALIS , PMS ")</f>
        <v>RCG:INIWAN NALANG ANG OIL AT OIL FILTER, TINURUAN KUNG PAPANO MAG CHANGE OIL, AT SINIGURA NA NA TRAINING SILA BAGO UMALIS , PMS </v>
      </c>
      <c r="M1431" s="2"/>
      <c r="N1431" s="2" t="str">
        <f>IFERROR(__xludf.DUMMYFUNCTION("""COMPUTED_VALUE"""),"PARTS:
ENGINE OIL
OIL FILTER")</f>
        <v>PARTS:
ENGINE OIL
OIL FILTER</v>
      </c>
      <c r="O1431" s="2">
        <f>IFERROR(__xludf.DUMMYFUNCTION("""COMPUTED_VALUE"""),726.0)</f>
        <v>726</v>
      </c>
      <c r="P1431" s="2"/>
      <c r="Q1431" s="2" t="str">
        <f>IFERROR(__xludf.DUMMYFUNCTION("""COMPUTED_VALUE"""),"FOR PRINT")</f>
        <v>FOR PRINT</v>
      </c>
      <c r="R1431" s="74">
        <f>IFERROR(__xludf.DUMMYFUNCTION("""COMPUTED_VALUE"""),46061.0)</f>
        <v>46061</v>
      </c>
      <c r="S1431" s="2" t="str">
        <f>IFERROR(__xludf.DUMMYFUNCTION("""COMPUTED_VALUE"""),"RCG/JDP/OJT")</f>
        <v>RCG/JDP/OJT</v>
      </c>
      <c r="T1431" s="73" t="str">
        <f>IFERROR(__xludf.DUMMYFUNCTION("""COMPUTED_VALUE""")," N/A ")</f>
        <v>N/A</v>
      </c>
      <c r="U1431" s="73" t="str">
        <f>IFERROR(__xludf.DUMMYFUNCTION("""COMPUTED_VALUE""")," NO CHARGE ")</f>
        <v>NO CHARGE</v>
      </c>
      <c r="V1431" s="2" t="str">
        <f>IFERROR(__xludf.DUMMYFUNCTION("""COMPUTED_VALUE"""),"NO DR")</f>
        <v>NO DR</v>
      </c>
      <c r="W1431" s="2" t="str">
        <f>IFERROR(__xludf.DUMMYFUNCTION("""COMPUTED_VALUE"""),"N/A")</f>
        <v>N/A</v>
      </c>
      <c r="X1431" s="2" t="str">
        <f>IFERROR(__xludf.DUMMYFUNCTION("""COMPUTED_VALUE"""),"N/A")</f>
        <v>N/A</v>
      </c>
      <c r="Y1431" s="2"/>
      <c r="Z1431" s="2"/>
      <c r="AA1431" s="2"/>
      <c r="AB1431" s="2"/>
      <c r="AC1431" s="2"/>
      <c r="AD1431" s="2"/>
      <c r="AE1431" s="2"/>
      <c r="AF1431" s="2"/>
      <c r="AG1431" s="2"/>
      <c r="AH1431" s="2"/>
      <c r="AI1431" s="2"/>
      <c r="AJ1431" s="2" t="str">
        <f>IFERROR(__xludf.DUMMYFUNCTION("""COMPUTED_VALUE"""),"Malatgao")</f>
        <v>Malatgao</v>
      </c>
      <c r="AK1431" s="2" t="str">
        <f>IFERROR(__xludf.DUMMYFUNCTION("""COMPUTED_VALUE"""),"Narra")</f>
        <v>Narra</v>
      </c>
      <c r="AL1431" s="2" t="str">
        <f>IFERROR(__xludf.DUMMYFUNCTION("""COMPUTED_VALUE"""),"Palawan")</f>
        <v>Palawan</v>
      </c>
      <c r="AM1431" s="2" t="str">
        <f>IFERROR(__xludf.DUMMYFUNCTION("""COMPUTED_VALUE"""),"4B")</f>
        <v>4B</v>
      </c>
      <c r="AN1431" s="2" t="str">
        <f>IFERROR(__xludf.DUMMYFUNCTION("""COMPUTED_VALUE"""),"RCEF 25-03-05")</f>
        <v>RCEF 25-03-05</v>
      </c>
      <c r="AO1431" s="2">
        <f>IFERROR(__xludf.DUMMYFUNCTION("""COMPUTED_VALUE"""),6.0)</f>
        <v>6</v>
      </c>
      <c r="AP1431" s="2" t="str">
        <f>IFERROR(__xludf.DUMMYFUNCTION("""COMPUTED_VALUE"""),"FREE PMS")</f>
        <v>FREE PMS</v>
      </c>
      <c r="AQ1431" s="2"/>
      <c r="AR1431" s="2"/>
      <c r="AS1431" s="2"/>
      <c r="AT1431" s="2"/>
      <c r="AU1431" s="2"/>
      <c r="AV1431" s="2"/>
      <c r="AW1431" s="2"/>
      <c r="AX1431" s="2"/>
      <c r="AY1431" s="2"/>
      <c r="AZ1431" s="2"/>
      <c r="BA1431" s="2"/>
      <c r="BB1431" s="2"/>
    </row>
    <row r="1432">
      <c r="A1432" s="2">
        <f>IFERROR(__xludf.DUMMYFUNCTION("""COMPUTED_VALUE"""),1428.0)</f>
        <v>1428</v>
      </c>
      <c r="B1432" s="2" t="str">
        <f>IFERROR(__xludf.DUMMYFUNCTION("""COMPUTED_VALUE"""),"COMPLETED")</f>
        <v>COMPLETED</v>
      </c>
      <c r="C1432" s="74">
        <f>IFERROR(__xludf.DUMMYFUNCTION("""COMPUTED_VALUE"""),46061.0)</f>
        <v>46061</v>
      </c>
      <c r="D1432" s="71" t="str">
        <f>IFERROR(__xludf.DUMMYFUNCTION("""COMPUTED_VALUE"""),"KABSAT TI PAGTATALON IRRIGATORS ASSOCIATION INC.")</f>
        <v>KABSAT TI PAGTATALON IRRIGATORS ASSOCIATION INC.</v>
      </c>
      <c r="E1432" s="71" t="str">
        <f>IFERROR(__xludf.DUMMYFUNCTION("""COMPUTED_VALUE"""),"Bagong Sikat, Narra, PALAWAN")</f>
        <v>Bagong Sikat, Narra, PALAWAN</v>
      </c>
      <c r="F1432" s="2"/>
      <c r="G1432" s="2"/>
      <c r="H1432" s="2">
        <f>IFERROR(__xludf.DUMMYFUNCTION("""COMPUTED_VALUE"""),55.0)</f>
        <v>55</v>
      </c>
      <c r="I1432" s="72" t="str">
        <f>IFERROR(__xludf.DUMMYFUNCTION("""COMPUTED_VALUE"""),"PMS")</f>
        <v>PMS</v>
      </c>
      <c r="J1432" s="72" t="str">
        <f>IFERROR(__xludf.DUMMYFUNCTION("""COMPUTED_VALUE"""),"PMS")</f>
        <v>PMS</v>
      </c>
      <c r="K1432" s="72" t="str">
        <f>IFERROR(__xludf.DUMMYFUNCTION("""COMPUTED_VALUE"""),"RCG: 1ST PMS FREE")</f>
        <v>RCG: 1ST PMS FREE</v>
      </c>
      <c r="L1432" s="72" t="str">
        <f>IFERROR(__xludf.DUMMYFUNCTION("""COMPUTED_VALUE"""),"RCG: 1ST PSM DONE")</f>
        <v>RCG: 1ST PSM DONE</v>
      </c>
      <c r="M1432" s="2"/>
      <c r="N1432" s="2" t="str">
        <f>IFERROR(__xludf.DUMMYFUNCTION("""COMPUTED_VALUE"""),"PARTS:
ENGINE OIL
OIL FILTER")</f>
        <v>PARTS:
ENGINE OIL
OIL FILTER</v>
      </c>
      <c r="O1432" s="2">
        <f>IFERROR(__xludf.DUMMYFUNCTION("""COMPUTED_VALUE"""),727.0)</f>
        <v>727</v>
      </c>
      <c r="P1432" s="2"/>
      <c r="Q1432" s="2" t="str">
        <f>IFERROR(__xludf.DUMMYFUNCTION("""COMPUTED_VALUE"""),"FOR PRINT")</f>
        <v>FOR PRINT</v>
      </c>
      <c r="R1432" s="74">
        <f>IFERROR(__xludf.DUMMYFUNCTION("""COMPUTED_VALUE"""),46061.0)</f>
        <v>46061</v>
      </c>
      <c r="S1432" s="2" t="str">
        <f>IFERROR(__xludf.DUMMYFUNCTION("""COMPUTED_VALUE"""),"RCG/JDP/OJT")</f>
        <v>RCG/JDP/OJT</v>
      </c>
      <c r="T1432" s="73" t="str">
        <f>IFERROR(__xludf.DUMMYFUNCTION("""COMPUTED_VALUE""")," N/A ")</f>
        <v>N/A</v>
      </c>
      <c r="U1432" s="73" t="str">
        <f>IFERROR(__xludf.DUMMYFUNCTION("""COMPUTED_VALUE""")," NO CHARGE ")</f>
        <v>NO CHARGE</v>
      </c>
      <c r="V1432" s="2" t="str">
        <f>IFERROR(__xludf.DUMMYFUNCTION("""COMPUTED_VALUE"""),"NO DR")</f>
        <v>NO DR</v>
      </c>
      <c r="W1432" s="2" t="str">
        <f>IFERROR(__xludf.DUMMYFUNCTION("""COMPUTED_VALUE"""),"N/A")</f>
        <v>N/A</v>
      </c>
      <c r="X1432" s="2" t="str">
        <f>IFERROR(__xludf.DUMMYFUNCTION("""COMPUTED_VALUE"""),"N/A")</f>
        <v>N/A</v>
      </c>
      <c r="Y1432" s="2"/>
      <c r="Z1432" s="2"/>
      <c r="AA1432" s="2"/>
      <c r="AB1432" s="2"/>
      <c r="AC1432" s="2"/>
      <c r="AD1432" s="2"/>
      <c r="AE1432" s="2"/>
      <c r="AF1432" s="2"/>
      <c r="AG1432" s="2"/>
      <c r="AH1432" s="2"/>
      <c r="AI1432" s="2"/>
      <c r="AJ1432" s="2" t="str">
        <f>IFERROR(__xludf.DUMMYFUNCTION("""COMPUTED_VALUE"""),"Bagong Sikat")</f>
        <v>Bagong Sikat</v>
      </c>
      <c r="AK1432" s="2" t="str">
        <f>IFERROR(__xludf.DUMMYFUNCTION("""COMPUTED_VALUE"""),"Narra")</f>
        <v>Narra</v>
      </c>
      <c r="AL1432" s="2" t="str">
        <f>IFERROR(__xludf.DUMMYFUNCTION("""COMPUTED_VALUE"""),"Palawan")</f>
        <v>Palawan</v>
      </c>
      <c r="AM1432" s="2" t="str">
        <f>IFERROR(__xludf.DUMMYFUNCTION("""COMPUTED_VALUE"""),"4B")</f>
        <v>4B</v>
      </c>
      <c r="AN1432" s="2" t="str">
        <f>IFERROR(__xludf.DUMMYFUNCTION("""COMPUTED_VALUE"""),"RCEF 25-03-05")</f>
        <v>RCEF 25-03-05</v>
      </c>
      <c r="AO1432" s="2">
        <f>IFERROR(__xludf.DUMMYFUNCTION("""COMPUTED_VALUE"""),6.0)</f>
        <v>6</v>
      </c>
      <c r="AP1432" s="2" t="str">
        <f>IFERROR(__xludf.DUMMYFUNCTION("""COMPUTED_VALUE"""),"FREE PMS")</f>
        <v>FREE PMS</v>
      </c>
      <c r="AQ1432" s="2"/>
      <c r="AR1432" s="2"/>
      <c r="AS1432" s="2"/>
      <c r="AT1432" s="2"/>
      <c r="AU1432" s="2"/>
      <c r="AV1432" s="2"/>
      <c r="AW1432" s="2"/>
      <c r="AX1432" s="2"/>
      <c r="AY1432" s="2"/>
      <c r="AZ1432" s="2"/>
      <c r="BA1432" s="2"/>
      <c r="BB1432" s="2"/>
    </row>
    <row r="1433">
      <c r="A1433" s="2">
        <f>IFERROR(__xludf.DUMMYFUNCTION("""COMPUTED_VALUE"""),1429.0)</f>
        <v>1429</v>
      </c>
      <c r="B1433" s="2" t="str">
        <f>IFERROR(__xludf.DUMMYFUNCTION("""COMPUTED_VALUE"""),"COMPLETED")</f>
        <v>COMPLETED</v>
      </c>
      <c r="C1433" s="74">
        <f>IFERROR(__xludf.DUMMYFUNCTION("""COMPUTED_VALUE"""),46062.0)</f>
        <v>46062</v>
      </c>
      <c r="D1433" s="71" t="str">
        <f>IFERROR(__xludf.DUMMYFUNCTION("""COMPUTED_VALUE"""),"City Local Government Unit of Sorsogon")</f>
        <v>City Local Government Unit of Sorsogon</v>
      </c>
      <c r="E1433" s="71" t="str">
        <f>IFERROR(__xludf.DUMMYFUNCTION("""COMPUTED_VALUE"""),"Cabid-An, Sorsogon City, SORSOGON")</f>
        <v>Cabid-An, Sorsogon City, SORSOGON</v>
      </c>
      <c r="F1433" s="2" t="str">
        <f>IFERROR(__xludf.DUMMYFUNCTION("""COMPUTED_VALUE"""),"Engr Cris Legazpi")</f>
        <v>Engr Cris Legazpi</v>
      </c>
      <c r="G1433" s="2">
        <f>IFERROR(__xludf.DUMMYFUNCTION("""COMPUTED_VALUE"""),9.9149468E9)</f>
        <v>9914946800</v>
      </c>
      <c r="H1433" s="2">
        <f>IFERROR(__xludf.DUMMYFUNCTION("""COMPUTED_VALUE"""),45.0)</f>
        <v>45</v>
      </c>
      <c r="I1433" s="72" t="str">
        <f>IFERROR(__xludf.DUMMYFUNCTION("""COMPUTED_VALUE"""),"PMS")</f>
        <v>PMS</v>
      </c>
      <c r="J1433" s="72" t="str">
        <f>IFERROR(__xludf.DUMMYFUNCTION("""COMPUTED_VALUE"""),"PMS")</f>
        <v>PMS</v>
      </c>
      <c r="K1433" s="72" t="str">
        <f>IFERROR(__xludf.DUMMYFUNCTION("""COMPUTED_VALUE"""),"FPJ:  1ST PMS FREE")</f>
        <v>FPJ:  1ST PMS FREE</v>
      </c>
      <c r="L1433" s="72" t="str">
        <f>IFERROR(__xludf.DUMMYFUNCTION("""COMPUTED_VALUE"""),"FPJ: 1ST PMS DONE")</f>
        <v>FPJ: 1ST PMS DONE</v>
      </c>
      <c r="M1433" s="2"/>
      <c r="N1433" s="2" t="str">
        <f>IFERROR(__xludf.DUMMYFUNCTION("""COMPUTED_VALUE"""),"PARTS:
OIL FILTER
ENGINE OIL")</f>
        <v>PARTS:
OIL FILTER
ENGINE OIL</v>
      </c>
      <c r="O1433" s="2">
        <f>IFERROR(__xludf.DUMMYFUNCTION("""COMPUTED_VALUE"""),566.0)</f>
        <v>566</v>
      </c>
      <c r="P1433" s="2"/>
      <c r="Q1433" s="2" t="str">
        <f>IFERROR(__xludf.DUMMYFUNCTION("""COMPUTED_VALUE"""),"FOR PRINT")</f>
        <v>FOR PRINT</v>
      </c>
      <c r="R1433" s="74">
        <f>IFERROR(__xludf.DUMMYFUNCTION("""COMPUTED_VALUE"""),46062.0)</f>
        <v>46062</v>
      </c>
      <c r="S1433" s="2" t="str">
        <f>IFERROR(__xludf.DUMMYFUNCTION("""COMPUTED_VALUE"""),"FPJ/JAH")</f>
        <v>FPJ/JAH</v>
      </c>
      <c r="T1433" s="73" t="str">
        <f>IFERROR(__xludf.DUMMYFUNCTION("""COMPUTED_VALUE""")," N/A ")</f>
        <v>N/A</v>
      </c>
      <c r="U1433" s="73" t="str">
        <f>IFERROR(__xludf.DUMMYFUNCTION("""COMPUTED_VALUE""")," NO CHARGE ")</f>
        <v>NO CHARGE</v>
      </c>
      <c r="V1433" s="2"/>
      <c r="W1433" s="2" t="str">
        <f>IFERROR(__xludf.DUMMYFUNCTION("""COMPUTED_VALUE"""),"N/A")</f>
        <v>N/A</v>
      </c>
      <c r="X1433" s="2" t="str">
        <f>IFERROR(__xludf.DUMMYFUNCTION("""COMPUTED_VALUE"""),"N/A ")</f>
        <v>N/A </v>
      </c>
      <c r="Y1433" s="2"/>
      <c r="Z1433" s="2"/>
      <c r="AA1433" s="2"/>
      <c r="AB1433" s="2"/>
      <c r="AC1433" s="2"/>
      <c r="AD1433" s="2"/>
      <c r="AE1433" s="2"/>
      <c r="AF1433" s="2"/>
      <c r="AG1433" s="2"/>
      <c r="AH1433" s="2"/>
      <c r="AI1433" s="2"/>
      <c r="AJ1433" s="2" t="str">
        <f>IFERROR(__xludf.DUMMYFUNCTION("""COMPUTED_VALUE"""),"Cabid-An")</f>
        <v>Cabid-An</v>
      </c>
      <c r="AK1433" s="2" t="str">
        <f>IFERROR(__xludf.DUMMYFUNCTION("""COMPUTED_VALUE"""),"Sorsogon City")</f>
        <v>Sorsogon City</v>
      </c>
      <c r="AL1433" s="2" t="str">
        <f>IFERROR(__xludf.DUMMYFUNCTION("""COMPUTED_VALUE"""),"Sorsogon")</f>
        <v>Sorsogon</v>
      </c>
      <c r="AM1433" s="2">
        <f>IFERROR(__xludf.DUMMYFUNCTION("""COMPUTED_VALUE"""),5.0)</f>
        <v>5</v>
      </c>
      <c r="AN1433" s="2" t="str">
        <f>IFERROR(__xludf.DUMMYFUNCTION("""COMPUTED_VALUE"""),"RCEF 25-03-05")</f>
        <v>RCEF 25-03-05</v>
      </c>
      <c r="AO1433" s="2">
        <f>IFERROR(__xludf.DUMMYFUNCTION("""COMPUTED_VALUE"""),6.0)</f>
        <v>6</v>
      </c>
      <c r="AP1433" s="2" t="str">
        <f>IFERROR(__xludf.DUMMYFUNCTION("""COMPUTED_VALUE"""),"FREE PMS")</f>
        <v>FREE PMS</v>
      </c>
      <c r="AQ1433" s="2"/>
      <c r="AR1433" s="2"/>
      <c r="AS1433" s="2"/>
      <c r="AT1433" s="2"/>
      <c r="AU1433" s="2"/>
      <c r="AV1433" s="2"/>
      <c r="AW1433" s="2"/>
      <c r="AX1433" s="2"/>
      <c r="AY1433" s="2"/>
      <c r="AZ1433" s="2"/>
      <c r="BA1433" s="2"/>
      <c r="BB1433" s="2"/>
    </row>
    <row r="1434">
      <c r="A1434" s="2">
        <f>IFERROR(__xludf.DUMMYFUNCTION("""COMPUTED_VALUE"""),1430.0)</f>
        <v>1430</v>
      </c>
      <c r="B1434" s="2" t="str">
        <f>IFERROR(__xludf.DUMMYFUNCTION("""COMPUTED_VALUE"""),"COMPLETED")</f>
        <v>COMPLETED</v>
      </c>
      <c r="C1434" s="74">
        <f>IFERROR(__xludf.DUMMYFUNCTION("""COMPUTED_VALUE"""),46062.0)</f>
        <v>46062</v>
      </c>
      <c r="D1434" s="71" t="str">
        <f>IFERROR(__xludf.DUMMYFUNCTION("""COMPUTED_VALUE"""),"CAGMANABA AGRARIAN REFORM FARMER-BENEFICIARIES ASS. (CARFBA)")</f>
        <v>CAGMANABA AGRARIAN REFORM FARMER-BENEFICIARIES ASS. (CARFBA)</v>
      </c>
      <c r="E1434" s="71" t="str">
        <f>IFERROR(__xludf.DUMMYFUNCTION("""COMPUTED_VALUE"""),"Cagmanaba, Ocampo, CAMARINES SUR")</f>
        <v>Cagmanaba, Ocampo, CAMARINES SUR</v>
      </c>
      <c r="F1434" s="2" t="str">
        <f>IFERROR(__xludf.DUMMYFUNCTION("""COMPUTED_VALUE"""),"Arnel Amilao")</f>
        <v>Arnel Amilao</v>
      </c>
      <c r="G1434" s="2" t="str">
        <f>IFERROR(__xludf.DUMMYFUNCTION("""COMPUTED_VALUE"""),"(0948) 896 9966")</f>
        <v>(0948) 896 9966</v>
      </c>
      <c r="H1434" s="2"/>
      <c r="I1434" s="72" t="str">
        <f>IFERROR(__xludf.DUMMYFUNCTION("""COMPUTED_VALUE"""),"REPAIR - TRACTOR")</f>
        <v>REPAIR - TRACTOR</v>
      </c>
      <c r="J1434" s="72" t="str">
        <f>IFERROR(__xludf.DUMMYFUNCTION("""COMPUTED_VALUE"""),"Training")</f>
        <v>Training</v>
      </c>
      <c r="K1434" s="72" t="str">
        <f>IFERROR(__xludf.DUMMYFUNCTION("""COMPUTED_VALUE"""),"KFS: Hindi raw po umiikot ang propeller kahit naka switch on naman daw po ang PTO.")</f>
        <v>KFS: Hindi raw po umiikot ang propeller kahit naka switch on naman daw po ang PTO.</v>
      </c>
      <c r="L1434" s="72" t="str">
        <f>IFERROR(__xludf.DUMMYFUNCTION("""COMPUTED_VALUE"""),"JAH: okay na po ito di lang marunong ang operator tinuruan ko nalang po.")</f>
        <v>JAH: okay na po ito di lang marunong ang operator tinuruan ko nalang po.</v>
      </c>
      <c r="M1434" s="2"/>
      <c r="N1434" s="2"/>
      <c r="O1434" s="2" t="str">
        <f>IFERROR(__xludf.DUMMYFUNCTION("""COMPUTED_VALUE"""),"N/A")</f>
        <v>N/A</v>
      </c>
      <c r="P1434" s="2"/>
      <c r="Q1434" s="2"/>
      <c r="R1434" s="74">
        <f>IFERROR(__xludf.DUMMYFUNCTION("""COMPUTED_VALUE"""),46064.0)</f>
        <v>46064</v>
      </c>
      <c r="S1434" s="2" t="str">
        <f>IFERROR(__xludf.DUMMYFUNCTION("""COMPUTED_VALUE"""),"JAH")</f>
        <v>JAH</v>
      </c>
      <c r="T1434" s="73" t="str">
        <f>IFERROR(__xludf.DUMMYFUNCTION("""COMPUTED_VALUE""")," N/A ")</f>
        <v>N/A</v>
      </c>
      <c r="U1434" s="73" t="str">
        <f>IFERROR(__xludf.DUMMYFUNCTION("""COMPUTED_VALUE""")," NO CHARGE ")</f>
        <v>NO CHARGE</v>
      </c>
      <c r="V1434" s="2" t="str">
        <f>IFERROR(__xludf.DUMMYFUNCTION("""COMPUTED_VALUE"""),"N/A")</f>
        <v>N/A</v>
      </c>
      <c r="W1434" s="2" t="str">
        <f>IFERROR(__xludf.DUMMYFUNCTION("""COMPUTED_VALUE"""),"N/A")</f>
        <v>N/A</v>
      </c>
      <c r="X1434" s="2" t="str">
        <f>IFERROR(__xludf.DUMMYFUNCTION("""COMPUTED_VALUE"""),"N/A ")</f>
        <v>N/A </v>
      </c>
      <c r="Y1434" s="2"/>
      <c r="Z1434" s="2"/>
      <c r="AA1434" s="2"/>
      <c r="AB1434" s="2"/>
      <c r="AC1434" s="2"/>
      <c r="AD1434" s="2"/>
      <c r="AE1434" s="2"/>
      <c r="AF1434" s="2"/>
      <c r="AG1434" s="2"/>
      <c r="AH1434" s="2"/>
      <c r="AI1434" s="2"/>
      <c r="AJ1434" s="2" t="str">
        <f>IFERROR(__xludf.DUMMYFUNCTION("""COMPUTED_VALUE"""),"Cagmanaba")</f>
        <v>Cagmanaba</v>
      </c>
      <c r="AK1434" s="2" t="str">
        <f>IFERROR(__xludf.DUMMYFUNCTION("""COMPUTED_VALUE"""),"Ocampo")</f>
        <v>Ocampo</v>
      </c>
      <c r="AL1434" s="2" t="str">
        <f>IFERROR(__xludf.DUMMYFUNCTION("""COMPUTED_VALUE"""),"Camarines Sur")</f>
        <v>Camarines Sur</v>
      </c>
      <c r="AM1434" s="2">
        <f>IFERROR(__xludf.DUMMYFUNCTION("""COMPUTED_VALUE"""),5.0)</f>
        <v>5</v>
      </c>
      <c r="AN1434" s="2" t="str">
        <f>IFERROR(__xludf.DUMMYFUNCTION("""COMPUTED_VALUE"""),"RCEF 25-03-05")</f>
        <v>RCEF 25-03-05</v>
      </c>
      <c r="AO1434" s="2">
        <f>IFERROR(__xludf.DUMMYFUNCTION("""COMPUTED_VALUE"""),6.0)</f>
        <v>6</v>
      </c>
      <c r="AP1434" s="2" t="str">
        <f>IFERROR(__xludf.DUMMYFUNCTION("""COMPUTED_VALUE"""),"FREE PMS")</f>
        <v>FREE PMS</v>
      </c>
      <c r="AQ1434" s="2"/>
      <c r="AR1434" s="2"/>
      <c r="AS1434" s="2"/>
      <c r="AT1434" s="2"/>
      <c r="AU1434" s="2"/>
      <c r="AV1434" s="2"/>
      <c r="AW1434" s="2"/>
      <c r="AX1434" s="2"/>
      <c r="AY1434" s="2"/>
      <c r="AZ1434" s="2"/>
      <c r="BA1434" s="2"/>
      <c r="BB1434" s="2"/>
    </row>
    <row r="1435">
      <c r="A1435" s="2">
        <f>IFERROR(__xludf.DUMMYFUNCTION("""COMPUTED_VALUE"""),1431.0)</f>
        <v>1431</v>
      </c>
      <c r="B1435" s="2" t="str">
        <f>IFERROR(__xludf.DUMMYFUNCTION("""COMPUTED_VALUE"""),"COMPLETED")</f>
        <v>COMPLETED</v>
      </c>
      <c r="C1435" s="74">
        <f>IFERROR(__xludf.DUMMYFUNCTION("""COMPUTED_VALUE"""),46062.0)</f>
        <v>46062</v>
      </c>
      <c r="D1435" s="71" t="str">
        <f>IFERROR(__xludf.DUMMYFUNCTION("""COMPUTED_VALUE"""),"MUNICIPAL LOCAL GOVERNMENT UNIT OF ANGAT")</f>
        <v>MUNICIPAL LOCAL GOVERNMENT UNIT OF ANGAT</v>
      </c>
      <c r="E1435" s="71" t="str">
        <f>IFERROR(__xludf.DUMMYFUNCTION("""COMPUTED_VALUE"""),"Poblacion, Angat, Bulacan")</f>
        <v>Poblacion, Angat, Bulacan</v>
      </c>
      <c r="F1435" s="2" t="str">
        <f>IFERROR(__xludf.DUMMYFUNCTION("""COMPUTED_VALUE"""),"MASSEY BOY")</f>
        <v>MASSEY BOY</v>
      </c>
      <c r="G1435" s="2">
        <f>IFERROR(__xludf.DUMMYFUNCTION("""COMPUTED_VALUE"""),9.179941102E9)</f>
        <v>9179941102</v>
      </c>
      <c r="H1435" s="2"/>
      <c r="I1435" s="72" t="str">
        <f>IFERROR(__xludf.DUMMYFUNCTION("""COMPUTED_VALUE"""),"SPARE PARTS ACQUISITION")</f>
        <v>SPARE PARTS ACQUISITION</v>
      </c>
      <c r="J1435" s="72" t="str">
        <f>IFERROR(__xludf.DUMMYFUNCTION("""COMPUTED_VALUE"""),"SPARE PARTS ACQUISITION")</f>
        <v>SPARE PARTS ACQUISITION</v>
      </c>
      <c r="K1435" s="72" t="str">
        <f>IFERROR(__xludf.DUMMYFUNCTION("""COMPUTED_VALUE"""),"MYK: ROTAVATOR BLADES     (56 PCS)")</f>
        <v>MYK: ROTAVATOR BLADES     (56 PCS)</v>
      </c>
      <c r="L1435" s="72" t="str">
        <f>IFERROR(__xludf.DUMMYFUNCTION("""COMPUTED_VALUE"""),"JHP: DELIVERED 56 ROTAVATOR BLADES")</f>
        <v>JHP: DELIVERED 56 ROTAVATOR BLADES</v>
      </c>
      <c r="M1435" s="2"/>
      <c r="N1435" s="2" t="str">
        <f>IFERROR(__xludf.DUMMYFUNCTION("""COMPUTED_VALUE"""),"PARTS:
56- ROTAVATOR BLADES")</f>
        <v>PARTS:
56- ROTAVATOR BLADES</v>
      </c>
      <c r="O1435" s="2" t="str">
        <f>IFERROR(__xludf.DUMMYFUNCTION("""COMPUTED_VALUE"""),"N/A")</f>
        <v>N/A</v>
      </c>
      <c r="P1435" s="2"/>
      <c r="Q1435" s="2"/>
      <c r="R1435" s="74">
        <f>IFERROR(__xludf.DUMMYFUNCTION("""COMPUTED_VALUE"""),46063.0)</f>
        <v>46063</v>
      </c>
      <c r="S1435" s="2" t="str">
        <f>IFERROR(__xludf.DUMMYFUNCTION("""COMPUTED_VALUE"""),"JHP")</f>
        <v>JHP</v>
      </c>
      <c r="T1435" s="73">
        <f>IFERROR(__xludf.DUMMYFUNCTION("""COMPUTED_VALUE"""),34160.0)</f>
        <v>34160</v>
      </c>
      <c r="U1435" s="73" t="str">
        <f>IFERROR(__xludf.DUMMYFUNCTION("""COMPUTED_VALUE""")," REMITTED ")</f>
        <v>REMITTED</v>
      </c>
      <c r="V1435" s="2">
        <f>IFERROR(__xludf.DUMMYFUNCTION("""COMPUTED_VALUE"""),1295.0)</f>
        <v>1295</v>
      </c>
      <c r="W1435" s="2">
        <f>IFERROR(__xludf.DUMMYFUNCTION("""COMPUTED_VALUE"""),1954.0)</f>
        <v>1954</v>
      </c>
      <c r="X1435" s="2">
        <f>IFERROR(__xludf.DUMMYFUNCTION("""COMPUTED_VALUE"""),1704.0)</f>
        <v>1704</v>
      </c>
      <c r="Y1435" s="2"/>
      <c r="Z1435" s="2"/>
      <c r="AA1435" s="2"/>
      <c r="AB1435" s="2"/>
      <c r="AC1435" s="2"/>
      <c r="AD1435" s="2"/>
      <c r="AE1435" s="2"/>
      <c r="AF1435" s="2"/>
      <c r="AG1435" s="2"/>
      <c r="AH1435" s="2"/>
      <c r="AI1435" s="2"/>
      <c r="AJ1435" s="2" t="str">
        <f>IFERROR(__xludf.DUMMYFUNCTION("""COMPUTED_VALUE"""),"Poblacion")</f>
        <v>Poblacion</v>
      </c>
      <c r="AK1435" s="2" t="str">
        <f>IFERROR(__xludf.DUMMYFUNCTION("""COMPUTED_VALUE"""),"Angat")</f>
        <v>Angat</v>
      </c>
      <c r="AL1435" s="2" t="str">
        <f>IFERROR(__xludf.DUMMYFUNCTION("""COMPUTED_VALUE"""),"Bulacan")</f>
        <v>Bulacan</v>
      </c>
      <c r="AM1435" s="2">
        <f>IFERROR(__xludf.DUMMYFUNCTION("""COMPUTED_VALUE"""),3.0)</f>
        <v>3</v>
      </c>
      <c r="AN1435" s="2" t="str">
        <f>IFERROR(__xludf.DUMMYFUNCTION("""COMPUTED_VALUE"""),"RCEF 23-09-21 Rebidding")</f>
        <v>RCEF 23-09-21 Rebidding</v>
      </c>
      <c r="AO1435" s="2">
        <f>IFERROR(__xludf.DUMMYFUNCTION("""COMPUTED_VALUE"""),3.0)</f>
        <v>3</v>
      </c>
      <c r="AP1435" s="2"/>
      <c r="AQ1435" s="2"/>
      <c r="AR1435" s="2"/>
      <c r="AS1435" s="2"/>
      <c r="AT1435" s="2"/>
      <c r="AU1435" s="2"/>
      <c r="AV1435" s="2"/>
      <c r="AW1435" s="2"/>
      <c r="AX1435" s="2"/>
      <c r="AY1435" s="2"/>
      <c r="AZ1435" s="2"/>
      <c r="BA1435" s="2"/>
      <c r="BB1435" s="2"/>
    </row>
    <row r="1436">
      <c r="A1436" s="2">
        <f>IFERROR(__xludf.DUMMYFUNCTION("""COMPUTED_VALUE"""),1432.0)</f>
        <v>1432</v>
      </c>
      <c r="B1436" s="2" t="str">
        <f>IFERROR(__xludf.DUMMYFUNCTION("""COMPUTED_VALUE"""),"COMPLETED")</f>
        <v>COMPLETED</v>
      </c>
      <c r="C1436" s="74">
        <f>IFERROR(__xludf.DUMMYFUNCTION("""COMPUTED_VALUE"""),46063.0)</f>
        <v>46063</v>
      </c>
      <c r="D1436" s="71" t="str">
        <f>IFERROR(__xludf.DUMMYFUNCTION("""COMPUTED_VALUE"""),"Malapajo Irrigated Farmer's Association")</f>
        <v>Malapajo Irrigated Farmer's Association</v>
      </c>
      <c r="E1436" s="71" t="str">
        <f>IFERROR(__xludf.DUMMYFUNCTION("""COMPUTED_VALUE"""),"Santa Rita Bata, San Miguel, BULACAN")</f>
        <v>Santa Rita Bata, San Miguel, BULACAN</v>
      </c>
      <c r="F1436" s="2" t="str">
        <f>IFERROR(__xludf.DUMMYFUNCTION("""COMPUTED_VALUE"""),"TIRSO M. YASIS")</f>
        <v>TIRSO M. YASIS</v>
      </c>
      <c r="G1436" s="2" t="str">
        <f>IFERROR(__xludf.DUMMYFUNCTION("""COMPUTED_VALUE"""),"0917-126-5680")</f>
        <v>0917-126-5680</v>
      </c>
      <c r="H1436" s="2"/>
      <c r="I1436" s="72" t="str">
        <f>IFERROR(__xludf.DUMMYFUNCTION("""COMPUTED_VALUE"""),"REPAIR - TRACTOR")</f>
        <v>REPAIR - TRACTOR</v>
      </c>
      <c r="J1436" s="72" t="str">
        <f>IFERROR(__xludf.DUMMYFUNCTION("""COMPUTED_VALUE"""),"Electrical - Dashboard / PMS")</f>
        <v>Electrical - Dashboard / PMS</v>
      </c>
      <c r="K1436" s="72" t="str">
        <f>IFERROR(__xludf.DUMMYFUNCTION("""COMPUTED_VALUE"""),"DATE DELIVERED: DECEMBER 2025
ERP: for PMS (1ST PMS FREE)
Dashboard not working 
(WITH PIC/VIDEO)")</f>
        <v>DATE DELIVERED: DECEMBER 2025
ERP: for PMS (1ST PMS FREE)
Dashboard not working 
(WITH PIC/VIDEO)</v>
      </c>
      <c r="L1436" s="72" t="str">
        <f>IFERROR(__xludf.DUMMYFUNCTION("""COMPUTED_VALUE"""),"JTT: DISCONNECT GROUNDED WIRE, AND RECONNECT TO RIGHT WIRE PATH , DASHBOARD OPERATIONAL
1ST PMS DONE")</f>
        <v>JTT: DISCONNECT GROUNDED WIRE, AND RECONNECT TO RIGHT WIRE PATH , DASHBOARD OPERATIONAL
1ST PMS DONE</v>
      </c>
      <c r="M1436" s="2"/>
      <c r="N1436" s="2" t="str">
        <f>IFERROR(__xludf.DUMMYFUNCTION("""COMPUTED_VALUE"""),"PARTS:
OIL FILTER
ENGINE OIL")</f>
        <v>PARTS:
OIL FILTER
ENGINE OIL</v>
      </c>
      <c r="O1436" s="2">
        <f>IFERROR(__xludf.DUMMYFUNCTION("""COMPUTED_VALUE"""),393.0)</f>
        <v>393</v>
      </c>
      <c r="P1436" s="2"/>
      <c r="Q1436" s="2" t="str">
        <f>IFERROR(__xludf.DUMMYFUNCTION("""COMPUTED_VALUE"""),"FOR PRINT")</f>
        <v>FOR PRINT</v>
      </c>
      <c r="R1436" s="74">
        <f>IFERROR(__xludf.DUMMYFUNCTION("""COMPUTED_VALUE"""),46076.0)</f>
        <v>46076</v>
      </c>
      <c r="S1436" s="2" t="str">
        <f>IFERROR(__xludf.DUMMYFUNCTION("""COMPUTED_VALUE"""),"JTT/OJT")</f>
        <v>JTT/OJT</v>
      </c>
      <c r="T1436" s="73" t="str">
        <f>IFERROR(__xludf.DUMMYFUNCTION("""COMPUTED_VALUE""")," N/A ")</f>
        <v>N/A</v>
      </c>
      <c r="U1436" s="73" t="str">
        <f>IFERROR(__xludf.DUMMYFUNCTION("""COMPUTED_VALUE""")," NO CHARGE ")</f>
        <v>NO CHARGE</v>
      </c>
      <c r="V1436" s="2" t="str">
        <f>IFERROR(__xludf.DUMMYFUNCTION("""COMPUTED_VALUE"""),"NO DR")</f>
        <v>NO DR</v>
      </c>
      <c r="W1436" s="2" t="str">
        <f>IFERROR(__xludf.DUMMYFUNCTION("""COMPUTED_VALUE"""),"N/A")</f>
        <v>N/A</v>
      </c>
      <c r="X1436" s="2" t="str">
        <f>IFERROR(__xludf.DUMMYFUNCTION("""COMPUTED_VALUE"""),"N/A ")</f>
        <v>N/A </v>
      </c>
      <c r="Y1436" s="2"/>
      <c r="Z1436" s="2"/>
      <c r="AA1436" s="2"/>
      <c r="AB1436" s="2"/>
      <c r="AC1436" s="2"/>
      <c r="AD1436" s="2"/>
      <c r="AE1436" s="2"/>
      <c r="AF1436" s="2"/>
      <c r="AG1436" s="2"/>
      <c r="AH1436" s="2"/>
      <c r="AI1436" s="2"/>
      <c r="AJ1436" s="2" t="str">
        <f>IFERROR(__xludf.DUMMYFUNCTION("""COMPUTED_VALUE"""),"Santa Rita Bata")</f>
        <v>Santa Rita Bata</v>
      </c>
      <c r="AK1436" s="2" t="str">
        <f>IFERROR(__xludf.DUMMYFUNCTION("""COMPUTED_VALUE"""),"San Miguel")</f>
        <v>San Miguel</v>
      </c>
      <c r="AL1436" s="2" t="str">
        <f>IFERROR(__xludf.DUMMYFUNCTION("""COMPUTED_VALUE"""),"Bulacan")</f>
        <v>Bulacan</v>
      </c>
      <c r="AM1436" s="2">
        <f>IFERROR(__xludf.DUMMYFUNCTION("""COMPUTED_VALUE"""),3.0)</f>
        <v>3</v>
      </c>
      <c r="AN1436" s="2" t="str">
        <f>IFERROR(__xludf.DUMMYFUNCTION("""COMPUTED_VALUE"""),"RCEF 25-03-05")</f>
        <v>RCEF 25-03-05</v>
      </c>
      <c r="AO1436" s="2">
        <f>IFERROR(__xludf.DUMMYFUNCTION("""COMPUTED_VALUE"""),5.0)</f>
        <v>5</v>
      </c>
      <c r="AP1436" s="2" t="str">
        <f>IFERROR(__xludf.DUMMYFUNCTION("""COMPUTED_VALUE"""),"FREE PMS")</f>
        <v>FREE PMS</v>
      </c>
      <c r="AQ1436" s="2"/>
      <c r="AR1436" s="2"/>
      <c r="AS1436" s="2"/>
      <c r="AT1436" s="2"/>
      <c r="AU1436" s="2"/>
      <c r="AV1436" s="2"/>
      <c r="AW1436" s="2"/>
      <c r="AX1436" s="2"/>
      <c r="AY1436" s="2"/>
      <c r="AZ1436" s="2"/>
      <c r="BA1436" s="2"/>
      <c r="BB1436" s="2"/>
    </row>
    <row r="1437">
      <c r="A1437" s="2">
        <f>IFERROR(__xludf.DUMMYFUNCTION("""COMPUTED_VALUE"""),1433.0)</f>
        <v>1433</v>
      </c>
      <c r="B1437" s="2" t="str">
        <f>IFERROR(__xludf.DUMMYFUNCTION("""COMPUTED_VALUE"""),"COMPLETED")</f>
        <v>COMPLETED</v>
      </c>
      <c r="C1437" s="74">
        <f>IFERROR(__xludf.DUMMYFUNCTION("""COMPUTED_VALUE"""),46063.0)</f>
        <v>46063</v>
      </c>
      <c r="D1437" s="71" t="str">
        <f>IFERROR(__xludf.DUMMYFUNCTION("""COMPUTED_VALUE"""),"Municipal Local Government Unit of Maria Aurora")</f>
        <v>Municipal Local Government Unit of Maria Aurora</v>
      </c>
      <c r="E1437" s="71" t="str">
        <f>IFERROR(__xludf.DUMMYFUNCTION("""COMPUTED_VALUE"""),"Barangay III (Pob.), Maria Aurora, AURORA")</f>
        <v>Barangay III (Pob.), Maria Aurora, AURORA</v>
      </c>
      <c r="F1437" s="2" t="str">
        <f>IFERROR(__xludf.DUMMYFUNCTION("""COMPUTED_VALUE"""),"Engr. John Gerald Prado")</f>
        <v>Engr. John Gerald Prado</v>
      </c>
      <c r="G1437" s="2">
        <f>IFERROR(__xludf.DUMMYFUNCTION("""COMPUTED_VALUE"""),9.17824075E9)</f>
        <v>9178240750</v>
      </c>
      <c r="H1437" s="2">
        <f>IFERROR(__xludf.DUMMYFUNCTION("""COMPUTED_VALUE"""),50.0)</f>
        <v>50</v>
      </c>
      <c r="I1437" s="72" t="str">
        <f>IFERROR(__xludf.DUMMYFUNCTION("""COMPUTED_VALUE"""),"PMS")</f>
        <v>PMS</v>
      </c>
      <c r="J1437" s="72" t="str">
        <f>IFERROR(__xludf.DUMMYFUNCTION("""COMPUTED_VALUE"""),"PMS")</f>
        <v>PMS</v>
      </c>
      <c r="K1437" s="72" t="str">
        <f>IFERROR(__xludf.DUMMYFUNCTION("""COMPUTED_VALUE"""),"MYK: 1ST PMS FREE")</f>
        <v>MYK: 1ST PMS FREE</v>
      </c>
      <c r="L1437" s="72" t="str">
        <f>IFERROR(__xludf.DUMMYFUNCTION("""COMPUTED_VALUE"""),"DSD: 1ST PMS DONE")</f>
        <v>DSD: 1ST PMS DONE</v>
      </c>
      <c r="M1437" s="2"/>
      <c r="N1437" s="2" t="str">
        <f>IFERROR(__xludf.DUMMYFUNCTION("""COMPUTED_VALUE"""),"PARTS:
OIL FILTER
ENGINE OIL")</f>
        <v>PARTS:
OIL FILTER
ENGINE OIL</v>
      </c>
      <c r="O1437" s="2">
        <f>IFERROR(__xludf.DUMMYFUNCTION("""COMPUTED_VALUE"""),864.0)</f>
        <v>864</v>
      </c>
      <c r="P1437" s="2"/>
      <c r="Q1437" s="2" t="str">
        <f>IFERROR(__xludf.DUMMYFUNCTION("""COMPUTED_VALUE"""),"FOR PRINT")</f>
        <v>FOR PRINT</v>
      </c>
      <c r="R1437" s="74">
        <f>IFERROR(__xludf.DUMMYFUNCTION("""COMPUTED_VALUE"""),46066.0)</f>
        <v>46066</v>
      </c>
      <c r="S1437" s="2" t="str">
        <f>IFERROR(__xludf.DUMMYFUNCTION("""COMPUTED_VALUE"""),"DSD/ACS/OJT")</f>
        <v>DSD/ACS/OJT</v>
      </c>
      <c r="T1437" s="73" t="str">
        <f>IFERROR(__xludf.DUMMYFUNCTION("""COMPUTED_VALUE""")," N/A ")</f>
        <v>N/A</v>
      </c>
      <c r="U1437" s="73" t="str">
        <f>IFERROR(__xludf.DUMMYFUNCTION("""COMPUTED_VALUE""")," RECORDED ")</f>
        <v>RECORDED</v>
      </c>
      <c r="V1437" s="2">
        <f>IFERROR(__xludf.DUMMYFUNCTION("""COMPUTED_VALUE"""),2007.0)</f>
        <v>2007</v>
      </c>
      <c r="W1437" s="2" t="str">
        <f>IFERROR(__xludf.DUMMYFUNCTION("""COMPUTED_VALUE"""),"N/A")</f>
        <v>N/A</v>
      </c>
      <c r="X1437" s="2" t="str">
        <f>IFERROR(__xludf.DUMMYFUNCTION("""COMPUTED_VALUE"""),"N/A ")</f>
        <v>N/A </v>
      </c>
      <c r="Y1437" s="2"/>
      <c r="Z1437" s="2"/>
      <c r="AA1437" s="2"/>
      <c r="AB1437" s="2"/>
      <c r="AC1437" s="2"/>
      <c r="AD1437" s="2"/>
      <c r="AE1437" s="2"/>
      <c r="AF1437" s="2"/>
      <c r="AG1437" s="2"/>
      <c r="AH1437" s="2"/>
      <c r="AI1437" s="2"/>
      <c r="AJ1437" s="2" t="str">
        <f>IFERROR(__xludf.DUMMYFUNCTION("""COMPUTED_VALUE"""),"Barangay Iii (Pob.)")</f>
        <v>Barangay Iii (Pob.)</v>
      </c>
      <c r="AK1437" s="2" t="str">
        <f>IFERROR(__xludf.DUMMYFUNCTION("""COMPUTED_VALUE"""),"Maria Aurora")</f>
        <v>Maria Aurora</v>
      </c>
      <c r="AL1437" s="2" t="str">
        <f>IFERROR(__xludf.DUMMYFUNCTION("""COMPUTED_VALUE"""),"Aurora")</f>
        <v>Aurora</v>
      </c>
      <c r="AM1437" s="2">
        <f>IFERROR(__xludf.DUMMYFUNCTION("""COMPUTED_VALUE"""),3.0)</f>
        <v>3</v>
      </c>
      <c r="AN1437" s="2" t="str">
        <f>IFERROR(__xludf.DUMMYFUNCTION("""COMPUTED_VALUE"""),"RCEF 25-03-05")</f>
        <v>RCEF 25-03-05</v>
      </c>
      <c r="AO1437" s="2">
        <f>IFERROR(__xludf.DUMMYFUNCTION("""COMPUTED_VALUE"""),5.0)</f>
        <v>5</v>
      </c>
      <c r="AP1437" s="2" t="str">
        <f>IFERROR(__xludf.DUMMYFUNCTION("""COMPUTED_VALUE"""),"FREE PMS")</f>
        <v>FREE PMS</v>
      </c>
      <c r="AQ1437" s="2"/>
      <c r="AR1437" s="2"/>
      <c r="AS1437" s="2"/>
      <c r="AT1437" s="2"/>
      <c r="AU1437" s="2"/>
      <c r="AV1437" s="2"/>
      <c r="AW1437" s="2"/>
      <c r="AX1437" s="2"/>
      <c r="AY1437" s="2"/>
      <c r="AZ1437" s="2"/>
      <c r="BA1437" s="2"/>
      <c r="BB1437" s="2"/>
    </row>
    <row r="1438">
      <c r="A1438" s="2">
        <f>IFERROR(__xludf.DUMMYFUNCTION("""COMPUTED_VALUE"""),1434.0)</f>
        <v>1434</v>
      </c>
      <c r="B1438" s="2" t="str">
        <f>IFERROR(__xludf.DUMMYFUNCTION("""COMPUTED_VALUE"""),"COMPLETED")</f>
        <v>COMPLETED</v>
      </c>
      <c r="C1438" s="74">
        <f>IFERROR(__xludf.DUMMYFUNCTION("""COMPUTED_VALUE"""),46063.0)</f>
        <v>46063</v>
      </c>
      <c r="D1438" s="71" t="str">
        <f>IFERROR(__xludf.DUMMYFUNCTION("""COMPUTED_VALUE"""),"Dimanpudso Farmers Association")</f>
        <v>Dimanpudso Farmers Association</v>
      </c>
      <c r="E1438" s="71" t="str">
        <f>IFERROR(__xludf.DUMMYFUNCTION("""COMPUTED_VALUE"""),"Dimanpudso, Maria Aurora, AURORA")</f>
        <v>Dimanpudso, Maria Aurora, AURORA</v>
      </c>
      <c r="F1438" s="2" t="str">
        <f>IFERROR(__xludf.DUMMYFUNCTION("""COMPUTED_VALUE"""),"Reynaldo Abrero")</f>
        <v>Reynaldo Abrero</v>
      </c>
      <c r="G1438" s="2">
        <f>IFERROR(__xludf.DUMMYFUNCTION("""COMPUTED_VALUE"""),9.190011023E9)</f>
        <v>9190011023</v>
      </c>
      <c r="H1438" s="2">
        <f>IFERROR(__xludf.DUMMYFUNCTION("""COMPUTED_VALUE"""),50.0)</f>
        <v>50</v>
      </c>
      <c r="I1438" s="72" t="str">
        <f>IFERROR(__xludf.DUMMYFUNCTION("""COMPUTED_VALUE"""),"PMS")</f>
        <v>PMS</v>
      </c>
      <c r="J1438" s="72" t="str">
        <f>IFERROR(__xludf.DUMMYFUNCTION("""COMPUTED_VALUE"""),"PMS")</f>
        <v>PMS</v>
      </c>
      <c r="K1438" s="72" t="str">
        <f>IFERROR(__xludf.DUMMYFUNCTION("""COMPUTED_VALUE"""),"MYK: 1ST PMS FREE")</f>
        <v>MYK: 1ST PMS FREE</v>
      </c>
      <c r="L1438" s="72" t="str">
        <f>IFERROR(__xludf.DUMMYFUNCTION("""COMPUTED_VALUE"""),"DSD: 1ST PMS DONE")</f>
        <v>DSD: 1ST PMS DONE</v>
      </c>
      <c r="M1438" s="2"/>
      <c r="N1438" s="2" t="str">
        <f>IFERROR(__xludf.DUMMYFUNCTION("""COMPUTED_VALUE"""),"PARTS:
OIL FILTER
ENGINE OIL")</f>
        <v>PARTS:
OIL FILTER
ENGINE OIL</v>
      </c>
      <c r="O1438" s="2">
        <f>IFERROR(__xludf.DUMMYFUNCTION("""COMPUTED_VALUE"""),853.0)</f>
        <v>853</v>
      </c>
      <c r="P1438" s="2"/>
      <c r="Q1438" s="2" t="str">
        <f>IFERROR(__xludf.DUMMYFUNCTION("""COMPUTED_VALUE"""),"FOR PRINT")</f>
        <v>FOR PRINT</v>
      </c>
      <c r="R1438" s="74">
        <f>IFERROR(__xludf.DUMMYFUNCTION("""COMPUTED_VALUE"""),46065.0)</f>
        <v>46065</v>
      </c>
      <c r="S1438" s="2" t="str">
        <f>IFERROR(__xludf.DUMMYFUNCTION("""COMPUTED_VALUE"""),"DSD/ACS/OJT")</f>
        <v>DSD/ACS/OJT</v>
      </c>
      <c r="T1438" s="73" t="str">
        <f>IFERROR(__xludf.DUMMYFUNCTION("""COMPUTED_VALUE""")," N/A ")</f>
        <v>N/A</v>
      </c>
      <c r="U1438" s="73" t="str">
        <f>IFERROR(__xludf.DUMMYFUNCTION("""COMPUTED_VALUE""")," NO CHARGE ")</f>
        <v>NO CHARGE</v>
      </c>
      <c r="V1438" s="2">
        <f>IFERROR(__xludf.DUMMYFUNCTION("""COMPUTED_VALUE"""),2005.0)</f>
        <v>2005</v>
      </c>
      <c r="W1438" s="2" t="str">
        <f>IFERROR(__xludf.DUMMYFUNCTION("""COMPUTED_VALUE"""),"N/A")</f>
        <v>N/A</v>
      </c>
      <c r="X1438" s="2" t="str">
        <f>IFERROR(__xludf.DUMMYFUNCTION("""COMPUTED_VALUE"""),"N/A ")</f>
        <v>N/A </v>
      </c>
      <c r="Y1438" s="2"/>
      <c r="Z1438" s="2"/>
      <c r="AA1438" s="2"/>
      <c r="AB1438" s="2"/>
      <c r="AC1438" s="2"/>
      <c r="AD1438" s="2"/>
      <c r="AE1438" s="2"/>
      <c r="AF1438" s="2"/>
      <c r="AG1438" s="2"/>
      <c r="AH1438" s="2"/>
      <c r="AI1438" s="2"/>
      <c r="AJ1438" s="2" t="str">
        <f>IFERROR(__xludf.DUMMYFUNCTION("""COMPUTED_VALUE"""),"Dimanpudso")</f>
        <v>Dimanpudso</v>
      </c>
      <c r="AK1438" s="2" t="str">
        <f>IFERROR(__xludf.DUMMYFUNCTION("""COMPUTED_VALUE"""),"Maria Aurora")</f>
        <v>Maria Aurora</v>
      </c>
      <c r="AL1438" s="2" t="str">
        <f>IFERROR(__xludf.DUMMYFUNCTION("""COMPUTED_VALUE"""),"Aurora")</f>
        <v>Aurora</v>
      </c>
      <c r="AM1438" s="2">
        <f>IFERROR(__xludf.DUMMYFUNCTION("""COMPUTED_VALUE"""),3.0)</f>
        <v>3</v>
      </c>
      <c r="AN1438" s="2" t="str">
        <f>IFERROR(__xludf.DUMMYFUNCTION("""COMPUTED_VALUE"""),"RCEF 25-03-05")</f>
        <v>RCEF 25-03-05</v>
      </c>
      <c r="AO1438" s="2">
        <f>IFERROR(__xludf.DUMMYFUNCTION("""COMPUTED_VALUE"""),5.0)</f>
        <v>5</v>
      </c>
      <c r="AP1438" s="2" t="str">
        <f>IFERROR(__xludf.DUMMYFUNCTION("""COMPUTED_VALUE"""),"FREE PMS")</f>
        <v>FREE PMS</v>
      </c>
      <c r="AQ1438" s="2"/>
      <c r="AR1438" s="2"/>
      <c r="AS1438" s="2"/>
      <c r="AT1438" s="2"/>
      <c r="AU1438" s="2"/>
      <c r="AV1438" s="2"/>
      <c r="AW1438" s="2"/>
      <c r="AX1438" s="2"/>
      <c r="AY1438" s="2"/>
      <c r="AZ1438" s="2"/>
      <c r="BA1438" s="2"/>
      <c r="BB1438" s="2"/>
    </row>
    <row r="1439">
      <c r="A1439" s="2">
        <f>IFERROR(__xludf.DUMMYFUNCTION("""COMPUTED_VALUE"""),1435.0)</f>
        <v>1435</v>
      </c>
      <c r="B1439" s="2" t="str">
        <f>IFERROR(__xludf.DUMMYFUNCTION("""COMPUTED_VALUE"""),"PENDING")</f>
        <v>PENDING</v>
      </c>
      <c r="C1439" s="74">
        <f>IFERROR(__xludf.DUMMYFUNCTION("""COMPUTED_VALUE"""),46063.0)</f>
        <v>46063</v>
      </c>
      <c r="D1439" s="71" t="str">
        <f>IFERROR(__xludf.DUMMYFUNCTION("""COMPUTED_VALUE"""),"TANATANAEN FARMERS IRRIGATOR'S ASSOCIATION, INC.")</f>
        <v>TANATANAEN FARMERS IRRIGATOR'S ASSOCIATION, INC.</v>
      </c>
      <c r="E1439" s="71" t="str">
        <f>IFERROR(__xludf.DUMMYFUNCTION("""COMPUTED_VALUE"""),"Tanatanaon (Mainland), Dumaran, Palawan")</f>
        <v>Tanatanaon (Mainland), Dumaran, Palawan</v>
      </c>
      <c r="F1439" s="2" t="str">
        <f>IFERROR(__xludf.DUMMYFUNCTION("""COMPUTED_VALUE"""),"ERNINA GALIYA")</f>
        <v>ERNINA GALIYA</v>
      </c>
      <c r="G1439" s="2">
        <f>IFERROR(__xludf.DUMMYFUNCTION("""COMPUTED_VALUE"""),9.318045117E9)</f>
        <v>9318045117</v>
      </c>
      <c r="H1439" s="2"/>
      <c r="I1439" s="72" t="str">
        <f>IFERROR(__xludf.DUMMYFUNCTION("""COMPUTED_VALUE"""),"SPARE PARTS ACQUISITION")</f>
        <v>SPARE PARTS ACQUISITION</v>
      </c>
      <c r="J1439" s="72" t="str">
        <f>IFERROR(__xludf.DUMMYFUNCTION("""COMPUTED_VALUE"""),"PARTS REQUEST")</f>
        <v>PARTS REQUEST</v>
      </c>
      <c r="K1439" s="72" t="str">
        <f>IFERROR(__xludf.DUMMYFUNCTION("""COMPUTED_VALUE"""),"MYK: PARTS REQUEST
CLUTCH DISC ASSY ")</f>
        <v>MYK: PARTS REQUEST
CLUTCH DISC ASSY </v>
      </c>
      <c r="L1439" s="72" t="str">
        <f>IFERROR(__xludf.DUMMYFUNCTION("""COMPUTED_VALUE"""),"QUOTATION SENT-")</f>
        <v>QUOTATION SENT-</v>
      </c>
      <c r="M1439" s="2" t="str">
        <f>IFERROR(__xludf.DUMMYFUNCTION("""COMPUTED_VALUE"""),"CLUTCH DISC ASSY")</f>
        <v>CLUTCH DISC ASSY</v>
      </c>
      <c r="N1439" s="2"/>
      <c r="O1439" s="2"/>
      <c r="P1439" s="2"/>
      <c r="Q1439" s="2"/>
      <c r="R1439" s="2"/>
      <c r="S1439" s="2"/>
      <c r="T1439" s="2"/>
      <c r="U1439" s="2"/>
      <c r="V1439" s="2"/>
      <c r="W1439" s="2"/>
      <c r="X1439" s="2"/>
      <c r="Y1439" s="2"/>
      <c r="Z1439" s="2"/>
      <c r="AA1439" s="2"/>
      <c r="AB1439" s="2"/>
      <c r="AC1439" s="2"/>
      <c r="AD1439" s="2"/>
      <c r="AE1439" s="2"/>
      <c r="AF1439" s="2"/>
      <c r="AG1439" s="2"/>
      <c r="AH1439" s="2"/>
      <c r="AI1439" s="2"/>
      <c r="AJ1439" s="2" t="str">
        <f>IFERROR(__xludf.DUMMYFUNCTION("""COMPUTED_VALUE"""),"Tanatanaon (Mainland)")</f>
        <v>Tanatanaon (Mainland)</v>
      </c>
      <c r="AK1439" s="2" t="str">
        <f>IFERROR(__xludf.DUMMYFUNCTION("""COMPUTED_VALUE"""),"Dumaran")</f>
        <v>Dumaran</v>
      </c>
      <c r="AL1439" s="2" t="str">
        <f>IFERROR(__xludf.DUMMYFUNCTION("""COMPUTED_VALUE"""),"Palawan")</f>
        <v>Palawan</v>
      </c>
      <c r="AM1439" s="2" t="str">
        <f>IFERROR(__xludf.DUMMYFUNCTION("""COMPUTED_VALUE"""),"4B")</f>
        <v>4B</v>
      </c>
      <c r="AN1439" s="2" t="str">
        <f>IFERROR(__xludf.DUMMYFUNCTION("""COMPUTED_VALUE"""),"RCEF 23-08-20 Rebidding")</f>
        <v>RCEF 23-08-20 Rebidding</v>
      </c>
      <c r="AO1439" s="2">
        <f>IFERROR(__xludf.DUMMYFUNCTION("""COMPUTED_VALUE"""),1.0)</f>
        <v>1</v>
      </c>
      <c r="AP1439" s="2"/>
      <c r="AQ1439" s="2"/>
      <c r="AR1439" s="2"/>
      <c r="AS1439" s="2"/>
      <c r="AT1439" s="2"/>
      <c r="AU1439" s="2"/>
      <c r="AV1439" s="2"/>
      <c r="AW1439" s="2"/>
      <c r="AX1439" s="2"/>
      <c r="AY1439" s="2"/>
      <c r="AZ1439" s="2"/>
      <c r="BA1439" s="2"/>
      <c r="BB1439" s="2"/>
    </row>
    <row r="1440">
      <c r="A1440" s="2">
        <f>IFERROR(__xludf.DUMMYFUNCTION("""COMPUTED_VALUE"""),1436.0)</f>
        <v>1436</v>
      </c>
      <c r="B1440" s="2" t="str">
        <f>IFERROR(__xludf.DUMMYFUNCTION("""COMPUTED_VALUE"""),"COMPLETED")</f>
        <v>COMPLETED</v>
      </c>
      <c r="C1440" s="74">
        <f>IFERROR(__xludf.DUMMYFUNCTION("""COMPUTED_VALUE"""),46064.0)</f>
        <v>46064</v>
      </c>
      <c r="D1440" s="71" t="str">
        <f>IFERROR(__xludf.DUMMYFUNCTION("""COMPUTED_VALUE"""),"Matiques Farmers Association")</f>
        <v>Matiques Farmers Association</v>
      </c>
      <c r="E1440" s="71" t="str">
        <f>IFERROR(__xludf.DUMMYFUNCTION("""COMPUTED_VALUE"""),"Santa Fe, San Marcelino, ZAMBALES")</f>
        <v>Santa Fe, San Marcelino, ZAMBALES</v>
      </c>
      <c r="F1440" s="2" t="str">
        <f>IFERROR(__xludf.DUMMYFUNCTION("""COMPUTED_VALUE"""),"ALFER CORPUZ")</f>
        <v>ALFER CORPUZ</v>
      </c>
      <c r="G1440" s="2">
        <f>IFERROR(__xludf.DUMMYFUNCTION("""COMPUTED_VALUE"""),9.770412616E9)</f>
        <v>9770412616</v>
      </c>
      <c r="H1440" s="2"/>
      <c r="I1440" s="72" t="str">
        <f>IFERROR(__xludf.DUMMYFUNCTION("""COMPUTED_VALUE"""),"SPARE PARTS ACQUISITION")</f>
        <v>SPARE PARTS ACQUISITION</v>
      </c>
      <c r="J1440" s="72" t="str">
        <f>IFERROR(__xludf.DUMMYFUNCTION("""COMPUTED_VALUE"""),"PMS")</f>
        <v>PMS</v>
      </c>
      <c r="K1440" s="72" t="str">
        <f>IFERROR(__xludf.DUMMYFUNCTION("""COMPUTED_VALUE"""),"MYK: 1ST PMS FREE")</f>
        <v>MYK: 1ST PMS FREE</v>
      </c>
      <c r="L1440" s="72" t="str">
        <f>IFERROR(__xludf.DUMMYFUNCTION("""COMPUTED_VALUE"""),"JTT: NAG DELIVER LANG NG FILTER, NO ENGINE OIL")</f>
        <v>JTT: NAG DELIVER LANG NG FILTER, NO ENGINE OIL</v>
      </c>
      <c r="M1440" s="2"/>
      <c r="N1440" s="2" t="str">
        <f>IFERROR(__xludf.DUMMYFUNCTION("""COMPUTED_VALUE"""),"2- OIL FILTER")</f>
        <v>2- OIL FILTER</v>
      </c>
      <c r="O1440" s="2"/>
      <c r="P1440" s="2"/>
      <c r="Q1440" s="2" t="str">
        <f>IFERROR(__xludf.DUMMYFUNCTION("""COMPUTED_VALUE"""),"FOR PRINT")</f>
        <v>FOR PRINT</v>
      </c>
      <c r="R1440" s="74">
        <f>IFERROR(__xludf.DUMMYFUNCTION("""COMPUTED_VALUE"""),46072.0)</f>
        <v>46072</v>
      </c>
      <c r="S1440" s="2"/>
      <c r="T1440" s="73">
        <f>IFERROR(__xludf.DUMMYFUNCTION("""COMPUTED_VALUE"""),3066.0)</f>
        <v>3066</v>
      </c>
      <c r="U1440" s="73" t="str">
        <f>IFERROR(__xludf.DUMMYFUNCTION("""COMPUTED_VALUE""")," REMITTED ")</f>
        <v>REMITTED</v>
      </c>
      <c r="V1440" s="2">
        <f>IFERROR(__xludf.DUMMYFUNCTION("""COMPUTED_VALUE"""),1612.0)</f>
        <v>1612</v>
      </c>
      <c r="W1440" s="2">
        <f>IFERROR(__xludf.DUMMYFUNCTION("""COMPUTED_VALUE"""),1877.0)</f>
        <v>1877</v>
      </c>
      <c r="X1440" s="2">
        <f>IFERROR(__xludf.DUMMYFUNCTION("""COMPUTED_VALUE"""),1725.0)</f>
        <v>1725</v>
      </c>
      <c r="Y1440" s="2"/>
      <c r="Z1440" s="2"/>
      <c r="AA1440" s="2"/>
      <c r="AB1440" s="2"/>
      <c r="AC1440" s="2"/>
      <c r="AD1440" s="2"/>
      <c r="AE1440" s="2"/>
      <c r="AF1440" s="2"/>
      <c r="AG1440" s="2"/>
      <c r="AH1440" s="2"/>
      <c r="AI1440" s="2"/>
      <c r="AJ1440" s="2" t="str">
        <f>IFERROR(__xludf.DUMMYFUNCTION("""COMPUTED_VALUE"""),"Santa Fe")</f>
        <v>Santa Fe</v>
      </c>
      <c r="AK1440" s="2" t="str">
        <f>IFERROR(__xludf.DUMMYFUNCTION("""COMPUTED_VALUE"""),"San Marcelino")</f>
        <v>San Marcelino</v>
      </c>
      <c r="AL1440" s="2" t="str">
        <f>IFERROR(__xludf.DUMMYFUNCTION("""COMPUTED_VALUE"""),"Zambales")</f>
        <v>Zambales</v>
      </c>
      <c r="AM1440" s="2">
        <f>IFERROR(__xludf.DUMMYFUNCTION("""COMPUTED_VALUE"""),3.0)</f>
        <v>3</v>
      </c>
      <c r="AN1440" s="2" t="str">
        <f>IFERROR(__xludf.DUMMYFUNCTION("""COMPUTED_VALUE"""),"RCEF 25-03-05")</f>
        <v>RCEF 25-03-05</v>
      </c>
      <c r="AO1440" s="2">
        <f>IFERROR(__xludf.DUMMYFUNCTION("""COMPUTED_VALUE"""),5.0)</f>
        <v>5</v>
      </c>
      <c r="AP1440" s="2" t="str">
        <f>IFERROR(__xludf.DUMMYFUNCTION("""COMPUTED_VALUE"""),"FREE PMS")</f>
        <v>FREE PMS</v>
      </c>
      <c r="AQ1440" s="2"/>
      <c r="AR1440" s="2"/>
      <c r="AS1440" s="2"/>
      <c r="AT1440" s="2"/>
      <c r="AU1440" s="2"/>
      <c r="AV1440" s="2"/>
      <c r="AW1440" s="2"/>
      <c r="AX1440" s="2"/>
      <c r="AY1440" s="2"/>
      <c r="AZ1440" s="2"/>
      <c r="BA1440" s="2"/>
      <c r="BB1440" s="2"/>
    </row>
    <row r="1441">
      <c r="A1441" s="2">
        <f>IFERROR(__xludf.DUMMYFUNCTION("""COMPUTED_VALUE"""),1437.0)</f>
        <v>1437</v>
      </c>
      <c r="B1441" s="2" t="str">
        <f>IFERROR(__xludf.DUMMYFUNCTION("""COMPUTED_VALUE"""),"COMPLETED")</f>
        <v>COMPLETED</v>
      </c>
      <c r="C1441" s="74">
        <f>IFERROR(__xludf.DUMMYFUNCTION("""COMPUTED_VALUE"""),46064.0)</f>
        <v>46064</v>
      </c>
      <c r="D1441" s="71" t="str">
        <f>IFERROR(__xludf.DUMMYFUNCTION("""COMPUTED_VALUE"""),"Rice-Up Irrigators and Farmers Agriculture Cooperative")</f>
        <v>Rice-Up Irrigators and Farmers Agriculture Cooperative</v>
      </c>
      <c r="E1441" s="71" t="str">
        <f>IFERROR(__xludf.DUMMYFUNCTION("""COMPUTED_VALUE"""),"Concepcion, Lubao, PAMPANGA")</f>
        <v>Concepcion, Lubao, PAMPANGA</v>
      </c>
      <c r="F1441" s="2" t="str">
        <f>IFERROR(__xludf.DUMMYFUNCTION("""COMPUTED_VALUE"""),"RODRIGO MONTEMAYOR")</f>
        <v>RODRIGO MONTEMAYOR</v>
      </c>
      <c r="G1441" s="2">
        <f>IFERROR(__xludf.DUMMYFUNCTION("""COMPUTED_VALUE"""),9.198253801E9)</f>
        <v>9198253801</v>
      </c>
      <c r="H1441" s="2">
        <f>IFERROR(__xludf.DUMMYFUNCTION("""COMPUTED_VALUE"""),64.0)</f>
        <v>64</v>
      </c>
      <c r="I1441" s="72" t="str">
        <f>IFERROR(__xludf.DUMMYFUNCTION("""COMPUTED_VALUE"""),"PMS")</f>
        <v>PMS</v>
      </c>
      <c r="J1441" s="72" t="str">
        <f>IFERROR(__xludf.DUMMYFUNCTION("""COMPUTED_VALUE"""),"PMS")</f>
        <v>PMS</v>
      </c>
      <c r="K1441" s="72" t="str">
        <f>IFERROR(__xludf.DUMMYFUNCTION("""COMPUTED_VALUE"""),"MYK: 1ST PMS FREE")</f>
        <v>MYK: 1ST PMS FREE</v>
      </c>
      <c r="L1441" s="72" t="str">
        <f>IFERROR(__xludf.DUMMYFUNCTION("""COMPUTED_VALUE"""),"EGT: 1ST PMS DONE")</f>
        <v>EGT: 1ST PMS DONE</v>
      </c>
      <c r="M1441" s="2"/>
      <c r="N1441" s="2" t="str">
        <f>IFERROR(__xludf.DUMMYFUNCTION("""COMPUTED_VALUE"""),"PARTS:
OIL FILTER
ENGINE OIL")</f>
        <v>PARTS:
OIL FILTER
ENGINE OIL</v>
      </c>
      <c r="O1441" s="2">
        <f>IFERROR(__xludf.DUMMYFUNCTION("""COMPUTED_VALUE"""),430.0)</f>
        <v>430</v>
      </c>
      <c r="P1441" s="2"/>
      <c r="Q1441" s="2" t="str">
        <f>IFERROR(__xludf.DUMMYFUNCTION("""COMPUTED_VALUE"""),"FOR PRINT")</f>
        <v>FOR PRINT</v>
      </c>
      <c r="R1441" s="74">
        <f>IFERROR(__xludf.DUMMYFUNCTION("""COMPUTED_VALUE"""),46076.0)</f>
        <v>46076</v>
      </c>
      <c r="S1441" s="2" t="str">
        <f>IFERROR(__xludf.DUMMYFUNCTION("""COMPUTED_VALUE"""),"EGT/DRM")</f>
        <v>EGT/DRM</v>
      </c>
      <c r="T1441" s="73" t="str">
        <f>IFERROR(__xludf.DUMMYFUNCTION("""COMPUTED_VALUE""")," N/A ")</f>
        <v>N/A</v>
      </c>
      <c r="U1441" s="73" t="str">
        <f>IFERROR(__xludf.DUMMYFUNCTION("""COMPUTED_VALUE""")," NO CHARGE ")</f>
        <v>NO CHARGE</v>
      </c>
      <c r="V1441" s="2"/>
      <c r="W1441" s="2" t="str">
        <f>IFERROR(__xludf.DUMMYFUNCTION("""COMPUTED_VALUE"""),"N/A")</f>
        <v>N/A</v>
      </c>
      <c r="X1441" s="2" t="str">
        <f>IFERROR(__xludf.DUMMYFUNCTION("""COMPUTED_VALUE"""),"N/A")</f>
        <v>N/A</v>
      </c>
      <c r="Y1441" s="2"/>
      <c r="Z1441" s="2"/>
      <c r="AA1441" s="2"/>
      <c r="AB1441" s="2"/>
      <c r="AC1441" s="2"/>
      <c r="AD1441" s="2"/>
      <c r="AE1441" s="2"/>
      <c r="AF1441" s="2"/>
      <c r="AG1441" s="2"/>
      <c r="AH1441" s="2"/>
      <c r="AI1441" s="2"/>
      <c r="AJ1441" s="2" t="str">
        <f>IFERROR(__xludf.DUMMYFUNCTION("""COMPUTED_VALUE"""),"Concepcion")</f>
        <v>Concepcion</v>
      </c>
      <c r="AK1441" s="2" t="str">
        <f>IFERROR(__xludf.DUMMYFUNCTION("""COMPUTED_VALUE"""),"Lubao")</f>
        <v>Lubao</v>
      </c>
      <c r="AL1441" s="2" t="str">
        <f>IFERROR(__xludf.DUMMYFUNCTION("""COMPUTED_VALUE"""),"Pampanga")</f>
        <v>Pampanga</v>
      </c>
      <c r="AM1441" s="2">
        <f>IFERROR(__xludf.DUMMYFUNCTION("""COMPUTED_VALUE"""),3.0)</f>
        <v>3</v>
      </c>
      <c r="AN1441" s="2" t="str">
        <f>IFERROR(__xludf.DUMMYFUNCTION("""COMPUTED_VALUE"""),"RCEF 25-03-05")</f>
        <v>RCEF 25-03-05</v>
      </c>
      <c r="AO1441" s="2">
        <f>IFERROR(__xludf.DUMMYFUNCTION("""COMPUTED_VALUE"""),5.0)</f>
        <v>5</v>
      </c>
      <c r="AP1441" s="2" t="str">
        <f>IFERROR(__xludf.DUMMYFUNCTION("""COMPUTED_VALUE"""),"FREE PMS")</f>
        <v>FREE PMS</v>
      </c>
      <c r="AQ1441" s="2"/>
      <c r="AR1441" s="2"/>
      <c r="AS1441" s="2"/>
      <c r="AT1441" s="2"/>
      <c r="AU1441" s="2"/>
      <c r="AV1441" s="2"/>
      <c r="AW1441" s="2"/>
      <c r="AX1441" s="2"/>
      <c r="AY1441" s="2"/>
      <c r="AZ1441" s="2"/>
      <c r="BA1441" s="2"/>
      <c r="BB1441" s="2"/>
    </row>
    <row r="1442">
      <c r="A1442" s="2">
        <f>IFERROR(__xludf.DUMMYFUNCTION("""COMPUTED_VALUE"""),1438.0)</f>
        <v>1438</v>
      </c>
      <c r="B1442" s="2" t="str">
        <f>IFERROR(__xludf.DUMMYFUNCTION("""COMPUTED_VALUE"""),"COMPLETED")</f>
        <v>COMPLETED</v>
      </c>
      <c r="C1442" s="74">
        <f>IFERROR(__xludf.DUMMYFUNCTION("""COMPUTED_VALUE"""),46064.0)</f>
        <v>46064</v>
      </c>
      <c r="D1442" s="71" t="str">
        <f>IFERROR(__xludf.DUMMYFUNCTION("""COMPUTED_VALUE"""),"MUNICIPAL LOCAL GOVERNMENT UNIT OF STO. DOMINGO")</f>
        <v>MUNICIPAL LOCAL GOVERNMENT UNIT OF STO. DOMINGO</v>
      </c>
      <c r="E1442" s="71" t="str">
        <f>IFERROR(__xludf.DUMMYFUNCTION("""COMPUTED_VALUE"""),"POBLACION , STO DOMINGO, ILOCOS SUR")</f>
        <v>POBLACION , STO DOMINGO, ILOCOS SUR</v>
      </c>
      <c r="F1442" s="2" t="str">
        <f>IFERROR(__xludf.DUMMYFUNCTION("""COMPUTED_VALUE"""),"JUN MIMMING")</f>
        <v>JUN MIMMING</v>
      </c>
      <c r="G1442" s="2">
        <f>IFERROR(__xludf.DUMMYFUNCTION("""COMPUTED_VALUE"""),9.559200384E9)</f>
        <v>9559200384</v>
      </c>
      <c r="H1442" s="2"/>
      <c r="I1442" s="72" t="str">
        <f>IFERROR(__xludf.DUMMYFUNCTION("""COMPUTED_VALUE"""),"SPARE PARTS ACQUISITION")</f>
        <v>SPARE PARTS ACQUISITION</v>
      </c>
      <c r="J1442" s="72" t="str">
        <f>IFERROR(__xludf.DUMMYFUNCTION("""COMPUTED_VALUE"""),"TRANSMISSION")</f>
        <v>TRANSMISSION</v>
      </c>
      <c r="K1442" s="72" t="str">
        <f>IFERROR(__xludf.DUMMYFUNCTION("""COMPUTED_VALUE"""),"Pangpandan Farmers Association
Pangpandan, Sto Domingo, Ilocos Sur
KFS: Parts request
Release Bearing
Pressure Plate
Clutch Lining")</f>
        <v>Pangpandan Farmers Association
Pangpandan, Sto Domingo, Ilocos Sur
KFS: Parts request
Release Bearing
Pressure Plate
Clutch Lining</v>
      </c>
      <c r="L1442" s="72" t="str">
        <f>IFERROR(__xludf.DUMMYFUNCTION("""COMPUTED_VALUE"""),"QUOTATION SENT - KAUSAPIN DAW MUNA ANG PRESIDENT NILA
2/9/26- RECEIVED CALL WILLING TO PAY (CLUTCH DISC ASSY ONLY)")</f>
        <v>QUOTATION SENT - KAUSAPIN DAW MUNA ANG PRESIDENT NILA
2/9/26- RECEIVED CALL WILLING TO PAY (CLUTCH DISC ASSY ONLY)</v>
      </c>
      <c r="M1442" s="2"/>
      <c r="N1442" s="2" t="str">
        <f>IFERROR(__xludf.DUMMYFUNCTION("""COMPUTED_VALUE"""),"PARTS:
CLUTCH DISC ASSY
note: parts from JTT")</f>
        <v>PARTS:
CLUTCH DISC ASSY
note: parts from JTT</v>
      </c>
      <c r="O1442" s="2" t="str">
        <f>IFERROR(__xludf.DUMMYFUNCTION("""COMPUTED_VALUE"""),"N/A")</f>
        <v>N/A</v>
      </c>
      <c r="P1442" s="2"/>
      <c r="Q1442" s="2"/>
      <c r="R1442" s="74">
        <f>IFERROR(__xludf.DUMMYFUNCTION("""COMPUTED_VALUE"""),46073.0)</f>
        <v>46073</v>
      </c>
      <c r="S1442" s="2" t="str">
        <f>IFERROR(__xludf.DUMMYFUNCTION("""COMPUTED_VALUE"""),"MYKEE")</f>
        <v>MYKEE</v>
      </c>
      <c r="T1442" s="73">
        <f>IFERROR(__xludf.DUMMYFUNCTION("""COMPUTED_VALUE"""),21330.0)</f>
        <v>21330</v>
      </c>
      <c r="U1442" s="73" t="str">
        <f>IFERROR(__xludf.DUMMYFUNCTION("""COMPUTED_VALUE""")," REMITTED ")</f>
        <v>REMITTED</v>
      </c>
      <c r="V1442" s="2">
        <f>IFERROR(__xludf.DUMMYFUNCTION("""COMPUTED_VALUE"""),1606.0)</f>
        <v>1606</v>
      </c>
      <c r="W1442" s="2">
        <f>IFERROR(__xludf.DUMMYFUNCTION("""COMPUTED_VALUE"""),1534.0)</f>
        <v>1534</v>
      </c>
      <c r="X1442" s="2"/>
      <c r="Y1442" s="2"/>
      <c r="Z1442" s="2"/>
      <c r="AA1442" s="2"/>
      <c r="AB1442" s="2"/>
      <c r="AC1442" s="2"/>
      <c r="AD1442" s="2"/>
      <c r="AE1442" s="2"/>
      <c r="AF1442" s="2"/>
      <c r="AG1442" s="2"/>
      <c r="AH1442" s="2"/>
      <c r="AI1442" s="2"/>
      <c r="AJ1442" s="2" t="str">
        <f>IFERROR(__xludf.DUMMYFUNCTION("""COMPUTED_VALUE"""),"Poblacion")</f>
        <v>Poblacion</v>
      </c>
      <c r="AK1442" s="2" t="str">
        <f>IFERROR(__xludf.DUMMYFUNCTION("""COMPUTED_VALUE"""),"Sto Domingo")</f>
        <v>Sto Domingo</v>
      </c>
      <c r="AL1442" s="2" t="str">
        <f>IFERROR(__xludf.DUMMYFUNCTION("""COMPUTED_VALUE"""),"Ilocos Sur")</f>
        <v>Ilocos Sur</v>
      </c>
      <c r="AM1442" s="2">
        <f>IFERROR(__xludf.DUMMYFUNCTION("""COMPUTED_VALUE"""),1.0)</f>
        <v>1</v>
      </c>
      <c r="AN1442" s="2" t="str">
        <f>IFERROR(__xludf.DUMMYFUNCTION("""COMPUTED_VALUE"""),"RCEF 23-09-21 Rebidding")</f>
        <v>RCEF 23-09-21 Rebidding</v>
      </c>
      <c r="AO1442" s="2">
        <f>IFERROR(__xludf.DUMMYFUNCTION("""COMPUTED_VALUE"""),2.0)</f>
        <v>2</v>
      </c>
      <c r="AP1442" s="2"/>
      <c r="AQ1442" s="2"/>
      <c r="AR1442" s="2"/>
      <c r="AS1442" s="2"/>
      <c r="AT1442" s="2"/>
      <c r="AU1442" s="2"/>
      <c r="AV1442" s="2"/>
      <c r="AW1442" s="2"/>
      <c r="AX1442" s="2"/>
      <c r="AY1442" s="2"/>
      <c r="AZ1442" s="2"/>
      <c r="BA1442" s="2"/>
      <c r="BB1442" s="2"/>
    </row>
    <row r="1443">
      <c r="A1443" s="2">
        <f>IFERROR(__xludf.DUMMYFUNCTION("""COMPUTED_VALUE"""),1439.0)</f>
        <v>1439</v>
      </c>
      <c r="B1443" s="2" t="str">
        <f>IFERROR(__xludf.DUMMYFUNCTION("""COMPUTED_VALUE"""),"COMPLETED")</f>
        <v>COMPLETED</v>
      </c>
      <c r="C1443" s="74">
        <f>IFERROR(__xludf.DUMMYFUNCTION("""COMPUTED_VALUE"""),46064.0)</f>
        <v>46064</v>
      </c>
      <c r="D1443" s="71" t="str">
        <f>IFERROR(__xludf.DUMMYFUNCTION("""COMPUTED_VALUE"""),"Nueva Ecija Maunlad na Pinas Agriculture Cooperative")</f>
        <v>Nueva Ecija Maunlad na Pinas Agriculture Cooperative</v>
      </c>
      <c r="E1443" s="71" t="str">
        <f>IFERROR(__xludf.DUMMYFUNCTION("""COMPUTED_VALUE"""),"Dicarma (Pob.), Cabanatuan City, NUEVA ECIJA")</f>
        <v>Dicarma (Pob.), Cabanatuan City, NUEVA ECIJA</v>
      </c>
      <c r="F1443" s="2" t="str">
        <f>IFERROR(__xludf.DUMMYFUNCTION("""COMPUTED_VALUE"""),"EDGAR AMORES    ")</f>
        <v>EDGAR AMORES    </v>
      </c>
      <c r="G1443" s="2">
        <f>IFERROR(__xludf.DUMMYFUNCTION("""COMPUTED_VALUE"""),9.358374418E9)</f>
        <v>9358374418</v>
      </c>
      <c r="H1443" s="2"/>
      <c r="I1443" s="72" t="str">
        <f>IFERROR(__xludf.DUMMYFUNCTION("""COMPUTED_VALUE"""),"REPAIR - TRACTOR")</f>
        <v>REPAIR - TRACTOR</v>
      </c>
      <c r="J1443" s="72" t="str">
        <f>IFERROR(__xludf.DUMMYFUNCTION("""COMPUTED_VALUE"""),"Training")</f>
        <v>Training</v>
      </c>
      <c r="K1443" s="72" t="str">
        <f>IFERROR(__xludf.DUMMYFUNCTION("""COMPUTED_VALUE"""),"EGT: Dina  maikabit yun loader , tinangal nun dati nag operate. Pakabit sana at macheck na din yun traktora sir")</f>
        <v>EGT: Dina  maikabit yun loader , tinangal nun dati nag operate. Pakabit sana at macheck na din yun traktora sir</v>
      </c>
      <c r="L1443" s="72" t="str">
        <f>IFERROR(__xludf.DUMMYFUNCTION("""COMPUTED_VALUE"""),"JHP: HINDI MAALAM ANG UNANG OPERATOR, NAGPALIT NALANG SILA NG BAGONG OPERATOR,
NATANGAL LAMANG ANG HOSE")</f>
        <v>JHP: HINDI MAALAM ANG UNANG OPERATOR, NAGPALIT NALANG SILA NG BAGONG OPERATOR,
NATANGAL LAMANG ANG HOSE</v>
      </c>
      <c r="M1443" s="2"/>
      <c r="N1443" s="2"/>
      <c r="O1443" s="2" t="str">
        <f>IFERROR(__xludf.DUMMYFUNCTION("""COMPUTED_VALUE"""),"N/A")</f>
        <v>N/A</v>
      </c>
      <c r="P1443" s="2"/>
      <c r="Q1443" s="2"/>
      <c r="R1443" s="74">
        <f>IFERROR(__xludf.DUMMYFUNCTION("""COMPUTED_VALUE"""),46092.0)</f>
        <v>46092</v>
      </c>
      <c r="S1443" s="2" t="str">
        <f>IFERROR(__xludf.DUMMYFUNCTION("""COMPUTED_VALUE"""),"JHP")</f>
        <v>JHP</v>
      </c>
      <c r="T1443" s="73" t="str">
        <f>IFERROR(__xludf.DUMMYFUNCTION("""COMPUTED_VALUE""")," N/A ")</f>
        <v>N/A</v>
      </c>
      <c r="U1443" s="73" t="str">
        <f>IFERROR(__xludf.DUMMYFUNCTION("""COMPUTED_VALUE""")," NO CHARGE ")</f>
        <v>NO CHARGE</v>
      </c>
      <c r="V1443" s="2" t="str">
        <f>IFERROR(__xludf.DUMMYFUNCTION("""COMPUTED_VALUE"""),"N/A")</f>
        <v>N/A</v>
      </c>
      <c r="W1443" s="2" t="str">
        <f>IFERROR(__xludf.DUMMYFUNCTION("""COMPUTED_VALUE"""),"N/A")</f>
        <v>N/A</v>
      </c>
      <c r="X1443" s="2" t="str">
        <f>IFERROR(__xludf.DUMMYFUNCTION("""COMPUTED_VALUE"""),"N/A")</f>
        <v>N/A</v>
      </c>
      <c r="Y1443" s="2"/>
      <c r="Z1443" s="2"/>
      <c r="AA1443" s="2"/>
      <c r="AB1443" s="2"/>
      <c r="AC1443" s="2"/>
      <c r="AD1443" s="2"/>
      <c r="AE1443" s="2"/>
      <c r="AF1443" s="2"/>
      <c r="AG1443" s="2"/>
      <c r="AH1443" s="2"/>
      <c r="AI1443" s="2"/>
      <c r="AJ1443" s="2" t="str">
        <f>IFERROR(__xludf.DUMMYFUNCTION("""COMPUTED_VALUE"""),"Dicarma (Pob.)")</f>
        <v>Dicarma (Pob.)</v>
      </c>
      <c r="AK1443" s="2" t="str">
        <f>IFERROR(__xludf.DUMMYFUNCTION("""COMPUTED_VALUE"""),"Cabanatuan City")</f>
        <v>Cabanatuan City</v>
      </c>
      <c r="AL1443" s="2" t="str">
        <f>IFERROR(__xludf.DUMMYFUNCTION("""COMPUTED_VALUE"""),"Nueva Ecija")</f>
        <v>Nueva Ecija</v>
      </c>
      <c r="AM1443" s="2">
        <f>IFERROR(__xludf.DUMMYFUNCTION("""COMPUTED_VALUE"""),3.0)</f>
        <v>3</v>
      </c>
      <c r="AN1443" s="2" t="str">
        <f>IFERROR(__xludf.DUMMYFUNCTION("""COMPUTED_VALUE"""),"Repeat Order")</f>
        <v>Repeat Order</v>
      </c>
      <c r="AO1443" s="2">
        <f>IFERROR(__xludf.DUMMYFUNCTION("""COMPUTED_VALUE"""),6.0)</f>
        <v>6</v>
      </c>
      <c r="AP1443" s="2" t="str">
        <f>IFERROR(__xludf.DUMMYFUNCTION("""COMPUTED_VALUE"""),"FREE PMS")</f>
        <v>FREE PMS</v>
      </c>
      <c r="AQ1443" s="2"/>
      <c r="AR1443" s="2"/>
      <c r="AS1443" s="2"/>
      <c r="AT1443" s="2"/>
      <c r="AU1443" s="2"/>
      <c r="AV1443" s="2"/>
      <c r="AW1443" s="2"/>
      <c r="AX1443" s="2"/>
      <c r="AY1443" s="2"/>
      <c r="AZ1443" s="2"/>
      <c r="BA1443" s="2"/>
      <c r="BB1443" s="2"/>
    </row>
    <row r="1444">
      <c r="A1444" s="2">
        <f>IFERROR(__xludf.DUMMYFUNCTION("""COMPUTED_VALUE"""),1440.0)</f>
        <v>1440</v>
      </c>
      <c r="B1444" s="2" t="str">
        <f>IFERROR(__xludf.DUMMYFUNCTION("""COMPUTED_VALUE"""),"COMPLETED")</f>
        <v>COMPLETED</v>
      </c>
      <c r="C1444" s="74">
        <f>IFERROR(__xludf.DUMMYFUNCTION("""COMPUTED_VALUE"""),46065.0)</f>
        <v>46065</v>
      </c>
      <c r="D1444" s="71" t="str">
        <f>IFERROR(__xludf.DUMMYFUNCTION("""COMPUTED_VALUE"""),"MUNICIPAL LOCAL GOVERNMENT UNIT OF SANTA MARIA")</f>
        <v>MUNICIPAL LOCAL GOVERNMENT UNIT OF SANTA MARIA</v>
      </c>
      <c r="E1444" s="71" t="str">
        <f>IFERROR(__xludf.DUMMYFUNCTION("""COMPUTED_VALUE"""),"Poblacion, Santa Maria, BULACAN")</f>
        <v>Poblacion, Santa Maria, BULACAN</v>
      </c>
      <c r="F1444" s="2" t="str">
        <f>IFERROR(__xludf.DUMMYFUNCTION("""COMPUTED_VALUE"""),"RONIEL REYES")</f>
        <v>RONIEL REYES</v>
      </c>
      <c r="G1444" s="2">
        <f>IFERROR(__xludf.DUMMYFUNCTION("""COMPUTED_VALUE"""),9.758870947E9)</f>
        <v>9758870947</v>
      </c>
      <c r="H1444" s="2">
        <f>IFERROR(__xludf.DUMMYFUNCTION("""COMPUTED_VALUE"""),50.0)</f>
        <v>50</v>
      </c>
      <c r="I1444" s="72" t="str">
        <f>IFERROR(__xludf.DUMMYFUNCTION("""COMPUTED_VALUE"""),"PMS")</f>
        <v>PMS</v>
      </c>
      <c r="J1444" s="72" t="str">
        <f>IFERROR(__xludf.DUMMYFUNCTION("""COMPUTED_VALUE"""),"PMS")</f>
        <v>PMS</v>
      </c>
      <c r="K1444" s="72" t="str">
        <f>IFERROR(__xludf.DUMMYFUNCTION("""COMPUTED_VALUE"""),"MYK: 1ST PMS FREE")</f>
        <v>MYK: 1ST PMS FREE</v>
      </c>
      <c r="L1444" s="72" t="str">
        <f>IFERROR(__xludf.DUMMYFUNCTION("""COMPUTED_VALUE"""),"JTT: 1ST PMS DONE")</f>
        <v>JTT: 1ST PMS DONE</v>
      </c>
      <c r="M1444" s="2"/>
      <c r="N1444" s="2" t="str">
        <f>IFERROR(__xludf.DUMMYFUNCTION("""COMPUTED_VALUE"""),"PARTS:
OIL FILTER
ENGINE OIL")</f>
        <v>PARTS:
OIL FILTER
ENGINE OIL</v>
      </c>
      <c r="O1444" s="2">
        <f>IFERROR(__xludf.DUMMYFUNCTION("""COMPUTED_VALUE"""),391.0)</f>
        <v>391</v>
      </c>
      <c r="P1444" s="2"/>
      <c r="Q1444" s="2" t="str">
        <f>IFERROR(__xludf.DUMMYFUNCTION("""COMPUTED_VALUE"""),"FOR PRINT")</f>
        <v>FOR PRINT</v>
      </c>
      <c r="R1444" s="74">
        <f>IFERROR(__xludf.DUMMYFUNCTION("""COMPUTED_VALUE"""),46076.0)</f>
        <v>46076</v>
      </c>
      <c r="S1444" s="2" t="str">
        <f>IFERROR(__xludf.DUMMYFUNCTION("""COMPUTED_VALUE"""),"JTT/OJT")</f>
        <v>JTT/OJT</v>
      </c>
      <c r="T1444" s="73" t="str">
        <f>IFERROR(__xludf.DUMMYFUNCTION("""COMPUTED_VALUE""")," N/A ")</f>
        <v>N/A</v>
      </c>
      <c r="U1444" s="73" t="str">
        <f>IFERROR(__xludf.DUMMYFUNCTION("""COMPUTED_VALUE""")," NO CHARGE ")</f>
        <v>NO CHARGE</v>
      </c>
      <c r="V1444" s="2" t="str">
        <f>IFERROR(__xludf.DUMMYFUNCTION("""COMPUTED_VALUE"""),"NO DR")</f>
        <v>NO DR</v>
      </c>
      <c r="W1444" s="2" t="str">
        <f>IFERROR(__xludf.DUMMYFUNCTION("""COMPUTED_VALUE"""),"N/A")</f>
        <v>N/A</v>
      </c>
      <c r="X1444" s="2" t="str">
        <f>IFERROR(__xludf.DUMMYFUNCTION("""COMPUTED_VALUE"""),"N/A")</f>
        <v>N/A</v>
      </c>
      <c r="Y1444" s="2"/>
      <c r="Z1444" s="2"/>
      <c r="AA1444" s="2"/>
      <c r="AB1444" s="2"/>
      <c r="AC1444" s="2"/>
      <c r="AD1444" s="2"/>
      <c r="AE1444" s="2"/>
      <c r="AF1444" s="2"/>
      <c r="AG1444" s="2"/>
      <c r="AH1444" s="2"/>
      <c r="AI1444" s="2"/>
      <c r="AJ1444" s="2" t="str">
        <f>IFERROR(__xludf.DUMMYFUNCTION("""COMPUTED_VALUE"""),"Poblacion")</f>
        <v>Poblacion</v>
      </c>
      <c r="AK1444" s="2" t="str">
        <f>IFERROR(__xludf.DUMMYFUNCTION("""COMPUTED_VALUE"""),"Santa Maria")</f>
        <v>Santa Maria</v>
      </c>
      <c r="AL1444" s="2" t="str">
        <f>IFERROR(__xludf.DUMMYFUNCTION("""COMPUTED_VALUE"""),"Bulacan")</f>
        <v>Bulacan</v>
      </c>
      <c r="AM1444" s="2">
        <f>IFERROR(__xludf.DUMMYFUNCTION("""COMPUTED_VALUE"""),3.0)</f>
        <v>3</v>
      </c>
      <c r="AN1444" s="2" t="str">
        <f>IFERROR(__xludf.DUMMYFUNCTION("""COMPUTED_VALUE"""),"RCEF 25-03-05")</f>
        <v>RCEF 25-03-05</v>
      </c>
      <c r="AO1444" s="2">
        <f>IFERROR(__xludf.DUMMYFUNCTION("""COMPUTED_VALUE"""),5.0)</f>
        <v>5</v>
      </c>
      <c r="AP1444" s="2" t="str">
        <f>IFERROR(__xludf.DUMMYFUNCTION("""COMPUTED_VALUE"""),"FREE PMS")</f>
        <v>FREE PMS</v>
      </c>
      <c r="AQ1444" s="2"/>
      <c r="AR1444" s="2"/>
      <c r="AS1444" s="2"/>
      <c r="AT1444" s="2"/>
      <c r="AU1444" s="2"/>
      <c r="AV1444" s="2"/>
      <c r="AW1444" s="2"/>
      <c r="AX1444" s="2"/>
      <c r="AY1444" s="2"/>
      <c r="AZ1444" s="2"/>
      <c r="BA1444" s="2"/>
      <c r="BB1444" s="2"/>
    </row>
    <row r="1445">
      <c r="A1445" s="2">
        <f>IFERROR(__xludf.DUMMYFUNCTION("""COMPUTED_VALUE"""),1441.0)</f>
        <v>1441</v>
      </c>
      <c r="B1445" s="2" t="str">
        <f>IFERROR(__xludf.DUMMYFUNCTION("""COMPUTED_VALUE"""),"COMPLETED")</f>
        <v>COMPLETED</v>
      </c>
      <c r="C1445" s="74">
        <f>IFERROR(__xludf.DUMMYFUNCTION("""COMPUTED_VALUE"""),46065.0)</f>
        <v>46065</v>
      </c>
      <c r="D1445" s="71" t="str">
        <f>IFERROR(__xludf.DUMMYFUNCTION("""COMPUTED_VALUE"""),"Aurora Federation of Farmers and Irrigators Association, Inc.")</f>
        <v>Aurora Federation of Farmers and Irrigators Association, Inc.</v>
      </c>
      <c r="E1445" s="71" t="str">
        <f>IFERROR(__xludf.DUMMYFUNCTION("""COMPUTED_VALUE"""),"Barangay IV (Pob.), San Luis, AURORA")</f>
        <v>Barangay IV (Pob.), San Luis, AURORA</v>
      </c>
      <c r="F1445" s="2"/>
      <c r="G1445" s="2"/>
      <c r="H1445" s="2"/>
      <c r="I1445" s="72" t="str">
        <f>IFERROR(__xludf.DUMMYFUNCTION("""COMPUTED_VALUE"""),"PMS")</f>
        <v>PMS</v>
      </c>
      <c r="J1445" s="72" t="str">
        <f>IFERROR(__xludf.DUMMYFUNCTION("""COMPUTED_VALUE"""),"PMS")</f>
        <v>PMS</v>
      </c>
      <c r="K1445" s="72" t="str">
        <f>IFERROR(__xludf.DUMMYFUNCTION("""COMPUTED_VALUE"""),"MYK: 1ST PMS FREE")</f>
        <v>MYK: 1ST PMS FREE</v>
      </c>
      <c r="L1445" s="72" t="str">
        <f>IFERROR(__xludf.DUMMYFUNCTION("""COMPUTED_VALUE"""),"DSD:  1ST MS DONE")</f>
        <v>DSD:  1ST MS DONE</v>
      </c>
      <c r="M1445" s="2"/>
      <c r="N1445" s="2" t="str">
        <f>IFERROR(__xludf.DUMMYFUNCTION("""COMPUTED_VALUE"""),"PARTS:
OIL FILTER
ENGINE OIL")</f>
        <v>PARTS:
OIL FILTER
ENGINE OIL</v>
      </c>
      <c r="O1445" s="2">
        <f>IFERROR(__xludf.DUMMYFUNCTION("""COMPUTED_VALUE"""),852.0)</f>
        <v>852</v>
      </c>
      <c r="P1445" s="2"/>
      <c r="Q1445" s="2" t="str">
        <f>IFERROR(__xludf.DUMMYFUNCTION("""COMPUTED_VALUE"""),"FOR PRINT")</f>
        <v>FOR PRINT</v>
      </c>
      <c r="R1445" s="74">
        <f>IFERROR(__xludf.DUMMYFUNCTION("""COMPUTED_VALUE"""),46065.0)</f>
        <v>46065</v>
      </c>
      <c r="S1445" s="2" t="str">
        <f>IFERROR(__xludf.DUMMYFUNCTION("""COMPUTED_VALUE"""),"DSD/ACS/OJT")</f>
        <v>DSD/ACS/OJT</v>
      </c>
      <c r="T1445" s="73" t="str">
        <f>IFERROR(__xludf.DUMMYFUNCTION("""COMPUTED_VALUE""")," N/A ")</f>
        <v>N/A</v>
      </c>
      <c r="U1445" s="73" t="str">
        <f>IFERROR(__xludf.DUMMYFUNCTION("""COMPUTED_VALUE""")," RECORDED ")</f>
        <v>RECORDED</v>
      </c>
      <c r="V1445" s="2">
        <f>IFERROR(__xludf.DUMMYFUNCTION("""COMPUTED_VALUE"""),2004.0)</f>
        <v>2004</v>
      </c>
      <c r="W1445" s="2" t="str">
        <f>IFERROR(__xludf.DUMMYFUNCTION("""COMPUTED_VALUE"""),"N/A")</f>
        <v>N/A</v>
      </c>
      <c r="X1445" s="2" t="str">
        <f>IFERROR(__xludf.DUMMYFUNCTION("""COMPUTED_VALUE"""),"N/A")</f>
        <v>N/A</v>
      </c>
      <c r="Y1445" s="2"/>
      <c r="Z1445" s="2"/>
      <c r="AA1445" s="2"/>
      <c r="AB1445" s="2"/>
      <c r="AC1445" s="2"/>
      <c r="AD1445" s="2"/>
      <c r="AE1445" s="2"/>
      <c r="AF1445" s="2"/>
      <c r="AG1445" s="2"/>
      <c r="AH1445" s="2"/>
      <c r="AI1445" s="2"/>
      <c r="AJ1445" s="2" t="str">
        <f>IFERROR(__xludf.DUMMYFUNCTION("""COMPUTED_VALUE"""),"Barangay Iv (Pob.)")</f>
        <v>Barangay Iv (Pob.)</v>
      </c>
      <c r="AK1445" s="2" t="str">
        <f>IFERROR(__xludf.DUMMYFUNCTION("""COMPUTED_VALUE"""),"San Luis")</f>
        <v>San Luis</v>
      </c>
      <c r="AL1445" s="2" t="str">
        <f>IFERROR(__xludf.DUMMYFUNCTION("""COMPUTED_VALUE"""),"Aurora")</f>
        <v>Aurora</v>
      </c>
      <c r="AM1445" s="2">
        <f>IFERROR(__xludf.DUMMYFUNCTION("""COMPUTED_VALUE"""),3.0)</f>
        <v>3</v>
      </c>
      <c r="AN1445" s="2" t="str">
        <f>IFERROR(__xludf.DUMMYFUNCTION("""COMPUTED_VALUE"""),"RCEF 25-03-05")</f>
        <v>RCEF 25-03-05</v>
      </c>
      <c r="AO1445" s="2">
        <f>IFERROR(__xludf.DUMMYFUNCTION("""COMPUTED_VALUE"""),5.0)</f>
        <v>5</v>
      </c>
      <c r="AP1445" s="2" t="str">
        <f>IFERROR(__xludf.DUMMYFUNCTION("""COMPUTED_VALUE"""),"FREE PMS")</f>
        <v>FREE PMS</v>
      </c>
      <c r="AQ1445" s="2"/>
      <c r="AR1445" s="2"/>
      <c r="AS1445" s="2"/>
      <c r="AT1445" s="2"/>
      <c r="AU1445" s="2"/>
      <c r="AV1445" s="2"/>
      <c r="AW1445" s="2"/>
      <c r="AX1445" s="2"/>
      <c r="AY1445" s="2"/>
      <c r="AZ1445" s="2"/>
      <c r="BA1445" s="2"/>
      <c r="BB1445" s="2"/>
    </row>
    <row r="1446">
      <c r="A1446" s="2">
        <f>IFERROR(__xludf.DUMMYFUNCTION("""COMPUTED_VALUE"""),1442.0)</f>
        <v>1442</v>
      </c>
      <c r="B1446" s="2" t="str">
        <f>IFERROR(__xludf.DUMMYFUNCTION("""COMPUTED_VALUE"""),"COMPLETED")</f>
        <v>COMPLETED</v>
      </c>
      <c r="C1446" s="74">
        <f>IFERROR(__xludf.DUMMYFUNCTION("""COMPUTED_VALUE"""),46065.0)</f>
        <v>46065</v>
      </c>
      <c r="D1446" s="71" t="str">
        <f>IFERROR(__xludf.DUMMYFUNCTION("""COMPUTED_VALUE"""),"Municipal Local Government Unit of Dipaculao")</f>
        <v>Municipal Local Government Unit of Dipaculao</v>
      </c>
      <c r="E1446" s="71" t="str">
        <f>IFERROR(__xludf.DUMMYFUNCTION("""COMPUTED_VALUE"""),"North Poblacion, Dipaculao, AURORA")</f>
        <v>North Poblacion, Dipaculao, AURORA</v>
      </c>
      <c r="F1446" s="2" t="str">
        <f>IFERROR(__xludf.DUMMYFUNCTION("""COMPUTED_VALUE"""),"Reynaldo Abrero")</f>
        <v>Reynaldo Abrero</v>
      </c>
      <c r="G1446" s="2">
        <f>IFERROR(__xludf.DUMMYFUNCTION("""COMPUTED_VALUE"""),9.190011023E9)</f>
        <v>9190011023</v>
      </c>
      <c r="H1446" s="2">
        <f>IFERROR(__xludf.DUMMYFUNCTION("""COMPUTED_VALUE"""),32.0)</f>
        <v>32</v>
      </c>
      <c r="I1446" s="72" t="str">
        <f>IFERROR(__xludf.DUMMYFUNCTION("""COMPUTED_VALUE"""),"PMS")</f>
        <v>PMS</v>
      </c>
      <c r="J1446" s="72" t="str">
        <f>IFERROR(__xludf.DUMMYFUNCTION("""COMPUTED_VALUE"""),"PMS")</f>
        <v>PMS</v>
      </c>
      <c r="K1446" s="72" t="str">
        <f>IFERROR(__xludf.DUMMYFUNCTION("""COMPUTED_VALUE"""),"MYK: 1ST PMS FREE")</f>
        <v>MYK: 1ST PMS FREE</v>
      </c>
      <c r="L1446" s="72" t="str">
        <f>IFERROR(__xludf.DUMMYFUNCTION("""COMPUTED_VALUE"""),"DSD: 1ST PMS DONE")</f>
        <v>DSD: 1ST PMS DONE</v>
      </c>
      <c r="M1446" s="2"/>
      <c r="N1446" s="2" t="str">
        <f>IFERROR(__xludf.DUMMYFUNCTION("""COMPUTED_VALUE"""),"PARTS:
OIL FILTER
ENGINE OIL")</f>
        <v>PARTS:
OIL FILTER
ENGINE OIL</v>
      </c>
      <c r="O1446" s="2">
        <f>IFERROR(__xludf.DUMMYFUNCTION("""COMPUTED_VALUE"""),851.0)</f>
        <v>851</v>
      </c>
      <c r="P1446" s="2"/>
      <c r="Q1446" s="2" t="str">
        <f>IFERROR(__xludf.DUMMYFUNCTION("""COMPUTED_VALUE"""),"FOR PRINT")</f>
        <v>FOR PRINT</v>
      </c>
      <c r="R1446" s="74">
        <f>IFERROR(__xludf.DUMMYFUNCTION("""COMPUTED_VALUE"""),46065.0)</f>
        <v>46065</v>
      </c>
      <c r="S1446" s="2" t="str">
        <f>IFERROR(__xludf.DUMMYFUNCTION("""COMPUTED_VALUE"""),"DSD/ACS/OJT")</f>
        <v>DSD/ACS/OJT</v>
      </c>
      <c r="T1446" s="73" t="str">
        <f>IFERROR(__xludf.DUMMYFUNCTION("""COMPUTED_VALUE""")," N/A ")</f>
        <v>N/A</v>
      </c>
      <c r="U1446" s="73" t="str">
        <f>IFERROR(__xludf.DUMMYFUNCTION("""COMPUTED_VALUE""")," NO CHARGE ")</f>
        <v>NO CHARGE</v>
      </c>
      <c r="V1446" s="2"/>
      <c r="W1446" s="2" t="str">
        <f>IFERROR(__xludf.DUMMYFUNCTION("""COMPUTED_VALUE"""),"N/A")</f>
        <v>N/A</v>
      </c>
      <c r="X1446" s="2" t="str">
        <f>IFERROR(__xludf.DUMMYFUNCTION("""COMPUTED_VALUE"""),"N/A ")</f>
        <v>N/A </v>
      </c>
      <c r="Y1446" s="2"/>
      <c r="Z1446" s="2"/>
      <c r="AA1446" s="2"/>
      <c r="AB1446" s="2"/>
      <c r="AC1446" s="2"/>
      <c r="AD1446" s="2"/>
      <c r="AE1446" s="2"/>
      <c r="AF1446" s="2"/>
      <c r="AG1446" s="2"/>
      <c r="AH1446" s="2"/>
      <c r="AI1446" s="2"/>
      <c r="AJ1446" s="2" t="str">
        <f>IFERROR(__xludf.DUMMYFUNCTION("""COMPUTED_VALUE"""),"North Poblacion")</f>
        <v>North Poblacion</v>
      </c>
      <c r="AK1446" s="2" t="str">
        <f>IFERROR(__xludf.DUMMYFUNCTION("""COMPUTED_VALUE"""),"Dipaculao")</f>
        <v>Dipaculao</v>
      </c>
      <c r="AL1446" s="2" t="str">
        <f>IFERROR(__xludf.DUMMYFUNCTION("""COMPUTED_VALUE"""),"Aurora")</f>
        <v>Aurora</v>
      </c>
      <c r="AM1446" s="2">
        <f>IFERROR(__xludf.DUMMYFUNCTION("""COMPUTED_VALUE"""),3.0)</f>
        <v>3</v>
      </c>
      <c r="AN1446" s="2" t="str">
        <f>IFERROR(__xludf.DUMMYFUNCTION("""COMPUTED_VALUE"""),"RCEF 25-03-05")</f>
        <v>RCEF 25-03-05</v>
      </c>
      <c r="AO1446" s="2">
        <f>IFERROR(__xludf.DUMMYFUNCTION("""COMPUTED_VALUE"""),5.0)</f>
        <v>5</v>
      </c>
      <c r="AP1446" s="2" t="str">
        <f>IFERROR(__xludf.DUMMYFUNCTION("""COMPUTED_VALUE"""),"FREE PMS")</f>
        <v>FREE PMS</v>
      </c>
      <c r="AQ1446" s="2"/>
      <c r="AR1446" s="2"/>
      <c r="AS1446" s="2"/>
      <c r="AT1446" s="2"/>
      <c r="AU1446" s="2"/>
      <c r="AV1446" s="2"/>
      <c r="AW1446" s="2"/>
      <c r="AX1446" s="2"/>
      <c r="AY1446" s="2"/>
      <c r="AZ1446" s="2"/>
      <c r="BA1446" s="2"/>
      <c r="BB1446" s="2"/>
    </row>
    <row r="1447">
      <c r="A1447" s="2">
        <f>IFERROR(__xludf.DUMMYFUNCTION("""COMPUTED_VALUE"""),1443.0)</f>
        <v>1443</v>
      </c>
      <c r="B1447" s="2" t="str">
        <f>IFERROR(__xludf.DUMMYFUNCTION("""COMPUTED_VALUE"""),"COMPLETED")</f>
        <v>COMPLETED</v>
      </c>
      <c r="C1447" s="74">
        <f>IFERROR(__xludf.DUMMYFUNCTION("""COMPUTED_VALUE"""),46066.0)</f>
        <v>46066</v>
      </c>
      <c r="D1447" s="71" t="str">
        <f>IFERROR(__xludf.DUMMYFUNCTION("""COMPUTED_VALUE"""),"MUNICIPAL LOCAL GOVERNMENT OF LAUR")</f>
        <v>MUNICIPAL LOCAL GOVERNMENT OF LAUR</v>
      </c>
      <c r="E1447" s="71" t="str">
        <f>IFERROR(__xludf.DUMMYFUNCTION("""COMPUTED_VALUE"""),"Barangay III (Pob.), Laur, NUEVA ECIJA")</f>
        <v>Barangay III (Pob.), Laur, NUEVA ECIJA</v>
      </c>
      <c r="F1447" s="2" t="str">
        <f>IFERROR(__xludf.DUMMYFUNCTION("""COMPUTED_VALUE"""),"John Arvin Fausto")</f>
        <v>John Arvin Fausto</v>
      </c>
      <c r="G1447" s="2">
        <f>IFERROR(__xludf.DUMMYFUNCTION("""COMPUTED_VALUE"""),9.362900527E9)</f>
        <v>9362900527</v>
      </c>
      <c r="H1447" s="2"/>
      <c r="I1447" s="72" t="str">
        <f>IFERROR(__xludf.DUMMYFUNCTION("""COMPUTED_VALUE"""),"SPARE PARTS ACQUISITION")</f>
        <v>SPARE PARTS ACQUISITION</v>
      </c>
      <c r="J1447" s="72"/>
      <c r="K1447" s="72" t="str">
        <f>IFERROR(__xludf.DUMMYFUNCTION("""COMPUTED_VALUE"""),"PARTS REQUEST:
CLUTCH DISC ASSY
RELEASE BEARING")</f>
        <v>PARTS REQUEST:
CLUTCH DISC ASSY
RELEASE BEARING</v>
      </c>
      <c r="L1447" s="72" t="str">
        <f>IFERROR(__xludf.DUMMYFUNCTION("""COMPUTED_VALUE"""),"QUOTATION SENT WITH VAT -  SENT PAYMENT AGREEMENT TO SIGN - 
6/4/26 - FWD THE PHILGEPS TO FCA - ")</f>
        <v>QUOTATION SENT WITH VAT -  SENT PAYMENT AGREEMENT TO SIGN - 
6/4/26 - FWD THE PHILGEPS TO FCA - </v>
      </c>
      <c r="M1447" s="2"/>
      <c r="N1447" s="2" t="str">
        <f>IFERROR(__xludf.DUMMYFUNCTION("""COMPUTED_VALUE"""),"PARTS:
CLUJTCH DISC ASSY
RELEASE BEARING TK45")</f>
        <v>PARTS:
CLUJTCH DISC ASSY
RELEASE BEARING TK45</v>
      </c>
      <c r="O1447" s="2" t="str">
        <f>IFERROR(__xludf.DUMMYFUNCTION("""COMPUTED_VALUE"""),"N/A")</f>
        <v>N/A</v>
      </c>
      <c r="P1447" s="2"/>
      <c r="Q1447" s="2"/>
      <c r="R1447" s="74">
        <f>IFERROR(__xludf.DUMMYFUNCTION("""COMPUTED_VALUE"""),46078.0)</f>
        <v>46078</v>
      </c>
      <c r="S1447" s="2" t="str">
        <f>IFERROR(__xludf.DUMMYFUNCTION("""COMPUTED_VALUE"""),"MYKEE/CTF")</f>
        <v>MYKEE/CTF</v>
      </c>
      <c r="T1447" s="73">
        <f>IFERROR(__xludf.DUMMYFUNCTION("""COMPUTED_VALUE"""),27550.0)</f>
        <v>27550</v>
      </c>
      <c r="U1447" s="73" t="str">
        <f>IFERROR(__xludf.DUMMYFUNCTION("""COMPUTED_VALUE""")," FOR COLLECTION ")</f>
        <v>FOR COLLECTION</v>
      </c>
      <c r="V1447" s="2">
        <f>IFERROR(__xludf.DUMMYFUNCTION("""COMPUTED_VALUE"""),1607.0)</f>
        <v>1607</v>
      </c>
      <c r="W1447" s="2"/>
      <c r="X1447" s="2"/>
      <c r="Y1447" s="2"/>
      <c r="Z1447" s="2"/>
      <c r="AA1447" s="2"/>
      <c r="AB1447" s="2"/>
      <c r="AC1447" s="2"/>
      <c r="AD1447" s="2"/>
      <c r="AE1447" s="2"/>
      <c r="AF1447" s="2"/>
      <c r="AG1447" s="2"/>
      <c r="AH1447" s="2"/>
      <c r="AI1447" s="2"/>
      <c r="AJ1447" s="2" t="str">
        <f>IFERROR(__xludf.DUMMYFUNCTION("""COMPUTED_VALUE"""),"Barangay Iii (Pob.)")</f>
        <v>Barangay Iii (Pob.)</v>
      </c>
      <c r="AK1447" s="2" t="str">
        <f>IFERROR(__xludf.DUMMYFUNCTION("""COMPUTED_VALUE"""),"Laur")</f>
        <v>Laur</v>
      </c>
      <c r="AL1447" s="2" t="str">
        <f>IFERROR(__xludf.DUMMYFUNCTION("""COMPUTED_VALUE"""),"Nueva Ecija")</f>
        <v>Nueva Ecija</v>
      </c>
      <c r="AM1447" s="2">
        <f>IFERROR(__xludf.DUMMYFUNCTION("""COMPUTED_VALUE"""),3.0)</f>
        <v>3</v>
      </c>
      <c r="AN1447" s="2" t="str">
        <f>IFERROR(__xludf.DUMMYFUNCTION("""COMPUTED_VALUE"""),"RCEF 24-04-15")</f>
        <v>RCEF 24-04-15</v>
      </c>
      <c r="AO1447" s="2">
        <f>IFERROR(__xludf.DUMMYFUNCTION("""COMPUTED_VALUE"""),6.0)</f>
        <v>6</v>
      </c>
      <c r="AP1447" s="2" t="str">
        <f>IFERROR(__xludf.DUMMYFUNCTION("""COMPUTED_VALUE"""),"FREE PMS")</f>
        <v>FREE PMS</v>
      </c>
      <c r="AQ1447" s="2"/>
      <c r="AR1447" s="2"/>
      <c r="AS1447" s="2"/>
      <c r="AT1447" s="2"/>
      <c r="AU1447" s="2"/>
      <c r="AV1447" s="2"/>
      <c r="AW1447" s="2"/>
      <c r="AX1447" s="2"/>
      <c r="AY1447" s="2"/>
      <c r="AZ1447" s="2"/>
      <c r="BA1447" s="2"/>
      <c r="BB1447" s="2"/>
    </row>
    <row r="1448">
      <c r="A1448" s="2">
        <f>IFERROR(__xludf.DUMMYFUNCTION("""COMPUTED_VALUE"""),1444.0)</f>
        <v>1444</v>
      </c>
      <c r="B1448" s="2" t="str">
        <f>IFERROR(__xludf.DUMMYFUNCTION("""COMPUTED_VALUE"""),"COMPLETED")</f>
        <v>COMPLETED</v>
      </c>
      <c r="C1448" s="74">
        <f>IFERROR(__xludf.DUMMYFUNCTION("""COMPUTED_VALUE"""),46066.0)</f>
        <v>46066</v>
      </c>
      <c r="D1448" s="71" t="str">
        <f>IFERROR(__xludf.DUMMYFUNCTION("""COMPUTED_VALUE"""),"Aranguren Agriculture Cooperative (AA Coop)")</f>
        <v>Aranguren Agriculture Cooperative (AA Coop)</v>
      </c>
      <c r="E1448" s="71" t="str">
        <f>IFERROR(__xludf.DUMMYFUNCTION("""COMPUTED_VALUE"""),"Aranguren, Capas, TARLAC")</f>
        <v>Aranguren, Capas, TARLAC</v>
      </c>
      <c r="F1448" s="2" t="str">
        <f>IFERROR(__xludf.DUMMYFUNCTION("""COMPUTED_VALUE"""),"Benedict S. Macalolooy")</f>
        <v>Benedict S. Macalolooy</v>
      </c>
      <c r="G1448" s="2">
        <f>IFERROR(__xludf.DUMMYFUNCTION("""COMPUTED_VALUE"""),9.302387766E9)</f>
        <v>9302387766</v>
      </c>
      <c r="H1448" s="2">
        <f>IFERROR(__xludf.DUMMYFUNCTION("""COMPUTED_VALUE"""),70.0)</f>
        <v>70</v>
      </c>
      <c r="I1448" s="72" t="str">
        <f>IFERROR(__xludf.DUMMYFUNCTION("""COMPUTED_VALUE"""),"PMS")</f>
        <v>PMS</v>
      </c>
      <c r="J1448" s="72" t="str">
        <f>IFERROR(__xludf.DUMMYFUNCTION("""COMPUTED_VALUE"""),"PMS")</f>
        <v>PMS</v>
      </c>
      <c r="K1448" s="72" t="str">
        <f>IFERROR(__xludf.DUMMYFUNCTION("""COMPUTED_VALUE"""),"MYK: 1ST PMS FREE")</f>
        <v>MYK: 1ST PMS FREE</v>
      </c>
      <c r="L1448" s="72" t="str">
        <f>IFERROR(__xludf.DUMMYFUNCTION("""COMPUTED_VALUE"""),"JVV: 1ST PMS DONE")</f>
        <v>JVV: 1ST PMS DONE</v>
      </c>
      <c r="M1448" s="2"/>
      <c r="N1448" s="2" t="str">
        <f>IFERROR(__xludf.DUMMYFUNCTION("""COMPUTED_VALUE"""),"PARTS:
OIL FILTER
ENGINE OIL")</f>
        <v>PARTS:
OIL FILTER
ENGINE OIL</v>
      </c>
      <c r="O1448" s="2">
        <f>IFERROR(__xludf.DUMMYFUNCTION("""COMPUTED_VALUE"""),872.0)</f>
        <v>872</v>
      </c>
      <c r="P1448" s="2"/>
      <c r="Q1448" s="2" t="str">
        <f>IFERROR(__xludf.DUMMYFUNCTION("""COMPUTED_VALUE"""),"FOR PRINT")</f>
        <v>FOR PRINT</v>
      </c>
      <c r="R1448" s="74">
        <f>IFERROR(__xludf.DUMMYFUNCTION("""COMPUTED_VALUE"""),46094.0)</f>
        <v>46094</v>
      </c>
      <c r="S1448" s="2" t="str">
        <f>IFERROR(__xludf.DUMMYFUNCTION("""COMPUTED_VALUE"""),"JVV")</f>
        <v>JVV</v>
      </c>
      <c r="T1448" s="73" t="str">
        <f>IFERROR(__xludf.DUMMYFUNCTION("""COMPUTED_VALUE""")," N/A ")</f>
        <v>N/A</v>
      </c>
      <c r="U1448" s="73" t="str">
        <f>IFERROR(__xludf.DUMMYFUNCTION("""COMPUTED_VALUE""")," NO CHARGE ")</f>
        <v>NO CHARGE</v>
      </c>
      <c r="V1448" s="2" t="str">
        <f>IFERROR(__xludf.DUMMYFUNCTION("""COMPUTED_VALUE"""),"NO DR")</f>
        <v>NO DR</v>
      </c>
      <c r="W1448" s="2" t="str">
        <f>IFERROR(__xludf.DUMMYFUNCTION("""COMPUTED_VALUE"""),"N/A")</f>
        <v>N/A</v>
      </c>
      <c r="X1448" s="2" t="str">
        <f>IFERROR(__xludf.DUMMYFUNCTION("""COMPUTED_VALUE"""),"N/A")</f>
        <v>N/A</v>
      </c>
      <c r="Y1448" s="2"/>
      <c r="Z1448" s="2"/>
      <c r="AA1448" s="2"/>
      <c r="AB1448" s="2"/>
      <c r="AC1448" s="2"/>
      <c r="AD1448" s="2"/>
      <c r="AE1448" s="2"/>
      <c r="AF1448" s="2"/>
      <c r="AG1448" s="2"/>
      <c r="AH1448" s="2"/>
      <c r="AI1448" s="2"/>
      <c r="AJ1448" s="2" t="str">
        <f>IFERROR(__xludf.DUMMYFUNCTION("""COMPUTED_VALUE"""),"Aranguren")</f>
        <v>Aranguren</v>
      </c>
      <c r="AK1448" s="2" t="str">
        <f>IFERROR(__xludf.DUMMYFUNCTION("""COMPUTED_VALUE"""),"Capas")</f>
        <v>Capas</v>
      </c>
      <c r="AL1448" s="2" t="str">
        <f>IFERROR(__xludf.DUMMYFUNCTION("""COMPUTED_VALUE"""),"Tarlac")</f>
        <v>Tarlac</v>
      </c>
      <c r="AM1448" s="2">
        <f>IFERROR(__xludf.DUMMYFUNCTION("""COMPUTED_VALUE"""),3.0)</f>
        <v>3</v>
      </c>
      <c r="AN1448" s="2" t="str">
        <f>IFERROR(__xludf.DUMMYFUNCTION("""COMPUTED_VALUE"""),"RCEF 25-03-05")</f>
        <v>RCEF 25-03-05</v>
      </c>
      <c r="AO1448" s="2">
        <f>IFERROR(__xludf.DUMMYFUNCTION("""COMPUTED_VALUE"""),5.0)</f>
        <v>5</v>
      </c>
      <c r="AP1448" s="2" t="str">
        <f>IFERROR(__xludf.DUMMYFUNCTION("""COMPUTED_VALUE"""),"FREE PMS")</f>
        <v>FREE PMS</v>
      </c>
      <c r="AQ1448" s="2"/>
      <c r="AR1448" s="2"/>
      <c r="AS1448" s="2"/>
      <c r="AT1448" s="2"/>
      <c r="AU1448" s="2"/>
      <c r="AV1448" s="2"/>
      <c r="AW1448" s="2"/>
      <c r="AX1448" s="2"/>
      <c r="AY1448" s="2"/>
      <c r="AZ1448" s="2"/>
      <c r="BA1448" s="2"/>
      <c r="BB1448" s="2"/>
    </row>
    <row r="1449">
      <c r="A1449" s="2">
        <f>IFERROR(__xludf.DUMMYFUNCTION("""COMPUTED_VALUE"""),1445.0)</f>
        <v>1445</v>
      </c>
      <c r="B1449" s="2" t="str">
        <f>IFERROR(__xludf.DUMMYFUNCTION("""COMPUTED_VALUE"""),"COMPLETED")</f>
        <v>COMPLETED</v>
      </c>
      <c r="C1449" s="74">
        <f>IFERROR(__xludf.DUMMYFUNCTION("""COMPUTED_VALUE"""),46066.0)</f>
        <v>46066</v>
      </c>
      <c r="D1449" s="71" t="str">
        <f>IFERROR(__xludf.DUMMYFUNCTION("""COMPUTED_VALUE"""),"DIOME FARMERS ASSOCIATION")</f>
        <v>DIOME FARMERS ASSOCIATION</v>
      </c>
      <c r="E1449" s="71" t="str">
        <f>IFERROR(__xludf.DUMMYFUNCTION("""COMPUTED_VALUE"""),"Diome, Maria Aurora, AURORA")</f>
        <v>Diome, Maria Aurora, AURORA</v>
      </c>
      <c r="F1449" s="2" t="str">
        <f>IFERROR(__xludf.DUMMYFUNCTION("""COMPUTED_VALUE"""),"PERLITA A. ABACO")</f>
        <v>PERLITA A. ABACO</v>
      </c>
      <c r="G1449" s="2"/>
      <c r="H1449" s="2">
        <f>IFERROR(__xludf.DUMMYFUNCTION("""COMPUTED_VALUE"""),9.4)</f>
        <v>9.4</v>
      </c>
      <c r="I1449" s="72" t="str">
        <f>IFERROR(__xludf.DUMMYFUNCTION("""COMPUTED_VALUE"""),"PMS")</f>
        <v>PMS</v>
      </c>
      <c r="J1449" s="72" t="str">
        <f>IFERROR(__xludf.DUMMYFUNCTION("""COMPUTED_VALUE"""),"PMS")</f>
        <v>PMS</v>
      </c>
      <c r="K1449" s="72" t="str">
        <f>IFERROR(__xludf.DUMMYFUNCTION("""COMPUTED_VALUE"""),"DSD: 1ST PMS FREE")</f>
        <v>DSD: 1ST PMS FREE</v>
      </c>
      <c r="L1449" s="72" t="str">
        <f>IFERROR(__xludf.DUMMYFUNCTION("""COMPUTED_VALUE"""),"DSD: NAG IWAN NALANG PO KAMI NG ENGINE OIL AT OIL FILTER, NATURUAN DIN PO NAMIN ANG OPERATOR KUNG PAPANO I PMS .")</f>
        <v>DSD: NAG IWAN NALANG PO KAMI NG ENGINE OIL AT OIL FILTER, NATURUAN DIN PO NAMIN ANG OPERATOR KUNG PAPANO I PMS .</v>
      </c>
      <c r="M1449" s="2"/>
      <c r="N1449" s="2" t="str">
        <f>IFERROR(__xludf.DUMMYFUNCTION("""COMPUTED_VALUE"""),"PARTS:
ENGINE OIL 
OIL FILTER")</f>
        <v>PARTS:
ENGINE OIL 
OIL FILTER</v>
      </c>
      <c r="O1449" s="2">
        <f>IFERROR(__xludf.DUMMYFUNCTION("""COMPUTED_VALUE"""),865.0)</f>
        <v>865</v>
      </c>
      <c r="P1449" s="2"/>
      <c r="Q1449" s="2" t="str">
        <f>IFERROR(__xludf.DUMMYFUNCTION("""COMPUTED_VALUE"""),"FOR PRINT")</f>
        <v>FOR PRINT</v>
      </c>
      <c r="R1449" s="74">
        <f>IFERROR(__xludf.DUMMYFUNCTION("""COMPUTED_VALUE"""),46066.0)</f>
        <v>46066</v>
      </c>
      <c r="S1449" s="2" t="str">
        <f>IFERROR(__xludf.DUMMYFUNCTION("""COMPUTED_VALUE"""),"DSD/ACS/OJT")</f>
        <v>DSD/ACS/OJT</v>
      </c>
      <c r="T1449" s="73" t="str">
        <f>IFERROR(__xludf.DUMMYFUNCTION("""COMPUTED_VALUE""")," N/A ")</f>
        <v>N/A</v>
      </c>
      <c r="U1449" s="73" t="str">
        <f>IFERROR(__xludf.DUMMYFUNCTION("""COMPUTED_VALUE""")," RECORDED ")</f>
        <v>RECORDED</v>
      </c>
      <c r="V1449" s="2">
        <f>IFERROR(__xludf.DUMMYFUNCTION("""COMPUTED_VALUE"""),2008.0)</f>
        <v>2008</v>
      </c>
      <c r="W1449" s="2" t="str">
        <f>IFERROR(__xludf.DUMMYFUNCTION("""COMPUTED_VALUE"""),"N/A")</f>
        <v>N/A</v>
      </c>
      <c r="X1449" s="2" t="str">
        <f>IFERROR(__xludf.DUMMYFUNCTION("""COMPUTED_VALUE"""),"N/A")</f>
        <v>N/A</v>
      </c>
      <c r="Y1449" s="2"/>
      <c r="Z1449" s="2"/>
      <c r="AA1449" s="2"/>
      <c r="AB1449" s="2"/>
      <c r="AC1449" s="2"/>
      <c r="AD1449" s="2"/>
      <c r="AE1449" s="2"/>
      <c r="AF1449" s="2"/>
      <c r="AG1449" s="2"/>
      <c r="AH1449" s="2"/>
      <c r="AI1449" s="2"/>
      <c r="AJ1449" s="2" t="str">
        <f>IFERROR(__xludf.DUMMYFUNCTION("""COMPUTED_VALUE"""),"Diome")</f>
        <v>Diome</v>
      </c>
      <c r="AK1449" s="2" t="str">
        <f>IFERROR(__xludf.DUMMYFUNCTION("""COMPUTED_VALUE"""),"Maria Aurora")</f>
        <v>Maria Aurora</v>
      </c>
      <c r="AL1449" s="2" t="str">
        <f>IFERROR(__xludf.DUMMYFUNCTION("""COMPUTED_VALUE"""),"Aurora")</f>
        <v>Aurora</v>
      </c>
      <c r="AM1449" s="2">
        <f>IFERROR(__xludf.DUMMYFUNCTION("""COMPUTED_VALUE"""),3.0)</f>
        <v>3</v>
      </c>
      <c r="AN1449" s="2" t="str">
        <f>IFERROR(__xludf.DUMMYFUNCTION("""COMPUTED_VALUE"""),"RCEF 25-03-05")</f>
        <v>RCEF 25-03-05</v>
      </c>
      <c r="AO1449" s="2">
        <f>IFERROR(__xludf.DUMMYFUNCTION("""COMPUTED_VALUE"""),5.0)</f>
        <v>5</v>
      </c>
      <c r="AP1449" s="2" t="str">
        <f>IFERROR(__xludf.DUMMYFUNCTION("""COMPUTED_VALUE"""),"FREE PMS")</f>
        <v>FREE PMS</v>
      </c>
      <c r="AQ1449" s="2"/>
      <c r="AR1449" s="2"/>
      <c r="AS1449" s="2"/>
      <c r="AT1449" s="2"/>
      <c r="AU1449" s="2"/>
      <c r="AV1449" s="2"/>
      <c r="AW1449" s="2"/>
      <c r="AX1449" s="2"/>
      <c r="AY1449" s="2"/>
      <c r="AZ1449" s="2"/>
      <c r="BA1449" s="2"/>
      <c r="BB1449" s="2"/>
    </row>
    <row r="1450">
      <c r="A1450" s="2">
        <f>IFERROR(__xludf.DUMMYFUNCTION("""COMPUTED_VALUE"""),1446.0)</f>
        <v>1446</v>
      </c>
      <c r="B1450" s="2" t="str">
        <f>IFERROR(__xludf.DUMMYFUNCTION("""COMPUTED_VALUE"""),"COMPLETED")</f>
        <v>COMPLETED</v>
      </c>
      <c r="C1450" s="74">
        <f>IFERROR(__xludf.DUMMYFUNCTION("""COMPUTED_VALUE"""),46069.0)</f>
        <v>46069</v>
      </c>
      <c r="D1450" s="71" t="str">
        <f>IFERROR(__xludf.DUMMYFUNCTION("""COMPUTED_VALUE"""),"City Local Government Unit of Sorsogon")</f>
        <v>City Local Government Unit of Sorsogon</v>
      </c>
      <c r="E1450" s="71" t="str">
        <f>IFERROR(__xludf.DUMMYFUNCTION("""COMPUTED_VALUE"""),"Cabid-An, Sorsogon City, SORSOGON")</f>
        <v>Cabid-An, Sorsogon City, SORSOGON</v>
      </c>
      <c r="F1450" s="2" t="str">
        <f>IFERROR(__xludf.DUMMYFUNCTION("""COMPUTED_VALUE"""),"Cris Legaspi")</f>
        <v>Cris Legaspi</v>
      </c>
      <c r="G1450" s="2">
        <f>IFERROR(__xludf.DUMMYFUNCTION("""COMPUTED_VALUE"""),9.9149468E9)</f>
        <v>9914946800</v>
      </c>
      <c r="H1450" s="2">
        <f>IFERROR(__xludf.DUMMYFUNCTION("""COMPUTED_VALUE"""),46.0)</f>
        <v>46</v>
      </c>
      <c r="I1450" s="72" t="str">
        <f>IFERROR(__xludf.DUMMYFUNCTION("""COMPUTED_VALUE"""),"REPAIR - LOADER")</f>
        <v>REPAIR - LOADER</v>
      </c>
      <c r="J1450" s="72" t="str">
        <f>IFERROR(__xludf.DUMMYFUNCTION("""COMPUTED_VALUE"""),"Cable lock")</f>
        <v>Cable lock</v>
      </c>
      <c r="K1450" s="72" t="str">
        <f>IFERROR(__xludf.DUMMYFUNCTION("""COMPUTED_VALUE"""),"FPJ:  Joystick Poblem ( di umaangat at baba ang bucket)")</f>
        <v>FPJ:  Joystick Poblem ( di umaangat at baba ang bucket)</v>
      </c>
      <c r="L1450" s="72" t="str">
        <f>IFERROR(__xludf.DUMMYFUNCTION("""COMPUTED_VALUE"""),"FPJ: REPLACED FABRICATED HYDRAULIC CABLE LOCK")</f>
        <v>FPJ: REPLACED FABRICATED HYDRAULIC CABLE LOCK</v>
      </c>
      <c r="M1450" s="2"/>
      <c r="N1450" s="2" t="str">
        <f>IFERROR(__xludf.DUMMYFUNCTION("""COMPUTED_VALUE"""),"PARTS:
FABRICATED CABLE LOCK (OUTSOURCE)")</f>
        <v>PARTS:
FABRICATED CABLE LOCK (OUTSOURCE)</v>
      </c>
      <c r="O1450" s="2">
        <f>IFERROR(__xludf.DUMMYFUNCTION("""COMPUTED_VALUE"""),572.0)</f>
        <v>572</v>
      </c>
      <c r="P1450" s="2"/>
      <c r="Q1450" s="2" t="str">
        <f>IFERROR(__xludf.DUMMYFUNCTION("""COMPUTED_VALUE"""),"FOR PRINT")</f>
        <v>FOR PRINT</v>
      </c>
      <c r="R1450" s="74">
        <f>IFERROR(__xludf.DUMMYFUNCTION("""COMPUTED_VALUE"""),46077.0)</f>
        <v>46077</v>
      </c>
      <c r="S1450" s="2" t="str">
        <f>IFERROR(__xludf.DUMMYFUNCTION("""COMPUTED_VALUE"""),"FPJ/JAH")</f>
        <v>FPJ/JAH</v>
      </c>
      <c r="T1450" s="73" t="str">
        <f>IFERROR(__xludf.DUMMYFUNCTION("""COMPUTED_VALUE""")," N/A ")</f>
        <v>N/A</v>
      </c>
      <c r="U1450" s="73" t="str">
        <f>IFERROR(__xludf.DUMMYFUNCTION("""COMPUTED_VALUE""")," NO CHARGE ")</f>
        <v>NO CHARGE</v>
      </c>
      <c r="V1450" s="2"/>
      <c r="W1450" s="2" t="str">
        <f>IFERROR(__xludf.DUMMYFUNCTION("""COMPUTED_VALUE"""),"N/A")</f>
        <v>N/A</v>
      </c>
      <c r="X1450" s="2" t="str">
        <f>IFERROR(__xludf.DUMMYFUNCTION("""COMPUTED_VALUE"""),"N/A")</f>
        <v>N/A</v>
      </c>
      <c r="Y1450" s="2"/>
      <c r="Z1450" s="2"/>
      <c r="AA1450" s="2"/>
      <c r="AB1450" s="2"/>
      <c r="AC1450" s="2"/>
      <c r="AD1450" s="2"/>
      <c r="AE1450" s="2"/>
      <c r="AF1450" s="2"/>
      <c r="AG1450" s="2"/>
      <c r="AH1450" s="2"/>
      <c r="AI1450" s="2"/>
      <c r="AJ1450" s="2" t="str">
        <f>IFERROR(__xludf.DUMMYFUNCTION("""COMPUTED_VALUE"""),"Cabid-An")</f>
        <v>Cabid-An</v>
      </c>
      <c r="AK1450" s="2" t="str">
        <f>IFERROR(__xludf.DUMMYFUNCTION("""COMPUTED_VALUE"""),"Sorsogon City")</f>
        <v>Sorsogon City</v>
      </c>
      <c r="AL1450" s="2" t="str">
        <f>IFERROR(__xludf.DUMMYFUNCTION("""COMPUTED_VALUE"""),"Sorsogon")</f>
        <v>Sorsogon</v>
      </c>
      <c r="AM1450" s="2">
        <f>IFERROR(__xludf.DUMMYFUNCTION("""COMPUTED_VALUE"""),5.0)</f>
        <v>5</v>
      </c>
      <c r="AN1450" s="2" t="str">
        <f>IFERROR(__xludf.DUMMYFUNCTION("""COMPUTED_VALUE"""),"RCEF 25-03-05")</f>
        <v>RCEF 25-03-05</v>
      </c>
      <c r="AO1450" s="2">
        <f>IFERROR(__xludf.DUMMYFUNCTION("""COMPUTED_VALUE"""),6.0)</f>
        <v>6</v>
      </c>
      <c r="AP1450" s="2" t="str">
        <f>IFERROR(__xludf.DUMMYFUNCTION("""COMPUTED_VALUE"""),"FREE PMS")</f>
        <v>FREE PMS</v>
      </c>
      <c r="AQ1450" s="2"/>
      <c r="AR1450" s="2"/>
      <c r="AS1450" s="2"/>
      <c r="AT1450" s="2"/>
      <c r="AU1450" s="2"/>
      <c r="AV1450" s="2"/>
      <c r="AW1450" s="2"/>
      <c r="AX1450" s="2"/>
      <c r="AY1450" s="2"/>
      <c r="AZ1450" s="2"/>
      <c r="BA1450" s="2"/>
      <c r="BB1450" s="2"/>
    </row>
    <row r="1451">
      <c r="A1451" s="2">
        <f>IFERROR(__xludf.DUMMYFUNCTION("""COMPUTED_VALUE"""),1447.0)</f>
        <v>1447</v>
      </c>
      <c r="B1451" s="2" t="str">
        <f>IFERROR(__xludf.DUMMYFUNCTION("""COMPUTED_VALUE"""),"COMPLETED")</f>
        <v>COMPLETED</v>
      </c>
      <c r="C1451" s="74">
        <f>IFERROR(__xludf.DUMMYFUNCTION("""COMPUTED_VALUE"""),46069.0)</f>
        <v>46069</v>
      </c>
      <c r="D1451" s="71" t="str">
        <f>IFERROR(__xludf.DUMMYFUNCTION("""COMPUTED_VALUE"""),"ROSARIANS ARBs AND FARMERS ASSOCIATION INC.")</f>
        <v>ROSARIANS ARBs AND FARMERS ASSOCIATION INC.</v>
      </c>
      <c r="E1451" s="71" t="str">
        <f>IFERROR(__xludf.DUMMYFUNCTION("""COMPUTED_VALUE"""),"Sto. Rosario, Candaba, Pampanga")</f>
        <v>Sto. Rosario, Candaba, Pampanga</v>
      </c>
      <c r="F1451" s="2" t="str">
        <f>IFERROR(__xludf.DUMMYFUNCTION("""COMPUTED_VALUE"""),"ROLANDO S. CARREON")</f>
        <v>ROLANDO S. CARREON</v>
      </c>
      <c r="G1451" s="2">
        <f>IFERROR(__xludf.DUMMYFUNCTION("""COMPUTED_VALUE"""),9.059464452E9)</f>
        <v>9059464452</v>
      </c>
      <c r="H1451" s="2">
        <f>IFERROR(__xludf.DUMMYFUNCTION("""COMPUTED_VALUE"""),50.0)</f>
        <v>50</v>
      </c>
      <c r="I1451" s="72" t="str">
        <f>IFERROR(__xludf.DUMMYFUNCTION("""COMPUTED_VALUE"""),"PMS")</f>
        <v>PMS</v>
      </c>
      <c r="J1451" s="72" t="str">
        <f>IFERROR(__xludf.DUMMYFUNCTION("""COMPUTED_VALUE"""),"PMS")</f>
        <v>PMS</v>
      </c>
      <c r="K1451" s="72" t="str">
        <f>IFERROR(__xludf.DUMMYFUNCTION("""COMPUTED_VALUE"""),"MYK: 1ST PMS FREE")</f>
        <v>MYK: 1ST PMS FREE</v>
      </c>
      <c r="L1451" s="72" t="str">
        <f>IFERROR(__xludf.DUMMYFUNCTION("""COMPUTED_VALUE"""),"EGT: 1ST PMS DONE")</f>
        <v>EGT: 1ST PMS DONE</v>
      </c>
      <c r="M1451" s="2"/>
      <c r="N1451" s="2" t="str">
        <f>IFERROR(__xludf.DUMMYFUNCTION("""COMPUTED_VALUE"""),"PARTS:
ENGINE OIL 
OIL FILTER")</f>
        <v>PARTS:
ENGINE OIL 
OIL FILTER</v>
      </c>
      <c r="O1451" s="2">
        <f>IFERROR(__xludf.DUMMYFUNCTION("""COMPUTED_VALUE"""),429.0)</f>
        <v>429</v>
      </c>
      <c r="P1451" s="2"/>
      <c r="Q1451" s="2" t="str">
        <f>IFERROR(__xludf.DUMMYFUNCTION("""COMPUTED_VALUE"""),"FOR PRINT")</f>
        <v>FOR PRINT</v>
      </c>
      <c r="R1451" s="74">
        <f>IFERROR(__xludf.DUMMYFUNCTION("""COMPUTED_VALUE"""),46066.0)</f>
        <v>46066</v>
      </c>
      <c r="S1451" s="2" t="str">
        <f>IFERROR(__xludf.DUMMYFUNCTION("""COMPUTED_VALUE"""),"EGT/DRM")</f>
        <v>EGT/DRM</v>
      </c>
      <c r="T1451" s="73" t="str">
        <f>IFERROR(__xludf.DUMMYFUNCTION("""COMPUTED_VALUE""")," N/A ")</f>
        <v>N/A</v>
      </c>
      <c r="U1451" s="73" t="str">
        <f>IFERROR(__xludf.DUMMYFUNCTION("""COMPUTED_VALUE""")," NO CHARGE ")</f>
        <v>NO CHARGE</v>
      </c>
      <c r="V1451" s="2"/>
      <c r="W1451" s="2" t="str">
        <f>IFERROR(__xludf.DUMMYFUNCTION("""COMPUTED_VALUE"""),"N/A")</f>
        <v>N/A</v>
      </c>
      <c r="X1451" s="2" t="str">
        <f>IFERROR(__xludf.DUMMYFUNCTION("""COMPUTED_VALUE"""),"N/A")</f>
        <v>N/A</v>
      </c>
      <c r="Y1451" s="2"/>
      <c r="Z1451" s="2"/>
      <c r="AA1451" s="2"/>
      <c r="AB1451" s="2"/>
      <c r="AC1451" s="2"/>
      <c r="AD1451" s="2"/>
      <c r="AE1451" s="2"/>
      <c r="AF1451" s="2"/>
      <c r="AG1451" s="2"/>
      <c r="AH1451" s="2"/>
      <c r="AI1451" s="2"/>
      <c r="AJ1451" s="2" t="str">
        <f>IFERROR(__xludf.DUMMYFUNCTION("""COMPUTED_VALUE"""),"Sto. Rosario")</f>
        <v>Sto. Rosario</v>
      </c>
      <c r="AK1451" s="2" t="str">
        <f>IFERROR(__xludf.DUMMYFUNCTION("""COMPUTED_VALUE"""),"Candaba")</f>
        <v>Candaba</v>
      </c>
      <c r="AL1451" s="2" t="str">
        <f>IFERROR(__xludf.DUMMYFUNCTION("""COMPUTED_VALUE"""),"Pampanga")</f>
        <v>Pampanga</v>
      </c>
      <c r="AM1451" s="2">
        <f>IFERROR(__xludf.DUMMYFUNCTION("""COMPUTED_VALUE"""),3.0)</f>
        <v>3</v>
      </c>
      <c r="AN1451" s="2" t="str">
        <f>IFERROR(__xludf.DUMMYFUNCTION("""COMPUTED_VALUE"""),"RCEF 25-03-05")</f>
        <v>RCEF 25-03-05</v>
      </c>
      <c r="AO1451" s="2">
        <f>IFERROR(__xludf.DUMMYFUNCTION("""COMPUTED_VALUE"""),5.0)</f>
        <v>5</v>
      </c>
      <c r="AP1451" s="2" t="str">
        <f>IFERROR(__xludf.DUMMYFUNCTION("""COMPUTED_VALUE"""),"FREE PMS")</f>
        <v>FREE PMS</v>
      </c>
      <c r="AQ1451" s="2"/>
      <c r="AR1451" s="2"/>
      <c r="AS1451" s="2"/>
      <c r="AT1451" s="2"/>
      <c r="AU1451" s="2"/>
      <c r="AV1451" s="2"/>
      <c r="AW1451" s="2"/>
      <c r="AX1451" s="2"/>
      <c r="AY1451" s="2"/>
      <c r="AZ1451" s="2"/>
      <c r="BA1451" s="2"/>
      <c r="BB1451" s="2"/>
    </row>
    <row r="1452">
      <c r="A1452" s="2">
        <f>IFERROR(__xludf.DUMMYFUNCTION("""COMPUTED_VALUE"""),1448.0)</f>
        <v>1448</v>
      </c>
      <c r="B1452" s="2" t="str">
        <f>IFERROR(__xludf.DUMMYFUNCTION("""COMPUTED_VALUE"""),"COMPLETED")</f>
        <v>COMPLETED</v>
      </c>
      <c r="C1452" s="74">
        <f>IFERROR(__xludf.DUMMYFUNCTION("""COMPUTED_VALUE"""),46069.0)</f>
        <v>46069</v>
      </c>
      <c r="D1452" s="71" t="str">
        <f>IFERROR(__xludf.DUMMYFUNCTION("""COMPUTED_VALUE"""),"BARANGAY SAN VICENTE FARMERS AND IRRIGATORS ASSOCIATION")</f>
        <v>BARANGAY SAN VICENTE FARMERS AND IRRIGATORS ASSOCIATION</v>
      </c>
      <c r="E1452" s="71" t="str">
        <f>IFERROR(__xludf.DUMMYFUNCTION("""COMPUTED_VALUE"""),"San Vicente, Alaminos City, PANGASINAN")</f>
        <v>San Vicente, Alaminos City, PANGASINAN</v>
      </c>
      <c r="F1452" s="2" t="str">
        <f>IFERROR(__xludf.DUMMYFUNCTION("""COMPUTED_VALUE"""),"LILIA GRGORIO")</f>
        <v>LILIA GRGORIO</v>
      </c>
      <c r="G1452" s="2">
        <f>IFERROR(__xludf.DUMMYFUNCTION("""COMPUTED_VALUE"""),9.663929219E9)</f>
        <v>9663929219</v>
      </c>
      <c r="H1452" s="2">
        <f>IFERROR(__xludf.DUMMYFUNCTION("""COMPUTED_VALUE"""),285.0)</f>
        <v>285</v>
      </c>
      <c r="I1452" s="72" t="str">
        <f>IFERROR(__xludf.DUMMYFUNCTION("""COMPUTED_VALUE"""),"PMS")</f>
        <v>PMS</v>
      </c>
      <c r="J1452" s="72" t="str">
        <f>IFERROR(__xludf.DUMMYFUNCTION("""COMPUTED_VALUE"""),"PMS")</f>
        <v>PMS</v>
      </c>
      <c r="K1452" s="72" t="str">
        <f>IFERROR(__xludf.DUMMYFUNCTION("""COMPUTED_VALUE"""),"DATE DELIVERED: FEBRUARY 2025
MYK: MAY TAGAS ANG DALAWANG GULONG SA HARAP")</f>
        <v>DATE DELIVERED: FEBRUARY 2025
MYK: MAY TAGAS ANG DALAWANG GULONG SA HARAP</v>
      </c>
      <c r="L1452" s="72" t="str">
        <f>IFERROR(__xludf.DUMMYFUNCTION("""COMPUTED_VALUE"""),"EGT: DELIVERED FRONT AXLE OILSEAL")</f>
        <v>EGT: DELIVERED FRONT AXLE OILSEAL</v>
      </c>
      <c r="M1452" s="2"/>
      <c r="N1452" s="2" t="str">
        <f>IFERROR(__xludf.DUMMYFUNCTION("""COMPUTED_VALUE"""),"PARTS:
2 -  OIL SEAL TA00041359")</f>
        <v>PARTS:
2 -  OIL SEAL TA00041359</v>
      </c>
      <c r="O1452" s="2">
        <f>IFERROR(__xludf.DUMMYFUNCTION("""COMPUTED_VALUE"""),433.0)</f>
        <v>433</v>
      </c>
      <c r="P1452" s="2"/>
      <c r="Q1452" s="2" t="str">
        <f>IFERROR(__xludf.DUMMYFUNCTION("""COMPUTED_VALUE"""),"FOR PRINT")</f>
        <v>FOR PRINT</v>
      </c>
      <c r="R1452" s="74">
        <f>IFERROR(__xludf.DUMMYFUNCTION("""COMPUTED_VALUE"""),46078.0)</f>
        <v>46078</v>
      </c>
      <c r="S1452" s="2" t="str">
        <f>IFERROR(__xludf.DUMMYFUNCTION("""COMPUTED_VALUE"""),"EGT/DRM")</f>
        <v>EGT/DRM</v>
      </c>
      <c r="T1452" s="73">
        <f>IFERROR(__xludf.DUMMYFUNCTION("""COMPUTED_VALUE"""),6760.0)</f>
        <v>6760</v>
      </c>
      <c r="U1452" s="73" t="str">
        <f>IFERROR(__xludf.DUMMYFUNCTION("""COMPUTED_VALUE""")," REMITTED ")</f>
        <v>REMITTED</v>
      </c>
      <c r="V1452" s="2">
        <f>IFERROR(__xludf.DUMMYFUNCTION("""COMPUTED_VALUE"""),1319.0)</f>
        <v>1319</v>
      </c>
      <c r="W1452" s="2">
        <f>IFERROR(__xludf.DUMMYFUNCTION("""COMPUTED_VALUE"""),1676.0)</f>
        <v>1676</v>
      </c>
      <c r="X1452" s="2"/>
      <c r="Y1452" s="2"/>
      <c r="Z1452" s="2"/>
      <c r="AA1452" s="2"/>
      <c r="AB1452" s="2"/>
      <c r="AC1452" s="2"/>
      <c r="AD1452" s="2"/>
      <c r="AE1452" s="2"/>
      <c r="AF1452" s="2"/>
      <c r="AG1452" s="2"/>
      <c r="AH1452" s="2"/>
      <c r="AI1452" s="2"/>
      <c r="AJ1452" s="2" t="str">
        <f>IFERROR(__xludf.DUMMYFUNCTION("""COMPUTED_VALUE"""),"San Vicente")</f>
        <v>San Vicente</v>
      </c>
      <c r="AK1452" s="2" t="str">
        <f>IFERROR(__xludf.DUMMYFUNCTION("""COMPUTED_VALUE"""),"Alaminos City")</f>
        <v>Alaminos City</v>
      </c>
      <c r="AL1452" s="2" t="str">
        <f>IFERROR(__xludf.DUMMYFUNCTION("""COMPUTED_VALUE"""),"Pangasinan")</f>
        <v>Pangasinan</v>
      </c>
      <c r="AM1452" s="2">
        <f>IFERROR(__xludf.DUMMYFUNCTION("""COMPUTED_VALUE"""),1.0)</f>
        <v>1</v>
      </c>
      <c r="AN1452" s="2" t="str">
        <f>IFERROR(__xludf.DUMMYFUNCTION("""COMPUTED_VALUE"""),"RCEF 24-04-15")</f>
        <v>RCEF 24-04-15</v>
      </c>
      <c r="AO1452" s="2">
        <f>IFERROR(__xludf.DUMMYFUNCTION("""COMPUTED_VALUE"""),6.0)</f>
        <v>6</v>
      </c>
      <c r="AP1452" s="2" t="str">
        <f>IFERROR(__xludf.DUMMYFUNCTION("""COMPUTED_VALUE"""),"FREE PMS")</f>
        <v>FREE PMS</v>
      </c>
      <c r="AQ1452" s="2"/>
      <c r="AR1452" s="2"/>
      <c r="AS1452" s="2"/>
      <c r="AT1452" s="2"/>
      <c r="AU1452" s="2"/>
      <c r="AV1452" s="2"/>
      <c r="AW1452" s="2"/>
      <c r="AX1452" s="2"/>
      <c r="AY1452" s="2"/>
      <c r="AZ1452" s="2"/>
      <c r="BA1452" s="2"/>
      <c r="BB1452" s="2"/>
    </row>
    <row r="1453">
      <c r="A1453" s="2">
        <f>IFERROR(__xludf.DUMMYFUNCTION("""COMPUTED_VALUE"""),1449.0)</f>
        <v>1449</v>
      </c>
      <c r="B1453" s="2" t="str">
        <f>IFERROR(__xludf.DUMMYFUNCTION("""COMPUTED_VALUE"""),"COMPLETED")</f>
        <v>COMPLETED</v>
      </c>
      <c r="C1453" s="74">
        <f>IFERROR(__xludf.DUMMYFUNCTION("""COMPUTED_VALUE"""),46069.0)</f>
        <v>46069</v>
      </c>
      <c r="D1453" s="71" t="str">
        <f>IFERROR(__xludf.DUMMYFUNCTION("""COMPUTED_VALUE"""),"Barangay Cruz Victoria Tarlac Farmers Irrigator Association Inc.")</f>
        <v>Barangay Cruz Victoria Tarlac Farmers Irrigator Association Inc.</v>
      </c>
      <c r="E1453" s="71" t="str">
        <f>IFERROR(__xludf.DUMMYFUNCTION("""COMPUTED_VALUE"""),"Cruz, Victoria, TARLAC")</f>
        <v>Cruz, Victoria, TARLAC</v>
      </c>
      <c r="F1453" s="2" t="str">
        <f>IFERROR(__xludf.DUMMYFUNCTION("""COMPUTED_VALUE"""),"Felino V. Pascua Sr. ")</f>
        <v>Felino V. Pascua Sr. </v>
      </c>
      <c r="G1453" s="2">
        <f>IFERROR(__xludf.DUMMYFUNCTION("""COMPUTED_VALUE"""),9.705230313E9)</f>
        <v>9705230313</v>
      </c>
      <c r="H1453" s="2"/>
      <c r="I1453" s="72" t="str">
        <f>IFERROR(__xludf.DUMMYFUNCTION("""COMPUTED_VALUE"""),"REPAIR - TRACTOR")</f>
        <v>REPAIR - TRACTOR</v>
      </c>
      <c r="J1453" s="72" t="str">
        <f>IFERROR(__xludf.DUMMYFUNCTION("""COMPUTED_VALUE"""),"CHECK UP UNIT")</f>
        <v>CHECK UP UNIT</v>
      </c>
      <c r="K1453" s="72" t="str">
        <f>IFERROR(__xludf.DUMMYFUNCTION("""COMPUTED_VALUE"""),"MYK: NAG OVERHEAT")</f>
        <v>MYK: NAG OVERHEAT</v>
      </c>
      <c r="L1453" s="72" t="str">
        <f>IFERROR(__xludf.DUMMYFUNCTION("""COMPUTED_VALUE"""),"JHP: WALANG PROBLEMA ANG UNIT")</f>
        <v>JHP: WALANG PROBLEMA ANG UNIT</v>
      </c>
      <c r="M1453" s="2"/>
      <c r="N1453" s="2"/>
      <c r="O1453" s="2" t="str">
        <f>IFERROR(__xludf.DUMMYFUNCTION("""COMPUTED_VALUE"""),"N/A")</f>
        <v>N/A</v>
      </c>
      <c r="P1453" s="2"/>
      <c r="Q1453" s="2"/>
      <c r="R1453" s="2" t="str">
        <f>IFERROR(__xludf.DUMMYFUNCTION("""COMPUTED_VALUE"""),"2/272026")</f>
        <v>2/272026</v>
      </c>
      <c r="S1453" s="2" t="str">
        <f>IFERROR(__xludf.DUMMYFUNCTION("""COMPUTED_VALUE"""),"JHP")</f>
        <v>JHP</v>
      </c>
      <c r="T1453" s="73" t="str">
        <f>IFERROR(__xludf.DUMMYFUNCTION("""COMPUTED_VALUE""")," N/A ")</f>
        <v>N/A</v>
      </c>
      <c r="U1453" s="73" t="str">
        <f>IFERROR(__xludf.DUMMYFUNCTION("""COMPUTED_VALUE""")," NO CHARGE ")</f>
        <v>NO CHARGE</v>
      </c>
      <c r="V1453" s="2" t="str">
        <f>IFERROR(__xludf.DUMMYFUNCTION("""COMPUTED_VALUE"""),"N/A")</f>
        <v>N/A</v>
      </c>
      <c r="W1453" s="2" t="str">
        <f>IFERROR(__xludf.DUMMYFUNCTION("""COMPUTED_VALUE"""),"N/A")</f>
        <v>N/A</v>
      </c>
      <c r="X1453" s="2" t="str">
        <f>IFERROR(__xludf.DUMMYFUNCTION("""COMPUTED_VALUE"""),"N/A")</f>
        <v>N/A</v>
      </c>
      <c r="Y1453" s="2"/>
      <c r="Z1453" s="2"/>
      <c r="AA1453" s="2"/>
      <c r="AB1453" s="2"/>
      <c r="AC1453" s="2"/>
      <c r="AD1453" s="2"/>
      <c r="AE1453" s="2"/>
      <c r="AF1453" s="2"/>
      <c r="AG1453" s="2"/>
      <c r="AH1453" s="2"/>
      <c r="AI1453" s="2"/>
      <c r="AJ1453" s="2" t="str">
        <f>IFERROR(__xludf.DUMMYFUNCTION("""COMPUTED_VALUE"""),"Cruz")</f>
        <v>Cruz</v>
      </c>
      <c r="AK1453" s="2" t="str">
        <f>IFERROR(__xludf.DUMMYFUNCTION("""COMPUTED_VALUE"""),"Victoria")</f>
        <v>Victoria</v>
      </c>
      <c r="AL1453" s="2" t="str">
        <f>IFERROR(__xludf.DUMMYFUNCTION("""COMPUTED_VALUE"""),"Tarlac")</f>
        <v>Tarlac</v>
      </c>
      <c r="AM1453" s="2">
        <f>IFERROR(__xludf.DUMMYFUNCTION("""COMPUTED_VALUE"""),3.0)</f>
        <v>3</v>
      </c>
      <c r="AN1453" s="2" t="str">
        <f>IFERROR(__xludf.DUMMYFUNCTION("""COMPUTED_VALUE"""),"RCEF 25-03-05")</f>
        <v>RCEF 25-03-05</v>
      </c>
      <c r="AO1453" s="2">
        <f>IFERROR(__xludf.DUMMYFUNCTION("""COMPUTED_VALUE"""),5.0)</f>
        <v>5</v>
      </c>
      <c r="AP1453" s="2" t="str">
        <f>IFERROR(__xludf.DUMMYFUNCTION("""COMPUTED_VALUE"""),"FREE PMS")</f>
        <v>FREE PMS</v>
      </c>
      <c r="AQ1453" s="2"/>
      <c r="AR1453" s="2"/>
      <c r="AS1453" s="2"/>
      <c r="AT1453" s="2"/>
      <c r="AU1453" s="2"/>
      <c r="AV1453" s="2"/>
      <c r="AW1453" s="2"/>
      <c r="AX1453" s="2"/>
      <c r="AY1453" s="2"/>
      <c r="AZ1453" s="2"/>
      <c r="BA1453" s="2"/>
      <c r="BB1453" s="2"/>
    </row>
    <row r="1454">
      <c r="A1454" s="2">
        <f>IFERROR(__xludf.DUMMYFUNCTION("""COMPUTED_VALUE"""),1450.0)</f>
        <v>1450</v>
      </c>
      <c r="B1454" s="2" t="str">
        <f>IFERROR(__xludf.DUMMYFUNCTION("""COMPUTED_VALUE"""),"PENDING")</f>
        <v>PENDING</v>
      </c>
      <c r="C1454" s="74">
        <f>IFERROR(__xludf.DUMMYFUNCTION("""COMPUTED_VALUE"""),46069.0)</f>
        <v>46069</v>
      </c>
      <c r="D1454" s="71" t="str">
        <f>IFERROR(__xludf.DUMMYFUNCTION("""COMPUTED_VALUE"""),"TOLARUCAN GUADALUPE IRRIGATORS ASSOCIATION, INC.")</f>
        <v>TOLARUCAN GUADALUPE IRRIGATORS ASSOCIATION, INC.</v>
      </c>
      <c r="E1454" s="71" t="str">
        <f>IFERROR(__xludf.DUMMYFUNCTION("""COMPUTED_VALUE"""),"Guadalupe, Janiuay, ILOILO")</f>
        <v>Guadalupe, Janiuay, ILOILO</v>
      </c>
      <c r="F1454" s="2" t="str">
        <f>IFERROR(__xludf.DUMMYFUNCTION("""COMPUTED_VALUE"""),"RYAN BENDOL")</f>
        <v>RYAN BENDOL</v>
      </c>
      <c r="G1454" s="2">
        <f>IFERROR(__xludf.DUMMYFUNCTION("""COMPUTED_VALUE"""),9.851550576E9)</f>
        <v>9851550576</v>
      </c>
      <c r="H1454" s="2">
        <f>IFERROR(__xludf.DUMMYFUNCTION("""COMPUTED_VALUE"""),4.4)</f>
        <v>4.4</v>
      </c>
      <c r="I1454" s="72" t="str">
        <f>IFERROR(__xludf.DUMMYFUNCTION("""COMPUTED_VALUE"""),"REPAIR - LOADER")</f>
        <v>REPAIR - LOADER</v>
      </c>
      <c r="J1454" s="72" t="str">
        <f>IFERROR(__xludf.DUMMYFUNCTION("""COMPUTED_VALUE"""),"Cable Lock")</f>
        <v>Cable Lock</v>
      </c>
      <c r="K1454" s="72" t="str">
        <f>IFERROR(__xludf.DUMMYFUNCTION("""COMPUTED_VALUE"""),"MYK: ROTAVATOR -  NAGPAPATULONG BAWASAN ANG ROTAVATOR BLADES
LOADER CONCERN - SA TROTLE AYAW GUMALAW AT HINDI UMAANGAT, PERO YUNG BUCKET OK NAMAN NAGAGALAW. ")</f>
        <v>MYK: ROTAVATOR -  NAGPAPATULONG BAWASAN ANG ROTAVATOR BLADES
LOADER CONCERN - SA TROTLE AYAW GUMALAW AT HINDI UMAANGAT, PERO YUNG BUCKET OK NAMAN NAGAGALAW. </v>
      </c>
      <c r="L1454" s="72" t="str">
        <f>IFERROR(__xludf.DUMMYFUNCTION("""COMPUTED_VALUE"""),"TO CALL- TO CONFIRM PARTS NEEDED
TO CALL BY RBS:  JOYSTICK / CABLE PROBLEM")</f>
        <v>TO CALL- TO CONFIRM PARTS NEEDED
TO CALL BY RBS:  JOYSTICK / CABLE PROBLEM</v>
      </c>
      <c r="M1454" s="2" t="str">
        <f>IFERROR(__xludf.DUMMYFUNCTION("""COMPUTED_VALUE"""),"CABLE LOCK - ASSUMED")</f>
        <v>CABLE LOCK - ASSUMED</v>
      </c>
      <c r="N1454" s="2"/>
      <c r="O1454" s="2"/>
      <c r="P1454" s="2"/>
      <c r="Q1454" s="2"/>
      <c r="R1454" s="2"/>
      <c r="S1454" s="2"/>
      <c r="T1454" s="2"/>
      <c r="U1454" s="2"/>
      <c r="V1454" s="2"/>
      <c r="W1454" s="2"/>
      <c r="X1454" s="2"/>
      <c r="Y1454" s="2"/>
      <c r="Z1454" s="2"/>
      <c r="AA1454" s="2"/>
      <c r="AB1454" s="2"/>
      <c r="AC1454" s="2"/>
      <c r="AD1454" s="2"/>
      <c r="AE1454" s="2"/>
      <c r="AF1454" s="2"/>
      <c r="AG1454" s="2"/>
      <c r="AH1454" s="2"/>
      <c r="AI1454" s="2"/>
      <c r="AJ1454" s="2" t="str">
        <f>IFERROR(__xludf.DUMMYFUNCTION("""COMPUTED_VALUE"""),"Guadalupe")</f>
        <v>Guadalupe</v>
      </c>
      <c r="AK1454" s="2" t="str">
        <f>IFERROR(__xludf.DUMMYFUNCTION("""COMPUTED_VALUE"""),"Janiuay")</f>
        <v>Janiuay</v>
      </c>
      <c r="AL1454" s="2" t="str">
        <f>IFERROR(__xludf.DUMMYFUNCTION("""COMPUTED_VALUE"""),"Iloilo")</f>
        <v>Iloilo</v>
      </c>
      <c r="AM1454" s="2">
        <f>IFERROR(__xludf.DUMMYFUNCTION("""COMPUTED_VALUE"""),6.0)</f>
        <v>6</v>
      </c>
      <c r="AN1454" s="2" t="str">
        <f>IFERROR(__xludf.DUMMYFUNCTION("""COMPUTED_VALUE"""),"RCEF 25-03-05")</f>
        <v>RCEF 25-03-05</v>
      </c>
      <c r="AO1454" s="2">
        <f>IFERROR(__xludf.DUMMYFUNCTION("""COMPUTED_VALUE"""),7.0)</f>
        <v>7</v>
      </c>
      <c r="AP1454" s="2" t="str">
        <f>IFERROR(__xludf.DUMMYFUNCTION("""COMPUTED_VALUE"""),"FREE PMS")</f>
        <v>FREE PMS</v>
      </c>
      <c r="AQ1454" s="2"/>
      <c r="AR1454" s="2"/>
      <c r="AS1454" s="2"/>
      <c r="AT1454" s="2"/>
      <c r="AU1454" s="2"/>
      <c r="AV1454" s="2"/>
      <c r="AW1454" s="2"/>
      <c r="AX1454" s="2"/>
      <c r="AY1454" s="2"/>
      <c r="AZ1454" s="2"/>
      <c r="BA1454" s="2"/>
      <c r="BB1454" s="2"/>
    </row>
    <row r="1455">
      <c r="A1455" s="2">
        <f>IFERROR(__xludf.DUMMYFUNCTION("""COMPUTED_VALUE"""),1451.0)</f>
        <v>1451</v>
      </c>
      <c r="B1455" s="2" t="str">
        <f>IFERROR(__xludf.DUMMYFUNCTION("""COMPUTED_VALUE"""),"COMPLETED")</f>
        <v>COMPLETED</v>
      </c>
      <c r="C1455" s="74">
        <f>IFERROR(__xludf.DUMMYFUNCTION("""COMPUTED_VALUE"""),46071.0)</f>
        <v>46071</v>
      </c>
      <c r="D1455" s="71" t="str">
        <f>IFERROR(__xludf.DUMMYFUNCTION("""COMPUTED_VALUE"""),"CANAAN WEST FARMERS ASSOCIATION")</f>
        <v>CANAAN WEST FARMERS ASSOCIATION</v>
      </c>
      <c r="E1455" s="71" t="str">
        <f>IFERROR(__xludf.DUMMYFUNCTION("""COMPUTED_VALUE"""),"Canaan West, Rizal, NUEVA ECIJA")</f>
        <v>Canaan West, Rizal, NUEVA ECIJA</v>
      </c>
      <c r="F1455" s="2" t="str">
        <f>IFERROR(__xludf.DUMMYFUNCTION("""COMPUTED_VALUE"""),"ISRAEL SINDONG")</f>
        <v>ISRAEL SINDONG</v>
      </c>
      <c r="G1455" s="2">
        <f>IFERROR(__xludf.DUMMYFUNCTION("""COMPUTED_VALUE"""),9.070893887E9)</f>
        <v>9070893887</v>
      </c>
      <c r="H1455" s="2">
        <f>IFERROR(__xludf.DUMMYFUNCTION("""COMPUTED_VALUE"""),50.0)</f>
        <v>50</v>
      </c>
      <c r="I1455" s="72" t="str">
        <f>IFERROR(__xludf.DUMMYFUNCTION("""COMPUTED_VALUE"""),"PMS")</f>
        <v>PMS</v>
      </c>
      <c r="J1455" s="72" t="str">
        <f>IFERROR(__xludf.DUMMYFUNCTION("""COMPUTED_VALUE"""),"PMS")</f>
        <v>PMS</v>
      </c>
      <c r="K1455" s="72" t="str">
        <f>IFERROR(__xludf.DUMMYFUNCTION("""COMPUTED_VALUE"""),"MYK: 1ST PMS FREE")</f>
        <v>MYK: 1ST PMS FREE</v>
      </c>
      <c r="L1455" s="72" t="str">
        <f>IFERROR(__xludf.DUMMYFUNCTION("""COMPUTED_VALUE"""),"DSD: 1ST PMS DONE")</f>
        <v>DSD: 1ST PMS DONE</v>
      </c>
      <c r="M1455" s="2"/>
      <c r="N1455" s="2" t="str">
        <f>IFERROR(__xludf.DUMMYFUNCTION("""COMPUTED_VALUE"""),"PARTS:
OIL FILTER
ENGINE OIL")</f>
        <v>PARTS:
OIL FILTER
ENGINE OIL</v>
      </c>
      <c r="O1455" s="2">
        <f>IFERROR(__xludf.DUMMYFUNCTION("""COMPUTED_VALUE"""),867.0)</f>
        <v>867</v>
      </c>
      <c r="P1455" s="2"/>
      <c r="Q1455" s="2"/>
      <c r="R1455" s="74">
        <f>IFERROR(__xludf.DUMMYFUNCTION("""COMPUTED_VALUE"""),46092.0)</f>
        <v>46092</v>
      </c>
      <c r="S1455" s="2" t="str">
        <f>IFERROR(__xludf.DUMMYFUNCTION("""COMPUTED_VALUE"""),"DSD/JVV")</f>
        <v>DSD/JVV</v>
      </c>
      <c r="T1455" s="73" t="str">
        <f>IFERROR(__xludf.DUMMYFUNCTION("""COMPUTED_VALUE""")," N/A ")</f>
        <v>N/A</v>
      </c>
      <c r="U1455" s="73" t="str">
        <f>IFERROR(__xludf.DUMMYFUNCTION("""COMPUTED_VALUE""")," RECORDED ")</f>
        <v>RECORDED</v>
      </c>
      <c r="V1455" s="2">
        <f>IFERROR(__xludf.DUMMYFUNCTION("""COMPUTED_VALUE"""),2010.0)</f>
        <v>2010</v>
      </c>
      <c r="W1455" s="2" t="str">
        <f>IFERROR(__xludf.DUMMYFUNCTION("""COMPUTED_VALUE"""),"N/A")</f>
        <v>N/A</v>
      </c>
      <c r="X1455" s="2" t="str">
        <f>IFERROR(__xludf.DUMMYFUNCTION("""COMPUTED_VALUE"""),"N/A")</f>
        <v>N/A</v>
      </c>
      <c r="Y1455" s="2"/>
      <c r="Z1455" s="2"/>
      <c r="AA1455" s="2"/>
      <c r="AB1455" s="2"/>
      <c r="AC1455" s="2"/>
      <c r="AD1455" s="2"/>
      <c r="AE1455" s="2"/>
      <c r="AF1455" s="2"/>
      <c r="AG1455" s="2"/>
      <c r="AH1455" s="2"/>
      <c r="AI1455" s="2"/>
      <c r="AJ1455" s="2" t="str">
        <f>IFERROR(__xludf.DUMMYFUNCTION("""COMPUTED_VALUE"""),"Canaan West")</f>
        <v>Canaan West</v>
      </c>
      <c r="AK1455" s="2" t="str">
        <f>IFERROR(__xludf.DUMMYFUNCTION("""COMPUTED_VALUE"""),"Rizal")</f>
        <v>Rizal</v>
      </c>
      <c r="AL1455" s="2" t="str">
        <f>IFERROR(__xludf.DUMMYFUNCTION("""COMPUTED_VALUE"""),"Nueva Ecija")</f>
        <v>Nueva Ecija</v>
      </c>
      <c r="AM1455" s="2">
        <f>IFERROR(__xludf.DUMMYFUNCTION("""COMPUTED_VALUE"""),3.0)</f>
        <v>3</v>
      </c>
      <c r="AN1455" s="2" t="str">
        <f>IFERROR(__xludf.DUMMYFUNCTION("""COMPUTED_VALUE"""),"RCEF 25-03-05")</f>
        <v>RCEF 25-03-05</v>
      </c>
      <c r="AO1455" s="2">
        <f>IFERROR(__xludf.DUMMYFUNCTION("""COMPUTED_VALUE"""),5.0)</f>
        <v>5</v>
      </c>
      <c r="AP1455" s="2" t="str">
        <f>IFERROR(__xludf.DUMMYFUNCTION("""COMPUTED_VALUE"""),"FREE PMS")</f>
        <v>FREE PMS</v>
      </c>
      <c r="AQ1455" s="2"/>
      <c r="AR1455" s="2"/>
      <c r="AS1455" s="2"/>
      <c r="AT1455" s="2"/>
      <c r="AU1455" s="2"/>
      <c r="AV1455" s="2"/>
      <c r="AW1455" s="2"/>
      <c r="AX1455" s="2"/>
      <c r="AY1455" s="2"/>
      <c r="AZ1455" s="2"/>
      <c r="BA1455" s="2"/>
      <c r="BB1455" s="2"/>
    </row>
    <row r="1456">
      <c r="A1456" s="2">
        <f>IFERROR(__xludf.DUMMYFUNCTION("""COMPUTED_VALUE"""),1452.0)</f>
        <v>1452</v>
      </c>
      <c r="B1456" s="2" t="str">
        <f>IFERROR(__xludf.DUMMYFUNCTION("""COMPUTED_VALUE"""),"PENDING")</f>
        <v>PENDING</v>
      </c>
      <c r="C1456" s="74">
        <f>IFERROR(__xludf.DUMMYFUNCTION("""COMPUTED_VALUE"""),46072.0)</f>
        <v>46072</v>
      </c>
      <c r="D1456" s="71" t="str">
        <f>IFERROR(__xludf.DUMMYFUNCTION("""COMPUTED_VALUE"""),"SAMAHAN NG MGA MAGSASAKA NG PAHINGA NORTE")</f>
        <v>SAMAHAN NG MGA MAGSASAKA NG PAHINGA NORTE</v>
      </c>
      <c r="E1456" s="71" t="str">
        <f>IFERROR(__xludf.DUMMYFUNCTION("""COMPUTED_VALUE"""),"Pahinga Norte, Candelaria, Quezon")</f>
        <v>Pahinga Norte, Candelaria, Quezon</v>
      </c>
      <c r="F1456" s="2" t="str">
        <f>IFERROR(__xludf.DUMMYFUNCTION("""COMPUTED_VALUE"""),"Arturo Manalo")</f>
        <v>Arturo Manalo</v>
      </c>
      <c r="G1456" s="2">
        <f>IFERROR(__xludf.DUMMYFUNCTION("""COMPUTED_VALUE"""),9.498132215E9)</f>
        <v>9498132215</v>
      </c>
      <c r="H1456" s="2"/>
      <c r="I1456" s="72" t="str">
        <f>IFERROR(__xludf.DUMMYFUNCTION("""COMPUTED_VALUE"""),"SPARE PARTS ACQUISITION")</f>
        <v>SPARE PARTS ACQUISITION</v>
      </c>
      <c r="J1456" s="72"/>
      <c r="K1456" s="72" t="str">
        <f>IFERROR(__xludf.DUMMYFUNCTION("""COMPUTED_VALUE"""),"KFS:  CLUTCH DISC ASSY")</f>
        <v>KFS:  CLUTCH DISC ASSY</v>
      </c>
      <c r="L1456" s="72"/>
      <c r="M1456" s="2" t="str">
        <f>IFERROR(__xludf.DUMMYFUNCTION("""COMPUTED_VALUE"""),"CLUTCH DISC ASSY")</f>
        <v>CLUTCH DISC ASSY</v>
      </c>
      <c r="N1456" s="2"/>
      <c r="O1456" s="2"/>
      <c r="P1456" s="2"/>
      <c r="Q1456" s="2"/>
      <c r="R1456" s="2"/>
      <c r="S1456" s="2"/>
      <c r="T1456" s="2"/>
      <c r="U1456" s="2"/>
      <c r="V1456" s="2"/>
      <c r="W1456" s="2"/>
      <c r="X1456" s="2"/>
      <c r="Y1456" s="2"/>
      <c r="Z1456" s="2"/>
      <c r="AA1456" s="2"/>
      <c r="AB1456" s="2"/>
      <c r="AC1456" s="2"/>
      <c r="AD1456" s="2"/>
      <c r="AE1456" s="2"/>
      <c r="AF1456" s="2"/>
      <c r="AG1456" s="2"/>
      <c r="AH1456" s="2"/>
      <c r="AI1456" s="2"/>
      <c r="AJ1456" s="2" t="str">
        <f>IFERROR(__xludf.DUMMYFUNCTION("""COMPUTED_VALUE"""),"Pahinga Norte")</f>
        <v>Pahinga Norte</v>
      </c>
      <c r="AK1456" s="2" t="str">
        <f>IFERROR(__xludf.DUMMYFUNCTION("""COMPUTED_VALUE"""),"Candelaria")</f>
        <v>Candelaria</v>
      </c>
      <c r="AL1456" s="2" t="str">
        <f>IFERROR(__xludf.DUMMYFUNCTION("""COMPUTED_VALUE"""),"Quezon")</f>
        <v>Quezon</v>
      </c>
      <c r="AM1456" s="2" t="str">
        <f>IFERROR(__xludf.DUMMYFUNCTION("""COMPUTED_VALUE"""),"4A")</f>
        <v>4A</v>
      </c>
      <c r="AN1456" s="2" t="str">
        <f>IFERROR(__xludf.DUMMYFUNCTION("""COMPUTED_VALUE"""),"RCEF 23-08-20 Rebidding")</f>
        <v>RCEF 23-08-20 Rebidding</v>
      </c>
      <c r="AO1456" s="2">
        <f>IFERROR(__xludf.DUMMYFUNCTION("""COMPUTED_VALUE"""),1.0)</f>
        <v>1</v>
      </c>
      <c r="AP1456" s="2"/>
      <c r="AQ1456" s="2"/>
      <c r="AR1456" s="2"/>
      <c r="AS1456" s="2"/>
      <c r="AT1456" s="2"/>
      <c r="AU1456" s="2"/>
      <c r="AV1456" s="2"/>
      <c r="AW1456" s="2"/>
      <c r="AX1456" s="2"/>
      <c r="AY1456" s="2"/>
      <c r="AZ1456" s="2"/>
      <c r="BA1456" s="2"/>
      <c r="BB1456" s="2"/>
    </row>
    <row r="1457">
      <c r="A1457" s="2">
        <f>IFERROR(__xludf.DUMMYFUNCTION("""COMPUTED_VALUE"""),1453.0)</f>
        <v>1453</v>
      </c>
      <c r="B1457" s="2" t="str">
        <f>IFERROR(__xludf.DUMMYFUNCTION("""COMPUTED_VALUE"""),"COMPLETED")</f>
        <v>COMPLETED</v>
      </c>
      <c r="C1457" s="74">
        <f>IFERROR(__xludf.DUMMYFUNCTION("""COMPUTED_VALUE"""),46073.0)</f>
        <v>46073</v>
      </c>
      <c r="D1457" s="71" t="str">
        <f>IFERROR(__xludf.DUMMYFUNCTION("""COMPUTED_VALUE"""),"SITANGLAB IRRIGATORS ASSOCIATION, INC")</f>
        <v>SITANGLAB IRRIGATORS ASSOCIATION, INC</v>
      </c>
      <c r="E1457" s="71" t="str">
        <f>IFERROR(__xludf.DUMMYFUNCTION("""COMPUTED_VALUE"""),"Tanggal Sawang, Umingan, PANGASINAN")</f>
        <v>Tanggal Sawang, Umingan, PANGASINAN</v>
      </c>
      <c r="F1457" s="2" t="str">
        <f>IFERROR(__xludf.DUMMYFUNCTION("""COMPUTED_VALUE"""),"MARICEL ESCOBAR")</f>
        <v>MARICEL ESCOBAR</v>
      </c>
      <c r="G1457" s="2" t="str">
        <f>IFERROR(__xludf.DUMMYFUNCTION("""COMPUTED_VALUE"""),"9318402147 / 09941593306")</f>
        <v>9318402147 / 09941593306</v>
      </c>
      <c r="H1457" s="2">
        <f>IFERROR(__xludf.DUMMYFUNCTION("""COMPUTED_VALUE"""),697.0)</f>
        <v>697</v>
      </c>
      <c r="I1457" s="72" t="str">
        <f>IFERROR(__xludf.DUMMYFUNCTION("""COMPUTED_VALUE"""),"SPARE PARTS ACQUISITION")</f>
        <v>SPARE PARTS ACQUISITION</v>
      </c>
      <c r="J1457" s="72" t="str">
        <f>IFERROR(__xludf.DUMMYFUNCTION("""COMPUTED_VALUE"""),"PMS")</f>
        <v>PMS</v>
      </c>
      <c r="K1457" s="72" t="str">
        <f>IFERROR(__xludf.DUMMYFUNCTION("""COMPUTED_VALUE"""),"JHP: 2ND PMS")</f>
        <v>JHP: 2ND PMS</v>
      </c>
      <c r="L1457" s="72" t="str">
        <f>IFERROR(__xludf.DUMMYFUNCTION("""COMPUTED_VALUE"""),"EGT: NAG ORDER LANG NG OIL FILTER
QUOTATION SENT
")</f>
        <v>EGT: NAG ORDER LANG NG OIL FILTER
QUOTATION SENT
</v>
      </c>
      <c r="M1457" s="2"/>
      <c r="N1457" s="2"/>
      <c r="O1457" s="2" t="str">
        <f>IFERROR(__xludf.DUMMYFUNCTION("""COMPUTED_VALUE"""),"N/A")</f>
        <v>N/A</v>
      </c>
      <c r="P1457" s="2"/>
      <c r="Q1457" s="2"/>
      <c r="R1457" s="74">
        <f>IFERROR(__xludf.DUMMYFUNCTION("""COMPUTED_VALUE"""),46147.0)</f>
        <v>46147</v>
      </c>
      <c r="S1457" s="2" t="str">
        <f>IFERROR(__xludf.DUMMYFUNCTION("""COMPUTED_VALUE"""),"MYKEE")</f>
        <v>MYKEE</v>
      </c>
      <c r="T1457" s="73" t="str">
        <f>IFERROR(__xludf.DUMMYFUNCTION("""COMPUTED_VALUE""")," N/A ")</f>
        <v>N/A</v>
      </c>
      <c r="U1457" s="73" t="str">
        <f>IFERROR(__xludf.DUMMYFUNCTION("""COMPUTED_VALUE""")," NO CHARGE ")</f>
        <v>NO CHARGE</v>
      </c>
      <c r="V1457" s="2" t="str">
        <f>IFERROR(__xludf.DUMMYFUNCTION("""COMPUTED_VALUE"""),"N/A")</f>
        <v>N/A</v>
      </c>
      <c r="W1457" s="2" t="str">
        <f>IFERROR(__xludf.DUMMYFUNCTION("""COMPUTED_VALUE"""),"N/A")</f>
        <v>N/A</v>
      </c>
      <c r="X1457" s="2" t="str">
        <f>IFERROR(__xludf.DUMMYFUNCTION("""COMPUTED_VALUE"""),"N/A")</f>
        <v>N/A</v>
      </c>
      <c r="Y1457" s="2"/>
      <c r="Z1457" s="2"/>
      <c r="AA1457" s="2"/>
      <c r="AB1457" s="2"/>
      <c r="AC1457" s="2"/>
      <c r="AD1457" s="2"/>
      <c r="AE1457" s="2"/>
      <c r="AF1457" s="2"/>
      <c r="AG1457" s="2"/>
      <c r="AH1457" s="2"/>
      <c r="AI1457" s="2"/>
      <c r="AJ1457" s="2" t="str">
        <f>IFERROR(__xludf.DUMMYFUNCTION("""COMPUTED_VALUE"""),"Tanggal Sawang")</f>
        <v>Tanggal Sawang</v>
      </c>
      <c r="AK1457" s="2" t="str">
        <f>IFERROR(__xludf.DUMMYFUNCTION("""COMPUTED_VALUE"""),"Umingan")</f>
        <v>Umingan</v>
      </c>
      <c r="AL1457" s="2" t="str">
        <f>IFERROR(__xludf.DUMMYFUNCTION("""COMPUTED_VALUE"""),"Pangasinan")</f>
        <v>Pangasinan</v>
      </c>
      <c r="AM1457" s="2">
        <f>IFERROR(__xludf.DUMMYFUNCTION("""COMPUTED_VALUE"""),1.0)</f>
        <v>1</v>
      </c>
      <c r="AN1457" s="2" t="str">
        <f>IFERROR(__xludf.DUMMYFUNCTION("""COMPUTED_VALUE"""),"RCEF 23-09-21 Rebidding")</f>
        <v>RCEF 23-09-21 Rebidding</v>
      </c>
      <c r="AO1457" s="2">
        <f>IFERROR(__xludf.DUMMYFUNCTION("""COMPUTED_VALUE"""),9.0)</f>
        <v>9</v>
      </c>
      <c r="AP1457" s="2"/>
      <c r="AQ1457" s="2"/>
      <c r="AR1457" s="2"/>
      <c r="AS1457" s="2"/>
      <c r="AT1457" s="2"/>
      <c r="AU1457" s="2"/>
      <c r="AV1457" s="2"/>
      <c r="AW1457" s="2"/>
      <c r="AX1457" s="2"/>
      <c r="AY1457" s="2"/>
      <c r="AZ1457" s="2"/>
      <c r="BA1457" s="2"/>
      <c r="BB1457" s="2"/>
    </row>
    <row r="1458">
      <c r="A1458" s="2">
        <f>IFERROR(__xludf.DUMMYFUNCTION("""COMPUTED_VALUE"""),1454.0)</f>
        <v>1454</v>
      </c>
      <c r="B1458" s="2" t="str">
        <f>IFERROR(__xludf.DUMMYFUNCTION("""COMPUTED_VALUE"""),"COMPLETED")</f>
        <v>COMPLETED</v>
      </c>
      <c r="C1458" s="74">
        <f>IFERROR(__xludf.DUMMYFUNCTION("""COMPUTED_VALUE"""),46075.0)</f>
        <v>46075</v>
      </c>
      <c r="D1458" s="71" t="str">
        <f>IFERROR(__xludf.DUMMYFUNCTION("""COMPUTED_VALUE"""),"PADA-PADA STA. IGNACIA OFW AND FARMERS ASSOCIATION")</f>
        <v>PADA-PADA STA. IGNACIA OFW AND FARMERS ASSOCIATION</v>
      </c>
      <c r="E1458" s="71" t="str">
        <f>IFERROR(__xludf.DUMMYFUNCTION("""COMPUTED_VALUE"""),"Padapada, Santa Ignacia, TARLAC")</f>
        <v>Padapada, Santa Ignacia, TARLAC</v>
      </c>
      <c r="F1458" s="2" t="str">
        <f>IFERROR(__xludf.DUMMYFUNCTION("""COMPUTED_VALUE"""),"IRENE AGUINALDO")</f>
        <v>IRENE AGUINALDO</v>
      </c>
      <c r="G1458" s="2">
        <f>IFERROR(__xludf.DUMMYFUNCTION("""COMPUTED_VALUE"""),9.284045617E9)</f>
        <v>9284045617</v>
      </c>
      <c r="H1458" s="2">
        <f>IFERROR(__xludf.DUMMYFUNCTION("""COMPUTED_VALUE"""),37.0)</f>
        <v>37</v>
      </c>
      <c r="I1458" s="72" t="str">
        <f>IFERROR(__xludf.DUMMYFUNCTION("""COMPUTED_VALUE"""),"PMS")</f>
        <v>PMS</v>
      </c>
      <c r="J1458" s="72" t="str">
        <f>IFERROR(__xludf.DUMMYFUNCTION("""COMPUTED_VALUE"""),"PMS")</f>
        <v>PMS</v>
      </c>
      <c r="K1458" s="72" t="str">
        <f>IFERROR(__xludf.DUMMYFUNCTION("""COMPUTED_VALUE"""),"EGT: 1ST PMS FREE")</f>
        <v>EGT: 1ST PMS FREE</v>
      </c>
      <c r="L1458" s="72" t="str">
        <f>IFERROR(__xludf.DUMMYFUNCTION("""COMPUTED_VALUE"""),"EGT: 1ST PMS DONE")</f>
        <v>EGT: 1ST PMS DONE</v>
      </c>
      <c r="M1458" s="2"/>
      <c r="N1458" s="2" t="str">
        <f>IFERROR(__xludf.DUMMYFUNCTION("""COMPUTED_VALUE"""),"PARTS:
OIL FILTER
ENGINE OIL")</f>
        <v>PARTS:
OIL FILTER
ENGINE OIL</v>
      </c>
      <c r="O1458" s="2" t="str">
        <f>IFERROR(__xludf.DUMMYFUNCTION("""COMPUTED_VALUE"""),"NEED SERVICE REPORT FORM")</f>
        <v>NEED SERVICE REPORT FORM</v>
      </c>
      <c r="P1458" s="2"/>
      <c r="Q1458" s="2" t="str">
        <f>IFERROR(__xludf.DUMMYFUNCTION("""COMPUTED_VALUE"""),"FOR PRINT")</f>
        <v>FOR PRINT</v>
      </c>
      <c r="R1458" s="74">
        <f>IFERROR(__xludf.DUMMYFUNCTION("""COMPUTED_VALUE"""),46087.0)</f>
        <v>46087</v>
      </c>
      <c r="S1458" s="2" t="str">
        <f>IFERROR(__xludf.DUMMYFUNCTION("""COMPUTED_VALUE"""),"EGT/DRM")</f>
        <v>EGT/DRM</v>
      </c>
      <c r="T1458" s="73" t="str">
        <f>IFERROR(__xludf.DUMMYFUNCTION("""COMPUTED_VALUE""")," N/A ")</f>
        <v>N/A</v>
      </c>
      <c r="U1458" s="73" t="str">
        <f>IFERROR(__xludf.DUMMYFUNCTION("""COMPUTED_VALUE""")," NO CHARGE ")</f>
        <v>NO CHARGE</v>
      </c>
      <c r="V1458" s="2" t="str">
        <f>IFERROR(__xludf.DUMMYFUNCTION("""COMPUTED_VALUE"""),"NO DR")</f>
        <v>NO DR</v>
      </c>
      <c r="W1458" s="2" t="str">
        <f>IFERROR(__xludf.DUMMYFUNCTION("""COMPUTED_VALUE"""),"N/A")</f>
        <v>N/A</v>
      </c>
      <c r="X1458" s="2" t="str">
        <f>IFERROR(__xludf.DUMMYFUNCTION("""COMPUTED_VALUE"""),"N/A")</f>
        <v>N/A</v>
      </c>
      <c r="Y1458" s="2"/>
      <c r="Z1458" s="2"/>
      <c r="AA1458" s="2"/>
      <c r="AB1458" s="2"/>
      <c r="AC1458" s="2"/>
      <c r="AD1458" s="2"/>
      <c r="AE1458" s="2"/>
      <c r="AF1458" s="2"/>
      <c r="AG1458" s="2"/>
      <c r="AH1458" s="2"/>
      <c r="AI1458" s="2"/>
      <c r="AJ1458" s="2" t="str">
        <f>IFERROR(__xludf.DUMMYFUNCTION("""COMPUTED_VALUE"""),"Padapada")</f>
        <v>Padapada</v>
      </c>
      <c r="AK1458" s="2" t="str">
        <f>IFERROR(__xludf.DUMMYFUNCTION("""COMPUTED_VALUE"""),"Santa Ignacia")</f>
        <v>Santa Ignacia</v>
      </c>
      <c r="AL1458" s="2" t="str">
        <f>IFERROR(__xludf.DUMMYFUNCTION("""COMPUTED_VALUE"""),"Tarlac")</f>
        <v>Tarlac</v>
      </c>
      <c r="AM1458" s="2">
        <f>IFERROR(__xludf.DUMMYFUNCTION("""COMPUTED_VALUE"""),3.0)</f>
        <v>3</v>
      </c>
      <c r="AN1458" s="2" t="str">
        <f>IFERROR(__xludf.DUMMYFUNCTION("""COMPUTED_VALUE"""),"RCEF 25-03-05")</f>
        <v>RCEF 25-03-05</v>
      </c>
      <c r="AO1458" s="2">
        <f>IFERROR(__xludf.DUMMYFUNCTION("""COMPUTED_VALUE"""),5.0)</f>
        <v>5</v>
      </c>
      <c r="AP1458" s="2" t="str">
        <f>IFERROR(__xludf.DUMMYFUNCTION("""COMPUTED_VALUE"""),"FREE PMS")</f>
        <v>FREE PMS</v>
      </c>
      <c r="AQ1458" s="2"/>
      <c r="AR1458" s="2"/>
      <c r="AS1458" s="2"/>
      <c r="AT1458" s="2"/>
      <c r="AU1458" s="2"/>
      <c r="AV1458" s="2"/>
      <c r="AW1458" s="2"/>
      <c r="AX1458" s="2"/>
      <c r="AY1458" s="2"/>
      <c r="AZ1458" s="2"/>
      <c r="BA1458" s="2"/>
      <c r="BB1458" s="2"/>
    </row>
    <row r="1459">
      <c r="A1459" s="2">
        <f>IFERROR(__xludf.DUMMYFUNCTION("""COMPUTED_VALUE"""),1455.0)</f>
        <v>1455</v>
      </c>
      <c r="B1459" s="2" t="str">
        <f>IFERROR(__xludf.DUMMYFUNCTION("""COMPUTED_VALUE"""),"COMPLETED")</f>
        <v>COMPLETED</v>
      </c>
      <c r="C1459" s="74">
        <f>IFERROR(__xludf.DUMMYFUNCTION("""COMPUTED_VALUE"""),46076.0)</f>
        <v>46076</v>
      </c>
      <c r="D1459" s="71" t="str">
        <f>IFERROR(__xludf.DUMMYFUNCTION("""COMPUTED_VALUE"""),"Buenavista Farmer's Association")</f>
        <v>Buenavista Farmer's Association</v>
      </c>
      <c r="E1459" s="71" t="str">
        <f>IFERROR(__xludf.DUMMYFUNCTION("""COMPUTED_VALUE"""),"Buenavista, Santa Maria, BULACAN")</f>
        <v>Buenavista, Santa Maria, BULACAN</v>
      </c>
      <c r="F1459" s="2" t="str">
        <f>IFERROR(__xludf.DUMMYFUNCTION("""COMPUTED_VALUE"""),"JAQUIN DELA CRUZ /  DANILO RAMOS")</f>
        <v>JAQUIN DELA CRUZ /  DANILO RAMOS</v>
      </c>
      <c r="G1459" s="2">
        <f>IFERROR(__xludf.DUMMYFUNCTION("""COMPUTED_VALUE"""),9.152093306E9)</f>
        <v>9152093306</v>
      </c>
      <c r="H1459" s="2">
        <f>IFERROR(__xludf.DUMMYFUNCTION("""COMPUTED_VALUE"""),56.0)</f>
        <v>56</v>
      </c>
      <c r="I1459" s="72" t="str">
        <f>IFERROR(__xludf.DUMMYFUNCTION("""COMPUTED_VALUE"""),"PMS")</f>
        <v>PMS</v>
      </c>
      <c r="J1459" s="72" t="str">
        <f>IFERROR(__xludf.DUMMYFUNCTION("""COMPUTED_VALUE"""),"PMS")</f>
        <v>PMS</v>
      </c>
      <c r="K1459" s="72" t="str">
        <f>IFERROR(__xludf.DUMMYFUNCTION("""COMPUTED_VALUE"""),"MYK: 1ST PMS FREE")</f>
        <v>MYK: 1ST PMS FREE</v>
      </c>
      <c r="L1459" s="72" t="str">
        <f>IFERROR(__xludf.DUMMYFUNCTION("""COMPUTED_VALUE"""),"JTT: 1ST PMS DONE")</f>
        <v>JTT: 1ST PMS DONE</v>
      </c>
      <c r="M1459" s="2"/>
      <c r="N1459" s="2" t="str">
        <f>IFERROR(__xludf.DUMMYFUNCTION("""COMPUTED_VALUE"""),"PARTS:
OIL FILTER
ENGINE OIL")</f>
        <v>PARTS:
OIL FILTER
ENGINE OIL</v>
      </c>
      <c r="O1459" s="2">
        <f>IFERROR(__xludf.DUMMYFUNCTION("""COMPUTED_VALUE"""),392.0)</f>
        <v>392</v>
      </c>
      <c r="P1459" s="2"/>
      <c r="Q1459" s="2" t="str">
        <f>IFERROR(__xludf.DUMMYFUNCTION("""COMPUTED_VALUE"""),"FOR PRINT")</f>
        <v>FOR PRINT</v>
      </c>
      <c r="R1459" s="74">
        <f>IFERROR(__xludf.DUMMYFUNCTION("""COMPUTED_VALUE"""),46076.0)</f>
        <v>46076</v>
      </c>
      <c r="S1459" s="2" t="str">
        <f>IFERROR(__xludf.DUMMYFUNCTION("""COMPUTED_VALUE"""),"JTT/OJT")</f>
        <v>JTT/OJT</v>
      </c>
      <c r="T1459" s="73" t="str">
        <f>IFERROR(__xludf.DUMMYFUNCTION("""COMPUTED_VALUE""")," N/A ")</f>
        <v>N/A</v>
      </c>
      <c r="U1459" s="73" t="str">
        <f>IFERROR(__xludf.DUMMYFUNCTION("""COMPUTED_VALUE""")," NO CHARGE ")</f>
        <v>NO CHARGE</v>
      </c>
      <c r="V1459" s="2" t="str">
        <f>IFERROR(__xludf.DUMMYFUNCTION("""COMPUTED_VALUE"""),"NO DR")</f>
        <v>NO DR</v>
      </c>
      <c r="W1459" s="2" t="str">
        <f>IFERROR(__xludf.DUMMYFUNCTION("""COMPUTED_VALUE"""),"N/A")</f>
        <v>N/A</v>
      </c>
      <c r="X1459" s="2" t="str">
        <f>IFERROR(__xludf.DUMMYFUNCTION("""COMPUTED_VALUE"""),"N/A")</f>
        <v>N/A</v>
      </c>
      <c r="Y1459" s="2"/>
      <c r="Z1459" s="2"/>
      <c r="AA1459" s="2"/>
      <c r="AB1459" s="2"/>
      <c r="AC1459" s="2"/>
      <c r="AD1459" s="2"/>
      <c r="AE1459" s="2"/>
      <c r="AF1459" s="2"/>
      <c r="AG1459" s="2"/>
      <c r="AH1459" s="2"/>
      <c r="AI1459" s="2"/>
      <c r="AJ1459" s="2" t="str">
        <f>IFERROR(__xludf.DUMMYFUNCTION("""COMPUTED_VALUE"""),"Buenavista")</f>
        <v>Buenavista</v>
      </c>
      <c r="AK1459" s="2" t="str">
        <f>IFERROR(__xludf.DUMMYFUNCTION("""COMPUTED_VALUE"""),"Santa Maria")</f>
        <v>Santa Maria</v>
      </c>
      <c r="AL1459" s="2" t="str">
        <f>IFERROR(__xludf.DUMMYFUNCTION("""COMPUTED_VALUE"""),"Bulacan")</f>
        <v>Bulacan</v>
      </c>
      <c r="AM1459" s="2">
        <f>IFERROR(__xludf.DUMMYFUNCTION("""COMPUTED_VALUE"""),3.0)</f>
        <v>3</v>
      </c>
      <c r="AN1459" s="2" t="str">
        <f>IFERROR(__xludf.DUMMYFUNCTION("""COMPUTED_VALUE"""),"RCEF 25-03-05")</f>
        <v>RCEF 25-03-05</v>
      </c>
      <c r="AO1459" s="2">
        <f>IFERROR(__xludf.DUMMYFUNCTION("""COMPUTED_VALUE"""),5.0)</f>
        <v>5</v>
      </c>
      <c r="AP1459" s="2" t="str">
        <f>IFERROR(__xludf.DUMMYFUNCTION("""COMPUTED_VALUE"""),"FREE PMS")</f>
        <v>FREE PMS</v>
      </c>
      <c r="AQ1459" s="2"/>
      <c r="AR1459" s="2"/>
      <c r="AS1459" s="2"/>
      <c r="AT1459" s="2"/>
      <c r="AU1459" s="2"/>
      <c r="AV1459" s="2"/>
      <c r="AW1459" s="2"/>
      <c r="AX1459" s="2"/>
      <c r="AY1459" s="2"/>
      <c r="AZ1459" s="2"/>
      <c r="BA1459" s="2"/>
      <c r="BB1459" s="2"/>
    </row>
    <row r="1460">
      <c r="A1460" s="2">
        <f>IFERROR(__xludf.DUMMYFUNCTION("""COMPUTED_VALUE"""),1456.0)</f>
        <v>1456</v>
      </c>
      <c r="B1460" s="2" t="str">
        <f>IFERROR(__xludf.DUMMYFUNCTION("""COMPUTED_VALUE"""),"COMPLETED")</f>
        <v>COMPLETED</v>
      </c>
      <c r="C1460" s="74">
        <f>IFERROR(__xludf.DUMMYFUNCTION("""COMPUTED_VALUE"""),46076.0)</f>
        <v>46076</v>
      </c>
      <c r="D1460" s="71" t="str">
        <f>IFERROR(__xludf.DUMMYFUNCTION("""COMPUTED_VALUE"""),"SAN ISIDRO - BALBALUNGAO IRRIGATORS ASSOCIATION INC.")</f>
        <v>SAN ISIDRO - BALBALUNGAO IRRIGATORS ASSOCIATION INC.</v>
      </c>
      <c r="E1460" s="71" t="str">
        <f>IFERROR(__xludf.DUMMYFUNCTION("""COMPUTED_VALUE"""),"Balbalungao, Lupao, NUEVA ECIJA")</f>
        <v>Balbalungao, Lupao, NUEVA ECIJA</v>
      </c>
      <c r="F1460" s="2" t="str">
        <f>IFERROR(__xludf.DUMMYFUNCTION("""COMPUTED_VALUE"""),"Luzviminda S. Isalmo")</f>
        <v>Luzviminda S. Isalmo</v>
      </c>
      <c r="G1460" s="2">
        <f>IFERROR(__xludf.DUMMYFUNCTION("""COMPUTED_VALUE"""),9.455227449E9)</f>
        <v>9455227449</v>
      </c>
      <c r="H1460" s="2">
        <f>IFERROR(__xludf.DUMMYFUNCTION("""COMPUTED_VALUE"""),46.0)</f>
        <v>46</v>
      </c>
      <c r="I1460" s="72" t="str">
        <f>IFERROR(__xludf.DUMMYFUNCTION("""COMPUTED_VALUE"""),"PMS")</f>
        <v>PMS</v>
      </c>
      <c r="J1460" s="72" t="str">
        <f>IFERROR(__xludf.DUMMYFUNCTION("""COMPUTED_VALUE"""),"PMS")</f>
        <v>PMS</v>
      </c>
      <c r="K1460" s="72" t="str">
        <f>IFERROR(__xludf.DUMMYFUNCTION("""COMPUTED_VALUE"""),"MYK: 1ST PMS FREE")</f>
        <v>MYK: 1ST PMS FREE</v>
      </c>
      <c r="L1460" s="72" t="str">
        <f>IFERROR(__xludf.DUMMYFUNCTION("""COMPUTED_VALUE"""),"DSD: 1ST PMS DONE")</f>
        <v>DSD: 1ST PMS DONE</v>
      </c>
      <c r="M1460" s="2"/>
      <c r="N1460" s="2" t="str">
        <f>IFERROR(__xludf.DUMMYFUNCTION("""COMPUTED_VALUE"""),"PARTS:
OIL FILTER
ENGINE OIL")</f>
        <v>PARTS:
OIL FILTER
ENGINE OIL</v>
      </c>
      <c r="O1460" s="2">
        <f>IFERROR(__xludf.DUMMYFUNCTION("""COMPUTED_VALUE"""),866.0)</f>
        <v>866</v>
      </c>
      <c r="P1460" s="2"/>
      <c r="Q1460" s="2"/>
      <c r="R1460" s="74">
        <f>IFERROR(__xludf.DUMMYFUNCTION("""COMPUTED_VALUE"""),46092.0)</f>
        <v>46092</v>
      </c>
      <c r="S1460" s="2" t="str">
        <f>IFERROR(__xludf.DUMMYFUNCTION("""COMPUTED_VALUE"""),"DSD/JVV")</f>
        <v>DSD/JVV</v>
      </c>
      <c r="T1460" s="73" t="str">
        <f>IFERROR(__xludf.DUMMYFUNCTION("""COMPUTED_VALUE""")," N/A ")</f>
        <v>N/A</v>
      </c>
      <c r="U1460" s="73" t="str">
        <f>IFERROR(__xludf.DUMMYFUNCTION("""COMPUTED_VALUE""")," RECORDED ")</f>
        <v>RECORDED</v>
      </c>
      <c r="V1460" s="2">
        <f>IFERROR(__xludf.DUMMYFUNCTION("""COMPUTED_VALUE"""),2009.0)</f>
        <v>2009</v>
      </c>
      <c r="W1460" s="2" t="str">
        <f>IFERROR(__xludf.DUMMYFUNCTION("""COMPUTED_VALUE"""),"N/A")</f>
        <v>N/A</v>
      </c>
      <c r="X1460" s="2" t="str">
        <f>IFERROR(__xludf.DUMMYFUNCTION("""COMPUTED_VALUE"""),"N/A")</f>
        <v>N/A</v>
      </c>
      <c r="Y1460" s="2"/>
      <c r="Z1460" s="2"/>
      <c r="AA1460" s="2"/>
      <c r="AB1460" s="2"/>
      <c r="AC1460" s="2"/>
      <c r="AD1460" s="2"/>
      <c r="AE1460" s="2"/>
      <c r="AF1460" s="2"/>
      <c r="AG1460" s="2"/>
      <c r="AH1460" s="2"/>
      <c r="AI1460" s="2"/>
      <c r="AJ1460" s="2" t="str">
        <f>IFERROR(__xludf.DUMMYFUNCTION("""COMPUTED_VALUE"""),"Balbalungao")</f>
        <v>Balbalungao</v>
      </c>
      <c r="AK1460" s="2" t="str">
        <f>IFERROR(__xludf.DUMMYFUNCTION("""COMPUTED_VALUE"""),"Lupao")</f>
        <v>Lupao</v>
      </c>
      <c r="AL1460" s="2" t="str">
        <f>IFERROR(__xludf.DUMMYFUNCTION("""COMPUTED_VALUE"""),"Nueva Ecija")</f>
        <v>Nueva Ecija</v>
      </c>
      <c r="AM1460" s="2">
        <f>IFERROR(__xludf.DUMMYFUNCTION("""COMPUTED_VALUE"""),3.0)</f>
        <v>3</v>
      </c>
      <c r="AN1460" s="2" t="str">
        <f>IFERROR(__xludf.DUMMYFUNCTION("""COMPUTED_VALUE"""),"RCEF 25-03-05")</f>
        <v>RCEF 25-03-05</v>
      </c>
      <c r="AO1460" s="2">
        <f>IFERROR(__xludf.DUMMYFUNCTION("""COMPUTED_VALUE"""),5.0)</f>
        <v>5</v>
      </c>
      <c r="AP1460" s="2" t="str">
        <f>IFERROR(__xludf.DUMMYFUNCTION("""COMPUTED_VALUE"""),"FREE PMS")</f>
        <v>FREE PMS</v>
      </c>
      <c r="AQ1460" s="2"/>
      <c r="AR1460" s="2"/>
      <c r="AS1460" s="2"/>
      <c r="AT1460" s="2"/>
      <c r="AU1460" s="2"/>
      <c r="AV1460" s="2"/>
      <c r="AW1460" s="2"/>
      <c r="AX1460" s="2"/>
      <c r="AY1460" s="2"/>
      <c r="AZ1460" s="2"/>
      <c r="BA1460" s="2"/>
      <c r="BB1460" s="2"/>
    </row>
    <row r="1461">
      <c r="A1461" s="2">
        <f>IFERROR(__xludf.DUMMYFUNCTION("""COMPUTED_VALUE"""),1457.0)</f>
        <v>1457</v>
      </c>
      <c r="B1461" s="2" t="str">
        <f>IFERROR(__xludf.DUMMYFUNCTION("""COMPUTED_VALUE"""),"COMPLETED")</f>
        <v>COMPLETED</v>
      </c>
      <c r="C1461" s="74">
        <f>IFERROR(__xludf.DUMMYFUNCTION("""COMPUTED_VALUE"""),46076.0)</f>
        <v>46076</v>
      </c>
      <c r="D1461" s="71" t="str">
        <f>IFERROR(__xludf.DUMMYFUNCTION("""COMPUTED_VALUE"""),"NEGATIL RICE AND HIGH VALUE CROPS FARMERS ASSOCIATION")</f>
        <v>NEGATIL RICE AND HIGH VALUE CROPS FARMERS ASSOCIATION</v>
      </c>
      <c r="E1461" s="71" t="str">
        <f>IFERROR(__xludf.DUMMYFUNCTION("""COMPUTED_VALUE"""),"Grullo, San Narciso, ZAMBALES")</f>
        <v>Grullo, San Narciso, ZAMBALES</v>
      </c>
      <c r="F1461" s="2" t="str">
        <f>IFERROR(__xludf.DUMMYFUNCTION("""COMPUTED_VALUE"""),"NOEL YADAO")</f>
        <v>NOEL YADAO</v>
      </c>
      <c r="G1461" s="2">
        <f>IFERROR(__xludf.DUMMYFUNCTION("""COMPUTED_VALUE"""),9.707247003E9)</f>
        <v>9707247003</v>
      </c>
      <c r="H1461" s="2">
        <f>IFERROR(__xludf.DUMMYFUNCTION("""COMPUTED_VALUE"""),117.0)</f>
        <v>117</v>
      </c>
      <c r="I1461" s="72" t="str">
        <f>IFERROR(__xludf.DUMMYFUNCTION("""COMPUTED_VALUE"""),"PMS")</f>
        <v>PMS</v>
      </c>
      <c r="J1461" s="72" t="str">
        <f>IFERROR(__xludf.DUMMYFUNCTION("""COMPUTED_VALUE"""),"PMS")</f>
        <v>PMS</v>
      </c>
      <c r="K1461" s="72" t="str">
        <f>IFERROR(__xludf.DUMMYFUNCTION("""COMPUTED_VALUE"""),"MYK: 1ST PMS FREE
PARTS ORDER: 42 ROTAVATOR BLADES")</f>
        <v>MYK: 1ST PMS FREE
PARTS ORDER: 42 ROTAVATOR BLADES</v>
      </c>
      <c r="L1461" s="72" t="str">
        <f>IFERROR(__xludf.DUMMYFUNCTION("""COMPUTED_VALUE"""),"ACS: 1ST PMS DONE")</f>
        <v>ACS: 1ST PMS DONE</v>
      </c>
      <c r="M1461" s="2"/>
      <c r="N1461" s="2" t="str">
        <f>IFERROR(__xludf.DUMMYFUNCTION("""COMPUTED_VALUE"""),"PARTS:
OIL FILTER
ENGINE OIL
42- ROTAVATOR BLADES")</f>
        <v>PARTS:
OIL FILTER
ENGINE OIL
42- ROTAVATOR BLADES</v>
      </c>
      <c r="O1461" s="2">
        <f>IFERROR(__xludf.DUMMYFUNCTION("""COMPUTED_VALUE"""),675.0)</f>
        <v>675</v>
      </c>
      <c r="P1461" s="2"/>
      <c r="Q1461" s="2" t="str">
        <f>IFERROR(__xludf.DUMMYFUNCTION("""COMPUTED_VALUE"""),"FOR PRINT")</f>
        <v>FOR PRINT</v>
      </c>
      <c r="R1461" s="74">
        <f>IFERROR(__xludf.DUMMYFUNCTION("""COMPUTED_VALUE"""),46079.0)</f>
        <v>46079</v>
      </c>
      <c r="S1461" s="2" t="str">
        <f>IFERROR(__xludf.DUMMYFUNCTION("""COMPUTED_VALUE"""),"JHP/ACS")</f>
        <v>JHP/ACS</v>
      </c>
      <c r="T1461" s="73">
        <f>IFERROR(__xludf.DUMMYFUNCTION("""COMPUTED_VALUE"""),25620.0)</f>
        <v>25620</v>
      </c>
      <c r="U1461" s="73" t="str">
        <f>IFERROR(__xludf.DUMMYFUNCTION("""COMPUTED_VALUE""")," REMITTED ")</f>
        <v>REMITTED</v>
      </c>
      <c r="V1461" s="2">
        <f>IFERROR(__xludf.DUMMYFUNCTION("""COMPUTED_VALUE"""),1703.0)</f>
        <v>1703</v>
      </c>
      <c r="W1461" s="2">
        <f>IFERROR(__xludf.DUMMYFUNCTION("""COMPUTED_VALUE"""),1958.0)</f>
        <v>1958</v>
      </c>
      <c r="X1461" s="2">
        <f>IFERROR(__xludf.DUMMYFUNCTION("""COMPUTED_VALUE"""),1706.0)</f>
        <v>1706</v>
      </c>
      <c r="Y1461" s="2"/>
      <c r="Z1461" s="2"/>
      <c r="AA1461" s="2"/>
      <c r="AB1461" s="2"/>
      <c r="AC1461" s="2"/>
      <c r="AD1461" s="2"/>
      <c r="AE1461" s="2"/>
      <c r="AF1461" s="2"/>
      <c r="AG1461" s="2"/>
      <c r="AH1461" s="2"/>
      <c r="AI1461" s="2"/>
      <c r="AJ1461" s="2" t="str">
        <f>IFERROR(__xludf.DUMMYFUNCTION("""COMPUTED_VALUE"""),"Grullo")</f>
        <v>Grullo</v>
      </c>
      <c r="AK1461" s="2" t="str">
        <f>IFERROR(__xludf.DUMMYFUNCTION("""COMPUTED_VALUE"""),"San Narciso")</f>
        <v>San Narciso</v>
      </c>
      <c r="AL1461" s="2" t="str">
        <f>IFERROR(__xludf.DUMMYFUNCTION("""COMPUTED_VALUE"""),"Zambales")</f>
        <v>Zambales</v>
      </c>
      <c r="AM1461" s="2">
        <f>IFERROR(__xludf.DUMMYFUNCTION("""COMPUTED_VALUE"""),3.0)</f>
        <v>3</v>
      </c>
      <c r="AN1461" s="2" t="str">
        <f>IFERROR(__xludf.DUMMYFUNCTION("""COMPUTED_VALUE"""),"RCEF 25-03-05")</f>
        <v>RCEF 25-03-05</v>
      </c>
      <c r="AO1461" s="2">
        <f>IFERROR(__xludf.DUMMYFUNCTION("""COMPUTED_VALUE"""),5.0)</f>
        <v>5</v>
      </c>
      <c r="AP1461" s="2" t="str">
        <f>IFERROR(__xludf.DUMMYFUNCTION("""COMPUTED_VALUE"""),"FREE PMS")</f>
        <v>FREE PMS</v>
      </c>
      <c r="AQ1461" s="2"/>
      <c r="AR1461" s="2"/>
      <c r="AS1461" s="2"/>
      <c r="AT1461" s="2"/>
      <c r="AU1461" s="2"/>
      <c r="AV1461" s="2"/>
      <c r="AW1461" s="2"/>
      <c r="AX1461" s="2"/>
      <c r="AY1461" s="2"/>
      <c r="AZ1461" s="2"/>
      <c r="BA1461" s="2"/>
      <c r="BB1461" s="2"/>
    </row>
    <row r="1462">
      <c r="A1462" s="2">
        <f>IFERROR(__xludf.DUMMYFUNCTION("""COMPUTED_VALUE"""),1458.0)</f>
        <v>1458</v>
      </c>
      <c r="B1462" s="2" t="str">
        <f>IFERROR(__xludf.DUMMYFUNCTION("""COMPUTED_VALUE"""),"COMPLETED")</f>
        <v>COMPLETED</v>
      </c>
      <c r="C1462" s="74">
        <f>IFERROR(__xludf.DUMMYFUNCTION("""COMPUTED_VALUE"""),46076.0)</f>
        <v>46076</v>
      </c>
      <c r="D1462" s="71" t="str">
        <f>IFERROR(__xludf.DUMMYFUNCTION("""COMPUTED_VALUE"""),"NABUA COCONUT FARMERS MULTI-PURPOSE DEVELOPMENT ASSOCIATION")</f>
        <v>NABUA COCONUT FARMERS MULTI-PURPOSE DEVELOPMENT ASSOCIATION</v>
      </c>
      <c r="E1462" s="71" t="str">
        <f>IFERROR(__xludf.DUMMYFUNCTION("""COMPUTED_VALUE"""),"Angustia (Angustia Inapatan), Nabua, CAMARINES SUR")</f>
        <v>Angustia (Angustia Inapatan), Nabua, CAMARINES SUR</v>
      </c>
      <c r="F1462" s="2" t="str">
        <f>IFERROR(__xludf.DUMMYFUNCTION("""COMPUTED_VALUE"""),"Anita D. Babilonia")</f>
        <v>Anita D. Babilonia</v>
      </c>
      <c r="G1462" s="2" t="str">
        <f>IFERROR(__xludf.DUMMYFUNCTION("""COMPUTED_VALUE"""),"0921 204 3046")</f>
        <v>0921 204 3046</v>
      </c>
      <c r="H1462" s="2"/>
      <c r="I1462" s="72" t="str">
        <f>IFERROR(__xludf.DUMMYFUNCTION("""COMPUTED_VALUE"""),"PMS")</f>
        <v>PMS</v>
      </c>
      <c r="J1462" s="72" t="str">
        <f>IFERROR(__xludf.DUMMYFUNCTION("""COMPUTED_VALUE"""),"PMS")</f>
        <v>PMS</v>
      </c>
      <c r="K1462" s="72" t="str">
        <f>IFERROR(__xludf.DUMMYFUNCTION("""COMPUTED_VALUE"""),"KFS: 1ST PMS FREE")</f>
        <v>KFS: 1ST PMS FREE</v>
      </c>
      <c r="L1462" s="72" t="str">
        <f>IFERROR(__xludf.DUMMYFUNCTION("""COMPUTED_VALUE"""),"FPJ: 1ST PMS DONE")</f>
        <v>FPJ: 1ST PMS DONE</v>
      </c>
      <c r="M1462" s="2"/>
      <c r="N1462" s="2" t="str">
        <f>IFERROR(__xludf.DUMMYFUNCTION("""COMPUTED_VALUE"""),"PARTS:
OIL FILTER
ENGINE OIL")</f>
        <v>PARTS:
OIL FILTER
ENGINE OIL</v>
      </c>
      <c r="O1462" s="2">
        <f>IFERROR(__xludf.DUMMYFUNCTION("""COMPUTED_VALUE"""),570.0)</f>
        <v>570</v>
      </c>
      <c r="P1462" s="2"/>
      <c r="Q1462" s="2" t="str">
        <f>IFERROR(__xludf.DUMMYFUNCTION("""COMPUTED_VALUE"""),"FOR PRINT")</f>
        <v>FOR PRINT</v>
      </c>
      <c r="R1462" s="74">
        <f>IFERROR(__xludf.DUMMYFUNCTION("""COMPUTED_VALUE"""),46078.0)</f>
        <v>46078</v>
      </c>
      <c r="S1462" s="2" t="str">
        <f>IFERROR(__xludf.DUMMYFUNCTION("""COMPUTED_VALUE"""),"FPJ/JAH")</f>
        <v>FPJ/JAH</v>
      </c>
      <c r="T1462" s="73" t="str">
        <f>IFERROR(__xludf.DUMMYFUNCTION("""COMPUTED_VALUE""")," N/A ")</f>
        <v>N/A</v>
      </c>
      <c r="U1462" s="73" t="str">
        <f>IFERROR(__xludf.DUMMYFUNCTION("""COMPUTED_VALUE""")," NO CHARGE ")</f>
        <v>NO CHARGE</v>
      </c>
      <c r="V1462" s="2" t="str">
        <f>IFERROR(__xludf.DUMMYFUNCTION("""COMPUTED_VALUE"""),"NO DR")</f>
        <v>NO DR</v>
      </c>
      <c r="W1462" s="2" t="str">
        <f>IFERROR(__xludf.DUMMYFUNCTION("""COMPUTED_VALUE"""),"N/A")</f>
        <v>N/A</v>
      </c>
      <c r="X1462" s="2" t="str">
        <f>IFERROR(__xludf.DUMMYFUNCTION("""COMPUTED_VALUE"""),"N/A")</f>
        <v>N/A</v>
      </c>
      <c r="Y1462" s="2"/>
      <c r="Z1462" s="2"/>
      <c r="AA1462" s="2"/>
      <c r="AB1462" s="2"/>
      <c r="AC1462" s="2"/>
      <c r="AD1462" s="2"/>
      <c r="AE1462" s="2"/>
      <c r="AF1462" s="2"/>
      <c r="AG1462" s="2"/>
      <c r="AH1462" s="2"/>
      <c r="AI1462" s="2"/>
      <c r="AJ1462" s="2" t="str">
        <f>IFERROR(__xludf.DUMMYFUNCTION("""COMPUTED_VALUE"""),"Angustia (Angustia Inapatan)")</f>
        <v>Angustia (Angustia Inapatan)</v>
      </c>
      <c r="AK1462" s="2" t="str">
        <f>IFERROR(__xludf.DUMMYFUNCTION("""COMPUTED_VALUE"""),"Nabua")</f>
        <v>Nabua</v>
      </c>
      <c r="AL1462" s="2" t="str">
        <f>IFERROR(__xludf.DUMMYFUNCTION("""COMPUTED_VALUE"""),"Camarines Sur")</f>
        <v>Camarines Sur</v>
      </c>
      <c r="AM1462" s="2">
        <f>IFERROR(__xludf.DUMMYFUNCTION("""COMPUTED_VALUE"""),5.0)</f>
        <v>5</v>
      </c>
      <c r="AN1462" s="2" t="str">
        <f>IFERROR(__xludf.DUMMYFUNCTION("""COMPUTED_VALUE"""),"RCEF 25-03-05")</f>
        <v>RCEF 25-03-05</v>
      </c>
      <c r="AO1462" s="2">
        <f>IFERROR(__xludf.DUMMYFUNCTION("""COMPUTED_VALUE"""),6.0)</f>
        <v>6</v>
      </c>
      <c r="AP1462" s="2" t="str">
        <f>IFERROR(__xludf.DUMMYFUNCTION("""COMPUTED_VALUE"""),"FREE PMS")</f>
        <v>FREE PMS</v>
      </c>
      <c r="AQ1462" s="2"/>
      <c r="AR1462" s="2"/>
      <c r="AS1462" s="2"/>
      <c r="AT1462" s="2"/>
      <c r="AU1462" s="2"/>
      <c r="AV1462" s="2"/>
      <c r="AW1462" s="2"/>
      <c r="AX1462" s="2"/>
      <c r="AY1462" s="2"/>
      <c r="AZ1462" s="2"/>
      <c r="BA1462" s="2"/>
      <c r="BB1462" s="2"/>
    </row>
    <row r="1463">
      <c r="A1463" s="2">
        <f>IFERROR(__xludf.DUMMYFUNCTION("""COMPUTED_VALUE"""),1459.0)</f>
        <v>1459</v>
      </c>
      <c r="B1463" s="2" t="str">
        <f>IFERROR(__xludf.DUMMYFUNCTION("""COMPUTED_VALUE"""),"COMPLETED")</f>
        <v>COMPLETED</v>
      </c>
      <c r="C1463" s="74">
        <f>IFERROR(__xludf.DUMMYFUNCTION("""COMPUTED_VALUE"""),46076.0)</f>
        <v>46076</v>
      </c>
      <c r="D1463" s="71" t="str">
        <f>IFERROR(__xludf.DUMMYFUNCTION("""COMPUTED_VALUE"""),"SAMPAGUITA FARMERS WATER PUMP IRRIGATORS ASSOCIATION")</f>
        <v>SAMPAGUITA FARMERS WATER PUMP IRRIGATORS ASSOCIATION</v>
      </c>
      <c r="E1463" s="71" t="str">
        <f>IFERROR(__xludf.DUMMYFUNCTION("""COMPUTED_VALUE"""),"Sampaguita, Solana, CAGAYAN")</f>
        <v>Sampaguita, Solana, CAGAYAN</v>
      </c>
      <c r="F1463" s="2" t="str">
        <f>IFERROR(__xludf.DUMMYFUNCTION("""COMPUTED_VALUE"""),"EMERSON QERARDO")</f>
        <v>EMERSON QERARDO</v>
      </c>
      <c r="G1463" s="2">
        <f>IFERROR(__xludf.DUMMYFUNCTION("""COMPUTED_VALUE"""),9.266828634E9)</f>
        <v>9266828634</v>
      </c>
      <c r="H1463" s="2">
        <f>IFERROR(__xludf.DUMMYFUNCTION("""COMPUTED_VALUE"""),352.0)</f>
        <v>352</v>
      </c>
      <c r="I1463" s="72" t="str">
        <f>IFERROR(__xludf.DUMMYFUNCTION("""COMPUTED_VALUE"""),"REPAIR - TRACTOR")</f>
        <v>REPAIR - TRACTOR</v>
      </c>
      <c r="J1463" s="72" t="str">
        <f>IFERROR(__xludf.DUMMYFUNCTION("""COMPUTED_VALUE"""),"Transmission - Clutch")</f>
        <v>Transmission - Clutch</v>
      </c>
      <c r="K1463" s="72" t="str">
        <f>IFERROR(__xludf.DUMMYFUNCTION("""COMPUTED_VALUE"""),"CFG: LINING PROBLEM /  STUCK UP CLUTCH DISC")</f>
        <v>CFG: LINING PROBLEM /  STUCK UP CLUTCH DISC</v>
      </c>
      <c r="L1463" s="72" t="str">
        <f>IFERROR(__xludf.DUMMYFUNCTION("""COMPUTED_VALUE"""),"CFG:  ADJUST STUCK UP CLUTCH DISC ")</f>
        <v>CFG:  ADJUST STUCK UP CLUTCH DISC </v>
      </c>
      <c r="M1463" s="2"/>
      <c r="N1463" s="2" t="str">
        <f>IFERROR(__xludf.DUMMYFUNCTION("""COMPUTED_VALUE"""),"SERVICE CHARGE: 8,000")</f>
        <v>SERVICE CHARGE: 8,000</v>
      </c>
      <c r="O1463" s="2">
        <f>IFERROR(__xludf.DUMMYFUNCTION("""COMPUTED_VALUE"""),753.0)</f>
        <v>753</v>
      </c>
      <c r="P1463" s="2"/>
      <c r="Q1463" s="2" t="str">
        <f>IFERROR(__xludf.DUMMYFUNCTION("""COMPUTED_VALUE"""),"FOR PRINT")</f>
        <v>FOR PRINT</v>
      </c>
      <c r="R1463" s="74">
        <f>IFERROR(__xludf.DUMMYFUNCTION("""COMPUTED_VALUE"""),46076.0)</f>
        <v>46076</v>
      </c>
      <c r="S1463" s="2" t="str">
        <f>IFERROR(__xludf.DUMMYFUNCTION("""COMPUTED_VALUE"""),"CFG")</f>
        <v>CFG</v>
      </c>
      <c r="T1463" s="73">
        <f>IFERROR(__xludf.DUMMYFUNCTION("""COMPUTED_VALUE"""),8000.0)</f>
        <v>8000</v>
      </c>
      <c r="U1463" s="73" t="str">
        <f>IFERROR(__xludf.DUMMYFUNCTION("""COMPUTED_VALUE""")," FOR REMIT ")</f>
        <v>FOR REMIT</v>
      </c>
      <c r="V1463" s="2"/>
      <c r="W1463" s="2">
        <f>IFERROR(__xludf.DUMMYFUNCTION("""COMPUTED_VALUE"""),1769.0)</f>
        <v>1769</v>
      </c>
      <c r="X1463" s="2"/>
      <c r="Y1463" s="2"/>
      <c r="Z1463" s="2"/>
      <c r="AA1463" s="2"/>
      <c r="AB1463" s="2"/>
      <c r="AC1463" s="2"/>
      <c r="AD1463" s="2"/>
      <c r="AE1463" s="2"/>
      <c r="AF1463" s="2"/>
      <c r="AG1463" s="2"/>
      <c r="AH1463" s="2"/>
      <c r="AI1463" s="2"/>
      <c r="AJ1463" s="2" t="str">
        <f>IFERROR(__xludf.DUMMYFUNCTION("""COMPUTED_VALUE"""),"Sampaguita")</f>
        <v>Sampaguita</v>
      </c>
      <c r="AK1463" s="2" t="str">
        <f>IFERROR(__xludf.DUMMYFUNCTION("""COMPUTED_VALUE"""),"Solana")</f>
        <v>Solana</v>
      </c>
      <c r="AL1463" s="2" t="str">
        <f>IFERROR(__xludf.DUMMYFUNCTION("""COMPUTED_VALUE"""),"Cagayan")</f>
        <v>Cagayan</v>
      </c>
      <c r="AM1463" s="2">
        <f>IFERROR(__xludf.DUMMYFUNCTION("""COMPUTED_VALUE"""),2.0)</f>
        <v>2</v>
      </c>
      <c r="AN1463" s="2" t="str">
        <f>IFERROR(__xludf.DUMMYFUNCTION("""COMPUTED_VALUE"""),"RCEF 24-04-15")</f>
        <v>RCEF 24-04-15</v>
      </c>
      <c r="AO1463" s="2">
        <f>IFERROR(__xludf.DUMMYFUNCTION("""COMPUTED_VALUE"""),6.0)</f>
        <v>6</v>
      </c>
      <c r="AP1463" s="2" t="str">
        <f>IFERROR(__xludf.DUMMYFUNCTION("""COMPUTED_VALUE"""),"FREE PMS")</f>
        <v>FREE PMS</v>
      </c>
      <c r="AQ1463" s="2"/>
      <c r="AR1463" s="2"/>
      <c r="AS1463" s="2"/>
      <c r="AT1463" s="2"/>
      <c r="AU1463" s="2"/>
      <c r="AV1463" s="2"/>
      <c r="AW1463" s="2"/>
      <c r="AX1463" s="2"/>
      <c r="AY1463" s="2"/>
      <c r="AZ1463" s="2"/>
      <c r="BA1463" s="2"/>
      <c r="BB1463" s="2"/>
    </row>
    <row r="1464">
      <c r="A1464" s="2">
        <f>IFERROR(__xludf.DUMMYFUNCTION("""COMPUTED_VALUE"""),1460.0)</f>
        <v>1460</v>
      </c>
      <c r="B1464" s="2" t="str">
        <f>IFERROR(__xludf.DUMMYFUNCTION("""COMPUTED_VALUE"""),"COMPLETED")</f>
        <v>COMPLETED</v>
      </c>
      <c r="C1464" s="74">
        <f>IFERROR(__xludf.DUMMYFUNCTION("""COMPUTED_VALUE"""),46076.0)</f>
        <v>46076</v>
      </c>
      <c r="D1464" s="71" t="str">
        <f>IFERROR(__xludf.DUMMYFUNCTION("""COMPUTED_VALUE"""),"CALUBANG FARMERS CLUSTER ASSOCIATION")</f>
        <v>CALUBANG FARMERS CLUSTER ASSOCIATION</v>
      </c>
      <c r="E1464" s="71" t="str">
        <f>IFERROR(__xludf.DUMMYFUNCTION("""COMPUTED_VALUE"""),"Calubang, Ilog, NEGROS OCCIDENTAL")</f>
        <v>Calubang, Ilog, NEGROS OCCIDENTAL</v>
      </c>
      <c r="F1464" s="2"/>
      <c r="G1464" s="2">
        <f>IFERROR(__xludf.DUMMYFUNCTION("""COMPUTED_VALUE"""),9.94860269E9)</f>
        <v>9948602690</v>
      </c>
      <c r="H1464" s="2"/>
      <c r="I1464" s="72" t="str">
        <f>IFERROR(__xludf.DUMMYFUNCTION("""COMPUTED_VALUE"""),"SPARE PARTS ACQUISITION")</f>
        <v>SPARE PARTS ACQUISITION</v>
      </c>
      <c r="J1464" s="72"/>
      <c r="K1464" s="72" t="str">
        <f>IFERROR(__xludf.DUMMYFUNCTION("""COMPUTED_VALUE"""),"MYK: TIRE AT FRONT  ")</f>
        <v>MYK: TIRE AT FRONT  </v>
      </c>
      <c r="L1464" s="72" t="str">
        <f>IFERROR(__xludf.DUMMYFUNCTION("""COMPUTED_VALUE"""),"MYK- QUOTATION SENT -  RELAY MUN SA PRESIDENT NILA")</f>
        <v>MYK- QUOTATION SENT -  RELAY MUN SA PRESIDENT NILA</v>
      </c>
      <c r="M1464" s="2" t="str">
        <f>IFERROR(__xludf.DUMMYFUNCTION("""COMPUTED_VALUE"""),"2 -FRONT TIRE (9.5-16, 6PR) TC63050201
2 - TUBE , 9.5-16 TC63050202")</f>
        <v>2 -FRONT TIRE (9.5-16, 6PR) TC63050201
2 - TUBE , 9.5-16 TC63050202</v>
      </c>
      <c r="N1464" s="2"/>
      <c r="O1464" s="2" t="str">
        <f>IFERROR(__xludf.DUMMYFUNCTION("""COMPUTED_VALUE"""),"N/A")</f>
        <v>N/A</v>
      </c>
      <c r="P1464" s="2"/>
      <c r="Q1464" s="2"/>
      <c r="R1464" s="74">
        <f>IFERROR(__xludf.DUMMYFUNCTION("""COMPUTED_VALUE"""),46147.0)</f>
        <v>46147</v>
      </c>
      <c r="S1464" s="2" t="str">
        <f>IFERROR(__xludf.DUMMYFUNCTION("""COMPUTED_VALUE"""),"MYKEE")</f>
        <v>MYKEE</v>
      </c>
      <c r="T1464" s="73" t="str">
        <f>IFERROR(__xludf.DUMMYFUNCTION("""COMPUTED_VALUE""")," N/A ")</f>
        <v>N/A</v>
      </c>
      <c r="U1464" s="73" t="str">
        <f>IFERROR(__xludf.DUMMYFUNCTION("""COMPUTED_VALUE""")," NO CHARGE ")</f>
        <v>NO CHARGE</v>
      </c>
      <c r="V1464" s="2" t="str">
        <f>IFERROR(__xludf.DUMMYFUNCTION("""COMPUTED_VALUE"""),"N/A")</f>
        <v>N/A</v>
      </c>
      <c r="W1464" s="2" t="str">
        <f>IFERROR(__xludf.DUMMYFUNCTION("""COMPUTED_VALUE"""),"N/A")</f>
        <v>N/A</v>
      </c>
      <c r="X1464" s="2" t="str">
        <f>IFERROR(__xludf.DUMMYFUNCTION("""COMPUTED_VALUE"""),"N/A")</f>
        <v>N/A</v>
      </c>
      <c r="Y1464" s="2"/>
      <c r="Z1464" s="2"/>
      <c r="AA1464" s="2"/>
      <c r="AB1464" s="2"/>
      <c r="AC1464" s="2"/>
      <c r="AD1464" s="2"/>
      <c r="AE1464" s="2"/>
      <c r="AF1464" s="2"/>
      <c r="AG1464" s="2"/>
      <c r="AH1464" s="2"/>
      <c r="AI1464" s="2"/>
      <c r="AJ1464" s="2" t="str">
        <f>IFERROR(__xludf.DUMMYFUNCTION("""COMPUTED_VALUE"""),"Calubang")</f>
        <v>Calubang</v>
      </c>
      <c r="AK1464" s="2" t="str">
        <f>IFERROR(__xludf.DUMMYFUNCTION("""COMPUTED_VALUE"""),"Ilog")</f>
        <v>Ilog</v>
      </c>
      <c r="AL1464" s="2" t="str">
        <f>IFERROR(__xludf.DUMMYFUNCTION("""COMPUTED_VALUE"""),"Negros Occidental")</f>
        <v>Negros Occidental</v>
      </c>
      <c r="AM1464" s="2">
        <f>IFERROR(__xludf.DUMMYFUNCTION("""COMPUTED_VALUE"""),6.0)</f>
        <v>6</v>
      </c>
      <c r="AN1464" s="2" t="str">
        <f>IFERROR(__xludf.DUMMYFUNCTION("""COMPUTED_VALUE"""),"RCEF 23-09-21 Rebidding")</f>
        <v>RCEF 23-09-21 Rebidding</v>
      </c>
      <c r="AO1464" s="2">
        <f>IFERROR(__xludf.DUMMYFUNCTION("""COMPUTED_VALUE"""),4.0)</f>
        <v>4</v>
      </c>
      <c r="AP1464" s="2"/>
      <c r="AQ1464" s="2"/>
      <c r="AR1464" s="2"/>
      <c r="AS1464" s="2"/>
      <c r="AT1464" s="2"/>
      <c r="AU1464" s="2"/>
      <c r="AV1464" s="2"/>
      <c r="AW1464" s="2"/>
      <c r="AX1464" s="2"/>
      <c r="AY1464" s="2"/>
      <c r="AZ1464" s="2"/>
      <c r="BA1464" s="2"/>
      <c r="BB1464" s="2"/>
    </row>
    <row r="1465">
      <c r="A1465" s="2">
        <f>IFERROR(__xludf.DUMMYFUNCTION("""COMPUTED_VALUE"""),1461.0)</f>
        <v>1461</v>
      </c>
      <c r="B1465" s="2" t="str">
        <f>IFERROR(__xludf.DUMMYFUNCTION("""COMPUTED_VALUE"""),"COMPLETED")</f>
        <v>COMPLETED</v>
      </c>
      <c r="C1465" s="74">
        <f>IFERROR(__xludf.DUMMYFUNCTION("""COMPUTED_VALUE"""),46077.0)</f>
        <v>46077</v>
      </c>
      <c r="D1465" s="71" t="str">
        <f>IFERROR(__xludf.DUMMYFUNCTION("""COMPUTED_VALUE"""),"H2O IRRIGATORS ASSOCIATION INC.")</f>
        <v>H2O IRRIGATORS ASSOCIATION INC.</v>
      </c>
      <c r="E1465" s="71" t="str">
        <f>IFERROR(__xludf.DUMMYFUNCTION("""COMPUTED_VALUE"""),"Namatacan, San Narciso, ZAMBALES")</f>
        <v>Namatacan, San Narciso, ZAMBALES</v>
      </c>
      <c r="F1465" s="2" t="str">
        <f>IFERROR(__xludf.DUMMYFUNCTION("""COMPUTED_VALUE"""),"Nolan Gragasin")</f>
        <v>Nolan Gragasin</v>
      </c>
      <c r="G1465" s="2" t="str">
        <f>IFERROR(__xludf.DUMMYFUNCTION("""COMPUTED_VALUE"""),"0920 233 4484")</f>
        <v>0920 233 4484</v>
      </c>
      <c r="H1465" s="2">
        <f>IFERROR(__xludf.DUMMYFUNCTION("""COMPUTED_VALUE"""),60.0)</f>
        <v>60</v>
      </c>
      <c r="I1465" s="72" t="str">
        <f>IFERROR(__xludf.DUMMYFUNCTION("""COMPUTED_VALUE"""),"REPAIR - TRACTOR")</f>
        <v>REPAIR - TRACTOR</v>
      </c>
      <c r="J1465" s="72" t="str">
        <f>IFERROR(__xludf.DUMMYFUNCTION("""COMPUTED_VALUE"""),"Engine - Overhaul")</f>
        <v>Engine - Overhaul</v>
      </c>
      <c r="K1465" s="72" t="str">
        <f>IFERROR(__xludf.DUMMYFUNCTION("""COMPUTED_VALUE"""),"KFS: RADIATOR LEAK")</f>
        <v>KFS: RADIATOR LEAK</v>
      </c>
      <c r="L1465" s="72" t="str">
        <f>IFERROR(__xludf.DUMMYFUNCTION("""COMPUTED_VALUE"""),"MYK: Kasalukuyan daw po silang nag Lalanndprep - Habang nag ooperate sila narining nilang nag alarm ang tractor tinignan nila ang radiator Nakita nilang nabawasan ang coolant kaya dinagdagan nila, ngunit after 30mins nag alarm ulit ang Nakita nilang nabaw"&amp;"asan ulit ang coolant, dun na nila nakitang may tagas ang Radiator. 
hinihingan ko na sila ng litrato ng mga tagas o butas ng radiator.
JHP: PENDING ENGINE PROBLEM
677:ACS: NABULWAK ANG TUBIG SA RADIATOR AT MAY USOK SA RADIATOR (WITH VIDEO)
ECM: 3/5/2"&amp;"6: ENGINE PULL OUT FROM FCA - OVERHAUL AT SAN SIMON WH
EGT: ENGINE OVERHAUL ASSEMBLE AND DELIVERED")</f>
        <v>MYK: Kasalukuyan daw po silang nag Lalanndprep - Habang nag ooperate sila narining nilang nag alarm ang tractor tinignan nila ang radiator Nakita nilang nabawasan ang coolant kaya dinagdagan nila, ngunit after 30mins nag alarm ulit ang Nakita nilang nabawasan ulit ang coolant, dun na nila nakitang may tagas ang Radiator. 
hinihingan ko na sila ng litrato ng mga tagas o butas ng radiator.
JHP: PENDING ENGINE PROBLEM
677:ACS: NABULWAK ANG TUBIG SA RADIATOR AT MAY USOK SA RADIATOR (WITH VIDEO)
ECM: 3/5/26: ENGINE PULL OUT FROM FCA - OVERHAUL AT SAN SIMON WH
EGT: ENGINE OVERHAUL ASSEMBLE AND DELIVERED</v>
      </c>
      <c r="M1465" s="2" t="str">
        <f>IFERROR(__xludf.DUMMYFUNCTION("""COMPUTED_VALUE"""),"
CYLINDER HEAD GASKET")</f>
        <v>
CYLINDER HEAD GASKET</v>
      </c>
      <c r="N1465" s="2" t="str">
        <f>IFERROR(__xludf.DUMMYFUNCTION("""COMPUTED_VALUE"""),"PARTS:
CYLINDER HEAD ASSY
CYLINDER BLOCK ASSY
CYLINDER HEAD GASKET
4 - PISTONG RING
3 - MAIN BEARING
1 - CONNECTING ROD BEARING
")</f>
        <v>PARTS:
CYLINDER HEAD ASSY
CYLINDER BLOCK ASSY
CYLINDER HEAD GASKET
4 - PISTONG RING
3 - MAIN BEARING
1 - CONNECTING ROD BEARING
</v>
      </c>
      <c r="O1465" s="2">
        <f>IFERROR(__xludf.DUMMYFUNCTION("""COMPUTED_VALUE"""),438.0)</f>
        <v>438</v>
      </c>
      <c r="P1465" s="2"/>
      <c r="Q1465" s="2" t="str">
        <f>IFERROR(__xludf.DUMMYFUNCTION("""COMPUTED_VALUE"""),"FOR PRINT")</f>
        <v>FOR PRINT</v>
      </c>
      <c r="R1465" s="74">
        <f>IFERROR(__xludf.DUMMYFUNCTION("""COMPUTED_VALUE"""),46093.0)</f>
        <v>46093</v>
      </c>
      <c r="S1465" s="2" t="str">
        <f>IFERROR(__xludf.DUMMYFUNCTION("""COMPUTED_VALUE"""),"EGT/DRM/ACS")</f>
        <v>EGT/DRM/ACS</v>
      </c>
      <c r="T1465" s="73" t="str">
        <f>IFERROR(__xludf.DUMMYFUNCTION("""COMPUTED_VALUE""")," N/A ")</f>
        <v>N/A</v>
      </c>
      <c r="U1465" s="73" t="str">
        <f>IFERROR(__xludf.DUMMYFUNCTION("""COMPUTED_VALUE""")," RECORDED ")</f>
        <v>RECORDED</v>
      </c>
      <c r="V1465" s="2">
        <f>IFERROR(__xludf.DUMMYFUNCTION("""COMPUTED_VALUE"""),1322.0)</f>
        <v>1322</v>
      </c>
      <c r="W1465" s="2" t="str">
        <f>IFERROR(__xludf.DUMMYFUNCTION("""COMPUTED_VALUE"""),"N/A")</f>
        <v>N/A</v>
      </c>
      <c r="X1465" s="2" t="str">
        <f>IFERROR(__xludf.DUMMYFUNCTION("""COMPUTED_VALUE"""),"N/A")</f>
        <v>N/A</v>
      </c>
      <c r="Y1465" s="2"/>
      <c r="Z1465" s="2"/>
      <c r="AA1465" s="2"/>
      <c r="AB1465" s="2"/>
      <c r="AC1465" s="2"/>
      <c r="AD1465" s="2"/>
      <c r="AE1465" s="2"/>
      <c r="AF1465" s="2"/>
      <c r="AG1465" s="2"/>
      <c r="AH1465" s="2"/>
      <c r="AI1465" s="2"/>
      <c r="AJ1465" s="2" t="str">
        <f>IFERROR(__xludf.DUMMYFUNCTION("""COMPUTED_VALUE"""),"Namatacan")</f>
        <v>Namatacan</v>
      </c>
      <c r="AK1465" s="2" t="str">
        <f>IFERROR(__xludf.DUMMYFUNCTION("""COMPUTED_VALUE"""),"San Narciso")</f>
        <v>San Narciso</v>
      </c>
      <c r="AL1465" s="2" t="str">
        <f>IFERROR(__xludf.DUMMYFUNCTION("""COMPUTED_VALUE"""),"Zambales")</f>
        <v>Zambales</v>
      </c>
      <c r="AM1465" s="2">
        <f>IFERROR(__xludf.DUMMYFUNCTION("""COMPUTED_VALUE"""),3.0)</f>
        <v>3</v>
      </c>
      <c r="AN1465" s="2" t="str">
        <f>IFERROR(__xludf.DUMMYFUNCTION("""COMPUTED_VALUE"""),"RCEF 25-03-05")</f>
        <v>RCEF 25-03-05</v>
      </c>
      <c r="AO1465" s="2">
        <f>IFERROR(__xludf.DUMMYFUNCTION("""COMPUTED_VALUE"""),5.0)</f>
        <v>5</v>
      </c>
      <c r="AP1465" s="2" t="str">
        <f>IFERROR(__xludf.DUMMYFUNCTION("""COMPUTED_VALUE"""),"FREE PMS")</f>
        <v>FREE PMS</v>
      </c>
      <c r="AQ1465" s="2"/>
      <c r="AR1465" s="2"/>
      <c r="AS1465" s="2"/>
      <c r="AT1465" s="2"/>
      <c r="AU1465" s="2"/>
      <c r="AV1465" s="2"/>
      <c r="AW1465" s="2"/>
      <c r="AX1465" s="2"/>
      <c r="AY1465" s="2"/>
      <c r="AZ1465" s="2"/>
      <c r="BA1465" s="2"/>
      <c r="BB1465" s="2"/>
    </row>
    <row r="1466">
      <c r="A1466" s="2">
        <f>IFERROR(__xludf.DUMMYFUNCTION("""COMPUTED_VALUE"""),1462.0)</f>
        <v>1462</v>
      </c>
      <c r="B1466" s="2" t="str">
        <f>IFERROR(__xludf.DUMMYFUNCTION("""COMPUTED_VALUE"""),"COMPLETED")</f>
        <v>COMPLETED</v>
      </c>
      <c r="C1466" s="74">
        <f>IFERROR(__xludf.DUMMYFUNCTION("""COMPUTED_VALUE"""),46077.0)</f>
        <v>46077</v>
      </c>
      <c r="D1466" s="71" t="str">
        <f>IFERROR(__xludf.DUMMYFUNCTION("""COMPUTED_VALUE"""),"Cozo Proper Farmers Association")</f>
        <v>Cozo Proper Farmers Association</v>
      </c>
      <c r="E1466" s="71" t="str">
        <f>IFERROR(__xludf.DUMMYFUNCTION("""COMPUTED_VALUE"""),"Cozo, Casiguran, AURORA")</f>
        <v>Cozo, Casiguran, AURORA</v>
      </c>
      <c r="F1466" s="2"/>
      <c r="G1466" s="2"/>
      <c r="H1466" s="2">
        <f>IFERROR(__xludf.DUMMYFUNCTION("""COMPUTED_VALUE"""),34.1)</f>
        <v>34.1</v>
      </c>
      <c r="I1466" s="72" t="str">
        <f>IFERROR(__xludf.DUMMYFUNCTION("""COMPUTED_VALUE"""),"PMS")</f>
        <v>PMS</v>
      </c>
      <c r="J1466" s="72" t="str">
        <f>IFERROR(__xludf.DUMMYFUNCTION("""COMPUTED_VALUE"""),"PMS")</f>
        <v>PMS</v>
      </c>
      <c r="K1466" s="72" t="str">
        <f>IFERROR(__xludf.DUMMYFUNCTION("""COMPUTED_VALUE"""),"ACS: 1ST PMS FREE")</f>
        <v>ACS: 1ST PMS FREE</v>
      </c>
      <c r="L1466" s="72" t="str">
        <f>IFERROR(__xludf.DUMMYFUNCTION("""COMPUTED_VALUE"""),"ACS: 1ST PMS DONE")</f>
        <v>ACS: 1ST PMS DONE</v>
      </c>
      <c r="M1466" s="2"/>
      <c r="N1466" s="2" t="str">
        <f>IFERROR(__xludf.DUMMYFUNCTION("""COMPUTED_VALUE"""),"PARTS:
OIL FILTER
ENGINE OIL")</f>
        <v>PARTS:
OIL FILTER
ENGINE OIL</v>
      </c>
      <c r="O1466" s="2">
        <f>IFERROR(__xludf.DUMMYFUNCTION("""COMPUTED_VALUE"""),674.0)</f>
        <v>674</v>
      </c>
      <c r="P1466" s="2"/>
      <c r="Q1466" s="2" t="str">
        <f>IFERROR(__xludf.DUMMYFUNCTION("""COMPUTED_VALUE"""),"FOR PRINT")</f>
        <v>FOR PRINT</v>
      </c>
      <c r="R1466" s="74">
        <f>IFERROR(__xludf.DUMMYFUNCTION("""COMPUTED_VALUE"""),46077.0)</f>
        <v>46077</v>
      </c>
      <c r="S1466" s="2" t="str">
        <f>IFERROR(__xludf.DUMMYFUNCTION("""COMPUTED_VALUE"""),"JHP/ACS")</f>
        <v>JHP/ACS</v>
      </c>
      <c r="T1466" s="73" t="str">
        <f>IFERROR(__xludf.DUMMYFUNCTION("""COMPUTED_VALUE""")," N/A ")</f>
        <v>N/A</v>
      </c>
      <c r="U1466" s="73" t="str">
        <f>IFERROR(__xludf.DUMMYFUNCTION("""COMPUTED_VALUE""")," NO CHARGE ")</f>
        <v>NO CHARGE</v>
      </c>
      <c r="V1466" s="2">
        <f>IFERROR(__xludf.DUMMYFUNCTION("""COMPUTED_VALUE"""),1702.0)</f>
        <v>1702</v>
      </c>
      <c r="W1466" s="2" t="str">
        <f>IFERROR(__xludf.DUMMYFUNCTION("""COMPUTED_VALUE"""),"N/A")</f>
        <v>N/A</v>
      </c>
      <c r="X1466" s="2" t="str">
        <f>IFERROR(__xludf.DUMMYFUNCTION("""COMPUTED_VALUE"""),"N/A")</f>
        <v>N/A</v>
      </c>
      <c r="Y1466" s="2"/>
      <c r="Z1466" s="2"/>
      <c r="AA1466" s="2"/>
      <c r="AB1466" s="2"/>
      <c r="AC1466" s="2"/>
      <c r="AD1466" s="2"/>
      <c r="AE1466" s="2"/>
      <c r="AF1466" s="2"/>
      <c r="AG1466" s="2"/>
      <c r="AH1466" s="2"/>
      <c r="AI1466" s="2"/>
      <c r="AJ1466" s="2" t="str">
        <f>IFERROR(__xludf.DUMMYFUNCTION("""COMPUTED_VALUE"""),"Cozo")</f>
        <v>Cozo</v>
      </c>
      <c r="AK1466" s="2" t="str">
        <f>IFERROR(__xludf.DUMMYFUNCTION("""COMPUTED_VALUE"""),"Casiguran")</f>
        <v>Casiguran</v>
      </c>
      <c r="AL1466" s="2" t="str">
        <f>IFERROR(__xludf.DUMMYFUNCTION("""COMPUTED_VALUE"""),"Aurora")</f>
        <v>Aurora</v>
      </c>
      <c r="AM1466" s="2">
        <f>IFERROR(__xludf.DUMMYFUNCTION("""COMPUTED_VALUE"""),3.0)</f>
        <v>3</v>
      </c>
      <c r="AN1466" s="2" t="str">
        <f>IFERROR(__xludf.DUMMYFUNCTION("""COMPUTED_VALUE"""),"RCEF 25-03-05")</f>
        <v>RCEF 25-03-05</v>
      </c>
      <c r="AO1466" s="2">
        <f>IFERROR(__xludf.DUMMYFUNCTION("""COMPUTED_VALUE"""),5.0)</f>
        <v>5</v>
      </c>
      <c r="AP1466" s="2" t="str">
        <f>IFERROR(__xludf.DUMMYFUNCTION("""COMPUTED_VALUE"""),"FREE PMS")</f>
        <v>FREE PMS</v>
      </c>
      <c r="AQ1466" s="2"/>
      <c r="AR1466" s="2"/>
      <c r="AS1466" s="2"/>
      <c r="AT1466" s="2"/>
      <c r="AU1466" s="2"/>
      <c r="AV1466" s="2"/>
      <c r="AW1466" s="2"/>
      <c r="AX1466" s="2"/>
      <c r="AY1466" s="2"/>
      <c r="AZ1466" s="2"/>
      <c r="BA1466" s="2"/>
      <c r="BB1466" s="2"/>
    </row>
    <row r="1467">
      <c r="A1467" s="2">
        <f>IFERROR(__xludf.DUMMYFUNCTION("""COMPUTED_VALUE"""),1463.0)</f>
        <v>1463</v>
      </c>
      <c r="B1467" s="2" t="str">
        <f>IFERROR(__xludf.DUMMYFUNCTION("""COMPUTED_VALUE"""),"COMPLETED")</f>
        <v>COMPLETED</v>
      </c>
      <c r="C1467" s="74">
        <f>IFERROR(__xludf.DUMMYFUNCTION("""COMPUTED_VALUE"""),46077.0)</f>
        <v>46077</v>
      </c>
      <c r="D1467" s="71" t="str">
        <f>IFERROR(__xludf.DUMMYFUNCTION("""COMPUTED_VALUE"""),"ANOLID GUANTANG FARMERS ASSOCIATION INC")</f>
        <v>ANOLID GUANTANG FARMERS ASSOCIATION INC</v>
      </c>
      <c r="E1467" s="71" t="str">
        <f>IFERROR(__xludf.DUMMYFUNCTION("""COMPUTED_VALUE"""),"Anolid, Mangaldan, PANGASINAN")</f>
        <v>Anolid, Mangaldan, PANGASINAN</v>
      </c>
      <c r="F1467" s="2"/>
      <c r="G1467" s="2"/>
      <c r="H1467" s="2"/>
      <c r="I1467" s="72" t="str">
        <f>IFERROR(__xludf.DUMMYFUNCTION("""COMPUTED_VALUE"""),"SPARE PARTS ACQUISITION")</f>
        <v>SPARE PARTS ACQUISITION</v>
      </c>
      <c r="J1467" s="72"/>
      <c r="K1467" s="72" t="str">
        <f>IFERROR(__xludf.DUMMYFUNCTION("""COMPUTED_VALUE"""),"EGT: HYDRAULIC FILTER")</f>
        <v>EGT: HYDRAULIC FILTER</v>
      </c>
      <c r="L1467" s="72" t="str">
        <f>IFERROR(__xludf.DUMMYFUNCTION("""COMPUTED_VALUE"""),"DELIVERED")</f>
        <v>DELIVERED</v>
      </c>
      <c r="M1467" s="2"/>
      <c r="N1467" s="2" t="str">
        <f>IFERROR(__xludf.DUMMYFUNCTION("""COMPUTED_VALUE"""),"HYDRAULIC FILTER")</f>
        <v>HYDRAULIC FILTER</v>
      </c>
      <c r="O1467" s="2" t="str">
        <f>IFERROR(__xludf.DUMMYFUNCTION("""COMPUTED_VALUE"""),"N/A")</f>
        <v>N/A</v>
      </c>
      <c r="P1467" s="2"/>
      <c r="Q1467" s="2"/>
      <c r="R1467" s="74">
        <f>IFERROR(__xludf.DUMMYFUNCTION("""COMPUTED_VALUE"""),46077.0)</f>
        <v>46077</v>
      </c>
      <c r="S1467" s="2" t="str">
        <f>IFERROR(__xludf.DUMMYFUNCTION("""COMPUTED_VALUE"""),"EGT")</f>
        <v>EGT</v>
      </c>
      <c r="T1467" s="73">
        <f>IFERROR(__xludf.DUMMYFUNCTION("""COMPUTED_VALUE"""),2837.0)</f>
        <v>2837</v>
      </c>
      <c r="U1467" s="73" t="str">
        <f>IFERROR(__xludf.DUMMYFUNCTION("""COMPUTED_VALUE""")," REMITTED ")</f>
        <v>REMITTED</v>
      </c>
      <c r="V1467" s="2">
        <f>IFERROR(__xludf.DUMMYFUNCTION("""COMPUTED_VALUE"""),1318.0)</f>
        <v>1318</v>
      </c>
      <c r="W1467" s="2">
        <f>IFERROR(__xludf.DUMMYFUNCTION("""COMPUTED_VALUE"""),1675.0)</f>
        <v>1675</v>
      </c>
      <c r="X1467" s="2">
        <f>IFERROR(__xludf.DUMMYFUNCTION("""COMPUTED_VALUE"""),1710.0)</f>
        <v>1710</v>
      </c>
      <c r="Y1467" s="2"/>
      <c r="Z1467" s="2"/>
      <c r="AA1467" s="2"/>
      <c r="AB1467" s="2"/>
      <c r="AC1467" s="2"/>
      <c r="AD1467" s="2"/>
      <c r="AE1467" s="2"/>
      <c r="AF1467" s="2"/>
      <c r="AG1467" s="2"/>
      <c r="AH1467" s="2"/>
      <c r="AI1467" s="2"/>
      <c r="AJ1467" s="2" t="str">
        <f>IFERROR(__xludf.DUMMYFUNCTION("""COMPUTED_VALUE"""),"Anolid")</f>
        <v>Anolid</v>
      </c>
      <c r="AK1467" s="2" t="str">
        <f>IFERROR(__xludf.DUMMYFUNCTION("""COMPUTED_VALUE"""),"Mangaldan")</f>
        <v>Mangaldan</v>
      </c>
      <c r="AL1467" s="2" t="str">
        <f>IFERROR(__xludf.DUMMYFUNCTION("""COMPUTED_VALUE"""),"Pangasinan")</f>
        <v>Pangasinan</v>
      </c>
      <c r="AM1467" s="2">
        <f>IFERROR(__xludf.DUMMYFUNCTION("""COMPUTED_VALUE"""),1.0)</f>
        <v>1</v>
      </c>
      <c r="AN1467" s="2" t="str">
        <f>IFERROR(__xludf.DUMMYFUNCTION("""COMPUTED_VALUE"""),"RCEF 23-09-21 Rebidding")</f>
        <v>RCEF 23-09-21 Rebidding</v>
      </c>
      <c r="AO1467" s="2">
        <f>IFERROR(__xludf.DUMMYFUNCTION("""COMPUTED_VALUE"""),2.0)</f>
        <v>2</v>
      </c>
      <c r="AP1467" s="2"/>
      <c r="AQ1467" s="2"/>
      <c r="AR1467" s="2"/>
      <c r="AS1467" s="2"/>
      <c r="AT1467" s="2"/>
      <c r="AU1467" s="2"/>
      <c r="AV1467" s="2"/>
      <c r="AW1467" s="2"/>
      <c r="AX1467" s="2"/>
      <c r="AY1467" s="2"/>
      <c r="AZ1467" s="2"/>
      <c r="BA1467" s="2"/>
      <c r="BB1467" s="2"/>
    </row>
    <row r="1468">
      <c r="A1468" s="2">
        <f>IFERROR(__xludf.DUMMYFUNCTION("""COMPUTED_VALUE"""),1464.0)</f>
        <v>1464</v>
      </c>
      <c r="B1468" s="2" t="str">
        <f>IFERROR(__xludf.DUMMYFUNCTION("""COMPUTED_VALUE"""),"PENDING")</f>
        <v>PENDING</v>
      </c>
      <c r="C1468" s="74">
        <f>IFERROR(__xludf.DUMMYFUNCTION("""COMPUTED_VALUE"""),46077.0)</f>
        <v>46077</v>
      </c>
      <c r="D1468" s="71" t="str">
        <f>IFERROR(__xludf.DUMMYFUNCTION("""COMPUTED_VALUE"""),"Egaña Farmers Association")</f>
        <v>Egaña Farmers Association</v>
      </c>
      <c r="E1468" s="71" t="str">
        <f>IFERROR(__xludf.DUMMYFUNCTION("""COMPUTED_VALUE"""),"Egaña, Sibalom, ANTIQUE")</f>
        <v>Egaña, Sibalom, ANTIQUE</v>
      </c>
      <c r="F1468" s="2" t="str">
        <f>IFERROR(__xludf.DUMMYFUNCTION("""COMPUTED_VALUE"""),"MID CLARITO")</f>
        <v>MID CLARITO</v>
      </c>
      <c r="G1468" s="2">
        <f>IFERROR(__xludf.DUMMYFUNCTION("""COMPUTED_VALUE"""),9.178460646E9)</f>
        <v>9178460646</v>
      </c>
      <c r="H1468" s="2">
        <f>IFERROR(__xludf.DUMMYFUNCTION("""COMPUTED_VALUE"""),50.0)</f>
        <v>50</v>
      </c>
      <c r="I1468" s="72" t="str">
        <f>IFERROR(__xludf.DUMMYFUNCTION("""COMPUTED_VALUE"""),"PMS")</f>
        <v>PMS</v>
      </c>
      <c r="J1468" s="72" t="str">
        <f>IFERROR(__xludf.DUMMYFUNCTION("""COMPUTED_VALUE"""),"PMS")</f>
        <v>PMS</v>
      </c>
      <c r="K1468" s="72" t="str">
        <f>IFERROR(__xludf.DUMMYFUNCTION("""COMPUTED_VALUE"""),"MYK: 1ST PMS FREE")</f>
        <v>MYK: 1ST PMS FREE</v>
      </c>
      <c r="L1468" s="72"/>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c r="AJ1468" s="2" t="str">
        <f>IFERROR(__xludf.DUMMYFUNCTION("""COMPUTED_VALUE"""),"Egaña")</f>
        <v>Egaña</v>
      </c>
      <c r="AK1468" s="2" t="str">
        <f>IFERROR(__xludf.DUMMYFUNCTION("""COMPUTED_VALUE"""),"Sibalom")</f>
        <v>Sibalom</v>
      </c>
      <c r="AL1468" s="2" t="str">
        <f>IFERROR(__xludf.DUMMYFUNCTION("""COMPUTED_VALUE"""),"Antique")</f>
        <v>Antique</v>
      </c>
      <c r="AM1468" s="2">
        <f>IFERROR(__xludf.DUMMYFUNCTION("""COMPUTED_VALUE"""),6.0)</f>
        <v>6</v>
      </c>
      <c r="AN1468" s="2" t="str">
        <f>IFERROR(__xludf.DUMMYFUNCTION("""COMPUTED_VALUE"""),"RCEF 25-03-05")</f>
        <v>RCEF 25-03-05</v>
      </c>
      <c r="AO1468" s="2">
        <f>IFERROR(__xludf.DUMMYFUNCTION("""COMPUTED_VALUE"""),7.0)</f>
        <v>7</v>
      </c>
      <c r="AP1468" s="2" t="str">
        <f>IFERROR(__xludf.DUMMYFUNCTION("""COMPUTED_VALUE"""),"FREE PMS")</f>
        <v>FREE PMS</v>
      </c>
      <c r="AQ1468" s="2"/>
      <c r="AR1468" s="2"/>
      <c r="AS1468" s="2"/>
      <c r="AT1468" s="2"/>
      <c r="AU1468" s="2"/>
      <c r="AV1468" s="2"/>
      <c r="AW1468" s="2"/>
      <c r="AX1468" s="2"/>
      <c r="AY1468" s="2"/>
      <c r="AZ1468" s="2"/>
      <c r="BA1468" s="2"/>
      <c r="BB1468" s="2"/>
    </row>
    <row r="1469">
      <c r="A1469" s="2">
        <f>IFERROR(__xludf.DUMMYFUNCTION("""COMPUTED_VALUE"""),1465.0)</f>
        <v>1465</v>
      </c>
      <c r="B1469" s="2" t="str">
        <f>IFERROR(__xludf.DUMMYFUNCTION("""COMPUTED_VALUE"""),"COMPLETED")</f>
        <v>COMPLETED</v>
      </c>
      <c r="C1469" s="74">
        <f>IFERROR(__xludf.DUMMYFUNCTION("""COMPUTED_VALUE"""),46079.0)</f>
        <v>46079</v>
      </c>
      <c r="D1469" s="71" t="str">
        <f>IFERROR(__xludf.DUMMYFUNCTION("""COMPUTED_VALUE"""),"Casantacruzan Mabangcal Farmers Association")</f>
        <v>Casantacruzan Mabangcal Farmers Association</v>
      </c>
      <c r="E1469" s="71" t="str">
        <f>IFERROR(__xludf.DUMMYFUNCTION("""COMPUTED_VALUE"""),"Beddeng, San Narciso, ZAMBALES")</f>
        <v>Beddeng, San Narciso, ZAMBALES</v>
      </c>
      <c r="F1469" s="2" t="str">
        <f>IFERROR(__xludf.DUMMYFUNCTION("""COMPUTED_VALUE"""),"LORELO BERNARDINO")</f>
        <v>LORELO BERNARDINO</v>
      </c>
      <c r="G1469" s="2"/>
      <c r="H1469" s="2">
        <f>IFERROR(__xludf.DUMMYFUNCTION("""COMPUTED_VALUE"""),78.0)</f>
        <v>78</v>
      </c>
      <c r="I1469" s="72" t="str">
        <f>IFERROR(__xludf.DUMMYFUNCTION("""COMPUTED_VALUE"""),"PMS")</f>
        <v>PMS</v>
      </c>
      <c r="J1469" s="72" t="str">
        <f>IFERROR(__xludf.DUMMYFUNCTION("""COMPUTED_VALUE"""),"PMS")</f>
        <v>PMS</v>
      </c>
      <c r="K1469" s="72" t="str">
        <f>IFERROR(__xludf.DUMMYFUNCTION("""COMPUTED_VALUE"""),"ACS: 1ST PMS FREE")</f>
        <v>ACS: 1ST PMS FREE</v>
      </c>
      <c r="L1469" s="72" t="str">
        <f>IFERROR(__xludf.DUMMYFUNCTION("""COMPUTED_VALUE"""),"ACS: 1ST PMS DONE")</f>
        <v>ACS: 1ST PMS DONE</v>
      </c>
      <c r="M1469" s="2"/>
      <c r="N1469" s="2" t="str">
        <f>IFERROR(__xludf.DUMMYFUNCTION("""COMPUTED_VALUE"""),"PARTS:
OIL FILTER
ENGINE OIL")</f>
        <v>PARTS:
OIL FILTER
ENGINE OIL</v>
      </c>
      <c r="O1469" s="2">
        <f>IFERROR(__xludf.DUMMYFUNCTION("""COMPUTED_VALUE"""),676.0)</f>
        <v>676</v>
      </c>
      <c r="P1469" s="2"/>
      <c r="Q1469" s="2" t="str">
        <f>IFERROR(__xludf.DUMMYFUNCTION("""COMPUTED_VALUE"""),"FOR PRINT")</f>
        <v>FOR PRINT</v>
      </c>
      <c r="R1469" s="74">
        <f>IFERROR(__xludf.DUMMYFUNCTION("""COMPUTED_VALUE"""),46079.0)</f>
        <v>46079</v>
      </c>
      <c r="S1469" s="2" t="str">
        <f>IFERROR(__xludf.DUMMYFUNCTION("""COMPUTED_VALUE"""),"JHP/ACS")</f>
        <v>JHP/ACS</v>
      </c>
      <c r="T1469" s="73" t="str">
        <f>IFERROR(__xludf.DUMMYFUNCTION("""COMPUTED_VALUE""")," N/A ")</f>
        <v>N/A</v>
      </c>
      <c r="U1469" s="73" t="str">
        <f>IFERROR(__xludf.DUMMYFUNCTION("""COMPUTED_VALUE""")," NO CHARGE ")</f>
        <v>NO CHARGE</v>
      </c>
      <c r="V1469" s="2">
        <f>IFERROR(__xludf.DUMMYFUNCTION("""COMPUTED_VALUE"""),1704.0)</f>
        <v>1704</v>
      </c>
      <c r="W1469" s="2" t="str">
        <f>IFERROR(__xludf.DUMMYFUNCTION("""COMPUTED_VALUE"""),"N/A")</f>
        <v>N/A</v>
      </c>
      <c r="X1469" s="2" t="str">
        <f>IFERROR(__xludf.DUMMYFUNCTION("""COMPUTED_VALUE"""),"N/A")</f>
        <v>N/A</v>
      </c>
      <c r="Y1469" s="2"/>
      <c r="Z1469" s="2"/>
      <c r="AA1469" s="2"/>
      <c r="AB1469" s="2"/>
      <c r="AC1469" s="2"/>
      <c r="AD1469" s="2"/>
      <c r="AE1469" s="2"/>
      <c r="AF1469" s="2"/>
      <c r="AG1469" s="2"/>
      <c r="AH1469" s="2"/>
      <c r="AI1469" s="2"/>
      <c r="AJ1469" s="2" t="str">
        <f>IFERROR(__xludf.DUMMYFUNCTION("""COMPUTED_VALUE"""),"Beddeng")</f>
        <v>Beddeng</v>
      </c>
      <c r="AK1469" s="2" t="str">
        <f>IFERROR(__xludf.DUMMYFUNCTION("""COMPUTED_VALUE"""),"San Narciso")</f>
        <v>San Narciso</v>
      </c>
      <c r="AL1469" s="2" t="str">
        <f>IFERROR(__xludf.DUMMYFUNCTION("""COMPUTED_VALUE"""),"Zambales")</f>
        <v>Zambales</v>
      </c>
      <c r="AM1469" s="2">
        <f>IFERROR(__xludf.DUMMYFUNCTION("""COMPUTED_VALUE"""),3.0)</f>
        <v>3</v>
      </c>
      <c r="AN1469" s="2" t="str">
        <f>IFERROR(__xludf.DUMMYFUNCTION("""COMPUTED_VALUE"""),"RCEF 25-03-05")</f>
        <v>RCEF 25-03-05</v>
      </c>
      <c r="AO1469" s="2">
        <f>IFERROR(__xludf.DUMMYFUNCTION("""COMPUTED_VALUE"""),5.0)</f>
        <v>5</v>
      </c>
      <c r="AP1469" s="2" t="str">
        <f>IFERROR(__xludf.DUMMYFUNCTION("""COMPUTED_VALUE"""),"FREE PMS")</f>
        <v>FREE PMS</v>
      </c>
      <c r="AQ1469" s="2"/>
      <c r="AR1469" s="2"/>
      <c r="AS1469" s="2"/>
      <c r="AT1469" s="2"/>
      <c r="AU1469" s="2"/>
      <c r="AV1469" s="2"/>
      <c r="AW1469" s="2"/>
      <c r="AX1469" s="2"/>
      <c r="AY1469" s="2"/>
      <c r="AZ1469" s="2"/>
      <c r="BA1469" s="2"/>
      <c r="BB1469" s="2"/>
    </row>
    <row r="1470">
      <c r="A1470" s="2">
        <f>IFERROR(__xludf.DUMMYFUNCTION("""COMPUTED_VALUE"""),1466.0)</f>
        <v>1466</v>
      </c>
      <c r="B1470" s="2" t="str">
        <f>IFERROR(__xludf.DUMMYFUNCTION("""COMPUTED_VALUE"""),"COMPLETED")</f>
        <v>COMPLETED</v>
      </c>
      <c r="C1470" s="74">
        <f>IFERROR(__xludf.DUMMYFUNCTION("""COMPUTED_VALUE"""),46079.0)</f>
        <v>46079</v>
      </c>
      <c r="D1470" s="71" t="str">
        <f>IFERROR(__xludf.DUMMYFUNCTION("""COMPUTED_VALUE"""),"Caanduyog Agriculture Cooperative (CAANDUYOG-ACO)")</f>
        <v>Caanduyog Agriculture Cooperative (CAANDUYOG-ACO)</v>
      </c>
      <c r="E1470" s="71" t="str">
        <f>IFERROR(__xludf.DUMMYFUNCTION("""COMPUTED_VALUE"""),"Cagmanaba, Ocampo, CAMARINES SUR")</f>
        <v>Cagmanaba, Ocampo, CAMARINES SUR</v>
      </c>
      <c r="F1470" s="2" t="str">
        <f>IFERROR(__xludf.DUMMYFUNCTION("""COMPUTED_VALUE"""),"AILEEN AQUINO")</f>
        <v>AILEEN AQUINO</v>
      </c>
      <c r="G1470" s="2">
        <f>IFERROR(__xludf.DUMMYFUNCTION("""COMPUTED_VALUE"""),9.10338503E9)</f>
        <v>9103385030</v>
      </c>
      <c r="H1470" s="2">
        <f>IFERROR(__xludf.DUMMYFUNCTION("""COMPUTED_VALUE"""),60.0)</f>
        <v>60</v>
      </c>
      <c r="I1470" s="72" t="str">
        <f>IFERROR(__xludf.DUMMYFUNCTION("""COMPUTED_VALUE"""),"PMS")</f>
        <v>PMS</v>
      </c>
      <c r="J1470" s="72" t="str">
        <f>IFERROR(__xludf.DUMMYFUNCTION("""COMPUTED_VALUE"""),"PMS")</f>
        <v>PMS</v>
      </c>
      <c r="K1470" s="72" t="str">
        <f>IFERROR(__xludf.DUMMYFUNCTION("""COMPUTED_VALUE"""),"FPJ: 1STS PMS FREE")</f>
        <v>FPJ: 1STS PMS FREE</v>
      </c>
      <c r="L1470" s="72" t="str">
        <f>IFERROR(__xludf.DUMMYFUNCTION("""COMPUTED_VALUE"""),"FPJ: 1ST PMS DONE")</f>
        <v>FPJ: 1ST PMS DONE</v>
      </c>
      <c r="M1470" s="2"/>
      <c r="N1470" s="2" t="str">
        <f>IFERROR(__xludf.DUMMYFUNCTION("""COMPUTED_VALUE"""),"PARTS:
OIL FILTER
ENGINE OIL")</f>
        <v>PARTS:
OIL FILTER
ENGINE OIL</v>
      </c>
      <c r="O1470" s="2">
        <f>IFERROR(__xludf.DUMMYFUNCTION("""COMPUTED_VALUE"""),573.0)</f>
        <v>573</v>
      </c>
      <c r="P1470" s="2"/>
      <c r="Q1470" s="2" t="str">
        <f>IFERROR(__xludf.DUMMYFUNCTION("""COMPUTED_VALUE"""),"FOR PRINT")</f>
        <v>FOR PRINT</v>
      </c>
      <c r="R1470" s="74">
        <f>IFERROR(__xludf.DUMMYFUNCTION("""COMPUTED_VALUE"""),46079.0)</f>
        <v>46079</v>
      </c>
      <c r="S1470" s="2" t="str">
        <f>IFERROR(__xludf.DUMMYFUNCTION("""COMPUTED_VALUE"""),"FPJ/JAH")</f>
        <v>FPJ/JAH</v>
      </c>
      <c r="T1470" s="73" t="str">
        <f>IFERROR(__xludf.DUMMYFUNCTION("""COMPUTED_VALUE""")," N/A ")</f>
        <v>N/A</v>
      </c>
      <c r="U1470" s="73" t="str">
        <f>IFERROR(__xludf.DUMMYFUNCTION("""COMPUTED_VALUE""")," NO CHARGE ")</f>
        <v>NO CHARGE</v>
      </c>
      <c r="V1470" s="2" t="str">
        <f>IFERROR(__xludf.DUMMYFUNCTION("""COMPUTED_VALUE"""),"N/A")</f>
        <v>N/A</v>
      </c>
      <c r="W1470" s="2" t="str">
        <f>IFERROR(__xludf.DUMMYFUNCTION("""COMPUTED_VALUE"""),"N/A")</f>
        <v>N/A</v>
      </c>
      <c r="X1470" s="2" t="str">
        <f>IFERROR(__xludf.DUMMYFUNCTION("""COMPUTED_VALUE"""),"N/A")</f>
        <v>N/A</v>
      </c>
      <c r="Y1470" s="2"/>
      <c r="Z1470" s="2"/>
      <c r="AA1470" s="2"/>
      <c r="AB1470" s="2"/>
      <c r="AC1470" s="2"/>
      <c r="AD1470" s="2"/>
      <c r="AE1470" s="2"/>
      <c r="AF1470" s="2"/>
      <c r="AG1470" s="2"/>
      <c r="AH1470" s="2"/>
      <c r="AI1470" s="2"/>
      <c r="AJ1470" s="2" t="str">
        <f>IFERROR(__xludf.DUMMYFUNCTION("""COMPUTED_VALUE"""),"Cagmanaba")</f>
        <v>Cagmanaba</v>
      </c>
      <c r="AK1470" s="2" t="str">
        <f>IFERROR(__xludf.DUMMYFUNCTION("""COMPUTED_VALUE"""),"Ocampo")</f>
        <v>Ocampo</v>
      </c>
      <c r="AL1470" s="2" t="str">
        <f>IFERROR(__xludf.DUMMYFUNCTION("""COMPUTED_VALUE"""),"Camarines Sur")</f>
        <v>Camarines Sur</v>
      </c>
      <c r="AM1470" s="2">
        <f>IFERROR(__xludf.DUMMYFUNCTION("""COMPUTED_VALUE"""),5.0)</f>
        <v>5</v>
      </c>
      <c r="AN1470" s="2" t="str">
        <f>IFERROR(__xludf.DUMMYFUNCTION("""COMPUTED_VALUE"""),"RCEF 25-03-05")</f>
        <v>RCEF 25-03-05</v>
      </c>
      <c r="AO1470" s="2">
        <f>IFERROR(__xludf.DUMMYFUNCTION("""COMPUTED_VALUE"""),6.0)</f>
        <v>6</v>
      </c>
      <c r="AP1470" s="2" t="str">
        <f>IFERROR(__xludf.DUMMYFUNCTION("""COMPUTED_VALUE"""),"FREE PMS")</f>
        <v>FREE PMS</v>
      </c>
      <c r="AQ1470" s="2"/>
      <c r="AR1470" s="2"/>
      <c r="AS1470" s="2"/>
      <c r="AT1470" s="2"/>
      <c r="AU1470" s="2"/>
      <c r="AV1470" s="2"/>
      <c r="AW1470" s="2"/>
      <c r="AX1470" s="2"/>
      <c r="AY1470" s="2"/>
      <c r="AZ1470" s="2"/>
      <c r="BA1470" s="2"/>
      <c r="BB1470" s="2"/>
    </row>
    <row r="1471">
      <c r="A1471" s="2">
        <f>IFERROR(__xludf.DUMMYFUNCTION("""COMPUTED_VALUE"""),1467.0)</f>
        <v>1467</v>
      </c>
      <c r="B1471" s="2" t="str">
        <f>IFERROR(__xludf.DUMMYFUNCTION("""COMPUTED_VALUE"""),"COMPLETED")</f>
        <v>COMPLETED</v>
      </c>
      <c r="C1471" s="74">
        <f>IFERROR(__xludf.DUMMYFUNCTION("""COMPUTED_VALUE"""),46079.0)</f>
        <v>46079</v>
      </c>
      <c r="D1471" s="71" t="str">
        <f>IFERROR(__xludf.DUMMYFUNCTION("""COMPUTED_VALUE"""),"CAGMANABA AGRARIAN REFORM FARMER-BENEFICIARIES ASS. (CARFBA)")</f>
        <v>CAGMANABA AGRARIAN REFORM FARMER-BENEFICIARIES ASS. (CARFBA)</v>
      </c>
      <c r="E1471" s="71" t="str">
        <f>IFERROR(__xludf.DUMMYFUNCTION("""COMPUTED_VALUE"""),"Cagmanaba, Ocampo, CAMARINES SUR")</f>
        <v>Cagmanaba, Ocampo, CAMARINES SUR</v>
      </c>
      <c r="F1471" s="2" t="str">
        <f>IFERROR(__xludf.DUMMYFUNCTION("""COMPUTED_VALUE"""),"Arnel Amilao")</f>
        <v>Arnel Amilao</v>
      </c>
      <c r="G1471" s="2" t="str">
        <f>IFERROR(__xludf.DUMMYFUNCTION("""COMPUTED_VALUE"""),"(0948) 896 9966")</f>
        <v>(0948) 896 9966</v>
      </c>
      <c r="H1471" s="2">
        <f>IFERROR(__xludf.DUMMYFUNCTION("""COMPUTED_VALUE"""),16.3)</f>
        <v>16.3</v>
      </c>
      <c r="I1471" s="72" t="str">
        <f>IFERROR(__xludf.DUMMYFUNCTION("""COMPUTED_VALUE"""),"PMS")</f>
        <v>PMS</v>
      </c>
      <c r="J1471" s="72" t="str">
        <f>IFERROR(__xludf.DUMMYFUNCTION("""COMPUTED_VALUE"""),"PMS")</f>
        <v>PMS</v>
      </c>
      <c r="K1471" s="72" t="str">
        <f>IFERROR(__xludf.DUMMYFUNCTION("""COMPUTED_VALUE"""),"FPJ: 1ST PMS FREE")</f>
        <v>FPJ: 1ST PMS FREE</v>
      </c>
      <c r="L1471" s="72" t="str">
        <f>IFERROR(__xludf.DUMMYFUNCTION("""COMPUTED_VALUE"""),"FPJ: INIWAN NALANG ANG LANGIS ST FILTER AT SILA NALANG DAW ANG MAG PMS, TUNURUAN NALANG NAMIN KUNG PANO ANG PROCEDURE , PMS")</f>
        <v>FPJ: INIWAN NALANG ANG LANGIS ST FILTER AT SILA NALANG DAW ANG MAG PMS, TUNURUAN NALANG NAMIN KUNG PANO ANG PROCEDURE , PMS</v>
      </c>
      <c r="M1471" s="2"/>
      <c r="N1471" s="2" t="str">
        <f>IFERROR(__xludf.DUMMYFUNCTION("""COMPUTED_VALUE"""),"PARTS:
ENGINE OIL
OIL FILTER")</f>
        <v>PARTS:
ENGINE OIL
OIL FILTER</v>
      </c>
      <c r="O1471" s="2">
        <f>IFERROR(__xludf.DUMMYFUNCTION("""COMPUTED_VALUE"""),574.0)</f>
        <v>574</v>
      </c>
      <c r="P1471" s="2"/>
      <c r="Q1471" s="2" t="str">
        <f>IFERROR(__xludf.DUMMYFUNCTION("""COMPUTED_VALUE"""),"FOR PRINT")</f>
        <v>FOR PRINT</v>
      </c>
      <c r="R1471" s="74">
        <f>IFERROR(__xludf.DUMMYFUNCTION("""COMPUTED_VALUE"""),46079.0)</f>
        <v>46079</v>
      </c>
      <c r="S1471" s="2" t="str">
        <f>IFERROR(__xludf.DUMMYFUNCTION("""COMPUTED_VALUE"""),"FPRJ/JAH")</f>
        <v>FPRJ/JAH</v>
      </c>
      <c r="T1471" s="73" t="str">
        <f>IFERROR(__xludf.DUMMYFUNCTION("""COMPUTED_VALUE""")," N/A ")</f>
        <v>N/A</v>
      </c>
      <c r="U1471" s="73" t="str">
        <f>IFERROR(__xludf.DUMMYFUNCTION("""COMPUTED_VALUE""")," NO CHARGE ")</f>
        <v>NO CHARGE</v>
      </c>
      <c r="V1471" s="2" t="str">
        <f>IFERROR(__xludf.DUMMYFUNCTION("""COMPUTED_VALUE"""),"NO DR")</f>
        <v>NO DR</v>
      </c>
      <c r="W1471" s="2" t="str">
        <f>IFERROR(__xludf.DUMMYFUNCTION("""COMPUTED_VALUE"""),"N/A")</f>
        <v>N/A</v>
      </c>
      <c r="X1471" s="2" t="str">
        <f>IFERROR(__xludf.DUMMYFUNCTION("""COMPUTED_VALUE"""),"N/A ")</f>
        <v>N/A </v>
      </c>
      <c r="Y1471" s="2"/>
      <c r="Z1471" s="2"/>
      <c r="AA1471" s="2"/>
      <c r="AB1471" s="2"/>
      <c r="AC1471" s="2"/>
      <c r="AD1471" s="2"/>
      <c r="AE1471" s="2"/>
      <c r="AF1471" s="2"/>
      <c r="AG1471" s="2"/>
      <c r="AH1471" s="2"/>
      <c r="AI1471" s="2"/>
      <c r="AJ1471" s="2" t="str">
        <f>IFERROR(__xludf.DUMMYFUNCTION("""COMPUTED_VALUE"""),"Cagmanaba")</f>
        <v>Cagmanaba</v>
      </c>
      <c r="AK1471" s="2" t="str">
        <f>IFERROR(__xludf.DUMMYFUNCTION("""COMPUTED_VALUE"""),"Ocampo")</f>
        <v>Ocampo</v>
      </c>
      <c r="AL1471" s="2" t="str">
        <f>IFERROR(__xludf.DUMMYFUNCTION("""COMPUTED_VALUE"""),"Camarines Sur")</f>
        <v>Camarines Sur</v>
      </c>
      <c r="AM1471" s="2">
        <f>IFERROR(__xludf.DUMMYFUNCTION("""COMPUTED_VALUE"""),5.0)</f>
        <v>5</v>
      </c>
      <c r="AN1471" s="2" t="str">
        <f>IFERROR(__xludf.DUMMYFUNCTION("""COMPUTED_VALUE"""),"RCEF 25-03-05")</f>
        <v>RCEF 25-03-05</v>
      </c>
      <c r="AO1471" s="2">
        <f>IFERROR(__xludf.DUMMYFUNCTION("""COMPUTED_VALUE"""),6.0)</f>
        <v>6</v>
      </c>
      <c r="AP1471" s="2" t="str">
        <f>IFERROR(__xludf.DUMMYFUNCTION("""COMPUTED_VALUE"""),"FREE PMS")</f>
        <v>FREE PMS</v>
      </c>
      <c r="AQ1471" s="2"/>
      <c r="AR1471" s="2"/>
      <c r="AS1471" s="2"/>
      <c r="AT1471" s="2"/>
      <c r="AU1471" s="2"/>
      <c r="AV1471" s="2"/>
      <c r="AW1471" s="2"/>
      <c r="AX1471" s="2"/>
      <c r="AY1471" s="2"/>
      <c r="AZ1471" s="2"/>
      <c r="BA1471" s="2"/>
      <c r="BB1471" s="2"/>
    </row>
    <row r="1472">
      <c r="A1472" s="2">
        <f>IFERROR(__xludf.DUMMYFUNCTION("""COMPUTED_VALUE"""),1468.0)</f>
        <v>1468</v>
      </c>
      <c r="B1472" s="2" t="str">
        <f>IFERROR(__xludf.DUMMYFUNCTION("""COMPUTED_VALUE"""),"COMPLETED")</f>
        <v>COMPLETED</v>
      </c>
      <c r="C1472" s="74">
        <f>IFERROR(__xludf.DUMMYFUNCTION("""COMPUTED_VALUE"""),46080.0)</f>
        <v>46080</v>
      </c>
      <c r="D1472" s="71" t="str">
        <f>IFERROR(__xludf.DUMMYFUNCTION("""COMPUTED_VALUE"""),"KABUHAYAN UNLAD SA AGRIKULTURA(KUSA)")</f>
        <v>KABUHAYAN UNLAD SA AGRIKULTURA(KUSA)</v>
      </c>
      <c r="E1472" s="71" t="str">
        <f>IFERROR(__xludf.DUMMYFUNCTION("""COMPUTED_VALUE"""),"San Agustin, San Jose City, NUEVA ECIJA")</f>
        <v>San Agustin, San Jose City, NUEVA ECIJA</v>
      </c>
      <c r="F1472" s="2" t="str">
        <f>IFERROR(__xludf.DUMMYFUNCTION("""COMPUTED_VALUE"""),"Benigno C Mico ")</f>
        <v>Benigno C Mico </v>
      </c>
      <c r="G1472" s="2" t="str">
        <f>IFERROR(__xludf.DUMMYFUNCTION("""COMPUTED_VALUE"""),"0926 901 5797")</f>
        <v>0926 901 5797</v>
      </c>
      <c r="H1472" s="2">
        <f>IFERROR(__xludf.DUMMYFUNCTION("""COMPUTED_VALUE"""),51.0)</f>
        <v>51</v>
      </c>
      <c r="I1472" s="72" t="str">
        <f>IFERROR(__xludf.DUMMYFUNCTION("""COMPUTED_VALUE"""),"PMS")</f>
        <v>PMS</v>
      </c>
      <c r="J1472" s="72" t="str">
        <f>IFERROR(__xludf.DUMMYFUNCTION("""COMPUTED_VALUE"""),"PMS")</f>
        <v>PMS</v>
      </c>
      <c r="K1472" s="72" t="str">
        <f>IFERROR(__xludf.DUMMYFUNCTION("""COMPUTED_VALUE"""),"MYK: 1ST PMS FREE")</f>
        <v>MYK: 1ST PMS FREE</v>
      </c>
      <c r="L1472" s="72" t="str">
        <f>IFERROR(__xludf.DUMMYFUNCTION("""COMPUTED_VALUE"""),"EGT: 1ST PMS DONE")</f>
        <v>EGT: 1ST PMS DONE</v>
      </c>
      <c r="M1472" s="2"/>
      <c r="N1472" s="2" t="str">
        <f>IFERROR(__xludf.DUMMYFUNCTION("""COMPUTED_VALUE"""),"PARTS:
OIL FILTER
ENGINE OIL")</f>
        <v>PARTS:
OIL FILTER
ENGINE OIL</v>
      </c>
      <c r="O1472" s="2">
        <f>IFERROR(__xludf.DUMMYFUNCTION("""COMPUTED_VALUE"""),437.0)</f>
        <v>437</v>
      </c>
      <c r="P1472" s="2"/>
      <c r="Q1472" s="2" t="str">
        <f>IFERROR(__xludf.DUMMYFUNCTION("""COMPUTED_VALUE"""),"FOR PRINT")</f>
        <v>FOR PRINT</v>
      </c>
      <c r="R1472" s="74">
        <f>IFERROR(__xludf.DUMMYFUNCTION("""COMPUTED_VALUE"""),46091.0)</f>
        <v>46091</v>
      </c>
      <c r="S1472" s="2" t="str">
        <f>IFERROR(__xludf.DUMMYFUNCTION("""COMPUTED_VALUE"""),"EGT/DRM")</f>
        <v>EGT/DRM</v>
      </c>
      <c r="T1472" s="73" t="str">
        <f>IFERROR(__xludf.DUMMYFUNCTION("""COMPUTED_VALUE""")," N/A ")</f>
        <v>N/A</v>
      </c>
      <c r="U1472" s="73" t="str">
        <f>IFERROR(__xludf.DUMMYFUNCTION("""COMPUTED_VALUE""")," NO CHARGE ")</f>
        <v>NO CHARGE</v>
      </c>
      <c r="V1472" s="2" t="str">
        <f>IFERROR(__xludf.DUMMYFUNCTION("""COMPUTED_VALUE"""),"NO DR")</f>
        <v>NO DR</v>
      </c>
      <c r="W1472" s="2" t="str">
        <f>IFERROR(__xludf.DUMMYFUNCTION("""COMPUTED_VALUE"""),"N/A")</f>
        <v>N/A</v>
      </c>
      <c r="X1472" s="2" t="str">
        <f>IFERROR(__xludf.DUMMYFUNCTION("""COMPUTED_VALUE"""),"N/A")</f>
        <v>N/A</v>
      </c>
      <c r="Y1472" s="2"/>
      <c r="Z1472" s="2"/>
      <c r="AA1472" s="2"/>
      <c r="AB1472" s="2"/>
      <c r="AC1472" s="2"/>
      <c r="AD1472" s="2"/>
      <c r="AE1472" s="2"/>
      <c r="AF1472" s="2"/>
      <c r="AG1472" s="2"/>
      <c r="AH1472" s="2"/>
      <c r="AI1472" s="2"/>
      <c r="AJ1472" s="2" t="str">
        <f>IFERROR(__xludf.DUMMYFUNCTION("""COMPUTED_VALUE"""),"San Agustin")</f>
        <v>San Agustin</v>
      </c>
      <c r="AK1472" s="2" t="str">
        <f>IFERROR(__xludf.DUMMYFUNCTION("""COMPUTED_VALUE"""),"San Jose City")</f>
        <v>San Jose City</v>
      </c>
      <c r="AL1472" s="2" t="str">
        <f>IFERROR(__xludf.DUMMYFUNCTION("""COMPUTED_VALUE"""),"Nueva Ecija")</f>
        <v>Nueva Ecija</v>
      </c>
      <c r="AM1472" s="2">
        <f>IFERROR(__xludf.DUMMYFUNCTION("""COMPUTED_VALUE"""),3.0)</f>
        <v>3</v>
      </c>
      <c r="AN1472" s="2" t="str">
        <f>IFERROR(__xludf.DUMMYFUNCTION("""COMPUTED_VALUE"""),"RCEF 25-03-05")</f>
        <v>RCEF 25-03-05</v>
      </c>
      <c r="AO1472" s="2">
        <f>IFERROR(__xludf.DUMMYFUNCTION("""COMPUTED_VALUE"""),5.0)</f>
        <v>5</v>
      </c>
      <c r="AP1472" s="2" t="str">
        <f>IFERROR(__xludf.DUMMYFUNCTION("""COMPUTED_VALUE"""),"FREE PMS")</f>
        <v>FREE PMS</v>
      </c>
      <c r="AQ1472" s="2"/>
      <c r="AR1472" s="2"/>
      <c r="AS1472" s="2"/>
      <c r="AT1472" s="2"/>
      <c r="AU1472" s="2"/>
      <c r="AV1472" s="2"/>
      <c r="AW1472" s="2"/>
      <c r="AX1472" s="2"/>
      <c r="AY1472" s="2"/>
      <c r="AZ1472" s="2"/>
      <c r="BA1472" s="2"/>
      <c r="BB1472" s="2"/>
    </row>
    <row r="1473">
      <c r="A1473" s="2">
        <f>IFERROR(__xludf.DUMMYFUNCTION("""COMPUTED_VALUE"""),1469.0)</f>
        <v>1469</v>
      </c>
      <c r="B1473" s="2" t="str">
        <f>IFERROR(__xludf.DUMMYFUNCTION("""COMPUTED_VALUE"""),"COMPLETED")</f>
        <v>COMPLETED</v>
      </c>
      <c r="C1473" s="74">
        <f>IFERROR(__xludf.DUMMYFUNCTION("""COMPUTED_VALUE"""),46080.0)</f>
        <v>46080</v>
      </c>
      <c r="D1473" s="71" t="str">
        <f>IFERROR(__xludf.DUMMYFUNCTION("""COMPUTED_VALUE"""),"Holy Trinity Cathedral Multipurpose Cooperative")</f>
        <v>Holy Trinity Cathedral Multipurpose Cooperative</v>
      </c>
      <c r="E1473" s="71" t="str">
        <f>IFERROR(__xludf.DUMMYFUNCTION("""COMPUTED_VALUE"""),"Bulanao, Tabuk City, KALINGA")</f>
        <v>Bulanao, Tabuk City, KALINGA</v>
      </c>
      <c r="F1473" s="2" t="str">
        <f>IFERROR(__xludf.DUMMYFUNCTION("""COMPUTED_VALUE"""),"Roland B. Kimmayong ")</f>
        <v>Roland B. Kimmayong </v>
      </c>
      <c r="G1473" s="2" t="str">
        <f>IFERROR(__xludf.DUMMYFUNCTION("""COMPUTED_VALUE"""),"9363540178 / 0")</f>
        <v>9363540178 / 0</v>
      </c>
      <c r="H1473" s="2"/>
      <c r="I1473" s="72" t="str">
        <f>IFERROR(__xludf.DUMMYFUNCTION("""COMPUTED_VALUE"""),"SPARE PARTS ACQUISITION")</f>
        <v>SPARE PARTS ACQUISITION</v>
      </c>
      <c r="J1473" s="72"/>
      <c r="K1473" s="72" t="str">
        <f>IFERROR(__xludf.DUMMYFUNCTION("""COMPUTED_VALUE"""),"ERP: ROTAVATOR BLADES  (5)")</f>
        <v>ERP: ROTAVATOR BLADES  (5)</v>
      </c>
      <c r="L1473" s="72" t="str">
        <f>IFERROR(__xludf.DUMMYFUNCTION("""COMPUTED_VALUE"""),"CFG: DELIVERED 5 ROTAVATOR BLADES")</f>
        <v>CFG: DELIVERED 5 ROTAVATOR BLADES</v>
      </c>
      <c r="M1473" s="2" t="str">
        <f>IFERROR(__xludf.DUMMYFUNCTION("""COMPUTED_VALUE"""),"5 - ROTAVATOR BLADES")</f>
        <v>5 - ROTAVATOR BLADES</v>
      </c>
      <c r="N1473" s="2" t="str">
        <f>IFERROR(__xludf.DUMMYFUNCTION("""COMPUTED_VALUE"""),"PARTS:
5- ROTAVATOR BLALDES")</f>
        <v>PARTS:
5- ROTAVATOR BLALDES</v>
      </c>
      <c r="O1473" s="2">
        <f>IFERROR(__xludf.DUMMYFUNCTION("""COMPUTED_VALUE"""),759.0)</f>
        <v>759</v>
      </c>
      <c r="P1473" s="2"/>
      <c r="Q1473" s="2" t="str">
        <f>IFERROR(__xludf.DUMMYFUNCTION("""COMPUTED_VALUE"""),"FOR PRINT")</f>
        <v>FOR PRINT</v>
      </c>
      <c r="R1473" s="74">
        <f>IFERROR(__xludf.DUMMYFUNCTION("""COMPUTED_VALUE"""),46104.0)</f>
        <v>46104</v>
      </c>
      <c r="S1473" s="2" t="str">
        <f>IFERROR(__xludf.DUMMYFUNCTION("""COMPUTED_VALUE"""),"CFG")</f>
        <v>CFG</v>
      </c>
      <c r="T1473" s="73">
        <f>IFERROR(__xludf.DUMMYFUNCTION("""COMPUTED_VALUE"""),3050.0)</f>
        <v>3050</v>
      </c>
      <c r="U1473" s="73" t="str">
        <f>IFERROR(__xludf.DUMMYFUNCTION("""COMPUTED_VALUE""")," REMITTED ")</f>
        <v>REMITTED</v>
      </c>
      <c r="V1473" s="2">
        <f>IFERROR(__xludf.DUMMYFUNCTION("""COMPUTED_VALUE"""),1658.0)</f>
        <v>1658</v>
      </c>
      <c r="W1473" s="2">
        <f>IFERROR(__xludf.DUMMYFUNCTION("""COMPUTED_VALUE"""),1774.0)</f>
        <v>1774</v>
      </c>
      <c r="X1473" s="2">
        <f>IFERROR(__xludf.DUMMYFUNCTION("""COMPUTED_VALUE"""),1785.0)</f>
        <v>1785</v>
      </c>
      <c r="Y1473" s="2"/>
      <c r="Z1473" s="2"/>
      <c r="AA1473" s="2"/>
      <c r="AB1473" s="2"/>
      <c r="AC1473" s="2"/>
      <c r="AD1473" s="2"/>
      <c r="AE1473" s="2"/>
      <c r="AF1473" s="2"/>
      <c r="AG1473" s="2"/>
      <c r="AH1473" s="2"/>
      <c r="AI1473" s="2"/>
      <c r="AJ1473" s="2" t="str">
        <f>IFERROR(__xludf.DUMMYFUNCTION("""COMPUTED_VALUE"""),"Bulanao")</f>
        <v>Bulanao</v>
      </c>
      <c r="AK1473" s="2" t="str">
        <f>IFERROR(__xludf.DUMMYFUNCTION("""COMPUTED_VALUE"""),"Tabuk City")</f>
        <v>Tabuk City</v>
      </c>
      <c r="AL1473" s="2" t="str">
        <f>IFERROR(__xludf.DUMMYFUNCTION("""COMPUTED_VALUE"""),"Kalinga")</f>
        <v>Kalinga</v>
      </c>
      <c r="AM1473" s="2" t="str">
        <f>IFERROR(__xludf.DUMMYFUNCTION("""COMPUTED_VALUE"""),"CAR")</f>
        <v>CAR</v>
      </c>
      <c r="AN1473" s="2" t="str">
        <f>IFERROR(__xludf.DUMMYFUNCTION("""COMPUTED_VALUE"""),"RCEF 23-09-21 Rebidding")</f>
        <v>RCEF 23-09-21 Rebidding</v>
      </c>
      <c r="AO1473" s="2">
        <f>IFERROR(__xludf.DUMMYFUNCTION("""COMPUTED_VALUE"""),1.0)</f>
        <v>1</v>
      </c>
      <c r="AP1473" s="2"/>
      <c r="AQ1473" s="2"/>
      <c r="AR1473" s="2"/>
      <c r="AS1473" s="2"/>
      <c r="AT1473" s="2"/>
      <c r="AU1473" s="2"/>
      <c r="AV1473" s="2"/>
      <c r="AW1473" s="2"/>
      <c r="AX1473" s="2"/>
      <c r="AY1473" s="2"/>
      <c r="AZ1473" s="2"/>
      <c r="BA1473" s="2"/>
      <c r="BB1473" s="2"/>
    </row>
    <row r="1474">
      <c r="A1474" s="2">
        <f>IFERROR(__xludf.DUMMYFUNCTION("""COMPUTED_VALUE"""),1470.0)</f>
        <v>1470</v>
      </c>
      <c r="B1474" s="2" t="str">
        <f>IFERROR(__xludf.DUMMYFUNCTION("""COMPUTED_VALUE"""),"COMPLETED")</f>
        <v>COMPLETED</v>
      </c>
      <c r="C1474" s="74">
        <f>IFERROR(__xludf.DUMMYFUNCTION("""COMPUTED_VALUE"""),46080.0)</f>
        <v>46080</v>
      </c>
      <c r="D1474" s="71" t="str">
        <f>IFERROR(__xludf.DUMMYFUNCTION("""COMPUTED_VALUE"""),"NARARAGAN CABAYU SAN JUAN VALLEY IRRIGATORS ASSOCIATION, INC.")</f>
        <v>NARARAGAN CABAYU SAN JUAN VALLEY IRRIGATORS ASSOCIATION, INC.</v>
      </c>
      <c r="E1474" s="71" t="str">
        <f>IFERROR(__xludf.DUMMYFUNCTION("""COMPUTED_VALUE"""),"Cabayu, Ballesteros, CAGAYAN")</f>
        <v>Cabayu, Ballesteros, CAGAYAN</v>
      </c>
      <c r="F1474" s="2" t="str">
        <f>IFERROR(__xludf.DUMMYFUNCTION("""COMPUTED_VALUE"""),"Manuel F. Ralleca")</f>
        <v>Manuel F. Ralleca</v>
      </c>
      <c r="G1474" s="2" t="str">
        <f>IFERROR(__xludf.DUMMYFUNCTION("""COMPUTED_VALUE"""),"0926 488 1045")</f>
        <v>0926 488 1045</v>
      </c>
      <c r="H1474" s="2"/>
      <c r="I1474" s="72" t="str">
        <f>IFERROR(__xludf.DUMMYFUNCTION("""COMPUTED_VALUE"""),"SPARE PARTS ACQUISITION")</f>
        <v>SPARE PARTS ACQUISITION</v>
      </c>
      <c r="J1474" s="72"/>
      <c r="K1474" s="72" t="str">
        <f>IFERROR(__xludf.DUMMYFUNCTION("""COMPUTED_VALUE"""),"Nagrereq ng oil filter at hydraulic filter, 
Remarks: never pa nagpalit ng oil filter kasi sinabihan daw ng technician na ireuse lang yung filter kapag walang mabilhan.")</f>
        <v>Nagrereq ng oil filter at hydraulic filter, 
Remarks: never pa nagpalit ng oil filter kasi sinabihan daw ng technician na ireuse lang yung filter kapag walang mabilhan.</v>
      </c>
      <c r="L1474" s="72" t="str">
        <f>IFERROR(__xludf.DUMMYFUNCTION("""COMPUTED_VALUE"""),"CFG: 2ND PMS DONE")</f>
        <v>CFG: 2ND PMS DONE</v>
      </c>
      <c r="M1474" s="2"/>
      <c r="N1474" s="2" t="str">
        <f>IFERROR(__xludf.DUMMYFUNCTION("""COMPUTED_VALUE"""),"PARTS:
HYDRAULIC FILTER
ENGINE OIL
SERVICE CHARGE: 2,500")</f>
        <v>PARTS:
HYDRAULIC FILTER
ENGINE OIL
SERVICE CHARGE: 2,500</v>
      </c>
      <c r="O1474" s="2">
        <f>IFERROR(__xludf.DUMMYFUNCTION("""COMPUTED_VALUE"""),754.0)</f>
        <v>754</v>
      </c>
      <c r="P1474" s="2"/>
      <c r="Q1474" s="2" t="str">
        <f>IFERROR(__xludf.DUMMYFUNCTION("""COMPUTED_VALUE"""),"FOR PRINT")</f>
        <v>FOR PRINT</v>
      </c>
      <c r="R1474" s="74">
        <f>IFERROR(__xludf.DUMMYFUNCTION("""COMPUTED_VALUE"""),46081.0)</f>
        <v>46081</v>
      </c>
      <c r="S1474" s="2" t="str">
        <f>IFERROR(__xludf.DUMMYFUNCTION("""COMPUTED_VALUE"""),"CFG")</f>
        <v>CFG</v>
      </c>
      <c r="T1474" s="73">
        <f>IFERROR(__xludf.DUMMYFUNCTION("""COMPUTED_VALUE"""),6870.0)</f>
        <v>6870</v>
      </c>
      <c r="U1474" s="73" t="str">
        <f>IFERROR(__xludf.DUMMYFUNCTION("""COMPUTED_VALUE""")," RECORDED ")</f>
        <v>RECORDED</v>
      </c>
      <c r="V1474" s="2">
        <f>IFERROR(__xludf.DUMMYFUNCTION("""COMPUTED_VALUE"""),1655.0)</f>
        <v>1655</v>
      </c>
      <c r="W1474" s="2">
        <f>IFERROR(__xludf.DUMMYFUNCTION("""COMPUTED_VALUE"""),1772.0)</f>
        <v>1772</v>
      </c>
      <c r="X1474" s="2">
        <f>IFERROR(__xludf.DUMMYFUNCTION("""COMPUTED_VALUE"""),1714.0)</f>
        <v>1714</v>
      </c>
      <c r="Y1474" s="2"/>
      <c r="Z1474" s="2"/>
      <c r="AA1474" s="2"/>
      <c r="AB1474" s="2"/>
      <c r="AC1474" s="2"/>
      <c r="AD1474" s="2"/>
      <c r="AE1474" s="2"/>
      <c r="AF1474" s="2"/>
      <c r="AG1474" s="2"/>
      <c r="AH1474" s="2"/>
      <c r="AI1474" s="2"/>
      <c r="AJ1474" s="2" t="str">
        <f>IFERROR(__xludf.DUMMYFUNCTION("""COMPUTED_VALUE"""),"Cabayu")</f>
        <v>Cabayu</v>
      </c>
      <c r="AK1474" s="2" t="str">
        <f>IFERROR(__xludf.DUMMYFUNCTION("""COMPUTED_VALUE"""),"Ballesteros")</f>
        <v>Ballesteros</v>
      </c>
      <c r="AL1474" s="2" t="str">
        <f>IFERROR(__xludf.DUMMYFUNCTION("""COMPUTED_VALUE"""),"Cagayan")</f>
        <v>Cagayan</v>
      </c>
      <c r="AM1474" s="2">
        <f>IFERROR(__xludf.DUMMYFUNCTION("""COMPUTED_VALUE"""),2.0)</f>
        <v>2</v>
      </c>
      <c r="AN1474" s="2" t="str">
        <f>IFERROR(__xludf.DUMMYFUNCTION("""COMPUTED_VALUE"""),"RCEF 23-09-21 Rebidding")</f>
        <v>RCEF 23-09-21 Rebidding</v>
      </c>
      <c r="AO1474" s="2">
        <f>IFERROR(__xludf.DUMMYFUNCTION("""COMPUTED_VALUE"""),9.0)</f>
        <v>9</v>
      </c>
      <c r="AP1474" s="2"/>
      <c r="AQ1474" s="2"/>
      <c r="AR1474" s="2"/>
      <c r="AS1474" s="2"/>
      <c r="AT1474" s="2"/>
      <c r="AU1474" s="2"/>
      <c r="AV1474" s="2"/>
      <c r="AW1474" s="2"/>
      <c r="AX1474" s="2"/>
      <c r="AY1474" s="2"/>
      <c r="AZ1474" s="2"/>
      <c r="BA1474" s="2"/>
      <c r="BB1474" s="2"/>
    </row>
    <row r="1475">
      <c r="A1475" s="2">
        <f>IFERROR(__xludf.DUMMYFUNCTION("""COMPUTED_VALUE"""),1471.0)</f>
        <v>1471</v>
      </c>
      <c r="B1475" s="2" t="str">
        <f>IFERROR(__xludf.DUMMYFUNCTION("""COMPUTED_VALUE"""),"COMPLETED")</f>
        <v>COMPLETED</v>
      </c>
      <c r="C1475" s="74">
        <f>IFERROR(__xludf.DUMMYFUNCTION("""COMPUTED_VALUE"""),46080.0)</f>
        <v>46080</v>
      </c>
      <c r="D1475" s="71" t="str">
        <f>IFERROR(__xludf.DUMMYFUNCTION("""COMPUTED_VALUE"""),"IRAGA Water Pump Irrigators Association Inc. (IWPIA)")</f>
        <v>IRAGA Water Pump Irrigators Association Inc. (IWPIA)</v>
      </c>
      <c r="E1475" s="71" t="str">
        <f>IFERROR(__xludf.DUMMYFUNCTION("""COMPUTED_VALUE"""),"Iraga, Solana, CAGAYAN")</f>
        <v>Iraga, Solana, CAGAYAN</v>
      </c>
      <c r="F1475" s="2" t="str">
        <f>IFERROR(__xludf.DUMMYFUNCTION("""COMPUTED_VALUE"""),"Dumon Mabborang")</f>
        <v>Dumon Mabborang</v>
      </c>
      <c r="G1475" s="2" t="str">
        <f>IFERROR(__xludf.DUMMYFUNCTION("""COMPUTED_VALUE"""),"0927 339 1144")</f>
        <v>0927 339 1144</v>
      </c>
      <c r="H1475" s="2">
        <f>IFERROR(__xludf.DUMMYFUNCTION("""COMPUTED_VALUE"""),78.5)</f>
        <v>78.5</v>
      </c>
      <c r="I1475" s="72" t="str">
        <f>IFERROR(__xludf.DUMMYFUNCTION("""COMPUTED_VALUE"""),"REPAIR - TRACTOR")</f>
        <v>REPAIR - TRACTOR</v>
      </c>
      <c r="J1475" s="72" t="str">
        <f>IFERROR(__xludf.DUMMYFUNCTION("""COMPUTED_VALUE"""),"PTO - Valve Assy")</f>
        <v>PTO - Valve Assy</v>
      </c>
      <c r="K1475" s="72" t="str">
        <f>IFERROR(__xludf.DUMMYFUNCTION("""COMPUTED_VALUE"""),"ERP: AYAW UMIKOT NG ROTAVATOR YEARS NA DI NAGAGAMIT")</f>
        <v>ERP: AYAW UMIKOT NG ROTAVATOR YEARS NA DI NAGAGAMIT</v>
      </c>
      <c r="L1475" s="72" t="str">
        <f>IFERROR(__xludf.DUMMYFUNCTION("""COMPUTED_VALUE"""),"MYK:Additoinal update dito, after daw po ng pangalawa pag punta ng technicaian natin hindi padin daw po nagging ok yung rotavator, kaya hindi nadw po nila ginagamit ang rotavator, pero ang loader ok daw po, natawag daw po sila sa technician ngunit hindi d"&amp;"aw sila sinasagot, kaya kada may meeting daw sila sa DA doon lang daw sila nag rereport, verbal report lamang daw sa DA Engr. Office, at kay Ma'am Rosa daw po ng RAED DA Region 2 .
kasalukayang ang machine hours ng tractor ngayun ay 77 hrs.
756: CFG: ad"&amp;"justing pto valve, pero ganun padin ang unit, pahinto hinto padin .
PARTS NEEDED: PTO VALVE  ASSY
KFS: FOR WARRANTY CLAIM- NO ASSURANCES
5/8/26 - REPLACED PTO VALVE ASSY -  WARRANTY BY LTC")</f>
        <v>MYK:Additoinal update dito, after daw po ng pangalawa pag punta ng technicaian natin hindi padin daw po nagging ok yung rotavator, kaya hindi nadw po nila ginagamit ang rotavator, pero ang loader ok daw po, natawag daw po sila sa technician ngunit hindi daw sila sinasagot, kaya kada may meeting daw sila sa DA doon lang daw sila nag rereport, verbal report lamang daw sa DA Engr. Office, at kay Ma'am Rosa daw po ng RAED DA Region 2 .
kasalukayang ang machine hours ng tractor ngayun ay 77 hrs.
756: CFG: adjusting pto valve, pero ganun padin ang unit, pahinto hinto padin .
PARTS NEEDED: PTO VALVE  ASSY
KFS: FOR WARRANTY CLAIM- NO ASSURANCES
5/8/26 - REPLACED PTO VALVE ASSY -  WARRANTY BY LTC</v>
      </c>
      <c r="M1475" s="2" t="str">
        <f>IFERROR(__xludf.DUMMYFUNCTION("""COMPUTED_VALUE"""),"PTO VALVE ASSY")</f>
        <v>PTO VALVE ASSY</v>
      </c>
      <c r="N1475" s="2" t="str">
        <f>IFERROR(__xludf.DUMMYFUNCTION("""COMPUTED_VALUE"""),"PARTS:
PTO VALVE ASSY")</f>
        <v>PARTS:
PTO VALVE ASSY</v>
      </c>
      <c r="O1475" s="2">
        <f>IFERROR(__xludf.DUMMYFUNCTION("""COMPUTED_VALUE"""),762.0)</f>
        <v>762</v>
      </c>
      <c r="P1475" s="2"/>
      <c r="Q1475" s="2" t="str">
        <f>IFERROR(__xludf.DUMMYFUNCTION("""COMPUTED_VALUE"""),"FOR PRINT")</f>
        <v>FOR PRINT</v>
      </c>
      <c r="R1475" s="74">
        <f>IFERROR(__xludf.DUMMYFUNCTION("""COMPUTED_VALUE"""),46150.0)</f>
        <v>46150</v>
      </c>
      <c r="S1475" s="2" t="str">
        <f>IFERROR(__xludf.DUMMYFUNCTION("""COMPUTED_VALUE"""),"CFG/OJT")</f>
        <v>CFG/OJT</v>
      </c>
      <c r="T1475" s="73" t="str">
        <f>IFERROR(__xludf.DUMMYFUNCTION("""COMPUTED_VALUE""")," N/A ")</f>
        <v>N/A</v>
      </c>
      <c r="U1475" s="73" t="str">
        <f>IFERROR(__xludf.DUMMYFUNCTION("""COMPUTED_VALUE""")," NO CHARGE ")</f>
        <v>NO CHARGE</v>
      </c>
      <c r="V1475" s="2" t="str">
        <f>IFERROR(__xludf.DUMMYFUNCTION("""COMPUTED_VALUE"""),"NO DR")</f>
        <v>NO DR</v>
      </c>
      <c r="W1475" s="2" t="str">
        <f>IFERROR(__xludf.DUMMYFUNCTION("""COMPUTED_VALUE"""),"N/A")</f>
        <v>N/A</v>
      </c>
      <c r="X1475" s="2" t="str">
        <f>IFERROR(__xludf.DUMMYFUNCTION("""COMPUTED_VALUE"""),"N/A")</f>
        <v>N/A</v>
      </c>
      <c r="Y1475" s="2"/>
      <c r="Z1475" s="2"/>
      <c r="AA1475" s="2"/>
      <c r="AB1475" s="2"/>
      <c r="AC1475" s="2"/>
      <c r="AD1475" s="2"/>
      <c r="AE1475" s="2"/>
      <c r="AF1475" s="2"/>
      <c r="AG1475" s="2"/>
      <c r="AH1475" s="2"/>
      <c r="AI1475" s="2"/>
      <c r="AJ1475" s="2" t="str">
        <f>IFERROR(__xludf.DUMMYFUNCTION("""COMPUTED_VALUE"""),"Iraga")</f>
        <v>Iraga</v>
      </c>
      <c r="AK1475" s="2" t="str">
        <f>IFERROR(__xludf.DUMMYFUNCTION("""COMPUTED_VALUE"""),"Solana")</f>
        <v>Solana</v>
      </c>
      <c r="AL1475" s="2" t="str">
        <f>IFERROR(__xludf.DUMMYFUNCTION("""COMPUTED_VALUE"""),"Cagayan")</f>
        <v>Cagayan</v>
      </c>
      <c r="AM1475" s="2">
        <f>IFERROR(__xludf.DUMMYFUNCTION("""COMPUTED_VALUE"""),2.0)</f>
        <v>2</v>
      </c>
      <c r="AN1475" s="2" t="str">
        <f>IFERROR(__xludf.DUMMYFUNCTION("""COMPUTED_VALUE"""),"RCEF 23-09-21 Rebidding")</f>
        <v>RCEF 23-09-21 Rebidding</v>
      </c>
      <c r="AO1475" s="2">
        <f>IFERROR(__xludf.DUMMYFUNCTION("""COMPUTED_VALUE"""),1.0)</f>
        <v>1</v>
      </c>
      <c r="AP1475" s="2"/>
      <c r="AQ1475" s="2"/>
      <c r="AR1475" s="2"/>
      <c r="AS1475" s="2"/>
      <c r="AT1475" s="2"/>
      <c r="AU1475" s="2"/>
      <c r="AV1475" s="2"/>
      <c r="AW1475" s="2"/>
      <c r="AX1475" s="2"/>
      <c r="AY1475" s="2"/>
      <c r="AZ1475" s="2"/>
      <c r="BA1475" s="2"/>
      <c r="BB1475" s="2"/>
    </row>
    <row r="1476">
      <c r="A1476" s="2">
        <f>IFERROR(__xludf.DUMMYFUNCTION("""COMPUTED_VALUE"""),1472.0)</f>
        <v>1472</v>
      </c>
      <c r="B1476" s="2" t="str">
        <f>IFERROR(__xludf.DUMMYFUNCTION("""COMPUTED_VALUE"""),"PENDING")</f>
        <v>PENDING</v>
      </c>
      <c r="C1476" s="74">
        <f>IFERROR(__xludf.DUMMYFUNCTION("""COMPUTED_VALUE"""),46081.0)</f>
        <v>46081</v>
      </c>
      <c r="D1476" s="71" t="str">
        <f>IFERROR(__xludf.DUMMYFUNCTION("""COMPUTED_VALUE"""),"Caninguan Farmers Association")</f>
        <v>Caninguan Farmers Association</v>
      </c>
      <c r="E1476" s="71" t="str">
        <f>IFERROR(__xludf.DUMMYFUNCTION("""COMPUTED_VALUE"""),"Caninguan, Lambunao, ILOILO")</f>
        <v>Caninguan, Lambunao, ILOILO</v>
      </c>
      <c r="F1476" s="2" t="str">
        <f>IFERROR(__xludf.DUMMYFUNCTION("""COMPUTED_VALUE"""),"Regie Navarra")</f>
        <v>Regie Navarra</v>
      </c>
      <c r="G1476" s="2">
        <f>IFERROR(__xludf.DUMMYFUNCTION("""COMPUTED_VALUE"""),9.081769678E9)</f>
        <v>9081769678</v>
      </c>
      <c r="H1476" s="2">
        <f>IFERROR(__xludf.DUMMYFUNCTION("""COMPUTED_VALUE"""),50.0)</f>
        <v>50</v>
      </c>
      <c r="I1476" s="72" t="str">
        <f>IFERROR(__xludf.DUMMYFUNCTION("""COMPUTED_VALUE"""),"PMS")</f>
        <v>PMS</v>
      </c>
      <c r="J1476" s="72" t="str">
        <f>IFERROR(__xludf.DUMMYFUNCTION("""COMPUTED_VALUE"""),"PMS")</f>
        <v>PMS</v>
      </c>
      <c r="K1476" s="72" t="str">
        <f>IFERROR(__xludf.DUMMYFUNCTION("""COMPUTED_VALUE"""),"EGT: 1ST PMS FREE -  FORNT LOADER NEVER GO UPWARD")</f>
        <v>EGT: 1ST PMS FREE -  FORNT LOADER NEVER GO UPWARD</v>
      </c>
      <c r="L1476" s="72" t="str">
        <f>IFERROR(__xludf.DUMMYFUNCTION("""COMPUTED_VALUE"""),"FPJ:Nag VC na po kami ni FCA na assess  kuna po sira yung Hydrualic cable lock.
Nag claim si fca na warranty pa daw po ito
MYK: 5/5/26: SILA NA ANG NAG PAGAWA NG 2 CABLE LOCK AT NAG PMS, PALITAN NALANG DAW NATIN ANG MGA PARTS AT LANGIS NA NAGAMIT NILA PA"&amp;"GBALIK NATIN SA KANILA.
PARTS:
2- CABLE LOCK
1-OIL FILTER
1- ENGINE OIL")</f>
        <v>FPJ:Nag VC na po kami ni FCA na assess  kuna po sira yung Hydrualic cable lock.
Nag claim si fca na warranty pa daw po ito
MYK: 5/5/26: SILA NA ANG NAG PAGAWA NG 2 CABLE LOCK AT NAG PMS, PALITAN NALANG DAW NATIN ANG MGA PARTS AT LANGIS NA NAGAMIT NILA PAGBALIK NATIN SA KANILA.
PARTS:
2- CABLE LOCK
1-OIL FILTER
1- ENGINE OIL</v>
      </c>
      <c r="M1476" s="2" t="str">
        <f>IFERROR(__xludf.DUMMYFUNCTION("""COMPUTED_VALUE"""),"2- CABLE LOCK
1-OIL FILTER
1- ENGINE OIL")</f>
        <v>2- CABLE LOCK
1-OIL FILTER
1- ENGINE OIL</v>
      </c>
      <c r="N1476" s="2"/>
      <c r="O1476" s="2"/>
      <c r="P1476" s="2"/>
      <c r="Q1476" s="2"/>
      <c r="R1476" s="2"/>
      <c r="S1476" s="2"/>
      <c r="T1476" s="2"/>
      <c r="U1476" s="2"/>
      <c r="V1476" s="2"/>
      <c r="W1476" s="2"/>
      <c r="X1476" s="2"/>
      <c r="Y1476" s="2"/>
      <c r="Z1476" s="2"/>
      <c r="AA1476" s="2"/>
      <c r="AB1476" s="2"/>
      <c r="AC1476" s="2"/>
      <c r="AD1476" s="2"/>
      <c r="AE1476" s="2"/>
      <c r="AF1476" s="2"/>
      <c r="AG1476" s="2"/>
      <c r="AH1476" s="2"/>
      <c r="AI1476" s="2"/>
      <c r="AJ1476" s="2" t="str">
        <f>IFERROR(__xludf.DUMMYFUNCTION("""COMPUTED_VALUE"""),"Caninguan")</f>
        <v>Caninguan</v>
      </c>
      <c r="AK1476" s="2" t="str">
        <f>IFERROR(__xludf.DUMMYFUNCTION("""COMPUTED_VALUE"""),"Lambunao")</f>
        <v>Lambunao</v>
      </c>
      <c r="AL1476" s="2" t="str">
        <f>IFERROR(__xludf.DUMMYFUNCTION("""COMPUTED_VALUE"""),"Iloilo")</f>
        <v>Iloilo</v>
      </c>
      <c r="AM1476" s="2">
        <f>IFERROR(__xludf.DUMMYFUNCTION("""COMPUTED_VALUE"""),6.0)</f>
        <v>6</v>
      </c>
      <c r="AN1476" s="2" t="str">
        <f>IFERROR(__xludf.DUMMYFUNCTION("""COMPUTED_VALUE"""),"RCEF 25-03-05")</f>
        <v>RCEF 25-03-05</v>
      </c>
      <c r="AO1476" s="2">
        <f>IFERROR(__xludf.DUMMYFUNCTION("""COMPUTED_VALUE"""),7.0)</f>
        <v>7</v>
      </c>
      <c r="AP1476" s="2" t="str">
        <f>IFERROR(__xludf.DUMMYFUNCTION("""COMPUTED_VALUE"""),"FREE PMS")</f>
        <v>FREE PMS</v>
      </c>
      <c r="AQ1476" s="2"/>
      <c r="AR1476" s="2"/>
      <c r="AS1476" s="2"/>
      <c r="AT1476" s="2"/>
      <c r="AU1476" s="2"/>
      <c r="AV1476" s="2"/>
      <c r="AW1476" s="2"/>
      <c r="AX1476" s="2"/>
      <c r="AY1476" s="2"/>
      <c r="AZ1476" s="2"/>
      <c r="BA1476" s="2"/>
      <c r="BB1476" s="2"/>
    </row>
    <row r="1477">
      <c r="A1477" s="2">
        <f>IFERROR(__xludf.DUMMYFUNCTION("""COMPUTED_VALUE"""),1473.0)</f>
        <v>1473</v>
      </c>
      <c r="B1477" s="2" t="str">
        <f>IFERROR(__xludf.DUMMYFUNCTION("""COMPUTED_VALUE"""),"COMPLETED")</f>
        <v>COMPLETED</v>
      </c>
      <c r="C1477" s="74">
        <f>IFERROR(__xludf.DUMMYFUNCTION("""COMPUTED_VALUE"""),46083.0)</f>
        <v>46083</v>
      </c>
      <c r="D1477" s="71" t="str">
        <f>IFERROR(__xludf.DUMMYFUNCTION("""COMPUTED_VALUE"""),"San Carlos Multi-Purpose Cooperative")</f>
        <v>San Carlos Multi-Purpose Cooperative</v>
      </c>
      <c r="E1477" s="71" t="str">
        <f>IFERROR(__xludf.DUMMYFUNCTION("""COMPUTED_VALUE"""),"San Francisco, Sablayan, OCCIDENTAL MINDORO")</f>
        <v>San Francisco, Sablayan, OCCIDENTAL MINDORO</v>
      </c>
      <c r="F1477" s="2" t="str">
        <f>IFERROR(__xludf.DUMMYFUNCTION("""COMPUTED_VALUE"""),"DORIS ORTEGA")</f>
        <v>DORIS ORTEGA</v>
      </c>
      <c r="G1477" s="2">
        <f>IFERROR(__xludf.DUMMYFUNCTION("""COMPUTED_VALUE"""),9.923106605E9)</f>
        <v>9923106605</v>
      </c>
      <c r="H1477" s="2">
        <f>IFERROR(__xludf.DUMMYFUNCTION("""COMPUTED_VALUE"""),50.0)</f>
        <v>50</v>
      </c>
      <c r="I1477" s="72" t="str">
        <f>IFERROR(__xludf.DUMMYFUNCTION("""COMPUTED_VALUE"""),"PMS")</f>
        <v>PMS</v>
      </c>
      <c r="J1477" s="72" t="str">
        <f>IFERROR(__xludf.DUMMYFUNCTION("""COMPUTED_VALUE"""),"PMS")</f>
        <v>PMS</v>
      </c>
      <c r="K1477" s="72" t="str">
        <f>IFERROR(__xludf.DUMMYFUNCTION("""COMPUTED_VALUE"""),"MYK: 1ST PMS FREE")</f>
        <v>MYK: 1ST PMS FREE</v>
      </c>
      <c r="L1477" s="72" t="str">
        <f>IFERROR(__xludf.DUMMYFUNCTION("""COMPUTED_VALUE"""),"RCG: 1ST PMS DONE")</f>
        <v>RCG: 1ST PMS DONE</v>
      </c>
      <c r="M1477" s="2"/>
      <c r="N1477" s="2" t="str">
        <f>IFERROR(__xludf.DUMMYFUNCTION("""COMPUTED_VALUE"""),"PARTS:
OIL FILTER
ENGINE OIL")</f>
        <v>PARTS:
OIL FILTER
ENGINE OIL</v>
      </c>
      <c r="O1477" s="2"/>
      <c r="P1477" s="2"/>
      <c r="Q1477" s="2" t="str">
        <f>IFERROR(__xludf.DUMMYFUNCTION("""COMPUTED_VALUE"""),"FOR PRINT")</f>
        <v>FOR PRINT</v>
      </c>
      <c r="R1477" s="74">
        <f>IFERROR(__xludf.DUMMYFUNCTION("""COMPUTED_VALUE"""),46089.0)</f>
        <v>46089</v>
      </c>
      <c r="S1477" s="2" t="str">
        <f>IFERROR(__xludf.DUMMYFUNCTION("""COMPUTED_VALUE"""),"RCG/RCM")</f>
        <v>RCG/RCM</v>
      </c>
      <c r="T1477" s="73" t="str">
        <f>IFERROR(__xludf.DUMMYFUNCTION("""COMPUTED_VALUE""")," N/A ")</f>
        <v>N/A</v>
      </c>
      <c r="U1477" s="73" t="str">
        <f>IFERROR(__xludf.DUMMYFUNCTION("""COMPUTED_VALUE""")," NO CHARGE ")</f>
        <v>NO CHARGE</v>
      </c>
      <c r="V1477" s="2">
        <f>IFERROR(__xludf.DUMMYFUNCTION("""COMPUTED_VALUE"""),1422.0)</f>
        <v>1422</v>
      </c>
      <c r="W1477" s="2" t="str">
        <f>IFERROR(__xludf.DUMMYFUNCTION("""COMPUTED_VALUE"""),"N/A")</f>
        <v>N/A</v>
      </c>
      <c r="X1477" s="2" t="str">
        <f>IFERROR(__xludf.DUMMYFUNCTION("""COMPUTED_VALUE"""),"N/A")</f>
        <v>N/A</v>
      </c>
      <c r="Y1477" s="2"/>
      <c r="Z1477" s="2"/>
      <c r="AA1477" s="2"/>
      <c r="AB1477" s="2"/>
      <c r="AC1477" s="2"/>
      <c r="AD1477" s="2"/>
      <c r="AE1477" s="2"/>
      <c r="AF1477" s="2"/>
      <c r="AG1477" s="2"/>
      <c r="AH1477" s="2"/>
      <c r="AI1477" s="2"/>
      <c r="AJ1477" s="2" t="str">
        <f>IFERROR(__xludf.DUMMYFUNCTION("""COMPUTED_VALUE"""),"San Francisco")</f>
        <v>San Francisco</v>
      </c>
      <c r="AK1477" s="2" t="str">
        <f>IFERROR(__xludf.DUMMYFUNCTION("""COMPUTED_VALUE"""),"Sablayan")</f>
        <v>Sablayan</v>
      </c>
      <c r="AL1477" s="2" t="str">
        <f>IFERROR(__xludf.DUMMYFUNCTION("""COMPUTED_VALUE"""),"Occidental Mindoro")</f>
        <v>Occidental Mindoro</v>
      </c>
      <c r="AM1477" s="2" t="str">
        <f>IFERROR(__xludf.DUMMYFUNCTION("""COMPUTED_VALUE"""),"4B")</f>
        <v>4B</v>
      </c>
      <c r="AN1477" s="2" t="str">
        <f>IFERROR(__xludf.DUMMYFUNCTION("""COMPUTED_VALUE"""),"RCEF 25-03-05")</f>
        <v>RCEF 25-03-05</v>
      </c>
      <c r="AO1477" s="2">
        <f>IFERROR(__xludf.DUMMYFUNCTION("""COMPUTED_VALUE"""),6.0)</f>
        <v>6</v>
      </c>
      <c r="AP1477" s="2" t="str">
        <f>IFERROR(__xludf.DUMMYFUNCTION("""COMPUTED_VALUE"""),"FREE PMS")</f>
        <v>FREE PMS</v>
      </c>
      <c r="AQ1477" s="2"/>
      <c r="AR1477" s="2"/>
      <c r="AS1477" s="2"/>
      <c r="AT1477" s="2"/>
      <c r="AU1477" s="2"/>
      <c r="AV1477" s="2"/>
      <c r="AW1477" s="2"/>
      <c r="AX1477" s="2"/>
      <c r="AY1477" s="2"/>
      <c r="AZ1477" s="2"/>
      <c r="BA1477" s="2"/>
      <c r="BB1477" s="2"/>
    </row>
    <row r="1478">
      <c r="A1478" s="2">
        <f>IFERROR(__xludf.DUMMYFUNCTION("""COMPUTED_VALUE"""),1474.0)</f>
        <v>1474</v>
      </c>
      <c r="B1478" s="2" t="str">
        <f>IFERROR(__xludf.DUMMYFUNCTION("""COMPUTED_VALUE"""),"COMPLETED")</f>
        <v>COMPLETED</v>
      </c>
      <c r="C1478" s="74">
        <f>IFERROR(__xludf.DUMMYFUNCTION("""COMPUTED_VALUE"""),46083.0)</f>
        <v>46083</v>
      </c>
      <c r="D1478" s="71" t="str">
        <f>IFERROR(__xludf.DUMMYFUNCTION("""COMPUTED_VALUE"""),"Cooperative Enterprise for True Economic Reform")</f>
        <v>Cooperative Enterprise for True Economic Reform</v>
      </c>
      <c r="E1478" s="71" t="str">
        <f>IFERROR(__xludf.DUMMYFUNCTION("""COMPUTED_VALUE"""),"Cabaruan, Guimba, NUEVA ECIJA")</f>
        <v>Cabaruan, Guimba, NUEVA ECIJA</v>
      </c>
      <c r="F1478" s="2" t="str">
        <f>IFERROR(__xludf.DUMMYFUNCTION("""COMPUTED_VALUE"""),"THELMA PANAHON")</f>
        <v>THELMA PANAHON</v>
      </c>
      <c r="G1478" s="2">
        <f>IFERROR(__xludf.DUMMYFUNCTION("""COMPUTED_VALUE"""),9.10502979E9)</f>
        <v>9105029790</v>
      </c>
      <c r="H1478" s="2"/>
      <c r="I1478" s="72" t="str">
        <f>IFERROR(__xludf.DUMMYFUNCTION("""COMPUTED_VALUE"""),"REPAIR - LOADER")</f>
        <v>REPAIR - LOADER</v>
      </c>
      <c r="J1478" s="72" t="str">
        <f>IFERROR(__xludf.DUMMYFUNCTION("""COMPUTED_VALUE"""),"Cable lock")</f>
        <v>Cable lock</v>
      </c>
      <c r="K1478" s="72" t="str">
        <f>IFERROR(__xludf.DUMMYFUNCTION("""COMPUTED_VALUE"""),"DATE DELIVERED: DECEMBER 2025
MYK: HINDI RERESPONDS ANG CONTROL AT AYAW MAG BABA TAAS NG ROTAVATOR, ")</f>
        <v>DATE DELIVERED: DECEMBER 2025
MYK: HINDI RERESPONDS ANG CONTROL AT AYAW MAG BABA TAAS NG ROTAVATOR, </v>
      </c>
      <c r="L1478" s="72" t="str">
        <f>IFERROR(__xludf.DUMMYFUNCTION("""COMPUTED_VALUE"""),"DSD: NILUWAGAN ANG HYDRAULIC LOCK")</f>
        <v>DSD: NILUWAGAN ANG HYDRAULIC LOCK</v>
      </c>
      <c r="M1478" s="2"/>
      <c r="N1478" s="2" t="str">
        <f>IFERROR(__xludf.DUMMYFUNCTION("""COMPUTED_VALUE"""),"PARTS:
OIL FILTER
ENGINE OIL")</f>
        <v>PARTS:
OIL FILTER
ENGINE OIL</v>
      </c>
      <c r="O1478" s="2">
        <f>IFERROR(__xludf.DUMMYFUNCTION("""COMPUTED_VALUE"""),869.0)</f>
        <v>869</v>
      </c>
      <c r="P1478" s="2"/>
      <c r="Q1478" s="2" t="str">
        <f>IFERROR(__xludf.DUMMYFUNCTION("""COMPUTED_VALUE"""),"FOR PRINT")</f>
        <v>FOR PRINT</v>
      </c>
      <c r="R1478" s="74">
        <f>IFERROR(__xludf.DUMMYFUNCTION("""COMPUTED_VALUE"""),46091.0)</f>
        <v>46091</v>
      </c>
      <c r="S1478" s="2" t="str">
        <f>IFERROR(__xludf.DUMMYFUNCTION("""COMPUTED_VALUE"""),"DSD")</f>
        <v>DSD</v>
      </c>
      <c r="T1478" s="73" t="str">
        <f>IFERROR(__xludf.DUMMYFUNCTION("""COMPUTED_VALUE""")," N/A ")</f>
        <v>N/A</v>
      </c>
      <c r="U1478" s="73" t="str">
        <f>IFERROR(__xludf.DUMMYFUNCTION("""COMPUTED_VALUE""")," RECORDED ")</f>
        <v>RECORDED</v>
      </c>
      <c r="V1478" s="2">
        <f>IFERROR(__xludf.DUMMYFUNCTION("""COMPUTED_VALUE"""),2012.0)</f>
        <v>2012</v>
      </c>
      <c r="W1478" s="2" t="str">
        <f>IFERROR(__xludf.DUMMYFUNCTION("""COMPUTED_VALUE"""),"N/A")</f>
        <v>N/A</v>
      </c>
      <c r="X1478" s="2" t="str">
        <f>IFERROR(__xludf.DUMMYFUNCTION("""COMPUTED_VALUE"""),"N/A")</f>
        <v>N/A</v>
      </c>
      <c r="Y1478" s="2"/>
      <c r="Z1478" s="2"/>
      <c r="AA1478" s="2"/>
      <c r="AB1478" s="2"/>
      <c r="AC1478" s="2"/>
      <c r="AD1478" s="2"/>
      <c r="AE1478" s="2"/>
      <c r="AF1478" s="2"/>
      <c r="AG1478" s="2"/>
      <c r="AH1478" s="2"/>
      <c r="AI1478" s="2"/>
      <c r="AJ1478" s="2" t="str">
        <f>IFERROR(__xludf.DUMMYFUNCTION("""COMPUTED_VALUE"""),"Cabaruan")</f>
        <v>Cabaruan</v>
      </c>
      <c r="AK1478" s="2" t="str">
        <f>IFERROR(__xludf.DUMMYFUNCTION("""COMPUTED_VALUE"""),"Guimba")</f>
        <v>Guimba</v>
      </c>
      <c r="AL1478" s="2" t="str">
        <f>IFERROR(__xludf.DUMMYFUNCTION("""COMPUTED_VALUE"""),"Nueva Ecija")</f>
        <v>Nueva Ecija</v>
      </c>
      <c r="AM1478" s="2">
        <f>IFERROR(__xludf.DUMMYFUNCTION("""COMPUTED_VALUE"""),3.0)</f>
        <v>3</v>
      </c>
      <c r="AN1478" s="2" t="str">
        <f>IFERROR(__xludf.DUMMYFUNCTION("""COMPUTED_VALUE"""),"RCEF 25-03-05")</f>
        <v>RCEF 25-03-05</v>
      </c>
      <c r="AO1478" s="2">
        <f>IFERROR(__xludf.DUMMYFUNCTION("""COMPUTED_VALUE"""),5.0)</f>
        <v>5</v>
      </c>
      <c r="AP1478" s="2" t="str">
        <f>IFERROR(__xludf.DUMMYFUNCTION("""COMPUTED_VALUE"""),"FREE PMS")</f>
        <v>FREE PMS</v>
      </c>
      <c r="AQ1478" s="2"/>
      <c r="AR1478" s="2"/>
      <c r="AS1478" s="2"/>
      <c r="AT1478" s="2"/>
      <c r="AU1478" s="2"/>
      <c r="AV1478" s="2"/>
      <c r="AW1478" s="2"/>
      <c r="AX1478" s="2"/>
      <c r="AY1478" s="2"/>
      <c r="AZ1478" s="2"/>
      <c r="BA1478" s="2"/>
      <c r="BB1478" s="2"/>
    </row>
    <row r="1479">
      <c r="A1479" s="2">
        <f>IFERROR(__xludf.DUMMYFUNCTION("""COMPUTED_VALUE"""),1475.0)</f>
        <v>1475</v>
      </c>
      <c r="B1479" s="2" t="str">
        <f>IFERROR(__xludf.DUMMYFUNCTION("""COMPUTED_VALUE"""),"COMPLETED")</f>
        <v>COMPLETED</v>
      </c>
      <c r="C1479" s="74">
        <f>IFERROR(__xludf.DUMMYFUNCTION("""COMPUTED_VALUE"""),46083.0)</f>
        <v>46083</v>
      </c>
      <c r="D1479" s="71" t="str">
        <f>IFERROR(__xludf.DUMMYFUNCTION("""COMPUTED_VALUE"""),"BUNOL UNITED FARMERS IN ADVANCE LIVELIHOOD ORGANIZATION (BUFALO)")</f>
        <v>BUNOL UNITED FARMERS IN ADVANCE LIVELIHOOD ORGANIZATION (BUFALO)</v>
      </c>
      <c r="E1479" s="71" t="str">
        <f>IFERROR(__xludf.DUMMYFUNCTION("""COMPUTED_VALUE"""),"Bunol, Guimba, NUEVA ECIJA")</f>
        <v>Bunol, Guimba, NUEVA ECIJA</v>
      </c>
      <c r="F1479" s="2"/>
      <c r="G1479" s="2">
        <f>IFERROR(__xludf.DUMMYFUNCTION("""COMPUTED_VALUE"""),9.541436329E9)</f>
        <v>9541436329</v>
      </c>
      <c r="H1479" s="2">
        <f>IFERROR(__xludf.DUMMYFUNCTION("""COMPUTED_VALUE"""),50.0)</f>
        <v>50</v>
      </c>
      <c r="I1479" s="72" t="str">
        <f>IFERROR(__xludf.DUMMYFUNCTION("""COMPUTED_VALUE"""),"PMS")</f>
        <v>PMS</v>
      </c>
      <c r="J1479" s="72" t="str">
        <f>IFERROR(__xludf.DUMMYFUNCTION("""COMPUTED_VALUE"""),"PMS")</f>
        <v>PMS</v>
      </c>
      <c r="K1479" s="72" t="str">
        <f>IFERROR(__xludf.DUMMYFUNCTION("""COMPUTED_VALUE"""),"MYK: 1ST PMS FREE
ERP: Maypalitin na screw sa dashboard, nabali noong buksan nila at may tiningnan sa loob noong time na ideniliver po ung buchet ng traktor.
For PMS")</f>
        <v>MYK: 1ST PMS FREE
ERP: Maypalitin na screw sa dashboard, nabali noong buksan nila at may tiningnan sa loob noong time na ideniliver po ung buchet ng traktor.
For PMS</v>
      </c>
      <c r="L1479" s="72" t="str">
        <f>IFERROR(__xludf.DUMMYFUNCTION("""COMPUTED_VALUE"""),"DSD: 1ST PMS DONE")</f>
        <v>DSD: 1ST PMS DONE</v>
      </c>
      <c r="M1479" s="2"/>
      <c r="N1479" s="2" t="str">
        <f>IFERROR(__xludf.DUMMYFUNCTION("""COMPUTED_VALUE"""),"PARTS:
OIL FILTER
ENGINE OIL")</f>
        <v>PARTS:
OIL FILTER
ENGINE OIL</v>
      </c>
      <c r="O1479" s="2">
        <f>IFERROR(__xludf.DUMMYFUNCTION("""COMPUTED_VALUE"""),868.0)</f>
        <v>868</v>
      </c>
      <c r="P1479" s="2"/>
      <c r="Q1479" s="2" t="str">
        <f>IFERROR(__xludf.DUMMYFUNCTION("""COMPUTED_VALUE"""),"FOR PRINT")</f>
        <v>FOR PRINT</v>
      </c>
      <c r="R1479" s="74">
        <f>IFERROR(__xludf.DUMMYFUNCTION("""COMPUTED_VALUE"""),46091.0)</f>
        <v>46091</v>
      </c>
      <c r="S1479" s="2" t="str">
        <f>IFERROR(__xludf.DUMMYFUNCTION("""COMPUTED_VALUE"""),"DSD")</f>
        <v>DSD</v>
      </c>
      <c r="T1479" s="73" t="str">
        <f>IFERROR(__xludf.DUMMYFUNCTION("""COMPUTED_VALUE""")," N/A ")</f>
        <v>N/A</v>
      </c>
      <c r="U1479" s="73" t="str">
        <f>IFERROR(__xludf.DUMMYFUNCTION("""COMPUTED_VALUE""")," RECORDED ")</f>
        <v>RECORDED</v>
      </c>
      <c r="V1479" s="2">
        <f>IFERROR(__xludf.DUMMYFUNCTION("""COMPUTED_VALUE"""),2011.0)</f>
        <v>2011</v>
      </c>
      <c r="W1479" s="2" t="str">
        <f>IFERROR(__xludf.DUMMYFUNCTION("""COMPUTED_VALUE"""),"N/A")</f>
        <v>N/A</v>
      </c>
      <c r="X1479" s="2" t="str">
        <f>IFERROR(__xludf.DUMMYFUNCTION("""COMPUTED_VALUE"""),"N/A")</f>
        <v>N/A</v>
      </c>
      <c r="Y1479" s="2"/>
      <c r="Z1479" s="2"/>
      <c r="AA1479" s="2"/>
      <c r="AB1479" s="2"/>
      <c r="AC1479" s="2"/>
      <c r="AD1479" s="2"/>
      <c r="AE1479" s="2"/>
      <c r="AF1479" s="2"/>
      <c r="AG1479" s="2"/>
      <c r="AH1479" s="2"/>
      <c r="AI1479" s="2"/>
      <c r="AJ1479" s="2" t="str">
        <f>IFERROR(__xludf.DUMMYFUNCTION("""COMPUTED_VALUE"""),"Bunol")</f>
        <v>Bunol</v>
      </c>
      <c r="AK1479" s="2" t="str">
        <f>IFERROR(__xludf.DUMMYFUNCTION("""COMPUTED_VALUE"""),"Guimba")</f>
        <v>Guimba</v>
      </c>
      <c r="AL1479" s="2" t="str">
        <f>IFERROR(__xludf.DUMMYFUNCTION("""COMPUTED_VALUE"""),"Nueva Ecija")</f>
        <v>Nueva Ecija</v>
      </c>
      <c r="AM1479" s="2">
        <f>IFERROR(__xludf.DUMMYFUNCTION("""COMPUTED_VALUE"""),3.0)</f>
        <v>3</v>
      </c>
      <c r="AN1479" s="2" t="str">
        <f>IFERROR(__xludf.DUMMYFUNCTION("""COMPUTED_VALUE"""),"RCEF 25-03-05")</f>
        <v>RCEF 25-03-05</v>
      </c>
      <c r="AO1479" s="2">
        <f>IFERROR(__xludf.DUMMYFUNCTION("""COMPUTED_VALUE"""),5.0)</f>
        <v>5</v>
      </c>
      <c r="AP1479" s="2" t="str">
        <f>IFERROR(__xludf.DUMMYFUNCTION("""COMPUTED_VALUE"""),"FREE PMS")</f>
        <v>FREE PMS</v>
      </c>
      <c r="AQ1479" s="2"/>
      <c r="AR1479" s="2"/>
      <c r="AS1479" s="2"/>
      <c r="AT1479" s="2"/>
      <c r="AU1479" s="2"/>
      <c r="AV1479" s="2"/>
      <c r="AW1479" s="2"/>
      <c r="AX1479" s="2"/>
      <c r="AY1479" s="2"/>
      <c r="AZ1479" s="2"/>
      <c r="BA1479" s="2"/>
      <c r="BB1479" s="2"/>
    </row>
    <row r="1480">
      <c r="A1480" s="2">
        <f>IFERROR(__xludf.DUMMYFUNCTION("""COMPUTED_VALUE"""),1476.0)</f>
        <v>1476</v>
      </c>
      <c r="B1480" s="2" t="str">
        <f>IFERROR(__xludf.DUMMYFUNCTION("""COMPUTED_VALUE"""),"COMPLETED")</f>
        <v>COMPLETED</v>
      </c>
      <c r="C1480" s="74">
        <f>IFERROR(__xludf.DUMMYFUNCTION("""COMPUTED_VALUE"""),46083.0)</f>
        <v>46083</v>
      </c>
      <c r="D1480" s="71" t="str">
        <f>IFERROR(__xludf.DUMMYFUNCTION("""COMPUTED_VALUE"""),"Municipal Local Government Unit of Donsol")</f>
        <v>Municipal Local Government Unit of Donsol</v>
      </c>
      <c r="E1480" s="71" t="str">
        <f>IFERROR(__xludf.DUMMYFUNCTION("""COMPUTED_VALUE"""),"Awai, Donsol, SORSOGON")</f>
        <v>Awai, Donsol, SORSOGON</v>
      </c>
      <c r="F1480" s="2" t="str">
        <f>IFERROR(__xludf.DUMMYFUNCTION("""COMPUTED_VALUE"""),"ENGR.AERIS NIÑA N. LIM")</f>
        <v>ENGR.AERIS NIÑA N. LIM</v>
      </c>
      <c r="G1480" s="2">
        <f>IFERROR(__xludf.DUMMYFUNCTION("""COMPUTED_VALUE"""),9.704682894E9)</f>
        <v>9704682894</v>
      </c>
      <c r="H1480" s="2">
        <f>IFERROR(__xludf.DUMMYFUNCTION("""COMPUTED_VALUE"""),40.0)</f>
        <v>40</v>
      </c>
      <c r="I1480" s="72" t="str">
        <f>IFERROR(__xludf.DUMMYFUNCTION("""COMPUTED_VALUE"""),"REPAIR - DISC PLOW")</f>
        <v>REPAIR - DISC PLOW</v>
      </c>
      <c r="J1480" s="72" t="str">
        <f>IFERROR(__xludf.DUMMYFUNCTION("""COMPUTED_VALUE"""),"bolt")</f>
        <v>bolt</v>
      </c>
      <c r="K1480" s="72" t="str">
        <f>IFERROR(__xludf.DUMMYFUNCTION("""COMPUTED_VALUE"""),"FPJ: TANGAL ANG MGA TURNILYO NG PLATE NG DISCPLOW")</f>
        <v>FPJ: TANGAL ANG MGA TURNILYO NG PLATE NG DISCPLOW</v>
      </c>
      <c r="L1480" s="72" t="str">
        <f>IFERROR(__xludf.DUMMYFUNCTION("""COMPUTED_VALUE"""),"TO CALL- TO CONFIRM PARTS NEEDED
FPJ: Okay na po ngayon ng discplow nila naka hanap na daw ng mga turnilyo .")</f>
        <v>TO CALL- TO CONFIRM PARTS NEEDED
FPJ: Okay na po ngayon ng discplow nila naka hanap na daw ng mga turnilyo .</v>
      </c>
      <c r="M1480" s="2"/>
      <c r="N1480" s="2"/>
      <c r="O1480" s="2" t="str">
        <f>IFERROR(__xludf.DUMMYFUNCTION("""COMPUTED_VALUE"""),"N/A")</f>
        <v>N/A</v>
      </c>
      <c r="P1480" s="2"/>
      <c r="Q1480" s="2"/>
      <c r="R1480" s="74">
        <f>IFERROR(__xludf.DUMMYFUNCTION("""COMPUTED_VALUE"""),46100.0)</f>
        <v>46100</v>
      </c>
      <c r="S1480" s="2" t="str">
        <f>IFERROR(__xludf.DUMMYFUNCTION("""COMPUTED_VALUE"""),"FPJ")</f>
        <v>FPJ</v>
      </c>
      <c r="T1480" s="73" t="str">
        <f>IFERROR(__xludf.DUMMYFUNCTION("""COMPUTED_VALUE""")," N/A ")</f>
        <v>N/A</v>
      </c>
      <c r="U1480" s="73" t="str">
        <f>IFERROR(__xludf.DUMMYFUNCTION("""COMPUTED_VALUE""")," NO CHARGE ")</f>
        <v>NO CHARGE</v>
      </c>
      <c r="V1480" s="2" t="str">
        <f>IFERROR(__xludf.DUMMYFUNCTION("""COMPUTED_VALUE"""),"N/A")</f>
        <v>N/A</v>
      </c>
      <c r="W1480" s="2" t="str">
        <f>IFERROR(__xludf.DUMMYFUNCTION("""COMPUTED_VALUE"""),"N/A")</f>
        <v>N/A</v>
      </c>
      <c r="X1480" s="2" t="str">
        <f>IFERROR(__xludf.DUMMYFUNCTION("""COMPUTED_VALUE"""),"N/A")</f>
        <v>N/A</v>
      </c>
      <c r="Y1480" s="2"/>
      <c r="Z1480" s="2"/>
      <c r="AA1480" s="2"/>
      <c r="AB1480" s="2"/>
      <c r="AC1480" s="2"/>
      <c r="AD1480" s="2"/>
      <c r="AE1480" s="2"/>
      <c r="AF1480" s="2"/>
      <c r="AG1480" s="2"/>
      <c r="AH1480" s="2"/>
      <c r="AI1480" s="2"/>
      <c r="AJ1480" s="2" t="str">
        <f>IFERROR(__xludf.DUMMYFUNCTION("""COMPUTED_VALUE"""),"Awai")</f>
        <v>Awai</v>
      </c>
      <c r="AK1480" s="2" t="str">
        <f>IFERROR(__xludf.DUMMYFUNCTION("""COMPUTED_VALUE"""),"Donsol")</f>
        <v>Donsol</v>
      </c>
      <c r="AL1480" s="2" t="str">
        <f>IFERROR(__xludf.DUMMYFUNCTION("""COMPUTED_VALUE"""),"Sorsogon")</f>
        <v>Sorsogon</v>
      </c>
      <c r="AM1480" s="2">
        <f>IFERROR(__xludf.DUMMYFUNCTION("""COMPUTED_VALUE"""),5.0)</f>
        <v>5</v>
      </c>
      <c r="AN1480" s="2" t="str">
        <f>IFERROR(__xludf.DUMMYFUNCTION("""COMPUTED_VALUE"""),"RCEF 25-03-05")</f>
        <v>RCEF 25-03-05</v>
      </c>
      <c r="AO1480" s="2">
        <f>IFERROR(__xludf.DUMMYFUNCTION("""COMPUTED_VALUE"""),6.0)</f>
        <v>6</v>
      </c>
      <c r="AP1480" s="2" t="str">
        <f>IFERROR(__xludf.DUMMYFUNCTION("""COMPUTED_VALUE"""),"FREE PMS")</f>
        <v>FREE PMS</v>
      </c>
      <c r="AQ1480" s="2"/>
      <c r="AR1480" s="2"/>
      <c r="AS1480" s="2"/>
      <c r="AT1480" s="2"/>
      <c r="AU1480" s="2"/>
      <c r="AV1480" s="2"/>
      <c r="AW1480" s="2"/>
      <c r="AX1480" s="2"/>
      <c r="AY1480" s="2"/>
      <c r="AZ1480" s="2"/>
      <c r="BA1480" s="2"/>
      <c r="BB1480" s="2"/>
    </row>
    <row r="1481">
      <c r="A1481" s="2">
        <f>IFERROR(__xludf.DUMMYFUNCTION("""COMPUTED_VALUE"""),1477.0)</f>
        <v>1477</v>
      </c>
      <c r="B1481" s="2" t="str">
        <f>IFERROR(__xludf.DUMMYFUNCTION("""COMPUTED_VALUE"""),"COMPLETED")</f>
        <v>COMPLETED</v>
      </c>
      <c r="C1481" s="74">
        <f>IFERROR(__xludf.DUMMYFUNCTION("""COMPUTED_VALUE"""),46083.0)</f>
        <v>46083</v>
      </c>
      <c r="D1481" s="71" t="str">
        <f>IFERROR(__xludf.DUMMYFUNCTION("""COMPUTED_VALUE"""),"CAGMANABA AGRARIAN REFORM FARMER-BENEFICIARIES ASS. (CARFBA)")</f>
        <v>CAGMANABA AGRARIAN REFORM FARMER-BENEFICIARIES ASS. (CARFBA)</v>
      </c>
      <c r="E1481" s="71" t="str">
        <f>IFERROR(__xludf.DUMMYFUNCTION("""COMPUTED_VALUE"""),"Cagmanaba, Ocampo, CAMARINES SUR")</f>
        <v>Cagmanaba, Ocampo, CAMARINES SUR</v>
      </c>
      <c r="F1481" s="2" t="str">
        <f>IFERROR(__xludf.DUMMYFUNCTION("""COMPUTED_VALUE"""),"NELSON PENETRANTE")</f>
        <v>NELSON PENETRANTE</v>
      </c>
      <c r="G1481" s="2">
        <f>IFERROR(__xludf.DUMMYFUNCTION("""COMPUTED_VALUE"""),9.704805118E9)</f>
        <v>9704805118</v>
      </c>
      <c r="H1481" s="2">
        <f>IFERROR(__xludf.DUMMYFUNCTION("""COMPUTED_VALUE"""),16.3)</f>
        <v>16.3</v>
      </c>
      <c r="I1481" s="72" t="str">
        <f>IFERROR(__xludf.DUMMYFUNCTION("""COMPUTED_VALUE"""),"SPARE PARTS ACQUISITION")</f>
        <v>SPARE PARTS ACQUISITION</v>
      </c>
      <c r="J1481" s="72"/>
      <c r="K1481" s="72" t="str">
        <f>IFERROR(__xludf.DUMMYFUNCTION("""COMPUTED_VALUE"""),"FPJ: 6 pcs Wrench bolt(M14-40-1.5 p)")</f>
        <v>FPJ: 6 pcs Wrench bolt(M14-40-1.5 p)</v>
      </c>
      <c r="L1481" s="72" t="str">
        <f>IFERROR(__xludf.DUMMYFUNCTION("""COMPUTED_VALUE"""),"TO CHECK ON WH
5/27/26 - FPJ: Pa alis na po ng pending report nito . Kase nagawan na ng paraan ni FCA. thanks")</f>
        <v>TO CHECK ON WH
5/27/26 - FPJ: Pa alis na po ng pending report nito . Kase nagawan na ng paraan ni FCA. thanks</v>
      </c>
      <c r="M1481" s="2" t="str">
        <f>IFERROR(__xludf.DUMMYFUNCTION("""COMPUTED_VALUE"""),"6 pcs Wrench bolt(M14-40-1.5 p)")</f>
        <v>6 pcs Wrench bolt(M14-40-1.5 p)</v>
      </c>
      <c r="N1481" s="2"/>
      <c r="O1481" s="2" t="str">
        <f>IFERROR(__xludf.DUMMYFUNCTION("""COMPUTED_VALUE"""),"N/A")</f>
        <v>N/A</v>
      </c>
      <c r="P1481" s="2"/>
      <c r="Q1481" s="2"/>
      <c r="R1481" s="74">
        <f>IFERROR(__xludf.DUMMYFUNCTION("""COMPUTED_VALUE"""),46169.0)</f>
        <v>46169</v>
      </c>
      <c r="S1481" s="2" t="str">
        <f>IFERROR(__xludf.DUMMYFUNCTION("""COMPUTED_VALUE"""),"FPJ")</f>
        <v>FPJ</v>
      </c>
      <c r="T1481" s="73" t="str">
        <f>IFERROR(__xludf.DUMMYFUNCTION("""COMPUTED_VALUE""")," N/A ")</f>
        <v>N/A</v>
      </c>
      <c r="U1481" s="73" t="str">
        <f>IFERROR(__xludf.DUMMYFUNCTION("""COMPUTED_VALUE""")," NO CHARGE ")</f>
        <v>NO CHARGE</v>
      </c>
      <c r="V1481" s="2" t="str">
        <f>IFERROR(__xludf.DUMMYFUNCTION("""COMPUTED_VALUE"""),"N/A")</f>
        <v>N/A</v>
      </c>
      <c r="W1481" s="2" t="str">
        <f>IFERROR(__xludf.DUMMYFUNCTION("""COMPUTED_VALUE"""),"N/A")</f>
        <v>N/A</v>
      </c>
      <c r="X1481" s="2" t="str">
        <f>IFERROR(__xludf.DUMMYFUNCTION("""COMPUTED_VALUE"""),"N/A ")</f>
        <v>N/A </v>
      </c>
      <c r="Y1481" s="2"/>
      <c r="Z1481" s="2"/>
      <c r="AA1481" s="2"/>
      <c r="AB1481" s="2"/>
      <c r="AC1481" s="2"/>
      <c r="AD1481" s="2"/>
      <c r="AE1481" s="2"/>
      <c r="AF1481" s="2"/>
      <c r="AG1481" s="2"/>
      <c r="AH1481" s="2"/>
      <c r="AI1481" s="2"/>
      <c r="AJ1481" s="2" t="str">
        <f>IFERROR(__xludf.DUMMYFUNCTION("""COMPUTED_VALUE"""),"Cagmanaba")</f>
        <v>Cagmanaba</v>
      </c>
      <c r="AK1481" s="2" t="str">
        <f>IFERROR(__xludf.DUMMYFUNCTION("""COMPUTED_VALUE"""),"Ocampo")</f>
        <v>Ocampo</v>
      </c>
      <c r="AL1481" s="2" t="str">
        <f>IFERROR(__xludf.DUMMYFUNCTION("""COMPUTED_VALUE"""),"Camarines Sur")</f>
        <v>Camarines Sur</v>
      </c>
      <c r="AM1481" s="2">
        <f>IFERROR(__xludf.DUMMYFUNCTION("""COMPUTED_VALUE"""),5.0)</f>
        <v>5</v>
      </c>
      <c r="AN1481" s="2" t="str">
        <f>IFERROR(__xludf.DUMMYFUNCTION("""COMPUTED_VALUE"""),"RCEF 25-03-05")</f>
        <v>RCEF 25-03-05</v>
      </c>
      <c r="AO1481" s="2">
        <f>IFERROR(__xludf.DUMMYFUNCTION("""COMPUTED_VALUE"""),6.0)</f>
        <v>6</v>
      </c>
      <c r="AP1481" s="2" t="str">
        <f>IFERROR(__xludf.DUMMYFUNCTION("""COMPUTED_VALUE"""),"FREE PMS")</f>
        <v>FREE PMS</v>
      </c>
      <c r="AQ1481" s="2"/>
      <c r="AR1481" s="2"/>
      <c r="AS1481" s="2"/>
      <c r="AT1481" s="2"/>
      <c r="AU1481" s="2"/>
      <c r="AV1481" s="2"/>
      <c r="AW1481" s="2"/>
      <c r="AX1481" s="2"/>
      <c r="AY1481" s="2"/>
      <c r="AZ1481" s="2"/>
      <c r="BA1481" s="2"/>
      <c r="BB1481" s="2"/>
    </row>
    <row r="1482">
      <c r="A1482" s="2">
        <f>IFERROR(__xludf.DUMMYFUNCTION("""COMPUTED_VALUE"""),1478.0)</f>
        <v>1478</v>
      </c>
      <c r="B1482" s="2" t="str">
        <f>IFERROR(__xludf.DUMMYFUNCTION("""COMPUTED_VALUE"""),"COMPLETED")</f>
        <v>COMPLETED</v>
      </c>
      <c r="C1482" s="74">
        <f>IFERROR(__xludf.DUMMYFUNCTION("""COMPUTED_VALUE"""),46084.0)</f>
        <v>46084</v>
      </c>
      <c r="D1482" s="71" t="str">
        <f>IFERROR(__xludf.DUMMYFUNCTION("""COMPUTED_VALUE"""),"PRADO SIONGCO RICE &amp; CORN FARMERS ASSOCIATION")</f>
        <v>PRADO SIONGCO RICE &amp; CORN FARMERS ASSOCIATION</v>
      </c>
      <c r="E1482" s="71" t="str">
        <f>IFERROR(__xludf.DUMMYFUNCTION("""COMPUTED_VALUE"""),"Prado Siongco, Lubao, PAMPANGA")</f>
        <v>Prado Siongco, Lubao, PAMPANGA</v>
      </c>
      <c r="F1482" s="2" t="str">
        <f>IFERROR(__xludf.DUMMYFUNCTION("""COMPUTED_VALUE"""),"RENATO RIVERA")</f>
        <v>RENATO RIVERA</v>
      </c>
      <c r="G1482" s="2">
        <f>IFERROR(__xludf.DUMMYFUNCTION("""COMPUTED_VALUE"""),9.306360088E9)</f>
        <v>9306360088</v>
      </c>
      <c r="H1482" s="2">
        <f>IFERROR(__xludf.DUMMYFUNCTION("""COMPUTED_VALUE"""),588.0)</f>
        <v>588</v>
      </c>
      <c r="I1482" s="72" t="str">
        <f>IFERROR(__xludf.DUMMYFUNCTION("""COMPUTED_VALUE"""),"REPAIR - TRACTOR")</f>
        <v>REPAIR - TRACTOR</v>
      </c>
      <c r="J1482" s="72" t="str">
        <f>IFERROR(__xludf.DUMMYFUNCTION("""COMPUTED_VALUE"""),"CHECK UP UNIT")</f>
        <v>CHECK UP UNIT</v>
      </c>
      <c r="K1482" s="72" t="str">
        <f>IFERROR(__xludf.DUMMYFUNCTION("""COMPUTED_VALUE"""),"DATE DELIVERED: 2023
MYK: UMAANDAR NAMAN ANG ROTAVATOR, PERO ANG KINAKABITAN NG TALIM AY UMIIKOT MINSAN MINSAN AY HINDI,  DUMUDULAS LANG PAG MABIGAT ANG TRINATABAHONG LUPA, PERO PAG BASA ANG LUPA DERECHO ANG IKOT NAMAN.  GUSTO NILANG MA CHECK ANG UNIT, A"&amp;"WARE SILANG DI NA ITO WARRANTY.")</f>
        <v>DATE DELIVERED: 2023
MYK: UMAANDAR NAMAN ANG ROTAVATOR, PERO ANG KINAKABITAN NG TALIM AY UMIIKOT MINSAN MINSAN AY HINDI,  DUMUDULAS LANG PAG MABIGAT ANG TRINATABAHONG LUPA, PERO PAG BASA ANG LUPA DERECHO ANG IKOT NAMAN.  GUSTO NILANG MA CHECK ANG UNIT, AWARE SILANG DI NA ITO WARRANTY.</v>
      </c>
      <c r="L1482" s="72" t="str">
        <f>IFERROR(__xludf.DUMMYFUNCTION("""COMPUTED_VALUE"""),"JHP: may pinahigpitan ako saka testing nila hindi pa lng nagcall back
JHP: NUNG TINAWAGAN KO SABI NILA NA ADJUST NADW NILA, NGUNIT HINDI PADIN DW NILA NA TETESTING , TATAWAG NA LAMANG ULIT PAG NAAYOS")</f>
        <v>JHP: may pinahigpitan ako saka testing nila hindi pa lng nagcall back
JHP: NUNG TINAWAGAN KO SABI NILA NA ADJUST NADW NILA, NGUNIT HINDI PADIN DW NILA NA TETESTING , TATAWAG NA LAMANG ULIT PAG NAAYOS</v>
      </c>
      <c r="M1482" s="2"/>
      <c r="N1482" s="2"/>
      <c r="O1482" s="2" t="str">
        <f>IFERROR(__xludf.DUMMYFUNCTION("""COMPUTED_VALUE"""),"N/A")</f>
        <v>N/A</v>
      </c>
      <c r="P1482" s="2"/>
      <c r="Q1482" s="2"/>
      <c r="R1482" s="74">
        <f>IFERROR(__xludf.DUMMYFUNCTION("""COMPUTED_VALUE"""),46092.0)</f>
        <v>46092</v>
      </c>
      <c r="S1482" s="2" t="str">
        <f>IFERROR(__xludf.DUMMYFUNCTION("""COMPUTED_VALUE"""),"JHP")</f>
        <v>JHP</v>
      </c>
      <c r="T1482" s="73" t="str">
        <f>IFERROR(__xludf.DUMMYFUNCTION("""COMPUTED_VALUE""")," N/A ")</f>
        <v>N/A</v>
      </c>
      <c r="U1482" s="73" t="str">
        <f>IFERROR(__xludf.DUMMYFUNCTION("""COMPUTED_VALUE""")," NO CHARGE ")</f>
        <v>NO CHARGE</v>
      </c>
      <c r="V1482" s="2" t="str">
        <f>IFERROR(__xludf.DUMMYFUNCTION("""COMPUTED_VALUE"""),"N/A")</f>
        <v>N/A</v>
      </c>
      <c r="W1482" s="2" t="str">
        <f>IFERROR(__xludf.DUMMYFUNCTION("""COMPUTED_VALUE"""),"N/A")</f>
        <v>N/A</v>
      </c>
      <c r="X1482" s="2" t="str">
        <f>IFERROR(__xludf.DUMMYFUNCTION("""COMPUTED_VALUE"""),"N/A")</f>
        <v>N/A</v>
      </c>
      <c r="Y1482" s="2"/>
      <c r="Z1482" s="2"/>
      <c r="AA1482" s="2"/>
      <c r="AB1482" s="2"/>
      <c r="AC1482" s="2"/>
      <c r="AD1482" s="2"/>
      <c r="AE1482" s="2"/>
      <c r="AF1482" s="2"/>
      <c r="AG1482" s="2"/>
      <c r="AH1482" s="2"/>
      <c r="AI1482" s="2"/>
      <c r="AJ1482" s="2" t="str">
        <f>IFERROR(__xludf.DUMMYFUNCTION("""COMPUTED_VALUE"""),"Prado Siongco")</f>
        <v>Prado Siongco</v>
      </c>
      <c r="AK1482" s="2" t="str">
        <f>IFERROR(__xludf.DUMMYFUNCTION("""COMPUTED_VALUE"""),"Lubao")</f>
        <v>Lubao</v>
      </c>
      <c r="AL1482" s="2" t="str">
        <f>IFERROR(__xludf.DUMMYFUNCTION("""COMPUTED_VALUE"""),"Pampanga")</f>
        <v>Pampanga</v>
      </c>
      <c r="AM1482" s="2">
        <f>IFERROR(__xludf.DUMMYFUNCTION("""COMPUTED_VALUE"""),3.0)</f>
        <v>3</v>
      </c>
      <c r="AN1482" s="2" t="str">
        <f>IFERROR(__xludf.DUMMYFUNCTION("""COMPUTED_VALUE"""),"RCEF 23-09-21 Rebidding")</f>
        <v>RCEF 23-09-21 Rebidding</v>
      </c>
      <c r="AO1482" s="2">
        <f>IFERROR(__xludf.DUMMYFUNCTION("""COMPUTED_VALUE"""),3.0)</f>
        <v>3</v>
      </c>
      <c r="AP1482" s="2"/>
      <c r="AQ1482" s="2"/>
      <c r="AR1482" s="2"/>
      <c r="AS1482" s="2"/>
      <c r="AT1482" s="2"/>
      <c r="AU1482" s="2"/>
      <c r="AV1482" s="2"/>
      <c r="AW1482" s="2"/>
      <c r="AX1482" s="2"/>
      <c r="AY1482" s="2"/>
      <c r="AZ1482" s="2"/>
      <c r="BA1482" s="2"/>
      <c r="BB1482" s="2"/>
    </row>
    <row r="1483">
      <c r="A1483" s="2">
        <f>IFERROR(__xludf.DUMMYFUNCTION("""COMPUTED_VALUE"""),1479.0)</f>
        <v>1479</v>
      </c>
      <c r="B1483" s="2" t="str">
        <f>IFERROR(__xludf.DUMMYFUNCTION("""COMPUTED_VALUE"""),"COMPLETED")</f>
        <v>COMPLETED</v>
      </c>
      <c r="C1483" s="74">
        <f>IFERROR(__xludf.DUMMYFUNCTION("""COMPUTED_VALUE"""),46084.0)</f>
        <v>46084</v>
      </c>
      <c r="D1483" s="71" t="str">
        <f>IFERROR(__xludf.DUMMYFUNCTION("""COMPUTED_VALUE"""),"Balibagan Farmers Association")</f>
        <v>Balibagan Farmers Association</v>
      </c>
      <c r="E1483" s="71" t="str">
        <f>IFERROR(__xludf.DUMMYFUNCTION("""COMPUTED_VALUE"""),"Balibagan Este, Santa Barbara, ILOILO")</f>
        <v>Balibagan Este, Santa Barbara, ILOILO</v>
      </c>
      <c r="F1483" s="2"/>
      <c r="G1483" s="2"/>
      <c r="H1483" s="2">
        <f>IFERROR(__xludf.DUMMYFUNCTION("""COMPUTED_VALUE"""),805.0)</f>
        <v>805</v>
      </c>
      <c r="I1483" s="72" t="str">
        <f>IFERROR(__xludf.DUMMYFUNCTION("""COMPUTED_VALUE"""),"REPAIR - TRACTOR")</f>
        <v>REPAIR - TRACTOR</v>
      </c>
      <c r="J1483" s="72" t="str">
        <f>IFERROR(__xludf.DUMMYFUNCTION("""COMPUTED_VALUE"""),"Transmission - Front Drive")</f>
        <v>Transmission - Front Drive</v>
      </c>
      <c r="K1483" s="72" t="str">
        <f>IFERROR(__xludf.DUMMYFUNCTION("""COMPUTED_VALUE"""),"KFS: FRONTDRIVE NOT FUNCTIONING 
")</f>
        <v>KFS: FRONTDRIVE NOT FUNCTIONING 
</v>
      </c>
      <c r="L1483" s="72" t="str">
        <f>IFERROR(__xludf.DUMMYFUNCTION("""COMPUTED_VALUE"""),"FPJ:Okay na po natawagan ko na as per FCA di daw na ikot yung unahang gulong pag nka 4wheel drive. 
Possible damaged ring gear assy.as per chief joseph
FPJ: PUTOL ANG PIN NG COUPLING, PINALITAN NALAMANG NG PIN (DIY) DAHIL NATANGAL LAMANG ITO.
Ok na po si"&amp;" tractor nagana na po 4 wheel drive putol lng yung coupling pin kaya nakalas connection .
Assisted  thru video call")</f>
        <v>FPJ:Okay na po natawagan ko na as per FCA di daw na ikot yung unahang gulong pag nka 4wheel drive. 
Possible damaged ring gear assy.as per chief joseph
FPJ: PUTOL ANG PIN NG COUPLING, PINALITAN NALAMANG NG PIN (DIY) DAHIL NATANGAL LAMANG ITO.
Ok na po si tractor nagana na po 4 wheel drive putol lng yung coupling pin kaya nakalas connection .
Assisted  thru video call</v>
      </c>
      <c r="M1483" s="2"/>
      <c r="N1483" s="2"/>
      <c r="O1483" s="2"/>
      <c r="P1483" s="2"/>
      <c r="Q1483" s="2"/>
      <c r="R1483" s="74">
        <f>IFERROR(__xludf.DUMMYFUNCTION("""COMPUTED_VALUE"""),46099.0)</f>
        <v>46099</v>
      </c>
      <c r="S1483" s="2" t="str">
        <f>IFERROR(__xludf.DUMMYFUNCTION("""COMPUTED_VALUE"""),"FPJ")</f>
        <v>FPJ</v>
      </c>
      <c r="T1483" s="73" t="str">
        <f>IFERROR(__xludf.DUMMYFUNCTION("""COMPUTED_VALUE""")," N/A ")</f>
        <v>N/A</v>
      </c>
      <c r="U1483" s="73" t="str">
        <f>IFERROR(__xludf.DUMMYFUNCTION("""COMPUTED_VALUE""")," NO CHARGE ")</f>
        <v>NO CHARGE</v>
      </c>
      <c r="V1483" s="2" t="str">
        <f>IFERROR(__xludf.DUMMYFUNCTION("""COMPUTED_VALUE"""),"N/A")</f>
        <v>N/A</v>
      </c>
      <c r="W1483" s="2" t="str">
        <f>IFERROR(__xludf.DUMMYFUNCTION("""COMPUTED_VALUE"""),"N/A")</f>
        <v>N/A</v>
      </c>
      <c r="X1483" s="2" t="str">
        <f>IFERROR(__xludf.DUMMYFUNCTION("""COMPUTED_VALUE"""),"N/A")</f>
        <v>N/A</v>
      </c>
      <c r="Y1483" s="2"/>
      <c r="Z1483" s="2"/>
      <c r="AA1483" s="2"/>
      <c r="AB1483" s="2"/>
      <c r="AC1483" s="2"/>
      <c r="AD1483" s="2"/>
      <c r="AE1483" s="2"/>
      <c r="AF1483" s="2"/>
      <c r="AG1483" s="2"/>
      <c r="AH1483" s="2"/>
      <c r="AI1483" s="2"/>
      <c r="AJ1483" s="2" t="str">
        <f>IFERROR(__xludf.DUMMYFUNCTION("""COMPUTED_VALUE"""),"Balibagan Este")</f>
        <v>Balibagan Este</v>
      </c>
      <c r="AK1483" s="2" t="str">
        <f>IFERROR(__xludf.DUMMYFUNCTION("""COMPUTED_VALUE"""),"Santa Barbara")</f>
        <v>Santa Barbara</v>
      </c>
      <c r="AL1483" s="2" t="str">
        <f>IFERROR(__xludf.DUMMYFUNCTION("""COMPUTED_VALUE"""),"Iloilo")</f>
        <v>Iloilo</v>
      </c>
      <c r="AM1483" s="2">
        <f>IFERROR(__xludf.DUMMYFUNCTION("""COMPUTED_VALUE"""),6.0)</f>
        <v>6</v>
      </c>
      <c r="AN1483" s="2" t="str">
        <f>IFERROR(__xludf.DUMMYFUNCTION("""COMPUTED_VALUE"""),"RCEF 23-09-21 Rebidding")</f>
        <v>RCEF 23-09-21 Rebidding</v>
      </c>
      <c r="AO1483" s="2">
        <f>IFERROR(__xludf.DUMMYFUNCTION("""COMPUTED_VALUE"""),4.0)</f>
        <v>4</v>
      </c>
      <c r="AP1483" s="2"/>
      <c r="AQ1483" s="2"/>
      <c r="AR1483" s="2"/>
      <c r="AS1483" s="2"/>
      <c r="AT1483" s="2"/>
      <c r="AU1483" s="2"/>
      <c r="AV1483" s="2"/>
      <c r="AW1483" s="2"/>
      <c r="AX1483" s="2"/>
      <c r="AY1483" s="2"/>
      <c r="AZ1483" s="2"/>
      <c r="BA1483" s="2"/>
      <c r="BB1483" s="2"/>
    </row>
    <row r="1484">
      <c r="A1484" s="2">
        <f>IFERROR(__xludf.DUMMYFUNCTION("""COMPUTED_VALUE"""),1480.0)</f>
        <v>1480</v>
      </c>
      <c r="B1484" s="2" t="str">
        <f>IFERROR(__xludf.DUMMYFUNCTION("""COMPUTED_VALUE"""),"PENDING")</f>
        <v>PENDING</v>
      </c>
      <c r="C1484" s="74">
        <f>IFERROR(__xludf.DUMMYFUNCTION("""COMPUTED_VALUE"""),46084.0)</f>
        <v>46084</v>
      </c>
      <c r="D1484" s="71" t="str">
        <f>IFERROR(__xludf.DUMMYFUNCTION("""COMPUTED_VALUE"""),"AGSARALO-IPROG FARMERS ASSOCIATION")</f>
        <v>AGSARALO-IPROG FARMERS ASSOCIATION</v>
      </c>
      <c r="E1484" s="71" t="str">
        <f>IFERROR(__xludf.DUMMYFUNCTION("""COMPUTED_VALUE"""),", San Enrique, ILOILO")</f>
        <v>, San Enrique, ILOILO</v>
      </c>
      <c r="F1484" s="2" t="str">
        <f>IFERROR(__xludf.DUMMYFUNCTION("""COMPUTED_VALUE"""),"RENE TOLENTINO")</f>
        <v>RENE TOLENTINO</v>
      </c>
      <c r="G1484" s="2">
        <f>IFERROR(__xludf.DUMMYFUNCTION("""COMPUTED_VALUE"""),9.700609027E9)</f>
        <v>9700609027</v>
      </c>
      <c r="H1484" s="2">
        <f>IFERROR(__xludf.DUMMYFUNCTION("""COMPUTED_VALUE"""),45.0)</f>
        <v>45</v>
      </c>
      <c r="I1484" s="72" t="str">
        <f>IFERROR(__xludf.DUMMYFUNCTION("""COMPUTED_VALUE"""),"PMS")</f>
        <v>PMS</v>
      </c>
      <c r="J1484" s="72" t="str">
        <f>IFERROR(__xludf.DUMMYFUNCTION("""COMPUTED_VALUE"""),"PMS")</f>
        <v>PMS</v>
      </c>
      <c r="K1484" s="72" t="str">
        <f>IFERROR(__xludf.DUMMYFUNCTION("""COMPUTED_VALUE"""),"MYK: 1ST PMS FREE")</f>
        <v>MYK: 1ST PMS FREE</v>
      </c>
      <c r="L1484" s="72"/>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c r="AJ1484" s="2" t="str">
        <f>IFERROR(__xludf.DUMMYFUNCTION("""COMPUTED_VALUE"""),"")</f>
        <v/>
      </c>
      <c r="AK1484" s="2" t="str">
        <f>IFERROR(__xludf.DUMMYFUNCTION("""COMPUTED_VALUE"""),"San Enrique")</f>
        <v>San Enrique</v>
      </c>
      <c r="AL1484" s="2" t="str">
        <f>IFERROR(__xludf.DUMMYFUNCTION("""COMPUTED_VALUE"""),"Iloilo")</f>
        <v>Iloilo</v>
      </c>
      <c r="AM1484" s="2">
        <f>IFERROR(__xludf.DUMMYFUNCTION("""COMPUTED_VALUE"""),6.0)</f>
        <v>6</v>
      </c>
      <c r="AN1484" s="2" t="str">
        <f>IFERROR(__xludf.DUMMYFUNCTION("""COMPUTED_VALUE"""),"RCEF 25-03-05")</f>
        <v>RCEF 25-03-05</v>
      </c>
      <c r="AO1484" s="2">
        <f>IFERROR(__xludf.DUMMYFUNCTION("""COMPUTED_VALUE"""),7.0)</f>
        <v>7</v>
      </c>
      <c r="AP1484" s="2" t="str">
        <f>IFERROR(__xludf.DUMMYFUNCTION("""COMPUTED_VALUE"""),"FREE PMS")</f>
        <v>FREE PMS</v>
      </c>
      <c r="AQ1484" s="2"/>
      <c r="AR1484" s="2"/>
      <c r="AS1484" s="2"/>
      <c r="AT1484" s="2"/>
      <c r="AU1484" s="2"/>
      <c r="AV1484" s="2"/>
      <c r="AW1484" s="2"/>
      <c r="AX1484" s="2"/>
      <c r="AY1484" s="2"/>
      <c r="AZ1484" s="2"/>
      <c r="BA1484" s="2"/>
      <c r="BB1484" s="2"/>
    </row>
    <row r="1485">
      <c r="A1485" s="2">
        <f>IFERROR(__xludf.DUMMYFUNCTION("""COMPUTED_VALUE"""),1481.0)</f>
        <v>1481</v>
      </c>
      <c r="B1485" s="2" t="str">
        <f>IFERROR(__xludf.DUMMYFUNCTION("""COMPUTED_VALUE"""),"COMPLETED")</f>
        <v>COMPLETED</v>
      </c>
      <c r="C1485" s="74">
        <f>IFERROR(__xludf.DUMMYFUNCTION("""COMPUTED_VALUE"""),46085.0)</f>
        <v>46085</v>
      </c>
      <c r="D1485" s="71" t="str">
        <f>IFERROR(__xludf.DUMMYFUNCTION("""COMPUTED_VALUE"""),"City Local Government Unit of Legazpi")</f>
        <v>City Local Government Unit of Legazpi</v>
      </c>
      <c r="E1485" s="71" t="str">
        <f>IFERROR(__xludf.DUMMYFUNCTION("""COMPUTED_VALUE"""),"Bgy. 38 - Gogon (Bgy. 54), Legazpi City, ALBAY")</f>
        <v>Bgy. 38 - Gogon (Bgy. 54), Legazpi City, ALBAY</v>
      </c>
      <c r="F1485" s="2" t="str">
        <f>IFERROR(__xludf.DUMMYFUNCTION("""COMPUTED_VALUE"""),"ENGR. ryan")</f>
        <v>ENGR. ryan</v>
      </c>
      <c r="G1485" s="2">
        <f>IFERROR(__xludf.DUMMYFUNCTION("""COMPUTED_VALUE"""),9.277200359E9)</f>
        <v>9277200359</v>
      </c>
      <c r="H1485" s="2">
        <f>IFERROR(__xludf.DUMMYFUNCTION("""COMPUTED_VALUE"""),113.0)</f>
        <v>113</v>
      </c>
      <c r="I1485" s="72" t="str">
        <f>IFERROR(__xludf.DUMMYFUNCTION("""COMPUTED_VALUE"""),"PMS")</f>
        <v>PMS</v>
      </c>
      <c r="J1485" s="72" t="str">
        <f>IFERROR(__xludf.DUMMYFUNCTION("""COMPUTED_VALUE"""),"PMS")</f>
        <v>PMS</v>
      </c>
      <c r="K1485" s="72" t="str">
        <f>IFERROR(__xludf.DUMMYFUNCTION("""COMPUTED_VALUE"""),"FPJ: 1ST PSM FREE")</f>
        <v>FPJ: 1ST PSM FREE</v>
      </c>
      <c r="L1485" s="72" t="str">
        <f>IFERROR(__xludf.DUMMYFUNCTION("""COMPUTED_VALUE"""),"FPJ: 1ST PMS DONE")</f>
        <v>FPJ: 1ST PMS DONE</v>
      </c>
      <c r="M1485" s="2"/>
      <c r="N1485" s="2" t="str">
        <f>IFERROR(__xludf.DUMMYFUNCTION("""COMPUTED_VALUE"""),"PARTS:
OIL FILTER
ENGINE OIL")</f>
        <v>PARTS:
OIL FILTER
ENGINE OIL</v>
      </c>
      <c r="O1485" s="2">
        <f>IFERROR(__xludf.DUMMYFUNCTION("""COMPUTED_VALUE"""),576.0)</f>
        <v>576</v>
      </c>
      <c r="P1485" s="2"/>
      <c r="Q1485" s="2" t="str">
        <f>IFERROR(__xludf.DUMMYFUNCTION("""COMPUTED_VALUE"""),"FOR PRINT")</f>
        <v>FOR PRINT</v>
      </c>
      <c r="R1485" s="74">
        <f>IFERROR(__xludf.DUMMYFUNCTION("""COMPUTED_VALUE"""),46085.0)</f>
        <v>46085</v>
      </c>
      <c r="S1485" s="2" t="str">
        <f>IFERROR(__xludf.DUMMYFUNCTION("""COMPUTED_VALUE"""),"FPJ/JAH")</f>
        <v>FPJ/JAH</v>
      </c>
      <c r="T1485" s="73" t="str">
        <f>IFERROR(__xludf.DUMMYFUNCTION("""COMPUTED_VALUE""")," N/A ")</f>
        <v>N/A</v>
      </c>
      <c r="U1485" s="73" t="str">
        <f>IFERROR(__xludf.DUMMYFUNCTION("""COMPUTED_VALUE""")," NO CHARGE ")</f>
        <v>NO CHARGE</v>
      </c>
      <c r="V1485" s="2" t="str">
        <f>IFERROR(__xludf.DUMMYFUNCTION("""COMPUTED_VALUE"""),"NO DR")</f>
        <v>NO DR</v>
      </c>
      <c r="W1485" s="2" t="str">
        <f>IFERROR(__xludf.DUMMYFUNCTION("""COMPUTED_VALUE"""),"N/A")</f>
        <v>N/A</v>
      </c>
      <c r="X1485" s="2" t="str">
        <f>IFERROR(__xludf.DUMMYFUNCTION("""COMPUTED_VALUE"""),"N/A")</f>
        <v>N/A</v>
      </c>
      <c r="Y1485" s="2"/>
      <c r="Z1485" s="2"/>
      <c r="AA1485" s="2"/>
      <c r="AB1485" s="2"/>
      <c r="AC1485" s="2"/>
      <c r="AD1485" s="2"/>
      <c r="AE1485" s="2"/>
      <c r="AF1485" s="2"/>
      <c r="AG1485" s="2"/>
      <c r="AH1485" s="2"/>
      <c r="AI1485" s="2"/>
      <c r="AJ1485" s="2" t="str">
        <f>IFERROR(__xludf.DUMMYFUNCTION("""COMPUTED_VALUE"""),"Bgy. 38 - Gogon (Bgy. 54)")</f>
        <v>Bgy. 38 - Gogon (Bgy. 54)</v>
      </c>
      <c r="AK1485" s="2" t="str">
        <f>IFERROR(__xludf.DUMMYFUNCTION("""COMPUTED_VALUE"""),"Legazpi City")</f>
        <v>Legazpi City</v>
      </c>
      <c r="AL1485" s="2" t="str">
        <f>IFERROR(__xludf.DUMMYFUNCTION("""COMPUTED_VALUE"""),"Albay")</f>
        <v>Albay</v>
      </c>
      <c r="AM1485" s="2">
        <f>IFERROR(__xludf.DUMMYFUNCTION("""COMPUTED_VALUE"""),5.0)</f>
        <v>5</v>
      </c>
      <c r="AN1485" s="2" t="str">
        <f>IFERROR(__xludf.DUMMYFUNCTION("""COMPUTED_VALUE"""),"RCEF 25-03-05")</f>
        <v>RCEF 25-03-05</v>
      </c>
      <c r="AO1485" s="2">
        <f>IFERROR(__xludf.DUMMYFUNCTION("""COMPUTED_VALUE"""),6.0)</f>
        <v>6</v>
      </c>
      <c r="AP1485" s="2" t="str">
        <f>IFERROR(__xludf.DUMMYFUNCTION("""COMPUTED_VALUE"""),"FREE PMS")</f>
        <v>FREE PMS</v>
      </c>
      <c r="AQ1485" s="2"/>
      <c r="AR1485" s="2"/>
      <c r="AS1485" s="2"/>
      <c r="AT1485" s="2"/>
      <c r="AU1485" s="2"/>
      <c r="AV1485" s="2"/>
      <c r="AW1485" s="2"/>
      <c r="AX1485" s="2"/>
      <c r="AY1485" s="2"/>
      <c r="AZ1485" s="2"/>
      <c r="BA1485" s="2"/>
      <c r="BB1485" s="2"/>
    </row>
    <row r="1486">
      <c r="A1486" s="2">
        <f>IFERROR(__xludf.DUMMYFUNCTION("""COMPUTED_VALUE"""),1482.0)</f>
        <v>1482</v>
      </c>
      <c r="B1486" s="2" t="str">
        <f>IFERROR(__xludf.DUMMYFUNCTION("""COMPUTED_VALUE"""),"COMPLETED")</f>
        <v>COMPLETED</v>
      </c>
      <c r="C1486" s="74">
        <f>IFERROR(__xludf.DUMMYFUNCTION("""COMPUTED_VALUE"""),46085.0)</f>
        <v>46085</v>
      </c>
      <c r="D1486" s="71" t="str">
        <f>IFERROR(__xludf.DUMMYFUNCTION("""COMPUTED_VALUE"""),"STA. TERESA 1ST., RICE, CORN, HVCC AND LIVESTOCK")</f>
        <v>STA. TERESA 1ST., RICE, CORN, HVCC AND LIVESTOCK</v>
      </c>
      <c r="E1486" s="71" t="str">
        <f>IFERROR(__xludf.DUMMYFUNCTION("""COMPUTED_VALUE"""),"Santa Teresa 1st, Lubao, PAMPANGA")</f>
        <v>Santa Teresa 1st, Lubao, PAMPANGA</v>
      </c>
      <c r="F1486" s="2" t="str">
        <f>IFERROR(__xludf.DUMMYFUNCTION("""COMPUTED_VALUE"""),"HONORIO GUITERREZ JR.")</f>
        <v>HONORIO GUITERREZ JR.</v>
      </c>
      <c r="G1486" s="2">
        <f>IFERROR(__xludf.DUMMYFUNCTION("""COMPUTED_VALUE"""),9.159241613E9)</f>
        <v>9159241613</v>
      </c>
      <c r="H1486" s="2">
        <f>IFERROR(__xludf.DUMMYFUNCTION("""COMPUTED_VALUE"""),50.0)</f>
        <v>50</v>
      </c>
      <c r="I1486" s="72" t="str">
        <f>IFERROR(__xludf.DUMMYFUNCTION("""COMPUTED_VALUE"""),"PMS")</f>
        <v>PMS</v>
      </c>
      <c r="J1486" s="72" t="str">
        <f>IFERROR(__xludf.DUMMYFUNCTION("""COMPUTED_VALUE"""),"PMS")</f>
        <v>PMS</v>
      </c>
      <c r="K1486" s="72" t="str">
        <f>IFERROR(__xludf.DUMMYFUNCTION("""COMPUTED_VALUE"""),"MYK:
1ST PMS FREE, 
MAGBABAWAS NG TALIM SA ROTAVATOR,  
DASHBOARD NAG BLIBBLINK ANG TIME.
")</f>
        <v>MYK:
1ST PMS FREE, 
MAGBABAWAS NG TALIM SA ROTAVATOR,  
DASHBOARD NAG BLIBBLINK ANG TIME.
</v>
      </c>
      <c r="L1486" s="72" t="str">
        <f>IFERROR(__xludf.DUMMYFUNCTION("""COMPUTED_VALUE"""),"DSD: 1ST PMS DONE")</f>
        <v>DSD: 1ST PMS DONE</v>
      </c>
      <c r="M1486" s="2"/>
      <c r="N1486" s="2" t="str">
        <f>IFERROR(__xludf.DUMMYFUNCTION("""COMPUTED_VALUE"""),"PARTS:
OIL FILTER
ENGINE OIL")</f>
        <v>PARTS:
OIL FILTER
ENGINE OIL</v>
      </c>
      <c r="O1486" s="2">
        <f>IFERROR(__xludf.DUMMYFUNCTION("""COMPUTED_VALUE"""),870.0)</f>
        <v>870</v>
      </c>
      <c r="P1486" s="2"/>
      <c r="Q1486" s="2" t="str">
        <f>IFERROR(__xludf.DUMMYFUNCTION("""COMPUTED_VALUE"""),"FOR PRINT")</f>
        <v>FOR PRINT</v>
      </c>
      <c r="R1486" s="74">
        <f>IFERROR(__xludf.DUMMYFUNCTION("""COMPUTED_VALUE"""),46093.0)</f>
        <v>46093</v>
      </c>
      <c r="S1486" s="2" t="str">
        <f>IFERROR(__xludf.DUMMYFUNCTION("""COMPUTED_VALUE"""),"DSS/JVV")</f>
        <v>DSS/JVV</v>
      </c>
      <c r="T1486" s="73" t="str">
        <f>IFERROR(__xludf.DUMMYFUNCTION("""COMPUTED_VALUE""")," N/A ")</f>
        <v>N/A</v>
      </c>
      <c r="U1486" s="73" t="str">
        <f>IFERROR(__xludf.DUMMYFUNCTION("""COMPUTED_VALUE""")," RECORDED ")</f>
        <v>RECORDED</v>
      </c>
      <c r="V1486" s="2">
        <f>IFERROR(__xludf.DUMMYFUNCTION("""COMPUTED_VALUE"""),2013.0)</f>
        <v>2013</v>
      </c>
      <c r="W1486" s="2" t="str">
        <f>IFERROR(__xludf.DUMMYFUNCTION("""COMPUTED_VALUE"""),"N/A")</f>
        <v>N/A</v>
      </c>
      <c r="X1486" s="2" t="str">
        <f>IFERROR(__xludf.DUMMYFUNCTION("""COMPUTED_VALUE"""),"N/A")</f>
        <v>N/A</v>
      </c>
      <c r="Y1486" s="2"/>
      <c r="Z1486" s="2"/>
      <c r="AA1486" s="2"/>
      <c r="AB1486" s="2"/>
      <c r="AC1486" s="2"/>
      <c r="AD1486" s="2"/>
      <c r="AE1486" s="2"/>
      <c r="AF1486" s="2"/>
      <c r="AG1486" s="2"/>
      <c r="AH1486" s="2"/>
      <c r="AI1486" s="2"/>
      <c r="AJ1486" s="2" t="str">
        <f>IFERROR(__xludf.DUMMYFUNCTION("""COMPUTED_VALUE"""),"Santa Teresa 1St")</f>
        <v>Santa Teresa 1St</v>
      </c>
      <c r="AK1486" s="2" t="str">
        <f>IFERROR(__xludf.DUMMYFUNCTION("""COMPUTED_VALUE"""),"Lubao")</f>
        <v>Lubao</v>
      </c>
      <c r="AL1486" s="2" t="str">
        <f>IFERROR(__xludf.DUMMYFUNCTION("""COMPUTED_VALUE"""),"Pampanga")</f>
        <v>Pampanga</v>
      </c>
      <c r="AM1486" s="2">
        <f>IFERROR(__xludf.DUMMYFUNCTION("""COMPUTED_VALUE"""),3.0)</f>
        <v>3</v>
      </c>
      <c r="AN1486" s="2" t="str">
        <f>IFERROR(__xludf.DUMMYFUNCTION("""COMPUTED_VALUE"""),"RCEF 25-03-05")</f>
        <v>RCEF 25-03-05</v>
      </c>
      <c r="AO1486" s="2">
        <f>IFERROR(__xludf.DUMMYFUNCTION("""COMPUTED_VALUE"""),5.0)</f>
        <v>5</v>
      </c>
      <c r="AP1486" s="2" t="str">
        <f>IFERROR(__xludf.DUMMYFUNCTION("""COMPUTED_VALUE"""),"FREE PMS")</f>
        <v>FREE PMS</v>
      </c>
      <c r="AQ1486" s="2"/>
      <c r="AR1486" s="2"/>
      <c r="AS1486" s="2"/>
      <c r="AT1486" s="2"/>
      <c r="AU1486" s="2"/>
      <c r="AV1486" s="2"/>
      <c r="AW1486" s="2"/>
      <c r="AX1486" s="2"/>
      <c r="AY1486" s="2"/>
      <c r="AZ1486" s="2"/>
      <c r="BA1486" s="2"/>
      <c r="BB1486" s="2"/>
    </row>
    <row r="1487">
      <c r="A1487" s="2">
        <f>IFERROR(__xludf.DUMMYFUNCTION("""COMPUTED_VALUE"""),1483.0)</f>
        <v>1483</v>
      </c>
      <c r="B1487" s="2" t="str">
        <f>IFERROR(__xludf.DUMMYFUNCTION("""COMPUTED_VALUE"""),"COMPLETED")</f>
        <v>COMPLETED</v>
      </c>
      <c r="C1487" s="74">
        <f>IFERROR(__xludf.DUMMYFUNCTION("""COMPUTED_VALUE"""),46085.0)</f>
        <v>46085</v>
      </c>
      <c r="D1487" s="71" t="str">
        <f>IFERROR(__xludf.DUMMYFUNCTION("""COMPUTED_VALUE"""),"Municipal Local Government Unit of Bacacay")</f>
        <v>Municipal Local Government Unit of Bacacay</v>
      </c>
      <c r="E1487" s="71" t="str">
        <f>IFERROR(__xludf.DUMMYFUNCTION("""COMPUTED_VALUE"""),"Barangay 2 (Pob.), Bacacay, ALBAY")</f>
        <v>Barangay 2 (Pob.), Bacacay, ALBAY</v>
      </c>
      <c r="F1487" s="2" t="str">
        <f>IFERROR(__xludf.DUMMYFUNCTION("""COMPUTED_VALUE"""),"ENGR. HENRY RABINO")</f>
        <v>ENGR. HENRY RABINO</v>
      </c>
      <c r="G1487" s="2">
        <f>IFERROR(__xludf.DUMMYFUNCTION("""COMPUTED_VALUE"""),9.979250671E9)</f>
        <v>9979250671</v>
      </c>
      <c r="H1487" s="2">
        <f>IFERROR(__xludf.DUMMYFUNCTION("""COMPUTED_VALUE"""),2.2)</f>
        <v>2.2</v>
      </c>
      <c r="I1487" s="72" t="str">
        <f>IFERROR(__xludf.DUMMYFUNCTION("""COMPUTED_VALUE"""),"PMS")</f>
        <v>PMS</v>
      </c>
      <c r="J1487" s="72" t="str">
        <f>IFERROR(__xludf.DUMMYFUNCTION("""COMPUTED_VALUE"""),"PMS")</f>
        <v>PMS</v>
      </c>
      <c r="K1487" s="72" t="str">
        <f>IFERROR(__xludf.DUMMYFUNCTION("""COMPUTED_VALUE"""),"FPJ: 1ST PSM FREE")</f>
        <v>FPJ: 1ST PSM FREE</v>
      </c>
      <c r="L1487" s="72" t="str">
        <f>IFERROR(__xludf.DUMMYFUNCTION("""COMPUTED_VALUE"""),"FPJ: ININWAN NALANG ANG LANGIS AT FILTER, DAHIL HINDI PA NAGAGAMIT ANG UNIT, SILA NALANG DAW ANG MAG PMS, TINURUAN DIN NAMIN KUNG PANO ANG PROCEDURE , PMS")</f>
        <v>FPJ: ININWAN NALANG ANG LANGIS AT FILTER, DAHIL HINDI PA NAGAGAMIT ANG UNIT, SILA NALANG DAW ANG MAG PMS, TINURUAN DIN NAMIN KUNG PANO ANG PROCEDURE , PMS</v>
      </c>
      <c r="M1487" s="2"/>
      <c r="N1487" s="2" t="str">
        <f>IFERROR(__xludf.DUMMYFUNCTION("""COMPUTED_VALUE"""),"PARTS:
OIL FILTER
ENGINE OIL")</f>
        <v>PARTS:
OIL FILTER
ENGINE OIL</v>
      </c>
      <c r="O1487" s="2">
        <f>IFERROR(__xludf.DUMMYFUNCTION("""COMPUTED_VALUE"""),575.0)</f>
        <v>575</v>
      </c>
      <c r="P1487" s="2"/>
      <c r="Q1487" s="2" t="str">
        <f>IFERROR(__xludf.DUMMYFUNCTION("""COMPUTED_VALUE"""),"FOR PRINT")</f>
        <v>FOR PRINT</v>
      </c>
      <c r="R1487" s="74">
        <f>IFERROR(__xludf.DUMMYFUNCTION("""COMPUTED_VALUE"""),46085.0)</f>
        <v>46085</v>
      </c>
      <c r="S1487" s="2" t="str">
        <f>IFERROR(__xludf.DUMMYFUNCTION("""COMPUTED_VALUE"""),"FPJ/JAH")</f>
        <v>FPJ/JAH</v>
      </c>
      <c r="T1487" s="73" t="str">
        <f>IFERROR(__xludf.DUMMYFUNCTION("""COMPUTED_VALUE""")," N/A ")</f>
        <v>N/A</v>
      </c>
      <c r="U1487" s="73" t="str">
        <f>IFERROR(__xludf.DUMMYFUNCTION("""COMPUTED_VALUE""")," NO CHARGE ")</f>
        <v>NO CHARGE</v>
      </c>
      <c r="V1487" s="2" t="str">
        <f>IFERROR(__xludf.DUMMYFUNCTION("""COMPUTED_VALUE"""),"NO DR")</f>
        <v>NO DR</v>
      </c>
      <c r="W1487" s="2" t="str">
        <f>IFERROR(__xludf.DUMMYFUNCTION("""COMPUTED_VALUE"""),"N/A")</f>
        <v>N/A</v>
      </c>
      <c r="X1487" s="2" t="str">
        <f>IFERROR(__xludf.DUMMYFUNCTION("""COMPUTED_VALUE"""),"N/A")</f>
        <v>N/A</v>
      </c>
      <c r="Y1487" s="2"/>
      <c r="Z1487" s="2"/>
      <c r="AA1487" s="2"/>
      <c r="AB1487" s="2"/>
      <c r="AC1487" s="2"/>
      <c r="AD1487" s="2"/>
      <c r="AE1487" s="2"/>
      <c r="AF1487" s="2"/>
      <c r="AG1487" s="2"/>
      <c r="AH1487" s="2"/>
      <c r="AI1487" s="2"/>
      <c r="AJ1487" s="2" t="str">
        <f>IFERROR(__xludf.DUMMYFUNCTION("""COMPUTED_VALUE"""),"Barangay 2 (Pob.)")</f>
        <v>Barangay 2 (Pob.)</v>
      </c>
      <c r="AK1487" s="2" t="str">
        <f>IFERROR(__xludf.DUMMYFUNCTION("""COMPUTED_VALUE"""),"Bacacay")</f>
        <v>Bacacay</v>
      </c>
      <c r="AL1487" s="2" t="str">
        <f>IFERROR(__xludf.DUMMYFUNCTION("""COMPUTED_VALUE"""),"Albay")</f>
        <v>Albay</v>
      </c>
      <c r="AM1487" s="2">
        <f>IFERROR(__xludf.DUMMYFUNCTION("""COMPUTED_VALUE"""),5.0)</f>
        <v>5</v>
      </c>
      <c r="AN1487" s="2" t="str">
        <f>IFERROR(__xludf.DUMMYFUNCTION("""COMPUTED_VALUE"""),"RCEF 25-03-05")</f>
        <v>RCEF 25-03-05</v>
      </c>
      <c r="AO1487" s="2">
        <f>IFERROR(__xludf.DUMMYFUNCTION("""COMPUTED_VALUE"""),6.0)</f>
        <v>6</v>
      </c>
      <c r="AP1487" s="2" t="str">
        <f>IFERROR(__xludf.DUMMYFUNCTION("""COMPUTED_VALUE"""),"FREE PMS")</f>
        <v>FREE PMS</v>
      </c>
      <c r="AQ1487" s="2"/>
      <c r="AR1487" s="2"/>
      <c r="AS1487" s="2"/>
      <c r="AT1487" s="2"/>
      <c r="AU1487" s="2"/>
      <c r="AV1487" s="2"/>
      <c r="AW1487" s="2"/>
      <c r="AX1487" s="2"/>
      <c r="AY1487" s="2"/>
      <c r="AZ1487" s="2"/>
      <c r="BA1487" s="2"/>
      <c r="BB1487" s="2"/>
    </row>
    <row r="1488">
      <c r="A1488" s="2">
        <f>IFERROR(__xludf.DUMMYFUNCTION("""COMPUTED_VALUE"""),1484.0)</f>
        <v>1484</v>
      </c>
      <c r="B1488" s="2" t="str">
        <f>IFERROR(__xludf.DUMMYFUNCTION("""COMPUTED_VALUE"""),"COMPLETED")</f>
        <v>COMPLETED</v>
      </c>
      <c r="C1488" s="74">
        <f>IFERROR(__xludf.DUMMYFUNCTION("""COMPUTED_VALUE"""),46085.0)</f>
        <v>46085</v>
      </c>
      <c r="D1488" s="71" t="str">
        <f>IFERROR(__xludf.DUMMYFUNCTION("""COMPUTED_VALUE"""),"MATABIAGA MALAWAAN IRRIGATORS ASSOCIATION, INC.")</f>
        <v>MATABIAGA MALAWAAN IRRIGATORS ASSOCIATION, INC.</v>
      </c>
      <c r="E1488" s="71" t="str">
        <f>IFERROR(__xludf.DUMMYFUNCTION("""COMPUTED_VALUE"""),"MALAWAAN, RIZAL, OCCIDENTAL MINDORO")</f>
        <v>MALAWAAN, RIZAL, OCCIDENTAL MINDORO</v>
      </c>
      <c r="F1488" s="2" t="str">
        <f>IFERROR(__xludf.DUMMYFUNCTION("""COMPUTED_VALUE"""),"Enriqueta D. Tayco")</f>
        <v>Enriqueta D. Tayco</v>
      </c>
      <c r="G1488" s="2">
        <f>IFERROR(__xludf.DUMMYFUNCTION("""COMPUTED_VALUE"""),9.093540587E9)</f>
        <v>9093540587</v>
      </c>
      <c r="H1488" s="2"/>
      <c r="I1488" s="72" t="str">
        <f>IFERROR(__xludf.DUMMYFUNCTION("""COMPUTED_VALUE"""),"SPARE PARTS ACQUISITION")</f>
        <v>SPARE PARTS ACQUISITION</v>
      </c>
      <c r="J1488" s="72"/>
      <c r="K1488" s="72" t="str">
        <f>IFERROR(__xludf.DUMMYFUNCTION("""COMPUTED_VALUE"""),"MYK: 
2 - OIL SEAL TA000041359A
2 - OIL SEAL TC60110000A3
2 - OIL SEAL FE78010000B
2 - REAR AXLE OIL SEAL TA00033423A")</f>
        <v>MYK: 
2 - OIL SEAL TA000041359A
2 - OIL SEAL TC60110000A3
2 - OIL SEAL FE78010000B
2 - REAR AXLE OIL SEAL TA00033423A</v>
      </c>
      <c r="L1488" s="72" t="str">
        <f>IFERROR(__xludf.DUMMYFUNCTION("""COMPUTED_VALUE"""),"QUOTATION SENT:")</f>
        <v>QUOTATION SENT:</v>
      </c>
      <c r="M1488" s="2" t="str">
        <f>IFERROR(__xludf.DUMMYFUNCTION("""COMPUTED_VALUE"""),"2 - OIL SEAL TA000041359A
2 - OIL SEAL TC60110000A3
2 - OIL SEAL FE78010000B
2 - REAR AXLE OIL SEAL TA00033423A")</f>
        <v>2 - OIL SEAL TA000041359A
2 - OIL SEAL TC60110000A3
2 - OIL SEAL FE78010000B
2 - REAR AXLE OIL SEAL TA00033423A</v>
      </c>
      <c r="N1488" s="2" t="str">
        <f>IFERROR(__xludf.DUMMYFUNCTION("""COMPUTED_VALUE"""),"2 - OIL SEAL TA000041359A
2 - OIL SEAL TC60110000A3
2 - OIL SEAL FE78010000B
2 - REAR AXLE OIL SEAL TA00033423A
DELIVERY CHARGE: 280")</f>
        <v>2 - OIL SEAL TA000041359A
2 - OIL SEAL TC60110000A3
2 - OIL SEAL FE78010000B
2 - REAR AXLE OIL SEAL TA00033423A
DELIVERY CHARGE: 280</v>
      </c>
      <c r="O1488" s="2" t="str">
        <f>IFERROR(__xludf.DUMMYFUNCTION("""COMPUTED_VALUE"""),"N/A")</f>
        <v>N/A</v>
      </c>
      <c r="P1488" s="2"/>
      <c r="Q1488" s="2"/>
      <c r="R1488" s="74">
        <f>IFERROR(__xludf.DUMMYFUNCTION("""COMPUTED_VALUE"""),46085.0)</f>
        <v>46085</v>
      </c>
      <c r="S1488" s="2" t="str">
        <f>IFERROR(__xludf.DUMMYFUNCTION("""COMPUTED_VALUE"""),"RCG")</f>
        <v>RCG</v>
      </c>
      <c r="T1488" s="73">
        <f>IFERROR(__xludf.DUMMYFUNCTION("""COMPUTED_VALUE"""),27000.0)</f>
        <v>27000</v>
      </c>
      <c r="U1488" s="73" t="str">
        <f>IFERROR(__xludf.DUMMYFUNCTION("""COMPUTED_VALUE""")," REMITTED ")</f>
        <v>REMITTED</v>
      </c>
      <c r="V1488" s="2">
        <f>IFERROR(__xludf.DUMMYFUNCTION("""COMPUTED_VALUE"""),1420.0)</f>
        <v>1420</v>
      </c>
      <c r="W1488" s="2">
        <f>IFERROR(__xludf.DUMMYFUNCTION("""COMPUTED_VALUE"""),2002.0)</f>
        <v>2002</v>
      </c>
      <c r="X1488" s="2">
        <f>IFERROR(__xludf.DUMMYFUNCTION("""COMPUTED_VALUE"""),1726.0)</f>
        <v>1726</v>
      </c>
      <c r="Y1488" s="2"/>
      <c r="Z1488" s="2"/>
      <c r="AA1488" s="2"/>
      <c r="AB1488" s="2"/>
      <c r="AC1488" s="2"/>
      <c r="AD1488" s="2"/>
      <c r="AE1488" s="2"/>
      <c r="AF1488" s="2"/>
      <c r="AG1488" s="2"/>
      <c r="AH1488" s="2"/>
      <c r="AI1488" s="2"/>
      <c r="AJ1488" s="2" t="str">
        <f>IFERROR(__xludf.DUMMYFUNCTION("""COMPUTED_VALUE"""),"Malawaan")</f>
        <v>Malawaan</v>
      </c>
      <c r="AK1488" s="2" t="str">
        <f>IFERROR(__xludf.DUMMYFUNCTION("""COMPUTED_VALUE"""),"Rizal")</f>
        <v>Rizal</v>
      </c>
      <c r="AL1488" s="2" t="str">
        <f>IFERROR(__xludf.DUMMYFUNCTION("""COMPUTED_VALUE"""),"Occidental Mindoro")</f>
        <v>Occidental Mindoro</v>
      </c>
      <c r="AM1488" s="2" t="str">
        <f>IFERROR(__xludf.DUMMYFUNCTION("""COMPUTED_VALUE"""),"4B")</f>
        <v>4B</v>
      </c>
      <c r="AN1488" s="2" t="str">
        <f>IFERROR(__xludf.DUMMYFUNCTION("""COMPUTED_VALUE"""),"RCEF 23-08-20 Rebidding")</f>
        <v>RCEF 23-08-20 Rebidding</v>
      </c>
      <c r="AO1488" s="2">
        <f>IFERROR(__xludf.DUMMYFUNCTION("""COMPUTED_VALUE"""),1.0)</f>
        <v>1</v>
      </c>
      <c r="AP1488" s="2"/>
      <c r="AQ1488" s="2"/>
      <c r="AR1488" s="2"/>
      <c r="AS1488" s="2"/>
      <c r="AT1488" s="2"/>
      <c r="AU1488" s="2"/>
      <c r="AV1488" s="2"/>
      <c r="AW1488" s="2"/>
      <c r="AX1488" s="2"/>
      <c r="AY1488" s="2"/>
      <c r="AZ1488" s="2"/>
      <c r="BA1488" s="2"/>
      <c r="BB1488" s="2"/>
    </row>
    <row r="1489">
      <c r="A1489" s="2">
        <f>IFERROR(__xludf.DUMMYFUNCTION("""COMPUTED_VALUE"""),1485.0)</f>
        <v>1485</v>
      </c>
      <c r="B1489" s="2" t="str">
        <f>IFERROR(__xludf.DUMMYFUNCTION("""COMPUTED_VALUE"""),"COMPLETED")</f>
        <v>COMPLETED</v>
      </c>
      <c r="C1489" s="74">
        <f>IFERROR(__xludf.DUMMYFUNCTION("""COMPUTED_VALUE"""),46085.0)</f>
        <v>46085</v>
      </c>
      <c r="D1489" s="71" t="str">
        <f>IFERROR(__xludf.DUMMYFUNCTION("""COMPUTED_VALUE"""),"NEGATIL RICE AND HIGH VALUE CROPS FARMERS ASSOCIATION")</f>
        <v>NEGATIL RICE AND HIGH VALUE CROPS FARMERS ASSOCIATION</v>
      </c>
      <c r="E1489" s="71" t="str">
        <f>IFERROR(__xludf.DUMMYFUNCTION("""COMPUTED_VALUE"""),"Grullo, San Narciso, ZAMBALES")</f>
        <v>Grullo, San Narciso, ZAMBALES</v>
      </c>
      <c r="F1489" s="2" t="str">
        <f>IFERROR(__xludf.DUMMYFUNCTION("""COMPUTED_VALUE"""),"NOEL YADAO")</f>
        <v>NOEL YADAO</v>
      </c>
      <c r="G1489" s="2">
        <f>IFERROR(__xludf.DUMMYFUNCTION("""COMPUTED_VALUE"""),9.707247003E9)</f>
        <v>9707247003</v>
      </c>
      <c r="H1489" s="2"/>
      <c r="I1489" s="72" t="str">
        <f>IFERROR(__xludf.DUMMYFUNCTION("""COMPUTED_VALUE"""),"REPAIR - ROTAVATOR")</f>
        <v>REPAIR - ROTAVATOR</v>
      </c>
      <c r="J1489" s="72" t="str">
        <f>IFERROR(__xludf.DUMMYFUNCTION("""COMPUTED_VALUE"""),"Training")</f>
        <v>Training</v>
      </c>
      <c r="K1489" s="72" t="str">
        <f>IFERROR(__xludf.DUMMYFUNCTION("""COMPUTED_VALUE"""),"MYK: NAHINA ANG KAIN NG ROTAVATOR")</f>
        <v>MYK: NAHINA ANG KAIN NG ROTAVATOR</v>
      </c>
      <c r="L1489" s="72" t="str">
        <f>IFERROR(__xludf.DUMMYFUNCTION("""COMPUTED_VALUE"""),"ACS: HINDI NAPUNTAHAN DAHIL NAUNA SA H2O ENGINE PROBLEM.
TO CALL BY RBS -  HINDI MATAWAGAN
ACS: PUTIK LANG YUNG INAARO NYA KAYA GANUN MAHINA ANG ROTAVATOR, PERO NUNG NI TRY NAMIN SA PUTIK NA MAY KAUNTING TUBIG OK NAMAN ANG UNIT. ")</f>
        <v>ACS: HINDI NAPUNTAHAN DAHIL NAUNA SA H2O ENGINE PROBLEM.
TO CALL BY RBS -  HINDI MATAWAGAN
ACS: PUTIK LANG YUNG INAARO NYA KAYA GANUN MAHINA ANG ROTAVATOR, PERO NUNG NI TRY NAMIN SA PUTIK NA MAY KAUNTING TUBIG OK NAMAN ANG UNIT. </v>
      </c>
      <c r="M1489" s="2"/>
      <c r="N1489" s="2"/>
      <c r="O1489" s="2" t="str">
        <f>IFERROR(__xludf.DUMMYFUNCTION("""COMPUTED_VALUE"""),"N/A")</f>
        <v>N/A</v>
      </c>
      <c r="P1489" s="2"/>
      <c r="Q1489" s="2"/>
      <c r="R1489" s="74">
        <f>IFERROR(__xludf.DUMMYFUNCTION("""COMPUTED_VALUE"""),46163.0)</f>
        <v>46163</v>
      </c>
      <c r="S1489" s="2" t="str">
        <f>IFERROR(__xludf.DUMMYFUNCTION("""COMPUTED_VALUE"""),"ACS")</f>
        <v>ACS</v>
      </c>
      <c r="T1489" s="73" t="str">
        <f>IFERROR(__xludf.DUMMYFUNCTION("""COMPUTED_VALUE""")," N/A ")</f>
        <v>N/A</v>
      </c>
      <c r="U1489" s="73" t="str">
        <f>IFERROR(__xludf.DUMMYFUNCTION("""COMPUTED_VALUE""")," NO CHARGE ")</f>
        <v>NO CHARGE</v>
      </c>
      <c r="V1489" s="2" t="str">
        <f>IFERROR(__xludf.DUMMYFUNCTION("""COMPUTED_VALUE"""),"N/A")</f>
        <v>N/A</v>
      </c>
      <c r="W1489" s="2" t="str">
        <f>IFERROR(__xludf.DUMMYFUNCTION("""COMPUTED_VALUE"""),"N/A")</f>
        <v>N/A</v>
      </c>
      <c r="X1489" s="2" t="str">
        <f>IFERROR(__xludf.DUMMYFUNCTION("""COMPUTED_VALUE"""),"N/A")</f>
        <v>N/A</v>
      </c>
      <c r="Y1489" s="2"/>
      <c r="Z1489" s="2"/>
      <c r="AA1489" s="2"/>
      <c r="AB1489" s="2"/>
      <c r="AC1489" s="2"/>
      <c r="AD1489" s="2"/>
      <c r="AE1489" s="2"/>
      <c r="AF1489" s="2"/>
      <c r="AG1489" s="2"/>
      <c r="AH1489" s="2"/>
      <c r="AI1489" s="2"/>
      <c r="AJ1489" s="2" t="str">
        <f>IFERROR(__xludf.DUMMYFUNCTION("""COMPUTED_VALUE"""),"Grullo")</f>
        <v>Grullo</v>
      </c>
      <c r="AK1489" s="2" t="str">
        <f>IFERROR(__xludf.DUMMYFUNCTION("""COMPUTED_VALUE"""),"San Narciso")</f>
        <v>San Narciso</v>
      </c>
      <c r="AL1489" s="2" t="str">
        <f>IFERROR(__xludf.DUMMYFUNCTION("""COMPUTED_VALUE"""),"Zambales")</f>
        <v>Zambales</v>
      </c>
      <c r="AM1489" s="2">
        <f>IFERROR(__xludf.DUMMYFUNCTION("""COMPUTED_VALUE"""),3.0)</f>
        <v>3</v>
      </c>
      <c r="AN1489" s="2" t="str">
        <f>IFERROR(__xludf.DUMMYFUNCTION("""COMPUTED_VALUE"""),"RCEF 25-03-05")</f>
        <v>RCEF 25-03-05</v>
      </c>
      <c r="AO1489" s="2">
        <f>IFERROR(__xludf.DUMMYFUNCTION("""COMPUTED_VALUE"""),5.0)</f>
        <v>5</v>
      </c>
      <c r="AP1489" s="2" t="str">
        <f>IFERROR(__xludf.DUMMYFUNCTION("""COMPUTED_VALUE"""),"FREE PMS")</f>
        <v>FREE PMS</v>
      </c>
      <c r="AQ1489" s="2"/>
      <c r="AR1489" s="2"/>
      <c r="AS1489" s="2"/>
      <c r="AT1489" s="2"/>
      <c r="AU1489" s="2"/>
      <c r="AV1489" s="2"/>
      <c r="AW1489" s="2"/>
      <c r="AX1489" s="2"/>
      <c r="AY1489" s="2"/>
      <c r="AZ1489" s="2"/>
      <c r="BA1489" s="2"/>
      <c r="BB1489" s="2"/>
    </row>
    <row r="1490">
      <c r="A1490" s="2">
        <f>IFERROR(__xludf.DUMMYFUNCTION("""COMPUTED_VALUE"""),1486.0)</f>
        <v>1486</v>
      </c>
      <c r="B1490" s="2" t="str">
        <f>IFERROR(__xludf.DUMMYFUNCTION("""COMPUTED_VALUE"""),"COMPLETED")</f>
        <v>COMPLETED</v>
      </c>
      <c r="C1490" s="74">
        <f>IFERROR(__xludf.DUMMYFUNCTION("""COMPUTED_VALUE"""),46086.0)</f>
        <v>46086</v>
      </c>
      <c r="D1490" s="71" t="str">
        <f>IFERROR(__xludf.DUMMYFUNCTION("""COMPUTED_VALUE"""),"Brgy. Maramba Integrated Farmers and Fisherfolks Association")</f>
        <v>Brgy. Maramba Integrated Farmers and Fisherfolks Association</v>
      </c>
      <c r="E1490" s="71" t="str">
        <f>IFERROR(__xludf.DUMMYFUNCTION("""COMPUTED_VALUE"""),"Maramba, Oas, ALBAY")</f>
        <v>Maramba, Oas, ALBAY</v>
      </c>
      <c r="F1490" s="2" t="str">
        <f>IFERROR(__xludf.DUMMYFUNCTION("""COMPUTED_VALUE""")," ESWARD SAN JOSE")</f>
        <v> ESWARD SAN JOSE</v>
      </c>
      <c r="G1490" s="2">
        <f>IFERROR(__xludf.DUMMYFUNCTION("""COMPUTED_VALUE"""),9.294989278E9)</f>
        <v>9294989278</v>
      </c>
      <c r="H1490" s="2">
        <f>IFERROR(__xludf.DUMMYFUNCTION("""COMPUTED_VALUE"""),42.0)</f>
        <v>42</v>
      </c>
      <c r="I1490" s="72" t="str">
        <f>IFERROR(__xludf.DUMMYFUNCTION("""COMPUTED_VALUE"""),"PMS")</f>
        <v>PMS</v>
      </c>
      <c r="J1490" s="72"/>
      <c r="K1490" s="72" t="str">
        <f>IFERROR(__xludf.DUMMYFUNCTION("""COMPUTED_VALUE"""),"FPJ: 1ST PMS FREE")</f>
        <v>FPJ: 1ST PMS FREE</v>
      </c>
      <c r="L1490" s="72" t="str">
        <f>IFERROR(__xludf.DUMMYFUNCTION("""COMPUTED_VALUE"""),"FPJ: 1ST PMS DONE")</f>
        <v>FPJ: 1ST PMS DONE</v>
      </c>
      <c r="M1490" s="2"/>
      <c r="N1490" s="2" t="str">
        <f>IFERROR(__xludf.DUMMYFUNCTION("""COMPUTED_VALUE"""),"PARTS:
OIL FILTER
ENGINE OIL")</f>
        <v>PARTS:
OIL FILTER
ENGINE OIL</v>
      </c>
      <c r="O1490" s="2">
        <f>IFERROR(__xludf.DUMMYFUNCTION("""COMPUTED_VALUE"""),586.0)</f>
        <v>586</v>
      </c>
      <c r="P1490" s="2"/>
      <c r="Q1490" s="2" t="str">
        <f>IFERROR(__xludf.DUMMYFUNCTION("""COMPUTED_VALUE"""),"FOR PRINT")</f>
        <v>FOR PRINT</v>
      </c>
      <c r="R1490" s="74">
        <f>IFERROR(__xludf.DUMMYFUNCTION("""COMPUTED_VALUE"""),46086.0)</f>
        <v>46086</v>
      </c>
      <c r="S1490" s="2" t="str">
        <f>IFERROR(__xludf.DUMMYFUNCTION("""COMPUTED_VALUE""")," FPJ")</f>
        <v> FPJ</v>
      </c>
      <c r="T1490" s="73" t="str">
        <f>IFERROR(__xludf.DUMMYFUNCTION("""COMPUTED_VALUE""")," N/A ")</f>
        <v>N/A</v>
      </c>
      <c r="U1490" s="73" t="str">
        <f>IFERROR(__xludf.DUMMYFUNCTION("""COMPUTED_VALUE""")," NO CHARGE ")</f>
        <v>NO CHARGE</v>
      </c>
      <c r="V1490" s="2" t="str">
        <f>IFERROR(__xludf.DUMMYFUNCTION("""COMPUTED_VALUE"""),"NO DR")</f>
        <v>NO DR</v>
      </c>
      <c r="W1490" s="2" t="str">
        <f>IFERROR(__xludf.DUMMYFUNCTION("""COMPUTED_VALUE"""),"N/A")</f>
        <v>N/A</v>
      </c>
      <c r="X1490" s="2" t="str">
        <f>IFERROR(__xludf.DUMMYFUNCTION("""COMPUTED_VALUE"""),"N/A")</f>
        <v>N/A</v>
      </c>
      <c r="Y1490" s="2"/>
      <c r="Z1490" s="2"/>
      <c r="AA1490" s="2"/>
      <c r="AB1490" s="2"/>
      <c r="AC1490" s="2"/>
      <c r="AD1490" s="2"/>
      <c r="AE1490" s="2"/>
      <c r="AF1490" s="2"/>
      <c r="AG1490" s="2"/>
      <c r="AH1490" s="2"/>
      <c r="AI1490" s="2"/>
      <c r="AJ1490" s="2" t="str">
        <f>IFERROR(__xludf.DUMMYFUNCTION("""COMPUTED_VALUE"""),"Maramba")</f>
        <v>Maramba</v>
      </c>
      <c r="AK1490" s="2" t="str">
        <f>IFERROR(__xludf.DUMMYFUNCTION("""COMPUTED_VALUE"""),"Oas")</f>
        <v>Oas</v>
      </c>
      <c r="AL1490" s="2" t="str">
        <f>IFERROR(__xludf.DUMMYFUNCTION("""COMPUTED_VALUE"""),"Albay")</f>
        <v>Albay</v>
      </c>
      <c r="AM1490" s="2">
        <f>IFERROR(__xludf.DUMMYFUNCTION("""COMPUTED_VALUE"""),5.0)</f>
        <v>5</v>
      </c>
      <c r="AN1490" s="2" t="str">
        <f>IFERROR(__xludf.DUMMYFUNCTION("""COMPUTED_VALUE"""),"RCEF 25-03-05")</f>
        <v>RCEF 25-03-05</v>
      </c>
      <c r="AO1490" s="2">
        <f>IFERROR(__xludf.DUMMYFUNCTION("""COMPUTED_VALUE"""),6.0)</f>
        <v>6</v>
      </c>
      <c r="AP1490" s="2" t="str">
        <f>IFERROR(__xludf.DUMMYFUNCTION("""COMPUTED_VALUE"""),"FREE PMS")</f>
        <v>FREE PMS</v>
      </c>
      <c r="AQ1490" s="2"/>
      <c r="AR1490" s="2"/>
      <c r="AS1490" s="2"/>
      <c r="AT1490" s="2"/>
      <c r="AU1490" s="2"/>
      <c r="AV1490" s="2"/>
      <c r="AW1490" s="2"/>
      <c r="AX1490" s="2"/>
      <c r="AY1490" s="2"/>
      <c r="AZ1490" s="2"/>
      <c r="BA1490" s="2"/>
      <c r="BB1490" s="2"/>
    </row>
    <row r="1491">
      <c r="A1491" s="2">
        <f>IFERROR(__xludf.DUMMYFUNCTION("""COMPUTED_VALUE"""),1487.0)</f>
        <v>1487</v>
      </c>
      <c r="B1491" s="2" t="str">
        <f>IFERROR(__xludf.DUMMYFUNCTION("""COMPUTED_VALUE"""),"COMPLETED")</f>
        <v>COMPLETED</v>
      </c>
      <c r="C1491" s="74">
        <f>IFERROR(__xludf.DUMMYFUNCTION("""COMPUTED_VALUE"""),46086.0)</f>
        <v>46086</v>
      </c>
      <c r="D1491" s="71" t="str">
        <f>IFERROR(__xludf.DUMMYFUNCTION("""COMPUTED_VALUE"""),"BURUNYOG NA PARAOMANG ORAGON ASSOCIATION")</f>
        <v>BURUNYOG NA PARAOMANG ORAGON ASSOCIATION</v>
      </c>
      <c r="E1491" s="71" t="str">
        <f>IFERROR(__xludf.DUMMYFUNCTION("""COMPUTED_VALUE"""),"San Isidro, Oas, ALBAY")</f>
        <v>San Isidro, Oas, ALBAY</v>
      </c>
      <c r="F1491" s="2" t="str">
        <f>IFERROR(__xludf.DUMMYFUNCTION("""COMPUTED_VALUE"""),"lelia M. Regachuelo")</f>
        <v>lelia M. Regachuelo</v>
      </c>
      <c r="G1491" s="2">
        <f>IFERROR(__xludf.DUMMYFUNCTION("""COMPUTED_VALUE"""),9.393372075E9)</f>
        <v>9393372075</v>
      </c>
      <c r="H1491" s="2">
        <f>IFERROR(__xludf.DUMMYFUNCTION("""COMPUTED_VALUE"""),17.0)</f>
        <v>17</v>
      </c>
      <c r="I1491" s="72" t="str">
        <f>IFERROR(__xludf.DUMMYFUNCTION("""COMPUTED_VALUE"""),"PMS")</f>
        <v>PMS</v>
      </c>
      <c r="J1491" s="72"/>
      <c r="K1491" s="72" t="str">
        <f>IFERROR(__xludf.DUMMYFUNCTION("""COMPUTED_VALUE"""),"FPJ: 1ST PMS FREE")</f>
        <v>FPJ: 1ST PMS FREE</v>
      </c>
      <c r="L1491" s="72" t="str">
        <f>IFERROR(__xludf.DUMMYFUNCTION("""COMPUTED_VALUE"""),"FPJ: 1ST PMS DONE")</f>
        <v>FPJ: 1ST PMS DONE</v>
      </c>
      <c r="M1491" s="2"/>
      <c r="N1491" s="2" t="str">
        <f>IFERROR(__xludf.DUMMYFUNCTION("""COMPUTED_VALUE"""),"PARTS:
OIL FILTER
ENGINE OIL")</f>
        <v>PARTS:
OIL FILTER
ENGINE OIL</v>
      </c>
      <c r="O1491" s="2">
        <f>IFERROR(__xludf.DUMMYFUNCTION("""COMPUTED_VALUE"""),585.0)</f>
        <v>585</v>
      </c>
      <c r="P1491" s="2"/>
      <c r="Q1491" s="2" t="str">
        <f>IFERROR(__xludf.DUMMYFUNCTION("""COMPUTED_VALUE"""),"FOR PRINT")</f>
        <v>FOR PRINT</v>
      </c>
      <c r="R1491" s="74">
        <f>IFERROR(__xludf.DUMMYFUNCTION("""COMPUTED_VALUE"""),46086.0)</f>
        <v>46086</v>
      </c>
      <c r="S1491" s="2" t="str">
        <f>IFERROR(__xludf.DUMMYFUNCTION("""COMPUTED_VALUE""")," FPJ")</f>
        <v> FPJ</v>
      </c>
      <c r="T1491" s="73" t="str">
        <f>IFERROR(__xludf.DUMMYFUNCTION("""COMPUTED_VALUE""")," N/A ")</f>
        <v>N/A</v>
      </c>
      <c r="U1491" s="73" t="str">
        <f>IFERROR(__xludf.DUMMYFUNCTION("""COMPUTED_VALUE""")," NO CHARGE ")</f>
        <v>NO CHARGE</v>
      </c>
      <c r="V1491" s="2" t="str">
        <f>IFERROR(__xludf.DUMMYFUNCTION("""COMPUTED_VALUE"""),"NO DR")</f>
        <v>NO DR</v>
      </c>
      <c r="W1491" s="2" t="str">
        <f>IFERROR(__xludf.DUMMYFUNCTION("""COMPUTED_VALUE"""),"N/A")</f>
        <v>N/A</v>
      </c>
      <c r="X1491" s="2" t="str">
        <f>IFERROR(__xludf.DUMMYFUNCTION("""COMPUTED_VALUE"""),"N/A")</f>
        <v>N/A</v>
      </c>
      <c r="Y1491" s="2"/>
      <c r="Z1491" s="2"/>
      <c r="AA1491" s="2"/>
      <c r="AB1491" s="2"/>
      <c r="AC1491" s="2"/>
      <c r="AD1491" s="2"/>
      <c r="AE1491" s="2"/>
      <c r="AF1491" s="2"/>
      <c r="AG1491" s="2"/>
      <c r="AH1491" s="2"/>
      <c r="AI1491" s="2"/>
      <c r="AJ1491" s="2" t="str">
        <f>IFERROR(__xludf.DUMMYFUNCTION("""COMPUTED_VALUE"""),"San Isidro")</f>
        <v>San Isidro</v>
      </c>
      <c r="AK1491" s="2" t="str">
        <f>IFERROR(__xludf.DUMMYFUNCTION("""COMPUTED_VALUE"""),"Oas")</f>
        <v>Oas</v>
      </c>
      <c r="AL1491" s="2" t="str">
        <f>IFERROR(__xludf.DUMMYFUNCTION("""COMPUTED_VALUE"""),"Albay")</f>
        <v>Albay</v>
      </c>
      <c r="AM1491" s="2">
        <f>IFERROR(__xludf.DUMMYFUNCTION("""COMPUTED_VALUE"""),5.0)</f>
        <v>5</v>
      </c>
      <c r="AN1491" s="2" t="str">
        <f>IFERROR(__xludf.DUMMYFUNCTION("""COMPUTED_VALUE"""),"RCEF 25-03-05")</f>
        <v>RCEF 25-03-05</v>
      </c>
      <c r="AO1491" s="2">
        <f>IFERROR(__xludf.DUMMYFUNCTION("""COMPUTED_VALUE"""),6.0)</f>
        <v>6</v>
      </c>
      <c r="AP1491" s="2" t="str">
        <f>IFERROR(__xludf.DUMMYFUNCTION("""COMPUTED_VALUE"""),"FREE PMS")</f>
        <v>FREE PMS</v>
      </c>
      <c r="AQ1491" s="2"/>
      <c r="AR1491" s="2"/>
      <c r="AS1491" s="2"/>
      <c r="AT1491" s="2"/>
      <c r="AU1491" s="2"/>
      <c r="AV1491" s="2"/>
      <c r="AW1491" s="2"/>
      <c r="AX1491" s="2"/>
      <c r="AY1491" s="2"/>
      <c r="AZ1491" s="2"/>
      <c r="BA1491" s="2"/>
      <c r="BB1491" s="2"/>
    </row>
    <row r="1492">
      <c r="A1492" s="2">
        <f>IFERROR(__xludf.DUMMYFUNCTION("""COMPUTED_VALUE"""),1488.0)</f>
        <v>1488</v>
      </c>
      <c r="B1492" s="2" t="str">
        <f>IFERROR(__xludf.DUMMYFUNCTION("""COMPUTED_VALUE"""),"COMPLETED")</f>
        <v>COMPLETED</v>
      </c>
      <c r="C1492" s="74">
        <f>IFERROR(__xludf.DUMMYFUNCTION("""COMPUTED_VALUE"""),46086.0)</f>
        <v>46086</v>
      </c>
      <c r="D1492" s="71" t="str">
        <f>IFERROR(__xludf.DUMMYFUNCTION("""COMPUTED_VALUE"""),"Newtown Farmers Association")</f>
        <v>Newtown Farmers Association</v>
      </c>
      <c r="E1492" s="71" t="str">
        <f>IFERROR(__xludf.DUMMYFUNCTION("""COMPUTED_VALUE"""),"Bagumbayan, Ligao City, ALBAY")</f>
        <v>Bagumbayan, Ligao City, ALBAY</v>
      </c>
      <c r="F1492" s="2" t="str">
        <f>IFERROR(__xludf.DUMMYFUNCTION("""COMPUTED_VALUE"""),"ROBERTO A. QUIRASOL")</f>
        <v>ROBERTO A. QUIRASOL</v>
      </c>
      <c r="G1492" s="2">
        <f>IFERROR(__xludf.DUMMYFUNCTION("""COMPUTED_VALUE"""),9.163393261E9)</f>
        <v>9163393261</v>
      </c>
      <c r="H1492" s="2">
        <f>IFERROR(__xludf.DUMMYFUNCTION("""COMPUTED_VALUE"""),84.0)</f>
        <v>84</v>
      </c>
      <c r="I1492" s="72" t="str">
        <f>IFERROR(__xludf.DUMMYFUNCTION("""COMPUTED_VALUE"""),"PMS")</f>
        <v>PMS</v>
      </c>
      <c r="J1492" s="72"/>
      <c r="K1492" s="72" t="str">
        <f>IFERROR(__xludf.DUMMYFUNCTION("""COMPUTED_VALUE"""),"FPJ: 1ST PMS FREE")</f>
        <v>FPJ: 1ST PMS FREE</v>
      </c>
      <c r="L1492" s="72" t="str">
        <f>IFERROR(__xludf.DUMMYFUNCTION("""COMPUTED_VALUE"""),"FPJ: 1ST PMS DONE")</f>
        <v>FPJ: 1ST PMS DONE</v>
      </c>
      <c r="M1492" s="2"/>
      <c r="N1492" s="2" t="str">
        <f>IFERROR(__xludf.DUMMYFUNCTION("""COMPUTED_VALUE"""),"PARTS:
OIL FILTER
ENGINE OIL")</f>
        <v>PARTS:
OIL FILTER
ENGINE OIL</v>
      </c>
      <c r="O1492" s="2">
        <f>IFERROR(__xludf.DUMMYFUNCTION("""COMPUTED_VALUE"""),584.0)</f>
        <v>584</v>
      </c>
      <c r="P1492" s="2"/>
      <c r="Q1492" s="2" t="str">
        <f>IFERROR(__xludf.DUMMYFUNCTION("""COMPUTED_VALUE"""),"FOR PRINT")</f>
        <v>FOR PRINT</v>
      </c>
      <c r="R1492" s="74">
        <f>IFERROR(__xludf.DUMMYFUNCTION("""COMPUTED_VALUE"""),46086.0)</f>
        <v>46086</v>
      </c>
      <c r="S1492" s="2" t="str">
        <f>IFERROR(__xludf.DUMMYFUNCTION("""COMPUTED_VALUE""")," FPJ")</f>
        <v> FPJ</v>
      </c>
      <c r="T1492" s="73" t="str">
        <f>IFERROR(__xludf.DUMMYFUNCTION("""COMPUTED_VALUE""")," N/A ")</f>
        <v>N/A</v>
      </c>
      <c r="U1492" s="73" t="str">
        <f>IFERROR(__xludf.DUMMYFUNCTION("""COMPUTED_VALUE""")," NO CHARGE ")</f>
        <v>NO CHARGE</v>
      </c>
      <c r="V1492" s="2" t="str">
        <f>IFERROR(__xludf.DUMMYFUNCTION("""COMPUTED_VALUE"""),"NO DR")</f>
        <v>NO DR</v>
      </c>
      <c r="W1492" s="2" t="str">
        <f>IFERROR(__xludf.DUMMYFUNCTION("""COMPUTED_VALUE"""),"N/A")</f>
        <v>N/A</v>
      </c>
      <c r="X1492" s="2" t="str">
        <f>IFERROR(__xludf.DUMMYFUNCTION("""COMPUTED_VALUE"""),"N/A")</f>
        <v>N/A</v>
      </c>
      <c r="Y1492" s="2"/>
      <c r="Z1492" s="2"/>
      <c r="AA1492" s="2"/>
      <c r="AB1492" s="2"/>
      <c r="AC1492" s="2"/>
      <c r="AD1492" s="2"/>
      <c r="AE1492" s="2"/>
      <c r="AF1492" s="2"/>
      <c r="AG1492" s="2"/>
      <c r="AH1492" s="2"/>
      <c r="AI1492" s="2"/>
      <c r="AJ1492" s="2" t="str">
        <f>IFERROR(__xludf.DUMMYFUNCTION("""COMPUTED_VALUE"""),"Bagumbayan")</f>
        <v>Bagumbayan</v>
      </c>
      <c r="AK1492" s="2" t="str">
        <f>IFERROR(__xludf.DUMMYFUNCTION("""COMPUTED_VALUE"""),"Ligao City")</f>
        <v>Ligao City</v>
      </c>
      <c r="AL1492" s="2" t="str">
        <f>IFERROR(__xludf.DUMMYFUNCTION("""COMPUTED_VALUE"""),"Albay")</f>
        <v>Albay</v>
      </c>
      <c r="AM1492" s="2">
        <f>IFERROR(__xludf.DUMMYFUNCTION("""COMPUTED_VALUE"""),5.0)</f>
        <v>5</v>
      </c>
      <c r="AN1492" s="2" t="str">
        <f>IFERROR(__xludf.DUMMYFUNCTION("""COMPUTED_VALUE"""),"RCEF 25-03-05")</f>
        <v>RCEF 25-03-05</v>
      </c>
      <c r="AO1492" s="2">
        <f>IFERROR(__xludf.DUMMYFUNCTION("""COMPUTED_VALUE"""),6.0)</f>
        <v>6</v>
      </c>
      <c r="AP1492" s="2" t="str">
        <f>IFERROR(__xludf.DUMMYFUNCTION("""COMPUTED_VALUE"""),"FREE PMS")</f>
        <v>FREE PMS</v>
      </c>
      <c r="AQ1492" s="2"/>
      <c r="AR1492" s="2"/>
      <c r="AS1492" s="2"/>
      <c r="AT1492" s="2"/>
      <c r="AU1492" s="2"/>
      <c r="AV1492" s="2"/>
      <c r="AW1492" s="2"/>
      <c r="AX1492" s="2"/>
      <c r="AY1492" s="2"/>
      <c r="AZ1492" s="2"/>
      <c r="BA1492" s="2"/>
      <c r="BB1492" s="2"/>
    </row>
    <row r="1493">
      <c r="A1493" s="2">
        <f>IFERROR(__xludf.DUMMYFUNCTION("""COMPUTED_VALUE"""),1489.0)</f>
        <v>1489</v>
      </c>
      <c r="B1493" s="2" t="str">
        <f>IFERROR(__xludf.DUMMYFUNCTION("""COMPUTED_VALUE"""),"COMPLETED")</f>
        <v>COMPLETED</v>
      </c>
      <c r="C1493" s="74">
        <f>IFERROR(__xludf.DUMMYFUNCTION("""COMPUTED_VALUE"""),46086.0)</f>
        <v>46086</v>
      </c>
      <c r="D1493" s="71" t="str">
        <f>IFERROR(__xludf.DUMMYFUNCTION("""COMPUTED_VALUE"""),"Municipal Local Government Unit of Camalig")</f>
        <v>Municipal Local Government Unit of Camalig</v>
      </c>
      <c r="E1493" s="71" t="str">
        <f>IFERROR(__xludf.DUMMYFUNCTION("""COMPUTED_VALUE"""),"Barangay 2 (Pob.), Camalig, ALBAY")</f>
        <v>Barangay 2 (Pob.), Camalig, ALBAY</v>
      </c>
      <c r="F1493" s="2" t="str">
        <f>IFERROR(__xludf.DUMMYFUNCTION("""COMPUTED_VALUE"""),"Hon.Carlos Baldo Jr.")</f>
        <v>Hon.Carlos Baldo Jr.</v>
      </c>
      <c r="G1493" s="2">
        <f>IFERROR(__xludf.DUMMYFUNCTION("""COMPUTED_VALUE"""),9.93865538E8)</f>
        <v>993865538</v>
      </c>
      <c r="H1493" s="2">
        <f>IFERROR(__xludf.DUMMYFUNCTION("""COMPUTED_VALUE"""),8.4)</f>
        <v>8.4</v>
      </c>
      <c r="I1493" s="72" t="str">
        <f>IFERROR(__xludf.DUMMYFUNCTION("""COMPUTED_VALUE"""),"PMS")</f>
        <v>PMS</v>
      </c>
      <c r="J1493" s="72"/>
      <c r="K1493" s="72" t="str">
        <f>IFERROR(__xludf.DUMMYFUNCTION("""COMPUTED_VALUE"""),"FPJ: 1ST PMS FREE")</f>
        <v>FPJ: 1ST PMS FREE</v>
      </c>
      <c r="L1493" s="72" t="str">
        <f>IFERROR(__xludf.DUMMYFUNCTION("""COMPUTED_VALUE"""),"FPJ: 1ST PMS DONE")</f>
        <v>FPJ: 1ST PMS DONE</v>
      </c>
      <c r="M1493" s="2"/>
      <c r="N1493" s="2" t="str">
        <f>IFERROR(__xludf.DUMMYFUNCTION("""COMPUTED_VALUE"""),"PARTS:
OIL FILTER
ENGINE OIL")</f>
        <v>PARTS:
OIL FILTER
ENGINE OIL</v>
      </c>
      <c r="O1493" s="2">
        <f>IFERROR(__xludf.DUMMYFUNCTION("""COMPUTED_VALUE"""),583.0)</f>
        <v>583</v>
      </c>
      <c r="P1493" s="2"/>
      <c r="Q1493" s="2" t="str">
        <f>IFERROR(__xludf.DUMMYFUNCTION("""COMPUTED_VALUE"""),"FOR PRINT")</f>
        <v>FOR PRINT</v>
      </c>
      <c r="R1493" s="74">
        <f>IFERROR(__xludf.DUMMYFUNCTION("""COMPUTED_VALUE"""),46086.0)</f>
        <v>46086</v>
      </c>
      <c r="S1493" s="2" t="str">
        <f>IFERROR(__xludf.DUMMYFUNCTION("""COMPUTED_VALUE""")," FPJ")</f>
        <v> FPJ</v>
      </c>
      <c r="T1493" s="73" t="str">
        <f>IFERROR(__xludf.DUMMYFUNCTION("""COMPUTED_VALUE""")," N/A ")</f>
        <v>N/A</v>
      </c>
      <c r="U1493" s="73" t="str">
        <f>IFERROR(__xludf.DUMMYFUNCTION("""COMPUTED_VALUE""")," NO CHARGE ")</f>
        <v>NO CHARGE</v>
      </c>
      <c r="V1493" s="2" t="str">
        <f>IFERROR(__xludf.DUMMYFUNCTION("""COMPUTED_VALUE"""),"NO DR")</f>
        <v>NO DR</v>
      </c>
      <c r="W1493" s="2" t="str">
        <f>IFERROR(__xludf.DUMMYFUNCTION("""COMPUTED_VALUE"""),"N/A")</f>
        <v>N/A</v>
      </c>
      <c r="X1493" s="2" t="str">
        <f>IFERROR(__xludf.DUMMYFUNCTION("""COMPUTED_VALUE"""),"N/A")</f>
        <v>N/A</v>
      </c>
      <c r="Y1493" s="2"/>
      <c r="Z1493" s="2"/>
      <c r="AA1493" s="2"/>
      <c r="AB1493" s="2"/>
      <c r="AC1493" s="2"/>
      <c r="AD1493" s="2"/>
      <c r="AE1493" s="2"/>
      <c r="AF1493" s="2"/>
      <c r="AG1493" s="2"/>
      <c r="AH1493" s="2"/>
      <c r="AI1493" s="2"/>
      <c r="AJ1493" s="2" t="str">
        <f>IFERROR(__xludf.DUMMYFUNCTION("""COMPUTED_VALUE"""),"Barangay 2 (Pob.)")</f>
        <v>Barangay 2 (Pob.)</v>
      </c>
      <c r="AK1493" s="2" t="str">
        <f>IFERROR(__xludf.DUMMYFUNCTION("""COMPUTED_VALUE"""),"Camalig")</f>
        <v>Camalig</v>
      </c>
      <c r="AL1493" s="2" t="str">
        <f>IFERROR(__xludf.DUMMYFUNCTION("""COMPUTED_VALUE"""),"Albay")</f>
        <v>Albay</v>
      </c>
      <c r="AM1493" s="2">
        <f>IFERROR(__xludf.DUMMYFUNCTION("""COMPUTED_VALUE"""),5.0)</f>
        <v>5</v>
      </c>
      <c r="AN1493" s="2" t="str">
        <f>IFERROR(__xludf.DUMMYFUNCTION("""COMPUTED_VALUE"""),"RCEF 25-03-05")</f>
        <v>RCEF 25-03-05</v>
      </c>
      <c r="AO1493" s="2">
        <f>IFERROR(__xludf.DUMMYFUNCTION("""COMPUTED_VALUE"""),6.0)</f>
        <v>6</v>
      </c>
      <c r="AP1493" s="2" t="str">
        <f>IFERROR(__xludf.DUMMYFUNCTION("""COMPUTED_VALUE"""),"FREE PMS")</f>
        <v>FREE PMS</v>
      </c>
      <c r="AQ1493" s="2"/>
      <c r="AR1493" s="2"/>
      <c r="AS1493" s="2"/>
      <c r="AT1493" s="2"/>
      <c r="AU1493" s="2"/>
      <c r="AV1493" s="2"/>
      <c r="AW1493" s="2"/>
      <c r="AX1493" s="2"/>
      <c r="AY1493" s="2"/>
      <c r="AZ1493" s="2"/>
      <c r="BA1493" s="2"/>
      <c r="BB1493" s="2"/>
    </row>
    <row r="1494">
      <c r="A1494" s="2">
        <f>IFERROR(__xludf.DUMMYFUNCTION("""COMPUTED_VALUE"""),1490.0)</f>
        <v>1490</v>
      </c>
      <c r="B1494" s="2" t="str">
        <f>IFERROR(__xludf.DUMMYFUNCTION("""COMPUTED_VALUE"""),"COMPLETED")</f>
        <v>COMPLETED</v>
      </c>
      <c r="C1494" s="74">
        <f>IFERROR(__xludf.DUMMYFUNCTION("""COMPUTED_VALUE"""),46087.0)</f>
        <v>46087</v>
      </c>
      <c r="D1494" s="71" t="str">
        <f>IFERROR(__xludf.DUMMYFUNCTION("""COMPUTED_VALUE"""),"POBLACION ILAYA PANIT-AN FARMERS ASSOCIATION")</f>
        <v>POBLACION ILAYA PANIT-AN FARMERS ASSOCIATION</v>
      </c>
      <c r="E1494" s="71" t="str">
        <f>IFERROR(__xludf.DUMMYFUNCTION("""COMPUTED_VALUE"""),"Poblacion Ilaya, Panitan, CAPIZ")</f>
        <v>Poblacion Ilaya, Panitan, CAPIZ</v>
      </c>
      <c r="F1494" s="2" t="str">
        <f>IFERROR(__xludf.DUMMYFUNCTION("""COMPUTED_VALUE"""),"LORENZO DUMOL")</f>
        <v>LORENZO DUMOL</v>
      </c>
      <c r="G1494" s="2">
        <f>IFERROR(__xludf.DUMMYFUNCTION("""COMPUTED_VALUE"""),9.270293201E9)</f>
        <v>9270293201</v>
      </c>
      <c r="H1494" s="2"/>
      <c r="I1494" s="72" t="str">
        <f>IFERROR(__xludf.DUMMYFUNCTION("""COMPUTED_VALUE"""),"SPARE PARTS ACQUISITION")</f>
        <v>SPARE PARTS ACQUISITION</v>
      </c>
      <c r="J1494" s="72"/>
      <c r="K1494" s="72" t="str">
        <f>IFERROR(__xludf.DUMMYFUNCTION("""COMPUTED_VALUE"""),"MYK: 2- FRONT AXLE OIL SEAL 57-80-15")</f>
        <v>MYK: 2- FRONT AXLE OIL SEAL 57-80-15</v>
      </c>
      <c r="L1494" s="72" t="str">
        <f>IFERROR(__xludf.DUMMYFUNCTION("""COMPUTED_VALUE"""),"QUOTATION SENT")</f>
        <v>QUOTATION SENT</v>
      </c>
      <c r="M1494" s="2" t="str">
        <f>IFERROR(__xludf.DUMMYFUNCTION("""COMPUTED_VALUE"""),"2- FRONT AXLE OIL SEAL 57-80-15")</f>
        <v>2- FRONT AXLE OIL SEAL 57-80-15</v>
      </c>
      <c r="N1494" s="2"/>
      <c r="O1494" s="2" t="str">
        <f>IFERROR(__xludf.DUMMYFUNCTION("""COMPUTED_VALUE"""),"N/A")</f>
        <v>N/A</v>
      </c>
      <c r="P1494" s="2"/>
      <c r="Q1494" s="2"/>
      <c r="R1494" s="74">
        <f>IFERROR(__xludf.DUMMYFUNCTION("""COMPUTED_VALUE"""),46147.0)</f>
        <v>46147</v>
      </c>
      <c r="S1494" s="2" t="str">
        <f>IFERROR(__xludf.DUMMYFUNCTION("""COMPUTED_VALUE"""),"MYKEE")</f>
        <v>MYKEE</v>
      </c>
      <c r="T1494" s="73" t="str">
        <f>IFERROR(__xludf.DUMMYFUNCTION("""COMPUTED_VALUE""")," N/A ")</f>
        <v>N/A</v>
      </c>
      <c r="U1494" s="73" t="str">
        <f>IFERROR(__xludf.DUMMYFUNCTION("""COMPUTED_VALUE""")," NO CHARGE ")</f>
        <v>NO CHARGE</v>
      </c>
      <c r="V1494" s="2" t="str">
        <f>IFERROR(__xludf.DUMMYFUNCTION("""COMPUTED_VALUE"""),"N/A")</f>
        <v>N/A</v>
      </c>
      <c r="W1494" s="2" t="str">
        <f>IFERROR(__xludf.DUMMYFUNCTION("""COMPUTED_VALUE"""),"N/A")</f>
        <v>N/A</v>
      </c>
      <c r="X1494" s="2" t="str">
        <f>IFERROR(__xludf.DUMMYFUNCTION("""COMPUTED_VALUE"""),"N/A")</f>
        <v>N/A</v>
      </c>
      <c r="Y1494" s="2"/>
      <c r="Z1494" s="2"/>
      <c r="AA1494" s="2"/>
      <c r="AB1494" s="2"/>
      <c r="AC1494" s="2"/>
      <c r="AD1494" s="2"/>
      <c r="AE1494" s="2"/>
      <c r="AF1494" s="2"/>
      <c r="AG1494" s="2"/>
      <c r="AH1494" s="2"/>
      <c r="AI1494" s="2"/>
      <c r="AJ1494" s="2" t="str">
        <f>IFERROR(__xludf.DUMMYFUNCTION("""COMPUTED_VALUE"""),"Poblacion Ilaya")</f>
        <v>Poblacion Ilaya</v>
      </c>
      <c r="AK1494" s="2" t="str">
        <f>IFERROR(__xludf.DUMMYFUNCTION("""COMPUTED_VALUE"""),"Panitan")</f>
        <v>Panitan</v>
      </c>
      <c r="AL1494" s="2" t="str">
        <f>IFERROR(__xludf.DUMMYFUNCTION("""COMPUTED_VALUE"""),"Capiz")</f>
        <v>Capiz</v>
      </c>
      <c r="AM1494" s="2">
        <f>IFERROR(__xludf.DUMMYFUNCTION("""COMPUTED_VALUE"""),6.0)</f>
        <v>6</v>
      </c>
      <c r="AN1494" s="2" t="str">
        <f>IFERROR(__xludf.DUMMYFUNCTION("""COMPUTED_VALUE"""),"RCEF 23-09-21 Rebidding")</f>
        <v>RCEF 23-09-21 Rebidding</v>
      </c>
      <c r="AO1494" s="2">
        <f>IFERROR(__xludf.DUMMYFUNCTION("""COMPUTED_VALUE"""),4.0)</f>
        <v>4</v>
      </c>
      <c r="AP1494" s="2"/>
      <c r="AQ1494" s="2"/>
      <c r="AR1494" s="2"/>
      <c r="AS1494" s="2"/>
      <c r="AT1494" s="2"/>
      <c r="AU1494" s="2"/>
      <c r="AV1494" s="2"/>
      <c r="AW1494" s="2"/>
      <c r="AX1494" s="2"/>
      <c r="AY1494" s="2"/>
      <c r="AZ1494" s="2"/>
      <c r="BA1494" s="2"/>
      <c r="BB1494" s="2"/>
    </row>
    <row r="1495">
      <c r="A1495" s="2">
        <f>IFERROR(__xludf.DUMMYFUNCTION("""COMPUTED_VALUE"""),1491.0)</f>
        <v>1491</v>
      </c>
      <c r="B1495" s="2" t="str">
        <f>IFERROR(__xludf.DUMMYFUNCTION("""COMPUTED_VALUE"""),"COMPLETED")</f>
        <v>COMPLETED</v>
      </c>
      <c r="C1495" s="74">
        <f>IFERROR(__xludf.DUMMYFUNCTION("""COMPUTED_VALUE"""),46087.0)</f>
        <v>46087</v>
      </c>
      <c r="D1495" s="71" t="str">
        <f>IFERROR(__xludf.DUMMYFUNCTION("""COMPUTED_VALUE"""),"ALAMINOS CITY AGRICULTURE COOPERATIVE")</f>
        <v>ALAMINOS CITY AGRICULTURE COOPERATIVE</v>
      </c>
      <c r="E1495" s="71" t="str">
        <f>IFERROR(__xludf.DUMMYFUNCTION("""COMPUTED_VALUE"""),"San Antonio (R. Magsaysay), Alaminos City, PANGASINAN")</f>
        <v>San Antonio (R. Magsaysay), Alaminos City, PANGASINAN</v>
      </c>
      <c r="F1495" s="2" t="str">
        <f>IFERROR(__xludf.DUMMYFUNCTION("""COMPUTED_VALUE"""),"Leticia Dela Cruz ")</f>
        <v>Leticia Dela Cruz </v>
      </c>
      <c r="G1495" s="2">
        <f>IFERROR(__xludf.DUMMYFUNCTION("""COMPUTED_VALUE"""),9.157489034E9)</f>
        <v>9157489034</v>
      </c>
      <c r="H1495" s="2"/>
      <c r="I1495" s="72" t="str">
        <f>IFERROR(__xludf.DUMMYFUNCTION("""COMPUTED_VALUE"""),"SPARE PARTS ACQUISITION")</f>
        <v>SPARE PARTS ACQUISITION</v>
      </c>
      <c r="J1495" s="72"/>
      <c r="K1495" s="72" t="str">
        <f>IFERROR(__xludf.DUMMYFUNCTION("""COMPUTED_VALUE"""),"EGT: 2- OIL SEAL TA00041359A")</f>
        <v>EGT: 2- OIL SEAL TA00041359A</v>
      </c>
      <c r="L1495" s="72" t="str">
        <f>IFERROR(__xludf.DUMMYFUNCTION("""COMPUTED_VALUE"""),"QUOTATION SENT VIA TEXT -  CLOSED NO EPLY")</f>
        <v>QUOTATION SENT VIA TEXT -  CLOSED NO EPLY</v>
      </c>
      <c r="M1495" s="2" t="str">
        <f>IFERROR(__xludf.DUMMYFUNCTION("""COMPUTED_VALUE""")," OIL SEAL TA00041359A")</f>
        <v> OIL SEAL TA00041359A</v>
      </c>
      <c r="N1495" s="2"/>
      <c r="O1495" s="2" t="str">
        <f>IFERROR(__xludf.DUMMYFUNCTION("""COMPUTED_VALUE"""),"N/A")</f>
        <v>N/A</v>
      </c>
      <c r="P1495" s="2"/>
      <c r="Q1495" s="2"/>
      <c r="R1495" s="74">
        <f>IFERROR(__xludf.DUMMYFUNCTION("""COMPUTED_VALUE"""),46147.0)</f>
        <v>46147</v>
      </c>
      <c r="S1495" s="2" t="str">
        <f>IFERROR(__xludf.DUMMYFUNCTION("""COMPUTED_VALUE"""),"MYKEE")</f>
        <v>MYKEE</v>
      </c>
      <c r="T1495" s="73" t="str">
        <f>IFERROR(__xludf.DUMMYFUNCTION("""COMPUTED_VALUE""")," N/A ")</f>
        <v>N/A</v>
      </c>
      <c r="U1495" s="73" t="str">
        <f>IFERROR(__xludf.DUMMYFUNCTION("""COMPUTED_VALUE""")," NO CHARGE ")</f>
        <v>NO CHARGE</v>
      </c>
      <c r="V1495" s="2" t="str">
        <f>IFERROR(__xludf.DUMMYFUNCTION("""COMPUTED_VALUE"""),"N/A")</f>
        <v>N/A</v>
      </c>
      <c r="W1495" s="2" t="str">
        <f>IFERROR(__xludf.DUMMYFUNCTION("""COMPUTED_VALUE"""),"N/A")</f>
        <v>N/A</v>
      </c>
      <c r="X1495" s="2" t="str">
        <f>IFERROR(__xludf.DUMMYFUNCTION("""COMPUTED_VALUE"""),"N/A")</f>
        <v>N/A</v>
      </c>
      <c r="Y1495" s="2"/>
      <c r="Z1495" s="2"/>
      <c r="AA1495" s="2"/>
      <c r="AB1495" s="2"/>
      <c r="AC1495" s="2"/>
      <c r="AD1495" s="2"/>
      <c r="AE1495" s="2"/>
      <c r="AF1495" s="2"/>
      <c r="AG1495" s="2"/>
      <c r="AH1495" s="2"/>
      <c r="AI1495" s="2"/>
      <c r="AJ1495" s="2" t="str">
        <f>IFERROR(__xludf.DUMMYFUNCTION("""COMPUTED_VALUE"""),"San Antonio (R. Magsaysay)")</f>
        <v>San Antonio (R. Magsaysay)</v>
      </c>
      <c r="AK1495" s="2" t="str">
        <f>IFERROR(__xludf.DUMMYFUNCTION("""COMPUTED_VALUE"""),"Alaminos City")</f>
        <v>Alaminos City</v>
      </c>
      <c r="AL1495" s="2" t="str">
        <f>IFERROR(__xludf.DUMMYFUNCTION("""COMPUTED_VALUE"""),"Pangasinan")</f>
        <v>Pangasinan</v>
      </c>
      <c r="AM1495" s="2">
        <f>IFERROR(__xludf.DUMMYFUNCTION("""COMPUTED_VALUE"""),1.0)</f>
        <v>1</v>
      </c>
      <c r="AN1495" s="2" t="str">
        <f>IFERROR(__xludf.DUMMYFUNCTION("""COMPUTED_VALUE"""),"RCEF 23-09-21 Rebidding")</f>
        <v>RCEF 23-09-21 Rebidding</v>
      </c>
      <c r="AO1495" s="2">
        <f>IFERROR(__xludf.DUMMYFUNCTION("""COMPUTED_VALUE"""),9.0)</f>
        <v>9</v>
      </c>
      <c r="AP1495" s="2"/>
      <c r="AQ1495" s="2"/>
      <c r="AR1495" s="2"/>
      <c r="AS1495" s="2"/>
      <c r="AT1495" s="2"/>
      <c r="AU1495" s="2"/>
      <c r="AV1495" s="2"/>
      <c r="AW1495" s="2"/>
      <c r="AX1495" s="2"/>
      <c r="AY1495" s="2"/>
      <c r="AZ1495" s="2"/>
      <c r="BA1495" s="2"/>
      <c r="BB1495" s="2"/>
    </row>
    <row r="1496">
      <c r="A1496" s="2">
        <f>IFERROR(__xludf.DUMMYFUNCTION("""COMPUTED_VALUE"""),1492.0)</f>
        <v>1492</v>
      </c>
      <c r="B1496" s="2" t="str">
        <f>IFERROR(__xludf.DUMMYFUNCTION("""COMPUTED_VALUE"""),"COMPLETED")</f>
        <v>COMPLETED</v>
      </c>
      <c r="C1496" s="74">
        <f>IFERROR(__xludf.DUMMYFUNCTION("""COMPUTED_VALUE"""),46087.0)</f>
        <v>46087</v>
      </c>
      <c r="D1496" s="71" t="str">
        <f>IFERROR(__xludf.DUMMYFUNCTION("""COMPUTED_VALUE"""),"Provincial Local Government Unit of Catanduanes")</f>
        <v>Provincial Local Government Unit of Catanduanes</v>
      </c>
      <c r="E1496" s="71" t="str">
        <f>IFERROR(__xludf.DUMMYFUNCTION("""COMPUTED_VALUE"""),"Marcelo Alberto (Pob.), Virac, CATANDUANES")</f>
        <v>Marcelo Alberto (Pob.), Virac, CATANDUANES</v>
      </c>
      <c r="F1496" s="2" t="str">
        <f>IFERROR(__xludf.DUMMYFUNCTION("""COMPUTED_VALUE"""),"Gerardo T. Tumula")</f>
        <v>Gerardo T. Tumula</v>
      </c>
      <c r="G1496" s="2" t="str">
        <f>IFERROR(__xludf.DUMMYFUNCTION("""COMPUTED_VALUE"""),"0971-864-8234")</f>
        <v>0971-864-8234</v>
      </c>
      <c r="H1496" s="2">
        <f>IFERROR(__xludf.DUMMYFUNCTION("""COMPUTED_VALUE"""),10.0)</f>
        <v>10</v>
      </c>
      <c r="I1496" s="72" t="str">
        <f>IFERROR(__xludf.DUMMYFUNCTION("""COMPUTED_VALUE"""),"REPAIR - TRACTOR")</f>
        <v>REPAIR - TRACTOR</v>
      </c>
      <c r="J1496" s="72" t="str">
        <f>IFERROR(__xludf.DUMMYFUNCTION("""COMPUTED_VALUE"""),"Electrical - FR Switch")</f>
        <v>Electrical - FR Switch</v>
      </c>
      <c r="K1496" s="72" t="str">
        <f>IFERROR(__xludf.DUMMYFUNCTION("""COMPUTED_VALUE"""),"FCA: LOCAL GOVERMENT UNIT OF VIGA
""MYK: UMAANDAR KAHIT NAKA NUETRAL, 
kailangan daw po na may mag assist sa kanila ngayun dahil turn over nadaw po nung unit ngayun, ASAP daw po. Kahit matawagan daw po at matulungan sila kung papano.
JAH: NEUTRAL SWITC"&amp;"H ANG SIRA / F/R SWITCH  (FOR WARRANTY CLAIM)""
JAH: SENSOR OF FRONT AND REVERSE FAULT PARTS")</f>
        <v>FCA: LOCAL GOVERMENT UNIT OF VIGA
"MYK: UMAANDAR KAHIT NAKA NUETRAL, 
kailangan daw po na may mag assist sa kanila ngayun dahil turn over nadaw po nung unit ngayun, ASAP daw po. Kahit matawagan daw po at matulungan sila kung papano.
JAH: NEUTRAL SWITCH ANG SIRA / F/R SWITCH  (FOR WARRANTY CLAIM)"
JAH: SENSOR OF FRONT AND REVERSE FAULT PARTS</v>
      </c>
      <c r="L1496" s="72" t="str">
        <f>IFERROR(__xludf.DUMMYFUNCTION("""COMPUTED_VALUE"""),"JAH: Replace switch sensor of front and reverse")</f>
        <v>JAH: Replace switch sensor of front and reverse</v>
      </c>
      <c r="M1496" s="2"/>
      <c r="N1496" s="2" t="str">
        <f>IFERROR(__xludf.DUMMYFUNCTION("""COMPUTED_VALUE"""),"PARTS:
SWITCH F/R
OIL FILTER
ENGINE OIL")</f>
        <v>PARTS:
SWITCH F/R
OIL FILTER
ENGINE OIL</v>
      </c>
      <c r="O1496" s="2">
        <f>IFERROR(__xludf.DUMMYFUNCTION("""COMPUTED_VALUE"""),577.0)</f>
        <v>577</v>
      </c>
      <c r="P1496" s="2"/>
      <c r="Q1496" s="2" t="str">
        <f>IFERROR(__xludf.DUMMYFUNCTION("""COMPUTED_VALUE"""),"FOR PRINT")</f>
        <v>FOR PRINT</v>
      </c>
      <c r="R1496" s="74">
        <f>IFERROR(__xludf.DUMMYFUNCTION("""COMPUTED_VALUE"""),46087.0)</f>
        <v>46087</v>
      </c>
      <c r="S1496" s="2" t="str">
        <f>IFERROR(__xludf.DUMMYFUNCTION("""COMPUTED_VALUE"""),"JAH")</f>
        <v>JAH</v>
      </c>
      <c r="T1496" s="73" t="str">
        <f>IFERROR(__xludf.DUMMYFUNCTION("""COMPUTED_VALUE""")," N/A ")</f>
        <v>N/A</v>
      </c>
      <c r="U1496" s="73" t="str">
        <f>IFERROR(__xludf.DUMMYFUNCTION("""COMPUTED_VALUE""")," NO CHARGE ")</f>
        <v>NO CHARGE</v>
      </c>
      <c r="V1496" s="2" t="str">
        <f>IFERROR(__xludf.DUMMYFUNCTION("""COMPUTED_VALUE"""),"NO DR")</f>
        <v>NO DR</v>
      </c>
      <c r="W1496" s="2" t="str">
        <f>IFERROR(__xludf.DUMMYFUNCTION("""COMPUTED_VALUE"""),"N/A")</f>
        <v>N/A</v>
      </c>
      <c r="X1496" s="2" t="str">
        <f>IFERROR(__xludf.DUMMYFUNCTION("""COMPUTED_VALUE"""),"N/A")</f>
        <v>N/A</v>
      </c>
      <c r="Y1496" s="2"/>
      <c r="Z1496" s="2"/>
      <c r="AA1496" s="2"/>
      <c r="AB1496" s="2"/>
      <c r="AC1496" s="2"/>
      <c r="AD1496" s="2"/>
      <c r="AE1496" s="2"/>
      <c r="AF1496" s="2"/>
      <c r="AG1496" s="2"/>
      <c r="AH1496" s="2"/>
      <c r="AI1496" s="2"/>
      <c r="AJ1496" s="2" t="str">
        <f>IFERROR(__xludf.DUMMYFUNCTION("""COMPUTED_VALUE"""),"Marcelo Alberto (Pob.)")</f>
        <v>Marcelo Alberto (Pob.)</v>
      </c>
      <c r="AK1496" s="2" t="str">
        <f>IFERROR(__xludf.DUMMYFUNCTION("""COMPUTED_VALUE"""),"Virac")</f>
        <v>Virac</v>
      </c>
      <c r="AL1496" s="2" t="str">
        <f>IFERROR(__xludf.DUMMYFUNCTION("""COMPUTED_VALUE"""),"Catanduanes")</f>
        <v>Catanduanes</v>
      </c>
      <c r="AM1496" s="2">
        <f>IFERROR(__xludf.DUMMYFUNCTION("""COMPUTED_VALUE"""),5.0)</f>
        <v>5</v>
      </c>
      <c r="AN1496" s="2" t="str">
        <f>IFERROR(__xludf.DUMMYFUNCTION("""COMPUTED_VALUE"""),"RCEF 25-03-05")</f>
        <v>RCEF 25-03-05</v>
      </c>
      <c r="AO1496" s="2">
        <f>IFERROR(__xludf.DUMMYFUNCTION("""COMPUTED_VALUE"""),6.0)</f>
        <v>6</v>
      </c>
      <c r="AP1496" s="2" t="str">
        <f>IFERROR(__xludf.DUMMYFUNCTION("""COMPUTED_VALUE"""),"FREE PMS")</f>
        <v>FREE PMS</v>
      </c>
      <c r="AQ1496" s="2"/>
      <c r="AR1496" s="2"/>
      <c r="AS1496" s="2"/>
      <c r="AT1496" s="2"/>
      <c r="AU1496" s="2"/>
      <c r="AV1496" s="2"/>
      <c r="AW1496" s="2"/>
      <c r="AX1496" s="2"/>
      <c r="AY1496" s="2"/>
      <c r="AZ1496" s="2"/>
      <c r="BA1496" s="2"/>
      <c r="BB1496" s="2"/>
    </row>
    <row r="1497">
      <c r="A1497" s="2">
        <f>IFERROR(__xludf.DUMMYFUNCTION("""COMPUTED_VALUE"""),1493.0)</f>
        <v>1493</v>
      </c>
      <c r="B1497" s="2" t="str">
        <f>IFERROR(__xludf.DUMMYFUNCTION("""COMPUTED_VALUE"""),"COMPLETED")</f>
        <v>COMPLETED</v>
      </c>
      <c r="C1497" s="74">
        <f>IFERROR(__xludf.DUMMYFUNCTION("""COMPUTED_VALUE"""),46087.0)</f>
        <v>46087</v>
      </c>
      <c r="D1497" s="71" t="str">
        <f>IFERROR(__xludf.DUMMYFUNCTION("""COMPUTED_VALUE"""),"Provincial Local Government Unit of Catanduanes")</f>
        <v>Provincial Local Government Unit of Catanduanes</v>
      </c>
      <c r="E1497" s="71" t="str">
        <f>IFERROR(__xludf.DUMMYFUNCTION("""COMPUTED_VALUE"""),"Marcelo Alberto (Pob.), Virac, CATANDUANES")</f>
        <v>Marcelo Alberto (Pob.), Virac, CATANDUANES</v>
      </c>
      <c r="F1497" s="2" t="str">
        <f>IFERROR(__xludf.DUMMYFUNCTION("""COMPUTED_VALUE"""),"Emmanuel De Len")</f>
        <v>Emmanuel De Len</v>
      </c>
      <c r="G1497" s="2">
        <f>IFERROR(__xludf.DUMMYFUNCTION("""COMPUTED_VALUE"""),9.496072124E9)</f>
        <v>9496072124</v>
      </c>
      <c r="H1497" s="2">
        <f>IFERROR(__xludf.DUMMYFUNCTION("""COMPUTED_VALUE"""),22.0)</f>
        <v>22</v>
      </c>
      <c r="I1497" s="72" t="str">
        <f>IFERROR(__xludf.DUMMYFUNCTION("""COMPUTED_VALUE"""),"PMS")</f>
        <v>PMS</v>
      </c>
      <c r="J1497" s="72" t="str">
        <f>IFERROR(__xludf.DUMMYFUNCTION("""COMPUTED_VALUE"""),"PMS")</f>
        <v>PMS</v>
      </c>
      <c r="K1497" s="72" t="str">
        <f>IFERROR(__xludf.DUMMYFUNCTION("""COMPUTED_VALUE"""),"Local Government Unit of Bagamanoc
JAH: 1ST PMS FREE")</f>
        <v>Local Government Unit of Bagamanoc
JAH: 1ST PMS FREE</v>
      </c>
      <c r="L1497" s="72" t="str">
        <f>IFERROR(__xludf.DUMMYFUNCTION("""COMPUTED_VALUE"""),"JAH: DUE TO MACHINE HRS IS TOO LOW  I PREFER AND CUSTOMER THAT CHANGE OIL WILL BE FOR THEM , PMS")</f>
        <v>JAH: DUE TO MACHINE HRS IS TOO LOW  I PREFER AND CUSTOMER THAT CHANGE OIL WILL BE FOR THEM , PMS</v>
      </c>
      <c r="M1497" s="2"/>
      <c r="N1497" s="2" t="str">
        <f>IFERROR(__xludf.DUMMYFUNCTION("""COMPUTED_VALUE"""),"PARTS:
OIL FILTER
ENGINE OIL")</f>
        <v>PARTS:
OIL FILTER
ENGINE OIL</v>
      </c>
      <c r="O1497" s="2">
        <f>IFERROR(__xludf.DUMMYFUNCTION("""COMPUTED_VALUE"""),578.0)</f>
        <v>578</v>
      </c>
      <c r="P1497" s="2"/>
      <c r="Q1497" s="2" t="str">
        <f>IFERROR(__xludf.DUMMYFUNCTION("""COMPUTED_VALUE"""),"FOR PRINT")</f>
        <v>FOR PRINT</v>
      </c>
      <c r="R1497" s="74">
        <f>IFERROR(__xludf.DUMMYFUNCTION("""COMPUTED_VALUE"""),46087.0)</f>
        <v>46087</v>
      </c>
      <c r="S1497" s="2" t="str">
        <f>IFERROR(__xludf.DUMMYFUNCTION("""COMPUTED_VALUE"""),"JAH")</f>
        <v>JAH</v>
      </c>
      <c r="T1497" s="73" t="str">
        <f>IFERROR(__xludf.DUMMYFUNCTION("""COMPUTED_VALUE""")," N/A ")</f>
        <v>N/A</v>
      </c>
      <c r="U1497" s="73" t="str">
        <f>IFERROR(__xludf.DUMMYFUNCTION("""COMPUTED_VALUE""")," NO CHARGE ")</f>
        <v>NO CHARGE</v>
      </c>
      <c r="V1497" s="2" t="str">
        <f>IFERROR(__xludf.DUMMYFUNCTION("""COMPUTED_VALUE"""),"NO DR")</f>
        <v>NO DR</v>
      </c>
      <c r="W1497" s="2" t="str">
        <f>IFERROR(__xludf.DUMMYFUNCTION("""COMPUTED_VALUE"""),"N/A")</f>
        <v>N/A</v>
      </c>
      <c r="X1497" s="2" t="str">
        <f>IFERROR(__xludf.DUMMYFUNCTION("""COMPUTED_VALUE"""),"N/A")</f>
        <v>N/A</v>
      </c>
      <c r="Y1497" s="2"/>
      <c r="Z1497" s="2"/>
      <c r="AA1497" s="2"/>
      <c r="AB1497" s="2"/>
      <c r="AC1497" s="2"/>
      <c r="AD1497" s="2"/>
      <c r="AE1497" s="2"/>
      <c r="AF1497" s="2"/>
      <c r="AG1497" s="2"/>
      <c r="AH1497" s="2"/>
      <c r="AI1497" s="2"/>
      <c r="AJ1497" s="2" t="str">
        <f>IFERROR(__xludf.DUMMYFUNCTION("""COMPUTED_VALUE"""),"Marcelo Alberto (Pob.)")</f>
        <v>Marcelo Alberto (Pob.)</v>
      </c>
      <c r="AK1497" s="2" t="str">
        <f>IFERROR(__xludf.DUMMYFUNCTION("""COMPUTED_VALUE"""),"Virac")</f>
        <v>Virac</v>
      </c>
      <c r="AL1497" s="2" t="str">
        <f>IFERROR(__xludf.DUMMYFUNCTION("""COMPUTED_VALUE"""),"Catanduanes")</f>
        <v>Catanduanes</v>
      </c>
      <c r="AM1497" s="2">
        <f>IFERROR(__xludf.DUMMYFUNCTION("""COMPUTED_VALUE"""),5.0)</f>
        <v>5</v>
      </c>
      <c r="AN1497" s="2" t="str">
        <f>IFERROR(__xludf.DUMMYFUNCTION("""COMPUTED_VALUE"""),"RCEF 25-03-05")</f>
        <v>RCEF 25-03-05</v>
      </c>
      <c r="AO1497" s="2">
        <f>IFERROR(__xludf.DUMMYFUNCTION("""COMPUTED_VALUE"""),6.0)</f>
        <v>6</v>
      </c>
      <c r="AP1497" s="2" t="str">
        <f>IFERROR(__xludf.DUMMYFUNCTION("""COMPUTED_VALUE"""),"FREE PMS")</f>
        <v>FREE PMS</v>
      </c>
      <c r="AQ1497" s="2"/>
      <c r="AR1497" s="2"/>
      <c r="AS1497" s="2"/>
      <c r="AT1497" s="2"/>
      <c r="AU1497" s="2"/>
      <c r="AV1497" s="2"/>
      <c r="AW1497" s="2"/>
      <c r="AX1497" s="2"/>
      <c r="AY1497" s="2"/>
      <c r="AZ1497" s="2"/>
      <c r="BA1497" s="2"/>
      <c r="BB1497" s="2"/>
    </row>
    <row r="1498">
      <c r="A1498" s="2">
        <f>IFERROR(__xludf.DUMMYFUNCTION("""COMPUTED_VALUE"""),1494.0)</f>
        <v>1494</v>
      </c>
      <c r="B1498" s="2" t="str">
        <f>IFERROR(__xludf.DUMMYFUNCTION("""COMPUTED_VALUE"""),"COMPLETED")</f>
        <v>COMPLETED</v>
      </c>
      <c r="C1498" s="74">
        <f>IFERROR(__xludf.DUMMYFUNCTION("""COMPUTED_VALUE"""),46087.0)</f>
        <v>46087</v>
      </c>
      <c r="D1498" s="71" t="str">
        <f>IFERROR(__xludf.DUMMYFUNCTION("""COMPUTED_VALUE"""),"Provincial Local Government Unit of Catanduanes")</f>
        <v>Provincial Local Government Unit of Catanduanes</v>
      </c>
      <c r="E1498" s="71" t="str">
        <f>IFERROR(__xludf.DUMMYFUNCTION("""COMPUTED_VALUE"""),"Marcelo Alberto (Pob.), Virac, CATANDUANES")</f>
        <v>Marcelo Alberto (Pob.), Virac, CATANDUANES</v>
      </c>
      <c r="F1498" s="2" t="str">
        <f>IFERROR(__xludf.DUMMYFUNCTION("""COMPUTED_VALUE"""),"Allen L. Isorena")</f>
        <v>Allen L. Isorena</v>
      </c>
      <c r="G1498" s="2">
        <f>IFERROR(__xludf.DUMMYFUNCTION("""COMPUTED_VALUE"""),9.099033012E9)</f>
        <v>9099033012</v>
      </c>
      <c r="H1498" s="2">
        <f>IFERROR(__xludf.DUMMYFUNCTION("""COMPUTED_VALUE"""),16.3)</f>
        <v>16.3</v>
      </c>
      <c r="I1498" s="72" t="str">
        <f>IFERROR(__xludf.DUMMYFUNCTION("""COMPUTED_VALUE"""),"PMS")</f>
        <v>PMS</v>
      </c>
      <c r="J1498" s="72" t="str">
        <f>IFERROR(__xludf.DUMMYFUNCTION("""COMPUTED_VALUE"""),"PMS")</f>
        <v>PMS</v>
      </c>
      <c r="K1498" s="72" t="str">
        <f>IFERROR(__xludf.DUMMYFUNCTION("""COMPUTED_VALUE"""),"Local Government Unit of Pandan
JAH: 1ST PMS FREE")</f>
        <v>Local Government Unit of Pandan
JAH: 1ST PMS FREE</v>
      </c>
      <c r="L1498" s="72" t="str">
        <f>IFERROR(__xludf.DUMMYFUNCTION("""COMPUTED_VALUE"""),"JAH: DUE TO MACHINE HRS, NAGIWAN NALANG TAYO NG FILTER AT LANGIS  , PMS")</f>
        <v>JAH: DUE TO MACHINE HRS, NAGIWAN NALANG TAYO NG FILTER AT LANGIS  , PMS</v>
      </c>
      <c r="M1498" s="2"/>
      <c r="N1498" s="2" t="str">
        <f>IFERROR(__xludf.DUMMYFUNCTION("""COMPUTED_VALUE"""),"PARTS:
OIL FILTER
ENGINE OIL")</f>
        <v>PARTS:
OIL FILTER
ENGINE OIL</v>
      </c>
      <c r="O1498" s="2">
        <f>IFERROR(__xludf.DUMMYFUNCTION("""COMPUTED_VALUE"""),579.0)</f>
        <v>579</v>
      </c>
      <c r="P1498" s="2"/>
      <c r="Q1498" s="2" t="str">
        <f>IFERROR(__xludf.DUMMYFUNCTION("""COMPUTED_VALUE"""),"FOR PRINT")</f>
        <v>FOR PRINT</v>
      </c>
      <c r="R1498" s="74">
        <f>IFERROR(__xludf.DUMMYFUNCTION("""COMPUTED_VALUE"""),46087.0)</f>
        <v>46087</v>
      </c>
      <c r="S1498" s="2" t="str">
        <f>IFERROR(__xludf.DUMMYFUNCTION("""COMPUTED_VALUE"""),"JAH")</f>
        <v>JAH</v>
      </c>
      <c r="T1498" s="73" t="str">
        <f>IFERROR(__xludf.DUMMYFUNCTION("""COMPUTED_VALUE""")," N/A ")</f>
        <v>N/A</v>
      </c>
      <c r="U1498" s="73" t="str">
        <f>IFERROR(__xludf.DUMMYFUNCTION("""COMPUTED_VALUE""")," NO CHARGE ")</f>
        <v>NO CHARGE</v>
      </c>
      <c r="V1498" s="2" t="str">
        <f>IFERROR(__xludf.DUMMYFUNCTION("""COMPUTED_VALUE"""),"NO DR")</f>
        <v>NO DR</v>
      </c>
      <c r="W1498" s="2" t="str">
        <f>IFERROR(__xludf.DUMMYFUNCTION("""COMPUTED_VALUE"""),"N/A")</f>
        <v>N/A</v>
      </c>
      <c r="X1498" s="2" t="str">
        <f>IFERROR(__xludf.DUMMYFUNCTION("""COMPUTED_VALUE"""),"N/A")</f>
        <v>N/A</v>
      </c>
      <c r="Y1498" s="2"/>
      <c r="Z1498" s="2"/>
      <c r="AA1498" s="2"/>
      <c r="AB1498" s="2"/>
      <c r="AC1498" s="2"/>
      <c r="AD1498" s="2"/>
      <c r="AE1498" s="2"/>
      <c r="AF1498" s="2"/>
      <c r="AG1498" s="2"/>
      <c r="AH1498" s="2"/>
      <c r="AI1498" s="2"/>
      <c r="AJ1498" s="2" t="str">
        <f>IFERROR(__xludf.DUMMYFUNCTION("""COMPUTED_VALUE"""),"Marcelo Alberto (Pob.)")</f>
        <v>Marcelo Alberto (Pob.)</v>
      </c>
      <c r="AK1498" s="2" t="str">
        <f>IFERROR(__xludf.DUMMYFUNCTION("""COMPUTED_VALUE"""),"Virac")</f>
        <v>Virac</v>
      </c>
      <c r="AL1498" s="2" t="str">
        <f>IFERROR(__xludf.DUMMYFUNCTION("""COMPUTED_VALUE"""),"Catanduanes")</f>
        <v>Catanduanes</v>
      </c>
      <c r="AM1498" s="2">
        <f>IFERROR(__xludf.DUMMYFUNCTION("""COMPUTED_VALUE"""),5.0)</f>
        <v>5</v>
      </c>
      <c r="AN1498" s="2" t="str">
        <f>IFERROR(__xludf.DUMMYFUNCTION("""COMPUTED_VALUE"""),"RCEF 25-03-05")</f>
        <v>RCEF 25-03-05</v>
      </c>
      <c r="AO1498" s="2">
        <f>IFERROR(__xludf.DUMMYFUNCTION("""COMPUTED_VALUE"""),6.0)</f>
        <v>6</v>
      </c>
      <c r="AP1498" s="2" t="str">
        <f>IFERROR(__xludf.DUMMYFUNCTION("""COMPUTED_VALUE"""),"FREE PMS")</f>
        <v>FREE PMS</v>
      </c>
      <c r="AQ1498" s="2"/>
      <c r="AR1498" s="2"/>
      <c r="AS1498" s="2"/>
      <c r="AT1498" s="2"/>
      <c r="AU1498" s="2"/>
      <c r="AV1498" s="2"/>
      <c r="AW1498" s="2"/>
      <c r="AX1498" s="2"/>
      <c r="AY1498" s="2"/>
      <c r="AZ1498" s="2"/>
      <c r="BA1498" s="2"/>
      <c r="BB1498" s="2"/>
    </row>
    <row r="1499">
      <c r="A1499" s="2">
        <f>IFERROR(__xludf.DUMMYFUNCTION("""COMPUTED_VALUE"""),1495.0)</f>
        <v>1495</v>
      </c>
      <c r="B1499" s="2" t="str">
        <f>IFERROR(__xludf.DUMMYFUNCTION("""COMPUTED_VALUE"""),"COMPLETED")</f>
        <v>COMPLETED</v>
      </c>
      <c r="C1499" s="74">
        <f>IFERROR(__xludf.DUMMYFUNCTION("""COMPUTED_VALUE"""),46087.0)</f>
        <v>46087</v>
      </c>
      <c r="D1499" s="71" t="str">
        <f>IFERROR(__xludf.DUMMYFUNCTION("""COMPUTED_VALUE"""),"ROSARIANS ARBs AND FARMERS ASSOCIATION INC.")</f>
        <v>ROSARIANS ARBs AND FARMERS ASSOCIATION INC.</v>
      </c>
      <c r="E1499" s="71" t="str">
        <f>IFERROR(__xludf.DUMMYFUNCTION("""COMPUTED_VALUE"""),"Sto. Rosario, Candaba, Pampanga")</f>
        <v>Sto. Rosario, Candaba, Pampanga</v>
      </c>
      <c r="F1499" s="2"/>
      <c r="G1499" s="2">
        <f>IFERROR(__xludf.DUMMYFUNCTION("""COMPUTED_VALUE"""),9.059464452E9)</f>
        <v>9059464452</v>
      </c>
      <c r="H1499" s="2"/>
      <c r="I1499" s="72" t="str">
        <f>IFERROR(__xludf.DUMMYFUNCTION("""COMPUTED_VALUE"""),"REPAIR - LOADER")</f>
        <v>REPAIR - LOADER</v>
      </c>
      <c r="J1499" s="72" t="str">
        <f>IFERROR(__xludf.DUMMYFUNCTION("""COMPUTED_VALUE"""),"Cable lock")</f>
        <v>Cable lock</v>
      </c>
      <c r="K1499" s="72" t="str">
        <f>IFERROR(__xludf.DUMMYFUNCTION("""COMPUTED_VALUE"""),"EGT:  Ayaw tumaas at bumaba yung Front loader ")</f>
        <v>EGT:  Ayaw tumaas at bumaba yung Front loader </v>
      </c>
      <c r="L1499" s="72" t="str">
        <f>IFERROR(__xludf.DUMMYFUNCTION("""COMPUTED_VALUE"""),"JDP: REPLACED CABLE LOCK")</f>
        <v>JDP: REPLACED CABLE LOCK</v>
      </c>
      <c r="M1499" s="2" t="str">
        <f>IFERROR(__xludf.DUMMYFUNCTION("""COMPUTED_VALUE"""),"CABLE LOCK -  ASSUMED")</f>
        <v>CABLE LOCK -  ASSUMED</v>
      </c>
      <c r="N1499" s="2" t="str">
        <f>IFERROR(__xludf.DUMMYFUNCTION("""COMPUTED_VALUE"""),"PARTS:
CABLE LOCK (FAB)")</f>
        <v>PARTS:
CABLE LOCK (FAB)</v>
      </c>
      <c r="O1499" s="2">
        <f>IFERROR(__xludf.DUMMYFUNCTION("""COMPUTED_VALUE"""),490.0)</f>
        <v>490</v>
      </c>
      <c r="P1499" s="2"/>
      <c r="Q1499" s="2" t="str">
        <f>IFERROR(__xludf.DUMMYFUNCTION("""COMPUTED_VALUE"""),"FOR PRINT")</f>
        <v>FOR PRINT</v>
      </c>
      <c r="R1499" s="74">
        <f>IFERROR(__xludf.DUMMYFUNCTION("""COMPUTED_VALUE"""),46141.0)</f>
        <v>46141</v>
      </c>
      <c r="S1499" s="2" t="str">
        <f>IFERROR(__xludf.DUMMYFUNCTION("""COMPUTED_VALUE"""),"EGT/JDP/1 OJT")</f>
        <v>EGT/JDP/1 OJT</v>
      </c>
      <c r="T1499" s="73" t="str">
        <f>IFERROR(__xludf.DUMMYFUNCTION("""COMPUTED_VALUE""")," N/A ")</f>
        <v>N/A</v>
      </c>
      <c r="U1499" s="73" t="str">
        <f>IFERROR(__xludf.DUMMYFUNCTION("""COMPUTED_VALUE""")," NO CHARGE ")</f>
        <v>NO CHARGE</v>
      </c>
      <c r="V1499" s="2" t="str">
        <f>IFERROR(__xludf.DUMMYFUNCTION("""COMPUTED_VALUE"""),"NO DR")</f>
        <v>NO DR</v>
      </c>
      <c r="W1499" s="2" t="str">
        <f>IFERROR(__xludf.DUMMYFUNCTION("""COMPUTED_VALUE"""),"N/A")</f>
        <v>N/A</v>
      </c>
      <c r="X1499" s="2" t="str">
        <f>IFERROR(__xludf.DUMMYFUNCTION("""COMPUTED_VALUE"""),"N/A")</f>
        <v>N/A</v>
      </c>
      <c r="Y1499" s="2"/>
      <c r="Z1499" s="2"/>
      <c r="AA1499" s="2"/>
      <c r="AB1499" s="2"/>
      <c r="AC1499" s="2"/>
      <c r="AD1499" s="2"/>
      <c r="AE1499" s="2"/>
      <c r="AF1499" s="2"/>
      <c r="AG1499" s="2"/>
      <c r="AH1499" s="2"/>
      <c r="AI1499" s="2"/>
      <c r="AJ1499" s="2" t="str">
        <f>IFERROR(__xludf.DUMMYFUNCTION("""COMPUTED_VALUE"""),"Sto. Rosario")</f>
        <v>Sto. Rosario</v>
      </c>
      <c r="AK1499" s="2" t="str">
        <f>IFERROR(__xludf.DUMMYFUNCTION("""COMPUTED_VALUE"""),"Candaba")</f>
        <v>Candaba</v>
      </c>
      <c r="AL1499" s="2" t="str">
        <f>IFERROR(__xludf.DUMMYFUNCTION("""COMPUTED_VALUE"""),"Pampanga")</f>
        <v>Pampanga</v>
      </c>
      <c r="AM1499" s="2">
        <f>IFERROR(__xludf.DUMMYFUNCTION("""COMPUTED_VALUE"""),3.0)</f>
        <v>3</v>
      </c>
      <c r="AN1499" s="2" t="str">
        <f>IFERROR(__xludf.DUMMYFUNCTION("""COMPUTED_VALUE"""),"RCEF 25-03-05")</f>
        <v>RCEF 25-03-05</v>
      </c>
      <c r="AO1499" s="2">
        <f>IFERROR(__xludf.DUMMYFUNCTION("""COMPUTED_VALUE"""),5.0)</f>
        <v>5</v>
      </c>
      <c r="AP1499" s="2" t="str">
        <f>IFERROR(__xludf.DUMMYFUNCTION("""COMPUTED_VALUE"""),"FREE PMS")</f>
        <v>FREE PMS</v>
      </c>
      <c r="AQ1499" s="2"/>
      <c r="AR1499" s="2"/>
      <c r="AS1499" s="2"/>
      <c r="AT1499" s="2"/>
      <c r="AU1499" s="2"/>
      <c r="AV1499" s="2"/>
      <c r="AW1499" s="2"/>
      <c r="AX1499" s="2"/>
      <c r="AY1499" s="2"/>
      <c r="AZ1499" s="2"/>
      <c r="BA1499" s="2"/>
      <c r="BB1499" s="2"/>
    </row>
    <row r="1500">
      <c r="A1500" s="2">
        <f>IFERROR(__xludf.DUMMYFUNCTION("""COMPUTED_VALUE"""),1496.0)</f>
        <v>1496</v>
      </c>
      <c r="B1500" s="2" t="str">
        <f>IFERROR(__xludf.DUMMYFUNCTION("""COMPUTED_VALUE"""),"PENDING")</f>
        <v>PENDING</v>
      </c>
      <c r="C1500" s="74">
        <f>IFERROR(__xludf.DUMMYFUNCTION("""COMPUTED_VALUE"""),46087.0)</f>
        <v>46087</v>
      </c>
      <c r="D1500" s="71" t="str">
        <f>IFERROR(__xludf.DUMMYFUNCTION("""COMPUTED_VALUE"""),"Cañapasan Banate Irrigators' Association Inc.")</f>
        <v>Cañapasan Banate Irrigators' Association Inc.</v>
      </c>
      <c r="E1500" s="71" t="str">
        <f>IFERROR(__xludf.DUMMYFUNCTION("""COMPUTED_VALUE"""),"Managopaya, Banate, ILOILO")</f>
        <v>Managopaya, Banate, ILOILO</v>
      </c>
      <c r="F1500" s="2" t="str">
        <f>IFERROR(__xludf.DUMMYFUNCTION("""COMPUTED_VALUE"""),"HELLY BAGSAIN")</f>
        <v>HELLY BAGSAIN</v>
      </c>
      <c r="G1500" s="2">
        <f>IFERROR(__xludf.DUMMYFUNCTION("""COMPUTED_VALUE"""),9.655208079E9)</f>
        <v>9655208079</v>
      </c>
      <c r="H1500" s="2"/>
      <c r="I1500" s="72" t="str">
        <f>IFERROR(__xludf.DUMMYFUNCTION("""COMPUTED_VALUE"""),"SPARE PARTS ACQUISITION")</f>
        <v>SPARE PARTS ACQUISITION</v>
      </c>
      <c r="J1500" s="72"/>
      <c r="K1500" s="72" t="str">
        <f>IFERROR(__xludf.DUMMYFUNCTION("""COMPUTED_VALUE"""),"MYK: 1 SET OF FRONT DRIVE
PARTS:
HYDRAULIC CUP
BALL BEARING #6013 24101-060134
2- REAMER BOLT M12X46-2 - TC66020000
2- SCREW FLANGE TC66010000")</f>
        <v>MYK: 1 SET OF FRONT DRIVE
PARTS:
HYDRAULIC CUP
BALL BEARING #6013 24101-060134
2- REAMER BOLT M12X46-2 - TC66020000
2- SCREW FLANGE TC66010000</v>
      </c>
      <c r="L1500" s="72" t="str">
        <f>IFERROR(__xludf.DUMMYFUNCTION("""COMPUTED_VALUE"""),"QUOTATION SENT")</f>
        <v>QUOTATION SENT</v>
      </c>
      <c r="M1500" s="2" t="str">
        <f>IFERROR(__xludf.DUMMYFUNCTION("""COMPUTED_VALUE"""),"HYDRAULIC CUP
BALL BEARING #6013 24101-060134
OIL SEAL  TA000041359A 
2- REAMER BOLT M12X46-2 - TC66020000
2- SCREW FLANGE TC66010000")</f>
        <v>HYDRAULIC CUP
BALL BEARING #6013 24101-060134
OIL SEAL  TA000041359A 
2- REAMER BOLT M12X46-2 - TC66020000
2- SCREW FLANGE TC66010000</v>
      </c>
      <c r="N1500" s="2"/>
      <c r="O1500" s="2"/>
      <c r="P1500" s="2"/>
      <c r="Q1500" s="2"/>
      <c r="R1500" s="2"/>
      <c r="S1500" s="2"/>
      <c r="T1500" s="2"/>
      <c r="U1500" s="2"/>
      <c r="V1500" s="2"/>
      <c r="W1500" s="2"/>
      <c r="X1500" s="2"/>
      <c r="Y1500" s="2"/>
      <c r="Z1500" s="2"/>
      <c r="AA1500" s="2"/>
      <c r="AB1500" s="2"/>
      <c r="AC1500" s="2"/>
      <c r="AD1500" s="2"/>
      <c r="AE1500" s="2"/>
      <c r="AF1500" s="2"/>
      <c r="AG1500" s="2"/>
      <c r="AH1500" s="2"/>
      <c r="AI1500" s="2"/>
      <c r="AJ1500" s="2" t="str">
        <f>IFERROR(__xludf.DUMMYFUNCTION("""COMPUTED_VALUE"""),"Managopaya")</f>
        <v>Managopaya</v>
      </c>
      <c r="AK1500" s="2" t="str">
        <f>IFERROR(__xludf.DUMMYFUNCTION("""COMPUTED_VALUE"""),"Banate")</f>
        <v>Banate</v>
      </c>
      <c r="AL1500" s="2" t="str">
        <f>IFERROR(__xludf.DUMMYFUNCTION("""COMPUTED_VALUE"""),"Iloilo")</f>
        <v>Iloilo</v>
      </c>
      <c r="AM1500" s="2">
        <f>IFERROR(__xludf.DUMMYFUNCTION("""COMPUTED_VALUE"""),6.0)</f>
        <v>6</v>
      </c>
      <c r="AN1500" s="2" t="str">
        <f>IFERROR(__xludf.DUMMYFUNCTION("""COMPUTED_VALUE"""),"RCEF 23-09-21 Rebidding")</f>
        <v>RCEF 23-09-21 Rebidding</v>
      </c>
      <c r="AO1500" s="2">
        <f>IFERROR(__xludf.DUMMYFUNCTION("""COMPUTED_VALUE"""),4.0)</f>
        <v>4</v>
      </c>
      <c r="AP1500" s="2"/>
      <c r="AQ1500" s="2"/>
      <c r="AR1500" s="2"/>
      <c r="AS1500" s="2"/>
      <c r="AT1500" s="2"/>
      <c r="AU1500" s="2"/>
      <c r="AV1500" s="2"/>
      <c r="AW1500" s="2"/>
      <c r="AX1500" s="2"/>
      <c r="AY1500" s="2"/>
      <c r="AZ1500" s="2"/>
      <c r="BA1500" s="2"/>
      <c r="BB1500" s="2"/>
    </row>
    <row r="1501">
      <c r="A1501" s="2">
        <f>IFERROR(__xludf.DUMMYFUNCTION("""COMPUTED_VALUE"""),1497.0)</f>
        <v>1497</v>
      </c>
      <c r="B1501" s="2" t="str">
        <f>IFERROR(__xludf.DUMMYFUNCTION("""COMPUTED_VALUE"""),"COMPLETED")</f>
        <v>COMPLETED</v>
      </c>
      <c r="C1501" s="74">
        <f>IFERROR(__xludf.DUMMYFUNCTION("""COMPUTED_VALUE"""),46088.0)</f>
        <v>46088</v>
      </c>
      <c r="D1501" s="71" t="str">
        <f>IFERROR(__xludf.DUMMYFUNCTION("""COMPUTED_VALUE"""),"Provincial Local Government Unit of Catanduanes")</f>
        <v>Provincial Local Government Unit of Catanduanes</v>
      </c>
      <c r="E1501" s="71" t="str">
        <f>IFERROR(__xludf.DUMMYFUNCTION("""COMPUTED_VALUE"""),"Marcelo Alberto (Pob.), Virac, CATANDUANES")</f>
        <v>Marcelo Alberto (Pob.), Virac, CATANDUANES</v>
      </c>
      <c r="F1501" s="2" t="str">
        <f>IFERROR(__xludf.DUMMYFUNCTION("""COMPUTED_VALUE"""),"Anne Gille P. Balmadrid-Caranza")</f>
        <v>Anne Gille P. Balmadrid-Caranza</v>
      </c>
      <c r="G1501" s="2">
        <f>IFERROR(__xludf.DUMMYFUNCTION("""COMPUTED_VALUE"""),9.985652372E9)</f>
        <v>9985652372</v>
      </c>
      <c r="H1501" s="2">
        <f>IFERROR(__xludf.DUMMYFUNCTION("""COMPUTED_VALUE"""),84.0)</f>
        <v>84</v>
      </c>
      <c r="I1501" s="72" t="str">
        <f>IFERROR(__xludf.DUMMYFUNCTION("""COMPUTED_VALUE"""),"PMS")</f>
        <v>PMS</v>
      </c>
      <c r="J1501" s="72" t="str">
        <f>IFERROR(__xludf.DUMMYFUNCTION("""COMPUTED_VALUE"""),"PMS")</f>
        <v>PMS</v>
      </c>
      <c r="K1501" s="72" t="str">
        <f>IFERROR(__xludf.DUMMYFUNCTION("""COMPUTED_VALUE"""),"Local Government Unit of Virac
JAH: 1ST PMS FREE")</f>
        <v>Local Government Unit of Virac
JAH: 1ST PMS FREE</v>
      </c>
      <c r="L1501" s="72" t="str">
        <f>IFERROR(__xludf.DUMMYFUNCTION("""COMPUTED_VALUE"""),"JAH: 1ST PMS DONE")</f>
        <v>JAH: 1ST PMS DONE</v>
      </c>
      <c r="M1501" s="2"/>
      <c r="N1501" s="2" t="str">
        <f>IFERROR(__xludf.DUMMYFUNCTION("""COMPUTED_VALUE"""),"PARTS:
OIL FILTER
ENGINE OIL")</f>
        <v>PARTS:
OIL FILTER
ENGINE OIL</v>
      </c>
      <c r="O1501" s="2">
        <f>IFERROR(__xludf.DUMMYFUNCTION("""COMPUTED_VALUE"""),580.0)</f>
        <v>580</v>
      </c>
      <c r="P1501" s="2"/>
      <c r="Q1501" s="2" t="str">
        <f>IFERROR(__xludf.DUMMYFUNCTION("""COMPUTED_VALUE"""),"FOR PRINT")</f>
        <v>FOR PRINT</v>
      </c>
      <c r="R1501" s="74">
        <f>IFERROR(__xludf.DUMMYFUNCTION("""COMPUTED_VALUE"""),46087.0)</f>
        <v>46087</v>
      </c>
      <c r="S1501" s="2" t="str">
        <f>IFERROR(__xludf.DUMMYFUNCTION("""COMPUTED_VALUE"""),"JAH")</f>
        <v>JAH</v>
      </c>
      <c r="T1501" s="73" t="str">
        <f>IFERROR(__xludf.DUMMYFUNCTION("""COMPUTED_VALUE""")," N/A ")</f>
        <v>N/A</v>
      </c>
      <c r="U1501" s="73" t="str">
        <f>IFERROR(__xludf.DUMMYFUNCTION("""COMPUTED_VALUE""")," NO CHARGE ")</f>
        <v>NO CHARGE</v>
      </c>
      <c r="V1501" s="2" t="str">
        <f>IFERROR(__xludf.DUMMYFUNCTION("""COMPUTED_VALUE"""),"NO DR")</f>
        <v>NO DR</v>
      </c>
      <c r="W1501" s="2" t="str">
        <f>IFERROR(__xludf.DUMMYFUNCTION("""COMPUTED_VALUE"""),"N/A")</f>
        <v>N/A</v>
      </c>
      <c r="X1501" s="2" t="str">
        <f>IFERROR(__xludf.DUMMYFUNCTION("""COMPUTED_VALUE"""),"N/A")</f>
        <v>N/A</v>
      </c>
      <c r="Y1501" s="2"/>
      <c r="Z1501" s="2"/>
      <c r="AA1501" s="2"/>
      <c r="AB1501" s="2"/>
      <c r="AC1501" s="2"/>
      <c r="AD1501" s="2"/>
      <c r="AE1501" s="2"/>
      <c r="AF1501" s="2"/>
      <c r="AG1501" s="2"/>
      <c r="AH1501" s="2"/>
      <c r="AI1501" s="2"/>
      <c r="AJ1501" s="2" t="str">
        <f>IFERROR(__xludf.DUMMYFUNCTION("""COMPUTED_VALUE"""),"Marcelo Alberto (Pob.)")</f>
        <v>Marcelo Alberto (Pob.)</v>
      </c>
      <c r="AK1501" s="2" t="str">
        <f>IFERROR(__xludf.DUMMYFUNCTION("""COMPUTED_VALUE"""),"Virac")</f>
        <v>Virac</v>
      </c>
      <c r="AL1501" s="2" t="str">
        <f>IFERROR(__xludf.DUMMYFUNCTION("""COMPUTED_VALUE"""),"Catanduanes")</f>
        <v>Catanduanes</v>
      </c>
      <c r="AM1501" s="2">
        <f>IFERROR(__xludf.DUMMYFUNCTION("""COMPUTED_VALUE"""),5.0)</f>
        <v>5</v>
      </c>
      <c r="AN1501" s="2" t="str">
        <f>IFERROR(__xludf.DUMMYFUNCTION("""COMPUTED_VALUE"""),"RCEF 25-03-05")</f>
        <v>RCEF 25-03-05</v>
      </c>
      <c r="AO1501" s="2">
        <f>IFERROR(__xludf.DUMMYFUNCTION("""COMPUTED_VALUE"""),6.0)</f>
        <v>6</v>
      </c>
      <c r="AP1501" s="2" t="str">
        <f>IFERROR(__xludf.DUMMYFUNCTION("""COMPUTED_VALUE"""),"FREE PMS")</f>
        <v>FREE PMS</v>
      </c>
      <c r="AQ1501" s="2"/>
      <c r="AR1501" s="2"/>
      <c r="AS1501" s="2"/>
      <c r="AT1501" s="2"/>
      <c r="AU1501" s="2"/>
      <c r="AV1501" s="2"/>
      <c r="AW1501" s="2"/>
      <c r="AX1501" s="2"/>
      <c r="AY1501" s="2"/>
      <c r="AZ1501" s="2"/>
      <c r="BA1501" s="2"/>
      <c r="BB1501" s="2"/>
    </row>
    <row r="1502">
      <c r="A1502" s="2">
        <f>IFERROR(__xludf.DUMMYFUNCTION("""COMPUTED_VALUE"""),1498.0)</f>
        <v>1498</v>
      </c>
      <c r="B1502" s="2" t="str">
        <f>IFERROR(__xludf.DUMMYFUNCTION("""COMPUTED_VALUE"""),"COMPLETED")</f>
        <v>COMPLETED</v>
      </c>
      <c r="C1502" s="74">
        <f>IFERROR(__xludf.DUMMYFUNCTION("""COMPUTED_VALUE"""),46088.0)</f>
        <v>46088</v>
      </c>
      <c r="D1502" s="71" t="str">
        <f>IFERROR(__xludf.DUMMYFUNCTION("""COMPUTED_VALUE"""),"Provincial Local Government Unit of Catanduanes")</f>
        <v>Provincial Local Government Unit of Catanduanes</v>
      </c>
      <c r="E1502" s="71" t="str">
        <f>IFERROR(__xludf.DUMMYFUNCTION("""COMPUTED_VALUE"""),"Marcelo Alberto (Pob.), Virac, CATANDUANES")</f>
        <v>Marcelo Alberto (Pob.), Virac, CATANDUANES</v>
      </c>
      <c r="F1502" s="2" t="str">
        <f>IFERROR(__xludf.DUMMYFUNCTION("""COMPUTED_VALUE"""),"Israel Dela Rosa")</f>
        <v>Israel Dela Rosa</v>
      </c>
      <c r="G1502" s="2">
        <f>IFERROR(__xludf.DUMMYFUNCTION("""COMPUTED_VALUE"""),9.35174727E9)</f>
        <v>9351747270</v>
      </c>
      <c r="H1502" s="2">
        <f>IFERROR(__xludf.DUMMYFUNCTION("""COMPUTED_VALUE"""),8.2)</f>
        <v>8.2</v>
      </c>
      <c r="I1502" s="72" t="str">
        <f>IFERROR(__xludf.DUMMYFUNCTION("""COMPUTED_VALUE"""),"PMS")</f>
        <v>PMS</v>
      </c>
      <c r="J1502" s="72" t="str">
        <f>IFERROR(__xludf.DUMMYFUNCTION("""COMPUTED_VALUE"""),"PMS")</f>
        <v>PMS</v>
      </c>
      <c r="K1502" s="72" t="str">
        <f>IFERROR(__xludf.DUMMYFUNCTION("""COMPUTED_VALUE"""),"Local Government Unit of Caramoran
JAH: 1ST PMS FREE")</f>
        <v>Local Government Unit of Caramoran
JAH: 1ST PMS FREE</v>
      </c>
      <c r="L1502" s="72" t="str">
        <f>IFERROR(__xludf.DUMMYFUNCTION("""COMPUTED_VALUE"""),"JAH: DUE TO MACHINE HRS, NAGIWAN NALANG TAYO NG FILTER AT LANGIS  , PMS")</f>
        <v>JAH: DUE TO MACHINE HRS, NAGIWAN NALANG TAYO NG FILTER AT LANGIS  , PMS</v>
      </c>
      <c r="M1502" s="2"/>
      <c r="N1502" s="2" t="str">
        <f>IFERROR(__xludf.DUMMYFUNCTION("""COMPUTED_VALUE"""),"PARTS:
OIL FILTER
ENGINE OIL")</f>
        <v>PARTS:
OIL FILTER
ENGINE OIL</v>
      </c>
      <c r="O1502" s="2">
        <f>IFERROR(__xludf.DUMMYFUNCTION("""COMPUTED_VALUE"""),581.0)</f>
        <v>581</v>
      </c>
      <c r="P1502" s="2"/>
      <c r="Q1502" s="2" t="str">
        <f>IFERROR(__xludf.DUMMYFUNCTION("""COMPUTED_VALUE"""),"FOR PRINT")</f>
        <v>FOR PRINT</v>
      </c>
      <c r="R1502" s="74">
        <f>IFERROR(__xludf.DUMMYFUNCTION("""COMPUTED_VALUE"""),46087.0)</f>
        <v>46087</v>
      </c>
      <c r="S1502" s="2" t="str">
        <f>IFERROR(__xludf.DUMMYFUNCTION("""COMPUTED_VALUE"""),"JAH")</f>
        <v>JAH</v>
      </c>
      <c r="T1502" s="73" t="str">
        <f>IFERROR(__xludf.DUMMYFUNCTION("""COMPUTED_VALUE""")," N/A ")</f>
        <v>N/A</v>
      </c>
      <c r="U1502" s="73" t="str">
        <f>IFERROR(__xludf.DUMMYFUNCTION("""COMPUTED_VALUE""")," NO CHARGE ")</f>
        <v>NO CHARGE</v>
      </c>
      <c r="V1502" s="2" t="str">
        <f>IFERROR(__xludf.DUMMYFUNCTION("""COMPUTED_VALUE"""),"NO DR")</f>
        <v>NO DR</v>
      </c>
      <c r="W1502" s="2" t="str">
        <f>IFERROR(__xludf.DUMMYFUNCTION("""COMPUTED_VALUE"""),"N/A")</f>
        <v>N/A</v>
      </c>
      <c r="X1502" s="2" t="str">
        <f>IFERROR(__xludf.DUMMYFUNCTION("""COMPUTED_VALUE"""),"N/A")</f>
        <v>N/A</v>
      </c>
      <c r="Y1502" s="2"/>
      <c r="Z1502" s="2"/>
      <c r="AA1502" s="2"/>
      <c r="AB1502" s="2"/>
      <c r="AC1502" s="2"/>
      <c r="AD1502" s="2"/>
      <c r="AE1502" s="2"/>
      <c r="AF1502" s="2"/>
      <c r="AG1502" s="2"/>
      <c r="AH1502" s="2"/>
      <c r="AI1502" s="2"/>
      <c r="AJ1502" s="2" t="str">
        <f>IFERROR(__xludf.DUMMYFUNCTION("""COMPUTED_VALUE"""),"Marcelo Alberto (Pob.)")</f>
        <v>Marcelo Alberto (Pob.)</v>
      </c>
      <c r="AK1502" s="2" t="str">
        <f>IFERROR(__xludf.DUMMYFUNCTION("""COMPUTED_VALUE"""),"Virac")</f>
        <v>Virac</v>
      </c>
      <c r="AL1502" s="2" t="str">
        <f>IFERROR(__xludf.DUMMYFUNCTION("""COMPUTED_VALUE"""),"Catanduanes")</f>
        <v>Catanduanes</v>
      </c>
      <c r="AM1502" s="2">
        <f>IFERROR(__xludf.DUMMYFUNCTION("""COMPUTED_VALUE"""),5.0)</f>
        <v>5</v>
      </c>
      <c r="AN1502" s="2" t="str">
        <f>IFERROR(__xludf.DUMMYFUNCTION("""COMPUTED_VALUE"""),"RCEF 25-03-05")</f>
        <v>RCEF 25-03-05</v>
      </c>
      <c r="AO1502" s="2">
        <f>IFERROR(__xludf.DUMMYFUNCTION("""COMPUTED_VALUE"""),6.0)</f>
        <v>6</v>
      </c>
      <c r="AP1502" s="2" t="str">
        <f>IFERROR(__xludf.DUMMYFUNCTION("""COMPUTED_VALUE"""),"FREE PMS")</f>
        <v>FREE PMS</v>
      </c>
      <c r="AQ1502" s="2"/>
      <c r="AR1502" s="2"/>
      <c r="AS1502" s="2"/>
      <c r="AT1502" s="2"/>
      <c r="AU1502" s="2"/>
      <c r="AV1502" s="2"/>
      <c r="AW1502" s="2"/>
      <c r="AX1502" s="2"/>
      <c r="AY1502" s="2"/>
      <c r="AZ1502" s="2"/>
      <c r="BA1502" s="2"/>
      <c r="BB1502" s="2"/>
    </row>
    <row r="1503">
      <c r="A1503" s="2">
        <f>IFERROR(__xludf.DUMMYFUNCTION("""COMPUTED_VALUE"""),1499.0)</f>
        <v>1499</v>
      </c>
      <c r="B1503" s="2" t="str">
        <f>IFERROR(__xludf.DUMMYFUNCTION("""COMPUTED_VALUE"""),"COMPLETED")</f>
        <v>COMPLETED</v>
      </c>
      <c r="C1503" s="74">
        <f>IFERROR(__xludf.DUMMYFUNCTION("""COMPUTED_VALUE"""),46088.0)</f>
        <v>46088</v>
      </c>
      <c r="D1503" s="71" t="str">
        <f>IFERROR(__xludf.DUMMYFUNCTION("""COMPUTED_VALUE"""),"Provincial Local Government Unit of Catanduanes")</f>
        <v>Provincial Local Government Unit of Catanduanes</v>
      </c>
      <c r="E1503" s="71" t="str">
        <f>IFERROR(__xludf.DUMMYFUNCTION("""COMPUTED_VALUE"""),"Marcelo Alberto (Pob.), Virac, CATANDUANES")</f>
        <v>Marcelo Alberto (Pob.), Virac, CATANDUANES</v>
      </c>
      <c r="F1503" s="2" t="str">
        <f>IFERROR(__xludf.DUMMYFUNCTION("""COMPUTED_VALUE"""),"Leo Avilla")</f>
        <v>Leo Avilla</v>
      </c>
      <c r="G1503" s="2">
        <f>IFERROR(__xludf.DUMMYFUNCTION("""COMPUTED_VALUE"""),9.303170939E9)</f>
        <v>9303170939</v>
      </c>
      <c r="H1503" s="2"/>
      <c r="I1503" s="72" t="str">
        <f>IFERROR(__xludf.DUMMYFUNCTION("""COMPUTED_VALUE"""),"PMS")</f>
        <v>PMS</v>
      </c>
      <c r="J1503" s="72" t="str">
        <f>IFERROR(__xludf.DUMMYFUNCTION("""COMPUTED_VALUE"""),"PMS")</f>
        <v>PMS</v>
      </c>
      <c r="K1503" s="72" t="str">
        <f>IFERROR(__xludf.DUMMYFUNCTION("""COMPUTED_VALUE"""),"Local Government Unit of SaN Andres
JAH: 1ST PMS FREE")</f>
        <v>Local Government Unit of SaN Andres
JAH: 1ST PMS FREE</v>
      </c>
      <c r="L1503" s="72" t="str">
        <f>IFERROR(__xludf.DUMMYFUNCTION("""COMPUTED_VALUE"""),"JAH: 1ST PMS DONE")</f>
        <v>JAH: 1ST PMS DONE</v>
      </c>
      <c r="M1503" s="2"/>
      <c r="N1503" s="2" t="str">
        <f>IFERROR(__xludf.DUMMYFUNCTION("""COMPUTED_VALUE"""),"PARTS:
OIL FILTER
ENGINE OIL")</f>
        <v>PARTS:
OIL FILTER
ENGINE OIL</v>
      </c>
      <c r="O1503" s="2">
        <f>IFERROR(__xludf.DUMMYFUNCTION("""COMPUTED_VALUE"""),582.0)</f>
        <v>582</v>
      </c>
      <c r="P1503" s="2"/>
      <c r="Q1503" s="2" t="str">
        <f>IFERROR(__xludf.DUMMYFUNCTION("""COMPUTED_VALUE"""),"FOR PRINT")</f>
        <v>FOR PRINT</v>
      </c>
      <c r="R1503" s="74">
        <f>IFERROR(__xludf.DUMMYFUNCTION("""COMPUTED_VALUE"""),46087.0)</f>
        <v>46087</v>
      </c>
      <c r="S1503" s="2" t="str">
        <f>IFERROR(__xludf.DUMMYFUNCTION("""COMPUTED_VALUE"""),"JAH")</f>
        <v>JAH</v>
      </c>
      <c r="T1503" s="73" t="str">
        <f>IFERROR(__xludf.DUMMYFUNCTION("""COMPUTED_VALUE""")," N/A ")</f>
        <v>N/A</v>
      </c>
      <c r="U1503" s="73" t="str">
        <f>IFERROR(__xludf.DUMMYFUNCTION("""COMPUTED_VALUE""")," NO CHARGE ")</f>
        <v>NO CHARGE</v>
      </c>
      <c r="V1503" s="2" t="str">
        <f>IFERROR(__xludf.DUMMYFUNCTION("""COMPUTED_VALUE"""),"NO DR")</f>
        <v>NO DR</v>
      </c>
      <c r="W1503" s="2" t="str">
        <f>IFERROR(__xludf.DUMMYFUNCTION("""COMPUTED_VALUE"""),"N/A")</f>
        <v>N/A</v>
      </c>
      <c r="X1503" s="2" t="str">
        <f>IFERROR(__xludf.DUMMYFUNCTION("""COMPUTED_VALUE"""),"N/A")</f>
        <v>N/A</v>
      </c>
      <c r="Y1503" s="2"/>
      <c r="Z1503" s="2"/>
      <c r="AA1503" s="2"/>
      <c r="AB1503" s="2"/>
      <c r="AC1503" s="2"/>
      <c r="AD1503" s="2"/>
      <c r="AE1503" s="2"/>
      <c r="AF1503" s="2"/>
      <c r="AG1503" s="2"/>
      <c r="AH1503" s="2"/>
      <c r="AI1503" s="2"/>
      <c r="AJ1503" s="2" t="str">
        <f>IFERROR(__xludf.DUMMYFUNCTION("""COMPUTED_VALUE"""),"Marcelo Alberto (Pob.)")</f>
        <v>Marcelo Alberto (Pob.)</v>
      </c>
      <c r="AK1503" s="2" t="str">
        <f>IFERROR(__xludf.DUMMYFUNCTION("""COMPUTED_VALUE"""),"Virac")</f>
        <v>Virac</v>
      </c>
      <c r="AL1503" s="2" t="str">
        <f>IFERROR(__xludf.DUMMYFUNCTION("""COMPUTED_VALUE"""),"Catanduanes")</f>
        <v>Catanduanes</v>
      </c>
      <c r="AM1503" s="2">
        <f>IFERROR(__xludf.DUMMYFUNCTION("""COMPUTED_VALUE"""),5.0)</f>
        <v>5</v>
      </c>
      <c r="AN1503" s="2" t="str">
        <f>IFERROR(__xludf.DUMMYFUNCTION("""COMPUTED_VALUE"""),"RCEF 25-03-05")</f>
        <v>RCEF 25-03-05</v>
      </c>
      <c r="AO1503" s="2">
        <f>IFERROR(__xludf.DUMMYFUNCTION("""COMPUTED_VALUE"""),6.0)</f>
        <v>6</v>
      </c>
      <c r="AP1503" s="2" t="str">
        <f>IFERROR(__xludf.DUMMYFUNCTION("""COMPUTED_VALUE"""),"FREE PMS")</f>
        <v>FREE PMS</v>
      </c>
      <c r="AQ1503" s="2"/>
      <c r="AR1503" s="2"/>
      <c r="AS1503" s="2"/>
      <c r="AT1503" s="2"/>
      <c r="AU1503" s="2"/>
      <c r="AV1503" s="2"/>
      <c r="AW1503" s="2"/>
      <c r="AX1503" s="2"/>
      <c r="AY1503" s="2"/>
      <c r="AZ1503" s="2"/>
      <c r="BA1503" s="2"/>
      <c r="BB1503" s="2"/>
    </row>
    <row r="1504">
      <c r="A1504" s="2">
        <f>IFERROR(__xludf.DUMMYFUNCTION("""COMPUTED_VALUE"""),1500.0)</f>
        <v>1500</v>
      </c>
      <c r="B1504" s="2" t="str">
        <f>IFERROR(__xludf.DUMMYFUNCTION("""COMPUTED_VALUE"""),"COMPLETED")</f>
        <v>COMPLETED</v>
      </c>
      <c r="C1504" s="74">
        <f>IFERROR(__xludf.DUMMYFUNCTION("""COMPUTED_VALUE"""),46088.0)</f>
        <v>46088</v>
      </c>
      <c r="D1504" s="71" t="str">
        <f>IFERROR(__xludf.DUMMYFUNCTION("""COMPUTED_VALUE"""),"SAN QUINTIN INTEGRATED FARMERS ASSOCIATION")</f>
        <v>SAN QUINTIN INTEGRATED FARMERS ASSOCIATION</v>
      </c>
      <c r="E1504" s="71" t="str">
        <f>IFERROR(__xludf.DUMMYFUNCTION("""COMPUTED_VALUE"""),"San Quintin, Alfonso Lista (Potia), IFUGAO")</f>
        <v>San Quintin, Alfonso Lista (Potia), IFUGAO</v>
      </c>
      <c r="F1504" s="2" t="str">
        <f>IFERROR(__xludf.DUMMYFUNCTION("""COMPUTED_VALUE"""),"michael mabalo")</f>
        <v>michael mabalo</v>
      </c>
      <c r="G1504" s="2">
        <f>IFERROR(__xludf.DUMMYFUNCTION("""COMPUTED_VALUE"""),9.175053586E9)</f>
        <v>9175053586</v>
      </c>
      <c r="H1504" s="2">
        <f>IFERROR(__xludf.DUMMYFUNCTION("""COMPUTED_VALUE"""),1263.0)</f>
        <v>1263</v>
      </c>
      <c r="I1504" s="72" t="str">
        <f>IFERROR(__xludf.DUMMYFUNCTION("""COMPUTED_VALUE"""),"REPAIR - TRACTOR")</f>
        <v>REPAIR - TRACTOR</v>
      </c>
      <c r="J1504" s="72" t="str">
        <f>IFERROR(__xludf.DUMMYFUNCTION("""COMPUTED_VALUE"""),"Front Axle - Gear")</f>
        <v>Front Axle - Gear</v>
      </c>
      <c r="K1504" s="72" t="str">
        <f>IFERROR(__xludf.DUMMYFUNCTION("""COMPUTED_VALUE"""),"CFG: FRONT TIRE BEVEL GEAR REPLACEMENT 
NEED PARTS:
1 pc TA00033461 /  pinion, front 1st shaft
1 pc TA00033474 / Gear Bevel 49T")</f>
        <v>CFG: FRONT TIRE BEVEL GEAR REPLACEMENT 
NEED PARTS:
1 pc TA00033461 /  pinion, front 1st shaft
1 pc TA00033474 / Gear Bevel 49T</v>
      </c>
      <c r="L1504" s="72" t="str">
        <f>IFERROR(__xludf.DUMMYFUNCTION("""COMPUTED_VALUE"""),"MYK: PARTS AVAILABLE AT WH - FOR TRANSFER TO 
755: CFG : PARTS DELIVERED, 
but wrong 1 parts request, i t should be GEAR BEVEL 11T  - to LBC by CTF
5/7/26 - 761: CFG: DELIVERED PARTS OF TYM")</f>
        <v>MYK: PARTS AVAILABLE AT WH - FOR TRANSFER TO 
755: CFG : PARTS DELIVERED, 
but wrong 1 parts request, i t should be GEAR BEVEL 11T  - to LBC by CTF
5/7/26 - 761: CFG: DELIVERED PARTS OF TYM</v>
      </c>
      <c r="M1504" s="2" t="str">
        <f>IFERROR(__xludf.DUMMYFUNCTION("""COMPUTED_VALUE"""),"1 pc TA00033461 /  pinion, front 1st shaft
1 pc TA00033474 / Gear Bevel 49T
GEAR, BEVEL 11T")</f>
        <v>1 pc TA00033461 /  pinion, front 1st shaft
1 pc TA00033474 / Gear Bevel 49T
GEAR, BEVEL 11T</v>
      </c>
      <c r="N1504" s="2" t="str">
        <f>IFERROR(__xludf.DUMMYFUNCTION("""COMPUTED_VALUE"""),"PARTS:
1 pc BEVEL GEAR 11T
1 pc TA00033474 / Gear Bevel 49T")</f>
        <v>PARTS:
1 pc BEVEL GEAR 11T
1 pc TA00033474 / Gear Bevel 49T</v>
      </c>
      <c r="O1504" s="2">
        <f>IFERROR(__xludf.DUMMYFUNCTION("""COMPUTED_VALUE"""),761.0)</f>
        <v>761</v>
      </c>
      <c r="P1504" s="2"/>
      <c r="Q1504" s="2" t="str">
        <f>IFERROR(__xludf.DUMMYFUNCTION("""COMPUTED_VALUE"""),"FOR PRINT")</f>
        <v>FOR PRINT</v>
      </c>
      <c r="R1504" s="74">
        <f>IFERROR(__xludf.DUMMYFUNCTION("""COMPUTED_VALUE"""),46149.0)</f>
        <v>46149</v>
      </c>
      <c r="S1504" s="2" t="str">
        <f>IFERROR(__xludf.DUMMYFUNCTION("""COMPUTED_VALUE"""),"CFG")</f>
        <v>CFG</v>
      </c>
      <c r="T1504" s="73">
        <f>IFERROR(__xludf.DUMMYFUNCTION("""COMPUTED_VALUE"""),21070.0)</f>
        <v>21070</v>
      </c>
      <c r="U1504" s="73" t="str">
        <f>IFERROR(__xludf.DUMMYFUNCTION("""COMPUTED_VALUE""")," REMITTED ")</f>
        <v>REMITTED</v>
      </c>
      <c r="V1504" s="2">
        <f>IFERROR(__xludf.DUMMYFUNCTION("""COMPUTED_VALUE"""),1660.0)</f>
        <v>1660</v>
      </c>
      <c r="W1504" s="2">
        <f>IFERROR(__xludf.DUMMYFUNCTION("""COMPUTED_VALUE"""),1776.0)</f>
        <v>1776</v>
      </c>
      <c r="X1504" s="2">
        <f>IFERROR(__xludf.DUMMYFUNCTION("""COMPUTED_VALUE"""),1787.0)</f>
        <v>1787</v>
      </c>
      <c r="Y1504" s="2"/>
      <c r="Z1504" s="2"/>
      <c r="AA1504" s="2"/>
      <c r="AB1504" s="2"/>
      <c r="AC1504" s="2"/>
      <c r="AD1504" s="2"/>
      <c r="AE1504" s="2"/>
      <c r="AF1504" s="2"/>
      <c r="AG1504" s="2"/>
      <c r="AH1504" s="2"/>
      <c r="AI1504" s="2"/>
      <c r="AJ1504" s="2" t="str">
        <f>IFERROR(__xludf.DUMMYFUNCTION("""COMPUTED_VALUE"""),"San Quintin")</f>
        <v>San Quintin</v>
      </c>
      <c r="AK1504" s="2" t="str">
        <f>IFERROR(__xludf.DUMMYFUNCTION("""COMPUTED_VALUE"""),"Alfonso Lista (Potia)")</f>
        <v>Alfonso Lista (Potia)</v>
      </c>
      <c r="AL1504" s="2" t="str">
        <f>IFERROR(__xludf.DUMMYFUNCTION("""COMPUTED_VALUE"""),"Ifugao")</f>
        <v>Ifugao</v>
      </c>
      <c r="AM1504" s="2" t="str">
        <f>IFERROR(__xludf.DUMMYFUNCTION("""COMPUTED_VALUE"""),"CAR")</f>
        <v>CAR</v>
      </c>
      <c r="AN1504" s="2" t="str">
        <f>IFERROR(__xludf.DUMMYFUNCTION("""COMPUTED_VALUE"""),"RCEF 23-09-21 Rebidding")</f>
        <v>RCEF 23-09-21 Rebidding</v>
      </c>
      <c r="AO1504" s="2">
        <f>IFERROR(__xludf.DUMMYFUNCTION("""COMPUTED_VALUE"""),1.0)</f>
        <v>1</v>
      </c>
      <c r="AP1504" s="2"/>
      <c r="AQ1504" s="2"/>
      <c r="AR1504" s="2"/>
      <c r="AS1504" s="2"/>
      <c r="AT1504" s="2"/>
      <c r="AU1504" s="2"/>
      <c r="AV1504" s="2"/>
      <c r="AW1504" s="2"/>
      <c r="AX1504" s="2"/>
      <c r="AY1504" s="2"/>
      <c r="AZ1504" s="2"/>
      <c r="BA1504" s="2"/>
      <c r="BB1504" s="2"/>
    </row>
    <row r="1505">
      <c r="A1505" s="2">
        <f>IFERROR(__xludf.DUMMYFUNCTION("""COMPUTED_VALUE"""),1501.0)</f>
        <v>1501</v>
      </c>
      <c r="B1505" s="2" t="str">
        <f>IFERROR(__xludf.DUMMYFUNCTION("""COMPUTED_VALUE"""),"COMPLETED")</f>
        <v>COMPLETED</v>
      </c>
      <c r="C1505" s="74">
        <f>IFERROR(__xludf.DUMMYFUNCTION("""COMPUTED_VALUE"""),46089.0)</f>
        <v>46089</v>
      </c>
      <c r="D1505" s="71" t="str">
        <f>IFERROR(__xludf.DUMMYFUNCTION("""COMPUTED_VALUE"""),"Brgy. Maramba Integrated Farmers and Fisherfolks Association")</f>
        <v>Brgy. Maramba Integrated Farmers and Fisherfolks Association</v>
      </c>
      <c r="E1505" s="71" t="str">
        <f>IFERROR(__xludf.DUMMYFUNCTION("""COMPUTED_VALUE"""),"Maramba, Oas, ALBAY")</f>
        <v>Maramba, Oas, ALBAY</v>
      </c>
      <c r="F1505" s="2" t="str">
        <f>IFERROR(__xludf.DUMMYFUNCTION("""COMPUTED_VALUE"""),"EDWARD JOSE")</f>
        <v>EDWARD JOSE</v>
      </c>
      <c r="G1505" s="2">
        <f>IFERROR(__xludf.DUMMYFUNCTION("""COMPUTED_VALUE"""),9.924989278E9)</f>
        <v>9924989278</v>
      </c>
      <c r="H1505" s="2">
        <f>IFERROR(__xludf.DUMMYFUNCTION("""COMPUTED_VALUE"""),42.9)</f>
        <v>42.9</v>
      </c>
      <c r="I1505" s="72" t="str">
        <f>IFERROR(__xludf.DUMMYFUNCTION("""COMPUTED_VALUE"""),"REPAIR - LOADER")</f>
        <v>REPAIR - LOADER</v>
      </c>
      <c r="J1505" s="72" t="str">
        <f>IFERROR(__xludf.DUMMYFUNCTION("""COMPUTED_VALUE"""),"Cable lock")</f>
        <v>Cable lock</v>
      </c>
      <c r="K1505" s="72" t="str">
        <f>IFERROR(__xludf.DUMMYFUNCTION("""COMPUTED_VALUE"""),"FPJ: JOYSTICK DAMAGE")</f>
        <v>FPJ: JOYSTICK DAMAGE</v>
      </c>
      <c r="L1505" s="72" t="str">
        <f>IFERROR(__xludf.DUMMYFUNCTION("""COMPUTED_VALUE"""),"FPJ: REPLACED FABRICATED HYDRAULIC CABLE LOCK")</f>
        <v>FPJ: REPLACED FABRICATED HYDRAULIC CABLE LOCK</v>
      </c>
      <c r="M1505" s="2"/>
      <c r="N1505" s="2" t="str">
        <f>IFERROR(__xludf.DUMMYFUNCTION("""COMPUTED_VALUE"""),"PARTS:
FABRICATED CABLE LOCK (OUTSOURCE)")</f>
        <v>PARTS:
FABRICATED CABLE LOCK (OUTSOURCE)</v>
      </c>
      <c r="O1505" s="2">
        <f>IFERROR(__xludf.DUMMYFUNCTION("""COMPUTED_VALUE"""),587.0)</f>
        <v>587</v>
      </c>
      <c r="P1505" s="2"/>
      <c r="Q1505" s="2" t="str">
        <f>IFERROR(__xludf.DUMMYFUNCTION("""COMPUTED_VALUE"""),"FOR PRINT")</f>
        <v>FOR PRINT</v>
      </c>
      <c r="R1505" s="74">
        <f>IFERROR(__xludf.DUMMYFUNCTION("""COMPUTED_VALUE"""),46089.0)</f>
        <v>46089</v>
      </c>
      <c r="S1505" s="2" t="str">
        <f>IFERROR(__xludf.DUMMYFUNCTION("""COMPUTED_VALUE"""),"FPJ")</f>
        <v>FPJ</v>
      </c>
      <c r="T1505" s="73" t="str">
        <f>IFERROR(__xludf.DUMMYFUNCTION("""COMPUTED_VALUE""")," N/A ")</f>
        <v>N/A</v>
      </c>
      <c r="U1505" s="73" t="str">
        <f>IFERROR(__xludf.DUMMYFUNCTION("""COMPUTED_VALUE""")," NO CHARGE ")</f>
        <v>NO CHARGE</v>
      </c>
      <c r="V1505" s="2" t="str">
        <f>IFERROR(__xludf.DUMMYFUNCTION("""COMPUTED_VALUE"""),"NO DR")</f>
        <v>NO DR</v>
      </c>
      <c r="W1505" s="2" t="str">
        <f>IFERROR(__xludf.DUMMYFUNCTION("""COMPUTED_VALUE"""),"N/A")</f>
        <v>N/A</v>
      </c>
      <c r="X1505" s="2" t="str">
        <f>IFERROR(__xludf.DUMMYFUNCTION("""COMPUTED_VALUE"""),"N/A")</f>
        <v>N/A</v>
      </c>
      <c r="Y1505" s="2"/>
      <c r="Z1505" s="2"/>
      <c r="AA1505" s="2"/>
      <c r="AB1505" s="2"/>
      <c r="AC1505" s="2"/>
      <c r="AD1505" s="2"/>
      <c r="AE1505" s="2"/>
      <c r="AF1505" s="2"/>
      <c r="AG1505" s="2"/>
      <c r="AH1505" s="2"/>
      <c r="AI1505" s="2"/>
      <c r="AJ1505" s="2" t="str">
        <f>IFERROR(__xludf.DUMMYFUNCTION("""COMPUTED_VALUE"""),"Maramba")</f>
        <v>Maramba</v>
      </c>
      <c r="AK1505" s="2" t="str">
        <f>IFERROR(__xludf.DUMMYFUNCTION("""COMPUTED_VALUE"""),"Oas")</f>
        <v>Oas</v>
      </c>
      <c r="AL1505" s="2" t="str">
        <f>IFERROR(__xludf.DUMMYFUNCTION("""COMPUTED_VALUE"""),"Albay")</f>
        <v>Albay</v>
      </c>
      <c r="AM1505" s="2">
        <f>IFERROR(__xludf.DUMMYFUNCTION("""COMPUTED_VALUE"""),5.0)</f>
        <v>5</v>
      </c>
      <c r="AN1505" s="2" t="str">
        <f>IFERROR(__xludf.DUMMYFUNCTION("""COMPUTED_VALUE"""),"RCEF 25-03-05")</f>
        <v>RCEF 25-03-05</v>
      </c>
      <c r="AO1505" s="2">
        <f>IFERROR(__xludf.DUMMYFUNCTION("""COMPUTED_VALUE"""),6.0)</f>
        <v>6</v>
      </c>
      <c r="AP1505" s="2" t="str">
        <f>IFERROR(__xludf.DUMMYFUNCTION("""COMPUTED_VALUE"""),"FREE PMS")</f>
        <v>FREE PMS</v>
      </c>
      <c r="AQ1505" s="2"/>
      <c r="AR1505" s="2"/>
      <c r="AS1505" s="2"/>
      <c r="AT1505" s="2"/>
      <c r="AU1505" s="2"/>
      <c r="AV1505" s="2"/>
      <c r="AW1505" s="2"/>
      <c r="AX1505" s="2"/>
      <c r="AY1505" s="2"/>
      <c r="AZ1505" s="2"/>
      <c r="BA1505" s="2"/>
      <c r="BB1505" s="2"/>
    </row>
    <row r="1506">
      <c r="A1506" s="2">
        <f>IFERROR(__xludf.DUMMYFUNCTION("""COMPUTED_VALUE"""),1502.0)</f>
        <v>1502</v>
      </c>
      <c r="B1506" s="2" t="str">
        <f>IFERROR(__xludf.DUMMYFUNCTION("""COMPUTED_VALUE"""),"COMPLETED")</f>
        <v>COMPLETED</v>
      </c>
      <c r="C1506" s="74">
        <f>IFERROR(__xludf.DUMMYFUNCTION("""COMPUTED_VALUE"""),46090.0)</f>
        <v>46090</v>
      </c>
      <c r="D1506" s="71" t="str">
        <f>IFERROR(__xludf.DUMMYFUNCTION("""COMPUTED_VALUE"""),"NASUGBU BATANGAS CENTRAL IRRIGATORS ASSOCIATION INC.")</f>
        <v>NASUGBU BATANGAS CENTRAL IRRIGATORS ASSOCIATION INC.</v>
      </c>
      <c r="E1506" s="71" t="str">
        <f>IFERROR(__xludf.DUMMYFUNCTION("""COMPUTED_VALUE"""),"Putat, Nasugbu, BATANGAS")</f>
        <v>Putat, Nasugbu, BATANGAS</v>
      </c>
      <c r="F1506" s="2" t="str">
        <f>IFERROR(__xludf.DUMMYFUNCTION("""COMPUTED_VALUE"""),"Andro Sumanguid")</f>
        <v>Andro Sumanguid</v>
      </c>
      <c r="G1506" s="2">
        <f>IFERROR(__xludf.DUMMYFUNCTION("""COMPUTED_VALUE"""),9.363501433E9)</f>
        <v>9363501433</v>
      </c>
      <c r="H1506" s="2">
        <f>IFERROR(__xludf.DUMMYFUNCTION("""COMPUTED_VALUE"""),17.0)</f>
        <v>17</v>
      </c>
      <c r="I1506" s="72" t="str">
        <f>IFERROR(__xludf.DUMMYFUNCTION("""COMPUTED_VALUE"""),"REPAIR - TRACTOR")</f>
        <v>REPAIR - TRACTOR</v>
      </c>
      <c r="J1506" s="72" t="str">
        <f>IFERROR(__xludf.DUMMYFUNCTION("""COMPUTED_VALUE"""),"Front Axle - Bearing")</f>
        <v>Front Axle - Bearing</v>
      </c>
      <c r="K1506" s="72" t="str">
        <f>IFERROR(__xludf.DUMMYFUNCTION("""COMPUTED_VALUE"""),"RBS: THE FRONT WHEEL RUNS REVERSIBLE")</f>
        <v>RBS: THE FRONT WHEEL RUNS REVERSIBLE</v>
      </c>
      <c r="L1506" s="72" t="str">
        <f>IFERROR(__xludf.DUMMYFUNCTION("""COMPUTED_VALUE"""),"RBS: NAUBUSAN NG GEAR OIL, BINAKLAS ANG BEARING PARA MALAGYAN NG GRASA, KADAHILANAN KAYA UMINGAY ANG MGA GEAR NG TRACTOR.   AKALA LAMANG NG FCA NA BALIKTAD ANG IKOT NG GULONG DAHIL NAKATAAS ANG HARAPANG GULONG NG UNIT. PERO PINA TESTING KO NA ITO BAGO KAM"&amp;"I UMALIS SA LOOB NG 30 MINUTES, OK NA ANG UNIT.
RBS: 3/11/26: NATANGAL ANG DISC, TAPOS NASIRA ANG OIL SEAL
PARTS: OIL SEAL 45-85-12 (MERON KAY JTT)")</f>
        <v>RBS: NAUBUSAN NG GEAR OIL, BINAKLAS ANG BEARING PARA MALAGYAN NG GRASA, KADAHILANAN KAYA UMINGAY ANG MGA GEAR NG TRACTOR.   AKALA LAMANG NG FCA NA BALIKTAD ANG IKOT NG GULONG DAHIL NAKATAAS ANG HARAPANG GULONG NG UNIT. PERO PINA TESTING KO NA ITO BAGO KAMI UMALIS SA LOOB NG 30 MINUTES, OK NA ANG UNIT.
RBS: 3/11/26: NATANGAL ANG DISC, TAPOS NASIRA ANG OIL SEAL
PARTS: OIL SEAL 45-85-12 (MERON KAY JTT)</v>
      </c>
      <c r="M1506" s="2" t="str">
        <f>IFERROR(__xludf.DUMMYFUNCTION("""COMPUTED_VALUE"""),"OIL SEAL 45-85-12")</f>
        <v>OIL SEAL 45-85-12</v>
      </c>
      <c r="N1506" s="2" t="str">
        <f>IFERROR(__xludf.DUMMYFUNCTION("""COMPUTED_VALUE"""),"OIL SEAL 45-85-12")</f>
        <v>OIL SEAL 45-85-12</v>
      </c>
      <c r="O1506" s="2">
        <f>IFERROR(__xludf.DUMMYFUNCTION("""COMPUTED_VALUE"""),613.0)</f>
        <v>613</v>
      </c>
      <c r="P1506" s="2"/>
      <c r="Q1506" s="2" t="str">
        <f>IFERROR(__xludf.DUMMYFUNCTION("""COMPUTED_VALUE"""),"FOR PRINT")</f>
        <v>FOR PRINT</v>
      </c>
      <c r="R1506" s="74">
        <f>IFERROR(__xludf.DUMMYFUNCTION("""COMPUTED_VALUE"""),46090.0)</f>
        <v>46090</v>
      </c>
      <c r="S1506" s="2" t="str">
        <f>IFERROR(__xludf.DUMMYFUNCTION("""COMPUTED_VALUE"""),"RBS")</f>
        <v>RBS</v>
      </c>
      <c r="T1506" s="73">
        <f>IFERROR(__xludf.DUMMYFUNCTION("""COMPUTED_VALUE"""),490.0)</f>
        <v>490</v>
      </c>
      <c r="U1506" s="73" t="str">
        <f>IFERROR(__xludf.DUMMYFUNCTION("""COMPUTED_VALUE""")," REMITTED ")</f>
        <v>REMITTED</v>
      </c>
      <c r="V1506" s="2">
        <f>IFERROR(__xludf.DUMMYFUNCTION("""COMPUTED_VALUE"""),1421.0)</f>
        <v>1421</v>
      </c>
      <c r="W1506" s="2">
        <f>IFERROR(__xludf.DUMMYFUNCTION("""COMPUTED_VALUE"""),2003.0)</f>
        <v>2003</v>
      </c>
      <c r="X1506" s="2">
        <f>IFERROR(__xludf.DUMMYFUNCTION("""COMPUTED_VALUE"""),1728.0)</f>
        <v>1728</v>
      </c>
      <c r="Y1506" s="2"/>
      <c r="Z1506" s="2"/>
      <c r="AA1506" s="2"/>
      <c r="AB1506" s="2"/>
      <c r="AC1506" s="2"/>
      <c r="AD1506" s="2"/>
      <c r="AE1506" s="2"/>
      <c r="AF1506" s="2"/>
      <c r="AG1506" s="2"/>
      <c r="AH1506" s="2"/>
      <c r="AI1506" s="2"/>
      <c r="AJ1506" s="2" t="str">
        <f>IFERROR(__xludf.DUMMYFUNCTION("""COMPUTED_VALUE"""),"Putat")</f>
        <v>Putat</v>
      </c>
      <c r="AK1506" s="2" t="str">
        <f>IFERROR(__xludf.DUMMYFUNCTION("""COMPUTED_VALUE"""),"Nasugbu")</f>
        <v>Nasugbu</v>
      </c>
      <c r="AL1506" s="2" t="str">
        <f>IFERROR(__xludf.DUMMYFUNCTION("""COMPUTED_VALUE"""),"Batangas")</f>
        <v>Batangas</v>
      </c>
      <c r="AM1506" s="2" t="str">
        <f>IFERROR(__xludf.DUMMYFUNCTION("""COMPUTED_VALUE"""),"4A")</f>
        <v>4A</v>
      </c>
      <c r="AN1506" s="2" t="str">
        <f>IFERROR(__xludf.DUMMYFUNCTION("""COMPUTED_VALUE"""),"RCEF 25-03-05")</f>
        <v>RCEF 25-03-05</v>
      </c>
      <c r="AO1506" s="2">
        <f>IFERROR(__xludf.DUMMYFUNCTION("""COMPUTED_VALUE"""),7.0)</f>
        <v>7</v>
      </c>
      <c r="AP1506" s="2" t="str">
        <f>IFERROR(__xludf.DUMMYFUNCTION("""COMPUTED_VALUE"""),"FREE PMS")</f>
        <v>FREE PMS</v>
      </c>
      <c r="AQ1506" s="2"/>
      <c r="AR1506" s="2"/>
      <c r="AS1506" s="2"/>
      <c r="AT1506" s="2"/>
      <c r="AU1506" s="2"/>
      <c r="AV1506" s="2"/>
      <c r="AW1506" s="2"/>
      <c r="AX1506" s="2"/>
      <c r="AY1506" s="2"/>
      <c r="AZ1506" s="2"/>
      <c r="BA1506" s="2"/>
      <c r="BB1506" s="2"/>
    </row>
    <row r="1507">
      <c r="A1507" s="2">
        <f>IFERROR(__xludf.DUMMYFUNCTION("""COMPUTED_VALUE"""),1503.0)</f>
        <v>1503</v>
      </c>
      <c r="B1507" s="2" t="str">
        <f>IFERROR(__xludf.DUMMYFUNCTION("""COMPUTED_VALUE"""),"COMPLETED")</f>
        <v>COMPLETED</v>
      </c>
      <c r="C1507" s="74">
        <f>IFERROR(__xludf.DUMMYFUNCTION("""COMPUTED_VALUE"""),46090.0)</f>
        <v>46090</v>
      </c>
      <c r="D1507" s="71" t="str">
        <f>IFERROR(__xludf.DUMMYFUNCTION("""COMPUTED_VALUE"""),"Municipal Local Government Unit of Naval")</f>
        <v>Municipal Local Government Unit of Naval</v>
      </c>
      <c r="E1507" s="71" t="str">
        <f>IFERROR(__xludf.DUMMYFUNCTION("""COMPUTED_VALUE"""),"Padre Inocentes Garcia (Pob.), Naval, BILIRAN")</f>
        <v>Padre Inocentes Garcia (Pob.), Naval, BILIRAN</v>
      </c>
      <c r="F1507" s="2" t="str">
        <f>IFERROR(__xludf.DUMMYFUNCTION("""COMPUTED_VALUE"""),"Ronan Digno")</f>
        <v>Ronan Digno</v>
      </c>
      <c r="G1507" s="2">
        <f>IFERROR(__xludf.DUMMYFUNCTION("""COMPUTED_VALUE"""),9.754781351E9)</f>
        <v>9754781351</v>
      </c>
      <c r="H1507" s="2">
        <f>IFERROR(__xludf.DUMMYFUNCTION("""COMPUTED_VALUE"""),80.0)</f>
        <v>80</v>
      </c>
      <c r="I1507" s="72" t="str">
        <f>IFERROR(__xludf.DUMMYFUNCTION("""COMPUTED_VALUE"""),"PMS")</f>
        <v>PMS</v>
      </c>
      <c r="J1507" s="72" t="str">
        <f>IFERROR(__xludf.DUMMYFUNCTION("""COMPUTED_VALUE"""),"PMS")</f>
        <v>PMS</v>
      </c>
      <c r="K1507" s="72" t="str">
        <f>IFERROR(__xludf.DUMMYFUNCTION("""COMPUTED_VALUE"""),"MYK: 1st PMS FREE")</f>
        <v>MYK: 1st PMS FREE</v>
      </c>
      <c r="L1507" s="72" t="str">
        <f>IFERROR(__xludf.DUMMYFUNCTION("""COMPUTED_VALUE"""),"FPJ: 1ST PMS DONE")</f>
        <v>FPJ: 1ST PMS DONE</v>
      </c>
      <c r="M1507" s="2"/>
      <c r="N1507" s="2" t="str">
        <f>IFERROR(__xludf.DUMMYFUNCTION("""COMPUTED_VALUE"""),"parts:
OIL FILTER
ENGINE OIL")</f>
        <v>parts:
OIL FILTER
ENGINE OIL</v>
      </c>
      <c r="O1507" s="2">
        <f>IFERROR(__xludf.DUMMYFUNCTION("""COMPUTED_VALUE"""),267.0)</f>
        <v>267</v>
      </c>
      <c r="P1507" s="2"/>
      <c r="Q1507" s="2" t="str">
        <f>IFERROR(__xludf.DUMMYFUNCTION("""COMPUTED_VALUE"""),"FOR PRINT")</f>
        <v>FOR PRINT</v>
      </c>
      <c r="R1507" s="74">
        <f>IFERROR(__xludf.DUMMYFUNCTION("""COMPUTED_VALUE"""),46129.0)</f>
        <v>46129</v>
      </c>
      <c r="S1507" s="2" t="str">
        <f>IFERROR(__xludf.DUMMYFUNCTION("""COMPUTED_VALUE"""),"FPJ/JAH")</f>
        <v>FPJ/JAH</v>
      </c>
      <c r="T1507" s="73" t="str">
        <f>IFERROR(__xludf.DUMMYFUNCTION("""COMPUTED_VALUE""")," N/A ")</f>
        <v>N/A</v>
      </c>
      <c r="U1507" s="73" t="str">
        <f>IFERROR(__xludf.DUMMYFUNCTION("""COMPUTED_VALUE""")," NO CHARGE ")</f>
        <v>NO CHARGE</v>
      </c>
      <c r="V1507" s="2">
        <f>IFERROR(__xludf.DUMMYFUNCTION("""COMPUTED_VALUE"""),1565.0)</f>
        <v>1565</v>
      </c>
      <c r="W1507" s="2" t="str">
        <f>IFERROR(__xludf.DUMMYFUNCTION("""COMPUTED_VALUE"""),"N/A")</f>
        <v>N/A</v>
      </c>
      <c r="X1507" s="2" t="str">
        <f>IFERROR(__xludf.DUMMYFUNCTION("""COMPUTED_VALUE"""),"N/A")</f>
        <v>N/A</v>
      </c>
      <c r="Y1507" s="2"/>
      <c r="Z1507" s="2"/>
      <c r="AA1507" s="2"/>
      <c r="AB1507" s="2"/>
      <c r="AC1507" s="2"/>
      <c r="AD1507" s="2"/>
      <c r="AE1507" s="2"/>
      <c r="AF1507" s="2"/>
      <c r="AG1507" s="2"/>
      <c r="AH1507" s="2"/>
      <c r="AI1507" s="2"/>
      <c r="AJ1507" s="2" t="str">
        <f>IFERROR(__xludf.DUMMYFUNCTION("""COMPUTED_VALUE"""),"Padre Inocentes Garcia (Pob.)")</f>
        <v>Padre Inocentes Garcia (Pob.)</v>
      </c>
      <c r="AK1507" s="2" t="str">
        <f>IFERROR(__xludf.DUMMYFUNCTION("""COMPUTED_VALUE"""),"Naval")</f>
        <v>Naval</v>
      </c>
      <c r="AL1507" s="2" t="str">
        <f>IFERROR(__xludf.DUMMYFUNCTION("""COMPUTED_VALUE"""),"Biliran")</f>
        <v>Biliran</v>
      </c>
      <c r="AM1507" s="2">
        <f>IFERROR(__xludf.DUMMYFUNCTION("""COMPUTED_VALUE"""),8.0)</f>
        <v>8</v>
      </c>
      <c r="AN1507" s="2" t="str">
        <f>IFERROR(__xludf.DUMMYFUNCTION("""COMPUTED_VALUE"""),"RCEF 25-03-05")</f>
        <v>RCEF 25-03-05</v>
      </c>
      <c r="AO1507" s="2">
        <f>IFERROR(__xludf.DUMMYFUNCTION("""COMPUTED_VALUE"""),7.0)</f>
        <v>7</v>
      </c>
      <c r="AP1507" s="2" t="str">
        <f>IFERROR(__xludf.DUMMYFUNCTION("""COMPUTED_VALUE"""),"FREE PMS")</f>
        <v>FREE PMS</v>
      </c>
      <c r="AQ1507" s="2"/>
      <c r="AR1507" s="2"/>
      <c r="AS1507" s="2"/>
      <c r="AT1507" s="2"/>
      <c r="AU1507" s="2"/>
      <c r="AV1507" s="2"/>
      <c r="AW1507" s="2"/>
      <c r="AX1507" s="2"/>
      <c r="AY1507" s="2"/>
      <c r="AZ1507" s="2"/>
      <c r="BA1507" s="2"/>
      <c r="BB1507" s="2"/>
    </row>
    <row r="1508">
      <c r="A1508" s="2">
        <f>IFERROR(__xludf.DUMMYFUNCTION("""COMPUTED_VALUE"""),1504.0)</f>
        <v>1504</v>
      </c>
      <c r="B1508" s="2" t="str">
        <f>IFERROR(__xludf.DUMMYFUNCTION("""COMPUTED_VALUE"""),"COMPLETED")</f>
        <v>COMPLETED</v>
      </c>
      <c r="C1508" s="74">
        <f>IFERROR(__xludf.DUMMYFUNCTION("""COMPUTED_VALUE"""),46090.0)</f>
        <v>46090</v>
      </c>
      <c r="D1508" s="71" t="str">
        <f>IFERROR(__xludf.DUMMYFUNCTION("""COMPUTED_VALUE"""),"BAGONG JERUSALEM FARMERS FIELD SCHOOL")</f>
        <v>BAGONG JERUSALEM FARMERS FIELD SCHOOL</v>
      </c>
      <c r="E1508" s="71" t="str">
        <f>IFERROR(__xludf.DUMMYFUNCTION("""COMPUTED_VALUE"""),"Dumarais, La Paz, TARLAC")</f>
        <v>Dumarais, La Paz, TARLAC</v>
      </c>
      <c r="F1508" s="2" t="str">
        <f>IFERROR(__xludf.DUMMYFUNCTION("""COMPUTED_VALUE"""),"Lolita Aquino")</f>
        <v>Lolita Aquino</v>
      </c>
      <c r="G1508" s="2">
        <f>IFERROR(__xludf.DUMMYFUNCTION("""COMPUTED_VALUE"""),9.053375046E9)</f>
        <v>9053375046</v>
      </c>
      <c r="H1508" s="2"/>
      <c r="I1508" s="72" t="str">
        <f>IFERROR(__xludf.DUMMYFUNCTION("""COMPUTED_VALUE"""),"PMS")</f>
        <v>PMS</v>
      </c>
      <c r="J1508" s="72" t="str">
        <f>IFERROR(__xludf.DUMMYFUNCTION("""COMPUTED_VALUE"""),"PMS")</f>
        <v>PMS</v>
      </c>
      <c r="K1508" s="72" t="str">
        <f>IFERROR(__xludf.DUMMYFUNCTION("""COMPUTED_VALUE"""),"JVV: 1ST PMS Free")</f>
        <v>JVV: 1ST PMS Free</v>
      </c>
      <c r="L1508" s="72" t="str">
        <f>IFERROR(__xludf.DUMMYFUNCTION("""COMPUTED_VALUE"""),"DSD: 1ST PMS DONE")</f>
        <v>DSD: 1ST PMS DONE</v>
      </c>
      <c r="M1508" s="2"/>
      <c r="N1508" s="2" t="str">
        <f>IFERROR(__xludf.DUMMYFUNCTION("""COMPUTED_VALUE"""),"PARTS:
OIL FILTER
ENGINE OIL")</f>
        <v>PARTS:
OIL FILTER
ENGINE OIL</v>
      </c>
      <c r="O1508" s="2">
        <f>IFERROR(__xludf.DUMMYFUNCTION("""COMPUTED_VALUE"""),873.0)</f>
        <v>873</v>
      </c>
      <c r="P1508" s="2"/>
      <c r="Q1508" s="2" t="str">
        <f>IFERROR(__xludf.DUMMYFUNCTION("""COMPUTED_VALUE"""),"FOR PRINT")</f>
        <v>FOR PRINT</v>
      </c>
      <c r="R1508" s="74">
        <f>IFERROR(__xludf.DUMMYFUNCTION("""COMPUTED_VALUE"""),46094.0)</f>
        <v>46094</v>
      </c>
      <c r="S1508" s="2" t="str">
        <f>IFERROR(__xludf.DUMMYFUNCTION("""COMPUTED_VALUE"""),"JVV")</f>
        <v>JVV</v>
      </c>
      <c r="T1508" s="73" t="str">
        <f>IFERROR(__xludf.DUMMYFUNCTION("""COMPUTED_VALUE""")," N/A ")</f>
        <v>N/A</v>
      </c>
      <c r="U1508" s="73" t="str">
        <f>IFERROR(__xludf.DUMMYFUNCTION("""COMPUTED_VALUE""")," NO CHARGE ")</f>
        <v>NO CHARGE</v>
      </c>
      <c r="V1508" s="2" t="str">
        <f>IFERROR(__xludf.DUMMYFUNCTION("""COMPUTED_VALUE"""),"NO DR")</f>
        <v>NO DR</v>
      </c>
      <c r="W1508" s="2" t="str">
        <f>IFERROR(__xludf.DUMMYFUNCTION("""COMPUTED_VALUE"""),"N/A")</f>
        <v>N/A</v>
      </c>
      <c r="X1508" s="2" t="str">
        <f>IFERROR(__xludf.DUMMYFUNCTION("""COMPUTED_VALUE"""),"N/A")</f>
        <v>N/A</v>
      </c>
      <c r="Y1508" s="2"/>
      <c r="Z1508" s="2"/>
      <c r="AA1508" s="2"/>
      <c r="AB1508" s="2"/>
      <c r="AC1508" s="2"/>
      <c r="AD1508" s="2"/>
      <c r="AE1508" s="2"/>
      <c r="AF1508" s="2"/>
      <c r="AG1508" s="2"/>
      <c r="AH1508" s="2"/>
      <c r="AI1508" s="2"/>
      <c r="AJ1508" s="2" t="str">
        <f>IFERROR(__xludf.DUMMYFUNCTION("""COMPUTED_VALUE"""),"Dumarais")</f>
        <v>Dumarais</v>
      </c>
      <c r="AK1508" s="2" t="str">
        <f>IFERROR(__xludf.DUMMYFUNCTION("""COMPUTED_VALUE"""),"La Paz")</f>
        <v>La Paz</v>
      </c>
      <c r="AL1508" s="2" t="str">
        <f>IFERROR(__xludf.DUMMYFUNCTION("""COMPUTED_VALUE"""),"Tarlac")</f>
        <v>Tarlac</v>
      </c>
      <c r="AM1508" s="2">
        <f>IFERROR(__xludf.DUMMYFUNCTION("""COMPUTED_VALUE"""),3.0)</f>
        <v>3</v>
      </c>
      <c r="AN1508" s="2" t="str">
        <f>IFERROR(__xludf.DUMMYFUNCTION("""COMPUTED_VALUE"""),"RCEF 25-03-05")</f>
        <v>RCEF 25-03-05</v>
      </c>
      <c r="AO1508" s="2">
        <f>IFERROR(__xludf.DUMMYFUNCTION("""COMPUTED_VALUE"""),5.0)</f>
        <v>5</v>
      </c>
      <c r="AP1508" s="2" t="str">
        <f>IFERROR(__xludf.DUMMYFUNCTION("""COMPUTED_VALUE"""),"FREE PMS")</f>
        <v>FREE PMS</v>
      </c>
      <c r="AQ1508" s="2"/>
      <c r="AR1508" s="2"/>
      <c r="AS1508" s="2"/>
      <c r="AT1508" s="2"/>
      <c r="AU1508" s="2"/>
      <c r="AV1508" s="2"/>
      <c r="AW1508" s="2"/>
      <c r="AX1508" s="2"/>
      <c r="AY1508" s="2"/>
      <c r="AZ1508" s="2"/>
      <c r="BA1508" s="2"/>
      <c r="BB1508" s="2"/>
    </row>
    <row r="1509">
      <c r="A1509" s="2">
        <f>IFERROR(__xludf.DUMMYFUNCTION("""COMPUTED_VALUE"""),1505.0)</f>
        <v>1505</v>
      </c>
      <c r="B1509" s="2" t="str">
        <f>IFERROR(__xludf.DUMMYFUNCTION("""COMPUTED_VALUE"""),"COMPLETED")</f>
        <v>COMPLETED</v>
      </c>
      <c r="C1509" s="74">
        <f>IFERROR(__xludf.DUMMYFUNCTION("""COMPUTED_VALUE"""),46090.0)</f>
        <v>46090</v>
      </c>
      <c r="D1509" s="71" t="str">
        <f>IFERROR(__xludf.DUMMYFUNCTION("""COMPUTED_VALUE"""),"GUINTAGBUCAN FARMERS ASSOCIATION")</f>
        <v>GUINTAGBUCAN FARMERS ASSOCIATION</v>
      </c>
      <c r="E1509" s="71" t="str">
        <f>IFERROR(__xludf.DUMMYFUNCTION("""COMPUTED_VALUE"""),"Guintagbucan (Pob.), Abuyog, LEYTE")</f>
        <v>Guintagbucan (Pob.), Abuyog, LEYTE</v>
      </c>
      <c r="F1509" s="2" t="str">
        <f>IFERROR(__xludf.DUMMYFUNCTION("""COMPUTED_VALUE"""),"francisca Cinco")</f>
        <v>francisca Cinco</v>
      </c>
      <c r="G1509" s="2" t="str">
        <f>IFERROR(__xludf.DUMMYFUNCTION("""COMPUTED_VALUE"""),"0953-986-5263")</f>
        <v>0953-986-5263</v>
      </c>
      <c r="H1509" s="2"/>
      <c r="I1509" s="72" t="str">
        <f>IFERROR(__xludf.DUMMYFUNCTION("""COMPUTED_VALUE"""),"REPAIR - LOADER")</f>
        <v>REPAIR - LOADER</v>
      </c>
      <c r="J1509" s="72" t="str">
        <f>IFERROR(__xludf.DUMMYFUNCTION("""COMPUTED_VALUE"""),"Cable lock")</f>
        <v>Cable lock</v>
      </c>
      <c r="K1509" s="72" t="str">
        <f>IFERROR(__xludf.DUMMYFUNCTION("""COMPUTED_VALUE"""),"JTT: PROBLEM CABLE SIRA ANG DULO NA LOCK (WITH PICTURE) -  cable lock")</f>
        <v>JTT: PROBLEM CABLE SIRA ANG DULO NA LOCK (WITH PICTURE) -  cable lock</v>
      </c>
      <c r="L1509" s="72" t="str">
        <f>IFERROR(__xludf.DUMMYFUNCTION("""COMPUTED_VALUE"""),"TO CALL- TO CONFIRM PARTS NEEDED
FPJ: Nag VC n kami ni FCA Naka usap ko na ipa fabricate nalng yung parts.  Update daw po sila pag nka pag fabricate na
FPJ: 5/4/26: OK NA ANG CABLE LOCK SILA NA ANG NAG PAGAWA")</f>
        <v>TO CALL- TO CONFIRM PARTS NEEDED
FPJ: Nag VC n kami ni FCA Naka usap ko na ipa fabricate nalng yung parts.  Update daw po sila pag nka pag fabricate na
FPJ: 5/4/26: OK NA ANG CABLE LOCK SILA NA ANG NAG PAGAWA</v>
      </c>
      <c r="M1509" s="2" t="str">
        <f>IFERROR(__xludf.DUMMYFUNCTION("""COMPUTED_VALUE"""),"CABLE LOCK")</f>
        <v>CABLE LOCK</v>
      </c>
      <c r="N1509" s="2"/>
      <c r="O1509" s="2" t="str">
        <f>IFERROR(__xludf.DUMMYFUNCTION("""COMPUTED_VALUE"""),"N/A")</f>
        <v>N/A</v>
      </c>
      <c r="P1509" s="2"/>
      <c r="Q1509" s="2"/>
      <c r="R1509" s="74">
        <f>IFERROR(__xludf.DUMMYFUNCTION("""COMPUTED_VALUE"""),46130.0)</f>
        <v>46130</v>
      </c>
      <c r="S1509" s="2" t="str">
        <f>IFERROR(__xludf.DUMMYFUNCTION("""COMPUTED_VALUE"""),"FPJ/JAH")</f>
        <v>FPJ/JAH</v>
      </c>
      <c r="T1509" s="73" t="str">
        <f>IFERROR(__xludf.DUMMYFUNCTION("""COMPUTED_VALUE""")," N/A ")</f>
        <v>N/A</v>
      </c>
      <c r="U1509" s="73" t="str">
        <f>IFERROR(__xludf.DUMMYFUNCTION("""COMPUTED_VALUE""")," NO CHARGE ")</f>
        <v>NO CHARGE</v>
      </c>
      <c r="V1509" s="2" t="str">
        <f>IFERROR(__xludf.DUMMYFUNCTION("""COMPUTED_VALUE"""),"N/A")</f>
        <v>N/A</v>
      </c>
      <c r="W1509" s="2" t="str">
        <f>IFERROR(__xludf.DUMMYFUNCTION("""COMPUTED_VALUE"""),"N/A")</f>
        <v>N/A</v>
      </c>
      <c r="X1509" s="2" t="str">
        <f>IFERROR(__xludf.DUMMYFUNCTION("""COMPUTED_VALUE"""),"N/A")</f>
        <v>N/A</v>
      </c>
      <c r="Y1509" s="2"/>
      <c r="Z1509" s="2"/>
      <c r="AA1509" s="2"/>
      <c r="AB1509" s="2"/>
      <c r="AC1509" s="2"/>
      <c r="AD1509" s="2"/>
      <c r="AE1509" s="2"/>
      <c r="AF1509" s="2"/>
      <c r="AG1509" s="2"/>
      <c r="AH1509" s="2"/>
      <c r="AI1509" s="2"/>
      <c r="AJ1509" s="2" t="str">
        <f>IFERROR(__xludf.DUMMYFUNCTION("""COMPUTED_VALUE"""),"Guintagbucan (Pob.)")</f>
        <v>Guintagbucan (Pob.)</v>
      </c>
      <c r="AK1509" s="2" t="str">
        <f>IFERROR(__xludf.DUMMYFUNCTION("""COMPUTED_VALUE"""),"Abuyog")</f>
        <v>Abuyog</v>
      </c>
      <c r="AL1509" s="2" t="str">
        <f>IFERROR(__xludf.DUMMYFUNCTION("""COMPUTED_VALUE"""),"Leyte")</f>
        <v>Leyte</v>
      </c>
      <c r="AM1509" s="2">
        <f>IFERROR(__xludf.DUMMYFUNCTION("""COMPUTED_VALUE"""),8.0)</f>
        <v>8</v>
      </c>
      <c r="AN1509" s="2" t="str">
        <f>IFERROR(__xludf.DUMMYFUNCTION("""COMPUTED_VALUE"""),"RCEF 25-03-05")</f>
        <v>RCEF 25-03-05</v>
      </c>
      <c r="AO1509" s="2">
        <f>IFERROR(__xludf.DUMMYFUNCTION("""COMPUTED_VALUE"""),7.0)</f>
        <v>7</v>
      </c>
      <c r="AP1509" s="2" t="str">
        <f>IFERROR(__xludf.DUMMYFUNCTION("""COMPUTED_VALUE"""),"FREE PMS")</f>
        <v>FREE PMS</v>
      </c>
      <c r="AQ1509" s="2"/>
      <c r="AR1509" s="2"/>
      <c r="AS1509" s="2"/>
      <c r="AT1509" s="2"/>
      <c r="AU1509" s="2"/>
      <c r="AV1509" s="2"/>
      <c r="AW1509" s="2"/>
      <c r="AX1509" s="2"/>
      <c r="AY1509" s="2"/>
      <c r="AZ1509" s="2"/>
      <c r="BA1509" s="2"/>
      <c r="BB1509" s="2"/>
    </row>
    <row r="1510">
      <c r="A1510" s="2">
        <f>IFERROR(__xludf.DUMMYFUNCTION("""COMPUTED_VALUE"""),1506.0)</f>
        <v>1506</v>
      </c>
      <c r="B1510" s="2" t="str">
        <f>IFERROR(__xludf.DUMMYFUNCTION("""COMPUTED_VALUE"""),"COMPLETED")</f>
        <v>COMPLETED</v>
      </c>
      <c r="C1510" s="74">
        <f>IFERROR(__xludf.DUMMYFUNCTION("""COMPUTED_VALUE"""),46090.0)</f>
        <v>46090</v>
      </c>
      <c r="D1510" s="71" t="str">
        <f>IFERROR(__xludf.DUMMYFUNCTION("""COMPUTED_VALUE"""),"Bariw Farmers Association")</f>
        <v>Bariw Farmers Association</v>
      </c>
      <c r="E1510" s="71" t="str">
        <f>IFERROR(__xludf.DUMMYFUNCTION("""COMPUTED_VALUE"""),"Bariw, Malinao, ALBAY")</f>
        <v>Bariw, Malinao, ALBAY</v>
      </c>
      <c r="F1510" s="2" t="str">
        <f>IFERROR(__xludf.DUMMYFUNCTION("""COMPUTED_VALUE"""),"CALIXTO C. PEÑA")</f>
        <v>CALIXTO C. PEÑA</v>
      </c>
      <c r="G1510" s="2">
        <f>IFERROR(__xludf.DUMMYFUNCTION("""COMPUTED_VALUE"""),9.566158831E9)</f>
        <v>9566158831</v>
      </c>
      <c r="H1510" s="2">
        <f>IFERROR(__xludf.DUMMYFUNCTION("""COMPUTED_VALUE"""),6.0)</f>
        <v>6</v>
      </c>
      <c r="I1510" s="72" t="str">
        <f>IFERROR(__xludf.DUMMYFUNCTION("""COMPUTED_VALUE"""),"PMS")</f>
        <v>PMS</v>
      </c>
      <c r="J1510" s="72"/>
      <c r="K1510" s="72" t="str">
        <f>IFERROR(__xludf.DUMMYFUNCTION("""COMPUTED_VALUE"""),"FPJ: 1ST PMS FREE")</f>
        <v>FPJ: 1ST PMS FREE</v>
      </c>
      <c r="L1510" s="72" t="str">
        <f>IFERROR(__xludf.DUMMYFUNCTION("""COMPUTED_VALUE"""),"FPJ: 1ST PMS DONE")</f>
        <v>FPJ: 1ST PMS DONE</v>
      </c>
      <c r="M1510" s="2"/>
      <c r="N1510" s="2" t="str">
        <f>IFERROR(__xludf.DUMMYFUNCTION("""COMPUTED_VALUE"""),"PARTS:
OIL FILTER
ENGINE OIL")</f>
        <v>PARTS:
OIL FILTER
ENGINE OIL</v>
      </c>
      <c r="O1510" s="2">
        <f>IFERROR(__xludf.DUMMYFUNCTION("""COMPUTED_VALUE"""),591.0)</f>
        <v>591</v>
      </c>
      <c r="P1510" s="2"/>
      <c r="Q1510" s="2" t="str">
        <f>IFERROR(__xludf.DUMMYFUNCTION("""COMPUTED_VALUE"""),"FOR PRINT")</f>
        <v>FOR PRINT</v>
      </c>
      <c r="R1510" s="74">
        <f>IFERROR(__xludf.DUMMYFUNCTION("""COMPUTED_VALUE"""),46090.0)</f>
        <v>46090</v>
      </c>
      <c r="S1510" s="2" t="str">
        <f>IFERROR(__xludf.DUMMYFUNCTION("""COMPUTED_VALUE"""),"FPRJ/JAH")</f>
        <v>FPRJ/JAH</v>
      </c>
      <c r="T1510" s="73" t="str">
        <f>IFERROR(__xludf.DUMMYFUNCTION("""COMPUTED_VALUE""")," N/A ")</f>
        <v>N/A</v>
      </c>
      <c r="U1510" s="73" t="str">
        <f>IFERROR(__xludf.DUMMYFUNCTION("""COMPUTED_VALUE""")," NO CHARGE ")</f>
        <v>NO CHARGE</v>
      </c>
      <c r="V1510" s="2" t="str">
        <f>IFERROR(__xludf.DUMMYFUNCTION("""COMPUTED_VALUE"""),"NO DR")</f>
        <v>NO DR</v>
      </c>
      <c r="W1510" s="2" t="str">
        <f>IFERROR(__xludf.DUMMYFUNCTION("""COMPUTED_VALUE"""),"N/A")</f>
        <v>N/A</v>
      </c>
      <c r="X1510" s="2" t="str">
        <f>IFERROR(__xludf.DUMMYFUNCTION("""COMPUTED_VALUE"""),"N/A")</f>
        <v>N/A</v>
      </c>
      <c r="Y1510" s="2"/>
      <c r="Z1510" s="2"/>
      <c r="AA1510" s="2"/>
      <c r="AB1510" s="2"/>
      <c r="AC1510" s="2"/>
      <c r="AD1510" s="2"/>
      <c r="AE1510" s="2"/>
      <c r="AF1510" s="2"/>
      <c r="AG1510" s="2"/>
      <c r="AH1510" s="2"/>
      <c r="AI1510" s="2"/>
      <c r="AJ1510" s="2" t="str">
        <f>IFERROR(__xludf.DUMMYFUNCTION("""COMPUTED_VALUE"""),"Bariw")</f>
        <v>Bariw</v>
      </c>
      <c r="AK1510" s="2" t="str">
        <f>IFERROR(__xludf.DUMMYFUNCTION("""COMPUTED_VALUE"""),"Malinao")</f>
        <v>Malinao</v>
      </c>
      <c r="AL1510" s="2" t="str">
        <f>IFERROR(__xludf.DUMMYFUNCTION("""COMPUTED_VALUE"""),"Albay")</f>
        <v>Albay</v>
      </c>
      <c r="AM1510" s="2">
        <f>IFERROR(__xludf.DUMMYFUNCTION("""COMPUTED_VALUE"""),5.0)</f>
        <v>5</v>
      </c>
      <c r="AN1510" s="2" t="str">
        <f>IFERROR(__xludf.DUMMYFUNCTION("""COMPUTED_VALUE"""),"RCEF 25-03-05")</f>
        <v>RCEF 25-03-05</v>
      </c>
      <c r="AO1510" s="2">
        <f>IFERROR(__xludf.DUMMYFUNCTION("""COMPUTED_VALUE"""),6.0)</f>
        <v>6</v>
      </c>
      <c r="AP1510" s="2" t="str">
        <f>IFERROR(__xludf.DUMMYFUNCTION("""COMPUTED_VALUE"""),"FREE PMS")</f>
        <v>FREE PMS</v>
      </c>
      <c r="AQ1510" s="2"/>
      <c r="AR1510" s="2"/>
      <c r="AS1510" s="2"/>
      <c r="AT1510" s="2"/>
      <c r="AU1510" s="2"/>
      <c r="AV1510" s="2"/>
      <c r="AW1510" s="2"/>
      <c r="AX1510" s="2"/>
      <c r="AY1510" s="2"/>
      <c r="AZ1510" s="2"/>
      <c r="BA1510" s="2"/>
      <c r="BB1510" s="2"/>
    </row>
    <row r="1511">
      <c r="A1511" s="2">
        <f>IFERROR(__xludf.DUMMYFUNCTION("""COMPUTED_VALUE"""),1507.0)</f>
        <v>1507</v>
      </c>
      <c r="B1511" s="2" t="str">
        <f>IFERROR(__xludf.DUMMYFUNCTION("""COMPUTED_VALUE"""),"COMPLETED")</f>
        <v>COMPLETED</v>
      </c>
      <c r="C1511" s="74">
        <f>IFERROR(__xludf.DUMMYFUNCTION("""COMPUTED_VALUE"""),46090.0)</f>
        <v>46090</v>
      </c>
      <c r="D1511" s="71" t="str">
        <f>IFERROR(__xludf.DUMMYFUNCTION("""COMPUTED_VALUE"""),"TAGOYTOY MULTI-FARMER'S ASSOCIATION (TMFA)")</f>
        <v>TAGOYTOY MULTI-FARMER'S ASSOCIATION (TMFA)</v>
      </c>
      <c r="E1511" s="71" t="str">
        <f>IFERROR(__xludf.DUMMYFUNCTION("""COMPUTED_VALUE"""),"Tagoytoy, Malinao, ALBAY")</f>
        <v>Tagoytoy, Malinao, ALBAY</v>
      </c>
      <c r="F1511" s="2" t="str">
        <f>IFERROR(__xludf.DUMMYFUNCTION("""COMPUTED_VALUE"""),"REGELIO C. CASTELO")</f>
        <v>REGELIO C. CASTELO</v>
      </c>
      <c r="G1511" s="2">
        <f>IFERROR(__xludf.DUMMYFUNCTION("""COMPUTED_VALUE"""),9.995926438E9)</f>
        <v>9995926438</v>
      </c>
      <c r="H1511" s="2">
        <f>IFERROR(__xludf.DUMMYFUNCTION("""COMPUTED_VALUE"""),8.8)</f>
        <v>8.8</v>
      </c>
      <c r="I1511" s="72" t="str">
        <f>IFERROR(__xludf.DUMMYFUNCTION("""COMPUTED_VALUE"""),"PMS")</f>
        <v>PMS</v>
      </c>
      <c r="J1511" s="72"/>
      <c r="K1511" s="72" t="str">
        <f>IFERROR(__xludf.DUMMYFUNCTION("""COMPUTED_VALUE"""),"FPJ: 1ST PMS FREE")</f>
        <v>FPJ: 1ST PMS FREE</v>
      </c>
      <c r="L1511" s="72" t="str">
        <f>IFERROR(__xludf.DUMMYFUNCTION("""COMPUTED_VALUE"""),"FPJ: 1ST PMS DONE")</f>
        <v>FPJ: 1ST PMS DONE</v>
      </c>
      <c r="M1511" s="2"/>
      <c r="N1511" s="2" t="str">
        <f>IFERROR(__xludf.DUMMYFUNCTION("""COMPUTED_VALUE"""),"PARTS:
OIL FILTER
ENGINE OIL")</f>
        <v>PARTS:
OIL FILTER
ENGINE OIL</v>
      </c>
      <c r="O1511" s="2">
        <f>IFERROR(__xludf.DUMMYFUNCTION("""COMPUTED_VALUE"""),590.0)</f>
        <v>590</v>
      </c>
      <c r="P1511" s="2"/>
      <c r="Q1511" s="2" t="str">
        <f>IFERROR(__xludf.DUMMYFUNCTION("""COMPUTED_VALUE"""),"FOR PRINT")</f>
        <v>FOR PRINT</v>
      </c>
      <c r="R1511" s="74">
        <f>IFERROR(__xludf.DUMMYFUNCTION("""COMPUTED_VALUE"""),46090.0)</f>
        <v>46090</v>
      </c>
      <c r="S1511" s="2" t="str">
        <f>IFERROR(__xludf.DUMMYFUNCTION("""COMPUTED_VALUE"""),"FPJ")</f>
        <v>FPJ</v>
      </c>
      <c r="T1511" s="73" t="str">
        <f>IFERROR(__xludf.DUMMYFUNCTION("""COMPUTED_VALUE""")," N/A ")</f>
        <v>N/A</v>
      </c>
      <c r="U1511" s="73" t="str">
        <f>IFERROR(__xludf.DUMMYFUNCTION("""COMPUTED_VALUE""")," NO CHARGE ")</f>
        <v>NO CHARGE</v>
      </c>
      <c r="V1511" s="2" t="str">
        <f>IFERROR(__xludf.DUMMYFUNCTION("""COMPUTED_VALUE"""),"NO DR")</f>
        <v>NO DR</v>
      </c>
      <c r="W1511" s="2" t="str">
        <f>IFERROR(__xludf.DUMMYFUNCTION("""COMPUTED_VALUE"""),"N/A")</f>
        <v>N/A</v>
      </c>
      <c r="X1511" s="2" t="str">
        <f>IFERROR(__xludf.DUMMYFUNCTION("""COMPUTED_VALUE"""),"N/A")</f>
        <v>N/A</v>
      </c>
      <c r="Y1511" s="2"/>
      <c r="Z1511" s="2"/>
      <c r="AA1511" s="2"/>
      <c r="AB1511" s="2"/>
      <c r="AC1511" s="2"/>
      <c r="AD1511" s="2"/>
      <c r="AE1511" s="2"/>
      <c r="AF1511" s="2"/>
      <c r="AG1511" s="2"/>
      <c r="AH1511" s="2"/>
      <c r="AI1511" s="2"/>
      <c r="AJ1511" s="2" t="str">
        <f>IFERROR(__xludf.DUMMYFUNCTION("""COMPUTED_VALUE"""),"Tagoytoy")</f>
        <v>Tagoytoy</v>
      </c>
      <c r="AK1511" s="2" t="str">
        <f>IFERROR(__xludf.DUMMYFUNCTION("""COMPUTED_VALUE"""),"Malinao")</f>
        <v>Malinao</v>
      </c>
      <c r="AL1511" s="2" t="str">
        <f>IFERROR(__xludf.DUMMYFUNCTION("""COMPUTED_VALUE"""),"Albay")</f>
        <v>Albay</v>
      </c>
      <c r="AM1511" s="2">
        <f>IFERROR(__xludf.DUMMYFUNCTION("""COMPUTED_VALUE"""),5.0)</f>
        <v>5</v>
      </c>
      <c r="AN1511" s="2" t="str">
        <f>IFERROR(__xludf.DUMMYFUNCTION("""COMPUTED_VALUE"""),"RCEF 25-03-05")</f>
        <v>RCEF 25-03-05</v>
      </c>
      <c r="AO1511" s="2">
        <f>IFERROR(__xludf.DUMMYFUNCTION("""COMPUTED_VALUE"""),6.0)</f>
        <v>6</v>
      </c>
      <c r="AP1511" s="2" t="str">
        <f>IFERROR(__xludf.DUMMYFUNCTION("""COMPUTED_VALUE"""),"FREE PMS")</f>
        <v>FREE PMS</v>
      </c>
      <c r="AQ1511" s="2"/>
      <c r="AR1511" s="2"/>
      <c r="AS1511" s="2"/>
      <c r="AT1511" s="2"/>
      <c r="AU1511" s="2"/>
      <c r="AV1511" s="2"/>
      <c r="AW1511" s="2"/>
      <c r="AX1511" s="2"/>
      <c r="AY1511" s="2"/>
      <c r="AZ1511" s="2"/>
      <c r="BA1511" s="2"/>
      <c r="BB1511" s="2"/>
    </row>
    <row r="1512">
      <c r="A1512" s="2">
        <f>IFERROR(__xludf.DUMMYFUNCTION("""COMPUTED_VALUE"""),1508.0)</f>
        <v>1508</v>
      </c>
      <c r="B1512" s="2" t="str">
        <f>IFERROR(__xludf.DUMMYFUNCTION("""COMPUTED_VALUE"""),"COMPLETED")</f>
        <v>COMPLETED</v>
      </c>
      <c r="C1512" s="74">
        <f>IFERROR(__xludf.DUMMYFUNCTION("""COMPUTED_VALUE"""),46090.0)</f>
        <v>46090</v>
      </c>
      <c r="D1512" s="71" t="str">
        <f>IFERROR(__xludf.DUMMYFUNCTION("""COMPUTED_VALUE"""),"SAN NICOLAS ESTANCIA FARMER'S ASSOCIATION (SNEFA)")</f>
        <v>SAN NICOLAS ESTANCIA FARMER'S ASSOCIATION (SNEFA)</v>
      </c>
      <c r="E1512" s="71" t="str">
        <f>IFERROR(__xludf.DUMMYFUNCTION("""COMPUTED_VALUE"""),"Estancia, Malinao, ALBAY")</f>
        <v>Estancia, Malinao, ALBAY</v>
      </c>
      <c r="F1512" s="2" t="str">
        <f>IFERROR(__xludf.DUMMYFUNCTION("""COMPUTED_VALUE"""),"ROQUE H. PEÑA")</f>
        <v>ROQUE H. PEÑA</v>
      </c>
      <c r="G1512" s="2">
        <f>IFERROR(__xludf.DUMMYFUNCTION("""COMPUTED_VALUE"""),9.7017373543E10)</f>
        <v>97017373543</v>
      </c>
      <c r="H1512" s="2">
        <f>IFERROR(__xludf.DUMMYFUNCTION("""COMPUTED_VALUE"""),30.0)</f>
        <v>30</v>
      </c>
      <c r="I1512" s="72" t="str">
        <f>IFERROR(__xludf.DUMMYFUNCTION("""COMPUTED_VALUE"""),"PMS")</f>
        <v>PMS</v>
      </c>
      <c r="J1512" s="72"/>
      <c r="K1512" s="72" t="str">
        <f>IFERROR(__xludf.DUMMYFUNCTION("""COMPUTED_VALUE"""),"FPJ: 1ST PMS FREE")</f>
        <v>FPJ: 1ST PMS FREE</v>
      </c>
      <c r="L1512" s="72" t="str">
        <f>IFERROR(__xludf.DUMMYFUNCTION("""COMPUTED_VALUE"""),"FPJ: 1ST PMS DONE")</f>
        <v>FPJ: 1ST PMS DONE</v>
      </c>
      <c r="M1512" s="2"/>
      <c r="N1512" s="2" t="str">
        <f>IFERROR(__xludf.DUMMYFUNCTION("""COMPUTED_VALUE"""),"PARTS:
OIL FILTER
ENGINE OIL")</f>
        <v>PARTS:
OIL FILTER
ENGINE OIL</v>
      </c>
      <c r="O1512" s="2">
        <f>IFERROR(__xludf.DUMMYFUNCTION("""COMPUTED_VALUE"""),589.0)</f>
        <v>589</v>
      </c>
      <c r="P1512" s="2"/>
      <c r="Q1512" s="2" t="str">
        <f>IFERROR(__xludf.DUMMYFUNCTION("""COMPUTED_VALUE"""),"FOR PRINT")</f>
        <v>FOR PRINT</v>
      </c>
      <c r="R1512" s="74">
        <f>IFERROR(__xludf.DUMMYFUNCTION("""COMPUTED_VALUE"""),46090.0)</f>
        <v>46090</v>
      </c>
      <c r="S1512" s="2" t="str">
        <f>IFERROR(__xludf.DUMMYFUNCTION("""COMPUTED_VALUE"""),"FPJ")</f>
        <v>FPJ</v>
      </c>
      <c r="T1512" s="73" t="str">
        <f>IFERROR(__xludf.DUMMYFUNCTION("""COMPUTED_VALUE""")," N/A ")</f>
        <v>N/A</v>
      </c>
      <c r="U1512" s="73" t="str">
        <f>IFERROR(__xludf.DUMMYFUNCTION("""COMPUTED_VALUE""")," NO CHARGE ")</f>
        <v>NO CHARGE</v>
      </c>
      <c r="V1512" s="2" t="str">
        <f>IFERROR(__xludf.DUMMYFUNCTION("""COMPUTED_VALUE"""),"NO DR")</f>
        <v>NO DR</v>
      </c>
      <c r="W1512" s="2" t="str">
        <f>IFERROR(__xludf.DUMMYFUNCTION("""COMPUTED_VALUE"""),"N/A")</f>
        <v>N/A</v>
      </c>
      <c r="X1512" s="2" t="str">
        <f>IFERROR(__xludf.DUMMYFUNCTION("""COMPUTED_VALUE"""),"N/A")</f>
        <v>N/A</v>
      </c>
      <c r="Y1512" s="2"/>
      <c r="Z1512" s="2"/>
      <c r="AA1512" s="2"/>
      <c r="AB1512" s="2"/>
      <c r="AC1512" s="2"/>
      <c r="AD1512" s="2"/>
      <c r="AE1512" s="2"/>
      <c r="AF1512" s="2"/>
      <c r="AG1512" s="2"/>
      <c r="AH1512" s="2"/>
      <c r="AI1512" s="2"/>
      <c r="AJ1512" s="2" t="str">
        <f>IFERROR(__xludf.DUMMYFUNCTION("""COMPUTED_VALUE"""),"Estancia")</f>
        <v>Estancia</v>
      </c>
      <c r="AK1512" s="2" t="str">
        <f>IFERROR(__xludf.DUMMYFUNCTION("""COMPUTED_VALUE"""),"Malinao")</f>
        <v>Malinao</v>
      </c>
      <c r="AL1512" s="2" t="str">
        <f>IFERROR(__xludf.DUMMYFUNCTION("""COMPUTED_VALUE"""),"Albay")</f>
        <v>Albay</v>
      </c>
      <c r="AM1512" s="2">
        <f>IFERROR(__xludf.DUMMYFUNCTION("""COMPUTED_VALUE"""),5.0)</f>
        <v>5</v>
      </c>
      <c r="AN1512" s="2" t="str">
        <f>IFERROR(__xludf.DUMMYFUNCTION("""COMPUTED_VALUE"""),"RCEF 25-03-05")</f>
        <v>RCEF 25-03-05</v>
      </c>
      <c r="AO1512" s="2">
        <f>IFERROR(__xludf.DUMMYFUNCTION("""COMPUTED_VALUE"""),6.0)</f>
        <v>6</v>
      </c>
      <c r="AP1512" s="2" t="str">
        <f>IFERROR(__xludf.DUMMYFUNCTION("""COMPUTED_VALUE"""),"FREE PMS")</f>
        <v>FREE PMS</v>
      </c>
      <c r="AQ1512" s="2"/>
      <c r="AR1512" s="2"/>
      <c r="AS1512" s="2"/>
      <c r="AT1512" s="2"/>
      <c r="AU1512" s="2"/>
      <c r="AV1512" s="2"/>
      <c r="AW1512" s="2"/>
      <c r="AX1512" s="2"/>
      <c r="AY1512" s="2"/>
      <c r="AZ1512" s="2"/>
      <c r="BA1512" s="2"/>
      <c r="BB1512" s="2"/>
    </row>
    <row r="1513">
      <c r="A1513" s="2">
        <f>IFERROR(__xludf.DUMMYFUNCTION("""COMPUTED_VALUE"""),1509.0)</f>
        <v>1509</v>
      </c>
      <c r="B1513" s="2" t="str">
        <f>IFERROR(__xludf.DUMMYFUNCTION("""COMPUTED_VALUE"""),"PENDING")</f>
        <v>PENDING</v>
      </c>
      <c r="C1513" s="74">
        <f>IFERROR(__xludf.DUMMYFUNCTION("""COMPUTED_VALUE"""),46090.0)</f>
        <v>46090</v>
      </c>
      <c r="D1513" s="71" t="str">
        <f>IFERROR(__xludf.DUMMYFUNCTION("""COMPUTED_VALUE"""),"San Isidro Multi-Purpose Cooperative")</f>
        <v>San Isidro Multi-Purpose Cooperative</v>
      </c>
      <c r="E1513" s="71" t="str">
        <f>IFERROR(__xludf.DUMMYFUNCTION("""COMPUTED_VALUE"""),"San Isidro, Pilar, BOHOL")</f>
        <v>San Isidro, Pilar, BOHOL</v>
      </c>
      <c r="F1513" s="2" t="str">
        <f>IFERROR(__xludf.DUMMYFUNCTION("""COMPUTED_VALUE"""),"Lucila Nogalada - Manager")</f>
        <v>Lucila Nogalada - Manager</v>
      </c>
      <c r="G1513" s="2">
        <f>IFERROR(__xludf.DUMMYFUNCTION("""COMPUTED_VALUE"""),9.099316344E9)</f>
        <v>9099316344</v>
      </c>
      <c r="H1513" s="2"/>
      <c r="I1513" s="72" t="str">
        <f>IFERROR(__xludf.DUMMYFUNCTION("""COMPUTED_VALUE"""),"REPAIR - LOADER")</f>
        <v>REPAIR - LOADER</v>
      </c>
      <c r="J1513" s="72" t="str">
        <f>IFERROR(__xludf.DUMMYFUNCTION("""COMPUTED_VALUE"""),"Cable lock")</f>
        <v>Cable lock</v>
      </c>
      <c r="K1513" s="72" t="str">
        <f>IFERROR(__xludf.DUMMYFUNCTION("""COMPUTED_VALUE"""),"KFS: FRONT LOADER PROBLEM")</f>
        <v>KFS: FRONT LOADER PROBLEM</v>
      </c>
      <c r="L1513" s="72"/>
      <c r="M1513" s="2" t="str">
        <f>IFERROR(__xludf.DUMMYFUNCTION("""COMPUTED_VALUE"""),"CABLE LOCK -  ASSUMED")</f>
        <v>CABLE LOCK -  ASSUMED</v>
      </c>
      <c r="N1513" s="2"/>
      <c r="O1513" s="2"/>
      <c r="P1513" s="2"/>
      <c r="Q1513" s="2"/>
      <c r="R1513" s="2"/>
      <c r="S1513" s="2"/>
      <c r="T1513" s="2"/>
      <c r="U1513" s="2"/>
      <c r="V1513" s="2"/>
      <c r="W1513" s="2"/>
      <c r="X1513" s="2"/>
      <c r="Y1513" s="2"/>
      <c r="Z1513" s="2"/>
      <c r="AA1513" s="2"/>
      <c r="AB1513" s="2"/>
      <c r="AC1513" s="2"/>
      <c r="AD1513" s="2"/>
      <c r="AE1513" s="2"/>
      <c r="AF1513" s="2"/>
      <c r="AG1513" s="2"/>
      <c r="AH1513" s="2"/>
      <c r="AI1513" s="2"/>
      <c r="AJ1513" s="2" t="str">
        <f>IFERROR(__xludf.DUMMYFUNCTION("""COMPUTED_VALUE"""),"San Isidro")</f>
        <v>San Isidro</v>
      </c>
      <c r="AK1513" s="2" t="str">
        <f>IFERROR(__xludf.DUMMYFUNCTION("""COMPUTED_VALUE"""),"Pilar")</f>
        <v>Pilar</v>
      </c>
      <c r="AL1513" s="2" t="str">
        <f>IFERROR(__xludf.DUMMYFUNCTION("""COMPUTED_VALUE"""),"Bohol")</f>
        <v>Bohol</v>
      </c>
      <c r="AM1513" s="2">
        <f>IFERROR(__xludf.DUMMYFUNCTION("""COMPUTED_VALUE"""),7.0)</f>
        <v>7</v>
      </c>
      <c r="AN1513" s="2" t="str">
        <f>IFERROR(__xludf.DUMMYFUNCTION("""COMPUTED_VALUE"""),"RCEF 25-03-05")</f>
        <v>RCEF 25-03-05</v>
      </c>
      <c r="AO1513" s="2">
        <f>IFERROR(__xludf.DUMMYFUNCTION("""COMPUTED_VALUE"""),7.0)</f>
        <v>7</v>
      </c>
      <c r="AP1513" s="2" t="str">
        <f>IFERROR(__xludf.DUMMYFUNCTION("""COMPUTED_VALUE"""),"FREE PMS")</f>
        <v>FREE PMS</v>
      </c>
      <c r="AQ1513" s="2"/>
      <c r="AR1513" s="2"/>
      <c r="AS1513" s="2"/>
      <c r="AT1513" s="2"/>
      <c r="AU1513" s="2"/>
      <c r="AV1513" s="2"/>
      <c r="AW1513" s="2"/>
      <c r="AX1513" s="2"/>
      <c r="AY1513" s="2"/>
      <c r="AZ1513" s="2"/>
      <c r="BA1513" s="2"/>
      <c r="BB1513" s="2"/>
    </row>
    <row r="1514">
      <c r="A1514" s="2">
        <f>IFERROR(__xludf.DUMMYFUNCTION("""COMPUTED_VALUE"""),1510.0)</f>
        <v>1510</v>
      </c>
      <c r="B1514" s="2" t="str">
        <f>IFERROR(__xludf.DUMMYFUNCTION("""COMPUTED_VALUE"""),"COMPLETED")</f>
        <v>COMPLETED</v>
      </c>
      <c r="C1514" s="74">
        <f>IFERROR(__xludf.DUMMYFUNCTION("""COMPUTED_VALUE"""),46090.0)</f>
        <v>46090</v>
      </c>
      <c r="D1514" s="71" t="str">
        <f>IFERROR(__xludf.DUMMYFUNCTION("""COMPUTED_VALUE"""),"Samahan ng mga Magbibinhi ng Sablayan Agriculture Cooperative (SAMASACO)")</f>
        <v>Samahan ng mga Magbibinhi ng Sablayan Agriculture Cooperative (SAMASACO)</v>
      </c>
      <c r="E1514" s="71" t="str">
        <f>IFERROR(__xludf.DUMMYFUNCTION("""COMPUTED_VALUE"""),"San Francisco, Sablayan, OCCIDENTAL MINDORO")</f>
        <v>San Francisco, Sablayan, OCCIDENTAL MINDORO</v>
      </c>
      <c r="F1514" s="2" t="str">
        <f>IFERROR(__xludf.DUMMYFUNCTION("""COMPUTED_VALUE"""),"Cesar bicera or Celso Salgado")</f>
        <v>Cesar bicera or Celso Salgado</v>
      </c>
      <c r="G1514" s="2" t="str">
        <f>IFERROR(__xludf.DUMMYFUNCTION("""COMPUTED_VALUE"""),"0921 869 3302/ 0917 853 2047")</f>
        <v>0921 869 3302/ 0917 853 2047</v>
      </c>
      <c r="H1514" s="2">
        <f>IFERROR(__xludf.DUMMYFUNCTION("""COMPUTED_VALUE"""),111.0)</f>
        <v>111</v>
      </c>
      <c r="I1514" s="72" t="str">
        <f>IFERROR(__xludf.DUMMYFUNCTION("""COMPUTED_VALUE"""),"REPAIR - LOADER")</f>
        <v>REPAIR - LOADER</v>
      </c>
      <c r="J1514" s="72" t="str">
        <f>IFERROR(__xludf.DUMMYFUNCTION("""COMPUTED_VALUE"""),"Cable lock")</f>
        <v>Cable lock</v>
      </c>
      <c r="K1514" s="72" t="str">
        <f>IFERROR(__xludf.DUMMYFUNCTION("""COMPUTED_VALUE"""),"RCG: AYAW GUMANA NG LOADER ")</f>
        <v>RCG: AYAW GUMANA NG LOADER </v>
      </c>
      <c r="L1514" s="72" t="str">
        <f>IFERROR(__xludf.DUMMYFUNCTION("""COMPUTED_VALUE"""),"RCG:BROKEN CABLE HOLDER, NEED TO FABRICATE AND MACHINE SHOP
748: RCG: WIRING GROUNDED AND BROKEN CABLE LOCK - CHECK UP WIRING ONLY  - NAG PA FABRICATE NA SILA NG CABLE LOCK")</f>
        <v>RCG:BROKEN CABLE HOLDER, NEED TO FABRICATE AND MACHINE SHOP
748: RCG: WIRING GROUNDED AND BROKEN CABLE LOCK - CHECK UP WIRING ONLY  - NAG PA FABRICATE NA SILA NG CABLE LOCK</v>
      </c>
      <c r="M1514" s="2" t="str">
        <f>IFERROR(__xludf.DUMMYFUNCTION("""COMPUTED_VALUE"""),"CABLE LOCK")</f>
        <v>CABLE LOCK</v>
      </c>
      <c r="N1514" s="2"/>
      <c r="O1514" s="2">
        <f>IFERROR(__xludf.DUMMYFUNCTION("""COMPUTED_VALUE"""),748.0)</f>
        <v>748</v>
      </c>
      <c r="P1514" s="2" t="str">
        <f>IFERROR(__xludf.DUMMYFUNCTION("""COMPUTED_VALUE"""),"748 - Samahan ng mga Magbibinhi ng Sablayan Agriculture Cooperative (SAMASACO).pdf")</f>
        <v>748 - Samahan ng mga Magbibinhi ng Sablayan Agriculture Cooperative (SAMASACO).pdf</v>
      </c>
      <c r="Q1514" s="2" t="str">
        <f>IFERROR(__xludf.DUMMYFUNCTION("""COMPUTED_VALUE"""),"FOR PRINT")</f>
        <v>FOR PRINT</v>
      </c>
      <c r="R1514" s="74">
        <f>IFERROR(__xludf.DUMMYFUNCTION("""COMPUTED_VALUE"""),46167.0)</f>
        <v>46167</v>
      </c>
      <c r="S1514" s="2" t="str">
        <f>IFERROR(__xludf.DUMMYFUNCTION("""COMPUTED_VALUE"""),"RCG/RBS")</f>
        <v>RCG/RBS</v>
      </c>
      <c r="T1514" s="73" t="str">
        <f>IFERROR(__xludf.DUMMYFUNCTION("""COMPUTED_VALUE""")," N/A ")</f>
        <v>N/A</v>
      </c>
      <c r="U1514" s="73" t="str">
        <f>IFERROR(__xludf.DUMMYFUNCTION("""COMPUTED_VALUE""")," NO CHARGE ")</f>
        <v>NO CHARGE</v>
      </c>
      <c r="V1514" s="2" t="str">
        <f>IFERROR(__xludf.DUMMYFUNCTION("""COMPUTED_VALUE"""),"N/A")</f>
        <v>N/A</v>
      </c>
      <c r="W1514" s="2" t="str">
        <f>IFERROR(__xludf.DUMMYFUNCTION("""COMPUTED_VALUE"""),"N/A")</f>
        <v>N/A</v>
      </c>
      <c r="X1514" s="2" t="str">
        <f>IFERROR(__xludf.DUMMYFUNCTION("""COMPUTED_VALUE"""),"N/A")</f>
        <v>N/A</v>
      </c>
      <c r="Y1514" s="2"/>
      <c r="Z1514" s="2"/>
      <c r="AA1514" s="2"/>
      <c r="AB1514" s="2"/>
      <c r="AC1514" s="2"/>
      <c r="AD1514" s="2"/>
      <c r="AE1514" s="2"/>
      <c r="AF1514" s="2"/>
      <c r="AG1514" s="2"/>
      <c r="AH1514" s="2"/>
      <c r="AI1514" s="2"/>
      <c r="AJ1514" s="2" t="str">
        <f>IFERROR(__xludf.DUMMYFUNCTION("""COMPUTED_VALUE"""),"San Francisco")</f>
        <v>San Francisco</v>
      </c>
      <c r="AK1514" s="2" t="str">
        <f>IFERROR(__xludf.DUMMYFUNCTION("""COMPUTED_VALUE"""),"Sablayan")</f>
        <v>Sablayan</v>
      </c>
      <c r="AL1514" s="2" t="str">
        <f>IFERROR(__xludf.DUMMYFUNCTION("""COMPUTED_VALUE"""),"Occidental Mindoro")</f>
        <v>Occidental Mindoro</v>
      </c>
      <c r="AM1514" s="2" t="str">
        <f>IFERROR(__xludf.DUMMYFUNCTION("""COMPUTED_VALUE"""),"4B")</f>
        <v>4B</v>
      </c>
      <c r="AN1514" s="2" t="str">
        <f>IFERROR(__xludf.DUMMYFUNCTION("""COMPUTED_VALUE"""),"RCEF 25-03-05")</f>
        <v>RCEF 25-03-05</v>
      </c>
      <c r="AO1514" s="2">
        <f>IFERROR(__xludf.DUMMYFUNCTION("""COMPUTED_VALUE"""),6.0)</f>
        <v>6</v>
      </c>
      <c r="AP1514" s="2" t="str">
        <f>IFERROR(__xludf.DUMMYFUNCTION("""COMPUTED_VALUE"""),"FREE PMS")</f>
        <v>FREE PMS</v>
      </c>
      <c r="AQ1514" s="2"/>
      <c r="AR1514" s="2"/>
      <c r="AS1514" s="2"/>
      <c r="AT1514" s="2"/>
      <c r="AU1514" s="2"/>
      <c r="AV1514" s="2"/>
      <c r="AW1514" s="2"/>
      <c r="AX1514" s="2"/>
      <c r="AY1514" s="2"/>
      <c r="AZ1514" s="2"/>
      <c r="BA1514" s="2"/>
      <c r="BB1514" s="2"/>
    </row>
    <row r="1515">
      <c r="A1515" s="2">
        <f>IFERROR(__xludf.DUMMYFUNCTION("""COMPUTED_VALUE"""),1511.0)</f>
        <v>1511</v>
      </c>
      <c r="B1515" s="2" t="str">
        <f>IFERROR(__xludf.DUMMYFUNCTION("""COMPUTED_VALUE"""),"COMPLETED")</f>
        <v>COMPLETED</v>
      </c>
      <c r="C1515" s="78">
        <f>IFERROR(__xludf.DUMMYFUNCTION("""COMPUTED_VALUE"""),46091.0)</f>
        <v>46091</v>
      </c>
      <c r="D1515" s="71" t="str">
        <f>IFERROR(__xludf.DUMMYFUNCTION("""COMPUTED_VALUE"""),"KABUHAYAN UNLAD SA AGRIKULTURA(KUSA)")</f>
        <v>KABUHAYAN UNLAD SA AGRIKULTURA(KUSA)</v>
      </c>
      <c r="E1515" s="71" t="str">
        <f>IFERROR(__xludf.DUMMYFUNCTION("""COMPUTED_VALUE"""),"San Agustin, San Jose City, NUEVA ECIJA")</f>
        <v>San Agustin, San Jose City, NUEVA ECIJA</v>
      </c>
      <c r="F1515" s="2" t="str">
        <f>IFERROR(__xludf.DUMMYFUNCTION("""COMPUTED_VALUE"""),"Benigno C. Mico")</f>
        <v>Benigno C. Mico</v>
      </c>
      <c r="G1515" s="2" t="str">
        <f>IFERROR(__xludf.DUMMYFUNCTION("""COMPUTED_VALUE"""),"0926 901 5797")</f>
        <v>0926 901 5797</v>
      </c>
      <c r="H1515" s="2">
        <f>IFERROR(__xludf.DUMMYFUNCTION("""COMPUTED_VALUE"""),55.0)</f>
        <v>55</v>
      </c>
      <c r="I1515" s="72" t="str">
        <f>IFERROR(__xludf.DUMMYFUNCTION("""COMPUTED_VALUE"""),"REPAIR - LOADER")</f>
        <v>REPAIR - LOADER</v>
      </c>
      <c r="J1515" s="72" t="str">
        <f>IFERROR(__xludf.DUMMYFUNCTION("""COMPUTED_VALUE"""),"Cable lock")</f>
        <v>Cable lock</v>
      </c>
      <c r="K1515" s="72" t="str">
        <f>IFERROR(__xludf.DUMMYFUNCTION("""COMPUTED_VALUE"""),"ECG: Problem: Defective lock cable of Joystick of Front loader  (with picture) - CABLE LOCK
Need parts: Lock cable Joystick of front loader")</f>
        <v>ECG: Problem: Defective lock cable of Joystick of Front loader  (with picture) - CABLE LOCK
Need parts: Lock cable Joystick of front loader</v>
      </c>
      <c r="L1515" s="72" t="str">
        <f>IFERROR(__xludf.DUMMYFUNCTION("""COMPUTED_VALUE"""),"DSD: REPLACED CABLE LOCK")</f>
        <v>DSD: REPLACED CABLE LOCK</v>
      </c>
      <c r="M1515" s="2" t="str">
        <f>IFERROR(__xludf.DUMMYFUNCTION("""COMPUTED_VALUE"""),"CABLE LOCK")</f>
        <v>CABLE LOCK</v>
      </c>
      <c r="N1515" s="2" t="str">
        <f>IFERROR(__xludf.DUMMYFUNCTION("""COMPUTED_VALUE"""),"PARTS:
CABLE LOCK (FABRICATED)")</f>
        <v>PARTS:
CABLE LOCK (FABRICATED)</v>
      </c>
      <c r="O1515" s="2">
        <f>IFERROR(__xludf.DUMMYFUNCTION("""COMPUTED_VALUE"""),875.0)</f>
        <v>875</v>
      </c>
      <c r="P1515" s="2"/>
      <c r="Q1515" s="2" t="str">
        <f>IFERROR(__xludf.DUMMYFUNCTION("""COMPUTED_VALUE"""),"FOR PRINT")</f>
        <v>FOR PRINT</v>
      </c>
      <c r="R1515" s="74">
        <f>IFERROR(__xludf.DUMMYFUNCTION("""COMPUTED_VALUE"""),46136.0)</f>
        <v>46136</v>
      </c>
      <c r="S1515" s="2" t="str">
        <f>IFERROR(__xludf.DUMMYFUNCTION("""COMPUTED_VALUE"""),"DSD")</f>
        <v>DSD</v>
      </c>
      <c r="T1515" s="73" t="str">
        <f>IFERROR(__xludf.DUMMYFUNCTION("""COMPUTED_VALUE""")," N/A ")</f>
        <v>N/A</v>
      </c>
      <c r="U1515" s="73" t="str">
        <f>IFERROR(__xludf.DUMMYFUNCTION("""COMPUTED_VALUE""")," NO CHARGE ")</f>
        <v>NO CHARGE</v>
      </c>
      <c r="V1515" s="2" t="str">
        <f>IFERROR(__xludf.DUMMYFUNCTION("""COMPUTED_VALUE"""),"NO DR")</f>
        <v>NO DR</v>
      </c>
      <c r="W1515" s="2" t="str">
        <f>IFERROR(__xludf.DUMMYFUNCTION("""COMPUTED_VALUE"""),"N/A")</f>
        <v>N/A</v>
      </c>
      <c r="X1515" s="2" t="str">
        <f>IFERROR(__xludf.DUMMYFUNCTION("""COMPUTED_VALUE"""),"N/A")</f>
        <v>N/A</v>
      </c>
      <c r="Y1515" s="2"/>
      <c r="Z1515" s="2"/>
      <c r="AA1515" s="2"/>
      <c r="AB1515" s="2"/>
      <c r="AC1515" s="2"/>
      <c r="AD1515" s="2"/>
      <c r="AE1515" s="2"/>
      <c r="AF1515" s="2"/>
      <c r="AG1515" s="2"/>
      <c r="AH1515" s="2"/>
      <c r="AI1515" s="2"/>
      <c r="AJ1515" s="2" t="str">
        <f>IFERROR(__xludf.DUMMYFUNCTION("""COMPUTED_VALUE"""),"San Agustin")</f>
        <v>San Agustin</v>
      </c>
      <c r="AK1515" s="2" t="str">
        <f>IFERROR(__xludf.DUMMYFUNCTION("""COMPUTED_VALUE"""),"San Jose City")</f>
        <v>San Jose City</v>
      </c>
      <c r="AL1515" s="2" t="str">
        <f>IFERROR(__xludf.DUMMYFUNCTION("""COMPUTED_VALUE"""),"Nueva Ecija")</f>
        <v>Nueva Ecija</v>
      </c>
      <c r="AM1515" s="2">
        <f>IFERROR(__xludf.DUMMYFUNCTION("""COMPUTED_VALUE"""),3.0)</f>
        <v>3</v>
      </c>
      <c r="AN1515" s="2" t="str">
        <f>IFERROR(__xludf.DUMMYFUNCTION("""COMPUTED_VALUE"""),"RCEF 25-03-05")</f>
        <v>RCEF 25-03-05</v>
      </c>
      <c r="AO1515" s="2">
        <f>IFERROR(__xludf.DUMMYFUNCTION("""COMPUTED_VALUE"""),5.0)</f>
        <v>5</v>
      </c>
      <c r="AP1515" s="2" t="str">
        <f>IFERROR(__xludf.DUMMYFUNCTION("""COMPUTED_VALUE"""),"FREE PMS")</f>
        <v>FREE PMS</v>
      </c>
      <c r="AQ1515" s="2"/>
      <c r="AR1515" s="2"/>
      <c r="AS1515" s="2"/>
      <c r="AT1515" s="2"/>
      <c r="AU1515" s="2"/>
      <c r="AV1515" s="2"/>
      <c r="AW1515" s="2"/>
      <c r="AX1515" s="2"/>
      <c r="AY1515" s="2"/>
      <c r="AZ1515" s="2"/>
      <c r="BA1515" s="2"/>
      <c r="BB1515" s="2"/>
    </row>
    <row r="1516">
      <c r="A1516" s="2">
        <f>IFERROR(__xludf.DUMMYFUNCTION("""COMPUTED_VALUE"""),1512.0)</f>
        <v>1512</v>
      </c>
      <c r="B1516" s="2" t="str">
        <f>IFERROR(__xludf.DUMMYFUNCTION("""COMPUTED_VALUE"""),"COMPLETED")</f>
        <v>COMPLETED</v>
      </c>
      <c r="C1516" s="77">
        <f>IFERROR(__xludf.DUMMYFUNCTION("""COMPUTED_VALUE"""),46091.0)</f>
        <v>46091</v>
      </c>
      <c r="D1516" s="71" t="str">
        <f>IFERROR(__xludf.DUMMYFUNCTION("""COMPUTED_VALUE"""),"BANGYAS-SANTOL IRRIGATORS' ASSOCIATION, INC.")</f>
        <v>BANGYAS-SANTOL IRRIGATORS' ASSOCIATION, INC.</v>
      </c>
      <c r="E1516" s="71" t="str">
        <f>IFERROR(__xludf.DUMMYFUNCTION("""COMPUTED_VALUE"""),"Bangyas, Calauan, LAGUNA")</f>
        <v>Bangyas, Calauan, LAGUNA</v>
      </c>
      <c r="F1516" s="2" t="str">
        <f>IFERROR(__xludf.DUMMYFUNCTION("""COMPUTED_VALUE"""),"EDWARDO VALENDIA")</f>
        <v>EDWARDO VALENDIA</v>
      </c>
      <c r="G1516" s="2" t="str">
        <f>IFERROR(__xludf.DUMMYFUNCTION("""COMPUTED_VALUE"""),"09068971037 / 09811195972")</f>
        <v>09068971037 / 09811195972</v>
      </c>
      <c r="H1516" s="2"/>
      <c r="I1516" s="72" t="str">
        <f>IFERROR(__xludf.DUMMYFUNCTION("""COMPUTED_VALUE"""),"SPARE PARTS ACQUISITION")</f>
        <v>SPARE PARTS ACQUISITION</v>
      </c>
      <c r="J1516" s="72"/>
      <c r="K1516" s="72" t="str">
        <f>IFERROR(__xludf.DUMMYFUNCTION("""COMPUTED_VALUE"""),"PARTS REQUEST")</f>
        <v>PARTS REQUEST</v>
      </c>
      <c r="L1516" s="72" t="str">
        <f>IFERROR(__xludf.DUMMYFUNCTION("""COMPUTED_VALUE"""),"DELIVERED")</f>
        <v>DELIVERED</v>
      </c>
      <c r="M1516" s="2"/>
      <c r="N1516" s="2" t="str">
        <f>IFERROR(__xludf.DUMMYFUNCTION("""COMPUTED_VALUE"""),"PARTS
FUEL PUMP 
FUEL FILTER
PARTIAL - 3,000")</f>
        <v>PARTS
FUEL PUMP 
FUEL FILTER
PARTIAL - 3,000</v>
      </c>
      <c r="O1516" s="2"/>
      <c r="P1516" s="2"/>
      <c r="Q1516" s="2"/>
      <c r="R1516" s="74">
        <f>IFERROR(__xludf.DUMMYFUNCTION("""COMPUTED_VALUE"""),46091.0)</f>
        <v>46091</v>
      </c>
      <c r="S1516" s="2" t="str">
        <f>IFERROR(__xludf.DUMMYFUNCTION("""COMPUTED_VALUE"""),"JTT/MYKEE")</f>
        <v>JTT/MYKEE</v>
      </c>
      <c r="T1516" s="73">
        <f>IFERROR(__xludf.DUMMYFUNCTION("""COMPUTED_VALUE"""),13640.0)</f>
        <v>13640</v>
      </c>
      <c r="U1516" s="73" t="str">
        <f>IFERROR(__xludf.DUMMYFUNCTION("""COMPUTED_VALUE""")," FOR REMIT ")</f>
        <v>FOR REMIT</v>
      </c>
      <c r="V1516" s="2">
        <f>IFERROR(__xludf.DUMMYFUNCTION("""COMPUTED_VALUE"""),1203.0)</f>
        <v>1203</v>
      </c>
      <c r="W1516" s="2"/>
      <c r="X1516" s="2"/>
      <c r="Y1516" s="2"/>
      <c r="Z1516" s="2"/>
      <c r="AA1516" s="2"/>
      <c r="AB1516" s="2"/>
      <c r="AC1516" s="2"/>
      <c r="AD1516" s="2"/>
      <c r="AE1516" s="2"/>
      <c r="AF1516" s="2"/>
      <c r="AG1516" s="2"/>
      <c r="AH1516" s="2"/>
      <c r="AI1516" s="2"/>
      <c r="AJ1516" s="2" t="str">
        <f>IFERROR(__xludf.DUMMYFUNCTION("""COMPUTED_VALUE"""),"Bangyas")</f>
        <v>Bangyas</v>
      </c>
      <c r="AK1516" s="2" t="str">
        <f>IFERROR(__xludf.DUMMYFUNCTION("""COMPUTED_VALUE"""),"Calauan")</f>
        <v>Calauan</v>
      </c>
      <c r="AL1516" s="2" t="str">
        <f>IFERROR(__xludf.DUMMYFUNCTION("""COMPUTED_VALUE"""),"Laguna")</f>
        <v>Laguna</v>
      </c>
      <c r="AM1516" s="2" t="str">
        <f>IFERROR(__xludf.DUMMYFUNCTION("""COMPUTED_VALUE"""),"4A")</f>
        <v>4A</v>
      </c>
      <c r="AN1516" s="2" t="str">
        <f>IFERROR(__xludf.DUMMYFUNCTION("""COMPUTED_VALUE"""),"RCEF 24-04-15")</f>
        <v>RCEF 24-04-15</v>
      </c>
      <c r="AO1516" s="2">
        <f>IFERROR(__xludf.DUMMYFUNCTION("""COMPUTED_VALUE"""),7.0)</f>
        <v>7</v>
      </c>
      <c r="AP1516" s="2" t="str">
        <f>IFERROR(__xludf.DUMMYFUNCTION("""COMPUTED_VALUE"""),"FREE PMS")</f>
        <v>FREE PMS</v>
      </c>
      <c r="AQ1516" s="2"/>
      <c r="AR1516" s="2"/>
      <c r="AS1516" s="2"/>
      <c r="AT1516" s="2"/>
      <c r="AU1516" s="2"/>
      <c r="AV1516" s="2"/>
      <c r="AW1516" s="2"/>
      <c r="AX1516" s="2"/>
      <c r="AY1516" s="2"/>
      <c r="AZ1516" s="2"/>
      <c r="BA1516" s="2"/>
      <c r="BB1516" s="2"/>
    </row>
    <row r="1517">
      <c r="A1517" s="2">
        <f>IFERROR(__xludf.DUMMYFUNCTION("""COMPUTED_VALUE"""),1513.0)</f>
        <v>1513</v>
      </c>
      <c r="B1517" s="2" t="str">
        <f>IFERROR(__xludf.DUMMYFUNCTION("""COMPUTED_VALUE"""),"PENDING")</f>
        <v>PENDING</v>
      </c>
      <c r="C1517" s="74">
        <f>IFERROR(__xludf.DUMMYFUNCTION("""COMPUTED_VALUE"""),46091.0)</f>
        <v>46091</v>
      </c>
      <c r="D1517" s="71" t="str">
        <f>IFERROR(__xludf.DUMMYFUNCTION("""COMPUTED_VALUE"""),"BIA-AN FARMERS ASSOCIATION")</f>
        <v>BIA-AN FARMERS ASSOCIATION</v>
      </c>
      <c r="E1517" s="71" t="str">
        <f>IFERROR(__xludf.DUMMYFUNCTION("""COMPUTED_VALUE"""),"Bia-an, Hamtic, ANTIQUE")</f>
        <v>Bia-an, Hamtic, ANTIQUE</v>
      </c>
      <c r="F1517" s="2" t="str">
        <f>IFERROR(__xludf.DUMMYFUNCTION("""COMPUTED_VALUE"""),"Ryan Sumaculob")</f>
        <v>Ryan Sumaculob</v>
      </c>
      <c r="G1517" s="2">
        <f>IFERROR(__xludf.DUMMYFUNCTION("""COMPUTED_VALUE"""),9.155863799E9)</f>
        <v>9155863799</v>
      </c>
      <c r="H1517" s="2"/>
      <c r="I1517" s="72" t="str">
        <f>IFERROR(__xludf.DUMMYFUNCTION("""COMPUTED_VALUE"""),"SPARE PARTS ACQUISITION")</f>
        <v>SPARE PARTS ACQUISITION</v>
      </c>
      <c r="J1517" s="72"/>
      <c r="K1517" s="72" t="str">
        <f>IFERROR(__xludf.DUMMYFUNCTION("""COMPUTED_VALUE"""),"MYK: Request for quotation of rotavator parts")</f>
        <v>MYK: Request for quotation of rotavator parts</v>
      </c>
      <c r="L1517" s="72" t="str">
        <f>IFERROR(__xludf.DUMMYFUNCTION("""COMPUTED_VALUE"""),"QUOTATION SENT WITH SERVICE CHARGE")</f>
        <v>QUOTATION SENT WITH SERVICE CHARGE</v>
      </c>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c r="AJ1517" s="2" t="str">
        <f>IFERROR(__xludf.DUMMYFUNCTION("""COMPUTED_VALUE"""),"Bia-An")</f>
        <v>Bia-An</v>
      </c>
      <c r="AK1517" s="2" t="str">
        <f>IFERROR(__xludf.DUMMYFUNCTION("""COMPUTED_VALUE"""),"Hamtic")</f>
        <v>Hamtic</v>
      </c>
      <c r="AL1517" s="2" t="str">
        <f>IFERROR(__xludf.DUMMYFUNCTION("""COMPUTED_VALUE"""),"Antique")</f>
        <v>Antique</v>
      </c>
      <c r="AM1517" s="2">
        <f>IFERROR(__xludf.DUMMYFUNCTION("""COMPUTED_VALUE"""),6.0)</f>
        <v>6</v>
      </c>
      <c r="AN1517" s="2" t="str">
        <f>IFERROR(__xludf.DUMMYFUNCTION("""COMPUTED_VALUE"""),"RCEF 23-09-21 Rebidding")</f>
        <v>RCEF 23-09-21 Rebidding</v>
      </c>
      <c r="AO1517" s="2">
        <f>IFERROR(__xludf.DUMMYFUNCTION("""COMPUTED_VALUE"""),4.0)</f>
        <v>4</v>
      </c>
      <c r="AP1517" s="2"/>
      <c r="AQ1517" s="2"/>
      <c r="AR1517" s="2"/>
      <c r="AS1517" s="2"/>
      <c r="AT1517" s="2"/>
      <c r="AU1517" s="2"/>
      <c r="AV1517" s="2"/>
      <c r="AW1517" s="2"/>
      <c r="AX1517" s="2"/>
      <c r="AY1517" s="2"/>
      <c r="AZ1517" s="2"/>
      <c r="BA1517" s="2"/>
      <c r="BB1517" s="2"/>
    </row>
    <row r="1518">
      <c r="A1518" s="2">
        <f>IFERROR(__xludf.DUMMYFUNCTION("""COMPUTED_VALUE"""),1514.0)</f>
        <v>1514</v>
      </c>
      <c r="B1518" s="2" t="str">
        <f>IFERROR(__xludf.DUMMYFUNCTION("""COMPUTED_VALUE"""),"PENDING")</f>
        <v>PENDING</v>
      </c>
      <c r="C1518" s="74">
        <f>IFERROR(__xludf.DUMMYFUNCTION("""COMPUTED_VALUE"""),46091.0)</f>
        <v>46091</v>
      </c>
      <c r="D1518" s="71" t="str">
        <f>IFERROR(__xludf.DUMMYFUNCTION("""COMPUTED_VALUE"""),"AGOS NG PAG-ASA KATAKIAN IRRIGATORS' ASSOCIATION INCORPORATED")</f>
        <v>AGOS NG PAG-ASA KATAKIAN IRRIGATORS' ASSOCIATION INCORPORATED</v>
      </c>
      <c r="E1518" s="71" t="str">
        <f>IFERROR(__xludf.DUMMYFUNCTION("""COMPUTED_VALUE"""),"Landing, Tagkawayan, Quezon")</f>
        <v>Landing, Tagkawayan, Quezon</v>
      </c>
      <c r="F1518" s="2" t="str">
        <f>IFERROR(__xludf.DUMMYFUNCTION("""COMPUTED_VALUE"""),"Leonora T. Mangubat")</f>
        <v>Leonora T. Mangubat</v>
      </c>
      <c r="G1518" s="2" t="str">
        <f>IFERROR(__xludf.DUMMYFUNCTION("""COMPUTED_VALUE"""),"0998 333 6165")</f>
        <v>0998 333 6165</v>
      </c>
      <c r="H1518" s="2"/>
      <c r="I1518" s="72" t="str">
        <f>IFERROR(__xludf.DUMMYFUNCTION("""COMPUTED_VALUE"""),"REPAIR - TRACTOR")</f>
        <v>REPAIR - TRACTOR</v>
      </c>
      <c r="J1518" s="72" t="str">
        <f>IFERROR(__xludf.DUMMYFUNCTION("""COMPUTED_VALUE"""),"Front/Rear Axle - Leaking")</f>
        <v>Front/Rear Axle - Leaking</v>
      </c>
      <c r="K1518" s="72" t="str">
        <f>IFERROR(__xludf.DUMMYFUNCTION("""COMPUTED_VALUE"""),"JTT: Oil seal front wheel and rear")</f>
        <v>JTT: Oil seal front wheel and rear</v>
      </c>
      <c r="L1518" s="72" t="str">
        <f>IFERROR(__xludf.DUMMYFUNCTION("""COMPUTED_VALUE"""),"TO CALL- TO CONFIRM PARTS NEEDED
TO CALL BY RBS")</f>
        <v>TO CALL- TO CONFIRM PARTS NEEDED
TO CALL BY RBS</v>
      </c>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t="str">
        <f>IFERROR(__xludf.DUMMYFUNCTION("""COMPUTED_VALUE"""),"Landing")</f>
        <v>Landing</v>
      </c>
      <c r="AK1518" s="2" t="str">
        <f>IFERROR(__xludf.DUMMYFUNCTION("""COMPUTED_VALUE"""),"Tagkawayan")</f>
        <v>Tagkawayan</v>
      </c>
      <c r="AL1518" s="2" t="str">
        <f>IFERROR(__xludf.DUMMYFUNCTION("""COMPUTED_VALUE"""),"Quezon")</f>
        <v>Quezon</v>
      </c>
      <c r="AM1518" s="2" t="str">
        <f>IFERROR(__xludf.DUMMYFUNCTION("""COMPUTED_VALUE"""),"4A")</f>
        <v>4A</v>
      </c>
      <c r="AN1518" s="2" t="str">
        <f>IFERROR(__xludf.DUMMYFUNCTION("""COMPUTED_VALUE"""),"RCEF 23-08-20 Rebidding")</f>
        <v>RCEF 23-08-20 Rebidding</v>
      </c>
      <c r="AO1518" s="2">
        <f>IFERROR(__xludf.DUMMYFUNCTION("""COMPUTED_VALUE"""),1.0)</f>
        <v>1</v>
      </c>
      <c r="AP1518" s="2"/>
      <c r="AQ1518" s="2"/>
      <c r="AR1518" s="2"/>
      <c r="AS1518" s="2"/>
      <c r="AT1518" s="2"/>
      <c r="AU1518" s="2"/>
      <c r="AV1518" s="2"/>
      <c r="AW1518" s="2"/>
      <c r="AX1518" s="2"/>
      <c r="AY1518" s="2"/>
      <c r="AZ1518" s="2"/>
      <c r="BA1518" s="2"/>
      <c r="BB1518" s="2"/>
    </row>
    <row r="1519">
      <c r="A1519" s="2">
        <f>IFERROR(__xludf.DUMMYFUNCTION("""COMPUTED_VALUE"""),1515.0)</f>
        <v>1515</v>
      </c>
      <c r="B1519" s="2" t="str">
        <f>IFERROR(__xludf.DUMMYFUNCTION("""COMPUTED_VALUE"""),"PENDING")</f>
        <v>PENDING</v>
      </c>
      <c r="C1519" s="78">
        <f>IFERROR(__xludf.DUMMYFUNCTION("""COMPUTED_VALUE"""),46092.0)</f>
        <v>46092</v>
      </c>
      <c r="D1519" s="71" t="str">
        <f>IFERROR(__xludf.DUMMYFUNCTION("""COMPUTED_VALUE"""),"STO. TOMAS FARMERS' AND FISHERFOLKS ASSOCIATION")</f>
        <v>STO. TOMAS FARMERS' AND FISHERFOLKS ASSOCIATION</v>
      </c>
      <c r="E1519" s="71" t="str">
        <f>IFERROR(__xludf.DUMMYFUNCTION("""COMPUTED_VALUE"""),"Santo Tomas, Abulug, CAGAYAN")</f>
        <v>Santo Tomas, Abulug, CAGAYAN</v>
      </c>
      <c r="F1519" s="2" t="str">
        <f>IFERROR(__xludf.DUMMYFUNCTION("""COMPUTED_VALUE"""),"Norlino Rivera")</f>
        <v>Norlino Rivera</v>
      </c>
      <c r="G1519" s="2">
        <f>IFERROR(__xludf.DUMMYFUNCTION("""COMPUTED_VALUE"""),9.455369385E9)</f>
        <v>9455369385</v>
      </c>
      <c r="H1519" s="2"/>
      <c r="I1519" s="72" t="str">
        <f>IFERROR(__xludf.DUMMYFUNCTION("""COMPUTED_VALUE"""),"REPAIR - LOADER")</f>
        <v>REPAIR - LOADER</v>
      </c>
      <c r="J1519" s="72" t="str">
        <f>IFERROR(__xludf.DUMMYFUNCTION("""COMPUTED_VALUE"""),"Cable lock")</f>
        <v>Cable lock</v>
      </c>
      <c r="K1519" s="72" t="str">
        <f>IFERROR(__xludf.DUMMYFUNCTION("""COMPUTED_VALUE"""),"MYK: PAG NILIPAT NG GEAR HUMIHINA ANG TRACTOR
PARTS REQUEST:
2- LOCK OF LOADER")</f>
        <v>MYK: PAG NILIPAT NG GEAR HUMIHINA ANG TRACTOR
PARTS REQUEST:
2- LOCK OF LOADER</v>
      </c>
      <c r="L1519" s="72" t="str">
        <f>IFERROR(__xludf.DUMMYFUNCTION("""COMPUTED_VALUE"""),"MYK: PUMAYAG SI FARMER NA MAG PA MACHINE SHOP NALANG NG LOCK NG LOADER, PERO IPENDING PADIN DAHIL PAG NAG KARON TAYO NG STOCK OORDER PADIN SILA")</f>
        <v>MYK: PUMAYAG SI FARMER NA MAG PA MACHINE SHOP NALANG NG LOCK NG LOADER, PERO IPENDING PADIN DAHIL PAG NAG KARON TAYO NG STOCK OORDER PADIN SILA</v>
      </c>
      <c r="M1519" s="2" t="str">
        <f>IFERROR(__xludf.DUMMYFUNCTION("""COMPUTED_VALUE"""),"2- LOCK OF LOADER")</f>
        <v>2- LOCK OF LOADER</v>
      </c>
      <c r="N1519" s="2"/>
      <c r="O1519" s="2"/>
      <c r="P1519" s="2"/>
      <c r="Q1519" s="2"/>
      <c r="R1519" s="2"/>
      <c r="S1519" s="2"/>
      <c r="T1519" s="2"/>
      <c r="U1519" s="2"/>
      <c r="V1519" s="2"/>
      <c r="W1519" s="2"/>
      <c r="X1519" s="2"/>
      <c r="Y1519" s="2"/>
      <c r="Z1519" s="2"/>
      <c r="AA1519" s="2"/>
      <c r="AB1519" s="2"/>
      <c r="AC1519" s="2"/>
      <c r="AD1519" s="2"/>
      <c r="AE1519" s="2"/>
      <c r="AF1519" s="2"/>
      <c r="AG1519" s="2"/>
      <c r="AH1519" s="2"/>
      <c r="AI1519" s="2"/>
      <c r="AJ1519" s="2" t="str">
        <f>IFERROR(__xludf.DUMMYFUNCTION("""COMPUTED_VALUE"""),"Santo Tomas")</f>
        <v>Santo Tomas</v>
      </c>
      <c r="AK1519" s="2" t="str">
        <f>IFERROR(__xludf.DUMMYFUNCTION("""COMPUTED_VALUE"""),"Abulug")</f>
        <v>Abulug</v>
      </c>
      <c r="AL1519" s="2" t="str">
        <f>IFERROR(__xludf.DUMMYFUNCTION("""COMPUTED_VALUE"""),"Cagayan")</f>
        <v>Cagayan</v>
      </c>
      <c r="AM1519" s="2">
        <f>IFERROR(__xludf.DUMMYFUNCTION("""COMPUTED_VALUE"""),2.0)</f>
        <v>2</v>
      </c>
      <c r="AN1519" s="2" t="str">
        <f>IFERROR(__xludf.DUMMYFUNCTION("""COMPUTED_VALUE"""),"RCEF 23-09-21 Rebidding")</f>
        <v>RCEF 23-09-21 Rebidding</v>
      </c>
      <c r="AO1519" s="2">
        <f>IFERROR(__xludf.DUMMYFUNCTION("""COMPUTED_VALUE"""),9.0)</f>
        <v>9</v>
      </c>
      <c r="AP1519" s="2"/>
      <c r="AQ1519" s="2"/>
      <c r="AR1519" s="2"/>
      <c r="AS1519" s="2"/>
      <c r="AT1519" s="2"/>
      <c r="AU1519" s="2"/>
      <c r="AV1519" s="2"/>
      <c r="AW1519" s="2"/>
      <c r="AX1519" s="2"/>
      <c r="AY1519" s="2"/>
      <c r="AZ1519" s="2"/>
      <c r="BA1519" s="2"/>
      <c r="BB1519" s="2"/>
    </row>
    <row r="1520">
      <c r="A1520" s="2">
        <f>IFERROR(__xludf.DUMMYFUNCTION("""COMPUTED_VALUE"""),1516.0)</f>
        <v>1516</v>
      </c>
      <c r="B1520" s="2" t="str">
        <f>IFERROR(__xludf.DUMMYFUNCTION("""COMPUTED_VALUE"""),"COMPLETED")</f>
        <v>COMPLETED</v>
      </c>
      <c r="C1520" s="78">
        <f>IFERROR(__xludf.DUMMYFUNCTION("""COMPUTED_VALUE"""),46092.0)</f>
        <v>46092</v>
      </c>
      <c r="D1520" s="71" t="str">
        <f>IFERROR(__xludf.DUMMYFUNCTION("""COMPUTED_VALUE"""),"CFC-SOLANA FARMERS AGRICULTURE COOPERATIVE")</f>
        <v>CFC-SOLANA FARMERS AGRICULTURE COOPERATIVE</v>
      </c>
      <c r="E1520" s="71" t="str">
        <f>IFERROR(__xludf.DUMMYFUNCTION("""COMPUTED_VALUE"""),"Centro Northeast (Pob.), Solana, CAGAYAN")</f>
        <v>Centro Northeast (Pob.), Solana, CAGAYAN</v>
      </c>
      <c r="F1520" s="2" t="str">
        <f>IFERROR(__xludf.DUMMYFUNCTION("""COMPUTED_VALUE"""),"Antonio Cabungcal")</f>
        <v>Antonio Cabungcal</v>
      </c>
      <c r="G1520" s="2">
        <f>IFERROR(__xludf.DUMMYFUNCTION("""COMPUTED_VALUE"""),9.554097789E9)</f>
        <v>9554097789</v>
      </c>
      <c r="H1520" s="2"/>
      <c r="I1520" s="72" t="str">
        <f>IFERROR(__xludf.DUMMYFUNCTION("""COMPUTED_VALUE"""),"PMS")</f>
        <v>PMS</v>
      </c>
      <c r="J1520" s="72" t="str">
        <f>IFERROR(__xludf.DUMMYFUNCTION("""COMPUTED_VALUE"""),"PMS")</f>
        <v>PMS</v>
      </c>
      <c r="K1520" s="72" t="str">
        <f>IFERROR(__xludf.DUMMYFUNCTION("""COMPUTED_VALUE"""),"MYK: 1st PMS free")</f>
        <v>MYK: 1st PMS free</v>
      </c>
      <c r="L1520" s="72" t="str">
        <f>IFERROR(__xludf.DUMMYFUNCTION("""COMPUTED_VALUE"""),"CFG: 3/18/26: Pinuntahan ko na po ito kaya lng na pms na po nila. Sabi po nila tatawag nlng dw po sila skin kung ipapa service na po nila unit nila.
JDP: 4/6/26: DISC PLOW PROBLEM 
PARTS NEEDED:
BEARING 30208
DISCPLOW BOLT
5/9/26 - 763 : CFG: Pinuntahan"&amp;" na po namin ito kanina. Nacheck na po namin ang dicsplow at TYM tractor po nila. May sira po ang tractor nila na clutch lining assy po ng unit nila. Ayaw po mag forward reverse. Kaya hnd na po nila pinaayos ung dicsplow po kasi sira po ung Tractor po nil"&amp;"a. Ipapaayos nlng dw po nila pag meron na po ung clutch lining assy po natin. PARTS: CLUTCH DISC ASSY
CFG: REPLACEMENT OF CLUTCH DISC ASSY AND 1ST PMS DONE")</f>
        <v>CFG: 3/18/26: Pinuntahan ko na po ito kaya lng na pms na po nila. Sabi po nila tatawag nlng dw po sila skin kung ipapa service na po nila unit nila.
JDP: 4/6/26: DISC PLOW PROBLEM 
PARTS NEEDED:
BEARING 30208
DISCPLOW BOLT
5/9/26 - 763 : CFG: Pinuntahan na po namin ito kanina. Nacheck na po namin ang dicsplow at TYM tractor po nila. May sira po ang tractor nila na clutch lining assy po ng unit nila. Ayaw po mag forward reverse. Kaya hnd na po nila pinaayos ung dicsplow po kasi sira po ung Tractor po nila. Ipapaayos nlng dw po nila pag meron na po ung clutch lining assy po natin. PARTS: CLUTCH DISC ASSY
CFG: REPLACEMENT OF CLUTCH DISC ASSY AND 1ST PMS DONE</v>
      </c>
      <c r="M1520" s="2" t="str">
        <f>IFERROR(__xludf.DUMMYFUNCTION("""COMPUTED_VALUE"""),"BEARING 30208
2 - DISCPLOW BOLT Bolt - M14*70*1.5P
OIL SEAL 45-85-12
CLUTCH DISC ASSY")</f>
        <v>BEARING 30208
2 - DISCPLOW BOLT Bolt - M14*70*1.5P
OIL SEAL 45-85-12
CLUTCH DISC ASSY</v>
      </c>
      <c r="N1520" s="2" t="str">
        <f>IFERROR(__xludf.DUMMYFUNCTION("""COMPUTED_VALUE"""),"PARTS:
CLUTCH DISC ASSY
OIL SEAL 45-85-12
OIL FILTER
ENGINE OIL
SERVICE CHARGE: 6,000")</f>
        <v>PARTS:
CLUTCH DISC ASSY
OIL SEAL 45-85-12
OIL FILTER
ENGINE OIL
SERVICE CHARGE: 6,000</v>
      </c>
      <c r="O1520" s="2">
        <f>IFERROR(__xludf.DUMMYFUNCTION("""COMPUTED_VALUE"""),775.0)</f>
        <v>775</v>
      </c>
      <c r="P1520" s="2" t="str">
        <f>IFERROR(__xludf.DUMMYFUNCTION("""COMPUTED_VALUE"""),"775 - CFC-SOLANA FARMERS AGRICULTURE COOPERATIVE.pdf")</f>
        <v>775 - CFC-SOLANA FARMERS AGRICULTURE COOPERATIVE.pdf</v>
      </c>
      <c r="Q1520" s="2" t="str">
        <f>IFERROR(__xludf.DUMMYFUNCTION("""COMPUTED_VALUE"""),"FOR PRINT")</f>
        <v>FOR PRINT</v>
      </c>
      <c r="R1520" s="74">
        <f>IFERROR(__xludf.DUMMYFUNCTION("""COMPUTED_VALUE"""),46174.0)</f>
        <v>46174</v>
      </c>
      <c r="S1520" s="2" t="str">
        <f>IFERROR(__xludf.DUMMYFUNCTION("""COMPUTED_VALUE"""),"CFG/EGT")</f>
        <v>CFG/EGT</v>
      </c>
      <c r="T1520" s="73">
        <f>IFERROR(__xludf.DUMMYFUNCTION("""COMPUTED_VALUE"""),27720.0)</f>
        <v>27720</v>
      </c>
      <c r="U1520" s="73" t="str">
        <f>IFERROR(__xludf.DUMMYFUNCTION("""COMPUTED_VALUE""")," FOR REMIT ")</f>
        <v>FOR REMIT</v>
      </c>
      <c r="V1520" s="2">
        <f>IFERROR(__xludf.DUMMYFUNCTION("""COMPUTED_VALUE"""),1668.0)</f>
        <v>1668</v>
      </c>
      <c r="W1520" s="2">
        <f>IFERROR(__xludf.DUMMYFUNCTION("""COMPUTED_VALUE"""),1795.0)</f>
        <v>1795</v>
      </c>
      <c r="X1520" s="2"/>
      <c r="Y1520" s="2"/>
      <c r="Z1520" s="2"/>
      <c r="AA1520" s="2"/>
      <c r="AB1520" s="2"/>
      <c r="AC1520" s="2"/>
      <c r="AD1520" s="2"/>
      <c r="AE1520" s="2"/>
      <c r="AF1520" s="2"/>
      <c r="AG1520" s="2"/>
      <c r="AH1520" s="2"/>
      <c r="AI1520" s="2"/>
      <c r="AJ1520" s="2" t="str">
        <f>IFERROR(__xludf.DUMMYFUNCTION("""COMPUTED_VALUE"""),"Centro Northeast (Pob.)")</f>
        <v>Centro Northeast (Pob.)</v>
      </c>
      <c r="AK1520" s="2" t="str">
        <f>IFERROR(__xludf.DUMMYFUNCTION("""COMPUTED_VALUE"""),"Solana")</f>
        <v>Solana</v>
      </c>
      <c r="AL1520" s="2" t="str">
        <f>IFERROR(__xludf.DUMMYFUNCTION("""COMPUTED_VALUE"""),"Cagayan")</f>
        <v>Cagayan</v>
      </c>
      <c r="AM1520" s="2">
        <f>IFERROR(__xludf.DUMMYFUNCTION("""COMPUTED_VALUE"""),2.0)</f>
        <v>2</v>
      </c>
      <c r="AN1520" s="2" t="str">
        <f>IFERROR(__xludf.DUMMYFUNCTION("""COMPUTED_VALUE"""),"RCEF 24-04-15")</f>
        <v>RCEF 24-04-15</v>
      </c>
      <c r="AO1520" s="2">
        <f>IFERROR(__xludf.DUMMYFUNCTION("""COMPUTED_VALUE"""),6.0)</f>
        <v>6</v>
      </c>
      <c r="AP1520" s="2" t="str">
        <f>IFERROR(__xludf.DUMMYFUNCTION("""COMPUTED_VALUE"""),"FREE PMS")</f>
        <v>FREE PMS</v>
      </c>
      <c r="AQ1520" s="2"/>
      <c r="AR1520" s="2"/>
      <c r="AS1520" s="2"/>
      <c r="AT1520" s="2"/>
      <c r="AU1520" s="2"/>
      <c r="AV1520" s="2"/>
      <c r="AW1520" s="2"/>
      <c r="AX1520" s="2"/>
      <c r="AY1520" s="2"/>
      <c r="AZ1520" s="2"/>
      <c r="BA1520" s="2"/>
      <c r="BB1520" s="2"/>
    </row>
    <row r="1521">
      <c r="A1521" s="2">
        <f>IFERROR(__xludf.DUMMYFUNCTION("""COMPUTED_VALUE"""),1517.0)</f>
        <v>1517</v>
      </c>
      <c r="B1521" s="2" t="str">
        <f>IFERROR(__xludf.DUMMYFUNCTION("""COMPUTED_VALUE"""),"COMPLETED")</f>
        <v>COMPLETED</v>
      </c>
      <c r="C1521" s="78">
        <f>IFERROR(__xludf.DUMMYFUNCTION("""COMPUTED_VALUE"""),46093.0)</f>
        <v>46093</v>
      </c>
      <c r="D1521" s="71" t="str">
        <f>IFERROR(__xludf.DUMMYFUNCTION("""COMPUTED_VALUE"""),"Provincial Local Government Unit of Catanduanes")</f>
        <v>Provincial Local Government Unit of Catanduanes</v>
      </c>
      <c r="E1521" s="71" t="str">
        <f>IFERROR(__xludf.DUMMYFUNCTION("""COMPUTED_VALUE"""),"Marcelo Alberto (Pob.), Virac, CATANDUANES")</f>
        <v>Marcelo Alberto (Pob.), Virac, CATANDUANES</v>
      </c>
      <c r="F1521" s="2" t="str">
        <f>IFERROR(__xludf.DUMMYFUNCTION("""COMPUTED_VALUE"""),"Emmanuel De Leon")</f>
        <v>Emmanuel De Leon</v>
      </c>
      <c r="G1521" s="2">
        <f>IFERROR(__xludf.DUMMYFUNCTION("""COMPUTED_VALUE"""),9.496072124E9)</f>
        <v>9496072124</v>
      </c>
      <c r="H1521" s="2"/>
      <c r="I1521" s="72" t="str">
        <f>IFERROR(__xludf.DUMMYFUNCTION("""COMPUTED_VALUE"""),"REPAIR - DISC PLOW")</f>
        <v>REPAIR - DISC PLOW</v>
      </c>
      <c r="J1521" s="72" t="str">
        <f>IFERROR(__xludf.DUMMYFUNCTION("""COMPUTED_VALUE"""),"Disc")</f>
        <v>Disc</v>
      </c>
      <c r="K1521" s="72" t="str">
        <f>IFERROR(__xludf.DUMMYFUNCTION("""COMPUTED_VALUE"""),"JAH: Front disc nakalas
Assigned: Local Government Unit of Bagamanoc
Address: Bagamanoc, Catanduanes")</f>
        <v>JAH: Front disc nakalas
Assigned: Local Government Unit of Bagamanoc
Address: Bagamanoc, Catanduanes</v>
      </c>
      <c r="L1521" s="72" t="str">
        <f>IFERROR(__xludf.DUMMYFUNCTION("""COMPUTED_VALUE"""),"TO CALL- TO CONFIRM PARTS NEEDED
FPJ: Okay na po yung discplow nila naayos na po ng tao nila. ")</f>
        <v>TO CALL- TO CONFIRM PARTS NEEDED
FPJ: Okay na po yung discplow nila naayos na po ng tao nila. </v>
      </c>
      <c r="M1521" s="2"/>
      <c r="N1521" s="2"/>
      <c r="O1521" s="2" t="str">
        <f>IFERROR(__xludf.DUMMYFUNCTION("""COMPUTED_VALUE"""),"N/A")</f>
        <v>N/A</v>
      </c>
      <c r="P1521" s="2"/>
      <c r="Q1521" s="2"/>
      <c r="R1521" s="74">
        <f>IFERROR(__xludf.DUMMYFUNCTION("""COMPUTED_VALUE"""),46100.0)</f>
        <v>46100</v>
      </c>
      <c r="S1521" s="2" t="str">
        <f>IFERROR(__xludf.DUMMYFUNCTION("""COMPUTED_VALUE"""),"FPJ")</f>
        <v>FPJ</v>
      </c>
      <c r="T1521" s="73" t="str">
        <f>IFERROR(__xludf.DUMMYFUNCTION("""COMPUTED_VALUE""")," N/A ")</f>
        <v>N/A</v>
      </c>
      <c r="U1521" s="73" t="str">
        <f>IFERROR(__xludf.DUMMYFUNCTION("""COMPUTED_VALUE""")," NO CHARGE ")</f>
        <v>NO CHARGE</v>
      </c>
      <c r="V1521" s="2" t="str">
        <f>IFERROR(__xludf.DUMMYFUNCTION("""COMPUTED_VALUE"""),"N/A")</f>
        <v>N/A</v>
      </c>
      <c r="W1521" s="2" t="str">
        <f>IFERROR(__xludf.DUMMYFUNCTION("""COMPUTED_VALUE"""),"N/A")</f>
        <v>N/A</v>
      </c>
      <c r="X1521" s="2" t="str">
        <f>IFERROR(__xludf.DUMMYFUNCTION("""COMPUTED_VALUE"""),"N/A")</f>
        <v>N/A</v>
      </c>
      <c r="Y1521" s="2"/>
      <c r="Z1521" s="2"/>
      <c r="AA1521" s="2"/>
      <c r="AB1521" s="2"/>
      <c r="AC1521" s="2"/>
      <c r="AD1521" s="2"/>
      <c r="AE1521" s="2"/>
      <c r="AF1521" s="2"/>
      <c r="AG1521" s="2"/>
      <c r="AH1521" s="2"/>
      <c r="AI1521" s="2"/>
      <c r="AJ1521" s="2" t="str">
        <f>IFERROR(__xludf.DUMMYFUNCTION("""COMPUTED_VALUE"""),"Marcelo Alberto (Pob.)")</f>
        <v>Marcelo Alberto (Pob.)</v>
      </c>
      <c r="AK1521" s="2" t="str">
        <f>IFERROR(__xludf.DUMMYFUNCTION("""COMPUTED_VALUE"""),"Virac")</f>
        <v>Virac</v>
      </c>
      <c r="AL1521" s="2" t="str">
        <f>IFERROR(__xludf.DUMMYFUNCTION("""COMPUTED_VALUE"""),"Catanduanes")</f>
        <v>Catanduanes</v>
      </c>
      <c r="AM1521" s="2">
        <f>IFERROR(__xludf.DUMMYFUNCTION("""COMPUTED_VALUE"""),5.0)</f>
        <v>5</v>
      </c>
      <c r="AN1521" s="2" t="str">
        <f>IFERROR(__xludf.DUMMYFUNCTION("""COMPUTED_VALUE"""),"RCEF 25-03-05")</f>
        <v>RCEF 25-03-05</v>
      </c>
      <c r="AO1521" s="2">
        <f>IFERROR(__xludf.DUMMYFUNCTION("""COMPUTED_VALUE"""),6.0)</f>
        <v>6</v>
      </c>
      <c r="AP1521" s="2" t="str">
        <f>IFERROR(__xludf.DUMMYFUNCTION("""COMPUTED_VALUE"""),"FREE PMS")</f>
        <v>FREE PMS</v>
      </c>
      <c r="AQ1521" s="2"/>
      <c r="AR1521" s="2"/>
      <c r="AS1521" s="2"/>
      <c r="AT1521" s="2"/>
      <c r="AU1521" s="2"/>
      <c r="AV1521" s="2"/>
      <c r="AW1521" s="2"/>
      <c r="AX1521" s="2"/>
      <c r="AY1521" s="2"/>
      <c r="AZ1521" s="2"/>
      <c r="BA1521" s="2"/>
      <c r="BB1521" s="2"/>
    </row>
    <row r="1522">
      <c r="A1522" s="2">
        <f>IFERROR(__xludf.DUMMYFUNCTION("""COMPUTED_VALUE"""),1518.0)</f>
        <v>1518</v>
      </c>
      <c r="B1522" s="2" t="str">
        <f>IFERROR(__xludf.DUMMYFUNCTION("""COMPUTED_VALUE"""),"COMPLETED")</f>
        <v>COMPLETED</v>
      </c>
      <c r="C1522" s="74">
        <f>IFERROR(__xludf.DUMMYFUNCTION("""COMPUTED_VALUE"""),46093.0)</f>
        <v>46093</v>
      </c>
      <c r="D1522" s="71" t="str">
        <f>IFERROR(__xludf.DUMMYFUNCTION("""COMPUTED_VALUE"""),"STA. RITA RICE, CORN, HVCC AND LIVESTOCK FARMERS ASSOCIATION")</f>
        <v>STA. RITA RICE, CORN, HVCC AND LIVESTOCK FARMERS ASSOCIATION</v>
      </c>
      <c r="E1522" s="71" t="str">
        <f>IFERROR(__xludf.DUMMYFUNCTION("""COMPUTED_VALUE""")," ")</f>
        <v> </v>
      </c>
      <c r="F1522" s="2" t="str">
        <f>IFERROR(__xludf.DUMMYFUNCTION("""COMPUTED_VALUE"""),"FLORENTINO I. CALAWAGAN JR.")</f>
        <v>FLORENTINO I. CALAWAGAN JR.</v>
      </c>
      <c r="G1522" s="2">
        <f>IFERROR(__xludf.DUMMYFUNCTION("""COMPUTED_VALUE"""),9.46278586E9)</f>
        <v>9462785860</v>
      </c>
      <c r="H1522" s="2">
        <f>IFERROR(__xludf.DUMMYFUNCTION("""COMPUTED_VALUE"""),984.0)</f>
        <v>984</v>
      </c>
      <c r="I1522" s="72" t="str">
        <f>IFERROR(__xludf.DUMMYFUNCTION("""COMPUTED_VALUE"""),"SPARE PARTS ACQUISITION")</f>
        <v>SPARE PARTS ACQUISITION</v>
      </c>
      <c r="J1522" s="72"/>
      <c r="K1522" s="72" t="str">
        <f>IFERROR(__xludf.DUMMYFUNCTION("""COMPUTED_VALUE"""),"MYK: FILTER ORDER")</f>
        <v>MYK: FILTER ORDER</v>
      </c>
      <c r="L1522" s="72" t="str">
        <f>IFERROR(__xludf.DUMMYFUNCTION("""COMPUTED_VALUE"""),"DSD: PARTS DELIVERED")</f>
        <v>DSD: PARTS DELIVERED</v>
      </c>
      <c r="M1522" s="2"/>
      <c r="N1522" s="2" t="str">
        <f>IFERROR(__xludf.DUMMYFUNCTION("""COMPUTED_VALUE"""),"PARTS:
HYDRAULIC FILTER")</f>
        <v>PARTS:
HYDRAULIC FILTER</v>
      </c>
      <c r="O1522" s="2">
        <f>IFERROR(__xludf.DUMMYFUNCTION("""COMPUTED_VALUE"""),871.0)</f>
        <v>871</v>
      </c>
      <c r="P1522" s="2"/>
      <c r="Q1522" s="2" t="str">
        <f>IFERROR(__xludf.DUMMYFUNCTION("""COMPUTED_VALUE"""),"FOR PRINT")</f>
        <v>FOR PRINT</v>
      </c>
      <c r="R1522" s="74">
        <f>IFERROR(__xludf.DUMMYFUNCTION("""COMPUTED_VALUE"""),46093.0)</f>
        <v>46093</v>
      </c>
      <c r="S1522" s="2" t="str">
        <f>IFERROR(__xludf.DUMMYFUNCTION("""COMPUTED_VALUE"""),"DSD/JVV")</f>
        <v>DSD/JVV</v>
      </c>
      <c r="T1522" s="73">
        <f>IFERROR(__xludf.DUMMYFUNCTION("""COMPUTED_VALUE"""),2800.0)</f>
        <v>2800</v>
      </c>
      <c r="U1522" s="73" t="str">
        <f>IFERROR(__xludf.DUMMYFUNCTION("""COMPUTED_VALUE""")," FOR REMIT ")</f>
        <v>FOR REMIT</v>
      </c>
      <c r="V1522" s="2" t="str">
        <f>IFERROR(__xludf.DUMMYFUNCTION("""COMPUTED_VALUE"""),"NO DR")</f>
        <v>NO DR</v>
      </c>
      <c r="W1522" s="2">
        <f>IFERROR(__xludf.DUMMYFUNCTION("""COMPUTED_VALUE"""),1607.0)</f>
        <v>1607</v>
      </c>
      <c r="X1522" s="2"/>
      <c r="Y1522" s="2"/>
      <c r="Z1522" s="2"/>
      <c r="AA1522" s="2"/>
      <c r="AB1522" s="2"/>
      <c r="AC1522" s="2"/>
      <c r="AD1522" s="2"/>
      <c r="AE1522" s="2"/>
      <c r="AF1522" s="2"/>
      <c r="AG1522" s="2"/>
      <c r="AH1522" s="2"/>
      <c r="AI1522" s="2"/>
      <c r="AJ1522" s="2" t="str">
        <f>IFERROR(__xludf.DUMMYFUNCTION("""COMPUTED_VALUE"""),"")</f>
        <v/>
      </c>
      <c r="AK1522" s="2" t="str">
        <f>IFERROR(__xludf.DUMMYFUNCTION("""COMPUTED_VALUE"""),"")</f>
        <v/>
      </c>
      <c r="AL1522" s="2" t="str">
        <f>IFERROR(__xludf.DUMMYFUNCTION("""COMPUTED_VALUE"""),"")</f>
        <v/>
      </c>
      <c r="AM1522" s="2" t="str">
        <f>IFERROR(__xludf.DUMMYFUNCTION("""COMPUTED_VALUE"""),"")</f>
        <v/>
      </c>
      <c r="AN1522" s="2" t="str">
        <f>IFERROR(__xludf.DUMMYFUNCTION("""COMPUTED_VALUE""")," ")</f>
        <v> </v>
      </c>
      <c r="AO1522" s="2" t="str">
        <f>IFERROR(__xludf.DUMMYFUNCTION("""COMPUTED_VALUE""")," ")</f>
        <v> </v>
      </c>
      <c r="AP1522" s="2" t="str">
        <f>IFERROR(__xludf.DUMMYFUNCTION("""COMPUTED_VALUE"""),"")</f>
        <v/>
      </c>
      <c r="AQ1522" s="2"/>
      <c r="AR1522" s="2"/>
      <c r="AS1522" s="2"/>
      <c r="AT1522" s="2"/>
      <c r="AU1522" s="2"/>
      <c r="AV1522" s="2"/>
      <c r="AW1522" s="2"/>
      <c r="AX1522" s="2"/>
      <c r="AY1522" s="2"/>
      <c r="AZ1522" s="2"/>
      <c r="BA1522" s="2"/>
      <c r="BB1522" s="2"/>
    </row>
    <row r="1523">
      <c r="A1523" s="2">
        <f>IFERROR(__xludf.DUMMYFUNCTION("""COMPUTED_VALUE"""),1519.0)</f>
        <v>1519</v>
      </c>
      <c r="B1523" s="2" t="str">
        <f>IFERROR(__xludf.DUMMYFUNCTION("""COMPUTED_VALUE"""),"COMPLETED")</f>
        <v>COMPLETED</v>
      </c>
      <c r="C1523" s="74">
        <f>IFERROR(__xludf.DUMMYFUNCTION("""COMPUTED_VALUE"""),46094.0)</f>
        <v>46094</v>
      </c>
      <c r="D1523" s="71" t="str">
        <f>IFERROR(__xludf.DUMMYFUNCTION("""COMPUTED_VALUE"""),"SAN ISIDRO LABRADOR FARMERS ASSOCIATION (SILFA)")</f>
        <v>SAN ISIDRO LABRADOR FARMERS ASSOCIATION (SILFA)</v>
      </c>
      <c r="E1523" s="71" t="str">
        <f>IFERROR(__xludf.DUMMYFUNCTION("""COMPUTED_VALUE"""),"Caraycayon, Tigaon, CAMARINES SUR")</f>
        <v>Caraycayon, Tigaon, CAMARINES SUR</v>
      </c>
      <c r="F1523" s="2" t="str">
        <f>IFERROR(__xludf.DUMMYFUNCTION("""COMPUTED_VALUE"""),"MARIA GINA TRILLES")</f>
        <v>MARIA GINA TRILLES</v>
      </c>
      <c r="G1523" s="2">
        <f>IFERROR(__xludf.DUMMYFUNCTION("""COMPUTED_VALUE"""),9.209025479E9)</f>
        <v>9209025479</v>
      </c>
      <c r="H1523" s="2">
        <f>IFERROR(__xludf.DUMMYFUNCTION("""COMPUTED_VALUE"""),10.5)</f>
        <v>10.5</v>
      </c>
      <c r="I1523" s="72" t="str">
        <f>IFERROR(__xludf.DUMMYFUNCTION("""COMPUTED_VALUE"""),"PMS")</f>
        <v>PMS</v>
      </c>
      <c r="J1523" s="72"/>
      <c r="K1523" s="72" t="str">
        <f>IFERROR(__xludf.DUMMYFUNCTION("""COMPUTED_VALUE"""),"FPJ: 1ST PMS FREE")</f>
        <v>FPJ: 1ST PMS FREE</v>
      </c>
      <c r="L1523" s="72" t="str">
        <f>IFERROR(__xludf.DUMMYFUNCTION("""COMPUTED_VALUE"""),"FPJ: 1ST PMS DONE")</f>
        <v>FPJ: 1ST PMS DONE</v>
      </c>
      <c r="M1523" s="2"/>
      <c r="N1523" s="2" t="str">
        <f>IFERROR(__xludf.DUMMYFUNCTION("""COMPUTED_VALUE"""),"PARTS:
OIL FILTER
ENGINE OIL")</f>
        <v>PARTS:
OIL FILTER
ENGINE OIL</v>
      </c>
      <c r="O1523" s="2">
        <f>IFERROR(__xludf.DUMMYFUNCTION("""COMPUTED_VALUE"""),592.0)</f>
        <v>592</v>
      </c>
      <c r="P1523" s="2"/>
      <c r="Q1523" s="2" t="str">
        <f>IFERROR(__xludf.DUMMYFUNCTION("""COMPUTED_VALUE"""),"FOR PRINT")</f>
        <v>FOR PRINT</v>
      </c>
      <c r="R1523" s="74">
        <f>IFERROR(__xludf.DUMMYFUNCTION("""COMPUTED_VALUE"""),46094.0)</f>
        <v>46094</v>
      </c>
      <c r="S1523" s="2" t="str">
        <f>IFERROR(__xludf.DUMMYFUNCTION("""COMPUTED_VALUE"""),"FPRJ/JAH")</f>
        <v>FPRJ/JAH</v>
      </c>
      <c r="T1523" s="73" t="str">
        <f>IFERROR(__xludf.DUMMYFUNCTION("""COMPUTED_VALUE""")," N/A ")</f>
        <v>N/A</v>
      </c>
      <c r="U1523" s="73" t="str">
        <f>IFERROR(__xludf.DUMMYFUNCTION("""COMPUTED_VALUE""")," NO CHARGE ")</f>
        <v>NO CHARGE</v>
      </c>
      <c r="V1523" s="2" t="str">
        <f>IFERROR(__xludf.DUMMYFUNCTION("""COMPUTED_VALUE"""),"NO DR")</f>
        <v>NO DR</v>
      </c>
      <c r="W1523" s="2" t="str">
        <f>IFERROR(__xludf.DUMMYFUNCTION("""COMPUTED_VALUE"""),"N/A")</f>
        <v>N/A</v>
      </c>
      <c r="X1523" s="2" t="str">
        <f>IFERROR(__xludf.DUMMYFUNCTION("""COMPUTED_VALUE"""),"N/A")</f>
        <v>N/A</v>
      </c>
      <c r="Y1523" s="2"/>
      <c r="Z1523" s="2"/>
      <c r="AA1523" s="2"/>
      <c r="AB1523" s="2"/>
      <c r="AC1523" s="2"/>
      <c r="AD1523" s="2"/>
      <c r="AE1523" s="2"/>
      <c r="AF1523" s="2"/>
      <c r="AG1523" s="2"/>
      <c r="AH1523" s="2"/>
      <c r="AI1523" s="2"/>
      <c r="AJ1523" s="2" t="str">
        <f>IFERROR(__xludf.DUMMYFUNCTION("""COMPUTED_VALUE"""),"Caraycayon")</f>
        <v>Caraycayon</v>
      </c>
      <c r="AK1523" s="2" t="str">
        <f>IFERROR(__xludf.DUMMYFUNCTION("""COMPUTED_VALUE"""),"Tigaon")</f>
        <v>Tigaon</v>
      </c>
      <c r="AL1523" s="2" t="str">
        <f>IFERROR(__xludf.DUMMYFUNCTION("""COMPUTED_VALUE"""),"Camarines Sur")</f>
        <v>Camarines Sur</v>
      </c>
      <c r="AM1523" s="2">
        <f>IFERROR(__xludf.DUMMYFUNCTION("""COMPUTED_VALUE"""),5.0)</f>
        <v>5</v>
      </c>
      <c r="AN1523" s="2" t="str">
        <f>IFERROR(__xludf.DUMMYFUNCTION("""COMPUTED_VALUE"""),"RCEF 25-03-05")</f>
        <v>RCEF 25-03-05</v>
      </c>
      <c r="AO1523" s="2">
        <f>IFERROR(__xludf.DUMMYFUNCTION("""COMPUTED_VALUE"""),6.0)</f>
        <v>6</v>
      </c>
      <c r="AP1523" s="2" t="str">
        <f>IFERROR(__xludf.DUMMYFUNCTION("""COMPUTED_VALUE"""),"FREE PMS")</f>
        <v>FREE PMS</v>
      </c>
      <c r="AQ1523" s="2"/>
      <c r="AR1523" s="2"/>
      <c r="AS1523" s="2"/>
      <c r="AT1523" s="2"/>
      <c r="AU1523" s="2"/>
      <c r="AV1523" s="2"/>
      <c r="AW1523" s="2"/>
      <c r="AX1523" s="2"/>
      <c r="AY1523" s="2"/>
      <c r="AZ1523" s="2"/>
      <c r="BA1523" s="2"/>
      <c r="BB1523" s="2"/>
    </row>
    <row r="1524">
      <c r="A1524" s="2">
        <f>IFERROR(__xludf.DUMMYFUNCTION("""COMPUTED_VALUE"""),1520.0)</f>
        <v>1520</v>
      </c>
      <c r="B1524" s="2" t="str">
        <f>IFERROR(__xludf.DUMMYFUNCTION("""COMPUTED_VALUE"""),"COMPLETED")</f>
        <v>COMPLETED</v>
      </c>
      <c r="C1524" s="74">
        <f>IFERROR(__xludf.DUMMYFUNCTION("""COMPUTED_VALUE"""),46094.0)</f>
        <v>46094</v>
      </c>
      <c r="D1524" s="71" t="str">
        <f>IFERROR(__xludf.DUMMYFUNCTION("""COMPUTED_VALUE"""),"GRUPO TI NAGAGAGET NGA MANNALON INC.")</f>
        <v>GRUPO TI NAGAGAGET NGA MANNALON INC.</v>
      </c>
      <c r="E1524" s="71" t="str">
        <f>IFERROR(__xludf.DUMMYFUNCTION("""COMPUTED_VALUE"""),"Abot Molina, Umingan, PANGASINAN")</f>
        <v>Abot Molina, Umingan, PANGASINAN</v>
      </c>
      <c r="F1524" s="2" t="str">
        <f>IFERROR(__xludf.DUMMYFUNCTION("""COMPUTED_VALUE"""),"Nicolas Sibayan")</f>
        <v>Nicolas Sibayan</v>
      </c>
      <c r="G1524" s="2">
        <f>IFERROR(__xludf.DUMMYFUNCTION("""COMPUTED_VALUE"""),9.770687402E9)</f>
        <v>9770687402</v>
      </c>
      <c r="H1524" s="2"/>
      <c r="I1524" s="72" t="str">
        <f>IFERROR(__xludf.DUMMYFUNCTION("""COMPUTED_VALUE"""),"SPARE PARTS ACQUISITION")</f>
        <v>SPARE PARTS ACQUISITION</v>
      </c>
      <c r="J1524" s="72" t="str">
        <f>IFERROR(__xludf.DUMMYFUNCTION("""COMPUTED_VALUE"""),"PARTS REQUEST")</f>
        <v>PARTS REQUEST</v>
      </c>
      <c r="K1524" s="72" t="str">
        <f>IFERROR(__xludf.DUMMYFUNCTION("""COMPUTED_VALUE"""),"KFS:  OIL FILTER
Meetup nalang sa Muñoz")</f>
        <v>KFS:  OIL FILTER
Meetup nalang sa Muñoz</v>
      </c>
      <c r="L1524" s="72" t="str">
        <f>IFERROR(__xludf.DUMMYFUNCTION("""COMPUTED_VALUE"""),"JVV: MEET UP @ MUNOZ
JVV: DELIVERED")</f>
        <v>JVV: MEET UP @ MUNOZ
JVV: DELIVERED</v>
      </c>
      <c r="M1524" s="2"/>
      <c r="N1524" s="2" t="str">
        <f>IFERROR(__xludf.DUMMYFUNCTION("""COMPUTED_VALUE"""),"PARTS:
OIL FILTER
")</f>
        <v>PARTS:
OIL FILTER
</v>
      </c>
      <c r="O1524" s="2" t="str">
        <f>IFERROR(__xludf.DUMMYFUNCTION("""COMPUTED_VALUE"""),"N/A")</f>
        <v>N/A</v>
      </c>
      <c r="P1524" s="2"/>
      <c r="Q1524" s="2"/>
      <c r="R1524" s="74">
        <f>IFERROR(__xludf.DUMMYFUNCTION("""COMPUTED_VALUE"""),46102.0)</f>
        <v>46102</v>
      </c>
      <c r="S1524" s="2" t="str">
        <f>IFERROR(__xludf.DUMMYFUNCTION("""COMPUTED_VALUE"""),"JVV")</f>
        <v>JVV</v>
      </c>
      <c r="T1524" s="73">
        <f>IFERROR(__xludf.DUMMYFUNCTION("""COMPUTED_VALUE"""),1533.0)</f>
        <v>1533</v>
      </c>
      <c r="U1524" s="73" t="str">
        <f>IFERROR(__xludf.DUMMYFUNCTION("""COMPUTED_VALUE""")," DIRECT PAYMENT ")</f>
        <v>DIRECT PAYMENT</v>
      </c>
      <c r="V1524" s="2">
        <f>IFERROR(__xludf.DUMMYFUNCTION("""COMPUTED_VALUE"""),2006.0)</f>
        <v>2006</v>
      </c>
      <c r="W1524" s="2">
        <f>IFERROR(__xludf.DUMMYFUNCTION("""COMPUTED_VALUE"""),1610.0)</f>
        <v>1610</v>
      </c>
      <c r="X1524" s="2">
        <f>IFERROR(__xludf.DUMMYFUNCTION("""COMPUTED_VALUE"""),1797.0)</f>
        <v>1797</v>
      </c>
      <c r="Y1524" s="2"/>
      <c r="Z1524" s="2"/>
      <c r="AA1524" s="2"/>
      <c r="AB1524" s="2"/>
      <c r="AC1524" s="2"/>
      <c r="AD1524" s="2"/>
      <c r="AE1524" s="2"/>
      <c r="AF1524" s="2"/>
      <c r="AG1524" s="2"/>
      <c r="AH1524" s="2"/>
      <c r="AI1524" s="2"/>
      <c r="AJ1524" s="2" t="str">
        <f>IFERROR(__xludf.DUMMYFUNCTION("""COMPUTED_VALUE"""),"Abot Molina")</f>
        <v>Abot Molina</v>
      </c>
      <c r="AK1524" s="2" t="str">
        <f>IFERROR(__xludf.DUMMYFUNCTION("""COMPUTED_VALUE"""),"Umingan")</f>
        <v>Umingan</v>
      </c>
      <c r="AL1524" s="2" t="str">
        <f>IFERROR(__xludf.DUMMYFUNCTION("""COMPUTED_VALUE"""),"Pangasinan")</f>
        <v>Pangasinan</v>
      </c>
      <c r="AM1524" s="2">
        <f>IFERROR(__xludf.DUMMYFUNCTION("""COMPUTED_VALUE"""),1.0)</f>
        <v>1</v>
      </c>
      <c r="AN1524" s="2" t="str">
        <f>IFERROR(__xludf.DUMMYFUNCTION("""COMPUTED_VALUE"""),"RCEF 23-09-21 Rebidding")</f>
        <v>RCEF 23-09-21 Rebidding</v>
      </c>
      <c r="AO1524" s="2">
        <f>IFERROR(__xludf.DUMMYFUNCTION("""COMPUTED_VALUE"""),2.0)</f>
        <v>2</v>
      </c>
      <c r="AP1524" s="2"/>
      <c r="AQ1524" s="2"/>
      <c r="AR1524" s="2"/>
      <c r="AS1524" s="2"/>
      <c r="AT1524" s="2"/>
      <c r="AU1524" s="2"/>
      <c r="AV1524" s="2"/>
      <c r="AW1524" s="2"/>
      <c r="AX1524" s="2"/>
      <c r="AY1524" s="2"/>
      <c r="AZ1524" s="2"/>
      <c r="BA1524" s="2"/>
      <c r="BB1524" s="2"/>
    </row>
    <row r="1525">
      <c r="A1525" s="2">
        <f>IFERROR(__xludf.DUMMYFUNCTION("""COMPUTED_VALUE"""),1521.0)</f>
        <v>1521</v>
      </c>
      <c r="B1525" s="2" t="str">
        <f>IFERROR(__xludf.DUMMYFUNCTION("""COMPUTED_VALUE"""),"PENDING")</f>
        <v>PENDING</v>
      </c>
      <c r="C1525" s="78">
        <f>IFERROR(__xludf.DUMMYFUNCTION("""COMPUTED_VALUE"""),46094.0)</f>
        <v>46094</v>
      </c>
      <c r="D1525" s="71" t="str">
        <f>IFERROR(__xludf.DUMMYFUNCTION("""COMPUTED_VALUE"""),"Tabao Rizal Farmers Association")</f>
        <v>Tabao Rizal Farmers Association</v>
      </c>
      <c r="E1525" s="71" t="str">
        <f>IFERROR(__xludf.DUMMYFUNCTION("""COMPUTED_VALUE"""),"Tabao Rizal, San Enrique, NEGROS OCCIDENTAL")</f>
        <v>Tabao Rizal, San Enrique, NEGROS OCCIDENTAL</v>
      </c>
      <c r="F1525" s="2" t="str">
        <f>IFERROR(__xludf.DUMMYFUNCTION("""COMPUTED_VALUE"""),"Josie Bacolina Jr.")</f>
        <v>Josie Bacolina Jr.</v>
      </c>
      <c r="G1525" s="2">
        <f>IFERROR(__xludf.DUMMYFUNCTION("""COMPUTED_VALUE"""),9.810054575E9)</f>
        <v>9810054575</v>
      </c>
      <c r="H1525" s="2">
        <f>IFERROR(__xludf.DUMMYFUNCTION("""COMPUTED_VALUE"""),57.0)</f>
        <v>57</v>
      </c>
      <c r="I1525" s="72" t="str">
        <f>IFERROR(__xludf.DUMMYFUNCTION("""COMPUTED_VALUE"""),"PMS")</f>
        <v>PMS</v>
      </c>
      <c r="J1525" s="72" t="str">
        <f>IFERROR(__xludf.DUMMYFUNCTION("""COMPUTED_VALUE"""),"PMS")</f>
        <v>PMS</v>
      </c>
      <c r="K1525" s="72" t="str">
        <f>IFERROR(__xludf.DUMMYFUNCTION("""COMPUTED_VALUE"""),"MYK: CHANGE OIL - 1ST PMS FREE")</f>
        <v>MYK: CHANGE OIL - 1ST PMS FREE</v>
      </c>
      <c r="L1525" s="7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t="str">
        <f>IFERROR(__xludf.DUMMYFUNCTION("""COMPUTED_VALUE"""),"Tabao Rizal")</f>
        <v>Tabao Rizal</v>
      </c>
      <c r="AK1525" s="2" t="str">
        <f>IFERROR(__xludf.DUMMYFUNCTION("""COMPUTED_VALUE"""),"San Enrique")</f>
        <v>San Enrique</v>
      </c>
      <c r="AL1525" s="2" t="str">
        <f>IFERROR(__xludf.DUMMYFUNCTION("""COMPUTED_VALUE"""),"Negros Occidental")</f>
        <v>Negros Occidental</v>
      </c>
      <c r="AM1525" s="2">
        <f>IFERROR(__xludf.DUMMYFUNCTION("""COMPUTED_VALUE"""),6.0)</f>
        <v>6</v>
      </c>
      <c r="AN1525" s="2" t="str">
        <f>IFERROR(__xludf.DUMMYFUNCTION("""COMPUTED_VALUE"""),"RCEF 25-03-05")</f>
        <v>RCEF 25-03-05</v>
      </c>
      <c r="AO1525" s="2">
        <f>IFERROR(__xludf.DUMMYFUNCTION("""COMPUTED_VALUE"""),7.0)</f>
        <v>7</v>
      </c>
      <c r="AP1525" s="2" t="str">
        <f>IFERROR(__xludf.DUMMYFUNCTION("""COMPUTED_VALUE"""),"FREE PMS")</f>
        <v>FREE PMS</v>
      </c>
      <c r="AQ1525" s="2"/>
      <c r="AR1525" s="2"/>
      <c r="AS1525" s="2"/>
      <c r="AT1525" s="2"/>
      <c r="AU1525" s="2"/>
      <c r="AV1525" s="2"/>
      <c r="AW1525" s="2"/>
      <c r="AX1525" s="2"/>
      <c r="AY1525" s="2"/>
      <c r="AZ1525" s="2"/>
      <c r="BA1525" s="2"/>
      <c r="BB1525" s="2"/>
    </row>
    <row r="1526">
      <c r="A1526" s="2">
        <f>IFERROR(__xludf.DUMMYFUNCTION("""COMPUTED_VALUE"""),1522.0)</f>
        <v>1522</v>
      </c>
      <c r="B1526" s="2" t="str">
        <f>IFERROR(__xludf.DUMMYFUNCTION("""COMPUTED_VALUE"""),"COMPLETED")</f>
        <v>COMPLETED</v>
      </c>
      <c r="C1526" s="78">
        <f>IFERROR(__xludf.DUMMYFUNCTION("""COMPUTED_VALUE"""),46095.0)</f>
        <v>46095</v>
      </c>
      <c r="D1526" s="71" t="str">
        <f>IFERROR(__xludf.DUMMYFUNCTION("""COMPUTED_VALUE"""),"LIBERTAD CAWAYAN AGRARIAN REFORM COOPERATIVE")</f>
        <v>LIBERTAD CAWAYAN AGRARIAN REFORM COOPERATIVE</v>
      </c>
      <c r="E1526" s="71" t="str">
        <f>IFERROR(__xludf.DUMMYFUNCTION("""COMPUTED_VALUE"""),"Libertad, Cawayan, MASBATE")</f>
        <v>Libertad, Cawayan, MASBATE</v>
      </c>
      <c r="F1526" s="2" t="str">
        <f>IFERROR(__xludf.DUMMYFUNCTION("""COMPUTED_VALUE"""),"Charlon Lipar ")</f>
        <v>Charlon Lipar </v>
      </c>
      <c r="G1526" s="2">
        <f>IFERROR(__xludf.DUMMYFUNCTION("""COMPUTED_VALUE"""),9.971504513E9)</f>
        <v>9971504513</v>
      </c>
      <c r="H1526" s="2">
        <f>IFERROR(__xludf.DUMMYFUNCTION("""COMPUTED_VALUE"""),65.0)</f>
        <v>65</v>
      </c>
      <c r="I1526" s="72" t="str">
        <f>IFERROR(__xludf.DUMMYFUNCTION("""COMPUTED_VALUE"""),"PMS")</f>
        <v>PMS</v>
      </c>
      <c r="J1526" s="72" t="str">
        <f>IFERROR(__xludf.DUMMYFUNCTION("""COMPUTED_VALUE"""),"PMS")</f>
        <v>PMS</v>
      </c>
      <c r="K1526" s="72" t="str">
        <f>IFERROR(__xludf.DUMMYFUNCTION("""COMPUTED_VALUE"""),"JAH: 1st PMS
leaking oil seal of disk plow")</f>
        <v>JAH: 1st PMS
leaking oil seal of disk plow</v>
      </c>
      <c r="L1526" s="72" t="str">
        <f>IFERROR(__xludf.DUMMYFUNCTION("""COMPUTED_VALUE"""),"TO CALL- TO CONFIRM PARTS NEEDED
FPJ: Paki close na po ng pending report na toh nagkausap na kami ni fca okay na yung oil seal nila 
Mag change oil na daw po sila . Kase need na nila gamitin 
Palitan nlng daw po oil and filter pag napunta na ng masbate
"&amp;"
FPJ: 1ST PMS DONE-DELIVERED PARTS")</f>
        <v>TO CALL- TO CONFIRM PARTS NEEDED
FPJ: Paki close na po ng pending report na toh nagkausap na kami ni fca okay na yung oil seal nila 
Mag change oil na daw po sila . Kase need na nila gamitin 
Palitan nlng daw po oil and filter pag napunta na ng masbate
FPJ: 1ST PMS DONE-DELIVERED PARTS</v>
      </c>
      <c r="M1526" s="2"/>
      <c r="N1526" s="2" t="str">
        <f>IFERROR(__xludf.DUMMYFUNCTION("""COMPUTED_VALUE"""),"PARTS:
OIL FILTER
ENGINE OIL
HYDRAULIC FILTER")</f>
        <v>PARTS:
OIL FILTER
ENGINE OIL
HYDRAULIC FILTER</v>
      </c>
      <c r="O1526" s="2">
        <f>IFERROR(__xludf.DUMMYFUNCTION("""COMPUTED_VALUE"""),253.0)</f>
        <v>253</v>
      </c>
      <c r="P1526" s="2"/>
      <c r="Q1526" s="2" t="str">
        <f>IFERROR(__xludf.DUMMYFUNCTION("""COMPUTED_VALUE"""),"FOR PRINT")</f>
        <v>FOR PRINT</v>
      </c>
      <c r="R1526" s="74">
        <f>IFERROR(__xludf.DUMMYFUNCTION("""COMPUTED_VALUE"""),46111.0)</f>
        <v>46111</v>
      </c>
      <c r="S1526" s="2" t="str">
        <f>IFERROR(__xludf.DUMMYFUNCTION("""COMPUTED_VALUE"""),"FPJ/JAH")</f>
        <v>FPJ/JAH</v>
      </c>
      <c r="T1526" s="73">
        <f>IFERROR(__xludf.DUMMYFUNCTION("""COMPUTED_VALUE"""),2837.0)</f>
        <v>2837</v>
      </c>
      <c r="U1526" s="73" t="str">
        <f>IFERROR(__xludf.DUMMYFUNCTION("""COMPUTED_VALUE""")," NO CHARGE ")</f>
        <v>NO CHARGE</v>
      </c>
      <c r="V1526" s="2" t="str">
        <f>IFERROR(__xludf.DUMMYFUNCTION("""COMPUTED_VALUE"""),"NO DR")</f>
        <v>NO DR</v>
      </c>
      <c r="W1526" s="2" t="str">
        <f>IFERROR(__xludf.DUMMYFUNCTION("""COMPUTED_VALUE"""),"NO CR")</f>
        <v>NO CR</v>
      </c>
      <c r="X1526" s="2"/>
      <c r="Y1526" s="2"/>
      <c r="Z1526" s="2"/>
      <c r="AA1526" s="2"/>
      <c r="AB1526" s="2"/>
      <c r="AC1526" s="2"/>
      <c r="AD1526" s="2"/>
      <c r="AE1526" s="2"/>
      <c r="AF1526" s="2"/>
      <c r="AG1526" s="2"/>
      <c r="AH1526" s="2"/>
      <c r="AI1526" s="2"/>
      <c r="AJ1526" s="2" t="str">
        <f>IFERROR(__xludf.DUMMYFUNCTION("""COMPUTED_VALUE"""),"Libertad")</f>
        <v>Libertad</v>
      </c>
      <c r="AK1526" s="2" t="str">
        <f>IFERROR(__xludf.DUMMYFUNCTION("""COMPUTED_VALUE"""),"Cawayan")</f>
        <v>Cawayan</v>
      </c>
      <c r="AL1526" s="2" t="str">
        <f>IFERROR(__xludf.DUMMYFUNCTION("""COMPUTED_VALUE"""),"Masbate")</f>
        <v>Masbate</v>
      </c>
      <c r="AM1526" s="2">
        <f>IFERROR(__xludf.DUMMYFUNCTION("""COMPUTED_VALUE"""),5.0)</f>
        <v>5</v>
      </c>
      <c r="AN1526" s="2" t="str">
        <f>IFERROR(__xludf.DUMMYFUNCTION("""COMPUTED_VALUE"""),"RCEF 25-03-05")</f>
        <v>RCEF 25-03-05</v>
      </c>
      <c r="AO1526" s="2">
        <f>IFERROR(__xludf.DUMMYFUNCTION("""COMPUTED_VALUE"""),6.0)</f>
        <v>6</v>
      </c>
      <c r="AP1526" s="2" t="str">
        <f>IFERROR(__xludf.DUMMYFUNCTION("""COMPUTED_VALUE"""),"FREE PMS")</f>
        <v>FREE PMS</v>
      </c>
      <c r="AQ1526" s="2"/>
      <c r="AR1526" s="2"/>
      <c r="AS1526" s="2"/>
      <c r="AT1526" s="2"/>
      <c r="AU1526" s="2"/>
      <c r="AV1526" s="2"/>
      <c r="AW1526" s="2"/>
      <c r="AX1526" s="2"/>
      <c r="AY1526" s="2"/>
      <c r="AZ1526" s="2"/>
      <c r="BA1526" s="2"/>
      <c r="BB1526" s="2"/>
    </row>
    <row r="1527">
      <c r="A1527" s="2">
        <f>IFERROR(__xludf.DUMMYFUNCTION("""COMPUTED_VALUE"""),1523.0)</f>
        <v>1523</v>
      </c>
      <c r="B1527" s="2" t="str">
        <f>IFERROR(__xludf.DUMMYFUNCTION("""COMPUTED_VALUE"""),"COMPLETED")</f>
        <v>COMPLETED</v>
      </c>
      <c r="C1527" s="78">
        <f>IFERROR(__xludf.DUMMYFUNCTION("""COMPUTED_VALUE"""),46095.0)</f>
        <v>46095</v>
      </c>
      <c r="D1527" s="71" t="str">
        <f>IFERROR(__xludf.DUMMYFUNCTION("""COMPUTED_VALUE"""),"Balud Farmers and Fisherfolks Association INC")</f>
        <v>Balud Farmers and Fisherfolks Association INC</v>
      </c>
      <c r="E1527" s="71" t="str">
        <f>IFERROR(__xludf.DUMMYFUNCTION("""COMPUTED_VALUE"""),"Ilaya, Balud, MASBATE")</f>
        <v>Ilaya, Balud, MASBATE</v>
      </c>
      <c r="F1527" s="2" t="str">
        <f>IFERROR(__xludf.DUMMYFUNCTION("""COMPUTED_VALUE"""),"Edgardo Lopez")</f>
        <v>Edgardo Lopez</v>
      </c>
      <c r="G1527" s="2">
        <f>IFERROR(__xludf.DUMMYFUNCTION("""COMPUTED_VALUE"""),9.389276482E9)</f>
        <v>9389276482</v>
      </c>
      <c r="H1527" s="2">
        <f>IFERROR(__xludf.DUMMYFUNCTION("""COMPUTED_VALUE"""),40.0)</f>
        <v>40</v>
      </c>
      <c r="I1527" s="72" t="str">
        <f>IFERROR(__xludf.DUMMYFUNCTION("""COMPUTED_VALUE"""),"PMS")</f>
        <v>PMS</v>
      </c>
      <c r="J1527" s="72" t="str">
        <f>IFERROR(__xludf.DUMMYFUNCTION("""COMPUTED_VALUE"""),"PMS")</f>
        <v>PMS</v>
      </c>
      <c r="K1527" s="72" t="str">
        <f>IFERROR(__xludf.DUMMYFUNCTION("""COMPUTED_VALUE"""),"JAH: Advance schedule for First PMS ( sabi ng contact person)")</f>
        <v>JAH: Advance schedule for First PMS ( sabi ng contact person)</v>
      </c>
      <c r="L1527" s="72" t="str">
        <f>IFERROR(__xludf.DUMMYFUNCTION("""COMPUTED_VALUE"""),"FPJ: 1ST PMS DONE")</f>
        <v>FPJ: 1ST PMS DONE</v>
      </c>
      <c r="M1527" s="2" t="str">
        <f>IFERROR(__xludf.DUMMYFUNCTION("""COMPUTED_VALUE""")," ")</f>
        <v> </v>
      </c>
      <c r="N1527" s="2" t="str">
        <f>IFERROR(__xludf.DUMMYFUNCTION("""COMPUTED_VALUE"""),"PARTS:
OIL FILTER
ENGINE OIL")</f>
        <v>PARTS:
OIL FILTER
ENGINE OIL</v>
      </c>
      <c r="O1527" s="2">
        <f>IFERROR(__xludf.DUMMYFUNCTION("""COMPUTED_VALUE"""),259.0)</f>
        <v>259</v>
      </c>
      <c r="P1527" s="2"/>
      <c r="Q1527" s="2" t="str">
        <f>IFERROR(__xludf.DUMMYFUNCTION("""COMPUTED_VALUE"""),"FOR PRINT")</f>
        <v>FOR PRINT</v>
      </c>
      <c r="R1527" s="74">
        <f>IFERROR(__xludf.DUMMYFUNCTION("""COMPUTED_VALUE"""),46114.0)</f>
        <v>46114</v>
      </c>
      <c r="S1527" s="2" t="str">
        <f>IFERROR(__xludf.DUMMYFUNCTION("""COMPUTED_VALUE"""),"FPJ/JAH")</f>
        <v>FPJ/JAH</v>
      </c>
      <c r="T1527" s="73" t="str">
        <f>IFERROR(__xludf.DUMMYFUNCTION("""COMPUTED_VALUE""")," N/A ")</f>
        <v>N/A</v>
      </c>
      <c r="U1527" s="73" t="str">
        <f>IFERROR(__xludf.DUMMYFUNCTION("""COMPUTED_VALUE""")," NO CHARGE ")</f>
        <v>NO CHARGE</v>
      </c>
      <c r="V1527" s="2" t="str">
        <f>IFERROR(__xludf.DUMMYFUNCTION("""COMPUTED_VALUE"""),"NO DR")</f>
        <v>NO DR</v>
      </c>
      <c r="W1527" s="2" t="str">
        <f>IFERROR(__xludf.DUMMYFUNCTION("""COMPUTED_VALUE"""),"N/A")</f>
        <v>N/A</v>
      </c>
      <c r="X1527" s="2" t="str">
        <f>IFERROR(__xludf.DUMMYFUNCTION("""COMPUTED_VALUE"""),"N/A")</f>
        <v>N/A</v>
      </c>
      <c r="Y1527" s="2"/>
      <c r="Z1527" s="2"/>
      <c r="AA1527" s="2"/>
      <c r="AB1527" s="2"/>
      <c r="AC1527" s="2"/>
      <c r="AD1527" s="2"/>
      <c r="AE1527" s="2"/>
      <c r="AF1527" s="2"/>
      <c r="AG1527" s="2"/>
      <c r="AH1527" s="2"/>
      <c r="AI1527" s="2"/>
      <c r="AJ1527" s="2" t="str">
        <f>IFERROR(__xludf.DUMMYFUNCTION("""COMPUTED_VALUE"""),"Ilaya")</f>
        <v>Ilaya</v>
      </c>
      <c r="AK1527" s="2" t="str">
        <f>IFERROR(__xludf.DUMMYFUNCTION("""COMPUTED_VALUE"""),"Balud")</f>
        <v>Balud</v>
      </c>
      <c r="AL1527" s="2" t="str">
        <f>IFERROR(__xludf.DUMMYFUNCTION("""COMPUTED_VALUE"""),"Masbate")</f>
        <v>Masbate</v>
      </c>
      <c r="AM1527" s="2">
        <f>IFERROR(__xludf.DUMMYFUNCTION("""COMPUTED_VALUE"""),5.0)</f>
        <v>5</v>
      </c>
      <c r="AN1527" s="2" t="str">
        <f>IFERROR(__xludf.DUMMYFUNCTION("""COMPUTED_VALUE"""),"RCEF 25-03-05")</f>
        <v>RCEF 25-03-05</v>
      </c>
      <c r="AO1527" s="2">
        <f>IFERROR(__xludf.DUMMYFUNCTION("""COMPUTED_VALUE"""),6.0)</f>
        <v>6</v>
      </c>
      <c r="AP1527" s="2" t="str">
        <f>IFERROR(__xludf.DUMMYFUNCTION("""COMPUTED_VALUE"""),"FREE PMS")</f>
        <v>FREE PMS</v>
      </c>
      <c r="AQ1527" s="2"/>
      <c r="AR1527" s="2"/>
      <c r="AS1527" s="2"/>
      <c r="AT1527" s="2"/>
      <c r="AU1527" s="2"/>
      <c r="AV1527" s="2"/>
      <c r="AW1527" s="2"/>
      <c r="AX1527" s="2"/>
      <c r="AY1527" s="2"/>
      <c r="AZ1527" s="2"/>
      <c r="BA1527" s="2"/>
      <c r="BB1527" s="2"/>
    </row>
    <row r="1528">
      <c r="A1528" s="2">
        <f>IFERROR(__xludf.DUMMYFUNCTION("""COMPUTED_VALUE"""),1524.0)</f>
        <v>1524</v>
      </c>
      <c r="B1528" s="2" t="str">
        <f>IFERROR(__xludf.DUMMYFUNCTION("""COMPUTED_VALUE"""),"COMPLETED")</f>
        <v>COMPLETED</v>
      </c>
      <c r="C1528" s="74">
        <f>IFERROR(__xludf.DUMMYFUNCTION("""COMPUTED_VALUE"""),46095.0)</f>
        <v>46095</v>
      </c>
      <c r="D1528" s="71" t="str">
        <f>IFERROR(__xludf.DUMMYFUNCTION("""COMPUTED_VALUE"""),"CANDELARIA USON FARMERS AGRARIAN REFORM COOPERATIVE")</f>
        <v>CANDELARIA USON FARMERS AGRARIAN REFORM COOPERATIVE</v>
      </c>
      <c r="E1528" s="71" t="str">
        <f>IFERROR(__xludf.DUMMYFUNCTION("""COMPUTED_VALUE"""),"Candelaria, Uson, MASBATE")</f>
        <v>Candelaria, Uson, MASBATE</v>
      </c>
      <c r="F1528" s="2" t="str">
        <f>IFERROR(__xludf.DUMMYFUNCTION("""COMPUTED_VALUE"""),"Roy Villamor")</f>
        <v>Roy Villamor</v>
      </c>
      <c r="G1528" s="2">
        <f>IFERROR(__xludf.DUMMYFUNCTION("""COMPUTED_VALUE"""),9.123139815E9)</f>
        <v>9123139815</v>
      </c>
      <c r="H1528" s="2">
        <f>IFERROR(__xludf.DUMMYFUNCTION("""COMPUTED_VALUE"""),60.0)</f>
        <v>60</v>
      </c>
      <c r="I1528" s="72" t="str">
        <f>IFERROR(__xludf.DUMMYFUNCTION("""COMPUTED_VALUE"""),"PMS")</f>
        <v>PMS</v>
      </c>
      <c r="J1528" s="72" t="str">
        <f>IFERROR(__xludf.DUMMYFUNCTION("""COMPUTED_VALUE"""),"PMS")</f>
        <v>PMS</v>
      </c>
      <c r="K1528" s="72" t="str">
        <f>IFERROR(__xludf.DUMMYFUNCTION("""COMPUTED_VALUE"""),"JAH: 1ST PMS")</f>
        <v>JAH: 1ST PMS</v>
      </c>
      <c r="L1528" s="72" t="str">
        <f>IFERROR(__xludf.DUMMYFUNCTION("""COMPUTED_VALUE"""),"FPJ: 1ST PMS DONE")</f>
        <v>FPJ: 1ST PMS DONE</v>
      </c>
      <c r="M1528" s="2"/>
      <c r="N1528" s="2" t="str">
        <f>IFERROR(__xludf.DUMMYFUNCTION("""COMPUTED_VALUE"""),"PARTS:
OIL FILTER
ENGINE OIL
HYDRAULIC FILTER")</f>
        <v>PARTS:
OIL FILTER
ENGINE OIL
HYDRAULIC FILTER</v>
      </c>
      <c r="O1528" s="2">
        <f>IFERROR(__xludf.DUMMYFUNCTION("""COMPUTED_VALUE"""),599.0)</f>
        <v>599</v>
      </c>
      <c r="P1528" s="2"/>
      <c r="Q1528" s="2" t="str">
        <f>IFERROR(__xludf.DUMMYFUNCTION("""COMPUTED_VALUE"""),"FOR PRINT")</f>
        <v>FOR PRINT</v>
      </c>
      <c r="R1528" s="74">
        <f>IFERROR(__xludf.DUMMYFUNCTION("""COMPUTED_VALUE"""),46107.0)</f>
        <v>46107</v>
      </c>
      <c r="S1528" s="2" t="str">
        <f>IFERROR(__xludf.DUMMYFUNCTION("""COMPUTED_VALUE"""),"FPJ/JAH")</f>
        <v>FPJ/JAH</v>
      </c>
      <c r="T1528" s="73">
        <f>IFERROR(__xludf.DUMMYFUNCTION("""COMPUTED_VALUE"""),2837.0)</f>
        <v>2837</v>
      </c>
      <c r="U1528" s="73" t="str">
        <f>IFERROR(__xludf.DUMMYFUNCTION("""COMPUTED_VALUE""")," FOR REMIT ")</f>
        <v>FOR REMIT</v>
      </c>
      <c r="V1528" s="2">
        <f>IFERROR(__xludf.DUMMYFUNCTION("""COMPUTED_VALUE"""),1556.0)</f>
        <v>1556</v>
      </c>
      <c r="W1528" s="2">
        <f>IFERROR(__xludf.DUMMYFUNCTION("""COMPUTED_VALUE"""),2105.0)</f>
        <v>2105</v>
      </c>
      <c r="X1528" s="2"/>
      <c r="Y1528" s="2"/>
      <c r="Z1528" s="2"/>
      <c r="AA1528" s="2"/>
      <c r="AB1528" s="2"/>
      <c r="AC1528" s="2"/>
      <c r="AD1528" s="2"/>
      <c r="AE1528" s="2"/>
      <c r="AF1528" s="2"/>
      <c r="AG1528" s="2"/>
      <c r="AH1528" s="2"/>
      <c r="AI1528" s="2"/>
      <c r="AJ1528" s="2" t="str">
        <f>IFERROR(__xludf.DUMMYFUNCTION("""COMPUTED_VALUE"""),"Candelaria")</f>
        <v>Candelaria</v>
      </c>
      <c r="AK1528" s="2" t="str">
        <f>IFERROR(__xludf.DUMMYFUNCTION("""COMPUTED_VALUE"""),"Uson")</f>
        <v>Uson</v>
      </c>
      <c r="AL1528" s="2" t="str">
        <f>IFERROR(__xludf.DUMMYFUNCTION("""COMPUTED_VALUE"""),"Masbate")</f>
        <v>Masbate</v>
      </c>
      <c r="AM1528" s="2">
        <f>IFERROR(__xludf.DUMMYFUNCTION("""COMPUTED_VALUE"""),5.0)</f>
        <v>5</v>
      </c>
      <c r="AN1528" s="2" t="str">
        <f>IFERROR(__xludf.DUMMYFUNCTION("""COMPUTED_VALUE"""),"RCEF 25-03-05")</f>
        <v>RCEF 25-03-05</v>
      </c>
      <c r="AO1528" s="2">
        <f>IFERROR(__xludf.DUMMYFUNCTION("""COMPUTED_VALUE"""),6.0)</f>
        <v>6</v>
      </c>
      <c r="AP1528" s="2" t="str">
        <f>IFERROR(__xludf.DUMMYFUNCTION("""COMPUTED_VALUE"""),"FREE PMS")</f>
        <v>FREE PMS</v>
      </c>
      <c r="AQ1528" s="2"/>
      <c r="AR1528" s="2"/>
      <c r="AS1528" s="2"/>
      <c r="AT1528" s="2"/>
      <c r="AU1528" s="2"/>
      <c r="AV1528" s="2"/>
      <c r="AW1528" s="2"/>
      <c r="AX1528" s="2"/>
      <c r="AY1528" s="2"/>
      <c r="AZ1528" s="2"/>
      <c r="BA1528" s="2"/>
      <c r="BB1528" s="2"/>
    </row>
    <row r="1529">
      <c r="A1529" s="2">
        <f>IFERROR(__xludf.DUMMYFUNCTION("""COMPUTED_VALUE"""),1525.0)</f>
        <v>1525</v>
      </c>
      <c r="B1529" s="2" t="str">
        <f>IFERROR(__xludf.DUMMYFUNCTION("""COMPUTED_VALUE"""),"COMPLETED")</f>
        <v>COMPLETED</v>
      </c>
      <c r="C1529" s="74">
        <f>IFERROR(__xludf.DUMMYFUNCTION("""COMPUTED_VALUE"""),46095.0)</f>
        <v>46095</v>
      </c>
      <c r="D1529" s="71" t="str">
        <f>IFERROR(__xludf.DUMMYFUNCTION("""COMPUTED_VALUE"""),"R.M MAGBALON FARMERS ASSOCIATION")</f>
        <v>R.M MAGBALON FARMERS ASSOCIATION</v>
      </c>
      <c r="E1529" s="71" t="str">
        <f>IFERROR(__xludf.DUMMYFUNCTION("""COMPUTED_VALUE"""),"R.M. Magbalon (Bebinan), Cawayan, MASBATE")</f>
        <v>R.M. Magbalon (Bebinan), Cawayan, MASBATE</v>
      </c>
      <c r="F1529" s="2" t="str">
        <f>IFERROR(__xludf.DUMMYFUNCTION("""COMPUTED_VALUE"""),"Jerson O. Maribojoc")</f>
        <v>Jerson O. Maribojoc</v>
      </c>
      <c r="G1529" s="2">
        <f>IFERROR(__xludf.DUMMYFUNCTION("""COMPUTED_VALUE"""),9.692832084E9)</f>
        <v>9692832084</v>
      </c>
      <c r="H1529" s="2">
        <f>IFERROR(__xludf.DUMMYFUNCTION("""COMPUTED_VALUE"""),53.0)</f>
        <v>53</v>
      </c>
      <c r="I1529" s="72" t="str">
        <f>IFERROR(__xludf.DUMMYFUNCTION("""COMPUTED_VALUE"""),"REPAIR - DISC PLOW")</f>
        <v>REPAIR - DISC PLOW</v>
      </c>
      <c r="J1529" s="72" t="str">
        <f>IFERROR(__xludf.DUMMYFUNCTION("""COMPUTED_VALUE"""),"Leak")</f>
        <v>Leak</v>
      </c>
      <c r="K1529" s="72" t="str">
        <f>IFERROR(__xludf.DUMMYFUNCTION("""COMPUTED_VALUE"""),"JAH: for change oil  and leaking oil seal of disc plow")</f>
        <v>JAH: for change oil  and leaking oil seal of disc plow</v>
      </c>
      <c r="L1529" s="72" t="str">
        <f>IFERROR(__xludf.DUMMYFUNCTION("""COMPUTED_VALUE"""),"FPJ: 1ST PMS DONE, AND PUT TO ALL ADAPTER OF PEFLON")</f>
        <v>FPJ: 1ST PMS DONE, AND PUT TO ALL ADAPTER OF PEFLON</v>
      </c>
      <c r="M1529" s="2"/>
      <c r="N1529" s="2" t="str">
        <f>IFERROR(__xludf.DUMMYFUNCTION("""COMPUTED_VALUE"""),"PARTS:
OIL FILTER
ENGINE OIL
HYDRAULIC FILTER")</f>
        <v>PARTS:
OIL FILTER
ENGINE OIL
HYDRAULIC FILTER</v>
      </c>
      <c r="O1529" s="2">
        <f>IFERROR(__xludf.DUMMYFUNCTION("""COMPUTED_VALUE"""),597.0)</f>
        <v>597</v>
      </c>
      <c r="P1529" s="2"/>
      <c r="Q1529" s="2" t="str">
        <f>IFERROR(__xludf.DUMMYFUNCTION("""COMPUTED_VALUE"""),"FOR PRINT")</f>
        <v>FOR PRINT</v>
      </c>
      <c r="R1529" s="74">
        <f>IFERROR(__xludf.DUMMYFUNCTION("""COMPUTED_VALUE"""),46106.0)</f>
        <v>46106</v>
      </c>
      <c r="S1529" s="2" t="str">
        <f>IFERROR(__xludf.DUMMYFUNCTION("""COMPUTED_VALUE"""),"FPJ/JAH")</f>
        <v>FPJ/JAH</v>
      </c>
      <c r="T1529" s="73">
        <f>IFERROR(__xludf.DUMMYFUNCTION("""COMPUTED_VALUE"""),2837.0)</f>
        <v>2837</v>
      </c>
      <c r="U1529" s="73" t="str">
        <f>IFERROR(__xludf.DUMMYFUNCTION("""COMPUTED_VALUE""")," FOR REMIT ")</f>
        <v>FOR REMIT</v>
      </c>
      <c r="V1529" s="2">
        <f>IFERROR(__xludf.DUMMYFUNCTION("""COMPUTED_VALUE"""),1559.0)</f>
        <v>1559</v>
      </c>
      <c r="W1529" s="2">
        <f>IFERROR(__xludf.DUMMYFUNCTION("""COMPUTED_VALUE"""),2108.0)</f>
        <v>2108</v>
      </c>
      <c r="X1529" s="2"/>
      <c r="Y1529" s="2"/>
      <c r="Z1529" s="2"/>
      <c r="AA1529" s="2"/>
      <c r="AB1529" s="2"/>
      <c r="AC1529" s="2"/>
      <c r="AD1529" s="2"/>
      <c r="AE1529" s="2"/>
      <c r="AF1529" s="2"/>
      <c r="AG1529" s="2"/>
      <c r="AH1529" s="2"/>
      <c r="AI1529" s="2"/>
      <c r="AJ1529" s="2" t="str">
        <f>IFERROR(__xludf.DUMMYFUNCTION("""COMPUTED_VALUE"""),"R.M. Magbalon (Bebinan)")</f>
        <v>R.M. Magbalon (Bebinan)</v>
      </c>
      <c r="AK1529" s="2" t="str">
        <f>IFERROR(__xludf.DUMMYFUNCTION("""COMPUTED_VALUE"""),"Cawayan")</f>
        <v>Cawayan</v>
      </c>
      <c r="AL1529" s="2" t="str">
        <f>IFERROR(__xludf.DUMMYFUNCTION("""COMPUTED_VALUE"""),"Masbate")</f>
        <v>Masbate</v>
      </c>
      <c r="AM1529" s="2">
        <f>IFERROR(__xludf.DUMMYFUNCTION("""COMPUTED_VALUE"""),5.0)</f>
        <v>5</v>
      </c>
      <c r="AN1529" s="2" t="str">
        <f>IFERROR(__xludf.DUMMYFUNCTION("""COMPUTED_VALUE"""),"RCEF 25-03-05")</f>
        <v>RCEF 25-03-05</v>
      </c>
      <c r="AO1529" s="2">
        <f>IFERROR(__xludf.DUMMYFUNCTION("""COMPUTED_VALUE"""),6.0)</f>
        <v>6</v>
      </c>
      <c r="AP1529" s="2" t="str">
        <f>IFERROR(__xludf.DUMMYFUNCTION("""COMPUTED_VALUE"""),"FREE PMS")</f>
        <v>FREE PMS</v>
      </c>
      <c r="AQ1529" s="2"/>
      <c r="AR1529" s="2"/>
      <c r="AS1529" s="2"/>
      <c r="AT1529" s="2"/>
      <c r="AU1529" s="2"/>
      <c r="AV1529" s="2"/>
      <c r="AW1529" s="2"/>
      <c r="AX1529" s="2"/>
      <c r="AY1529" s="2"/>
      <c r="AZ1529" s="2"/>
      <c r="BA1529" s="2"/>
      <c r="BB1529" s="2"/>
    </row>
    <row r="1530">
      <c r="A1530" s="2">
        <f>IFERROR(__xludf.DUMMYFUNCTION("""COMPUTED_VALUE"""),1526.0)</f>
        <v>1526</v>
      </c>
      <c r="B1530" s="2" t="str">
        <f>IFERROR(__xludf.DUMMYFUNCTION("""COMPUTED_VALUE"""),"COMPLETED")</f>
        <v>COMPLETED</v>
      </c>
      <c r="C1530" s="74">
        <f>IFERROR(__xludf.DUMMYFUNCTION("""COMPUTED_VALUE"""),46095.0)</f>
        <v>46095</v>
      </c>
      <c r="D1530" s="71" t="str">
        <f>IFERROR(__xludf.DUMMYFUNCTION("""COMPUTED_VALUE"""),"PULOT ACTIVE LIVELIHOOD ORGANIZATION (PAFLO)")</f>
        <v>PULOT ACTIVE LIVELIHOOD ORGANIZATION (PAFLO)</v>
      </c>
      <c r="E1530" s="71" t="str">
        <f>IFERROR(__xludf.DUMMYFUNCTION("""COMPUTED_VALUE"""),"Pulot, Cawayan, MASBATE")</f>
        <v>Pulot, Cawayan, MASBATE</v>
      </c>
      <c r="F1530" s="2" t="str">
        <f>IFERROR(__xludf.DUMMYFUNCTION("""COMPUTED_VALUE"""),"Aljon A. Pepito")</f>
        <v>Aljon A. Pepito</v>
      </c>
      <c r="G1530" s="2">
        <f>IFERROR(__xludf.DUMMYFUNCTION("""COMPUTED_VALUE"""),9.207645741E9)</f>
        <v>9207645741</v>
      </c>
      <c r="H1530" s="2"/>
      <c r="I1530" s="72" t="str">
        <f>IFERROR(__xludf.DUMMYFUNCTION("""COMPUTED_VALUE"""),"PMS")</f>
        <v>PMS</v>
      </c>
      <c r="J1530" s="72"/>
      <c r="K1530" s="72" t="str">
        <f>IFERROR(__xludf.DUMMYFUNCTION("""COMPUTED_VALUE"""),"JAH: For change oil, ")</f>
        <v>JAH: For change oil, </v>
      </c>
      <c r="L1530" s="72" t="str">
        <f>IFERROR(__xludf.DUMMYFUNCTION("""COMPUTED_VALUE"""),"FPJ: 1ST PMS DONE")</f>
        <v>FPJ: 1ST PMS DONE</v>
      </c>
      <c r="M1530" s="2" t="str">
        <f>IFERROR(__xludf.DUMMYFUNCTION("""COMPUTED_VALUE"""),"OIL SEAL 45-85-12T")</f>
        <v>OIL SEAL 45-85-12T</v>
      </c>
      <c r="N1530" s="2" t="str">
        <f>IFERROR(__xludf.DUMMYFUNCTION("""COMPUTED_VALUE"""),"PARTS:
OIL FILTER
ENGINE OIL
HYDRAULIC FILTER")</f>
        <v>PARTS:
OIL FILTER
ENGINE OIL
HYDRAULIC FILTER</v>
      </c>
      <c r="O1530" s="2">
        <f>IFERROR(__xludf.DUMMYFUNCTION("""COMPUTED_VALUE"""),598.0)</f>
        <v>598</v>
      </c>
      <c r="P1530" s="2"/>
      <c r="Q1530" s="2" t="str">
        <f>IFERROR(__xludf.DUMMYFUNCTION("""COMPUTED_VALUE"""),"FOR PRINT")</f>
        <v>FOR PRINT</v>
      </c>
      <c r="R1530" s="74">
        <f>IFERROR(__xludf.DUMMYFUNCTION("""COMPUTED_VALUE"""),46106.0)</f>
        <v>46106</v>
      </c>
      <c r="S1530" s="2" t="str">
        <f>IFERROR(__xludf.DUMMYFUNCTION("""COMPUTED_VALUE"""),"FPJ/JAH")</f>
        <v>FPJ/JAH</v>
      </c>
      <c r="T1530" s="73">
        <f>IFERROR(__xludf.DUMMYFUNCTION("""COMPUTED_VALUE"""),2837.0)</f>
        <v>2837</v>
      </c>
      <c r="U1530" s="73" t="str">
        <f>IFERROR(__xludf.DUMMYFUNCTION("""COMPUTED_VALUE""")," FOR REMIT ")</f>
        <v>FOR REMIT</v>
      </c>
      <c r="V1530" s="2">
        <f>IFERROR(__xludf.DUMMYFUNCTION("""COMPUTED_VALUE"""),1555.0)</f>
        <v>1555</v>
      </c>
      <c r="W1530" s="2">
        <f>IFERROR(__xludf.DUMMYFUNCTION("""COMPUTED_VALUE"""),2104.0)</f>
        <v>2104</v>
      </c>
      <c r="X1530" s="2"/>
      <c r="Y1530" s="2"/>
      <c r="Z1530" s="2"/>
      <c r="AA1530" s="2"/>
      <c r="AB1530" s="2"/>
      <c r="AC1530" s="2"/>
      <c r="AD1530" s="2"/>
      <c r="AE1530" s="2"/>
      <c r="AF1530" s="2"/>
      <c r="AG1530" s="2"/>
      <c r="AH1530" s="2"/>
      <c r="AI1530" s="2"/>
      <c r="AJ1530" s="2" t="str">
        <f>IFERROR(__xludf.DUMMYFUNCTION("""COMPUTED_VALUE"""),"Pulot")</f>
        <v>Pulot</v>
      </c>
      <c r="AK1530" s="2" t="str">
        <f>IFERROR(__xludf.DUMMYFUNCTION("""COMPUTED_VALUE"""),"Cawayan")</f>
        <v>Cawayan</v>
      </c>
      <c r="AL1530" s="2" t="str">
        <f>IFERROR(__xludf.DUMMYFUNCTION("""COMPUTED_VALUE"""),"Masbate")</f>
        <v>Masbate</v>
      </c>
      <c r="AM1530" s="2">
        <f>IFERROR(__xludf.DUMMYFUNCTION("""COMPUTED_VALUE"""),5.0)</f>
        <v>5</v>
      </c>
      <c r="AN1530" s="2" t="str">
        <f>IFERROR(__xludf.DUMMYFUNCTION("""COMPUTED_VALUE"""),"RCEF 25-03-05")</f>
        <v>RCEF 25-03-05</v>
      </c>
      <c r="AO1530" s="2">
        <f>IFERROR(__xludf.DUMMYFUNCTION("""COMPUTED_VALUE"""),6.0)</f>
        <v>6</v>
      </c>
      <c r="AP1530" s="2" t="str">
        <f>IFERROR(__xludf.DUMMYFUNCTION("""COMPUTED_VALUE"""),"FREE PMS")</f>
        <v>FREE PMS</v>
      </c>
      <c r="AQ1530" s="2"/>
      <c r="AR1530" s="2"/>
      <c r="AS1530" s="2"/>
      <c r="AT1530" s="2"/>
      <c r="AU1530" s="2"/>
      <c r="AV1530" s="2"/>
      <c r="AW1530" s="2"/>
      <c r="AX1530" s="2"/>
      <c r="AY1530" s="2"/>
      <c r="AZ1530" s="2"/>
      <c r="BA1530" s="2"/>
      <c r="BB1530" s="2"/>
    </row>
    <row r="1531">
      <c r="A1531" s="2">
        <f>IFERROR(__xludf.DUMMYFUNCTION("""COMPUTED_VALUE"""),1527.0)</f>
        <v>1527</v>
      </c>
      <c r="B1531" s="2" t="str">
        <f>IFERROR(__xludf.DUMMYFUNCTION("""COMPUTED_VALUE"""),"COMPLETED")</f>
        <v>COMPLETED</v>
      </c>
      <c r="C1531" s="74">
        <f>IFERROR(__xludf.DUMMYFUNCTION("""COMPUTED_VALUE"""),46095.0)</f>
        <v>46095</v>
      </c>
      <c r="D1531" s="71" t="str">
        <f>IFERROR(__xludf.DUMMYFUNCTION("""COMPUTED_VALUE"""),"ASSOCIATED CAWAYAN FARMERS FOR RICE COMMERCIALIZATION ENHANCEMENT (ACAF-RICE)")</f>
        <v>ASSOCIATED CAWAYAN FARMERS FOR RICE COMMERCIALIZATION ENHANCEMENT (ACAF-RICE)</v>
      </c>
      <c r="E1531" s="71" t="str">
        <f>IFERROR(__xludf.DUMMYFUNCTION("""COMPUTED_VALUE"""),"Malbug, Cawayan, MASBATE")</f>
        <v>Malbug, Cawayan, MASBATE</v>
      </c>
      <c r="F1531" s="2" t="str">
        <f>IFERROR(__xludf.DUMMYFUNCTION("""COMPUTED_VALUE"""),"Chito B. Mercader Jr. ")</f>
        <v>Chito B. Mercader Jr. </v>
      </c>
      <c r="G1531" s="2">
        <f>IFERROR(__xludf.DUMMYFUNCTION("""COMPUTED_VALUE"""),9.384523132E9)</f>
        <v>9384523132</v>
      </c>
      <c r="H1531" s="2">
        <f>IFERROR(__xludf.DUMMYFUNCTION("""COMPUTED_VALUE"""),48.0)</f>
        <v>48</v>
      </c>
      <c r="I1531" s="72" t="str">
        <f>IFERROR(__xludf.DUMMYFUNCTION("""COMPUTED_VALUE"""),"PMS")</f>
        <v>PMS</v>
      </c>
      <c r="J1531" s="72"/>
      <c r="K1531" s="72" t="str">
        <f>IFERROR(__xludf.DUMMYFUNCTION("""COMPUTED_VALUE"""),"JAH: For change oil")</f>
        <v>JAH: For change oil</v>
      </c>
      <c r="L1531" s="72" t="str">
        <f>IFERROR(__xludf.DUMMYFUNCTION("""COMPUTED_VALUE"""),"FPJ: 1ST PSM DONE")</f>
        <v>FPJ: 1ST PSM DONE</v>
      </c>
      <c r="M1531" s="2"/>
      <c r="N1531" s="2" t="str">
        <f>IFERROR(__xludf.DUMMYFUNCTION("""COMPUTED_VALUE"""),"PARTS:
OIL FILTER
ENGINE OIL
HYDRAULIC FILTER")</f>
        <v>PARTS:
OIL FILTER
ENGINE OIL
HYDRAULIC FILTER</v>
      </c>
      <c r="O1531" s="2">
        <f>IFERROR(__xludf.DUMMYFUNCTION("""COMPUTED_VALUE"""),595.0)</f>
        <v>595</v>
      </c>
      <c r="P1531" s="2"/>
      <c r="Q1531" s="2" t="str">
        <f>IFERROR(__xludf.DUMMYFUNCTION("""COMPUTED_VALUE"""),"FOR PRINT")</f>
        <v>FOR PRINT</v>
      </c>
      <c r="R1531" s="74">
        <f>IFERROR(__xludf.DUMMYFUNCTION("""COMPUTED_VALUE"""),46105.0)</f>
        <v>46105</v>
      </c>
      <c r="S1531" s="2" t="str">
        <f>IFERROR(__xludf.DUMMYFUNCTION("""COMPUTED_VALUE"""),"FPJ/JAH")</f>
        <v>FPJ/JAH</v>
      </c>
      <c r="T1531" s="73">
        <f>IFERROR(__xludf.DUMMYFUNCTION("""COMPUTED_VALUE"""),2837.0)</f>
        <v>2837</v>
      </c>
      <c r="U1531" s="73" t="str">
        <f>IFERROR(__xludf.DUMMYFUNCTION("""COMPUTED_VALUE""")," FOR REMIT ")</f>
        <v>FOR REMIT</v>
      </c>
      <c r="V1531" s="2">
        <f>IFERROR(__xludf.DUMMYFUNCTION("""COMPUTED_VALUE"""),1553.0)</f>
        <v>1553</v>
      </c>
      <c r="W1531" s="2">
        <f>IFERROR(__xludf.DUMMYFUNCTION("""COMPUTED_VALUE"""),2102.0)</f>
        <v>2102</v>
      </c>
      <c r="X1531" s="2"/>
      <c r="Y1531" s="2"/>
      <c r="Z1531" s="2"/>
      <c r="AA1531" s="2"/>
      <c r="AB1531" s="2"/>
      <c r="AC1531" s="2"/>
      <c r="AD1531" s="2"/>
      <c r="AE1531" s="2"/>
      <c r="AF1531" s="2"/>
      <c r="AG1531" s="2"/>
      <c r="AH1531" s="2"/>
      <c r="AI1531" s="2"/>
      <c r="AJ1531" s="2" t="str">
        <f>IFERROR(__xludf.DUMMYFUNCTION("""COMPUTED_VALUE"""),"Malbug")</f>
        <v>Malbug</v>
      </c>
      <c r="AK1531" s="2" t="str">
        <f>IFERROR(__xludf.DUMMYFUNCTION("""COMPUTED_VALUE"""),"Cawayan")</f>
        <v>Cawayan</v>
      </c>
      <c r="AL1531" s="2" t="str">
        <f>IFERROR(__xludf.DUMMYFUNCTION("""COMPUTED_VALUE"""),"Masbate")</f>
        <v>Masbate</v>
      </c>
      <c r="AM1531" s="2">
        <f>IFERROR(__xludf.DUMMYFUNCTION("""COMPUTED_VALUE"""),5.0)</f>
        <v>5</v>
      </c>
      <c r="AN1531" s="2" t="str">
        <f>IFERROR(__xludf.DUMMYFUNCTION("""COMPUTED_VALUE"""),"RCEF 25-03-05")</f>
        <v>RCEF 25-03-05</v>
      </c>
      <c r="AO1531" s="2">
        <f>IFERROR(__xludf.DUMMYFUNCTION("""COMPUTED_VALUE"""),6.0)</f>
        <v>6</v>
      </c>
      <c r="AP1531" s="2" t="str">
        <f>IFERROR(__xludf.DUMMYFUNCTION("""COMPUTED_VALUE"""),"FREE PMS")</f>
        <v>FREE PMS</v>
      </c>
      <c r="AQ1531" s="2"/>
      <c r="AR1531" s="2"/>
      <c r="AS1531" s="2"/>
      <c r="AT1531" s="2"/>
      <c r="AU1531" s="2"/>
      <c r="AV1531" s="2"/>
      <c r="AW1531" s="2"/>
      <c r="AX1531" s="2"/>
      <c r="AY1531" s="2"/>
      <c r="AZ1531" s="2"/>
      <c r="BA1531" s="2"/>
      <c r="BB1531" s="2"/>
    </row>
    <row r="1532">
      <c r="A1532" s="2">
        <f>IFERROR(__xludf.DUMMYFUNCTION("""COMPUTED_VALUE"""),1528.0)</f>
        <v>1528</v>
      </c>
      <c r="B1532" s="2" t="str">
        <f>IFERROR(__xludf.DUMMYFUNCTION("""COMPUTED_VALUE"""),"COMPLETED")</f>
        <v>COMPLETED</v>
      </c>
      <c r="C1532" s="74">
        <f>IFERROR(__xludf.DUMMYFUNCTION("""COMPUTED_VALUE"""),46095.0)</f>
        <v>46095</v>
      </c>
      <c r="D1532" s="71" t="str">
        <f>IFERROR(__xludf.DUMMYFUNCTION("""COMPUTED_VALUE"""),"TAGOYTOY MULTI-FARMER'S ASSOCIATION (TMFA)")</f>
        <v>TAGOYTOY MULTI-FARMER'S ASSOCIATION (TMFA)</v>
      </c>
      <c r="E1532" s="71" t="str">
        <f>IFERROR(__xludf.DUMMYFUNCTION("""COMPUTED_VALUE"""),"Tagoytoy, Malinao, ALBAY")</f>
        <v>Tagoytoy, Malinao, ALBAY</v>
      </c>
      <c r="F1532" s="2" t="str">
        <f>IFERROR(__xludf.DUMMYFUNCTION("""COMPUTED_VALUE"""),"REGELIO C. CASTELO")</f>
        <v>REGELIO C. CASTELO</v>
      </c>
      <c r="G1532" s="2">
        <f>IFERROR(__xludf.DUMMYFUNCTION("""COMPUTED_VALUE"""),9.995926438E9)</f>
        <v>9995926438</v>
      </c>
      <c r="H1532" s="2"/>
      <c r="I1532" s="72" t="str">
        <f>IFERROR(__xludf.DUMMYFUNCTION("""COMPUTED_VALUE"""),"REPAIR - TRACTOR")</f>
        <v>REPAIR - TRACTOR</v>
      </c>
      <c r="J1532" s="72" t="str">
        <f>IFERROR(__xludf.DUMMYFUNCTION("""COMPUTED_VALUE"""),"hood")</f>
        <v>hood</v>
      </c>
      <c r="K1532" s="72" t="str">
        <f>IFERROR(__xludf.DUMMYFUNCTION("""COMPUTED_VALUE"""),"FPJ: LOCKHOOD DAMAGE (BEND AND BROKEN)")</f>
        <v>FPJ: LOCKHOOD DAMAGE (BEND AND BROKEN)</v>
      </c>
      <c r="L1532" s="72" t="str">
        <f>IFERROR(__xludf.DUMMYFUNCTION("""COMPUTED_VALUE"""),"FPJ: REFABRICATE LOCK HOOD")</f>
        <v>FPJ: REFABRICATE LOCK HOOD</v>
      </c>
      <c r="M1532" s="2"/>
      <c r="N1532" s="2"/>
      <c r="O1532" s="2">
        <f>IFERROR(__xludf.DUMMYFUNCTION("""COMPUTED_VALUE"""),593.0)</f>
        <v>593</v>
      </c>
      <c r="P1532" s="2"/>
      <c r="Q1532" s="2" t="str">
        <f>IFERROR(__xludf.DUMMYFUNCTION("""COMPUTED_VALUE"""),"FOR PRINT")</f>
        <v>FOR PRINT</v>
      </c>
      <c r="R1532" s="74">
        <f>IFERROR(__xludf.DUMMYFUNCTION("""COMPUTED_VALUE"""),46095.0)</f>
        <v>46095</v>
      </c>
      <c r="S1532" s="2" t="str">
        <f>IFERROR(__xludf.DUMMYFUNCTION("""COMPUTED_VALUE"""),"FPJ/JAH")</f>
        <v>FPJ/JAH</v>
      </c>
      <c r="T1532" s="73" t="str">
        <f>IFERROR(__xludf.DUMMYFUNCTION("""COMPUTED_VALUE""")," N/A ")</f>
        <v>N/A</v>
      </c>
      <c r="U1532" s="73" t="str">
        <f>IFERROR(__xludf.DUMMYFUNCTION("""COMPUTED_VALUE""")," NO CHARGE ")</f>
        <v>NO CHARGE</v>
      </c>
      <c r="V1532" s="2" t="str">
        <f>IFERROR(__xludf.DUMMYFUNCTION("""COMPUTED_VALUE"""),"NO DR")</f>
        <v>NO DR</v>
      </c>
      <c r="W1532" s="2" t="str">
        <f>IFERROR(__xludf.DUMMYFUNCTION("""COMPUTED_VALUE"""),"N/A")</f>
        <v>N/A</v>
      </c>
      <c r="X1532" s="2" t="str">
        <f>IFERROR(__xludf.DUMMYFUNCTION("""COMPUTED_VALUE"""),"N/A")</f>
        <v>N/A</v>
      </c>
      <c r="Y1532" s="2"/>
      <c r="Z1532" s="2"/>
      <c r="AA1532" s="2"/>
      <c r="AB1532" s="2"/>
      <c r="AC1532" s="2"/>
      <c r="AD1532" s="2"/>
      <c r="AE1532" s="2"/>
      <c r="AF1532" s="2"/>
      <c r="AG1532" s="2"/>
      <c r="AH1532" s="2"/>
      <c r="AI1532" s="2"/>
      <c r="AJ1532" s="2" t="str">
        <f>IFERROR(__xludf.DUMMYFUNCTION("""COMPUTED_VALUE"""),"Tagoytoy")</f>
        <v>Tagoytoy</v>
      </c>
      <c r="AK1532" s="2" t="str">
        <f>IFERROR(__xludf.DUMMYFUNCTION("""COMPUTED_VALUE"""),"Malinao")</f>
        <v>Malinao</v>
      </c>
      <c r="AL1532" s="2" t="str">
        <f>IFERROR(__xludf.DUMMYFUNCTION("""COMPUTED_VALUE"""),"Albay")</f>
        <v>Albay</v>
      </c>
      <c r="AM1532" s="2">
        <f>IFERROR(__xludf.DUMMYFUNCTION("""COMPUTED_VALUE"""),5.0)</f>
        <v>5</v>
      </c>
      <c r="AN1532" s="2" t="str">
        <f>IFERROR(__xludf.DUMMYFUNCTION("""COMPUTED_VALUE"""),"RCEF 25-03-05")</f>
        <v>RCEF 25-03-05</v>
      </c>
      <c r="AO1532" s="2">
        <f>IFERROR(__xludf.DUMMYFUNCTION("""COMPUTED_VALUE"""),6.0)</f>
        <v>6</v>
      </c>
      <c r="AP1532" s="2" t="str">
        <f>IFERROR(__xludf.DUMMYFUNCTION("""COMPUTED_VALUE"""),"FREE PMS")</f>
        <v>FREE PMS</v>
      </c>
      <c r="AQ1532" s="2"/>
      <c r="AR1532" s="2"/>
      <c r="AS1532" s="2"/>
      <c r="AT1532" s="2"/>
      <c r="AU1532" s="2"/>
      <c r="AV1532" s="2"/>
      <c r="AW1532" s="2"/>
      <c r="AX1532" s="2"/>
      <c r="AY1532" s="2"/>
      <c r="AZ1532" s="2"/>
      <c r="BA1532" s="2"/>
      <c r="BB1532" s="2"/>
    </row>
    <row r="1533">
      <c r="A1533" s="2">
        <f>IFERROR(__xludf.DUMMYFUNCTION("""COMPUTED_VALUE"""),1529.0)</f>
        <v>1529</v>
      </c>
      <c r="B1533" s="2" t="str">
        <f>IFERROR(__xludf.DUMMYFUNCTION("""COMPUTED_VALUE"""),"PENDING")</f>
        <v>PENDING</v>
      </c>
      <c r="C1533" s="74">
        <f>IFERROR(__xludf.DUMMYFUNCTION("""COMPUTED_VALUE"""),46095.0)</f>
        <v>46095</v>
      </c>
      <c r="D1533" s="71" t="str">
        <f>IFERROR(__xludf.DUMMYFUNCTION("""COMPUTED_VALUE"""),"TIMPUYOG TI MANNALON ITI ROSALES INC.")</f>
        <v>TIMPUYOG TI MANNALON ITI ROSALES INC.</v>
      </c>
      <c r="E1533" s="71" t="str">
        <f>IFERROR(__xludf.DUMMYFUNCTION("""COMPUTED_VALUE"""),"Zone V (Pob.), Rosales, Pangasinan")</f>
        <v>Zone V (Pob.), Rosales, Pangasinan</v>
      </c>
      <c r="F1533" s="2" t="str">
        <f>IFERROR(__xludf.DUMMYFUNCTION("""COMPUTED_VALUE"""),"Romeo Lilagan Jr")</f>
        <v>Romeo Lilagan Jr</v>
      </c>
      <c r="G1533" s="2">
        <f>IFERROR(__xludf.DUMMYFUNCTION("""COMPUTED_VALUE"""),9.564468235E9)</f>
        <v>9564468235</v>
      </c>
      <c r="H1533" s="2"/>
      <c r="I1533" s="72" t="str">
        <f>IFERROR(__xludf.DUMMYFUNCTION("""COMPUTED_VALUE"""),"REPAIR - TRACTOR")</f>
        <v>REPAIR - TRACTOR</v>
      </c>
      <c r="J1533" s="72" t="str">
        <f>IFERROR(__xludf.DUMMYFUNCTION("""COMPUTED_VALUE"""),"Transmission - Clutch")</f>
        <v>Transmission - Clutch</v>
      </c>
      <c r="K1533" s="72" t="str">
        <f>IFERROR(__xludf.DUMMYFUNCTION("""COMPUTED_VALUE"""),"RBS: Transmission Clutch nag slide")</f>
        <v>RBS: Transmission Clutch nag slide</v>
      </c>
      <c r="L1533" s="72" t="str">
        <f>IFERROR(__xludf.DUMMYFUNCTION("""COMPUTED_VALUE"""),"TO CALL- TO CONFIRM PARTS NEEDED")</f>
        <v>TO CALL- TO CONFIRM PARTS NEEDED</v>
      </c>
      <c r="M1533" s="2" t="str">
        <f>IFERROR(__xludf.DUMMYFUNCTION("""COMPUTED_VALUE"""),"CLUTCH DISC ASSY")</f>
        <v>CLUTCH DISC ASSY</v>
      </c>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t="str">
        <f>IFERROR(__xludf.DUMMYFUNCTION("""COMPUTED_VALUE"""),"Zone V (Pob.)")</f>
        <v>Zone V (Pob.)</v>
      </c>
      <c r="AK1533" s="2" t="str">
        <f>IFERROR(__xludf.DUMMYFUNCTION("""COMPUTED_VALUE"""),"Rosales")</f>
        <v>Rosales</v>
      </c>
      <c r="AL1533" s="2" t="str">
        <f>IFERROR(__xludf.DUMMYFUNCTION("""COMPUTED_VALUE"""),"Pangasinan")</f>
        <v>Pangasinan</v>
      </c>
      <c r="AM1533" s="2">
        <f>IFERROR(__xludf.DUMMYFUNCTION("""COMPUTED_VALUE"""),1.0)</f>
        <v>1</v>
      </c>
      <c r="AN1533" s="2" t="str">
        <f>IFERROR(__xludf.DUMMYFUNCTION("""COMPUTED_VALUE"""),"RCEF 23-09-21 Rebidding")</f>
        <v>RCEF 23-09-21 Rebidding</v>
      </c>
      <c r="AO1533" s="2">
        <f>IFERROR(__xludf.DUMMYFUNCTION("""COMPUTED_VALUE"""),2.0)</f>
        <v>2</v>
      </c>
      <c r="AP1533" s="2"/>
      <c r="AQ1533" s="2"/>
      <c r="AR1533" s="2"/>
      <c r="AS1533" s="2"/>
      <c r="AT1533" s="2"/>
      <c r="AU1533" s="2"/>
      <c r="AV1533" s="2"/>
      <c r="AW1533" s="2"/>
      <c r="AX1533" s="2"/>
      <c r="AY1533" s="2"/>
      <c r="AZ1533" s="2"/>
      <c r="BA1533" s="2"/>
      <c r="BB1533" s="2"/>
    </row>
    <row r="1534">
      <c r="A1534" s="2">
        <f>IFERROR(__xludf.DUMMYFUNCTION("""COMPUTED_VALUE"""),1530.0)</f>
        <v>1530</v>
      </c>
      <c r="B1534" s="2" t="str">
        <f>IFERROR(__xludf.DUMMYFUNCTION("""COMPUTED_VALUE"""),"COMPLETED")</f>
        <v>COMPLETED</v>
      </c>
      <c r="C1534" s="78">
        <f>IFERROR(__xludf.DUMMYFUNCTION("""COMPUTED_VALUE"""),46095.0)</f>
        <v>46095</v>
      </c>
      <c r="D1534" s="71" t="str">
        <f>IFERROR(__xludf.DUMMYFUNCTION("""COMPUTED_VALUE"""),"BUNOL UNITED FARMERS IN ADVANCE LIVELIHOOD ORGANIZATION (BUFALO)")</f>
        <v>BUNOL UNITED FARMERS IN ADVANCE LIVELIHOOD ORGANIZATION (BUFALO)</v>
      </c>
      <c r="E1534" s="71" t="str">
        <f>IFERROR(__xludf.DUMMYFUNCTION("""COMPUTED_VALUE"""),"Bunol, Guimba, NUEVA ECIJA")</f>
        <v>Bunol, Guimba, NUEVA ECIJA</v>
      </c>
      <c r="F1534" s="2" t="str">
        <f>IFERROR(__xludf.DUMMYFUNCTION("""COMPUTED_VALUE"""),"Norberto Carlos")</f>
        <v>Norberto Carlos</v>
      </c>
      <c r="G1534" s="2">
        <f>IFERROR(__xludf.DUMMYFUNCTION("""COMPUTED_VALUE"""),9.541436329E9)</f>
        <v>9541436329</v>
      </c>
      <c r="H1534" s="2">
        <f>IFERROR(__xludf.DUMMYFUNCTION("""COMPUTED_VALUE"""),94.0)</f>
        <v>94</v>
      </c>
      <c r="I1534" s="72" t="str">
        <f>IFERROR(__xludf.DUMMYFUNCTION("""COMPUTED_VALUE"""),"REPAIR - LOADER")</f>
        <v>REPAIR - LOADER</v>
      </c>
      <c r="J1534" s="72" t="str">
        <f>IFERROR(__xludf.DUMMYFUNCTION("""COMPUTED_VALUE"""),"Cable lock")</f>
        <v>Cable lock</v>
      </c>
      <c r="K1534" s="72" t="str">
        <f>IFERROR(__xludf.DUMMYFUNCTION("""COMPUTED_VALUE"""),"DSD: ayaw tumaas ng Front loader")</f>
        <v>DSD: ayaw tumaas ng Front loader</v>
      </c>
      <c r="L1534" s="72" t="str">
        <f>IFERROR(__xludf.DUMMYFUNCTION("""COMPUTED_VALUE"""),"TO CALL- TO CONFIRM PARTS NEEDED
ECM: NAHUGOT LANG YUNG HYDRAULIC HOSE, WALANG PINALITAN NA CABLE LOCK")</f>
        <v>TO CALL- TO CONFIRM PARTS NEEDED
ECM: NAHUGOT LANG YUNG HYDRAULIC HOSE, WALANG PINALITAN NA CABLE LOCK</v>
      </c>
      <c r="M1534" s="2" t="str">
        <f>IFERROR(__xludf.DUMMYFUNCTION("""COMPUTED_VALUE"""),"CABLE LOCK")</f>
        <v>CABLE LOCK</v>
      </c>
      <c r="N1534" s="2"/>
      <c r="O1534" s="2" t="str">
        <f>IFERROR(__xludf.DUMMYFUNCTION("""COMPUTED_VALUE"""),"N/A")</f>
        <v>N/A</v>
      </c>
      <c r="P1534" s="2"/>
      <c r="Q1534" s="2"/>
      <c r="R1534" s="74">
        <f>IFERROR(__xludf.DUMMYFUNCTION("""COMPUTED_VALUE"""),46154.0)</f>
        <v>46154</v>
      </c>
      <c r="S1534" s="2" t="str">
        <f>IFERROR(__xludf.DUMMYFUNCTION("""COMPUTED_VALUE"""),"ECM/ACS")</f>
        <v>ECM/ACS</v>
      </c>
      <c r="T1534" s="73" t="str">
        <f>IFERROR(__xludf.DUMMYFUNCTION("""COMPUTED_VALUE""")," N/A ")</f>
        <v>N/A</v>
      </c>
      <c r="U1534" s="73" t="str">
        <f>IFERROR(__xludf.DUMMYFUNCTION("""COMPUTED_VALUE""")," NO CHARGE ")</f>
        <v>NO CHARGE</v>
      </c>
      <c r="V1534" s="2" t="str">
        <f>IFERROR(__xludf.DUMMYFUNCTION("""COMPUTED_VALUE"""),"N/A")</f>
        <v>N/A</v>
      </c>
      <c r="W1534" s="2" t="str">
        <f>IFERROR(__xludf.DUMMYFUNCTION("""COMPUTED_VALUE"""),"N/A")</f>
        <v>N/A</v>
      </c>
      <c r="X1534" s="2" t="str">
        <f>IFERROR(__xludf.DUMMYFUNCTION("""COMPUTED_VALUE"""),"N/A")</f>
        <v>N/A</v>
      </c>
      <c r="Y1534" s="2"/>
      <c r="Z1534" s="2"/>
      <c r="AA1534" s="2"/>
      <c r="AB1534" s="2"/>
      <c r="AC1534" s="2"/>
      <c r="AD1534" s="2"/>
      <c r="AE1534" s="2"/>
      <c r="AF1534" s="2"/>
      <c r="AG1534" s="2"/>
      <c r="AH1534" s="2"/>
      <c r="AI1534" s="2"/>
      <c r="AJ1534" s="2" t="str">
        <f>IFERROR(__xludf.DUMMYFUNCTION("""COMPUTED_VALUE"""),"Bunol")</f>
        <v>Bunol</v>
      </c>
      <c r="AK1534" s="2" t="str">
        <f>IFERROR(__xludf.DUMMYFUNCTION("""COMPUTED_VALUE"""),"Guimba")</f>
        <v>Guimba</v>
      </c>
      <c r="AL1534" s="2" t="str">
        <f>IFERROR(__xludf.DUMMYFUNCTION("""COMPUTED_VALUE"""),"Nueva Ecija")</f>
        <v>Nueva Ecija</v>
      </c>
      <c r="AM1534" s="2">
        <f>IFERROR(__xludf.DUMMYFUNCTION("""COMPUTED_VALUE"""),3.0)</f>
        <v>3</v>
      </c>
      <c r="AN1534" s="2" t="str">
        <f>IFERROR(__xludf.DUMMYFUNCTION("""COMPUTED_VALUE"""),"RCEF 25-03-05")</f>
        <v>RCEF 25-03-05</v>
      </c>
      <c r="AO1534" s="2">
        <f>IFERROR(__xludf.DUMMYFUNCTION("""COMPUTED_VALUE"""),5.0)</f>
        <v>5</v>
      </c>
      <c r="AP1534" s="2" t="str">
        <f>IFERROR(__xludf.DUMMYFUNCTION("""COMPUTED_VALUE"""),"FREE PMS")</f>
        <v>FREE PMS</v>
      </c>
      <c r="AQ1534" s="2"/>
      <c r="AR1534" s="2"/>
      <c r="AS1534" s="2"/>
      <c r="AT1534" s="2"/>
      <c r="AU1534" s="2"/>
      <c r="AV1534" s="2"/>
      <c r="AW1534" s="2"/>
      <c r="AX1534" s="2"/>
      <c r="AY1534" s="2"/>
      <c r="AZ1534" s="2"/>
      <c r="BA1534" s="2"/>
      <c r="BB1534" s="2"/>
    </row>
    <row r="1535">
      <c r="A1535" s="2">
        <f>IFERROR(__xludf.DUMMYFUNCTION("""COMPUTED_VALUE"""),1531.0)</f>
        <v>1531</v>
      </c>
      <c r="B1535" s="2" t="str">
        <f>IFERROR(__xludf.DUMMYFUNCTION("""COMPUTED_VALUE"""),"PENDING")</f>
        <v>PENDING</v>
      </c>
      <c r="C1535" s="74">
        <f>IFERROR(__xludf.DUMMYFUNCTION("""COMPUTED_VALUE"""),46095.0)</f>
        <v>46095</v>
      </c>
      <c r="D1535" s="71" t="str">
        <f>IFERROR(__xludf.DUMMYFUNCTION("""COMPUTED_VALUE"""),"PULOT ACTIVE LIVELIHOOD ORGANIZATION (PAFLO)")</f>
        <v>PULOT ACTIVE LIVELIHOOD ORGANIZATION (PAFLO)</v>
      </c>
      <c r="E1535" s="71" t="str">
        <f>IFERROR(__xludf.DUMMYFUNCTION("""COMPUTED_VALUE"""),"Pulot, Cawayan, MASBATE")</f>
        <v>Pulot, Cawayan, MASBATE</v>
      </c>
      <c r="F1535" s="2" t="str">
        <f>IFERROR(__xludf.DUMMYFUNCTION("""COMPUTED_VALUE"""),"Aljon A. Pepito")</f>
        <v>Aljon A. Pepito</v>
      </c>
      <c r="G1535" s="2">
        <f>IFERROR(__xludf.DUMMYFUNCTION("""COMPUTED_VALUE"""),9.207645741E9)</f>
        <v>9207645741</v>
      </c>
      <c r="H1535" s="2"/>
      <c r="I1535" s="72" t="str">
        <f>IFERROR(__xludf.DUMMYFUNCTION("""COMPUTED_VALUE"""),"PMS")</f>
        <v>PMS</v>
      </c>
      <c r="J1535" s="72"/>
      <c r="K1535" s="72" t="str">
        <f>IFERROR(__xludf.DUMMYFUNCTION("""COMPUTED_VALUE"""),"JAH:  - Need Oil seal of disc flow Yung nsa center disc ( 45*85*12T)")</f>
        <v>JAH:  - Need Oil seal of disc flow Yung nsa center disc ( 45*85*12T)</v>
      </c>
      <c r="L1535" s="72"/>
      <c r="M1535" s="2" t="str">
        <f>IFERROR(__xludf.DUMMYFUNCTION("""COMPUTED_VALUE"""),"OIL SEAL 45-85-12T")</f>
        <v>OIL SEAL 45-85-12T</v>
      </c>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t="str">
        <f>IFERROR(__xludf.DUMMYFUNCTION("""COMPUTED_VALUE"""),"Pulot")</f>
        <v>Pulot</v>
      </c>
      <c r="AK1535" s="2" t="str">
        <f>IFERROR(__xludf.DUMMYFUNCTION("""COMPUTED_VALUE"""),"Cawayan")</f>
        <v>Cawayan</v>
      </c>
      <c r="AL1535" s="2" t="str">
        <f>IFERROR(__xludf.DUMMYFUNCTION("""COMPUTED_VALUE"""),"Masbate")</f>
        <v>Masbate</v>
      </c>
      <c r="AM1535" s="2">
        <f>IFERROR(__xludf.DUMMYFUNCTION("""COMPUTED_VALUE"""),5.0)</f>
        <v>5</v>
      </c>
      <c r="AN1535" s="2" t="str">
        <f>IFERROR(__xludf.DUMMYFUNCTION("""COMPUTED_VALUE"""),"RCEF 25-03-05")</f>
        <v>RCEF 25-03-05</v>
      </c>
      <c r="AO1535" s="2">
        <f>IFERROR(__xludf.DUMMYFUNCTION("""COMPUTED_VALUE"""),6.0)</f>
        <v>6</v>
      </c>
      <c r="AP1535" s="2" t="str">
        <f>IFERROR(__xludf.DUMMYFUNCTION("""COMPUTED_VALUE"""),"FREE PMS")</f>
        <v>FREE PMS</v>
      </c>
      <c r="AQ1535" s="2"/>
      <c r="AR1535" s="2"/>
      <c r="AS1535" s="2"/>
      <c r="AT1535" s="2"/>
      <c r="AU1535" s="2"/>
      <c r="AV1535" s="2"/>
      <c r="AW1535" s="2"/>
      <c r="AX1535" s="2"/>
      <c r="AY1535" s="2"/>
      <c r="AZ1535" s="2"/>
      <c r="BA1535" s="2"/>
      <c r="BB1535" s="2"/>
    </row>
    <row r="1536">
      <c r="A1536" s="2">
        <f>IFERROR(__xludf.DUMMYFUNCTION("""COMPUTED_VALUE"""),1532.0)</f>
        <v>1532</v>
      </c>
      <c r="B1536" s="2" t="str">
        <f>IFERROR(__xludf.DUMMYFUNCTION("""COMPUTED_VALUE"""),"COMPLETED")</f>
        <v>COMPLETED</v>
      </c>
      <c r="C1536" s="78">
        <f>IFERROR(__xludf.DUMMYFUNCTION("""COMPUTED_VALUE"""),46097.0)</f>
        <v>46097</v>
      </c>
      <c r="D1536" s="71" t="str">
        <f>IFERROR(__xludf.DUMMYFUNCTION("""COMPUTED_VALUE"""),"Pawa Rice Farmers Association")</f>
        <v>Pawa Rice Farmers Association</v>
      </c>
      <c r="E1536" s="71" t="str">
        <f>IFERROR(__xludf.DUMMYFUNCTION("""COMPUTED_VALUE"""),"Pawa, Masbate City, MASBATE")</f>
        <v>Pawa, Masbate City, MASBATE</v>
      </c>
      <c r="F1536" s="2" t="str">
        <f>IFERROR(__xludf.DUMMYFUNCTION("""COMPUTED_VALUE"""),"Fernando Cortes")</f>
        <v>Fernando Cortes</v>
      </c>
      <c r="G1536" s="2">
        <f>IFERROR(__xludf.DUMMYFUNCTION("""COMPUTED_VALUE"""),9.759025286E9)</f>
        <v>9759025286</v>
      </c>
      <c r="H1536" s="2">
        <f>IFERROR(__xludf.DUMMYFUNCTION("""COMPUTED_VALUE"""),55.0)</f>
        <v>55</v>
      </c>
      <c r="I1536" s="72" t="str">
        <f>IFERROR(__xludf.DUMMYFUNCTION("""COMPUTED_VALUE"""),"PMS")</f>
        <v>PMS</v>
      </c>
      <c r="J1536" s="72"/>
      <c r="K1536" s="72" t="str">
        <f>IFERROR(__xludf.DUMMYFUNCTION("""COMPUTED_VALUE"""),"JAH: For change oil")</f>
        <v>JAH: For change oil</v>
      </c>
      <c r="L1536" s="72" t="str">
        <f>IFERROR(__xludf.DUMMYFUNCTION("""COMPUTED_VALUE"""),"FPJ: 1ST PMS FREE")</f>
        <v>FPJ: 1ST PMS FREE</v>
      </c>
      <c r="M1536" s="2"/>
      <c r="N1536" s="2" t="str">
        <f>IFERROR(__xludf.DUMMYFUNCTION("""COMPUTED_VALUE"""),"PARTS:
OIL FILTER
ENGINE OIL")</f>
        <v>PARTS:
OIL FILTER
ENGINE OIL</v>
      </c>
      <c r="O1536" s="2">
        <f>IFERROR(__xludf.DUMMYFUNCTION("""COMPUTED_VALUE"""),258.0)</f>
        <v>258</v>
      </c>
      <c r="P1536" s="2"/>
      <c r="Q1536" s="2" t="str">
        <f>IFERROR(__xludf.DUMMYFUNCTION("""COMPUTED_VALUE"""),"FOR PRINT")</f>
        <v>FOR PRINT</v>
      </c>
      <c r="R1536" s="74">
        <f>IFERROR(__xludf.DUMMYFUNCTION("""COMPUTED_VALUE"""),46113.0)</f>
        <v>46113</v>
      </c>
      <c r="S1536" s="2" t="str">
        <f>IFERROR(__xludf.DUMMYFUNCTION("""COMPUTED_VALUE"""),"FPJ/JAH")</f>
        <v>FPJ/JAH</v>
      </c>
      <c r="T1536" s="73" t="str">
        <f>IFERROR(__xludf.DUMMYFUNCTION("""COMPUTED_VALUE""")," N/A ")</f>
        <v>N/A</v>
      </c>
      <c r="U1536" s="73" t="str">
        <f>IFERROR(__xludf.DUMMYFUNCTION("""COMPUTED_VALUE""")," NO CHARGE ")</f>
        <v>NO CHARGE</v>
      </c>
      <c r="V1536" s="2" t="str">
        <f>IFERROR(__xludf.DUMMYFUNCTION("""COMPUTED_VALUE"""),"NO DR")</f>
        <v>NO DR</v>
      </c>
      <c r="W1536" s="2" t="str">
        <f>IFERROR(__xludf.DUMMYFUNCTION("""COMPUTED_VALUE"""),"N/A")</f>
        <v>N/A</v>
      </c>
      <c r="X1536" s="2" t="str">
        <f>IFERROR(__xludf.DUMMYFUNCTION("""COMPUTED_VALUE"""),"N/A")</f>
        <v>N/A</v>
      </c>
      <c r="Y1536" s="2"/>
      <c r="Z1536" s="2"/>
      <c r="AA1536" s="2"/>
      <c r="AB1536" s="2"/>
      <c r="AC1536" s="2"/>
      <c r="AD1536" s="2"/>
      <c r="AE1536" s="2"/>
      <c r="AF1536" s="2"/>
      <c r="AG1536" s="2"/>
      <c r="AH1536" s="2"/>
      <c r="AI1536" s="2"/>
      <c r="AJ1536" s="2" t="str">
        <f>IFERROR(__xludf.DUMMYFUNCTION("""COMPUTED_VALUE"""),"Pawa")</f>
        <v>Pawa</v>
      </c>
      <c r="AK1536" s="2" t="str">
        <f>IFERROR(__xludf.DUMMYFUNCTION("""COMPUTED_VALUE"""),"Masbate City")</f>
        <v>Masbate City</v>
      </c>
      <c r="AL1536" s="2" t="str">
        <f>IFERROR(__xludf.DUMMYFUNCTION("""COMPUTED_VALUE"""),"Masbate")</f>
        <v>Masbate</v>
      </c>
      <c r="AM1536" s="2">
        <f>IFERROR(__xludf.DUMMYFUNCTION("""COMPUTED_VALUE"""),5.0)</f>
        <v>5</v>
      </c>
      <c r="AN1536" s="2" t="str">
        <f>IFERROR(__xludf.DUMMYFUNCTION("""COMPUTED_VALUE"""),"RCEF 25-03-05")</f>
        <v>RCEF 25-03-05</v>
      </c>
      <c r="AO1536" s="2">
        <f>IFERROR(__xludf.DUMMYFUNCTION("""COMPUTED_VALUE"""),6.0)</f>
        <v>6</v>
      </c>
      <c r="AP1536" s="2" t="str">
        <f>IFERROR(__xludf.DUMMYFUNCTION("""COMPUTED_VALUE"""),"FREE PMS")</f>
        <v>FREE PMS</v>
      </c>
      <c r="AQ1536" s="2"/>
      <c r="AR1536" s="2"/>
      <c r="AS1536" s="2"/>
      <c r="AT1536" s="2"/>
      <c r="AU1536" s="2"/>
      <c r="AV1536" s="2"/>
      <c r="AW1536" s="2"/>
      <c r="AX1536" s="2"/>
      <c r="AY1536" s="2"/>
      <c r="AZ1536" s="2"/>
      <c r="BA1536" s="2"/>
      <c r="BB1536" s="2"/>
    </row>
    <row r="1537">
      <c r="A1537" s="2">
        <f>IFERROR(__xludf.DUMMYFUNCTION("""COMPUTED_VALUE"""),1533.0)</f>
        <v>1533</v>
      </c>
      <c r="B1537" s="2" t="str">
        <f>IFERROR(__xludf.DUMMYFUNCTION("""COMPUTED_VALUE"""),"COMPLETED")</f>
        <v>COMPLETED</v>
      </c>
      <c r="C1537" s="78">
        <f>IFERROR(__xludf.DUMMYFUNCTION("""COMPUTED_VALUE"""),46097.0)</f>
        <v>46097</v>
      </c>
      <c r="D1537" s="71" t="str">
        <f>IFERROR(__xludf.DUMMYFUNCTION("""COMPUTED_VALUE"""),"SAN ROQUE-GITABLA IRRIGATORS' ASSOCIATION, INC.")</f>
        <v>SAN ROQUE-GITABLA IRRIGATORS' ASSOCIATION, INC.</v>
      </c>
      <c r="E1537" s="71" t="str">
        <f>IFERROR(__xludf.DUMMYFUNCTION("""COMPUTED_VALUE"""),"Gitabla, Julita, LEYTE")</f>
        <v>Gitabla, Julita, LEYTE</v>
      </c>
      <c r="F1537" s="2" t="str">
        <f>IFERROR(__xludf.DUMMYFUNCTION("""COMPUTED_VALUE"""),"Anastacio Indic")</f>
        <v>Anastacio Indic</v>
      </c>
      <c r="G1537" s="2">
        <f>IFERROR(__xludf.DUMMYFUNCTION("""COMPUTED_VALUE"""),9.856302515E9)</f>
        <v>9856302515</v>
      </c>
      <c r="H1537" s="2">
        <f>IFERROR(__xludf.DUMMYFUNCTION("""COMPUTED_VALUE"""),50.0)</f>
        <v>50</v>
      </c>
      <c r="I1537" s="72" t="str">
        <f>IFERROR(__xludf.DUMMYFUNCTION("""COMPUTED_VALUE"""),"PMS")</f>
        <v>PMS</v>
      </c>
      <c r="J1537" s="72"/>
      <c r="K1537" s="72" t="str">
        <f>IFERROR(__xludf.DUMMYFUNCTION("""COMPUTED_VALUE"""),"FSJ: 1st PMS free")</f>
        <v>FSJ: 1st PMS free</v>
      </c>
      <c r="L1537" s="72" t="str">
        <f>IFERROR(__xludf.DUMMYFUNCTION("""COMPUTED_VALUE"""),"FPJ: 1ST PMS FREE")</f>
        <v>FPJ: 1ST PMS FREE</v>
      </c>
      <c r="M1537" s="2"/>
      <c r="N1537" s="2" t="str">
        <f>IFERROR(__xludf.DUMMYFUNCTION("""COMPUTED_VALUE"""),"PARTS:
OIL FILTER
ENGINE OIL")</f>
        <v>PARTS:
OIL FILTER
ENGINE OIL</v>
      </c>
      <c r="O1537" s="2">
        <f>IFERROR(__xludf.DUMMYFUNCTION("""COMPUTED_VALUE"""),274.0)</f>
        <v>274</v>
      </c>
      <c r="P1537" s="2"/>
      <c r="Q1537" s="2" t="str">
        <f>IFERROR(__xludf.DUMMYFUNCTION("""COMPUTED_VALUE"""),"FOR PRINT")</f>
        <v>FOR PRINT</v>
      </c>
      <c r="R1537" s="74">
        <f>IFERROR(__xludf.DUMMYFUNCTION("""COMPUTED_VALUE"""),46131.0)</f>
        <v>46131</v>
      </c>
      <c r="S1537" s="2" t="str">
        <f>IFERROR(__xludf.DUMMYFUNCTION("""COMPUTED_VALUE"""),"FPJ/JAH")</f>
        <v>FPJ/JAH</v>
      </c>
      <c r="T1537" s="73" t="str">
        <f>IFERROR(__xludf.DUMMYFUNCTION("""COMPUTED_VALUE""")," N/A ")</f>
        <v>N/A</v>
      </c>
      <c r="U1537" s="73" t="str">
        <f>IFERROR(__xludf.DUMMYFUNCTION("""COMPUTED_VALUE""")," NO CHARGE ")</f>
        <v>NO CHARGE</v>
      </c>
      <c r="V1537" s="2">
        <f>IFERROR(__xludf.DUMMYFUNCTION("""COMPUTED_VALUE"""),1572.0)</f>
        <v>1572</v>
      </c>
      <c r="W1537" s="2" t="str">
        <f>IFERROR(__xludf.DUMMYFUNCTION("""COMPUTED_VALUE"""),"N/A")</f>
        <v>N/A</v>
      </c>
      <c r="X1537" s="2" t="str">
        <f>IFERROR(__xludf.DUMMYFUNCTION("""COMPUTED_VALUE"""),"N/A")</f>
        <v>N/A</v>
      </c>
      <c r="Y1537" s="2"/>
      <c r="Z1537" s="2"/>
      <c r="AA1537" s="2"/>
      <c r="AB1537" s="2"/>
      <c r="AC1537" s="2"/>
      <c r="AD1537" s="2"/>
      <c r="AE1537" s="2"/>
      <c r="AF1537" s="2"/>
      <c r="AG1537" s="2"/>
      <c r="AH1537" s="2"/>
      <c r="AI1537" s="2"/>
      <c r="AJ1537" s="2" t="str">
        <f>IFERROR(__xludf.DUMMYFUNCTION("""COMPUTED_VALUE"""),"Gitabla")</f>
        <v>Gitabla</v>
      </c>
      <c r="AK1537" s="2" t="str">
        <f>IFERROR(__xludf.DUMMYFUNCTION("""COMPUTED_VALUE"""),"Julita")</f>
        <v>Julita</v>
      </c>
      <c r="AL1537" s="2" t="str">
        <f>IFERROR(__xludf.DUMMYFUNCTION("""COMPUTED_VALUE"""),"Leyte")</f>
        <v>Leyte</v>
      </c>
      <c r="AM1537" s="2">
        <f>IFERROR(__xludf.DUMMYFUNCTION("""COMPUTED_VALUE"""),8.0)</f>
        <v>8</v>
      </c>
      <c r="AN1537" s="2" t="str">
        <f>IFERROR(__xludf.DUMMYFUNCTION("""COMPUTED_VALUE"""),"RCEF 25-03-05")</f>
        <v>RCEF 25-03-05</v>
      </c>
      <c r="AO1537" s="2">
        <f>IFERROR(__xludf.DUMMYFUNCTION("""COMPUTED_VALUE"""),7.0)</f>
        <v>7</v>
      </c>
      <c r="AP1537" s="2" t="str">
        <f>IFERROR(__xludf.DUMMYFUNCTION("""COMPUTED_VALUE"""),"FREE PMS")</f>
        <v>FREE PMS</v>
      </c>
      <c r="AQ1537" s="2"/>
      <c r="AR1537" s="2"/>
      <c r="AS1537" s="2"/>
      <c r="AT1537" s="2"/>
      <c r="AU1537" s="2"/>
      <c r="AV1537" s="2"/>
      <c r="AW1537" s="2"/>
      <c r="AX1537" s="2"/>
      <c r="AY1537" s="2"/>
      <c r="AZ1537" s="2"/>
      <c r="BA1537" s="2"/>
      <c r="BB1537" s="2"/>
    </row>
    <row r="1538">
      <c r="A1538" s="2">
        <f>IFERROR(__xludf.DUMMYFUNCTION("""COMPUTED_VALUE"""),1534.0)</f>
        <v>1534</v>
      </c>
      <c r="B1538" s="2" t="str">
        <f>IFERROR(__xludf.DUMMYFUNCTION("""COMPUTED_VALUE"""),"COMPLETED")</f>
        <v>COMPLETED</v>
      </c>
      <c r="C1538" s="78">
        <f>IFERROR(__xludf.DUMMYFUNCTION("""COMPUTED_VALUE"""),46097.0)</f>
        <v>46097</v>
      </c>
      <c r="D1538" s="71" t="str">
        <f>IFERROR(__xludf.DUMMYFUNCTION("""COMPUTED_VALUE"""),"BEPACAL IRRIGATORS ASSOCIATION, INC.")</f>
        <v>BEPACAL IRRIGATORS ASSOCIATION, INC.</v>
      </c>
      <c r="E1538" s="71" t="str">
        <f>IFERROR(__xludf.DUMMYFUNCTION("""COMPUTED_VALUE"""),"San Isidro, San Luis, PAMPANGA")</f>
        <v>San Isidro, San Luis, PAMPANGA</v>
      </c>
      <c r="F1538" s="2" t="str">
        <f>IFERROR(__xludf.DUMMYFUNCTION("""COMPUTED_VALUE"""),"LUICIANO SALAS")</f>
        <v>LUICIANO SALAS</v>
      </c>
      <c r="G1538" s="2">
        <f>IFERROR(__xludf.DUMMYFUNCTION("""COMPUTED_VALUE"""),9.518664252E9)</f>
        <v>9518664252</v>
      </c>
      <c r="H1538" s="2"/>
      <c r="I1538" s="72" t="str">
        <f>IFERROR(__xludf.DUMMYFUNCTION("""COMPUTED_VALUE"""),"REPAIR - DISC PLOW")</f>
        <v>REPAIR - DISC PLOW</v>
      </c>
      <c r="J1538" s="72" t="str">
        <f>IFERROR(__xludf.DUMMYFUNCTION("""COMPUTED_VALUE"""),"Disc")</f>
        <v>Disc</v>
      </c>
      <c r="K1538" s="72" t="str">
        <f>IFERROR(__xludf.DUMMYFUNCTION("""COMPUTED_VALUE"""),"MYK: DISC PLOW PROBLEM, YUNG NASA UNANG 2 DISC NATANGAL,  PATI BEARING AT SHAFTING NATANGAL")</f>
        <v>MYK: DISC PLOW PROBLEM, YUNG NASA UNANG 2 DISC NATANGAL,  PATI BEARING AT SHAFTING NATANGAL</v>
      </c>
      <c r="L1538" s="72" t="str">
        <f>IFERROR(__xludf.DUMMYFUNCTION("""COMPUTED_VALUE"""),"TO CALL- TO CONFIRM PARTS NEEDED
TO CALL BY RBS -  OK NA NAG UNIT")</f>
        <v>TO CALL- TO CONFIRM PARTS NEEDED
TO CALL BY RBS -  OK NA NAG UNIT</v>
      </c>
      <c r="M1538" s="2"/>
      <c r="N1538" s="2"/>
      <c r="O1538" s="2" t="str">
        <f>IFERROR(__xludf.DUMMYFUNCTION("""COMPUTED_VALUE"""),"N/A")</f>
        <v>N/A</v>
      </c>
      <c r="P1538" s="2"/>
      <c r="Q1538" s="2"/>
      <c r="R1538" s="74">
        <f>IFERROR(__xludf.DUMMYFUNCTION("""COMPUTED_VALUE"""),46135.0)</f>
        <v>46135</v>
      </c>
      <c r="S1538" s="2" t="str">
        <f>IFERROR(__xludf.DUMMYFUNCTION("""COMPUTED_VALUE"""),"RBS")</f>
        <v>RBS</v>
      </c>
      <c r="T1538" s="73" t="str">
        <f>IFERROR(__xludf.DUMMYFUNCTION("""COMPUTED_VALUE""")," N/A ")</f>
        <v>N/A</v>
      </c>
      <c r="U1538" s="73" t="str">
        <f>IFERROR(__xludf.DUMMYFUNCTION("""COMPUTED_VALUE""")," NO CHARGE ")</f>
        <v>NO CHARGE</v>
      </c>
      <c r="V1538" s="2" t="str">
        <f>IFERROR(__xludf.DUMMYFUNCTION("""COMPUTED_VALUE"""),"N/A")</f>
        <v>N/A</v>
      </c>
      <c r="W1538" s="2" t="str">
        <f>IFERROR(__xludf.DUMMYFUNCTION("""COMPUTED_VALUE"""),"N/A")</f>
        <v>N/A</v>
      </c>
      <c r="X1538" s="2" t="str">
        <f>IFERROR(__xludf.DUMMYFUNCTION("""COMPUTED_VALUE"""),"N/A")</f>
        <v>N/A</v>
      </c>
      <c r="Y1538" s="2"/>
      <c r="Z1538" s="2"/>
      <c r="AA1538" s="2"/>
      <c r="AB1538" s="2"/>
      <c r="AC1538" s="2"/>
      <c r="AD1538" s="2"/>
      <c r="AE1538" s="2"/>
      <c r="AF1538" s="2"/>
      <c r="AG1538" s="2"/>
      <c r="AH1538" s="2"/>
      <c r="AI1538" s="2"/>
      <c r="AJ1538" s="2" t="str">
        <f>IFERROR(__xludf.DUMMYFUNCTION("""COMPUTED_VALUE"""),"San Isidro")</f>
        <v>San Isidro</v>
      </c>
      <c r="AK1538" s="2" t="str">
        <f>IFERROR(__xludf.DUMMYFUNCTION("""COMPUTED_VALUE"""),"San Luis")</f>
        <v>San Luis</v>
      </c>
      <c r="AL1538" s="2" t="str">
        <f>IFERROR(__xludf.DUMMYFUNCTION("""COMPUTED_VALUE"""),"Pampanga")</f>
        <v>Pampanga</v>
      </c>
      <c r="AM1538" s="2">
        <f>IFERROR(__xludf.DUMMYFUNCTION("""COMPUTED_VALUE"""),3.0)</f>
        <v>3</v>
      </c>
      <c r="AN1538" s="2" t="str">
        <f>IFERROR(__xludf.DUMMYFUNCTION("""COMPUTED_VALUE"""),"RCEF 25-03-05")</f>
        <v>RCEF 25-03-05</v>
      </c>
      <c r="AO1538" s="2">
        <f>IFERROR(__xludf.DUMMYFUNCTION("""COMPUTED_VALUE"""),5.0)</f>
        <v>5</v>
      </c>
      <c r="AP1538" s="2" t="str">
        <f>IFERROR(__xludf.DUMMYFUNCTION("""COMPUTED_VALUE"""),"FREE PMS")</f>
        <v>FREE PMS</v>
      </c>
      <c r="AQ1538" s="2"/>
      <c r="AR1538" s="2"/>
      <c r="AS1538" s="2"/>
      <c r="AT1538" s="2"/>
      <c r="AU1538" s="2"/>
      <c r="AV1538" s="2"/>
      <c r="AW1538" s="2"/>
      <c r="AX1538" s="2"/>
      <c r="AY1538" s="2"/>
      <c r="AZ1538" s="2"/>
      <c r="BA1538" s="2"/>
      <c r="BB1538" s="2"/>
    </row>
    <row r="1539">
      <c r="A1539" s="2">
        <f>IFERROR(__xludf.DUMMYFUNCTION("""COMPUTED_VALUE"""),1535.0)</f>
        <v>1535</v>
      </c>
      <c r="B1539" s="2" t="str">
        <f>IFERROR(__xludf.DUMMYFUNCTION("""COMPUTED_VALUE"""),"COMPLETED")</f>
        <v>COMPLETED</v>
      </c>
      <c r="C1539" s="78">
        <f>IFERROR(__xludf.DUMMYFUNCTION("""COMPUTED_VALUE"""),46097.0)</f>
        <v>46097</v>
      </c>
      <c r="D1539" s="71" t="str">
        <f>IFERROR(__xludf.DUMMYFUNCTION("""COMPUTED_VALUE"""),"ZARALICA FARMERS ASSOCIATION Inc.")</f>
        <v>ZARALICA FARMERS ASSOCIATION Inc.</v>
      </c>
      <c r="E1539" s="71" t="str">
        <f>IFERROR(__xludf.DUMMYFUNCTION("""COMPUTED_VALUE"""),"Santa Lucia Old, Zaragosa, NUEVA ECIJA")</f>
        <v>Santa Lucia Old, Zaragosa, NUEVA ECIJA</v>
      </c>
      <c r="F1539" s="2" t="str">
        <f>IFERROR(__xludf.DUMMYFUNCTION("""COMPUTED_VALUE"""),"Ricky Gaytan")</f>
        <v>Ricky Gaytan</v>
      </c>
      <c r="G1539" s="2">
        <f>IFERROR(__xludf.DUMMYFUNCTION("""COMPUTED_VALUE"""),9.534269961E9)</f>
        <v>9534269961</v>
      </c>
      <c r="H1539" s="2">
        <f>IFERROR(__xludf.DUMMYFUNCTION("""COMPUTED_VALUE"""),217.0)</f>
        <v>217</v>
      </c>
      <c r="I1539" s="72" t="str">
        <f>IFERROR(__xludf.DUMMYFUNCTION("""COMPUTED_VALUE"""),"REPAIR - TRACTOR")</f>
        <v>REPAIR - TRACTOR</v>
      </c>
      <c r="J1539" s="72" t="str">
        <f>IFERROR(__xludf.DUMMYFUNCTION("""COMPUTED_VALUE"""),"Electrical - Harness")</f>
        <v>Electrical - Harness</v>
      </c>
      <c r="K1539" s="72" t="str">
        <f>IFERROR(__xludf.DUMMYFUNCTION("""COMPUTED_VALUE"""),"""DATE DELIVERED:  DECEMBER 2025
MYK: MAY UMUSOK SA FUSE BOX, SUNOG YUNG MGA FUSE (4) , NAWALA ANG ILAW NG HEADLIGHT, NAWALA ANG ILAW NG A/M NG ROTAVATOR SA DASHBOARD. SUNOG ANG MGA WIRING NA NAKAKABIT SA FUSE BOX")</f>
        <v>"DATE DELIVERED:  DECEMBER 2025
MYK: MAY UMUSOK SA FUSE BOX, SUNOG YUNG MGA FUSE (4) , NAWALA ANG ILAW NG HEADLIGHT, NAWALA ANG ILAW NG A/M NG ROTAVATOR SA DASHBOARD. SUNOG ANG MGA WIRING NA NAKAKABIT SA FUSE BOX</v>
      </c>
      <c r="L1539" s="72" t="str">
        <f>IFERROR(__xludf.DUMMYFUNCTION("""COMPUTED_VALUE"""),"JHP,DRM:  CONCERN: Sunog ang mga Harness (WITH PICTURES)
ECM: SAME CASE NI BAGONG HENERASYONG ZAMBALES
5/24/26 - DSD: 886: DEFECTIVE DIODE, RELAY ANG BURNED WIRINGS, WE REPLACED DIODE, RELAY ,AND WIRES")</f>
        <v>JHP,DRM:  CONCERN: Sunog ang mga Harness (WITH PICTURES)
ECM: SAME CASE NI BAGONG HENERASYONG ZAMBALES
5/24/26 - DSD: 886: DEFECTIVE DIODE, RELAY ANG BURNED WIRINGS, WE REPLACED DIODE, RELAY ,AND WIRES</v>
      </c>
      <c r="M1539" s="2" t="str">
        <f>IFERROR(__xludf.DUMMYFUNCTION("""COMPUTED_VALUE"""),"COMBINATION LAMP SWITCH")</f>
        <v>COMBINATION LAMP SWITCH</v>
      </c>
      <c r="N1539" s="2" t="str">
        <f>IFERROR(__xludf.DUMMYFUNCTION("""COMPUTED_VALUE"""),"PARTS:
6 - DIODE 
RELAY 
3 - WIRE")</f>
        <v>PARTS:
6 - DIODE 
RELAY 
3 - WIRE</v>
      </c>
      <c r="O1539" s="2">
        <f>IFERROR(__xludf.DUMMYFUNCTION("""COMPUTED_VALUE"""),886.0)</f>
        <v>886</v>
      </c>
      <c r="P1539" s="2" t="str">
        <f>IFERROR(__xludf.DUMMYFUNCTION("""COMPUTED_VALUE"""),"0886 - ZARALICA FARMERS ASSOCIATION INC..pdf")</f>
        <v>0886 - ZARALICA FARMERS ASSOCIATION INC..pdf</v>
      </c>
      <c r="Q1539" s="2" t="str">
        <f>IFERROR(__xludf.DUMMYFUNCTION("""COMPUTED_VALUE"""),"FOR PRINT")</f>
        <v>FOR PRINT</v>
      </c>
      <c r="R1539" s="2" t="str">
        <f>IFERROR(__xludf.DUMMYFUNCTION("""COMPUTED_VALUE"""),"5/242/6")</f>
        <v>5/242/6</v>
      </c>
      <c r="S1539" s="2" t="str">
        <f>IFERROR(__xludf.DUMMYFUNCTION("""COMPUTED_VALUE"""),"DSD/JDP")</f>
        <v>DSD/JDP</v>
      </c>
      <c r="T1539" s="73" t="str">
        <f>IFERROR(__xludf.DUMMYFUNCTION("""COMPUTED_VALUE""")," N/A ")</f>
        <v>N/A</v>
      </c>
      <c r="U1539" s="73" t="str">
        <f>IFERROR(__xludf.DUMMYFUNCTION("""COMPUTED_VALUE""")," NO CHARGE ")</f>
        <v>NO CHARGE</v>
      </c>
      <c r="V1539" s="2" t="str">
        <f>IFERROR(__xludf.DUMMYFUNCTION("""COMPUTED_VALUE"""),"N/A")</f>
        <v>N/A</v>
      </c>
      <c r="W1539" s="2" t="str">
        <f>IFERROR(__xludf.DUMMYFUNCTION("""COMPUTED_VALUE"""),"N/A")</f>
        <v>N/A</v>
      </c>
      <c r="X1539" s="2" t="str">
        <f>IFERROR(__xludf.DUMMYFUNCTION("""COMPUTED_VALUE"""),"N/A")</f>
        <v>N/A</v>
      </c>
      <c r="Y1539" s="2"/>
      <c r="Z1539" s="2"/>
      <c r="AA1539" s="2"/>
      <c r="AB1539" s="2"/>
      <c r="AC1539" s="2"/>
      <c r="AD1539" s="2"/>
      <c r="AE1539" s="2"/>
      <c r="AF1539" s="2"/>
      <c r="AG1539" s="2"/>
      <c r="AH1539" s="2"/>
      <c r="AI1539" s="2"/>
      <c r="AJ1539" s="2" t="str">
        <f>IFERROR(__xludf.DUMMYFUNCTION("""COMPUTED_VALUE"""),"Santa Lucia Old")</f>
        <v>Santa Lucia Old</v>
      </c>
      <c r="AK1539" s="2" t="str">
        <f>IFERROR(__xludf.DUMMYFUNCTION("""COMPUTED_VALUE"""),"Zaragosa")</f>
        <v>Zaragosa</v>
      </c>
      <c r="AL1539" s="2" t="str">
        <f>IFERROR(__xludf.DUMMYFUNCTION("""COMPUTED_VALUE"""),"Nueva Ecija")</f>
        <v>Nueva Ecija</v>
      </c>
      <c r="AM1539" s="2">
        <f>IFERROR(__xludf.DUMMYFUNCTION("""COMPUTED_VALUE"""),3.0)</f>
        <v>3</v>
      </c>
      <c r="AN1539" s="2" t="str">
        <f>IFERROR(__xludf.DUMMYFUNCTION("""COMPUTED_VALUE"""),"RCEF 25-03-05")</f>
        <v>RCEF 25-03-05</v>
      </c>
      <c r="AO1539" s="2">
        <f>IFERROR(__xludf.DUMMYFUNCTION("""COMPUTED_VALUE"""),5.0)</f>
        <v>5</v>
      </c>
      <c r="AP1539" s="2" t="str">
        <f>IFERROR(__xludf.DUMMYFUNCTION("""COMPUTED_VALUE"""),"FREE PMS")</f>
        <v>FREE PMS</v>
      </c>
      <c r="AQ1539" s="2"/>
      <c r="AR1539" s="2"/>
      <c r="AS1539" s="2"/>
      <c r="AT1539" s="2"/>
      <c r="AU1539" s="2"/>
      <c r="AV1539" s="2"/>
      <c r="AW1539" s="2"/>
      <c r="AX1539" s="2"/>
      <c r="AY1539" s="2"/>
      <c r="AZ1539" s="2"/>
      <c r="BA1539" s="2"/>
      <c r="BB1539" s="2"/>
    </row>
    <row r="1540">
      <c r="A1540" s="2">
        <f>IFERROR(__xludf.DUMMYFUNCTION("""COMPUTED_VALUE"""),1536.0)</f>
        <v>1536</v>
      </c>
      <c r="B1540" s="2" t="str">
        <f>IFERROR(__xludf.DUMMYFUNCTION("""COMPUTED_VALUE"""),"PENDING")</f>
        <v>PENDING</v>
      </c>
      <c r="C1540" s="78">
        <f>IFERROR(__xludf.DUMMYFUNCTION("""COMPUTED_VALUE"""),46097.0)</f>
        <v>46097</v>
      </c>
      <c r="D1540" s="71" t="str">
        <f>IFERROR(__xludf.DUMMYFUNCTION("""COMPUTED_VALUE"""),"TILIPATIO-GULOD IRRIGATORS ASSOCIATION INC.,")</f>
        <v>TILIPATIO-GULOD IRRIGATORS ASSOCIATION INC.,</v>
      </c>
      <c r="E1540" s="71" t="str">
        <f>IFERROR(__xludf.DUMMYFUNCTION("""COMPUTED_VALUE"""),"Burol, General Mamerto Natividad, NUEVA ECIJA")</f>
        <v>Burol, General Mamerto Natividad, NUEVA ECIJA</v>
      </c>
      <c r="F1540" s="2" t="str">
        <f>IFERROR(__xludf.DUMMYFUNCTION("""COMPUTED_VALUE"""),"Nicanor Santos")</f>
        <v>Nicanor Santos</v>
      </c>
      <c r="G1540" s="2">
        <f>IFERROR(__xludf.DUMMYFUNCTION("""COMPUTED_VALUE"""),9.055948597E9)</f>
        <v>9055948597</v>
      </c>
      <c r="H1540" s="2">
        <f>IFERROR(__xludf.DUMMYFUNCTION("""COMPUTED_VALUE"""),50.0)</f>
        <v>50</v>
      </c>
      <c r="I1540" s="72" t="str">
        <f>IFERROR(__xludf.DUMMYFUNCTION("""COMPUTED_VALUE"""),"PMS")</f>
        <v>PMS</v>
      </c>
      <c r="J1540" s="72" t="str">
        <f>IFERROR(__xludf.DUMMYFUNCTION("""COMPUTED_VALUE"""),"PMS")</f>
        <v>PMS</v>
      </c>
      <c r="K1540" s="72" t="str">
        <f>IFERROR(__xludf.DUMMYFUNCTION("""COMPUTED_VALUE"""),"MYK: 1ST PMS FREE
- DASHBOARD PROBLEM,  MAY ILAW PERO HINDI LUMALABAS ANG READING, AYAW  PUMALO NG RPM AT FUEL (with picture)")</f>
        <v>MYK: 1ST PMS FREE
- DASHBOARD PROBLEM,  MAY ILAW PERO HINDI LUMALABAS ANG READING, AYAW  PUMALO NG RPM AT FUEL (with picture)</v>
      </c>
      <c r="L1540" s="72" t="str">
        <f>IFERROR(__xludf.DUMMYFUNCTION("""COMPUTED_VALUE"""),"JDP: 3/31/26: TROUBLESHOOT DASHBOARD ilaw lang ang gumagana sa dashboard , NEED TO REPLACEED DASHBOARD")</f>
        <v>JDP: 3/31/26: TROUBLESHOOT DASHBOARD ilaw lang ang gumagana sa dashboard , NEED TO REPLACEED DASHBOARD</v>
      </c>
      <c r="M1540" s="2" t="str">
        <f>IFERROR(__xludf.DUMMYFUNCTION("""COMPUTED_VALUE"""),"METER PANEL")</f>
        <v>METER PANEL</v>
      </c>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t="str">
        <f>IFERROR(__xludf.DUMMYFUNCTION("""COMPUTED_VALUE"""),"Burol")</f>
        <v>Burol</v>
      </c>
      <c r="AK1540" s="2" t="str">
        <f>IFERROR(__xludf.DUMMYFUNCTION("""COMPUTED_VALUE"""),"General Mamerto Natividad")</f>
        <v>General Mamerto Natividad</v>
      </c>
      <c r="AL1540" s="2" t="str">
        <f>IFERROR(__xludf.DUMMYFUNCTION("""COMPUTED_VALUE"""),"Nueva Ecija")</f>
        <v>Nueva Ecija</v>
      </c>
      <c r="AM1540" s="2">
        <f>IFERROR(__xludf.DUMMYFUNCTION("""COMPUTED_VALUE"""),3.0)</f>
        <v>3</v>
      </c>
      <c r="AN1540" s="2" t="str">
        <f>IFERROR(__xludf.DUMMYFUNCTION("""COMPUTED_VALUE"""),"RCEF 25-03-05")</f>
        <v>RCEF 25-03-05</v>
      </c>
      <c r="AO1540" s="2">
        <f>IFERROR(__xludf.DUMMYFUNCTION("""COMPUTED_VALUE"""),5.0)</f>
        <v>5</v>
      </c>
      <c r="AP1540" s="2" t="str">
        <f>IFERROR(__xludf.DUMMYFUNCTION("""COMPUTED_VALUE"""),"FREE PMS")</f>
        <v>FREE PMS</v>
      </c>
      <c r="AQ1540" s="2"/>
      <c r="AR1540" s="2"/>
      <c r="AS1540" s="2"/>
      <c r="AT1540" s="2"/>
      <c r="AU1540" s="2"/>
      <c r="AV1540" s="2"/>
      <c r="AW1540" s="2"/>
      <c r="AX1540" s="2"/>
      <c r="AY1540" s="2"/>
      <c r="AZ1540" s="2"/>
      <c r="BA1540" s="2"/>
      <c r="BB1540" s="2"/>
    </row>
    <row r="1541">
      <c r="A1541" s="2">
        <f>IFERROR(__xludf.DUMMYFUNCTION("""COMPUTED_VALUE"""),1537.0)</f>
        <v>1537</v>
      </c>
      <c r="B1541" s="2" t="str">
        <f>IFERROR(__xludf.DUMMYFUNCTION("""COMPUTED_VALUE"""),"COMPLETED")</f>
        <v>COMPLETED</v>
      </c>
      <c r="C1541" s="78">
        <f>IFERROR(__xludf.DUMMYFUNCTION("""COMPUTED_VALUE"""),46099.0)</f>
        <v>46099</v>
      </c>
      <c r="D1541" s="71" t="str">
        <f>IFERROR(__xludf.DUMMYFUNCTION("""COMPUTED_VALUE"""),"Bantug Agricultural Multipurpose Cooperative, Inc.")</f>
        <v>Bantug Agricultural Multipurpose Cooperative, Inc.</v>
      </c>
      <c r="E1541" s="71" t="str">
        <f>IFERROR(__xludf.DUMMYFUNCTION("""COMPUTED_VALUE"""),"Bantug, Talavera, NUEVA ECIJA")</f>
        <v>Bantug, Talavera, NUEVA ECIJA</v>
      </c>
      <c r="F1541" s="2" t="str">
        <f>IFERROR(__xludf.DUMMYFUNCTION("""COMPUTED_VALUE"""),"Victorino Robles")</f>
        <v>Victorino Robles</v>
      </c>
      <c r="G1541" s="2">
        <f>IFERROR(__xludf.DUMMYFUNCTION("""COMPUTED_VALUE"""),9.450777121E9)</f>
        <v>9450777121</v>
      </c>
      <c r="H1541" s="2">
        <f>IFERROR(__xludf.DUMMYFUNCTION("""COMPUTED_VALUE"""),24.0)</f>
        <v>24</v>
      </c>
      <c r="I1541" s="72" t="str">
        <f>IFERROR(__xludf.DUMMYFUNCTION("""COMPUTED_VALUE"""),"PMS")</f>
        <v>PMS</v>
      </c>
      <c r="J1541" s="72"/>
      <c r="K1541" s="72" t="str">
        <f>IFERROR(__xludf.DUMMYFUNCTION("""COMPUTED_VALUE"""),"MYK: 1ST PMS FREE")</f>
        <v>MYK: 1ST PMS FREE</v>
      </c>
      <c r="L1541" s="72" t="str">
        <f>IFERROR(__xludf.DUMMYFUNCTION("""COMPUTED_VALUE"""),"JVV: 1ST PMS DONE")</f>
        <v>JVV: 1ST PMS DONE</v>
      </c>
      <c r="M1541" s="2"/>
      <c r="N1541" s="2" t="str">
        <f>IFERROR(__xludf.DUMMYFUNCTION("""COMPUTED_VALUE"""),"PARTS:
OIL FILTER
ENGINE OIL")</f>
        <v>PARTS:
OIL FILTER
ENGINE OIL</v>
      </c>
      <c r="O1541" s="2" t="str">
        <f>IFERROR(__xludf.DUMMYFUNCTION("""COMPUTED_VALUE"""),"NEED SERVICE REPORT FORM")</f>
        <v>NEED SERVICE REPORT FORM</v>
      </c>
      <c r="P1541" s="2"/>
      <c r="Q1541" s="2" t="str">
        <f>IFERROR(__xludf.DUMMYFUNCTION("""COMPUTED_VALUE"""),"FOR PRINT")</f>
        <v>FOR PRINT</v>
      </c>
      <c r="R1541" s="74">
        <f>IFERROR(__xludf.DUMMYFUNCTION("""COMPUTED_VALUE"""),46105.0)</f>
        <v>46105</v>
      </c>
      <c r="S1541" s="2" t="str">
        <f>IFERROR(__xludf.DUMMYFUNCTION("""COMPUTED_VALUE"""),"JVV/ACS")</f>
        <v>JVV/ACS</v>
      </c>
      <c r="T1541" s="73" t="str">
        <f>IFERROR(__xludf.DUMMYFUNCTION("""COMPUTED_VALUE""")," N/A ")</f>
        <v>N/A</v>
      </c>
      <c r="U1541" s="73" t="str">
        <f>IFERROR(__xludf.DUMMYFUNCTION("""COMPUTED_VALUE""")," NO CHARGE ")</f>
        <v>NO CHARGE</v>
      </c>
      <c r="V1541" s="2">
        <f>IFERROR(__xludf.DUMMYFUNCTION("""COMPUTED_VALUE"""),1802.0)</f>
        <v>1802</v>
      </c>
      <c r="W1541" s="2" t="str">
        <f>IFERROR(__xludf.DUMMYFUNCTION("""COMPUTED_VALUE"""),"N/A")</f>
        <v>N/A</v>
      </c>
      <c r="X1541" s="2" t="str">
        <f>IFERROR(__xludf.DUMMYFUNCTION("""COMPUTED_VALUE"""),"N/A")</f>
        <v>N/A</v>
      </c>
      <c r="Y1541" s="2"/>
      <c r="Z1541" s="2"/>
      <c r="AA1541" s="2"/>
      <c r="AB1541" s="2"/>
      <c r="AC1541" s="2"/>
      <c r="AD1541" s="2"/>
      <c r="AE1541" s="2"/>
      <c r="AF1541" s="2"/>
      <c r="AG1541" s="2"/>
      <c r="AH1541" s="2"/>
      <c r="AI1541" s="2"/>
      <c r="AJ1541" s="2" t="str">
        <f>IFERROR(__xludf.DUMMYFUNCTION("""COMPUTED_VALUE"""),"Bantug")</f>
        <v>Bantug</v>
      </c>
      <c r="AK1541" s="2" t="str">
        <f>IFERROR(__xludf.DUMMYFUNCTION("""COMPUTED_VALUE"""),"Talavera")</f>
        <v>Talavera</v>
      </c>
      <c r="AL1541" s="2" t="str">
        <f>IFERROR(__xludf.DUMMYFUNCTION("""COMPUTED_VALUE"""),"Nueva Ecija")</f>
        <v>Nueva Ecija</v>
      </c>
      <c r="AM1541" s="2">
        <f>IFERROR(__xludf.DUMMYFUNCTION("""COMPUTED_VALUE"""),3.0)</f>
        <v>3</v>
      </c>
      <c r="AN1541" s="2" t="str">
        <f>IFERROR(__xludf.DUMMYFUNCTION("""COMPUTED_VALUE"""),"RCEF 25-03-05")</f>
        <v>RCEF 25-03-05</v>
      </c>
      <c r="AO1541" s="2">
        <f>IFERROR(__xludf.DUMMYFUNCTION("""COMPUTED_VALUE"""),5.0)</f>
        <v>5</v>
      </c>
      <c r="AP1541" s="2" t="str">
        <f>IFERROR(__xludf.DUMMYFUNCTION("""COMPUTED_VALUE"""),"FREE PMS")</f>
        <v>FREE PMS</v>
      </c>
      <c r="AQ1541" s="2"/>
      <c r="AR1541" s="2"/>
      <c r="AS1541" s="2"/>
      <c r="AT1541" s="2"/>
      <c r="AU1541" s="2"/>
      <c r="AV1541" s="2"/>
      <c r="AW1541" s="2"/>
      <c r="AX1541" s="2"/>
      <c r="AY1541" s="2"/>
      <c r="AZ1541" s="2"/>
      <c r="BA1541" s="2"/>
      <c r="BB1541" s="2"/>
    </row>
    <row r="1542">
      <c r="A1542" s="2">
        <f>IFERROR(__xludf.DUMMYFUNCTION("""COMPUTED_VALUE"""),1538.0)</f>
        <v>1538</v>
      </c>
      <c r="B1542" s="2" t="str">
        <f>IFERROR(__xludf.DUMMYFUNCTION("""COMPUTED_VALUE"""),"COMPLETED")</f>
        <v>COMPLETED</v>
      </c>
      <c r="C1542" s="78">
        <f>IFERROR(__xludf.DUMMYFUNCTION("""COMPUTED_VALUE"""),46099.0)</f>
        <v>46099</v>
      </c>
      <c r="D1542" s="71" t="str">
        <f>IFERROR(__xludf.DUMMYFUNCTION("""COMPUTED_VALUE"""),"Barakbak Agrarian Reform Beneficiaries Cooperative")</f>
        <v>Barakbak Agrarian Reform Beneficiaries Cooperative</v>
      </c>
      <c r="E1542" s="71" t="str">
        <f>IFERROR(__xludf.DUMMYFUNCTION("""COMPUTED_VALUE"""),"Cadaanan, Solana, CAGAYAN")</f>
        <v>Cadaanan, Solana, CAGAYAN</v>
      </c>
      <c r="F1542" s="2" t="str">
        <f>IFERROR(__xludf.DUMMYFUNCTION("""COMPUTED_VALUE"""),"‎Pare Manuel New‎")</f>
        <v>‎Pare Manuel New‎</v>
      </c>
      <c r="G1542" s="2">
        <f>IFERROR(__xludf.DUMMYFUNCTION("""COMPUTED_VALUE"""),9.056412456E9)</f>
        <v>9056412456</v>
      </c>
      <c r="H1542" s="2">
        <f>IFERROR(__xludf.DUMMYFUNCTION("""COMPUTED_VALUE"""),168.0)</f>
        <v>168</v>
      </c>
      <c r="I1542" s="72" t="str">
        <f>IFERROR(__xludf.DUMMYFUNCTION("""COMPUTED_VALUE"""),"PMS")</f>
        <v>PMS</v>
      </c>
      <c r="J1542" s="72"/>
      <c r="K1542" s="72" t="str">
        <f>IFERROR(__xludf.DUMMYFUNCTION("""COMPUTED_VALUE"""),"1ST PMS FREE")</f>
        <v>1ST PMS FREE</v>
      </c>
      <c r="L1542" s="72" t="str">
        <f>IFERROR(__xludf.DUMMYFUNCTION("""COMPUTED_VALUE"""),"CFG: 1ST PMS DONE")</f>
        <v>CFG: 1ST PMS DONE</v>
      </c>
      <c r="M1542" s="2"/>
      <c r="N1542" s="2" t="str">
        <f>IFERROR(__xludf.DUMMYFUNCTION("""COMPUTED_VALUE"""),"PARTS:
OIL FILTER
ENGINE OIL")</f>
        <v>PARTS:
OIL FILTER
ENGINE OIL</v>
      </c>
      <c r="O1542" s="2">
        <f>IFERROR(__xludf.DUMMYFUNCTION("""COMPUTED_VALUE"""),757.0)</f>
        <v>757</v>
      </c>
      <c r="P1542" s="2"/>
      <c r="Q1542" s="2" t="str">
        <f>IFERROR(__xludf.DUMMYFUNCTION("""COMPUTED_VALUE"""),"FOR PRINT")</f>
        <v>FOR PRINT</v>
      </c>
      <c r="R1542" s="74">
        <f>IFERROR(__xludf.DUMMYFUNCTION("""COMPUTED_VALUE"""),46099.0)</f>
        <v>46099</v>
      </c>
      <c r="S1542" s="2" t="str">
        <f>IFERROR(__xludf.DUMMYFUNCTION("""COMPUTED_VALUE"""),"CFG")</f>
        <v>CFG</v>
      </c>
      <c r="T1542" s="73" t="str">
        <f>IFERROR(__xludf.DUMMYFUNCTION("""COMPUTED_VALUE""")," N/A ")</f>
        <v>N/A</v>
      </c>
      <c r="U1542" s="73" t="str">
        <f>IFERROR(__xludf.DUMMYFUNCTION("""COMPUTED_VALUE""")," NO CHARGE ")</f>
        <v>NO CHARGE</v>
      </c>
      <c r="V1542" s="2" t="str">
        <f>IFERROR(__xludf.DUMMYFUNCTION("""COMPUTED_VALUE"""),"NO DR")</f>
        <v>NO DR</v>
      </c>
      <c r="W1542" s="2" t="str">
        <f>IFERROR(__xludf.DUMMYFUNCTION("""COMPUTED_VALUE"""),"N/A")</f>
        <v>N/A</v>
      </c>
      <c r="X1542" s="2" t="str">
        <f>IFERROR(__xludf.DUMMYFUNCTION("""COMPUTED_VALUE"""),"N/A")</f>
        <v>N/A</v>
      </c>
      <c r="Y1542" s="2"/>
      <c r="Z1542" s="2"/>
      <c r="AA1542" s="2"/>
      <c r="AB1542" s="2"/>
      <c r="AC1542" s="2"/>
      <c r="AD1542" s="2"/>
      <c r="AE1542" s="2"/>
      <c r="AF1542" s="2"/>
      <c r="AG1542" s="2"/>
      <c r="AH1542" s="2"/>
      <c r="AI1542" s="2"/>
      <c r="AJ1542" s="2" t="str">
        <f>IFERROR(__xludf.DUMMYFUNCTION("""COMPUTED_VALUE"""),"Cadaanan")</f>
        <v>Cadaanan</v>
      </c>
      <c r="AK1542" s="2" t="str">
        <f>IFERROR(__xludf.DUMMYFUNCTION("""COMPUTED_VALUE"""),"Solana")</f>
        <v>Solana</v>
      </c>
      <c r="AL1542" s="2" t="str">
        <f>IFERROR(__xludf.DUMMYFUNCTION("""COMPUTED_VALUE"""),"Cagayan")</f>
        <v>Cagayan</v>
      </c>
      <c r="AM1542" s="2">
        <f>IFERROR(__xludf.DUMMYFUNCTION("""COMPUTED_VALUE"""),2.0)</f>
        <v>2</v>
      </c>
      <c r="AN1542" s="2" t="str">
        <f>IFERROR(__xludf.DUMMYFUNCTION("""COMPUTED_VALUE"""),"Repeat Order")</f>
        <v>Repeat Order</v>
      </c>
      <c r="AO1542" s="2">
        <f>IFERROR(__xludf.DUMMYFUNCTION("""COMPUTED_VALUE"""),6.0)</f>
        <v>6</v>
      </c>
      <c r="AP1542" s="2" t="str">
        <f>IFERROR(__xludf.DUMMYFUNCTION("""COMPUTED_VALUE"""),"FREE PMS")</f>
        <v>FREE PMS</v>
      </c>
      <c r="AQ1542" s="2"/>
      <c r="AR1542" s="2"/>
      <c r="AS1542" s="2"/>
      <c r="AT1542" s="2"/>
      <c r="AU1542" s="2"/>
      <c r="AV1542" s="2"/>
      <c r="AW1542" s="2"/>
      <c r="AX1542" s="2"/>
      <c r="AY1542" s="2"/>
      <c r="AZ1542" s="2"/>
      <c r="BA1542" s="2"/>
      <c r="BB1542" s="2"/>
    </row>
    <row r="1543">
      <c r="A1543" s="2">
        <f>IFERROR(__xludf.DUMMYFUNCTION("""COMPUTED_VALUE"""),1539.0)</f>
        <v>1539</v>
      </c>
      <c r="B1543" s="2" t="str">
        <f>IFERROR(__xludf.DUMMYFUNCTION("""COMPUTED_VALUE"""),"COMPLETED")</f>
        <v>COMPLETED</v>
      </c>
      <c r="C1543" s="74">
        <f>IFERROR(__xludf.DUMMYFUNCTION("""COMPUTED_VALUE"""),46099.0)</f>
        <v>46099</v>
      </c>
      <c r="D1543" s="71" t="str">
        <f>IFERROR(__xludf.DUMMYFUNCTION("""COMPUTED_VALUE"""),"ALLIANCE OF FARMERS ASSOCIATION OF ORCONUMA (AFAO)")</f>
        <v>ALLIANCE OF FARMERS ASSOCIATION OF ORCONUMA (AFAO)</v>
      </c>
      <c r="E1543" s="71" t="str">
        <f>IFERROR(__xludf.DUMMYFUNCTION("""COMPUTED_VALUE"""),"Orconuma, Bongabong, Oriental Mindoro")</f>
        <v>Orconuma, Bongabong, Oriental Mindoro</v>
      </c>
      <c r="F1543" s="2"/>
      <c r="G1543" s="2"/>
      <c r="H1543" s="2"/>
      <c r="I1543" s="72" t="str">
        <f>IFERROR(__xludf.DUMMYFUNCTION("""COMPUTED_VALUE"""),"SPARE PARTS ACQUISITION")</f>
        <v>SPARE PARTS ACQUISITION</v>
      </c>
      <c r="J1543" s="72"/>
      <c r="K1543" s="72" t="str">
        <f>IFERROR(__xludf.DUMMYFUNCTION("""COMPUTED_VALUE"""),"PARTS REQUEST :  REAR AXLE OIL SEAL TA00033423A")</f>
        <v>PARTS REQUEST :  REAR AXLE OIL SEAL TA00033423A</v>
      </c>
      <c r="L1543" s="72" t="str">
        <f>IFERROR(__xludf.DUMMYFUNCTION("""COMPUTED_VALUE"""),"RCG: DELIVERED - sales only")</f>
        <v>RCG: DELIVERED - sales only</v>
      </c>
      <c r="M1543" s="2"/>
      <c r="N1543" s="2" t="str">
        <f>IFERROR(__xludf.DUMMYFUNCTION("""COMPUTED_VALUE"""),"PARTS:
REAR AXLE OIL SEAL TA00033423A")</f>
        <v>PARTS:
REAR AXLE OIL SEAL TA00033423A</v>
      </c>
      <c r="O1543" s="2" t="str">
        <f>IFERROR(__xludf.DUMMYFUNCTION("""COMPUTED_VALUE"""),"N/A")</f>
        <v>N/A</v>
      </c>
      <c r="P1543" s="2"/>
      <c r="Q1543" s="2" t="str">
        <f>IFERROR(__xludf.DUMMYFUNCTION("""COMPUTED_VALUE"""),"FOR PRINT")</f>
        <v>FOR PRINT</v>
      </c>
      <c r="R1543" s="74">
        <f>IFERROR(__xludf.DUMMYFUNCTION("""COMPUTED_VALUE"""),46099.0)</f>
        <v>46099</v>
      </c>
      <c r="S1543" s="2" t="str">
        <f>IFERROR(__xludf.DUMMYFUNCTION("""COMPUTED_VALUE"""),"RCG")</f>
        <v>RCG</v>
      </c>
      <c r="T1543" s="73">
        <f>IFERROR(__xludf.DUMMYFUNCTION("""COMPUTED_VALUE"""),6000.0)</f>
        <v>6000</v>
      </c>
      <c r="U1543" s="73" t="str">
        <f>IFERROR(__xludf.DUMMYFUNCTION("""COMPUTED_VALUE""")," REMITTED ")</f>
        <v>REMITTED</v>
      </c>
      <c r="V1543" s="2">
        <f>IFERROR(__xludf.DUMMYFUNCTION("""COMPUTED_VALUE"""),1446.0)</f>
        <v>1446</v>
      </c>
      <c r="W1543" s="2">
        <f>IFERROR(__xludf.DUMMYFUNCTION("""COMPUTED_VALUE"""),2004.0)</f>
        <v>2004</v>
      </c>
      <c r="X1543" s="2">
        <f>IFERROR(__xludf.DUMMYFUNCTION("""COMPUTED_VALUE"""),1742.0)</f>
        <v>1742</v>
      </c>
      <c r="Y1543" s="2"/>
      <c r="Z1543" s="2"/>
      <c r="AA1543" s="2"/>
      <c r="AB1543" s="2"/>
      <c r="AC1543" s="2"/>
      <c r="AD1543" s="2"/>
      <c r="AE1543" s="2"/>
      <c r="AF1543" s="2"/>
      <c r="AG1543" s="2"/>
      <c r="AH1543" s="2"/>
      <c r="AI1543" s="2"/>
      <c r="AJ1543" s="2" t="str">
        <f>IFERROR(__xludf.DUMMYFUNCTION("""COMPUTED_VALUE"""),"Orconuma")</f>
        <v>Orconuma</v>
      </c>
      <c r="AK1543" s="2" t="str">
        <f>IFERROR(__xludf.DUMMYFUNCTION("""COMPUTED_VALUE"""),"Bongabong")</f>
        <v>Bongabong</v>
      </c>
      <c r="AL1543" s="2" t="str">
        <f>IFERROR(__xludf.DUMMYFUNCTION("""COMPUTED_VALUE"""),"Oriental Mindoro")</f>
        <v>Oriental Mindoro</v>
      </c>
      <c r="AM1543" s="2" t="str">
        <f>IFERROR(__xludf.DUMMYFUNCTION("""COMPUTED_VALUE"""),"4B")</f>
        <v>4B</v>
      </c>
      <c r="AN1543" s="2" t="str">
        <f>IFERROR(__xludf.DUMMYFUNCTION("""COMPUTED_VALUE"""),"RCEF 23-08-20 Rebidding")</f>
        <v>RCEF 23-08-20 Rebidding</v>
      </c>
      <c r="AO1543" s="2">
        <f>IFERROR(__xludf.DUMMYFUNCTION("""COMPUTED_VALUE"""),1.0)</f>
        <v>1</v>
      </c>
      <c r="AP1543" s="2"/>
      <c r="AQ1543" s="2"/>
      <c r="AR1543" s="2"/>
      <c r="AS1543" s="2"/>
      <c r="AT1543" s="2"/>
      <c r="AU1543" s="2"/>
      <c r="AV1543" s="2"/>
      <c r="AW1543" s="2"/>
      <c r="AX1543" s="2"/>
      <c r="AY1543" s="2"/>
      <c r="AZ1543" s="2"/>
      <c r="BA1543" s="2"/>
      <c r="BB1543" s="2"/>
    </row>
    <row r="1544">
      <c r="A1544" s="2">
        <f>IFERROR(__xludf.DUMMYFUNCTION("""COMPUTED_VALUE"""),1540.0)</f>
        <v>1540</v>
      </c>
      <c r="B1544" s="2" t="str">
        <f>IFERROR(__xludf.DUMMYFUNCTION("""COMPUTED_VALUE"""),"COMPLETED")</f>
        <v>COMPLETED</v>
      </c>
      <c r="C1544" s="78">
        <f>IFERROR(__xludf.DUMMYFUNCTION("""COMPUTED_VALUE"""),46099.0)</f>
        <v>46099</v>
      </c>
      <c r="D1544" s="71" t="str">
        <f>IFERROR(__xludf.DUMMYFUNCTION("""COMPUTED_VALUE"""),"Barakbak Agrarian Reform Beneficiaries Cooperative")</f>
        <v>Barakbak Agrarian Reform Beneficiaries Cooperative</v>
      </c>
      <c r="E1544" s="71" t="str">
        <f>IFERROR(__xludf.DUMMYFUNCTION("""COMPUTED_VALUE"""),"Cadaanan, Solana, CAGAYAN")</f>
        <v>Cadaanan, Solana, CAGAYAN</v>
      </c>
      <c r="F1544" s="2" t="str">
        <f>IFERROR(__xludf.DUMMYFUNCTION("""COMPUTED_VALUE"""),"‎Pare Manuel New‎")</f>
        <v>‎Pare Manuel New‎</v>
      </c>
      <c r="G1544" s="2">
        <f>IFERROR(__xludf.DUMMYFUNCTION("""COMPUTED_VALUE"""),9.056412456E9)</f>
        <v>9056412456</v>
      </c>
      <c r="H1544" s="2"/>
      <c r="I1544" s="72" t="str">
        <f>IFERROR(__xludf.DUMMYFUNCTION("""COMPUTED_VALUE"""),"REPAIR - TRACTOR")</f>
        <v>REPAIR - TRACTOR</v>
      </c>
      <c r="J1544" s="72" t="str">
        <f>IFERROR(__xludf.DUMMYFUNCTION("""COMPUTED_VALUE"""),"PTO")</f>
        <v>PTO</v>
      </c>
      <c r="K1544" s="72" t="str">
        <f>IFERROR(__xludf.DUMMYFUNCTION("""COMPUTED_VALUE"""),"CFG: PARTS NEEDED: 1PC OIL SEAL PTO TT6204000A3")</f>
        <v>CFG: PARTS NEEDED: 1PC OIL SEAL PTO TT6204000A3</v>
      </c>
      <c r="L1544" s="72" t="str">
        <f>IFERROR(__xludf.DUMMYFUNCTION("""COMPUTED_VALUE"""),"CFG: tinawagan ko po ito kanina bago po sana pumunta don sa kanina namahalan po sa oil seal. kaya hnd na po sila bumili ng oil seal mag hahanap nlng dw po sila sa labas kung may mahanap dw po sila. thanks")</f>
        <v>CFG: tinawagan ko po ito kanina bago po sana pumunta don sa kanina namahalan po sa oil seal. kaya hnd na po sila bumili ng oil seal mag hahanap nlng dw po sila sa labas kung may mahanap dw po sila. thanks</v>
      </c>
      <c r="M1544" s="2" t="str">
        <f>IFERROR(__xludf.DUMMYFUNCTION("""COMPUTED_VALUE"""),"OIL SEAL PTO TT6204000A3")</f>
        <v>OIL SEAL PTO TT6204000A3</v>
      </c>
      <c r="N1544" s="2"/>
      <c r="O1544" s="2" t="str">
        <f>IFERROR(__xludf.DUMMYFUNCTION("""COMPUTED_VALUE"""),"N/A")</f>
        <v>N/A</v>
      </c>
      <c r="P1544" s="2"/>
      <c r="Q1544" s="2"/>
      <c r="R1544" s="74">
        <f>IFERROR(__xludf.DUMMYFUNCTION("""COMPUTED_VALUE"""),46150.0)</f>
        <v>46150</v>
      </c>
      <c r="S1544" s="2" t="str">
        <f>IFERROR(__xludf.DUMMYFUNCTION("""COMPUTED_VALUE"""),"CFG/OJT")</f>
        <v>CFG/OJT</v>
      </c>
      <c r="T1544" s="73" t="str">
        <f>IFERROR(__xludf.DUMMYFUNCTION("""COMPUTED_VALUE""")," N/A ")</f>
        <v>N/A</v>
      </c>
      <c r="U1544" s="73" t="str">
        <f>IFERROR(__xludf.DUMMYFUNCTION("""COMPUTED_VALUE""")," NO CHARGE ")</f>
        <v>NO CHARGE</v>
      </c>
      <c r="V1544" s="2" t="str">
        <f>IFERROR(__xludf.DUMMYFUNCTION("""COMPUTED_VALUE"""),"N/A")</f>
        <v>N/A</v>
      </c>
      <c r="W1544" s="2" t="str">
        <f>IFERROR(__xludf.DUMMYFUNCTION("""COMPUTED_VALUE"""),"N/A")</f>
        <v>N/A</v>
      </c>
      <c r="X1544" s="2" t="str">
        <f>IFERROR(__xludf.DUMMYFUNCTION("""COMPUTED_VALUE"""),"N/A")</f>
        <v>N/A</v>
      </c>
      <c r="Y1544" s="2"/>
      <c r="Z1544" s="2"/>
      <c r="AA1544" s="2"/>
      <c r="AB1544" s="2"/>
      <c r="AC1544" s="2"/>
      <c r="AD1544" s="2"/>
      <c r="AE1544" s="2"/>
      <c r="AF1544" s="2"/>
      <c r="AG1544" s="2"/>
      <c r="AH1544" s="2"/>
      <c r="AI1544" s="2"/>
      <c r="AJ1544" s="2" t="str">
        <f>IFERROR(__xludf.DUMMYFUNCTION("""COMPUTED_VALUE"""),"Cadaanan")</f>
        <v>Cadaanan</v>
      </c>
      <c r="AK1544" s="2" t="str">
        <f>IFERROR(__xludf.DUMMYFUNCTION("""COMPUTED_VALUE"""),"Solana")</f>
        <v>Solana</v>
      </c>
      <c r="AL1544" s="2" t="str">
        <f>IFERROR(__xludf.DUMMYFUNCTION("""COMPUTED_VALUE"""),"Cagayan")</f>
        <v>Cagayan</v>
      </c>
      <c r="AM1544" s="2">
        <f>IFERROR(__xludf.DUMMYFUNCTION("""COMPUTED_VALUE"""),2.0)</f>
        <v>2</v>
      </c>
      <c r="AN1544" s="2" t="str">
        <f>IFERROR(__xludf.DUMMYFUNCTION("""COMPUTED_VALUE"""),"Repeat Order")</f>
        <v>Repeat Order</v>
      </c>
      <c r="AO1544" s="2">
        <f>IFERROR(__xludf.DUMMYFUNCTION("""COMPUTED_VALUE"""),6.0)</f>
        <v>6</v>
      </c>
      <c r="AP1544" s="2" t="str">
        <f>IFERROR(__xludf.DUMMYFUNCTION("""COMPUTED_VALUE"""),"FREE PMS")</f>
        <v>FREE PMS</v>
      </c>
      <c r="AQ1544" s="2"/>
      <c r="AR1544" s="2"/>
      <c r="AS1544" s="2"/>
      <c r="AT1544" s="2"/>
      <c r="AU1544" s="2"/>
      <c r="AV1544" s="2"/>
      <c r="AW1544" s="2"/>
      <c r="AX1544" s="2"/>
      <c r="AY1544" s="2"/>
      <c r="AZ1544" s="2"/>
      <c r="BA1544" s="2"/>
      <c r="BB1544" s="2"/>
    </row>
    <row r="1545">
      <c r="A1545" s="2">
        <f>IFERROR(__xludf.DUMMYFUNCTION("""COMPUTED_VALUE"""),1541.0)</f>
        <v>1541</v>
      </c>
      <c r="B1545" s="2" t="str">
        <f>IFERROR(__xludf.DUMMYFUNCTION("""COMPUTED_VALUE"""),"COMPLETED")</f>
        <v>COMPLETED</v>
      </c>
      <c r="C1545" s="78">
        <f>IFERROR(__xludf.DUMMYFUNCTION("""COMPUTED_VALUE"""),46100.0)</f>
        <v>46100</v>
      </c>
      <c r="D1545" s="71" t="str">
        <f>IFERROR(__xludf.DUMMYFUNCTION("""COMPUTED_VALUE"""),"MAGDALENA-VILBAR-BALADJAY FARMERS ASSOCIATION (MAGVIBA FA)")</f>
        <v>MAGDALENA-VILBAR-BALADJAY FARMERS ASSOCIATION (MAGVIBA FA)</v>
      </c>
      <c r="E1545" s="71" t="str">
        <f>IFERROR(__xludf.DUMMYFUNCTION("""COMPUTED_VALUE"""),"Baladjay, San Remigio, ANTIQUE")</f>
        <v>Baladjay, San Remigio, ANTIQUE</v>
      </c>
      <c r="F1545" s="2" t="str">
        <f>IFERROR(__xludf.DUMMYFUNCTION("""COMPUTED_VALUE"""),"Shano Giluani")</f>
        <v>Shano Giluani</v>
      </c>
      <c r="G1545" s="2" t="str">
        <f>IFERROR(__xludf.DUMMYFUNCTION("""COMPUTED_VALUE"""),"09159570269/ 09979009212")</f>
        <v>09159570269/ 09979009212</v>
      </c>
      <c r="H1545" s="2">
        <f>IFERROR(__xludf.DUMMYFUNCTION("""COMPUTED_VALUE"""),33.0)</f>
        <v>33</v>
      </c>
      <c r="I1545" s="72" t="str">
        <f>IFERROR(__xludf.DUMMYFUNCTION("""COMPUTED_VALUE"""),"REPAIR - LOADER")</f>
        <v>REPAIR - LOADER</v>
      </c>
      <c r="J1545" s="72" t="str">
        <f>IFERROR(__xludf.DUMMYFUNCTION("""COMPUTED_VALUE"""),"Cable lock")</f>
        <v>Cable lock</v>
      </c>
      <c r="K1545" s="72" t="str">
        <f>IFERROR(__xludf.DUMMYFUNCTION("""COMPUTED_VALUE"""),"MYK: Troubleshoot hydraulic cable -  CABLE LOCK")</f>
        <v>MYK: Troubleshoot hydraulic cable -  CABLE LOCK</v>
      </c>
      <c r="L1545" s="72" t="str">
        <f>IFERROR(__xludf.DUMMYFUNCTION("""COMPUTED_VALUE"""),"FPJ: CAN'T BE REACH
TO CALL BY RBS
RBS: PINAGAWA NA SA LABAS, TRACTOR OPERATIONAL")</f>
        <v>FPJ: CAN'T BE REACH
TO CALL BY RBS
RBS: PINAGAWA NA SA LABAS, TRACTOR OPERATIONAL</v>
      </c>
      <c r="M1545" s="2"/>
      <c r="N1545" s="2"/>
      <c r="O1545" s="2" t="str">
        <f>IFERROR(__xludf.DUMMYFUNCTION("""COMPUTED_VALUE"""),"N/A")</f>
        <v>N/A</v>
      </c>
      <c r="P1545" s="2"/>
      <c r="Q1545" s="2"/>
      <c r="R1545" s="74">
        <f>IFERROR(__xludf.DUMMYFUNCTION("""COMPUTED_VALUE"""),46135.0)</f>
        <v>46135</v>
      </c>
      <c r="S1545" s="2" t="str">
        <f>IFERROR(__xludf.DUMMYFUNCTION("""COMPUTED_VALUE"""),"RBS")</f>
        <v>RBS</v>
      </c>
      <c r="T1545" s="2"/>
      <c r="U1545" s="73" t="str">
        <f>IFERROR(__xludf.DUMMYFUNCTION("""COMPUTED_VALUE""")," NO CHARGE ")</f>
        <v>NO CHARGE</v>
      </c>
      <c r="V1545" s="2" t="str">
        <f>IFERROR(__xludf.DUMMYFUNCTION("""COMPUTED_VALUE"""),"N/A")</f>
        <v>N/A</v>
      </c>
      <c r="W1545" s="2" t="str">
        <f>IFERROR(__xludf.DUMMYFUNCTION("""COMPUTED_VALUE"""),"N/A")</f>
        <v>N/A</v>
      </c>
      <c r="X1545" s="2" t="str">
        <f>IFERROR(__xludf.DUMMYFUNCTION("""COMPUTED_VALUE"""),"N/A")</f>
        <v>N/A</v>
      </c>
      <c r="Y1545" s="2"/>
      <c r="Z1545" s="2"/>
      <c r="AA1545" s="2"/>
      <c r="AB1545" s="2"/>
      <c r="AC1545" s="2"/>
      <c r="AD1545" s="2"/>
      <c r="AE1545" s="2"/>
      <c r="AF1545" s="2"/>
      <c r="AG1545" s="2"/>
      <c r="AH1545" s="2"/>
      <c r="AI1545" s="2"/>
      <c r="AJ1545" s="2" t="str">
        <f>IFERROR(__xludf.DUMMYFUNCTION("""COMPUTED_VALUE"""),"Baladjay")</f>
        <v>Baladjay</v>
      </c>
      <c r="AK1545" s="2" t="str">
        <f>IFERROR(__xludf.DUMMYFUNCTION("""COMPUTED_VALUE"""),"San Remigio")</f>
        <v>San Remigio</v>
      </c>
      <c r="AL1545" s="2" t="str">
        <f>IFERROR(__xludf.DUMMYFUNCTION("""COMPUTED_VALUE"""),"Antique")</f>
        <v>Antique</v>
      </c>
      <c r="AM1545" s="2">
        <f>IFERROR(__xludf.DUMMYFUNCTION("""COMPUTED_VALUE"""),6.0)</f>
        <v>6</v>
      </c>
      <c r="AN1545" s="2" t="str">
        <f>IFERROR(__xludf.DUMMYFUNCTION("""COMPUTED_VALUE"""),"RCEF 25-03-05")</f>
        <v>RCEF 25-03-05</v>
      </c>
      <c r="AO1545" s="2">
        <f>IFERROR(__xludf.DUMMYFUNCTION("""COMPUTED_VALUE"""),7.0)</f>
        <v>7</v>
      </c>
      <c r="AP1545" s="2" t="str">
        <f>IFERROR(__xludf.DUMMYFUNCTION("""COMPUTED_VALUE"""),"FREE PMS")</f>
        <v>FREE PMS</v>
      </c>
      <c r="AQ1545" s="2"/>
      <c r="AR1545" s="2"/>
      <c r="AS1545" s="2"/>
      <c r="AT1545" s="2"/>
      <c r="AU1545" s="2"/>
      <c r="AV1545" s="2"/>
      <c r="AW1545" s="2"/>
      <c r="AX1545" s="2"/>
      <c r="AY1545" s="2"/>
      <c r="AZ1545" s="2"/>
      <c r="BA1545" s="2"/>
      <c r="BB1545" s="2"/>
    </row>
    <row r="1546">
      <c r="A1546" s="2">
        <f>IFERROR(__xludf.DUMMYFUNCTION("""COMPUTED_VALUE"""),1542.0)</f>
        <v>1542</v>
      </c>
      <c r="B1546" s="2" t="str">
        <f>IFERROR(__xludf.DUMMYFUNCTION("""COMPUTED_VALUE"""),"COMPLETED")</f>
        <v>COMPLETED</v>
      </c>
      <c r="C1546" s="74">
        <f>IFERROR(__xludf.DUMMYFUNCTION("""COMPUTED_VALUE"""),46100.0)</f>
        <v>46100</v>
      </c>
      <c r="D1546" s="71" t="str">
        <f>IFERROR(__xludf.DUMMYFUNCTION("""COMPUTED_VALUE"""),"Provincial Local Government Unit of Occidental Mindoro")</f>
        <v>Provincial Local Government Unit of Occidental Mindoro</v>
      </c>
      <c r="E1546" s="71" t="str">
        <f>IFERROR(__xludf.DUMMYFUNCTION("""COMPUTED_VALUE"""),"Poblacion 1 (Barangay 1), Mamburao, OCCIDENTAL MINDORO")</f>
        <v>Poblacion 1 (Barangay 1), Mamburao, OCCIDENTAL MINDORO</v>
      </c>
      <c r="F1546" s="2"/>
      <c r="G1546" s="2" t="str">
        <f>IFERROR(__xludf.DUMMYFUNCTION("""COMPUTED_VALUE"""),"0915 452 0188")</f>
        <v>0915 452 0188</v>
      </c>
      <c r="H1546" s="2">
        <f>IFERROR(__xludf.DUMMYFUNCTION("""COMPUTED_VALUE"""),24.3)</f>
        <v>24.3</v>
      </c>
      <c r="I1546" s="72" t="str">
        <f>IFERROR(__xludf.DUMMYFUNCTION("""COMPUTED_VALUE"""),"PMS")</f>
        <v>PMS</v>
      </c>
      <c r="J1546" s="72" t="str">
        <f>IFERROR(__xludf.DUMMYFUNCTION("""COMPUTED_VALUE"""),"PMS")</f>
        <v>PMS</v>
      </c>
      <c r="K1546" s="72" t="str">
        <f>IFERROR(__xludf.DUMMYFUNCTION("""COMPUTED_VALUE"""),"RBS: 1ST PMS FREE")</f>
        <v>RBS: 1ST PMS FREE</v>
      </c>
      <c r="L1546" s="72" t="str">
        <f>IFERROR(__xludf.DUMMYFUNCTION("""COMPUTED_VALUE"""),"RBS: 1ST PMS DONE")</f>
        <v>RBS: 1ST PMS DONE</v>
      </c>
      <c r="M1546" s="2"/>
      <c r="N1546" s="2" t="str">
        <f>IFERROR(__xludf.DUMMYFUNCTION("""COMPUTED_VALUE"""),"PARTS:
OIL FILTER
ENGINE OIL")</f>
        <v>PARTS:
OIL FILTER
ENGINE OIL</v>
      </c>
      <c r="O1546" s="2">
        <f>IFERROR(__xludf.DUMMYFUNCTION("""COMPUTED_VALUE"""),614.0)</f>
        <v>614</v>
      </c>
      <c r="P1546" s="2"/>
      <c r="Q1546" s="2" t="str">
        <f>IFERROR(__xludf.DUMMYFUNCTION("""COMPUTED_VALUE"""),"FOR PRINT")</f>
        <v>FOR PRINT</v>
      </c>
      <c r="R1546" s="74">
        <f>IFERROR(__xludf.DUMMYFUNCTION("""COMPUTED_VALUE"""),46100.0)</f>
        <v>46100</v>
      </c>
      <c r="S1546" s="2" t="str">
        <f>IFERROR(__xludf.DUMMYFUNCTION("""COMPUTED_VALUE"""),"RBS")</f>
        <v>RBS</v>
      </c>
      <c r="T1546" s="73" t="str">
        <f>IFERROR(__xludf.DUMMYFUNCTION("""COMPUTED_VALUE""")," N/A ")</f>
        <v>N/A</v>
      </c>
      <c r="U1546" s="73" t="str">
        <f>IFERROR(__xludf.DUMMYFUNCTION("""COMPUTED_VALUE""")," NO CHARGE ")</f>
        <v>NO CHARGE</v>
      </c>
      <c r="V1546" s="2" t="str">
        <f>IFERROR(__xludf.DUMMYFUNCTION("""COMPUTED_VALUE"""),"NO DR")</f>
        <v>NO DR</v>
      </c>
      <c r="W1546" s="2" t="str">
        <f>IFERROR(__xludf.DUMMYFUNCTION("""COMPUTED_VALUE"""),"N/A")</f>
        <v>N/A</v>
      </c>
      <c r="X1546" s="2" t="str">
        <f>IFERROR(__xludf.DUMMYFUNCTION("""COMPUTED_VALUE"""),"N/A")</f>
        <v>N/A</v>
      </c>
      <c r="Y1546" s="2"/>
      <c r="Z1546" s="2"/>
      <c r="AA1546" s="2"/>
      <c r="AB1546" s="2"/>
      <c r="AC1546" s="2"/>
      <c r="AD1546" s="2"/>
      <c r="AE1546" s="2"/>
      <c r="AF1546" s="2"/>
      <c r="AG1546" s="2"/>
      <c r="AH1546" s="2"/>
      <c r="AI1546" s="2"/>
      <c r="AJ1546" s="2" t="str">
        <f>IFERROR(__xludf.DUMMYFUNCTION("""COMPUTED_VALUE"""),"Poblacion 1 (Barangay 1)")</f>
        <v>Poblacion 1 (Barangay 1)</v>
      </c>
      <c r="AK1546" s="2" t="str">
        <f>IFERROR(__xludf.DUMMYFUNCTION("""COMPUTED_VALUE"""),"Mamburao")</f>
        <v>Mamburao</v>
      </c>
      <c r="AL1546" s="2" t="str">
        <f>IFERROR(__xludf.DUMMYFUNCTION("""COMPUTED_VALUE"""),"Occidental Mindoro")</f>
        <v>Occidental Mindoro</v>
      </c>
      <c r="AM1546" s="2" t="str">
        <f>IFERROR(__xludf.DUMMYFUNCTION("""COMPUTED_VALUE"""),"4B")</f>
        <v>4B</v>
      </c>
      <c r="AN1546" s="2" t="str">
        <f>IFERROR(__xludf.DUMMYFUNCTION("""COMPUTED_VALUE"""),"RCEF 25-03-05")</f>
        <v>RCEF 25-03-05</v>
      </c>
      <c r="AO1546" s="2">
        <f>IFERROR(__xludf.DUMMYFUNCTION("""COMPUTED_VALUE"""),6.0)</f>
        <v>6</v>
      </c>
      <c r="AP1546" s="2" t="str">
        <f>IFERROR(__xludf.DUMMYFUNCTION("""COMPUTED_VALUE"""),"FREE PMS")</f>
        <v>FREE PMS</v>
      </c>
      <c r="AQ1546" s="2"/>
      <c r="AR1546" s="2"/>
      <c r="AS1546" s="2"/>
      <c r="AT1546" s="2"/>
      <c r="AU1546" s="2"/>
      <c r="AV1546" s="2"/>
      <c r="AW1546" s="2"/>
      <c r="AX1546" s="2"/>
      <c r="AY1546" s="2"/>
      <c r="AZ1546" s="2"/>
      <c r="BA1546" s="2"/>
      <c r="BB1546" s="2"/>
    </row>
    <row r="1547">
      <c r="A1547" s="2">
        <f>IFERROR(__xludf.DUMMYFUNCTION("""COMPUTED_VALUE"""),1543.0)</f>
        <v>1543</v>
      </c>
      <c r="B1547" s="2" t="str">
        <f>IFERROR(__xludf.DUMMYFUNCTION("""COMPUTED_VALUE"""),"COMPLETED")</f>
        <v>COMPLETED</v>
      </c>
      <c r="C1547" s="74">
        <f>IFERROR(__xludf.DUMMYFUNCTION("""COMPUTED_VALUE"""),46100.0)</f>
        <v>46100</v>
      </c>
      <c r="D1547" s="71" t="str">
        <f>IFERROR(__xludf.DUMMYFUNCTION("""COMPUTED_VALUE"""),"Binakas Agri Association")</f>
        <v>Binakas Agri Association</v>
      </c>
      <c r="E1547" s="71" t="str">
        <f>IFERROR(__xludf.DUMMYFUNCTION("""COMPUTED_VALUE"""),"Binakas, Lubang, OCCIDENTAL MINDORO")</f>
        <v>Binakas, Lubang, OCCIDENTAL MINDORO</v>
      </c>
      <c r="F1547" s="2"/>
      <c r="G1547" s="2"/>
      <c r="H1547" s="2">
        <f>IFERROR(__xludf.DUMMYFUNCTION("""COMPUTED_VALUE"""),28.7)</f>
        <v>28.7</v>
      </c>
      <c r="I1547" s="72" t="str">
        <f>IFERROR(__xludf.DUMMYFUNCTION("""COMPUTED_VALUE"""),"PMS")</f>
        <v>PMS</v>
      </c>
      <c r="J1547" s="72" t="str">
        <f>IFERROR(__xludf.DUMMYFUNCTION("""COMPUTED_VALUE"""),"PMS")</f>
        <v>PMS</v>
      </c>
      <c r="K1547" s="72" t="str">
        <f>IFERROR(__xludf.DUMMYFUNCTION("""COMPUTED_VALUE"""),"RBS: 1ST PMS FREE")</f>
        <v>RBS: 1ST PMS FREE</v>
      </c>
      <c r="L1547" s="72" t="str">
        <f>IFERROR(__xludf.DUMMYFUNCTION("""COMPUTED_VALUE"""),"RBS: 1ST PMS DONE")</f>
        <v>RBS: 1ST PMS DONE</v>
      </c>
      <c r="M1547" s="2"/>
      <c r="N1547" s="2" t="str">
        <f>IFERROR(__xludf.DUMMYFUNCTION("""COMPUTED_VALUE"""),"PARTS:
OIL FILTER
ENGINE OIL")</f>
        <v>PARTS:
OIL FILTER
ENGINE OIL</v>
      </c>
      <c r="O1547" s="2">
        <f>IFERROR(__xludf.DUMMYFUNCTION("""COMPUTED_VALUE"""),615.0)</f>
        <v>615</v>
      </c>
      <c r="P1547" s="2"/>
      <c r="Q1547" s="2" t="str">
        <f>IFERROR(__xludf.DUMMYFUNCTION("""COMPUTED_VALUE"""),"FOR PRINT")</f>
        <v>FOR PRINT</v>
      </c>
      <c r="R1547" s="74">
        <f>IFERROR(__xludf.DUMMYFUNCTION("""COMPUTED_VALUE"""),46100.0)</f>
        <v>46100</v>
      </c>
      <c r="S1547" s="2" t="str">
        <f>IFERROR(__xludf.DUMMYFUNCTION("""COMPUTED_VALUE"""),"RBS")</f>
        <v>RBS</v>
      </c>
      <c r="T1547" s="73" t="str">
        <f>IFERROR(__xludf.DUMMYFUNCTION("""COMPUTED_VALUE""")," N/A ")</f>
        <v>N/A</v>
      </c>
      <c r="U1547" s="73" t="str">
        <f>IFERROR(__xludf.DUMMYFUNCTION("""COMPUTED_VALUE""")," NO CHARGE ")</f>
        <v>NO CHARGE</v>
      </c>
      <c r="V1547" s="2" t="str">
        <f>IFERROR(__xludf.DUMMYFUNCTION("""COMPUTED_VALUE"""),"NO DR")</f>
        <v>NO DR</v>
      </c>
      <c r="W1547" s="2" t="str">
        <f>IFERROR(__xludf.DUMMYFUNCTION("""COMPUTED_VALUE"""),"N/A")</f>
        <v>N/A</v>
      </c>
      <c r="X1547" s="2" t="str">
        <f>IFERROR(__xludf.DUMMYFUNCTION("""COMPUTED_VALUE"""),"N/A")</f>
        <v>N/A</v>
      </c>
      <c r="Y1547" s="2"/>
      <c r="Z1547" s="2"/>
      <c r="AA1547" s="2"/>
      <c r="AB1547" s="2"/>
      <c r="AC1547" s="2"/>
      <c r="AD1547" s="2"/>
      <c r="AE1547" s="2"/>
      <c r="AF1547" s="2"/>
      <c r="AG1547" s="2"/>
      <c r="AH1547" s="2"/>
      <c r="AI1547" s="2"/>
      <c r="AJ1547" s="2" t="str">
        <f>IFERROR(__xludf.DUMMYFUNCTION("""COMPUTED_VALUE"""),"Binakas")</f>
        <v>Binakas</v>
      </c>
      <c r="AK1547" s="2" t="str">
        <f>IFERROR(__xludf.DUMMYFUNCTION("""COMPUTED_VALUE"""),"Lubang")</f>
        <v>Lubang</v>
      </c>
      <c r="AL1547" s="2" t="str">
        <f>IFERROR(__xludf.DUMMYFUNCTION("""COMPUTED_VALUE"""),"Occidental Mindoro")</f>
        <v>Occidental Mindoro</v>
      </c>
      <c r="AM1547" s="2" t="str">
        <f>IFERROR(__xludf.DUMMYFUNCTION("""COMPUTED_VALUE"""),"4B")</f>
        <v>4B</v>
      </c>
      <c r="AN1547" s="2" t="str">
        <f>IFERROR(__xludf.DUMMYFUNCTION("""COMPUTED_VALUE"""),"RCEF 25-03-05")</f>
        <v>RCEF 25-03-05</v>
      </c>
      <c r="AO1547" s="2">
        <f>IFERROR(__xludf.DUMMYFUNCTION("""COMPUTED_VALUE"""),6.0)</f>
        <v>6</v>
      </c>
      <c r="AP1547" s="2" t="str">
        <f>IFERROR(__xludf.DUMMYFUNCTION("""COMPUTED_VALUE"""),"FREE PMS")</f>
        <v>FREE PMS</v>
      </c>
      <c r="AQ1547" s="2"/>
      <c r="AR1547" s="2"/>
      <c r="AS1547" s="2"/>
      <c r="AT1547" s="2"/>
      <c r="AU1547" s="2"/>
      <c r="AV1547" s="2"/>
      <c r="AW1547" s="2"/>
      <c r="AX1547" s="2"/>
      <c r="AY1547" s="2"/>
      <c r="AZ1547" s="2"/>
      <c r="BA1547" s="2"/>
      <c r="BB1547" s="2"/>
    </row>
    <row r="1548">
      <c r="A1548" s="2">
        <f>IFERROR(__xludf.DUMMYFUNCTION("""COMPUTED_VALUE"""),1544.0)</f>
        <v>1544</v>
      </c>
      <c r="B1548" s="2" t="str">
        <f>IFERROR(__xludf.DUMMYFUNCTION("""COMPUTED_VALUE"""),"PENDING")</f>
        <v>PENDING</v>
      </c>
      <c r="C1548" s="78">
        <f>IFERROR(__xludf.DUMMYFUNCTION("""COMPUTED_VALUE"""),46101.0)</f>
        <v>46101</v>
      </c>
      <c r="D1548" s="71" t="str">
        <f>IFERROR(__xludf.DUMMYFUNCTION("""COMPUTED_VALUE"""),"Malapajo Irrigated Farmer's Association")</f>
        <v>Malapajo Irrigated Farmer's Association</v>
      </c>
      <c r="E1548" s="71" t="str">
        <f>IFERROR(__xludf.DUMMYFUNCTION("""COMPUTED_VALUE"""),"Santa Rita Bata, San Miguel, BULACAN")</f>
        <v>Santa Rita Bata, San Miguel, BULACAN</v>
      </c>
      <c r="F1548" s="2" t="str">
        <f>IFERROR(__xludf.DUMMYFUNCTION("""COMPUTED_VALUE"""),"Tirso M. Yasis")</f>
        <v>Tirso M. Yasis</v>
      </c>
      <c r="G1548" s="2">
        <f>IFERROR(__xludf.DUMMYFUNCTION("""COMPUTED_VALUE"""),9.17126568E9)</f>
        <v>9171265680</v>
      </c>
      <c r="H1548" s="2">
        <f>IFERROR(__xludf.DUMMYFUNCTION("""COMPUTED_VALUE"""),70.0)</f>
        <v>70</v>
      </c>
      <c r="I1548" s="72" t="str">
        <f>IFERROR(__xludf.DUMMYFUNCTION("""COMPUTED_VALUE"""),"REPAIR - LOADER")</f>
        <v>REPAIR - LOADER</v>
      </c>
      <c r="J1548" s="72" t="str">
        <f>IFERROR(__xludf.DUMMYFUNCTION("""COMPUTED_VALUE"""),"Cable lock")</f>
        <v>Cable lock</v>
      </c>
      <c r="K1548" s="72" t="str">
        <f>IFERROR(__xludf.DUMMYFUNCTION("""COMPUTED_VALUE"""),"JTT: Problem loader cable sira Ang lock pin")</f>
        <v>JTT: Problem loader cable sira Ang lock pin</v>
      </c>
      <c r="L1548" s="7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t="str">
        <f>IFERROR(__xludf.DUMMYFUNCTION("""COMPUTED_VALUE"""),"Santa Rita Bata")</f>
        <v>Santa Rita Bata</v>
      </c>
      <c r="AK1548" s="2" t="str">
        <f>IFERROR(__xludf.DUMMYFUNCTION("""COMPUTED_VALUE"""),"San Miguel")</f>
        <v>San Miguel</v>
      </c>
      <c r="AL1548" s="2" t="str">
        <f>IFERROR(__xludf.DUMMYFUNCTION("""COMPUTED_VALUE"""),"Bulacan")</f>
        <v>Bulacan</v>
      </c>
      <c r="AM1548" s="2">
        <f>IFERROR(__xludf.DUMMYFUNCTION("""COMPUTED_VALUE"""),3.0)</f>
        <v>3</v>
      </c>
      <c r="AN1548" s="2" t="str">
        <f>IFERROR(__xludf.DUMMYFUNCTION("""COMPUTED_VALUE"""),"RCEF 25-03-05")</f>
        <v>RCEF 25-03-05</v>
      </c>
      <c r="AO1548" s="2">
        <f>IFERROR(__xludf.DUMMYFUNCTION("""COMPUTED_VALUE"""),5.0)</f>
        <v>5</v>
      </c>
      <c r="AP1548" s="2" t="str">
        <f>IFERROR(__xludf.DUMMYFUNCTION("""COMPUTED_VALUE"""),"FREE PMS")</f>
        <v>FREE PMS</v>
      </c>
      <c r="AQ1548" s="2"/>
      <c r="AR1548" s="2"/>
      <c r="AS1548" s="2"/>
      <c r="AT1548" s="2"/>
      <c r="AU1548" s="2"/>
      <c r="AV1548" s="2"/>
      <c r="AW1548" s="2"/>
      <c r="AX1548" s="2"/>
      <c r="AY1548" s="2"/>
      <c r="AZ1548" s="2"/>
      <c r="BA1548" s="2"/>
      <c r="BB1548" s="2"/>
    </row>
    <row r="1549">
      <c r="A1549" s="2">
        <f>IFERROR(__xludf.DUMMYFUNCTION("""COMPUTED_VALUE"""),1545.0)</f>
        <v>1545</v>
      </c>
      <c r="B1549" s="2" t="str">
        <f>IFERROR(__xludf.DUMMYFUNCTION("""COMPUTED_VALUE"""),"COMPLETED")</f>
        <v>COMPLETED</v>
      </c>
      <c r="C1549" s="78">
        <f>IFERROR(__xludf.DUMMYFUNCTION("""COMPUTED_VALUE"""),46104.0)</f>
        <v>46104</v>
      </c>
      <c r="D1549" s="71" t="str">
        <f>IFERROR(__xludf.DUMMYFUNCTION("""COMPUTED_VALUE"""),"PASUGUE COMMUNITY FARMERS ASSOCIATION (PACFA)")</f>
        <v>PASUGUE COMMUNITY FARMERS ASSOCIATION (PACFA)</v>
      </c>
      <c r="E1549" s="71" t="str">
        <f>IFERROR(__xludf.DUMMYFUNCTION("""COMPUTED_VALUE"""),"Pasugue, Panitan, CAPIZ")</f>
        <v>Pasugue, Panitan, CAPIZ</v>
      </c>
      <c r="F1549" s="2" t="str">
        <f>IFERROR(__xludf.DUMMYFUNCTION("""COMPUTED_VALUE"""),"Eugene Degollado")</f>
        <v>Eugene Degollado</v>
      </c>
      <c r="G1549" s="2">
        <f>IFERROR(__xludf.DUMMYFUNCTION("""COMPUTED_VALUE"""),9.751847134E9)</f>
        <v>9751847134</v>
      </c>
      <c r="H1549" s="2">
        <f>IFERROR(__xludf.DUMMYFUNCTION("""COMPUTED_VALUE"""),566.0)</f>
        <v>566</v>
      </c>
      <c r="I1549" s="72" t="str">
        <f>IFERROR(__xludf.DUMMYFUNCTION("""COMPUTED_VALUE"""),"SPARE PARTS ACQUISITION")</f>
        <v>SPARE PARTS ACQUISITION</v>
      </c>
      <c r="J1549" s="72"/>
      <c r="K1549" s="72" t="str">
        <f>IFERROR(__xludf.DUMMYFUNCTION("""COMPUTED_VALUE"""),"MYK: Concerns/Requests: oil filter and hydraulic filter ")</f>
        <v>MYK: Concerns/Requests: oil filter and hydraulic filter </v>
      </c>
      <c r="L1549" s="72" t="str">
        <f>IFERROR(__xludf.DUMMYFUNCTION("""COMPUTED_VALUE"""),"QUOTATION SENT -  CLOSED . NO REPLY")</f>
        <v>QUOTATION SENT -  CLOSED . NO REPLY</v>
      </c>
      <c r="M1549" s="2"/>
      <c r="N1549" s="2"/>
      <c r="O1549" s="2" t="str">
        <f>IFERROR(__xludf.DUMMYFUNCTION("""COMPUTED_VALUE"""),"N/A")</f>
        <v>N/A</v>
      </c>
      <c r="P1549" s="2"/>
      <c r="Q1549" s="2"/>
      <c r="R1549" s="74">
        <f>IFERROR(__xludf.DUMMYFUNCTION("""COMPUTED_VALUE"""),46147.0)</f>
        <v>46147</v>
      </c>
      <c r="S1549" s="2" t="str">
        <f>IFERROR(__xludf.DUMMYFUNCTION("""COMPUTED_VALUE"""),"MYKEE")</f>
        <v>MYKEE</v>
      </c>
      <c r="T1549" s="73" t="str">
        <f>IFERROR(__xludf.DUMMYFUNCTION("""COMPUTED_VALUE""")," N/A ")</f>
        <v>N/A</v>
      </c>
      <c r="U1549" s="73" t="str">
        <f>IFERROR(__xludf.DUMMYFUNCTION("""COMPUTED_VALUE""")," NO CHARGE ")</f>
        <v>NO CHARGE</v>
      </c>
      <c r="V1549" s="2" t="str">
        <f>IFERROR(__xludf.DUMMYFUNCTION("""COMPUTED_VALUE"""),"N/A")</f>
        <v>N/A</v>
      </c>
      <c r="W1549" s="2" t="str">
        <f>IFERROR(__xludf.DUMMYFUNCTION("""COMPUTED_VALUE"""),"N/A")</f>
        <v>N/A</v>
      </c>
      <c r="X1549" s="2" t="str">
        <f>IFERROR(__xludf.DUMMYFUNCTION("""COMPUTED_VALUE"""),"N/A")</f>
        <v>N/A</v>
      </c>
      <c r="Y1549" s="2"/>
      <c r="Z1549" s="2"/>
      <c r="AA1549" s="2"/>
      <c r="AB1549" s="2"/>
      <c r="AC1549" s="2"/>
      <c r="AD1549" s="2"/>
      <c r="AE1549" s="2"/>
      <c r="AF1549" s="2"/>
      <c r="AG1549" s="2"/>
      <c r="AH1549" s="2"/>
      <c r="AI1549" s="2"/>
      <c r="AJ1549" s="2" t="str">
        <f>IFERROR(__xludf.DUMMYFUNCTION("""COMPUTED_VALUE"""),"Pasugue")</f>
        <v>Pasugue</v>
      </c>
      <c r="AK1549" s="2" t="str">
        <f>IFERROR(__xludf.DUMMYFUNCTION("""COMPUTED_VALUE"""),"Panitan")</f>
        <v>Panitan</v>
      </c>
      <c r="AL1549" s="2" t="str">
        <f>IFERROR(__xludf.DUMMYFUNCTION("""COMPUTED_VALUE"""),"Capiz")</f>
        <v>Capiz</v>
      </c>
      <c r="AM1549" s="2">
        <f>IFERROR(__xludf.DUMMYFUNCTION("""COMPUTED_VALUE"""),6.0)</f>
        <v>6</v>
      </c>
      <c r="AN1549" s="2" t="str">
        <f>IFERROR(__xludf.DUMMYFUNCTION("""COMPUTED_VALUE"""),"RCEF 23-09-21 Rebidding")</f>
        <v>RCEF 23-09-21 Rebidding</v>
      </c>
      <c r="AO1549" s="2">
        <f>IFERROR(__xludf.DUMMYFUNCTION("""COMPUTED_VALUE"""),4.0)</f>
        <v>4</v>
      </c>
      <c r="AP1549" s="2"/>
      <c r="AQ1549" s="2"/>
      <c r="AR1549" s="2"/>
      <c r="AS1549" s="2"/>
      <c r="AT1549" s="2"/>
      <c r="AU1549" s="2"/>
      <c r="AV1549" s="2"/>
      <c r="AW1549" s="2"/>
      <c r="AX1549" s="2"/>
      <c r="AY1549" s="2"/>
      <c r="AZ1549" s="2"/>
      <c r="BA1549" s="2"/>
      <c r="BB1549" s="2"/>
    </row>
    <row r="1550">
      <c r="A1550" s="2">
        <f>IFERROR(__xludf.DUMMYFUNCTION("""COMPUTED_VALUE"""),1546.0)</f>
        <v>1546</v>
      </c>
      <c r="B1550" s="2" t="str">
        <f>IFERROR(__xludf.DUMMYFUNCTION("""COMPUTED_VALUE"""),"COMPLETED")</f>
        <v>COMPLETED</v>
      </c>
      <c r="C1550" s="78">
        <f>IFERROR(__xludf.DUMMYFUNCTION("""COMPUTED_VALUE"""),46104.0)</f>
        <v>46104</v>
      </c>
      <c r="D1550" s="71" t="str">
        <f>IFERROR(__xludf.DUMMYFUNCTION("""COMPUTED_VALUE"""),"Municipal Local Government Unit of Matalom")</f>
        <v>Municipal Local Government Unit of Matalom</v>
      </c>
      <c r="E1550" s="71" t="str">
        <f>IFERROR(__xludf.DUMMYFUNCTION("""COMPUTED_VALUE"""),"Santo Niño (Pob.), Matalom, LEYTE")</f>
        <v>Santo Niño (Pob.), Matalom, LEYTE</v>
      </c>
      <c r="F1550" s="2" t="str">
        <f>IFERROR(__xludf.DUMMYFUNCTION("""COMPUTED_VALUE"""),"Romulo Labrador")</f>
        <v>Romulo Labrador</v>
      </c>
      <c r="G1550" s="2">
        <f>IFERROR(__xludf.DUMMYFUNCTION("""COMPUTED_VALUE"""),9.564326187E9)</f>
        <v>9564326187</v>
      </c>
      <c r="H1550" s="2">
        <f>IFERROR(__xludf.DUMMYFUNCTION("""COMPUTED_VALUE"""),55.9)</f>
        <v>55.9</v>
      </c>
      <c r="I1550" s="72" t="str">
        <f>IFERROR(__xludf.DUMMYFUNCTION("""COMPUTED_VALUE"""),"PMS")</f>
        <v>PMS</v>
      </c>
      <c r="J1550" s="72" t="str">
        <f>IFERROR(__xludf.DUMMYFUNCTION("""COMPUTED_VALUE"""),"PMS")</f>
        <v>PMS</v>
      </c>
      <c r="K1550" s="72" t="str">
        <f>IFERROR(__xludf.DUMMYFUNCTION("""COMPUTED_VALUE"""),"JTT: 1st PMS free")</f>
        <v>JTT: 1st PMS free</v>
      </c>
      <c r="L1550" s="72" t="str">
        <f>IFERROR(__xludf.DUMMYFUNCTION("""COMPUTED_VALUE"""),"KFS: IPADALA NALANG ANG OIL FILTER AT 2K PARA SA ENGINE OIL AT PANG GAS C/O ECM.
FPJ: 1ST PMS DONE")</f>
        <v>KFS: IPADALA NALANG ANG OIL FILTER AT 2K PARA SA ENGINE OIL AT PANG GAS C/O ECM.
FPJ: 1ST PMS DONE</v>
      </c>
      <c r="M1550" s="2"/>
      <c r="N1550" s="2" t="str">
        <f>IFERROR(__xludf.DUMMYFUNCTION("""COMPUTED_VALUE"""),"PARTS:
OIL FILTER
ENGINE OIL")</f>
        <v>PARTS:
OIL FILTER
ENGINE OIL</v>
      </c>
      <c r="O1550" s="2">
        <f>IFERROR(__xludf.DUMMYFUNCTION("""COMPUTED_VALUE"""),277.0)</f>
        <v>277</v>
      </c>
      <c r="P1550" s="2"/>
      <c r="Q1550" s="2" t="str">
        <f>IFERROR(__xludf.DUMMYFUNCTION("""COMPUTED_VALUE"""),"FOR PRINT")</f>
        <v>FOR PRINT</v>
      </c>
      <c r="R1550" s="74">
        <f>IFERROR(__xludf.DUMMYFUNCTION("""COMPUTED_VALUE"""),46133.0)</f>
        <v>46133</v>
      </c>
      <c r="S1550" s="2" t="str">
        <f>IFERROR(__xludf.DUMMYFUNCTION("""COMPUTED_VALUE"""),"FPJ/JAH")</f>
        <v>FPJ/JAH</v>
      </c>
      <c r="T1550" s="73" t="str">
        <f>IFERROR(__xludf.DUMMYFUNCTION("""COMPUTED_VALUE""")," N/A ")</f>
        <v>N/A</v>
      </c>
      <c r="U1550" s="73" t="str">
        <f>IFERROR(__xludf.DUMMYFUNCTION("""COMPUTED_VALUE""")," NO CHARGE ")</f>
        <v>NO CHARGE</v>
      </c>
      <c r="V1550" s="2">
        <f>IFERROR(__xludf.DUMMYFUNCTION("""COMPUTED_VALUE"""),1575.0)</f>
        <v>1575</v>
      </c>
      <c r="W1550" s="2" t="str">
        <f>IFERROR(__xludf.DUMMYFUNCTION("""COMPUTED_VALUE"""),"N/A")</f>
        <v>N/A</v>
      </c>
      <c r="X1550" s="2" t="str">
        <f>IFERROR(__xludf.DUMMYFUNCTION("""COMPUTED_VALUE"""),"N/A")</f>
        <v>N/A</v>
      </c>
      <c r="Y1550" s="2"/>
      <c r="Z1550" s="2"/>
      <c r="AA1550" s="2"/>
      <c r="AB1550" s="2"/>
      <c r="AC1550" s="2"/>
      <c r="AD1550" s="2"/>
      <c r="AE1550" s="2"/>
      <c r="AF1550" s="2"/>
      <c r="AG1550" s="2"/>
      <c r="AH1550" s="2"/>
      <c r="AI1550" s="2"/>
      <c r="AJ1550" s="2" t="str">
        <f>IFERROR(__xludf.DUMMYFUNCTION("""COMPUTED_VALUE"""),"Santo Niño (Pob.)")</f>
        <v>Santo Niño (Pob.)</v>
      </c>
      <c r="AK1550" s="2" t="str">
        <f>IFERROR(__xludf.DUMMYFUNCTION("""COMPUTED_VALUE"""),"Matalom")</f>
        <v>Matalom</v>
      </c>
      <c r="AL1550" s="2" t="str">
        <f>IFERROR(__xludf.DUMMYFUNCTION("""COMPUTED_VALUE"""),"Leyte")</f>
        <v>Leyte</v>
      </c>
      <c r="AM1550" s="2">
        <f>IFERROR(__xludf.DUMMYFUNCTION("""COMPUTED_VALUE"""),8.0)</f>
        <v>8</v>
      </c>
      <c r="AN1550" s="2" t="str">
        <f>IFERROR(__xludf.DUMMYFUNCTION("""COMPUTED_VALUE"""),"RCEF 25-03-05")</f>
        <v>RCEF 25-03-05</v>
      </c>
      <c r="AO1550" s="2">
        <f>IFERROR(__xludf.DUMMYFUNCTION("""COMPUTED_VALUE"""),7.0)</f>
        <v>7</v>
      </c>
      <c r="AP1550" s="2" t="str">
        <f>IFERROR(__xludf.DUMMYFUNCTION("""COMPUTED_VALUE"""),"FREE PMS")</f>
        <v>FREE PMS</v>
      </c>
      <c r="AQ1550" s="2"/>
      <c r="AR1550" s="2"/>
      <c r="AS1550" s="2"/>
      <c r="AT1550" s="2"/>
      <c r="AU1550" s="2"/>
      <c r="AV1550" s="2"/>
      <c r="AW1550" s="2"/>
      <c r="AX1550" s="2"/>
      <c r="AY1550" s="2"/>
      <c r="AZ1550" s="2"/>
      <c r="BA1550" s="2"/>
      <c r="BB1550" s="2"/>
    </row>
    <row r="1551">
      <c r="A1551" s="2">
        <f>IFERROR(__xludf.DUMMYFUNCTION("""COMPUTED_VALUE"""),1547.0)</f>
        <v>1547</v>
      </c>
      <c r="B1551" s="2" t="str">
        <f>IFERROR(__xludf.DUMMYFUNCTION("""COMPUTED_VALUE"""),"COMPLETED")</f>
        <v>COMPLETED</v>
      </c>
      <c r="C1551" s="78">
        <f>IFERROR(__xludf.DUMMYFUNCTION("""COMPUTED_VALUE"""),46104.0)</f>
        <v>46104</v>
      </c>
      <c r="D1551" s="71" t="str">
        <f>IFERROR(__xludf.DUMMYFUNCTION("""COMPUTED_VALUE"""),"VIZAL STO. NIÑO RICE AND LIVESTOCK FARMERS ASSOCIATION")</f>
        <v>VIZAL STO. NIÑO RICE AND LIVESTOCK FARMERS ASSOCIATION</v>
      </c>
      <c r="E1551" s="71" t="str">
        <f>IFERROR(__xludf.DUMMYFUNCTION("""COMPUTED_VALUE"""),"Vizal Santo Niño, Candaba, PAMPANGA")</f>
        <v>Vizal Santo Niño, Candaba, PAMPANGA</v>
      </c>
      <c r="F1551" s="2" t="str">
        <f>IFERROR(__xludf.DUMMYFUNCTION("""COMPUTED_VALUE"""),"Clara Ortega")</f>
        <v>Clara Ortega</v>
      </c>
      <c r="G1551" s="2">
        <f>IFERROR(__xludf.DUMMYFUNCTION("""COMPUTED_VALUE"""),9.225570218E9)</f>
        <v>9225570218</v>
      </c>
      <c r="H1551" s="2">
        <f>IFERROR(__xludf.DUMMYFUNCTION("""COMPUTED_VALUE"""),70.0)</f>
        <v>70</v>
      </c>
      <c r="I1551" s="72" t="str">
        <f>IFERROR(__xludf.DUMMYFUNCTION("""COMPUTED_VALUE"""),"PMS")</f>
        <v>PMS</v>
      </c>
      <c r="J1551" s="72" t="str">
        <f>IFERROR(__xludf.DUMMYFUNCTION("""COMPUTED_VALUE"""),"PMS")</f>
        <v>PMS</v>
      </c>
      <c r="K1551" s="72" t="str">
        <f>IFERROR(__xludf.DUMMYFUNCTION("""COMPUTED_VALUE"""),"ERP: 1st PMS free")</f>
        <v>ERP: 1st PMS free</v>
      </c>
      <c r="L1551" s="72" t="str">
        <f>IFERROR(__xludf.DUMMYFUNCTION("""COMPUTED_VALUE"""),"JVV: 1ST PMS DONE")</f>
        <v>JVV: 1ST PMS DONE</v>
      </c>
      <c r="M1551" s="2"/>
      <c r="N1551" s="2" t="str">
        <f>IFERROR(__xludf.DUMMYFUNCTION("""COMPUTED_VALUE"""),"PARTS:
OIL FILTER
ENGINE OIL")</f>
        <v>PARTS:
OIL FILTER
ENGINE OIL</v>
      </c>
      <c r="O1551" s="2" t="str">
        <f>IFERROR(__xludf.DUMMYFUNCTION("""COMPUTED_VALUE"""),"NEED SERVICE REPORT FORM")</f>
        <v>NEED SERVICE REPORT FORM</v>
      </c>
      <c r="P1551" s="2"/>
      <c r="Q1551" s="2" t="str">
        <f>IFERROR(__xludf.DUMMYFUNCTION("""COMPUTED_VALUE"""),"FOR PRINT")</f>
        <v>FOR PRINT</v>
      </c>
      <c r="R1551" s="74">
        <f>IFERROR(__xludf.DUMMYFUNCTION("""COMPUTED_VALUE"""),46111.0)</f>
        <v>46111</v>
      </c>
      <c r="S1551" s="2" t="str">
        <f>IFERROR(__xludf.DUMMYFUNCTION("""COMPUTED_VALUE"""),"JVV/ACS")</f>
        <v>JVV/ACS</v>
      </c>
      <c r="T1551" s="73" t="str">
        <f>IFERROR(__xludf.DUMMYFUNCTION("""COMPUTED_VALUE""")," N/A ")</f>
        <v>N/A</v>
      </c>
      <c r="U1551" s="73" t="str">
        <f>IFERROR(__xludf.DUMMYFUNCTION("""COMPUTED_VALUE""")," NO CHARGE ")</f>
        <v>NO CHARGE</v>
      </c>
      <c r="V1551" s="2">
        <f>IFERROR(__xludf.DUMMYFUNCTION("""COMPUTED_VALUE"""),1804.0)</f>
        <v>1804</v>
      </c>
      <c r="W1551" s="2" t="str">
        <f>IFERROR(__xludf.DUMMYFUNCTION("""COMPUTED_VALUE"""),"N/A")</f>
        <v>N/A</v>
      </c>
      <c r="X1551" s="2" t="str">
        <f>IFERROR(__xludf.DUMMYFUNCTION("""COMPUTED_VALUE"""),"N/A")</f>
        <v>N/A</v>
      </c>
      <c r="Y1551" s="2"/>
      <c r="Z1551" s="2"/>
      <c r="AA1551" s="2"/>
      <c r="AB1551" s="2"/>
      <c r="AC1551" s="2"/>
      <c r="AD1551" s="2"/>
      <c r="AE1551" s="2"/>
      <c r="AF1551" s="2"/>
      <c r="AG1551" s="2"/>
      <c r="AH1551" s="2"/>
      <c r="AI1551" s="2"/>
      <c r="AJ1551" s="2" t="str">
        <f>IFERROR(__xludf.DUMMYFUNCTION("""COMPUTED_VALUE"""),"Vizal Santo Niño")</f>
        <v>Vizal Santo Niño</v>
      </c>
      <c r="AK1551" s="2" t="str">
        <f>IFERROR(__xludf.DUMMYFUNCTION("""COMPUTED_VALUE"""),"Candaba")</f>
        <v>Candaba</v>
      </c>
      <c r="AL1551" s="2" t="str">
        <f>IFERROR(__xludf.DUMMYFUNCTION("""COMPUTED_VALUE"""),"Pampanga")</f>
        <v>Pampanga</v>
      </c>
      <c r="AM1551" s="2">
        <f>IFERROR(__xludf.DUMMYFUNCTION("""COMPUTED_VALUE"""),3.0)</f>
        <v>3</v>
      </c>
      <c r="AN1551" s="2" t="str">
        <f>IFERROR(__xludf.DUMMYFUNCTION("""COMPUTED_VALUE"""),"RCEF 25-03-05")</f>
        <v>RCEF 25-03-05</v>
      </c>
      <c r="AO1551" s="2">
        <f>IFERROR(__xludf.DUMMYFUNCTION("""COMPUTED_VALUE"""),5.0)</f>
        <v>5</v>
      </c>
      <c r="AP1551" s="2" t="str">
        <f>IFERROR(__xludf.DUMMYFUNCTION("""COMPUTED_VALUE"""),"FREE PMS")</f>
        <v>FREE PMS</v>
      </c>
      <c r="AQ1551" s="2"/>
      <c r="AR1551" s="2"/>
      <c r="AS1551" s="2"/>
      <c r="AT1551" s="2"/>
      <c r="AU1551" s="2"/>
      <c r="AV1551" s="2"/>
      <c r="AW1551" s="2"/>
      <c r="AX1551" s="2"/>
      <c r="AY1551" s="2"/>
      <c r="AZ1551" s="2"/>
      <c r="BA1551" s="2"/>
      <c r="BB1551" s="2"/>
    </row>
    <row r="1552">
      <c r="A1552" s="2">
        <f>IFERROR(__xludf.DUMMYFUNCTION("""COMPUTED_VALUE"""),1548.0)</f>
        <v>1548</v>
      </c>
      <c r="B1552" s="2" t="str">
        <f>IFERROR(__xludf.DUMMYFUNCTION("""COMPUTED_VALUE"""),"COMPLETED")</f>
        <v>COMPLETED</v>
      </c>
      <c r="C1552" s="78">
        <f>IFERROR(__xludf.DUMMYFUNCTION("""COMPUTED_VALUE"""),46104.0)</f>
        <v>46104</v>
      </c>
      <c r="D1552" s="71" t="str">
        <f>IFERROR(__xludf.DUMMYFUNCTION("""COMPUTED_VALUE"""),"NARVACAN 1 FARMERS ASSOCIATION")</f>
        <v>NARVACAN 1 FARMERS ASSOCIATION</v>
      </c>
      <c r="E1552" s="71" t="str">
        <f>IFERROR(__xludf.DUMMYFUNCTION("""COMPUTED_VALUE"""),"Narvacan I, Guimba, NUEVA ECIJA")</f>
        <v>Narvacan I, Guimba, NUEVA ECIJA</v>
      </c>
      <c r="F1552" s="2" t="str">
        <f>IFERROR(__xludf.DUMMYFUNCTION("""COMPUTED_VALUE"""),"Harold C. Soriano")</f>
        <v>Harold C. Soriano</v>
      </c>
      <c r="G1552" s="2" t="str">
        <f>IFERROR(__xludf.DUMMYFUNCTION("""COMPUTED_VALUE"""),"0916-688-6917")</f>
        <v>0916-688-6917</v>
      </c>
      <c r="H1552" s="2">
        <f>IFERROR(__xludf.DUMMYFUNCTION("""COMPUTED_VALUE"""),50.0)</f>
        <v>50</v>
      </c>
      <c r="I1552" s="72" t="str">
        <f>IFERROR(__xludf.DUMMYFUNCTION("""COMPUTED_VALUE"""),"PMS")</f>
        <v>PMS</v>
      </c>
      <c r="J1552" s="72" t="str">
        <f>IFERROR(__xludf.DUMMYFUNCTION("""COMPUTED_VALUE"""),"PMS")</f>
        <v>PMS</v>
      </c>
      <c r="K1552" s="72" t="str">
        <f>IFERROR(__xludf.DUMMYFUNCTION("""COMPUTED_VALUE"""),"ERP: 1st PMS free")</f>
        <v>ERP: 1st PMS free</v>
      </c>
      <c r="L1552" s="72" t="str">
        <f>IFERROR(__xludf.DUMMYFUNCTION("""COMPUTED_VALUE"""),"JDP: 1ST PMS DONE")</f>
        <v>JDP: 1ST PMS DONE</v>
      </c>
      <c r="M1552" s="2"/>
      <c r="N1552" s="2" t="str">
        <f>IFERROR(__xludf.DUMMYFUNCTION("""COMPUTED_VALUE"""),"PARTS:
OIL FILTER
ENGINE OIL")</f>
        <v>PARTS:
OIL FILTER
ENGINE OIL</v>
      </c>
      <c r="O1552" s="2" t="str">
        <f>IFERROR(__xludf.DUMMYFUNCTION("""COMPUTED_VALUE"""),"NEED SERVICE REPORT FORM")</f>
        <v>NEED SERVICE REPORT FORM</v>
      </c>
      <c r="P1552" s="2"/>
      <c r="Q1552" s="2" t="str">
        <f>IFERROR(__xludf.DUMMYFUNCTION("""COMPUTED_VALUE"""),"FOR PRINT")</f>
        <v>FOR PRINT</v>
      </c>
      <c r="R1552" s="74">
        <f>IFERROR(__xludf.DUMMYFUNCTION("""COMPUTED_VALUE"""),46105.0)</f>
        <v>46105</v>
      </c>
      <c r="S1552" s="2" t="str">
        <f>IFERROR(__xludf.DUMMYFUNCTION("""COMPUTED_VALUE"""),"JVV/ACS")</f>
        <v>JVV/ACS</v>
      </c>
      <c r="T1552" s="73" t="str">
        <f>IFERROR(__xludf.DUMMYFUNCTION("""COMPUTED_VALUE""")," N/A ")</f>
        <v>N/A</v>
      </c>
      <c r="U1552" s="73" t="str">
        <f>IFERROR(__xludf.DUMMYFUNCTION("""COMPUTED_VALUE""")," NO CHARGE ")</f>
        <v>NO CHARGE</v>
      </c>
      <c r="V1552" s="2" t="str">
        <f>IFERROR(__xludf.DUMMYFUNCTION("""COMPUTED_VALUE"""),"NO DR")</f>
        <v>NO DR</v>
      </c>
      <c r="W1552" s="2" t="str">
        <f>IFERROR(__xludf.DUMMYFUNCTION("""COMPUTED_VALUE"""),"N/A")</f>
        <v>N/A</v>
      </c>
      <c r="X1552" s="2" t="str">
        <f>IFERROR(__xludf.DUMMYFUNCTION("""COMPUTED_VALUE"""),"N/A")</f>
        <v>N/A</v>
      </c>
      <c r="Y1552" s="2"/>
      <c r="Z1552" s="2"/>
      <c r="AA1552" s="2"/>
      <c r="AB1552" s="2"/>
      <c r="AC1552" s="2"/>
      <c r="AD1552" s="2"/>
      <c r="AE1552" s="2"/>
      <c r="AF1552" s="2"/>
      <c r="AG1552" s="2"/>
      <c r="AH1552" s="2"/>
      <c r="AI1552" s="2"/>
      <c r="AJ1552" s="2" t="str">
        <f>IFERROR(__xludf.DUMMYFUNCTION("""COMPUTED_VALUE"""),"Narvacan I")</f>
        <v>Narvacan I</v>
      </c>
      <c r="AK1552" s="2" t="str">
        <f>IFERROR(__xludf.DUMMYFUNCTION("""COMPUTED_VALUE"""),"Guimba")</f>
        <v>Guimba</v>
      </c>
      <c r="AL1552" s="2" t="str">
        <f>IFERROR(__xludf.DUMMYFUNCTION("""COMPUTED_VALUE"""),"Nueva Ecija")</f>
        <v>Nueva Ecija</v>
      </c>
      <c r="AM1552" s="2">
        <f>IFERROR(__xludf.DUMMYFUNCTION("""COMPUTED_VALUE"""),3.0)</f>
        <v>3</v>
      </c>
      <c r="AN1552" s="2" t="str">
        <f>IFERROR(__xludf.DUMMYFUNCTION("""COMPUTED_VALUE"""),"RCEF 25-03-05")</f>
        <v>RCEF 25-03-05</v>
      </c>
      <c r="AO1552" s="2">
        <f>IFERROR(__xludf.DUMMYFUNCTION("""COMPUTED_VALUE"""),5.0)</f>
        <v>5</v>
      </c>
      <c r="AP1552" s="2" t="str">
        <f>IFERROR(__xludf.DUMMYFUNCTION("""COMPUTED_VALUE"""),"FREE PMS")</f>
        <v>FREE PMS</v>
      </c>
      <c r="AQ1552" s="2"/>
      <c r="AR1552" s="2"/>
      <c r="AS1552" s="2"/>
      <c r="AT1552" s="2"/>
      <c r="AU1552" s="2"/>
      <c r="AV1552" s="2"/>
      <c r="AW1552" s="2"/>
      <c r="AX1552" s="2"/>
      <c r="AY1552" s="2"/>
      <c r="AZ1552" s="2"/>
      <c r="BA1552" s="2"/>
      <c r="BB1552" s="2"/>
    </row>
    <row r="1553">
      <c r="A1553" s="2">
        <f>IFERROR(__xludf.DUMMYFUNCTION("""COMPUTED_VALUE"""),1549.0)</f>
        <v>1549</v>
      </c>
      <c r="B1553" s="2" t="str">
        <f>IFERROR(__xludf.DUMMYFUNCTION("""COMPUTED_VALUE"""),"COMPLETED")</f>
        <v>COMPLETED</v>
      </c>
      <c r="C1553" s="77">
        <f>IFERROR(__xludf.DUMMYFUNCTION("""COMPUTED_VALUE"""),46104.0)</f>
        <v>46104</v>
      </c>
      <c r="D1553" s="71" t="str">
        <f>IFERROR(__xludf.DUMMYFUNCTION("""COMPUTED_VALUE"""),"NASUGBU BATANGAS CENTRAL IRRIGATORS ASSOCIATION INC.")</f>
        <v>NASUGBU BATANGAS CENTRAL IRRIGATORS ASSOCIATION INC.</v>
      </c>
      <c r="E1553" s="71" t="str">
        <f>IFERROR(__xludf.DUMMYFUNCTION("""COMPUTED_VALUE"""),"Putat, Nasugbu, BATANGAS")</f>
        <v>Putat, Nasugbu, BATANGAS</v>
      </c>
      <c r="F1553" s="2"/>
      <c r="G1553" s="2"/>
      <c r="H1553" s="2">
        <f>IFERROR(__xludf.DUMMYFUNCTION("""COMPUTED_VALUE"""),32.0)</f>
        <v>32</v>
      </c>
      <c r="I1553" s="72" t="str">
        <f>IFERROR(__xludf.DUMMYFUNCTION("""COMPUTED_VALUE"""),"REPAIR - TRACTOR")</f>
        <v>REPAIR - TRACTOR</v>
      </c>
      <c r="J1553" s="72" t="str">
        <f>IFERROR(__xludf.DUMMYFUNCTION("""COMPUTED_VALUE"""),"CHECK UP UNIT")</f>
        <v>CHECK UP UNIT</v>
      </c>
      <c r="K1553" s="72" t="str">
        <f>IFERROR(__xludf.DUMMYFUNCTION("""COMPUTED_VALUE"""),"RBS: NAMATAY ANG TRACTOR HABANG GINAGAMIT, NABUNOT ANG WIRING NG STARTER")</f>
        <v>RBS: NAMATAY ANG TRACTOR HABANG GINAGAMIT, NABUNOT ANG WIRING NG STARTER</v>
      </c>
      <c r="L1553" s="72" t="str">
        <f>IFERROR(__xludf.DUMMYFUNCTION("""COMPUTED_VALUE"""),"RBS: TROUBLE SHOOTING")</f>
        <v>RBS: TROUBLE SHOOTING</v>
      </c>
      <c r="M1553" s="2"/>
      <c r="N1553" s="2"/>
      <c r="O1553" s="2">
        <f>IFERROR(__xludf.DUMMYFUNCTION("""COMPUTED_VALUE"""),616.0)</f>
        <v>616</v>
      </c>
      <c r="P1553" s="2"/>
      <c r="Q1553" s="2" t="str">
        <f>IFERROR(__xludf.DUMMYFUNCTION("""COMPUTED_VALUE"""),"FOR PRINT")</f>
        <v>FOR PRINT</v>
      </c>
      <c r="R1553" s="74">
        <f>IFERROR(__xludf.DUMMYFUNCTION("""COMPUTED_VALUE"""),46104.0)</f>
        <v>46104</v>
      </c>
      <c r="S1553" s="2" t="str">
        <f>IFERROR(__xludf.DUMMYFUNCTION("""COMPUTED_VALUE"""),"RBS")</f>
        <v>RBS</v>
      </c>
      <c r="T1553" s="73" t="str">
        <f>IFERROR(__xludf.DUMMYFUNCTION("""COMPUTED_VALUE""")," N/A ")</f>
        <v>N/A</v>
      </c>
      <c r="U1553" s="73" t="str">
        <f>IFERROR(__xludf.DUMMYFUNCTION("""COMPUTED_VALUE""")," NO CHARGE ")</f>
        <v>NO CHARGE</v>
      </c>
      <c r="V1553" s="2" t="str">
        <f>IFERROR(__xludf.DUMMYFUNCTION("""COMPUTED_VALUE"""),"N/A")</f>
        <v>N/A</v>
      </c>
      <c r="W1553" s="2" t="str">
        <f>IFERROR(__xludf.DUMMYFUNCTION("""COMPUTED_VALUE"""),"N/A")</f>
        <v>N/A</v>
      </c>
      <c r="X1553" s="2" t="str">
        <f>IFERROR(__xludf.DUMMYFUNCTION("""COMPUTED_VALUE"""),"N/A")</f>
        <v>N/A</v>
      </c>
      <c r="Y1553" s="2"/>
      <c r="Z1553" s="2"/>
      <c r="AA1553" s="2"/>
      <c r="AB1553" s="2"/>
      <c r="AC1553" s="2"/>
      <c r="AD1553" s="2"/>
      <c r="AE1553" s="2"/>
      <c r="AF1553" s="2"/>
      <c r="AG1553" s="2"/>
      <c r="AH1553" s="2"/>
      <c r="AI1553" s="2"/>
      <c r="AJ1553" s="2" t="str">
        <f>IFERROR(__xludf.DUMMYFUNCTION("""COMPUTED_VALUE"""),"Putat")</f>
        <v>Putat</v>
      </c>
      <c r="AK1553" s="2" t="str">
        <f>IFERROR(__xludf.DUMMYFUNCTION("""COMPUTED_VALUE"""),"Nasugbu")</f>
        <v>Nasugbu</v>
      </c>
      <c r="AL1553" s="2" t="str">
        <f>IFERROR(__xludf.DUMMYFUNCTION("""COMPUTED_VALUE"""),"Batangas")</f>
        <v>Batangas</v>
      </c>
      <c r="AM1553" s="2" t="str">
        <f>IFERROR(__xludf.DUMMYFUNCTION("""COMPUTED_VALUE"""),"4A")</f>
        <v>4A</v>
      </c>
      <c r="AN1553" s="2" t="str">
        <f>IFERROR(__xludf.DUMMYFUNCTION("""COMPUTED_VALUE"""),"RCEF 25-03-05")</f>
        <v>RCEF 25-03-05</v>
      </c>
      <c r="AO1553" s="2">
        <f>IFERROR(__xludf.DUMMYFUNCTION("""COMPUTED_VALUE"""),7.0)</f>
        <v>7</v>
      </c>
      <c r="AP1553" s="2" t="str">
        <f>IFERROR(__xludf.DUMMYFUNCTION("""COMPUTED_VALUE"""),"FREE PMS")</f>
        <v>FREE PMS</v>
      </c>
      <c r="AQ1553" s="2"/>
      <c r="AR1553" s="2"/>
      <c r="AS1553" s="2"/>
      <c r="AT1553" s="2"/>
      <c r="AU1553" s="2"/>
      <c r="AV1553" s="2"/>
      <c r="AW1553" s="2"/>
      <c r="AX1553" s="2"/>
      <c r="AY1553" s="2"/>
      <c r="AZ1553" s="2"/>
      <c r="BA1553" s="2"/>
      <c r="BB1553" s="2"/>
    </row>
    <row r="1554">
      <c r="A1554" s="2">
        <f>IFERROR(__xludf.DUMMYFUNCTION("""COMPUTED_VALUE"""),1550.0)</f>
        <v>1550</v>
      </c>
      <c r="B1554" s="2" t="str">
        <f>IFERROR(__xludf.DUMMYFUNCTION("""COMPUTED_VALUE"""),"PENDING")</f>
        <v>PENDING</v>
      </c>
      <c r="C1554" s="78">
        <f>IFERROR(__xludf.DUMMYFUNCTION("""COMPUTED_VALUE"""),46104.0)</f>
        <v>46104</v>
      </c>
      <c r="D1554" s="71" t="str">
        <f>IFERROR(__xludf.DUMMYFUNCTION("""COMPUTED_VALUE"""),"Nagsulang Farmers Association")</f>
        <v>Nagsulang Farmers Association</v>
      </c>
      <c r="E1554" s="71" t="str">
        <f>IFERROR(__xludf.DUMMYFUNCTION("""COMPUTED_VALUE"""),"Nagsulang, Dumarao, CAPIZ")</f>
        <v>Nagsulang, Dumarao, CAPIZ</v>
      </c>
      <c r="F1554" s="2" t="str">
        <f>IFERROR(__xludf.DUMMYFUNCTION("""COMPUTED_VALUE"""),"Thelso Villar Barrera")</f>
        <v>Thelso Villar Barrera</v>
      </c>
      <c r="G1554" s="2" t="str">
        <f>IFERROR(__xludf.DUMMYFUNCTION("""COMPUTED_VALUE"""),"0955-430-0391 / 0997-637-7468")</f>
        <v>0955-430-0391 / 0997-637-7468</v>
      </c>
      <c r="H1554" s="2"/>
      <c r="I1554" s="72" t="str">
        <f>IFERROR(__xludf.DUMMYFUNCTION("""COMPUTED_VALUE"""),"SPARE PARTS ACQUISITION")</f>
        <v>SPARE PARTS ACQUISITION</v>
      </c>
      <c r="J1554" s="72"/>
      <c r="K1554" s="72" t="str">
        <f>IFERROR(__xludf.DUMMYFUNCTION("""COMPUTED_VALUE"""),"MYK: SPARE PARTS ACQUISITION                
RING GEAR ASSY TA00033454
BALL BEARING (#6013) 24101-060134")</f>
        <v>MYK: SPARE PARTS ACQUISITION                
RING GEAR ASSY TA00033454
BALL BEARING (#6013) 24101-060134</v>
      </c>
      <c r="L1554" s="72" t="str">
        <f>IFERROR(__xludf.DUMMYFUNCTION("""COMPUTED_VALUE"""),"QUOTATION SENT")</f>
        <v>QUOTATION SENT</v>
      </c>
      <c r="M1554" s="2" t="str">
        <f>IFERROR(__xludf.DUMMYFUNCTION("""COMPUTED_VALUE"""),"RING GEAR ASSY TA00033454
BALL BEARING (#6013) 24101-060134")</f>
        <v>RING GEAR ASSY TA00033454
BALL BEARING (#6013) 24101-060134</v>
      </c>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t="str">
        <f>IFERROR(__xludf.DUMMYFUNCTION("""COMPUTED_VALUE"""),"Nagsulang")</f>
        <v>Nagsulang</v>
      </c>
      <c r="AK1554" s="2" t="str">
        <f>IFERROR(__xludf.DUMMYFUNCTION("""COMPUTED_VALUE"""),"Dumarao")</f>
        <v>Dumarao</v>
      </c>
      <c r="AL1554" s="2" t="str">
        <f>IFERROR(__xludf.DUMMYFUNCTION("""COMPUTED_VALUE"""),"Capiz")</f>
        <v>Capiz</v>
      </c>
      <c r="AM1554" s="2">
        <f>IFERROR(__xludf.DUMMYFUNCTION("""COMPUTED_VALUE"""),6.0)</f>
        <v>6</v>
      </c>
      <c r="AN1554" s="2" t="str">
        <f>IFERROR(__xludf.DUMMYFUNCTION("""COMPUTED_VALUE"""),"RCEF 23-09-21 Rebidding")</f>
        <v>RCEF 23-09-21 Rebidding</v>
      </c>
      <c r="AO1554" s="2">
        <f>IFERROR(__xludf.DUMMYFUNCTION("""COMPUTED_VALUE"""),4.0)</f>
        <v>4</v>
      </c>
      <c r="AP1554" s="2"/>
      <c r="AQ1554" s="2"/>
      <c r="AR1554" s="2"/>
      <c r="AS1554" s="2"/>
      <c r="AT1554" s="2"/>
      <c r="AU1554" s="2"/>
      <c r="AV1554" s="2"/>
      <c r="AW1554" s="2"/>
      <c r="AX1554" s="2"/>
      <c r="AY1554" s="2"/>
      <c r="AZ1554" s="2"/>
      <c r="BA1554" s="2"/>
      <c r="BB1554" s="2"/>
    </row>
    <row r="1555">
      <c r="A1555" s="2">
        <f>IFERROR(__xludf.DUMMYFUNCTION("""COMPUTED_VALUE"""),1551.0)</f>
        <v>1551</v>
      </c>
      <c r="B1555" s="2" t="str">
        <f>IFERROR(__xludf.DUMMYFUNCTION("""COMPUTED_VALUE"""),"PENDING")</f>
        <v>PENDING</v>
      </c>
      <c r="C1555" s="78">
        <f>IFERROR(__xludf.DUMMYFUNCTION("""COMPUTED_VALUE"""),46104.0)</f>
        <v>46104</v>
      </c>
      <c r="D1555" s="71" t="str">
        <f>IFERROR(__xludf.DUMMYFUNCTION("""COMPUTED_VALUE"""),"Echague Development Cooperative")</f>
        <v>Echague Development Cooperative</v>
      </c>
      <c r="E1555" s="71" t="str">
        <f>IFERROR(__xludf.DUMMYFUNCTION("""COMPUTED_VALUE"""),"Silauan Norte (Pob.), Echague, ISABELA")</f>
        <v>Silauan Norte (Pob.), Echague, ISABELA</v>
      </c>
      <c r="F1555" s="2" t="str">
        <f>IFERROR(__xludf.DUMMYFUNCTION("""COMPUTED_VALUE"""),"Lily Dumalyang")</f>
        <v>Lily Dumalyang</v>
      </c>
      <c r="G1555" s="2">
        <f>IFERROR(__xludf.DUMMYFUNCTION("""COMPUTED_VALUE"""),9.065862827E9)</f>
        <v>9065862827</v>
      </c>
      <c r="H1555" s="2"/>
      <c r="I1555" s="72" t="str">
        <f>IFERROR(__xludf.DUMMYFUNCTION("""COMPUTED_VALUE"""),"REPAIR - TRACTOR")</f>
        <v>REPAIR - TRACTOR</v>
      </c>
      <c r="J1555" s="72" t="str">
        <f>IFERROR(__xludf.DUMMYFUNCTION("""COMPUTED_VALUE"""),"Engine - Overhaul")</f>
        <v>Engine - Overhaul</v>
      </c>
      <c r="K1555" s="72" t="str">
        <f>IFERROR(__xludf.DUMMYFUNCTION("""COMPUTED_VALUE"""),"MYK: Date delivered: June 2024
ENGINE PROBLEM
- JUNE 2025 padaw nasira ang unit, pinuntahan daw ito ng DA, 
- Sila na ang nag baklas ng unit, ang plano sana nila ay buksan at humanap ng pyesa, ngunit wala silang makitaan, napakita nadin sa kanila ang qu"&amp;"otation pero namahan sila.
- Kung maari daw na i warranty ito sabi din sakanila ng DA. ")</f>
        <v>MYK: Date delivered: June 2024
ENGINE PROBLEM
- JUNE 2025 padaw nasira ang unit, pinuntahan daw ito ng DA, 
- Sila na ang nag baklas ng unit, ang plano sana nila ay buksan at humanap ng pyesa, ngunit wala silang makitaan, napakita nadin sa kanila ang quotation pero namahan sila.
- Kung maari daw na i warranty ito sabi din sakanila ng DA. </v>
      </c>
      <c r="L1555" s="7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t="str">
        <f>IFERROR(__xludf.DUMMYFUNCTION("""COMPUTED_VALUE"""),"Silauan Norte (Pob.)")</f>
        <v>Silauan Norte (Pob.)</v>
      </c>
      <c r="AK1555" s="2" t="str">
        <f>IFERROR(__xludf.DUMMYFUNCTION("""COMPUTED_VALUE"""),"Echague")</f>
        <v>Echague</v>
      </c>
      <c r="AL1555" s="2" t="str">
        <f>IFERROR(__xludf.DUMMYFUNCTION("""COMPUTED_VALUE"""),"Isabela")</f>
        <v>Isabela</v>
      </c>
      <c r="AM1555" s="2">
        <f>IFERROR(__xludf.DUMMYFUNCTION("""COMPUTED_VALUE"""),2.0)</f>
        <v>2</v>
      </c>
      <c r="AN1555" s="2" t="str">
        <f>IFERROR(__xludf.DUMMYFUNCTION("""COMPUTED_VALUE"""),"RCEF 23-09-21 Rebidding")</f>
        <v>RCEF 23-09-21 Rebidding</v>
      </c>
      <c r="AO1555" s="2">
        <f>IFERROR(__xludf.DUMMYFUNCTION("""COMPUTED_VALUE"""),1.0)</f>
        <v>1</v>
      </c>
      <c r="AP1555" s="2"/>
      <c r="AQ1555" s="2"/>
      <c r="AR1555" s="2"/>
      <c r="AS1555" s="2"/>
      <c r="AT1555" s="2"/>
      <c r="AU1555" s="2"/>
      <c r="AV1555" s="2"/>
      <c r="AW1555" s="2"/>
      <c r="AX1555" s="2"/>
      <c r="AY1555" s="2"/>
      <c r="AZ1555" s="2"/>
      <c r="BA1555" s="2"/>
      <c r="BB1555" s="2"/>
    </row>
    <row r="1556">
      <c r="A1556" s="2">
        <f>IFERROR(__xludf.DUMMYFUNCTION("""COMPUTED_VALUE"""),1552.0)</f>
        <v>1552</v>
      </c>
      <c r="B1556" s="2" t="str">
        <f>IFERROR(__xludf.DUMMYFUNCTION("""COMPUTED_VALUE"""),"COMPLETED")</f>
        <v>COMPLETED</v>
      </c>
      <c r="C1556" s="74">
        <f>IFERROR(__xludf.DUMMYFUNCTION("""COMPUTED_VALUE"""),46105.0)</f>
        <v>46105</v>
      </c>
      <c r="D1556" s="71" t="str">
        <f>IFERROR(__xludf.DUMMYFUNCTION("""COMPUTED_VALUE"""),"TABERNA RICE FARMERS ASSOCIATION")</f>
        <v>TABERNA RICE FARMERS ASSOCIATION</v>
      </c>
      <c r="E1556" s="71" t="str">
        <f>IFERROR(__xludf.DUMMYFUNCTION("""COMPUTED_VALUE"""),"Taberna, Cawayan, MASBATE")</f>
        <v>Taberna, Cawayan, MASBATE</v>
      </c>
      <c r="F1556" s="2" t="str">
        <f>IFERROR(__xludf.DUMMYFUNCTION("""COMPUTED_VALUE"""),"Leopoldo B. Barcinas")</f>
        <v>Leopoldo B. Barcinas</v>
      </c>
      <c r="G1556" s="2" t="str">
        <f>IFERROR(__xludf.DUMMYFUNCTION("""COMPUTED_VALUE"""),"0968 281 0216")</f>
        <v>0968 281 0216</v>
      </c>
      <c r="H1556" s="2"/>
      <c r="I1556" s="72" t="str">
        <f>IFERROR(__xludf.DUMMYFUNCTION("""COMPUTED_VALUE"""),"PMS")</f>
        <v>PMS</v>
      </c>
      <c r="J1556" s="72"/>
      <c r="K1556" s="72" t="str">
        <f>IFERROR(__xludf.DUMMYFUNCTION("""COMPUTED_VALUE"""),"FPJ: 1ST PSM FREE")</f>
        <v>FPJ: 1ST PSM FREE</v>
      </c>
      <c r="L1556" s="72" t="str">
        <f>IFERROR(__xludf.DUMMYFUNCTION("""COMPUTED_VALUE"""),"FPJ: 1ST PMS DONE")</f>
        <v>FPJ: 1ST PMS DONE</v>
      </c>
      <c r="M1556" s="2"/>
      <c r="N1556" s="2" t="str">
        <f>IFERROR(__xludf.DUMMYFUNCTION("""COMPUTED_VALUE"""),"PARTS:
OIL FILTER
ENGINE OIL
HYDRAULIC FILTER")</f>
        <v>PARTS:
OIL FILTER
ENGINE OIL
HYDRAULIC FILTER</v>
      </c>
      <c r="O1556" s="2">
        <f>IFERROR(__xludf.DUMMYFUNCTION("""COMPUTED_VALUE"""),594.0)</f>
        <v>594</v>
      </c>
      <c r="P1556" s="2"/>
      <c r="Q1556" s="2" t="str">
        <f>IFERROR(__xludf.DUMMYFUNCTION("""COMPUTED_VALUE"""),"FOR PRINT")</f>
        <v>FOR PRINT</v>
      </c>
      <c r="R1556" s="74">
        <f>IFERROR(__xludf.DUMMYFUNCTION("""COMPUTED_VALUE"""),46105.0)</f>
        <v>46105</v>
      </c>
      <c r="S1556" s="2" t="str">
        <f>IFERROR(__xludf.DUMMYFUNCTION("""COMPUTED_VALUE"""),"FPJ/JAH")</f>
        <v>FPJ/JAH</v>
      </c>
      <c r="T1556" s="73">
        <f>IFERROR(__xludf.DUMMYFUNCTION("""COMPUTED_VALUE"""),2837.0)</f>
        <v>2837</v>
      </c>
      <c r="U1556" s="73" t="str">
        <f>IFERROR(__xludf.DUMMYFUNCTION("""COMPUTED_VALUE""")," FOR REMIT ")</f>
        <v>FOR REMIT</v>
      </c>
      <c r="V1556" s="2">
        <f>IFERROR(__xludf.DUMMYFUNCTION("""COMPUTED_VALUE"""),1552.0)</f>
        <v>1552</v>
      </c>
      <c r="W1556" s="2">
        <f>IFERROR(__xludf.DUMMYFUNCTION("""COMPUTED_VALUE"""),2101.0)</f>
        <v>2101</v>
      </c>
      <c r="X1556" s="2"/>
      <c r="Y1556" s="2"/>
      <c r="Z1556" s="2"/>
      <c r="AA1556" s="2"/>
      <c r="AB1556" s="2"/>
      <c r="AC1556" s="2"/>
      <c r="AD1556" s="2"/>
      <c r="AE1556" s="2"/>
      <c r="AF1556" s="2"/>
      <c r="AG1556" s="2"/>
      <c r="AH1556" s="2"/>
      <c r="AI1556" s="2"/>
      <c r="AJ1556" s="2" t="str">
        <f>IFERROR(__xludf.DUMMYFUNCTION("""COMPUTED_VALUE"""),"Taberna")</f>
        <v>Taberna</v>
      </c>
      <c r="AK1556" s="2" t="str">
        <f>IFERROR(__xludf.DUMMYFUNCTION("""COMPUTED_VALUE"""),"Cawayan")</f>
        <v>Cawayan</v>
      </c>
      <c r="AL1556" s="2" t="str">
        <f>IFERROR(__xludf.DUMMYFUNCTION("""COMPUTED_VALUE"""),"Masbate")</f>
        <v>Masbate</v>
      </c>
      <c r="AM1556" s="2">
        <f>IFERROR(__xludf.DUMMYFUNCTION("""COMPUTED_VALUE"""),5.0)</f>
        <v>5</v>
      </c>
      <c r="AN1556" s="2" t="str">
        <f>IFERROR(__xludf.DUMMYFUNCTION("""COMPUTED_VALUE"""),"RCEF 25-03-05")</f>
        <v>RCEF 25-03-05</v>
      </c>
      <c r="AO1556" s="2">
        <f>IFERROR(__xludf.DUMMYFUNCTION("""COMPUTED_VALUE"""),6.0)</f>
        <v>6</v>
      </c>
      <c r="AP1556" s="2" t="str">
        <f>IFERROR(__xludf.DUMMYFUNCTION("""COMPUTED_VALUE"""),"FREE PMS")</f>
        <v>FREE PMS</v>
      </c>
      <c r="AQ1556" s="2"/>
      <c r="AR1556" s="2"/>
      <c r="AS1556" s="2"/>
      <c r="AT1556" s="2"/>
      <c r="AU1556" s="2"/>
      <c r="AV1556" s="2"/>
      <c r="AW1556" s="2"/>
      <c r="AX1556" s="2"/>
      <c r="AY1556" s="2"/>
      <c r="AZ1556" s="2"/>
      <c r="BA1556" s="2"/>
      <c r="BB1556" s="2"/>
    </row>
    <row r="1557">
      <c r="A1557" s="2">
        <f>IFERROR(__xludf.DUMMYFUNCTION("""COMPUTED_VALUE"""),1553.0)</f>
        <v>1553</v>
      </c>
      <c r="B1557" s="2" t="str">
        <f>IFERROR(__xludf.DUMMYFUNCTION("""COMPUTED_VALUE"""),"PENDING")</f>
        <v>PENDING</v>
      </c>
      <c r="C1557" s="78">
        <f>IFERROR(__xludf.DUMMYFUNCTION("""COMPUTED_VALUE"""),46105.0)</f>
        <v>46105</v>
      </c>
      <c r="D1557" s="71" t="str">
        <f>IFERROR(__xludf.DUMMYFUNCTION("""COMPUTED_VALUE"""),"PINAGBUKLOD FARMERS' ASSOCIATION")</f>
        <v>PINAGBUKLOD FARMERS' ASSOCIATION</v>
      </c>
      <c r="E1557" s="71" t="str">
        <f>IFERROR(__xludf.DUMMYFUNCTION("""COMPUTED_VALUE"""),"San Nicolas, Sablayan, OCCIDENTAL MINDORO")</f>
        <v>San Nicolas, Sablayan, OCCIDENTAL MINDORO</v>
      </c>
      <c r="F1557" s="2" t="str">
        <f>IFERROR(__xludf.DUMMYFUNCTION("""COMPUTED_VALUE"""),"Roel Dela Fuente")</f>
        <v>Roel Dela Fuente</v>
      </c>
      <c r="G1557" s="2">
        <f>IFERROR(__xludf.DUMMYFUNCTION("""COMPUTED_VALUE"""),9.350297782E9)</f>
        <v>9350297782</v>
      </c>
      <c r="H1557" s="2">
        <f>IFERROR(__xludf.DUMMYFUNCTION("""COMPUTED_VALUE"""),2000.0)</f>
        <v>2000</v>
      </c>
      <c r="I1557" s="72" t="str">
        <f>IFERROR(__xludf.DUMMYFUNCTION("""COMPUTED_VALUE"""),"SPARE PARTS ACQUISITION")</f>
        <v>SPARE PARTS ACQUISITION</v>
      </c>
      <c r="J1557" s="72"/>
      <c r="K1557" s="72" t="str">
        <f>IFERROR(__xludf.DUMMYFUNCTION("""COMPUTED_VALUE"""),"MYK: SIRA NA ANG NASA DULO NG JOYSTICK")</f>
        <v>MYK: SIRA NA ANG NASA DULO NG JOYSTICK</v>
      </c>
      <c r="L1557" s="72" t="str">
        <f>IFERROR(__xludf.DUMMYFUNCTION("""COMPUTED_VALUE"""),"RCG: PARTS NEEDED : LOADER JOYSTICK VALVE SELECTOR ASSEMBLY
RCG: NEGATIVE TO FABRICATE  : ANGSINABI NA LAMANG AY IPA HINANG NALANG TAPOS KIKILIN SA GILID")</f>
        <v>RCG: PARTS NEEDED : LOADER JOYSTICK VALVE SELECTOR ASSEMBLY
RCG: NEGATIVE TO FABRICATE  : ANGSINABI NA LAMANG AY IPA HINANG NALANG TAPOS KIKILIN SA GILID</v>
      </c>
      <c r="M1557" s="2" t="str">
        <f>IFERROR(__xludf.DUMMYFUNCTION("""COMPUTED_VALUE"""),"LOADER JOYSTICK VSLVE SELECTOR ASSY")</f>
        <v>LOADER JOYSTICK VSLVE SELECTOR ASSY</v>
      </c>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t="str">
        <f>IFERROR(__xludf.DUMMYFUNCTION("""COMPUTED_VALUE"""),"San Nicolas")</f>
        <v>San Nicolas</v>
      </c>
      <c r="AK1557" s="2" t="str">
        <f>IFERROR(__xludf.DUMMYFUNCTION("""COMPUTED_VALUE"""),"Sablayan")</f>
        <v>Sablayan</v>
      </c>
      <c r="AL1557" s="2" t="str">
        <f>IFERROR(__xludf.DUMMYFUNCTION("""COMPUTED_VALUE"""),"Occidental Mindoro")</f>
        <v>Occidental Mindoro</v>
      </c>
      <c r="AM1557" s="2" t="str">
        <f>IFERROR(__xludf.DUMMYFUNCTION("""COMPUTED_VALUE"""),"4B")</f>
        <v>4B</v>
      </c>
      <c r="AN1557" s="2" t="str">
        <f>IFERROR(__xludf.DUMMYFUNCTION("""COMPUTED_VALUE"""),"RCEF 24-04-15")</f>
        <v>RCEF 24-04-15</v>
      </c>
      <c r="AO1557" s="2">
        <f>IFERROR(__xludf.DUMMYFUNCTION("""COMPUTED_VALUE"""),7.0)</f>
        <v>7</v>
      </c>
      <c r="AP1557" s="2" t="str">
        <f>IFERROR(__xludf.DUMMYFUNCTION("""COMPUTED_VALUE"""),"FREE PMS")</f>
        <v>FREE PMS</v>
      </c>
      <c r="AQ1557" s="2"/>
      <c r="AR1557" s="2"/>
      <c r="AS1557" s="2"/>
      <c r="AT1557" s="2"/>
      <c r="AU1557" s="2"/>
      <c r="AV1557" s="2"/>
      <c r="AW1557" s="2"/>
      <c r="AX1557" s="2"/>
      <c r="AY1557" s="2"/>
      <c r="AZ1557" s="2"/>
      <c r="BA1557" s="2"/>
      <c r="BB1557" s="2"/>
    </row>
    <row r="1558">
      <c r="A1558" s="2">
        <f>IFERROR(__xludf.DUMMYFUNCTION("""COMPUTED_VALUE"""),1554.0)</f>
        <v>1554</v>
      </c>
      <c r="B1558" s="2" t="str">
        <f>IFERROR(__xludf.DUMMYFUNCTION("""COMPUTED_VALUE"""),"PENDING")</f>
        <v>PENDING</v>
      </c>
      <c r="C1558" s="78">
        <f>IFERROR(__xludf.DUMMYFUNCTION("""COMPUTED_VALUE"""),46105.0)</f>
        <v>46105</v>
      </c>
      <c r="D1558" s="71" t="str">
        <f>IFERROR(__xludf.DUMMYFUNCTION("""COMPUTED_VALUE"""),"BARAGAY SAN MIGUEL FARMERS ASSOCIATION")</f>
        <v>BARAGAY SAN MIGUEL FARMERS ASSOCIATION</v>
      </c>
      <c r="E1558" s="71" t="str">
        <f>IFERROR(__xludf.DUMMYFUNCTION("""COMPUTED_VALUE"""),"San Miguel, Guimba, NUEVA ECIJA")</f>
        <v>San Miguel, Guimba, NUEVA ECIJA</v>
      </c>
      <c r="F1558" s="2" t="str">
        <f>IFERROR(__xludf.DUMMYFUNCTION("""COMPUTED_VALUE"""),"Teresito Aguinaldo")</f>
        <v>Teresito Aguinaldo</v>
      </c>
      <c r="G1558" s="2">
        <f>IFERROR(__xludf.DUMMYFUNCTION("""COMPUTED_VALUE"""),9.18918675E9)</f>
        <v>9189186750</v>
      </c>
      <c r="H1558" s="2"/>
      <c r="I1558" s="72" t="str">
        <f>IFERROR(__xludf.DUMMYFUNCTION("""COMPUTED_VALUE"""),"REPAIR - DISC PLOW")</f>
        <v>REPAIR - DISC PLOW</v>
      </c>
      <c r="J1558" s="72" t="str">
        <f>IFERROR(__xludf.DUMMYFUNCTION("""COMPUTED_VALUE"""),"Gearbox")</f>
        <v>Gearbox</v>
      </c>
      <c r="K1558" s="72" t="str">
        <f>IFERROR(__xludf.DUMMYFUNCTION("""COMPUTED_VALUE"""),"MYK: ng prublema ay yung disc plow nasibak yung housing ng front disc right side kaya nag asked ako na bisitahin ng mga technician ninyo")</f>
        <v>MYK: ng prublema ay yung disc plow nasibak yung housing ng front disc right side kaya nag asked ako na bisitahin ng mga technician ninyo</v>
      </c>
      <c r="L1558" s="72" t="str">
        <f>IFERROR(__xludf.DUMMYFUNCTION("""COMPUTED_VALUE"""),"TO CALL- TO CONFIRM PARTS NEEDED
TO CALL BY RBS -  BAKIT DAW PAULIT ULIT LANG NA TAWAG, WALA NAMAN DAW GUMAGAWA, NI ASSESS LANG PERO HINDI NAGAWA
JVV: 4/29/26: Bitak po yung sa housing ng front disc niya, tsaka May nag li leak den po sa kabitan ng hydra"&amp;"ulic filter (w/ picture)
PARTS NEEDED:
OIL SEAL 55-85-12
TAPER ROLLER BEARING #30208
DISK FLANGE AXIS")</f>
        <v>TO CALL- TO CONFIRM PARTS NEEDED
TO CALL BY RBS -  BAKIT DAW PAULIT ULIT LANG NA TAWAG, WALA NAMAN DAW GUMAGAWA, NI ASSESS LANG PERO HINDI NAGAWA
JVV: 4/29/26: Bitak po yung sa housing ng front disc niya, tsaka May nag li leak den po sa kabitan ng hydraulic filter (w/ picture)
PARTS NEEDED:
OIL SEAL 55-85-12
TAPER ROLLER BEARING #30208
DISK FLANGE AXIS</v>
      </c>
      <c r="M1558" s="2" t="str">
        <f>IFERROR(__xludf.DUMMYFUNCTION("""COMPUTED_VALUE"""),"OIL SEAL 55-85-12
TAPER ROLLER BEARING #30208
DISK FLANGE AXIS")</f>
        <v>OIL SEAL 55-85-12
TAPER ROLLER BEARING #30208
DISK FLANGE AXIS</v>
      </c>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t="str">
        <f>IFERROR(__xludf.DUMMYFUNCTION("""COMPUTED_VALUE"""),"San Miguel")</f>
        <v>San Miguel</v>
      </c>
      <c r="AK1558" s="2" t="str">
        <f>IFERROR(__xludf.DUMMYFUNCTION("""COMPUTED_VALUE"""),"Guimba")</f>
        <v>Guimba</v>
      </c>
      <c r="AL1558" s="2" t="str">
        <f>IFERROR(__xludf.DUMMYFUNCTION("""COMPUTED_VALUE"""),"Nueva Ecija")</f>
        <v>Nueva Ecija</v>
      </c>
      <c r="AM1558" s="2">
        <f>IFERROR(__xludf.DUMMYFUNCTION("""COMPUTED_VALUE"""),3.0)</f>
        <v>3</v>
      </c>
      <c r="AN1558" s="2" t="str">
        <f>IFERROR(__xludf.DUMMYFUNCTION("""COMPUTED_VALUE"""),"RCEF 23-09-21 Rebidding")</f>
        <v>RCEF 23-09-21 Rebidding</v>
      </c>
      <c r="AO1558" s="2">
        <f>IFERROR(__xludf.DUMMYFUNCTION("""COMPUTED_VALUE"""),3.0)</f>
        <v>3</v>
      </c>
      <c r="AP1558" s="2"/>
      <c r="AQ1558" s="2"/>
      <c r="AR1558" s="2"/>
      <c r="AS1558" s="2"/>
      <c r="AT1558" s="2"/>
      <c r="AU1558" s="2"/>
      <c r="AV1558" s="2"/>
      <c r="AW1558" s="2"/>
      <c r="AX1558" s="2"/>
      <c r="AY1558" s="2"/>
      <c r="AZ1558" s="2"/>
      <c r="BA1558" s="2"/>
      <c r="BB1558" s="2"/>
    </row>
    <row r="1559">
      <c r="A1559" s="2">
        <f>IFERROR(__xludf.DUMMYFUNCTION("""COMPUTED_VALUE"""),1555.0)</f>
        <v>1555</v>
      </c>
      <c r="B1559" s="2" t="str">
        <f>IFERROR(__xludf.DUMMYFUNCTION("""COMPUTED_VALUE"""),"PENDING")</f>
        <v>PENDING</v>
      </c>
      <c r="C1559" s="78">
        <f>IFERROR(__xludf.DUMMYFUNCTION("""COMPUTED_VALUE"""),46105.0)</f>
        <v>46105</v>
      </c>
      <c r="D1559" s="71" t="str">
        <f>IFERROR(__xludf.DUMMYFUNCTION("""COMPUTED_VALUE"""),"PRADO SIONGCO RICE &amp; CORN FARMERS ASSOCIATION")</f>
        <v>PRADO SIONGCO RICE &amp; CORN FARMERS ASSOCIATION</v>
      </c>
      <c r="E1559" s="71" t="str">
        <f>IFERROR(__xludf.DUMMYFUNCTION("""COMPUTED_VALUE"""),"Prado Siongco, Lubao, PAMPANGA")</f>
        <v>Prado Siongco, Lubao, PAMPANGA</v>
      </c>
      <c r="F1559" s="2" t="str">
        <f>IFERROR(__xludf.DUMMYFUNCTION("""COMPUTED_VALUE"""),"Renato Rivera")</f>
        <v>Renato Rivera</v>
      </c>
      <c r="G1559" s="2">
        <f>IFERROR(__xludf.DUMMYFUNCTION("""COMPUTED_VALUE"""),9.306360088E9)</f>
        <v>9306360088</v>
      </c>
      <c r="H1559" s="2"/>
      <c r="I1559" s="72" t="str">
        <f>IFERROR(__xludf.DUMMYFUNCTION("""COMPUTED_VALUE"""),"REPAIR - DISC PLOW")</f>
        <v>REPAIR - DISC PLOW</v>
      </c>
      <c r="J1559" s="72" t="str">
        <f>IFERROR(__xludf.DUMMYFUNCTION("""COMPUTED_VALUE"""),"Gearbox")</f>
        <v>Gearbox</v>
      </c>
      <c r="K1559" s="72" t="str">
        <f>IFERROR(__xludf.DUMMYFUNCTION("""COMPUTED_VALUE"""),"MYK: Concern : Discplow Problem")</f>
        <v>MYK: Concern : Discplow Problem</v>
      </c>
      <c r="L1559" s="72" t="str">
        <f>IFERROR(__xludf.DUMMYFUNCTION("""COMPUTED_VALUE"""),"TO CALL- TO CONFIRM PARTS NEEDED
TO CALL BY RBS - NEED TO ASEESS")</f>
        <v>TO CALL- TO CONFIRM PARTS NEEDED
TO CALL BY RBS - NEED TO ASEESS</v>
      </c>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t="str">
        <f>IFERROR(__xludf.DUMMYFUNCTION("""COMPUTED_VALUE"""),"Prado Siongco")</f>
        <v>Prado Siongco</v>
      </c>
      <c r="AK1559" s="2" t="str">
        <f>IFERROR(__xludf.DUMMYFUNCTION("""COMPUTED_VALUE"""),"Lubao")</f>
        <v>Lubao</v>
      </c>
      <c r="AL1559" s="2" t="str">
        <f>IFERROR(__xludf.DUMMYFUNCTION("""COMPUTED_VALUE"""),"Pampanga")</f>
        <v>Pampanga</v>
      </c>
      <c r="AM1559" s="2">
        <f>IFERROR(__xludf.DUMMYFUNCTION("""COMPUTED_VALUE"""),3.0)</f>
        <v>3</v>
      </c>
      <c r="AN1559" s="2" t="str">
        <f>IFERROR(__xludf.DUMMYFUNCTION("""COMPUTED_VALUE"""),"RCEF 23-09-21 Rebidding")</f>
        <v>RCEF 23-09-21 Rebidding</v>
      </c>
      <c r="AO1559" s="2">
        <f>IFERROR(__xludf.DUMMYFUNCTION("""COMPUTED_VALUE"""),3.0)</f>
        <v>3</v>
      </c>
      <c r="AP1559" s="2"/>
      <c r="AQ1559" s="2"/>
      <c r="AR1559" s="2"/>
      <c r="AS1559" s="2"/>
      <c r="AT1559" s="2"/>
      <c r="AU1559" s="2"/>
      <c r="AV1559" s="2"/>
      <c r="AW1559" s="2"/>
      <c r="AX1559" s="2"/>
      <c r="AY1559" s="2"/>
      <c r="AZ1559" s="2"/>
      <c r="BA1559" s="2"/>
      <c r="BB1559" s="2"/>
    </row>
    <row r="1560">
      <c r="A1560" s="2">
        <f>IFERROR(__xludf.DUMMYFUNCTION("""COMPUTED_VALUE"""),1556.0)</f>
        <v>1556</v>
      </c>
      <c r="B1560" s="2" t="str">
        <f>IFERROR(__xludf.DUMMYFUNCTION("""COMPUTED_VALUE"""),"COMPLETED")</f>
        <v>COMPLETED</v>
      </c>
      <c r="C1560" s="74">
        <f>IFERROR(__xludf.DUMMYFUNCTION("""COMPUTED_VALUE"""),46106.0)</f>
        <v>46106</v>
      </c>
      <c r="D1560" s="71" t="str">
        <f>IFERROR(__xludf.DUMMYFUNCTION("""COMPUTED_VALUE"""),"Kalumpit Malapaga Ibud Irrigators Association, Inc.")</f>
        <v>Kalumpit Malapaga Ibud Irrigators Association, Inc.</v>
      </c>
      <c r="E1560" s="71" t="str">
        <f>IFERROR(__xludf.DUMMYFUNCTION("""COMPUTED_VALUE"""),"San Vicente, Sablayan, OCCIDENTAL MINDORO")</f>
        <v>San Vicente, Sablayan, OCCIDENTAL MINDORO</v>
      </c>
      <c r="F1560" s="2"/>
      <c r="G1560" s="2"/>
      <c r="H1560" s="2"/>
      <c r="I1560" s="72" t="str">
        <f>IFERROR(__xludf.DUMMYFUNCTION("""COMPUTED_VALUE"""),"SPARE PARTS ACQUISITION")</f>
        <v>SPARE PARTS ACQUISITION</v>
      </c>
      <c r="J1560" s="72"/>
      <c r="K1560" s="72" t="str">
        <f>IFERROR(__xludf.DUMMYFUNCTION("""COMPUTED_VALUE"""),"PARTS REQUEST -2 - HYDRAULIC FILTER")</f>
        <v>PARTS REQUEST -2 - HYDRAULIC FILTER</v>
      </c>
      <c r="L1560" s="72" t="str">
        <f>IFERROR(__xludf.DUMMYFUNCTION("""COMPUTED_VALUE"""),"RCG: DELIVERED - sales only")</f>
        <v>RCG: DELIVERED - sales only</v>
      </c>
      <c r="M1560" s="2"/>
      <c r="N1560" s="2" t="str">
        <f>IFERROR(__xludf.DUMMYFUNCTION("""COMPUTED_VALUE"""),"PARTS:
2 - HYDRAULIC FILTER")</f>
        <v>PARTS:
2 - HYDRAULIC FILTER</v>
      </c>
      <c r="O1560" s="2" t="str">
        <f>IFERROR(__xludf.DUMMYFUNCTION("""COMPUTED_VALUE"""),"N/A")</f>
        <v>N/A</v>
      </c>
      <c r="P1560" s="2"/>
      <c r="Q1560" s="2" t="str">
        <f>IFERROR(__xludf.DUMMYFUNCTION("""COMPUTED_VALUE"""),"FOR PRINT")</f>
        <v>FOR PRINT</v>
      </c>
      <c r="R1560" s="74">
        <f>IFERROR(__xludf.DUMMYFUNCTION("""COMPUTED_VALUE"""),46106.0)</f>
        <v>46106</v>
      </c>
      <c r="S1560" s="2" t="str">
        <f>IFERROR(__xludf.DUMMYFUNCTION("""COMPUTED_VALUE"""),"RCG")</f>
        <v>RCG</v>
      </c>
      <c r="T1560" s="73">
        <f>IFERROR(__xludf.DUMMYFUNCTION("""COMPUTED_VALUE"""),5600.0)</f>
        <v>5600</v>
      </c>
      <c r="U1560" s="73" t="str">
        <f>IFERROR(__xludf.DUMMYFUNCTION("""COMPUTED_VALUE""")," REMITTED ")</f>
        <v>REMITTED</v>
      </c>
      <c r="V1560" s="2">
        <f>IFERROR(__xludf.DUMMYFUNCTION("""COMPUTED_VALUE"""),1448.0)</f>
        <v>1448</v>
      </c>
      <c r="W1560" s="2">
        <f>IFERROR(__xludf.DUMMYFUNCTION("""COMPUTED_VALUE"""),2007.0)</f>
        <v>2007</v>
      </c>
      <c r="X1560" s="2">
        <f>IFERROR(__xludf.DUMMYFUNCTION("""COMPUTED_VALUE"""),1743.0)</f>
        <v>1743</v>
      </c>
      <c r="Y1560" s="2"/>
      <c r="Z1560" s="2"/>
      <c r="AA1560" s="2"/>
      <c r="AB1560" s="2"/>
      <c r="AC1560" s="2"/>
      <c r="AD1560" s="2"/>
      <c r="AE1560" s="2"/>
      <c r="AF1560" s="2"/>
      <c r="AG1560" s="2"/>
      <c r="AH1560" s="2"/>
      <c r="AI1560" s="2"/>
      <c r="AJ1560" s="2" t="str">
        <f>IFERROR(__xludf.DUMMYFUNCTION("""COMPUTED_VALUE"""),"San Vicente")</f>
        <v>San Vicente</v>
      </c>
      <c r="AK1560" s="2" t="str">
        <f>IFERROR(__xludf.DUMMYFUNCTION("""COMPUTED_VALUE"""),"Sablayan")</f>
        <v>Sablayan</v>
      </c>
      <c r="AL1560" s="2" t="str">
        <f>IFERROR(__xludf.DUMMYFUNCTION("""COMPUTED_VALUE"""),"Occidental Mindoro")</f>
        <v>Occidental Mindoro</v>
      </c>
      <c r="AM1560" s="2" t="str">
        <f>IFERROR(__xludf.DUMMYFUNCTION("""COMPUTED_VALUE"""),"4B")</f>
        <v>4B</v>
      </c>
      <c r="AN1560" s="2" t="str">
        <f>IFERROR(__xludf.DUMMYFUNCTION("""COMPUTED_VALUE"""),"RCEF 25-03-05")</f>
        <v>RCEF 25-03-05</v>
      </c>
      <c r="AO1560" s="2">
        <f>IFERROR(__xludf.DUMMYFUNCTION("""COMPUTED_VALUE"""),6.0)</f>
        <v>6</v>
      </c>
      <c r="AP1560" s="2" t="str">
        <f>IFERROR(__xludf.DUMMYFUNCTION("""COMPUTED_VALUE"""),"FREE PMS")</f>
        <v>FREE PMS</v>
      </c>
      <c r="AQ1560" s="2"/>
      <c r="AR1560" s="2"/>
      <c r="AS1560" s="2"/>
      <c r="AT1560" s="2"/>
      <c r="AU1560" s="2"/>
      <c r="AV1560" s="2"/>
      <c r="AW1560" s="2"/>
      <c r="AX1560" s="2"/>
      <c r="AY1560" s="2"/>
      <c r="AZ1560" s="2"/>
      <c r="BA1560" s="2"/>
      <c r="BB1560" s="2"/>
    </row>
    <row r="1561">
      <c r="A1561" s="2">
        <f>IFERROR(__xludf.DUMMYFUNCTION("""COMPUTED_VALUE"""),1557.0)</f>
        <v>1557</v>
      </c>
      <c r="B1561" s="2" t="str">
        <f>IFERROR(__xludf.DUMMYFUNCTION("""COMPUTED_VALUE"""),"COMPLETED")</f>
        <v>COMPLETED</v>
      </c>
      <c r="C1561" s="74">
        <f>IFERROR(__xludf.DUMMYFUNCTION("""COMPUTED_VALUE"""),46106.0)</f>
        <v>46106</v>
      </c>
      <c r="D1561" s="71" t="str">
        <f>IFERROR(__xludf.DUMMYFUNCTION("""COMPUTED_VALUE"""),"CALUMPANG FARMER'S ORGANIZATION (CAFO)")</f>
        <v>CALUMPANG FARMER'S ORGANIZATION (CAFO)</v>
      </c>
      <c r="E1561" s="71" t="str">
        <f>IFERROR(__xludf.DUMMYFUNCTION("""COMPUTED_VALUE"""),"Calumpang, Cawayan, MASBATE")</f>
        <v>Calumpang, Cawayan, MASBATE</v>
      </c>
      <c r="F1561" s="2" t="str">
        <f>IFERROR(__xludf.DUMMYFUNCTION("""COMPUTED_VALUE"""),"Ferdinand C. Ylaran")</f>
        <v>Ferdinand C. Ylaran</v>
      </c>
      <c r="G1561" s="2" t="str">
        <f>IFERROR(__xludf.DUMMYFUNCTION("""COMPUTED_VALUE"""),"0936 429 6162")</f>
        <v>0936 429 6162</v>
      </c>
      <c r="H1561" s="2">
        <f>IFERROR(__xludf.DUMMYFUNCTION("""COMPUTED_VALUE"""),47.9)</f>
        <v>47.9</v>
      </c>
      <c r="I1561" s="72" t="str">
        <f>IFERROR(__xludf.DUMMYFUNCTION("""COMPUTED_VALUE"""),"PMS")</f>
        <v>PMS</v>
      </c>
      <c r="J1561" s="72"/>
      <c r="K1561" s="72" t="str">
        <f>IFERROR(__xludf.DUMMYFUNCTION("""COMPUTED_VALUE"""),"FPJ: 1ST PSM FREE")</f>
        <v>FPJ: 1ST PSM FREE</v>
      </c>
      <c r="L1561" s="72" t="str">
        <f>IFERROR(__xludf.DUMMYFUNCTION("""COMPUTED_VALUE"""),"FPJ: 1ST PMS DONE")</f>
        <v>FPJ: 1ST PMS DONE</v>
      </c>
      <c r="M1561" s="2"/>
      <c r="N1561" s="2" t="str">
        <f>IFERROR(__xludf.DUMMYFUNCTION("""COMPUTED_VALUE"""),"PARTS:
OIL FILTER
ENGINE OIL
HYDRAULIC FILTER")</f>
        <v>PARTS:
OIL FILTER
ENGINE OIL
HYDRAULIC FILTER</v>
      </c>
      <c r="O1561" s="2">
        <f>IFERROR(__xludf.DUMMYFUNCTION("""COMPUTED_VALUE"""),596.0)</f>
        <v>596</v>
      </c>
      <c r="P1561" s="2"/>
      <c r="Q1561" s="2" t="str">
        <f>IFERROR(__xludf.DUMMYFUNCTION("""COMPUTED_VALUE"""),"FOR PRINT")</f>
        <v>FOR PRINT</v>
      </c>
      <c r="R1561" s="74">
        <f>IFERROR(__xludf.DUMMYFUNCTION("""COMPUTED_VALUE"""),46106.0)</f>
        <v>46106</v>
      </c>
      <c r="S1561" s="2" t="str">
        <f>IFERROR(__xludf.DUMMYFUNCTION("""COMPUTED_VALUE"""),"FPJ/JAH")</f>
        <v>FPJ/JAH</v>
      </c>
      <c r="T1561" s="73">
        <f>IFERROR(__xludf.DUMMYFUNCTION("""COMPUTED_VALUE"""),2837.0)</f>
        <v>2837</v>
      </c>
      <c r="U1561" s="73" t="str">
        <f>IFERROR(__xludf.DUMMYFUNCTION("""COMPUTED_VALUE""")," FOR REMIT ")</f>
        <v>FOR REMIT</v>
      </c>
      <c r="V1561" s="2">
        <f>IFERROR(__xludf.DUMMYFUNCTION("""COMPUTED_VALUE"""),1554.0)</f>
        <v>1554</v>
      </c>
      <c r="W1561" s="2">
        <f>IFERROR(__xludf.DUMMYFUNCTION("""COMPUTED_VALUE"""),2103.0)</f>
        <v>2103</v>
      </c>
      <c r="X1561" s="2"/>
      <c r="Y1561" s="2"/>
      <c r="Z1561" s="2"/>
      <c r="AA1561" s="2"/>
      <c r="AB1561" s="2"/>
      <c r="AC1561" s="2"/>
      <c r="AD1561" s="2"/>
      <c r="AE1561" s="2"/>
      <c r="AF1561" s="2"/>
      <c r="AG1561" s="2"/>
      <c r="AH1561" s="2"/>
      <c r="AI1561" s="2"/>
      <c r="AJ1561" s="2" t="str">
        <f>IFERROR(__xludf.DUMMYFUNCTION("""COMPUTED_VALUE"""),"Calumpang")</f>
        <v>Calumpang</v>
      </c>
      <c r="AK1561" s="2" t="str">
        <f>IFERROR(__xludf.DUMMYFUNCTION("""COMPUTED_VALUE"""),"Cawayan")</f>
        <v>Cawayan</v>
      </c>
      <c r="AL1561" s="2" t="str">
        <f>IFERROR(__xludf.DUMMYFUNCTION("""COMPUTED_VALUE"""),"Masbate")</f>
        <v>Masbate</v>
      </c>
      <c r="AM1561" s="2">
        <f>IFERROR(__xludf.DUMMYFUNCTION("""COMPUTED_VALUE"""),5.0)</f>
        <v>5</v>
      </c>
      <c r="AN1561" s="2" t="str">
        <f>IFERROR(__xludf.DUMMYFUNCTION("""COMPUTED_VALUE"""),"RCEF 25-03-05")</f>
        <v>RCEF 25-03-05</v>
      </c>
      <c r="AO1561" s="2">
        <f>IFERROR(__xludf.DUMMYFUNCTION("""COMPUTED_VALUE"""),6.0)</f>
        <v>6</v>
      </c>
      <c r="AP1561" s="2" t="str">
        <f>IFERROR(__xludf.DUMMYFUNCTION("""COMPUTED_VALUE"""),"FREE PMS")</f>
        <v>FREE PMS</v>
      </c>
      <c r="AQ1561" s="2"/>
      <c r="AR1561" s="2"/>
      <c r="AS1561" s="2"/>
      <c r="AT1561" s="2"/>
      <c r="AU1561" s="2"/>
      <c r="AV1561" s="2"/>
      <c r="AW1561" s="2"/>
      <c r="AX1561" s="2"/>
      <c r="AY1561" s="2"/>
      <c r="AZ1561" s="2"/>
      <c r="BA1561" s="2"/>
      <c r="BB1561" s="2"/>
    </row>
    <row r="1562">
      <c r="A1562" s="2">
        <f>IFERROR(__xludf.DUMMYFUNCTION("""COMPUTED_VALUE"""),1558.0)</f>
        <v>1558</v>
      </c>
      <c r="B1562" s="2" t="str">
        <f>IFERROR(__xludf.DUMMYFUNCTION("""COMPUTED_VALUE"""),"PENDING")</f>
        <v>PENDING</v>
      </c>
      <c r="C1562" s="78">
        <f>IFERROR(__xludf.DUMMYFUNCTION("""COMPUTED_VALUE"""),46106.0)</f>
        <v>46106</v>
      </c>
      <c r="D1562" s="71" t="str">
        <f>IFERROR(__xludf.DUMMYFUNCTION("""COMPUTED_VALUE"""),"ANAHAWIN BOMBONGAN IRRIGATORS' ASSOCIATION, INC.")</f>
        <v>ANAHAWIN BOMBONGAN IRRIGATORS' ASSOCIATION, INC.</v>
      </c>
      <c r="E1562" s="71" t="str">
        <f>IFERROR(__xludf.DUMMYFUNCTION("""COMPUTED_VALUE"""),"Iriron, Calintaan, OCCIDENTAL MINDORO")</f>
        <v>Iriron, Calintaan, OCCIDENTAL MINDORO</v>
      </c>
      <c r="F1562" s="2" t="str">
        <f>IFERROR(__xludf.DUMMYFUNCTION("""COMPUTED_VALUE"""),"Limuel Andrade")</f>
        <v>Limuel Andrade</v>
      </c>
      <c r="G1562" s="2" t="str">
        <f>IFERROR(__xludf.DUMMYFUNCTION("""COMPUTED_VALUE"""),"938 472 9227 /  09066210076")</f>
        <v>938 472 9227 /  09066210076</v>
      </c>
      <c r="H1562" s="2"/>
      <c r="I1562" s="72" t="str">
        <f>IFERROR(__xludf.DUMMYFUNCTION("""COMPUTED_VALUE"""),"SPARE PARTS ACQUISITION")</f>
        <v>SPARE PARTS ACQUISITION</v>
      </c>
      <c r="J1562" s="72" t="str">
        <f>IFERROR(__xludf.DUMMYFUNCTION("""COMPUTED_VALUE"""),"PST CYLINDER ASSY")</f>
        <v>PST CYLINDER ASSY</v>
      </c>
      <c r="K1562" s="72" t="str">
        <f>IFERROR(__xludf.DUMMYFUNCTION("""COMPUTED_VALUE"""),"MYK: SPARE PARTS ACQUISITION                
PARTS ORDER: PST CYLINDER ASSY -  29,560")</f>
        <v>MYK: SPARE PARTS ACQUISITION                
PARTS ORDER: PST CYLINDER ASSY -  29,560</v>
      </c>
      <c r="L1562" s="72" t="str">
        <f>IFERROR(__xludf.DUMMYFUNCTION("""COMPUTED_VALUE"""),"MYK: CALL TO INFORM - NEW PRICE 45,870
QUOTATION SENT - ")</f>
        <v>MYK: CALL TO INFORM - NEW PRICE 45,870
QUOTATION SENT - </v>
      </c>
      <c r="M1562" s="2" t="str">
        <f>IFERROR(__xludf.DUMMYFUNCTION("""COMPUTED_VALUE"""),"PST CYLINDER ASSY")</f>
        <v>PST CYLINDER ASSY</v>
      </c>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t="str">
        <f>IFERROR(__xludf.DUMMYFUNCTION("""COMPUTED_VALUE"""),"Iriron")</f>
        <v>Iriron</v>
      </c>
      <c r="AK1562" s="2" t="str">
        <f>IFERROR(__xludf.DUMMYFUNCTION("""COMPUTED_VALUE"""),"Calintaan")</f>
        <v>Calintaan</v>
      </c>
      <c r="AL1562" s="2" t="str">
        <f>IFERROR(__xludf.DUMMYFUNCTION("""COMPUTED_VALUE"""),"Occidental Mindoro")</f>
        <v>Occidental Mindoro</v>
      </c>
      <c r="AM1562" s="2" t="str">
        <f>IFERROR(__xludf.DUMMYFUNCTION("""COMPUTED_VALUE"""),"4B")</f>
        <v>4B</v>
      </c>
      <c r="AN1562" s="2" t="str">
        <f>IFERROR(__xludf.DUMMYFUNCTION("""COMPUTED_VALUE"""),"RCEF 24-04-15")</f>
        <v>RCEF 24-04-15</v>
      </c>
      <c r="AO1562" s="2">
        <f>IFERROR(__xludf.DUMMYFUNCTION("""COMPUTED_VALUE"""),7.0)</f>
        <v>7</v>
      </c>
      <c r="AP1562" s="2" t="str">
        <f>IFERROR(__xludf.DUMMYFUNCTION("""COMPUTED_VALUE"""),"FREE PMS")</f>
        <v>FREE PMS</v>
      </c>
      <c r="AQ1562" s="2"/>
      <c r="AR1562" s="2"/>
      <c r="AS1562" s="2"/>
      <c r="AT1562" s="2"/>
      <c r="AU1562" s="2"/>
      <c r="AV1562" s="2"/>
      <c r="AW1562" s="2"/>
      <c r="AX1562" s="2"/>
      <c r="AY1562" s="2"/>
      <c r="AZ1562" s="2"/>
      <c r="BA1562" s="2"/>
      <c r="BB1562" s="2"/>
    </row>
    <row r="1563">
      <c r="A1563" s="2">
        <f>IFERROR(__xludf.DUMMYFUNCTION("""COMPUTED_VALUE"""),1559.0)</f>
        <v>1559</v>
      </c>
      <c r="B1563" s="2" t="str">
        <f>IFERROR(__xludf.DUMMYFUNCTION("""COMPUTED_VALUE"""),"COMPLETED")</f>
        <v>COMPLETED</v>
      </c>
      <c r="C1563" s="78">
        <f>IFERROR(__xludf.DUMMYFUNCTION("""COMPUTED_VALUE"""),46107.0)</f>
        <v>46107</v>
      </c>
      <c r="D1563" s="71" t="str">
        <f>IFERROR(__xludf.DUMMYFUNCTION("""COMPUTED_VALUE"""),"Panan-awan Farmers Association")</f>
        <v>Panan-awan Farmers Association</v>
      </c>
      <c r="E1563" s="71" t="str">
        <f>IFERROR(__xludf.DUMMYFUNCTION("""COMPUTED_VALUE"""),"Pananawan, Cawayan, MASBATE")</f>
        <v>Pananawan, Cawayan, MASBATE</v>
      </c>
      <c r="F1563" s="2" t="str">
        <f>IFERROR(__xludf.DUMMYFUNCTION("""COMPUTED_VALUE"""),"Hermes Locaylocay")</f>
        <v>Hermes Locaylocay</v>
      </c>
      <c r="G1563" s="2">
        <f>IFERROR(__xludf.DUMMYFUNCTION("""COMPUTED_VALUE"""),9.817272443E9)</f>
        <v>9817272443</v>
      </c>
      <c r="H1563" s="2">
        <f>IFERROR(__xludf.DUMMYFUNCTION("""COMPUTED_VALUE"""),58.8)</f>
        <v>58.8</v>
      </c>
      <c r="I1563" s="72" t="str">
        <f>IFERROR(__xludf.DUMMYFUNCTION("""COMPUTED_VALUE"""),"REPAIR - LOADER")</f>
        <v>REPAIR - LOADER</v>
      </c>
      <c r="J1563" s="72" t="str">
        <f>IFERROR(__xludf.DUMMYFUNCTION("""COMPUTED_VALUE"""),"Cable lock")</f>
        <v>Cable lock</v>
      </c>
      <c r="K1563" s="72" t="str">
        <f>IFERROR(__xludf.DUMMYFUNCTION("""COMPUTED_VALUE"""),"FSJ: di naangat baba ang loader (w/ picture)")</f>
        <v>FSJ: di naangat baba ang loader (w/ picture)</v>
      </c>
      <c r="L1563" s="72" t="str">
        <f>IFERROR(__xludf.DUMMYFUNCTION("""COMPUTED_VALUE"""),"FPJ: REPLACED CABLE LOCK")</f>
        <v>FPJ: REPLACED CABLE LOCK</v>
      </c>
      <c r="M1563" s="2"/>
      <c r="N1563" s="2" t="str">
        <f>IFERROR(__xludf.DUMMYFUNCTION("""COMPUTED_VALUE"""),"PARTS:
CABLE LOCK (OUTSOURCE)")</f>
        <v>PARTS:
CABLE LOCK (OUTSOURCE)</v>
      </c>
      <c r="O1563" s="2">
        <f>IFERROR(__xludf.DUMMYFUNCTION("""COMPUTED_VALUE"""),256.0)</f>
        <v>256</v>
      </c>
      <c r="P1563" s="2"/>
      <c r="Q1563" s="2" t="str">
        <f>IFERROR(__xludf.DUMMYFUNCTION("""COMPUTED_VALUE"""),"FOR PRINT")</f>
        <v>FOR PRINT</v>
      </c>
      <c r="R1563" s="74">
        <f>IFERROR(__xludf.DUMMYFUNCTION("""COMPUTED_VALUE"""),46111.0)</f>
        <v>46111</v>
      </c>
      <c r="S1563" s="2" t="str">
        <f>IFERROR(__xludf.DUMMYFUNCTION("""COMPUTED_VALUE"""),"FPJ/JAH")</f>
        <v>FPJ/JAH</v>
      </c>
      <c r="T1563" s="73" t="str">
        <f>IFERROR(__xludf.DUMMYFUNCTION("""COMPUTED_VALUE""")," N/A ")</f>
        <v>N/A</v>
      </c>
      <c r="U1563" s="73" t="str">
        <f>IFERROR(__xludf.DUMMYFUNCTION("""COMPUTED_VALUE""")," NO CHARGE ")</f>
        <v>NO CHARGE</v>
      </c>
      <c r="V1563" s="2" t="str">
        <f>IFERROR(__xludf.DUMMYFUNCTION("""COMPUTED_VALUE"""),"NO DR")</f>
        <v>NO DR</v>
      </c>
      <c r="W1563" s="2" t="str">
        <f>IFERROR(__xludf.DUMMYFUNCTION("""COMPUTED_VALUE"""),"N/A")</f>
        <v>N/A</v>
      </c>
      <c r="X1563" s="2" t="str">
        <f>IFERROR(__xludf.DUMMYFUNCTION("""COMPUTED_VALUE"""),"N/A")</f>
        <v>N/A</v>
      </c>
      <c r="Y1563" s="2"/>
      <c r="Z1563" s="2"/>
      <c r="AA1563" s="2"/>
      <c r="AB1563" s="2"/>
      <c r="AC1563" s="2"/>
      <c r="AD1563" s="2"/>
      <c r="AE1563" s="2"/>
      <c r="AF1563" s="2"/>
      <c r="AG1563" s="2"/>
      <c r="AH1563" s="2"/>
      <c r="AI1563" s="2"/>
      <c r="AJ1563" s="2" t="str">
        <f>IFERROR(__xludf.DUMMYFUNCTION("""COMPUTED_VALUE"""),"Pananawan")</f>
        <v>Pananawan</v>
      </c>
      <c r="AK1563" s="2" t="str">
        <f>IFERROR(__xludf.DUMMYFUNCTION("""COMPUTED_VALUE"""),"Cawayan")</f>
        <v>Cawayan</v>
      </c>
      <c r="AL1563" s="2" t="str">
        <f>IFERROR(__xludf.DUMMYFUNCTION("""COMPUTED_VALUE"""),"Masbate")</f>
        <v>Masbate</v>
      </c>
      <c r="AM1563" s="2">
        <f>IFERROR(__xludf.DUMMYFUNCTION("""COMPUTED_VALUE"""),5.0)</f>
        <v>5</v>
      </c>
      <c r="AN1563" s="2" t="str">
        <f>IFERROR(__xludf.DUMMYFUNCTION("""COMPUTED_VALUE"""),"RCEF 25-03-05")</f>
        <v>RCEF 25-03-05</v>
      </c>
      <c r="AO1563" s="2">
        <f>IFERROR(__xludf.DUMMYFUNCTION("""COMPUTED_VALUE"""),6.0)</f>
        <v>6</v>
      </c>
      <c r="AP1563" s="2" t="str">
        <f>IFERROR(__xludf.DUMMYFUNCTION("""COMPUTED_VALUE"""),"FREE PMS")</f>
        <v>FREE PMS</v>
      </c>
      <c r="AQ1563" s="2"/>
      <c r="AR1563" s="2"/>
      <c r="AS1563" s="2"/>
      <c r="AT1563" s="2"/>
      <c r="AU1563" s="2"/>
      <c r="AV1563" s="2"/>
      <c r="AW1563" s="2"/>
      <c r="AX1563" s="2"/>
      <c r="AY1563" s="2"/>
      <c r="AZ1563" s="2"/>
      <c r="BA1563" s="2"/>
      <c r="BB1563" s="2"/>
    </row>
    <row r="1564">
      <c r="A1564" s="2">
        <f>IFERROR(__xludf.DUMMYFUNCTION("""COMPUTED_VALUE"""),1560.0)</f>
        <v>1560</v>
      </c>
      <c r="B1564" s="2" t="str">
        <f>IFERROR(__xludf.DUMMYFUNCTION("""COMPUTED_VALUE"""),"COMPLETED")</f>
        <v>COMPLETED</v>
      </c>
      <c r="C1564" s="74">
        <f>IFERROR(__xludf.DUMMYFUNCTION("""COMPUTED_VALUE"""),46107.0)</f>
        <v>46107</v>
      </c>
      <c r="D1564" s="71" t="str">
        <f>IFERROR(__xludf.DUMMYFUNCTION("""COMPUTED_VALUE"""),"Cabayugan Farmers Association")</f>
        <v>Cabayugan Farmers Association</v>
      </c>
      <c r="E1564" s="71" t="str">
        <f>IFERROR(__xludf.DUMMYFUNCTION("""COMPUTED_VALUE"""),"Cabayugan, Puerto Princesa City, Palawan")</f>
        <v>Cabayugan, Puerto Princesa City, Palawan</v>
      </c>
      <c r="F1564" s="2" t="str">
        <f>IFERROR(__xludf.DUMMYFUNCTION("""COMPUTED_VALUE"""),"LOWILLA LLEMA")</f>
        <v>LOWILLA LLEMA</v>
      </c>
      <c r="G1564" s="2"/>
      <c r="H1564" s="2">
        <f>IFERROR(__xludf.DUMMYFUNCTION("""COMPUTED_VALUE"""),23.6)</f>
        <v>23.6</v>
      </c>
      <c r="I1564" s="72" t="str">
        <f>IFERROR(__xludf.DUMMYFUNCTION("""COMPUTED_VALUE"""),"PMS")</f>
        <v>PMS</v>
      </c>
      <c r="J1564" s="72"/>
      <c r="K1564" s="72" t="str">
        <f>IFERROR(__xludf.DUMMYFUNCTION("""COMPUTED_VALUE"""),"FPJ: 1ST PMS FREE")</f>
        <v>FPJ: 1ST PMS FREE</v>
      </c>
      <c r="L1564" s="72" t="str">
        <f>IFERROR(__xludf.DUMMYFUNCTION("""COMPUTED_VALUE"""),"FPJ: 1ST PMS DONE")</f>
        <v>FPJ: 1ST PMS DONE</v>
      </c>
      <c r="M1564" s="2"/>
      <c r="N1564" s="2" t="str">
        <f>IFERROR(__xludf.DUMMYFUNCTION("""COMPUTED_VALUE"""),"PARTS:
OIL FILTER
ENGINE OIL")</f>
        <v>PARTS:
OIL FILTER
ENGINE OIL</v>
      </c>
      <c r="O1564" s="2">
        <f>IFERROR(__xludf.DUMMYFUNCTION("""COMPUTED_VALUE"""),261.0)</f>
        <v>261</v>
      </c>
      <c r="P1564" s="2"/>
      <c r="Q1564" s="2" t="str">
        <f>IFERROR(__xludf.DUMMYFUNCTION("""COMPUTED_VALUE"""),"FOR PRINT")</f>
        <v>FOR PRINT</v>
      </c>
      <c r="R1564" s="74">
        <f>IFERROR(__xludf.DUMMYFUNCTION("""COMPUTED_VALUE"""),46107.0)</f>
        <v>46107</v>
      </c>
      <c r="S1564" s="2" t="str">
        <f>IFERROR(__xludf.DUMMYFUNCTION("""COMPUTED_VALUE"""),"FPJ/JAH")</f>
        <v>FPJ/JAH</v>
      </c>
      <c r="T1564" s="73" t="str">
        <f>IFERROR(__xludf.DUMMYFUNCTION("""COMPUTED_VALUE""")," N/A ")</f>
        <v>N/A</v>
      </c>
      <c r="U1564" s="73" t="str">
        <f>IFERROR(__xludf.DUMMYFUNCTION("""COMPUTED_VALUE""")," NO CHARGE ")</f>
        <v>NO CHARGE</v>
      </c>
      <c r="V1564" s="2" t="str">
        <f>IFERROR(__xludf.DUMMYFUNCTION("""COMPUTED_VALUE"""),"NO DR")</f>
        <v>NO DR</v>
      </c>
      <c r="W1564" s="2" t="str">
        <f>IFERROR(__xludf.DUMMYFUNCTION("""COMPUTED_VALUE"""),"N/A")</f>
        <v>N/A</v>
      </c>
      <c r="X1564" s="2" t="str">
        <f>IFERROR(__xludf.DUMMYFUNCTION("""COMPUTED_VALUE"""),"N/A")</f>
        <v>N/A</v>
      </c>
      <c r="Y1564" s="2"/>
      <c r="Z1564" s="2"/>
      <c r="AA1564" s="2"/>
      <c r="AB1564" s="2"/>
      <c r="AC1564" s="2"/>
      <c r="AD1564" s="2"/>
      <c r="AE1564" s="2"/>
      <c r="AF1564" s="2"/>
      <c r="AG1564" s="2"/>
      <c r="AH1564" s="2"/>
      <c r="AI1564" s="2"/>
      <c r="AJ1564" s="2" t="str">
        <f>IFERROR(__xludf.DUMMYFUNCTION("""COMPUTED_VALUE"""),"Cabayugan")</f>
        <v>Cabayugan</v>
      </c>
      <c r="AK1564" s="2" t="str">
        <f>IFERROR(__xludf.DUMMYFUNCTION("""COMPUTED_VALUE"""),"Puerto Princesa City")</f>
        <v>Puerto Princesa City</v>
      </c>
      <c r="AL1564" s="2" t="str">
        <f>IFERROR(__xludf.DUMMYFUNCTION("""COMPUTED_VALUE"""),"Palawan")</f>
        <v>Palawan</v>
      </c>
      <c r="AM1564" s="2" t="str">
        <f>IFERROR(__xludf.DUMMYFUNCTION("""COMPUTED_VALUE"""),"4B")</f>
        <v>4B</v>
      </c>
      <c r="AN1564" s="2" t="str">
        <f>IFERROR(__xludf.DUMMYFUNCTION("""COMPUTED_VALUE"""),"RCEF 23-08-20 Rebidding")</f>
        <v>RCEF 23-08-20 Rebidding</v>
      </c>
      <c r="AO1564" s="2">
        <f>IFERROR(__xludf.DUMMYFUNCTION("""COMPUTED_VALUE"""),1.0)</f>
        <v>1</v>
      </c>
      <c r="AP1564" s="2"/>
      <c r="AQ1564" s="2"/>
      <c r="AR1564" s="2"/>
      <c r="AS1564" s="2"/>
      <c r="AT1564" s="2"/>
      <c r="AU1564" s="2"/>
      <c r="AV1564" s="2"/>
      <c r="AW1564" s="2"/>
      <c r="AX1564" s="2"/>
      <c r="AY1564" s="2"/>
      <c r="AZ1564" s="2"/>
      <c r="BA1564" s="2"/>
      <c r="BB1564" s="2"/>
    </row>
    <row r="1565">
      <c r="A1565" s="2">
        <f>IFERROR(__xludf.DUMMYFUNCTION("""COMPUTED_VALUE"""),1561.0)</f>
        <v>1561</v>
      </c>
      <c r="B1565" s="2" t="str">
        <f>IFERROR(__xludf.DUMMYFUNCTION("""COMPUTED_VALUE"""),"COMPLETED")</f>
        <v>COMPLETED</v>
      </c>
      <c r="C1565" s="74">
        <f>IFERROR(__xludf.DUMMYFUNCTION("""COMPUTED_VALUE"""),46107.0)</f>
        <v>46107</v>
      </c>
      <c r="D1565" s="71" t="str">
        <f>IFERROR(__xludf.DUMMYFUNCTION("""COMPUTED_VALUE"""),"Panan-awan Farmers Association")</f>
        <v>Panan-awan Farmers Association</v>
      </c>
      <c r="E1565" s="71" t="str">
        <f>IFERROR(__xludf.DUMMYFUNCTION("""COMPUTED_VALUE"""),"Pananawan, Cawayan, MASBATE")</f>
        <v>Pananawan, Cawayan, MASBATE</v>
      </c>
      <c r="F1565" s="2" t="str">
        <f>IFERROR(__xludf.DUMMYFUNCTION("""COMPUTED_VALUE"""),"HERMES COCAYVOCAY")</f>
        <v>HERMES COCAYVOCAY</v>
      </c>
      <c r="G1565" s="2">
        <f>IFERROR(__xludf.DUMMYFUNCTION("""COMPUTED_VALUE"""),9.817272443E9)</f>
        <v>9817272443</v>
      </c>
      <c r="H1565" s="2"/>
      <c r="I1565" s="72" t="str">
        <f>IFERROR(__xludf.DUMMYFUNCTION("""COMPUTED_VALUE"""),"PMS")</f>
        <v>PMS</v>
      </c>
      <c r="J1565" s="72" t="str">
        <f>IFERROR(__xludf.DUMMYFUNCTION("""COMPUTED_VALUE"""),"PMS")</f>
        <v>PMS</v>
      </c>
      <c r="K1565" s="72" t="str">
        <f>IFERROR(__xludf.DUMMYFUNCTION("""COMPUTED_VALUE"""),"FPJ: 1ST PSM FREE")</f>
        <v>FPJ: 1ST PSM FREE</v>
      </c>
      <c r="L1565" s="72" t="str">
        <f>IFERROR(__xludf.DUMMYFUNCTION("""COMPUTED_VALUE"""),"FPJ: 1ST PMS DONE")</f>
        <v>FPJ: 1ST PMS DONE</v>
      </c>
      <c r="M1565" s="2"/>
      <c r="N1565" s="2" t="str">
        <f>IFERROR(__xludf.DUMMYFUNCTION("""COMPUTED_VALUE"""),"PARTS:
OIL FILTER
ENGINE OIL")</f>
        <v>PARTS:
OIL FILTER
ENGINE OIL</v>
      </c>
      <c r="O1565" s="2">
        <f>IFERROR(__xludf.DUMMYFUNCTION("""COMPUTED_VALUE"""),600.0)</f>
        <v>600</v>
      </c>
      <c r="P1565" s="2"/>
      <c r="Q1565" s="2" t="str">
        <f>IFERROR(__xludf.DUMMYFUNCTION("""COMPUTED_VALUE"""),"FOR PRINT")</f>
        <v>FOR PRINT</v>
      </c>
      <c r="R1565" s="74">
        <f>IFERROR(__xludf.DUMMYFUNCTION("""COMPUTED_VALUE"""),46107.0)</f>
        <v>46107</v>
      </c>
      <c r="S1565" s="2" t="str">
        <f>IFERROR(__xludf.DUMMYFUNCTION("""COMPUTED_VALUE"""),"FPJ/JAH")</f>
        <v>FPJ/JAH</v>
      </c>
      <c r="T1565" s="73" t="str">
        <f>IFERROR(__xludf.DUMMYFUNCTION("""COMPUTED_VALUE""")," N/A ")</f>
        <v>N/A</v>
      </c>
      <c r="U1565" s="73" t="str">
        <f>IFERROR(__xludf.DUMMYFUNCTION("""COMPUTED_VALUE""")," NO CHARGE ")</f>
        <v>NO CHARGE</v>
      </c>
      <c r="V1565" s="2" t="str">
        <f>IFERROR(__xludf.DUMMYFUNCTION("""COMPUTED_VALUE"""),"NO DR")</f>
        <v>NO DR</v>
      </c>
      <c r="W1565" s="2" t="str">
        <f>IFERROR(__xludf.DUMMYFUNCTION("""COMPUTED_VALUE"""),"N/A")</f>
        <v>N/A</v>
      </c>
      <c r="X1565" s="2" t="str">
        <f>IFERROR(__xludf.DUMMYFUNCTION("""COMPUTED_VALUE"""),"N/A")</f>
        <v>N/A</v>
      </c>
      <c r="Y1565" s="2"/>
      <c r="Z1565" s="2"/>
      <c r="AA1565" s="2"/>
      <c r="AB1565" s="2"/>
      <c r="AC1565" s="2"/>
      <c r="AD1565" s="2"/>
      <c r="AE1565" s="2"/>
      <c r="AF1565" s="2"/>
      <c r="AG1565" s="2"/>
      <c r="AH1565" s="2"/>
      <c r="AI1565" s="2"/>
      <c r="AJ1565" s="2" t="str">
        <f>IFERROR(__xludf.DUMMYFUNCTION("""COMPUTED_VALUE"""),"Pananawan")</f>
        <v>Pananawan</v>
      </c>
      <c r="AK1565" s="2" t="str">
        <f>IFERROR(__xludf.DUMMYFUNCTION("""COMPUTED_VALUE"""),"Cawayan")</f>
        <v>Cawayan</v>
      </c>
      <c r="AL1565" s="2" t="str">
        <f>IFERROR(__xludf.DUMMYFUNCTION("""COMPUTED_VALUE"""),"Masbate")</f>
        <v>Masbate</v>
      </c>
      <c r="AM1565" s="2">
        <f>IFERROR(__xludf.DUMMYFUNCTION("""COMPUTED_VALUE"""),5.0)</f>
        <v>5</v>
      </c>
      <c r="AN1565" s="2" t="str">
        <f>IFERROR(__xludf.DUMMYFUNCTION("""COMPUTED_VALUE"""),"RCEF 25-03-05")</f>
        <v>RCEF 25-03-05</v>
      </c>
      <c r="AO1565" s="2">
        <f>IFERROR(__xludf.DUMMYFUNCTION("""COMPUTED_VALUE"""),6.0)</f>
        <v>6</v>
      </c>
      <c r="AP1565" s="2" t="str">
        <f>IFERROR(__xludf.DUMMYFUNCTION("""COMPUTED_VALUE"""),"FREE PMS")</f>
        <v>FREE PMS</v>
      </c>
      <c r="AQ1565" s="2"/>
      <c r="AR1565" s="2"/>
      <c r="AS1565" s="2"/>
      <c r="AT1565" s="2"/>
      <c r="AU1565" s="2"/>
      <c r="AV1565" s="2"/>
      <c r="AW1565" s="2"/>
      <c r="AX1565" s="2"/>
      <c r="AY1565" s="2"/>
      <c r="AZ1565" s="2"/>
      <c r="BA1565" s="2"/>
      <c r="BB1565" s="2"/>
    </row>
    <row r="1566">
      <c r="A1566" s="2">
        <f>IFERROR(__xludf.DUMMYFUNCTION("""COMPUTED_VALUE"""),1562.0)</f>
        <v>1562</v>
      </c>
      <c r="B1566" s="2" t="str">
        <f>IFERROR(__xludf.DUMMYFUNCTION("""COMPUTED_VALUE"""),"PENDING")</f>
        <v>PENDING</v>
      </c>
      <c r="C1566" s="74">
        <f>IFERROR(__xludf.DUMMYFUNCTION("""COMPUTED_VALUE"""),46107.0)</f>
        <v>46107</v>
      </c>
      <c r="D1566" s="71" t="str">
        <f>IFERROR(__xludf.DUMMYFUNCTION("""COMPUTED_VALUE"""),"PANDAYON-CAMBARONG IRRIGATORS ASSOCIATION INC.")</f>
        <v>PANDAYON-CAMBARONG IRRIGATORS ASSOCIATION INC.</v>
      </c>
      <c r="E1566" s="71" t="str">
        <f>IFERROR(__xludf.DUMMYFUNCTION("""COMPUTED_VALUE"""),", Guindulman, BOHOL")</f>
        <v>, Guindulman, BOHOL</v>
      </c>
      <c r="F1566" s="2" t="str">
        <f>IFERROR(__xludf.DUMMYFUNCTION("""COMPUTED_VALUE"""),"Marcelo B. Busgano")</f>
        <v>Marcelo B. Busgano</v>
      </c>
      <c r="G1566" s="2" t="str">
        <f>IFERROR(__xludf.DUMMYFUNCTION("""COMPUTED_VALUE"""),"0926-183-7023")</f>
        <v>0926-183-7023</v>
      </c>
      <c r="H1566" s="2"/>
      <c r="I1566" s="72"/>
      <c r="J1566" s="72"/>
      <c r="K1566" s="72" t="str">
        <f>IFERROR(__xludf.DUMMYFUNCTION("""COMPUTED_VALUE"""),"KFS: Hindi daw naassemble pero dapat assembled yan kasi nainspect ni philmech")</f>
        <v>KFS: Hindi daw naassemble pero dapat assembled yan kasi nainspect ni philmech</v>
      </c>
      <c r="L1566" s="72" t="str">
        <f>IFERROR(__xludf.DUMMYFUNCTION("""COMPUTED_VALUE"""),"MYK: UNATTENDED")</f>
        <v>MYK: UNATTENDED</v>
      </c>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c r="AJ1566" s="2" t="str">
        <f>IFERROR(__xludf.DUMMYFUNCTION("""COMPUTED_VALUE"""),"")</f>
        <v/>
      </c>
      <c r="AK1566" s="2" t="str">
        <f>IFERROR(__xludf.DUMMYFUNCTION("""COMPUTED_VALUE"""),"Guindulman")</f>
        <v>Guindulman</v>
      </c>
      <c r="AL1566" s="2" t="str">
        <f>IFERROR(__xludf.DUMMYFUNCTION("""COMPUTED_VALUE"""),"Bohol")</f>
        <v>Bohol</v>
      </c>
      <c r="AM1566" s="2">
        <f>IFERROR(__xludf.DUMMYFUNCTION("""COMPUTED_VALUE"""),7.0)</f>
        <v>7</v>
      </c>
      <c r="AN1566" s="2" t="str">
        <f>IFERROR(__xludf.DUMMYFUNCTION("""COMPUTED_VALUE"""),"RCEF 25-03-05")</f>
        <v>RCEF 25-03-05</v>
      </c>
      <c r="AO1566" s="2">
        <f>IFERROR(__xludf.DUMMYFUNCTION("""COMPUTED_VALUE"""),7.0)</f>
        <v>7</v>
      </c>
      <c r="AP1566" s="2" t="str">
        <f>IFERROR(__xludf.DUMMYFUNCTION("""COMPUTED_VALUE"""),"FREE PMS")</f>
        <v>FREE PMS</v>
      </c>
      <c r="AQ1566" s="2"/>
      <c r="AR1566" s="2"/>
      <c r="AS1566" s="2"/>
      <c r="AT1566" s="2"/>
      <c r="AU1566" s="2"/>
      <c r="AV1566" s="2"/>
      <c r="AW1566" s="2"/>
      <c r="AX1566" s="2"/>
      <c r="AY1566" s="2"/>
      <c r="AZ1566" s="2"/>
      <c r="BA1566" s="2"/>
      <c r="BB1566" s="2"/>
    </row>
    <row r="1567">
      <c r="A1567" s="2">
        <f>IFERROR(__xludf.DUMMYFUNCTION("""COMPUTED_VALUE"""),1563.0)</f>
        <v>1563</v>
      </c>
      <c r="B1567" s="2" t="str">
        <f>IFERROR(__xludf.DUMMYFUNCTION("""COMPUTED_VALUE"""),"COMPLETED")</f>
        <v>COMPLETED</v>
      </c>
      <c r="C1567" s="74">
        <f>IFERROR(__xludf.DUMMYFUNCTION("""COMPUTED_VALUE"""),46108.0)</f>
        <v>46108</v>
      </c>
      <c r="D1567" s="71" t="str">
        <f>IFERROR(__xludf.DUMMYFUNCTION("""COMPUTED_VALUE"""),"PIN-AS FARMERS ASSOCIATION")</f>
        <v>PIN-AS FARMERS ASSOCIATION</v>
      </c>
      <c r="E1567" s="71" t="str">
        <f>IFERROR(__xludf.DUMMYFUNCTION("""COMPUTED_VALUE"""),"Pin-As, Cawayan, MASBATE")</f>
        <v>Pin-As, Cawayan, MASBATE</v>
      </c>
      <c r="F1567" s="2" t="str">
        <f>IFERROR(__xludf.DUMMYFUNCTION("""COMPUTED_VALUE"""),"JOEL B. VILLOSILLO")</f>
        <v>JOEL B. VILLOSILLO</v>
      </c>
      <c r="G1567" s="2">
        <f>IFERROR(__xludf.DUMMYFUNCTION("""COMPUTED_VALUE"""),9.556046054E9)</f>
        <v>9556046054</v>
      </c>
      <c r="H1567" s="2">
        <f>IFERROR(__xludf.DUMMYFUNCTION("""COMPUTED_VALUE"""),29.4)</f>
        <v>29.4</v>
      </c>
      <c r="I1567" s="72" t="str">
        <f>IFERROR(__xludf.DUMMYFUNCTION("""COMPUTED_VALUE"""),"PMS")</f>
        <v>PMS</v>
      </c>
      <c r="J1567" s="72"/>
      <c r="K1567" s="72" t="str">
        <f>IFERROR(__xludf.DUMMYFUNCTION("""COMPUTED_VALUE"""),"FPJ: 1ST PMS FREE")</f>
        <v>FPJ: 1ST PMS FREE</v>
      </c>
      <c r="L1567" s="72" t="str">
        <f>IFERROR(__xludf.DUMMYFUNCTION("""COMPUTED_VALUE"""),"FPJ: 1ST PMS DONE")</f>
        <v>FPJ: 1ST PMS DONE</v>
      </c>
      <c r="M1567" s="2"/>
      <c r="N1567" s="2" t="str">
        <f>IFERROR(__xludf.DUMMYFUNCTION("""COMPUTED_VALUE"""),"PARTS:
OIL FILTER
ENGINE OIL")</f>
        <v>PARTS:
OIL FILTER
ENGINE OIL</v>
      </c>
      <c r="O1567" s="2">
        <f>IFERROR(__xludf.DUMMYFUNCTION("""COMPUTED_VALUE"""),251.0)</f>
        <v>251</v>
      </c>
      <c r="P1567" s="2"/>
      <c r="Q1567" s="2" t="str">
        <f>IFERROR(__xludf.DUMMYFUNCTION("""COMPUTED_VALUE"""),"FOR PRINT")</f>
        <v>FOR PRINT</v>
      </c>
      <c r="R1567" s="74">
        <f>IFERROR(__xludf.DUMMYFUNCTION("""COMPUTED_VALUE"""),46108.0)</f>
        <v>46108</v>
      </c>
      <c r="S1567" s="2" t="str">
        <f>IFERROR(__xludf.DUMMYFUNCTION("""COMPUTED_VALUE"""),"FPJ/JAH")</f>
        <v>FPJ/JAH</v>
      </c>
      <c r="T1567" s="73" t="str">
        <f>IFERROR(__xludf.DUMMYFUNCTION("""COMPUTED_VALUE""")," N/A ")</f>
        <v>N/A</v>
      </c>
      <c r="U1567" s="73" t="str">
        <f>IFERROR(__xludf.DUMMYFUNCTION("""COMPUTED_VALUE""")," NO CHARGE ")</f>
        <v>NO CHARGE</v>
      </c>
      <c r="V1567" s="2" t="str">
        <f>IFERROR(__xludf.DUMMYFUNCTION("""COMPUTED_VALUE"""),"NO DR")</f>
        <v>NO DR</v>
      </c>
      <c r="W1567" s="2" t="str">
        <f>IFERROR(__xludf.DUMMYFUNCTION("""COMPUTED_VALUE"""),"N/A")</f>
        <v>N/A</v>
      </c>
      <c r="X1567" s="2" t="str">
        <f>IFERROR(__xludf.DUMMYFUNCTION("""COMPUTED_VALUE"""),"N/A")</f>
        <v>N/A</v>
      </c>
      <c r="Y1567" s="2"/>
      <c r="Z1567" s="2"/>
      <c r="AA1567" s="2"/>
      <c r="AB1567" s="2"/>
      <c r="AC1567" s="2"/>
      <c r="AD1567" s="2"/>
      <c r="AE1567" s="2"/>
      <c r="AF1567" s="2"/>
      <c r="AG1567" s="2"/>
      <c r="AH1567" s="2"/>
      <c r="AI1567" s="2"/>
      <c r="AJ1567" s="2" t="str">
        <f>IFERROR(__xludf.DUMMYFUNCTION("""COMPUTED_VALUE"""),"Pin-As")</f>
        <v>Pin-As</v>
      </c>
      <c r="AK1567" s="2" t="str">
        <f>IFERROR(__xludf.DUMMYFUNCTION("""COMPUTED_VALUE"""),"Cawayan")</f>
        <v>Cawayan</v>
      </c>
      <c r="AL1567" s="2" t="str">
        <f>IFERROR(__xludf.DUMMYFUNCTION("""COMPUTED_VALUE"""),"Masbate")</f>
        <v>Masbate</v>
      </c>
      <c r="AM1567" s="2">
        <f>IFERROR(__xludf.DUMMYFUNCTION("""COMPUTED_VALUE"""),5.0)</f>
        <v>5</v>
      </c>
      <c r="AN1567" s="2" t="str">
        <f>IFERROR(__xludf.DUMMYFUNCTION("""COMPUTED_VALUE"""),"RCEF 25-03-05")</f>
        <v>RCEF 25-03-05</v>
      </c>
      <c r="AO1567" s="2">
        <f>IFERROR(__xludf.DUMMYFUNCTION("""COMPUTED_VALUE"""),6.0)</f>
        <v>6</v>
      </c>
      <c r="AP1567" s="2" t="str">
        <f>IFERROR(__xludf.DUMMYFUNCTION("""COMPUTED_VALUE"""),"FREE PMS")</f>
        <v>FREE PMS</v>
      </c>
      <c r="AQ1567" s="2"/>
      <c r="AR1567" s="2"/>
      <c r="AS1567" s="2"/>
      <c r="AT1567" s="2"/>
      <c r="AU1567" s="2"/>
      <c r="AV1567" s="2"/>
      <c r="AW1567" s="2"/>
      <c r="AX1567" s="2"/>
      <c r="AY1567" s="2"/>
      <c r="AZ1567" s="2"/>
      <c r="BA1567" s="2"/>
      <c r="BB1567" s="2"/>
    </row>
    <row r="1568">
      <c r="A1568" s="2">
        <f>IFERROR(__xludf.DUMMYFUNCTION("""COMPUTED_VALUE"""),1564.0)</f>
        <v>1564</v>
      </c>
      <c r="B1568" s="2" t="str">
        <f>IFERROR(__xludf.DUMMYFUNCTION("""COMPUTED_VALUE"""),"PENDING")</f>
        <v>PENDING</v>
      </c>
      <c r="C1568" s="78">
        <f>IFERROR(__xludf.DUMMYFUNCTION("""COMPUTED_VALUE"""),46108.0)</f>
        <v>46108</v>
      </c>
      <c r="D1568" s="71" t="str">
        <f>IFERROR(__xludf.DUMMYFUNCTION("""COMPUTED_VALUE"""),"Brgy. Bagroy Farmers Irrigators' Association, Inc.")</f>
        <v>Brgy. Bagroy Farmers Irrigators' Association, Inc.</v>
      </c>
      <c r="E1568" s="71" t="str">
        <f>IFERROR(__xludf.DUMMYFUNCTION("""COMPUTED_VALUE"""),"Bagroy, Bago City, NEGROS OCCIDENTAL")</f>
        <v>Bagroy, Bago City, NEGROS OCCIDENTAL</v>
      </c>
      <c r="F1568" s="2" t="str">
        <f>IFERROR(__xludf.DUMMYFUNCTION("""COMPUTED_VALUE"""),"Rhoda Y. Mañoso")</f>
        <v>Rhoda Y. Mañoso</v>
      </c>
      <c r="G1568" s="2">
        <f>IFERROR(__xludf.DUMMYFUNCTION("""COMPUTED_VALUE"""),9.171239734E9)</f>
        <v>9171239734</v>
      </c>
      <c r="H1568" s="2">
        <f>IFERROR(__xludf.DUMMYFUNCTION("""COMPUTED_VALUE"""),56.0)</f>
        <v>56</v>
      </c>
      <c r="I1568" s="72" t="str">
        <f>IFERROR(__xludf.DUMMYFUNCTION("""COMPUTED_VALUE"""),"PMS")</f>
        <v>PMS</v>
      </c>
      <c r="J1568" s="72"/>
      <c r="K1568" s="72" t="str">
        <f>IFERROR(__xludf.DUMMYFUNCTION("""COMPUTED_VALUE"""),"DRM: 1ST PMS FREE")</f>
        <v>DRM: 1ST PMS FREE</v>
      </c>
      <c r="L1568" s="7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t="str">
        <f>IFERROR(__xludf.DUMMYFUNCTION("""COMPUTED_VALUE"""),"Bagroy")</f>
        <v>Bagroy</v>
      </c>
      <c r="AK1568" s="2" t="str">
        <f>IFERROR(__xludf.DUMMYFUNCTION("""COMPUTED_VALUE"""),"Bago City")</f>
        <v>Bago City</v>
      </c>
      <c r="AL1568" s="2" t="str">
        <f>IFERROR(__xludf.DUMMYFUNCTION("""COMPUTED_VALUE"""),"Negros Occidental")</f>
        <v>Negros Occidental</v>
      </c>
      <c r="AM1568" s="2">
        <f>IFERROR(__xludf.DUMMYFUNCTION("""COMPUTED_VALUE"""),6.0)</f>
        <v>6</v>
      </c>
      <c r="AN1568" s="2" t="str">
        <f>IFERROR(__xludf.DUMMYFUNCTION("""COMPUTED_VALUE"""),"RCEF 25-03-05")</f>
        <v>RCEF 25-03-05</v>
      </c>
      <c r="AO1568" s="2">
        <f>IFERROR(__xludf.DUMMYFUNCTION("""COMPUTED_VALUE"""),7.0)</f>
        <v>7</v>
      </c>
      <c r="AP1568" s="2" t="str">
        <f>IFERROR(__xludf.DUMMYFUNCTION("""COMPUTED_VALUE"""),"FREE PMS")</f>
        <v>FREE PMS</v>
      </c>
      <c r="AQ1568" s="2"/>
      <c r="AR1568" s="2"/>
      <c r="AS1568" s="2"/>
      <c r="AT1568" s="2"/>
      <c r="AU1568" s="2"/>
      <c r="AV1568" s="2"/>
      <c r="AW1568" s="2"/>
      <c r="AX1568" s="2"/>
      <c r="AY1568" s="2"/>
      <c r="AZ1568" s="2"/>
      <c r="BA1568" s="2"/>
      <c r="BB1568" s="2"/>
    </row>
    <row r="1569">
      <c r="A1569" s="2">
        <f>IFERROR(__xludf.DUMMYFUNCTION("""COMPUTED_VALUE"""),1565.0)</f>
        <v>1565</v>
      </c>
      <c r="B1569" s="2" t="str">
        <f>IFERROR(__xludf.DUMMYFUNCTION("""COMPUTED_VALUE"""),"PENDING")</f>
        <v>PENDING</v>
      </c>
      <c r="C1569" s="78">
        <f>IFERROR(__xludf.DUMMYFUNCTION("""COMPUTED_VALUE"""),46109.0)</f>
        <v>46109</v>
      </c>
      <c r="D1569" s="71" t="str">
        <f>IFERROR(__xludf.DUMMYFUNCTION("""COMPUTED_VALUE"""),"BURUNYOG NA PARAOMANG ORAGON ASSOCIATION")</f>
        <v>BURUNYOG NA PARAOMANG ORAGON ASSOCIATION</v>
      </c>
      <c r="E1569" s="71" t="str">
        <f>IFERROR(__xludf.DUMMYFUNCTION("""COMPUTED_VALUE"""),"San Isidro, Oas, ALBAY")</f>
        <v>San Isidro, Oas, ALBAY</v>
      </c>
      <c r="F1569" s="2" t="str">
        <f>IFERROR(__xludf.DUMMYFUNCTION("""COMPUTED_VALUE"""),"Christopher D. Copino")</f>
        <v>Christopher D. Copino</v>
      </c>
      <c r="G1569" s="2">
        <f>IFERROR(__xludf.DUMMYFUNCTION("""COMPUTED_VALUE"""),9.917669089E9)</f>
        <v>9917669089</v>
      </c>
      <c r="H1569" s="2">
        <f>IFERROR(__xludf.DUMMYFUNCTION("""COMPUTED_VALUE"""),17.5)</f>
        <v>17.5</v>
      </c>
      <c r="I1569" s="72" t="str">
        <f>IFERROR(__xludf.DUMMYFUNCTION("""COMPUTED_VALUE"""),"REPAIR - LOADER")</f>
        <v>REPAIR - LOADER</v>
      </c>
      <c r="J1569" s="72" t="str">
        <f>IFERROR(__xludf.DUMMYFUNCTION("""COMPUTED_VALUE"""),"Cable lock")</f>
        <v>Cable lock</v>
      </c>
      <c r="K1569" s="72" t="str">
        <f>IFERROR(__xludf.DUMMYFUNCTION("""COMPUTED_VALUE"""),"FSJ: Problem : ayaw tumaas baba ng loader")</f>
        <v>FSJ: Problem : ayaw tumaas baba ng loader</v>
      </c>
      <c r="L1569" s="72"/>
      <c r="M1569" s="2" t="str">
        <f>IFERROR(__xludf.DUMMYFUNCTION("""COMPUTED_VALUE"""),"CABLE LOCK")</f>
        <v>CABLE LOCK</v>
      </c>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t="str">
        <f>IFERROR(__xludf.DUMMYFUNCTION("""COMPUTED_VALUE"""),"San Isidro")</f>
        <v>San Isidro</v>
      </c>
      <c r="AK1569" s="2" t="str">
        <f>IFERROR(__xludf.DUMMYFUNCTION("""COMPUTED_VALUE"""),"Oas")</f>
        <v>Oas</v>
      </c>
      <c r="AL1569" s="2" t="str">
        <f>IFERROR(__xludf.DUMMYFUNCTION("""COMPUTED_VALUE"""),"Albay")</f>
        <v>Albay</v>
      </c>
      <c r="AM1569" s="2">
        <f>IFERROR(__xludf.DUMMYFUNCTION("""COMPUTED_VALUE"""),5.0)</f>
        <v>5</v>
      </c>
      <c r="AN1569" s="2" t="str">
        <f>IFERROR(__xludf.DUMMYFUNCTION("""COMPUTED_VALUE"""),"RCEF 25-03-05")</f>
        <v>RCEF 25-03-05</v>
      </c>
      <c r="AO1569" s="2">
        <f>IFERROR(__xludf.DUMMYFUNCTION("""COMPUTED_VALUE"""),6.0)</f>
        <v>6</v>
      </c>
      <c r="AP1569" s="2" t="str">
        <f>IFERROR(__xludf.DUMMYFUNCTION("""COMPUTED_VALUE"""),"FREE PMS")</f>
        <v>FREE PMS</v>
      </c>
      <c r="AQ1569" s="2"/>
      <c r="AR1569" s="2"/>
      <c r="AS1569" s="2"/>
      <c r="AT1569" s="2"/>
      <c r="AU1569" s="2"/>
      <c r="AV1569" s="2"/>
      <c r="AW1569" s="2"/>
      <c r="AX1569" s="2"/>
      <c r="AY1569" s="2"/>
      <c r="AZ1569" s="2"/>
      <c r="BA1569" s="2"/>
      <c r="BB1569" s="2"/>
    </row>
    <row r="1570">
      <c r="A1570" s="2">
        <f>IFERROR(__xludf.DUMMYFUNCTION("""COMPUTED_VALUE"""),1566.0)</f>
        <v>1566</v>
      </c>
      <c r="B1570" s="2" t="str">
        <f>IFERROR(__xludf.DUMMYFUNCTION("""COMPUTED_VALUE"""),"PENDING")</f>
        <v>PENDING</v>
      </c>
      <c r="C1570" s="78">
        <f>IFERROR(__xludf.DUMMYFUNCTION("""COMPUTED_VALUE"""),46109.0)</f>
        <v>46109</v>
      </c>
      <c r="D1570" s="71" t="str">
        <f>IFERROR(__xludf.DUMMYFUNCTION("""COMPUTED_VALUE"""),"Caanduyog Agriculture Cooperative (CAANDUYOG-ACO)")</f>
        <v>Caanduyog Agriculture Cooperative (CAANDUYOG-ACO)</v>
      </c>
      <c r="E1570" s="71" t="str">
        <f>IFERROR(__xludf.DUMMYFUNCTION("""COMPUTED_VALUE"""),"Cagmanaba, Ocampo, CAMARINES SUR")</f>
        <v>Cagmanaba, Ocampo, CAMARINES SUR</v>
      </c>
      <c r="F1570" s="2" t="str">
        <f>IFERROR(__xludf.DUMMYFUNCTION("""COMPUTED_VALUE"""),"Carlito P Aquino")</f>
        <v>Carlito P Aquino</v>
      </c>
      <c r="G1570" s="2">
        <f>IFERROR(__xludf.DUMMYFUNCTION("""COMPUTED_VALUE"""),9.10338503E9)</f>
        <v>9103385030</v>
      </c>
      <c r="H1570" s="2">
        <f>IFERROR(__xludf.DUMMYFUNCTION("""COMPUTED_VALUE"""),78.3)</f>
        <v>78.3</v>
      </c>
      <c r="I1570" s="72" t="str">
        <f>IFERROR(__xludf.DUMMYFUNCTION("""COMPUTED_VALUE"""),"REPAIR - LOADER")</f>
        <v>REPAIR - LOADER</v>
      </c>
      <c r="J1570" s="72" t="str">
        <f>IFERROR(__xludf.DUMMYFUNCTION("""COMPUTED_VALUE"""),"Cable lock")</f>
        <v>Cable lock</v>
      </c>
      <c r="K1570" s="72" t="str">
        <f>IFERROR(__xludf.DUMMYFUNCTION("""COMPUTED_VALUE"""),"FSJ: Problem :loader di na angat baba")</f>
        <v>FSJ: Problem :loader di na angat baba</v>
      </c>
      <c r="L1570" s="72"/>
      <c r="M1570" s="2" t="str">
        <f>IFERROR(__xludf.DUMMYFUNCTION("""COMPUTED_VALUE"""),"CABLE LOCK")</f>
        <v>CABLE LOCK</v>
      </c>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t="str">
        <f>IFERROR(__xludf.DUMMYFUNCTION("""COMPUTED_VALUE"""),"Cagmanaba")</f>
        <v>Cagmanaba</v>
      </c>
      <c r="AK1570" s="2" t="str">
        <f>IFERROR(__xludf.DUMMYFUNCTION("""COMPUTED_VALUE"""),"Ocampo")</f>
        <v>Ocampo</v>
      </c>
      <c r="AL1570" s="2" t="str">
        <f>IFERROR(__xludf.DUMMYFUNCTION("""COMPUTED_VALUE"""),"Camarines Sur")</f>
        <v>Camarines Sur</v>
      </c>
      <c r="AM1570" s="2">
        <f>IFERROR(__xludf.DUMMYFUNCTION("""COMPUTED_VALUE"""),5.0)</f>
        <v>5</v>
      </c>
      <c r="AN1570" s="2" t="str">
        <f>IFERROR(__xludf.DUMMYFUNCTION("""COMPUTED_VALUE"""),"RCEF 25-03-05")</f>
        <v>RCEF 25-03-05</v>
      </c>
      <c r="AO1570" s="2">
        <f>IFERROR(__xludf.DUMMYFUNCTION("""COMPUTED_VALUE"""),6.0)</f>
        <v>6</v>
      </c>
      <c r="AP1570" s="2" t="str">
        <f>IFERROR(__xludf.DUMMYFUNCTION("""COMPUTED_VALUE"""),"FREE PMS")</f>
        <v>FREE PMS</v>
      </c>
      <c r="AQ1570" s="2"/>
      <c r="AR1570" s="2"/>
      <c r="AS1570" s="2"/>
      <c r="AT1570" s="2"/>
      <c r="AU1570" s="2"/>
      <c r="AV1570" s="2"/>
      <c r="AW1570" s="2"/>
      <c r="AX1570" s="2"/>
      <c r="AY1570" s="2"/>
      <c r="AZ1570" s="2"/>
      <c r="BA1570" s="2"/>
      <c r="BB1570" s="2"/>
    </row>
    <row r="1571">
      <c r="A1571" s="2">
        <f>IFERROR(__xludf.DUMMYFUNCTION("""COMPUTED_VALUE"""),1567.0)</f>
        <v>1567</v>
      </c>
      <c r="B1571" s="2" t="str">
        <f>IFERROR(__xludf.DUMMYFUNCTION("""COMPUTED_VALUE"""),"COMPLETED")</f>
        <v>COMPLETED</v>
      </c>
      <c r="C1571" s="78">
        <f>IFERROR(__xludf.DUMMYFUNCTION("""COMPUTED_VALUE"""),46111.0)</f>
        <v>46111</v>
      </c>
      <c r="D1571" s="71" t="str">
        <f>IFERROR(__xludf.DUMMYFUNCTION("""COMPUTED_VALUE"""),"TILIPATIO-GULOD IRRIGATORS ASSOCIATION INC.,")</f>
        <v>TILIPATIO-GULOD IRRIGATORS ASSOCIATION INC.,</v>
      </c>
      <c r="E1571" s="71" t="str">
        <f>IFERROR(__xludf.DUMMYFUNCTION("""COMPUTED_VALUE"""),"Burol, General Mamerto Natividad, NUEVA ECIJA")</f>
        <v>Burol, General Mamerto Natividad, NUEVA ECIJA</v>
      </c>
      <c r="F1571" s="2" t="str">
        <f>IFERROR(__xludf.DUMMYFUNCTION("""COMPUTED_VALUE"""),"Nicanor Pena Santos")</f>
        <v>Nicanor Pena Santos</v>
      </c>
      <c r="G1571" s="2">
        <f>IFERROR(__xludf.DUMMYFUNCTION("""COMPUTED_VALUE"""),9.327423118E9)</f>
        <v>9327423118</v>
      </c>
      <c r="H1571" s="2">
        <f>IFERROR(__xludf.DUMMYFUNCTION("""COMPUTED_VALUE"""),55.0)</f>
        <v>55</v>
      </c>
      <c r="I1571" s="72" t="str">
        <f>IFERROR(__xludf.DUMMYFUNCTION("""COMPUTED_VALUE"""),"PMS")</f>
        <v>PMS</v>
      </c>
      <c r="J1571" s="72"/>
      <c r="K1571" s="72" t="str">
        <f>IFERROR(__xludf.DUMMYFUNCTION("""COMPUTED_VALUE"""),"MYK: 1st PMS FREE")</f>
        <v>MYK: 1st PMS FREE</v>
      </c>
      <c r="L1571" s="72" t="str">
        <f>IFERROR(__xludf.DUMMYFUNCTION("""COMPUTED_VALUE"""),"JDP: 1ST PMS DONE")</f>
        <v>JDP: 1ST PMS DONE</v>
      </c>
      <c r="M1571" s="2"/>
      <c r="N1571" s="2" t="str">
        <f>IFERROR(__xludf.DUMMYFUNCTION("""COMPUTED_VALUE"""),"PARTS:
OIL FILTER
ENGINE OIL")</f>
        <v>PARTS:
OIL FILTER
ENGINE OIL</v>
      </c>
      <c r="O1571" s="2">
        <f>IFERROR(__xludf.DUMMYFUNCTION("""COMPUTED_VALUE"""),442.0)</f>
        <v>442</v>
      </c>
      <c r="P1571" s="2"/>
      <c r="Q1571" s="2" t="str">
        <f>IFERROR(__xludf.DUMMYFUNCTION("""COMPUTED_VALUE"""),"FOR PRINT")</f>
        <v>FOR PRINT</v>
      </c>
      <c r="R1571" s="74">
        <f>IFERROR(__xludf.DUMMYFUNCTION("""COMPUTED_VALUE"""),46112.0)</f>
        <v>46112</v>
      </c>
      <c r="S1571" s="2" t="str">
        <f>IFERROR(__xludf.DUMMYFUNCTION("""COMPUTED_VALUE"""),"EGT/DRM/JDP")</f>
        <v>EGT/DRM/JDP</v>
      </c>
      <c r="T1571" s="73" t="str">
        <f>IFERROR(__xludf.DUMMYFUNCTION("""COMPUTED_VALUE""")," N/A ")</f>
        <v>N/A</v>
      </c>
      <c r="U1571" s="73" t="str">
        <f>IFERROR(__xludf.DUMMYFUNCTION("""COMPUTED_VALUE""")," RECORDED ")</f>
        <v>RECORDED</v>
      </c>
      <c r="V1571" s="2">
        <f>IFERROR(__xludf.DUMMYFUNCTION("""COMPUTED_VALUE"""),1324.0)</f>
        <v>1324</v>
      </c>
      <c r="W1571" s="2" t="str">
        <f>IFERROR(__xludf.DUMMYFUNCTION("""COMPUTED_VALUE"""),"N/A")</f>
        <v>N/A</v>
      </c>
      <c r="X1571" s="2" t="str">
        <f>IFERROR(__xludf.DUMMYFUNCTION("""COMPUTED_VALUE"""),"N/A")</f>
        <v>N/A</v>
      </c>
      <c r="Y1571" s="2"/>
      <c r="Z1571" s="2"/>
      <c r="AA1571" s="2"/>
      <c r="AB1571" s="2"/>
      <c r="AC1571" s="2"/>
      <c r="AD1571" s="2"/>
      <c r="AE1571" s="2"/>
      <c r="AF1571" s="2"/>
      <c r="AG1571" s="2"/>
      <c r="AH1571" s="2"/>
      <c r="AI1571" s="2"/>
      <c r="AJ1571" s="2" t="str">
        <f>IFERROR(__xludf.DUMMYFUNCTION("""COMPUTED_VALUE"""),"Burol")</f>
        <v>Burol</v>
      </c>
      <c r="AK1571" s="2" t="str">
        <f>IFERROR(__xludf.DUMMYFUNCTION("""COMPUTED_VALUE"""),"General Mamerto Natividad")</f>
        <v>General Mamerto Natividad</v>
      </c>
      <c r="AL1571" s="2" t="str">
        <f>IFERROR(__xludf.DUMMYFUNCTION("""COMPUTED_VALUE"""),"Nueva Ecija")</f>
        <v>Nueva Ecija</v>
      </c>
      <c r="AM1571" s="2">
        <f>IFERROR(__xludf.DUMMYFUNCTION("""COMPUTED_VALUE"""),3.0)</f>
        <v>3</v>
      </c>
      <c r="AN1571" s="2" t="str">
        <f>IFERROR(__xludf.DUMMYFUNCTION("""COMPUTED_VALUE"""),"RCEF 25-03-05")</f>
        <v>RCEF 25-03-05</v>
      </c>
      <c r="AO1571" s="2">
        <f>IFERROR(__xludf.DUMMYFUNCTION("""COMPUTED_VALUE"""),5.0)</f>
        <v>5</v>
      </c>
      <c r="AP1571" s="2" t="str">
        <f>IFERROR(__xludf.DUMMYFUNCTION("""COMPUTED_VALUE"""),"FREE PMS")</f>
        <v>FREE PMS</v>
      </c>
      <c r="AQ1571" s="2"/>
      <c r="AR1571" s="2"/>
      <c r="AS1571" s="2"/>
      <c r="AT1571" s="2"/>
      <c r="AU1571" s="2"/>
      <c r="AV1571" s="2"/>
      <c r="AW1571" s="2"/>
      <c r="AX1571" s="2"/>
      <c r="AY1571" s="2"/>
      <c r="AZ1571" s="2"/>
      <c r="BA1571" s="2"/>
      <c r="BB1571" s="2"/>
    </row>
    <row r="1572">
      <c r="A1572" s="2">
        <f>IFERROR(__xludf.DUMMYFUNCTION("""COMPUTED_VALUE"""),1568.0)</f>
        <v>1568</v>
      </c>
      <c r="B1572" s="2" t="str">
        <f>IFERROR(__xludf.DUMMYFUNCTION("""COMPUTED_VALUE"""),"COMPLETED")</f>
        <v>COMPLETED</v>
      </c>
      <c r="C1572" s="78">
        <f>IFERROR(__xludf.DUMMYFUNCTION("""COMPUTED_VALUE"""),46111.0)</f>
        <v>46111</v>
      </c>
      <c r="D1572" s="71" t="str">
        <f>IFERROR(__xludf.DUMMYFUNCTION("""COMPUTED_VALUE"""),"CALUBANG FARMERS CLUSTER ASSOCIATION")</f>
        <v>CALUBANG FARMERS CLUSTER ASSOCIATION</v>
      </c>
      <c r="E1572" s="71" t="str">
        <f>IFERROR(__xludf.DUMMYFUNCTION("""COMPUTED_VALUE"""),"Calubang, Ilog, NEGROS OCCIDENTAL")</f>
        <v>Calubang, Ilog, NEGROS OCCIDENTAL</v>
      </c>
      <c r="F1572" s="2" t="str">
        <f>IFERROR(__xludf.DUMMYFUNCTION("""COMPUTED_VALUE"""),"Viola Alvior Samillano")</f>
        <v>Viola Alvior Samillano</v>
      </c>
      <c r="G1572" s="2">
        <f>IFERROR(__xludf.DUMMYFUNCTION("""COMPUTED_VALUE"""),9.758346793E9)</f>
        <v>9758346793</v>
      </c>
      <c r="H1572" s="2"/>
      <c r="I1572" s="72" t="str">
        <f>IFERROR(__xludf.DUMMYFUNCTION("""COMPUTED_VALUE"""),"SPARE PARTS ACQUISITION")</f>
        <v>SPARE PARTS ACQUISITION</v>
      </c>
      <c r="J1572" s="72"/>
      <c r="K1572" s="72" t="str">
        <f>IFERROR(__xludf.DUMMYFUNCTION("""COMPUTED_VALUE"""),"MYK: OIL SEAL QLF356019- TT62040000")</f>
        <v>MYK: OIL SEAL QLF356019- TT62040000</v>
      </c>
      <c r="L1572" s="72" t="str">
        <f>IFERROR(__xludf.DUMMYFUNCTION("""COMPUTED_VALUE"""),"QUOTATION SENT - PAID -  FOR SHIPPING -SHIPPED")</f>
        <v>QUOTATION SENT - PAID -  FOR SHIPPING -SHIPPED</v>
      </c>
      <c r="M1572" s="2" t="str">
        <f>IFERROR(__xludf.DUMMYFUNCTION("""COMPUTED_VALUE"""),"1- OIL SEAL QLF356019- TT62040000")</f>
        <v>1- OIL SEAL QLF356019- TT62040000</v>
      </c>
      <c r="N1572" s="2" t="str">
        <f>IFERROR(__xludf.DUMMYFUNCTION("""COMPUTED_VALUE"""),"PARTS:
1- OIL SEAL QLF356019- TT62040000")</f>
        <v>PARTS:
1- OIL SEAL QLF356019- TT62040000</v>
      </c>
      <c r="O1572" s="2" t="str">
        <f>IFERROR(__xludf.DUMMYFUNCTION("""COMPUTED_VALUE"""),"N/A")</f>
        <v>N/A</v>
      </c>
      <c r="P1572" s="2"/>
      <c r="Q1572" s="2"/>
      <c r="R1572" s="74">
        <f>IFERROR(__xludf.DUMMYFUNCTION("""COMPUTED_VALUE"""),46118.0)</f>
        <v>46118</v>
      </c>
      <c r="S1572" s="2" t="str">
        <f>IFERROR(__xludf.DUMMYFUNCTION("""COMPUTED_VALUE"""),"MYKEE/CTF")</f>
        <v>MYKEE/CTF</v>
      </c>
      <c r="T1572" s="73">
        <f>IFERROR(__xludf.DUMMYFUNCTION("""COMPUTED_VALUE"""),2390.0)</f>
        <v>2390</v>
      </c>
      <c r="U1572" s="73" t="str">
        <f>IFERROR(__xludf.DUMMYFUNCTION("""COMPUTED_VALUE""")," FOR REMIT ")</f>
        <v>FOR REMIT</v>
      </c>
      <c r="V1572" s="2">
        <f>IFERROR(__xludf.DUMMYFUNCTION("""COMPUTED_VALUE"""),1540.0)</f>
        <v>1540</v>
      </c>
      <c r="W1572" s="2">
        <f>IFERROR(__xludf.DUMMYFUNCTION("""COMPUTED_VALUE"""),2056.0)</f>
        <v>2056</v>
      </c>
      <c r="X1572" s="2"/>
      <c r="Y1572" s="2"/>
      <c r="Z1572" s="2"/>
      <c r="AA1572" s="2"/>
      <c r="AB1572" s="2"/>
      <c r="AC1572" s="2"/>
      <c r="AD1572" s="2"/>
      <c r="AE1572" s="2"/>
      <c r="AF1572" s="2"/>
      <c r="AG1572" s="2"/>
      <c r="AH1572" s="2"/>
      <c r="AI1572" s="2"/>
      <c r="AJ1572" s="2" t="str">
        <f>IFERROR(__xludf.DUMMYFUNCTION("""COMPUTED_VALUE"""),"Calubang")</f>
        <v>Calubang</v>
      </c>
      <c r="AK1572" s="2" t="str">
        <f>IFERROR(__xludf.DUMMYFUNCTION("""COMPUTED_VALUE"""),"Ilog")</f>
        <v>Ilog</v>
      </c>
      <c r="AL1572" s="2" t="str">
        <f>IFERROR(__xludf.DUMMYFUNCTION("""COMPUTED_VALUE"""),"Negros Occidental")</f>
        <v>Negros Occidental</v>
      </c>
      <c r="AM1572" s="2">
        <f>IFERROR(__xludf.DUMMYFUNCTION("""COMPUTED_VALUE"""),6.0)</f>
        <v>6</v>
      </c>
      <c r="AN1572" s="2" t="str">
        <f>IFERROR(__xludf.DUMMYFUNCTION("""COMPUTED_VALUE"""),"RCEF 23-09-21 Rebidding")</f>
        <v>RCEF 23-09-21 Rebidding</v>
      </c>
      <c r="AO1572" s="2">
        <f>IFERROR(__xludf.DUMMYFUNCTION("""COMPUTED_VALUE"""),4.0)</f>
        <v>4</v>
      </c>
      <c r="AP1572" s="2"/>
      <c r="AQ1572" s="2"/>
      <c r="AR1572" s="2"/>
      <c r="AS1572" s="2"/>
      <c r="AT1572" s="2"/>
      <c r="AU1572" s="2"/>
      <c r="AV1572" s="2"/>
      <c r="AW1572" s="2"/>
      <c r="AX1572" s="2"/>
      <c r="AY1572" s="2"/>
      <c r="AZ1572" s="2"/>
      <c r="BA1572" s="2"/>
      <c r="BB1572" s="2"/>
    </row>
    <row r="1573">
      <c r="A1573" s="2">
        <f>IFERROR(__xludf.DUMMYFUNCTION("""COMPUTED_VALUE"""),1569.0)</f>
        <v>1569</v>
      </c>
      <c r="B1573" s="2" t="str">
        <f>IFERROR(__xludf.DUMMYFUNCTION("""COMPUTED_VALUE"""),"COMPLETED")</f>
        <v>COMPLETED</v>
      </c>
      <c r="C1573" s="74">
        <f>IFERROR(__xludf.DUMMYFUNCTION("""COMPUTED_VALUE"""),46111.0)</f>
        <v>46111</v>
      </c>
      <c r="D1573" s="71" t="str">
        <f>IFERROR(__xludf.DUMMYFUNCTION("""COMPUTED_VALUE"""),"Municipal Local Government Unit of Dimasalang")</f>
        <v>Municipal Local Government Unit of Dimasalang</v>
      </c>
      <c r="E1573" s="71" t="str">
        <f>IFERROR(__xludf.DUMMYFUNCTION("""COMPUTED_VALUE"""),"Gregorio Alino (Pia-ong), Dimasalang, MASBATE")</f>
        <v>Gregorio Alino (Pia-ong), Dimasalang, MASBATE</v>
      </c>
      <c r="F1573" s="2" t="str">
        <f>IFERROR(__xludf.DUMMYFUNCTION("""COMPUTED_VALUE"""),"ALAN VILLAMOR")</f>
        <v>ALAN VILLAMOR</v>
      </c>
      <c r="G1573" s="2">
        <f>IFERROR(__xludf.DUMMYFUNCTION("""COMPUTED_VALUE"""),9.815678203E9)</f>
        <v>9815678203</v>
      </c>
      <c r="H1573" s="2">
        <f>IFERROR(__xludf.DUMMYFUNCTION("""COMPUTED_VALUE"""),2.5)</f>
        <v>2.5</v>
      </c>
      <c r="I1573" s="72" t="str">
        <f>IFERROR(__xludf.DUMMYFUNCTION("""COMPUTED_VALUE"""),"PMS")</f>
        <v>PMS</v>
      </c>
      <c r="J1573" s="72"/>
      <c r="K1573" s="72" t="str">
        <f>IFERROR(__xludf.DUMMYFUNCTION("""COMPUTED_VALUE"""),"FPJ: 1ST PMS FREE")</f>
        <v>FPJ: 1ST PMS FREE</v>
      </c>
      <c r="L1573" s="72" t="str">
        <f>IFERROR(__xludf.DUMMYFUNCTION("""COMPUTED_VALUE"""),"FPJ: 1ST PMS DONE")</f>
        <v>FPJ: 1ST PMS DONE</v>
      </c>
      <c r="M1573" s="2"/>
      <c r="N1573" s="2" t="str">
        <f>IFERROR(__xludf.DUMMYFUNCTION("""COMPUTED_VALUE"""),"PARTS:
OIL FILTER
ENGINE OIL")</f>
        <v>PARTS:
OIL FILTER
ENGINE OIL</v>
      </c>
      <c r="O1573" s="2">
        <f>IFERROR(__xludf.DUMMYFUNCTION("""COMPUTED_VALUE"""),255.0)</f>
        <v>255</v>
      </c>
      <c r="P1573" s="2"/>
      <c r="Q1573" s="2" t="str">
        <f>IFERROR(__xludf.DUMMYFUNCTION("""COMPUTED_VALUE"""),"FOR PRINT")</f>
        <v>FOR PRINT</v>
      </c>
      <c r="R1573" s="74">
        <f>IFERROR(__xludf.DUMMYFUNCTION("""COMPUTED_VALUE"""),46111.0)</f>
        <v>46111</v>
      </c>
      <c r="S1573" s="2" t="str">
        <f>IFERROR(__xludf.DUMMYFUNCTION("""COMPUTED_VALUE"""),"FPJ/JAH")</f>
        <v>FPJ/JAH</v>
      </c>
      <c r="T1573" s="73" t="str">
        <f>IFERROR(__xludf.DUMMYFUNCTION("""COMPUTED_VALUE""")," N/A ")</f>
        <v>N/A</v>
      </c>
      <c r="U1573" s="73" t="str">
        <f>IFERROR(__xludf.DUMMYFUNCTION("""COMPUTED_VALUE""")," NO CHARGE ")</f>
        <v>NO CHARGE</v>
      </c>
      <c r="V1573" s="2" t="str">
        <f>IFERROR(__xludf.DUMMYFUNCTION("""COMPUTED_VALUE"""),"NO DR")</f>
        <v>NO DR</v>
      </c>
      <c r="W1573" s="2" t="str">
        <f>IFERROR(__xludf.DUMMYFUNCTION("""COMPUTED_VALUE"""),"N/A")</f>
        <v>N/A</v>
      </c>
      <c r="X1573" s="2" t="str">
        <f>IFERROR(__xludf.DUMMYFUNCTION("""COMPUTED_VALUE"""),"N/A")</f>
        <v>N/A</v>
      </c>
      <c r="Y1573" s="2"/>
      <c r="Z1573" s="2"/>
      <c r="AA1573" s="2"/>
      <c r="AB1573" s="2"/>
      <c r="AC1573" s="2"/>
      <c r="AD1573" s="2"/>
      <c r="AE1573" s="2"/>
      <c r="AF1573" s="2"/>
      <c r="AG1573" s="2"/>
      <c r="AH1573" s="2"/>
      <c r="AI1573" s="2"/>
      <c r="AJ1573" s="2" t="str">
        <f>IFERROR(__xludf.DUMMYFUNCTION("""COMPUTED_VALUE"""),"Gregorio Alino (Pia-Ong)")</f>
        <v>Gregorio Alino (Pia-Ong)</v>
      </c>
      <c r="AK1573" s="2" t="str">
        <f>IFERROR(__xludf.DUMMYFUNCTION("""COMPUTED_VALUE"""),"Dimasalang")</f>
        <v>Dimasalang</v>
      </c>
      <c r="AL1573" s="2" t="str">
        <f>IFERROR(__xludf.DUMMYFUNCTION("""COMPUTED_VALUE"""),"Masbate")</f>
        <v>Masbate</v>
      </c>
      <c r="AM1573" s="2">
        <f>IFERROR(__xludf.DUMMYFUNCTION("""COMPUTED_VALUE"""),5.0)</f>
        <v>5</v>
      </c>
      <c r="AN1573" s="2" t="str">
        <f>IFERROR(__xludf.DUMMYFUNCTION("""COMPUTED_VALUE"""),"RCEF 25-03-05")</f>
        <v>RCEF 25-03-05</v>
      </c>
      <c r="AO1573" s="2">
        <f>IFERROR(__xludf.DUMMYFUNCTION("""COMPUTED_VALUE"""),6.0)</f>
        <v>6</v>
      </c>
      <c r="AP1573" s="2" t="str">
        <f>IFERROR(__xludf.DUMMYFUNCTION("""COMPUTED_VALUE"""),"FREE PMS")</f>
        <v>FREE PMS</v>
      </c>
      <c r="AQ1573" s="2"/>
      <c r="AR1573" s="2"/>
      <c r="AS1573" s="2"/>
      <c r="AT1573" s="2"/>
      <c r="AU1573" s="2"/>
      <c r="AV1573" s="2"/>
      <c r="AW1573" s="2"/>
      <c r="AX1573" s="2"/>
      <c r="AY1573" s="2"/>
      <c r="AZ1573" s="2"/>
      <c r="BA1573" s="2"/>
      <c r="BB1573" s="2"/>
    </row>
    <row r="1574">
      <c r="A1574" s="2">
        <f>IFERROR(__xludf.DUMMYFUNCTION("""COMPUTED_VALUE"""),1570.0)</f>
        <v>1570</v>
      </c>
      <c r="B1574" s="2" t="str">
        <f>IFERROR(__xludf.DUMMYFUNCTION("""COMPUTED_VALUE"""),"COMPLETED")</f>
        <v>COMPLETED</v>
      </c>
      <c r="C1574" s="74">
        <f>IFERROR(__xludf.DUMMYFUNCTION("""COMPUTED_VALUE"""),46111.0)</f>
        <v>46111</v>
      </c>
      <c r="D1574" s="71" t="str">
        <f>IFERROR(__xludf.DUMMYFUNCTION("""COMPUTED_VALUE"""),"LIBERTAD CAWAYAN AGRARIAN REFORM COOPERATIVE")</f>
        <v>LIBERTAD CAWAYAN AGRARIAN REFORM COOPERATIVE</v>
      </c>
      <c r="E1574" s="71" t="str">
        <f>IFERROR(__xludf.DUMMYFUNCTION("""COMPUTED_VALUE"""),"Libertad, Cawayan, MASBATE")</f>
        <v>Libertad, Cawayan, MASBATE</v>
      </c>
      <c r="F1574" s="2" t="str">
        <f>IFERROR(__xludf.DUMMYFUNCTION("""COMPUTED_VALUE"""),"Charlon Lipar")</f>
        <v>Charlon Lipar</v>
      </c>
      <c r="G1574" s="2">
        <f>IFERROR(__xludf.DUMMYFUNCTION("""COMPUTED_VALUE"""),9.166796787E9)</f>
        <v>9166796787</v>
      </c>
      <c r="H1574" s="2">
        <f>IFERROR(__xludf.DUMMYFUNCTION("""COMPUTED_VALUE"""),82.5)</f>
        <v>82.5</v>
      </c>
      <c r="I1574" s="72" t="str">
        <f>IFERROR(__xludf.DUMMYFUNCTION("""COMPUTED_VALUE"""),"REPAIR - TRACTOR")</f>
        <v>REPAIR - TRACTOR</v>
      </c>
      <c r="J1574" s="72" t="str">
        <f>IFERROR(__xludf.DUMMYFUNCTION("""COMPUTED_VALUE"""),"Hydraulic Hose Leak")</f>
        <v>Hydraulic Hose Leak</v>
      </c>
      <c r="K1574" s="72" t="str">
        <f>IFERROR(__xludf.DUMMYFUNCTION("""COMPUTED_VALUE"""),"FPJ: MAY CRACK ANG ADAPTER, KAYA PANAY ANG TULO NG HYDRAULIC OIL")</f>
        <v>FPJ: MAY CRACK ANG ADAPTER, KAYA PANAY ANG TULO NG HYDRAULIC OIL</v>
      </c>
      <c r="L1574" s="72" t="str">
        <f>IFERROR(__xludf.DUMMYFUNCTION("""COMPUTED_VALUE"""),"FPJ: REPLACED NEW ADAPTER")</f>
        <v>FPJ: REPLACED NEW ADAPTER</v>
      </c>
      <c r="M1574" s="2"/>
      <c r="N1574" s="2" t="str">
        <f>IFERROR(__xludf.DUMMYFUNCTION("""COMPUTED_VALUE"""),"PARTS:
ADAPTER (OUTSOURCE)")</f>
        <v>PARTS:
ADAPTER (OUTSOURCE)</v>
      </c>
      <c r="O1574" s="2">
        <f>IFERROR(__xludf.DUMMYFUNCTION("""COMPUTED_VALUE"""),254.0)</f>
        <v>254</v>
      </c>
      <c r="P1574" s="2"/>
      <c r="Q1574" s="2" t="str">
        <f>IFERROR(__xludf.DUMMYFUNCTION("""COMPUTED_VALUE"""),"FOR PRINT")</f>
        <v>FOR PRINT</v>
      </c>
      <c r="R1574" s="74">
        <f>IFERROR(__xludf.DUMMYFUNCTION("""COMPUTED_VALUE"""),46111.0)</f>
        <v>46111</v>
      </c>
      <c r="S1574" s="2" t="str">
        <f>IFERROR(__xludf.DUMMYFUNCTION("""COMPUTED_VALUE"""),"FPJ/JAH")</f>
        <v>FPJ/JAH</v>
      </c>
      <c r="T1574" s="73" t="str">
        <f>IFERROR(__xludf.DUMMYFUNCTION("""COMPUTED_VALUE""")," N/A ")</f>
        <v>N/A</v>
      </c>
      <c r="U1574" s="73" t="str">
        <f>IFERROR(__xludf.DUMMYFUNCTION("""COMPUTED_VALUE""")," NO CHARGE ")</f>
        <v>NO CHARGE</v>
      </c>
      <c r="V1574" s="2" t="str">
        <f>IFERROR(__xludf.DUMMYFUNCTION("""COMPUTED_VALUE"""),"NO DR")</f>
        <v>NO DR</v>
      </c>
      <c r="W1574" s="2" t="str">
        <f>IFERROR(__xludf.DUMMYFUNCTION("""COMPUTED_VALUE"""),"N/A")</f>
        <v>N/A</v>
      </c>
      <c r="X1574" s="2" t="str">
        <f>IFERROR(__xludf.DUMMYFUNCTION("""COMPUTED_VALUE"""),"N/A")</f>
        <v>N/A</v>
      </c>
      <c r="Y1574" s="2"/>
      <c r="Z1574" s="2"/>
      <c r="AA1574" s="2"/>
      <c r="AB1574" s="2"/>
      <c r="AC1574" s="2"/>
      <c r="AD1574" s="2"/>
      <c r="AE1574" s="2"/>
      <c r="AF1574" s="2"/>
      <c r="AG1574" s="2"/>
      <c r="AH1574" s="2"/>
      <c r="AI1574" s="2"/>
      <c r="AJ1574" s="2" t="str">
        <f>IFERROR(__xludf.DUMMYFUNCTION("""COMPUTED_VALUE"""),"Libertad")</f>
        <v>Libertad</v>
      </c>
      <c r="AK1574" s="2" t="str">
        <f>IFERROR(__xludf.DUMMYFUNCTION("""COMPUTED_VALUE"""),"Cawayan")</f>
        <v>Cawayan</v>
      </c>
      <c r="AL1574" s="2" t="str">
        <f>IFERROR(__xludf.DUMMYFUNCTION("""COMPUTED_VALUE"""),"Masbate")</f>
        <v>Masbate</v>
      </c>
      <c r="AM1574" s="2">
        <f>IFERROR(__xludf.DUMMYFUNCTION("""COMPUTED_VALUE"""),5.0)</f>
        <v>5</v>
      </c>
      <c r="AN1574" s="2" t="str">
        <f>IFERROR(__xludf.DUMMYFUNCTION("""COMPUTED_VALUE"""),"RCEF 25-03-05")</f>
        <v>RCEF 25-03-05</v>
      </c>
      <c r="AO1574" s="2">
        <f>IFERROR(__xludf.DUMMYFUNCTION("""COMPUTED_VALUE"""),6.0)</f>
        <v>6</v>
      </c>
      <c r="AP1574" s="2" t="str">
        <f>IFERROR(__xludf.DUMMYFUNCTION("""COMPUTED_VALUE"""),"FREE PMS")</f>
        <v>FREE PMS</v>
      </c>
      <c r="AQ1574" s="2"/>
      <c r="AR1574" s="2"/>
      <c r="AS1574" s="2"/>
      <c r="AT1574" s="2"/>
      <c r="AU1574" s="2"/>
      <c r="AV1574" s="2"/>
      <c r="AW1574" s="2"/>
      <c r="AX1574" s="2"/>
      <c r="AY1574" s="2"/>
      <c r="AZ1574" s="2"/>
      <c r="BA1574" s="2"/>
      <c r="BB1574" s="2"/>
    </row>
    <row r="1575">
      <c r="A1575" s="2">
        <f>IFERROR(__xludf.DUMMYFUNCTION("""COMPUTED_VALUE"""),1571.0)</f>
        <v>1571</v>
      </c>
      <c r="B1575" s="2" t="str">
        <f>IFERROR(__xludf.DUMMYFUNCTION("""COMPUTED_VALUE"""),"COMPLETED")</f>
        <v>COMPLETED</v>
      </c>
      <c r="C1575" s="74">
        <f>IFERROR(__xludf.DUMMYFUNCTION("""COMPUTED_VALUE"""),46113.0)</f>
        <v>46113</v>
      </c>
      <c r="D1575" s="71" t="str">
        <f>IFERROR(__xludf.DUMMYFUNCTION("""COMPUTED_VALUE"""),"Municipal Local Government Unit of Mobo")</f>
        <v>Municipal Local Government Unit of Mobo</v>
      </c>
      <c r="E1575" s="71" t="str">
        <f>IFERROR(__xludf.DUMMYFUNCTION("""COMPUTED_VALUE"""),"Poblacion Dist. I, Mobo, MASBATE")</f>
        <v>Poblacion Dist. I, Mobo, MASBATE</v>
      </c>
      <c r="F1575" s="2" t="str">
        <f>IFERROR(__xludf.DUMMYFUNCTION("""COMPUTED_VALUE"""),"CHRISTIAN DURAN")</f>
        <v>CHRISTIAN DURAN</v>
      </c>
      <c r="G1575" s="2">
        <f>IFERROR(__xludf.DUMMYFUNCTION("""COMPUTED_VALUE"""),9.266329285E9)</f>
        <v>9266329285</v>
      </c>
      <c r="H1575" s="2">
        <f>IFERROR(__xludf.DUMMYFUNCTION("""COMPUTED_VALUE"""),16.5)</f>
        <v>16.5</v>
      </c>
      <c r="I1575" s="72" t="str">
        <f>IFERROR(__xludf.DUMMYFUNCTION("""COMPUTED_VALUE"""),"PMS")</f>
        <v>PMS</v>
      </c>
      <c r="J1575" s="72"/>
      <c r="K1575" s="72" t="str">
        <f>IFERROR(__xludf.DUMMYFUNCTION("""COMPUTED_VALUE"""),"FPJ: 1ST PMS FREE")</f>
        <v>FPJ: 1ST PMS FREE</v>
      </c>
      <c r="L1575" s="72" t="str">
        <f>IFERROR(__xludf.DUMMYFUNCTION("""COMPUTED_VALUE"""),"FPJ: 1ST PMS DONE")</f>
        <v>FPJ: 1ST PMS DONE</v>
      </c>
      <c r="M1575" s="2"/>
      <c r="N1575" s="2" t="str">
        <f>IFERROR(__xludf.DUMMYFUNCTION("""COMPUTED_VALUE"""),"PARTS:
OIL FILTER
ENGINE OIL")</f>
        <v>PARTS:
OIL FILTER
ENGINE OIL</v>
      </c>
      <c r="O1575" s="2">
        <f>IFERROR(__xludf.DUMMYFUNCTION("""COMPUTED_VALUE"""),257.0)</f>
        <v>257</v>
      </c>
      <c r="P1575" s="2"/>
      <c r="Q1575" s="2" t="str">
        <f>IFERROR(__xludf.DUMMYFUNCTION("""COMPUTED_VALUE"""),"FOR PRINT")</f>
        <v>FOR PRINT</v>
      </c>
      <c r="R1575" s="74">
        <f>IFERROR(__xludf.DUMMYFUNCTION("""COMPUTED_VALUE"""),46113.0)</f>
        <v>46113</v>
      </c>
      <c r="S1575" s="2" t="str">
        <f>IFERROR(__xludf.DUMMYFUNCTION("""COMPUTED_VALUE"""),"FPJ/JAH")</f>
        <v>FPJ/JAH</v>
      </c>
      <c r="T1575" s="73" t="str">
        <f>IFERROR(__xludf.DUMMYFUNCTION("""COMPUTED_VALUE""")," N/A ")</f>
        <v>N/A</v>
      </c>
      <c r="U1575" s="73" t="str">
        <f>IFERROR(__xludf.DUMMYFUNCTION("""COMPUTED_VALUE""")," NO CHARGE ")</f>
        <v>NO CHARGE</v>
      </c>
      <c r="V1575" s="2" t="str">
        <f>IFERROR(__xludf.DUMMYFUNCTION("""COMPUTED_VALUE"""),"NO DR")</f>
        <v>NO DR</v>
      </c>
      <c r="W1575" s="2" t="str">
        <f>IFERROR(__xludf.DUMMYFUNCTION("""COMPUTED_VALUE"""),"N/A")</f>
        <v>N/A</v>
      </c>
      <c r="X1575" s="2" t="str">
        <f>IFERROR(__xludf.DUMMYFUNCTION("""COMPUTED_VALUE"""),"N/A")</f>
        <v>N/A</v>
      </c>
      <c r="Y1575" s="2"/>
      <c r="Z1575" s="2"/>
      <c r="AA1575" s="2"/>
      <c r="AB1575" s="2"/>
      <c r="AC1575" s="2"/>
      <c r="AD1575" s="2"/>
      <c r="AE1575" s="2"/>
      <c r="AF1575" s="2"/>
      <c r="AG1575" s="2"/>
      <c r="AH1575" s="2"/>
      <c r="AI1575" s="2"/>
      <c r="AJ1575" s="2" t="str">
        <f>IFERROR(__xludf.DUMMYFUNCTION("""COMPUTED_VALUE"""),"Poblacion Dist. I")</f>
        <v>Poblacion Dist. I</v>
      </c>
      <c r="AK1575" s="2" t="str">
        <f>IFERROR(__xludf.DUMMYFUNCTION("""COMPUTED_VALUE"""),"Mobo")</f>
        <v>Mobo</v>
      </c>
      <c r="AL1575" s="2" t="str">
        <f>IFERROR(__xludf.DUMMYFUNCTION("""COMPUTED_VALUE"""),"Masbate")</f>
        <v>Masbate</v>
      </c>
      <c r="AM1575" s="2">
        <f>IFERROR(__xludf.DUMMYFUNCTION("""COMPUTED_VALUE"""),5.0)</f>
        <v>5</v>
      </c>
      <c r="AN1575" s="2" t="str">
        <f>IFERROR(__xludf.DUMMYFUNCTION("""COMPUTED_VALUE"""),"RCEF 25-03-05")</f>
        <v>RCEF 25-03-05</v>
      </c>
      <c r="AO1575" s="2">
        <f>IFERROR(__xludf.DUMMYFUNCTION("""COMPUTED_VALUE"""),6.0)</f>
        <v>6</v>
      </c>
      <c r="AP1575" s="2" t="str">
        <f>IFERROR(__xludf.DUMMYFUNCTION("""COMPUTED_VALUE"""),"FREE PMS")</f>
        <v>FREE PMS</v>
      </c>
      <c r="AQ1575" s="2"/>
      <c r="AR1575" s="2"/>
      <c r="AS1575" s="2"/>
      <c r="AT1575" s="2"/>
      <c r="AU1575" s="2"/>
      <c r="AV1575" s="2"/>
      <c r="AW1575" s="2"/>
      <c r="AX1575" s="2"/>
      <c r="AY1575" s="2"/>
      <c r="AZ1575" s="2"/>
      <c r="BA1575" s="2"/>
      <c r="BB1575" s="2"/>
    </row>
    <row r="1576">
      <c r="A1576" s="2">
        <f>IFERROR(__xludf.DUMMYFUNCTION("""COMPUTED_VALUE"""),1572.0)</f>
        <v>1572</v>
      </c>
      <c r="B1576" s="2" t="str">
        <f>IFERROR(__xludf.DUMMYFUNCTION("""COMPUTED_VALUE"""),"PENDING")</f>
        <v>PENDING</v>
      </c>
      <c r="C1576" s="78">
        <f>IFERROR(__xludf.DUMMYFUNCTION("""COMPUTED_VALUE"""),46113.0)</f>
        <v>46113</v>
      </c>
      <c r="D1576" s="71" t="str">
        <f>IFERROR(__xludf.DUMMYFUNCTION("""COMPUTED_VALUE"""),"Cañapasan Banate Irrigators' Association Inc.")</f>
        <v>Cañapasan Banate Irrigators' Association Inc.</v>
      </c>
      <c r="E1576" s="71" t="str">
        <f>IFERROR(__xludf.DUMMYFUNCTION("""COMPUTED_VALUE"""),"Managopaya, Banate, ILOILO")</f>
        <v>Managopaya, Banate, ILOILO</v>
      </c>
      <c r="F1576" s="2" t="str">
        <f>IFERROR(__xludf.DUMMYFUNCTION("""COMPUTED_VALUE"""),"Helly Bagsain")</f>
        <v>Helly Bagsain</v>
      </c>
      <c r="G1576" s="2">
        <f>IFERROR(__xludf.DUMMYFUNCTION("""COMPUTED_VALUE"""),9.655208079E9)</f>
        <v>9655208079</v>
      </c>
      <c r="H1576" s="2">
        <f>IFERROR(__xludf.DUMMYFUNCTION("""COMPUTED_VALUE"""),850.0)</f>
        <v>850</v>
      </c>
      <c r="I1576" s="72" t="str">
        <f>IFERROR(__xludf.DUMMYFUNCTION("""COMPUTED_VALUE"""),"SPARE PARTS ACQUISITION")</f>
        <v>SPARE PARTS ACQUISITION</v>
      </c>
      <c r="J1576" s="72"/>
      <c r="K1576" s="72" t="str">
        <f>IFERROR(__xludf.DUMMYFUNCTION("""COMPUTED_VALUE"""),"DRM: PARTS NEEDED
- TA00035651-BACK UP RING
-24321-000500- O-RING (D50)
- RING, BACK UP TA00033100
- O-RING 24321-000450
-TT62040000- OIL SEAL QLF356019
- REAR AXLE OIL SEAL")</f>
        <v>DRM: PARTS NEEDED
- TA00035651-BACK UP RING
-24321-000500- O-RING (D50)
- RING, BACK UP TA00033100
- O-RING 24321-000450
-TT62040000- OIL SEAL QLF356019
- REAR AXLE OIL SEAL</v>
      </c>
      <c r="L1576" s="72"/>
      <c r="M1576" s="2" t="str">
        <f>IFERROR(__xludf.DUMMYFUNCTION("""COMPUTED_VALUE"""),"- TA00035651-BACK UP RING
-24321-000500- O-RING (D50)
- RING, BACK UP TA00033100
- O-RING 24321-000450
-TT62040000- OIL SEAL QLF356019
- REAR AXLE OIL SEAL")</f>
        <v>- TA00035651-BACK UP RING
-24321-000500- O-RING (D50)
- RING, BACK UP TA00033100
- O-RING 24321-000450
-TT62040000- OIL SEAL QLF356019
- REAR AXLE OIL SEAL</v>
      </c>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t="str">
        <f>IFERROR(__xludf.DUMMYFUNCTION("""COMPUTED_VALUE"""),"Managopaya")</f>
        <v>Managopaya</v>
      </c>
      <c r="AK1576" s="2" t="str">
        <f>IFERROR(__xludf.DUMMYFUNCTION("""COMPUTED_VALUE"""),"Banate")</f>
        <v>Banate</v>
      </c>
      <c r="AL1576" s="2" t="str">
        <f>IFERROR(__xludf.DUMMYFUNCTION("""COMPUTED_VALUE"""),"Iloilo")</f>
        <v>Iloilo</v>
      </c>
      <c r="AM1576" s="2">
        <f>IFERROR(__xludf.DUMMYFUNCTION("""COMPUTED_VALUE"""),6.0)</f>
        <v>6</v>
      </c>
      <c r="AN1576" s="2" t="str">
        <f>IFERROR(__xludf.DUMMYFUNCTION("""COMPUTED_VALUE"""),"RCEF 23-09-21 Rebidding")</f>
        <v>RCEF 23-09-21 Rebidding</v>
      </c>
      <c r="AO1576" s="2">
        <f>IFERROR(__xludf.DUMMYFUNCTION("""COMPUTED_VALUE"""),4.0)</f>
        <v>4</v>
      </c>
      <c r="AP1576" s="2"/>
      <c r="AQ1576" s="2"/>
      <c r="AR1576" s="2"/>
      <c r="AS1576" s="2"/>
      <c r="AT1576" s="2"/>
      <c r="AU1576" s="2"/>
      <c r="AV1576" s="2"/>
      <c r="AW1576" s="2"/>
      <c r="AX1576" s="2"/>
      <c r="AY1576" s="2"/>
      <c r="AZ1576" s="2"/>
      <c r="BA1576" s="2"/>
      <c r="BB1576" s="2"/>
    </row>
    <row r="1577">
      <c r="A1577" s="2">
        <f>IFERROR(__xludf.DUMMYFUNCTION("""COMPUTED_VALUE"""),1573.0)</f>
        <v>1573</v>
      </c>
      <c r="B1577" s="2" t="str">
        <f>IFERROR(__xludf.DUMMYFUNCTION("""COMPUTED_VALUE"""),"COMPLETED")</f>
        <v>COMPLETED</v>
      </c>
      <c r="C1577" s="74">
        <f>IFERROR(__xludf.DUMMYFUNCTION("""COMPUTED_VALUE"""),46114.0)</f>
        <v>46114</v>
      </c>
      <c r="D1577" s="71" t="str">
        <f>IFERROR(__xludf.DUMMYFUNCTION("""COMPUTED_VALUE"""),"San Andres Farmers Association INC")</f>
        <v>San Andres Farmers Association INC</v>
      </c>
      <c r="E1577" s="71" t="str">
        <f>IFERROR(__xludf.DUMMYFUNCTION("""COMPUTED_VALUE"""),"San Andres (Quinayangan Dacu), Balud, MASBATE")</f>
        <v>San Andres (Quinayangan Dacu), Balud, MASBATE</v>
      </c>
      <c r="F1577" s="2" t="str">
        <f>IFERROR(__xludf.DUMMYFUNCTION("""COMPUTED_VALUE"""),"Jun Dale Espinosa")</f>
        <v>Jun Dale Espinosa</v>
      </c>
      <c r="G1577" s="2">
        <f>IFERROR(__xludf.DUMMYFUNCTION("""COMPUTED_VALUE"""),9.468488709E9)</f>
        <v>9468488709</v>
      </c>
      <c r="H1577" s="2">
        <f>IFERROR(__xludf.DUMMYFUNCTION("""COMPUTED_VALUE"""),22.3)</f>
        <v>22.3</v>
      </c>
      <c r="I1577" s="72" t="str">
        <f>IFERROR(__xludf.DUMMYFUNCTION("""COMPUTED_VALUE"""),"PMS")</f>
        <v>PMS</v>
      </c>
      <c r="J1577" s="72"/>
      <c r="K1577" s="72" t="str">
        <f>IFERROR(__xludf.DUMMYFUNCTION("""COMPUTED_VALUE"""),"FPJ: 1ST PMS FREE")</f>
        <v>FPJ: 1ST PMS FREE</v>
      </c>
      <c r="L1577" s="72" t="str">
        <f>IFERROR(__xludf.DUMMYFUNCTION("""COMPUTED_VALUE"""),"FPJ: 1ST PMS DONE")</f>
        <v>FPJ: 1ST PMS DONE</v>
      </c>
      <c r="M1577" s="2"/>
      <c r="N1577" s="2" t="str">
        <f>IFERROR(__xludf.DUMMYFUNCTION("""COMPUTED_VALUE"""),"PARTS:
OIL FILTER
ENGINE OIL")</f>
        <v>PARTS:
OIL FILTER
ENGINE OIL</v>
      </c>
      <c r="O1577" s="2">
        <f>IFERROR(__xludf.DUMMYFUNCTION("""COMPUTED_VALUE"""),260.0)</f>
        <v>260</v>
      </c>
      <c r="P1577" s="2"/>
      <c r="Q1577" s="2" t="str">
        <f>IFERROR(__xludf.DUMMYFUNCTION("""COMPUTED_VALUE"""),"FOR PRINT")</f>
        <v>FOR PRINT</v>
      </c>
      <c r="R1577" s="2" t="str">
        <f>IFERROR(__xludf.DUMMYFUNCTION("""COMPUTED_VALUE"""),"42/26")</f>
        <v>42/26</v>
      </c>
      <c r="S1577" s="2" t="str">
        <f>IFERROR(__xludf.DUMMYFUNCTION("""COMPUTED_VALUE"""),"FPJ/JAH")</f>
        <v>FPJ/JAH</v>
      </c>
      <c r="T1577" s="73" t="str">
        <f>IFERROR(__xludf.DUMMYFUNCTION("""COMPUTED_VALUE""")," N/A ")</f>
        <v>N/A</v>
      </c>
      <c r="U1577" s="73" t="str">
        <f>IFERROR(__xludf.DUMMYFUNCTION("""COMPUTED_VALUE""")," NO CHARGE ")</f>
        <v>NO CHARGE</v>
      </c>
      <c r="V1577" s="2" t="str">
        <f>IFERROR(__xludf.DUMMYFUNCTION("""COMPUTED_VALUE"""),"NO DR")</f>
        <v>NO DR</v>
      </c>
      <c r="W1577" s="2" t="str">
        <f>IFERROR(__xludf.DUMMYFUNCTION("""COMPUTED_VALUE"""),"N/A")</f>
        <v>N/A</v>
      </c>
      <c r="X1577" s="2" t="str">
        <f>IFERROR(__xludf.DUMMYFUNCTION("""COMPUTED_VALUE"""),"N/A")</f>
        <v>N/A</v>
      </c>
      <c r="Y1577" s="2"/>
      <c r="Z1577" s="2"/>
      <c r="AA1577" s="2"/>
      <c r="AB1577" s="2"/>
      <c r="AC1577" s="2"/>
      <c r="AD1577" s="2"/>
      <c r="AE1577" s="2"/>
      <c r="AF1577" s="2"/>
      <c r="AG1577" s="2"/>
      <c r="AH1577" s="2"/>
      <c r="AI1577" s="2"/>
      <c r="AJ1577" s="2" t="str">
        <f>IFERROR(__xludf.DUMMYFUNCTION("""COMPUTED_VALUE"""),"San Andres (Quinayangan Dacu)")</f>
        <v>San Andres (Quinayangan Dacu)</v>
      </c>
      <c r="AK1577" s="2" t="str">
        <f>IFERROR(__xludf.DUMMYFUNCTION("""COMPUTED_VALUE"""),"Balud")</f>
        <v>Balud</v>
      </c>
      <c r="AL1577" s="2" t="str">
        <f>IFERROR(__xludf.DUMMYFUNCTION("""COMPUTED_VALUE"""),"Masbate")</f>
        <v>Masbate</v>
      </c>
      <c r="AM1577" s="2">
        <f>IFERROR(__xludf.DUMMYFUNCTION("""COMPUTED_VALUE"""),5.0)</f>
        <v>5</v>
      </c>
      <c r="AN1577" s="2" t="str">
        <f>IFERROR(__xludf.DUMMYFUNCTION("""COMPUTED_VALUE"""),"RCEF 25-03-05")</f>
        <v>RCEF 25-03-05</v>
      </c>
      <c r="AO1577" s="2">
        <f>IFERROR(__xludf.DUMMYFUNCTION("""COMPUTED_VALUE"""),6.0)</f>
        <v>6</v>
      </c>
      <c r="AP1577" s="2" t="str">
        <f>IFERROR(__xludf.DUMMYFUNCTION("""COMPUTED_VALUE"""),"FREE PMS")</f>
        <v>FREE PMS</v>
      </c>
      <c r="AQ1577" s="2"/>
      <c r="AR1577" s="2"/>
      <c r="AS1577" s="2"/>
      <c r="AT1577" s="2"/>
      <c r="AU1577" s="2"/>
      <c r="AV1577" s="2"/>
      <c r="AW1577" s="2"/>
      <c r="AX1577" s="2"/>
      <c r="AY1577" s="2"/>
      <c r="AZ1577" s="2"/>
      <c r="BA1577" s="2"/>
      <c r="BB1577" s="2"/>
    </row>
    <row r="1578">
      <c r="A1578" s="2">
        <f>IFERROR(__xludf.DUMMYFUNCTION("""COMPUTED_VALUE"""),1574.0)</f>
        <v>1574</v>
      </c>
      <c r="B1578" s="2" t="str">
        <f>IFERROR(__xludf.DUMMYFUNCTION("""COMPUTED_VALUE"""),"COMPLETED")</f>
        <v>COMPLETED</v>
      </c>
      <c r="C1578" s="78">
        <f>IFERROR(__xludf.DUMMYFUNCTION("""COMPUTED_VALUE"""),46118.0)</f>
        <v>46118</v>
      </c>
      <c r="D1578" s="71" t="str">
        <f>IFERROR(__xludf.DUMMYFUNCTION("""COMPUTED_VALUE"""),"Adamson - Bambang Farmers Association")</f>
        <v>Adamson - Bambang Farmers Association</v>
      </c>
      <c r="E1578" s="71" t="str">
        <f>IFERROR(__xludf.DUMMYFUNCTION("""COMPUTED_VALUE"""),"Gugo, Samal, BATAAN")</f>
        <v>Gugo, Samal, BATAAN</v>
      </c>
      <c r="F1578" s="2"/>
      <c r="G1578" s="2">
        <f>IFERROR(__xludf.DUMMYFUNCTION("""COMPUTED_VALUE"""),9.957427826E9)</f>
        <v>9957427826</v>
      </c>
      <c r="H1578" s="2"/>
      <c r="I1578" s="72" t="str">
        <f>IFERROR(__xludf.DUMMYFUNCTION("""COMPUTED_VALUE"""),"REPAIR - LOADER")</f>
        <v>REPAIR - LOADER</v>
      </c>
      <c r="J1578" s="72" t="str">
        <f>IFERROR(__xludf.DUMMYFUNCTION("""COMPUTED_VALUE"""),"Cable lock")</f>
        <v>Cable lock</v>
      </c>
      <c r="K1578" s="72" t="str">
        <f>IFERROR(__xludf.DUMMYFUNCTION("""COMPUTED_VALUE"""),"MYK: LOADER PROBLEM, AYAW GUMALAW NG BUCKET PERO YUNG ARM NANG LOADER NABABA TAAS NAMAN, 
NANGANGAMOY DIN ANG CLUTCH")</f>
        <v>MYK: LOADER PROBLEM, AYAW GUMALAW NG BUCKET PERO YUNG ARM NANG LOADER NABABA TAAS NAMAN, 
NANGANGAMOY DIN ANG CLUTCH</v>
      </c>
      <c r="L1578" s="72" t="str">
        <f>IFERROR(__xludf.DUMMYFUNCTION("""COMPUTED_VALUE"""),"ECM: PARTS NEEDED: CABLE LOCK
JVV: REPLACED NEW CABLE LOCK")</f>
        <v>ECM: PARTS NEEDED: CABLE LOCK
JVV: REPLACED NEW CABLE LOCK</v>
      </c>
      <c r="M1578" s="2" t="str">
        <f>IFERROR(__xludf.DUMMYFUNCTION("""COMPUTED_VALUE"""),"CABLE LOCK")</f>
        <v>CABLE LOCK</v>
      </c>
      <c r="N1578" s="2" t="str">
        <f>IFERROR(__xludf.DUMMYFUNCTION("""COMPUTED_VALUE"""),"PARTS:
2- CABLE LOCK")</f>
        <v>PARTS:
2- CABLE LOCK</v>
      </c>
      <c r="O1578" s="2">
        <f>IFERROR(__xludf.DUMMYFUNCTION("""COMPUTED_VALUE"""),445.0)</f>
        <v>445</v>
      </c>
      <c r="P1578" s="2" t="str">
        <f>IFERROR(__xludf.DUMMYFUNCTION("""COMPUTED_VALUE"""),"445 - Adamson Bambang Farmers Association(1).pdf")</f>
        <v>445 - Adamson Bambang Farmers Association(1).pdf</v>
      </c>
      <c r="Q1578" s="2" t="str">
        <f>IFERROR(__xludf.DUMMYFUNCTION("""COMPUTED_VALUE"""),"FOR PRINT")</f>
        <v>FOR PRINT</v>
      </c>
      <c r="R1578" s="74">
        <f>IFERROR(__xludf.DUMMYFUNCTION("""COMPUTED_VALUE"""),46134.0)</f>
        <v>46134</v>
      </c>
      <c r="S1578" s="2" t="str">
        <f>IFERROR(__xludf.DUMMYFUNCTION("""COMPUTED_VALUE"""),"EGT/JVV")</f>
        <v>EGT/JVV</v>
      </c>
      <c r="T1578" s="73" t="str">
        <f>IFERROR(__xludf.DUMMYFUNCTION("""COMPUTED_VALUE""")," N/A ")</f>
        <v>N/A</v>
      </c>
      <c r="U1578" s="73" t="str">
        <f>IFERROR(__xludf.DUMMYFUNCTION("""COMPUTED_VALUE""")," NO CHARGE ")</f>
        <v>NO CHARGE</v>
      </c>
      <c r="V1578" s="2" t="str">
        <f>IFERROR(__xludf.DUMMYFUNCTION("""COMPUTED_VALUE"""),"NO DR")</f>
        <v>NO DR</v>
      </c>
      <c r="W1578" s="2" t="str">
        <f>IFERROR(__xludf.DUMMYFUNCTION("""COMPUTED_VALUE"""),"N/A")</f>
        <v>N/A</v>
      </c>
      <c r="X1578" s="2" t="str">
        <f>IFERROR(__xludf.DUMMYFUNCTION("""COMPUTED_VALUE"""),"N/A")</f>
        <v>N/A</v>
      </c>
      <c r="Y1578" s="2"/>
      <c r="Z1578" s="2"/>
      <c r="AA1578" s="2"/>
      <c r="AB1578" s="2"/>
      <c r="AC1578" s="2"/>
      <c r="AD1578" s="2"/>
      <c r="AE1578" s="2"/>
      <c r="AF1578" s="2"/>
      <c r="AG1578" s="2"/>
      <c r="AH1578" s="2"/>
      <c r="AI1578" s="2"/>
      <c r="AJ1578" s="2" t="str">
        <f>IFERROR(__xludf.DUMMYFUNCTION("""COMPUTED_VALUE"""),"Gugo")</f>
        <v>Gugo</v>
      </c>
      <c r="AK1578" s="2" t="str">
        <f>IFERROR(__xludf.DUMMYFUNCTION("""COMPUTED_VALUE"""),"Samal")</f>
        <v>Samal</v>
      </c>
      <c r="AL1578" s="2" t="str">
        <f>IFERROR(__xludf.DUMMYFUNCTION("""COMPUTED_VALUE"""),"Bataan")</f>
        <v>Bataan</v>
      </c>
      <c r="AM1578" s="2">
        <f>IFERROR(__xludf.DUMMYFUNCTION("""COMPUTED_VALUE"""),3.0)</f>
        <v>3</v>
      </c>
      <c r="AN1578" s="2" t="str">
        <f>IFERROR(__xludf.DUMMYFUNCTION("""COMPUTED_VALUE"""),"RCEF 25-03-05")</f>
        <v>RCEF 25-03-05</v>
      </c>
      <c r="AO1578" s="2">
        <f>IFERROR(__xludf.DUMMYFUNCTION("""COMPUTED_VALUE"""),5.0)</f>
        <v>5</v>
      </c>
      <c r="AP1578" s="2" t="str">
        <f>IFERROR(__xludf.DUMMYFUNCTION("""COMPUTED_VALUE"""),"FREE PMS")</f>
        <v>FREE PMS</v>
      </c>
      <c r="AQ1578" s="2"/>
      <c r="AR1578" s="2"/>
      <c r="AS1578" s="2"/>
      <c r="AT1578" s="2"/>
      <c r="AU1578" s="2"/>
      <c r="AV1578" s="2"/>
      <c r="AW1578" s="2"/>
      <c r="AX1578" s="2"/>
      <c r="AY1578" s="2"/>
      <c r="AZ1578" s="2"/>
      <c r="BA1578" s="2"/>
      <c r="BB1578" s="2"/>
    </row>
    <row r="1579">
      <c r="A1579" s="2">
        <f>IFERROR(__xludf.DUMMYFUNCTION("""COMPUTED_VALUE"""),1575.0)</f>
        <v>1575</v>
      </c>
      <c r="B1579" s="2" t="str">
        <f>IFERROR(__xludf.DUMMYFUNCTION("""COMPUTED_VALUE"""),"PENDING")</f>
        <v>PENDING</v>
      </c>
      <c r="C1579" s="78">
        <f>IFERROR(__xludf.DUMMYFUNCTION("""COMPUTED_VALUE"""),46118.0)</f>
        <v>46118</v>
      </c>
      <c r="D1579" s="71" t="str">
        <f>IFERROR(__xludf.DUMMYFUNCTION("""COMPUTED_VALUE"""),"LIBERTAD CAWAYAN AGRARIAN REFORM COOPERATIVE")</f>
        <v>LIBERTAD CAWAYAN AGRARIAN REFORM COOPERATIVE</v>
      </c>
      <c r="E1579" s="71" t="str">
        <f>IFERROR(__xludf.DUMMYFUNCTION("""COMPUTED_VALUE"""),"Libertad, Cawayan, MASBATE")</f>
        <v>Libertad, Cawayan, MASBATE</v>
      </c>
      <c r="F1579" s="2" t="str">
        <f>IFERROR(__xludf.DUMMYFUNCTION("""COMPUTED_VALUE"""),"Charlon Lipar")</f>
        <v>Charlon Lipar</v>
      </c>
      <c r="G1579" s="2">
        <f>IFERROR(__xludf.DUMMYFUNCTION("""COMPUTED_VALUE"""),9.166796787E9)</f>
        <v>9166796787</v>
      </c>
      <c r="H1579" s="2"/>
      <c r="I1579" s="72" t="str">
        <f>IFERROR(__xludf.DUMMYFUNCTION("""COMPUTED_VALUE"""),"SPARE PARTS ACQUISITION")</f>
        <v>SPARE PARTS ACQUISITION</v>
      </c>
      <c r="J1579" s="72"/>
      <c r="K1579" s="72" t="str">
        <f>IFERROR(__xludf.DUMMYFUNCTION("""COMPUTED_VALUE"""),"FSJ: Problem: disc Flange Axis damaged (w/ picture)")</f>
        <v>FSJ: Problem: disc Flange Axis damaged (w/ picture)</v>
      </c>
      <c r="L1579" s="72"/>
      <c r="M1579" s="2" t="str">
        <f>IFERROR(__xludf.DUMMYFUNCTION("""COMPUTED_VALUE"""),"DISK FLANGE AXIS")</f>
        <v>DISK FLANGE AXIS</v>
      </c>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t="str">
        <f>IFERROR(__xludf.DUMMYFUNCTION("""COMPUTED_VALUE"""),"Libertad")</f>
        <v>Libertad</v>
      </c>
      <c r="AK1579" s="2" t="str">
        <f>IFERROR(__xludf.DUMMYFUNCTION("""COMPUTED_VALUE"""),"Cawayan")</f>
        <v>Cawayan</v>
      </c>
      <c r="AL1579" s="2" t="str">
        <f>IFERROR(__xludf.DUMMYFUNCTION("""COMPUTED_VALUE"""),"Masbate")</f>
        <v>Masbate</v>
      </c>
      <c r="AM1579" s="2">
        <f>IFERROR(__xludf.DUMMYFUNCTION("""COMPUTED_VALUE"""),5.0)</f>
        <v>5</v>
      </c>
      <c r="AN1579" s="2" t="str">
        <f>IFERROR(__xludf.DUMMYFUNCTION("""COMPUTED_VALUE"""),"RCEF 25-03-05")</f>
        <v>RCEF 25-03-05</v>
      </c>
      <c r="AO1579" s="2">
        <f>IFERROR(__xludf.DUMMYFUNCTION("""COMPUTED_VALUE"""),6.0)</f>
        <v>6</v>
      </c>
      <c r="AP1579" s="2" t="str">
        <f>IFERROR(__xludf.DUMMYFUNCTION("""COMPUTED_VALUE"""),"FREE PMS")</f>
        <v>FREE PMS</v>
      </c>
      <c r="AQ1579" s="2"/>
      <c r="AR1579" s="2"/>
      <c r="AS1579" s="2"/>
      <c r="AT1579" s="2"/>
      <c r="AU1579" s="2"/>
      <c r="AV1579" s="2"/>
      <c r="AW1579" s="2"/>
      <c r="AX1579" s="2"/>
      <c r="AY1579" s="2"/>
      <c r="AZ1579" s="2"/>
      <c r="BA1579" s="2"/>
      <c r="BB1579" s="2"/>
    </row>
    <row r="1580">
      <c r="A1580" s="2">
        <f>IFERROR(__xludf.DUMMYFUNCTION("""COMPUTED_VALUE"""),1576.0)</f>
        <v>1576</v>
      </c>
      <c r="B1580" s="2" t="str">
        <f>IFERROR(__xludf.DUMMYFUNCTION("""COMPUTED_VALUE"""),"COMPLETED")</f>
        <v>COMPLETED</v>
      </c>
      <c r="C1580" s="78">
        <f>IFERROR(__xludf.DUMMYFUNCTION("""COMPUTED_VALUE"""),46119.0)</f>
        <v>46119</v>
      </c>
      <c r="D1580" s="71" t="str">
        <f>IFERROR(__xludf.DUMMYFUNCTION("""COMPUTED_VALUE"""),"San Miguel Sinag Tala Multipurpose Cooperative")</f>
        <v>San Miguel Sinag Tala Multipurpose Cooperative</v>
      </c>
      <c r="E1580" s="71" t="str">
        <f>IFERROR(__xludf.DUMMYFUNCTION("""COMPUTED_VALUE"""),"San Vicente, San Miguel, BULACAN")</f>
        <v>San Vicente, San Miguel, BULACAN</v>
      </c>
      <c r="F1580" s="2" t="str">
        <f>IFERROR(__xludf.DUMMYFUNCTION("""COMPUTED_VALUE"""),"Andres Caliwag")</f>
        <v>Andres Caliwag</v>
      </c>
      <c r="G1580" s="2">
        <f>IFERROR(__xludf.DUMMYFUNCTION("""COMPUTED_VALUE"""),9.32271408E9)</f>
        <v>9322714080</v>
      </c>
      <c r="H1580" s="2">
        <f>IFERROR(__xludf.DUMMYFUNCTION("""COMPUTED_VALUE"""),140.0)</f>
        <v>140</v>
      </c>
      <c r="I1580" s="72" t="str">
        <f>IFERROR(__xludf.DUMMYFUNCTION("""COMPUTED_VALUE"""),"REPAIR - LOADER")</f>
        <v>REPAIR - LOADER</v>
      </c>
      <c r="J1580" s="72" t="str">
        <f>IFERROR(__xludf.DUMMYFUNCTION("""COMPUTED_VALUE"""),"Cable lock")</f>
        <v>Cable lock</v>
      </c>
      <c r="K1580" s="72" t="str">
        <f>IFERROR(__xludf.DUMMYFUNCTION("""COMPUTED_VALUE"""),"MYK: AYAW GUMALAW NG BUCKET , PERO YUNG ARM NYA NABABA TAAS NAMAN ,  LOADER BLADE AYAW GUMALAW HINDI MAKASALOK NAKAYUKO LANG
5/12/26 - MYK: ADDITIONAL CONCERN MAY HUMUHUNI SA MAY BANDANG ENGINE PART")</f>
        <v>MYK: AYAW GUMALAW NG BUCKET , PERO YUNG ARM NYA NABABA TAAS NAMAN ,  LOADER BLADE AYAW GUMALAW HINDI MAKASALOK NAKAYUKO LANG
5/12/26 - MYK: ADDITIONAL CONCERN MAY HUMUHUNI SA MAY BANDANG ENGINE PART</v>
      </c>
      <c r="L1580" s="72" t="str">
        <f>IFERROR(__xludf.DUMMYFUNCTION("""COMPUTED_VALUE"""),"5/20/26 - 1109: EGT: OKAY PO YUNG ENGINE NAGALARM LANG PO PALA KAYA PINALIWANAG KO NALANG PO SA KANILA 
DEFFECT CABLE LOCK-  REPLACED 1 PC CABLE LOCK (1 AVAILABLE) - NEED 1PC CABLE LOCK
JDP: REPLACED CABLE LOCK (1) OF FRONT LOADER")</f>
        <v>5/20/26 - 1109: EGT: OKAY PO YUNG ENGINE NAGALARM LANG PO PALA KAYA PINALIWANAG KO NALANG PO SA KANILA 
DEFFECT CABLE LOCK-  REPLACED 1 PC CABLE LOCK (1 AVAILABLE) - NEED 1PC CABLE LOCK
JDP: REPLACED CABLE LOCK (1) OF FRONT LOADER</v>
      </c>
      <c r="M1580" s="2" t="str">
        <f>IFERROR(__xludf.DUMMYFUNCTION("""COMPUTED_VALUE"""),"CABLE LOCK")</f>
        <v>CABLE LOCK</v>
      </c>
      <c r="N1580" s="2" t="str">
        <f>IFERROR(__xludf.DUMMYFUNCTION("""COMPUTED_VALUE"""),"PARTS:
2- CABLE LOCK")</f>
        <v>PARTS:
2- CABLE LOCK</v>
      </c>
      <c r="O1580" s="2">
        <f>IFERROR(__xludf.DUMMYFUNCTION("""COMPUTED_VALUE"""),1113.0)</f>
        <v>1113</v>
      </c>
      <c r="P1580" s="2" t="str">
        <f>IFERROR(__xludf.DUMMYFUNCTION("""COMPUTED_VALUE"""),"1113 - San Miguel Sinag Tala Multipurpose Cooperative.pdf")</f>
        <v>1113 - San Miguel Sinag Tala Multipurpose Cooperative.pdf</v>
      </c>
      <c r="Q1580" s="2" t="str">
        <f>IFERROR(__xludf.DUMMYFUNCTION("""COMPUTED_VALUE"""),"FOR PRINT")</f>
        <v>FOR PRINT</v>
      </c>
      <c r="R1580" s="74">
        <f>IFERROR(__xludf.DUMMYFUNCTION("""COMPUTED_VALUE"""),46182.0)</f>
        <v>46182</v>
      </c>
      <c r="S1580" s="2" t="str">
        <f>IFERROR(__xludf.DUMMYFUNCTION("""COMPUTED_VALUE"""),"JDP/JVV")</f>
        <v>JDP/JVV</v>
      </c>
      <c r="T1580" s="73" t="str">
        <f>IFERROR(__xludf.DUMMYFUNCTION("""COMPUTED_VALUE""")," N/A ")</f>
        <v>N/A</v>
      </c>
      <c r="U1580" s="73" t="str">
        <f>IFERROR(__xludf.DUMMYFUNCTION("""COMPUTED_VALUE""")," NO CHARGE ")</f>
        <v>NO CHARGE</v>
      </c>
      <c r="V1580" s="2">
        <f>IFERROR(__xludf.DUMMYFUNCTION("""COMPUTED_VALUE"""),1338.0)</f>
        <v>1338</v>
      </c>
      <c r="W1580" s="2" t="str">
        <f>IFERROR(__xludf.DUMMYFUNCTION("""COMPUTED_VALUE"""),"N/A")</f>
        <v>N/A</v>
      </c>
      <c r="X1580" s="2" t="str">
        <f>IFERROR(__xludf.DUMMYFUNCTION("""COMPUTED_VALUE"""),"N/A")</f>
        <v>N/A</v>
      </c>
      <c r="Y1580" s="2"/>
      <c r="Z1580" s="2"/>
      <c r="AA1580" s="2"/>
      <c r="AB1580" s="2"/>
      <c r="AC1580" s="2"/>
      <c r="AD1580" s="2"/>
      <c r="AE1580" s="2"/>
      <c r="AF1580" s="2"/>
      <c r="AG1580" s="2"/>
      <c r="AH1580" s="2"/>
      <c r="AI1580" s="2"/>
      <c r="AJ1580" s="2" t="str">
        <f>IFERROR(__xludf.DUMMYFUNCTION("""COMPUTED_VALUE"""),"San Vicente")</f>
        <v>San Vicente</v>
      </c>
      <c r="AK1580" s="2" t="str">
        <f>IFERROR(__xludf.DUMMYFUNCTION("""COMPUTED_VALUE"""),"San Miguel")</f>
        <v>San Miguel</v>
      </c>
      <c r="AL1580" s="2" t="str">
        <f>IFERROR(__xludf.DUMMYFUNCTION("""COMPUTED_VALUE"""),"Bulacan")</f>
        <v>Bulacan</v>
      </c>
      <c r="AM1580" s="2">
        <f>IFERROR(__xludf.DUMMYFUNCTION("""COMPUTED_VALUE"""),3.0)</f>
        <v>3</v>
      </c>
      <c r="AN1580" s="2" t="str">
        <f>IFERROR(__xludf.DUMMYFUNCTION("""COMPUTED_VALUE"""),"RCEF 25-03-05")</f>
        <v>RCEF 25-03-05</v>
      </c>
      <c r="AO1580" s="2">
        <f>IFERROR(__xludf.DUMMYFUNCTION("""COMPUTED_VALUE"""),5.0)</f>
        <v>5</v>
      </c>
      <c r="AP1580" s="2" t="str">
        <f>IFERROR(__xludf.DUMMYFUNCTION("""COMPUTED_VALUE"""),"FREE PMS")</f>
        <v>FREE PMS</v>
      </c>
      <c r="AQ1580" s="2"/>
      <c r="AR1580" s="2"/>
      <c r="AS1580" s="2"/>
      <c r="AT1580" s="2"/>
      <c r="AU1580" s="2"/>
      <c r="AV1580" s="2"/>
      <c r="AW1580" s="2"/>
      <c r="AX1580" s="2"/>
      <c r="AY1580" s="2"/>
      <c r="AZ1580" s="2"/>
      <c r="BA1580" s="2"/>
      <c r="BB1580" s="2"/>
    </row>
    <row r="1581">
      <c r="A1581" s="2">
        <f>IFERROR(__xludf.DUMMYFUNCTION("""COMPUTED_VALUE"""),1577.0)</f>
        <v>1577</v>
      </c>
      <c r="B1581" s="2" t="str">
        <f>IFERROR(__xludf.DUMMYFUNCTION("""COMPUTED_VALUE"""),"COMPLETED")</f>
        <v>COMPLETED</v>
      </c>
      <c r="C1581" s="78">
        <f>IFERROR(__xludf.DUMMYFUNCTION("""COMPUTED_VALUE"""),46119.0)</f>
        <v>46119</v>
      </c>
      <c r="D1581" s="71" t="str">
        <f>IFERROR(__xludf.DUMMYFUNCTION("""COMPUTED_VALUE"""),"CAWAG FARMERS ASSOCIATION")</f>
        <v>CAWAG FARMERS ASSOCIATION</v>
      </c>
      <c r="E1581" s="71" t="str">
        <f>IFERROR(__xludf.DUMMYFUNCTION("""COMPUTED_VALUE"""),"Cawag, Subic, ZAMBALES")</f>
        <v>Cawag, Subic, ZAMBALES</v>
      </c>
      <c r="F1581" s="2" t="str">
        <f>IFERROR(__xludf.DUMMYFUNCTION("""COMPUTED_VALUE"""),"Vergilio Sabado")</f>
        <v>Vergilio Sabado</v>
      </c>
      <c r="G1581" s="2">
        <f>IFERROR(__xludf.DUMMYFUNCTION("""COMPUTED_VALUE"""),9.93251464E9)</f>
        <v>9932514640</v>
      </c>
      <c r="H1581" s="2">
        <f>IFERROR(__xludf.DUMMYFUNCTION("""COMPUTED_VALUE"""),990.0)</f>
        <v>990</v>
      </c>
      <c r="I1581" s="72" t="str">
        <f>IFERROR(__xludf.DUMMYFUNCTION("""COMPUTED_VALUE"""),"SPARE PARTS ACQUISITION")</f>
        <v>SPARE PARTS ACQUISITION</v>
      </c>
      <c r="J1581" s="72"/>
      <c r="K1581" s="72" t="str">
        <f>IFERROR(__xludf.DUMMYFUNCTION("""COMPUTED_VALUE"""),"MYK: PARTS REQUEST: 
1 - OIL FILTER 
1-  HYDRAULIC FILTER")</f>
        <v>MYK: PARTS REQUEST: 
1 - OIL FILTER 
1-  HYDRAULIC FILTER</v>
      </c>
      <c r="L1581" s="72" t="str">
        <f>IFERROR(__xludf.DUMMYFUNCTION("""COMPUTED_VALUE"""),"QUOTATION SENT - CALL NALANG DAW SILA PAG KUKUHA NA SILA.
MYK: ORDER NA SILA
3- OIL FILTER
1- HYDRAULIC FILTER
PAID TO LTC ACCOUNT -  FOR LBC - SHIPPED")</f>
        <v>QUOTATION SENT - CALL NALANG DAW SILA PAG KUKUHA NA SILA.
MYK: ORDER NA SILA
3- OIL FILTER
1- HYDRAULIC FILTER
PAID TO LTC ACCOUNT -  FOR LBC - SHIPPED</v>
      </c>
      <c r="M1581" s="2"/>
      <c r="N1581" s="2" t="str">
        <f>IFERROR(__xludf.DUMMYFUNCTION("""COMPUTED_VALUE"""),"PARTS:
3- OIL FILTER
1- HYDRAULIC FILTER")</f>
        <v>PARTS:
3- OIL FILTER
1- HYDRAULIC FILTER</v>
      </c>
      <c r="O1581" s="2" t="str">
        <f>IFERROR(__xludf.DUMMYFUNCTION("""COMPUTED_VALUE"""),"N/A")</f>
        <v>N/A</v>
      </c>
      <c r="P1581" s="2"/>
      <c r="Q1581" s="2"/>
      <c r="R1581" s="74">
        <f>IFERROR(__xludf.DUMMYFUNCTION("""COMPUTED_VALUE"""),46126.0)</f>
        <v>46126</v>
      </c>
      <c r="S1581" s="2" t="str">
        <f>IFERROR(__xludf.DUMMYFUNCTION("""COMPUTED_VALUE"""),"MYK/CTF")</f>
        <v>MYK/CTF</v>
      </c>
      <c r="T1581" s="73">
        <f>IFERROR(__xludf.DUMMYFUNCTION("""COMPUTED_VALUE"""),7436.0)</f>
        <v>7436</v>
      </c>
      <c r="U1581" s="73" t="str">
        <f>IFERROR(__xludf.DUMMYFUNCTION("""COMPUTED_VALUE""")," RECORDED ")</f>
        <v>RECORDED</v>
      </c>
      <c r="V1581" s="2">
        <f>IFERROR(__xludf.DUMMYFUNCTION("""COMPUTED_VALUE"""),1545.0)</f>
        <v>1545</v>
      </c>
      <c r="W1581" s="2">
        <f>IFERROR(__xludf.DUMMYFUNCTION("""COMPUTED_VALUE"""),2062.0)</f>
        <v>2062</v>
      </c>
      <c r="X1581" s="2" t="str">
        <f>IFERROR(__xludf.DUMMYFUNCTION("""COMPUTED_VALUE"""),"1756 - DIRECT PAYMENT")</f>
        <v>1756 - DIRECT PAYMENT</v>
      </c>
      <c r="Y1581" s="2"/>
      <c r="Z1581" s="2"/>
      <c r="AA1581" s="2"/>
      <c r="AB1581" s="2"/>
      <c r="AC1581" s="2"/>
      <c r="AD1581" s="2"/>
      <c r="AE1581" s="2"/>
      <c r="AF1581" s="2"/>
      <c r="AG1581" s="2"/>
      <c r="AH1581" s="2"/>
      <c r="AI1581" s="2"/>
      <c r="AJ1581" s="2" t="str">
        <f>IFERROR(__xludf.DUMMYFUNCTION("""COMPUTED_VALUE"""),"Cawag")</f>
        <v>Cawag</v>
      </c>
      <c r="AK1581" s="2" t="str">
        <f>IFERROR(__xludf.DUMMYFUNCTION("""COMPUTED_VALUE"""),"Subic")</f>
        <v>Subic</v>
      </c>
      <c r="AL1581" s="2" t="str">
        <f>IFERROR(__xludf.DUMMYFUNCTION("""COMPUTED_VALUE"""),"Zambales")</f>
        <v>Zambales</v>
      </c>
      <c r="AM1581" s="2">
        <f>IFERROR(__xludf.DUMMYFUNCTION("""COMPUTED_VALUE"""),3.0)</f>
        <v>3</v>
      </c>
      <c r="AN1581" s="2" t="str">
        <f>IFERROR(__xludf.DUMMYFUNCTION("""COMPUTED_VALUE"""),"Repeat Order")</f>
        <v>Repeat Order</v>
      </c>
      <c r="AO1581" s="2">
        <f>IFERROR(__xludf.DUMMYFUNCTION("""COMPUTED_VALUE"""),6.0)</f>
        <v>6</v>
      </c>
      <c r="AP1581" s="2" t="str">
        <f>IFERROR(__xludf.DUMMYFUNCTION("""COMPUTED_VALUE"""),"FREE PMS")</f>
        <v>FREE PMS</v>
      </c>
      <c r="AQ1581" s="2"/>
      <c r="AR1581" s="2"/>
      <c r="AS1581" s="2"/>
      <c r="AT1581" s="2"/>
      <c r="AU1581" s="2"/>
      <c r="AV1581" s="2"/>
      <c r="AW1581" s="2"/>
      <c r="AX1581" s="2"/>
      <c r="AY1581" s="2"/>
      <c r="AZ1581" s="2"/>
      <c r="BA1581" s="2"/>
      <c r="BB1581" s="2"/>
    </row>
    <row r="1582">
      <c r="A1582" s="2">
        <f>IFERROR(__xludf.DUMMYFUNCTION("""COMPUTED_VALUE"""),1578.0)</f>
        <v>1578</v>
      </c>
      <c r="B1582" s="2" t="str">
        <f>IFERROR(__xludf.DUMMYFUNCTION("""COMPUTED_VALUE"""),"PENDING")</f>
        <v>PENDING</v>
      </c>
      <c r="C1582" s="78">
        <f>IFERROR(__xludf.DUMMYFUNCTION("""COMPUTED_VALUE"""),46119.0)</f>
        <v>46119</v>
      </c>
      <c r="D1582" s="71" t="str">
        <f>IFERROR(__xludf.DUMMYFUNCTION("""COMPUTED_VALUE"""),"CSAC 77 Agriculture Cooperative")</f>
        <v>CSAC 77 Agriculture Cooperative</v>
      </c>
      <c r="E1582" s="71" t="str">
        <f>IFERROR(__xludf.DUMMYFUNCTION("""COMPUTED_VALUE"""),"Tagbong, Pili, CAMARINES SUR")</f>
        <v>Tagbong, Pili, CAMARINES SUR</v>
      </c>
      <c r="F1582" s="2" t="str">
        <f>IFERROR(__xludf.DUMMYFUNCTION("""COMPUTED_VALUE"""),"Helen Valenzuela")</f>
        <v>Helen Valenzuela</v>
      </c>
      <c r="G1582" s="2">
        <f>IFERROR(__xludf.DUMMYFUNCTION("""COMPUTED_VALUE"""),9.514156425E9)</f>
        <v>9514156425</v>
      </c>
      <c r="H1582" s="2"/>
      <c r="I1582" s="72" t="str">
        <f>IFERROR(__xludf.DUMMYFUNCTION("""COMPUTED_VALUE"""),"PMS")</f>
        <v>PMS</v>
      </c>
      <c r="J1582" s="72"/>
      <c r="K1582" s="72" t="str">
        <f>IFERROR(__xludf.DUMMYFUNCTION("""COMPUTED_VALUE"""),"KFS: for 1st PMS free")</f>
        <v>KFS: for 1st PMS free</v>
      </c>
      <c r="L1582" s="7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c r="AJ1582" s="2" t="str">
        <f>IFERROR(__xludf.DUMMYFUNCTION("""COMPUTED_VALUE"""),"Tagbong")</f>
        <v>Tagbong</v>
      </c>
      <c r="AK1582" s="2" t="str">
        <f>IFERROR(__xludf.DUMMYFUNCTION("""COMPUTED_VALUE"""),"Pili")</f>
        <v>Pili</v>
      </c>
      <c r="AL1582" s="2" t="str">
        <f>IFERROR(__xludf.DUMMYFUNCTION("""COMPUTED_VALUE"""),"Camarines Sur")</f>
        <v>Camarines Sur</v>
      </c>
      <c r="AM1582" s="2">
        <f>IFERROR(__xludf.DUMMYFUNCTION("""COMPUTED_VALUE"""),5.0)</f>
        <v>5</v>
      </c>
      <c r="AN1582" s="2" t="str">
        <f>IFERROR(__xludf.DUMMYFUNCTION("""COMPUTED_VALUE"""),"RCEF 25-03-05")</f>
        <v>RCEF 25-03-05</v>
      </c>
      <c r="AO1582" s="2">
        <f>IFERROR(__xludf.DUMMYFUNCTION("""COMPUTED_VALUE"""),6.0)</f>
        <v>6</v>
      </c>
      <c r="AP1582" s="2" t="str">
        <f>IFERROR(__xludf.DUMMYFUNCTION("""COMPUTED_VALUE"""),"FREE PMS")</f>
        <v>FREE PMS</v>
      </c>
      <c r="AQ1582" s="2"/>
      <c r="AR1582" s="2"/>
      <c r="AS1582" s="2"/>
      <c r="AT1582" s="2"/>
      <c r="AU1582" s="2"/>
      <c r="AV1582" s="2"/>
      <c r="AW1582" s="2"/>
      <c r="AX1582" s="2"/>
      <c r="AY1582" s="2"/>
      <c r="AZ1582" s="2"/>
      <c r="BA1582" s="2"/>
      <c r="BB1582" s="2"/>
    </row>
    <row r="1583">
      <c r="A1583" s="2">
        <f>IFERROR(__xludf.DUMMYFUNCTION("""COMPUTED_VALUE"""),1579.0)</f>
        <v>1579</v>
      </c>
      <c r="B1583" s="2" t="str">
        <f>IFERROR(__xludf.DUMMYFUNCTION("""COMPUTED_VALUE"""),"PENDING")</f>
        <v>PENDING</v>
      </c>
      <c r="C1583" s="78">
        <f>IFERROR(__xludf.DUMMYFUNCTION("""COMPUTED_VALUE"""),46120.0)</f>
        <v>46120</v>
      </c>
      <c r="D1583" s="71" t="str">
        <f>IFERROR(__xludf.DUMMYFUNCTION("""COMPUTED_VALUE"""),"HANAWAN FARMERS ASSOCIATION (HANFA)")</f>
        <v>HANAWAN FARMERS ASSOCIATION (HANFA)</v>
      </c>
      <c r="E1583" s="71" t="str">
        <f>IFERROR(__xludf.DUMMYFUNCTION("""COMPUTED_VALUE"""),"Hanawan, Ocampo, CAMARINES SUR")</f>
        <v>Hanawan, Ocampo, CAMARINES SUR</v>
      </c>
      <c r="F1583" s="2" t="str">
        <f>IFERROR(__xludf.DUMMYFUNCTION("""COMPUTED_VALUE"""),"Ivy C.Fabricante ")</f>
        <v>Ivy C.Fabricante </v>
      </c>
      <c r="G1583" s="2">
        <f>IFERROR(__xludf.DUMMYFUNCTION("""COMPUTED_VALUE"""),9.386159507E9)</f>
        <v>9386159507</v>
      </c>
      <c r="H1583" s="2">
        <f>IFERROR(__xludf.DUMMYFUNCTION("""COMPUTED_VALUE"""),45.0)</f>
        <v>45</v>
      </c>
      <c r="I1583" s="72" t="str">
        <f>IFERROR(__xludf.DUMMYFUNCTION("""COMPUTED_VALUE"""),"PMS")</f>
        <v>PMS</v>
      </c>
      <c r="J1583" s="72"/>
      <c r="K1583" s="72" t="str">
        <f>IFERROR(__xludf.DUMMYFUNCTION("""COMPUTED_VALUE"""),"MYK:1st PMS FREE")</f>
        <v>MYK:1st PMS FREE</v>
      </c>
      <c r="L1583" s="7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t="str">
        <f>IFERROR(__xludf.DUMMYFUNCTION("""COMPUTED_VALUE"""),"Hanawan")</f>
        <v>Hanawan</v>
      </c>
      <c r="AK1583" s="2" t="str">
        <f>IFERROR(__xludf.DUMMYFUNCTION("""COMPUTED_VALUE"""),"Ocampo")</f>
        <v>Ocampo</v>
      </c>
      <c r="AL1583" s="2" t="str">
        <f>IFERROR(__xludf.DUMMYFUNCTION("""COMPUTED_VALUE"""),"Camarines Sur")</f>
        <v>Camarines Sur</v>
      </c>
      <c r="AM1583" s="2">
        <f>IFERROR(__xludf.DUMMYFUNCTION("""COMPUTED_VALUE"""),5.0)</f>
        <v>5</v>
      </c>
      <c r="AN1583" s="2" t="str">
        <f>IFERROR(__xludf.DUMMYFUNCTION("""COMPUTED_VALUE"""),"RCEF 25-03-05")</f>
        <v>RCEF 25-03-05</v>
      </c>
      <c r="AO1583" s="2">
        <f>IFERROR(__xludf.DUMMYFUNCTION("""COMPUTED_VALUE"""),6.0)</f>
        <v>6</v>
      </c>
      <c r="AP1583" s="2" t="str">
        <f>IFERROR(__xludf.DUMMYFUNCTION("""COMPUTED_VALUE"""),"FREE PMS")</f>
        <v>FREE PMS</v>
      </c>
      <c r="AQ1583" s="2"/>
      <c r="AR1583" s="2"/>
      <c r="AS1583" s="2"/>
      <c r="AT1583" s="2"/>
      <c r="AU1583" s="2"/>
      <c r="AV1583" s="2"/>
      <c r="AW1583" s="2"/>
      <c r="AX1583" s="2"/>
      <c r="AY1583" s="2"/>
      <c r="AZ1583" s="2"/>
      <c r="BA1583" s="2"/>
      <c r="BB1583" s="2"/>
    </row>
    <row r="1584">
      <c r="A1584" s="2">
        <f>IFERROR(__xludf.DUMMYFUNCTION("""COMPUTED_VALUE"""),1580.0)</f>
        <v>1580</v>
      </c>
      <c r="B1584" s="2" t="str">
        <f>IFERROR(__xludf.DUMMYFUNCTION("""COMPUTED_VALUE"""),"COMPLETED")</f>
        <v>COMPLETED</v>
      </c>
      <c r="C1584" s="78">
        <f>IFERROR(__xludf.DUMMYFUNCTION("""COMPUTED_VALUE"""),46122.0)</f>
        <v>46122</v>
      </c>
      <c r="D1584" s="71" t="str">
        <f>IFERROR(__xludf.DUMMYFUNCTION("""COMPUTED_VALUE"""),"PEÑARANDA ORGANIC AGRICULTURE FARMERS ASSOCIATION")</f>
        <v>PEÑARANDA ORGANIC AGRICULTURE FARMERS ASSOCIATION</v>
      </c>
      <c r="E1584" s="71" t="str">
        <f>IFERROR(__xludf.DUMMYFUNCTION("""COMPUTED_VALUE"""),"San Josef, Penaranda, NUEVA ECIJA")</f>
        <v>San Josef, Penaranda, NUEVA ECIJA</v>
      </c>
      <c r="F1584" s="2" t="str">
        <f>IFERROR(__xludf.DUMMYFUNCTION("""COMPUTED_VALUE"""),"Isidro Ison")</f>
        <v>Isidro Ison</v>
      </c>
      <c r="G1584" s="2">
        <f>IFERROR(__xludf.DUMMYFUNCTION("""COMPUTED_VALUE"""),9.692617926E9)</f>
        <v>9692617926</v>
      </c>
      <c r="H1584" s="2">
        <f>IFERROR(__xludf.DUMMYFUNCTION("""COMPUTED_VALUE"""),45.0)</f>
        <v>45</v>
      </c>
      <c r="I1584" s="72" t="str">
        <f>IFERROR(__xludf.DUMMYFUNCTION("""COMPUTED_VALUE"""),"PMS")</f>
        <v>PMS</v>
      </c>
      <c r="J1584" s="72"/>
      <c r="K1584" s="72" t="str">
        <f>IFERROR(__xludf.DUMMYFUNCTION("""COMPUTED_VALUE"""),"MYK: 1ST PMS FREE")</f>
        <v>MYK: 1ST PMS FREE</v>
      </c>
      <c r="L1584" s="72" t="str">
        <f>IFERROR(__xludf.DUMMYFUNCTION("""COMPUTED_VALUE"""),"ECM: 4/10/26: JHP/DRM  -  DAANAN TODAY
DRM: 1ST PMS DONE")</f>
        <v>ECM: 4/10/26: JHP/DRM  -  DAANAN TODAY
DRM: 1ST PMS DONE</v>
      </c>
      <c r="M1584" s="2"/>
      <c r="N1584" s="2" t="str">
        <f>IFERROR(__xludf.DUMMYFUNCTION("""COMPUTED_VALUE"""),"PARTS:
OIL FILTER
ENGINE OIL")</f>
        <v>PARTS:
OIL FILTER
ENGINE OIL</v>
      </c>
      <c r="O1584" s="2">
        <f>IFERROR(__xludf.DUMMYFUNCTION("""COMPUTED_VALUE"""),680.0)</f>
        <v>680</v>
      </c>
      <c r="P1584" s="2"/>
      <c r="Q1584" s="2" t="str">
        <f>IFERROR(__xludf.DUMMYFUNCTION("""COMPUTED_VALUE"""),"FOR PRINT")</f>
        <v>FOR PRINT</v>
      </c>
      <c r="R1584" s="74">
        <f>IFERROR(__xludf.DUMMYFUNCTION("""COMPUTED_VALUE"""),46122.0)</f>
        <v>46122</v>
      </c>
      <c r="S1584" s="2" t="str">
        <f>IFERROR(__xludf.DUMMYFUNCTION("""COMPUTED_VALUE"""),"JHP")</f>
        <v>JHP</v>
      </c>
      <c r="T1584" s="73" t="str">
        <f>IFERROR(__xludf.DUMMYFUNCTION("""COMPUTED_VALUE""")," N/A ")</f>
        <v>N/A</v>
      </c>
      <c r="U1584" s="73" t="str">
        <f>IFERROR(__xludf.DUMMYFUNCTION("""COMPUTED_VALUE""")," NO CHARGE ")</f>
        <v>NO CHARGE</v>
      </c>
      <c r="V1584" s="2">
        <f>IFERROR(__xludf.DUMMYFUNCTION("""COMPUTED_VALUE"""),1708.0)</f>
        <v>1708</v>
      </c>
      <c r="W1584" s="2"/>
      <c r="X1584" s="2"/>
      <c r="Y1584" s="2"/>
      <c r="Z1584" s="2"/>
      <c r="AA1584" s="2"/>
      <c r="AB1584" s="2"/>
      <c r="AC1584" s="2"/>
      <c r="AD1584" s="2"/>
      <c r="AE1584" s="2"/>
      <c r="AF1584" s="2"/>
      <c r="AG1584" s="2"/>
      <c r="AH1584" s="2"/>
      <c r="AI1584" s="2"/>
      <c r="AJ1584" s="2" t="str">
        <f>IFERROR(__xludf.DUMMYFUNCTION("""COMPUTED_VALUE"""),"San Josef")</f>
        <v>San Josef</v>
      </c>
      <c r="AK1584" s="2" t="str">
        <f>IFERROR(__xludf.DUMMYFUNCTION("""COMPUTED_VALUE"""),"Penaranda")</f>
        <v>Penaranda</v>
      </c>
      <c r="AL1584" s="2" t="str">
        <f>IFERROR(__xludf.DUMMYFUNCTION("""COMPUTED_VALUE"""),"Nueva Ecija")</f>
        <v>Nueva Ecija</v>
      </c>
      <c r="AM1584" s="2">
        <f>IFERROR(__xludf.DUMMYFUNCTION("""COMPUTED_VALUE"""),3.0)</f>
        <v>3</v>
      </c>
      <c r="AN1584" s="2" t="str">
        <f>IFERROR(__xludf.DUMMYFUNCTION("""COMPUTED_VALUE"""),"RCEF 25-03-05")</f>
        <v>RCEF 25-03-05</v>
      </c>
      <c r="AO1584" s="2">
        <f>IFERROR(__xludf.DUMMYFUNCTION("""COMPUTED_VALUE"""),5.0)</f>
        <v>5</v>
      </c>
      <c r="AP1584" s="2" t="str">
        <f>IFERROR(__xludf.DUMMYFUNCTION("""COMPUTED_VALUE"""),"FREE PMS")</f>
        <v>FREE PMS</v>
      </c>
      <c r="AQ1584" s="2"/>
      <c r="AR1584" s="2"/>
      <c r="AS1584" s="2"/>
      <c r="AT1584" s="2"/>
      <c r="AU1584" s="2"/>
      <c r="AV1584" s="2"/>
      <c r="AW1584" s="2"/>
      <c r="AX1584" s="2"/>
      <c r="AY1584" s="2"/>
      <c r="AZ1584" s="2"/>
      <c r="BA1584" s="2"/>
      <c r="BB1584" s="2"/>
    </row>
    <row r="1585">
      <c r="A1585" s="2">
        <f>IFERROR(__xludf.DUMMYFUNCTION("""COMPUTED_VALUE"""),1581.0)</f>
        <v>1581</v>
      </c>
      <c r="B1585" s="2" t="str">
        <f>IFERROR(__xludf.DUMMYFUNCTION("""COMPUTED_VALUE"""),"COMPLETED")</f>
        <v>COMPLETED</v>
      </c>
      <c r="C1585" s="78">
        <f>IFERROR(__xludf.DUMMYFUNCTION("""COMPUTED_VALUE"""),46122.0)</f>
        <v>46122</v>
      </c>
      <c r="D1585" s="71" t="str">
        <f>IFERROR(__xludf.DUMMYFUNCTION("""COMPUTED_VALUE"""),"NASUGBU BATANGAS CENTRAL IRRIGATORS ASSOCIATION INC.")</f>
        <v>NASUGBU BATANGAS CENTRAL IRRIGATORS ASSOCIATION INC.</v>
      </c>
      <c r="E1585" s="71" t="str">
        <f>IFERROR(__xludf.DUMMYFUNCTION("""COMPUTED_VALUE"""),"Putat, Nasugbu, BATANGAS")</f>
        <v>Putat, Nasugbu, BATANGAS</v>
      </c>
      <c r="F1585" s="2" t="str">
        <f>IFERROR(__xludf.DUMMYFUNCTION("""COMPUTED_VALUE"""),"Andrew Sumanguid")</f>
        <v>Andrew Sumanguid</v>
      </c>
      <c r="G1585" s="2"/>
      <c r="H1585" s="2">
        <f>IFERROR(__xludf.DUMMYFUNCTION("""COMPUTED_VALUE"""),47.6)</f>
        <v>47.6</v>
      </c>
      <c r="I1585" s="72" t="str">
        <f>IFERROR(__xludf.DUMMYFUNCTION("""COMPUTED_VALUE"""),"PMS")</f>
        <v>PMS</v>
      </c>
      <c r="J1585" s="72"/>
      <c r="K1585" s="72" t="str">
        <f>IFERROR(__xludf.DUMMYFUNCTION("""COMPUTED_VALUE"""),"RBS: 1ST PMS FREE")</f>
        <v>RBS: 1ST PMS FREE</v>
      </c>
      <c r="L1585" s="72" t="str">
        <f>IFERROR(__xludf.DUMMYFUNCTION("""COMPUTED_VALUE"""),"RBS: 1ST PSM DONE")</f>
        <v>RBS: 1ST PSM DONE</v>
      </c>
      <c r="M1585" s="2"/>
      <c r="N1585" s="2" t="str">
        <f>IFERROR(__xludf.DUMMYFUNCTION("""COMPUTED_VALUE"""),"PARTS:
OIL FILTER
ENGINE OIL")</f>
        <v>PARTS:
OIL FILTER
ENGINE OIL</v>
      </c>
      <c r="O1585" s="2">
        <f>IFERROR(__xludf.DUMMYFUNCTION("""COMPUTED_VALUE"""),618.0)</f>
        <v>618</v>
      </c>
      <c r="P1585" s="2"/>
      <c r="Q1585" s="2" t="str">
        <f>IFERROR(__xludf.DUMMYFUNCTION("""COMPUTED_VALUE"""),"FOR PRINT")</f>
        <v>FOR PRINT</v>
      </c>
      <c r="R1585" s="74">
        <f>IFERROR(__xludf.DUMMYFUNCTION("""COMPUTED_VALUE"""),46125.0)</f>
        <v>46125</v>
      </c>
      <c r="S1585" s="2" t="str">
        <f>IFERROR(__xludf.DUMMYFUNCTION("""COMPUTED_VALUE"""),"RBS")</f>
        <v>RBS</v>
      </c>
      <c r="T1585" s="73" t="str">
        <f>IFERROR(__xludf.DUMMYFUNCTION("""COMPUTED_VALUE""")," N/A ")</f>
        <v>N/A</v>
      </c>
      <c r="U1585" s="73" t="str">
        <f>IFERROR(__xludf.DUMMYFUNCTION("""COMPUTED_VALUE""")," NO CHARGE ")</f>
        <v>NO CHARGE</v>
      </c>
      <c r="V1585" s="2" t="str">
        <f>IFERROR(__xludf.DUMMYFUNCTION("""COMPUTED_VALUE"""),"NO DR")</f>
        <v>NO DR</v>
      </c>
      <c r="W1585" s="2" t="str">
        <f>IFERROR(__xludf.DUMMYFUNCTION("""COMPUTED_VALUE"""),"N/A")</f>
        <v>N/A</v>
      </c>
      <c r="X1585" s="2" t="str">
        <f>IFERROR(__xludf.DUMMYFUNCTION("""COMPUTED_VALUE"""),"N/A")</f>
        <v>N/A</v>
      </c>
      <c r="Y1585" s="2"/>
      <c r="Z1585" s="2"/>
      <c r="AA1585" s="2"/>
      <c r="AB1585" s="2"/>
      <c r="AC1585" s="2"/>
      <c r="AD1585" s="2"/>
      <c r="AE1585" s="2"/>
      <c r="AF1585" s="2"/>
      <c r="AG1585" s="2"/>
      <c r="AH1585" s="2"/>
      <c r="AI1585" s="2"/>
      <c r="AJ1585" s="2" t="str">
        <f>IFERROR(__xludf.DUMMYFUNCTION("""COMPUTED_VALUE"""),"Putat")</f>
        <v>Putat</v>
      </c>
      <c r="AK1585" s="2" t="str">
        <f>IFERROR(__xludf.DUMMYFUNCTION("""COMPUTED_VALUE"""),"Nasugbu")</f>
        <v>Nasugbu</v>
      </c>
      <c r="AL1585" s="2" t="str">
        <f>IFERROR(__xludf.DUMMYFUNCTION("""COMPUTED_VALUE"""),"Batangas")</f>
        <v>Batangas</v>
      </c>
      <c r="AM1585" s="2" t="str">
        <f>IFERROR(__xludf.DUMMYFUNCTION("""COMPUTED_VALUE"""),"4A")</f>
        <v>4A</v>
      </c>
      <c r="AN1585" s="2" t="str">
        <f>IFERROR(__xludf.DUMMYFUNCTION("""COMPUTED_VALUE"""),"RCEF 25-03-05")</f>
        <v>RCEF 25-03-05</v>
      </c>
      <c r="AO1585" s="2">
        <f>IFERROR(__xludf.DUMMYFUNCTION("""COMPUTED_VALUE"""),7.0)</f>
        <v>7</v>
      </c>
      <c r="AP1585" s="2" t="str">
        <f>IFERROR(__xludf.DUMMYFUNCTION("""COMPUTED_VALUE"""),"FREE PMS")</f>
        <v>FREE PMS</v>
      </c>
      <c r="AQ1585" s="2"/>
      <c r="AR1585" s="2"/>
      <c r="AS1585" s="2"/>
      <c r="AT1585" s="2"/>
      <c r="AU1585" s="2"/>
      <c r="AV1585" s="2"/>
      <c r="AW1585" s="2"/>
      <c r="AX1585" s="2"/>
      <c r="AY1585" s="2"/>
      <c r="AZ1585" s="2"/>
      <c r="BA1585" s="2"/>
      <c r="BB1585" s="2"/>
    </row>
    <row r="1586">
      <c r="A1586" s="2">
        <f>IFERROR(__xludf.DUMMYFUNCTION("""COMPUTED_VALUE"""),1582.0)</f>
        <v>1582</v>
      </c>
      <c r="B1586" s="2" t="str">
        <f>IFERROR(__xludf.DUMMYFUNCTION("""COMPUTED_VALUE"""),"COMPLETED")</f>
        <v>COMPLETED</v>
      </c>
      <c r="C1586" s="74">
        <f>IFERROR(__xludf.DUMMYFUNCTION("""COMPUTED_VALUE"""),46124.0)</f>
        <v>46124</v>
      </c>
      <c r="D1586" s="71" t="str">
        <f>IFERROR(__xludf.DUMMYFUNCTION("""COMPUTED_VALUE"""),"SANMAGBA IRRIGATOR'S ASSOCIATION")</f>
        <v>SANMAGBA IRRIGATOR'S ASSOCIATION</v>
      </c>
      <c r="E1586" s="71" t="str">
        <f>IFERROR(__xludf.DUMMYFUNCTION("""COMPUTED_VALUE"""),"San Diego, Alangalang, LEYTE")</f>
        <v>San Diego, Alangalang, LEYTE</v>
      </c>
      <c r="F1586" s="2" t="str">
        <f>IFERROR(__xludf.DUMMYFUNCTION("""COMPUTED_VALUE"""),"JANITO SABELA")</f>
        <v>JANITO SABELA</v>
      </c>
      <c r="G1586" s="2">
        <f>IFERROR(__xludf.DUMMYFUNCTION("""COMPUTED_VALUE"""),9.974052054E9)</f>
        <v>9974052054</v>
      </c>
      <c r="H1586" s="2">
        <f>IFERROR(__xludf.DUMMYFUNCTION("""COMPUTED_VALUE"""),46.4)</f>
        <v>46.4</v>
      </c>
      <c r="I1586" s="72" t="str">
        <f>IFERROR(__xludf.DUMMYFUNCTION("""COMPUTED_VALUE"""),"PMS")</f>
        <v>PMS</v>
      </c>
      <c r="J1586" s="72"/>
      <c r="K1586" s="72" t="str">
        <f>IFERROR(__xludf.DUMMYFUNCTION("""COMPUTED_VALUE"""),"FPJ: 1ST PSM FREE")</f>
        <v>FPJ: 1ST PSM FREE</v>
      </c>
      <c r="L1586" s="72" t="str">
        <f>IFERROR(__xludf.DUMMYFUNCTION("""COMPUTED_VALUE"""),"FPJ: 1ST PSM DONE")</f>
        <v>FPJ: 1ST PSM DONE</v>
      </c>
      <c r="M1586" s="2"/>
      <c r="N1586" s="2" t="str">
        <f>IFERROR(__xludf.DUMMYFUNCTION("""COMPUTED_VALUE"""),"PARTS:
OIL FILTER
ENGINE OIL
2 - HYDRAULIC FILTER")</f>
        <v>PARTS:
OIL FILTER
ENGINE OIL
2 - HYDRAULIC FILTER</v>
      </c>
      <c r="O1586" s="2">
        <f>IFERROR(__xludf.DUMMYFUNCTION("""COMPUTED_VALUE"""),262.0)</f>
        <v>262</v>
      </c>
      <c r="P1586" s="2"/>
      <c r="Q1586" s="2" t="str">
        <f>IFERROR(__xludf.DUMMYFUNCTION("""COMPUTED_VALUE"""),"FOR PRINT")</f>
        <v>FOR PRINT</v>
      </c>
      <c r="R1586" s="74">
        <f>IFERROR(__xludf.DUMMYFUNCTION("""COMPUTED_VALUE"""),46124.0)</f>
        <v>46124</v>
      </c>
      <c r="S1586" s="2" t="str">
        <f>IFERROR(__xludf.DUMMYFUNCTION("""COMPUTED_VALUE"""),"FPJ/JAH")</f>
        <v>FPJ/JAH</v>
      </c>
      <c r="T1586" s="73">
        <f>IFERROR(__xludf.DUMMYFUNCTION("""COMPUTED_VALUE"""),5674.0)</f>
        <v>5674</v>
      </c>
      <c r="U1586" s="73" t="str">
        <f>IFERROR(__xludf.DUMMYFUNCTION("""COMPUTED_VALUE""")," FOR REMIT ")</f>
        <v>FOR REMIT</v>
      </c>
      <c r="V1586" s="2">
        <f>IFERROR(__xludf.DUMMYFUNCTION("""COMPUTED_VALUE"""),1560.0)</f>
        <v>1560</v>
      </c>
      <c r="W1586" s="2">
        <f>IFERROR(__xludf.DUMMYFUNCTION("""COMPUTED_VALUE"""),2109.0)</f>
        <v>2109</v>
      </c>
      <c r="X1586" s="2"/>
      <c r="Y1586" s="2"/>
      <c r="Z1586" s="2"/>
      <c r="AA1586" s="2"/>
      <c r="AB1586" s="2"/>
      <c r="AC1586" s="2"/>
      <c r="AD1586" s="2"/>
      <c r="AE1586" s="2"/>
      <c r="AF1586" s="2"/>
      <c r="AG1586" s="2"/>
      <c r="AH1586" s="2"/>
      <c r="AI1586" s="2"/>
      <c r="AJ1586" s="2" t="str">
        <f>IFERROR(__xludf.DUMMYFUNCTION("""COMPUTED_VALUE"""),"San Diego")</f>
        <v>San Diego</v>
      </c>
      <c r="AK1586" s="2" t="str">
        <f>IFERROR(__xludf.DUMMYFUNCTION("""COMPUTED_VALUE"""),"Alangalang")</f>
        <v>Alangalang</v>
      </c>
      <c r="AL1586" s="2" t="str">
        <f>IFERROR(__xludf.DUMMYFUNCTION("""COMPUTED_VALUE"""),"Leyte")</f>
        <v>Leyte</v>
      </c>
      <c r="AM1586" s="2">
        <f>IFERROR(__xludf.DUMMYFUNCTION("""COMPUTED_VALUE"""),8.0)</f>
        <v>8</v>
      </c>
      <c r="AN1586" s="2" t="str">
        <f>IFERROR(__xludf.DUMMYFUNCTION("""COMPUTED_VALUE"""),"RCEF 25-03-05")</f>
        <v>RCEF 25-03-05</v>
      </c>
      <c r="AO1586" s="2">
        <f>IFERROR(__xludf.DUMMYFUNCTION("""COMPUTED_VALUE"""),7.0)</f>
        <v>7</v>
      </c>
      <c r="AP1586" s="2" t="str">
        <f>IFERROR(__xludf.DUMMYFUNCTION("""COMPUTED_VALUE"""),"FREE PMS")</f>
        <v>FREE PMS</v>
      </c>
      <c r="AQ1586" s="2"/>
      <c r="AR1586" s="2"/>
      <c r="AS1586" s="2"/>
      <c r="AT1586" s="2"/>
      <c r="AU1586" s="2"/>
      <c r="AV1586" s="2"/>
      <c r="AW1586" s="2"/>
      <c r="AX1586" s="2"/>
      <c r="AY1586" s="2"/>
      <c r="AZ1586" s="2"/>
      <c r="BA1586" s="2"/>
      <c r="BB1586" s="2"/>
    </row>
    <row r="1587">
      <c r="A1587" s="2">
        <f>IFERROR(__xludf.DUMMYFUNCTION("""COMPUTED_VALUE"""),1583.0)</f>
        <v>1583</v>
      </c>
      <c r="B1587" s="2" t="str">
        <f>IFERROR(__xludf.DUMMYFUNCTION("""COMPUTED_VALUE"""),"COMPLETED")</f>
        <v>COMPLETED</v>
      </c>
      <c r="C1587" s="78">
        <f>IFERROR(__xludf.DUMMYFUNCTION("""COMPUTED_VALUE"""),46125.0)</f>
        <v>46125</v>
      </c>
      <c r="D1587" s="71" t="str">
        <f>IFERROR(__xludf.DUMMYFUNCTION("""COMPUTED_VALUE"""),"WEST DULLAO FARMERS ASSOCIATIN IN.,")</f>
        <v>WEST DULLAO FARMERS ASSOCIATIN IN.,</v>
      </c>
      <c r="E1587" s="71" t="str">
        <f>IFERROR(__xludf.DUMMYFUNCTION("""COMPUTED_VALUE"""),"Dullao, Bambang, Nueva Vizcaya")</f>
        <v>Dullao, Bambang, Nueva Vizcaya</v>
      </c>
      <c r="F1587" s="2" t="str">
        <f>IFERROR(__xludf.DUMMYFUNCTION("""COMPUTED_VALUE"""),"Pots Gamboa")</f>
        <v>Pots Gamboa</v>
      </c>
      <c r="G1587" s="2">
        <f>IFERROR(__xludf.DUMMYFUNCTION("""COMPUTED_VALUE"""),9.757956021E9)</f>
        <v>9757956021</v>
      </c>
      <c r="H1587" s="2"/>
      <c r="I1587" s="72" t="str">
        <f>IFERROR(__xludf.DUMMYFUNCTION("""COMPUTED_VALUE"""),"SPARE PARTS ACQUISITION")</f>
        <v>SPARE PARTS ACQUISITION</v>
      </c>
      <c r="J1587" s="72"/>
      <c r="K1587" s="72" t="str">
        <f>IFERROR(__xludf.DUMMYFUNCTION("""COMPUTED_VALUE"""),"MYK: OIL SEAL ON FRONT DRIVE (w/ picture)
 to confirm part name and part code")</f>
        <v>MYK: OIL SEAL ON FRONT DRIVE (w/ picture)
 to confirm part name and part code</v>
      </c>
      <c r="L1587" s="72" t="str">
        <f>IFERROR(__xludf.DUMMYFUNCTION("""COMPUTED_VALUE"""),"QUOTATION SENT - PAID TO LTC ACCOUNT - SHIPPED")</f>
        <v>QUOTATION SENT - PAID TO LTC ACCOUNT - SHIPPED</v>
      </c>
      <c r="M1587" s="2" t="str">
        <f>IFERROR(__xludf.DUMMYFUNCTION("""COMPUTED_VALUE"""),"OIL SEAL 24421-405508")</f>
        <v>OIL SEAL 24421-405508</v>
      </c>
      <c r="N1587" s="2" t="str">
        <f>IFERROR(__xludf.DUMMYFUNCTION("""COMPUTED_VALUE"""),"PARTS:
OIL SEAL 24421-405508")</f>
        <v>PARTS:
OIL SEAL 24421-405508</v>
      </c>
      <c r="O1587" s="2" t="str">
        <f>IFERROR(__xludf.DUMMYFUNCTION("""COMPUTED_VALUE"""),"N/A")</f>
        <v>N/A</v>
      </c>
      <c r="P1587" s="2"/>
      <c r="Q1587" s="2"/>
      <c r="R1587" s="74">
        <f>IFERROR(__xludf.DUMMYFUNCTION("""COMPUTED_VALUE"""),46129.0)</f>
        <v>46129</v>
      </c>
      <c r="S1587" s="2" t="str">
        <f>IFERROR(__xludf.DUMMYFUNCTION("""COMPUTED_VALUE"""),"MYK/CTF")</f>
        <v>MYK/CTF</v>
      </c>
      <c r="T1587" s="73">
        <f>IFERROR(__xludf.DUMMYFUNCTION("""COMPUTED_VALUE"""),350.0)</f>
        <v>350</v>
      </c>
      <c r="U1587" s="73" t="str">
        <f>IFERROR(__xludf.DUMMYFUNCTION("""COMPUTED_VALUE""")," RECORDED ")</f>
        <v>RECORDED</v>
      </c>
      <c r="V1587" s="2">
        <f>IFERROR(__xludf.DUMMYFUNCTION("""COMPUTED_VALUE"""),1548.0)</f>
        <v>1548</v>
      </c>
      <c r="W1587" s="2">
        <f>IFERROR(__xludf.DUMMYFUNCTION("""COMPUTED_VALUE"""),2065.0)</f>
        <v>2065</v>
      </c>
      <c r="X1587" s="2" t="str">
        <f>IFERROR(__xludf.DUMMYFUNCTION("""COMPUTED_VALUE"""),"1758 - DIRECT PAYMENT")</f>
        <v>1758 - DIRECT PAYMENT</v>
      </c>
      <c r="Y1587" s="2"/>
      <c r="Z1587" s="2"/>
      <c r="AA1587" s="2"/>
      <c r="AB1587" s="2"/>
      <c r="AC1587" s="2"/>
      <c r="AD1587" s="2"/>
      <c r="AE1587" s="2"/>
      <c r="AF1587" s="2"/>
      <c r="AG1587" s="2"/>
      <c r="AH1587" s="2"/>
      <c r="AI1587" s="2"/>
      <c r="AJ1587" s="2" t="str">
        <f>IFERROR(__xludf.DUMMYFUNCTION("""COMPUTED_VALUE"""),"Dullao")</f>
        <v>Dullao</v>
      </c>
      <c r="AK1587" s="2" t="str">
        <f>IFERROR(__xludf.DUMMYFUNCTION("""COMPUTED_VALUE"""),"Bambang")</f>
        <v>Bambang</v>
      </c>
      <c r="AL1587" s="2" t="str">
        <f>IFERROR(__xludf.DUMMYFUNCTION("""COMPUTED_VALUE"""),"Nueva Vizcaya")</f>
        <v>Nueva Vizcaya</v>
      </c>
      <c r="AM1587" s="2">
        <f>IFERROR(__xludf.DUMMYFUNCTION("""COMPUTED_VALUE"""),2.0)</f>
        <v>2</v>
      </c>
      <c r="AN1587" s="2" t="str">
        <f>IFERROR(__xludf.DUMMYFUNCTION("""COMPUTED_VALUE"""),"RCEF 23-09-21 Rebidding")</f>
        <v>RCEF 23-09-21 Rebidding</v>
      </c>
      <c r="AO1587" s="2">
        <f>IFERROR(__xludf.DUMMYFUNCTION("""COMPUTED_VALUE"""),9.0)</f>
        <v>9</v>
      </c>
      <c r="AP1587" s="2"/>
      <c r="AQ1587" s="2"/>
      <c r="AR1587" s="2"/>
      <c r="AS1587" s="2"/>
      <c r="AT1587" s="2"/>
      <c r="AU1587" s="2"/>
      <c r="AV1587" s="2"/>
      <c r="AW1587" s="2"/>
      <c r="AX1587" s="2"/>
      <c r="AY1587" s="2"/>
      <c r="AZ1587" s="2"/>
      <c r="BA1587" s="2"/>
      <c r="BB1587" s="2"/>
    </row>
    <row r="1588">
      <c r="A1588" s="2">
        <f>IFERROR(__xludf.DUMMYFUNCTION("""COMPUTED_VALUE"""),1584.0)</f>
        <v>1584</v>
      </c>
      <c r="B1588" s="2" t="str">
        <f>IFERROR(__xludf.DUMMYFUNCTION("""COMPUTED_VALUE"""),"COMPLETED")</f>
        <v>COMPLETED</v>
      </c>
      <c r="C1588" s="78">
        <f>IFERROR(__xludf.DUMMYFUNCTION("""COMPUTED_VALUE"""),46125.0)</f>
        <v>46125</v>
      </c>
      <c r="D1588" s="71" t="str">
        <f>IFERROR(__xludf.DUMMYFUNCTION("""COMPUTED_VALUE"""),"San Pedro United Farmers Association")</f>
        <v>San Pedro United Farmers Association</v>
      </c>
      <c r="E1588" s="71" t="str">
        <f>IFERROR(__xludf.DUMMYFUNCTION("""COMPUTED_VALUE"""),"San Pedro, Pilar, CAPIZ")</f>
        <v>San Pedro, Pilar, CAPIZ</v>
      </c>
      <c r="F1588" s="2" t="str">
        <f>IFERROR(__xludf.DUMMYFUNCTION("""COMPUTED_VALUE"""),"Ronnie Muyco")</f>
        <v>Ronnie Muyco</v>
      </c>
      <c r="G1588" s="2">
        <f>IFERROR(__xludf.DUMMYFUNCTION("""COMPUTED_VALUE"""),9.613080999E9)</f>
        <v>9613080999</v>
      </c>
      <c r="H1588" s="2"/>
      <c r="I1588" s="72" t="str">
        <f>IFERROR(__xludf.DUMMYFUNCTION("""COMPUTED_VALUE"""),"SPARE PARTS ACQUISITION")</f>
        <v>SPARE PARTS ACQUISITION</v>
      </c>
      <c r="J1588" s="72"/>
      <c r="K1588" s="72" t="str">
        <f>IFERROR(__xludf.DUMMYFUNCTION("""COMPUTED_VALUE"""),"MYK: 1- OIL SEAL FE78010000B")</f>
        <v>MYK: 1- OIL SEAL FE78010000B</v>
      </c>
      <c r="L1588" s="72" t="str">
        <f>IFERROR(__xludf.DUMMYFUNCTION("""COMPUTED_VALUE"""),"QUOTATION SENT - PAID TO LTC ACCOUNT - SHIPPED")</f>
        <v>QUOTATION SENT - PAID TO LTC ACCOUNT - SHIPPED</v>
      </c>
      <c r="M1588" s="2"/>
      <c r="N1588" s="2" t="str">
        <f>IFERROR(__xludf.DUMMYFUNCTION("""COMPUTED_VALUE"""),"1- OIL SEAL FE78010000B")</f>
        <v>1- OIL SEAL FE78010000B</v>
      </c>
      <c r="O1588" s="2" t="str">
        <f>IFERROR(__xludf.DUMMYFUNCTION("""COMPUTED_VALUE"""),"N/A")</f>
        <v>N/A</v>
      </c>
      <c r="P1588" s="2"/>
      <c r="Q1588" s="2"/>
      <c r="R1588" s="74">
        <f>IFERROR(__xludf.DUMMYFUNCTION("""COMPUTED_VALUE"""),46125.0)</f>
        <v>46125</v>
      </c>
      <c r="S1588" s="2" t="str">
        <f>IFERROR(__xludf.DUMMYFUNCTION("""COMPUTED_VALUE"""),"MYK/CTF")</f>
        <v>MYK/CTF</v>
      </c>
      <c r="T1588" s="73">
        <f>IFERROR(__xludf.DUMMYFUNCTION("""COMPUTED_VALUE"""),1910.0)</f>
        <v>1910</v>
      </c>
      <c r="U1588" s="73" t="str">
        <f>IFERROR(__xludf.DUMMYFUNCTION("""COMPUTED_VALUE""")," REMITTED ")</f>
        <v>REMITTED</v>
      </c>
      <c r="V1588" s="2">
        <f>IFERROR(__xludf.DUMMYFUNCTION("""COMPUTED_VALUE"""),1544.0)</f>
        <v>1544</v>
      </c>
      <c r="W1588" s="2">
        <f>IFERROR(__xludf.DUMMYFUNCTION("""COMPUTED_VALUE"""),2061.0)</f>
        <v>2061</v>
      </c>
      <c r="X1588" s="2" t="str">
        <f>IFERROR(__xludf.DUMMYFUNCTION("""COMPUTED_VALUE"""),"1772 - DIRECT DEPOSIT")</f>
        <v>1772 - DIRECT DEPOSIT</v>
      </c>
      <c r="Y1588" s="2"/>
      <c r="Z1588" s="2"/>
      <c r="AA1588" s="2"/>
      <c r="AB1588" s="2"/>
      <c r="AC1588" s="2"/>
      <c r="AD1588" s="2"/>
      <c r="AE1588" s="2"/>
      <c r="AF1588" s="2"/>
      <c r="AG1588" s="2"/>
      <c r="AH1588" s="2"/>
      <c r="AI1588" s="2"/>
      <c r="AJ1588" s="2" t="str">
        <f>IFERROR(__xludf.DUMMYFUNCTION("""COMPUTED_VALUE"""),"San Pedro")</f>
        <v>San Pedro</v>
      </c>
      <c r="AK1588" s="2" t="str">
        <f>IFERROR(__xludf.DUMMYFUNCTION("""COMPUTED_VALUE"""),"Pilar")</f>
        <v>Pilar</v>
      </c>
      <c r="AL1588" s="2" t="str">
        <f>IFERROR(__xludf.DUMMYFUNCTION("""COMPUTED_VALUE"""),"Capiz")</f>
        <v>Capiz</v>
      </c>
      <c r="AM1588" s="2">
        <f>IFERROR(__xludf.DUMMYFUNCTION("""COMPUTED_VALUE"""),6.0)</f>
        <v>6</v>
      </c>
      <c r="AN1588" s="2" t="str">
        <f>IFERROR(__xludf.DUMMYFUNCTION("""COMPUTED_VALUE"""),"RCEF 23-09-21 Rebidding")</f>
        <v>RCEF 23-09-21 Rebidding</v>
      </c>
      <c r="AO1588" s="2">
        <f>IFERROR(__xludf.DUMMYFUNCTION("""COMPUTED_VALUE"""),4.0)</f>
        <v>4</v>
      </c>
      <c r="AP1588" s="2"/>
      <c r="AQ1588" s="2"/>
      <c r="AR1588" s="2"/>
      <c r="AS1588" s="2"/>
      <c r="AT1588" s="2"/>
      <c r="AU1588" s="2"/>
      <c r="AV1588" s="2"/>
      <c r="AW1588" s="2"/>
      <c r="AX1588" s="2"/>
      <c r="AY1588" s="2"/>
      <c r="AZ1588" s="2"/>
      <c r="BA1588" s="2"/>
      <c r="BB1588" s="2"/>
    </row>
    <row r="1589">
      <c r="A1589" s="2">
        <f>IFERROR(__xludf.DUMMYFUNCTION("""COMPUTED_VALUE"""),1585.0)</f>
        <v>1585</v>
      </c>
      <c r="B1589" s="2" t="str">
        <f>IFERROR(__xludf.DUMMYFUNCTION("""COMPUTED_VALUE"""),"PENDING")</f>
        <v>PENDING</v>
      </c>
      <c r="C1589" s="78">
        <f>IFERROR(__xludf.DUMMYFUNCTION("""COMPUTED_VALUE"""),46125.0)</f>
        <v>46125</v>
      </c>
      <c r="D1589" s="71" t="str">
        <f>IFERROR(__xludf.DUMMYFUNCTION("""COMPUTED_VALUE"""),"Samahan ng mga Magsasaka ng Brgy. Sta. Remedios")</f>
        <v>Samahan ng mga Magsasaka ng Brgy. Sta. Remedios</v>
      </c>
      <c r="E1589" s="71" t="str">
        <f>IFERROR(__xludf.DUMMYFUNCTION("""COMPUTED_VALUE"""),"Santa Remedios, Bulan, SORSOGON")</f>
        <v>Santa Remedios, Bulan, SORSOGON</v>
      </c>
      <c r="F1589" s="2" t="str">
        <f>IFERROR(__xludf.DUMMYFUNCTION("""COMPUTED_VALUE"""),"Daniel Z. Ginga")</f>
        <v>Daniel Z. Ginga</v>
      </c>
      <c r="G1589" s="2">
        <f>IFERROR(__xludf.DUMMYFUNCTION("""COMPUTED_VALUE"""),9.978571666E9)</f>
        <v>9978571666</v>
      </c>
      <c r="H1589" s="2"/>
      <c r="I1589" s="72" t="str">
        <f>IFERROR(__xludf.DUMMYFUNCTION("""COMPUTED_VALUE"""),"REPAIR - LOADER")</f>
        <v>REPAIR - LOADER</v>
      </c>
      <c r="J1589" s="72" t="str">
        <f>IFERROR(__xludf.DUMMYFUNCTION("""COMPUTED_VALUE"""),"Cable lock")</f>
        <v>Cable lock</v>
      </c>
      <c r="K1589" s="72" t="str">
        <f>IFERROR(__xludf.DUMMYFUNCTION("""COMPUTED_VALUE"""),"FSJ: di na angat baba ang loader (cable lock damaged)")</f>
        <v>FSJ: di na angat baba ang loader (cable lock damaged)</v>
      </c>
      <c r="L1589" s="72"/>
      <c r="M1589" s="2" t="str">
        <f>IFERROR(__xludf.DUMMYFUNCTION("""COMPUTED_VALUE"""),"CABLE LOCK")</f>
        <v>CABLE LOCK</v>
      </c>
      <c r="N1589" s="2"/>
      <c r="O1589" s="2"/>
      <c r="P1589" s="2"/>
      <c r="Q1589" s="2"/>
      <c r="R1589" s="2"/>
      <c r="S1589" s="2"/>
      <c r="T1589" s="2"/>
      <c r="U1589" s="2"/>
      <c r="V1589" s="2"/>
      <c r="W1589" s="2"/>
      <c r="X1589" s="2"/>
      <c r="Y1589" s="2"/>
      <c r="Z1589" s="2"/>
      <c r="AA1589" s="2"/>
      <c r="AB1589" s="2"/>
      <c r="AC1589" s="2"/>
      <c r="AD1589" s="2"/>
      <c r="AE1589" s="2"/>
      <c r="AF1589" s="2"/>
      <c r="AG1589" s="2"/>
      <c r="AH1589" s="2"/>
      <c r="AI1589" s="2"/>
      <c r="AJ1589" s="2" t="str">
        <f>IFERROR(__xludf.DUMMYFUNCTION("""COMPUTED_VALUE"""),"Santa Remedios")</f>
        <v>Santa Remedios</v>
      </c>
      <c r="AK1589" s="2" t="str">
        <f>IFERROR(__xludf.DUMMYFUNCTION("""COMPUTED_VALUE"""),"Bulan")</f>
        <v>Bulan</v>
      </c>
      <c r="AL1589" s="2" t="str">
        <f>IFERROR(__xludf.DUMMYFUNCTION("""COMPUTED_VALUE"""),"Sorsogon")</f>
        <v>Sorsogon</v>
      </c>
      <c r="AM1589" s="2">
        <f>IFERROR(__xludf.DUMMYFUNCTION("""COMPUTED_VALUE"""),5.0)</f>
        <v>5</v>
      </c>
      <c r="AN1589" s="2" t="str">
        <f>IFERROR(__xludf.DUMMYFUNCTION("""COMPUTED_VALUE"""),"RCEF 25-03-05")</f>
        <v>RCEF 25-03-05</v>
      </c>
      <c r="AO1589" s="2">
        <f>IFERROR(__xludf.DUMMYFUNCTION("""COMPUTED_VALUE"""),6.0)</f>
        <v>6</v>
      </c>
      <c r="AP1589" s="2" t="str">
        <f>IFERROR(__xludf.DUMMYFUNCTION("""COMPUTED_VALUE"""),"FREE PMS")</f>
        <v>FREE PMS</v>
      </c>
      <c r="AQ1589" s="2"/>
      <c r="AR1589" s="2"/>
      <c r="AS1589" s="2"/>
      <c r="AT1589" s="2"/>
      <c r="AU1589" s="2"/>
      <c r="AV1589" s="2"/>
      <c r="AW1589" s="2"/>
      <c r="AX1589" s="2"/>
      <c r="AY1589" s="2"/>
      <c r="AZ1589" s="2"/>
      <c r="BA1589" s="2"/>
      <c r="BB1589" s="2"/>
    </row>
    <row r="1590">
      <c r="A1590" s="2">
        <f>IFERROR(__xludf.DUMMYFUNCTION("""COMPUTED_VALUE"""),1586.0)</f>
        <v>1586</v>
      </c>
      <c r="B1590" s="2" t="str">
        <f>IFERROR(__xludf.DUMMYFUNCTION("""COMPUTED_VALUE"""),"COMPLETED")</f>
        <v>COMPLETED</v>
      </c>
      <c r="C1590" s="74">
        <f>IFERROR(__xludf.DUMMYFUNCTION("""COMPUTED_VALUE"""),46125.0)</f>
        <v>46125</v>
      </c>
      <c r="D1590" s="71" t="str">
        <f>IFERROR(__xludf.DUMMYFUNCTION("""COMPUTED_VALUE"""),"PASAKAY-ASTORGA-SAN PEDRO-AMAHIT-CAN-ISAK IRRIGATORS ASSOCIATION (PASACA IA), INC.")</f>
        <v>PASAKAY-ASTORGA-SAN PEDRO-AMAHIT-CAN-ISAK IRRIGATORS ASSOCIATION (PASACA IA), INC.</v>
      </c>
      <c r="E1590" s="71" t="str">
        <f>IFERROR(__xludf.DUMMYFUNCTION("""COMPUTED_VALUE"""),"San Pedro, Tunga, LEYTE")</f>
        <v>San Pedro, Tunga, LEYTE</v>
      </c>
      <c r="F1590" s="2" t="str">
        <f>IFERROR(__xludf.DUMMYFUNCTION("""COMPUTED_VALUE"""),"NESTOR A. ESQUIBEL")</f>
        <v>NESTOR A. ESQUIBEL</v>
      </c>
      <c r="G1590" s="2">
        <f>IFERROR(__xludf.DUMMYFUNCTION("""COMPUTED_VALUE"""),9.501666096E9)</f>
        <v>9501666096</v>
      </c>
      <c r="H1590" s="2">
        <f>IFERROR(__xludf.DUMMYFUNCTION("""COMPUTED_VALUE"""),17.6)</f>
        <v>17.6</v>
      </c>
      <c r="I1590" s="72" t="str">
        <f>IFERROR(__xludf.DUMMYFUNCTION("""COMPUTED_VALUE"""),"PMS")</f>
        <v>PMS</v>
      </c>
      <c r="J1590" s="72"/>
      <c r="K1590" s="72" t="str">
        <f>IFERROR(__xludf.DUMMYFUNCTION("""COMPUTED_VALUE"""),"FPJ: 1ST PMS FREE")</f>
        <v>FPJ: 1ST PMS FREE</v>
      </c>
      <c r="L1590" s="72" t="str">
        <f>IFERROR(__xludf.DUMMYFUNCTION("""COMPUTED_VALUE"""),"FPJ: 1ST PMS DONE, ADJUST LOOSEN BOLTS AND ALIGN THE DISC")</f>
        <v>FPJ: 1ST PMS DONE, ADJUST LOOSEN BOLTS AND ALIGN THE DISC</v>
      </c>
      <c r="M1590" s="2"/>
      <c r="N1590" s="2" t="str">
        <f>IFERROR(__xludf.DUMMYFUNCTION("""COMPUTED_VALUE"""),"PARTS: 
OIL FILTER 
ENGINE OIL")</f>
        <v>PARTS: 
OIL FILTER 
ENGINE OIL</v>
      </c>
      <c r="O1590" s="2">
        <f>IFERROR(__xludf.DUMMYFUNCTION("""COMPUTED_VALUE"""),264.0)</f>
        <v>264</v>
      </c>
      <c r="P1590" s="2"/>
      <c r="Q1590" s="2" t="str">
        <f>IFERROR(__xludf.DUMMYFUNCTION("""COMPUTED_VALUE"""),"FOR PRINT")</f>
        <v>FOR PRINT</v>
      </c>
      <c r="R1590" s="74">
        <f>IFERROR(__xludf.DUMMYFUNCTION("""COMPUTED_VALUE"""),46125.0)</f>
        <v>46125</v>
      </c>
      <c r="S1590" s="2" t="str">
        <f>IFERROR(__xludf.DUMMYFUNCTION("""COMPUTED_VALUE"""),"FPJ/JAH")</f>
        <v>FPJ/JAH</v>
      </c>
      <c r="T1590" s="73" t="str">
        <f>IFERROR(__xludf.DUMMYFUNCTION("""COMPUTED_VALUE""")," N/A ")</f>
        <v>N/A</v>
      </c>
      <c r="U1590" s="73" t="str">
        <f>IFERROR(__xludf.DUMMYFUNCTION("""COMPUTED_VALUE""")," NO CHARGE ")</f>
        <v>NO CHARGE</v>
      </c>
      <c r="V1590" s="2">
        <f>IFERROR(__xludf.DUMMYFUNCTION("""COMPUTED_VALUE"""),1562.0)</f>
        <v>1562</v>
      </c>
      <c r="W1590" s="2" t="str">
        <f>IFERROR(__xludf.DUMMYFUNCTION("""COMPUTED_VALUE"""),"N/A")</f>
        <v>N/A</v>
      </c>
      <c r="X1590" s="2" t="str">
        <f>IFERROR(__xludf.DUMMYFUNCTION("""COMPUTED_VALUE"""),"N/A")</f>
        <v>N/A</v>
      </c>
      <c r="Y1590" s="2"/>
      <c r="Z1590" s="2"/>
      <c r="AA1590" s="2"/>
      <c r="AB1590" s="2"/>
      <c r="AC1590" s="2"/>
      <c r="AD1590" s="2"/>
      <c r="AE1590" s="2"/>
      <c r="AF1590" s="2"/>
      <c r="AG1590" s="2"/>
      <c r="AH1590" s="2"/>
      <c r="AI1590" s="2"/>
      <c r="AJ1590" s="2" t="str">
        <f>IFERROR(__xludf.DUMMYFUNCTION("""COMPUTED_VALUE"""),"San Pedro")</f>
        <v>San Pedro</v>
      </c>
      <c r="AK1590" s="2" t="str">
        <f>IFERROR(__xludf.DUMMYFUNCTION("""COMPUTED_VALUE"""),"Tunga")</f>
        <v>Tunga</v>
      </c>
      <c r="AL1590" s="2" t="str">
        <f>IFERROR(__xludf.DUMMYFUNCTION("""COMPUTED_VALUE"""),"Leyte")</f>
        <v>Leyte</v>
      </c>
      <c r="AM1590" s="2">
        <f>IFERROR(__xludf.DUMMYFUNCTION("""COMPUTED_VALUE"""),8.0)</f>
        <v>8</v>
      </c>
      <c r="AN1590" s="2" t="str">
        <f>IFERROR(__xludf.DUMMYFUNCTION("""COMPUTED_VALUE"""),"RCEF 25-03-05")</f>
        <v>RCEF 25-03-05</v>
      </c>
      <c r="AO1590" s="2">
        <f>IFERROR(__xludf.DUMMYFUNCTION("""COMPUTED_VALUE"""),7.0)</f>
        <v>7</v>
      </c>
      <c r="AP1590" s="2" t="str">
        <f>IFERROR(__xludf.DUMMYFUNCTION("""COMPUTED_VALUE"""),"FREE PMS")</f>
        <v>FREE PMS</v>
      </c>
      <c r="AQ1590" s="2"/>
      <c r="AR1590" s="2"/>
      <c r="AS1590" s="2"/>
      <c r="AT1590" s="2"/>
      <c r="AU1590" s="2"/>
      <c r="AV1590" s="2"/>
      <c r="AW1590" s="2"/>
      <c r="AX1590" s="2"/>
      <c r="AY1590" s="2"/>
      <c r="AZ1590" s="2"/>
      <c r="BA1590" s="2"/>
      <c r="BB1590" s="2"/>
    </row>
    <row r="1591">
      <c r="A1591" s="2">
        <f>IFERROR(__xludf.DUMMYFUNCTION("""COMPUTED_VALUE"""),1587.0)</f>
        <v>1587</v>
      </c>
      <c r="B1591" s="2" t="str">
        <f>IFERROR(__xludf.DUMMYFUNCTION("""COMPUTED_VALUE"""),"COMPLETED")</f>
        <v>COMPLETED</v>
      </c>
      <c r="C1591" s="78">
        <f>IFERROR(__xludf.DUMMYFUNCTION("""COMPUTED_VALUE"""),46126.0)</f>
        <v>46126</v>
      </c>
      <c r="D1591" s="71" t="str">
        <f>IFERROR(__xludf.DUMMYFUNCTION("""COMPUTED_VALUE"""),"POB-CAN CLARIN IRRIGATORS ASSOCIATION INC")</f>
        <v>POB-CAN CLARIN IRRIGATORS ASSOCIATION INC</v>
      </c>
      <c r="E1591" s="71" t="str">
        <f>IFERROR(__xludf.DUMMYFUNCTION("""COMPUTED_VALUE"""),"Candajec, Clarin, BOHOL")</f>
        <v>Candajec, Clarin, BOHOL</v>
      </c>
      <c r="F1591" s="2"/>
      <c r="G1591" s="2"/>
      <c r="H1591" s="2"/>
      <c r="I1591" s="72" t="str">
        <f>IFERROR(__xludf.DUMMYFUNCTION("""COMPUTED_VALUE"""),"TRAINING REQUEST")</f>
        <v>TRAINING REQUEST</v>
      </c>
      <c r="J1591" s="72"/>
      <c r="K1591" s="72" t="str">
        <f>IFERROR(__xludf.DUMMYFUNCTION("""COMPUTED_VALUE"""),"KFS: Request Hands on Training 
FCAs in LGU Clarin, Clarin, Bohol - April 23, 2026")</f>
        <v>KFS: Request Hands on Training 
FCAs in LGU Clarin, Clarin, Bohol - April 23, 2026</v>
      </c>
      <c r="L1591" s="72" t="str">
        <f>IFERROR(__xludf.DUMMYFUNCTION("""COMPUTED_VALUE"""),"FPJ: TRAINING DONE")</f>
        <v>FPJ: TRAINING DONE</v>
      </c>
      <c r="M1591" s="2"/>
      <c r="N1591" s="2"/>
      <c r="O1591" s="2">
        <f>IFERROR(__xludf.DUMMYFUNCTION("""COMPUTED_VALUE"""),278.0)</f>
        <v>278</v>
      </c>
      <c r="P1591" s="2"/>
      <c r="Q1591" s="2" t="str">
        <f>IFERROR(__xludf.DUMMYFUNCTION("""COMPUTED_VALUE"""),"FOR PRINT")</f>
        <v>FOR PRINT</v>
      </c>
      <c r="R1591" s="74">
        <f>IFERROR(__xludf.DUMMYFUNCTION("""COMPUTED_VALUE"""),46135.0)</f>
        <v>46135</v>
      </c>
      <c r="S1591" s="2" t="str">
        <f>IFERROR(__xludf.DUMMYFUNCTION("""COMPUTED_VALUE"""),"FPJ/JAH")</f>
        <v>FPJ/JAH</v>
      </c>
      <c r="T1591" s="73" t="str">
        <f>IFERROR(__xludf.DUMMYFUNCTION("""COMPUTED_VALUE""")," N/A ")</f>
        <v>N/A</v>
      </c>
      <c r="U1591" s="73" t="str">
        <f>IFERROR(__xludf.DUMMYFUNCTION("""COMPUTED_VALUE""")," NO CHARGE ")</f>
        <v>NO CHARGE</v>
      </c>
      <c r="V1591" s="2" t="str">
        <f>IFERROR(__xludf.DUMMYFUNCTION("""COMPUTED_VALUE"""),"N/A")</f>
        <v>N/A</v>
      </c>
      <c r="W1591" s="2" t="str">
        <f>IFERROR(__xludf.DUMMYFUNCTION("""COMPUTED_VALUE"""),"N/A")</f>
        <v>N/A</v>
      </c>
      <c r="X1591" s="2" t="str">
        <f>IFERROR(__xludf.DUMMYFUNCTION("""COMPUTED_VALUE"""),"N/A")</f>
        <v>N/A</v>
      </c>
      <c r="Y1591" s="2"/>
      <c r="Z1591" s="2"/>
      <c r="AA1591" s="2"/>
      <c r="AB1591" s="2"/>
      <c r="AC1591" s="2"/>
      <c r="AD1591" s="2"/>
      <c r="AE1591" s="2"/>
      <c r="AF1591" s="2"/>
      <c r="AG1591" s="2"/>
      <c r="AH1591" s="2"/>
      <c r="AI1591" s="2"/>
      <c r="AJ1591" s="2" t="str">
        <f>IFERROR(__xludf.DUMMYFUNCTION("""COMPUTED_VALUE"""),"Candajec")</f>
        <v>Candajec</v>
      </c>
      <c r="AK1591" s="2" t="str">
        <f>IFERROR(__xludf.DUMMYFUNCTION("""COMPUTED_VALUE"""),"Clarin")</f>
        <v>Clarin</v>
      </c>
      <c r="AL1591" s="2" t="str">
        <f>IFERROR(__xludf.DUMMYFUNCTION("""COMPUTED_VALUE"""),"Bohol")</f>
        <v>Bohol</v>
      </c>
      <c r="AM1591" s="2">
        <f>IFERROR(__xludf.DUMMYFUNCTION("""COMPUTED_VALUE"""),7.0)</f>
        <v>7</v>
      </c>
      <c r="AN1591" s="2" t="str">
        <f>IFERROR(__xludf.DUMMYFUNCTION("""COMPUTED_VALUE"""),"RCEF 25-03-05")</f>
        <v>RCEF 25-03-05</v>
      </c>
      <c r="AO1591" s="2">
        <f>IFERROR(__xludf.DUMMYFUNCTION("""COMPUTED_VALUE"""),7.0)</f>
        <v>7</v>
      </c>
      <c r="AP1591" s="2" t="str">
        <f>IFERROR(__xludf.DUMMYFUNCTION("""COMPUTED_VALUE"""),"FREE PMS")</f>
        <v>FREE PMS</v>
      </c>
      <c r="AQ1591" s="2"/>
      <c r="AR1591" s="2"/>
      <c r="AS1591" s="2"/>
      <c r="AT1591" s="2"/>
      <c r="AU1591" s="2"/>
      <c r="AV1591" s="2"/>
      <c r="AW1591" s="2"/>
      <c r="AX1591" s="2"/>
      <c r="AY1591" s="2"/>
      <c r="AZ1591" s="2"/>
      <c r="BA1591" s="2"/>
      <c r="BB1591" s="2"/>
    </row>
    <row r="1592">
      <c r="A1592" s="2">
        <f>IFERROR(__xludf.DUMMYFUNCTION("""COMPUTED_VALUE"""),1588.0)</f>
        <v>1588</v>
      </c>
      <c r="B1592" s="2" t="str">
        <f>IFERROR(__xludf.DUMMYFUNCTION("""COMPUTED_VALUE"""),"PENDING")</f>
        <v>PENDING</v>
      </c>
      <c r="C1592" s="78">
        <f>IFERROR(__xludf.DUMMYFUNCTION("""COMPUTED_VALUE"""),46126.0)</f>
        <v>46126</v>
      </c>
      <c r="D1592" s="71" t="str">
        <f>IFERROR(__xludf.DUMMYFUNCTION("""COMPUTED_VALUE"""),"TAYSAY MINAHAW FARMER IRRIGATORS ASSOCIATION, INC.")</f>
        <v>TAYSAY MINAHAW FARMER IRRIGATORS ASSOCIATION, INC.</v>
      </c>
      <c r="E1592" s="71" t="str">
        <f>IFERROR(__xludf.DUMMYFUNCTION("""COMPUTED_VALUE"""),"Bono-Bono, Bataraza, Palawan")</f>
        <v>Bono-Bono, Bataraza, Palawan</v>
      </c>
      <c r="F1592" s="2" t="str">
        <f>IFERROR(__xludf.DUMMYFUNCTION("""COMPUTED_VALUE"""),"Eddi N. Sagun")</f>
        <v>Eddi N. Sagun</v>
      </c>
      <c r="G1592" s="2">
        <f>IFERROR(__xludf.DUMMYFUNCTION("""COMPUTED_VALUE"""),9.985315419E9)</f>
        <v>9985315419</v>
      </c>
      <c r="H1592" s="2">
        <f>IFERROR(__xludf.DUMMYFUNCTION("""COMPUTED_VALUE"""),1275.2)</f>
        <v>1275.2</v>
      </c>
      <c r="I1592" s="72" t="str">
        <f>IFERROR(__xludf.DUMMYFUNCTION("""COMPUTED_VALUE"""),"SPARE PARTS ACQUISITION")</f>
        <v>SPARE PARTS ACQUISITION</v>
      </c>
      <c r="J1592" s="72"/>
      <c r="K1592" s="72" t="str">
        <f>IFERROR(__xludf.DUMMYFUNCTION("""COMPUTED_VALUE"""),"MYK: CABLE WIRE (TC46410000) w/ picture")</f>
        <v>MYK: CABLE WIRE (TC46410000) w/ picture</v>
      </c>
      <c r="L1592" s="72" t="str">
        <f>IFERROR(__xludf.DUMMYFUNCTION("""COMPUTED_VALUE"""),"CTF - PARTS NOT AVL. ")</f>
        <v>CTF - PARTS NOT AVL. </v>
      </c>
      <c r="M1592" s="2" t="str">
        <f>IFERROR(__xludf.DUMMYFUNCTION("""COMPUTED_VALUE""")," WIRE (TC46410000)")</f>
        <v> WIRE (TC46410000)</v>
      </c>
      <c r="N1592" s="2"/>
      <c r="O1592" s="2"/>
      <c r="P1592" s="2"/>
      <c r="Q1592" s="2"/>
      <c r="R1592" s="2"/>
      <c r="S1592" s="2"/>
      <c r="T1592" s="2"/>
      <c r="U1592" s="2"/>
      <c r="V1592" s="2"/>
      <c r="W1592" s="2"/>
      <c r="X1592" s="2"/>
      <c r="Y1592" s="2"/>
      <c r="Z1592" s="2"/>
      <c r="AA1592" s="2"/>
      <c r="AB1592" s="2"/>
      <c r="AC1592" s="2"/>
      <c r="AD1592" s="2"/>
      <c r="AE1592" s="2"/>
      <c r="AF1592" s="2"/>
      <c r="AG1592" s="2"/>
      <c r="AH1592" s="2"/>
      <c r="AI1592" s="2"/>
      <c r="AJ1592" s="2" t="str">
        <f>IFERROR(__xludf.DUMMYFUNCTION("""COMPUTED_VALUE"""),"Bono-Bono")</f>
        <v>Bono-Bono</v>
      </c>
      <c r="AK1592" s="2" t="str">
        <f>IFERROR(__xludf.DUMMYFUNCTION("""COMPUTED_VALUE"""),"Bataraza")</f>
        <v>Bataraza</v>
      </c>
      <c r="AL1592" s="2" t="str">
        <f>IFERROR(__xludf.DUMMYFUNCTION("""COMPUTED_VALUE"""),"Palawan")</f>
        <v>Palawan</v>
      </c>
      <c r="AM1592" s="2" t="str">
        <f>IFERROR(__xludf.DUMMYFUNCTION("""COMPUTED_VALUE"""),"4B")</f>
        <v>4B</v>
      </c>
      <c r="AN1592" s="2" t="str">
        <f>IFERROR(__xludf.DUMMYFUNCTION("""COMPUTED_VALUE"""),"RCEF 23-08-20 Rebidding")</f>
        <v>RCEF 23-08-20 Rebidding</v>
      </c>
      <c r="AO1592" s="2">
        <f>IFERROR(__xludf.DUMMYFUNCTION("""COMPUTED_VALUE"""),1.0)</f>
        <v>1</v>
      </c>
      <c r="AP1592" s="2"/>
      <c r="AQ1592" s="2"/>
      <c r="AR1592" s="2"/>
      <c r="AS1592" s="2"/>
      <c r="AT1592" s="2"/>
      <c r="AU1592" s="2"/>
      <c r="AV1592" s="2"/>
      <c r="AW1592" s="2"/>
      <c r="AX1592" s="2"/>
      <c r="AY1592" s="2"/>
      <c r="AZ1592" s="2"/>
      <c r="BA1592" s="2"/>
      <c r="BB1592" s="2"/>
    </row>
    <row r="1593">
      <c r="A1593" s="2">
        <f>IFERROR(__xludf.DUMMYFUNCTION("""COMPUTED_VALUE"""),1589.0)</f>
        <v>1589</v>
      </c>
      <c r="B1593" s="2" t="str">
        <f>IFERROR(__xludf.DUMMYFUNCTION("""COMPUTED_VALUE"""),"COMPLETED")</f>
        <v>COMPLETED</v>
      </c>
      <c r="C1593" s="74">
        <f>IFERROR(__xludf.DUMMYFUNCTION("""COMPUTED_VALUE"""),46126.0)</f>
        <v>46126</v>
      </c>
      <c r="D1593" s="71" t="str">
        <f>IFERROR(__xludf.DUMMYFUNCTION("""COMPUTED_VALUE"""),"BUGHO FARMERS ASSOCIATION")</f>
        <v>BUGHO FARMERS ASSOCIATION</v>
      </c>
      <c r="E1593" s="71" t="str">
        <f>IFERROR(__xludf.DUMMYFUNCTION("""COMPUTED_VALUE"""),"Bugho, Alangalang, LEYTE")</f>
        <v>Bugho, Alangalang, LEYTE</v>
      </c>
      <c r="F1593" s="2" t="str">
        <f>IFERROR(__xludf.DUMMYFUNCTION("""COMPUTED_VALUE"""),"ANALYN A. GASPAY")</f>
        <v>ANALYN A. GASPAY</v>
      </c>
      <c r="G1593" s="2">
        <f>IFERROR(__xludf.DUMMYFUNCTION("""COMPUTED_VALUE"""),9.09052496133E11)</f>
        <v>909052496133</v>
      </c>
      <c r="H1593" s="2">
        <f>IFERROR(__xludf.DUMMYFUNCTION("""COMPUTED_VALUE"""),68.4)</f>
        <v>68.4</v>
      </c>
      <c r="I1593" s="72" t="str">
        <f>IFERROR(__xludf.DUMMYFUNCTION("""COMPUTED_VALUE"""),"PMS")</f>
        <v>PMS</v>
      </c>
      <c r="J1593" s="72"/>
      <c r="K1593" s="72" t="str">
        <f>IFERROR(__xludf.DUMMYFUNCTION("""COMPUTED_VALUE"""),"FPJ: 1ST PSM FREE")</f>
        <v>FPJ: 1ST PSM FREE</v>
      </c>
      <c r="L1593" s="72" t="str">
        <f>IFERROR(__xludf.DUMMYFUNCTION("""COMPUTED_VALUE"""),"FPJ: 1ST PMS DONE")</f>
        <v>FPJ: 1ST PMS DONE</v>
      </c>
      <c r="M1593" s="2"/>
      <c r="N1593" s="2" t="str">
        <f>IFERROR(__xludf.DUMMYFUNCTION("""COMPUTED_VALUE"""),"PARTS: 
OIL FILTER 
ENGINE OIL")</f>
        <v>PARTS: 
OIL FILTER 
ENGINE OIL</v>
      </c>
      <c r="O1593" s="2">
        <f>IFERROR(__xludf.DUMMYFUNCTION("""COMPUTED_VALUE"""),263.0)</f>
        <v>263</v>
      </c>
      <c r="P1593" s="2"/>
      <c r="Q1593" s="2" t="str">
        <f>IFERROR(__xludf.DUMMYFUNCTION("""COMPUTED_VALUE"""),"FOR PRINT")</f>
        <v>FOR PRINT</v>
      </c>
      <c r="R1593" s="74">
        <f>IFERROR(__xludf.DUMMYFUNCTION("""COMPUTED_VALUE"""),46126.0)</f>
        <v>46126</v>
      </c>
      <c r="S1593" s="2" t="str">
        <f>IFERROR(__xludf.DUMMYFUNCTION("""COMPUTED_VALUE"""),"FPJ/JAH")</f>
        <v>FPJ/JAH</v>
      </c>
      <c r="T1593" s="73" t="str">
        <f>IFERROR(__xludf.DUMMYFUNCTION("""COMPUTED_VALUE""")," N/A ")</f>
        <v>N/A</v>
      </c>
      <c r="U1593" s="73" t="str">
        <f>IFERROR(__xludf.DUMMYFUNCTION("""COMPUTED_VALUE""")," NO CHARGE ")</f>
        <v>NO CHARGE</v>
      </c>
      <c r="V1593" s="2">
        <f>IFERROR(__xludf.DUMMYFUNCTION("""COMPUTED_VALUE"""),1563.0)</f>
        <v>1563</v>
      </c>
      <c r="W1593" s="2" t="str">
        <f>IFERROR(__xludf.DUMMYFUNCTION("""COMPUTED_VALUE"""),"N/A")</f>
        <v>N/A</v>
      </c>
      <c r="X1593" s="2" t="str">
        <f>IFERROR(__xludf.DUMMYFUNCTION("""COMPUTED_VALUE"""),"N/A")</f>
        <v>N/A</v>
      </c>
      <c r="Y1593" s="2"/>
      <c r="Z1593" s="2"/>
      <c r="AA1593" s="2"/>
      <c r="AB1593" s="2"/>
      <c r="AC1593" s="2"/>
      <c r="AD1593" s="2"/>
      <c r="AE1593" s="2"/>
      <c r="AF1593" s="2"/>
      <c r="AG1593" s="2"/>
      <c r="AH1593" s="2"/>
      <c r="AI1593" s="2"/>
      <c r="AJ1593" s="2" t="str">
        <f>IFERROR(__xludf.DUMMYFUNCTION("""COMPUTED_VALUE"""),"Bugho")</f>
        <v>Bugho</v>
      </c>
      <c r="AK1593" s="2" t="str">
        <f>IFERROR(__xludf.DUMMYFUNCTION("""COMPUTED_VALUE"""),"Alangalang")</f>
        <v>Alangalang</v>
      </c>
      <c r="AL1593" s="2" t="str">
        <f>IFERROR(__xludf.DUMMYFUNCTION("""COMPUTED_VALUE"""),"Leyte")</f>
        <v>Leyte</v>
      </c>
      <c r="AM1593" s="2">
        <f>IFERROR(__xludf.DUMMYFUNCTION("""COMPUTED_VALUE"""),8.0)</f>
        <v>8</v>
      </c>
      <c r="AN1593" s="2" t="str">
        <f>IFERROR(__xludf.DUMMYFUNCTION("""COMPUTED_VALUE"""),"RCEF 25-03-05")</f>
        <v>RCEF 25-03-05</v>
      </c>
      <c r="AO1593" s="2">
        <f>IFERROR(__xludf.DUMMYFUNCTION("""COMPUTED_VALUE"""),7.0)</f>
        <v>7</v>
      </c>
      <c r="AP1593" s="2" t="str">
        <f>IFERROR(__xludf.DUMMYFUNCTION("""COMPUTED_VALUE"""),"FREE PMS")</f>
        <v>FREE PMS</v>
      </c>
      <c r="AQ1593" s="2"/>
      <c r="AR1593" s="2"/>
      <c r="AS1593" s="2"/>
      <c r="AT1593" s="2"/>
      <c r="AU1593" s="2"/>
      <c r="AV1593" s="2"/>
      <c r="AW1593" s="2"/>
      <c r="AX1593" s="2"/>
      <c r="AY1593" s="2"/>
      <c r="AZ1593" s="2"/>
      <c r="BA1593" s="2"/>
      <c r="BB1593" s="2"/>
    </row>
    <row r="1594">
      <c r="A1594" s="2">
        <f>IFERROR(__xludf.DUMMYFUNCTION("""COMPUTED_VALUE"""),1590.0)</f>
        <v>1590</v>
      </c>
      <c r="B1594" s="2" t="str">
        <f>IFERROR(__xludf.DUMMYFUNCTION("""COMPUTED_VALUE"""),"COMPLETED")</f>
        <v>COMPLETED</v>
      </c>
      <c r="C1594" s="74">
        <f>IFERROR(__xludf.DUMMYFUNCTION("""COMPUTED_VALUE"""),46126.0)</f>
        <v>46126</v>
      </c>
      <c r="D1594" s="71" t="str">
        <f>IFERROR(__xludf.DUMMYFUNCTION("""COMPUTED_VALUE"""),"BUGHO FARMERS ASSOCIATION")</f>
        <v>BUGHO FARMERS ASSOCIATION</v>
      </c>
      <c r="E1594" s="71" t="str">
        <f>IFERROR(__xludf.DUMMYFUNCTION("""COMPUTED_VALUE"""),"Bugho, Alangalang, LEYTE")</f>
        <v>Bugho, Alangalang, LEYTE</v>
      </c>
      <c r="F1594" s="2" t="str">
        <f>IFERROR(__xludf.DUMMYFUNCTION("""COMPUTED_VALUE"""),"ANALYN A. GASPAY")</f>
        <v>ANALYN A. GASPAY</v>
      </c>
      <c r="G1594" s="2">
        <f>IFERROR(__xludf.DUMMYFUNCTION("""COMPUTED_VALUE"""),9.09052496133E11)</f>
        <v>909052496133</v>
      </c>
      <c r="H1594" s="2">
        <f>IFERROR(__xludf.DUMMYFUNCTION("""COMPUTED_VALUE"""),68.4)</f>
        <v>68.4</v>
      </c>
      <c r="I1594" s="72" t="str">
        <f>IFERROR(__xludf.DUMMYFUNCTION("""COMPUTED_VALUE"""),"REPAIR - LOADER")</f>
        <v>REPAIR - LOADER</v>
      </c>
      <c r="J1594" s="72" t="str">
        <f>IFERROR(__xludf.DUMMYFUNCTION("""COMPUTED_VALUE"""),"Cable lock")</f>
        <v>Cable lock</v>
      </c>
      <c r="K1594" s="72" t="str">
        <f>IFERROR(__xludf.DUMMYFUNCTION("""COMPUTED_VALUE"""),"FPJ: HYDRAULIC CABLE LOCK DAMAGE  2 PCS CABLE LOCK BROKEN")</f>
        <v>FPJ: HYDRAULIC CABLE LOCK DAMAGE  2 PCS CABLE LOCK BROKEN</v>
      </c>
      <c r="L1594" s="72" t="str">
        <f>IFERROR(__xludf.DUMMYFUNCTION("""COMPUTED_VALUE"""),"FPJ:  REPLACED 2 HYDRAULIC CABLE LOCK  ")</f>
        <v>FPJ:  REPLACED 2 HYDRAULIC CABLE LOCK  </v>
      </c>
      <c r="M1594" s="2"/>
      <c r="N1594" s="2" t="str">
        <f>IFERROR(__xludf.DUMMYFUNCTION("""COMPUTED_VALUE"""),"PARTS:
2- CABLE LOCK (FABRICATE)")</f>
        <v>PARTS:
2- CABLE LOCK (FABRICATE)</v>
      </c>
      <c r="O1594" s="2">
        <f>IFERROR(__xludf.DUMMYFUNCTION("""COMPUTED_VALUE"""),265.0)</f>
        <v>265</v>
      </c>
      <c r="P1594" s="2"/>
      <c r="Q1594" s="2" t="str">
        <f>IFERROR(__xludf.DUMMYFUNCTION("""COMPUTED_VALUE"""),"FOR PRINT")</f>
        <v>FOR PRINT</v>
      </c>
      <c r="R1594" s="74">
        <f>IFERROR(__xludf.DUMMYFUNCTION("""COMPUTED_VALUE"""),46126.0)</f>
        <v>46126</v>
      </c>
      <c r="S1594" s="2" t="str">
        <f>IFERROR(__xludf.DUMMYFUNCTION("""COMPUTED_VALUE"""),"FPJ/JAH")</f>
        <v>FPJ/JAH</v>
      </c>
      <c r="T1594" s="73" t="str">
        <f>IFERROR(__xludf.DUMMYFUNCTION("""COMPUTED_VALUE""")," N/A ")</f>
        <v>N/A</v>
      </c>
      <c r="U1594" s="73" t="str">
        <f>IFERROR(__xludf.DUMMYFUNCTION("""COMPUTED_VALUE""")," NO CHARGE ")</f>
        <v>NO CHARGE</v>
      </c>
      <c r="V1594" s="2">
        <f>IFERROR(__xludf.DUMMYFUNCTION("""COMPUTED_VALUE"""),1563.0)</f>
        <v>1563</v>
      </c>
      <c r="W1594" s="2" t="str">
        <f>IFERROR(__xludf.DUMMYFUNCTION("""COMPUTED_VALUE"""),"N/A")</f>
        <v>N/A</v>
      </c>
      <c r="X1594" s="2" t="str">
        <f>IFERROR(__xludf.DUMMYFUNCTION("""COMPUTED_VALUE"""),"N/A")</f>
        <v>N/A</v>
      </c>
      <c r="Y1594" s="2"/>
      <c r="Z1594" s="2"/>
      <c r="AA1594" s="2"/>
      <c r="AB1594" s="2"/>
      <c r="AC1594" s="2"/>
      <c r="AD1594" s="2"/>
      <c r="AE1594" s="2"/>
      <c r="AF1594" s="2"/>
      <c r="AG1594" s="2"/>
      <c r="AH1594" s="2"/>
      <c r="AI1594" s="2"/>
      <c r="AJ1594" s="2" t="str">
        <f>IFERROR(__xludf.DUMMYFUNCTION("""COMPUTED_VALUE"""),"Bugho")</f>
        <v>Bugho</v>
      </c>
      <c r="AK1594" s="2" t="str">
        <f>IFERROR(__xludf.DUMMYFUNCTION("""COMPUTED_VALUE"""),"Alangalang")</f>
        <v>Alangalang</v>
      </c>
      <c r="AL1594" s="2" t="str">
        <f>IFERROR(__xludf.DUMMYFUNCTION("""COMPUTED_VALUE"""),"Leyte")</f>
        <v>Leyte</v>
      </c>
      <c r="AM1594" s="2">
        <f>IFERROR(__xludf.DUMMYFUNCTION("""COMPUTED_VALUE"""),8.0)</f>
        <v>8</v>
      </c>
      <c r="AN1594" s="2" t="str">
        <f>IFERROR(__xludf.DUMMYFUNCTION("""COMPUTED_VALUE"""),"RCEF 25-03-05")</f>
        <v>RCEF 25-03-05</v>
      </c>
      <c r="AO1594" s="2">
        <f>IFERROR(__xludf.DUMMYFUNCTION("""COMPUTED_VALUE"""),7.0)</f>
        <v>7</v>
      </c>
      <c r="AP1594" s="2" t="str">
        <f>IFERROR(__xludf.DUMMYFUNCTION("""COMPUTED_VALUE"""),"FREE PMS")</f>
        <v>FREE PMS</v>
      </c>
      <c r="AQ1594" s="2"/>
      <c r="AR1594" s="2"/>
      <c r="AS1594" s="2"/>
      <c r="AT1594" s="2"/>
      <c r="AU1594" s="2"/>
      <c r="AV1594" s="2"/>
      <c r="AW1594" s="2"/>
      <c r="AX1594" s="2"/>
      <c r="AY1594" s="2"/>
      <c r="AZ1594" s="2"/>
      <c r="BA1594" s="2"/>
      <c r="BB1594" s="2"/>
    </row>
    <row r="1595">
      <c r="A1595" s="2">
        <f>IFERROR(__xludf.DUMMYFUNCTION("""COMPUTED_VALUE"""),1591.0)</f>
        <v>1591</v>
      </c>
      <c r="B1595" s="2" t="str">
        <f>IFERROR(__xludf.DUMMYFUNCTION("""COMPUTED_VALUE"""),"COMPLETED")</f>
        <v>COMPLETED</v>
      </c>
      <c r="C1595" s="78">
        <f>IFERROR(__xludf.DUMMYFUNCTION("""COMPUTED_VALUE"""),46127.0)</f>
        <v>46127</v>
      </c>
      <c r="D1595" s="71" t="str">
        <f>IFERROR(__xludf.DUMMYFUNCTION("""COMPUTED_VALUE"""),"MUNICIPAL LOCAL GOVERNMENT UNIT OF CANDELARIA")</f>
        <v>MUNICIPAL LOCAL GOVERNMENT UNIT OF CANDELARIA</v>
      </c>
      <c r="E1595" s="71" t="str">
        <f>IFERROR(__xludf.DUMMYFUNCTION("""COMPUTED_VALUE"""),"Poblacion, Candelaria, ZAMBALES")</f>
        <v>Poblacion, Candelaria, ZAMBALES</v>
      </c>
      <c r="F1595" s="2" t="str">
        <f>IFERROR(__xludf.DUMMYFUNCTION("""COMPUTED_VALUE"""),"Byron Jones E. Edquilang")</f>
        <v>Byron Jones E. Edquilang</v>
      </c>
      <c r="G1595" s="2">
        <f>IFERROR(__xludf.DUMMYFUNCTION("""COMPUTED_VALUE"""),9.91213302E9)</f>
        <v>9912133020</v>
      </c>
      <c r="H1595" s="2">
        <f>IFERROR(__xludf.DUMMYFUNCTION("""COMPUTED_VALUE"""),55.0)</f>
        <v>55</v>
      </c>
      <c r="I1595" s="72" t="str">
        <f>IFERROR(__xludf.DUMMYFUNCTION("""COMPUTED_VALUE"""),"PMS")</f>
        <v>PMS</v>
      </c>
      <c r="J1595" s="72"/>
      <c r="K1595" s="72" t="str">
        <f>IFERROR(__xludf.DUMMYFUNCTION("""COMPUTED_VALUE"""),"MYK: 1ST PMS FREE")</f>
        <v>MYK: 1ST PMS FREE</v>
      </c>
      <c r="L1595" s="72" t="str">
        <f>IFERROR(__xludf.DUMMYFUNCTION("""COMPUTED_VALUE"""),"JDP: 1ST PSM DONE")</f>
        <v>JDP: 1ST PSM DONE</v>
      </c>
      <c r="M1595" s="2"/>
      <c r="N1595" s="2" t="str">
        <f>IFERROR(__xludf.DUMMYFUNCTION("""COMPUTED_VALUE"""),"PARTS:
OIL FILTER 
ENGINE OIL")</f>
        <v>PARTS:
OIL FILTER 
ENGINE OIL</v>
      </c>
      <c r="O1595" s="2">
        <f>IFERROR(__xludf.DUMMYFUNCTION("""COMPUTED_VALUE"""),489.0)</f>
        <v>489</v>
      </c>
      <c r="P1595" s="2"/>
      <c r="Q1595" s="2" t="str">
        <f>IFERROR(__xludf.DUMMYFUNCTION("""COMPUTED_VALUE"""),"FOR PRINT")</f>
        <v>FOR PRINT</v>
      </c>
      <c r="R1595" s="74">
        <f>IFERROR(__xludf.DUMMYFUNCTION("""COMPUTED_VALUE"""),46140.0)</f>
        <v>46140</v>
      </c>
      <c r="S1595" s="2" t="str">
        <f>IFERROR(__xludf.DUMMYFUNCTION("""COMPUTED_VALUE"""),"EGT/JDP")</f>
        <v>EGT/JDP</v>
      </c>
      <c r="T1595" s="73" t="str">
        <f>IFERROR(__xludf.DUMMYFUNCTION("""COMPUTED_VALUE""")," N/A ")</f>
        <v>N/A</v>
      </c>
      <c r="U1595" s="73" t="str">
        <f>IFERROR(__xludf.DUMMYFUNCTION("""COMPUTED_VALUE""")," RECORDED ")</f>
        <v>RECORDED</v>
      </c>
      <c r="V1595" s="2">
        <f>IFERROR(__xludf.DUMMYFUNCTION("""COMPUTED_VALUE"""),1328.0)</f>
        <v>1328</v>
      </c>
      <c r="W1595" s="2" t="str">
        <f>IFERROR(__xludf.DUMMYFUNCTION("""COMPUTED_VALUE"""),"N/A")</f>
        <v>N/A</v>
      </c>
      <c r="X1595" s="2" t="str">
        <f>IFERROR(__xludf.DUMMYFUNCTION("""COMPUTED_VALUE"""),"N/A")</f>
        <v>N/A</v>
      </c>
      <c r="Y1595" s="2"/>
      <c r="Z1595" s="2"/>
      <c r="AA1595" s="2"/>
      <c r="AB1595" s="2"/>
      <c r="AC1595" s="2"/>
      <c r="AD1595" s="2"/>
      <c r="AE1595" s="2"/>
      <c r="AF1595" s="2"/>
      <c r="AG1595" s="2"/>
      <c r="AH1595" s="2"/>
      <c r="AI1595" s="2"/>
      <c r="AJ1595" s="2" t="str">
        <f>IFERROR(__xludf.DUMMYFUNCTION("""COMPUTED_VALUE"""),"Poblacion")</f>
        <v>Poblacion</v>
      </c>
      <c r="AK1595" s="2" t="str">
        <f>IFERROR(__xludf.DUMMYFUNCTION("""COMPUTED_VALUE"""),"Candelaria")</f>
        <v>Candelaria</v>
      </c>
      <c r="AL1595" s="2" t="str">
        <f>IFERROR(__xludf.DUMMYFUNCTION("""COMPUTED_VALUE"""),"Zambales")</f>
        <v>Zambales</v>
      </c>
      <c r="AM1595" s="2">
        <f>IFERROR(__xludf.DUMMYFUNCTION("""COMPUTED_VALUE"""),3.0)</f>
        <v>3</v>
      </c>
      <c r="AN1595" s="2" t="str">
        <f>IFERROR(__xludf.DUMMYFUNCTION("""COMPUTED_VALUE"""),"RCEF 25-03-05")</f>
        <v>RCEF 25-03-05</v>
      </c>
      <c r="AO1595" s="2">
        <f>IFERROR(__xludf.DUMMYFUNCTION("""COMPUTED_VALUE"""),5.0)</f>
        <v>5</v>
      </c>
      <c r="AP1595" s="2" t="str">
        <f>IFERROR(__xludf.DUMMYFUNCTION("""COMPUTED_VALUE"""),"FREE PMS")</f>
        <v>FREE PMS</v>
      </c>
      <c r="AQ1595" s="2"/>
      <c r="AR1595" s="2"/>
      <c r="AS1595" s="2"/>
      <c r="AT1595" s="2"/>
      <c r="AU1595" s="2"/>
      <c r="AV1595" s="2"/>
      <c r="AW1595" s="2"/>
      <c r="AX1595" s="2"/>
      <c r="AY1595" s="2"/>
      <c r="AZ1595" s="2"/>
      <c r="BA1595" s="2"/>
      <c r="BB1595" s="2"/>
    </row>
    <row r="1596">
      <c r="A1596" s="2">
        <f>IFERROR(__xludf.DUMMYFUNCTION("""COMPUTED_VALUE"""),1592.0)</f>
        <v>1592</v>
      </c>
      <c r="B1596" s="2" t="str">
        <f>IFERROR(__xludf.DUMMYFUNCTION("""COMPUTED_VALUE"""),"COMPLETED")</f>
        <v>COMPLETED</v>
      </c>
      <c r="C1596" s="78">
        <f>IFERROR(__xludf.DUMMYFUNCTION("""COMPUTED_VALUE"""),46127.0)</f>
        <v>46127</v>
      </c>
      <c r="D1596" s="71" t="str">
        <f>IFERROR(__xludf.DUMMYFUNCTION("""COMPUTED_VALUE"""),"Masikap Farmers Association")</f>
        <v>Masikap Farmers Association</v>
      </c>
      <c r="E1596" s="71" t="str">
        <f>IFERROR(__xludf.DUMMYFUNCTION("""COMPUTED_VALUE"""),"Tayabo, San Jose, Nueva Ecija")</f>
        <v>Tayabo, San Jose, Nueva Ecija</v>
      </c>
      <c r="F1596" s="2" t="str">
        <f>IFERROR(__xludf.DUMMYFUNCTION("""COMPUTED_VALUE"""),"Armando Dollente")</f>
        <v>Armando Dollente</v>
      </c>
      <c r="G1596" s="2">
        <f>IFERROR(__xludf.DUMMYFUNCTION("""COMPUTED_VALUE"""),9.753649527E9)</f>
        <v>9753649527</v>
      </c>
      <c r="H1596" s="2">
        <f>IFERROR(__xludf.DUMMYFUNCTION("""COMPUTED_VALUE"""),250.0)</f>
        <v>250</v>
      </c>
      <c r="I1596" s="72" t="str">
        <f>IFERROR(__xludf.DUMMYFUNCTION("""COMPUTED_VALUE"""),"SPARE PARTS ACQUISITION")</f>
        <v>SPARE PARTS ACQUISITION</v>
      </c>
      <c r="J1596" s="72"/>
      <c r="K1596" s="72" t="str">
        <f>IFERROR(__xludf.DUMMYFUNCTION("""COMPUTED_VALUE"""),"MYK: Order ng HYDRAULIC FILTER")</f>
        <v>MYK: Order ng HYDRAULIC FILTER</v>
      </c>
      <c r="L1596" s="72" t="str">
        <f>IFERROR(__xludf.DUMMYFUNCTION("""COMPUTED_VALUE"""),"QUOTATION SENT -  PAID TO LTC ACCOUNT - SHIPPED")</f>
        <v>QUOTATION SENT -  PAID TO LTC ACCOUNT - SHIPPED</v>
      </c>
      <c r="M1596" s="2" t="str">
        <f>IFERROR(__xludf.DUMMYFUNCTION("""COMPUTED_VALUE"""),"HYDRAULIC FILTER")</f>
        <v>HYDRAULIC FILTER</v>
      </c>
      <c r="N1596" s="2" t="str">
        <f>IFERROR(__xludf.DUMMYFUNCTION("""COMPUTED_VALUE"""),"PARTS: 
HYDRAULIC FILTER")</f>
        <v>PARTS: 
HYDRAULIC FILTER</v>
      </c>
      <c r="O1596" s="2" t="str">
        <f>IFERROR(__xludf.DUMMYFUNCTION("""COMPUTED_VALUE"""),"N/A")</f>
        <v>N/A</v>
      </c>
      <c r="P1596" s="2"/>
      <c r="Q1596" s="2"/>
      <c r="R1596" s="74">
        <f>IFERROR(__xludf.DUMMYFUNCTION("""COMPUTED_VALUE"""),46129.0)</f>
        <v>46129</v>
      </c>
      <c r="S1596" s="2" t="str">
        <f>IFERROR(__xludf.DUMMYFUNCTION("""COMPUTED_VALUE"""),"MYK/CTF")</f>
        <v>MYK/CTF</v>
      </c>
      <c r="T1596" s="73">
        <f>IFERROR(__xludf.DUMMYFUNCTION("""COMPUTED_VALUE"""),2837.0)</f>
        <v>2837</v>
      </c>
      <c r="U1596" s="73" t="str">
        <f>IFERROR(__xludf.DUMMYFUNCTION("""COMPUTED_VALUE""")," RECORDED ")</f>
        <v>RECORDED</v>
      </c>
      <c r="V1596" s="2">
        <f>IFERROR(__xludf.DUMMYFUNCTION("""COMPUTED_VALUE"""),1546.0)</f>
        <v>1546</v>
      </c>
      <c r="W1596" s="2">
        <f>IFERROR(__xludf.DUMMYFUNCTION("""COMPUTED_VALUE"""),2063.0)</f>
        <v>2063</v>
      </c>
      <c r="X1596" s="2" t="str">
        <f>IFERROR(__xludf.DUMMYFUNCTION("""COMPUTED_VALUE"""),"1757 - DIRECT PAYMENT")</f>
        <v>1757 - DIRECT PAYMENT</v>
      </c>
      <c r="Y1596" s="2"/>
      <c r="Z1596" s="2"/>
      <c r="AA1596" s="2"/>
      <c r="AB1596" s="2"/>
      <c r="AC1596" s="2"/>
      <c r="AD1596" s="2"/>
      <c r="AE1596" s="2"/>
      <c r="AF1596" s="2"/>
      <c r="AG1596" s="2"/>
      <c r="AH1596" s="2"/>
      <c r="AI1596" s="2"/>
      <c r="AJ1596" s="2" t="str">
        <f>IFERROR(__xludf.DUMMYFUNCTION("""COMPUTED_VALUE"""),"Tayabo")</f>
        <v>Tayabo</v>
      </c>
      <c r="AK1596" s="2" t="str">
        <f>IFERROR(__xludf.DUMMYFUNCTION("""COMPUTED_VALUE"""),"San Jose")</f>
        <v>San Jose</v>
      </c>
      <c r="AL1596" s="2" t="str">
        <f>IFERROR(__xludf.DUMMYFUNCTION("""COMPUTED_VALUE"""),"Nueva Ecija")</f>
        <v>Nueva Ecija</v>
      </c>
      <c r="AM1596" s="2">
        <f>IFERROR(__xludf.DUMMYFUNCTION("""COMPUTED_VALUE"""),3.0)</f>
        <v>3</v>
      </c>
      <c r="AN1596" s="2" t="str">
        <f>IFERROR(__xludf.DUMMYFUNCTION("""COMPUTED_VALUE"""),"RCEF 24-04-15")</f>
        <v>RCEF 24-04-15</v>
      </c>
      <c r="AO1596" s="2">
        <f>IFERROR(__xludf.DUMMYFUNCTION("""COMPUTED_VALUE"""),6.0)</f>
        <v>6</v>
      </c>
      <c r="AP1596" s="2" t="str">
        <f>IFERROR(__xludf.DUMMYFUNCTION("""COMPUTED_VALUE"""),"FREE PMS")</f>
        <v>FREE PMS</v>
      </c>
      <c r="AQ1596" s="2"/>
      <c r="AR1596" s="2"/>
      <c r="AS1596" s="2"/>
      <c r="AT1596" s="2"/>
      <c r="AU1596" s="2"/>
      <c r="AV1596" s="2"/>
      <c r="AW1596" s="2"/>
      <c r="AX1596" s="2"/>
      <c r="AY1596" s="2"/>
      <c r="AZ1596" s="2"/>
      <c r="BA1596" s="2"/>
      <c r="BB1596" s="2"/>
    </row>
    <row r="1597">
      <c r="A1597" s="2">
        <f>IFERROR(__xludf.DUMMYFUNCTION("""COMPUTED_VALUE"""),1593.0)</f>
        <v>1593</v>
      </c>
      <c r="B1597" s="2" t="str">
        <f>IFERROR(__xludf.DUMMYFUNCTION("""COMPUTED_VALUE"""),"COMPLETED")</f>
        <v>COMPLETED</v>
      </c>
      <c r="C1597" s="78">
        <f>IFERROR(__xludf.DUMMYFUNCTION("""COMPUTED_VALUE"""),46127.0)</f>
        <v>46127</v>
      </c>
      <c r="D1597" s="71" t="str">
        <f>IFERROR(__xludf.DUMMYFUNCTION("""COMPUTED_VALUE"""),"SAMAHAN NG MAGSASAKA NG JC PAYUMO JR. DINALUPIHAN BATAAN")</f>
        <v>SAMAHAN NG MAGSASAKA NG JC PAYUMO JR. DINALUPIHAN BATAAN</v>
      </c>
      <c r="E1597" s="71" t="str">
        <f>IFERROR(__xludf.DUMMYFUNCTION("""COMPUTED_VALUE"""),"""Jose C. Payumo Jr."", Dinalupihan, BATAAN")</f>
        <v>"Jose C. Payumo Jr.", Dinalupihan, BATAAN</v>
      </c>
      <c r="F1597" s="2" t="str">
        <f>IFERROR(__xludf.DUMMYFUNCTION("""COMPUTED_VALUE"""),"Gema I. Asken")</f>
        <v>Gema I. Asken</v>
      </c>
      <c r="G1597" s="2">
        <f>IFERROR(__xludf.DUMMYFUNCTION("""COMPUTED_VALUE"""),6.39178005413E11)</f>
        <v>639178005413</v>
      </c>
      <c r="H1597" s="2"/>
      <c r="I1597" s="72" t="str">
        <f>IFERROR(__xludf.DUMMYFUNCTION("""COMPUTED_VALUE"""),"REPAIR - TRACTOR")</f>
        <v>REPAIR - TRACTOR</v>
      </c>
      <c r="J1597" s="72" t="str">
        <f>IFERROR(__xludf.DUMMYFUNCTION("""COMPUTED_VALUE"""),"Transmission - Front Dirve                Front Axle - Leaking")</f>
        <v>Transmission - Front Dirve                Front Axle - Leaking</v>
      </c>
      <c r="K1597" s="72" t="str">
        <f>IFERROR(__xludf.DUMMYFUNCTION("""COMPUTED_VALUE"""),"MYK: FRONT DRIVE PROBLEM, LUMALAGUTOK AT MAY LEAKING SA HARAPANG GULONG.")</f>
        <v>MYK: FRONT DRIVE PROBLEM, LUMALAGUTOK AT MAY LEAKING SA HARAPANG GULONG.</v>
      </c>
      <c r="L1597" s="72" t="str">
        <f>IFERROR(__xludf.DUMMYFUNCTION("""COMPUTED_VALUE"""),"JDP: May lumalagutok daw sa frontdrive at may leak ma'am posible na sira is yung bearing ng ring gear count shaft
""RING GEAR ASSY TA00033454
BEARING, ROLLER (#32-00-60) 24141-320060
C-TYPE RETAINING RING 22252-000550
PLATE TA00033478""
446 : JVV: ASSES"&amp;"SMENT: DEFECTIVE RING GEAR ASSY, BEARING. AND OIL SEAL
1 - RING GEAR ASSY TA00033454
2- Oil seal TC60110000A3
2- Oil seal FE78010000B
1- Oil seal 24421- 405508
QUOTATION SENT: FB GEMMA ASKEW
JVV: DONE FOR REPLACED OF PARTS AND ASSEMBLE FRONT AXLE/DRIVE")</f>
        <v>JDP: May lumalagutok daw sa frontdrive at may leak ma'am posible na sira is yung bearing ng ring gear count shaft
"RING GEAR ASSY TA00033454
BEARING, ROLLER (#32-00-60) 24141-320060
C-TYPE RETAINING RING 22252-000550
PLATE TA00033478"
446 : JVV: ASSESSMENT: DEFECTIVE RING GEAR ASSY, BEARING. AND OIL SEAL
1 - RING GEAR ASSY TA00033454
2- Oil seal TC60110000A3
2- Oil seal FE78010000B
1- Oil seal 24421- 405508
QUOTATION SENT: FB GEMMA ASKEW
JVV: DONE FOR REPLACED OF PARTS AND ASSEMBLE FRONT AXLE/DRIVE</v>
      </c>
      <c r="M1597" s="2" t="str">
        <f>IFERROR(__xludf.DUMMYFUNCTION("""COMPUTED_VALUE"""),"1 - RING GEAR ASSY
2- Oil seal TC60110000A3
2- Oil seal FE78010000B 
1- Oil seal 24421- 405508")</f>
        <v>1 - RING GEAR ASSY
2- Oil seal TC60110000A3
2- Oil seal FE78010000B 
1- Oil seal 24421- 405508</v>
      </c>
      <c r="N1597" s="2" t="str">
        <f>IFERROR(__xludf.DUMMYFUNCTION("""COMPUTED_VALUE"""),"PARTS:
1- RING GEAR ASSY
2- Oil seal TC60110000A3
2- Oil seal FE78010000B
1  - Oil seal-24421-405508
SEVICE CHARGE: 3,420")</f>
        <v>PARTS:
1- RING GEAR ASSY
2- Oil seal TC60110000A3
2- Oil seal FE78010000B
1  - Oil seal-24421-405508
SEVICE CHARGE: 3,420</v>
      </c>
      <c r="O1597" s="2">
        <f>IFERROR(__xludf.DUMMYFUNCTION("""COMPUTED_VALUE"""),1105.0)</f>
        <v>1105</v>
      </c>
      <c r="P1597" s="2"/>
      <c r="Q1597" s="2" t="str">
        <f>IFERROR(__xludf.DUMMYFUNCTION("""COMPUTED_VALUE"""),"FOR PRINT")</f>
        <v>FOR PRINT</v>
      </c>
      <c r="R1597" s="74">
        <f>IFERROR(__xludf.DUMMYFUNCTION("""COMPUTED_VALUE"""),46150.0)</f>
        <v>46150</v>
      </c>
      <c r="S1597" s="2" t="str">
        <f>IFERROR(__xludf.DUMMYFUNCTION("""COMPUTED_VALUE"""),"EGT/ACS/JVV")</f>
        <v>EGT/ACS/JVV</v>
      </c>
      <c r="T1597" s="73">
        <f>IFERROR(__xludf.DUMMYFUNCTION("""COMPUTED_VALUE"""),31000.0)</f>
        <v>31000</v>
      </c>
      <c r="U1597" s="73" t="str">
        <f>IFERROR(__xludf.DUMMYFUNCTION("""COMPUTED_VALUE""")," REMITTED ")</f>
        <v>REMITTED</v>
      </c>
      <c r="V1597" s="2">
        <f>IFERROR(__xludf.DUMMYFUNCTION("""COMPUTED_VALUE"""),1332.0)</f>
        <v>1332</v>
      </c>
      <c r="W1597" s="2">
        <f>IFERROR(__xludf.DUMMYFUNCTION("""COMPUTED_VALUE"""),1679.0)</f>
        <v>1679</v>
      </c>
      <c r="X1597" s="2">
        <f>IFERROR(__xludf.DUMMYFUNCTION("""COMPUTED_VALUE"""),1782.0)</f>
        <v>1782</v>
      </c>
      <c r="Y1597" s="2"/>
      <c r="Z1597" s="2"/>
      <c r="AA1597" s="2"/>
      <c r="AB1597" s="2"/>
      <c r="AC1597" s="2"/>
      <c r="AD1597" s="2"/>
      <c r="AE1597" s="2"/>
      <c r="AF1597" s="2"/>
      <c r="AG1597" s="2"/>
      <c r="AH1597" s="2"/>
      <c r="AI1597" s="2"/>
      <c r="AJ1597" s="2" t="str">
        <f>IFERROR(__xludf.DUMMYFUNCTION("""COMPUTED_VALUE"""),"""Jose C. Payumo Jr.""")</f>
        <v>"Jose C. Payumo Jr."</v>
      </c>
      <c r="AK1597" s="2" t="str">
        <f>IFERROR(__xludf.DUMMYFUNCTION("""COMPUTED_VALUE"""),"Dinalupihan")</f>
        <v>Dinalupihan</v>
      </c>
      <c r="AL1597" s="2" t="str">
        <f>IFERROR(__xludf.DUMMYFUNCTION("""COMPUTED_VALUE"""),"Bataan")</f>
        <v>Bataan</v>
      </c>
      <c r="AM1597" s="2">
        <f>IFERROR(__xludf.DUMMYFUNCTION("""COMPUTED_VALUE"""),3.0)</f>
        <v>3</v>
      </c>
      <c r="AN1597" s="2" t="str">
        <f>IFERROR(__xludf.DUMMYFUNCTION("""COMPUTED_VALUE"""),"RCEF 23-09-21 Rebidding")</f>
        <v>RCEF 23-09-21 Rebidding</v>
      </c>
      <c r="AO1597" s="2">
        <f>IFERROR(__xludf.DUMMYFUNCTION("""COMPUTED_VALUE"""),9.0)</f>
        <v>9</v>
      </c>
      <c r="AP1597" s="2"/>
      <c r="AQ1597" s="2"/>
      <c r="AR1597" s="2"/>
      <c r="AS1597" s="2"/>
      <c r="AT1597" s="2"/>
      <c r="AU1597" s="2"/>
      <c r="AV1597" s="2"/>
      <c r="AW1597" s="2"/>
      <c r="AX1597" s="2"/>
      <c r="AY1597" s="2"/>
      <c r="AZ1597" s="2"/>
      <c r="BA1597" s="2"/>
      <c r="BB1597" s="2"/>
    </row>
    <row r="1598">
      <c r="A1598" s="2">
        <f>IFERROR(__xludf.DUMMYFUNCTION("""COMPUTED_VALUE"""),1594.0)</f>
        <v>1594</v>
      </c>
      <c r="B1598" s="2" t="str">
        <f>IFERROR(__xludf.DUMMYFUNCTION("""COMPUTED_VALUE"""),"COMPLETED")</f>
        <v>COMPLETED</v>
      </c>
      <c r="C1598" s="78">
        <f>IFERROR(__xludf.DUMMYFUNCTION("""COMPUTED_VALUE"""),46128.0)</f>
        <v>46128</v>
      </c>
      <c r="D1598" s="71" t="str">
        <f>IFERROR(__xludf.DUMMYFUNCTION("""COMPUTED_VALUE"""),"MAVALOR FARMERS ASSOCIATION")</f>
        <v>MAVALOR FARMERS ASSOCIATION</v>
      </c>
      <c r="E1598" s="71" t="str">
        <f>IFERROR(__xludf.DUMMYFUNCTION("""COMPUTED_VALUE"""),"Mavalor, Rosario, BATANGAS")</f>
        <v>Mavalor, Rosario, BATANGAS</v>
      </c>
      <c r="F1598" s="2" t="str">
        <f>IFERROR(__xludf.DUMMYFUNCTION("""COMPUTED_VALUE"""),"Alvin Virtucio")</f>
        <v>Alvin Virtucio</v>
      </c>
      <c r="G1598" s="2"/>
      <c r="H1598" s="2">
        <f>IFERROR(__xludf.DUMMYFUNCTION("""COMPUTED_VALUE"""),57.7)</f>
        <v>57.7</v>
      </c>
      <c r="I1598" s="72" t="str">
        <f>IFERROR(__xludf.DUMMYFUNCTION("""COMPUTED_VALUE"""),"PMS")</f>
        <v>PMS</v>
      </c>
      <c r="J1598" s="72"/>
      <c r="K1598" s="72" t="str">
        <f>IFERROR(__xludf.DUMMYFUNCTION("""COMPUTED_VALUE"""),"RBS: Request for 1st pms
Remarks: sira ang joystick ng backet need ng plitan. (with video)")</f>
        <v>RBS: Request for 1st pms
Remarks: sira ang joystick ng backet need ng plitan. (with video)</v>
      </c>
      <c r="L1598" s="72" t="str">
        <f>IFERROR(__xludf.DUMMYFUNCTION("""COMPUTED_VALUE"""),"RBS: 1ST PMS DONE, CHANGE JOYSTICK COONECTION")</f>
        <v>RBS: 1ST PMS DONE, CHANGE JOYSTICK COONECTION</v>
      </c>
      <c r="M1598" s="2" t="str">
        <f>IFERROR(__xludf.DUMMYFUNCTION("""COMPUTED_VALUE"""),"CABLE LOCK  - ASSUMED")</f>
        <v>CABLE LOCK  - ASSUMED</v>
      </c>
      <c r="N1598" s="2" t="str">
        <f>IFERROR(__xludf.DUMMYFUNCTION("""COMPUTED_VALUE"""),"PARTS:
OIL FILTER
ENGINE OIL
CABLE LOCK (FABRICATED)")</f>
        <v>PARTS:
OIL FILTER
ENGINE OIL
CABLE LOCK (FABRICATED)</v>
      </c>
      <c r="O1598" s="2">
        <f>IFERROR(__xludf.DUMMYFUNCTION("""COMPUTED_VALUE"""),620.0)</f>
        <v>620</v>
      </c>
      <c r="P1598" s="2"/>
      <c r="Q1598" s="2" t="str">
        <f>IFERROR(__xludf.DUMMYFUNCTION("""COMPUTED_VALUE"""),"FOR PRINT")</f>
        <v>FOR PRINT</v>
      </c>
      <c r="R1598" s="74">
        <f>IFERROR(__xludf.DUMMYFUNCTION("""COMPUTED_VALUE"""),46132.0)</f>
        <v>46132</v>
      </c>
      <c r="S1598" s="2" t="str">
        <f>IFERROR(__xludf.DUMMYFUNCTION("""COMPUTED_VALUE"""),"RCG/RBS")</f>
        <v>RCG/RBS</v>
      </c>
      <c r="T1598" s="73" t="str">
        <f>IFERROR(__xludf.DUMMYFUNCTION("""COMPUTED_VALUE""")," N/A ")</f>
        <v>N/A</v>
      </c>
      <c r="U1598" s="73" t="str">
        <f>IFERROR(__xludf.DUMMYFUNCTION("""COMPUTED_VALUE""")," NO CHARGE ")</f>
        <v>NO CHARGE</v>
      </c>
      <c r="V1598" s="2" t="str">
        <f>IFERROR(__xludf.DUMMYFUNCTION("""COMPUTED_VALUE"""),"NO DR")</f>
        <v>NO DR</v>
      </c>
      <c r="W1598" s="2" t="str">
        <f>IFERROR(__xludf.DUMMYFUNCTION("""COMPUTED_VALUE"""),"N/A")</f>
        <v>N/A</v>
      </c>
      <c r="X1598" s="2" t="str">
        <f>IFERROR(__xludf.DUMMYFUNCTION("""COMPUTED_VALUE"""),"N/A")</f>
        <v>N/A</v>
      </c>
      <c r="Y1598" s="2"/>
      <c r="Z1598" s="2"/>
      <c r="AA1598" s="2"/>
      <c r="AB1598" s="2"/>
      <c r="AC1598" s="2"/>
      <c r="AD1598" s="2"/>
      <c r="AE1598" s="2"/>
      <c r="AF1598" s="2"/>
      <c r="AG1598" s="2"/>
      <c r="AH1598" s="2"/>
      <c r="AI1598" s="2"/>
      <c r="AJ1598" s="2" t="str">
        <f>IFERROR(__xludf.DUMMYFUNCTION("""COMPUTED_VALUE"""),"Mavalor")</f>
        <v>Mavalor</v>
      </c>
      <c r="AK1598" s="2" t="str">
        <f>IFERROR(__xludf.DUMMYFUNCTION("""COMPUTED_VALUE"""),"Rosario")</f>
        <v>Rosario</v>
      </c>
      <c r="AL1598" s="2" t="str">
        <f>IFERROR(__xludf.DUMMYFUNCTION("""COMPUTED_VALUE"""),"Batangas")</f>
        <v>Batangas</v>
      </c>
      <c r="AM1598" s="2" t="str">
        <f>IFERROR(__xludf.DUMMYFUNCTION("""COMPUTED_VALUE"""),"4A")</f>
        <v>4A</v>
      </c>
      <c r="AN1598" s="2" t="str">
        <f>IFERROR(__xludf.DUMMYFUNCTION("""COMPUTED_VALUE"""),"RCEF 25-03-05")</f>
        <v>RCEF 25-03-05</v>
      </c>
      <c r="AO1598" s="2">
        <f>IFERROR(__xludf.DUMMYFUNCTION("""COMPUTED_VALUE"""),7.0)</f>
        <v>7</v>
      </c>
      <c r="AP1598" s="2" t="str">
        <f>IFERROR(__xludf.DUMMYFUNCTION("""COMPUTED_VALUE"""),"FREE PMS")</f>
        <v>FREE PMS</v>
      </c>
      <c r="AQ1598" s="2"/>
      <c r="AR1598" s="2"/>
      <c r="AS1598" s="2"/>
      <c r="AT1598" s="2"/>
      <c r="AU1598" s="2"/>
      <c r="AV1598" s="2"/>
      <c r="AW1598" s="2"/>
      <c r="AX1598" s="2"/>
      <c r="AY1598" s="2"/>
      <c r="AZ1598" s="2"/>
      <c r="BA1598" s="2"/>
      <c r="BB1598" s="2"/>
    </row>
    <row r="1599">
      <c r="A1599" s="2">
        <f>IFERROR(__xludf.DUMMYFUNCTION("""COMPUTED_VALUE"""),1595.0)</f>
        <v>1595</v>
      </c>
      <c r="B1599" s="2" t="str">
        <f>IFERROR(__xludf.DUMMYFUNCTION("""COMPUTED_VALUE"""),"COMPLETED")</f>
        <v>COMPLETED</v>
      </c>
      <c r="C1599" s="78">
        <f>IFERROR(__xludf.DUMMYFUNCTION("""COMPUTED_VALUE"""),46128.0)</f>
        <v>46128</v>
      </c>
      <c r="D1599" s="71" t="str">
        <f>IFERROR(__xludf.DUMMYFUNCTION("""COMPUTED_VALUE"""),"CANTARICIO IRRIGATORS ASSOCIATION, INC.")</f>
        <v>CANTARICIO IRRIGATORS ASSOCIATION, INC.</v>
      </c>
      <c r="E1599" s="71" t="str">
        <f>IFERROR(__xludf.DUMMYFUNCTION("""COMPUTED_VALUE"""),"Garita I A, Maragondon, CAVITE")</f>
        <v>Garita I A, Maragondon, CAVITE</v>
      </c>
      <c r="F1599" s="2" t="str">
        <f>IFERROR(__xludf.DUMMYFUNCTION("""COMPUTED_VALUE"""),"Ladislao C. Completo")</f>
        <v>Ladislao C. Completo</v>
      </c>
      <c r="G1599" s="2">
        <f>IFERROR(__xludf.DUMMYFUNCTION("""COMPUTED_VALUE"""),9.655462216E9)</f>
        <v>9655462216</v>
      </c>
      <c r="H1599" s="2"/>
      <c r="I1599" s="72" t="str">
        <f>IFERROR(__xludf.DUMMYFUNCTION("""COMPUTED_VALUE"""),"REPAIR - TRACTOR")</f>
        <v>REPAIR - TRACTOR</v>
      </c>
      <c r="J1599" s="72" t="str">
        <f>IFERROR(__xludf.DUMMYFUNCTION("""COMPUTED_VALUE"""),"Electrical - Harness")</f>
        <v>Electrical - Harness</v>
      </c>
      <c r="K1599" s="72" t="str">
        <f>IFERROR(__xludf.DUMMYFUNCTION("""COMPUTED_VALUE"""),"RBS: Concerned need palitan ang harness ng panel board at wirings ng gps,kinain ng daga.kng pde pki bsita dw at nid mgmit ang unit")</f>
        <v>RBS: Concerned need palitan ang harness ng panel board at wirings ng gps,kinain ng daga.kng pde pki bsita dw at nid mgmit ang unit</v>
      </c>
      <c r="L1599" s="72" t="str">
        <f>IFERROR(__xludf.DUMMYFUNCTION("""COMPUTED_VALUE"""),"RBS: RE-WIRING /  CHANGE PER CONNCETION OF PANEL BOARD AND RELAY")</f>
        <v>RBS: RE-WIRING /  CHANGE PER CONNCETION OF PANEL BOARD AND RELAY</v>
      </c>
      <c r="M1599" s="2" t="str">
        <f>IFERROR(__xludf.DUMMYFUNCTION("""COMPUTED_VALUE"""),"FUSE BOX ASSY - ASSUMED")</f>
        <v>FUSE BOX ASSY - ASSUMED</v>
      </c>
      <c r="N1599" s="2"/>
      <c r="O1599" s="2">
        <f>IFERROR(__xludf.DUMMYFUNCTION("""COMPUTED_VALUE"""),621.0)</f>
        <v>621</v>
      </c>
      <c r="P1599" s="2"/>
      <c r="Q1599" s="2" t="str">
        <f>IFERROR(__xludf.DUMMYFUNCTION("""COMPUTED_VALUE"""),"FOR PRINT")</f>
        <v>FOR PRINT</v>
      </c>
      <c r="R1599" s="74">
        <f>IFERROR(__xludf.DUMMYFUNCTION("""COMPUTED_VALUE"""),46133.0)</f>
        <v>46133</v>
      </c>
      <c r="S1599" s="2" t="str">
        <f>IFERROR(__xludf.DUMMYFUNCTION("""COMPUTED_VALUE"""),"RCG/RBS")</f>
        <v>RCG/RBS</v>
      </c>
      <c r="T1599" s="73" t="str">
        <f>IFERROR(__xludf.DUMMYFUNCTION("""COMPUTED_VALUE""")," N/A ")</f>
        <v>N/A</v>
      </c>
      <c r="U1599" s="73" t="str">
        <f>IFERROR(__xludf.DUMMYFUNCTION("""COMPUTED_VALUE""")," NO CHARGE ")</f>
        <v>NO CHARGE</v>
      </c>
      <c r="V1599" s="2" t="str">
        <f>IFERROR(__xludf.DUMMYFUNCTION("""COMPUTED_VALUE"""),"N/A")</f>
        <v>N/A</v>
      </c>
      <c r="W1599" s="2" t="str">
        <f>IFERROR(__xludf.DUMMYFUNCTION("""COMPUTED_VALUE"""),"N/A")</f>
        <v>N/A</v>
      </c>
      <c r="X1599" s="2" t="str">
        <f>IFERROR(__xludf.DUMMYFUNCTION("""COMPUTED_VALUE"""),"N/A")</f>
        <v>N/A</v>
      </c>
      <c r="Y1599" s="2"/>
      <c r="Z1599" s="2"/>
      <c r="AA1599" s="2"/>
      <c r="AB1599" s="2"/>
      <c r="AC1599" s="2"/>
      <c r="AD1599" s="2"/>
      <c r="AE1599" s="2"/>
      <c r="AF1599" s="2"/>
      <c r="AG1599" s="2"/>
      <c r="AH1599" s="2"/>
      <c r="AI1599" s="2"/>
      <c r="AJ1599" s="2" t="str">
        <f>IFERROR(__xludf.DUMMYFUNCTION("""COMPUTED_VALUE"""),"Garita I A")</f>
        <v>Garita I A</v>
      </c>
      <c r="AK1599" s="2" t="str">
        <f>IFERROR(__xludf.DUMMYFUNCTION("""COMPUTED_VALUE"""),"Maragondon")</f>
        <v>Maragondon</v>
      </c>
      <c r="AL1599" s="2" t="str">
        <f>IFERROR(__xludf.DUMMYFUNCTION("""COMPUTED_VALUE"""),"Cavite")</f>
        <v>Cavite</v>
      </c>
      <c r="AM1599" s="2" t="str">
        <f>IFERROR(__xludf.DUMMYFUNCTION("""COMPUTED_VALUE"""),"4A")</f>
        <v>4A</v>
      </c>
      <c r="AN1599" s="2" t="str">
        <f>IFERROR(__xludf.DUMMYFUNCTION("""COMPUTED_VALUE"""),"RCEF 24-04-15")</f>
        <v>RCEF 24-04-15</v>
      </c>
      <c r="AO1599" s="2">
        <f>IFERROR(__xludf.DUMMYFUNCTION("""COMPUTED_VALUE"""),7.0)</f>
        <v>7</v>
      </c>
      <c r="AP1599" s="2" t="str">
        <f>IFERROR(__xludf.DUMMYFUNCTION("""COMPUTED_VALUE"""),"FREE PMS")</f>
        <v>FREE PMS</v>
      </c>
      <c r="AQ1599" s="2"/>
      <c r="AR1599" s="2"/>
      <c r="AS1599" s="2"/>
      <c r="AT1599" s="2"/>
      <c r="AU1599" s="2"/>
      <c r="AV1599" s="2"/>
      <c r="AW1599" s="2"/>
      <c r="AX1599" s="2"/>
      <c r="AY1599" s="2"/>
      <c r="AZ1599" s="2"/>
      <c r="BA1599" s="2"/>
      <c r="BB1599" s="2"/>
    </row>
    <row r="1600">
      <c r="A1600" s="2">
        <f>IFERROR(__xludf.DUMMYFUNCTION("""COMPUTED_VALUE"""),1596.0)</f>
        <v>1596</v>
      </c>
      <c r="B1600" s="2" t="str">
        <f>IFERROR(__xludf.DUMMYFUNCTION("""COMPUTED_VALUE"""),"PENDING")</f>
        <v>PENDING</v>
      </c>
      <c r="C1600" s="78">
        <f>IFERROR(__xludf.DUMMYFUNCTION("""COMPUTED_VALUE"""),46128.0)</f>
        <v>46128</v>
      </c>
      <c r="D1600" s="71" t="str">
        <f>IFERROR(__xludf.DUMMYFUNCTION("""COMPUTED_VALUE"""),"BANUTAN FARMERS ASSOCIATION")</f>
        <v>BANUTAN FARMERS ASSOCIATION</v>
      </c>
      <c r="E1600" s="71" t="str">
        <f>IFERROR(__xludf.DUMMYFUNCTION("""COMPUTED_VALUE"""),"Banutan, Gloria, ORIENTAL MINDORO")</f>
        <v>Banutan, Gloria, ORIENTAL MINDORO</v>
      </c>
      <c r="F1600" s="2" t="str">
        <f>IFERROR(__xludf.DUMMYFUNCTION("""COMPUTED_VALUE"""),"Manuel Yap")</f>
        <v>Manuel Yap</v>
      </c>
      <c r="G1600" s="2" t="str">
        <f>IFERROR(__xludf.DUMMYFUNCTION("""COMPUTED_VALUE"""),"0976 381 6414(officer)")</f>
        <v>0976 381 6414(officer)</v>
      </c>
      <c r="H1600" s="2">
        <f>IFERROR(__xludf.DUMMYFUNCTION("""COMPUTED_VALUE"""),281.2)</f>
        <v>281.2</v>
      </c>
      <c r="I1600" s="72" t="str">
        <f>IFERROR(__xludf.DUMMYFUNCTION("""COMPUTED_VALUE"""),"REPAIR - TRACTOR")</f>
        <v>REPAIR - TRACTOR</v>
      </c>
      <c r="J1600" s="72" t="str">
        <f>IFERROR(__xludf.DUMMYFUNCTION("""COMPUTED_VALUE"""),"Transmission - Clutch")</f>
        <v>Transmission - Clutch</v>
      </c>
      <c r="K1600" s="72" t="str">
        <f>IFERROR(__xludf.DUMMYFUNCTION("""COMPUTED_VALUE"""),"RCG: Problem:Ayaw humatak ang Unit
RCG: PARTS - CLUTCH DISC ASSY")</f>
        <v>RCG: Problem:Ayaw humatak ang Unit
RCG: PARTS - CLUTCH DISC ASSY</v>
      </c>
      <c r="L1600" s="72" t="str">
        <f>IFERROR(__xludf.DUMMYFUNCTION("""COMPUTED_VALUE"""),"QUOTATION SNET TO RCG-")</f>
        <v>QUOTATION SNET TO RCG-</v>
      </c>
      <c r="M1600" s="2" t="str">
        <f>IFERROR(__xludf.DUMMYFUNCTION("""COMPUTED_VALUE"""),"CLUTCH DISC ASSY")</f>
        <v>CLUTCH DISC ASSY</v>
      </c>
      <c r="N1600" s="2"/>
      <c r="O1600" s="2"/>
      <c r="P1600" s="2"/>
      <c r="Q1600" s="2"/>
      <c r="R1600" s="2"/>
      <c r="S1600" s="2"/>
      <c r="T1600" s="2"/>
      <c r="U1600" s="2"/>
      <c r="V1600" s="2"/>
      <c r="W1600" s="2"/>
      <c r="X1600" s="2"/>
      <c r="Y1600" s="2"/>
      <c r="Z1600" s="2"/>
      <c r="AA1600" s="2"/>
      <c r="AB1600" s="2"/>
      <c r="AC1600" s="2"/>
      <c r="AD1600" s="2"/>
      <c r="AE1600" s="2"/>
      <c r="AF1600" s="2"/>
      <c r="AG1600" s="2"/>
      <c r="AH1600" s="2"/>
      <c r="AI1600" s="2"/>
      <c r="AJ1600" s="2" t="str">
        <f>IFERROR(__xludf.DUMMYFUNCTION("""COMPUTED_VALUE"""),"Banutan")</f>
        <v>Banutan</v>
      </c>
      <c r="AK1600" s="2" t="str">
        <f>IFERROR(__xludf.DUMMYFUNCTION("""COMPUTED_VALUE"""),"Gloria")</f>
        <v>Gloria</v>
      </c>
      <c r="AL1600" s="2" t="str">
        <f>IFERROR(__xludf.DUMMYFUNCTION("""COMPUTED_VALUE"""),"Oriental Mindoro")</f>
        <v>Oriental Mindoro</v>
      </c>
      <c r="AM1600" s="2" t="str">
        <f>IFERROR(__xludf.DUMMYFUNCTION("""COMPUTED_VALUE"""),"4B")</f>
        <v>4B</v>
      </c>
      <c r="AN1600" s="2" t="str">
        <f>IFERROR(__xludf.DUMMYFUNCTION("""COMPUTED_VALUE"""),"RCEF 24-04-15")</f>
        <v>RCEF 24-04-15</v>
      </c>
      <c r="AO1600" s="2">
        <f>IFERROR(__xludf.DUMMYFUNCTION("""COMPUTED_VALUE"""),7.0)</f>
        <v>7</v>
      </c>
      <c r="AP1600" s="2" t="str">
        <f>IFERROR(__xludf.DUMMYFUNCTION("""COMPUTED_VALUE"""),"FREE PMS")</f>
        <v>FREE PMS</v>
      </c>
      <c r="AQ1600" s="2"/>
      <c r="AR1600" s="2"/>
      <c r="AS1600" s="2"/>
      <c r="AT1600" s="2"/>
      <c r="AU1600" s="2"/>
      <c r="AV1600" s="2"/>
      <c r="AW1600" s="2"/>
      <c r="AX1600" s="2"/>
      <c r="AY1600" s="2"/>
      <c r="AZ1600" s="2"/>
      <c r="BA1600" s="2"/>
      <c r="BB1600" s="2"/>
    </row>
    <row r="1601">
      <c r="A1601" s="2">
        <f>IFERROR(__xludf.DUMMYFUNCTION("""COMPUTED_VALUE"""),1597.0)</f>
        <v>1597</v>
      </c>
      <c r="B1601" s="2" t="str">
        <f>IFERROR(__xludf.DUMMYFUNCTION("""COMPUTED_VALUE"""),"COMPLETED")</f>
        <v>COMPLETED</v>
      </c>
      <c r="C1601" s="74">
        <f>IFERROR(__xludf.DUMMYFUNCTION("""COMPUTED_VALUE"""),46128.0)</f>
        <v>46128</v>
      </c>
      <c r="D1601" s="71" t="str">
        <f>IFERROR(__xludf.DUMMYFUNCTION("""COMPUTED_VALUE"""),"NEWCD45 IRRIGATORS' ASSOCIATION, INC.")</f>
        <v>NEWCD45 IRRIGATORS' ASSOCIATION, INC.</v>
      </c>
      <c r="E1601" s="71" t="str">
        <f>IFERROR(__xludf.DUMMYFUNCTION("""COMPUTED_VALUE"""),"Poblacion Dist. VI (New Road), Barugo, LEYTE")</f>
        <v>Poblacion Dist. VI (New Road), Barugo, LEYTE</v>
      </c>
      <c r="F1601" s="2" t="str">
        <f>IFERROR(__xludf.DUMMYFUNCTION("""COMPUTED_VALUE"""),"GIL A. AQUIN")</f>
        <v>GIL A. AQUIN</v>
      </c>
      <c r="G1601" s="2">
        <f>IFERROR(__xludf.DUMMYFUNCTION("""COMPUTED_VALUE"""),9.121939532E9)</f>
        <v>9121939532</v>
      </c>
      <c r="H1601" s="2">
        <f>IFERROR(__xludf.DUMMYFUNCTION("""COMPUTED_VALUE"""),44.8)</f>
        <v>44.8</v>
      </c>
      <c r="I1601" s="72" t="str">
        <f>IFERROR(__xludf.DUMMYFUNCTION("""COMPUTED_VALUE"""),"PMS")</f>
        <v>PMS</v>
      </c>
      <c r="J1601" s="72"/>
      <c r="K1601" s="72" t="str">
        <f>IFERROR(__xludf.DUMMYFUNCTION("""COMPUTED_VALUE"""),"FPJ: 1ST PMS FREE")</f>
        <v>FPJ: 1ST PMS FREE</v>
      </c>
      <c r="L1601" s="72" t="str">
        <f>IFERROR(__xludf.DUMMYFUNCTION("""COMPUTED_VALUE"""),"FPJ: 1ST PMS DONE")</f>
        <v>FPJ: 1ST PMS DONE</v>
      </c>
      <c r="M1601" s="2"/>
      <c r="N1601" s="2" t="str">
        <f>IFERROR(__xludf.DUMMYFUNCTION("""COMPUTED_VALUE"""),"PARTS: 
OIL FILTER 
ENGINE OIL")</f>
        <v>PARTS: 
OIL FILTER 
ENGINE OIL</v>
      </c>
      <c r="O1601" s="2">
        <f>IFERROR(__xludf.DUMMYFUNCTION("""COMPUTED_VALUE"""),266.0)</f>
        <v>266</v>
      </c>
      <c r="P1601" s="2"/>
      <c r="Q1601" s="2" t="str">
        <f>IFERROR(__xludf.DUMMYFUNCTION("""COMPUTED_VALUE"""),"FOR PRINT")</f>
        <v>FOR PRINT</v>
      </c>
      <c r="R1601" s="74">
        <f>IFERROR(__xludf.DUMMYFUNCTION("""COMPUTED_VALUE"""),46128.0)</f>
        <v>46128</v>
      </c>
      <c r="S1601" s="2" t="str">
        <f>IFERROR(__xludf.DUMMYFUNCTION("""COMPUTED_VALUE"""),"FPJ/JAH")</f>
        <v>FPJ/JAH</v>
      </c>
      <c r="T1601" s="73" t="str">
        <f>IFERROR(__xludf.DUMMYFUNCTION("""COMPUTED_VALUE""")," N/A ")</f>
        <v>N/A</v>
      </c>
      <c r="U1601" s="73" t="str">
        <f>IFERROR(__xludf.DUMMYFUNCTION("""COMPUTED_VALUE""")," NO CHARGE ")</f>
        <v>NO CHARGE</v>
      </c>
      <c r="V1601" s="2">
        <f>IFERROR(__xludf.DUMMYFUNCTION("""COMPUTED_VALUE"""),1564.0)</f>
        <v>1564</v>
      </c>
      <c r="W1601" s="2" t="str">
        <f>IFERROR(__xludf.DUMMYFUNCTION("""COMPUTED_VALUE"""),"N/A")</f>
        <v>N/A</v>
      </c>
      <c r="X1601" s="2" t="str">
        <f>IFERROR(__xludf.DUMMYFUNCTION("""COMPUTED_VALUE"""),"N/A")</f>
        <v>N/A</v>
      </c>
      <c r="Y1601" s="2"/>
      <c r="Z1601" s="2"/>
      <c r="AA1601" s="2"/>
      <c r="AB1601" s="2"/>
      <c r="AC1601" s="2"/>
      <c r="AD1601" s="2"/>
      <c r="AE1601" s="2"/>
      <c r="AF1601" s="2"/>
      <c r="AG1601" s="2"/>
      <c r="AH1601" s="2"/>
      <c r="AI1601" s="2"/>
      <c r="AJ1601" s="2" t="str">
        <f>IFERROR(__xludf.DUMMYFUNCTION("""COMPUTED_VALUE"""),"Poblacion Dist. Vi (New Road)")</f>
        <v>Poblacion Dist. Vi (New Road)</v>
      </c>
      <c r="AK1601" s="2" t="str">
        <f>IFERROR(__xludf.DUMMYFUNCTION("""COMPUTED_VALUE"""),"Barugo")</f>
        <v>Barugo</v>
      </c>
      <c r="AL1601" s="2" t="str">
        <f>IFERROR(__xludf.DUMMYFUNCTION("""COMPUTED_VALUE"""),"Leyte")</f>
        <v>Leyte</v>
      </c>
      <c r="AM1601" s="2">
        <f>IFERROR(__xludf.DUMMYFUNCTION("""COMPUTED_VALUE"""),8.0)</f>
        <v>8</v>
      </c>
      <c r="AN1601" s="2" t="str">
        <f>IFERROR(__xludf.DUMMYFUNCTION("""COMPUTED_VALUE"""),"RCEF 25-03-05")</f>
        <v>RCEF 25-03-05</v>
      </c>
      <c r="AO1601" s="2">
        <f>IFERROR(__xludf.DUMMYFUNCTION("""COMPUTED_VALUE"""),7.0)</f>
        <v>7</v>
      </c>
      <c r="AP1601" s="2" t="str">
        <f>IFERROR(__xludf.DUMMYFUNCTION("""COMPUTED_VALUE"""),"FREE PMS")</f>
        <v>FREE PMS</v>
      </c>
      <c r="AQ1601" s="2"/>
      <c r="AR1601" s="2"/>
      <c r="AS1601" s="2"/>
      <c r="AT1601" s="2"/>
      <c r="AU1601" s="2"/>
      <c r="AV1601" s="2"/>
      <c r="AW1601" s="2"/>
      <c r="AX1601" s="2"/>
      <c r="AY1601" s="2"/>
      <c r="AZ1601" s="2"/>
      <c r="BA1601" s="2"/>
      <c r="BB1601" s="2"/>
    </row>
    <row r="1602">
      <c r="A1602" s="2">
        <f>IFERROR(__xludf.DUMMYFUNCTION("""COMPUTED_VALUE"""),1598.0)</f>
        <v>1598</v>
      </c>
      <c r="B1602" s="2" t="str">
        <f>IFERROR(__xludf.DUMMYFUNCTION("""COMPUTED_VALUE"""),"PENDING")</f>
        <v>PENDING</v>
      </c>
      <c r="C1602" s="78">
        <f>IFERROR(__xludf.DUMMYFUNCTION("""COMPUTED_VALUE"""),46129.0)</f>
        <v>46129</v>
      </c>
      <c r="D1602" s="71" t="str">
        <f>IFERROR(__xludf.DUMMYFUNCTION("""COMPUTED_VALUE"""),"PANDAYON-CAMBARONG IRRIGATORS ASSOCIATION INC.")</f>
        <v>PANDAYON-CAMBARONG IRRIGATORS ASSOCIATION INC.</v>
      </c>
      <c r="E1602" s="71" t="str">
        <f>IFERROR(__xludf.DUMMYFUNCTION("""COMPUTED_VALUE"""),", Guindulman, BOHOL")</f>
        <v>, Guindulman, BOHOL</v>
      </c>
      <c r="F1602" s="2" t="str">
        <f>IFERROR(__xludf.DUMMYFUNCTION("""COMPUTED_VALUE"""),"Danny Amparo")</f>
        <v>Danny Amparo</v>
      </c>
      <c r="G1602" s="2">
        <f>IFERROR(__xludf.DUMMYFUNCTION("""COMPUTED_VALUE"""),9.091524371E9)</f>
        <v>9091524371</v>
      </c>
      <c r="H1602" s="2"/>
      <c r="I1602" s="72" t="str">
        <f>IFERROR(__xludf.DUMMYFUNCTION("""COMPUTED_VALUE"""),"PMS")</f>
        <v>PMS</v>
      </c>
      <c r="J1602" s="72"/>
      <c r="K1602" s="72" t="str">
        <f>IFERROR(__xludf.DUMMYFUNCTION("""COMPUTED_VALUE"""),"KFS: 1ST PMS FREE")</f>
        <v>KFS: 1ST PMS FREE</v>
      </c>
      <c r="L1602" s="72"/>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c r="AJ1602" s="2" t="str">
        <f>IFERROR(__xludf.DUMMYFUNCTION("""COMPUTED_VALUE"""),"")</f>
        <v/>
      </c>
      <c r="AK1602" s="2" t="str">
        <f>IFERROR(__xludf.DUMMYFUNCTION("""COMPUTED_VALUE"""),"Guindulman")</f>
        <v>Guindulman</v>
      </c>
      <c r="AL1602" s="2" t="str">
        <f>IFERROR(__xludf.DUMMYFUNCTION("""COMPUTED_VALUE"""),"Bohol")</f>
        <v>Bohol</v>
      </c>
      <c r="AM1602" s="2">
        <f>IFERROR(__xludf.DUMMYFUNCTION("""COMPUTED_VALUE"""),7.0)</f>
        <v>7</v>
      </c>
      <c r="AN1602" s="2" t="str">
        <f>IFERROR(__xludf.DUMMYFUNCTION("""COMPUTED_VALUE"""),"RCEF 25-03-05")</f>
        <v>RCEF 25-03-05</v>
      </c>
      <c r="AO1602" s="2">
        <f>IFERROR(__xludf.DUMMYFUNCTION("""COMPUTED_VALUE"""),7.0)</f>
        <v>7</v>
      </c>
      <c r="AP1602" s="2" t="str">
        <f>IFERROR(__xludf.DUMMYFUNCTION("""COMPUTED_VALUE"""),"FREE PMS")</f>
        <v>FREE PMS</v>
      </c>
      <c r="AQ1602" s="2"/>
      <c r="AR1602" s="2"/>
      <c r="AS1602" s="2"/>
      <c r="AT1602" s="2"/>
      <c r="AU1602" s="2"/>
      <c r="AV1602" s="2"/>
      <c r="AW1602" s="2"/>
      <c r="AX1602" s="2"/>
      <c r="AY1602" s="2"/>
      <c r="AZ1602" s="2"/>
      <c r="BA1602" s="2"/>
      <c r="BB1602" s="2"/>
    </row>
    <row r="1603">
      <c r="A1603" s="2">
        <f>IFERROR(__xludf.DUMMYFUNCTION("""COMPUTED_VALUE"""),1599.0)</f>
        <v>1599</v>
      </c>
      <c r="B1603" s="2" t="str">
        <f>IFERROR(__xludf.DUMMYFUNCTION("""COMPUTED_VALUE"""),"PENDING")</f>
        <v>PENDING</v>
      </c>
      <c r="C1603" s="78">
        <f>IFERROR(__xludf.DUMMYFUNCTION("""COMPUTED_VALUE"""),46129.0)</f>
        <v>46129</v>
      </c>
      <c r="D1603" s="71" t="str">
        <f>IFERROR(__xludf.DUMMYFUNCTION("""COMPUTED_VALUE"""),"Municipal Local Government Unit of Naval")</f>
        <v>Municipal Local Government Unit of Naval</v>
      </c>
      <c r="E1603" s="71" t="str">
        <f>IFERROR(__xludf.DUMMYFUNCTION("""COMPUTED_VALUE"""),"Padre Inocentes Garcia (Pob.), Naval, BILIRAN")</f>
        <v>Padre Inocentes Garcia (Pob.), Naval, BILIRAN</v>
      </c>
      <c r="F1603" s="2" t="str">
        <f>IFERROR(__xludf.DUMMYFUNCTION("""COMPUTED_VALUE"""),"Ronan Bigno")</f>
        <v>Ronan Bigno</v>
      </c>
      <c r="G1603" s="2">
        <f>IFERROR(__xludf.DUMMYFUNCTION("""COMPUTED_VALUE"""),9.510330159E9)</f>
        <v>9510330159</v>
      </c>
      <c r="H1603" s="2">
        <f>IFERROR(__xludf.DUMMYFUNCTION("""COMPUTED_VALUE"""),158.7)</f>
        <v>158.7</v>
      </c>
      <c r="I1603" s="72" t="str">
        <f>IFERROR(__xludf.DUMMYFUNCTION("""COMPUTED_VALUE"""),"REPAIR - DISC PLOW")</f>
        <v>REPAIR - DISC PLOW</v>
      </c>
      <c r="J1603" s="72" t="str">
        <f>IFERROR(__xludf.DUMMYFUNCTION("""COMPUTED_VALUE"""),"BEARING")</f>
        <v>BEARING</v>
      </c>
      <c r="K1603" s="72" t="str">
        <f>IFERROR(__xludf.DUMMYFUNCTION("""COMPUTED_VALUE"""),"FSJ: PROBLEM : DISCPLOW TAPER ROLLER BEARING DAMAGED
PARTS:
 TAPER ROLLER BEARING #30208
Oil seal 45*85*12")</f>
        <v>FSJ: PROBLEM : DISCPLOW TAPER ROLLER BEARING DAMAGED
PARTS:
 TAPER ROLLER BEARING #30208
Oil seal 45*85*12</v>
      </c>
      <c r="L1603" s="72" t="str">
        <f>IFERROR(__xludf.DUMMYFUNCTION("""COMPUTED_VALUE"""),"QUOTATION SENT TO FPJ-")</f>
        <v>QUOTATION SENT TO FPJ-</v>
      </c>
      <c r="M1603" s="2" t="str">
        <f>IFERROR(__xludf.DUMMYFUNCTION("""COMPUTED_VALUE"""),"2 - TAPER ROLLER BEARING #30208
1 - Oil seal 45*85*12")</f>
        <v>2 - TAPER ROLLER BEARING #30208
1 - Oil seal 45*85*12</v>
      </c>
      <c r="N1603" s="2"/>
      <c r="O1603" s="2"/>
      <c r="P1603" s="2"/>
      <c r="Q1603" s="2"/>
      <c r="R1603" s="2"/>
      <c r="S1603" s="2"/>
      <c r="T1603" s="2"/>
      <c r="U1603" s="2"/>
      <c r="V1603" s="2"/>
      <c r="W1603" s="2"/>
      <c r="X1603" s="2"/>
      <c r="Y1603" s="2"/>
      <c r="Z1603" s="2"/>
      <c r="AA1603" s="2"/>
      <c r="AB1603" s="2"/>
      <c r="AC1603" s="2"/>
      <c r="AD1603" s="2"/>
      <c r="AE1603" s="2"/>
      <c r="AF1603" s="2"/>
      <c r="AG1603" s="2"/>
      <c r="AH1603" s="2"/>
      <c r="AI1603" s="2"/>
      <c r="AJ1603" s="2" t="str">
        <f>IFERROR(__xludf.DUMMYFUNCTION("""COMPUTED_VALUE"""),"Padre Inocentes Garcia (Pob.)")</f>
        <v>Padre Inocentes Garcia (Pob.)</v>
      </c>
      <c r="AK1603" s="2" t="str">
        <f>IFERROR(__xludf.DUMMYFUNCTION("""COMPUTED_VALUE"""),"Naval")</f>
        <v>Naval</v>
      </c>
      <c r="AL1603" s="2" t="str">
        <f>IFERROR(__xludf.DUMMYFUNCTION("""COMPUTED_VALUE"""),"Biliran")</f>
        <v>Biliran</v>
      </c>
      <c r="AM1603" s="2">
        <f>IFERROR(__xludf.DUMMYFUNCTION("""COMPUTED_VALUE"""),8.0)</f>
        <v>8</v>
      </c>
      <c r="AN1603" s="2" t="str">
        <f>IFERROR(__xludf.DUMMYFUNCTION("""COMPUTED_VALUE"""),"RCEF 25-03-05")</f>
        <v>RCEF 25-03-05</v>
      </c>
      <c r="AO1603" s="2">
        <f>IFERROR(__xludf.DUMMYFUNCTION("""COMPUTED_VALUE"""),7.0)</f>
        <v>7</v>
      </c>
      <c r="AP1603" s="2" t="str">
        <f>IFERROR(__xludf.DUMMYFUNCTION("""COMPUTED_VALUE"""),"FREE PMS")</f>
        <v>FREE PMS</v>
      </c>
      <c r="AQ1603" s="2"/>
      <c r="AR1603" s="2"/>
      <c r="AS1603" s="2"/>
      <c r="AT1603" s="2"/>
      <c r="AU1603" s="2"/>
      <c r="AV1603" s="2"/>
      <c r="AW1603" s="2"/>
      <c r="AX1603" s="2"/>
      <c r="AY1603" s="2"/>
      <c r="AZ1603" s="2"/>
      <c r="BA1603" s="2"/>
      <c r="BB1603" s="2"/>
    </row>
    <row r="1604">
      <c r="A1604" s="2">
        <f>IFERROR(__xludf.DUMMYFUNCTION("""COMPUTED_VALUE"""),1600.0)</f>
        <v>1600</v>
      </c>
      <c r="B1604" s="2" t="str">
        <f>IFERROR(__xludf.DUMMYFUNCTION("""COMPUTED_VALUE"""),"PENDING")</f>
        <v>PENDING</v>
      </c>
      <c r="C1604" s="78">
        <f>IFERROR(__xludf.DUMMYFUNCTION("""COMPUTED_VALUE"""),46129.0)</f>
        <v>46129</v>
      </c>
      <c r="D1604" s="71" t="str">
        <f>IFERROR(__xludf.DUMMYFUNCTION("""COMPUTED_VALUE"""),"Top Herbalist Agriculture Cooperative")</f>
        <v>Top Herbalist Agriculture Cooperative</v>
      </c>
      <c r="E1604" s="71" t="str">
        <f>IFERROR(__xludf.DUMMYFUNCTION("""COMPUTED_VALUE"""),"Cabanbanan, Pagsanjan, LAGUNA")</f>
        <v>Cabanbanan, Pagsanjan, LAGUNA</v>
      </c>
      <c r="F1604" s="2" t="str">
        <f>IFERROR(__xludf.DUMMYFUNCTION("""COMPUTED_VALUE"""),"Lilibeth Javilinar")</f>
        <v>Lilibeth Javilinar</v>
      </c>
      <c r="G1604" s="2">
        <f>IFERROR(__xludf.DUMMYFUNCTION("""COMPUTED_VALUE"""),9.29256947E9)</f>
        <v>9292569470</v>
      </c>
      <c r="H1604" s="2"/>
      <c r="I1604" s="72" t="str">
        <f>IFERROR(__xludf.DUMMYFUNCTION("""COMPUTED_VALUE"""),"PMS")</f>
        <v>PMS</v>
      </c>
      <c r="J1604" s="72"/>
      <c r="K1604" s="72" t="str">
        <f>IFERROR(__xludf.DUMMYFUNCTION("""COMPUTED_VALUE"""),"ECM: For 1st PMS free")</f>
        <v>ECM: For 1st PMS free</v>
      </c>
      <c r="L1604" s="72" t="str">
        <f>IFERROR(__xludf.DUMMYFUNCTION("""COMPUTED_VALUE"""),"ECM - JTT Done")</f>
        <v>ECM - JTT Done</v>
      </c>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c r="AJ1604" s="2" t="str">
        <f>IFERROR(__xludf.DUMMYFUNCTION("""COMPUTED_VALUE"""),"Cabanbanan")</f>
        <v>Cabanbanan</v>
      </c>
      <c r="AK1604" s="2" t="str">
        <f>IFERROR(__xludf.DUMMYFUNCTION("""COMPUTED_VALUE"""),"Pagsanjan")</f>
        <v>Pagsanjan</v>
      </c>
      <c r="AL1604" s="2" t="str">
        <f>IFERROR(__xludf.DUMMYFUNCTION("""COMPUTED_VALUE"""),"Laguna")</f>
        <v>Laguna</v>
      </c>
      <c r="AM1604" s="2" t="str">
        <f>IFERROR(__xludf.DUMMYFUNCTION("""COMPUTED_VALUE"""),"4A")</f>
        <v>4A</v>
      </c>
      <c r="AN1604" s="2" t="str">
        <f>IFERROR(__xludf.DUMMYFUNCTION("""COMPUTED_VALUE"""),"RCEF 25-03-05")</f>
        <v>RCEF 25-03-05</v>
      </c>
      <c r="AO1604" s="2">
        <f>IFERROR(__xludf.DUMMYFUNCTION("""COMPUTED_VALUE"""),7.0)</f>
        <v>7</v>
      </c>
      <c r="AP1604" s="2" t="str">
        <f>IFERROR(__xludf.DUMMYFUNCTION("""COMPUTED_VALUE"""),"FREE PMS")</f>
        <v>FREE PMS</v>
      </c>
      <c r="AQ1604" s="2"/>
      <c r="AR1604" s="2"/>
      <c r="AS1604" s="2"/>
      <c r="AT1604" s="2"/>
      <c r="AU1604" s="2"/>
      <c r="AV1604" s="2"/>
      <c r="AW1604" s="2"/>
      <c r="AX1604" s="2"/>
      <c r="AY1604" s="2"/>
      <c r="AZ1604" s="2"/>
      <c r="BA1604" s="2"/>
      <c r="BB1604" s="2"/>
    </row>
    <row r="1605">
      <c r="A1605" s="2">
        <f>IFERROR(__xludf.DUMMYFUNCTION("""COMPUTED_VALUE"""),1601.0)</f>
        <v>1601</v>
      </c>
      <c r="B1605" s="2" t="str">
        <f>IFERROR(__xludf.DUMMYFUNCTION("""COMPUTED_VALUE"""),"PENDING")</f>
        <v>PENDING</v>
      </c>
      <c r="C1605" s="78">
        <f>IFERROR(__xludf.DUMMYFUNCTION("""COMPUTED_VALUE"""),46129.0)</f>
        <v>46129</v>
      </c>
      <c r="D1605" s="71" t="str">
        <f>IFERROR(__xludf.DUMMYFUNCTION("""COMPUTED_VALUE"""),"SINTORISAN-BEHIA SWISA INC.")</f>
        <v>SINTORISAN-BEHIA SWISA INC.</v>
      </c>
      <c r="E1605" s="71" t="str">
        <f>IFERROR(__xludf.DUMMYFUNCTION("""COMPUTED_VALUE"""),"Behia, Tiaong, QUEZON")</f>
        <v>Behia, Tiaong, QUEZON</v>
      </c>
      <c r="F1605" s="2" t="str">
        <f>IFERROR(__xludf.DUMMYFUNCTION("""COMPUTED_VALUE"""),"Gregorio T. Garde")</f>
        <v>Gregorio T. Garde</v>
      </c>
      <c r="G1605" s="2">
        <f>IFERROR(__xludf.DUMMYFUNCTION("""COMPUTED_VALUE"""),9.369066855E9)</f>
        <v>9369066855</v>
      </c>
      <c r="H1605" s="2">
        <f>IFERROR(__xludf.DUMMYFUNCTION("""COMPUTED_VALUE"""),123.1)</f>
        <v>123.1</v>
      </c>
      <c r="I1605" s="72" t="str">
        <f>IFERROR(__xludf.DUMMYFUNCTION("""COMPUTED_VALUE"""),"REPAIR - DISC PLOW")</f>
        <v>REPAIR - DISC PLOW</v>
      </c>
      <c r="J1605" s="72" t="str">
        <f>IFERROR(__xludf.DUMMYFUNCTION("""COMPUTED_VALUE"""),"Leak")</f>
        <v>Leak</v>
      </c>
      <c r="K1605" s="72" t="str">
        <f>IFERROR(__xludf.DUMMYFUNCTION("""COMPUTED_VALUE"""),"RBS: Ang concern po ay SA displow may leak lumalabas Ang gear oil may lamat ")</f>
        <v>RBS: Ang concern po ay SA displow may leak lumalabas Ang gear oil may lamat </v>
      </c>
      <c r="L1605" s="72" t="str">
        <f>IFERROR(__xludf.DUMMYFUNCTION("""COMPUTED_VALUE"""),"TO CALL- TO CONFIRM PARTS NEEDED
TO CALL BY RBS")</f>
        <v>TO CALL- TO CONFIRM PARTS NEEDED
TO CALL BY RBS</v>
      </c>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c r="AJ1605" s="2" t="str">
        <f>IFERROR(__xludf.DUMMYFUNCTION("""COMPUTED_VALUE"""),"Behia")</f>
        <v>Behia</v>
      </c>
      <c r="AK1605" s="2" t="str">
        <f>IFERROR(__xludf.DUMMYFUNCTION("""COMPUTED_VALUE"""),"Tiaong")</f>
        <v>Tiaong</v>
      </c>
      <c r="AL1605" s="2" t="str">
        <f>IFERROR(__xludf.DUMMYFUNCTION("""COMPUTED_VALUE"""),"Quezon")</f>
        <v>Quezon</v>
      </c>
      <c r="AM1605" s="2" t="str">
        <f>IFERROR(__xludf.DUMMYFUNCTION("""COMPUTED_VALUE"""),"4A")</f>
        <v>4A</v>
      </c>
      <c r="AN1605" s="2" t="str">
        <f>IFERROR(__xludf.DUMMYFUNCTION("""COMPUTED_VALUE"""),"RCEF 25-03-05")</f>
        <v>RCEF 25-03-05</v>
      </c>
      <c r="AO1605" s="2">
        <f>IFERROR(__xludf.DUMMYFUNCTION("""COMPUTED_VALUE"""),7.0)</f>
        <v>7</v>
      </c>
      <c r="AP1605" s="2" t="str">
        <f>IFERROR(__xludf.DUMMYFUNCTION("""COMPUTED_VALUE"""),"FREE PMS")</f>
        <v>FREE PMS</v>
      </c>
      <c r="AQ1605" s="2"/>
      <c r="AR1605" s="2"/>
      <c r="AS1605" s="2"/>
      <c r="AT1605" s="2"/>
      <c r="AU1605" s="2"/>
      <c r="AV1605" s="2"/>
      <c r="AW1605" s="2"/>
      <c r="AX1605" s="2"/>
      <c r="AY1605" s="2"/>
      <c r="AZ1605" s="2"/>
      <c r="BA1605" s="2"/>
      <c r="BB1605" s="2"/>
    </row>
    <row r="1606">
      <c r="A1606" s="2">
        <f>IFERROR(__xludf.DUMMYFUNCTION("""COMPUTED_VALUE"""),1602.0)</f>
        <v>1602</v>
      </c>
      <c r="B1606" s="2" t="str">
        <f>IFERROR(__xludf.DUMMYFUNCTION("""COMPUTED_VALUE"""),"COMPLETED")</f>
        <v>COMPLETED</v>
      </c>
      <c r="C1606" s="74">
        <f>IFERROR(__xludf.DUMMYFUNCTION("""COMPUTED_VALUE"""),46129.0)</f>
        <v>46129</v>
      </c>
      <c r="D1606" s="71" t="str">
        <f>IFERROR(__xludf.DUMMYFUNCTION("""COMPUTED_VALUE"""),"Calaguise Agriculture Cooperative")</f>
        <v>Calaguise Agriculture Cooperative</v>
      </c>
      <c r="E1606" s="71" t="str">
        <f>IFERROR(__xludf.DUMMYFUNCTION("""COMPUTED_VALUE"""),"Calaguise, Leyte, LEYTE")</f>
        <v>Calaguise, Leyte, LEYTE</v>
      </c>
      <c r="F1606" s="2" t="str">
        <f>IFERROR(__xludf.DUMMYFUNCTION("""COMPUTED_VALUE"""),"JEREMIAS MEDALLA")</f>
        <v>JEREMIAS MEDALLA</v>
      </c>
      <c r="G1606" s="2">
        <f>IFERROR(__xludf.DUMMYFUNCTION("""COMPUTED_VALUE"""),9.09830011E9)</f>
        <v>9098300110</v>
      </c>
      <c r="H1606" s="2">
        <f>IFERROR(__xludf.DUMMYFUNCTION("""COMPUTED_VALUE"""),50.5)</f>
        <v>50.5</v>
      </c>
      <c r="I1606" s="72" t="str">
        <f>IFERROR(__xludf.DUMMYFUNCTION("""COMPUTED_VALUE"""),"PMS")</f>
        <v>PMS</v>
      </c>
      <c r="J1606" s="72"/>
      <c r="K1606" s="72" t="str">
        <f>IFERROR(__xludf.DUMMYFUNCTION("""COMPUTED_VALUE"""),"FPJ:  1ST PMS FREE")</f>
        <v>FPJ:  1ST PMS FREE</v>
      </c>
      <c r="L1606" s="72" t="str">
        <f>IFERROR(__xludf.DUMMYFUNCTION("""COMPUTED_VALUE"""),"FPJ: 1ST PMS DONE")</f>
        <v>FPJ: 1ST PMS DONE</v>
      </c>
      <c r="M1606" s="2"/>
      <c r="N1606" s="2" t="str">
        <f>IFERROR(__xludf.DUMMYFUNCTION("""COMPUTED_VALUE"""),"PARTS:
OIL FILTER
ENGINE OIL")</f>
        <v>PARTS:
OIL FILTER
ENGINE OIL</v>
      </c>
      <c r="O1606" s="2">
        <f>IFERROR(__xludf.DUMMYFUNCTION("""COMPUTED_VALUE"""),268.0)</f>
        <v>268</v>
      </c>
      <c r="P1606" s="2"/>
      <c r="Q1606" s="2" t="str">
        <f>IFERROR(__xludf.DUMMYFUNCTION("""COMPUTED_VALUE"""),"FOR PRINT")</f>
        <v>FOR PRINT</v>
      </c>
      <c r="R1606" s="74">
        <f>IFERROR(__xludf.DUMMYFUNCTION("""COMPUTED_VALUE"""),46129.0)</f>
        <v>46129</v>
      </c>
      <c r="S1606" s="2" t="str">
        <f>IFERROR(__xludf.DUMMYFUNCTION("""COMPUTED_VALUE"""),"FPJ/JAH")</f>
        <v>FPJ/JAH</v>
      </c>
      <c r="T1606" s="73" t="str">
        <f>IFERROR(__xludf.DUMMYFUNCTION("""COMPUTED_VALUE""")," N/A ")</f>
        <v>N/A</v>
      </c>
      <c r="U1606" s="73" t="str">
        <f>IFERROR(__xludf.DUMMYFUNCTION("""COMPUTED_VALUE""")," NO CHARGE ")</f>
        <v>NO CHARGE</v>
      </c>
      <c r="V1606" s="2">
        <f>IFERROR(__xludf.DUMMYFUNCTION("""COMPUTED_VALUE"""),1566.0)</f>
        <v>1566</v>
      </c>
      <c r="W1606" s="2" t="str">
        <f>IFERROR(__xludf.DUMMYFUNCTION("""COMPUTED_VALUE"""),"N/A")</f>
        <v>N/A</v>
      </c>
      <c r="X1606" s="2" t="str">
        <f>IFERROR(__xludf.DUMMYFUNCTION("""COMPUTED_VALUE"""),"N/A")</f>
        <v>N/A</v>
      </c>
      <c r="Y1606" s="2"/>
      <c r="Z1606" s="2"/>
      <c r="AA1606" s="2"/>
      <c r="AB1606" s="2"/>
      <c r="AC1606" s="2"/>
      <c r="AD1606" s="2"/>
      <c r="AE1606" s="2"/>
      <c r="AF1606" s="2"/>
      <c r="AG1606" s="2"/>
      <c r="AH1606" s="2"/>
      <c r="AI1606" s="2"/>
      <c r="AJ1606" s="2" t="str">
        <f>IFERROR(__xludf.DUMMYFUNCTION("""COMPUTED_VALUE"""),"Calaguise")</f>
        <v>Calaguise</v>
      </c>
      <c r="AK1606" s="2" t="str">
        <f>IFERROR(__xludf.DUMMYFUNCTION("""COMPUTED_VALUE"""),"Leyte")</f>
        <v>Leyte</v>
      </c>
      <c r="AL1606" s="2" t="str">
        <f>IFERROR(__xludf.DUMMYFUNCTION("""COMPUTED_VALUE"""),"Leyte")</f>
        <v>Leyte</v>
      </c>
      <c r="AM1606" s="2">
        <f>IFERROR(__xludf.DUMMYFUNCTION("""COMPUTED_VALUE"""),8.0)</f>
        <v>8</v>
      </c>
      <c r="AN1606" s="2" t="str">
        <f>IFERROR(__xludf.DUMMYFUNCTION("""COMPUTED_VALUE"""),"RCEF 25-03-05")</f>
        <v>RCEF 25-03-05</v>
      </c>
      <c r="AO1606" s="2">
        <f>IFERROR(__xludf.DUMMYFUNCTION("""COMPUTED_VALUE"""),7.0)</f>
        <v>7</v>
      </c>
      <c r="AP1606" s="2" t="str">
        <f>IFERROR(__xludf.DUMMYFUNCTION("""COMPUTED_VALUE"""),"FREE PMS")</f>
        <v>FREE PMS</v>
      </c>
      <c r="AQ1606" s="2"/>
      <c r="AR1606" s="2"/>
      <c r="AS1606" s="2"/>
      <c r="AT1606" s="2"/>
      <c r="AU1606" s="2"/>
      <c r="AV1606" s="2"/>
      <c r="AW1606" s="2"/>
      <c r="AX1606" s="2"/>
      <c r="AY1606" s="2"/>
      <c r="AZ1606" s="2"/>
      <c r="BA1606" s="2"/>
      <c r="BB1606" s="2"/>
    </row>
    <row r="1607">
      <c r="A1607" s="2">
        <f>IFERROR(__xludf.DUMMYFUNCTION("""COMPUTED_VALUE"""),1603.0)</f>
        <v>1603</v>
      </c>
      <c r="B1607" s="2" t="str">
        <f>IFERROR(__xludf.DUMMYFUNCTION("""COMPUTED_VALUE"""),"COMPLETED")</f>
        <v>COMPLETED</v>
      </c>
      <c r="C1607" s="74">
        <f>IFERROR(__xludf.DUMMYFUNCTION("""COMPUTED_VALUE"""),46129.0)</f>
        <v>46129</v>
      </c>
      <c r="D1607" s="71" t="str">
        <f>IFERROR(__xludf.DUMMYFUNCTION("""COMPUTED_VALUE"""),"MUNICIPAL LOCAL GOVERNMENT UNIT OF ALANGALANG")</f>
        <v>MUNICIPAL LOCAL GOVERNMENT UNIT OF ALANGALANG</v>
      </c>
      <c r="E1607" s="71" t="str">
        <f>IFERROR(__xludf.DUMMYFUNCTION("""COMPUTED_VALUE"""),"Santo Niño (Pob.), Alangalang, LEYTE")</f>
        <v>Santo Niño (Pob.), Alangalang, LEYTE</v>
      </c>
      <c r="F1607" s="2" t="str">
        <f>IFERROR(__xludf.DUMMYFUNCTION("""COMPUTED_VALUE"""),"CESAR D.ANADE(MA)")</f>
        <v>CESAR D.ANADE(MA)</v>
      </c>
      <c r="G1607" s="2">
        <f>IFERROR(__xludf.DUMMYFUNCTION("""COMPUTED_VALUE"""),9.120932609E9)</f>
        <v>9120932609</v>
      </c>
      <c r="H1607" s="2">
        <f>IFERROR(__xludf.DUMMYFUNCTION("""COMPUTED_VALUE"""),17.1)</f>
        <v>17.1</v>
      </c>
      <c r="I1607" s="72" t="str">
        <f>IFERROR(__xludf.DUMMYFUNCTION("""COMPUTED_VALUE"""),"PMS")</f>
        <v>PMS</v>
      </c>
      <c r="J1607" s="72"/>
      <c r="K1607" s="72" t="str">
        <f>IFERROR(__xludf.DUMMYFUNCTION("""COMPUTED_VALUE"""),"FPJ: 1ST PMS FREE, PARASITIC DRAIN WIRINGS")</f>
        <v>FPJ: 1ST PMS FREE, PARASITIC DRAIN WIRINGS</v>
      </c>
      <c r="L1607" s="72" t="str">
        <f>IFERROR(__xludf.DUMMYFUNCTION("""COMPUTED_VALUE"""),"FPJ: 1ST PMS DONE, CHECK WIRING CONNECTIONS TROUBLE SHOOT THE CAUSE OF THE DRAIN.")</f>
        <v>FPJ: 1ST PMS DONE, CHECK WIRING CONNECTIONS TROUBLE SHOOT THE CAUSE OF THE DRAIN.</v>
      </c>
      <c r="M1607" s="2"/>
      <c r="N1607" s="2" t="str">
        <f>IFERROR(__xludf.DUMMYFUNCTION("""COMPUTED_VALUE"""),"PARTS:
OIL FILTER
ENGINE OIL")</f>
        <v>PARTS:
OIL FILTER
ENGINE OIL</v>
      </c>
      <c r="O1607" s="2">
        <f>IFERROR(__xludf.DUMMYFUNCTION("""COMPUTED_VALUE"""),269.0)</f>
        <v>269</v>
      </c>
      <c r="P1607" s="2"/>
      <c r="Q1607" s="2" t="str">
        <f>IFERROR(__xludf.DUMMYFUNCTION("""COMPUTED_VALUE"""),"FOR PRINT")</f>
        <v>FOR PRINT</v>
      </c>
      <c r="R1607" s="74">
        <f>IFERROR(__xludf.DUMMYFUNCTION("""COMPUTED_VALUE"""),46129.0)</f>
        <v>46129</v>
      </c>
      <c r="S1607" s="2" t="str">
        <f>IFERROR(__xludf.DUMMYFUNCTION("""COMPUTED_VALUE"""),"FPJ/JAH")</f>
        <v>FPJ/JAH</v>
      </c>
      <c r="T1607" s="73" t="str">
        <f>IFERROR(__xludf.DUMMYFUNCTION("""COMPUTED_VALUE""")," N/A ")</f>
        <v>N/A</v>
      </c>
      <c r="U1607" s="73" t="str">
        <f>IFERROR(__xludf.DUMMYFUNCTION("""COMPUTED_VALUE""")," NO CHARGE ")</f>
        <v>NO CHARGE</v>
      </c>
      <c r="V1607" s="2">
        <f>IFERROR(__xludf.DUMMYFUNCTION("""COMPUTED_VALUE"""),1567.0)</f>
        <v>1567</v>
      </c>
      <c r="W1607" s="2" t="str">
        <f>IFERROR(__xludf.DUMMYFUNCTION("""COMPUTED_VALUE"""),"N/A")</f>
        <v>N/A</v>
      </c>
      <c r="X1607" s="2" t="str">
        <f>IFERROR(__xludf.DUMMYFUNCTION("""COMPUTED_VALUE"""),"N/A")</f>
        <v>N/A</v>
      </c>
      <c r="Y1607" s="2"/>
      <c r="Z1607" s="2"/>
      <c r="AA1607" s="2"/>
      <c r="AB1607" s="2"/>
      <c r="AC1607" s="2"/>
      <c r="AD1607" s="2"/>
      <c r="AE1607" s="2"/>
      <c r="AF1607" s="2"/>
      <c r="AG1607" s="2"/>
      <c r="AH1607" s="2"/>
      <c r="AI1607" s="2"/>
      <c r="AJ1607" s="2" t="str">
        <f>IFERROR(__xludf.DUMMYFUNCTION("""COMPUTED_VALUE"""),"Santo Niño (Pob.)")</f>
        <v>Santo Niño (Pob.)</v>
      </c>
      <c r="AK1607" s="2" t="str">
        <f>IFERROR(__xludf.DUMMYFUNCTION("""COMPUTED_VALUE"""),"Alangalang")</f>
        <v>Alangalang</v>
      </c>
      <c r="AL1607" s="2" t="str">
        <f>IFERROR(__xludf.DUMMYFUNCTION("""COMPUTED_VALUE"""),"Leyte")</f>
        <v>Leyte</v>
      </c>
      <c r="AM1607" s="2">
        <f>IFERROR(__xludf.DUMMYFUNCTION("""COMPUTED_VALUE"""),8.0)</f>
        <v>8</v>
      </c>
      <c r="AN1607" s="2" t="str">
        <f>IFERROR(__xludf.DUMMYFUNCTION("""COMPUTED_VALUE"""),"RCEF 25-03-05")</f>
        <v>RCEF 25-03-05</v>
      </c>
      <c r="AO1607" s="2">
        <f>IFERROR(__xludf.DUMMYFUNCTION("""COMPUTED_VALUE"""),7.0)</f>
        <v>7</v>
      </c>
      <c r="AP1607" s="2" t="str">
        <f>IFERROR(__xludf.DUMMYFUNCTION("""COMPUTED_VALUE"""),"FREE PMS")</f>
        <v>FREE PMS</v>
      </c>
      <c r="AQ1607" s="2"/>
      <c r="AR1607" s="2"/>
      <c r="AS1607" s="2"/>
      <c r="AT1607" s="2"/>
      <c r="AU1607" s="2"/>
      <c r="AV1607" s="2"/>
      <c r="AW1607" s="2"/>
      <c r="AX1607" s="2"/>
      <c r="AY1607" s="2"/>
      <c r="AZ1607" s="2"/>
      <c r="BA1607" s="2"/>
      <c r="BB1607" s="2"/>
    </row>
    <row r="1608">
      <c r="A1608" s="2">
        <f>IFERROR(__xludf.DUMMYFUNCTION("""COMPUTED_VALUE"""),1604.0)</f>
        <v>1604</v>
      </c>
      <c r="B1608" s="2" t="str">
        <f>IFERROR(__xludf.DUMMYFUNCTION("""COMPUTED_VALUE"""),"PENDING")</f>
        <v>PENDING</v>
      </c>
      <c r="C1608" s="78">
        <f>IFERROR(__xludf.DUMMYFUNCTION("""COMPUTED_VALUE"""),46129.0)</f>
        <v>46129</v>
      </c>
      <c r="D1608" s="71" t="str">
        <f>IFERROR(__xludf.DUMMYFUNCTION("""COMPUTED_VALUE"""),"Farmers Association of Sto. Niño Tabuan")</f>
        <v>Farmers Association of Sto. Niño Tabuan</v>
      </c>
      <c r="E1608" s="71" t="str">
        <f>IFERROR(__xludf.DUMMYFUNCTION("""COMPUTED_VALUE"""),"Santo Niño Tabuan, Arayat, PAMPANGA")</f>
        <v>Santo Niño Tabuan, Arayat, PAMPANGA</v>
      </c>
      <c r="F1608" s="2" t="str">
        <f>IFERROR(__xludf.DUMMYFUNCTION("""COMPUTED_VALUE"""),"Rodel Tiongsn")</f>
        <v>Rodel Tiongsn</v>
      </c>
      <c r="G1608" s="2">
        <f>IFERROR(__xludf.DUMMYFUNCTION("""COMPUTED_VALUE"""),9.262213711E9)</f>
        <v>9262213711</v>
      </c>
      <c r="H1608" s="2">
        <f>IFERROR(__xludf.DUMMYFUNCTION("""COMPUTED_VALUE"""),100.0)</f>
        <v>100</v>
      </c>
      <c r="I1608" s="72" t="str">
        <f>IFERROR(__xludf.DUMMYFUNCTION("""COMPUTED_VALUE"""),"PMS")</f>
        <v>PMS</v>
      </c>
      <c r="J1608" s="72" t="str">
        <f>IFERROR(__xludf.DUMMYFUNCTION("""COMPUTED_VALUE"""),"PMS")</f>
        <v>PMS</v>
      </c>
      <c r="K1608" s="72" t="str">
        <f>IFERROR(__xludf.DUMMYFUNCTION("""COMPUTED_VALUE"""),"CTF: Request: 1st PMS")</f>
        <v>CTF: Request: 1st PMS</v>
      </c>
      <c r="L1608" s="72" t="str">
        <f>IFERROR(__xludf.DUMMYFUNCTION("""COMPUTED_VALUE"""),"CTF: DONE PMS - REPORTED")</f>
        <v>CTF: DONE PMS - REPORTED</v>
      </c>
      <c r="M1608" s="2"/>
      <c r="N1608" s="2" t="str">
        <f>IFERROR(__xludf.DUMMYFUNCTION("""COMPUTED_VALUE"""),"PARTS: 
OIL FILTER 
ENGINE OIL")</f>
        <v>PARTS: 
OIL FILTER 
ENGINE OIL</v>
      </c>
      <c r="O1608" s="2" t="str">
        <f>IFERROR(__xludf.DUMMYFUNCTION("""COMPUTED_VALUE"""),"PENDING")</f>
        <v>PENDING</v>
      </c>
      <c r="P1608" s="2"/>
      <c r="Q1608" s="2"/>
      <c r="R1608" s="2"/>
      <c r="S1608" s="2"/>
      <c r="T1608" s="2"/>
      <c r="U1608" s="2"/>
      <c r="V1608" s="2">
        <f>IFERROR(__xludf.DUMMYFUNCTION("""COMPUTED_VALUE"""),1550.0)</f>
        <v>1550</v>
      </c>
      <c r="W1608" s="2" t="str">
        <f>IFERROR(__xludf.DUMMYFUNCTION("""COMPUTED_VALUE"""),"N/A")</f>
        <v>N/A</v>
      </c>
      <c r="X1608" s="2" t="str">
        <f>IFERROR(__xludf.DUMMYFUNCTION("""COMPUTED_VALUE"""),"N/A")</f>
        <v>N/A</v>
      </c>
      <c r="Y1608" s="2"/>
      <c r="Z1608" s="2"/>
      <c r="AA1608" s="2"/>
      <c r="AB1608" s="2"/>
      <c r="AC1608" s="2"/>
      <c r="AD1608" s="2"/>
      <c r="AE1608" s="2"/>
      <c r="AF1608" s="2"/>
      <c r="AG1608" s="2"/>
      <c r="AH1608" s="2"/>
      <c r="AI1608" s="2"/>
      <c r="AJ1608" s="2" t="str">
        <f>IFERROR(__xludf.DUMMYFUNCTION("""COMPUTED_VALUE"""),"Santo Niño Tabuan")</f>
        <v>Santo Niño Tabuan</v>
      </c>
      <c r="AK1608" s="2" t="str">
        <f>IFERROR(__xludf.DUMMYFUNCTION("""COMPUTED_VALUE"""),"Arayat")</f>
        <v>Arayat</v>
      </c>
      <c r="AL1608" s="2" t="str">
        <f>IFERROR(__xludf.DUMMYFUNCTION("""COMPUTED_VALUE"""),"Pampanga")</f>
        <v>Pampanga</v>
      </c>
      <c r="AM1608" s="2">
        <f>IFERROR(__xludf.DUMMYFUNCTION("""COMPUTED_VALUE"""),3.0)</f>
        <v>3</v>
      </c>
      <c r="AN1608" s="2" t="str">
        <f>IFERROR(__xludf.DUMMYFUNCTION("""COMPUTED_VALUE"""),"RCEF 25-03-05")</f>
        <v>RCEF 25-03-05</v>
      </c>
      <c r="AO1608" s="2">
        <f>IFERROR(__xludf.DUMMYFUNCTION("""COMPUTED_VALUE"""),5.0)</f>
        <v>5</v>
      </c>
      <c r="AP1608" s="2" t="str">
        <f>IFERROR(__xludf.DUMMYFUNCTION("""COMPUTED_VALUE"""),"FREE PMS")</f>
        <v>FREE PMS</v>
      </c>
      <c r="AQ1608" s="2"/>
      <c r="AR1608" s="2"/>
      <c r="AS1608" s="2"/>
      <c r="AT1608" s="2"/>
      <c r="AU1608" s="2"/>
      <c r="AV1608" s="2"/>
      <c r="AW1608" s="2"/>
      <c r="AX1608" s="2"/>
      <c r="AY1608" s="2"/>
      <c r="AZ1608" s="2"/>
      <c r="BA1608" s="2"/>
      <c r="BB1608" s="2"/>
    </row>
    <row r="1609">
      <c r="A1609" s="2">
        <f>IFERROR(__xludf.DUMMYFUNCTION("""COMPUTED_VALUE"""),1605.0)</f>
        <v>1605</v>
      </c>
      <c r="B1609" s="2" t="str">
        <f>IFERROR(__xludf.DUMMYFUNCTION("""COMPUTED_VALUE"""),"COMPLETED")</f>
        <v>COMPLETED</v>
      </c>
      <c r="C1609" s="74">
        <f>IFERROR(__xludf.DUMMYFUNCTION("""COMPUTED_VALUE"""),46130.0)</f>
        <v>46130</v>
      </c>
      <c r="D1609" s="71" t="str">
        <f>IFERROR(__xludf.DUMMYFUNCTION("""COMPUTED_VALUE"""),"LIBERTAD PROGRESSIVE AGRICULTURAL FARMERS ASSOCIATION (LPAFA)")</f>
        <v>LIBERTAD PROGRESSIVE AGRICULTURAL FARMERS ASSOCIATION (LPAFA)</v>
      </c>
      <c r="E1609" s="71" t="str">
        <f>IFERROR(__xludf.DUMMYFUNCTION("""COMPUTED_VALUE"""),"Libertad, Abuyog, LEYTE")</f>
        <v>Libertad, Abuyog, LEYTE</v>
      </c>
      <c r="F1609" s="2" t="str">
        <f>IFERROR(__xludf.DUMMYFUNCTION("""COMPUTED_VALUE"""),"ESTERLITA D. Reas")</f>
        <v>ESTERLITA D. Reas</v>
      </c>
      <c r="G1609" s="2" t="str">
        <f>IFERROR(__xludf.DUMMYFUNCTION("""COMPUTED_VALUE"""),":09679163392")</f>
        <v>:09679163392</v>
      </c>
      <c r="H1609" s="2">
        <f>IFERROR(__xludf.DUMMYFUNCTION("""COMPUTED_VALUE"""),22.1)</f>
        <v>22.1</v>
      </c>
      <c r="I1609" s="72" t="str">
        <f>IFERROR(__xludf.DUMMYFUNCTION("""COMPUTED_VALUE"""),"PMS")</f>
        <v>PMS</v>
      </c>
      <c r="J1609" s="72"/>
      <c r="K1609" s="72" t="str">
        <f>IFERROR(__xludf.DUMMYFUNCTION("""COMPUTED_VALUE"""),"FPJ: 1ST PMS FREE")</f>
        <v>FPJ: 1ST PMS FREE</v>
      </c>
      <c r="L1609" s="72" t="str">
        <f>IFERROR(__xludf.DUMMYFUNCTION("""COMPUTED_VALUE"""),"FPJ: 1ST PMS DONE")</f>
        <v>FPJ: 1ST PMS DONE</v>
      </c>
      <c r="M1609" s="2"/>
      <c r="N1609" s="2" t="str">
        <f>IFERROR(__xludf.DUMMYFUNCTION("""COMPUTED_VALUE"""),"PARTS:
OIL FILTER
ENGINE OIL")</f>
        <v>PARTS:
OIL FILTER
ENGINE OIL</v>
      </c>
      <c r="O1609" s="2">
        <f>IFERROR(__xludf.DUMMYFUNCTION("""COMPUTED_VALUE"""),270.0)</f>
        <v>270</v>
      </c>
      <c r="P1609" s="2"/>
      <c r="Q1609" s="2" t="str">
        <f>IFERROR(__xludf.DUMMYFUNCTION("""COMPUTED_VALUE"""),"FOR PRINT")</f>
        <v>FOR PRINT</v>
      </c>
      <c r="R1609" s="74">
        <f>IFERROR(__xludf.DUMMYFUNCTION("""COMPUTED_VALUE"""),46130.0)</f>
        <v>46130</v>
      </c>
      <c r="S1609" s="2" t="str">
        <f>IFERROR(__xludf.DUMMYFUNCTION("""COMPUTED_VALUE"""),"FPJ/JAH")</f>
        <v>FPJ/JAH</v>
      </c>
      <c r="T1609" s="73" t="str">
        <f>IFERROR(__xludf.DUMMYFUNCTION("""COMPUTED_VALUE""")," N/A ")</f>
        <v>N/A</v>
      </c>
      <c r="U1609" s="73" t="str">
        <f>IFERROR(__xludf.DUMMYFUNCTION("""COMPUTED_VALUE""")," NO CHARGE ")</f>
        <v>NO CHARGE</v>
      </c>
      <c r="V1609" s="2">
        <f>IFERROR(__xludf.DUMMYFUNCTION("""COMPUTED_VALUE"""),1568.0)</f>
        <v>1568</v>
      </c>
      <c r="W1609" s="2" t="str">
        <f>IFERROR(__xludf.DUMMYFUNCTION("""COMPUTED_VALUE"""),"N/A")</f>
        <v>N/A</v>
      </c>
      <c r="X1609" s="2" t="str">
        <f>IFERROR(__xludf.DUMMYFUNCTION("""COMPUTED_VALUE"""),"N/A")</f>
        <v>N/A</v>
      </c>
      <c r="Y1609" s="2"/>
      <c r="Z1609" s="2"/>
      <c r="AA1609" s="2"/>
      <c r="AB1609" s="2"/>
      <c r="AC1609" s="2"/>
      <c r="AD1609" s="2"/>
      <c r="AE1609" s="2"/>
      <c r="AF1609" s="2"/>
      <c r="AG1609" s="2"/>
      <c r="AH1609" s="2"/>
      <c r="AI1609" s="2"/>
      <c r="AJ1609" s="2" t="str">
        <f>IFERROR(__xludf.DUMMYFUNCTION("""COMPUTED_VALUE"""),"Libertad")</f>
        <v>Libertad</v>
      </c>
      <c r="AK1609" s="2" t="str">
        <f>IFERROR(__xludf.DUMMYFUNCTION("""COMPUTED_VALUE"""),"Abuyog")</f>
        <v>Abuyog</v>
      </c>
      <c r="AL1609" s="2" t="str">
        <f>IFERROR(__xludf.DUMMYFUNCTION("""COMPUTED_VALUE"""),"Leyte")</f>
        <v>Leyte</v>
      </c>
      <c r="AM1609" s="2">
        <f>IFERROR(__xludf.DUMMYFUNCTION("""COMPUTED_VALUE"""),8.0)</f>
        <v>8</v>
      </c>
      <c r="AN1609" s="2" t="str">
        <f>IFERROR(__xludf.DUMMYFUNCTION("""COMPUTED_VALUE"""),"RCEF 25-03-05")</f>
        <v>RCEF 25-03-05</v>
      </c>
      <c r="AO1609" s="2">
        <f>IFERROR(__xludf.DUMMYFUNCTION("""COMPUTED_VALUE"""),7.0)</f>
        <v>7</v>
      </c>
      <c r="AP1609" s="2" t="str">
        <f>IFERROR(__xludf.DUMMYFUNCTION("""COMPUTED_VALUE"""),"FREE PMS")</f>
        <v>FREE PMS</v>
      </c>
      <c r="AQ1609" s="2"/>
      <c r="AR1609" s="2"/>
      <c r="AS1609" s="2"/>
      <c r="AT1609" s="2"/>
      <c r="AU1609" s="2"/>
      <c r="AV1609" s="2"/>
      <c r="AW1609" s="2"/>
      <c r="AX1609" s="2"/>
      <c r="AY1609" s="2"/>
      <c r="AZ1609" s="2"/>
      <c r="BA1609" s="2"/>
      <c r="BB1609" s="2"/>
    </row>
    <row r="1610">
      <c r="A1610" s="2">
        <f>IFERROR(__xludf.DUMMYFUNCTION("""COMPUTED_VALUE"""),1606.0)</f>
        <v>1606</v>
      </c>
      <c r="B1610" s="2" t="str">
        <f>IFERROR(__xludf.DUMMYFUNCTION("""COMPUTED_VALUE"""),"COMPLETED")</f>
        <v>COMPLETED</v>
      </c>
      <c r="C1610" s="74">
        <f>IFERROR(__xludf.DUMMYFUNCTION("""COMPUTED_VALUE"""),46130.0)</f>
        <v>46130</v>
      </c>
      <c r="D1610" s="71" t="str">
        <f>IFERROR(__xludf.DUMMYFUNCTION("""COMPUTED_VALUE"""),"GUINTAGBUCAN FARMERS ASSOCIATION")</f>
        <v>GUINTAGBUCAN FARMERS ASSOCIATION</v>
      </c>
      <c r="E1610" s="71" t="str">
        <f>IFERROR(__xludf.DUMMYFUNCTION("""COMPUTED_VALUE"""),"Guintagbucan (Pob.), Abuyog, LEYTE")</f>
        <v>Guintagbucan (Pob.), Abuyog, LEYTE</v>
      </c>
      <c r="F1610" s="2" t="str">
        <f>IFERROR(__xludf.DUMMYFUNCTION("""COMPUTED_VALUE"""),"FRANSISCA P. CINCO")</f>
        <v>FRANSISCA P. CINCO</v>
      </c>
      <c r="G1610" s="2" t="str">
        <f>IFERROR(__xludf.DUMMYFUNCTION("""COMPUTED_VALUE"""),":09539865263")</f>
        <v>:09539865263</v>
      </c>
      <c r="H1610" s="2">
        <f>IFERROR(__xludf.DUMMYFUNCTION("""COMPUTED_VALUE"""),105.9)</f>
        <v>105.9</v>
      </c>
      <c r="I1610" s="72" t="str">
        <f>IFERROR(__xludf.DUMMYFUNCTION("""COMPUTED_VALUE"""),"PMS")</f>
        <v>PMS</v>
      </c>
      <c r="J1610" s="72"/>
      <c r="K1610" s="72" t="str">
        <f>IFERROR(__xludf.DUMMYFUNCTION("""COMPUTED_VALUE"""),"FPJ: 1ST PMS FREE")</f>
        <v>FPJ: 1ST PMS FREE</v>
      </c>
      <c r="L1610" s="72" t="str">
        <f>IFERROR(__xludf.DUMMYFUNCTION("""COMPUTED_VALUE"""),"FPJ: 1ST PMS DONE")</f>
        <v>FPJ: 1ST PMS DONE</v>
      </c>
      <c r="M1610" s="2"/>
      <c r="N1610" s="2" t="str">
        <f>IFERROR(__xludf.DUMMYFUNCTION("""COMPUTED_VALUE"""),"PARTS:
OIL FILTER
ENGINE OIL")</f>
        <v>PARTS:
OIL FILTER
ENGINE OIL</v>
      </c>
      <c r="O1610" s="2">
        <f>IFERROR(__xludf.DUMMYFUNCTION("""COMPUTED_VALUE"""),271.0)</f>
        <v>271</v>
      </c>
      <c r="P1610" s="2"/>
      <c r="Q1610" s="2" t="str">
        <f>IFERROR(__xludf.DUMMYFUNCTION("""COMPUTED_VALUE"""),"FOR PRINT")</f>
        <v>FOR PRINT</v>
      </c>
      <c r="R1610" s="74">
        <f>IFERROR(__xludf.DUMMYFUNCTION("""COMPUTED_VALUE"""),46130.0)</f>
        <v>46130</v>
      </c>
      <c r="S1610" s="2" t="str">
        <f>IFERROR(__xludf.DUMMYFUNCTION("""COMPUTED_VALUE"""),"FPJ/JAH")</f>
        <v>FPJ/JAH</v>
      </c>
      <c r="T1610" s="73" t="str">
        <f>IFERROR(__xludf.DUMMYFUNCTION("""COMPUTED_VALUE""")," N/A ")</f>
        <v>N/A</v>
      </c>
      <c r="U1610" s="73" t="str">
        <f>IFERROR(__xludf.DUMMYFUNCTION("""COMPUTED_VALUE""")," NO CHARGE ")</f>
        <v>NO CHARGE</v>
      </c>
      <c r="V1610" s="2">
        <f>IFERROR(__xludf.DUMMYFUNCTION("""COMPUTED_VALUE"""),1569.0)</f>
        <v>1569</v>
      </c>
      <c r="W1610" s="2" t="str">
        <f>IFERROR(__xludf.DUMMYFUNCTION("""COMPUTED_VALUE"""),"N/A")</f>
        <v>N/A</v>
      </c>
      <c r="X1610" s="2" t="str">
        <f>IFERROR(__xludf.DUMMYFUNCTION("""COMPUTED_VALUE"""),"N/A")</f>
        <v>N/A</v>
      </c>
      <c r="Y1610" s="2"/>
      <c r="Z1610" s="2"/>
      <c r="AA1610" s="2"/>
      <c r="AB1610" s="2"/>
      <c r="AC1610" s="2"/>
      <c r="AD1610" s="2"/>
      <c r="AE1610" s="2"/>
      <c r="AF1610" s="2"/>
      <c r="AG1610" s="2"/>
      <c r="AH1610" s="2"/>
      <c r="AI1610" s="2"/>
      <c r="AJ1610" s="2" t="str">
        <f>IFERROR(__xludf.DUMMYFUNCTION("""COMPUTED_VALUE"""),"Guintagbucan (Pob.)")</f>
        <v>Guintagbucan (Pob.)</v>
      </c>
      <c r="AK1610" s="2" t="str">
        <f>IFERROR(__xludf.DUMMYFUNCTION("""COMPUTED_VALUE"""),"Abuyog")</f>
        <v>Abuyog</v>
      </c>
      <c r="AL1610" s="2" t="str">
        <f>IFERROR(__xludf.DUMMYFUNCTION("""COMPUTED_VALUE"""),"Leyte")</f>
        <v>Leyte</v>
      </c>
      <c r="AM1610" s="2">
        <f>IFERROR(__xludf.DUMMYFUNCTION("""COMPUTED_VALUE"""),8.0)</f>
        <v>8</v>
      </c>
      <c r="AN1610" s="2" t="str">
        <f>IFERROR(__xludf.DUMMYFUNCTION("""COMPUTED_VALUE"""),"RCEF 25-03-05")</f>
        <v>RCEF 25-03-05</v>
      </c>
      <c r="AO1610" s="2">
        <f>IFERROR(__xludf.DUMMYFUNCTION("""COMPUTED_VALUE"""),7.0)</f>
        <v>7</v>
      </c>
      <c r="AP1610" s="2" t="str">
        <f>IFERROR(__xludf.DUMMYFUNCTION("""COMPUTED_VALUE"""),"FREE PMS")</f>
        <v>FREE PMS</v>
      </c>
      <c r="AQ1610" s="2"/>
      <c r="AR1610" s="2"/>
      <c r="AS1610" s="2"/>
      <c r="AT1610" s="2"/>
      <c r="AU1610" s="2"/>
      <c r="AV1610" s="2"/>
      <c r="AW1610" s="2"/>
      <c r="AX1610" s="2"/>
      <c r="AY1610" s="2"/>
      <c r="AZ1610" s="2"/>
      <c r="BA1610" s="2"/>
      <c r="BB1610" s="2"/>
    </row>
    <row r="1611">
      <c r="A1611" s="2">
        <f>IFERROR(__xludf.DUMMYFUNCTION("""COMPUTED_VALUE"""),1607.0)</f>
        <v>1607</v>
      </c>
      <c r="B1611" s="2" t="str">
        <f>IFERROR(__xludf.DUMMYFUNCTION("""COMPUTED_VALUE"""),"COMPLETED")</f>
        <v>COMPLETED</v>
      </c>
      <c r="C1611" s="74">
        <f>IFERROR(__xludf.DUMMYFUNCTION("""COMPUTED_VALUE"""),46130.0)</f>
        <v>46130</v>
      </c>
      <c r="D1611" s="71" t="str">
        <f>IFERROR(__xludf.DUMMYFUNCTION("""COMPUTED_VALUE"""),"TIGBAO-BOLONGTOHAN IRRIGATORS' ASSOCIATION, INC.")</f>
        <v>TIGBAO-BOLONGTOHAN IRRIGATORS' ASSOCIATION, INC.</v>
      </c>
      <c r="E1611" s="71" t="str">
        <f>IFERROR(__xludf.DUMMYFUNCTION("""COMPUTED_VALUE"""),"Tigbao, Dulag, LEYTE")</f>
        <v>Tigbao, Dulag, LEYTE</v>
      </c>
      <c r="F1611" s="2" t="str">
        <f>IFERROR(__xludf.DUMMYFUNCTION("""COMPUTED_VALUE"""),"BRAULIO DUNGZAL")</f>
        <v>BRAULIO DUNGZAL</v>
      </c>
      <c r="G1611" s="2">
        <f>IFERROR(__xludf.DUMMYFUNCTION("""COMPUTED_VALUE"""),9.168856989E9)</f>
        <v>9168856989</v>
      </c>
      <c r="H1611" s="2">
        <f>IFERROR(__xludf.DUMMYFUNCTION("""COMPUTED_VALUE"""),195.4)</f>
        <v>195.4</v>
      </c>
      <c r="I1611" s="72" t="str">
        <f>IFERROR(__xludf.DUMMYFUNCTION("""COMPUTED_VALUE"""),"PMS")</f>
        <v>PMS</v>
      </c>
      <c r="J1611" s="72"/>
      <c r="K1611" s="72" t="str">
        <f>IFERROR(__xludf.DUMMYFUNCTION("""COMPUTED_VALUE"""),"FPJ: 1ST PSM FREE")</f>
        <v>FPJ: 1ST PSM FREE</v>
      </c>
      <c r="L1611" s="72" t="str">
        <f>IFERROR(__xludf.DUMMYFUNCTION("""COMPUTED_VALUE"""),"FPJ: 1ST PMS DONE")</f>
        <v>FPJ: 1ST PMS DONE</v>
      </c>
      <c r="M1611" s="2"/>
      <c r="N1611" s="2" t="str">
        <f>IFERROR(__xludf.DUMMYFUNCTION("""COMPUTED_VALUE"""),"PARTS:
OIL FILTER
ENGINE OIL")</f>
        <v>PARTS:
OIL FILTER
ENGINE OIL</v>
      </c>
      <c r="O1611" s="2">
        <f>IFERROR(__xludf.DUMMYFUNCTION("""COMPUTED_VALUE"""),273.0)</f>
        <v>273</v>
      </c>
      <c r="P1611" s="2"/>
      <c r="Q1611" s="2" t="str">
        <f>IFERROR(__xludf.DUMMYFUNCTION("""COMPUTED_VALUE"""),"FOR PRINT")</f>
        <v>FOR PRINT</v>
      </c>
      <c r="R1611" s="74">
        <f>IFERROR(__xludf.DUMMYFUNCTION("""COMPUTED_VALUE"""),46130.0)</f>
        <v>46130</v>
      </c>
      <c r="S1611" s="2" t="str">
        <f>IFERROR(__xludf.DUMMYFUNCTION("""COMPUTED_VALUE"""),"FPJ/JAH")</f>
        <v>FPJ/JAH</v>
      </c>
      <c r="T1611" s="73" t="str">
        <f>IFERROR(__xludf.DUMMYFUNCTION("""COMPUTED_VALUE""")," N/A ")</f>
        <v>N/A</v>
      </c>
      <c r="U1611" s="73" t="str">
        <f>IFERROR(__xludf.DUMMYFUNCTION("""COMPUTED_VALUE""")," NO CHARGE ")</f>
        <v>NO CHARGE</v>
      </c>
      <c r="V1611" s="2">
        <f>IFERROR(__xludf.DUMMYFUNCTION("""COMPUTED_VALUE"""),1571.0)</f>
        <v>1571</v>
      </c>
      <c r="W1611" s="2" t="str">
        <f>IFERROR(__xludf.DUMMYFUNCTION("""COMPUTED_VALUE"""),"N/A")</f>
        <v>N/A</v>
      </c>
      <c r="X1611" s="2" t="str">
        <f>IFERROR(__xludf.DUMMYFUNCTION("""COMPUTED_VALUE"""),"N/A")</f>
        <v>N/A</v>
      </c>
      <c r="Y1611" s="2"/>
      <c r="Z1611" s="2"/>
      <c r="AA1611" s="2"/>
      <c r="AB1611" s="2"/>
      <c r="AC1611" s="2"/>
      <c r="AD1611" s="2"/>
      <c r="AE1611" s="2"/>
      <c r="AF1611" s="2"/>
      <c r="AG1611" s="2"/>
      <c r="AH1611" s="2"/>
      <c r="AI1611" s="2"/>
      <c r="AJ1611" s="2" t="str">
        <f>IFERROR(__xludf.DUMMYFUNCTION("""COMPUTED_VALUE"""),"Tigbao")</f>
        <v>Tigbao</v>
      </c>
      <c r="AK1611" s="2" t="str">
        <f>IFERROR(__xludf.DUMMYFUNCTION("""COMPUTED_VALUE"""),"Dulag")</f>
        <v>Dulag</v>
      </c>
      <c r="AL1611" s="2" t="str">
        <f>IFERROR(__xludf.DUMMYFUNCTION("""COMPUTED_VALUE"""),"Leyte")</f>
        <v>Leyte</v>
      </c>
      <c r="AM1611" s="2">
        <f>IFERROR(__xludf.DUMMYFUNCTION("""COMPUTED_VALUE"""),8.0)</f>
        <v>8</v>
      </c>
      <c r="AN1611" s="2" t="str">
        <f>IFERROR(__xludf.DUMMYFUNCTION("""COMPUTED_VALUE"""),"RCEF 25-03-05")</f>
        <v>RCEF 25-03-05</v>
      </c>
      <c r="AO1611" s="2">
        <f>IFERROR(__xludf.DUMMYFUNCTION("""COMPUTED_VALUE"""),7.0)</f>
        <v>7</v>
      </c>
      <c r="AP1611" s="2" t="str">
        <f>IFERROR(__xludf.DUMMYFUNCTION("""COMPUTED_VALUE"""),"FREE PMS")</f>
        <v>FREE PMS</v>
      </c>
      <c r="AQ1611" s="2"/>
      <c r="AR1611" s="2"/>
      <c r="AS1611" s="2"/>
      <c r="AT1611" s="2"/>
      <c r="AU1611" s="2"/>
      <c r="AV1611" s="2"/>
      <c r="AW1611" s="2"/>
      <c r="AX1611" s="2"/>
      <c r="AY1611" s="2"/>
      <c r="AZ1611" s="2"/>
      <c r="BA1611" s="2"/>
      <c r="BB1611" s="2"/>
    </row>
    <row r="1612">
      <c r="A1612" s="2">
        <f>IFERROR(__xludf.DUMMYFUNCTION("""COMPUTED_VALUE"""),1608.0)</f>
        <v>1608</v>
      </c>
      <c r="B1612" s="2" t="str">
        <f>IFERROR(__xludf.DUMMYFUNCTION("""COMPUTED_VALUE"""),"COMPLETED")</f>
        <v>COMPLETED</v>
      </c>
      <c r="C1612" s="78">
        <f>IFERROR(__xludf.DUMMYFUNCTION("""COMPUTED_VALUE"""),46132.0)</f>
        <v>46132</v>
      </c>
      <c r="D1612" s="71" t="str">
        <f>IFERROR(__xludf.DUMMYFUNCTION("""COMPUTED_VALUE"""),"STA. TERESA 1ST., RICE, CORN, HVCC AND LIVESTOCK")</f>
        <v>STA. TERESA 1ST., RICE, CORN, HVCC AND LIVESTOCK</v>
      </c>
      <c r="E1612" s="71" t="str">
        <f>IFERROR(__xludf.DUMMYFUNCTION("""COMPUTED_VALUE"""),"Santa Teresa 1st, Lubao, PAMPANGA")</f>
        <v>Santa Teresa 1st, Lubao, PAMPANGA</v>
      </c>
      <c r="F1612" s="2" t="str">
        <f>IFERROR(__xludf.DUMMYFUNCTION("""COMPUTED_VALUE"""),"HONORIO GUITERREZ JR.	
")</f>
        <v>HONORIO GUITERREZ JR.	
</v>
      </c>
      <c r="G1612" s="2">
        <f>IFERROR(__xludf.DUMMYFUNCTION("""COMPUTED_VALUE"""),9.159241613E9)</f>
        <v>9159241613</v>
      </c>
      <c r="H1612" s="2"/>
      <c r="I1612" s="72" t="str">
        <f>IFERROR(__xludf.DUMMYFUNCTION("""COMPUTED_VALUE"""),"REPAIR - TRACTOR")</f>
        <v>REPAIR - TRACTOR</v>
      </c>
      <c r="J1612" s="72" t="str">
        <f>IFERROR(__xludf.DUMMYFUNCTION("""COMPUTED_VALUE"""),"Electrical - Dashboard")</f>
        <v>Electrical - Dashboard</v>
      </c>
      <c r="K1612" s="72" t="str">
        <f>IFERROR(__xludf.DUMMYFUNCTION("""COMPUTED_VALUE"""),"MYK: MAY ILAW ANG DASHBOARD, PERO HINDI MAKITA ANG FUEL GAUGE, RPM, MACHINE HOURS, AT TEMPERATURE")</f>
        <v>MYK: MAY ILAW ANG DASHBOARD, PERO HINDI MAKITA ANG FUEL GAUGE, RPM, MACHINE HOURS, AT TEMPERATURE</v>
      </c>
      <c r="L1612" s="72" t="str">
        <f>IFERROR(__xludf.DUMMYFUNCTION("""COMPUTED_VALUE"""),"JDP: HINDI NAKABIT NG AYOS ANG SOCKET NG DASHBOARD KAYA NAG LOOSE, ")</f>
        <v>JDP: HINDI NAKABIT NG AYOS ANG SOCKET NG DASHBOARD KAYA NAG LOOSE, </v>
      </c>
      <c r="M1612" s="2"/>
      <c r="N1612" s="2"/>
      <c r="O1612" s="2">
        <f>IFERROR(__xludf.DUMMYFUNCTION("""COMPUTED_VALUE"""),493.0)</f>
        <v>493</v>
      </c>
      <c r="P1612" s="2"/>
      <c r="Q1612" s="2" t="str">
        <f>IFERROR(__xludf.DUMMYFUNCTION("""COMPUTED_VALUE"""),"FOR PRINT")</f>
        <v>FOR PRINT</v>
      </c>
      <c r="R1612" s="74">
        <f>IFERROR(__xludf.DUMMYFUNCTION("""COMPUTED_VALUE"""),46136.0)</f>
        <v>46136</v>
      </c>
      <c r="S1612" s="2" t="str">
        <f>IFERROR(__xludf.DUMMYFUNCTION("""COMPUTED_VALUE"""),"EGT/JDP")</f>
        <v>EGT/JDP</v>
      </c>
      <c r="T1612" s="73" t="str">
        <f>IFERROR(__xludf.DUMMYFUNCTION("""COMPUTED_VALUE""")," N/A ")</f>
        <v>N/A</v>
      </c>
      <c r="U1612" s="73" t="str">
        <f>IFERROR(__xludf.DUMMYFUNCTION("""COMPUTED_VALUE""")," NO CHARGE ")</f>
        <v>NO CHARGE</v>
      </c>
      <c r="V1612" s="2" t="str">
        <f>IFERROR(__xludf.DUMMYFUNCTION("""COMPUTED_VALUE"""),"N/A")</f>
        <v>N/A</v>
      </c>
      <c r="W1612" s="2" t="str">
        <f>IFERROR(__xludf.DUMMYFUNCTION("""COMPUTED_VALUE"""),"N/A")</f>
        <v>N/A</v>
      </c>
      <c r="X1612" s="2" t="str">
        <f>IFERROR(__xludf.DUMMYFUNCTION("""COMPUTED_VALUE"""),"N/A")</f>
        <v>N/A</v>
      </c>
      <c r="Y1612" s="2"/>
      <c r="Z1612" s="2"/>
      <c r="AA1612" s="2"/>
      <c r="AB1612" s="2"/>
      <c r="AC1612" s="2"/>
      <c r="AD1612" s="2"/>
      <c r="AE1612" s="2"/>
      <c r="AF1612" s="2"/>
      <c r="AG1612" s="2"/>
      <c r="AH1612" s="2"/>
      <c r="AI1612" s="2"/>
      <c r="AJ1612" s="2" t="str">
        <f>IFERROR(__xludf.DUMMYFUNCTION("""COMPUTED_VALUE"""),"Santa Teresa 1St")</f>
        <v>Santa Teresa 1St</v>
      </c>
      <c r="AK1612" s="2" t="str">
        <f>IFERROR(__xludf.DUMMYFUNCTION("""COMPUTED_VALUE"""),"Lubao")</f>
        <v>Lubao</v>
      </c>
      <c r="AL1612" s="2" t="str">
        <f>IFERROR(__xludf.DUMMYFUNCTION("""COMPUTED_VALUE"""),"Pampanga")</f>
        <v>Pampanga</v>
      </c>
      <c r="AM1612" s="2">
        <f>IFERROR(__xludf.DUMMYFUNCTION("""COMPUTED_VALUE"""),3.0)</f>
        <v>3</v>
      </c>
      <c r="AN1612" s="2" t="str">
        <f>IFERROR(__xludf.DUMMYFUNCTION("""COMPUTED_VALUE"""),"RCEF 25-03-05")</f>
        <v>RCEF 25-03-05</v>
      </c>
      <c r="AO1612" s="2">
        <f>IFERROR(__xludf.DUMMYFUNCTION("""COMPUTED_VALUE"""),5.0)</f>
        <v>5</v>
      </c>
      <c r="AP1612" s="2" t="str">
        <f>IFERROR(__xludf.DUMMYFUNCTION("""COMPUTED_VALUE"""),"FREE PMS")</f>
        <v>FREE PMS</v>
      </c>
      <c r="AQ1612" s="2"/>
      <c r="AR1612" s="2"/>
      <c r="AS1612" s="2"/>
      <c r="AT1612" s="2"/>
      <c r="AU1612" s="2"/>
      <c r="AV1612" s="2"/>
      <c r="AW1612" s="2"/>
      <c r="AX1612" s="2"/>
      <c r="AY1612" s="2"/>
      <c r="AZ1612" s="2"/>
      <c r="BA1612" s="2"/>
      <c r="BB1612" s="2"/>
    </row>
    <row r="1613">
      <c r="A1613" s="2">
        <f>IFERROR(__xludf.DUMMYFUNCTION("""COMPUTED_VALUE"""),1609.0)</f>
        <v>1609</v>
      </c>
      <c r="B1613" s="2" t="str">
        <f>IFERROR(__xludf.DUMMYFUNCTION("""COMPUTED_VALUE"""),"COMPLETED")</f>
        <v>COMPLETED</v>
      </c>
      <c r="C1613" s="78">
        <f>IFERROR(__xludf.DUMMYFUNCTION("""COMPUTED_VALUE"""),46132.0)</f>
        <v>46132</v>
      </c>
      <c r="D1613" s="71" t="str">
        <f>IFERROR(__xludf.DUMMYFUNCTION("""COMPUTED_VALUE"""),"Bantog Anao Bagong Sibol Farmers Association Inc.")</f>
        <v>Bantog Anao Bagong Sibol Farmers Association Inc.</v>
      </c>
      <c r="E1613" s="71" t="str">
        <f>IFERROR(__xludf.DUMMYFUNCTION("""COMPUTED_VALUE"""),"Bantog, Anao, TARLAC")</f>
        <v>Bantog, Anao, TARLAC</v>
      </c>
      <c r="F1613" s="2" t="str">
        <f>IFERROR(__xludf.DUMMYFUNCTION("""COMPUTED_VALUE"""),"PEDRO HAILAR JR.")</f>
        <v>PEDRO HAILAR JR.</v>
      </c>
      <c r="G1613" s="2">
        <f>IFERROR(__xludf.DUMMYFUNCTION("""COMPUTED_VALUE"""),9.663982625E9)</f>
        <v>9663982625</v>
      </c>
      <c r="H1613" s="2">
        <f>IFERROR(__xludf.DUMMYFUNCTION("""COMPUTED_VALUE"""),40.0)</f>
        <v>40</v>
      </c>
      <c r="I1613" s="72" t="str">
        <f>IFERROR(__xludf.DUMMYFUNCTION("""COMPUTED_VALUE"""),"REPAIR - LOADER")</f>
        <v>REPAIR - LOADER</v>
      </c>
      <c r="J1613" s="72" t="str">
        <f>IFERROR(__xludf.DUMMYFUNCTION("""COMPUTED_VALUE"""),"Cable lock")</f>
        <v>Cable lock</v>
      </c>
      <c r="K1613" s="72" t="str">
        <f>IFERROR(__xludf.DUMMYFUNCTION("""COMPUTED_VALUE"""),"JHP: DELIVERED: OCTOBER 2025
Ayaw umangat ng loader ")</f>
        <v>JHP: DELIVERED: OCTOBER 2025
Ayaw umangat ng loader </v>
      </c>
      <c r="L1613" s="72" t="str">
        <f>IFERROR(__xludf.DUMMYFUNCTION("""COMPUTED_VALUE"""),"DRM: REPLACED CABLE LOCK")</f>
        <v>DRM: REPLACED CABLE LOCK</v>
      </c>
      <c r="M1613" s="2" t="str">
        <f>IFERROR(__xludf.DUMMYFUNCTION("""COMPUTED_VALUE"""),"CABLE LOCK  - ASSUMED")</f>
        <v>CABLE LOCK  - ASSUMED</v>
      </c>
      <c r="N1613" s="2" t="str">
        <f>IFERROR(__xludf.DUMMYFUNCTION("""COMPUTED_VALUE"""),"PARTS:
CALBE LOCK (FABRICATED)")</f>
        <v>PARTS:
CALBE LOCK (FABRICATED)</v>
      </c>
      <c r="O1613" s="2">
        <f>IFERROR(__xludf.DUMMYFUNCTION("""COMPUTED_VALUE"""),877.0)</f>
        <v>877</v>
      </c>
      <c r="P1613" s="2"/>
      <c r="Q1613" s="2" t="str">
        <f>IFERROR(__xludf.DUMMYFUNCTION("""COMPUTED_VALUE"""),"FOR PRINT")</f>
        <v>FOR PRINT</v>
      </c>
      <c r="R1613" s="74">
        <f>IFERROR(__xludf.DUMMYFUNCTION("""COMPUTED_VALUE"""),46136.0)</f>
        <v>46136</v>
      </c>
      <c r="S1613" s="2" t="str">
        <f>IFERROR(__xludf.DUMMYFUNCTION("""COMPUTED_VALUE"""),"DRM")</f>
        <v>DRM</v>
      </c>
      <c r="T1613" s="73" t="str">
        <f>IFERROR(__xludf.DUMMYFUNCTION("""COMPUTED_VALUE""")," N/A ")</f>
        <v>N/A</v>
      </c>
      <c r="U1613" s="73" t="str">
        <f>IFERROR(__xludf.DUMMYFUNCTION("""COMPUTED_VALUE""")," NO CHARGE ")</f>
        <v>NO CHARGE</v>
      </c>
      <c r="V1613" s="2" t="str">
        <f>IFERROR(__xludf.DUMMYFUNCTION("""COMPUTED_VALUE"""),"NO DR")</f>
        <v>NO DR</v>
      </c>
      <c r="W1613" s="2" t="str">
        <f>IFERROR(__xludf.DUMMYFUNCTION("""COMPUTED_VALUE"""),"N/A")</f>
        <v>N/A</v>
      </c>
      <c r="X1613" s="2" t="str">
        <f>IFERROR(__xludf.DUMMYFUNCTION("""COMPUTED_VALUE"""),"N/A")</f>
        <v>N/A</v>
      </c>
      <c r="Y1613" s="2"/>
      <c r="Z1613" s="2"/>
      <c r="AA1613" s="2"/>
      <c r="AB1613" s="2"/>
      <c r="AC1613" s="2"/>
      <c r="AD1613" s="2"/>
      <c r="AE1613" s="2"/>
      <c r="AF1613" s="2"/>
      <c r="AG1613" s="2"/>
      <c r="AH1613" s="2"/>
      <c r="AI1613" s="2"/>
      <c r="AJ1613" s="2" t="str">
        <f>IFERROR(__xludf.DUMMYFUNCTION("""COMPUTED_VALUE"""),"Bantog")</f>
        <v>Bantog</v>
      </c>
      <c r="AK1613" s="2" t="str">
        <f>IFERROR(__xludf.DUMMYFUNCTION("""COMPUTED_VALUE"""),"Anao")</f>
        <v>Anao</v>
      </c>
      <c r="AL1613" s="2" t="str">
        <f>IFERROR(__xludf.DUMMYFUNCTION("""COMPUTED_VALUE"""),"Tarlac")</f>
        <v>Tarlac</v>
      </c>
      <c r="AM1613" s="2">
        <f>IFERROR(__xludf.DUMMYFUNCTION("""COMPUTED_VALUE"""),3.0)</f>
        <v>3</v>
      </c>
      <c r="AN1613" s="2" t="str">
        <f>IFERROR(__xludf.DUMMYFUNCTION("""COMPUTED_VALUE"""),"RCEF 25-03-05")</f>
        <v>RCEF 25-03-05</v>
      </c>
      <c r="AO1613" s="2">
        <f>IFERROR(__xludf.DUMMYFUNCTION("""COMPUTED_VALUE"""),5.0)</f>
        <v>5</v>
      </c>
      <c r="AP1613" s="2" t="str">
        <f>IFERROR(__xludf.DUMMYFUNCTION("""COMPUTED_VALUE"""),"FREE PMS")</f>
        <v>FREE PMS</v>
      </c>
      <c r="AQ1613" s="2"/>
      <c r="AR1613" s="2"/>
      <c r="AS1613" s="2"/>
      <c r="AT1613" s="2"/>
      <c r="AU1613" s="2"/>
      <c r="AV1613" s="2"/>
      <c r="AW1613" s="2"/>
      <c r="AX1613" s="2"/>
      <c r="AY1613" s="2"/>
      <c r="AZ1613" s="2"/>
      <c r="BA1613" s="2"/>
      <c r="BB1613" s="2"/>
    </row>
    <row r="1614">
      <c r="A1614" s="2">
        <f>IFERROR(__xludf.DUMMYFUNCTION("""COMPUTED_VALUE"""),1610.0)</f>
        <v>1610</v>
      </c>
      <c r="B1614" s="2" t="str">
        <f>IFERROR(__xludf.DUMMYFUNCTION("""COMPUTED_VALUE"""),"COMPLETED")</f>
        <v>COMPLETED</v>
      </c>
      <c r="C1614" s="74">
        <f>IFERROR(__xludf.DUMMYFUNCTION("""COMPUTED_VALUE"""),46132.0)</f>
        <v>46132</v>
      </c>
      <c r="D1614" s="71" t="str">
        <f>IFERROR(__xludf.DUMMYFUNCTION("""COMPUTED_VALUE"""),"INTEGRATED BARANGAYS OF TOLOSA LEYTE IRRIGATORS ASSOCIATION INC.")</f>
        <v>INTEGRATED BARANGAYS OF TOLOSA LEYTE IRRIGATORS ASSOCIATION INC.</v>
      </c>
      <c r="E1614" s="71" t="str">
        <f>IFERROR(__xludf.DUMMYFUNCTION("""COMPUTED_VALUE"""),"Telegrafo, Tolosa, LEYTE")</f>
        <v>Telegrafo, Tolosa, LEYTE</v>
      </c>
      <c r="F1614" s="2" t="str">
        <f>IFERROR(__xludf.DUMMYFUNCTION("""COMPUTED_VALUE"""),"REMEDIOS V.CINCO")</f>
        <v>REMEDIOS V.CINCO</v>
      </c>
      <c r="G1614" s="2">
        <f>IFERROR(__xludf.DUMMYFUNCTION("""COMPUTED_VALUE"""),9.121950964E9)</f>
        <v>9121950964</v>
      </c>
      <c r="H1614" s="2">
        <f>IFERROR(__xludf.DUMMYFUNCTION("""COMPUTED_VALUE"""),34.8)</f>
        <v>34.8</v>
      </c>
      <c r="I1614" s="72" t="str">
        <f>IFERROR(__xludf.DUMMYFUNCTION("""COMPUTED_VALUE"""),"PMS")</f>
        <v>PMS</v>
      </c>
      <c r="J1614" s="72"/>
      <c r="K1614" s="72" t="str">
        <f>IFERROR(__xludf.DUMMYFUNCTION("""COMPUTED_VALUE"""),"FPJ: 1ST PMS FREE")</f>
        <v>FPJ: 1ST PMS FREE</v>
      </c>
      <c r="L1614" s="72" t="str">
        <f>IFERROR(__xludf.DUMMYFUNCTION("""COMPUTED_VALUE"""),"FPJ: 1ST PMS DONE")</f>
        <v>FPJ: 1ST PMS DONE</v>
      </c>
      <c r="M1614" s="2"/>
      <c r="N1614" s="2" t="str">
        <f>IFERROR(__xludf.DUMMYFUNCTION("""COMPUTED_VALUE"""),"PARTS:
OIL FILTER
ENGINE OIL")</f>
        <v>PARTS:
OIL FILTER
ENGINE OIL</v>
      </c>
      <c r="O1614" s="2">
        <f>IFERROR(__xludf.DUMMYFUNCTION("""COMPUTED_VALUE"""),275.0)</f>
        <v>275</v>
      </c>
      <c r="P1614" s="2"/>
      <c r="Q1614" s="2" t="str">
        <f>IFERROR(__xludf.DUMMYFUNCTION("""COMPUTED_VALUE"""),"FOR PRINT")</f>
        <v>FOR PRINT</v>
      </c>
      <c r="R1614" s="74">
        <f>IFERROR(__xludf.DUMMYFUNCTION("""COMPUTED_VALUE"""),46132.0)</f>
        <v>46132</v>
      </c>
      <c r="S1614" s="2" t="str">
        <f>IFERROR(__xludf.DUMMYFUNCTION("""COMPUTED_VALUE"""),"FPJ/JAH")</f>
        <v>FPJ/JAH</v>
      </c>
      <c r="T1614" s="73" t="str">
        <f>IFERROR(__xludf.DUMMYFUNCTION("""COMPUTED_VALUE""")," N/A ")</f>
        <v>N/A</v>
      </c>
      <c r="U1614" s="73" t="str">
        <f>IFERROR(__xludf.DUMMYFUNCTION("""COMPUTED_VALUE""")," NO CHARGE ")</f>
        <v>NO CHARGE</v>
      </c>
      <c r="V1614" s="2">
        <f>IFERROR(__xludf.DUMMYFUNCTION("""COMPUTED_VALUE"""),1573.0)</f>
        <v>1573</v>
      </c>
      <c r="W1614" s="2" t="str">
        <f>IFERROR(__xludf.DUMMYFUNCTION("""COMPUTED_VALUE"""),"N/A")</f>
        <v>N/A</v>
      </c>
      <c r="X1614" s="2" t="str">
        <f>IFERROR(__xludf.DUMMYFUNCTION("""COMPUTED_VALUE"""),"N/A")</f>
        <v>N/A</v>
      </c>
      <c r="Y1614" s="2"/>
      <c r="Z1614" s="2"/>
      <c r="AA1614" s="2"/>
      <c r="AB1614" s="2"/>
      <c r="AC1614" s="2"/>
      <c r="AD1614" s="2"/>
      <c r="AE1614" s="2"/>
      <c r="AF1614" s="2"/>
      <c r="AG1614" s="2"/>
      <c r="AH1614" s="2"/>
      <c r="AI1614" s="2"/>
      <c r="AJ1614" s="2" t="str">
        <f>IFERROR(__xludf.DUMMYFUNCTION("""COMPUTED_VALUE"""),"Telegrafo")</f>
        <v>Telegrafo</v>
      </c>
      <c r="AK1614" s="2" t="str">
        <f>IFERROR(__xludf.DUMMYFUNCTION("""COMPUTED_VALUE"""),"Tolosa")</f>
        <v>Tolosa</v>
      </c>
      <c r="AL1614" s="2" t="str">
        <f>IFERROR(__xludf.DUMMYFUNCTION("""COMPUTED_VALUE"""),"Leyte")</f>
        <v>Leyte</v>
      </c>
      <c r="AM1614" s="2">
        <f>IFERROR(__xludf.DUMMYFUNCTION("""COMPUTED_VALUE"""),8.0)</f>
        <v>8</v>
      </c>
      <c r="AN1614" s="2" t="str">
        <f>IFERROR(__xludf.DUMMYFUNCTION("""COMPUTED_VALUE"""),"RCEF 25-03-05")</f>
        <v>RCEF 25-03-05</v>
      </c>
      <c r="AO1614" s="2">
        <f>IFERROR(__xludf.DUMMYFUNCTION("""COMPUTED_VALUE"""),7.0)</f>
        <v>7</v>
      </c>
      <c r="AP1614" s="2" t="str">
        <f>IFERROR(__xludf.DUMMYFUNCTION("""COMPUTED_VALUE"""),"FREE PMS")</f>
        <v>FREE PMS</v>
      </c>
      <c r="AQ1614" s="2"/>
      <c r="AR1614" s="2"/>
      <c r="AS1614" s="2"/>
      <c r="AT1614" s="2"/>
      <c r="AU1614" s="2"/>
      <c r="AV1614" s="2"/>
      <c r="AW1614" s="2"/>
      <c r="AX1614" s="2"/>
      <c r="AY1614" s="2"/>
      <c r="AZ1614" s="2"/>
      <c r="BA1614" s="2"/>
      <c r="BB1614" s="2"/>
    </row>
    <row r="1615">
      <c r="A1615" s="2">
        <f>IFERROR(__xludf.DUMMYFUNCTION("""COMPUTED_VALUE"""),1611.0)</f>
        <v>1611</v>
      </c>
      <c r="B1615" s="2" t="str">
        <f>IFERROR(__xludf.DUMMYFUNCTION("""COMPUTED_VALUE"""),"COMPLETED")</f>
        <v>COMPLETED</v>
      </c>
      <c r="C1615" s="74">
        <f>IFERROR(__xludf.DUMMYFUNCTION("""COMPUTED_VALUE"""),46132.0)</f>
        <v>46132</v>
      </c>
      <c r="D1615" s="71" t="str">
        <f>IFERROR(__xludf.DUMMYFUNCTION("""COMPUTED_VALUE"""),"SITIO BAGANG UNITED FARMERS ASSOCIATION")</f>
        <v>SITIO BAGANG UNITED FARMERS ASSOCIATION</v>
      </c>
      <c r="E1615" s="71" t="str">
        <f>IFERROR(__xludf.DUMMYFUNCTION("""COMPUTED_VALUE"""),"Cabacungan, Dulag, LEYTE")</f>
        <v>Cabacungan, Dulag, LEYTE</v>
      </c>
      <c r="F1615" s="2" t="str">
        <f>IFERROR(__xludf.DUMMYFUNCTION("""COMPUTED_VALUE"""),"AGAPITO V.ADONIS")</f>
        <v>AGAPITO V.ADONIS</v>
      </c>
      <c r="G1615" s="2">
        <f>IFERROR(__xludf.DUMMYFUNCTION("""COMPUTED_VALUE"""),9.308384008E9)</f>
        <v>9308384008</v>
      </c>
      <c r="H1615" s="2">
        <f>IFERROR(__xludf.DUMMYFUNCTION("""COMPUTED_VALUE"""),45.0)</f>
        <v>45</v>
      </c>
      <c r="I1615" s="72" t="str">
        <f>IFERROR(__xludf.DUMMYFUNCTION("""COMPUTED_VALUE"""),"PMS")</f>
        <v>PMS</v>
      </c>
      <c r="J1615" s="72"/>
      <c r="K1615" s="72" t="str">
        <f>IFERROR(__xludf.DUMMYFUNCTION("""COMPUTED_VALUE"""),"FPJ: 1ST PMS FREE")</f>
        <v>FPJ: 1ST PMS FREE</v>
      </c>
      <c r="L1615" s="72" t="str">
        <f>IFERROR(__xludf.DUMMYFUNCTION("""COMPUTED_VALUE"""),"FPJ: 1ST PMS DONE")</f>
        <v>FPJ: 1ST PMS DONE</v>
      </c>
      <c r="M1615" s="2"/>
      <c r="N1615" s="2" t="str">
        <f>IFERROR(__xludf.DUMMYFUNCTION("""COMPUTED_VALUE"""),"PARTS:
OIL FILTER
ENGINE OIL")</f>
        <v>PARTS:
OIL FILTER
ENGINE OIL</v>
      </c>
      <c r="O1615" s="2">
        <f>IFERROR(__xludf.DUMMYFUNCTION("""COMPUTED_VALUE"""),276.0)</f>
        <v>276</v>
      </c>
      <c r="P1615" s="2"/>
      <c r="Q1615" s="2" t="str">
        <f>IFERROR(__xludf.DUMMYFUNCTION("""COMPUTED_VALUE"""),"FOR PRINT")</f>
        <v>FOR PRINT</v>
      </c>
      <c r="R1615" s="74">
        <f>IFERROR(__xludf.DUMMYFUNCTION("""COMPUTED_VALUE"""),46132.0)</f>
        <v>46132</v>
      </c>
      <c r="S1615" s="2" t="str">
        <f>IFERROR(__xludf.DUMMYFUNCTION("""COMPUTED_VALUE"""),"FPJ/JAH")</f>
        <v>FPJ/JAH</v>
      </c>
      <c r="T1615" s="73" t="str">
        <f>IFERROR(__xludf.DUMMYFUNCTION("""COMPUTED_VALUE""")," N/A ")</f>
        <v>N/A</v>
      </c>
      <c r="U1615" s="73" t="str">
        <f>IFERROR(__xludf.DUMMYFUNCTION("""COMPUTED_VALUE""")," NO CHARGE ")</f>
        <v>NO CHARGE</v>
      </c>
      <c r="V1615" s="2">
        <f>IFERROR(__xludf.DUMMYFUNCTION("""COMPUTED_VALUE"""),1574.0)</f>
        <v>1574</v>
      </c>
      <c r="W1615" s="2" t="str">
        <f>IFERROR(__xludf.DUMMYFUNCTION("""COMPUTED_VALUE"""),"N/A")</f>
        <v>N/A</v>
      </c>
      <c r="X1615" s="2" t="str">
        <f>IFERROR(__xludf.DUMMYFUNCTION("""COMPUTED_VALUE"""),"N/A")</f>
        <v>N/A</v>
      </c>
      <c r="Y1615" s="2"/>
      <c r="Z1615" s="2"/>
      <c r="AA1615" s="2"/>
      <c r="AB1615" s="2"/>
      <c r="AC1615" s="2"/>
      <c r="AD1615" s="2"/>
      <c r="AE1615" s="2"/>
      <c r="AF1615" s="2"/>
      <c r="AG1615" s="2"/>
      <c r="AH1615" s="2"/>
      <c r="AI1615" s="2"/>
      <c r="AJ1615" s="2" t="str">
        <f>IFERROR(__xludf.DUMMYFUNCTION("""COMPUTED_VALUE"""),"Cabacungan")</f>
        <v>Cabacungan</v>
      </c>
      <c r="AK1615" s="2" t="str">
        <f>IFERROR(__xludf.DUMMYFUNCTION("""COMPUTED_VALUE"""),"Dulag")</f>
        <v>Dulag</v>
      </c>
      <c r="AL1615" s="2" t="str">
        <f>IFERROR(__xludf.DUMMYFUNCTION("""COMPUTED_VALUE"""),"Leyte")</f>
        <v>Leyte</v>
      </c>
      <c r="AM1615" s="2">
        <f>IFERROR(__xludf.DUMMYFUNCTION("""COMPUTED_VALUE"""),8.0)</f>
        <v>8</v>
      </c>
      <c r="AN1615" s="2" t="str">
        <f>IFERROR(__xludf.DUMMYFUNCTION("""COMPUTED_VALUE"""),"RCEF 25-03-05")</f>
        <v>RCEF 25-03-05</v>
      </c>
      <c r="AO1615" s="2">
        <f>IFERROR(__xludf.DUMMYFUNCTION("""COMPUTED_VALUE"""),7.0)</f>
        <v>7</v>
      </c>
      <c r="AP1615" s="2" t="str">
        <f>IFERROR(__xludf.DUMMYFUNCTION("""COMPUTED_VALUE"""),"FREE PMS")</f>
        <v>FREE PMS</v>
      </c>
      <c r="AQ1615" s="2"/>
      <c r="AR1615" s="2"/>
      <c r="AS1615" s="2"/>
      <c r="AT1615" s="2"/>
      <c r="AU1615" s="2"/>
      <c r="AV1615" s="2"/>
      <c r="AW1615" s="2"/>
      <c r="AX1615" s="2"/>
      <c r="AY1615" s="2"/>
      <c r="AZ1615" s="2"/>
      <c r="BA1615" s="2"/>
      <c r="BB1615" s="2"/>
    </row>
    <row r="1616">
      <c r="A1616" s="2">
        <f>IFERROR(__xludf.DUMMYFUNCTION("""COMPUTED_VALUE"""),1612.0)</f>
        <v>1612</v>
      </c>
      <c r="B1616" s="2" t="str">
        <f>IFERROR(__xludf.DUMMYFUNCTION("""COMPUTED_VALUE"""),"COMPLETED")</f>
        <v>COMPLETED</v>
      </c>
      <c r="C1616" s="78">
        <f>IFERROR(__xludf.DUMMYFUNCTION("""COMPUTED_VALUE"""),46133.0)</f>
        <v>46133</v>
      </c>
      <c r="D1616" s="71" t="str">
        <f>IFERROR(__xludf.DUMMYFUNCTION("""COMPUTED_VALUE"""),"BSSN FARMERS IRRIGATORS ASSOCIATION INC.")</f>
        <v>BSSN FARMERS IRRIGATORS ASSOCIATION INC.</v>
      </c>
      <c r="E1616" s="71" t="str">
        <f>IFERROR(__xludf.DUMMYFUNCTION("""COMPUTED_VALUE"""),"San Narciso, San Manuel, TARLAC")</f>
        <v>San Narciso, San Manuel, TARLAC</v>
      </c>
      <c r="F1616" s="2" t="str">
        <f>IFERROR(__xludf.DUMMYFUNCTION("""COMPUTED_VALUE"""),"Federico C. Conde. Jr")</f>
        <v>Federico C. Conde. Jr</v>
      </c>
      <c r="G1616" s="2" t="str">
        <f>IFERROR(__xludf.DUMMYFUNCTION("""COMPUTED_VALUE"""),"0994-416-5386")</f>
        <v>0994-416-5386</v>
      </c>
      <c r="H1616" s="2">
        <f>IFERROR(__xludf.DUMMYFUNCTION("""COMPUTED_VALUE"""),232.4)</f>
        <v>232.4</v>
      </c>
      <c r="I1616" s="72" t="str">
        <f>IFERROR(__xludf.DUMMYFUNCTION("""COMPUTED_VALUE"""),"PMS")</f>
        <v>PMS</v>
      </c>
      <c r="J1616" s="72"/>
      <c r="K1616" s="72" t="str">
        <f>IFERROR(__xludf.DUMMYFUNCTION("""COMPUTED_VALUE"""),"DRM: 1ST PMS")</f>
        <v>DRM: 1ST PMS</v>
      </c>
      <c r="L1616" s="72" t="str">
        <f>IFERROR(__xludf.DUMMYFUNCTION("""COMPUTED_VALUE"""),"JDP: 1ST PMS DONE")</f>
        <v>JDP: 1ST PMS DONE</v>
      </c>
      <c r="M1616" s="2"/>
      <c r="N1616" s="2" t="str">
        <f>IFERROR(__xludf.DUMMYFUNCTION("""COMPUTED_VALUE"""),"PARTS:
OIL FILTER
ENGINE OIL")</f>
        <v>PARTS:
OIL FILTER
ENGINE OIL</v>
      </c>
      <c r="O1616" s="2">
        <f>IFERROR(__xludf.DUMMYFUNCTION("""COMPUTED_VALUE"""),487.0)</f>
        <v>487</v>
      </c>
      <c r="P1616" s="2"/>
      <c r="Q1616" s="2" t="str">
        <f>IFERROR(__xludf.DUMMYFUNCTION("""COMPUTED_VALUE"""),"FOR PRINT")</f>
        <v>FOR PRINT</v>
      </c>
      <c r="R1616" s="74">
        <f>IFERROR(__xludf.DUMMYFUNCTION("""COMPUTED_VALUE"""),46135.0)</f>
        <v>46135</v>
      </c>
      <c r="S1616" s="2" t="str">
        <f>IFERROR(__xludf.DUMMYFUNCTION("""COMPUTED_VALUE"""),"JDP")</f>
        <v>JDP</v>
      </c>
      <c r="T1616" s="73" t="str">
        <f>IFERROR(__xludf.DUMMYFUNCTION("""COMPUTED_VALUE""")," N/A ")</f>
        <v>N/A</v>
      </c>
      <c r="U1616" s="73" t="str">
        <f>IFERROR(__xludf.DUMMYFUNCTION("""COMPUTED_VALUE""")," NO CHARGE ")</f>
        <v>NO CHARGE</v>
      </c>
      <c r="V1616" s="2" t="str">
        <f>IFERROR(__xludf.DUMMYFUNCTION("""COMPUTED_VALUE"""),"NO DR")</f>
        <v>NO DR</v>
      </c>
      <c r="W1616" s="2" t="str">
        <f>IFERROR(__xludf.DUMMYFUNCTION("""COMPUTED_VALUE"""),"N/A")</f>
        <v>N/A</v>
      </c>
      <c r="X1616" s="2" t="str">
        <f>IFERROR(__xludf.DUMMYFUNCTION("""COMPUTED_VALUE"""),"N/A")</f>
        <v>N/A</v>
      </c>
      <c r="Y1616" s="2"/>
      <c r="Z1616" s="2"/>
      <c r="AA1616" s="2"/>
      <c r="AB1616" s="2"/>
      <c r="AC1616" s="2"/>
      <c r="AD1616" s="2"/>
      <c r="AE1616" s="2"/>
      <c r="AF1616" s="2"/>
      <c r="AG1616" s="2"/>
      <c r="AH1616" s="2"/>
      <c r="AI1616" s="2"/>
      <c r="AJ1616" s="2" t="str">
        <f>IFERROR(__xludf.DUMMYFUNCTION("""COMPUTED_VALUE"""),"San Narciso")</f>
        <v>San Narciso</v>
      </c>
      <c r="AK1616" s="2" t="str">
        <f>IFERROR(__xludf.DUMMYFUNCTION("""COMPUTED_VALUE"""),"San Manuel")</f>
        <v>San Manuel</v>
      </c>
      <c r="AL1616" s="2" t="str">
        <f>IFERROR(__xludf.DUMMYFUNCTION("""COMPUTED_VALUE"""),"Tarlac")</f>
        <v>Tarlac</v>
      </c>
      <c r="AM1616" s="2">
        <f>IFERROR(__xludf.DUMMYFUNCTION("""COMPUTED_VALUE"""),3.0)</f>
        <v>3</v>
      </c>
      <c r="AN1616" s="2" t="str">
        <f>IFERROR(__xludf.DUMMYFUNCTION("""COMPUTED_VALUE"""),"RCEF 25-03-05")</f>
        <v>RCEF 25-03-05</v>
      </c>
      <c r="AO1616" s="2">
        <f>IFERROR(__xludf.DUMMYFUNCTION("""COMPUTED_VALUE"""),5.0)</f>
        <v>5</v>
      </c>
      <c r="AP1616" s="2" t="str">
        <f>IFERROR(__xludf.DUMMYFUNCTION("""COMPUTED_VALUE"""),"FREE PMS")</f>
        <v>FREE PMS</v>
      </c>
      <c r="AQ1616" s="2"/>
      <c r="AR1616" s="2"/>
      <c r="AS1616" s="2"/>
      <c r="AT1616" s="2"/>
      <c r="AU1616" s="2"/>
      <c r="AV1616" s="2"/>
      <c r="AW1616" s="2"/>
      <c r="AX1616" s="2"/>
      <c r="AY1616" s="2"/>
      <c r="AZ1616" s="2"/>
      <c r="BA1616" s="2"/>
      <c r="BB1616" s="2"/>
    </row>
    <row r="1617">
      <c r="A1617" s="2">
        <f>IFERROR(__xludf.DUMMYFUNCTION("""COMPUTED_VALUE"""),1613.0)</f>
        <v>1613</v>
      </c>
      <c r="B1617" s="2" t="str">
        <f>IFERROR(__xludf.DUMMYFUNCTION("""COMPUTED_VALUE"""),"COMPLETED")</f>
        <v>COMPLETED</v>
      </c>
      <c r="C1617" s="78">
        <f>IFERROR(__xludf.DUMMYFUNCTION("""COMPUTED_VALUE"""),46133.0)</f>
        <v>46133</v>
      </c>
      <c r="D1617" s="71" t="str">
        <f>IFERROR(__xludf.DUMMYFUNCTION("""COMPUTED_VALUE"""),"VIRGEN FARMERS IRRIGATORS ASSOCIATION, INC.")</f>
        <v>VIRGEN FARMERS IRRIGATORS ASSOCIATION, INC.</v>
      </c>
      <c r="E1617" s="71" t="str">
        <f>IFERROR(__xludf.DUMMYFUNCTION("""COMPUTED_VALUE"""),"Paralaya (Pob.), Candaba, PAMPANGA")</f>
        <v>Paralaya (Pob.), Candaba, PAMPANGA</v>
      </c>
      <c r="F1617" s="2" t="str">
        <f>IFERROR(__xludf.DUMMYFUNCTION("""COMPUTED_VALUE"""),"Renato Culala")</f>
        <v>Renato Culala</v>
      </c>
      <c r="G1617" s="2">
        <f>IFERROR(__xludf.DUMMYFUNCTION("""COMPUTED_VALUE"""),9.168393643E9)</f>
        <v>9168393643</v>
      </c>
      <c r="H1617" s="2">
        <f>IFERROR(__xludf.DUMMYFUNCTION("""COMPUTED_VALUE"""),150.0)</f>
        <v>150</v>
      </c>
      <c r="I1617" s="72" t="str">
        <f>IFERROR(__xludf.DUMMYFUNCTION("""COMPUTED_VALUE"""),"REPAIR - TRACTOR")</f>
        <v>REPAIR - TRACTOR</v>
      </c>
      <c r="J1617" s="72" t="str">
        <f>IFERROR(__xludf.DUMMYFUNCTION("""COMPUTED_VALUE"""),"Electrical - Neutral Switch")</f>
        <v>Electrical - Neutral Switch</v>
      </c>
      <c r="K1617" s="72" t="str">
        <f>IFERROR(__xludf.DUMMYFUNCTION("""COMPUTED_VALUE"""),"MYK: AYAW KUMAMBYO AT SIRA DIN SUSIAN, AYAW MAG START")</f>
        <v>MYK: AYAW KUMAMBYO AT SIRA DIN SUSIAN, AYAW MAG START</v>
      </c>
      <c r="L1617" s="72" t="str">
        <f>IFERROR(__xludf.DUMMYFUNCTION("""COMPUTED_VALUE"""),"JDP: DISSAMBLE NEUTRAL SWITCH")</f>
        <v>JDP: DISSAMBLE NEUTRAL SWITCH</v>
      </c>
      <c r="M1617" s="2"/>
      <c r="N1617" s="2"/>
      <c r="O1617" s="2">
        <f>IFERROR(__xludf.DUMMYFUNCTION("""COMPUTED_VALUE"""),491.0)</f>
        <v>491</v>
      </c>
      <c r="P1617" s="2"/>
      <c r="Q1617" s="2" t="str">
        <f>IFERROR(__xludf.DUMMYFUNCTION("""COMPUTED_VALUE"""),"FOR PRINT")</f>
        <v>FOR PRINT</v>
      </c>
      <c r="R1617" s="74">
        <f>IFERROR(__xludf.DUMMYFUNCTION("""COMPUTED_VALUE"""),46138.0)</f>
        <v>46138</v>
      </c>
      <c r="S1617" s="2" t="str">
        <f>IFERROR(__xludf.DUMMYFUNCTION("""COMPUTED_VALUE"""),"EGT/JDP/1 OJT")</f>
        <v>EGT/JDP/1 OJT</v>
      </c>
      <c r="T1617" s="73" t="str">
        <f>IFERROR(__xludf.DUMMYFUNCTION("""COMPUTED_VALUE""")," N/A ")</f>
        <v>N/A</v>
      </c>
      <c r="U1617" s="73" t="str">
        <f>IFERROR(__xludf.DUMMYFUNCTION("""COMPUTED_VALUE""")," NO CHARGE ")</f>
        <v>NO CHARGE</v>
      </c>
      <c r="V1617" s="2" t="str">
        <f>IFERROR(__xludf.DUMMYFUNCTION("""COMPUTED_VALUE"""),"N/A")</f>
        <v>N/A</v>
      </c>
      <c r="W1617" s="2" t="str">
        <f>IFERROR(__xludf.DUMMYFUNCTION("""COMPUTED_VALUE"""),"N/A")</f>
        <v>N/A</v>
      </c>
      <c r="X1617" s="2" t="str">
        <f>IFERROR(__xludf.DUMMYFUNCTION("""COMPUTED_VALUE"""),"N/A")</f>
        <v>N/A</v>
      </c>
      <c r="Y1617" s="2"/>
      <c r="Z1617" s="2"/>
      <c r="AA1617" s="2"/>
      <c r="AB1617" s="2"/>
      <c r="AC1617" s="2"/>
      <c r="AD1617" s="2"/>
      <c r="AE1617" s="2"/>
      <c r="AF1617" s="2"/>
      <c r="AG1617" s="2"/>
      <c r="AH1617" s="2"/>
      <c r="AI1617" s="2"/>
      <c r="AJ1617" s="2" t="str">
        <f>IFERROR(__xludf.DUMMYFUNCTION("""COMPUTED_VALUE"""),"Paralaya (Pob.)")</f>
        <v>Paralaya (Pob.)</v>
      </c>
      <c r="AK1617" s="2" t="str">
        <f>IFERROR(__xludf.DUMMYFUNCTION("""COMPUTED_VALUE"""),"Candaba")</f>
        <v>Candaba</v>
      </c>
      <c r="AL1617" s="2" t="str">
        <f>IFERROR(__xludf.DUMMYFUNCTION("""COMPUTED_VALUE"""),"Pampanga")</f>
        <v>Pampanga</v>
      </c>
      <c r="AM1617" s="2">
        <f>IFERROR(__xludf.DUMMYFUNCTION("""COMPUTED_VALUE"""),3.0)</f>
        <v>3</v>
      </c>
      <c r="AN1617" s="2" t="str">
        <f>IFERROR(__xludf.DUMMYFUNCTION("""COMPUTED_VALUE"""),"RCEF 25-03-05")</f>
        <v>RCEF 25-03-05</v>
      </c>
      <c r="AO1617" s="2">
        <f>IFERROR(__xludf.DUMMYFUNCTION("""COMPUTED_VALUE"""),5.0)</f>
        <v>5</v>
      </c>
      <c r="AP1617" s="2" t="str">
        <f>IFERROR(__xludf.DUMMYFUNCTION("""COMPUTED_VALUE"""),"FREE PMS")</f>
        <v>FREE PMS</v>
      </c>
      <c r="AQ1617" s="2"/>
      <c r="AR1617" s="2"/>
      <c r="AS1617" s="2"/>
      <c r="AT1617" s="2"/>
      <c r="AU1617" s="2"/>
      <c r="AV1617" s="2"/>
      <c r="AW1617" s="2"/>
      <c r="AX1617" s="2"/>
      <c r="AY1617" s="2"/>
      <c r="AZ1617" s="2"/>
      <c r="BA1617" s="2"/>
      <c r="BB1617" s="2"/>
    </row>
    <row r="1618">
      <c r="A1618" s="2">
        <f>IFERROR(__xludf.DUMMYFUNCTION("""COMPUTED_VALUE"""),1614.0)</f>
        <v>1614</v>
      </c>
      <c r="B1618" s="2" t="str">
        <f>IFERROR(__xludf.DUMMYFUNCTION("""COMPUTED_VALUE"""),"COMPLETED")</f>
        <v>COMPLETED</v>
      </c>
      <c r="C1618" s="78">
        <f>IFERROR(__xludf.DUMMYFUNCTION("""COMPUTED_VALUE"""),46133.0)</f>
        <v>46133</v>
      </c>
      <c r="D1618" s="71" t="str">
        <f>IFERROR(__xludf.DUMMYFUNCTION("""COMPUTED_VALUE"""),"ILOG BALIWAG-SAN MIGUEL FARMERS ASSOCIATION (ISFA)")</f>
        <v>ILOG BALIWAG-SAN MIGUEL FARMERS ASSOCIATION (ISFA)</v>
      </c>
      <c r="E1618" s="71" t="str">
        <f>IFERROR(__xludf.DUMMYFUNCTION("""COMPUTED_VALUE"""),"Ilog Baliwag, Quezon, NUEVA ECIJA")</f>
        <v>Ilog Baliwag, Quezon, NUEVA ECIJA</v>
      </c>
      <c r="F1618" s="2" t="str">
        <f>IFERROR(__xludf.DUMMYFUNCTION("""COMPUTED_VALUE"""),"Bernie Melendez")</f>
        <v>Bernie Melendez</v>
      </c>
      <c r="G1618" s="2">
        <f>IFERROR(__xludf.DUMMYFUNCTION("""COMPUTED_VALUE"""),9.275180179E9)</f>
        <v>9275180179</v>
      </c>
      <c r="H1618" s="2"/>
      <c r="I1618" s="72" t="str">
        <f>IFERROR(__xludf.DUMMYFUNCTION("""COMPUTED_VALUE"""),"PMS")</f>
        <v>PMS</v>
      </c>
      <c r="J1618" s="72"/>
      <c r="K1618" s="72" t="str">
        <f>IFERROR(__xludf.DUMMYFUNCTION("""COMPUTED_VALUE"""),"ERP: Mam good day and good am, pa service sana kami regarding sa unit. 
1. Change oil ng engine at change filter. 
2. Umaalog yung right ng Tie Rod baka kailangan e replace.  
Nag message ako kay carlo nung friday di nagreply. Pa asap sana at madami kami "&amp;"rotohin. Salamat mam.
May fuse din daw na pumutok ito. 5 daw. Dala na lang sila pyesa pagpunta and call nila fca 2 days before visit para maprep mga need dalhin")</f>
        <v>ERP: Mam good day and good am, pa service sana kami regarding sa unit. 
1. Change oil ng engine at change filter. 
2. Umaalog yung right ng Tie Rod baka kailangan e replace.  
Nag message ako kay carlo nung friday di nagreply. Pa asap sana at madami kami rotohin. Salamat mam.
May fuse din daw na pumutok ito. 5 daw. Dala na lang sila pyesa pagpunta and call nila fca 2 days before visit para maprep mga need dalhin</v>
      </c>
      <c r="L1618" s="72" t="str">
        <f>IFERROR(__xludf.DUMMYFUNCTION("""COMPUTED_VALUE"""),"TO CALL- TO CONFIRM PARTS NEEDED
JVV: ASSESSMENT  -  SUNOG NA HARNNESS AT SIRANG TIE ROD
ECM: UPON ASSESSMENT: OUTSOURCING PALANG
5/11/26 - JDP: REPLACED OF DIODES OF PTO SWITCH
")</f>
        <v>TO CALL- TO CONFIRM PARTS NEEDED
JVV: ASSESSMENT  -  SUNOG NA HARNNESS AT SIRANG TIE ROD
ECM: UPON ASSESSMENT: OUTSOURCING PALANG
5/11/26 - JDP: REPLACED OF DIODES OF PTO SWITCH
</v>
      </c>
      <c r="M1618" s="2" t="str">
        <f>IFERROR(__xludf.DUMMYFUNCTION("""COMPUTED_VALUE"""),"TIE ROD L AND R
FUSE ")</f>
        <v>TIE ROD L AND R
FUSE </v>
      </c>
      <c r="N1618" s="2"/>
      <c r="O1618" s="2">
        <f>IFERROR(__xludf.DUMMYFUNCTION("""COMPUTED_VALUE"""),882.0)</f>
        <v>882</v>
      </c>
      <c r="P1618" s="2"/>
      <c r="Q1618" s="2" t="str">
        <f>IFERROR(__xludf.DUMMYFUNCTION("""COMPUTED_VALUE"""),"FOR PRINT")</f>
        <v>FOR PRINT</v>
      </c>
      <c r="R1618" s="74">
        <f>IFERROR(__xludf.DUMMYFUNCTION("""COMPUTED_VALUE"""),46153.0)</f>
        <v>46153</v>
      </c>
      <c r="S1618" s="2" t="str">
        <f>IFERROR(__xludf.DUMMYFUNCTION("""COMPUTED_VALUE"""),"JDP/DSD")</f>
        <v>JDP/DSD</v>
      </c>
      <c r="T1618" s="73" t="str">
        <f>IFERROR(__xludf.DUMMYFUNCTION("""COMPUTED_VALUE""")," N/A ")</f>
        <v>N/A</v>
      </c>
      <c r="U1618" s="73" t="str">
        <f>IFERROR(__xludf.DUMMYFUNCTION("""COMPUTED_VALUE""")," NO CHARGE ")</f>
        <v>NO CHARGE</v>
      </c>
      <c r="V1618" s="2" t="str">
        <f>IFERROR(__xludf.DUMMYFUNCTION("""COMPUTED_VALUE"""),"N/A")</f>
        <v>N/A</v>
      </c>
      <c r="W1618" s="2" t="str">
        <f>IFERROR(__xludf.DUMMYFUNCTION("""COMPUTED_VALUE"""),"N/A")</f>
        <v>N/A</v>
      </c>
      <c r="X1618" s="2" t="str">
        <f>IFERROR(__xludf.DUMMYFUNCTION("""COMPUTED_VALUE"""),"N/A")</f>
        <v>N/A</v>
      </c>
      <c r="Y1618" s="2"/>
      <c r="Z1618" s="2"/>
      <c r="AA1618" s="2"/>
      <c r="AB1618" s="2"/>
      <c r="AC1618" s="2"/>
      <c r="AD1618" s="2"/>
      <c r="AE1618" s="2"/>
      <c r="AF1618" s="2"/>
      <c r="AG1618" s="2"/>
      <c r="AH1618" s="2"/>
      <c r="AI1618" s="2"/>
      <c r="AJ1618" s="2" t="str">
        <f>IFERROR(__xludf.DUMMYFUNCTION("""COMPUTED_VALUE"""),"Ilog Baliwag")</f>
        <v>Ilog Baliwag</v>
      </c>
      <c r="AK1618" s="2" t="str">
        <f>IFERROR(__xludf.DUMMYFUNCTION("""COMPUTED_VALUE"""),"Quezon")</f>
        <v>Quezon</v>
      </c>
      <c r="AL1618" s="2" t="str">
        <f>IFERROR(__xludf.DUMMYFUNCTION("""COMPUTED_VALUE"""),"Nueva Ecija")</f>
        <v>Nueva Ecija</v>
      </c>
      <c r="AM1618" s="2">
        <f>IFERROR(__xludf.DUMMYFUNCTION("""COMPUTED_VALUE"""),3.0)</f>
        <v>3</v>
      </c>
      <c r="AN1618" s="2" t="str">
        <f>IFERROR(__xludf.DUMMYFUNCTION("""COMPUTED_VALUE"""),"RCEF 24-04-15")</f>
        <v>RCEF 24-04-15</v>
      </c>
      <c r="AO1618" s="2">
        <f>IFERROR(__xludf.DUMMYFUNCTION("""COMPUTED_VALUE"""),6.0)</f>
        <v>6</v>
      </c>
      <c r="AP1618" s="2" t="str">
        <f>IFERROR(__xludf.DUMMYFUNCTION("""COMPUTED_VALUE"""),"FREE PMS")</f>
        <v>FREE PMS</v>
      </c>
      <c r="AQ1618" s="2"/>
      <c r="AR1618" s="2"/>
      <c r="AS1618" s="2"/>
      <c r="AT1618" s="2"/>
      <c r="AU1618" s="2"/>
      <c r="AV1618" s="2"/>
      <c r="AW1618" s="2"/>
      <c r="AX1618" s="2"/>
      <c r="AY1618" s="2"/>
      <c r="AZ1618" s="2"/>
      <c r="BA1618" s="2"/>
      <c r="BB1618" s="2"/>
    </row>
    <row r="1619">
      <c r="A1619" s="2">
        <f>IFERROR(__xludf.DUMMYFUNCTION("""COMPUTED_VALUE"""),1615.0)</f>
        <v>1615</v>
      </c>
      <c r="B1619" s="2" t="str">
        <f>IFERROR(__xludf.DUMMYFUNCTION("""COMPUTED_VALUE"""),"PENDING")</f>
        <v>PENDING</v>
      </c>
      <c r="C1619" s="78">
        <f>IFERROR(__xludf.DUMMYFUNCTION("""COMPUTED_VALUE"""),46133.0)</f>
        <v>46133</v>
      </c>
      <c r="D1619" s="71" t="str">
        <f>IFERROR(__xludf.DUMMYFUNCTION("""COMPUTED_VALUE"""),"SIASON FARMERS IRRIGATOR'S ASSOCIATION, INC.")</f>
        <v>SIASON FARMERS IRRIGATOR'S ASSOCIATION, INC.</v>
      </c>
      <c r="E1619" s="71" t="str">
        <f>IFERROR(__xludf.DUMMYFUNCTION("""COMPUTED_VALUE"""),"Santa Rita, Quezon, NUEVA ECIJA")</f>
        <v>Santa Rita, Quezon, NUEVA ECIJA</v>
      </c>
      <c r="F1619" s="2"/>
      <c r="G1619" s="2"/>
      <c r="H1619" s="2"/>
      <c r="I1619" s="72" t="str">
        <f>IFERROR(__xludf.DUMMYFUNCTION("""COMPUTED_VALUE"""),"SPARE PARTS ACQUISITION")</f>
        <v>SPARE PARTS ACQUISITION</v>
      </c>
      <c r="J1619" s="72"/>
      <c r="K1619" s="72" t="str">
        <f>IFERROR(__xludf.DUMMYFUNCTION("""COMPUTED_VALUE"""),"DSD: ORDER:
A014 55 72 10/13.5=2piraso ito ung maliit
AJ 57 80 8.5/16.5=2piraso ito ung malaki pang 5825R TYM na roto")</f>
        <v>DSD: ORDER:
A014 55 72 10/13.5=2piraso ito ung maliit
AJ 57 80 8.5/16.5=2piraso ito ung malaki pang 5825R TYM na roto</v>
      </c>
      <c r="L1619" s="72"/>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c r="AJ1619" s="2" t="str">
        <f>IFERROR(__xludf.DUMMYFUNCTION("""COMPUTED_VALUE"""),"Santa Rita")</f>
        <v>Santa Rita</v>
      </c>
      <c r="AK1619" s="2" t="str">
        <f>IFERROR(__xludf.DUMMYFUNCTION("""COMPUTED_VALUE"""),"Quezon")</f>
        <v>Quezon</v>
      </c>
      <c r="AL1619" s="2" t="str">
        <f>IFERROR(__xludf.DUMMYFUNCTION("""COMPUTED_VALUE"""),"Nueva Ecija")</f>
        <v>Nueva Ecija</v>
      </c>
      <c r="AM1619" s="2">
        <f>IFERROR(__xludf.DUMMYFUNCTION("""COMPUTED_VALUE"""),3.0)</f>
        <v>3</v>
      </c>
      <c r="AN1619" s="2" t="str">
        <f>IFERROR(__xludf.DUMMYFUNCTION("""COMPUTED_VALUE"""),"RCEF 23-09-21 Rebidding")</f>
        <v>RCEF 23-09-21 Rebidding</v>
      </c>
      <c r="AO1619" s="2">
        <f>IFERROR(__xludf.DUMMYFUNCTION("""COMPUTED_VALUE"""),3.0)</f>
        <v>3</v>
      </c>
      <c r="AP1619" s="2"/>
      <c r="AQ1619" s="2"/>
      <c r="AR1619" s="2"/>
      <c r="AS1619" s="2"/>
      <c r="AT1619" s="2"/>
      <c r="AU1619" s="2"/>
      <c r="AV1619" s="2"/>
      <c r="AW1619" s="2"/>
      <c r="AX1619" s="2"/>
      <c r="AY1619" s="2"/>
      <c r="AZ1619" s="2"/>
      <c r="BA1619" s="2"/>
      <c r="BB1619" s="2"/>
    </row>
    <row r="1620">
      <c r="A1620" s="2">
        <f>IFERROR(__xludf.DUMMYFUNCTION("""COMPUTED_VALUE"""),1616.0)</f>
        <v>1616</v>
      </c>
      <c r="B1620" s="2" t="str">
        <f>IFERROR(__xludf.DUMMYFUNCTION("""COMPUTED_VALUE"""),"COMPLETED")</f>
        <v>COMPLETED</v>
      </c>
      <c r="C1620" s="78">
        <f>IFERROR(__xludf.DUMMYFUNCTION("""COMPUTED_VALUE"""),46134.0)</f>
        <v>46134</v>
      </c>
      <c r="D1620" s="71" t="str">
        <f>IFERROR(__xludf.DUMMYFUNCTION("""COMPUTED_VALUE"""),"SAGPAT-BALINTAGAK-LIVESTOCK-IRRIGATORS AND ORGANIC FARMERS ASSOCIATION (SABALIOFA)")</f>
        <v>SAGPAT-BALINTAGAK-LIVESTOCK-IRRIGATORS AND ORGANIC FARMERS ASSOCIATION (SABALIOFA)</v>
      </c>
      <c r="E1620" s="71" t="str">
        <f>IFERROR(__xludf.DUMMYFUNCTION("""COMPUTED_VALUE"""),"Maloma, San Felipe, ZAMBALES")</f>
        <v>Maloma, San Felipe, ZAMBALES</v>
      </c>
      <c r="F1620" s="2" t="str">
        <f>IFERROR(__xludf.DUMMYFUNCTION("""COMPUTED_VALUE"""),"CEASAR DUMLAO")</f>
        <v>CEASAR DUMLAO</v>
      </c>
      <c r="G1620" s="2">
        <f>IFERROR(__xludf.DUMMYFUNCTION("""COMPUTED_VALUE"""),9.516811662E9)</f>
        <v>9516811662</v>
      </c>
      <c r="H1620" s="2"/>
      <c r="I1620" s="72" t="str">
        <f>IFERROR(__xludf.DUMMYFUNCTION("""COMPUTED_VALUE"""),"REPAIR - LOADER")</f>
        <v>REPAIR - LOADER</v>
      </c>
      <c r="J1620" s="72" t="str">
        <f>IFERROR(__xludf.DUMMYFUNCTION("""COMPUTED_VALUE"""),"Cable Lock")</f>
        <v>Cable Lock</v>
      </c>
      <c r="K1620" s="72" t="str">
        <f>IFERROR(__xludf.DUMMYFUNCTION("""COMPUTED_VALUE"""),"MYK: MAY PROBLEMA ANG KAMBYO NG LOADER, MAY NAPUTOL SA JOYSTICK
DELIVERED: NOVEMBER 2025")</f>
        <v>MYK: MAY PROBLEMA ANG KAMBYO NG LOADER, MAY NAPUTOL SA JOYSTICK
DELIVERED: NOVEMBER 2025</v>
      </c>
      <c r="L1620" s="72" t="str">
        <f>IFERROR(__xludf.DUMMYFUNCTION("""COMPUTED_VALUE"""),"JDP: REPLACED CABLE LOCK AND 1ST PMS DONE")</f>
        <v>JDP: REPLACED CABLE LOCK AND 1ST PMS DONE</v>
      </c>
      <c r="M1620" s="2" t="str">
        <f>IFERROR(__xludf.DUMMYFUNCTION("""COMPUTED_VALUE"""),"CABLE LOCK")</f>
        <v>CABLE LOCK</v>
      </c>
      <c r="N1620" s="2" t="str">
        <f>IFERROR(__xludf.DUMMYFUNCTION("""COMPUTED_VALUE"""),"PARTS:
OIL FILTER
ENGINE OIL
1 - CABLE LOCK (FABRICATED)")</f>
        <v>PARTS:
OIL FILTER
ENGINE OIL
1 - CABLE LOCK (FABRICATED)</v>
      </c>
      <c r="O1620" s="2">
        <f>IFERROR(__xludf.DUMMYFUNCTION("""COMPUTED_VALUE"""),488.0)</f>
        <v>488</v>
      </c>
      <c r="P1620" s="2"/>
      <c r="Q1620" s="2" t="str">
        <f>IFERROR(__xludf.DUMMYFUNCTION("""COMPUTED_VALUE"""),"FOR PRINT")</f>
        <v>FOR PRINT</v>
      </c>
      <c r="R1620" s="74">
        <f>IFERROR(__xludf.DUMMYFUNCTION("""COMPUTED_VALUE"""),46139.0)</f>
        <v>46139</v>
      </c>
      <c r="S1620" s="2" t="str">
        <f>IFERROR(__xludf.DUMMYFUNCTION("""COMPUTED_VALUE"""),"EGT/JDP")</f>
        <v>EGT/JDP</v>
      </c>
      <c r="T1620" s="73" t="str">
        <f>IFERROR(__xludf.DUMMYFUNCTION("""COMPUTED_VALUE""")," N/A ")</f>
        <v>N/A</v>
      </c>
      <c r="U1620" s="73" t="str">
        <f>IFERROR(__xludf.DUMMYFUNCTION("""COMPUTED_VALUE""")," RECORDED ")</f>
        <v>RECORDED</v>
      </c>
      <c r="V1620" s="2">
        <f>IFERROR(__xludf.DUMMYFUNCTION("""COMPUTED_VALUE"""),1327.0)</f>
        <v>1327</v>
      </c>
      <c r="W1620" s="2" t="str">
        <f>IFERROR(__xludf.DUMMYFUNCTION("""COMPUTED_VALUE"""),"N/A")</f>
        <v>N/A</v>
      </c>
      <c r="X1620" s="2" t="str">
        <f>IFERROR(__xludf.DUMMYFUNCTION("""COMPUTED_VALUE"""),"N/A")</f>
        <v>N/A</v>
      </c>
      <c r="Y1620" s="2"/>
      <c r="Z1620" s="2"/>
      <c r="AA1620" s="2"/>
      <c r="AB1620" s="2"/>
      <c r="AC1620" s="2"/>
      <c r="AD1620" s="2"/>
      <c r="AE1620" s="2"/>
      <c r="AF1620" s="2"/>
      <c r="AG1620" s="2"/>
      <c r="AH1620" s="2"/>
      <c r="AI1620" s="2"/>
      <c r="AJ1620" s="2" t="str">
        <f>IFERROR(__xludf.DUMMYFUNCTION("""COMPUTED_VALUE"""),"Maloma")</f>
        <v>Maloma</v>
      </c>
      <c r="AK1620" s="2" t="str">
        <f>IFERROR(__xludf.DUMMYFUNCTION("""COMPUTED_VALUE"""),"San Felipe")</f>
        <v>San Felipe</v>
      </c>
      <c r="AL1620" s="2" t="str">
        <f>IFERROR(__xludf.DUMMYFUNCTION("""COMPUTED_VALUE"""),"Zambales")</f>
        <v>Zambales</v>
      </c>
      <c r="AM1620" s="2">
        <f>IFERROR(__xludf.DUMMYFUNCTION("""COMPUTED_VALUE"""),3.0)</f>
        <v>3</v>
      </c>
      <c r="AN1620" s="2" t="str">
        <f>IFERROR(__xludf.DUMMYFUNCTION("""COMPUTED_VALUE"""),"RCEF 25-03-05")</f>
        <v>RCEF 25-03-05</v>
      </c>
      <c r="AO1620" s="2">
        <f>IFERROR(__xludf.DUMMYFUNCTION("""COMPUTED_VALUE"""),5.0)</f>
        <v>5</v>
      </c>
      <c r="AP1620" s="2" t="str">
        <f>IFERROR(__xludf.DUMMYFUNCTION("""COMPUTED_VALUE"""),"FREE PMS")</f>
        <v>FREE PMS</v>
      </c>
      <c r="AQ1620" s="2"/>
      <c r="AR1620" s="2"/>
      <c r="AS1620" s="2"/>
      <c r="AT1620" s="2"/>
      <c r="AU1620" s="2"/>
      <c r="AV1620" s="2"/>
      <c r="AW1620" s="2"/>
      <c r="AX1620" s="2"/>
      <c r="AY1620" s="2"/>
      <c r="AZ1620" s="2"/>
      <c r="BA1620" s="2"/>
      <c r="BB1620" s="2"/>
    </row>
    <row r="1621">
      <c r="A1621" s="2">
        <f>IFERROR(__xludf.DUMMYFUNCTION("""COMPUTED_VALUE"""),1617.0)</f>
        <v>1617</v>
      </c>
      <c r="B1621" s="2" t="str">
        <f>IFERROR(__xludf.DUMMYFUNCTION("""COMPUTED_VALUE"""),"PENDING")</f>
        <v>PENDING</v>
      </c>
      <c r="C1621" s="78">
        <f>IFERROR(__xludf.DUMMYFUNCTION("""COMPUTED_VALUE"""),46134.0)</f>
        <v>46134</v>
      </c>
      <c r="D1621" s="71" t="str">
        <f>IFERROR(__xludf.DUMMYFUNCTION("""COMPUTED_VALUE"""),"Asosasyon ng Magsasaka para sa Kalikasan at Kabuhayan")</f>
        <v>Asosasyon ng Magsasaka para sa Kalikasan at Kabuhayan</v>
      </c>
      <c r="E1621" s="71" t="str">
        <f>IFERROR(__xludf.DUMMYFUNCTION("""COMPUTED_VALUE"""),"J. U. Tienzo (Arimal), Lupao, NUEVA ECIJA")</f>
        <v>J. U. Tienzo (Arimal), Lupao, NUEVA ECIJA</v>
      </c>
      <c r="F1621" s="2" t="str">
        <f>IFERROR(__xludf.DUMMYFUNCTION("""COMPUTED_VALUE"""),"Perfeto Pagaduan")</f>
        <v>Perfeto Pagaduan</v>
      </c>
      <c r="G1621" s="2">
        <f>IFERROR(__xludf.DUMMYFUNCTION("""COMPUTED_VALUE"""),9.367960003E9)</f>
        <v>9367960003</v>
      </c>
      <c r="H1621" s="2"/>
      <c r="I1621" s="72" t="str">
        <f>IFERROR(__xludf.DUMMYFUNCTION("""COMPUTED_VALUE"""),"REPAIR - TRACTOR")</f>
        <v>REPAIR - TRACTOR</v>
      </c>
      <c r="J1621" s="72" t="str">
        <f>IFERROR(__xludf.DUMMYFUNCTION("""COMPUTED_VALUE"""),"CHECK UP UNIT")</f>
        <v>CHECK UP UNIT</v>
      </c>
      <c r="K1621" s="72" t="str">
        <f>IFERROR(__xludf.DUMMYFUNCTION("""COMPUTED_VALUE"""),"MYK: NUNG PUMUNTA ANG MGA TECHNICIAN BINUKSAN ANG TRACTOR PARA MAG PALIT NG  SIMCARD, AFTER NON AY HINDI NA MAPAANDAR ANG TRACTOR
")</f>
        <v>MYK: NUNG PUMUNTA ANG MGA TECHNICIAN BINUKSAN ANG TRACTOR PARA MAG PALIT NG  SIMCARD, AFTER NON AY HINDI NA MAPAANDAR ANG TRACTOR
</v>
      </c>
      <c r="L1621" s="72" t="str">
        <f>IFERROR(__xludf.DUMMYFUNCTION("""COMPUTED_VALUE"""),"TO CALL BY RBS -  INCORRECT NUMBER                                                 DSD: Ok na ang unit naka shift lang sa Forward kaya ayaw umandar")</f>
        <v>TO CALL BY RBS -  INCORRECT NUMBER                                                 DSD: Ok na ang unit naka shift lang sa Forward kaya ayaw umandar</v>
      </c>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c r="AJ1621" s="2" t="str">
        <f>IFERROR(__xludf.DUMMYFUNCTION("""COMPUTED_VALUE"""),"J. U. Tienzo (Arimal)")</f>
        <v>J. U. Tienzo (Arimal)</v>
      </c>
      <c r="AK1621" s="2" t="str">
        <f>IFERROR(__xludf.DUMMYFUNCTION("""COMPUTED_VALUE"""),"Lupao")</f>
        <v>Lupao</v>
      </c>
      <c r="AL1621" s="2" t="str">
        <f>IFERROR(__xludf.DUMMYFUNCTION("""COMPUTED_VALUE"""),"Nueva Ecija")</f>
        <v>Nueva Ecija</v>
      </c>
      <c r="AM1621" s="2">
        <f>IFERROR(__xludf.DUMMYFUNCTION("""COMPUTED_VALUE"""),3.0)</f>
        <v>3</v>
      </c>
      <c r="AN1621" s="2" t="str">
        <f>IFERROR(__xludf.DUMMYFUNCTION("""COMPUTED_VALUE"""),"RCEF 25-03-05")</f>
        <v>RCEF 25-03-05</v>
      </c>
      <c r="AO1621" s="2">
        <f>IFERROR(__xludf.DUMMYFUNCTION("""COMPUTED_VALUE"""),5.0)</f>
        <v>5</v>
      </c>
      <c r="AP1621" s="2" t="str">
        <f>IFERROR(__xludf.DUMMYFUNCTION("""COMPUTED_VALUE"""),"FREE PMS")</f>
        <v>FREE PMS</v>
      </c>
      <c r="AQ1621" s="2"/>
      <c r="AR1621" s="2"/>
      <c r="AS1621" s="2"/>
      <c r="AT1621" s="2"/>
      <c r="AU1621" s="2"/>
      <c r="AV1621" s="2"/>
      <c r="AW1621" s="2"/>
      <c r="AX1621" s="2"/>
      <c r="AY1621" s="2"/>
      <c r="AZ1621" s="2"/>
      <c r="BA1621" s="2"/>
      <c r="BB1621" s="2"/>
    </row>
    <row r="1622">
      <c r="A1622" s="2">
        <f>IFERROR(__xludf.DUMMYFUNCTION("""COMPUTED_VALUE"""),1618.0)</f>
        <v>1618</v>
      </c>
      <c r="B1622" s="2" t="str">
        <f>IFERROR(__xludf.DUMMYFUNCTION("""COMPUTED_VALUE"""),"COMPLETED")</f>
        <v>COMPLETED</v>
      </c>
      <c r="C1622" s="78">
        <f>IFERROR(__xludf.DUMMYFUNCTION("""COMPUTED_VALUE"""),46134.0)</f>
        <v>46134</v>
      </c>
      <c r="D1622" s="71" t="str">
        <f>IFERROR(__xludf.DUMMYFUNCTION("""COMPUTED_VALUE"""),"SAN CRISTOBAL FARMERS IRRIGATORS' ASSOCIATION, INC.")</f>
        <v>SAN CRISTOBAL FARMERS IRRIGATORS' ASSOCIATION, INC.</v>
      </c>
      <c r="E1622" s="71" t="str">
        <f>IFERROR(__xludf.DUMMYFUNCTION("""COMPUTED_VALUE"""),"San Cristobal, Licab, NUEVA ECIJA")</f>
        <v>San Cristobal, Licab, NUEVA ECIJA</v>
      </c>
      <c r="F1622" s="2" t="str">
        <f>IFERROR(__xludf.DUMMYFUNCTION("""COMPUTED_VALUE"""),"Alfredo M. Lozano")</f>
        <v>Alfredo M. Lozano</v>
      </c>
      <c r="G1622" s="2">
        <f>IFERROR(__xludf.DUMMYFUNCTION("""COMPUTED_VALUE"""),9.506409554E9)</f>
        <v>9506409554</v>
      </c>
      <c r="H1622" s="2"/>
      <c r="I1622" s="72" t="str">
        <f>IFERROR(__xludf.DUMMYFUNCTION("""COMPUTED_VALUE"""),"SPARE PARTS ACQUISITION")</f>
        <v>SPARE PARTS ACQUISITION</v>
      </c>
      <c r="J1622" s="72"/>
      <c r="K1622" s="72" t="str">
        <f>IFERROR(__xludf.DUMMYFUNCTION("""COMPUTED_VALUE"""),"MYK: PARTS ORDER: 
FRONT AXLE OIL SEAL ( TO CONFIRM)
PARTS: 
OIL SEAL TA000041359A")</f>
        <v>MYK: PARTS ORDER: 
FRONT AXLE OIL SEAL ( TO CONFIRM)
PARTS: 
OIL SEAL TA000041359A</v>
      </c>
      <c r="L1622" s="72" t="str">
        <f>IFERROR(__xludf.DUMMYFUNCTION("""COMPUTED_VALUE"""),"QUOTATION SENT- PAID TO LTC ACCOUNT- 
4/28/26 - FOR DELIVER BY JHP")</f>
        <v>QUOTATION SENT- PAID TO LTC ACCOUNT- 
4/28/26 - FOR DELIVER BY JHP</v>
      </c>
      <c r="M1622" s="2"/>
      <c r="N1622" s="2" t="str">
        <f>IFERROR(__xludf.DUMMYFUNCTION("""COMPUTED_VALUE"""),"PARTS:
OIL SEAL TA0000041359A")</f>
        <v>PARTS:
OIL SEAL TA0000041359A</v>
      </c>
      <c r="O1622" s="2" t="str">
        <f>IFERROR(__xludf.DUMMYFUNCTION("""COMPUTED_VALUE"""),"N/A")</f>
        <v>N/A</v>
      </c>
      <c r="P1622" s="2"/>
      <c r="Q1622" s="2"/>
      <c r="R1622" s="74">
        <f>IFERROR(__xludf.DUMMYFUNCTION("""COMPUTED_VALUE"""),46140.0)</f>
        <v>46140</v>
      </c>
      <c r="S1622" s="2" t="str">
        <f>IFERROR(__xludf.DUMMYFUNCTION("""COMPUTED_VALUE"""),"JHP/DRM")</f>
        <v>JHP/DRM</v>
      </c>
      <c r="T1622" s="73">
        <f>IFERROR(__xludf.DUMMYFUNCTION("""COMPUTED_VALUE"""),3380.0)</f>
        <v>3380</v>
      </c>
      <c r="U1622" s="73" t="str">
        <f>IFERROR(__xludf.DUMMYFUNCTION("""COMPUTED_VALUE""")," REMITTED ")</f>
        <v>REMITTED</v>
      </c>
      <c r="V1622" s="2">
        <f>IFERROR(__xludf.DUMMYFUNCTION("""COMPUTED_VALUE"""),1709.0)</f>
        <v>1709</v>
      </c>
      <c r="W1622" s="2">
        <f>IFERROR(__xludf.DUMMYFUNCTION("""COMPUTED_VALUE"""),1962.0)</f>
        <v>1962</v>
      </c>
      <c r="X1622" s="2" t="str">
        <f>IFERROR(__xludf.DUMMYFUNCTION("""COMPUTED_VALUE"""),"1759 - DIRECT PAYMENT")</f>
        <v>1759 - DIRECT PAYMENT</v>
      </c>
      <c r="Y1622" s="2"/>
      <c r="Z1622" s="2"/>
      <c r="AA1622" s="2"/>
      <c r="AB1622" s="2"/>
      <c r="AC1622" s="2"/>
      <c r="AD1622" s="2"/>
      <c r="AE1622" s="2"/>
      <c r="AF1622" s="2"/>
      <c r="AG1622" s="2"/>
      <c r="AH1622" s="2"/>
      <c r="AI1622" s="2"/>
      <c r="AJ1622" s="2" t="str">
        <f>IFERROR(__xludf.DUMMYFUNCTION("""COMPUTED_VALUE"""),"San Cristobal")</f>
        <v>San Cristobal</v>
      </c>
      <c r="AK1622" s="2" t="str">
        <f>IFERROR(__xludf.DUMMYFUNCTION("""COMPUTED_VALUE"""),"Licab")</f>
        <v>Licab</v>
      </c>
      <c r="AL1622" s="2" t="str">
        <f>IFERROR(__xludf.DUMMYFUNCTION("""COMPUTED_VALUE"""),"Nueva Ecija")</f>
        <v>Nueva Ecija</v>
      </c>
      <c r="AM1622" s="2">
        <f>IFERROR(__xludf.DUMMYFUNCTION("""COMPUTED_VALUE"""),3.0)</f>
        <v>3</v>
      </c>
      <c r="AN1622" s="2" t="str">
        <f>IFERROR(__xludf.DUMMYFUNCTION("""COMPUTED_VALUE"""),"RCEF 23-09-21 Rebidding")</f>
        <v>RCEF 23-09-21 Rebidding</v>
      </c>
      <c r="AO1622" s="2">
        <f>IFERROR(__xludf.DUMMYFUNCTION("""COMPUTED_VALUE"""),3.0)</f>
        <v>3</v>
      </c>
      <c r="AP1622" s="2"/>
      <c r="AQ1622" s="2"/>
      <c r="AR1622" s="2"/>
      <c r="AS1622" s="2"/>
      <c r="AT1622" s="2"/>
      <c r="AU1622" s="2"/>
      <c r="AV1622" s="2"/>
      <c r="AW1622" s="2"/>
      <c r="AX1622" s="2"/>
      <c r="AY1622" s="2"/>
      <c r="AZ1622" s="2"/>
      <c r="BA1622" s="2"/>
      <c r="BB1622" s="2"/>
    </row>
    <row r="1623">
      <c r="A1623" s="2">
        <f>IFERROR(__xludf.DUMMYFUNCTION("""COMPUTED_VALUE"""),1619.0)</f>
        <v>1619</v>
      </c>
      <c r="B1623" s="2" t="str">
        <f>IFERROR(__xludf.DUMMYFUNCTION("""COMPUTED_VALUE"""),"COMPLETED")</f>
        <v>COMPLETED</v>
      </c>
      <c r="C1623" s="78">
        <f>IFERROR(__xludf.DUMMYFUNCTION("""COMPUTED_VALUE"""),46135.0)</f>
        <v>46135</v>
      </c>
      <c r="D1623" s="71" t="str">
        <f>IFERROR(__xludf.DUMMYFUNCTION("""COMPUTED_VALUE"""),"GP 125 IRRIGATION SERVICE ASSOCIATION INC.")</f>
        <v>GP 125 IRRIGATION SERVICE ASSOCIATION INC.</v>
      </c>
      <c r="E1623" s="71" t="str">
        <f>IFERROR(__xludf.DUMMYFUNCTION("""COMPUTED_VALUE"""),"Pance, Ramos, TARLAC")</f>
        <v>Pance, Ramos, TARLAC</v>
      </c>
      <c r="F1623" s="2" t="str">
        <f>IFERROR(__xludf.DUMMYFUNCTION("""COMPUTED_VALUE"""),"Evelyn M. Fontillas")</f>
        <v>Evelyn M. Fontillas</v>
      </c>
      <c r="G1623" s="2">
        <f>IFERROR(__xludf.DUMMYFUNCTION("""COMPUTED_VALUE"""),9.702028212E9)</f>
        <v>9702028212</v>
      </c>
      <c r="H1623" s="2">
        <f>IFERROR(__xludf.DUMMYFUNCTION("""COMPUTED_VALUE"""),161.9)</f>
        <v>161.9</v>
      </c>
      <c r="I1623" s="72" t="str">
        <f>IFERROR(__xludf.DUMMYFUNCTION("""COMPUTED_VALUE"""),"PMS")</f>
        <v>PMS</v>
      </c>
      <c r="J1623" s="72"/>
      <c r="K1623" s="72" t="str">
        <f>IFERROR(__xludf.DUMMYFUNCTION("""COMPUTED_VALUE"""),"DRM: 1ST PMS")</f>
        <v>DRM: 1ST PMS</v>
      </c>
      <c r="L1623" s="72" t="str">
        <f>IFERROR(__xludf.DUMMYFUNCTION("""COMPUTED_VALUE"""),"DRM: 1ST PMS DONE")</f>
        <v>DRM: 1ST PMS DONE</v>
      </c>
      <c r="M1623" s="2"/>
      <c r="N1623" s="2" t="str">
        <f>IFERROR(__xludf.DUMMYFUNCTION("""COMPUTED_VALUE"""),"PARTS:
OIL FILTER
ENGINE OIL")</f>
        <v>PARTS:
OIL FILTER
ENGINE OIL</v>
      </c>
      <c r="O1623" s="2">
        <f>IFERROR(__xludf.DUMMYFUNCTION("""COMPUTED_VALUE"""),876.0)</f>
        <v>876</v>
      </c>
      <c r="P1623" s="2"/>
      <c r="Q1623" s="2" t="str">
        <f>IFERROR(__xludf.DUMMYFUNCTION("""COMPUTED_VALUE"""),"FOR PRINT")</f>
        <v>FOR PRINT</v>
      </c>
      <c r="R1623" s="74">
        <f>IFERROR(__xludf.DUMMYFUNCTION("""COMPUTED_VALUE"""),46136.0)</f>
        <v>46136</v>
      </c>
      <c r="S1623" s="2" t="str">
        <f>IFERROR(__xludf.DUMMYFUNCTION("""COMPUTED_VALUE"""),"DRM")</f>
        <v>DRM</v>
      </c>
      <c r="T1623" s="73" t="str">
        <f>IFERROR(__xludf.DUMMYFUNCTION("""COMPUTED_VALUE""")," N/A ")</f>
        <v>N/A</v>
      </c>
      <c r="U1623" s="73" t="str">
        <f>IFERROR(__xludf.DUMMYFUNCTION("""COMPUTED_VALUE""")," RECORDED ")</f>
        <v>RECORDED</v>
      </c>
      <c r="V1623" s="2">
        <f>IFERROR(__xludf.DUMMYFUNCTION("""COMPUTED_VALUE"""),1326.0)</f>
        <v>1326</v>
      </c>
      <c r="W1623" s="2" t="str">
        <f>IFERROR(__xludf.DUMMYFUNCTION("""COMPUTED_VALUE"""),"N/A")</f>
        <v>N/A</v>
      </c>
      <c r="X1623" s="2" t="str">
        <f>IFERROR(__xludf.DUMMYFUNCTION("""COMPUTED_VALUE"""),"N/A")</f>
        <v>N/A</v>
      </c>
      <c r="Y1623" s="2"/>
      <c r="Z1623" s="2"/>
      <c r="AA1623" s="2"/>
      <c r="AB1623" s="2"/>
      <c r="AC1623" s="2"/>
      <c r="AD1623" s="2"/>
      <c r="AE1623" s="2"/>
      <c r="AF1623" s="2"/>
      <c r="AG1623" s="2"/>
      <c r="AH1623" s="2"/>
      <c r="AI1623" s="2"/>
      <c r="AJ1623" s="2" t="str">
        <f>IFERROR(__xludf.DUMMYFUNCTION("""COMPUTED_VALUE"""),"Pance")</f>
        <v>Pance</v>
      </c>
      <c r="AK1623" s="2" t="str">
        <f>IFERROR(__xludf.DUMMYFUNCTION("""COMPUTED_VALUE"""),"Ramos")</f>
        <v>Ramos</v>
      </c>
      <c r="AL1623" s="2" t="str">
        <f>IFERROR(__xludf.DUMMYFUNCTION("""COMPUTED_VALUE"""),"Tarlac")</f>
        <v>Tarlac</v>
      </c>
      <c r="AM1623" s="2">
        <f>IFERROR(__xludf.DUMMYFUNCTION("""COMPUTED_VALUE"""),3.0)</f>
        <v>3</v>
      </c>
      <c r="AN1623" s="2" t="str">
        <f>IFERROR(__xludf.DUMMYFUNCTION("""COMPUTED_VALUE"""),"RCEF 24-04-15")</f>
        <v>RCEF 24-04-15</v>
      </c>
      <c r="AO1623" s="2">
        <f>IFERROR(__xludf.DUMMYFUNCTION("""COMPUTED_VALUE"""),6.0)</f>
        <v>6</v>
      </c>
      <c r="AP1623" s="2" t="str">
        <f>IFERROR(__xludf.DUMMYFUNCTION("""COMPUTED_VALUE"""),"FREE PMS")</f>
        <v>FREE PMS</v>
      </c>
      <c r="AQ1623" s="2"/>
      <c r="AR1623" s="2"/>
      <c r="AS1623" s="2"/>
      <c r="AT1623" s="2"/>
      <c r="AU1623" s="2"/>
      <c r="AV1623" s="2"/>
      <c r="AW1623" s="2"/>
      <c r="AX1623" s="2"/>
      <c r="AY1623" s="2"/>
      <c r="AZ1623" s="2"/>
      <c r="BA1623" s="2"/>
      <c r="BB1623" s="2"/>
    </row>
    <row r="1624">
      <c r="A1624" s="2">
        <f>IFERROR(__xludf.DUMMYFUNCTION("""COMPUTED_VALUE"""),1620.0)</f>
        <v>1620</v>
      </c>
      <c r="B1624" s="2" t="str">
        <f>IFERROR(__xludf.DUMMYFUNCTION("""COMPUTED_VALUE"""),"COMPLETED")</f>
        <v>COMPLETED</v>
      </c>
      <c r="C1624" s="78">
        <f>IFERROR(__xludf.DUMMYFUNCTION("""COMPUTED_VALUE"""),46135.0)</f>
        <v>46135</v>
      </c>
      <c r="D1624" s="71" t="str">
        <f>IFERROR(__xludf.DUMMYFUNCTION("""COMPUTED_VALUE"""),"Caloocan Paraiso Agriculture Cooperative")</f>
        <v>Caloocan Paraiso Agriculture Cooperative</v>
      </c>
      <c r="E1624" s="71" t="str">
        <f>IFERROR(__xludf.DUMMYFUNCTION("""COMPUTED_VALUE"""),"Calaocan District, Rizal, NUEVA ECIJA")</f>
        <v>Calaocan District, Rizal, NUEVA ECIJA</v>
      </c>
      <c r="F1624" s="2"/>
      <c r="G1624" s="2">
        <f>IFERROR(__xludf.DUMMYFUNCTION("""COMPUTED_VALUE"""),9.613025376E9)</f>
        <v>9613025376</v>
      </c>
      <c r="H1624" s="2">
        <f>IFERROR(__xludf.DUMMYFUNCTION("""COMPUTED_VALUE"""),72.3)</f>
        <v>72.3</v>
      </c>
      <c r="I1624" s="72" t="str">
        <f>IFERROR(__xludf.DUMMYFUNCTION("""COMPUTED_VALUE"""),"PMS")</f>
        <v>PMS</v>
      </c>
      <c r="J1624" s="72"/>
      <c r="K1624" s="72" t="str">
        <f>IFERROR(__xludf.DUMMYFUNCTION("""COMPUTED_VALUE"""),"DSD: 
Request 1st PMS FREE")</f>
        <v>DSD: 
Request 1st PMS FREE</v>
      </c>
      <c r="L1624" s="72" t="str">
        <f>IFERROR(__xludf.DUMMYFUNCTION("""COMPUTED_VALUE"""),"DSD: 1ST PMS DONE")</f>
        <v>DSD: 1ST PMS DONE</v>
      </c>
      <c r="M1624" s="2"/>
      <c r="N1624" s="2" t="str">
        <f>IFERROR(__xludf.DUMMYFUNCTION("""COMPUTED_VALUE"""),"PARTS:
OIL FILTER
ENGINE OIL")</f>
        <v>PARTS:
OIL FILTER
ENGINE OIL</v>
      </c>
      <c r="O1624" s="2">
        <f>IFERROR(__xludf.DUMMYFUNCTION("""COMPUTED_VALUE"""),874.0)</f>
        <v>874</v>
      </c>
      <c r="P1624" s="2"/>
      <c r="Q1624" s="2" t="str">
        <f>IFERROR(__xludf.DUMMYFUNCTION("""COMPUTED_VALUE"""),"FOR PRINT")</f>
        <v>FOR PRINT</v>
      </c>
      <c r="R1624" s="2" t="str">
        <f>IFERROR(__xludf.DUMMYFUNCTION("""COMPUTED_VALUE"""),"4/242/6")</f>
        <v>4/242/6</v>
      </c>
      <c r="S1624" s="2" t="str">
        <f>IFERROR(__xludf.DUMMYFUNCTION("""COMPUTED_VALUE"""),"DSD")</f>
        <v>DSD</v>
      </c>
      <c r="T1624" s="73" t="str">
        <f>IFERROR(__xludf.DUMMYFUNCTION("""COMPUTED_VALUE""")," N/A ")</f>
        <v>N/A</v>
      </c>
      <c r="U1624" s="73" t="str">
        <f>IFERROR(__xludf.DUMMYFUNCTION("""COMPUTED_VALUE""")," RECORDED ")</f>
        <v>RECORDED</v>
      </c>
      <c r="V1624" s="2">
        <f>IFERROR(__xludf.DUMMYFUNCTION("""COMPUTED_VALUE"""),2014.0)</f>
        <v>2014</v>
      </c>
      <c r="W1624" s="2" t="str">
        <f>IFERROR(__xludf.DUMMYFUNCTION("""COMPUTED_VALUE"""),"N/A")</f>
        <v>N/A</v>
      </c>
      <c r="X1624" s="2" t="str">
        <f>IFERROR(__xludf.DUMMYFUNCTION("""COMPUTED_VALUE"""),"N/A")</f>
        <v>N/A</v>
      </c>
      <c r="Y1624" s="2"/>
      <c r="Z1624" s="2"/>
      <c r="AA1624" s="2"/>
      <c r="AB1624" s="2"/>
      <c r="AC1624" s="2"/>
      <c r="AD1624" s="2"/>
      <c r="AE1624" s="2"/>
      <c r="AF1624" s="2"/>
      <c r="AG1624" s="2"/>
      <c r="AH1624" s="2"/>
      <c r="AI1624" s="2"/>
      <c r="AJ1624" s="2" t="str">
        <f>IFERROR(__xludf.DUMMYFUNCTION("""COMPUTED_VALUE"""),"Calaocan District")</f>
        <v>Calaocan District</v>
      </c>
      <c r="AK1624" s="2" t="str">
        <f>IFERROR(__xludf.DUMMYFUNCTION("""COMPUTED_VALUE"""),"Rizal")</f>
        <v>Rizal</v>
      </c>
      <c r="AL1624" s="2" t="str">
        <f>IFERROR(__xludf.DUMMYFUNCTION("""COMPUTED_VALUE"""),"Nueva Ecija")</f>
        <v>Nueva Ecija</v>
      </c>
      <c r="AM1624" s="2">
        <f>IFERROR(__xludf.DUMMYFUNCTION("""COMPUTED_VALUE"""),3.0)</f>
        <v>3</v>
      </c>
      <c r="AN1624" s="2" t="str">
        <f>IFERROR(__xludf.DUMMYFUNCTION("""COMPUTED_VALUE"""),"RCEF 25-03-05")</f>
        <v>RCEF 25-03-05</v>
      </c>
      <c r="AO1624" s="2">
        <f>IFERROR(__xludf.DUMMYFUNCTION("""COMPUTED_VALUE"""),5.0)</f>
        <v>5</v>
      </c>
      <c r="AP1624" s="2" t="str">
        <f>IFERROR(__xludf.DUMMYFUNCTION("""COMPUTED_VALUE"""),"FREE PMS")</f>
        <v>FREE PMS</v>
      </c>
      <c r="AQ1624" s="2"/>
      <c r="AR1624" s="2"/>
      <c r="AS1624" s="2"/>
      <c r="AT1624" s="2"/>
      <c r="AU1624" s="2"/>
      <c r="AV1624" s="2"/>
      <c r="AW1624" s="2"/>
      <c r="AX1624" s="2"/>
      <c r="AY1624" s="2"/>
      <c r="AZ1624" s="2"/>
      <c r="BA1624" s="2"/>
      <c r="BB1624" s="2"/>
    </row>
    <row r="1625">
      <c r="A1625" s="2">
        <f>IFERROR(__xludf.DUMMYFUNCTION("""COMPUTED_VALUE"""),1621.0)</f>
        <v>1621</v>
      </c>
      <c r="B1625" s="2" t="str">
        <f>IFERROR(__xludf.DUMMYFUNCTION("""COMPUTED_VALUE"""),"COMPLETED")</f>
        <v>COMPLETED</v>
      </c>
      <c r="C1625" s="78">
        <f>IFERROR(__xludf.DUMMYFUNCTION("""COMPUTED_VALUE"""),46135.0)</f>
        <v>46135</v>
      </c>
      <c r="D1625" s="71" t="str">
        <f>IFERROR(__xludf.DUMMYFUNCTION("""COMPUTED_VALUE"""),"QUEZON PALAY SEEDGROWERS ASSOCIATION INC.")</f>
        <v>QUEZON PALAY SEEDGROWERS ASSOCIATION INC.</v>
      </c>
      <c r="E1625" s="71" t="str">
        <f>IFERROR(__xludf.DUMMYFUNCTION("""COMPUTED_VALUE"""),"Santa Catalina Sur, Candelaria, QUEZON")</f>
        <v>Santa Catalina Sur, Candelaria, QUEZON</v>
      </c>
      <c r="F1625" s="2" t="str">
        <f>IFERROR(__xludf.DUMMYFUNCTION("""COMPUTED_VALUE"""),"Domingo A. Brion Jr.")</f>
        <v>Domingo A. Brion Jr.</v>
      </c>
      <c r="G1625" s="2">
        <f>IFERROR(__xludf.DUMMYFUNCTION("""COMPUTED_VALUE"""),9.178246179E9)</f>
        <v>9178246179</v>
      </c>
      <c r="H1625" s="2">
        <f>IFERROR(__xludf.DUMMYFUNCTION("""COMPUTED_VALUE"""),50.0)</f>
        <v>50</v>
      </c>
      <c r="I1625" s="72" t="str">
        <f>IFERROR(__xludf.DUMMYFUNCTION("""COMPUTED_VALUE"""),"PMS")</f>
        <v>PMS</v>
      </c>
      <c r="J1625" s="72" t="str">
        <f>IFERROR(__xludf.DUMMYFUNCTION("""COMPUTED_VALUE"""),"PMS")</f>
        <v>PMS</v>
      </c>
      <c r="K1625" s="72" t="str">
        <f>IFERROR(__xludf.DUMMYFUNCTION("""COMPUTED_VALUE"""),"RBS: Concern: Need for 1st PMS
Remark: nkrequest nadaw Po eto")</f>
        <v>RBS: Concern: Need for 1st PMS
Remark: nkrequest nadaw Po eto</v>
      </c>
      <c r="L1625" s="72" t="str">
        <f>IFERROR(__xludf.DUMMYFUNCTION("""COMPUTED_VALUE"""),"RBS: 1ST PSM DONE")</f>
        <v>RBS: 1ST PSM DONE</v>
      </c>
      <c r="M1625" s="2"/>
      <c r="N1625" s="2" t="str">
        <f>IFERROR(__xludf.DUMMYFUNCTION("""COMPUTED_VALUE"""),"PARTS:
OIL FILTER
ENGINE OIL")</f>
        <v>PARTS:
OIL FILTER
ENGINE OIL</v>
      </c>
      <c r="O1625" s="2">
        <f>IFERROR(__xludf.DUMMYFUNCTION("""COMPUTED_VALUE"""),739.0)</f>
        <v>739</v>
      </c>
      <c r="P1625" s="2"/>
      <c r="Q1625" s="2" t="str">
        <f>IFERROR(__xludf.DUMMYFUNCTION("""COMPUTED_VALUE"""),"FOR PRINT")</f>
        <v>FOR PRINT</v>
      </c>
      <c r="R1625" s="74">
        <f>IFERROR(__xludf.DUMMYFUNCTION("""COMPUTED_VALUE"""),46147.0)</f>
        <v>46147</v>
      </c>
      <c r="S1625" s="2" t="str">
        <f>IFERROR(__xludf.DUMMYFUNCTION("""COMPUTED_VALUE"""),"RCG/RBS")</f>
        <v>RCG/RBS</v>
      </c>
      <c r="T1625" s="73" t="str">
        <f>IFERROR(__xludf.DUMMYFUNCTION("""COMPUTED_VALUE""")," N/A ")</f>
        <v>N/A</v>
      </c>
      <c r="U1625" s="73" t="str">
        <f>IFERROR(__xludf.DUMMYFUNCTION("""COMPUTED_VALUE""")," NO CHARGE ")</f>
        <v>NO CHARGE</v>
      </c>
      <c r="V1625" s="2" t="str">
        <f>IFERROR(__xludf.DUMMYFUNCTION("""COMPUTED_VALUE"""),"N/A")</f>
        <v>N/A</v>
      </c>
      <c r="W1625" s="2" t="str">
        <f>IFERROR(__xludf.DUMMYFUNCTION("""COMPUTED_VALUE"""),"N/A")</f>
        <v>N/A</v>
      </c>
      <c r="X1625" s="2" t="str">
        <f>IFERROR(__xludf.DUMMYFUNCTION("""COMPUTED_VALUE"""),"N/A")</f>
        <v>N/A</v>
      </c>
      <c r="Y1625" s="2"/>
      <c r="Z1625" s="2"/>
      <c r="AA1625" s="2"/>
      <c r="AB1625" s="2"/>
      <c r="AC1625" s="2"/>
      <c r="AD1625" s="2"/>
      <c r="AE1625" s="2"/>
      <c r="AF1625" s="2"/>
      <c r="AG1625" s="2"/>
      <c r="AH1625" s="2"/>
      <c r="AI1625" s="2"/>
      <c r="AJ1625" s="2" t="str">
        <f>IFERROR(__xludf.DUMMYFUNCTION("""COMPUTED_VALUE"""),"Santa Catalina Sur")</f>
        <v>Santa Catalina Sur</v>
      </c>
      <c r="AK1625" s="2" t="str">
        <f>IFERROR(__xludf.DUMMYFUNCTION("""COMPUTED_VALUE"""),"Candelaria")</f>
        <v>Candelaria</v>
      </c>
      <c r="AL1625" s="2" t="str">
        <f>IFERROR(__xludf.DUMMYFUNCTION("""COMPUTED_VALUE"""),"Quezon")</f>
        <v>Quezon</v>
      </c>
      <c r="AM1625" s="2" t="str">
        <f>IFERROR(__xludf.DUMMYFUNCTION("""COMPUTED_VALUE"""),"4A")</f>
        <v>4A</v>
      </c>
      <c r="AN1625" s="2" t="str">
        <f>IFERROR(__xludf.DUMMYFUNCTION("""COMPUTED_VALUE"""),"RCEF 25-03-05")</f>
        <v>RCEF 25-03-05</v>
      </c>
      <c r="AO1625" s="2">
        <f>IFERROR(__xludf.DUMMYFUNCTION("""COMPUTED_VALUE"""),7.0)</f>
        <v>7</v>
      </c>
      <c r="AP1625" s="2" t="str">
        <f>IFERROR(__xludf.DUMMYFUNCTION("""COMPUTED_VALUE"""),"FREE PMS")</f>
        <v>FREE PMS</v>
      </c>
      <c r="AQ1625" s="2"/>
      <c r="AR1625" s="2"/>
      <c r="AS1625" s="2"/>
      <c r="AT1625" s="2"/>
      <c r="AU1625" s="2"/>
      <c r="AV1625" s="2"/>
      <c r="AW1625" s="2"/>
      <c r="AX1625" s="2"/>
      <c r="AY1625" s="2"/>
      <c r="AZ1625" s="2"/>
      <c r="BA1625" s="2"/>
      <c r="BB1625" s="2"/>
    </row>
    <row r="1626">
      <c r="A1626" s="2">
        <f>IFERROR(__xludf.DUMMYFUNCTION("""COMPUTED_VALUE"""),1622.0)</f>
        <v>1622</v>
      </c>
      <c r="B1626" s="2" t="str">
        <f>IFERROR(__xludf.DUMMYFUNCTION("""COMPUTED_VALUE"""),"COMPLETED")</f>
        <v>COMPLETED</v>
      </c>
      <c r="C1626" s="78">
        <f>IFERROR(__xludf.DUMMYFUNCTION("""COMPUTED_VALUE"""),46135.0)</f>
        <v>46135</v>
      </c>
      <c r="D1626" s="71" t="str">
        <f>IFERROR(__xludf.DUMMYFUNCTION("""COMPUTED_VALUE"""),"MACABACLE FARMERS ASSOCIATION")</f>
        <v>MACABACLE FARMERS ASSOCIATION</v>
      </c>
      <c r="E1626" s="71" t="str">
        <f>IFERROR(__xludf.DUMMYFUNCTION("""COMPUTED_VALUE"""),"Macabacle, Bacolor, PAMPANGA")</f>
        <v>Macabacle, Bacolor, PAMPANGA</v>
      </c>
      <c r="F1626" s="2" t="str">
        <f>IFERROR(__xludf.DUMMYFUNCTION("""COMPUTED_VALUE"""),"Personariel Ocampo")</f>
        <v>Personariel Ocampo</v>
      </c>
      <c r="G1626" s="2">
        <f>IFERROR(__xludf.DUMMYFUNCTION("""COMPUTED_VALUE"""),9.696467529E9)</f>
        <v>9696467529</v>
      </c>
      <c r="H1626" s="2">
        <f>IFERROR(__xludf.DUMMYFUNCTION("""COMPUTED_VALUE"""),96.0)</f>
        <v>96</v>
      </c>
      <c r="I1626" s="72" t="str">
        <f>IFERROR(__xludf.DUMMYFUNCTION("""COMPUTED_VALUE"""),"PMS")</f>
        <v>PMS</v>
      </c>
      <c r="J1626" s="72"/>
      <c r="K1626" s="72" t="str">
        <f>IFERROR(__xludf.DUMMYFUNCTION("""COMPUTED_VALUE"""),"ECM: For 1st PMS free")</f>
        <v>ECM: For 1st PMS free</v>
      </c>
      <c r="L1626" s="72" t="str">
        <f>IFERROR(__xludf.DUMMYFUNCTION("""COMPUTED_VALUE"""),"JDP: 1ST PMS DONE")</f>
        <v>JDP: 1ST PMS DONE</v>
      </c>
      <c r="M1626" s="2"/>
      <c r="N1626" s="2" t="str">
        <f>IFERROR(__xludf.DUMMYFUNCTION("""COMPUTED_VALUE"""),"PARTS:
OIL FILTER
ENGINE OIL")</f>
        <v>PARTS:
OIL FILTER
ENGINE OIL</v>
      </c>
      <c r="O1626" s="2">
        <f>IFERROR(__xludf.DUMMYFUNCTION("""COMPUTED_VALUE"""),492.0)</f>
        <v>492</v>
      </c>
      <c r="P1626" s="2"/>
      <c r="Q1626" s="2" t="str">
        <f>IFERROR(__xludf.DUMMYFUNCTION("""COMPUTED_VALUE"""),"FOR PRINT")</f>
        <v>FOR PRINT</v>
      </c>
      <c r="R1626" s="74">
        <f>IFERROR(__xludf.DUMMYFUNCTION("""COMPUTED_VALUE"""),46136.0)</f>
        <v>46136</v>
      </c>
      <c r="S1626" s="2" t="str">
        <f>IFERROR(__xludf.DUMMYFUNCTION("""COMPUTED_VALUE"""),"JDP/EGT")</f>
        <v>JDP/EGT</v>
      </c>
      <c r="T1626" s="73" t="str">
        <f>IFERROR(__xludf.DUMMYFUNCTION("""COMPUTED_VALUE""")," N/A ")</f>
        <v>N/A</v>
      </c>
      <c r="U1626" s="73" t="str">
        <f>IFERROR(__xludf.DUMMYFUNCTION("""COMPUTED_VALUE""")," RECORDED ")</f>
        <v>RECORDED</v>
      </c>
      <c r="V1626" s="2">
        <f>IFERROR(__xludf.DUMMYFUNCTION("""COMPUTED_VALUE"""),1329.0)</f>
        <v>1329</v>
      </c>
      <c r="W1626" s="2" t="str">
        <f>IFERROR(__xludf.DUMMYFUNCTION("""COMPUTED_VALUE"""),"N/A")</f>
        <v>N/A</v>
      </c>
      <c r="X1626" s="2" t="str">
        <f>IFERROR(__xludf.DUMMYFUNCTION("""COMPUTED_VALUE"""),"N/A")</f>
        <v>N/A</v>
      </c>
      <c r="Y1626" s="2"/>
      <c r="Z1626" s="2"/>
      <c r="AA1626" s="2"/>
      <c r="AB1626" s="2"/>
      <c r="AC1626" s="2"/>
      <c r="AD1626" s="2"/>
      <c r="AE1626" s="2"/>
      <c r="AF1626" s="2"/>
      <c r="AG1626" s="2"/>
      <c r="AH1626" s="2"/>
      <c r="AI1626" s="2"/>
      <c r="AJ1626" s="2" t="str">
        <f>IFERROR(__xludf.DUMMYFUNCTION("""COMPUTED_VALUE"""),"Macabacle")</f>
        <v>Macabacle</v>
      </c>
      <c r="AK1626" s="2" t="str">
        <f>IFERROR(__xludf.DUMMYFUNCTION("""COMPUTED_VALUE"""),"Bacolor")</f>
        <v>Bacolor</v>
      </c>
      <c r="AL1626" s="2" t="str">
        <f>IFERROR(__xludf.DUMMYFUNCTION("""COMPUTED_VALUE"""),"Pampanga")</f>
        <v>Pampanga</v>
      </c>
      <c r="AM1626" s="2">
        <f>IFERROR(__xludf.DUMMYFUNCTION("""COMPUTED_VALUE"""),3.0)</f>
        <v>3</v>
      </c>
      <c r="AN1626" s="2" t="str">
        <f>IFERROR(__xludf.DUMMYFUNCTION("""COMPUTED_VALUE"""),"RCEF 25-03-05")</f>
        <v>RCEF 25-03-05</v>
      </c>
      <c r="AO1626" s="2">
        <f>IFERROR(__xludf.DUMMYFUNCTION("""COMPUTED_VALUE"""),5.0)</f>
        <v>5</v>
      </c>
      <c r="AP1626" s="2" t="str">
        <f>IFERROR(__xludf.DUMMYFUNCTION("""COMPUTED_VALUE"""),"FREE PMS")</f>
        <v>FREE PMS</v>
      </c>
      <c r="AQ1626" s="2"/>
      <c r="AR1626" s="2"/>
      <c r="AS1626" s="2"/>
      <c r="AT1626" s="2"/>
      <c r="AU1626" s="2"/>
      <c r="AV1626" s="2"/>
      <c r="AW1626" s="2"/>
      <c r="AX1626" s="2"/>
      <c r="AY1626" s="2"/>
      <c r="AZ1626" s="2"/>
      <c r="BA1626" s="2"/>
      <c r="BB1626" s="2"/>
    </row>
    <row r="1627">
      <c r="A1627" s="2">
        <f>IFERROR(__xludf.DUMMYFUNCTION("""COMPUTED_VALUE"""),1623.0)</f>
        <v>1623</v>
      </c>
      <c r="B1627" s="2" t="str">
        <f>IFERROR(__xludf.DUMMYFUNCTION("""COMPUTED_VALUE"""),"COMPLETED")</f>
        <v>COMPLETED</v>
      </c>
      <c r="C1627" s="78">
        <f>IFERROR(__xludf.DUMMYFUNCTION("""COMPUTED_VALUE"""),46136.0)</f>
        <v>46136</v>
      </c>
      <c r="D1627" s="71" t="str">
        <f>IFERROR(__xludf.DUMMYFUNCTION("""COMPUTED_VALUE"""),"ILOG BALIWAG-SAN MIGUEL FARMERS ASSOCIATION (ISFA)")</f>
        <v>ILOG BALIWAG-SAN MIGUEL FARMERS ASSOCIATION (ISFA)</v>
      </c>
      <c r="E1627" s="71" t="str">
        <f>IFERROR(__xludf.DUMMYFUNCTION("""COMPUTED_VALUE"""),"Ilog Baliwag, Quezon, NUEVA ECIJA")</f>
        <v>Ilog Baliwag, Quezon, NUEVA ECIJA</v>
      </c>
      <c r="F1627" s="2" t="str">
        <f>IFERROR(__xludf.DUMMYFUNCTION("""COMPUTED_VALUE"""),"Bernie Melendez ")</f>
        <v>Bernie Melendez </v>
      </c>
      <c r="G1627" s="2"/>
      <c r="H1627" s="2">
        <f>IFERROR(__xludf.DUMMYFUNCTION("""COMPUTED_VALUE"""),516.0)</f>
        <v>516</v>
      </c>
      <c r="I1627" s="72" t="str">
        <f>IFERROR(__xludf.DUMMYFUNCTION("""COMPUTED_VALUE"""),"REPAIR - TRACTOR")</f>
        <v>REPAIR - TRACTOR</v>
      </c>
      <c r="J1627" s="72" t="str">
        <f>IFERROR(__xludf.DUMMYFUNCTION("""COMPUTED_VALUE"""),"Electrical - Harness")</f>
        <v>Electrical - Harness</v>
      </c>
      <c r="K1627" s="72" t="str">
        <f>IFERROR(__xludf.DUMMYFUNCTION("""COMPUTED_VALUE"""),"JVV: Nasunog ang wiring harness at May alog den po ang Tie Rod End, mabalikan den daw po sana agad at maraming Naka schedule na gawa sakanila")</f>
        <v>JVV: Nasunog ang wiring harness at May alog den po ang Tie Rod End, mabalikan den daw po sana agad at maraming Naka schedule na gawa sakanila</v>
      </c>
      <c r="L1627" s="72" t="str">
        <f>IFERROR(__xludf.DUMMYFUNCTION("""COMPUTED_VALUE"""),"JVV: REPLACED DAMAGE TIE ROD")</f>
        <v>JVV: REPLACED DAMAGE TIE ROD</v>
      </c>
      <c r="M1627" s="2"/>
      <c r="N1627" s="2" t="str">
        <f>IFERROR(__xludf.DUMMYFUNCTION("""COMPUTED_VALUE"""),"PARTS:
TIE ROD R")</f>
        <v>PARTS:
TIE ROD R</v>
      </c>
      <c r="O1627" s="2">
        <f>IFERROR(__xludf.DUMMYFUNCTION("""COMPUTED_VALUE"""),879.0)</f>
        <v>879</v>
      </c>
      <c r="P1627" s="2"/>
      <c r="Q1627" s="2" t="str">
        <f>IFERROR(__xludf.DUMMYFUNCTION("""COMPUTED_VALUE"""),"FOR PRINT")</f>
        <v>FOR PRINT</v>
      </c>
      <c r="R1627" s="74">
        <f>IFERROR(__xludf.DUMMYFUNCTION("""COMPUTED_VALUE"""),46141.0)</f>
        <v>46141</v>
      </c>
      <c r="S1627" s="2" t="str">
        <f>IFERROR(__xludf.DUMMYFUNCTION("""COMPUTED_VALUE"""),"DRM/JVV")</f>
        <v>DRM/JVV</v>
      </c>
      <c r="T1627" s="73">
        <f>IFERROR(__xludf.DUMMYFUNCTION("""COMPUTED_VALUE"""),9290.0)</f>
        <v>9290</v>
      </c>
      <c r="U1627" s="73" t="str">
        <f>IFERROR(__xludf.DUMMYFUNCTION("""COMPUTED_VALUE""")," FOR REMIT ")</f>
        <v>FOR REMIT</v>
      </c>
      <c r="V1627" s="2">
        <f>IFERROR(__xludf.DUMMYFUNCTION("""COMPUTED_VALUE"""),2002.0)</f>
        <v>2002</v>
      </c>
      <c r="W1627" s="2">
        <f>IFERROR(__xludf.DUMMYFUNCTION("""COMPUTED_VALUE"""),1609.0)</f>
        <v>1609</v>
      </c>
      <c r="X1627" s="2"/>
      <c r="Y1627" s="2"/>
      <c r="Z1627" s="2"/>
      <c r="AA1627" s="2"/>
      <c r="AB1627" s="2"/>
      <c r="AC1627" s="2"/>
      <c r="AD1627" s="2"/>
      <c r="AE1627" s="2"/>
      <c r="AF1627" s="2"/>
      <c r="AG1627" s="2"/>
      <c r="AH1627" s="2"/>
      <c r="AI1627" s="2"/>
      <c r="AJ1627" s="2" t="str">
        <f>IFERROR(__xludf.DUMMYFUNCTION("""COMPUTED_VALUE"""),"Ilog Baliwag")</f>
        <v>Ilog Baliwag</v>
      </c>
      <c r="AK1627" s="2" t="str">
        <f>IFERROR(__xludf.DUMMYFUNCTION("""COMPUTED_VALUE"""),"Quezon")</f>
        <v>Quezon</v>
      </c>
      <c r="AL1627" s="2" t="str">
        <f>IFERROR(__xludf.DUMMYFUNCTION("""COMPUTED_VALUE"""),"Nueva Ecija")</f>
        <v>Nueva Ecija</v>
      </c>
      <c r="AM1627" s="2">
        <f>IFERROR(__xludf.DUMMYFUNCTION("""COMPUTED_VALUE"""),3.0)</f>
        <v>3</v>
      </c>
      <c r="AN1627" s="2" t="str">
        <f>IFERROR(__xludf.DUMMYFUNCTION("""COMPUTED_VALUE"""),"RCEF 24-04-15")</f>
        <v>RCEF 24-04-15</v>
      </c>
      <c r="AO1627" s="2">
        <f>IFERROR(__xludf.DUMMYFUNCTION("""COMPUTED_VALUE"""),6.0)</f>
        <v>6</v>
      </c>
      <c r="AP1627" s="2" t="str">
        <f>IFERROR(__xludf.DUMMYFUNCTION("""COMPUTED_VALUE"""),"FREE PMS")</f>
        <v>FREE PMS</v>
      </c>
      <c r="AQ1627" s="2"/>
      <c r="AR1627" s="2"/>
      <c r="AS1627" s="2"/>
      <c r="AT1627" s="2"/>
      <c r="AU1627" s="2"/>
      <c r="AV1627" s="2"/>
      <c r="AW1627" s="2"/>
      <c r="AX1627" s="2"/>
      <c r="AY1627" s="2"/>
      <c r="AZ1627" s="2"/>
      <c r="BA1627" s="2"/>
      <c r="BB1627" s="2"/>
    </row>
    <row r="1628">
      <c r="A1628" s="2">
        <f>IFERROR(__xludf.DUMMYFUNCTION("""COMPUTED_VALUE"""),1624.0)</f>
        <v>1624</v>
      </c>
      <c r="B1628" s="2" t="str">
        <f>IFERROR(__xludf.DUMMYFUNCTION("""COMPUTED_VALUE"""),"COMPLETED")</f>
        <v>COMPLETED</v>
      </c>
      <c r="C1628" s="78">
        <f>IFERROR(__xludf.DUMMYFUNCTION("""COMPUTED_VALUE"""),46136.0)</f>
        <v>46136</v>
      </c>
      <c r="D1628" s="71" t="str">
        <f>IFERROR(__xludf.DUMMYFUNCTION("""COMPUTED_VALUE"""),"RIZAL PRIMARY MULTIPURPOSE COOPERATIVE")</f>
        <v>RIZAL PRIMARY MULTIPURPOSE COOPERATIVE</v>
      </c>
      <c r="E1628" s="71" t="str">
        <f>IFERROR(__xludf.DUMMYFUNCTION("""COMPUTED_VALUE"""),"Rizal, Science City of Munoz, NUEVA ECIJA")</f>
        <v>Rizal, Science City of Munoz, NUEVA ECIJA</v>
      </c>
      <c r="F1628" s="2" t="str">
        <f>IFERROR(__xludf.DUMMYFUNCTION("""COMPUTED_VALUE"""),"Villamor baddi")</f>
        <v>Villamor baddi</v>
      </c>
      <c r="G1628" s="2">
        <f>IFERROR(__xludf.DUMMYFUNCTION("""COMPUTED_VALUE"""),9.275058277E9)</f>
        <v>9275058277</v>
      </c>
      <c r="H1628" s="2">
        <f>IFERROR(__xludf.DUMMYFUNCTION("""COMPUTED_VALUE"""),43.7)</f>
        <v>43.7</v>
      </c>
      <c r="I1628" s="72" t="str">
        <f>IFERROR(__xludf.DUMMYFUNCTION("""COMPUTED_VALUE"""),"PMS")</f>
        <v>PMS</v>
      </c>
      <c r="J1628" s="72"/>
      <c r="K1628" s="72" t="str">
        <f>IFERROR(__xludf.DUMMYFUNCTION("""COMPUTED_VALUE"""),"DSD: Request 1st PMS FREE")</f>
        <v>DSD: Request 1st PMS FREE</v>
      </c>
      <c r="L1628" s="72" t="str">
        <f>IFERROR(__xludf.DUMMYFUNCTION("""COMPUTED_VALUE"""),"JVV: 1ST PSM DONE")</f>
        <v>JVV: 1ST PSM DONE</v>
      </c>
      <c r="M1628" s="2"/>
      <c r="N1628" s="2" t="str">
        <f>IFERROR(__xludf.DUMMYFUNCTION("""COMPUTED_VALUE"""),"PARTS:
OIL FILTER
ENGINE OIL")</f>
        <v>PARTS:
OIL FILTER
ENGINE OIL</v>
      </c>
      <c r="O1628" s="2">
        <f>IFERROR(__xludf.DUMMYFUNCTION("""COMPUTED_VALUE"""),880.0)</f>
        <v>880</v>
      </c>
      <c r="P1628" s="2"/>
      <c r="Q1628" s="2" t="str">
        <f>IFERROR(__xludf.DUMMYFUNCTION("""COMPUTED_VALUE"""),"FOR PRINT")</f>
        <v>FOR PRINT</v>
      </c>
      <c r="R1628" s="74">
        <f>IFERROR(__xludf.DUMMYFUNCTION("""COMPUTED_VALUE"""),46142.0)</f>
        <v>46142</v>
      </c>
      <c r="S1628" s="2" t="str">
        <f>IFERROR(__xludf.DUMMYFUNCTION("""COMPUTED_VALUE"""),"DRM/DSD/JVV")</f>
        <v>DRM/DSD/JVV</v>
      </c>
      <c r="T1628" s="73" t="str">
        <f>IFERROR(__xludf.DUMMYFUNCTION("""COMPUTED_VALUE""")," N/A ")</f>
        <v>N/A</v>
      </c>
      <c r="U1628" s="73" t="str">
        <f>IFERROR(__xludf.DUMMYFUNCTION("""COMPUTED_VALUE""")," RECORDED ")</f>
        <v>RECORDED</v>
      </c>
      <c r="V1628" s="2">
        <f>IFERROR(__xludf.DUMMYFUNCTION("""COMPUTED_VALUE"""),2003.0)</f>
        <v>2003</v>
      </c>
      <c r="W1628" s="2" t="str">
        <f>IFERROR(__xludf.DUMMYFUNCTION("""COMPUTED_VALUE"""),"N/A")</f>
        <v>N/A</v>
      </c>
      <c r="X1628" s="2" t="str">
        <f>IFERROR(__xludf.DUMMYFUNCTION("""COMPUTED_VALUE"""),"N/A")</f>
        <v>N/A</v>
      </c>
      <c r="Y1628" s="2"/>
      <c r="Z1628" s="2"/>
      <c r="AA1628" s="2"/>
      <c r="AB1628" s="2"/>
      <c r="AC1628" s="2"/>
      <c r="AD1628" s="2"/>
      <c r="AE1628" s="2"/>
      <c r="AF1628" s="2"/>
      <c r="AG1628" s="2"/>
      <c r="AH1628" s="2"/>
      <c r="AI1628" s="2"/>
      <c r="AJ1628" s="2" t="str">
        <f>IFERROR(__xludf.DUMMYFUNCTION("""COMPUTED_VALUE"""),"Rizal")</f>
        <v>Rizal</v>
      </c>
      <c r="AK1628" s="2" t="str">
        <f>IFERROR(__xludf.DUMMYFUNCTION("""COMPUTED_VALUE"""),"Science City Of Munoz")</f>
        <v>Science City Of Munoz</v>
      </c>
      <c r="AL1628" s="2" t="str">
        <f>IFERROR(__xludf.DUMMYFUNCTION("""COMPUTED_VALUE"""),"Nueva Ecija")</f>
        <v>Nueva Ecija</v>
      </c>
      <c r="AM1628" s="2">
        <f>IFERROR(__xludf.DUMMYFUNCTION("""COMPUTED_VALUE"""),3.0)</f>
        <v>3</v>
      </c>
      <c r="AN1628" s="2" t="str">
        <f>IFERROR(__xludf.DUMMYFUNCTION("""COMPUTED_VALUE"""),"RCEF 25-03-05")</f>
        <v>RCEF 25-03-05</v>
      </c>
      <c r="AO1628" s="2">
        <f>IFERROR(__xludf.DUMMYFUNCTION("""COMPUTED_VALUE"""),5.0)</f>
        <v>5</v>
      </c>
      <c r="AP1628" s="2" t="str">
        <f>IFERROR(__xludf.DUMMYFUNCTION("""COMPUTED_VALUE"""),"FREE PMS")</f>
        <v>FREE PMS</v>
      </c>
      <c r="AQ1628" s="2"/>
      <c r="AR1628" s="2"/>
      <c r="AS1628" s="2"/>
      <c r="AT1628" s="2"/>
      <c r="AU1628" s="2"/>
      <c r="AV1628" s="2"/>
      <c r="AW1628" s="2"/>
      <c r="AX1628" s="2"/>
      <c r="AY1628" s="2"/>
      <c r="AZ1628" s="2"/>
      <c r="BA1628" s="2"/>
      <c r="BB1628" s="2"/>
    </row>
    <row r="1629">
      <c r="A1629" s="2">
        <f>IFERROR(__xludf.DUMMYFUNCTION("""COMPUTED_VALUE"""),1625.0)</f>
        <v>1625</v>
      </c>
      <c r="B1629" s="2" t="str">
        <f>IFERROR(__xludf.DUMMYFUNCTION("""COMPUTED_VALUE"""),"COMPLETED")</f>
        <v>COMPLETED</v>
      </c>
      <c r="C1629" s="78">
        <f>IFERROR(__xludf.DUMMYFUNCTION("""COMPUTED_VALUE"""),46136.0)</f>
        <v>46136</v>
      </c>
      <c r="D1629" s="71" t="str">
        <f>IFERROR(__xludf.DUMMYFUNCTION("""COMPUTED_VALUE"""),"RAJAL-STO.TOMAS IRRIGATORS' ASSOCIATION, INC.")</f>
        <v>RAJAL-STO.TOMAS IRRIGATORS' ASSOCIATION, INC.</v>
      </c>
      <c r="E1629" s="71" t="str">
        <f>IFERROR(__xludf.DUMMYFUNCTION("""COMPUTED_VALUE"""),"Santo Tomas, Aliaga, NUEVA ECIJA")</f>
        <v>Santo Tomas, Aliaga, NUEVA ECIJA</v>
      </c>
      <c r="F1629" s="2" t="str">
        <f>IFERROR(__xludf.DUMMYFUNCTION("""COMPUTED_VALUE"""),"Mascardo Diaz")</f>
        <v>Mascardo Diaz</v>
      </c>
      <c r="G1629" s="2">
        <f>IFERROR(__xludf.DUMMYFUNCTION("""COMPUTED_VALUE"""),9.229012873E9)</f>
        <v>9229012873</v>
      </c>
      <c r="H1629" s="2"/>
      <c r="I1629" s="72" t="str">
        <f>IFERROR(__xludf.DUMMYFUNCTION("""COMPUTED_VALUE"""),"REPAIR - TRACTOR")</f>
        <v>REPAIR - TRACTOR</v>
      </c>
      <c r="J1629" s="72" t="str">
        <f>IFERROR(__xludf.DUMMYFUNCTION("""COMPUTED_VALUE"""),"Electrical - Fuse Box")</f>
        <v>Electrical - Fuse Box</v>
      </c>
      <c r="K1629" s="72" t="str">
        <f>IFERROR(__xludf.DUMMYFUNCTION("""COMPUTED_VALUE"""),"DSD: Problem: Wirings naputol ang 30A na fuse")</f>
        <v>DSD: Problem: Wirings naputol ang 30A na fuse</v>
      </c>
      <c r="L1629" s="72" t="str">
        <f>IFERROR(__xludf.DUMMYFUNCTION("""COMPUTED_VALUE"""),"ECM: OK NA - BIBILI LANG NG FUSE
JHP: MALUWAG ANG SOCKET NG IGNITION SWITCH, HINIKPITAN")</f>
        <v>ECM: OK NA - BIBILI LANG NG FUSE
JHP: MALUWAG ANG SOCKET NG IGNITION SWITCH, HINIKPITAN</v>
      </c>
      <c r="M1629" s="2" t="str">
        <f>IFERROR(__xludf.DUMMYFUNCTION("""COMPUTED_VALUE"""),"30 AMP FUSE")</f>
        <v>30 AMP FUSE</v>
      </c>
      <c r="N1629" s="2" t="str">
        <f>IFERROR(__xludf.DUMMYFUNCTION("""COMPUTED_VALUE"""),"SERVICE CHARGE: 1,000")</f>
        <v>SERVICE CHARGE: 1,000</v>
      </c>
      <c r="O1629" s="2">
        <f>IFERROR(__xludf.DUMMYFUNCTION("""COMPUTED_VALUE"""),683.0)</f>
        <v>683</v>
      </c>
      <c r="P1629" s="2"/>
      <c r="Q1629" s="2" t="str">
        <f>IFERROR(__xludf.DUMMYFUNCTION("""COMPUTED_VALUE"""),"FOR PRINT")</f>
        <v>FOR PRINT</v>
      </c>
      <c r="R1629" s="74">
        <f>IFERROR(__xludf.DUMMYFUNCTION("""COMPUTED_VALUE"""),46150.0)</f>
        <v>46150</v>
      </c>
      <c r="S1629" s="2" t="str">
        <f>IFERROR(__xludf.DUMMYFUNCTION("""COMPUTED_VALUE"""),"JHP/DRM")</f>
        <v>JHP/DRM</v>
      </c>
      <c r="T1629" s="73">
        <f>IFERROR(__xludf.DUMMYFUNCTION("""COMPUTED_VALUE"""),1000.0)</f>
        <v>1000</v>
      </c>
      <c r="U1629" s="73" t="str">
        <f>IFERROR(__xludf.DUMMYFUNCTION("""COMPUTED_VALUE""")," REMITTED ")</f>
        <v>REMITTED</v>
      </c>
      <c r="V1629" s="2" t="str">
        <f>IFERROR(__xludf.DUMMYFUNCTION("""COMPUTED_VALUE"""),"N/A")</f>
        <v>N/A</v>
      </c>
      <c r="W1629" s="2">
        <f>IFERROR(__xludf.DUMMYFUNCTION("""COMPUTED_VALUE"""),1965.0)</f>
        <v>1965</v>
      </c>
      <c r="X1629" s="2">
        <f>IFERROR(__xludf.DUMMYFUNCTION("""COMPUTED_VALUE"""),1777.0)</f>
        <v>1777</v>
      </c>
      <c r="Y1629" s="2"/>
      <c r="Z1629" s="2"/>
      <c r="AA1629" s="2"/>
      <c r="AB1629" s="2"/>
      <c r="AC1629" s="2"/>
      <c r="AD1629" s="2"/>
      <c r="AE1629" s="2"/>
      <c r="AF1629" s="2"/>
      <c r="AG1629" s="2"/>
      <c r="AH1629" s="2"/>
      <c r="AI1629" s="2"/>
      <c r="AJ1629" s="2" t="str">
        <f>IFERROR(__xludf.DUMMYFUNCTION("""COMPUTED_VALUE"""),"Santo Tomas")</f>
        <v>Santo Tomas</v>
      </c>
      <c r="AK1629" s="2" t="str">
        <f>IFERROR(__xludf.DUMMYFUNCTION("""COMPUTED_VALUE"""),"Aliaga")</f>
        <v>Aliaga</v>
      </c>
      <c r="AL1629" s="2" t="str">
        <f>IFERROR(__xludf.DUMMYFUNCTION("""COMPUTED_VALUE"""),"Nueva Ecija")</f>
        <v>Nueva Ecija</v>
      </c>
      <c r="AM1629" s="2">
        <f>IFERROR(__xludf.DUMMYFUNCTION("""COMPUTED_VALUE"""),3.0)</f>
        <v>3</v>
      </c>
      <c r="AN1629" s="2" t="str">
        <f>IFERROR(__xludf.DUMMYFUNCTION("""COMPUTED_VALUE"""),"RCEF 23-09-21 Rebidding")</f>
        <v>RCEF 23-09-21 Rebidding</v>
      </c>
      <c r="AO1629" s="2">
        <f>IFERROR(__xludf.DUMMYFUNCTION("""COMPUTED_VALUE"""),3.0)</f>
        <v>3</v>
      </c>
      <c r="AP1629" s="2"/>
      <c r="AQ1629" s="2"/>
      <c r="AR1629" s="2"/>
      <c r="AS1629" s="2"/>
      <c r="AT1629" s="2"/>
      <c r="AU1629" s="2"/>
      <c r="AV1629" s="2"/>
      <c r="AW1629" s="2"/>
      <c r="AX1629" s="2"/>
      <c r="AY1629" s="2"/>
      <c r="AZ1629" s="2"/>
      <c r="BA1629" s="2"/>
      <c r="BB1629" s="2"/>
    </row>
    <row r="1630">
      <c r="A1630" s="2">
        <f>IFERROR(__xludf.DUMMYFUNCTION("""COMPUTED_VALUE"""),1626.0)</f>
        <v>1626</v>
      </c>
      <c r="B1630" s="2" t="str">
        <f>IFERROR(__xludf.DUMMYFUNCTION("""COMPUTED_VALUE"""),"PENDING")</f>
        <v>PENDING</v>
      </c>
      <c r="C1630" s="78">
        <f>IFERROR(__xludf.DUMMYFUNCTION("""COMPUTED_VALUE"""),46136.0)</f>
        <v>46136</v>
      </c>
      <c r="D1630" s="71" t="str">
        <f>IFERROR(__xludf.DUMMYFUNCTION("""COMPUTED_VALUE"""),"THE BELIEVERS FARMERS ASSOCIATION")</f>
        <v>THE BELIEVERS FARMERS ASSOCIATION</v>
      </c>
      <c r="E1630" s="71" t="str">
        <f>IFERROR(__xludf.DUMMYFUNCTION("""COMPUTED_VALUE"""),"Agupalo Este, Lupao, NUEVA ECIJA")</f>
        <v>Agupalo Este, Lupao, NUEVA ECIJA</v>
      </c>
      <c r="F1630" s="2" t="str">
        <f>IFERROR(__xludf.DUMMYFUNCTION("""COMPUTED_VALUE"""),"Eugenio Raganta")</f>
        <v>Eugenio Raganta</v>
      </c>
      <c r="G1630" s="2">
        <f>IFERROR(__xludf.DUMMYFUNCTION("""COMPUTED_VALUE"""),9.65092934E9)</f>
        <v>9650929340</v>
      </c>
      <c r="H1630" s="2"/>
      <c r="I1630" s="72" t="str">
        <f>IFERROR(__xludf.DUMMYFUNCTION("""COMPUTED_VALUE"""),"REPAIR - TRACTOR")</f>
        <v>REPAIR - TRACTOR</v>
      </c>
      <c r="J1630" s="72" t="str">
        <f>IFERROR(__xludf.DUMMYFUNCTION("""COMPUTED_VALUE"""),"Cable Lock")</f>
        <v>Cable Lock</v>
      </c>
      <c r="K1630" s="72" t="str">
        <f>IFERROR(__xludf.DUMMYFUNCTION("""COMPUTED_VALUE"""),"DSD: Problem: joy stick problem")</f>
        <v>DSD: Problem: joy stick problem</v>
      </c>
      <c r="L1630" s="72"/>
      <c r="M1630" s="2" t="str">
        <f>IFERROR(__xludf.DUMMYFUNCTION("""COMPUTED_VALUE"""),"CABLE LOCK  - ASSUMED")</f>
        <v>CABLE LOCK  - ASSUMED</v>
      </c>
      <c r="N1630" s="2"/>
      <c r="O1630" s="2"/>
      <c r="P1630" s="2"/>
      <c r="Q1630" s="2"/>
      <c r="R1630" s="2"/>
      <c r="S1630" s="2"/>
      <c r="T1630" s="2"/>
      <c r="U1630" s="2"/>
      <c r="V1630" s="2"/>
      <c r="W1630" s="2"/>
      <c r="X1630" s="2"/>
      <c r="Y1630" s="2"/>
      <c r="Z1630" s="2"/>
      <c r="AA1630" s="2"/>
      <c r="AB1630" s="2"/>
      <c r="AC1630" s="2"/>
      <c r="AD1630" s="2"/>
      <c r="AE1630" s="2"/>
      <c r="AF1630" s="2"/>
      <c r="AG1630" s="2"/>
      <c r="AH1630" s="2"/>
      <c r="AI1630" s="2"/>
      <c r="AJ1630" s="2" t="str">
        <f>IFERROR(__xludf.DUMMYFUNCTION("""COMPUTED_VALUE"""),"Agupalo Este")</f>
        <v>Agupalo Este</v>
      </c>
      <c r="AK1630" s="2" t="str">
        <f>IFERROR(__xludf.DUMMYFUNCTION("""COMPUTED_VALUE"""),"Lupao")</f>
        <v>Lupao</v>
      </c>
      <c r="AL1630" s="2" t="str">
        <f>IFERROR(__xludf.DUMMYFUNCTION("""COMPUTED_VALUE"""),"Nueva Ecija")</f>
        <v>Nueva Ecija</v>
      </c>
      <c r="AM1630" s="2">
        <f>IFERROR(__xludf.DUMMYFUNCTION("""COMPUTED_VALUE"""),3.0)</f>
        <v>3</v>
      </c>
      <c r="AN1630" s="2" t="str">
        <f>IFERROR(__xludf.DUMMYFUNCTION("""COMPUTED_VALUE"""),"RCEF 25-03-05")</f>
        <v>RCEF 25-03-05</v>
      </c>
      <c r="AO1630" s="2">
        <f>IFERROR(__xludf.DUMMYFUNCTION("""COMPUTED_VALUE"""),5.0)</f>
        <v>5</v>
      </c>
      <c r="AP1630" s="2" t="str">
        <f>IFERROR(__xludf.DUMMYFUNCTION("""COMPUTED_VALUE"""),"FREE PMS")</f>
        <v>FREE PMS</v>
      </c>
      <c r="AQ1630" s="2"/>
      <c r="AR1630" s="2"/>
      <c r="AS1630" s="2"/>
      <c r="AT1630" s="2"/>
      <c r="AU1630" s="2"/>
      <c r="AV1630" s="2"/>
      <c r="AW1630" s="2"/>
      <c r="AX1630" s="2"/>
      <c r="AY1630" s="2"/>
      <c r="AZ1630" s="2"/>
      <c r="BA1630" s="2"/>
      <c r="BB1630" s="2"/>
    </row>
    <row r="1631">
      <c r="A1631" s="2">
        <f>IFERROR(__xludf.DUMMYFUNCTION("""COMPUTED_VALUE"""),1627.0)</f>
        <v>1627</v>
      </c>
      <c r="B1631" s="2" t="str">
        <f>IFERROR(__xludf.DUMMYFUNCTION("""COMPUTED_VALUE"""),"COMPLETED")</f>
        <v>COMPLETED</v>
      </c>
      <c r="C1631" s="74">
        <f>IFERROR(__xludf.DUMMYFUNCTION("""COMPUTED_VALUE"""),46136.0)</f>
        <v>46136</v>
      </c>
      <c r="D1631" s="71" t="str">
        <f>IFERROR(__xludf.DUMMYFUNCTION("""COMPUTED_VALUE"""),"DANAHAW FARMERS ASSOCIATION (DAFA)")</f>
        <v>DANAHAW FARMERS ASSOCIATION (DAFA)</v>
      </c>
      <c r="E1631" s="71" t="str">
        <f>IFERROR(__xludf.DUMMYFUNCTION("""COMPUTED_VALUE"""),"Danahao, Clarin, BOHOL")</f>
        <v>Danahao, Clarin, BOHOL</v>
      </c>
      <c r="F1631" s="2" t="str">
        <f>IFERROR(__xludf.DUMMYFUNCTION("""COMPUTED_VALUE"""),"JULIETO C. INFESTO")</f>
        <v>JULIETO C. INFESTO</v>
      </c>
      <c r="G1631" s="2">
        <f>IFERROR(__xludf.DUMMYFUNCTION("""COMPUTED_VALUE"""),9.125326739E9)</f>
        <v>9125326739</v>
      </c>
      <c r="H1631" s="2">
        <f>IFERROR(__xludf.DUMMYFUNCTION("""COMPUTED_VALUE"""),18.2)</f>
        <v>18.2</v>
      </c>
      <c r="I1631" s="72" t="str">
        <f>IFERROR(__xludf.DUMMYFUNCTION("""COMPUTED_VALUE"""),"PMS")</f>
        <v>PMS</v>
      </c>
      <c r="J1631" s="72"/>
      <c r="K1631" s="72" t="str">
        <f>IFERROR(__xludf.DUMMYFUNCTION("""COMPUTED_VALUE"""),"FPJ: HYDRAULIC LEAK AT ADAPTER")</f>
        <v>FPJ: HYDRAULIC LEAK AT ADAPTER</v>
      </c>
      <c r="L1631" s="72" t="str">
        <f>IFERROR(__xludf.DUMMYFUNCTION("""COMPUTED_VALUE"""),"FPJ: NILAGYAN NG TAPELON  ANG ADAPTER")</f>
        <v>FPJ: NILAGYAN NG TAPELON  ANG ADAPTER</v>
      </c>
      <c r="M1631" s="2"/>
      <c r="N1631" s="2"/>
      <c r="O1631" s="2">
        <f>IFERROR(__xludf.DUMMYFUNCTION("""COMPUTED_VALUE"""),279.0)</f>
        <v>279</v>
      </c>
      <c r="P1631" s="2"/>
      <c r="Q1631" s="2" t="str">
        <f>IFERROR(__xludf.DUMMYFUNCTION("""COMPUTED_VALUE"""),"FOR PRINT")</f>
        <v>FOR PRINT</v>
      </c>
      <c r="R1631" s="74">
        <f>IFERROR(__xludf.DUMMYFUNCTION("""COMPUTED_VALUE"""),46136.0)</f>
        <v>46136</v>
      </c>
      <c r="S1631" s="2" t="str">
        <f>IFERROR(__xludf.DUMMYFUNCTION("""COMPUTED_VALUE"""),"FPJ/JAH")</f>
        <v>FPJ/JAH</v>
      </c>
      <c r="T1631" s="73" t="str">
        <f>IFERROR(__xludf.DUMMYFUNCTION("""COMPUTED_VALUE""")," N/A ")</f>
        <v>N/A</v>
      </c>
      <c r="U1631" s="73" t="str">
        <f>IFERROR(__xludf.DUMMYFUNCTION("""COMPUTED_VALUE""")," NO CHARGE ")</f>
        <v>NO CHARGE</v>
      </c>
      <c r="V1631" s="2" t="str">
        <f>IFERROR(__xludf.DUMMYFUNCTION("""COMPUTED_VALUE"""),"N/A")</f>
        <v>N/A</v>
      </c>
      <c r="W1631" s="2" t="str">
        <f>IFERROR(__xludf.DUMMYFUNCTION("""COMPUTED_VALUE"""),"N/A")</f>
        <v>N/A</v>
      </c>
      <c r="X1631" s="2" t="str">
        <f>IFERROR(__xludf.DUMMYFUNCTION("""COMPUTED_VALUE"""),"N/A")</f>
        <v>N/A</v>
      </c>
      <c r="Y1631" s="2"/>
      <c r="Z1631" s="2"/>
      <c r="AA1631" s="2"/>
      <c r="AB1631" s="2"/>
      <c r="AC1631" s="2"/>
      <c r="AD1631" s="2"/>
      <c r="AE1631" s="2"/>
      <c r="AF1631" s="2"/>
      <c r="AG1631" s="2"/>
      <c r="AH1631" s="2"/>
      <c r="AI1631" s="2"/>
      <c r="AJ1631" s="2" t="str">
        <f>IFERROR(__xludf.DUMMYFUNCTION("""COMPUTED_VALUE"""),"Danahao")</f>
        <v>Danahao</v>
      </c>
      <c r="AK1631" s="2" t="str">
        <f>IFERROR(__xludf.DUMMYFUNCTION("""COMPUTED_VALUE"""),"Clarin")</f>
        <v>Clarin</v>
      </c>
      <c r="AL1631" s="2" t="str">
        <f>IFERROR(__xludf.DUMMYFUNCTION("""COMPUTED_VALUE"""),"Bohol")</f>
        <v>Bohol</v>
      </c>
      <c r="AM1631" s="2">
        <f>IFERROR(__xludf.DUMMYFUNCTION("""COMPUTED_VALUE"""),7.0)</f>
        <v>7</v>
      </c>
      <c r="AN1631" s="2" t="str">
        <f>IFERROR(__xludf.DUMMYFUNCTION("""COMPUTED_VALUE"""),"RCEF 25-03-05")</f>
        <v>RCEF 25-03-05</v>
      </c>
      <c r="AO1631" s="2">
        <f>IFERROR(__xludf.DUMMYFUNCTION("""COMPUTED_VALUE"""),7.0)</f>
        <v>7</v>
      </c>
      <c r="AP1631" s="2" t="str">
        <f>IFERROR(__xludf.DUMMYFUNCTION("""COMPUTED_VALUE"""),"FREE PMS")</f>
        <v>FREE PMS</v>
      </c>
      <c r="AQ1631" s="2"/>
      <c r="AR1631" s="2"/>
      <c r="AS1631" s="2"/>
      <c r="AT1631" s="2"/>
      <c r="AU1631" s="2"/>
      <c r="AV1631" s="2"/>
      <c r="AW1631" s="2"/>
      <c r="AX1631" s="2"/>
      <c r="AY1631" s="2"/>
      <c r="AZ1631" s="2"/>
      <c r="BA1631" s="2"/>
      <c r="BB1631" s="2"/>
    </row>
    <row r="1632">
      <c r="A1632" s="2">
        <f>IFERROR(__xludf.DUMMYFUNCTION("""COMPUTED_VALUE"""),1628.0)</f>
        <v>1628</v>
      </c>
      <c r="B1632" s="2" t="str">
        <f>IFERROR(__xludf.DUMMYFUNCTION("""COMPUTED_VALUE"""),"PENDING")</f>
        <v>PENDING</v>
      </c>
      <c r="C1632" s="78">
        <f>IFERROR(__xludf.DUMMYFUNCTION("""COMPUTED_VALUE"""),46136.0)</f>
        <v>46136</v>
      </c>
      <c r="D1632" s="71" t="str">
        <f>IFERROR(__xludf.DUMMYFUNCTION("""COMPUTED_VALUE"""),"GILAS BITAS FARMERS ASSOCIATION")</f>
        <v>GILAS BITAS FARMERS ASSOCIATION</v>
      </c>
      <c r="E1632" s="71" t="str">
        <f>IFERROR(__xludf.DUMMYFUNCTION("""COMPUTED_VALUE"""),"San Roque Bitas, Arayat, PAMPANGA")</f>
        <v>San Roque Bitas, Arayat, PAMPANGA</v>
      </c>
      <c r="F1632" s="2" t="str">
        <f>IFERROR(__xludf.DUMMYFUNCTION("""COMPUTED_VALUE"""),"JINKIE LULU")</f>
        <v>JINKIE LULU</v>
      </c>
      <c r="G1632" s="2">
        <f>IFERROR(__xludf.DUMMYFUNCTION("""COMPUTED_VALUE"""),9.258009495E9)</f>
        <v>9258009495</v>
      </c>
      <c r="H1632" s="2"/>
      <c r="I1632" s="72" t="str">
        <f>IFERROR(__xludf.DUMMYFUNCTION("""COMPUTED_VALUE"""),"TRAINING REQUEST")</f>
        <v>TRAINING REQUEST</v>
      </c>
      <c r="J1632" s="72"/>
      <c r="K1632" s="72" t="str">
        <f>IFERROR(__xludf.DUMMYFUNCTION("""COMPUTED_VALUE"""),"MYK: REQUESTING FOR ACCESS TO GPS APP FOR COUNTER CHECKING OF OUR OPERATOR")</f>
        <v>MYK: REQUESTING FOR ACCESS TO GPS APP FOR COUNTER CHECKING OF OUR OPERATOR</v>
      </c>
      <c r="L1632" s="72"/>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c r="AJ1632" s="2" t="str">
        <f>IFERROR(__xludf.DUMMYFUNCTION("""COMPUTED_VALUE"""),"San Roque Bitas")</f>
        <v>San Roque Bitas</v>
      </c>
      <c r="AK1632" s="2" t="str">
        <f>IFERROR(__xludf.DUMMYFUNCTION("""COMPUTED_VALUE"""),"Arayat")</f>
        <v>Arayat</v>
      </c>
      <c r="AL1632" s="2" t="str">
        <f>IFERROR(__xludf.DUMMYFUNCTION("""COMPUTED_VALUE"""),"Pampanga")</f>
        <v>Pampanga</v>
      </c>
      <c r="AM1632" s="2">
        <f>IFERROR(__xludf.DUMMYFUNCTION("""COMPUTED_VALUE"""),3.0)</f>
        <v>3</v>
      </c>
      <c r="AN1632" s="2" t="str">
        <f>IFERROR(__xludf.DUMMYFUNCTION("""COMPUTED_VALUE"""),"RCEF 23-09-21 Rebidding")</f>
        <v>RCEF 23-09-21 Rebidding</v>
      </c>
      <c r="AO1632" s="2">
        <f>IFERROR(__xludf.DUMMYFUNCTION("""COMPUTED_VALUE"""),3.0)</f>
        <v>3</v>
      </c>
      <c r="AP1632" s="2"/>
      <c r="AQ1632" s="2"/>
      <c r="AR1632" s="2"/>
      <c r="AS1632" s="2"/>
      <c r="AT1632" s="2"/>
      <c r="AU1632" s="2"/>
      <c r="AV1632" s="2"/>
      <c r="AW1632" s="2"/>
      <c r="AX1632" s="2"/>
      <c r="AY1632" s="2"/>
      <c r="AZ1632" s="2"/>
      <c r="BA1632" s="2"/>
      <c r="BB1632" s="2"/>
    </row>
    <row r="1633">
      <c r="A1633" s="2">
        <f>IFERROR(__xludf.DUMMYFUNCTION("""COMPUTED_VALUE"""),1629.0)</f>
        <v>1629</v>
      </c>
      <c r="B1633" s="2" t="str">
        <f>IFERROR(__xludf.DUMMYFUNCTION("""COMPUTED_VALUE"""),"PENDING")</f>
        <v>PENDING</v>
      </c>
      <c r="C1633" s="74">
        <f>IFERROR(__xludf.DUMMYFUNCTION("""COMPUTED_VALUE"""),46137.0)</f>
        <v>46137</v>
      </c>
      <c r="D1633" s="71" t="str">
        <f>IFERROR(__xludf.DUMMYFUNCTION("""COMPUTED_VALUE"""),"Tiwi Farmers Association")</f>
        <v>Tiwi Farmers Association</v>
      </c>
      <c r="E1633" s="71" t="str">
        <f>IFERROR(__xludf.DUMMYFUNCTION("""COMPUTED_VALUE"""),"Tiwi, Barotac Nuevo, ILOILO")</f>
        <v>Tiwi, Barotac Nuevo, ILOILO</v>
      </c>
      <c r="F1633" s="2" t="str">
        <f>IFERROR(__xludf.DUMMYFUNCTION("""COMPUTED_VALUE"""),"jeffrey baito")</f>
        <v>jeffrey baito</v>
      </c>
      <c r="G1633" s="2">
        <f>IFERROR(__xludf.DUMMYFUNCTION("""COMPUTED_VALUE"""),9.941217488E9)</f>
        <v>9941217488</v>
      </c>
      <c r="H1633" s="2">
        <f>IFERROR(__xludf.DUMMYFUNCTION("""COMPUTED_VALUE"""),43.0)</f>
        <v>43</v>
      </c>
      <c r="I1633" s="72" t="str">
        <f>IFERROR(__xludf.DUMMYFUNCTION("""COMPUTED_VALUE"""),"PMS")</f>
        <v>PMS</v>
      </c>
      <c r="J1633" s="72"/>
      <c r="K1633" s="72" t="str">
        <f>IFERROR(__xludf.DUMMYFUNCTION("""COMPUTED_VALUE"""),"EGT: REQUEST 1ST PMS FREE")</f>
        <v>EGT: REQUEST 1ST PMS FREE</v>
      </c>
      <c r="L1633" s="72"/>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c r="AJ1633" s="2" t="str">
        <f>IFERROR(__xludf.DUMMYFUNCTION("""COMPUTED_VALUE"""),"Tiwi")</f>
        <v>Tiwi</v>
      </c>
      <c r="AK1633" s="2" t="str">
        <f>IFERROR(__xludf.DUMMYFUNCTION("""COMPUTED_VALUE"""),"Barotac Nuevo")</f>
        <v>Barotac Nuevo</v>
      </c>
      <c r="AL1633" s="2" t="str">
        <f>IFERROR(__xludf.DUMMYFUNCTION("""COMPUTED_VALUE"""),"Iloilo")</f>
        <v>Iloilo</v>
      </c>
      <c r="AM1633" s="2">
        <f>IFERROR(__xludf.DUMMYFUNCTION("""COMPUTED_VALUE"""),6.0)</f>
        <v>6</v>
      </c>
      <c r="AN1633" s="2" t="str">
        <f>IFERROR(__xludf.DUMMYFUNCTION("""COMPUTED_VALUE"""),"RCEF 25-03-05")</f>
        <v>RCEF 25-03-05</v>
      </c>
      <c r="AO1633" s="2">
        <f>IFERROR(__xludf.DUMMYFUNCTION("""COMPUTED_VALUE"""),7.0)</f>
        <v>7</v>
      </c>
      <c r="AP1633" s="2" t="str">
        <f>IFERROR(__xludf.DUMMYFUNCTION("""COMPUTED_VALUE"""),"FREE PMS")</f>
        <v>FREE PMS</v>
      </c>
      <c r="AQ1633" s="2"/>
      <c r="AR1633" s="2"/>
      <c r="AS1633" s="2"/>
      <c r="AT1633" s="2"/>
      <c r="AU1633" s="2"/>
      <c r="AV1633" s="2"/>
      <c r="AW1633" s="2"/>
      <c r="AX1633" s="2"/>
      <c r="AY1633" s="2"/>
      <c r="AZ1633" s="2"/>
      <c r="BA1633" s="2"/>
      <c r="BB1633" s="2"/>
    </row>
    <row r="1634">
      <c r="A1634" s="2">
        <f>IFERROR(__xludf.DUMMYFUNCTION("""COMPUTED_VALUE"""),1630.0)</f>
        <v>1630</v>
      </c>
      <c r="B1634" s="2" t="str">
        <f>IFERROR(__xludf.DUMMYFUNCTION("""COMPUTED_VALUE"""),"COMPLETED")</f>
        <v>COMPLETED</v>
      </c>
      <c r="C1634" s="78">
        <f>IFERROR(__xludf.DUMMYFUNCTION("""COMPUTED_VALUE"""),46139.0)</f>
        <v>46139</v>
      </c>
      <c r="D1634" s="71" t="str">
        <f>IFERROR(__xludf.DUMMYFUNCTION("""COMPUTED_VALUE"""),"Barangay Cruz Victoria Tarlac Farmers Irrigator Association Inc.")</f>
        <v>Barangay Cruz Victoria Tarlac Farmers Irrigator Association Inc.</v>
      </c>
      <c r="E1634" s="71" t="str">
        <f>IFERROR(__xludf.DUMMYFUNCTION("""COMPUTED_VALUE"""),"Cruz, Victoria, TARLAC")</f>
        <v>Cruz, Victoria, TARLAC</v>
      </c>
      <c r="F1634" s="2" t="str">
        <f>IFERROR(__xludf.DUMMYFUNCTION("""COMPUTED_VALUE"""),"Felino V. Pascua Sr. ")</f>
        <v>Felino V. Pascua Sr. </v>
      </c>
      <c r="G1634" s="2">
        <f>IFERROR(__xludf.DUMMYFUNCTION("""COMPUTED_VALUE"""),9.705230313E9)</f>
        <v>9705230313</v>
      </c>
      <c r="H1634" s="2"/>
      <c r="I1634" s="72" t="str">
        <f>IFERROR(__xludf.DUMMYFUNCTION("""COMPUTED_VALUE"""),"PMS")</f>
        <v>PMS</v>
      </c>
      <c r="J1634" s="72"/>
      <c r="K1634" s="72" t="str">
        <f>IFERROR(__xludf.DUMMYFUNCTION("""COMPUTED_VALUE"""),"MYK: 1ST PMS FREE")</f>
        <v>MYK: 1ST PMS FREE</v>
      </c>
      <c r="L1634" s="72" t="str">
        <f>IFERROR(__xludf.DUMMYFUNCTION("""COMPUTED_VALUE"""),"JVV: 1ST PMS DONE")</f>
        <v>JVV: 1ST PMS DONE</v>
      </c>
      <c r="M1634" s="2"/>
      <c r="N1634" s="2" t="str">
        <f>IFERROR(__xludf.DUMMYFUNCTION("""COMPUTED_VALUE"""),"PARTS:
OIL FILTER
ENGINE OIL")</f>
        <v>PARTS:
OIL FILTER
ENGINE OIL</v>
      </c>
      <c r="O1634" s="2">
        <f>IFERROR(__xludf.DUMMYFUNCTION("""COMPUTED_VALUE"""),878.0)</f>
        <v>878</v>
      </c>
      <c r="P1634" s="2"/>
      <c r="Q1634" s="2" t="str">
        <f>IFERROR(__xludf.DUMMYFUNCTION("""COMPUTED_VALUE"""),"FOR PRINT")</f>
        <v>FOR PRINT</v>
      </c>
      <c r="R1634" s="74">
        <f>IFERROR(__xludf.DUMMYFUNCTION("""COMPUTED_VALUE"""),46140.0)</f>
        <v>46140</v>
      </c>
      <c r="S1634" s="2" t="str">
        <f>IFERROR(__xludf.DUMMYFUNCTION("""COMPUTED_VALUE"""),"JVV/DSD")</f>
        <v>JVV/DSD</v>
      </c>
      <c r="T1634" s="73" t="str">
        <f>IFERROR(__xludf.DUMMYFUNCTION("""COMPUTED_VALUE""")," N/A ")</f>
        <v>N/A</v>
      </c>
      <c r="U1634" s="73" t="str">
        <f>IFERROR(__xludf.DUMMYFUNCTION("""COMPUTED_VALUE""")," RECORDED ")</f>
        <v>RECORDED</v>
      </c>
      <c r="V1634" s="2">
        <f>IFERROR(__xludf.DUMMYFUNCTION("""COMPUTED_VALUE"""),2001.0)</f>
        <v>2001</v>
      </c>
      <c r="W1634" s="2" t="str">
        <f>IFERROR(__xludf.DUMMYFUNCTION("""COMPUTED_VALUE"""),"N/A")</f>
        <v>N/A</v>
      </c>
      <c r="X1634" s="2" t="str">
        <f>IFERROR(__xludf.DUMMYFUNCTION("""COMPUTED_VALUE"""),"N/A")</f>
        <v>N/A</v>
      </c>
      <c r="Y1634" s="2"/>
      <c r="Z1634" s="2"/>
      <c r="AA1634" s="2"/>
      <c r="AB1634" s="2"/>
      <c r="AC1634" s="2"/>
      <c r="AD1634" s="2"/>
      <c r="AE1634" s="2"/>
      <c r="AF1634" s="2"/>
      <c r="AG1634" s="2"/>
      <c r="AH1634" s="2"/>
      <c r="AI1634" s="2"/>
      <c r="AJ1634" s="2" t="str">
        <f>IFERROR(__xludf.DUMMYFUNCTION("""COMPUTED_VALUE"""),"Cruz")</f>
        <v>Cruz</v>
      </c>
      <c r="AK1634" s="2" t="str">
        <f>IFERROR(__xludf.DUMMYFUNCTION("""COMPUTED_VALUE"""),"Victoria")</f>
        <v>Victoria</v>
      </c>
      <c r="AL1634" s="2" t="str">
        <f>IFERROR(__xludf.DUMMYFUNCTION("""COMPUTED_VALUE"""),"Tarlac")</f>
        <v>Tarlac</v>
      </c>
      <c r="AM1634" s="2">
        <f>IFERROR(__xludf.DUMMYFUNCTION("""COMPUTED_VALUE"""),3.0)</f>
        <v>3</v>
      </c>
      <c r="AN1634" s="2" t="str">
        <f>IFERROR(__xludf.DUMMYFUNCTION("""COMPUTED_VALUE"""),"RCEF 25-03-05")</f>
        <v>RCEF 25-03-05</v>
      </c>
      <c r="AO1634" s="2">
        <f>IFERROR(__xludf.DUMMYFUNCTION("""COMPUTED_VALUE"""),5.0)</f>
        <v>5</v>
      </c>
      <c r="AP1634" s="2" t="str">
        <f>IFERROR(__xludf.DUMMYFUNCTION("""COMPUTED_VALUE"""),"FREE PMS")</f>
        <v>FREE PMS</v>
      </c>
      <c r="AQ1634" s="2"/>
      <c r="AR1634" s="2"/>
      <c r="AS1634" s="2"/>
      <c r="AT1634" s="2"/>
      <c r="AU1634" s="2"/>
      <c r="AV1634" s="2"/>
      <c r="AW1634" s="2"/>
      <c r="AX1634" s="2"/>
      <c r="AY1634" s="2"/>
      <c r="AZ1634" s="2"/>
      <c r="BA1634" s="2"/>
      <c r="BB1634" s="2"/>
    </row>
    <row r="1635">
      <c r="A1635" s="2">
        <f>IFERROR(__xludf.DUMMYFUNCTION("""COMPUTED_VALUE"""),1631.0)</f>
        <v>1631</v>
      </c>
      <c r="B1635" s="2" t="str">
        <f>IFERROR(__xludf.DUMMYFUNCTION("""COMPUTED_VALUE"""),"COMPLETED")</f>
        <v>COMPLETED</v>
      </c>
      <c r="C1635" s="78">
        <f>IFERROR(__xludf.DUMMYFUNCTION("""COMPUTED_VALUE"""),46139.0)</f>
        <v>46139</v>
      </c>
      <c r="D1635" s="71" t="str">
        <f>IFERROR(__xludf.DUMMYFUNCTION("""COMPUTED_VALUE"""),"MANNALON NGA NAURNOS TI PURA FARMERS ASSOCIATION Inc.")</f>
        <v>MANNALON NGA NAURNOS TI PURA FARMERS ASSOCIATION Inc.</v>
      </c>
      <c r="E1635" s="71" t="str">
        <f>IFERROR(__xludf.DUMMYFUNCTION("""COMPUTED_VALUE"""),"Estipona, Pura, TARLAC")</f>
        <v>Estipona, Pura, TARLAC</v>
      </c>
      <c r="F1635" s="2" t="str">
        <f>IFERROR(__xludf.DUMMYFUNCTION("""COMPUTED_VALUE"""),"Ceferina G. Pascua ")</f>
        <v>Ceferina G. Pascua </v>
      </c>
      <c r="G1635" s="2">
        <f>IFERROR(__xludf.DUMMYFUNCTION("""COMPUTED_VALUE"""),9.973003011E9)</f>
        <v>9973003011</v>
      </c>
      <c r="H1635" s="2"/>
      <c r="I1635" s="72" t="str">
        <f>IFERROR(__xludf.DUMMYFUNCTION("""COMPUTED_VALUE"""),"SPARE PARTS ACQUISITION")</f>
        <v>SPARE PARTS ACQUISITION</v>
      </c>
      <c r="J1635" s="72"/>
      <c r="K1635" s="72" t="str">
        <f>IFERROR(__xludf.DUMMYFUNCTION("""COMPUTED_VALUE"""),"MYK: ROTAVATOR PARTS ORDER: (TO FOLLOW)")</f>
        <v>MYK: ROTAVATOR PARTS ORDER: (TO FOLLOW)</v>
      </c>
      <c r="L1635" s="72" t="str">
        <f>IFERROR(__xludf.DUMMYFUNCTION("""COMPUTED_VALUE"""),"MYK: PARTS:
BEVEL 24T
DRIVE SHAFT 
TAPER ROLLER 32211
TAPER ROLLER 30209
PAYMENT AGREEMENT FOR APPROVAL- APPROVED BY KFS
JHP: DELIVERED PARTS")</f>
        <v>MYK: PARTS:
BEVEL 24T
DRIVE SHAFT 
TAPER ROLLER 32211
TAPER ROLLER 30209
PAYMENT AGREEMENT FOR APPROVAL- APPROVED BY KFS
JHP: DELIVERED PARTS</v>
      </c>
      <c r="M1635" s="2" t="str">
        <f>IFERROR(__xludf.DUMMYFUNCTION("""COMPUTED_VALUE"""),"BEVEL 24T
DRIVE SHAFT 
TAPER ROLLER 32211
TAPER ROLLER 30209")</f>
        <v>BEVEL 24T
DRIVE SHAFT 
TAPER ROLLER 32211
TAPER ROLLER 30209</v>
      </c>
      <c r="N1635" s="2" t="str">
        <f>IFERROR(__xludf.DUMMYFUNCTION("""COMPUTED_VALUE"""),"PAYMENT AGREEMENT - LTC-PA-012
PARTIAL: 23,480
BAL: 21,000
PARTS:
BEVEL GEAR 24T
DRIVE SHAFT
2- HARD LOCK NUT")</f>
        <v>PAYMENT AGREEMENT - LTC-PA-012
PARTIAL: 23,480
BAL: 21,000
PARTS:
BEVEL GEAR 24T
DRIVE SHAFT
2- HARD LOCK NUT</v>
      </c>
      <c r="O1635" s="2">
        <f>IFERROR(__xludf.DUMMYFUNCTION("""COMPUTED_VALUE"""),685.0)</f>
        <v>685</v>
      </c>
      <c r="P1635" s="2"/>
      <c r="Q1635" s="2" t="str">
        <f>IFERROR(__xludf.DUMMYFUNCTION("""COMPUTED_VALUE"""),"FOR PRINT")</f>
        <v>FOR PRINT</v>
      </c>
      <c r="R1635" s="74">
        <f>IFERROR(__xludf.DUMMYFUNCTION("""COMPUTED_VALUE"""),46153.0)</f>
        <v>46153</v>
      </c>
      <c r="S1635" s="2" t="str">
        <f>IFERROR(__xludf.DUMMYFUNCTION("""COMPUTED_VALUE"""),"JHP")</f>
        <v>JHP</v>
      </c>
      <c r="T1635" s="73">
        <f>IFERROR(__xludf.DUMMYFUNCTION("""COMPUTED_VALUE"""),44480.0)</f>
        <v>44480</v>
      </c>
      <c r="U1635" s="73" t="str">
        <f>IFERROR(__xludf.DUMMYFUNCTION("""COMPUTED_VALUE""")," REMITTED ")</f>
        <v>REMITTED</v>
      </c>
      <c r="V1635" s="2">
        <f>IFERROR(__xludf.DUMMYFUNCTION("""COMPUTED_VALUE"""),1711.0)</f>
        <v>1711</v>
      </c>
      <c r="W1635" s="2">
        <f>IFERROR(__xludf.DUMMYFUNCTION("""COMPUTED_VALUE"""),1966.0)</f>
        <v>1966</v>
      </c>
      <c r="X1635" s="2">
        <f>IFERROR(__xludf.DUMMYFUNCTION("""COMPUTED_VALUE"""),1779.0)</f>
        <v>1779</v>
      </c>
      <c r="Y1635" s="2" t="str">
        <f>IFERROR(__xludf.DUMMYFUNCTION("""COMPUTED_VALUE"""),"FOR COLLECTION -  BAL  -  21,000")</f>
        <v>FOR COLLECTION -  BAL  -  21,000</v>
      </c>
      <c r="Z1635" s="2"/>
      <c r="AA1635" s="2"/>
      <c r="AB1635" s="2"/>
      <c r="AC1635" s="2"/>
      <c r="AD1635" s="2"/>
      <c r="AE1635" s="2"/>
      <c r="AF1635" s="2"/>
      <c r="AG1635" s="2"/>
      <c r="AH1635" s="2"/>
      <c r="AI1635" s="2"/>
      <c r="AJ1635" s="2" t="str">
        <f>IFERROR(__xludf.DUMMYFUNCTION("""COMPUTED_VALUE"""),"Estipona")</f>
        <v>Estipona</v>
      </c>
      <c r="AK1635" s="2" t="str">
        <f>IFERROR(__xludf.DUMMYFUNCTION("""COMPUTED_VALUE"""),"Pura")</f>
        <v>Pura</v>
      </c>
      <c r="AL1635" s="2" t="str">
        <f>IFERROR(__xludf.DUMMYFUNCTION("""COMPUTED_VALUE"""),"Tarlac")</f>
        <v>Tarlac</v>
      </c>
      <c r="AM1635" s="2">
        <f>IFERROR(__xludf.DUMMYFUNCTION("""COMPUTED_VALUE"""),3.0)</f>
        <v>3</v>
      </c>
      <c r="AN1635" s="2" t="str">
        <f>IFERROR(__xludf.DUMMYFUNCTION("""COMPUTED_VALUE"""),"RCEF 23-09-21 Rebidding")</f>
        <v>RCEF 23-09-21 Rebidding</v>
      </c>
      <c r="AO1635" s="2">
        <f>IFERROR(__xludf.DUMMYFUNCTION("""COMPUTED_VALUE"""),3.0)</f>
        <v>3</v>
      </c>
      <c r="AP1635" s="2"/>
      <c r="AQ1635" s="2"/>
      <c r="AR1635" s="2"/>
      <c r="AS1635" s="2"/>
      <c r="AT1635" s="2"/>
      <c r="AU1635" s="2"/>
      <c r="AV1635" s="2"/>
      <c r="AW1635" s="2"/>
      <c r="AX1635" s="2"/>
      <c r="AY1635" s="2"/>
      <c r="AZ1635" s="2"/>
      <c r="BA1635" s="2"/>
      <c r="BB1635" s="2"/>
    </row>
    <row r="1636">
      <c r="A1636" s="2">
        <f>IFERROR(__xludf.DUMMYFUNCTION("""COMPUTED_VALUE"""),1632.0)</f>
        <v>1632</v>
      </c>
      <c r="B1636" s="2" t="str">
        <f>IFERROR(__xludf.DUMMYFUNCTION("""COMPUTED_VALUE"""),"PENDING")</f>
        <v>PENDING</v>
      </c>
      <c r="C1636" s="78">
        <f>IFERROR(__xludf.DUMMYFUNCTION("""COMPUTED_VALUE"""),46139.0)</f>
        <v>46139</v>
      </c>
      <c r="D1636" s="71" t="str">
        <f>IFERROR(__xludf.DUMMYFUNCTION("""COMPUTED_VALUE"""),"Pacol Himaya Irrigators' Association, Inc.")</f>
        <v>Pacol Himaya Irrigators' Association, Inc.</v>
      </c>
      <c r="E1636" s="71" t="str">
        <f>IFERROR(__xludf.DUMMYFUNCTION("""COMPUTED_VALUE"""),"Alijis, Valladolid, NEGROS OCCIDENTAL")</f>
        <v>Alijis, Valladolid, NEGROS OCCIDENTAL</v>
      </c>
      <c r="F1636" s="2" t="str">
        <f>IFERROR(__xludf.DUMMYFUNCTION("""COMPUTED_VALUE"""),"JOEY VELLARMINO")</f>
        <v>JOEY VELLARMINO</v>
      </c>
      <c r="G1636" s="2">
        <f>IFERROR(__xludf.DUMMYFUNCTION("""COMPUTED_VALUE"""),9.921536024E9)</f>
        <v>9921536024</v>
      </c>
      <c r="H1636" s="2">
        <f>IFERROR(__xludf.DUMMYFUNCTION("""COMPUTED_VALUE"""),500.0)</f>
        <v>500</v>
      </c>
      <c r="I1636" s="72" t="str">
        <f>IFERROR(__xludf.DUMMYFUNCTION("""COMPUTED_VALUE"""),"REPAIR - DISC PLOW")</f>
        <v>REPAIR - DISC PLOW</v>
      </c>
      <c r="J1636" s="72" t="str">
        <f>IFERROR(__xludf.DUMMYFUNCTION("""COMPUTED_VALUE"""),"Gearbox")</f>
        <v>Gearbox</v>
      </c>
      <c r="K1636" s="72" t="str">
        <f>IFERROR(__xludf.DUMMYFUNCTION("""COMPUTED_VALUE"""),"MYK: DISCPLOW PROBLEM, NABIYAK ANG GEARBOX  MAY SUMABOG SA LOOB NG GEARBOX HABANG GINAGAMIT NILA, "" - ( PICTURE TO FOLLOW)
DATE DELIVERED: JANUARY 2026")</f>
        <v>MYK: DISCPLOW PROBLEM, NABIYAK ANG GEARBOX  MAY SUMABOG SA LOOB NG GEARBOX HABANG GINAGAMIT NILA, " - ( PICTURE TO FOLLOW)
DATE DELIVERED: JANUARY 2026</v>
      </c>
      <c r="L1636" s="72"/>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c r="AJ1636" s="2" t="str">
        <f>IFERROR(__xludf.DUMMYFUNCTION("""COMPUTED_VALUE"""),"Alijis")</f>
        <v>Alijis</v>
      </c>
      <c r="AK1636" s="2" t="str">
        <f>IFERROR(__xludf.DUMMYFUNCTION("""COMPUTED_VALUE"""),"Valladolid")</f>
        <v>Valladolid</v>
      </c>
      <c r="AL1636" s="2" t="str">
        <f>IFERROR(__xludf.DUMMYFUNCTION("""COMPUTED_VALUE"""),"Negros Occidental")</f>
        <v>Negros Occidental</v>
      </c>
      <c r="AM1636" s="2">
        <f>IFERROR(__xludf.DUMMYFUNCTION("""COMPUTED_VALUE"""),6.0)</f>
        <v>6</v>
      </c>
      <c r="AN1636" s="2" t="str">
        <f>IFERROR(__xludf.DUMMYFUNCTION("""COMPUTED_VALUE"""),"RCEF 25-03-05")</f>
        <v>RCEF 25-03-05</v>
      </c>
      <c r="AO1636" s="2">
        <f>IFERROR(__xludf.DUMMYFUNCTION("""COMPUTED_VALUE"""),7.0)</f>
        <v>7</v>
      </c>
      <c r="AP1636" s="2" t="str">
        <f>IFERROR(__xludf.DUMMYFUNCTION("""COMPUTED_VALUE"""),"FREE PMS")</f>
        <v>FREE PMS</v>
      </c>
      <c r="AQ1636" s="2"/>
      <c r="AR1636" s="2"/>
      <c r="AS1636" s="2"/>
      <c r="AT1636" s="2"/>
      <c r="AU1636" s="2"/>
      <c r="AV1636" s="2"/>
      <c r="AW1636" s="2"/>
      <c r="AX1636" s="2"/>
      <c r="AY1636" s="2"/>
      <c r="AZ1636" s="2"/>
      <c r="BA1636" s="2"/>
      <c r="BB1636" s="2"/>
    </row>
    <row r="1637">
      <c r="A1637" s="2">
        <f>IFERROR(__xludf.DUMMYFUNCTION("""COMPUTED_VALUE"""),1633.0)</f>
        <v>1633</v>
      </c>
      <c r="B1637" s="2" t="str">
        <f>IFERROR(__xludf.DUMMYFUNCTION("""COMPUTED_VALUE"""),"PENDING")</f>
        <v>PENDING</v>
      </c>
      <c r="C1637" s="74">
        <f>IFERROR(__xludf.DUMMYFUNCTION("""COMPUTED_VALUE"""),46139.0)</f>
        <v>46139</v>
      </c>
      <c r="D1637" s="71" t="str">
        <f>IFERROR(__xludf.DUMMYFUNCTION("""COMPUTED_VALUE"""),"H2O IRRIGATORS ASSOCIATION INC.")</f>
        <v>H2O IRRIGATORS ASSOCIATION INC.</v>
      </c>
      <c r="E1637" s="71" t="str">
        <f>IFERROR(__xludf.DUMMYFUNCTION("""COMPUTED_VALUE"""),"Namatacan, San Narciso, ZAMBALES")</f>
        <v>Namatacan, San Narciso, ZAMBALES</v>
      </c>
      <c r="F1637" s="2" t="str">
        <f>IFERROR(__xludf.DUMMYFUNCTION("""COMPUTED_VALUE"""),"NOLA GRAGASIN")</f>
        <v>NOLA GRAGASIN</v>
      </c>
      <c r="G1637" s="2"/>
      <c r="H1637" s="2">
        <f>IFERROR(__xludf.DUMMYFUNCTION("""COMPUTED_VALUE"""),92.4)</f>
        <v>92.4</v>
      </c>
      <c r="I1637" s="72" t="str">
        <f>IFERROR(__xludf.DUMMYFUNCTION("""COMPUTED_VALUE"""),"REPAIR - LOADER")</f>
        <v>REPAIR - LOADER</v>
      </c>
      <c r="J1637" s="72" t="str">
        <f>IFERROR(__xludf.DUMMYFUNCTION("""COMPUTED_VALUE"""),"Cable lock")</f>
        <v>Cable lock</v>
      </c>
      <c r="K1637" s="72" t="str">
        <f>IFERROR(__xludf.DUMMYFUNCTION("""COMPUTED_VALUE"""),"JDP:  CABLE LOCK PROBLEM AND MAY LEAK SA PAGITAN NG ENGINE AT CLUTCH HOUSING (WITH PICTURES)")</f>
        <v>JDP:  CABLE LOCK PROBLEM AND MAY LEAK SA PAGITAN NG ENGINE AT CLUTCH HOUSING (WITH PICTURES)</v>
      </c>
      <c r="L1637" s="72" t="str">
        <f>IFERROR(__xludf.DUMMYFUNCTION("""COMPUTED_VALUE"""),"450: JDP: REPLACED CABLE LOCK (NO DR)
5/12/26 - 1103: JVV: DISASSEMBLE AND ASSEMBLE BACK PALTE OF ENGINE. PARTS: OIL SEAL (F)
5/19/26 - 689: ACS: ASSESSMENT - CLUTCH COMPONENT PROBLEM
PARTS: CLUTCH DISC ASSY")</f>
        <v>450: JDP: REPLACED CABLE LOCK (NO DR)
5/12/26 - 1103: JVV: DISASSEMBLE AND ASSEMBLE BACK PALTE OF ENGINE. PARTS: OIL SEAL (F)
5/19/26 - 689: ACS: ASSESSMENT - CLUTCH COMPONENT PROBLEM
PARTS: CLUTCH DISC ASSY</v>
      </c>
      <c r="M1637" s="2" t="str">
        <f>IFERROR(__xludf.DUMMYFUNCTION("""COMPUTED_VALUE"""),"OIL SEAL (F)
CLUTCH DISC ASSY")</f>
        <v>OIL SEAL (F)
CLUTCH DISC ASSY</v>
      </c>
      <c r="N1637" s="2" t="str">
        <f>IFERROR(__xludf.DUMMYFUNCTION("""COMPUTED_VALUE"""),"PARTS:
CABLE LOCK")</f>
        <v>PARTS:
CABLE LOCK</v>
      </c>
      <c r="O1637" s="2"/>
      <c r="P1637" s="2"/>
      <c r="Q1637" s="2"/>
      <c r="R1637" s="2"/>
      <c r="S1637" s="2"/>
      <c r="T1637" s="2"/>
      <c r="U1637" s="2"/>
      <c r="V1637" s="2"/>
      <c r="W1637" s="2"/>
      <c r="X1637" s="2"/>
      <c r="Y1637" s="2"/>
      <c r="Z1637" s="2"/>
      <c r="AA1637" s="2"/>
      <c r="AB1637" s="2"/>
      <c r="AC1637" s="2"/>
      <c r="AD1637" s="2"/>
      <c r="AE1637" s="2"/>
      <c r="AF1637" s="2"/>
      <c r="AG1637" s="2"/>
      <c r="AH1637" s="2"/>
      <c r="AI1637" s="2"/>
      <c r="AJ1637" s="2" t="str">
        <f>IFERROR(__xludf.DUMMYFUNCTION("""COMPUTED_VALUE"""),"Namatacan")</f>
        <v>Namatacan</v>
      </c>
      <c r="AK1637" s="2" t="str">
        <f>IFERROR(__xludf.DUMMYFUNCTION("""COMPUTED_VALUE"""),"San Narciso")</f>
        <v>San Narciso</v>
      </c>
      <c r="AL1637" s="2" t="str">
        <f>IFERROR(__xludf.DUMMYFUNCTION("""COMPUTED_VALUE"""),"Zambales")</f>
        <v>Zambales</v>
      </c>
      <c r="AM1637" s="2">
        <f>IFERROR(__xludf.DUMMYFUNCTION("""COMPUTED_VALUE"""),3.0)</f>
        <v>3</v>
      </c>
      <c r="AN1637" s="2" t="str">
        <f>IFERROR(__xludf.DUMMYFUNCTION("""COMPUTED_VALUE"""),"RCEF 25-03-05")</f>
        <v>RCEF 25-03-05</v>
      </c>
      <c r="AO1637" s="2">
        <f>IFERROR(__xludf.DUMMYFUNCTION("""COMPUTED_VALUE"""),5.0)</f>
        <v>5</v>
      </c>
      <c r="AP1637" s="2" t="str">
        <f>IFERROR(__xludf.DUMMYFUNCTION("""COMPUTED_VALUE"""),"FREE PMS")</f>
        <v>FREE PMS</v>
      </c>
      <c r="AQ1637" s="2"/>
      <c r="AR1637" s="2"/>
      <c r="AS1637" s="2"/>
      <c r="AT1637" s="2"/>
      <c r="AU1637" s="2"/>
      <c r="AV1637" s="2"/>
      <c r="AW1637" s="2"/>
      <c r="AX1637" s="2"/>
      <c r="AY1637" s="2"/>
      <c r="AZ1637" s="2"/>
      <c r="BA1637" s="2"/>
      <c r="BB1637" s="2"/>
    </row>
    <row r="1638">
      <c r="A1638" s="2">
        <f>IFERROR(__xludf.DUMMYFUNCTION("""COMPUTED_VALUE"""),1634.0)</f>
        <v>1634</v>
      </c>
      <c r="B1638" s="2" t="str">
        <f>IFERROR(__xludf.DUMMYFUNCTION("""COMPUTED_VALUE"""),"PENDING")</f>
        <v>PENDING</v>
      </c>
      <c r="C1638" s="74">
        <f>IFERROR(__xludf.DUMMYFUNCTION("""COMPUTED_VALUE"""),46139.0)</f>
        <v>46139</v>
      </c>
      <c r="D1638" s="71" t="str">
        <f>IFERROR(__xludf.DUMMYFUNCTION("""COMPUTED_VALUE"""),"H2O IRRIGATORS ASSOCIATION INC.")</f>
        <v>H2O IRRIGATORS ASSOCIATION INC.</v>
      </c>
      <c r="E1638" s="71" t="str">
        <f>IFERROR(__xludf.DUMMYFUNCTION("""COMPUTED_VALUE"""),"Namatacan, San Narciso, ZAMBALES")</f>
        <v>Namatacan, San Narciso, ZAMBALES</v>
      </c>
      <c r="F1638" s="2" t="str">
        <f>IFERROR(__xludf.DUMMYFUNCTION("""COMPUTED_VALUE"""),"NOLA GRAGASIN")</f>
        <v>NOLA GRAGASIN</v>
      </c>
      <c r="G1638" s="2"/>
      <c r="H1638" s="2">
        <f>IFERROR(__xludf.DUMMYFUNCTION("""COMPUTED_VALUE"""),92.4)</f>
        <v>92.4</v>
      </c>
      <c r="I1638" s="72" t="str">
        <f>IFERROR(__xludf.DUMMYFUNCTION("""COMPUTED_VALUE"""),"REPAIR - TRACTOR")</f>
        <v>REPAIR - TRACTOR</v>
      </c>
      <c r="J1638" s="72" t="str">
        <f>IFERROR(__xludf.DUMMYFUNCTION("""COMPUTED_VALUE"""),"Cable Lock")</f>
        <v>Cable Lock</v>
      </c>
      <c r="K1638" s="72" t="str">
        <f>IFERROR(__xludf.DUMMYFUNCTION("""COMPUTED_VALUE"""),"JDP:  CABLE LOCK PROBLEM AND MAY LEAK SA PAGITAN NG ENGINE AT CLUTCH HOUSING (WITH PICTURES)")</f>
        <v>JDP:  CABLE LOCK PROBLEM AND MAY LEAK SA PAGITAN NG ENGINE AT CLUTCH HOUSING (WITH PICTURES)</v>
      </c>
      <c r="L1638" s="72" t="str">
        <f>IFERROR(__xludf.DUMMYFUNCTION("""COMPUTED_VALUE"""),"450: JDP: REPLACED CABLE LOCK (NO DR)
5/12/26 - 1103: JVV: DISASSEMBLE AND ASSEMBLE BACK PALTE OF ENGINE. PARTS: OIL SEAL (F)
5/19/26 - 689: ACS: ASSESSMENT - CLUTCH COMPONENT PROBLEM
PARTS: CLUTCH DISC ASSY")</f>
        <v>450: JDP: REPLACED CABLE LOCK (NO DR)
5/12/26 - 1103: JVV: DISASSEMBLE AND ASSEMBLE BACK PALTE OF ENGINE. PARTS: OIL SEAL (F)
5/19/26 - 689: ACS: ASSESSMENT - CLUTCH COMPONENT PROBLEM
PARTS: CLUTCH DISC ASSY</v>
      </c>
      <c r="M1638" s="2" t="str">
        <f>IFERROR(__xludf.DUMMYFUNCTION("""COMPUTED_VALUE"""),"OIL SEAL (F)
CLUTCH DISC ASSY")</f>
        <v>OIL SEAL (F)
CLUTCH DISC ASSY</v>
      </c>
      <c r="N1638" s="2" t="str">
        <f>IFERROR(__xludf.DUMMYFUNCTION("""COMPUTED_VALUE"""),"PARTS:
CABLE LOCK")</f>
        <v>PARTS:
CABLE LOCK</v>
      </c>
      <c r="O1638" s="2"/>
      <c r="P1638" s="2"/>
      <c r="Q1638" s="2"/>
      <c r="R1638" s="2"/>
      <c r="S1638" s="2"/>
      <c r="T1638" s="2"/>
      <c r="U1638" s="2"/>
      <c r="V1638" s="2"/>
      <c r="W1638" s="2"/>
      <c r="X1638" s="2"/>
      <c r="Y1638" s="2"/>
      <c r="Z1638" s="2"/>
      <c r="AA1638" s="2"/>
      <c r="AB1638" s="2"/>
      <c r="AC1638" s="2"/>
      <c r="AD1638" s="2"/>
      <c r="AE1638" s="2"/>
      <c r="AF1638" s="2"/>
      <c r="AG1638" s="2"/>
      <c r="AH1638" s="2"/>
      <c r="AI1638" s="2"/>
      <c r="AJ1638" s="2" t="str">
        <f>IFERROR(__xludf.DUMMYFUNCTION("""COMPUTED_VALUE"""),"Namatacan")</f>
        <v>Namatacan</v>
      </c>
      <c r="AK1638" s="2" t="str">
        <f>IFERROR(__xludf.DUMMYFUNCTION("""COMPUTED_VALUE"""),"San Narciso")</f>
        <v>San Narciso</v>
      </c>
      <c r="AL1638" s="2" t="str">
        <f>IFERROR(__xludf.DUMMYFUNCTION("""COMPUTED_VALUE"""),"Zambales")</f>
        <v>Zambales</v>
      </c>
      <c r="AM1638" s="2">
        <f>IFERROR(__xludf.DUMMYFUNCTION("""COMPUTED_VALUE"""),3.0)</f>
        <v>3</v>
      </c>
      <c r="AN1638" s="2" t="str">
        <f>IFERROR(__xludf.DUMMYFUNCTION("""COMPUTED_VALUE"""),"RCEF 25-03-05")</f>
        <v>RCEF 25-03-05</v>
      </c>
      <c r="AO1638" s="2">
        <f>IFERROR(__xludf.DUMMYFUNCTION("""COMPUTED_VALUE"""),5.0)</f>
        <v>5</v>
      </c>
      <c r="AP1638" s="2" t="str">
        <f>IFERROR(__xludf.DUMMYFUNCTION("""COMPUTED_VALUE"""),"FREE PMS")</f>
        <v>FREE PMS</v>
      </c>
      <c r="AQ1638" s="2"/>
      <c r="AR1638" s="2"/>
      <c r="AS1638" s="2"/>
      <c r="AT1638" s="2"/>
      <c r="AU1638" s="2"/>
      <c r="AV1638" s="2"/>
      <c r="AW1638" s="2"/>
      <c r="AX1638" s="2"/>
      <c r="AY1638" s="2"/>
      <c r="AZ1638" s="2"/>
      <c r="BA1638" s="2"/>
      <c r="BB1638" s="2"/>
    </row>
    <row r="1639">
      <c r="A1639" s="2">
        <f>IFERROR(__xludf.DUMMYFUNCTION("""COMPUTED_VALUE"""),1635.0)</f>
        <v>1635</v>
      </c>
      <c r="B1639" s="2" t="str">
        <f>IFERROR(__xludf.DUMMYFUNCTION("""COMPUTED_VALUE"""),"COMPLETED")</f>
        <v>COMPLETED</v>
      </c>
      <c r="C1639" s="78">
        <f>IFERROR(__xludf.DUMMYFUNCTION("""COMPUTED_VALUE"""),46140.0)</f>
        <v>46140</v>
      </c>
      <c r="D1639" s="71" t="str">
        <f>IFERROR(__xludf.DUMMYFUNCTION("""COMPUTED_VALUE"""),"Fortunate Empire Multipurpose Cooperative")</f>
        <v>Fortunate Empire Multipurpose Cooperative</v>
      </c>
      <c r="E1639" s="71" t="str">
        <f>IFERROR(__xludf.DUMMYFUNCTION("""COMPUTED_VALUE"""),"Biclat, San Miguel, BULACAN")</f>
        <v>Biclat, San Miguel, BULACAN</v>
      </c>
      <c r="F1639" s="2"/>
      <c r="G1639" s="2">
        <f>IFERROR(__xludf.DUMMYFUNCTION("""COMPUTED_VALUE"""),9.554419105E9)</f>
        <v>9554419105</v>
      </c>
      <c r="H1639" s="2">
        <f>IFERROR(__xludf.DUMMYFUNCTION("""COMPUTED_VALUE"""),50.0)</f>
        <v>50</v>
      </c>
      <c r="I1639" s="72" t="str">
        <f>IFERROR(__xludf.DUMMYFUNCTION("""COMPUTED_VALUE"""),"PMS")</f>
        <v>PMS</v>
      </c>
      <c r="J1639" s="72" t="str">
        <f>IFERROR(__xludf.DUMMYFUNCTION("""COMPUTED_VALUE"""),"PMS")</f>
        <v>PMS</v>
      </c>
      <c r="K1639" s="72" t="str">
        <f>IFERROR(__xludf.DUMMYFUNCTION("""COMPUTED_VALUE"""),"ERP: 1st PMS free")</f>
        <v>ERP: 1st PMS free</v>
      </c>
      <c r="L1639" s="72"/>
      <c r="M1639" s="2"/>
      <c r="N1639" s="2" t="str">
        <f>IFERROR(__xludf.DUMMYFUNCTION("""COMPUTED_VALUE"""),"PARTS:
OIL FILTER
ENGINE OIL")</f>
        <v>PARTS:
OIL FILTER
ENGINE OIL</v>
      </c>
      <c r="O1639" s="2"/>
      <c r="P1639" s="2"/>
      <c r="Q1639" s="2"/>
      <c r="R1639" s="74">
        <f>IFERROR(__xludf.DUMMYFUNCTION("""COMPUTED_VALUE"""),46143.0)</f>
        <v>46143</v>
      </c>
      <c r="S1639" s="2" t="str">
        <f>IFERROR(__xludf.DUMMYFUNCTION("""COMPUTED_VALUE"""),"EGT")</f>
        <v>EGT</v>
      </c>
      <c r="T1639" s="73" t="str">
        <f>IFERROR(__xludf.DUMMYFUNCTION("""COMPUTED_VALUE""")," N/A ")</f>
        <v>N/A</v>
      </c>
      <c r="U1639" s="73" t="str">
        <f>IFERROR(__xludf.DUMMYFUNCTION("""COMPUTED_VALUE""")," RECORDED ")</f>
        <v>RECORDED</v>
      </c>
      <c r="V1639" s="2">
        <f>IFERROR(__xludf.DUMMYFUNCTION("""COMPUTED_VALUE"""),1331.0)</f>
        <v>1331</v>
      </c>
      <c r="W1639" s="2"/>
      <c r="X1639" s="2"/>
      <c r="Y1639" s="2"/>
      <c r="Z1639" s="2"/>
      <c r="AA1639" s="2"/>
      <c r="AB1639" s="2"/>
      <c r="AC1639" s="2"/>
      <c r="AD1639" s="2"/>
      <c r="AE1639" s="2"/>
      <c r="AF1639" s="2"/>
      <c r="AG1639" s="2"/>
      <c r="AH1639" s="2"/>
      <c r="AI1639" s="2"/>
      <c r="AJ1639" s="2" t="str">
        <f>IFERROR(__xludf.DUMMYFUNCTION("""COMPUTED_VALUE"""),"Biclat")</f>
        <v>Biclat</v>
      </c>
      <c r="AK1639" s="2" t="str">
        <f>IFERROR(__xludf.DUMMYFUNCTION("""COMPUTED_VALUE"""),"San Miguel")</f>
        <v>San Miguel</v>
      </c>
      <c r="AL1639" s="2" t="str">
        <f>IFERROR(__xludf.DUMMYFUNCTION("""COMPUTED_VALUE"""),"Bulacan")</f>
        <v>Bulacan</v>
      </c>
      <c r="AM1639" s="2">
        <f>IFERROR(__xludf.DUMMYFUNCTION("""COMPUTED_VALUE"""),3.0)</f>
        <v>3</v>
      </c>
      <c r="AN1639" s="2" t="str">
        <f>IFERROR(__xludf.DUMMYFUNCTION("""COMPUTED_VALUE"""),"RCEF 25-03-05")</f>
        <v>RCEF 25-03-05</v>
      </c>
      <c r="AO1639" s="2">
        <f>IFERROR(__xludf.DUMMYFUNCTION("""COMPUTED_VALUE"""),5.0)</f>
        <v>5</v>
      </c>
      <c r="AP1639" s="2" t="str">
        <f>IFERROR(__xludf.DUMMYFUNCTION("""COMPUTED_VALUE"""),"FREE PMS")</f>
        <v>FREE PMS</v>
      </c>
      <c r="AQ1639" s="2"/>
      <c r="AR1639" s="2"/>
      <c r="AS1639" s="2"/>
      <c r="AT1639" s="2"/>
      <c r="AU1639" s="2"/>
      <c r="AV1639" s="2"/>
      <c r="AW1639" s="2"/>
      <c r="AX1639" s="2"/>
      <c r="AY1639" s="2"/>
      <c r="AZ1639" s="2"/>
      <c r="BA1639" s="2"/>
      <c r="BB1639" s="2"/>
    </row>
    <row r="1640">
      <c r="A1640" s="2">
        <f>IFERROR(__xludf.DUMMYFUNCTION("""COMPUTED_VALUE"""),1636.0)</f>
        <v>1636</v>
      </c>
      <c r="B1640" s="2" t="str">
        <f>IFERROR(__xludf.DUMMYFUNCTION("""COMPUTED_VALUE"""),"COMPLETED")</f>
        <v>COMPLETED</v>
      </c>
      <c r="C1640" s="78">
        <f>IFERROR(__xludf.DUMMYFUNCTION("""COMPUTED_VALUE"""),46140.0)</f>
        <v>46140</v>
      </c>
      <c r="D1640" s="71" t="str">
        <f>IFERROR(__xludf.DUMMYFUNCTION("""COMPUTED_VALUE"""),"MAGSASAKA NG BAGONG HENERASYON NG BARANGAY SIMMINUBLAN (MBHBS)")</f>
        <v>MAGSASAKA NG BAGONG HENERASYON NG BARANGAY SIMMINUBLAN (MBHBS)</v>
      </c>
      <c r="E1640" s="71" t="str">
        <f>IFERROR(__xludf.DUMMYFUNCTION("""COMPUTED_VALUE"""),"Siminublan, San Narciso, ZAMBALES")</f>
        <v>Siminublan, San Narciso, ZAMBALES</v>
      </c>
      <c r="F1640" s="2" t="str">
        <f>IFERROR(__xludf.DUMMYFUNCTION("""COMPUTED_VALUE"""),"JACQUILINE DADURAL")</f>
        <v>JACQUILINE DADURAL</v>
      </c>
      <c r="G1640" s="2">
        <f>IFERROR(__xludf.DUMMYFUNCTION("""COMPUTED_VALUE"""),9.100724561E9)</f>
        <v>9100724561</v>
      </c>
      <c r="H1640" s="2"/>
      <c r="I1640" s="72" t="str">
        <f>IFERROR(__xludf.DUMMYFUNCTION("""COMPUTED_VALUE"""),"SPARE PARTS ACQUISITION")</f>
        <v>SPARE PARTS ACQUISITION</v>
      </c>
      <c r="J1640" s="72"/>
      <c r="K1640" s="72" t="str">
        <f>IFERROR(__xludf.DUMMYFUNCTION("""COMPUTED_VALUE"""),"MYK: PARTS ORDER: 42 - ROTAVATOR BLADES")</f>
        <v>MYK: PARTS ORDER: 42 - ROTAVATOR BLADES</v>
      </c>
      <c r="L1640" s="72" t="str">
        <f>IFERROR(__xludf.DUMMYFUNCTION("""COMPUTED_VALUE"""),"QUOTATION SENT PAID -  DELIVERED - RECEIPTS SENT")</f>
        <v>QUOTATION SENT PAID -  DELIVERED - RECEIPTS SENT</v>
      </c>
      <c r="M1640" s="2"/>
      <c r="N1640" s="2" t="str">
        <f>IFERROR(__xludf.DUMMYFUNCTION("""COMPUTED_VALUE"""),"PARTS:
42 - ROTAVATOR BLADES")</f>
        <v>PARTS:
42 - ROTAVATOR BLADES</v>
      </c>
      <c r="O1640" s="2" t="str">
        <f>IFERROR(__xludf.DUMMYFUNCTION("""COMPUTED_VALUE"""),"N/A")</f>
        <v>N/A</v>
      </c>
      <c r="P1640" s="2"/>
      <c r="Q1640" s="2"/>
      <c r="R1640" s="74">
        <f>IFERROR(__xludf.DUMMYFUNCTION("""COMPUTED_VALUE"""),46143.0)</f>
        <v>46143</v>
      </c>
      <c r="S1640" s="2"/>
      <c r="T1640" s="73">
        <f>IFERROR(__xludf.DUMMYFUNCTION("""COMPUTED_VALUE"""),25620.0)</f>
        <v>25620</v>
      </c>
      <c r="U1640" s="73" t="str">
        <f>IFERROR(__xludf.DUMMYFUNCTION("""COMPUTED_VALUE""")," NO CHARGE ")</f>
        <v>NO CHARGE</v>
      </c>
      <c r="V1640" s="2"/>
      <c r="W1640" s="2" t="str">
        <f>IFERROR(__xludf.DUMMYFUNCTION("""COMPUTED_VALUE"""),"N/A")</f>
        <v>N/A</v>
      </c>
      <c r="X1640" s="2" t="str">
        <f>IFERROR(__xludf.DUMMYFUNCTION("""COMPUTED_VALUE"""),"N/A")</f>
        <v>N/A</v>
      </c>
      <c r="Y1640" s="2"/>
      <c r="Z1640" s="2"/>
      <c r="AA1640" s="2"/>
      <c r="AB1640" s="2"/>
      <c r="AC1640" s="2"/>
      <c r="AD1640" s="2"/>
      <c r="AE1640" s="2"/>
      <c r="AF1640" s="2"/>
      <c r="AG1640" s="2"/>
      <c r="AH1640" s="2"/>
      <c r="AI1640" s="2"/>
      <c r="AJ1640" s="2" t="str">
        <f>IFERROR(__xludf.DUMMYFUNCTION("""COMPUTED_VALUE"""),"Siminublan")</f>
        <v>Siminublan</v>
      </c>
      <c r="AK1640" s="2" t="str">
        <f>IFERROR(__xludf.DUMMYFUNCTION("""COMPUTED_VALUE"""),"San Narciso")</f>
        <v>San Narciso</v>
      </c>
      <c r="AL1640" s="2" t="str">
        <f>IFERROR(__xludf.DUMMYFUNCTION("""COMPUTED_VALUE"""),"Zambales")</f>
        <v>Zambales</v>
      </c>
      <c r="AM1640" s="2">
        <f>IFERROR(__xludf.DUMMYFUNCTION("""COMPUTED_VALUE"""),3.0)</f>
        <v>3</v>
      </c>
      <c r="AN1640" s="2" t="str">
        <f>IFERROR(__xludf.DUMMYFUNCTION("""COMPUTED_VALUE"""),"RCEF 23-09-21 Rebidding")</f>
        <v>RCEF 23-09-21 Rebidding</v>
      </c>
      <c r="AO1640" s="2">
        <f>IFERROR(__xludf.DUMMYFUNCTION("""COMPUTED_VALUE"""),9.0)</f>
        <v>9</v>
      </c>
      <c r="AP1640" s="2"/>
      <c r="AQ1640" s="2"/>
      <c r="AR1640" s="2"/>
      <c r="AS1640" s="2"/>
      <c r="AT1640" s="2"/>
      <c r="AU1640" s="2"/>
      <c r="AV1640" s="2"/>
      <c r="AW1640" s="2"/>
      <c r="AX1640" s="2"/>
      <c r="AY1640" s="2"/>
      <c r="AZ1640" s="2"/>
      <c r="BA1640" s="2"/>
      <c r="BB1640" s="2"/>
    </row>
    <row r="1641">
      <c r="A1641" s="2">
        <f>IFERROR(__xludf.DUMMYFUNCTION("""COMPUTED_VALUE"""),1637.0)</f>
        <v>1637</v>
      </c>
      <c r="B1641" s="2" t="str">
        <f>IFERROR(__xludf.DUMMYFUNCTION("""COMPUTED_VALUE"""),"PENDING")</f>
        <v>PENDING</v>
      </c>
      <c r="C1641" s="78">
        <f>IFERROR(__xludf.DUMMYFUNCTION("""COMPUTED_VALUE"""),46140.0)</f>
        <v>46140</v>
      </c>
      <c r="D1641" s="71" t="str">
        <f>IFERROR(__xludf.DUMMYFUNCTION("""COMPUTED_VALUE"""),"Milan Farmers Association")</f>
        <v>Milan Farmers Association</v>
      </c>
      <c r="E1641" s="71" t="str">
        <f>IFERROR(__xludf.DUMMYFUNCTION("""COMPUTED_VALUE"""),"Milan, Lemery, ILOILO")</f>
        <v>Milan, Lemery, ILOILO</v>
      </c>
      <c r="F1641" s="2" t="str">
        <f>IFERROR(__xludf.DUMMYFUNCTION("""COMPUTED_VALUE"""),"Eduardo L. Marcelino")</f>
        <v>Eduardo L. Marcelino</v>
      </c>
      <c r="G1641" s="2" t="str">
        <f>IFERROR(__xludf.DUMMYFUNCTION("""COMPUTED_VALUE"""),"0919 900 1346/ 0946 540 1137")</f>
        <v>0919 900 1346/ 0946 540 1137</v>
      </c>
      <c r="H1641" s="2"/>
      <c r="I1641" s="72" t="str">
        <f>IFERROR(__xludf.DUMMYFUNCTION("""COMPUTED_VALUE"""),"PMS")</f>
        <v>PMS</v>
      </c>
      <c r="J1641" s="72" t="str">
        <f>IFERROR(__xludf.DUMMYFUNCTION("""COMPUTED_VALUE"""),"PMS/REPAIR DISPLOW")</f>
        <v>PMS/REPAIR DISPLOW</v>
      </c>
      <c r="K1641" s="72" t="str">
        <f>IFERROR(__xludf.DUMMYFUNCTION("""COMPUTED_VALUE"""),"MYK: 1ST PMS FREE
DISCPLOW PROBLEM-  MAY CRACK ANG GEARBOX NG DISCPLOW SA BANDANG ILALIM AND OIL LEAKING (WITH PICTURES)")</f>
        <v>MYK: 1ST PMS FREE
DISCPLOW PROBLEM-  MAY CRACK ANG GEARBOX NG DISCPLOW SA BANDANG ILALIM AND OIL LEAKING (WITH PICTURES)</v>
      </c>
      <c r="L1641" s="72" t="str">
        <f>IFERROR(__xludf.DUMMYFUNCTION("""COMPUTED_VALUE"""),"MYK: PINA WELDING NA NI FARMER, PERO NAG KA CRACK NAMAN AY YUNG UNAHAN")</f>
        <v>MYK: PINA WELDING NA NI FARMER, PERO NAG KA CRACK NAMAN AY YUNG UNAHAN</v>
      </c>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c r="AJ1641" s="2" t="str">
        <f>IFERROR(__xludf.DUMMYFUNCTION("""COMPUTED_VALUE"""),"Milan")</f>
        <v>Milan</v>
      </c>
      <c r="AK1641" s="2" t="str">
        <f>IFERROR(__xludf.DUMMYFUNCTION("""COMPUTED_VALUE"""),"Lemery")</f>
        <v>Lemery</v>
      </c>
      <c r="AL1641" s="2" t="str">
        <f>IFERROR(__xludf.DUMMYFUNCTION("""COMPUTED_VALUE"""),"Iloilo")</f>
        <v>Iloilo</v>
      </c>
      <c r="AM1641" s="2">
        <f>IFERROR(__xludf.DUMMYFUNCTION("""COMPUTED_VALUE"""),6.0)</f>
        <v>6</v>
      </c>
      <c r="AN1641" s="2" t="str">
        <f>IFERROR(__xludf.DUMMYFUNCTION("""COMPUTED_VALUE"""),"RCEF 25-03-05")</f>
        <v>RCEF 25-03-05</v>
      </c>
      <c r="AO1641" s="2">
        <f>IFERROR(__xludf.DUMMYFUNCTION("""COMPUTED_VALUE"""),7.0)</f>
        <v>7</v>
      </c>
      <c r="AP1641" s="2" t="str">
        <f>IFERROR(__xludf.DUMMYFUNCTION("""COMPUTED_VALUE"""),"FREE PMS")</f>
        <v>FREE PMS</v>
      </c>
      <c r="AQ1641" s="2"/>
      <c r="AR1641" s="2"/>
      <c r="AS1641" s="2"/>
      <c r="AT1641" s="2"/>
      <c r="AU1641" s="2"/>
      <c r="AV1641" s="2"/>
      <c r="AW1641" s="2"/>
      <c r="AX1641" s="2"/>
      <c r="AY1641" s="2"/>
      <c r="AZ1641" s="2"/>
      <c r="BA1641" s="2"/>
      <c r="BB1641" s="2"/>
    </row>
    <row r="1642">
      <c r="A1642" s="2">
        <f>IFERROR(__xludf.DUMMYFUNCTION("""COMPUTED_VALUE"""),1638.0)</f>
        <v>1638</v>
      </c>
      <c r="B1642" s="2" t="str">
        <f>IFERROR(__xludf.DUMMYFUNCTION("""COMPUTED_VALUE"""),"PENDING")</f>
        <v>PENDING</v>
      </c>
      <c r="C1642" s="78">
        <f>IFERROR(__xludf.DUMMYFUNCTION("""COMPUTED_VALUE"""),46140.0)</f>
        <v>46140</v>
      </c>
      <c r="D1642" s="71" t="str">
        <f>IFERROR(__xludf.DUMMYFUNCTION("""COMPUTED_VALUE"""),"CATIGBIAN IRRIGATORS' ASSOCIATION, INC.")</f>
        <v>CATIGBIAN IRRIGATORS' ASSOCIATION, INC.</v>
      </c>
      <c r="E1642" s="71" t="str">
        <f>IFERROR(__xludf.DUMMYFUNCTION("""COMPUTED_VALUE"""),"Catigbian, Buenavista, BOHOL")</f>
        <v>Catigbian, Buenavista, BOHOL</v>
      </c>
      <c r="F1642" s="2" t="str">
        <f>IFERROR(__xludf.DUMMYFUNCTION("""COMPUTED_VALUE"""),"Adriano Membrebe")</f>
        <v>Adriano Membrebe</v>
      </c>
      <c r="G1642" s="2">
        <f>IFERROR(__xludf.DUMMYFUNCTION("""COMPUTED_VALUE"""),9.129055067E9)</f>
        <v>9129055067</v>
      </c>
      <c r="H1642" s="2"/>
      <c r="I1642" s="72" t="str">
        <f>IFERROR(__xludf.DUMMYFUNCTION("""COMPUTED_VALUE"""),"REPAIR - TRACTOR")</f>
        <v>REPAIR - TRACTOR</v>
      </c>
      <c r="J1642" s="72" t="str">
        <f>IFERROR(__xludf.DUMMYFUNCTION("""COMPUTED_VALUE"""),"Electrical - Dashboard")</f>
        <v>Electrical - Dashboard</v>
      </c>
      <c r="K1642" s="72" t="str">
        <f>IFERROR(__xludf.DUMMYFUNCTION("""COMPUTED_VALUE"""),"FSJ: Problem: meter panel (with picture)")</f>
        <v>FSJ: Problem: meter panel (with picture)</v>
      </c>
      <c r="L1642" s="72"/>
      <c r="M1642" s="2" t="str">
        <f>IFERROR(__xludf.DUMMYFUNCTION("""COMPUTED_VALUE"""),"METER PANEL")</f>
        <v>METER PANEL</v>
      </c>
      <c r="N1642" s="2"/>
      <c r="O1642" s="2"/>
      <c r="P1642" s="2"/>
      <c r="Q1642" s="2"/>
      <c r="R1642" s="2"/>
      <c r="S1642" s="2"/>
      <c r="T1642" s="2"/>
      <c r="U1642" s="2"/>
      <c r="V1642" s="2"/>
      <c r="W1642" s="2"/>
      <c r="X1642" s="2"/>
      <c r="Y1642" s="2"/>
      <c r="Z1642" s="2"/>
      <c r="AA1642" s="2"/>
      <c r="AB1642" s="2"/>
      <c r="AC1642" s="2"/>
      <c r="AD1642" s="2"/>
      <c r="AE1642" s="2"/>
      <c r="AF1642" s="2"/>
      <c r="AG1642" s="2"/>
      <c r="AH1642" s="2"/>
      <c r="AI1642" s="2"/>
      <c r="AJ1642" s="2" t="str">
        <f>IFERROR(__xludf.DUMMYFUNCTION("""COMPUTED_VALUE"""),"Catigbian")</f>
        <v>Catigbian</v>
      </c>
      <c r="AK1642" s="2" t="str">
        <f>IFERROR(__xludf.DUMMYFUNCTION("""COMPUTED_VALUE"""),"Buenavista")</f>
        <v>Buenavista</v>
      </c>
      <c r="AL1642" s="2" t="str">
        <f>IFERROR(__xludf.DUMMYFUNCTION("""COMPUTED_VALUE"""),"Bohol")</f>
        <v>Bohol</v>
      </c>
      <c r="AM1642" s="2">
        <f>IFERROR(__xludf.DUMMYFUNCTION("""COMPUTED_VALUE"""),7.0)</f>
        <v>7</v>
      </c>
      <c r="AN1642" s="2" t="str">
        <f>IFERROR(__xludf.DUMMYFUNCTION("""COMPUTED_VALUE"""),"RCEF 25-03-05")</f>
        <v>RCEF 25-03-05</v>
      </c>
      <c r="AO1642" s="2">
        <f>IFERROR(__xludf.DUMMYFUNCTION("""COMPUTED_VALUE"""),7.0)</f>
        <v>7</v>
      </c>
      <c r="AP1642" s="2" t="str">
        <f>IFERROR(__xludf.DUMMYFUNCTION("""COMPUTED_VALUE"""),"FREE PMS")</f>
        <v>FREE PMS</v>
      </c>
      <c r="AQ1642" s="2"/>
      <c r="AR1642" s="2"/>
      <c r="AS1642" s="2"/>
      <c r="AT1642" s="2"/>
      <c r="AU1642" s="2"/>
      <c r="AV1642" s="2"/>
      <c r="AW1642" s="2"/>
      <c r="AX1642" s="2"/>
      <c r="AY1642" s="2"/>
      <c r="AZ1642" s="2"/>
      <c r="BA1642" s="2"/>
      <c r="BB1642" s="2"/>
    </row>
    <row r="1643">
      <c r="A1643" s="2">
        <f>IFERROR(__xludf.DUMMYFUNCTION("""COMPUTED_VALUE"""),1639.0)</f>
        <v>1639</v>
      </c>
      <c r="B1643" s="2" t="str">
        <f>IFERROR(__xludf.DUMMYFUNCTION("""COMPUTED_VALUE"""),"PENDING")</f>
        <v>PENDING</v>
      </c>
      <c r="C1643" s="78">
        <f>IFERROR(__xludf.DUMMYFUNCTION("""COMPUTED_VALUE"""),46140.0)</f>
        <v>46140</v>
      </c>
      <c r="D1643" s="71" t="str">
        <f>IFERROR(__xludf.DUMMYFUNCTION("""COMPUTED_VALUE"""),"Municipal Local Government Unit of Matalom")</f>
        <v>Municipal Local Government Unit of Matalom</v>
      </c>
      <c r="E1643" s="71" t="str">
        <f>IFERROR(__xludf.DUMMYFUNCTION("""COMPUTED_VALUE"""),"Santo Niño (Pob.), Matalom, LEYTE")</f>
        <v>Santo Niño (Pob.), Matalom, LEYTE</v>
      </c>
      <c r="F1643" s="2" t="str">
        <f>IFERROR(__xludf.DUMMYFUNCTION("""COMPUTED_VALUE"""),"Bonifacio gono")</f>
        <v>Bonifacio gono</v>
      </c>
      <c r="G1643" s="2" t="str">
        <f>IFERROR(__xludf.DUMMYFUNCTION("""COMPUTED_VALUE"""),":09564328187")</f>
        <v>:09564328187</v>
      </c>
      <c r="H1643" s="2"/>
      <c r="I1643" s="72" t="str">
        <f>IFERROR(__xludf.DUMMYFUNCTION("""COMPUTED_VALUE"""),"SPARE PARTS ACQUISITION")</f>
        <v>SPARE PARTS ACQUISITION</v>
      </c>
      <c r="J1643" s="72"/>
      <c r="K1643" s="72" t="str">
        <f>IFERROR(__xludf.DUMMYFUNCTION("""COMPUTED_VALUE"""),"FSJ: For order  : disc plow oil seal (45*85*12)")</f>
        <v>FSJ: For order  : disc plow oil seal (45*85*12)</v>
      </c>
      <c r="L1643" s="72"/>
      <c r="M1643" s="2" t="str">
        <f>IFERROR(__xludf.DUMMYFUNCTION("""COMPUTED_VALUE"""),"oil seal (45*85*12")</f>
        <v>oil seal (45*85*12</v>
      </c>
      <c r="N1643" s="2"/>
      <c r="O1643" s="2"/>
      <c r="P1643" s="2"/>
      <c r="Q1643" s="2"/>
      <c r="R1643" s="2"/>
      <c r="S1643" s="2"/>
      <c r="T1643" s="2"/>
      <c r="U1643" s="2"/>
      <c r="V1643" s="2"/>
      <c r="W1643" s="2"/>
      <c r="X1643" s="2"/>
      <c r="Y1643" s="2"/>
      <c r="Z1643" s="2"/>
      <c r="AA1643" s="2"/>
      <c r="AB1643" s="2"/>
      <c r="AC1643" s="2"/>
      <c r="AD1643" s="2"/>
      <c r="AE1643" s="2"/>
      <c r="AF1643" s="2"/>
      <c r="AG1643" s="2"/>
      <c r="AH1643" s="2"/>
      <c r="AI1643" s="2"/>
      <c r="AJ1643" s="2" t="str">
        <f>IFERROR(__xludf.DUMMYFUNCTION("""COMPUTED_VALUE"""),"Santo Niño (Pob.)")</f>
        <v>Santo Niño (Pob.)</v>
      </c>
      <c r="AK1643" s="2" t="str">
        <f>IFERROR(__xludf.DUMMYFUNCTION("""COMPUTED_VALUE"""),"Matalom")</f>
        <v>Matalom</v>
      </c>
      <c r="AL1643" s="2" t="str">
        <f>IFERROR(__xludf.DUMMYFUNCTION("""COMPUTED_VALUE"""),"Leyte")</f>
        <v>Leyte</v>
      </c>
      <c r="AM1643" s="2">
        <f>IFERROR(__xludf.DUMMYFUNCTION("""COMPUTED_VALUE"""),8.0)</f>
        <v>8</v>
      </c>
      <c r="AN1643" s="2" t="str">
        <f>IFERROR(__xludf.DUMMYFUNCTION("""COMPUTED_VALUE"""),"RCEF 25-03-05")</f>
        <v>RCEF 25-03-05</v>
      </c>
      <c r="AO1643" s="2">
        <f>IFERROR(__xludf.DUMMYFUNCTION("""COMPUTED_VALUE"""),7.0)</f>
        <v>7</v>
      </c>
      <c r="AP1643" s="2" t="str">
        <f>IFERROR(__xludf.DUMMYFUNCTION("""COMPUTED_VALUE"""),"FREE PMS")</f>
        <v>FREE PMS</v>
      </c>
      <c r="AQ1643" s="2"/>
      <c r="AR1643" s="2"/>
      <c r="AS1643" s="2"/>
      <c r="AT1643" s="2"/>
      <c r="AU1643" s="2"/>
      <c r="AV1643" s="2"/>
      <c r="AW1643" s="2"/>
      <c r="AX1643" s="2"/>
      <c r="AY1643" s="2"/>
      <c r="AZ1643" s="2"/>
      <c r="BA1643" s="2"/>
      <c r="BB1643" s="2"/>
    </row>
    <row r="1644">
      <c r="A1644" s="2">
        <f>IFERROR(__xludf.DUMMYFUNCTION("""COMPUTED_VALUE"""),1640.0)</f>
        <v>1640</v>
      </c>
      <c r="B1644" s="2" t="str">
        <f>IFERROR(__xludf.DUMMYFUNCTION("""COMPUTED_VALUE"""),"PENDING")</f>
        <v>PENDING</v>
      </c>
      <c r="C1644" s="78">
        <f>IFERROR(__xludf.DUMMYFUNCTION("""COMPUTED_VALUE"""),46140.0)</f>
        <v>46140</v>
      </c>
      <c r="D1644" s="71" t="str">
        <f>IFERROR(__xludf.DUMMYFUNCTION("""COMPUTED_VALUE"""),"Municipal Local Government Unit of Naval")</f>
        <v>Municipal Local Government Unit of Naval</v>
      </c>
      <c r="E1644" s="71" t="str">
        <f>IFERROR(__xludf.DUMMYFUNCTION("""COMPUTED_VALUE"""),"Padre Inocentes Garcia (Pob.), Naval, BILIRAN")</f>
        <v>Padre Inocentes Garcia (Pob.), Naval, BILIRAN</v>
      </c>
      <c r="F1644" s="2" t="str">
        <f>IFERROR(__xludf.DUMMYFUNCTION("""COMPUTED_VALUE"""),"Ronan Bigno")</f>
        <v>Ronan Bigno</v>
      </c>
      <c r="G1644" s="2">
        <f>IFERROR(__xludf.DUMMYFUNCTION("""COMPUTED_VALUE"""),9.510330159E9)</f>
        <v>9510330159</v>
      </c>
      <c r="H1644" s="2"/>
      <c r="I1644" s="72" t="str">
        <f>IFERROR(__xludf.DUMMYFUNCTION("""COMPUTED_VALUE"""),"SPARE PARTS ACQUISITION")</f>
        <v>SPARE PARTS ACQUISITION</v>
      </c>
      <c r="J1644" s="72"/>
      <c r="K1644" s="72" t="str">
        <f>IFERROR(__xludf.DUMMYFUNCTION("""COMPUTED_VALUE"""),"FSJ: For order : 
 Oil seal (45*85*12)
2pc .Taper roller bearing(30208)")</f>
        <v>FSJ: For order : 
 Oil seal (45*85*12)
2pc .Taper roller bearing(30208)</v>
      </c>
      <c r="L1644" s="72"/>
      <c r="M1644" s="2" t="str">
        <f>IFERROR(__xludf.DUMMYFUNCTION("""COMPUTED_VALUE"""),"Oil seal (45*85*12)
2pc .Taper roller bearing(30208)")</f>
        <v>Oil seal (45*85*12)
2pc .Taper roller bearing(30208)</v>
      </c>
      <c r="N1644" s="2"/>
      <c r="O1644" s="2"/>
      <c r="P1644" s="2"/>
      <c r="Q1644" s="2"/>
      <c r="R1644" s="2"/>
      <c r="S1644" s="2"/>
      <c r="T1644" s="2"/>
      <c r="U1644" s="2"/>
      <c r="V1644" s="2"/>
      <c r="W1644" s="2"/>
      <c r="X1644" s="2"/>
      <c r="Y1644" s="2"/>
      <c r="Z1644" s="2"/>
      <c r="AA1644" s="2"/>
      <c r="AB1644" s="2"/>
      <c r="AC1644" s="2"/>
      <c r="AD1644" s="2"/>
      <c r="AE1644" s="2"/>
      <c r="AF1644" s="2"/>
      <c r="AG1644" s="2"/>
      <c r="AH1644" s="2"/>
      <c r="AI1644" s="2"/>
      <c r="AJ1644" s="2" t="str">
        <f>IFERROR(__xludf.DUMMYFUNCTION("""COMPUTED_VALUE"""),"Padre Inocentes Garcia (Pob.)")</f>
        <v>Padre Inocentes Garcia (Pob.)</v>
      </c>
      <c r="AK1644" s="2" t="str">
        <f>IFERROR(__xludf.DUMMYFUNCTION("""COMPUTED_VALUE"""),"Naval")</f>
        <v>Naval</v>
      </c>
      <c r="AL1644" s="2" t="str">
        <f>IFERROR(__xludf.DUMMYFUNCTION("""COMPUTED_VALUE"""),"Biliran")</f>
        <v>Biliran</v>
      </c>
      <c r="AM1644" s="2">
        <f>IFERROR(__xludf.DUMMYFUNCTION("""COMPUTED_VALUE"""),8.0)</f>
        <v>8</v>
      </c>
      <c r="AN1644" s="2" t="str">
        <f>IFERROR(__xludf.DUMMYFUNCTION("""COMPUTED_VALUE"""),"RCEF 25-03-05")</f>
        <v>RCEF 25-03-05</v>
      </c>
      <c r="AO1644" s="2">
        <f>IFERROR(__xludf.DUMMYFUNCTION("""COMPUTED_VALUE"""),7.0)</f>
        <v>7</v>
      </c>
      <c r="AP1644" s="2" t="str">
        <f>IFERROR(__xludf.DUMMYFUNCTION("""COMPUTED_VALUE"""),"FREE PMS")</f>
        <v>FREE PMS</v>
      </c>
      <c r="AQ1644" s="2"/>
      <c r="AR1644" s="2"/>
      <c r="AS1644" s="2"/>
      <c r="AT1644" s="2"/>
      <c r="AU1644" s="2"/>
      <c r="AV1644" s="2"/>
      <c r="AW1644" s="2"/>
      <c r="AX1644" s="2"/>
      <c r="AY1644" s="2"/>
      <c r="AZ1644" s="2"/>
      <c r="BA1644" s="2"/>
      <c r="BB1644" s="2"/>
    </row>
    <row r="1645">
      <c r="A1645" s="2">
        <f>IFERROR(__xludf.DUMMYFUNCTION("""COMPUTED_VALUE"""),1641.0)</f>
        <v>1641</v>
      </c>
      <c r="B1645" s="2" t="str">
        <f>IFERROR(__xludf.DUMMYFUNCTION("""COMPUTED_VALUE"""),"COMPLETED")</f>
        <v>COMPLETED</v>
      </c>
      <c r="C1645" s="78">
        <f>IFERROR(__xludf.DUMMYFUNCTION("""COMPUTED_VALUE"""),46141.0)</f>
        <v>46141</v>
      </c>
      <c r="D1645" s="71" t="str">
        <f>IFERROR(__xludf.DUMMYFUNCTION("""COMPUTED_VALUE"""),"CATAO PAGBIAGAN ASSOCIATION FOR DEVELOPMENT")</f>
        <v>CATAO PAGBIAGAN ASSOCIATION FOR DEVELOPMENT</v>
      </c>
      <c r="E1645" s="71" t="str">
        <f>IFERROR(__xludf.DUMMYFUNCTION("""COMPUTED_VALUE"""),"Laya East, Tabuk City, KALINGA")</f>
        <v>Laya East, Tabuk City, KALINGA</v>
      </c>
      <c r="F1645" s="2" t="str">
        <f>IFERROR(__xludf.DUMMYFUNCTION("""COMPUTED_VALUE"""),"Robert L. Liab")</f>
        <v>Robert L. Liab</v>
      </c>
      <c r="G1645" s="2">
        <f>IFERROR(__xludf.DUMMYFUNCTION("""COMPUTED_VALUE"""),9.556683409E9)</f>
        <v>9556683409</v>
      </c>
      <c r="H1645" s="2">
        <f>IFERROR(__xludf.DUMMYFUNCTION("""COMPUTED_VALUE"""),434.0)</f>
        <v>434</v>
      </c>
      <c r="I1645" s="72" t="str">
        <f>IFERROR(__xludf.DUMMYFUNCTION("""COMPUTED_VALUE"""),"REPAIR - DISC PLOW")</f>
        <v>REPAIR - DISC PLOW</v>
      </c>
      <c r="J1645" s="72" t="str">
        <f>IFERROR(__xludf.DUMMYFUNCTION("""COMPUTED_VALUE"""),"Gearbox")</f>
        <v>Gearbox</v>
      </c>
      <c r="K1645" s="72" t="str">
        <f>IFERROR(__xludf.DUMMYFUNCTION("""COMPUTED_VALUE"""),"ERP: Disc plow center gearbox problem (will send pics sa fb page) - checking if ma-under warranty, pero nasabi ko na baka di na since gamit na yung unit.
Pacheck na lang @⁨LTC - Mykee⁩ sa page if may message
PARTS:
ROLLER CHAIN #80-76L
ERP: NOT WARRANTA"&amp;"BLE - SENT QUOTATION")</f>
        <v>ERP: Disc plow center gearbox problem (will send pics sa fb page) - checking if ma-under warranty, pero nasabi ko na baka di na since gamit na yung unit.
Pacheck na lang @⁨LTC - Mykee⁩ sa page if may message
PARTS:
ROLLER CHAIN #80-76L
ERP: NOT WARRANTABLE - SENT QUOTATION</v>
      </c>
      <c r="L1645" s="72" t="str">
        <f>IFERROR(__xludf.DUMMYFUNCTION("""COMPUTED_VALUE"""),"QUOTATION SENT- HINDI NADAW SILA BIBILI")</f>
        <v>QUOTATION SENT- HINDI NADAW SILA BIBILI</v>
      </c>
      <c r="M1645" s="2" t="str">
        <f>IFERROR(__xludf.DUMMYFUNCTION("""COMPUTED_VALUE"""),"ROLLER CHAIN #80-76L")</f>
        <v>ROLLER CHAIN #80-76L</v>
      </c>
      <c r="N1645" s="2"/>
      <c r="O1645" s="2" t="str">
        <f>IFERROR(__xludf.DUMMYFUNCTION("""COMPUTED_VALUE"""),"N/A")</f>
        <v>N/A</v>
      </c>
      <c r="P1645" s="2"/>
      <c r="Q1645" s="2"/>
      <c r="R1645" s="74">
        <f>IFERROR(__xludf.DUMMYFUNCTION("""COMPUTED_VALUE"""),46149.0)</f>
        <v>46149</v>
      </c>
      <c r="S1645" s="2" t="str">
        <f>IFERROR(__xludf.DUMMYFUNCTION("""COMPUTED_VALUE"""),"MYKEE")</f>
        <v>MYKEE</v>
      </c>
      <c r="T1645" s="73" t="str">
        <f>IFERROR(__xludf.DUMMYFUNCTION("""COMPUTED_VALUE""")," N/A ")</f>
        <v>N/A</v>
      </c>
      <c r="U1645" s="73" t="str">
        <f>IFERROR(__xludf.DUMMYFUNCTION("""COMPUTED_VALUE""")," NO CHARGE ")</f>
        <v>NO CHARGE</v>
      </c>
      <c r="V1645" s="2" t="str">
        <f>IFERROR(__xludf.DUMMYFUNCTION("""COMPUTED_VALUE"""),"N/A")</f>
        <v>N/A</v>
      </c>
      <c r="W1645" s="2" t="str">
        <f>IFERROR(__xludf.DUMMYFUNCTION("""COMPUTED_VALUE"""),"N/A")</f>
        <v>N/A</v>
      </c>
      <c r="X1645" s="2" t="str">
        <f>IFERROR(__xludf.DUMMYFUNCTION("""COMPUTED_VALUE"""),"N/A")</f>
        <v>N/A</v>
      </c>
      <c r="Y1645" s="2"/>
      <c r="Z1645" s="2"/>
      <c r="AA1645" s="2"/>
      <c r="AB1645" s="2"/>
      <c r="AC1645" s="2"/>
      <c r="AD1645" s="2"/>
      <c r="AE1645" s="2"/>
      <c r="AF1645" s="2"/>
      <c r="AG1645" s="2"/>
      <c r="AH1645" s="2"/>
      <c r="AI1645" s="2"/>
      <c r="AJ1645" s="2" t="str">
        <f>IFERROR(__xludf.DUMMYFUNCTION("""COMPUTED_VALUE"""),"Laya East")</f>
        <v>Laya East</v>
      </c>
      <c r="AK1645" s="2" t="str">
        <f>IFERROR(__xludf.DUMMYFUNCTION("""COMPUTED_VALUE"""),"Tabuk City")</f>
        <v>Tabuk City</v>
      </c>
      <c r="AL1645" s="2" t="str">
        <f>IFERROR(__xludf.DUMMYFUNCTION("""COMPUTED_VALUE"""),"Kalinga")</f>
        <v>Kalinga</v>
      </c>
      <c r="AM1645" s="2" t="str">
        <f>IFERROR(__xludf.DUMMYFUNCTION("""COMPUTED_VALUE"""),"CAR")</f>
        <v>CAR</v>
      </c>
      <c r="AN1645" s="2" t="str">
        <f>IFERROR(__xludf.DUMMYFUNCTION("""COMPUTED_VALUE"""),"RCEF 24-04-15")</f>
        <v>RCEF 24-04-15</v>
      </c>
      <c r="AO1645" s="2">
        <f>IFERROR(__xludf.DUMMYFUNCTION("""COMPUTED_VALUE"""),6.0)</f>
        <v>6</v>
      </c>
      <c r="AP1645" s="2" t="str">
        <f>IFERROR(__xludf.DUMMYFUNCTION("""COMPUTED_VALUE"""),"FREE PMS")</f>
        <v>FREE PMS</v>
      </c>
      <c r="AQ1645" s="2"/>
      <c r="AR1645" s="2"/>
      <c r="AS1645" s="2"/>
      <c r="AT1645" s="2"/>
      <c r="AU1645" s="2"/>
      <c r="AV1645" s="2"/>
      <c r="AW1645" s="2"/>
      <c r="AX1645" s="2"/>
      <c r="AY1645" s="2"/>
      <c r="AZ1645" s="2"/>
      <c r="BA1645" s="2"/>
      <c r="BB1645" s="2"/>
    </row>
    <row r="1646">
      <c r="A1646" s="2">
        <f>IFERROR(__xludf.DUMMYFUNCTION("""COMPUTED_VALUE"""),1642.0)</f>
        <v>1642</v>
      </c>
      <c r="B1646" s="2" t="str">
        <f>IFERROR(__xludf.DUMMYFUNCTION("""COMPUTED_VALUE"""),"PENDING")</f>
        <v>PENDING</v>
      </c>
      <c r="C1646" s="78">
        <f>IFERROR(__xludf.DUMMYFUNCTION("""COMPUTED_VALUE"""),46141.0)</f>
        <v>46141</v>
      </c>
      <c r="D1646" s="71" t="str">
        <f>IFERROR(__xludf.DUMMYFUNCTION("""COMPUTED_VALUE"""),"BUKAL FARMERS ASSOCIATION")</f>
        <v>BUKAL FARMERS ASSOCIATION</v>
      </c>
      <c r="E1646" s="71" t="str">
        <f>IFERROR(__xludf.DUMMYFUNCTION("""COMPUTED_VALUE"""),"Bukal, Tagkawayan, Quezon")</f>
        <v>Bukal, Tagkawayan, Quezon</v>
      </c>
      <c r="F1646" s="2" t="str">
        <f>IFERROR(__xludf.DUMMYFUNCTION("""COMPUTED_VALUE"""),"Sergio Macaraig ")</f>
        <v>Sergio Macaraig </v>
      </c>
      <c r="G1646" s="2">
        <f>IFERROR(__xludf.DUMMYFUNCTION("""COMPUTED_VALUE"""),9.090500561E9)</f>
        <v>9090500561</v>
      </c>
      <c r="H1646" s="2">
        <f>IFERROR(__xludf.DUMMYFUNCTION("""COMPUTED_VALUE"""),620.0)</f>
        <v>620</v>
      </c>
      <c r="I1646" s="72" t="str">
        <f>IFERROR(__xludf.DUMMYFUNCTION("""COMPUTED_VALUE"""),"SPARE PARTS ACQUISITION")</f>
        <v>SPARE PARTS ACQUISITION</v>
      </c>
      <c r="J1646" s="72"/>
      <c r="K1646" s="72" t="str">
        <f>IFERROR(__xludf.DUMMYFUNCTION("""COMPUTED_VALUE"""),"JTT: problem oil seal rear and front 
Order parts: 
TC60110000 OIL SEAL - 2pcs
TA0003423 OIL SEAL REAR AXEL - 2 pcs")</f>
        <v>JTT: problem oil seal rear and front 
Order parts: 
TC60110000 OIL SEAL - 2pcs
TA0003423 OIL SEAL REAR AXEL - 2 pcs</v>
      </c>
      <c r="L1646" s="72"/>
      <c r="M1646" s="2" t="str">
        <f>IFERROR(__xludf.DUMMYFUNCTION("""COMPUTED_VALUE"""),"TC60110000 OIL SEAL - 2pcs
TA0003423 OIL SEAL REAR AXEL - 2 pcs")</f>
        <v>TC60110000 OIL SEAL - 2pcs
TA0003423 OIL SEAL REAR AXEL - 2 pcs</v>
      </c>
      <c r="N1646" s="2"/>
      <c r="O1646" s="2"/>
      <c r="P1646" s="2"/>
      <c r="Q1646" s="2"/>
      <c r="R1646" s="2"/>
      <c r="S1646" s="2"/>
      <c r="T1646" s="2"/>
      <c r="U1646" s="2"/>
      <c r="V1646" s="2"/>
      <c r="W1646" s="2"/>
      <c r="X1646" s="2"/>
      <c r="Y1646" s="2"/>
      <c r="Z1646" s="2"/>
      <c r="AA1646" s="2"/>
      <c r="AB1646" s="2"/>
      <c r="AC1646" s="2"/>
      <c r="AD1646" s="2"/>
      <c r="AE1646" s="2"/>
      <c r="AF1646" s="2"/>
      <c r="AG1646" s="2"/>
      <c r="AH1646" s="2"/>
      <c r="AI1646" s="2"/>
      <c r="AJ1646" s="2" t="str">
        <f>IFERROR(__xludf.DUMMYFUNCTION("""COMPUTED_VALUE"""),"Bukal")</f>
        <v>Bukal</v>
      </c>
      <c r="AK1646" s="2" t="str">
        <f>IFERROR(__xludf.DUMMYFUNCTION("""COMPUTED_VALUE"""),"Tagkawayan")</f>
        <v>Tagkawayan</v>
      </c>
      <c r="AL1646" s="2" t="str">
        <f>IFERROR(__xludf.DUMMYFUNCTION("""COMPUTED_VALUE"""),"Quezon")</f>
        <v>Quezon</v>
      </c>
      <c r="AM1646" s="2" t="str">
        <f>IFERROR(__xludf.DUMMYFUNCTION("""COMPUTED_VALUE"""),"4A")</f>
        <v>4A</v>
      </c>
      <c r="AN1646" s="2" t="str">
        <f>IFERROR(__xludf.DUMMYFUNCTION("""COMPUTED_VALUE"""),"RCEF 23-08-20 Rebidding")</f>
        <v>RCEF 23-08-20 Rebidding</v>
      </c>
      <c r="AO1646" s="2">
        <f>IFERROR(__xludf.DUMMYFUNCTION("""COMPUTED_VALUE"""),1.0)</f>
        <v>1</v>
      </c>
      <c r="AP1646" s="2"/>
      <c r="AQ1646" s="2"/>
      <c r="AR1646" s="2"/>
      <c r="AS1646" s="2"/>
      <c r="AT1646" s="2"/>
      <c r="AU1646" s="2"/>
      <c r="AV1646" s="2"/>
      <c r="AW1646" s="2"/>
      <c r="AX1646" s="2"/>
      <c r="AY1646" s="2"/>
      <c r="AZ1646" s="2"/>
      <c r="BA1646" s="2"/>
      <c r="BB1646" s="2"/>
    </row>
    <row r="1647">
      <c r="A1647" s="2">
        <f>IFERROR(__xludf.DUMMYFUNCTION("""COMPUTED_VALUE"""),1643.0)</f>
        <v>1643</v>
      </c>
      <c r="B1647" s="2" t="str">
        <f>IFERROR(__xludf.DUMMYFUNCTION("""COMPUTED_VALUE"""),"PENDING")</f>
        <v>PENDING</v>
      </c>
      <c r="C1647" s="78">
        <f>IFERROR(__xludf.DUMMYFUNCTION("""COMPUTED_VALUE"""),46141.0)</f>
        <v>46141</v>
      </c>
      <c r="D1647" s="71" t="str">
        <f>IFERROR(__xludf.DUMMYFUNCTION("""COMPUTED_VALUE"""),"AGOS NG PAG-ASA KATAKIAN IRRIGATORS' ASSOCIATION INCORPORATED")</f>
        <v>AGOS NG PAG-ASA KATAKIAN IRRIGATORS' ASSOCIATION INCORPORATED</v>
      </c>
      <c r="E1647" s="71" t="str">
        <f>IFERROR(__xludf.DUMMYFUNCTION("""COMPUTED_VALUE"""),"Landing, Tagkawayan, Quezon")</f>
        <v>Landing, Tagkawayan, Quezon</v>
      </c>
      <c r="F1647" s="2" t="str">
        <f>IFERROR(__xludf.DUMMYFUNCTION("""COMPUTED_VALUE"""),"Leonora Mangubat")</f>
        <v>Leonora Mangubat</v>
      </c>
      <c r="G1647" s="2">
        <f>IFERROR(__xludf.DUMMYFUNCTION("""COMPUTED_VALUE"""),9.983336165E9)</f>
        <v>9983336165</v>
      </c>
      <c r="H1647" s="2">
        <f>IFERROR(__xludf.DUMMYFUNCTION("""COMPUTED_VALUE"""),800.0)</f>
        <v>800</v>
      </c>
      <c r="I1647" s="72" t="str">
        <f>IFERROR(__xludf.DUMMYFUNCTION("""COMPUTED_VALUE"""),"SPARE PARTS ACQUISITION")</f>
        <v>SPARE PARTS ACQUISITION</v>
      </c>
      <c r="J1647" s="72"/>
      <c r="K1647" s="72" t="str">
        <f>IFERROR(__xludf.DUMMYFUNCTION("""COMPUTED_VALUE"""),"JTT: Problem oil seal
TA00041359 oil seal 2 PCs
TA0003423 seal oil 2 pcs")</f>
        <v>JTT: Problem oil seal
TA00041359 oil seal 2 PCs
TA0003423 seal oil 2 pcs</v>
      </c>
      <c r="L1647" s="72"/>
      <c r="M1647" s="2" t="str">
        <f>IFERROR(__xludf.DUMMYFUNCTION("""COMPUTED_VALUE"""),"TA00041359 oil seal 2pcs
TA0003423 oil seal 2pcs")</f>
        <v>TA00041359 oil seal 2pcs
TA0003423 oil seal 2pcs</v>
      </c>
      <c r="N1647" s="2"/>
      <c r="O1647" s="2"/>
      <c r="P1647" s="2"/>
      <c r="Q1647" s="2"/>
      <c r="R1647" s="2"/>
      <c r="S1647" s="2"/>
      <c r="T1647" s="2"/>
      <c r="U1647" s="2"/>
      <c r="V1647" s="2"/>
      <c r="W1647" s="2"/>
      <c r="X1647" s="2"/>
      <c r="Y1647" s="2"/>
      <c r="Z1647" s="2"/>
      <c r="AA1647" s="2"/>
      <c r="AB1647" s="2"/>
      <c r="AC1647" s="2"/>
      <c r="AD1647" s="2"/>
      <c r="AE1647" s="2"/>
      <c r="AF1647" s="2"/>
      <c r="AG1647" s="2"/>
      <c r="AH1647" s="2"/>
      <c r="AI1647" s="2"/>
      <c r="AJ1647" s="2" t="str">
        <f>IFERROR(__xludf.DUMMYFUNCTION("""COMPUTED_VALUE"""),"Landing")</f>
        <v>Landing</v>
      </c>
      <c r="AK1647" s="2" t="str">
        <f>IFERROR(__xludf.DUMMYFUNCTION("""COMPUTED_VALUE"""),"Tagkawayan")</f>
        <v>Tagkawayan</v>
      </c>
      <c r="AL1647" s="2" t="str">
        <f>IFERROR(__xludf.DUMMYFUNCTION("""COMPUTED_VALUE"""),"Quezon")</f>
        <v>Quezon</v>
      </c>
      <c r="AM1647" s="2" t="str">
        <f>IFERROR(__xludf.DUMMYFUNCTION("""COMPUTED_VALUE"""),"4A")</f>
        <v>4A</v>
      </c>
      <c r="AN1647" s="2" t="str">
        <f>IFERROR(__xludf.DUMMYFUNCTION("""COMPUTED_VALUE"""),"RCEF 23-08-20 Rebidding")</f>
        <v>RCEF 23-08-20 Rebidding</v>
      </c>
      <c r="AO1647" s="2">
        <f>IFERROR(__xludf.DUMMYFUNCTION("""COMPUTED_VALUE"""),1.0)</f>
        <v>1</v>
      </c>
      <c r="AP1647" s="2"/>
      <c r="AQ1647" s="2"/>
      <c r="AR1647" s="2"/>
      <c r="AS1647" s="2"/>
      <c r="AT1647" s="2"/>
      <c r="AU1647" s="2"/>
      <c r="AV1647" s="2"/>
      <c r="AW1647" s="2"/>
      <c r="AX1647" s="2"/>
      <c r="AY1647" s="2"/>
      <c r="AZ1647" s="2"/>
      <c r="BA1647" s="2"/>
      <c r="BB1647" s="2"/>
    </row>
    <row r="1648">
      <c r="A1648" s="2">
        <f>IFERROR(__xludf.DUMMYFUNCTION("""COMPUTED_VALUE"""),1644.0)</f>
        <v>1644</v>
      </c>
      <c r="B1648" s="2" t="str">
        <f>IFERROR(__xludf.DUMMYFUNCTION("""COMPUTED_VALUE"""),"PENDING")</f>
        <v>PENDING</v>
      </c>
      <c r="C1648" s="78">
        <f>IFERROR(__xludf.DUMMYFUNCTION("""COMPUTED_VALUE"""),46141.0)</f>
        <v>46141</v>
      </c>
      <c r="D1648" s="71" t="str">
        <f>IFERROR(__xludf.DUMMYFUNCTION("""COMPUTED_VALUE"""),"BARANGAY PAYAPA FARMERS ASSOCIATION")</f>
        <v>BARANGAY PAYAPA FARMERS ASSOCIATION</v>
      </c>
      <c r="E1648" s="71" t="str">
        <f>IFERROR(__xludf.DUMMYFUNCTION("""COMPUTED_VALUE"""),"Payapa, Tagkawayan, Quezon")</f>
        <v>Payapa, Tagkawayan, Quezon</v>
      </c>
      <c r="F1648" s="2" t="str">
        <f>IFERROR(__xludf.DUMMYFUNCTION("""COMPUTED_VALUE"""),"Ferdinand Aguda")</f>
        <v>Ferdinand Aguda</v>
      </c>
      <c r="G1648" s="2">
        <f>IFERROR(__xludf.DUMMYFUNCTION("""COMPUTED_VALUE"""),9.518642466E9)</f>
        <v>9518642466</v>
      </c>
      <c r="H1648" s="2">
        <f>IFERROR(__xludf.DUMMYFUNCTION("""COMPUTED_VALUE"""),850.0)</f>
        <v>850</v>
      </c>
      <c r="I1648" s="72" t="str">
        <f>IFERROR(__xludf.DUMMYFUNCTION("""COMPUTED_VALUE"""),"SPARE PARTS ACQUISITION")</f>
        <v>SPARE PARTS ACQUISITION</v>
      </c>
      <c r="J1648" s="72"/>
      <c r="K1648" s="72" t="str">
        <f>IFERROR(__xludf.DUMMYFUNCTION("""COMPUTED_VALUE"""),"JTT: Problem oil seal 
TA00041359 oil seal 2pcs
TA0003423 oil seal 2pcs")</f>
        <v>JTT: Problem oil seal 
TA00041359 oil seal 2pcs
TA0003423 oil seal 2pcs</v>
      </c>
      <c r="L1648" s="72"/>
      <c r="M1648" s="2" t="str">
        <f>IFERROR(__xludf.DUMMYFUNCTION("""COMPUTED_VALUE"""),"TA00041359 oil seal 2pcs
TA0003423 oil seal 2pcs")</f>
        <v>TA00041359 oil seal 2pcs
TA0003423 oil seal 2pcs</v>
      </c>
      <c r="N1648" s="2"/>
      <c r="O1648" s="2"/>
      <c r="P1648" s="2"/>
      <c r="Q1648" s="2"/>
      <c r="R1648" s="2"/>
      <c r="S1648" s="2"/>
      <c r="T1648" s="2"/>
      <c r="U1648" s="2"/>
      <c r="V1648" s="2"/>
      <c r="W1648" s="2"/>
      <c r="X1648" s="2"/>
      <c r="Y1648" s="2"/>
      <c r="Z1648" s="2"/>
      <c r="AA1648" s="2"/>
      <c r="AB1648" s="2"/>
      <c r="AC1648" s="2"/>
      <c r="AD1648" s="2"/>
      <c r="AE1648" s="2"/>
      <c r="AF1648" s="2"/>
      <c r="AG1648" s="2"/>
      <c r="AH1648" s="2"/>
      <c r="AI1648" s="2"/>
      <c r="AJ1648" s="2" t="str">
        <f>IFERROR(__xludf.DUMMYFUNCTION("""COMPUTED_VALUE"""),"Payapa")</f>
        <v>Payapa</v>
      </c>
      <c r="AK1648" s="2" t="str">
        <f>IFERROR(__xludf.DUMMYFUNCTION("""COMPUTED_VALUE"""),"Tagkawayan")</f>
        <v>Tagkawayan</v>
      </c>
      <c r="AL1648" s="2" t="str">
        <f>IFERROR(__xludf.DUMMYFUNCTION("""COMPUTED_VALUE"""),"Quezon")</f>
        <v>Quezon</v>
      </c>
      <c r="AM1648" s="2" t="str">
        <f>IFERROR(__xludf.DUMMYFUNCTION("""COMPUTED_VALUE"""),"4A")</f>
        <v>4A</v>
      </c>
      <c r="AN1648" s="2" t="str">
        <f>IFERROR(__xludf.DUMMYFUNCTION("""COMPUTED_VALUE"""),"RCEF 23-08-20 Rebidding")</f>
        <v>RCEF 23-08-20 Rebidding</v>
      </c>
      <c r="AO1648" s="2">
        <f>IFERROR(__xludf.DUMMYFUNCTION("""COMPUTED_VALUE"""),1.0)</f>
        <v>1</v>
      </c>
      <c r="AP1648" s="2"/>
      <c r="AQ1648" s="2"/>
      <c r="AR1648" s="2"/>
      <c r="AS1648" s="2"/>
      <c r="AT1648" s="2"/>
      <c r="AU1648" s="2"/>
      <c r="AV1648" s="2"/>
      <c r="AW1648" s="2"/>
      <c r="AX1648" s="2"/>
      <c r="AY1648" s="2"/>
      <c r="AZ1648" s="2"/>
      <c r="BA1648" s="2"/>
      <c r="BB1648" s="2"/>
    </row>
    <row r="1649">
      <c r="A1649" s="2">
        <f>IFERROR(__xludf.DUMMYFUNCTION("""COMPUTED_VALUE"""),1645.0)</f>
        <v>1645</v>
      </c>
      <c r="B1649" s="2" t="str">
        <f>IFERROR(__xludf.DUMMYFUNCTION("""COMPUTED_VALUE"""),"PENDING")</f>
        <v>PENDING</v>
      </c>
      <c r="C1649" s="78">
        <f>IFERROR(__xludf.DUMMYFUNCTION("""COMPUTED_VALUE"""),46141.0)</f>
        <v>46141</v>
      </c>
      <c r="D1649" s="71" t="str">
        <f>IFERROR(__xludf.DUMMYFUNCTION("""COMPUTED_VALUE"""),"Pacol Himaya Irrigators' Association, Inc.")</f>
        <v>Pacol Himaya Irrigators' Association, Inc.</v>
      </c>
      <c r="E1649" s="71" t="str">
        <f>IFERROR(__xludf.DUMMYFUNCTION("""COMPUTED_VALUE"""),"Alijis, Valladolid, NEGROS OCCIDENTAL")</f>
        <v>Alijis, Valladolid, NEGROS OCCIDENTAL</v>
      </c>
      <c r="F1649" s="2" t="str">
        <f>IFERROR(__xludf.DUMMYFUNCTION("""COMPUTED_VALUE"""),"Joey Belarmino")</f>
        <v>Joey Belarmino</v>
      </c>
      <c r="G1649" s="2">
        <f>IFERROR(__xludf.DUMMYFUNCTION("""COMPUTED_VALUE"""),9.921536024E9)</f>
        <v>9921536024</v>
      </c>
      <c r="H1649" s="2">
        <f>IFERROR(__xludf.DUMMYFUNCTION("""COMPUTED_VALUE"""),168.0)</f>
        <v>168</v>
      </c>
      <c r="I1649" s="72" t="str">
        <f>IFERROR(__xludf.DUMMYFUNCTION("""COMPUTED_VALUE"""),"REPAIR - DISC PLOW")</f>
        <v>REPAIR - DISC PLOW</v>
      </c>
      <c r="J1649" s="72" t="str">
        <f>IFERROR(__xludf.DUMMYFUNCTION("""COMPUTED_VALUE"""),"Gearbox")</f>
        <v>Gearbox</v>
      </c>
      <c r="K1649" s="72" t="str">
        <f>IFERROR(__xludf.DUMMYFUNCTION("""COMPUTED_VALUE"""),"MYK: NASIRA ANG PINAGKAKABITAN NG DISC NG DISCPLOW (w/ pictures)")</f>
        <v>MYK: NASIRA ANG PINAGKAKABITAN NG DISC NG DISCPLOW (w/ pictures)</v>
      </c>
      <c r="L1649" s="72"/>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c r="AJ1649" s="2" t="str">
        <f>IFERROR(__xludf.DUMMYFUNCTION("""COMPUTED_VALUE"""),"Alijis")</f>
        <v>Alijis</v>
      </c>
      <c r="AK1649" s="2" t="str">
        <f>IFERROR(__xludf.DUMMYFUNCTION("""COMPUTED_VALUE"""),"Valladolid")</f>
        <v>Valladolid</v>
      </c>
      <c r="AL1649" s="2" t="str">
        <f>IFERROR(__xludf.DUMMYFUNCTION("""COMPUTED_VALUE"""),"Negros Occidental")</f>
        <v>Negros Occidental</v>
      </c>
      <c r="AM1649" s="2">
        <f>IFERROR(__xludf.DUMMYFUNCTION("""COMPUTED_VALUE"""),6.0)</f>
        <v>6</v>
      </c>
      <c r="AN1649" s="2" t="str">
        <f>IFERROR(__xludf.DUMMYFUNCTION("""COMPUTED_VALUE"""),"RCEF 25-03-05")</f>
        <v>RCEF 25-03-05</v>
      </c>
      <c r="AO1649" s="2">
        <f>IFERROR(__xludf.DUMMYFUNCTION("""COMPUTED_VALUE"""),7.0)</f>
        <v>7</v>
      </c>
      <c r="AP1649" s="2" t="str">
        <f>IFERROR(__xludf.DUMMYFUNCTION("""COMPUTED_VALUE"""),"FREE PMS")</f>
        <v>FREE PMS</v>
      </c>
      <c r="AQ1649" s="2"/>
      <c r="AR1649" s="2"/>
      <c r="AS1649" s="2"/>
      <c r="AT1649" s="2"/>
      <c r="AU1649" s="2"/>
      <c r="AV1649" s="2"/>
      <c r="AW1649" s="2"/>
      <c r="AX1649" s="2"/>
      <c r="AY1649" s="2"/>
      <c r="AZ1649" s="2"/>
      <c r="BA1649" s="2"/>
      <c r="BB1649" s="2"/>
    </row>
    <row r="1650">
      <c r="A1650" s="2">
        <f>IFERROR(__xludf.DUMMYFUNCTION("""COMPUTED_VALUE"""),1646.0)</f>
        <v>1646</v>
      </c>
      <c r="B1650" s="2" t="str">
        <f>IFERROR(__xludf.DUMMYFUNCTION("""COMPUTED_VALUE"""),"PENDING")</f>
        <v>PENDING</v>
      </c>
      <c r="C1650" s="78">
        <f>IFERROR(__xludf.DUMMYFUNCTION("""COMPUTED_VALUE"""),46141.0)</f>
        <v>46141</v>
      </c>
      <c r="D1650" s="71" t="str">
        <f>IFERROR(__xludf.DUMMYFUNCTION("""COMPUTED_VALUE"""),"BARIT FARMERS IRRIGATORS ASSOCIATION OF CANDABA INC.")</f>
        <v>BARIT FARMERS IRRIGATORS ASSOCIATION OF CANDABA INC.</v>
      </c>
      <c r="E1650" s="71" t="str">
        <f>IFERROR(__xludf.DUMMYFUNCTION("""COMPUTED_VALUE"""),"Barit, Candaba, PAMPANGA")</f>
        <v>Barit, Candaba, PAMPANGA</v>
      </c>
      <c r="F1650" s="2" t="str">
        <f>IFERROR(__xludf.DUMMYFUNCTION("""COMPUTED_VALUE"""),"GILBERT MANGALOS")</f>
        <v>GILBERT MANGALOS</v>
      </c>
      <c r="G1650" s="2">
        <f>IFERROR(__xludf.DUMMYFUNCTION("""COMPUTED_VALUE"""),9.158936843E9)</f>
        <v>9158936843</v>
      </c>
      <c r="H1650" s="2">
        <f>IFERROR(__xludf.DUMMYFUNCTION("""COMPUTED_VALUE"""),100.0)</f>
        <v>100</v>
      </c>
      <c r="I1650" s="72" t="str">
        <f>IFERROR(__xludf.DUMMYFUNCTION("""COMPUTED_VALUE"""),"REPAIR - TRACTOR")</f>
        <v>REPAIR - TRACTOR</v>
      </c>
      <c r="J1650" s="72" t="str">
        <f>IFERROR(__xludf.DUMMYFUNCTION("""COMPUTED_VALUE"""),"Cable Lock")</f>
        <v>Cable Lock</v>
      </c>
      <c r="K1650" s="72" t="str">
        <f>IFERROR(__xludf.DUMMYFUNCTION("""COMPUTED_VALUE"""),"MYK: JOYSTICK PROBLEM, AYAW MAG BABA TAAS")</f>
        <v>MYK: JOYSTICK PROBLEM, AYAW MAG BABA TAAS</v>
      </c>
      <c r="L1650" s="72"/>
      <c r="M1650" s="2" t="str">
        <f>IFERROR(__xludf.DUMMYFUNCTION("""COMPUTED_VALUE"""),"CABLE LOCK (ASSUMED)")</f>
        <v>CABLE LOCK (ASSUMED)</v>
      </c>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t="str">
        <f>IFERROR(__xludf.DUMMYFUNCTION("""COMPUTED_VALUE"""),"Barit")</f>
        <v>Barit</v>
      </c>
      <c r="AK1650" s="2" t="str">
        <f>IFERROR(__xludf.DUMMYFUNCTION("""COMPUTED_VALUE"""),"Candaba")</f>
        <v>Candaba</v>
      </c>
      <c r="AL1650" s="2" t="str">
        <f>IFERROR(__xludf.DUMMYFUNCTION("""COMPUTED_VALUE"""),"Pampanga")</f>
        <v>Pampanga</v>
      </c>
      <c r="AM1650" s="2">
        <f>IFERROR(__xludf.DUMMYFUNCTION("""COMPUTED_VALUE"""),3.0)</f>
        <v>3</v>
      </c>
      <c r="AN1650" s="2" t="str">
        <f>IFERROR(__xludf.DUMMYFUNCTION("""COMPUTED_VALUE"""),"RCEF 25-03-05")</f>
        <v>RCEF 25-03-05</v>
      </c>
      <c r="AO1650" s="2">
        <f>IFERROR(__xludf.DUMMYFUNCTION("""COMPUTED_VALUE"""),5.0)</f>
        <v>5</v>
      </c>
      <c r="AP1650" s="2" t="str">
        <f>IFERROR(__xludf.DUMMYFUNCTION("""COMPUTED_VALUE"""),"FREE PMS")</f>
        <v>FREE PMS</v>
      </c>
      <c r="AQ1650" s="2"/>
      <c r="AR1650" s="2"/>
      <c r="AS1650" s="2"/>
      <c r="AT1650" s="2"/>
      <c r="AU1650" s="2"/>
      <c r="AV1650" s="2"/>
      <c r="AW1650" s="2"/>
      <c r="AX1650" s="2"/>
      <c r="AY1650" s="2"/>
      <c r="AZ1650" s="2"/>
      <c r="BA1650" s="2"/>
      <c r="BB1650" s="2"/>
    </row>
    <row r="1651">
      <c r="A1651" s="2">
        <f>IFERROR(__xludf.DUMMYFUNCTION("""COMPUTED_VALUE"""),1647.0)</f>
        <v>1647</v>
      </c>
      <c r="B1651" s="2" t="str">
        <f>IFERROR(__xludf.DUMMYFUNCTION("""COMPUTED_VALUE"""),"COMPLETED")</f>
        <v>COMPLETED</v>
      </c>
      <c r="C1651" s="74">
        <f>IFERROR(__xludf.DUMMYFUNCTION("""COMPUTED_VALUE"""),46141.0)</f>
        <v>46141</v>
      </c>
      <c r="D1651" s="71" t="str">
        <f>IFERROR(__xludf.DUMMYFUNCTION("""COMPUTED_VALUE"""),"VILLAGUNDA IRRIGATORS ASSOCIATION INC.")</f>
        <v>VILLAGUNDA IRRIGATORS ASSOCIATION INC.</v>
      </c>
      <c r="E1651" s="71" t="str">
        <f>IFERROR(__xludf.DUMMYFUNCTION("""COMPUTED_VALUE"""),"Gundaway (Pob.), Cabarroguis, QUIRINO")</f>
        <v>Gundaway (Pob.), Cabarroguis, QUIRINO</v>
      </c>
      <c r="F1651" s="2"/>
      <c r="G1651" s="2"/>
      <c r="H1651" s="2"/>
      <c r="I1651" s="72" t="str">
        <f>IFERROR(__xludf.DUMMYFUNCTION("""COMPUTED_VALUE"""),"SPARE PARTS ACQUISITION")</f>
        <v>SPARE PARTS ACQUISITION</v>
      </c>
      <c r="J1651" s="72"/>
      <c r="K1651" s="72" t="str">
        <f>IFERROR(__xludf.DUMMYFUNCTION("""COMPUTED_VALUE"""),"CFG: ORDER PARTS:
BEVEL GEAR 24T
TAPER ROLLER BEARING 32211")</f>
        <v>CFG: ORDER PARTS:
BEVEL GEAR 24T
TAPER ROLLER BEARING 32211</v>
      </c>
      <c r="L1651" s="72"/>
      <c r="M1651" s="2"/>
      <c r="N1651" s="2" t="str">
        <f>IFERROR(__xludf.DUMMYFUNCTION("""COMPUTED_VALUE"""),"PARTS:
BEVEL GEAR 24T
TAPER ROLLER BEARING 32211")</f>
        <v>PARTS:
BEVEL GEAR 24T
TAPER ROLLER BEARING 32211</v>
      </c>
      <c r="O1651" s="2"/>
      <c r="P1651" s="2"/>
      <c r="Q1651" s="2"/>
      <c r="R1651" s="74">
        <f>IFERROR(__xludf.DUMMYFUNCTION("""COMPUTED_VALUE"""),46141.0)</f>
        <v>46141</v>
      </c>
      <c r="S1651" s="2" t="str">
        <f>IFERROR(__xludf.DUMMYFUNCTION("""COMPUTED_VALUE"""),"CFG")</f>
        <v>CFG</v>
      </c>
      <c r="T1651" s="73">
        <f>IFERROR(__xludf.DUMMYFUNCTION("""COMPUTED_VALUE"""),21810.0)</f>
        <v>21810</v>
      </c>
      <c r="U1651" s="73" t="str">
        <f>IFERROR(__xludf.DUMMYFUNCTION("""COMPUTED_VALUE""")," REMITTED ")</f>
        <v>REMITTED</v>
      </c>
      <c r="V1651" s="2">
        <f>IFERROR(__xludf.DUMMYFUNCTION("""COMPUTED_VALUE"""),1659.0)</f>
        <v>1659</v>
      </c>
      <c r="W1651" s="2">
        <f>IFERROR(__xludf.DUMMYFUNCTION("""COMPUTED_VALUE"""),1775.0)</f>
        <v>1775</v>
      </c>
      <c r="X1651" s="2">
        <f>IFERROR(__xludf.DUMMYFUNCTION("""COMPUTED_VALUE"""),1786.0)</f>
        <v>1786</v>
      </c>
      <c r="Y1651" s="2"/>
      <c r="Z1651" s="2"/>
      <c r="AA1651" s="2"/>
      <c r="AB1651" s="2"/>
      <c r="AC1651" s="2"/>
      <c r="AD1651" s="2"/>
      <c r="AE1651" s="2"/>
      <c r="AF1651" s="2"/>
      <c r="AG1651" s="2"/>
      <c r="AH1651" s="2"/>
      <c r="AI1651" s="2"/>
      <c r="AJ1651" s="2" t="str">
        <f>IFERROR(__xludf.DUMMYFUNCTION("""COMPUTED_VALUE"""),"Gundaway (Pob.)")</f>
        <v>Gundaway (Pob.)</v>
      </c>
      <c r="AK1651" s="2" t="str">
        <f>IFERROR(__xludf.DUMMYFUNCTION("""COMPUTED_VALUE"""),"Cabarroguis")</f>
        <v>Cabarroguis</v>
      </c>
      <c r="AL1651" s="2" t="str">
        <f>IFERROR(__xludf.DUMMYFUNCTION("""COMPUTED_VALUE"""),"Quirino")</f>
        <v>Quirino</v>
      </c>
      <c r="AM1651" s="2">
        <f>IFERROR(__xludf.DUMMYFUNCTION("""COMPUTED_VALUE"""),2.0)</f>
        <v>2</v>
      </c>
      <c r="AN1651" s="2" t="str">
        <f>IFERROR(__xludf.DUMMYFUNCTION("""COMPUTED_VALUE"""),"RCEF 23-09-21 Rebidding")</f>
        <v>RCEF 23-09-21 Rebidding</v>
      </c>
      <c r="AO1651" s="2">
        <f>IFERROR(__xludf.DUMMYFUNCTION("""COMPUTED_VALUE"""),9.0)</f>
        <v>9</v>
      </c>
      <c r="AP1651" s="2"/>
      <c r="AQ1651" s="2"/>
      <c r="AR1651" s="2"/>
      <c r="AS1651" s="2"/>
      <c r="AT1651" s="2"/>
      <c r="AU1651" s="2"/>
      <c r="AV1651" s="2"/>
      <c r="AW1651" s="2"/>
      <c r="AX1651" s="2"/>
      <c r="AY1651" s="2"/>
      <c r="AZ1651" s="2"/>
      <c r="BA1651" s="2"/>
      <c r="BB1651" s="2"/>
    </row>
    <row r="1652">
      <c r="A1652" s="2">
        <f>IFERROR(__xludf.DUMMYFUNCTION("""COMPUTED_VALUE"""),1648.0)</f>
        <v>1648</v>
      </c>
      <c r="B1652" s="2" t="str">
        <f>IFERROR(__xludf.DUMMYFUNCTION("""COMPUTED_VALUE"""),"PENDING")</f>
        <v>PENDING</v>
      </c>
      <c r="C1652" s="78">
        <f>IFERROR(__xludf.DUMMYFUNCTION("""COMPUTED_VALUE"""),46142.0)</f>
        <v>46142</v>
      </c>
      <c r="D1652" s="71" t="str">
        <f>IFERROR(__xludf.DUMMYFUNCTION("""COMPUTED_VALUE"""),"Municipal Local Government Unit of Labo")</f>
        <v>Municipal Local Government Unit of Labo</v>
      </c>
      <c r="E1652" s="71" t="str">
        <f>IFERROR(__xludf.DUMMYFUNCTION("""COMPUTED_VALUE"""),"Gumamela (Pob.), Labo, CAMARINES NORTE")</f>
        <v>Gumamela (Pob.), Labo, CAMARINES NORTE</v>
      </c>
      <c r="F1652" s="2" t="str">
        <f>IFERROR(__xludf.DUMMYFUNCTION("""COMPUTED_VALUE"""),"Reymar T. Villagen")</f>
        <v>Reymar T. Villagen</v>
      </c>
      <c r="G1652" s="2">
        <f>IFERROR(__xludf.DUMMYFUNCTION("""COMPUTED_VALUE"""),9.772303294E9)</f>
        <v>9772303294</v>
      </c>
      <c r="H1652" s="2">
        <f>IFERROR(__xludf.DUMMYFUNCTION("""COMPUTED_VALUE"""),48.0)</f>
        <v>48</v>
      </c>
      <c r="I1652" s="72" t="str">
        <f>IFERROR(__xludf.DUMMYFUNCTION("""COMPUTED_VALUE"""),"PMS")</f>
        <v>PMS</v>
      </c>
      <c r="J1652" s="72"/>
      <c r="K1652" s="72" t="str">
        <f>IFERROR(__xludf.DUMMYFUNCTION("""COMPUTED_VALUE"""),"JVV: REQUEST 1ST PMS FREE")</f>
        <v>JVV: REQUEST 1ST PMS FREE</v>
      </c>
      <c r="L1652" s="72"/>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c r="AJ1652" s="2" t="str">
        <f>IFERROR(__xludf.DUMMYFUNCTION("""COMPUTED_VALUE"""),"Gumamela (Pob.)")</f>
        <v>Gumamela (Pob.)</v>
      </c>
      <c r="AK1652" s="2" t="str">
        <f>IFERROR(__xludf.DUMMYFUNCTION("""COMPUTED_VALUE"""),"Labo")</f>
        <v>Labo</v>
      </c>
      <c r="AL1652" s="2" t="str">
        <f>IFERROR(__xludf.DUMMYFUNCTION("""COMPUTED_VALUE"""),"Camarines Norte")</f>
        <v>Camarines Norte</v>
      </c>
      <c r="AM1652" s="2">
        <f>IFERROR(__xludf.DUMMYFUNCTION("""COMPUTED_VALUE"""),5.0)</f>
        <v>5</v>
      </c>
      <c r="AN1652" s="2" t="str">
        <f>IFERROR(__xludf.DUMMYFUNCTION("""COMPUTED_VALUE"""),"RCEF 25-03-05")</f>
        <v>RCEF 25-03-05</v>
      </c>
      <c r="AO1652" s="2">
        <f>IFERROR(__xludf.DUMMYFUNCTION("""COMPUTED_VALUE"""),6.0)</f>
        <v>6</v>
      </c>
      <c r="AP1652" s="2" t="str">
        <f>IFERROR(__xludf.DUMMYFUNCTION("""COMPUTED_VALUE"""),"FREE PMS")</f>
        <v>FREE PMS</v>
      </c>
      <c r="AQ1652" s="2"/>
      <c r="AR1652" s="2"/>
      <c r="AS1652" s="2"/>
      <c r="AT1652" s="2"/>
      <c r="AU1652" s="2"/>
      <c r="AV1652" s="2"/>
      <c r="AW1652" s="2"/>
      <c r="AX1652" s="2"/>
      <c r="AY1652" s="2"/>
      <c r="AZ1652" s="2"/>
      <c r="BA1652" s="2"/>
      <c r="BB1652" s="2"/>
    </row>
    <row r="1653">
      <c r="A1653" s="2">
        <f>IFERROR(__xludf.DUMMYFUNCTION("""COMPUTED_VALUE"""),1649.0)</f>
        <v>1649</v>
      </c>
      <c r="B1653" s="2" t="str">
        <f>IFERROR(__xludf.DUMMYFUNCTION("""COMPUTED_VALUE"""),"PENDING")</f>
        <v>PENDING</v>
      </c>
      <c r="C1653" s="78">
        <f>IFERROR(__xludf.DUMMYFUNCTION("""COMPUTED_VALUE"""),46143.0)</f>
        <v>46143</v>
      </c>
      <c r="D1653" s="71" t="str">
        <f>IFERROR(__xludf.DUMMYFUNCTION("""COMPUTED_VALUE"""),"ABE-ABE ORTELANU BARANGAY TINAJERO ASSOCIATION INC.")</f>
        <v>ABE-ABE ORTELANU BARANGAY TINAJERO ASSOCIATION INC.</v>
      </c>
      <c r="E1653" s="71" t="str">
        <f>IFERROR(__xludf.DUMMYFUNCTION("""COMPUTED_VALUE"""),"Tinajero, Bacolor, PAMPANGA")</f>
        <v>Tinajero, Bacolor, PAMPANGA</v>
      </c>
      <c r="F1653" s="2" t="str">
        <f>IFERROR(__xludf.DUMMYFUNCTION("""COMPUTED_VALUE"""),"RUBILYN P. ALFONSO")</f>
        <v>RUBILYN P. ALFONSO</v>
      </c>
      <c r="G1653" s="2">
        <f>IFERROR(__xludf.DUMMYFUNCTION("""COMPUTED_VALUE"""),9.516414583E9)</f>
        <v>9516414583</v>
      </c>
      <c r="H1653" s="2"/>
      <c r="I1653" s="72" t="str">
        <f>IFERROR(__xludf.DUMMYFUNCTION("""COMPUTED_VALUE"""),"SPARE PARTS ACQUISITION")</f>
        <v>SPARE PARTS ACQUISITION</v>
      </c>
      <c r="J1653" s="72"/>
      <c r="K1653" s="72" t="str">
        <f>IFERROR(__xludf.DUMMYFUNCTION("""COMPUTED_VALUE"""),"JDP: PARTS NEED: RADIATOR FAN")</f>
        <v>JDP: PARTS NEED: RADIATOR FAN</v>
      </c>
      <c r="L1653" s="72"/>
      <c r="M1653" s="2" t="str">
        <f>IFERROR(__xludf.DUMMYFUNCTION("""COMPUTED_VALUE"""),"FAN (415)")</f>
        <v>FAN (415)</v>
      </c>
      <c r="N1653" s="2"/>
      <c r="O1653" s="2"/>
      <c r="P1653" s="2"/>
      <c r="Q1653" s="2"/>
      <c r="R1653" s="2"/>
      <c r="S1653" s="2"/>
      <c r="T1653" s="2"/>
      <c r="U1653" s="2"/>
      <c r="V1653" s="2"/>
      <c r="W1653" s="2"/>
      <c r="X1653" s="2"/>
      <c r="Y1653" s="2"/>
      <c r="Z1653" s="2"/>
      <c r="AA1653" s="2"/>
      <c r="AB1653" s="2"/>
      <c r="AC1653" s="2"/>
      <c r="AD1653" s="2"/>
      <c r="AE1653" s="2"/>
      <c r="AF1653" s="2"/>
      <c r="AG1653" s="2"/>
      <c r="AH1653" s="2"/>
      <c r="AI1653" s="2"/>
      <c r="AJ1653" s="2" t="str">
        <f>IFERROR(__xludf.DUMMYFUNCTION("""COMPUTED_VALUE"""),"Tinajero")</f>
        <v>Tinajero</v>
      </c>
      <c r="AK1653" s="2" t="str">
        <f>IFERROR(__xludf.DUMMYFUNCTION("""COMPUTED_VALUE"""),"Bacolor")</f>
        <v>Bacolor</v>
      </c>
      <c r="AL1653" s="2" t="str">
        <f>IFERROR(__xludf.DUMMYFUNCTION("""COMPUTED_VALUE"""),"Pampanga")</f>
        <v>Pampanga</v>
      </c>
      <c r="AM1653" s="2">
        <f>IFERROR(__xludf.DUMMYFUNCTION("""COMPUTED_VALUE"""),3.0)</f>
        <v>3</v>
      </c>
      <c r="AN1653" s="2" t="str">
        <f>IFERROR(__xludf.DUMMYFUNCTION("""COMPUTED_VALUE"""),"RCEF 23-09-21 Rebidding")</f>
        <v>RCEF 23-09-21 Rebidding</v>
      </c>
      <c r="AO1653" s="2">
        <f>IFERROR(__xludf.DUMMYFUNCTION("""COMPUTED_VALUE"""),3.0)</f>
        <v>3</v>
      </c>
      <c r="AP1653" s="2"/>
      <c r="AQ1653" s="2"/>
      <c r="AR1653" s="2"/>
      <c r="AS1653" s="2"/>
      <c r="AT1653" s="2"/>
      <c r="AU1653" s="2"/>
      <c r="AV1653" s="2"/>
      <c r="AW1653" s="2"/>
      <c r="AX1653" s="2"/>
      <c r="AY1653" s="2"/>
      <c r="AZ1653" s="2"/>
      <c r="BA1653" s="2"/>
      <c r="BB1653" s="2"/>
    </row>
    <row r="1654">
      <c r="A1654" s="2">
        <f>IFERROR(__xludf.DUMMYFUNCTION("""COMPUTED_VALUE"""),1650.0)</f>
        <v>1650</v>
      </c>
      <c r="B1654" s="2" t="str">
        <f>IFERROR(__xludf.DUMMYFUNCTION("""COMPUTED_VALUE"""),"COMPLETED")</f>
        <v>COMPLETED</v>
      </c>
      <c r="C1654" s="78">
        <f>IFERROR(__xludf.DUMMYFUNCTION("""COMPUTED_VALUE"""),46144.0)</f>
        <v>46144</v>
      </c>
      <c r="D1654" s="71" t="str">
        <f>IFERROR(__xludf.DUMMYFUNCTION("""COMPUTED_VALUE"""),"BIGAYAN SA PAGPAPATUBIG IRRIGATORS' ASSOCIATION, INC.")</f>
        <v>BIGAYAN SA PAGPAPATUBIG IRRIGATORS' ASSOCIATION, INC.</v>
      </c>
      <c r="E1654" s="71" t="str">
        <f>IFERROR(__xludf.DUMMYFUNCTION("""COMPUTED_VALUE"""),"Pulo, San Isidro, NUEVA ECIJA")</f>
        <v>Pulo, San Isidro, NUEVA ECIJA</v>
      </c>
      <c r="F1654" s="2" t="str">
        <f>IFERROR(__xludf.DUMMYFUNCTION("""COMPUTED_VALUE"""),"JOSELITO LOPEZ")</f>
        <v>JOSELITO LOPEZ</v>
      </c>
      <c r="G1654" s="2">
        <f>IFERROR(__xludf.DUMMYFUNCTION("""COMPUTED_VALUE"""),9.329556009E9)</f>
        <v>9329556009</v>
      </c>
      <c r="H1654" s="2">
        <f>IFERROR(__xludf.DUMMYFUNCTION("""COMPUTED_VALUE"""),868.0)</f>
        <v>868</v>
      </c>
      <c r="I1654" s="72" t="str">
        <f>IFERROR(__xludf.DUMMYFUNCTION("""COMPUTED_VALUE"""),"REPAIR - TRACTOR")</f>
        <v>REPAIR - TRACTOR</v>
      </c>
      <c r="J1654" s="72" t="str">
        <f>IFERROR(__xludf.DUMMYFUNCTION("""COMPUTED_VALUE"""),"Transmission - Front Dirve                Front Axle - Leaking")</f>
        <v>Transmission - Front Dirve                Front Axle - Leaking</v>
      </c>
      <c r="K1654" s="72" t="str">
        <f>IFERROR(__xludf.DUMMYFUNCTION("""COMPUTED_VALUE"""),"JHP: DATE DELIVERED: 2024
YUNG 4X4 AYAW GUMANA, MATAAS ANG KONSUMO
Problem: PTO not working ")</f>
        <v>JHP: DATE DELIVERED: 2024
YUNG 4X4 AYAW GUMANA, MATAAS ANG KONSUMO
Problem: PTO not working </v>
      </c>
      <c r="L1654" s="72" t="str">
        <f>IFERROR(__xludf.DUMMYFUNCTION("""COMPUTED_VALUE"""),"DRM: REPLACED TOGGLE SWITCH")</f>
        <v>DRM: REPLACED TOGGLE SWITCH</v>
      </c>
      <c r="M1654" s="2"/>
      <c r="N1654" s="2" t="str">
        <f>IFERROR(__xludf.DUMMYFUNCTION("""COMPUTED_VALUE"""),"SERVICE CHARGE: 2,000")</f>
        <v>SERVICE CHARGE: 2,000</v>
      </c>
      <c r="O1654" s="2">
        <f>IFERROR(__xludf.DUMMYFUNCTION("""COMPUTED_VALUE"""),682.0)</f>
        <v>682</v>
      </c>
      <c r="P1654" s="2"/>
      <c r="Q1654" s="2" t="str">
        <f>IFERROR(__xludf.DUMMYFUNCTION("""COMPUTED_VALUE"""),"FOR PRINT")</f>
        <v>FOR PRINT</v>
      </c>
      <c r="R1654" s="74">
        <f>IFERROR(__xludf.DUMMYFUNCTION("""COMPUTED_VALUE"""),46146.0)</f>
        <v>46146</v>
      </c>
      <c r="S1654" s="2" t="str">
        <f>IFERROR(__xludf.DUMMYFUNCTION("""COMPUTED_VALUE"""),"JHP/DRM")</f>
        <v>JHP/DRM</v>
      </c>
      <c r="T1654" s="73">
        <f>IFERROR(__xludf.DUMMYFUNCTION("""COMPUTED_VALUE"""),2000.0)</f>
        <v>2000</v>
      </c>
      <c r="U1654" s="73" t="str">
        <f>IFERROR(__xludf.DUMMYFUNCTION("""COMPUTED_VALUE""")," REMITTED ")</f>
        <v>REMITTED</v>
      </c>
      <c r="V1654" s="2" t="str">
        <f>IFERROR(__xludf.DUMMYFUNCTION("""COMPUTED_VALUE"""),"N/A")</f>
        <v>N/A</v>
      </c>
      <c r="W1654" s="2">
        <f>IFERROR(__xludf.DUMMYFUNCTION("""COMPUTED_VALUE"""),1964.0)</f>
        <v>1964</v>
      </c>
      <c r="X1654" s="2">
        <f>IFERROR(__xludf.DUMMYFUNCTION("""COMPUTED_VALUE"""),1776.0)</f>
        <v>1776</v>
      </c>
      <c r="Y1654" s="2"/>
      <c r="Z1654" s="2"/>
      <c r="AA1654" s="2"/>
      <c r="AB1654" s="2"/>
      <c r="AC1654" s="2"/>
      <c r="AD1654" s="2"/>
      <c r="AE1654" s="2"/>
      <c r="AF1654" s="2"/>
      <c r="AG1654" s="2"/>
      <c r="AH1654" s="2"/>
      <c r="AI1654" s="2"/>
      <c r="AJ1654" s="2" t="str">
        <f>IFERROR(__xludf.DUMMYFUNCTION("""COMPUTED_VALUE"""),"Pulo")</f>
        <v>Pulo</v>
      </c>
      <c r="AK1654" s="2" t="str">
        <f>IFERROR(__xludf.DUMMYFUNCTION("""COMPUTED_VALUE"""),"San Isidro")</f>
        <v>San Isidro</v>
      </c>
      <c r="AL1654" s="2" t="str">
        <f>IFERROR(__xludf.DUMMYFUNCTION("""COMPUTED_VALUE"""),"Nueva Ecija")</f>
        <v>Nueva Ecija</v>
      </c>
      <c r="AM1654" s="2">
        <f>IFERROR(__xludf.DUMMYFUNCTION("""COMPUTED_VALUE"""),3.0)</f>
        <v>3</v>
      </c>
      <c r="AN1654" s="2" t="str">
        <f>IFERROR(__xludf.DUMMYFUNCTION("""COMPUTED_VALUE"""),"RCEF 23-09-21 Rebidding")</f>
        <v>RCEF 23-09-21 Rebidding</v>
      </c>
      <c r="AO1654" s="2">
        <f>IFERROR(__xludf.DUMMYFUNCTION("""COMPUTED_VALUE"""),3.0)</f>
        <v>3</v>
      </c>
      <c r="AP1654" s="2"/>
      <c r="AQ1654" s="2"/>
      <c r="AR1654" s="2"/>
      <c r="AS1654" s="2"/>
      <c r="AT1654" s="2"/>
      <c r="AU1654" s="2"/>
      <c r="AV1654" s="2"/>
      <c r="AW1654" s="2"/>
      <c r="AX1654" s="2"/>
      <c r="AY1654" s="2"/>
      <c r="AZ1654" s="2"/>
      <c r="BA1654" s="2"/>
      <c r="BB1654" s="2"/>
    </row>
    <row r="1655">
      <c r="A1655" s="2">
        <f>IFERROR(__xludf.DUMMYFUNCTION("""COMPUTED_VALUE"""),1651.0)</f>
        <v>1651</v>
      </c>
      <c r="B1655" s="2" t="str">
        <f>IFERROR(__xludf.DUMMYFUNCTION("""COMPUTED_VALUE"""),"PENDING")</f>
        <v>PENDING</v>
      </c>
      <c r="C1655" s="78">
        <f>IFERROR(__xludf.DUMMYFUNCTION("""COMPUTED_VALUE"""),46144.0)</f>
        <v>46144</v>
      </c>
      <c r="D1655" s="71" t="str">
        <f>IFERROR(__xludf.DUMMYFUNCTION("""COMPUTED_VALUE"""),"POB-CAN CLARIN IRRIGATORS ASSOCIATION INC")</f>
        <v>POB-CAN CLARIN IRRIGATORS ASSOCIATION INC</v>
      </c>
      <c r="E1655" s="71" t="str">
        <f>IFERROR(__xludf.DUMMYFUNCTION("""COMPUTED_VALUE"""),"Candajec, Clarin, BOHOL")</f>
        <v>Candajec, Clarin, BOHOL</v>
      </c>
      <c r="F1655" s="2" t="str">
        <f>IFERROR(__xludf.DUMMYFUNCTION("""COMPUTED_VALUE"""),"Maxima  Z. Pelesores")</f>
        <v>Maxima  Z. Pelesores</v>
      </c>
      <c r="G1655" s="2">
        <f>IFERROR(__xludf.DUMMYFUNCTION("""COMPUTED_VALUE"""),9.705248113E9)</f>
        <v>9705248113</v>
      </c>
      <c r="H1655" s="2"/>
      <c r="I1655" s="72" t="str">
        <f>IFERROR(__xludf.DUMMYFUNCTION("""COMPUTED_VALUE"""),"REPAIR - LOADER")</f>
        <v>REPAIR - LOADER</v>
      </c>
      <c r="J1655" s="72" t="str">
        <f>IFERROR(__xludf.DUMMYFUNCTION("""COMPUTED_VALUE"""),"Cable lock")</f>
        <v>Cable lock</v>
      </c>
      <c r="K1655" s="72" t="str">
        <f>IFERROR(__xludf.DUMMYFUNCTION("""COMPUTED_VALUE"""),"FSJ: Problem: loader di na angat at baba(cable lock)")</f>
        <v>FSJ: Problem: loader di na angat at baba(cable lock)</v>
      </c>
      <c r="L1655" s="72"/>
      <c r="M1655" s="2" t="str">
        <f>IFERROR(__xludf.DUMMYFUNCTION("""COMPUTED_VALUE"""),"CABLE LOCK")</f>
        <v>CABLE LOCK</v>
      </c>
      <c r="N1655" s="2"/>
      <c r="O1655" s="2"/>
      <c r="P1655" s="2"/>
      <c r="Q1655" s="2"/>
      <c r="R1655" s="2"/>
      <c r="S1655" s="2"/>
      <c r="T1655" s="2"/>
      <c r="U1655" s="2"/>
      <c r="V1655" s="2"/>
      <c r="W1655" s="2"/>
      <c r="X1655" s="2"/>
      <c r="Y1655" s="2"/>
      <c r="Z1655" s="2"/>
      <c r="AA1655" s="2"/>
      <c r="AB1655" s="2"/>
      <c r="AC1655" s="2"/>
      <c r="AD1655" s="2"/>
      <c r="AE1655" s="2"/>
      <c r="AF1655" s="2"/>
      <c r="AG1655" s="2"/>
      <c r="AH1655" s="2"/>
      <c r="AI1655" s="2"/>
      <c r="AJ1655" s="2" t="str">
        <f>IFERROR(__xludf.DUMMYFUNCTION("""COMPUTED_VALUE"""),"Candajec")</f>
        <v>Candajec</v>
      </c>
      <c r="AK1655" s="2" t="str">
        <f>IFERROR(__xludf.DUMMYFUNCTION("""COMPUTED_VALUE"""),"Clarin")</f>
        <v>Clarin</v>
      </c>
      <c r="AL1655" s="2" t="str">
        <f>IFERROR(__xludf.DUMMYFUNCTION("""COMPUTED_VALUE"""),"Bohol")</f>
        <v>Bohol</v>
      </c>
      <c r="AM1655" s="2">
        <f>IFERROR(__xludf.DUMMYFUNCTION("""COMPUTED_VALUE"""),7.0)</f>
        <v>7</v>
      </c>
      <c r="AN1655" s="2" t="str">
        <f>IFERROR(__xludf.DUMMYFUNCTION("""COMPUTED_VALUE"""),"RCEF 25-03-05")</f>
        <v>RCEF 25-03-05</v>
      </c>
      <c r="AO1655" s="2">
        <f>IFERROR(__xludf.DUMMYFUNCTION("""COMPUTED_VALUE"""),7.0)</f>
        <v>7</v>
      </c>
      <c r="AP1655" s="2" t="str">
        <f>IFERROR(__xludf.DUMMYFUNCTION("""COMPUTED_VALUE"""),"FREE PMS")</f>
        <v>FREE PMS</v>
      </c>
      <c r="AQ1655" s="2"/>
      <c r="AR1655" s="2"/>
      <c r="AS1655" s="2"/>
      <c r="AT1655" s="2"/>
      <c r="AU1655" s="2"/>
      <c r="AV1655" s="2"/>
      <c r="AW1655" s="2"/>
      <c r="AX1655" s="2"/>
      <c r="AY1655" s="2"/>
      <c r="AZ1655" s="2"/>
      <c r="BA1655" s="2"/>
      <c r="BB1655" s="2"/>
    </row>
    <row r="1656">
      <c r="A1656" s="2">
        <f>IFERROR(__xludf.DUMMYFUNCTION("""COMPUTED_VALUE"""),1652.0)</f>
        <v>1652</v>
      </c>
      <c r="B1656" s="2" t="str">
        <f>IFERROR(__xludf.DUMMYFUNCTION("""COMPUTED_VALUE"""),"PENDING")</f>
        <v>PENDING</v>
      </c>
      <c r="C1656" s="78">
        <f>IFERROR(__xludf.DUMMYFUNCTION("""COMPUTED_VALUE"""),46144.0)</f>
        <v>46144</v>
      </c>
      <c r="D1656" s="71" t="str">
        <f>IFERROR(__xludf.DUMMYFUNCTION("""COMPUTED_VALUE"""),"Gatbo Farmers Irrigators Association (GAFIA)")</f>
        <v>Gatbo Farmers Irrigators Association (GAFIA)</v>
      </c>
      <c r="E1656" s="71" t="str">
        <f>IFERROR(__xludf.DUMMYFUNCTION("""COMPUTED_VALUE"""),"Gatbo, Sorsogon City, SORSOGON")</f>
        <v>Gatbo, Sorsogon City, SORSOGON</v>
      </c>
      <c r="F1656" s="2" t="str">
        <f>IFERROR(__xludf.DUMMYFUNCTION("""COMPUTED_VALUE"""),"Ryan Espinola")</f>
        <v>Ryan Espinola</v>
      </c>
      <c r="G1656" s="2">
        <f>IFERROR(__xludf.DUMMYFUNCTION("""COMPUTED_VALUE"""),9.708264081E9)</f>
        <v>9708264081</v>
      </c>
      <c r="H1656" s="2"/>
      <c r="I1656" s="72" t="str">
        <f>IFERROR(__xludf.DUMMYFUNCTION("""COMPUTED_VALUE"""),"REPAIR - LOADER")</f>
        <v>REPAIR - LOADER</v>
      </c>
      <c r="J1656" s="72" t="str">
        <f>IFERROR(__xludf.DUMMYFUNCTION("""COMPUTED_VALUE"""),"Cable lock")</f>
        <v>Cable lock</v>
      </c>
      <c r="K1656" s="72" t="str">
        <f>IFERROR(__xludf.DUMMYFUNCTION("""COMPUTED_VALUE"""),"FSJ: Problem : cable lock")</f>
        <v>FSJ: Problem : cable lock</v>
      </c>
      <c r="L1656" s="72"/>
      <c r="M1656" s="2" t="str">
        <f>IFERROR(__xludf.DUMMYFUNCTION("""COMPUTED_VALUE"""),"CABLE LOCK")</f>
        <v>CABLE LOCK</v>
      </c>
      <c r="N1656" s="2"/>
      <c r="O1656" s="2"/>
      <c r="P1656" s="2"/>
      <c r="Q1656" s="2"/>
      <c r="R1656" s="2"/>
      <c r="S1656" s="2"/>
      <c r="T1656" s="2"/>
      <c r="U1656" s="2"/>
      <c r="V1656" s="2"/>
      <c r="W1656" s="2"/>
      <c r="X1656" s="2"/>
      <c r="Y1656" s="2"/>
      <c r="Z1656" s="2"/>
      <c r="AA1656" s="2"/>
      <c r="AB1656" s="2"/>
      <c r="AC1656" s="2"/>
      <c r="AD1656" s="2"/>
      <c r="AE1656" s="2"/>
      <c r="AF1656" s="2"/>
      <c r="AG1656" s="2"/>
      <c r="AH1656" s="2"/>
      <c r="AI1656" s="2"/>
      <c r="AJ1656" s="2" t="str">
        <f>IFERROR(__xludf.DUMMYFUNCTION("""COMPUTED_VALUE"""),"Gatbo")</f>
        <v>Gatbo</v>
      </c>
      <c r="AK1656" s="2" t="str">
        <f>IFERROR(__xludf.DUMMYFUNCTION("""COMPUTED_VALUE"""),"Sorsogon City")</f>
        <v>Sorsogon City</v>
      </c>
      <c r="AL1656" s="2" t="str">
        <f>IFERROR(__xludf.DUMMYFUNCTION("""COMPUTED_VALUE"""),"Sorsogon")</f>
        <v>Sorsogon</v>
      </c>
      <c r="AM1656" s="2">
        <f>IFERROR(__xludf.DUMMYFUNCTION("""COMPUTED_VALUE"""),5.0)</f>
        <v>5</v>
      </c>
      <c r="AN1656" s="2" t="str">
        <f>IFERROR(__xludf.DUMMYFUNCTION("""COMPUTED_VALUE"""),"RCEF 25-03-05")</f>
        <v>RCEF 25-03-05</v>
      </c>
      <c r="AO1656" s="2">
        <f>IFERROR(__xludf.DUMMYFUNCTION("""COMPUTED_VALUE"""),6.0)</f>
        <v>6</v>
      </c>
      <c r="AP1656" s="2" t="str">
        <f>IFERROR(__xludf.DUMMYFUNCTION("""COMPUTED_VALUE"""),"FREE PMS")</f>
        <v>FREE PMS</v>
      </c>
      <c r="AQ1656" s="2"/>
      <c r="AR1656" s="2"/>
      <c r="AS1656" s="2"/>
      <c r="AT1656" s="2"/>
      <c r="AU1656" s="2"/>
      <c r="AV1656" s="2"/>
      <c r="AW1656" s="2"/>
      <c r="AX1656" s="2"/>
      <c r="AY1656" s="2"/>
      <c r="AZ1656" s="2"/>
      <c r="BA1656" s="2"/>
      <c r="BB1656" s="2"/>
    </row>
    <row r="1657">
      <c r="A1657" s="2">
        <f>IFERROR(__xludf.DUMMYFUNCTION("""COMPUTED_VALUE"""),1653.0)</f>
        <v>1653</v>
      </c>
      <c r="B1657" s="2" t="str">
        <f>IFERROR(__xludf.DUMMYFUNCTION("""COMPUTED_VALUE"""),"COMPLETED")</f>
        <v>COMPLETED</v>
      </c>
      <c r="C1657" s="78">
        <f>IFERROR(__xludf.DUMMYFUNCTION("""COMPUTED_VALUE"""),46145.0)</f>
        <v>46145</v>
      </c>
      <c r="D1657" s="71" t="str">
        <f>IFERROR(__xludf.DUMMYFUNCTION("""COMPUTED_VALUE"""),"SAMAHANG MAGSASAKA NG DULONG MALABON")</f>
        <v>SAMAHANG MAGSASAKA NG DULONG MALABON</v>
      </c>
      <c r="E1657" s="71" t="str">
        <f>IFERROR(__xludf.DUMMYFUNCTION("""COMPUTED_VALUE"""),"Dulong Malabon, Pulilan, BULACAN")</f>
        <v>Dulong Malabon, Pulilan, BULACAN</v>
      </c>
      <c r="F1657" s="2" t="str">
        <f>IFERROR(__xludf.DUMMYFUNCTION("""COMPUTED_VALUE"""),"Enrico Reyes")</f>
        <v>Enrico Reyes</v>
      </c>
      <c r="G1657" s="2">
        <f>IFERROR(__xludf.DUMMYFUNCTION("""COMPUTED_VALUE"""),9.357959841E9)</f>
        <v>9357959841</v>
      </c>
      <c r="H1657" s="2"/>
      <c r="I1657" s="72" t="str">
        <f>IFERROR(__xludf.DUMMYFUNCTION("""COMPUTED_VALUE"""),"REPAIR - TRACTOR")</f>
        <v>REPAIR - TRACTOR</v>
      </c>
      <c r="J1657" s="72" t="str">
        <f>IFERROR(__xludf.DUMMYFUNCTION("""COMPUTED_VALUE"""),"PMS/Cable Lock/Dashboard")</f>
        <v>PMS/Cable Lock/Dashboard</v>
      </c>
      <c r="K1657" s="72" t="str">
        <f>IFERROR(__xludf.DUMMYFUNCTION("""COMPUTED_VALUE"""),"MYK: Date Delivered: October 2025
Concern: Change Oil, Dashboard error hour display, Hydraulic Loader not moving")</f>
        <v>MYK: Date Delivered: October 2025
Concern: Change Oil, Dashboard error hour display, Hydraulic Loader not moving</v>
      </c>
      <c r="L1657" s="72"/>
      <c r="M1657" s="2"/>
      <c r="N1657" s="2" t="str">
        <f>IFERROR(__xludf.DUMMYFUNCTION("""COMPUTED_VALUE"""),"PARTS:
OIL FILTER
ENGINE OIL
")</f>
        <v>PARTS:
OIL FILTER
ENGINE OIL
</v>
      </c>
      <c r="O1657" s="2"/>
      <c r="P1657" s="2"/>
      <c r="Q1657" s="2"/>
      <c r="R1657" s="74">
        <f>IFERROR(__xludf.DUMMYFUNCTION("""COMPUTED_VALUE"""),46146.0)</f>
        <v>46146</v>
      </c>
      <c r="S1657" s="2" t="str">
        <f>IFERROR(__xludf.DUMMYFUNCTION("""COMPUTED_VALUE"""),"EGT")</f>
        <v>EGT</v>
      </c>
      <c r="T1657" s="73" t="str">
        <f>IFERROR(__xludf.DUMMYFUNCTION("""COMPUTED_VALUE""")," N/A ")</f>
        <v>N/A</v>
      </c>
      <c r="U1657" s="73" t="str">
        <f>IFERROR(__xludf.DUMMYFUNCTION("""COMPUTED_VALUE""")," RECORDED ")</f>
        <v>RECORDED</v>
      </c>
      <c r="V1657" s="2">
        <f>IFERROR(__xludf.DUMMYFUNCTION("""COMPUTED_VALUE"""),1330.0)</f>
        <v>1330</v>
      </c>
      <c r="W1657" s="2"/>
      <c r="X1657" s="2"/>
      <c r="Y1657" s="2"/>
      <c r="Z1657" s="2"/>
      <c r="AA1657" s="2"/>
      <c r="AB1657" s="2"/>
      <c r="AC1657" s="2"/>
      <c r="AD1657" s="2"/>
      <c r="AE1657" s="2"/>
      <c r="AF1657" s="2"/>
      <c r="AG1657" s="2"/>
      <c r="AH1657" s="2"/>
      <c r="AI1657" s="2"/>
      <c r="AJ1657" s="2" t="str">
        <f>IFERROR(__xludf.DUMMYFUNCTION("""COMPUTED_VALUE"""),"Dulong Malabon")</f>
        <v>Dulong Malabon</v>
      </c>
      <c r="AK1657" s="2" t="str">
        <f>IFERROR(__xludf.DUMMYFUNCTION("""COMPUTED_VALUE"""),"Pulilan")</f>
        <v>Pulilan</v>
      </c>
      <c r="AL1657" s="2" t="str">
        <f>IFERROR(__xludf.DUMMYFUNCTION("""COMPUTED_VALUE"""),"Bulacan")</f>
        <v>Bulacan</v>
      </c>
      <c r="AM1657" s="2">
        <f>IFERROR(__xludf.DUMMYFUNCTION("""COMPUTED_VALUE"""),3.0)</f>
        <v>3</v>
      </c>
      <c r="AN1657" s="2" t="str">
        <f>IFERROR(__xludf.DUMMYFUNCTION("""COMPUTED_VALUE"""),"RCEF 25-03-05")</f>
        <v>RCEF 25-03-05</v>
      </c>
      <c r="AO1657" s="2">
        <f>IFERROR(__xludf.DUMMYFUNCTION("""COMPUTED_VALUE"""),5.0)</f>
        <v>5</v>
      </c>
      <c r="AP1657" s="2" t="str">
        <f>IFERROR(__xludf.DUMMYFUNCTION("""COMPUTED_VALUE"""),"FREE PMS")</f>
        <v>FREE PMS</v>
      </c>
      <c r="AQ1657" s="2"/>
      <c r="AR1657" s="2"/>
      <c r="AS1657" s="2"/>
      <c r="AT1657" s="2"/>
      <c r="AU1657" s="2"/>
      <c r="AV1657" s="2"/>
      <c r="AW1657" s="2"/>
      <c r="AX1657" s="2"/>
      <c r="AY1657" s="2"/>
      <c r="AZ1657" s="2"/>
      <c r="BA1657" s="2"/>
      <c r="BB1657" s="2"/>
    </row>
    <row r="1658">
      <c r="A1658" s="2">
        <f>IFERROR(__xludf.DUMMYFUNCTION("""COMPUTED_VALUE"""),1654.0)</f>
        <v>1654</v>
      </c>
      <c r="B1658" s="2" t="str">
        <f>IFERROR(__xludf.DUMMYFUNCTION("""COMPUTED_VALUE"""),"PENDING")</f>
        <v>PENDING</v>
      </c>
      <c r="C1658" s="74">
        <f>IFERROR(__xludf.DUMMYFUNCTION("""COMPUTED_VALUE"""),46145.0)</f>
        <v>46145</v>
      </c>
      <c r="D1658" s="71" t="str">
        <f>IFERROR(__xludf.DUMMYFUNCTION("""COMPUTED_VALUE"""),"SITIO BAGANG UNITED FARMERS ASSOCIATION")</f>
        <v>SITIO BAGANG UNITED FARMERS ASSOCIATION</v>
      </c>
      <c r="E1658" s="71" t="str">
        <f>IFERROR(__xludf.DUMMYFUNCTION("""COMPUTED_VALUE"""),"Cabacungan, Dulag, LEYTE")</f>
        <v>Cabacungan, Dulag, LEYTE</v>
      </c>
      <c r="F1658" s="2" t="str">
        <f>IFERROR(__xludf.DUMMYFUNCTION("""COMPUTED_VALUE"""),"AGAPITO V.ADONIS")</f>
        <v>AGAPITO V.ADONIS</v>
      </c>
      <c r="G1658" s="2">
        <f>IFERROR(__xludf.DUMMYFUNCTION("""COMPUTED_VALUE"""),9.308384008E9)</f>
        <v>9308384008</v>
      </c>
      <c r="H1658" s="2">
        <f>IFERROR(__xludf.DUMMYFUNCTION("""COMPUTED_VALUE"""),45.0)</f>
        <v>45</v>
      </c>
      <c r="I1658" s="72" t="str">
        <f>IFERROR(__xludf.DUMMYFUNCTION("""COMPUTED_VALUE"""),"REPAIR - LOADER")</f>
        <v>REPAIR - LOADER</v>
      </c>
      <c r="J1658" s="72" t="str">
        <f>IFERROR(__xludf.DUMMYFUNCTION("""COMPUTED_VALUE"""),"Cable lock")</f>
        <v>Cable lock</v>
      </c>
      <c r="K1658" s="72" t="str">
        <f>IFERROR(__xludf.DUMMYFUNCTION("""COMPUTED_VALUE"""),"FPJ: JOYSTICK CABLE PROBLEM - CABLE LOCK")</f>
        <v>FPJ: JOYSTICK CABLE PROBLEM - CABLE LOCK</v>
      </c>
      <c r="L1658" s="72"/>
      <c r="M1658" s="2" t="str">
        <f>IFERROR(__xludf.DUMMYFUNCTION("""COMPUTED_VALUE"""),"CABLE LOCK ")</f>
        <v>CABLE LOCK </v>
      </c>
      <c r="N1658" s="2"/>
      <c r="O1658" s="2"/>
      <c r="P1658" s="2"/>
      <c r="Q1658" s="2"/>
      <c r="R1658" s="2"/>
      <c r="S1658" s="2"/>
      <c r="T1658" s="2"/>
      <c r="U1658" s="2"/>
      <c r="V1658" s="2"/>
      <c r="W1658" s="2"/>
      <c r="X1658" s="2"/>
      <c r="Y1658" s="2"/>
      <c r="Z1658" s="2"/>
      <c r="AA1658" s="2"/>
      <c r="AB1658" s="2"/>
      <c r="AC1658" s="2"/>
      <c r="AD1658" s="2"/>
      <c r="AE1658" s="2"/>
      <c r="AF1658" s="2"/>
      <c r="AG1658" s="2"/>
      <c r="AH1658" s="2"/>
      <c r="AI1658" s="2"/>
      <c r="AJ1658" s="2" t="str">
        <f>IFERROR(__xludf.DUMMYFUNCTION("""COMPUTED_VALUE"""),"Cabacungan")</f>
        <v>Cabacungan</v>
      </c>
      <c r="AK1658" s="2" t="str">
        <f>IFERROR(__xludf.DUMMYFUNCTION("""COMPUTED_VALUE"""),"Dulag")</f>
        <v>Dulag</v>
      </c>
      <c r="AL1658" s="2" t="str">
        <f>IFERROR(__xludf.DUMMYFUNCTION("""COMPUTED_VALUE"""),"Leyte")</f>
        <v>Leyte</v>
      </c>
      <c r="AM1658" s="2">
        <f>IFERROR(__xludf.DUMMYFUNCTION("""COMPUTED_VALUE"""),8.0)</f>
        <v>8</v>
      </c>
      <c r="AN1658" s="2" t="str">
        <f>IFERROR(__xludf.DUMMYFUNCTION("""COMPUTED_VALUE"""),"RCEF 25-03-05")</f>
        <v>RCEF 25-03-05</v>
      </c>
      <c r="AO1658" s="2">
        <f>IFERROR(__xludf.DUMMYFUNCTION("""COMPUTED_VALUE"""),7.0)</f>
        <v>7</v>
      </c>
      <c r="AP1658" s="2" t="str">
        <f>IFERROR(__xludf.DUMMYFUNCTION("""COMPUTED_VALUE"""),"FREE PMS")</f>
        <v>FREE PMS</v>
      </c>
      <c r="AQ1658" s="2"/>
      <c r="AR1658" s="2"/>
      <c r="AS1658" s="2"/>
      <c r="AT1658" s="2"/>
      <c r="AU1658" s="2"/>
      <c r="AV1658" s="2"/>
      <c r="AW1658" s="2"/>
      <c r="AX1658" s="2"/>
      <c r="AY1658" s="2"/>
      <c r="AZ1658" s="2"/>
      <c r="BA1658" s="2"/>
      <c r="BB1658" s="2"/>
    </row>
    <row r="1659">
      <c r="A1659" s="2">
        <f>IFERROR(__xludf.DUMMYFUNCTION("""COMPUTED_VALUE"""),1655.0)</f>
        <v>1655</v>
      </c>
      <c r="B1659" s="2" t="str">
        <f>IFERROR(__xludf.DUMMYFUNCTION("""COMPUTED_VALUE"""),"PENDING")</f>
        <v>PENDING</v>
      </c>
      <c r="C1659" s="74">
        <f>IFERROR(__xludf.DUMMYFUNCTION("""COMPUTED_VALUE"""),46145.0)</f>
        <v>46145</v>
      </c>
      <c r="D1659" s="71" t="str">
        <f>IFERROR(__xludf.DUMMYFUNCTION("""COMPUTED_VALUE"""),"SAN ROQUE-GITABLA IRRIGATORS' ASSOCIATION, INC.")</f>
        <v>SAN ROQUE-GITABLA IRRIGATORS' ASSOCIATION, INC.</v>
      </c>
      <c r="E1659" s="71" t="str">
        <f>IFERROR(__xludf.DUMMYFUNCTION("""COMPUTED_VALUE"""),"Gitabla, Julita, LEYTE")</f>
        <v>Gitabla, Julita, LEYTE</v>
      </c>
      <c r="F1659" s="2" t="str">
        <f>IFERROR(__xludf.DUMMYFUNCTION("""COMPUTED_VALUE"""),"Anastacio Indic")</f>
        <v>Anastacio Indic</v>
      </c>
      <c r="G1659" s="2">
        <f>IFERROR(__xludf.DUMMYFUNCTION("""COMPUTED_VALUE"""),9.856302515E9)</f>
        <v>9856302515</v>
      </c>
      <c r="H1659" s="2">
        <f>IFERROR(__xludf.DUMMYFUNCTION("""COMPUTED_VALUE"""),50.0)</f>
        <v>50</v>
      </c>
      <c r="I1659" s="72" t="str">
        <f>IFERROR(__xludf.DUMMYFUNCTION("""COMPUTED_VALUE"""),"REPAIR - LOADER")</f>
        <v>REPAIR - LOADER</v>
      </c>
      <c r="J1659" s="72" t="str">
        <f>IFERROR(__xludf.DUMMYFUNCTION("""COMPUTED_VALUE"""),"Cable lock")</f>
        <v>Cable lock</v>
      </c>
      <c r="K1659" s="72" t="str">
        <f>IFERROR(__xludf.DUMMYFUNCTION("""COMPUTED_VALUE"""),"FPJ: JOYSTICK CABLE PROBLEM - CABLE LOCK")</f>
        <v>FPJ: JOYSTICK CABLE PROBLEM - CABLE LOCK</v>
      </c>
      <c r="L1659" s="72"/>
      <c r="M1659" s="2" t="str">
        <f>IFERROR(__xludf.DUMMYFUNCTION("""COMPUTED_VALUE"""),"CABLE LOCK ")</f>
        <v>CABLE LOCK </v>
      </c>
      <c r="N1659" s="2"/>
      <c r="O1659" s="2"/>
      <c r="P1659" s="2"/>
      <c r="Q1659" s="2"/>
      <c r="R1659" s="2"/>
      <c r="S1659" s="2"/>
      <c r="T1659" s="2"/>
      <c r="U1659" s="2"/>
      <c r="V1659" s="2"/>
      <c r="W1659" s="2"/>
      <c r="X1659" s="2"/>
      <c r="Y1659" s="2"/>
      <c r="Z1659" s="2"/>
      <c r="AA1659" s="2"/>
      <c r="AB1659" s="2"/>
      <c r="AC1659" s="2"/>
      <c r="AD1659" s="2"/>
      <c r="AE1659" s="2"/>
      <c r="AF1659" s="2"/>
      <c r="AG1659" s="2"/>
      <c r="AH1659" s="2"/>
      <c r="AI1659" s="2"/>
      <c r="AJ1659" s="2" t="str">
        <f>IFERROR(__xludf.DUMMYFUNCTION("""COMPUTED_VALUE"""),"Gitabla")</f>
        <v>Gitabla</v>
      </c>
      <c r="AK1659" s="2" t="str">
        <f>IFERROR(__xludf.DUMMYFUNCTION("""COMPUTED_VALUE"""),"Julita")</f>
        <v>Julita</v>
      </c>
      <c r="AL1659" s="2" t="str">
        <f>IFERROR(__xludf.DUMMYFUNCTION("""COMPUTED_VALUE"""),"Leyte")</f>
        <v>Leyte</v>
      </c>
      <c r="AM1659" s="2">
        <f>IFERROR(__xludf.DUMMYFUNCTION("""COMPUTED_VALUE"""),8.0)</f>
        <v>8</v>
      </c>
      <c r="AN1659" s="2" t="str">
        <f>IFERROR(__xludf.DUMMYFUNCTION("""COMPUTED_VALUE"""),"RCEF 25-03-05")</f>
        <v>RCEF 25-03-05</v>
      </c>
      <c r="AO1659" s="2">
        <f>IFERROR(__xludf.DUMMYFUNCTION("""COMPUTED_VALUE"""),7.0)</f>
        <v>7</v>
      </c>
      <c r="AP1659" s="2" t="str">
        <f>IFERROR(__xludf.DUMMYFUNCTION("""COMPUTED_VALUE"""),"FREE PMS")</f>
        <v>FREE PMS</v>
      </c>
      <c r="AQ1659" s="2"/>
      <c r="AR1659" s="2"/>
      <c r="AS1659" s="2"/>
      <c r="AT1659" s="2"/>
      <c r="AU1659" s="2"/>
      <c r="AV1659" s="2"/>
      <c r="AW1659" s="2"/>
      <c r="AX1659" s="2"/>
      <c r="AY1659" s="2"/>
      <c r="AZ1659" s="2"/>
      <c r="BA1659" s="2"/>
      <c r="BB1659" s="2"/>
    </row>
    <row r="1660">
      <c r="A1660" s="2">
        <f>IFERROR(__xludf.DUMMYFUNCTION("""COMPUTED_VALUE"""),1656.0)</f>
        <v>1656</v>
      </c>
      <c r="B1660" s="2" t="str">
        <f>IFERROR(__xludf.DUMMYFUNCTION("""COMPUTED_VALUE"""),"PENDING")</f>
        <v>PENDING</v>
      </c>
      <c r="C1660" s="74">
        <f>IFERROR(__xludf.DUMMYFUNCTION("""COMPUTED_VALUE"""),46145.0)</f>
        <v>46145</v>
      </c>
      <c r="D1660" s="71" t="str">
        <f>IFERROR(__xludf.DUMMYFUNCTION("""COMPUTED_VALUE"""),"TIGBAO-BOLONGTOHAN IRRIGATORS' ASSOCIATION, INC.")</f>
        <v>TIGBAO-BOLONGTOHAN IRRIGATORS' ASSOCIATION, INC.</v>
      </c>
      <c r="E1660" s="71" t="str">
        <f>IFERROR(__xludf.DUMMYFUNCTION("""COMPUTED_VALUE"""),"Tigbao, Dulag, LEYTE")</f>
        <v>Tigbao, Dulag, LEYTE</v>
      </c>
      <c r="F1660" s="2" t="str">
        <f>IFERROR(__xludf.DUMMYFUNCTION("""COMPUTED_VALUE"""),"BRAULIO DUNGZAL")</f>
        <v>BRAULIO DUNGZAL</v>
      </c>
      <c r="G1660" s="2">
        <f>IFERROR(__xludf.DUMMYFUNCTION("""COMPUTED_VALUE"""),9.168856989E9)</f>
        <v>9168856989</v>
      </c>
      <c r="H1660" s="2">
        <f>IFERROR(__xludf.DUMMYFUNCTION("""COMPUTED_VALUE"""),195.4)</f>
        <v>195.4</v>
      </c>
      <c r="I1660" s="72" t="str">
        <f>IFERROR(__xludf.DUMMYFUNCTION("""COMPUTED_VALUE"""),"REPAIR - LOADER")</f>
        <v>REPAIR - LOADER</v>
      </c>
      <c r="J1660" s="72" t="str">
        <f>IFERROR(__xludf.DUMMYFUNCTION("""COMPUTED_VALUE"""),"Cable lock")</f>
        <v>Cable lock</v>
      </c>
      <c r="K1660" s="72" t="str">
        <f>IFERROR(__xludf.DUMMYFUNCTION("""COMPUTED_VALUE"""),"FPJ: CABLE LOCK PROBLEM AND DISCPLOW GEARBOX CRACK")</f>
        <v>FPJ: CABLE LOCK PROBLEM AND DISCPLOW GEARBOX CRACK</v>
      </c>
      <c r="L1660" s="72"/>
      <c r="M1660" s="2" t="str">
        <f>IFERROR(__xludf.DUMMYFUNCTION("""COMPUTED_VALUE"""),"CABLE LOCK")</f>
        <v>CABLE LOCK</v>
      </c>
      <c r="N1660" s="2"/>
      <c r="O1660" s="2"/>
      <c r="P1660" s="2"/>
      <c r="Q1660" s="2"/>
      <c r="R1660" s="2"/>
      <c r="S1660" s="2"/>
      <c r="T1660" s="2"/>
      <c r="U1660" s="2"/>
      <c r="V1660" s="2"/>
      <c r="W1660" s="2"/>
      <c r="X1660" s="2"/>
      <c r="Y1660" s="2"/>
      <c r="Z1660" s="2"/>
      <c r="AA1660" s="2"/>
      <c r="AB1660" s="2"/>
      <c r="AC1660" s="2"/>
      <c r="AD1660" s="2"/>
      <c r="AE1660" s="2"/>
      <c r="AF1660" s="2"/>
      <c r="AG1660" s="2"/>
      <c r="AH1660" s="2"/>
      <c r="AI1660" s="2"/>
      <c r="AJ1660" s="2" t="str">
        <f>IFERROR(__xludf.DUMMYFUNCTION("""COMPUTED_VALUE"""),"Tigbao")</f>
        <v>Tigbao</v>
      </c>
      <c r="AK1660" s="2" t="str">
        <f>IFERROR(__xludf.DUMMYFUNCTION("""COMPUTED_VALUE"""),"Dulag")</f>
        <v>Dulag</v>
      </c>
      <c r="AL1660" s="2" t="str">
        <f>IFERROR(__xludf.DUMMYFUNCTION("""COMPUTED_VALUE"""),"Leyte")</f>
        <v>Leyte</v>
      </c>
      <c r="AM1660" s="2">
        <f>IFERROR(__xludf.DUMMYFUNCTION("""COMPUTED_VALUE"""),8.0)</f>
        <v>8</v>
      </c>
      <c r="AN1660" s="2" t="str">
        <f>IFERROR(__xludf.DUMMYFUNCTION("""COMPUTED_VALUE"""),"RCEF 25-03-05")</f>
        <v>RCEF 25-03-05</v>
      </c>
      <c r="AO1660" s="2">
        <f>IFERROR(__xludf.DUMMYFUNCTION("""COMPUTED_VALUE"""),7.0)</f>
        <v>7</v>
      </c>
      <c r="AP1660" s="2" t="str">
        <f>IFERROR(__xludf.DUMMYFUNCTION("""COMPUTED_VALUE"""),"FREE PMS")</f>
        <v>FREE PMS</v>
      </c>
      <c r="AQ1660" s="2"/>
      <c r="AR1660" s="2"/>
      <c r="AS1660" s="2"/>
      <c r="AT1660" s="2"/>
      <c r="AU1660" s="2"/>
      <c r="AV1660" s="2"/>
      <c r="AW1660" s="2"/>
      <c r="AX1660" s="2"/>
      <c r="AY1660" s="2"/>
      <c r="AZ1660" s="2"/>
      <c r="BA1660" s="2"/>
      <c r="BB1660" s="2"/>
    </row>
    <row r="1661">
      <c r="A1661" s="2">
        <f>IFERROR(__xludf.DUMMYFUNCTION("""COMPUTED_VALUE"""),1657.0)</f>
        <v>1657</v>
      </c>
      <c r="B1661" s="2" t="str">
        <f>IFERROR(__xludf.DUMMYFUNCTION("""COMPUTED_VALUE"""),"PENDING")</f>
        <v>PENDING</v>
      </c>
      <c r="C1661" s="78">
        <f>IFERROR(__xludf.DUMMYFUNCTION("""COMPUTED_VALUE"""),46146.0)</f>
        <v>46146</v>
      </c>
      <c r="D1661" s="71" t="str">
        <f>IFERROR(__xludf.DUMMYFUNCTION("""COMPUTED_VALUE"""),"Alapasco Bulak Sur Irrigators' Service Association Inc.")</f>
        <v>Alapasco Bulak Sur Irrigators' Service Association Inc.</v>
      </c>
      <c r="E1661" s="71" t="str">
        <f>IFERROR(__xludf.DUMMYFUNCTION("""COMPUTED_VALUE"""),"Bulak Sur, Batad, ILOILO")</f>
        <v>Bulak Sur, Batad, ILOILO</v>
      </c>
      <c r="F1661" s="2" t="str">
        <f>IFERROR(__xludf.DUMMYFUNCTION("""COMPUTED_VALUE"""),"BONAFE ARMADA")</f>
        <v>BONAFE ARMADA</v>
      </c>
      <c r="G1661" s="2">
        <f>IFERROR(__xludf.DUMMYFUNCTION("""COMPUTED_VALUE"""),9.678791682E9)</f>
        <v>9678791682</v>
      </c>
      <c r="H1661" s="2">
        <f>IFERROR(__xludf.DUMMYFUNCTION("""COMPUTED_VALUE"""),74.0)</f>
        <v>74</v>
      </c>
      <c r="I1661" s="72" t="str">
        <f>IFERROR(__xludf.DUMMYFUNCTION("""COMPUTED_VALUE"""),"PMS")</f>
        <v>PMS</v>
      </c>
      <c r="J1661" s="72"/>
      <c r="K1661" s="72" t="str">
        <f>IFERROR(__xludf.DUMMYFUNCTION("""COMPUTED_VALUE"""),"MYK: 1ST PMS FREE, AND AYAW MAG TAAS BABA NG LOADER")</f>
        <v>MYK: 1ST PMS FREE, AND AYAW MAG TAAS BABA NG LOADER</v>
      </c>
      <c r="L1661" s="72"/>
      <c r="M1661" s="2" t="str">
        <f>IFERROR(__xludf.DUMMYFUNCTION("""COMPUTED_VALUE"""),"CABLE LOCK")</f>
        <v>CABLE LOCK</v>
      </c>
      <c r="N1661" s="2"/>
      <c r="O1661" s="2"/>
      <c r="P1661" s="2"/>
      <c r="Q1661" s="2"/>
      <c r="R1661" s="2"/>
      <c r="S1661" s="2"/>
      <c r="T1661" s="2"/>
      <c r="U1661" s="2"/>
      <c r="V1661" s="2"/>
      <c r="W1661" s="2"/>
      <c r="X1661" s="2"/>
      <c r="Y1661" s="2"/>
      <c r="Z1661" s="2"/>
      <c r="AA1661" s="2"/>
      <c r="AB1661" s="2"/>
      <c r="AC1661" s="2"/>
      <c r="AD1661" s="2"/>
      <c r="AE1661" s="2"/>
      <c r="AF1661" s="2"/>
      <c r="AG1661" s="2"/>
      <c r="AH1661" s="2"/>
      <c r="AI1661" s="2"/>
      <c r="AJ1661" s="2" t="str">
        <f>IFERROR(__xludf.DUMMYFUNCTION("""COMPUTED_VALUE"""),"Bulak Sur")</f>
        <v>Bulak Sur</v>
      </c>
      <c r="AK1661" s="2" t="str">
        <f>IFERROR(__xludf.DUMMYFUNCTION("""COMPUTED_VALUE"""),"Batad")</f>
        <v>Batad</v>
      </c>
      <c r="AL1661" s="2" t="str">
        <f>IFERROR(__xludf.DUMMYFUNCTION("""COMPUTED_VALUE"""),"Iloilo")</f>
        <v>Iloilo</v>
      </c>
      <c r="AM1661" s="2">
        <f>IFERROR(__xludf.DUMMYFUNCTION("""COMPUTED_VALUE"""),6.0)</f>
        <v>6</v>
      </c>
      <c r="AN1661" s="2" t="str">
        <f>IFERROR(__xludf.DUMMYFUNCTION("""COMPUTED_VALUE"""),"RCEF 25-03-05")</f>
        <v>RCEF 25-03-05</v>
      </c>
      <c r="AO1661" s="2">
        <f>IFERROR(__xludf.DUMMYFUNCTION("""COMPUTED_VALUE"""),7.0)</f>
        <v>7</v>
      </c>
      <c r="AP1661" s="2" t="str">
        <f>IFERROR(__xludf.DUMMYFUNCTION("""COMPUTED_VALUE"""),"FREE PMS")</f>
        <v>FREE PMS</v>
      </c>
      <c r="AQ1661" s="2"/>
      <c r="AR1661" s="2"/>
      <c r="AS1661" s="2"/>
      <c r="AT1661" s="2"/>
      <c r="AU1661" s="2"/>
      <c r="AV1661" s="2"/>
      <c r="AW1661" s="2"/>
      <c r="AX1661" s="2"/>
      <c r="AY1661" s="2"/>
      <c r="AZ1661" s="2"/>
      <c r="BA1661" s="2"/>
      <c r="BB1661" s="2"/>
    </row>
    <row r="1662">
      <c r="A1662" s="2">
        <f>IFERROR(__xludf.DUMMYFUNCTION("""COMPUTED_VALUE"""),1658.0)</f>
        <v>1658</v>
      </c>
      <c r="B1662" s="2" t="str">
        <f>IFERROR(__xludf.DUMMYFUNCTION("""COMPUTED_VALUE"""),"PENDING")</f>
        <v>PENDING</v>
      </c>
      <c r="C1662" s="78">
        <f>IFERROR(__xludf.DUMMYFUNCTION("""COMPUTED_VALUE"""),46146.0)</f>
        <v>46146</v>
      </c>
      <c r="D1662" s="71" t="str">
        <f>IFERROR(__xludf.DUMMYFUNCTION("""COMPUTED_VALUE"""),"BARANGAY BATONG BUHAY FARMER'S ASSOCIATION")</f>
        <v>BARANGAY BATONG BUHAY FARMER'S ASSOCIATION</v>
      </c>
      <c r="E1662" s="71" t="str">
        <f>IFERROR(__xludf.DUMMYFUNCTION("""COMPUTED_VALUE"""),"BATONG BUHAY, SABLAYAN, OCCIDENTAL MINDORO")</f>
        <v>BATONG BUHAY, SABLAYAN, OCCIDENTAL MINDORO</v>
      </c>
      <c r="F1662" s="2"/>
      <c r="G1662" s="2">
        <f>IFERROR(__xludf.DUMMYFUNCTION("""COMPUTED_VALUE"""),9.663595285E9)</f>
        <v>9663595285</v>
      </c>
      <c r="H1662" s="2"/>
      <c r="I1662" s="72" t="str">
        <f>IFERROR(__xludf.DUMMYFUNCTION("""COMPUTED_VALUE"""),"REPAIR - TRACTOR")</f>
        <v>REPAIR - TRACTOR</v>
      </c>
      <c r="J1662" s="72" t="str">
        <f>IFERROR(__xludf.DUMMYFUNCTION("""COMPUTED_VALUE"""),"Transmission - Front Drive")</f>
        <v>Transmission - Front Drive</v>
      </c>
      <c r="K1662" s="72" t="str">
        <f>IFERROR(__xludf.DUMMYFUNCTION("""COMPUTED_VALUE"""),"LTC CS: Concern: tractor problem front wheel ayaw umikot ung dalawang gulong
Palitin ung oil seal")</f>
        <v>LTC CS: Concern: tractor problem front wheel ayaw umikot ung dalawang gulong
Palitin ung oil seal</v>
      </c>
      <c r="L1662" s="72"/>
      <c r="M1662" s="2" t="str">
        <f>IFERROR(__xludf.DUMMYFUNCTION("""COMPUTED_VALUE"""),"TA00033454 - RING GEAR ASSY")</f>
        <v>TA00033454 - RING GEAR ASSY</v>
      </c>
      <c r="N1662" s="2"/>
      <c r="O1662" s="2"/>
      <c r="P1662" s="2"/>
      <c r="Q1662" s="2"/>
      <c r="R1662" s="2"/>
      <c r="S1662" s="2"/>
      <c r="T1662" s="2"/>
      <c r="U1662" s="2"/>
      <c r="V1662" s="2"/>
      <c r="W1662" s="2"/>
      <c r="X1662" s="2"/>
      <c r="Y1662" s="2"/>
      <c r="Z1662" s="2"/>
      <c r="AA1662" s="2"/>
      <c r="AB1662" s="2"/>
      <c r="AC1662" s="2"/>
      <c r="AD1662" s="2"/>
      <c r="AE1662" s="2"/>
      <c r="AF1662" s="2"/>
      <c r="AG1662" s="2"/>
      <c r="AH1662" s="2"/>
      <c r="AI1662" s="2"/>
      <c r="AJ1662" s="2" t="str">
        <f>IFERROR(__xludf.DUMMYFUNCTION("""COMPUTED_VALUE"""),"Batong Buhay")</f>
        <v>Batong Buhay</v>
      </c>
      <c r="AK1662" s="2" t="str">
        <f>IFERROR(__xludf.DUMMYFUNCTION("""COMPUTED_VALUE"""),"Sablayan")</f>
        <v>Sablayan</v>
      </c>
      <c r="AL1662" s="2" t="str">
        <f>IFERROR(__xludf.DUMMYFUNCTION("""COMPUTED_VALUE"""),"Occidental Mindoro")</f>
        <v>Occidental Mindoro</v>
      </c>
      <c r="AM1662" s="2" t="str">
        <f>IFERROR(__xludf.DUMMYFUNCTION("""COMPUTED_VALUE"""),"4B")</f>
        <v>4B</v>
      </c>
      <c r="AN1662" s="2" t="str">
        <f>IFERROR(__xludf.DUMMYFUNCTION("""COMPUTED_VALUE"""),"RCEF 23-08-20 Rebidding")</f>
        <v>RCEF 23-08-20 Rebidding</v>
      </c>
      <c r="AO1662" s="2">
        <f>IFERROR(__xludf.DUMMYFUNCTION("""COMPUTED_VALUE"""),1.0)</f>
        <v>1</v>
      </c>
      <c r="AP1662" s="2"/>
      <c r="AQ1662" s="2"/>
      <c r="AR1662" s="2"/>
      <c r="AS1662" s="2"/>
      <c r="AT1662" s="2"/>
      <c r="AU1662" s="2"/>
      <c r="AV1662" s="2"/>
      <c r="AW1662" s="2"/>
      <c r="AX1662" s="2"/>
      <c r="AY1662" s="2"/>
      <c r="AZ1662" s="2"/>
      <c r="BA1662" s="2"/>
      <c r="BB1662" s="2"/>
    </row>
    <row r="1663">
      <c r="A1663" s="2">
        <f>IFERROR(__xludf.DUMMYFUNCTION("""COMPUTED_VALUE"""),1659.0)</f>
        <v>1659</v>
      </c>
      <c r="B1663" s="2" t="str">
        <f>IFERROR(__xludf.DUMMYFUNCTION("""COMPUTED_VALUE"""),"PENDING")</f>
        <v>PENDING</v>
      </c>
      <c r="C1663" s="78">
        <f>IFERROR(__xludf.DUMMYFUNCTION("""COMPUTED_VALUE"""),46146.0)</f>
        <v>46146</v>
      </c>
      <c r="D1663" s="71" t="str">
        <f>IFERROR(__xludf.DUMMYFUNCTION("""COMPUTED_VALUE"""),"City Local Government Unit of Sorsogon")</f>
        <v>City Local Government Unit of Sorsogon</v>
      </c>
      <c r="E1663" s="71" t="str">
        <f>IFERROR(__xludf.DUMMYFUNCTION("""COMPUTED_VALUE"""),"Cabid-An, Sorsogon City, SORSOGON")</f>
        <v>Cabid-An, Sorsogon City, SORSOGON</v>
      </c>
      <c r="F1663" s="2" t="str">
        <f>IFERROR(__xludf.DUMMYFUNCTION("""COMPUTED_VALUE"""),"Cris Legaspi")</f>
        <v>Cris Legaspi</v>
      </c>
      <c r="G1663" s="2">
        <f>IFERROR(__xludf.DUMMYFUNCTION("""COMPUTED_VALUE"""),9.919468E8)</f>
        <v>991946800</v>
      </c>
      <c r="H1663" s="2"/>
      <c r="I1663" s="72" t="str">
        <f>IFERROR(__xludf.DUMMYFUNCTION("""COMPUTED_VALUE"""),"REPAIR - LOADER")</f>
        <v>REPAIR - LOADER</v>
      </c>
      <c r="J1663" s="72" t="str">
        <f>IFERROR(__xludf.DUMMYFUNCTION("""COMPUTED_VALUE"""),"Cable lock")</f>
        <v>Cable lock</v>
      </c>
      <c r="K1663" s="72" t="str">
        <f>IFERROR(__xludf.DUMMYFUNCTION("""COMPUTED_VALUE"""),"FSJ: Problem : cable lock")</f>
        <v>FSJ: Problem : cable lock</v>
      </c>
      <c r="L1663" s="72"/>
      <c r="M1663" s="2" t="str">
        <f>IFERROR(__xludf.DUMMYFUNCTION("""COMPUTED_VALUE"""),"CABLE LOCK")</f>
        <v>CABLE LOCK</v>
      </c>
      <c r="N1663" s="2"/>
      <c r="O1663" s="2"/>
      <c r="P1663" s="2"/>
      <c r="Q1663" s="2"/>
      <c r="R1663" s="2"/>
      <c r="S1663" s="2"/>
      <c r="T1663" s="2"/>
      <c r="U1663" s="2"/>
      <c r="V1663" s="2"/>
      <c r="W1663" s="2"/>
      <c r="X1663" s="2"/>
      <c r="Y1663" s="2"/>
      <c r="Z1663" s="2"/>
      <c r="AA1663" s="2"/>
      <c r="AB1663" s="2"/>
      <c r="AC1663" s="2"/>
      <c r="AD1663" s="2"/>
      <c r="AE1663" s="2"/>
      <c r="AF1663" s="2"/>
      <c r="AG1663" s="2"/>
      <c r="AH1663" s="2"/>
      <c r="AI1663" s="2"/>
      <c r="AJ1663" s="2" t="str">
        <f>IFERROR(__xludf.DUMMYFUNCTION("""COMPUTED_VALUE"""),"Cabid-An")</f>
        <v>Cabid-An</v>
      </c>
      <c r="AK1663" s="2" t="str">
        <f>IFERROR(__xludf.DUMMYFUNCTION("""COMPUTED_VALUE"""),"Sorsogon City")</f>
        <v>Sorsogon City</v>
      </c>
      <c r="AL1663" s="2" t="str">
        <f>IFERROR(__xludf.DUMMYFUNCTION("""COMPUTED_VALUE"""),"Sorsogon")</f>
        <v>Sorsogon</v>
      </c>
      <c r="AM1663" s="2">
        <f>IFERROR(__xludf.DUMMYFUNCTION("""COMPUTED_VALUE"""),5.0)</f>
        <v>5</v>
      </c>
      <c r="AN1663" s="2" t="str">
        <f>IFERROR(__xludf.DUMMYFUNCTION("""COMPUTED_VALUE"""),"RCEF 25-03-05")</f>
        <v>RCEF 25-03-05</v>
      </c>
      <c r="AO1663" s="2">
        <f>IFERROR(__xludf.DUMMYFUNCTION("""COMPUTED_VALUE"""),6.0)</f>
        <v>6</v>
      </c>
      <c r="AP1663" s="2" t="str">
        <f>IFERROR(__xludf.DUMMYFUNCTION("""COMPUTED_VALUE"""),"FREE PMS")</f>
        <v>FREE PMS</v>
      </c>
      <c r="AQ1663" s="2"/>
      <c r="AR1663" s="2"/>
      <c r="AS1663" s="2"/>
      <c r="AT1663" s="2"/>
      <c r="AU1663" s="2"/>
      <c r="AV1663" s="2"/>
      <c r="AW1663" s="2"/>
      <c r="AX1663" s="2"/>
      <c r="AY1663" s="2"/>
      <c r="AZ1663" s="2"/>
      <c r="BA1663" s="2"/>
      <c r="BB1663" s="2"/>
    </row>
    <row r="1664">
      <c r="A1664" s="2">
        <f>IFERROR(__xludf.DUMMYFUNCTION("""COMPUTED_VALUE"""),1660.0)</f>
        <v>1660</v>
      </c>
      <c r="B1664" s="2" t="str">
        <f>IFERROR(__xludf.DUMMYFUNCTION("""COMPUTED_VALUE"""),"COMPLETED")</f>
        <v>COMPLETED</v>
      </c>
      <c r="C1664" s="78">
        <f>IFERROR(__xludf.DUMMYFUNCTION("""COMPUTED_VALUE"""),46146.0)</f>
        <v>46146</v>
      </c>
      <c r="D1664" s="71" t="str">
        <f>IFERROR(__xludf.DUMMYFUNCTION("""COMPUTED_VALUE"""),"Casantacruzan Mabangcal Farmers Association")</f>
        <v>Casantacruzan Mabangcal Farmers Association</v>
      </c>
      <c r="E1664" s="71" t="str">
        <f>IFERROR(__xludf.DUMMYFUNCTION("""COMPUTED_VALUE"""),"Beddeng, San Narciso, ZAMBALES")</f>
        <v>Beddeng, San Narciso, ZAMBALES</v>
      </c>
      <c r="F1664" s="2" t="str">
        <f>IFERROR(__xludf.DUMMYFUNCTION("""COMPUTED_VALUE"""),"Loreto Bernardino")</f>
        <v>Loreto Bernardino</v>
      </c>
      <c r="G1664" s="2">
        <f>IFERROR(__xludf.DUMMYFUNCTION("""COMPUTED_VALUE"""),9.305219193E9)</f>
        <v>9305219193</v>
      </c>
      <c r="H1664" s="2"/>
      <c r="I1664" s="72" t="str">
        <f>IFERROR(__xludf.DUMMYFUNCTION("""COMPUTED_VALUE"""),"REPAIR - LOADER")</f>
        <v>REPAIR - LOADER</v>
      </c>
      <c r="J1664" s="72" t="str">
        <f>IFERROR(__xludf.DUMMYFUNCTION("""COMPUTED_VALUE"""),"Cable lock")</f>
        <v>Cable lock</v>
      </c>
      <c r="K1664" s="72" t="str">
        <f>IFERROR(__xludf.DUMMYFUNCTION("""COMPUTED_VALUE"""),"KFS: yung sa may bucket daw po nahihirapan daw po i-move, sa rotor daw po ayaw daw po humila/kumain nahihirapan daw po yung tractror. ")</f>
        <v>KFS: yung sa may bucket daw po nahihirapan daw po i-move, sa rotor daw po ayaw daw po humila/kumain nahihirapan daw po yung tractror. </v>
      </c>
      <c r="L1664" s="72" t="str">
        <f>IFERROR(__xludf.DUMMYFUNCTION("""COMPUTED_VALUE"""),"5/6/26 - 1104: JVV: DEFECTIVE CABLE LOCK OF FRONT LOADER
ACS: MADUMI ANG FUEL TANK -  NILINIS ANG FUEL TANK")</f>
        <v>5/6/26 - 1104: JVV: DEFECTIVE CABLE LOCK OF FRONT LOADER
ACS: MADUMI ANG FUEL TANK -  NILINIS ANG FUEL TANK</v>
      </c>
      <c r="M1664" s="2" t="str">
        <f>IFERROR(__xludf.DUMMYFUNCTION("""COMPUTED_VALUE"""),"CABLE LOCK
FUEL PUMP HF20190000A2/CT0547000KA2")</f>
        <v>CABLE LOCK
FUEL PUMP HF20190000A2/CT0547000KA2</v>
      </c>
      <c r="N1664" s="2"/>
      <c r="O1664" s="2">
        <f>IFERROR(__xludf.DUMMYFUNCTION("""COMPUTED_VALUE"""),688.0)</f>
        <v>688</v>
      </c>
      <c r="P1664" s="2"/>
      <c r="Q1664" s="2" t="str">
        <f>IFERROR(__xludf.DUMMYFUNCTION("""COMPUTED_VALUE"""),"FOR PRINT")</f>
        <v>FOR PRINT</v>
      </c>
      <c r="R1664" s="74">
        <f>IFERROR(__xludf.DUMMYFUNCTION("""COMPUTED_VALUE"""),46161.0)</f>
        <v>46161</v>
      </c>
      <c r="S1664" s="2" t="str">
        <f>IFERROR(__xludf.DUMMYFUNCTION("""COMPUTED_VALUE"""),"JHP/ACS")</f>
        <v>JHP/ACS</v>
      </c>
      <c r="T1664" s="73" t="str">
        <f>IFERROR(__xludf.DUMMYFUNCTION("""COMPUTED_VALUE""")," N/A ")</f>
        <v>N/A</v>
      </c>
      <c r="U1664" s="73" t="str">
        <f>IFERROR(__xludf.DUMMYFUNCTION("""COMPUTED_VALUE""")," NO CHARGE ")</f>
        <v>NO CHARGE</v>
      </c>
      <c r="V1664" s="2" t="str">
        <f>IFERROR(__xludf.DUMMYFUNCTION("""COMPUTED_VALUE"""),"N/A")</f>
        <v>N/A</v>
      </c>
      <c r="W1664" s="2" t="str">
        <f>IFERROR(__xludf.DUMMYFUNCTION("""COMPUTED_VALUE"""),"N/A")</f>
        <v>N/A</v>
      </c>
      <c r="X1664" s="2" t="str">
        <f>IFERROR(__xludf.DUMMYFUNCTION("""COMPUTED_VALUE"""),"N/A")</f>
        <v>N/A</v>
      </c>
      <c r="Y1664" s="2"/>
      <c r="Z1664" s="2"/>
      <c r="AA1664" s="2"/>
      <c r="AB1664" s="2"/>
      <c r="AC1664" s="2"/>
      <c r="AD1664" s="2"/>
      <c r="AE1664" s="2"/>
      <c r="AF1664" s="2"/>
      <c r="AG1664" s="2"/>
      <c r="AH1664" s="2"/>
      <c r="AI1664" s="2"/>
      <c r="AJ1664" s="2" t="str">
        <f>IFERROR(__xludf.DUMMYFUNCTION("""COMPUTED_VALUE"""),"Beddeng")</f>
        <v>Beddeng</v>
      </c>
      <c r="AK1664" s="2" t="str">
        <f>IFERROR(__xludf.DUMMYFUNCTION("""COMPUTED_VALUE"""),"San Narciso")</f>
        <v>San Narciso</v>
      </c>
      <c r="AL1664" s="2" t="str">
        <f>IFERROR(__xludf.DUMMYFUNCTION("""COMPUTED_VALUE"""),"Zambales")</f>
        <v>Zambales</v>
      </c>
      <c r="AM1664" s="2">
        <f>IFERROR(__xludf.DUMMYFUNCTION("""COMPUTED_VALUE"""),3.0)</f>
        <v>3</v>
      </c>
      <c r="AN1664" s="2" t="str">
        <f>IFERROR(__xludf.DUMMYFUNCTION("""COMPUTED_VALUE"""),"RCEF 25-03-05")</f>
        <v>RCEF 25-03-05</v>
      </c>
      <c r="AO1664" s="2">
        <f>IFERROR(__xludf.DUMMYFUNCTION("""COMPUTED_VALUE"""),5.0)</f>
        <v>5</v>
      </c>
      <c r="AP1664" s="2" t="str">
        <f>IFERROR(__xludf.DUMMYFUNCTION("""COMPUTED_VALUE"""),"FREE PMS")</f>
        <v>FREE PMS</v>
      </c>
      <c r="AQ1664" s="2"/>
      <c r="AR1664" s="2"/>
      <c r="AS1664" s="2"/>
      <c r="AT1664" s="2"/>
      <c r="AU1664" s="2"/>
      <c r="AV1664" s="2"/>
      <c r="AW1664" s="2"/>
      <c r="AX1664" s="2"/>
      <c r="AY1664" s="2"/>
      <c r="AZ1664" s="2"/>
      <c r="BA1664" s="2"/>
      <c r="BB1664" s="2"/>
    </row>
    <row r="1665">
      <c r="A1665" s="2">
        <f>IFERROR(__xludf.DUMMYFUNCTION("""COMPUTED_VALUE"""),1661.0)</f>
        <v>1661</v>
      </c>
      <c r="B1665" s="2" t="str">
        <f>IFERROR(__xludf.DUMMYFUNCTION("""COMPUTED_VALUE"""),"COMPLETED")</f>
        <v>COMPLETED</v>
      </c>
      <c r="C1665" s="78">
        <f>IFERROR(__xludf.DUMMYFUNCTION("""COMPUTED_VALUE"""),46146.0)</f>
        <v>46146</v>
      </c>
      <c r="D1665" s="71" t="str">
        <f>IFERROR(__xludf.DUMMYFUNCTION("""COMPUTED_VALUE"""),"MASAGANANG BUKIRIN FARMERS ASSOCIATION")</f>
        <v>MASAGANANG BUKIRIN FARMERS ASSOCIATION</v>
      </c>
      <c r="E1665" s="71" t="str">
        <f>IFERROR(__xludf.DUMMYFUNCTION("""COMPUTED_VALUE"""),"La Paz (Pob.), San Marcelino, ZAMBALES")</f>
        <v>La Paz (Pob.), San Marcelino, ZAMBALES</v>
      </c>
      <c r="F1665" s="2"/>
      <c r="G1665" s="2">
        <f>IFERROR(__xludf.DUMMYFUNCTION("""COMPUTED_VALUE"""),9.560044587E9)</f>
        <v>9560044587</v>
      </c>
      <c r="H1665" s="2"/>
      <c r="I1665" s="72" t="str">
        <f>IFERROR(__xludf.DUMMYFUNCTION("""COMPUTED_VALUE"""),"REPAIR - TRACTOR")</f>
        <v>REPAIR - TRACTOR</v>
      </c>
      <c r="J1665" s="72" t="str">
        <f>IFERROR(__xludf.DUMMYFUNCTION("""COMPUTED_VALUE"""),"CHECK UP UNIT")</f>
        <v>CHECK UP UNIT</v>
      </c>
      <c r="K1665" s="72" t="str">
        <f>IFERROR(__xludf.DUMMYFUNCTION("""COMPUTED_VALUE"""),"JIE: CONCERN: PTO problem pagkatapos ng isang area pag ginamit uli matagal naman umandar kailangan pa mag antay ng 1 iang oras para magamit.
Kailangan nya mag pa schedule")</f>
        <v>JIE: CONCERN: PTO problem pagkatapos ng isang area pag ginamit uli matagal naman umandar kailangan pa mag antay ng 1 iang oras para magamit.
Kailangan nya mag pa schedule</v>
      </c>
      <c r="L1665" s="72" t="str">
        <f>IFERROR(__xludf.DUMMYFUNCTION("""COMPUTED_VALUE"""),"EGT: HINDI NA PINAGAWA NG FCA YUNG UNIT , BUMILI LANG SILA NG HYDRAULIC FILTER")</f>
        <v>EGT: HINDI NA PINAGAWA NG FCA YUNG UNIT , BUMILI LANG SILA NG HYDRAULIC FILTER</v>
      </c>
      <c r="M1665" s="2"/>
      <c r="N1665" s="2" t="str">
        <f>IFERROR(__xludf.DUMMYFUNCTION("""COMPUTED_VALUE"""),"PARTS:
HYDRAULIC FILTER")</f>
        <v>PARTS:
HYDRAULIC FILTER</v>
      </c>
      <c r="O1665" s="2" t="str">
        <f>IFERROR(__xludf.DUMMYFUNCTION("""COMPUTED_VALUE"""),"N/A")</f>
        <v>N/A</v>
      </c>
      <c r="P1665" s="2"/>
      <c r="Q1665" s="2"/>
      <c r="R1665" s="74">
        <f>IFERROR(__xludf.DUMMYFUNCTION("""COMPUTED_VALUE"""),46154.0)</f>
        <v>46154</v>
      </c>
      <c r="S1665" s="2" t="str">
        <f>IFERROR(__xludf.DUMMYFUNCTION("""COMPUTED_VALUE"""),"EGT")</f>
        <v>EGT</v>
      </c>
      <c r="T1665" s="73">
        <f>IFERROR(__xludf.DUMMYFUNCTION("""COMPUTED_VALUE"""),2800.0)</f>
        <v>2800</v>
      </c>
      <c r="U1665" s="73" t="str">
        <f>IFERROR(__xludf.DUMMYFUNCTION("""COMPUTED_VALUE""")," FOR REMIT ")</f>
        <v>FOR REMIT</v>
      </c>
      <c r="V1665" s="2">
        <f>IFERROR(__xludf.DUMMYFUNCTION("""COMPUTED_VALUE"""),1333.0)</f>
        <v>1333</v>
      </c>
      <c r="W1665" s="2">
        <f>IFERROR(__xludf.DUMMYFUNCTION("""COMPUTED_VALUE"""),1680.0)</f>
        <v>1680</v>
      </c>
      <c r="X1665" s="2">
        <f>IFERROR(__xludf.DUMMYFUNCTION("""COMPUTED_VALUE"""),1783.0)</f>
        <v>1783</v>
      </c>
      <c r="Y1665" s="2"/>
      <c r="Z1665" s="2"/>
      <c r="AA1665" s="2"/>
      <c r="AB1665" s="2"/>
      <c r="AC1665" s="2"/>
      <c r="AD1665" s="2"/>
      <c r="AE1665" s="2"/>
      <c r="AF1665" s="2"/>
      <c r="AG1665" s="2"/>
      <c r="AH1665" s="2"/>
      <c r="AI1665" s="2"/>
      <c r="AJ1665" s="2" t="str">
        <f>IFERROR(__xludf.DUMMYFUNCTION("""COMPUTED_VALUE"""),"La Paz (Pob.)")</f>
        <v>La Paz (Pob.)</v>
      </c>
      <c r="AK1665" s="2" t="str">
        <f>IFERROR(__xludf.DUMMYFUNCTION("""COMPUTED_VALUE"""),"San Marcelino")</f>
        <v>San Marcelino</v>
      </c>
      <c r="AL1665" s="2" t="str">
        <f>IFERROR(__xludf.DUMMYFUNCTION("""COMPUTED_VALUE"""),"Zambales")</f>
        <v>Zambales</v>
      </c>
      <c r="AM1665" s="2">
        <f>IFERROR(__xludf.DUMMYFUNCTION("""COMPUTED_VALUE"""),3.0)</f>
        <v>3</v>
      </c>
      <c r="AN1665" s="2" t="str">
        <f>IFERROR(__xludf.DUMMYFUNCTION("""COMPUTED_VALUE"""),"RCEF 23-09-21 Rebidding")</f>
        <v>RCEF 23-09-21 Rebidding</v>
      </c>
      <c r="AO1665" s="2">
        <f>IFERROR(__xludf.DUMMYFUNCTION("""COMPUTED_VALUE"""),9.0)</f>
        <v>9</v>
      </c>
      <c r="AP1665" s="2"/>
      <c r="AQ1665" s="2"/>
      <c r="AR1665" s="2"/>
      <c r="AS1665" s="2"/>
      <c r="AT1665" s="2"/>
      <c r="AU1665" s="2"/>
      <c r="AV1665" s="2"/>
      <c r="AW1665" s="2"/>
      <c r="AX1665" s="2"/>
      <c r="AY1665" s="2"/>
      <c r="AZ1665" s="2"/>
      <c r="BA1665" s="2"/>
      <c r="BB1665" s="2"/>
    </row>
    <row r="1666">
      <c r="A1666" s="2">
        <f>IFERROR(__xludf.DUMMYFUNCTION("""COMPUTED_VALUE"""),1662.0)</f>
        <v>1662</v>
      </c>
      <c r="B1666" s="2" t="str">
        <f>IFERROR(__xludf.DUMMYFUNCTION("""COMPUTED_VALUE"""),"PENDING")</f>
        <v>PENDING</v>
      </c>
      <c r="C1666" s="78">
        <f>IFERROR(__xludf.DUMMYFUNCTION("""COMPUTED_VALUE"""),46146.0)</f>
        <v>46146</v>
      </c>
      <c r="D1666" s="71" t="str">
        <f>IFERROR(__xludf.DUMMYFUNCTION("""COMPUTED_VALUE"""),"GRUPO TI NAGAGAGET NGA MANNALON INC.")</f>
        <v>GRUPO TI NAGAGAGET NGA MANNALON INC.</v>
      </c>
      <c r="E1666" s="71" t="str">
        <f>IFERROR(__xludf.DUMMYFUNCTION("""COMPUTED_VALUE"""),"Abot Molina, Umingan, PANGASINAN")</f>
        <v>Abot Molina, Umingan, PANGASINAN</v>
      </c>
      <c r="F1666" s="2" t="str">
        <f>IFERROR(__xludf.DUMMYFUNCTION("""COMPUTED_VALUE"""),"Nicolas C. Sibayan")</f>
        <v>Nicolas C. Sibayan</v>
      </c>
      <c r="G1666" s="2" t="str">
        <f>IFERROR(__xludf.DUMMYFUNCTION("""COMPUTED_VALUE"""),"977 068 7402")</f>
        <v>977 068 7402</v>
      </c>
      <c r="H1666" s="2">
        <f>IFERROR(__xludf.DUMMYFUNCTION("""COMPUTED_VALUE"""),1034.0)</f>
        <v>1034</v>
      </c>
      <c r="I1666" s="72" t="str">
        <f>IFERROR(__xludf.DUMMYFUNCTION("""COMPUTED_VALUE"""),"SPARE PARTS ACQUISITION")</f>
        <v>SPARE PARTS ACQUISITION</v>
      </c>
      <c r="J1666" s="72"/>
      <c r="K1666" s="72" t="str">
        <f>IFERROR(__xludf.DUMMYFUNCTION("""COMPUTED_VALUE"""),"MYK: PARTS REQUEST: BEARING OF 4X4 (W/ PICTURE) 
24141-320060 roller bearing")</f>
        <v>MYK: PARTS REQUEST: BEARING OF 4X4 (W/ PICTURE) 
24141-320060 roller bearing</v>
      </c>
      <c r="L1666" s="72" t="str">
        <f>IFERROR(__xludf.DUMMYFUNCTION("""COMPUTED_VALUE"""),"MYK: PARTS AVAILABLE TO FIT COREA
MYK: INFORM CLIENT PARTS PRICE-  PUMUNTA DAW NG MAYNILA YUNG OPERATOR NILA AT DUN SA KASALI BIBILI PAG WALA DAW NABILHAN SAATIN DAW KUKUHA NG PARTS. ")</f>
        <v>MYK: PARTS AVAILABLE TO FIT COREA
MYK: INFORM CLIENT PARTS PRICE-  PUMUNTA DAW NG MAYNILA YUNG OPERATOR NILA AT DUN SA KASALI BIBILI PAG WALA DAW NABILHAN SAATIN DAW KUKUHA NG PARTS. </v>
      </c>
      <c r="M1666" s="2" t="str">
        <f>IFERROR(__xludf.DUMMYFUNCTION("""COMPUTED_VALUE"""),"BEARING, ROLLER (#32-00-60) - 24141-320060")</f>
        <v>BEARING, ROLLER (#32-00-60) - 24141-320060</v>
      </c>
      <c r="N1666" s="2"/>
      <c r="O1666" s="2"/>
      <c r="P1666" s="2"/>
      <c r="Q1666" s="2"/>
      <c r="R1666" s="2"/>
      <c r="S1666" s="2"/>
      <c r="T1666" s="2"/>
      <c r="U1666" s="2"/>
      <c r="V1666" s="2"/>
      <c r="W1666" s="2"/>
      <c r="X1666" s="2"/>
      <c r="Y1666" s="2"/>
      <c r="Z1666" s="2"/>
      <c r="AA1666" s="2"/>
      <c r="AB1666" s="2"/>
      <c r="AC1666" s="2"/>
      <c r="AD1666" s="2"/>
      <c r="AE1666" s="2"/>
      <c r="AF1666" s="2"/>
      <c r="AG1666" s="2"/>
      <c r="AH1666" s="2"/>
      <c r="AI1666" s="2"/>
      <c r="AJ1666" s="2" t="str">
        <f>IFERROR(__xludf.DUMMYFUNCTION("""COMPUTED_VALUE"""),"Abot Molina")</f>
        <v>Abot Molina</v>
      </c>
      <c r="AK1666" s="2" t="str">
        <f>IFERROR(__xludf.DUMMYFUNCTION("""COMPUTED_VALUE"""),"Umingan")</f>
        <v>Umingan</v>
      </c>
      <c r="AL1666" s="2" t="str">
        <f>IFERROR(__xludf.DUMMYFUNCTION("""COMPUTED_VALUE"""),"Pangasinan")</f>
        <v>Pangasinan</v>
      </c>
      <c r="AM1666" s="2">
        <f>IFERROR(__xludf.DUMMYFUNCTION("""COMPUTED_VALUE"""),1.0)</f>
        <v>1</v>
      </c>
      <c r="AN1666" s="2" t="str">
        <f>IFERROR(__xludf.DUMMYFUNCTION("""COMPUTED_VALUE"""),"RCEF 23-09-21 Rebidding")</f>
        <v>RCEF 23-09-21 Rebidding</v>
      </c>
      <c r="AO1666" s="2">
        <f>IFERROR(__xludf.DUMMYFUNCTION("""COMPUTED_VALUE"""),2.0)</f>
        <v>2</v>
      </c>
      <c r="AP1666" s="2"/>
      <c r="AQ1666" s="2"/>
      <c r="AR1666" s="2"/>
      <c r="AS1666" s="2"/>
      <c r="AT1666" s="2"/>
      <c r="AU1666" s="2"/>
      <c r="AV1666" s="2"/>
      <c r="AW1666" s="2"/>
      <c r="AX1666" s="2"/>
      <c r="AY1666" s="2"/>
      <c r="AZ1666" s="2"/>
      <c r="BA1666" s="2"/>
      <c r="BB1666" s="2"/>
    </row>
    <row r="1667">
      <c r="A1667" s="2">
        <f>IFERROR(__xludf.DUMMYFUNCTION("""COMPUTED_VALUE"""),1663.0)</f>
        <v>1663</v>
      </c>
      <c r="B1667" s="2" t="str">
        <f>IFERROR(__xludf.DUMMYFUNCTION("""COMPUTED_VALUE"""),"COMPLETED")</f>
        <v>COMPLETED</v>
      </c>
      <c r="C1667" s="74">
        <f>IFERROR(__xludf.DUMMYFUNCTION("""COMPUTED_VALUE"""),46146.0)</f>
        <v>46146</v>
      </c>
      <c r="D1667" s="71" t="str">
        <f>IFERROR(__xludf.DUMMYFUNCTION("""COMPUTED_VALUE"""),"CANTARICIO IRRIGATORS ASSOCIATION, INC.")</f>
        <v>CANTARICIO IRRIGATORS ASSOCIATION, INC.</v>
      </c>
      <c r="E1667" s="71" t="str">
        <f>IFERROR(__xludf.DUMMYFUNCTION("""COMPUTED_VALUE"""),"Garita I A, Maragondon, CAVITE")</f>
        <v>Garita I A, Maragondon, CAVITE</v>
      </c>
      <c r="F1667" s="2" t="str">
        <f>IFERROR(__xludf.DUMMYFUNCTION("""COMPUTED_VALUE"""),"Ladislao C. Completo")</f>
        <v>Ladislao C. Completo</v>
      </c>
      <c r="G1667" s="2">
        <f>IFERROR(__xludf.DUMMYFUNCTION("""COMPUTED_VALUE"""),9.655462216E9)</f>
        <v>9655462216</v>
      </c>
      <c r="H1667" s="2">
        <f>IFERROR(__xludf.DUMMYFUNCTION("""COMPUTED_VALUE"""),380.0)</f>
        <v>380</v>
      </c>
      <c r="I1667" s="72" t="str">
        <f>IFERROR(__xludf.DUMMYFUNCTION("""COMPUTED_VALUE"""),"REPAIR - TRACTOR")</f>
        <v>REPAIR - TRACTOR</v>
      </c>
      <c r="J1667" s="72" t="str">
        <f>IFERROR(__xludf.DUMMYFUNCTION("""COMPUTED_VALUE"""),"Electrical - Nuetral Switch")</f>
        <v>Electrical - Nuetral Switch</v>
      </c>
      <c r="K1667" s="72" t="str">
        <f>IFERROR(__xludf.DUMMYFUNCTION("""COMPUTED_VALUE"""),"RCG: NEUTRAL SENSOR NOT WORKING")</f>
        <v>RCG: NEUTRAL SENSOR NOT WORKING</v>
      </c>
      <c r="L1667" s="72" t="str">
        <f>IFERROR(__xludf.DUMMYFUNCTION("""COMPUTED_VALUE"""),"RCG: CHECK THE BATTERY, FUSE, AND RELAY, THEN BYPASS THE NEUTRAL SENSOR")</f>
        <v>RCG: CHECK THE BATTERY, FUSE, AND RELAY, THEN BYPASS THE NEUTRAL SENSOR</v>
      </c>
      <c r="M1667" s="2"/>
      <c r="N1667" s="2"/>
      <c r="O1667" s="2">
        <f>IFERROR(__xludf.DUMMYFUNCTION("""COMPUTED_VALUE"""),738.0)</f>
        <v>738</v>
      </c>
      <c r="P1667" s="2"/>
      <c r="Q1667" s="2" t="str">
        <f>IFERROR(__xludf.DUMMYFUNCTION("""COMPUTED_VALUE"""),"FOR PRINT")</f>
        <v>FOR PRINT</v>
      </c>
      <c r="R1667" s="74">
        <f>IFERROR(__xludf.DUMMYFUNCTION("""COMPUTED_VALUE"""),46146.0)</f>
        <v>46146</v>
      </c>
      <c r="S1667" s="2" t="str">
        <f>IFERROR(__xludf.DUMMYFUNCTION("""COMPUTED_VALUE"""),"RCG/RBS")</f>
        <v>RCG/RBS</v>
      </c>
      <c r="T1667" s="73" t="str">
        <f>IFERROR(__xludf.DUMMYFUNCTION("""COMPUTED_VALUE""")," N/A ")</f>
        <v>N/A</v>
      </c>
      <c r="U1667" s="73" t="str">
        <f>IFERROR(__xludf.DUMMYFUNCTION("""COMPUTED_VALUE""")," NO CHARGE ")</f>
        <v>NO CHARGE</v>
      </c>
      <c r="V1667" s="2" t="str">
        <f>IFERROR(__xludf.DUMMYFUNCTION("""COMPUTED_VALUE"""),"N/A")</f>
        <v>N/A</v>
      </c>
      <c r="W1667" s="2" t="str">
        <f>IFERROR(__xludf.DUMMYFUNCTION("""COMPUTED_VALUE"""),"N/A")</f>
        <v>N/A</v>
      </c>
      <c r="X1667" s="2" t="str">
        <f>IFERROR(__xludf.DUMMYFUNCTION("""COMPUTED_VALUE"""),"N/A")</f>
        <v>N/A</v>
      </c>
      <c r="Y1667" s="2"/>
      <c r="Z1667" s="2"/>
      <c r="AA1667" s="2"/>
      <c r="AB1667" s="2"/>
      <c r="AC1667" s="2"/>
      <c r="AD1667" s="2"/>
      <c r="AE1667" s="2"/>
      <c r="AF1667" s="2"/>
      <c r="AG1667" s="2"/>
      <c r="AH1667" s="2"/>
      <c r="AI1667" s="2"/>
      <c r="AJ1667" s="2" t="str">
        <f>IFERROR(__xludf.DUMMYFUNCTION("""COMPUTED_VALUE"""),"Garita I A")</f>
        <v>Garita I A</v>
      </c>
      <c r="AK1667" s="2" t="str">
        <f>IFERROR(__xludf.DUMMYFUNCTION("""COMPUTED_VALUE"""),"Maragondon")</f>
        <v>Maragondon</v>
      </c>
      <c r="AL1667" s="2" t="str">
        <f>IFERROR(__xludf.DUMMYFUNCTION("""COMPUTED_VALUE"""),"Cavite")</f>
        <v>Cavite</v>
      </c>
      <c r="AM1667" s="2" t="str">
        <f>IFERROR(__xludf.DUMMYFUNCTION("""COMPUTED_VALUE"""),"4A")</f>
        <v>4A</v>
      </c>
      <c r="AN1667" s="2" t="str">
        <f>IFERROR(__xludf.DUMMYFUNCTION("""COMPUTED_VALUE"""),"RCEF 24-04-15")</f>
        <v>RCEF 24-04-15</v>
      </c>
      <c r="AO1667" s="2">
        <f>IFERROR(__xludf.DUMMYFUNCTION("""COMPUTED_VALUE"""),7.0)</f>
        <v>7</v>
      </c>
      <c r="AP1667" s="2" t="str">
        <f>IFERROR(__xludf.DUMMYFUNCTION("""COMPUTED_VALUE"""),"FREE PMS")</f>
        <v>FREE PMS</v>
      </c>
      <c r="AQ1667" s="2"/>
      <c r="AR1667" s="2"/>
      <c r="AS1667" s="2"/>
      <c r="AT1667" s="2"/>
      <c r="AU1667" s="2"/>
      <c r="AV1667" s="2"/>
      <c r="AW1667" s="2"/>
      <c r="AX1667" s="2"/>
      <c r="AY1667" s="2"/>
      <c r="AZ1667" s="2"/>
      <c r="BA1667" s="2"/>
      <c r="BB1667" s="2"/>
    </row>
    <row r="1668">
      <c r="A1668" s="2">
        <f>IFERROR(__xludf.DUMMYFUNCTION("""COMPUTED_VALUE"""),1664.0)</f>
        <v>1664</v>
      </c>
      <c r="B1668" s="2" t="str">
        <f>IFERROR(__xludf.DUMMYFUNCTION("""COMPUTED_VALUE"""),"PENDING")</f>
        <v>PENDING</v>
      </c>
      <c r="C1668" s="78">
        <f>IFERROR(__xludf.DUMMYFUNCTION("""COMPUTED_VALUE"""),46147.0)</f>
        <v>46147</v>
      </c>
      <c r="D1668" s="71" t="str">
        <f>IFERROR(__xludf.DUMMYFUNCTION("""COMPUTED_VALUE"""),"San Pedro United Farmers Association")</f>
        <v>San Pedro United Farmers Association</v>
      </c>
      <c r="E1668" s="71" t="str">
        <f>IFERROR(__xludf.DUMMYFUNCTION("""COMPUTED_VALUE"""),"San Pedro, Pilar, CAPIZ")</f>
        <v>San Pedro, Pilar, CAPIZ</v>
      </c>
      <c r="F1668" s="2" t="str">
        <f>IFERROR(__xludf.DUMMYFUNCTION("""COMPUTED_VALUE"""),"RONNIE MUYCO")</f>
        <v>RONNIE MUYCO</v>
      </c>
      <c r="G1668" s="2">
        <f>IFERROR(__xludf.DUMMYFUNCTION("""COMPUTED_VALUE"""),9.613080999E9)</f>
        <v>9613080999</v>
      </c>
      <c r="H1668" s="2"/>
      <c r="I1668" s="72" t="str">
        <f>IFERROR(__xludf.DUMMYFUNCTION("""COMPUTED_VALUE"""),"SPARE PARTS ACQUISITION")</f>
        <v>SPARE PARTS ACQUISITION</v>
      </c>
      <c r="J1668" s="72"/>
      <c r="K1668" s="72" t="str">
        <f>IFERROR(__xludf.DUMMYFUNCTION("""COMPUTED_VALUE"""),"MYK: PARTS REQUEST:
1 - IO-RING 24311-000220
1 - CASE, FRONT GEAR TA00048728
1 - GEAR BOX, FRONT TA00033458")</f>
        <v>MYK: PARTS REQUEST:
1 - IO-RING 24311-000220
1 - CASE, FRONT GEAR TA00048728
1 - GEAR BOX, FRONT TA00033458</v>
      </c>
      <c r="L1668" s="72" t="str">
        <f>IFERROR(__xludf.DUMMYFUNCTION("""COMPUTED_VALUE"""),"MYK: FINAL PARTS REQUEST
2 - 24141-320060 roller bearing
1 - 24421-405508 oil seal 
1 - TA00041359 oil seal")</f>
        <v>MYK: FINAL PARTS REQUEST
2 - 24141-320060 roller bearing
1 - 24421-405508 oil seal 
1 - TA00041359 oil seal</v>
      </c>
      <c r="M1668" s="2" t="str">
        <f>IFERROR(__xludf.DUMMYFUNCTION("""COMPUTED_VALUE"""),"2 - 24141-320060 roller bearing
1 - 24421-405508 oil seal 
1 - TA00041359 oil seal")</f>
        <v>2 - 24141-320060 roller bearing
1 - 24421-405508 oil seal 
1 - TA00041359 oil seal</v>
      </c>
      <c r="N1668" s="2"/>
      <c r="O1668" s="2"/>
      <c r="P1668" s="2"/>
      <c r="Q1668" s="2"/>
      <c r="R1668" s="2"/>
      <c r="S1668" s="2"/>
      <c r="T1668" s="2"/>
      <c r="U1668" s="2"/>
      <c r="V1668" s="2"/>
      <c r="W1668" s="2"/>
      <c r="X1668" s="2"/>
      <c r="Y1668" s="2"/>
      <c r="Z1668" s="2"/>
      <c r="AA1668" s="2"/>
      <c r="AB1668" s="2"/>
      <c r="AC1668" s="2"/>
      <c r="AD1668" s="2"/>
      <c r="AE1668" s="2"/>
      <c r="AF1668" s="2"/>
      <c r="AG1668" s="2"/>
      <c r="AH1668" s="2"/>
      <c r="AI1668" s="2"/>
      <c r="AJ1668" s="2" t="str">
        <f>IFERROR(__xludf.DUMMYFUNCTION("""COMPUTED_VALUE"""),"San Pedro")</f>
        <v>San Pedro</v>
      </c>
      <c r="AK1668" s="2" t="str">
        <f>IFERROR(__xludf.DUMMYFUNCTION("""COMPUTED_VALUE"""),"Pilar")</f>
        <v>Pilar</v>
      </c>
      <c r="AL1668" s="2" t="str">
        <f>IFERROR(__xludf.DUMMYFUNCTION("""COMPUTED_VALUE"""),"Capiz")</f>
        <v>Capiz</v>
      </c>
      <c r="AM1668" s="2">
        <f>IFERROR(__xludf.DUMMYFUNCTION("""COMPUTED_VALUE"""),6.0)</f>
        <v>6</v>
      </c>
      <c r="AN1668" s="2" t="str">
        <f>IFERROR(__xludf.DUMMYFUNCTION("""COMPUTED_VALUE"""),"RCEF 23-09-21 Rebidding")</f>
        <v>RCEF 23-09-21 Rebidding</v>
      </c>
      <c r="AO1668" s="2">
        <f>IFERROR(__xludf.DUMMYFUNCTION("""COMPUTED_VALUE"""),4.0)</f>
        <v>4</v>
      </c>
      <c r="AP1668" s="2"/>
      <c r="AQ1668" s="2"/>
      <c r="AR1668" s="2"/>
      <c r="AS1668" s="2"/>
      <c r="AT1668" s="2"/>
      <c r="AU1668" s="2"/>
      <c r="AV1668" s="2"/>
      <c r="AW1668" s="2"/>
      <c r="AX1668" s="2"/>
      <c r="AY1668" s="2"/>
      <c r="AZ1668" s="2"/>
      <c r="BA1668" s="2"/>
      <c r="BB1668" s="2"/>
    </row>
    <row r="1669">
      <c r="A1669" s="2">
        <f>IFERROR(__xludf.DUMMYFUNCTION("""COMPUTED_VALUE"""),1665.0)</f>
        <v>1665</v>
      </c>
      <c r="B1669" s="2" t="str">
        <f>IFERROR(__xludf.DUMMYFUNCTION("""COMPUTED_VALUE"""),"PENDING")</f>
        <v>PENDING</v>
      </c>
      <c r="C1669" s="78">
        <f>IFERROR(__xludf.DUMMYFUNCTION("""COMPUTED_VALUE"""),46147.0)</f>
        <v>46147</v>
      </c>
      <c r="D1669" s="71" t="str">
        <f>IFERROR(__xludf.DUMMYFUNCTION("""COMPUTED_VALUE"""),"MEN GAWISAN NAN IGOROT ED CALALIGAN FARMERS ASSOCIATION")</f>
        <v>MEN GAWISAN NAN IGOROT ED CALALIGAN FARMERS ASSOCIATION</v>
      </c>
      <c r="E1669" s="71" t="str">
        <f>IFERROR(__xludf.DUMMYFUNCTION("""COMPUTED_VALUE"""),"Masablang, Tabuk City, KALINGA")</f>
        <v>Masablang, Tabuk City, KALINGA</v>
      </c>
      <c r="F1669" s="2" t="str">
        <f>IFERROR(__xludf.DUMMYFUNCTION("""COMPUTED_VALUE"""),"ANGELITA LUMAS-E PO")</f>
        <v>ANGELITA LUMAS-E PO</v>
      </c>
      <c r="G1669" s="2">
        <f>IFERROR(__xludf.DUMMYFUNCTION("""COMPUTED_VALUE"""),9.353940653E9)</f>
        <v>9353940653</v>
      </c>
      <c r="H1669" s="2"/>
      <c r="I1669" s="72" t="str">
        <f>IFERROR(__xludf.DUMMYFUNCTION("""COMPUTED_VALUE"""),"SPARE PARTS ACQUISITION")</f>
        <v>SPARE PARTS ACQUISITION</v>
      </c>
      <c r="J1669" s="72"/>
      <c r="K1669" s="72" t="str">
        <f>IFERROR(__xludf.DUMMYFUNCTION("""COMPUTED_VALUE"""),"MYK: PARTS REQUEST:
PST CYLINDER ASSY
")</f>
        <v>MYK: PARTS REQUEST:
PST CYLINDER ASSY
</v>
      </c>
      <c r="L1669" s="72"/>
      <c r="M1669" s="2" t="str">
        <f>IFERROR(__xludf.DUMMYFUNCTION("""COMPUTED_VALUE"""),"PST CYLINDER ASSY")</f>
        <v>PST CYLINDER ASSY</v>
      </c>
      <c r="N1669" s="2"/>
      <c r="O1669" s="2"/>
      <c r="P1669" s="2"/>
      <c r="Q1669" s="2"/>
      <c r="R1669" s="2"/>
      <c r="S1669" s="2"/>
      <c r="T1669" s="2"/>
      <c r="U1669" s="2"/>
      <c r="V1669" s="2"/>
      <c r="W1669" s="2"/>
      <c r="X1669" s="2"/>
      <c r="Y1669" s="2"/>
      <c r="Z1669" s="2"/>
      <c r="AA1669" s="2"/>
      <c r="AB1669" s="2"/>
      <c r="AC1669" s="2"/>
      <c r="AD1669" s="2"/>
      <c r="AE1669" s="2"/>
      <c r="AF1669" s="2"/>
      <c r="AG1669" s="2"/>
      <c r="AH1669" s="2"/>
      <c r="AI1669" s="2"/>
      <c r="AJ1669" s="2" t="str">
        <f>IFERROR(__xludf.DUMMYFUNCTION("""COMPUTED_VALUE"""),"Masablang")</f>
        <v>Masablang</v>
      </c>
      <c r="AK1669" s="2" t="str">
        <f>IFERROR(__xludf.DUMMYFUNCTION("""COMPUTED_VALUE"""),"Tabuk City")</f>
        <v>Tabuk City</v>
      </c>
      <c r="AL1669" s="2" t="str">
        <f>IFERROR(__xludf.DUMMYFUNCTION("""COMPUTED_VALUE"""),"Kalinga")</f>
        <v>Kalinga</v>
      </c>
      <c r="AM1669" s="2" t="str">
        <f>IFERROR(__xludf.DUMMYFUNCTION("""COMPUTED_VALUE"""),"CAR")</f>
        <v>CAR</v>
      </c>
      <c r="AN1669" s="2" t="str">
        <f>IFERROR(__xludf.DUMMYFUNCTION("""COMPUTED_VALUE"""),"RCEF 24-04-15")</f>
        <v>RCEF 24-04-15</v>
      </c>
      <c r="AO1669" s="2">
        <f>IFERROR(__xludf.DUMMYFUNCTION("""COMPUTED_VALUE"""),6.0)</f>
        <v>6</v>
      </c>
      <c r="AP1669" s="2" t="str">
        <f>IFERROR(__xludf.DUMMYFUNCTION("""COMPUTED_VALUE"""),"FREE PMS")</f>
        <v>FREE PMS</v>
      </c>
      <c r="AQ1669" s="2"/>
      <c r="AR1669" s="2"/>
      <c r="AS1669" s="2"/>
      <c r="AT1669" s="2"/>
      <c r="AU1669" s="2"/>
      <c r="AV1669" s="2"/>
      <c r="AW1669" s="2"/>
      <c r="AX1669" s="2"/>
      <c r="AY1669" s="2"/>
      <c r="AZ1669" s="2"/>
      <c r="BA1669" s="2"/>
      <c r="BB1669" s="2"/>
    </row>
    <row r="1670">
      <c r="A1670" s="2">
        <f>IFERROR(__xludf.DUMMYFUNCTION("""COMPUTED_VALUE"""),1666.0)</f>
        <v>1666</v>
      </c>
      <c r="B1670" s="2" t="str">
        <f>IFERROR(__xludf.DUMMYFUNCTION("""COMPUTED_VALUE"""),"PENDING")</f>
        <v>PENDING</v>
      </c>
      <c r="C1670" s="78">
        <f>IFERROR(__xludf.DUMMYFUNCTION("""COMPUTED_VALUE"""),46147.0)</f>
        <v>46147</v>
      </c>
      <c r="D1670" s="71" t="str">
        <f>IFERROR(__xludf.DUMMYFUNCTION("""COMPUTED_VALUE"""),"San Antonio Farmers Irrigators Multi-Purpose Cooperative")</f>
        <v>San Antonio Farmers Irrigators Multi-Purpose Cooperative</v>
      </c>
      <c r="E1670" s="71" t="str">
        <f>IFERROR(__xludf.DUMMYFUNCTION("""COMPUTED_VALUE"""),"San Antonio, Buhi, CAMARINES SUR")</f>
        <v>San Antonio, Buhi, CAMARINES SUR</v>
      </c>
      <c r="F1670" s="2" t="str">
        <f>IFERROR(__xludf.DUMMYFUNCTION("""COMPUTED_VALUE"""),"SIMION MOLINA")</f>
        <v>SIMION MOLINA</v>
      </c>
      <c r="G1670" s="2">
        <f>IFERROR(__xludf.DUMMYFUNCTION("""COMPUTED_VALUE"""),9.260464496E9)</f>
        <v>9260464496</v>
      </c>
      <c r="H1670" s="2">
        <f>IFERROR(__xludf.DUMMYFUNCTION("""COMPUTED_VALUE"""),50.0)</f>
        <v>50</v>
      </c>
      <c r="I1670" s="72" t="str">
        <f>IFERROR(__xludf.DUMMYFUNCTION("""COMPUTED_VALUE"""),"PMS")</f>
        <v>PMS</v>
      </c>
      <c r="J1670" s="72"/>
      <c r="K1670" s="72" t="str">
        <f>IFERROR(__xludf.DUMMYFUNCTION("""COMPUTED_VALUE"""),"
MYK: 1ST PMS FREE")</f>
        <v>
MYK: 1ST PMS FREE</v>
      </c>
      <c r="L1670" s="72"/>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c r="AJ1670" s="2" t="str">
        <f>IFERROR(__xludf.DUMMYFUNCTION("""COMPUTED_VALUE"""),"San Antonio")</f>
        <v>San Antonio</v>
      </c>
      <c r="AK1670" s="2" t="str">
        <f>IFERROR(__xludf.DUMMYFUNCTION("""COMPUTED_VALUE"""),"Buhi")</f>
        <v>Buhi</v>
      </c>
      <c r="AL1670" s="2" t="str">
        <f>IFERROR(__xludf.DUMMYFUNCTION("""COMPUTED_VALUE"""),"Camarines Sur")</f>
        <v>Camarines Sur</v>
      </c>
      <c r="AM1670" s="2">
        <f>IFERROR(__xludf.DUMMYFUNCTION("""COMPUTED_VALUE"""),5.0)</f>
        <v>5</v>
      </c>
      <c r="AN1670" s="2" t="str">
        <f>IFERROR(__xludf.DUMMYFUNCTION("""COMPUTED_VALUE"""),"RCEF 25-03-05")</f>
        <v>RCEF 25-03-05</v>
      </c>
      <c r="AO1670" s="2">
        <f>IFERROR(__xludf.DUMMYFUNCTION("""COMPUTED_VALUE"""),6.0)</f>
        <v>6</v>
      </c>
      <c r="AP1670" s="2" t="str">
        <f>IFERROR(__xludf.DUMMYFUNCTION("""COMPUTED_VALUE"""),"FREE PMS")</f>
        <v>FREE PMS</v>
      </c>
      <c r="AQ1670" s="2"/>
      <c r="AR1670" s="2"/>
      <c r="AS1670" s="2"/>
      <c r="AT1670" s="2"/>
      <c r="AU1670" s="2"/>
      <c r="AV1670" s="2"/>
      <c r="AW1670" s="2"/>
      <c r="AX1670" s="2"/>
      <c r="AY1670" s="2"/>
      <c r="AZ1670" s="2"/>
      <c r="BA1670" s="2"/>
      <c r="BB1670" s="2"/>
    </row>
    <row r="1671">
      <c r="A1671" s="2">
        <f>IFERROR(__xludf.DUMMYFUNCTION("""COMPUTED_VALUE"""),1667.0)</f>
        <v>1667</v>
      </c>
      <c r="B1671" s="2" t="str">
        <f>IFERROR(__xludf.DUMMYFUNCTION("""COMPUTED_VALUE"""),"PENDING")</f>
        <v>PENDING</v>
      </c>
      <c r="C1671" s="78">
        <f>IFERROR(__xludf.DUMMYFUNCTION("""COMPUTED_VALUE"""),46147.0)</f>
        <v>46147</v>
      </c>
      <c r="D1671" s="71" t="str">
        <f>IFERROR(__xludf.DUMMYFUNCTION("""COMPUTED_VALUE"""),"Navitas Farmer's Association (NFA)")</f>
        <v>Navitas Farmer's Association (NFA)</v>
      </c>
      <c r="E1671" s="71" t="str">
        <f>IFERROR(__xludf.DUMMYFUNCTION("""COMPUTED_VALUE"""),"Navitas, Malinao, AKLAN")</f>
        <v>Navitas, Malinao, AKLAN</v>
      </c>
      <c r="F1671" s="2"/>
      <c r="G1671" s="2">
        <f>IFERROR(__xludf.DUMMYFUNCTION("""COMPUTED_VALUE"""),9.77775904E8)</f>
        <v>977775904</v>
      </c>
      <c r="H1671" s="2">
        <f>IFERROR(__xludf.DUMMYFUNCTION("""COMPUTED_VALUE"""),805.0)</f>
        <v>805</v>
      </c>
      <c r="I1671" s="72" t="str">
        <f>IFERROR(__xludf.DUMMYFUNCTION("""COMPUTED_VALUE"""),"SPARE PARTS ACQUISITION")</f>
        <v>SPARE PARTS ACQUISITION</v>
      </c>
      <c r="J1671" s="72"/>
      <c r="K1671" s="72" t="str">
        <f>IFERROR(__xludf.DUMMYFUNCTION("""COMPUTED_VALUE"""),"LTC CS: Asking if available blade for disc plough")</f>
        <v>LTC CS: Asking if available blade for disc plough</v>
      </c>
      <c r="L1671" s="72"/>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c r="AJ1671" s="2" t="str">
        <f>IFERROR(__xludf.DUMMYFUNCTION("""COMPUTED_VALUE"""),"Navitas")</f>
        <v>Navitas</v>
      </c>
      <c r="AK1671" s="2" t="str">
        <f>IFERROR(__xludf.DUMMYFUNCTION("""COMPUTED_VALUE"""),"Malinao")</f>
        <v>Malinao</v>
      </c>
      <c r="AL1671" s="2" t="str">
        <f>IFERROR(__xludf.DUMMYFUNCTION("""COMPUTED_VALUE"""),"Aklan")</f>
        <v>Aklan</v>
      </c>
      <c r="AM1671" s="2">
        <f>IFERROR(__xludf.DUMMYFUNCTION("""COMPUTED_VALUE"""),6.0)</f>
        <v>6</v>
      </c>
      <c r="AN1671" s="2" t="str">
        <f>IFERROR(__xludf.DUMMYFUNCTION("""COMPUTED_VALUE"""),"RCEF 23-09-21 Rebidding")</f>
        <v>RCEF 23-09-21 Rebidding</v>
      </c>
      <c r="AO1671" s="2">
        <f>IFERROR(__xludf.DUMMYFUNCTION("""COMPUTED_VALUE"""),4.0)</f>
        <v>4</v>
      </c>
      <c r="AP1671" s="2"/>
      <c r="AQ1671" s="2"/>
      <c r="AR1671" s="2"/>
      <c r="AS1671" s="2"/>
      <c r="AT1671" s="2"/>
      <c r="AU1671" s="2"/>
      <c r="AV1671" s="2"/>
      <c r="AW1671" s="2"/>
      <c r="AX1671" s="2"/>
      <c r="AY1671" s="2"/>
      <c r="AZ1671" s="2"/>
      <c r="BA1671" s="2"/>
      <c r="BB1671" s="2"/>
    </row>
    <row r="1672">
      <c r="A1672" s="2">
        <f>IFERROR(__xludf.DUMMYFUNCTION("""COMPUTED_VALUE"""),1668.0)</f>
        <v>1668</v>
      </c>
      <c r="B1672" s="2" t="str">
        <f>IFERROR(__xludf.DUMMYFUNCTION("""COMPUTED_VALUE"""),"PENDING")</f>
        <v>PENDING</v>
      </c>
      <c r="C1672" s="78">
        <f>IFERROR(__xludf.DUMMYFUNCTION("""COMPUTED_VALUE"""),46147.0)</f>
        <v>46147</v>
      </c>
      <c r="D1672" s="71" t="str">
        <f>IFERROR(__xludf.DUMMYFUNCTION("""COMPUTED_VALUE"""),"Magsaysay Farmer's Association")</f>
        <v>Magsaysay Farmer's Association</v>
      </c>
      <c r="E1672" s="71" t="str">
        <f>IFERROR(__xludf.DUMMYFUNCTION("""COMPUTED_VALUE"""),"Magsaysay, Patnongon, ANTIQUE")</f>
        <v>Magsaysay, Patnongon, ANTIQUE</v>
      </c>
      <c r="F1672" s="2"/>
      <c r="G1672" s="2">
        <f>IFERROR(__xludf.DUMMYFUNCTION("""COMPUTED_VALUE"""),9.069193017E9)</f>
        <v>9069193017</v>
      </c>
      <c r="H1672" s="2"/>
      <c r="I1672" s="72" t="str">
        <f>IFERROR(__xludf.DUMMYFUNCTION("""COMPUTED_VALUE"""),"SPARE PARTS ACQUISITION")</f>
        <v>SPARE PARTS ACQUISITION</v>
      </c>
      <c r="J1672" s="72"/>
      <c r="K1672" s="72" t="str">
        <f>IFERROR(__xludf.DUMMYFUNCTION("""COMPUTED_VALUE"""),"LTC CS: Part needed:
Bearing for part of rotavator")</f>
        <v>LTC CS: Part needed:
Bearing for part of rotavator</v>
      </c>
      <c r="L1672" s="72"/>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c r="AJ1672" s="2" t="str">
        <f>IFERROR(__xludf.DUMMYFUNCTION("""COMPUTED_VALUE"""),"Magsaysay")</f>
        <v>Magsaysay</v>
      </c>
      <c r="AK1672" s="2" t="str">
        <f>IFERROR(__xludf.DUMMYFUNCTION("""COMPUTED_VALUE"""),"Patnongon")</f>
        <v>Patnongon</v>
      </c>
      <c r="AL1672" s="2" t="str">
        <f>IFERROR(__xludf.DUMMYFUNCTION("""COMPUTED_VALUE"""),"Antique")</f>
        <v>Antique</v>
      </c>
      <c r="AM1672" s="2">
        <f>IFERROR(__xludf.DUMMYFUNCTION("""COMPUTED_VALUE"""),6.0)</f>
        <v>6</v>
      </c>
      <c r="AN1672" s="2" t="str">
        <f>IFERROR(__xludf.DUMMYFUNCTION("""COMPUTED_VALUE"""),"RCEF 23-09-21 Rebidding")</f>
        <v>RCEF 23-09-21 Rebidding</v>
      </c>
      <c r="AO1672" s="2">
        <f>IFERROR(__xludf.DUMMYFUNCTION("""COMPUTED_VALUE"""),4.0)</f>
        <v>4</v>
      </c>
      <c r="AP1672" s="2"/>
      <c r="AQ1672" s="2"/>
      <c r="AR1672" s="2"/>
      <c r="AS1672" s="2"/>
      <c r="AT1672" s="2"/>
      <c r="AU1672" s="2"/>
      <c r="AV1672" s="2"/>
      <c r="AW1672" s="2"/>
      <c r="AX1672" s="2"/>
      <c r="AY1672" s="2"/>
      <c r="AZ1672" s="2"/>
      <c r="BA1672" s="2"/>
      <c r="BB1672" s="2"/>
    </row>
    <row r="1673">
      <c r="A1673" s="2">
        <f>IFERROR(__xludf.DUMMYFUNCTION("""COMPUTED_VALUE"""),1669.0)</f>
        <v>1669</v>
      </c>
      <c r="B1673" s="2" t="str">
        <f>IFERROR(__xludf.DUMMYFUNCTION("""COMPUTED_VALUE"""),"PENDING")</f>
        <v>PENDING</v>
      </c>
      <c r="C1673" s="78">
        <f>IFERROR(__xludf.DUMMYFUNCTION("""COMPUTED_VALUE"""),46147.0)</f>
        <v>46147</v>
      </c>
      <c r="D1673" s="71" t="str">
        <f>IFERROR(__xludf.DUMMYFUNCTION("""COMPUTED_VALUE"""),"Inabasan Small Farmers Association")</f>
        <v>Inabasan Small Farmers Association</v>
      </c>
      <c r="E1673" s="71" t="str">
        <f>IFERROR(__xludf.DUMMYFUNCTION("""COMPUTED_VALUE"""),"Inabasan, San Jose, ANTIQUE")</f>
        <v>Inabasan, San Jose, ANTIQUE</v>
      </c>
      <c r="F1673" s="2"/>
      <c r="G1673" s="2">
        <f>IFERROR(__xludf.DUMMYFUNCTION("""COMPUTED_VALUE"""),9.5598788E9)</f>
        <v>9559878800</v>
      </c>
      <c r="H1673" s="2">
        <f>IFERROR(__xludf.DUMMYFUNCTION("""COMPUTED_VALUE"""),605.0)</f>
        <v>605</v>
      </c>
      <c r="I1673" s="72" t="str">
        <f>IFERROR(__xludf.DUMMYFUNCTION("""COMPUTED_VALUE"""),"SPARE PARTS ACQUISITION")</f>
        <v>SPARE PARTS ACQUISITION</v>
      </c>
      <c r="J1673" s="72"/>
      <c r="K1673" s="72" t="str">
        <f>IFERROR(__xludf.DUMMYFUNCTION("""COMPUTED_VALUE"""),"LTC CS: Parts needed;
PTO switch
Dish plough blade
Bearing part of dish plough")</f>
        <v>LTC CS: Parts needed;
PTO switch
Dish plough blade
Bearing part of dish plough</v>
      </c>
      <c r="L1673" s="72"/>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c r="AJ1673" s="2" t="str">
        <f>IFERROR(__xludf.DUMMYFUNCTION("""COMPUTED_VALUE"""),"Inabasan")</f>
        <v>Inabasan</v>
      </c>
      <c r="AK1673" s="2" t="str">
        <f>IFERROR(__xludf.DUMMYFUNCTION("""COMPUTED_VALUE"""),"San Jose")</f>
        <v>San Jose</v>
      </c>
      <c r="AL1673" s="2" t="str">
        <f>IFERROR(__xludf.DUMMYFUNCTION("""COMPUTED_VALUE"""),"Antique")</f>
        <v>Antique</v>
      </c>
      <c r="AM1673" s="2">
        <f>IFERROR(__xludf.DUMMYFUNCTION("""COMPUTED_VALUE"""),6.0)</f>
        <v>6</v>
      </c>
      <c r="AN1673" s="2" t="str">
        <f>IFERROR(__xludf.DUMMYFUNCTION("""COMPUTED_VALUE"""),"RCEF 23-09-21 Rebidding")</f>
        <v>RCEF 23-09-21 Rebidding</v>
      </c>
      <c r="AO1673" s="2">
        <f>IFERROR(__xludf.DUMMYFUNCTION("""COMPUTED_VALUE"""),4.0)</f>
        <v>4</v>
      </c>
      <c r="AP1673" s="2"/>
      <c r="AQ1673" s="2"/>
      <c r="AR1673" s="2"/>
      <c r="AS1673" s="2"/>
      <c r="AT1673" s="2"/>
      <c r="AU1673" s="2"/>
      <c r="AV1673" s="2"/>
      <c r="AW1673" s="2"/>
      <c r="AX1673" s="2"/>
      <c r="AY1673" s="2"/>
      <c r="AZ1673" s="2"/>
      <c r="BA1673" s="2"/>
      <c r="BB1673" s="2"/>
    </row>
    <row r="1674">
      <c r="A1674" s="2">
        <f>IFERROR(__xludf.DUMMYFUNCTION("""COMPUTED_VALUE"""),1670.0)</f>
        <v>1670</v>
      </c>
      <c r="B1674" s="2" t="str">
        <f>IFERROR(__xludf.DUMMYFUNCTION("""COMPUTED_VALUE"""),"PENDING")</f>
        <v>PENDING</v>
      </c>
      <c r="C1674" s="78">
        <f>IFERROR(__xludf.DUMMYFUNCTION("""COMPUTED_VALUE"""),46148.0)</f>
        <v>46148</v>
      </c>
      <c r="D1674" s="71" t="str">
        <f>IFERROR(__xludf.DUMMYFUNCTION("""COMPUTED_VALUE"""),"CALAM-ISAN FARMERS ASSOCIATION (CAMIFA)")</f>
        <v>CALAM-ISAN FARMERS ASSOCIATION (CAMIFA)</v>
      </c>
      <c r="E1674" s="71" t="str">
        <f>IFERROR(__xludf.DUMMYFUNCTION("""COMPUTED_VALUE"""),"Calam-isan, Oton, ILOILO")</f>
        <v>Calam-isan, Oton, ILOILO</v>
      </c>
      <c r="F1674" s="2" t="str">
        <f>IFERROR(__xludf.DUMMYFUNCTION("""COMPUTED_VALUE"""),"JOHN NORA")</f>
        <v>JOHN NORA</v>
      </c>
      <c r="G1674" s="2">
        <f>IFERROR(__xludf.DUMMYFUNCTION("""COMPUTED_VALUE"""),9.636180497E9)</f>
        <v>9636180497</v>
      </c>
      <c r="H1674" s="2">
        <f>IFERROR(__xludf.DUMMYFUNCTION("""COMPUTED_VALUE"""),40.0)</f>
        <v>40</v>
      </c>
      <c r="I1674" s="72" t="str">
        <f>IFERROR(__xludf.DUMMYFUNCTION("""COMPUTED_VALUE"""),"PMS")</f>
        <v>PMS</v>
      </c>
      <c r="J1674" s="72"/>
      <c r="K1674" s="72" t="str">
        <f>IFERROR(__xludf.DUMMYFUNCTION("""COMPUTED_VALUE"""),"MYK: PROBLEM SA CABLE LOCK AND 1ST PMS FREE")</f>
        <v>MYK: PROBLEM SA CABLE LOCK AND 1ST PMS FREE</v>
      </c>
      <c r="L1674" s="72"/>
      <c r="M1674" s="2" t="str">
        <f>IFERROR(__xludf.DUMMYFUNCTION("""COMPUTED_VALUE"""),"CABLE LOCK")</f>
        <v>CABLE LOCK</v>
      </c>
      <c r="N1674" s="2"/>
      <c r="O1674" s="2"/>
      <c r="P1674" s="2"/>
      <c r="Q1674" s="2"/>
      <c r="R1674" s="2"/>
      <c r="S1674" s="2"/>
      <c r="T1674" s="2"/>
      <c r="U1674" s="2"/>
      <c r="V1674" s="2"/>
      <c r="W1674" s="2"/>
      <c r="X1674" s="2"/>
      <c r="Y1674" s="2"/>
      <c r="Z1674" s="2"/>
      <c r="AA1674" s="2"/>
      <c r="AB1674" s="2"/>
      <c r="AC1674" s="2"/>
      <c r="AD1674" s="2"/>
      <c r="AE1674" s="2"/>
      <c r="AF1674" s="2"/>
      <c r="AG1674" s="2"/>
      <c r="AH1674" s="2"/>
      <c r="AI1674" s="2"/>
      <c r="AJ1674" s="2" t="str">
        <f>IFERROR(__xludf.DUMMYFUNCTION("""COMPUTED_VALUE"""),"Calam-Isan")</f>
        <v>Calam-Isan</v>
      </c>
      <c r="AK1674" s="2" t="str">
        <f>IFERROR(__xludf.DUMMYFUNCTION("""COMPUTED_VALUE"""),"Oton")</f>
        <v>Oton</v>
      </c>
      <c r="AL1674" s="2" t="str">
        <f>IFERROR(__xludf.DUMMYFUNCTION("""COMPUTED_VALUE"""),"Iloilo")</f>
        <v>Iloilo</v>
      </c>
      <c r="AM1674" s="2">
        <f>IFERROR(__xludf.DUMMYFUNCTION("""COMPUTED_VALUE"""),6.0)</f>
        <v>6</v>
      </c>
      <c r="AN1674" s="2" t="str">
        <f>IFERROR(__xludf.DUMMYFUNCTION("""COMPUTED_VALUE"""),"RCEF 25-03-05")</f>
        <v>RCEF 25-03-05</v>
      </c>
      <c r="AO1674" s="2">
        <f>IFERROR(__xludf.DUMMYFUNCTION("""COMPUTED_VALUE"""),7.0)</f>
        <v>7</v>
      </c>
      <c r="AP1674" s="2" t="str">
        <f>IFERROR(__xludf.DUMMYFUNCTION("""COMPUTED_VALUE"""),"FREE PMS")</f>
        <v>FREE PMS</v>
      </c>
      <c r="AQ1674" s="2"/>
      <c r="AR1674" s="2"/>
      <c r="AS1674" s="2"/>
      <c r="AT1674" s="2"/>
      <c r="AU1674" s="2"/>
      <c r="AV1674" s="2"/>
      <c r="AW1674" s="2"/>
      <c r="AX1674" s="2"/>
      <c r="AY1674" s="2"/>
      <c r="AZ1674" s="2"/>
      <c r="BA1674" s="2"/>
      <c r="BB1674" s="2"/>
    </row>
    <row r="1675">
      <c r="A1675" s="2">
        <f>IFERROR(__xludf.DUMMYFUNCTION("""COMPUTED_VALUE"""),1671.0)</f>
        <v>1671</v>
      </c>
      <c r="B1675" s="2" t="str">
        <f>IFERROR(__xludf.DUMMYFUNCTION("""COMPUTED_VALUE"""),"PENDING")</f>
        <v>PENDING</v>
      </c>
      <c r="C1675" s="78">
        <f>IFERROR(__xludf.DUMMYFUNCTION("""COMPUTED_VALUE"""),46148.0)</f>
        <v>46148</v>
      </c>
      <c r="D1675" s="71" t="str">
        <f>IFERROR(__xludf.DUMMYFUNCTION("""COMPUTED_VALUE"""),"Astorga Farmers Association")</f>
        <v>Astorga Farmers Association</v>
      </c>
      <c r="E1675" s="71" t="str">
        <f>IFERROR(__xludf.DUMMYFUNCTION("""COMPUTED_VALUE"""),"Astorga, Dumarao, CAPIZ")</f>
        <v>Astorga, Dumarao, CAPIZ</v>
      </c>
      <c r="F1675" s="2"/>
      <c r="G1675" s="2">
        <f>IFERROR(__xludf.DUMMYFUNCTION("""COMPUTED_VALUE"""),9.176888094E9)</f>
        <v>9176888094</v>
      </c>
      <c r="H1675" s="2"/>
      <c r="I1675" s="72" t="str">
        <f>IFERROR(__xludf.DUMMYFUNCTION("""COMPUTED_VALUE"""),"REPAIR - TRACTOR")</f>
        <v>REPAIR - TRACTOR</v>
      </c>
      <c r="J1675" s="72" t="str">
        <f>IFERROR(__xludf.DUMMYFUNCTION("""COMPUTED_VALUE"""),"Transmission - Front Drive")</f>
        <v>Transmission - Front Drive</v>
      </c>
      <c r="K1675" s="72" t="str">
        <f>IFERROR(__xludf.DUMMYFUNCTION("""COMPUTED_VALUE"""),"LTC CS: Unit problem;
Ayaw gumana front drive
Kailangan nila ma bisita ang unit
RCG: PARTS: 
RING GEAR ASSY
COUPLING (R) NT15080000")</f>
        <v>LTC CS: Unit problem;
Ayaw gumana front drive
Kailangan nila ma bisita ang unit
RCG: PARTS: 
RING GEAR ASSY
COUPLING (R) NT15080000</v>
      </c>
      <c r="L1675" s="72"/>
      <c r="M1675" s="2" t="str">
        <f>IFERROR(__xludf.DUMMYFUNCTION("""COMPUTED_VALUE"""),"RING GEAR ASSY
COUPLING (R) NT15080000")</f>
        <v>RING GEAR ASSY
COUPLING (R) NT15080000</v>
      </c>
      <c r="N1675" s="2"/>
      <c r="O1675" s="2"/>
      <c r="P1675" s="2"/>
      <c r="Q1675" s="2"/>
      <c r="R1675" s="2"/>
      <c r="S1675" s="2"/>
      <c r="T1675" s="2"/>
      <c r="U1675" s="2"/>
      <c r="V1675" s="2"/>
      <c r="W1675" s="2"/>
      <c r="X1675" s="2"/>
      <c r="Y1675" s="2"/>
      <c r="Z1675" s="2"/>
      <c r="AA1675" s="2"/>
      <c r="AB1675" s="2"/>
      <c r="AC1675" s="2"/>
      <c r="AD1675" s="2"/>
      <c r="AE1675" s="2"/>
      <c r="AF1675" s="2"/>
      <c r="AG1675" s="2"/>
      <c r="AH1675" s="2"/>
      <c r="AI1675" s="2"/>
      <c r="AJ1675" s="2" t="str">
        <f>IFERROR(__xludf.DUMMYFUNCTION("""COMPUTED_VALUE"""),"Astorga")</f>
        <v>Astorga</v>
      </c>
      <c r="AK1675" s="2" t="str">
        <f>IFERROR(__xludf.DUMMYFUNCTION("""COMPUTED_VALUE"""),"Dumarao")</f>
        <v>Dumarao</v>
      </c>
      <c r="AL1675" s="2" t="str">
        <f>IFERROR(__xludf.DUMMYFUNCTION("""COMPUTED_VALUE"""),"Capiz")</f>
        <v>Capiz</v>
      </c>
      <c r="AM1675" s="2">
        <f>IFERROR(__xludf.DUMMYFUNCTION("""COMPUTED_VALUE"""),6.0)</f>
        <v>6</v>
      </c>
      <c r="AN1675" s="2" t="str">
        <f>IFERROR(__xludf.DUMMYFUNCTION("""COMPUTED_VALUE"""),"RCEF 23-09-21 Rebidding")</f>
        <v>RCEF 23-09-21 Rebidding</v>
      </c>
      <c r="AO1675" s="2">
        <f>IFERROR(__xludf.DUMMYFUNCTION("""COMPUTED_VALUE"""),4.0)</f>
        <v>4</v>
      </c>
      <c r="AP1675" s="2"/>
      <c r="AQ1675" s="2"/>
      <c r="AR1675" s="2"/>
      <c r="AS1675" s="2"/>
      <c r="AT1675" s="2"/>
      <c r="AU1675" s="2"/>
      <c r="AV1675" s="2"/>
      <c r="AW1675" s="2"/>
      <c r="AX1675" s="2"/>
      <c r="AY1675" s="2"/>
      <c r="AZ1675" s="2"/>
      <c r="BA1675" s="2"/>
      <c r="BB1675" s="2"/>
    </row>
    <row r="1676">
      <c r="A1676" s="2">
        <f>IFERROR(__xludf.DUMMYFUNCTION("""COMPUTED_VALUE"""),1672.0)</f>
        <v>1672</v>
      </c>
      <c r="B1676" s="2" t="str">
        <f>IFERROR(__xludf.DUMMYFUNCTION("""COMPUTED_VALUE"""),"COMPLETED")</f>
        <v>COMPLETED</v>
      </c>
      <c r="C1676" s="78">
        <f>IFERROR(__xludf.DUMMYFUNCTION("""COMPUTED_VALUE"""),46148.0)</f>
        <v>46148</v>
      </c>
      <c r="D1676" s="71" t="str">
        <f>IFERROR(__xludf.DUMMYFUNCTION("""COMPUTED_VALUE"""),"Bungloy Integrated Farmers Association")</f>
        <v>Bungloy Integrated Farmers Association</v>
      </c>
      <c r="E1676" s="71" t="str">
        <f>IFERROR(__xludf.DUMMYFUNCTION("""COMPUTED_VALUE"""),"Bongloy, Dingle, ILOILO")</f>
        <v>Bongloy, Dingle, ILOILO</v>
      </c>
      <c r="F1676" s="2"/>
      <c r="G1676" s="2">
        <f>IFERROR(__xludf.DUMMYFUNCTION("""COMPUTED_VALUE"""),9.616529867E9)</f>
        <v>9616529867</v>
      </c>
      <c r="H1676" s="2"/>
      <c r="I1676" s="72" t="str">
        <f>IFERROR(__xludf.DUMMYFUNCTION("""COMPUTED_VALUE"""),"SPARE PARTS ACQUISITION")</f>
        <v>SPARE PARTS ACQUISITION</v>
      </c>
      <c r="J1676" s="72"/>
      <c r="K1676" s="72" t="str">
        <f>IFERROR(__xludf.DUMMYFUNCTION("""COMPUTED_VALUE"""),"LTC CS: Part needed;
Solinoid sa PTO Valve
Nakausap narin ni RCG")</f>
        <v>LTC CS: Part needed;
Solinoid sa PTO Valve
Nakausap narin ni RCG</v>
      </c>
      <c r="L1676" s="72" t="str">
        <f>IFERROR(__xludf.DUMMYFUNCTION("""COMPUTED_VALUE"""),"MYK: TATAWAG NALNAG DAW SILA ULIT PAG MAY PANGBAYAD NA SILA")</f>
        <v>MYK: TATAWAG NALNAG DAW SILA ULIT PAG MAY PANGBAYAD NA SILA</v>
      </c>
      <c r="M1676" s="2" t="str">
        <f>IFERROR(__xludf.DUMMYFUNCTION("""COMPUTED_VALUE"""),"SOLENOID PTO VALVE")</f>
        <v>SOLENOID PTO VALVE</v>
      </c>
      <c r="N1676" s="2"/>
      <c r="O1676" s="2" t="str">
        <f>IFERROR(__xludf.DUMMYFUNCTION("""COMPUTED_VALUE"""),"N/A")</f>
        <v>N/A</v>
      </c>
      <c r="P1676" s="2"/>
      <c r="Q1676" s="2"/>
      <c r="R1676" s="74">
        <f>IFERROR(__xludf.DUMMYFUNCTION("""COMPUTED_VALUE"""),46161.0)</f>
        <v>46161</v>
      </c>
      <c r="S1676" s="2" t="str">
        <f>IFERROR(__xludf.DUMMYFUNCTION("""COMPUTED_VALUE"""),"MYKEE")</f>
        <v>MYKEE</v>
      </c>
      <c r="T1676" s="73" t="str">
        <f>IFERROR(__xludf.DUMMYFUNCTION("""COMPUTED_VALUE""")," N/A ")</f>
        <v>N/A</v>
      </c>
      <c r="U1676" s="73" t="str">
        <f>IFERROR(__xludf.DUMMYFUNCTION("""COMPUTED_VALUE""")," NO CHARGE ")</f>
        <v>NO CHARGE</v>
      </c>
      <c r="V1676" s="2" t="str">
        <f>IFERROR(__xludf.DUMMYFUNCTION("""COMPUTED_VALUE"""),"N/A")</f>
        <v>N/A</v>
      </c>
      <c r="W1676" s="2" t="str">
        <f>IFERROR(__xludf.DUMMYFUNCTION("""COMPUTED_VALUE"""),"N/A")</f>
        <v>N/A</v>
      </c>
      <c r="X1676" s="2" t="str">
        <f>IFERROR(__xludf.DUMMYFUNCTION("""COMPUTED_VALUE"""),"N/A")</f>
        <v>N/A</v>
      </c>
      <c r="Y1676" s="2"/>
      <c r="Z1676" s="2"/>
      <c r="AA1676" s="2"/>
      <c r="AB1676" s="2"/>
      <c r="AC1676" s="2"/>
      <c r="AD1676" s="2"/>
      <c r="AE1676" s="2"/>
      <c r="AF1676" s="2"/>
      <c r="AG1676" s="2"/>
      <c r="AH1676" s="2"/>
      <c r="AI1676" s="2"/>
      <c r="AJ1676" s="2" t="str">
        <f>IFERROR(__xludf.DUMMYFUNCTION("""COMPUTED_VALUE"""),"Bongloy")</f>
        <v>Bongloy</v>
      </c>
      <c r="AK1676" s="2" t="str">
        <f>IFERROR(__xludf.DUMMYFUNCTION("""COMPUTED_VALUE"""),"Dingle")</f>
        <v>Dingle</v>
      </c>
      <c r="AL1676" s="2" t="str">
        <f>IFERROR(__xludf.DUMMYFUNCTION("""COMPUTED_VALUE"""),"Iloilo")</f>
        <v>Iloilo</v>
      </c>
      <c r="AM1676" s="2">
        <f>IFERROR(__xludf.DUMMYFUNCTION("""COMPUTED_VALUE"""),6.0)</f>
        <v>6</v>
      </c>
      <c r="AN1676" s="2" t="str">
        <f>IFERROR(__xludf.DUMMYFUNCTION("""COMPUTED_VALUE"""),"RCEF 23-09-21 Rebidding")</f>
        <v>RCEF 23-09-21 Rebidding</v>
      </c>
      <c r="AO1676" s="2">
        <f>IFERROR(__xludf.DUMMYFUNCTION("""COMPUTED_VALUE"""),4.0)</f>
        <v>4</v>
      </c>
      <c r="AP1676" s="2"/>
      <c r="AQ1676" s="2"/>
      <c r="AR1676" s="2"/>
      <c r="AS1676" s="2"/>
      <c r="AT1676" s="2"/>
      <c r="AU1676" s="2"/>
      <c r="AV1676" s="2"/>
      <c r="AW1676" s="2"/>
      <c r="AX1676" s="2"/>
      <c r="AY1676" s="2"/>
      <c r="AZ1676" s="2"/>
      <c r="BA1676" s="2"/>
      <c r="BB1676" s="2"/>
    </row>
    <row r="1677">
      <c r="A1677" s="2">
        <f>IFERROR(__xludf.DUMMYFUNCTION("""COMPUTED_VALUE"""),1673.0)</f>
        <v>1673</v>
      </c>
      <c r="B1677" s="2" t="str">
        <f>IFERROR(__xludf.DUMMYFUNCTION("""COMPUTED_VALUE"""),"PENDING")</f>
        <v>PENDING</v>
      </c>
      <c r="C1677" s="78">
        <f>IFERROR(__xludf.DUMMYFUNCTION("""COMPUTED_VALUE"""),46148.0)</f>
        <v>46148</v>
      </c>
      <c r="D1677" s="71" t="str">
        <f>IFERROR(__xludf.DUMMYFUNCTION("""COMPUTED_VALUE"""),"Buntatala Farmers &amp; Farm Worker Farmers Association")</f>
        <v>Buntatala Farmers &amp; Farm Worker Farmers Association</v>
      </c>
      <c r="E1677" s="71" t="str">
        <f>IFERROR(__xludf.DUMMYFUNCTION("""COMPUTED_VALUE"""),"Buntatala, Leganes, ILOILO")</f>
        <v>Buntatala, Leganes, ILOILO</v>
      </c>
      <c r="F1677" s="2"/>
      <c r="G1677" s="2">
        <f>IFERROR(__xludf.DUMMYFUNCTION("""COMPUTED_VALUE"""),9.391029216E9)</f>
        <v>9391029216</v>
      </c>
      <c r="H1677" s="2"/>
      <c r="I1677" s="72" t="str">
        <f>IFERROR(__xludf.DUMMYFUNCTION("""COMPUTED_VALUE"""),"REPAIR - TRACTOR")</f>
        <v>REPAIR - TRACTOR</v>
      </c>
      <c r="J1677" s="72" t="str">
        <f>IFERROR(__xludf.DUMMYFUNCTION("""COMPUTED_VALUE"""),"Engine - Overhaul")</f>
        <v>Engine - Overhaul</v>
      </c>
      <c r="K1677" s="72" t="str">
        <f>IFERROR(__xludf.DUMMYFUNCTION("""COMPUTED_VALUE"""),"LTC CS: Unit problem;
Cylinder heads may crack
Check also the piston ring
Last sept.2025 ung unit may sira ndi pa na visit simula masira
JIE: Hindi na ireport ng Opeartor nila.")</f>
        <v>LTC CS: Unit problem;
Cylinder heads may crack
Check also the piston ring
Last sept.2025 ung unit may sira ndi pa na visit simula masira
JIE: Hindi na ireport ng Opeartor nila.</v>
      </c>
      <c r="L1677" s="72"/>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c r="AJ1677" s="2" t="str">
        <f>IFERROR(__xludf.DUMMYFUNCTION("""COMPUTED_VALUE"""),"Buntatala")</f>
        <v>Buntatala</v>
      </c>
      <c r="AK1677" s="2" t="str">
        <f>IFERROR(__xludf.DUMMYFUNCTION("""COMPUTED_VALUE"""),"Leganes")</f>
        <v>Leganes</v>
      </c>
      <c r="AL1677" s="2" t="str">
        <f>IFERROR(__xludf.DUMMYFUNCTION("""COMPUTED_VALUE"""),"Iloilo")</f>
        <v>Iloilo</v>
      </c>
      <c r="AM1677" s="2">
        <f>IFERROR(__xludf.DUMMYFUNCTION("""COMPUTED_VALUE"""),6.0)</f>
        <v>6</v>
      </c>
      <c r="AN1677" s="2" t="str">
        <f>IFERROR(__xludf.DUMMYFUNCTION("""COMPUTED_VALUE"""),"RCEF 23-09-21 Rebidding")</f>
        <v>RCEF 23-09-21 Rebidding</v>
      </c>
      <c r="AO1677" s="2">
        <f>IFERROR(__xludf.DUMMYFUNCTION("""COMPUTED_VALUE"""),4.0)</f>
        <v>4</v>
      </c>
      <c r="AP1677" s="2"/>
      <c r="AQ1677" s="2"/>
      <c r="AR1677" s="2"/>
      <c r="AS1677" s="2"/>
      <c r="AT1677" s="2"/>
      <c r="AU1677" s="2"/>
      <c r="AV1677" s="2"/>
      <c r="AW1677" s="2"/>
      <c r="AX1677" s="2"/>
      <c r="AY1677" s="2"/>
      <c r="AZ1677" s="2"/>
      <c r="BA1677" s="2"/>
      <c r="BB1677" s="2"/>
    </row>
    <row r="1678">
      <c r="A1678" s="2">
        <f>IFERROR(__xludf.DUMMYFUNCTION("""COMPUTED_VALUE"""),1674.0)</f>
        <v>1674</v>
      </c>
      <c r="B1678" s="2" t="str">
        <f>IFERROR(__xludf.DUMMYFUNCTION("""COMPUTED_VALUE"""),"PENDING")</f>
        <v>PENDING</v>
      </c>
      <c r="C1678" s="78">
        <f>IFERROR(__xludf.DUMMYFUNCTION("""COMPUTED_VALUE"""),46148.0)</f>
        <v>46148</v>
      </c>
      <c r="D1678" s="71" t="str">
        <f>IFERROR(__xludf.DUMMYFUNCTION("""COMPUTED_VALUE"""),"San Miguel Farmer's Agriculture Cooperative")</f>
        <v>San Miguel Farmer's Agriculture Cooperative</v>
      </c>
      <c r="E1678" s="71" t="str">
        <f>IFERROR(__xludf.DUMMYFUNCTION("""COMPUTED_VALUE"""),"Bgy. 8 Pob. (Montano - San Roque), San Miguel, ILOILO")</f>
        <v>Bgy. 8 Pob. (Montano - San Roque), San Miguel, ILOILO</v>
      </c>
      <c r="F1678" s="2"/>
      <c r="G1678" s="2">
        <f>IFERROR(__xludf.DUMMYFUNCTION("""COMPUTED_VALUE"""),9.077139009E9)</f>
        <v>9077139009</v>
      </c>
      <c r="H1678" s="2"/>
      <c r="I1678" s="72" t="str">
        <f>IFERROR(__xludf.DUMMYFUNCTION("""COMPUTED_VALUE"""),"SPARE PARTS ACQUISITION")</f>
        <v>SPARE PARTS ACQUISITION</v>
      </c>
      <c r="J1678" s="72"/>
      <c r="K1678" s="72" t="str">
        <f>IFERROR(__xludf.DUMMYFUNCTION("""COMPUTED_VALUE"""),"LTC CS: Parts needed;
Radiator over heating and cooling system
First visit,pinalitan ng na ang radiator pero gamit na din at di gumana.
Last year pa dw nasira hanggang ngaun di pa uli napasyalan
MYK:nag follow up na yung philmech dito, ang nagyari daw po"&amp;" dito ay pinalitan noon ng radiator ni crispin, ngunit yung pinalit na radiator ay sira din. Batch 2023 pa po ang unit na ito.")</f>
        <v>LTC CS: Parts needed;
Radiator over heating and cooling system
First visit,pinalitan ng na ang radiator pero gamit na din at di gumana.
Last year pa dw nasira hanggang ngaun di pa uli napasyalan
MYK:nag follow up na yung philmech dito, ang nagyari daw po dito ay pinalitan noon ng radiator ni crispin, ngunit yung pinalit na radiator ay sira din. Batch 2023 pa po ang unit na ito.</v>
      </c>
      <c r="L1678" s="72" t="str">
        <f>IFERROR(__xludf.DUMMYFUNCTION("""COMPUTED_VALUE"""),"KFS: INTANONG KUNG MAALAM SILANG MAGPALIT - AT IPADADALA NALANG ANG RADIATOR")</f>
        <v>KFS: INTANONG KUNG MAALAM SILANG MAGPALIT - AT IPADADALA NALANG ANG RADIATOR</v>
      </c>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c r="AJ1678" s="2" t="str">
        <f>IFERROR(__xludf.DUMMYFUNCTION("""COMPUTED_VALUE"""),"Bgy. 8 Pob. (Montano - San Roque)")</f>
        <v>Bgy. 8 Pob. (Montano - San Roque)</v>
      </c>
      <c r="AK1678" s="2" t="str">
        <f>IFERROR(__xludf.DUMMYFUNCTION("""COMPUTED_VALUE"""),"San Miguel")</f>
        <v>San Miguel</v>
      </c>
      <c r="AL1678" s="2" t="str">
        <f>IFERROR(__xludf.DUMMYFUNCTION("""COMPUTED_VALUE"""),"Iloilo")</f>
        <v>Iloilo</v>
      </c>
      <c r="AM1678" s="2">
        <f>IFERROR(__xludf.DUMMYFUNCTION("""COMPUTED_VALUE"""),6.0)</f>
        <v>6</v>
      </c>
      <c r="AN1678" s="2" t="str">
        <f>IFERROR(__xludf.DUMMYFUNCTION("""COMPUTED_VALUE"""),"RCEF 23-09-21 Rebidding")</f>
        <v>RCEF 23-09-21 Rebidding</v>
      </c>
      <c r="AO1678" s="2">
        <f>IFERROR(__xludf.DUMMYFUNCTION("""COMPUTED_VALUE"""),4.0)</f>
        <v>4</v>
      </c>
      <c r="AP1678" s="2"/>
      <c r="AQ1678" s="2"/>
      <c r="AR1678" s="2"/>
      <c r="AS1678" s="2"/>
      <c r="AT1678" s="2"/>
      <c r="AU1678" s="2"/>
      <c r="AV1678" s="2"/>
      <c r="AW1678" s="2"/>
      <c r="AX1678" s="2"/>
      <c r="AY1678" s="2"/>
      <c r="AZ1678" s="2"/>
      <c r="BA1678" s="2"/>
      <c r="BB1678" s="2"/>
    </row>
    <row r="1679">
      <c r="A1679" s="2">
        <f>IFERROR(__xludf.DUMMYFUNCTION("""COMPUTED_VALUE"""),1675.0)</f>
        <v>1675</v>
      </c>
      <c r="B1679" s="2" t="str">
        <f>IFERROR(__xludf.DUMMYFUNCTION("""COMPUTED_VALUE"""),"COMPLETED")</f>
        <v>COMPLETED</v>
      </c>
      <c r="C1679" s="78">
        <f>IFERROR(__xludf.DUMMYFUNCTION("""COMPUTED_VALUE"""),46148.0)</f>
        <v>46148</v>
      </c>
      <c r="D1679" s="71" t="str">
        <f>IFERROR(__xludf.DUMMYFUNCTION("""COMPUTED_VALUE"""),"Dugwakan Farmers Association")</f>
        <v>Dugwakan Farmers Association</v>
      </c>
      <c r="E1679" s="71" t="str">
        <f>IFERROR(__xludf.DUMMYFUNCTION("""COMPUTED_VALUE"""),"Dugwakan, Banate, ILOILO")</f>
        <v>Dugwakan, Banate, ILOILO</v>
      </c>
      <c r="F1679" s="2"/>
      <c r="G1679" s="2">
        <f>IFERROR(__xludf.DUMMYFUNCTION("""COMPUTED_VALUE"""),9.913305114E9)</f>
        <v>9913305114</v>
      </c>
      <c r="H1679" s="2"/>
      <c r="I1679" s="72" t="str">
        <f>IFERROR(__xludf.DUMMYFUNCTION("""COMPUTED_VALUE"""),"SPARE PARTS ACQUISITION")</f>
        <v>SPARE PARTS ACQUISITION</v>
      </c>
      <c r="J1679" s="72"/>
      <c r="K1679" s="72" t="str">
        <f>IFERROR(__xludf.DUMMYFUNCTION("""COMPUTED_VALUE"""),"Parts needed;
Oil seal sa may front wheel na gulong
Nag outsourse na din sila buong iloilo wala dw 
din makita
Kailangan na nila ng oil seal kc malapit na sila land prep.")</f>
        <v>Parts needed;
Oil seal sa may front wheel na gulong
Nag outsourse na din sila buong iloilo wala dw 
din makita
Kailangan na nila ng oil seal kc malapit na sila land prep.</v>
      </c>
      <c r="L1679" s="72" t="str">
        <f>IFERROR(__xludf.DUMMYFUNCTION("""COMPUTED_VALUE"""),"5/7/26: MYK: ORDER NALANG SILA NG LAHAT NG OIL SEAL SA FRONT DRIVE TIG 2. WAITING MAKAPAG MESSAGE SILA SA FB PAGE NATIN TO SENT QUOTATION.
OIL SEAL TA000041359A        2
OIL SEAL TC60110000A3        2
OIL SEAL FE78010000B        2
QUOTATION SENT- PAID -"&amp;" FOR LBC")</f>
        <v>5/7/26: MYK: ORDER NALANG SILA NG LAHAT NG OIL SEAL SA FRONT DRIVE TIG 2. WAITING MAKAPAG MESSAGE SILA SA FB PAGE NATIN TO SENT QUOTATION.
OIL SEAL TA000041359A        2
OIL SEAL TC60110000A3        2
OIL SEAL FE78010000B        2
QUOTATION SENT- PAID - FOR LBC</v>
      </c>
      <c r="M1679" s="2"/>
      <c r="N1679" s="2" t="str">
        <f>IFERROR(__xludf.DUMMYFUNCTION("""COMPUTED_VALUE"""),"PARTS:
1 - OIL SEAL TA000041359A       
1 - OIL SEAL TC60110000A3       
1 - OIL SEAL FE78010000B        ")</f>
        <v>PARTS:
1 - OIL SEAL TA000041359A       
1 - OIL SEAL TC60110000A3       
1 - OIL SEAL FE78010000B        </v>
      </c>
      <c r="O1679" s="2" t="str">
        <f>IFERROR(__xludf.DUMMYFUNCTION("""COMPUTED_VALUE"""),"N/A")</f>
        <v>N/A</v>
      </c>
      <c r="P1679" s="2"/>
      <c r="Q1679" s="2"/>
      <c r="R1679" s="74">
        <f>IFERROR(__xludf.DUMMYFUNCTION("""COMPUTED_VALUE"""),46154.0)</f>
        <v>46154</v>
      </c>
      <c r="S1679" s="2" t="str">
        <f>IFERROR(__xludf.DUMMYFUNCTION("""COMPUTED_VALUE"""),"MYKEE")</f>
        <v>MYKEE</v>
      </c>
      <c r="T1679" s="73">
        <f>IFERROR(__xludf.DUMMYFUNCTION("""COMPUTED_VALUE"""),7410.0)</f>
        <v>7410</v>
      </c>
      <c r="U1679" s="73" t="str">
        <f>IFERROR(__xludf.DUMMYFUNCTION("""COMPUTED_VALUE""")," DIRECT PAYMENT ")</f>
        <v>DIRECT PAYMENT</v>
      </c>
      <c r="V1679" s="2">
        <f>IFERROR(__xludf.DUMMYFUNCTION("""COMPUTED_VALUE"""),2055.0)</f>
        <v>2055</v>
      </c>
      <c r="W1679" s="2">
        <f>IFERROR(__xludf.DUMMYFUNCTION("""COMPUTED_VALUE"""),1546.0)</f>
        <v>1546</v>
      </c>
      <c r="X1679" s="2">
        <f>IFERROR(__xludf.DUMMYFUNCTION("""COMPUTED_VALUE"""),1791.0)</f>
        <v>1791</v>
      </c>
      <c r="Y1679" s="2"/>
      <c r="Z1679" s="2"/>
      <c r="AA1679" s="2"/>
      <c r="AB1679" s="2"/>
      <c r="AC1679" s="2"/>
      <c r="AD1679" s="2"/>
      <c r="AE1679" s="2"/>
      <c r="AF1679" s="2"/>
      <c r="AG1679" s="2"/>
      <c r="AH1679" s="2"/>
      <c r="AI1679" s="2"/>
      <c r="AJ1679" s="2" t="str">
        <f>IFERROR(__xludf.DUMMYFUNCTION("""COMPUTED_VALUE"""),"Dugwakan")</f>
        <v>Dugwakan</v>
      </c>
      <c r="AK1679" s="2" t="str">
        <f>IFERROR(__xludf.DUMMYFUNCTION("""COMPUTED_VALUE"""),"Banate")</f>
        <v>Banate</v>
      </c>
      <c r="AL1679" s="2" t="str">
        <f>IFERROR(__xludf.DUMMYFUNCTION("""COMPUTED_VALUE"""),"Iloilo")</f>
        <v>Iloilo</v>
      </c>
      <c r="AM1679" s="2">
        <f>IFERROR(__xludf.DUMMYFUNCTION("""COMPUTED_VALUE"""),6.0)</f>
        <v>6</v>
      </c>
      <c r="AN1679" s="2" t="str">
        <f>IFERROR(__xludf.DUMMYFUNCTION("""COMPUTED_VALUE"""),"RCEF 23-09-21 Rebidding")</f>
        <v>RCEF 23-09-21 Rebidding</v>
      </c>
      <c r="AO1679" s="2">
        <f>IFERROR(__xludf.DUMMYFUNCTION("""COMPUTED_VALUE"""),4.0)</f>
        <v>4</v>
      </c>
      <c r="AP1679" s="2"/>
      <c r="AQ1679" s="2"/>
      <c r="AR1679" s="2"/>
      <c r="AS1679" s="2"/>
      <c r="AT1679" s="2"/>
      <c r="AU1679" s="2"/>
      <c r="AV1679" s="2"/>
      <c r="AW1679" s="2"/>
      <c r="AX1679" s="2"/>
      <c r="AY1679" s="2"/>
      <c r="AZ1679" s="2"/>
      <c r="BA1679" s="2"/>
      <c r="BB1679" s="2"/>
    </row>
    <row r="1680">
      <c r="A1680" s="2">
        <f>IFERROR(__xludf.DUMMYFUNCTION("""COMPUTED_VALUE"""),1676.0)</f>
        <v>1676</v>
      </c>
      <c r="B1680" s="2" t="str">
        <f>IFERROR(__xludf.DUMMYFUNCTION("""COMPUTED_VALUE"""),"PENDING")</f>
        <v>PENDING</v>
      </c>
      <c r="C1680" s="78">
        <f>IFERROR(__xludf.DUMMYFUNCTION("""COMPUTED_VALUE"""),46149.0)</f>
        <v>46149</v>
      </c>
      <c r="D1680" s="71" t="str">
        <f>IFERROR(__xludf.DUMMYFUNCTION("""COMPUTED_VALUE"""),"A-O-A BIDA Inc.")</f>
        <v>A-O-A BIDA Inc.</v>
      </c>
      <c r="E1680" s="71" t="str">
        <f>IFERROR(__xludf.DUMMYFUNCTION("""COMPUTED_VALUE"""),"Ondoy, Ibajay, AKLAN")</f>
        <v>Ondoy, Ibajay, AKLAN</v>
      </c>
      <c r="F1680" s="2" t="str">
        <f>IFERROR(__xludf.DUMMYFUNCTION("""COMPUTED_VALUE"""),"LUGEL S. GELITO")</f>
        <v>LUGEL S. GELITO</v>
      </c>
      <c r="G1680" s="2" t="str">
        <f>IFERROR(__xludf.DUMMYFUNCTION("""COMPUTED_VALUE"""),"0998-725-9604")</f>
        <v>0998-725-9604</v>
      </c>
      <c r="H1680" s="2">
        <f>IFERROR(__xludf.DUMMYFUNCTION("""COMPUTED_VALUE"""),10.0)</f>
        <v>10</v>
      </c>
      <c r="I1680" s="72" t="str">
        <f>IFERROR(__xludf.DUMMYFUNCTION("""COMPUTED_VALUE"""),"REPAIR - LOADER")</f>
        <v>REPAIR - LOADER</v>
      </c>
      <c r="J1680" s="72" t="str">
        <f>IFERROR(__xludf.DUMMYFUNCTION("""COMPUTED_VALUE"""),"Cable lock")</f>
        <v>Cable lock</v>
      </c>
      <c r="K1680" s="72" t="str">
        <f>IFERROR(__xludf.DUMMYFUNCTION("""COMPUTED_VALUE"""),"MYK: DEFFECT CABLE LOCK")</f>
        <v>MYK: DEFFECT CABLE LOCK</v>
      </c>
      <c r="L1680" s="72"/>
      <c r="M1680" s="2" t="str">
        <f>IFERROR(__xludf.DUMMYFUNCTION("""COMPUTED_VALUE"""),"CABLE LOCK")</f>
        <v>CABLE LOCK</v>
      </c>
      <c r="N1680" s="2"/>
      <c r="O1680" s="2"/>
      <c r="P1680" s="2"/>
      <c r="Q1680" s="2"/>
      <c r="R1680" s="2"/>
      <c r="S1680" s="2"/>
      <c r="T1680" s="2"/>
      <c r="U1680" s="2"/>
      <c r="V1680" s="2"/>
      <c r="W1680" s="2"/>
      <c r="X1680" s="2"/>
      <c r="Y1680" s="2"/>
      <c r="Z1680" s="2"/>
      <c r="AA1680" s="2"/>
      <c r="AB1680" s="2"/>
      <c r="AC1680" s="2"/>
      <c r="AD1680" s="2"/>
      <c r="AE1680" s="2"/>
      <c r="AF1680" s="2"/>
      <c r="AG1680" s="2"/>
      <c r="AH1680" s="2"/>
      <c r="AI1680" s="2"/>
      <c r="AJ1680" s="2" t="str">
        <f>IFERROR(__xludf.DUMMYFUNCTION("""COMPUTED_VALUE"""),"Ondoy")</f>
        <v>Ondoy</v>
      </c>
      <c r="AK1680" s="2" t="str">
        <f>IFERROR(__xludf.DUMMYFUNCTION("""COMPUTED_VALUE"""),"Ibajay")</f>
        <v>Ibajay</v>
      </c>
      <c r="AL1680" s="2" t="str">
        <f>IFERROR(__xludf.DUMMYFUNCTION("""COMPUTED_VALUE"""),"Aklan")</f>
        <v>Aklan</v>
      </c>
      <c r="AM1680" s="2">
        <f>IFERROR(__xludf.DUMMYFUNCTION("""COMPUTED_VALUE"""),6.0)</f>
        <v>6</v>
      </c>
      <c r="AN1680" s="2" t="str">
        <f>IFERROR(__xludf.DUMMYFUNCTION("""COMPUTED_VALUE"""),"RCEF 25-03-05")</f>
        <v>RCEF 25-03-05</v>
      </c>
      <c r="AO1680" s="2">
        <f>IFERROR(__xludf.DUMMYFUNCTION("""COMPUTED_VALUE"""),7.0)</f>
        <v>7</v>
      </c>
      <c r="AP1680" s="2" t="str">
        <f>IFERROR(__xludf.DUMMYFUNCTION("""COMPUTED_VALUE"""),"FREE PMS")</f>
        <v>FREE PMS</v>
      </c>
      <c r="AQ1680" s="2"/>
      <c r="AR1680" s="2"/>
      <c r="AS1680" s="2"/>
      <c r="AT1680" s="2"/>
      <c r="AU1680" s="2"/>
      <c r="AV1680" s="2"/>
      <c r="AW1680" s="2"/>
      <c r="AX1680" s="2"/>
      <c r="AY1680" s="2"/>
      <c r="AZ1680" s="2"/>
      <c r="BA1680" s="2"/>
      <c r="BB1680" s="2"/>
    </row>
    <row r="1681">
      <c r="A1681" s="2">
        <f>IFERROR(__xludf.DUMMYFUNCTION("""COMPUTED_VALUE"""),1677.0)</f>
        <v>1677</v>
      </c>
      <c r="B1681" s="2" t="str">
        <f>IFERROR(__xludf.DUMMYFUNCTION("""COMPUTED_VALUE"""),"PENDING")</f>
        <v>PENDING</v>
      </c>
      <c r="C1681" s="78">
        <f>IFERROR(__xludf.DUMMYFUNCTION("""COMPUTED_VALUE"""),46149.0)</f>
        <v>46149</v>
      </c>
      <c r="D1681" s="71" t="str">
        <f>IFERROR(__xludf.DUMMYFUNCTION("""COMPUTED_VALUE"""),"BADU INTEGRATED DEVELOPMENT FARMERS ASSOCIATION")</f>
        <v>BADU INTEGRATED DEVELOPMENT FARMERS ASSOCIATION</v>
      </c>
      <c r="E1681" s="71" t="str">
        <f>IFERROR(__xludf.DUMMYFUNCTION("""COMPUTED_VALUE"""),"Badu, Calinog, ILOILO")</f>
        <v>Badu, Calinog, ILOILO</v>
      </c>
      <c r="F1681" s="2" t="str">
        <f>IFERROR(__xludf.DUMMYFUNCTION("""COMPUTED_VALUE"""),"ISIDRO S. PROVIDO")</f>
        <v>ISIDRO S. PROVIDO</v>
      </c>
      <c r="G1681" s="2">
        <f>IFERROR(__xludf.DUMMYFUNCTION("""COMPUTED_VALUE"""),9.605993154E9)</f>
        <v>9605993154</v>
      </c>
      <c r="H1681" s="2"/>
      <c r="I1681" s="72" t="str">
        <f>IFERROR(__xludf.DUMMYFUNCTION("""COMPUTED_VALUE"""),"REPAIR - LOADER")</f>
        <v>REPAIR - LOADER</v>
      </c>
      <c r="J1681" s="72" t="str">
        <f>IFERROR(__xludf.DUMMYFUNCTION("""COMPUTED_VALUE"""),"Cable lock")</f>
        <v>Cable lock</v>
      </c>
      <c r="K1681" s="72" t="str">
        <f>IFERROR(__xludf.DUMMYFUNCTION("""COMPUTED_VALUE"""),"MYK: DEFECT CABLE LOCK")</f>
        <v>MYK: DEFECT CABLE LOCK</v>
      </c>
      <c r="L1681" s="72"/>
      <c r="M1681" s="2" t="str">
        <f>IFERROR(__xludf.DUMMYFUNCTION("""COMPUTED_VALUE"""),"CABLE LOCK")</f>
        <v>CABLE LOCK</v>
      </c>
      <c r="N1681" s="2"/>
      <c r="O1681" s="2"/>
      <c r="P1681" s="2"/>
      <c r="Q1681" s="2"/>
      <c r="R1681" s="2"/>
      <c r="S1681" s="2"/>
      <c r="T1681" s="2"/>
      <c r="U1681" s="2"/>
      <c r="V1681" s="2"/>
      <c r="W1681" s="2"/>
      <c r="X1681" s="2"/>
      <c r="Y1681" s="2"/>
      <c r="Z1681" s="2"/>
      <c r="AA1681" s="2"/>
      <c r="AB1681" s="2"/>
      <c r="AC1681" s="2"/>
      <c r="AD1681" s="2"/>
      <c r="AE1681" s="2"/>
      <c r="AF1681" s="2"/>
      <c r="AG1681" s="2"/>
      <c r="AH1681" s="2"/>
      <c r="AI1681" s="2"/>
      <c r="AJ1681" s="2" t="str">
        <f>IFERROR(__xludf.DUMMYFUNCTION("""COMPUTED_VALUE"""),"Badu")</f>
        <v>Badu</v>
      </c>
      <c r="AK1681" s="2" t="str">
        <f>IFERROR(__xludf.DUMMYFUNCTION("""COMPUTED_VALUE"""),"Calinog")</f>
        <v>Calinog</v>
      </c>
      <c r="AL1681" s="2" t="str">
        <f>IFERROR(__xludf.DUMMYFUNCTION("""COMPUTED_VALUE"""),"Iloilo")</f>
        <v>Iloilo</v>
      </c>
      <c r="AM1681" s="2">
        <f>IFERROR(__xludf.DUMMYFUNCTION("""COMPUTED_VALUE"""),6.0)</f>
        <v>6</v>
      </c>
      <c r="AN1681" s="2" t="str">
        <f>IFERROR(__xludf.DUMMYFUNCTION("""COMPUTED_VALUE"""),"RCEF 25-03-05")</f>
        <v>RCEF 25-03-05</v>
      </c>
      <c r="AO1681" s="2">
        <f>IFERROR(__xludf.DUMMYFUNCTION("""COMPUTED_VALUE"""),7.0)</f>
        <v>7</v>
      </c>
      <c r="AP1681" s="2" t="str">
        <f>IFERROR(__xludf.DUMMYFUNCTION("""COMPUTED_VALUE"""),"FREE PMS")</f>
        <v>FREE PMS</v>
      </c>
      <c r="AQ1681" s="2"/>
      <c r="AR1681" s="2"/>
      <c r="AS1681" s="2"/>
      <c r="AT1681" s="2"/>
      <c r="AU1681" s="2"/>
      <c r="AV1681" s="2"/>
      <c r="AW1681" s="2"/>
      <c r="AX1681" s="2"/>
      <c r="AY1681" s="2"/>
      <c r="AZ1681" s="2"/>
      <c r="BA1681" s="2"/>
      <c r="BB1681" s="2"/>
    </row>
    <row r="1682">
      <c r="A1682" s="2">
        <f>IFERROR(__xludf.DUMMYFUNCTION("""COMPUTED_VALUE"""),1678.0)</f>
        <v>1678</v>
      </c>
      <c r="B1682" s="2" t="str">
        <f>IFERROR(__xludf.DUMMYFUNCTION("""COMPUTED_VALUE"""),"PENDING")</f>
        <v>PENDING</v>
      </c>
      <c r="C1682" s="78">
        <f>IFERROR(__xludf.DUMMYFUNCTION("""COMPUTED_VALUE"""),46149.0)</f>
        <v>46149</v>
      </c>
      <c r="D1682" s="71" t="str">
        <f>IFERROR(__xludf.DUMMYFUNCTION("""COMPUTED_VALUE"""),"Caninguan Farmers Association")</f>
        <v>Caninguan Farmers Association</v>
      </c>
      <c r="E1682" s="71" t="str">
        <f>IFERROR(__xludf.DUMMYFUNCTION("""COMPUTED_VALUE"""),"Caninguan, Lambunao, ILOILO")</f>
        <v>Caninguan, Lambunao, ILOILO</v>
      </c>
      <c r="F1682" s="2" t="str">
        <f>IFERROR(__xludf.DUMMYFUNCTION("""COMPUTED_VALUE"""),"Regie S. Navarra")</f>
        <v>Regie S. Navarra</v>
      </c>
      <c r="G1682" s="2">
        <f>IFERROR(__xludf.DUMMYFUNCTION("""COMPUTED_VALUE"""),9.081769678E9)</f>
        <v>9081769678</v>
      </c>
      <c r="H1682" s="2">
        <f>IFERROR(__xludf.DUMMYFUNCTION("""COMPUTED_VALUE"""),60.0)</f>
        <v>60</v>
      </c>
      <c r="I1682" s="72" t="str">
        <f>IFERROR(__xludf.DUMMYFUNCTION("""COMPUTED_VALUE"""),"REPAIR - LOADER")</f>
        <v>REPAIR - LOADER</v>
      </c>
      <c r="J1682" s="72" t="str">
        <f>IFERROR(__xludf.DUMMYFUNCTION("""COMPUTED_VALUE"""),"Cable lock")</f>
        <v>Cable lock</v>
      </c>
      <c r="K1682" s="72" t="str">
        <f>IFERROR(__xludf.DUMMYFUNCTION("""COMPUTED_VALUE"""),"MYK: DEFECT CABLE LOCK")</f>
        <v>MYK: DEFECT CABLE LOCK</v>
      </c>
      <c r="L1682" s="72"/>
      <c r="M1682" s="2" t="str">
        <f>IFERROR(__xludf.DUMMYFUNCTION("""COMPUTED_VALUE"""),"CABLE LOCK")</f>
        <v>CABLE LOCK</v>
      </c>
      <c r="N1682" s="2"/>
      <c r="O1682" s="2"/>
      <c r="P1682" s="2"/>
      <c r="Q1682" s="2"/>
      <c r="R1682" s="2"/>
      <c r="S1682" s="2"/>
      <c r="T1682" s="2"/>
      <c r="U1682" s="2"/>
      <c r="V1682" s="2"/>
      <c r="W1682" s="2"/>
      <c r="X1682" s="2"/>
      <c r="Y1682" s="2"/>
      <c r="Z1682" s="2"/>
      <c r="AA1682" s="2"/>
      <c r="AB1682" s="2"/>
      <c r="AC1682" s="2"/>
      <c r="AD1682" s="2"/>
      <c r="AE1682" s="2"/>
      <c r="AF1682" s="2"/>
      <c r="AG1682" s="2"/>
      <c r="AH1682" s="2"/>
      <c r="AI1682" s="2"/>
      <c r="AJ1682" s="2" t="str">
        <f>IFERROR(__xludf.DUMMYFUNCTION("""COMPUTED_VALUE"""),"Caninguan")</f>
        <v>Caninguan</v>
      </c>
      <c r="AK1682" s="2" t="str">
        <f>IFERROR(__xludf.DUMMYFUNCTION("""COMPUTED_VALUE"""),"Lambunao")</f>
        <v>Lambunao</v>
      </c>
      <c r="AL1682" s="2" t="str">
        <f>IFERROR(__xludf.DUMMYFUNCTION("""COMPUTED_VALUE"""),"Iloilo")</f>
        <v>Iloilo</v>
      </c>
      <c r="AM1682" s="2">
        <f>IFERROR(__xludf.DUMMYFUNCTION("""COMPUTED_VALUE"""),6.0)</f>
        <v>6</v>
      </c>
      <c r="AN1682" s="2" t="str">
        <f>IFERROR(__xludf.DUMMYFUNCTION("""COMPUTED_VALUE"""),"RCEF 25-03-05")</f>
        <v>RCEF 25-03-05</v>
      </c>
      <c r="AO1682" s="2">
        <f>IFERROR(__xludf.DUMMYFUNCTION("""COMPUTED_VALUE"""),7.0)</f>
        <v>7</v>
      </c>
      <c r="AP1682" s="2" t="str">
        <f>IFERROR(__xludf.DUMMYFUNCTION("""COMPUTED_VALUE"""),"FREE PMS")</f>
        <v>FREE PMS</v>
      </c>
      <c r="AQ1682" s="2"/>
      <c r="AR1682" s="2"/>
      <c r="AS1682" s="2"/>
      <c r="AT1682" s="2"/>
      <c r="AU1682" s="2"/>
      <c r="AV1682" s="2"/>
      <c r="AW1682" s="2"/>
      <c r="AX1682" s="2"/>
      <c r="AY1682" s="2"/>
      <c r="AZ1682" s="2"/>
      <c r="BA1682" s="2"/>
      <c r="BB1682" s="2"/>
    </row>
    <row r="1683">
      <c r="A1683" s="2">
        <f>IFERROR(__xludf.DUMMYFUNCTION("""COMPUTED_VALUE"""),1679.0)</f>
        <v>1679</v>
      </c>
      <c r="B1683" s="2" t="str">
        <f>IFERROR(__xludf.DUMMYFUNCTION("""COMPUTED_VALUE"""),"PENDING")</f>
        <v>PENDING</v>
      </c>
      <c r="C1683" s="78">
        <f>IFERROR(__xludf.DUMMYFUNCTION("""COMPUTED_VALUE"""),46149.0)</f>
        <v>46149</v>
      </c>
      <c r="D1683" s="71" t="str">
        <f>IFERROR(__xludf.DUMMYFUNCTION("""COMPUTED_VALUE"""),"Calumangan Integrated Farmers and Farm workers Association (CALIFWA)")</f>
        <v>Calumangan Integrated Farmers and Farm workers Association (CALIFWA)</v>
      </c>
      <c r="E1683" s="71" t="str">
        <f>IFERROR(__xludf.DUMMYFUNCTION("""COMPUTED_VALUE"""),"Calumangan, Bago City, NEGROS OCCIDENTAL")</f>
        <v>Calumangan, Bago City, NEGROS OCCIDENTAL</v>
      </c>
      <c r="F1683" s="2" t="str">
        <f>IFERROR(__xludf.DUMMYFUNCTION("""COMPUTED_VALUE"""),"Susan M. Petallana")</f>
        <v>Susan M. Petallana</v>
      </c>
      <c r="G1683" s="2">
        <f>IFERROR(__xludf.DUMMYFUNCTION("""COMPUTED_VALUE"""),9.47150843E9)</f>
        <v>9471508430</v>
      </c>
      <c r="H1683" s="2">
        <f>IFERROR(__xludf.DUMMYFUNCTION("""COMPUTED_VALUE"""),151.0)</f>
        <v>151</v>
      </c>
      <c r="I1683" s="72" t="str">
        <f>IFERROR(__xludf.DUMMYFUNCTION("""COMPUTED_VALUE"""),"REPAIR - LOADER")</f>
        <v>REPAIR - LOADER</v>
      </c>
      <c r="J1683" s="72" t="str">
        <f>IFERROR(__xludf.DUMMYFUNCTION("""COMPUTED_VALUE"""),"Cable lock")</f>
        <v>Cable lock</v>
      </c>
      <c r="K1683" s="72" t="str">
        <f>IFERROR(__xludf.DUMMYFUNCTION("""COMPUTED_VALUE"""),"MYK: NA PMS NA NILA -  PALITAN NALANG YUNG FILTER AT LANGIS -  DEFECT CABLE LOCK")</f>
        <v>MYK: NA PMS NA NILA -  PALITAN NALANG YUNG FILTER AT LANGIS -  DEFECT CABLE LOCK</v>
      </c>
      <c r="L1683" s="72"/>
      <c r="M1683" s="2" t="str">
        <f>IFERROR(__xludf.DUMMYFUNCTION("""COMPUTED_VALUE"""),"CABLE LOCK")</f>
        <v>CABLE LOCK</v>
      </c>
      <c r="N1683" s="2"/>
      <c r="O1683" s="2"/>
      <c r="P1683" s="2"/>
      <c r="Q1683" s="2"/>
      <c r="R1683" s="2"/>
      <c r="S1683" s="2"/>
      <c r="T1683" s="2"/>
      <c r="U1683" s="2"/>
      <c r="V1683" s="2"/>
      <c r="W1683" s="2"/>
      <c r="X1683" s="2"/>
      <c r="Y1683" s="2"/>
      <c r="Z1683" s="2"/>
      <c r="AA1683" s="2"/>
      <c r="AB1683" s="2"/>
      <c r="AC1683" s="2"/>
      <c r="AD1683" s="2"/>
      <c r="AE1683" s="2"/>
      <c r="AF1683" s="2"/>
      <c r="AG1683" s="2"/>
      <c r="AH1683" s="2"/>
      <c r="AI1683" s="2"/>
      <c r="AJ1683" s="2" t="str">
        <f>IFERROR(__xludf.DUMMYFUNCTION("""COMPUTED_VALUE"""),"Calumangan")</f>
        <v>Calumangan</v>
      </c>
      <c r="AK1683" s="2" t="str">
        <f>IFERROR(__xludf.DUMMYFUNCTION("""COMPUTED_VALUE"""),"Bago City")</f>
        <v>Bago City</v>
      </c>
      <c r="AL1683" s="2" t="str">
        <f>IFERROR(__xludf.DUMMYFUNCTION("""COMPUTED_VALUE"""),"Negros Occidental")</f>
        <v>Negros Occidental</v>
      </c>
      <c r="AM1683" s="2">
        <f>IFERROR(__xludf.DUMMYFUNCTION("""COMPUTED_VALUE"""),6.0)</f>
        <v>6</v>
      </c>
      <c r="AN1683" s="2" t="str">
        <f>IFERROR(__xludf.DUMMYFUNCTION("""COMPUTED_VALUE"""),"RCEF 25-03-05")</f>
        <v>RCEF 25-03-05</v>
      </c>
      <c r="AO1683" s="2">
        <f>IFERROR(__xludf.DUMMYFUNCTION("""COMPUTED_VALUE"""),7.0)</f>
        <v>7</v>
      </c>
      <c r="AP1683" s="2" t="str">
        <f>IFERROR(__xludf.DUMMYFUNCTION("""COMPUTED_VALUE"""),"FREE PMS")</f>
        <v>FREE PMS</v>
      </c>
      <c r="AQ1683" s="2"/>
      <c r="AR1683" s="2"/>
      <c r="AS1683" s="2"/>
      <c r="AT1683" s="2"/>
      <c r="AU1683" s="2"/>
      <c r="AV1683" s="2"/>
      <c r="AW1683" s="2"/>
      <c r="AX1683" s="2"/>
      <c r="AY1683" s="2"/>
      <c r="AZ1683" s="2"/>
      <c r="BA1683" s="2"/>
      <c r="BB1683" s="2"/>
    </row>
    <row r="1684">
      <c r="A1684" s="2">
        <f>IFERROR(__xludf.DUMMYFUNCTION("""COMPUTED_VALUE"""),1680.0)</f>
        <v>1680</v>
      </c>
      <c r="B1684" s="2" t="str">
        <f>IFERROR(__xludf.DUMMYFUNCTION("""COMPUTED_VALUE"""),"PENDING")</f>
        <v>PENDING</v>
      </c>
      <c r="C1684" s="78">
        <f>IFERROR(__xludf.DUMMYFUNCTION("""COMPUTED_VALUE"""),46149.0)</f>
        <v>46149</v>
      </c>
      <c r="D1684" s="71" t="str">
        <f>IFERROR(__xludf.DUMMYFUNCTION("""COMPUTED_VALUE"""),"Mag-inugyon Farmers Irrigators' Association, Inc.")</f>
        <v>Mag-inugyon Farmers Irrigators' Association, Inc.</v>
      </c>
      <c r="E1684" s="71" t="str">
        <f>IFERROR(__xludf.DUMMYFUNCTION("""COMPUTED_VALUE"""),"Mabini, Valladolid, NEGROS OCCIDENTAL")</f>
        <v>Mabini, Valladolid, NEGROS OCCIDENTAL</v>
      </c>
      <c r="F1684" s="2" t="str">
        <f>IFERROR(__xludf.DUMMYFUNCTION("""COMPUTED_VALUE"""),"Eduardo Salcedo")</f>
        <v>Eduardo Salcedo</v>
      </c>
      <c r="G1684" s="2">
        <f>IFERROR(__xludf.DUMMYFUNCTION("""COMPUTED_VALUE"""),9.468852404E9)</f>
        <v>9468852404</v>
      </c>
      <c r="H1684" s="2">
        <f>IFERROR(__xludf.DUMMYFUNCTION("""COMPUTED_VALUE"""),50.0)</f>
        <v>50</v>
      </c>
      <c r="I1684" s="72" t="str">
        <f>IFERROR(__xludf.DUMMYFUNCTION("""COMPUTED_VALUE"""),"REPAIR - LOADER")</f>
        <v>REPAIR - LOADER</v>
      </c>
      <c r="J1684" s="72" t="str">
        <f>IFERROR(__xludf.DUMMYFUNCTION("""COMPUTED_VALUE"""),"Cable lock")</f>
        <v>Cable lock</v>
      </c>
      <c r="K1684" s="72" t="str">
        <f>IFERROR(__xludf.DUMMYFUNCTION("""COMPUTED_VALUE"""),"MYK: DEFFECT CABLE LOCK
")</f>
        <v>MYK: DEFFECT CABLE LOCK
</v>
      </c>
      <c r="L1684" s="72"/>
      <c r="M1684" s="2" t="str">
        <f>IFERROR(__xludf.DUMMYFUNCTION("""COMPUTED_VALUE"""),"CABLE LOCK")</f>
        <v>CABLE LOCK</v>
      </c>
      <c r="N1684" s="2"/>
      <c r="O1684" s="2"/>
      <c r="P1684" s="2"/>
      <c r="Q1684" s="2"/>
      <c r="R1684" s="2"/>
      <c r="S1684" s="2"/>
      <c r="T1684" s="2"/>
      <c r="U1684" s="2"/>
      <c r="V1684" s="2"/>
      <c r="W1684" s="2"/>
      <c r="X1684" s="2"/>
      <c r="Y1684" s="2"/>
      <c r="Z1684" s="2"/>
      <c r="AA1684" s="2"/>
      <c r="AB1684" s="2"/>
      <c r="AC1684" s="2"/>
      <c r="AD1684" s="2"/>
      <c r="AE1684" s="2"/>
      <c r="AF1684" s="2"/>
      <c r="AG1684" s="2"/>
      <c r="AH1684" s="2"/>
      <c r="AI1684" s="2"/>
      <c r="AJ1684" s="2" t="str">
        <f>IFERROR(__xludf.DUMMYFUNCTION("""COMPUTED_VALUE"""),"Mabini")</f>
        <v>Mabini</v>
      </c>
      <c r="AK1684" s="2" t="str">
        <f>IFERROR(__xludf.DUMMYFUNCTION("""COMPUTED_VALUE"""),"Valladolid")</f>
        <v>Valladolid</v>
      </c>
      <c r="AL1684" s="2" t="str">
        <f>IFERROR(__xludf.DUMMYFUNCTION("""COMPUTED_VALUE"""),"Negros Occidental")</f>
        <v>Negros Occidental</v>
      </c>
      <c r="AM1684" s="2">
        <f>IFERROR(__xludf.DUMMYFUNCTION("""COMPUTED_VALUE"""),6.0)</f>
        <v>6</v>
      </c>
      <c r="AN1684" s="2" t="str">
        <f>IFERROR(__xludf.DUMMYFUNCTION("""COMPUTED_VALUE"""),"RCEF 25-03-05")</f>
        <v>RCEF 25-03-05</v>
      </c>
      <c r="AO1684" s="2">
        <f>IFERROR(__xludf.DUMMYFUNCTION("""COMPUTED_VALUE"""),7.0)</f>
        <v>7</v>
      </c>
      <c r="AP1684" s="2" t="str">
        <f>IFERROR(__xludf.DUMMYFUNCTION("""COMPUTED_VALUE"""),"FREE PMS")</f>
        <v>FREE PMS</v>
      </c>
      <c r="AQ1684" s="2"/>
      <c r="AR1684" s="2"/>
      <c r="AS1684" s="2"/>
      <c r="AT1684" s="2"/>
      <c r="AU1684" s="2"/>
      <c r="AV1684" s="2"/>
      <c r="AW1684" s="2"/>
      <c r="AX1684" s="2"/>
      <c r="AY1684" s="2"/>
      <c r="AZ1684" s="2"/>
      <c r="BA1684" s="2"/>
      <c r="BB1684" s="2"/>
    </row>
    <row r="1685">
      <c r="A1685" s="2">
        <f>IFERROR(__xludf.DUMMYFUNCTION("""COMPUTED_VALUE"""),1681.0)</f>
        <v>1681</v>
      </c>
      <c r="B1685" s="2" t="str">
        <f>IFERROR(__xludf.DUMMYFUNCTION("""COMPUTED_VALUE"""),"PENDING")</f>
        <v>PENDING</v>
      </c>
      <c r="C1685" s="78">
        <f>IFERROR(__xludf.DUMMYFUNCTION("""COMPUTED_VALUE"""),46149.0)</f>
        <v>46149</v>
      </c>
      <c r="D1685" s="71" t="str">
        <f>IFERROR(__xludf.DUMMYFUNCTION("""COMPUTED_VALUE"""),"Madarag Farmers Association")</f>
        <v>Madarag Farmers Association</v>
      </c>
      <c r="E1685" s="71" t="str">
        <f>IFERROR(__xludf.DUMMYFUNCTION("""COMPUTED_VALUE"""),"Madarag, San Enrique, ILOILO")</f>
        <v>Madarag, San Enrique, ILOILO</v>
      </c>
      <c r="F1685" s="2" t="str">
        <f>IFERROR(__xludf.DUMMYFUNCTION("""COMPUTED_VALUE"""),"Fernando N. Agnes Jr.")</f>
        <v>Fernando N. Agnes Jr.</v>
      </c>
      <c r="G1685" s="2" t="str">
        <f>IFERROR(__xludf.DUMMYFUNCTION("""COMPUTED_VALUE"""),"0912 443 2584")</f>
        <v>0912 443 2584</v>
      </c>
      <c r="H1685" s="2"/>
      <c r="I1685" s="72" t="str">
        <f>IFERROR(__xludf.DUMMYFUNCTION("""COMPUTED_VALUE"""),"REPAIR - DISC PLOW")</f>
        <v>REPAIR - DISC PLOW</v>
      </c>
      <c r="J1685" s="72" t="str">
        <f>IFERROR(__xludf.DUMMYFUNCTION("""COMPUTED_VALUE"""),"Disc")</f>
        <v>Disc</v>
      </c>
      <c r="K1685" s="72" t="str">
        <f>IFERROR(__xludf.DUMMYFUNCTION("""COMPUTED_VALUE"""),"MYK: STARTER PROBLEM AND CRACK ANG DISCPLOW BLADE")</f>
        <v>MYK: STARTER PROBLEM AND CRACK ANG DISCPLOW BLADE</v>
      </c>
      <c r="L1685" s="72"/>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c r="AJ1685" s="2" t="str">
        <f>IFERROR(__xludf.DUMMYFUNCTION("""COMPUTED_VALUE"""),"Madarag")</f>
        <v>Madarag</v>
      </c>
      <c r="AK1685" s="2" t="str">
        <f>IFERROR(__xludf.DUMMYFUNCTION("""COMPUTED_VALUE"""),"San Enrique")</f>
        <v>San Enrique</v>
      </c>
      <c r="AL1685" s="2" t="str">
        <f>IFERROR(__xludf.DUMMYFUNCTION("""COMPUTED_VALUE"""),"Iloilo")</f>
        <v>Iloilo</v>
      </c>
      <c r="AM1685" s="2">
        <f>IFERROR(__xludf.DUMMYFUNCTION("""COMPUTED_VALUE"""),6.0)</f>
        <v>6</v>
      </c>
      <c r="AN1685" s="2" t="str">
        <f>IFERROR(__xludf.DUMMYFUNCTION("""COMPUTED_VALUE"""),"RCEF 23-09-21 Rebidding")</f>
        <v>RCEF 23-09-21 Rebidding</v>
      </c>
      <c r="AO1685" s="2">
        <f>IFERROR(__xludf.DUMMYFUNCTION("""COMPUTED_VALUE"""),4.0)</f>
        <v>4</v>
      </c>
      <c r="AP1685" s="2"/>
      <c r="AQ1685" s="2"/>
      <c r="AR1685" s="2"/>
      <c r="AS1685" s="2"/>
      <c r="AT1685" s="2"/>
      <c r="AU1685" s="2"/>
      <c r="AV1685" s="2"/>
      <c r="AW1685" s="2"/>
      <c r="AX1685" s="2"/>
      <c r="AY1685" s="2"/>
      <c r="AZ1685" s="2"/>
      <c r="BA1685" s="2"/>
      <c r="BB1685" s="2"/>
    </row>
    <row r="1686">
      <c r="A1686" s="2">
        <f>IFERROR(__xludf.DUMMYFUNCTION("""COMPUTED_VALUE"""),1682.0)</f>
        <v>1682</v>
      </c>
      <c r="B1686" s="2" t="str">
        <f>IFERROR(__xludf.DUMMYFUNCTION("""COMPUTED_VALUE"""),"PENDING")</f>
        <v>PENDING</v>
      </c>
      <c r="C1686" s="78">
        <f>IFERROR(__xludf.DUMMYFUNCTION("""COMPUTED_VALUE"""),46149.0)</f>
        <v>46149</v>
      </c>
      <c r="D1686" s="71" t="str">
        <f>IFERROR(__xludf.DUMMYFUNCTION("""COMPUTED_VALUE"""),"Tabao Rizal Farmers Association")</f>
        <v>Tabao Rizal Farmers Association</v>
      </c>
      <c r="E1686" s="71" t="str">
        <f>IFERROR(__xludf.DUMMYFUNCTION("""COMPUTED_VALUE"""),"Tabao Rizal, San Enrique, NEGROS OCCIDENTAL")</f>
        <v>Tabao Rizal, San Enrique, NEGROS OCCIDENTAL</v>
      </c>
      <c r="F1686" s="2" t="str">
        <f>IFERROR(__xludf.DUMMYFUNCTION("""COMPUTED_VALUE"""),"Josie Bacolina, Jr.")</f>
        <v>Josie Bacolina, Jr.</v>
      </c>
      <c r="G1686" s="2">
        <f>IFERROR(__xludf.DUMMYFUNCTION("""COMPUTED_VALUE"""),9.810054575E9)</f>
        <v>9810054575</v>
      </c>
      <c r="H1686" s="2"/>
      <c r="I1686" s="72" t="str">
        <f>IFERROR(__xludf.DUMMYFUNCTION("""COMPUTED_VALUE"""),"REPAIR - DISC PLOW")</f>
        <v>REPAIR - DISC PLOW</v>
      </c>
      <c r="J1686" s="72"/>
      <c r="K1686" s="72" t="str">
        <f>IFERROR(__xludf.DUMMYFUNCTION("""COMPUTED_VALUE"""),"MYK: NA PMS NA NILA -  PALITAN NALANG YUNG FILTER AT LANGIS  - DISCPLOW PROBLEM
")</f>
        <v>MYK: NA PMS NA NILA -  PALITAN NALANG YUNG FILTER AT LANGIS  - DISCPLOW PROBLEM
</v>
      </c>
      <c r="L1686" s="72"/>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c r="AJ1686" s="2" t="str">
        <f>IFERROR(__xludf.DUMMYFUNCTION("""COMPUTED_VALUE"""),"Tabao Rizal")</f>
        <v>Tabao Rizal</v>
      </c>
      <c r="AK1686" s="2" t="str">
        <f>IFERROR(__xludf.DUMMYFUNCTION("""COMPUTED_VALUE"""),"San Enrique")</f>
        <v>San Enrique</v>
      </c>
      <c r="AL1686" s="2" t="str">
        <f>IFERROR(__xludf.DUMMYFUNCTION("""COMPUTED_VALUE"""),"Negros Occidental")</f>
        <v>Negros Occidental</v>
      </c>
      <c r="AM1686" s="2">
        <f>IFERROR(__xludf.DUMMYFUNCTION("""COMPUTED_VALUE"""),6.0)</f>
        <v>6</v>
      </c>
      <c r="AN1686" s="2" t="str">
        <f>IFERROR(__xludf.DUMMYFUNCTION("""COMPUTED_VALUE"""),"RCEF 25-03-05")</f>
        <v>RCEF 25-03-05</v>
      </c>
      <c r="AO1686" s="2">
        <f>IFERROR(__xludf.DUMMYFUNCTION("""COMPUTED_VALUE"""),7.0)</f>
        <v>7</v>
      </c>
      <c r="AP1686" s="2" t="str">
        <f>IFERROR(__xludf.DUMMYFUNCTION("""COMPUTED_VALUE"""),"FREE PMS")</f>
        <v>FREE PMS</v>
      </c>
      <c r="AQ1686" s="2"/>
      <c r="AR1686" s="2"/>
      <c r="AS1686" s="2"/>
      <c r="AT1686" s="2"/>
      <c r="AU1686" s="2"/>
      <c r="AV1686" s="2"/>
      <c r="AW1686" s="2"/>
      <c r="AX1686" s="2"/>
      <c r="AY1686" s="2"/>
      <c r="AZ1686" s="2"/>
      <c r="BA1686" s="2"/>
      <c r="BB1686" s="2"/>
    </row>
    <row r="1687">
      <c r="A1687" s="2">
        <f>IFERROR(__xludf.DUMMYFUNCTION("""COMPUTED_VALUE"""),1683.0)</f>
        <v>1683</v>
      </c>
      <c r="B1687" s="2" t="str">
        <f>IFERROR(__xludf.DUMMYFUNCTION("""COMPUTED_VALUE"""),"PENDING")</f>
        <v>PENDING</v>
      </c>
      <c r="C1687" s="78">
        <f>IFERROR(__xludf.DUMMYFUNCTION("""COMPUTED_VALUE"""),46149.0)</f>
        <v>46149</v>
      </c>
      <c r="D1687" s="71" t="str">
        <f>IFERROR(__xludf.DUMMYFUNCTION("""COMPUTED_VALUE"""),"San Antonio Farmers Irrigators Multi-Purpose Cooperative")</f>
        <v>San Antonio Farmers Irrigators Multi-Purpose Cooperative</v>
      </c>
      <c r="E1687" s="71" t="str">
        <f>IFERROR(__xludf.DUMMYFUNCTION("""COMPUTED_VALUE"""),"San Antonio, Buhi, CAMARINES SUR")</f>
        <v>San Antonio, Buhi, CAMARINES SUR</v>
      </c>
      <c r="F1687" s="2" t="str">
        <f>IFERROR(__xludf.DUMMYFUNCTION("""COMPUTED_VALUE"""),"Simeon Molina")</f>
        <v>Simeon Molina</v>
      </c>
      <c r="G1687" s="2">
        <f>IFERROR(__xludf.DUMMYFUNCTION("""COMPUTED_VALUE"""),9.260464496E9)</f>
        <v>9260464496</v>
      </c>
      <c r="H1687" s="2"/>
      <c r="I1687" s="72" t="str">
        <f>IFERROR(__xludf.DUMMYFUNCTION("""COMPUTED_VALUE"""),"PMS")</f>
        <v>PMS</v>
      </c>
      <c r="J1687" s="72"/>
      <c r="K1687" s="72" t="str">
        <f>IFERROR(__xludf.DUMMYFUNCTION("""COMPUTED_VALUE"""),"KFS: 1ST PMS FREE, ORDER DRAW BAR PINS- 2PCS")</f>
        <v>KFS: 1ST PMS FREE, ORDER DRAW BAR PINS- 2PCS</v>
      </c>
      <c r="L1687" s="72" t="str">
        <f>IFERROR(__xludf.DUMMYFUNCTION("""COMPUTED_VALUE"""),"MYK: HINDI DAW ALAM NG CONTACT PERSON KUNG ANO YUNG BAR PINS, ITATANONG PADAW NYA SA OPERATOR.")</f>
        <v>MYK: HINDI DAW ALAM NG CONTACT PERSON KUNG ANO YUNG BAR PINS, ITATANONG PADAW NYA SA OPERATOR.</v>
      </c>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c r="AJ1687" s="2" t="str">
        <f>IFERROR(__xludf.DUMMYFUNCTION("""COMPUTED_VALUE"""),"San Antonio")</f>
        <v>San Antonio</v>
      </c>
      <c r="AK1687" s="2" t="str">
        <f>IFERROR(__xludf.DUMMYFUNCTION("""COMPUTED_VALUE"""),"Buhi")</f>
        <v>Buhi</v>
      </c>
      <c r="AL1687" s="2" t="str">
        <f>IFERROR(__xludf.DUMMYFUNCTION("""COMPUTED_VALUE"""),"Camarines Sur")</f>
        <v>Camarines Sur</v>
      </c>
      <c r="AM1687" s="2">
        <f>IFERROR(__xludf.DUMMYFUNCTION("""COMPUTED_VALUE"""),5.0)</f>
        <v>5</v>
      </c>
      <c r="AN1687" s="2" t="str">
        <f>IFERROR(__xludf.DUMMYFUNCTION("""COMPUTED_VALUE"""),"RCEF 25-03-05")</f>
        <v>RCEF 25-03-05</v>
      </c>
      <c r="AO1687" s="2">
        <f>IFERROR(__xludf.DUMMYFUNCTION("""COMPUTED_VALUE"""),6.0)</f>
        <v>6</v>
      </c>
      <c r="AP1687" s="2" t="str">
        <f>IFERROR(__xludf.DUMMYFUNCTION("""COMPUTED_VALUE"""),"FREE PMS")</f>
        <v>FREE PMS</v>
      </c>
      <c r="AQ1687" s="2"/>
      <c r="AR1687" s="2"/>
      <c r="AS1687" s="2"/>
      <c r="AT1687" s="2"/>
      <c r="AU1687" s="2"/>
      <c r="AV1687" s="2"/>
      <c r="AW1687" s="2"/>
      <c r="AX1687" s="2"/>
      <c r="AY1687" s="2"/>
      <c r="AZ1687" s="2"/>
      <c r="BA1687" s="2"/>
      <c r="BB1687" s="2"/>
    </row>
    <row r="1688">
      <c r="A1688" s="2">
        <f>IFERROR(__xludf.DUMMYFUNCTION("""COMPUTED_VALUE"""),1684.0)</f>
        <v>1684</v>
      </c>
      <c r="B1688" s="2" t="str">
        <f>IFERROR(__xludf.DUMMYFUNCTION("""COMPUTED_VALUE"""),"PENDING")</f>
        <v>PENDING</v>
      </c>
      <c r="C1688" s="78">
        <f>IFERROR(__xludf.DUMMYFUNCTION("""COMPUTED_VALUE"""),46149.0)</f>
        <v>46149</v>
      </c>
      <c r="D1688" s="71" t="str">
        <f>IFERROR(__xludf.DUMMYFUNCTION("""COMPUTED_VALUE"""),"Lamut Grassroots Savings and Development Cooperative")</f>
        <v>Lamut Grassroots Savings and Development Cooperative</v>
      </c>
      <c r="E1688" s="71" t="str">
        <f>IFERROR(__xludf.DUMMYFUNCTION("""COMPUTED_VALUE"""),"Poblacion East, Lamut, IFUGAO")</f>
        <v>Poblacion East, Lamut, IFUGAO</v>
      </c>
      <c r="F1688" s="2" t="str">
        <f>IFERROR(__xludf.DUMMYFUNCTION("""COMPUTED_VALUE"""),"Danilo Sera")</f>
        <v>Danilo Sera</v>
      </c>
      <c r="G1688" s="2">
        <f>IFERROR(__xludf.DUMMYFUNCTION("""COMPUTED_VALUE"""),9.171105531E9)</f>
        <v>9171105531</v>
      </c>
      <c r="H1688" s="2"/>
      <c r="I1688" s="72" t="str">
        <f>IFERROR(__xludf.DUMMYFUNCTION("""COMPUTED_VALUE"""),"SPARE PARTS ACQUISITION")</f>
        <v>SPARE PARTS ACQUISITION</v>
      </c>
      <c r="J1688" s="72"/>
      <c r="K1688" s="72" t="str">
        <f>IFERROR(__xludf.DUMMYFUNCTION("""COMPUTED_VALUE"""),"LTC CS: Parts needed,
Bolt and nuts disc ploug
If available bibili sila
Mag send cla poh ng pic ng sample")</f>
        <v>LTC CS: Parts needed,
Bolt and nuts disc ploug
If available bibili sila
Mag send cla poh ng pic ng sample</v>
      </c>
      <c r="L1688" s="72" t="str">
        <f>IFERROR(__xludf.DUMMYFUNCTION("""COMPUTED_VALUE"""),"ERP: FOR OUTSOURCE")</f>
        <v>ERP: FOR OUTSOURCE</v>
      </c>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c r="AJ1688" s="2" t="str">
        <f>IFERROR(__xludf.DUMMYFUNCTION("""COMPUTED_VALUE"""),"Poblacion East")</f>
        <v>Poblacion East</v>
      </c>
      <c r="AK1688" s="2" t="str">
        <f>IFERROR(__xludf.DUMMYFUNCTION("""COMPUTED_VALUE"""),"Lamut")</f>
        <v>Lamut</v>
      </c>
      <c r="AL1688" s="2" t="str">
        <f>IFERROR(__xludf.DUMMYFUNCTION("""COMPUTED_VALUE"""),"Ifugao")</f>
        <v>Ifugao</v>
      </c>
      <c r="AM1688" s="2" t="str">
        <f>IFERROR(__xludf.DUMMYFUNCTION("""COMPUTED_VALUE"""),"CAR")</f>
        <v>CAR</v>
      </c>
      <c r="AN1688" s="2" t="str">
        <f>IFERROR(__xludf.DUMMYFUNCTION("""COMPUTED_VALUE"""),"RCEF 23-09-21 Rebidding")</f>
        <v>RCEF 23-09-21 Rebidding</v>
      </c>
      <c r="AO1688" s="2">
        <f>IFERROR(__xludf.DUMMYFUNCTION("""COMPUTED_VALUE"""),1.0)</f>
        <v>1</v>
      </c>
      <c r="AP1688" s="2"/>
      <c r="AQ1688" s="2"/>
      <c r="AR1688" s="2"/>
      <c r="AS1688" s="2"/>
      <c r="AT1688" s="2"/>
      <c r="AU1688" s="2"/>
      <c r="AV1688" s="2"/>
      <c r="AW1688" s="2"/>
      <c r="AX1688" s="2"/>
      <c r="AY1688" s="2"/>
      <c r="AZ1688" s="2"/>
      <c r="BA1688" s="2"/>
      <c r="BB1688" s="2"/>
    </row>
    <row r="1689">
      <c r="A1689" s="2">
        <f>IFERROR(__xludf.DUMMYFUNCTION("""COMPUTED_VALUE"""),1685.0)</f>
        <v>1685</v>
      </c>
      <c r="B1689" s="2" t="str">
        <f>IFERROR(__xludf.DUMMYFUNCTION("""COMPUTED_VALUE"""),"PENDING")</f>
        <v>PENDING</v>
      </c>
      <c r="C1689" s="78">
        <f>IFERROR(__xludf.DUMMYFUNCTION("""COMPUTED_VALUE"""),46149.0)</f>
        <v>46149</v>
      </c>
      <c r="D1689" s="71" t="str">
        <f>IFERROR(__xludf.DUMMYFUNCTION("""COMPUTED_VALUE"""),"BARANGAY BATONG BUHAY FARMER'S ASSOCIATION")</f>
        <v>BARANGAY BATONG BUHAY FARMER'S ASSOCIATION</v>
      </c>
      <c r="E1689" s="71" t="str">
        <f>IFERROR(__xludf.DUMMYFUNCTION("""COMPUTED_VALUE"""),"BATONG BUHAY, SABLAYAN, OCCIDENTAL MINDORO")</f>
        <v>BATONG BUHAY, SABLAYAN, OCCIDENTAL MINDORO</v>
      </c>
      <c r="F1689" s="2" t="str">
        <f>IFERROR(__xludf.DUMMYFUNCTION("""COMPUTED_VALUE"""),"Mark Anthony Silao")</f>
        <v>Mark Anthony Silao</v>
      </c>
      <c r="G1689" s="2">
        <f>IFERROR(__xludf.DUMMYFUNCTION("""COMPUTED_VALUE"""),9.663595285E9)</f>
        <v>9663595285</v>
      </c>
      <c r="H1689" s="2"/>
      <c r="I1689" s="72" t="str">
        <f>IFERROR(__xludf.DUMMYFUNCTION("""COMPUTED_VALUE"""),"REPAIR - TRACTOR")</f>
        <v>REPAIR - TRACTOR</v>
      </c>
      <c r="J1689" s="72" t="str">
        <f>IFERROR(__xludf.DUMMYFUNCTION("""COMPUTED_VALUE"""),"Front/Rear Axle - Leaking")</f>
        <v>Front/Rear Axle - Leaking</v>
      </c>
      <c r="K1689" s="72" t="str">
        <f>IFERROR(__xludf.DUMMYFUNCTION("""COMPUTED_VALUE"""),"LTC CS: UNIT FOR CHECK
FCA REQUESTING FOR VISIT")</f>
        <v>LTC CS: UNIT FOR CHECK
FCA REQUESTING FOR VISIT</v>
      </c>
      <c r="L1689" s="72"/>
      <c r="M1689" s="2" t="str">
        <f>IFERROR(__xludf.DUMMYFUNCTION("""COMPUTED_VALUE"""),"Oil Seal  FE78010000                                                                                 Oil Seal  TA00041359                                                                 Oil Seal TC60110000                                                  "&amp;"                     Rear Axle Oil Seal
")</f>
        <v>Oil Seal  FE78010000                                                                                 Oil Seal  TA00041359                                                                 Oil Seal TC60110000                                                                       Rear Axle Oil Seal
</v>
      </c>
      <c r="N1689" s="2"/>
      <c r="O1689" s="2"/>
      <c r="P1689" s="2"/>
      <c r="Q1689" s="2"/>
      <c r="R1689" s="2"/>
      <c r="S1689" s="2"/>
      <c r="T1689" s="2"/>
      <c r="U1689" s="2"/>
      <c r="V1689" s="2"/>
      <c r="W1689" s="2"/>
      <c r="X1689" s="2"/>
      <c r="Y1689" s="2"/>
      <c r="Z1689" s="2"/>
      <c r="AA1689" s="2"/>
      <c r="AB1689" s="2"/>
      <c r="AC1689" s="2"/>
      <c r="AD1689" s="2"/>
      <c r="AE1689" s="2"/>
      <c r="AF1689" s="2"/>
      <c r="AG1689" s="2"/>
      <c r="AH1689" s="2"/>
      <c r="AI1689" s="2"/>
      <c r="AJ1689" s="2" t="str">
        <f>IFERROR(__xludf.DUMMYFUNCTION("""COMPUTED_VALUE"""),"Batong Buhay")</f>
        <v>Batong Buhay</v>
      </c>
      <c r="AK1689" s="2" t="str">
        <f>IFERROR(__xludf.DUMMYFUNCTION("""COMPUTED_VALUE"""),"Sablayan")</f>
        <v>Sablayan</v>
      </c>
      <c r="AL1689" s="2" t="str">
        <f>IFERROR(__xludf.DUMMYFUNCTION("""COMPUTED_VALUE"""),"Occidental Mindoro")</f>
        <v>Occidental Mindoro</v>
      </c>
      <c r="AM1689" s="2" t="str">
        <f>IFERROR(__xludf.DUMMYFUNCTION("""COMPUTED_VALUE"""),"4B")</f>
        <v>4B</v>
      </c>
      <c r="AN1689" s="2" t="str">
        <f>IFERROR(__xludf.DUMMYFUNCTION("""COMPUTED_VALUE"""),"RCEF 23-08-20 Rebidding")</f>
        <v>RCEF 23-08-20 Rebidding</v>
      </c>
      <c r="AO1689" s="2">
        <f>IFERROR(__xludf.DUMMYFUNCTION("""COMPUTED_VALUE"""),1.0)</f>
        <v>1</v>
      </c>
      <c r="AP1689" s="2"/>
      <c r="AQ1689" s="2"/>
      <c r="AR1689" s="2"/>
      <c r="AS1689" s="2"/>
      <c r="AT1689" s="2"/>
      <c r="AU1689" s="2"/>
      <c r="AV1689" s="2"/>
      <c r="AW1689" s="2"/>
      <c r="AX1689" s="2"/>
      <c r="AY1689" s="2"/>
      <c r="AZ1689" s="2"/>
      <c r="BA1689" s="2"/>
      <c r="BB1689" s="2"/>
    </row>
    <row r="1690">
      <c r="A1690" s="2">
        <f>IFERROR(__xludf.DUMMYFUNCTION("""COMPUTED_VALUE"""),1686.0)</f>
        <v>1686</v>
      </c>
      <c r="B1690" s="2" t="str">
        <f>IFERROR(__xludf.DUMMYFUNCTION("""COMPUTED_VALUE"""),"COMPLETED")</f>
        <v>COMPLETED</v>
      </c>
      <c r="C1690" s="78">
        <f>IFERROR(__xludf.DUMMYFUNCTION("""COMPUTED_VALUE"""),46150.0)</f>
        <v>46150</v>
      </c>
      <c r="D1690" s="71" t="str">
        <f>IFERROR(__xludf.DUMMYFUNCTION("""COMPUTED_VALUE"""),"AGUMAN ORTELANO AND WORKERS' ASSOCIATION")</f>
        <v>AGUMAN ORTELANO AND WORKERS' ASSOCIATION</v>
      </c>
      <c r="E1690" s="71" t="str">
        <f>IFERROR(__xludf.DUMMYFUNCTION("""COMPUTED_VALUE"""),"San Isidro, Santa Ana, PAMPANGA")</f>
        <v>San Isidro, Santa Ana, PAMPANGA</v>
      </c>
      <c r="F1690" s="2" t="str">
        <f>IFERROR(__xludf.DUMMYFUNCTION("""COMPUTED_VALUE"""),"Eduardo Balagbag")</f>
        <v>Eduardo Balagbag</v>
      </c>
      <c r="G1690" s="2">
        <f>IFERROR(__xludf.DUMMYFUNCTION("""COMPUTED_VALUE"""),9.955744219E9)</f>
        <v>9955744219</v>
      </c>
      <c r="H1690" s="2">
        <f>IFERROR(__xludf.DUMMYFUNCTION("""COMPUTED_VALUE"""),45.0)</f>
        <v>45</v>
      </c>
      <c r="I1690" s="72" t="str">
        <f>IFERROR(__xludf.DUMMYFUNCTION("""COMPUTED_VALUE"""),"PMS")</f>
        <v>PMS</v>
      </c>
      <c r="J1690" s="72"/>
      <c r="K1690" s="72" t="str">
        <f>IFERROR(__xludf.DUMMYFUNCTION("""COMPUTED_VALUE"""),"ECM: For 1st PMS free")</f>
        <v>ECM: For 1st PMS free</v>
      </c>
      <c r="L1690" s="72" t="str">
        <f>IFERROR(__xludf.DUMMYFUNCTION("""COMPUTED_VALUE"""),"JHP: 5/11/26")</f>
        <v>JHP: 5/11/26</v>
      </c>
      <c r="M1690" s="2"/>
      <c r="N1690" s="2" t="str">
        <f>IFERROR(__xludf.DUMMYFUNCTION("""COMPUTED_VALUE"""),"PARTS: 
OIL FILTER
ENGINE OIL")</f>
        <v>PARTS: 
OIL FILTER
ENGINE OIL</v>
      </c>
      <c r="O1690" s="2">
        <f>IFERROR(__xludf.DUMMYFUNCTION("""COMPUTED_VALUE"""),684.0)</f>
        <v>684</v>
      </c>
      <c r="P1690" s="2" t="str">
        <f>IFERROR(__xludf.DUMMYFUNCTION("""COMPUTED_VALUE"""),"684 - AGUMAN ORTELANO AND WORKERS' ASSOCIATION.pdf")</f>
        <v>684 - AGUMAN ORTELANO AND WORKERS' ASSOCIATION.pdf</v>
      </c>
      <c r="Q1690" s="2" t="str">
        <f>IFERROR(__xludf.DUMMYFUNCTION("""COMPUTED_VALUE"""),"FOR PRINT")</f>
        <v>FOR PRINT</v>
      </c>
      <c r="R1690" s="77">
        <f>IFERROR(__xludf.DUMMYFUNCTION("""COMPUTED_VALUE"""),46153.0)</f>
        <v>46153</v>
      </c>
      <c r="S1690" s="2" t="str">
        <f>IFERROR(__xludf.DUMMYFUNCTION("""COMPUTED_VALUE"""),"JHP/DRM")</f>
        <v>JHP/DRM</v>
      </c>
      <c r="T1690" s="73" t="str">
        <f>IFERROR(__xludf.DUMMYFUNCTION("""COMPUTED_VALUE""")," N/A ")</f>
        <v>N/A</v>
      </c>
      <c r="U1690" s="73" t="str">
        <f>IFERROR(__xludf.DUMMYFUNCTION("""COMPUTED_VALUE""")," RECORDED ")</f>
        <v>RECORDED</v>
      </c>
      <c r="V1690" s="2">
        <f>IFERROR(__xludf.DUMMYFUNCTION("""COMPUTED_VALUE"""),1712.0)</f>
        <v>1712</v>
      </c>
      <c r="W1690" s="2" t="str">
        <f>IFERROR(__xludf.DUMMYFUNCTION("""COMPUTED_VALUE"""),"N/A")</f>
        <v>N/A</v>
      </c>
      <c r="X1690" s="2" t="str">
        <f>IFERROR(__xludf.DUMMYFUNCTION("""COMPUTED_VALUE"""),"N/A")</f>
        <v>N/A</v>
      </c>
      <c r="Y1690" s="2"/>
      <c r="Z1690" s="2"/>
      <c r="AA1690" s="2"/>
      <c r="AB1690" s="2"/>
      <c r="AC1690" s="2"/>
      <c r="AD1690" s="2"/>
      <c r="AE1690" s="2"/>
      <c r="AF1690" s="2"/>
      <c r="AG1690" s="2"/>
      <c r="AH1690" s="2"/>
      <c r="AI1690" s="2"/>
      <c r="AJ1690" s="2" t="str">
        <f>IFERROR(__xludf.DUMMYFUNCTION("""COMPUTED_VALUE"""),"San Isidro")</f>
        <v>San Isidro</v>
      </c>
      <c r="AK1690" s="2" t="str">
        <f>IFERROR(__xludf.DUMMYFUNCTION("""COMPUTED_VALUE"""),"Santa Ana")</f>
        <v>Santa Ana</v>
      </c>
      <c r="AL1690" s="2" t="str">
        <f>IFERROR(__xludf.DUMMYFUNCTION("""COMPUTED_VALUE"""),"Pampanga")</f>
        <v>Pampanga</v>
      </c>
      <c r="AM1690" s="2">
        <f>IFERROR(__xludf.DUMMYFUNCTION("""COMPUTED_VALUE"""),3.0)</f>
        <v>3</v>
      </c>
      <c r="AN1690" s="2" t="str">
        <f>IFERROR(__xludf.DUMMYFUNCTION("""COMPUTED_VALUE"""),"RCEF 24-04-15")</f>
        <v>RCEF 24-04-15</v>
      </c>
      <c r="AO1690" s="2">
        <f>IFERROR(__xludf.DUMMYFUNCTION("""COMPUTED_VALUE"""),6.0)</f>
        <v>6</v>
      </c>
      <c r="AP1690" s="2" t="str">
        <f>IFERROR(__xludf.DUMMYFUNCTION("""COMPUTED_VALUE"""),"FREE PMS")</f>
        <v>FREE PMS</v>
      </c>
      <c r="AQ1690" s="2"/>
      <c r="AR1690" s="2"/>
      <c r="AS1690" s="2"/>
      <c r="AT1690" s="2"/>
      <c r="AU1690" s="2"/>
      <c r="AV1690" s="2"/>
      <c r="AW1690" s="2"/>
      <c r="AX1690" s="2"/>
      <c r="AY1690" s="2"/>
      <c r="AZ1690" s="2"/>
      <c r="BA1690" s="2"/>
      <c r="BB1690" s="2"/>
    </row>
    <row r="1691">
      <c r="A1691" s="2">
        <f>IFERROR(__xludf.DUMMYFUNCTION("""COMPUTED_VALUE"""),1687.0)</f>
        <v>1687</v>
      </c>
      <c r="B1691" s="2" t="str">
        <f>IFERROR(__xludf.DUMMYFUNCTION("""COMPUTED_VALUE"""),"PENDING")</f>
        <v>PENDING</v>
      </c>
      <c r="C1691" s="78">
        <f>IFERROR(__xludf.DUMMYFUNCTION("""COMPUTED_VALUE"""),46150.0)</f>
        <v>46150</v>
      </c>
      <c r="D1691" s="71" t="str">
        <f>IFERROR(__xludf.DUMMYFUNCTION("""COMPUTED_VALUE"""),"Mina East Farmers Association")</f>
        <v>Mina East Farmers Association</v>
      </c>
      <c r="E1691" s="71" t="str">
        <f>IFERROR(__xludf.DUMMYFUNCTION("""COMPUTED_VALUE"""),"Mina East (Pob.), Mina, ILOILO")</f>
        <v>Mina East (Pob.), Mina, ILOILO</v>
      </c>
      <c r="F1691" s="2" t="str">
        <f>IFERROR(__xludf.DUMMYFUNCTION("""COMPUTED_VALUE"""),"Nenita Defensor")</f>
        <v>Nenita Defensor</v>
      </c>
      <c r="G1691" s="2">
        <f>IFERROR(__xludf.DUMMYFUNCTION("""COMPUTED_VALUE"""),9.184456077E9)</f>
        <v>9184456077</v>
      </c>
      <c r="H1691" s="2"/>
      <c r="I1691" s="72" t="str">
        <f>IFERROR(__xludf.DUMMYFUNCTION("""COMPUTED_VALUE"""),"REPAIR - TRACTOR")</f>
        <v>REPAIR - TRACTOR</v>
      </c>
      <c r="J1691" s="72" t="str">
        <f>IFERROR(__xludf.DUMMYFUNCTION("""COMPUTED_VALUE"""),"PTO")</f>
        <v>PTO</v>
      </c>
      <c r="K1691" s="72" t="str">
        <f>IFERROR(__xludf.DUMMYFUNCTION("""COMPUTED_VALUE"""),"LTC CS: Need to visit,
Unit is good nang nai deliver na ang implement na disc plough nung kinabit umikot lng saglit ndi na gumana kahit palitan na ng disc plough..
Simula dw naibigay ndi pa etu napuntahan ng technician natin...self pms 
Almost 3yrs n"&amp;"a dw ndi nila nagagamit ang implements
Nagagamit lng dw nila pang hila ang unit.")</f>
        <v>LTC CS: Need to visit,
Unit is good nang nai deliver na ang implement na disc plough nung kinabit umikot lng saglit ndi na gumana kahit palitan na ng disc plough..
Simula dw naibigay ndi pa etu napuntahan ng technician natin...self pms 
Almost 3yrs na dw ndi nila nagagamit ang implements
Nagagamit lng dw nila pang hila ang unit.</v>
      </c>
      <c r="L1691" s="72"/>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c r="AJ1691" s="2" t="str">
        <f>IFERROR(__xludf.DUMMYFUNCTION("""COMPUTED_VALUE"""),"Mina East (Pob.)")</f>
        <v>Mina East (Pob.)</v>
      </c>
      <c r="AK1691" s="2" t="str">
        <f>IFERROR(__xludf.DUMMYFUNCTION("""COMPUTED_VALUE"""),"Mina")</f>
        <v>Mina</v>
      </c>
      <c r="AL1691" s="2" t="str">
        <f>IFERROR(__xludf.DUMMYFUNCTION("""COMPUTED_VALUE"""),"Iloilo")</f>
        <v>Iloilo</v>
      </c>
      <c r="AM1691" s="2">
        <f>IFERROR(__xludf.DUMMYFUNCTION("""COMPUTED_VALUE"""),6.0)</f>
        <v>6</v>
      </c>
      <c r="AN1691" s="2" t="str">
        <f>IFERROR(__xludf.DUMMYFUNCTION("""COMPUTED_VALUE"""),"RCEF 23-09-21 Rebidding")</f>
        <v>RCEF 23-09-21 Rebidding</v>
      </c>
      <c r="AO1691" s="2">
        <f>IFERROR(__xludf.DUMMYFUNCTION("""COMPUTED_VALUE"""),4.0)</f>
        <v>4</v>
      </c>
      <c r="AP1691" s="2"/>
      <c r="AQ1691" s="2"/>
      <c r="AR1691" s="2"/>
      <c r="AS1691" s="2"/>
      <c r="AT1691" s="2"/>
      <c r="AU1691" s="2"/>
      <c r="AV1691" s="2"/>
      <c r="AW1691" s="2"/>
      <c r="AX1691" s="2"/>
      <c r="AY1691" s="2"/>
      <c r="AZ1691" s="2"/>
      <c r="BA1691" s="2"/>
      <c r="BB1691" s="2"/>
    </row>
    <row r="1692">
      <c r="A1692" s="2">
        <f>IFERROR(__xludf.DUMMYFUNCTION("""COMPUTED_VALUE"""),1688.0)</f>
        <v>1688</v>
      </c>
      <c r="B1692" s="2" t="str">
        <f>IFERROR(__xludf.DUMMYFUNCTION("""COMPUTED_VALUE"""),"PENDING")</f>
        <v>PENDING</v>
      </c>
      <c r="C1692" s="78">
        <f>IFERROR(__xludf.DUMMYFUNCTION("""COMPUTED_VALUE"""),46150.0)</f>
        <v>46150</v>
      </c>
      <c r="D1692" s="71" t="str">
        <f>IFERROR(__xludf.DUMMYFUNCTION("""COMPUTED_VALUE"""),"INTEGRATED BARANGAYS OF NUMANCIA MULTI-PURPOSE COOPERATIVE (IBON MPC)")</f>
        <v>INTEGRATED BARANGAYS OF NUMANCIA MULTI-PURPOSE COOPERATIVE (IBON MPC)</v>
      </c>
      <c r="E1692" s="71" t="str">
        <f>IFERROR(__xludf.DUMMYFUNCTION("""COMPUTED_VALUE"""),"Pusiw, Numancia, AKLAN")</f>
        <v>Pusiw, Numancia, AKLAN</v>
      </c>
      <c r="F1692" s="2" t="str">
        <f>IFERROR(__xludf.DUMMYFUNCTION("""COMPUTED_VALUE"""),"Ian Pioquid")</f>
        <v>Ian Pioquid</v>
      </c>
      <c r="G1692" s="2">
        <f>IFERROR(__xludf.DUMMYFUNCTION("""COMPUTED_VALUE"""),9.636233856E9)</f>
        <v>9636233856</v>
      </c>
      <c r="H1692" s="2"/>
      <c r="I1692" s="72" t="str">
        <f>IFERROR(__xludf.DUMMYFUNCTION("""COMPUTED_VALUE"""),"REPAIR - TRACTOR")</f>
        <v>REPAIR - TRACTOR</v>
      </c>
      <c r="J1692" s="72" t="str">
        <f>IFERROR(__xludf.DUMMYFUNCTION("""COMPUTED_VALUE"""),"Transmission - Clutch")</f>
        <v>Transmission - Clutch</v>
      </c>
      <c r="K1692" s="72" t="str">
        <f>IFERROR(__xludf.DUMMYFUNCTION("""COMPUTED_VALUE"""),"Need to visit
Kailangan makita ang unit kasi di cla sure kung anu ang sira
Posible dw
Clutch lining or preasure plate")</f>
        <v>Need to visit
Kailangan makita ang unit kasi di cla sure kung anu ang sira
Posible dw
Clutch lining or preasure plate</v>
      </c>
      <c r="L1692" s="72"/>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c r="AJ1692" s="2" t="str">
        <f>IFERROR(__xludf.DUMMYFUNCTION("""COMPUTED_VALUE"""),"Pusiw")</f>
        <v>Pusiw</v>
      </c>
      <c r="AK1692" s="2" t="str">
        <f>IFERROR(__xludf.DUMMYFUNCTION("""COMPUTED_VALUE"""),"Numancia")</f>
        <v>Numancia</v>
      </c>
      <c r="AL1692" s="2" t="str">
        <f>IFERROR(__xludf.DUMMYFUNCTION("""COMPUTED_VALUE"""),"Aklan")</f>
        <v>Aklan</v>
      </c>
      <c r="AM1692" s="2">
        <f>IFERROR(__xludf.DUMMYFUNCTION("""COMPUTED_VALUE"""),6.0)</f>
        <v>6</v>
      </c>
      <c r="AN1692" s="2" t="str">
        <f>IFERROR(__xludf.DUMMYFUNCTION("""COMPUTED_VALUE"""),"RCEF 23-09-21 Rebidding")</f>
        <v>RCEF 23-09-21 Rebidding</v>
      </c>
      <c r="AO1692" s="2">
        <f>IFERROR(__xludf.DUMMYFUNCTION("""COMPUTED_VALUE"""),4.0)</f>
        <v>4</v>
      </c>
      <c r="AP1692" s="2"/>
      <c r="AQ1692" s="2"/>
      <c r="AR1692" s="2"/>
      <c r="AS1692" s="2"/>
      <c r="AT1692" s="2"/>
      <c r="AU1692" s="2"/>
      <c r="AV1692" s="2"/>
      <c r="AW1692" s="2"/>
      <c r="AX1692" s="2"/>
      <c r="AY1692" s="2"/>
      <c r="AZ1692" s="2"/>
      <c r="BA1692" s="2"/>
      <c r="BB1692" s="2"/>
    </row>
    <row r="1693">
      <c r="A1693" s="2">
        <f>IFERROR(__xludf.DUMMYFUNCTION("""COMPUTED_VALUE"""),1689.0)</f>
        <v>1689</v>
      </c>
      <c r="B1693" s="2" t="str">
        <f>IFERROR(__xludf.DUMMYFUNCTION("""COMPUTED_VALUE"""),"PENDING")</f>
        <v>PENDING</v>
      </c>
      <c r="C1693" s="78">
        <f>IFERROR(__xludf.DUMMYFUNCTION("""COMPUTED_VALUE"""),46151.0)</f>
        <v>46151</v>
      </c>
      <c r="D1693" s="71" t="str">
        <f>IFERROR(__xludf.DUMMYFUNCTION("""COMPUTED_VALUE"""),"NINNEWC IRRIGATORS' ASSOCIATION, INC.")</f>
        <v>NINNEWC IRRIGATORS' ASSOCIATION, INC.</v>
      </c>
      <c r="E1693" s="71" t="str">
        <f>IFERROR(__xludf.DUMMYFUNCTION("""COMPUTED_VALUE"""),"Bayongan, San Miguel, BOHOL")</f>
        <v>Bayongan, San Miguel, BOHOL</v>
      </c>
      <c r="F1693" s="2" t="str">
        <f>IFERROR(__xludf.DUMMYFUNCTION("""COMPUTED_VALUE"""),"Ismael Jumamoy")</f>
        <v>Ismael Jumamoy</v>
      </c>
      <c r="G1693" s="2">
        <f>IFERROR(__xludf.DUMMYFUNCTION("""COMPUTED_VALUE"""),9.31784767E9)</f>
        <v>9317847670</v>
      </c>
      <c r="H1693" s="2">
        <f>IFERROR(__xludf.DUMMYFUNCTION("""COMPUTED_VALUE"""),215.0)</f>
        <v>215</v>
      </c>
      <c r="I1693" s="72" t="str">
        <f>IFERROR(__xludf.DUMMYFUNCTION("""COMPUTED_VALUE"""),"REPAIR - LOADER")</f>
        <v>REPAIR - LOADER</v>
      </c>
      <c r="J1693" s="72" t="str">
        <f>IFERROR(__xludf.DUMMYFUNCTION("""COMPUTED_VALUE"""),"Cable lock")</f>
        <v>Cable lock</v>
      </c>
      <c r="K1693" s="72" t="str">
        <f>IFERROR(__xludf.DUMMYFUNCTION("""COMPUTED_VALUE"""),"FSJ: Problem:joystick ayaw gumana pag ikabig pakaliwa")</f>
        <v>FSJ: Problem:joystick ayaw gumana pag ikabig pakaliwa</v>
      </c>
      <c r="L1693" s="72"/>
      <c r="M1693" s="2" t="str">
        <f>IFERROR(__xludf.DUMMYFUNCTION("""COMPUTED_VALUE"""),"CABLE LOCK")</f>
        <v>CABLE LOCK</v>
      </c>
      <c r="N1693" s="2"/>
      <c r="O1693" s="2"/>
      <c r="P1693" s="2"/>
      <c r="Q1693" s="2"/>
      <c r="R1693" s="2"/>
      <c r="S1693" s="2"/>
      <c r="T1693" s="2"/>
      <c r="U1693" s="2"/>
      <c r="V1693" s="2"/>
      <c r="W1693" s="2"/>
      <c r="X1693" s="2"/>
      <c r="Y1693" s="2"/>
      <c r="Z1693" s="2"/>
      <c r="AA1693" s="2"/>
      <c r="AB1693" s="2"/>
      <c r="AC1693" s="2"/>
      <c r="AD1693" s="2"/>
      <c r="AE1693" s="2"/>
      <c r="AF1693" s="2"/>
      <c r="AG1693" s="2"/>
      <c r="AH1693" s="2"/>
      <c r="AI1693" s="2"/>
      <c r="AJ1693" s="2" t="str">
        <f>IFERROR(__xludf.DUMMYFUNCTION("""COMPUTED_VALUE"""),"Bayongan")</f>
        <v>Bayongan</v>
      </c>
      <c r="AK1693" s="2" t="str">
        <f>IFERROR(__xludf.DUMMYFUNCTION("""COMPUTED_VALUE"""),"San Miguel")</f>
        <v>San Miguel</v>
      </c>
      <c r="AL1693" s="2" t="str">
        <f>IFERROR(__xludf.DUMMYFUNCTION("""COMPUTED_VALUE"""),"Bohol")</f>
        <v>Bohol</v>
      </c>
      <c r="AM1693" s="2">
        <f>IFERROR(__xludf.DUMMYFUNCTION("""COMPUTED_VALUE"""),7.0)</f>
        <v>7</v>
      </c>
      <c r="AN1693" s="2" t="str">
        <f>IFERROR(__xludf.DUMMYFUNCTION("""COMPUTED_VALUE"""),"RCEF 25-03-05")</f>
        <v>RCEF 25-03-05</v>
      </c>
      <c r="AO1693" s="2">
        <f>IFERROR(__xludf.DUMMYFUNCTION("""COMPUTED_VALUE"""),7.0)</f>
        <v>7</v>
      </c>
      <c r="AP1693" s="2" t="str">
        <f>IFERROR(__xludf.DUMMYFUNCTION("""COMPUTED_VALUE"""),"FREE PMS")</f>
        <v>FREE PMS</v>
      </c>
      <c r="AQ1693" s="2"/>
      <c r="AR1693" s="2"/>
      <c r="AS1693" s="2"/>
      <c r="AT1693" s="2"/>
      <c r="AU1693" s="2"/>
      <c r="AV1693" s="2"/>
      <c r="AW1693" s="2"/>
      <c r="AX1693" s="2"/>
      <c r="AY1693" s="2"/>
      <c r="AZ1693" s="2"/>
      <c r="BA1693" s="2"/>
      <c r="BB1693" s="2"/>
    </row>
    <row r="1694">
      <c r="A1694" s="2">
        <f>IFERROR(__xludf.DUMMYFUNCTION("""COMPUTED_VALUE"""),1690.0)</f>
        <v>1690</v>
      </c>
      <c r="B1694" s="2" t="str">
        <f>IFERROR(__xludf.DUMMYFUNCTION("""COMPUTED_VALUE"""),"PENDING")</f>
        <v>PENDING</v>
      </c>
      <c r="C1694" s="78">
        <f>IFERROR(__xludf.DUMMYFUNCTION("""COMPUTED_VALUE"""),46151.0)</f>
        <v>46151</v>
      </c>
      <c r="D1694" s="71" t="str">
        <f>IFERROR(__xludf.DUMMYFUNCTION("""COMPUTED_VALUE"""),"MAMAMIA IRRIGATORS' ASSOCIATION, INC.")</f>
        <v>MAMAMIA IRRIGATORS' ASSOCIATION, INC.</v>
      </c>
      <c r="E1694" s="71" t="str">
        <f>IFERROR(__xludf.DUMMYFUNCTION("""COMPUTED_VALUE"""),"Mahayag, San Miguel, BOHOL")</f>
        <v>Mahayag, San Miguel, BOHOL</v>
      </c>
      <c r="F1694" s="2" t="str">
        <f>IFERROR(__xludf.DUMMYFUNCTION("""COMPUTED_VALUE"""),"Rene Ceniza")</f>
        <v>Rene Ceniza</v>
      </c>
      <c r="G1694" s="2">
        <f>IFERROR(__xludf.DUMMYFUNCTION("""COMPUTED_VALUE"""),9.924679864E9)</f>
        <v>9924679864</v>
      </c>
      <c r="H1694" s="2"/>
      <c r="I1694" s="72"/>
      <c r="J1694" s="72"/>
      <c r="K1694" s="72" t="str">
        <f>IFERROR(__xludf.DUMMYFUNCTION("""COMPUTED_VALUE"""),"FSJ: Problem :
Walang tools ")</f>
        <v>FSJ: Problem :
Walang tools </v>
      </c>
      <c r="L1694" s="7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c r="AJ1694" s="2" t="str">
        <f>IFERROR(__xludf.DUMMYFUNCTION("""COMPUTED_VALUE"""),"Mahayag")</f>
        <v>Mahayag</v>
      </c>
      <c r="AK1694" s="2" t="str">
        <f>IFERROR(__xludf.DUMMYFUNCTION("""COMPUTED_VALUE"""),"San Miguel")</f>
        <v>San Miguel</v>
      </c>
      <c r="AL1694" s="2" t="str">
        <f>IFERROR(__xludf.DUMMYFUNCTION("""COMPUTED_VALUE"""),"Bohol")</f>
        <v>Bohol</v>
      </c>
      <c r="AM1694" s="2">
        <f>IFERROR(__xludf.DUMMYFUNCTION("""COMPUTED_VALUE"""),7.0)</f>
        <v>7</v>
      </c>
      <c r="AN1694" s="2" t="str">
        <f>IFERROR(__xludf.DUMMYFUNCTION("""COMPUTED_VALUE"""),"RCEF 25-03-05")</f>
        <v>RCEF 25-03-05</v>
      </c>
      <c r="AO1694" s="2">
        <f>IFERROR(__xludf.DUMMYFUNCTION("""COMPUTED_VALUE"""),7.0)</f>
        <v>7</v>
      </c>
      <c r="AP1694" s="2" t="str">
        <f>IFERROR(__xludf.DUMMYFUNCTION("""COMPUTED_VALUE"""),"FREE PMS")</f>
        <v>FREE PMS</v>
      </c>
      <c r="AQ1694" s="2"/>
      <c r="AR1694" s="2"/>
      <c r="AS1694" s="2"/>
      <c r="AT1694" s="2"/>
      <c r="AU1694" s="2"/>
      <c r="AV1694" s="2"/>
      <c r="AW1694" s="2"/>
      <c r="AX1694" s="2"/>
      <c r="AY1694" s="2"/>
      <c r="AZ1694" s="2"/>
      <c r="BA1694" s="2"/>
      <c r="BB1694" s="2"/>
    </row>
    <row r="1695">
      <c r="A1695" s="2">
        <f>IFERROR(__xludf.DUMMYFUNCTION("""COMPUTED_VALUE"""),1691.0)</f>
        <v>1691</v>
      </c>
      <c r="B1695" s="2" t="str">
        <f>IFERROR(__xludf.DUMMYFUNCTION("""COMPUTED_VALUE"""),"PENDING")</f>
        <v>PENDING</v>
      </c>
      <c r="C1695" s="78">
        <f>IFERROR(__xludf.DUMMYFUNCTION("""COMPUTED_VALUE"""),46151.0)</f>
        <v>46151</v>
      </c>
      <c r="D1695" s="71" t="str">
        <f>IFERROR(__xludf.DUMMYFUNCTION("""COMPUTED_VALUE"""),"Camba-ol Progreso Irrigators Association Inc.")</f>
        <v>Camba-ol Progreso Irrigators Association Inc.</v>
      </c>
      <c r="E1695" s="71" t="str">
        <f>IFERROR(__xludf.DUMMYFUNCTION("""COMPUTED_VALUE"""),"Progreso, Alicia, BOHOL")</f>
        <v>Progreso, Alicia, BOHOL</v>
      </c>
      <c r="F1695" s="2" t="str">
        <f>IFERROR(__xludf.DUMMYFUNCTION("""COMPUTED_VALUE"""),"Hilario Quinlog")</f>
        <v>Hilario Quinlog</v>
      </c>
      <c r="G1695" s="2">
        <f>IFERROR(__xludf.DUMMYFUNCTION("""COMPUTED_VALUE"""),9.389492435E9)</f>
        <v>9389492435</v>
      </c>
      <c r="H1695" s="2"/>
      <c r="I1695" s="72"/>
      <c r="J1695" s="72"/>
      <c r="K1695" s="72" t="str">
        <f>IFERROR(__xludf.DUMMYFUNCTION("""COMPUTED_VALUE"""),"FSJ: Problem:
   No tools included in farm machineries.")</f>
        <v>FSJ: Problem:
   No tools included in farm machineries.</v>
      </c>
      <c r="L1695" s="72"/>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c r="AJ1695" s="2" t="str">
        <f>IFERROR(__xludf.DUMMYFUNCTION("""COMPUTED_VALUE"""),"Progreso")</f>
        <v>Progreso</v>
      </c>
      <c r="AK1695" s="2" t="str">
        <f>IFERROR(__xludf.DUMMYFUNCTION("""COMPUTED_VALUE"""),"Alicia")</f>
        <v>Alicia</v>
      </c>
      <c r="AL1695" s="2" t="str">
        <f>IFERROR(__xludf.DUMMYFUNCTION("""COMPUTED_VALUE"""),"Bohol")</f>
        <v>Bohol</v>
      </c>
      <c r="AM1695" s="2">
        <f>IFERROR(__xludf.DUMMYFUNCTION("""COMPUTED_VALUE"""),7.0)</f>
        <v>7</v>
      </c>
      <c r="AN1695" s="2" t="str">
        <f>IFERROR(__xludf.DUMMYFUNCTION("""COMPUTED_VALUE"""),"RCEF 25-03-05")</f>
        <v>RCEF 25-03-05</v>
      </c>
      <c r="AO1695" s="2">
        <f>IFERROR(__xludf.DUMMYFUNCTION("""COMPUTED_VALUE"""),7.0)</f>
        <v>7</v>
      </c>
      <c r="AP1695" s="2" t="str">
        <f>IFERROR(__xludf.DUMMYFUNCTION("""COMPUTED_VALUE"""),"FREE PMS")</f>
        <v>FREE PMS</v>
      </c>
      <c r="AQ1695" s="2"/>
      <c r="AR1695" s="2"/>
      <c r="AS1695" s="2"/>
      <c r="AT1695" s="2"/>
      <c r="AU1695" s="2"/>
      <c r="AV1695" s="2"/>
      <c r="AW1695" s="2"/>
      <c r="AX1695" s="2"/>
      <c r="AY1695" s="2"/>
      <c r="AZ1695" s="2"/>
      <c r="BA1695" s="2"/>
      <c r="BB1695" s="2"/>
    </row>
    <row r="1696">
      <c r="A1696" s="2">
        <f>IFERROR(__xludf.DUMMYFUNCTION("""COMPUTED_VALUE"""),1692.0)</f>
        <v>1692</v>
      </c>
      <c r="B1696" s="2" t="str">
        <f>IFERROR(__xludf.DUMMYFUNCTION("""COMPUTED_VALUE"""),"COMPLETED")</f>
        <v>COMPLETED</v>
      </c>
      <c r="C1696" s="74">
        <f>IFERROR(__xludf.DUMMYFUNCTION("""COMPUTED_VALUE"""),46152.0)</f>
        <v>46152</v>
      </c>
      <c r="D1696" s="71" t="str">
        <f>IFERROR(__xludf.DUMMYFUNCTION("""COMPUTED_VALUE"""),"Alfonso Lista Rice Cluster Farmers Federation Incorporated")</f>
        <v>Alfonso Lista Rice Cluster Farmers Federation Incorporated</v>
      </c>
      <c r="E1696" s="71" t="str">
        <f>IFERROR(__xludf.DUMMYFUNCTION("""COMPUTED_VALUE"""),"Santa Maria, Alfonso Lista (Potia), IFUGAO")</f>
        <v>Santa Maria, Alfonso Lista (Potia), IFUGAO</v>
      </c>
      <c r="F1696" s="2"/>
      <c r="G1696" s="2"/>
      <c r="H1696" s="2"/>
      <c r="I1696" s="72" t="str">
        <f>IFERROR(__xludf.DUMMYFUNCTION("""COMPUTED_VALUE"""),"SPARE PARTS ACQUISITION")</f>
        <v>SPARE PARTS ACQUISITION</v>
      </c>
      <c r="J1696" s="72"/>
      <c r="K1696" s="72" t="str">
        <f>IFERROR(__xludf.DUMMYFUNCTION("""COMPUTED_VALUE"""),"CFG: ORDER PARTS:
OIL SEAL TA000041359A
REAR AXLE OIL SEAL TA00033423A")</f>
        <v>CFG: ORDER PARTS:
OIL SEAL TA000041359A
REAR AXLE OIL SEAL TA00033423A</v>
      </c>
      <c r="L1696" s="72" t="str">
        <f>IFERROR(__xludf.DUMMYFUNCTION("""COMPUTED_VALUE"""),"CFG: DELIVERED")</f>
        <v>CFG: DELIVERED</v>
      </c>
      <c r="M1696" s="2"/>
      <c r="N1696" s="2" t="str">
        <f>IFERROR(__xludf.DUMMYFUNCTION("""COMPUTED_VALUE"""),"PARTS:
OIL SEAL TA000041359A
REAR AXLE OIL SEAL TA00033423A")</f>
        <v>PARTS:
OIL SEAL TA000041359A
REAR AXLE OIL SEAL TA00033423A</v>
      </c>
      <c r="O1696" s="2"/>
      <c r="P1696" s="2"/>
      <c r="Q1696" s="2"/>
      <c r="R1696" s="74">
        <f>IFERROR(__xludf.DUMMYFUNCTION("""COMPUTED_VALUE"""),46152.0)</f>
        <v>46152</v>
      </c>
      <c r="S1696" s="2" t="str">
        <f>IFERROR(__xludf.DUMMYFUNCTION("""COMPUTED_VALUE"""),"CFG")</f>
        <v>CFG</v>
      </c>
      <c r="T1696" s="73">
        <f>IFERROR(__xludf.DUMMYFUNCTION("""COMPUTED_VALUE"""),9375.0)</f>
        <v>9375</v>
      </c>
      <c r="U1696" s="73" t="str">
        <f>IFERROR(__xludf.DUMMYFUNCTION("""COMPUTED_VALUE""")," REMITTED ")</f>
        <v>REMITTED</v>
      </c>
      <c r="V1696" s="2">
        <f>IFERROR(__xludf.DUMMYFUNCTION("""COMPUTED_VALUE"""),1661.0)</f>
        <v>1661</v>
      </c>
      <c r="W1696" s="2">
        <f>IFERROR(__xludf.DUMMYFUNCTION("""COMPUTED_VALUE"""),1777.0)</f>
        <v>1777</v>
      </c>
      <c r="X1696" s="2">
        <f>IFERROR(__xludf.DUMMYFUNCTION("""COMPUTED_VALUE"""),1788.0)</f>
        <v>1788</v>
      </c>
      <c r="Y1696" s="2"/>
      <c r="Z1696" s="2"/>
      <c r="AA1696" s="2"/>
      <c r="AB1696" s="2"/>
      <c r="AC1696" s="2"/>
      <c r="AD1696" s="2"/>
      <c r="AE1696" s="2"/>
      <c r="AF1696" s="2"/>
      <c r="AG1696" s="2"/>
      <c r="AH1696" s="2"/>
      <c r="AI1696" s="2"/>
      <c r="AJ1696" s="2" t="str">
        <f>IFERROR(__xludf.DUMMYFUNCTION("""COMPUTED_VALUE"""),"Santa Maria")</f>
        <v>Santa Maria</v>
      </c>
      <c r="AK1696" s="2" t="str">
        <f>IFERROR(__xludf.DUMMYFUNCTION("""COMPUTED_VALUE"""),"Alfonso Lista (Potia)")</f>
        <v>Alfonso Lista (Potia)</v>
      </c>
      <c r="AL1696" s="2" t="str">
        <f>IFERROR(__xludf.DUMMYFUNCTION("""COMPUTED_VALUE"""),"Ifugao")</f>
        <v>Ifugao</v>
      </c>
      <c r="AM1696" s="2" t="str">
        <f>IFERROR(__xludf.DUMMYFUNCTION("""COMPUTED_VALUE"""),"CAR")</f>
        <v>CAR</v>
      </c>
      <c r="AN1696" s="2" t="str">
        <f>IFERROR(__xludf.DUMMYFUNCTION("""COMPUTED_VALUE"""),"RCEF 23-09-21 Rebidding")</f>
        <v>RCEF 23-09-21 Rebidding</v>
      </c>
      <c r="AO1696" s="2">
        <f>IFERROR(__xludf.DUMMYFUNCTION("""COMPUTED_VALUE"""),1.0)</f>
        <v>1</v>
      </c>
      <c r="AP1696" s="2"/>
      <c r="AQ1696" s="2"/>
      <c r="AR1696" s="2"/>
      <c r="AS1696" s="2"/>
      <c r="AT1696" s="2"/>
      <c r="AU1696" s="2"/>
      <c r="AV1696" s="2"/>
      <c r="AW1696" s="2"/>
      <c r="AX1696" s="2"/>
      <c r="AY1696" s="2"/>
      <c r="AZ1696" s="2"/>
      <c r="BA1696" s="2"/>
      <c r="BB1696" s="2"/>
    </row>
    <row r="1697">
      <c r="A1697" s="2">
        <f>IFERROR(__xludf.DUMMYFUNCTION("""COMPUTED_VALUE"""),1693.0)</f>
        <v>1693</v>
      </c>
      <c r="B1697" s="2" t="str">
        <f>IFERROR(__xludf.DUMMYFUNCTION("""COMPUTED_VALUE"""),"COMPLETED")</f>
        <v>COMPLETED</v>
      </c>
      <c r="C1697" s="78">
        <f>IFERROR(__xludf.DUMMYFUNCTION("""COMPUTED_VALUE"""),46153.0)</f>
        <v>46153</v>
      </c>
      <c r="D1697" s="71" t="str">
        <f>IFERROR(__xludf.DUMMYFUNCTION("""COMPUTED_VALUE"""),"Babancal Alindayat Farmers/Irrigators Association Inc.")</f>
        <v>Babancal Alindayat Farmers/Irrigators Association Inc.</v>
      </c>
      <c r="E1697" s="71" t="str">
        <f>IFERROR(__xludf.DUMMYFUNCTION("""COMPUTED_VALUE"""),"Babancal, Candelaria, ZAMBALES")</f>
        <v>Babancal, Candelaria, ZAMBALES</v>
      </c>
      <c r="F1697" s="2" t="str">
        <f>IFERROR(__xludf.DUMMYFUNCTION("""COMPUTED_VALUE"""),"ALLAN M, ALCANTARA ")</f>
        <v>ALLAN M, ALCANTARA </v>
      </c>
      <c r="G1697" s="2">
        <f>IFERROR(__xludf.DUMMYFUNCTION("""COMPUTED_VALUE"""),9.674951331E9)</f>
        <v>9674951331</v>
      </c>
      <c r="H1697" s="2"/>
      <c r="I1697" s="72" t="str">
        <f>IFERROR(__xludf.DUMMYFUNCTION("""COMPUTED_VALUE"""),"REPAIR - TRACTOR")</f>
        <v>REPAIR - TRACTOR</v>
      </c>
      <c r="J1697" s="72" t="str">
        <f>IFERROR(__xludf.DUMMYFUNCTION("""COMPUTED_VALUE"""),"Engine - Injector Pump")</f>
        <v>Engine - Injector Pump</v>
      </c>
      <c r="K1697" s="72" t="str">
        <f>IFERROR(__xludf.DUMMYFUNCTION("""COMPUTED_VALUE"""),"ACS: Problem: Gud am Po sir, ung traktora Po Namin, gusto kupo sana in check ung my tumutulong desiel sa injection pump niya,")</f>
        <v>ACS: Problem: Gud am Po sir, ung traktora Po Namin, gusto kupo sana in check ung my tumutulong desiel sa injection pump niya,</v>
      </c>
      <c r="L1697" s="72" t="str">
        <f>IFERROR(__xludf.DUMMYFUNCTION("""COMPUTED_VALUE"""),"ACS: FUEL PIPE LEAKING - PINAGPALIT ANG ADAPTOR NG FUEL PIPE")</f>
        <v>ACS: FUEL PIPE LEAKING - PINAGPALIT ANG ADAPTOR NG FUEL PIPE</v>
      </c>
      <c r="M1697" s="2"/>
      <c r="N1697" s="2"/>
      <c r="O1697" s="2">
        <f>IFERROR(__xludf.DUMMYFUNCTION("""COMPUTED_VALUE"""),691.0)</f>
        <v>691</v>
      </c>
      <c r="P1697" s="2"/>
      <c r="Q1697" s="2" t="str">
        <f>IFERROR(__xludf.DUMMYFUNCTION("""COMPUTED_VALUE"""),"FOR PRINT")</f>
        <v>FOR PRINT</v>
      </c>
      <c r="R1697" s="77">
        <f>IFERROR(__xludf.DUMMYFUNCTION("""COMPUTED_VALUE"""),46162.0)</f>
        <v>46162</v>
      </c>
      <c r="S1697" s="2" t="str">
        <f>IFERROR(__xludf.DUMMYFUNCTION("""COMPUTED_VALUE"""),"JHP/ACS")</f>
        <v>JHP/ACS</v>
      </c>
      <c r="T1697" s="73" t="str">
        <f>IFERROR(__xludf.DUMMYFUNCTION("""COMPUTED_VALUE""")," N/A ")</f>
        <v>N/A</v>
      </c>
      <c r="U1697" s="73" t="str">
        <f>IFERROR(__xludf.DUMMYFUNCTION("""COMPUTED_VALUE""")," NO CHARGE ")</f>
        <v>NO CHARGE</v>
      </c>
      <c r="V1697" s="2" t="str">
        <f>IFERROR(__xludf.DUMMYFUNCTION("""COMPUTED_VALUE"""),"N/A")</f>
        <v>N/A</v>
      </c>
      <c r="W1697" s="2" t="str">
        <f>IFERROR(__xludf.DUMMYFUNCTION("""COMPUTED_VALUE"""),"N/A")</f>
        <v>N/A</v>
      </c>
      <c r="X1697" s="2" t="str">
        <f>IFERROR(__xludf.DUMMYFUNCTION("""COMPUTED_VALUE"""),"N/A")</f>
        <v>N/A</v>
      </c>
      <c r="Y1697" s="2"/>
      <c r="Z1697" s="2"/>
      <c r="AA1697" s="2"/>
      <c r="AB1697" s="2"/>
      <c r="AC1697" s="2"/>
      <c r="AD1697" s="2"/>
      <c r="AE1697" s="2"/>
      <c r="AF1697" s="2"/>
      <c r="AG1697" s="2"/>
      <c r="AH1697" s="2"/>
      <c r="AI1697" s="2"/>
      <c r="AJ1697" s="2" t="str">
        <f>IFERROR(__xludf.DUMMYFUNCTION("""COMPUTED_VALUE"""),"Babancal")</f>
        <v>Babancal</v>
      </c>
      <c r="AK1697" s="2" t="str">
        <f>IFERROR(__xludf.DUMMYFUNCTION("""COMPUTED_VALUE"""),"Candelaria")</f>
        <v>Candelaria</v>
      </c>
      <c r="AL1697" s="2" t="str">
        <f>IFERROR(__xludf.DUMMYFUNCTION("""COMPUTED_VALUE"""),"Zambales")</f>
        <v>Zambales</v>
      </c>
      <c r="AM1697" s="2">
        <f>IFERROR(__xludf.DUMMYFUNCTION("""COMPUTED_VALUE"""),3.0)</f>
        <v>3</v>
      </c>
      <c r="AN1697" s="2" t="str">
        <f>IFERROR(__xludf.DUMMYFUNCTION("""COMPUTED_VALUE"""),"RCEF 25-03-05")</f>
        <v>RCEF 25-03-05</v>
      </c>
      <c r="AO1697" s="2">
        <f>IFERROR(__xludf.DUMMYFUNCTION("""COMPUTED_VALUE"""),5.0)</f>
        <v>5</v>
      </c>
      <c r="AP1697" s="2" t="str">
        <f>IFERROR(__xludf.DUMMYFUNCTION("""COMPUTED_VALUE"""),"FREE PMS")</f>
        <v>FREE PMS</v>
      </c>
      <c r="AQ1697" s="2"/>
      <c r="AR1697" s="2"/>
      <c r="AS1697" s="2"/>
      <c r="AT1697" s="2"/>
      <c r="AU1697" s="2"/>
      <c r="AV1697" s="2"/>
      <c r="AW1697" s="2"/>
      <c r="AX1697" s="2"/>
      <c r="AY1697" s="2"/>
      <c r="AZ1697" s="2"/>
      <c r="BA1697" s="2"/>
      <c r="BB1697" s="2"/>
    </row>
    <row r="1698">
      <c r="A1698" s="2">
        <f>IFERROR(__xludf.DUMMYFUNCTION("""COMPUTED_VALUE"""),1694.0)</f>
        <v>1694</v>
      </c>
      <c r="B1698" s="2" t="str">
        <f>IFERROR(__xludf.DUMMYFUNCTION("""COMPUTED_VALUE"""),"PENDING")</f>
        <v>PENDING</v>
      </c>
      <c r="C1698" s="78">
        <f>IFERROR(__xludf.DUMMYFUNCTION("""COMPUTED_VALUE"""),46153.0)</f>
        <v>46153</v>
      </c>
      <c r="D1698" s="71" t="str">
        <f>IFERROR(__xludf.DUMMYFUNCTION("""COMPUTED_VALUE"""),"Nagsulang Farmers Association")</f>
        <v>Nagsulang Farmers Association</v>
      </c>
      <c r="E1698" s="71" t="str">
        <f>IFERROR(__xludf.DUMMYFUNCTION("""COMPUTED_VALUE"""),"Nagsulang, Dumarao, CAPIZ")</f>
        <v>Nagsulang, Dumarao, CAPIZ</v>
      </c>
      <c r="F1698" s="2" t="str">
        <f>IFERROR(__xludf.DUMMYFUNCTION("""COMPUTED_VALUE"""),"Thelso Barrera")</f>
        <v>Thelso Barrera</v>
      </c>
      <c r="G1698" s="2">
        <f>IFERROR(__xludf.DUMMYFUNCTION("""COMPUTED_VALUE"""),9.976377468E9)</f>
        <v>9976377468</v>
      </c>
      <c r="H1698" s="2"/>
      <c r="I1698" s="72" t="str">
        <f>IFERROR(__xludf.DUMMYFUNCTION("""COMPUTED_VALUE"""),"REPAIR - TRACTOR")</f>
        <v>REPAIR - TRACTOR</v>
      </c>
      <c r="J1698" s="72" t="str">
        <f>IFERROR(__xludf.DUMMYFUNCTION("""COMPUTED_VALUE"""),"Transmission - Front Drive      Rear Axle - Leaking")</f>
        <v>Transmission - Front Drive      Rear Axle - Leaking</v>
      </c>
      <c r="K1698" s="72" t="str">
        <f>IFERROR(__xludf.DUMMYFUNCTION("""COMPUTED_VALUE"""),"LTC CS: Needed;
Units problem
Ung gear sa may front drive
Malaking bearing sa may front drive
Oil seal sa may likod na gulong may tagas
Rotavator ndi gumagana siguro dw ung sa wiring
WIlling naman bilhin ang kailangan na parts
Need din dw ma visi"&amp;"t ang unit nila.")</f>
        <v>LTC CS: Needed;
Units problem
Ung gear sa may front drive
Malaking bearing sa may front drive
Oil seal sa may likod na gulong may tagas
Rotavator ndi gumagana siguro dw ung sa wiring
WIlling naman bilhin ang kailangan na parts
Need din dw ma visit ang unit nila.</v>
      </c>
      <c r="L1698" s="72"/>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c r="AJ1698" s="2" t="str">
        <f>IFERROR(__xludf.DUMMYFUNCTION("""COMPUTED_VALUE"""),"Nagsulang")</f>
        <v>Nagsulang</v>
      </c>
      <c r="AK1698" s="2" t="str">
        <f>IFERROR(__xludf.DUMMYFUNCTION("""COMPUTED_VALUE"""),"Dumarao")</f>
        <v>Dumarao</v>
      </c>
      <c r="AL1698" s="2" t="str">
        <f>IFERROR(__xludf.DUMMYFUNCTION("""COMPUTED_VALUE"""),"Capiz")</f>
        <v>Capiz</v>
      </c>
      <c r="AM1698" s="2">
        <f>IFERROR(__xludf.DUMMYFUNCTION("""COMPUTED_VALUE"""),6.0)</f>
        <v>6</v>
      </c>
      <c r="AN1698" s="2" t="str">
        <f>IFERROR(__xludf.DUMMYFUNCTION("""COMPUTED_VALUE"""),"RCEF 23-09-21 Rebidding")</f>
        <v>RCEF 23-09-21 Rebidding</v>
      </c>
      <c r="AO1698" s="2">
        <f>IFERROR(__xludf.DUMMYFUNCTION("""COMPUTED_VALUE"""),4.0)</f>
        <v>4</v>
      </c>
      <c r="AP1698" s="2"/>
      <c r="AQ1698" s="2"/>
      <c r="AR1698" s="2"/>
      <c r="AS1698" s="2"/>
      <c r="AT1698" s="2"/>
      <c r="AU1698" s="2"/>
      <c r="AV1698" s="2"/>
      <c r="AW1698" s="2"/>
      <c r="AX1698" s="2"/>
      <c r="AY1698" s="2"/>
      <c r="AZ1698" s="2"/>
      <c r="BA1698" s="2"/>
      <c r="BB1698" s="2"/>
    </row>
    <row r="1699">
      <c r="A1699" s="2">
        <f>IFERROR(__xludf.DUMMYFUNCTION("""COMPUTED_VALUE"""),1695.0)</f>
        <v>1695</v>
      </c>
      <c r="B1699" s="2" t="str">
        <f>IFERROR(__xludf.DUMMYFUNCTION("""COMPUTED_VALUE"""),"PENDING")</f>
        <v>PENDING</v>
      </c>
      <c r="C1699" s="78">
        <f>IFERROR(__xludf.DUMMYFUNCTION("""COMPUTED_VALUE"""),46153.0)</f>
        <v>46153</v>
      </c>
      <c r="D1699" s="71" t="str">
        <f>IFERROR(__xludf.DUMMYFUNCTION("""COMPUTED_VALUE"""),"ILAGBATA IRRIGATORS' ASSOCIATION")</f>
        <v>ILAGBATA IRRIGATORS' ASSOCIATION</v>
      </c>
      <c r="E1699" s="71" t="str">
        <f>IFERROR(__xludf.DUMMYFUNCTION("""COMPUTED_VALUE"""),"Bacong, Dumangas, ILOILO")</f>
        <v>Bacong, Dumangas, ILOILO</v>
      </c>
      <c r="F1699" s="2" t="str">
        <f>IFERROR(__xludf.DUMMYFUNCTION("""COMPUTED_VALUE"""),"Rogelio Diamante")</f>
        <v>Rogelio Diamante</v>
      </c>
      <c r="G1699" s="2">
        <f>IFERROR(__xludf.DUMMYFUNCTION("""COMPUTED_VALUE"""),9.617884936E9)</f>
        <v>9617884936</v>
      </c>
      <c r="H1699" s="2"/>
      <c r="I1699" s="72" t="str">
        <f>IFERROR(__xludf.DUMMYFUNCTION("""COMPUTED_VALUE"""),"REPAIR - DISC PLOW")</f>
        <v>REPAIR - DISC PLOW</v>
      </c>
      <c r="J1699" s="72" t="str">
        <f>IFERROR(__xludf.DUMMYFUNCTION("""COMPUTED_VALUE"""),"Disc")</f>
        <v>Disc</v>
      </c>
      <c r="K1699" s="72" t="str">
        <f>IFERROR(__xludf.DUMMYFUNCTION("""COMPUTED_VALUE"""),"LTC CS: Unit is good
Implement problem sa disc plough basag ang dalawang blade
Need to visit")</f>
        <v>LTC CS: Unit is good
Implement problem sa disc plough basag ang dalawang blade
Need to visit</v>
      </c>
      <c r="L1699" s="72"/>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c r="AJ1699" s="2" t="str">
        <f>IFERROR(__xludf.DUMMYFUNCTION("""COMPUTED_VALUE"""),"Bacong")</f>
        <v>Bacong</v>
      </c>
      <c r="AK1699" s="2" t="str">
        <f>IFERROR(__xludf.DUMMYFUNCTION("""COMPUTED_VALUE"""),"Dumangas")</f>
        <v>Dumangas</v>
      </c>
      <c r="AL1699" s="2" t="str">
        <f>IFERROR(__xludf.DUMMYFUNCTION("""COMPUTED_VALUE"""),"Iloilo")</f>
        <v>Iloilo</v>
      </c>
      <c r="AM1699" s="2">
        <f>IFERROR(__xludf.DUMMYFUNCTION("""COMPUTED_VALUE"""),6.0)</f>
        <v>6</v>
      </c>
      <c r="AN1699" s="2" t="str">
        <f>IFERROR(__xludf.DUMMYFUNCTION("""COMPUTED_VALUE"""),"RCEF 23-09-21 Rebidding")</f>
        <v>RCEF 23-09-21 Rebidding</v>
      </c>
      <c r="AO1699" s="2">
        <f>IFERROR(__xludf.DUMMYFUNCTION("""COMPUTED_VALUE"""),4.0)</f>
        <v>4</v>
      </c>
      <c r="AP1699" s="2"/>
      <c r="AQ1699" s="2"/>
      <c r="AR1699" s="2"/>
      <c r="AS1699" s="2"/>
      <c r="AT1699" s="2"/>
      <c r="AU1699" s="2"/>
      <c r="AV1699" s="2"/>
      <c r="AW1699" s="2"/>
      <c r="AX1699" s="2"/>
      <c r="AY1699" s="2"/>
      <c r="AZ1699" s="2"/>
      <c r="BA1699" s="2"/>
      <c r="BB1699" s="2"/>
    </row>
    <row r="1700">
      <c r="A1700" s="2">
        <f>IFERROR(__xludf.DUMMYFUNCTION("""COMPUTED_VALUE"""),1696.0)</f>
        <v>1696</v>
      </c>
      <c r="B1700" s="2" t="str">
        <f>IFERROR(__xludf.DUMMYFUNCTION("""COMPUTED_VALUE"""),"PENDING")</f>
        <v>PENDING</v>
      </c>
      <c r="C1700" s="78">
        <f>IFERROR(__xludf.DUMMYFUNCTION("""COMPUTED_VALUE"""),46153.0)</f>
        <v>46153</v>
      </c>
      <c r="D1700" s="71" t="str">
        <f>IFERROR(__xludf.DUMMYFUNCTION("""COMPUTED_VALUE"""),"Bugtongan Farmers Association")</f>
        <v>Bugtongan Farmers Association</v>
      </c>
      <c r="E1700" s="71" t="str">
        <f>IFERROR(__xludf.DUMMYFUNCTION("""COMPUTED_VALUE"""),"Bugtongan, Duenas, ILOILO")</f>
        <v>Bugtongan, Duenas, ILOILO</v>
      </c>
      <c r="F1700" s="2" t="str">
        <f>IFERROR(__xludf.DUMMYFUNCTION("""COMPUTED_VALUE"""),"Narciso solongan")</f>
        <v>Narciso solongan</v>
      </c>
      <c r="G1700" s="2">
        <f>IFERROR(__xludf.DUMMYFUNCTION("""COMPUTED_VALUE"""),9.213188684E9)</f>
        <v>9213188684</v>
      </c>
      <c r="H1700" s="2"/>
      <c r="I1700" s="72" t="str">
        <f>IFERROR(__xludf.DUMMYFUNCTION("""COMPUTED_VALUE"""),"REPAIR - TRACTOR")</f>
        <v>REPAIR - TRACTOR</v>
      </c>
      <c r="J1700" s="72" t="str">
        <f>IFERROR(__xludf.DUMMYFUNCTION("""COMPUTED_VALUE"""),"Front Axle - Leaking        Electrical - Dashboard")</f>
        <v>Front Axle - Leaking        Electrical - Dashboard</v>
      </c>
      <c r="K1700" s="72" t="str">
        <f>IFERROR(__xludf.DUMMYFUNCTION("""COMPUTED_VALUE"""),"LTC CS: Needed;
Dashboard not working
Front drive may leak
Kailangan ma visit")</f>
        <v>LTC CS: Needed;
Dashboard not working
Front drive may leak
Kailangan ma visit</v>
      </c>
      <c r="L1700" s="72"/>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c r="AJ1700" s="2" t="str">
        <f>IFERROR(__xludf.DUMMYFUNCTION("""COMPUTED_VALUE"""),"Bugtongan")</f>
        <v>Bugtongan</v>
      </c>
      <c r="AK1700" s="2" t="str">
        <f>IFERROR(__xludf.DUMMYFUNCTION("""COMPUTED_VALUE"""),"Duenas")</f>
        <v>Duenas</v>
      </c>
      <c r="AL1700" s="2" t="str">
        <f>IFERROR(__xludf.DUMMYFUNCTION("""COMPUTED_VALUE"""),"Iloilo")</f>
        <v>Iloilo</v>
      </c>
      <c r="AM1700" s="2">
        <f>IFERROR(__xludf.DUMMYFUNCTION("""COMPUTED_VALUE"""),6.0)</f>
        <v>6</v>
      </c>
      <c r="AN1700" s="2" t="str">
        <f>IFERROR(__xludf.DUMMYFUNCTION("""COMPUTED_VALUE"""),"RCEF 23-09-21 Rebidding")</f>
        <v>RCEF 23-09-21 Rebidding</v>
      </c>
      <c r="AO1700" s="2">
        <f>IFERROR(__xludf.DUMMYFUNCTION("""COMPUTED_VALUE"""),4.0)</f>
        <v>4</v>
      </c>
      <c r="AP1700" s="2"/>
      <c r="AQ1700" s="2"/>
      <c r="AR1700" s="2"/>
      <c r="AS1700" s="2"/>
      <c r="AT1700" s="2"/>
      <c r="AU1700" s="2"/>
      <c r="AV1700" s="2"/>
      <c r="AW1700" s="2"/>
      <c r="AX1700" s="2"/>
      <c r="AY1700" s="2"/>
      <c r="AZ1700" s="2"/>
      <c r="BA1700" s="2"/>
      <c r="BB1700" s="2"/>
    </row>
    <row r="1701">
      <c r="A1701" s="2">
        <f>IFERROR(__xludf.DUMMYFUNCTION("""COMPUTED_VALUE"""),1697.0)</f>
        <v>1697</v>
      </c>
      <c r="B1701" s="2" t="str">
        <f>IFERROR(__xludf.DUMMYFUNCTION("""COMPUTED_VALUE"""),"PENDING")</f>
        <v>PENDING</v>
      </c>
      <c r="C1701" s="78">
        <f>IFERROR(__xludf.DUMMYFUNCTION("""COMPUTED_VALUE"""),46153.0)</f>
        <v>46153</v>
      </c>
      <c r="D1701" s="71" t="str">
        <f>IFERROR(__xludf.DUMMYFUNCTION("""COMPUTED_VALUE"""),"Bugtongan Farmers Association")</f>
        <v>Bugtongan Farmers Association</v>
      </c>
      <c r="E1701" s="71" t="str">
        <f>IFERROR(__xludf.DUMMYFUNCTION("""COMPUTED_VALUE"""),"Bugtongan, Duenas, ILOILO")</f>
        <v>Bugtongan, Duenas, ILOILO</v>
      </c>
      <c r="F1701" s="2" t="str">
        <f>IFERROR(__xludf.DUMMYFUNCTION("""COMPUTED_VALUE"""),"Narciso solongan")</f>
        <v>Narciso solongan</v>
      </c>
      <c r="G1701" s="2">
        <f>IFERROR(__xludf.DUMMYFUNCTION("""COMPUTED_VALUE"""),9.213188684E9)</f>
        <v>9213188684</v>
      </c>
      <c r="H1701" s="2"/>
      <c r="I1701" s="72" t="str">
        <f>IFERROR(__xludf.DUMMYFUNCTION("""COMPUTED_VALUE"""),"REPAIR - TRACTOR")</f>
        <v>REPAIR - TRACTOR</v>
      </c>
      <c r="J1701" s="72" t="str">
        <f>IFERROR(__xludf.DUMMYFUNCTION("""COMPUTED_VALUE"""),"Front Axle - Leaking        Electrical - Dashboard")</f>
        <v>Front Axle - Leaking        Electrical - Dashboard</v>
      </c>
      <c r="K1701" s="72" t="str">
        <f>IFERROR(__xludf.DUMMYFUNCTION("""COMPUTED_VALUE"""),"LTC CS: Needed;
Dashboard not working
Front drive may leak
Kailangan ma visit")</f>
        <v>LTC CS: Needed;
Dashboard not working
Front drive may leak
Kailangan ma visit</v>
      </c>
      <c r="L1701" s="72"/>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c r="AJ1701" s="2" t="str">
        <f>IFERROR(__xludf.DUMMYFUNCTION("""COMPUTED_VALUE"""),"Bugtongan")</f>
        <v>Bugtongan</v>
      </c>
      <c r="AK1701" s="2" t="str">
        <f>IFERROR(__xludf.DUMMYFUNCTION("""COMPUTED_VALUE"""),"Duenas")</f>
        <v>Duenas</v>
      </c>
      <c r="AL1701" s="2" t="str">
        <f>IFERROR(__xludf.DUMMYFUNCTION("""COMPUTED_VALUE"""),"Iloilo")</f>
        <v>Iloilo</v>
      </c>
      <c r="AM1701" s="2">
        <f>IFERROR(__xludf.DUMMYFUNCTION("""COMPUTED_VALUE"""),6.0)</f>
        <v>6</v>
      </c>
      <c r="AN1701" s="2" t="str">
        <f>IFERROR(__xludf.DUMMYFUNCTION("""COMPUTED_VALUE"""),"RCEF 23-09-21 Rebidding")</f>
        <v>RCEF 23-09-21 Rebidding</v>
      </c>
      <c r="AO1701" s="2">
        <f>IFERROR(__xludf.DUMMYFUNCTION("""COMPUTED_VALUE"""),4.0)</f>
        <v>4</v>
      </c>
      <c r="AP1701" s="2"/>
      <c r="AQ1701" s="2"/>
      <c r="AR1701" s="2"/>
      <c r="AS1701" s="2"/>
      <c r="AT1701" s="2"/>
      <c r="AU1701" s="2"/>
      <c r="AV1701" s="2"/>
      <c r="AW1701" s="2"/>
      <c r="AX1701" s="2"/>
      <c r="AY1701" s="2"/>
      <c r="AZ1701" s="2"/>
      <c r="BA1701" s="2"/>
      <c r="BB1701" s="2"/>
    </row>
    <row r="1702">
      <c r="A1702" s="2">
        <f>IFERROR(__xludf.DUMMYFUNCTION("""COMPUTED_VALUE"""),1698.0)</f>
        <v>1698</v>
      </c>
      <c r="B1702" s="2" t="str">
        <f>IFERROR(__xludf.DUMMYFUNCTION("""COMPUTED_VALUE"""),"PENDING")</f>
        <v>PENDING</v>
      </c>
      <c r="C1702" s="78">
        <f>IFERROR(__xludf.DUMMYFUNCTION("""COMPUTED_VALUE"""),46153.0)</f>
        <v>46153</v>
      </c>
      <c r="D1702" s="71" t="str">
        <f>IFERROR(__xludf.DUMMYFUNCTION("""COMPUTED_VALUE"""),"Pacol Himaya Irrigators' Association, Inc.")</f>
        <v>Pacol Himaya Irrigators' Association, Inc.</v>
      </c>
      <c r="E1702" s="71" t="str">
        <f>IFERROR(__xludf.DUMMYFUNCTION("""COMPUTED_VALUE"""),"Alijis, Valladolid, NEGROS OCCIDENTAL")</f>
        <v>Alijis, Valladolid, NEGROS OCCIDENTAL</v>
      </c>
      <c r="F1702" s="2" t="str">
        <f>IFERROR(__xludf.DUMMYFUNCTION("""COMPUTED_VALUE"""),"Joey Belarmino")</f>
        <v>Joey Belarmino</v>
      </c>
      <c r="G1702" s="2">
        <f>IFERROR(__xludf.DUMMYFUNCTION("""COMPUTED_VALUE"""),9.701975411E9)</f>
        <v>9701975411</v>
      </c>
      <c r="H1702" s="2"/>
      <c r="I1702" s="72" t="str">
        <f>IFERROR(__xludf.DUMMYFUNCTION("""COMPUTED_VALUE"""),"REPAIR - DISC PLOW")</f>
        <v>REPAIR - DISC PLOW</v>
      </c>
      <c r="J1702" s="72" t="str">
        <f>IFERROR(__xludf.DUMMYFUNCTION("""COMPUTED_VALUE"""),"Gearbox")</f>
        <v>Gearbox</v>
      </c>
      <c r="K1702" s="72" t="str">
        <f>IFERROR(__xludf.DUMMYFUNCTION("""COMPUTED_VALUE"""),"LTC CS: Needed,
Disc plough gear box nabiyak
Need to visit")</f>
        <v>LTC CS: Needed,
Disc plough gear box nabiyak
Need to visit</v>
      </c>
      <c r="L1702" s="72"/>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c r="AJ1702" s="2" t="str">
        <f>IFERROR(__xludf.DUMMYFUNCTION("""COMPUTED_VALUE"""),"Alijis")</f>
        <v>Alijis</v>
      </c>
      <c r="AK1702" s="2" t="str">
        <f>IFERROR(__xludf.DUMMYFUNCTION("""COMPUTED_VALUE"""),"Valladolid")</f>
        <v>Valladolid</v>
      </c>
      <c r="AL1702" s="2" t="str">
        <f>IFERROR(__xludf.DUMMYFUNCTION("""COMPUTED_VALUE"""),"Negros Occidental")</f>
        <v>Negros Occidental</v>
      </c>
      <c r="AM1702" s="2">
        <f>IFERROR(__xludf.DUMMYFUNCTION("""COMPUTED_VALUE"""),6.0)</f>
        <v>6</v>
      </c>
      <c r="AN1702" s="2" t="str">
        <f>IFERROR(__xludf.DUMMYFUNCTION("""COMPUTED_VALUE"""),"RCEF 25-03-05")</f>
        <v>RCEF 25-03-05</v>
      </c>
      <c r="AO1702" s="2">
        <f>IFERROR(__xludf.DUMMYFUNCTION("""COMPUTED_VALUE"""),7.0)</f>
        <v>7</v>
      </c>
      <c r="AP1702" s="2" t="str">
        <f>IFERROR(__xludf.DUMMYFUNCTION("""COMPUTED_VALUE"""),"FREE PMS")</f>
        <v>FREE PMS</v>
      </c>
      <c r="AQ1702" s="2"/>
      <c r="AR1702" s="2"/>
      <c r="AS1702" s="2"/>
      <c r="AT1702" s="2"/>
      <c r="AU1702" s="2"/>
      <c r="AV1702" s="2"/>
      <c r="AW1702" s="2"/>
      <c r="AX1702" s="2"/>
      <c r="AY1702" s="2"/>
      <c r="AZ1702" s="2"/>
      <c r="BA1702" s="2"/>
      <c r="BB1702" s="2"/>
    </row>
    <row r="1703">
      <c r="A1703" s="2">
        <f>IFERROR(__xludf.DUMMYFUNCTION("""COMPUTED_VALUE"""),1699.0)</f>
        <v>1699</v>
      </c>
      <c r="B1703" s="2" t="str">
        <f>IFERROR(__xludf.DUMMYFUNCTION("""COMPUTED_VALUE"""),"PENDING")</f>
        <v>PENDING</v>
      </c>
      <c r="C1703" s="78">
        <f>IFERROR(__xludf.DUMMYFUNCTION("""COMPUTED_VALUE"""),46154.0)</f>
        <v>46154</v>
      </c>
      <c r="D1703" s="71" t="str">
        <f>IFERROR(__xludf.DUMMYFUNCTION("""COMPUTED_VALUE"""),"TIBIAO-DALANAS RIVER IRRIGATORS' ASSOCIATION, INC.")</f>
        <v>TIBIAO-DALANAS RIVER IRRIGATORS' ASSOCIATION, INC.</v>
      </c>
      <c r="E1703" s="71" t="str">
        <f>IFERROR(__xludf.DUMMYFUNCTION("""COMPUTED_VALUE"""),"Malabor, Tibiao, ANTIQUE")</f>
        <v>Malabor, Tibiao, ANTIQUE</v>
      </c>
      <c r="F1703" s="2" t="str">
        <f>IFERROR(__xludf.DUMMYFUNCTION("""COMPUTED_VALUE"""),"Noel Sonucayawon")</f>
        <v>Noel Sonucayawon</v>
      </c>
      <c r="G1703" s="2">
        <f>IFERROR(__xludf.DUMMYFUNCTION("""COMPUTED_VALUE"""),9.351708943E9)</f>
        <v>9351708943</v>
      </c>
      <c r="H1703" s="2">
        <f>IFERROR(__xludf.DUMMYFUNCTION("""COMPUTED_VALUE"""),389.0)</f>
        <v>389</v>
      </c>
      <c r="I1703" s="72" t="str">
        <f>IFERROR(__xludf.DUMMYFUNCTION("""COMPUTED_VALUE"""),"REPAIR - TRACTOR")</f>
        <v>REPAIR - TRACTOR</v>
      </c>
      <c r="J1703" s="72" t="str">
        <f>IFERROR(__xludf.DUMMYFUNCTION("""COMPUTED_VALUE"""),"PTO - Valve Solenoid")</f>
        <v>PTO - Valve Solenoid</v>
      </c>
      <c r="K1703" s="72" t="str">
        <f>IFERROR(__xludf.DUMMYFUNCTION("""COMPUTED_VALUE"""),"MYK: Needed,
Front drive not working
Willing to buy solinoid and price
Alam ni dexter dw kung san part ang may sira")</f>
        <v>MYK: Needed,
Front drive not working
Willing to buy solinoid and price
Alam ni dexter dw kung san part ang may sira</v>
      </c>
      <c r="L1703" s="72"/>
      <c r="M1703" s="2" t="str">
        <f>IFERROR(__xludf.DUMMYFUNCTION("""COMPUTED_VALUE"""),"PTO VALVE SOLENOID")</f>
        <v>PTO VALVE SOLENOID</v>
      </c>
      <c r="N1703" s="2"/>
      <c r="O1703" s="2"/>
      <c r="P1703" s="2"/>
      <c r="Q1703" s="2"/>
      <c r="R1703" s="2"/>
      <c r="S1703" s="2"/>
      <c r="T1703" s="2"/>
      <c r="U1703" s="2"/>
      <c r="V1703" s="2"/>
      <c r="W1703" s="2"/>
      <c r="X1703" s="2"/>
      <c r="Y1703" s="2"/>
      <c r="Z1703" s="2"/>
      <c r="AA1703" s="2"/>
      <c r="AB1703" s="2"/>
      <c r="AC1703" s="2"/>
      <c r="AD1703" s="2"/>
      <c r="AE1703" s="2"/>
      <c r="AF1703" s="2"/>
      <c r="AG1703" s="2"/>
      <c r="AH1703" s="2"/>
      <c r="AI1703" s="2"/>
      <c r="AJ1703" s="2" t="str">
        <f>IFERROR(__xludf.DUMMYFUNCTION("""COMPUTED_VALUE"""),"Malabor")</f>
        <v>Malabor</v>
      </c>
      <c r="AK1703" s="2" t="str">
        <f>IFERROR(__xludf.DUMMYFUNCTION("""COMPUTED_VALUE"""),"Tibiao")</f>
        <v>Tibiao</v>
      </c>
      <c r="AL1703" s="2" t="str">
        <f>IFERROR(__xludf.DUMMYFUNCTION("""COMPUTED_VALUE"""),"Antique")</f>
        <v>Antique</v>
      </c>
      <c r="AM1703" s="2">
        <f>IFERROR(__xludf.DUMMYFUNCTION("""COMPUTED_VALUE"""),6.0)</f>
        <v>6</v>
      </c>
      <c r="AN1703" s="2" t="str">
        <f>IFERROR(__xludf.DUMMYFUNCTION("""COMPUTED_VALUE"""),"RCEF 23-09-21 Rebidding")</f>
        <v>RCEF 23-09-21 Rebidding</v>
      </c>
      <c r="AO1703" s="2">
        <f>IFERROR(__xludf.DUMMYFUNCTION("""COMPUTED_VALUE"""),4.0)</f>
        <v>4</v>
      </c>
      <c r="AP1703" s="2"/>
      <c r="AQ1703" s="2"/>
      <c r="AR1703" s="2"/>
      <c r="AS1703" s="2"/>
      <c r="AT1703" s="2"/>
      <c r="AU1703" s="2"/>
      <c r="AV1703" s="2"/>
      <c r="AW1703" s="2"/>
      <c r="AX1703" s="2"/>
      <c r="AY1703" s="2"/>
      <c r="AZ1703" s="2"/>
      <c r="BA1703" s="2"/>
      <c r="BB1703" s="2"/>
    </row>
    <row r="1704">
      <c r="A1704" s="2">
        <f>IFERROR(__xludf.DUMMYFUNCTION("""COMPUTED_VALUE"""),1700.0)</f>
        <v>1700</v>
      </c>
      <c r="B1704" s="2" t="str">
        <f>IFERROR(__xludf.DUMMYFUNCTION("""COMPUTED_VALUE"""),"PENDING")</f>
        <v>PENDING</v>
      </c>
      <c r="C1704" s="78">
        <f>IFERROR(__xludf.DUMMYFUNCTION("""COMPUTED_VALUE"""),46154.0)</f>
        <v>46154</v>
      </c>
      <c r="D1704" s="71" t="str">
        <f>IFERROR(__xludf.DUMMYFUNCTION("""COMPUTED_VALUE"""),"Alapasco Bulak Sur Irrigators' Service Association Inc.")</f>
        <v>Alapasco Bulak Sur Irrigators' Service Association Inc.</v>
      </c>
      <c r="E1704" s="71" t="str">
        <f>IFERROR(__xludf.DUMMYFUNCTION("""COMPUTED_VALUE"""),"Bulak Sur, Batad, ILOILO")</f>
        <v>Bulak Sur, Batad, ILOILO</v>
      </c>
      <c r="F1704" s="2" t="str">
        <f>IFERROR(__xludf.DUMMYFUNCTION("""COMPUTED_VALUE"""),"Armando B. Balsomo")</f>
        <v>Armando B. Balsomo</v>
      </c>
      <c r="G1704" s="2" t="str">
        <f>IFERROR(__xludf.DUMMYFUNCTION("""COMPUTED_VALUE"""),"0915-325-2701")</f>
        <v>0915-325-2701</v>
      </c>
      <c r="H1704" s="2"/>
      <c r="I1704" s="72" t="str">
        <f>IFERROR(__xludf.DUMMYFUNCTION("""COMPUTED_VALUE"""),"PMS")</f>
        <v>PMS</v>
      </c>
      <c r="J1704" s="72"/>
      <c r="K1704" s="72" t="str">
        <f>IFERROR(__xludf.DUMMYFUNCTION("""COMPUTED_VALUE"""),"
MYK: 1ST PMS FREE")</f>
        <v>
MYK: 1ST PMS FREE</v>
      </c>
      <c r="L1704" s="72"/>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c r="AJ1704" s="2" t="str">
        <f>IFERROR(__xludf.DUMMYFUNCTION("""COMPUTED_VALUE"""),"Bulak Sur")</f>
        <v>Bulak Sur</v>
      </c>
      <c r="AK1704" s="2" t="str">
        <f>IFERROR(__xludf.DUMMYFUNCTION("""COMPUTED_VALUE"""),"Batad")</f>
        <v>Batad</v>
      </c>
      <c r="AL1704" s="2" t="str">
        <f>IFERROR(__xludf.DUMMYFUNCTION("""COMPUTED_VALUE"""),"Iloilo")</f>
        <v>Iloilo</v>
      </c>
      <c r="AM1704" s="2">
        <f>IFERROR(__xludf.DUMMYFUNCTION("""COMPUTED_VALUE"""),6.0)</f>
        <v>6</v>
      </c>
      <c r="AN1704" s="2" t="str">
        <f>IFERROR(__xludf.DUMMYFUNCTION("""COMPUTED_VALUE"""),"RCEF 25-03-05")</f>
        <v>RCEF 25-03-05</v>
      </c>
      <c r="AO1704" s="2">
        <f>IFERROR(__xludf.DUMMYFUNCTION("""COMPUTED_VALUE"""),7.0)</f>
        <v>7</v>
      </c>
      <c r="AP1704" s="2" t="str">
        <f>IFERROR(__xludf.DUMMYFUNCTION("""COMPUTED_VALUE"""),"FREE PMS")</f>
        <v>FREE PMS</v>
      </c>
      <c r="AQ1704" s="2"/>
      <c r="AR1704" s="2"/>
      <c r="AS1704" s="2"/>
      <c r="AT1704" s="2"/>
      <c r="AU1704" s="2"/>
      <c r="AV1704" s="2"/>
      <c r="AW1704" s="2"/>
      <c r="AX1704" s="2"/>
      <c r="AY1704" s="2"/>
      <c r="AZ1704" s="2"/>
      <c r="BA1704" s="2"/>
      <c r="BB1704" s="2"/>
    </row>
    <row r="1705">
      <c r="A1705" s="2">
        <f>IFERROR(__xludf.DUMMYFUNCTION("""COMPUTED_VALUE"""),1701.0)</f>
        <v>1701</v>
      </c>
      <c r="B1705" s="2" t="str">
        <f>IFERROR(__xludf.DUMMYFUNCTION("""COMPUTED_VALUE"""),"COMPLETED")</f>
        <v>COMPLETED</v>
      </c>
      <c r="C1705" s="78">
        <f>IFERROR(__xludf.DUMMYFUNCTION("""COMPUTED_VALUE"""),46154.0)</f>
        <v>46154</v>
      </c>
      <c r="D1705" s="71" t="str">
        <f>IFERROR(__xludf.DUMMYFUNCTION("""COMPUTED_VALUE"""),"GREATEST MANIMAS FARMERS AND FISHERFOLKS ASSOCIATION")</f>
        <v>GREATEST MANIMAS FARMERS AND FISHERFOLKS ASSOCIATION</v>
      </c>
      <c r="E1705" s="71" t="str">
        <f>IFERROR(__xludf.DUMMYFUNCTION("""COMPUTED_VALUE"""),"Cataning, Balanga City, BATAAN")</f>
        <v>Cataning, Balanga City, BATAAN</v>
      </c>
      <c r="F1705" s="2" t="str">
        <f>IFERROR(__xludf.DUMMYFUNCTION("""COMPUTED_VALUE"""),"Renato carig")</f>
        <v>Renato carig</v>
      </c>
      <c r="G1705" s="2">
        <f>IFERROR(__xludf.DUMMYFUNCTION("""COMPUTED_VALUE"""),9.48702837E9)</f>
        <v>9487028370</v>
      </c>
      <c r="H1705" s="2">
        <f>IFERROR(__xludf.DUMMYFUNCTION("""COMPUTED_VALUE"""),400.0)</f>
        <v>400</v>
      </c>
      <c r="I1705" s="72" t="str">
        <f>IFERROR(__xludf.DUMMYFUNCTION("""COMPUTED_VALUE"""),"REPAIR - TRACTOR")</f>
        <v>REPAIR - TRACTOR</v>
      </c>
      <c r="J1705" s="72" t="str">
        <f>IFERROR(__xludf.DUMMYFUNCTION("""COMPUTED_VALUE"""),"Front Axle - Leaking")</f>
        <v>Front Axle - Leaking</v>
      </c>
      <c r="K1705" s="72" t="str">
        <f>IFERROR(__xludf.DUMMYFUNCTION("""COMPUTED_VALUE"""),"MYK: Date delivered:
Jan. 19 2024
Concerned:
Tumatagas ang gear oil sa harapang  kanang gulong, at sira ang crossjoint ng propeller.")</f>
        <v>MYK: Date delivered:
Jan. 19 2024
Concerned:
Tumatagas ang gear oil sa harapang  kanang gulong, at sira ang crossjoint ng propeller.</v>
      </c>
      <c r="L1705" s="72" t="str">
        <f>IFERROR(__xludf.DUMMYFUNCTION("""COMPUTED_VALUE"""),"ACS: REPLACED OIL SEAL TC6040000")</f>
        <v>ACS: REPLACED OIL SEAL TC6040000</v>
      </c>
      <c r="M1705" s="2"/>
      <c r="N1705" s="2" t="str">
        <f>IFERROR(__xludf.DUMMYFUNCTION("""COMPUTED_VALUE"""),"PARTS:
OIL SEAL LTC6040000
SERVICE CHARGE: 3,000")</f>
        <v>PARTS:
OIL SEAL LTC6040000
SERVICE CHARGE: 3,000</v>
      </c>
      <c r="O1705" s="2">
        <f>IFERROR(__xludf.DUMMYFUNCTION("""COMPUTED_VALUE"""),686.0)</f>
        <v>686</v>
      </c>
      <c r="P1705" s="2"/>
      <c r="Q1705" s="2" t="str">
        <f>IFERROR(__xludf.DUMMYFUNCTION("""COMPUTED_VALUE"""),"FOR PRINT")</f>
        <v>FOR PRINT</v>
      </c>
      <c r="R1705" s="74">
        <f>IFERROR(__xludf.DUMMYFUNCTION("""COMPUTED_VALUE"""),46160.0)</f>
        <v>46160</v>
      </c>
      <c r="S1705" s="2" t="str">
        <f>IFERROR(__xludf.DUMMYFUNCTION("""COMPUTED_VALUE"""),"JHP/ACS")</f>
        <v>JHP/ACS</v>
      </c>
      <c r="T1705" s="73">
        <f>IFERROR(__xludf.DUMMYFUNCTION("""COMPUTED_VALUE"""),5120.0)</f>
        <v>5120</v>
      </c>
      <c r="U1705" s="73" t="str">
        <f>IFERROR(__xludf.DUMMYFUNCTION("""COMPUTED_VALUE""")," FOR REMIT ")</f>
        <v>FOR REMIT</v>
      </c>
      <c r="V1705" s="2">
        <f>IFERROR(__xludf.DUMMYFUNCTION("""COMPUTED_VALUE"""),1714.0)</f>
        <v>1714</v>
      </c>
      <c r="W1705" s="2">
        <f>IFERROR(__xludf.DUMMYFUNCTION("""COMPUTED_VALUE"""),1967.0)</f>
        <v>1967</v>
      </c>
      <c r="X1705" s="2"/>
      <c r="Y1705" s="2"/>
      <c r="Z1705" s="2"/>
      <c r="AA1705" s="2"/>
      <c r="AB1705" s="2"/>
      <c r="AC1705" s="2"/>
      <c r="AD1705" s="2"/>
      <c r="AE1705" s="2"/>
      <c r="AF1705" s="2"/>
      <c r="AG1705" s="2"/>
      <c r="AH1705" s="2"/>
      <c r="AI1705" s="2"/>
      <c r="AJ1705" s="2" t="str">
        <f>IFERROR(__xludf.DUMMYFUNCTION("""COMPUTED_VALUE"""),"Cataning")</f>
        <v>Cataning</v>
      </c>
      <c r="AK1705" s="2" t="str">
        <f>IFERROR(__xludf.DUMMYFUNCTION("""COMPUTED_VALUE"""),"Balanga City")</f>
        <v>Balanga City</v>
      </c>
      <c r="AL1705" s="2" t="str">
        <f>IFERROR(__xludf.DUMMYFUNCTION("""COMPUTED_VALUE"""),"Bataan")</f>
        <v>Bataan</v>
      </c>
      <c r="AM1705" s="2">
        <f>IFERROR(__xludf.DUMMYFUNCTION("""COMPUTED_VALUE"""),3.0)</f>
        <v>3</v>
      </c>
      <c r="AN1705" s="2" t="str">
        <f>IFERROR(__xludf.DUMMYFUNCTION("""COMPUTED_VALUE"""),"RCEF 23-09-21 Rebidding")</f>
        <v>RCEF 23-09-21 Rebidding</v>
      </c>
      <c r="AO1705" s="2">
        <f>IFERROR(__xludf.DUMMYFUNCTION("""COMPUTED_VALUE"""),3.0)</f>
        <v>3</v>
      </c>
      <c r="AP1705" s="2"/>
      <c r="AQ1705" s="2"/>
      <c r="AR1705" s="2"/>
      <c r="AS1705" s="2"/>
      <c r="AT1705" s="2"/>
      <c r="AU1705" s="2"/>
      <c r="AV1705" s="2"/>
      <c r="AW1705" s="2"/>
      <c r="AX1705" s="2"/>
      <c r="AY1705" s="2"/>
      <c r="AZ1705" s="2"/>
      <c r="BA1705" s="2"/>
      <c r="BB1705" s="2"/>
    </row>
    <row r="1706">
      <c r="A1706" s="2">
        <f>IFERROR(__xludf.DUMMYFUNCTION("""COMPUTED_VALUE"""),1702.0)</f>
        <v>1702</v>
      </c>
      <c r="B1706" s="2" t="str">
        <f>IFERROR(__xludf.DUMMYFUNCTION("""COMPUTED_VALUE"""),"PENDING")</f>
        <v>PENDING</v>
      </c>
      <c r="C1706" s="78">
        <f>IFERROR(__xludf.DUMMYFUNCTION("""COMPUTED_VALUE"""),46155.0)</f>
        <v>46155</v>
      </c>
      <c r="D1706" s="71" t="str">
        <f>IFERROR(__xludf.DUMMYFUNCTION("""COMPUTED_VALUE"""),"CamSur Multi-Purpose Cooperative")</f>
        <v>CamSur Multi-Purpose Cooperative</v>
      </c>
      <c r="E1706" s="71" t="str">
        <f>IFERROR(__xludf.DUMMYFUNCTION("""COMPUTED_VALUE"""),"Cadlan, Pili, CAMARINES SUR")</f>
        <v>Cadlan, Pili, CAMARINES SUR</v>
      </c>
      <c r="F1706" s="2" t="str">
        <f>IFERROR(__xludf.DUMMYFUNCTION("""COMPUTED_VALUE"""),"Jonel jesalva")</f>
        <v>Jonel jesalva</v>
      </c>
      <c r="G1706" s="2">
        <f>IFERROR(__xludf.DUMMYFUNCTION("""COMPUTED_VALUE"""),9.916674687E9)</f>
        <v>9916674687</v>
      </c>
      <c r="H1706" s="2">
        <f>IFERROR(__xludf.DUMMYFUNCTION("""COMPUTED_VALUE"""),306.0)</f>
        <v>306</v>
      </c>
      <c r="I1706" s="72" t="str">
        <f>IFERROR(__xludf.DUMMYFUNCTION("""COMPUTED_VALUE"""),"REPAIR - TRACTOR")</f>
        <v>REPAIR - TRACTOR</v>
      </c>
      <c r="J1706" s="72" t="str">
        <f>IFERROR(__xludf.DUMMYFUNCTION("""COMPUTED_VALUE"""),"Transmission - Clutch")</f>
        <v>Transmission - Clutch</v>
      </c>
      <c r="K1706" s="72" t="str">
        <f>IFERROR(__xludf.DUMMYFUNCTION("""COMPUTED_VALUE"""),"MYK: Concern: nasa warranty perion pa po kasi ang tractor . Hindi na kasi umaabante kahit mag kambyo pa baka sa lining na. 
Umaandar siya pero hindi na pumapasok ang kambyo niya (with picture)
09564360633 Nica Ibarbia
09639166297 Minalabac Office
0991667"&amp;"4687 Sir Jonel
KFS: ISABAY NA ANG 2ND PMS")</f>
        <v>MYK: Concern: nasa warranty perion pa po kasi ang tractor . Hindi na kasi umaabante kahit mag kambyo pa baka sa lining na. 
Umaandar siya pero hindi na pumapasok ang kambyo niya (with picture)
09564360633 Nica Ibarbia
09639166297 Minalabac Office
09916674687 Sir Jonel
KFS: ISABAY NA ANG 2ND PMS</v>
      </c>
      <c r="L1706" s="72" t="str">
        <f>IFERROR(__xludf.DUMMYFUNCTION("""COMPUTED_VALUE"""),"QUOTATION SENT -  REVISE QUOTATION SENT  -  LTC PROVIDE OIL REQUEST BY FCA")</f>
        <v>QUOTATION SENT -  REVISE QUOTATION SENT  -  LTC PROVIDE OIL REQUEST BY FCA</v>
      </c>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c r="AJ1706" s="2" t="str">
        <f>IFERROR(__xludf.DUMMYFUNCTION("""COMPUTED_VALUE"""),"Cadlan")</f>
        <v>Cadlan</v>
      </c>
      <c r="AK1706" s="2" t="str">
        <f>IFERROR(__xludf.DUMMYFUNCTION("""COMPUTED_VALUE"""),"Pili")</f>
        <v>Pili</v>
      </c>
      <c r="AL1706" s="2" t="str">
        <f>IFERROR(__xludf.DUMMYFUNCTION("""COMPUTED_VALUE"""),"Camarines Sur")</f>
        <v>Camarines Sur</v>
      </c>
      <c r="AM1706" s="2">
        <f>IFERROR(__xludf.DUMMYFUNCTION("""COMPUTED_VALUE"""),5.0)</f>
        <v>5</v>
      </c>
      <c r="AN1706" s="2" t="str">
        <f>IFERROR(__xludf.DUMMYFUNCTION("""COMPUTED_VALUE"""),"Repeat Order")</f>
        <v>Repeat Order</v>
      </c>
      <c r="AO1706" s="2">
        <f>IFERROR(__xludf.DUMMYFUNCTION("""COMPUTED_VALUE"""),7.0)</f>
        <v>7</v>
      </c>
      <c r="AP1706" s="2" t="str">
        <f>IFERROR(__xludf.DUMMYFUNCTION("""COMPUTED_VALUE"""),"FREE PMS")</f>
        <v>FREE PMS</v>
      </c>
      <c r="AQ1706" s="2"/>
      <c r="AR1706" s="2"/>
      <c r="AS1706" s="2"/>
      <c r="AT1706" s="2"/>
      <c r="AU1706" s="2"/>
      <c r="AV1706" s="2"/>
      <c r="AW1706" s="2"/>
      <c r="AX1706" s="2"/>
      <c r="AY1706" s="2"/>
      <c r="AZ1706" s="2"/>
      <c r="BA1706" s="2"/>
      <c r="BB1706" s="2"/>
    </row>
    <row r="1707">
      <c r="A1707" s="2">
        <f>IFERROR(__xludf.DUMMYFUNCTION("""COMPUTED_VALUE"""),1703.0)</f>
        <v>1703</v>
      </c>
      <c r="B1707" s="2" t="str">
        <f>IFERROR(__xludf.DUMMYFUNCTION("""COMPUTED_VALUE"""),"PENDING")</f>
        <v>PENDING</v>
      </c>
      <c r="C1707" s="78">
        <f>IFERROR(__xludf.DUMMYFUNCTION("""COMPUTED_VALUE"""),46156.0)</f>
        <v>46156</v>
      </c>
      <c r="D1707" s="71" t="str">
        <f>IFERROR(__xludf.DUMMYFUNCTION("""COMPUTED_VALUE"""),"San Fernando SWISA Agriculture Cooperative (SAFSCO)")</f>
        <v>San Fernando SWISA Agriculture Cooperative (SAFSCO)</v>
      </c>
      <c r="E1707" s="71" t="str">
        <f>IFERROR(__xludf.DUMMYFUNCTION("""COMPUTED_VALUE"""),"Beberon, San Fernando, CAMARINES SUR")</f>
        <v>Beberon, San Fernando, CAMARINES SUR</v>
      </c>
      <c r="F1707" s="2" t="str">
        <f>IFERROR(__xludf.DUMMYFUNCTION("""COMPUTED_VALUE"""),"Allan Portuguez")</f>
        <v>Allan Portuguez</v>
      </c>
      <c r="G1707" s="2">
        <f>IFERROR(__xludf.DUMMYFUNCTION("""COMPUTED_VALUE"""),9.468331617E9)</f>
        <v>9468331617</v>
      </c>
      <c r="H1707" s="2">
        <f>IFERROR(__xludf.DUMMYFUNCTION("""COMPUTED_VALUE"""),50.0)</f>
        <v>50</v>
      </c>
      <c r="I1707" s="72" t="str">
        <f>IFERROR(__xludf.DUMMYFUNCTION("""COMPUTED_VALUE"""),"PMS")</f>
        <v>PMS</v>
      </c>
      <c r="J1707" s="72"/>
      <c r="K1707" s="72" t="str">
        <f>IFERROR(__xludf.DUMMYFUNCTION("""COMPUTED_VALUE"""),"JTT: FOR 1ST PMS 
Problem: Front loader cable lock")</f>
        <v>JTT: FOR 1ST PMS 
Problem: Front loader cable lock</v>
      </c>
      <c r="L1707" s="72"/>
      <c r="M1707" s="2" t="str">
        <f>IFERROR(__xludf.DUMMYFUNCTION("""COMPUTED_VALUE"""),"CABLE LOCK")</f>
        <v>CABLE LOCK</v>
      </c>
      <c r="N1707" s="2"/>
      <c r="O1707" s="2"/>
      <c r="P1707" s="2"/>
      <c r="Q1707" s="2"/>
      <c r="R1707" s="2"/>
      <c r="S1707" s="2"/>
      <c r="T1707" s="2"/>
      <c r="U1707" s="2"/>
      <c r="V1707" s="2"/>
      <c r="W1707" s="2"/>
      <c r="X1707" s="2"/>
      <c r="Y1707" s="2"/>
      <c r="Z1707" s="2"/>
      <c r="AA1707" s="2"/>
      <c r="AB1707" s="2"/>
      <c r="AC1707" s="2"/>
      <c r="AD1707" s="2"/>
      <c r="AE1707" s="2"/>
      <c r="AF1707" s="2"/>
      <c r="AG1707" s="2"/>
      <c r="AH1707" s="2"/>
      <c r="AI1707" s="2"/>
      <c r="AJ1707" s="2" t="str">
        <f>IFERROR(__xludf.DUMMYFUNCTION("""COMPUTED_VALUE"""),"Beberon")</f>
        <v>Beberon</v>
      </c>
      <c r="AK1707" s="2" t="str">
        <f>IFERROR(__xludf.DUMMYFUNCTION("""COMPUTED_VALUE"""),"San Fernando")</f>
        <v>San Fernando</v>
      </c>
      <c r="AL1707" s="2" t="str">
        <f>IFERROR(__xludf.DUMMYFUNCTION("""COMPUTED_VALUE"""),"Camarines Sur")</f>
        <v>Camarines Sur</v>
      </c>
      <c r="AM1707" s="2">
        <f>IFERROR(__xludf.DUMMYFUNCTION("""COMPUTED_VALUE"""),5.0)</f>
        <v>5</v>
      </c>
      <c r="AN1707" s="2" t="str">
        <f>IFERROR(__xludf.DUMMYFUNCTION("""COMPUTED_VALUE"""),"RCEF 25-03-05")</f>
        <v>RCEF 25-03-05</v>
      </c>
      <c r="AO1707" s="2">
        <f>IFERROR(__xludf.DUMMYFUNCTION("""COMPUTED_VALUE"""),6.0)</f>
        <v>6</v>
      </c>
      <c r="AP1707" s="2" t="str">
        <f>IFERROR(__xludf.DUMMYFUNCTION("""COMPUTED_VALUE"""),"FREE PMS")</f>
        <v>FREE PMS</v>
      </c>
      <c r="AQ1707" s="2"/>
      <c r="AR1707" s="2"/>
      <c r="AS1707" s="2"/>
      <c r="AT1707" s="2"/>
      <c r="AU1707" s="2"/>
      <c r="AV1707" s="2"/>
      <c r="AW1707" s="2"/>
      <c r="AX1707" s="2"/>
      <c r="AY1707" s="2"/>
      <c r="AZ1707" s="2"/>
      <c r="BA1707" s="2"/>
      <c r="BB1707" s="2"/>
    </row>
    <row r="1708">
      <c r="A1708" s="2">
        <f>IFERROR(__xludf.DUMMYFUNCTION("""COMPUTED_VALUE"""),1704.0)</f>
        <v>1704</v>
      </c>
      <c r="B1708" s="2" t="str">
        <f>IFERROR(__xludf.DUMMYFUNCTION("""COMPUTED_VALUE"""),"COMPLETED")</f>
        <v>COMPLETED</v>
      </c>
      <c r="C1708" s="78">
        <f>IFERROR(__xludf.DUMMYFUNCTION("""COMPUTED_VALUE"""),46156.0)</f>
        <v>46156</v>
      </c>
      <c r="D1708" s="71" t="str">
        <f>IFERROR(__xludf.DUMMYFUNCTION("""COMPUTED_VALUE"""),"NAGUILIAN IRRIGATORS' ASSOCIATION, INC.")</f>
        <v>NAGUILIAN IRRIGATORS' ASSOCIATION, INC.</v>
      </c>
      <c r="E1708" s="71" t="str">
        <f>IFERROR(__xludf.DUMMYFUNCTION("""COMPUTED_VALUE"""),"Naguilian, Lal-lo, CAGAYAN")</f>
        <v>Naguilian, Lal-lo, CAGAYAN</v>
      </c>
      <c r="F1708" s="2" t="str">
        <f>IFERROR(__xludf.DUMMYFUNCTION("""COMPUTED_VALUE"""),"DIOSDADO URMATAM")</f>
        <v>DIOSDADO URMATAM</v>
      </c>
      <c r="G1708" s="2">
        <f>IFERROR(__xludf.DUMMYFUNCTION("""COMPUTED_VALUE"""),9.061000932E9)</f>
        <v>9061000932</v>
      </c>
      <c r="H1708" s="2"/>
      <c r="I1708" s="72" t="str">
        <f>IFERROR(__xludf.DUMMYFUNCTION("""COMPUTED_VALUE"""),"SPARE PARTS ACQUISITION")</f>
        <v>SPARE PARTS ACQUISITION</v>
      </c>
      <c r="J1708" s="72"/>
      <c r="K1708" s="72" t="str">
        <f>IFERROR(__xludf.DUMMYFUNCTION("""COMPUTED_VALUE"""),"MYK: PARTS ORDER
TIE ROD RIGHT (WITH PCITURE)")</f>
        <v>MYK: PARTS ORDER
TIE ROD RIGHT (WITH PCITURE)</v>
      </c>
      <c r="L1708" s="72" t="str">
        <f>IFERROR(__xludf.DUMMYFUNCTION("""COMPUTED_VALUE"""),"QUOTATION SENT")</f>
        <v>QUOTATION SENT</v>
      </c>
      <c r="M1708" s="2" t="str">
        <f>IFERROR(__xludf.DUMMYFUNCTION("""COMPUTED_VALUE"""),"TIE ROD LEFT
OIL SEAL TC60110000A3")</f>
        <v>TIE ROD LEFT
OIL SEAL TC60110000A3</v>
      </c>
      <c r="N1708" s="2"/>
      <c r="O1708" s="2" t="str">
        <f>IFERROR(__xludf.DUMMYFUNCTION("""COMPUTED_VALUE"""),"N/A")</f>
        <v>N/A</v>
      </c>
      <c r="P1708" s="2"/>
      <c r="Q1708" s="2"/>
      <c r="R1708" s="74">
        <f>IFERROR(__xludf.DUMMYFUNCTION("""COMPUTED_VALUE"""),46167.0)</f>
        <v>46167</v>
      </c>
      <c r="S1708" s="2" t="str">
        <f>IFERROR(__xludf.DUMMYFUNCTION("""COMPUTED_VALUE"""),"MYKEE")</f>
        <v>MYKEE</v>
      </c>
      <c r="T1708" s="73" t="str">
        <f>IFERROR(__xludf.DUMMYFUNCTION("""COMPUTED_VALUE""")," N/A ")</f>
        <v>N/A</v>
      </c>
      <c r="U1708" s="73" t="str">
        <f>IFERROR(__xludf.DUMMYFUNCTION("""COMPUTED_VALUE""")," NO CHARGE ")</f>
        <v>NO CHARGE</v>
      </c>
      <c r="V1708" s="2"/>
      <c r="W1708" s="2"/>
      <c r="X1708" s="2"/>
      <c r="Y1708" s="2"/>
      <c r="Z1708" s="2"/>
      <c r="AA1708" s="2"/>
      <c r="AB1708" s="2"/>
      <c r="AC1708" s="2"/>
      <c r="AD1708" s="2"/>
      <c r="AE1708" s="2"/>
      <c r="AF1708" s="2"/>
      <c r="AG1708" s="2"/>
      <c r="AH1708" s="2"/>
      <c r="AI1708" s="2"/>
      <c r="AJ1708" s="2" t="str">
        <f>IFERROR(__xludf.DUMMYFUNCTION("""COMPUTED_VALUE"""),"Naguilian")</f>
        <v>Naguilian</v>
      </c>
      <c r="AK1708" s="2" t="str">
        <f>IFERROR(__xludf.DUMMYFUNCTION("""COMPUTED_VALUE"""),"Lal-Lo")</f>
        <v>Lal-Lo</v>
      </c>
      <c r="AL1708" s="2" t="str">
        <f>IFERROR(__xludf.DUMMYFUNCTION("""COMPUTED_VALUE"""),"Cagayan")</f>
        <v>Cagayan</v>
      </c>
      <c r="AM1708" s="2">
        <f>IFERROR(__xludf.DUMMYFUNCTION("""COMPUTED_VALUE"""),2.0)</f>
        <v>2</v>
      </c>
      <c r="AN1708" s="2" t="str">
        <f>IFERROR(__xludf.DUMMYFUNCTION("""COMPUTED_VALUE"""),"RCEF 23-09-21 Rebidding")</f>
        <v>RCEF 23-09-21 Rebidding</v>
      </c>
      <c r="AO1708" s="2">
        <f>IFERROR(__xludf.DUMMYFUNCTION("""COMPUTED_VALUE"""),9.0)</f>
        <v>9</v>
      </c>
      <c r="AP1708" s="2"/>
      <c r="AQ1708" s="2"/>
      <c r="AR1708" s="2"/>
      <c r="AS1708" s="2"/>
      <c r="AT1708" s="2"/>
      <c r="AU1708" s="2"/>
      <c r="AV1708" s="2"/>
      <c r="AW1708" s="2"/>
      <c r="AX1708" s="2"/>
      <c r="AY1708" s="2"/>
      <c r="AZ1708" s="2"/>
      <c r="BA1708" s="2"/>
      <c r="BB1708" s="2"/>
    </row>
    <row r="1709">
      <c r="A1709" s="2">
        <f>IFERROR(__xludf.DUMMYFUNCTION("""COMPUTED_VALUE"""),1705.0)</f>
        <v>1705</v>
      </c>
      <c r="B1709" s="2" t="str">
        <f>IFERROR(__xludf.DUMMYFUNCTION("""COMPUTED_VALUE"""),"COMPLETED")</f>
        <v>COMPLETED</v>
      </c>
      <c r="C1709" s="78">
        <f>IFERROR(__xludf.DUMMYFUNCTION("""COMPUTED_VALUE"""),46156.0)</f>
        <v>46156</v>
      </c>
      <c r="D1709" s="71" t="str">
        <f>IFERROR(__xludf.DUMMYFUNCTION("""COMPUTED_VALUE"""),"Central D Multi-Purpose Cooperative")</f>
        <v>Central D Multi-Purpose Cooperative</v>
      </c>
      <c r="E1709" s="71" t="str">
        <f>IFERROR(__xludf.DUMMYFUNCTION("""COMPUTED_VALUE"""),"Central, San Jose, OCCIDENTAL MINDORO")</f>
        <v>Central, San Jose, OCCIDENTAL MINDORO</v>
      </c>
      <c r="F1709" s="2" t="str">
        <f>IFERROR(__xludf.DUMMYFUNCTION("""COMPUTED_VALUE"""),"VERNIE ADRIAN V. SALAZAR")</f>
        <v>VERNIE ADRIAN V. SALAZAR</v>
      </c>
      <c r="G1709" s="2">
        <f>IFERROR(__xludf.DUMMYFUNCTION("""COMPUTED_VALUE"""),9.297039961E9)</f>
        <v>9297039961</v>
      </c>
      <c r="H1709" s="2"/>
      <c r="I1709" s="72" t="str">
        <f>IFERROR(__xludf.DUMMYFUNCTION("""COMPUTED_VALUE"""),"REPAIR - LOADER")</f>
        <v>REPAIR - LOADER</v>
      </c>
      <c r="J1709" s="72" t="str">
        <f>IFERROR(__xludf.DUMMYFUNCTION("""COMPUTED_VALUE"""),"Cable lock")</f>
        <v>Cable lock</v>
      </c>
      <c r="K1709" s="72" t="str">
        <f>IFERROR(__xludf.DUMMYFUNCTION("""COMPUTED_VALUE"""),"RCG: Problem:   front loader ayaw tumaas
Parts needed.cable lock")</f>
        <v>RCG: Problem:   front loader ayaw tumaas
Parts needed.cable lock</v>
      </c>
      <c r="L1709" s="72" t="str">
        <f>IFERROR(__xludf.DUMMYFUNCTION("""COMPUTED_VALUE"""),"RCG: NAG PA FABRICATE NALANG SILA SA LABAS NG CABLE LOCK")</f>
        <v>RCG: NAG PA FABRICATE NALANG SILA SA LABAS NG CABLE LOCK</v>
      </c>
      <c r="M1709" s="2" t="str">
        <f>IFERROR(__xludf.DUMMYFUNCTION("""COMPUTED_VALUE"""),"CABLE LOCK")</f>
        <v>CABLE LOCK</v>
      </c>
      <c r="N1709" s="2"/>
      <c r="O1709" s="2">
        <f>IFERROR(__xludf.DUMMYFUNCTION("""COMPUTED_VALUE"""),746.0)</f>
        <v>746</v>
      </c>
      <c r="P1709" s="2" t="str">
        <f>IFERROR(__xludf.DUMMYFUNCTION("""COMPUTED_VALUE"""),"749 - Central D Multi-Purpose Cooperative.pdf")</f>
        <v>749 - Central D Multi-Purpose Cooperative.pdf</v>
      </c>
      <c r="Q1709" s="2" t="str">
        <f>IFERROR(__xludf.DUMMYFUNCTION("""COMPUTED_VALUE"""),"FOR PRINT")</f>
        <v>FOR PRINT</v>
      </c>
      <c r="R1709" s="74">
        <f>IFERROR(__xludf.DUMMYFUNCTION("""COMPUTED_VALUE"""),46167.0)</f>
        <v>46167</v>
      </c>
      <c r="S1709" s="2" t="str">
        <f>IFERROR(__xludf.DUMMYFUNCTION("""COMPUTED_VALUE"""),"RCG/RCBS")</f>
        <v>RCG/RCBS</v>
      </c>
      <c r="T1709" s="73" t="str">
        <f>IFERROR(__xludf.DUMMYFUNCTION("""COMPUTED_VALUE""")," N/A ")</f>
        <v>N/A</v>
      </c>
      <c r="U1709" s="73" t="str">
        <f>IFERROR(__xludf.DUMMYFUNCTION("""COMPUTED_VALUE""")," NO CHARGE ")</f>
        <v>NO CHARGE</v>
      </c>
      <c r="V1709" s="2" t="str">
        <f>IFERROR(__xludf.DUMMYFUNCTION("""COMPUTED_VALUE"""),"N/A")</f>
        <v>N/A</v>
      </c>
      <c r="W1709" s="2" t="str">
        <f>IFERROR(__xludf.DUMMYFUNCTION("""COMPUTED_VALUE"""),"N/A")</f>
        <v>N/A</v>
      </c>
      <c r="X1709" s="2" t="str">
        <f>IFERROR(__xludf.DUMMYFUNCTION("""COMPUTED_VALUE"""),"N/A")</f>
        <v>N/A</v>
      </c>
      <c r="Y1709" s="2"/>
      <c r="Z1709" s="2"/>
      <c r="AA1709" s="2"/>
      <c r="AB1709" s="2"/>
      <c r="AC1709" s="2"/>
      <c r="AD1709" s="2"/>
      <c r="AE1709" s="2"/>
      <c r="AF1709" s="2"/>
      <c r="AG1709" s="2"/>
      <c r="AH1709" s="2"/>
      <c r="AI1709" s="2"/>
      <c r="AJ1709" s="2" t="str">
        <f>IFERROR(__xludf.DUMMYFUNCTION("""COMPUTED_VALUE"""),"Central")</f>
        <v>Central</v>
      </c>
      <c r="AK1709" s="2" t="str">
        <f>IFERROR(__xludf.DUMMYFUNCTION("""COMPUTED_VALUE"""),"San Jose")</f>
        <v>San Jose</v>
      </c>
      <c r="AL1709" s="2" t="str">
        <f>IFERROR(__xludf.DUMMYFUNCTION("""COMPUTED_VALUE"""),"Occidental Mindoro")</f>
        <v>Occidental Mindoro</v>
      </c>
      <c r="AM1709" s="2" t="str">
        <f>IFERROR(__xludf.DUMMYFUNCTION("""COMPUTED_VALUE"""),"4B")</f>
        <v>4B</v>
      </c>
      <c r="AN1709" s="2" t="str">
        <f>IFERROR(__xludf.DUMMYFUNCTION("""COMPUTED_VALUE"""),"RCEF 25-03-05")</f>
        <v>RCEF 25-03-05</v>
      </c>
      <c r="AO1709" s="2">
        <f>IFERROR(__xludf.DUMMYFUNCTION("""COMPUTED_VALUE"""),6.0)</f>
        <v>6</v>
      </c>
      <c r="AP1709" s="2" t="str">
        <f>IFERROR(__xludf.DUMMYFUNCTION("""COMPUTED_VALUE"""),"FREE PMS")</f>
        <v>FREE PMS</v>
      </c>
      <c r="AQ1709" s="2"/>
      <c r="AR1709" s="2"/>
      <c r="AS1709" s="2"/>
      <c r="AT1709" s="2"/>
      <c r="AU1709" s="2"/>
      <c r="AV1709" s="2"/>
      <c r="AW1709" s="2"/>
      <c r="AX1709" s="2"/>
      <c r="AY1709" s="2"/>
      <c r="AZ1709" s="2"/>
      <c r="BA1709" s="2"/>
      <c r="BB1709" s="2"/>
    </row>
    <row r="1710">
      <c r="A1710" s="2">
        <f>IFERROR(__xludf.DUMMYFUNCTION("""COMPUTED_VALUE"""),1706.0)</f>
        <v>1706</v>
      </c>
      <c r="B1710" s="2" t="str">
        <f>IFERROR(__xludf.DUMMYFUNCTION("""COMPUTED_VALUE"""),"PENDING")</f>
        <v>PENDING</v>
      </c>
      <c r="C1710" s="78">
        <f>IFERROR(__xludf.DUMMYFUNCTION("""COMPUTED_VALUE"""),46156.0)</f>
        <v>46156</v>
      </c>
      <c r="D1710" s="71" t="str">
        <f>IFERROR(__xludf.DUMMYFUNCTION("""COMPUTED_VALUE"""),"CSAC 77 Agriculture Cooperative")</f>
        <v>CSAC 77 Agriculture Cooperative</v>
      </c>
      <c r="E1710" s="71" t="str">
        <f>IFERROR(__xludf.DUMMYFUNCTION("""COMPUTED_VALUE"""),"Tagbong, Pili, CAMARINES SUR")</f>
        <v>Tagbong, Pili, CAMARINES SUR</v>
      </c>
      <c r="F1710" s="2" t="str">
        <f>IFERROR(__xludf.DUMMYFUNCTION("""COMPUTED_VALUE"""),"Helen Valenzuela")</f>
        <v>Helen Valenzuela</v>
      </c>
      <c r="G1710" s="2" t="str">
        <f>IFERROR(__xludf.DUMMYFUNCTION("""COMPUTED_VALUE"""),"0951 415 6425")</f>
        <v>0951 415 6425</v>
      </c>
      <c r="H1710" s="2"/>
      <c r="I1710" s="72" t="str">
        <f>IFERROR(__xludf.DUMMYFUNCTION("""COMPUTED_VALUE"""),"PMS")</f>
        <v>PMS</v>
      </c>
      <c r="J1710" s="72"/>
      <c r="K1710" s="72" t="str">
        <f>IFERROR(__xludf.DUMMYFUNCTION("""COMPUTED_VALUE"""),"KFS: 1st PMS FREE")</f>
        <v>KFS: 1st PMS FREE</v>
      </c>
      <c r="L1710" s="7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c r="AJ1710" s="2" t="str">
        <f>IFERROR(__xludf.DUMMYFUNCTION("""COMPUTED_VALUE"""),"Tagbong")</f>
        <v>Tagbong</v>
      </c>
      <c r="AK1710" s="2" t="str">
        <f>IFERROR(__xludf.DUMMYFUNCTION("""COMPUTED_VALUE"""),"Pili")</f>
        <v>Pili</v>
      </c>
      <c r="AL1710" s="2" t="str">
        <f>IFERROR(__xludf.DUMMYFUNCTION("""COMPUTED_VALUE"""),"Camarines Sur")</f>
        <v>Camarines Sur</v>
      </c>
      <c r="AM1710" s="2">
        <f>IFERROR(__xludf.DUMMYFUNCTION("""COMPUTED_VALUE"""),5.0)</f>
        <v>5</v>
      </c>
      <c r="AN1710" s="2" t="str">
        <f>IFERROR(__xludf.DUMMYFUNCTION("""COMPUTED_VALUE"""),"RCEF 25-03-05")</f>
        <v>RCEF 25-03-05</v>
      </c>
      <c r="AO1710" s="2">
        <f>IFERROR(__xludf.DUMMYFUNCTION("""COMPUTED_VALUE"""),6.0)</f>
        <v>6</v>
      </c>
      <c r="AP1710" s="2" t="str">
        <f>IFERROR(__xludf.DUMMYFUNCTION("""COMPUTED_VALUE"""),"FREE PMS")</f>
        <v>FREE PMS</v>
      </c>
      <c r="AQ1710" s="2"/>
      <c r="AR1710" s="2"/>
      <c r="AS1710" s="2"/>
      <c r="AT1710" s="2"/>
      <c r="AU1710" s="2"/>
      <c r="AV1710" s="2"/>
      <c r="AW1710" s="2"/>
      <c r="AX1710" s="2"/>
      <c r="AY1710" s="2"/>
      <c r="AZ1710" s="2"/>
      <c r="BA1710" s="2"/>
      <c r="BB1710" s="2"/>
    </row>
    <row r="1711">
      <c r="A1711" s="2">
        <f>IFERROR(__xludf.DUMMYFUNCTION("""COMPUTED_VALUE"""),1707.0)</f>
        <v>1707</v>
      </c>
      <c r="B1711" s="2" t="str">
        <f>IFERROR(__xludf.DUMMYFUNCTION("""COMPUTED_VALUE"""),"PENDING")</f>
        <v>PENDING</v>
      </c>
      <c r="C1711" s="78">
        <f>IFERROR(__xludf.DUMMYFUNCTION("""COMPUTED_VALUE"""),46156.0)</f>
        <v>46156</v>
      </c>
      <c r="D1711" s="71" t="str">
        <f>IFERROR(__xludf.DUMMYFUNCTION("""COMPUTED_VALUE"""),"San Antonio Farmers Irrigators Multi-Purpose Cooperative")</f>
        <v>San Antonio Farmers Irrigators Multi-Purpose Cooperative</v>
      </c>
      <c r="E1711" s="71" t="str">
        <f>IFERROR(__xludf.DUMMYFUNCTION("""COMPUTED_VALUE"""),"San Antonio, Buhi, CAMARINES SUR")</f>
        <v>San Antonio, Buhi, CAMARINES SUR</v>
      </c>
      <c r="F1711" s="2" t="str">
        <f>IFERROR(__xludf.DUMMYFUNCTION("""COMPUTED_VALUE"""),"Simeon Molina (GM)")</f>
        <v>Simeon Molina (GM)</v>
      </c>
      <c r="G1711" s="2" t="str">
        <f>IFERROR(__xludf.DUMMYFUNCTION("""COMPUTED_VALUE"""),"0926 046 4496")</f>
        <v>0926 046 4496</v>
      </c>
      <c r="H1711" s="2"/>
      <c r="I1711" s="72" t="str">
        <f>IFERROR(__xludf.DUMMYFUNCTION("""COMPUTED_VALUE"""),"PMS")</f>
        <v>PMS</v>
      </c>
      <c r="J1711" s="72"/>
      <c r="K1711" s="72" t="str">
        <f>IFERROR(__xludf.DUMMYFUNCTION("""COMPUTED_VALUE"""),"KFS: 1st PMS FREE
Note: mag-order po sila ng 2 pcs drawbar pins")</f>
        <v>KFS: 1st PMS FREE
Note: mag-order po sila ng 2 pcs drawbar pins</v>
      </c>
      <c r="L1711" s="72"/>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c r="AJ1711" s="2" t="str">
        <f>IFERROR(__xludf.DUMMYFUNCTION("""COMPUTED_VALUE"""),"San Antonio")</f>
        <v>San Antonio</v>
      </c>
      <c r="AK1711" s="2" t="str">
        <f>IFERROR(__xludf.DUMMYFUNCTION("""COMPUTED_VALUE"""),"Buhi")</f>
        <v>Buhi</v>
      </c>
      <c r="AL1711" s="2" t="str">
        <f>IFERROR(__xludf.DUMMYFUNCTION("""COMPUTED_VALUE"""),"Camarines Sur")</f>
        <v>Camarines Sur</v>
      </c>
      <c r="AM1711" s="2">
        <f>IFERROR(__xludf.DUMMYFUNCTION("""COMPUTED_VALUE"""),5.0)</f>
        <v>5</v>
      </c>
      <c r="AN1711" s="2" t="str">
        <f>IFERROR(__xludf.DUMMYFUNCTION("""COMPUTED_VALUE"""),"RCEF 25-03-05")</f>
        <v>RCEF 25-03-05</v>
      </c>
      <c r="AO1711" s="2">
        <f>IFERROR(__xludf.DUMMYFUNCTION("""COMPUTED_VALUE"""),6.0)</f>
        <v>6</v>
      </c>
      <c r="AP1711" s="2" t="str">
        <f>IFERROR(__xludf.DUMMYFUNCTION("""COMPUTED_VALUE"""),"FREE PMS")</f>
        <v>FREE PMS</v>
      </c>
      <c r="AQ1711" s="2"/>
      <c r="AR1711" s="2"/>
      <c r="AS1711" s="2"/>
      <c r="AT1711" s="2"/>
      <c r="AU1711" s="2"/>
      <c r="AV1711" s="2"/>
      <c r="AW1711" s="2"/>
      <c r="AX1711" s="2"/>
      <c r="AY1711" s="2"/>
      <c r="AZ1711" s="2"/>
      <c r="BA1711" s="2"/>
      <c r="BB1711" s="2"/>
    </row>
    <row r="1712">
      <c r="A1712" s="2">
        <f>IFERROR(__xludf.DUMMYFUNCTION("""COMPUTED_VALUE"""),1708.0)</f>
        <v>1708</v>
      </c>
      <c r="B1712" s="2" t="str">
        <f>IFERROR(__xludf.DUMMYFUNCTION("""COMPUTED_VALUE"""),"PENDING")</f>
        <v>PENDING</v>
      </c>
      <c r="C1712" s="78">
        <f>IFERROR(__xludf.DUMMYFUNCTION("""COMPUTED_VALUE"""),46156.0)</f>
        <v>46156</v>
      </c>
      <c r="D1712" s="71" t="str">
        <f>IFERROR(__xludf.DUMMYFUNCTION("""COMPUTED_VALUE"""),"San Fernando SWISA Agriculture Cooperative (SAFSCO)")</f>
        <v>San Fernando SWISA Agriculture Cooperative (SAFSCO)</v>
      </c>
      <c r="E1712" s="71" t="str">
        <f>IFERROR(__xludf.DUMMYFUNCTION("""COMPUTED_VALUE"""),"Beberon, San Fernando, CAMARINES SUR")</f>
        <v>Beberon, San Fernando, CAMARINES SUR</v>
      </c>
      <c r="F1712" s="2" t="str">
        <f>IFERROR(__xludf.DUMMYFUNCTION("""COMPUTED_VALUE"""),"Allan Portuguez (GM)")</f>
        <v>Allan Portuguez (GM)</v>
      </c>
      <c r="G1712" s="2" t="str">
        <f>IFERROR(__xludf.DUMMYFUNCTION("""COMPUTED_VALUE"""),"0946 833 1617")</f>
        <v>0946 833 1617</v>
      </c>
      <c r="H1712" s="2"/>
      <c r="I1712" s="72" t="str">
        <f>IFERROR(__xludf.DUMMYFUNCTION("""COMPUTED_VALUE"""),"PMS")</f>
        <v>PMS</v>
      </c>
      <c r="J1712" s="72"/>
      <c r="K1712" s="72" t="str">
        <f>IFERROR(__xludf.DUMMYFUNCTION("""COMPUTED_VALUE"""),"KFS: 1ST PMS FREE
Note: pa-check up daw po sila ng FL, di raw tumataas po")</f>
        <v>KFS: 1ST PMS FREE
Note: pa-check up daw po sila ng FL, di raw tumataas po</v>
      </c>
      <c r="L1712" s="72"/>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c r="AJ1712" s="2" t="str">
        <f>IFERROR(__xludf.DUMMYFUNCTION("""COMPUTED_VALUE"""),"Beberon")</f>
        <v>Beberon</v>
      </c>
      <c r="AK1712" s="2" t="str">
        <f>IFERROR(__xludf.DUMMYFUNCTION("""COMPUTED_VALUE"""),"San Fernando")</f>
        <v>San Fernando</v>
      </c>
      <c r="AL1712" s="2" t="str">
        <f>IFERROR(__xludf.DUMMYFUNCTION("""COMPUTED_VALUE"""),"Camarines Sur")</f>
        <v>Camarines Sur</v>
      </c>
      <c r="AM1712" s="2">
        <f>IFERROR(__xludf.DUMMYFUNCTION("""COMPUTED_VALUE"""),5.0)</f>
        <v>5</v>
      </c>
      <c r="AN1712" s="2" t="str">
        <f>IFERROR(__xludf.DUMMYFUNCTION("""COMPUTED_VALUE"""),"RCEF 25-03-05")</f>
        <v>RCEF 25-03-05</v>
      </c>
      <c r="AO1712" s="2">
        <f>IFERROR(__xludf.DUMMYFUNCTION("""COMPUTED_VALUE"""),6.0)</f>
        <v>6</v>
      </c>
      <c r="AP1712" s="2" t="str">
        <f>IFERROR(__xludf.DUMMYFUNCTION("""COMPUTED_VALUE"""),"FREE PMS")</f>
        <v>FREE PMS</v>
      </c>
      <c r="AQ1712" s="2"/>
      <c r="AR1712" s="2"/>
      <c r="AS1712" s="2"/>
      <c r="AT1712" s="2"/>
      <c r="AU1712" s="2"/>
      <c r="AV1712" s="2"/>
      <c r="AW1712" s="2"/>
      <c r="AX1712" s="2"/>
      <c r="AY1712" s="2"/>
      <c r="AZ1712" s="2"/>
      <c r="BA1712" s="2"/>
      <c r="BB1712" s="2"/>
    </row>
    <row r="1713">
      <c r="A1713" s="2">
        <f>IFERROR(__xludf.DUMMYFUNCTION("""COMPUTED_VALUE"""),1709.0)</f>
        <v>1709</v>
      </c>
      <c r="B1713" s="2" t="str">
        <f>IFERROR(__xludf.DUMMYFUNCTION("""COMPUTED_VALUE"""),"PENDING")</f>
        <v>PENDING</v>
      </c>
      <c r="C1713" s="78">
        <f>IFERROR(__xludf.DUMMYFUNCTION("""COMPUTED_VALUE"""),46156.0)</f>
        <v>46156</v>
      </c>
      <c r="D1713" s="71" t="str">
        <f>IFERROR(__xludf.DUMMYFUNCTION("""COMPUTED_VALUE"""),"HANAWAN FARMERS ASSOCIATION (HANFA)")</f>
        <v>HANAWAN FARMERS ASSOCIATION (HANFA)</v>
      </c>
      <c r="E1713" s="71" t="str">
        <f>IFERROR(__xludf.DUMMYFUNCTION("""COMPUTED_VALUE"""),"Hanawan, Ocampo, CAMARINES SUR")</f>
        <v>Hanawan, Ocampo, CAMARINES SUR</v>
      </c>
      <c r="F1713" s="2" t="str">
        <f>IFERROR(__xludf.DUMMYFUNCTION("""COMPUTED_VALUE"""),"Ivy Fabricante")</f>
        <v>Ivy Fabricante</v>
      </c>
      <c r="G1713" s="2" t="str">
        <f>IFERROR(__xludf.DUMMYFUNCTION("""COMPUTED_VALUE"""),"0938 615 9507")</f>
        <v>0938 615 9507</v>
      </c>
      <c r="H1713" s="2"/>
      <c r="I1713" s="72" t="str">
        <f>IFERROR(__xludf.DUMMYFUNCTION("""COMPUTED_VALUE"""),"PMS")</f>
        <v>PMS</v>
      </c>
      <c r="J1713" s="72"/>
      <c r="K1713" s="72" t="str">
        <f>IFERROR(__xludf.DUMMYFUNCTION("""COMPUTED_VALUE"""),"KFS: 1ST PMS FREE")</f>
        <v>KFS: 1ST PMS FREE</v>
      </c>
      <c r="L1713" s="72"/>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c r="AJ1713" s="2" t="str">
        <f>IFERROR(__xludf.DUMMYFUNCTION("""COMPUTED_VALUE"""),"Hanawan")</f>
        <v>Hanawan</v>
      </c>
      <c r="AK1713" s="2" t="str">
        <f>IFERROR(__xludf.DUMMYFUNCTION("""COMPUTED_VALUE"""),"Ocampo")</f>
        <v>Ocampo</v>
      </c>
      <c r="AL1713" s="2" t="str">
        <f>IFERROR(__xludf.DUMMYFUNCTION("""COMPUTED_VALUE"""),"Camarines Sur")</f>
        <v>Camarines Sur</v>
      </c>
      <c r="AM1713" s="2">
        <f>IFERROR(__xludf.DUMMYFUNCTION("""COMPUTED_VALUE"""),5.0)</f>
        <v>5</v>
      </c>
      <c r="AN1713" s="2" t="str">
        <f>IFERROR(__xludf.DUMMYFUNCTION("""COMPUTED_VALUE"""),"RCEF 25-03-05")</f>
        <v>RCEF 25-03-05</v>
      </c>
      <c r="AO1713" s="2">
        <f>IFERROR(__xludf.DUMMYFUNCTION("""COMPUTED_VALUE"""),6.0)</f>
        <v>6</v>
      </c>
      <c r="AP1713" s="2" t="str">
        <f>IFERROR(__xludf.DUMMYFUNCTION("""COMPUTED_VALUE"""),"FREE PMS")</f>
        <v>FREE PMS</v>
      </c>
      <c r="AQ1713" s="2"/>
      <c r="AR1713" s="2"/>
      <c r="AS1713" s="2"/>
      <c r="AT1713" s="2"/>
      <c r="AU1713" s="2"/>
      <c r="AV1713" s="2"/>
      <c r="AW1713" s="2"/>
      <c r="AX1713" s="2"/>
      <c r="AY1713" s="2"/>
      <c r="AZ1713" s="2"/>
      <c r="BA1713" s="2"/>
      <c r="BB1713" s="2"/>
    </row>
    <row r="1714">
      <c r="A1714" s="2">
        <f>IFERROR(__xludf.DUMMYFUNCTION("""COMPUTED_VALUE"""),1710.0)</f>
        <v>1710</v>
      </c>
      <c r="B1714" s="2" t="str">
        <f>IFERROR(__xludf.DUMMYFUNCTION("""COMPUTED_VALUE"""),"PENDING")</f>
        <v>PENDING</v>
      </c>
      <c r="C1714" s="78">
        <f>IFERROR(__xludf.DUMMYFUNCTION("""COMPUTED_VALUE"""),46156.0)</f>
        <v>46156</v>
      </c>
      <c r="D1714" s="71" t="str">
        <f>IFERROR(__xludf.DUMMYFUNCTION("""COMPUTED_VALUE"""),"BUNOL UNITED FARMERS IN ADVANCE LIVELIHOOD ORGANIZATION (BUFALO)")</f>
        <v>BUNOL UNITED FARMERS IN ADVANCE LIVELIHOOD ORGANIZATION (BUFALO)</v>
      </c>
      <c r="E1714" s="71" t="str">
        <f>IFERROR(__xludf.DUMMYFUNCTION("""COMPUTED_VALUE"""),"Bunol, Guimba, NUEVA ECIJA")</f>
        <v>Bunol, Guimba, NUEVA ECIJA</v>
      </c>
      <c r="F1714" s="2" t="str">
        <f>IFERROR(__xludf.DUMMYFUNCTION("""COMPUTED_VALUE"""),"Norberto Carlos")</f>
        <v>Norberto Carlos</v>
      </c>
      <c r="G1714" s="2">
        <f>IFERROR(__xludf.DUMMYFUNCTION("""COMPUTED_VALUE"""),9.541436329E9)</f>
        <v>9541436329</v>
      </c>
      <c r="H1714" s="2"/>
      <c r="I1714" s="72" t="str">
        <f>IFERROR(__xludf.DUMMYFUNCTION("""COMPUTED_VALUE"""),"REPAIR - TRACTOR")</f>
        <v>REPAIR - TRACTOR</v>
      </c>
      <c r="J1714" s="72" t="str">
        <f>IFERROR(__xludf.DUMMYFUNCTION("""COMPUTED_VALUE"""),"PTO")</f>
        <v>PTO</v>
      </c>
      <c r="K1714" s="72" t="str">
        <f>IFERROR(__xludf.DUMMYFUNCTION("""COMPUTED_VALUE"""),"DSD: Problem: Ayaw tumaas ang rotavator, mapuntahan daw po sana agad at nasa gitna ng bukid")</f>
        <v>DSD: Problem: Ayaw tumaas ang rotavator, mapuntahan daw po sana agad at nasa gitna ng bukid</v>
      </c>
      <c r="L1714" s="72"/>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c r="AJ1714" s="2" t="str">
        <f>IFERROR(__xludf.DUMMYFUNCTION("""COMPUTED_VALUE"""),"Bunol")</f>
        <v>Bunol</v>
      </c>
      <c r="AK1714" s="2" t="str">
        <f>IFERROR(__xludf.DUMMYFUNCTION("""COMPUTED_VALUE"""),"Guimba")</f>
        <v>Guimba</v>
      </c>
      <c r="AL1714" s="2" t="str">
        <f>IFERROR(__xludf.DUMMYFUNCTION("""COMPUTED_VALUE"""),"Nueva Ecija")</f>
        <v>Nueva Ecija</v>
      </c>
      <c r="AM1714" s="2">
        <f>IFERROR(__xludf.DUMMYFUNCTION("""COMPUTED_VALUE"""),3.0)</f>
        <v>3</v>
      </c>
      <c r="AN1714" s="2" t="str">
        <f>IFERROR(__xludf.DUMMYFUNCTION("""COMPUTED_VALUE"""),"RCEF 25-03-05")</f>
        <v>RCEF 25-03-05</v>
      </c>
      <c r="AO1714" s="2">
        <f>IFERROR(__xludf.DUMMYFUNCTION("""COMPUTED_VALUE"""),5.0)</f>
        <v>5</v>
      </c>
      <c r="AP1714" s="2" t="str">
        <f>IFERROR(__xludf.DUMMYFUNCTION("""COMPUTED_VALUE"""),"FREE PMS")</f>
        <v>FREE PMS</v>
      </c>
      <c r="AQ1714" s="2"/>
      <c r="AR1714" s="2"/>
      <c r="AS1714" s="2"/>
      <c r="AT1714" s="2"/>
      <c r="AU1714" s="2"/>
      <c r="AV1714" s="2"/>
      <c r="AW1714" s="2"/>
      <c r="AX1714" s="2"/>
      <c r="AY1714" s="2"/>
      <c r="AZ1714" s="2"/>
      <c r="BA1714" s="2"/>
      <c r="BB1714" s="2"/>
    </row>
    <row r="1715">
      <c r="A1715" s="2">
        <f>IFERROR(__xludf.DUMMYFUNCTION("""COMPUTED_VALUE"""),1711.0)</f>
        <v>1711</v>
      </c>
      <c r="B1715" s="2" t="str">
        <f>IFERROR(__xludf.DUMMYFUNCTION("""COMPUTED_VALUE"""),"COMPLETED")</f>
        <v>COMPLETED</v>
      </c>
      <c r="C1715" s="74">
        <f>IFERROR(__xludf.DUMMYFUNCTION("""COMPUTED_VALUE"""),46157.0)</f>
        <v>46157</v>
      </c>
      <c r="D1715" s="71" t="str">
        <f>IFERROR(__xludf.DUMMYFUNCTION("""COMPUTED_VALUE"""),"ILOG BALIWAG-SAN MIGUEL FARMERS ASSOCIATION (ISFA)")</f>
        <v>ILOG BALIWAG-SAN MIGUEL FARMERS ASSOCIATION (ISFA)</v>
      </c>
      <c r="E1715" s="71" t="str">
        <f>IFERROR(__xludf.DUMMYFUNCTION("""COMPUTED_VALUE"""),"Ilog Baliwag, Quezon, NUEVA ECIJA")</f>
        <v>Ilog Baliwag, Quezon, NUEVA ECIJA</v>
      </c>
      <c r="F1715" s="2" t="str">
        <f>IFERROR(__xludf.DUMMYFUNCTION("""COMPUTED_VALUE"""),"Bernie Melendez")</f>
        <v>Bernie Melendez</v>
      </c>
      <c r="G1715" s="2">
        <f>IFERROR(__xludf.DUMMYFUNCTION("""COMPUTED_VALUE"""),9.275180179E9)</f>
        <v>9275180179</v>
      </c>
      <c r="H1715" s="2">
        <f>IFERROR(__xludf.DUMMYFUNCTION("""COMPUTED_VALUE"""),538.8)</f>
        <v>538.8</v>
      </c>
      <c r="I1715" s="72" t="str">
        <f>IFERROR(__xludf.DUMMYFUNCTION("""COMPUTED_VALUE"""),"REPAIR - TRACTOR")</f>
        <v>REPAIR - TRACTOR</v>
      </c>
      <c r="J1715" s="72" t="str">
        <f>IFERROR(__xludf.DUMMYFUNCTION("""COMPUTED_VALUE"""),"Electrical - Harness")</f>
        <v>Electrical - Harness</v>
      </c>
      <c r="K1715" s="72" t="str">
        <f>IFERROR(__xludf.DUMMYFUNCTION("""COMPUTED_VALUE"""),"DSD: HUMIHINTO ANG PTO PAG TINATAPAKAN ANG CLUTCH")</f>
        <v>DSD: HUMIHINTO ANG PTO PAG TINATAPAKAN ANG CLUTCH</v>
      </c>
      <c r="L1715" s="72" t="str">
        <f>IFERROR(__xludf.DUMMYFUNCTION("""COMPUTED_VALUE"""),"DSD: REPLACED DIODE")</f>
        <v>DSD: REPLACED DIODE</v>
      </c>
      <c r="M1715" s="2"/>
      <c r="N1715" s="2" t="str">
        <f>IFERROR(__xludf.DUMMYFUNCTION("""COMPUTED_VALUE"""),"PARTS:
4 - DIODE")</f>
        <v>PARTS:
4 - DIODE</v>
      </c>
      <c r="O1715" s="2">
        <f>IFERROR(__xludf.DUMMYFUNCTION("""COMPUTED_VALUE"""),884.0)</f>
        <v>884</v>
      </c>
      <c r="P1715" s="2"/>
      <c r="Q1715" s="2" t="str">
        <f>IFERROR(__xludf.DUMMYFUNCTION("""COMPUTED_VALUE"""),"FOR PRINT")</f>
        <v>FOR PRINT</v>
      </c>
      <c r="R1715" s="77">
        <f>IFERROR(__xludf.DUMMYFUNCTION("""COMPUTED_VALUE"""),46157.0)</f>
        <v>46157</v>
      </c>
      <c r="S1715" s="2" t="str">
        <f>IFERROR(__xludf.DUMMYFUNCTION("""COMPUTED_VALUE"""),"DSD/JDP")</f>
        <v>DSD/JDP</v>
      </c>
      <c r="T1715" s="73" t="str">
        <f>IFERROR(__xludf.DUMMYFUNCTION("""COMPUTED_VALUE""")," N/A ")</f>
        <v>N/A</v>
      </c>
      <c r="U1715" s="73" t="str">
        <f>IFERROR(__xludf.DUMMYFUNCTION("""COMPUTED_VALUE""")," NO CHARGE ")</f>
        <v>NO CHARGE</v>
      </c>
      <c r="V1715" s="2" t="str">
        <f>IFERROR(__xludf.DUMMYFUNCTION("""COMPUTED_VALUE"""),"N/A")</f>
        <v>N/A</v>
      </c>
      <c r="W1715" s="2" t="str">
        <f>IFERROR(__xludf.DUMMYFUNCTION("""COMPUTED_VALUE"""),"N/A")</f>
        <v>N/A</v>
      </c>
      <c r="X1715" s="2" t="str">
        <f>IFERROR(__xludf.DUMMYFUNCTION("""COMPUTED_VALUE"""),"N/A")</f>
        <v>N/A</v>
      </c>
      <c r="Y1715" s="2"/>
      <c r="Z1715" s="2"/>
      <c r="AA1715" s="2"/>
      <c r="AB1715" s="2"/>
      <c r="AC1715" s="2"/>
      <c r="AD1715" s="2"/>
      <c r="AE1715" s="2"/>
      <c r="AF1715" s="2"/>
      <c r="AG1715" s="2"/>
      <c r="AH1715" s="2"/>
      <c r="AI1715" s="2"/>
      <c r="AJ1715" s="2" t="str">
        <f>IFERROR(__xludf.DUMMYFUNCTION("""COMPUTED_VALUE"""),"Ilog Baliwag")</f>
        <v>Ilog Baliwag</v>
      </c>
      <c r="AK1715" s="2" t="str">
        <f>IFERROR(__xludf.DUMMYFUNCTION("""COMPUTED_VALUE"""),"Quezon")</f>
        <v>Quezon</v>
      </c>
      <c r="AL1715" s="2" t="str">
        <f>IFERROR(__xludf.DUMMYFUNCTION("""COMPUTED_VALUE"""),"Nueva Ecija")</f>
        <v>Nueva Ecija</v>
      </c>
      <c r="AM1715" s="2">
        <f>IFERROR(__xludf.DUMMYFUNCTION("""COMPUTED_VALUE"""),3.0)</f>
        <v>3</v>
      </c>
      <c r="AN1715" s="2" t="str">
        <f>IFERROR(__xludf.DUMMYFUNCTION("""COMPUTED_VALUE"""),"RCEF 24-04-15")</f>
        <v>RCEF 24-04-15</v>
      </c>
      <c r="AO1715" s="2">
        <f>IFERROR(__xludf.DUMMYFUNCTION("""COMPUTED_VALUE"""),6.0)</f>
        <v>6</v>
      </c>
      <c r="AP1715" s="2" t="str">
        <f>IFERROR(__xludf.DUMMYFUNCTION("""COMPUTED_VALUE"""),"FREE PMS")</f>
        <v>FREE PMS</v>
      </c>
      <c r="AQ1715" s="2"/>
      <c r="AR1715" s="2"/>
      <c r="AS1715" s="2"/>
      <c r="AT1715" s="2"/>
      <c r="AU1715" s="2"/>
      <c r="AV1715" s="2"/>
      <c r="AW1715" s="2"/>
      <c r="AX1715" s="2"/>
      <c r="AY1715" s="2"/>
      <c r="AZ1715" s="2"/>
      <c r="BA1715" s="2"/>
      <c r="BB1715" s="2"/>
    </row>
    <row r="1716">
      <c r="A1716" s="2">
        <f>IFERROR(__xludf.DUMMYFUNCTION("""COMPUTED_VALUE"""),1712.0)</f>
        <v>1712</v>
      </c>
      <c r="B1716" s="2" t="str">
        <f>IFERROR(__xludf.DUMMYFUNCTION("""COMPUTED_VALUE"""),"PENDING")</f>
        <v>PENDING</v>
      </c>
      <c r="C1716" s="78">
        <f>IFERROR(__xludf.DUMMYFUNCTION("""COMPUTED_VALUE"""),46158.0)</f>
        <v>46158</v>
      </c>
      <c r="D1716" s="71" t="str">
        <f>IFERROR(__xludf.DUMMYFUNCTION("""COMPUTED_VALUE"""),"Bariw Farmers Association")</f>
        <v>Bariw Farmers Association</v>
      </c>
      <c r="E1716" s="71" t="str">
        <f>IFERROR(__xludf.DUMMYFUNCTION("""COMPUTED_VALUE"""),"Bariw, Malinao, ALBAY")</f>
        <v>Bariw, Malinao, ALBAY</v>
      </c>
      <c r="F1716" s="2" t="str">
        <f>IFERROR(__xludf.DUMMYFUNCTION("""COMPUTED_VALUE"""),"CALIXTO PEÑA")</f>
        <v>CALIXTO PEÑA</v>
      </c>
      <c r="G1716" s="2">
        <f>IFERROR(__xludf.DUMMYFUNCTION("""COMPUTED_VALUE"""),6.39566158831E11)</f>
        <v>639566158831</v>
      </c>
      <c r="H1716" s="2">
        <f>IFERROR(__xludf.DUMMYFUNCTION("""COMPUTED_VALUE"""),64.0)</f>
        <v>64</v>
      </c>
      <c r="I1716" s="72" t="str">
        <f>IFERROR(__xludf.DUMMYFUNCTION("""COMPUTED_VALUE"""),"SPARE PARTS ACQUISITION")</f>
        <v>SPARE PARTS ACQUISITION</v>
      </c>
      <c r="J1716" s="72"/>
      <c r="K1716" s="72" t="str">
        <f>IFERROR(__xludf.DUMMYFUNCTION("""COMPUTED_VALUE"""),"FSJ: Request parts: clutch disc")</f>
        <v>FSJ: Request parts: clutch disc</v>
      </c>
      <c r="L1716" s="72" t="str">
        <f>IFERROR(__xludf.DUMMYFUNCTION("""COMPUTED_VALUE"""),"5/20/26 - FPJ: ASSITED PAID TO LTC ACCOUNT -  FOR LBC C/O CTF")</f>
        <v>5/20/26 - FPJ: ASSITED PAID TO LTC ACCOUNT -  FOR LBC C/O CTF</v>
      </c>
      <c r="M1716" s="2" t="str">
        <f>IFERROR(__xludf.DUMMYFUNCTION("""COMPUTED_VALUE"""),"CLUTCH DISC ASSY")</f>
        <v>CLUTCH DISC ASSY</v>
      </c>
      <c r="N1716" s="2" t="str">
        <f>IFERROR(__xludf.DUMMYFUNCTION("""COMPUTED_VALUE"""),"PARTS: 
CLUTCH DISC ASSY")</f>
        <v>PARTS: 
CLUTCH DISC ASSY</v>
      </c>
      <c r="O1716" s="2"/>
      <c r="P1716" s="2"/>
      <c r="Q1716" s="2"/>
      <c r="R1716" s="2"/>
      <c r="S1716" s="2" t="str">
        <f>IFERROR(__xludf.DUMMYFUNCTION("""COMPUTED_VALUE"""),"FPRJ/JAH")</f>
        <v>FPRJ/JAH</v>
      </c>
      <c r="T1716" s="73">
        <f>IFERROR(__xludf.DUMMYFUNCTION("""COMPUTED_VALUE"""),21330.0)</f>
        <v>21330</v>
      </c>
      <c r="U1716" s="73" t="str">
        <f>IFERROR(__xludf.DUMMYFUNCTION("""COMPUTED_VALUE""")," DIRECT PAYMENT ")</f>
        <v>DIRECT PAYMENT</v>
      </c>
      <c r="V1716" s="2">
        <f>IFERROR(__xludf.DUMMYFUNCTION("""COMPUTED_VALUE"""),2064.0)</f>
        <v>2064</v>
      </c>
      <c r="W1716" s="2">
        <f>IFERROR(__xludf.DUMMYFUNCTION("""COMPUTED_VALUE"""),2076.0)</f>
        <v>2076</v>
      </c>
      <c r="X1716" s="2">
        <f>IFERROR(__xludf.DUMMYFUNCTION("""COMPUTED_VALUE"""),1798.0)</f>
        <v>1798</v>
      </c>
      <c r="Y1716" s="2"/>
      <c r="Z1716" s="2"/>
      <c r="AA1716" s="2"/>
      <c r="AB1716" s="2"/>
      <c r="AC1716" s="2"/>
      <c r="AD1716" s="2"/>
      <c r="AE1716" s="2"/>
      <c r="AF1716" s="2"/>
      <c r="AG1716" s="2"/>
      <c r="AH1716" s="2"/>
      <c r="AI1716" s="2"/>
      <c r="AJ1716" s="2" t="str">
        <f>IFERROR(__xludf.DUMMYFUNCTION("""COMPUTED_VALUE"""),"Bariw")</f>
        <v>Bariw</v>
      </c>
      <c r="AK1716" s="2" t="str">
        <f>IFERROR(__xludf.DUMMYFUNCTION("""COMPUTED_VALUE"""),"Malinao")</f>
        <v>Malinao</v>
      </c>
      <c r="AL1716" s="2" t="str">
        <f>IFERROR(__xludf.DUMMYFUNCTION("""COMPUTED_VALUE"""),"Albay")</f>
        <v>Albay</v>
      </c>
      <c r="AM1716" s="2">
        <f>IFERROR(__xludf.DUMMYFUNCTION("""COMPUTED_VALUE"""),5.0)</f>
        <v>5</v>
      </c>
      <c r="AN1716" s="2" t="str">
        <f>IFERROR(__xludf.DUMMYFUNCTION("""COMPUTED_VALUE"""),"RCEF 25-03-05")</f>
        <v>RCEF 25-03-05</v>
      </c>
      <c r="AO1716" s="2">
        <f>IFERROR(__xludf.DUMMYFUNCTION("""COMPUTED_VALUE"""),6.0)</f>
        <v>6</v>
      </c>
      <c r="AP1716" s="2" t="str">
        <f>IFERROR(__xludf.DUMMYFUNCTION("""COMPUTED_VALUE"""),"FREE PMS")</f>
        <v>FREE PMS</v>
      </c>
      <c r="AQ1716" s="2"/>
      <c r="AR1716" s="2"/>
      <c r="AS1716" s="2"/>
      <c r="AT1716" s="2"/>
      <c r="AU1716" s="2"/>
      <c r="AV1716" s="2"/>
      <c r="AW1716" s="2"/>
      <c r="AX1716" s="2"/>
      <c r="AY1716" s="2"/>
      <c r="AZ1716" s="2"/>
      <c r="BA1716" s="2"/>
      <c r="BB1716" s="2"/>
    </row>
    <row r="1717">
      <c r="A1717" s="2">
        <f>IFERROR(__xludf.DUMMYFUNCTION("""COMPUTED_VALUE"""),1713.0)</f>
        <v>1713</v>
      </c>
      <c r="B1717" s="2" t="str">
        <f>IFERROR(__xludf.DUMMYFUNCTION("""COMPUTED_VALUE"""),"COMPLETED")</f>
        <v>COMPLETED</v>
      </c>
      <c r="C1717" s="78">
        <f>IFERROR(__xludf.DUMMYFUNCTION("""COMPUTED_VALUE"""),46158.0)</f>
        <v>46158</v>
      </c>
      <c r="D1717" s="71" t="str">
        <f>IFERROR(__xludf.DUMMYFUNCTION("""COMPUTED_VALUE"""),"BARING SAN NICOLAS FARMERS ASSOCIATION")</f>
        <v>BARING SAN NICOLAS FARMERS ASSOCIATION</v>
      </c>
      <c r="E1717" s="71" t="str">
        <f>IFERROR(__xludf.DUMMYFUNCTION("""COMPUTED_VALUE"""),"San Nicolas, Castillejos, ZAMBALES")</f>
        <v>San Nicolas, Castillejos, ZAMBALES</v>
      </c>
      <c r="F1717" s="2"/>
      <c r="G1717" s="2">
        <f>IFERROR(__xludf.DUMMYFUNCTION("""COMPUTED_VALUE"""),9.603795403E9)</f>
        <v>9603795403</v>
      </c>
      <c r="H1717" s="2"/>
      <c r="I1717" s="72" t="str">
        <f>IFERROR(__xludf.DUMMYFUNCTION("""COMPUTED_VALUE"""),"SPARE PARTS ACQUISITION")</f>
        <v>SPARE PARTS ACQUISITION</v>
      </c>
      <c r="J1717" s="72"/>
      <c r="K1717" s="72" t="str">
        <f>IFERROR(__xludf.DUMMYFUNCTION("""COMPUTED_VALUE"""),"ERP: Order parts
42 pcs rotavator blades
For outsourcing, bolt and nut nung rotavator blade, bibili din sila")</f>
        <v>ERP: Order parts
42 pcs rotavator blades
For outsourcing, bolt and nut nung rotavator blade, bibili din sila</v>
      </c>
      <c r="L1717" s="72" t="str">
        <f>IFERROR(__xludf.DUMMYFUNCTION("""COMPUTED_VALUE"""),"ACS: DELIVERED PARTS ORDER")</f>
        <v>ACS: DELIVERED PARTS ORDER</v>
      </c>
      <c r="M1717" s="2" t="str">
        <f>IFERROR(__xludf.DUMMYFUNCTION("""COMPUTED_VALUE"""),"42 - ROTAVATOR BLADES")</f>
        <v>42 - ROTAVATOR BLADES</v>
      </c>
      <c r="N1717" s="2" t="str">
        <f>IFERROR(__xludf.DUMMYFUNCTION("""COMPUTED_VALUE"""),"PARTS:
42 - ROTAVATOR BALDES
84 - BOLT NUT")</f>
        <v>PARTS:
42 - ROTAVATOR BALDES
84 - BOLT NUT</v>
      </c>
      <c r="O1717" s="2" t="str">
        <f>IFERROR(__xludf.DUMMYFUNCTION("""COMPUTED_VALUE"""),"N/A")</f>
        <v>N/A</v>
      </c>
      <c r="P1717" s="2"/>
      <c r="Q1717" s="2" t="str">
        <f>IFERROR(__xludf.DUMMYFUNCTION("""COMPUTED_VALUE"""),"FOR PRINT")</f>
        <v>FOR PRINT</v>
      </c>
      <c r="R1717" s="74">
        <f>IFERROR(__xludf.DUMMYFUNCTION("""COMPUTED_VALUE"""),46160.0)</f>
        <v>46160</v>
      </c>
      <c r="S1717" s="2" t="str">
        <f>IFERROR(__xludf.DUMMYFUNCTION("""COMPUTED_VALUE"""),"JHP/ACS")</f>
        <v>JHP/ACS</v>
      </c>
      <c r="T1717" s="73">
        <f>IFERROR(__xludf.DUMMYFUNCTION("""COMPUTED_VALUE"""),30660.0)</f>
        <v>30660</v>
      </c>
      <c r="U1717" s="73" t="str">
        <f>IFERROR(__xludf.DUMMYFUNCTION("""COMPUTED_VALUE""")," FOR REMIT ")</f>
        <v>FOR REMIT</v>
      </c>
      <c r="V1717" s="2">
        <f>IFERROR(__xludf.DUMMYFUNCTION("""COMPUTED_VALUE"""),1715.0)</f>
        <v>1715</v>
      </c>
      <c r="W1717" s="2">
        <f>IFERROR(__xludf.DUMMYFUNCTION("""COMPUTED_VALUE"""),1968.0)</f>
        <v>1968</v>
      </c>
      <c r="X1717" s="2"/>
      <c r="Y1717" s="2"/>
      <c r="Z1717" s="2"/>
      <c r="AA1717" s="2"/>
      <c r="AB1717" s="2"/>
      <c r="AC1717" s="2"/>
      <c r="AD1717" s="2"/>
      <c r="AE1717" s="2"/>
      <c r="AF1717" s="2"/>
      <c r="AG1717" s="2"/>
      <c r="AH1717" s="2"/>
      <c r="AI1717" s="2"/>
      <c r="AJ1717" s="2" t="str">
        <f>IFERROR(__xludf.DUMMYFUNCTION("""COMPUTED_VALUE"""),"San Nicolas")</f>
        <v>San Nicolas</v>
      </c>
      <c r="AK1717" s="2" t="str">
        <f>IFERROR(__xludf.DUMMYFUNCTION("""COMPUTED_VALUE"""),"Castillejos")</f>
        <v>Castillejos</v>
      </c>
      <c r="AL1717" s="2" t="str">
        <f>IFERROR(__xludf.DUMMYFUNCTION("""COMPUTED_VALUE"""),"Zambales")</f>
        <v>Zambales</v>
      </c>
      <c r="AM1717" s="2">
        <f>IFERROR(__xludf.DUMMYFUNCTION("""COMPUTED_VALUE"""),3.0)</f>
        <v>3</v>
      </c>
      <c r="AN1717" s="2" t="str">
        <f>IFERROR(__xludf.DUMMYFUNCTION("""COMPUTED_VALUE"""),"RCEF 23-09-21 Rebidding")</f>
        <v>RCEF 23-09-21 Rebidding</v>
      </c>
      <c r="AO1717" s="2">
        <f>IFERROR(__xludf.DUMMYFUNCTION("""COMPUTED_VALUE"""),3.0)</f>
        <v>3</v>
      </c>
      <c r="AP1717" s="2"/>
      <c r="AQ1717" s="2"/>
      <c r="AR1717" s="2"/>
      <c r="AS1717" s="2"/>
      <c r="AT1717" s="2"/>
      <c r="AU1717" s="2"/>
      <c r="AV1717" s="2"/>
      <c r="AW1717" s="2"/>
      <c r="AX1717" s="2"/>
      <c r="AY1717" s="2"/>
      <c r="AZ1717" s="2"/>
      <c r="BA1717" s="2"/>
      <c r="BB1717" s="2"/>
    </row>
    <row r="1718">
      <c r="A1718" s="2">
        <f>IFERROR(__xludf.DUMMYFUNCTION("""COMPUTED_VALUE"""),1714.0)</f>
        <v>1714</v>
      </c>
      <c r="B1718" s="2" t="str">
        <f>IFERROR(__xludf.DUMMYFUNCTION("""COMPUTED_VALUE"""),"COMPLETED")</f>
        <v>COMPLETED</v>
      </c>
      <c r="C1718" s="78">
        <f>IFERROR(__xludf.DUMMYFUNCTION("""COMPUTED_VALUE"""),46158.0)</f>
        <v>46158</v>
      </c>
      <c r="D1718" s="71" t="str">
        <f>IFERROR(__xludf.DUMMYFUNCTION("""COMPUTED_VALUE"""),"Zambales Agri-Farmers Entrepreneurship Association (ZAFEA) Inc.")</f>
        <v>Zambales Agri-Farmers Entrepreneurship Association (ZAFEA) Inc.</v>
      </c>
      <c r="E1718" s="71" t="str">
        <f>IFERROR(__xludf.DUMMYFUNCTION("""COMPUTED_VALUE"""),"San Isidro (Pob.), San Marcelino, ZAMBALES")</f>
        <v>San Isidro (Pob.), San Marcelino, ZAMBALES</v>
      </c>
      <c r="F1718" s="2" t="str">
        <f>IFERROR(__xludf.DUMMYFUNCTION("""COMPUTED_VALUE"""),"Danilo Labrador")</f>
        <v>Danilo Labrador</v>
      </c>
      <c r="G1718" s="2">
        <f>IFERROR(__xludf.DUMMYFUNCTION("""COMPUTED_VALUE"""),9.123080355E9)</f>
        <v>9123080355</v>
      </c>
      <c r="H1718" s="2"/>
      <c r="I1718" s="72" t="str">
        <f>IFERROR(__xludf.DUMMYFUNCTION("""COMPUTED_VALUE"""),"PMS")</f>
        <v>PMS</v>
      </c>
      <c r="J1718" s="72"/>
      <c r="K1718" s="72" t="str">
        <f>IFERROR(__xludf.DUMMYFUNCTION("""COMPUTED_VALUE"""),"ERP: FOR 1ST PMS FREE")</f>
        <v>ERP: FOR 1ST PMS FREE</v>
      </c>
      <c r="L1718" s="72" t="str">
        <f>IFERROR(__xludf.DUMMYFUNCTION("""COMPUTED_VALUE"""),"ACS: DONE PMS -  HINDI NILA ALAM NA NA 1ST PMS NA YUNG UNIT -  NEED NILA MASINGIL ANG NAGAMIT NA FILTER AT LANGIS")</f>
        <v>ACS: DONE PMS -  HINDI NILA ALAM NA NA 1ST PMS NA YUNG UNIT -  NEED NILA MASINGIL ANG NAGAMIT NA FILTER AT LANGIS</v>
      </c>
      <c r="M1718" s="2"/>
      <c r="N1718" s="2" t="str">
        <f>IFERROR(__xludf.DUMMYFUNCTION("""COMPUTED_VALUE"""),"PARTS:
OIL FILTER
ENGINE OIL")</f>
        <v>PARTS:
OIL FILTER
ENGINE OIL</v>
      </c>
      <c r="O1718" s="2">
        <f>IFERROR(__xludf.DUMMYFUNCTION("""COMPUTED_VALUE"""),687.0)</f>
        <v>687</v>
      </c>
      <c r="P1718" s="2"/>
      <c r="Q1718" s="2" t="str">
        <f>IFERROR(__xludf.DUMMYFUNCTION("""COMPUTED_VALUE"""),"FOR PRINT")</f>
        <v>FOR PRINT</v>
      </c>
      <c r="R1718" s="74">
        <f>IFERROR(__xludf.DUMMYFUNCTION("""COMPUTED_VALUE"""),46161.0)</f>
        <v>46161</v>
      </c>
      <c r="S1718" s="2" t="str">
        <f>IFERROR(__xludf.DUMMYFUNCTION("""COMPUTED_VALUE"""),"JHP/ACS")</f>
        <v>JHP/ACS</v>
      </c>
      <c r="T1718" s="73">
        <f>IFERROR(__xludf.DUMMYFUNCTION("""COMPUTED_VALUE"""),3133.0)</f>
        <v>3133</v>
      </c>
      <c r="U1718" s="73" t="str">
        <f>IFERROR(__xludf.DUMMYFUNCTION("""COMPUTED_VALUE""")," FOR REMIT ")</f>
        <v>FOR REMIT</v>
      </c>
      <c r="V1718" s="2">
        <f>IFERROR(__xludf.DUMMYFUNCTION("""COMPUTED_VALUE"""),1716.0)</f>
        <v>1716</v>
      </c>
      <c r="W1718" s="2"/>
      <c r="X1718" s="2"/>
      <c r="Y1718" s="2"/>
      <c r="Z1718" s="2"/>
      <c r="AA1718" s="2"/>
      <c r="AB1718" s="2"/>
      <c r="AC1718" s="2"/>
      <c r="AD1718" s="2"/>
      <c r="AE1718" s="2"/>
      <c r="AF1718" s="2"/>
      <c r="AG1718" s="2"/>
      <c r="AH1718" s="2"/>
      <c r="AI1718" s="2"/>
      <c r="AJ1718" s="2" t="str">
        <f>IFERROR(__xludf.DUMMYFUNCTION("""COMPUTED_VALUE"""),"San Isidro (Pob.)")</f>
        <v>San Isidro (Pob.)</v>
      </c>
      <c r="AK1718" s="2" t="str">
        <f>IFERROR(__xludf.DUMMYFUNCTION("""COMPUTED_VALUE"""),"San Marcelino")</f>
        <v>San Marcelino</v>
      </c>
      <c r="AL1718" s="2" t="str">
        <f>IFERROR(__xludf.DUMMYFUNCTION("""COMPUTED_VALUE"""),"Zambales")</f>
        <v>Zambales</v>
      </c>
      <c r="AM1718" s="2">
        <f>IFERROR(__xludf.DUMMYFUNCTION("""COMPUTED_VALUE"""),3.0)</f>
        <v>3</v>
      </c>
      <c r="AN1718" s="2" t="str">
        <f>IFERROR(__xludf.DUMMYFUNCTION("""COMPUTED_VALUE"""),"RCEF 25-03-05")</f>
        <v>RCEF 25-03-05</v>
      </c>
      <c r="AO1718" s="2">
        <f>IFERROR(__xludf.DUMMYFUNCTION("""COMPUTED_VALUE"""),5.0)</f>
        <v>5</v>
      </c>
      <c r="AP1718" s="2" t="str">
        <f>IFERROR(__xludf.DUMMYFUNCTION("""COMPUTED_VALUE"""),"FREE PMS")</f>
        <v>FREE PMS</v>
      </c>
      <c r="AQ1718" s="2"/>
      <c r="AR1718" s="2"/>
      <c r="AS1718" s="2"/>
      <c r="AT1718" s="2"/>
      <c r="AU1718" s="2"/>
      <c r="AV1718" s="2"/>
      <c r="AW1718" s="2"/>
      <c r="AX1718" s="2"/>
      <c r="AY1718" s="2"/>
      <c r="AZ1718" s="2"/>
      <c r="BA1718" s="2"/>
      <c r="BB1718" s="2"/>
    </row>
    <row r="1719">
      <c r="A1719" s="2">
        <f>IFERROR(__xludf.DUMMYFUNCTION("""COMPUTED_VALUE"""),1715.0)</f>
        <v>1715</v>
      </c>
      <c r="B1719" s="2" t="str">
        <f>IFERROR(__xludf.DUMMYFUNCTION("""COMPUTED_VALUE"""),"COMPLETED")</f>
        <v>COMPLETED</v>
      </c>
      <c r="C1719" s="78">
        <f>IFERROR(__xludf.DUMMYFUNCTION("""COMPUTED_VALUE"""),46159.0)</f>
        <v>46159</v>
      </c>
      <c r="D1719" s="71" t="str">
        <f>IFERROR(__xludf.DUMMYFUNCTION("""COMPUTED_VALUE"""),"BULUALTO FARMERS IRRIGATORS' ASSOCIATION INC")</f>
        <v>BULUALTO FARMERS IRRIGATORS' ASSOCIATION INC</v>
      </c>
      <c r="E1719" s="71" t="str">
        <f>IFERROR(__xludf.DUMMYFUNCTION("""COMPUTED_VALUE"""),"Bulualto, San Miguel, BULACAN")</f>
        <v>Bulualto, San Miguel, BULACAN</v>
      </c>
      <c r="F1719" s="2"/>
      <c r="G1719" s="2" t="str">
        <f>IFERROR(__xludf.DUMMYFUNCTION("""COMPUTED_VALUE"""),"905 326 0991")</f>
        <v>905 326 0991</v>
      </c>
      <c r="H1719" s="2"/>
      <c r="I1719" s="72" t="str">
        <f>IFERROR(__xludf.DUMMYFUNCTION("""COMPUTED_VALUE"""),"PMS")</f>
        <v>PMS</v>
      </c>
      <c r="J1719" s="72"/>
      <c r="K1719" s="72" t="str">
        <f>IFERROR(__xludf.DUMMYFUNCTION("""COMPUTED_VALUE"""),"ERP: 
Ayaw umangat ng bucket
For PMS free")</f>
        <v>ERP: 
Ayaw umangat ng bucket
For PMS free</v>
      </c>
      <c r="L1719" s="72" t="str">
        <f>IFERROR(__xludf.DUMMYFUNCTION("""COMPUTED_VALUE"""),"JDP: REPLACED CABLE LOCK AND 1ST PMS DONE")</f>
        <v>JDP: REPLACED CABLE LOCK AND 1ST PMS DONE</v>
      </c>
      <c r="M1719" s="2"/>
      <c r="N1719" s="2" t="str">
        <f>IFERROR(__xludf.DUMMYFUNCTION("""COMPUTED_VALUE"""),"PARTS:
2- CABLE LOCK
OIL FILTER
ENGIN OIL")</f>
        <v>PARTS:
2- CABLE LOCK
OIL FILTER
ENGIN OIL</v>
      </c>
      <c r="O1719" s="2">
        <f>IFERROR(__xludf.DUMMYFUNCTION("""COMPUTED_VALUE"""),1112.0)</f>
        <v>1112</v>
      </c>
      <c r="P1719" s="2"/>
      <c r="Q1719" s="2" t="str">
        <f>IFERROR(__xludf.DUMMYFUNCTION("""COMPUTED_VALUE"""),"FOR PRINT")</f>
        <v>FOR PRINT</v>
      </c>
      <c r="R1719" s="74">
        <f>IFERROR(__xludf.DUMMYFUNCTION("""COMPUTED_VALUE"""),46174.0)</f>
        <v>46174</v>
      </c>
      <c r="S1719" s="2" t="str">
        <f>IFERROR(__xludf.DUMMYFUNCTION("""COMPUTED_VALUE"""),"JDP/JVV")</f>
        <v>JDP/JVV</v>
      </c>
      <c r="T1719" s="73" t="str">
        <f>IFERROR(__xludf.DUMMYFUNCTION("""COMPUTED_VALUE""")," N/A ")</f>
        <v>N/A</v>
      </c>
      <c r="U1719" s="73" t="str">
        <f>IFERROR(__xludf.DUMMYFUNCTION("""COMPUTED_VALUE""")," NO CHARGE ")</f>
        <v>NO CHARGE</v>
      </c>
      <c r="V1719" s="2">
        <f>IFERROR(__xludf.DUMMYFUNCTION("""COMPUTED_VALUE"""),1337.0)</f>
        <v>1337</v>
      </c>
      <c r="W1719" s="2" t="str">
        <f>IFERROR(__xludf.DUMMYFUNCTION("""COMPUTED_VALUE"""),"N/A")</f>
        <v>N/A</v>
      </c>
      <c r="X1719" s="2" t="str">
        <f>IFERROR(__xludf.DUMMYFUNCTION("""COMPUTED_VALUE"""),"N/A")</f>
        <v>N/A</v>
      </c>
      <c r="Y1719" s="2"/>
      <c r="Z1719" s="2"/>
      <c r="AA1719" s="2"/>
      <c r="AB1719" s="2"/>
      <c r="AC1719" s="2"/>
      <c r="AD1719" s="2"/>
      <c r="AE1719" s="2"/>
      <c r="AF1719" s="2"/>
      <c r="AG1719" s="2"/>
      <c r="AH1719" s="2"/>
      <c r="AI1719" s="2"/>
      <c r="AJ1719" s="2" t="str">
        <f>IFERROR(__xludf.DUMMYFUNCTION("""COMPUTED_VALUE"""),"Bulualto")</f>
        <v>Bulualto</v>
      </c>
      <c r="AK1719" s="2" t="str">
        <f>IFERROR(__xludf.DUMMYFUNCTION("""COMPUTED_VALUE"""),"San Miguel")</f>
        <v>San Miguel</v>
      </c>
      <c r="AL1719" s="2" t="str">
        <f>IFERROR(__xludf.DUMMYFUNCTION("""COMPUTED_VALUE"""),"Bulacan")</f>
        <v>Bulacan</v>
      </c>
      <c r="AM1719" s="2">
        <f>IFERROR(__xludf.DUMMYFUNCTION("""COMPUTED_VALUE"""),3.0)</f>
        <v>3</v>
      </c>
      <c r="AN1719" s="2" t="str">
        <f>IFERROR(__xludf.DUMMYFUNCTION("""COMPUTED_VALUE"""),"RCEF 25-03-05")</f>
        <v>RCEF 25-03-05</v>
      </c>
      <c r="AO1719" s="2">
        <f>IFERROR(__xludf.DUMMYFUNCTION("""COMPUTED_VALUE"""),5.0)</f>
        <v>5</v>
      </c>
      <c r="AP1719" s="2" t="str">
        <f>IFERROR(__xludf.DUMMYFUNCTION("""COMPUTED_VALUE"""),"FREE PMS")</f>
        <v>FREE PMS</v>
      </c>
      <c r="AQ1719" s="2"/>
      <c r="AR1719" s="2"/>
      <c r="AS1719" s="2"/>
      <c r="AT1719" s="2"/>
      <c r="AU1719" s="2"/>
      <c r="AV1719" s="2"/>
      <c r="AW1719" s="2"/>
      <c r="AX1719" s="2"/>
      <c r="AY1719" s="2"/>
      <c r="AZ1719" s="2"/>
      <c r="BA1719" s="2"/>
      <c r="BB1719" s="2"/>
    </row>
    <row r="1720">
      <c r="A1720" s="2">
        <f>IFERROR(__xludf.DUMMYFUNCTION("""COMPUTED_VALUE"""),1716.0)</f>
        <v>1716</v>
      </c>
      <c r="B1720" s="2" t="str">
        <f>IFERROR(__xludf.DUMMYFUNCTION("""COMPUTED_VALUE"""),"PENDING")</f>
        <v>PENDING</v>
      </c>
      <c r="C1720" s="78">
        <f>IFERROR(__xludf.DUMMYFUNCTION("""COMPUTED_VALUE"""),46159.0)</f>
        <v>46159</v>
      </c>
      <c r="D1720" s="71" t="str">
        <f>IFERROR(__xludf.DUMMYFUNCTION("""COMPUTED_VALUE"""),"Municipal Local Government Unit of Matalom")</f>
        <v>Municipal Local Government Unit of Matalom</v>
      </c>
      <c r="E1720" s="71" t="str">
        <f>IFERROR(__xludf.DUMMYFUNCTION("""COMPUTED_VALUE"""),"Santo Niño (Pob.), Matalom, LEYTE")</f>
        <v>Santo Niño (Pob.), Matalom, LEYTE</v>
      </c>
      <c r="F1720" s="2" t="str">
        <f>IFERROR(__xludf.DUMMYFUNCTION("""COMPUTED_VALUE"""),"Romulo Labrador ")</f>
        <v>Romulo Labrador </v>
      </c>
      <c r="G1720" s="2">
        <f>IFERROR(__xludf.DUMMYFUNCTION("""COMPUTED_VALUE"""),9.564326187E9)</f>
        <v>9564326187</v>
      </c>
      <c r="H1720" s="2"/>
      <c r="I1720" s="72" t="str">
        <f>IFERROR(__xludf.DUMMYFUNCTION("""COMPUTED_VALUE"""),"REPAIR - DISC PLOW")</f>
        <v>REPAIR - DISC PLOW</v>
      </c>
      <c r="J1720" s="72" t="str">
        <f>IFERROR(__xludf.DUMMYFUNCTION("""COMPUTED_VALUE"""),"Leak")</f>
        <v>Leak</v>
      </c>
      <c r="K1720" s="72" t="str">
        <f>IFERROR(__xludf.DUMMYFUNCTION("""COMPUTED_VALUE"""),"JTT: Problem diSC plow oil seal 45 85 12
And bolt 22mm")</f>
        <v>JTT: Problem diSC plow oil seal 45 85 12
And bolt 22mm</v>
      </c>
      <c r="L1720" s="72"/>
      <c r="M1720" s="2" t="str">
        <f>IFERROR(__xludf.DUMMYFUNCTION("""COMPUTED_VALUE"""),"OIL SEAL 45-84-12
BOLT 22MM")</f>
        <v>OIL SEAL 45-84-12
BOLT 22MM</v>
      </c>
      <c r="N1720" s="2"/>
      <c r="O1720" s="2"/>
      <c r="P1720" s="2"/>
      <c r="Q1720" s="2"/>
      <c r="R1720" s="2"/>
      <c r="S1720" s="2"/>
      <c r="T1720" s="2"/>
      <c r="U1720" s="2"/>
      <c r="V1720" s="2"/>
      <c r="W1720" s="2"/>
      <c r="X1720" s="2"/>
      <c r="Y1720" s="2"/>
      <c r="Z1720" s="2"/>
      <c r="AA1720" s="2"/>
      <c r="AB1720" s="2"/>
      <c r="AC1720" s="2"/>
      <c r="AD1720" s="2"/>
      <c r="AE1720" s="2"/>
      <c r="AF1720" s="2"/>
      <c r="AG1720" s="2"/>
      <c r="AH1720" s="2"/>
      <c r="AI1720" s="2"/>
      <c r="AJ1720" s="2" t="str">
        <f>IFERROR(__xludf.DUMMYFUNCTION("""COMPUTED_VALUE"""),"Santo Niño (Pob.)")</f>
        <v>Santo Niño (Pob.)</v>
      </c>
      <c r="AK1720" s="2" t="str">
        <f>IFERROR(__xludf.DUMMYFUNCTION("""COMPUTED_VALUE"""),"Matalom")</f>
        <v>Matalom</v>
      </c>
      <c r="AL1720" s="2" t="str">
        <f>IFERROR(__xludf.DUMMYFUNCTION("""COMPUTED_VALUE"""),"Leyte")</f>
        <v>Leyte</v>
      </c>
      <c r="AM1720" s="2">
        <f>IFERROR(__xludf.DUMMYFUNCTION("""COMPUTED_VALUE"""),8.0)</f>
        <v>8</v>
      </c>
      <c r="AN1720" s="2" t="str">
        <f>IFERROR(__xludf.DUMMYFUNCTION("""COMPUTED_VALUE"""),"RCEF 25-03-05")</f>
        <v>RCEF 25-03-05</v>
      </c>
      <c r="AO1720" s="2">
        <f>IFERROR(__xludf.DUMMYFUNCTION("""COMPUTED_VALUE"""),7.0)</f>
        <v>7</v>
      </c>
      <c r="AP1720" s="2" t="str">
        <f>IFERROR(__xludf.DUMMYFUNCTION("""COMPUTED_VALUE"""),"FREE PMS")</f>
        <v>FREE PMS</v>
      </c>
      <c r="AQ1720" s="2"/>
      <c r="AR1720" s="2"/>
      <c r="AS1720" s="2"/>
      <c r="AT1720" s="2"/>
      <c r="AU1720" s="2"/>
      <c r="AV1720" s="2"/>
      <c r="AW1720" s="2"/>
      <c r="AX1720" s="2"/>
      <c r="AY1720" s="2"/>
      <c r="AZ1720" s="2"/>
      <c r="BA1720" s="2"/>
      <c r="BB1720" s="2"/>
    </row>
    <row r="1721">
      <c r="A1721" s="2">
        <f>IFERROR(__xludf.DUMMYFUNCTION("""COMPUTED_VALUE"""),1717.0)</f>
        <v>1717</v>
      </c>
      <c r="B1721" s="2" t="str">
        <f>IFERROR(__xludf.DUMMYFUNCTION("""COMPUTED_VALUE"""),"PENDING")</f>
        <v>PENDING</v>
      </c>
      <c r="C1721" s="78">
        <f>IFERROR(__xludf.DUMMYFUNCTION("""COMPUTED_VALUE"""),46160.0)</f>
        <v>46160</v>
      </c>
      <c r="D1721" s="71" t="str">
        <f>IFERROR(__xludf.DUMMYFUNCTION("""COMPUTED_VALUE"""),"PUROK PALAYAN AMIA VILLAGE DINAPA FARMERS ASSOCIATION")</f>
        <v>PUROK PALAYAN AMIA VILLAGE DINAPA FARMERS ASSOCIATION</v>
      </c>
      <c r="E1721" s="71" t="str">
        <f>IFERROR(__xludf.DUMMYFUNCTION("""COMPUTED_VALUE"""),"Dinapa, Castilla, SORSOGON")</f>
        <v>Dinapa, Castilla, SORSOGON</v>
      </c>
      <c r="F1721" s="2" t="str">
        <f>IFERROR(__xludf.DUMMYFUNCTION("""COMPUTED_VALUE"""),"Benjie Lotino")</f>
        <v>Benjie Lotino</v>
      </c>
      <c r="G1721" s="2">
        <f>IFERROR(__xludf.DUMMYFUNCTION("""COMPUTED_VALUE"""),9.927287126E9)</f>
        <v>9927287126</v>
      </c>
      <c r="H1721" s="2"/>
      <c r="I1721" s="72" t="str">
        <f>IFERROR(__xludf.DUMMYFUNCTION("""COMPUTED_VALUE"""),"REPAIR - LOADER")</f>
        <v>REPAIR - LOADER</v>
      </c>
      <c r="J1721" s="72" t="str">
        <f>IFERROR(__xludf.DUMMYFUNCTION("""COMPUTED_VALUE"""),"Cable lock")</f>
        <v>Cable lock</v>
      </c>
      <c r="K1721" s="72" t="str">
        <f>IFERROR(__xludf.DUMMYFUNCTION("""COMPUTED_VALUE"""),"FSJ: Problem: loader cable lock damaged")</f>
        <v>FSJ: Problem: loader cable lock damaged</v>
      </c>
      <c r="L1721" s="72"/>
      <c r="M1721" s="2" t="str">
        <f>IFERROR(__xludf.DUMMYFUNCTION("""COMPUTED_VALUE"""),"CABLE LOCK")</f>
        <v>CABLE LOCK</v>
      </c>
      <c r="N1721" s="2"/>
      <c r="O1721" s="2"/>
      <c r="P1721" s="2"/>
      <c r="Q1721" s="2"/>
      <c r="R1721" s="2"/>
      <c r="S1721" s="2"/>
      <c r="T1721" s="2"/>
      <c r="U1721" s="2"/>
      <c r="V1721" s="2"/>
      <c r="W1721" s="2"/>
      <c r="X1721" s="2"/>
      <c r="Y1721" s="2"/>
      <c r="Z1721" s="2"/>
      <c r="AA1721" s="2"/>
      <c r="AB1721" s="2"/>
      <c r="AC1721" s="2"/>
      <c r="AD1721" s="2"/>
      <c r="AE1721" s="2"/>
      <c r="AF1721" s="2"/>
      <c r="AG1721" s="2"/>
      <c r="AH1721" s="2"/>
      <c r="AI1721" s="2"/>
      <c r="AJ1721" s="2" t="str">
        <f>IFERROR(__xludf.DUMMYFUNCTION("""COMPUTED_VALUE"""),"Dinapa")</f>
        <v>Dinapa</v>
      </c>
      <c r="AK1721" s="2" t="str">
        <f>IFERROR(__xludf.DUMMYFUNCTION("""COMPUTED_VALUE"""),"Castilla")</f>
        <v>Castilla</v>
      </c>
      <c r="AL1721" s="2" t="str">
        <f>IFERROR(__xludf.DUMMYFUNCTION("""COMPUTED_VALUE"""),"Sorsogon")</f>
        <v>Sorsogon</v>
      </c>
      <c r="AM1721" s="2">
        <f>IFERROR(__xludf.DUMMYFUNCTION("""COMPUTED_VALUE"""),5.0)</f>
        <v>5</v>
      </c>
      <c r="AN1721" s="2" t="str">
        <f>IFERROR(__xludf.DUMMYFUNCTION("""COMPUTED_VALUE"""),"RCEF 25-03-05")</f>
        <v>RCEF 25-03-05</v>
      </c>
      <c r="AO1721" s="2">
        <f>IFERROR(__xludf.DUMMYFUNCTION("""COMPUTED_VALUE"""),6.0)</f>
        <v>6</v>
      </c>
      <c r="AP1721" s="2" t="str">
        <f>IFERROR(__xludf.DUMMYFUNCTION("""COMPUTED_VALUE"""),"FREE PMS")</f>
        <v>FREE PMS</v>
      </c>
      <c r="AQ1721" s="2"/>
      <c r="AR1721" s="2"/>
      <c r="AS1721" s="2"/>
      <c r="AT1721" s="2"/>
      <c r="AU1721" s="2"/>
      <c r="AV1721" s="2"/>
      <c r="AW1721" s="2"/>
      <c r="AX1721" s="2"/>
      <c r="AY1721" s="2"/>
      <c r="AZ1721" s="2"/>
      <c r="BA1721" s="2"/>
      <c r="BB1721" s="2"/>
    </row>
    <row r="1722">
      <c r="A1722" s="2">
        <f>IFERROR(__xludf.DUMMYFUNCTION("""COMPUTED_VALUE"""),1718.0)</f>
        <v>1718</v>
      </c>
      <c r="B1722" s="2" t="str">
        <f>IFERROR(__xludf.DUMMYFUNCTION("""COMPUTED_VALUE"""),"PENDING")</f>
        <v>PENDING</v>
      </c>
      <c r="C1722" s="78">
        <f>IFERROR(__xludf.DUMMYFUNCTION("""COMPUTED_VALUE"""),46160.0)</f>
        <v>46160</v>
      </c>
      <c r="D1722" s="71" t="str">
        <f>IFERROR(__xludf.DUMMYFUNCTION("""COMPUTED_VALUE"""),"TAYAK AGRI-FISHERY PRODUCERS ASSOCIATION")</f>
        <v>TAYAK AGRI-FISHERY PRODUCERS ASSOCIATION</v>
      </c>
      <c r="E1722" s="71" t="str">
        <f>IFERROR(__xludf.DUMMYFUNCTION("""COMPUTED_VALUE"""),"Siguiran, Abulug, CAGAYAN")</f>
        <v>Siguiran, Abulug, CAGAYAN</v>
      </c>
      <c r="F1722" s="2" t="str">
        <f>IFERROR(__xludf.DUMMYFUNCTION("""COMPUTED_VALUE"""),"Christofer Bayani")</f>
        <v>Christofer Bayani</v>
      </c>
      <c r="G1722" s="2">
        <f>IFERROR(__xludf.DUMMYFUNCTION("""COMPUTED_VALUE"""),9.273062333E9)</f>
        <v>9273062333</v>
      </c>
      <c r="H1722" s="2"/>
      <c r="I1722" s="72" t="str">
        <f>IFERROR(__xludf.DUMMYFUNCTION("""COMPUTED_VALUE"""),"SPARE PARTS ACQUISITION")</f>
        <v>SPARE PARTS ACQUISITION</v>
      </c>
      <c r="J1722" s="72"/>
      <c r="K1722" s="72" t="str">
        <f>IFERROR(__xludf.DUMMYFUNCTION("""COMPUTED_VALUE"""),"LTC CS: Parts needed,
 1 pc Oil seal sa front drive
1 pc Oil seal sa rear drive
1 pc Hydraulic filter
Willing to pay the client")</f>
        <v>LTC CS: Parts needed,
 1 pc Oil seal sa front drive
1 pc Oil seal sa rear drive
1 pc Hydraulic filter
Willing to pay the client</v>
      </c>
      <c r="L1722" s="72" t="str">
        <f>IFERROR(__xludf.DUMMYFUNCTION("""COMPUTED_VALUE"""),"5/22/26 - MYK: HINDI PA SIGURADONG KUKUHA, SENDAN KO MUNA  NG QUOTATION. WAITING SA  MSG NILA SA FB PAGE. HININGI NILA NUMBER NI CJ.")</f>
        <v>5/22/26 - MYK: HINDI PA SIGURADONG KUKUHA, SENDAN KO MUNA  NG QUOTATION. WAITING SA  MSG NILA SA FB PAGE. HININGI NILA NUMBER NI CJ.</v>
      </c>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c r="AJ1722" s="2" t="str">
        <f>IFERROR(__xludf.DUMMYFUNCTION("""COMPUTED_VALUE"""),"Siguiran")</f>
        <v>Siguiran</v>
      </c>
      <c r="AK1722" s="2" t="str">
        <f>IFERROR(__xludf.DUMMYFUNCTION("""COMPUTED_VALUE"""),"Abulug")</f>
        <v>Abulug</v>
      </c>
      <c r="AL1722" s="2" t="str">
        <f>IFERROR(__xludf.DUMMYFUNCTION("""COMPUTED_VALUE"""),"Cagayan")</f>
        <v>Cagayan</v>
      </c>
      <c r="AM1722" s="2">
        <f>IFERROR(__xludf.DUMMYFUNCTION("""COMPUTED_VALUE"""),2.0)</f>
        <v>2</v>
      </c>
      <c r="AN1722" s="2" t="str">
        <f>IFERROR(__xludf.DUMMYFUNCTION("""COMPUTED_VALUE"""),"RCEF 23-09-21 Rebidding")</f>
        <v>RCEF 23-09-21 Rebidding</v>
      </c>
      <c r="AO1722" s="2">
        <f>IFERROR(__xludf.DUMMYFUNCTION("""COMPUTED_VALUE"""),9.0)</f>
        <v>9</v>
      </c>
      <c r="AP1722" s="2"/>
      <c r="AQ1722" s="2"/>
      <c r="AR1722" s="2"/>
      <c r="AS1722" s="2"/>
      <c r="AT1722" s="2"/>
      <c r="AU1722" s="2"/>
      <c r="AV1722" s="2"/>
      <c r="AW1722" s="2"/>
      <c r="AX1722" s="2"/>
      <c r="AY1722" s="2"/>
      <c r="AZ1722" s="2"/>
      <c r="BA1722" s="2"/>
      <c r="BB1722" s="2"/>
    </row>
    <row r="1723">
      <c r="A1723" s="2">
        <f>IFERROR(__xludf.DUMMYFUNCTION("""COMPUTED_VALUE"""),1719.0)</f>
        <v>1719</v>
      </c>
      <c r="B1723" s="2" t="str">
        <f>IFERROR(__xludf.DUMMYFUNCTION("""COMPUTED_VALUE"""),"PENDING")</f>
        <v>PENDING</v>
      </c>
      <c r="C1723" s="78">
        <f>IFERROR(__xludf.DUMMYFUNCTION("""COMPUTED_VALUE"""),46160.0)</f>
        <v>46160</v>
      </c>
      <c r="D1723" s="71" t="str">
        <f>IFERROR(__xludf.DUMMYFUNCTION("""COMPUTED_VALUE"""),"ASOSASYON SNG MANGUGUMA SA POBLACION")</f>
        <v>ASOSASYON SNG MANGUGUMA SA POBLACION</v>
      </c>
      <c r="E1723" s="71" t="str">
        <f>IFERROR(__xludf.DUMMYFUNCTION("""COMPUTED_VALUE"""),"Poblacion, Ajuy, ILOILO")</f>
        <v>Poblacion, Ajuy, ILOILO</v>
      </c>
      <c r="F1723" s="2" t="str">
        <f>IFERROR(__xludf.DUMMYFUNCTION("""COMPUTED_VALUE"""),"Celdy L. Azuelo")</f>
        <v>Celdy L. Azuelo</v>
      </c>
      <c r="G1723" s="2">
        <f>IFERROR(__xludf.DUMMYFUNCTION("""COMPUTED_VALUE"""),9.690440207E9)</f>
        <v>9690440207</v>
      </c>
      <c r="H1723" s="2">
        <f>IFERROR(__xludf.DUMMYFUNCTION("""COMPUTED_VALUE"""),54.0)</f>
        <v>54</v>
      </c>
      <c r="I1723" s="72" t="str">
        <f>IFERROR(__xludf.DUMMYFUNCTION("""COMPUTED_VALUE"""),"PMS")</f>
        <v>PMS</v>
      </c>
      <c r="J1723" s="72"/>
      <c r="K1723" s="72" t="str">
        <f>IFERROR(__xludf.DUMMYFUNCTION("""COMPUTED_VALUE"""),"EGT: Problems/ concern: First PMS")</f>
        <v>EGT: Problems/ concern: First PMS</v>
      </c>
      <c r="L1723" s="72"/>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c r="AJ1723" s="2" t="str">
        <f>IFERROR(__xludf.DUMMYFUNCTION("""COMPUTED_VALUE"""),"Poblacion")</f>
        <v>Poblacion</v>
      </c>
      <c r="AK1723" s="2" t="str">
        <f>IFERROR(__xludf.DUMMYFUNCTION("""COMPUTED_VALUE"""),"Ajuy")</f>
        <v>Ajuy</v>
      </c>
      <c r="AL1723" s="2" t="str">
        <f>IFERROR(__xludf.DUMMYFUNCTION("""COMPUTED_VALUE"""),"Iloilo")</f>
        <v>Iloilo</v>
      </c>
      <c r="AM1723" s="2">
        <f>IFERROR(__xludf.DUMMYFUNCTION("""COMPUTED_VALUE"""),6.0)</f>
        <v>6</v>
      </c>
      <c r="AN1723" s="2" t="str">
        <f>IFERROR(__xludf.DUMMYFUNCTION("""COMPUTED_VALUE"""),"RCEF 25-03-05")</f>
        <v>RCEF 25-03-05</v>
      </c>
      <c r="AO1723" s="2">
        <f>IFERROR(__xludf.DUMMYFUNCTION("""COMPUTED_VALUE"""),7.0)</f>
        <v>7</v>
      </c>
      <c r="AP1723" s="2" t="str">
        <f>IFERROR(__xludf.DUMMYFUNCTION("""COMPUTED_VALUE"""),"FREE PMS")</f>
        <v>FREE PMS</v>
      </c>
      <c r="AQ1723" s="2"/>
      <c r="AR1723" s="2"/>
      <c r="AS1723" s="2"/>
      <c r="AT1723" s="2"/>
      <c r="AU1723" s="2"/>
      <c r="AV1723" s="2"/>
      <c r="AW1723" s="2"/>
      <c r="AX1723" s="2"/>
      <c r="AY1723" s="2"/>
      <c r="AZ1723" s="2"/>
      <c r="BA1723" s="2"/>
      <c r="BB1723" s="2"/>
    </row>
    <row r="1724">
      <c r="A1724" s="2">
        <f>IFERROR(__xludf.DUMMYFUNCTION("""COMPUTED_VALUE"""),1720.0)</f>
        <v>1720</v>
      </c>
      <c r="B1724" s="2" t="str">
        <f>IFERROR(__xludf.DUMMYFUNCTION("""COMPUTED_VALUE"""),"PENDING")</f>
        <v>PENDING</v>
      </c>
      <c r="C1724" s="78">
        <f>IFERROR(__xludf.DUMMYFUNCTION("""COMPUTED_VALUE"""),46161.0)</f>
        <v>46161</v>
      </c>
      <c r="D1724" s="71" t="str">
        <f>IFERROR(__xludf.DUMMYFUNCTION("""COMPUTED_VALUE"""),"SAMAHAN NG MAGSASAKA NG JC PAYUMO JR. DINALUPIHAN BATAAN")</f>
        <v>SAMAHAN NG MAGSASAKA NG JC PAYUMO JR. DINALUPIHAN BATAAN</v>
      </c>
      <c r="E1724" s="71" t="str">
        <f>IFERROR(__xludf.DUMMYFUNCTION("""COMPUTED_VALUE"""),"""Jose C. Payumo Jr."", Dinalupihan, BATAAN")</f>
        <v>"Jose C. Payumo Jr.", Dinalupihan, BATAAN</v>
      </c>
      <c r="F1724" s="2" t="str">
        <f>IFERROR(__xludf.DUMMYFUNCTION("""COMPUTED_VALUE"""),"Gema I. Asken")</f>
        <v>Gema I. Asken</v>
      </c>
      <c r="G1724" s="2">
        <f>IFERROR(__xludf.DUMMYFUNCTION("""COMPUTED_VALUE"""),6.39178005413E11)</f>
        <v>639178005413</v>
      </c>
      <c r="H1724" s="2"/>
      <c r="I1724" s="72" t="str">
        <f>IFERROR(__xludf.DUMMYFUNCTION("""COMPUTED_VALUE"""),"SPARE PARTS ACQUISITION")</f>
        <v>SPARE PARTS ACQUISITION</v>
      </c>
      <c r="J1724" s="72" t="str">
        <f>IFERROR(__xludf.DUMMYFUNCTION("""COMPUTED_VALUE"""),"BLADE")</f>
        <v>BLADE</v>
      </c>
      <c r="K1724" s="72" t="str">
        <f>IFERROR(__xludf.DUMMYFUNCTION("""COMPUTED_VALUE"""),"MYK: PARTS REQUEST:
42 -  ROTAVATOR BLADES")</f>
        <v>MYK: PARTS REQUEST:
42 -  ROTAVATOR BLADES</v>
      </c>
      <c r="L1724" s="72" t="str">
        <f>IFERROR(__xludf.DUMMYFUNCTION("""COMPUTED_VALUE"""),"MYK: GUSTO NILANG 50% MUNA ANG BAYARAN AFTER 2 MONTHS YUNG ONTHER 50%")</f>
        <v>MYK: GUSTO NILANG 50% MUNA ANG BAYARAN AFTER 2 MONTHS YUNG ONTHER 50%</v>
      </c>
      <c r="M1724" s="2" t="str">
        <f>IFERROR(__xludf.DUMMYFUNCTION("""COMPUTED_VALUE"""),"42 -  ROTAVATOR BLADES")</f>
        <v>42 -  ROTAVATOR BLADES</v>
      </c>
      <c r="N1724" s="2"/>
      <c r="O1724" s="2"/>
      <c r="P1724" s="2"/>
      <c r="Q1724" s="2"/>
      <c r="R1724" s="2"/>
      <c r="S1724" s="2"/>
      <c r="T1724" s="2"/>
      <c r="U1724" s="2"/>
      <c r="V1724" s="2"/>
      <c r="W1724" s="2"/>
      <c r="X1724" s="2"/>
      <c r="Y1724" s="2"/>
      <c r="Z1724" s="2"/>
      <c r="AA1724" s="2"/>
      <c r="AB1724" s="2"/>
      <c r="AC1724" s="2"/>
      <c r="AD1724" s="2"/>
      <c r="AE1724" s="2"/>
      <c r="AF1724" s="2"/>
      <c r="AG1724" s="2"/>
      <c r="AH1724" s="2"/>
      <c r="AI1724" s="2"/>
      <c r="AJ1724" s="2" t="str">
        <f>IFERROR(__xludf.DUMMYFUNCTION("""COMPUTED_VALUE"""),"""Jose C. Payumo Jr.""")</f>
        <v>"Jose C. Payumo Jr."</v>
      </c>
      <c r="AK1724" s="2" t="str">
        <f>IFERROR(__xludf.DUMMYFUNCTION("""COMPUTED_VALUE"""),"Dinalupihan")</f>
        <v>Dinalupihan</v>
      </c>
      <c r="AL1724" s="2" t="str">
        <f>IFERROR(__xludf.DUMMYFUNCTION("""COMPUTED_VALUE"""),"Bataan")</f>
        <v>Bataan</v>
      </c>
      <c r="AM1724" s="2">
        <f>IFERROR(__xludf.DUMMYFUNCTION("""COMPUTED_VALUE"""),3.0)</f>
        <v>3</v>
      </c>
      <c r="AN1724" s="2" t="str">
        <f>IFERROR(__xludf.DUMMYFUNCTION("""COMPUTED_VALUE"""),"RCEF 23-09-21 Rebidding")</f>
        <v>RCEF 23-09-21 Rebidding</v>
      </c>
      <c r="AO1724" s="2">
        <f>IFERROR(__xludf.DUMMYFUNCTION("""COMPUTED_VALUE"""),9.0)</f>
        <v>9</v>
      </c>
      <c r="AP1724" s="2"/>
      <c r="AQ1724" s="2"/>
      <c r="AR1724" s="2"/>
      <c r="AS1724" s="2"/>
      <c r="AT1724" s="2"/>
      <c r="AU1724" s="2"/>
      <c r="AV1724" s="2"/>
      <c r="AW1724" s="2"/>
      <c r="AX1724" s="2"/>
      <c r="AY1724" s="2"/>
      <c r="AZ1724" s="2"/>
      <c r="BA1724" s="2"/>
      <c r="BB1724" s="2"/>
    </row>
    <row r="1725">
      <c r="A1725" s="2">
        <f>IFERROR(__xludf.DUMMYFUNCTION("""COMPUTED_VALUE"""),1721.0)</f>
        <v>1721</v>
      </c>
      <c r="B1725" s="2" t="str">
        <f>IFERROR(__xludf.DUMMYFUNCTION("""COMPUTED_VALUE"""),"COMPLETED")</f>
        <v>COMPLETED</v>
      </c>
      <c r="C1725" s="78">
        <f>IFERROR(__xludf.DUMMYFUNCTION("""COMPUTED_VALUE"""),46161.0)</f>
        <v>46161</v>
      </c>
      <c r="D1725" s="71" t="str">
        <f>IFERROR(__xludf.DUMMYFUNCTION("""COMPUTED_VALUE"""),"Kasanag Pinaypayan Bolo Farmers Association")</f>
        <v>Kasanag Pinaypayan Bolo Farmers Association</v>
      </c>
      <c r="E1725" s="71" t="str">
        <f>IFERROR(__xludf.DUMMYFUNCTION("""COMPUTED_VALUE"""),"Bolo, Roxas City, CAPIZ")</f>
        <v>Bolo, Roxas City, CAPIZ</v>
      </c>
      <c r="F1725" s="2" t="str">
        <f>IFERROR(__xludf.DUMMYFUNCTION("""COMPUTED_VALUE"""),"MICHAELLA T. WAGAS ")</f>
        <v>MICHAELLA T. WAGAS </v>
      </c>
      <c r="G1725" s="2">
        <f>IFERROR(__xludf.DUMMYFUNCTION("""COMPUTED_VALUE"""),9.517083863E9)</f>
        <v>9517083863</v>
      </c>
      <c r="H1725" s="2"/>
      <c r="I1725" s="72" t="str">
        <f>IFERROR(__xludf.DUMMYFUNCTION("""COMPUTED_VALUE"""),"SPARE PARTS ACQUISITION")</f>
        <v>SPARE PARTS ACQUISITION</v>
      </c>
      <c r="J1725" s="72"/>
      <c r="K1725" s="72" t="str">
        <f>IFERROR(__xludf.DUMMYFUNCTION("""COMPUTED_VALUE"""),"FSJ: For order:
Fuel pump
Fuel filter")</f>
        <v>FSJ: For order:
Fuel pump
Fuel filter</v>
      </c>
      <c r="L1725" s="72" t="str">
        <f>IFERROR(__xludf.DUMMYFUNCTION("""COMPUTED_VALUE"""),"5/20/26 - FPJ: ASSITED PAID TO LTC ACCOUNT -  FOR LBC C/O CTF -  SHIPPED")</f>
        <v>5/20/26 - FPJ: ASSITED PAID TO LTC ACCOUNT -  FOR LBC C/O CTF -  SHIPPED</v>
      </c>
      <c r="M1725" s="2" t="str">
        <f>IFERROR(__xludf.DUMMYFUNCTION("""COMPUTED_VALUE"""),"FUEL PUMP
FUEL FILTER")</f>
        <v>FUEL PUMP
FUEL FILTER</v>
      </c>
      <c r="N1725" s="2"/>
      <c r="O1725" s="2" t="str">
        <f>IFERROR(__xludf.DUMMYFUNCTION("""COMPUTED_VALUE"""),"N/A")</f>
        <v>N/A</v>
      </c>
      <c r="P1725" s="2"/>
      <c r="Q1725" s="2"/>
      <c r="R1725" s="74">
        <f>IFERROR(__xludf.DUMMYFUNCTION("""COMPUTED_VALUE"""),46163.0)</f>
        <v>46163</v>
      </c>
      <c r="S1725" s="2" t="str">
        <f>IFERROR(__xludf.DUMMYFUNCTION("""COMPUTED_VALUE"""),"MYKEE/CTF")</f>
        <v>MYKEE/CTF</v>
      </c>
      <c r="T1725" s="73">
        <f>IFERROR(__xludf.DUMMYFUNCTION("""COMPUTED_VALUE"""),13640.0)</f>
        <v>13640</v>
      </c>
      <c r="U1725" s="73" t="str">
        <f>IFERROR(__xludf.DUMMYFUNCTION("""COMPUTED_VALUE""")," DIRECT PAYMENT ")</f>
        <v>DIRECT PAYMENT</v>
      </c>
      <c r="V1725" s="2">
        <f>IFERROR(__xludf.DUMMYFUNCTION("""COMPUTED_VALUE"""),2059.0)</f>
        <v>2059</v>
      </c>
      <c r="W1725" s="2">
        <f>IFERROR(__xludf.DUMMYFUNCTION("""COMPUTED_VALUE"""),2072.0)</f>
        <v>2072</v>
      </c>
      <c r="X1725" s="2">
        <f>IFERROR(__xludf.DUMMYFUNCTION("""COMPUTED_VALUE"""),1793.0)</f>
        <v>1793</v>
      </c>
      <c r="Y1725" s="2"/>
      <c r="Z1725" s="2"/>
      <c r="AA1725" s="2"/>
      <c r="AB1725" s="2"/>
      <c r="AC1725" s="2"/>
      <c r="AD1725" s="2"/>
      <c r="AE1725" s="2"/>
      <c r="AF1725" s="2"/>
      <c r="AG1725" s="2"/>
      <c r="AH1725" s="2"/>
      <c r="AI1725" s="2"/>
      <c r="AJ1725" s="2" t="str">
        <f>IFERROR(__xludf.DUMMYFUNCTION("""COMPUTED_VALUE"""),"Bolo")</f>
        <v>Bolo</v>
      </c>
      <c r="AK1725" s="2" t="str">
        <f>IFERROR(__xludf.DUMMYFUNCTION("""COMPUTED_VALUE"""),"Roxas City")</f>
        <v>Roxas City</v>
      </c>
      <c r="AL1725" s="2" t="str">
        <f>IFERROR(__xludf.DUMMYFUNCTION("""COMPUTED_VALUE"""),"Capiz")</f>
        <v>Capiz</v>
      </c>
      <c r="AM1725" s="2">
        <f>IFERROR(__xludf.DUMMYFUNCTION("""COMPUTED_VALUE"""),6.0)</f>
        <v>6</v>
      </c>
      <c r="AN1725" s="2" t="str">
        <f>IFERROR(__xludf.DUMMYFUNCTION("""COMPUTED_VALUE"""),"RCEF 23-09-21 Rebidding")</f>
        <v>RCEF 23-09-21 Rebidding</v>
      </c>
      <c r="AO1725" s="2">
        <f>IFERROR(__xludf.DUMMYFUNCTION("""COMPUTED_VALUE"""),4.0)</f>
        <v>4</v>
      </c>
      <c r="AP1725" s="2"/>
      <c r="AQ1725" s="2"/>
      <c r="AR1725" s="2"/>
      <c r="AS1725" s="2"/>
      <c r="AT1725" s="2"/>
      <c r="AU1725" s="2"/>
      <c r="AV1725" s="2"/>
      <c r="AW1725" s="2"/>
      <c r="AX1725" s="2"/>
      <c r="AY1725" s="2"/>
      <c r="AZ1725" s="2"/>
      <c r="BA1725" s="2"/>
      <c r="BB1725" s="2"/>
    </row>
    <row r="1726">
      <c r="A1726" s="2">
        <f>IFERROR(__xludf.DUMMYFUNCTION("""COMPUTED_VALUE"""),1722.0)</f>
        <v>1722</v>
      </c>
      <c r="B1726" s="2" t="str">
        <f>IFERROR(__xludf.DUMMYFUNCTION("""COMPUTED_VALUE"""),"PENDING")</f>
        <v>PENDING</v>
      </c>
      <c r="C1726" s="78">
        <f>IFERROR(__xludf.DUMMYFUNCTION("""COMPUTED_VALUE"""),46161.0)</f>
        <v>46161</v>
      </c>
      <c r="D1726" s="71" t="str">
        <f>IFERROR(__xludf.DUMMYFUNCTION("""COMPUTED_VALUE"""),"Caninguan Farmers Association")</f>
        <v>Caninguan Farmers Association</v>
      </c>
      <c r="E1726" s="71" t="str">
        <f>IFERROR(__xludf.DUMMYFUNCTION("""COMPUTED_VALUE"""),"Caninguan, Lambunao, ILOILO")</f>
        <v>Caninguan, Lambunao, ILOILO</v>
      </c>
      <c r="F1726" s="2" t="str">
        <f>IFERROR(__xludf.DUMMYFUNCTION("""COMPUTED_VALUE"""),"Regie Navarra")</f>
        <v>Regie Navarra</v>
      </c>
      <c r="G1726" s="2">
        <f>IFERROR(__xludf.DUMMYFUNCTION("""COMPUTED_VALUE"""),9.081769678E9)</f>
        <v>9081769678</v>
      </c>
      <c r="H1726" s="2"/>
      <c r="I1726" s="72" t="str">
        <f>IFERROR(__xludf.DUMMYFUNCTION("""COMPUTED_VALUE"""),"SPARE PARTS ACQUISITION")</f>
        <v>SPARE PARTS ACQUISITION</v>
      </c>
      <c r="J1726" s="72"/>
      <c r="K1726" s="72" t="str">
        <f>IFERROR(__xludf.DUMMYFUNCTION("""COMPUTED_VALUE"""),"LTC CS: 1st PMS done nagawa na nila ang change oil ng engine,
But wala pang oil filter
4.5 liters na engine oil babalik sa FCA
1 oil filter kailangan dalhin
2pcs cable lock para sa backet
Hindi pa na visit
Waiting for june visit 2026")</f>
        <v>LTC CS: 1st PMS done nagawa na nila ang change oil ng engine,
But wala pang oil filter
4.5 liters na engine oil babalik sa FCA
1 oil filter kailangan dalhin
2pcs cable lock para sa backet
Hindi pa na visit
Waiting for june visit 2026</v>
      </c>
      <c r="L1726" s="72"/>
      <c r="M1726" s="2" t="str">
        <f>IFERROR(__xludf.DUMMYFUNCTION("""COMPUTED_VALUE"""),"2 - CABLE LOCK
1 - OIL FILTER
5L -  ENGINE OIL")</f>
        <v>2 - CABLE LOCK
1 - OIL FILTER
5L -  ENGINE OIL</v>
      </c>
      <c r="N1726" s="2"/>
      <c r="O1726" s="2"/>
      <c r="P1726" s="2"/>
      <c r="Q1726" s="2"/>
      <c r="R1726" s="2"/>
      <c r="S1726" s="2"/>
      <c r="T1726" s="2"/>
      <c r="U1726" s="2"/>
      <c r="V1726" s="2"/>
      <c r="W1726" s="2"/>
      <c r="X1726" s="2"/>
      <c r="Y1726" s="2"/>
      <c r="Z1726" s="2"/>
      <c r="AA1726" s="2"/>
      <c r="AB1726" s="2"/>
      <c r="AC1726" s="2"/>
      <c r="AD1726" s="2"/>
      <c r="AE1726" s="2"/>
      <c r="AF1726" s="2"/>
      <c r="AG1726" s="2"/>
      <c r="AH1726" s="2"/>
      <c r="AI1726" s="2"/>
      <c r="AJ1726" s="2" t="str">
        <f>IFERROR(__xludf.DUMMYFUNCTION("""COMPUTED_VALUE"""),"Caninguan")</f>
        <v>Caninguan</v>
      </c>
      <c r="AK1726" s="2" t="str">
        <f>IFERROR(__xludf.DUMMYFUNCTION("""COMPUTED_VALUE"""),"Lambunao")</f>
        <v>Lambunao</v>
      </c>
      <c r="AL1726" s="2" t="str">
        <f>IFERROR(__xludf.DUMMYFUNCTION("""COMPUTED_VALUE"""),"Iloilo")</f>
        <v>Iloilo</v>
      </c>
      <c r="AM1726" s="2">
        <f>IFERROR(__xludf.DUMMYFUNCTION("""COMPUTED_VALUE"""),6.0)</f>
        <v>6</v>
      </c>
      <c r="AN1726" s="2" t="str">
        <f>IFERROR(__xludf.DUMMYFUNCTION("""COMPUTED_VALUE"""),"RCEF 25-03-05")</f>
        <v>RCEF 25-03-05</v>
      </c>
      <c r="AO1726" s="2">
        <f>IFERROR(__xludf.DUMMYFUNCTION("""COMPUTED_VALUE"""),7.0)</f>
        <v>7</v>
      </c>
      <c r="AP1726" s="2" t="str">
        <f>IFERROR(__xludf.DUMMYFUNCTION("""COMPUTED_VALUE"""),"FREE PMS")</f>
        <v>FREE PMS</v>
      </c>
      <c r="AQ1726" s="2"/>
      <c r="AR1726" s="2"/>
      <c r="AS1726" s="2"/>
      <c r="AT1726" s="2"/>
      <c r="AU1726" s="2"/>
      <c r="AV1726" s="2"/>
      <c r="AW1726" s="2"/>
      <c r="AX1726" s="2"/>
      <c r="AY1726" s="2"/>
      <c r="AZ1726" s="2"/>
      <c r="BA1726" s="2"/>
      <c r="BB1726" s="2"/>
    </row>
    <row r="1727">
      <c r="A1727" s="2">
        <f>IFERROR(__xludf.DUMMYFUNCTION("""COMPUTED_VALUE"""),1723.0)</f>
        <v>1723</v>
      </c>
      <c r="B1727" s="2" t="str">
        <f>IFERROR(__xludf.DUMMYFUNCTION("""COMPUTED_VALUE"""),"COMPLETED")</f>
        <v>COMPLETED</v>
      </c>
      <c r="C1727" s="78">
        <f>IFERROR(__xludf.DUMMYFUNCTION("""COMPUTED_VALUE"""),46161.0)</f>
        <v>46161</v>
      </c>
      <c r="D1727" s="71" t="str">
        <f>IFERROR(__xludf.DUMMYFUNCTION("""COMPUTED_VALUE"""),"SITANGLAB IRRIGATORS ASSOCIATION, INC")</f>
        <v>SITANGLAB IRRIGATORS ASSOCIATION, INC</v>
      </c>
      <c r="E1727" s="71" t="str">
        <f>IFERROR(__xludf.DUMMYFUNCTION("""COMPUTED_VALUE"""),"Tanggal Sawang, Umingan, PANGASINAN")</f>
        <v>Tanggal Sawang, Umingan, PANGASINAN</v>
      </c>
      <c r="F1727" s="2" t="str">
        <f>IFERROR(__xludf.DUMMYFUNCTION("""COMPUTED_VALUE"""),"MARICEL ESCOBAR")</f>
        <v>MARICEL ESCOBAR</v>
      </c>
      <c r="G1727" s="2"/>
      <c r="H1727" s="2"/>
      <c r="I1727" s="72" t="str">
        <f>IFERROR(__xludf.DUMMYFUNCTION("""COMPUTED_VALUE"""),"SPARE PARTS ACQUISITION")</f>
        <v>SPARE PARTS ACQUISITION</v>
      </c>
      <c r="J1727" s="72"/>
      <c r="K1727" s="72" t="str">
        <f>IFERROR(__xludf.DUMMYFUNCTION("""COMPUTED_VALUE"""),"MYK: PARTS REQUEST:
OIL SEAL TA000041359A - 3,380
")</f>
        <v>MYK: PARTS REQUEST:
OIL SEAL TA000041359A - 3,380
</v>
      </c>
      <c r="L1727" s="72" t="str">
        <f>IFERROR(__xludf.DUMMYFUNCTION("""COMPUTED_VALUE"""),"QUOTATION SENT -  PAID -  FOR LBC C/O CTF -  SHIPPED")</f>
        <v>QUOTATION SENT -  PAID -  FOR LBC C/O CTF -  SHIPPED</v>
      </c>
      <c r="M1727" s="2" t="str">
        <f>IFERROR(__xludf.DUMMYFUNCTION("""COMPUTED_VALUE"""),"OIL SEAL TA000041359A")</f>
        <v>OIL SEAL TA000041359A</v>
      </c>
      <c r="N1727" s="2" t="str">
        <f>IFERROR(__xludf.DUMMYFUNCTION("""COMPUTED_VALUE"""),"PARTS:
OIL SEAL TA000041359A")</f>
        <v>PARTS:
OIL SEAL TA000041359A</v>
      </c>
      <c r="O1727" s="2" t="str">
        <f>IFERROR(__xludf.DUMMYFUNCTION("""COMPUTED_VALUE"""),"N/A")</f>
        <v>N/A</v>
      </c>
      <c r="P1727" s="2"/>
      <c r="Q1727" s="2"/>
      <c r="R1727" s="74">
        <f>IFERROR(__xludf.DUMMYFUNCTION("""COMPUTED_VALUE"""),46163.0)</f>
        <v>46163</v>
      </c>
      <c r="S1727" s="2" t="str">
        <f>IFERROR(__xludf.DUMMYFUNCTION("""COMPUTED_VALUE"""),"MYKEE/CTF")</f>
        <v>MYKEE/CTF</v>
      </c>
      <c r="T1727" s="73">
        <f>IFERROR(__xludf.DUMMYFUNCTION("""COMPUTED_VALUE"""),3380.0)</f>
        <v>3380</v>
      </c>
      <c r="U1727" s="73" t="str">
        <f>IFERROR(__xludf.DUMMYFUNCTION("""COMPUTED_VALUE""")," DIRECT PAYMENT ")</f>
        <v>DIRECT PAYMENT</v>
      </c>
      <c r="V1727" s="2">
        <f>IFERROR(__xludf.DUMMYFUNCTION("""COMPUTED_VALUE"""),2058.0)</f>
        <v>2058</v>
      </c>
      <c r="W1727" s="2">
        <f>IFERROR(__xludf.DUMMYFUNCTION("""COMPUTED_VALUE"""),2071.0)</f>
        <v>2071</v>
      </c>
      <c r="X1727" s="2">
        <f>IFERROR(__xludf.DUMMYFUNCTION("""COMPUTED_VALUE"""),1792.0)</f>
        <v>1792</v>
      </c>
      <c r="Y1727" s="2"/>
      <c r="Z1727" s="2"/>
      <c r="AA1727" s="2"/>
      <c r="AB1727" s="2"/>
      <c r="AC1727" s="2"/>
      <c r="AD1727" s="2"/>
      <c r="AE1727" s="2"/>
      <c r="AF1727" s="2"/>
      <c r="AG1727" s="2"/>
      <c r="AH1727" s="2"/>
      <c r="AI1727" s="2"/>
      <c r="AJ1727" s="2" t="str">
        <f>IFERROR(__xludf.DUMMYFUNCTION("""COMPUTED_VALUE"""),"Tanggal Sawang")</f>
        <v>Tanggal Sawang</v>
      </c>
      <c r="AK1727" s="2" t="str">
        <f>IFERROR(__xludf.DUMMYFUNCTION("""COMPUTED_VALUE"""),"Umingan")</f>
        <v>Umingan</v>
      </c>
      <c r="AL1727" s="2" t="str">
        <f>IFERROR(__xludf.DUMMYFUNCTION("""COMPUTED_VALUE"""),"Pangasinan")</f>
        <v>Pangasinan</v>
      </c>
      <c r="AM1727" s="2">
        <f>IFERROR(__xludf.DUMMYFUNCTION("""COMPUTED_VALUE"""),1.0)</f>
        <v>1</v>
      </c>
      <c r="AN1727" s="2" t="str">
        <f>IFERROR(__xludf.DUMMYFUNCTION("""COMPUTED_VALUE"""),"RCEF 23-09-21 Rebidding")</f>
        <v>RCEF 23-09-21 Rebidding</v>
      </c>
      <c r="AO1727" s="2">
        <f>IFERROR(__xludf.DUMMYFUNCTION("""COMPUTED_VALUE"""),9.0)</f>
        <v>9</v>
      </c>
      <c r="AP1727" s="2"/>
      <c r="AQ1727" s="2"/>
      <c r="AR1727" s="2"/>
      <c r="AS1727" s="2"/>
      <c r="AT1727" s="2"/>
      <c r="AU1727" s="2"/>
      <c r="AV1727" s="2"/>
      <c r="AW1727" s="2"/>
      <c r="AX1727" s="2"/>
      <c r="AY1727" s="2"/>
      <c r="AZ1727" s="2"/>
      <c r="BA1727" s="2"/>
      <c r="BB1727" s="2"/>
    </row>
    <row r="1728">
      <c r="A1728" s="2">
        <f>IFERROR(__xludf.DUMMYFUNCTION("""COMPUTED_VALUE"""),1724.0)</f>
        <v>1724</v>
      </c>
      <c r="B1728" s="2" t="str">
        <f>IFERROR(__xludf.DUMMYFUNCTION("""COMPUTED_VALUE"""),"COMPLETED")</f>
        <v>COMPLETED</v>
      </c>
      <c r="C1728" s="74">
        <f>IFERROR(__xludf.DUMMYFUNCTION("""COMPUTED_VALUE"""),46161.0)</f>
        <v>46161</v>
      </c>
      <c r="D1728" s="71" t="str">
        <f>IFERROR(__xludf.DUMMYFUNCTION("""COMPUTED_VALUE"""),"MICHAEL CAYABAN")</f>
        <v>MICHAEL CAYABAN</v>
      </c>
      <c r="E1728" s="71" t="str">
        <f>IFERROR(__xludf.DUMMYFUNCTION("""COMPUTED_VALUE"""),"MANGATAREM, PANGASINAN")</f>
        <v>MANGATAREM, PANGASINAN</v>
      </c>
      <c r="F1728" s="2" t="str">
        <f>IFERROR(__xludf.DUMMYFUNCTION("""COMPUTED_VALUE"""),"MICHAEL CAYABAN")</f>
        <v>MICHAEL CAYABAN</v>
      </c>
      <c r="G1728" s="2"/>
      <c r="H1728" s="2">
        <f>IFERROR(__xludf.DUMMYFUNCTION("""COMPUTED_VALUE"""),108.6)</f>
        <v>108.6</v>
      </c>
      <c r="I1728" s="72"/>
      <c r="J1728" s="72"/>
      <c r="K1728" s="72" t="str">
        <f>IFERROR(__xludf.DUMMYFUNCTION("""COMPUTED_VALUE"""),"CFG: CHECK UP TYM TRACTOR
[MARTIN ARANETA UNIT]")</f>
        <v>CFG: CHECK UP TYM TRACTOR
[MARTIN ARANETA UNIT]</v>
      </c>
      <c r="L1728" s="72" t="str">
        <f>IFERROR(__xludf.DUMMYFUNCTION("""COMPUTED_VALUE"""),"CFG: ADD 18 LITERS HYDRAULIC OIL")</f>
        <v>CFG: ADD 18 LITERS HYDRAULIC OIL</v>
      </c>
      <c r="M1728" s="2"/>
      <c r="N1728" s="2" t="str">
        <f>IFERROR(__xludf.DUMMYFUNCTION("""COMPUTED_VALUE"""),"PARTS:
18 L -  HYDRAULIC OIL")</f>
        <v>PARTS:
18 L -  HYDRAULIC OIL</v>
      </c>
      <c r="O1728" s="2">
        <f>IFERROR(__xludf.DUMMYFUNCTION("""COMPUTED_VALUE"""),766.0)</f>
        <v>766</v>
      </c>
      <c r="P1728" s="2"/>
      <c r="Q1728" s="2" t="str">
        <f>IFERROR(__xludf.DUMMYFUNCTION("""COMPUTED_VALUE"""),"FOR PRINT")</f>
        <v>FOR PRINT</v>
      </c>
      <c r="R1728" s="74">
        <f>IFERROR(__xludf.DUMMYFUNCTION("""COMPUTED_VALUE"""),46161.0)</f>
        <v>46161</v>
      </c>
      <c r="S1728" s="2" t="str">
        <f>IFERROR(__xludf.DUMMYFUNCTION("""COMPUTED_VALUE"""),"CFG/JVV")</f>
        <v>CFG/JVV</v>
      </c>
      <c r="T1728" s="73" t="str">
        <f>IFERROR(__xludf.DUMMYFUNCTION("""COMPUTED_VALUE""")," N/A ")</f>
        <v>N/A</v>
      </c>
      <c r="U1728" s="73" t="str">
        <f>IFERROR(__xludf.DUMMYFUNCTION("""COMPUTED_VALUE""")," NO CHARGE ")</f>
        <v>NO CHARGE</v>
      </c>
      <c r="V1728" s="2" t="str">
        <f>IFERROR(__xludf.DUMMYFUNCTION("""COMPUTED_VALUE"""),"N/A")</f>
        <v>N/A</v>
      </c>
      <c r="W1728" s="2" t="str">
        <f>IFERROR(__xludf.DUMMYFUNCTION("""COMPUTED_VALUE"""),"N/A")</f>
        <v>N/A</v>
      </c>
      <c r="X1728" s="2" t="str">
        <f>IFERROR(__xludf.DUMMYFUNCTION("""COMPUTED_VALUE"""),"N/A")</f>
        <v>N/A</v>
      </c>
      <c r="Y1728" s="2"/>
      <c r="Z1728" s="2"/>
      <c r="AA1728" s="2"/>
      <c r="AB1728" s="2"/>
      <c r="AC1728" s="2"/>
      <c r="AD1728" s="2"/>
      <c r="AE1728" s="2"/>
      <c r="AF1728" s="2"/>
      <c r="AG1728" s="2"/>
      <c r="AH1728" s="2"/>
      <c r="AI1728" s="2"/>
      <c r="AJ1728" s="2" t="str">
        <f>IFERROR(__xludf.DUMMYFUNCTION("""COMPUTED_VALUE"""),"Mangatarem")</f>
        <v>Mangatarem</v>
      </c>
      <c r="AK1728" s="2" t="str">
        <f>IFERROR(__xludf.DUMMYFUNCTION("""COMPUTED_VALUE"""),"")</f>
        <v/>
      </c>
      <c r="AL1728" s="2" t="str">
        <f>IFERROR(__xludf.DUMMYFUNCTION("""COMPUTED_VALUE"""),"")</f>
        <v/>
      </c>
      <c r="AM1728" s="2" t="str">
        <f>IFERROR(__xludf.DUMMYFUNCTION("""COMPUTED_VALUE"""),"")</f>
        <v/>
      </c>
      <c r="AN1728" s="2" t="str">
        <f>IFERROR(__xludf.DUMMYFUNCTION("""COMPUTED_VALUE""")," ")</f>
        <v> </v>
      </c>
      <c r="AO1728" s="2" t="str">
        <f>IFERROR(__xludf.DUMMYFUNCTION("""COMPUTED_VALUE""")," ")</f>
        <v> </v>
      </c>
      <c r="AP1728" s="2" t="str">
        <f>IFERROR(__xludf.DUMMYFUNCTION("""COMPUTED_VALUE"""),"")</f>
        <v/>
      </c>
      <c r="AQ1728" s="2"/>
      <c r="AR1728" s="2"/>
      <c r="AS1728" s="2"/>
      <c r="AT1728" s="2"/>
      <c r="AU1728" s="2"/>
      <c r="AV1728" s="2"/>
      <c r="AW1728" s="2"/>
      <c r="AX1728" s="2"/>
      <c r="AY1728" s="2"/>
      <c r="AZ1728" s="2"/>
      <c r="BA1728" s="2"/>
      <c r="BB1728" s="2"/>
    </row>
    <row r="1729">
      <c r="A1729" s="2">
        <f>IFERROR(__xludf.DUMMYFUNCTION("""COMPUTED_VALUE"""),1725.0)</f>
        <v>1725</v>
      </c>
      <c r="B1729" s="2" t="str">
        <f>IFERROR(__xludf.DUMMYFUNCTION("""COMPUTED_VALUE"""),"PENDING")</f>
        <v>PENDING</v>
      </c>
      <c r="C1729" s="78">
        <f>IFERROR(__xludf.DUMMYFUNCTION("""COMPUTED_VALUE"""),46161.0)</f>
        <v>46161</v>
      </c>
      <c r="D1729" s="71" t="str">
        <f>IFERROR(__xludf.DUMMYFUNCTION("""COMPUTED_VALUE"""),"KADENA IRRIGATORS ASSOCIATION, INC.")</f>
        <v>KADENA IRRIGATORS ASSOCIATION, INC.</v>
      </c>
      <c r="E1729" s="71" t="str">
        <f>IFERROR(__xludf.DUMMYFUNCTION("""COMPUTED_VALUE"""),"Paligui, Candaba, PAMPANGA")</f>
        <v>Paligui, Candaba, PAMPANGA</v>
      </c>
      <c r="F1729" s="2" t="str">
        <f>IFERROR(__xludf.DUMMYFUNCTION("""COMPUTED_VALUE"""),"Garciano Manio")</f>
        <v>Garciano Manio</v>
      </c>
      <c r="G1729" s="2">
        <f>IFERROR(__xludf.DUMMYFUNCTION("""COMPUTED_VALUE"""),9.54925339E8)</f>
        <v>954925339</v>
      </c>
      <c r="H1729" s="2">
        <f>IFERROR(__xludf.DUMMYFUNCTION("""COMPUTED_VALUE"""),105.0)</f>
        <v>105</v>
      </c>
      <c r="I1729" s="72" t="str">
        <f>IFERROR(__xludf.DUMMYFUNCTION("""COMPUTED_VALUE"""),"REPAIR - TRACTOR")</f>
        <v>REPAIR - TRACTOR</v>
      </c>
      <c r="J1729" s="72" t="str">
        <f>IFERROR(__xludf.DUMMYFUNCTION("""COMPUTED_VALUE"""),"Electrical - Starter")</f>
        <v>Electrical - Starter</v>
      </c>
      <c r="K1729" s="72" t="str">
        <f>IFERROR(__xludf.DUMMYFUNCTION("""COMPUTED_VALUE"""),"JTT: Problem ayaw umandar starter ayaw umikot ang armature Ng starter")</f>
        <v>JTT: Problem ayaw umandar starter ayaw umikot ang armature Ng starter</v>
      </c>
      <c r="L1729" s="72"/>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c r="AJ1729" s="2" t="str">
        <f>IFERROR(__xludf.DUMMYFUNCTION("""COMPUTED_VALUE"""),"Paligui")</f>
        <v>Paligui</v>
      </c>
      <c r="AK1729" s="2" t="str">
        <f>IFERROR(__xludf.DUMMYFUNCTION("""COMPUTED_VALUE"""),"Candaba")</f>
        <v>Candaba</v>
      </c>
      <c r="AL1729" s="2" t="str">
        <f>IFERROR(__xludf.DUMMYFUNCTION("""COMPUTED_VALUE"""),"Pampanga")</f>
        <v>Pampanga</v>
      </c>
      <c r="AM1729" s="2">
        <f>IFERROR(__xludf.DUMMYFUNCTION("""COMPUTED_VALUE"""),3.0)</f>
        <v>3</v>
      </c>
      <c r="AN1729" s="2" t="str">
        <f>IFERROR(__xludf.DUMMYFUNCTION("""COMPUTED_VALUE"""),"RCEF 23-09-21 Rebidding")</f>
        <v>RCEF 23-09-21 Rebidding</v>
      </c>
      <c r="AO1729" s="2">
        <f>IFERROR(__xludf.DUMMYFUNCTION("""COMPUTED_VALUE"""),3.0)</f>
        <v>3</v>
      </c>
      <c r="AP1729" s="2"/>
      <c r="AQ1729" s="2"/>
      <c r="AR1729" s="2"/>
      <c r="AS1729" s="2"/>
      <c r="AT1729" s="2"/>
      <c r="AU1729" s="2"/>
      <c r="AV1729" s="2"/>
      <c r="AW1729" s="2"/>
      <c r="AX1729" s="2"/>
      <c r="AY1729" s="2"/>
      <c r="AZ1729" s="2"/>
      <c r="BA1729" s="2"/>
      <c r="BB1729" s="2"/>
    </row>
    <row r="1730">
      <c r="A1730" s="2">
        <f>IFERROR(__xludf.DUMMYFUNCTION("""COMPUTED_VALUE"""),1726.0)</f>
        <v>1726</v>
      </c>
      <c r="B1730" s="2" t="str">
        <f>IFERROR(__xludf.DUMMYFUNCTION("""COMPUTED_VALUE"""),"COMPLETED")</f>
        <v>COMPLETED</v>
      </c>
      <c r="C1730" s="78">
        <f>IFERROR(__xludf.DUMMYFUNCTION("""COMPUTED_VALUE"""),46161.0)</f>
        <v>46161</v>
      </c>
      <c r="D1730" s="71" t="str">
        <f>IFERROR(__xludf.DUMMYFUNCTION("""COMPUTED_VALUE"""),"Samput Farmers Association Inc.")</f>
        <v>Samput Farmers Association Inc.</v>
      </c>
      <c r="E1730" s="71" t="str">
        <f>IFERROR(__xludf.DUMMYFUNCTION("""COMPUTED_VALUE"""),"Samput, Paniqui, TARLAC")</f>
        <v>Samput, Paniqui, TARLAC</v>
      </c>
      <c r="F1730" s="2" t="str">
        <f>IFERROR(__xludf.DUMMYFUNCTION("""COMPUTED_VALUE"""),"Herolimo S.Vergara")</f>
        <v>Herolimo S.Vergara</v>
      </c>
      <c r="G1730" s="2">
        <f>IFERROR(__xludf.DUMMYFUNCTION("""COMPUTED_VALUE"""),9.095098491E9)</f>
        <v>9095098491</v>
      </c>
      <c r="H1730" s="2"/>
      <c r="I1730" s="72" t="str">
        <f>IFERROR(__xludf.DUMMYFUNCTION("""COMPUTED_VALUE"""),"REPAIR - TRACTOR")</f>
        <v>REPAIR - TRACTOR</v>
      </c>
      <c r="J1730" s="72" t="str">
        <f>IFERROR(__xludf.DUMMYFUNCTION("""COMPUTED_VALUE"""),"Front Axle - Leaking               Rear Axle - Leaking")</f>
        <v>Front Axle - Leaking               Rear Axle - Leaking</v>
      </c>
      <c r="K1730" s="72" t="str">
        <f>IFERROR(__xludf.DUMMYFUNCTION("""COMPUTED_VALUE"""),"DRM: Concen:  Leak Rear/front oil seal")</f>
        <v>DRM: Concen:  Leak Rear/front oil seal</v>
      </c>
      <c r="L1730" s="72" t="str">
        <f>IFERROR(__xludf.DUMMYFUNCTION("""COMPUTED_VALUE"""),"5/22/26 -  MYK: WILLING TO PAY SA PARTS NA MAGAGAMIT -  AT SERVICE CHARGE 3,000
CFG: DELIVERY OF PARTS ONLY")</f>
        <v>5/22/26 -  MYK: WILLING TO PAY SA PARTS NA MAGAGAMIT -  AT SERVICE CHARGE 3,000
CFG: DELIVERY OF PARTS ONLY</v>
      </c>
      <c r="M1730" s="2" t="str">
        <f>IFERROR(__xludf.DUMMYFUNCTION("""COMPUTED_VALUE"""),"OIL SEAL TA000041359A
OIL SEAL TC60110000A3
OIL SEAL FE78010000B
REAR AXLE OIL SEAL TA00033423A")</f>
        <v>OIL SEAL TA000041359A
OIL SEAL TC60110000A3
OIL SEAL FE78010000B
REAR AXLE OIL SEAL TA00033423A</v>
      </c>
      <c r="N1730" s="2" t="str">
        <f>IFERROR(__xludf.DUMMYFUNCTION("""COMPUTED_VALUE"""),"PARTS:
REAR AXLE OIL SEAL 
OIL SEAL TC6011
HYDRAULIC FILTER")</f>
        <v>PARTS:
REAR AXLE OIL SEAL 
OIL SEAL TC6011
HYDRAULIC FILTER</v>
      </c>
      <c r="O1730" s="2">
        <f>IFERROR(__xludf.DUMMYFUNCTION("""COMPUTED_VALUE"""),771.0)</f>
        <v>771</v>
      </c>
      <c r="P1730" s="2" t="str">
        <f>IFERROR(__xludf.DUMMYFUNCTION("""COMPUTED_VALUE"""),"771 - Samput Farmers Association Inc..pdf")</f>
        <v>771 - Samput Farmers Association Inc..pdf</v>
      </c>
      <c r="Q1730" s="2" t="str">
        <f>IFERROR(__xludf.DUMMYFUNCTION("""COMPUTED_VALUE"""),"FOR PRINT")</f>
        <v>FOR PRINT</v>
      </c>
      <c r="R1730" s="74">
        <f>IFERROR(__xludf.DUMMYFUNCTION("""COMPUTED_VALUE"""),46165.0)</f>
        <v>46165</v>
      </c>
      <c r="S1730" s="2" t="str">
        <f>IFERROR(__xludf.DUMMYFUNCTION("""COMPUTED_VALUE"""),"CFG")</f>
        <v>CFG</v>
      </c>
      <c r="T1730" s="73">
        <f>IFERROR(__xludf.DUMMYFUNCTION("""COMPUTED_VALUE"""),10925.0)</f>
        <v>10925</v>
      </c>
      <c r="U1730" s="73" t="str">
        <f>IFERROR(__xludf.DUMMYFUNCTION("""COMPUTED_VALUE""")," FOR REMIT ")</f>
        <v>FOR REMIT</v>
      </c>
      <c r="V1730" s="2">
        <f>IFERROR(__xludf.DUMMYFUNCTION("""COMPUTED_VALUE"""),1663.0)</f>
        <v>1663</v>
      </c>
      <c r="W1730" s="2">
        <f>IFERROR(__xludf.DUMMYFUNCTION("""COMPUTED_VALUE"""),1790.0)</f>
        <v>1790</v>
      </c>
      <c r="X1730" s="2"/>
      <c r="Y1730" s="2"/>
      <c r="Z1730" s="2"/>
      <c r="AA1730" s="2"/>
      <c r="AB1730" s="2"/>
      <c r="AC1730" s="2"/>
      <c r="AD1730" s="2"/>
      <c r="AE1730" s="2"/>
      <c r="AF1730" s="2"/>
      <c r="AG1730" s="2"/>
      <c r="AH1730" s="2"/>
      <c r="AI1730" s="2"/>
      <c r="AJ1730" s="2" t="str">
        <f>IFERROR(__xludf.DUMMYFUNCTION("""COMPUTED_VALUE"""),"Samput")</f>
        <v>Samput</v>
      </c>
      <c r="AK1730" s="2" t="str">
        <f>IFERROR(__xludf.DUMMYFUNCTION("""COMPUTED_VALUE"""),"Paniqui")</f>
        <v>Paniqui</v>
      </c>
      <c r="AL1730" s="2" t="str">
        <f>IFERROR(__xludf.DUMMYFUNCTION("""COMPUTED_VALUE"""),"Tarlac")</f>
        <v>Tarlac</v>
      </c>
      <c r="AM1730" s="2">
        <f>IFERROR(__xludf.DUMMYFUNCTION("""COMPUTED_VALUE"""),3.0)</f>
        <v>3</v>
      </c>
      <c r="AN1730" s="2" t="str">
        <f>IFERROR(__xludf.DUMMYFUNCTION("""COMPUTED_VALUE"""),"RCEF 23-09-21 Rebidding")</f>
        <v>RCEF 23-09-21 Rebidding</v>
      </c>
      <c r="AO1730" s="2">
        <f>IFERROR(__xludf.DUMMYFUNCTION("""COMPUTED_VALUE"""),3.0)</f>
        <v>3</v>
      </c>
      <c r="AP1730" s="2"/>
      <c r="AQ1730" s="2"/>
      <c r="AR1730" s="2"/>
      <c r="AS1730" s="2"/>
      <c r="AT1730" s="2"/>
      <c r="AU1730" s="2"/>
      <c r="AV1730" s="2"/>
      <c r="AW1730" s="2"/>
      <c r="AX1730" s="2"/>
      <c r="AY1730" s="2"/>
      <c r="AZ1730" s="2"/>
      <c r="BA1730" s="2"/>
      <c r="BB1730" s="2"/>
    </row>
    <row r="1731">
      <c r="A1731" s="2">
        <f>IFERROR(__xludf.DUMMYFUNCTION("""COMPUTED_VALUE"""),1727.0)</f>
        <v>1727</v>
      </c>
      <c r="B1731" s="2" t="str">
        <f>IFERROR(__xludf.DUMMYFUNCTION("""COMPUTED_VALUE"""),"COMPLETED")</f>
        <v>COMPLETED</v>
      </c>
      <c r="C1731" s="78">
        <f>IFERROR(__xludf.DUMMYFUNCTION("""COMPUTED_VALUE"""),46161.0)</f>
        <v>46161</v>
      </c>
      <c r="D1731" s="71" t="str">
        <f>IFERROR(__xludf.DUMMYFUNCTION("""COMPUTED_VALUE"""),"SGRNE FARMERS ASSOCIATION INCORPORATED")</f>
        <v>SGRNE FARMERS ASSOCIATION INCORPORATED</v>
      </c>
      <c r="E1731" s="71" t="str">
        <f>IFERROR(__xludf.DUMMYFUNCTION("""COMPUTED_VALUE"""),"San Gregorio, Rizal, NUEVA ECIJA")</f>
        <v>San Gregorio, Rizal, NUEVA ECIJA</v>
      </c>
      <c r="F1731" s="2" t="str">
        <f>IFERROR(__xludf.DUMMYFUNCTION("""COMPUTED_VALUE"""),"JAIME CABUSFLAY")</f>
        <v>JAIME CABUSFLAY</v>
      </c>
      <c r="G1731" s="2">
        <f>IFERROR(__xludf.DUMMYFUNCTION("""COMPUTED_VALUE"""),9.389114222E9)</f>
        <v>9389114222</v>
      </c>
      <c r="H1731" s="2">
        <f>IFERROR(__xludf.DUMMYFUNCTION("""COMPUTED_VALUE"""),45.0)</f>
        <v>45</v>
      </c>
      <c r="I1731" s="72" t="str">
        <f>IFERROR(__xludf.DUMMYFUNCTION("""COMPUTED_VALUE"""),"PMS")</f>
        <v>PMS</v>
      </c>
      <c r="J1731" s="72"/>
      <c r="K1731" s="72" t="str">
        <f>IFERROR(__xludf.DUMMYFUNCTION("""COMPUTED_VALUE"""),"MYK: 1ST PMS FREE")</f>
        <v>MYK: 1ST PMS FREE</v>
      </c>
      <c r="L1731" s="72" t="str">
        <f>IFERROR(__xludf.DUMMYFUNCTION("""COMPUTED_VALUE"""),"DRM: 1ST PMS DONE")</f>
        <v>DRM: 1ST PMS DONE</v>
      </c>
      <c r="M1731" s="2"/>
      <c r="N1731" s="2" t="str">
        <f>IFERROR(__xludf.DUMMYFUNCTION("""COMPUTED_VALUE"""),"PARTS:
OIL FILTER
ENGINE OIL")</f>
        <v>PARTS:
OIL FILTER
ENGINE OIL</v>
      </c>
      <c r="O1731" s="2">
        <f>IFERROR(__xludf.DUMMYFUNCTION("""COMPUTED_VALUE"""),1110.0)</f>
        <v>1110</v>
      </c>
      <c r="P1731" s="2" t="str">
        <f>IFERROR(__xludf.DUMMYFUNCTION("""COMPUTED_VALUE"""),"1110 - SGRNE FARMERS ASSOCIATION INCORPORATED.pdf")</f>
        <v>1110 - SGRNE FARMERS ASSOCIATION INCORPORATED.pdf</v>
      </c>
      <c r="Q1731" s="2" t="str">
        <f>IFERROR(__xludf.DUMMYFUNCTION("""COMPUTED_VALUE"""),"FOR PRINT")</f>
        <v>FOR PRINT</v>
      </c>
      <c r="R1731" s="74">
        <f>IFERROR(__xludf.DUMMYFUNCTION("""COMPUTED_VALUE"""),46170.0)</f>
        <v>46170</v>
      </c>
      <c r="S1731" s="2" t="str">
        <f>IFERROR(__xludf.DUMMYFUNCTION("""COMPUTED_VALUE"""),"EGT/DRM")</f>
        <v>EGT/DRM</v>
      </c>
      <c r="T1731" s="73" t="str">
        <f>IFERROR(__xludf.DUMMYFUNCTION("""COMPUTED_VALUE""")," N/A ")</f>
        <v>N/A</v>
      </c>
      <c r="U1731" s="73" t="str">
        <f>IFERROR(__xludf.DUMMYFUNCTION("""COMPUTED_VALUE""")," NO CHARGE ")</f>
        <v>NO CHARGE</v>
      </c>
      <c r="V1731" s="2">
        <f>IFERROR(__xludf.DUMMYFUNCTION("""COMPUTED_VALUE"""),1335.0)</f>
        <v>1335</v>
      </c>
      <c r="W1731" s="2" t="str">
        <f>IFERROR(__xludf.DUMMYFUNCTION("""COMPUTED_VALUE"""),"N/A")</f>
        <v>N/A</v>
      </c>
      <c r="X1731" s="2" t="str">
        <f>IFERROR(__xludf.DUMMYFUNCTION("""COMPUTED_VALUE"""),"N/A")</f>
        <v>N/A</v>
      </c>
      <c r="Y1731" s="2"/>
      <c r="Z1731" s="2"/>
      <c r="AA1731" s="2"/>
      <c r="AB1731" s="2"/>
      <c r="AC1731" s="2"/>
      <c r="AD1731" s="2"/>
      <c r="AE1731" s="2"/>
      <c r="AF1731" s="2"/>
      <c r="AG1731" s="2"/>
      <c r="AH1731" s="2"/>
      <c r="AI1731" s="2"/>
      <c r="AJ1731" s="2" t="str">
        <f>IFERROR(__xludf.DUMMYFUNCTION("""COMPUTED_VALUE"""),"San Gregorio")</f>
        <v>San Gregorio</v>
      </c>
      <c r="AK1731" s="2" t="str">
        <f>IFERROR(__xludf.DUMMYFUNCTION("""COMPUTED_VALUE"""),"Rizal")</f>
        <v>Rizal</v>
      </c>
      <c r="AL1731" s="2" t="str">
        <f>IFERROR(__xludf.DUMMYFUNCTION("""COMPUTED_VALUE"""),"Nueva Ecija")</f>
        <v>Nueva Ecija</v>
      </c>
      <c r="AM1731" s="2">
        <f>IFERROR(__xludf.DUMMYFUNCTION("""COMPUTED_VALUE"""),3.0)</f>
        <v>3</v>
      </c>
      <c r="AN1731" s="2" t="str">
        <f>IFERROR(__xludf.DUMMYFUNCTION("""COMPUTED_VALUE"""),"RCEF 25-03-05")</f>
        <v>RCEF 25-03-05</v>
      </c>
      <c r="AO1731" s="2">
        <f>IFERROR(__xludf.DUMMYFUNCTION("""COMPUTED_VALUE"""),5.0)</f>
        <v>5</v>
      </c>
      <c r="AP1731" s="2" t="str">
        <f>IFERROR(__xludf.DUMMYFUNCTION("""COMPUTED_VALUE"""),"FREE PMS")</f>
        <v>FREE PMS</v>
      </c>
      <c r="AQ1731" s="2"/>
      <c r="AR1731" s="2"/>
      <c r="AS1731" s="2"/>
      <c r="AT1731" s="2"/>
      <c r="AU1731" s="2"/>
      <c r="AV1731" s="2"/>
      <c r="AW1731" s="2"/>
      <c r="AX1731" s="2"/>
      <c r="AY1731" s="2"/>
      <c r="AZ1731" s="2"/>
      <c r="BA1731" s="2"/>
      <c r="BB1731" s="2"/>
    </row>
    <row r="1732">
      <c r="A1732" s="2">
        <f>IFERROR(__xludf.DUMMYFUNCTION("""COMPUTED_VALUE"""),1728.0)</f>
        <v>1728</v>
      </c>
      <c r="B1732" s="2" t="str">
        <f>IFERROR(__xludf.DUMMYFUNCTION("""COMPUTED_VALUE"""),"PENDING")</f>
        <v>PENDING</v>
      </c>
      <c r="C1732" s="78">
        <f>IFERROR(__xludf.DUMMYFUNCTION("""COMPUTED_VALUE"""),46161.0)</f>
        <v>46161</v>
      </c>
      <c r="D1732" s="71" t="str">
        <f>IFERROR(__xludf.DUMMYFUNCTION("""COMPUTED_VALUE"""),"ARAMAYWAN QUEZON FARMERS IRRIGATORS' ASSOCIATION, INC")</f>
        <v>ARAMAYWAN QUEZON FARMERS IRRIGATORS' ASSOCIATION, INC</v>
      </c>
      <c r="E1732" s="71" t="str">
        <f>IFERROR(__xludf.DUMMYFUNCTION("""COMPUTED_VALUE"""),"Aramaywan, Quezon, PALAWAN")</f>
        <v>Aramaywan, Quezon, PALAWAN</v>
      </c>
      <c r="F1732" s="2" t="str">
        <f>IFERROR(__xludf.DUMMYFUNCTION("""COMPUTED_VALUE"""),"DANILO GARILAO")</f>
        <v>DANILO GARILAO</v>
      </c>
      <c r="G1732" s="2">
        <f>IFERROR(__xludf.DUMMYFUNCTION("""COMPUTED_VALUE"""),9.095226599E9)</f>
        <v>9095226599</v>
      </c>
      <c r="H1732" s="2">
        <f>IFERROR(__xludf.DUMMYFUNCTION("""COMPUTED_VALUE"""),8.1)</f>
        <v>8.1</v>
      </c>
      <c r="I1732" s="72" t="str">
        <f>IFERROR(__xludf.DUMMYFUNCTION("""COMPUTED_VALUE"""),"REPAIR - LOADER")</f>
        <v>REPAIR - LOADER</v>
      </c>
      <c r="J1732" s="72" t="str">
        <f>IFERROR(__xludf.DUMMYFUNCTION("""COMPUTED_VALUE"""),"Cable lock")</f>
        <v>Cable lock</v>
      </c>
      <c r="K1732" s="72" t="str">
        <f>IFERROR(__xludf.DUMMYFUNCTION("""COMPUTED_VALUE"""),"JDP: 
PROBLEM: yong Bucket hnd mag ikot hnd mag tihaya")</f>
        <v>JDP: 
PROBLEM: yong Bucket hnd mag ikot hnd mag tihaya</v>
      </c>
      <c r="L1732" s="72"/>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c r="AJ1732" s="2" t="str">
        <f>IFERROR(__xludf.DUMMYFUNCTION("""COMPUTED_VALUE"""),"Aramaywan")</f>
        <v>Aramaywan</v>
      </c>
      <c r="AK1732" s="2" t="str">
        <f>IFERROR(__xludf.DUMMYFUNCTION("""COMPUTED_VALUE"""),"Quezon")</f>
        <v>Quezon</v>
      </c>
      <c r="AL1732" s="2" t="str">
        <f>IFERROR(__xludf.DUMMYFUNCTION("""COMPUTED_VALUE"""),"Palawan")</f>
        <v>Palawan</v>
      </c>
      <c r="AM1732" s="2" t="str">
        <f>IFERROR(__xludf.DUMMYFUNCTION("""COMPUTED_VALUE"""),"4B")</f>
        <v>4B</v>
      </c>
      <c r="AN1732" s="2" t="str">
        <f>IFERROR(__xludf.DUMMYFUNCTION("""COMPUTED_VALUE"""),"RCEF 25-03-05")</f>
        <v>RCEF 25-03-05</v>
      </c>
      <c r="AO1732" s="2">
        <f>IFERROR(__xludf.DUMMYFUNCTION("""COMPUTED_VALUE"""),6.0)</f>
        <v>6</v>
      </c>
      <c r="AP1732" s="2" t="str">
        <f>IFERROR(__xludf.DUMMYFUNCTION("""COMPUTED_VALUE"""),"FREE PMS")</f>
        <v>FREE PMS</v>
      </c>
      <c r="AQ1732" s="2"/>
      <c r="AR1732" s="2"/>
      <c r="AS1732" s="2"/>
      <c r="AT1732" s="2"/>
      <c r="AU1732" s="2"/>
      <c r="AV1732" s="2"/>
      <c r="AW1732" s="2"/>
      <c r="AX1732" s="2"/>
      <c r="AY1732" s="2"/>
      <c r="AZ1732" s="2"/>
      <c r="BA1732" s="2"/>
      <c r="BB1732" s="2"/>
    </row>
    <row r="1733">
      <c r="A1733" s="2">
        <f>IFERROR(__xludf.DUMMYFUNCTION("""COMPUTED_VALUE"""),1729.0)</f>
        <v>1729</v>
      </c>
      <c r="B1733" s="2" t="str">
        <f>IFERROR(__xludf.DUMMYFUNCTION("""COMPUTED_VALUE"""),"PENDING")</f>
        <v>PENDING</v>
      </c>
      <c r="C1733" s="78">
        <f>IFERROR(__xludf.DUMMYFUNCTION("""COMPUTED_VALUE"""),46161.0)</f>
        <v>46161</v>
      </c>
      <c r="D1733" s="71" t="str">
        <f>IFERROR(__xludf.DUMMYFUNCTION("""COMPUTED_VALUE"""),"SAGPAT-BALINTAGAK-LIVESTOCK-IRRIGATORS AND ORGANIC FARMERS ASSOCIATION (SABALIOFA)")</f>
        <v>SAGPAT-BALINTAGAK-LIVESTOCK-IRRIGATORS AND ORGANIC FARMERS ASSOCIATION (SABALIOFA)</v>
      </c>
      <c r="E1733" s="71" t="str">
        <f>IFERROR(__xludf.DUMMYFUNCTION("""COMPUTED_VALUE"""),"Maloma, San Felipe, ZAMBALES")</f>
        <v>Maloma, San Felipe, ZAMBALES</v>
      </c>
      <c r="F1733" s="2" t="str">
        <f>IFERROR(__xludf.DUMMYFUNCTION("""COMPUTED_VALUE"""),"CEASAR DUMLAO")</f>
        <v>CEASAR DUMLAO</v>
      </c>
      <c r="G1733" s="2">
        <f>IFERROR(__xludf.DUMMYFUNCTION("""COMPUTED_VALUE"""),9.516811662E9)</f>
        <v>9516811662</v>
      </c>
      <c r="H1733" s="2"/>
      <c r="I1733" s="72" t="str">
        <f>IFERROR(__xludf.DUMMYFUNCTION("""COMPUTED_VALUE"""),"REPAIR - LOADER")</f>
        <v>REPAIR - LOADER</v>
      </c>
      <c r="J1733" s="72" t="str">
        <f>IFERROR(__xludf.DUMMYFUNCTION("""COMPUTED_VALUE"""),"Cable lock")</f>
        <v>Cable lock</v>
      </c>
      <c r="K1733" s="72" t="str">
        <f>IFERROR(__xludf.DUMMYFUNCTION("""COMPUTED_VALUE"""),"MYK: AYAW UMANGAT NG ARM NG LOADER 4 DAYS NA NGAYUN")</f>
        <v>MYK: AYAW UMANGAT NG ARM NG LOADER 4 DAYS NA NGAYUN</v>
      </c>
      <c r="L1733" s="72" t="str">
        <f>IFERROR(__xludf.DUMMYFUNCTION("""COMPUTED_VALUE"""),"5/19/26 -  690: ACS: NABASAG ANG CONNECTOR SA LOADER")</f>
        <v>5/19/26 -  690: ACS: NABASAG ANG CONNECTOR SA LOADER</v>
      </c>
      <c r="M1733" s="2" t="str">
        <f>IFERROR(__xludf.DUMMYFUNCTION("""COMPUTED_VALUE"""),"CABLE LOCK")</f>
        <v>CABLE LOCK</v>
      </c>
      <c r="N1733" s="2"/>
      <c r="O1733" s="2"/>
      <c r="P1733" s="2"/>
      <c r="Q1733" s="2"/>
      <c r="R1733" s="2"/>
      <c r="S1733" s="2"/>
      <c r="T1733" s="2"/>
      <c r="U1733" s="2"/>
      <c r="V1733" s="2"/>
      <c r="W1733" s="2"/>
      <c r="X1733" s="2"/>
      <c r="Y1733" s="2"/>
      <c r="Z1733" s="2"/>
      <c r="AA1733" s="2"/>
      <c r="AB1733" s="2"/>
      <c r="AC1733" s="2"/>
      <c r="AD1733" s="2"/>
      <c r="AE1733" s="2"/>
      <c r="AF1733" s="2"/>
      <c r="AG1733" s="2"/>
      <c r="AH1733" s="2"/>
      <c r="AI1733" s="2"/>
      <c r="AJ1733" s="2" t="str">
        <f>IFERROR(__xludf.DUMMYFUNCTION("""COMPUTED_VALUE"""),"Maloma")</f>
        <v>Maloma</v>
      </c>
      <c r="AK1733" s="2" t="str">
        <f>IFERROR(__xludf.DUMMYFUNCTION("""COMPUTED_VALUE"""),"San Felipe")</f>
        <v>San Felipe</v>
      </c>
      <c r="AL1733" s="2" t="str">
        <f>IFERROR(__xludf.DUMMYFUNCTION("""COMPUTED_VALUE"""),"Zambales")</f>
        <v>Zambales</v>
      </c>
      <c r="AM1733" s="2">
        <f>IFERROR(__xludf.DUMMYFUNCTION("""COMPUTED_VALUE"""),3.0)</f>
        <v>3</v>
      </c>
      <c r="AN1733" s="2" t="str">
        <f>IFERROR(__xludf.DUMMYFUNCTION("""COMPUTED_VALUE"""),"RCEF 25-03-05")</f>
        <v>RCEF 25-03-05</v>
      </c>
      <c r="AO1733" s="2">
        <f>IFERROR(__xludf.DUMMYFUNCTION("""COMPUTED_VALUE"""),5.0)</f>
        <v>5</v>
      </c>
      <c r="AP1733" s="2" t="str">
        <f>IFERROR(__xludf.DUMMYFUNCTION("""COMPUTED_VALUE"""),"FREE PMS")</f>
        <v>FREE PMS</v>
      </c>
      <c r="AQ1733" s="2"/>
      <c r="AR1733" s="2"/>
      <c r="AS1733" s="2"/>
      <c r="AT1733" s="2"/>
      <c r="AU1733" s="2"/>
      <c r="AV1733" s="2"/>
      <c r="AW1733" s="2"/>
      <c r="AX1733" s="2"/>
      <c r="AY1733" s="2"/>
      <c r="AZ1733" s="2"/>
      <c r="BA1733" s="2"/>
      <c r="BB1733" s="2"/>
    </row>
    <row r="1734">
      <c r="A1734" s="2">
        <f>IFERROR(__xludf.DUMMYFUNCTION("""COMPUTED_VALUE"""),1730.0)</f>
        <v>1730</v>
      </c>
      <c r="B1734" s="2" t="str">
        <f>IFERROR(__xludf.DUMMYFUNCTION("""COMPUTED_VALUE"""),"COMPLETED")</f>
        <v>COMPLETED</v>
      </c>
      <c r="C1734" s="78">
        <f>IFERROR(__xludf.DUMMYFUNCTION("""COMPUTED_VALUE"""),46162.0)</f>
        <v>46162</v>
      </c>
      <c r="D1734" s="71" t="str">
        <f>IFERROR(__xludf.DUMMYFUNCTION("""COMPUTED_VALUE"""),"Sta. Rita San Luis ARBs Farmers Association Incorporated")</f>
        <v>Sta. Rita San Luis ARBs Farmers Association Incorporated</v>
      </c>
      <c r="E1734" s="71" t="str">
        <f>IFERROR(__xludf.DUMMYFUNCTION("""COMPUTED_VALUE"""),"Santa Rita, San Luis, PAMPANGA")</f>
        <v>Santa Rita, San Luis, PAMPANGA</v>
      </c>
      <c r="F1734" s="2" t="str">
        <f>IFERROR(__xludf.DUMMYFUNCTION("""COMPUTED_VALUE"""),"ALVIN SANTOS")</f>
        <v>ALVIN SANTOS</v>
      </c>
      <c r="G1734" s="2">
        <f>IFERROR(__xludf.DUMMYFUNCTION("""COMPUTED_VALUE"""),9.42417266E9)</f>
        <v>9424172660</v>
      </c>
      <c r="H1734" s="2">
        <f>IFERROR(__xludf.DUMMYFUNCTION("""COMPUTED_VALUE"""),50.0)</f>
        <v>50</v>
      </c>
      <c r="I1734" s="72" t="str">
        <f>IFERROR(__xludf.DUMMYFUNCTION("""COMPUTED_VALUE"""),"PMS")</f>
        <v>PMS</v>
      </c>
      <c r="J1734" s="72"/>
      <c r="K1734" s="72" t="str">
        <f>IFERROR(__xludf.DUMMYFUNCTION("""COMPUTED_VALUE"""),"MYK: 1ST PMS FREE")</f>
        <v>MYK: 1ST PMS FREE</v>
      </c>
      <c r="L1734" s="72" t="str">
        <f>IFERROR(__xludf.DUMMYFUNCTION("""COMPUTED_VALUE"""),"CFG: 1ST PMS DONE")</f>
        <v>CFG: 1ST PMS DONE</v>
      </c>
      <c r="M1734" s="2"/>
      <c r="N1734" s="2" t="str">
        <f>IFERROR(__xludf.DUMMYFUNCTION("""COMPUTED_VALUE"""),"PARTS:
OIL FILTER
ENGINE OIL")</f>
        <v>PARTS:
OIL FILTER
ENGINE OIL</v>
      </c>
      <c r="O1734" s="2">
        <f>IFERROR(__xludf.DUMMYFUNCTION("""COMPUTED_VALUE"""),769.0)</f>
        <v>769</v>
      </c>
      <c r="P1734" s="2" t="str">
        <f>IFERROR(__xludf.DUMMYFUNCTION("""COMPUTED_VALUE"""),"769 - Sta. Rita San Luis ARBs Farmers Association Incorporated.pdf")</f>
        <v>769 - Sta. Rita San Luis ARBs Farmers Association Incorporated.pdf</v>
      </c>
      <c r="Q1734" s="2" t="str">
        <f>IFERROR(__xludf.DUMMYFUNCTION("""COMPUTED_VALUE"""),"FOR PRINT")</f>
        <v>FOR PRINT</v>
      </c>
      <c r="R1734" s="74">
        <f>IFERROR(__xludf.DUMMYFUNCTION("""COMPUTED_VALUE"""),46163.0)</f>
        <v>46163</v>
      </c>
      <c r="S1734" s="2" t="str">
        <f>IFERROR(__xludf.DUMMYFUNCTION("""COMPUTED_VALUE"""),"CFG")</f>
        <v>CFG</v>
      </c>
      <c r="T1734" s="73" t="str">
        <f>IFERROR(__xludf.DUMMYFUNCTION("""COMPUTED_VALUE""")," N/A ")</f>
        <v>N/A</v>
      </c>
      <c r="U1734" s="73" t="str">
        <f>IFERROR(__xludf.DUMMYFUNCTION("""COMPUTED_VALUE""")," NO CHARGE ")</f>
        <v>NO CHARGE</v>
      </c>
      <c r="V1734" s="2" t="str">
        <f>IFERROR(__xludf.DUMMYFUNCTION("""COMPUTED_VALUE"""),"NO DR")</f>
        <v>NO DR</v>
      </c>
      <c r="W1734" s="2" t="str">
        <f>IFERROR(__xludf.DUMMYFUNCTION("""COMPUTED_VALUE"""),"N/A")</f>
        <v>N/A</v>
      </c>
      <c r="X1734" s="2" t="str">
        <f>IFERROR(__xludf.DUMMYFUNCTION("""COMPUTED_VALUE"""),"N/A")</f>
        <v>N/A</v>
      </c>
      <c r="Y1734" s="2"/>
      <c r="Z1734" s="2"/>
      <c r="AA1734" s="2"/>
      <c r="AB1734" s="2"/>
      <c r="AC1734" s="2"/>
      <c r="AD1734" s="2"/>
      <c r="AE1734" s="2"/>
      <c r="AF1734" s="2"/>
      <c r="AG1734" s="2"/>
      <c r="AH1734" s="2"/>
      <c r="AI1734" s="2"/>
      <c r="AJ1734" s="2" t="str">
        <f>IFERROR(__xludf.DUMMYFUNCTION("""COMPUTED_VALUE"""),"Santa Rita")</f>
        <v>Santa Rita</v>
      </c>
      <c r="AK1734" s="2" t="str">
        <f>IFERROR(__xludf.DUMMYFUNCTION("""COMPUTED_VALUE"""),"San Luis")</f>
        <v>San Luis</v>
      </c>
      <c r="AL1734" s="2" t="str">
        <f>IFERROR(__xludf.DUMMYFUNCTION("""COMPUTED_VALUE"""),"Pampanga")</f>
        <v>Pampanga</v>
      </c>
      <c r="AM1734" s="2">
        <f>IFERROR(__xludf.DUMMYFUNCTION("""COMPUTED_VALUE"""),3.0)</f>
        <v>3</v>
      </c>
      <c r="AN1734" s="2" t="str">
        <f>IFERROR(__xludf.DUMMYFUNCTION("""COMPUTED_VALUE"""),"RCEF 25-03-05")</f>
        <v>RCEF 25-03-05</v>
      </c>
      <c r="AO1734" s="2">
        <f>IFERROR(__xludf.DUMMYFUNCTION("""COMPUTED_VALUE"""),5.0)</f>
        <v>5</v>
      </c>
      <c r="AP1734" s="2" t="str">
        <f>IFERROR(__xludf.DUMMYFUNCTION("""COMPUTED_VALUE"""),"FREE PMS")</f>
        <v>FREE PMS</v>
      </c>
      <c r="AQ1734" s="2"/>
      <c r="AR1734" s="2"/>
      <c r="AS1734" s="2"/>
      <c r="AT1734" s="2"/>
      <c r="AU1734" s="2"/>
      <c r="AV1734" s="2"/>
      <c r="AW1734" s="2"/>
      <c r="AX1734" s="2"/>
      <c r="AY1734" s="2"/>
      <c r="AZ1734" s="2"/>
      <c r="BA1734" s="2"/>
      <c r="BB1734" s="2"/>
    </row>
    <row r="1735">
      <c r="A1735" s="2">
        <f>IFERROR(__xludf.DUMMYFUNCTION("""COMPUTED_VALUE"""),1731.0)</f>
        <v>1731</v>
      </c>
      <c r="B1735" s="2" t="str">
        <f>IFERROR(__xludf.DUMMYFUNCTION("""COMPUTED_VALUE"""),"COMPLETED")</f>
        <v>COMPLETED</v>
      </c>
      <c r="C1735" s="78">
        <f>IFERROR(__xludf.DUMMYFUNCTION("""COMPUTED_VALUE"""),46162.0)</f>
        <v>46162</v>
      </c>
      <c r="D1735" s="71" t="str">
        <f>IFERROR(__xludf.DUMMYFUNCTION("""COMPUTED_VALUE"""),"Lumannap Aurora Irrigators Association Inc.")</f>
        <v>Lumannap Aurora Irrigators Association Inc.</v>
      </c>
      <c r="E1735" s="71" t="str">
        <f>IFERROR(__xludf.DUMMYFUNCTION("""COMPUTED_VALUE"""),"Aurora, Quezon, NUEVA VIZCAYA")</f>
        <v>Aurora, Quezon, NUEVA VIZCAYA</v>
      </c>
      <c r="F1735" s="2" t="str">
        <f>IFERROR(__xludf.DUMMYFUNCTION("""COMPUTED_VALUE"""),"DANIEL DAGDAG")</f>
        <v>DANIEL DAGDAG</v>
      </c>
      <c r="G1735" s="2">
        <f>IFERROR(__xludf.DUMMYFUNCTION("""COMPUTED_VALUE"""),9.669871651E9)</f>
        <v>9669871651</v>
      </c>
      <c r="H1735" s="2"/>
      <c r="I1735" s="72" t="str">
        <f>IFERROR(__xludf.DUMMYFUNCTION("""COMPUTED_VALUE"""),"REPAIR - TRACTOR")</f>
        <v>REPAIR - TRACTOR</v>
      </c>
      <c r="J1735" s="72" t="str">
        <f>IFERROR(__xludf.DUMMYFUNCTION("""COMPUTED_VALUE"""),"Transmission - Clutch")</f>
        <v>Transmission - Clutch</v>
      </c>
      <c r="K1735" s="72" t="str">
        <f>IFERROR(__xludf.DUMMYFUNCTION("""COMPUTED_VALUE"""),"MYK: CLUTCH PROBLEM  - WITH VIDEO")</f>
        <v>MYK: CLUTCH PROBLEM  - WITH VIDEO</v>
      </c>
      <c r="L1735" s="72" t="str">
        <f>IFERROR(__xludf.DUMMYFUNCTION("""COMPUTED_VALUE"""),"JHP: POSSIBLE PARTS NEEDED:
CLUTCH COVER ASSY OR RELEASE BEARING
MYK: QUOTATION SENT WITH SERVICE CHARGE - MEETING MUNA WITH BOARD
5/21/26 - MYK: INFORM NA SILA SA MGA PARTS NA MAARING MAGAMIT AT SERVICE CHARGE -  WILLING TO PAY - FOR SCHEDULE
5/26/26 "&amp;"- 693: ACS: CLUTCH COMPONET PROBLEM
PARTS: 
CLUTCH DISC ASSY
CLUTCH COVER ASSY
RELEASE BEARING
CFG: REPLACED CLUTCH COVER ASSY AND RELEASE BEARING")</f>
        <v>JHP: POSSIBLE PARTS NEEDED:
CLUTCH COVER ASSY OR RELEASE BEARING
MYK: QUOTATION SENT WITH SERVICE CHARGE - MEETING MUNA WITH BOARD
5/21/26 - MYK: INFORM NA SILA SA MGA PARTS NA MAARING MAGAMIT AT SERVICE CHARGE -  WILLING TO PAY - FOR SCHEDULE
5/26/26 - 693: ACS: CLUTCH COMPONET PROBLEM
PARTS: 
CLUTCH DISC ASSY
CLUTCH COVER ASSY
RELEASE BEARING
CFG: REPLACED CLUTCH COVER ASSY AND RELEASE BEARING</v>
      </c>
      <c r="M1735" s="2" t="str">
        <f>IFERROR(__xludf.DUMMYFUNCTION("""COMPUTED_VALUE"""),"CLUTCH COVER ASSY
BEARING TK45 TT40030000A4")</f>
        <v>CLUTCH COVER ASSY
BEARING TK45 TT40030000A4</v>
      </c>
      <c r="N1735" s="2" t="str">
        <f>IFERROR(__xludf.DUMMYFUNCTION("""COMPUTED_VALUE"""),"PARTS:
CLUTCH COVER ASSY
BEARING TK45 TT40030000A4")</f>
        <v>PARTS:
CLUTCH COVER ASSY
BEARING TK45 TT40030000A4</v>
      </c>
      <c r="O1735" s="2">
        <f>IFERROR(__xludf.DUMMYFUNCTION("""COMPUTED_VALUE"""),777.0)</f>
        <v>777</v>
      </c>
      <c r="P1735" s="2" t="str">
        <f>IFERROR(__xludf.DUMMYFUNCTION("""COMPUTED_VALUE"""),"777 - Lumannap Aurora Irrigators Association Inc..pdf")</f>
        <v>777 - Lumannap Aurora Irrigators Association Inc..pdf</v>
      </c>
      <c r="Q1735" s="2" t="str">
        <f>IFERROR(__xludf.DUMMYFUNCTION("""COMPUTED_VALUE"""),"FOR PRINT")</f>
        <v>FOR PRINT</v>
      </c>
      <c r="R1735" s="74">
        <f>IFERROR(__xludf.DUMMYFUNCTION("""COMPUTED_VALUE"""),46177.0)</f>
        <v>46177</v>
      </c>
      <c r="S1735" s="2" t="str">
        <f>IFERROR(__xludf.DUMMYFUNCTION("""COMPUTED_VALUE"""),"CFG/EGT")</f>
        <v>CFG/EGT</v>
      </c>
      <c r="T1735" s="73">
        <f>IFERROR(__xludf.DUMMYFUNCTION("""COMPUTED_VALUE"""),32240.0)</f>
        <v>32240</v>
      </c>
      <c r="U1735" s="73" t="str">
        <f>IFERROR(__xludf.DUMMYFUNCTION("""COMPUTED_VALUE""")," FOR REMIT ")</f>
        <v>FOR REMIT</v>
      </c>
      <c r="V1735" s="2">
        <f>IFERROR(__xludf.DUMMYFUNCTION("""COMPUTED_VALUE"""),1670.0)</f>
        <v>1670</v>
      </c>
      <c r="W1735" s="2">
        <f>IFERROR(__xludf.DUMMYFUNCTION("""COMPUTED_VALUE"""),1797.0)</f>
        <v>1797</v>
      </c>
      <c r="X1735" s="2"/>
      <c r="Y1735" s="2"/>
      <c r="Z1735" s="2"/>
      <c r="AA1735" s="2"/>
      <c r="AB1735" s="2"/>
      <c r="AC1735" s="2"/>
      <c r="AD1735" s="2"/>
      <c r="AE1735" s="2"/>
      <c r="AF1735" s="2"/>
      <c r="AG1735" s="2"/>
      <c r="AH1735" s="2"/>
      <c r="AI1735" s="2"/>
      <c r="AJ1735" s="2" t="str">
        <f>IFERROR(__xludf.DUMMYFUNCTION("""COMPUTED_VALUE"""),"Aurora")</f>
        <v>Aurora</v>
      </c>
      <c r="AK1735" s="2" t="str">
        <f>IFERROR(__xludf.DUMMYFUNCTION("""COMPUTED_VALUE"""),"Quezon")</f>
        <v>Quezon</v>
      </c>
      <c r="AL1735" s="2" t="str">
        <f>IFERROR(__xludf.DUMMYFUNCTION("""COMPUTED_VALUE"""),"Nueva Vizcaya")</f>
        <v>Nueva Vizcaya</v>
      </c>
      <c r="AM1735" s="2">
        <f>IFERROR(__xludf.DUMMYFUNCTION("""COMPUTED_VALUE"""),2.0)</f>
        <v>2</v>
      </c>
      <c r="AN1735" s="2" t="str">
        <f>IFERROR(__xludf.DUMMYFUNCTION("""COMPUTED_VALUE"""),"RCEF 23-09-21 Rebidding")</f>
        <v>RCEF 23-09-21 Rebidding</v>
      </c>
      <c r="AO1735" s="2">
        <f>IFERROR(__xludf.DUMMYFUNCTION("""COMPUTED_VALUE"""),9.0)</f>
        <v>9</v>
      </c>
      <c r="AP1735" s="2"/>
      <c r="AQ1735" s="2"/>
      <c r="AR1735" s="2"/>
      <c r="AS1735" s="2"/>
      <c r="AT1735" s="2"/>
      <c r="AU1735" s="2"/>
      <c r="AV1735" s="2"/>
      <c r="AW1735" s="2"/>
      <c r="AX1735" s="2"/>
      <c r="AY1735" s="2"/>
      <c r="AZ1735" s="2"/>
      <c r="BA1735" s="2"/>
      <c r="BB1735" s="2"/>
    </row>
    <row r="1736">
      <c r="A1736" s="2">
        <f>IFERROR(__xludf.DUMMYFUNCTION("""COMPUTED_VALUE"""),1732.0)</f>
        <v>1732</v>
      </c>
      <c r="B1736" s="2" t="str">
        <f>IFERROR(__xludf.DUMMYFUNCTION("""COMPUTED_VALUE"""),"COMPLETED")</f>
        <v>COMPLETED</v>
      </c>
      <c r="C1736" s="78">
        <f>IFERROR(__xludf.DUMMYFUNCTION("""COMPUTED_VALUE"""),46162.0)</f>
        <v>46162</v>
      </c>
      <c r="D1736" s="71" t="str">
        <f>IFERROR(__xludf.DUMMYFUNCTION("""COMPUTED_VALUE"""),"Bakara Farmers Agriculture Cooperative (BFAC)")</f>
        <v>Bakara Farmers Agriculture Cooperative (BFAC)</v>
      </c>
      <c r="E1736" s="71" t="str">
        <f>IFERROR(__xludf.DUMMYFUNCTION("""COMPUTED_VALUE"""),"Toledo, Ramos, TARLAC")</f>
        <v>Toledo, Ramos, TARLAC</v>
      </c>
      <c r="F1736" s="2" t="str">
        <f>IFERROR(__xludf.DUMMYFUNCTION("""COMPUTED_VALUE"""),"SALLY MANDAPAT")</f>
        <v>SALLY MANDAPAT</v>
      </c>
      <c r="G1736" s="2">
        <f>IFERROR(__xludf.DUMMYFUNCTION("""COMPUTED_VALUE"""),9.213496545E9)</f>
        <v>9213496545</v>
      </c>
      <c r="H1736" s="2"/>
      <c r="I1736" s="72" t="str">
        <f>IFERROR(__xludf.DUMMYFUNCTION("""COMPUTED_VALUE"""),"SPARE PARTS ACQUISITION")</f>
        <v>SPARE PARTS ACQUISITION</v>
      </c>
      <c r="J1736" s="72"/>
      <c r="K1736" s="72" t="str">
        <f>IFERROR(__xludf.DUMMYFUNCTION("""COMPUTED_VALUE"""),"MYK: FRONT AXLE OIL SEAL ")</f>
        <v>MYK: FRONT AXLE OIL SEAL </v>
      </c>
      <c r="L1736" s="72" t="str">
        <f>IFERROR(__xludf.DUMMYFUNCTION("""COMPUTED_VALUE"""),"ERP: 
OIL SEAL FE78010000B (taas)
OIL SEAL TC60110000A3 (baba)
MYK: QUOTATION SENT - 
CFG: CLOSED  -  HINDI NA KUKUNIN NG CLIENT")</f>
        <v>ERP: 
OIL SEAL FE78010000B (taas)
OIL SEAL TC60110000A3 (baba)
MYK: QUOTATION SENT - 
CFG: CLOSED  -  HINDI NA KUKUNIN NG CLIENT</v>
      </c>
      <c r="M1736" s="2" t="str">
        <f>IFERROR(__xludf.DUMMYFUNCTION("""COMPUTED_VALUE"""),"OIL SEAL FE78010000B 
OIL SEAL TC60110000A3")</f>
        <v>OIL SEAL FE78010000B 
OIL SEAL TC60110000A3</v>
      </c>
      <c r="N1736" s="2"/>
      <c r="O1736" s="2" t="str">
        <f>IFERROR(__xludf.DUMMYFUNCTION("""COMPUTED_VALUE"""),"N/A")</f>
        <v>N/A</v>
      </c>
      <c r="P1736" s="2"/>
      <c r="Q1736" s="2"/>
      <c r="R1736" s="74">
        <f>IFERROR(__xludf.DUMMYFUNCTION("""COMPUTED_VALUE"""),46163.0)</f>
        <v>46163</v>
      </c>
      <c r="S1736" s="2" t="str">
        <f>IFERROR(__xludf.DUMMYFUNCTION("""COMPUTED_VALUE"""),"CFG")</f>
        <v>CFG</v>
      </c>
      <c r="T1736" s="73" t="str">
        <f>IFERROR(__xludf.DUMMYFUNCTION("""COMPUTED_VALUE""")," N/A ")</f>
        <v>N/A</v>
      </c>
      <c r="U1736" s="73" t="str">
        <f>IFERROR(__xludf.DUMMYFUNCTION("""COMPUTED_VALUE""")," NO CHARGE ")</f>
        <v>NO CHARGE</v>
      </c>
      <c r="V1736" s="2" t="str">
        <f>IFERROR(__xludf.DUMMYFUNCTION("""COMPUTED_VALUE"""),"N/A")</f>
        <v>N/A</v>
      </c>
      <c r="W1736" s="2" t="str">
        <f>IFERROR(__xludf.DUMMYFUNCTION("""COMPUTED_VALUE"""),"N/A")</f>
        <v>N/A</v>
      </c>
      <c r="X1736" s="2" t="str">
        <f>IFERROR(__xludf.DUMMYFUNCTION("""COMPUTED_VALUE"""),"N/A")</f>
        <v>N/A</v>
      </c>
      <c r="Y1736" s="2"/>
      <c r="Z1736" s="2"/>
      <c r="AA1736" s="2"/>
      <c r="AB1736" s="2"/>
      <c r="AC1736" s="2"/>
      <c r="AD1736" s="2"/>
      <c r="AE1736" s="2"/>
      <c r="AF1736" s="2"/>
      <c r="AG1736" s="2"/>
      <c r="AH1736" s="2"/>
      <c r="AI1736" s="2"/>
      <c r="AJ1736" s="2" t="str">
        <f>IFERROR(__xludf.DUMMYFUNCTION("""COMPUTED_VALUE"""),"Toledo")</f>
        <v>Toledo</v>
      </c>
      <c r="AK1736" s="2" t="str">
        <f>IFERROR(__xludf.DUMMYFUNCTION("""COMPUTED_VALUE"""),"Ramos")</f>
        <v>Ramos</v>
      </c>
      <c r="AL1736" s="2" t="str">
        <f>IFERROR(__xludf.DUMMYFUNCTION("""COMPUTED_VALUE"""),"Tarlac")</f>
        <v>Tarlac</v>
      </c>
      <c r="AM1736" s="2">
        <f>IFERROR(__xludf.DUMMYFUNCTION("""COMPUTED_VALUE"""),3.0)</f>
        <v>3</v>
      </c>
      <c r="AN1736" s="2" t="str">
        <f>IFERROR(__xludf.DUMMYFUNCTION("""COMPUTED_VALUE"""),"RCEF 23-09-21 Rebidding")</f>
        <v>RCEF 23-09-21 Rebidding</v>
      </c>
      <c r="AO1736" s="2">
        <f>IFERROR(__xludf.DUMMYFUNCTION("""COMPUTED_VALUE"""),3.0)</f>
        <v>3</v>
      </c>
      <c r="AP1736" s="2"/>
      <c r="AQ1736" s="2"/>
      <c r="AR1736" s="2"/>
      <c r="AS1736" s="2"/>
      <c r="AT1736" s="2"/>
      <c r="AU1736" s="2"/>
      <c r="AV1736" s="2"/>
      <c r="AW1736" s="2"/>
      <c r="AX1736" s="2"/>
      <c r="AY1736" s="2"/>
      <c r="AZ1736" s="2"/>
      <c r="BA1736" s="2"/>
      <c r="BB1736" s="2"/>
    </row>
    <row r="1737">
      <c r="A1737" s="2">
        <f>IFERROR(__xludf.DUMMYFUNCTION("""COMPUTED_VALUE"""),1733.0)</f>
        <v>1733</v>
      </c>
      <c r="B1737" s="2" t="str">
        <f>IFERROR(__xludf.DUMMYFUNCTION("""COMPUTED_VALUE"""),"PENDING")</f>
        <v>PENDING</v>
      </c>
      <c r="C1737" s="78">
        <f>IFERROR(__xludf.DUMMYFUNCTION("""COMPUTED_VALUE"""),46162.0)</f>
        <v>46162</v>
      </c>
      <c r="D1737" s="71" t="str">
        <f>IFERROR(__xludf.DUMMYFUNCTION("""COMPUTED_VALUE"""),"Manggawa farmers Environmental Development Association")</f>
        <v>Manggawa farmers Environmental Development Association</v>
      </c>
      <c r="E1737" s="71" t="str">
        <f>IFERROR(__xludf.DUMMYFUNCTION("""COMPUTED_VALUE"""),"New Tanglag, Tabuk City, KALINGA")</f>
        <v>New Tanglag, Tabuk City, KALINGA</v>
      </c>
      <c r="F1737" s="2" t="str">
        <f>IFERROR(__xludf.DUMMYFUNCTION("""COMPUTED_VALUE"""),"FORD CASIBANG ")</f>
        <v>FORD CASIBANG </v>
      </c>
      <c r="G1737" s="2">
        <f>IFERROR(__xludf.DUMMYFUNCTION("""COMPUTED_VALUE"""),9.52642085E9)</f>
        <v>9526420850</v>
      </c>
      <c r="H1737" s="2"/>
      <c r="I1737" s="72" t="str">
        <f>IFERROR(__xludf.DUMMYFUNCTION("""COMPUTED_VALUE"""),"REPAIR - TRACTOR")</f>
        <v>REPAIR - TRACTOR</v>
      </c>
      <c r="J1737" s="72" t="str">
        <f>IFERROR(__xludf.DUMMYFUNCTION("""COMPUTED_VALUE"""),"Transmission - Rear Drive")</f>
        <v>Transmission - Rear Drive</v>
      </c>
      <c r="K1737" s="72" t="str">
        <f>IFERROR(__xludf.DUMMYFUNCTION("""COMPUTED_VALUE"""),"CFG: Concern: transmission problem pag nilagay ko sa 2x4 di aabante pag nilagas ko sa frontdrive aabante
Wasak ang differental case assy.
# needs parts order 
 1pc assy case differential number 3 TN49030000D2 
2. 1pc Gear 32T THE 4TH number 10 TN429500"&amp;"00A3
3.  1pc Gear 30T Reverse number 32 TN42500000E3
4. 1 pc Coutner shaft number 1 TN49510000A2")</f>
        <v>CFG: Concern: transmission problem pag nilagay ko sa 2x4 di aabante pag nilagas ko sa frontdrive aabante
Wasak ang differental case assy.
# needs parts order 
 1pc assy case differential number 3 TN49030000D2 
2. 1pc Gear 32T THE 4TH number 10 TN42950000A3
3.  1pc Gear 30T Reverse number 32 TN42500000E3
4. 1 pc Coutner shaft number 1 TN49510000A2</v>
      </c>
      <c r="L1737" s="72"/>
      <c r="M1737" s="2" t="str">
        <f>IFERROR(__xludf.DUMMYFUNCTION("""COMPUTED_VALUE"""),"1. 1pc assy case differential number 3 TN49030000D2 - AVL FC
2. 1pc Gear 32T THE 4TH number 10 TN42950000A3 - AVL FC
3.  1pc Gear 30T Reverse number 32 TN42500000E3 -  AVL FC
4. 1 pc Coutner shaft number 1 TN49510000A2 - AVL FC")</f>
        <v>1. 1pc assy case differential number 3 TN49030000D2 - AVL FC
2. 1pc Gear 32T THE 4TH number 10 TN42950000A3 - AVL FC
3.  1pc Gear 30T Reverse number 32 TN42500000E3 -  AVL FC
4. 1 pc Coutner shaft number 1 TN49510000A2 - AVL FC</v>
      </c>
      <c r="N1737" s="2"/>
      <c r="O1737" s="2"/>
      <c r="P1737" s="2"/>
      <c r="Q1737" s="2"/>
      <c r="R1737" s="2"/>
      <c r="S1737" s="2"/>
      <c r="T1737" s="2"/>
      <c r="U1737" s="2"/>
      <c r="V1737" s="2"/>
      <c r="W1737" s="2"/>
      <c r="X1737" s="2"/>
      <c r="Y1737" s="2"/>
      <c r="Z1737" s="2"/>
      <c r="AA1737" s="2"/>
      <c r="AB1737" s="2"/>
      <c r="AC1737" s="2"/>
      <c r="AD1737" s="2"/>
      <c r="AE1737" s="2"/>
      <c r="AF1737" s="2"/>
      <c r="AG1737" s="2"/>
      <c r="AH1737" s="2"/>
      <c r="AI1737" s="2"/>
      <c r="AJ1737" s="2" t="str">
        <f>IFERROR(__xludf.DUMMYFUNCTION("""COMPUTED_VALUE"""),"New Tanglag")</f>
        <v>New Tanglag</v>
      </c>
      <c r="AK1737" s="2" t="str">
        <f>IFERROR(__xludf.DUMMYFUNCTION("""COMPUTED_VALUE"""),"Tabuk City")</f>
        <v>Tabuk City</v>
      </c>
      <c r="AL1737" s="2" t="str">
        <f>IFERROR(__xludf.DUMMYFUNCTION("""COMPUTED_VALUE"""),"Kalinga")</f>
        <v>Kalinga</v>
      </c>
      <c r="AM1737" s="2" t="str">
        <f>IFERROR(__xludf.DUMMYFUNCTION("""COMPUTED_VALUE"""),"CAR")</f>
        <v>CAR</v>
      </c>
      <c r="AN1737" s="2" t="str">
        <f>IFERROR(__xludf.DUMMYFUNCTION("""COMPUTED_VALUE"""),"RCEF 23-09-21 Rebidding")</f>
        <v>RCEF 23-09-21 Rebidding</v>
      </c>
      <c r="AO1737" s="2">
        <f>IFERROR(__xludf.DUMMYFUNCTION("""COMPUTED_VALUE"""),1.0)</f>
        <v>1</v>
      </c>
      <c r="AP1737" s="2"/>
      <c r="AQ1737" s="2"/>
      <c r="AR1737" s="2"/>
      <c r="AS1737" s="2"/>
      <c r="AT1737" s="2"/>
      <c r="AU1737" s="2"/>
      <c r="AV1737" s="2"/>
      <c r="AW1737" s="2"/>
      <c r="AX1737" s="2"/>
      <c r="AY1737" s="2"/>
      <c r="AZ1737" s="2"/>
      <c r="BA1737" s="2"/>
      <c r="BB1737" s="2"/>
    </row>
    <row r="1738">
      <c r="A1738" s="2">
        <f>IFERROR(__xludf.DUMMYFUNCTION("""COMPUTED_VALUE"""),1734.0)</f>
        <v>1734</v>
      </c>
      <c r="B1738" s="2" t="str">
        <f>IFERROR(__xludf.DUMMYFUNCTION("""COMPUTED_VALUE"""),"COMPLETED")</f>
        <v>COMPLETED</v>
      </c>
      <c r="C1738" s="78">
        <f>IFERROR(__xludf.DUMMYFUNCTION("""COMPUTED_VALUE"""),46162.0)</f>
        <v>46162</v>
      </c>
      <c r="D1738" s="71" t="str">
        <f>IFERROR(__xludf.DUMMYFUNCTION("""COMPUTED_VALUE"""),"AGBANNAWAG IRRIGATORS ASSOCIATION, INC")</f>
        <v>AGBANNAWAG IRRIGATORS ASSOCIATION, INC</v>
      </c>
      <c r="E1738" s="71" t="str">
        <f>IFERROR(__xludf.DUMMYFUNCTION("""COMPUTED_VALUE"""),"Agbannawag, Rizal, NUEVA ECIJA")</f>
        <v>Agbannawag, Rizal, NUEVA ECIJA</v>
      </c>
      <c r="F1738" s="2"/>
      <c r="G1738" s="2">
        <f>IFERROR(__xludf.DUMMYFUNCTION("""COMPUTED_VALUE"""),9.305011233E9)</f>
        <v>9305011233</v>
      </c>
      <c r="H1738" s="2">
        <f>IFERROR(__xludf.DUMMYFUNCTION("""COMPUTED_VALUE"""),130.0)</f>
        <v>130</v>
      </c>
      <c r="I1738" s="72" t="str">
        <f>IFERROR(__xludf.DUMMYFUNCTION("""COMPUTED_VALUE"""),"PMS")</f>
        <v>PMS</v>
      </c>
      <c r="J1738" s="72"/>
      <c r="K1738" s="72" t="str">
        <f>IFERROR(__xludf.DUMMYFUNCTION("""COMPUTED_VALUE"""),"JDP: Nag rerequest po sila ng self pms, second pms po sa engine
PROBLEM: RPM not Working
Nag pa-follow up po sila kung kelan daw po mapapalitan yung meter assembly ng tractor nila")</f>
        <v>JDP: Nag rerequest po sila ng self pms, second pms po sa engine
PROBLEM: RPM not Working
Nag pa-follow up po sila kung kelan daw po mapapalitan yung meter assembly ng tractor nila</v>
      </c>
      <c r="L1738" s="72" t="str">
        <f>IFERROR(__xludf.DUMMYFUNCTION("""COMPUTED_VALUE"""),"MYK: WRONG INFORMATION AKALA NILA EVERY 100 HRS MAG CHANGE OIL")</f>
        <v>MYK: WRONG INFORMATION AKALA NILA EVERY 100 HRS MAG CHANGE OIL</v>
      </c>
      <c r="M1738" s="2"/>
      <c r="N1738" s="2"/>
      <c r="O1738" s="2" t="str">
        <f>IFERROR(__xludf.DUMMYFUNCTION("""COMPUTED_VALUE"""),"N/A")</f>
        <v>N/A</v>
      </c>
      <c r="P1738" s="2"/>
      <c r="Q1738" s="2"/>
      <c r="R1738" s="74">
        <f>IFERROR(__xludf.DUMMYFUNCTION("""COMPUTED_VALUE"""),46164.0)</f>
        <v>46164</v>
      </c>
      <c r="S1738" s="2" t="str">
        <f>IFERROR(__xludf.DUMMYFUNCTION("""COMPUTED_VALUE"""),"MYKEE")</f>
        <v>MYKEE</v>
      </c>
      <c r="T1738" s="73" t="str">
        <f>IFERROR(__xludf.DUMMYFUNCTION("""COMPUTED_VALUE""")," N/A  ")</f>
        <v>N/A </v>
      </c>
      <c r="U1738" s="73" t="str">
        <f>IFERROR(__xludf.DUMMYFUNCTION("""COMPUTED_VALUE""")," NO CHARGE ")</f>
        <v>NO CHARGE</v>
      </c>
      <c r="V1738" s="2" t="str">
        <f>IFERROR(__xludf.DUMMYFUNCTION("""COMPUTED_VALUE"""),"N/A")</f>
        <v>N/A</v>
      </c>
      <c r="W1738" s="2" t="str">
        <f>IFERROR(__xludf.DUMMYFUNCTION("""COMPUTED_VALUE"""),"N/A")</f>
        <v>N/A</v>
      </c>
      <c r="X1738" s="2" t="str">
        <f>IFERROR(__xludf.DUMMYFUNCTION("""COMPUTED_VALUE"""),"N/A")</f>
        <v>N/A</v>
      </c>
      <c r="Y1738" s="2"/>
      <c r="Z1738" s="2"/>
      <c r="AA1738" s="2"/>
      <c r="AB1738" s="2"/>
      <c r="AC1738" s="2"/>
      <c r="AD1738" s="2"/>
      <c r="AE1738" s="2"/>
      <c r="AF1738" s="2"/>
      <c r="AG1738" s="2"/>
      <c r="AH1738" s="2"/>
      <c r="AI1738" s="2"/>
      <c r="AJ1738" s="2" t="str">
        <f>IFERROR(__xludf.DUMMYFUNCTION("""COMPUTED_VALUE"""),"Agbannawag")</f>
        <v>Agbannawag</v>
      </c>
      <c r="AK1738" s="2" t="str">
        <f>IFERROR(__xludf.DUMMYFUNCTION("""COMPUTED_VALUE"""),"Rizal")</f>
        <v>Rizal</v>
      </c>
      <c r="AL1738" s="2" t="str">
        <f>IFERROR(__xludf.DUMMYFUNCTION("""COMPUTED_VALUE"""),"Nueva Ecija")</f>
        <v>Nueva Ecija</v>
      </c>
      <c r="AM1738" s="2">
        <f>IFERROR(__xludf.DUMMYFUNCTION("""COMPUTED_VALUE"""),3.0)</f>
        <v>3</v>
      </c>
      <c r="AN1738" s="2" t="str">
        <f>IFERROR(__xludf.DUMMYFUNCTION("""COMPUTED_VALUE"""),"RCEF 25-03-05")</f>
        <v>RCEF 25-03-05</v>
      </c>
      <c r="AO1738" s="2">
        <f>IFERROR(__xludf.DUMMYFUNCTION("""COMPUTED_VALUE"""),5.0)</f>
        <v>5</v>
      </c>
      <c r="AP1738" s="2" t="str">
        <f>IFERROR(__xludf.DUMMYFUNCTION("""COMPUTED_VALUE"""),"FREE PMS")</f>
        <v>FREE PMS</v>
      </c>
      <c r="AQ1738" s="2"/>
      <c r="AR1738" s="2"/>
      <c r="AS1738" s="2"/>
      <c r="AT1738" s="2"/>
      <c r="AU1738" s="2"/>
      <c r="AV1738" s="2"/>
      <c r="AW1738" s="2"/>
      <c r="AX1738" s="2"/>
      <c r="AY1738" s="2"/>
      <c r="AZ1738" s="2"/>
      <c r="BA1738" s="2"/>
      <c r="BB1738" s="2"/>
    </row>
    <row r="1739">
      <c r="A1739" s="2">
        <f>IFERROR(__xludf.DUMMYFUNCTION("""COMPUTED_VALUE"""),1735.0)</f>
        <v>1735</v>
      </c>
      <c r="B1739" s="2" t="str">
        <f>IFERROR(__xludf.DUMMYFUNCTION("""COMPUTED_VALUE"""),"PENDING")</f>
        <v>PENDING</v>
      </c>
      <c r="C1739" s="78">
        <f>IFERROR(__xludf.DUMMYFUNCTION("""COMPUTED_VALUE"""),46162.0)</f>
        <v>46162</v>
      </c>
      <c r="D1739" s="71" t="str">
        <f>IFERROR(__xludf.DUMMYFUNCTION("""COMPUTED_VALUE"""),"Kasaka Manaol Agriculture Cooperative")</f>
        <v>Kasaka Manaol Agriculture Cooperative</v>
      </c>
      <c r="E1739" s="71" t="str">
        <f>IFERROR(__xludf.DUMMYFUNCTION("""COMPUTED_VALUE"""),"Manaul, Zaragosa, NUEVA ECIJA")</f>
        <v>Manaul, Zaragosa, NUEVA ECIJA</v>
      </c>
      <c r="F1739" s="2" t="str">
        <f>IFERROR(__xludf.DUMMYFUNCTION("""COMPUTED_VALUE"""),"SARNIE ESTEBAN")</f>
        <v>SARNIE ESTEBAN</v>
      </c>
      <c r="G1739" s="2">
        <f>IFERROR(__xludf.DUMMYFUNCTION("""COMPUTED_VALUE"""),9.355416267E9)</f>
        <v>9355416267</v>
      </c>
      <c r="H1739" s="2">
        <f>IFERROR(__xludf.DUMMYFUNCTION("""COMPUTED_VALUE"""),50.0)</f>
        <v>50</v>
      </c>
      <c r="I1739" s="72" t="str">
        <f>IFERROR(__xludf.DUMMYFUNCTION("""COMPUTED_VALUE"""),"PMS")</f>
        <v>PMS</v>
      </c>
      <c r="J1739" s="72"/>
      <c r="K1739" s="72" t="str">
        <f>IFERROR(__xludf.DUMMYFUNCTION("""COMPUTED_VALUE"""),"MYK: 1ST PMS FREE")</f>
        <v>MYK: 1ST PMS FREE</v>
      </c>
      <c r="L1739" s="72"/>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c r="AJ1739" s="2" t="str">
        <f>IFERROR(__xludf.DUMMYFUNCTION("""COMPUTED_VALUE"""),"Manaul")</f>
        <v>Manaul</v>
      </c>
      <c r="AK1739" s="2" t="str">
        <f>IFERROR(__xludf.DUMMYFUNCTION("""COMPUTED_VALUE"""),"Zaragosa")</f>
        <v>Zaragosa</v>
      </c>
      <c r="AL1739" s="2" t="str">
        <f>IFERROR(__xludf.DUMMYFUNCTION("""COMPUTED_VALUE"""),"Nueva Ecija")</f>
        <v>Nueva Ecija</v>
      </c>
      <c r="AM1739" s="2">
        <f>IFERROR(__xludf.DUMMYFUNCTION("""COMPUTED_VALUE"""),3.0)</f>
        <v>3</v>
      </c>
      <c r="AN1739" s="2" t="str">
        <f>IFERROR(__xludf.DUMMYFUNCTION("""COMPUTED_VALUE"""),"RCEF 25-03-05")</f>
        <v>RCEF 25-03-05</v>
      </c>
      <c r="AO1739" s="2">
        <f>IFERROR(__xludf.DUMMYFUNCTION("""COMPUTED_VALUE"""),5.0)</f>
        <v>5</v>
      </c>
      <c r="AP1739" s="2" t="str">
        <f>IFERROR(__xludf.DUMMYFUNCTION("""COMPUTED_VALUE"""),"FREE PMS")</f>
        <v>FREE PMS</v>
      </c>
      <c r="AQ1739" s="2"/>
      <c r="AR1739" s="2"/>
      <c r="AS1739" s="2"/>
      <c r="AT1739" s="2"/>
      <c r="AU1739" s="2"/>
      <c r="AV1739" s="2"/>
      <c r="AW1739" s="2"/>
      <c r="AX1739" s="2"/>
      <c r="AY1739" s="2"/>
      <c r="AZ1739" s="2"/>
      <c r="BA1739" s="2"/>
      <c r="BB1739" s="2"/>
    </row>
    <row r="1740">
      <c r="A1740" s="2">
        <f>IFERROR(__xludf.DUMMYFUNCTION("""COMPUTED_VALUE"""),1736.0)</f>
        <v>1736</v>
      </c>
      <c r="B1740" s="2" t="str">
        <f>IFERROR(__xludf.DUMMYFUNCTION("""COMPUTED_VALUE"""),"PENDING")</f>
        <v>PENDING</v>
      </c>
      <c r="C1740" s="78">
        <f>IFERROR(__xludf.DUMMYFUNCTION("""COMPUTED_VALUE"""),46162.0)</f>
        <v>46162</v>
      </c>
      <c r="D1740" s="71" t="str">
        <f>IFERROR(__xludf.DUMMYFUNCTION("""COMPUTED_VALUE"""),"NEGATIL RICE AND HIGH VALUE CROPS FARMERS ASSOCIATION")</f>
        <v>NEGATIL RICE AND HIGH VALUE CROPS FARMERS ASSOCIATION</v>
      </c>
      <c r="E1740" s="71" t="str">
        <f>IFERROR(__xludf.DUMMYFUNCTION("""COMPUTED_VALUE"""),"Grullo, San Narciso, ZAMBALES")</f>
        <v>Grullo, San Narciso, ZAMBALES</v>
      </c>
      <c r="F1740" s="2" t="str">
        <f>IFERROR(__xludf.DUMMYFUNCTION("""COMPUTED_VALUE"""),"NOEL YADAO")</f>
        <v>NOEL YADAO</v>
      </c>
      <c r="G1740" s="2">
        <f>IFERROR(__xludf.DUMMYFUNCTION("""COMPUTED_VALUE"""),9.707247003E9)</f>
        <v>9707247003</v>
      </c>
      <c r="H1740" s="2"/>
      <c r="I1740" s="72" t="str">
        <f>IFERROR(__xludf.DUMMYFUNCTION("""COMPUTED_VALUE"""),"REPAIR - LOADER")</f>
        <v>REPAIR - LOADER</v>
      </c>
      <c r="J1740" s="72" t="str">
        <f>IFERROR(__xludf.DUMMYFUNCTION("""COMPUTED_VALUE"""),"Cable lock")</f>
        <v>Cable lock</v>
      </c>
      <c r="K1740" s="72" t="str">
        <f>IFERROR(__xludf.DUMMYFUNCTION("""COMPUTED_VALUE"""),"MYK: AYAW GUMANA UMANGAT NG DOSER")</f>
        <v>MYK: AYAW GUMANA UMANGAT NG DOSER</v>
      </c>
      <c r="L1740" s="72"/>
      <c r="M1740" s="2" t="str">
        <f>IFERROR(__xludf.DUMMYFUNCTION("""COMPUTED_VALUE"""),"CABLE LOCK")</f>
        <v>CABLE LOCK</v>
      </c>
      <c r="N1740" s="2"/>
      <c r="O1740" s="2"/>
      <c r="P1740" s="2"/>
      <c r="Q1740" s="2"/>
      <c r="R1740" s="2"/>
      <c r="S1740" s="2"/>
      <c r="T1740" s="2"/>
      <c r="U1740" s="2"/>
      <c r="V1740" s="2"/>
      <c r="W1740" s="2"/>
      <c r="X1740" s="2"/>
      <c r="Y1740" s="2"/>
      <c r="Z1740" s="2"/>
      <c r="AA1740" s="2"/>
      <c r="AB1740" s="2"/>
      <c r="AC1740" s="2"/>
      <c r="AD1740" s="2"/>
      <c r="AE1740" s="2"/>
      <c r="AF1740" s="2"/>
      <c r="AG1740" s="2"/>
      <c r="AH1740" s="2"/>
      <c r="AI1740" s="2"/>
      <c r="AJ1740" s="2" t="str">
        <f>IFERROR(__xludf.DUMMYFUNCTION("""COMPUTED_VALUE"""),"Grullo")</f>
        <v>Grullo</v>
      </c>
      <c r="AK1740" s="2" t="str">
        <f>IFERROR(__xludf.DUMMYFUNCTION("""COMPUTED_VALUE"""),"San Narciso")</f>
        <v>San Narciso</v>
      </c>
      <c r="AL1740" s="2" t="str">
        <f>IFERROR(__xludf.DUMMYFUNCTION("""COMPUTED_VALUE"""),"Zambales")</f>
        <v>Zambales</v>
      </c>
      <c r="AM1740" s="2">
        <f>IFERROR(__xludf.DUMMYFUNCTION("""COMPUTED_VALUE"""),3.0)</f>
        <v>3</v>
      </c>
      <c r="AN1740" s="2" t="str">
        <f>IFERROR(__xludf.DUMMYFUNCTION("""COMPUTED_VALUE"""),"RCEF 25-03-05")</f>
        <v>RCEF 25-03-05</v>
      </c>
      <c r="AO1740" s="2">
        <f>IFERROR(__xludf.DUMMYFUNCTION("""COMPUTED_VALUE"""),5.0)</f>
        <v>5</v>
      </c>
      <c r="AP1740" s="2" t="str">
        <f>IFERROR(__xludf.DUMMYFUNCTION("""COMPUTED_VALUE"""),"FREE PMS")</f>
        <v>FREE PMS</v>
      </c>
      <c r="AQ1740" s="2"/>
      <c r="AR1740" s="2"/>
      <c r="AS1740" s="2"/>
      <c r="AT1740" s="2"/>
      <c r="AU1740" s="2"/>
      <c r="AV1740" s="2"/>
      <c r="AW1740" s="2"/>
      <c r="AX1740" s="2"/>
      <c r="AY1740" s="2"/>
      <c r="AZ1740" s="2"/>
      <c r="BA1740" s="2"/>
      <c r="BB1740" s="2"/>
    </row>
    <row r="1741">
      <c r="A1741" s="2">
        <f>IFERROR(__xludf.DUMMYFUNCTION("""COMPUTED_VALUE"""),1737.0)</f>
        <v>1737</v>
      </c>
      <c r="B1741" s="2" t="str">
        <f>IFERROR(__xludf.DUMMYFUNCTION("""COMPUTED_VALUE"""),"PENDING")</f>
        <v>PENDING</v>
      </c>
      <c r="C1741" s="78">
        <f>IFERROR(__xludf.DUMMYFUNCTION("""COMPUTED_VALUE"""),46163.0)</f>
        <v>46163</v>
      </c>
      <c r="D1741" s="71" t="str">
        <f>IFERROR(__xludf.DUMMYFUNCTION("""COMPUTED_VALUE"""),"Amnay Cabagan Irrigators and Farmers Agriculture Cooperative")</f>
        <v>Amnay Cabagan Irrigators and Farmers Agriculture Cooperative</v>
      </c>
      <c r="E1741" s="71" t="str">
        <f>IFERROR(__xludf.DUMMYFUNCTION("""COMPUTED_VALUE"""),"Barahan, Santa Cruz, OCCIDENTAL MINDORO")</f>
        <v>Barahan, Santa Cruz, OCCIDENTAL MINDORO</v>
      </c>
      <c r="F1741" s="2" t="str">
        <f>IFERROR(__xludf.DUMMYFUNCTION("""COMPUTED_VALUE"""),"Somulo Salgado")</f>
        <v>Somulo Salgado</v>
      </c>
      <c r="G1741" s="2"/>
      <c r="H1741" s="2"/>
      <c r="I1741" s="72" t="str">
        <f>IFERROR(__xludf.DUMMYFUNCTION("""COMPUTED_VALUE"""),"REPAIR - TRACTOR")</f>
        <v>REPAIR - TRACTOR</v>
      </c>
      <c r="J1741" s="72" t="str">
        <f>IFERROR(__xludf.DUMMYFUNCTION("""COMPUTED_VALUE"""),"Electrical - Harness")</f>
        <v>Electrical - Harness</v>
      </c>
      <c r="K1741" s="72" t="str">
        <f>IFERROR(__xludf.DUMMYFUNCTION("""COMPUTED_VALUE"""),"JTT: Problem na sunod Ang mga weri kaya hnd mapaandar Ang unit/ rice seeder ipapa check")</f>
        <v>JTT: Problem na sunod Ang mga weri kaya hnd mapaandar Ang unit/ rice seeder ipapa check</v>
      </c>
      <c r="L1741" s="72"/>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c r="AJ1741" s="2" t="str">
        <f>IFERROR(__xludf.DUMMYFUNCTION("""COMPUTED_VALUE"""),"Barahan")</f>
        <v>Barahan</v>
      </c>
      <c r="AK1741" s="2" t="str">
        <f>IFERROR(__xludf.DUMMYFUNCTION("""COMPUTED_VALUE"""),"Santa Cruz")</f>
        <v>Santa Cruz</v>
      </c>
      <c r="AL1741" s="2" t="str">
        <f>IFERROR(__xludf.DUMMYFUNCTION("""COMPUTED_VALUE"""),"Occidental Mindoro")</f>
        <v>Occidental Mindoro</v>
      </c>
      <c r="AM1741" s="2" t="str">
        <f>IFERROR(__xludf.DUMMYFUNCTION("""COMPUTED_VALUE"""),"4B")</f>
        <v>4B</v>
      </c>
      <c r="AN1741" s="2" t="str">
        <f>IFERROR(__xludf.DUMMYFUNCTION("""COMPUTED_VALUE"""),"RCEF 24-04-15")</f>
        <v>RCEF 24-04-15</v>
      </c>
      <c r="AO1741" s="2">
        <f>IFERROR(__xludf.DUMMYFUNCTION("""COMPUTED_VALUE"""),7.0)</f>
        <v>7</v>
      </c>
      <c r="AP1741" s="2" t="str">
        <f>IFERROR(__xludf.DUMMYFUNCTION("""COMPUTED_VALUE"""),"FREE PMS")</f>
        <v>FREE PMS</v>
      </c>
      <c r="AQ1741" s="2"/>
      <c r="AR1741" s="2"/>
      <c r="AS1741" s="2"/>
      <c r="AT1741" s="2"/>
      <c r="AU1741" s="2"/>
      <c r="AV1741" s="2"/>
      <c r="AW1741" s="2"/>
      <c r="AX1741" s="2"/>
      <c r="AY1741" s="2"/>
      <c r="AZ1741" s="2"/>
      <c r="BA1741" s="2"/>
      <c r="BB1741" s="2"/>
    </row>
    <row r="1742">
      <c r="A1742" s="2">
        <f>IFERROR(__xludf.DUMMYFUNCTION("""COMPUTED_VALUE"""),1738.0)</f>
        <v>1738</v>
      </c>
      <c r="B1742" s="2" t="str">
        <f>IFERROR(__xludf.DUMMYFUNCTION("""COMPUTED_VALUE"""),"PENDING")</f>
        <v>PENDING</v>
      </c>
      <c r="C1742" s="78">
        <f>IFERROR(__xludf.DUMMYFUNCTION("""COMPUTED_VALUE"""),46164.0)</f>
        <v>46164</v>
      </c>
      <c r="D1742" s="71" t="str">
        <f>IFERROR(__xludf.DUMMYFUNCTION("""COMPUTED_VALUE"""),"Barangay Ubang Farmers Field School Association")</f>
        <v>Barangay Ubang Farmers Field School Association</v>
      </c>
      <c r="E1742" s="71" t="str">
        <f>IFERROR(__xludf.DUMMYFUNCTION("""COMPUTED_VALUE"""),"Ubang, Capalonga, CAMARINES NORTE")</f>
        <v>Ubang, Capalonga, CAMARINES NORTE</v>
      </c>
      <c r="F1742" s="2" t="str">
        <f>IFERROR(__xludf.DUMMYFUNCTION("""COMPUTED_VALUE"""),"Godofredo Parale")</f>
        <v>Godofredo Parale</v>
      </c>
      <c r="G1742" s="2"/>
      <c r="H1742" s="2">
        <f>IFERROR(__xludf.DUMMYFUNCTION("""COMPUTED_VALUE"""),100.0)</f>
        <v>100</v>
      </c>
      <c r="I1742" s="72" t="str">
        <f>IFERROR(__xludf.DUMMYFUNCTION("""COMPUTED_VALUE"""),"PMS")</f>
        <v>PMS</v>
      </c>
      <c r="J1742" s="72" t="str">
        <f>IFERROR(__xludf.DUMMYFUNCTION("""COMPUTED_VALUE"""),"pms")</f>
        <v>pms</v>
      </c>
      <c r="K1742" s="72" t="str">
        <f>IFERROR(__xludf.DUMMYFUNCTION("""COMPUTED_VALUE"""),"JTT: FOR 1ST PMS FREE")</f>
        <v>JTT: FOR 1ST PMS FREE</v>
      </c>
      <c r="L1742" s="72"/>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c r="AJ1742" s="2" t="str">
        <f>IFERROR(__xludf.DUMMYFUNCTION("""COMPUTED_VALUE"""),"Ubang")</f>
        <v>Ubang</v>
      </c>
      <c r="AK1742" s="2" t="str">
        <f>IFERROR(__xludf.DUMMYFUNCTION("""COMPUTED_VALUE"""),"Capalonga")</f>
        <v>Capalonga</v>
      </c>
      <c r="AL1742" s="2" t="str">
        <f>IFERROR(__xludf.DUMMYFUNCTION("""COMPUTED_VALUE"""),"Camarines Norte")</f>
        <v>Camarines Norte</v>
      </c>
      <c r="AM1742" s="2">
        <f>IFERROR(__xludf.DUMMYFUNCTION("""COMPUTED_VALUE"""),5.0)</f>
        <v>5</v>
      </c>
      <c r="AN1742" s="2" t="str">
        <f>IFERROR(__xludf.DUMMYFUNCTION("""COMPUTED_VALUE"""),"RCEF 25-03-05")</f>
        <v>RCEF 25-03-05</v>
      </c>
      <c r="AO1742" s="2">
        <f>IFERROR(__xludf.DUMMYFUNCTION("""COMPUTED_VALUE"""),6.0)</f>
        <v>6</v>
      </c>
      <c r="AP1742" s="2" t="str">
        <f>IFERROR(__xludf.DUMMYFUNCTION("""COMPUTED_VALUE"""),"FREE PMS")</f>
        <v>FREE PMS</v>
      </c>
      <c r="AQ1742" s="2"/>
      <c r="AR1742" s="2"/>
      <c r="AS1742" s="2"/>
      <c r="AT1742" s="2"/>
      <c r="AU1742" s="2"/>
      <c r="AV1742" s="2"/>
      <c r="AW1742" s="2"/>
      <c r="AX1742" s="2"/>
      <c r="AY1742" s="2"/>
      <c r="AZ1742" s="2"/>
      <c r="BA1742" s="2"/>
      <c r="BB1742" s="2"/>
    </row>
    <row r="1743">
      <c r="A1743" s="2">
        <f>IFERROR(__xludf.DUMMYFUNCTION("""COMPUTED_VALUE"""),1739.0)</f>
        <v>1739</v>
      </c>
      <c r="B1743" s="2" t="str">
        <f>IFERROR(__xludf.DUMMYFUNCTION("""COMPUTED_VALUE"""),"PENDING")</f>
        <v>PENDING</v>
      </c>
      <c r="C1743" s="78">
        <f>IFERROR(__xludf.DUMMYFUNCTION("""COMPUTED_VALUE"""),46164.0)</f>
        <v>46164</v>
      </c>
      <c r="D1743" s="71" t="str">
        <f>IFERROR(__xludf.DUMMYFUNCTION("""COMPUTED_VALUE"""),"Samahang Magsasaka ng Imbunia Agriculture Cooperative (SM IMBUNIA AGRI. COOP)")</f>
        <v>Samahang Magsasaka ng Imbunia Agriculture Cooperative (SM IMBUNIA AGRI. COOP)</v>
      </c>
      <c r="E1743" s="71" t="str">
        <f>IFERROR(__xludf.DUMMYFUNCTION("""COMPUTED_VALUE"""),"Imbunia, Jaen, Nueva Ecija")</f>
        <v>Imbunia, Jaen, Nueva Ecija</v>
      </c>
      <c r="F1743" s="2" t="str">
        <f>IFERROR(__xludf.DUMMYFUNCTION("""COMPUTED_VALUE"""),"Sim Cuyson")</f>
        <v>Sim Cuyson</v>
      </c>
      <c r="G1743" s="2">
        <f>IFERROR(__xludf.DUMMYFUNCTION("""COMPUTED_VALUE"""),9.178853992E9)</f>
        <v>9178853992</v>
      </c>
      <c r="H1743" s="2">
        <f>IFERROR(__xludf.DUMMYFUNCTION("""COMPUTED_VALUE"""),200.7)</f>
        <v>200.7</v>
      </c>
      <c r="I1743" s="72" t="str">
        <f>IFERROR(__xludf.DUMMYFUNCTION("""COMPUTED_VALUE"""),"REPAIR - LOADER")</f>
        <v>REPAIR - LOADER</v>
      </c>
      <c r="J1743" s="72" t="str">
        <f>IFERROR(__xludf.DUMMYFUNCTION("""COMPUTED_VALUE"""),"Cable lock")</f>
        <v>Cable lock</v>
      </c>
      <c r="K1743" s="72" t="str">
        <f>IFERROR(__xludf.DUMMYFUNCTION("""COMPUTED_VALUE"""),"KFS: Check ng tractor - ayaw umangat ng implement")</f>
        <v>KFS: Check ng tractor - ayaw umangat ng implement</v>
      </c>
      <c r="L1743" s="72"/>
      <c r="M1743" s="2"/>
      <c r="N1743" s="2"/>
      <c r="O1743" s="2"/>
      <c r="P1743" s="2"/>
      <c r="Q1743" s="2"/>
      <c r="R1743" s="2"/>
      <c r="S1743" s="2"/>
      <c r="T1743" s="2"/>
      <c r="U1743" s="2"/>
      <c r="V1743" s="2"/>
      <c r="W1743" s="2"/>
      <c r="X1743" s="2"/>
      <c r="Y1743" s="2"/>
      <c r="Z1743" s="2"/>
      <c r="AA1743" s="2"/>
      <c r="AB1743" s="2"/>
      <c r="AC1743" s="2"/>
      <c r="AD1743" s="2"/>
      <c r="AE1743" s="2"/>
      <c r="AF1743" s="2"/>
      <c r="AG1743" s="2"/>
      <c r="AH1743" s="2"/>
      <c r="AI1743" s="2"/>
      <c r="AJ1743" s="2" t="str">
        <f>IFERROR(__xludf.DUMMYFUNCTION("""COMPUTED_VALUE"""),"Imbunia")</f>
        <v>Imbunia</v>
      </c>
      <c r="AK1743" s="2" t="str">
        <f>IFERROR(__xludf.DUMMYFUNCTION("""COMPUTED_VALUE"""),"Jaen")</f>
        <v>Jaen</v>
      </c>
      <c r="AL1743" s="2" t="str">
        <f>IFERROR(__xludf.DUMMYFUNCTION("""COMPUTED_VALUE"""),"Nueva Ecija")</f>
        <v>Nueva Ecija</v>
      </c>
      <c r="AM1743" s="2">
        <f>IFERROR(__xludf.DUMMYFUNCTION("""COMPUTED_VALUE"""),3.0)</f>
        <v>3</v>
      </c>
      <c r="AN1743" s="2" t="str">
        <f>IFERROR(__xludf.DUMMYFUNCTION("""COMPUTED_VALUE"""),"RCEF 24-04-15")</f>
        <v>RCEF 24-04-15</v>
      </c>
      <c r="AO1743" s="2">
        <f>IFERROR(__xludf.DUMMYFUNCTION("""COMPUTED_VALUE"""),6.0)</f>
        <v>6</v>
      </c>
      <c r="AP1743" s="2" t="str">
        <f>IFERROR(__xludf.DUMMYFUNCTION("""COMPUTED_VALUE"""),"FREE PMS")</f>
        <v>FREE PMS</v>
      </c>
      <c r="AQ1743" s="2"/>
      <c r="AR1743" s="2"/>
      <c r="AS1743" s="2"/>
      <c r="AT1743" s="2"/>
      <c r="AU1743" s="2"/>
      <c r="AV1743" s="2"/>
      <c r="AW1743" s="2"/>
      <c r="AX1743" s="2"/>
      <c r="AY1743" s="2"/>
      <c r="AZ1743" s="2"/>
      <c r="BA1743" s="2"/>
      <c r="BB1743" s="2"/>
    </row>
    <row r="1744">
      <c r="A1744" s="2">
        <f>IFERROR(__xludf.DUMMYFUNCTION("""COMPUTED_VALUE"""),1740.0)</f>
        <v>1740</v>
      </c>
      <c r="B1744" s="2" t="str">
        <f>IFERROR(__xludf.DUMMYFUNCTION("""COMPUTED_VALUE"""),"PENDING")</f>
        <v>PENDING</v>
      </c>
      <c r="C1744" s="78">
        <f>IFERROR(__xludf.DUMMYFUNCTION("""COMPUTED_VALUE"""),46165.0)</f>
        <v>46165</v>
      </c>
      <c r="D1744" s="71" t="str">
        <f>IFERROR(__xludf.DUMMYFUNCTION("""COMPUTED_VALUE"""),"Pasig Integrated Farmers Association")</f>
        <v>Pasig Integrated Farmers Association</v>
      </c>
      <c r="E1744" s="71" t="str">
        <f>IFERROR(__xludf.DUMMYFUNCTION("""COMPUTED_VALUE"""),"Pasig, Sara, ILOILO")</f>
        <v>Pasig, Sara, ILOILO</v>
      </c>
      <c r="F1744" s="2" t="str">
        <f>IFERROR(__xludf.DUMMYFUNCTION("""COMPUTED_VALUE"""),"Danilo Dangan")</f>
        <v>Danilo Dangan</v>
      </c>
      <c r="G1744" s="2">
        <f>IFERROR(__xludf.DUMMYFUNCTION("""COMPUTED_VALUE"""),9.640869974E9)</f>
        <v>9640869974</v>
      </c>
      <c r="H1744" s="2"/>
      <c r="I1744" s="72" t="str">
        <f>IFERROR(__xludf.DUMMYFUNCTION("""COMPUTED_VALUE"""),"REPAIR - DISC PLOW")</f>
        <v>REPAIR - DISC PLOW</v>
      </c>
      <c r="J1744" s="72" t="str">
        <f>IFERROR(__xludf.DUMMYFUNCTION("""COMPUTED_VALUE"""),"Leak")</f>
        <v>Leak</v>
      </c>
      <c r="K1744" s="72" t="str">
        <f>IFERROR(__xludf.DUMMYFUNCTION("""COMPUTED_VALUE"""),"EGT: Issues/Concern: Leaking of oil sa disc plow
LTC CS: UPDATE - Requeted parts;
For disc plough
1 pc Oil seal 458512
If parts available bibilhin nila agad kahit pa LBC agad. ")</f>
        <v>EGT: Issues/Concern: Leaking of oil sa disc plow
LTC CS: UPDATE - Requeted parts;
For disc plough
1 pc Oil seal 458512
If parts available bibilhin nila agad kahit pa LBC agad. </v>
      </c>
      <c r="L1744" s="72"/>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c r="AJ1744" s="2" t="str">
        <f>IFERROR(__xludf.DUMMYFUNCTION("""COMPUTED_VALUE"""),"Pasig")</f>
        <v>Pasig</v>
      </c>
      <c r="AK1744" s="2" t="str">
        <f>IFERROR(__xludf.DUMMYFUNCTION("""COMPUTED_VALUE"""),"Sara")</f>
        <v>Sara</v>
      </c>
      <c r="AL1744" s="2" t="str">
        <f>IFERROR(__xludf.DUMMYFUNCTION("""COMPUTED_VALUE"""),"Iloilo")</f>
        <v>Iloilo</v>
      </c>
      <c r="AM1744" s="2">
        <f>IFERROR(__xludf.DUMMYFUNCTION("""COMPUTED_VALUE"""),6.0)</f>
        <v>6</v>
      </c>
      <c r="AN1744" s="2" t="str">
        <f>IFERROR(__xludf.DUMMYFUNCTION("""COMPUTED_VALUE"""),"RCEF 25-03-05")</f>
        <v>RCEF 25-03-05</v>
      </c>
      <c r="AO1744" s="2">
        <f>IFERROR(__xludf.DUMMYFUNCTION("""COMPUTED_VALUE"""),7.0)</f>
        <v>7</v>
      </c>
      <c r="AP1744" s="2" t="str">
        <f>IFERROR(__xludf.DUMMYFUNCTION("""COMPUTED_VALUE"""),"FREE PMS")</f>
        <v>FREE PMS</v>
      </c>
      <c r="AQ1744" s="2"/>
      <c r="AR1744" s="2"/>
      <c r="AS1744" s="2"/>
      <c r="AT1744" s="2"/>
      <c r="AU1744" s="2"/>
      <c r="AV1744" s="2"/>
      <c r="AW1744" s="2"/>
      <c r="AX1744" s="2"/>
      <c r="AY1744" s="2"/>
      <c r="AZ1744" s="2"/>
      <c r="BA1744" s="2"/>
      <c r="BB1744" s="2"/>
    </row>
    <row r="1745">
      <c r="A1745" s="2">
        <f>IFERROR(__xludf.DUMMYFUNCTION("""COMPUTED_VALUE"""),1741.0)</f>
        <v>1741</v>
      </c>
      <c r="B1745" s="2" t="str">
        <f>IFERROR(__xludf.DUMMYFUNCTION("""COMPUTED_VALUE"""),"PENDING")</f>
        <v>PENDING</v>
      </c>
      <c r="C1745" s="78">
        <f>IFERROR(__xludf.DUMMYFUNCTION("""COMPUTED_VALUE"""),46167.0)</f>
        <v>46167</v>
      </c>
      <c r="D1745" s="71" t="str">
        <f>IFERROR(__xludf.DUMMYFUNCTION("""COMPUTED_VALUE"""),"BRGY. POBLACION SUR AGRICULTURAL FARMERS ASSOCIATION")</f>
        <v>BRGY. POBLACION SUR AGRICULTURAL FARMERS ASSOCIATION</v>
      </c>
      <c r="E1745" s="71" t="str">
        <f>IFERROR(__xludf.DUMMYFUNCTION("""COMPUTED_VALUE"""),"Poblacion Sur, Mayantoc, TARLAC")</f>
        <v>Poblacion Sur, Mayantoc, TARLAC</v>
      </c>
      <c r="F1745" s="2" t="str">
        <f>IFERROR(__xludf.DUMMYFUNCTION("""COMPUTED_VALUE"""),"Jesus Toledo")</f>
        <v>Jesus Toledo</v>
      </c>
      <c r="G1745" s="2">
        <f>IFERROR(__xludf.DUMMYFUNCTION("""COMPUTED_VALUE"""),9.613061992E9)</f>
        <v>9613061992</v>
      </c>
      <c r="H1745" s="2">
        <f>IFERROR(__xludf.DUMMYFUNCTION("""COMPUTED_VALUE"""),123.6)</f>
        <v>123.6</v>
      </c>
      <c r="I1745" s="72" t="str">
        <f>IFERROR(__xludf.DUMMYFUNCTION("""COMPUTED_VALUE"""),"REPAIR - LOADER")</f>
        <v>REPAIR - LOADER</v>
      </c>
      <c r="J1745" s="72" t="str">
        <f>IFERROR(__xludf.DUMMYFUNCTION("""COMPUTED_VALUE"""),"Cable lock")</f>
        <v>Cable lock</v>
      </c>
      <c r="K1745" s="72" t="str">
        <f>IFERROR(__xludf.DUMMYFUNCTION("""COMPUTED_VALUE"""),"JHP: Ayaw pong umangat yong loader Niya kc may nabali Po na part")</f>
        <v>JHP: Ayaw pong umangat yong loader Niya kc may nabali Po na part</v>
      </c>
      <c r="L1745" s="72"/>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c r="AJ1745" s="2" t="str">
        <f>IFERROR(__xludf.DUMMYFUNCTION("""COMPUTED_VALUE"""),"Poblacion Sur")</f>
        <v>Poblacion Sur</v>
      </c>
      <c r="AK1745" s="2" t="str">
        <f>IFERROR(__xludf.DUMMYFUNCTION("""COMPUTED_VALUE"""),"Mayantoc")</f>
        <v>Mayantoc</v>
      </c>
      <c r="AL1745" s="2" t="str">
        <f>IFERROR(__xludf.DUMMYFUNCTION("""COMPUTED_VALUE"""),"Tarlac")</f>
        <v>Tarlac</v>
      </c>
      <c r="AM1745" s="2">
        <f>IFERROR(__xludf.DUMMYFUNCTION("""COMPUTED_VALUE"""),3.0)</f>
        <v>3</v>
      </c>
      <c r="AN1745" s="2" t="str">
        <f>IFERROR(__xludf.DUMMYFUNCTION("""COMPUTED_VALUE"""),"RCEF 25-03-05")</f>
        <v>RCEF 25-03-05</v>
      </c>
      <c r="AO1745" s="2">
        <f>IFERROR(__xludf.DUMMYFUNCTION("""COMPUTED_VALUE"""),5.0)</f>
        <v>5</v>
      </c>
      <c r="AP1745" s="2" t="str">
        <f>IFERROR(__xludf.DUMMYFUNCTION("""COMPUTED_VALUE"""),"FREE PMS")</f>
        <v>FREE PMS</v>
      </c>
      <c r="AQ1745" s="2"/>
      <c r="AR1745" s="2"/>
      <c r="AS1745" s="2"/>
      <c r="AT1745" s="2"/>
      <c r="AU1745" s="2"/>
      <c r="AV1745" s="2"/>
      <c r="AW1745" s="2"/>
      <c r="AX1745" s="2"/>
      <c r="AY1745" s="2"/>
      <c r="AZ1745" s="2"/>
      <c r="BA1745" s="2"/>
      <c r="BB1745" s="2"/>
    </row>
    <row r="1746">
      <c r="A1746" s="2">
        <f>IFERROR(__xludf.DUMMYFUNCTION("""COMPUTED_VALUE"""),1742.0)</f>
        <v>1742</v>
      </c>
      <c r="B1746" s="2" t="str">
        <f>IFERROR(__xludf.DUMMYFUNCTION("""COMPUTED_VALUE"""),"PENDING")</f>
        <v>PENDING</v>
      </c>
      <c r="C1746" s="78">
        <f>IFERROR(__xludf.DUMMYFUNCTION("""COMPUTED_VALUE"""),46167.0)</f>
        <v>46167</v>
      </c>
      <c r="D1746" s="71" t="str">
        <f>IFERROR(__xludf.DUMMYFUNCTION("""COMPUTED_VALUE"""),"MAGSASAKA NG BAGONG HENERASYON NG BARANGAY SIMMINUBLAN (MBHBS)")</f>
        <v>MAGSASAKA NG BAGONG HENERASYON NG BARANGAY SIMMINUBLAN (MBHBS)</v>
      </c>
      <c r="E1746" s="71" t="str">
        <f>IFERROR(__xludf.DUMMYFUNCTION("""COMPUTED_VALUE"""),"Siminublan, San Narciso, ZAMBALES")</f>
        <v>Siminublan, San Narciso, ZAMBALES</v>
      </c>
      <c r="F1746" s="2" t="str">
        <f>IFERROR(__xludf.DUMMYFUNCTION("""COMPUTED_VALUE"""),"JACQUILINE DADURAL")</f>
        <v>JACQUILINE DADURAL</v>
      </c>
      <c r="G1746" s="2">
        <f>IFERROR(__xludf.DUMMYFUNCTION("""COMPUTED_VALUE"""),9.100724561E9)</f>
        <v>9100724561</v>
      </c>
      <c r="H1746" s="2">
        <f>IFERROR(__xludf.DUMMYFUNCTION("""COMPUTED_VALUE"""),346.0)</f>
        <v>346</v>
      </c>
      <c r="I1746" s="72" t="str">
        <f>IFERROR(__xludf.DUMMYFUNCTION("""COMPUTED_VALUE"""),"SPARE PARTS ACQUISITION")</f>
        <v>SPARE PARTS ACQUISITION</v>
      </c>
      <c r="J1746" s="72" t="str">
        <f>IFERROR(__xludf.DUMMYFUNCTION("""COMPUTED_VALUE"""),"SPARE PARTS ACQUISITION")</f>
        <v>SPARE PARTS ACQUISITION</v>
      </c>
      <c r="K1746" s="72" t="str">
        <f>IFERROR(__xludf.DUMMYFUNCTION("""COMPUTED_VALUE"""),"JVV: PARTS ORDER: HYDRAULIC FILTER ")</f>
        <v>JVV: PARTS ORDER: HYDRAULIC FILTER </v>
      </c>
      <c r="L1746" s="72" t="str">
        <f>IFERROR(__xludf.DUMMYFUNCTION("""COMPUTED_VALUE"""),"MYK: CALL- RINGING NO NASWER")</f>
        <v>MYK: CALL- RINGING NO NASWER</v>
      </c>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c r="AJ1746" s="2" t="str">
        <f>IFERROR(__xludf.DUMMYFUNCTION("""COMPUTED_VALUE"""),"Siminublan")</f>
        <v>Siminublan</v>
      </c>
      <c r="AK1746" s="2" t="str">
        <f>IFERROR(__xludf.DUMMYFUNCTION("""COMPUTED_VALUE"""),"San Narciso")</f>
        <v>San Narciso</v>
      </c>
      <c r="AL1746" s="2" t="str">
        <f>IFERROR(__xludf.DUMMYFUNCTION("""COMPUTED_VALUE"""),"Zambales")</f>
        <v>Zambales</v>
      </c>
      <c r="AM1746" s="2">
        <f>IFERROR(__xludf.DUMMYFUNCTION("""COMPUTED_VALUE"""),3.0)</f>
        <v>3</v>
      </c>
      <c r="AN1746" s="2" t="str">
        <f>IFERROR(__xludf.DUMMYFUNCTION("""COMPUTED_VALUE"""),"RCEF 23-09-21 Rebidding")</f>
        <v>RCEF 23-09-21 Rebidding</v>
      </c>
      <c r="AO1746" s="2">
        <f>IFERROR(__xludf.DUMMYFUNCTION("""COMPUTED_VALUE"""),9.0)</f>
        <v>9</v>
      </c>
      <c r="AP1746" s="2"/>
      <c r="AQ1746" s="2"/>
      <c r="AR1746" s="2"/>
      <c r="AS1746" s="2"/>
      <c r="AT1746" s="2"/>
      <c r="AU1746" s="2"/>
      <c r="AV1746" s="2"/>
      <c r="AW1746" s="2"/>
      <c r="AX1746" s="2"/>
      <c r="AY1746" s="2"/>
      <c r="AZ1746" s="2"/>
      <c r="BA1746" s="2"/>
      <c r="BB1746" s="2"/>
    </row>
    <row r="1747">
      <c r="A1747" s="2">
        <f>IFERROR(__xludf.DUMMYFUNCTION("""COMPUTED_VALUE"""),1743.0)</f>
        <v>1743</v>
      </c>
      <c r="B1747" s="2" t="str">
        <f>IFERROR(__xludf.DUMMYFUNCTION("""COMPUTED_VALUE"""),"PENDING")</f>
        <v>PENDING</v>
      </c>
      <c r="C1747" s="78">
        <f>IFERROR(__xludf.DUMMYFUNCTION("""COMPUTED_VALUE"""),46168.0)</f>
        <v>46168</v>
      </c>
      <c r="D1747" s="71" t="str">
        <f>IFERROR(__xludf.DUMMYFUNCTION("""COMPUTED_VALUE"""),"Magarao Multi-Purpose Cooperative")</f>
        <v>Magarao Multi-Purpose Cooperative</v>
      </c>
      <c r="E1747" s="71" t="str">
        <f>IFERROR(__xludf.DUMMYFUNCTION("""COMPUTED_VALUE"""),"San Isidro (Pob.), Magarao, CAMARINES SUR")</f>
        <v>San Isidro (Pob.), Magarao, CAMARINES SUR</v>
      </c>
      <c r="F1747" s="2" t="str">
        <f>IFERROR(__xludf.DUMMYFUNCTION("""COMPUTED_VALUE"""),"Doris Seña (GM)")</f>
        <v>Doris Seña (GM)</v>
      </c>
      <c r="G1747" s="2" t="str">
        <f>IFERROR(__xludf.DUMMYFUNCTION("""COMPUTED_VALUE"""),"0907 469 4335")</f>
        <v>0907 469 4335</v>
      </c>
      <c r="H1747" s="2"/>
      <c r="I1747" s="72" t="str">
        <f>IFERROR(__xludf.DUMMYFUNCTION("""COMPUTED_VALUE"""),"PMS")</f>
        <v>PMS</v>
      </c>
      <c r="J1747" s="72" t="str">
        <f>IFERROR(__xludf.DUMMYFUNCTION("""COMPUTED_VALUE"""),"PMS")</f>
        <v>PMS</v>
      </c>
      <c r="K1747" s="72" t="str">
        <f>IFERROR(__xludf.DUMMYFUNCTION("""COMPUTED_VALUE"""),"KFS: for 1st PMS free")</f>
        <v>KFS: for 1st PMS free</v>
      </c>
      <c r="L1747" s="7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c r="AJ1747" s="2" t="str">
        <f>IFERROR(__xludf.DUMMYFUNCTION("""COMPUTED_VALUE"""),"San Isidro (Pob.)")</f>
        <v>San Isidro (Pob.)</v>
      </c>
      <c r="AK1747" s="2" t="str">
        <f>IFERROR(__xludf.DUMMYFUNCTION("""COMPUTED_VALUE"""),"Magarao")</f>
        <v>Magarao</v>
      </c>
      <c r="AL1747" s="2" t="str">
        <f>IFERROR(__xludf.DUMMYFUNCTION("""COMPUTED_VALUE"""),"Camarines Sur")</f>
        <v>Camarines Sur</v>
      </c>
      <c r="AM1747" s="2">
        <f>IFERROR(__xludf.DUMMYFUNCTION("""COMPUTED_VALUE"""),5.0)</f>
        <v>5</v>
      </c>
      <c r="AN1747" s="2" t="str">
        <f>IFERROR(__xludf.DUMMYFUNCTION("""COMPUTED_VALUE"""),"RCEF 24-04-15")</f>
        <v>RCEF 24-04-15</v>
      </c>
      <c r="AO1747" s="2">
        <f>IFERROR(__xludf.DUMMYFUNCTION("""COMPUTED_VALUE"""),7.0)</f>
        <v>7</v>
      </c>
      <c r="AP1747" s="2" t="str">
        <f>IFERROR(__xludf.DUMMYFUNCTION("""COMPUTED_VALUE"""),"FREE PMS")</f>
        <v>FREE PMS</v>
      </c>
      <c r="AQ1747" s="2"/>
      <c r="AR1747" s="2"/>
      <c r="AS1747" s="2"/>
      <c r="AT1747" s="2"/>
      <c r="AU1747" s="2"/>
      <c r="AV1747" s="2"/>
      <c r="AW1747" s="2"/>
      <c r="AX1747" s="2"/>
      <c r="AY1747" s="2"/>
      <c r="AZ1747" s="2"/>
      <c r="BA1747" s="2"/>
      <c r="BB1747" s="2"/>
    </row>
    <row r="1748">
      <c r="A1748" s="2">
        <f>IFERROR(__xludf.DUMMYFUNCTION("""COMPUTED_VALUE"""),1744.0)</f>
        <v>1744</v>
      </c>
      <c r="B1748" s="2" t="str">
        <f>IFERROR(__xludf.DUMMYFUNCTION("""COMPUTED_VALUE"""),"COMPLETED")</f>
        <v>COMPLETED</v>
      </c>
      <c r="C1748" s="78">
        <f>IFERROR(__xludf.DUMMYFUNCTION("""COMPUTED_VALUE"""),46168.0)</f>
        <v>46168</v>
      </c>
      <c r="D1748" s="71" t="str">
        <f>IFERROR(__xludf.DUMMYFUNCTION("""COMPUTED_VALUE"""),"NEW PLANAS AGRICULTURE")</f>
        <v>NEW PLANAS AGRICULTURE</v>
      </c>
      <c r="E1748" s="71" t="str">
        <f>IFERROR(__xludf.DUMMYFUNCTION("""COMPUTED_VALUE"""),"PLANAS, PORAC, PAMPANGA")</f>
        <v>PLANAS, PORAC, PAMPANGA</v>
      </c>
      <c r="F1748" s="2" t="str">
        <f>IFERROR(__xludf.DUMMYFUNCTION("""COMPUTED_VALUE"""),"Amor P Mallari")</f>
        <v>Amor P Mallari</v>
      </c>
      <c r="G1748" s="2">
        <f>IFERROR(__xludf.DUMMYFUNCTION("""COMPUTED_VALUE"""),9.093105708E9)</f>
        <v>9093105708</v>
      </c>
      <c r="H1748" s="2"/>
      <c r="I1748" s="72" t="str">
        <f>IFERROR(__xludf.DUMMYFUNCTION("""COMPUTED_VALUE"""),"SPARE PARTS ACQUISITION")</f>
        <v>SPARE PARTS ACQUISITION</v>
      </c>
      <c r="J1748" s="72" t="str">
        <f>IFERROR(__xludf.DUMMYFUNCTION("""COMPUTED_VALUE"""),"SPARE PARTS ACQUISITION")</f>
        <v>SPARE PARTS ACQUISITION</v>
      </c>
      <c r="K1748" s="72" t="str">
        <f>IFERROR(__xludf.DUMMYFUNCTION("""COMPUTED_VALUE"""),"JVV: Parts order
Rotavator blade set
Pinapatanong den po kung kailan ma de-deliver")</f>
        <v>JVV: Parts order
Rotavator blade set
Pinapatanong den po kung kailan ma de-deliver</v>
      </c>
      <c r="L1748" s="72" t="str">
        <f>IFERROR(__xludf.DUMMYFUNCTION("""COMPUTED_VALUE"""),"MYK: UNATTENDED
DSD: DELIVERED ROTAVATOR PARTS")</f>
        <v>MYK: UNATTENDED
DSD: DELIVERED ROTAVATOR PARTS</v>
      </c>
      <c r="M1748" s="2"/>
      <c r="N1748" s="2" t="str">
        <f>IFERROR(__xludf.DUMMYFUNCTION("""COMPUTED_VALUE"""),"PARTS:
42- ROTAVATOR BLADES")</f>
        <v>PARTS:
42- ROTAVATOR BLADES</v>
      </c>
      <c r="O1748" s="2" t="str">
        <f>IFERROR(__xludf.DUMMYFUNCTION("""COMPUTED_VALUE"""),"N/A")</f>
        <v>N/A</v>
      </c>
      <c r="P1748" s="2" t="str">
        <f>IFERROR(__xludf.DUMMYFUNCTION("""COMPUTED_VALUE"""),"NEW PLANAS AGRICULTURE COOPERATIVE.pdf")</f>
        <v>NEW PLANAS AGRICULTURE COOPERATIVE.pdf</v>
      </c>
      <c r="Q1748" s="2" t="str">
        <f>IFERROR(__xludf.DUMMYFUNCTION("""COMPUTED_VALUE"""),"FOR PRINT")</f>
        <v>FOR PRINT</v>
      </c>
      <c r="R1748" s="74">
        <f>IFERROR(__xludf.DUMMYFUNCTION("""COMPUTED_VALUE"""),46176.0)</f>
        <v>46176</v>
      </c>
      <c r="S1748" s="2" t="str">
        <f>IFERROR(__xludf.DUMMYFUNCTION("""COMPUTED_VALUE"""),"DSD")</f>
        <v>DSD</v>
      </c>
      <c r="T1748" s="73">
        <f>IFERROR(__xludf.DUMMYFUNCTION("""COMPUTED_VALUE"""),25620.0)</f>
        <v>25620</v>
      </c>
      <c r="U1748" s="73" t="str">
        <f>IFERROR(__xludf.DUMMYFUNCTION("""COMPUTED_VALUE""")," FOR REMIT ")</f>
        <v>FOR REMIT</v>
      </c>
      <c r="V1748" s="2">
        <f>IFERROR(__xludf.DUMMYFUNCTION("""COMPUTED_VALUE"""),2019.0)</f>
        <v>2019</v>
      </c>
      <c r="W1748" s="2">
        <f>IFERROR(__xludf.DUMMYFUNCTION("""COMPUTED_VALUE"""),1611.0)</f>
        <v>1611</v>
      </c>
      <c r="X1748" s="2"/>
      <c r="Y1748" s="2"/>
      <c r="Z1748" s="2"/>
      <c r="AA1748" s="2"/>
      <c r="AB1748" s="2"/>
      <c r="AC1748" s="2"/>
      <c r="AD1748" s="2"/>
      <c r="AE1748" s="2"/>
      <c r="AF1748" s="2"/>
      <c r="AG1748" s="2"/>
      <c r="AH1748" s="2"/>
      <c r="AI1748" s="2"/>
      <c r="AJ1748" s="2" t="str">
        <f>IFERROR(__xludf.DUMMYFUNCTION("""COMPUTED_VALUE"""),"Planas")</f>
        <v>Planas</v>
      </c>
      <c r="AK1748" s="2" t="str">
        <f>IFERROR(__xludf.DUMMYFUNCTION("""COMPUTED_VALUE"""),"Porac")</f>
        <v>Porac</v>
      </c>
      <c r="AL1748" s="2" t="str">
        <f>IFERROR(__xludf.DUMMYFUNCTION("""COMPUTED_VALUE"""),"Pampanga")</f>
        <v>Pampanga</v>
      </c>
      <c r="AM1748" s="2">
        <f>IFERROR(__xludf.DUMMYFUNCTION("""COMPUTED_VALUE"""),3.0)</f>
        <v>3</v>
      </c>
      <c r="AN1748" s="2" t="str">
        <f>IFERROR(__xludf.DUMMYFUNCTION("""COMPUTED_VALUE"""),"RCEF 23-09-21 Rebidding")</f>
        <v>RCEF 23-09-21 Rebidding</v>
      </c>
      <c r="AO1748" s="2">
        <f>IFERROR(__xludf.DUMMYFUNCTION("""COMPUTED_VALUE"""),9.0)</f>
        <v>9</v>
      </c>
      <c r="AP1748" s="2"/>
      <c r="AQ1748" s="2"/>
      <c r="AR1748" s="2"/>
      <c r="AS1748" s="2"/>
      <c r="AT1748" s="2"/>
      <c r="AU1748" s="2"/>
      <c r="AV1748" s="2"/>
      <c r="AW1748" s="2"/>
      <c r="AX1748" s="2"/>
      <c r="AY1748" s="2"/>
      <c r="AZ1748" s="2"/>
      <c r="BA1748" s="2"/>
      <c r="BB1748" s="2"/>
    </row>
    <row r="1749">
      <c r="A1749" s="2">
        <f>IFERROR(__xludf.DUMMYFUNCTION("""COMPUTED_VALUE"""),1745.0)</f>
        <v>1745</v>
      </c>
      <c r="B1749" s="2" t="str">
        <f>IFERROR(__xludf.DUMMYFUNCTION("""COMPUTED_VALUE"""),"PENDING")</f>
        <v>PENDING</v>
      </c>
      <c r="C1749" s="78">
        <f>IFERROR(__xludf.DUMMYFUNCTION("""COMPUTED_VALUE"""),46168.0)</f>
        <v>46168</v>
      </c>
      <c r="D1749" s="71" t="str">
        <f>IFERROR(__xludf.DUMMYFUNCTION("""COMPUTED_VALUE"""),"BARANGAY WATER AGRICULTURE AND FOOD ASSOCAITION (BWAFA)")</f>
        <v>BARANGAY WATER AGRICULTURE AND FOOD ASSOCAITION (BWAFA)</v>
      </c>
      <c r="E1749" s="71" t="str">
        <f>IFERROR(__xludf.DUMMYFUNCTION("""COMPUTED_VALUE"""),"San Isidro, Sierra Bullones, BOHOL")</f>
        <v>San Isidro, Sierra Bullones, BOHOL</v>
      </c>
      <c r="F1749" s="2" t="str">
        <f>IFERROR(__xludf.DUMMYFUNCTION("""COMPUTED_VALUE"""),"Eddie Rubia")</f>
        <v>Eddie Rubia</v>
      </c>
      <c r="G1749" s="2">
        <f>IFERROR(__xludf.DUMMYFUNCTION("""COMPUTED_VALUE"""),9.27336906E9)</f>
        <v>9273369060</v>
      </c>
      <c r="H1749" s="2"/>
      <c r="I1749" s="72" t="str">
        <f>IFERROR(__xludf.DUMMYFUNCTION("""COMPUTED_VALUE"""),"REPAIR - LOADER")</f>
        <v>REPAIR - LOADER</v>
      </c>
      <c r="J1749" s="72" t="str">
        <f>IFERROR(__xludf.DUMMYFUNCTION("""COMPUTED_VALUE"""),"Cable lock")</f>
        <v>Cable lock</v>
      </c>
      <c r="K1749" s="72" t="str">
        <f>IFERROR(__xludf.DUMMYFUNCTION("""COMPUTED_VALUE"""),"FSJ: Problem:hindi gumagana ang left and right na kambio sa aming backet(cable lock)")</f>
        <v>FSJ: Problem:hindi gumagana ang left and right na kambio sa aming backet(cable lock)</v>
      </c>
      <c r="L1749" s="72"/>
      <c r="M1749" s="2" t="str">
        <f>IFERROR(__xludf.DUMMYFUNCTION("""COMPUTED_VALUE"""),"CABLE LOCK")</f>
        <v>CABLE LOCK</v>
      </c>
      <c r="N1749" s="2"/>
      <c r="O1749" s="2"/>
      <c r="P1749" s="2"/>
      <c r="Q1749" s="2"/>
      <c r="R1749" s="2"/>
      <c r="S1749" s="2"/>
      <c r="T1749" s="2"/>
      <c r="U1749" s="2"/>
      <c r="V1749" s="2"/>
      <c r="W1749" s="2"/>
      <c r="X1749" s="2"/>
      <c r="Y1749" s="2"/>
      <c r="Z1749" s="2"/>
      <c r="AA1749" s="2"/>
      <c r="AB1749" s="2"/>
      <c r="AC1749" s="2"/>
      <c r="AD1749" s="2"/>
      <c r="AE1749" s="2"/>
      <c r="AF1749" s="2"/>
      <c r="AG1749" s="2"/>
      <c r="AH1749" s="2"/>
      <c r="AI1749" s="2"/>
      <c r="AJ1749" s="2" t="str">
        <f>IFERROR(__xludf.DUMMYFUNCTION("""COMPUTED_VALUE"""),"San Isidro")</f>
        <v>San Isidro</v>
      </c>
      <c r="AK1749" s="2" t="str">
        <f>IFERROR(__xludf.DUMMYFUNCTION("""COMPUTED_VALUE"""),"Sierra Bullones")</f>
        <v>Sierra Bullones</v>
      </c>
      <c r="AL1749" s="2" t="str">
        <f>IFERROR(__xludf.DUMMYFUNCTION("""COMPUTED_VALUE"""),"Bohol")</f>
        <v>Bohol</v>
      </c>
      <c r="AM1749" s="2">
        <f>IFERROR(__xludf.DUMMYFUNCTION("""COMPUTED_VALUE"""),7.0)</f>
        <v>7</v>
      </c>
      <c r="AN1749" s="2" t="str">
        <f>IFERROR(__xludf.DUMMYFUNCTION("""COMPUTED_VALUE"""),"RCEF 25-03-05")</f>
        <v>RCEF 25-03-05</v>
      </c>
      <c r="AO1749" s="2">
        <f>IFERROR(__xludf.DUMMYFUNCTION("""COMPUTED_VALUE"""),7.0)</f>
        <v>7</v>
      </c>
      <c r="AP1749" s="2" t="str">
        <f>IFERROR(__xludf.DUMMYFUNCTION("""COMPUTED_VALUE"""),"FREE PMS")</f>
        <v>FREE PMS</v>
      </c>
      <c r="AQ1749" s="2"/>
      <c r="AR1749" s="2"/>
      <c r="AS1749" s="2"/>
      <c r="AT1749" s="2"/>
      <c r="AU1749" s="2"/>
      <c r="AV1749" s="2"/>
      <c r="AW1749" s="2"/>
      <c r="AX1749" s="2"/>
      <c r="AY1749" s="2"/>
      <c r="AZ1749" s="2"/>
      <c r="BA1749" s="2"/>
      <c r="BB1749" s="2"/>
    </row>
    <row r="1750">
      <c r="A1750" s="2">
        <f>IFERROR(__xludf.DUMMYFUNCTION("""COMPUTED_VALUE"""),1746.0)</f>
        <v>1746</v>
      </c>
      <c r="B1750" s="2" t="str">
        <f>IFERROR(__xludf.DUMMYFUNCTION("""COMPUTED_VALUE"""),"PENDING")</f>
        <v>PENDING</v>
      </c>
      <c r="C1750" s="78">
        <f>IFERROR(__xludf.DUMMYFUNCTION("""COMPUTED_VALUE"""),46168.0)</f>
        <v>46168</v>
      </c>
      <c r="D1750" s="71" t="str">
        <f>IFERROR(__xludf.DUMMYFUNCTION("""COMPUTED_VALUE"""),"CAUSWAGAN NORTE CATIGBIAN FARMERS AGRICULTURE COOPERATIVE (CANCAFAC)")</f>
        <v>CAUSWAGAN NORTE CATIGBIAN FARMERS AGRICULTURE COOPERATIVE (CANCAFAC)</v>
      </c>
      <c r="E1750" s="71" t="str">
        <f>IFERROR(__xludf.DUMMYFUNCTION("""COMPUTED_VALUE"""),"Causwagan Norte, Catigbian, BOHOL")</f>
        <v>Causwagan Norte, Catigbian, BOHOL</v>
      </c>
      <c r="F1750" s="2" t="str">
        <f>IFERROR(__xludf.DUMMYFUNCTION("""COMPUTED_VALUE"""),"Sylvia  Lumayag")</f>
        <v>Sylvia  Lumayag</v>
      </c>
      <c r="G1750" s="2">
        <f>IFERROR(__xludf.DUMMYFUNCTION("""COMPUTED_VALUE"""),9.556999116E9)</f>
        <v>9556999116</v>
      </c>
      <c r="H1750" s="2"/>
      <c r="I1750" s="72" t="str">
        <f>IFERROR(__xludf.DUMMYFUNCTION("""COMPUTED_VALUE"""),"REPAIR - LOADER")</f>
        <v>REPAIR - LOADER</v>
      </c>
      <c r="J1750" s="72" t="str">
        <f>IFERROR(__xludf.DUMMYFUNCTION("""COMPUTED_VALUE"""),"Cable lock")</f>
        <v>Cable lock</v>
      </c>
      <c r="K1750" s="72" t="str">
        <f>IFERROR(__xludf.DUMMYFUNCTION("""COMPUTED_VALUE"""),"FSJ: problem about sa daro non functional may warante pa
CABLE LOCK
DASHBOARD")</f>
        <v>FSJ: problem about sa daro non functional may warante pa
CABLE LOCK
DASHBOARD</v>
      </c>
      <c r="L1750" s="72"/>
      <c r="M1750" s="2" t="str">
        <f>IFERROR(__xludf.DUMMYFUNCTION("""COMPUTED_VALUE"""),"CABLE LOCK
DASHBOARD")</f>
        <v>CABLE LOCK
DASHBOARD</v>
      </c>
      <c r="N1750" s="2"/>
      <c r="O1750" s="2"/>
      <c r="P1750" s="2"/>
      <c r="Q1750" s="2"/>
      <c r="R1750" s="2"/>
      <c r="S1750" s="2"/>
      <c r="T1750" s="2"/>
      <c r="U1750" s="2"/>
      <c r="V1750" s="2"/>
      <c r="W1750" s="2"/>
      <c r="X1750" s="2"/>
      <c r="Y1750" s="2"/>
      <c r="Z1750" s="2"/>
      <c r="AA1750" s="2"/>
      <c r="AB1750" s="2"/>
      <c r="AC1750" s="2"/>
      <c r="AD1750" s="2"/>
      <c r="AE1750" s="2"/>
      <c r="AF1750" s="2"/>
      <c r="AG1750" s="2"/>
      <c r="AH1750" s="2"/>
      <c r="AI1750" s="2"/>
      <c r="AJ1750" s="2" t="str">
        <f>IFERROR(__xludf.DUMMYFUNCTION("""COMPUTED_VALUE"""),"Causwagan Norte")</f>
        <v>Causwagan Norte</v>
      </c>
      <c r="AK1750" s="2" t="str">
        <f>IFERROR(__xludf.DUMMYFUNCTION("""COMPUTED_VALUE"""),"Catigbian")</f>
        <v>Catigbian</v>
      </c>
      <c r="AL1750" s="2" t="str">
        <f>IFERROR(__xludf.DUMMYFUNCTION("""COMPUTED_VALUE"""),"Bohol")</f>
        <v>Bohol</v>
      </c>
      <c r="AM1750" s="2">
        <f>IFERROR(__xludf.DUMMYFUNCTION("""COMPUTED_VALUE"""),7.0)</f>
        <v>7</v>
      </c>
      <c r="AN1750" s="2" t="str">
        <f>IFERROR(__xludf.DUMMYFUNCTION("""COMPUTED_VALUE"""),"RCEF 25-03-05")</f>
        <v>RCEF 25-03-05</v>
      </c>
      <c r="AO1750" s="2">
        <f>IFERROR(__xludf.DUMMYFUNCTION("""COMPUTED_VALUE"""),7.0)</f>
        <v>7</v>
      </c>
      <c r="AP1750" s="2" t="str">
        <f>IFERROR(__xludf.DUMMYFUNCTION("""COMPUTED_VALUE"""),"FREE PMS")</f>
        <v>FREE PMS</v>
      </c>
      <c r="AQ1750" s="2"/>
      <c r="AR1750" s="2"/>
      <c r="AS1750" s="2"/>
      <c r="AT1750" s="2"/>
      <c r="AU1750" s="2"/>
      <c r="AV1750" s="2"/>
      <c r="AW1750" s="2"/>
      <c r="AX1750" s="2"/>
      <c r="AY1750" s="2"/>
      <c r="AZ1750" s="2"/>
      <c r="BA1750" s="2"/>
      <c r="BB1750" s="2"/>
    </row>
    <row r="1751">
      <c r="A1751" s="2">
        <f>IFERROR(__xludf.DUMMYFUNCTION("""COMPUTED_VALUE"""),1747.0)</f>
        <v>1747</v>
      </c>
      <c r="B1751" s="2" t="str">
        <f>IFERROR(__xludf.DUMMYFUNCTION("""COMPUTED_VALUE"""),"PENDING")</f>
        <v>PENDING</v>
      </c>
      <c r="C1751" s="78">
        <f>IFERROR(__xludf.DUMMYFUNCTION("""COMPUTED_VALUE"""),46168.0)</f>
        <v>46168</v>
      </c>
      <c r="D1751" s="71" t="str">
        <f>IFERROR(__xludf.DUMMYFUNCTION("""COMPUTED_VALUE"""),"CAUSWAGAN NORTE CATIGBIAN FARMERS AGRICULTURE COOPERATIVE (CANCAFAC)")</f>
        <v>CAUSWAGAN NORTE CATIGBIAN FARMERS AGRICULTURE COOPERATIVE (CANCAFAC)</v>
      </c>
      <c r="E1751" s="71" t="str">
        <f>IFERROR(__xludf.DUMMYFUNCTION("""COMPUTED_VALUE"""),"Causwagan Norte, Catigbian, BOHOL")</f>
        <v>Causwagan Norte, Catigbian, BOHOL</v>
      </c>
      <c r="F1751" s="2" t="str">
        <f>IFERROR(__xludf.DUMMYFUNCTION("""COMPUTED_VALUE"""),"Sylvia  Lumayag")</f>
        <v>Sylvia  Lumayag</v>
      </c>
      <c r="G1751" s="2">
        <f>IFERROR(__xludf.DUMMYFUNCTION("""COMPUTED_VALUE"""),9.556999116E9)</f>
        <v>9556999116</v>
      </c>
      <c r="H1751" s="2"/>
      <c r="I1751" s="72" t="str">
        <f>IFERROR(__xludf.DUMMYFUNCTION("""COMPUTED_VALUE"""),"REPAIR - LOADER")</f>
        <v>REPAIR - LOADER</v>
      </c>
      <c r="J1751" s="72" t="str">
        <f>IFERROR(__xludf.DUMMYFUNCTION("""COMPUTED_VALUE"""),"Cable Lock")</f>
        <v>Cable Lock</v>
      </c>
      <c r="K1751" s="72" t="str">
        <f>IFERROR(__xludf.DUMMYFUNCTION("""COMPUTED_VALUE"""),"FSJ: problem about sa daro non functional may warante pa
CABLE LOCK
DASHBOARD")</f>
        <v>FSJ: problem about sa daro non functional may warante pa
CABLE LOCK
DASHBOARD</v>
      </c>
      <c r="L1751" s="72"/>
      <c r="M1751" s="2" t="str">
        <f>IFERROR(__xludf.DUMMYFUNCTION("""COMPUTED_VALUE"""),"CABLE LOCK
DASHBOARD")</f>
        <v>CABLE LOCK
DASHBOARD</v>
      </c>
      <c r="N1751" s="2"/>
      <c r="O1751" s="2"/>
      <c r="P1751" s="2"/>
      <c r="Q1751" s="2"/>
      <c r="R1751" s="2"/>
      <c r="S1751" s="2"/>
      <c r="T1751" s="2"/>
      <c r="U1751" s="2"/>
      <c r="V1751" s="2"/>
      <c r="W1751" s="2"/>
      <c r="X1751" s="2"/>
      <c r="Y1751" s="2"/>
      <c r="Z1751" s="2"/>
      <c r="AA1751" s="2"/>
      <c r="AB1751" s="2"/>
      <c r="AC1751" s="2"/>
      <c r="AD1751" s="2"/>
      <c r="AE1751" s="2"/>
      <c r="AF1751" s="2"/>
      <c r="AG1751" s="2"/>
      <c r="AH1751" s="2"/>
      <c r="AI1751" s="2"/>
      <c r="AJ1751" s="2" t="str">
        <f>IFERROR(__xludf.DUMMYFUNCTION("""COMPUTED_VALUE"""),"Causwagan Norte")</f>
        <v>Causwagan Norte</v>
      </c>
      <c r="AK1751" s="2" t="str">
        <f>IFERROR(__xludf.DUMMYFUNCTION("""COMPUTED_VALUE"""),"Catigbian")</f>
        <v>Catigbian</v>
      </c>
      <c r="AL1751" s="2" t="str">
        <f>IFERROR(__xludf.DUMMYFUNCTION("""COMPUTED_VALUE"""),"Bohol")</f>
        <v>Bohol</v>
      </c>
      <c r="AM1751" s="2">
        <f>IFERROR(__xludf.DUMMYFUNCTION("""COMPUTED_VALUE"""),7.0)</f>
        <v>7</v>
      </c>
      <c r="AN1751" s="2" t="str">
        <f>IFERROR(__xludf.DUMMYFUNCTION("""COMPUTED_VALUE"""),"RCEF 25-03-05")</f>
        <v>RCEF 25-03-05</v>
      </c>
      <c r="AO1751" s="2">
        <f>IFERROR(__xludf.DUMMYFUNCTION("""COMPUTED_VALUE"""),7.0)</f>
        <v>7</v>
      </c>
      <c r="AP1751" s="2" t="str">
        <f>IFERROR(__xludf.DUMMYFUNCTION("""COMPUTED_VALUE"""),"FREE PMS")</f>
        <v>FREE PMS</v>
      </c>
      <c r="AQ1751" s="2"/>
      <c r="AR1751" s="2"/>
      <c r="AS1751" s="2"/>
      <c r="AT1751" s="2"/>
      <c r="AU1751" s="2"/>
      <c r="AV1751" s="2"/>
      <c r="AW1751" s="2"/>
      <c r="AX1751" s="2"/>
      <c r="AY1751" s="2"/>
      <c r="AZ1751" s="2"/>
      <c r="BA1751" s="2"/>
      <c r="BB1751" s="2"/>
    </row>
    <row r="1752">
      <c r="A1752" s="2">
        <f>IFERROR(__xludf.DUMMYFUNCTION("""COMPUTED_VALUE"""),1748.0)</f>
        <v>1748</v>
      </c>
      <c r="B1752" s="2" t="str">
        <f>IFERROR(__xludf.DUMMYFUNCTION("""COMPUTED_VALUE"""),"PENDING")</f>
        <v>PENDING</v>
      </c>
      <c r="C1752" s="78">
        <f>IFERROR(__xludf.DUMMYFUNCTION("""COMPUTED_VALUE"""),46168.0)</f>
        <v>46168</v>
      </c>
      <c r="D1752" s="71" t="str">
        <f>IFERROR(__xludf.DUMMYFUNCTION("""COMPUTED_VALUE"""),"LILOAN SUR FARMERS ASSOCIATION")</f>
        <v>LILOAN SUR FARMERS ASSOCIATION</v>
      </c>
      <c r="E1752" s="71" t="str">
        <f>IFERROR(__xludf.DUMMYFUNCTION("""COMPUTED_VALUE"""),", Inabanga, BOHOL")</f>
        <v>, Inabanga, BOHOL</v>
      </c>
      <c r="F1752" s="2" t="str">
        <f>IFERROR(__xludf.DUMMYFUNCTION("""COMPUTED_VALUE"""),"Roderic Tidula")</f>
        <v>Roderic Tidula</v>
      </c>
      <c r="G1752" s="2">
        <f>IFERROR(__xludf.DUMMYFUNCTION("""COMPUTED_VALUE"""),9.061750922E9)</f>
        <v>9061750922</v>
      </c>
      <c r="H1752" s="2"/>
      <c r="I1752" s="72" t="str">
        <f>IFERROR(__xludf.DUMMYFUNCTION("""COMPUTED_VALUE"""),"REPAIR - DISC PLOW")</f>
        <v>REPAIR - DISC PLOW</v>
      </c>
      <c r="J1752" s="72" t="str">
        <f>IFERROR(__xludf.DUMMYFUNCTION("""COMPUTED_VALUE"""),"Gearbox")</f>
        <v>Gearbox</v>
      </c>
      <c r="K1752" s="72" t="str">
        <f>IFERROR(__xludf.DUMMYFUNCTION("""COMPUTED_VALUE"""),"JAH: PROBLEM: center chain gearbox damage WITH PICTURE
@⁨LTC-Karlo Miguel Santos⁩ 
naga tanong po kung kasama pa po daw sa warranty
")</f>
        <v>JAH: PROBLEM: center chain gearbox damage WITH PICTURE
@⁨LTC-Karlo Miguel Santos⁩ 
naga tanong po kung kasama pa po daw sa warranty
</v>
      </c>
      <c r="L1752" s="72"/>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c r="AJ1752" s="2" t="str">
        <f>IFERROR(__xludf.DUMMYFUNCTION("""COMPUTED_VALUE"""),"")</f>
        <v/>
      </c>
      <c r="AK1752" s="2" t="str">
        <f>IFERROR(__xludf.DUMMYFUNCTION("""COMPUTED_VALUE"""),"Inabanga")</f>
        <v>Inabanga</v>
      </c>
      <c r="AL1752" s="2" t="str">
        <f>IFERROR(__xludf.DUMMYFUNCTION("""COMPUTED_VALUE"""),"Bohol")</f>
        <v>Bohol</v>
      </c>
      <c r="AM1752" s="2">
        <f>IFERROR(__xludf.DUMMYFUNCTION("""COMPUTED_VALUE"""),7.0)</f>
        <v>7</v>
      </c>
      <c r="AN1752" s="2" t="str">
        <f>IFERROR(__xludf.DUMMYFUNCTION("""COMPUTED_VALUE"""),"RCEF 25-03-05")</f>
        <v>RCEF 25-03-05</v>
      </c>
      <c r="AO1752" s="2">
        <f>IFERROR(__xludf.DUMMYFUNCTION("""COMPUTED_VALUE"""),7.0)</f>
        <v>7</v>
      </c>
      <c r="AP1752" s="2" t="str">
        <f>IFERROR(__xludf.DUMMYFUNCTION("""COMPUTED_VALUE"""),"FREE PMS")</f>
        <v>FREE PMS</v>
      </c>
      <c r="AQ1752" s="2"/>
      <c r="AR1752" s="2"/>
      <c r="AS1752" s="2"/>
      <c r="AT1752" s="2"/>
      <c r="AU1752" s="2"/>
      <c r="AV1752" s="2"/>
      <c r="AW1752" s="2"/>
      <c r="AX1752" s="2"/>
      <c r="AY1752" s="2"/>
      <c r="AZ1752" s="2"/>
      <c r="BA1752" s="2"/>
      <c r="BB1752" s="2"/>
    </row>
    <row r="1753">
      <c r="A1753" s="2">
        <f>IFERROR(__xludf.DUMMYFUNCTION("""COMPUTED_VALUE"""),1749.0)</f>
        <v>1749</v>
      </c>
      <c r="B1753" s="2" t="str">
        <f>IFERROR(__xludf.DUMMYFUNCTION("""COMPUTED_VALUE"""),"PENDING")</f>
        <v>PENDING</v>
      </c>
      <c r="C1753" s="78">
        <f>IFERROR(__xludf.DUMMYFUNCTION("""COMPUTED_VALUE"""),46169.0)</f>
        <v>46169</v>
      </c>
      <c r="D1753" s="71" t="str">
        <f>IFERROR(__xludf.DUMMYFUNCTION("""COMPUTED_VALUE"""),"Barangay Local Government Unit of Camachile")</f>
        <v>Barangay Local Government Unit of Camachile</v>
      </c>
      <c r="E1753" s="71" t="str">
        <f>IFERROR(__xludf.DUMMYFUNCTION("""COMPUTED_VALUE"""),"Camachile, Gabaldon, NUEVA ECIJA")</f>
        <v>Camachile, Gabaldon, NUEVA ECIJA</v>
      </c>
      <c r="F1753" s="2" t="str">
        <f>IFERROR(__xludf.DUMMYFUNCTION("""COMPUTED_VALUE"""),"ARMANDE COLLORADO")</f>
        <v>ARMANDE COLLORADO</v>
      </c>
      <c r="G1753" s="2">
        <f>IFERROR(__xludf.DUMMYFUNCTION("""COMPUTED_VALUE"""),9.364415176E9)</f>
        <v>9364415176</v>
      </c>
      <c r="H1753" s="2">
        <f>IFERROR(__xludf.DUMMYFUNCTION("""COMPUTED_VALUE"""),300.0)</f>
        <v>300</v>
      </c>
      <c r="I1753" s="72" t="str">
        <f>IFERROR(__xludf.DUMMYFUNCTION("""COMPUTED_VALUE"""),"REPAIR - LOADER")</f>
        <v>REPAIR - LOADER</v>
      </c>
      <c r="J1753" s="72" t="str">
        <f>IFERROR(__xludf.DUMMYFUNCTION("""COMPUTED_VALUE"""),"Cable lock")</f>
        <v>Cable lock</v>
      </c>
      <c r="K1753" s="72" t="str">
        <f>IFERROR(__xludf.DUMMYFUNCTION("""COMPUTED_VALUE"""),"MYK: FRONT LOADER PROBLEM: CABLE LOCK")</f>
        <v>MYK: FRONT LOADER PROBLEM: CABLE LOCK</v>
      </c>
      <c r="L1753" s="72" t="str">
        <f>IFERROR(__xludf.DUMMYFUNCTION("""COMPUTED_VALUE"""),"6/1/26- FF. CALL - MYK: kung maari daw po na kung hindi agad mapuntahan matulungan sila ma assist kung papano matangal ang loader, kahit via call lamang, para daw po magamit na nila ang tractor")</f>
        <v>6/1/26- FF. CALL - MYK: kung maari daw po na kung hindi agad mapuntahan matulungan sila ma assist kung papano matangal ang loader, kahit via call lamang, para daw po magamit na nila ang tractor</v>
      </c>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c r="AJ1753" s="2" t="str">
        <f>IFERROR(__xludf.DUMMYFUNCTION("""COMPUTED_VALUE"""),"Camachile")</f>
        <v>Camachile</v>
      </c>
      <c r="AK1753" s="2" t="str">
        <f>IFERROR(__xludf.DUMMYFUNCTION("""COMPUTED_VALUE"""),"Gabaldon")</f>
        <v>Gabaldon</v>
      </c>
      <c r="AL1753" s="2" t="str">
        <f>IFERROR(__xludf.DUMMYFUNCTION("""COMPUTED_VALUE"""),"Nueva Ecija")</f>
        <v>Nueva Ecija</v>
      </c>
      <c r="AM1753" s="2">
        <f>IFERROR(__xludf.DUMMYFUNCTION("""COMPUTED_VALUE"""),3.0)</f>
        <v>3</v>
      </c>
      <c r="AN1753" s="2" t="str">
        <f>IFERROR(__xludf.DUMMYFUNCTION("""COMPUTED_VALUE"""),"RCEF 25-03-05")</f>
        <v>RCEF 25-03-05</v>
      </c>
      <c r="AO1753" s="2">
        <f>IFERROR(__xludf.DUMMYFUNCTION("""COMPUTED_VALUE"""),5.0)</f>
        <v>5</v>
      </c>
      <c r="AP1753" s="2" t="str">
        <f>IFERROR(__xludf.DUMMYFUNCTION("""COMPUTED_VALUE"""),"FREE PMS")</f>
        <v>FREE PMS</v>
      </c>
      <c r="AQ1753" s="2"/>
      <c r="AR1753" s="2"/>
      <c r="AS1753" s="2"/>
      <c r="AT1753" s="2"/>
      <c r="AU1753" s="2"/>
      <c r="AV1753" s="2"/>
      <c r="AW1753" s="2"/>
      <c r="AX1753" s="2"/>
      <c r="AY1753" s="2"/>
      <c r="AZ1753" s="2"/>
      <c r="BA1753" s="2"/>
      <c r="BB1753" s="2"/>
    </row>
    <row r="1754">
      <c r="A1754" s="2">
        <f>IFERROR(__xludf.DUMMYFUNCTION("""COMPUTED_VALUE"""),1750.0)</f>
        <v>1750</v>
      </c>
      <c r="B1754" s="2" t="str">
        <f>IFERROR(__xludf.DUMMYFUNCTION("""COMPUTED_VALUE"""),"PENDING")</f>
        <v>PENDING</v>
      </c>
      <c r="C1754" s="78">
        <f>IFERROR(__xludf.DUMMYFUNCTION("""COMPUTED_VALUE"""),46169.0)</f>
        <v>46169</v>
      </c>
      <c r="D1754" s="71" t="str">
        <f>IFERROR(__xludf.DUMMYFUNCTION("""COMPUTED_VALUE"""),"Brgy. Bantog Anao Rang-Ay Iti Farmers Association Inc.")</f>
        <v>Brgy. Bantog Anao Rang-Ay Iti Farmers Association Inc.</v>
      </c>
      <c r="E1754" s="71" t="str">
        <f>IFERROR(__xludf.DUMMYFUNCTION("""COMPUTED_VALUE"""),"Bantog, Anao, TARLAC")</f>
        <v>Bantog, Anao, TARLAC</v>
      </c>
      <c r="F1754" s="2"/>
      <c r="G1754" s="2">
        <f>IFERROR(__xludf.DUMMYFUNCTION("""COMPUTED_VALUE"""),9.051998004E9)</f>
        <v>9051998004</v>
      </c>
      <c r="H1754" s="2"/>
      <c r="I1754" s="72" t="str">
        <f>IFERROR(__xludf.DUMMYFUNCTION("""COMPUTED_VALUE"""),"REPAIR - LOADER")</f>
        <v>REPAIR - LOADER</v>
      </c>
      <c r="J1754" s="72" t="str">
        <f>IFERROR(__xludf.DUMMYFUNCTION("""COMPUTED_VALUE"""),"Cable lock")</f>
        <v>Cable lock</v>
      </c>
      <c r="K1754" s="72" t="str">
        <f>IFERROR(__xludf.DUMMYFUNCTION("""COMPUTED_VALUE"""),"MYK: ""Good morning po ma'am, ma'am magrereport po tungkol sa sira ng equipment po namin ma'am,hindi po maitaas yong front loader ng tractors po namin ma'am""")</f>
        <v>MYK: "Good morning po ma'am, ma'am magrereport po tungkol sa sira ng equipment po namin ma'am,hindi po maitaas yong front loader ng tractors po namin ma'am"</v>
      </c>
      <c r="L1754" s="72" t="str">
        <f>IFERROR(__xludf.DUMMYFUNCTION("""COMPUTED_VALUE"""),"6/1/26 -FF. CALL - MYK: Nag follow up nadin po ito sir, ganun din po ang case katulad kay LGU Gabaldon, gusto lamang nila ma alis ang loader dahil hindi nila magamit ang tractor.")</f>
        <v>6/1/26 -FF. CALL - MYK: Nag follow up nadin po ito sir, ganun din po ang case katulad kay LGU Gabaldon, gusto lamang nila ma alis ang loader dahil hindi nila magamit ang tractor.</v>
      </c>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c r="AJ1754" s="2" t="str">
        <f>IFERROR(__xludf.DUMMYFUNCTION("""COMPUTED_VALUE"""),"Bantog")</f>
        <v>Bantog</v>
      </c>
      <c r="AK1754" s="2" t="str">
        <f>IFERROR(__xludf.DUMMYFUNCTION("""COMPUTED_VALUE"""),"Anao")</f>
        <v>Anao</v>
      </c>
      <c r="AL1754" s="2" t="str">
        <f>IFERROR(__xludf.DUMMYFUNCTION("""COMPUTED_VALUE"""),"Tarlac")</f>
        <v>Tarlac</v>
      </c>
      <c r="AM1754" s="2">
        <f>IFERROR(__xludf.DUMMYFUNCTION("""COMPUTED_VALUE"""),3.0)</f>
        <v>3</v>
      </c>
      <c r="AN1754" s="2" t="str">
        <f>IFERROR(__xludf.DUMMYFUNCTION("""COMPUTED_VALUE"""),"RCEF 25-03-05")</f>
        <v>RCEF 25-03-05</v>
      </c>
      <c r="AO1754" s="2">
        <f>IFERROR(__xludf.DUMMYFUNCTION("""COMPUTED_VALUE"""),5.0)</f>
        <v>5</v>
      </c>
      <c r="AP1754" s="2" t="str">
        <f>IFERROR(__xludf.DUMMYFUNCTION("""COMPUTED_VALUE"""),"FREE PMS")</f>
        <v>FREE PMS</v>
      </c>
      <c r="AQ1754" s="2"/>
      <c r="AR1754" s="2"/>
      <c r="AS1754" s="2"/>
      <c r="AT1754" s="2"/>
      <c r="AU1754" s="2"/>
      <c r="AV1754" s="2"/>
      <c r="AW1754" s="2"/>
      <c r="AX1754" s="2"/>
      <c r="AY1754" s="2"/>
      <c r="AZ1754" s="2"/>
      <c r="BA1754" s="2"/>
      <c r="BB1754" s="2"/>
    </row>
    <row r="1755">
      <c r="A1755" s="2">
        <f>IFERROR(__xludf.DUMMYFUNCTION("""COMPUTED_VALUE"""),1751.0)</f>
        <v>1751</v>
      </c>
      <c r="B1755" s="2" t="str">
        <f>IFERROR(__xludf.DUMMYFUNCTION("""COMPUTED_VALUE"""),"PENDING")</f>
        <v>PENDING</v>
      </c>
      <c r="C1755" s="78">
        <f>IFERROR(__xludf.DUMMYFUNCTION("""COMPUTED_VALUE"""),46170.0)</f>
        <v>46170</v>
      </c>
      <c r="D1755" s="71" t="str">
        <f>IFERROR(__xludf.DUMMYFUNCTION("""COMPUTED_VALUE"""),"Cabanabaan Farmer's Livelihood Association Incorporation")</f>
        <v>Cabanabaan Farmer's Livelihood Association Incorporation</v>
      </c>
      <c r="E1755" s="71" t="str">
        <f>IFERROR(__xludf.DUMMYFUNCTION("""COMPUTED_VALUE"""),"Cabanabaan, Camiling, TARLAC")</f>
        <v>Cabanabaan, Camiling, TARLAC</v>
      </c>
      <c r="F1755" s="2" t="str">
        <f>IFERROR(__xludf.DUMMYFUNCTION("""COMPUTED_VALUE"""),"MARIANNE GERVACIO / JOJO CLEMENTE")</f>
        <v>MARIANNE GERVACIO / JOJO CLEMENTE</v>
      </c>
      <c r="G1755" s="2" t="str">
        <f>IFERROR(__xludf.DUMMYFUNCTION("""COMPUTED_VALUE"""),"9459742277  /  09633086227")</f>
        <v>9459742277  /  09633086227</v>
      </c>
      <c r="H1755" s="2">
        <f>IFERROR(__xludf.DUMMYFUNCTION("""COMPUTED_VALUE"""),81.8)</f>
        <v>81.8</v>
      </c>
      <c r="I1755" s="72" t="str">
        <f>IFERROR(__xludf.DUMMYFUNCTION("""COMPUTED_VALUE"""),"REPAIR - TRACTOR")</f>
        <v>REPAIR - TRACTOR</v>
      </c>
      <c r="J1755" s="72" t="str">
        <f>IFERROR(__xludf.DUMMYFUNCTION("""COMPUTED_VALUE"""),"Hydraulic Pump")</f>
        <v>Hydraulic Pump</v>
      </c>
      <c r="K1755" s="72" t="str">
        <f>IFERROR(__xludf.DUMMYFUNCTION("""COMPUTED_VALUE"""),"MYK: DATE DELIVERED: NOV 2025
Concern: 
Walang power ang rotavator, peru kapag tumatakbo ok nman.
")</f>
        <v>MYK: DATE DELIVERED: NOV 2025
Concern: 
Walang power ang rotavator, peru kapag tumatakbo ok nman.
</v>
      </c>
      <c r="L1755" s="72" t="str">
        <f>IFERROR(__xludf.DUMMYFUNCTION("""COMPUTED_VALUE"""),"6/3/26- 1117: JVV: HYDRAULIC PUMP PROBLEM
MYK: FCA REQUEST FOR WARRANTY CLAIM")</f>
        <v>6/3/26- 1117: JVV: HYDRAULIC PUMP PROBLEM
MYK: FCA REQUEST FOR WARRANTY CLAIM</v>
      </c>
      <c r="M1755" s="2" t="str">
        <f>IFERROR(__xludf.DUMMYFUNCTION("""COMPUTED_VALUE"""),"HYDRAULIC PUMP ")</f>
        <v>HYDRAULIC PUMP </v>
      </c>
      <c r="N1755" s="2"/>
      <c r="O1755" s="2"/>
      <c r="P1755" s="2"/>
      <c r="Q1755" s="2"/>
      <c r="R1755" s="2"/>
      <c r="S1755" s="2"/>
      <c r="T1755" s="2"/>
      <c r="U1755" s="2"/>
      <c r="V1755" s="2"/>
      <c r="W1755" s="2"/>
      <c r="X1755" s="2"/>
      <c r="Y1755" s="2"/>
      <c r="Z1755" s="2"/>
      <c r="AA1755" s="2"/>
      <c r="AB1755" s="2"/>
      <c r="AC1755" s="2"/>
      <c r="AD1755" s="2"/>
      <c r="AE1755" s="2"/>
      <c r="AF1755" s="2"/>
      <c r="AG1755" s="2"/>
      <c r="AH1755" s="2"/>
      <c r="AI1755" s="2"/>
      <c r="AJ1755" s="2" t="str">
        <f>IFERROR(__xludf.DUMMYFUNCTION("""COMPUTED_VALUE"""),"Cabanabaan")</f>
        <v>Cabanabaan</v>
      </c>
      <c r="AK1755" s="2" t="str">
        <f>IFERROR(__xludf.DUMMYFUNCTION("""COMPUTED_VALUE"""),"Camiling")</f>
        <v>Camiling</v>
      </c>
      <c r="AL1755" s="2" t="str">
        <f>IFERROR(__xludf.DUMMYFUNCTION("""COMPUTED_VALUE"""),"Tarlac")</f>
        <v>Tarlac</v>
      </c>
      <c r="AM1755" s="2">
        <f>IFERROR(__xludf.DUMMYFUNCTION("""COMPUTED_VALUE"""),3.0)</f>
        <v>3</v>
      </c>
      <c r="AN1755" s="2" t="str">
        <f>IFERROR(__xludf.DUMMYFUNCTION("""COMPUTED_VALUE"""),"RCEF 25-03-05")</f>
        <v>RCEF 25-03-05</v>
      </c>
      <c r="AO1755" s="2">
        <f>IFERROR(__xludf.DUMMYFUNCTION("""COMPUTED_VALUE"""),5.0)</f>
        <v>5</v>
      </c>
      <c r="AP1755" s="2" t="str">
        <f>IFERROR(__xludf.DUMMYFUNCTION("""COMPUTED_VALUE"""),"FREE PMS")</f>
        <v>FREE PMS</v>
      </c>
      <c r="AQ1755" s="2"/>
      <c r="AR1755" s="2"/>
      <c r="AS1755" s="2"/>
      <c r="AT1755" s="2"/>
      <c r="AU1755" s="2"/>
      <c r="AV1755" s="2"/>
      <c r="AW1755" s="2"/>
      <c r="AX1755" s="2"/>
      <c r="AY1755" s="2"/>
      <c r="AZ1755" s="2"/>
      <c r="BA1755" s="2"/>
      <c r="BB1755" s="2"/>
    </row>
    <row r="1756">
      <c r="A1756" s="2">
        <f>IFERROR(__xludf.DUMMYFUNCTION("""COMPUTED_VALUE"""),1752.0)</f>
        <v>1752</v>
      </c>
      <c r="B1756" s="2" t="str">
        <f>IFERROR(__xludf.DUMMYFUNCTION("""COMPUTED_VALUE"""),"COMPLETED")</f>
        <v>COMPLETED</v>
      </c>
      <c r="C1756" s="78">
        <f>IFERROR(__xludf.DUMMYFUNCTION("""COMPUTED_VALUE"""),46170.0)</f>
        <v>46170</v>
      </c>
      <c r="D1756" s="71" t="str">
        <f>IFERROR(__xludf.DUMMYFUNCTION("""COMPUTED_VALUE"""),"Network of Responsible Citizens of Munoz Agriculture Cooperative (NRCMAC)")</f>
        <v>Network of Responsible Citizens of Munoz Agriculture Cooperative (NRCMAC)</v>
      </c>
      <c r="E1756" s="71" t="str">
        <f>IFERROR(__xludf.DUMMYFUNCTION("""COMPUTED_VALUE"""),"Poblacion East, Science City of Munoz, NUEVA ECIJA")</f>
        <v>Poblacion East, Science City of Munoz, NUEVA ECIJA</v>
      </c>
      <c r="F1756" s="2" t="str">
        <f>IFERROR(__xludf.DUMMYFUNCTION("""COMPUTED_VALUE"""),"Ramon Antonio Coronel")</f>
        <v>Ramon Antonio Coronel</v>
      </c>
      <c r="G1756" s="2">
        <f>IFERROR(__xludf.DUMMYFUNCTION("""COMPUTED_VALUE"""),9.992221958E9)</f>
        <v>9992221958</v>
      </c>
      <c r="H1756" s="2">
        <f>IFERROR(__xludf.DUMMYFUNCTION("""COMPUTED_VALUE"""),50.0)</f>
        <v>50</v>
      </c>
      <c r="I1756" s="72" t="str">
        <f>IFERROR(__xludf.DUMMYFUNCTION("""COMPUTED_VALUE"""),"PMS")</f>
        <v>PMS</v>
      </c>
      <c r="J1756" s="72" t="str">
        <f>IFERROR(__xludf.DUMMYFUNCTION("""COMPUTED_VALUE"""),"PMS")</f>
        <v>PMS</v>
      </c>
      <c r="K1756" s="72" t="str">
        <f>IFERROR(__xludf.DUMMYFUNCTION("""COMPUTED_VALUE"""),"ACS: FOR 1ST PMS FREE")</f>
        <v>ACS: FOR 1ST PMS FREE</v>
      </c>
      <c r="L1756" s="72" t="str">
        <f>IFERROR(__xludf.DUMMYFUNCTION("""COMPUTED_VALUE"""),"JDP: 1ST PMS DONE")</f>
        <v>JDP: 1ST PMS DONE</v>
      </c>
      <c r="M1756" s="2"/>
      <c r="N1756" s="2" t="str">
        <f>IFERROR(__xludf.DUMMYFUNCTION("""COMPUTED_VALUE"""),"PARTS:
OIL FILTER
ENGINE OIL
")</f>
        <v>PARTS:
OIL FILTER
ENGINE OIL
</v>
      </c>
      <c r="O1756" s="2">
        <f>IFERROR(__xludf.DUMMYFUNCTION("""COMPUTED_VALUE"""),1116.0)</f>
        <v>1116</v>
      </c>
      <c r="P1756" s="2" t="str">
        <f>IFERROR(__xludf.DUMMYFUNCTION("""COMPUTED_VALUE"""),"1116 - Network of Responsible Citizens of Munoz Agriculture Cooperative (NRCMAC).pdf")</f>
        <v>1116 - Network of Responsible Citizens of Munoz Agriculture Cooperative (NRCMAC).pdf</v>
      </c>
      <c r="Q1756" s="2" t="str">
        <f>IFERROR(__xludf.DUMMYFUNCTION("""COMPUTED_VALUE"""),"FOR PRINT")</f>
        <v>FOR PRINT</v>
      </c>
      <c r="R1756" s="74">
        <f>IFERROR(__xludf.DUMMYFUNCTION("""COMPUTED_VALUE"""),46175.0)</f>
        <v>46175</v>
      </c>
      <c r="S1756" s="2" t="str">
        <f>IFERROR(__xludf.DUMMYFUNCTION("""COMPUTED_VALUE"""),"JDP/JVV")</f>
        <v>JDP/JVV</v>
      </c>
      <c r="T1756" s="73" t="str">
        <f>IFERROR(__xludf.DUMMYFUNCTION("""COMPUTED_VALUE""")," N/A ")</f>
        <v>N/A</v>
      </c>
      <c r="U1756" s="73" t="str">
        <f>IFERROR(__xludf.DUMMYFUNCTION("""COMPUTED_VALUE""")," NO CHARGE ")</f>
        <v>NO CHARGE</v>
      </c>
      <c r="V1756" s="2">
        <f>IFERROR(__xludf.DUMMYFUNCTION("""COMPUTED_VALUE"""),1341.0)</f>
        <v>1341</v>
      </c>
      <c r="W1756" s="2" t="str">
        <f>IFERROR(__xludf.DUMMYFUNCTION("""COMPUTED_VALUE"""),"N/A")</f>
        <v>N/A</v>
      </c>
      <c r="X1756" s="2" t="str">
        <f>IFERROR(__xludf.DUMMYFUNCTION("""COMPUTED_VALUE"""),"N/A")</f>
        <v>N/A</v>
      </c>
      <c r="Y1756" s="2"/>
      <c r="Z1756" s="2"/>
      <c r="AA1756" s="2"/>
      <c r="AB1756" s="2"/>
      <c r="AC1756" s="2"/>
      <c r="AD1756" s="2"/>
      <c r="AE1756" s="2"/>
      <c r="AF1756" s="2"/>
      <c r="AG1756" s="2"/>
      <c r="AH1756" s="2"/>
      <c r="AI1756" s="2"/>
      <c r="AJ1756" s="2" t="str">
        <f>IFERROR(__xludf.DUMMYFUNCTION("""COMPUTED_VALUE"""),"Poblacion East")</f>
        <v>Poblacion East</v>
      </c>
      <c r="AK1756" s="2" t="str">
        <f>IFERROR(__xludf.DUMMYFUNCTION("""COMPUTED_VALUE"""),"Science City Of Munoz")</f>
        <v>Science City Of Munoz</v>
      </c>
      <c r="AL1756" s="2" t="str">
        <f>IFERROR(__xludf.DUMMYFUNCTION("""COMPUTED_VALUE"""),"Nueva Ecija")</f>
        <v>Nueva Ecija</v>
      </c>
      <c r="AM1756" s="2">
        <f>IFERROR(__xludf.DUMMYFUNCTION("""COMPUTED_VALUE"""),3.0)</f>
        <v>3</v>
      </c>
      <c r="AN1756" s="2" t="str">
        <f>IFERROR(__xludf.DUMMYFUNCTION("""COMPUTED_VALUE"""),"RCEF 25-03-05")</f>
        <v>RCEF 25-03-05</v>
      </c>
      <c r="AO1756" s="2">
        <f>IFERROR(__xludf.DUMMYFUNCTION("""COMPUTED_VALUE"""),5.0)</f>
        <v>5</v>
      </c>
      <c r="AP1756" s="2" t="str">
        <f>IFERROR(__xludf.DUMMYFUNCTION("""COMPUTED_VALUE"""),"FREE PMS")</f>
        <v>FREE PMS</v>
      </c>
      <c r="AQ1756" s="2"/>
      <c r="AR1756" s="2"/>
      <c r="AS1756" s="2"/>
      <c r="AT1756" s="2"/>
      <c r="AU1756" s="2"/>
      <c r="AV1756" s="2"/>
      <c r="AW1756" s="2"/>
      <c r="AX1756" s="2"/>
      <c r="AY1756" s="2"/>
      <c r="AZ1756" s="2"/>
      <c r="BA1756" s="2"/>
      <c r="BB1756" s="2"/>
    </row>
    <row r="1757">
      <c r="A1757" s="2">
        <f>IFERROR(__xludf.DUMMYFUNCTION("""COMPUTED_VALUE"""),1753.0)</f>
        <v>1753</v>
      </c>
      <c r="B1757" s="2" t="str">
        <f>IFERROR(__xludf.DUMMYFUNCTION("""COMPUTED_VALUE"""),"COMPLETED")</f>
        <v>COMPLETED</v>
      </c>
      <c r="C1757" s="78">
        <f>IFERROR(__xludf.DUMMYFUNCTION("""COMPUTED_VALUE"""),46170.0)</f>
        <v>46170</v>
      </c>
      <c r="D1757" s="71" t="str">
        <f>IFERROR(__xludf.DUMMYFUNCTION("""COMPUTED_VALUE"""),"SAMAHANG MAGSASAKA NG DULONG MALABON")</f>
        <v>SAMAHANG MAGSASAKA NG DULONG MALABON</v>
      </c>
      <c r="E1757" s="71" t="str">
        <f>IFERROR(__xludf.DUMMYFUNCTION("""COMPUTED_VALUE"""),"Dulong Malabon, Pulilan, BULACAN")</f>
        <v>Dulong Malabon, Pulilan, BULACAN</v>
      </c>
      <c r="F1757" s="2" t="str">
        <f>IFERROR(__xludf.DUMMYFUNCTION("""COMPUTED_VALUE"""),"Enrico Reyes")</f>
        <v>Enrico Reyes</v>
      </c>
      <c r="G1757" s="2">
        <f>IFERROR(__xludf.DUMMYFUNCTION("""COMPUTED_VALUE"""),9.357959841E9)</f>
        <v>9357959841</v>
      </c>
      <c r="H1757" s="2"/>
      <c r="I1757" s="72" t="str">
        <f>IFERROR(__xludf.DUMMYFUNCTION("""COMPUTED_VALUE"""),"REPAIR - LOADER")</f>
        <v>REPAIR - LOADER</v>
      </c>
      <c r="J1757" s="72" t="str">
        <f>IFERROR(__xludf.DUMMYFUNCTION("""COMPUTED_VALUE"""),"Cable lock")</f>
        <v>Cable lock</v>
      </c>
      <c r="K1757" s="72" t="str">
        <f>IFERROR(__xludf.DUMMYFUNCTION("""COMPUTED_VALUE"""),"ERP: Sa loader lock sa hydraulic")</f>
        <v>ERP: Sa loader lock sa hydraulic</v>
      </c>
      <c r="L1757" s="72" t="str">
        <f>IFERROR(__xludf.DUMMYFUNCTION("""COMPUTED_VALUE"""),"DSD: REPLACED CABLE LOCK")</f>
        <v>DSD: REPLACED CABLE LOCK</v>
      </c>
      <c r="M1757" s="2"/>
      <c r="N1757" s="2" t="str">
        <f>IFERROR(__xludf.DUMMYFUNCTION("""COMPUTED_VALUE"""),"PARTS:
2- CABLE LOCK")</f>
        <v>PARTS:
2- CABLE LOCK</v>
      </c>
      <c r="O1757" s="2">
        <f>IFERROR(__xludf.DUMMYFUNCTION("""COMPUTED_VALUE"""),889.0)</f>
        <v>889</v>
      </c>
      <c r="P1757" s="2" t="str">
        <f>IFERROR(__xludf.DUMMYFUNCTION("""COMPUTED_VALUE"""),"0889 - SAMAHANG MAGSASAKA NG DULONG MALABON.pdf")</f>
        <v>0889 - SAMAHANG MAGSASAKA NG DULONG MALABON.pdf</v>
      </c>
      <c r="Q1757" s="2" t="str">
        <f>IFERROR(__xludf.DUMMYFUNCTION("""COMPUTED_VALUE"""),"FOR PRINT")</f>
        <v>FOR PRINT</v>
      </c>
      <c r="R1757" s="74">
        <f>IFERROR(__xludf.DUMMYFUNCTION("""COMPUTED_VALUE"""),46175.0)</f>
        <v>46175</v>
      </c>
      <c r="S1757" s="2" t="str">
        <f>IFERROR(__xludf.DUMMYFUNCTION("""COMPUTED_VALUE"""),"DSD")</f>
        <v>DSD</v>
      </c>
      <c r="T1757" s="73" t="str">
        <f>IFERROR(__xludf.DUMMYFUNCTION("""COMPUTED_VALUE""")," N/A ")</f>
        <v>N/A</v>
      </c>
      <c r="U1757" s="73" t="str">
        <f>IFERROR(__xludf.DUMMYFUNCTION("""COMPUTED_VALUE""")," NO CHARGE ")</f>
        <v>NO CHARGE</v>
      </c>
      <c r="V1757" s="2">
        <f>IFERROR(__xludf.DUMMYFUNCTION("""COMPUTED_VALUE"""),2017.0)</f>
        <v>2017</v>
      </c>
      <c r="W1757" s="2" t="str">
        <f>IFERROR(__xludf.DUMMYFUNCTION("""COMPUTED_VALUE"""),"N/A")</f>
        <v>N/A</v>
      </c>
      <c r="X1757" s="2" t="str">
        <f>IFERROR(__xludf.DUMMYFUNCTION("""COMPUTED_VALUE"""),"N/A")</f>
        <v>N/A</v>
      </c>
      <c r="Y1757" s="2"/>
      <c r="Z1757" s="2"/>
      <c r="AA1757" s="2"/>
      <c r="AB1757" s="2"/>
      <c r="AC1757" s="2"/>
      <c r="AD1757" s="2"/>
      <c r="AE1757" s="2"/>
      <c r="AF1757" s="2"/>
      <c r="AG1757" s="2"/>
      <c r="AH1757" s="2"/>
      <c r="AI1757" s="2"/>
      <c r="AJ1757" s="2" t="str">
        <f>IFERROR(__xludf.DUMMYFUNCTION("""COMPUTED_VALUE"""),"Dulong Malabon")</f>
        <v>Dulong Malabon</v>
      </c>
      <c r="AK1757" s="2" t="str">
        <f>IFERROR(__xludf.DUMMYFUNCTION("""COMPUTED_VALUE"""),"Pulilan")</f>
        <v>Pulilan</v>
      </c>
      <c r="AL1757" s="2" t="str">
        <f>IFERROR(__xludf.DUMMYFUNCTION("""COMPUTED_VALUE"""),"Bulacan")</f>
        <v>Bulacan</v>
      </c>
      <c r="AM1757" s="2">
        <f>IFERROR(__xludf.DUMMYFUNCTION("""COMPUTED_VALUE"""),3.0)</f>
        <v>3</v>
      </c>
      <c r="AN1757" s="2" t="str">
        <f>IFERROR(__xludf.DUMMYFUNCTION("""COMPUTED_VALUE"""),"RCEF 25-03-05")</f>
        <v>RCEF 25-03-05</v>
      </c>
      <c r="AO1757" s="2">
        <f>IFERROR(__xludf.DUMMYFUNCTION("""COMPUTED_VALUE"""),5.0)</f>
        <v>5</v>
      </c>
      <c r="AP1757" s="2" t="str">
        <f>IFERROR(__xludf.DUMMYFUNCTION("""COMPUTED_VALUE"""),"FREE PMS")</f>
        <v>FREE PMS</v>
      </c>
      <c r="AQ1757" s="2"/>
      <c r="AR1757" s="2"/>
      <c r="AS1757" s="2"/>
      <c r="AT1757" s="2"/>
      <c r="AU1757" s="2"/>
      <c r="AV1757" s="2"/>
      <c r="AW1757" s="2"/>
      <c r="AX1757" s="2"/>
      <c r="AY1757" s="2"/>
      <c r="AZ1757" s="2"/>
      <c r="BA1757" s="2"/>
      <c r="BB1757" s="2"/>
    </row>
    <row r="1758">
      <c r="A1758" s="2">
        <f>IFERROR(__xludf.DUMMYFUNCTION("""COMPUTED_VALUE"""),1754.0)</f>
        <v>1754</v>
      </c>
      <c r="B1758" s="2" t="str">
        <f>IFERROR(__xludf.DUMMYFUNCTION("""COMPUTED_VALUE"""),"PENDING")</f>
        <v>PENDING</v>
      </c>
      <c r="C1758" s="78">
        <f>IFERROR(__xludf.DUMMYFUNCTION("""COMPUTED_VALUE"""),46170.0)</f>
        <v>46170</v>
      </c>
      <c r="D1758" s="71" t="str">
        <f>IFERROR(__xludf.DUMMYFUNCTION("""COMPUTED_VALUE"""),"PARAAN IRRIGATORS ASSOCIATION INC.")</f>
        <v>PARAAN IRRIGATORS ASSOCIATION INC.</v>
      </c>
      <c r="E1758" s="71" t="str">
        <f>IFERROR(__xludf.DUMMYFUNCTION("""COMPUTED_VALUE"""),"Tinejero, Pulilan, BULACAN")</f>
        <v>Tinejero, Pulilan, BULACAN</v>
      </c>
      <c r="F1758" s="2" t="str">
        <f>IFERROR(__xludf.DUMMYFUNCTION("""COMPUTED_VALUE"""),"Joselito C. Calderon")</f>
        <v>Joselito C. Calderon</v>
      </c>
      <c r="G1758" s="2" t="str">
        <f>IFERROR(__xludf.DUMMYFUNCTION("""COMPUTED_VALUE"""),"0918-584-4336")</f>
        <v>0918-584-4336</v>
      </c>
      <c r="H1758" s="2"/>
      <c r="I1758" s="72" t="str">
        <f>IFERROR(__xludf.DUMMYFUNCTION("""COMPUTED_VALUE"""),"PMS")</f>
        <v>PMS</v>
      </c>
      <c r="J1758" s="72" t="str">
        <f>IFERROR(__xludf.DUMMYFUNCTION("""COMPUTED_VALUE"""),"PMS")</f>
        <v>PMS</v>
      </c>
      <c r="K1758" s="72" t="str">
        <f>IFERROR(__xludf.DUMMYFUNCTION("""COMPUTED_VALUE"""),"ERP: Cable lock issue, 
2ND PMS")</f>
        <v>ERP: Cable lock issue, 
2ND PMS</v>
      </c>
      <c r="L1758" s="72" t="str">
        <f>IFERROR(__xludf.DUMMYFUNCTION("""COMPUTED_VALUE"""),"MYK: CALL - NEED QUOTAION- WAITING SA CHAT SA FB PAGE - QUOTATION SENT
6/1/26 - 1114: JDP: REPAIR DASHBOARD AND 2ND PMS DONE")</f>
        <v>MYK: CALL - NEED QUOTAION- WAITING SA CHAT SA FB PAGE - QUOTATION SENT
6/1/26 - 1114: JDP: REPAIR DASHBOARD AND 2ND PMS DONE</v>
      </c>
      <c r="M1758" s="2" t="str">
        <f>IFERROR(__xludf.DUMMYFUNCTION("""COMPUTED_VALUE"""),"CABLE LOCK")</f>
        <v>CABLE LOCK</v>
      </c>
      <c r="N1758" s="2" t="str">
        <f>IFERROR(__xludf.DUMMYFUNCTION("""COMPUTED_VALUE"""),"PARTS:
OIL FILTER
ENGINE OIL
")</f>
        <v>PARTS:
OIL FILTER
ENGINE OIL
</v>
      </c>
      <c r="O1758" s="2"/>
      <c r="P1758" s="2"/>
      <c r="Q1758" s="2"/>
      <c r="R1758" s="2"/>
      <c r="S1758" s="2"/>
      <c r="T1758" s="2"/>
      <c r="U1758" s="2"/>
      <c r="V1758" s="2">
        <f>IFERROR(__xludf.DUMMYFUNCTION("""COMPUTED_VALUE"""),1339.0)</f>
        <v>1339</v>
      </c>
      <c r="W1758" s="2"/>
      <c r="X1758" s="2"/>
      <c r="Y1758" s="2"/>
      <c r="Z1758" s="2"/>
      <c r="AA1758" s="2"/>
      <c r="AB1758" s="2"/>
      <c r="AC1758" s="2"/>
      <c r="AD1758" s="2"/>
      <c r="AE1758" s="2"/>
      <c r="AF1758" s="2"/>
      <c r="AG1758" s="2"/>
      <c r="AH1758" s="2"/>
      <c r="AI1758" s="2"/>
      <c r="AJ1758" s="2" t="str">
        <f>IFERROR(__xludf.DUMMYFUNCTION("""COMPUTED_VALUE"""),"Tinejero")</f>
        <v>Tinejero</v>
      </c>
      <c r="AK1758" s="2" t="str">
        <f>IFERROR(__xludf.DUMMYFUNCTION("""COMPUTED_VALUE"""),"Pulilan")</f>
        <v>Pulilan</v>
      </c>
      <c r="AL1758" s="2" t="str">
        <f>IFERROR(__xludf.DUMMYFUNCTION("""COMPUTED_VALUE"""),"Bulacan")</f>
        <v>Bulacan</v>
      </c>
      <c r="AM1758" s="2">
        <f>IFERROR(__xludf.DUMMYFUNCTION("""COMPUTED_VALUE"""),3.0)</f>
        <v>3</v>
      </c>
      <c r="AN1758" s="2" t="str">
        <f>IFERROR(__xludf.DUMMYFUNCTION("""COMPUTED_VALUE"""),"RCEF 25-03-05")</f>
        <v>RCEF 25-03-05</v>
      </c>
      <c r="AO1758" s="2">
        <f>IFERROR(__xludf.DUMMYFUNCTION("""COMPUTED_VALUE"""),5.0)</f>
        <v>5</v>
      </c>
      <c r="AP1758" s="2" t="str">
        <f>IFERROR(__xludf.DUMMYFUNCTION("""COMPUTED_VALUE"""),"FREE PMS")</f>
        <v>FREE PMS</v>
      </c>
      <c r="AQ1758" s="2"/>
      <c r="AR1758" s="2"/>
      <c r="AS1758" s="2"/>
      <c r="AT1758" s="2"/>
      <c r="AU1758" s="2"/>
      <c r="AV1758" s="2"/>
      <c r="AW1758" s="2"/>
      <c r="AX1758" s="2"/>
      <c r="AY1758" s="2"/>
      <c r="AZ1758" s="2"/>
      <c r="BA1758" s="2"/>
      <c r="BB1758" s="2"/>
    </row>
    <row r="1759">
      <c r="A1759" s="2">
        <f>IFERROR(__xludf.DUMMYFUNCTION("""COMPUTED_VALUE"""),1755.0)</f>
        <v>1755</v>
      </c>
      <c r="B1759" s="2" t="str">
        <f>IFERROR(__xludf.DUMMYFUNCTION("""COMPUTED_VALUE"""),"COMPLETED")</f>
        <v>COMPLETED</v>
      </c>
      <c r="C1759" s="78">
        <f>IFERROR(__xludf.DUMMYFUNCTION("""COMPUTED_VALUE"""),46166.0)</f>
        <v>46166</v>
      </c>
      <c r="D1759" s="71" t="str">
        <f>IFERROR(__xludf.DUMMYFUNCTION("""COMPUTED_VALUE"""),"Samahang ng Manggagawang Mindoreño Agriculture Cooperative (SAMMAGRICO)")</f>
        <v>Samahang ng Manggagawang Mindoreño Agriculture Cooperative (SAMMAGRICO)</v>
      </c>
      <c r="E1759" s="71" t="str">
        <f>IFERROR(__xludf.DUMMYFUNCTION("""COMPUTED_VALUE"""),"Magbay, San Jose, OCCIDENTAL MINDORO")</f>
        <v>Magbay, San Jose, OCCIDENTAL MINDORO</v>
      </c>
      <c r="F1759" s="2" t="str">
        <f>IFERROR(__xludf.DUMMYFUNCTION("""COMPUTED_VALUE"""),"GERRYWIN OQUINDO")</f>
        <v>GERRYWIN OQUINDO</v>
      </c>
      <c r="G1759" s="2">
        <f>IFERROR(__xludf.DUMMYFUNCTION("""COMPUTED_VALUE"""),9.662635401E9)</f>
        <v>9662635401</v>
      </c>
      <c r="H1759" s="2">
        <f>IFERROR(__xludf.DUMMYFUNCTION("""COMPUTED_VALUE"""),181.0)</f>
        <v>181</v>
      </c>
      <c r="I1759" s="72" t="str">
        <f>IFERROR(__xludf.DUMMYFUNCTION("""COMPUTED_VALUE"""),"REPAIR - LOADER")</f>
        <v>REPAIR - LOADER</v>
      </c>
      <c r="J1759" s="72" t="str">
        <f>IFERROR(__xludf.DUMMYFUNCTION("""COMPUTED_VALUE"""),"Cable lock")</f>
        <v>Cable lock</v>
      </c>
      <c r="K1759" s="72" t="str">
        <f>IFERROR(__xludf.DUMMYFUNCTION("""COMPUTED_VALUE"""),"RCG: CABLE LOCK PROBLEM")</f>
        <v>RCG: CABLE LOCK PROBLEM</v>
      </c>
      <c r="L1759" s="72" t="str">
        <f>IFERROR(__xludf.DUMMYFUNCTION("""COMPUTED_VALUE"""),"RCG: REPAIR FRONT LOADER - NAGPA MACHINE SHOP NALANG SILA")</f>
        <v>RCG: REPAIR FRONT LOADER - NAGPA MACHINE SHOP NALANG SILA</v>
      </c>
      <c r="M1759" s="2" t="str">
        <f>IFERROR(__xludf.DUMMYFUNCTION("""COMPUTED_VALUE"""),"CABLE LOCK")</f>
        <v>CABLE LOCK</v>
      </c>
      <c r="N1759" s="2"/>
      <c r="O1759" s="2">
        <f>IFERROR(__xludf.DUMMYFUNCTION("""COMPUTED_VALUE"""),744.0)</f>
        <v>744</v>
      </c>
      <c r="P1759" s="2" t="str">
        <f>IFERROR(__xludf.DUMMYFUNCTION("""COMPUTED_VALUE"""),"744 - Samahang ng Manggagawang Mindoreño Agriculture Cooperative (SAMMAGRICO).pdf")</f>
        <v>744 - Samahang ng Manggagawang Mindoreño Agriculture Cooperative (SAMMAGRICO).pdf</v>
      </c>
      <c r="Q1759" s="2" t="str">
        <f>IFERROR(__xludf.DUMMYFUNCTION("""COMPUTED_VALUE"""),"FOR PRINT")</f>
        <v>FOR PRINT</v>
      </c>
      <c r="R1759" s="74">
        <f>IFERROR(__xludf.DUMMYFUNCTION("""COMPUTED_VALUE"""),46166.0)</f>
        <v>46166</v>
      </c>
      <c r="S1759" s="2" t="str">
        <f>IFERROR(__xludf.DUMMYFUNCTION("""COMPUTED_VALUE"""),"RCG/RBS")</f>
        <v>RCG/RBS</v>
      </c>
      <c r="T1759" s="73" t="str">
        <f>IFERROR(__xludf.DUMMYFUNCTION("""COMPUTED_VALUE""")," N/A  ")</f>
        <v>N/A </v>
      </c>
      <c r="U1759" s="73" t="str">
        <f>IFERROR(__xludf.DUMMYFUNCTION("""COMPUTED_VALUE""")," NO CHARGE ")</f>
        <v>NO CHARGE</v>
      </c>
      <c r="V1759" s="2" t="str">
        <f>IFERROR(__xludf.DUMMYFUNCTION("""COMPUTED_VALUE"""),"N/A")</f>
        <v>N/A</v>
      </c>
      <c r="W1759" s="2" t="str">
        <f>IFERROR(__xludf.DUMMYFUNCTION("""COMPUTED_VALUE"""),"N/A")</f>
        <v>N/A</v>
      </c>
      <c r="X1759" s="2" t="str">
        <f>IFERROR(__xludf.DUMMYFUNCTION("""COMPUTED_VALUE"""),"N/A")</f>
        <v>N/A</v>
      </c>
      <c r="Y1759" s="2"/>
      <c r="Z1759" s="2"/>
      <c r="AA1759" s="2"/>
      <c r="AB1759" s="2"/>
      <c r="AC1759" s="2"/>
      <c r="AD1759" s="2"/>
      <c r="AE1759" s="2"/>
      <c r="AF1759" s="2"/>
      <c r="AG1759" s="2"/>
      <c r="AH1759" s="2"/>
      <c r="AI1759" s="2"/>
      <c r="AJ1759" s="2" t="str">
        <f>IFERROR(__xludf.DUMMYFUNCTION("""COMPUTED_VALUE"""),"Magbay")</f>
        <v>Magbay</v>
      </c>
      <c r="AK1759" s="2" t="str">
        <f>IFERROR(__xludf.DUMMYFUNCTION("""COMPUTED_VALUE"""),"San Jose")</f>
        <v>San Jose</v>
      </c>
      <c r="AL1759" s="2" t="str">
        <f>IFERROR(__xludf.DUMMYFUNCTION("""COMPUTED_VALUE"""),"Occidental Mindoro")</f>
        <v>Occidental Mindoro</v>
      </c>
      <c r="AM1759" s="2" t="str">
        <f>IFERROR(__xludf.DUMMYFUNCTION("""COMPUTED_VALUE"""),"4B")</f>
        <v>4B</v>
      </c>
      <c r="AN1759" s="2" t="str">
        <f>IFERROR(__xludf.DUMMYFUNCTION("""COMPUTED_VALUE"""),"RCEF 25-03-05")</f>
        <v>RCEF 25-03-05</v>
      </c>
      <c r="AO1759" s="2">
        <f>IFERROR(__xludf.DUMMYFUNCTION("""COMPUTED_VALUE"""),6.0)</f>
        <v>6</v>
      </c>
      <c r="AP1759" s="2" t="str">
        <f>IFERROR(__xludf.DUMMYFUNCTION("""COMPUTED_VALUE"""),"FREE PMS")</f>
        <v>FREE PMS</v>
      </c>
      <c r="AQ1759" s="2"/>
      <c r="AR1759" s="2"/>
      <c r="AS1759" s="2"/>
      <c r="AT1759" s="2"/>
      <c r="AU1759" s="2"/>
      <c r="AV1759" s="2"/>
      <c r="AW1759" s="2"/>
      <c r="AX1759" s="2"/>
      <c r="AY1759" s="2"/>
      <c r="AZ1759" s="2"/>
      <c r="BA1759" s="2"/>
      <c r="BB1759" s="2"/>
    </row>
    <row r="1760">
      <c r="A1760" s="2">
        <f>IFERROR(__xludf.DUMMYFUNCTION("""COMPUTED_VALUE"""),1756.0)</f>
        <v>1756</v>
      </c>
      <c r="B1760" s="2" t="str">
        <f>IFERROR(__xludf.DUMMYFUNCTION("""COMPUTED_VALUE"""),"PENDING")</f>
        <v>PENDING</v>
      </c>
      <c r="C1760" s="78">
        <f>IFERROR(__xludf.DUMMYFUNCTION("""COMPUTED_VALUE"""),46172.0)</f>
        <v>46172</v>
      </c>
      <c r="D1760" s="71" t="str">
        <f>IFERROR(__xludf.DUMMYFUNCTION("""COMPUTED_VALUE"""),"LIBERTAD CAWAYAN AGRARIAN REFORM COOPERATIVE")</f>
        <v>LIBERTAD CAWAYAN AGRARIAN REFORM COOPERATIVE</v>
      </c>
      <c r="E1760" s="71" t="str">
        <f>IFERROR(__xludf.DUMMYFUNCTION("""COMPUTED_VALUE"""),"Libertad, Cawayan, MASBATE")</f>
        <v>Libertad, Cawayan, MASBATE</v>
      </c>
      <c r="F1760" s="2" t="str">
        <f>IFERROR(__xludf.DUMMYFUNCTION("""COMPUTED_VALUE"""),"CHARLON Y. LIPAR ")</f>
        <v>CHARLON Y. LIPAR </v>
      </c>
      <c r="G1760" s="2">
        <f>IFERROR(__xludf.DUMMYFUNCTION("""COMPUTED_VALUE"""),9.166796787E9)</f>
        <v>9166796787</v>
      </c>
      <c r="H1760" s="2">
        <f>IFERROR(__xludf.DUMMYFUNCTION("""COMPUTED_VALUE"""),99.0)</f>
        <v>99</v>
      </c>
      <c r="I1760" s="72" t="str">
        <f>IFERROR(__xludf.DUMMYFUNCTION("""COMPUTED_VALUE"""),"REPAIR - LOADER")</f>
        <v>REPAIR - LOADER</v>
      </c>
      <c r="J1760" s="72" t="str">
        <f>IFERROR(__xludf.DUMMYFUNCTION("""COMPUTED_VALUE"""),"Cable lock")</f>
        <v>Cable lock</v>
      </c>
      <c r="K1760" s="72" t="str">
        <f>IFERROR(__xludf.DUMMYFUNCTION("""COMPUTED_VALUE"""),"FSJ: Problems:   boom is not working up")</f>
        <v>FSJ: Problems:   boom is not working up</v>
      </c>
      <c r="L1760" s="72"/>
      <c r="M1760" s="2" t="str">
        <f>IFERROR(__xludf.DUMMYFUNCTION("""COMPUTED_VALUE"""),"CABLE LOCK")</f>
        <v>CABLE LOCK</v>
      </c>
      <c r="N1760" s="2"/>
      <c r="O1760" s="2"/>
      <c r="P1760" s="2"/>
      <c r="Q1760" s="2"/>
      <c r="R1760" s="2"/>
      <c r="S1760" s="2"/>
      <c r="T1760" s="2"/>
      <c r="U1760" s="2"/>
      <c r="V1760" s="2"/>
      <c r="W1760" s="2"/>
      <c r="X1760" s="2"/>
      <c r="Y1760" s="2"/>
      <c r="Z1760" s="2"/>
      <c r="AA1760" s="2"/>
      <c r="AB1760" s="2"/>
      <c r="AC1760" s="2"/>
      <c r="AD1760" s="2"/>
      <c r="AE1760" s="2"/>
      <c r="AF1760" s="2"/>
      <c r="AG1760" s="2"/>
      <c r="AH1760" s="2"/>
      <c r="AI1760" s="2"/>
      <c r="AJ1760" s="2" t="str">
        <f>IFERROR(__xludf.DUMMYFUNCTION("""COMPUTED_VALUE"""),"Libertad")</f>
        <v>Libertad</v>
      </c>
      <c r="AK1760" s="2" t="str">
        <f>IFERROR(__xludf.DUMMYFUNCTION("""COMPUTED_VALUE"""),"Cawayan")</f>
        <v>Cawayan</v>
      </c>
      <c r="AL1760" s="2" t="str">
        <f>IFERROR(__xludf.DUMMYFUNCTION("""COMPUTED_VALUE"""),"Masbate")</f>
        <v>Masbate</v>
      </c>
      <c r="AM1760" s="2">
        <f>IFERROR(__xludf.DUMMYFUNCTION("""COMPUTED_VALUE"""),5.0)</f>
        <v>5</v>
      </c>
      <c r="AN1760" s="2" t="str">
        <f>IFERROR(__xludf.DUMMYFUNCTION("""COMPUTED_VALUE"""),"RCEF 25-03-05")</f>
        <v>RCEF 25-03-05</v>
      </c>
      <c r="AO1760" s="2">
        <f>IFERROR(__xludf.DUMMYFUNCTION("""COMPUTED_VALUE"""),6.0)</f>
        <v>6</v>
      </c>
      <c r="AP1760" s="2" t="str">
        <f>IFERROR(__xludf.DUMMYFUNCTION("""COMPUTED_VALUE"""),"FREE PMS")</f>
        <v>FREE PMS</v>
      </c>
      <c r="AQ1760" s="2"/>
      <c r="AR1760" s="2"/>
      <c r="AS1760" s="2"/>
      <c r="AT1760" s="2"/>
      <c r="AU1760" s="2"/>
      <c r="AV1760" s="2"/>
      <c r="AW1760" s="2"/>
      <c r="AX1760" s="2"/>
      <c r="AY1760" s="2"/>
      <c r="AZ1760" s="2"/>
      <c r="BA1760" s="2"/>
      <c r="BB1760" s="2"/>
    </row>
    <row r="1761">
      <c r="A1761" s="2">
        <f>IFERROR(__xludf.DUMMYFUNCTION("""COMPUTED_VALUE"""),1757.0)</f>
        <v>1757</v>
      </c>
      <c r="B1761" s="2" t="str">
        <f>IFERROR(__xludf.DUMMYFUNCTION("""COMPUTED_VALUE"""),"PENDING")</f>
        <v>PENDING</v>
      </c>
      <c r="C1761" s="78">
        <f>IFERROR(__xludf.DUMMYFUNCTION("""COMPUTED_VALUE"""),46170.0)</f>
        <v>46170</v>
      </c>
      <c r="D1761" s="71" t="str">
        <f>IFERROR(__xludf.DUMMYFUNCTION("""COMPUTED_VALUE"""),"Municipal Local Government Unit of Dipaculao")</f>
        <v>Municipal Local Government Unit of Dipaculao</v>
      </c>
      <c r="E1761" s="71" t="str">
        <f>IFERROR(__xludf.DUMMYFUNCTION("""COMPUTED_VALUE"""),"North Poblacion, Dipaculao, AURORA")</f>
        <v>North Poblacion, Dipaculao, AURORA</v>
      </c>
      <c r="F1761" s="2" t="str">
        <f>IFERROR(__xludf.DUMMYFUNCTION("""COMPUTED_VALUE"""),"ENGR. QUARESMA")</f>
        <v>ENGR. QUARESMA</v>
      </c>
      <c r="G1761" s="2">
        <f>IFERROR(__xludf.DUMMYFUNCTION("""COMPUTED_VALUE"""),9.212495157E9)</f>
        <v>9212495157</v>
      </c>
      <c r="H1761" s="2">
        <f>IFERROR(__xludf.DUMMYFUNCTION("""COMPUTED_VALUE"""),100.0)</f>
        <v>100</v>
      </c>
      <c r="I1761" s="72" t="str">
        <f>IFERROR(__xludf.DUMMYFUNCTION("""COMPUTED_VALUE"""),"REPAIR - DISC PLOW")</f>
        <v>REPAIR - DISC PLOW</v>
      </c>
      <c r="J1761" s="72" t="str">
        <f>IFERROR(__xludf.DUMMYFUNCTION("""COMPUTED_VALUE"""),"Leak")</f>
        <v>Leak</v>
      </c>
      <c r="K1761" s="72" t="str">
        <f>IFERROR(__xludf.DUMMYFUNCTION("""COMPUTED_VALUE"""),"MYK: MYK: DICPLOW PROBLEM- LEAKING (VIDEO TO FOLLOW)
")</f>
        <v>MYK: MYK: DICPLOW PROBLEM- LEAKING (VIDEO TO FOLLOW)
</v>
      </c>
      <c r="L1761" s="72" t="str">
        <f>IFERROR(__xludf.DUMMYFUNCTION("""COMPUTED_VALUE"""),"JHP: Dapat maam mabuksan yan ng malaman kung anong kailangan jan")</f>
        <v>JHP: Dapat maam mabuksan yan ng malaman kung anong kailangan jan</v>
      </c>
      <c r="M1761" s="2"/>
      <c r="N1761" s="2"/>
      <c r="O1761" s="2"/>
      <c r="P1761" s="2"/>
      <c r="Q1761" s="2"/>
      <c r="R1761" s="2"/>
      <c r="S1761" s="2"/>
      <c r="T1761" s="2"/>
      <c r="U1761" s="2"/>
      <c r="V1761" s="2"/>
      <c r="W1761" s="2"/>
      <c r="X1761" s="2"/>
      <c r="Y1761" s="2"/>
      <c r="Z1761" s="2"/>
      <c r="AA1761" s="2"/>
      <c r="AB1761" s="2"/>
      <c r="AC1761" s="2"/>
      <c r="AD1761" s="2"/>
      <c r="AE1761" s="2"/>
      <c r="AF1761" s="2"/>
      <c r="AG1761" s="2"/>
      <c r="AH1761" s="2"/>
      <c r="AI1761" s="2"/>
      <c r="AJ1761" s="2" t="str">
        <f>IFERROR(__xludf.DUMMYFUNCTION("""COMPUTED_VALUE"""),"North Poblacion")</f>
        <v>North Poblacion</v>
      </c>
      <c r="AK1761" s="2" t="str">
        <f>IFERROR(__xludf.DUMMYFUNCTION("""COMPUTED_VALUE"""),"Dipaculao")</f>
        <v>Dipaculao</v>
      </c>
      <c r="AL1761" s="2" t="str">
        <f>IFERROR(__xludf.DUMMYFUNCTION("""COMPUTED_VALUE"""),"Aurora")</f>
        <v>Aurora</v>
      </c>
      <c r="AM1761" s="2">
        <f>IFERROR(__xludf.DUMMYFUNCTION("""COMPUTED_VALUE"""),3.0)</f>
        <v>3</v>
      </c>
      <c r="AN1761" s="2" t="str">
        <f>IFERROR(__xludf.DUMMYFUNCTION("""COMPUTED_VALUE"""),"RCEF 25-03-05")</f>
        <v>RCEF 25-03-05</v>
      </c>
      <c r="AO1761" s="2">
        <f>IFERROR(__xludf.DUMMYFUNCTION("""COMPUTED_VALUE"""),5.0)</f>
        <v>5</v>
      </c>
      <c r="AP1761" s="2" t="str">
        <f>IFERROR(__xludf.DUMMYFUNCTION("""COMPUTED_VALUE"""),"FREE PMS")</f>
        <v>FREE PMS</v>
      </c>
      <c r="AQ1761" s="2"/>
      <c r="AR1761" s="2"/>
      <c r="AS1761" s="2"/>
      <c r="AT1761" s="2"/>
      <c r="AU1761" s="2"/>
      <c r="AV1761" s="2"/>
      <c r="AW1761" s="2"/>
      <c r="AX1761" s="2"/>
      <c r="AY1761" s="2"/>
      <c r="AZ1761" s="2"/>
      <c r="BA1761" s="2"/>
      <c r="BB1761" s="2"/>
    </row>
    <row r="1762">
      <c r="A1762" s="2">
        <f>IFERROR(__xludf.DUMMYFUNCTION("""COMPUTED_VALUE"""),1758.0)</f>
        <v>1758</v>
      </c>
      <c r="B1762" s="2" t="str">
        <f>IFERROR(__xludf.DUMMYFUNCTION("""COMPUTED_VALUE"""),"COMPLETED")</f>
        <v>COMPLETED</v>
      </c>
      <c r="C1762" s="78">
        <f>IFERROR(__xludf.DUMMYFUNCTION("""COMPUTED_VALUE"""),46171.0)</f>
        <v>46171</v>
      </c>
      <c r="D1762" s="71" t="str">
        <f>IFERROR(__xludf.DUMMYFUNCTION("""COMPUTED_VALUE"""),"Cordova Sur Farmers Association")</f>
        <v>Cordova Sur Farmers Association</v>
      </c>
      <c r="E1762" s="71" t="str">
        <f>IFERROR(__xludf.DUMMYFUNCTION("""COMPUTED_VALUE"""),"Cordova Sur, Tigbauan, ILOILO")</f>
        <v>Cordova Sur, Tigbauan, ILOILO</v>
      </c>
      <c r="F1762" s="2" t="str">
        <f>IFERROR(__xludf.DUMMYFUNCTION("""COMPUTED_VALUE"""),"Matilde Cansancio")</f>
        <v>Matilde Cansancio</v>
      </c>
      <c r="G1762" s="2">
        <f>IFERROR(__xludf.DUMMYFUNCTION("""COMPUTED_VALUE"""),9.120804492E9)</f>
        <v>9120804492</v>
      </c>
      <c r="H1762" s="2">
        <f>IFERROR(__xludf.DUMMYFUNCTION("""COMPUTED_VALUE"""),833.6)</f>
        <v>833.6</v>
      </c>
      <c r="I1762" s="72" t="str">
        <f>IFERROR(__xludf.DUMMYFUNCTION("""COMPUTED_VALUE"""),"SPARE PARTS ACQUISITION")</f>
        <v>SPARE PARTS ACQUISITION</v>
      </c>
      <c r="J1762" s="72" t="str">
        <f>IFERROR(__xludf.DUMMYFUNCTION("""COMPUTED_VALUE"""),"FRONT AXLE")</f>
        <v>FRONT AXLE</v>
      </c>
      <c r="K1762" s="72" t="str">
        <f>IFERROR(__xludf.DUMMYFUNCTION("""COMPUTED_VALUE"""),"EGT: Problem:oil seal
Order Parts: 
2 pcs Oil seal TA000045391A
2 pcs Oil seal TC60110000A3
2 pcs Oil seal FE78010000B")</f>
        <v>EGT: Problem:oil seal
Order Parts: 
2 pcs Oil seal TA000045391A
2 pcs Oil seal TC60110000A3
2 pcs Oil seal FE78010000B</v>
      </c>
      <c r="L1762" s="72" t="str">
        <f>IFERROR(__xludf.DUMMYFUNCTION("""COMPUTED_VALUE"""),"MYK: CALL -  WAITING SA DEPOSIT SLIP TO SEND SA FB PAGE - PAID - SHIPPED BY CTF")</f>
        <v>MYK: CALL -  WAITING SA DEPOSIT SLIP TO SEND SA FB PAGE - PAID - SHIPPED BY CTF</v>
      </c>
      <c r="M1762" s="2"/>
      <c r="N1762" s="2" t="str">
        <f>IFERROR(__xludf.DUMMYFUNCTION("""COMPUTED_VALUE"""),"2 pcs Oil seal TA000045391A
2 pcs Oil seal TC60110000A3
2 pcs Oil seal FE78010000B")</f>
        <v>2 pcs Oil seal TA000045391A
2 pcs Oil seal TC60110000A3
2 pcs Oil seal FE78010000B</v>
      </c>
      <c r="O1762" s="2" t="str">
        <f>IFERROR(__xludf.DUMMYFUNCTION("""COMPUTED_VALUE"""),"N/A")</f>
        <v>N/A</v>
      </c>
      <c r="P1762" s="2"/>
      <c r="Q1762" s="2"/>
      <c r="R1762" s="74">
        <f>IFERROR(__xludf.DUMMYFUNCTION("""COMPUTED_VALUE"""),46175.0)</f>
        <v>46175</v>
      </c>
      <c r="S1762" s="2" t="str">
        <f>IFERROR(__xludf.DUMMYFUNCTION("""COMPUTED_VALUE"""),"EGT/CTF")</f>
        <v>EGT/CTF</v>
      </c>
      <c r="T1762" s="73">
        <f>IFERROR(__xludf.DUMMYFUNCTION("""COMPUTED_VALUE"""),14820.0)</f>
        <v>14820</v>
      </c>
      <c r="U1762" s="73" t="str">
        <f>IFERROR(__xludf.DUMMYFUNCTION("""COMPUTED_VALUE""")," FOR REMIT ")</f>
        <v>FOR REMIT</v>
      </c>
      <c r="V1762" s="2">
        <f>IFERROR(__xludf.DUMMYFUNCTION("""COMPUTED_VALUE"""),2062.0)</f>
        <v>2062</v>
      </c>
      <c r="W1762" s="2">
        <f>IFERROR(__xludf.DUMMYFUNCTION("""COMPUTED_VALUE"""),2074.0)</f>
        <v>2074</v>
      </c>
      <c r="X1762" s="2"/>
      <c r="Y1762" s="2"/>
      <c r="Z1762" s="2"/>
      <c r="AA1762" s="2"/>
      <c r="AB1762" s="2"/>
      <c r="AC1762" s="2"/>
      <c r="AD1762" s="2"/>
      <c r="AE1762" s="2"/>
      <c r="AF1762" s="2"/>
      <c r="AG1762" s="2"/>
      <c r="AH1762" s="2"/>
      <c r="AI1762" s="2"/>
      <c r="AJ1762" s="2" t="str">
        <f>IFERROR(__xludf.DUMMYFUNCTION("""COMPUTED_VALUE"""),"Cordova Sur")</f>
        <v>Cordova Sur</v>
      </c>
      <c r="AK1762" s="2" t="str">
        <f>IFERROR(__xludf.DUMMYFUNCTION("""COMPUTED_VALUE"""),"Tigbauan")</f>
        <v>Tigbauan</v>
      </c>
      <c r="AL1762" s="2" t="str">
        <f>IFERROR(__xludf.DUMMYFUNCTION("""COMPUTED_VALUE"""),"Iloilo")</f>
        <v>Iloilo</v>
      </c>
      <c r="AM1762" s="2">
        <f>IFERROR(__xludf.DUMMYFUNCTION("""COMPUTED_VALUE"""),6.0)</f>
        <v>6</v>
      </c>
      <c r="AN1762" s="2" t="str">
        <f>IFERROR(__xludf.DUMMYFUNCTION("""COMPUTED_VALUE"""),"RCEF 23-09-21 Rebidding")</f>
        <v>RCEF 23-09-21 Rebidding</v>
      </c>
      <c r="AO1762" s="2">
        <f>IFERROR(__xludf.DUMMYFUNCTION("""COMPUTED_VALUE"""),4.0)</f>
        <v>4</v>
      </c>
      <c r="AP1762" s="2"/>
      <c r="AQ1762" s="2"/>
      <c r="AR1762" s="2"/>
      <c r="AS1762" s="2"/>
      <c r="AT1762" s="2"/>
      <c r="AU1762" s="2"/>
      <c r="AV1762" s="2"/>
      <c r="AW1762" s="2"/>
      <c r="AX1762" s="2"/>
      <c r="AY1762" s="2"/>
      <c r="AZ1762" s="2"/>
      <c r="BA1762" s="2"/>
      <c r="BB1762" s="2"/>
    </row>
    <row r="1763">
      <c r="A1763" s="2">
        <f>IFERROR(__xludf.DUMMYFUNCTION("""COMPUTED_VALUE"""),1759.0)</f>
        <v>1759</v>
      </c>
      <c r="B1763" s="2" t="str">
        <f>IFERROR(__xludf.DUMMYFUNCTION("""COMPUTED_VALUE"""),"PENDING")</f>
        <v>PENDING</v>
      </c>
      <c r="C1763" s="78">
        <f>IFERROR(__xludf.DUMMYFUNCTION("""COMPUTED_VALUE"""),46172.0)</f>
        <v>46172</v>
      </c>
      <c r="D1763" s="71" t="str">
        <f>IFERROR(__xludf.DUMMYFUNCTION("""COMPUTED_VALUE"""),"Bulusukan Farmers Palay and Vegetable Producers Cooperative")</f>
        <v>Bulusukan Farmers Palay and Vegetable Producers Cooperative</v>
      </c>
      <c r="E1763" s="71" t="str">
        <f>IFERROR(__xludf.DUMMYFUNCTION("""COMPUTED_VALUE"""),"Bulusukan, San Ildefonso, BULACAN")</f>
        <v>Bulusukan, San Ildefonso, BULACAN</v>
      </c>
      <c r="F1763" s="2" t="str">
        <f>IFERROR(__xludf.DUMMYFUNCTION("""COMPUTED_VALUE"""),"Naldy Nun̈ez ")</f>
        <v>Naldy Nun̈ez </v>
      </c>
      <c r="G1763" s="2">
        <f>IFERROR(__xludf.DUMMYFUNCTION("""COMPUTED_VALUE"""),6.39128630521E11)</f>
        <v>639128630521</v>
      </c>
      <c r="H1763" s="2"/>
      <c r="I1763" s="72" t="str">
        <f>IFERROR(__xludf.DUMMYFUNCTION("""COMPUTED_VALUE"""),"REPAIR - TRACTOR")</f>
        <v>REPAIR - TRACTOR</v>
      </c>
      <c r="J1763" s="72" t="str">
        <f>IFERROR(__xludf.DUMMYFUNCTION("""COMPUTED_VALUE"""),"PTO - Valve Solenoid")</f>
        <v>PTO - Valve Solenoid</v>
      </c>
      <c r="K1763" s="72" t="str">
        <f>IFERROR(__xludf.DUMMYFUNCTION("""COMPUTED_VALUE"""),"JHP: Report: PTO problem tumitigil ang ikot pag nag aararo")</f>
        <v>JHP: Report: PTO problem tumitigil ang ikot pag nag aararo</v>
      </c>
      <c r="L1763" s="72"/>
      <c r="M1763" s="2"/>
      <c r="N1763" s="2" t="str">
        <f>IFERROR(__xludf.DUMMYFUNCTION("""COMPUTED_VALUE"""),"PARTS:
PTO VALVE SOLENOID")</f>
        <v>PARTS:
PTO VALVE SOLENOID</v>
      </c>
      <c r="O1763" s="2"/>
      <c r="P1763" s="2"/>
      <c r="Q1763" s="2"/>
      <c r="R1763" s="2"/>
      <c r="S1763" s="2" t="str">
        <f>IFERROR(__xludf.DUMMYFUNCTION("""COMPUTED_VALUE"""),"CTF")</f>
        <v>CTF</v>
      </c>
      <c r="T1763" s="73">
        <f>IFERROR(__xludf.DUMMYFUNCTION("""COMPUTED_VALUE"""),15530.0)</f>
        <v>15530</v>
      </c>
      <c r="U1763" s="73" t="str">
        <f>IFERROR(__xludf.DUMMYFUNCTION("""COMPUTED_VALUE""")," DIRECT PAYMENT ")</f>
        <v>DIRECT PAYMENT</v>
      </c>
      <c r="V1763" s="2">
        <f>IFERROR(__xludf.DUMMYFUNCTION("""COMPUTED_VALUE"""),2061.0)</f>
        <v>2061</v>
      </c>
      <c r="W1763" s="2">
        <f>IFERROR(__xludf.DUMMYFUNCTION("""COMPUTED_VALUE"""),2073.0)</f>
        <v>2073</v>
      </c>
      <c r="X1763" s="2">
        <f>IFERROR(__xludf.DUMMYFUNCTION("""COMPUTED_VALUE"""),1796.0)</f>
        <v>1796</v>
      </c>
      <c r="Y1763" s="2"/>
      <c r="Z1763" s="2"/>
      <c r="AA1763" s="2"/>
      <c r="AB1763" s="2"/>
      <c r="AC1763" s="2"/>
      <c r="AD1763" s="2"/>
      <c r="AE1763" s="2"/>
      <c r="AF1763" s="2"/>
      <c r="AG1763" s="2"/>
      <c r="AH1763" s="2"/>
      <c r="AI1763" s="2"/>
      <c r="AJ1763" s="2" t="str">
        <f>IFERROR(__xludf.DUMMYFUNCTION("""COMPUTED_VALUE"""),"Bulusukan")</f>
        <v>Bulusukan</v>
      </c>
      <c r="AK1763" s="2" t="str">
        <f>IFERROR(__xludf.DUMMYFUNCTION("""COMPUTED_VALUE"""),"San Ildefonso")</f>
        <v>San Ildefonso</v>
      </c>
      <c r="AL1763" s="2" t="str">
        <f>IFERROR(__xludf.DUMMYFUNCTION("""COMPUTED_VALUE"""),"Bulacan")</f>
        <v>Bulacan</v>
      </c>
      <c r="AM1763" s="2">
        <f>IFERROR(__xludf.DUMMYFUNCTION("""COMPUTED_VALUE"""),3.0)</f>
        <v>3</v>
      </c>
      <c r="AN1763" s="2" t="str">
        <f>IFERROR(__xludf.DUMMYFUNCTION("""COMPUTED_VALUE"""),"RCEF 23-09-21 Rebidding")</f>
        <v>RCEF 23-09-21 Rebidding</v>
      </c>
      <c r="AO1763" s="2">
        <f>IFERROR(__xludf.DUMMYFUNCTION("""COMPUTED_VALUE"""),9.0)</f>
        <v>9</v>
      </c>
      <c r="AP1763" s="2"/>
      <c r="AQ1763" s="2"/>
      <c r="AR1763" s="2"/>
      <c r="AS1763" s="2"/>
      <c r="AT1763" s="2"/>
      <c r="AU1763" s="2"/>
      <c r="AV1763" s="2"/>
      <c r="AW1763" s="2"/>
      <c r="AX1763" s="2"/>
      <c r="AY1763" s="2"/>
      <c r="AZ1763" s="2"/>
      <c r="BA1763" s="2"/>
      <c r="BB1763" s="2"/>
    </row>
    <row r="1764">
      <c r="A1764" s="2">
        <f>IFERROR(__xludf.DUMMYFUNCTION("""COMPUTED_VALUE"""),1760.0)</f>
        <v>1760</v>
      </c>
      <c r="B1764" s="2" t="str">
        <f>IFERROR(__xludf.DUMMYFUNCTION("""COMPUTED_VALUE"""),"COMPLETED")</f>
        <v>COMPLETED</v>
      </c>
      <c r="C1764" s="78">
        <f>IFERROR(__xludf.DUMMYFUNCTION("""COMPUTED_VALUE"""),46172.0)</f>
        <v>46172</v>
      </c>
      <c r="D1764" s="71" t="str">
        <f>IFERROR(__xludf.DUMMYFUNCTION("""COMPUTED_VALUE"""),"CASONGSONG FARMERS ASSOCIATION")</f>
        <v>CASONGSONG FARMERS ASSOCIATION</v>
      </c>
      <c r="E1764" s="71" t="str">
        <f>IFERROR(__xludf.DUMMYFUNCTION("""COMPUTED_VALUE"""),"Casongsong, Guimba, NUEVA ECIJA")</f>
        <v>Casongsong, Guimba, NUEVA ECIJA</v>
      </c>
      <c r="F1764" s="2" t="str">
        <f>IFERROR(__xludf.DUMMYFUNCTION("""COMPUTED_VALUE"""),"Virginia DC. Rihad - President")</f>
        <v>Virginia DC. Rihad - President</v>
      </c>
      <c r="G1764" s="2" t="str">
        <f>IFERROR(__xludf.DUMMYFUNCTION("""COMPUTED_VALUE"""),"0966 385 5987")</f>
        <v>0966 385 5987</v>
      </c>
      <c r="H1764" s="2">
        <f>IFERROR(__xludf.DUMMYFUNCTION("""COMPUTED_VALUE"""),50.0)</f>
        <v>50</v>
      </c>
      <c r="I1764" s="72" t="str">
        <f>IFERROR(__xludf.DUMMYFUNCTION("""COMPUTED_VALUE"""),"PMS")</f>
        <v>PMS</v>
      </c>
      <c r="J1764" s="72" t="str">
        <f>IFERROR(__xludf.DUMMYFUNCTION("""COMPUTED_VALUE"""),"PMS")</f>
        <v>PMS</v>
      </c>
      <c r="K1764" s="72" t="str">
        <f>IFERROR(__xludf.DUMMYFUNCTION("""COMPUTED_VALUE"""),"ACS: 1ST PMS FREE")</f>
        <v>ACS: 1ST PMS FREE</v>
      </c>
      <c r="L1764" s="72" t="str">
        <f>IFERROR(__xludf.DUMMYFUNCTION("""COMPUTED_VALUE"""),"JDP: 1ST PMS DONE")</f>
        <v>JDP: 1ST PMS DONE</v>
      </c>
      <c r="M1764" s="2"/>
      <c r="N1764" s="2" t="str">
        <f>IFERROR(__xludf.DUMMYFUNCTION("""COMPUTED_VALUE"""),"PARTS:
OIL FILTER
ENGINE OIL")</f>
        <v>PARTS:
OIL FILTER
ENGINE OIL</v>
      </c>
      <c r="O1764" s="2">
        <f>IFERROR(__xludf.DUMMYFUNCTION("""COMPUTED_VALUE"""),1115.0)</f>
        <v>1115</v>
      </c>
      <c r="P1764" s="2" t="str">
        <f>IFERROR(__xludf.DUMMYFUNCTION("""COMPUTED_VALUE"""),"1115- CASONGSONG FARMERS ASSOCIATION.pdf")</f>
        <v>1115- CASONGSONG FARMERS ASSOCIATION.pdf</v>
      </c>
      <c r="Q1764" s="2" t="str">
        <f>IFERROR(__xludf.DUMMYFUNCTION("""COMPUTED_VALUE"""),"FOR PRINT")</f>
        <v>FOR PRINT</v>
      </c>
      <c r="R1764" s="74">
        <f>IFERROR(__xludf.DUMMYFUNCTION("""COMPUTED_VALUE"""),46175.0)</f>
        <v>46175</v>
      </c>
      <c r="S1764" s="2" t="str">
        <f>IFERROR(__xludf.DUMMYFUNCTION("""COMPUTED_VALUE"""),"JDP/JVV")</f>
        <v>JDP/JVV</v>
      </c>
      <c r="T1764" s="73" t="str">
        <f>IFERROR(__xludf.DUMMYFUNCTION("""COMPUTED_VALUE""")," N/A ")</f>
        <v>N/A</v>
      </c>
      <c r="U1764" s="73" t="str">
        <f>IFERROR(__xludf.DUMMYFUNCTION("""COMPUTED_VALUE""")," NO CHARGE ")</f>
        <v>NO CHARGE</v>
      </c>
      <c r="V1764" s="2">
        <f>IFERROR(__xludf.DUMMYFUNCTION("""COMPUTED_VALUE"""),1340.0)</f>
        <v>1340</v>
      </c>
      <c r="W1764" s="2" t="str">
        <f>IFERROR(__xludf.DUMMYFUNCTION("""COMPUTED_VALUE"""),"N/A")</f>
        <v>N/A</v>
      </c>
      <c r="X1764" s="2" t="str">
        <f>IFERROR(__xludf.DUMMYFUNCTION("""COMPUTED_VALUE"""),"N/A")</f>
        <v>N/A</v>
      </c>
      <c r="Y1764" s="2"/>
      <c r="Z1764" s="2"/>
      <c r="AA1764" s="2"/>
      <c r="AB1764" s="2"/>
      <c r="AC1764" s="2"/>
      <c r="AD1764" s="2"/>
      <c r="AE1764" s="2"/>
      <c r="AF1764" s="2"/>
      <c r="AG1764" s="2"/>
      <c r="AH1764" s="2"/>
      <c r="AI1764" s="2"/>
      <c r="AJ1764" s="2" t="str">
        <f>IFERROR(__xludf.DUMMYFUNCTION("""COMPUTED_VALUE"""),"Casongsong")</f>
        <v>Casongsong</v>
      </c>
      <c r="AK1764" s="2" t="str">
        <f>IFERROR(__xludf.DUMMYFUNCTION("""COMPUTED_VALUE"""),"Guimba")</f>
        <v>Guimba</v>
      </c>
      <c r="AL1764" s="2" t="str">
        <f>IFERROR(__xludf.DUMMYFUNCTION("""COMPUTED_VALUE"""),"Nueva Ecija")</f>
        <v>Nueva Ecija</v>
      </c>
      <c r="AM1764" s="2">
        <f>IFERROR(__xludf.DUMMYFUNCTION("""COMPUTED_VALUE"""),3.0)</f>
        <v>3</v>
      </c>
      <c r="AN1764" s="2" t="str">
        <f>IFERROR(__xludf.DUMMYFUNCTION("""COMPUTED_VALUE"""),"RCEF 25-03-05")</f>
        <v>RCEF 25-03-05</v>
      </c>
      <c r="AO1764" s="2">
        <f>IFERROR(__xludf.DUMMYFUNCTION("""COMPUTED_VALUE"""),5.0)</f>
        <v>5</v>
      </c>
      <c r="AP1764" s="2" t="str">
        <f>IFERROR(__xludf.DUMMYFUNCTION("""COMPUTED_VALUE"""),"FREE PMS")</f>
        <v>FREE PMS</v>
      </c>
      <c r="AQ1764" s="2"/>
      <c r="AR1764" s="2"/>
      <c r="AS1764" s="2"/>
      <c r="AT1764" s="2"/>
      <c r="AU1764" s="2"/>
      <c r="AV1764" s="2"/>
      <c r="AW1764" s="2"/>
      <c r="AX1764" s="2"/>
      <c r="AY1764" s="2"/>
      <c r="AZ1764" s="2"/>
      <c r="BA1764" s="2"/>
      <c r="BB1764" s="2"/>
    </row>
    <row r="1765">
      <c r="A1765" s="2">
        <f>IFERROR(__xludf.DUMMYFUNCTION("""COMPUTED_VALUE"""),1761.0)</f>
        <v>1761</v>
      </c>
      <c r="B1765" s="2" t="str">
        <f>IFERROR(__xludf.DUMMYFUNCTION("""COMPUTED_VALUE"""),"PENDING")</f>
        <v>PENDING</v>
      </c>
      <c r="C1765" s="78">
        <f>IFERROR(__xludf.DUMMYFUNCTION("""COMPUTED_VALUE"""),46172.0)</f>
        <v>46172</v>
      </c>
      <c r="D1765" s="71" t="str">
        <f>IFERROR(__xludf.DUMMYFUNCTION("""COMPUTED_VALUE"""),"Brgy. San Jose San Jacinto Pangasinan Farmers Association Inc.")</f>
        <v>Brgy. San Jose San Jacinto Pangasinan Farmers Association Inc.</v>
      </c>
      <c r="E1765" s="71" t="str">
        <f>IFERROR(__xludf.DUMMYFUNCTION("""COMPUTED_VALUE"""),"San Jose, San Jacinto, PANGASINAN")</f>
        <v>San Jose, San Jacinto, PANGASINAN</v>
      </c>
      <c r="F1765" s="2" t="str">
        <f>IFERROR(__xludf.DUMMYFUNCTION("""COMPUTED_VALUE"""),"Jerwin F. Nicomedez")</f>
        <v>Jerwin F. Nicomedez</v>
      </c>
      <c r="G1765" s="2">
        <f>IFERROR(__xludf.DUMMYFUNCTION("""COMPUTED_VALUE"""),9.920136059E9)</f>
        <v>9920136059</v>
      </c>
      <c r="H1765" s="2">
        <f>IFERROR(__xludf.DUMMYFUNCTION("""COMPUTED_VALUE"""),400.0)</f>
        <v>400</v>
      </c>
      <c r="I1765" s="72" t="str">
        <f>IFERROR(__xludf.DUMMYFUNCTION("""COMPUTED_VALUE"""),"PMS")</f>
        <v>PMS</v>
      </c>
      <c r="J1765" s="72" t="str">
        <f>IFERROR(__xludf.DUMMYFUNCTION("""COMPUTED_VALUE"""),"PMS")</f>
        <v>PMS</v>
      </c>
      <c r="K1765" s="72" t="str">
        <f>IFERROR(__xludf.DUMMYFUNCTION("""COMPUTED_VALUE"""),"DRM: CONCERNS: General Change oil")</f>
        <v>DRM: CONCERNS: General Change oil</v>
      </c>
      <c r="L1765" s="72" t="str">
        <f>IFERROR(__xludf.DUMMYFUNCTION("""COMPUTED_VALUE"""),"MYK: CALL - AWARES NA MAY SERVICE CHARGE - WAITING CHAT SA FB PAGE TO SEND QUOTATION - QUOTATION SENT -  
FCA CONFIRMED - SCHEDULE 6/4/26 JHP TEAM")</f>
        <v>MYK: CALL - AWARES NA MAY SERVICE CHARGE - WAITING CHAT SA FB PAGE TO SEND QUOTATION - QUOTATION SENT -  
FCA CONFIRMED - SCHEDULE 6/4/26 JHP TEAM</v>
      </c>
      <c r="M1765" s="2"/>
      <c r="N1765" s="2"/>
      <c r="O1765" s="2"/>
      <c r="P1765" s="2"/>
      <c r="Q1765" s="2"/>
      <c r="R1765" s="2"/>
      <c r="S1765" s="2"/>
      <c r="T1765" s="2"/>
      <c r="U1765" s="2"/>
      <c r="V1765" s="2"/>
      <c r="W1765" s="2"/>
      <c r="X1765" s="2"/>
      <c r="Y1765" s="2"/>
      <c r="Z1765" s="2"/>
      <c r="AA1765" s="2"/>
      <c r="AB1765" s="2"/>
      <c r="AC1765" s="2"/>
      <c r="AD1765" s="2"/>
      <c r="AE1765" s="2"/>
      <c r="AF1765" s="2"/>
      <c r="AG1765" s="2"/>
      <c r="AH1765" s="2"/>
      <c r="AI1765" s="2"/>
      <c r="AJ1765" s="2" t="str">
        <f>IFERROR(__xludf.DUMMYFUNCTION("""COMPUTED_VALUE"""),"San Jose")</f>
        <v>San Jose</v>
      </c>
      <c r="AK1765" s="2" t="str">
        <f>IFERROR(__xludf.DUMMYFUNCTION("""COMPUTED_VALUE"""),"San Jacinto")</f>
        <v>San Jacinto</v>
      </c>
      <c r="AL1765" s="2" t="str">
        <f>IFERROR(__xludf.DUMMYFUNCTION("""COMPUTED_VALUE"""),"Pangasinan")</f>
        <v>Pangasinan</v>
      </c>
      <c r="AM1765" s="2">
        <f>IFERROR(__xludf.DUMMYFUNCTION("""COMPUTED_VALUE"""),1.0)</f>
        <v>1</v>
      </c>
      <c r="AN1765" s="2" t="str">
        <f>IFERROR(__xludf.DUMMYFUNCTION("""COMPUTED_VALUE"""),"RCEF 24-04-15")</f>
        <v>RCEF 24-04-15</v>
      </c>
      <c r="AO1765" s="2">
        <f>IFERROR(__xludf.DUMMYFUNCTION("""COMPUTED_VALUE"""),6.0)</f>
        <v>6</v>
      </c>
      <c r="AP1765" s="2" t="str">
        <f>IFERROR(__xludf.DUMMYFUNCTION("""COMPUTED_VALUE"""),"FREE PMS")</f>
        <v>FREE PMS</v>
      </c>
      <c r="AQ1765" s="2"/>
      <c r="AR1765" s="2"/>
      <c r="AS1765" s="2"/>
      <c r="AT1765" s="2"/>
      <c r="AU1765" s="2"/>
      <c r="AV1765" s="2"/>
      <c r="AW1765" s="2"/>
      <c r="AX1765" s="2"/>
      <c r="AY1765" s="2"/>
      <c r="AZ1765" s="2"/>
      <c r="BA1765" s="2"/>
      <c r="BB1765" s="2"/>
    </row>
    <row r="1766">
      <c r="A1766" s="2">
        <f>IFERROR(__xludf.DUMMYFUNCTION("""COMPUTED_VALUE"""),1762.0)</f>
        <v>1762</v>
      </c>
      <c r="B1766" s="2" t="str">
        <f>IFERROR(__xludf.DUMMYFUNCTION("""COMPUTED_VALUE"""),"PENDING")</f>
        <v>PENDING</v>
      </c>
      <c r="C1766" s="78">
        <f>IFERROR(__xludf.DUMMYFUNCTION("""COMPUTED_VALUE"""),46173.0)</f>
        <v>46173</v>
      </c>
      <c r="D1766" s="71" t="str">
        <f>IFERROR(__xludf.DUMMYFUNCTION("""COMPUTED_VALUE"""),"ALACSAN SQ IRRIGATORS ASSOCIATION, INC")</f>
        <v>ALACSAN SQ IRRIGATORS ASSOCIATION, INC</v>
      </c>
      <c r="E1766" s="71" t="str">
        <f>IFERROR(__xludf.DUMMYFUNCTION("""COMPUTED_VALUE"""),"Alac, San Quintin, PANGASINAN")</f>
        <v>Alac, San Quintin, PANGASINAN</v>
      </c>
      <c r="F1766" s="2"/>
      <c r="G1766" s="2" t="str">
        <f>IFERROR(__xludf.DUMMYFUNCTION("""COMPUTED_VALUE"""),"09542830633/09553785021")</f>
        <v>09542830633/09553785021</v>
      </c>
      <c r="H1766" s="2">
        <f>IFERROR(__xludf.DUMMYFUNCTION("""COMPUTED_VALUE"""),177.8)</f>
        <v>177.8</v>
      </c>
      <c r="I1766" s="72" t="str">
        <f>IFERROR(__xludf.DUMMYFUNCTION("""COMPUTED_VALUE"""),"REPAIR - TRACTOR")</f>
        <v>REPAIR - TRACTOR</v>
      </c>
      <c r="J1766" s="72" t="str">
        <f>IFERROR(__xludf.DUMMYFUNCTION("""COMPUTED_VALUE"""),"DASHBOARD")</f>
        <v>DASHBOARD</v>
      </c>
      <c r="K1766" s="72" t="str">
        <f>IFERROR(__xludf.DUMMYFUNCTION("""COMPUTED_VALUE"""),"MYK: Good pm madam report ko lang yun traktor  ng alacsan IA po sira yun temp gauge odometer at gas gauge maingay yun warning sound  dto po sanquintin, pangasinan")</f>
        <v>MYK: Good pm madam report ko lang yun traktor  ng alacsan IA po sira yun temp gauge odometer at gas gauge maingay yun warning sound  dto po sanquintin, pangasinan</v>
      </c>
      <c r="L1766" s="72"/>
      <c r="M1766" s="2"/>
      <c r="N1766" s="2"/>
      <c r="O1766" s="2"/>
      <c r="P1766" s="2"/>
      <c r="Q1766" s="2"/>
      <c r="R1766" s="2"/>
      <c r="S1766" s="2"/>
      <c r="T1766" s="2"/>
      <c r="U1766" s="2"/>
      <c r="V1766" s="2"/>
      <c r="W1766" s="2"/>
      <c r="X1766" s="2"/>
      <c r="Y1766" s="2"/>
      <c r="Z1766" s="2"/>
      <c r="AA1766" s="2"/>
      <c r="AB1766" s="2"/>
      <c r="AC1766" s="2"/>
      <c r="AD1766" s="2"/>
      <c r="AE1766" s="2"/>
      <c r="AF1766" s="2"/>
      <c r="AG1766" s="2"/>
      <c r="AH1766" s="2"/>
      <c r="AI1766" s="2"/>
      <c r="AJ1766" s="2" t="str">
        <f>IFERROR(__xludf.DUMMYFUNCTION("""COMPUTED_VALUE"""),"Alac")</f>
        <v>Alac</v>
      </c>
      <c r="AK1766" s="2" t="str">
        <f>IFERROR(__xludf.DUMMYFUNCTION("""COMPUTED_VALUE"""),"San Quintin")</f>
        <v>San Quintin</v>
      </c>
      <c r="AL1766" s="2" t="str">
        <f>IFERROR(__xludf.DUMMYFUNCTION("""COMPUTED_VALUE"""),"Pangasinan")</f>
        <v>Pangasinan</v>
      </c>
      <c r="AM1766" s="2">
        <f>IFERROR(__xludf.DUMMYFUNCTION("""COMPUTED_VALUE"""),1.0)</f>
        <v>1</v>
      </c>
      <c r="AN1766" s="2" t="str">
        <f>IFERROR(__xludf.DUMMYFUNCTION("""COMPUTED_VALUE"""),"Repeat Order")</f>
        <v>Repeat Order</v>
      </c>
      <c r="AO1766" s="2">
        <f>IFERROR(__xludf.DUMMYFUNCTION("""COMPUTED_VALUE"""),6.0)</f>
        <v>6</v>
      </c>
      <c r="AP1766" s="2" t="str">
        <f>IFERROR(__xludf.DUMMYFUNCTION("""COMPUTED_VALUE"""),"FREE PMS")</f>
        <v>FREE PMS</v>
      </c>
      <c r="AQ1766" s="2"/>
      <c r="AR1766" s="2"/>
      <c r="AS1766" s="2"/>
      <c r="AT1766" s="2"/>
      <c r="AU1766" s="2"/>
      <c r="AV1766" s="2"/>
      <c r="AW1766" s="2"/>
      <c r="AX1766" s="2"/>
      <c r="AY1766" s="2"/>
      <c r="AZ1766" s="2"/>
      <c r="BA1766" s="2"/>
      <c r="BB1766" s="2"/>
    </row>
    <row r="1767">
      <c r="A1767" s="2">
        <f>IFERROR(__xludf.DUMMYFUNCTION("""COMPUTED_VALUE"""),1763.0)</f>
        <v>1763</v>
      </c>
      <c r="B1767" s="2" t="str">
        <f>IFERROR(__xludf.DUMMYFUNCTION("""COMPUTED_VALUE"""),"PENDING")</f>
        <v>PENDING</v>
      </c>
      <c r="C1767" s="78">
        <f>IFERROR(__xludf.DUMMYFUNCTION("""COMPUTED_VALUE"""),46174.0)</f>
        <v>46174</v>
      </c>
      <c r="D1767" s="71" t="str">
        <f>IFERROR(__xludf.DUMMYFUNCTION("""COMPUTED_VALUE"""),"Babancal Alindayat Farmers/Irrigators Association Inc.")</f>
        <v>Babancal Alindayat Farmers/Irrigators Association Inc.</v>
      </c>
      <c r="E1767" s="71" t="str">
        <f>IFERROR(__xludf.DUMMYFUNCTION("""COMPUTED_VALUE"""),"Babancal, Candelaria, ZAMBALES")</f>
        <v>Babancal, Candelaria, ZAMBALES</v>
      </c>
      <c r="F1767" s="2" t="str">
        <f>IFERROR(__xludf.DUMMYFUNCTION("""COMPUTED_VALUE"""),"ALLAN M, ALCANTARA ")</f>
        <v>ALLAN M, ALCANTARA </v>
      </c>
      <c r="G1767" s="2">
        <f>IFERROR(__xludf.DUMMYFUNCTION("""COMPUTED_VALUE"""),9.674951331E9)</f>
        <v>9674951331</v>
      </c>
      <c r="H1767" s="2"/>
      <c r="I1767" s="72" t="str">
        <f>IFERROR(__xludf.DUMMYFUNCTION("""COMPUTED_VALUE"""),"PMS")</f>
        <v>PMS</v>
      </c>
      <c r="J1767" s="72" t="str">
        <f>IFERROR(__xludf.DUMMYFUNCTION("""COMPUTED_VALUE"""),"PMS")</f>
        <v>PMS</v>
      </c>
      <c r="K1767" s="72" t="str">
        <f>IFERROR(__xludf.DUMMYFUNCTION("""COMPUTED_VALUE"""),"ACS: Concern: request second pms")</f>
        <v>ACS: Concern: request second pms</v>
      </c>
      <c r="L1767" s="72" t="str">
        <f>IFERROR(__xludf.DUMMYFUNCTION("""COMPUTED_VALUE"""),"MYK: CALL - RINGING NO ANSWER")</f>
        <v>MYK: CALL - RINGING NO ANSWER</v>
      </c>
      <c r="M1767" s="2"/>
      <c r="N1767" s="2"/>
      <c r="O1767" s="2"/>
      <c r="P1767" s="2"/>
      <c r="Q1767" s="2"/>
      <c r="R1767" s="2"/>
      <c r="S1767" s="2"/>
      <c r="T1767" s="2"/>
      <c r="U1767" s="2"/>
      <c r="V1767" s="2"/>
      <c r="W1767" s="2"/>
      <c r="X1767" s="2"/>
      <c r="Y1767" s="2"/>
      <c r="Z1767" s="2"/>
      <c r="AA1767" s="2"/>
      <c r="AB1767" s="2"/>
      <c r="AC1767" s="2"/>
      <c r="AD1767" s="2"/>
      <c r="AE1767" s="2"/>
      <c r="AF1767" s="2"/>
      <c r="AG1767" s="2"/>
      <c r="AH1767" s="2"/>
      <c r="AI1767" s="2"/>
      <c r="AJ1767" s="2" t="str">
        <f>IFERROR(__xludf.DUMMYFUNCTION("""COMPUTED_VALUE"""),"Babancal")</f>
        <v>Babancal</v>
      </c>
      <c r="AK1767" s="2" t="str">
        <f>IFERROR(__xludf.DUMMYFUNCTION("""COMPUTED_VALUE"""),"Candelaria")</f>
        <v>Candelaria</v>
      </c>
      <c r="AL1767" s="2" t="str">
        <f>IFERROR(__xludf.DUMMYFUNCTION("""COMPUTED_VALUE"""),"Zambales")</f>
        <v>Zambales</v>
      </c>
      <c r="AM1767" s="2">
        <f>IFERROR(__xludf.DUMMYFUNCTION("""COMPUTED_VALUE"""),3.0)</f>
        <v>3</v>
      </c>
      <c r="AN1767" s="2" t="str">
        <f>IFERROR(__xludf.DUMMYFUNCTION("""COMPUTED_VALUE"""),"RCEF 25-03-05")</f>
        <v>RCEF 25-03-05</v>
      </c>
      <c r="AO1767" s="2">
        <f>IFERROR(__xludf.DUMMYFUNCTION("""COMPUTED_VALUE"""),5.0)</f>
        <v>5</v>
      </c>
      <c r="AP1767" s="2" t="str">
        <f>IFERROR(__xludf.DUMMYFUNCTION("""COMPUTED_VALUE"""),"FREE PMS")</f>
        <v>FREE PMS</v>
      </c>
      <c r="AQ1767" s="2"/>
      <c r="AR1767" s="2"/>
      <c r="AS1767" s="2"/>
      <c r="AT1767" s="2"/>
      <c r="AU1767" s="2"/>
      <c r="AV1767" s="2"/>
      <c r="AW1767" s="2"/>
      <c r="AX1767" s="2"/>
      <c r="AY1767" s="2"/>
      <c r="AZ1767" s="2"/>
      <c r="BA1767" s="2"/>
      <c r="BB1767" s="2"/>
    </row>
    <row r="1768">
      <c r="A1768" s="2">
        <f>IFERROR(__xludf.DUMMYFUNCTION("""COMPUTED_VALUE"""),1764.0)</f>
        <v>1764</v>
      </c>
      <c r="B1768" s="2" t="str">
        <f>IFERROR(__xludf.DUMMYFUNCTION("""COMPUTED_VALUE"""),"COMPLETED")</f>
        <v>COMPLETED</v>
      </c>
      <c r="C1768" s="78">
        <f>IFERROR(__xludf.DUMMYFUNCTION("""COMPUTED_VALUE"""),46174.0)</f>
        <v>46174</v>
      </c>
      <c r="D1768" s="71" t="str">
        <f>IFERROR(__xludf.DUMMYFUNCTION("""COMPUTED_VALUE"""),"MUNICIPAL LOCAL GOVERNMENT UNIT OF SANTA MARIA")</f>
        <v>MUNICIPAL LOCAL GOVERNMENT UNIT OF SANTA MARIA</v>
      </c>
      <c r="E1768" s="71" t="str">
        <f>IFERROR(__xludf.DUMMYFUNCTION("""COMPUTED_VALUE"""),"Poblacion, Santa Maria, BULACAN")</f>
        <v>Poblacion, Santa Maria, BULACAN</v>
      </c>
      <c r="F1768" s="2" t="str">
        <f>IFERROR(__xludf.DUMMYFUNCTION("""COMPUTED_VALUE"""),"EDGARDO MATEO")</f>
        <v>EDGARDO MATEO</v>
      </c>
      <c r="G1768" s="2" t="str">
        <f>IFERROR(__xludf.DUMMYFUNCTION("""COMPUTED_VALUE"""),"9974096786 /  09758870947")</f>
        <v>9974096786 /  09758870947</v>
      </c>
      <c r="H1768" s="2">
        <f>IFERROR(__xludf.DUMMYFUNCTION("""COMPUTED_VALUE"""),200.0)</f>
        <v>200</v>
      </c>
      <c r="I1768" s="72" t="str">
        <f>IFERROR(__xludf.DUMMYFUNCTION("""COMPUTED_VALUE"""),"REPAIR - LOADER")</f>
        <v>REPAIR - LOADER</v>
      </c>
      <c r="J1768" s="72" t="str">
        <f>IFERROR(__xludf.DUMMYFUNCTION("""COMPUTED_VALUE"""),"Cable Lock / PMS / ")</f>
        <v>Cable Lock / PMS / </v>
      </c>
      <c r="K1768" s="72" t="str">
        <f>IFERROR(__xludf.DUMMYFUNCTION("""COMPUTED_VALUE"""),"MYK: AYAW UMANGAT NG FRONT LOADER (SILANGAN UNIT)")</f>
        <v>MYK: AYAW UMANGAT NG FRONT LOADER (SILANGAN UNIT)</v>
      </c>
      <c r="L1768" s="72" t="str">
        <f>IFERROR(__xludf.DUMMYFUNCTION("""COMPUTED_VALUE"""),"DSD: REPLACED CABLE LOCK")</f>
        <v>DSD: REPLACED CABLE LOCK</v>
      </c>
      <c r="M1768" s="2"/>
      <c r="N1768" s="2" t="str">
        <f>IFERROR(__xludf.DUMMYFUNCTION("""COMPUTED_VALUE"""),"PARTS:
2- CABLE LOCK")</f>
        <v>PARTS:
2- CABLE LOCK</v>
      </c>
      <c r="O1768" s="2">
        <f>IFERROR(__xludf.DUMMYFUNCTION("""COMPUTED_VALUE"""),890.0)</f>
        <v>890</v>
      </c>
      <c r="P1768" s="2" t="str">
        <f>IFERROR(__xludf.DUMMYFUNCTION("""COMPUTED_VALUE"""),"890 -MUNICIPAL LOCAL GOVERMENT UNIT OF SANTA MARIA.pdf")</f>
        <v>890 -MUNICIPAL LOCAL GOVERMENT UNIT OF SANTA MARIA.pdf</v>
      </c>
      <c r="Q1768" s="2" t="str">
        <f>IFERROR(__xludf.DUMMYFUNCTION("""COMPUTED_VALUE"""),"FOR PRINT")</f>
        <v>FOR PRINT</v>
      </c>
      <c r="R1768" s="74">
        <f>IFERROR(__xludf.DUMMYFUNCTION("""COMPUTED_VALUE"""),46175.0)</f>
        <v>46175</v>
      </c>
      <c r="S1768" s="2" t="str">
        <f>IFERROR(__xludf.DUMMYFUNCTION("""COMPUTED_VALUE"""),"DSD")</f>
        <v>DSD</v>
      </c>
      <c r="T1768" s="73" t="str">
        <f>IFERROR(__xludf.DUMMYFUNCTION("""COMPUTED_VALUE""")," N/A ")</f>
        <v>N/A</v>
      </c>
      <c r="U1768" s="73" t="str">
        <f>IFERROR(__xludf.DUMMYFUNCTION("""COMPUTED_VALUE""")," NO CHARGE ")</f>
        <v>NO CHARGE</v>
      </c>
      <c r="V1768" s="2">
        <f>IFERROR(__xludf.DUMMYFUNCTION("""COMPUTED_VALUE"""),2018.0)</f>
        <v>2018</v>
      </c>
      <c r="W1768" s="2" t="str">
        <f>IFERROR(__xludf.DUMMYFUNCTION("""COMPUTED_VALUE"""),"N/A")</f>
        <v>N/A</v>
      </c>
      <c r="X1768" s="2" t="str">
        <f>IFERROR(__xludf.DUMMYFUNCTION("""COMPUTED_VALUE"""),"N/A")</f>
        <v>N/A</v>
      </c>
      <c r="Y1768" s="2"/>
      <c r="Z1768" s="2"/>
      <c r="AA1768" s="2"/>
      <c r="AB1768" s="2"/>
      <c r="AC1768" s="2"/>
      <c r="AD1768" s="2"/>
      <c r="AE1768" s="2"/>
      <c r="AF1768" s="2"/>
      <c r="AG1768" s="2"/>
      <c r="AH1768" s="2"/>
      <c r="AI1768" s="2"/>
      <c r="AJ1768" s="2" t="str">
        <f>IFERROR(__xludf.DUMMYFUNCTION("""COMPUTED_VALUE"""),"Poblacion")</f>
        <v>Poblacion</v>
      </c>
      <c r="AK1768" s="2" t="str">
        <f>IFERROR(__xludf.DUMMYFUNCTION("""COMPUTED_VALUE"""),"Santa Maria")</f>
        <v>Santa Maria</v>
      </c>
      <c r="AL1768" s="2" t="str">
        <f>IFERROR(__xludf.DUMMYFUNCTION("""COMPUTED_VALUE"""),"Bulacan")</f>
        <v>Bulacan</v>
      </c>
      <c r="AM1768" s="2">
        <f>IFERROR(__xludf.DUMMYFUNCTION("""COMPUTED_VALUE"""),3.0)</f>
        <v>3</v>
      </c>
      <c r="AN1768" s="2" t="str">
        <f>IFERROR(__xludf.DUMMYFUNCTION("""COMPUTED_VALUE"""),"RCEF 25-03-05")</f>
        <v>RCEF 25-03-05</v>
      </c>
      <c r="AO1768" s="2">
        <f>IFERROR(__xludf.DUMMYFUNCTION("""COMPUTED_VALUE"""),5.0)</f>
        <v>5</v>
      </c>
      <c r="AP1768" s="2" t="str">
        <f>IFERROR(__xludf.DUMMYFUNCTION("""COMPUTED_VALUE"""),"FREE PMS")</f>
        <v>FREE PMS</v>
      </c>
      <c r="AQ1768" s="2"/>
      <c r="AR1768" s="2"/>
      <c r="AS1768" s="2"/>
      <c r="AT1768" s="2"/>
      <c r="AU1768" s="2"/>
      <c r="AV1768" s="2"/>
      <c r="AW1768" s="2"/>
      <c r="AX1768" s="2"/>
      <c r="AY1768" s="2"/>
      <c r="AZ1768" s="2"/>
      <c r="BA1768" s="2"/>
      <c r="BB1768" s="2"/>
    </row>
    <row r="1769">
      <c r="A1769" s="2">
        <f>IFERROR(__xludf.DUMMYFUNCTION("""COMPUTED_VALUE"""),1765.0)</f>
        <v>1765</v>
      </c>
      <c r="B1769" s="2" t="str">
        <f>IFERROR(__xludf.DUMMYFUNCTION("""COMPUTED_VALUE"""),"PENDING")</f>
        <v>PENDING</v>
      </c>
      <c r="C1769" s="78">
        <f>IFERROR(__xludf.DUMMYFUNCTION("""COMPUTED_VALUE"""),46174.0)</f>
        <v>46174</v>
      </c>
      <c r="D1769" s="71" t="str">
        <f>IFERROR(__xludf.DUMMYFUNCTION("""COMPUTED_VALUE"""),"Kaagapay Agrarian Reform Cooperative (KARC)")</f>
        <v>Kaagapay Agrarian Reform Cooperative (KARC)</v>
      </c>
      <c r="E1769" s="71" t="str">
        <f>IFERROR(__xludf.DUMMYFUNCTION("""COMPUTED_VALUE"""),"adam")</f>
        <v>adam</v>
      </c>
      <c r="F1769" s="2" t="str">
        <f>IFERROR(__xludf.DUMMYFUNCTION("""COMPUTED_VALUE"""),"Arnel Jayson D. Baldedara")</f>
        <v>Arnel Jayson D. Baldedara</v>
      </c>
      <c r="G1769" s="2" t="str">
        <f>IFERROR(__xludf.DUMMYFUNCTION("""COMPUTED_VALUE"""),"0905-187-2955")</f>
        <v>0905-187-2955</v>
      </c>
      <c r="H1769" s="2"/>
      <c r="I1769" s="72" t="str">
        <f>IFERROR(__xludf.DUMMYFUNCTION("""COMPUTED_VALUE"""),"REPAIR - LOADER")</f>
        <v>REPAIR - LOADER</v>
      </c>
      <c r="J1769" s="72" t="str">
        <f>IFERROR(__xludf.DUMMYFUNCTION("""COMPUTED_VALUE"""),"Cable lock")</f>
        <v>Cable lock</v>
      </c>
      <c r="K1769" s="72" t="str">
        <f>IFERROR(__xludf.DUMMYFUNCTION("""COMPUTED_VALUE"""),"MYK: AYAW UMANGAT BABA NG LOADER")</f>
        <v>MYK: AYAW UMANGAT BABA NG LOADER</v>
      </c>
      <c r="L1769" s="72"/>
      <c r="M1769" s="2" t="str">
        <f>IFERROR(__xludf.DUMMYFUNCTION("""COMPUTED_VALUE"""),"CABLE LOCK")</f>
        <v>CABLE LOCK</v>
      </c>
      <c r="N1769" s="2"/>
      <c r="O1769" s="2"/>
      <c r="P1769" s="2"/>
      <c r="Q1769" s="2"/>
      <c r="R1769" s="2"/>
      <c r="S1769" s="2"/>
      <c r="T1769" s="2"/>
      <c r="U1769" s="2"/>
      <c r="V1769" s="2"/>
      <c r="W1769" s="2"/>
      <c r="X1769" s="2"/>
      <c r="Y1769" s="2"/>
      <c r="Z1769" s="2"/>
      <c r="AA1769" s="2"/>
      <c r="AB1769" s="2"/>
      <c r="AC1769" s="2"/>
      <c r="AD1769" s="2"/>
      <c r="AE1769" s="2"/>
      <c r="AF1769" s="2"/>
      <c r="AG1769" s="2"/>
      <c r="AH1769" s="2"/>
      <c r="AI1769" s="2"/>
      <c r="AJ1769" s="2" t="str">
        <f>IFERROR(__xludf.DUMMYFUNCTION("""COMPUTED_VALUE"""),"")</f>
        <v/>
      </c>
      <c r="AK1769" s="2" t="str">
        <f>IFERROR(__xludf.DUMMYFUNCTION("""COMPUTED_VALUE"""),"")</f>
        <v/>
      </c>
      <c r="AL1769" s="2" t="str">
        <f>IFERROR(__xludf.DUMMYFUNCTION("""COMPUTED_VALUE"""),"")</f>
        <v/>
      </c>
      <c r="AM1769" s="2" t="str">
        <f>IFERROR(__xludf.DUMMYFUNCTION("""COMPUTED_VALUE"""),"")</f>
        <v/>
      </c>
      <c r="AN1769" s="2" t="str">
        <f>IFERROR(__xludf.DUMMYFUNCTION("""COMPUTED_VALUE"""),"RCEF 25-03-05")</f>
        <v>RCEF 25-03-05</v>
      </c>
      <c r="AO1769" s="2">
        <f>IFERROR(__xludf.DUMMYFUNCTION("""COMPUTED_VALUE"""),5.0)</f>
        <v>5</v>
      </c>
      <c r="AP1769" s="2" t="str">
        <f>IFERROR(__xludf.DUMMYFUNCTION("""COMPUTED_VALUE"""),"FREE PMS")</f>
        <v>FREE PMS</v>
      </c>
      <c r="AQ1769" s="2"/>
      <c r="AR1769" s="2"/>
      <c r="AS1769" s="2"/>
      <c r="AT1769" s="2"/>
      <c r="AU1769" s="2"/>
      <c r="AV1769" s="2"/>
      <c r="AW1769" s="2"/>
      <c r="AX1769" s="2"/>
      <c r="AY1769" s="2"/>
      <c r="AZ1769" s="2"/>
      <c r="BA1769" s="2"/>
      <c r="BB1769" s="2"/>
    </row>
    <row r="1770">
      <c r="A1770" s="2">
        <f>IFERROR(__xludf.DUMMYFUNCTION("""COMPUTED_VALUE"""),1766.0)</f>
        <v>1766</v>
      </c>
      <c r="B1770" s="2" t="str">
        <f>IFERROR(__xludf.DUMMYFUNCTION("""COMPUTED_VALUE"""),"PENDING")</f>
        <v>PENDING</v>
      </c>
      <c r="C1770" s="78">
        <f>IFERROR(__xludf.DUMMYFUNCTION("""COMPUTED_VALUE"""),46170.0)</f>
        <v>46170</v>
      </c>
      <c r="D1770" s="71" t="str">
        <f>IFERROR(__xludf.DUMMYFUNCTION("""COMPUTED_VALUE"""),"Badlan Pequeno Farmers Association (BAPFA)")</f>
        <v>Badlan Pequeno Farmers Association (BAPFA)</v>
      </c>
      <c r="E1770" s="71" t="str">
        <f>IFERROR(__xludf.DUMMYFUNCTION("""COMPUTED_VALUE"""),"Badlan Pequeño, Calinog, ILOILO")</f>
        <v>Badlan Pequeño, Calinog, ILOILO</v>
      </c>
      <c r="F1770" s="2" t="str">
        <f>IFERROR(__xludf.DUMMYFUNCTION("""COMPUTED_VALUE"""),"AILEEN LOBRONIO")</f>
        <v>AILEEN LOBRONIO</v>
      </c>
      <c r="G1770" s="2">
        <f>IFERROR(__xludf.DUMMYFUNCTION("""COMPUTED_VALUE"""),9.163291793E9)</f>
        <v>9163291793</v>
      </c>
      <c r="H1770" s="2">
        <f>IFERROR(__xludf.DUMMYFUNCTION("""COMPUTED_VALUE"""),50.0)</f>
        <v>50</v>
      </c>
      <c r="I1770" s="72" t="str">
        <f>IFERROR(__xludf.DUMMYFUNCTION("""COMPUTED_VALUE"""),"PMS")</f>
        <v>PMS</v>
      </c>
      <c r="J1770" s="72" t="str">
        <f>IFERROR(__xludf.DUMMYFUNCTION("""COMPUTED_VALUE"""),"PMS")</f>
        <v>PMS</v>
      </c>
      <c r="K1770" s="72" t="str">
        <f>IFERROR(__xludf.DUMMYFUNCTION("""COMPUTED_VALUE"""),"MYK: 1ST PMS FREE")</f>
        <v>MYK: 1ST PMS FREE</v>
      </c>
      <c r="L1770" s="72"/>
      <c r="M1770" s="2"/>
      <c r="N1770" s="2"/>
      <c r="O1770" s="2"/>
      <c r="P1770" s="2"/>
      <c r="Q1770" s="2"/>
      <c r="R1770" s="2"/>
      <c r="S1770" s="2"/>
      <c r="T1770" s="2"/>
      <c r="U1770" s="2"/>
      <c r="V1770" s="2"/>
      <c r="W1770" s="2"/>
      <c r="X1770" s="2"/>
      <c r="Y1770" s="2"/>
      <c r="Z1770" s="2"/>
      <c r="AA1770" s="2"/>
      <c r="AB1770" s="2"/>
      <c r="AC1770" s="2"/>
      <c r="AD1770" s="2"/>
      <c r="AE1770" s="2"/>
      <c r="AF1770" s="2"/>
      <c r="AG1770" s="2"/>
      <c r="AH1770" s="2"/>
      <c r="AI1770" s="2"/>
      <c r="AJ1770" s="2" t="str">
        <f>IFERROR(__xludf.DUMMYFUNCTION("""COMPUTED_VALUE"""),"Badlan Pequeño")</f>
        <v>Badlan Pequeño</v>
      </c>
      <c r="AK1770" s="2" t="str">
        <f>IFERROR(__xludf.DUMMYFUNCTION("""COMPUTED_VALUE"""),"Calinog")</f>
        <v>Calinog</v>
      </c>
      <c r="AL1770" s="2" t="str">
        <f>IFERROR(__xludf.DUMMYFUNCTION("""COMPUTED_VALUE"""),"Iloilo")</f>
        <v>Iloilo</v>
      </c>
      <c r="AM1770" s="2">
        <f>IFERROR(__xludf.DUMMYFUNCTION("""COMPUTED_VALUE"""),6.0)</f>
        <v>6</v>
      </c>
      <c r="AN1770" s="2" t="str">
        <f>IFERROR(__xludf.DUMMYFUNCTION("""COMPUTED_VALUE"""),"RCEF 25-03-05")</f>
        <v>RCEF 25-03-05</v>
      </c>
      <c r="AO1770" s="2">
        <f>IFERROR(__xludf.DUMMYFUNCTION("""COMPUTED_VALUE"""),7.0)</f>
        <v>7</v>
      </c>
      <c r="AP1770" s="2" t="str">
        <f>IFERROR(__xludf.DUMMYFUNCTION("""COMPUTED_VALUE"""),"FREE PMS")</f>
        <v>FREE PMS</v>
      </c>
      <c r="AQ1770" s="2"/>
      <c r="AR1770" s="2"/>
      <c r="AS1770" s="2"/>
      <c r="AT1770" s="2"/>
      <c r="AU1770" s="2"/>
      <c r="AV1770" s="2"/>
      <c r="AW1770" s="2"/>
      <c r="AX1770" s="2"/>
      <c r="AY1770" s="2"/>
      <c r="AZ1770" s="2"/>
      <c r="BA1770" s="2"/>
      <c r="BB1770" s="2"/>
    </row>
    <row r="1771">
      <c r="A1771" s="2">
        <f>IFERROR(__xludf.DUMMYFUNCTION("""COMPUTED_VALUE"""),1767.0)</f>
        <v>1767</v>
      </c>
      <c r="B1771" s="2" t="str">
        <f>IFERROR(__xludf.DUMMYFUNCTION("""COMPUTED_VALUE"""),"PENDING")</f>
        <v>PENDING</v>
      </c>
      <c r="C1771" s="78">
        <f>IFERROR(__xludf.DUMMYFUNCTION("""COMPUTED_VALUE"""),46171.0)</f>
        <v>46171</v>
      </c>
      <c r="D1771" s="71" t="str">
        <f>IFERROR(__xludf.DUMMYFUNCTION("""COMPUTED_VALUE"""),"MUNICIPAL LOCAL GOVERNMENT UNIT OF LOOC")</f>
        <v>MUNICIPAL LOCAL GOVERNMENT UNIT OF LOOC</v>
      </c>
      <c r="E1771" s="71" t="str">
        <f>IFERROR(__xludf.DUMMYFUNCTION("""COMPUTED_VALUE"""),"POBLACION GUITNA, LOOC, OCCIDENTAL MINDORO")</f>
        <v>POBLACION GUITNA, LOOC, OCCIDENTAL MINDORO</v>
      </c>
      <c r="F1771" s="2" t="str">
        <f>IFERROR(__xludf.DUMMYFUNCTION("""COMPUTED_VALUE"""),"NIcole Cueto")</f>
        <v>NIcole Cueto</v>
      </c>
      <c r="G1771" s="2"/>
      <c r="H1771" s="2"/>
      <c r="I1771" s="72" t="str">
        <f>IFERROR(__xludf.DUMMYFUNCTION("""COMPUTED_VALUE"""),"SPARE PARTS ACQUISITION")</f>
        <v>SPARE PARTS ACQUISITION</v>
      </c>
      <c r="J1771" s="72" t="str">
        <f>IFERROR(__xludf.DUMMYFUNCTION("""COMPUTED_VALUE"""),"REAR AXLE")</f>
        <v>REAR AXLE</v>
      </c>
      <c r="K1771" s="72" t="str">
        <f>IFERROR(__xludf.DUMMYFUNCTION("""COMPUTED_VALUE"""),"RBS: Concerns/Requests: may leak ang huling gulong.
-Nid NG oil seal,
-nakausap ko na Ang FCA ippdala nlng sa lala move or LBC ang pyesa,
-Gcash payment po ang napagusapan nmin.")</f>
        <v>RBS: Concerns/Requests: may leak ang huling gulong.
-Nid NG oil seal,
-nakausap ko na Ang FCA ippdala nlng sa lala move or LBC ang pyesa,
-Gcash payment po ang napagusapan nmin.</v>
      </c>
      <c r="L1771" s="72" t="str">
        <f>IFERROR(__xludf.DUMMYFUNCTION("""COMPUTED_VALUE"""),"MYK: SENT LTC ACCT DETAILS TO RBS")</f>
        <v>MYK: SENT LTC ACCT DETAILS TO RBS</v>
      </c>
      <c r="M1771" s="2" t="str">
        <f>IFERROR(__xludf.DUMMYFUNCTION("""COMPUTED_VALUE"""),"REAR AXLE OILSEAL")</f>
        <v>REAR AXLE OILSEAL</v>
      </c>
      <c r="N1771" s="2"/>
      <c r="O1771" s="2"/>
      <c r="P1771" s="2"/>
      <c r="Q1771" s="2"/>
      <c r="R1771" s="2"/>
      <c r="S1771" s="2"/>
      <c r="T1771" s="2"/>
      <c r="U1771" s="2"/>
      <c r="V1771" s="2"/>
      <c r="W1771" s="2"/>
      <c r="X1771" s="2"/>
      <c r="Y1771" s="2"/>
      <c r="Z1771" s="2"/>
      <c r="AA1771" s="2"/>
      <c r="AB1771" s="2"/>
      <c r="AC1771" s="2"/>
      <c r="AD1771" s="2"/>
      <c r="AE1771" s="2"/>
      <c r="AF1771" s="2"/>
      <c r="AG1771" s="2"/>
      <c r="AH1771" s="2"/>
      <c r="AI1771" s="2"/>
      <c r="AJ1771" s="2" t="str">
        <f>IFERROR(__xludf.DUMMYFUNCTION("""COMPUTED_VALUE"""),"Poblacion Guitna")</f>
        <v>Poblacion Guitna</v>
      </c>
      <c r="AK1771" s="2" t="str">
        <f>IFERROR(__xludf.DUMMYFUNCTION("""COMPUTED_VALUE"""),"Looc")</f>
        <v>Looc</v>
      </c>
      <c r="AL1771" s="2" t="str">
        <f>IFERROR(__xludf.DUMMYFUNCTION("""COMPUTED_VALUE"""),"Occidental Mindoro")</f>
        <v>Occidental Mindoro</v>
      </c>
      <c r="AM1771" s="2" t="str">
        <f>IFERROR(__xludf.DUMMYFUNCTION("""COMPUTED_VALUE"""),"4B")</f>
        <v>4B</v>
      </c>
      <c r="AN1771" s="2" t="str">
        <f>IFERROR(__xludf.DUMMYFUNCTION("""COMPUTED_VALUE"""),"RCEF 23-08-20 Rebidding")</f>
        <v>RCEF 23-08-20 Rebidding</v>
      </c>
      <c r="AO1771" s="2">
        <f>IFERROR(__xludf.DUMMYFUNCTION("""COMPUTED_VALUE"""),1.0)</f>
        <v>1</v>
      </c>
      <c r="AP1771" s="2"/>
      <c r="AQ1771" s="2"/>
      <c r="AR1771" s="2"/>
      <c r="AS1771" s="2"/>
      <c r="AT1771" s="2"/>
      <c r="AU1771" s="2"/>
      <c r="AV1771" s="2"/>
      <c r="AW1771" s="2"/>
      <c r="AX1771" s="2"/>
      <c r="AY1771" s="2"/>
      <c r="AZ1771" s="2"/>
      <c r="BA1771" s="2"/>
      <c r="BB1771" s="2"/>
    </row>
    <row r="1772">
      <c r="A1772" s="2">
        <f>IFERROR(__xludf.DUMMYFUNCTION("""COMPUTED_VALUE"""),1768.0)</f>
        <v>1768</v>
      </c>
      <c r="B1772" s="2" t="str">
        <f>IFERROR(__xludf.DUMMYFUNCTION("""COMPUTED_VALUE"""),"PENDING")</f>
        <v>PENDING</v>
      </c>
      <c r="C1772" s="78">
        <f>IFERROR(__xludf.DUMMYFUNCTION("""COMPUTED_VALUE"""),46171.0)</f>
        <v>46171</v>
      </c>
      <c r="D1772" s="71" t="str">
        <f>IFERROR(__xludf.DUMMYFUNCTION("""COMPUTED_VALUE"""),"Municipal Local Government Unit of Bacacay")</f>
        <v>Municipal Local Government Unit of Bacacay</v>
      </c>
      <c r="E1772" s="71" t="str">
        <f>IFERROR(__xludf.DUMMYFUNCTION("""COMPUTED_VALUE"""),"Barangay 2 (Pob.), Bacacay, ALBAY")</f>
        <v>Barangay 2 (Pob.), Bacacay, ALBAY</v>
      </c>
      <c r="F1772" s="2" t="str">
        <f>IFERROR(__xludf.DUMMYFUNCTION("""COMPUTED_VALUE"""),"Riza Mae Burac")</f>
        <v>Riza Mae Burac</v>
      </c>
      <c r="G1772" s="2">
        <f>IFERROR(__xludf.DUMMYFUNCTION("""COMPUTED_VALUE"""),9.666098994E9)</f>
        <v>9666098994</v>
      </c>
      <c r="H1772" s="2">
        <f>IFERROR(__xludf.DUMMYFUNCTION("""COMPUTED_VALUE"""),5.0)</f>
        <v>5</v>
      </c>
      <c r="I1772" s="72" t="str">
        <f>IFERROR(__xludf.DUMMYFUNCTION("""COMPUTED_VALUE"""),"TRAINING REQUEST")</f>
        <v>TRAINING REQUEST</v>
      </c>
      <c r="J1772" s="72" t="str">
        <f>IFERROR(__xludf.DUMMYFUNCTION("""COMPUTED_VALUE"""),"TRAINING REQUEST")</f>
        <v>TRAINING REQUEST</v>
      </c>
      <c r="K1772" s="72" t="str">
        <f>IFERROR(__xludf.DUMMYFUNCTION("""COMPUTED_VALUE"""),"JTT: Assessment battery and training how to operate the tractor all the levers")</f>
        <v>JTT: Assessment battery and training how to operate the tractor all the levers</v>
      </c>
      <c r="L1772" s="72"/>
      <c r="M1772" s="2"/>
      <c r="N1772" s="2"/>
      <c r="O1772" s="2"/>
      <c r="P1772" s="2"/>
      <c r="Q1772" s="2"/>
      <c r="R1772" s="2"/>
      <c r="S1772" s="2"/>
      <c r="T1772" s="2"/>
      <c r="U1772" s="2"/>
      <c r="V1772" s="2"/>
      <c r="W1772" s="2"/>
      <c r="X1772" s="2"/>
      <c r="Y1772" s="2"/>
      <c r="Z1772" s="2"/>
      <c r="AA1772" s="2"/>
      <c r="AB1772" s="2"/>
      <c r="AC1772" s="2"/>
      <c r="AD1772" s="2"/>
      <c r="AE1772" s="2"/>
      <c r="AF1772" s="2"/>
      <c r="AG1772" s="2"/>
      <c r="AH1772" s="2"/>
      <c r="AI1772" s="2"/>
      <c r="AJ1772" s="2" t="str">
        <f>IFERROR(__xludf.DUMMYFUNCTION("""COMPUTED_VALUE"""),"Barangay 2 (Pob.)")</f>
        <v>Barangay 2 (Pob.)</v>
      </c>
      <c r="AK1772" s="2" t="str">
        <f>IFERROR(__xludf.DUMMYFUNCTION("""COMPUTED_VALUE"""),"Bacacay")</f>
        <v>Bacacay</v>
      </c>
      <c r="AL1772" s="2" t="str">
        <f>IFERROR(__xludf.DUMMYFUNCTION("""COMPUTED_VALUE"""),"Albay")</f>
        <v>Albay</v>
      </c>
      <c r="AM1772" s="2">
        <f>IFERROR(__xludf.DUMMYFUNCTION("""COMPUTED_VALUE"""),5.0)</f>
        <v>5</v>
      </c>
      <c r="AN1772" s="2" t="str">
        <f>IFERROR(__xludf.DUMMYFUNCTION("""COMPUTED_VALUE"""),"RCEF 25-03-05")</f>
        <v>RCEF 25-03-05</v>
      </c>
      <c r="AO1772" s="2">
        <f>IFERROR(__xludf.DUMMYFUNCTION("""COMPUTED_VALUE"""),6.0)</f>
        <v>6</v>
      </c>
      <c r="AP1772" s="2" t="str">
        <f>IFERROR(__xludf.DUMMYFUNCTION("""COMPUTED_VALUE"""),"FREE PMS")</f>
        <v>FREE PMS</v>
      </c>
      <c r="AQ1772" s="2"/>
      <c r="AR1772" s="2"/>
      <c r="AS1772" s="2"/>
      <c r="AT1772" s="2"/>
      <c r="AU1772" s="2"/>
      <c r="AV1772" s="2"/>
      <c r="AW1772" s="2"/>
      <c r="AX1772" s="2"/>
      <c r="AY1772" s="2"/>
      <c r="AZ1772" s="2"/>
      <c r="BA1772" s="2"/>
      <c r="BB1772" s="2"/>
    </row>
    <row r="1773">
      <c r="A1773" s="2">
        <f>IFERROR(__xludf.DUMMYFUNCTION("""COMPUTED_VALUE"""),1769.0)</f>
        <v>1769</v>
      </c>
      <c r="B1773" s="2" t="str">
        <f>IFERROR(__xludf.DUMMYFUNCTION("""COMPUTED_VALUE"""),"COMPLETED")</f>
        <v>COMPLETED</v>
      </c>
      <c r="C1773" s="78">
        <f>IFERROR(__xludf.DUMMYFUNCTION("""COMPUTED_VALUE"""),46174.0)</f>
        <v>46174</v>
      </c>
      <c r="D1773" s="71" t="str">
        <f>IFERROR(__xludf.DUMMYFUNCTION("""COMPUTED_VALUE"""),"EDEN MEXICO PEOPLE'S ORGANIZATION AND FARMER'S ASSOCIATION INC.")</f>
        <v>EDEN MEXICO PEOPLE'S ORGANIZATION AND FARMER'S ASSOCIATION INC.</v>
      </c>
      <c r="E1773" s="71" t="str">
        <f>IFERROR(__xludf.DUMMYFUNCTION("""COMPUTED_VALUE"""),"Eden, Mexico, PAMPANGA")</f>
        <v>Eden, Mexico, PAMPANGA</v>
      </c>
      <c r="F1773" s="2" t="str">
        <f>IFERROR(__xludf.DUMMYFUNCTION("""COMPUTED_VALUE"""),"RONEL MALIG")</f>
        <v>RONEL MALIG</v>
      </c>
      <c r="G1773" s="2">
        <f>IFERROR(__xludf.DUMMYFUNCTION("""COMPUTED_VALUE"""),9.758605756E9)</f>
        <v>9758605756</v>
      </c>
      <c r="H1773" s="2">
        <f>IFERROR(__xludf.DUMMYFUNCTION("""COMPUTED_VALUE"""),100.0)</f>
        <v>100</v>
      </c>
      <c r="I1773" s="72" t="str">
        <f>IFERROR(__xludf.DUMMYFUNCTION("""COMPUTED_VALUE"""),"PMS")</f>
        <v>PMS</v>
      </c>
      <c r="J1773" s="72" t="str">
        <f>IFERROR(__xludf.DUMMYFUNCTION("""COMPUTED_VALUE"""),"PMS")</f>
        <v>PMS</v>
      </c>
      <c r="K1773" s="72" t="str">
        <f>IFERROR(__xludf.DUMMYFUNCTION("""COMPUTED_VALUE"""),"MYK: MAY DALAWANG TECHNICAIN ANG PUMUNTA SINABING WALANG GPS ANG TRACTOR ANG SABI DAW PO AY BABALIKAN NYUNIT HANGANG NGAYUN AY WALANG BUMABALIK -  1ST PMS FREE")</f>
        <v>MYK: MAY DALAWANG TECHNICAIN ANG PUMUNTA SINABING WALANG GPS ANG TRACTOR ANG SABI DAW PO AY BABALIKAN NYUNIT HANGANG NGAYUN AY WALANG BUMABALIK -  1ST PMS FREE</v>
      </c>
      <c r="L1773" s="72" t="str">
        <f>IFERROR(__xludf.DUMMYFUNCTION("""COMPUTED_VALUE"""),"DSD: 1ST PMS DONE, REPLACED CABLE LOCK")</f>
        <v>DSD: 1ST PMS DONE, REPLACED CABLE LOCK</v>
      </c>
      <c r="M1773" s="2"/>
      <c r="N1773" s="2" t="str">
        <f>IFERROR(__xludf.DUMMYFUNCTION("""COMPUTED_VALUE"""),"PARTS:
ENGINE OIL 
OIL FILTER
2- CABLE LOCK")</f>
        <v>PARTS:
ENGINE OIL 
OIL FILTER
2- CABLE LOCK</v>
      </c>
      <c r="O1773" s="2">
        <f>IFERROR(__xludf.DUMMYFUNCTION("""COMPUTED_VALUE"""),891.0)</f>
        <v>891</v>
      </c>
      <c r="P1773" s="2" t="str">
        <f>IFERROR(__xludf.DUMMYFUNCTION("""COMPUTED_VALUE"""),"891 - EDEN MEXICO PEOPLES ORGANIZATION AND FARMERS ASSOCIATION INC..pdf")</f>
        <v>891 - EDEN MEXICO PEOPLES ORGANIZATION AND FARMERS ASSOCIATION INC..pdf</v>
      </c>
      <c r="Q1773" s="2" t="str">
        <f>IFERROR(__xludf.DUMMYFUNCTION("""COMPUTED_VALUE"""),"FOR PRINT")</f>
        <v>FOR PRINT</v>
      </c>
      <c r="R1773" s="74">
        <f>IFERROR(__xludf.DUMMYFUNCTION("""COMPUTED_VALUE"""),46177.0)</f>
        <v>46177</v>
      </c>
      <c r="S1773" s="2" t="str">
        <f>IFERROR(__xludf.DUMMYFUNCTION("""COMPUTED_VALUE"""),"DSD")</f>
        <v>DSD</v>
      </c>
      <c r="T1773" s="73" t="str">
        <f>IFERROR(__xludf.DUMMYFUNCTION("""COMPUTED_VALUE""")," N/A ")</f>
        <v>N/A</v>
      </c>
      <c r="U1773" s="73" t="str">
        <f>IFERROR(__xludf.DUMMYFUNCTION("""COMPUTED_VALUE""")," NO CHARGE ")</f>
        <v>NO CHARGE</v>
      </c>
      <c r="V1773" s="2">
        <f>IFERROR(__xludf.DUMMYFUNCTION("""COMPUTED_VALUE"""),2020.0)</f>
        <v>2020</v>
      </c>
      <c r="W1773" s="2" t="str">
        <f>IFERROR(__xludf.DUMMYFUNCTION("""COMPUTED_VALUE"""),"N/A")</f>
        <v>N/A</v>
      </c>
      <c r="X1773" s="2" t="str">
        <f>IFERROR(__xludf.DUMMYFUNCTION("""COMPUTED_VALUE"""),"N/A")</f>
        <v>N/A</v>
      </c>
      <c r="Y1773" s="2"/>
      <c r="Z1773" s="2"/>
      <c r="AA1773" s="2"/>
      <c r="AB1773" s="2"/>
      <c r="AC1773" s="2"/>
      <c r="AD1773" s="2"/>
      <c r="AE1773" s="2"/>
      <c r="AF1773" s="2"/>
      <c r="AG1773" s="2"/>
      <c r="AH1773" s="2"/>
      <c r="AI1773" s="2"/>
      <c r="AJ1773" s="2" t="str">
        <f>IFERROR(__xludf.DUMMYFUNCTION("""COMPUTED_VALUE"""),"Eden")</f>
        <v>Eden</v>
      </c>
      <c r="AK1773" s="2" t="str">
        <f>IFERROR(__xludf.DUMMYFUNCTION("""COMPUTED_VALUE"""),"Mexico")</f>
        <v>Mexico</v>
      </c>
      <c r="AL1773" s="2" t="str">
        <f>IFERROR(__xludf.DUMMYFUNCTION("""COMPUTED_VALUE"""),"Pampanga")</f>
        <v>Pampanga</v>
      </c>
      <c r="AM1773" s="2">
        <f>IFERROR(__xludf.DUMMYFUNCTION("""COMPUTED_VALUE"""),3.0)</f>
        <v>3</v>
      </c>
      <c r="AN1773" s="2" t="str">
        <f>IFERROR(__xludf.DUMMYFUNCTION("""COMPUTED_VALUE"""),"RCEF 25-03-05")</f>
        <v>RCEF 25-03-05</v>
      </c>
      <c r="AO1773" s="2">
        <f>IFERROR(__xludf.DUMMYFUNCTION("""COMPUTED_VALUE"""),5.0)</f>
        <v>5</v>
      </c>
      <c r="AP1773" s="2" t="str">
        <f>IFERROR(__xludf.DUMMYFUNCTION("""COMPUTED_VALUE"""),"FREE PMS")</f>
        <v>FREE PMS</v>
      </c>
      <c r="AQ1773" s="2"/>
      <c r="AR1773" s="2"/>
      <c r="AS1773" s="2"/>
      <c r="AT1773" s="2"/>
      <c r="AU1773" s="2"/>
      <c r="AV1773" s="2"/>
      <c r="AW1773" s="2"/>
      <c r="AX1773" s="2"/>
      <c r="AY1773" s="2"/>
      <c r="AZ1773" s="2"/>
      <c r="BA1773" s="2"/>
      <c r="BB1773" s="2"/>
    </row>
    <row r="1774">
      <c r="A1774" s="2">
        <f>IFERROR(__xludf.DUMMYFUNCTION("""COMPUTED_VALUE"""),1770.0)</f>
        <v>1770</v>
      </c>
      <c r="B1774" s="2" t="str">
        <f>IFERROR(__xludf.DUMMYFUNCTION("""COMPUTED_VALUE"""),"PENDING")</f>
        <v>PENDING</v>
      </c>
      <c r="C1774" s="78">
        <f>IFERROR(__xludf.DUMMYFUNCTION("""COMPUTED_VALUE"""),46174.0)</f>
        <v>46174</v>
      </c>
      <c r="D1774" s="71" t="str">
        <f>IFERROR(__xludf.DUMMYFUNCTION("""COMPUTED_VALUE"""),"SAN ISIDRO LABRADOR FARMERS ASSOCIATION (SILFA)")</f>
        <v>SAN ISIDRO LABRADOR FARMERS ASSOCIATION (SILFA)</v>
      </c>
      <c r="E1774" s="71" t="str">
        <f>IFERROR(__xludf.DUMMYFUNCTION("""COMPUTED_VALUE"""),"Caraycayon, Tigaon, CAMARINES SUR")</f>
        <v>Caraycayon, Tigaon, CAMARINES SUR</v>
      </c>
      <c r="F1774" s="2" t="str">
        <f>IFERROR(__xludf.DUMMYFUNCTION("""COMPUTED_VALUE"""),"Maria Gina Trilles")</f>
        <v>Maria Gina Trilles</v>
      </c>
      <c r="G1774" s="2">
        <f>IFERROR(__xludf.DUMMYFUNCTION("""COMPUTED_VALUE"""),9.209025479E9)</f>
        <v>9209025479</v>
      </c>
      <c r="H1774" s="2"/>
      <c r="I1774" s="72" t="str">
        <f>IFERROR(__xludf.DUMMYFUNCTION("""COMPUTED_VALUE"""),"PMS")</f>
        <v>PMS</v>
      </c>
      <c r="J1774" s="72" t="str">
        <f>IFERROR(__xludf.DUMMYFUNCTION("""COMPUTED_VALUE"""),"PMS")</f>
        <v>PMS</v>
      </c>
      <c r="K1774" s="72" t="str">
        <f>IFERROR(__xludf.DUMMYFUNCTION("""COMPUTED_VALUE"""),"KFS: FOR 1st PMS free")</f>
        <v>KFS: FOR 1st PMS free</v>
      </c>
      <c r="L1774" s="72" t="str">
        <f>IFERROR(__xludf.DUMMYFUNCTION("""COMPUTED_VALUE"""),"FPJ: Na iwanan na po ito ng langis at filter. Agree naman si FCA nung pag punta namin na sila na mag pms
FPJ: Ok na po yung  san Isidro labrador farmers association. About 1st pms. Thanks")</f>
        <v>FPJ: Na iwanan na po ito ng langis at filter. Agree naman si FCA nung pag punta namin na sila na mag pms
FPJ: Ok na po yung  san Isidro labrador farmers association. About 1st pms. Thanks</v>
      </c>
      <c r="M1774" s="2"/>
      <c r="N1774" s="2"/>
      <c r="O1774" s="2"/>
      <c r="P1774" s="2"/>
      <c r="Q1774" s="2"/>
      <c r="R1774" s="2"/>
      <c r="S1774" s="2"/>
      <c r="T1774" s="2"/>
      <c r="U1774" s="2"/>
      <c r="V1774" s="2"/>
      <c r="W1774" s="2"/>
      <c r="X1774" s="2"/>
      <c r="Y1774" s="2"/>
      <c r="Z1774" s="2"/>
      <c r="AA1774" s="2"/>
      <c r="AB1774" s="2"/>
      <c r="AC1774" s="2"/>
      <c r="AD1774" s="2"/>
      <c r="AE1774" s="2"/>
      <c r="AF1774" s="2"/>
      <c r="AG1774" s="2"/>
      <c r="AH1774" s="2"/>
      <c r="AI1774" s="2"/>
      <c r="AJ1774" s="2" t="str">
        <f>IFERROR(__xludf.DUMMYFUNCTION("""COMPUTED_VALUE"""),"Caraycayon")</f>
        <v>Caraycayon</v>
      </c>
      <c r="AK1774" s="2" t="str">
        <f>IFERROR(__xludf.DUMMYFUNCTION("""COMPUTED_VALUE"""),"Tigaon")</f>
        <v>Tigaon</v>
      </c>
      <c r="AL1774" s="2" t="str">
        <f>IFERROR(__xludf.DUMMYFUNCTION("""COMPUTED_VALUE"""),"Camarines Sur")</f>
        <v>Camarines Sur</v>
      </c>
      <c r="AM1774" s="2">
        <f>IFERROR(__xludf.DUMMYFUNCTION("""COMPUTED_VALUE"""),5.0)</f>
        <v>5</v>
      </c>
      <c r="AN1774" s="2" t="str">
        <f>IFERROR(__xludf.DUMMYFUNCTION("""COMPUTED_VALUE"""),"RCEF 25-03-05")</f>
        <v>RCEF 25-03-05</v>
      </c>
      <c r="AO1774" s="2">
        <f>IFERROR(__xludf.DUMMYFUNCTION("""COMPUTED_VALUE"""),6.0)</f>
        <v>6</v>
      </c>
      <c r="AP1774" s="2" t="str">
        <f>IFERROR(__xludf.DUMMYFUNCTION("""COMPUTED_VALUE"""),"FREE PMS")</f>
        <v>FREE PMS</v>
      </c>
      <c r="AQ1774" s="2"/>
      <c r="AR1774" s="2"/>
      <c r="AS1774" s="2"/>
      <c r="AT1774" s="2"/>
      <c r="AU1774" s="2"/>
      <c r="AV1774" s="2"/>
      <c r="AW1774" s="2"/>
      <c r="AX1774" s="2"/>
      <c r="AY1774" s="2"/>
      <c r="AZ1774" s="2"/>
      <c r="BA1774" s="2"/>
      <c r="BB1774" s="2"/>
    </row>
    <row r="1775">
      <c r="A1775" s="2">
        <f>IFERROR(__xludf.DUMMYFUNCTION("""COMPUTED_VALUE"""),1771.0)</f>
        <v>1771</v>
      </c>
      <c r="B1775" s="2" t="str">
        <f>IFERROR(__xludf.DUMMYFUNCTION("""COMPUTED_VALUE"""),"COMPLETED")</f>
        <v>COMPLETED</v>
      </c>
      <c r="C1775" s="74">
        <f>IFERROR(__xludf.DUMMYFUNCTION("""COMPUTED_VALUE"""),46176.0)</f>
        <v>46176</v>
      </c>
      <c r="D1775" s="71" t="str">
        <f>IFERROR(__xludf.DUMMYFUNCTION("""COMPUTED_VALUE"""),"THE FARMERS OF LUNA AGRICULTURE COOPERATIVE")</f>
        <v>THE FARMERS OF LUNA AGRICULTURE COOPERATIVE</v>
      </c>
      <c r="E1775" s="71" t="str">
        <f>IFERROR(__xludf.DUMMYFUNCTION("""COMPUTED_VALUE"""),"Centro 2, Luna, Isabela")</f>
        <v>Centro 2, Luna, Isabela</v>
      </c>
      <c r="F1775" s="2" t="str">
        <f>IFERROR(__xludf.DUMMYFUNCTION("""COMPUTED_VALUE"""),"Edgar A. Diniega")</f>
        <v>Edgar A. Diniega</v>
      </c>
      <c r="G1775" s="2">
        <f>IFERROR(__xludf.DUMMYFUNCTION("""COMPUTED_VALUE"""),9.656732717E9)</f>
        <v>9656732717</v>
      </c>
      <c r="H1775" s="2"/>
      <c r="I1775" s="72" t="str">
        <f>IFERROR(__xludf.DUMMYFUNCTION("""COMPUTED_VALUE"""),"REPAIR - TRACTOR")</f>
        <v>REPAIR - TRACTOR</v>
      </c>
      <c r="J1775" s="72" t="str">
        <f>IFERROR(__xludf.DUMMYFUNCTION("""COMPUTED_VALUE"""),"Transmission - Front Drive")</f>
        <v>Transmission - Front Drive</v>
      </c>
      <c r="K1775" s="72" t="str">
        <f>IFERROR(__xludf.DUMMYFUNCTION("""COMPUTED_VALUE"""),"CFG: FRONT DRIVE PROBLEM")</f>
        <v>CFG: FRONT DRIVE PROBLEM</v>
      </c>
      <c r="L1775" s="72" t="str">
        <f>IFERROR(__xludf.DUMMYFUNCTION("""COMPUTED_VALUE"""),"CFG: hnd pa dw nila kukunin ang dala namin na ring gear assy kasi pag uusapan pa dw nila ung budget. tawag nlng dw sila skin kung bibili na po sila at ipapadala ko nlng dw po.")</f>
        <v>CFG: hnd pa dw nila kukunin ang dala namin na ring gear assy kasi pag uusapan pa dw nila ung budget. tawag nlng dw sila skin kung bibili na po sila at ipapadala ko nlng dw po.</v>
      </c>
      <c r="M1775" s="2" t="str">
        <f>IFERROR(__xludf.DUMMYFUNCTION("""COMPUTED_VALUE"""),"RING GEAR ASSY")</f>
        <v>RING GEAR ASSY</v>
      </c>
      <c r="N1775" s="2"/>
      <c r="O1775" s="2" t="str">
        <f>IFERROR(__xludf.DUMMYFUNCTION("""COMPUTED_VALUE"""),"N/A")</f>
        <v>N/A</v>
      </c>
      <c r="P1775" s="2"/>
      <c r="Q1775" s="2"/>
      <c r="R1775" s="74">
        <f>IFERROR(__xludf.DUMMYFUNCTION("""COMPUTED_VALUE"""),46176.0)</f>
        <v>46176</v>
      </c>
      <c r="S1775" s="2" t="str">
        <f>IFERROR(__xludf.DUMMYFUNCTION("""COMPUTED_VALUE"""),"CFG/EGT")</f>
        <v>CFG/EGT</v>
      </c>
      <c r="T1775" s="73" t="str">
        <f>IFERROR(__xludf.DUMMYFUNCTION("""COMPUTED_VALUE""")," N/A ")</f>
        <v>N/A</v>
      </c>
      <c r="U1775" s="73" t="str">
        <f>IFERROR(__xludf.DUMMYFUNCTION("""COMPUTED_VALUE""")," NO CHARGE ")</f>
        <v>NO CHARGE</v>
      </c>
      <c r="V1775" s="2" t="str">
        <f>IFERROR(__xludf.DUMMYFUNCTION("""COMPUTED_VALUE"""),"N/A")</f>
        <v>N/A</v>
      </c>
      <c r="W1775" s="2" t="str">
        <f>IFERROR(__xludf.DUMMYFUNCTION("""COMPUTED_VALUE"""),"N/A")</f>
        <v>N/A</v>
      </c>
      <c r="X1775" s="2" t="str">
        <f>IFERROR(__xludf.DUMMYFUNCTION("""COMPUTED_VALUE"""),"N/A")</f>
        <v>N/A</v>
      </c>
      <c r="Y1775" s="2"/>
      <c r="Z1775" s="2"/>
      <c r="AA1775" s="2"/>
      <c r="AB1775" s="2"/>
      <c r="AC1775" s="2"/>
      <c r="AD1775" s="2"/>
      <c r="AE1775" s="2"/>
      <c r="AF1775" s="2"/>
      <c r="AG1775" s="2"/>
      <c r="AH1775" s="2"/>
      <c r="AI1775" s="2"/>
      <c r="AJ1775" s="2" t="str">
        <f>IFERROR(__xludf.DUMMYFUNCTION("""COMPUTED_VALUE"""),"Centro 2")</f>
        <v>Centro 2</v>
      </c>
      <c r="AK1775" s="2" t="str">
        <f>IFERROR(__xludf.DUMMYFUNCTION("""COMPUTED_VALUE"""),"Luna")</f>
        <v>Luna</v>
      </c>
      <c r="AL1775" s="2" t="str">
        <f>IFERROR(__xludf.DUMMYFUNCTION("""COMPUTED_VALUE"""),"Isabela")</f>
        <v>Isabela</v>
      </c>
      <c r="AM1775" s="2">
        <f>IFERROR(__xludf.DUMMYFUNCTION("""COMPUTED_VALUE"""),2.0)</f>
        <v>2</v>
      </c>
      <c r="AN1775" s="2" t="str">
        <f>IFERROR(__xludf.DUMMYFUNCTION("""COMPUTED_VALUE"""),"RCEF 23-09-21 Rebidding")</f>
        <v>RCEF 23-09-21 Rebidding</v>
      </c>
      <c r="AO1775" s="2">
        <f>IFERROR(__xludf.DUMMYFUNCTION("""COMPUTED_VALUE"""),9.0)</f>
        <v>9</v>
      </c>
      <c r="AP1775" s="2"/>
      <c r="AQ1775" s="2"/>
      <c r="AR1775" s="2"/>
      <c r="AS1775" s="2"/>
      <c r="AT1775" s="2"/>
      <c r="AU1775" s="2"/>
      <c r="AV1775" s="2"/>
      <c r="AW1775" s="2"/>
      <c r="AX1775" s="2"/>
      <c r="AY1775" s="2"/>
      <c r="AZ1775" s="2"/>
      <c r="BA1775" s="2"/>
      <c r="BB1775" s="2"/>
    </row>
    <row r="1776">
      <c r="A1776" s="2">
        <f>IFERROR(__xludf.DUMMYFUNCTION("""COMPUTED_VALUE"""),1772.0)</f>
        <v>1772</v>
      </c>
      <c r="B1776" s="2" t="str">
        <f>IFERROR(__xludf.DUMMYFUNCTION("""COMPUTED_VALUE"""),"PENDING")</f>
        <v>PENDING</v>
      </c>
      <c r="C1776" s="78">
        <f>IFERROR(__xludf.DUMMYFUNCTION("""COMPUTED_VALUE"""),46175.0)</f>
        <v>46175</v>
      </c>
      <c r="D1776" s="71" t="str">
        <f>IFERROR(__xludf.DUMMYFUNCTION("""COMPUTED_VALUE"""),"Amnay Cabagan Irrigators and Farmers Agriculture Cooperative")</f>
        <v>Amnay Cabagan Irrigators and Farmers Agriculture Cooperative</v>
      </c>
      <c r="E1776" s="71" t="str">
        <f>IFERROR(__xludf.DUMMYFUNCTION("""COMPUTED_VALUE"""),"Barahan, Santa Cruz, OCCIDENTAL MINDORO")</f>
        <v>Barahan, Santa Cruz, OCCIDENTAL MINDORO</v>
      </c>
      <c r="F1776" s="2" t="str">
        <f>IFERROR(__xludf.DUMMYFUNCTION("""COMPUTED_VALUE"""),"Ronilo Salgado")</f>
        <v>Ronilo Salgado</v>
      </c>
      <c r="G1776" s="2">
        <f>IFERROR(__xludf.DUMMYFUNCTION("""COMPUTED_VALUE"""),9.557733522E9)</f>
        <v>9557733522</v>
      </c>
      <c r="H1776" s="2">
        <f>IFERROR(__xludf.DUMMYFUNCTION("""COMPUTED_VALUE"""),1417.3)</f>
        <v>1417.3</v>
      </c>
      <c r="I1776" s="72" t="str">
        <f>IFERROR(__xludf.DUMMYFUNCTION("""COMPUTED_VALUE"""),"REPAIR - TRACTOR")</f>
        <v>REPAIR - TRACTOR</v>
      </c>
      <c r="J1776" s="72" t="str">
        <f>IFERROR(__xludf.DUMMYFUNCTION("""COMPUTED_VALUE"""),"ENGINE OVERHAUL")</f>
        <v>ENGINE OVERHAUL</v>
      </c>
      <c r="K1776" s="72" t="str">
        <f>IFERROR(__xludf.DUMMYFUNCTION("""COMPUTED_VALUE"""),"RCG: Problem:Nag over heat,nag crack ang top cover ng radiator,Engine top overhaul. (W/ PICTURE)")</f>
        <v>RCG: Problem:Nag over heat,nag crack ang top cover ng radiator,Engine top overhaul. (W/ PICTURE)</v>
      </c>
      <c r="L1776" s="72"/>
      <c r="M1776" s="2"/>
      <c r="N1776" s="2"/>
      <c r="O1776" s="2"/>
      <c r="P1776" s="2"/>
      <c r="Q1776" s="2"/>
      <c r="R1776" s="2"/>
      <c r="S1776" s="2"/>
      <c r="T1776" s="2"/>
      <c r="U1776" s="2"/>
      <c r="V1776" s="2"/>
      <c r="W1776" s="2"/>
      <c r="X1776" s="2"/>
      <c r="Y1776" s="2"/>
      <c r="Z1776" s="2"/>
      <c r="AA1776" s="2"/>
      <c r="AB1776" s="2"/>
      <c r="AC1776" s="2"/>
      <c r="AD1776" s="2"/>
      <c r="AE1776" s="2"/>
      <c r="AF1776" s="2"/>
      <c r="AG1776" s="2"/>
      <c r="AH1776" s="2"/>
      <c r="AI1776" s="2"/>
      <c r="AJ1776" s="2" t="str">
        <f>IFERROR(__xludf.DUMMYFUNCTION("""COMPUTED_VALUE"""),"Barahan")</f>
        <v>Barahan</v>
      </c>
      <c r="AK1776" s="2" t="str">
        <f>IFERROR(__xludf.DUMMYFUNCTION("""COMPUTED_VALUE"""),"Santa Cruz")</f>
        <v>Santa Cruz</v>
      </c>
      <c r="AL1776" s="2" t="str">
        <f>IFERROR(__xludf.DUMMYFUNCTION("""COMPUTED_VALUE"""),"Occidental Mindoro")</f>
        <v>Occidental Mindoro</v>
      </c>
      <c r="AM1776" s="2" t="str">
        <f>IFERROR(__xludf.DUMMYFUNCTION("""COMPUTED_VALUE"""),"4B")</f>
        <v>4B</v>
      </c>
      <c r="AN1776" s="2" t="str">
        <f>IFERROR(__xludf.DUMMYFUNCTION("""COMPUTED_VALUE"""),"RCEF 24-04-15")</f>
        <v>RCEF 24-04-15</v>
      </c>
      <c r="AO1776" s="2">
        <f>IFERROR(__xludf.DUMMYFUNCTION("""COMPUTED_VALUE"""),7.0)</f>
        <v>7</v>
      </c>
      <c r="AP1776" s="2" t="str">
        <f>IFERROR(__xludf.DUMMYFUNCTION("""COMPUTED_VALUE"""),"FREE PMS")</f>
        <v>FREE PMS</v>
      </c>
      <c r="AQ1776" s="2"/>
      <c r="AR1776" s="2"/>
      <c r="AS1776" s="2"/>
      <c r="AT1776" s="2"/>
      <c r="AU1776" s="2"/>
      <c r="AV1776" s="2"/>
      <c r="AW1776" s="2"/>
      <c r="AX1776" s="2"/>
      <c r="AY1776" s="2"/>
      <c r="AZ1776" s="2"/>
      <c r="BA1776" s="2"/>
      <c r="BB1776" s="2"/>
    </row>
    <row r="1777">
      <c r="A1777" s="2">
        <f>IFERROR(__xludf.DUMMYFUNCTION("""COMPUTED_VALUE"""),1773.0)</f>
        <v>1773</v>
      </c>
      <c r="B1777" s="2" t="str">
        <f>IFERROR(__xludf.DUMMYFUNCTION("""COMPUTED_VALUE"""),"PENDING")</f>
        <v>PENDING</v>
      </c>
      <c r="C1777" s="78">
        <f>IFERROR(__xludf.DUMMYFUNCTION("""COMPUTED_VALUE"""),46175.0)</f>
        <v>46175</v>
      </c>
      <c r="D1777" s="71" t="str">
        <f>IFERROR(__xludf.DUMMYFUNCTION("""COMPUTED_VALUE"""),"PALAYAN (PINAMALAYAN) FARMER'S ASSOCIATION, INC.")</f>
        <v>PALAYAN (PINAMALAYAN) FARMER'S ASSOCIATION, INC.</v>
      </c>
      <c r="E1777" s="71" t="str">
        <f>IFERROR(__xludf.DUMMYFUNCTION("""COMPUTED_VALUE"""),"Palayan, Pinamalayan, ORIENTAL MINDORO")</f>
        <v>Palayan, Pinamalayan, ORIENTAL MINDORO</v>
      </c>
      <c r="F1777" s="2" t="str">
        <f>IFERROR(__xludf.DUMMYFUNCTION("""COMPUTED_VALUE"""),"Rey Ledesma / president")</f>
        <v>Rey Ledesma / president</v>
      </c>
      <c r="G1777" s="2">
        <f>IFERROR(__xludf.DUMMYFUNCTION("""COMPUTED_VALUE"""),9.38651551E9)</f>
        <v>9386515510</v>
      </c>
      <c r="H1777" s="2"/>
      <c r="I1777" s="72" t="str">
        <f>IFERROR(__xludf.DUMMYFUNCTION("""COMPUTED_VALUE"""),"PMS")</f>
        <v>PMS</v>
      </c>
      <c r="J1777" s="72"/>
      <c r="K1777" s="72" t="str">
        <f>IFERROR(__xludf.DUMMYFUNCTION("""COMPUTED_VALUE"""),"ECM: Concern 2nd PMS, Inner at outer air cleaner.
")</f>
        <v>ECM: Concern 2nd PMS, Inner at outer air cleaner.
</v>
      </c>
      <c r="L1777" s="72" t="str">
        <f>IFERROR(__xludf.DUMMYFUNCTION("""COMPUTED_VALUE"""),"MYK: CALL -  SENT FB PAGE- ")</f>
        <v>MYK: CALL -  SENT FB PAGE- </v>
      </c>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c r="AJ1777" s="2" t="str">
        <f>IFERROR(__xludf.DUMMYFUNCTION("""COMPUTED_VALUE"""),"Palayan")</f>
        <v>Palayan</v>
      </c>
      <c r="AK1777" s="2" t="str">
        <f>IFERROR(__xludf.DUMMYFUNCTION("""COMPUTED_VALUE"""),"Pinamalayan")</f>
        <v>Pinamalayan</v>
      </c>
      <c r="AL1777" s="2" t="str">
        <f>IFERROR(__xludf.DUMMYFUNCTION("""COMPUTED_VALUE"""),"Oriental Mindoro")</f>
        <v>Oriental Mindoro</v>
      </c>
      <c r="AM1777" s="2" t="str">
        <f>IFERROR(__xludf.DUMMYFUNCTION("""COMPUTED_VALUE"""),"4B")</f>
        <v>4B</v>
      </c>
      <c r="AN1777" s="2" t="str">
        <f>IFERROR(__xludf.DUMMYFUNCTION("""COMPUTED_VALUE"""),"RCEF 24-04-15")</f>
        <v>RCEF 24-04-15</v>
      </c>
      <c r="AO1777" s="2">
        <f>IFERROR(__xludf.DUMMYFUNCTION("""COMPUTED_VALUE"""),7.0)</f>
        <v>7</v>
      </c>
      <c r="AP1777" s="2" t="str">
        <f>IFERROR(__xludf.DUMMYFUNCTION("""COMPUTED_VALUE"""),"FREE PMS")</f>
        <v>FREE PMS</v>
      </c>
      <c r="AQ1777" s="2"/>
      <c r="AR1777" s="2"/>
      <c r="AS1777" s="2"/>
      <c r="AT1777" s="2"/>
      <c r="AU1777" s="2"/>
      <c r="AV1777" s="2"/>
      <c r="AW1777" s="2"/>
      <c r="AX1777" s="2"/>
      <c r="AY1777" s="2"/>
      <c r="AZ1777" s="2"/>
      <c r="BA1777" s="2"/>
      <c r="BB1777" s="2"/>
    </row>
    <row r="1778">
      <c r="A1778" s="2">
        <f>IFERROR(__xludf.DUMMYFUNCTION("""COMPUTED_VALUE"""),1774.0)</f>
        <v>1774</v>
      </c>
      <c r="B1778" s="2" t="str">
        <f>IFERROR(__xludf.DUMMYFUNCTION("""COMPUTED_VALUE"""),"COMPLETED")</f>
        <v>COMPLETED</v>
      </c>
      <c r="C1778" s="78">
        <f>IFERROR(__xludf.DUMMYFUNCTION("""COMPUTED_VALUE"""),46175.0)</f>
        <v>46175</v>
      </c>
      <c r="D1778" s="71" t="str">
        <f>IFERROR(__xludf.DUMMYFUNCTION("""COMPUTED_VALUE"""),"SANDOVAL FARMERS ASSOCIATION")</f>
        <v>SANDOVAL FARMERS ASSOCIATION</v>
      </c>
      <c r="E1778" s="71" t="str">
        <f>IFERROR(__xludf.DUMMYFUNCTION("""COMPUTED_VALUE"""),"Sandoval, Roxas, Palawan")</f>
        <v>Sandoval, Roxas, Palawan</v>
      </c>
      <c r="F1778" s="2"/>
      <c r="G1778" s="2">
        <f>IFERROR(__xludf.DUMMYFUNCTION("""COMPUTED_VALUE"""),9.069578374E9)</f>
        <v>9069578374</v>
      </c>
      <c r="H1778" s="2"/>
      <c r="I1778" s="72" t="str">
        <f>IFERROR(__xludf.DUMMYFUNCTION("""COMPUTED_VALUE"""),"SPARE PARTS ACQUISITION")</f>
        <v>SPARE PARTS ACQUISITION</v>
      </c>
      <c r="J1778" s="72" t="str">
        <f>IFERROR(__xludf.DUMMYFUNCTION("""COMPUTED_VALUE"""),"SPARE PARTS ACQUISITION")</f>
        <v>SPARE PARTS ACQUISITION</v>
      </c>
      <c r="K1778" s="72" t="str">
        <f>IFERROR(__xludf.DUMMYFUNCTION("""COMPUTED_VALUE"""),"RCG: PARTS: BEVEL GEAR 11T TA00033473A")</f>
        <v>RCG: PARTS: BEVEL GEAR 11T TA00033473A</v>
      </c>
      <c r="L1778" s="72"/>
      <c r="M1778" s="2" t="str">
        <f>IFERROR(__xludf.DUMMYFUNCTION("""COMPUTED_VALUE"""),"BEVEL GEAR 11T TA00033473A")</f>
        <v>BEVEL GEAR 11T TA00033473A</v>
      </c>
      <c r="N1778" s="2" t="str">
        <f>IFERROR(__xludf.DUMMYFUNCTION("""COMPUTED_VALUE"""),"PARTS:
BEVEL GEAR 11T TA00033473A")</f>
        <v>PARTS:
BEVEL GEAR 11T TA00033473A</v>
      </c>
      <c r="O1778" s="2" t="str">
        <f>IFERROR(__xludf.DUMMYFUNCTION("""COMPUTED_VALUE"""),"N/A")</f>
        <v>N/A</v>
      </c>
      <c r="P1778" s="2"/>
      <c r="Q1778" s="2"/>
      <c r="R1778" s="74">
        <f>IFERROR(__xludf.DUMMYFUNCTION("""COMPUTED_VALUE"""),46178.0)</f>
        <v>46178</v>
      </c>
      <c r="S1778" s="2" t="str">
        <f>IFERROR(__xludf.DUMMYFUNCTION("""COMPUTED_VALUE"""),"MYK/CTF")</f>
        <v>MYK/CTF</v>
      </c>
      <c r="T1778" s="73">
        <f>IFERROR(__xludf.DUMMYFUNCTION("""COMPUTED_VALUE"""),3520.0)</f>
        <v>3520</v>
      </c>
      <c r="U1778" s="73" t="str">
        <f>IFERROR(__xludf.DUMMYFUNCTION("""COMPUTED_VALUE""")," DIRECT PAYMENT ")</f>
        <v>DIRECT PAYMENT</v>
      </c>
      <c r="V1778" s="2">
        <f>IFERROR(__xludf.DUMMYFUNCTION("""COMPUTED_VALUE"""),2066.0)</f>
        <v>2066</v>
      </c>
      <c r="W1778" s="2">
        <f>IFERROR(__xludf.DUMMYFUNCTION("""COMPUTED_VALUE"""),2078.0)</f>
        <v>2078</v>
      </c>
      <c r="X1778" s="2">
        <f>IFERROR(__xludf.DUMMYFUNCTION("""COMPUTED_VALUE"""),1854.0)</f>
        <v>1854</v>
      </c>
      <c r="Y1778" s="2"/>
      <c r="Z1778" s="2"/>
      <c r="AA1778" s="2"/>
      <c r="AB1778" s="2"/>
      <c r="AC1778" s="2"/>
      <c r="AD1778" s="2"/>
      <c r="AE1778" s="2"/>
      <c r="AF1778" s="2"/>
      <c r="AG1778" s="2"/>
      <c r="AH1778" s="2"/>
      <c r="AI1778" s="2"/>
      <c r="AJ1778" s="2" t="str">
        <f>IFERROR(__xludf.DUMMYFUNCTION("""COMPUTED_VALUE"""),"Sandoval")</f>
        <v>Sandoval</v>
      </c>
      <c r="AK1778" s="2" t="str">
        <f>IFERROR(__xludf.DUMMYFUNCTION("""COMPUTED_VALUE"""),"Roxas")</f>
        <v>Roxas</v>
      </c>
      <c r="AL1778" s="2" t="str">
        <f>IFERROR(__xludf.DUMMYFUNCTION("""COMPUTED_VALUE"""),"Palawan")</f>
        <v>Palawan</v>
      </c>
      <c r="AM1778" s="2" t="str">
        <f>IFERROR(__xludf.DUMMYFUNCTION("""COMPUTED_VALUE"""),"4B")</f>
        <v>4B</v>
      </c>
      <c r="AN1778" s="2" t="str">
        <f>IFERROR(__xludf.DUMMYFUNCTION("""COMPUTED_VALUE"""),"RCEF 23-08-20 Rebidding")</f>
        <v>RCEF 23-08-20 Rebidding</v>
      </c>
      <c r="AO1778" s="2">
        <f>IFERROR(__xludf.DUMMYFUNCTION("""COMPUTED_VALUE"""),1.0)</f>
        <v>1</v>
      </c>
      <c r="AP1778" s="2"/>
      <c r="AQ1778" s="2"/>
      <c r="AR1778" s="2"/>
      <c r="AS1778" s="2"/>
      <c r="AT1778" s="2"/>
      <c r="AU1778" s="2"/>
      <c r="AV1778" s="2"/>
      <c r="AW1778" s="2"/>
      <c r="AX1778" s="2"/>
      <c r="AY1778" s="2"/>
      <c r="AZ1778" s="2"/>
      <c r="BA1778" s="2"/>
      <c r="BB1778" s="2"/>
    </row>
    <row r="1779">
      <c r="A1779" s="2">
        <f>IFERROR(__xludf.DUMMYFUNCTION("""COMPUTED_VALUE"""),1775.0)</f>
        <v>1775</v>
      </c>
      <c r="B1779" s="2" t="str">
        <f>IFERROR(__xludf.DUMMYFUNCTION("""COMPUTED_VALUE"""),"PENDING")</f>
        <v>PENDING</v>
      </c>
      <c r="C1779" s="78">
        <f>IFERROR(__xludf.DUMMYFUNCTION("""COMPUTED_VALUE"""),46174.0)</f>
        <v>46174</v>
      </c>
      <c r="D1779" s="71" t="str">
        <f>IFERROR(__xludf.DUMMYFUNCTION("""COMPUTED_VALUE"""),"Municipal Local Government Unit of Labo")</f>
        <v>Municipal Local Government Unit of Labo</v>
      </c>
      <c r="E1779" s="71" t="str">
        <f>IFERROR(__xludf.DUMMYFUNCTION("""COMPUTED_VALUE"""),"Gumamela (Pob.), Labo, CAMARINES NORTE")</f>
        <v>Gumamela (Pob.), Labo, CAMARINES NORTE</v>
      </c>
      <c r="F1779" s="2"/>
      <c r="G1779" s="2">
        <f>IFERROR(__xludf.DUMMYFUNCTION("""COMPUTED_VALUE"""),9.912787209E9)</f>
        <v>9912787209</v>
      </c>
      <c r="H1779" s="2"/>
      <c r="I1779" s="72" t="str">
        <f>IFERROR(__xludf.DUMMYFUNCTION("""COMPUTED_VALUE"""),"REPAIR - ROTAVATOR")</f>
        <v>REPAIR - ROTAVATOR</v>
      </c>
      <c r="J1779" s="72"/>
      <c r="K1779" s="72" t="str">
        <f>IFERROR(__xludf.DUMMYFUNCTION("""COMPUTED_VALUE"""),"JVV: CONCERN: Nasunog po yung Lining ng Propeller nila na pang Rotavator ")</f>
        <v>JVV: CONCERN: Nasunog po yung Lining ng Propeller nila na pang Rotavator </v>
      </c>
      <c r="L1779" s="72"/>
      <c r="M1779" s="2" t="str">
        <f>IFERROR(__xludf.DUMMYFUNCTION("""COMPUTED_VALUE"""),"2 - LINING OF PROPELLER")</f>
        <v>2 - LINING OF PROPELLER</v>
      </c>
      <c r="N1779" s="2"/>
      <c r="O1779" s="2"/>
      <c r="P1779" s="2"/>
      <c r="Q1779" s="2"/>
      <c r="R1779" s="2"/>
      <c r="S1779" s="2"/>
      <c r="T1779" s="2"/>
      <c r="U1779" s="2"/>
      <c r="V1779" s="2"/>
      <c r="W1779" s="2"/>
      <c r="X1779" s="2"/>
      <c r="Y1779" s="2"/>
      <c r="Z1779" s="2"/>
      <c r="AA1779" s="2"/>
      <c r="AB1779" s="2"/>
      <c r="AC1779" s="2"/>
      <c r="AD1779" s="2"/>
      <c r="AE1779" s="2"/>
      <c r="AF1779" s="2"/>
      <c r="AG1779" s="2"/>
      <c r="AH1779" s="2"/>
      <c r="AI1779" s="2"/>
      <c r="AJ1779" s="2" t="str">
        <f>IFERROR(__xludf.DUMMYFUNCTION("""COMPUTED_VALUE"""),"Gumamela (Pob.)")</f>
        <v>Gumamela (Pob.)</v>
      </c>
      <c r="AK1779" s="2" t="str">
        <f>IFERROR(__xludf.DUMMYFUNCTION("""COMPUTED_VALUE"""),"Labo")</f>
        <v>Labo</v>
      </c>
      <c r="AL1779" s="2" t="str">
        <f>IFERROR(__xludf.DUMMYFUNCTION("""COMPUTED_VALUE"""),"Camarines Norte")</f>
        <v>Camarines Norte</v>
      </c>
      <c r="AM1779" s="2">
        <f>IFERROR(__xludf.DUMMYFUNCTION("""COMPUTED_VALUE"""),5.0)</f>
        <v>5</v>
      </c>
      <c r="AN1779" s="2" t="str">
        <f>IFERROR(__xludf.DUMMYFUNCTION("""COMPUTED_VALUE"""),"RCEF 25-03-05")</f>
        <v>RCEF 25-03-05</v>
      </c>
      <c r="AO1779" s="2">
        <f>IFERROR(__xludf.DUMMYFUNCTION("""COMPUTED_VALUE"""),6.0)</f>
        <v>6</v>
      </c>
      <c r="AP1779" s="2" t="str">
        <f>IFERROR(__xludf.DUMMYFUNCTION("""COMPUTED_VALUE"""),"FREE PMS")</f>
        <v>FREE PMS</v>
      </c>
      <c r="AQ1779" s="2"/>
      <c r="AR1779" s="2"/>
      <c r="AS1779" s="2"/>
      <c r="AT1779" s="2"/>
      <c r="AU1779" s="2"/>
      <c r="AV1779" s="2"/>
      <c r="AW1779" s="2"/>
      <c r="AX1779" s="2"/>
      <c r="AY1779" s="2"/>
      <c r="AZ1779" s="2"/>
      <c r="BA1779" s="2"/>
      <c r="BB1779" s="2"/>
    </row>
    <row r="1780">
      <c r="A1780" s="2">
        <f>IFERROR(__xludf.DUMMYFUNCTION("""COMPUTED_VALUE"""),1776.0)</f>
        <v>1776</v>
      </c>
      <c r="B1780" s="2" t="str">
        <f>IFERROR(__xludf.DUMMYFUNCTION("""COMPUTED_VALUE"""),"PENDING")</f>
        <v>PENDING</v>
      </c>
      <c r="C1780" s="78">
        <f>IFERROR(__xludf.DUMMYFUNCTION("""COMPUTED_VALUE"""),46175.0)</f>
        <v>46175</v>
      </c>
      <c r="D1780" s="71" t="str">
        <f>IFERROR(__xludf.DUMMYFUNCTION("""COMPUTED_VALUE"""),"BEPACAL IRRIGATORS ASSOCIATION, INC.")</f>
        <v>BEPACAL IRRIGATORS ASSOCIATION, INC.</v>
      </c>
      <c r="E1780" s="71" t="str">
        <f>IFERROR(__xludf.DUMMYFUNCTION("""COMPUTED_VALUE"""),"San Isidro, San Luis, PAMPANGA")</f>
        <v>San Isidro, San Luis, PAMPANGA</v>
      </c>
      <c r="F1780" s="2" t="str">
        <f>IFERROR(__xludf.DUMMYFUNCTION("""COMPUTED_VALUE"""),"LUISIANO SALAS")</f>
        <v>LUISIANO SALAS</v>
      </c>
      <c r="G1780" s="2">
        <f>IFERROR(__xludf.DUMMYFUNCTION("""COMPUTED_VALUE"""),9.518664252E9)</f>
        <v>9518664252</v>
      </c>
      <c r="H1780" s="2"/>
      <c r="I1780" s="72" t="str">
        <f>IFERROR(__xludf.DUMMYFUNCTION("""COMPUTED_VALUE"""),"REPAIR - LOADER")</f>
        <v>REPAIR - LOADER</v>
      </c>
      <c r="J1780" s="72"/>
      <c r="K1780" s="72" t="str">
        <f>IFERROR(__xludf.DUMMYFUNCTION("""COMPUTED_VALUE"""),"MYK: MYK:
- DISCPLOW PROBLEM -  NATATANGAL ANG TALIM, KAYLANGAN NG BOLT AT NUT
- AYAW UMANGAT BABA NG LOADER")</f>
        <v>MYK: MYK:
- DISCPLOW PROBLEM -  NATATANGAL ANG TALIM, KAYLANGAN NG BOLT AT NUT
- AYAW UMANGAT BABA NG LOADER</v>
      </c>
      <c r="L1780" s="72"/>
      <c r="M1780" s="2" t="str">
        <f>IFERROR(__xludf.DUMMYFUNCTION("""COMPUTED_VALUE"""),"CABLE LOCK")</f>
        <v>CABLE LOCK</v>
      </c>
      <c r="N1780" s="2"/>
      <c r="O1780" s="2"/>
      <c r="P1780" s="2"/>
      <c r="Q1780" s="2"/>
      <c r="R1780" s="2"/>
      <c r="S1780" s="2"/>
      <c r="T1780" s="2"/>
      <c r="U1780" s="2"/>
      <c r="V1780" s="2"/>
      <c r="W1780" s="2"/>
      <c r="X1780" s="2"/>
      <c r="Y1780" s="2"/>
      <c r="Z1780" s="2"/>
      <c r="AA1780" s="2"/>
      <c r="AB1780" s="2"/>
      <c r="AC1780" s="2"/>
      <c r="AD1780" s="2"/>
      <c r="AE1780" s="2"/>
      <c r="AF1780" s="2"/>
      <c r="AG1780" s="2"/>
      <c r="AH1780" s="2"/>
      <c r="AI1780" s="2"/>
      <c r="AJ1780" s="2" t="str">
        <f>IFERROR(__xludf.DUMMYFUNCTION("""COMPUTED_VALUE"""),"San Isidro")</f>
        <v>San Isidro</v>
      </c>
      <c r="AK1780" s="2" t="str">
        <f>IFERROR(__xludf.DUMMYFUNCTION("""COMPUTED_VALUE"""),"San Luis")</f>
        <v>San Luis</v>
      </c>
      <c r="AL1780" s="2" t="str">
        <f>IFERROR(__xludf.DUMMYFUNCTION("""COMPUTED_VALUE"""),"Pampanga")</f>
        <v>Pampanga</v>
      </c>
      <c r="AM1780" s="2">
        <f>IFERROR(__xludf.DUMMYFUNCTION("""COMPUTED_VALUE"""),3.0)</f>
        <v>3</v>
      </c>
      <c r="AN1780" s="2" t="str">
        <f>IFERROR(__xludf.DUMMYFUNCTION("""COMPUTED_VALUE"""),"RCEF 25-03-05")</f>
        <v>RCEF 25-03-05</v>
      </c>
      <c r="AO1780" s="2">
        <f>IFERROR(__xludf.DUMMYFUNCTION("""COMPUTED_VALUE"""),5.0)</f>
        <v>5</v>
      </c>
      <c r="AP1780" s="2" t="str">
        <f>IFERROR(__xludf.DUMMYFUNCTION("""COMPUTED_VALUE"""),"FREE PMS")</f>
        <v>FREE PMS</v>
      </c>
      <c r="AQ1780" s="2"/>
      <c r="AR1780" s="2"/>
      <c r="AS1780" s="2"/>
      <c r="AT1780" s="2"/>
      <c r="AU1780" s="2"/>
      <c r="AV1780" s="2"/>
      <c r="AW1780" s="2"/>
      <c r="AX1780" s="2"/>
      <c r="AY1780" s="2"/>
      <c r="AZ1780" s="2"/>
      <c r="BA1780" s="2"/>
      <c r="BB1780" s="2"/>
    </row>
    <row r="1781">
      <c r="A1781" s="2">
        <f>IFERROR(__xludf.DUMMYFUNCTION("""COMPUTED_VALUE"""),1777.0)</f>
        <v>1777</v>
      </c>
      <c r="B1781" s="2" t="str">
        <f>IFERROR(__xludf.DUMMYFUNCTION("""COMPUTED_VALUE"""),"PENDING")</f>
        <v>PENDING</v>
      </c>
      <c r="C1781" s="78">
        <f>IFERROR(__xludf.DUMMYFUNCTION("""COMPUTED_VALUE"""),46175.0)</f>
        <v>46175</v>
      </c>
      <c r="D1781" s="71" t="str">
        <f>IFERROR(__xludf.DUMMYFUNCTION("""COMPUTED_VALUE"""),"Manggawa farmers Environmental Development Association")</f>
        <v>Manggawa farmers Environmental Development Association</v>
      </c>
      <c r="E1781" s="71" t="str">
        <f>IFERROR(__xludf.DUMMYFUNCTION("""COMPUTED_VALUE"""),"New Tanglag, Tabuk City, KALINGA")</f>
        <v>New Tanglag, Tabuk City, KALINGA</v>
      </c>
      <c r="F1781" s="2" t="str">
        <f>IFERROR(__xludf.DUMMYFUNCTION("""COMPUTED_VALUE"""),"FORD CASIBANG ")</f>
        <v>FORD CASIBANG </v>
      </c>
      <c r="G1781" s="2">
        <f>IFERROR(__xludf.DUMMYFUNCTION("""COMPUTED_VALUE"""),9.52642085E9)</f>
        <v>9526420850</v>
      </c>
      <c r="H1781" s="2">
        <f>IFERROR(__xludf.DUMMYFUNCTION("""COMPUTED_VALUE"""),1220.7)</f>
        <v>1220.7</v>
      </c>
      <c r="I1781" s="72" t="str">
        <f>IFERROR(__xludf.DUMMYFUNCTION("""COMPUTED_VALUE"""),"SPARE PARTS ACQUISITION")</f>
        <v>SPARE PARTS ACQUISITION</v>
      </c>
      <c r="J1781" s="72"/>
      <c r="K1781" s="72" t="str">
        <f>IFERROR(__xludf.DUMMYFUNCTION("""COMPUTED_VALUE"""),"CFG: Concern: transmission problem pag nilagay ko sa 2x4 di aabante pag nilagas ko sa frontdrive aabante
Wasak ang differental case assy.
# needs parts order 
1. 1pc assy case differential number 3 TN49030000D2 
2. 1pc Gear 32T THE 4TH number 10 TN4"&amp;"2950000A3
3.  1pc Gear 30T Reverse number 32 TN42500000E3
4. 1 pc Coutner shaft number 1 TN49510000A2")</f>
        <v>CFG: Concern: transmission problem pag nilagay ko sa 2x4 di aabante pag nilagas ko sa frontdrive aabante
Wasak ang differental case assy.
# needs parts order 
1. 1pc assy case differential number 3 TN49030000D2 
2. 1pc Gear 32T THE 4TH number 10 TN42950000A3
3.  1pc Gear 30T Reverse number 32 TN42500000E3
4. 1 pc Coutner shaft number 1 TN49510000A2</v>
      </c>
      <c r="L1781" s="72" t="str">
        <f>IFERROR(__xludf.DUMMYFUNCTION("""COMPUTED_VALUE"""),"MYK: REQUEST PRICE AND AVAILABITY TO FC -  ")</f>
        <v>MYK: REQUEST PRICE AND AVAILABITY TO FC -  </v>
      </c>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c r="AJ1781" s="2" t="str">
        <f>IFERROR(__xludf.DUMMYFUNCTION("""COMPUTED_VALUE"""),"New Tanglag")</f>
        <v>New Tanglag</v>
      </c>
      <c r="AK1781" s="2" t="str">
        <f>IFERROR(__xludf.DUMMYFUNCTION("""COMPUTED_VALUE"""),"Tabuk City")</f>
        <v>Tabuk City</v>
      </c>
      <c r="AL1781" s="2" t="str">
        <f>IFERROR(__xludf.DUMMYFUNCTION("""COMPUTED_VALUE"""),"Kalinga")</f>
        <v>Kalinga</v>
      </c>
      <c r="AM1781" s="2" t="str">
        <f>IFERROR(__xludf.DUMMYFUNCTION("""COMPUTED_VALUE"""),"CAR")</f>
        <v>CAR</v>
      </c>
      <c r="AN1781" s="2" t="str">
        <f>IFERROR(__xludf.DUMMYFUNCTION("""COMPUTED_VALUE"""),"RCEF 23-09-21 Rebidding")</f>
        <v>RCEF 23-09-21 Rebidding</v>
      </c>
      <c r="AO1781" s="2">
        <f>IFERROR(__xludf.DUMMYFUNCTION("""COMPUTED_VALUE"""),1.0)</f>
        <v>1</v>
      </c>
      <c r="AP1781" s="2"/>
      <c r="AQ1781" s="2"/>
      <c r="AR1781" s="2"/>
      <c r="AS1781" s="2"/>
      <c r="AT1781" s="2"/>
      <c r="AU1781" s="2"/>
      <c r="AV1781" s="2"/>
      <c r="AW1781" s="2"/>
      <c r="AX1781" s="2"/>
      <c r="AY1781" s="2"/>
      <c r="AZ1781" s="2"/>
      <c r="BA1781" s="2"/>
      <c r="BB1781" s="2"/>
    </row>
    <row r="1782">
      <c r="A1782" s="2">
        <f>IFERROR(__xludf.DUMMYFUNCTION("""COMPUTED_VALUE"""),1778.0)</f>
        <v>1778</v>
      </c>
      <c r="B1782" s="2" t="str">
        <f>IFERROR(__xludf.DUMMYFUNCTION("""COMPUTED_VALUE"""),"PENDING")</f>
        <v>PENDING</v>
      </c>
      <c r="C1782" s="78">
        <f>IFERROR(__xludf.DUMMYFUNCTION("""COMPUTED_VALUE"""),46176.0)</f>
        <v>46176</v>
      </c>
      <c r="D1782" s="71" t="str">
        <f>IFERROR(__xludf.DUMMYFUNCTION("""COMPUTED_VALUE"""),"MUNICIPAL LOCAL GOVERNMENT UNIT OF ANGAT")</f>
        <v>MUNICIPAL LOCAL GOVERNMENT UNIT OF ANGAT</v>
      </c>
      <c r="E1782" s="71" t="str">
        <f>IFERROR(__xludf.DUMMYFUNCTION("""COMPUTED_VALUE"""),"Poblacion, Angat, Bulacan")</f>
        <v>Poblacion, Angat, Bulacan</v>
      </c>
      <c r="F1782" s="2" t="str">
        <f>IFERROR(__xludf.DUMMYFUNCTION("""COMPUTED_VALUE""")," Massey Boy")</f>
        <v> Massey Boy</v>
      </c>
      <c r="G1782" s="2">
        <f>IFERROR(__xludf.DUMMYFUNCTION("""COMPUTED_VALUE"""),9.179941102E9)</f>
        <v>9179941102</v>
      </c>
      <c r="H1782" s="2"/>
      <c r="I1782" s="72" t="str">
        <f>IFERROR(__xludf.DUMMYFUNCTION("""COMPUTED_VALUE"""),"REPAIR - ROTAVATOR")</f>
        <v>REPAIR - ROTAVATOR</v>
      </c>
      <c r="J1782" s="72"/>
      <c r="K1782" s="72" t="str">
        <f>IFERROR(__xludf.DUMMYFUNCTION("""COMPUTED_VALUE"""),"Problem: Rotavator 
Order Parts: Bevel Gear 24T 
Kailan daw po kaya pwede maideliver need na daw po kasi nila yung pyesa")</f>
        <v>Problem: Rotavator 
Order Parts: Bevel Gear 24T 
Kailan daw po kaya pwede maideliver need na daw po kasi nila yung pyesa</v>
      </c>
      <c r="L1782" s="72"/>
      <c r="M1782" s="2" t="str">
        <f>IFERROR(__xludf.DUMMYFUNCTION("""COMPUTED_VALUE"""),"BEVEL GEAR 24T")</f>
        <v>BEVEL GEAR 24T</v>
      </c>
      <c r="N1782" s="2"/>
      <c r="O1782" s="2"/>
      <c r="P1782" s="2"/>
      <c r="Q1782" s="2"/>
      <c r="R1782" s="2"/>
      <c r="S1782" s="2"/>
      <c r="T1782" s="2"/>
      <c r="U1782" s="2"/>
      <c r="V1782" s="2"/>
      <c r="W1782" s="2"/>
      <c r="X1782" s="2"/>
      <c r="Y1782" s="2"/>
      <c r="Z1782" s="2"/>
      <c r="AA1782" s="2"/>
      <c r="AB1782" s="2"/>
      <c r="AC1782" s="2"/>
      <c r="AD1782" s="2"/>
      <c r="AE1782" s="2"/>
      <c r="AF1782" s="2"/>
      <c r="AG1782" s="2"/>
      <c r="AH1782" s="2"/>
      <c r="AI1782" s="2"/>
      <c r="AJ1782" s="2" t="str">
        <f>IFERROR(__xludf.DUMMYFUNCTION("""COMPUTED_VALUE"""),"Poblacion")</f>
        <v>Poblacion</v>
      </c>
      <c r="AK1782" s="2" t="str">
        <f>IFERROR(__xludf.DUMMYFUNCTION("""COMPUTED_VALUE"""),"Angat")</f>
        <v>Angat</v>
      </c>
      <c r="AL1782" s="2" t="str">
        <f>IFERROR(__xludf.DUMMYFUNCTION("""COMPUTED_VALUE"""),"Bulacan")</f>
        <v>Bulacan</v>
      </c>
      <c r="AM1782" s="2">
        <f>IFERROR(__xludf.DUMMYFUNCTION("""COMPUTED_VALUE"""),3.0)</f>
        <v>3</v>
      </c>
      <c r="AN1782" s="2" t="str">
        <f>IFERROR(__xludf.DUMMYFUNCTION("""COMPUTED_VALUE"""),"RCEF 23-09-21 Rebidding")</f>
        <v>RCEF 23-09-21 Rebidding</v>
      </c>
      <c r="AO1782" s="2">
        <f>IFERROR(__xludf.DUMMYFUNCTION("""COMPUTED_VALUE"""),3.0)</f>
        <v>3</v>
      </c>
      <c r="AP1782" s="2"/>
      <c r="AQ1782" s="2"/>
      <c r="AR1782" s="2"/>
      <c r="AS1782" s="2"/>
      <c r="AT1782" s="2"/>
      <c r="AU1782" s="2"/>
      <c r="AV1782" s="2"/>
      <c r="AW1782" s="2"/>
      <c r="AX1782" s="2"/>
      <c r="AY1782" s="2"/>
      <c r="AZ1782" s="2"/>
      <c r="BA1782" s="2"/>
      <c r="BB1782" s="2"/>
    </row>
    <row r="1783">
      <c r="A1783" s="2">
        <f>IFERROR(__xludf.DUMMYFUNCTION("""COMPUTED_VALUE"""),1779.0)</f>
        <v>1779</v>
      </c>
      <c r="B1783" s="2" t="str">
        <f>IFERROR(__xludf.DUMMYFUNCTION("""COMPUTED_VALUE"""),"PENDING")</f>
        <v>PENDING</v>
      </c>
      <c r="C1783" s="78">
        <f>IFERROR(__xludf.DUMMYFUNCTION("""COMPUTED_VALUE"""),46176.0)</f>
        <v>46176</v>
      </c>
      <c r="D1783" s="71" t="str">
        <f>IFERROR(__xludf.DUMMYFUNCTION("""COMPUTED_VALUE"""),"THE FARMERS OF LUNA AGRICULTURE COOPERATIVE")</f>
        <v>THE FARMERS OF LUNA AGRICULTURE COOPERATIVE</v>
      </c>
      <c r="E1783" s="71" t="str">
        <f>IFERROR(__xludf.DUMMYFUNCTION("""COMPUTED_VALUE"""),"Centro 2, Luna, Isabela")</f>
        <v>Centro 2, Luna, Isabela</v>
      </c>
      <c r="F1783" s="2" t="str">
        <f>IFERROR(__xludf.DUMMYFUNCTION("""COMPUTED_VALUE"""),"Edgar A. Diniega")</f>
        <v>Edgar A. Diniega</v>
      </c>
      <c r="G1783" s="2">
        <f>IFERROR(__xludf.DUMMYFUNCTION("""COMPUTED_VALUE"""),9.656732717E9)</f>
        <v>9656732717</v>
      </c>
      <c r="H1783" s="2"/>
      <c r="I1783" s="72" t="str">
        <f>IFERROR(__xludf.DUMMYFUNCTION("""COMPUTED_VALUE"""),"REPAIR - TRACTOR")</f>
        <v>REPAIR - TRACTOR</v>
      </c>
      <c r="J1783" s="72" t="str">
        <f>IFERROR(__xludf.DUMMYFUNCTION("""COMPUTED_VALUE"""),"Transmission - Front Drive")</f>
        <v>Transmission - Front Drive</v>
      </c>
      <c r="K1783" s="72" t="str">
        <f>IFERROR(__xludf.DUMMYFUNCTION("""COMPUTED_VALUE"""),"CFG: problem: Front drive 
hnd pa dw nila kukunin ang dala namin na ring gear assy kasi pag uusapan pa dw nila ung budget. tawag nlng dw sila skin kung bibili na po sila at ipapadala ko nlng dw po. (W/ PICTURE)")</f>
        <v>CFG: problem: Front drive 
hnd pa dw nila kukunin ang dala namin na ring gear assy kasi pag uusapan pa dw nila ung budget. tawag nlng dw sila skin kung bibili na po sila at ipapadala ko nlng dw po. (W/ PICTURE)</v>
      </c>
      <c r="L1783" s="72"/>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c r="AJ1783" s="2" t="str">
        <f>IFERROR(__xludf.DUMMYFUNCTION("""COMPUTED_VALUE"""),"Centro 2")</f>
        <v>Centro 2</v>
      </c>
      <c r="AK1783" s="2" t="str">
        <f>IFERROR(__xludf.DUMMYFUNCTION("""COMPUTED_VALUE"""),"Luna")</f>
        <v>Luna</v>
      </c>
      <c r="AL1783" s="2" t="str">
        <f>IFERROR(__xludf.DUMMYFUNCTION("""COMPUTED_VALUE"""),"Isabela")</f>
        <v>Isabela</v>
      </c>
      <c r="AM1783" s="2">
        <f>IFERROR(__xludf.DUMMYFUNCTION("""COMPUTED_VALUE"""),2.0)</f>
        <v>2</v>
      </c>
      <c r="AN1783" s="2" t="str">
        <f>IFERROR(__xludf.DUMMYFUNCTION("""COMPUTED_VALUE"""),"RCEF 23-09-21 Rebidding")</f>
        <v>RCEF 23-09-21 Rebidding</v>
      </c>
      <c r="AO1783" s="2">
        <f>IFERROR(__xludf.DUMMYFUNCTION("""COMPUTED_VALUE"""),9.0)</f>
        <v>9</v>
      </c>
      <c r="AP1783" s="2"/>
      <c r="AQ1783" s="2"/>
      <c r="AR1783" s="2"/>
      <c r="AS1783" s="2"/>
      <c r="AT1783" s="2"/>
      <c r="AU1783" s="2"/>
      <c r="AV1783" s="2"/>
      <c r="AW1783" s="2"/>
      <c r="AX1783" s="2"/>
      <c r="AY1783" s="2"/>
      <c r="AZ1783" s="2"/>
      <c r="BA1783" s="2"/>
      <c r="BB1783" s="2"/>
    </row>
    <row r="1784">
      <c r="A1784" s="2">
        <f>IFERROR(__xludf.DUMMYFUNCTION("""COMPUTED_VALUE"""),1780.0)</f>
        <v>1780</v>
      </c>
      <c r="B1784" s="2" t="str">
        <f>IFERROR(__xludf.DUMMYFUNCTION("""COMPUTED_VALUE"""),"PENDING")</f>
        <v>PENDING</v>
      </c>
      <c r="C1784" s="78">
        <f>IFERROR(__xludf.DUMMYFUNCTION("""COMPUTED_VALUE"""),46176.0)</f>
        <v>46176</v>
      </c>
      <c r="D1784" s="71" t="str">
        <f>IFERROR(__xludf.DUMMYFUNCTION("""COMPUTED_VALUE"""),"Inabasan Small Farmers Association")</f>
        <v>Inabasan Small Farmers Association</v>
      </c>
      <c r="E1784" s="71" t="str">
        <f>IFERROR(__xludf.DUMMYFUNCTION("""COMPUTED_VALUE"""),"Inabasan, San Jose, ANTIQUE")</f>
        <v>Inabasan, San Jose, ANTIQUE</v>
      </c>
      <c r="F1784" s="2" t="str">
        <f>IFERROR(__xludf.DUMMYFUNCTION("""COMPUTED_VALUE"""),"JOEBERT DANIEL")</f>
        <v>JOEBERT DANIEL</v>
      </c>
      <c r="G1784" s="2">
        <f>IFERROR(__xludf.DUMMYFUNCTION("""COMPUTED_VALUE"""),9.5598788E9)</f>
        <v>9559878800</v>
      </c>
      <c r="H1784" s="2">
        <f>IFERROR(__xludf.DUMMYFUNCTION("""COMPUTED_VALUE"""),564.0)</f>
        <v>564</v>
      </c>
      <c r="I1784" s="72" t="str">
        <f>IFERROR(__xludf.DUMMYFUNCTION("""COMPUTED_VALUE"""),"REPAIR - TRACTOR")</f>
        <v>REPAIR - TRACTOR</v>
      </c>
      <c r="J1784" s="72" t="str">
        <f>IFERROR(__xludf.DUMMYFUNCTION("""COMPUTED_VALUE"""),"PTO - Valve Solenoid")</f>
        <v>PTO - Valve Solenoid</v>
      </c>
      <c r="K1784" s="72" t="str">
        <f>IFERROR(__xludf.DUMMYFUNCTION("""COMPUTED_VALUE"""),"MYK: PTO NOT WORKING  ")</f>
        <v>MYK: PTO NOT WORKING  </v>
      </c>
      <c r="L1784" s="72" t="str">
        <f>IFERROR(__xludf.DUMMYFUNCTION("""COMPUTED_VALUE"""),"RCG: Naka usap ko npo si farmer.pinapa check ko muna yung pto solenoid coil kung working pa.tapos sabi ko balikan ako ng tawag kung ano status.thanks
MYK: FF. CALL")</f>
        <v>RCG: Naka usap ko npo si farmer.pinapa check ko muna yung pto solenoid coil kung working pa.tapos sabi ko balikan ako ng tawag kung ano status.thanks
MYK: FF. CALL</v>
      </c>
      <c r="M1784" s="2"/>
      <c r="N1784" s="2"/>
      <c r="O1784" s="2"/>
      <c r="P1784" s="2"/>
      <c r="Q1784" s="2"/>
      <c r="R1784" s="2"/>
      <c r="S1784" s="2"/>
      <c r="T1784" s="2"/>
      <c r="U1784" s="2"/>
      <c r="V1784" s="2"/>
      <c r="W1784" s="2"/>
      <c r="X1784" s="2"/>
      <c r="Y1784" s="2"/>
      <c r="Z1784" s="2"/>
      <c r="AA1784" s="2"/>
      <c r="AB1784" s="2"/>
      <c r="AC1784" s="2"/>
      <c r="AD1784" s="2"/>
      <c r="AE1784" s="2"/>
      <c r="AF1784" s="2"/>
      <c r="AG1784" s="2"/>
      <c r="AH1784" s="2"/>
      <c r="AI1784" s="2"/>
      <c r="AJ1784" s="2" t="str">
        <f>IFERROR(__xludf.DUMMYFUNCTION("""COMPUTED_VALUE"""),"Inabasan")</f>
        <v>Inabasan</v>
      </c>
      <c r="AK1784" s="2" t="str">
        <f>IFERROR(__xludf.DUMMYFUNCTION("""COMPUTED_VALUE"""),"San Jose")</f>
        <v>San Jose</v>
      </c>
      <c r="AL1784" s="2" t="str">
        <f>IFERROR(__xludf.DUMMYFUNCTION("""COMPUTED_VALUE"""),"Antique")</f>
        <v>Antique</v>
      </c>
      <c r="AM1784" s="2">
        <f>IFERROR(__xludf.DUMMYFUNCTION("""COMPUTED_VALUE"""),6.0)</f>
        <v>6</v>
      </c>
      <c r="AN1784" s="2" t="str">
        <f>IFERROR(__xludf.DUMMYFUNCTION("""COMPUTED_VALUE"""),"RCEF 23-09-21 Rebidding")</f>
        <v>RCEF 23-09-21 Rebidding</v>
      </c>
      <c r="AO1784" s="2">
        <f>IFERROR(__xludf.DUMMYFUNCTION("""COMPUTED_VALUE"""),4.0)</f>
        <v>4</v>
      </c>
      <c r="AP1784" s="2"/>
      <c r="AQ1784" s="2"/>
      <c r="AR1784" s="2"/>
      <c r="AS1784" s="2"/>
      <c r="AT1784" s="2"/>
      <c r="AU1784" s="2"/>
      <c r="AV1784" s="2"/>
      <c r="AW1784" s="2"/>
      <c r="AX1784" s="2"/>
      <c r="AY1784" s="2"/>
      <c r="AZ1784" s="2"/>
      <c r="BA1784" s="2"/>
      <c r="BB1784" s="2"/>
    </row>
    <row r="1785">
      <c r="A1785" s="2">
        <f>IFERROR(__xludf.DUMMYFUNCTION("""COMPUTED_VALUE"""),1781.0)</f>
        <v>1781</v>
      </c>
      <c r="B1785" s="2" t="str">
        <f>IFERROR(__xludf.DUMMYFUNCTION("""COMPUTED_VALUE"""),"PENDING")</f>
        <v>PENDING</v>
      </c>
      <c r="C1785" s="78">
        <f>IFERROR(__xludf.DUMMYFUNCTION("""COMPUTED_VALUE"""),46176.0)</f>
        <v>46176</v>
      </c>
      <c r="D1785" s="71" t="str">
        <f>IFERROR(__xludf.DUMMYFUNCTION("""COMPUTED_VALUE"""),"MAVALOR FARMERS ASSOCIATION")</f>
        <v>MAVALOR FARMERS ASSOCIATION</v>
      </c>
      <c r="E1785" s="71" t="str">
        <f>IFERROR(__xludf.DUMMYFUNCTION("""COMPUTED_VALUE"""),"Mavalor, Rosario, BATANGAS")</f>
        <v>Mavalor, Rosario, BATANGAS</v>
      </c>
      <c r="F1785" s="2" t="str">
        <f>IFERROR(__xludf.DUMMYFUNCTION("""COMPUTED_VALUE"""),"Alvin Virtucio")</f>
        <v>Alvin Virtucio</v>
      </c>
      <c r="G1785" s="2">
        <f>IFERROR(__xludf.DUMMYFUNCTION("""COMPUTED_VALUE"""),9.474349301E9)</f>
        <v>9474349301</v>
      </c>
      <c r="H1785" s="2">
        <f>IFERROR(__xludf.DUMMYFUNCTION("""COMPUTED_VALUE"""),84.0)</f>
        <v>84</v>
      </c>
      <c r="I1785" s="72" t="str">
        <f>IFERROR(__xludf.DUMMYFUNCTION("""COMPUTED_VALUE"""),"REPAIR - LOADER")</f>
        <v>REPAIR - LOADER</v>
      </c>
      <c r="J1785" s="72" t="str">
        <f>IFERROR(__xludf.DUMMYFUNCTION("""COMPUTED_VALUE"""),"LOADER")</f>
        <v>LOADER</v>
      </c>
      <c r="K1785" s="72" t="str">
        <f>IFERROR(__xludf.DUMMYFUNCTION("""COMPUTED_VALUE"""),"RBS: Concerns/Requests: natangal ang disc plow at di uli nagana ang joystick ng loader
Maraming Salamat!
Kung ppede po dw mapapuntahan agad at nagooperation po UNG unit kaylangan maayos dw po agaf..")</f>
        <v>RBS: Concerns/Requests: natangal ang disc plow at di uli nagana ang joystick ng loader
Maraming Salamat!
Kung ppede po dw mapapuntahan agad at nagooperation po UNG unit kaylangan maayos dw po agaf..</v>
      </c>
      <c r="L1785" s="72"/>
      <c r="M1785" s="2" t="str">
        <f>IFERROR(__xludf.DUMMYFUNCTION("""COMPUTED_VALUE"""),"CABLE LOCK")</f>
        <v>CABLE LOCK</v>
      </c>
      <c r="N1785" s="2"/>
      <c r="O1785" s="2"/>
      <c r="P1785" s="2"/>
      <c r="Q1785" s="2"/>
      <c r="R1785" s="2"/>
      <c r="S1785" s="2"/>
      <c r="T1785" s="2"/>
      <c r="U1785" s="2"/>
      <c r="V1785" s="2"/>
      <c r="W1785" s="2"/>
      <c r="X1785" s="2"/>
      <c r="Y1785" s="2"/>
      <c r="Z1785" s="2"/>
      <c r="AA1785" s="2"/>
      <c r="AB1785" s="2"/>
      <c r="AC1785" s="2"/>
      <c r="AD1785" s="2"/>
      <c r="AE1785" s="2"/>
      <c r="AF1785" s="2"/>
      <c r="AG1785" s="2"/>
      <c r="AH1785" s="2"/>
      <c r="AI1785" s="2"/>
      <c r="AJ1785" s="2" t="str">
        <f>IFERROR(__xludf.DUMMYFUNCTION("""COMPUTED_VALUE"""),"Mavalor")</f>
        <v>Mavalor</v>
      </c>
      <c r="AK1785" s="2" t="str">
        <f>IFERROR(__xludf.DUMMYFUNCTION("""COMPUTED_VALUE"""),"Rosario")</f>
        <v>Rosario</v>
      </c>
      <c r="AL1785" s="2" t="str">
        <f>IFERROR(__xludf.DUMMYFUNCTION("""COMPUTED_VALUE"""),"Batangas")</f>
        <v>Batangas</v>
      </c>
      <c r="AM1785" s="2" t="str">
        <f>IFERROR(__xludf.DUMMYFUNCTION("""COMPUTED_VALUE"""),"4A")</f>
        <v>4A</v>
      </c>
      <c r="AN1785" s="2" t="str">
        <f>IFERROR(__xludf.DUMMYFUNCTION("""COMPUTED_VALUE"""),"RCEF 25-03-05")</f>
        <v>RCEF 25-03-05</v>
      </c>
      <c r="AO1785" s="2">
        <f>IFERROR(__xludf.DUMMYFUNCTION("""COMPUTED_VALUE"""),7.0)</f>
        <v>7</v>
      </c>
      <c r="AP1785" s="2" t="str">
        <f>IFERROR(__xludf.DUMMYFUNCTION("""COMPUTED_VALUE"""),"FREE PMS")</f>
        <v>FREE PMS</v>
      </c>
      <c r="AQ1785" s="2"/>
      <c r="AR1785" s="2"/>
      <c r="AS1785" s="2"/>
      <c r="AT1785" s="2"/>
      <c r="AU1785" s="2"/>
      <c r="AV1785" s="2"/>
      <c r="AW1785" s="2"/>
      <c r="AX1785" s="2"/>
      <c r="AY1785" s="2"/>
      <c r="AZ1785" s="2"/>
      <c r="BA1785" s="2"/>
      <c r="BB1785" s="2"/>
    </row>
    <row r="1786">
      <c r="A1786" s="2">
        <f>IFERROR(__xludf.DUMMYFUNCTION("""COMPUTED_VALUE"""),1782.0)</f>
        <v>1782</v>
      </c>
      <c r="B1786" s="2" t="str">
        <f>IFERROR(__xludf.DUMMYFUNCTION("""COMPUTED_VALUE"""),"PENDING")</f>
        <v>PENDING</v>
      </c>
      <c r="C1786" s="78">
        <f>IFERROR(__xludf.DUMMYFUNCTION("""COMPUTED_VALUE"""),46177.0)</f>
        <v>46177</v>
      </c>
      <c r="D1786" s="71" t="str">
        <f>IFERROR(__xludf.DUMMYFUNCTION("""COMPUTED_VALUE"""),"PD Monfort North Irrigators' Association, Inc.")</f>
        <v>PD Monfort North Irrigators' Association, Inc.</v>
      </c>
      <c r="E1786" s="71" t="str">
        <f>IFERROR(__xludf.DUMMYFUNCTION("""COMPUTED_VALUE"""),"Pd Monfort North (Lublub), Dumangas, ILOILO")</f>
        <v>Pd Monfort North (Lublub), Dumangas, ILOILO</v>
      </c>
      <c r="F1786" s="2" t="str">
        <f>IFERROR(__xludf.DUMMYFUNCTION("""COMPUTED_VALUE"""),"THELMA ESTOCADA")</f>
        <v>THELMA ESTOCADA</v>
      </c>
      <c r="G1786" s="2">
        <f>IFERROR(__xludf.DUMMYFUNCTION("""COMPUTED_VALUE"""),9.304950624E9)</f>
        <v>9304950624</v>
      </c>
      <c r="H1786" s="2">
        <f>IFERROR(__xludf.DUMMYFUNCTION("""COMPUTED_VALUE"""),45.0)</f>
        <v>45</v>
      </c>
      <c r="I1786" s="72" t="str">
        <f>IFERROR(__xludf.DUMMYFUNCTION("""COMPUTED_VALUE"""),"PMS")</f>
        <v>PMS</v>
      </c>
      <c r="J1786" s="72" t="str">
        <f>IFERROR(__xludf.DUMMYFUNCTION("""COMPUTED_VALUE"""),"PMS")</f>
        <v>PMS</v>
      </c>
      <c r="K1786" s="72" t="str">
        <f>IFERROR(__xludf.DUMMYFUNCTION("""COMPUTED_VALUE"""),"MYK: 1ST PMS FREE")</f>
        <v>MYK: 1ST PMS FREE</v>
      </c>
      <c r="L1786" s="72"/>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c r="AJ1786" s="2" t="str">
        <f>IFERROR(__xludf.DUMMYFUNCTION("""COMPUTED_VALUE"""),"Pd Monfort North (Lublub)")</f>
        <v>Pd Monfort North (Lublub)</v>
      </c>
      <c r="AK1786" s="2" t="str">
        <f>IFERROR(__xludf.DUMMYFUNCTION("""COMPUTED_VALUE"""),"Dumangas")</f>
        <v>Dumangas</v>
      </c>
      <c r="AL1786" s="2" t="str">
        <f>IFERROR(__xludf.DUMMYFUNCTION("""COMPUTED_VALUE"""),"Iloilo")</f>
        <v>Iloilo</v>
      </c>
      <c r="AM1786" s="2">
        <f>IFERROR(__xludf.DUMMYFUNCTION("""COMPUTED_VALUE"""),6.0)</f>
        <v>6</v>
      </c>
      <c r="AN1786" s="2" t="str">
        <f>IFERROR(__xludf.DUMMYFUNCTION("""COMPUTED_VALUE"""),"RCEF 25-03-05")</f>
        <v>RCEF 25-03-05</v>
      </c>
      <c r="AO1786" s="2">
        <f>IFERROR(__xludf.DUMMYFUNCTION("""COMPUTED_VALUE"""),7.0)</f>
        <v>7</v>
      </c>
      <c r="AP1786" s="2" t="str">
        <f>IFERROR(__xludf.DUMMYFUNCTION("""COMPUTED_VALUE"""),"FREE PMS")</f>
        <v>FREE PMS</v>
      </c>
      <c r="AQ1786" s="2"/>
      <c r="AR1786" s="2"/>
      <c r="AS1786" s="2"/>
      <c r="AT1786" s="2"/>
      <c r="AU1786" s="2"/>
      <c r="AV1786" s="2"/>
      <c r="AW1786" s="2"/>
      <c r="AX1786" s="2"/>
      <c r="AY1786" s="2"/>
      <c r="AZ1786" s="2"/>
      <c r="BA1786" s="2"/>
      <c r="BB1786" s="2"/>
    </row>
    <row r="1787">
      <c r="A1787" s="2">
        <f>IFERROR(__xludf.DUMMYFUNCTION("""COMPUTED_VALUE"""),1783.0)</f>
        <v>1783</v>
      </c>
      <c r="B1787" s="2" t="str">
        <f>IFERROR(__xludf.DUMMYFUNCTION("""COMPUTED_VALUE"""),"COMPLETED")</f>
        <v>COMPLETED</v>
      </c>
      <c r="C1787" s="78">
        <f>IFERROR(__xludf.DUMMYFUNCTION("""COMPUTED_VALUE"""),46177.0)</f>
        <v>46177</v>
      </c>
      <c r="D1787" s="71" t="str">
        <f>IFERROR(__xludf.DUMMYFUNCTION("""COMPUTED_VALUE"""),"DAUHAN-ALATIN IRRIGATORS ASSOCIATION, INC.")</f>
        <v>DAUHAN-ALATIN IRRIGATORS ASSOCIATION, INC.</v>
      </c>
      <c r="E1787" s="71" t="str">
        <f>IFERROR(__xludf.DUMMYFUNCTION("""COMPUTED_VALUE"""),"Lumangbayan, Abra de Ilog, OCCIDENTAL MINDORO")</f>
        <v>Lumangbayan, Abra de Ilog, OCCIDENTAL MINDORO</v>
      </c>
      <c r="F1787" s="2" t="str">
        <f>IFERROR(__xludf.DUMMYFUNCTION("""COMPUTED_VALUE"""),"Ma'am Anastacia De Guzman")</f>
        <v>Ma'am Anastacia De Guzman</v>
      </c>
      <c r="G1787" s="2" t="str">
        <f>IFERROR(__xludf.DUMMYFUNCTION("""COMPUTED_VALUE"""),"0905 620 5370")</f>
        <v>0905 620 5370</v>
      </c>
      <c r="H1787" s="2"/>
      <c r="I1787" s="72" t="str">
        <f>IFERROR(__xludf.DUMMYFUNCTION("""COMPUTED_VALUE"""),"REPAIR - ROTAVATOR")</f>
        <v>REPAIR - ROTAVATOR</v>
      </c>
      <c r="J1787" s="72"/>
      <c r="K1787" s="72" t="str">
        <f>IFERROR(__xludf.DUMMYFUNCTION("""COMPUTED_VALUE"""),"KFS: Sir good morning po,
may concern lang po ang recepient natin, hindi daw po umaandar ang Rotavator.
marequest ko lang po na maassist salamat po.")</f>
        <v>KFS: Sir good morning po,
may concern lang po ang recepient natin, hindi daw po umaandar ang Rotavator.
marequest ko lang po na maassist salamat po.</v>
      </c>
      <c r="L1787" s="72" t="str">
        <f>IFERROR(__xludf.DUMMYFUNCTION("""COMPUTED_VALUE"""),"RCG: Natawagan ko na sir.ok na daw po.lowbat lng daw yung battery kaya hindi umandar yung traktora.")</f>
        <v>RCG: Natawagan ko na sir.ok na daw po.lowbat lng daw yung battery kaya hindi umandar yung traktora.</v>
      </c>
      <c r="M1787" s="2"/>
      <c r="N1787" s="2"/>
      <c r="O1787" s="2" t="str">
        <f>IFERROR(__xludf.DUMMYFUNCTION("""COMPUTED_VALUE"""),"N/A")</f>
        <v>N/A</v>
      </c>
      <c r="P1787" s="2"/>
      <c r="Q1787" s="2"/>
      <c r="R1787" s="74">
        <f>IFERROR(__xludf.DUMMYFUNCTION("""COMPUTED_VALUE"""),46177.0)</f>
        <v>46177</v>
      </c>
      <c r="S1787" s="2" t="str">
        <f>IFERROR(__xludf.DUMMYFUNCTION("""COMPUTED_VALUE"""),"RCG")</f>
        <v>RCG</v>
      </c>
      <c r="T1787" s="73" t="str">
        <f>IFERROR(__xludf.DUMMYFUNCTION("""COMPUTED_VALUE""")," N/A ")</f>
        <v>N/A</v>
      </c>
      <c r="U1787" s="73" t="str">
        <f>IFERROR(__xludf.DUMMYFUNCTION("""COMPUTED_VALUE""")," NO CHARGE ")</f>
        <v>NO CHARGE</v>
      </c>
      <c r="V1787" s="2" t="str">
        <f>IFERROR(__xludf.DUMMYFUNCTION("""COMPUTED_VALUE"""),"N/A")</f>
        <v>N/A</v>
      </c>
      <c r="W1787" s="2" t="str">
        <f>IFERROR(__xludf.DUMMYFUNCTION("""COMPUTED_VALUE"""),"N/A")</f>
        <v>N/A</v>
      </c>
      <c r="X1787" s="2" t="str">
        <f>IFERROR(__xludf.DUMMYFUNCTION("""COMPUTED_VALUE"""),"N/A")</f>
        <v>N/A</v>
      </c>
      <c r="Y1787" s="2"/>
      <c r="Z1787" s="2"/>
      <c r="AA1787" s="2"/>
      <c r="AB1787" s="2"/>
      <c r="AC1787" s="2"/>
      <c r="AD1787" s="2"/>
      <c r="AE1787" s="2"/>
      <c r="AF1787" s="2"/>
      <c r="AG1787" s="2"/>
      <c r="AH1787" s="2"/>
      <c r="AI1787" s="2"/>
      <c r="AJ1787" s="2" t="str">
        <f>IFERROR(__xludf.DUMMYFUNCTION("""COMPUTED_VALUE"""),"Lumangbayan")</f>
        <v>Lumangbayan</v>
      </c>
      <c r="AK1787" s="2" t="str">
        <f>IFERROR(__xludf.DUMMYFUNCTION("""COMPUTED_VALUE"""),"Abra De Ilog")</f>
        <v>Abra De Ilog</v>
      </c>
      <c r="AL1787" s="2" t="str">
        <f>IFERROR(__xludf.DUMMYFUNCTION("""COMPUTED_VALUE"""),"Occidental Mindoro")</f>
        <v>Occidental Mindoro</v>
      </c>
      <c r="AM1787" s="2" t="str">
        <f>IFERROR(__xludf.DUMMYFUNCTION("""COMPUTED_VALUE"""),"4B")</f>
        <v>4B</v>
      </c>
      <c r="AN1787" s="2" t="str">
        <f>IFERROR(__xludf.DUMMYFUNCTION("""COMPUTED_VALUE"""),"RCEF 25-03-05")</f>
        <v>RCEF 25-03-05</v>
      </c>
      <c r="AO1787" s="2">
        <f>IFERROR(__xludf.DUMMYFUNCTION("""COMPUTED_VALUE"""),6.0)</f>
        <v>6</v>
      </c>
      <c r="AP1787" s="2" t="str">
        <f>IFERROR(__xludf.DUMMYFUNCTION("""COMPUTED_VALUE"""),"FREE PMS")</f>
        <v>FREE PMS</v>
      </c>
      <c r="AQ1787" s="2"/>
      <c r="AR1787" s="2"/>
      <c r="AS1787" s="2"/>
      <c r="AT1787" s="2"/>
      <c r="AU1787" s="2"/>
      <c r="AV1787" s="2"/>
      <c r="AW1787" s="2"/>
      <c r="AX1787" s="2"/>
      <c r="AY1787" s="2"/>
      <c r="AZ1787" s="2"/>
      <c r="BA1787" s="2"/>
      <c r="BB1787" s="2"/>
    </row>
    <row r="1788">
      <c r="A1788" s="2">
        <f>IFERROR(__xludf.DUMMYFUNCTION("""COMPUTED_VALUE"""),1784.0)</f>
        <v>1784</v>
      </c>
      <c r="B1788" s="2" t="str">
        <f>IFERROR(__xludf.DUMMYFUNCTION("""COMPUTED_VALUE"""),"PENDING")</f>
        <v>PENDING</v>
      </c>
      <c r="C1788" s="78">
        <f>IFERROR(__xludf.DUMMYFUNCTION("""COMPUTED_VALUE"""),46177.0)</f>
        <v>46177</v>
      </c>
      <c r="D1788" s="71" t="str">
        <f>IFERROR(__xludf.DUMMYFUNCTION("""COMPUTED_VALUE"""),"LACAPA Irrigators' Association, Inc.")</f>
        <v>LACAPA Irrigators' Association, Inc.</v>
      </c>
      <c r="E1788" s="71" t="str">
        <f>IFERROR(__xludf.DUMMYFUNCTION("""COMPUTED_VALUE"""),"Lacaron, Valladolid, NEGROS OCCIDENTAL")</f>
        <v>Lacaron, Valladolid, NEGROS OCCIDENTAL</v>
      </c>
      <c r="F1788" s="2" t="str">
        <f>IFERROR(__xludf.DUMMYFUNCTION("""COMPUTED_VALUE"""),"Joseph Octiva")</f>
        <v>Joseph Octiva</v>
      </c>
      <c r="G1788" s="2">
        <f>IFERROR(__xludf.DUMMYFUNCTION("""COMPUTED_VALUE"""),9.630830532E9)</f>
        <v>9630830532</v>
      </c>
      <c r="H1788" s="2">
        <f>IFERROR(__xludf.DUMMYFUNCTION("""COMPUTED_VALUE"""),165.0)</f>
        <v>165</v>
      </c>
      <c r="I1788" s="72" t="str">
        <f>IFERROR(__xludf.DUMMYFUNCTION("""COMPUTED_VALUE"""),"PMS")</f>
        <v>PMS</v>
      </c>
      <c r="J1788" s="72" t="str">
        <f>IFERROR(__xludf.DUMMYFUNCTION("""COMPUTED_VALUE"""),"PMS")</f>
        <v>PMS</v>
      </c>
      <c r="K1788" s="72" t="str">
        <f>IFERROR(__xludf.DUMMYFUNCTION("""COMPUTED_VALUE"""),"LTC CS: Request for change oil")</f>
        <v>LTC CS: Request for change oil</v>
      </c>
      <c r="L1788" s="72"/>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c r="AJ1788" s="2" t="str">
        <f>IFERROR(__xludf.DUMMYFUNCTION("""COMPUTED_VALUE"""),"Lacaron")</f>
        <v>Lacaron</v>
      </c>
      <c r="AK1788" s="2" t="str">
        <f>IFERROR(__xludf.DUMMYFUNCTION("""COMPUTED_VALUE"""),"Valladolid")</f>
        <v>Valladolid</v>
      </c>
      <c r="AL1788" s="2" t="str">
        <f>IFERROR(__xludf.DUMMYFUNCTION("""COMPUTED_VALUE"""),"Negros Occidental")</f>
        <v>Negros Occidental</v>
      </c>
      <c r="AM1788" s="2">
        <f>IFERROR(__xludf.DUMMYFUNCTION("""COMPUTED_VALUE"""),6.0)</f>
        <v>6</v>
      </c>
      <c r="AN1788" s="2" t="str">
        <f>IFERROR(__xludf.DUMMYFUNCTION("""COMPUTED_VALUE"""),"RCEF 25-03-05")</f>
        <v>RCEF 25-03-05</v>
      </c>
      <c r="AO1788" s="2">
        <f>IFERROR(__xludf.DUMMYFUNCTION("""COMPUTED_VALUE"""),7.0)</f>
        <v>7</v>
      </c>
      <c r="AP1788" s="2" t="str">
        <f>IFERROR(__xludf.DUMMYFUNCTION("""COMPUTED_VALUE"""),"FREE PMS")</f>
        <v>FREE PMS</v>
      </c>
      <c r="AQ1788" s="2"/>
      <c r="AR1788" s="2"/>
      <c r="AS1788" s="2"/>
      <c r="AT1788" s="2"/>
      <c r="AU1788" s="2"/>
      <c r="AV1788" s="2"/>
      <c r="AW1788" s="2"/>
      <c r="AX1788" s="2"/>
      <c r="AY1788" s="2"/>
      <c r="AZ1788" s="2"/>
      <c r="BA1788" s="2"/>
      <c r="BB1788" s="2"/>
    </row>
    <row r="1789">
      <c r="A1789" s="2">
        <f>IFERROR(__xludf.DUMMYFUNCTION("""COMPUTED_VALUE"""),1785.0)</f>
        <v>1785</v>
      </c>
      <c r="B1789" s="2" t="str">
        <f>IFERROR(__xludf.DUMMYFUNCTION("""COMPUTED_VALUE"""),"PENDING")</f>
        <v>PENDING</v>
      </c>
      <c r="C1789" s="78">
        <f>IFERROR(__xludf.DUMMYFUNCTION("""COMPUTED_VALUE"""),46177.0)</f>
        <v>46177</v>
      </c>
      <c r="D1789" s="71" t="str">
        <f>IFERROR(__xludf.DUMMYFUNCTION("""COMPUTED_VALUE"""),"Lacbama Hills Irrigators' Association, Inc.")</f>
        <v>Lacbama Hills Irrigators' Association, Inc.</v>
      </c>
      <c r="E1789" s="71" t="str">
        <f>IFERROR(__xludf.DUMMYFUNCTION("""COMPUTED_VALUE"""),"Dulao, Bago City, NEGROS OCCIDENTAL")</f>
        <v>Dulao, Bago City, NEGROS OCCIDENTAL</v>
      </c>
      <c r="F1789" s="2" t="str">
        <f>IFERROR(__xludf.DUMMYFUNCTION("""COMPUTED_VALUE"""),"JULITO CONSAT")</f>
        <v>JULITO CONSAT</v>
      </c>
      <c r="G1789" s="2">
        <f>IFERROR(__xludf.DUMMYFUNCTION("""COMPUTED_VALUE"""),9.708022967E9)</f>
        <v>9708022967</v>
      </c>
      <c r="H1789" s="2">
        <f>IFERROR(__xludf.DUMMYFUNCTION("""COMPUTED_VALUE"""),52.0)</f>
        <v>52</v>
      </c>
      <c r="I1789" s="72" t="str">
        <f>IFERROR(__xludf.DUMMYFUNCTION("""COMPUTED_VALUE"""),"PMS")</f>
        <v>PMS</v>
      </c>
      <c r="J1789" s="72" t="str">
        <f>IFERROR(__xludf.DUMMYFUNCTION("""COMPUTED_VALUE"""),"PMS")</f>
        <v>PMS</v>
      </c>
      <c r="K1789" s="72" t="str">
        <f>IFERROR(__xludf.DUMMYFUNCTION("""COMPUTED_VALUE"""),"MYK: 1ST PMS FREE")</f>
        <v>MYK: 1ST PMS FREE</v>
      </c>
      <c r="L1789" s="72"/>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c r="AJ1789" s="2" t="str">
        <f>IFERROR(__xludf.DUMMYFUNCTION("""COMPUTED_VALUE"""),"Dulao")</f>
        <v>Dulao</v>
      </c>
      <c r="AK1789" s="2" t="str">
        <f>IFERROR(__xludf.DUMMYFUNCTION("""COMPUTED_VALUE"""),"Bago City")</f>
        <v>Bago City</v>
      </c>
      <c r="AL1789" s="2" t="str">
        <f>IFERROR(__xludf.DUMMYFUNCTION("""COMPUTED_VALUE"""),"Negros Occidental")</f>
        <v>Negros Occidental</v>
      </c>
      <c r="AM1789" s="2">
        <f>IFERROR(__xludf.DUMMYFUNCTION("""COMPUTED_VALUE"""),6.0)</f>
        <v>6</v>
      </c>
      <c r="AN1789" s="2" t="str">
        <f>IFERROR(__xludf.DUMMYFUNCTION("""COMPUTED_VALUE"""),"RCEF 25-03-05")</f>
        <v>RCEF 25-03-05</v>
      </c>
      <c r="AO1789" s="2">
        <f>IFERROR(__xludf.DUMMYFUNCTION("""COMPUTED_VALUE"""),7.0)</f>
        <v>7</v>
      </c>
      <c r="AP1789" s="2" t="str">
        <f>IFERROR(__xludf.DUMMYFUNCTION("""COMPUTED_VALUE"""),"FREE PMS")</f>
        <v>FREE PMS</v>
      </c>
      <c r="AQ1789" s="2"/>
      <c r="AR1789" s="2"/>
      <c r="AS1789" s="2"/>
      <c r="AT1789" s="2"/>
      <c r="AU1789" s="2"/>
      <c r="AV1789" s="2"/>
      <c r="AW1789" s="2"/>
      <c r="AX1789" s="2"/>
      <c r="AY1789" s="2"/>
      <c r="AZ1789" s="2"/>
      <c r="BA1789" s="2"/>
      <c r="BB1789" s="2"/>
    </row>
    <row r="1790">
      <c r="A1790" s="2">
        <f>IFERROR(__xludf.DUMMYFUNCTION("""COMPUTED_VALUE"""),1786.0)</f>
        <v>1786</v>
      </c>
      <c r="B1790" s="2" t="str">
        <f>IFERROR(__xludf.DUMMYFUNCTION("""COMPUTED_VALUE"""),"PENDING")</f>
        <v>PENDING</v>
      </c>
      <c r="C1790" s="78">
        <f>IFERROR(__xludf.DUMMYFUNCTION("""COMPUTED_VALUE"""),46177.0)</f>
        <v>46177</v>
      </c>
      <c r="D1790" s="71" t="str">
        <f>IFERROR(__xludf.DUMMYFUNCTION("""COMPUTED_VALUE"""),"TINAGO DIVINO ROSTRO FARMERS ASSOCIATION (TIDIROFA)")</f>
        <v>TINAGO DIVINO ROSTRO FARMERS ASSOCIATION (TIDIROFA)</v>
      </c>
      <c r="E1790" s="71" t="str">
        <f>IFERROR(__xludf.DUMMYFUNCTION("""COMPUTED_VALUE"""),"Tinago, Ligao City, ALBAY")</f>
        <v>Tinago, Ligao City, ALBAY</v>
      </c>
      <c r="F1790" s="2" t="str">
        <f>IFERROR(__xludf.DUMMYFUNCTION("""COMPUTED_VALUE"""),"Mrs Barnuevo")</f>
        <v>Mrs Barnuevo</v>
      </c>
      <c r="G1790" s="2" t="str">
        <f>IFERROR(__xludf.DUMMYFUNCTION("""COMPUTED_VALUE"""),"(0977) 387 4243")</f>
        <v>(0977) 387 4243</v>
      </c>
      <c r="H1790" s="2"/>
      <c r="I1790" s="72" t="str">
        <f>IFERROR(__xludf.DUMMYFUNCTION("""COMPUTED_VALUE"""),"REPAIR - ROTAVATOR")</f>
        <v>REPAIR - ROTAVATOR</v>
      </c>
      <c r="J1790" s="72"/>
      <c r="K1790" s="72" t="str">
        <f>IFERROR(__xludf.DUMMYFUNCTION("""COMPUTED_VALUE"""),"KFS: Sir yung tractor ma TYM mi po na tig deliver nyo sa amin, nagka problema po.
Yung manibela po matigas, mahirap ikabig pakaliwa, at yung implement na rotavator, nahirapan po ang pagtaas- baba po.
Pinatingnan namin ni Sir Carlo ng DA-LGU-Ligao City, pr"&amp;"oblema daw po Hydrolic Filter, need daw po palitan.. kaso wala po kami nahanap na ganun sa TYM o kapareha man lang.
Meron po kayo Sir , stock na iyon?
salamat")</f>
        <v>KFS: Sir yung tractor ma TYM mi po na tig deliver nyo sa amin, nagka problema po.
Yung manibela po matigas, mahirap ikabig pakaliwa, at yung implement na rotavator, nahirapan po ang pagtaas- baba po.
Pinatingnan namin ni Sir Carlo ng DA-LGU-Ligao City, problema daw po Hydrolic Filter, need daw po palitan.. kaso wala po kami nahanap na ganun sa TYM o kapareha man lang.
Meron po kayo Sir , stock na iyon?
salamat</v>
      </c>
      <c r="L1790" s="72"/>
      <c r="M1790" s="2" t="str">
        <f>IFERROR(__xludf.DUMMYFUNCTION("""COMPUTED_VALUE"""),"HYDRAULIC FILTER")</f>
        <v>HYDRAULIC FILTER</v>
      </c>
      <c r="N1790" s="2"/>
      <c r="O1790" s="2"/>
      <c r="P1790" s="2"/>
      <c r="Q1790" s="2"/>
      <c r="R1790" s="2"/>
      <c r="S1790" s="2"/>
      <c r="T1790" s="2"/>
      <c r="U1790" s="2"/>
      <c r="V1790" s="2"/>
      <c r="W1790" s="2"/>
      <c r="X1790" s="2"/>
      <c r="Y1790" s="2"/>
      <c r="Z1790" s="2"/>
      <c r="AA1790" s="2"/>
      <c r="AB1790" s="2"/>
      <c r="AC1790" s="2"/>
      <c r="AD1790" s="2"/>
      <c r="AE1790" s="2"/>
      <c r="AF1790" s="2"/>
      <c r="AG1790" s="2"/>
      <c r="AH1790" s="2"/>
      <c r="AI1790" s="2"/>
      <c r="AJ1790" s="2" t="str">
        <f>IFERROR(__xludf.DUMMYFUNCTION("""COMPUTED_VALUE"""),"Tinago")</f>
        <v>Tinago</v>
      </c>
      <c r="AK1790" s="2" t="str">
        <f>IFERROR(__xludf.DUMMYFUNCTION("""COMPUTED_VALUE"""),"Ligao City")</f>
        <v>Ligao City</v>
      </c>
      <c r="AL1790" s="2" t="str">
        <f>IFERROR(__xludf.DUMMYFUNCTION("""COMPUTED_VALUE"""),"Albay")</f>
        <v>Albay</v>
      </c>
      <c r="AM1790" s="2">
        <f>IFERROR(__xludf.DUMMYFUNCTION("""COMPUTED_VALUE"""),5.0)</f>
        <v>5</v>
      </c>
      <c r="AN1790" s="2" t="str">
        <f>IFERROR(__xludf.DUMMYFUNCTION("""COMPUTED_VALUE"""),"RCEF 24-04-15")</f>
        <v>RCEF 24-04-15</v>
      </c>
      <c r="AO1790" s="2">
        <f>IFERROR(__xludf.DUMMYFUNCTION("""COMPUTED_VALUE"""),7.0)</f>
        <v>7</v>
      </c>
      <c r="AP1790" s="2" t="str">
        <f>IFERROR(__xludf.DUMMYFUNCTION("""COMPUTED_VALUE"""),"FREE PMS")</f>
        <v>FREE PMS</v>
      </c>
      <c r="AQ1790" s="2"/>
      <c r="AR1790" s="2"/>
      <c r="AS1790" s="2"/>
      <c r="AT1790" s="2"/>
      <c r="AU1790" s="2"/>
      <c r="AV1790" s="2"/>
      <c r="AW1790" s="2"/>
      <c r="AX1790" s="2"/>
      <c r="AY1790" s="2"/>
      <c r="AZ1790" s="2"/>
      <c r="BA1790" s="2"/>
      <c r="BB1790" s="2"/>
    </row>
    <row r="1791">
      <c r="A1791" s="2">
        <f>IFERROR(__xludf.DUMMYFUNCTION("""COMPUTED_VALUE"""),1787.0)</f>
        <v>1787</v>
      </c>
      <c r="B1791" s="2" t="str">
        <f>IFERROR(__xludf.DUMMYFUNCTION("""COMPUTED_VALUE"""),"PENDING")</f>
        <v>PENDING</v>
      </c>
      <c r="C1791" s="78">
        <f>IFERROR(__xludf.DUMMYFUNCTION("""COMPUTED_VALUE"""),46177.0)</f>
        <v>46177</v>
      </c>
      <c r="D1791" s="71" t="str">
        <f>IFERROR(__xludf.DUMMYFUNCTION("""COMPUTED_VALUE"""),"Casantacruzan Mabangcal Farmers Association")</f>
        <v>Casantacruzan Mabangcal Farmers Association</v>
      </c>
      <c r="E1791" s="71" t="str">
        <f>IFERROR(__xludf.DUMMYFUNCTION("""COMPUTED_VALUE"""),"Beddeng, San Narciso, ZAMBALES")</f>
        <v>Beddeng, San Narciso, ZAMBALES</v>
      </c>
      <c r="F1791" s="2" t="str">
        <f>IFERROR(__xludf.DUMMYFUNCTION("""COMPUTED_VALUE"""),"Loreto Bernardino")</f>
        <v>Loreto Bernardino</v>
      </c>
      <c r="G1791" s="2">
        <f>IFERROR(__xludf.DUMMYFUNCTION("""COMPUTED_VALUE"""),9.305219193E9)</f>
        <v>9305219193</v>
      </c>
      <c r="H1791" s="2">
        <f>IFERROR(__xludf.DUMMYFUNCTION("""COMPUTED_VALUE"""),118.0)</f>
        <v>118</v>
      </c>
      <c r="I1791" s="72" t="str">
        <f>IFERROR(__xludf.DUMMYFUNCTION("""COMPUTED_VALUE"""),"REPAIR - TRACTOR")</f>
        <v>REPAIR - TRACTOR</v>
      </c>
      <c r="J1791" s="72" t="str">
        <f>IFERROR(__xludf.DUMMYFUNCTION("""COMPUTED_VALUE"""),"Engine - Overhaul")</f>
        <v>Engine - Overhaul</v>
      </c>
      <c r="K1791" s="72" t="str">
        <f>IFERROR(__xludf.DUMMYFUNCTION("""COMPUTED_VALUE"""),"MYK:  UMUSOK ANG TRACTOR- PUTI AT BLUE LUMABAS NA USOK  SA EXHAUST")</f>
        <v>MYK:  UMUSOK ANG TRACTOR- PUTI AT BLUE LUMABAS NA USOK  SA EXHAUST</v>
      </c>
      <c r="L1791" s="72" t="str">
        <f>IFERROR(__xludf.DUMMYFUNCTION("""COMPUTED_VALUE"""),"MYK: CALL -  NAG BABAWAS NG LANGIS AS PER FARMER
JHP: OVERHAUL")</f>
        <v>MYK: CALL -  NAG BABAWAS NG LANGIS AS PER FARMER
JHP: OVERHAUL</v>
      </c>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c r="AJ1791" s="2" t="str">
        <f>IFERROR(__xludf.DUMMYFUNCTION("""COMPUTED_VALUE"""),"Beddeng")</f>
        <v>Beddeng</v>
      </c>
      <c r="AK1791" s="2" t="str">
        <f>IFERROR(__xludf.DUMMYFUNCTION("""COMPUTED_VALUE"""),"San Narciso")</f>
        <v>San Narciso</v>
      </c>
      <c r="AL1791" s="2" t="str">
        <f>IFERROR(__xludf.DUMMYFUNCTION("""COMPUTED_VALUE"""),"Zambales")</f>
        <v>Zambales</v>
      </c>
      <c r="AM1791" s="2">
        <f>IFERROR(__xludf.DUMMYFUNCTION("""COMPUTED_VALUE"""),3.0)</f>
        <v>3</v>
      </c>
      <c r="AN1791" s="2" t="str">
        <f>IFERROR(__xludf.DUMMYFUNCTION("""COMPUTED_VALUE"""),"RCEF 25-03-05")</f>
        <v>RCEF 25-03-05</v>
      </c>
      <c r="AO1791" s="2">
        <f>IFERROR(__xludf.DUMMYFUNCTION("""COMPUTED_VALUE"""),5.0)</f>
        <v>5</v>
      </c>
      <c r="AP1791" s="2" t="str">
        <f>IFERROR(__xludf.DUMMYFUNCTION("""COMPUTED_VALUE"""),"FREE PMS")</f>
        <v>FREE PMS</v>
      </c>
      <c r="AQ1791" s="2"/>
      <c r="AR1791" s="2"/>
      <c r="AS1791" s="2"/>
      <c r="AT1791" s="2"/>
      <c r="AU1791" s="2"/>
      <c r="AV1791" s="2"/>
      <c r="AW1791" s="2"/>
      <c r="AX1791" s="2"/>
      <c r="AY1791" s="2"/>
      <c r="AZ1791" s="2"/>
      <c r="BA1791" s="2"/>
      <c r="BB1791" s="2"/>
    </row>
    <row r="1792">
      <c r="A1792" s="2">
        <f>IFERROR(__xludf.DUMMYFUNCTION("""COMPUTED_VALUE"""),1788.0)</f>
        <v>1788</v>
      </c>
      <c r="B1792" s="2" t="str">
        <f>IFERROR(__xludf.DUMMYFUNCTION("""COMPUTED_VALUE"""),"PENDING")</f>
        <v>PENDING</v>
      </c>
      <c r="C1792" s="78">
        <f>IFERROR(__xludf.DUMMYFUNCTION("""COMPUTED_VALUE"""),46178.0)</f>
        <v>46178</v>
      </c>
      <c r="D1792" s="71" t="str">
        <f>IFERROR(__xludf.DUMMYFUNCTION("""COMPUTED_VALUE"""),"Municipal Local Government Unit of Dipaculao")</f>
        <v>Municipal Local Government Unit of Dipaculao</v>
      </c>
      <c r="E1792" s="71" t="str">
        <f>IFERROR(__xludf.DUMMYFUNCTION("""COMPUTED_VALUE"""),"North Poblacion, Dipaculao, AURORA")</f>
        <v>North Poblacion, Dipaculao, AURORA</v>
      </c>
      <c r="F1792" s="2" t="str">
        <f>IFERROR(__xludf.DUMMYFUNCTION("""COMPUTED_VALUE"""),"Hon. Danilo A. Tolentino	")</f>
        <v>Hon. Danilo A. Tolentino	</v>
      </c>
      <c r="G1792" s="2" t="str">
        <f>IFERROR(__xludf.DUMMYFUNCTION("""COMPUTED_VALUE"""),"0930-500-4539")</f>
        <v>0930-500-4539</v>
      </c>
      <c r="H1792" s="2"/>
      <c r="I1792" s="72" t="str">
        <f>IFERROR(__xludf.DUMMYFUNCTION("""COMPUTED_VALUE"""),"REPAIR - TRACTOR")</f>
        <v>REPAIR - TRACTOR</v>
      </c>
      <c r="J1792" s="72" t="str">
        <f>IFERROR(__xludf.DUMMYFUNCTION("""COMPUTED_VALUE"""),"Cable Lock")</f>
        <v>Cable Lock</v>
      </c>
      <c r="K1792" s="72" t="str">
        <f>IFERROR(__xludf.DUMMYFUNCTION("""COMPUTED_VALUE"""),"MYK: REQUEST CHECK-UP SA FRONT LOADER")</f>
        <v>MYK: REQUEST CHECK-UP SA FRONT LOADER</v>
      </c>
      <c r="L1792" s="72"/>
      <c r="M1792" s="2" t="str">
        <f>IFERROR(__xludf.DUMMYFUNCTION("""COMPUTED_VALUE"""),"CABLE LOCK")</f>
        <v>CABLE LOCK</v>
      </c>
      <c r="N1792" s="2"/>
      <c r="O1792" s="2"/>
      <c r="P1792" s="2"/>
      <c r="Q1792" s="2"/>
      <c r="R1792" s="2"/>
      <c r="S1792" s="2"/>
      <c r="T1792" s="2"/>
      <c r="U1792" s="2"/>
      <c r="V1792" s="2"/>
      <c r="W1792" s="2"/>
      <c r="X1792" s="2"/>
      <c r="Y1792" s="2"/>
      <c r="Z1792" s="2"/>
      <c r="AA1792" s="2"/>
      <c r="AB1792" s="2"/>
      <c r="AC1792" s="2"/>
      <c r="AD1792" s="2"/>
      <c r="AE1792" s="2"/>
      <c r="AF1792" s="2"/>
      <c r="AG1792" s="2"/>
      <c r="AH1792" s="2"/>
      <c r="AI1792" s="2"/>
      <c r="AJ1792" s="2" t="str">
        <f>IFERROR(__xludf.DUMMYFUNCTION("""COMPUTED_VALUE"""),"North Poblacion")</f>
        <v>North Poblacion</v>
      </c>
      <c r="AK1792" s="2" t="str">
        <f>IFERROR(__xludf.DUMMYFUNCTION("""COMPUTED_VALUE"""),"Dipaculao")</f>
        <v>Dipaculao</v>
      </c>
      <c r="AL1792" s="2" t="str">
        <f>IFERROR(__xludf.DUMMYFUNCTION("""COMPUTED_VALUE"""),"Aurora")</f>
        <v>Aurora</v>
      </c>
      <c r="AM1792" s="2">
        <f>IFERROR(__xludf.DUMMYFUNCTION("""COMPUTED_VALUE"""),3.0)</f>
        <v>3</v>
      </c>
      <c r="AN1792" s="2" t="str">
        <f>IFERROR(__xludf.DUMMYFUNCTION("""COMPUTED_VALUE"""),"RCEF 25-03-05")</f>
        <v>RCEF 25-03-05</v>
      </c>
      <c r="AO1792" s="2">
        <f>IFERROR(__xludf.DUMMYFUNCTION("""COMPUTED_VALUE"""),5.0)</f>
        <v>5</v>
      </c>
      <c r="AP1792" s="2" t="str">
        <f>IFERROR(__xludf.DUMMYFUNCTION("""COMPUTED_VALUE"""),"FREE PMS")</f>
        <v>FREE PMS</v>
      </c>
      <c r="AQ1792" s="2"/>
      <c r="AR1792" s="2"/>
      <c r="AS1792" s="2"/>
      <c r="AT1792" s="2"/>
      <c r="AU1792" s="2"/>
      <c r="AV1792" s="2"/>
      <c r="AW1792" s="2"/>
      <c r="AX1792" s="2"/>
      <c r="AY1792" s="2"/>
      <c r="AZ1792" s="2"/>
      <c r="BA1792" s="2"/>
      <c r="BB1792" s="2"/>
    </row>
    <row r="1793">
      <c r="A1793" s="2">
        <f>IFERROR(__xludf.DUMMYFUNCTION("""COMPUTED_VALUE"""),1789.0)</f>
        <v>1789</v>
      </c>
      <c r="B1793" s="2" t="str">
        <f>IFERROR(__xludf.DUMMYFUNCTION("""COMPUTED_VALUE"""),"PENDING")</f>
        <v>PENDING</v>
      </c>
      <c r="C1793" s="78">
        <f>IFERROR(__xludf.DUMMYFUNCTION("""COMPUTED_VALUE"""),46178.0)</f>
        <v>46178</v>
      </c>
      <c r="D1793" s="71" t="str">
        <f>IFERROR(__xludf.DUMMYFUNCTION("""COMPUTED_VALUE"""),"Municipal Local Government Unit of Maria Aurora")</f>
        <v>Municipal Local Government Unit of Maria Aurora</v>
      </c>
      <c r="E1793" s="71" t="str">
        <f>IFERROR(__xludf.DUMMYFUNCTION("""COMPUTED_VALUE"""),"Barangay III (Pob.), Maria Aurora, AURORA")</f>
        <v>Barangay III (Pob.), Maria Aurora, AURORA</v>
      </c>
      <c r="F1793" s="2" t="str">
        <f>IFERROR(__xludf.DUMMYFUNCTION("""COMPUTED_VALUE"""),"Hon. Ariel S. Bitong/ Engr. John Gerald L. Prado")</f>
        <v>Hon. Ariel S. Bitong/ Engr. John Gerald L. Prado</v>
      </c>
      <c r="G1793" s="2" t="str">
        <f>IFERROR(__xludf.DUMMYFUNCTION("""COMPUTED_VALUE"""),"0917-150-8929")</f>
        <v>0917-150-8929</v>
      </c>
      <c r="H1793" s="2"/>
      <c r="I1793" s="72" t="str">
        <f>IFERROR(__xludf.DUMMYFUNCTION("""COMPUTED_VALUE"""),"REPAIR - TRACTOR")</f>
        <v>REPAIR - TRACTOR</v>
      </c>
      <c r="J1793" s="72" t="str">
        <f>IFERROR(__xludf.DUMMYFUNCTION("""COMPUTED_VALUE"""),"Cable Lock")</f>
        <v>Cable Lock</v>
      </c>
      <c r="K1793" s="72" t="str">
        <f>IFERROR(__xludf.DUMMYFUNCTION("""COMPUTED_VALUE"""),"MYK: REQUEST CHECK-UP SA FRONT LOADER")</f>
        <v>MYK: REQUEST CHECK-UP SA FRONT LOADER</v>
      </c>
      <c r="L1793" s="72"/>
      <c r="M1793" s="2" t="str">
        <f>IFERROR(__xludf.DUMMYFUNCTION("""COMPUTED_VALUE"""),"CABLE LOCK")</f>
        <v>CABLE LOCK</v>
      </c>
      <c r="N1793" s="2"/>
      <c r="O1793" s="2"/>
      <c r="P1793" s="2"/>
      <c r="Q1793" s="2"/>
      <c r="R1793" s="2"/>
      <c r="S1793" s="2"/>
      <c r="T1793" s="2"/>
      <c r="U1793" s="2"/>
      <c r="V1793" s="2"/>
      <c r="W1793" s="2"/>
      <c r="X1793" s="2"/>
      <c r="Y1793" s="2"/>
      <c r="Z1793" s="2"/>
      <c r="AA1793" s="2"/>
      <c r="AB1793" s="2"/>
      <c r="AC1793" s="2"/>
      <c r="AD1793" s="2"/>
      <c r="AE1793" s="2"/>
      <c r="AF1793" s="2"/>
      <c r="AG1793" s="2"/>
      <c r="AH1793" s="2"/>
      <c r="AI1793" s="2"/>
      <c r="AJ1793" s="2" t="str">
        <f>IFERROR(__xludf.DUMMYFUNCTION("""COMPUTED_VALUE"""),"Barangay Iii (Pob.)")</f>
        <v>Barangay Iii (Pob.)</v>
      </c>
      <c r="AK1793" s="2" t="str">
        <f>IFERROR(__xludf.DUMMYFUNCTION("""COMPUTED_VALUE"""),"Maria Aurora")</f>
        <v>Maria Aurora</v>
      </c>
      <c r="AL1793" s="2" t="str">
        <f>IFERROR(__xludf.DUMMYFUNCTION("""COMPUTED_VALUE"""),"Aurora")</f>
        <v>Aurora</v>
      </c>
      <c r="AM1793" s="2">
        <f>IFERROR(__xludf.DUMMYFUNCTION("""COMPUTED_VALUE"""),3.0)</f>
        <v>3</v>
      </c>
      <c r="AN1793" s="2" t="str">
        <f>IFERROR(__xludf.DUMMYFUNCTION("""COMPUTED_VALUE"""),"RCEF 25-03-05")</f>
        <v>RCEF 25-03-05</v>
      </c>
      <c r="AO1793" s="2">
        <f>IFERROR(__xludf.DUMMYFUNCTION("""COMPUTED_VALUE"""),5.0)</f>
        <v>5</v>
      </c>
      <c r="AP1793" s="2" t="str">
        <f>IFERROR(__xludf.DUMMYFUNCTION("""COMPUTED_VALUE"""),"FREE PMS")</f>
        <v>FREE PMS</v>
      </c>
      <c r="AQ1793" s="2"/>
      <c r="AR1793" s="2"/>
      <c r="AS1793" s="2"/>
      <c r="AT1793" s="2"/>
      <c r="AU1793" s="2"/>
      <c r="AV1793" s="2"/>
      <c r="AW1793" s="2"/>
      <c r="AX1793" s="2"/>
      <c r="AY1793" s="2"/>
      <c r="AZ1793" s="2"/>
      <c r="BA1793" s="2"/>
      <c r="BB1793" s="2"/>
    </row>
    <row r="1794">
      <c r="A1794" s="2">
        <f>IFERROR(__xludf.DUMMYFUNCTION("""COMPUTED_VALUE"""),1790.0)</f>
        <v>1790</v>
      </c>
      <c r="B1794" s="2" t="str">
        <f>IFERROR(__xludf.DUMMYFUNCTION("""COMPUTED_VALUE"""),"PENDING")</f>
        <v>PENDING</v>
      </c>
      <c r="C1794" s="78">
        <f>IFERROR(__xludf.DUMMYFUNCTION("""COMPUTED_VALUE"""),46178.0)</f>
        <v>46178</v>
      </c>
      <c r="D1794" s="71" t="str">
        <f>IFERROR(__xludf.DUMMYFUNCTION("""COMPUTED_VALUE"""),"NEW PLANAS AGRICULTURE")</f>
        <v>NEW PLANAS AGRICULTURE</v>
      </c>
      <c r="E1794" s="71" t="str">
        <f>IFERROR(__xludf.DUMMYFUNCTION("""COMPUTED_VALUE"""),"PLANAS, PORAC, PAMPANGA")</f>
        <v>PLANAS, PORAC, PAMPANGA</v>
      </c>
      <c r="F1794" s="2" t="str">
        <f>IFERROR(__xludf.DUMMYFUNCTION("""COMPUTED_VALUE"""),"Amor P Mallari")</f>
        <v>Amor P Mallari</v>
      </c>
      <c r="G1794" s="2">
        <f>IFERROR(__xludf.DUMMYFUNCTION("""COMPUTED_VALUE"""),9.093105708E9)</f>
        <v>9093105708</v>
      </c>
      <c r="H1794" s="2"/>
      <c r="I1794" s="72" t="str">
        <f>IFERROR(__xludf.DUMMYFUNCTION("""COMPUTED_VALUE"""),"SPARE PARTS ACQUISITION")</f>
        <v>SPARE PARTS ACQUISITION</v>
      </c>
      <c r="J1794" s="72" t="str">
        <f>IFERROR(__xludf.DUMMYFUNCTION("""COMPUTED_VALUE"""),"SPARE PARTS ACQUISITION")</f>
        <v>SPARE PARTS ACQUISITION</v>
      </c>
      <c r="K1794" s="72" t="str">
        <f>IFERROR(__xludf.DUMMYFUNCTION("""COMPUTED_VALUE"""),"JVV: Concern:Pumutok daw po yung Hydraulic hose na papunta sa Hydraulic pump
Pinapatanong den po kung magkano daw po yung price ")</f>
        <v>JVV: Concern:Pumutok daw po yung Hydraulic hose na papunta sa Hydraulic pump
Pinapatanong den po kung magkano daw po yung price </v>
      </c>
      <c r="L1794" s="72"/>
      <c r="M1794" s="2" t="str">
        <f>IFERROR(__xludf.DUMMYFUNCTION("""COMPUTED_VALUE"""),"HYDRAULIC PUMP")</f>
        <v>HYDRAULIC PUMP</v>
      </c>
      <c r="N1794" s="2"/>
      <c r="O1794" s="2"/>
      <c r="P1794" s="2"/>
      <c r="Q1794" s="2"/>
      <c r="R1794" s="2"/>
      <c r="S1794" s="2"/>
      <c r="T1794" s="2"/>
      <c r="U1794" s="2"/>
      <c r="V1794" s="2"/>
      <c r="W1794" s="2"/>
      <c r="X1794" s="2"/>
      <c r="Y1794" s="2"/>
      <c r="Z1794" s="2"/>
      <c r="AA1794" s="2"/>
      <c r="AB1794" s="2"/>
      <c r="AC1794" s="2"/>
      <c r="AD1794" s="2"/>
      <c r="AE1794" s="2"/>
      <c r="AF1794" s="2"/>
      <c r="AG1794" s="2"/>
      <c r="AH1794" s="2"/>
      <c r="AI1794" s="2"/>
      <c r="AJ1794" s="2" t="str">
        <f>IFERROR(__xludf.DUMMYFUNCTION("""COMPUTED_VALUE"""),"Planas")</f>
        <v>Planas</v>
      </c>
      <c r="AK1794" s="2" t="str">
        <f>IFERROR(__xludf.DUMMYFUNCTION("""COMPUTED_VALUE"""),"Porac")</f>
        <v>Porac</v>
      </c>
      <c r="AL1794" s="2" t="str">
        <f>IFERROR(__xludf.DUMMYFUNCTION("""COMPUTED_VALUE"""),"Pampanga")</f>
        <v>Pampanga</v>
      </c>
      <c r="AM1794" s="2">
        <f>IFERROR(__xludf.DUMMYFUNCTION("""COMPUTED_VALUE"""),3.0)</f>
        <v>3</v>
      </c>
      <c r="AN1794" s="2" t="str">
        <f>IFERROR(__xludf.DUMMYFUNCTION("""COMPUTED_VALUE"""),"RCEF 23-09-21 Rebidding")</f>
        <v>RCEF 23-09-21 Rebidding</v>
      </c>
      <c r="AO1794" s="2">
        <f>IFERROR(__xludf.DUMMYFUNCTION("""COMPUTED_VALUE"""),9.0)</f>
        <v>9</v>
      </c>
      <c r="AP1794" s="2"/>
      <c r="AQ1794" s="2"/>
      <c r="AR1794" s="2"/>
      <c r="AS1794" s="2"/>
      <c r="AT1794" s="2"/>
      <c r="AU1794" s="2"/>
      <c r="AV1794" s="2"/>
      <c r="AW1794" s="2"/>
      <c r="AX1794" s="2"/>
      <c r="AY1794" s="2"/>
      <c r="AZ1794" s="2"/>
      <c r="BA1794" s="2"/>
      <c r="BB1794" s="2"/>
    </row>
    <row r="1795">
      <c r="A1795" s="2">
        <f>IFERROR(__xludf.DUMMYFUNCTION("""COMPUTED_VALUE"""),1791.0)</f>
        <v>1791</v>
      </c>
      <c r="B1795" s="2" t="str">
        <f>IFERROR(__xludf.DUMMYFUNCTION("""COMPUTED_VALUE"""),"PENDING")</f>
        <v>PENDING</v>
      </c>
      <c r="C1795" s="78">
        <f>IFERROR(__xludf.DUMMYFUNCTION("""COMPUTED_VALUE"""),46178.0)</f>
        <v>46178</v>
      </c>
      <c r="D1795" s="71" t="str">
        <f>IFERROR(__xludf.DUMMYFUNCTION("""COMPUTED_VALUE"""),"SAMAHANG GUMAGAWA TUNGONG TAGUMPAY MULTI-PURPOSE COOPERATIVE (SAGUTT)")</f>
        <v>SAMAHANG GUMAGAWA TUNGONG TAGUMPAY MULTI-PURPOSE COOPERATIVE (SAGUTT)</v>
      </c>
      <c r="E1795" s="71" t="str">
        <f>IFERROR(__xludf.DUMMYFUNCTION("""COMPUTED_VALUE"""),"Paetan, Sablayan, OCCIDENTAL MINDORO")</f>
        <v>Paetan, Sablayan, OCCIDENTAL MINDORO</v>
      </c>
      <c r="F1795" s="2" t="str">
        <f>IFERROR(__xludf.DUMMYFUNCTION("""COMPUTED_VALUE"""),"LEVILYN CASTILLO")</f>
        <v>LEVILYN CASTILLO</v>
      </c>
      <c r="G1795" s="2">
        <f>IFERROR(__xludf.DUMMYFUNCTION("""COMPUTED_VALUE"""),9.269959841E9)</f>
        <v>9269959841</v>
      </c>
      <c r="H1795" s="2"/>
      <c r="I1795" s="72" t="str">
        <f>IFERROR(__xludf.DUMMYFUNCTION("""COMPUTED_VALUE"""),"REPAIR - TRACTOR")</f>
        <v>REPAIR - TRACTOR</v>
      </c>
      <c r="J1795" s="72" t="str">
        <f>IFERROR(__xludf.DUMMYFUNCTION("""COMPUTED_VALUE"""),"Rear Axle - Leaking")</f>
        <v>Rear Axle - Leaking</v>
      </c>
      <c r="K1795" s="72" t="str">
        <f>IFERROR(__xludf.DUMMYFUNCTION("""COMPUTED_VALUE"""),"MYK: LEAKING SA LIKURANG GULONG LEFT SIDE (WITH PICTURE)")</f>
        <v>MYK: LEAKING SA LIKURANG GULONG LEFT SIDE (WITH PICTURE)</v>
      </c>
      <c r="L1795" s="72"/>
      <c r="M1795" s="2" t="str">
        <f>IFERROR(__xludf.DUMMYFUNCTION("""COMPUTED_VALUE"""),"REAR AXLE OIL SEAL")</f>
        <v>REAR AXLE OIL SEAL</v>
      </c>
      <c r="N1795" s="2"/>
      <c r="O1795" s="2"/>
      <c r="P1795" s="2"/>
      <c r="Q1795" s="2"/>
      <c r="R1795" s="2"/>
      <c r="S1795" s="2"/>
      <c r="T1795" s="2"/>
      <c r="U1795" s="2"/>
      <c r="V1795" s="2"/>
      <c r="W1795" s="2"/>
      <c r="X1795" s="2"/>
      <c r="Y1795" s="2"/>
      <c r="Z1795" s="2"/>
      <c r="AA1795" s="2"/>
      <c r="AB1795" s="2"/>
      <c r="AC1795" s="2"/>
      <c r="AD1795" s="2"/>
      <c r="AE1795" s="2"/>
      <c r="AF1795" s="2"/>
      <c r="AG1795" s="2"/>
      <c r="AH1795" s="2"/>
      <c r="AI1795" s="2"/>
      <c r="AJ1795" s="2" t="str">
        <f>IFERROR(__xludf.DUMMYFUNCTION("""COMPUTED_VALUE"""),"Paetan")</f>
        <v>Paetan</v>
      </c>
      <c r="AK1795" s="2" t="str">
        <f>IFERROR(__xludf.DUMMYFUNCTION("""COMPUTED_VALUE"""),"Sablayan")</f>
        <v>Sablayan</v>
      </c>
      <c r="AL1795" s="2" t="str">
        <f>IFERROR(__xludf.DUMMYFUNCTION("""COMPUTED_VALUE"""),"Occidental Mindoro")</f>
        <v>Occidental Mindoro</v>
      </c>
      <c r="AM1795" s="2" t="str">
        <f>IFERROR(__xludf.DUMMYFUNCTION("""COMPUTED_VALUE"""),"4B")</f>
        <v>4B</v>
      </c>
      <c r="AN1795" s="2" t="str">
        <f>IFERROR(__xludf.DUMMYFUNCTION("""COMPUTED_VALUE"""),"RCEF 24-04-15")</f>
        <v>RCEF 24-04-15</v>
      </c>
      <c r="AO1795" s="2">
        <f>IFERROR(__xludf.DUMMYFUNCTION("""COMPUTED_VALUE"""),7.0)</f>
        <v>7</v>
      </c>
      <c r="AP1795" s="2" t="str">
        <f>IFERROR(__xludf.DUMMYFUNCTION("""COMPUTED_VALUE"""),"FREE PMS")</f>
        <v>FREE PMS</v>
      </c>
      <c r="AQ1795" s="2"/>
      <c r="AR1795" s="2"/>
      <c r="AS1795" s="2"/>
      <c r="AT1795" s="2"/>
      <c r="AU1795" s="2"/>
      <c r="AV1795" s="2"/>
      <c r="AW1795" s="2"/>
      <c r="AX1795" s="2"/>
      <c r="AY1795" s="2"/>
      <c r="AZ1795" s="2"/>
      <c r="BA1795" s="2"/>
      <c r="BB1795" s="2"/>
    </row>
    <row r="1796">
      <c r="A1796" s="2"/>
      <c r="B1796" s="2" t="str">
        <f>IFERROR(__xludf.DUMMYFUNCTION("""COMPUTED_VALUE"""),"PENDING")</f>
        <v>PENDING</v>
      </c>
      <c r="C1796" s="78">
        <f>IFERROR(__xludf.DUMMYFUNCTION("""COMPUTED_VALUE"""),46178.0)</f>
        <v>46178</v>
      </c>
      <c r="D1796" s="71" t="str">
        <f>IFERROR(__xludf.DUMMYFUNCTION("""COMPUTED_VALUE"""),"Banaba Tigbauan Irrigator's Association, Inc.")</f>
        <v>Banaba Tigbauan Irrigator's Association, Inc.</v>
      </c>
      <c r="E1796" s="71" t="str">
        <f>IFERROR(__xludf.DUMMYFUNCTION("""COMPUTED_VALUE"""),"Napnapan Norte, Tigbauan, ILOILO")</f>
        <v>Napnapan Norte, Tigbauan, ILOILO</v>
      </c>
      <c r="F1796" s="2" t="str">
        <f>IFERROR(__xludf.DUMMYFUNCTION("""COMPUTED_VALUE"""),"Helen Terania ")</f>
        <v>Helen Terania </v>
      </c>
      <c r="G1796" s="2">
        <f>IFERROR(__xludf.DUMMYFUNCTION("""COMPUTED_VALUE"""),9.47981194E9)</f>
        <v>9479811940</v>
      </c>
      <c r="H1796" s="2">
        <f>IFERROR(__xludf.DUMMYFUNCTION("""COMPUTED_VALUE"""),15.0)</f>
        <v>15</v>
      </c>
      <c r="I1796" s="72" t="str">
        <f>IFERROR(__xludf.DUMMYFUNCTION("""COMPUTED_VALUE"""),"REPAIR - TRACTOR")</f>
        <v>REPAIR - TRACTOR</v>
      </c>
      <c r="J1796" s="72" t="str">
        <f>IFERROR(__xludf.DUMMYFUNCTION("""COMPUTED_VALUE"""),"Cable Lock")</f>
        <v>Cable Lock</v>
      </c>
      <c r="K1796" s="72" t="str">
        <f>IFERROR(__xludf.DUMMYFUNCTION("""COMPUTED_VALUE"""),"EGT: Problem: Front Loader")</f>
        <v>EGT: Problem: Front Loader</v>
      </c>
      <c r="L1796" s="72"/>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c r="AJ1796" s="2" t="str">
        <f>IFERROR(__xludf.DUMMYFUNCTION("""COMPUTED_VALUE"""),"Napnapan Norte")</f>
        <v>Napnapan Norte</v>
      </c>
      <c r="AK1796" s="2" t="str">
        <f>IFERROR(__xludf.DUMMYFUNCTION("""COMPUTED_VALUE"""),"Tigbauan")</f>
        <v>Tigbauan</v>
      </c>
      <c r="AL1796" s="2" t="str">
        <f>IFERROR(__xludf.DUMMYFUNCTION("""COMPUTED_VALUE"""),"Iloilo")</f>
        <v>Iloilo</v>
      </c>
      <c r="AM1796" s="2">
        <f>IFERROR(__xludf.DUMMYFUNCTION("""COMPUTED_VALUE"""),6.0)</f>
        <v>6</v>
      </c>
      <c r="AN1796" s="2" t="str">
        <f>IFERROR(__xludf.DUMMYFUNCTION("""COMPUTED_VALUE"""),"RCEF 25-03-05")</f>
        <v>RCEF 25-03-05</v>
      </c>
      <c r="AO1796" s="2">
        <f>IFERROR(__xludf.DUMMYFUNCTION("""COMPUTED_VALUE"""),7.0)</f>
        <v>7</v>
      </c>
      <c r="AP1796" s="2" t="str">
        <f>IFERROR(__xludf.DUMMYFUNCTION("""COMPUTED_VALUE"""),"FREE PMS")</f>
        <v>FREE PMS</v>
      </c>
      <c r="AQ1796" s="2"/>
      <c r="AR1796" s="2"/>
      <c r="AS1796" s="2"/>
      <c r="AT1796" s="2"/>
      <c r="AU1796" s="2"/>
      <c r="AV1796" s="2"/>
      <c r="AW1796" s="2"/>
      <c r="AX1796" s="2"/>
      <c r="AY1796" s="2"/>
      <c r="AZ1796" s="2"/>
      <c r="BA1796" s="2"/>
      <c r="BB1796" s="2"/>
    </row>
    <row r="1797">
      <c r="A1797" s="2"/>
      <c r="B1797" s="2" t="str">
        <f>IFERROR(__xludf.DUMMYFUNCTION("""COMPUTED_VALUE"""),"")</f>
        <v/>
      </c>
      <c r="C1797" s="2"/>
      <c r="D1797" s="71"/>
      <c r="E1797" s="71"/>
      <c r="F1797" s="2"/>
      <c r="G1797" s="2"/>
      <c r="H1797" s="2"/>
      <c r="I1797" s="72"/>
      <c r="J1797" s="72"/>
      <c r="K1797" s="72"/>
      <c r="L1797" s="72"/>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c r="AJ1797" s="2" t="str">
        <f>IFERROR(__xludf.DUMMYFUNCTION("""COMPUTED_VALUE"""),"")</f>
        <v/>
      </c>
      <c r="AK1797" s="2" t="str">
        <f>IFERROR(__xludf.DUMMYFUNCTION("""COMPUTED_VALUE"""),"")</f>
        <v/>
      </c>
      <c r="AL1797" s="2" t="str">
        <f>IFERROR(__xludf.DUMMYFUNCTION("""COMPUTED_VALUE"""),"")</f>
        <v/>
      </c>
      <c r="AM1797" s="2" t="str">
        <f>IFERROR(__xludf.DUMMYFUNCTION("""COMPUTED_VALUE"""),"")</f>
        <v/>
      </c>
      <c r="AN1797" s="2" t="str">
        <f>IFERROR(__xludf.DUMMYFUNCTION("""COMPUTED_VALUE""")," ")</f>
        <v> </v>
      </c>
      <c r="AO1797" s="2" t="str">
        <f>IFERROR(__xludf.DUMMYFUNCTION("""COMPUTED_VALUE""")," ")</f>
        <v> </v>
      </c>
      <c r="AP1797" s="2" t="str">
        <f>IFERROR(__xludf.DUMMYFUNCTION("""COMPUTED_VALUE"""),"")</f>
        <v/>
      </c>
      <c r="AQ1797" s="2"/>
      <c r="AR1797" s="2"/>
      <c r="AS1797" s="2"/>
      <c r="AT1797" s="2"/>
      <c r="AU1797" s="2"/>
      <c r="AV1797" s="2"/>
      <c r="AW1797" s="2"/>
      <c r="AX1797" s="2"/>
      <c r="AY1797" s="2"/>
      <c r="AZ1797" s="2"/>
      <c r="BA1797" s="2"/>
      <c r="BB1797" s="2"/>
    </row>
    <row r="1798">
      <c r="A1798" s="2"/>
      <c r="B1798" s="2" t="str">
        <f>IFERROR(__xludf.DUMMYFUNCTION("""COMPUTED_VALUE"""),"")</f>
        <v/>
      </c>
      <c r="C1798" s="2"/>
      <c r="D1798" s="71"/>
      <c r="E1798" s="71" t="str">
        <f>IFERROR(__xludf.DUMMYFUNCTION("""COMPUTED_VALUE""")," ")</f>
        <v> </v>
      </c>
      <c r="F1798" s="2"/>
      <c r="G1798" s="2"/>
      <c r="H1798" s="2"/>
      <c r="I1798" s="72"/>
      <c r="J1798" s="72"/>
      <c r="K1798" s="72"/>
      <c r="L1798" s="72"/>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c r="AJ1798" s="2" t="str">
        <f>IFERROR(__xludf.DUMMYFUNCTION("""COMPUTED_VALUE"""),"")</f>
        <v/>
      </c>
      <c r="AK1798" s="2" t="str">
        <f>IFERROR(__xludf.DUMMYFUNCTION("""COMPUTED_VALUE"""),"")</f>
        <v/>
      </c>
      <c r="AL1798" s="2" t="str">
        <f>IFERROR(__xludf.DUMMYFUNCTION("""COMPUTED_VALUE"""),"")</f>
        <v/>
      </c>
      <c r="AM1798" s="2" t="str">
        <f>IFERROR(__xludf.DUMMYFUNCTION("""COMPUTED_VALUE"""),"")</f>
        <v/>
      </c>
      <c r="AN1798" s="2" t="str">
        <f>IFERROR(__xludf.DUMMYFUNCTION("""COMPUTED_VALUE""")," ")</f>
        <v> </v>
      </c>
      <c r="AO1798" s="2" t="str">
        <f>IFERROR(__xludf.DUMMYFUNCTION("""COMPUTED_VALUE""")," ")</f>
        <v> </v>
      </c>
      <c r="AP1798" s="2" t="str">
        <f>IFERROR(__xludf.DUMMYFUNCTION("""COMPUTED_VALUE"""),"")</f>
        <v/>
      </c>
      <c r="AQ1798" s="2"/>
      <c r="AR1798" s="2"/>
      <c r="AS1798" s="2"/>
      <c r="AT1798" s="2"/>
      <c r="AU1798" s="2"/>
      <c r="AV1798" s="2"/>
      <c r="AW1798" s="2"/>
      <c r="AX1798" s="2"/>
      <c r="AY1798" s="2"/>
      <c r="AZ1798" s="2"/>
      <c r="BA1798" s="2"/>
      <c r="BB1798" s="2"/>
    </row>
    <row r="1799">
      <c r="A1799" s="2"/>
      <c r="B1799" s="2" t="str">
        <f>IFERROR(__xludf.DUMMYFUNCTION("""COMPUTED_VALUE"""),"")</f>
        <v/>
      </c>
      <c r="C1799" s="2"/>
      <c r="D1799" s="71"/>
      <c r="E1799" s="71" t="str">
        <f>IFERROR(__xludf.DUMMYFUNCTION("""COMPUTED_VALUE""")," ")</f>
        <v> </v>
      </c>
      <c r="F1799" s="2"/>
      <c r="G1799" s="2"/>
      <c r="H1799" s="2"/>
      <c r="I1799" s="72"/>
      <c r="J1799" s="72"/>
      <c r="K1799" s="72"/>
      <c r="L1799" s="72"/>
      <c r="M1799" s="2"/>
      <c r="N1799" s="2"/>
      <c r="O1799" s="2"/>
      <c r="P1799" s="2"/>
      <c r="Q1799" s="2"/>
      <c r="R1799" s="2"/>
      <c r="S1799" s="2"/>
      <c r="T1799" s="2"/>
      <c r="U1799" s="2"/>
      <c r="V1799" s="2"/>
      <c r="W1799" s="2"/>
      <c r="X1799" s="2"/>
      <c r="Y1799" s="2"/>
      <c r="Z1799" s="2"/>
      <c r="AA1799" s="2"/>
      <c r="AB1799" s="2"/>
      <c r="AC1799" s="2"/>
      <c r="AD1799" s="2"/>
      <c r="AE1799" s="2"/>
      <c r="AF1799" s="2"/>
      <c r="AG1799" s="2"/>
      <c r="AH1799" s="2"/>
      <c r="AI1799" s="2"/>
      <c r="AJ1799" s="2" t="str">
        <f>IFERROR(__xludf.DUMMYFUNCTION("""COMPUTED_VALUE"""),"")</f>
        <v/>
      </c>
      <c r="AK1799" s="2" t="str">
        <f>IFERROR(__xludf.DUMMYFUNCTION("""COMPUTED_VALUE"""),"")</f>
        <v/>
      </c>
      <c r="AL1799" s="2" t="str">
        <f>IFERROR(__xludf.DUMMYFUNCTION("""COMPUTED_VALUE"""),"")</f>
        <v/>
      </c>
      <c r="AM1799" s="2" t="str">
        <f>IFERROR(__xludf.DUMMYFUNCTION("""COMPUTED_VALUE"""),"")</f>
        <v/>
      </c>
      <c r="AN1799" s="2" t="str">
        <f>IFERROR(__xludf.DUMMYFUNCTION("""COMPUTED_VALUE""")," ")</f>
        <v> </v>
      </c>
      <c r="AO1799" s="2" t="str">
        <f>IFERROR(__xludf.DUMMYFUNCTION("""COMPUTED_VALUE""")," ")</f>
        <v> </v>
      </c>
      <c r="AP1799" s="2" t="str">
        <f>IFERROR(__xludf.DUMMYFUNCTION("""COMPUTED_VALUE"""),"")</f>
        <v/>
      </c>
      <c r="AQ1799" s="2"/>
      <c r="AR1799" s="2"/>
      <c r="AS1799" s="2"/>
      <c r="AT1799" s="2"/>
      <c r="AU1799" s="2"/>
      <c r="AV1799" s="2"/>
      <c r="AW1799" s="2"/>
      <c r="AX1799" s="2"/>
      <c r="AY1799" s="2"/>
      <c r="AZ1799" s="2"/>
      <c r="BA1799" s="2"/>
      <c r="BB1799" s="2"/>
    </row>
    <row r="1800">
      <c r="A1800" s="2"/>
      <c r="B1800" s="2" t="str">
        <f>IFERROR(__xludf.DUMMYFUNCTION("""COMPUTED_VALUE"""),"")</f>
        <v/>
      </c>
      <c r="C1800" s="2"/>
      <c r="D1800" s="71"/>
      <c r="E1800" s="71" t="str">
        <f>IFERROR(__xludf.DUMMYFUNCTION("""COMPUTED_VALUE""")," ")</f>
        <v> </v>
      </c>
      <c r="F1800" s="2"/>
      <c r="G1800" s="2"/>
      <c r="H1800" s="2"/>
      <c r="I1800" s="72"/>
      <c r="J1800" s="72"/>
      <c r="K1800" s="72"/>
      <c r="L1800" s="72"/>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c r="AJ1800" s="2" t="str">
        <f>IFERROR(__xludf.DUMMYFUNCTION("""COMPUTED_VALUE"""),"")</f>
        <v/>
      </c>
      <c r="AK1800" s="2" t="str">
        <f>IFERROR(__xludf.DUMMYFUNCTION("""COMPUTED_VALUE"""),"")</f>
        <v/>
      </c>
      <c r="AL1800" s="2" t="str">
        <f>IFERROR(__xludf.DUMMYFUNCTION("""COMPUTED_VALUE"""),"")</f>
        <v/>
      </c>
      <c r="AM1800" s="2" t="str">
        <f>IFERROR(__xludf.DUMMYFUNCTION("""COMPUTED_VALUE"""),"")</f>
        <v/>
      </c>
      <c r="AN1800" s="2" t="str">
        <f>IFERROR(__xludf.DUMMYFUNCTION("""COMPUTED_VALUE""")," ")</f>
        <v> </v>
      </c>
      <c r="AO1800" s="2" t="str">
        <f>IFERROR(__xludf.DUMMYFUNCTION("""COMPUTED_VALUE""")," ")</f>
        <v> </v>
      </c>
      <c r="AP1800" s="2" t="str">
        <f>IFERROR(__xludf.DUMMYFUNCTION("""COMPUTED_VALUE"""),"")</f>
        <v/>
      </c>
      <c r="AQ1800" s="2"/>
      <c r="AR1800" s="2"/>
      <c r="AS1800" s="2"/>
      <c r="AT1800" s="2"/>
      <c r="AU1800" s="2"/>
      <c r="AV1800" s="2"/>
      <c r="AW1800" s="2"/>
      <c r="AX1800" s="2"/>
      <c r="AY1800" s="2"/>
      <c r="AZ1800" s="2"/>
      <c r="BA1800" s="2"/>
      <c r="BB1800" s="2"/>
    </row>
    <row r="1801">
      <c r="A1801" s="2"/>
      <c r="B1801" s="2" t="str">
        <f>IFERROR(__xludf.DUMMYFUNCTION("""COMPUTED_VALUE"""),"")</f>
        <v/>
      </c>
      <c r="C1801" s="2"/>
      <c r="D1801" s="71"/>
      <c r="E1801" s="71" t="str">
        <f>IFERROR(__xludf.DUMMYFUNCTION("""COMPUTED_VALUE""")," ")</f>
        <v> </v>
      </c>
      <c r="F1801" s="2"/>
      <c r="G1801" s="2"/>
      <c r="H1801" s="2"/>
      <c r="I1801" s="72"/>
      <c r="J1801" s="72"/>
      <c r="K1801" s="72"/>
      <c r="L1801" s="72"/>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c r="AJ1801" s="2" t="str">
        <f>IFERROR(__xludf.DUMMYFUNCTION("""COMPUTED_VALUE"""),"")</f>
        <v/>
      </c>
      <c r="AK1801" s="2" t="str">
        <f>IFERROR(__xludf.DUMMYFUNCTION("""COMPUTED_VALUE"""),"")</f>
        <v/>
      </c>
      <c r="AL1801" s="2" t="str">
        <f>IFERROR(__xludf.DUMMYFUNCTION("""COMPUTED_VALUE"""),"")</f>
        <v/>
      </c>
      <c r="AM1801" s="2" t="str">
        <f>IFERROR(__xludf.DUMMYFUNCTION("""COMPUTED_VALUE"""),"")</f>
        <v/>
      </c>
      <c r="AN1801" s="2" t="str">
        <f>IFERROR(__xludf.DUMMYFUNCTION("""COMPUTED_VALUE""")," ")</f>
        <v> </v>
      </c>
      <c r="AO1801" s="2" t="str">
        <f>IFERROR(__xludf.DUMMYFUNCTION("""COMPUTED_VALUE""")," ")</f>
        <v> </v>
      </c>
      <c r="AP1801" s="2" t="str">
        <f>IFERROR(__xludf.DUMMYFUNCTION("""COMPUTED_VALUE"""),"")</f>
        <v/>
      </c>
      <c r="AQ1801" s="2"/>
      <c r="AR1801" s="2"/>
      <c r="AS1801" s="2"/>
      <c r="AT1801" s="2"/>
      <c r="AU1801" s="2"/>
      <c r="AV1801" s="2"/>
      <c r="AW1801" s="2"/>
      <c r="AX1801" s="2"/>
      <c r="AY1801" s="2"/>
      <c r="AZ1801" s="2"/>
      <c r="BA1801" s="2"/>
      <c r="BB1801" s="2"/>
    </row>
    <row r="1802">
      <c r="A1802" s="2"/>
      <c r="B1802" s="2"/>
      <c r="C1802" s="2"/>
      <c r="D1802" s="71"/>
      <c r="E1802" s="71" t="str">
        <f>IFERROR(__xludf.DUMMYFUNCTION("""COMPUTED_VALUE""")," ")</f>
        <v> </v>
      </c>
      <c r="F1802" s="2"/>
      <c r="G1802" s="2"/>
      <c r="H1802" s="2"/>
      <c r="I1802" s="72"/>
      <c r="J1802" s="72"/>
      <c r="K1802" s="72"/>
      <c r="L1802" s="72"/>
      <c r="M1802" s="2"/>
      <c r="N1802" s="2"/>
      <c r="O1802" s="2"/>
      <c r="P1802" s="2"/>
      <c r="Q1802" s="2"/>
      <c r="R1802" s="2"/>
      <c r="S1802" s="2"/>
      <c r="T1802" s="2"/>
      <c r="U1802" s="2"/>
      <c r="V1802" s="2"/>
      <c r="W1802" s="2"/>
      <c r="X1802" s="2"/>
      <c r="Y1802" s="2"/>
      <c r="Z1802" s="2"/>
      <c r="AA1802" s="2"/>
      <c r="AB1802" s="2"/>
      <c r="AC1802" s="2"/>
      <c r="AD1802" s="2"/>
      <c r="AE1802" s="2"/>
      <c r="AF1802" s="2"/>
      <c r="AG1802" s="2"/>
      <c r="AH1802" s="2"/>
      <c r="AI1802" s="2"/>
      <c r="AJ1802" s="2" t="str">
        <f>IFERROR(__xludf.DUMMYFUNCTION("""COMPUTED_VALUE"""),"")</f>
        <v/>
      </c>
      <c r="AK1802" s="2" t="str">
        <f>IFERROR(__xludf.DUMMYFUNCTION("""COMPUTED_VALUE"""),"")</f>
        <v/>
      </c>
      <c r="AL1802" s="2" t="str">
        <f>IFERROR(__xludf.DUMMYFUNCTION("""COMPUTED_VALUE"""),"")</f>
        <v/>
      </c>
      <c r="AM1802" s="2" t="str">
        <f>IFERROR(__xludf.DUMMYFUNCTION("""COMPUTED_VALUE"""),"")</f>
        <v/>
      </c>
      <c r="AN1802" s="2" t="str">
        <f>IFERROR(__xludf.DUMMYFUNCTION("""COMPUTED_VALUE""")," ")</f>
        <v> </v>
      </c>
      <c r="AO1802" s="2" t="str">
        <f>IFERROR(__xludf.DUMMYFUNCTION("""COMPUTED_VALUE""")," ")</f>
        <v> </v>
      </c>
      <c r="AP1802" s="2" t="str">
        <f>IFERROR(__xludf.DUMMYFUNCTION("""COMPUTED_VALUE"""),"")</f>
        <v/>
      </c>
      <c r="AQ1802" s="2"/>
      <c r="AR1802" s="2"/>
      <c r="AS1802" s="2"/>
      <c r="AT1802" s="2"/>
      <c r="AU1802" s="2"/>
      <c r="AV1802" s="2"/>
      <c r="AW1802" s="2"/>
      <c r="AX1802" s="2"/>
      <c r="AY1802" s="2"/>
      <c r="AZ1802" s="2"/>
      <c r="BA1802" s="2"/>
      <c r="BB1802" s="2"/>
    </row>
    <row r="1803">
      <c r="A1803" s="2"/>
      <c r="B1803" s="2" t="str">
        <f>IFERROR(__xludf.DUMMYFUNCTION("""COMPUTED_VALUE"""),"")</f>
        <v/>
      </c>
      <c r="C1803" s="2"/>
      <c r="D1803" s="71"/>
      <c r="E1803" s="71" t="str">
        <f>IFERROR(__xludf.DUMMYFUNCTION("""COMPUTED_VALUE""")," ")</f>
        <v> </v>
      </c>
      <c r="F1803" s="2"/>
      <c r="G1803" s="2"/>
      <c r="H1803" s="2"/>
      <c r="I1803" s="72"/>
      <c r="J1803" s="72"/>
      <c r="K1803" s="72"/>
      <c r="L1803" s="72"/>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c r="AJ1803" s="2" t="str">
        <f>IFERROR(__xludf.DUMMYFUNCTION("""COMPUTED_VALUE"""),"")</f>
        <v/>
      </c>
      <c r="AK1803" s="2" t="str">
        <f>IFERROR(__xludf.DUMMYFUNCTION("""COMPUTED_VALUE"""),"")</f>
        <v/>
      </c>
      <c r="AL1803" s="2" t="str">
        <f>IFERROR(__xludf.DUMMYFUNCTION("""COMPUTED_VALUE"""),"")</f>
        <v/>
      </c>
      <c r="AM1803" s="2" t="str">
        <f>IFERROR(__xludf.DUMMYFUNCTION("""COMPUTED_VALUE"""),"")</f>
        <v/>
      </c>
      <c r="AN1803" s="2" t="str">
        <f>IFERROR(__xludf.DUMMYFUNCTION("""COMPUTED_VALUE""")," ")</f>
        <v> </v>
      </c>
      <c r="AO1803" s="2" t="str">
        <f>IFERROR(__xludf.DUMMYFUNCTION("""COMPUTED_VALUE""")," ")</f>
        <v> </v>
      </c>
      <c r="AP1803" s="2" t="str">
        <f>IFERROR(__xludf.DUMMYFUNCTION("""COMPUTED_VALUE"""),"")</f>
        <v/>
      </c>
      <c r="AQ1803" s="2"/>
      <c r="AR1803" s="2"/>
      <c r="AS1803" s="2"/>
      <c r="AT1803" s="2"/>
      <c r="AU1803" s="2"/>
      <c r="AV1803" s="2"/>
      <c r="AW1803" s="2"/>
      <c r="AX1803" s="2"/>
      <c r="AY1803" s="2"/>
      <c r="AZ1803" s="2"/>
      <c r="BA1803" s="2"/>
      <c r="BB1803" s="2"/>
    </row>
    <row r="1804">
      <c r="A1804" s="2"/>
      <c r="B1804" s="2" t="str">
        <f>IFERROR(__xludf.DUMMYFUNCTION("""COMPUTED_VALUE"""),"")</f>
        <v/>
      </c>
      <c r="C1804" s="2"/>
      <c r="D1804" s="71"/>
      <c r="E1804" s="71" t="str">
        <f>IFERROR(__xludf.DUMMYFUNCTION("""COMPUTED_VALUE""")," ")</f>
        <v> </v>
      </c>
      <c r="F1804" s="2"/>
      <c r="G1804" s="2"/>
      <c r="H1804" s="2"/>
      <c r="I1804" s="72"/>
      <c r="J1804" s="72"/>
      <c r="K1804" s="72"/>
      <c r="L1804" s="72"/>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c r="AJ1804" s="2" t="str">
        <f>IFERROR(__xludf.DUMMYFUNCTION("""COMPUTED_VALUE"""),"")</f>
        <v/>
      </c>
      <c r="AK1804" s="2" t="str">
        <f>IFERROR(__xludf.DUMMYFUNCTION("""COMPUTED_VALUE"""),"")</f>
        <v/>
      </c>
      <c r="AL1804" s="2" t="str">
        <f>IFERROR(__xludf.DUMMYFUNCTION("""COMPUTED_VALUE"""),"")</f>
        <v/>
      </c>
      <c r="AM1804" s="2" t="str">
        <f>IFERROR(__xludf.DUMMYFUNCTION("""COMPUTED_VALUE"""),"")</f>
        <v/>
      </c>
      <c r="AN1804" s="2" t="str">
        <f>IFERROR(__xludf.DUMMYFUNCTION("""COMPUTED_VALUE""")," ")</f>
        <v> </v>
      </c>
      <c r="AO1804" s="2" t="str">
        <f>IFERROR(__xludf.DUMMYFUNCTION("""COMPUTED_VALUE""")," ")</f>
        <v> </v>
      </c>
      <c r="AP1804" s="2" t="str">
        <f>IFERROR(__xludf.DUMMYFUNCTION("""COMPUTED_VALUE"""),"")</f>
        <v/>
      </c>
      <c r="AQ1804" s="2"/>
      <c r="AR1804" s="2"/>
      <c r="AS1804" s="2"/>
      <c r="AT1804" s="2"/>
      <c r="AU1804" s="2"/>
      <c r="AV1804" s="2"/>
      <c r="AW1804" s="2"/>
      <c r="AX1804" s="2"/>
      <c r="AY1804" s="2"/>
      <c r="AZ1804" s="2"/>
      <c r="BA1804" s="2"/>
      <c r="BB1804" s="2"/>
    </row>
    <row r="1805">
      <c r="A1805" s="2"/>
      <c r="B1805" s="2"/>
      <c r="C1805" s="2"/>
      <c r="D1805" s="71"/>
      <c r="E1805" s="71"/>
      <c r="F1805" s="2"/>
      <c r="G1805" s="2"/>
      <c r="H1805" s="2"/>
      <c r="I1805" s="72"/>
      <c r="J1805" s="72"/>
      <c r="K1805" s="72"/>
      <c r="L1805" s="72"/>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c r="AJ1805" s="2"/>
      <c r="AK1805" s="2"/>
      <c r="AL1805" s="2"/>
      <c r="AM1805" s="2"/>
      <c r="AN1805" s="2"/>
      <c r="AO1805" s="2"/>
      <c r="AP1805" s="2"/>
      <c r="AQ1805" s="2"/>
      <c r="AR1805" s="2"/>
      <c r="AS1805" s="2"/>
      <c r="AT1805" s="2"/>
      <c r="AU1805" s="2"/>
      <c r="AV1805" s="2"/>
      <c r="AW1805" s="2"/>
      <c r="AX1805" s="2"/>
      <c r="AY1805" s="2"/>
      <c r="AZ1805" s="2"/>
      <c r="BA1805" s="2"/>
      <c r="BB1805" s="2"/>
    </row>
    <row r="1806">
      <c r="A1806" s="2"/>
      <c r="B1806" s="2" t="str">
        <f>IFERROR(__xludf.DUMMYFUNCTION("""COMPUTED_VALUE"""),"")</f>
        <v/>
      </c>
      <c r="C1806" s="2"/>
      <c r="D1806" s="71"/>
      <c r="E1806" s="71" t="str">
        <f>IFERROR(__xludf.DUMMYFUNCTION("""COMPUTED_VALUE""")," ")</f>
        <v> </v>
      </c>
      <c r="F1806" s="2"/>
      <c r="G1806" s="2"/>
      <c r="H1806" s="2"/>
      <c r="I1806" s="72"/>
      <c r="J1806" s="72"/>
      <c r="K1806" s="72"/>
      <c r="L1806" s="72"/>
      <c r="M1806" s="2"/>
      <c r="N1806" s="2"/>
      <c r="O1806" s="2"/>
      <c r="P1806" s="2"/>
      <c r="Q1806" s="2"/>
      <c r="R1806" s="2"/>
      <c r="S1806" s="2"/>
      <c r="T1806" s="2"/>
      <c r="U1806" s="2"/>
      <c r="V1806" s="2"/>
      <c r="W1806" s="2"/>
      <c r="X1806" s="2"/>
      <c r="Y1806" s="2"/>
      <c r="Z1806" s="2"/>
      <c r="AA1806" s="2"/>
      <c r="AB1806" s="2"/>
      <c r="AC1806" s="2"/>
      <c r="AD1806" s="2"/>
      <c r="AE1806" s="2"/>
      <c r="AF1806" s="2"/>
      <c r="AG1806" s="2"/>
      <c r="AH1806" s="2"/>
      <c r="AI1806" s="2"/>
      <c r="AJ1806" s="2" t="str">
        <f>IFERROR(__xludf.DUMMYFUNCTION("""COMPUTED_VALUE"""),"")</f>
        <v/>
      </c>
      <c r="AK1806" s="2" t="str">
        <f>IFERROR(__xludf.DUMMYFUNCTION("""COMPUTED_VALUE"""),"")</f>
        <v/>
      </c>
      <c r="AL1806" s="2" t="str">
        <f>IFERROR(__xludf.DUMMYFUNCTION("""COMPUTED_VALUE"""),"")</f>
        <v/>
      </c>
      <c r="AM1806" s="2" t="str">
        <f>IFERROR(__xludf.DUMMYFUNCTION("""COMPUTED_VALUE"""),"")</f>
        <v/>
      </c>
      <c r="AN1806" s="2" t="str">
        <f>IFERROR(__xludf.DUMMYFUNCTION("""COMPUTED_VALUE""")," ")</f>
        <v> </v>
      </c>
      <c r="AO1806" s="2" t="str">
        <f>IFERROR(__xludf.DUMMYFUNCTION("""COMPUTED_VALUE""")," ")</f>
        <v> </v>
      </c>
      <c r="AP1806" s="2" t="str">
        <f>IFERROR(__xludf.DUMMYFUNCTION("""COMPUTED_VALUE"""),"")</f>
        <v/>
      </c>
      <c r="AQ1806" s="2"/>
      <c r="AR1806" s="2"/>
      <c r="AS1806" s="2"/>
      <c r="AT1806" s="2"/>
      <c r="AU1806" s="2"/>
      <c r="AV1806" s="2"/>
      <c r="AW1806" s="2"/>
      <c r="AX1806" s="2"/>
      <c r="AY1806" s="2"/>
      <c r="AZ1806" s="2"/>
      <c r="BA1806" s="2"/>
      <c r="BB1806" s="2"/>
    </row>
    <row r="1807">
      <c r="A1807" s="2"/>
      <c r="B1807" s="2" t="str">
        <f>IFERROR(__xludf.DUMMYFUNCTION("""COMPUTED_VALUE"""),"")</f>
        <v/>
      </c>
      <c r="C1807" s="2"/>
      <c r="D1807" s="71"/>
      <c r="E1807" s="71" t="str">
        <f>IFERROR(__xludf.DUMMYFUNCTION("""COMPUTED_VALUE""")," ")</f>
        <v> </v>
      </c>
      <c r="F1807" s="2"/>
      <c r="G1807" s="2"/>
      <c r="H1807" s="2"/>
      <c r="I1807" s="72"/>
      <c r="J1807" s="72"/>
      <c r="K1807" s="72"/>
      <c r="L1807" s="72"/>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c r="AJ1807" s="2" t="str">
        <f>IFERROR(__xludf.DUMMYFUNCTION("""COMPUTED_VALUE"""),"")</f>
        <v/>
      </c>
      <c r="AK1807" s="2" t="str">
        <f>IFERROR(__xludf.DUMMYFUNCTION("""COMPUTED_VALUE"""),"")</f>
        <v/>
      </c>
      <c r="AL1807" s="2" t="str">
        <f>IFERROR(__xludf.DUMMYFUNCTION("""COMPUTED_VALUE"""),"")</f>
        <v/>
      </c>
      <c r="AM1807" s="2" t="str">
        <f>IFERROR(__xludf.DUMMYFUNCTION("""COMPUTED_VALUE"""),"")</f>
        <v/>
      </c>
      <c r="AN1807" s="2" t="str">
        <f>IFERROR(__xludf.DUMMYFUNCTION("""COMPUTED_VALUE""")," ")</f>
        <v> </v>
      </c>
      <c r="AO1807" s="2" t="str">
        <f>IFERROR(__xludf.DUMMYFUNCTION("""COMPUTED_VALUE""")," ")</f>
        <v> </v>
      </c>
      <c r="AP1807" s="2" t="str">
        <f>IFERROR(__xludf.DUMMYFUNCTION("""COMPUTED_VALUE"""),"")</f>
        <v/>
      </c>
      <c r="AQ1807" s="2"/>
      <c r="AR1807" s="2"/>
      <c r="AS1807" s="2"/>
      <c r="AT1807" s="2"/>
      <c r="AU1807" s="2"/>
      <c r="AV1807" s="2"/>
      <c r="AW1807" s="2"/>
      <c r="AX1807" s="2"/>
      <c r="AY1807" s="2"/>
      <c r="AZ1807" s="2"/>
      <c r="BA1807" s="2"/>
      <c r="BB1807" s="2"/>
    </row>
    <row r="1808">
      <c r="A1808" s="2"/>
      <c r="B1808" s="2" t="str">
        <f>IFERROR(__xludf.DUMMYFUNCTION("""COMPUTED_VALUE"""),"")</f>
        <v/>
      </c>
      <c r="C1808" s="2"/>
      <c r="D1808" s="71"/>
      <c r="E1808" s="71" t="str">
        <f>IFERROR(__xludf.DUMMYFUNCTION("""COMPUTED_VALUE""")," ")</f>
        <v> </v>
      </c>
      <c r="F1808" s="2"/>
      <c r="G1808" s="2"/>
      <c r="H1808" s="2"/>
      <c r="I1808" s="72"/>
      <c r="J1808" s="72"/>
      <c r="K1808" s="72"/>
      <c r="L1808" s="72"/>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c r="AJ1808" s="2" t="str">
        <f>IFERROR(__xludf.DUMMYFUNCTION("""COMPUTED_VALUE"""),"")</f>
        <v/>
      </c>
      <c r="AK1808" s="2" t="str">
        <f>IFERROR(__xludf.DUMMYFUNCTION("""COMPUTED_VALUE"""),"")</f>
        <v/>
      </c>
      <c r="AL1808" s="2" t="str">
        <f>IFERROR(__xludf.DUMMYFUNCTION("""COMPUTED_VALUE"""),"")</f>
        <v/>
      </c>
      <c r="AM1808" s="2" t="str">
        <f>IFERROR(__xludf.DUMMYFUNCTION("""COMPUTED_VALUE"""),"")</f>
        <v/>
      </c>
      <c r="AN1808" s="2" t="str">
        <f>IFERROR(__xludf.DUMMYFUNCTION("""COMPUTED_VALUE""")," ")</f>
        <v> </v>
      </c>
      <c r="AO1808" s="2" t="str">
        <f>IFERROR(__xludf.DUMMYFUNCTION("""COMPUTED_VALUE""")," ")</f>
        <v> </v>
      </c>
      <c r="AP1808" s="2" t="str">
        <f>IFERROR(__xludf.DUMMYFUNCTION("""COMPUTED_VALUE"""),"")</f>
        <v/>
      </c>
      <c r="AQ1808" s="2"/>
      <c r="AR1808" s="2"/>
      <c r="AS1808" s="2"/>
      <c r="AT1808" s="2"/>
      <c r="AU1808" s="2"/>
      <c r="AV1808" s="2"/>
      <c r="AW1808" s="2"/>
      <c r="AX1808" s="2"/>
      <c r="AY1808" s="2"/>
      <c r="AZ1808" s="2"/>
      <c r="BA1808" s="2"/>
      <c r="BB1808" s="2"/>
    </row>
    <row r="1809">
      <c r="A1809" s="2"/>
      <c r="B1809" s="2" t="str">
        <f>IFERROR(__xludf.DUMMYFUNCTION("""COMPUTED_VALUE"""),"")</f>
        <v/>
      </c>
      <c r="C1809" s="2"/>
      <c r="D1809" s="71"/>
      <c r="E1809" s="71" t="str">
        <f>IFERROR(__xludf.DUMMYFUNCTION("""COMPUTED_VALUE""")," ")</f>
        <v> </v>
      </c>
      <c r="F1809" s="2"/>
      <c r="G1809" s="2"/>
      <c r="H1809" s="2"/>
      <c r="I1809" s="72"/>
      <c r="J1809" s="72"/>
      <c r="K1809" s="72"/>
      <c r="L1809" s="72"/>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c r="AJ1809" s="2" t="str">
        <f>IFERROR(__xludf.DUMMYFUNCTION("""COMPUTED_VALUE"""),"")</f>
        <v/>
      </c>
      <c r="AK1809" s="2" t="str">
        <f>IFERROR(__xludf.DUMMYFUNCTION("""COMPUTED_VALUE"""),"")</f>
        <v/>
      </c>
      <c r="AL1809" s="2" t="str">
        <f>IFERROR(__xludf.DUMMYFUNCTION("""COMPUTED_VALUE"""),"")</f>
        <v/>
      </c>
      <c r="AM1809" s="2" t="str">
        <f>IFERROR(__xludf.DUMMYFUNCTION("""COMPUTED_VALUE"""),"")</f>
        <v/>
      </c>
      <c r="AN1809" s="2" t="str">
        <f>IFERROR(__xludf.DUMMYFUNCTION("""COMPUTED_VALUE""")," ")</f>
        <v> </v>
      </c>
      <c r="AO1809" s="2" t="str">
        <f>IFERROR(__xludf.DUMMYFUNCTION("""COMPUTED_VALUE""")," ")</f>
        <v> </v>
      </c>
      <c r="AP1809" s="2" t="str">
        <f>IFERROR(__xludf.DUMMYFUNCTION("""COMPUTED_VALUE"""),"")</f>
        <v/>
      </c>
      <c r="AQ1809" s="2"/>
      <c r="AR1809" s="2"/>
      <c r="AS1809" s="2"/>
      <c r="AT1809" s="2"/>
      <c r="AU1809" s="2"/>
      <c r="AV1809" s="2"/>
      <c r="AW1809" s="2"/>
      <c r="AX1809" s="2"/>
      <c r="AY1809" s="2"/>
      <c r="AZ1809" s="2"/>
      <c r="BA1809" s="2"/>
      <c r="BB1809" s="2"/>
    </row>
    <row r="1810">
      <c r="A1810" s="2"/>
      <c r="B1810" s="2" t="str">
        <f>IFERROR(__xludf.DUMMYFUNCTION("""COMPUTED_VALUE"""),"")</f>
        <v/>
      </c>
      <c r="C1810" s="2"/>
      <c r="D1810" s="71"/>
      <c r="E1810" s="71" t="str">
        <f>IFERROR(__xludf.DUMMYFUNCTION("""COMPUTED_VALUE""")," ")</f>
        <v> </v>
      </c>
      <c r="F1810" s="2"/>
      <c r="G1810" s="2"/>
      <c r="H1810" s="2"/>
      <c r="I1810" s="72"/>
      <c r="J1810" s="72"/>
      <c r="K1810" s="72"/>
      <c r="L1810" s="72"/>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c r="AJ1810" s="2" t="str">
        <f>IFERROR(__xludf.DUMMYFUNCTION("""COMPUTED_VALUE"""),"")</f>
        <v/>
      </c>
      <c r="AK1810" s="2" t="str">
        <f>IFERROR(__xludf.DUMMYFUNCTION("""COMPUTED_VALUE"""),"")</f>
        <v/>
      </c>
      <c r="AL1810" s="2" t="str">
        <f>IFERROR(__xludf.DUMMYFUNCTION("""COMPUTED_VALUE"""),"")</f>
        <v/>
      </c>
      <c r="AM1810" s="2" t="str">
        <f>IFERROR(__xludf.DUMMYFUNCTION("""COMPUTED_VALUE"""),"")</f>
        <v/>
      </c>
      <c r="AN1810" s="2" t="str">
        <f>IFERROR(__xludf.DUMMYFUNCTION("""COMPUTED_VALUE""")," ")</f>
        <v> </v>
      </c>
      <c r="AO1810" s="2" t="str">
        <f>IFERROR(__xludf.DUMMYFUNCTION("""COMPUTED_VALUE""")," ")</f>
        <v> </v>
      </c>
      <c r="AP1810" s="2" t="str">
        <f>IFERROR(__xludf.DUMMYFUNCTION("""COMPUTED_VALUE"""),"")</f>
        <v/>
      </c>
      <c r="AQ1810" s="2"/>
      <c r="AR1810" s="2"/>
      <c r="AS1810" s="2"/>
      <c r="AT1810" s="2"/>
      <c r="AU1810" s="2"/>
      <c r="AV1810" s="2"/>
      <c r="AW1810" s="2"/>
      <c r="AX1810" s="2"/>
      <c r="AY1810" s="2"/>
      <c r="AZ1810" s="2"/>
      <c r="BA1810" s="2"/>
      <c r="BB1810" s="2"/>
    </row>
    <row r="1811">
      <c r="A1811" s="2"/>
      <c r="B1811" s="2" t="str">
        <f>IFERROR(__xludf.DUMMYFUNCTION("""COMPUTED_VALUE"""),"")</f>
        <v/>
      </c>
      <c r="C1811" s="2"/>
      <c r="D1811" s="71"/>
      <c r="E1811" s="71" t="str">
        <f>IFERROR(__xludf.DUMMYFUNCTION("""COMPUTED_VALUE""")," ")</f>
        <v> </v>
      </c>
      <c r="F1811" s="2"/>
      <c r="G1811" s="2"/>
      <c r="H1811" s="2"/>
      <c r="I1811" s="72"/>
      <c r="J1811" s="72"/>
      <c r="K1811" s="72"/>
      <c r="L1811" s="72"/>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c r="AJ1811" s="2" t="str">
        <f>IFERROR(__xludf.DUMMYFUNCTION("""COMPUTED_VALUE"""),"")</f>
        <v/>
      </c>
      <c r="AK1811" s="2" t="str">
        <f>IFERROR(__xludf.DUMMYFUNCTION("""COMPUTED_VALUE"""),"")</f>
        <v/>
      </c>
      <c r="AL1811" s="2" t="str">
        <f>IFERROR(__xludf.DUMMYFUNCTION("""COMPUTED_VALUE"""),"")</f>
        <v/>
      </c>
      <c r="AM1811" s="2" t="str">
        <f>IFERROR(__xludf.DUMMYFUNCTION("""COMPUTED_VALUE"""),"")</f>
        <v/>
      </c>
      <c r="AN1811" s="2" t="str">
        <f>IFERROR(__xludf.DUMMYFUNCTION("""COMPUTED_VALUE""")," ")</f>
        <v> </v>
      </c>
      <c r="AO1811" s="2" t="str">
        <f>IFERROR(__xludf.DUMMYFUNCTION("""COMPUTED_VALUE""")," ")</f>
        <v> </v>
      </c>
      <c r="AP1811" s="2" t="str">
        <f>IFERROR(__xludf.DUMMYFUNCTION("""COMPUTED_VALUE"""),"")</f>
        <v/>
      </c>
      <c r="AQ1811" s="2"/>
      <c r="AR1811" s="2"/>
      <c r="AS1811" s="2"/>
      <c r="AT1811" s="2"/>
      <c r="AU1811" s="2"/>
      <c r="AV1811" s="2"/>
      <c r="AW1811" s="2"/>
      <c r="AX1811" s="2"/>
      <c r="AY1811" s="2"/>
      <c r="AZ1811" s="2"/>
      <c r="BA1811" s="2"/>
      <c r="BB1811" s="2"/>
    </row>
    <row r="1812">
      <c r="A1812" s="2"/>
      <c r="B1812" s="2" t="str">
        <f>IFERROR(__xludf.DUMMYFUNCTION("""COMPUTED_VALUE"""),"")</f>
        <v/>
      </c>
      <c r="C1812" s="2"/>
      <c r="D1812" s="71"/>
      <c r="E1812" s="71" t="str">
        <f>IFERROR(__xludf.DUMMYFUNCTION("""COMPUTED_VALUE""")," ")</f>
        <v> </v>
      </c>
      <c r="F1812" s="2"/>
      <c r="G1812" s="2"/>
      <c r="H1812" s="2"/>
      <c r="I1812" s="72"/>
      <c r="J1812" s="72"/>
      <c r="K1812" s="72"/>
      <c r="L1812" s="72"/>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c r="AJ1812" s="2" t="str">
        <f>IFERROR(__xludf.DUMMYFUNCTION("""COMPUTED_VALUE"""),"")</f>
        <v/>
      </c>
      <c r="AK1812" s="2" t="str">
        <f>IFERROR(__xludf.DUMMYFUNCTION("""COMPUTED_VALUE"""),"")</f>
        <v/>
      </c>
      <c r="AL1812" s="2" t="str">
        <f>IFERROR(__xludf.DUMMYFUNCTION("""COMPUTED_VALUE"""),"")</f>
        <v/>
      </c>
      <c r="AM1812" s="2" t="str">
        <f>IFERROR(__xludf.DUMMYFUNCTION("""COMPUTED_VALUE"""),"")</f>
        <v/>
      </c>
      <c r="AN1812" s="2" t="str">
        <f>IFERROR(__xludf.DUMMYFUNCTION("""COMPUTED_VALUE""")," ")</f>
        <v> </v>
      </c>
      <c r="AO1812" s="2" t="str">
        <f>IFERROR(__xludf.DUMMYFUNCTION("""COMPUTED_VALUE""")," ")</f>
        <v> </v>
      </c>
      <c r="AP1812" s="2" t="str">
        <f>IFERROR(__xludf.DUMMYFUNCTION("""COMPUTED_VALUE"""),"")</f>
        <v/>
      </c>
      <c r="AQ1812" s="2"/>
      <c r="AR1812" s="2"/>
      <c r="AS1812" s="2"/>
      <c r="AT1812" s="2"/>
      <c r="AU1812" s="2"/>
      <c r="AV1812" s="2"/>
      <c r="AW1812" s="2"/>
      <c r="AX1812" s="2"/>
      <c r="AY1812" s="2"/>
      <c r="AZ1812" s="2"/>
      <c r="BA1812" s="2"/>
      <c r="BB1812" s="2"/>
    </row>
    <row r="1813">
      <c r="A1813" s="2"/>
      <c r="B1813" s="2" t="str">
        <f>IFERROR(__xludf.DUMMYFUNCTION("""COMPUTED_VALUE"""),"")</f>
        <v/>
      </c>
      <c r="C1813" s="2"/>
      <c r="D1813" s="71"/>
      <c r="E1813" s="71" t="str">
        <f>IFERROR(__xludf.DUMMYFUNCTION("""COMPUTED_VALUE""")," ")</f>
        <v> </v>
      </c>
      <c r="F1813" s="2"/>
      <c r="G1813" s="2"/>
      <c r="H1813" s="2"/>
      <c r="I1813" s="72"/>
      <c r="J1813" s="72"/>
      <c r="K1813" s="72"/>
      <c r="L1813" s="72"/>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c r="AJ1813" s="2" t="str">
        <f>IFERROR(__xludf.DUMMYFUNCTION("""COMPUTED_VALUE"""),"")</f>
        <v/>
      </c>
      <c r="AK1813" s="2" t="str">
        <f>IFERROR(__xludf.DUMMYFUNCTION("""COMPUTED_VALUE"""),"")</f>
        <v/>
      </c>
      <c r="AL1813" s="2" t="str">
        <f>IFERROR(__xludf.DUMMYFUNCTION("""COMPUTED_VALUE"""),"")</f>
        <v/>
      </c>
      <c r="AM1813" s="2" t="str">
        <f>IFERROR(__xludf.DUMMYFUNCTION("""COMPUTED_VALUE"""),"")</f>
        <v/>
      </c>
      <c r="AN1813" s="2" t="str">
        <f>IFERROR(__xludf.DUMMYFUNCTION("""COMPUTED_VALUE""")," ")</f>
        <v> </v>
      </c>
      <c r="AO1813" s="2" t="str">
        <f>IFERROR(__xludf.DUMMYFUNCTION("""COMPUTED_VALUE""")," ")</f>
        <v> </v>
      </c>
      <c r="AP1813" s="2" t="str">
        <f>IFERROR(__xludf.DUMMYFUNCTION("""COMPUTED_VALUE"""),"")</f>
        <v/>
      </c>
      <c r="AQ1813" s="2"/>
      <c r="AR1813" s="2"/>
      <c r="AS1813" s="2"/>
      <c r="AT1813" s="2"/>
      <c r="AU1813" s="2"/>
      <c r="AV1813" s="2"/>
      <c r="AW1813" s="2"/>
      <c r="AX1813" s="2"/>
      <c r="AY1813" s="2"/>
      <c r="AZ1813" s="2"/>
      <c r="BA1813" s="2"/>
      <c r="BB1813" s="2"/>
    </row>
    <row r="1814">
      <c r="A1814" s="2"/>
      <c r="B1814" s="2" t="str">
        <f>IFERROR(__xludf.DUMMYFUNCTION("""COMPUTED_VALUE"""),"")</f>
        <v/>
      </c>
      <c r="C1814" s="2"/>
      <c r="D1814" s="71"/>
      <c r="E1814" s="71" t="str">
        <f>IFERROR(__xludf.DUMMYFUNCTION("""COMPUTED_VALUE""")," ")</f>
        <v> </v>
      </c>
      <c r="F1814" s="2"/>
      <c r="G1814" s="2"/>
      <c r="H1814" s="2"/>
      <c r="I1814" s="72"/>
      <c r="J1814" s="72"/>
      <c r="K1814" s="72"/>
      <c r="L1814" s="72"/>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c r="AJ1814" s="2" t="str">
        <f>IFERROR(__xludf.DUMMYFUNCTION("""COMPUTED_VALUE"""),"")</f>
        <v/>
      </c>
      <c r="AK1814" s="2" t="str">
        <f>IFERROR(__xludf.DUMMYFUNCTION("""COMPUTED_VALUE"""),"")</f>
        <v/>
      </c>
      <c r="AL1814" s="2" t="str">
        <f>IFERROR(__xludf.DUMMYFUNCTION("""COMPUTED_VALUE"""),"")</f>
        <v/>
      </c>
      <c r="AM1814" s="2" t="str">
        <f>IFERROR(__xludf.DUMMYFUNCTION("""COMPUTED_VALUE"""),"")</f>
        <v/>
      </c>
      <c r="AN1814" s="2" t="str">
        <f>IFERROR(__xludf.DUMMYFUNCTION("""COMPUTED_VALUE""")," ")</f>
        <v> </v>
      </c>
      <c r="AO1814" s="2" t="str">
        <f>IFERROR(__xludf.DUMMYFUNCTION("""COMPUTED_VALUE""")," ")</f>
        <v> </v>
      </c>
      <c r="AP1814" s="2" t="str">
        <f>IFERROR(__xludf.DUMMYFUNCTION("""COMPUTED_VALUE"""),"")</f>
        <v/>
      </c>
      <c r="AQ1814" s="2"/>
      <c r="AR1814" s="2"/>
      <c r="AS1814" s="2"/>
      <c r="AT1814" s="2"/>
      <c r="AU1814" s="2"/>
      <c r="AV1814" s="2"/>
      <c r="AW1814" s="2"/>
      <c r="AX1814" s="2"/>
      <c r="AY1814" s="2"/>
      <c r="AZ1814" s="2"/>
      <c r="BA1814" s="2"/>
      <c r="BB1814" s="2"/>
    </row>
    <row r="1815">
      <c r="A1815" s="2"/>
      <c r="B1815" s="2" t="str">
        <f>IFERROR(__xludf.DUMMYFUNCTION("""COMPUTED_VALUE"""),"")</f>
        <v/>
      </c>
      <c r="C1815" s="2"/>
      <c r="D1815" s="71"/>
      <c r="E1815" s="71" t="str">
        <f>IFERROR(__xludf.DUMMYFUNCTION("""COMPUTED_VALUE""")," ")</f>
        <v> </v>
      </c>
      <c r="F1815" s="2"/>
      <c r="G1815" s="2"/>
      <c r="H1815" s="2"/>
      <c r="I1815" s="72"/>
      <c r="J1815" s="72"/>
      <c r="K1815" s="72"/>
      <c r="L1815" s="72"/>
      <c r="M1815" s="2"/>
      <c r="N1815" s="2"/>
      <c r="O1815" s="2"/>
      <c r="P1815" s="2"/>
      <c r="Q1815" s="2"/>
      <c r="R1815" s="2"/>
      <c r="S1815" s="2"/>
      <c r="T1815" s="2"/>
      <c r="U1815" s="2"/>
      <c r="V1815" s="2"/>
      <c r="W1815" s="2"/>
      <c r="X1815" s="2"/>
      <c r="Y1815" s="2"/>
      <c r="Z1815" s="2"/>
      <c r="AA1815" s="2"/>
      <c r="AB1815" s="2"/>
      <c r="AC1815" s="2"/>
      <c r="AD1815" s="2"/>
      <c r="AE1815" s="2"/>
      <c r="AF1815" s="2"/>
      <c r="AG1815" s="2"/>
      <c r="AH1815" s="2"/>
      <c r="AI1815" s="2"/>
      <c r="AJ1815" s="2" t="str">
        <f>IFERROR(__xludf.DUMMYFUNCTION("""COMPUTED_VALUE"""),"")</f>
        <v/>
      </c>
      <c r="AK1815" s="2" t="str">
        <f>IFERROR(__xludf.DUMMYFUNCTION("""COMPUTED_VALUE"""),"")</f>
        <v/>
      </c>
      <c r="AL1815" s="2" t="str">
        <f>IFERROR(__xludf.DUMMYFUNCTION("""COMPUTED_VALUE"""),"")</f>
        <v/>
      </c>
      <c r="AM1815" s="2" t="str">
        <f>IFERROR(__xludf.DUMMYFUNCTION("""COMPUTED_VALUE"""),"")</f>
        <v/>
      </c>
      <c r="AN1815" s="2" t="str">
        <f>IFERROR(__xludf.DUMMYFUNCTION("""COMPUTED_VALUE""")," ")</f>
        <v> </v>
      </c>
      <c r="AO1815" s="2" t="str">
        <f>IFERROR(__xludf.DUMMYFUNCTION("""COMPUTED_VALUE""")," ")</f>
        <v> </v>
      </c>
      <c r="AP1815" s="2" t="str">
        <f>IFERROR(__xludf.DUMMYFUNCTION("""COMPUTED_VALUE"""),"")</f>
        <v/>
      </c>
      <c r="AQ1815" s="2"/>
      <c r="AR1815" s="2"/>
      <c r="AS1815" s="2"/>
      <c r="AT1815" s="2"/>
      <c r="AU1815" s="2"/>
      <c r="AV1815" s="2"/>
      <c r="AW1815" s="2"/>
      <c r="AX1815" s="2"/>
      <c r="AY1815" s="2"/>
      <c r="AZ1815" s="2"/>
      <c r="BA1815" s="2"/>
      <c r="BB1815" s="2"/>
    </row>
    <row r="1816">
      <c r="A1816" s="2"/>
      <c r="B1816" s="2" t="str">
        <f>IFERROR(__xludf.DUMMYFUNCTION("""COMPUTED_VALUE"""),"")</f>
        <v/>
      </c>
      <c r="C1816" s="2"/>
      <c r="D1816" s="71"/>
      <c r="E1816" s="71" t="str">
        <f>IFERROR(__xludf.DUMMYFUNCTION("""COMPUTED_VALUE""")," ")</f>
        <v> </v>
      </c>
      <c r="F1816" s="2"/>
      <c r="G1816" s="2"/>
      <c r="H1816" s="2"/>
      <c r="I1816" s="72"/>
      <c r="J1816" s="72"/>
      <c r="K1816" s="72"/>
      <c r="L1816" s="72"/>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c r="AJ1816" s="2" t="str">
        <f>IFERROR(__xludf.DUMMYFUNCTION("""COMPUTED_VALUE"""),"")</f>
        <v/>
      </c>
      <c r="AK1816" s="2" t="str">
        <f>IFERROR(__xludf.DUMMYFUNCTION("""COMPUTED_VALUE"""),"")</f>
        <v/>
      </c>
      <c r="AL1816" s="2" t="str">
        <f>IFERROR(__xludf.DUMMYFUNCTION("""COMPUTED_VALUE"""),"")</f>
        <v/>
      </c>
      <c r="AM1816" s="2" t="str">
        <f>IFERROR(__xludf.DUMMYFUNCTION("""COMPUTED_VALUE"""),"")</f>
        <v/>
      </c>
      <c r="AN1816" s="2" t="str">
        <f>IFERROR(__xludf.DUMMYFUNCTION("""COMPUTED_VALUE""")," ")</f>
        <v> </v>
      </c>
      <c r="AO1816" s="2" t="str">
        <f>IFERROR(__xludf.DUMMYFUNCTION("""COMPUTED_VALUE""")," ")</f>
        <v> </v>
      </c>
      <c r="AP1816" s="2" t="str">
        <f>IFERROR(__xludf.DUMMYFUNCTION("""COMPUTED_VALUE"""),"")</f>
        <v/>
      </c>
      <c r="AQ1816" s="2"/>
      <c r="AR1816" s="2"/>
      <c r="AS1816" s="2"/>
      <c r="AT1816" s="2"/>
      <c r="AU1816" s="2"/>
      <c r="AV1816" s="2"/>
      <c r="AW1816" s="2"/>
      <c r="AX1816" s="2"/>
      <c r="AY1816" s="2"/>
      <c r="AZ1816" s="2"/>
      <c r="BA1816" s="2"/>
      <c r="BB1816" s="2"/>
    </row>
    <row r="1817">
      <c r="A1817" s="2"/>
      <c r="B1817" s="2" t="str">
        <f>IFERROR(__xludf.DUMMYFUNCTION("""COMPUTED_VALUE"""),"")</f>
        <v/>
      </c>
      <c r="C1817" s="2"/>
      <c r="D1817" s="71"/>
      <c r="E1817" s="71" t="str">
        <f>IFERROR(__xludf.DUMMYFUNCTION("""COMPUTED_VALUE""")," ")</f>
        <v> </v>
      </c>
      <c r="F1817" s="2"/>
      <c r="G1817" s="2"/>
      <c r="H1817" s="2"/>
      <c r="I1817" s="72"/>
      <c r="J1817" s="72"/>
      <c r="K1817" s="72"/>
      <c r="L1817" s="72"/>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c r="AJ1817" s="2" t="str">
        <f>IFERROR(__xludf.DUMMYFUNCTION("""COMPUTED_VALUE"""),"")</f>
        <v/>
      </c>
      <c r="AK1817" s="2" t="str">
        <f>IFERROR(__xludf.DUMMYFUNCTION("""COMPUTED_VALUE"""),"")</f>
        <v/>
      </c>
      <c r="AL1817" s="2" t="str">
        <f>IFERROR(__xludf.DUMMYFUNCTION("""COMPUTED_VALUE"""),"")</f>
        <v/>
      </c>
      <c r="AM1817" s="2" t="str">
        <f>IFERROR(__xludf.DUMMYFUNCTION("""COMPUTED_VALUE"""),"")</f>
        <v/>
      </c>
      <c r="AN1817" s="2" t="str">
        <f>IFERROR(__xludf.DUMMYFUNCTION("""COMPUTED_VALUE""")," ")</f>
        <v> </v>
      </c>
      <c r="AO1817" s="2" t="str">
        <f>IFERROR(__xludf.DUMMYFUNCTION("""COMPUTED_VALUE""")," ")</f>
        <v> </v>
      </c>
      <c r="AP1817" s="2" t="str">
        <f>IFERROR(__xludf.DUMMYFUNCTION("""COMPUTED_VALUE"""),"")</f>
        <v/>
      </c>
      <c r="AQ1817" s="2"/>
      <c r="AR1817" s="2"/>
      <c r="AS1817" s="2"/>
      <c r="AT1817" s="2"/>
      <c r="AU1817" s="2"/>
      <c r="AV1817" s="2"/>
      <c r="AW1817" s="2"/>
      <c r="AX1817" s="2"/>
      <c r="AY1817" s="2"/>
      <c r="AZ1817" s="2"/>
      <c r="BA1817" s="2"/>
      <c r="BB1817" s="2"/>
    </row>
    <row r="1818">
      <c r="A1818" s="2"/>
      <c r="B1818" s="2" t="str">
        <f>IFERROR(__xludf.DUMMYFUNCTION("""COMPUTED_VALUE"""),"")</f>
        <v/>
      </c>
      <c r="C1818" s="2"/>
      <c r="D1818" s="71"/>
      <c r="E1818" s="71" t="str">
        <f>IFERROR(__xludf.DUMMYFUNCTION("""COMPUTED_VALUE""")," ")</f>
        <v> </v>
      </c>
      <c r="F1818" s="2"/>
      <c r="G1818" s="2"/>
      <c r="H1818" s="2"/>
      <c r="I1818" s="72"/>
      <c r="J1818" s="72"/>
      <c r="K1818" s="72"/>
      <c r="L1818" s="72"/>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c r="AJ1818" s="2" t="str">
        <f>IFERROR(__xludf.DUMMYFUNCTION("""COMPUTED_VALUE"""),"")</f>
        <v/>
      </c>
      <c r="AK1818" s="2" t="str">
        <f>IFERROR(__xludf.DUMMYFUNCTION("""COMPUTED_VALUE"""),"")</f>
        <v/>
      </c>
      <c r="AL1818" s="2" t="str">
        <f>IFERROR(__xludf.DUMMYFUNCTION("""COMPUTED_VALUE"""),"")</f>
        <v/>
      </c>
      <c r="AM1818" s="2" t="str">
        <f>IFERROR(__xludf.DUMMYFUNCTION("""COMPUTED_VALUE"""),"")</f>
        <v/>
      </c>
      <c r="AN1818" s="2" t="str">
        <f>IFERROR(__xludf.DUMMYFUNCTION("""COMPUTED_VALUE""")," ")</f>
        <v> </v>
      </c>
      <c r="AO1818" s="2" t="str">
        <f>IFERROR(__xludf.DUMMYFUNCTION("""COMPUTED_VALUE""")," ")</f>
        <v> </v>
      </c>
      <c r="AP1818" s="2" t="str">
        <f>IFERROR(__xludf.DUMMYFUNCTION("""COMPUTED_VALUE"""),"")</f>
        <v/>
      </c>
      <c r="AQ1818" s="2"/>
      <c r="AR1818" s="2"/>
      <c r="AS1818" s="2"/>
      <c r="AT1818" s="2"/>
      <c r="AU1818" s="2"/>
      <c r="AV1818" s="2"/>
      <c r="AW1818" s="2"/>
      <c r="AX1818" s="2"/>
      <c r="AY1818" s="2"/>
      <c r="AZ1818" s="2"/>
      <c r="BA1818" s="2"/>
      <c r="BB1818" s="2"/>
    </row>
    <row r="1819">
      <c r="A1819" s="2"/>
      <c r="B1819" s="2" t="str">
        <f>IFERROR(__xludf.DUMMYFUNCTION("""COMPUTED_VALUE"""),"")</f>
        <v/>
      </c>
      <c r="C1819" s="2"/>
      <c r="D1819" s="71"/>
      <c r="E1819" s="71" t="str">
        <f>IFERROR(__xludf.DUMMYFUNCTION("""COMPUTED_VALUE""")," ")</f>
        <v> </v>
      </c>
      <c r="F1819" s="2"/>
      <c r="G1819" s="2"/>
      <c r="H1819" s="2"/>
      <c r="I1819" s="72"/>
      <c r="J1819" s="72"/>
      <c r="K1819" s="72"/>
      <c r="L1819" s="72"/>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c r="AJ1819" s="2" t="str">
        <f>IFERROR(__xludf.DUMMYFUNCTION("""COMPUTED_VALUE"""),"")</f>
        <v/>
      </c>
      <c r="AK1819" s="2" t="str">
        <f>IFERROR(__xludf.DUMMYFUNCTION("""COMPUTED_VALUE"""),"")</f>
        <v/>
      </c>
      <c r="AL1819" s="2" t="str">
        <f>IFERROR(__xludf.DUMMYFUNCTION("""COMPUTED_VALUE"""),"")</f>
        <v/>
      </c>
      <c r="AM1819" s="2" t="str">
        <f>IFERROR(__xludf.DUMMYFUNCTION("""COMPUTED_VALUE"""),"")</f>
        <v/>
      </c>
      <c r="AN1819" s="2" t="str">
        <f>IFERROR(__xludf.DUMMYFUNCTION("""COMPUTED_VALUE""")," ")</f>
        <v> </v>
      </c>
      <c r="AO1819" s="2" t="str">
        <f>IFERROR(__xludf.DUMMYFUNCTION("""COMPUTED_VALUE""")," ")</f>
        <v> </v>
      </c>
      <c r="AP1819" s="2" t="str">
        <f>IFERROR(__xludf.DUMMYFUNCTION("""COMPUTED_VALUE"""),"")</f>
        <v/>
      </c>
      <c r="AQ1819" s="2"/>
      <c r="AR1819" s="2"/>
      <c r="AS1819" s="2"/>
      <c r="AT1819" s="2"/>
      <c r="AU1819" s="2"/>
      <c r="AV1819" s="2"/>
      <c r="AW1819" s="2"/>
      <c r="AX1819" s="2"/>
      <c r="AY1819" s="2"/>
      <c r="AZ1819" s="2"/>
      <c r="BA1819" s="2"/>
      <c r="BB1819" s="2"/>
    </row>
    <row r="1820">
      <c r="A1820" s="2"/>
      <c r="B1820" s="2" t="str">
        <f>IFERROR(__xludf.DUMMYFUNCTION("""COMPUTED_VALUE"""),"")</f>
        <v/>
      </c>
      <c r="C1820" s="2"/>
      <c r="D1820" s="71"/>
      <c r="E1820" s="71" t="str">
        <f>IFERROR(__xludf.DUMMYFUNCTION("""COMPUTED_VALUE""")," ")</f>
        <v> </v>
      </c>
      <c r="F1820" s="2"/>
      <c r="G1820" s="2"/>
      <c r="H1820" s="2"/>
      <c r="I1820" s="72"/>
      <c r="J1820" s="72"/>
      <c r="K1820" s="72"/>
      <c r="L1820" s="72"/>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c r="AJ1820" s="2" t="str">
        <f>IFERROR(__xludf.DUMMYFUNCTION("""COMPUTED_VALUE"""),"")</f>
        <v/>
      </c>
      <c r="AK1820" s="2" t="str">
        <f>IFERROR(__xludf.DUMMYFUNCTION("""COMPUTED_VALUE"""),"")</f>
        <v/>
      </c>
      <c r="AL1820" s="2" t="str">
        <f>IFERROR(__xludf.DUMMYFUNCTION("""COMPUTED_VALUE"""),"")</f>
        <v/>
      </c>
      <c r="AM1820" s="2" t="str">
        <f>IFERROR(__xludf.DUMMYFUNCTION("""COMPUTED_VALUE"""),"")</f>
        <v/>
      </c>
      <c r="AN1820" s="2" t="str">
        <f>IFERROR(__xludf.DUMMYFUNCTION("""COMPUTED_VALUE""")," ")</f>
        <v> </v>
      </c>
      <c r="AO1820" s="2" t="str">
        <f>IFERROR(__xludf.DUMMYFUNCTION("""COMPUTED_VALUE""")," ")</f>
        <v> </v>
      </c>
      <c r="AP1820" s="2" t="str">
        <f>IFERROR(__xludf.DUMMYFUNCTION("""COMPUTED_VALUE"""),"")</f>
        <v/>
      </c>
      <c r="AQ1820" s="2"/>
      <c r="AR1820" s="2"/>
      <c r="AS1820" s="2"/>
      <c r="AT1820" s="2"/>
      <c r="AU1820" s="2"/>
      <c r="AV1820" s="2"/>
      <c r="AW1820" s="2"/>
      <c r="AX1820" s="2"/>
      <c r="AY1820" s="2"/>
      <c r="AZ1820" s="2"/>
      <c r="BA1820" s="2"/>
      <c r="BB1820" s="2"/>
    </row>
    <row r="1821">
      <c r="A1821" s="2"/>
      <c r="B1821" s="2" t="str">
        <f>IFERROR(__xludf.DUMMYFUNCTION("""COMPUTED_VALUE"""),"")</f>
        <v/>
      </c>
      <c r="C1821" s="2"/>
      <c r="D1821" s="71"/>
      <c r="E1821" s="71" t="str">
        <f>IFERROR(__xludf.DUMMYFUNCTION("""COMPUTED_VALUE""")," ")</f>
        <v> </v>
      </c>
      <c r="F1821" s="2"/>
      <c r="G1821" s="2"/>
      <c r="H1821" s="2"/>
      <c r="I1821" s="72"/>
      <c r="J1821" s="72"/>
      <c r="K1821" s="72"/>
      <c r="L1821" s="72"/>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c r="AJ1821" s="2" t="str">
        <f>IFERROR(__xludf.DUMMYFUNCTION("""COMPUTED_VALUE"""),"")</f>
        <v/>
      </c>
      <c r="AK1821" s="2" t="str">
        <f>IFERROR(__xludf.DUMMYFUNCTION("""COMPUTED_VALUE"""),"")</f>
        <v/>
      </c>
      <c r="AL1821" s="2" t="str">
        <f>IFERROR(__xludf.DUMMYFUNCTION("""COMPUTED_VALUE"""),"")</f>
        <v/>
      </c>
      <c r="AM1821" s="2" t="str">
        <f>IFERROR(__xludf.DUMMYFUNCTION("""COMPUTED_VALUE"""),"")</f>
        <v/>
      </c>
      <c r="AN1821" s="2" t="str">
        <f>IFERROR(__xludf.DUMMYFUNCTION("""COMPUTED_VALUE""")," ")</f>
        <v> </v>
      </c>
      <c r="AO1821" s="2" t="str">
        <f>IFERROR(__xludf.DUMMYFUNCTION("""COMPUTED_VALUE""")," ")</f>
        <v> </v>
      </c>
      <c r="AP1821" s="2" t="str">
        <f>IFERROR(__xludf.DUMMYFUNCTION("""COMPUTED_VALUE"""),"")</f>
        <v/>
      </c>
      <c r="AQ1821" s="2"/>
      <c r="AR1821" s="2"/>
      <c r="AS1821" s="2"/>
      <c r="AT1821" s="2"/>
      <c r="AU1821" s="2"/>
      <c r="AV1821" s="2"/>
      <c r="AW1821" s="2"/>
      <c r="AX1821" s="2"/>
      <c r="AY1821" s="2"/>
      <c r="AZ1821" s="2"/>
      <c r="BA1821" s="2"/>
      <c r="BB1821" s="2"/>
    </row>
    <row r="1822">
      <c r="A1822" s="2"/>
      <c r="B1822" s="2" t="str">
        <f>IFERROR(__xludf.DUMMYFUNCTION("""COMPUTED_VALUE"""),"")</f>
        <v/>
      </c>
      <c r="C1822" s="2"/>
      <c r="D1822" s="71"/>
      <c r="E1822" s="71" t="str">
        <f>IFERROR(__xludf.DUMMYFUNCTION("""COMPUTED_VALUE""")," ")</f>
        <v> </v>
      </c>
      <c r="F1822" s="2"/>
      <c r="G1822" s="2"/>
      <c r="H1822" s="2"/>
      <c r="I1822" s="72"/>
      <c r="J1822" s="72"/>
      <c r="K1822" s="72"/>
      <c r="L1822" s="72"/>
      <c r="M1822" s="2"/>
      <c r="N1822" s="2"/>
      <c r="O1822" s="2"/>
      <c r="P1822" s="2"/>
      <c r="Q1822" s="2"/>
      <c r="R1822" s="2"/>
      <c r="S1822" s="2"/>
      <c r="T1822" s="2"/>
      <c r="U1822" s="2"/>
      <c r="V1822" s="2"/>
      <c r="W1822" s="2"/>
      <c r="X1822" s="2"/>
      <c r="Y1822" s="2"/>
      <c r="Z1822" s="2"/>
      <c r="AA1822" s="2"/>
      <c r="AB1822" s="2"/>
      <c r="AC1822" s="2"/>
      <c r="AD1822" s="2"/>
      <c r="AE1822" s="2"/>
      <c r="AF1822" s="2"/>
      <c r="AG1822" s="2"/>
      <c r="AH1822" s="2"/>
      <c r="AI1822" s="2"/>
      <c r="AJ1822" s="2" t="str">
        <f>IFERROR(__xludf.DUMMYFUNCTION("""COMPUTED_VALUE"""),"")</f>
        <v/>
      </c>
      <c r="AK1822" s="2" t="str">
        <f>IFERROR(__xludf.DUMMYFUNCTION("""COMPUTED_VALUE"""),"")</f>
        <v/>
      </c>
      <c r="AL1822" s="2" t="str">
        <f>IFERROR(__xludf.DUMMYFUNCTION("""COMPUTED_VALUE"""),"")</f>
        <v/>
      </c>
      <c r="AM1822" s="2" t="str">
        <f>IFERROR(__xludf.DUMMYFUNCTION("""COMPUTED_VALUE"""),"")</f>
        <v/>
      </c>
      <c r="AN1822" s="2" t="str">
        <f>IFERROR(__xludf.DUMMYFUNCTION("""COMPUTED_VALUE""")," ")</f>
        <v> </v>
      </c>
      <c r="AO1822" s="2" t="str">
        <f>IFERROR(__xludf.DUMMYFUNCTION("""COMPUTED_VALUE""")," ")</f>
        <v> </v>
      </c>
      <c r="AP1822" s="2" t="str">
        <f>IFERROR(__xludf.DUMMYFUNCTION("""COMPUTED_VALUE"""),"")</f>
        <v/>
      </c>
      <c r="AQ1822" s="2"/>
      <c r="AR1822" s="2"/>
      <c r="AS1822" s="2"/>
      <c r="AT1822" s="2"/>
      <c r="AU1822" s="2"/>
      <c r="AV1822" s="2"/>
      <c r="AW1822" s="2"/>
      <c r="AX1822" s="2"/>
      <c r="AY1822" s="2"/>
      <c r="AZ1822" s="2"/>
      <c r="BA1822" s="2"/>
      <c r="BB1822" s="2"/>
    </row>
    <row r="1823">
      <c r="A1823" s="2"/>
      <c r="B1823" s="2" t="str">
        <f>IFERROR(__xludf.DUMMYFUNCTION("""COMPUTED_VALUE"""),"")</f>
        <v/>
      </c>
      <c r="C1823" s="2"/>
      <c r="D1823" s="71"/>
      <c r="E1823" s="71" t="str">
        <f>IFERROR(__xludf.DUMMYFUNCTION("""COMPUTED_VALUE""")," ")</f>
        <v> </v>
      </c>
      <c r="F1823" s="2"/>
      <c r="G1823" s="2"/>
      <c r="H1823" s="2"/>
      <c r="I1823" s="72"/>
      <c r="J1823" s="72"/>
      <c r="K1823" s="72"/>
      <c r="L1823" s="72"/>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c r="AJ1823" s="2" t="str">
        <f>IFERROR(__xludf.DUMMYFUNCTION("""COMPUTED_VALUE"""),"")</f>
        <v/>
      </c>
      <c r="AK1823" s="2" t="str">
        <f>IFERROR(__xludf.DUMMYFUNCTION("""COMPUTED_VALUE"""),"")</f>
        <v/>
      </c>
      <c r="AL1823" s="2" t="str">
        <f>IFERROR(__xludf.DUMMYFUNCTION("""COMPUTED_VALUE"""),"")</f>
        <v/>
      </c>
      <c r="AM1823" s="2" t="str">
        <f>IFERROR(__xludf.DUMMYFUNCTION("""COMPUTED_VALUE"""),"")</f>
        <v/>
      </c>
      <c r="AN1823" s="2" t="str">
        <f>IFERROR(__xludf.DUMMYFUNCTION("""COMPUTED_VALUE""")," ")</f>
        <v> </v>
      </c>
      <c r="AO1823" s="2" t="str">
        <f>IFERROR(__xludf.DUMMYFUNCTION("""COMPUTED_VALUE""")," ")</f>
        <v> </v>
      </c>
      <c r="AP1823" s="2" t="str">
        <f>IFERROR(__xludf.DUMMYFUNCTION("""COMPUTED_VALUE"""),"")</f>
        <v/>
      </c>
      <c r="AQ1823" s="2"/>
      <c r="AR1823" s="2"/>
      <c r="AS1823" s="2"/>
      <c r="AT1823" s="2"/>
      <c r="AU1823" s="2"/>
      <c r="AV1823" s="2"/>
      <c r="AW1823" s="2"/>
      <c r="AX1823" s="2"/>
      <c r="AY1823" s="2"/>
      <c r="AZ1823" s="2"/>
      <c r="BA1823" s="2"/>
      <c r="BB1823" s="2"/>
    </row>
    <row r="1824">
      <c r="A1824" s="2"/>
      <c r="B1824" s="2" t="str">
        <f>IFERROR(__xludf.DUMMYFUNCTION("""COMPUTED_VALUE"""),"")</f>
        <v/>
      </c>
      <c r="C1824" s="2"/>
      <c r="D1824" s="71"/>
      <c r="E1824" s="71" t="str">
        <f>IFERROR(__xludf.DUMMYFUNCTION("""COMPUTED_VALUE""")," ")</f>
        <v> </v>
      </c>
      <c r="F1824" s="2"/>
      <c r="G1824" s="2"/>
      <c r="H1824" s="2"/>
      <c r="I1824" s="72"/>
      <c r="J1824" s="72"/>
      <c r="K1824" s="72"/>
      <c r="L1824" s="72"/>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c r="AJ1824" s="2" t="str">
        <f>IFERROR(__xludf.DUMMYFUNCTION("""COMPUTED_VALUE"""),"")</f>
        <v/>
      </c>
      <c r="AK1824" s="2" t="str">
        <f>IFERROR(__xludf.DUMMYFUNCTION("""COMPUTED_VALUE"""),"")</f>
        <v/>
      </c>
      <c r="AL1824" s="2" t="str">
        <f>IFERROR(__xludf.DUMMYFUNCTION("""COMPUTED_VALUE"""),"")</f>
        <v/>
      </c>
      <c r="AM1824" s="2" t="str">
        <f>IFERROR(__xludf.DUMMYFUNCTION("""COMPUTED_VALUE"""),"")</f>
        <v/>
      </c>
      <c r="AN1824" s="2" t="str">
        <f>IFERROR(__xludf.DUMMYFUNCTION("""COMPUTED_VALUE""")," ")</f>
        <v> </v>
      </c>
      <c r="AO1824" s="2" t="str">
        <f>IFERROR(__xludf.DUMMYFUNCTION("""COMPUTED_VALUE""")," ")</f>
        <v> </v>
      </c>
      <c r="AP1824" s="2" t="str">
        <f>IFERROR(__xludf.DUMMYFUNCTION("""COMPUTED_VALUE"""),"")</f>
        <v/>
      </c>
      <c r="AQ1824" s="2"/>
      <c r="AR1824" s="2"/>
      <c r="AS1824" s="2"/>
      <c r="AT1824" s="2"/>
      <c r="AU1824" s="2"/>
      <c r="AV1824" s="2"/>
      <c r="AW1824" s="2"/>
      <c r="AX1824" s="2"/>
      <c r="AY1824" s="2"/>
      <c r="AZ1824" s="2"/>
      <c r="BA1824" s="2"/>
      <c r="BB1824" s="2"/>
    </row>
    <row r="1825">
      <c r="A1825" s="2"/>
      <c r="B1825" s="2"/>
      <c r="C1825" s="2"/>
      <c r="D1825" s="71"/>
      <c r="E1825" s="71"/>
      <c r="F1825" s="2"/>
      <c r="G1825" s="2"/>
      <c r="H1825" s="2"/>
      <c r="I1825" s="72"/>
      <c r="J1825" s="72"/>
      <c r="K1825" s="72"/>
      <c r="L1825" s="72"/>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c r="AJ1825" s="2"/>
      <c r="AK1825" s="2"/>
      <c r="AL1825" s="2"/>
      <c r="AM1825" s="2"/>
      <c r="AN1825" s="2"/>
      <c r="AO1825" s="2"/>
      <c r="AP1825" s="2"/>
      <c r="AQ1825" s="2"/>
      <c r="AR1825" s="2"/>
      <c r="AS1825" s="2"/>
      <c r="AT1825" s="2"/>
      <c r="AU1825" s="2"/>
      <c r="AV1825" s="2"/>
      <c r="AW1825" s="2"/>
      <c r="AX1825" s="2"/>
      <c r="AY1825" s="2"/>
      <c r="AZ1825" s="2"/>
      <c r="BA1825" s="2"/>
      <c r="BB1825" s="2"/>
    </row>
    <row r="1826">
      <c r="A1826" s="2"/>
      <c r="B1826" s="2"/>
      <c r="C1826" s="2"/>
      <c r="D1826" s="71"/>
      <c r="E1826" s="71"/>
      <c r="F1826" s="2"/>
      <c r="G1826" s="2"/>
      <c r="H1826" s="2"/>
      <c r="I1826" s="72"/>
      <c r="J1826" s="72"/>
      <c r="K1826" s="72"/>
      <c r="L1826" s="72"/>
      <c r="M1826" s="2"/>
      <c r="N1826" s="2"/>
      <c r="O1826" s="2"/>
      <c r="P1826" s="2"/>
      <c r="Q1826" s="2"/>
      <c r="R1826" s="2"/>
      <c r="S1826" s="2"/>
      <c r="T1826" s="2"/>
      <c r="U1826" s="2"/>
      <c r="V1826" s="2"/>
      <c r="W1826" s="2"/>
      <c r="X1826" s="2"/>
      <c r="Y1826" s="2"/>
      <c r="Z1826" s="2"/>
      <c r="AA1826" s="2"/>
      <c r="AB1826" s="2"/>
      <c r="AC1826" s="2"/>
      <c r="AD1826" s="2"/>
      <c r="AE1826" s="2"/>
      <c r="AF1826" s="2"/>
      <c r="AG1826" s="2"/>
      <c r="AH1826" s="2"/>
      <c r="AI1826" s="2"/>
      <c r="AJ1826" s="2"/>
      <c r="AK1826" s="2"/>
      <c r="AL1826" s="2"/>
      <c r="AM1826" s="2"/>
      <c r="AN1826" s="2"/>
      <c r="AO1826" s="2"/>
      <c r="AP1826" s="2"/>
      <c r="AQ1826" s="2"/>
      <c r="AR1826" s="2"/>
      <c r="AS1826" s="2"/>
      <c r="AT1826" s="2"/>
      <c r="AU1826" s="2"/>
      <c r="AV1826" s="2"/>
      <c r="AW1826" s="2"/>
      <c r="AX1826" s="2"/>
      <c r="AY1826" s="2"/>
      <c r="AZ1826" s="2"/>
      <c r="BA1826" s="2"/>
      <c r="BB1826" s="2"/>
    </row>
    <row r="1827">
      <c r="A1827" s="2"/>
      <c r="B1827" s="2"/>
      <c r="C1827" s="2"/>
      <c r="D1827" s="71"/>
      <c r="E1827" s="71"/>
      <c r="F1827" s="2"/>
      <c r="G1827" s="2"/>
      <c r="H1827" s="2"/>
      <c r="I1827" s="72"/>
      <c r="J1827" s="72"/>
      <c r="K1827" s="72"/>
      <c r="L1827" s="72"/>
      <c r="M1827" s="2"/>
      <c r="N1827" s="2"/>
      <c r="O1827" s="2"/>
      <c r="P1827" s="2"/>
      <c r="Q1827" s="2"/>
      <c r="R1827" s="2"/>
      <c r="S1827" s="2"/>
      <c r="T1827" s="2"/>
      <c r="U1827" s="2"/>
      <c r="V1827" s="2"/>
      <c r="W1827" s="2"/>
      <c r="X1827" s="2"/>
      <c r="Y1827" s="2"/>
      <c r="Z1827" s="2"/>
      <c r="AA1827" s="2"/>
      <c r="AB1827" s="2"/>
      <c r="AC1827" s="2"/>
      <c r="AD1827" s="2"/>
      <c r="AE1827" s="2"/>
      <c r="AF1827" s="2"/>
      <c r="AG1827" s="2"/>
      <c r="AH1827" s="2"/>
      <c r="AI1827" s="2"/>
      <c r="AJ1827" s="2" t="str">
        <f>IFERROR(__xludf.DUMMYFUNCTION("""COMPUTED_VALUE"""),"")</f>
        <v/>
      </c>
      <c r="AK1827" s="2" t="str">
        <f>IFERROR(__xludf.DUMMYFUNCTION("""COMPUTED_VALUE"""),"")</f>
        <v/>
      </c>
      <c r="AL1827" s="2" t="str">
        <f>IFERROR(__xludf.DUMMYFUNCTION("""COMPUTED_VALUE"""),"")</f>
        <v/>
      </c>
      <c r="AM1827" s="2" t="str">
        <f>IFERROR(__xludf.DUMMYFUNCTION("""COMPUTED_VALUE"""),"")</f>
        <v/>
      </c>
      <c r="AN1827" s="2" t="str">
        <f>IFERROR(__xludf.DUMMYFUNCTION("""COMPUTED_VALUE""")," ")</f>
        <v> </v>
      </c>
      <c r="AO1827" s="2" t="str">
        <f>IFERROR(__xludf.DUMMYFUNCTION("""COMPUTED_VALUE""")," ")</f>
        <v> </v>
      </c>
      <c r="AP1827" s="2" t="str">
        <f>IFERROR(__xludf.DUMMYFUNCTION("""COMPUTED_VALUE"""),"")</f>
        <v/>
      </c>
      <c r="AQ1827" s="2"/>
      <c r="AR1827" s="2"/>
      <c r="AS1827" s="2"/>
      <c r="AT1827" s="2"/>
      <c r="AU1827" s="2"/>
      <c r="AV1827" s="2"/>
      <c r="AW1827" s="2"/>
      <c r="AX1827" s="2"/>
      <c r="AY1827" s="2"/>
      <c r="AZ1827" s="2"/>
      <c r="BA1827" s="2"/>
      <c r="BB1827" s="2"/>
    </row>
    <row r="1828">
      <c r="A1828" s="2"/>
      <c r="B1828" s="2" t="str">
        <f>IFERROR(__xludf.DUMMYFUNCTION("""COMPUTED_VALUE"""),"")</f>
        <v/>
      </c>
      <c r="C1828" s="2"/>
      <c r="D1828" s="71"/>
      <c r="E1828" s="71" t="str">
        <f>IFERROR(__xludf.DUMMYFUNCTION("""COMPUTED_VALUE""")," ")</f>
        <v> </v>
      </c>
      <c r="F1828" s="2"/>
      <c r="G1828" s="2"/>
      <c r="H1828" s="2"/>
      <c r="I1828" s="72"/>
      <c r="J1828" s="72"/>
      <c r="K1828" s="72"/>
      <c r="L1828" s="72"/>
      <c r="M1828" s="2"/>
      <c r="N1828" s="2"/>
      <c r="O1828" s="2"/>
      <c r="P1828" s="2"/>
      <c r="Q1828" s="2"/>
      <c r="R1828" s="2"/>
      <c r="S1828" s="2"/>
      <c r="T1828" s="2"/>
      <c r="U1828" s="2"/>
      <c r="V1828" s="2"/>
      <c r="W1828" s="2"/>
      <c r="X1828" s="2"/>
      <c r="Y1828" s="2"/>
      <c r="Z1828" s="2"/>
      <c r="AA1828" s="2"/>
      <c r="AB1828" s="2"/>
      <c r="AC1828" s="2"/>
      <c r="AD1828" s="2"/>
      <c r="AE1828" s="2"/>
      <c r="AF1828" s="2"/>
      <c r="AG1828" s="2"/>
      <c r="AH1828" s="2"/>
      <c r="AI1828" s="2"/>
      <c r="AJ1828" s="2" t="str">
        <f>IFERROR(__xludf.DUMMYFUNCTION("""COMPUTED_VALUE"""),"")</f>
        <v/>
      </c>
      <c r="AK1828" s="2" t="str">
        <f>IFERROR(__xludf.DUMMYFUNCTION("""COMPUTED_VALUE"""),"")</f>
        <v/>
      </c>
      <c r="AL1828" s="2" t="str">
        <f>IFERROR(__xludf.DUMMYFUNCTION("""COMPUTED_VALUE"""),"")</f>
        <v/>
      </c>
      <c r="AM1828" s="2" t="str">
        <f>IFERROR(__xludf.DUMMYFUNCTION("""COMPUTED_VALUE"""),"")</f>
        <v/>
      </c>
      <c r="AN1828" s="2" t="str">
        <f>IFERROR(__xludf.DUMMYFUNCTION("""COMPUTED_VALUE""")," ")</f>
        <v> </v>
      </c>
      <c r="AO1828" s="2" t="str">
        <f>IFERROR(__xludf.DUMMYFUNCTION("""COMPUTED_VALUE""")," ")</f>
        <v> </v>
      </c>
      <c r="AP1828" s="2" t="str">
        <f>IFERROR(__xludf.DUMMYFUNCTION("""COMPUTED_VALUE"""),"")</f>
        <v/>
      </c>
      <c r="AQ1828" s="2"/>
      <c r="AR1828" s="2"/>
      <c r="AS1828" s="2"/>
      <c r="AT1828" s="2"/>
      <c r="AU1828" s="2"/>
      <c r="AV1828" s="2"/>
      <c r="AW1828" s="2"/>
      <c r="AX1828" s="2"/>
      <c r="AY1828" s="2"/>
      <c r="AZ1828" s="2"/>
      <c r="BA1828" s="2"/>
      <c r="BB1828" s="2"/>
    </row>
    <row r="1829">
      <c r="A1829" s="2"/>
      <c r="B1829" s="2"/>
      <c r="C1829" s="2"/>
      <c r="D1829" s="71"/>
      <c r="E1829" s="71"/>
      <c r="F1829" s="2"/>
      <c r="G1829" s="2"/>
      <c r="H1829" s="2"/>
      <c r="I1829" s="72"/>
      <c r="J1829" s="72"/>
      <c r="K1829" s="72"/>
      <c r="L1829" s="72"/>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c r="AJ1829" s="2"/>
      <c r="AK1829" s="2"/>
      <c r="AL1829" s="2"/>
      <c r="AM1829" s="2"/>
      <c r="AN1829" s="2"/>
      <c r="AO1829" s="2"/>
      <c r="AP1829" s="2"/>
      <c r="AQ1829" s="2"/>
      <c r="AR1829" s="2"/>
      <c r="AS1829" s="2"/>
      <c r="AT1829" s="2"/>
      <c r="AU1829" s="2"/>
      <c r="AV1829" s="2"/>
      <c r="AW1829" s="2"/>
      <c r="AX1829" s="2"/>
      <c r="AY1829" s="2"/>
      <c r="AZ1829" s="2"/>
      <c r="BA1829" s="2"/>
      <c r="BB1829" s="2"/>
    </row>
    <row r="1830">
      <c r="A1830" s="2"/>
      <c r="B1830" s="2" t="str">
        <f>IFERROR(__xludf.DUMMYFUNCTION("""COMPUTED_VALUE"""),"")</f>
        <v/>
      </c>
      <c r="C1830" s="2"/>
      <c r="D1830" s="71"/>
      <c r="E1830" s="71" t="str">
        <f>IFERROR(__xludf.DUMMYFUNCTION("""COMPUTED_VALUE""")," ")</f>
        <v> </v>
      </c>
      <c r="F1830" s="2"/>
      <c r="G1830" s="2"/>
      <c r="H1830" s="2"/>
      <c r="I1830" s="72"/>
      <c r="J1830" s="72"/>
      <c r="K1830" s="72"/>
      <c r="L1830" s="72"/>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c r="AJ1830" s="2" t="str">
        <f>IFERROR(__xludf.DUMMYFUNCTION("""COMPUTED_VALUE"""),"")</f>
        <v/>
      </c>
      <c r="AK1830" s="2" t="str">
        <f>IFERROR(__xludf.DUMMYFUNCTION("""COMPUTED_VALUE"""),"")</f>
        <v/>
      </c>
      <c r="AL1830" s="2" t="str">
        <f>IFERROR(__xludf.DUMMYFUNCTION("""COMPUTED_VALUE"""),"")</f>
        <v/>
      </c>
      <c r="AM1830" s="2" t="str">
        <f>IFERROR(__xludf.DUMMYFUNCTION("""COMPUTED_VALUE"""),"")</f>
        <v/>
      </c>
      <c r="AN1830" s="2" t="str">
        <f>IFERROR(__xludf.DUMMYFUNCTION("""COMPUTED_VALUE""")," ")</f>
        <v> </v>
      </c>
      <c r="AO1830" s="2" t="str">
        <f>IFERROR(__xludf.DUMMYFUNCTION("""COMPUTED_VALUE""")," ")</f>
        <v> </v>
      </c>
      <c r="AP1830" s="2" t="str">
        <f>IFERROR(__xludf.DUMMYFUNCTION("""COMPUTED_VALUE"""),"")</f>
        <v/>
      </c>
      <c r="AQ1830" s="2"/>
      <c r="AR1830" s="2"/>
      <c r="AS1830" s="2"/>
      <c r="AT1830" s="2"/>
      <c r="AU1830" s="2"/>
      <c r="AV1830" s="2"/>
      <c r="AW1830" s="2"/>
      <c r="AX1830" s="2"/>
      <c r="AY1830" s="2"/>
      <c r="AZ1830" s="2"/>
      <c r="BA1830" s="2"/>
      <c r="BB1830" s="2"/>
    </row>
    <row r="1831">
      <c r="A1831" s="2"/>
      <c r="B1831" s="2" t="str">
        <f>IFERROR(__xludf.DUMMYFUNCTION("""COMPUTED_VALUE"""),"")</f>
        <v/>
      </c>
      <c r="C1831" s="2"/>
      <c r="D1831" s="71"/>
      <c r="E1831" s="71" t="str">
        <f>IFERROR(__xludf.DUMMYFUNCTION("""COMPUTED_VALUE""")," ")</f>
        <v> </v>
      </c>
      <c r="F1831" s="2"/>
      <c r="G1831" s="2"/>
      <c r="H1831" s="2"/>
      <c r="I1831" s="72"/>
      <c r="J1831" s="72"/>
      <c r="K1831" s="72"/>
      <c r="L1831" s="72"/>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c r="AJ1831" s="2" t="str">
        <f>IFERROR(__xludf.DUMMYFUNCTION("""COMPUTED_VALUE"""),"")</f>
        <v/>
      </c>
      <c r="AK1831" s="2" t="str">
        <f>IFERROR(__xludf.DUMMYFUNCTION("""COMPUTED_VALUE"""),"")</f>
        <v/>
      </c>
      <c r="AL1831" s="2" t="str">
        <f>IFERROR(__xludf.DUMMYFUNCTION("""COMPUTED_VALUE"""),"")</f>
        <v/>
      </c>
      <c r="AM1831" s="2" t="str">
        <f>IFERROR(__xludf.DUMMYFUNCTION("""COMPUTED_VALUE"""),"")</f>
        <v/>
      </c>
      <c r="AN1831" s="2" t="str">
        <f>IFERROR(__xludf.DUMMYFUNCTION("""COMPUTED_VALUE""")," ")</f>
        <v> </v>
      </c>
      <c r="AO1831" s="2" t="str">
        <f>IFERROR(__xludf.DUMMYFUNCTION("""COMPUTED_VALUE""")," ")</f>
        <v> </v>
      </c>
      <c r="AP1831" s="2" t="str">
        <f>IFERROR(__xludf.DUMMYFUNCTION("""COMPUTED_VALUE"""),"")</f>
        <v/>
      </c>
      <c r="AQ1831" s="2"/>
      <c r="AR1831" s="2"/>
      <c r="AS1831" s="2"/>
      <c r="AT1831" s="2"/>
      <c r="AU1831" s="2"/>
      <c r="AV1831" s="2"/>
      <c r="AW1831" s="2"/>
      <c r="AX1831" s="2"/>
      <c r="AY1831" s="2"/>
      <c r="AZ1831" s="2"/>
      <c r="BA1831" s="2"/>
      <c r="BB1831" s="2"/>
    </row>
    <row r="1832">
      <c r="A1832" s="2"/>
      <c r="B1832" s="2" t="str">
        <f>IFERROR(__xludf.DUMMYFUNCTION("""COMPUTED_VALUE"""),"")</f>
        <v/>
      </c>
      <c r="C1832" s="2"/>
      <c r="D1832" s="71"/>
      <c r="E1832" s="71" t="str">
        <f>IFERROR(__xludf.DUMMYFUNCTION("""COMPUTED_VALUE""")," ")</f>
        <v> </v>
      </c>
      <c r="F1832" s="2"/>
      <c r="G1832" s="2"/>
      <c r="H1832" s="2"/>
      <c r="I1832" s="72"/>
      <c r="J1832" s="72"/>
      <c r="K1832" s="72"/>
      <c r="L1832" s="72"/>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c r="AJ1832" s="2" t="str">
        <f>IFERROR(__xludf.DUMMYFUNCTION("""COMPUTED_VALUE"""),"")</f>
        <v/>
      </c>
      <c r="AK1832" s="2" t="str">
        <f>IFERROR(__xludf.DUMMYFUNCTION("""COMPUTED_VALUE"""),"")</f>
        <v/>
      </c>
      <c r="AL1832" s="2" t="str">
        <f>IFERROR(__xludf.DUMMYFUNCTION("""COMPUTED_VALUE"""),"")</f>
        <v/>
      </c>
      <c r="AM1832" s="2" t="str">
        <f>IFERROR(__xludf.DUMMYFUNCTION("""COMPUTED_VALUE"""),"")</f>
        <v/>
      </c>
      <c r="AN1832" s="2" t="str">
        <f>IFERROR(__xludf.DUMMYFUNCTION("""COMPUTED_VALUE""")," ")</f>
        <v> </v>
      </c>
      <c r="AO1832" s="2" t="str">
        <f>IFERROR(__xludf.DUMMYFUNCTION("""COMPUTED_VALUE""")," ")</f>
        <v> </v>
      </c>
      <c r="AP1832" s="2" t="str">
        <f>IFERROR(__xludf.DUMMYFUNCTION("""COMPUTED_VALUE"""),"")</f>
        <v/>
      </c>
      <c r="AQ1832" s="2"/>
      <c r="AR1832" s="2"/>
      <c r="AS1832" s="2"/>
      <c r="AT1832" s="2"/>
      <c r="AU1832" s="2"/>
      <c r="AV1832" s="2"/>
      <c r="AW1832" s="2"/>
      <c r="AX1832" s="2"/>
      <c r="AY1832" s="2"/>
      <c r="AZ1832" s="2"/>
      <c r="BA1832" s="2"/>
      <c r="BB1832" s="2"/>
    </row>
    <row r="1833">
      <c r="A1833" s="2"/>
      <c r="B1833" s="2" t="str">
        <f>IFERROR(__xludf.DUMMYFUNCTION("""COMPUTED_VALUE"""),"")</f>
        <v/>
      </c>
      <c r="C1833" s="2"/>
      <c r="D1833" s="71"/>
      <c r="E1833" s="71" t="str">
        <f>IFERROR(__xludf.DUMMYFUNCTION("""COMPUTED_VALUE""")," ")</f>
        <v> </v>
      </c>
      <c r="F1833" s="2"/>
      <c r="G1833" s="2"/>
      <c r="H1833" s="2"/>
      <c r="I1833" s="72"/>
      <c r="J1833" s="72"/>
      <c r="K1833" s="72"/>
      <c r="L1833" s="72"/>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c r="AJ1833" s="2" t="str">
        <f>IFERROR(__xludf.DUMMYFUNCTION("""COMPUTED_VALUE"""),"")</f>
        <v/>
      </c>
      <c r="AK1833" s="2" t="str">
        <f>IFERROR(__xludf.DUMMYFUNCTION("""COMPUTED_VALUE"""),"")</f>
        <v/>
      </c>
      <c r="AL1833" s="2" t="str">
        <f>IFERROR(__xludf.DUMMYFUNCTION("""COMPUTED_VALUE"""),"")</f>
        <v/>
      </c>
      <c r="AM1833" s="2" t="str">
        <f>IFERROR(__xludf.DUMMYFUNCTION("""COMPUTED_VALUE"""),"")</f>
        <v/>
      </c>
      <c r="AN1833" s="2" t="str">
        <f>IFERROR(__xludf.DUMMYFUNCTION("""COMPUTED_VALUE""")," ")</f>
        <v> </v>
      </c>
      <c r="AO1833" s="2" t="str">
        <f>IFERROR(__xludf.DUMMYFUNCTION("""COMPUTED_VALUE""")," ")</f>
        <v> </v>
      </c>
      <c r="AP1833" s="2" t="str">
        <f>IFERROR(__xludf.DUMMYFUNCTION("""COMPUTED_VALUE"""),"")</f>
        <v/>
      </c>
      <c r="AQ1833" s="2"/>
      <c r="AR1833" s="2"/>
      <c r="AS1833" s="2"/>
      <c r="AT1833" s="2"/>
      <c r="AU1833" s="2"/>
      <c r="AV1833" s="2"/>
      <c r="AW1833" s="2"/>
      <c r="AX1833" s="2"/>
      <c r="AY1833" s="2"/>
      <c r="AZ1833" s="2"/>
      <c r="BA1833" s="2"/>
      <c r="BB1833" s="2"/>
    </row>
    <row r="1834">
      <c r="A1834" s="2"/>
      <c r="B1834" s="2" t="str">
        <f>IFERROR(__xludf.DUMMYFUNCTION("""COMPUTED_VALUE"""),"")</f>
        <v/>
      </c>
      <c r="C1834" s="2"/>
      <c r="D1834" s="71"/>
      <c r="E1834" s="71" t="str">
        <f>IFERROR(__xludf.DUMMYFUNCTION("""COMPUTED_VALUE""")," ")</f>
        <v> </v>
      </c>
      <c r="F1834" s="2"/>
      <c r="G1834" s="2"/>
      <c r="H1834" s="2"/>
      <c r="I1834" s="72"/>
      <c r="J1834" s="72"/>
      <c r="K1834" s="72"/>
      <c r="L1834" s="72"/>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c r="AJ1834" s="2" t="str">
        <f>IFERROR(__xludf.DUMMYFUNCTION("""COMPUTED_VALUE"""),"")</f>
        <v/>
      </c>
      <c r="AK1834" s="2" t="str">
        <f>IFERROR(__xludf.DUMMYFUNCTION("""COMPUTED_VALUE"""),"")</f>
        <v/>
      </c>
      <c r="AL1834" s="2" t="str">
        <f>IFERROR(__xludf.DUMMYFUNCTION("""COMPUTED_VALUE"""),"")</f>
        <v/>
      </c>
      <c r="AM1834" s="2" t="str">
        <f>IFERROR(__xludf.DUMMYFUNCTION("""COMPUTED_VALUE"""),"")</f>
        <v/>
      </c>
      <c r="AN1834" s="2" t="str">
        <f>IFERROR(__xludf.DUMMYFUNCTION("""COMPUTED_VALUE""")," ")</f>
        <v> </v>
      </c>
      <c r="AO1834" s="2" t="str">
        <f>IFERROR(__xludf.DUMMYFUNCTION("""COMPUTED_VALUE""")," ")</f>
        <v> </v>
      </c>
      <c r="AP1834" s="2" t="str">
        <f>IFERROR(__xludf.DUMMYFUNCTION("""COMPUTED_VALUE"""),"")</f>
        <v/>
      </c>
      <c r="AQ1834" s="2"/>
      <c r="AR1834" s="2"/>
      <c r="AS1834" s="2"/>
      <c r="AT1834" s="2"/>
      <c r="AU1834" s="2"/>
      <c r="AV1834" s="2"/>
      <c r="AW1834" s="2"/>
      <c r="AX1834" s="2"/>
      <c r="AY1834" s="2"/>
      <c r="AZ1834" s="2"/>
      <c r="BA1834" s="2"/>
      <c r="BB1834" s="2"/>
    </row>
    <row r="1835">
      <c r="A1835" s="2"/>
      <c r="B1835" s="2"/>
      <c r="C1835" s="2"/>
      <c r="D1835" s="71"/>
      <c r="E1835" s="71"/>
      <c r="F1835" s="2"/>
      <c r="G1835" s="2"/>
      <c r="H1835" s="2"/>
      <c r="I1835" s="72"/>
      <c r="J1835" s="72"/>
      <c r="K1835" s="72"/>
      <c r="L1835" s="72"/>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c r="AJ1835" s="2" t="str">
        <f>IFERROR(__xludf.DUMMYFUNCTION("""COMPUTED_VALUE"""),"")</f>
        <v/>
      </c>
      <c r="AK1835" s="2" t="str">
        <f>IFERROR(__xludf.DUMMYFUNCTION("""COMPUTED_VALUE"""),"")</f>
        <v/>
      </c>
      <c r="AL1835" s="2" t="str">
        <f>IFERROR(__xludf.DUMMYFUNCTION("""COMPUTED_VALUE"""),"")</f>
        <v/>
      </c>
      <c r="AM1835" s="2" t="str">
        <f>IFERROR(__xludf.DUMMYFUNCTION("""COMPUTED_VALUE"""),"")</f>
        <v/>
      </c>
      <c r="AN1835" s="2" t="str">
        <f>IFERROR(__xludf.DUMMYFUNCTION("""COMPUTED_VALUE""")," ")</f>
        <v> </v>
      </c>
      <c r="AO1835" s="2" t="str">
        <f>IFERROR(__xludf.DUMMYFUNCTION("""COMPUTED_VALUE""")," ")</f>
        <v> </v>
      </c>
      <c r="AP1835" s="2" t="str">
        <f>IFERROR(__xludf.DUMMYFUNCTION("""COMPUTED_VALUE"""),"")</f>
        <v/>
      </c>
      <c r="AQ1835" s="2"/>
      <c r="AR1835" s="2"/>
      <c r="AS1835" s="2"/>
      <c r="AT1835" s="2"/>
      <c r="AU1835" s="2"/>
      <c r="AV1835" s="2"/>
      <c r="AW1835" s="2"/>
      <c r="AX1835" s="2"/>
      <c r="AY1835" s="2"/>
      <c r="AZ1835" s="2"/>
      <c r="BA1835" s="2"/>
      <c r="BB1835" s="2"/>
    </row>
    <row r="1836">
      <c r="A1836" s="2"/>
      <c r="B1836" s="2" t="str">
        <f>IFERROR(__xludf.DUMMYFUNCTION("""COMPUTED_VALUE"""),"")</f>
        <v/>
      </c>
      <c r="C1836" s="2"/>
      <c r="D1836" s="71"/>
      <c r="E1836" s="71" t="str">
        <f>IFERROR(__xludf.DUMMYFUNCTION("""COMPUTED_VALUE""")," ")</f>
        <v> </v>
      </c>
      <c r="F1836" s="2"/>
      <c r="G1836" s="2"/>
      <c r="H1836" s="2"/>
      <c r="I1836" s="72"/>
      <c r="J1836" s="72"/>
      <c r="K1836" s="72"/>
      <c r="L1836" s="72"/>
      <c r="M1836" s="2"/>
      <c r="N1836" s="2"/>
      <c r="O1836" s="2"/>
      <c r="P1836" s="2"/>
      <c r="Q1836" s="2"/>
      <c r="R1836" s="2"/>
      <c r="S1836" s="2"/>
      <c r="T1836" s="2"/>
      <c r="U1836" s="2"/>
      <c r="V1836" s="2"/>
      <c r="W1836" s="2"/>
      <c r="X1836" s="2"/>
      <c r="Y1836" s="2"/>
      <c r="Z1836" s="2"/>
      <c r="AA1836" s="2"/>
      <c r="AB1836" s="2"/>
      <c r="AC1836" s="2"/>
      <c r="AD1836" s="2"/>
      <c r="AE1836" s="2"/>
      <c r="AF1836" s="2"/>
      <c r="AG1836" s="2"/>
      <c r="AH1836" s="2"/>
      <c r="AI1836" s="2"/>
      <c r="AJ1836" s="2" t="str">
        <f>IFERROR(__xludf.DUMMYFUNCTION("""COMPUTED_VALUE"""),"")</f>
        <v/>
      </c>
      <c r="AK1836" s="2" t="str">
        <f>IFERROR(__xludf.DUMMYFUNCTION("""COMPUTED_VALUE"""),"")</f>
        <v/>
      </c>
      <c r="AL1836" s="2" t="str">
        <f>IFERROR(__xludf.DUMMYFUNCTION("""COMPUTED_VALUE"""),"")</f>
        <v/>
      </c>
      <c r="AM1836" s="2" t="str">
        <f>IFERROR(__xludf.DUMMYFUNCTION("""COMPUTED_VALUE"""),"")</f>
        <v/>
      </c>
      <c r="AN1836" s="2" t="str">
        <f>IFERROR(__xludf.DUMMYFUNCTION("""COMPUTED_VALUE""")," ")</f>
        <v> </v>
      </c>
      <c r="AO1836" s="2" t="str">
        <f>IFERROR(__xludf.DUMMYFUNCTION("""COMPUTED_VALUE""")," ")</f>
        <v> </v>
      </c>
      <c r="AP1836" s="2" t="str">
        <f>IFERROR(__xludf.DUMMYFUNCTION("""COMPUTED_VALUE"""),"")</f>
        <v/>
      </c>
      <c r="AQ1836" s="2"/>
      <c r="AR1836" s="2"/>
      <c r="AS1836" s="2"/>
      <c r="AT1836" s="2"/>
      <c r="AU1836" s="2"/>
      <c r="AV1836" s="2"/>
      <c r="AW1836" s="2"/>
      <c r="AX1836" s="2"/>
      <c r="AY1836" s="2"/>
      <c r="AZ1836" s="2"/>
      <c r="BA1836" s="2"/>
      <c r="BB1836" s="2"/>
    </row>
    <row r="1837">
      <c r="A1837" s="2"/>
      <c r="B1837" s="2" t="str">
        <f>IFERROR(__xludf.DUMMYFUNCTION("""COMPUTED_VALUE"""),"")</f>
        <v/>
      </c>
      <c r="C1837" s="2"/>
      <c r="D1837" s="71"/>
      <c r="E1837" s="71" t="str">
        <f>IFERROR(__xludf.DUMMYFUNCTION("""COMPUTED_VALUE""")," ")</f>
        <v> </v>
      </c>
      <c r="F1837" s="2"/>
      <c r="G1837" s="2"/>
      <c r="H1837" s="2"/>
      <c r="I1837" s="72"/>
      <c r="J1837" s="72"/>
      <c r="K1837" s="72"/>
      <c r="L1837" s="72"/>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c r="AJ1837" s="2" t="str">
        <f>IFERROR(__xludf.DUMMYFUNCTION("""COMPUTED_VALUE"""),"")</f>
        <v/>
      </c>
      <c r="AK1837" s="2" t="str">
        <f>IFERROR(__xludf.DUMMYFUNCTION("""COMPUTED_VALUE"""),"")</f>
        <v/>
      </c>
      <c r="AL1837" s="2" t="str">
        <f>IFERROR(__xludf.DUMMYFUNCTION("""COMPUTED_VALUE"""),"")</f>
        <v/>
      </c>
      <c r="AM1837" s="2" t="str">
        <f>IFERROR(__xludf.DUMMYFUNCTION("""COMPUTED_VALUE"""),"")</f>
        <v/>
      </c>
      <c r="AN1837" s="2" t="str">
        <f>IFERROR(__xludf.DUMMYFUNCTION("""COMPUTED_VALUE""")," ")</f>
        <v> </v>
      </c>
      <c r="AO1837" s="2" t="str">
        <f>IFERROR(__xludf.DUMMYFUNCTION("""COMPUTED_VALUE""")," ")</f>
        <v> </v>
      </c>
      <c r="AP1837" s="2" t="str">
        <f>IFERROR(__xludf.DUMMYFUNCTION("""COMPUTED_VALUE"""),"")</f>
        <v/>
      </c>
      <c r="AQ1837" s="2"/>
      <c r="AR1837" s="2"/>
      <c r="AS1837" s="2"/>
      <c r="AT1837" s="2"/>
      <c r="AU1837" s="2"/>
      <c r="AV1837" s="2"/>
      <c r="AW1837" s="2"/>
      <c r="AX1837" s="2"/>
      <c r="AY1837" s="2"/>
      <c r="AZ1837" s="2"/>
      <c r="BA1837" s="2"/>
      <c r="BB1837" s="2"/>
    </row>
    <row r="1838">
      <c r="A1838" s="2"/>
      <c r="B1838" s="2" t="str">
        <f>IFERROR(__xludf.DUMMYFUNCTION("""COMPUTED_VALUE"""),"")</f>
        <v/>
      </c>
      <c r="C1838" s="2"/>
      <c r="D1838" s="71"/>
      <c r="E1838" s="71" t="str">
        <f>IFERROR(__xludf.DUMMYFUNCTION("""COMPUTED_VALUE""")," ")</f>
        <v> </v>
      </c>
      <c r="F1838" s="2"/>
      <c r="G1838" s="2"/>
      <c r="H1838" s="2"/>
      <c r="I1838" s="72"/>
      <c r="J1838" s="72"/>
      <c r="K1838" s="72"/>
      <c r="L1838" s="72"/>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c r="AJ1838" s="2" t="str">
        <f>IFERROR(__xludf.DUMMYFUNCTION("""COMPUTED_VALUE"""),"")</f>
        <v/>
      </c>
      <c r="AK1838" s="2" t="str">
        <f>IFERROR(__xludf.DUMMYFUNCTION("""COMPUTED_VALUE"""),"")</f>
        <v/>
      </c>
      <c r="AL1838" s="2" t="str">
        <f>IFERROR(__xludf.DUMMYFUNCTION("""COMPUTED_VALUE"""),"")</f>
        <v/>
      </c>
      <c r="AM1838" s="2" t="str">
        <f>IFERROR(__xludf.DUMMYFUNCTION("""COMPUTED_VALUE"""),"")</f>
        <v/>
      </c>
      <c r="AN1838" s="2" t="str">
        <f>IFERROR(__xludf.DUMMYFUNCTION("""COMPUTED_VALUE""")," ")</f>
        <v> </v>
      </c>
      <c r="AO1838" s="2" t="str">
        <f>IFERROR(__xludf.DUMMYFUNCTION("""COMPUTED_VALUE""")," ")</f>
        <v> </v>
      </c>
      <c r="AP1838" s="2" t="str">
        <f>IFERROR(__xludf.DUMMYFUNCTION("""COMPUTED_VALUE"""),"")</f>
        <v/>
      </c>
      <c r="AQ1838" s="2"/>
      <c r="AR1838" s="2"/>
      <c r="AS1838" s="2"/>
      <c r="AT1838" s="2"/>
      <c r="AU1838" s="2"/>
      <c r="AV1838" s="2"/>
      <c r="AW1838" s="2"/>
      <c r="AX1838" s="2"/>
      <c r="AY1838" s="2"/>
      <c r="AZ1838" s="2"/>
      <c r="BA1838" s="2"/>
      <c r="BB1838" s="2"/>
    </row>
    <row r="1839">
      <c r="A1839" s="2"/>
      <c r="B1839" s="2" t="str">
        <f>IFERROR(__xludf.DUMMYFUNCTION("""COMPUTED_VALUE"""),"")</f>
        <v/>
      </c>
      <c r="C1839" s="2"/>
      <c r="D1839" s="71"/>
      <c r="E1839" s="71" t="str">
        <f>IFERROR(__xludf.DUMMYFUNCTION("""COMPUTED_VALUE""")," ")</f>
        <v> </v>
      </c>
      <c r="F1839" s="2"/>
      <c r="G1839" s="2"/>
      <c r="H1839" s="2"/>
      <c r="I1839" s="72"/>
      <c r="J1839" s="72"/>
      <c r="K1839" s="72"/>
      <c r="L1839" s="72"/>
      <c r="M1839" s="2"/>
      <c r="N1839" s="2"/>
      <c r="O1839" s="2"/>
      <c r="P1839" s="2"/>
      <c r="Q1839" s="2"/>
      <c r="R1839" s="2"/>
      <c r="S1839" s="2"/>
      <c r="T1839" s="2"/>
      <c r="U1839" s="2"/>
      <c r="V1839" s="2"/>
      <c r="W1839" s="2"/>
      <c r="X1839" s="2"/>
      <c r="Y1839" s="2"/>
      <c r="Z1839" s="2"/>
      <c r="AA1839" s="2"/>
      <c r="AB1839" s="2"/>
      <c r="AC1839" s="2"/>
      <c r="AD1839" s="2"/>
      <c r="AE1839" s="2"/>
      <c r="AF1839" s="2"/>
      <c r="AG1839" s="2"/>
      <c r="AH1839" s="2"/>
      <c r="AI1839" s="2"/>
      <c r="AJ1839" s="2" t="str">
        <f>IFERROR(__xludf.DUMMYFUNCTION("""COMPUTED_VALUE"""),"")</f>
        <v/>
      </c>
      <c r="AK1839" s="2" t="str">
        <f>IFERROR(__xludf.DUMMYFUNCTION("""COMPUTED_VALUE"""),"")</f>
        <v/>
      </c>
      <c r="AL1839" s="2" t="str">
        <f>IFERROR(__xludf.DUMMYFUNCTION("""COMPUTED_VALUE"""),"")</f>
        <v/>
      </c>
      <c r="AM1839" s="2" t="str">
        <f>IFERROR(__xludf.DUMMYFUNCTION("""COMPUTED_VALUE"""),"")</f>
        <v/>
      </c>
      <c r="AN1839" s="2" t="str">
        <f>IFERROR(__xludf.DUMMYFUNCTION("""COMPUTED_VALUE""")," ")</f>
        <v> </v>
      </c>
      <c r="AO1839" s="2" t="str">
        <f>IFERROR(__xludf.DUMMYFUNCTION("""COMPUTED_VALUE""")," ")</f>
        <v> </v>
      </c>
      <c r="AP1839" s="2" t="str">
        <f>IFERROR(__xludf.DUMMYFUNCTION("""COMPUTED_VALUE"""),"")</f>
        <v/>
      </c>
      <c r="AQ1839" s="2"/>
      <c r="AR1839" s="2"/>
      <c r="AS1839" s="2"/>
      <c r="AT1839" s="2"/>
      <c r="AU1839" s="2"/>
      <c r="AV1839" s="2"/>
      <c r="AW1839" s="2"/>
      <c r="AX1839" s="2"/>
      <c r="AY1839" s="2"/>
      <c r="AZ1839" s="2"/>
      <c r="BA1839" s="2"/>
      <c r="BB1839" s="2"/>
    </row>
    <row r="1840">
      <c r="A1840" s="2"/>
      <c r="B1840" s="2" t="str">
        <f>IFERROR(__xludf.DUMMYFUNCTION("""COMPUTED_VALUE"""),"")</f>
        <v/>
      </c>
      <c r="C1840" s="2"/>
      <c r="D1840" s="71"/>
      <c r="E1840" s="71" t="str">
        <f>IFERROR(__xludf.DUMMYFUNCTION("""COMPUTED_VALUE""")," ")</f>
        <v> </v>
      </c>
      <c r="F1840" s="2"/>
      <c r="G1840" s="2"/>
      <c r="H1840" s="2"/>
      <c r="I1840" s="72"/>
      <c r="J1840" s="72"/>
      <c r="K1840" s="72"/>
      <c r="L1840" s="72"/>
      <c r="M1840" s="2"/>
      <c r="N1840" s="2"/>
      <c r="O1840" s="2"/>
      <c r="P1840" s="2"/>
      <c r="Q1840" s="2"/>
      <c r="R1840" s="2"/>
      <c r="S1840" s="2"/>
      <c r="T1840" s="2"/>
      <c r="U1840" s="2"/>
      <c r="V1840" s="2"/>
      <c r="W1840" s="2"/>
      <c r="X1840" s="2"/>
      <c r="Y1840" s="2"/>
      <c r="Z1840" s="2"/>
      <c r="AA1840" s="2"/>
      <c r="AB1840" s="2"/>
      <c r="AC1840" s="2"/>
      <c r="AD1840" s="2"/>
      <c r="AE1840" s="2"/>
      <c r="AF1840" s="2"/>
      <c r="AG1840" s="2"/>
      <c r="AH1840" s="2"/>
      <c r="AI1840" s="2"/>
      <c r="AJ1840" s="2" t="str">
        <f>IFERROR(__xludf.DUMMYFUNCTION("""COMPUTED_VALUE"""),"")</f>
        <v/>
      </c>
      <c r="AK1840" s="2" t="str">
        <f>IFERROR(__xludf.DUMMYFUNCTION("""COMPUTED_VALUE"""),"")</f>
        <v/>
      </c>
      <c r="AL1840" s="2" t="str">
        <f>IFERROR(__xludf.DUMMYFUNCTION("""COMPUTED_VALUE"""),"")</f>
        <v/>
      </c>
      <c r="AM1840" s="2" t="str">
        <f>IFERROR(__xludf.DUMMYFUNCTION("""COMPUTED_VALUE"""),"")</f>
        <v/>
      </c>
      <c r="AN1840" s="2" t="str">
        <f>IFERROR(__xludf.DUMMYFUNCTION("""COMPUTED_VALUE""")," ")</f>
        <v> </v>
      </c>
      <c r="AO1840" s="2" t="str">
        <f>IFERROR(__xludf.DUMMYFUNCTION("""COMPUTED_VALUE""")," ")</f>
        <v> </v>
      </c>
      <c r="AP1840" s="2" t="str">
        <f>IFERROR(__xludf.DUMMYFUNCTION("""COMPUTED_VALUE"""),"")</f>
        <v/>
      </c>
      <c r="AQ1840" s="2"/>
      <c r="AR1840" s="2"/>
      <c r="AS1840" s="2"/>
      <c r="AT1840" s="2"/>
      <c r="AU1840" s="2"/>
      <c r="AV1840" s="2"/>
      <c r="AW1840" s="2"/>
      <c r="AX1840" s="2"/>
      <c r="AY1840" s="2"/>
      <c r="AZ1840" s="2"/>
      <c r="BA1840" s="2"/>
      <c r="BB1840" s="2"/>
    </row>
    <row r="1841">
      <c r="A1841" s="2"/>
      <c r="B1841" s="2" t="str">
        <f>IFERROR(__xludf.DUMMYFUNCTION("""COMPUTED_VALUE"""),"")</f>
        <v/>
      </c>
      <c r="C1841" s="2"/>
      <c r="D1841" s="71"/>
      <c r="E1841" s="71" t="str">
        <f>IFERROR(__xludf.DUMMYFUNCTION("""COMPUTED_VALUE""")," ")</f>
        <v> </v>
      </c>
      <c r="F1841" s="2"/>
      <c r="G1841" s="2"/>
      <c r="H1841" s="2"/>
      <c r="I1841" s="72"/>
      <c r="J1841" s="72"/>
      <c r="K1841" s="72"/>
      <c r="L1841" s="72"/>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c r="AJ1841" s="2" t="str">
        <f>IFERROR(__xludf.DUMMYFUNCTION("""COMPUTED_VALUE"""),"")</f>
        <v/>
      </c>
      <c r="AK1841" s="2" t="str">
        <f>IFERROR(__xludf.DUMMYFUNCTION("""COMPUTED_VALUE"""),"")</f>
        <v/>
      </c>
      <c r="AL1841" s="2" t="str">
        <f>IFERROR(__xludf.DUMMYFUNCTION("""COMPUTED_VALUE"""),"")</f>
        <v/>
      </c>
      <c r="AM1841" s="2" t="str">
        <f>IFERROR(__xludf.DUMMYFUNCTION("""COMPUTED_VALUE"""),"")</f>
        <v/>
      </c>
      <c r="AN1841" s="2" t="str">
        <f>IFERROR(__xludf.DUMMYFUNCTION("""COMPUTED_VALUE""")," ")</f>
        <v> </v>
      </c>
      <c r="AO1841" s="2" t="str">
        <f>IFERROR(__xludf.DUMMYFUNCTION("""COMPUTED_VALUE""")," ")</f>
        <v> </v>
      </c>
      <c r="AP1841" s="2" t="str">
        <f>IFERROR(__xludf.DUMMYFUNCTION("""COMPUTED_VALUE"""),"")</f>
        <v/>
      </c>
      <c r="AQ1841" s="2"/>
      <c r="AR1841" s="2"/>
      <c r="AS1841" s="2"/>
      <c r="AT1841" s="2"/>
      <c r="AU1841" s="2"/>
      <c r="AV1841" s="2"/>
      <c r="AW1841" s="2"/>
      <c r="AX1841" s="2"/>
      <c r="AY1841" s="2"/>
      <c r="AZ1841" s="2"/>
      <c r="BA1841" s="2"/>
      <c r="BB1841" s="2"/>
    </row>
    <row r="1842">
      <c r="A1842" s="2"/>
      <c r="B1842" s="2" t="str">
        <f>IFERROR(__xludf.DUMMYFUNCTION("""COMPUTED_VALUE"""),"")</f>
        <v/>
      </c>
      <c r="C1842" s="2"/>
      <c r="D1842" s="71"/>
      <c r="E1842" s="71" t="str">
        <f>IFERROR(__xludf.DUMMYFUNCTION("""COMPUTED_VALUE""")," ")</f>
        <v> </v>
      </c>
      <c r="F1842" s="2"/>
      <c r="G1842" s="2"/>
      <c r="H1842" s="2"/>
      <c r="I1842" s="72"/>
      <c r="J1842" s="72"/>
      <c r="K1842" s="72"/>
      <c r="L1842" s="72"/>
      <c r="M1842" s="2"/>
      <c r="N1842" s="2"/>
      <c r="O1842" s="2"/>
      <c r="P1842" s="2"/>
      <c r="Q1842" s="2"/>
      <c r="R1842" s="2"/>
      <c r="S1842" s="2"/>
      <c r="T1842" s="2"/>
      <c r="U1842" s="2"/>
      <c r="V1842" s="2"/>
      <c r="W1842" s="2"/>
      <c r="X1842" s="2"/>
      <c r="Y1842" s="2"/>
      <c r="Z1842" s="2"/>
      <c r="AA1842" s="2"/>
      <c r="AB1842" s="2"/>
      <c r="AC1842" s="2"/>
      <c r="AD1842" s="2"/>
      <c r="AE1842" s="2"/>
      <c r="AF1842" s="2"/>
      <c r="AG1842" s="2"/>
      <c r="AH1842" s="2"/>
      <c r="AI1842" s="2"/>
      <c r="AJ1842" s="2" t="str">
        <f>IFERROR(__xludf.DUMMYFUNCTION("""COMPUTED_VALUE"""),"")</f>
        <v/>
      </c>
      <c r="AK1842" s="2" t="str">
        <f>IFERROR(__xludf.DUMMYFUNCTION("""COMPUTED_VALUE"""),"")</f>
        <v/>
      </c>
      <c r="AL1842" s="2" t="str">
        <f>IFERROR(__xludf.DUMMYFUNCTION("""COMPUTED_VALUE"""),"")</f>
        <v/>
      </c>
      <c r="AM1842" s="2" t="str">
        <f>IFERROR(__xludf.DUMMYFUNCTION("""COMPUTED_VALUE"""),"")</f>
        <v/>
      </c>
      <c r="AN1842" s="2" t="str">
        <f>IFERROR(__xludf.DUMMYFUNCTION("""COMPUTED_VALUE""")," ")</f>
        <v> </v>
      </c>
      <c r="AO1842" s="2" t="str">
        <f>IFERROR(__xludf.DUMMYFUNCTION("""COMPUTED_VALUE""")," ")</f>
        <v> </v>
      </c>
      <c r="AP1842" s="2" t="str">
        <f>IFERROR(__xludf.DUMMYFUNCTION("""COMPUTED_VALUE"""),"")</f>
        <v/>
      </c>
      <c r="AQ1842" s="2"/>
      <c r="AR1842" s="2"/>
      <c r="AS1842" s="2"/>
      <c r="AT1842" s="2"/>
      <c r="AU1842" s="2"/>
      <c r="AV1842" s="2"/>
      <c r="AW1842" s="2"/>
      <c r="AX1842" s="2"/>
      <c r="AY1842" s="2"/>
      <c r="AZ1842" s="2"/>
      <c r="BA1842" s="2"/>
      <c r="BB1842" s="2"/>
    </row>
    <row r="1843">
      <c r="A1843" s="2"/>
      <c r="B1843" s="2" t="str">
        <f>IFERROR(__xludf.DUMMYFUNCTION("""COMPUTED_VALUE"""),"")</f>
        <v/>
      </c>
      <c r="C1843" s="2"/>
      <c r="D1843" s="71"/>
      <c r="E1843" s="71" t="str">
        <f>IFERROR(__xludf.DUMMYFUNCTION("""COMPUTED_VALUE""")," ")</f>
        <v> </v>
      </c>
      <c r="F1843" s="2"/>
      <c r="G1843" s="2"/>
      <c r="H1843" s="2"/>
      <c r="I1843" s="72"/>
      <c r="J1843" s="72"/>
      <c r="K1843" s="72"/>
      <c r="L1843" s="72"/>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c r="AJ1843" s="2" t="str">
        <f>IFERROR(__xludf.DUMMYFUNCTION("""COMPUTED_VALUE"""),"")</f>
        <v/>
      </c>
      <c r="AK1843" s="2" t="str">
        <f>IFERROR(__xludf.DUMMYFUNCTION("""COMPUTED_VALUE"""),"")</f>
        <v/>
      </c>
      <c r="AL1843" s="2" t="str">
        <f>IFERROR(__xludf.DUMMYFUNCTION("""COMPUTED_VALUE"""),"")</f>
        <v/>
      </c>
      <c r="AM1843" s="2" t="str">
        <f>IFERROR(__xludf.DUMMYFUNCTION("""COMPUTED_VALUE"""),"")</f>
        <v/>
      </c>
      <c r="AN1843" s="2" t="str">
        <f>IFERROR(__xludf.DUMMYFUNCTION("""COMPUTED_VALUE""")," ")</f>
        <v> </v>
      </c>
      <c r="AO1843" s="2" t="str">
        <f>IFERROR(__xludf.DUMMYFUNCTION("""COMPUTED_VALUE""")," ")</f>
        <v> </v>
      </c>
      <c r="AP1843" s="2" t="str">
        <f>IFERROR(__xludf.DUMMYFUNCTION("""COMPUTED_VALUE"""),"")</f>
        <v/>
      </c>
      <c r="AQ1843" s="2"/>
      <c r="AR1843" s="2"/>
      <c r="AS1843" s="2"/>
      <c r="AT1843" s="2"/>
      <c r="AU1843" s="2"/>
      <c r="AV1843" s="2"/>
      <c r="AW1843" s="2"/>
      <c r="AX1843" s="2"/>
      <c r="AY1843" s="2"/>
      <c r="AZ1843" s="2"/>
      <c r="BA1843" s="2"/>
      <c r="BB1843" s="2"/>
    </row>
    <row r="1844">
      <c r="A1844" s="2"/>
      <c r="B1844" s="2" t="str">
        <f>IFERROR(__xludf.DUMMYFUNCTION("""COMPUTED_VALUE"""),"")</f>
        <v/>
      </c>
      <c r="C1844" s="2"/>
      <c r="D1844" s="71"/>
      <c r="E1844" s="71" t="str">
        <f>IFERROR(__xludf.DUMMYFUNCTION("""COMPUTED_VALUE""")," ")</f>
        <v> </v>
      </c>
      <c r="F1844" s="2"/>
      <c r="G1844" s="2"/>
      <c r="H1844" s="2"/>
      <c r="I1844" s="72"/>
      <c r="J1844" s="72"/>
      <c r="K1844" s="72"/>
      <c r="L1844" s="72"/>
      <c r="M1844" s="2"/>
      <c r="N1844" s="2"/>
      <c r="O1844" s="2"/>
      <c r="P1844" s="2"/>
      <c r="Q1844" s="2"/>
      <c r="R1844" s="2"/>
      <c r="S1844" s="2"/>
      <c r="T1844" s="2"/>
      <c r="U1844" s="2"/>
      <c r="V1844" s="2"/>
      <c r="W1844" s="2"/>
      <c r="X1844" s="2"/>
      <c r="Y1844" s="2"/>
      <c r="Z1844" s="2"/>
      <c r="AA1844" s="2"/>
      <c r="AB1844" s="2"/>
      <c r="AC1844" s="2"/>
      <c r="AD1844" s="2"/>
      <c r="AE1844" s="2"/>
      <c r="AF1844" s="2"/>
      <c r="AG1844" s="2"/>
      <c r="AH1844" s="2"/>
      <c r="AI1844" s="2"/>
      <c r="AJ1844" s="2" t="str">
        <f>IFERROR(__xludf.DUMMYFUNCTION("""COMPUTED_VALUE"""),"")</f>
        <v/>
      </c>
      <c r="AK1844" s="2" t="str">
        <f>IFERROR(__xludf.DUMMYFUNCTION("""COMPUTED_VALUE"""),"")</f>
        <v/>
      </c>
      <c r="AL1844" s="2" t="str">
        <f>IFERROR(__xludf.DUMMYFUNCTION("""COMPUTED_VALUE"""),"")</f>
        <v/>
      </c>
      <c r="AM1844" s="2" t="str">
        <f>IFERROR(__xludf.DUMMYFUNCTION("""COMPUTED_VALUE"""),"")</f>
        <v/>
      </c>
      <c r="AN1844" s="2" t="str">
        <f>IFERROR(__xludf.DUMMYFUNCTION("""COMPUTED_VALUE""")," ")</f>
        <v> </v>
      </c>
      <c r="AO1844" s="2" t="str">
        <f>IFERROR(__xludf.DUMMYFUNCTION("""COMPUTED_VALUE""")," ")</f>
        <v> </v>
      </c>
      <c r="AP1844" s="2" t="str">
        <f>IFERROR(__xludf.DUMMYFUNCTION("""COMPUTED_VALUE"""),"")</f>
        <v/>
      </c>
      <c r="AQ1844" s="2"/>
      <c r="AR1844" s="2"/>
      <c r="AS1844" s="2"/>
      <c r="AT1844" s="2"/>
      <c r="AU1844" s="2"/>
      <c r="AV1844" s="2"/>
      <c r="AW1844" s="2"/>
      <c r="AX1844" s="2"/>
      <c r="AY1844" s="2"/>
      <c r="AZ1844" s="2"/>
      <c r="BA1844" s="2"/>
      <c r="BB1844" s="2"/>
    </row>
    <row r="1845">
      <c r="A1845" s="2"/>
      <c r="B1845" s="2" t="str">
        <f>IFERROR(__xludf.DUMMYFUNCTION("""COMPUTED_VALUE"""),"")</f>
        <v/>
      </c>
      <c r="C1845" s="2"/>
      <c r="D1845" s="71"/>
      <c r="E1845" s="71" t="str">
        <f>IFERROR(__xludf.DUMMYFUNCTION("""COMPUTED_VALUE""")," ")</f>
        <v> </v>
      </c>
      <c r="F1845" s="2"/>
      <c r="G1845" s="2"/>
      <c r="H1845" s="2"/>
      <c r="I1845" s="72"/>
      <c r="J1845" s="72"/>
      <c r="K1845" s="72"/>
      <c r="L1845" s="72"/>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c r="AJ1845" s="2" t="str">
        <f>IFERROR(__xludf.DUMMYFUNCTION("""COMPUTED_VALUE"""),"")</f>
        <v/>
      </c>
      <c r="AK1845" s="2" t="str">
        <f>IFERROR(__xludf.DUMMYFUNCTION("""COMPUTED_VALUE"""),"")</f>
        <v/>
      </c>
      <c r="AL1845" s="2" t="str">
        <f>IFERROR(__xludf.DUMMYFUNCTION("""COMPUTED_VALUE"""),"")</f>
        <v/>
      </c>
      <c r="AM1845" s="2" t="str">
        <f>IFERROR(__xludf.DUMMYFUNCTION("""COMPUTED_VALUE"""),"")</f>
        <v/>
      </c>
      <c r="AN1845" s="2" t="str">
        <f>IFERROR(__xludf.DUMMYFUNCTION("""COMPUTED_VALUE""")," ")</f>
        <v> </v>
      </c>
      <c r="AO1845" s="2" t="str">
        <f>IFERROR(__xludf.DUMMYFUNCTION("""COMPUTED_VALUE""")," ")</f>
        <v> </v>
      </c>
      <c r="AP1845" s="2" t="str">
        <f>IFERROR(__xludf.DUMMYFUNCTION("""COMPUTED_VALUE"""),"")</f>
        <v/>
      </c>
      <c r="AQ1845" s="2"/>
      <c r="AR1845" s="2"/>
      <c r="AS1845" s="2"/>
      <c r="AT1845" s="2"/>
      <c r="AU1845" s="2"/>
      <c r="AV1845" s="2"/>
      <c r="AW1845" s="2"/>
      <c r="AX1845" s="2"/>
      <c r="AY1845" s="2"/>
      <c r="AZ1845" s="2"/>
      <c r="BA1845" s="2"/>
      <c r="BB1845" s="2"/>
    </row>
    <row r="1846">
      <c r="A1846" s="2"/>
      <c r="B1846" s="2" t="str">
        <f>IFERROR(__xludf.DUMMYFUNCTION("""COMPUTED_VALUE"""),"")</f>
        <v/>
      </c>
      <c r="C1846" s="2"/>
      <c r="D1846" s="71"/>
      <c r="E1846" s="71" t="str">
        <f>IFERROR(__xludf.DUMMYFUNCTION("""COMPUTED_VALUE""")," ")</f>
        <v> </v>
      </c>
      <c r="F1846" s="2"/>
      <c r="G1846" s="2"/>
      <c r="H1846" s="2"/>
      <c r="I1846" s="72"/>
      <c r="J1846" s="72"/>
      <c r="K1846" s="72"/>
      <c r="L1846" s="72"/>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c r="AJ1846" s="2" t="str">
        <f>IFERROR(__xludf.DUMMYFUNCTION("""COMPUTED_VALUE"""),"")</f>
        <v/>
      </c>
      <c r="AK1846" s="2" t="str">
        <f>IFERROR(__xludf.DUMMYFUNCTION("""COMPUTED_VALUE"""),"")</f>
        <v/>
      </c>
      <c r="AL1846" s="2" t="str">
        <f>IFERROR(__xludf.DUMMYFUNCTION("""COMPUTED_VALUE"""),"")</f>
        <v/>
      </c>
      <c r="AM1846" s="2" t="str">
        <f>IFERROR(__xludf.DUMMYFUNCTION("""COMPUTED_VALUE"""),"")</f>
        <v/>
      </c>
      <c r="AN1846" s="2" t="str">
        <f>IFERROR(__xludf.DUMMYFUNCTION("""COMPUTED_VALUE""")," ")</f>
        <v> </v>
      </c>
      <c r="AO1846" s="2" t="str">
        <f>IFERROR(__xludf.DUMMYFUNCTION("""COMPUTED_VALUE""")," ")</f>
        <v> </v>
      </c>
      <c r="AP1846" s="2" t="str">
        <f>IFERROR(__xludf.DUMMYFUNCTION("""COMPUTED_VALUE"""),"")</f>
        <v/>
      </c>
      <c r="AQ1846" s="2"/>
      <c r="AR1846" s="2"/>
      <c r="AS1846" s="2"/>
      <c r="AT1846" s="2"/>
      <c r="AU1846" s="2"/>
      <c r="AV1846" s="2"/>
      <c r="AW1846" s="2"/>
      <c r="AX1846" s="2"/>
      <c r="AY1846" s="2"/>
      <c r="AZ1846" s="2"/>
      <c r="BA1846" s="2"/>
      <c r="BB1846" s="2"/>
    </row>
    <row r="1847">
      <c r="A1847" s="2"/>
      <c r="B1847" s="2" t="str">
        <f>IFERROR(__xludf.DUMMYFUNCTION("""COMPUTED_VALUE"""),"")</f>
        <v/>
      </c>
      <c r="C1847" s="2"/>
      <c r="D1847" s="71"/>
      <c r="E1847" s="71" t="str">
        <f>IFERROR(__xludf.DUMMYFUNCTION("""COMPUTED_VALUE""")," ")</f>
        <v> </v>
      </c>
      <c r="F1847" s="2"/>
      <c r="G1847" s="2"/>
      <c r="H1847" s="2"/>
      <c r="I1847" s="72"/>
      <c r="J1847" s="72"/>
      <c r="K1847" s="72"/>
      <c r="L1847" s="72"/>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c r="AJ1847" s="2" t="str">
        <f>IFERROR(__xludf.DUMMYFUNCTION("""COMPUTED_VALUE"""),"")</f>
        <v/>
      </c>
      <c r="AK1847" s="2" t="str">
        <f>IFERROR(__xludf.DUMMYFUNCTION("""COMPUTED_VALUE"""),"")</f>
        <v/>
      </c>
      <c r="AL1847" s="2" t="str">
        <f>IFERROR(__xludf.DUMMYFUNCTION("""COMPUTED_VALUE"""),"")</f>
        <v/>
      </c>
      <c r="AM1847" s="2" t="str">
        <f>IFERROR(__xludf.DUMMYFUNCTION("""COMPUTED_VALUE"""),"")</f>
        <v/>
      </c>
      <c r="AN1847" s="2" t="str">
        <f>IFERROR(__xludf.DUMMYFUNCTION("""COMPUTED_VALUE""")," ")</f>
        <v> </v>
      </c>
      <c r="AO1847" s="2" t="str">
        <f>IFERROR(__xludf.DUMMYFUNCTION("""COMPUTED_VALUE""")," ")</f>
        <v> </v>
      </c>
      <c r="AP1847" s="2" t="str">
        <f>IFERROR(__xludf.DUMMYFUNCTION("""COMPUTED_VALUE"""),"")</f>
        <v/>
      </c>
      <c r="AQ1847" s="2"/>
      <c r="AR1847" s="2"/>
      <c r="AS1847" s="2"/>
      <c r="AT1847" s="2"/>
      <c r="AU1847" s="2"/>
      <c r="AV1847" s="2"/>
      <c r="AW1847" s="2"/>
      <c r="AX1847" s="2"/>
      <c r="AY1847" s="2"/>
      <c r="AZ1847" s="2"/>
      <c r="BA1847" s="2"/>
      <c r="BB1847" s="2"/>
    </row>
    <row r="1848">
      <c r="A1848" s="2"/>
      <c r="B1848" s="2" t="str">
        <f>IFERROR(__xludf.DUMMYFUNCTION("""COMPUTED_VALUE"""),"")</f>
        <v/>
      </c>
      <c r="C1848" s="2"/>
      <c r="D1848" s="71"/>
      <c r="E1848" s="71" t="str">
        <f>IFERROR(__xludf.DUMMYFUNCTION("""COMPUTED_VALUE""")," ")</f>
        <v> </v>
      </c>
      <c r="F1848" s="2"/>
      <c r="G1848" s="2"/>
      <c r="H1848" s="2"/>
      <c r="I1848" s="72"/>
      <c r="J1848" s="72"/>
      <c r="K1848" s="72"/>
      <c r="L1848" s="72"/>
      <c r="M1848" s="2"/>
      <c r="N1848" s="2"/>
      <c r="O1848" s="2"/>
      <c r="P1848" s="2"/>
      <c r="Q1848" s="2"/>
      <c r="R1848" s="2"/>
      <c r="S1848" s="2"/>
      <c r="T1848" s="2"/>
      <c r="U1848" s="2"/>
      <c r="V1848" s="2"/>
      <c r="W1848" s="2"/>
      <c r="X1848" s="2"/>
      <c r="Y1848" s="2"/>
      <c r="Z1848" s="2"/>
      <c r="AA1848" s="2"/>
      <c r="AB1848" s="2"/>
      <c r="AC1848" s="2"/>
      <c r="AD1848" s="2"/>
      <c r="AE1848" s="2"/>
      <c r="AF1848" s="2"/>
      <c r="AG1848" s="2"/>
      <c r="AH1848" s="2"/>
      <c r="AI1848" s="2"/>
      <c r="AJ1848" s="2" t="str">
        <f>IFERROR(__xludf.DUMMYFUNCTION("""COMPUTED_VALUE"""),"")</f>
        <v/>
      </c>
      <c r="AK1848" s="2" t="str">
        <f>IFERROR(__xludf.DUMMYFUNCTION("""COMPUTED_VALUE"""),"")</f>
        <v/>
      </c>
      <c r="AL1848" s="2" t="str">
        <f>IFERROR(__xludf.DUMMYFUNCTION("""COMPUTED_VALUE"""),"")</f>
        <v/>
      </c>
      <c r="AM1848" s="2" t="str">
        <f>IFERROR(__xludf.DUMMYFUNCTION("""COMPUTED_VALUE"""),"")</f>
        <v/>
      </c>
      <c r="AN1848" s="2" t="str">
        <f>IFERROR(__xludf.DUMMYFUNCTION("""COMPUTED_VALUE""")," ")</f>
        <v> </v>
      </c>
      <c r="AO1848" s="2" t="str">
        <f>IFERROR(__xludf.DUMMYFUNCTION("""COMPUTED_VALUE""")," ")</f>
        <v> </v>
      </c>
      <c r="AP1848" s="2" t="str">
        <f>IFERROR(__xludf.DUMMYFUNCTION("""COMPUTED_VALUE"""),"")</f>
        <v/>
      </c>
      <c r="AQ1848" s="2"/>
      <c r="AR1848" s="2"/>
      <c r="AS1848" s="2"/>
      <c r="AT1848" s="2"/>
      <c r="AU1848" s="2"/>
      <c r="AV1848" s="2"/>
      <c r="AW1848" s="2"/>
      <c r="AX1848" s="2"/>
      <c r="AY1848" s="2"/>
      <c r="AZ1848" s="2"/>
      <c r="BA1848" s="2"/>
      <c r="BB1848" s="2"/>
    </row>
    <row r="1849">
      <c r="A1849" s="2"/>
      <c r="B1849" s="2" t="str">
        <f>IFERROR(__xludf.DUMMYFUNCTION("""COMPUTED_VALUE"""),"")</f>
        <v/>
      </c>
      <c r="C1849" s="2"/>
      <c r="D1849" s="71"/>
      <c r="E1849" s="71" t="str">
        <f>IFERROR(__xludf.DUMMYFUNCTION("""COMPUTED_VALUE""")," ")</f>
        <v> </v>
      </c>
      <c r="F1849" s="2"/>
      <c r="G1849" s="2"/>
      <c r="H1849" s="2"/>
      <c r="I1849" s="72"/>
      <c r="J1849" s="72"/>
      <c r="K1849" s="72"/>
      <c r="L1849" s="72"/>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c r="AJ1849" s="2" t="str">
        <f>IFERROR(__xludf.DUMMYFUNCTION("""COMPUTED_VALUE"""),"")</f>
        <v/>
      </c>
      <c r="AK1849" s="2" t="str">
        <f>IFERROR(__xludf.DUMMYFUNCTION("""COMPUTED_VALUE"""),"")</f>
        <v/>
      </c>
      <c r="AL1849" s="2" t="str">
        <f>IFERROR(__xludf.DUMMYFUNCTION("""COMPUTED_VALUE"""),"")</f>
        <v/>
      </c>
      <c r="AM1849" s="2" t="str">
        <f>IFERROR(__xludf.DUMMYFUNCTION("""COMPUTED_VALUE"""),"")</f>
        <v/>
      </c>
      <c r="AN1849" s="2" t="str">
        <f>IFERROR(__xludf.DUMMYFUNCTION("""COMPUTED_VALUE""")," ")</f>
        <v> </v>
      </c>
      <c r="AO1849" s="2" t="str">
        <f>IFERROR(__xludf.DUMMYFUNCTION("""COMPUTED_VALUE""")," ")</f>
        <v> </v>
      </c>
      <c r="AP1849" s="2" t="str">
        <f>IFERROR(__xludf.DUMMYFUNCTION("""COMPUTED_VALUE"""),"")</f>
        <v/>
      </c>
      <c r="AQ1849" s="2"/>
      <c r="AR1849" s="2"/>
      <c r="AS1849" s="2"/>
      <c r="AT1849" s="2"/>
      <c r="AU1849" s="2"/>
      <c r="AV1849" s="2"/>
      <c r="AW1849" s="2"/>
      <c r="AX1849" s="2"/>
      <c r="AY1849" s="2"/>
      <c r="AZ1849" s="2"/>
      <c r="BA1849" s="2"/>
      <c r="BB1849" s="2"/>
    </row>
    <row r="1850">
      <c r="A1850" s="2"/>
      <c r="B1850" s="2" t="str">
        <f>IFERROR(__xludf.DUMMYFUNCTION("""COMPUTED_VALUE"""),"")</f>
        <v/>
      </c>
      <c r="C1850" s="2"/>
      <c r="D1850" s="71"/>
      <c r="E1850" s="71" t="str">
        <f>IFERROR(__xludf.DUMMYFUNCTION("""COMPUTED_VALUE""")," ")</f>
        <v> </v>
      </c>
      <c r="F1850" s="2"/>
      <c r="G1850" s="2"/>
      <c r="H1850" s="2"/>
      <c r="I1850" s="72"/>
      <c r="J1850" s="72"/>
      <c r="K1850" s="72"/>
      <c r="L1850" s="72"/>
      <c r="M1850" s="2"/>
      <c r="N1850" s="2"/>
      <c r="O1850" s="2"/>
      <c r="P1850" s="2"/>
      <c r="Q1850" s="2"/>
      <c r="R1850" s="2"/>
      <c r="S1850" s="2"/>
      <c r="T1850" s="2"/>
      <c r="U1850" s="2"/>
      <c r="V1850" s="2"/>
      <c r="W1850" s="2"/>
      <c r="X1850" s="2"/>
      <c r="Y1850" s="2"/>
      <c r="Z1850" s="2"/>
      <c r="AA1850" s="2"/>
      <c r="AB1850" s="2"/>
      <c r="AC1850" s="2"/>
      <c r="AD1850" s="2"/>
      <c r="AE1850" s="2"/>
      <c r="AF1850" s="2"/>
      <c r="AG1850" s="2"/>
      <c r="AH1850" s="2"/>
      <c r="AI1850" s="2"/>
      <c r="AJ1850" s="2" t="str">
        <f>IFERROR(__xludf.DUMMYFUNCTION("""COMPUTED_VALUE"""),"")</f>
        <v/>
      </c>
      <c r="AK1850" s="2" t="str">
        <f>IFERROR(__xludf.DUMMYFUNCTION("""COMPUTED_VALUE"""),"")</f>
        <v/>
      </c>
      <c r="AL1850" s="2" t="str">
        <f>IFERROR(__xludf.DUMMYFUNCTION("""COMPUTED_VALUE"""),"")</f>
        <v/>
      </c>
      <c r="AM1850" s="2" t="str">
        <f>IFERROR(__xludf.DUMMYFUNCTION("""COMPUTED_VALUE"""),"")</f>
        <v/>
      </c>
      <c r="AN1850" s="2" t="str">
        <f>IFERROR(__xludf.DUMMYFUNCTION("""COMPUTED_VALUE""")," ")</f>
        <v> </v>
      </c>
      <c r="AO1850" s="2" t="str">
        <f>IFERROR(__xludf.DUMMYFUNCTION("""COMPUTED_VALUE""")," ")</f>
        <v> </v>
      </c>
      <c r="AP1850" s="2" t="str">
        <f>IFERROR(__xludf.DUMMYFUNCTION("""COMPUTED_VALUE"""),"")</f>
        <v/>
      </c>
      <c r="AQ1850" s="2"/>
      <c r="AR1850" s="2"/>
      <c r="AS1850" s="2"/>
      <c r="AT1850" s="2"/>
      <c r="AU1850" s="2"/>
      <c r="AV1850" s="2"/>
      <c r="AW1850" s="2"/>
      <c r="AX1850" s="2"/>
      <c r="AY1850" s="2"/>
      <c r="AZ1850" s="2"/>
      <c r="BA1850" s="2"/>
      <c r="BB1850" s="2"/>
    </row>
    <row r="1851">
      <c r="A1851" s="2"/>
      <c r="B1851" s="2" t="str">
        <f>IFERROR(__xludf.DUMMYFUNCTION("""COMPUTED_VALUE"""),"")</f>
        <v/>
      </c>
      <c r="C1851" s="2"/>
      <c r="D1851" s="71"/>
      <c r="E1851" s="71" t="str">
        <f>IFERROR(__xludf.DUMMYFUNCTION("""COMPUTED_VALUE""")," ")</f>
        <v> </v>
      </c>
      <c r="F1851" s="2"/>
      <c r="G1851" s="2"/>
      <c r="H1851" s="2"/>
      <c r="I1851" s="72"/>
      <c r="J1851" s="72"/>
      <c r="K1851" s="72"/>
      <c r="L1851" s="72"/>
      <c r="M1851" s="2"/>
      <c r="N1851" s="2"/>
      <c r="O1851" s="2"/>
      <c r="P1851" s="2"/>
      <c r="Q1851" s="2"/>
      <c r="R1851" s="2"/>
      <c r="S1851" s="2"/>
      <c r="T1851" s="2"/>
      <c r="U1851" s="2"/>
      <c r="V1851" s="2"/>
      <c r="W1851" s="2"/>
      <c r="X1851" s="2"/>
      <c r="Y1851" s="2"/>
      <c r="Z1851" s="2"/>
      <c r="AA1851" s="2"/>
      <c r="AB1851" s="2"/>
      <c r="AC1851" s="2"/>
      <c r="AD1851" s="2"/>
      <c r="AE1851" s="2"/>
      <c r="AF1851" s="2"/>
      <c r="AG1851" s="2"/>
      <c r="AH1851" s="2"/>
      <c r="AI1851" s="2"/>
      <c r="AJ1851" s="2" t="str">
        <f>IFERROR(__xludf.DUMMYFUNCTION("""COMPUTED_VALUE"""),"")</f>
        <v/>
      </c>
      <c r="AK1851" s="2" t="str">
        <f>IFERROR(__xludf.DUMMYFUNCTION("""COMPUTED_VALUE"""),"")</f>
        <v/>
      </c>
      <c r="AL1851" s="2" t="str">
        <f>IFERROR(__xludf.DUMMYFUNCTION("""COMPUTED_VALUE"""),"")</f>
        <v/>
      </c>
      <c r="AM1851" s="2" t="str">
        <f>IFERROR(__xludf.DUMMYFUNCTION("""COMPUTED_VALUE"""),"")</f>
        <v/>
      </c>
      <c r="AN1851" s="2" t="str">
        <f>IFERROR(__xludf.DUMMYFUNCTION("""COMPUTED_VALUE""")," ")</f>
        <v> </v>
      </c>
      <c r="AO1851" s="2" t="str">
        <f>IFERROR(__xludf.DUMMYFUNCTION("""COMPUTED_VALUE""")," ")</f>
        <v> </v>
      </c>
      <c r="AP1851" s="2" t="str">
        <f>IFERROR(__xludf.DUMMYFUNCTION("""COMPUTED_VALUE"""),"")</f>
        <v/>
      </c>
      <c r="AQ1851" s="2"/>
      <c r="AR1851" s="2"/>
      <c r="AS1851" s="2"/>
      <c r="AT1851" s="2"/>
      <c r="AU1851" s="2"/>
      <c r="AV1851" s="2"/>
      <c r="AW1851" s="2"/>
      <c r="AX1851" s="2"/>
      <c r="AY1851" s="2"/>
      <c r="AZ1851" s="2"/>
      <c r="BA1851" s="2"/>
      <c r="BB1851" s="2"/>
    </row>
    <row r="1852">
      <c r="A1852" s="2"/>
      <c r="B1852" s="2" t="str">
        <f>IFERROR(__xludf.DUMMYFUNCTION("""COMPUTED_VALUE"""),"")</f>
        <v/>
      </c>
      <c r="C1852" s="2"/>
      <c r="D1852" s="71"/>
      <c r="E1852" s="71" t="str">
        <f>IFERROR(__xludf.DUMMYFUNCTION("""COMPUTED_VALUE""")," ")</f>
        <v> </v>
      </c>
      <c r="F1852" s="2"/>
      <c r="G1852" s="2"/>
      <c r="H1852" s="2"/>
      <c r="I1852" s="72"/>
      <c r="J1852" s="72"/>
      <c r="K1852" s="72"/>
      <c r="L1852" s="72"/>
      <c r="M1852" s="2"/>
      <c r="N1852" s="2"/>
      <c r="O1852" s="2"/>
      <c r="P1852" s="2"/>
      <c r="Q1852" s="2"/>
      <c r="R1852" s="2"/>
      <c r="S1852" s="2"/>
      <c r="T1852" s="2"/>
      <c r="U1852" s="2"/>
      <c r="V1852" s="2"/>
      <c r="W1852" s="2"/>
      <c r="X1852" s="2"/>
      <c r="Y1852" s="2"/>
      <c r="Z1852" s="2"/>
      <c r="AA1852" s="2"/>
      <c r="AB1852" s="2"/>
      <c r="AC1852" s="2"/>
      <c r="AD1852" s="2"/>
      <c r="AE1852" s="2"/>
      <c r="AF1852" s="2"/>
      <c r="AG1852" s="2"/>
      <c r="AH1852" s="2"/>
      <c r="AI1852" s="2"/>
      <c r="AJ1852" s="2" t="str">
        <f>IFERROR(__xludf.DUMMYFUNCTION("""COMPUTED_VALUE"""),"")</f>
        <v/>
      </c>
      <c r="AK1852" s="2" t="str">
        <f>IFERROR(__xludf.DUMMYFUNCTION("""COMPUTED_VALUE"""),"")</f>
        <v/>
      </c>
      <c r="AL1852" s="2" t="str">
        <f>IFERROR(__xludf.DUMMYFUNCTION("""COMPUTED_VALUE"""),"")</f>
        <v/>
      </c>
      <c r="AM1852" s="2" t="str">
        <f>IFERROR(__xludf.DUMMYFUNCTION("""COMPUTED_VALUE"""),"")</f>
        <v/>
      </c>
      <c r="AN1852" s="2" t="str">
        <f>IFERROR(__xludf.DUMMYFUNCTION("""COMPUTED_VALUE""")," ")</f>
        <v> </v>
      </c>
      <c r="AO1852" s="2" t="str">
        <f>IFERROR(__xludf.DUMMYFUNCTION("""COMPUTED_VALUE""")," ")</f>
        <v> </v>
      </c>
      <c r="AP1852" s="2" t="str">
        <f>IFERROR(__xludf.DUMMYFUNCTION("""COMPUTED_VALUE"""),"")</f>
        <v/>
      </c>
      <c r="AQ1852" s="2"/>
      <c r="AR1852" s="2"/>
      <c r="AS1852" s="2"/>
      <c r="AT1852" s="2"/>
      <c r="AU1852" s="2"/>
      <c r="AV1852" s="2"/>
      <c r="AW1852" s="2"/>
      <c r="AX1852" s="2"/>
      <c r="AY1852" s="2"/>
      <c r="AZ1852" s="2"/>
      <c r="BA1852" s="2"/>
      <c r="BB1852" s="2"/>
    </row>
    <row r="1853">
      <c r="A1853" s="2"/>
      <c r="B1853" s="2" t="str">
        <f>IFERROR(__xludf.DUMMYFUNCTION("""COMPUTED_VALUE"""),"")</f>
        <v/>
      </c>
      <c r="C1853" s="2"/>
      <c r="D1853" s="71"/>
      <c r="E1853" s="71" t="str">
        <f>IFERROR(__xludf.DUMMYFUNCTION("""COMPUTED_VALUE""")," ")</f>
        <v> </v>
      </c>
      <c r="F1853" s="2"/>
      <c r="G1853" s="2"/>
      <c r="H1853" s="2"/>
      <c r="I1853" s="72"/>
      <c r="J1853" s="72"/>
      <c r="K1853" s="72"/>
      <c r="L1853" s="72"/>
      <c r="M1853" s="2"/>
      <c r="N1853" s="2"/>
      <c r="O1853" s="2"/>
      <c r="P1853" s="2"/>
      <c r="Q1853" s="2"/>
      <c r="R1853" s="2"/>
      <c r="S1853" s="2"/>
      <c r="T1853" s="2"/>
      <c r="U1853" s="2"/>
      <c r="V1853" s="2"/>
      <c r="W1853" s="2"/>
      <c r="X1853" s="2"/>
      <c r="Y1853" s="2"/>
      <c r="Z1853" s="2"/>
      <c r="AA1853" s="2"/>
      <c r="AB1853" s="2"/>
      <c r="AC1853" s="2"/>
      <c r="AD1853" s="2"/>
      <c r="AE1853" s="2"/>
      <c r="AF1853" s="2"/>
      <c r="AG1853" s="2"/>
      <c r="AH1853" s="2"/>
      <c r="AI1853" s="2"/>
      <c r="AJ1853" s="2" t="str">
        <f>IFERROR(__xludf.DUMMYFUNCTION("""COMPUTED_VALUE"""),"")</f>
        <v/>
      </c>
      <c r="AK1853" s="2" t="str">
        <f>IFERROR(__xludf.DUMMYFUNCTION("""COMPUTED_VALUE"""),"")</f>
        <v/>
      </c>
      <c r="AL1853" s="2" t="str">
        <f>IFERROR(__xludf.DUMMYFUNCTION("""COMPUTED_VALUE"""),"")</f>
        <v/>
      </c>
      <c r="AM1853" s="2" t="str">
        <f>IFERROR(__xludf.DUMMYFUNCTION("""COMPUTED_VALUE"""),"")</f>
        <v/>
      </c>
      <c r="AN1853" s="2" t="str">
        <f>IFERROR(__xludf.DUMMYFUNCTION("""COMPUTED_VALUE""")," ")</f>
        <v> </v>
      </c>
      <c r="AO1853" s="2" t="str">
        <f>IFERROR(__xludf.DUMMYFUNCTION("""COMPUTED_VALUE""")," ")</f>
        <v> </v>
      </c>
      <c r="AP1853" s="2" t="str">
        <f>IFERROR(__xludf.DUMMYFUNCTION("""COMPUTED_VALUE"""),"")</f>
        <v/>
      </c>
      <c r="AQ1853" s="2"/>
      <c r="AR1853" s="2"/>
      <c r="AS1853" s="2"/>
      <c r="AT1853" s="2"/>
      <c r="AU1853" s="2"/>
      <c r="AV1853" s="2"/>
      <c r="AW1853" s="2"/>
      <c r="AX1853" s="2"/>
      <c r="AY1853" s="2"/>
      <c r="AZ1853" s="2"/>
      <c r="BA1853" s="2"/>
      <c r="BB1853" s="2"/>
    </row>
    <row r="1854">
      <c r="A1854" s="2"/>
      <c r="B1854" s="2" t="str">
        <f>IFERROR(__xludf.DUMMYFUNCTION("""COMPUTED_VALUE"""),"")</f>
        <v/>
      </c>
      <c r="C1854" s="2"/>
      <c r="D1854" s="71"/>
      <c r="E1854" s="71" t="str">
        <f>IFERROR(__xludf.DUMMYFUNCTION("""COMPUTED_VALUE""")," ")</f>
        <v> </v>
      </c>
      <c r="F1854" s="2"/>
      <c r="G1854" s="2"/>
      <c r="H1854" s="2"/>
      <c r="I1854" s="72"/>
      <c r="J1854" s="72"/>
      <c r="K1854" s="72"/>
      <c r="L1854" s="72"/>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c r="AJ1854" s="2" t="str">
        <f>IFERROR(__xludf.DUMMYFUNCTION("""COMPUTED_VALUE"""),"")</f>
        <v/>
      </c>
      <c r="AK1854" s="2" t="str">
        <f>IFERROR(__xludf.DUMMYFUNCTION("""COMPUTED_VALUE"""),"")</f>
        <v/>
      </c>
      <c r="AL1854" s="2" t="str">
        <f>IFERROR(__xludf.DUMMYFUNCTION("""COMPUTED_VALUE"""),"")</f>
        <v/>
      </c>
      <c r="AM1854" s="2" t="str">
        <f>IFERROR(__xludf.DUMMYFUNCTION("""COMPUTED_VALUE"""),"")</f>
        <v/>
      </c>
      <c r="AN1854" s="2" t="str">
        <f>IFERROR(__xludf.DUMMYFUNCTION("""COMPUTED_VALUE""")," ")</f>
        <v> </v>
      </c>
      <c r="AO1854" s="2" t="str">
        <f>IFERROR(__xludf.DUMMYFUNCTION("""COMPUTED_VALUE""")," ")</f>
        <v> </v>
      </c>
      <c r="AP1854" s="2" t="str">
        <f>IFERROR(__xludf.DUMMYFUNCTION("""COMPUTED_VALUE"""),"")</f>
        <v/>
      </c>
      <c r="AQ1854" s="2"/>
      <c r="AR1854" s="2"/>
      <c r="AS1854" s="2"/>
      <c r="AT1854" s="2"/>
      <c r="AU1854" s="2"/>
      <c r="AV1854" s="2"/>
      <c r="AW1854" s="2"/>
      <c r="AX1854" s="2"/>
      <c r="AY1854" s="2"/>
      <c r="AZ1854" s="2"/>
      <c r="BA1854" s="2"/>
      <c r="BB1854" s="2"/>
    </row>
    <row r="1855">
      <c r="A1855" s="2"/>
      <c r="B1855" s="2" t="str">
        <f>IFERROR(__xludf.DUMMYFUNCTION("""COMPUTED_VALUE"""),"")</f>
        <v/>
      </c>
      <c r="C1855" s="2"/>
      <c r="D1855" s="71"/>
      <c r="E1855" s="71" t="str">
        <f>IFERROR(__xludf.DUMMYFUNCTION("""COMPUTED_VALUE""")," ")</f>
        <v> </v>
      </c>
      <c r="F1855" s="2"/>
      <c r="G1855" s="2"/>
      <c r="H1855" s="2"/>
      <c r="I1855" s="72"/>
      <c r="J1855" s="72"/>
      <c r="K1855" s="72"/>
      <c r="L1855" s="72"/>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c r="AJ1855" s="2" t="str">
        <f>IFERROR(__xludf.DUMMYFUNCTION("""COMPUTED_VALUE"""),"")</f>
        <v/>
      </c>
      <c r="AK1855" s="2" t="str">
        <f>IFERROR(__xludf.DUMMYFUNCTION("""COMPUTED_VALUE"""),"")</f>
        <v/>
      </c>
      <c r="AL1855" s="2" t="str">
        <f>IFERROR(__xludf.DUMMYFUNCTION("""COMPUTED_VALUE"""),"")</f>
        <v/>
      </c>
      <c r="AM1855" s="2" t="str">
        <f>IFERROR(__xludf.DUMMYFUNCTION("""COMPUTED_VALUE"""),"")</f>
        <v/>
      </c>
      <c r="AN1855" s="2" t="str">
        <f>IFERROR(__xludf.DUMMYFUNCTION("""COMPUTED_VALUE""")," ")</f>
        <v> </v>
      </c>
      <c r="AO1855" s="2" t="str">
        <f>IFERROR(__xludf.DUMMYFUNCTION("""COMPUTED_VALUE""")," ")</f>
        <v> </v>
      </c>
      <c r="AP1855" s="2" t="str">
        <f>IFERROR(__xludf.DUMMYFUNCTION("""COMPUTED_VALUE"""),"")</f>
        <v/>
      </c>
      <c r="AQ1855" s="2"/>
      <c r="AR1855" s="2"/>
      <c r="AS1855" s="2"/>
      <c r="AT1855" s="2"/>
      <c r="AU1855" s="2"/>
      <c r="AV1855" s="2"/>
      <c r="AW1855" s="2"/>
      <c r="AX1855" s="2"/>
      <c r="AY1855" s="2"/>
      <c r="AZ1855" s="2"/>
      <c r="BA1855" s="2"/>
      <c r="BB1855" s="2"/>
    </row>
    <row r="1856">
      <c r="A1856" s="2"/>
      <c r="B1856" s="2" t="str">
        <f>IFERROR(__xludf.DUMMYFUNCTION("""COMPUTED_VALUE"""),"")</f>
        <v/>
      </c>
      <c r="C1856" s="2"/>
      <c r="D1856" s="71"/>
      <c r="E1856" s="71" t="str">
        <f>IFERROR(__xludf.DUMMYFUNCTION("""COMPUTED_VALUE""")," ")</f>
        <v> </v>
      </c>
      <c r="F1856" s="2"/>
      <c r="G1856" s="2"/>
      <c r="H1856" s="2"/>
      <c r="I1856" s="72"/>
      <c r="J1856" s="72"/>
      <c r="K1856" s="72"/>
      <c r="L1856" s="72"/>
      <c r="M1856" s="2"/>
      <c r="N1856" s="2"/>
      <c r="O1856" s="2"/>
      <c r="P1856" s="2"/>
      <c r="Q1856" s="2"/>
      <c r="R1856" s="2"/>
      <c r="S1856" s="2"/>
      <c r="T1856" s="2"/>
      <c r="U1856" s="2"/>
      <c r="V1856" s="2"/>
      <c r="W1856" s="2"/>
      <c r="X1856" s="2"/>
      <c r="Y1856" s="2"/>
      <c r="Z1856" s="2"/>
      <c r="AA1856" s="2"/>
      <c r="AB1856" s="2"/>
      <c r="AC1856" s="2"/>
      <c r="AD1856" s="2"/>
      <c r="AE1856" s="2"/>
      <c r="AF1856" s="2"/>
      <c r="AG1856" s="2"/>
      <c r="AH1856" s="2"/>
      <c r="AI1856" s="2"/>
      <c r="AJ1856" s="2" t="str">
        <f>IFERROR(__xludf.DUMMYFUNCTION("""COMPUTED_VALUE"""),"")</f>
        <v/>
      </c>
      <c r="AK1856" s="2" t="str">
        <f>IFERROR(__xludf.DUMMYFUNCTION("""COMPUTED_VALUE"""),"")</f>
        <v/>
      </c>
      <c r="AL1856" s="2" t="str">
        <f>IFERROR(__xludf.DUMMYFUNCTION("""COMPUTED_VALUE"""),"")</f>
        <v/>
      </c>
      <c r="AM1856" s="2" t="str">
        <f>IFERROR(__xludf.DUMMYFUNCTION("""COMPUTED_VALUE"""),"")</f>
        <v/>
      </c>
      <c r="AN1856" s="2" t="str">
        <f>IFERROR(__xludf.DUMMYFUNCTION("""COMPUTED_VALUE""")," ")</f>
        <v> </v>
      </c>
      <c r="AO1856" s="2" t="str">
        <f>IFERROR(__xludf.DUMMYFUNCTION("""COMPUTED_VALUE""")," ")</f>
        <v> </v>
      </c>
      <c r="AP1856" s="2" t="str">
        <f>IFERROR(__xludf.DUMMYFUNCTION("""COMPUTED_VALUE"""),"")</f>
        <v/>
      </c>
      <c r="AQ1856" s="2"/>
      <c r="AR1856" s="2"/>
      <c r="AS1856" s="2"/>
      <c r="AT1856" s="2"/>
      <c r="AU1856" s="2"/>
      <c r="AV1856" s="2"/>
      <c r="AW1856" s="2"/>
      <c r="AX1856" s="2"/>
      <c r="AY1856" s="2"/>
      <c r="AZ1856" s="2"/>
      <c r="BA1856" s="2"/>
      <c r="BB1856" s="2"/>
    </row>
    <row r="1857">
      <c r="A1857" s="2"/>
      <c r="B1857" s="2" t="str">
        <f>IFERROR(__xludf.DUMMYFUNCTION("""COMPUTED_VALUE"""),"")</f>
        <v/>
      </c>
      <c r="C1857" s="2"/>
      <c r="D1857" s="71"/>
      <c r="E1857" s="71" t="str">
        <f>IFERROR(__xludf.DUMMYFUNCTION("""COMPUTED_VALUE""")," ")</f>
        <v> </v>
      </c>
      <c r="F1857" s="2"/>
      <c r="G1857" s="2"/>
      <c r="H1857" s="2"/>
      <c r="I1857" s="72"/>
      <c r="J1857" s="72"/>
      <c r="K1857" s="72"/>
      <c r="L1857" s="72"/>
      <c r="M1857" s="2"/>
      <c r="N1857" s="2"/>
      <c r="O1857" s="2"/>
      <c r="P1857" s="2"/>
      <c r="Q1857" s="2"/>
      <c r="R1857" s="2"/>
      <c r="S1857" s="2"/>
      <c r="T1857" s="2"/>
      <c r="U1857" s="2"/>
      <c r="V1857" s="2"/>
      <c r="W1857" s="2"/>
      <c r="X1857" s="2"/>
      <c r="Y1857" s="2"/>
      <c r="Z1857" s="2"/>
      <c r="AA1857" s="2"/>
      <c r="AB1857" s="2"/>
      <c r="AC1857" s="2"/>
      <c r="AD1857" s="2"/>
      <c r="AE1857" s="2"/>
      <c r="AF1857" s="2"/>
      <c r="AG1857" s="2"/>
      <c r="AH1857" s="2"/>
      <c r="AI1857" s="2"/>
      <c r="AJ1857" s="2" t="str">
        <f>IFERROR(__xludf.DUMMYFUNCTION("""COMPUTED_VALUE"""),"")</f>
        <v/>
      </c>
      <c r="AK1857" s="2" t="str">
        <f>IFERROR(__xludf.DUMMYFUNCTION("""COMPUTED_VALUE"""),"")</f>
        <v/>
      </c>
      <c r="AL1857" s="2" t="str">
        <f>IFERROR(__xludf.DUMMYFUNCTION("""COMPUTED_VALUE"""),"")</f>
        <v/>
      </c>
      <c r="AM1857" s="2" t="str">
        <f>IFERROR(__xludf.DUMMYFUNCTION("""COMPUTED_VALUE"""),"")</f>
        <v/>
      </c>
      <c r="AN1857" s="2" t="str">
        <f>IFERROR(__xludf.DUMMYFUNCTION("""COMPUTED_VALUE""")," ")</f>
        <v> </v>
      </c>
      <c r="AO1857" s="2" t="str">
        <f>IFERROR(__xludf.DUMMYFUNCTION("""COMPUTED_VALUE""")," ")</f>
        <v> </v>
      </c>
      <c r="AP1857" s="2" t="str">
        <f>IFERROR(__xludf.DUMMYFUNCTION("""COMPUTED_VALUE"""),"")</f>
        <v/>
      </c>
      <c r="AQ1857" s="2"/>
      <c r="AR1857" s="2"/>
      <c r="AS1857" s="2"/>
      <c r="AT1857" s="2"/>
      <c r="AU1857" s="2"/>
      <c r="AV1857" s="2"/>
      <c r="AW1857" s="2"/>
      <c r="AX1857" s="2"/>
      <c r="AY1857" s="2"/>
      <c r="AZ1857" s="2"/>
      <c r="BA1857" s="2"/>
      <c r="BB1857" s="2"/>
    </row>
    <row r="1858">
      <c r="A1858" s="2"/>
      <c r="B1858" s="2" t="str">
        <f>IFERROR(__xludf.DUMMYFUNCTION("""COMPUTED_VALUE"""),"")</f>
        <v/>
      </c>
      <c r="C1858" s="2"/>
      <c r="D1858" s="71"/>
      <c r="E1858" s="71" t="str">
        <f>IFERROR(__xludf.DUMMYFUNCTION("""COMPUTED_VALUE""")," ")</f>
        <v> </v>
      </c>
      <c r="F1858" s="2"/>
      <c r="G1858" s="2"/>
      <c r="H1858" s="2"/>
      <c r="I1858" s="72"/>
      <c r="J1858" s="72"/>
      <c r="K1858" s="72"/>
      <c r="L1858" s="72"/>
      <c r="M1858" s="2"/>
      <c r="N1858" s="2"/>
      <c r="O1858" s="2"/>
      <c r="P1858" s="2"/>
      <c r="Q1858" s="2"/>
      <c r="R1858" s="2"/>
      <c r="S1858" s="2"/>
      <c r="T1858" s="2"/>
      <c r="U1858" s="2"/>
      <c r="V1858" s="2"/>
      <c r="W1858" s="2"/>
      <c r="X1858" s="2"/>
      <c r="Y1858" s="2"/>
      <c r="Z1858" s="2"/>
      <c r="AA1858" s="2"/>
      <c r="AB1858" s="2"/>
      <c r="AC1858" s="2"/>
      <c r="AD1858" s="2"/>
      <c r="AE1858" s="2"/>
      <c r="AF1858" s="2"/>
      <c r="AG1858" s="2"/>
      <c r="AH1858" s="2"/>
      <c r="AI1858" s="2"/>
      <c r="AJ1858" s="2" t="str">
        <f>IFERROR(__xludf.DUMMYFUNCTION("""COMPUTED_VALUE"""),"")</f>
        <v/>
      </c>
      <c r="AK1858" s="2" t="str">
        <f>IFERROR(__xludf.DUMMYFUNCTION("""COMPUTED_VALUE"""),"")</f>
        <v/>
      </c>
      <c r="AL1858" s="2" t="str">
        <f>IFERROR(__xludf.DUMMYFUNCTION("""COMPUTED_VALUE"""),"")</f>
        <v/>
      </c>
      <c r="AM1858" s="2" t="str">
        <f>IFERROR(__xludf.DUMMYFUNCTION("""COMPUTED_VALUE"""),"")</f>
        <v/>
      </c>
      <c r="AN1858" s="2" t="str">
        <f>IFERROR(__xludf.DUMMYFUNCTION("""COMPUTED_VALUE""")," ")</f>
        <v> </v>
      </c>
      <c r="AO1858" s="2" t="str">
        <f>IFERROR(__xludf.DUMMYFUNCTION("""COMPUTED_VALUE""")," ")</f>
        <v> </v>
      </c>
      <c r="AP1858" s="2" t="str">
        <f>IFERROR(__xludf.DUMMYFUNCTION("""COMPUTED_VALUE"""),"")</f>
        <v/>
      </c>
      <c r="AQ1858" s="2"/>
      <c r="AR1858" s="2"/>
      <c r="AS1858" s="2"/>
      <c r="AT1858" s="2"/>
      <c r="AU1858" s="2"/>
      <c r="AV1858" s="2"/>
      <c r="AW1858" s="2"/>
      <c r="AX1858" s="2"/>
      <c r="AY1858" s="2"/>
      <c r="AZ1858" s="2"/>
      <c r="BA1858" s="2"/>
      <c r="BB1858" s="2"/>
    </row>
    <row r="1859">
      <c r="A1859" s="2"/>
      <c r="B1859" s="2" t="str">
        <f>IFERROR(__xludf.DUMMYFUNCTION("""COMPUTED_VALUE"""),"")</f>
        <v/>
      </c>
      <c r="C1859" s="2"/>
      <c r="D1859" s="71"/>
      <c r="E1859" s="71" t="str">
        <f>IFERROR(__xludf.DUMMYFUNCTION("""COMPUTED_VALUE""")," ")</f>
        <v> </v>
      </c>
      <c r="F1859" s="2"/>
      <c r="G1859" s="2"/>
      <c r="H1859" s="2"/>
      <c r="I1859" s="72"/>
      <c r="J1859" s="72"/>
      <c r="K1859" s="72"/>
      <c r="L1859" s="72"/>
      <c r="M1859" s="2"/>
      <c r="N1859" s="2"/>
      <c r="O1859" s="2"/>
      <c r="P1859" s="2"/>
      <c r="Q1859" s="2"/>
      <c r="R1859" s="2"/>
      <c r="S1859" s="2"/>
      <c r="T1859" s="2"/>
      <c r="U1859" s="2"/>
      <c r="V1859" s="2"/>
      <c r="W1859" s="2"/>
      <c r="X1859" s="2"/>
      <c r="Y1859" s="2"/>
      <c r="Z1859" s="2"/>
      <c r="AA1859" s="2"/>
      <c r="AB1859" s="2"/>
      <c r="AC1859" s="2"/>
      <c r="AD1859" s="2"/>
      <c r="AE1859" s="2"/>
      <c r="AF1859" s="2"/>
      <c r="AG1859" s="2"/>
      <c r="AH1859" s="2"/>
      <c r="AI1859" s="2"/>
      <c r="AJ1859" s="2" t="str">
        <f>IFERROR(__xludf.DUMMYFUNCTION("""COMPUTED_VALUE"""),"")</f>
        <v/>
      </c>
      <c r="AK1859" s="2" t="str">
        <f>IFERROR(__xludf.DUMMYFUNCTION("""COMPUTED_VALUE"""),"")</f>
        <v/>
      </c>
      <c r="AL1859" s="2" t="str">
        <f>IFERROR(__xludf.DUMMYFUNCTION("""COMPUTED_VALUE"""),"")</f>
        <v/>
      </c>
      <c r="AM1859" s="2" t="str">
        <f>IFERROR(__xludf.DUMMYFUNCTION("""COMPUTED_VALUE"""),"")</f>
        <v/>
      </c>
      <c r="AN1859" s="2" t="str">
        <f>IFERROR(__xludf.DUMMYFUNCTION("""COMPUTED_VALUE""")," ")</f>
        <v> </v>
      </c>
      <c r="AO1859" s="2" t="str">
        <f>IFERROR(__xludf.DUMMYFUNCTION("""COMPUTED_VALUE""")," ")</f>
        <v> </v>
      </c>
      <c r="AP1859" s="2" t="str">
        <f>IFERROR(__xludf.DUMMYFUNCTION("""COMPUTED_VALUE"""),"")</f>
        <v/>
      </c>
      <c r="AQ1859" s="2"/>
      <c r="AR1859" s="2"/>
      <c r="AS1859" s="2"/>
      <c r="AT1859" s="2"/>
      <c r="AU1859" s="2"/>
      <c r="AV1859" s="2"/>
      <c r="AW1859" s="2"/>
      <c r="AX1859" s="2"/>
      <c r="AY1859" s="2"/>
      <c r="AZ1859" s="2"/>
      <c r="BA1859" s="2"/>
      <c r="BB1859" s="2"/>
    </row>
    <row r="1860">
      <c r="A1860" s="2"/>
      <c r="B1860" s="2" t="str">
        <f>IFERROR(__xludf.DUMMYFUNCTION("""COMPUTED_VALUE"""),"")</f>
        <v/>
      </c>
      <c r="C1860" s="2"/>
      <c r="D1860" s="71"/>
      <c r="E1860" s="71" t="str">
        <f>IFERROR(__xludf.DUMMYFUNCTION("""COMPUTED_VALUE""")," ")</f>
        <v> </v>
      </c>
      <c r="F1860" s="2"/>
      <c r="G1860" s="2"/>
      <c r="H1860" s="2"/>
      <c r="I1860" s="72"/>
      <c r="J1860" s="72"/>
      <c r="K1860" s="72"/>
      <c r="L1860" s="72"/>
      <c r="M1860" s="2"/>
      <c r="N1860" s="2"/>
      <c r="O1860" s="2"/>
      <c r="P1860" s="2"/>
      <c r="Q1860" s="2"/>
      <c r="R1860" s="2"/>
      <c r="S1860" s="2"/>
      <c r="T1860" s="2"/>
      <c r="U1860" s="2"/>
      <c r="V1860" s="2"/>
      <c r="W1860" s="2"/>
      <c r="X1860" s="2"/>
      <c r="Y1860" s="2"/>
      <c r="Z1860" s="2"/>
      <c r="AA1860" s="2"/>
      <c r="AB1860" s="2"/>
      <c r="AC1860" s="2"/>
      <c r="AD1860" s="2"/>
      <c r="AE1860" s="2"/>
      <c r="AF1860" s="2"/>
      <c r="AG1860" s="2"/>
      <c r="AH1860" s="2"/>
      <c r="AI1860" s="2"/>
      <c r="AJ1860" s="2" t="str">
        <f>IFERROR(__xludf.DUMMYFUNCTION("""COMPUTED_VALUE"""),"")</f>
        <v/>
      </c>
      <c r="AK1860" s="2" t="str">
        <f>IFERROR(__xludf.DUMMYFUNCTION("""COMPUTED_VALUE"""),"")</f>
        <v/>
      </c>
      <c r="AL1860" s="2" t="str">
        <f>IFERROR(__xludf.DUMMYFUNCTION("""COMPUTED_VALUE"""),"")</f>
        <v/>
      </c>
      <c r="AM1860" s="2" t="str">
        <f>IFERROR(__xludf.DUMMYFUNCTION("""COMPUTED_VALUE"""),"")</f>
        <v/>
      </c>
      <c r="AN1860" s="2" t="str">
        <f>IFERROR(__xludf.DUMMYFUNCTION("""COMPUTED_VALUE""")," ")</f>
        <v> </v>
      </c>
      <c r="AO1860" s="2" t="str">
        <f>IFERROR(__xludf.DUMMYFUNCTION("""COMPUTED_VALUE""")," ")</f>
        <v> </v>
      </c>
      <c r="AP1860" s="2" t="str">
        <f>IFERROR(__xludf.DUMMYFUNCTION("""COMPUTED_VALUE"""),"")</f>
        <v/>
      </c>
      <c r="AQ1860" s="2"/>
      <c r="AR1860" s="2"/>
      <c r="AS1860" s="2"/>
      <c r="AT1860" s="2"/>
      <c r="AU1860" s="2"/>
      <c r="AV1860" s="2"/>
      <c r="AW1860" s="2"/>
      <c r="AX1860" s="2"/>
      <c r="AY1860" s="2"/>
      <c r="AZ1860" s="2"/>
      <c r="BA1860" s="2"/>
      <c r="BB1860" s="2"/>
    </row>
    <row r="1861">
      <c r="A1861" s="2"/>
      <c r="B1861" s="2" t="str">
        <f>IFERROR(__xludf.DUMMYFUNCTION("""COMPUTED_VALUE"""),"")</f>
        <v/>
      </c>
      <c r="C1861" s="2"/>
      <c r="D1861" s="71"/>
      <c r="E1861" s="71" t="str">
        <f>IFERROR(__xludf.DUMMYFUNCTION("""COMPUTED_VALUE""")," ")</f>
        <v> </v>
      </c>
      <c r="F1861" s="2"/>
      <c r="G1861" s="2"/>
      <c r="H1861" s="2"/>
      <c r="I1861" s="72"/>
      <c r="J1861" s="72"/>
      <c r="K1861" s="72"/>
      <c r="L1861" s="72"/>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c r="AJ1861" s="2" t="str">
        <f>IFERROR(__xludf.DUMMYFUNCTION("""COMPUTED_VALUE"""),"")</f>
        <v/>
      </c>
      <c r="AK1861" s="2" t="str">
        <f>IFERROR(__xludf.DUMMYFUNCTION("""COMPUTED_VALUE"""),"")</f>
        <v/>
      </c>
      <c r="AL1861" s="2" t="str">
        <f>IFERROR(__xludf.DUMMYFUNCTION("""COMPUTED_VALUE"""),"")</f>
        <v/>
      </c>
      <c r="AM1861" s="2" t="str">
        <f>IFERROR(__xludf.DUMMYFUNCTION("""COMPUTED_VALUE"""),"")</f>
        <v/>
      </c>
      <c r="AN1861" s="2" t="str">
        <f>IFERROR(__xludf.DUMMYFUNCTION("""COMPUTED_VALUE""")," ")</f>
        <v> </v>
      </c>
      <c r="AO1861" s="2" t="str">
        <f>IFERROR(__xludf.DUMMYFUNCTION("""COMPUTED_VALUE""")," ")</f>
        <v> </v>
      </c>
      <c r="AP1861" s="2" t="str">
        <f>IFERROR(__xludf.DUMMYFUNCTION("""COMPUTED_VALUE"""),"")</f>
        <v/>
      </c>
      <c r="AQ1861" s="2"/>
      <c r="AR1861" s="2"/>
      <c r="AS1861" s="2"/>
      <c r="AT1861" s="2"/>
      <c r="AU1861" s="2"/>
      <c r="AV1861" s="2"/>
      <c r="AW1861" s="2"/>
      <c r="AX1861" s="2"/>
      <c r="AY1861" s="2"/>
      <c r="AZ1861" s="2"/>
      <c r="BA1861" s="2"/>
      <c r="BB1861" s="2"/>
    </row>
    <row r="1862">
      <c r="A1862" s="2"/>
      <c r="B1862" s="2" t="str">
        <f>IFERROR(__xludf.DUMMYFUNCTION("""COMPUTED_VALUE"""),"")</f>
        <v/>
      </c>
      <c r="C1862" s="2"/>
      <c r="D1862" s="71"/>
      <c r="E1862" s="71" t="str">
        <f>IFERROR(__xludf.DUMMYFUNCTION("""COMPUTED_VALUE""")," ")</f>
        <v> </v>
      </c>
      <c r="F1862" s="2"/>
      <c r="G1862" s="2"/>
      <c r="H1862" s="2"/>
      <c r="I1862" s="72"/>
      <c r="J1862" s="72"/>
      <c r="K1862" s="72"/>
      <c r="L1862" s="72"/>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c r="AJ1862" s="2" t="str">
        <f>IFERROR(__xludf.DUMMYFUNCTION("""COMPUTED_VALUE"""),"")</f>
        <v/>
      </c>
      <c r="AK1862" s="2" t="str">
        <f>IFERROR(__xludf.DUMMYFUNCTION("""COMPUTED_VALUE"""),"")</f>
        <v/>
      </c>
      <c r="AL1862" s="2" t="str">
        <f>IFERROR(__xludf.DUMMYFUNCTION("""COMPUTED_VALUE"""),"")</f>
        <v/>
      </c>
      <c r="AM1862" s="2" t="str">
        <f>IFERROR(__xludf.DUMMYFUNCTION("""COMPUTED_VALUE"""),"")</f>
        <v/>
      </c>
      <c r="AN1862" s="2" t="str">
        <f>IFERROR(__xludf.DUMMYFUNCTION("""COMPUTED_VALUE""")," ")</f>
        <v> </v>
      </c>
      <c r="AO1862" s="2" t="str">
        <f>IFERROR(__xludf.DUMMYFUNCTION("""COMPUTED_VALUE""")," ")</f>
        <v> </v>
      </c>
      <c r="AP1862" s="2" t="str">
        <f>IFERROR(__xludf.DUMMYFUNCTION("""COMPUTED_VALUE"""),"")</f>
        <v/>
      </c>
      <c r="AQ1862" s="2"/>
      <c r="AR1862" s="2"/>
      <c r="AS1862" s="2"/>
      <c r="AT1862" s="2"/>
      <c r="AU1862" s="2"/>
      <c r="AV1862" s="2"/>
      <c r="AW1862" s="2"/>
      <c r="AX1862" s="2"/>
      <c r="AY1862" s="2"/>
      <c r="AZ1862" s="2"/>
      <c r="BA1862" s="2"/>
      <c r="BB1862" s="2"/>
    </row>
    <row r="1863">
      <c r="A1863" s="2"/>
      <c r="B1863" s="2" t="str">
        <f>IFERROR(__xludf.DUMMYFUNCTION("""COMPUTED_VALUE"""),"")</f>
        <v/>
      </c>
      <c r="C1863" s="2"/>
      <c r="D1863" s="71"/>
      <c r="E1863" s="71" t="str">
        <f>IFERROR(__xludf.DUMMYFUNCTION("""COMPUTED_VALUE""")," ")</f>
        <v> </v>
      </c>
      <c r="F1863" s="2"/>
      <c r="G1863" s="2"/>
      <c r="H1863" s="2"/>
      <c r="I1863" s="72"/>
      <c r="J1863" s="72"/>
      <c r="K1863" s="72"/>
      <c r="L1863" s="72"/>
      <c r="M1863" s="2"/>
      <c r="N1863" s="2"/>
      <c r="O1863" s="2"/>
      <c r="P1863" s="2"/>
      <c r="Q1863" s="2"/>
      <c r="R1863" s="2"/>
      <c r="S1863" s="2"/>
      <c r="T1863" s="2"/>
      <c r="U1863" s="2"/>
      <c r="V1863" s="2"/>
      <c r="W1863" s="2"/>
      <c r="X1863" s="2"/>
      <c r="Y1863" s="2"/>
      <c r="Z1863" s="2"/>
      <c r="AA1863" s="2"/>
      <c r="AB1863" s="2"/>
      <c r="AC1863" s="2"/>
      <c r="AD1863" s="2"/>
      <c r="AE1863" s="2"/>
      <c r="AF1863" s="2"/>
      <c r="AG1863" s="2"/>
      <c r="AH1863" s="2"/>
      <c r="AI1863" s="2"/>
      <c r="AJ1863" s="2" t="str">
        <f>IFERROR(__xludf.DUMMYFUNCTION("""COMPUTED_VALUE"""),"")</f>
        <v/>
      </c>
      <c r="AK1863" s="2" t="str">
        <f>IFERROR(__xludf.DUMMYFUNCTION("""COMPUTED_VALUE"""),"")</f>
        <v/>
      </c>
      <c r="AL1863" s="2" t="str">
        <f>IFERROR(__xludf.DUMMYFUNCTION("""COMPUTED_VALUE"""),"")</f>
        <v/>
      </c>
      <c r="AM1863" s="2" t="str">
        <f>IFERROR(__xludf.DUMMYFUNCTION("""COMPUTED_VALUE"""),"")</f>
        <v/>
      </c>
      <c r="AN1863" s="2" t="str">
        <f>IFERROR(__xludf.DUMMYFUNCTION("""COMPUTED_VALUE""")," ")</f>
        <v> </v>
      </c>
      <c r="AO1863" s="2" t="str">
        <f>IFERROR(__xludf.DUMMYFUNCTION("""COMPUTED_VALUE""")," ")</f>
        <v> </v>
      </c>
      <c r="AP1863" s="2" t="str">
        <f>IFERROR(__xludf.DUMMYFUNCTION("""COMPUTED_VALUE"""),"")</f>
        <v/>
      </c>
      <c r="AQ1863" s="2"/>
      <c r="AR1863" s="2"/>
      <c r="AS1863" s="2"/>
      <c r="AT1863" s="2"/>
      <c r="AU1863" s="2"/>
      <c r="AV1863" s="2"/>
      <c r="AW1863" s="2"/>
      <c r="AX1863" s="2"/>
      <c r="AY1863" s="2"/>
      <c r="AZ1863" s="2"/>
      <c r="BA1863" s="2"/>
      <c r="BB1863" s="2"/>
    </row>
    <row r="1864">
      <c r="A1864" s="2"/>
      <c r="B1864" s="2" t="str">
        <f>IFERROR(__xludf.DUMMYFUNCTION("""COMPUTED_VALUE"""),"")</f>
        <v/>
      </c>
      <c r="C1864" s="2"/>
      <c r="D1864" s="71"/>
      <c r="E1864" s="71" t="str">
        <f>IFERROR(__xludf.DUMMYFUNCTION("""COMPUTED_VALUE""")," ")</f>
        <v> </v>
      </c>
      <c r="F1864" s="2"/>
      <c r="G1864" s="2"/>
      <c r="H1864" s="2"/>
      <c r="I1864" s="72"/>
      <c r="J1864" s="72"/>
      <c r="K1864" s="72"/>
      <c r="L1864" s="72"/>
      <c r="M1864" s="2"/>
      <c r="N1864" s="2"/>
      <c r="O1864" s="2"/>
      <c r="P1864" s="2"/>
      <c r="Q1864" s="2"/>
      <c r="R1864" s="2"/>
      <c r="S1864" s="2"/>
      <c r="T1864" s="2"/>
      <c r="U1864" s="2"/>
      <c r="V1864" s="2"/>
      <c r="W1864" s="2"/>
      <c r="X1864" s="2"/>
      <c r="Y1864" s="2"/>
      <c r="Z1864" s="2"/>
      <c r="AA1864" s="2"/>
      <c r="AB1864" s="2"/>
      <c r="AC1864" s="2"/>
      <c r="AD1864" s="2"/>
      <c r="AE1864" s="2"/>
      <c r="AF1864" s="2"/>
      <c r="AG1864" s="2"/>
      <c r="AH1864" s="2"/>
      <c r="AI1864" s="2"/>
      <c r="AJ1864" s="2" t="str">
        <f>IFERROR(__xludf.DUMMYFUNCTION("""COMPUTED_VALUE"""),"")</f>
        <v/>
      </c>
      <c r="AK1864" s="2" t="str">
        <f>IFERROR(__xludf.DUMMYFUNCTION("""COMPUTED_VALUE"""),"")</f>
        <v/>
      </c>
      <c r="AL1864" s="2" t="str">
        <f>IFERROR(__xludf.DUMMYFUNCTION("""COMPUTED_VALUE"""),"")</f>
        <v/>
      </c>
      <c r="AM1864" s="2" t="str">
        <f>IFERROR(__xludf.DUMMYFUNCTION("""COMPUTED_VALUE"""),"")</f>
        <v/>
      </c>
      <c r="AN1864" s="2" t="str">
        <f>IFERROR(__xludf.DUMMYFUNCTION("""COMPUTED_VALUE""")," ")</f>
        <v> </v>
      </c>
      <c r="AO1864" s="2" t="str">
        <f>IFERROR(__xludf.DUMMYFUNCTION("""COMPUTED_VALUE""")," ")</f>
        <v> </v>
      </c>
      <c r="AP1864" s="2" t="str">
        <f>IFERROR(__xludf.DUMMYFUNCTION("""COMPUTED_VALUE"""),"")</f>
        <v/>
      </c>
      <c r="AQ1864" s="2"/>
      <c r="AR1864" s="2"/>
      <c r="AS1864" s="2"/>
      <c r="AT1864" s="2"/>
      <c r="AU1864" s="2"/>
      <c r="AV1864" s="2"/>
      <c r="AW1864" s="2"/>
      <c r="AX1864" s="2"/>
      <c r="AY1864" s="2"/>
      <c r="AZ1864" s="2"/>
      <c r="BA1864" s="2"/>
      <c r="BB1864" s="2"/>
    </row>
    <row r="1865">
      <c r="A1865" s="2"/>
      <c r="B1865" s="2" t="str">
        <f>IFERROR(__xludf.DUMMYFUNCTION("""COMPUTED_VALUE"""),"")</f>
        <v/>
      </c>
      <c r="C1865" s="2"/>
      <c r="D1865" s="71"/>
      <c r="E1865" s="71" t="str">
        <f>IFERROR(__xludf.DUMMYFUNCTION("""COMPUTED_VALUE""")," ")</f>
        <v> </v>
      </c>
      <c r="F1865" s="2"/>
      <c r="G1865" s="2"/>
      <c r="H1865" s="2"/>
      <c r="I1865" s="72"/>
      <c r="J1865" s="72"/>
      <c r="K1865" s="72"/>
      <c r="L1865" s="72"/>
      <c r="M1865" s="2"/>
      <c r="N1865" s="2"/>
      <c r="O1865" s="2"/>
      <c r="P1865" s="2"/>
      <c r="Q1865" s="2"/>
      <c r="R1865" s="2"/>
      <c r="S1865" s="2"/>
      <c r="T1865" s="2"/>
      <c r="U1865" s="2"/>
      <c r="V1865" s="2"/>
      <c r="W1865" s="2"/>
      <c r="X1865" s="2"/>
      <c r="Y1865" s="2"/>
      <c r="Z1865" s="2"/>
      <c r="AA1865" s="2"/>
      <c r="AB1865" s="2"/>
      <c r="AC1865" s="2"/>
      <c r="AD1865" s="2"/>
      <c r="AE1865" s="2"/>
      <c r="AF1865" s="2"/>
      <c r="AG1865" s="2"/>
      <c r="AH1865" s="2"/>
      <c r="AI1865" s="2"/>
      <c r="AJ1865" s="2" t="str">
        <f>IFERROR(__xludf.DUMMYFUNCTION("""COMPUTED_VALUE"""),"")</f>
        <v/>
      </c>
      <c r="AK1865" s="2" t="str">
        <f>IFERROR(__xludf.DUMMYFUNCTION("""COMPUTED_VALUE"""),"")</f>
        <v/>
      </c>
      <c r="AL1865" s="2" t="str">
        <f>IFERROR(__xludf.DUMMYFUNCTION("""COMPUTED_VALUE"""),"")</f>
        <v/>
      </c>
      <c r="AM1865" s="2" t="str">
        <f>IFERROR(__xludf.DUMMYFUNCTION("""COMPUTED_VALUE"""),"")</f>
        <v/>
      </c>
      <c r="AN1865" s="2" t="str">
        <f>IFERROR(__xludf.DUMMYFUNCTION("""COMPUTED_VALUE""")," ")</f>
        <v> </v>
      </c>
      <c r="AO1865" s="2" t="str">
        <f>IFERROR(__xludf.DUMMYFUNCTION("""COMPUTED_VALUE""")," ")</f>
        <v> </v>
      </c>
      <c r="AP1865" s="2" t="str">
        <f>IFERROR(__xludf.DUMMYFUNCTION("""COMPUTED_VALUE"""),"")</f>
        <v/>
      </c>
      <c r="AQ1865" s="2"/>
      <c r="AR1865" s="2"/>
      <c r="AS1865" s="2"/>
      <c r="AT1865" s="2"/>
      <c r="AU1865" s="2"/>
      <c r="AV1865" s="2"/>
      <c r="AW1865" s="2"/>
      <c r="AX1865" s="2"/>
      <c r="AY1865" s="2"/>
      <c r="AZ1865" s="2"/>
      <c r="BA1865" s="2"/>
      <c r="BB1865" s="2"/>
    </row>
    <row r="1866">
      <c r="A1866" s="2"/>
      <c r="B1866" s="2" t="str">
        <f>IFERROR(__xludf.DUMMYFUNCTION("""COMPUTED_VALUE"""),"")</f>
        <v/>
      </c>
      <c r="C1866" s="2"/>
      <c r="D1866" s="71"/>
      <c r="E1866" s="71" t="str">
        <f>IFERROR(__xludf.DUMMYFUNCTION("""COMPUTED_VALUE""")," ")</f>
        <v> </v>
      </c>
      <c r="F1866" s="2"/>
      <c r="G1866" s="2"/>
      <c r="H1866" s="2"/>
      <c r="I1866" s="72"/>
      <c r="J1866" s="72"/>
      <c r="K1866" s="72"/>
      <c r="L1866" s="72"/>
      <c r="M1866" s="2"/>
      <c r="N1866" s="2"/>
      <c r="O1866" s="2"/>
      <c r="P1866" s="2"/>
      <c r="Q1866" s="2"/>
      <c r="R1866" s="2"/>
      <c r="S1866" s="2"/>
      <c r="T1866" s="2"/>
      <c r="U1866" s="2"/>
      <c r="V1866" s="2"/>
      <c r="W1866" s="2"/>
      <c r="X1866" s="2"/>
      <c r="Y1866" s="2"/>
      <c r="Z1866" s="2"/>
      <c r="AA1866" s="2"/>
      <c r="AB1866" s="2"/>
      <c r="AC1866" s="2"/>
      <c r="AD1866" s="2"/>
      <c r="AE1866" s="2"/>
      <c r="AF1866" s="2"/>
      <c r="AG1866" s="2"/>
      <c r="AH1866" s="2"/>
      <c r="AI1866" s="2"/>
      <c r="AJ1866" s="2" t="str">
        <f>IFERROR(__xludf.DUMMYFUNCTION("""COMPUTED_VALUE"""),"")</f>
        <v/>
      </c>
      <c r="AK1866" s="2" t="str">
        <f>IFERROR(__xludf.DUMMYFUNCTION("""COMPUTED_VALUE"""),"")</f>
        <v/>
      </c>
      <c r="AL1866" s="2" t="str">
        <f>IFERROR(__xludf.DUMMYFUNCTION("""COMPUTED_VALUE"""),"")</f>
        <v/>
      </c>
      <c r="AM1866" s="2" t="str">
        <f>IFERROR(__xludf.DUMMYFUNCTION("""COMPUTED_VALUE"""),"")</f>
        <v/>
      </c>
      <c r="AN1866" s="2" t="str">
        <f>IFERROR(__xludf.DUMMYFUNCTION("""COMPUTED_VALUE""")," ")</f>
        <v> </v>
      </c>
      <c r="AO1866" s="2" t="str">
        <f>IFERROR(__xludf.DUMMYFUNCTION("""COMPUTED_VALUE""")," ")</f>
        <v> </v>
      </c>
      <c r="AP1866" s="2" t="str">
        <f>IFERROR(__xludf.DUMMYFUNCTION("""COMPUTED_VALUE"""),"")</f>
        <v/>
      </c>
      <c r="AQ1866" s="2"/>
      <c r="AR1866" s="2"/>
      <c r="AS1866" s="2"/>
      <c r="AT1866" s="2"/>
      <c r="AU1866" s="2"/>
      <c r="AV1866" s="2"/>
      <c r="AW1866" s="2"/>
      <c r="AX1866" s="2"/>
      <c r="AY1866" s="2"/>
      <c r="AZ1866" s="2"/>
      <c r="BA1866" s="2"/>
      <c r="BB1866" s="2"/>
    </row>
    <row r="1867">
      <c r="A1867" s="2"/>
      <c r="B1867" s="2" t="str">
        <f>IFERROR(__xludf.DUMMYFUNCTION("""COMPUTED_VALUE"""),"")</f>
        <v/>
      </c>
      <c r="C1867" s="2"/>
      <c r="D1867" s="71"/>
      <c r="E1867" s="71" t="str">
        <f>IFERROR(__xludf.DUMMYFUNCTION("""COMPUTED_VALUE""")," ")</f>
        <v> </v>
      </c>
      <c r="F1867" s="2"/>
      <c r="G1867" s="2"/>
      <c r="H1867" s="2"/>
      <c r="I1867" s="72"/>
      <c r="J1867" s="72"/>
      <c r="K1867" s="72"/>
      <c r="L1867" s="72"/>
      <c r="M1867" s="2"/>
      <c r="N1867" s="2"/>
      <c r="O1867" s="2"/>
      <c r="P1867" s="2"/>
      <c r="Q1867" s="2"/>
      <c r="R1867" s="2"/>
      <c r="S1867" s="2"/>
      <c r="T1867" s="2"/>
      <c r="U1867" s="2"/>
      <c r="V1867" s="2"/>
      <c r="W1867" s="2"/>
      <c r="X1867" s="2"/>
      <c r="Y1867" s="2"/>
      <c r="Z1867" s="2"/>
      <c r="AA1867" s="2"/>
      <c r="AB1867" s="2"/>
      <c r="AC1867" s="2"/>
      <c r="AD1867" s="2"/>
      <c r="AE1867" s="2"/>
      <c r="AF1867" s="2"/>
      <c r="AG1867" s="2"/>
      <c r="AH1867" s="2"/>
      <c r="AI1867" s="2"/>
      <c r="AJ1867" s="2" t="str">
        <f>IFERROR(__xludf.DUMMYFUNCTION("""COMPUTED_VALUE"""),"")</f>
        <v/>
      </c>
      <c r="AK1867" s="2" t="str">
        <f>IFERROR(__xludf.DUMMYFUNCTION("""COMPUTED_VALUE"""),"")</f>
        <v/>
      </c>
      <c r="AL1867" s="2" t="str">
        <f>IFERROR(__xludf.DUMMYFUNCTION("""COMPUTED_VALUE"""),"")</f>
        <v/>
      </c>
      <c r="AM1867" s="2" t="str">
        <f>IFERROR(__xludf.DUMMYFUNCTION("""COMPUTED_VALUE"""),"")</f>
        <v/>
      </c>
      <c r="AN1867" s="2" t="str">
        <f>IFERROR(__xludf.DUMMYFUNCTION("""COMPUTED_VALUE""")," ")</f>
        <v> </v>
      </c>
      <c r="AO1867" s="2" t="str">
        <f>IFERROR(__xludf.DUMMYFUNCTION("""COMPUTED_VALUE""")," ")</f>
        <v> </v>
      </c>
      <c r="AP1867" s="2" t="str">
        <f>IFERROR(__xludf.DUMMYFUNCTION("""COMPUTED_VALUE"""),"")</f>
        <v/>
      </c>
      <c r="AQ1867" s="2"/>
      <c r="AR1867" s="2"/>
      <c r="AS1867" s="2"/>
      <c r="AT1867" s="2"/>
      <c r="AU1867" s="2"/>
      <c r="AV1867" s="2"/>
      <c r="AW1867" s="2"/>
      <c r="AX1867" s="2"/>
      <c r="AY1867" s="2"/>
      <c r="AZ1867" s="2"/>
      <c r="BA1867" s="2"/>
      <c r="BB1867" s="2"/>
    </row>
    <row r="1868">
      <c r="A1868" s="2"/>
      <c r="B1868" s="2"/>
      <c r="C1868" s="2"/>
      <c r="D1868" s="71"/>
      <c r="E1868" s="71" t="str">
        <f>IFERROR(__xludf.DUMMYFUNCTION("""COMPUTED_VALUE""")," ")</f>
        <v> </v>
      </c>
      <c r="F1868" s="2"/>
      <c r="G1868" s="2"/>
      <c r="H1868" s="2"/>
      <c r="I1868" s="72"/>
      <c r="J1868" s="72"/>
      <c r="K1868" s="72"/>
      <c r="L1868" s="72"/>
      <c r="M1868" s="2"/>
      <c r="N1868" s="2"/>
      <c r="O1868" s="2"/>
      <c r="P1868" s="2"/>
      <c r="Q1868" s="2"/>
      <c r="R1868" s="2"/>
      <c r="S1868" s="2"/>
      <c r="T1868" s="2"/>
      <c r="U1868" s="2"/>
      <c r="V1868" s="2"/>
      <c r="W1868" s="2"/>
      <c r="X1868" s="2"/>
      <c r="Y1868" s="2"/>
      <c r="Z1868" s="2"/>
      <c r="AA1868" s="2"/>
      <c r="AB1868" s="2"/>
      <c r="AC1868" s="2"/>
      <c r="AD1868" s="2"/>
      <c r="AE1868" s="2"/>
      <c r="AF1868" s="2"/>
      <c r="AG1868" s="2"/>
      <c r="AH1868" s="2"/>
      <c r="AI1868" s="2"/>
      <c r="AJ1868" s="2" t="str">
        <f>IFERROR(__xludf.DUMMYFUNCTION("""COMPUTED_VALUE"""),"")</f>
        <v/>
      </c>
      <c r="AK1868" s="2" t="str">
        <f>IFERROR(__xludf.DUMMYFUNCTION("""COMPUTED_VALUE"""),"")</f>
        <v/>
      </c>
      <c r="AL1868" s="2" t="str">
        <f>IFERROR(__xludf.DUMMYFUNCTION("""COMPUTED_VALUE"""),"")</f>
        <v/>
      </c>
      <c r="AM1868" s="2" t="str">
        <f>IFERROR(__xludf.DUMMYFUNCTION("""COMPUTED_VALUE"""),"")</f>
        <v/>
      </c>
      <c r="AN1868" s="2" t="str">
        <f>IFERROR(__xludf.DUMMYFUNCTION("""COMPUTED_VALUE""")," ")</f>
        <v> </v>
      </c>
      <c r="AO1868" s="2" t="str">
        <f>IFERROR(__xludf.DUMMYFUNCTION("""COMPUTED_VALUE""")," ")</f>
        <v> </v>
      </c>
      <c r="AP1868" s="2" t="str">
        <f>IFERROR(__xludf.DUMMYFUNCTION("""COMPUTED_VALUE"""),"")</f>
        <v/>
      </c>
      <c r="AQ1868" s="2"/>
      <c r="AR1868" s="2"/>
      <c r="AS1868" s="2"/>
      <c r="AT1868" s="2"/>
      <c r="AU1868" s="2"/>
      <c r="AV1868" s="2"/>
      <c r="AW1868" s="2"/>
      <c r="AX1868" s="2"/>
      <c r="AY1868" s="2"/>
      <c r="AZ1868" s="2"/>
      <c r="BA1868" s="2"/>
      <c r="BB1868" s="2"/>
    </row>
    <row r="1869">
      <c r="A1869" s="2"/>
      <c r="B1869" s="2" t="str">
        <f>IFERROR(__xludf.DUMMYFUNCTION("""COMPUTED_VALUE"""),"")</f>
        <v/>
      </c>
      <c r="C1869" s="2"/>
      <c r="D1869" s="71"/>
      <c r="E1869" s="71" t="str">
        <f>IFERROR(__xludf.DUMMYFUNCTION("""COMPUTED_VALUE""")," ")</f>
        <v> </v>
      </c>
      <c r="F1869" s="2"/>
      <c r="G1869" s="2"/>
      <c r="H1869" s="2"/>
      <c r="I1869" s="72"/>
      <c r="J1869" s="72"/>
      <c r="K1869" s="72"/>
      <c r="L1869" s="72"/>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c r="AJ1869" s="2" t="str">
        <f>IFERROR(__xludf.DUMMYFUNCTION("""COMPUTED_VALUE"""),"")</f>
        <v/>
      </c>
      <c r="AK1869" s="2" t="str">
        <f>IFERROR(__xludf.DUMMYFUNCTION("""COMPUTED_VALUE"""),"")</f>
        <v/>
      </c>
      <c r="AL1869" s="2" t="str">
        <f>IFERROR(__xludf.DUMMYFUNCTION("""COMPUTED_VALUE"""),"")</f>
        <v/>
      </c>
      <c r="AM1869" s="2" t="str">
        <f>IFERROR(__xludf.DUMMYFUNCTION("""COMPUTED_VALUE"""),"")</f>
        <v/>
      </c>
      <c r="AN1869" s="2" t="str">
        <f>IFERROR(__xludf.DUMMYFUNCTION("""COMPUTED_VALUE""")," ")</f>
        <v> </v>
      </c>
      <c r="AO1869" s="2" t="str">
        <f>IFERROR(__xludf.DUMMYFUNCTION("""COMPUTED_VALUE""")," ")</f>
        <v> </v>
      </c>
      <c r="AP1869" s="2" t="str">
        <f>IFERROR(__xludf.DUMMYFUNCTION("""COMPUTED_VALUE"""),"")</f>
        <v/>
      </c>
      <c r="AQ1869" s="2"/>
      <c r="AR1869" s="2"/>
      <c r="AS1869" s="2"/>
      <c r="AT1869" s="2"/>
      <c r="AU1869" s="2"/>
      <c r="AV1869" s="2"/>
      <c r="AW1869" s="2"/>
      <c r="AX1869" s="2"/>
      <c r="AY1869" s="2"/>
      <c r="AZ1869" s="2"/>
      <c r="BA1869" s="2"/>
      <c r="BB1869" s="2"/>
    </row>
    <row r="1870">
      <c r="A1870" s="2"/>
      <c r="B1870" s="2" t="str">
        <f>IFERROR(__xludf.DUMMYFUNCTION("""COMPUTED_VALUE"""),"")</f>
        <v/>
      </c>
      <c r="C1870" s="2"/>
      <c r="D1870" s="71"/>
      <c r="E1870" s="71" t="str">
        <f>IFERROR(__xludf.DUMMYFUNCTION("""COMPUTED_VALUE""")," ")</f>
        <v> </v>
      </c>
      <c r="F1870" s="2"/>
      <c r="G1870" s="2"/>
      <c r="H1870" s="2"/>
      <c r="I1870" s="72"/>
      <c r="J1870" s="72"/>
      <c r="K1870" s="72"/>
      <c r="L1870" s="72"/>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c r="AJ1870" s="2" t="str">
        <f>IFERROR(__xludf.DUMMYFUNCTION("""COMPUTED_VALUE"""),"")</f>
        <v/>
      </c>
      <c r="AK1870" s="2" t="str">
        <f>IFERROR(__xludf.DUMMYFUNCTION("""COMPUTED_VALUE"""),"")</f>
        <v/>
      </c>
      <c r="AL1870" s="2" t="str">
        <f>IFERROR(__xludf.DUMMYFUNCTION("""COMPUTED_VALUE"""),"")</f>
        <v/>
      </c>
      <c r="AM1870" s="2" t="str">
        <f>IFERROR(__xludf.DUMMYFUNCTION("""COMPUTED_VALUE"""),"")</f>
        <v/>
      </c>
      <c r="AN1870" s="2" t="str">
        <f>IFERROR(__xludf.DUMMYFUNCTION("""COMPUTED_VALUE""")," ")</f>
        <v> </v>
      </c>
      <c r="AO1870" s="2" t="str">
        <f>IFERROR(__xludf.DUMMYFUNCTION("""COMPUTED_VALUE""")," ")</f>
        <v> </v>
      </c>
      <c r="AP1870" s="2" t="str">
        <f>IFERROR(__xludf.DUMMYFUNCTION("""COMPUTED_VALUE"""),"")</f>
        <v/>
      </c>
      <c r="AQ1870" s="2"/>
      <c r="AR1870" s="2"/>
      <c r="AS1870" s="2"/>
      <c r="AT1870" s="2"/>
      <c r="AU1870" s="2"/>
      <c r="AV1870" s="2"/>
      <c r="AW1870" s="2"/>
      <c r="AX1870" s="2"/>
      <c r="AY1870" s="2"/>
      <c r="AZ1870" s="2"/>
      <c r="BA1870" s="2"/>
      <c r="BB1870" s="2"/>
    </row>
    <row r="1871">
      <c r="A1871" s="2"/>
      <c r="B1871" s="2" t="str">
        <f>IFERROR(__xludf.DUMMYFUNCTION("""COMPUTED_VALUE"""),"")</f>
        <v/>
      </c>
      <c r="C1871" s="2"/>
      <c r="D1871" s="71"/>
      <c r="E1871" s="71" t="str">
        <f>IFERROR(__xludf.DUMMYFUNCTION("""COMPUTED_VALUE""")," ")</f>
        <v> </v>
      </c>
      <c r="F1871" s="2"/>
      <c r="G1871" s="2"/>
      <c r="H1871" s="2"/>
      <c r="I1871" s="72"/>
      <c r="J1871" s="72"/>
      <c r="K1871" s="72"/>
      <c r="L1871" s="72"/>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c r="AJ1871" s="2" t="str">
        <f>IFERROR(__xludf.DUMMYFUNCTION("""COMPUTED_VALUE"""),"")</f>
        <v/>
      </c>
      <c r="AK1871" s="2" t="str">
        <f>IFERROR(__xludf.DUMMYFUNCTION("""COMPUTED_VALUE"""),"")</f>
        <v/>
      </c>
      <c r="AL1871" s="2" t="str">
        <f>IFERROR(__xludf.DUMMYFUNCTION("""COMPUTED_VALUE"""),"")</f>
        <v/>
      </c>
      <c r="AM1871" s="2" t="str">
        <f>IFERROR(__xludf.DUMMYFUNCTION("""COMPUTED_VALUE"""),"")</f>
        <v/>
      </c>
      <c r="AN1871" s="2" t="str">
        <f>IFERROR(__xludf.DUMMYFUNCTION("""COMPUTED_VALUE""")," ")</f>
        <v> </v>
      </c>
      <c r="AO1871" s="2" t="str">
        <f>IFERROR(__xludf.DUMMYFUNCTION("""COMPUTED_VALUE""")," ")</f>
        <v> </v>
      </c>
      <c r="AP1871" s="2" t="str">
        <f>IFERROR(__xludf.DUMMYFUNCTION("""COMPUTED_VALUE"""),"")</f>
        <v/>
      </c>
      <c r="AQ1871" s="2"/>
      <c r="AR1871" s="2"/>
      <c r="AS1871" s="2"/>
      <c r="AT1871" s="2"/>
      <c r="AU1871" s="2"/>
      <c r="AV1871" s="2"/>
      <c r="AW1871" s="2"/>
      <c r="AX1871" s="2"/>
      <c r="AY1871" s="2"/>
      <c r="AZ1871" s="2"/>
      <c r="BA1871" s="2"/>
      <c r="BB1871" s="2"/>
    </row>
    <row r="1872">
      <c r="A1872" s="2"/>
      <c r="B1872" s="2" t="str">
        <f>IFERROR(__xludf.DUMMYFUNCTION("""COMPUTED_VALUE"""),"")</f>
        <v/>
      </c>
      <c r="C1872" s="2"/>
      <c r="D1872" s="71"/>
      <c r="E1872" s="71" t="str">
        <f>IFERROR(__xludf.DUMMYFUNCTION("""COMPUTED_VALUE""")," ")</f>
        <v> </v>
      </c>
      <c r="F1872" s="2"/>
      <c r="G1872" s="2"/>
      <c r="H1872" s="2"/>
      <c r="I1872" s="72"/>
      <c r="J1872" s="72"/>
      <c r="K1872" s="72"/>
      <c r="L1872" s="72"/>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c r="AJ1872" s="2" t="str">
        <f>IFERROR(__xludf.DUMMYFUNCTION("""COMPUTED_VALUE"""),"")</f>
        <v/>
      </c>
      <c r="AK1872" s="2" t="str">
        <f>IFERROR(__xludf.DUMMYFUNCTION("""COMPUTED_VALUE"""),"")</f>
        <v/>
      </c>
      <c r="AL1872" s="2" t="str">
        <f>IFERROR(__xludf.DUMMYFUNCTION("""COMPUTED_VALUE"""),"")</f>
        <v/>
      </c>
      <c r="AM1872" s="2" t="str">
        <f>IFERROR(__xludf.DUMMYFUNCTION("""COMPUTED_VALUE"""),"")</f>
        <v/>
      </c>
      <c r="AN1872" s="2" t="str">
        <f>IFERROR(__xludf.DUMMYFUNCTION("""COMPUTED_VALUE""")," ")</f>
        <v> </v>
      </c>
      <c r="AO1872" s="2" t="str">
        <f>IFERROR(__xludf.DUMMYFUNCTION("""COMPUTED_VALUE""")," ")</f>
        <v> </v>
      </c>
      <c r="AP1872" s="2" t="str">
        <f>IFERROR(__xludf.DUMMYFUNCTION("""COMPUTED_VALUE"""),"")</f>
        <v/>
      </c>
      <c r="AQ1872" s="2"/>
      <c r="AR1872" s="2"/>
      <c r="AS1872" s="2"/>
      <c r="AT1872" s="2"/>
      <c r="AU1872" s="2"/>
      <c r="AV1872" s="2"/>
      <c r="AW1872" s="2"/>
      <c r="AX1872" s="2"/>
      <c r="AY1872" s="2"/>
      <c r="AZ1872" s="2"/>
      <c r="BA1872" s="2"/>
      <c r="BB1872" s="2"/>
    </row>
    <row r="1873">
      <c r="A1873" s="2"/>
      <c r="B1873" s="2" t="str">
        <f>IFERROR(__xludf.DUMMYFUNCTION("""COMPUTED_VALUE"""),"")</f>
        <v/>
      </c>
      <c r="C1873" s="2"/>
      <c r="D1873" s="71"/>
      <c r="E1873" s="71" t="str">
        <f>IFERROR(__xludf.DUMMYFUNCTION("""COMPUTED_VALUE""")," ")</f>
        <v> </v>
      </c>
      <c r="F1873" s="2"/>
      <c r="G1873" s="2"/>
      <c r="H1873" s="2"/>
      <c r="I1873" s="72"/>
      <c r="J1873" s="72"/>
      <c r="K1873" s="72"/>
      <c r="L1873" s="72"/>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c r="AJ1873" s="2" t="str">
        <f>IFERROR(__xludf.DUMMYFUNCTION("""COMPUTED_VALUE"""),"")</f>
        <v/>
      </c>
      <c r="AK1873" s="2" t="str">
        <f>IFERROR(__xludf.DUMMYFUNCTION("""COMPUTED_VALUE"""),"")</f>
        <v/>
      </c>
      <c r="AL1873" s="2" t="str">
        <f>IFERROR(__xludf.DUMMYFUNCTION("""COMPUTED_VALUE"""),"")</f>
        <v/>
      </c>
      <c r="AM1873" s="2" t="str">
        <f>IFERROR(__xludf.DUMMYFUNCTION("""COMPUTED_VALUE"""),"")</f>
        <v/>
      </c>
      <c r="AN1873" s="2" t="str">
        <f>IFERROR(__xludf.DUMMYFUNCTION("""COMPUTED_VALUE""")," ")</f>
        <v> </v>
      </c>
      <c r="AO1873" s="2" t="str">
        <f>IFERROR(__xludf.DUMMYFUNCTION("""COMPUTED_VALUE""")," ")</f>
        <v> </v>
      </c>
      <c r="AP1873" s="2" t="str">
        <f>IFERROR(__xludf.DUMMYFUNCTION("""COMPUTED_VALUE"""),"")</f>
        <v/>
      </c>
      <c r="AQ1873" s="2"/>
      <c r="AR1873" s="2"/>
      <c r="AS1873" s="2"/>
      <c r="AT1873" s="2"/>
      <c r="AU1873" s="2"/>
      <c r="AV1873" s="2"/>
      <c r="AW1873" s="2"/>
      <c r="AX1873" s="2"/>
      <c r="AY1873" s="2"/>
      <c r="AZ1873" s="2"/>
      <c r="BA1873" s="2"/>
      <c r="BB1873" s="2"/>
    </row>
    <row r="1874">
      <c r="A1874" s="2"/>
      <c r="B1874" s="2" t="str">
        <f>IFERROR(__xludf.DUMMYFUNCTION("""COMPUTED_VALUE"""),"")</f>
        <v/>
      </c>
      <c r="C1874" s="2"/>
      <c r="D1874" s="71"/>
      <c r="E1874" s="71" t="str">
        <f>IFERROR(__xludf.DUMMYFUNCTION("""COMPUTED_VALUE""")," ")</f>
        <v> </v>
      </c>
      <c r="F1874" s="2"/>
      <c r="G1874" s="2"/>
      <c r="H1874" s="2"/>
      <c r="I1874" s="72"/>
      <c r="J1874" s="72"/>
      <c r="K1874" s="72"/>
      <c r="L1874" s="72"/>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c r="AJ1874" s="2" t="str">
        <f>IFERROR(__xludf.DUMMYFUNCTION("""COMPUTED_VALUE"""),"")</f>
        <v/>
      </c>
      <c r="AK1874" s="2" t="str">
        <f>IFERROR(__xludf.DUMMYFUNCTION("""COMPUTED_VALUE"""),"")</f>
        <v/>
      </c>
      <c r="AL1874" s="2" t="str">
        <f>IFERROR(__xludf.DUMMYFUNCTION("""COMPUTED_VALUE"""),"")</f>
        <v/>
      </c>
      <c r="AM1874" s="2" t="str">
        <f>IFERROR(__xludf.DUMMYFUNCTION("""COMPUTED_VALUE"""),"")</f>
        <v/>
      </c>
      <c r="AN1874" s="2" t="str">
        <f>IFERROR(__xludf.DUMMYFUNCTION("""COMPUTED_VALUE""")," ")</f>
        <v> </v>
      </c>
      <c r="AO1874" s="2" t="str">
        <f>IFERROR(__xludf.DUMMYFUNCTION("""COMPUTED_VALUE""")," ")</f>
        <v> </v>
      </c>
      <c r="AP1874" s="2" t="str">
        <f>IFERROR(__xludf.DUMMYFUNCTION("""COMPUTED_VALUE"""),"")</f>
        <v/>
      </c>
      <c r="AQ1874" s="2"/>
      <c r="AR1874" s="2"/>
      <c r="AS1874" s="2"/>
      <c r="AT1874" s="2"/>
      <c r="AU1874" s="2"/>
      <c r="AV1874" s="2"/>
      <c r="AW1874" s="2"/>
      <c r="AX1874" s="2"/>
      <c r="AY1874" s="2"/>
      <c r="AZ1874" s="2"/>
      <c r="BA1874" s="2"/>
      <c r="BB1874" s="2"/>
    </row>
    <row r="1875">
      <c r="A1875" s="2"/>
      <c r="B1875" s="2" t="str">
        <f>IFERROR(__xludf.DUMMYFUNCTION("""COMPUTED_VALUE"""),"")</f>
        <v/>
      </c>
      <c r="C1875" s="2"/>
      <c r="D1875" s="71"/>
      <c r="E1875" s="71" t="str">
        <f>IFERROR(__xludf.DUMMYFUNCTION("""COMPUTED_VALUE""")," ")</f>
        <v> </v>
      </c>
      <c r="F1875" s="2"/>
      <c r="G1875" s="2"/>
      <c r="H1875" s="2"/>
      <c r="I1875" s="72"/>
      <c r="J1875" s="72"/>
      <c r="K1875" s="72"/>
      <c r="L1875" s="72"/>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c r="AJ1875" s="2" t="str">
        <f>IFERROR(__xludf.DUMMYFUNCTION("""COMPUTED_VALUE"""),"")</f>
        <v/>
      </c>
      <c r="AK1875" s="2" t="str">
        <f>IFERROR(__xludf.DUMMYFUNCTION("""COMPUTED_VALUE"""),"")</f>
        <v/>
      </c>
      <c r="AL1875" s="2" t="str">
        <f>IFERROR(__xludf.DUMMYFUNCTION("""COMPUTED_VALUE"""),"")</f>
        <v/>
      </c>
      <c r="AM1875" s="2" t="str">
        <f>IFERROR(__xludf.DUMMYFUNCTION("""COMPUTED_VALUE"""),"")</f>
        <v/>
      </c>
      <c r="AN1875" s="2" t="str">
        <f>IFERROR(__xludf.DUMMYFUNCTION("""COMPUTED_VALUE""")," ")</f>
        <v> </v>
      </c>
      <c r="AO1875" s="2" t="str">
        <f>IFERROR(__xludf.DUMMYFUNCTION("""COMPUTED_VALUE""")," ")</f>
        <v> </v>
      </c>
      <c r="AP1875" s="2" t="str">
        <f>IFERROR(__xludf.DUMMYFUNCTION("""COMPUTED_VALUE"""),"")</f>
        <v/>
      </c>
      <c r="AQ1875" s="2"/>
      <c r="AR1875" s="2"/>
      <c r="AS1875" s="2"/>
      <c r="AT1875" s="2"/>
      <c r="AU1875" s="2"/>
      <c r="AV1875" s="2"/>
      <c r="AW1875" s="2"/>
      <c r="AX1875" s="2"/>
      <c r="AY1875" s="2"/>
      <c r="AZ1875" s="2"/>
      <c r="BA1875" s="2"/>
      <c r="BB1875" s="2"/>
    </row>
    <row r="1876">
      <c r="A1876" s="2"/>
      <c r="B1876" s="2" t="str">
        <f>IFERROR(__xludf.DUMMYFUNCTION("""COMPUTED_VALUE"""),"")</f>
        <v/>
      </c>
      <c r="C1876" s="2"/>
      <c r="D1876" s="71"/>
      <c r="E1876" s="71" t="str">
        <f>IFERROR(__xludf.DUMMYFUNCTION("""COMPUTED_VALUE""")," ")</f>
        <v> </v>
      </c>
      <c r="F1876" s="2"/>
      <c r="G1876" s="2"/>
      <c r="H1876" s="2"/>
      <c r="I1876" s="72"/>
      <c r="J1876" s="72"/>
      <c r="K1876" s="72"/>
      <c r="L1876" s="72"/>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c r="AJ1876" s="2" t="str">
        <f>IFERROR(__xludf.DUMMYFUNCTION("""COMPUTED_VALUE"""),"")</f>
        <v/>
      </c>
      <c r="AK1876" s="2" t="str">
        <f>IFERROR(__xludf.DUMMYFUNCTION("""COMPUTED_VALUE"""),"")</f>
        <v/>
      </c>
      <c r="AL1876" s="2" t="str">
        <f>IFERROR(__xludf.DUMMYFUNCTION("""COMPUTED_VALUE"""),"")</f>
        <v/>
      </c>
      <c r="AM1876" s="2" t="str">
        <f>IFERROR(__xludf.DUMMYFUNCTION("""COMPUTED_VALUE"""),"")</f>
        <v/>
      </c>
      <c r="AN1876" s="2" t="str">
        <f>IFERROR(__xludf.DUMMYFUNCTION("""COMPUTED_VALUE""")," ")</f>
        <v> </v>
      </c>
      <c r="AO1876" s="2" t="str">
        <f>IFERROR(__xludf.DUMMYFUNCTION("""COMPUTED_VALUE""")," ")</f>
        <v> </v>
      </c>
      <c r="AP1876" s="2" t="str">
        <f>IFERROR(__xludf.DUMMYFUNCTION("""COMPUTED_VALUE"""),"")</f>
        <v/>
      </c>
      <c r="AQ1876" s="2"/>
      <c r="AR1876" s="2"/>
      <c r="AS1876" s="2"/>
      <c r="AT1876" s="2"/>
      <c r="AU1876" s="2"/>
      <c r="AV1876" s="2"/>
      <c r="AW1876" s="2"/>
      <c r="AX1876" s="2"/>
      <c r="AY1876" s="2"/>
      <c r="AZ1876" s="2"/>
      <c r="BA1876" s="2"/>
      <c r="BB1876" s="2"/>
    </row>
    <row r="1877">
      <c r="A1877" s="2"/>
      <c r="B1877" s="2" t="str">
        <f>IFERROR(__xludf.DUMMYFUNCTION("""COMPUTED_VALUE"""),"")</f>
        <v/>
      </c>
      <c r="C1877" s="2"/>
      <c r="D1877" s="71"/>
      <c r="E1877" s="71" t="str">
        <f>IFERROR(__xludf.DUMMYFUNCTION("""COMPUTED_VALUE""")," ")</f>
        <v> </v>
      </c>
      <c r="F1877" s="2"/>
      <c r="G1877" s="2"/>
      <c r="H1877" s="2"/>
      <c r="I1877" s="72"/>
      <c r="J1877" s="72"/>
      <c r="K1877" s="72"/>
      <c r="L1877" s="72"/>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c r="AJ1877" s="2" t="str">
        <f>IFERROR(__xludf.DUMMYFUNCTION("""COMPUTED_VALUE"""),"")</f>
        <v/>
      </c>
      <c r="AK1877" s="2" t="str">
        <f>IFERROR(__xludf.DUMMYFUNCTION("""COMPUTED_VALUE"""),"")</f>
        <v/>
      </c>
      <c r="AL1877" s="2" t="str">
        <f>IFERROR(__xludf.DUMMYFUNCTION("""COMPUTED_VALUE"""),"")</f>
        <v/>
      </c>
      <c r="AM1877" s="2" t="str">
        <f>IFERROR(__xludf.DUMMYFUNCTION("""COMPUTED_VALUE"""),"")</f>
        <v/>
      </c>
      <c r="AN1877" s="2" t="str">
        <f>IFERROR(__xludf.DUMMYFUNCTION("""COMPUTED_VALUE""")," ")</f>
        <v> </v>
      </c>
      <c r="AO1877" s="2" t="str">
        <f>IFERROR(__xludf.DUMMYFUNCTION("""COMPUTED_VALUE""")," ")</f>
        <v> </v>
      </c>
      <c r="AP1877" s="2" t="str">
        <f>IFERROR(__xludf.DUMMYFUNCTION("""COMPUTED_VALUE"""),"")</f>
        <v/>
      </c>
      <c r="AQ1877" s="2"/>
      <c r="AR1877" s="2"/>
      <c r="AS1877" s="2"/>
      <c r="AT1877" s="2"/>
      <c r="AU1877" s="2"/>
      <c r="AV1877" s="2"/>
      <c r="AW1877" s="2"/>
      <c r="AX1877" s="2"/>
      <c r="AY1877" s="2"/>
      <c r="AZ1877" s="2"/>
      <c r="BA1877" s="2"/>
      <c r="BB1877" s="2"/>
    </row>
    <row r="1878">
      <c r="A1878" s="2"/>
      <c r="B1878" s="2" t="str">
        <f>IFERROR(__xludf.DUMMYFUNCTION("""COMPUTED_VALUE"""),"")</f>
        <v/>
      </c>
      <c r="C1878" s="2"/>
      <c r="D1878" s="71"/>
      <c r="E1878" s="71" t="str">
        <f>IFERROR(__xludf.DUMMYFUNCTION("""COMPUTED_VALUE""")," ")</f>
        <v> </v>
      </c>
      <c r="F1878" s="2"/>
      <c r="G1878" s="2"/>
      <c r="H1878" s="2"/>
      <c r="I1878" s="72"/>
      <c r="J1878" s="72"/>
      <c r="K1878" s="72"/>
      <c r="L1878" s="72"/>
      <c r="M1878" s="2"/>
      <c r="N1878" s="2"/>
      <c r="O1878" s="2"/>
      <c r="P1878" s="2"/>
      <c r="Q1878" s="2"/>
      <c r="R1878" s="2"/>
      <c r="S1878" s="2"/>
      <c r="T1878" s="2"/>
      <c r="U1878" s="2"/>
      <c r="V1878" s="2"/>
      <c r="W1878" s="2"/>
      <c r="X1878" s="2"/>
      <c r="Y1878" s="2"/>
      <c r="Z1878" s="2"/>
      <c r="AA1878" s="2"/>
      <c r="AB1878" s="2"/>
      <c r="AC1878" s="2"/>
      <c r="AD1878" s="2"/>
      <c r="AE1878" s="2"/>
      <c r="AF1878" s="2"/>
      <c r="AG1878" s="2"/>
      <c r="AH1878" s="2"/>
      <c r="AI1878" s="2"/>
      <c r="AJ1878" s="2" t="str">
        <f>IFERROR(__xludf.DUMMYFUNCTION("""COMPUTED_VALUE"""),"")</f>
        <v/>
      </c>
      <c r="AK1878" s="2" t="str">
        <f>IFERROR(__xludf.DUMMYFUNCTION("""COMPUTED_VALUE"""),"")</f>
        <v/>
      </c>
      <c r="AL1878" s="2" t="str">
        <f>IFERROR(__xludf.DUMMYFUNCTION("""COMPUTED_VALUE"""),"")</f>
        <v/>
      </c>
      <c r="AM1878" s="2" t="str">
        <f>IFERROR(__xludf.DUMMYFUNCTION("""COMPUTED_VALUE"""),"")</f>
        <v/>
      </c>
      <c r="AN1878" s="2" t="str">
        <f>IFERROR(__xludf.DUMMYFUNCTION("""COMPUTED_VALUE""")," ")</f>
        <v> </v>
      </c>
      <c r="AO1878" s="2" t="str">
        <f>IFERROR(__xludf.DUMMYFUNCTION("""COMPUTED_VALUE""")," ")</f>
        <v> </v>
      </c>
      <c r="AP1878" s="2" t="str">
        <f>IFERROR(__xludf.DUMMYFUNCTION("""COMPUTED_VALUE"""),"")</f>
        <v/>
      </c>
      <c r="AQ1878" s="2"/>
      <c r="AR1878" s="2"/>
      <c r="AS1878" s="2"/>
      <c r="AT1878" s="2"/>
      <c r="AU1878" s="2"/>
      <c r="AV1878" s="2"/>
      <c r="AW1878" s="2"/>
      <c r="AX1878" s="2"/>
      <c r="AY1878" s="2"/>
      <c r="AZ1878" s="2"/>
      <c r="BA1878" s="2"/>
      <c r="BB1878" s="2"/>
    </row>
    <row r="1879">
      <c r="A1879" s="2"/>
      <c r="B1879" s="2" t="str">
        <f>IFERROR(__xludf.DUMMYFUNCTION("""COMPUTED_VALUE"""),"")</f>
        <v/>
      </c>
      <c r="C1879" s="2"/>
      <c r="D1879" s="71"/>
      <c r="E1879" s="71" t="str">
        <f>IFERROR(__xludf.DUMMYFUNCTION("""COMPUTED_VALUE""")," ")</f>
        <v> </v>
      </c>
      <c r="F1879" s="2"/>
      <c r="G1879" s="2"/>
      <c r="H1879" s="2"/>
      <c r="I1879" s="72"/>
      <c r="J1879" s="72"/>
      <c r="K1879" s="72"/>
      <c r="L1879" s="72"/>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c r="AJ1879" s="2" t="str">
        <f>IFERROR(__xludf.DUMMYFUNCTION("""COMPUTED_VALUE"""),"")</f>
        <v/>
      </c>
      <c r="AK1879" s="2" t="str">
        <f>IFERROR(__xludf.DUMMYFUNCTION("""COMPUTED_VALUE"""),"")</f>
        <v/>
      </c>
      <c r="AL1879" s="2" t="str">
        <f>IFERROR(__xludf.DUMMYFUNCTION("""COMPUTED_VALUE"""),"")</f>
        <v/>
      </c>
      <c r="AM1879" s="2" t="str">
        <f>IFERROR(__xludf.DUMMYFUNCTION("""COMPUTED_VALUE"""),"")</f>
        <v/>
      </c>
      <c r="AN1879" s="2" t="str">
        <f>IFERROR(__xludf.DUMMYFUNCTION("""COMPUTED_VALUE""")," ")</f>
        <v> </v>
      </c>
      <c r="AO1879" s="2" t="str">
        <f>IFERROR(__xludf.DUMMYFUNCTION("""COMPUTED_VALUE""")," ")</f>
        <v> </v>
      </c>
      <c r="AP1879" s="2" t="str">
        <f>IFERROR(__xludf.DUMMYFUNCTION("""COMPUTED_VALUE"""),"")</f>
        <v/>
      </c>
      <c r="AQ1879" s="2"/>
      <c r="AR1879" s="2"/>
      <c r="AS1879" s="2"/>
      <c r="AT1879" s="2"/>
      <c r="AU1879" s="2"/>
      <c r="AV1879" s="2"/>
      <c r="AW1879" s="2"/>
      <c r="AX1879" s="2"/>
      <c r="AY1879" s="2"/>
      <c r="AZ1879" s="2"/>
      <c r="BA1879" s="2"/>
      <c r="BB1879" s="2"/>
    </row>
    <row r="1880">
      <c r="A1880" s="2"/>
      <c r="B1880" s="2" t="str">
        <f>IFERROR(__xludf.DUMMYFUNCTION("""COMPUTED_VALUE"""),"")</f>
        <v/>
      </c>
      <c r="C1880" s="2"/>
      <c r="D1880" s="71"/>
      <c r="E1880" s="71" t="str">
        <f>IFERROR(__xludf.DUMMYFUNCTION("""COMPUTED_VALUE""")," ")</f>
        <v> </v>
      </c>
      <c r="F1880" s="2"/>
      <c r="G1880" s="2"/>
      <c r="H1880" s="2"/>
      <c r="I1880" s="72"/>
      <c r="J1880" s="72"/>
      <c r="K1880" s="72"/>
      <c r="L1880" s="72"/>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c r="AJ1880" s="2" t="str">
        <f>IFERROR(__xludf.DUMMYFUNCTION("""COMPUTED_VALUE"""),"")</f>
        <v/>
      </c>
      <c r="AK1880" s="2" t="str">
        <f>IFERROR(__xludf.DUMMYFUNCTION("""COMPUTED_VALUE"""),"")</f>
        <v/>
      </c>
      <c r="AL1880" s="2" t="str">
        <f>IFERROR(__xludf.DUMMYFUNCTION("""COMPUTED_VALUE"""),"")</f>
        <v/>
      </c>
      <c r="AM1880" s="2" t="str">
        <f>IFERROR(__xludf.DUMMYFUNCTION("""COMPUTED_VALUE"""),"")</f>
        <v/>
      </c>
      <c r="AN1880" s="2" t="str">
        <f>IFERROR(__xludf.DUMMYFUNCTION("""COMPUTED_VALUE""")," ")</f>
        <v> </v>
      </c>
      <c r="AO1880" s="2" t="str">
        <f>IFERROR(__xludf.DUMMYFUNCTION("""COMPUTED_VALUE""")," ")</f>
        <v> </v>
      </c>
      <c r="AP1880" s="2" t="str">
        <f>IFERROR(__xludf.DUMMYFUNCTION("""COMPUTED_VALUE"""),"")</f>
        <v/>
      </c>
      <c r="AQ1880" s="2"/>
      <c r="AR1880" s="2"/>
      <c r="AS1880" s="2"/>
      <c r="AT1880" s="2"/>
      <c r="AU1880" s="2"/>
      <c r="AV1880" s="2"/>
      <c r="AW1880" s="2"/>
      <c r="AX1880" s="2"/>
      <c r="AY1880" s="2"/>
      <c r="AZ1880" s="2"/>
      <c r="BA1880" s="2"/>
      <c r="BB1880" s="2"/>
    </row>
    <row r="1881">
      <c r="A1881" s="2"/>
      <c r="B1881" s="2" t="str">
        <f>IFERROR(__xludf.DUMMYFUNCTION("""COMPUTED_VALUE"""),"")</f>
        <v/>
      </c>
      <c r="C1881" s="2"/>
      <c r="D1881" s="71"/>
      <c r="E1881" s="71" t="str">
        <f>IFERROR(__xludf.DUMMYFUNCTION("""COMPUTED_VALUE""")," ")</f>
        <v> </v>
      </c>
      <c r="F1881" s="2"/>
      <c r="G1881" s="2"/>
      <c r="H1881" s="2"/>
      <c r="I1881" s="72"/>
      <c r="J1881" s="72"/>
      <c r="K1881" s="72"/>
      <c r="L1881" s="72"/>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c r="AJ1881" s="2" t="str">
        <f>IFERROR(__xludf.DUMMYFUNCTION("""COMPUTED_VALUE"""),"")</f>
        <v/>
      </c>
      <c r="AK1881" s="2" t="str">
        <f>IFERROR(__xludf.DUMMYFUNCTION("""COMPUTED_VALUE"""),"")</f>
        <v/>
      </c>
      <c r="AL1881" s="2" t="str">
        <f>IFERROR(__xludf.DUMMYFUNCTION("""COMPUTED_VALUE"""),"")</f>
        <v/>
      </c>
      <c r="AM1881" s="2" t="str">
        <f>IFERROR(__xludf.DUMMYFUNCTION("""COMPUTED_VALUE"""),"")</f>
        <v/>
      </c>
      <c r="AN1881" s="2" t="str">
        <f>IFERROR(__xludf.DUMMYFUNCTION("""COMPUTED_VALUE""")," ")</f>
        <v> </v>
      </c>
      <c r="AO1881" s="2" t="str">
        <f>IFERROR(__xludf.DUMMYFUNCTION("""COMPUTED_VALUE""")," ")</f>
        <v> </v>
      </c>
      <c r="AP1881" s="2" t="str">
        <f>IFERROR(__xludf.DUMMYFUNCTION("""COMPUTED_VALUE"""),"")</f>
        <v/>
      </c>
      <c r="AQ1881" s="2"/>
      <c r="AR1881" s="2"/>
      <c r="AS1881" s="2"/>
      <c r="AT1881" s="2"/>
      <c r="AU1881" s="2"/>
      <c r="AV1881" s="2"/>
      <c r="AW1881" s="2"/>
      <c r="AX1881" s="2"/>
      <c r="AY1881" s="2"/>
      <c r="AZ1881" s="2"/>
      <c r="BA1881" s="2"/>
      <c r="BB1881" s="2"/>
    </row>
    <row r="1882">
      <c r="A1882" s="2"/>
      <c r="B1882" s="2" t="str">
        <f>IFERROR(__xludf.DUMMYFUNCTION("""COMPUTED_VALUE"""),"")</f>
        <v/>
      </c>
      <c r="C1882" s="2"/>
      <c r="D1882" s="71"/>
      <c r="E1882" s="71" t="str">
        <f>IFERROR(__xludf.DUMMYFUNCTION("""COMPUTED_VALUE""")," ")</f>
        <v> </v>
      </c>
      <c r="F1882" s="2"/>
      <c r="G1882" s="2"/>
      <c r="H1882" s="2"/>
      <c r="I1882" s="72"/>
      <c r="J1882" s="72"/>
      <c r="K1882" s="72"/>
      <c r="L1882" s="72"/>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c r="AJ1882" s="2" t="str">
        <f>IFERROR(__xludf.DUMMYFUNCTION("""COMPUTED_VALUE"""),"")</f>
        <v/>
      </c>
      <c r="AK1882" s="2" t="str">
        <f>IFERROR(__xludf.DUMMYFUNCTION("""COMPUTED_VALUE"""),"")</f>
        <v/>
      </c>
      <c r="AL1882" s="2" t="str">
        <f>IFERROR(__xludf.DUMMYFUNCTION("""COMPUTED_VALUE"""),"")</f>
        <v/>
      </c>
      <c r="AM1882" s="2" t="str">
        <f>IFERROR(__xludf.DUMMYFUNCTION("""COMPUTED_VALUE"""),"")</f>
        <v/>
      </c>
      <c r="AN1882" s="2" t="str">
        <f>IFERROR(__xludf.DUMMYFUNCTION("""COMPUTED_VALUE""")," ")</f>
        <v> </v>
      </c>
      <c r="AO1882" s="2" t="str">
        <f>IFERROR(__xludf.DUMMYFUNCTION("""COMPUTED_VALUE""")," ")</f>
        <v> </v>
      </c>
      <c r="AP1882" s="2" t="str">
        <f>IFERROR(__xludf.DUMMYFUNCTION("""COMPUTED_VALUE"""),"")</f>
        <v/>
      </c>
      <c r="AQ1882" s="2"/>
      <c r="AR1882" s="2"/>
      <c r="AS1882" s="2"/>
      <c r="AT1882" s="2"/>
      <c r="AU1882" s="2"/>
      <c r="AV1882" s="2"/>
      <c r="AW1882" s="2"/>
      <c r="AX1882" s="2"/>
      <c r="AY1882" s="2"/>
      <c r="AZ1882" s="2"/>
      <c r="BA1882" s="2"/>
      <c r="BB1882" s="2"/>
    </row>
    <row r="1883">
      <c r="A1883" s="2"/>
      <c r="B1883" s="2" t="str">
        <f>IFERROR(__xludf.DUMMYFUNCTION("""COMPUTED_VALUE"""),"")</f>
        <v/>
      </c>
      <c r="C1883" s="2"/>
      <c r="D1883" s="71"/>
      <c r="E1883" s="71" t="str">
        <f>IFERROR(__xludf.DUMMYFUNCTION("""COMPUTED_VALUE""")," ")</f>
        <v> </v>
      </c>
      <c r="F1883" s="2"/>
      <c r="G1883" s="2"/>
      <c r="H1883" s="2"/>
      <c r="I1883" s="72"/>
      <c r="J1883" s="72"/>
      <c r="K1883" s="72"/>
      <c r="L1883" s="72"/>
      <c r="M1883" s="2"/>
      <c r="N1883" s="2"/>
      <c r="O1883" s="2"/>
      <c r="P1883" s="2"/>
      <c r="Q1883" s="2"/>
      <c r="R1883" s="2"/>
      <c r="S1883" s="2"/>
      <c r="T1883" s="2"/>
      <c r="U1883" s="2"/>
      <c r="V1883" s="2"/>
      <c r="W1883" s="2"/>
      <c r="X1883" s="2"/>
      <c r="Y1883" s="2"/>
      <c r="Z1883" s="2"/>
      <c r="AA1883" s="2"/>
      <c r="AB1883" s="2"/>
      <c r="AC1883" s="2"/>
      <c r="AD1883" s="2"/>
      <c r="AE1883" s="2"/>
      <c r="AF1883" s="2"/>
      <c r="AG1883" s="2"/>
      <c r="AH1883" s="2"/>
      <c r="AI1883" s="2"/>
      <c r="AJ1883" s="2" t="str">
        <f>IFERROR(__xludf.DUMMYFUNCTION("""COMPUTED_VALUE"""),"")</f>
        <v/>
      </c>
      <c r="AK1883" s="2" t="str">
        <f>IFERROR(__xludf.DUMMYFUNCTION("""COMPUTED_VALUE"""),"")</f>
        <v/>
      </c>
      <c r="AL1883" s="2" t="str">
        <f>IFERROR(__xludf.DUMMYFUNCTION("""COMPUTED_VALUE"""),"")</f>
        <v/>
      </c>
      <c r="AM1883" s="2" t="str">
        <f>IFERROR(__xludf.DUMMYFUNCTION("""COMPUTED_VALUE"""),"")</f>
        <v/>
      </c>
      <c r="AN1883" s="2" t="str">
        <f>IFERROR(__xludf.DUMMYFUNCTION("""COMPUTED_VALUE""")," ")</f>
        <v> </v>
      </c>
      <c r="AO1883" s="2" t="str">
        <f>IFERROR(__xludf.DUMMYFUNCTION("""COMPUTED_VALUE""")," ")</f>
        <v> </v>
      </c>
      <c r="AP1883" s="2" t="str">
        <f>IFERROR(__xludf.DUMMYFUNCTION("""COMPUTED_VALUE"""),"")</f>
        <v/>
      </c>
      <c r="AQ1883" s="2"/>
      <c r="AR1883" s="2"/>
      <c r="AS1883" s="2"/>
      <c r="AT1883" s="2"/>
      <c r="AU1883" s="2"/>
      <c r="AV1883" s="2"/>
      <c r="AW1883" s="2"/>
      <c r="AX1883" s="2"/>
      <c r="AY1883" s="2"/>
      <c r="AZ1883" s="2"/>
      <c r="BA1883" s="2"/>
      <c r="BB1883" s="2"/>
    </row>
    <row r="1884">
      <c r="A1884" s="2"/>
      <c r="B1884" s="2" t="str">
        <f>IFERROR(__xludf.DUMMYFUNCTION("""COMPUTED_VALUE"""),"")</f>
        <v/>
      </c>
      <c r="C1884" s="2"/>
      <c r="D1884" s="71"/>
      <c r="E1884" s="71" t="str">
        <f>IFERROR(__xludf.DUMMYFUNCTION("""COMPUTED_VALUE""")," ")</f>
        <v> </v>
      </c>
      <c r="F1884" s="2"/>
      <c r="G1884" s="2"/>
      <c r="H1884" s="2"/>
      <c r="I1884" s="72"/>
      <c r="J1884" s="72"/>
      <c r="K1884" s="72"/>
      <c r="L1884" s="72"/>
      <c r="M1884" s="2"/>
      <c r="N1884" s="2"/>
      <c r="O1884" s="2"/>
      <c r="P1884" s="2"/>
      <c r="Q1884" s="2"/>
      <c r="R1884" s="2"/>
      <c r="S1884" s="2"/>
      <c r="T1884" s="2"/>
      <c r="U1884" s="2"/>
      <c r="V1884" s="2"/>
      <c r="W1884" s="2"/>
      <c r="X1884" s="2"/>
      <c r="Y1884" s="2"/>
      <c r="Z1884" s="2"/>
      <c r="AA1884" s="2"/>
      <c r="AB1884" s="2"/>
      <c r="AC1884" s="2"/>
      <c r="AD1884" s="2"/>
      <c r="AE1884" s="2"/>
      <c r="AF1884" s="2"/>
      <c r="AG1884" s="2"/>
      <c r="AH1884" s="2"/>
      <c r="AI1884" s="2"/>
      <c r="AJ1884" s="2" t="str">
        <f>IFERROR(__xludf.DUMMYFUNCTION("""COMPUTED_VALUE"""),"")</f>
        <v/>
      </c>
      <c r="AK1884" s="2" t="str">
        <f>IFERROR(__xludf.DUMMYFUNCTION("""COMPUTED_VALUE"""),"")</f>
        <v/>
      </c>
      <c r="AL1884" s="2" t="str">
        <f>IFERROR(__xludf.DUMMYFUNCTION("""COMPUTED_VALUE"""),"")</f>
        <v/>
      </c>
      <c r="AM1884" s="2" t="str">
        <f>IFERROR(__xludf.DUMMYFUNCTION("""COMPUTED_VALUE"""),"")</f>
        <v/>
      </c>
      <c r="AN1884" s="2" t="str">
        <f>IFERROR(__xludf.DUMMYFUNCTION("""COMPUTED_VALUE""")," ")</f>
        <v> </v>
      </c>
      <c r="AO1884" s="2" t="str">
        <f>IFERROR(__xludf.DUMMYFUNCTION("""COMPUTED_VALUE""")," ")</f>
        <v> </v>
      </c>
      <c r="AP1884" s="2" t="str">
        <f>IFERROR(__xludf.DUMMYFUNCTION("""COMPUTED_VALUE"""),"")</f>
        <v/>
      </c>
      <c r="AQ1884" s="2"/>
      <c r="AR1884" s="2"/>
      <c r="AS1884" s="2"/>
      <c r="AT1884" s="2"/>
      <c r="AU1884" s="2"/>
      <c r="AV1884" s="2"/>
      <c r="AW1884" s="2"/>
      <c r="AX1884" s="2"/>
      <c r="AY1884" s="2"/>
      <c r="AZ1884" s="2"/>
      <c r="BA1884" s="2"/>
      <c r="BB1884" s="2"/>
    </row>
    <row r="1885">
      <c r="A1885" s="2"/>
      <c r="B1885" s="2" t="str">
        <f>IFERROR(__xludf.DUMMYFUNCTION("""COMPUTED_VALUE"""),"")</f>
        <v/>
      </c>
      <c r="C1885" s="2"/>
      <c r="D1885" s="71"/>
      <c r="E1885" s="71" t="str">
        <f>IFERROR(__xludf.DUMMYFUNCTION("""COMPUTED_VALUE""")," ")</f>
        <v> </v>
      </c>
      <c r="F1885" s="2"/>
      <c r="G1885" s="2"/>
      <c r="H1885" s="2"/>
      <c r="I1885" s="72"/>
      <c r="J1885" s="72"/>
      <c r="K1885" s="72"/>
      <c r="L1885" s="72"/>
      <c r="M1885" s="2"/>
      <c r="N1885" s="2"/>
      <c r="O1885" s="2"/>
      <c r="P1885" s="2"/>
      <c r="Q1885" s="2"/>
      <c r="R1885" s="2"/>
      <c r="S1885" s="2"/>
      <c r="T1885" s="2"/>
      <c r="U1885" s="2"/>
      <c r="V1885" s="2"/>
      <c r="W1885" s="2"/>
      <c r="X1885" s="2"/>
      <c r="Y1885" s="2"/>
      <c r="Z1885" s="2"/>
      <c r="AA1885" s="2"/>
      <c r="AB1885" s="2"/>
      <c r="AC1885" s="2"/>
      <c r="AD1885" s="2"/>
      <c r="AE1885" s="2"/>
      <c r="AF1885" s="2"/>
      <c r="AG1885" s="2"/>
      <c r="AH1885" s="2"/>
      <c r="AI1885" s="2"/>
      <c r="AJ1885" s="2" t="str">
        <f>IFERROR(__xludf.DUMMYFUNCTION("""COMPUTED_VALUE"""),"")</f>
        <v/>
      </c>
      <c r="AK1885" s="2" t="str">
        <f>IFERROR(__xludf.DUMMYFUNCTION("""COMPUTED_VALUE"""),"")</f>
        <v/>
      </c>
      <c r="AL1885" s="2" t="str">
        <f>IFERROR(__xludf.DUMMYFUNCTION("""COMPUTED_VALUE"""),"")</f>
        <v/>
      </c>
      <c r="AM1885" s="2" t="str">
        <f>IFERROR(__xludf.DUMMYFUNCTION("""COMPUTED_VALUE"""),"")</f>
        <v/>
      </c>
      <c r="AN1885" s="2" t="str">
        <f>IFERROR(__xludf.DUMMYFUNCTION("""COMPUTED_VALUE""")," ")</f>
        <v> </v>
      </c>
      <c r="AO1885" s="2" t="str">
        <f>IFERROR(__xludf.DUMMYFUNCTION("""COMPUTED_VALUE""")," ")</f>
        <v> </v>
      </c>
      <c r="AP1885" s="2" t="str">
        <f>IFERROR(__xludf.DUMMYFUNCTION("""COMPUTED_VALUE"""),"")</f>
        <v/>
      </c>
      <c r="AQ1885" s="2"/>
      <c r="AR1885" s="2"/>
      <c r="AS1885" s="2"/>
      <c r="AT1885" s="2"/>
      <c r="AU1885" s="2"/>
      <c r="AV1885" s="2"/>
      <c r="AW1885" s="2"/>
      <c r="AX1885" s="2"/>
      <c r="AY1885" s="2"/>
      <c r="AZ1885" s="2"/>
      <c r="BA1885" s="2"/>
      <c r="BB1885" s="2"/>
    </row>
    <row r="1886">
      <c r="A1886" s="2"/>
      <c r="B1886" s="2"/>
      <c r="C1886" s="2"/>
      <c r="D1886" s="71"/>
      <c r="E1886" s="71"/>
      <c r="F1886" s="2"/>
      <c r="G1886" s="2"/>
      <c r="H1886" s="2"/>
      <c r="I1886" s="72"/>
      <c r="J1886" s="72"/>
      <c r="K1886" s="72"/>
      <c r="L1886" s="72"/>
      <c r="M1886" s="2"/>
      <c r="N1886" s="2"/>
      <c r="O1886" s="2"/>
      <c r="P1886" s="2"/>
      <c r="Q1886" s="2"/>
      <c r="R1886" s="2"/>
      <c r="S1886" s="2"/>
      <c r="T1886" s="2"/>
      <c r="U1886" s="2"/>
      <c r="V1886" s="2"/>
      <c r="W1886" s="2"/>
      <c r="X1886" s="2"/>
      <c r="Y1886" s="2"/>
      <c r="Z1886" s="2"/>
      <c r="AA1886" s="2"/>
      <c r="AB1886" s="2"/>
      <c r="AC1886" s="2"/>
      <c r="AD1886" s="2"/>
      <c r="AE1886" s="2"/>
      <c r="AF1886" s="2"/>
      <c r="AG1886" s="2"/>
      <c r="AH1886" s="2"/>
      <c r="AI1886" s="2"/>
      <c r="AJ1886" s="2" t="str">
        <f>IFERROR(__xludf.DUMMYFUNCTION("""COMPUTED_VALUE"""),"")</f>
        <v/>
      </c>
      <c r="AK1886" s="2" t="str">
        <f>IFERROR(__xludf.DUMMYFUNCTION("""COMPUTED_VALUE"""),"")</f>
        <v/>
      </c>
      <c r="AL1886" s="2" t="str">
        <f>IFERROR(__xludf.DUMMYFUNCTION("""COMPUTED_VALUE"""),"")</f>
        <v/>
      </c>
      <c r="AM1886" s="2" t="str">
        <f>IFERROR(__xludf.DUMMYFUNCTION("""COMPUTED_VALUE"""),"")</f>
        <v/>
      </c>
      <c r="AN1886" s="2" t="str">
        <f>IFERROR(__xludf.DUMMYFUNCTION("""COMPUTED_VALUE""")," ")</f>
        <v> </v>
      </c>
      <c r="AO1886" s="2" t="str">
        <f>IFERROR(__xludf.DUMMYFUNCTION("""COMPUTED_VALUE""")," ")</f>
        <v> </v>
      </c>
      <c r="AP1886" s="2" t="str">
        <f>IFERROR(__xludf.DUMMYFUNCTION("""COMPUTED_VALUE"""),"")</f>
        <v/>
      </c>
      <c r="AQ1886" s="2"/>
      <c r="AR1886" s="2"/>
      <c r="AS1886" s="2"/>
      <c r="AT1886" s="2"/>
      <c r="AU1886" s="2"/>
      <c r="AV1886" s="2"/>
      <c r="AW1886" s="2"/>
      <c r="AX1886" s="2"/>
      <c r="AY1886" s="2"/>
      <c r="AZ1886" s="2"/>
      <c r="BA1886" s="2"/>
      <c r="BB1886" s="2"/>
    </row>
    <row r="1887">
      <c r="A1887" s="2"/>
      <c r="B1887" s="2" t="str">
        <f>IFERROR(__xludf.DUMMYFUNCTION("""COMPUTED_VALUE"""),"")</f>
        <v/>
      </c>
      <c r="C1887" s="2"/>
      <c r="D1887" s="71"/>
      <c r="E1887" s="71" t="str">
        <f>IFERROR(__xludf.DUMMYFUNCTION("""COMPUTED_VALUE""")," ")</f>
        <v> </v>
      </c>
      <c r="F1887" s="2"/>
      <c r="G1887" s="2"/>
      <c r="H1887" s="2"/>
      <c r="I1887" s="72"/>
      <c r="J1887" s="72"/>
      <c r="K1887" s="72"/>
      <c r="L1887" s="72"/>
      <c r="M1887" s="2"/>
      <c r="N1887" s="2"/>
      <c r="O1887" s="2"/>
      <c r="P1887" s="2"/>
      <c r="Q1887" s="2"/>
      <c r="R1887" s="2"/>
      <c r="S1887" s="2"/>
      <c r="T1887" s="2"/>
      <c r="U1887" s="2"/>
      <c r="V1887" s="2"/>
      <c r="W1887" s="2"/>
      <c r="X1887" s="2"/>
      <c r="Y1887" s="2"/>
      <c r="Z1887" s="2"/>
      <c r="AA1887" s="2"/>
      <c r="AB1887" s="2"/>
      <c r="AC1887" s="2"/>
      <c r="AD1887" s="2"/>
      <c r="AE1887" s="2"/>
      <c r="AF1887" s="2"/>
      <c r="AG1887" s="2"/>
      <c r="AH1887" s="2"/>
      <c r="AI1887" s="2"/>
      <c r="AJ1887" s="2" t="str">
        <f>IFERROR(__xludf.DUMMYFUNCTION("""COMPUTED_VALUE"""),"")</f>
        <v/>
      </c>
      <c r="AK1887" s="2" t="str">
        <f>IFERROR(__xludf.DUMMYFUNCTION("""COMPUTED_VALUE"""),"")</f>
        <v/>
      </c>
      <c r="AL1887" s="2" t="str">
        <f>IFERROR(__xludf.DUMMYFUNCTION("""COMPUTED_VALUE"""),"")</f>
        <v/>
      </c>
      <c r="AM1887" s="2" t="str">
        <f>IFERROR(__xludf.DUMMYFUNCTION("""COMPUTED_VALUE"""),"")</f>
        <v/>
      </c>
      <c r="AN1887" s="2" t="str">
        <f>IFERROR(__xludf.DUMMYFUNCTION("""COMPUTED_VALUE""")," ")</f>
        <v> </v>
      </c>
      <c r="AO1887" s="2" t="str">
        <f>IFERROR(__xludf.DUMMYFUNCTION("""COMPUTED_VALUE""")," ")</f>
        <v> </v>
      </c>
      <c r="AP1887" s="2" t="str">
        <f>IFERROR(__xludf.DUMMYFUNCTION("""COMPUTED_VALUE"""),"")</f>
        <v/>
      </c>
      <c r="AQ1887" s="2"/>
      <c r="AR1887" s="2"/>
      <c r="AS1887" s="2"/>
      <c r="AT1887" s="2"/>
      <c r="AU1887" s="2"/>
      <c r="AV1887" s="2"/>
      <c r="AW1887" s="2"/>
      <c r="AX1887" s="2"/>
      <c r="AY1887" s="2"/>
      <c r="AZ1887" s="2"/>
      <c r="BA1887" s="2"/>
      <c r="BB1887" s="2"/>
    </row>
    <row r="1888">
      <c r="A1888" s="2"/>
      <c r="B1888" s="2" t="str">
        <f>IFERROR(__xludf.DUMMYFUNCTION("""COMPUTED_VALUE"""),"")</f>
        <v/>
      </c>
      <c r="C1888" s="2"/>
      <c r="D1888" s="71"/>
      <c r="E1888" s="71" t="str">
        <f>IFERROR(__xludf.DUMMYFUNCTION("""COMPUTED_VALUE""")," ")</f>
        <v> </v>
      </c>
      <c r="F1888" s="2"/>
      <c r="G1888" s="2"/>
      <c r="H1888" s="2"/>
      <c r="I1888" s="72"/>
      <c r="J1888" s="72"/>
      <c r="K1888" s="72"/>
      <c r="L1888" s="72"/>
      <c r="M1888" s="2"/>
      <c r="N1888" s="2"/>
      <c r="O1888" s="2"/>
      <c r="P1888" s="2"/>
      <c r="Q1888" s="2"/>
      <c r="R1888" s="2"/>
      <c r="S1888" s="2"/>
      <c r="T1888" s="2"/>
      <c r="U1888" s="2"/>
      <c r="V1888" s="2"/>
      <c r="W1888" s="2"/>
      <c r="X1888" s="2"/>
      <c r="Y1888" s="2"/>
      <c r="Z1888" s="2"/>
      <c r="AA1888" s="2"/>
      <c r="AB1888" s="2"/>
      <c r="AC1888" s="2"/>
      <c r="AD1888" s="2"/>
      <c r="AE1888" s="2"/>
      <c r="AF1888" s="2"/>
      <c r="AG1888" s="2"/>
      <c r="AH1888" s="2"/>
      <c r="AI1888" s="2"/>
      <c r="AJ1888" s="2" t="str">
        <f>IFERROR(__xludf.DUMMYFUNCTION("""COMPUTED_VALUE"""),"")</f>
        <v/>
      </c>
      <c r="AK1888" s="2" t="str">
        <f>IFERROR(__xludf.DUMMYFUNCTION("""COMPUTED_VALUE"""),"")</f>
        <v/>
      </c>
      <c r="AL1888" s="2" t="str">
        <f>IFERROR(__xludf.DUMMYFUNCTION("""COMPUTED_VALUE"""),"")</f>
        <v/>
      </c>
      <c r="AM1888" s="2" t="str">
        <f>IFERROR(__xludf.DUMMYFUNCTION("""COMPUTED_VALUE"""),"")</f>
        <v/>
      </c>
      <c r="AN1888" s="2" t="str">
        <f>IFERROR(__xludf.DUMMYFUNCTION("""COMPUTED_VALUE""")," ")</f>
        <v> </v>
      </c>
      <c r="AO1888" s="2" t="str">
        <f>IFERROR(__xludf.DUMMYFUNCTION("""COMPUTED_VALUE""")," ")</f>
        <v> </v>
      </c>
      <c r="AP1888" s="2" t="str">
        <f>IFERROR(__xludf.DUMMYFUNCTION("""COMPUTED_VALUE"""),"")</f>
        <v/>
      </c>
      <c r="AQ1888" s="2"/>
      <c r="AR1888" s="2"/>
      <c r="AS1888" s="2"/>
      <c r="AT1888" s="2"/>
      <c r="AU1888" s="2"/>
      <c r="AV1888" s="2"/>
      <c r="AW1888" s="2"/>
      <c r="AX1888" s="2"/>
      <c r="AY1888" s="2"/>
      <c r="AZ1888" s="2"/>
      <c r="BA1888" s="2"/>
      <c r="BB1888" s="2"/>
    </row>
    <row r="1889">
      <c r="A1889" s="2"/>
      <c r="B1889" s="2" t="str">
        <f>IFERROR(__xludf.DUMMYFUNCTION("""COMPUTED_VALUE"""),"")</f>
        <v/>
      </c>
      <c r="C1889" s="2"/>
      <c r="D1889" s="71"/>
      <c r="E1889" s="71" t="str">
        <f>IFERROR(__xludf.DUMMYFUNCTION("""COMPUTED_VALUE""")," ")</f>
        <v> </v>
      </c>
      <c r="F1889" s="2"/>
      <c r="G1889" s="2"/>
      <c r="H1889" s="2"/>
      <c r="I1889" s="72"/>
      <c r="J1889" s="72"/>
      <c r="K1889" s="72"/>
      <c r="L1889" s="72"/>
      <c r="M1889" s="2"/>
      <c r="N1889" s="2"/>
      <c r="O1889" s="2"/>
      <c r="P1889" s="2"/>
      <c r="Q1889" s="2"/>
      <c r="R1889" s="2"/>
      <c r="S1889" s="2"/>
      <c r="T1889" s="2"/>
      <c r="U1889" s="2"/>
      <c r="V1889" s="2"/>
      <c r="W1889" s="2"/>
      <c r="X1889" s="2"/>
      <c r="Y1889" s="2"/>
      <c r="Z1889" s="2"/>
      <c r="AA1889" s="2"/>
      <c r="AB1889" s="2"/>
      <c r="AC1889" s="2"/>
      <c r="AD1889" s="2"/>
      <c r="AE1889" s="2"/>
      <c r="AF1889" s="2"/>
      <c r="AG1889" s="2"/>
      <c r="AH1889" s="2"/>
      <c r="AI1889" s="2"/>
      <c r="AJ1889" s="2" t="str">
        <f>IFERROR(__xludf.DUMMYFUNCTION("""COMPUTED_VALUE"""),"")</f>
        <v/>
      </c>
      <c r="AK1889" s="2" t="str">
        <f>IFERROR(__xludf.DUMMYFUNCTION("""COMPUTED_VALUE"""),"")</f>
        <v/>
      </c>
      <c r="AL1889" s="2" t="str">
        <f>IFERROR(__xludf.DUMMYFUNCTION("""COMPUTED_VALUE"""),"")</f>
        <v/>
      </c>
      <c r="AM1889" s="2" t="str">
        <f>IFERROR(__xludf.DUMMYFUNCTION("""COMPUTED_VALUE"""),"")</f>
        <v/>
      </c>
      <c r="AN1889" s="2" t="str">
        <f>IFERROR(__xludf.DUMMYFUNCTION("""COMPUTED_VALUE""")," ")</f>
        <v> </v>
      </c>
      <c r="AO1889" s="2" t="str">
        <f>IFERROR(__xludf.DUMMYFUNCTION("""COMPUTED_VALUE""")," ")</f>
        <v> </v>
      </c>
      <c r="AP1889" s="2" t="str">
        <f>IFERROR(__xludf.DUMMYFUNCTION("""COMPUTED_VALUE"""),"")</f>
        <v/>
      </c>
      <c r="AQ1889" s="2"/>
      <c r="AR1889" s="2"/>
      <c r="AS1889" s="2"/>
      <c r="AT1889" s="2"/>
      <c r="AU1889" s="2"/>
      <c r="AV1889" s="2"/>
      <c r="AW1889" s="2"/>
      <c r="AX1889" s="2"/>
      <c r="AY1889" s="2"/>
      <c r="AZ1889" s="2"/>
      <c r="BA1889" s="2"/>
      <c r="BB1889" s="2"/>
    </row>
    <row r="1890">
      <c r="A1890" s="2"/>
      <c r="B1890" s="2" t="str">
        <f>IFERROR(__xludf.DUMMYFUNCTION("""COMPUTED_VALUE"""),"")</f>
        <v/>
      </c>
      <c r="C1890" s="2"/>
      <c r="D1890" s="71"/>
      <c r="E1890" s="71" t="str">
        <f>IFERROR(__xludf.DUMMYFUNCTION("""COMPUTED_VALUE""")," ")</f>
        <v> </v>
      </c>
      <c r="F1890" s="2"/>
      <c r="G1890" s="2"/>
      <c r="H1890" s="2"/>
      <c r="I1890" s="72"/>
      <c r="J1890" s="72"/>
      <c r="K1890" s="72"/>
      <c r="L1890" s="72"/>
      <c r="M1890" s="2"/>
      <c r="N1890" s="2"/>
      <c r="O1890" s="2"/>
      <c r="P1890" s="2"/>
      <c r="Q1890" s="2"/>
      <c r="R1890" s="2"/>
      <c r="S1890" s="2"/>
      <c r="T1890" s="2"/>
      <c r="U1890" s="2"/>
      <c r="V1890" s="2"/>
      <c r="W1890" s="2"/>
      <c r="X1890" s="2"/>
      <c r="Y1890" s="2"/>
      <c r="Z1890" s="2"/>
      <c r="AA1890" s="2"/>
      <c r="AB1890" s="2"/>
      <c r="AC1890" s="2"/>
      <c r="AD1890" s="2"/>
      <c r="AE1890" s="2"/>
      <c r="AF1890" s="2"/>
      <c r="AG1890" s="2"/>
      <c r="AH1890" s="2"/>
      <c r="AI1890" s="2"/>
      <c r="AJ1890" s="2" t="str">
        <f>IFERROR(__xludf.DUMMYFUNCTION("""COMPUTED_VALUE"""),"")</f>
        <v/>
      </c>
      <c r="AK1890" s="2" t="str">
        <f>IFERROR(__xludf.DUMMYFUNCTION("""COMPUTED_VALUE"""),"")</f>
        <v/>
      </c>
      <c r="AL1890" s="2" t="str">
        <f>IFERROR(__xludf.DUMMYFUNCTION("""COMPUTED_VALUE"""),"")</f>
        <v/>
      </c>
      <c r="AM1890" s="2" t="str">
        <f>IFERROR(__xludf.DUMMYFUNCTION("""COMPUTED_VALUE"""),"")</f>
        <v/>
      </c>
      <c r="AN1890" s="2" t="str">
        <f>IFERROR(__xludf.DUMMYFUNCTION("""COMPUTED_VALUE""")," ")</f>
        <v> </v>
      </c>
      <c r="AO1890" s="2" t="str">
        <f>IFERROR(__xludf.DUMMYFUNCTION("""COMPUTED_VALUE""")," ")</f>
        <v> </v>
      </c>
      <c r="AP1890" s="2" t="str">
        <f>IFERROR(__xludf.DUMMYFUNCTION("""COMPUTED_VALUE"""),"")</f>
        <v/>
      </c>
      <c r="AQ1890" s="2"/>
      <c r="AR1890" s="2"/>
      <c r="AS1890" s="2"/>
      <c r="AT1890" s="2"/>
      <c r="AU1890" s="2"/>
      <c r="AV1890" s="2"/>
      <c r="AW1890" s="2"/>
      <c r="AX1890" s="2"/>
      <c r="AY1890" s="2"/>
      <c r="AZ1890" s="2"/>
      <c r="BA1890" s="2"/>
      <c r="BB1890" s="2"/>
    </row>
    <row r="1891">
      <c r="A1891" s="2"/>
      <c r="B1891" s="2" t="str">
        <f>IFERROR(__xludf.DUMMYFUNCTION("""COMPUTED_VALUE"""),"")</f>
        <v/>
      </c>
      <c r="C1891" s="2"/>
      <c r="D1891" s="71"/>
      <c r="E1891" s="71" t="str">
        <f>IFERROR(__xludf.DUMMYFUNCTION("""COMPUTED_VALUE""")," ")</f>
        <v> </v>
      </c>
      <c r="F1891" s="2"/>
      <c r="G1891" s="2"/>
      <c r="H1891" s="2"/>
      <c r="I1891" s="72"/>
      <c r="J1891" s="72"/>
      <c r="K1891" s="72"/>
      <c r="L1891" s="72"/>
      <c r="M1891" s="2"/>
      <c r="N1891" s="2"/>
      <c r="O1891" s="2"/>
      <c r="P1891" s="2"/>
      <c r="Q1891" s="2"/>
      <c r="R1891" s="2"/>
      <c r="S1891" s="2"/>
      <c r="T1891" s="2"/>
      <c r="U1891" s="2"/>
      <c r="V1891" s="2"/>
      <c r="W1891" s="2"/>
      <c r="X1891" s="2"/>
      <c r="Y1891" s="2"/>
      <c r="Z1891" s="2"/>
      <c r="AA1891" s="2"/>
      <c r="AB1891" s="2"/>
      <c r="AC1891" s="2"/>
      <c r="AD1891" s="2"/>
      <c r="AE1891" s="2"/>
      <c r="AF1891" s="2"/>
      <c r="AG1891" s="2"/>
      <c r="AH1891" s="2"/>
      <c r="AI1891" s="2"/>
      <c r="AJ1891" s="2" t="str">
        <f>IFERROR(__xludf.DUMMYFUNCTION("""COMPUTED_VALUE"""),"")</f>
        <v/>
      </c>
      <c r="AK1891" s="2" t="str">
        <f>IFERROR(__xludf.DUMMYFUNCTION("""COMPUTED_VALUE"""),"")</f>
        <v/>
      </c>
      <c r="AL1891" s="2" t="str">
        <f>IFERROR(__xludf.DUMMYFUNCTION("""COMPUTED_VALUE"""),"")</f>
        <v/>
      </c>
      <c r="AM1891" s="2" t="str">
        <f>IFERROR(__xludf.DUMMYFUNCTION("""COMPUTED_VALUE"""),"")</f>
        <v/>
      </c>
      <c r="AN1891" s="2" t="str">
        <f>IFERROR(__xludf.DUMMYFUNCTION("""COMPUTED_VALUE""")," ")</f>
        <v> </v>
      </c>
      <c r="AO1891" s="2" t="str">
        <f>IFERROR(__xludf.DUMMYFUNCTION("""COMPUTED_VALUE""")," ")</f>
        <v> </v>
      </c>
      <c r="AP1891" s="2" t="str">
        <f>IFERROR(__xludf.DUMMYFUNCTION("""COMPUTED_VALUE"""),"")</f>
        <v/>
      </c>
      <c r="AQ1891" s="2"/>
      <c r="AR1891" s="2"/>
      <c r="AS1891" s="2"/>
      <c r="AT1891" s="2"/>
      <c r="AU1891" s="2"/>
      <c r="AV1891" s="2"/>
      <c r="AW1891" s="2"/>
      <c r="AX1891" s="2"/>
      <c r="AY1891" s="2"/>
      <c r="AZ1891" s="2"/>
      <c r="BA1891" s="2"/>
      <c r="BB1891" s="2"/>
    </row>
    <row r="1892">
      <c r="A1892" s="2"/>
      <c r="B1892" s="2" t="str">
        <f>IFERROR(__xludf.DUMMYFUNCTION("""COMPUTED_VALUE"""),"")</f>
        <v/>
      </c>
      <c r="C1892" s="2"/>
      <c r="D1892" s="71"/>
      <c r="E1892" s="71" t="str">
        <f>IFERROR(__xludf.DUMMYFUNCTION("""COMPUTED_VALUE""")," ")</f>
        <v> </v>
      </c>
      <c r="F1892" s="2"/>
      <c r="G1892" s="2"/>
      <c r="H1892" s="2"/>
      <c r="I1892" s="72"/>
      <c r="J1892" s="72"/>
      <c r="K1892" s="72"/>
      <c r="L1892" s="72"/>
      <c r="M1892" s="2"/>
      <c r="N1892" s="2"/>
      <c r="O1892" s="2"/>
      <c r="P1892" s="2"/>
      <c r="Q1892" s="2"/>
      <c r="R1892" s="2"/>
      <c r="S1892" s="2"/>
      <c r="T1892" s="2"/>
      <c r="U1892" s="2"/>
      <c r="V1892" s="2"/>
      <c r="W1892" s="2"/>
      <c r="X1892" s="2"/>
      <c r="Y1892" s="2"/>
      <c r="Z1892" s="2"/>
      <c r="AA1892" s="2"/>
      <c r="AB1892" s="2"/>
      <c r="AC1892" s="2"/>
      <c r="AD1892" s="2"/>
      <c r="AE1892" s="2"/>
      <c r="AF1892" s="2"/>
      <c r="AG1892" s="2"/>
      <c r="AH1892" s="2"/>
      <c r="AI1892" s="2"/>
      <c r="AJ1892" s="2" t="str">
        <f>IFERROR(__xludf.DUMMYFUNCTION("""COMPUTED_VALUE"""),"")</f>
        <v/>
      </c>
      <c r="AK1892" s="2" t="str">
        <f>IFERROR(__xludf.DUMMYFUNCTION("""COMPUTED_VALUE"""),"")</f>
        <v/>
      </c>
      <c r="AL1892" s="2" t="str">
        <f>IFERROR(__xludf.DUMMYFUNCTION("""COMPUTED_VALUE"""),"")</f>
        <v/>
      </c>
      <c r="AM1892" s="2" t="str">
        <f>IFERROR(__xludf.DUMMYFUNCTION("""COMPUTED_VALUE"""),"")</f>
        <v/>
      </c>
      <c r="AN1892" s="2" t="str">
        <f>IFERROR(__xludf.DUMMYFUNCTION("""COMPUTED_VALUE""")," ")</f>
        <v> </v>
      </c>
      <c r="AO1892" s="2" t="str">
        <f>IFERROR(__xludf.DUMMYFUNCTION("""COMPUTED_VALUE""")," ")</f>
        <v> </v>
      </c>
      <c r="AP1892" s="2" t="str">
        <f>IFERROR(__xludf.DUMMYFUNCTION("""COMPUTED_VALUE"""),"")</f>
        <v/>
      </c>
      <c r="AQ1892" s="2"/>
      <c r="AR1892" s="2"/>
      <c r="AS1892" s="2"/>
      <c r="AT1892" s="2"/>
      <c r="AU1892" s="2"/>
      <c r="AV1892" s="2"/>
      <c r="AW1892" s="2"/>
      <c r="AX1892" s="2"/>
      <c r="AY1892" s="2"/>
      <c r="AZ1892" s="2"/>
      <c r="BA1892" s="2"/>
      <c r="BB1892" s="2"/>
    </row>
    <row r="1893">
      <c r="A1893" s="2"/>
      <c r="B1893" s="2" t="str">
        <f>IFERROR(__xludf.DUMMYFUNCTION("""COMPUTED_VALUE"""),"")</f>
        <v/>
      </c>
      <c r="C1893" s="2"/>
      <c r="D1893" s="71"/>
      <c r="E1893" s="71" t="str">
        <f>IFERROR(__xludf.DUMMYFUNCTION("""COMPUTED_VALUE""")," ")</f>
        <v> </v>
      </c>
      <c r="F1893" s="2"/>
      <c r="G1893" s="2"/>
      <c r="H1893" s="2"/>
      <c r="I1893" s="72"/>
      <c r="J1893" s="72"/>
      <c r="K1893" s="72"/>
      <c r="L1893" s="72"/>
      <c r="M1893" s="2"/>
      <c r="N1893" s="2"/>
      <c r="O1893" s="2"/>
      <c r="P1893" s="2"/>
      <c r="Q1893" s="2"/>
      <c r="R1893" s="2"/>
      <c r="S1893" s="2"/>
      <c r="T1893" s="2"/>
      <c r="U1893" s="2"/>
      <c r="V1893" s="2"/>
      <c r="W1893" s="2"/>
      <c r="X1893" s="2"/>
      <c r="Y1893" s="2"/>
      <c r="Z1893" s="2"/>
      <c r="AA1893" s="2"/>
      <c r="AB1893" s="2"/>
      <c r="AC1893" s="2"/>
      <c r="AD1893" s="2"/>
      <c r="AE1893" s="2"/>
      <c r="AF1893" s="2"/>
      <c r="AG1893" s="2"/>
      <c r="AH1893" s="2"/>
      <c r="AI1893" s="2"/>
      <c r="AJ1893" s="2" t="str">
        <f>IFERROR(__xludf.DUMMYFUNCTION("""COMPUTED_VALUE"""),"")</f>
        <v/>
      </c>
      <c r="AK1893" s="2" t="str">
        <f>IFERROR(__xludf.DUMMYFUNCTION("""COMPUTED_VALUE"""),"")</f>
        <v/>
      </c>
      <c r="AL1893" s="2" t="str">
        <f>IFERROR(__xludf.DUMMYFUNCTION("""COMPUTED_VALUE"""),"")</f>
        <v/>
      </c>
      <c r="AM1893" s="2" t="str">
        <f>IFERROR(__xludf.DUMMYFUNCTION("""COMPUTED_VALUE"""),"")</f>
        <v/>
      </c>
      <c r="AN1893" s="2" t="str">
        <f>IFERROR(__xludf.DUMMYFUNCTION("""COMPUTED_VALUE""")," ")</f>
        <v> </v>
      </c>
      <c r="AO1893" s="2" t="str">
        <f>IFERROR(__xludf.DUMMYFUNCTION("""COMPUTED_VALUE""")," ")</f>
        <v> </v>
      </c>
      <c r="AP1893" s="2" t="str">
        <f>IFERROR(__xludf.DUMMYFUNCTION("""COMPUTED_VALUE"""),"")</f>
        <v/>
      </c>
      <c r="AQ1893" s="2"/>
      <c r="AR1893" s="2"/>
      <c r="AS1893" s="2"/>
      <c r="AT1893" s="2"/>
      <c r="AU1893" s="2"/>
      <c r="AV1893" s="2"/>
      <c r="AW1893" s="2"/>
      <c r="AX1893" s="2"/>
      <c r="AY1893" s="2"/>
      <c r="AZ1893" s="2"/>
      <c r="BA1893" s="2"/>
      <c r="BB1893" s="2"/>
    </row>
    <row r="1894">
      <c r="A1894" s="2"/>
      <c r="B1894" s="2" t="str">
        <f>IFERROR(__xludf.DUMMYFUNCTION("""COMPUTED_VALUE"""),"")</f>
        <v/>
      </c>
      <c r="C1894" s="2"/>
      <c r="D1894" s="71"/>
      <c r="E1894" s="71" t="str">
        <f>IFERROR(__xludf.DUMMYFUNCTION("""COMPUTED_VALUE""")," ")</f>
        <v> </v>
      </c>
      <c r="F1894" s="2"/>
      <c r="G1894" s="2"/>
      <c r="H1894" s="2"/>
      <c r="I1894" s="72"/>
      <c r="J1894" s="72"/>
      <c r="K1894" s="72"/>
      <c r="L1894" s="72"/>
      <c r="M1894" s="2"/>
      <c r="N1894" s="2"/>
      <c r="O1894" s="2"/>
      <c r="P1894" s="2"/>
      <c r="Q1894" s="2"/>
      <c r="R1894" s="2"/>
      <c r="S1894" s="2"/>
      <c r="T1894" s="2"/>
      <c r="U1894" s="2"/>
      <c r="V1894" s="2"/>
      <c r="W1894" s="2"/>
      <c r="X1894" s="2"/>
      <c r="Y1894" s="2"/>
      <c r="Z1894" s="2"/>
      <c r="AA1894" s="2"/>
      <c r="AB1894" s="2"/>
      <c r="AC1894" s="2"/>
      <c r="AD1894" s="2"/>
      <c r="AE1894" s="2"/>
      <c r="AF1894" s="2"/>
      <c r="AG1894" s="2"/>
      <c r="AH1894" s="2"/>
      <c r="AI1894" s="2"/>
      <c r="AJ1894" s="2" t="str">
        <f>IFERROR(__xludf.DUMMYFUNCTION("""COMPUTED_VALUE"""),"")</f>
        <v/>
      </c>
      <c r="AK1894" s="2" t="str">
        <f>IFERROR(__xludf.DUMMYFUNCTION("""COMPUTED_VALUE"""),"")</f>
        <v/>
      </c>
      <c r="AL1894" s="2" t="str">
        <f>IFERROR(__xludf.DUMMYFUNCTION("""COMPUTED_VALUE"""),"")</f>
        <v/>
      </c>
      <c r="AM1894" s="2" t="str">
        <f>IFERROR(__xludf.DUMMYFUNCTION("""COMPUTED_VALUE"""),"")</f>
        <v/>
      </c>
      <c r="AN1894" s="2" t="str">
        <f>IFERROR(__xludf.DUMMYFUNCTION("""COMPUTED_VALUE""")," ")</f>
        <v> </v>
      </c>
      <c r="AO1894" s="2" t="str">
        <f>IFERROR(__xludf.DUMMYFUNCTION("""COMPUTED_VALUE""")," ")</f>
        <v> </v>
      </c>
      <c r="AP1894" s="2" t="str">
        <f>IFERROR(__xludf.DUMMYFUNCTION("""COMPUTED_VALUE"""),"")</f>
        <v/>
      </c>
      <c r="AQ1894" s="2"/>
      <c r="AR1894" s="2"/>
      <c r="AS1894" s="2"/>
      <c r="AT1894" s="2"/>
      <c r="AU1894" s="2"/>
      <c r="AV1894" s="2"/>
      <c r="AW1894" s="2"/>
      <c r="AX1894" s="2"/>
      <c r="AY1894" s="2"/>
      <c r="AZ1894" s="2"/>
      <c r="BA1894" s="2"/>
      <c r="BB1894" s="2"/>
    </row>
    <row r="1895">
      <c r="A1895" s="2"/>
      <c r="B1895" s="2" t="str">
        <f>IFERROR(__xludf.DUMMYFUNCTION("""COMPUTED_VALUE"""),"")</f>
        <v/>
      </c>
      <c r="C1895" s="2"/>
      <c r="D1895" s="71"/>
      <c r="E1895" s="71" t="str">
        <f>IFERROR(__xludf.DUMMYFUNCTION("""COMPUTED_VALUE""")," ")</f>
        <v> </v>
      </c>
      <c r="F1895" s="2"/>
      <c r="G1895" s="2"/>
      <c r="H1895" s="2"/>
      <c r="I1895" s="72"/>
      <c r="J1895" s="72"/>
      <c r="K1895" s="72"/>
      <c r="L1895" s="72"/>
      <c r="M1895" s="2"/>
      <c r="N1895" s="2"/>
      <c r="O1895" s="2"/>
      <c r="P1895" s="2"/>
      <c r="Q1895" s="2"/>
      <c r="R1895" s="2"/>
      <c r="S1895" s="2"/>
      <c r="T1895" s="2"/>
      <c r="U1895" s="2"/>
      <c r="V1895" s="2"/>
      <c r="W1895" s="2"/>
      <c r="X1895" s="2"/>
      <c r="Y1895" s="2"/>
      <c r="Z1895" s="2"/>
      <c r="AA1895" s="2"/>
      <c r="AB1895" s="2"/>
      <c r="AC1895" s="2"/>
      <c r="AD1895" s="2"/>
      <c r="AE1895" s="2"/>
      <c r="AF1895" s="2"/>
      <c r="AG1895" s="2"/>
      <c r="AH1895" s="2"/>
      <c r="AI1895" s="2"/>
      <c r="AJ1895" s="2" t="str">
        <f>IFERROR(__xludf.DUMMYFUNCTION("""COMPUTED_VALUE"""),"")</f>
        <v/>
      </c>
      <c r="AK1895" s="2" t="str">
        <f>IFERROR(__xludf.DUMMYFUNCTION("""COMPUTED_VALUE"""),"")</f>
        <v/>
      </c>
      <c r="AL1895" s="2" t="str">
        <f>IFERROR(__xludf.DUMMYFUNCTION("""COMPUTED_VALUE"""),"")</f>
        <v/>
      </c>
      <c r="AM1895" s="2" t="str">
        <f>IFERROR(__xludf.DUMMYFUNCTION("""COMPUTED_VALUE"""),"")</f>
        <v/>
      </c>
      <c r="AN1895" s="2" t="str">
        <f>IFERROR(__xludf.DUMMYFUNCTION("""COMPUTED_VALUE""")," ")</f>
        <v> </v>
      </c>
      <c r="AO1895" s="2" t="str">
        <f>IFERROR(__xludf.DUMMYFUNCTION("""COMPUTED_VALUE""")," ")</f>
        <v> </v>
      </c>
      <c r="AP1895" s="2" t="str">
        <f>IFERROR(__xludf.DUMMYFUNCTION("""COMPUTED_VALUE"""),"")</f>
        <v/>
      </c>
      <c r="AQ1895" s="2"/>
      <c r="AR1895" s="2"/>
      <c r="AS1895" s="2"/>
      <c r="AT1895" s="2"/>
      <c r="AU1895" s="2"/>
      <c r="AV1895" s="2"/>
      <c r="AW1895" s="2"/>
      <c r="AX1895" s="2"/>
      <c r="AY1895" s="2"/>
      <c r="AZ1895" s="2"/>
      <c r="BA1895" s="2"/>
      <c r="BB1895" s="2"/>
    </row>
    <row r="1896">
      <c r="A1896" s="2"/>
      <c r="B1896" s="2" t="str">
        <f>IFERROR(__xludf.DUMMYFUNCTION("""COMPUTED_VALUE"""),"")</f>
        <v/>
      </c>
      <c r="C1896" s="2"/>
      <c r="D1896" s="71"/>
      <c r="E1896" s="71" t="str">
        <f>IFERROR(__xludf.DUMMYFUNCTION("""COMPUTED_VALUE""")," ")</f>
        <v> </v>
      </c>
      <c r="F1896" s="2"/>
      <c r="G1896" s="2"/>
      <c r="H1896" s="2"/>
      <c r="I1896" s="72"/>
      <c r="J1896" s="72"/>
      <c r="K1896" s="72"/>
      <c r="L1896" s="72"/>
      <c r="M1896" s="2"/>
      <c r="N1896" s="2"/>
      <c r="O1896" s="2"/>
      <c r="P1896" s="2"/>
      <c r="Q1896" s="2"/>
      <c r="R1896" s="2"/>
      <c r="S1896" s="2"/>
      <c r="T1896" s="2"/>
      <c r="U1896" s="2"/>
      <c r="V1896" s="2"/>
      <c r="W1896" s="2"/>
      <c r="X1896" s="2"/>
      <c r="Y1896" s="2"/>
      <c r="Z1896" s="2"/>
      <c r="AA1896" s="2"/>
      <c r="AB1896" s="2"/>
      <c r="AC1896" s="2"/>
      <c r="AD1896" s="2"/>
      <c r="AE1896" s="2"/>
      <c r="AF1896" s="2"/>
      <c r="AG1896" s="2"/>
      <c r="AH1896" s="2"/>
      <c r="AI1896" s="2"/>
      <c r="AJ1896" s="2" t="str">
        <f>IFERROR(__xludf.DUMMYFUNCTION("""COMPUTED_VALUE"""),"")</f>
        <v/>
      </c>
      <c r="AK1896" s="2" t="str">
        <f>IFERROR(__xludf.DUMMYFUNCTION("""COMPUTED_VALUE"""),"")</f>
        <v/>
      </c>
      <c r="AL1896" s="2" t="str">
        <f>IFERROR(__xludf.DUMMYFUNCTION("""COMPUTED_VALUE"""),"")</f>
        <v/>
      </c>
      <c r="AM1896" s="2" t="str">
        <f>IFERROR(__xludf.DUMMYFUNCTION("""COMPUTED_VALUE"""),"")</f>
        <v/>
      </c>
      <c r="AN1896" s="2" t="str">
        <f>IFERROR(__xludf.DUMMYFUNCTION("""COMPUTED_VALUE""")," ")</f>
        <v> </v>
      </c>
      <c r="AO1896" s="2" t="str">
        <f>IFERROR(__xludf.DUMMYFUNCTION("""COMPUTED_VALUE""")," ")</f>
        <v> </v>
      </c>
      <c r="AP1896" s="2" t="str">
        <f>IFERROR(__xludf.DUMMYFUNCTION("""COMPUTED_VALUE"""),"")</f>
        <v/>
      </c>
      <c r="AQ1896" s="2"/>
      <c r="AR1896" s="2"/>
      <c r="AS1896" s="2"/>
      <c r="AT1896" s="2"/>
      <c r="AU1896" s="2"/>
      <c r="AV1896" s="2"/>
      <c r="AW1896" s="2"/>
      <c r="AX1896" s="2"/>
      <c r="AY1896" s="2"/>
      <c r="AZ1896" s="2"/>
      <c r="BA1896" s="2"/>
      <c r="BB1896" s="2"/>
    </row>
    <row r="1897">
      <c r="A1897" s="2"/>
      <c r="B1897" s="2" t="str">
        <f>IFERROR(__xludf.DUMMYFUNCTION("""COMPUTED_VALUE"""),"")</f>
        <v/>
      </c>
      <c r="C1897" s="2"/>
      <c r="D1897" s="71"/>
      <c r="E1897" s="71" t="str">
        <f>IFERROR(__xludf.DUMMYFUNCTION("""COMPUTED_VALUE""")," ")</f>
        <v> </v>
      </c>
      <c r="F1897" s="2"/>
      <c r="G1897" s="2"/>
      <c r="H1897" s="2"/>
      <c r="I1897" s="72"/>
      <c r="J1897" s="72"/>
      <c r="K1897" s="72"/>
      <c r="L1897" s="72"/>
      <c r="M1897" s="2"/>
      <c r="N1897" s="2"/>
      <c r="O1897" s="2"/>
      <c r="P1897" s="2"/>
      <c r="Q1897" s="2"/>
      <c r="R1897" s="2"/>
      <c r="S1897" s="2"/>
      <c r="T1897" s="2"/>
      <c r="U1897" s="2"/>
      <c r="V1897" s="2"/>
      <c r="W1897" s="2"/>
      <c r="X1897" s="2"/>
      <c r="Y1897" s="2"/>
      <c r="Z1897" s="2"/>
      <c r="AA1897" s="2"/>
      <c r="AB1897" s="2"/>
      <c r="AC1897" s="2"/>
      <c r="AD1897" s="2"/>
      <c r="AE1897" s="2"/>
      <c r="AF1897" s="2"/>
      <c r="AG1897" s="2"/>
      <c r="AH1897" s="2"/>
      <c r="AI1897" s="2"/>
      <c r="AJ1897" s="2" t="str">
        <f>IFERROR(__xludf.DUMMYFUNCTION("""COMPUTED_VALUE"""),"")</f>
        <v/>
      </c>
      <c r="AK1897" s="2" t="str">
        <f>IFERROR(__xludf.DUMMYFUNCTION("""COMPUTED_VALUE"""),"")</f>
        <v/>
      </c>
      <c r="AL1897" s="2" t="str">
        <f>IFERROR(__xludf.DUMMYFUNCTION("""COMPUTED_VALUE"""),"")</f>
        <v/>
      </c>
      <c r="AM1897" s="2" t="str">
        <f>IFERROR(__xludf.DUMMYFUNCTION("""COMPUTED_VALUE"""),"")</f>
        <v/>
      </c>
      <c r="AN1897" s="2" t="str">
        <f>IFERROR(__xludf.DUMMYFUNCTION("""COMPUTED_VALUE""")," ")</f>
        <v> </v>
      </c>
      <c r="AO1897" s="2" t="str">
        <f>IFERROR(__xludf.DUMMYFUNCTION("""COMPUTED_VALUE""")," ")</f>
        <v> </v>
      </c>
      <c r="AP1897" s="2" t="str">
        <f>IFERROR(__xludf.DUMMYFUNCTION("""COMPUTED_VALUE"""),"")</f>
        <v/>
      </c>
      <c r="AQ1897" s="2"/>
      <c r="AR1897" s="2"/>
      <c r="AS1897" s="2"/>
      <c r="AT1897" s="2"/>
      <c r="AU1897" s="2"/>
      <c r="AV1897" s="2"/>
      <c r="AW1897" s="2"/>
      <c r="AX1897" s="2"/>
      <c r="AY1897" s="2"/>
      <c r="AZ1897" s="2"/>
      <c r="BA1897" s="2"/>
      <c r="BB1897" s="2"/>
    </row>
    <row r="1898">
      <c r="A1898" s="2"/>
      <c r="B1898" s="2" t="str">
        <f>IFERROR(__xludf.DUMMYFUNCTION("""COMPUTED_VALUE"""),"")</f>
        <v/>
      </c>
      <c r="C1898" s="2"/>
      <c r="D1898" s="71"/>
      <c r="E1898" s="71" t="str">
        <f>IFERROR(__xludf.DUMMYFUNCTION("""COMPUTED_VALUE""")," ")</f>
        <v> </v>
      </c>
      <c r="F1898" s="2"/>
      <c r="G1898" s="2"/>
      <c r="H1898" s="2"/>
      <c r="I1898" s="72"/>
      <c r="J1898" s="72"/>
      <c r="K1898" s="72"/>
      <c r="L1898" s="72"/>
      <c r="M1898" s="2"/>
      <c r="N1898" s="2"/>
      <c r="O1898" s="2"/>
      <c r="P1898" s="2"/>
      <c r="Q1898" s="2"/>
      <c r="R1898" s="2"/>
      <c r="S1898" s="2"/>
      <c r="T1898" s="2"/>
      <c r="U1898" s="2"/>
      <c r="V1898" s="2"/>
      <c r="W1898" s="2"/>
      <c r="X1898" s="2"/>
      <c r="Y1898" s="2"/>
      <c r="Z1898" s="2"/>
      <c r="AA1898" s="2"/>
      <c r="AB1898" s="2"/>
      <c r="AC1898" s="2"/>
      <c r="AD1898" s="2"/>
      <c r="AE1898" s="2"/>
      <c r="AF1898" s="2"/>
      <c r="AG1898" s="2"/>
      <c r="AH1898" s="2"/>
      <c r="AI1898" s="2"/>
      <c r="AJ1898" s="2" t="str">
        <f>IFERROR(__xludf.DUMMYFUNCTION("""COMPUTED_VALUE"""),"")</f>
        <v/>
      </c>
      <c r="AK1898" s="2" t="str">
        <f>IFERROR(__xludf.DUMMYFUNCTION("""COMPUTED_VALUE"""),"")</f>
        <v/>
      </c>
      <c r="AL1898" s="2" t="str">
        <f>IFERROR(__xludf.DUMMYFUNCTION("""COMPUTED_VALUE"""),"")</f>
        <v/>
      </c>
      <c r="AM1898" s="2" t="str">
        <f>IFERROR(__xludf.DUMMYFUNCTION("""COMPUTED_VALUE"""),"")</f>
        <v/>
      </c>
      <c r="AN1898" s="2" t="str">
        <f>IFERROR(__xludf.DUMMYFUNCTION("""COMPUTED_VALUE""")," ")</f>
        <v> </v>
      </c>
      <c r="AO1898" s="2" t="str">
        <f>IFERROR(__xludf.DUMMYFUNCTION("""COMPUTED_VALUE""")," ")</f>
        <v> </v>
      </c>
      <c r="AP1898" s="2" t="str">
        <f>IFERROR(__xludf.DUMMYFUNCTION("""COMPUTED_VALUE"""),"")</f>
        <v/>
      </c>
      <c r="AQ1898" s="2"/>
      <c r="AR1898" s="2"/>
      <c r="AS1898" s="2"/>
      <c r="AT1898" s="2"/>
      <c r="AU1898" s="2"/>
      <c r="AV1898" s="2"/>
      <c r="AW1898" s="2"/>
      <c r="AX1898" s="2"/>
      <c r="AY1898" s="2"/>
      <c r="AZ1898" s="2"/>
      <c r="BA1898" s="2"/>
      <c r="BB1898" s="2"/>
    </row>
    <row r="1899">
      <c r="A1899" s="2"/>
      <c r="B1899" s="2" t="str">
        <f>IFERROR(__xludf.DUMMYFUNCTION("""COMPUTED_VALUE"""),"")</f>
        <v/>
      </c>
      <c r="C1899" s="2"/>
      <c r="D1899" s="71"/>
      <c r="E1899" s="71" t="str">
        <f>IFERROR(__xludf.DUMMYFUNCTION("""COMPUTED_VALUE""")," ")</f>
        <v> </v>
      </c>
      <c r="F1899" s="2"/>
      <c r="G1899" s="2"/>
      <c r="H1899" s="2"/>
      <c r="I1899" s="72"/>
      <c r="J1899" s="72"/>
      <c r="K1899" s="72"/>
      <c r="L1899" s="72"/>
      <c r="M1899" s="2"/>
      <c r="N1899" s="2"/>
      <c r="O1899" s="2"/>
      <c r="P1899" s="2"/>
      <c r="Q1899" s="2"/>
      <c r="R1899" s="2"/>
      <c r="S1899" s="2"/>
      <c r="T1899" s="2"/>
      <c r="U1899" s="2"/>
      <c r="V1899" s="2"/>
      <c r="W1899" s="2"/>
      <c r="X1899" s="2"/>
      <c r="Y1899" s="2"/>
      <c r="Z1899" s="2"/>
      <c r="AA1899" s="2"/>
      <c r="AB1899" s="2"/>
      <c r="AC1899" s="2"/>
      <c r="AD1899" s="2"/>
      <c r="AE1899" s="2"/>
      <c r="AF1899" s="2"/>
      <c r="AG1899" s="2"/>
      <c r="AH1899" s="2"/>
      <c r="AI1899" s="2"/>
      <c r="AJ1899" s="2" t="str">
        <f>IFERROR(__xludf.DUMMYFUNCTION("""COMPUTED_VALUE"""),"")</f>
        <v/>
      </c>
      <c r="AK1899" s="2" t="str">
        <f>IFERROR(__xludf.DUMMYFUNCTION("""COMPUTED_VALUE"""),"")</f>
        <v/>
      </c>
      <c r="AL1899" s="2" t="str">
        <f>IFERROR(__xludf.DUMMYFUNCTION("""COMPUTED_VALUE"""),"")</f>
        <v/>
      </c>
      <c r="AM1899" s="2" t="str">
        <f>IFERROR(__xludf.DUMMYFUNCTION("""COMPUTED_VALUE"""),"")</f>
        <v/>
      </c>
      <c r="AN1899" s="2" t="str">
        <f>IFERROR(__xludf.DUMMYFUNCTION("""COMPUTED_VALUE""")," ")</f>
        <v> </v>
      </c>
      <c r="AO1899" s="2" t="str">
        <f>IFERROR(__xludf.DUMMYFUNCTION("""COMPUTED_VALUE""")," ")</f>
        <v> </v>
      </c>
      <c r="AP1899" s="2" t="str">
        <f>IFERROR(__xludf.DUMMYFUNCTION("""COMPUTED_VALUE"""),"")</f>
        <v/>
      </c>
      <c r="AQ1899" s="2"/>
      <c r="AR1899" s="2"/>
      <c r="AS1899" s="2"/>
      <c r="AT1899" s="2"/>
      <c r="AU1899" s="2"/>
      <c r="AV1899" s="2"/>
      <c r="AW1899" s="2"/>
      <c r="AX1899" s="2"/>
      <c r="AY1899" s="2"/>
      <c r="AZ1899" s="2"/>
      <c r="BA1899" s="2"/>
      <c r="BB1899" s="2"/>
    </row>
    <row r="1900">
      <c r="A1900" s="2"/>
      <c r="B1900" s="2" t="str">
        <f>IFERROR(__xludf.DUMMYFUNCTION("""COMPUTED_VALUE"""),"")</f>
        <v/>
      </c>
      <c r="C1900" s="2"/>
      <c r="D1900" s="71"/>
      <c r="E1900" s="71" t="str">
        <f>IFERROR(__xludf.DUMMYFUNCTION("""COMPUTED_VALUE""")," ")</f>
        <v> </v>
      </c>
      <c r="F1900" s="2"/>
      <c r="G1900" s="2"/>
      <c r="H1900" s="2"/>
      <c r="I1900" s="72"/>
      <c r="J1900" s="72"/>
      <c r="K1900" s="72"/>
      <c r="L1900" s="72"/>
      <c r="M1900" s="2"/>
      <c r="N1900" s="2"/>
      <c r="O1900" s="2"/>
      <c r="P1900" s="2"/>
      <c r="Q1900" s="2"/>
      <c r="R1900" s="2"/>
      <c r="S1900" s="2"/>
      <c r="T1900" s="2"/>
      <c r="U1900" s="2"/>
      <c r="V1900" s="2"/>
      <c r="W1900" s="2"/>
      <c r="X1900" s="2"/>
      <c r="Y1900" s="2"/>
      <c r="Z1900" s="2"/>
      <c r="AA1900" s="2"/>
      <c r="AB1900" s="2"/>
      <c r="AC1900" s="2"/>
      <c r="AD1900" s="2"/>
      <c r="AE1900" s="2"/>
      <c r="AF1900" s="2"/>
      <c r="AG1900" s="2"/>
      <c r="AH1900" s="2"/>
      <c r="AI1900" s="2"/>
      <c r="AJ1900" s="2" t="str">
        <f>IFERROR(__xludf.DUMMYFUNCTION("""COMPUTED_VALUE"""),"")</f>
        <v/>
      </c>
      <c r="AK1900" s="2" t="str">
        <f>IFERROR(__xludf.DUMMYFUNCTION("""COMPUTED_VALUE"""),"")</f>
        <v/>
      </c>
      <c r="AL1900" s="2" t="str">
        <f>IFERROR(__xludf.DUMMYFUNCTION("""COMPUTED_VALUE"""),"")</f>
        <v/>
      </c>
      <c r="AM1900" s="2" t="str">
        <f>IFERROR(__xludf.DUMMYFUNCTION("""COMPUTED_VALUE"""),"")</f>
        <v/>
      </c>
      <c r="AN1900" s="2" t="str">
        <f>IFERROR(__xludf.DUMMYFUNCTION("""COMPUTED_VALUE""")," ")</f>
        <v> </v>
      </c>
      <c r="AO1900" s="2" t="str">
        <f>IFERROR(__xludf.DUMMYFUNCTION("""COMPUTED_VALUE""")," ")</f>
        <v> </v>
      </c>
      <c r="AP1900" s="2" t="str">
        <f>IFERROR(__xludf.DUMMYFUNCTION("""COMPUTED_VALUE"""),"")</f>
        <v/>
      </c>
      <c r="AQ1900" s="2"/>
      <c r="AR1900" s="2"/>
      <c r="AS1900" s="2"/>
      <c r="AT1900" s="2"/>
      <c r="AU1900" s="2"/>
      <c r="AV1900" s="2"/>
      <c r="AW1900" s="2"/>
      <c r="AX1900" s="2"/>
      <c r="AY1900" s="2"/>
      <c r="AZ1900" s="2"/>
      <c r="BA1900" s="2"/>
      <c r="BB1900" s="2"/>
    </row>
    <row r="1901">
      <c r="A1901" s="2"/>
      <c r="B1901" s="2" t="str">
        <f>IFERROR(__xludf.DUMMYFUNCTION("""COMPUTED_VALUE"""),"")</f>
        <v/>
      </c>
      <c r="C1901" s="2"/>
      <c r="D1901" s="71"/>
      <c r="E1901" s="71" t="str">
        <f>IFERROR(__xludf.DUMMYFUNCTION("""COMPUTED_VALUE""")," ")</f>
        <v> </v>
      </c>
      <c r="F1901" s="2"/>
      <c r="G1901" s="2"/>
      <c r="H1901" s="2"/>
      <c r="I1901" s="72"/>
      <c r="J1901" s="72"/>
      <c r="K1901" s="72"/>
      <c r="L1901" s="72"/>
      <c r="M1901" s="2"/>
      <c r="N1901" s="2"/>
      <c r="O1901" s="2"/>
      <c r="P1901" s="2"/>
      <c r="Q1901" s="2"/>
      <c r="R1901" s="2"/>
      <c r="S1901" s="2"/>
      <c r="T1901" s="2"/>
      <c r="U1901" s="2"/>
      <c r="V1901" s="2"/>
      <c r="W1901" s="2"/>
      <c r="X1901" s="2"/>
      <c r="Y1901" s="2"/>
      <c r="Z1901" s="2"/>
      <c r="AA1901" s="2"/>
      <c r="AB1901" s="2"/>
      <c r="AC1901" s="2"/>
      <c r="AD1901" s="2"/>
      <c r="AE1901" s="2"/>
      <c r="AF1901" s="2"/>
      <c r="AG1901" s="2"/>
      <c r="AH1901" s="2"/>
      <c r="AI1901" s="2"/>
      <c r="AJ1901" s="2" t="str">
        <f>IFERROR(__xludf.DUMMYFUNCTION("""COMPUTED_VALUE"""),"")</f>
        <v/>
      </c>
      <c r="AK1901" s="2" t="str">
        <f>IFERROR(__xludf.DUMMYFUNCTION("""COMPUTED_VALUE"""),"")</f>
        <v/>
      </c>
      <c r="AL1901" s="2" t="str">
        <f>IFERROR(__xludf.DUMMYFUNCTION("""COMPUTED_VALUE"""),"")</f>
        <v/>
      </c>
      <c r="AM1901" s="2" t="str">
        <f>IFERROR(__xludf.DUMMYFUNCTION("""COMPUTED_VALUE"""),"")</f>
        <v/>
      </c>
      <c r="AN1901" s="2" t="str">
        <f>IFERROR(__xludf.DUMMYFUNCTION("""COMPUTED_VALUE""")," ")</f>
        <v> </v>
      </c>
      <c r="AO1901" s="2" t="str">
        <f>IFERROR(__xludf.DUMMYFUNCTION("""COMPUTED_VALUE""")," ")</f>
        <v> </v>
      </c>
      <c r="AP1901" s="2" t="str">
        <f>IFERROR(__xludf.DUMMYFUNCTION("""COMPUTED_VALUE"""),"")</f>
        <v/>
      </c>
      <c r="AQ1901" s="2"/>
      <c r="AR1901" s="2"/>
      <c r="AS1901" s="2"/>
      <c r="AT1901" s="2"/>
      <c r="AU1901" s="2"/>
      <c r="AV1901" s="2"/>
      <c r="AW1901" s="2"/>
      <c r="AX1901" s="2"/>
      <c r="AY1901" s="2"/>
      <c r="AZ1901" s="2"/>
      <c r="BA1901" s="2"/>
      <c r="BB1901" s="2"/>
    </row>
    <row r="1902">
      <c r="A1902" s="2"/>
      <c r="B1902" s="2" t="str">
        <f>IFERROR(__xludf.DUMMYFUNCTION("""COMPUTED_VALUE"""),"")</f>
        <v/>
      </c>
      <c r="C1902" s="2"/>
      <c r="D1902" s="71"/>
      <c r="E1902" s="71" t="str">
        <f>IFERROR(__xludf.DUMMYFUNCTION("""COMPUTED_VALUE""")," ")</f>
        <v> </v>
      </c>
      <c r="F1902" s="2"/>
      <c r="G1902" s="2"/>
      <c r="H1902" s="2"/>
      <c r="I1902" s="72"/>
      <c r="J1902" s="72"/>
      <c r="K1902" s="72"/>
      <c r="L1902" s="72"/>
      <c r="M1902" s="2"/>
      <c r="N1902" s="2"/>
      <c r="O1902" s="2"/>
      <c r="P1902" s="2"/>
      <c r="Q1902" s="2"/>
      <c r="R1902" s="2"/>
      <c r="S1902" s="2"/>
      <c r="T1902" s="2"/>
      <c r="U1902" s="2"/>
      <c r="V1902" s="2"/>
      <c r="W1902" s="2"/>
      <c r="X1902" s="2"/>
      <c r="Y1902" s="2"/>
      <c r="Z1902" s="2"/>
      <c r="AA1902" s="2"/>
      <c r="AB1902" s="2"/>
      <c r="AC1902" s="2"/>
      <c r="AD1902" s="2"/>
      <c r="AE1902" s="2"/>
      <c r="AF1902" s="2"/>
      <c r="AG1902" s="2"/>
      <c r="AH1902" s="2"/>
      <c r="AI1902" s="2"/>
      <c r="AJ1902" s="2" t="str">
        <f>IFERROR(__xludf.DUMMYFUNCTION("""COMPUTED_VALUE"""),"")</f>
        <v/>
      </c>
      <c r="AK1902" s="2" t="str">
        <f>IFERROR(__xludf.DUMMYFUNCTION("""COMPUTED_VALUE"""),"")</f>
        <v/>
      </c>
      <c r="AL1902" s="2" t="str">
        <f>IFERROR(__xludf.DUMMYFUNCTION("""COMPUTED_VALUE"""),"")</f>
        <v/>
      </c>
      <c r="AM1902" s="2" t="str">
        <f>IFERROR(__xludf.DUMMYFUNCTION("""COMPUTED_VALUE"""),"")</f>
        <v/>
      </c>
      <c r="AN1902" s="2" t="str">
        <f>IFERROR(__xludf.DUMMYFUNCTION("""COMPUTED_VALUE""")," ")</f>
        <v> </v>
      </c>
      <c r="AO1902" s="2" t="str">
        <f>IFERROR(__xludf.DUMMYFUNCTION("""COMPUTED_VALUE""")," ")</f>
        <v> </v>
      </c>
      <c r="AP1902" s="2" t="str">
        <f>IFERROR(__xludf.DUMMYFUNCTION("""COMPUTED_VALUE"""),"")</f>
        <v/>
      </c>
      <c r="AQ1902" s="2"/>
      <c r="AR1902" s="2"/>
      <c r="AS1902" s="2"/>
      <c r="AT1902" s="2"/>
      <c r="AU1902" s="2"/>
      <c r="AV1902" s="2"/>
      <c r="AW1902" s="2"/>
      <c r="AX1902" s="2"/>
      <c r="AY1902" s="2"/>
      <c r="AZ1902" s="2"/>
      <c r="BA1902" s="2"/>
      <c r="BB1902" s="2"/>
    </row>
    <row r="1903">
      <c r="A1903" s="2"/>
      <c r="B1903" s="2" t="str">
        <f>IFERROR(__xludf.DUMMYFUNCTION("""COMPUTED_VALUE"""),"")</f>
        <v/>
      </c>
      <c r="C1903" s="2"/>
      <c r="D1903" s="71"/>
      <c r="E1903" s="71" t="str">
        <f>IFERROR(__xludf.DUMMYFUNCTION("""COMPUTED_VALUE""")," ")</f>
        <v> </v>
      </c>
      <c r="F1903" s="2"/>
      <c r="G1903" s="2"/>
      <c r="H1903" s="2"/>
      <c r="I1903" s="72"/>
      <c r="J1903" s="72"/>
      <c r="K1903" s="72"/>
      <c r="L1903" s="72"/>
      <c r="M1903" s="2"/>
      <c r="N1903" s="2"/>
      <c r="O1903" s="2"/>
      <c r="P1903" s="2"/>
      <c r="Q1903" s="2"/>
      <c r="R1903" s="2"/>
      <c r="S1903" s="2"/>
      <c r="T1903" s="2"/>
      <c r="U1903" s="2"/>
      <c r="V1903" s="2"/>
      <c r="W1903" s="2"/>
      <c r="X1903" s="2"/>
      <c r="Y1903" s="2"/>
      <c r="Z1903" s="2"/>
      <c r="AA1903" s="2"/>
      <c r="AB1903" s="2"/>
      <c r="AC1903" s="2"/>
      <c r="AD1903" s="2"/>
      <c r="AE1903" s="2"/>
      <c r="AF1903" s="2"/>
      <c r="AG1903" s="2"/>
      <c r="AH1903" s="2"/>
      <c r="AI1903" s="2"/>
      <c r="AJ1903" s="2" t="str">
        <f>IFERROR(__xludf.DUMMYFUNCTION("""COMPUTED_VALUE"""),"")</f>
        <v/>
      </c>
      <c r="AK1903" s="2" t="str">
        <f>IFERROR(__xludf.DUMMYFUNCTION("""COMPUTED_VALUE"""),"")</f>
        <v/>
      </c>
      <c r="AL1903" s="2" t="str">
        <f>IFERROR(__xludf.DUMMYFUNCTION("""COMPUTED_VALUE"""),"")</f>
        <v/>
      </c>
      <c r="AM1903" s="2" t="str">
        <f>IFERROR(__xludf.DUMMYFUNCTION("""COMPUTED_VALUE"""),"")</f>
        <v/>
      </c>
      <c r="AN1903" s="2" t="str">
        <f>IFERROR(__xludf.DUMMYFUNCTION("""COMPUTED_VALUE""")," ")</f>
        <v> </v>
      </c>
      <c r="AO1903" s="2" t="str">
        <f>IFERROR(__xludf.DUMMYFUNCTION("""COMPUTED_VALUE""")," ")</f>
        <v> </v>
      </c>
      <c r="AP1903" s="2" t="str">
        <f>IFERROR(__xludf.DUMMYFUNCTION("""COMPUTED_VALUE"""),"")</f>
        <v/>
      </c>
      <c r="AQ1903" s="2"/>
      <c r="AR1903" s="2"/>
      <c r="AS1903" s="2"/>
      <c r="AT1903" s="2"/>
      <c r="AU1903" s="2"/>
      <c r="AV1903" s="2"/>
      <c r="AW1903" s="2"/>
      <c r="AX1903" s="2"/>
      <c r="AY1903" s="2"/>
      <c r="AZ1903" s="2"/>
      <c r="BA1903" s="2"/>
      <c r="BB1903" s="2"/>
    </row>
    <row r="1904">
      <c r="A1904" s="2"/>
      <c r="B1904" s="2" t="str">
        <f>IFERROR(__xludf.DUMMYFUNCTION("""COMPUTED_VALUE"""),"")</f>
        <v/>
      </c>
      <c r="C1904" s="2"/>
      <c r="D1904" s="71"/>
      <c r="E1904" s="71" t="str">
        <f>IFERROR(__xludf.DUMMYFUNCTION("""COMPUTED_VALUE""")," ")</f>
        <v> </v>
      </c>
      <c r="F1904" s="2"/>
      <c r="G1904" s="2"/>
      <c r="H1904" s="2"/>
      <c r="I1904" s="72"/>
      <c r="J1904" s="72"/>
      <c r="K1904" s="72"/>
      <c r="L1904" s="72"/>
      <c r="M1904" s="2"/>
      <c r="N1904" s="2"/>
      <c r="O1904" s="2"/>
      <c r="P1904" s="2"/>
      <c r="Q1904" s="2"/>
      <c r="R1904" s="2"/>
      <c r="S1904" s="2"/>
      <c r="T1904" s="2"/>
      <c r="U1904" s="2"/>
      <c r="V1904" s="2"/>
      <c r="W1904" s="2"/>
      <c r="X1904" s="2"/>
      <c r="Y1904" s="2"/>
      <c r="Z1904" s="2"/>
      <c r="AA1904" s="2"/>
      <c r="AB1904" s="2"/>
      <c r="AC1904" s="2"/>
      <c r="AD1904" s="2"/>
      <c r="AE1904" s="2"/>
      <c r="AF1904" s="2"/>
      <c r="AG1904" s="2"/>
      <c r="AH1904" s="2"/>
      <c r="AI1904" s="2"/>
      <c r="AJ1904" s="2" t="str">
        <f>IFERROR(__xludf.DUMMYFUNCTION("""COMPUTED_VALUE"""),"")</f>
        <v/>
      </c>
      <c r="AK1904" s="2" t="str">
        <f>IFERROR(__xludf.DUMMYFUNCTION("""COMPUTED_VALUE"""),"")</f>
        <v/>
      </c>
      <c r="AL1904" s="2" t="str">
        <f>IFERROR(__xludf.DUMMYFUNCTION("""COMPUTED_VALUE"""),"")</f>
        <v/>
      </c>
      <c r="AM1904" s="2" t="str">
        <f>IFERROR(__xludf.DUMMYFUNCTION("""COMPUTED_VALUE"""),"")</f>
        <v/>
      </c>
      <c r="AN1904" s="2" t="str">
        <f>IFERROR(__xludf.DUMMYFUNCTION("""COMPUTED_VALUE""")," ")</f>
        <v> </v>
      </c>
      <c r="AO1904" s="2" t="str">
        <f>IFERROR(__xludf.DUMMYFUNCTION("""COMPUTED_VALUE""")," ")</f>
        <v> </v>
      </c>
      <c r="AP1904" s="2" t="str">
        <f>IFERROR(__xludf.DUMMYFUNCTION("""COMPUTED_VALUE"""),"")</f>
        <v/>
      </c>
      <c r="AQ1904" s="2"/>
      <c r="AR1904" s="2"/>
      <c r="AS1904" s="2"/>
      <c r="AT1904" s="2"/>
      <c r="AU1904" s="2"/>
      <c r="AV1904" s="2"/>
      <c r="AW1904" s="2"/>
      <c r="AX1904" s="2"/>
      <c r="AY1904" s="2"/>
      <c r="AZ1904" s="2"/>
      <c r="BA1904" s="2"/>
      <c r="BB1904" s="2"/>
    </row>
    <row r="1905">
      <c r="A1905" s="2"/>
      <c r="B1905" s="2" t="str">
        <f>IFERROR(__xludf.DUMMYFUNCTION("""COMPUTED_VALUE"""),"")</f>
        <v/>
      </c>
      <c r="C1905" s="2"/>
      <c r="D1905" s="71"/>
      <c r="E1905" s="71" t="str">
        <f>IFERROR(__xludf.DUMMYFUNCTION("""COMPUTED_VALUE""")," ")</f>
        <v> </v>
      </c>
      <c r="F1905" s="2"/>
      <c r="G1905" s="2"/>
      <c r="H1905" s="2"/>
      <c r="I1905" s="72"/>
      <c r="J1905" s="72"/>
      <c r="K1905" s="72"/>
      <c r="L1905" s="72"/>
      <c r="M1905" s="2"/>
      <c r="N1905" s="2"/>
      <c r="O1905" s="2"/>
      <c r="P1905" s="2"/>
      <c r="Q1905" s="2"/>
      <c r="R1905" s="2"/>
      <c r="S1905" s="2"/>
      <c r="T1905" s="2"/>
      <c r="U1905" s="2"/>
      <c r="V1905" s="2"/>
      <c r="W1905" s="2"/>
      <c r="X1905" s="2"/>
      <c r="Y1905" s="2"/>
      <c r="Z1905" s="2"/>
      <c r="AA1905" s="2"/>
      <c r="AB1905" s="2"/>
      <c r="AC1905" s="2"/>
      <c r="AD1905" s="2"/>
      <c r="AE1905" s="2"/>
      <c r="AF1905" s="2"/>
      <c r="AG1905" s="2"/>
      <c r="AH1905" s="2"/>
      <c r="AI1905" s="2"/>
      <c r="AJ1905" s="2" t="str">
        <f>IFERROR(__xludf.DUMMYFUNCTION("""COMPUTED_VALUE"""),"")</f>
        <v/>
      </c>
      <c r="AK1905" s="2" t="str">
        <f>IFERROR(__xludf.DUMMYFUNCTION("""COMPUTED_VALUE"""),"")</f>
        <v/>
      </c>
      <c r="AL1905" s="2" t="str">
        <f>IFERROR(__xludf.DUMMYFUNCTION("""COMPUTED_VALUE"""),"")</f>
        <v/>
      </c>
      <c r="AM1905" s="2" t="str">
        <f>IFERROR(__xludf.DUMMYFUNCTION("""COMPUTED_VALUE"""),"")</f>
        <v/>
      </c>
      <c r="AN1905" s="2" t="str">
        <f>IFERROR(__xludf.DUMMYFUNCTION("""COMPUTED_VALUE""")," ")</f>
        <v> </v>
      </c>
      <c r="AO1905" s="2" t="str">
        <f>IFERROR(__xludf.DUMMYFUNCTION("""COMPUTED_VALUE""")," ")</f>
        <v> </v>
      </c>
      <c r="AP1905" s="2" t="str">
        <f>IFERROR(__xludf.DUMMYFUNCTION("""COMPUTED_VALUE"""),"")</f>
        <v/>
      </c>
      <c r="AQ1905" s="2"/>
      <c r="AR1905" s="2"/>
      <c r="AS1905" s="2"/>
      <c r="AT1905" s="2"/>
      <c r="AU1905" s="2"/>
      <c r="AV1905" s="2"/>
      <c r="AW1905" s="2"/>
      <c r="AX1905" s="2"/>
      <c r="AY1905" s="2"/>
      <c r="AZ1905" s="2"/>
      <c r="BA1905" s="2"/>
      <c r="BB1905" s="2"/>
    </row>
    <row r="1906">
      <c r="A1906" s="2"/>
      <c r="B1906" s="2"/>
      <c r="C1906" s="2"/>
      <c r="D1906" s="71"/>
      <c r="E1906" s="71"/>
      <c r="F1906" s="2"/>
      <c r="G1906" s="2"/>
      <c r="H1906" s="2"/>
      <c r="I1906" s="72"/>
      <c r="J1906" s="72"/>
      <c r="K1906" s="72"/>
      <c r="L1906" s="72"/>
      <c r="M1906" s="2"/>
      <c r="N1906" s="2"/>
      <c r="O1906" s="2"/>
      <c r="P1906" s="2"/>
      <c r="Q1906" s="2"/>
      <c r="R1906" s="2"/>
      <c r="S1906" s="2"/>
      <c r="T1906" s="2"/>
      <c r="U1906" s="2"/>
      <c r="V1906" s="2"/>
      <c r="W1906" s="2"/>
      <c r="X1906" s="2"/>
      <c r="Y1906" s="2"/>
      <c r="Z1906" s="2"/>
      <c r="AA1906" s="2"/>
      <c r="AB1906" s="2"/>
      <c r="AC1906" s="2"/>
      <c r="AD1906" s="2"/>
      <c r="AE1906" s="2"/>
      <c r="AF1906" s="2"/>
      <c r="AG1906" s="2"/>
      <c r="AH1906" s="2"/>
      <c r="AI1906" s="2"/>
      <c r="AJ1906" s="2"/>
      <c r="AK1906" s="2"/>
      <c r="AL1906" s="2"/>
      <c r="AM1906" s="2"/>
      <c r="AN1906" s="2"/>
      <c r="AO1906" s="2"/>
      <c r="AP1906" s="2"/>
      <c r="AQ1906" s="2"/>
      <c r="AR1906" s="2"/>
      <c r="AS1906" s="2"/>
      <c r="AT1906" s="2"/>
      <c r="AU1906" s="2"/>
      <c r="AV1906" s="2"/>
      <c r="AW1906" s="2"/>
      <c r="AX1906" s="2"/>
      <c r="AY1906" s="2"/>
      <c r="AZ1906" s="2"/>
      <c r="BA1906" s="2"/>
      <c r="BB1906" s="2"/>
    </row>
    <row r="1907">
      <c r="A1907" s="2"/>
      <c r="B1907" s="2" t="str">
        <f>IFERROR(__xludf.DUMMYFUNCTION("""COMPUTED_VALUE"""),"")</f>
        <v/>
      </c>
      <c r="C1907" s="2"/>
      <c r="D1907" s="71"/>
      <c r="E1907" s="71" t="str">
        <f>IFERROR(__xludf.DUMMYFUNCTION("""COMPUTED_VALUE""")," ")</f>
        <v> </v>
      </c>
      <c r="F1907" s="2"/>
      <c r="G1907" s="2"/>
      <c r="H1907" s="2"/>
      <c r="I1907" s="72"/>
      <c r="J1907" s="72"/>
      <c r="K1907" s="72"/>
      <c r="L1907" s="72"/>
      <c r="M1907" s="2"/>
      <c r="N1907" s="2"/>
      <c r="O1907" s="2"/>
      <c r="P1907" s="2"/>
      <c r="Q1907" s="2"/>
      <c r="R1907" s="2"/>
      <c r="S1907" s="2"/>
      <c r="T1907" s="2"/>
      <c r="U1907" s="2"/>
      <c r="V1907" s="2"/>
      <c r="W1907" s="2"/>
      <c r="X1907" s="2"/>
      <c r="Y1907" s="2"/>
      <c r="Z1907" s="2"/>
      <c r="AA1907" s="2"/>
      <c r="AB1907" s="2"/>
      <c r="AC1907" s="2"/>
      <c r="AD1907" s="2"/>
      <c r="AE1907" s="2"/>
      <c r="AF1907" s="2"/>
      <c r="AG1907" s="2"/>
      <c r="AH1907" s="2"/>
      <c r="AI1907" s="2"/>
      <c r="AJ1907" s="2" t="str">
        <f>IFERROR(__xludf.DUMMYFUNCTION("""COMPUTED_VALUE"""),"")</f>
        <v/>
      </c>
      <c r="AK1907" s="2" t="str">
        <f>IFERROR(__xludf.DUMMYFUNCTION("""COMPUTED_VALUE"""),"")</f>
        <v/>
      </c>
      <c r="AL1907" s="2" t="str">
        <f>IFERROR(__xludf.DUMMYFUNCTION("""COMPUTED_VALUE"""),"")</f>
        <v/>
      </c>
      <c r="AM1907" s="2" t="str">
        <f>IFERROR(__xludf.DUMMYFUNCTION("""COMPUTED_VALUE"""),"")</f>
        <v/>
      </c>
      <c r="AN1907" s="2" t="str">
        <f>IFERROR(__xludf.DUMMYFUNCTION("""COMPUTED_VALUE""")," ")</f>
        <v> </v>
      </c>
      <c r="AO1907" s="2" t="str">
        <f>IFERROR(__xludf.DUMMYFUNCTION("""COMPUTED_VALUE""")," ")</f>
        <v> </v>
      </c>
      <c r="AP1907" s="2" t="str">
        <f>IFERROR(__xludf.DUMMYFUNCTION("""COMPUTED_VALUE"""),"")</f>
        <v/>
      </c>
      <c r="AQ1907" s="2"/>
      <c r="AR1907" s="2"/>
      <c r="AS1907" s="2"/>
      <c r="AT1907" s="2"/>
      <c r="AU1907" s="2"/>
      <c r="AV1907" s="2"/>
      <c r="AW1907" s="2"/>
      <c r="AX1907" s="2"/>
      <c r="AY1907" s="2"/>
      <c r="AZ1907" s="2"/>
      <c r="BA1907" s="2"/>
      <c r="BB1907" s="2"/>
    </row>
    <row r="1908">
      <c r="A1908" s="2"/>
      <c r="B1908" s="2" t="str">
        <f>IFERROR(__xludf.DUMMYFUNCTION("""COMPUTED_VALUE"""),"")</f>
        <v/>
      </c>
      <c r="C1908" s="2"/>
      <c r="D1908" s="71"/>
      <c r="E1908" s="71" t="str">
        <f>IFERROR(__xludf.DUMMYFUNCTION("""COMPUTED_VALUE""")," ")</f>
        <v> </v>
      </c>
      <c r="F1908" s="2"/>
      <c r="G1908" s="2"/>
      <c r="H1908" s="2"/>
      <c r="I1908" s="72"/>
      <c r="J1908" s="72"/>
      <c r="K1908" s="72"/>
      <c r="L1908" s="72"/>
      <c r="M1908" s="2"/>
      <c r="N1908" s="2"/>
      <c r="O1908" s="2"/>
      <c r="P1908" s="2"/>
      <c r="Q1908" s="2"/>
      <c r="R1908" s="2"/>
      <c r="S1908" s="2"/>
      <c r="T1908" s="2"/>
      <c r="U1908" s="2"/>
      <c r="V1908" s="2"/>
      <c r="W1908" s="2"/>
      <c r="X1908" s="2"/>
      <c r="Y1908" s="2"/>
      <c r="Z1908" s="2"/>
      <c r="AA1908" s="2"/>
      <c r="AB1908" s="2"/>
      <c r="AC1908" s="2"/>
      <c r="AD1908" s="2"/>
      <c r="AE1908" s="2"/>
      <c r="AF1908" s="2"/>
      <c r="AG1908" s="2"/>
      <c r="AH1908" s="2"/>
      <c r="AI1908" s="2"/>
      <c r="AJ1908" s="2" t="str">
        <f>IFERROR(__xludf.DUMMYFUNCTION("""COMPUTED_VALUE"""),"")</f>
        <v/>
      </c>
      <c r="AK1908" s="2" t="str">
        <f>IFERROR(__xludf.DUMMYFUNCTION("""COMPUTED_VALUE"""),"")</f>
        <v/>
      </c>
      <c r="AL1908" s="2" t="str">
        <f>IFERROR(__xludf.DUMMYFUNCTION("""COMPUTED_VALUE"""),"")</f>
        <v/>
      </c>
      <c r="AM1908" s="2" t="str">
        <f>IFERROR(__xludf.DUMMYFUNCTION("""COMPUTED_VALUE"""),"")</f>
        <v/>
      </c>
      <c r="AN1908" s="2" t="str">
        <f>IFERROR(__xludf.DUMMYFUNCTION("""COMPUTED_VALUE""")," ")</f>
        <v> </v>
      </c>
      <c r="AO1908" s="2" t="str">
        <f>IFERROR(__xludf.DUMMYFUNCTION("""COMPUTED_VALUE""")," ")</f>
        <v> </v>
      </c>
      <c r="AP1908" s="2" t="str">
        <f>IFERROR(__xludf.DUMMYFUNCTION("""COMPUTED_VALUE"""),"")</f>
        <v/>
      </c>
      <c r="AQ1908" s="2"/>
      <c r="AR1908" s="2"/>
      <c r="AS1908" s="2"/>
      <c r="AT1908" s="2"/>
      <c r="AU1908" s="2"/>
      <c r="AV1908" s="2"/>
      <c r="AW1908" s="2"/>
      <c r="AX1908" s="2"/>
      <c r="AY1908" s="2"/>
      <c r="AZ1908" s="2"/>
      <c r="BA1908" s="2"/>
      <c r="BB1908" s="2"/>
    </row>
    <row r="1909">
      <c r="A1909" s="2"/>
      <c r="B1909" s="2" t="str">
        <f>IFERROR(__xludf.DUMMYFUNCTION("""COMPUTED_VALUE"""),"")</f>
        <v/>
      </c>
      <c r="C1909" s="2"/>
      <c r="D1909" s="71"/>
      <c r="E1909" s="71" t="str">
        <f>IFERROR(__xludf.DUMMYFUNCTION("""COMPUTED_VALUE""")," ")</f>
        <v> </v>
      </c>
      <c r="F1909" s="2"/>
      <c r="G1909" s="2"/>
      <c r="H1909" s="2"/>
      <c r="I1909" s="72"/>
      <c r="J1909" s="72"/>
      <c r="K1909" s="72"/>
      <c r="L1909" s="72"/>
      <c r="M1909" s="2"/>
      <c r="N1909" s="2"/>
      <c r="O1909" s="2"/>
      <c r="P1909" s="2"/>
      <c r="Q1909" s="2"/>
      <c r="R1909" s="2"/>
      <c r="S1909" s="2"/>
      <c r="T1909" s="2"/>
      <c r="U1909" s="2"/>
      <c r="V1909" s="2"/>
      <c r="W1909" s="2"/>
      <c r="X1909" s="2"/>
      <c r="Y1909" s="2"/>
      <c r="Z1909" s="2"/>
      <c r="AA1909" s="2"/>
      <c r="AB1909" s="2"/>
      <c r="AC1909" s="2"/>
      <c r="AD1909" s="2"/>
      <c r="AE1909" s="2"/>
      <c r="AF1909" s="2"/>
      <c r="AG1909" s="2"/>
      <c r="AH1909" s="2"/>
      <c r="AI1909" s="2"/>
      <c r="AJ1909" s="2" t="str">
        <f>IFERROR(__xludf.DUMMYFUNCTION("""COMPUTED_VALUE"""),"")</f>
        <v/>
      </c>
      <c r="AK1909" s="2" t="str">
        <f>IFERROR(__xludf.DUMMYFUNCTION("""COMPUTED_VALUE"""),"")</f>
        <v/>
      </c>
      <c r="AL1909" s="2" t="str">
        <f>IFERROR(__xludf.DUMMYFUNCTION("""COMPUTED_VALUE"""),"")</f>
        <v/>
      </c>
      <c r="AM1909" s="2" t="str">
        <f>IFERROR(__xludf.DUMMYFUNCTION("""COMPUTED_VALUE"""),"")</f>
        <v/>
      </c>
      <c r="AN1909" s="2" t="str">
        <f>IFERROR(__xludf.DUMMYFUNCTION("""COMPUTED_VALUE""")," ")</f>
        <v> </v>
      </c>
      <c r="AO1909" s="2" t="str">
        <f>IFERROR(__xludf.DUMMYFUNCTION("""COMPUTED_VALUE""")," ")</f>
        <v> </v>
      </c>
      <c r="AP1909" s="2" t="str">
        <f>IFERROR(__xludf.DUMMYFUNCTION("""COMPUTED_VALUE"""),"")</f>
        <v/>
      </c>
      <c r="AQ1909" s="2"/>
      <c r="AR1909" s="2"/>
      <c r="AS1909" s="2"/>
      <c r="AT1909" s="2"/>
      <c r="AU1909" s="2"/>
      <c r="AV1909" s="2"/>
      <c r="AW1909" s="2"/>
      <c r="AX1909" s="2"/>
      <c r="AY1909" s="2"/>
      <c r="AZ1909" s="2"/>
      <c r="BA1909" s="2"/>
      <c r="BB1909" s="2"/>
    </row>
    <row r="1910">
      <c r="A1910" s="2"/>
      <c r="B1910" s="2" t="str">
        <f>IFERROR(__xludf.DUMMYFUNCTION("""COMPUTED_VALUE"""),"")</f>
        <v/>
      </c>
      <c r="C1910" s="2"/>
      <c r="D1910" s="71"/>
      <c r="E1910" s="71" t="str">
        <f>IFERROR(__xludf.DUMMYFUNCTION("""COMPUTED_VALUE""")," ")</f>
        <v> </v>
      </c>
      <c r="F1910" s="2"/>
      <c r="G1910" s="2"/>
      <c r="H1910" s="2"/>
      <c r="I1910" s="72"/>
      <c r="J1910" s="72"/>
      <c r="K1910" s="72"/>
      <c r="L1910" s="72"/>
      <c r="M1910" s="2"/>
      <c r="N1910" s="2"/>
      <c r="O1910" s="2"/>
      <c r="P1910" s="2"/>
      <c r="Q1910" s="2"/>
      <c r="R1910" s="2"/>
      <c r="S1910" s="2"/>
      <c r="T1910" s="2"/>
      <c r="U1910" s="2"/>
      <c r="V1910" s="2"/>
      <c r="W1910" s="2"/>
      <c r="X1910" s="2"/>
      <c r="Y1910" s="2"/>
      <c r="Z1910" s="2"/>
      <c r="AA1910" s="2"/>
      <c r="AB1910" s="2"/>
      <c r="AC1910" s="2"/>
      <c r="AD1910" s="2"/>
      <c r="AE1910" s="2"/>
      <c r="AF1910" s="2"/>
      <c r="AG1910" s="2"/>
      <c r="AH1910" s="2"/>
      <c r="AI1910" s="2"/>
      <c r="AJ1910" s="2" t="str">
        <f>IFERROR(__xludf.DUMMYFUNCTION("""COMPUTED_VALUE"""),"")</f>
        <v/>
      </c>
      <c r="AK1910" s="2" t="str">
        <f>IFERROR(__xludf.DUMMYFUNCTION("""COMPUTED_VALUE"""),"")</f>
        <v/>
      </c>
      <c r="AL1910" s="2" t="str">
        <f>IFERROR(__xludf.DUMMYFUNCTION("""COMPUTED_VALUE"""),"")</f>
        <v/>
      </c>
      <c r="AM1910" s="2" t="str">
        <f>IFERROR(__xludf.DUMMYFUNCTION("""COMPUTED_VALUE"""),"")</f>
        <v/>
      </c>
      <c r="AN1910" s="2" t="str">
        <f>IFERROR(__xludf.DUMMYFUNCTION("""COMPUTED_VALUE""")," ")</f>
        <v> </v>
      </c>
      <c r="AO1910" s="2" t="str">
        <f>IFERROR(__xludf.DUMMYFUNCTION("""COMPUTED_VALUE""")," ")</f>
        <v> </v>
      </c>
      <c r="AP1910" s="2" t="str">
        <f>IFERROR(__xludf.DUMMYFUNCTION("""COMPUTED_VALUE"""),"")</f>
        <v/>
      </c>
      <c r="AQ1910" s="2"/>
      <c r="AR1910" s="2"/>
      <c r="AS1910" s="2"/>
      <c r="AT1910" s="2"/>
      <c r="AU1910" s="2"/>
      <c r="AV1910" s="2"/>
      <c r="AW1910" s="2"/>
      <c r="AX1910" s="2"/>
      <c r="AY1910" s="2"/>
      <c r="AZ1910" s="2"/>
      <c r="BA1910" s="2"/>
      <c r="BB1910" s="2"/>
    </row>
    <row r="1911">
      <c r="A1911" s="2"/>
      <c r="B1911" s="2" t="str">
        <f>IFERROR(__xludf.DUMMYFUNCTION("""COMPUTED_VALUE"""),"")</f>
        <v/>
      </c>
      <c r="C1911" s="2"/>
      <c r="D1911" s="71"/>
      <c r="E1911" s="71" t="str">
        <f>IFERROR(__xludf.DUMMYFUNCTION("""COMPUTED_VALUE""")," ")</f>
        <v> </v>
      </c>
      <c r="F1911" s="2"/>
      <c r="G1911" s="2"/>
      <c r="H1911" s="2"/>
      <c r="I1911" s="72"/>
      <c r="J1911" s="72"/>
      <c r="K1911" s="72"/>
      <c r="L1911" s="72"/>
      <c r="M1911" s="2"/>
      <c r="N1911" s="2"/>
      <c r="O1911" s="2"/>
      <c r="P1911" s="2"/>
      <c r="Q1911" s="2"/>
      <c r="R1911" s="2"/>
      <c r="S1911" s="2"/>
      <c r="T1911" s="2"/>
      <c r="U1911" s="2"/>
      <c r="V1911" s="2"/>
      <c r="W1911" s="2"/>
      <c r="X1911" s="2"/>
      <c r="Y1911" s="2"/>
      <c r="Z1911" s="2"/>
      <c r="AA1911" s="2"/>
      <c r="AB1911" s="2"/>
      <c r="AC1911" s="2"/>
      <c r="AD1911" s="2"/>
      <c r="AE1911" s="2"/>
      <c r="AF1911" s="2"/>
      <c r="AG1911" s="2"/>
      <c r="AH1911" s="2"/>
      <c r="AI1911" s="2"/>
      <c r="AJ1911" s="2" t="str">
        <f>IFERROR(__xludf.DUMMYFUNCTION("""COMPUTED_VALUE"""),"")</f>
        <v/>
      </c>
      <c r="AK1911" s="2" t="str">
        <f>IFERROR(__xludf.DUMMYFUNCTION("""COMPUTED_VALUE"""),"")</f>
        <v/>
      </c>
      <c r="AL1911" s="2" t="str">
        <f>IFERROR(__xludf.DUMMYFUNCTION("""COMPUTED_VALUE"""),"")</f>
        <v/>
      </c>
      <c r="AM1911" s="2" t="str">
        <f>IFERROR(__xludf.DUMMYFUNCTION("""COMPUTED_VALUE"""),"")</f>
        <v/>
      </c>
      <c r="AN1911" s="2" t="str">
        <f>IFERROR(__xludf.DUMMYFUNCTION("""COMPUTED_VALUE""")," ")</f>
        <v> </v>
      </c>
      <c r="AO1911" s="2" t="str">
        <f>IFERROR(__xludf.DUMMYFUNCTION("""COMPUTED_VALUE""")," ")</f>
        <v> </v>
      </c>
      <c r="AP1911" s="2" t="str">
        <f>IFERROR(__xludf.DUMMYFUNCTION("""COMPUTED_VALUE"""),"")</f>
        <v/>
      </c>
      <c r="AQ1911" s="2"/>
      <c r="AR1911" s="2"/>
      <c r="AS1911" s="2"/>
      <c r="AT1911" s="2"/>
      <c r="AU1911" s="2"/>
      <c r="AV1911" s="2"/>
      <c r="AW1911" s="2"/>
      <c r="AX1911" s="2"/>
      <c r="AY1911" s="2"/>
      <c r="AZ1911" s="2"/>
      <c r="BA1911" s="2"/>
      <c r="BB1911" s="2"/>
    </row>
    <row r="1912">
      <c r="A1912" s="2"/>
      <c r="B1912" s="2" t="str">
        <f>IFERROR(__xludf.DUMMYFUNCTION("""COMPUTED_VALUE"""),"")</f>
        <v/>
      </c>
      <c r="C1912" s="2"/>
      <c r="D1912" s="71"/>
      <c r="E1912" s="71" t="str">
        <f>IFERROR(__xludf.DUMMYFUNCTION("""COMPUTED_VALUE""")," ")</f>
        <v> </v>
      </c>
      <c r="F1912" s="2"/>
      <c r="G1912" s="2"/>
      <c r="H1912" s="2"/>
      <c r="I1912" s="72"/>
      <c r="J1912" s="72"/>
      <c r="K1912" s="72"/>
      <c r="L1912" s="72"/>
      <c r="M1912" s="2"/>
      <c r="N1912" s="2"/>
      <c r="O1912" s="2"/>
      <c r="P1912" s="2"/>
      <c r="Q1912" s="2"/>
      <c r="R1912" s="2"/>
      <c r="S1912" s="2"/>
      <c r="T1912" s="2"/>
      <c r="U1912" s="2"/>
      <c r="V1912" s="2"/>
      <c r="W1912" s="2"/>
      <c r="X1912" s="2"/>
      <c r="Y1912" s="2"/>
      <c r="Z1912" s="2"/>
      <c r="AA1912" s="2"/>
      <c r="AB1912" s="2"/>
      <c r="AC1912" s="2"/>
      <c r="AD1912" s="2"/>
      <c r="AE1912" s="2"/>
      <c r="AF1912" s="2"/>
      <c r="AG1912" s="2"/>
      <c r="AH1912" s="2"/>
      <c r="AI1912" s="2"/>
      <c r="AJ1912" s="2" t="str">
        <f>IFERROR(__xludf.DUMMYFUNCTION("""COMPUTED_VALUE"""),"")</f>
        <v/>
      </c>
      <c r="AK1912" s="2" t="str">
        <f>IFERROR(__xludf.DUMMYFUNCTION("""COMPUTED_VALUE"""),"")</f>
        <v/>
      </c>
      <c r="AL1912" s="2" t="str">
        <f>IFERROR(__xludf.DUMMYFUNCTION("""COMPUTED_VALUE"""),"")</f>
        <v/>
      </c>
      <c r="AM1912" s="2" t="str">
        <f>IFERROR(__xludf.DUMMYFUNCTION("""COMPUTED_VALUE"""),"")</f>
        <v/>
      </c>
      <c r="AN1912" s="2" t="str">
        <f>IFERROR(__xludf.DUMMYFUNCTION("""COMPUTED_VALUE""")," ")</f>
        <v> </v>
      </c>
      <c r="AO1912" s="2" t="str">
        <f>IFERROR(__xludf.DUMMYFUNCTION("""COMPUTED_VALUE""")," ")</f>
        <v> </v>
      </c>
      <c r="AP1912" s="2" t="str">
        <f>IFERROR(__xludf.DUMMYFUNCTION("""COMPUTED_VALUE"""),"")</f>
        <v/>
      </c>
      <c r="AQ1912" s="2"/>
      <c r="AR1912" s="2"/>
      <c r="AS1912" s="2"/>
      <c r="AT1912" s="2"/>
      <c r="AU1912" s="2"/>
      <c r="AV1912" s="2"/>
      <c r="AW1912" s="2"/>
      <c r="AX1912" s="2"/>
      <c r="AY1912" s="2"/>
      <c r="AZ1912" s="2"/>
      <c r="BA1912" s="2"/>
      <c r="BB1912" s="2"/>
    </row>
    <row r="1913">
      <c r="A1913" s="2"/>
      <c r="B1913" s="2" t="str">
        <f>IFERROR(__xludf.DUMMYFUNCTION("""COMPUTED_VALUE"""),"")</f>
        <v/>
      </c>
      <c r="C1913" s="2"/>
      <c r="D1913" s="71"/>
      <c r="E1913" s="71" t="str">
        <f>IFERROR(__xludf.DUMMYFUNCTION("""COMPUTED_VALUE""")," ")</f>
        <v> </v>
      </c>
      <c r="F1913" s="2"/>
      <c r="G1913" s="2"/>
      <c r="H1913" s="2"/>
      <c r="I1913" s="72"/>
      <c r="J1913" s="72"/>
      <c r="K1913" s="72"/>
      <c r="L1913" s="72"/>
      <c r="M1913" s="2"/>
      <c r="N1913" s="2"/>
      <c r="O1913" s="2"/>
      <c r="P1913" s="2"/>
      <c r="Q1913" s="2"/>
      <c r="R1913" s="2"/>
      <c r="S1913" s="2"/>
      <c r="T1913" s="2"/>
      <c r="U1913" s="2"/>
      <c r="V1913" s="2"/>
      <c r="W1913" s="2"/>
      <c r="X1913" s="2"/>
      <c r="Y1913" s="2"/>
      <c r="Z1913" s="2"/>
      <c r="AA1913" s="2"/>
      <c r="AB1913" s="2"/>
      <c r="AC1913" s="2"/>
      <c r="AD1913" s="2"/>
      <c r="AE1913" s="2"/>
      <c r="AF1913" s="2"/>
      <c r="AG1913" s="2"/>
      <c r="AH1913" s="2"/>
      <c r="AI1913" s="2"/>
      <c r="AJ1913" s="2" t="str">
        <f>IFERROR(__xludf.DUMMYFUNCTION("""COMPUTED_VALUE"""),"")</f>
        <v/>
      </c>
      <c r="AK1913" s="2" t="str">
        <f>IFERROR(__xludf.DUMMYFUNCTION("""COMPUTED_VALUE"""),"")</f>
        <v/>
      </c>
      <c r="AL1913" s="2" t="str">
        <f>IFERROR(__xludf.DUMMYFUNCTION("""COMPUTED_VALUE"""),"")</f>
        <v/>
      </c>
      <c r="AM1913" s="2" t="str">
        <f>IFERROR(__xludf.DUMMYFUNCTION("""COMPUTED_VALUE"""),"")</f>
        <v/>
      </c>
      <c r="AN1913" s="2" t="str">
        <f>IFERROR(__xludf.DUMMYFUNCTION("""COMPUTED_VALUE""")," ")</f>
        <v> </v>
      </c>
      <c r="AO1913" s="2" t="str">
        <f>IFERROR(__xludf.DUMMYFUNCTION("""COMPUTED_VALUE""")," ")</f>
        <v> </v>
      </c>
      <c r="AP1913" s="2" t="str">
        <f>IFERROR(__xludf.DUMMYFUNCTION("""COMPUTED_VALUE"""),"")</f>
        <v/>
      </c>
      <c r="AQ1913" s="2"/>
      <c r="AR1913" s="2"/>
      <c r="AS1913" s="2"/>
      <c r="AT1913" s="2"/>
      <c r="AU1913" s="2"/>
      <c r="AV1913" s="2"/>
      <c r="AW1913" s="2"/>
      <c r="AX1913" s="2"/>
      <c r="AY1913" s="2"/>
      <c r="AZ1913" s="2"/>
      <c r="BA1913" s="2"/>
      <c r="BB1913" s="2"/>
    </row>
    <row r="1914">
      <c r="A1914" s="2"/>
      <c r="B1914" s="2" t="str">
        <f>IFERROR(__xludf.DUMMYFUNCTION("""COMPUTED_VALUE"""),"")</f>
        <v/>
      </c>
      <c r="C1914" s="2"/>
      <c r="D1914" s="71"/>
      <c r="E1914" s="71" t="str">
        <f>IFERROR(__xludf.DUMMYFUNCTION("""COMPUTED_VALUE""")," ")</f>
        <v> </v>
      </c>
      <c r="F1914" s="2"/>
      <c r="G1914" s="2"/>
      <c r="H1914" s="2"/>
      <c r="I1914" s="72"/>
      <c r="J1914" s="72"/>
      <c r="K1914" s="72"/>
      <c r="L1914" s="72"/>
      <c r="M1914" s="2"/>
      <c r="N1914" s="2"/>
      <c r="O1914" s="2"/>
      <c r="P1914" s="2"/>
      <c r="Q1914" s="2"/>
      <c r="R1914" s="2"/>
      <c r="S1914" s="2"/>
      <c r="T1914" s="2"/>
      <c r="U1914" s="2"/>
      <c r="V1914" s="2"/>
      <c r="W1914" s="2"/>
      <c r="X1914" s="2"/>
      <c r="Y1914" s="2"/>
      <c r="Z1914" s="2"/>
      <c r="AA1914" s="2"/>
      <c r="AB1914" s="2"/>
      <c r="AC1914" s="2"/>
      <c r="AD1914" s="2"/>
      <c r="AE1914" s="2"/>
      <c r="AF1914" s="2"/>
      <c r="AG1914" s="2"/>
      <c r="AH1914" s="2"/>
      <c r="AI1914" s="2"/>
      <c r="AJ1914" s="2" t="str">
        <f>IFERROR(__xludf.DUMMYFUNCTION("""COMPUTED_VALUE"""),"")</f>
        <v/>
      </c>
      <c r="AK1914" s="2" t="str">
        <f>IFERROR(__xludf.DUMMYFUNCTION("""COMPUTED_VALUE"""),"")</f>
        <v/>
      </c>
      <c r="AL1914" s="2" t="str">
        <f>IFERROR(__xludf.DUMMYFUNCTION("""COMPUTED_VALUE"""),"")</f>
        <v/>
      </c>
      <c r="AM1914" s="2" t="str">
        <f>IFERROR(__xludf.DUMMYFUNCTION("""COMPUTED_VALUE"""),"")</f>
        <v/>
      </c>
      <c r="AN1914" s="2" t="str">
        <f>IFERROR(__xludf.DUMMYFUNCTION("""COMPUTED_VALUE""")," ")</f>
        <v> </v>
      </c>
      <c r="AO1914" s="2" t="str">
        <f>IFERROR(__xludf.DUMMYFUNCTION("""COMPUTED_VALUE""")," ")</f>
        <v> </v>
      </c>
      <c r="AP1914" s="2" t="str">
        <f>IFERROR(__xludf.DUMMYFUNCTION("""COMPUTED_VALUE"""),"")</f>
        <v/>
      </c>
      <c r="AQ1914" s="2"/>
      <c r="AR1914" s="2"/>
      <c r="AS1914" s="2"/>
      <c r="AT1914" s="2"/>
      <c r="AU1914" s="2"/>
      <c r="AV1914" s="2"/>
      <c r="AW1914" s="2"/>
      <c r="AX1914" s="2"/>
      <c r="AY1914" s="2"/>
      <c r="AZ1914" s="2"/>
      <c r="BA1914" s="2"/>
      <c r="BB1914" s="2"/>
    </row>
    <row r="1915">
      <c r="A1915" s="2"/>
      <c r="B1915" s="2" t="str">
        <f>IFERROR(__xludf.DUMMYFUNCTION("""COMPUTED_VALUE"""),"")</f>
        <v/>
      </c>
      <c r="C1915" s="2"/>
      <c r="D1915" s="71"/>
      <c r="E1915" s="71" t="str">
        <f>IFERROR(__xludf.DUMMYFUNCTION("""COMPUTED_VALUE""")," ")</f>
        <v> </v>
      </c>
      <c r="F1915" s="2"/>
      <c r="G1915" s="2"/>
      <c r="H1915" s="2"/>
      <c r="I1915" s="72"/>
      <c r="J1915" s="72"/>
      <c r="K1915" s="72"/>
      <c r="L1915" s="72"/>
      <c r="M1915" s="2"/>
      <c r="N1915" s="2"/>
      <c r="O1915" s="2"/>
      <c r="P1915" s="2"/>
      <c r="Q1915" s="2"/>
      <c r="R1915" s="2"/>
      <c r="S1915" s="2"/>
      <c r="T1915" s="2"/>
      <c r="U1915" s="2"/>
      <c r="V1915" s="2"/>
      <c r="W1915" s="2"/>
      <c r="X1915" s="2"/>
      <c r="Y1915" s="2"/>
      <c r="Z1915" s="2"/>
      <c r="AA1915" s="2"/>
      <c r="AB1915" s="2"/>
      <c r="AC1915" s="2"/>
      <c r="AD1915" s="2"/>
      <c r="AE1915" s="2"/>
      <c r="AF1915" s="2"/>
      <c r="AG1915" s="2"/>
      <c r="AH1915" s="2"/>
      <c r="AI1915" s="2"/>
      <c r="AJ1915" s="2" t="str">
        <f>IFERROR(__xludf.DUMMYFUNCTION("""COMPUTED_VALUE"""),"")</f>
        <v/>
      </c>
      <c r="AK1915" s="2" t="str">
        <f>IFERROR(__xludf.DUMMYFUNCTION("""COMPUTED_VALUE"""),"")</f>
        <v/>
      </c>
      <c r="AL1915" s="2" t="str">
        <f>IFERROR(__xludf.DUMMYFUNCTION("""COMPUTED_VALUE"""),"")</f>
        <v/>
      </c>
      <c r="AM1915" s="2" t="str">
        <f>IFERROR(__xludf.DUMMYFUNCTION("""COMPUTED_VALUE"""),"")</f>
        <v/>
      </c>
      <c r="AN1915" s="2" t="str">
        <f>IFERROR(__xludf.DUMMYFUNCTION("""COMPUTED_VALUE""")," ")</f>
        <v> </v>
      </c>
      <c r="AO1915" s="2" t="str">
        <f>IFERROR(__xludf.DUMMYFUNCTION("""COMPUTED_VALUE""")," ")</f>
        <v> </v>
      </c>
      <c r="AP1915" s="2" t="str">
        <f>IFERROR(__xludf.DUMMYFUNCTION("""COMPUTED_VALUE"""),"")</f>
        <v/>
      </c>
      <c r="AQ1915" s="2"/>
      <c r="AR1915" s="2"/>
      <c r="AS1915" s="2"/>
      <c r="AT1915" s="2"/>
      <c r="AU1915" s="2"/>
      <c r="AV1915" s="2"/>
      <c r="AW1915" s="2"/>
      <c r="AX1915" s="2"/>
      <c r="AY1915" s="2"/>
      <c r="AZ1915" s="2"/>
      <c r="BA1915" s="2"/>
      <c r="BB1915" s="2"/>
    </row>
    <row r="1916">
      <c r="A1916" s="2"/>
      <c r="B1916" s="2" t="str">
        <f>IFERROR(__xludf.DUMMYFUNCTION("""COMPUTED_VALUE"""),"")</f>
        <v/>
      </c>
      <c r="C1916" s="2"/>
      <c r="D1916" s="71"/>
      <c r="E1916" s="71" t="str">
        <f>IFERROR(__xludf.DUMMYFUNCTION("""COMPUTED_VALUE""")," ")</f>
        <v> </v>
      </c>
      <c r="F1916" s="2"/>
      <c r="G1916" s="2"/>
      <c r="H1916" s="2"/>
      <c r="I1916" s="72"/>
      <c r="J1916" s="72"/>
      <c r="K1916" s="72"/>
      <c r="L1916" s="72"/>
      <c r="M1916" s="2"/>
      <c r="N1916" s="2"/>
      <c r="O1916" s="2"/>
      <c r="P1916" s="2"/>
      <c r="Q1916" s="2"/>
      <c r="R1916" s="2"/>
      <c r="S1916" s="2"/>
      <c r="T1916" s="2"/>
      <c r="U1916" s="2"/>
      <c r="V1916" s="2"/>
      <c r="W1916" s="2"/>
      <c r="X1916" s="2"/>
      <c r="Y1916" s="2"/>
      <c r="Z1916" s="2"/>
      <c r="AA1916" s="2"/>
      <c r="AB1916" s="2"/>
      <c r="AC1916" s="2"/>
      <c r="AD1916" s="2"/>
      <c r="AE1916" s="2"/>
      <c r="AF1916" s="2"/>
      <c r="AG1916" s="2"/>
      <c r="AH1916" s="2"/>
      <c r="AI1916" s="2"/>
      <c r="AJ1916" s="2" t="str">
        <f>IFERROR(__xludf.DUMMYFUNCTION("""COMPUTED_VALUE"""),"")</f>
        <v/>
      </c>
      <c r="AK1916" s="2" t="str">
        <f>IFERROR(__xludf.DUMMYFUNCTION("""COMPUTED_VALUE"""),"")</f>
        <v/>
      </c>
      <c r="AL1916" s="2" t="str">
        <f>IFERROR(__xludf.DUMMYFUNCTION("""COMPUTED_VALUE"""),"")</f>
        <v/>
      </c>
      <c r="AM1916" s="2" t="str">
        <f>IFERROR(__xludf.DUMMYFUNCTION("""COMPUTED_VALUE"""),"")</f>
        <v/>
      </c>
      <c r="AN1916" s="2" t="str">
        <f>IFERROR(__xludf.DUMMYFUNCTION("""COMPUTED_VALUE""")," ")</f>
        <v> </v>
      </c>
      <c r="AO1916" s="2" t="str">
        <f>IFERROR(__xludf.DUMMYFUNCTION("""COMPUTED_VALUE""")," ")</f>
        <v> </v>
      </c>
      <c r="AP1916" s="2" t="str">
        <f>IFERROR(__xludf.DUMMYFUNCTION("""COMPUTED_VALUE"""),"")</f>
        <v/>
      </c>
      <c r="AQ1916" s="2"/>
      <c r="AR1916" s="2"/>
      <c r="AS1916" s="2"/>
      <c r="AT1916" s="2"/>
      <c r="AU1916" s="2"/>
      <c r="AV1916" s="2"/>
      <c r="AW1916" s="2"/>
      <c r="AX1916" s="2"/>
      <c r="AY1916" s="2"/>
      <c r="AZ1916" s="2"/>
      <c r="BA1916" s="2"/>
      <c r="BB1916" s="2"/>
    </row>
    <row r="1917">
      <c r="A1917" s="2"/>
      <c r="B1917" s="2" t="str">
        <f>IFERROR(__xludf.DUMMYFUNCTION("""COMPUTED_VALUE"""),"")</f>
        <v/>
      </c>
      <c r="C1917" s="2"/>
      <c r="D1917" s="71"/>
      <c r="E1917" s="71" t="str">
        <f>IFERROR(__xludf.DUMMYFUNCTION("""COMPUTED_VALUE""")," ")</f>
        <v> </v>
      </c>
      <c r="F1917" s="2"/>
      <c r="G1917" s="2"/>
      <c r="H1917" s="2"/>
      <c r="I1917" s="72"/>
      <c r="J1917" s="72"/>
      <c r="K1917" s="72"/>
      <c r="L1917" s="72"/>
      <c r="M1917" s="2"/>
      <c r="N1917" s="2"/>
      <c r="O1917" s="2"/>
      <c r="P1917" s="2"/>
      <c r="Q1917" s="2"/>
      <c r="R1917" s="2"/>
      <c r="S1917" s="2"/>
      <c r="T1917" s="2"/>
      <c r="U1917" s="2"/>
      <c r="V1917" s="2"/>
      <c r="W1917" s="2"/>
      <c r="X1917" s="2"/>
      <c r="Y1917" s="2"/>
      <c r="Z1917" s="2"/>
      <c r="AA1917" s="2"/>
      <c r="AB1917" s="2"/>
      <c r="AC1917" s="2"/>
      <c r="AD1917" s="2"/>
      <c r="AE1917" s="2"/>
      <c r="AF1917" s="2"/>
      <c r="AG1917" s="2"/>
      <c r="AH1917" s="2"/>
      <c r="AI1917" s="2"/>
      <c r="AJ1917" s="2" t="str">
        <f>IFERROR(__xludf.DUMMYFUNCTION("""COMPUTED_VALUE"""),"")</f>
        <v/>
      </c>
      <c r="AK1917" s="2" t="str">
        <f>IFERROR(__xludf.DUMMYFUNCTION("""COMPUTED_VALUE"""),"")</f>
        <v/>
      </c>
      <c r="AL1917" s="2" t="str">
        <f>IFERROR(__xludf.DUMMYFUNCTION("""COMPUTED_VALUE"""),"")</f>
        <v/>
      </c>
      <c r="AM1917" s="2" t="str">
        <f>IFERROR(__xludf.DUMMYFUNCTION("""COMPUTED_VALUE"""),"")</f>
        <v/>
      </c>
      <c r="AN1917" s="2" t="str">
        <f>IFERROR(__xludf.DUMMYFUNCTION("""COMPUTED_VALUE""")," ")</f>
        <v> </v>
      </c>
      <c r="AO1917" s="2" t="str">
        <f>IFERROR(__xludf.DUMMYFUNCTION("""COMPUTED_VALUE""")," ")</f>
        <v> </v>
      </c>
      <c r="AP1917" s="2" t="str">
        <f>IFERROR(__xludf.DUMMYFUNCTION("""COMPUTED_VALUE"""),"")</f>
        <v/>
      </c>
      <c r="AQ1917" s="2"/>
      <c r="AR1917" s="2"/>
      <c r="AS1917" s="2"/>
      <c r="AT1917" s="2"/>
      <c r="AU1917" s="2"/>
      <c r="AV1917" s="2"/>
      <c r="AW1917" s="2"/>
      <c r="AX1917" s="2"/>
      <c r="AY1917" s="2"/>
      <c r="AZ1917" s="2"/>
      <c r="BA1917" s="2"/>
      <c r="BB1917" s="2"/>
    </row>
    <row r="1918">
      <c r="A1918" s="2"/>
      <c r="B1918" s="2" t="str">
        <f>IFERROR(__xludf.DUMMYFUNCTION("""COMPUTED_VALUE"""),"")</f>
        <v/>
      </c>
      <c r="C1918" s="2"/>
      <c r="D1918" s="71"/>
      <c r="E1918" s="71" t="str">
        <f>IFERROR(__xludf.DUMMYFUNCTION("""COMPUTED_VALUE""")," ")</f>
        <v> </v>
      </c>
      <c r="F1918" s="2"/>
      <c r="G1918" s="2"/>
      <c r="H1918" s="2"/>
      <c r="I1918" s="72"/>
      <c r="J1918" s="72"/>
      <c r="K1918" s="72"/>
      <c r="L1918" s="72"/>
      <c r="M1918" s="2"/>
      <c r="N1918" s="2"/>
      <c r="O1918" s="2"/>
      <c r="P1918" s="2"/>
      <c r="Q1918" s="2"/>
      <c r="R1918" s="2"/>
      <c r="S1918" s="2"/>
      <c r="T1918" s="2"/>
      <c r="U1918" s="2"/>
      <c r="V1918" s="2"/>
      <c r="W1918" s="2"/>
      <c r="X1918" s="2"/>
      <c r="Y1918" s="2"/>
      <c r="Z1918" s="2"/>
      <c r="AA1918" s="2"/>
      <c r="AB1918" s="2"/>
      <c r="AC1918" s="2"/>
      <c r="AD1918" s="2"/>
      <c r="AE1918" s="2"/>
      <c r="AF1918" s="2"/>
      <c r="AG1918" s="2"/>
      <c r="AH1918" s="2"/>
      <c r="AI1918" s="2"/>
      <c r="AJ1918" s="2" t="str">
        <f>IFERROR(__xludf.DUMMYFUNCTION("""COMPUTED_VALUE"""),"")</f>
        <v/>
      </c>
      <c r="AK1918" s="2" t="str">
        <f>IFERROR(__xludf.DUMMYFUNCTION("""COMPUTED_VALUE"""),"")</f>
        <v/>
      </c>
      <c r="AL1918" s="2" t="str">
        <f>IFERROR(__xludf.DUMMYFUNCTION("""COMPUTED_VALUE"""),"")</f>
        <v/>
      </c>
      <c r="AM1918" s="2" t="str">
        <f>IFERROR(__xludf.DUMMYFUNCTION("""COMPUTED_VALUE"""),"")</f>
        <v/>
      </c>
      <c r="AN1918" s="2" t="str">
        <f>IFERROR(__xludf.DUMMYFUNCTION("""COMPUTED_VALUE""")," ")</f>
        <v> </v>
      </c>
      <c r="AO1918" s="2" t="str">
        <f>IFERROR(__xludf.DUMMYFUNCTION("""COMPUTED_VALUE""")," ")</f>
        <v> </v>
      </c>
      <c r="AP1918" s="2" t="str">
        <f>IFERROR(__xludf.DUMMYFUNCTION("""COMPUTED_VALUE"""),"")</f>
        <v/>
      </c>
      <c r="AQ1918" s="2"/>
      <c r="AR1918" s="2"/>
      <c r="AS1918" s="2"/>
      <c r="AT1918" s="2"/>
      <c r="AU1918" s="2"/>
      <c r="AV1918" s="2"/>
      <c r="AW1918" s="2"/>
      <c r="AX1918" s="2"/>
      <c r="AY1918" s="2"/>
      <c r="AZ1918" s="2"/>
      <c r="BA1918" s="2"/>
      <c r="BB1918" s="2"/>
    </row>
    <row r="1919">
      <c r="A1919" s="2"/>
      <c r="B1919" s="2" t="str">
        <f>IFERROR(__xludf.DUMMYFUNCTION("""COMPUTED_VALUE"""),"")</f>
        <v/>
      </c>
      <c r="C1919" s="2"/>
      <c r="D1919" s="71"/>
      <c r="E1919" s="71" t="str">
        <f>IFERROR(__xludf.DUMMYFUNCTION("""COMPUTED_VALUE""")," ")</f>
        <v> </v>
      </c>
      <c r="F1919" s="2"/>
      <c r="G1919" s="2"/>
      <c r="H1919" s="2"/>
      <c r="I1919" s="72"/>
      <c r="J1919" s="72"/>
      <c r="K1919" s="72"/>
      <c r="L1919" s="72"/>
      <c r="M1919" s="2"/>
      <c r="N1919" s="2"/>
      <c r="O1919" s="2"/>
      <c r="P1919" s="2"/>
      <c r="Q1919" s="2"/>
      <c r="R1919" s="2"/>
      <c r="S1919" s="2"/>
      <c r="T1919" s="2"/>
      <c r="U1919" s="2"/>
      <c r="V1919" s="2"/>
      <c r="W1919" s="2"/>
      <c r="X1919" s="2"/>
      <c r="Y1919" s="2"/>
      <c r="Z1919" s="2"/>
      <c r="AA1919" s="2"/>
      <c r="AB1919" s="2"/>
      <c r="AC1919" s="2"/>
      <c r="AD1919" s="2"/>
      <c r="AE1919" s="2"/>
      <c r="AF1919" s="2"/>
      <c r="AG1919" s="2"/>
      <c r="AH1919" s="2"/>
      <c r="AI1919" s="2"/>
      <c r="AJ1919" s="2" t="str">
        <f>IFERROR(__xludf.DUMMYFUNCTION("""COMPUTED_VALUE"""),"")</f>
        <v/>
      </c>
      <c r="AK1919" s="2" t="str">
        <f>IFERROR(__xludf.DUMMYFUNCTION("""COMPUTED_VALUE"""),"")</f>
        <v/>
      </c>
      <c r="AL1919" s="2" t="str">
        <f>IFERROR(__xludf.DUMMYFUNCTION("""COMPUTED_VALUE"""),"")</f>
        <v/>
      </c>
      <c r="AM1919" s="2" t="str">
        <f>IFERROR(__xludf.DUMMYFUNCTION("""COMPUTED_VALUE"""),"")</f>
        <v/>
      </c>
      <c r="AN1919" s="2" t="str">
        <f>IFERROR(__xludf.DUMMYFUNCTION("""COMPUTED_VALUE""")," ")</f>
        <v> </v>
      </c>
      <c r="AO1919" s="2" t="str">
        <f>IFERROR(__xludf.DUMMYFUNCTION("""COMPUTED_VALUE""")," ")</f>
        <v> </v>
      </c>
      <c r="AP1919" s="2" t="str">
        <f>IFERROR(__xludf.DUMMYFUNCTION("""COMPUTED_VALUE"""),"")</f>
        <v/>
      </c>
      <c r="AQ1919" s="2"/>
      <c r="AR1919" s="2"/>
      <c r="AS1919" s="2"/>
      <c r="AT1919" s="2"/>
      <c r="AU1919" s="2"/>
      <c r="AV1919" s="2"/>
      <c r="AW1919" s="2"/>
      <c r="AX1919" s="2"/>
      <c r="AY1919" s="2"/>
      <c r="AZ1919" s="2"/>
      <c r="BA1919" s="2"/>
      <c r="BB1919" s="2"/>
    </row>
    <row r="1920">
      <c r="A1920" s="2"/>
      <c r="B1920" s="2" t="str">
        <f>IFERROR(__xludf.DUMMYFUNCTION("""COMPUTED_VALUE"""),"")</f>
        <v/>
      </c>
      <c r="C1920" s="2"/>
      <c r="D1920" s="71"/>
      <c r="E1920" s="71" t="str">
        <f>IFERROR(__xludf.DUMMYFUNCTION("""COMPUTED_VALUE""")," ")</f>
        <v> </v>
      </c>
      <c r="F1920" s="2"/>
      <c r="G1920" s="2"/>
      <c r="H1920" s="2"/>
      <c r="I1920" s="72"/>
      <c r="J1920" s="72"/>
      <c r="K1920" s="72"/>
      <c r="L1920" s="72"/>
      <c r="M1920" s="2"/>
      <c r="N1920" s="2"/>
      <c r="O1920" s="2"/>
      <c r="P1920" s="2"/>
      <c r="Q1920" s="2"/>
      <c r="R1920" s="2"/>
      <c r="S1920" s="2"/>
      <c r="T1920" s="2"/>
      <c r="U1920" s="2"/>
      <c r="V1920" s="2"/>
      <c r="W1920" s="2"/>
      <c r="X1920" s="2"/>
      <c r="Y1920" s="2"/>
      <c r="Z1920" s="2"/>
      <c r="AA1920" s="2"/>
      <c r="AB1920" s="2"/>
      <c r="AC1920" s="2"/>
      <c r="AD1920" s="2"/>
      <c r="AE1920" s="2"/>
      <c r="AF1920" s="2"/>
      <c r="AG1920" s="2"/>
      <c r="AH1920" s="2"/>
      <c r="AI1920" s="2"/>
      <c r="AJ1920" s="2" t="str">
        <f>IFERROR(__xludf.DUMMYFUNCTION("""COMPUTED_VALUE"""),"")</f>
        <v/>
      </c>
      <c r="AK1920" s="2" t="str">
        <f>IFERROR(__xludf.DUMMYFUNCTION("""COMPUTED_VALUE"""),"")</f>
        <v/>
      </c>
      <c r="AL1920" s="2" t="str">
        <f>IFERROR(__xludf.DUMMYFUNCTION("""COMPUTED_VALUE"""),"")</f>
        <v/>
      </c>
      <c r="AM1920" s="2" t="str">
        <f>IFERROR(__xludf.DUMMYFUNCTION("""COMPUTED_VALUE"""),"")</f>
        <v/>
      </c>
      <c r="AN1920" s="2" t="str">
        <f>IFERROR(__xludf.DUMMYFUNCTION("""COMPUTED_VALUE""")," ")</f>
        <v> </v>
      </c>
      <c r="AO1920" s="2" t="str">
        <f>IFERROR(__xludf.DUMMYFUNCTION("""COMPUTED_VALUE""")," ")</f>
        <v> </v>
      </c>
      <c r="AP1920" s="2" t="str">
        <f>IFERROR(__xludf.DUMMYFUNCTION("""COMPUTED_VALUE"""),"")</f>
        <v/>
      </c>
      <c r="AQ1920" s="2"/>
      <c r="AR1920" s="2"/>
      <c r="AS1920" s="2"/>
      <c r="AT1920" s="2"/>
      <c r="AU1920" s="2"/>
      <c r="AV1920" s="2"/>
      <c r="AW1920" s="2"/>
      <c r="AX1920" s="2"/>
      <c r="AY1920" s="2"/>
      <c r="AZ1920" s="2"/>
      <c r="BA1920" s="2"/>
      <c r="BB1920" s="2"/>
    </row>
    <row r="1921">
      <c r="A1921" s="2"/>
      <c r="B1921" s="2" t="str">
        <f>IFERROR(__xludf.DUMMYFUNCTION("""COMPUTED_VALUE"""),"")</f>
        <v/>
      </c>
      <c r="C1921" s="2"/>
      <c r="D1921" s="71"/>
      <c r="E1921" s="71" t="str">
        <f>IFERROR(__xludf.DUMMYFUNCTION("""COMPUTED_VALUE""")," ")</f>
        <v> </v>
      </c>
      <c r="F1921" s="2"/>
      <c r="G1921" s="2"/>
      <c r="H1921" s="2"/>
      <c r="I1921" s="72"/>
      <c r="J1921" s="72"/>
      <c r="K1921" s="72"/>
      <c r="L1921" s="72"/>
      <c r="M1921" s="2"/>
      <c r="N1921" s="2"/>
      <c r="O1921" s="2"/>
      <c r="P1921" s="2"/>
      <c r="Q1921" s="2"/>
      <c r="R1921" s="2"/>
      <c r="S1921" s="2"/>
      <c r="T1921" s="2"/>
      <c r="U1921" s="2"/>
      <c r="V1921" s="2"/>
      <c r="W1921" s="2"/>
      <c r="X1921" s="2"/>
      <c r="Y1921" s="2"/>
      <c r="Z1921" s="2"/>
      <c r="AA1921" s="2"/>
      <c r="AB1921" s="2"/>
      <c r="AC1921" s="2"/>
      <c r="AD1921" s="2"/>
      <c r="AE1921" s="2"/>
      <c r="AF1921" s="2"/>
      <c r="AG1921" s="2"/>
      <c r="AH1921" s="2"/>
      <c r="AI1921" s="2"/>
      <c r="AJ1921" s="2" t="str">
        <f>IFERROR(__xludf.DUMMYFUNCTION("""COMPUTED_VALUE"""),"")</f>
        <v/>
      </c>
      <c r="AK1921" s="2" t="str">
        <f>IFERROR(__xludf.DUMMYFUNCTION("""COMPUTED_VALUE"""),"")</f>
        <v/>
      </c>
      <c r="AL1921" s="2" t="str">
        <f>IFERROR(__xludf.DUMMYFUNCTION("""COMPUTED_VALUE"""),"")</f>
        <v/>
      </c>
      <c r="AM1921" s="2" t="str">
        <f>IFERROR(__xludf.DUMMYFUNCTION("""COMPUTED_VALUE"""),"")</f>
        <v/>
      </c>
      <c r="AN1921" s="2" t="str">
        <f>IFERROR(__xludf.DUMMYFUNCTION("""COMPUTED_VALUE""")," ")</f>
        <v> </v>
      </c>
      <c r="AO1921" s="2" t="str">
        <f>IFERROR(__xludf.DUMMYFUNCTION("""COMPUTED_VALUE""")," ")</f>
        <v> </v>
      </c>
      <c r="AP1921" s="2" t="str">
        <f>IFERROR(__xludf.DUMMYFUNCTION("""COMPUTED_VALUE"""),"")</f>
        <v/>
      </c>
      <c r="AQ1921" s="2"/>
      <c r="AR1921" s="2"/>
      <c r="AS1921" s="2"/>
      <c r="AT1921" s="2"/>
      <c r="AU1921" s="2"/>
      <c r="AV1921" s="2"/>
      <c r="AW1921" s="2"/>
      <c r="AX1921" s="2"/>
      <c r="AY1921" s="2"/>
      <c r="AZ1921" s="2"/>
      <c r="BA1921" s="2"/>
      <c r="BB1921" s="2"/>
    </row>
    <row r="1922">
      <c r="A1922" s="2"/>
      <c r="B1922" s="2" t="str">
        <f>IFERROR(__xludf.DUMMYFUNCTION("""COMPUTED_VALUE"""),"")</f>
        <v/>
      </c>
      <c r="C1922" s="2"/>
      <c r="D1922" s="71"/>
      <c r="E1922" s="71" t="str">
        <f>IFERROR(__xludf.DUMMYFUNCTION("""COMPUTED_VALUE""")," ")</f>
        <v> </v>
      </c>
      <c r="F1922" s="2"/>
      <c r="G1922" s="2"/>
      <c r="H1922" s="2"/>
      <c r="I1922" s="72"/>
      <c r="J1922" s="72"/>
      <c r="K1922" s="72"/>
      <c r="L1922" s="72"/>
      <c r="M1922" s="2"/>
      <c r="N1922" s="2"/>
      <c r="O1922" s="2"/>
      <c r="P1922" s="2"/>
      <c r="Q1922" s="2"/>
      <c r="R1922" s="2"/>
      <c r="S1922" s="2"/>
      <c r="T1922" s="2"/>
      <c r="U1922" s="2"/>
      <c r="V1922" s="2"/>
      <c r="W1922" s="2"/>
      <c r="X1922" s="2"/>
      <c r="Y1922" s="2"/>
      <c r="Z1922" s="2"/>
      <c r="AA1922" s="2"/>
      <c r="AB1922" s="2"/>
      <c r="AC1922" s="2"/>
      <c r="AD1922" s="2"/>
      <c r="AE1922" s="2"/>
      <c r="AF1922" s="2"/>
      <c r="AG1922" s="2"/>
      <c r="AH1922" s="2"/>
      <c r="AI1922" s="2"/>
      <c r="AJ1922" s="2" t="str">
        <f>IFERROR(__xludf.DUMMYFUNCTION("""COMPUTED_VALUE"""),"")</f>
        <v/>
      </c>
      <c r="AK1922" s="2" t="str">
        <f>IFERROR(__xludf.DUMMYFUNCTION("""COMPUTED_VALUE"""),"")</f>
        <v/>
      </c>
      <c r="AL1922" s="2" t="str">
        <f>IFERROR(__xludf.DUMMYFUNCTION("""COMPUTED_VALUE"""),"")</f>
        <v/>
      </c>
      <c r="AM1922" s="2" t="str">
        <f>IFERROR(__xludf.DUMMYFUNCTION("""COMPUTED_VALUE"""),"")</f>
        <v/>
      </c>
      <c r="AN1922" s="2" t="str">
        <f>IFERROR(__xludf.DUMMYFUNCTION("""COMPUTED_VALUE""")," ")</f>
        <v> </v>
      </c>
      <c r="AO1922" s="2" t="str">
        <f>IFERROR(__xludf.DUMMYFUNCTION("""COMPUTED_VALUE""")," ")</f>
        <v> </v>
      </c>
      <c r="AP1922" s="2" t="str">
        <f>IFERROR(__xludf.DUMMYFUNCTION("""COMPUTED_VALUE"""),"")</f>
        <v/>
      </c>
      <c r="AQ1922" s="2"/>
      <c r="AR1922" s="2"/>
      <c r="AS1922" s="2"/>
      <c r="AT1922" s="2"/>
      <c r="AU1922" s="2"/>
      <c r="AV1922" s="2"/>
      <c r="AW1922" s="2"/>
      <c r="AX1922" s="2"/>
      <c r="AY1922" s="2"/>
      <c r="AZ1922" s="2"/>
      <c r="BA1922" s="2"/>
      <c r="BB1922" s="2"/>
    </row>
    <row r="1923">
      <c r="A1923" s="2"/>
      <c r="B1923" s="2" t="str">
        <f>IFERROR(__xludf.DUMMYFUNCTION("""COMPUTED_VALUE"""),"")</f>
        <v/>
      </c>
      <c r="C1923" s="2"/>
      <c r="D1923" s="71"/>
      <c r="E1923" s="71" t="str">
        <f>IFERROR(__xludf.DUMMYFUNCTION("""COMPUTED_VALUE""")," ")</f>
        <v> </v>
      </c>
      <c r="F1923" s="2"/>
      <c r="G1923" s="2"/>
      <c r="H1923" s="2"/>
      <c r="I1923" s="72"/>
      <c r="J1923" s="72"/>
      <c r="K1923" s="72"/>
      <c r="L1923" s="72"/>
      <c r="M1923" s="2"/>
      <c r="N1923" s="2"/>
      <c r="O1923" s="2"/>
      <c r="P1923" s="2"/>
      <c r="Q1923" s="2"/>
      <c r="R1923" s="2"/>
      <c r="S1923" s="2"/>
      <c r="T1923" s="2"/>
      <c r="U1923" s="2"/>
      <c r="V1923" s="2"/>
      <c r="W1923" s="2"/>
      <c r="X1923" s="2"/>
      <c r="Y1923" s="2"/>
      <c r="Z1923" s="2"/>
      <c r="AA1923" s="2"/>
      <c r="AB1923" s="2"/>
      <c r="AC1923" s="2"/>
      <c r="AD1923" s="2"/>
      <c r="AE1923" s="2"/>
      <c r="AF1923" s="2"/>
      <c r="AG1923" s="2"/>
      <c r="AH1923" s="2"/>
      <c r="AI1923" s="2"/>
      <c r="AJ1923" s="2" t="str">
        <f>IFERROR(__xludf.DUMMYFUNCTION("""COMPUTED_VALUE"""),"")</f>
        <v/>
      </c>
      <c r="AK1923" s="2" t="str">
        <f>IFERROR(__xludf.DUMMYFUNCTION("""COMPUTED_VALUE"""),"")</f>
        <v/>
      </c>
      <c r="AL1923" s="2" t="str">
        <f>IFERROR(__xludf.DUMMYFUNCTION("""COMPUTED_VALUE"""),"")</f>
        <v/>
      </c>
      <c r="AM1923" s="2" t="str">
        <f>IFERROR(__xludf.DUMMYFUNCTION("""COMPUTED_VALUE"""),"")</f>
        <v/>
      </c>
      <c r="AN1923" s="2" t="str">
        <f>IFERROR(__xludf.DUMMYFUNCTION("""COMPUTED_VALUE""")," ")</f>
        <v> </v>
      </c>
      <c r="AO1923" s="2" t="str">
        <f>IFERROR(__xludf.DUMMYFUNCTION("""COMPUTED_VALUE""")," ")</f>
        <v> </v>
      </c>
      <c r="AP1923" s="2" t="str">
        <f>IFERROR(__xludf.DUMMYFUNCTION("""COMPUTED_VALUE"""),"")</f>
        <v/>
      </c>
      <c r="AQ1923" s="2"/>
      <c r="AR1923" s="2"/>
      <c r="AS1923" s="2"/>
      <c r="AT1923" s="2"/>
      <c r="AU1923" s="2"/>
      <c r="AV1923" s="2"/>
      <c r="AW1923" s="2"/>
      <c r="AX1923" s="2"/>
      <c r="AY1923" s="2"/>
      <c r="AZ1923" s="2"/>
      <c r="BA1923" s="2"/>
      <c r="BB1923" s="2"/>
    </row>
    <row r="1924">
      <c r="A1924" s="2"/>
      <c r="B1924" s="2" t="str">
        <f>IFERROR(__xludf.DUMMYFUNCTION("""COMPUTED_VALUE"""),"")</f>
        <v/>
      </c>
      <c r="C1924" s="2"/>
      <c r="D1924" s="71"/>
      <c r="E1924" s="71" t="str">
        <f>IFERROR(__xludf.DUMMYFUNCTION("""COMPUTED_VALUE""")," ")</f>
        <v> </v>
      </c>
      <c r="F1924" s="2"/>
      <c r="G1924" s="2"/>
      <c r="H1924" s="2"/>
      <c r="I1924" s="72"/>
      <c r="J1924" s="72"/>
      <c r="K1924" s="72"/>
      <c r="L1924" s="72"/>
      <c r="M1924" s="2"/>
      <c r="N1924" s="2"/>
      <c r="O1924" s="2"/>
      <c r="P1924" s="2"/>
      <c r="Q1924" s="2"/>
      <c r="R1924" s="2"/>
      <c r="S1924" s="2"/>
      <c r="T1924" s="2"/>
      <c r="U1924" s="2"/>
      <c r="V1924" s="2"/>
      <c r="W1924" s="2"/>
      <c r="X1924" s="2"/>
      <c r="Y1924" s="2"/>
      <c r="Z1924" s="2"/>
      <c r="AA1924" s="2"/>
      <c r="AB1924" s="2"/>
      <c r="AC1924" s="2"/>
      <c r="AD1924" s="2"/>
      <c r="AE1924" s="2"/>
      <c r="AF1924" s="2"/>
      <c r="AG1924" s="2"/>
      <c r="AH1924" s="2"/>
      <c r="AI1924" s="2"/>
      <c r="AJ1924" s="2" t="str">
        <f>IFERROR(__xludf.DUMMYFUNCTION("""COMPUTED_VALUE"""),"")</f>
        <v/>
      </c>
      <c r="AK1924" s="2" t="str">
        <f>IFERROR(__xludf.DUMMYFUNCTION("""COMPUTED_VALUE"""),"")</f>
        <v/>
      </c>
      <c r="AL1924" s="2" t="str">
        <f>IFERROR(__xludf.DUMMYFUNCTION("""COMPUTED_VALUE"""),"")</f>
        <v/>
      </c>
      <c r="AM1924" s="2" t="str">
        <f>IFERROR(__xludf.DUMMYFUNCTION("""COMPUTED_VALUE"""),"")</f>
        <v/>
      </c>
      <c r="AN1924" s="2" t="str">
        <f>IFERROR(__xludf.DUMMYFUNCTION("""COMPUTED_VALUE""")," ")</f>
        <v> </v>
      </c>
      <c r="AO1924" s="2" t="str">
        <f>IFERROR(__xludf.DUMMYFUNCTION("""COMPUTED_VALUE""")," ")</f>
        <v> </v>
      </c>
      <c r="AP1924" s="2" t="str">
        <f>IFERROR(__xludf.DUMMYFUNCTION("""COMPUTED_VALUE"""),"")</f>
        <v/>
      </c>
      <c r="AQ1924" s="2"/>
      <c r="AR1924" s="2"/>
      <c r="AS1924" s="2"/>
      <c r="AT1924" s="2"/>
      <c r="AU1924" s="2"/>
      <c r="AV1924" s="2"/>
      <c r="AW1924" s="2"/>
      <c r="AX1924" s="2"/>
      <c r="AY1924" s="2"/>
      <c r="AZ1924" s="2"/>
      <c r="BA1924" s="2"/>
      <c r="BB1924" s="2"/>
    </row>
    <row r="1925">
      <c r="A1925" s="2"/>
      <c r="B1925" s="2" t="str">
        <f>IFERROR(__xludf.DUMMYFUNCTION("""COMPUTED_VALUE"""),"")</f>
        <v/>
      </c>
      <c r="C1925" s="2"/>
      <c r="D1925" s="71"/>
      <c r="E1925" s="71" t="str">
        <f>IFERROR(__xludf.DUMMYFUNCTION("""COMPUTED_VALUE""")," ")</f>
        <v> </v>
      </c>
      <c r="F1925" s="2"/>
      <c r="G1925" s="2"/>
      <c r="H1925" s="2"/>
      <c r="I1925" s="72"/>
      <c r="J1925" s="72"/>
      <c r="K1925" s="72"/>
      <c r="L1925" s="72"/>
      <c r="M1925" s="2"/>
      <c r="N1925" s="2"/>
      <c r="O1925" s="2"/>
      <c r="P1925" s="2"/>
      <c r="Q1925" s="2"/>
      <c r="R1925" s="2"/>
      <c r="S1925" s="2"/>
      <c r="T1925" s="2"/>
      <c r="U1925" s="2"/>
      <c r="V1925" s="2"/>
      <c r="W1925" s="2"/>
      <c r="X1925" s="2"/>
      <c r="Y1925" s="2"/>
      <c r="Z1925" s="2"/>
      <c r="AA1925" s="2"/>
      <c r="AB1925" s="2"/>
      <c r="AC1925" s="2"/>
      <c r="AD1925" s="2"/>
      <c r="AE1925" s="2"/>
      <c r="AF1925" s="2"/>
      <c r="AG1925" s="2"/>
      <c r="AH1925" s="2"/>
      <c r="AI1925" s="2"/>
      <c r="AJ1925" s="2" t="str">
        <f>IFERROR(__xludf.DUMMYFUNCTION("""COMPUTED_VALUE"""),"")</f>
        <v/>
      </c>
      <c r="AK1925" s="2" t="str">
        <f>IFERROR(__xludf.DUMMYFUNCTION("""COMPUTED_VALUE"""),"")</f>
        <v/>
      </c>
      <c r="AL1925" s="2" t="str">
        <f>IFERROR(__xludf.DUMMYFUNCTION("""COMPUTED_VALUE"""),"")</f>
        <v/>
      </c>
      <c r="AM1925" s="2" t="str">
        <f>IFERROR(__xludf.DUMMYFUNCTION("""COMPUTED_VALUE"""),"")</f>
        <v/>
      </c>
      <c r="AN1925" s="2" t="str">
        <f>IFERROR(__xludf.DUMMYFUNCTION("""COMPUTED_VALUE""")," ")</f>
        <v> </v>
      </c>
      <c r="AO1925" s="2" t="str">
        <f>IFERROR(__xludf.DUMMYFUNCTION("""COMPUTED_VALUE""")," ")</f>
        <v> </v>
      </c>
      <c r="AP1925" s="2" t="str">
        <f>IFERROR(__xludf.DUMMYFUNCTION("""COMPUTED_VALUE"""),"")</f>
        <v/>
      </c>
      <c r="AQ1925" s="2"/>
      <c r="AR1925" s="2"/>
      <c r="AS1925" s="2"/>
      <c r="AT1925" s="2"/>
      <c r="AU1925" s="2"/>
      <c r="AV1925" s="2"/>
      <c r="AW1925" s="2"/>
      <c r="AX1925" s="2"/>
      <c r="AY1925" s="2"/>
      <c r="AZ1925" s="2"/>
      <c r="BA1925" s="2"/>
      <c r="BB1925" s="2"/>
    </row>
    <row r="1926">
      <c r="A1926" s="2"/>
      <c r="B1926" s="2" t="str">
        <f>IFERROR(__xludf.DUMMYFUNCTION("""COMPUTED_VALUE"""),"")</f>
        <v/>
      </c>
      <c r="C1926" s="2"/>
      <c r="D1926" s="71"/>
      <c r="E1926" s="71" t="str">
        <f>IFERROR(__xludf.DUMMYFUNCTION("""COMPUTED_VALUE""")," ")</f>
        <v> </v>
      </c>
      <c r="F1926" s="2"/>
      <c r="G1926" s="2"/>
      <c r="H1926" s="2"/>
      <c r="I1926" s="72"/>
      <c r="J1926" s="72"/>
      <c r="K1926" s="72"/>
      <c r="L1926" s="72"/>
      <c r="M1926" s="2"/>
      <c r="N1926" s="2"/>
      <c r="O1926" s="2"/>
      <c r="P1926" s="2"/>
      <c r="Q1926" s="2"/>
      <c r="R1926" s="2"/>
      <c r="S1926" s="2"/>
      <c r="T1926" s="2"/>
      <c r="U1926" s="2"/>
      <c r="V1926" s="2"/>
      <c r="W1926" s="2"/>
      <c r="X1926" s="2"/>
      <c r="Y1926" s="2"/>
      <c r="Z1926" s="2"/>
      <c r="AA1926" s="2"/>
      <c r="AB1926" s="2"/>
      <c r="AC1926" s="2"/>
      <c r="AD1926" s="2"/>
      <c r="AE1926" s="2"/>
      <c r="AF1926" s="2"/>
      <c r="AG1926" s="2"/>
      <c r="AH1926" s="2"/>
      <c r="AI1926" s="2"/>
      <c r="AJ1926" s="2" t="str">
        <f>IFERROR(__xludf.DUMMYFUNCTION("""COMPUTED_VALUE"""),"")</f>
        <v/>
      </c>
      <c r="AK1926" s="2" t="str">
        <f>IFERROR(__xludf.DUMMYFUNCTION("""COMPUTED_VALUE"""),"")</f>
        <v/>
      </c>
      <c r="AL1926" s="2" t="str">
        <f>IFERROR(__xludf.DUMMYFUNCTION("""COMPUTED_VALUE"""),"")</f>
        <v/>
      </c>
      <c r="AM1926" s="2" t="str">
        <f>IFERROR(__xludf.DUMMYFUNCTION("""COMPUTED_VALUE"""),"")</f>
        <v/>
      </c>
      <c r="AN1926" s="2" t="str">
        <f>IFERROR(__xludf.DUMMYFUNCTION("""COMPUTED_VALUE""")," ")</f>
        <v> </v>
      </c>
      <c r="AO1926" s="2" t="str">
        <f>IFERROR(__xludf.DUMMYFUNCTION("""COMPUTED_VALUE""")," ")</f>
        <v> </v>
      </c>
      <c r="AP1926" s="2" t="str">
        <f>IFERROR(__xludf.DUMMYFUNCTION("""COMPUTED_VALUE"""),"")</f>
        <v/>
      </c>
      <c r="AQ1926" s="2"/>
      <c r="AR1926" s="2"/>
      <c r="AS1926" s="2"/>
      <c r="AT1926" s="2"/>
      <c r="AU1926" s="2"/>
      <c r="AV1926" s="2"/>
      <c r="AW1926" s="2"/>
      <c r="AX1926" s="2"/>
      <c r="AY1926" s="2"/>
      <c r="AZ1926" s="2"/>
      <c r="BA1926" s="2"/>
      <c r="BB1926" s="2"/>
    </row>
    <row r="1927">
      <c r="A1927" s="2"/>
      <c r="B1927" s="2" t="str">
        <f>IFERROR(__xludf.DUMMYFUNCTION("""COMPUTED_VALUE"""),"")</f>
        <v/>
      </c>
      <c r="C1927" s="2"/>
      <c r="D1927" s="71"/>
      <c r="E1927" s="71" t="str">
        <f>IFERROR(__xludf.DUMMYFUNCTION("""COMPUTED_VALUE""")," ")</f>
        <v> </v>
      </c>
      <c r="F1927" s="2"/>
      <c r="G1927" s="2"/>
      <c r="H1927" s="2"/>
      <c r="I1927" s="72"/>
      <c r="J1927" s="72"/>
      <c r="K1927" s="72"/>
      <c r="L1927" s="72"/>
      <c r="M1927" s="2"/>
      <c r="N1927" s="2"/>
      <c r="O1927" s="2"/>
      <c r="P1927" s="2"/>
      <c r="Q1927" s="2"/>
      <c r="R1927" s="2"/>
      <c r="S1927" s="2"/>
      <c r="T1927" s="2"/>
      <c r="U1927" s="2"/>
      <c r="V1927" s="2"/>
      <c r="W1927" s="2"/>
      <c r="X1927" s="2"/>
      <c r="Y1927" s="2"/>
      <c r="Z1927" s="2"/>
      <c r="AA1927" s="2"/>
      <c r="AB1927" s="2"/>
      <c r="AC1927" s="2"/>
      <c r="AD1927" s="2"/>
      <c r="AE1927" s="2"/>
      <c r="AF1927" s="2"/>
      <c r="AG1927" s="2"/>
      <c r="AH1927" s="2"/>
      <c r="AI1927" s="2"/>
      <c r="AJ1927" s="2" t="str">
        <f>IFERROR(__xludf.DUMMYFUNCTION("""COMPUTED_VALUE"""),"")</f>
        <v/>
      </c>
      <c r="AK1927" s="2" t="str">
        <f>IFERROR(__xludf.DUMMYFUNCTION("""COMPUTED_VALUE"""),"")</f>
        <v/>
      </c>
      <c r="AL1927" s="2" t="str">
        <f>IFERROR(__xludf.DUMMYFUNCTION("""COMPUTED_VALUE"""),"")</f>
        <v/>
      </c>
      <c r="AM1927" s="2" t="str">
        <f>IFERROR(__xludf.DUMMYFUNCTION("""COMPUTED_VALUE"""),"")</f>
        <v/>
      </c>
      <c r="AN1927" s="2" t="str">
        <f>IFERROR(__xludf.DUMMYFUNCTION("""COMPUTED_VALUE""")," ")</f>
        <v> </v>
      </c>
      <c r="AO1927" s="2" t="str">
        <f>IFERROR(__xludf.DUMMYFUNCTION("""COMPUTED_VALUE""")," ")</f>
        <v> </v>
      </c>
      <c r="AP1927" s="2" t="str">
        <f>IFERROR(__xludf.DUMMYFUNCTION("""COMPUTED_VALUE"""),"")</f>
        <v/>
      </c>
      <c r="AQ1927" s="2"/>
      <c r="AR1927" s="2"/>
      <c r="AS1927" s="2"/>
      <c r="AT1927" s="2"/>
      <c r="AU1927" s="2"/>
      <c r="AV1927" s="2"/>
      <c r="AW1927" s="2"/>
      <c r="AX1927" s="2"/>
      <c r="AY1927" s="2"/>
      <c r="AZ1927" s="2"/>
      <c r="BA1927" s="2"/>
      <c r="BB1927" s="2"/>
    </row>
    <row r="1928">
      <c r="A1928" s="2"/>
      <c r="B1928" s="2" t="str">
        <f>IFERROR(__xludf.DUMMYFUNCTION("""COMPUTED_VALUE"""),"")</f>
        <v/>
      </c>
      <c r="C1928" s="2"/>
      <c r="D1928" s="71"/>
      <c r="E1928" s="71" t="str">
        <f>IFERROR(__xludf.DUMMYFUNCTION("""COMPUTED_VALUE""")," ")</f>
        <v> </v>
      </c>
      <c r="F1928" s="2"/>
      <c r="G1928" s="2"/>
      <c r="H1928" s="2"/>
      <c r="I1928" s="72"/>
      <c r="J1928" s="72"/>
      <c r="K1928" s="72"/>
      <c r="L1928" s="72"/>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c r="AJ1928" s="2" t="str">
        <f>IFERROR(__xludf.DUMMYFUNCTION("""COMPUTED_VALUE"""),"")</f>
        <v/>
      </c>
      <c r="AK1928" s="2" t="str">
        <f>IFERROR(__xludf.DUMMYFUNCTION("""COMPUTED_VALUE"""),"")</f>
        <v/>
      </c>
      <c r="AL1928" s="2" t="str">
        <f>IFERROR(__xludf.DUMMYFUNCTION("""COMPUTED_VALUE"""),"")</f>
        <v/>
      </c>
      <c r="AM1928" s="2" t="str">
        <f>IFERROR(__xludf.DUMMYFUNCTION("""COMPUTED_VALUE"""),"")</f>
        <v/>
      </c>
      <c r="AN1928" s="2" t="str">
        <f>IFERROR(__xludf.DUMMYFUNCTION("""COMPUTED_VALUE""")," ")</f>
        <v> </v>
      </c>
      <c r="AO1928" s="2" t="str">
        <f>IFERROR(__xludf.DUMMYFUNCTION("""COMPUTED_VALUE""")," ")</f>
        <v> </v>
      </c>
      <c r="AP1928" s="2" t="str">
        <f>IFERROR(__xludf.DUMMYFUNCTION("""COMPUTED_VALUE"""),"")</f>
        <v/>
      </c>
      <c r="AQ1928" s="2"/>
      <c r="AR1928" s="2"/>
      <c r="AS1928" s="2"/>
      <c r="AT1928" s="2"/>
      <c r="AU1928" s="2"/>
      <c r="AV1928" s="2"/>
      <c r="AW1928" s="2"/>
      <c r="AX1928" s="2"/>
      <c r="AY1928" s="2"/>
      <c r="AZ1928" s="2"/>
      <c r="BA1928" s="2"/>
      <c r="BB1928" s="2"/>
    </row>
    <row r="1929">
      <c r="A1929" s="2"/>
      <c r="B1929" s="2" t="str">
        <f>IFERROR(__xludf.DUMMYFUNCTION("""COMPUTED_VALUE"""),"")</f>
        <v/>
      </c>
      <c r="C1929" s="2"/>
      <c r="D1929" s="71"/>
      <c r="E1929" s="71" t="str">
        <f>IFERROR(__xludf.DUMMYFUNCTION("""COMPUTED_VALUE""")," ")</f>
        <v> </v>
      </c>
      <c r="F1929" s="2"/>
      <c r="G1929" s="2"/>
      <c r="H1929" s="2"/>
      <c r="I1929" s="72"/>
      <c r="J1929" s="72"/>
      <c r="K1929" s="72"/>
      <c r="L1929" s="72"/>
      <c r="M1929" s="2"/>
      <c r="N1929" s="2"/>
      <c r="O1929" s="2"/>
      <c r="P1929" s="2"/>
      <c r="Q1929" s="2"/>
      <c r="R1929" s="2"/>
      <c r="S1929" s="2"/>
      <c r="T1929" s="2"/>
      <c r="U1929" s="2"/>
      <c r="V1929" s="2"/>
      <c r="W1929" s="2"/>
      <c r="X1929" s="2"/>
      <c r="Y1929" s="2"/>
      <c r="Z1929" s="2"/>
      <c r="AA1929" s="2"/>
      <c r="AB1929" s="2"/>
      <c r="AC1929" s="2"/>
      <c r="AD1929" s="2"/>
      <c r="AE1929" s="2"/>
      <c r="AF1929" s="2"/>
      <c r="AG1929" s="2"/>
      <c r="AH1929" s="2"/>
      <c r="AI1929" s="2"/>
      <c r="AJ1929" s="2" t="str">
        <f>IFERROR(__xludf.DUMMYFUNCTION("""COMPUTED_VALUE"""),"")</f>
        <v/>
      </c>
      <c r="AK1929" s="2" t="str">
        <f>IFERROR(__xludf.DUMMYFUNCTION("""COMPUTED_VALUE"""),"")</f>
        <v/>
      </c>
      <c r="AL1929" s="2" t="str">
        <f>IFERROR(__xludf.DUMMYFUNCTION("""COMPUTED_VALUE"""),"")</f>
        <v/>
      </c>
      <c r="AM1929" s="2" t="str">
        <f>IFERROR(__xludf.DUMMYFUNCTION("""COMPUTED_VALUE"""),"")</f>
        <v/>
      </c>
      <c r="AN1929" s="2" t="str">
        <f>IFERROR(__xludf.DUMMYFUNCTION("""COMPUTED_VALUE""")," ")</f>
        <v> </v>
      </c>
      <c r="AO1929" s="2" t="str">
        <f>IFERROR(__xludf.DUMMYFUNCTION("""COMPUTED_VALUE""")," ")</f>
        <v> </v>
      </c>
      <c r="AP1929" s="2" t="str">
        <f>IFERROR(__xludf.DUMMYFUNCTION("""COMPUTED_VALUE"""),"")</f>
        <v/>
      </c>
      <c r="AQ1929" s="2"/>
      <c r="AR1929" s="2"/>
      <c r="AS1929" s="2"/>
      <c r="AT1929" s="2"/>
      <c r="AU1929" s="2"/>
      <c r="AV1929" s="2"/>
      <c r="AW1929" s="2"/>
      <c r="AX1929" s="2"/>
      <c r="AY1929" s="2"/>
      <c r="AZ1929" s="2"/>
      <c r="BA1929" s="2"/>
      <c r="BB1929" s="2"/>
    </row>
    <row r="1930">
      <c r="A1930" s="2"/>
      <c r="B1930" s="2" t="str">
        <f>IFERROR(__xludf.DUMMYFUNCTION("""COMPUTED_VALUE"""),"")</f>
        <v/>
      </c>
      <c r="C1930" s="2"/>
      <c r="D1930" s="71"/>
      <c r="E1930" s="71" t="str">
        <f>IFERROR(__xludf.DUMMYFUNCTION("""COMPUTED_VALUE""")," ")</f>
        <v> </v>
      </c>
      <c r="F1930" s="2"/>
      <c r="G1930" s="2"/>
      <c r="H1930" s="2"/>
      <c r="I1930" s="72"/>
      <c r="J1930" s="72"/>
      <c r="K1930" s="72"/>
      <c r="L1930" s="72"/>
      <c r="M1930" s="2"/>
      <c r="N1930" s="2"/>
      <c r="O1930" s="2"/>
      <c r="P1930" s="2"/>
      <c r="Q1930" s="2"/>
      <c r="R1930" s="2"/>
      <c r="S1930" s="2"/>
      <c r="T1930" s="2"/>
      <c r="U1930" s="2"/>
      <c r="V1930" s="2"/>
      <c r="W1930" s="2"/>
      <c r="X1930" s="2"/>
      <c r="Y1930" s="2"/>
      <c r="Z1930" s="2"/>
      <c r="AA1930" s="2"/>
      <c r="AB1930" s="2"/>
      <c r="AC1930" s="2"/>
      <c r="AD1930" s="2"/>
      <c r="AE1930" s="2"/>
      <c r="AF1930" s="2"/>
      <c r="AG1930" s="2"/>
      <c r="AH1930" s="2"/>
      <c r="AI1930" s="2"/>
      <c r="AJ1930" s="2" t="str">
        <f>IFERROR(__xludf.DUMMYFUNCTION("""COMPUTED_VALUE"""),"")</f>
        <v/>
      </c>
      <c r="AK1930" s="2" t="str">
        <f>IFERROR(__xludf.DUMMYFUNCTION("""COMPUTED_VALUE"""),"")</f>
        <v/>
      </c>
      <c r="AL1930" s="2" t="str">
        <f>IFERROR(__xludf.DUMMYFUNCTION("""COMPUTED_VALUE"""),"")</f>
        <v/>
      </c>
      <c r="AM1930" s="2" t="str">
        <f>IFERROR(__xludf.DUMMYFUNCTION("""COMPUTED_VALUE"""),"")</f>
        <v/>
      </c>
      <c r="AN1930" s="2" t="str">
        <f>IFERROR(__xludf.DUMMYFUNCTION("""COMPUTED_VALUE""")," ")</f>
        <v> </v>
      </c>
      <c r="AO1930" s="2" t="str">
        <f>IFERROR(__xludf.DUMMYFUNCTION("""COMPUTED_VALUE""")," ")</f>
        <v> </v>
      </c>
      <c r="AP1930" s="2" t="str">
        <f>IFERROR(__xludf.DUMMYFUNCTION("""COMPUTED_VALUE"""),"")</f>
        <v/>
      </c>
      <c r="AQ1930" s="2"/>
      <c r="AR1930" s="2"/>
      <c r="AS1930" s="2"/>
      <c r="AT1930" s="2"/>
      <c r="AU1930" s="2"/>
      <c r="AV1930" s="2"/>
      <c r="AW1930" s="2"/>
      <c r="AX1930" s="2"/>
      <c r="AY1930" s="2"/>
      <c r="AZ1930" s="2"/>
      <c r="BA1930" s="2"/>
      <c r="BB1930" s="2"/>
    </row>
    <row r="1931">
      <c r="A1931" s="2"/>
      <c r="B1931" s="2" t="str">
        <f>IFERROR(__xludf.DUMMYFUNCTION("""COMPUTED_VALUE"""),"")</f>
        <v/>
      </c>
      <c r="C1931" s="2"/>
      <c r="D1931" s="71"/>
      <c r="E1931" s="71" t="str">
        <f>IFERROR(__xludf.DUMMYFUNCTION("""COMPUTED_VALUE""")," ")</f>
        <v> </v>
      </c>
      <c r="F1931" s="2"/>
      <c r="G1931" s="2"/>
      <c r="H1931" s="2"/>
      <c r="I1931" s="72"/>
      <c r="J1931" s="72"/>
      <c r="K1931" s="72"/>
      <c r="L1931" s="72"/>
      <c r="M1931" s="2"/>
      <c r="N1931" s="2"/>
      <c r="O1931" s="2"/>
      <c r="P1931" s="2"/>
      <c r="Q1931" s="2"/>
      <c r="R1931" s="2"/>
      <c r="S1931" s="2"/>
      <c r="T1931" s="2"/>
      <c r="U1931" s="2"/>
      <c r="V1931" s="2"/>
      <c r="W1931" s="2"/>
      <c r="X1931" s="2"/>
      <c r="Y1931" s="2"/>
      <c r="Z1931" s="2"/>
      <c r="AA1931" s="2"/>
      <c r="AB1931" s="2"/>
      <c r="AC1931" s="2"/>
      <c r="AD1931" s="2"/>
      <c r="AE1931" s="2"/>
      <c r="AF1931" s="2"/>
      <c r="AG1931" s="2"/>
      <c r="AH1931" s="2"/>
      <c r="AI1931" s="2"/>
      <c r="AJ1931" s="2" t="str">
        <f>IFERROR(__xludf.DUMMYFUNCTION("""COMPUTED_VALUE"""),"")</f>
        <v/>
      </c>
      <c r="AK1931" s="2" t="str">
        <f>IFERROR(__xludf.DUMMYFUNCTION("""COMPUTED_VALUE"""),"")</f>
        <v/>
      </c>
      <c r="AL1931" s="2" t="str">
        <f>IFERROR(__xludf.DUMMYFUNCTION("""COMPUTED_VALUE"""),"")</f>
        <v/>
      </c>
      <c r="AM1931" s="2" t="str">
        <f>IFERROR(__xludf.DUMMYFUNCTION("""COMPUTED_VALUE"""),"")</f>
        <v/>
      </c>
      <c r="AN1931" s="2" t="str">
        <f>IFERROR(__xludf.DUMMYFUNCTION("""COMPUTED_VALUE""")," ")</f>
        <v> </v>
      </c>
      <c r="AO1931" s="2" t="str">
        <f>IFERROR(__xludf.DUMMYFUNCTION("""COMPUTED_VALUE""")," ")</f>
        <v> </v>
      </c>
      <c r="AP1931" s="2" t="str">
        <f>IFERROR(__xludf.DUMMYFUNCTION("""COMPUTED_VALUE"""),"")</f>
        <v/>
      </c>
      <c r="AQ1931" s="2"/>
      <c r="AR1931" s="2"/>
      <c r="AS1931" s="2"/>
      <c r="AT1931" s="2"/>
      <c r="AU1931" s="2"/>
      <c r="AV1931" s="2"/>
      <c r="AW1931" s="2"/>
      <c r="AX1931" s="2"/>
      <c r="AY1931" s="2"/>
      <c r="AZ1931" s="2"/>
      <c r="BA1931" s="2"/>
      <c r="BB1931" s="2"/>
    </row>
    <row r="1932">
      <c r="A1932" s="2"/>
      <c r="B1932" s="2" t="str">
        <f>IFERROR(__xludf.DUMMYFUNCTION("""COMPUTED_VALUE"""),"")</f>
        <v/>
      </c>
      <c r="C1932" s="2"/>
      <c r="D1932" s="71"/>
      <c r="E1932" s="71" t="str">
        <f>IFERROR(__xludf.DUMMYFUNCTION("""COMPUTED_VALUE""")," ")</f>
        <v> </v>
      </c>
      <c r="F1932" s="2"/>
      <c r="G1932" s="2"/>
      <c r="H1932" s="2"/>
      <c r="I1932" s="72"/>
      <c r="J1932" s="72"/>
      <c r="K1932" s="72"/>
      <c r="L1932" s="72"/>
      <c r="M1932" s="2"/>
      <c r="N1932" s="2"/>
      <c r="O1932" s="2"/>
      <c r="P1932" s="2"/>
      <c r="Q1932" s="2"/>
      <c r="R1932" s="2"/>
      <c r="S1932" s="2"/>
      <c r="T1932" s="2"/>
      <c r="U1932" s="2"/>
      <c r="V1932" s="2"/>
      <c r="W1932" s="2"/>
      <c r="X1932" s="2"/>
      <c r="Y1932" s="2"/>
      <c r="Z1932" s="2"/>
      <c r="AA1932" s="2"/>
      <c r="AB1932" s="2"/>
      <c r="AC1932" s="2"/>
      <c r="AD1932" s="2"/>
      <c r="AE1932" s="2"/>
      <c r="AF1932" s="2"/>
      <c r="AG1932" s="2"/>
      <c r="AH1932" s="2"/>
      <c r="AI1932" s="2"/>
      <c r="AJ1932" s="2" t="str">
        <f>IFERROR(__xludf.DUMMYFUNCTION("""COMPUTED_VALUE"""),"")</f>
        <v/>
      </c>
      <c r="AK1932" s="2" t="str">
        <f>IFERROR(__xludf.DUMMYFUNCTION("""COMPUTED_VALUE"""),"")</f>
        <v/>
      </c>
      <c r="AL1932" s="2" t="str">
        <f>IFERROR(__xludf.DUMMYFUNCTION("""COMPUTED_VALUE"""),"")</f>
        <v/>
      </c>
      <c r="AM1932" s="2" t="str">
        <f>IFERROR(__xludf.DUMMYFUNCTION("""COMPUTED_VALUE"""),"")</f>
        <v/>
      </c>
      <c r="AN1932" s="2" t="str">
        <f>IFERROR(__xludf.DUMMYFUNCTION("""COMPUTED_VALUE""")," ")</f>
        <v> </v>
      </c>
      <c r="AO1932" s="2" t="str">
        <f>IFERROR(__xludf.DUMMYFUNCTION("""COMPUTED_VALUE""")," ")</f>
        <v> </v>
      </c>
      <c r="AP1932" s="2" t="str">
        <f>IFERROR(__xludf.DUMMYFUNCTION("""COMPUTED_VALUE"""),"")</f>
        <v/>
      </c>
      <c r="AQ1932" s="2"/>
      <c r="AR1932" s="2"/>
      <c r="AS1932" s="2"/>
      <c r="AT1932" s="2"/>
      <c r="AU1932" s="2"/>
      <c r="AV1932" s="2"/>
      <c r="AW1932" s="2"/>
      <c r="AX1932" s="2"/>
      <c r="AY1932" s="2"/>
      <c r="AZ1932" s="2"/>
      <c r="BA1932" s="2"/>
      <c r="BB1932" s="2"/>
    </row>
    <row r="1933">
      <c r="A1933" s="2"/>
      <c r="B1933" s="2" t="str">
        <f>IFERROR(__xludf.DUMMYFUNCTION("""COMPUTED_VALUE"""),"")</f>
        <v/>
      </c>
      <c r="C1933" s="2"/>
      <c r="D1933" s="71"/>
      <c r="E1933" s="71" t="str">
        <f>IFERROR(__xludf.DUMMYFUNCTION("""COMPUTED_VALUE""")," ")</f>
        <v> </v>
      </c>
      <c r="F1933" s="2"/>
      <c r="G1933" s="2"/>
      <c r="H1933" s="2"/>
      <c r="I1933" s="72"/>
      <c r="J1933" s="72"/>
      <c r="K1933" s="72"/>
      <c r="L1933" s="72"/>
      <c r="M1933" s="2"/>
      <c r="N1933" s="2"/>
      <c r="O1933" s="2"/>
      <c r="P1933" s="2"/>
      <c r="Q1933" s="2"/>
      <c r="R1933" s="2"/>
      <c r="S1933" s="2"/>
      <c r="T1933" s="2"/>
      <c r="U1933" s="2"/>
      <c r="V1933" s="2"/>
      <c r="W1933" s="2"/>
      <c r="X1933" s="2"/>
      <c r="Y1933" s="2"/>
      <c r="Z1933" s="2"/>
      <c r="AA1933" s="2"/>
      <c r="AB1933" s="2"/>
      <c r="AC1933" s="2"/>
      <c r="AD1933" s="2"/>
      <c r="AE1933" s="2"/>
      <c r="AF1933" s="2"/>
      <c r="AG1933" s="2"/>
      <c r="AH1933" s="2"/>
      <c r="AI1933" s="2"/>
      <c r="AJ1933" s="2" t="str">
        <f>IFERROR(__xludf.DUMMYFUNCTION("""COMPUTED_VALUE"""),"")</f>
        <v/>
      </c>
      <c r="AK1933" s="2" t="str">
        <f>IFERROR(__xludf.DUMMYFUNCTION("""COMPUTED_VALUE"""),"")</f>
        <v/>
      </c>
      <c r="AL1933" s="2" t="str">
        <f>IFERROR(__xludf.DUMMYFUNCTION("""COMPUTED_VALUE"""),"")</f>
        <v/>
      </c>
      <c r="AM1933" s="2" t="str">
        <f>IFERROR(__xludf.DUMMYFUNCTION("""COMPUTED_VALUE"""),"")</f>
        <v/>
      </c>
      <c r="AN1933" s="2" t="str">
        <f>IFERROR(__xludf.DUMMYFUNCTION("""COMPUTED_VALUE""")," ")</f>
        <v> </v>
      </c>
      <c r="AO1933" s="2" t="str">
        <f>IFERROR(__xludf.DUMMYFUNCTION("""COMPUTED_VALUE""")," ")</f>
        <v> </v>
      </c>
      <c r="AP1933" s="2" t="str">
        <f>IFERROR(__xludf.DUMMYFUNCTION("""COMPUTED_VALUE"""),"")</f>
        <v/>
      </c>
      <c r="AQ1933" s="2"/>
      <c r="AR1933" s="2"/>
      <c r="AS1933" s="2"/>
      <c r="AT1933" s="2"/>
      <c r="AU1933" s="2"/>
      <c r="AV1933" s="2"/>
      <c r="AW1933" s="2"/>
      <c r="AX1933" s="2"/>
      <c r="AY1933" s="2"/>
      <c r="AZ1933" s="2"/>
      <c r="BA1933" s="2"/>
      <c r="BB1933" s="2"/>
    </row>
    <row r="1934">
      <c r="A1934" s="2"/>
      <c r="B1934" s="2" t="str">
        <f>IFERROR(__xludf.DUMMYFUNCTION("""COMPUTED_VALUE"""),"")</f>
        <v/>
      </c>
      <c r="C1934" s="2"/>
      <c r="D1934" s="71"/>
      <c r="E1934" s="71" t="str">
        <f>IFERROR(__xludf.DUMMYFUNCTION("""COMPUTED_VALUE""")," ")</f>
        <v> </v>
      </c>
      <c r="F1934" s="2"/>
      <c r="G1934" s="2"/>
      <c r="H1934" s="2"/>
      <c r="I1934" s="72"/>
      <c r="J1934" s="72"/>
      <c r="K1934" s="72"/>
      <c r="L1934" s="72"/>
      <c r="M1934" s="2"/>
      <c r="N1934" s="2"/>
      <c r="O1934" s="2"/>
      <c r="P1934" s="2"/>
      <c r="Q1934" s="2"/>
      <c r="R1934" s="2"/>
      <c r="S1934" s="2"/>
      <c r="T1934" s="2"/>
      <c r="U1934" s="2"/>
      <c r="V1934" s="2"/>
      <c r="W1934" s="2"/>
      <c r="X1934" s="2"/>
      <c r="Y1934" s="2"/>
      <c r="Z1934" s="2"/>
      <c r="AA1934" s="2"/>
      <c r="AB1934" s="2"/>
      <c r="AC1934" s="2"/>
      <c r="AD1934" s="2"/>
      <c r="AE1934" s="2"/>
      <c r="AF1934" s="2"/>
      <c r="AG1934" s="2"/>
      <c r="AH1934" s="2"/>
      <c r="AI1934" s="2"/>
      <c r="AJ1934" s="2" t="str">
        <f>IFERROR(__xludf.DUMMYFUNCTION("""COMPUTED_VALUE"""),"")</f>
        <v/>
      </c>
      <c r="AK1934" s="2" t="str">
        <f>IFERROR(__xludf.DUMMYFUNCTION("""COMPUTED_VALUE"""),"")</f>
        <v/>
      </c>
      <c r="AL1934" s="2" t="str">
        <f>IFERROR(__xludf.DUMMYFUNCTION("""COMPUTED_VALUE"""),"")</f>
        <v/>
      </c>
      <c r="AM1934" s="2" t="str">
        <f>IFERROR(__xludf.DUMMYFUNCTION("""COMPUTED_VALUE"""),"")</f>
        <v/>
      </c>
      <c r="AN1934" s="2" t="str">
        <f>IFERROR(__xludf.DUMMYFUNCTION("""COMPUTED_VALUE""")," ")</f>
        <v> </v>
      </c>
      <c r="AO1934" s="2" t="str">
        <f>IFERROR(__xludf.DUMMYFUNCTION("""COMPUTED_VALUE""")," ")</f>
        <v> </v>
      </c>
      <c r="AP1934" s="2" t="str">
        <f>IFERROR(__xludf.DUMMYFUNCTION("""COMPUTED_VALUE"""),"")</f>
        <v/>
      </c>
      <c r="AQ1934" s="2"/>
      <c r="AR1934" s="2"/>
      <c r="AS1934" s="2"/>
      <c r="AT1934" s="2"/>
      <c r="AU1934" s="2"/>
      <c r="AV1934" s="2"/>
      <c r="AW1934" s="2"/>
      <c r="AX1934" s="2"/>
      <c r="AY1934" s="2"/>
      <c r="AZ1934" s="2"/>
      <c r="BA1934" s="2"/>
      <c r="BB1934" s="2"/>
    </row>
    <row r="1935">
      <c r="A1935" s="2"/>
      <c r="B1935" s="2" t="str">
        <f>IFERROR(__xludf.DUMMYFUNCTION("""COMPUTED_VALUE"""),"")</f>
        <v/>
      </c>
      <c r="C1935" s="2"/>
      <c r="D1935" s="71"/>
      <c r="E1935" s="71" t="str">
        <f>IFERROR(__xludf.DUMMYFUNCTION("""COMPUTED_VALUE""")," ")</f>
        <v> </v>
      </c>
      <c r="F1935" s="2"/>
      <c r="G1935" s="2"/>
      <c r="H1935" s="2"/>
      <c r="I1935" s="72"/>
      <c r="J1935" s="72"/>
      <c r="K1935" s="72"/>
      <c r="L1935" s="72"/>
      <c r="M1935" s="2"/>
      <c r="N1935" s="2"/>
      <c r="O1935" s="2"/>
      <c r="P1935" s="2"/>
      <c r="Q1935" s="2"/>
      <c r="R1935" s="2"/>
      <c r="S1935" s="2"/>
      <c r="T1935" s="2"/>
      <c r="U1935" s="2"/>
      <c r="V1935" s="2"/>
      <c r="W1935" s="2"/>
      <c r="X1935" s="2"/>
      <c r="Y1935" s="2"/>
      <c r="Z1935" s="2"/>
      <c r="AA1935" s="2"/>
      <c r="AB1935" s="2"/>
      <c r="AC1935" s="2"/>
      <c r="AD1935" s="2"/>
      <c r="AE1935" s="2"/>
      <c r="AF1935" s="2"/>
      <c r="AG1935" s="2"/>
      <c r="AH1935" s="2"/>
      <c r="AI1935" s="2"/>
      <c r="AJ1935" s="2" t="str">
        <f>IFERROR(__xludf.DUMMYFUNCTION("""COMPUTED_VALUE"""),"")</f>
        <v/>
      </c>
      <c r="AK1935" s="2" t="str">
        <f>IFERROR(__xludf.DUMMYFUNCTION("""COMPUTED_VALUE"""),"")</f>
        <v/>
      </c>
      <c r="AL1935" s="2" t="str">
        <f>IFERROR(__xludf.DUMMYFUNCTION("""COMPUTED_VALUE"""),"")</f>
        <v/>
      </c>
      <c r="AM1935" s="2" t="str">
        <f>IFERROR(__xludf.DUMMYFUNCTION("""COMPUTED_VALUE"""),"")</f>
        <v/>
      </c>
      <c r="AN1935" s="2" t="str">
        <f>IFERROR(__xludf.DUMMYFUNCTION("""COMPUTED_VALUE""")," ")</f>
        <v> </v>
      </c>
      <c r="AO1935" s="2" t="str">
        <f>IFERROR(__xludf.DUMMYFUNCTION("""COMPUTED_VALUE""")," ")</f>
        <v> </v>
      </c>
      <c r="AP1935" s="2" t="str">
        <f>IFERROR(__xludf.DUMMYFUNCTION("""COMPUTED_VALUE"""),"")</f>
        <v/>
      </c>
      <c r="AQ1935" s="2"/>
      <c r="AR1935" s="2"/>
      <c r="AS1935" s="2"/>
      <c r="AT1935" s="2"/>
      <c r="AU1935" s="2"/>
      <c r="AV1935" s="2"/>
      <c r="AW1935" s="2"/>
      <c r="AX1935" s="2"/>
      <c r="AY1935" s="2"/>
      <c r="AZ1935" s="2"/>
      <c r="BA1935" s="2"/>
      <c r="BB1935" s="2"/>
    </row>
    <row r="1936">
      <c r="A1936" s="2"/>
      <c r="B1936" s="2" t="str">
        <f>IFERROR(__xludf.DUMMYFUNCTION("""COMPUTED_VALUE"""),"")</f>
        <v/>
      </c>
      <c r="C1936" s="2"/>
      <c r="D1936" s="71"/>
      <c r="E1936" s="71" t="str">
        <f>IFERROR(__xludf.DUMMYFUNCTION("""COMPUTED_VALUE""")," ")</f>
        <v> </v>
      </c>
      <c r="F1936" s="2"/>
      <c r="G1936" s="2"/>
      <c r="H1936" s="2"/>
      <c r="I1936" s="72"/>
      <c r="J1936" s="72"/>
      <c r="K1936" s="72"/>
      <c r="L1936" s="72"/>
      <c r="M1936" s="2"/>
      <c r="N1936" s="2"/>
      <c r="O1936" s="2"/>
      <c r="P1936" s="2"/>
      <c r="Q1936" s="2"/>
      <c r="R1936" s="2"/>
      <c r="S1936" s="2"/>
      <c r="T1936" s="2"/>
      <c r="U1936" s="2"/>
      <c r="V1936" s="2"/>
      <c r="W1936" s="2"/>
      <c r="X1936" s="2"/>
      <c r="Y1936" s="2"/>
      <c r="Z1936" s="2"/>
      <c r="AA1936" s="2"/>
      <c r="AB1936" s="2"/>
      <c r="AC1936" s="2"/>
      <c r="AD1936" s="2"/>
      <c r="AE1936" s="2"/>
      <c r="AF1936" s="2"/>
      <c r="AG1936" s="2"/>
      <c r="AH1936" s="2"/>
      <c r="AI1936" s="2"/>
      <c r="AJ1936" s="2" t="str">
        <f>IFERROR(__xludf.DUMMYFUNCTION("""COMPUTED_VALUE"""),"")</f>
        <v/>
      </c>
      <c r="AK1936" s="2" t="str">
        <f>IFERROR(__xludf.DUMMYFUNCTION("""COMPUTED_VALUE"""),"")</f>
        <v/>
      </c>
      <c r="AL1936" s="2" t="str">
        <f>IFERROR(__xludf.DUMMYFUNCTION("""COMPUTED_VALUE"""),"")</f>
        <v/>
      </c>
      <c r="AM1936" s="2" t="str">
        <f>IFERROR(__xludf.DUMMYFUNCTION("""COMPUTED_VALUE"""),"")</f>
        <v/>
      </c>
      <c r="AN1936" s="2" t="str">
        <f>IFERROR(__xludf.DUMMYFUNCTION("""COMPUTED_VALUE""")," ")</f>
        <v> </v>
      </c>
      <c r="AO1936" s="2" t="str">
        <f>IFERROR(__xludf.DUMMYFUNCTION("""COMPUTED_VALUE""")," ")</f>
        <v> </v>
      </c>
      <c r="AP1936" s="2" t="str">
        <f>IFERROR(__xludf.DUMMYFUNCTION("""COMPUTED_VALUE"""),"")</f>
        <v/>
      </c>
      <c r="AQ1936" s="2"/>
      <c r="AR1936" s="2"/>
      <c r="AS1936" s="2"/>
      <c r="AT1936" s="2"/>
      <c r="AU1936" s="2"/>
      <c r="AV1936" s="2"/>
      <c r="AW1936" s="2"/>
      <c r="AX1936" s="2"/>
      <c r="AY1936" s="2"/>
      <c r="AZ1936" s="2"/>
      <c r="BA1936" s="2"/>
      <c r="BB1936" s="2"/>
    </row>
    <row r="1937">
      <c r="A1937" s="2"/>
      <c r="B1937" s="2" t="str">
        <f>IFERROR(__xludf.DUMMYFUNCTION("""COMPUTED_VALUE"""),"")</f>
        <v/>
      </c>
      <c r="C1937" s="2"/>
      <c r="D1937" s="71"/>
      <c r="E1937" s="71" t="str">
        <f>IFERROR(__xludf.DUMMYFUNCTION("""COMPUTED_VALUE""")," ")</f>
        <v> </v>
      </c>
      <c r="F1937" s="2"/>
      <c r="G1937" s="2"/>
      <c r="H1937" s="2"/>
      <c r="I1937" s="72"/>
      <c r="J1937" s="72"/>
      <c r="K1937" s="72"/>
      <c r="L1937" s="72"/>
      <c r="M1937" s="2"/>
      <c r="N1937" s="2"/>
      <c r="O1937" s="2"/>
      <c r="P1937" s="2"/>
      <c r="Q1937" s="2"/>
      <c r="R1937" s="2"/>
      <c r="S1937" s="2"/>
      <c r="T1937" s="2"/>
      <c r="U1937" s="2"/>
      <c r="V1937" s="2"/>
      <c r="W1937" s="2"/>
      <c r="X1937" s="2"/>
      <c r="Y1937" s="2"/>
      <c r="Z1937" s="2"/>
      <c r="AA1937" s="2"/>
      <c r="AB1937" s="2"/>
      <c r="AC1937" s="2"/>
      <c r="AD1937" s="2"/>
      <c r="AE1937" s="2"/>
      <c r="AF1937" s="2"/>
      <c r="AG1937" s="2"/>
      <c r="AH1937" s="2"/>
      <c r="AI1937" s="2"/>
      <c r="AJ1937" s="2" t="str">
        <f>IFERROR(__xludf.DUMMYFUNCTION("""COMPUTED_VALUE"""),"")</f>
        <v/>
      </c>
      <c r="AK1937" s="2" t="str">
        <f>IFERROR(__xludf.DUMMYFUNCTION("""COMPUTED_VALUE"""),"")</f>
        <v/>
      </c>
      <c r="AL1937" s="2" t="str">
        <f>IFERROR(__xludf.DUMMYFUNCTION("""COMPUTED_VALUE"""),"")</f>
        <v/>
      </c>
      <c r="AM1937" s="2" t="str">
        <f>IFERROR(__xludf.DUMMYFUNCTION("""COMPUTED_VALUE"""),"")</f>
        <v/>
      </c>
      <c r="AN1937" s="2" t="str">
        <f>IFERROR(__xludf.DUMMYFUNCTION("""COMPUTED_VALUE""")," ")</f>
        <v> </v>
      </c>
      <c r="AO1937" s="2" t="str">
        <f>IFERROR(__xludf.DUMMYFUNCTION("""COMPUTED_VALUE""")," ")</f>
        <v> </v>
      </c>
      <c r="AP1937" s="2" t="str">
        <f>IFERROR(__xludf.DUMMYFUNCTION("""COMPUTED_VALUE"""),"")</f>
        <v/>
      </c>
      <c r="AQ1937" s="2"/>
      <c r="AR1937" s="2"/>
      <c r="AS1937" s="2"/>
      <c r="AT1937" s="2"/>
      <c r="AU1937" s="2"/>
      <c r="AV1937" s="2"/>
      <c r="AW1937" s="2"/>
      <c r="AX1937" s="2"/>
      <c r="AY1937" s="2"/>
      <c r="AZ1937" s="2"/>
      <c r="BA1937" s="2"/>
      <c r="BB1937" s="2"/>
    </row>
    <row r="1938">
      <c r="A1938" s="2"/>
      <c r="B1938" s="2" t="str">
        <f>IFERROR(__xludf.DUMMYFUNCTION("""COMPUTED_VALUE"""),"")</f>
        <v/>
      </c>
      <c r="C1938" s="2"/>
      <c r="D1938" s="71"/>
      <c r="E1938" s="71" t="str">
        <f>IFERROR(__xludf.DUMMYFUNCTION("""COMPUTED_VALUE""")," ")</f>
        <v> </v>
      </c>
      <c r="F1938" s="2"/>
      <c r="G1938" s="2"/>
      <c r="H1938" s="2"/>
      <c r="I1938" s="72"/>
      <c r="J1938" s="72"/>
      <c r="K1938" s="72"/>
      <c r="L1938" s="72"/>
      <c r="M1938" s="2"/>
      <c r="N1938" s="2"/>
      <c r="O1938" s="2"/>
      <c r="P1938" s="2"/>
      <c r="Q1938" s="2"/>
      <c r="R1938" s="2"/>
      <c r="S1938" s="2"/>
      <c r="T1938" s="2"/>
      <c r="U1938" s="2"/>
      <c r="V1938" s="2"/>
      <c r="W1938" s="2"/>
      <c r="X1938" s="2"/>
      <c r="Y1938" s="2"/>
      <c r="Z1938" s="2"/>
      <c r="AA1938" s="2"/>
      <c r="AB1938" s="2"/>
      <c r="AC1938" s="2"/>
      <c r="AD1938" s="2"/>
      <c r="AE1938" s="2"/>
      <c r="AF1938" s="2"/>
      <c r="AG1938" s="2"/>
      <c r="AH1938" s="2"/>
      <c r="AI1938" s="2"/>
      <c r="AJ1938" s="2" t="str">
        <f>IFERROR(__xludf.DUMMYFUNCTION("""COMPUTED_VALUE"""),"")</f>
        <v/>
      </c>
      <c r="AK1938" s="2" t="str">
        <f>IFERROR(__xludf.DUMMYFUNCTION("""COMPUTED_VALUE"""),"")</f>
        <v/>
      </c>
      <c r="AL1938" s="2" t="str">
        <f>IFERROR(__xludf.DUMMYFUNCTION("""COMPUTED_VALUE"""),"")</f>
        <v/>
      </c>
      <c r="AM1938" s="2" t="str">
        <f>IFERROR(__xludf.DUMMYFUNCTION("""COMPUTED_VALUE"""),"")</f>
        <v/>
      </c>
      <c r="AN1938" s="2" t="str">
        <f>IFERROR(__xludf.DUMMYFUNCTION("""COMPUTED_VALUE""")," ")</f>
        <v> </v>
      </c>
      <c r="AO1938" s="2" t="str">
        <f>IFERROR(__xludf.DUMMYFUNCTION("""COMPUTED_VALUE""")," ")</f>
        <v> </v>
      </c>
      <c r="AP1938" s="2" t="str">
        <f>IFERROR(__xludf.DUMMYFUNCTION("""COMPUTED_VALUE"""),"")</f>
        <v/>
      </c>
      <c r="AQ1938" s="2"/>
      <c r="AR1938" s="2"/>
      <c r="AS1938" s="2"/>
      <c r="AT1938" s="2"/>
      <c r="AU1938" s="2"/>
      <c r="AV1938" s="2"/>
      <c r="AW1938" s="2"/>
      <c r="AX1938" s="2"/>
      <c r="AY1938" s="2"/>
      <c r="AZ1938" s="2"/>
      <c r="BA1938" s="2"/>
      <c r="BB1938" s="2"/>
    </row>
    <row r="1939">
      <c r="A1939" s="2"/>
      <c r="B1939" s="2" t="str">
        <f>IFERROR(__xludf.DUMMYFUNCTION("""COMPUTED_VALUE"""),"")</f>
        <v/>
      </c>
      <c r="C1939" s="2"/>
      <c r="D1939" s="71"/>
      <c r="E1939" s="71" t="str">
        <f>IFERROR(__xludf.DUMMYFUNCTION("""COMPUTED_VALUE""")," ")</f>
        <v> </v>
      </c>
      <c r="F1939" s="2"/>
      <c r="G1939" s="2"/>
      <c r="H1939" s="2"/>
      <c r="I1939" s="72"/>
      <c r="J1939" s="72"/>
      <c r="K1939" s="72"/>
      <c r="L1939" s="72"/>
      <c r="M1939" s="2"/>
      <c r="N1939" s="2"/>
      <c r="O1939" s="2"/>
      <c r="P1939" s="2"/>
      <c r="Q1939" s="2"/>
      <c r="R1939" s="2"/>
      <c r="S1939" s="2"/>
      <c r="T1939" s="2"/>
      <c r="U1939" s="2"/>
      <c r="V1939" s="2"/>
      <c r="W1939" s="2"/>
      <c r="X1939" s="2"/>
      <c r="Y1939" s="2"/>
      <c r="Z1939" s="2"/>
      <c r="AA1939" s="2"/>
      <c r="AB1939" s="2"/>
      <c r="AC1939" s="2"/>
      <c r="AD1939" s="2"/>
      <c r="AE1939" s="2"/>
      <c r="AF1939" s="2"/>
      <c r="AG1939" s="2"/>
      <c r="AH1939" s="2"/>
      <c r="AI1939" s="2"/>
      <c r="AJ1939" s="2" t="str">
        <f>IFERROR(__xludf.DUMMYFUNCTION("""COMPUTED_VALUE"""),"")</f>
        <v/>
      </c>
      <c r="AK1939" s="2" t="str">
        <f>IFERROR(__xludf.DUMMYFUNCTION("""COMPUTED_VALUE"""),"")</f>
        <v/>
      </c>
      <c r="AL1939" s="2" t="str">
        <f>IFERROR(__xludf.DUMMYFUNCTION("""COMPUTED_VALUE"""),"")</f>
        <v/>
      </c>
      <c r="AM1939" s="2" t="str">
        <f>IFERROR(__xludf.DUMMYFUNCTION("""COMPUTED_VALUE"""),"")</f>
        <v/>
      </c>
      <c r="AN1939" s="2" t="str">
        <f>IFERROR(__xludf.DUMMYFUNCTION("""COMPUTED_VALUE""")," ")</f>
        <v> </v>
      </c>
      <c r="AO1939" s="2" t="str">
        <f>IFERROR(__xludf.DUMMYFUNCTION("""COMPUTED_VALUE""")," ")</f>
        <v> </v>
      </c>
      <c r="AP1939" s="2" t="str">
        <f>IFERROR(__xludf.DUMMYFUNCTION("""COMPUTED_VALUE"""),"")</f>
        <v/>
      </c>
      <c r="AQ1939" s="2"/>
      <c r="AR1939" s="2"/>
      <c r="AS1939" s="2"/>
      <c r="AT1939" s="2"/>
      <c r="AU1939" s="2"/>
      <c r="AV1939" s="2"/>
      <c r="AW1939" s="2"/>
      <c r="AX1939" s="2"/>
      <c r="AY1939" s="2"/>
      <c r="AZ1939" s="2"/>
      <c r="BA1939" s="2"/>
      <c r="BB1939" s="2"/>
    </row>
    <row r="1940">
      <c r="A1940" s="2"/>
      <c r="B1940" s="2" t="str">
        <f>IFERROR(__xludf.DUMMYFUNCTION("""COMPUTED_VALUE"""),"")</f>
        <v/>
      </c>
      <c r="C1940" s="2"/>
      <c r="D1940" s="71"/>
      <c r="E1940" s="71" t="str">
        <f>IFERROR(__xludf.DUMMYFUNCTION("""COMPUTED_VALUE""")," ")</f>
        <v> </v>
      </c>
      <c r="F1940" s="2"/>
      <c r="G1940" s="2"/>
      <c r="H1940" s="2"/>
      <c r="I1940" s="72"/>
      <c r="J1940" s="72"/>
      <c r="K1940" s="72"/>
      <c r="L1940" s="72"/>
      <c r="M1940" s="2"/>
      <c r="N1940" s="2"/>
      <c r="O1940" s="2"/>
      <c r="P1940" s="2"/>
      <c r="Q1940" s="2"/>
      <c r="R1940" s="2"/>
      <c r="S1940" s="2"/>
      <c r="T1940" s="2"/>
      <c r="U1940" s="2"/>
      <c r="V1940" s="2"/>
      <c r="W1940" s="2"/>
      <c r="X1940" s="2"/>
      <c r="Y1940" s="2"/>
      <c r="Z1940" s="2"/>
      <c r="AA1940" s="2"/>
      <c r="AB1940" s="2"/>
      <c r="AC1940" s="2"/>
      <c r="AD1940" s="2"/>
      <c r="AE1940" s="2"/>
      <c r="AF1940" s="2"/>
      <c r="AG1940" s="2"/>
      <c r="AH1940" s="2"/>
      <c r="AI1940" s="2"/>
      <c r="AJ1940" s="2" t="str">
        <f>IFERROR(__xludf.DUMMYFUNCTION("""COMPUTED_VALUE"""),"")</f>
        <v/>
      </c>
      <c r="AK1940" s="2" t="str">
        <f>IFERROR(__xludf.DUMMYFUNCTION("""COMPUTED_VALUE"""),"")</f>
        <v/>
      </c>
      <c r="AL1940" s="2" t="str">
        <f>IFERROR(__xludf.DUMMYFUNCTION("""COMPUTED_VALUE"""),"")</f>
        <v/>
      </c>
      <c r="AM1940" s="2" t="str">
        <f>IFERROR(__xludf.DUMMYFUNCTION("""COMPUTED_VALUE"""),"")</f>
        <v/>
      </c>
      <c r="AN1940" s="2" t="str">
        <f>IFERROR(__xludf.DUMMYFUNCTION("""COMPUTED_VALUE""")," ")</f>
        <v> </v>
      </c>
      <c r="AO1940" s="2" t="str">
        <f>IFERROR(__xludf.DUMMYFUNCTION("""COMPUTED_VALUE""")," ")</f>
        <v> </v>
      </c>
      <c r="AP1940" s="2" t="str">
        <f>IFERROR(__xludf.DUMMYFUNCTION("""COMPUTED_VALUE"""),"")</f>
        <v/>
      </c>
      <c r="AQ1940" s="2"/>
      <c r="AR1940" s="2"/>
      <c r="AS1940" s="2"/>
      <c r="AT1940" s="2"/>
      <c r="AU1940" s="2"/>
      <c r="AV1940" s="2"/>
      <c r="AW1940" s="2"/>
      <c r="AX1940" s="2"/>
      <c r="AY1940" s="2"/>
      <c r="AZ1940" s="2"/>
      <c r="BA1940" s="2"/>
      <c r="BB1940" s="2"/>
    </row>
    <row r="1941">
      <c r="A1941" s="2"/>
      <c r="B1941" s="2" t="str">
        <f>IFERROR(__xludf.DUMMYFUNCTION("""COMPUTED_VALUE"""),"")</f>
        <v/>
      </c>
      <c r="C1941" s="2"/>
      <c r="D1941" s="71"/>
      <c r="E1941" s="71" t="str">
        <f>IFERROR(__xludf.DUMMYFUNCTION("""COMPUTED_VALUE""")," ")</f>
        <v> </v>
      </c>
      <c r="F1941" s="2"/>
      <c r="G1941" s="2"/>
      <c r="H1941" s="2"/>
      <c r="I1941" s="72"/>
      <c r="J1941" s="72"/>
      <c r="K1941" s="72"/>
      <c r="L1941" s="72"/>
      <c r="M1941" s="2"/>
      <c r="N1941" s="2"/>
      <c r="O1941" s="2"/>
      <c r="P1941" s="2"/>
      <c r="Q1941" s="2"/>
      <c r="R1941" s="2"/>
      <c r="S1941" s="2"/>
      <c r="T1941" s="2"/>
      <c r="U1941" s="2"/>
      <c r="V1941" s="2"/>
      <c r="W1941" s="2"/>
      <c r="X1941" s="2"/>
      <c r="Y1941" s="2"/>
      <c r="Z1941" s="2"/>
      <c r="AA1941" s="2"/>
      <c r="AB1941" s="2"/>
      <c r="AC1941" s="2"/>
      <c r="AD1941" s="2"/>
      <c r="AE1941" s="2"/>
      <c r="AF1941" s="2"/>
      <c r="AG1941" s="2"/>
      <c r="AH1941" s="2"/>
      <c r="AI1941" s="2"/>
      <c r="AJ1941" s="2" t="str">
        <f>IFERROR(__xludf.DUMMYFUNCTION("""COMPUTED_VALUE"""),"")</f>
        <v/>
      </c>
      <c r="AK1941" s="2" t="str">
        <f>IFERROR(__xludf.DUMMYFUNCTION("""COMPUTED_VALUE"""),"")</f>
        <v/>
      </c>
      <c r="AL1941" s="2" t="str">
        <f>IFERROR(__xludf.DUMMYFUNCTION("""COMPUTED_VALUE"""),"")</f>
        <v/>
      </c>
      <c r="AM1941" s="2" t="str">
        <f>IFERROR(__xludf.DUMMYFUNCTION("""COMPUTED_VALUE"""),"")</f>
        <v/>
      </c>
      <c r="AN1941" s="2" t="str">
        <f>IFERROR(__xludf.DUMMYFUNCTION("""COMPUTED_VALUE""")," ")</f>
        <v> </v>
      </c>
      <c r="AO1941" s="2" t="str">
        <f>IFERROR(__xludf.DUMMYFUNCTION("""COMPUTED_VALUE""")," ")</f>
        <v> </v>
      </c>
      <c r="AP1941" s="2" t="str">
        <f>IFERROR(__xludf.DUMMYFUNCTION("""COMPUTED_VALUE"""),"")</f>
        <v/>
      </c>
      <c r="AQ1941" s="2"/>
      <c r="AR1941" s="2"/>
      <c r="AS1941" s="2"/>
      <c r="AT1941" s="2"/>
      <c r="AU1941" s="2"/>
      <c r="AV1941" s="2"/>
      <c r="AW1941" s="2"/>
      <c r="AX1941" s="2"/>
      <c r="AY1941" s="2"/>
      <c r="AZ1941" s="2"/>
      <c r="BA1941" s="2"/>
      <c r="BB1941" s="2"/>
    </row>
    <row r="1942">
      <c r="A1942" s="2"/>
      <c r="B1942" s="2" t="str">
        <f>IFERROR(__xludf.DUMMYFUNCTION("""COMPUTED_VALUE"""),"")</f>
        <v/>
      </c>
      <c r="C1942" s="2"/>
      <c r="D1942" s="71"/>
      <c r="E1942" s="71" t="str">
        <f>IFERROR(__xludf.DUMMYFUNCTION("""COMPUTED_VALUE""")," ")</f>
        <v> </v>
      </c>
      <c r="F1942" s="2"/>
      <c r="G1942" s="2"/>
      <c r="H1942" s="2"/>
      <c r="I1942" s="72"/>
      <c r="J1942" s="72"/>
      <c r="K1942" s="72"/>
      <c r="L1942" s="72"/>
      <c r="M1942" s="2"/>
      <c r="N1942" s="2"/>
      <c r="O1942" s="2"/>
      <c r="P1942" s="2"/>
      <c r="Q1942" s="2"/>
      <c r="R1942" s="2"/>
      <c r="S1942" s="2"/>
      <c r="T1942" s="2"/>
      <c r="U1942" s="2"/>
      <c r="V1942" s="2"/>
      <c r="W1942" s="2"/>
      <c r="X1942" s="2"/>
      <c r="Y1942" s="2"/>
      <c r="Z1942" s="2"/>
      <c r="AA1942" s="2"/>
      <c r="AB1942" s="2"/>
      <c r="AC1942" s="2"/>
      <c r="AD1942" s="2"/>
      <c r="AE1942" s="2"/>
      <c r="AF1942" s="2"/>
      <c r="AG1942" s="2"/>
      <c r="AH1942" s="2"/>
      <c r="AI1942" s="2"/>
      <c r="AJ1942" s="2" t="str">
        <f>IFERROR(__xludf.DUMMYFUNCTION("""COMPUTED_VALUE"""),"")</f>
        <v/>
      </c>
      <c r="AK1942" s="2" t="str">
        <f>IFERROR(__xludf.DUMMYFUNCTION("""COMPUTED_VALUE"""),"")</f>
        <v/>
      </c>
      <c r="AL1942" s="2" t="str">
        <f>IFERROR(__xludf.DUMMYFUNCTION("""COMPUTED_VALUE"""),"")</f>
        <v/>
      </c>
      <c r="AM1942" s="2" t="str">
        <f>IFERROR(__xludf.DUMMYFUNCTION("""COMPUTED_VALUE"""),"")</f>
        <v/>
      </c>
      <c r="AN1942" s="2" t="str">
        <f>IFERROR(__xludf.DUMMYFUNCTION("""COMPUTED_VALUE""")," ")</f>
        <v> </v>
      </c>
      <c r="AO1942" s="2" t="str">
        <f>IFERROR(__xludf.DUMMYFUNCTION("""COMPUTED_VALUE""")," ")</f>
        <v> </v>
      </c>
      <c r="AP1942" s="2" t="str">
        <f>IFERROR(__xludf.DUMMYFUNCTION("""COMPUTED_VALUE"""),"")</f>
        <v/>
      </c>
      <c r="AQ1942" s="2"/>
      <c r="AR1942" s="2"/>
      <c r="AS1942" s="2"/>
      <c r="AT1942" s="2"/>
      <c r="AU1942" s="2"/>
      <c r="AV1942" s="2"/>
      <c r="AW1942" s="2"/>
      <c r="AX1942" s="2"/>
      <c r="AY1942" s="2"/>
      <c r="AZ1942" s="2"/>
      <c r="BA1942" s="2"/>
      <c r="BB1942" s="2"/>
    </row>
    <row r="1943">
      <c r="A1943" s="2"/>
      <c r="B1943" s="2" t="str">
        <f>IFERROR(__xludf.DUMMYFUNCTION("""COMPUTED_VALUE"""),"")</f>
        <v/>
      </c>
      <c r="C1943" s="2"/>
      <c r="D1943" s="71"/>
      <c r="E1943" s="71" t="str">
        <f>IFERROR(__xludf.DUMMYFUNCTION("""COMPUTED_VALUE""")," ")</f>
        <v> </v>
      </c>
      <c r="F1943" s="2"/>
      <c r="G1943" s="2"/>
      <c r="H1943" s="2"/>
      <c r="I1943" s="72"/>
      <c r="J1943" s="72"/>
      <c r="K1943" s="72"/>
      <c r="L1943" s="72"/>
      <c r="M1943" s="2"/>
      <c r="N1943" s="2"/>
      <c r="O1943" s="2"/>
      <c r="P1943" s="2"/>
      <c r="Q1943" s="2"/>
      <c r="R1943" s="2"/>
      <c r="S1943" s="2"/>
      <c r="T1943" s="2"/>
      <c r="U1943" s="2"/>
      <c r="V1943" s="2"/>
      <c r="W1943" s="2"/>
      <c r="X1943" s="2"/>
      <c r="Y1943" s="2"/>
      <c r="Z1943" s="2"/>
      <c r="AA1943" s="2"/>
      <c r="AB1943" s="2"/>
      <c r="AC1943" s="2"/>
      <c r="AD1943" s="2"/>
      <c r="AE1943" s="2"/>
      <c r="AF1943" s="2"/>
      <c r="AG1943" s="2"/>
      <c r="AH1943" s="2"/>
      <c r="AI1943" s="2"/>
      <c r="AJ1943" s="2" t="str">
        <f>IFERROR(__xludf.DUMMYFUNCTION("""COMPUTED_VALUE"""),"")</f>
        <v/>
      </c>
      <c r="AK1943" s="2" t="str">
        <f>IFERROR(__xludf.DUMMYFUNCTION("""COMPUTED_VALUE"""),"")</f>
        <v/>
      </c>
      <c r="AL1943" s="2" t="str">
        <f>IFERROR(__xludf.DUMMYFUNCTION("""COMPUTED_VALUE"""),"")</f>
        <v/>
      </c>
      <c r="AM1943" s="2" t="str">
        <f>IFERROR(__xludf.DUMMYFUNCTION("""COMPUTED_VALUE"""),"")</f>
        <v/>
      </c>
      <c r="AN1943" s="2" t="str">
        <f>IFERROR(__xludf.DUMMYFUNCTION("""COMPUTED_VALUE""")," ")</f>
        <v> </v>
      </c>
      <c r="AO1943" s="2" t="str">
        <f>IFERROR(__xludf.DUMMYFUNCTION("""COMPUTED_VALUE""")," ")</f>
        <v> </v>
      </c>
      <c r="AP1943" s="2" t="str">
        <f>IFERROR(__xludf.DUMMYFUNCTION("""COMPUTED_VALUE"""),"")</f>
        <v/>
      </c>
      <c r="AQ1943" s="2"/>
      <c r="AR1943" s="2"/>
      <c r="AS1943" s="2"/>
      <c r="AT1943" s="2"/>
      <c r="AU1943" s="2"/>
      <c r="AV1943" s="2"/>
      <c r="AW1943" s="2"/>
      <c r="AX1943" s="2"/>
      <c r="AY1943" s="2"/>
      <c r="AZ1943" s="2"/>
      <c r="BA1943" s="2"/>
      <c r="BB1943" s="2"/>
    </row>
    <row r="1944">
      <c r="A1944" s="2"/>
      <c r="B1944" s="2" t="str">
        <f>IFERROR(__xludf.DUMMYFUNCTION("""COMPUTED_VALUE"""),"")</f>
        <v/>
      </c>
      <c r="C1944" s="2"/>
      <c r="D1944" s="71"/>
      <c r="E1944" s="71" t="str">
        <f>IFERROR(__xludf.DUMMYFUNCTION("""COMPUTED_VALUE""")," ")</f>
        <v> </v>
      </c>
      <c r="F1944" s="2"/>
      <c r="G1944" s="2"/>
      <c r="H1944" s="2"/>
      <c r="I1944" s="72"/>
      <c r="J1944" s="72"/>
      <c r="K1944" s="72"/>
      <c r="L1944" s="72"/>
      <c r="M1944" s="2"/>
      <c r="N1944" s="2"/>
      <c r="O1944" s="2"/>
      <c r="P1944" s="2"/>
      <c r="Q1944" s="2"/>
      <c r="R1944" s="2"/>
      <c r="S1944" s="2"/>
      <c r="T1944" s="2"/>
      <c r="U1944" s="2"/>
      <c r="V1944" s="2"/>
      <c r="W1944" s="2"/>
      <c r="X1944" s="2"/>
      <c r="Y1944" s="2"/>
      <c r="Z1944" s="2"/>
      <c r="AA1944" s="2"/>
      <c r="AB1944" s="2"/>
      <c r="AC1944" s="2"/>
      <c r="AD1944" s="2"/>
      <c r="AE1944" s="2"/>
      <c r="AF1944" s="2"/>
      <c r="AG1944" s="2"/>
      <c r="AH1944" s="2"/>
      <c r="AI1944" s="2"/>
      <c r="AJ1944" s="2" t="str">
        <f>IFERROR(__xludf.DUMMYFUNCTION("""COMPUTED_VALUE"""),"")</f>
        <v/>
      </c>
      <c r="AK1944" s="2" t="str">
        <f>IFERROR(__xludf.DUMMYFUNCTION("""COMPUTED_VALUE"""),"")</f>
        <v/>
      </c>
      <c r="AL1944" s="2" t="str">
        <f>IFERROR(__xludf.DUMMYFUNCTION("""COMPUTED_VALUE"""),"")</f>
        <v/>
      </c>
      <c r="AM1944" s="2" t="str">
        <f>IFERROR(__xludf.DUMMYFUNCTION("""COMPUTED_VALUE"""),"")</f>
        <v/>
      </c>
      <c r="AN1944" s="2" t="str">
        <f>IFERROR(__xludf.DUMMYFUNCTION("""COMPUTED_VALUE""")," ")</f>
        <v> </v>
      </c>
      <c r="AO1944" s="2" t="str">
        <f>IFERROR(__xludf.DUMMYFUNCTION("""COMPUTED_VALUE""")," ")</f>
        <v> </v>
      </c>
      <c r="AP1944" s="2" t="str">
        <f>IFERROR(__xludf.DUMMYFUNCTION("""COMPUTED_VALUE"""),"")</f>
        <v/>
      </c>
      <c r="AQ1944" s="2"/>
      <c r="AR1944" s="2"/>
      <c r="AS1944" s="2"/>
      <c r="AT1944" s="2"/>
      <c r="AU1944" s="2"/>
      <c r="AV1944" s="2"/>
      <c r="AW1944" s="2"/>
      <c r="AX1944" s="2"/>
      <c r="AY1944" s="2"/>
      <c r="AZ1944" s="2"/>
      <c r="BA1944" s="2"/>
      <c r="BB1944" s="2"/>
    </row>
    <row r="1945">
      <c r="A1945" s="2"/>
      <c r="B1945" s="2" t="str">
        <f>IFERROR(__xludf.DUMMYFUNCTION("""COMPUTED_VALUE"""),"")</f>
        <v/>
      </c>
      <c r="C1945" s="2"/>
      <c r="D1945" s="71"/>
      <c r="E1945" s="71" t="str">
        <f>IFERROR(__xludf.DUMMYFUNCTION("""COMPUTED_VALUE""")," ")</f>
        <v> </v>
      </c>
      <c r="F1945" s="2"/>
      <c r="G1945" s="2"/>
      <c r="H1945" s="2"/>
      <c r="I1945" s="72"/>
      <c r="J1945" s="72"/>
      <c r="K1945" s="72"/>
      <c r="L1945" s="72"/>
      <c r="M1945" s="2"/>
      <c r="N1945" s="2"/>
      <c r="O1945" s="2"/>
      <c r="P1945" s="2"/>
      <c r="Q1945" s="2"/>
      <c r="R1945" s="2"/>
      <c r="S1945" s="2"/>
      <c r="T1945" s="2"/>
      <c r="U1945" s="2"/>
      <c r="V1945" s="2"/>
      <c r="W1945" s="2"/>
      <c r="X1945" s="2"/>
      <c r="Y1945" s="2"/>
      <c r="Z1945" s="2"/>
      <c r="AA1945" s="2"/>
      <c r="AB1945" s="2"/>
      <c r="AC1945" s="2"/>
      <c r="AD1945" s="2"/>
      <c r="AE1945" s="2"/>
      <c r="AF1945" s="2"/>
      <c r="AG1945" s="2"/>
      <c r="AH1945" s="2"/>
      <c r="AI1945" s="2"/>
      <c r="AJ1945" s="2" t="str">
        <f>IFERROR(__xludf.DUMMYFUNCTION("""COMPUTED_VALUE"""),"")</f>
        <v/>
      </c>
      <c r="AK1945" s="2" t="str">
        <f>IFERROR(__xludf.DUMMYFUNCTION("""COMPUTED_VALUE"""),"")</f>
        <v/>
      </c>
      <c r="AL1945" s="2" t="str">
        <f>IFERROR(__xludf.DUMMYFUNCTION("""COMPUTED_VALUE"""),"")</f>
        <v/>
      </c>
      <c r="AM1945" s="2" t="str">
        <f>IFERROR(__xludf.DUMMYFUNCTION("""COMPUTED_VALUE"""),"")</f>
        <v/>
      </c>
      <c r="AN1945" s="2" t="str">
        <f>IFERROR(__xludf.DUMMYFUNCTION("""COMPUTED_VALUE""")," ")</f>
        <v> </v>
      </c>
      <c r="AO1945" s="2" t="str">
        <f>IFERROR(__xludf.DUMMYFUNCTION("""COMPUTED_VALUE""")," ")</f>
        <v> </v>
      </c>
      <c r="AP1945" s="2" t="str">
        <f>IFERROR(__xludf.DUMMYFUNCTION("""COMPUTED_VALUE"""),"")</f>
        <v/>
      </c>
      <c r="AQ1945" s="2"/>
      <c r="AR1945" s="2"/>
      <c r="AS1945" s="2"/>
      <c r="AT1945" s="2"/>
      <c r="AU1945" s="2"/>
      <c r="AV1945" s="2"/>
      <c r="AW1945" s="2"/>
      <c r="AX1945" s="2"/>
      <c r="AY1945" s="2"/>
      <c r="AZ1945" s="2"/>
      <c r="BA1945" s="2"/>
      <c r="BB1945" s="2"/>
    </row>
    <row r="1946">
      <c r="A1946" s="2"/>
      <c r="B1946" s="2" t="str">
        <f>IFERROR(__xludf.DUMMYFUNCTION("""COMPUTED_VALUE"""),"")</f>
        <v/>
      </c>
      <c r="C1946" s="2"/>
      <c r="D1946" s="71"/>
      <c r="E1946" s="71" t="str">
        <f>IFERROR(__xludf.DUMMYFUNCTION("""COMPUTED_VALUE""")," ")</f>
        <v> </v>
      </c>
      <c r="F1946" s="2"/>
      <c r="G1946" s="2"/>
      <c r="H1946" s="2"/>
      <c r="I1946" s="72"/>
      <c r="J1946" s="72"/>
      <c r="K1946" s="72"/>
      <c r="L1946" s="72"/>
      <c r="M1946" s="2"/>
      <c r="N1946" s="2"/>
      <c r="O1946" s="2"/>
      <c r="P1946" s="2"/>
      <c r="Q1946" s="2"/>
      <c r="R1946" s="2"/>
      <c r="S1946" s="2"/>
      <c r="T1946" s="2"/>
      <c r="U1946" s="2"/>
      <c r="V1946" s="2"/>
      <c r="W1946" s="2"/>
      <c r="X1946" s="2"/>
      <c r="Y1946" s="2"/>
      <c r="Z1946" s="2"/>
      <c r="AA1946" s="2"/>
      <c r="AB1946" s="2"/>
      <c r="AC1946" s="2"/>
      <c r="AD1946" s="2"/>
      <c r="AE1946" s="2"/>
      <c r="AF1946" s="2"/>
      <c r="AG1946" s="2"/>
      <c r="AH1946" s="2"/>
      <c r="AI1946" s="2"/>
      <c r="AJ1946" s="2" t="str">
        <f>IFERROR(__xludf.DUMMYFUNCTION("""COMPUTED_VALUE"""),"")</f>
        <v/>
      </c>
      <c r="AK1946" s="2" t="str">
        <f>IFERROR(__xludf.DUMMYFUNCTION("""COMPUTED_VALUE"""),"")</f>
        <v/>
      </c>
      <c r="AL1946" s="2" t="str">
        <f>IFERROR(__xludf.DUMMYFUNCTION("""COMPUTED_VALUE"""),"")</f>
        <v/>
      </c>
      <c r="AM1946" s="2" t="str">
        <f>IFERROR(__xludf.DUMMYFUNCTION("""COMPUTED_VALUE"""),"")</f>
        <v/>
      </c>
      <c r="AN1946" s="2" t="str">
        <f>IFERROR(__xludf.DUMMYFUNCTION("""COMPUTED_VALUE""")," ")</f>
        <v> </v>
      </c>
      <c r="AO1946" s="2" t="str">
        <f>IFERROR(__xludf.DUMMYFUNCTION("""COMPUTED_VALUE""")," ")</f>
        <v> </v>
      </c>
      <c r="AP1946" s="2" t="str">
        <f>IFERROR(__xludf.DUMMYFUNCTION("""COMPUTED_VALUE"""),"")</f>
        <v/>
      </c>
      <c r="AQ1946" s="2"/>
      <c r="AR1946" s="2"/>
      <c r="AS1946" s="2"/>
      <c r="AT1946" s="2"/>
      <c r="AU1946" s="2"/>
      <c r="AV1946" s="2"/>
      <c r="AW1946" s="2"/>
      <c r="AX1946" s="2"/>
      <c r="AY1946" s="2"/>
      <c r="AZ1946" s="2"/>
      <c r="BA1946" s="2"/>
      <c r="BB1946" s="2"/>
    </row>
    <row r="1947">
      <c r="A1947" s="2"/>
      <c r="B1947" s="2" t="str">
        <f>IFERROR(__xludf.DUMMYFUNCTION("""COMPUTED_VALUE"""),"")</f>
        <v/>
      </c>
      <c r="C1947" s="2"/>
      <c r="D1947" s="71"/>
      <c r="E1947" s="71" t="str">
        <f>IFERROR(__xludf.DUMMYFUNCTION("""COMPUTED_VALUE""")," ")</f>
        <v> </v>
      </c>
      <c r="F1947" s="2"/>
      <c r="G1947" s="2"/>
      <c r="H1947" s="2"/>
      <c r="I1947" s="72"/>
      <c r="J1947" s="72"/>
      <c r="K1947" s="72"/>
      <c r="L1947" s="72"/>
      <c r="M1947" s="2"/>
      <c r="N1947" s="2"/>
      <c r="O1947" s="2"/>
      <c r="P1947" s="2"/>
      <c r="Q1947" s="2"/>
      <c r="R1947" s="2"/>
      <c r="S1947" s="2"/>
      <c r="T1947" s="2"/>
      <c r="U1947" s="2"/>
      <c r="V1947" s="2"/>
      <c r="W1947" s="2"/>
      <c r="X1947" s="2"/>
      <c r="Y1947" s="2"/>
      <c r="Z1947" s="2"/>
      <c r="AA1947" s="2"/>
      <c r="AB1947" s="2"/>
      <c r="AC1947" s="2"/>
      <c r="AD1947" s="2"/>
      <c r="AE1947" s="2"/>
      <c r="AF1947" s="2"/>
      <c r="AG1947" s="2"/>
      <c r="AH1947" s="2"/>
      <c r="AI1947" s="2"/>
      <c r="AJ1947" s="2" t="str">
        <f>IFERROR(__xludf.DUMMYFUNCTION("""COMPUTED_VALUE"""),"")</f>
        <v/>
      </c>
      <c r="AK1947" s="2" t="str">
        <f>IFERROR(__xludf.DUMMYFUNCTION("""COMPUTED_VALUE"""),"")</f>
        <v/>
      </c>
      <c r="AL1947" s="2" t="str">
        <f>IFERROR(__xludf.DUMMYFUNCTION("""COMPUTED_VALUE"""),"")</f>
        <v/>
      </c>
      <c r="AM1947" s="2" t="str">
        <f>IFERROR(__xludf.DUMMYFUNCTION("""COMPUTED_VALUE"""),"")</f>
        <v/>
      </c>
      <c r="AN1947" s="2" t="str">
        <f>IFERROR(__xludf.DUMMYFUNCTION("""COMPUTED_VALUE""")," ")</f>
        <v> </v>
      </c>
      <c r="AO1947" s="2" t="str">
        <f>IFERROR(__xludf.DUMMYFUNCTION("""COMPUTED_VALUE""")," ")</f>
        <v> </v>
      </c>
      <c r="AP1947" s="2" t="str">
        <f>IFERROR(__xludf.DUMMYFUNCTION("""COMPUTED_VALUE"""),"")</f>
        <v/>
      </c>
      <c r="AQ1947" s="2"/>
      <c r="AR1947" s="2"/>
      <c r="AS1947" s="2"/>
      <c r="AT1947" s="2"/>
      <c r="AU1947" s="2"/>
      <c r="AV1947" s="2"/>
      <c r="AW1947" s="2"/>
      <c r="AX1947" s="2"/>
      <c r="AY1947" s="2"/>
      <c r="AZ1947" s="2"/>
      <c r="BA1947" s="2"/>
      <c r="BB1947" s="2"/>
    </row>
    <row r="1948">
      <c r="A1948" s="2"/>
      <c r="B1948" s="2" t="str">
        <f>IFERROR(__xludf.DUMMYFUNCTION("""COMPUTED_VALUE"""),"")</f>
        <v/>
      </c>
      <c r="C1948" s="2"/>
      <c r="D1948" s="71"/>
      <c r="E1948" s="71" t="str">
        <f>IFERROR(__xludf.DUMMYFUNCTION("""COMPUTED_VALUE""")," ")</f>
        <v> </v>
      </c>
      <c r="F1948" s="2"/>
      <c r="G1948" s="2"/>
      <c r="H1948" s="2"/>
      <c r="I1948" s="72"/>
      <c r="J1948" s="72"/>
      <c r="K1948" s="72"/>
      <c r="L1948" s="72"/>
      <c r="M1948" s="2"/>
      <c r="N1948" s="2"/>
      <c r="O1948" s="2"/>
      <c r="P1948" s="2"/>
      <c r="Q1948" s="2"/>
      <c r="R1948" s="2"/>
      <c r="S1948" s="2"/>
      <c r="T1948" s="2"/>
      <c r="U1948" s="2"/>
      <c r="V1948" s="2"/>
      <c r="W1948" s="2"/>
      <c r="X1948" s="2"/>
      <c r="Y1948" s="2"/>
      <c r="Z1948" s="2"/>
      <c r="AA1948" s="2"/>
      <c r="AB1948" s="2"/>
      <c r="AC1948" s="2"/>
      <c r="AD1948" s="2"/>
      <c r="AE1948" s="2"/>
      <c r="AF1948" s="2"/>
      <c r="AG1948" s="2"/>
      <c r="AH1948" s="2"/>
      <c r="AI1948" s="2"/>
      <c r="AJ1948" s="2" t="str">
        <f>IFERROR(__xludf.DUMMYFUNCTION("""COMPUTED_VALUE"""),"")</f>
        <v/>
      </c>
      <c r="AK1948" s="2" t="str">
        <f>IFERROR(__xludf.DUMMYFUNCTION("""COMPUTED_VALUE"""),"")</f>
        <v/>
      </c>
      <c r="AL1948" s="2" t="str">
        <f>IFERROR(__xludf.DUMMYFUNCTION("""COMPUTED_VALUE"""),"")</f>
        <v/>
      </c>
      <c r="AM1948" s="2" t="str">
        <f>IFERROR(__xludf.DUMMYFUNCTION("""COMPUTED_VALUE"""),"")</f>
        <v/>
      </c>
      <c r="AN1948" s="2" t="str">
        <f>IFERROR(__xludf.DUMMYFUNCTION("""COMPUTED_VALUE""")," ")</f>
        <v> </v>
      </c>
      <c r="AO1948" s="2" t="str">
        <f>IFERROR(__xludf.DUMMYFUNCTION("""COMPUTED_VALUE""")," ")</f>
        <v> </v>
      </c>
      <c r="AP1948" s="2" t="str">
        <f>IFERROR(__xludf.DUMMYFUNCTION("""COMPUTED_VALUE"""),"")</f>
        <v/>
      </c>
      <c r="AQ1948" s="2"/>
      <c r="AR1948" s="2"/>
      <c r="AS1948" s="2"/>
      <c r="AT1948" s="2"/>
      <c r="AU1948" s="2"/>
      <c r="AV1948" s="2"/>
      <c r="AW1948" s="2"/>
      <c r="AX1948" s="2"/>
      <c r="AY1948" s="2"/>
      <c r="AZ1948" s="2"/>
      <c r="BA1948" s="2"/>
      <c r="BB1948" s="2"/>
    </row>
    <row r="1949">
      <c r="A1949" s="2"/>
      <c r="B1949" s="2" t="str">
        <f>IFERROR(__xludf.DUMMYFUNCTION("""COMPUTED_VALUE"""),"")</f>
        <v/>
      </c>
      <c r="C1949" s="2"/>
      <c r="D1949" s="71"/>
      <c r="E1949" s="71" t="str">
        <f>IFERROR(__xludf.DUMMYFUNCTION("""COMPUTED_VALUE""")," ")</f>
        <v> </v>
      </c>
      <c r="F1949" s="2"/>
      <c r="G1949" s="2"/>
      <c r="H1949" s="2"/>
      <c r="I1949" s="72"/>
      <c r="J1949" s="72"/>
      <c r="K1949" s="72"/>
      <c r="L1949" s="72"/>
      <c r="M1949" s="2"/>
      <c r="N1949" s="2"/>
      <c r="O1949" s="2"/>
      <c r="P1949" s="2"/>
      <c r="Q1949" s="2"/>
      <c r="R1949" s="2"/>
      <c r="S1949" s="2"/>
      <c r="T1949" s="2"/>
      <c r="U1949" s="2"/>
      <c r="V1949" s="2"/>
      <c r="W1949" s="2"/>
      <c r="X1949" s="2"/>
      <c r="Y1949" s="2"/>
      <c r="Z1949" s="2"/>
      <c r="AA1949" s="2"/>
      <c r="AB1949" s="2"/>
      <c r="AC1949" s="2"/>
      <c r="AD1949" s="2"/>
      <c r="AE1949" s="2"/>
      <c r="AF1949" s="2"/>
      <c r="AG1949" s="2"/>
      <c r="AH1949" s="2"/>
      <c r="AI1949" s="2"/>
      <c r="AJ1949" s="2" t="str">
        <f>IFERROR(__xludf.DUMMYFUNCTION("""COMPUTED_VALUE"""),"")</f>
        <v/>
      </c>
      <c r="AK1949" s="2" t="str">
        <f>IFERROR(__xludf.DUMMYFUNCTION("""COMPUTED_VALUE"""),"")</f>
        <v/>
      </c>
      <c r="AL1949" s="2" t="str">
        <f>IFERROR(__xludf.DUMMYFUNCTION("""COMPUTED_VALUE"""),"")</f>
        <v/>
      </c>
      <c r="AM1949" s="2" t="str">
        <f>IFERROR(__xludf.DUMMYFUNCTION("""COMPUTED_VALUE"""),"")</f>
        <v/>
      </c>
      <c r="AN1949" s="2" t="str">
        <f>IFERROR(__xludf.DUMMYFUNCTION("""COMPUTED_VALUE""")," ")</f>
        <v> </v>
      </c>
      <c r="AO1949" s="2" t="str">
        <f>IFERROR(__xludf.DUMMYFUNCTION("""COMPUTED_VALUE""")," ")</f>
        <v> </v>
      </c>
      <c r="AP1949" s="2" t="str">
        <f>IFERROR(__xludf.DUMMYFUNCTION("""COMPUTED_VALUE"""),"")</f>
        <v/>
      </c>
      <c r="AQ1949" s="2"/>
      <c r="AR1949" s="2"/>
      <c r="AS1949" s="2"/>
      <c r="AT1949" s="2"/>
      <c r="AU1949" s="2"/>
      <c r="AV1949" s="2"/>
      <c r="AW1949" s="2"/>
      <c r="AX1949" s="2"/>
      <c r="AY1949" s="2"/>
      <c r="AZ1949" s="2"/>
      <c r="BA1949" s="2"/>
      <c r="BB1949" s="2"/>
    </row>
    <row r="1950">
      <c r="A1950" s="2"/>
      <c r="B1950" s="2" t="str">
        <f>IFERROR(__xludf.DUMMYFUNCTION("""COMPUTED_VALUE"""),"")</f>
        <v/>
      </c>
      <c r="C1950" s="2"/>
      <c r="D1950" s="71"/>
      <c r="E1950" s="71" t="str">
        <f>IFERROR(__xludf.DUMMYFUNCTION("""COMPUTED_VALUE""")," ")</f>
        <v> </v>
      </c>
      <c r="F1950" s="2"/>
      <c r="G1950" s="2"/>
      <c r="H1950" s="2"/>
      <c r="I1950" s="72"/>
      <c r="J1950" s="72"/>
      <c r="K1950" s="72"/>
      <c r="L1950" s="72"/>
      <c r="M1950" s="2"/>
      <c r="N1950" s="2"/>
      <c r="O1950" s="2"/>
      <c r="P1950" s="2"/>
      <c r="Q1950" s="2"/>
      <c r="R1950" s="2"/>
      <c r="S1950" s="2"/>
      <c r="T1950" s="2"/>
      <c r="U1950" s="2"/>
      <c r="V1950" s="2"/>
      <c r="W1950" s="2"/>
      <c r="X1950" s="2"/>
      <c r="Y1950" s="2"/>
      <c r="Z1950" s="2"/>
      <c r="AA1950" s="2"/>
      <c r="AB1950" s="2"/>
      <c r="AC1950" s="2"/>
      <c r="AD1950" s="2"/>
      <c r="AE1950" s="2"/>
      <c r="AF1950" s="2"/>
      <c r="AG1950" s="2"/>
      <c r="AH1950" s="2"/>
      <c r="AI1950" s="2"/>
      <c r="AJ1950" s="2" t="str">
        <f>IFERROR(__xludf.DUMMYFUNCTION("""COMPUTED_VALUE"""),"")</f>
        <v/>
      </c>
      <c r="AK1950" s="2" t="str">
        <f>IFERROR(__xludf.DUMMYFUNCTION("""COMPUTED_VALUE"""),"")</f>
        <v/>
      </c>
      <c r="AL1950" s="2" t="str">
        <f>IFERROR(__xludf.DUMMYFUNCTION("""COMPUTED_VALUE"""),"")</f>
        <v/>
      </c>
      <c r="AM1950" s="2" t="str">
        <f>IFERROR(__xludf.DUMMYFUNCTION("""COMPUTED_VALUE"""),"")</f>
        <v/>
      </c>
      <c r="AN1950" s="2" t="str">
        <f>IFERROR(__xludf.DUMMYFUNCTION("""COMPUTED_VALUE""")," ")</f>
        <v> </v>
      </c>
      <c r="AO1950" s="2" t="str">
        <f>IFERROR(__xludf.DUMMYFUNCTION("""COMPUTED_VALUE""")," ")</f>
        <v> </v>
      </c>
      <c r="AP1950" s="2" t="str">
        <f>IFERROR(__xludf.DUMMYFUNCTION("""COMPUTED_VALUE"""),"")</f>
        <v/>
      </c>
      <c r="AQ1950" s="2"/>
      <c r="AR1950" s="2"/>
      <c r="AS1950" s="2"/>
      <c r="AT1950" s="2"/>
      <c r="AU1950" s="2"/>
      <c r="AV1950" s="2"/>
      <c r="AW1950" s="2"/>
      <c r="AX1950" s="2"/>
      <c r="AY1950" s="2"/>
      <c r="AZ1950" s="2"/>
      <c r="BA1950" s="2"/>
      <c r="BB1950" s="2"/>
    </row>
    <row r="1951">
      <c r="A1951" s="2"/>
      <c r="B1951" s="2" t="str">
        <f>IFERROR(__xludf.DUMMYFUNCTION("""COMPUTED_VALUE"""),"")</f>
        <v/>
      </c>
      <c r="C1951" s="2"/>
      <c r="D1951" s="71"/>
      <c r="E1951" s="71" t="str">
        <f>IFERROR(__xludf.DUMMYFUNCTION("""COMPUTED_VALUE""")," ")</f>
        <v> </v>
      </c>
      <c r="F1951" s="2"/>
      <c r="G1951" s="2"/>
      <c r="H1951" s="2"/>
      <c r="I1951" s="72"/>
      <c r="J1951" s="72"/>
      <c r="K1951" s="72"/>
      <c r="L1951" s="72"/>
      <c r="M1951" s="2"/>
      <c r="N1951" s="2"/>
      <c r="O1951" s="2"/>
      <c r="P1951" s="2"/>
      <c r="Q1951" s="2"/>
      <c r="R1951" s="2"/>
      <c r="S1951" s="2"/>
      <c r="T1951" s="2"/>
      <c r="U1951" s="2"/>
      <c r="V1951" s="2"/>
      <c r="W1951" s="2"/>
      <c r="X1951" s="2"/>
      <c r="Y1951" s="2"/>
      <c r="Z1951" s="2"/>
      <c r="AA1951" s="2"/>
      <c r="AB1951" s="2"/>
      <c r="AC1951" s="2"/>
      <c r="AD1951" s="2"/>
      <c r="AE1951" s="2"/>
      <c r="AF1951" s="2"/>
      <c r="AG1951" s="2"/>
      <c r="AH1951" s="2"/>
      <c r="AI1951" s="2"/>
      <c r="AJ1951" s="2" t="str">
        <f>IFERROR(__xludf.DUMMYFUNCTION("""COMPUTED_VALUE"""),"")</f>
        <v/>
      </c>
      <c r="AK1951" s="2" t="str">
        <f>IFERROR(__xludf.DUMMYFUNCTION("""COMPUTED_VALUE"""),"")</f>
        <v/>
      </c>
      <c r="AL1951" s="2" t="str">
        <f>IFERROR(__xludf.DUMMYFUNCTION("""COMPUTED_VALUE"""),"")</f>
        <v/>
      </c>
      <c r="AM1951" s="2" t="str">
        <f>IFERROR(__xludf.DUMMYFUNCTION("""COMPUTED_VALUE"""),"")</f>
        <v/>
      </c>
      <c r="AN1951" s="2" t="str">
        <f>IFERROR(__xludf.DUMMYFUNCTION("""COMPUTED_VALUE""")," ")</f>
        <v> </v>
      </c>
      <c r="AO1951" s="2" t="str">
        <f>IFERROR(__xludf.DUMMYFUNCTION("""COMPUTED_VALUE""")," ")</f>
        <v> </v>
      </c>
      <c r="AP1951" s="2" t="str">
        <f>IFERROR(__xludf.DUMMYFUNCTION("""COMPUTED_VALUE"""),"")</f>
        <v/>
      </c>
      <c r="AQ1951" s="2"/>
      <c r="AR1951" s="2"/>
      <c r="AS1951" s="2"/>
      <c r="AT1951" s="2"/>
      <c r="AU1951" s="2"/>
      <c r="AV1951" s="2"/>
      <c r="AW1951" s="2"/>
      <c r="AX1951" s="2"/>
      <c r="AY1951" s="2"/>
      <c r="AZ1951" s="2"/>
      <c r="BA1951" s="2"/>
      <c r="BB1951" s="2"/>
    </row>
    <row r="1952">
      <c r="A1952" s="2"/>
      <c r="B1952" s="2" t="str">
        <f>IFERROR(__xludf.DUMMYFUNCTION("""COMPUTED_VALUE"""),"")</f>
        <v/>
      </c>
      <c r="C1952" s="2"/>
      <c r="D1952" s="71"/>
      <c r="E1952" s="71" t="str">
        <f>IFERROR(__xludf.DUMMYFUNCTION("""COMPUTED_VALUE""")," ")</f>
        <v> </v>
      </c>
      <c r="F1952" s="2"/>
      <c r="G1952" s="2"/>
      <c r="H1952" s="2"/>
      <c r="I1952" s="72"/>
      <c r="J1952" s="72"/>
      <c r="K1952" s="72"/>
      <c r="L1952" s="72"/>
      <c r="M1952" s="2"/>
      <c r="N1952" s="2"/>
      <c r="O1952" s="2"/>
      <c r="P1952" s="2"/>
      <c r="Q1952" s="2"/>
      <c r="R1952" s="2"/>
      <c r="S1952" s="2"/>
      <c r="T1952" s="2"/>
      <c r="U1952" s="2"/>
      <c r="V1952" s="2"/>
      <c r="W1952" s="2"/>
      <c r="X1952" s="2"/>
      <c r="Y1952" s="2"/>
      <c r="Z1952" s="2"/>
      <c r="AA1952" s="2"/>
      <c r="AB1952" s="2"/>
      <c r="AC1952" s="2"/>
      <c r="AD1952" s="2"/>
      <c r="AE1952" s="2"/>
      <c r="AF1952" s="2"/>
      <c r="AG1952" s="2"/>
      <c r="AH1952" s="2"/>
      <c r="AI1952" s="2"/>
      <c r="AJ1952" s="2" t="str">
        <f>IFERROR(__xludf.DUMMYFUNCTION("""COMPUTED_VALUE"""),"")</f>
        <v/>
      </c>
      <c r="AK1952" s="2" t="str">
        <f>IFERROR(__xludf.DUMMYFUNCTION("""COMPUTED_VALUE"""),"")</f>
        <v/>
      </c>
      <c r="AL1952" s="2" t="str">
        <f>IFERROR(__xludf.DUMMYFUNCTION("""COMPUTED_VALUE"""),"")</f>
        <v/>
      </c>
      <c r="AM1952" s="2" t="str">
        <f>IFERROR(__xludf.DUMMYFUNCTION("""COMPUTED_VALUE"""),"")</f>
        <v/>
      </c>
      <c r="AN1952" s="2" t="str">
        <f>IFERROR(__xludf.DUMMYFUNCTION("""COMPUTED_VALUE""")," ")</f>
        <v> </v>
      </c>
      <c r="AO1952" s="2" t="str">
        <f>IFERROR(__xludf.DUMMYFUNCTION("""COMPUTED_VALUE""")," ")</f>
        <v> </v>
      </c>
      <c r="AP1952" s="2" t="str">
        <f>IFERROR(__xludf.DUMMYFUNCTION("""COMPUTED_VALUE"""),"")</f>
        <v/>
      </c>
      <c r="AQ1952" s="2"/>
      <c r="AR1952" s="2"/>
      <c r="AS1952" s="2"/>
      <c r="AT1952" s="2"/>
      <c r="AU1952" s="2"/>
      <c r="AV1952" s="2"/>
      <c r="AW1952" s="2"/>
      <c r="AX1952" s="2"/>
      <c r="AY1952" s="2"/>
      <c r="AZ1952" s="2"/>
      <c r="BA1952" s="2"/>
      <c r="BB1952" s="2"/>
    </row>
    <row r="1953">
      <c r="A1953" s="2"/>
      <c r="B1953" s="2" t="str">
        <f>IFERROR(__xludf.DUMMYFUNCTION("""COMPUTED_VALUE"""),"")</f>
        <v/>
      </c>
      <c r="C1953" s="2"/>
      <c r="D1953" s="71"/>
      <c r="E1953" s="71" t="str">
        <f>IFERROR(__xludf.DUMMYFUNCTION("""COMPUTED_VALUE""")," ")</f>
        <v> </v>
      </c>
      <c r="F1953" s="2"/>
      <c r="G1953" s="2"/>
      <c r="H1953" s="2"/>
      <c r="I1953" s="72"/>
      <c r="J1953" s="72"/>
      <c r="K1953" s="72"/>
      <c r="L1953" s="72"/>
      <c r="M1953" s="2"/>
      <c r="N1953" s="2"/>
      <c r="O1953" s="2"/>
      <c r="P1953" s="2"/>
      <c r="Q1953" s="2"/>
      <c r="R1953" s="2"/>
      <c r="S1953" s="2"/>
      <c r="T1953" s="2"/>
      <c r="U1953" s="2"/>
      <c r="V1953" s="2"/>
      <c r="W1953" s="2"/>
      <c r="X1953" s="2"/>
      <c r="Y1953" s="2"/>
      <c r="Z1953" s="2"/>
      <c r="AA1953" s="2"/>
      <c r="AB1953" s="2"/>
      <c r="AC1953" s="2"/>
      <c r="AD1953" s="2"/>
      <c r="AE1953" s="2"/>
      <c r="AF1953" s="2"/>
      <c r="AG1953" s="2"/>
      <c r="AH1953" s="2"/>
      <c r="AI1953" s="2"/>
      <c r="AJ1953" s="2" t="str">
        <f>IFERROR(__xludf.DUMMYFUNCTION("""COMPUTED_VALUE"""),"")</f>
        <v/>
      </c>
      <c r="AK1953" s="2" t="str">
        <f>IFERROR(__xludf.DUMMYFUNCTION("""COMPUTED_VALUE"""),"")</f>
        <v/>
      </c>
      <c r="AL1953" s="2" t="str">
        <f>IFERROR(__xludf.DUMMYFUNCTION("""COMPUTED_VALUE"""),"")</f>
        <v/>
      </c>
      <c r="AM1953" s="2" t="str">
        <f>IFERROR(__xludf.DUMMYFUNCTION("""COMPUTED_VALUE"""),"")</f>
        <v/>
      </c>
      <c r="AN1953" s="2" t="str">
        <f>IFERROR(__xludf.DUMMYFUNCTION("""COMPUTED_VALUE""")," ")</f>
        <v> </v>
      </c>
      <c r="AO1953" s="2" t="str">
        <f>IFERROR(__xludf.DUMMYFUNCTION("""COMPUTED_VALUE""")," ")</f>
        <v> </v>
      </c>
      <c r="AP1953" s="2" t="str">
        <f>IFERROR(__xludf.DUMMYFUNCTION("""COMPUTED_VALUE"""),"")</f>
        <v/>
      </c>
      <c r="AQ1953" s="2"/>
      <c r="AR1953" s="2"/>
      <c r="AS1953" s="2"/>
      <c r="AT1953" s="2"/>
      <c r="AU1953" s="2"/>
      <c r="AV1953" s="2"/>
      <c r="AW1953" s="2"/>
      <c r="AX1953" s="2"/>
      <c r="AY1953" s="2"/>
      <c r="AZ1953" s="2"/>
      <c r="BA1953" s="2"/>
      <c r="BB1953" s="2"/>
    </row>
    <row r="1954">
      <c r="A1954" s="2"/>
      <c r="B1954" s="2" t="str">
        <f>IFERROR(__xludf.DUMMYFUNCTION("""COMPUTED_VALUE"""),"")</f>
        <v/>
      </c>
      <c r="C1954" s="2"/>
      <c r="D1954" s="71"/>
      <c r="E1954" s="71" t="str">
        <f>IFERROR(__xludf.DUMMYFUNCTION("""COMPUTED_VALUE""")," ")</f>
        <v> </v>
      </c>
      <c r="F1954" s="2"/>
      <c r="G1954" s="2"/>
      <c r="H1954" s="2"/>
      <c r="I1954" s="72"/>
      <c r="J1954" s="72"/>
      <c r="K1954" s="72"/>
      <c r="L1954" s="72"/>
      <c r="M1954" s="2"/>
      <c r="N1954" s="2"/>
      <c r="O1954" s="2"/>
      <c r="P1954" s="2"/>
      <c r="Q1954" s="2"/>
      <c r="R1954" s="2"/>
      <c r="S1954" s="2"/>
      <c r="T1954" s="2"/>
      <c r="U1954" s="2"/>
      <c r="V1954" s="2"/>
      <c r="W1954" s="2"/>
      <c r="X1954" s="2"/>
      <c r="Y1954" s="2"/>
      <c r="Z1954" s="2"/>
      <c r="AA1954" s="2"/>
      <c r="AB1954" s="2"/>
      <c r="AC1954" s="2"/>
      <c r="AD1954" s="2"/>
      <c r="AE1954" s="2"/>
      <c r="AF1954" s="2"/>
      <c r="AG1954" s="2"/>
      <c r="AH1954" s="2"/>
      <c r="AI1954" s="2"/>
      <c r="AJ1954" s="2" t="str">
        <f>IFERROR(__xludf.DUMMYFUNCTION("""COMPUTED_VALUE"""),"")</f>
        <v/>
      </c>
      <c r="AK1954" s="2" t="str">
        <f>IFERROR(__xludf.DUMMYFUNCTION("""COMPUTED_VALUE"""),"")</f>
        <v/>
      </c>
      <c r="AL1954" s="2" t="str">
        <f>IFERROR(__xludf.DUMMYFUNCTION("""COMPUTED_VALUE"""),"")</f>
        <v/>
      </c>
      <c r="AM1954" s="2" t="str">
        <f>IFERROR(__xludf.DUMMYFUNCTION("""COMPUTED_VALUE"""),"")</f>
        <v/>
      </c>
      <c r="AN1954" s="2" t="str">
        <f>IFERROR(__xludf.DUMMYFUNCTION("""COMPUTED_VALUE""")," ")</f>
        <v> </v>
      </c>
      <c r="AO1954" s="2" t="str">
        <f>IFERROR(__xludf.DUMMYFUNCTION("""COMPUTED_VALUE""")," ")</f>
        <v> </v>
      </c>
      <c r="AP1954" s="2" t="str">
        <f>IFERROR(__xludf.DUMMYFUNCTION("""COMPUTED_VALUE"""),"")</f>
        <v/>
      </c>
      <c r="AQ1954" s="2"/>
      <c r="AR1954" s="2"/>
      <c r="AS1954" s="2"/>
      <c r="AT1954" s="2"/>
      <c r="AU1954" s="2"/>
      <c r="AV1954" s="2"/>
      <c r="AW1954" s="2"/>
      <c r="AX1954" s="2"/>
      <c r="AY1954" s="2"/>
      <c r="AZ1954" s="2"/>
      <c r="BA1954" s="2"/>
      <c r="BB1954" s="2"/>
    </row>
    <row r="1955">
      <c r="A1955" s="2"/>
      <c r="B1955" s="2" t="str">
        <f>IFERROR(__xludf.DUMMYFUNCTION("""COMPUTED_VALUE"""),"")</f>
        <v/>
      </c>
      <c r="C1955" s="2"/>
      <c r="D1955" s="71"/>
      <c r="E1955" s="71" t="str">
        <f>IFERROR(__xludf.DUMMYFUNCTION("""COMPUTED_VALUE""")," ")</f>
        <v> </v>
      </c>
      <c r="F1955" s="2"/>
      <c r="G1955" s="2"/>
      <c r="H1955" s="2"/>
      <c r="I1955" s="72"/>
      <c r="J1955" s="72"/>
      <c r="K1955" s="72"/>
      <c r="L1955" s="72"/>
      <c r="M1955" s="2"/>
      <c r="N1955" s="2"/>
      <c r="O1955" s="2"/>
      <c r="P1955" s="2"/>
      <c r="Q1955" s="2"/>
      <c r="R1955" s="2"/>
      <c r="S1955" s="2"/>
      <c r="T1955" s="2"/>
      <c r="U1955" s="2"/>
      <c r="V1955" s="2"/>
      <c r="W1955" s="2"/>
      <c r="X1955" s="2"/>
      <c r="Y1955" s="2"/>
      <c r="Z1955" s="2"/>
      <c r="AA1955" s="2"/>
      <c r="AB1955" s="2"/>
      <c r="AC1955" s="2"/>
      <c r="AD1955" s="2"/>
      <c r="AE1955" s="2"/>
      <c r="AF1955" s="2"/>
      <c r="AG1955" s="2"/>
      <c r="AH1955" s="2"/>
      <c r="AI1955" s="2"/>
      <c r="AJ1955" s="2" t="str">
        <f>IFERROR(__xludf.DUMMYFUNCTION("""COMPUTED_VALUE"""),"")</f>
        <v/>
      </c>
      <c r="AK1955" s="2" t="str">
        <f>IFERROR(__xludf.DUMMYFUNCTION("""COMPUTED_VALUE"""),"")</f>
        <v/>
      </c>
      <c r="AL1955" s="2" t="str">
        <f>IFERROR(__xludf.DUMMYFUNCTION("""COMPUTED_VALUE"""),"")</f>
        <v/>
      </c>
      <c r="AM1955" s="2" t="str">
        <f>IFERROR(__xludf.DUMMYFUNCTION("""COMPUTED_VALUE"""),"")</f>
        <v/>
      </c>
      <c r="AN1955" s="2" t="str">
        <f>IFERROR(__xludf.DUMMYFUNCTION("""COMPUTED_VALUE""")," ")</f>
        <v> </v>
      </c>
      <c r="AO1955" s="2" t="str">
        <f>IFERROR(__xludf.DUMMYFUNCTION("""COMPUTED_VALUE""")," ")</f>
        <v> </v>
      </c>
      <c r="AP1955" s="2" t="str">
        <f>IFERROR(__xludf.DUMMYFUNCTION("""COMPUTED_VALUE"""),"")</f>
        <v/>
      </c>
      <c r="AQ1955" s="2"/>
      <c r="AR1955" s="2"/>
      <c r="AS1955" s="2"/>
      <c r="AT1955" s="2"/>
      <c r="AU1955" s="2"/>
      <c r="AV1955" s="2"/>
      <c r="AW1955" s="2"/>
      <c r="AX1955" s="2"/>
      <c r="AY1955" s="2"/>
      <c r="AZ1955" s="2"/>
      <c r="BA1955" s="2"/>
      <c r="BB1955" s="2"/>
    </row>
    <row r="1956">
      <c r="A1956" s="2"/>
      <c r="B1956" s="2" t="str">
        <f>IFERROR(__xludf.DUMMYFUNCTION("""COMPUTED_VALUE"""),"")</f>
        <v/>
      </c>
      <c r="C1956" s="2"/>
      <c r="D1956" s="71"/>
      <c r="E1956" s="71" t="str">
        <f>IFERROR(__xludf.DUMMYFUNCTION("""COMPUTED_VALUE""")," ")</f>
        <v> </v>
      </c>
      <c r="F1956" s="2"/>
      <c r="G1956" s="2"/>
      <c r="H1956" s="2"/>
      <c r="I1956" s="72"/>
      <c r="J1956" s="72"/>
      <c r="K1956" s="72"/>
      <c r="L1956" s="72"/>
      <c r="M1956" s="2"/>
      <c r="N1956" s="2"/>
      <c r="O1956" s="2"/>
      <c r="P1956" s="2"/>
      <c r="Q1956" s="2"/>
      <c r="R1956" s="2"/>
      <c r="S1956" s="2"/>
      <c r="T1956" s="2"/>
      <c r="U1956" s="2"/>
      <c r="V1956" s="2"/>
      <c r="W1956" s="2"/>
      <c r="X1956" s="2"/>
      <c r="Y1956" s="2"/>
      <c r="Z1956" s="2"/>
      <c r="AA1956" s="2"/>
      <c r="AB1956" s="2"/>
      <c r="AC1956" s="2"/>
      <c r="AD1956" s="2"/>
      <c r="AE1956" s="2"/>
      <c r="AF1956" s="2"/>
      <c r="AG1956" s="2"/>
      <c r="AH1956" s="2"/>
      <c r="AI1956" s="2"/>
      <c r="AJ1956" s="2" t="str">
        <f>IFERROR(__xludf.DUMMYFUNCTION("""COMPUTED_VALUE"""),"")</f>
        <v/>
      </c>
      <c r="AK1956" s="2" t="str">
        <f>IFERROR(__xludf.DUMMYFUNCTION("""COMPUTED_VALUE"""),"")</f>
        <v/>
      </c>
      <c r="AL1956" s="2" t="str">
        <f>IFERROR(__xludf.DUMMYFUNCTION("""COMPUTED_VALUE"""),"")</f>
        <v/>
      </c>
      <c r="AM1956" s="2" t="str">
        <f>IFERROR(__xludf.DUMMYFUNCTION("""COMPUTED_VALUE"""),"")</f>
        <v/>
      </c>
      <c r="AN1956" s="2" t="str">
        <f>IFERROR(__xludf.DUMMYFUNCTION("""COMPUTED_VALUE""")," ")</f>
        <v> </v>
      </c>
      <c r="AO1956" s="2" t="str">
        <f>IFERROR(__xludf.DUMMYFUNCTION("""COMPUTED_VALUE""")," ")</f>
        <v> </v>
      </c>
      <c r="AP1956" s="2" t="str">
        <f>IFERROR(__xludf.DUMMYFUNCTION("""COMPUTED_VALUE"""),"")</f>
        <v/>
      </c>
      <c r="AQ1956" s="2"/>
      <c r="AR1956" s="2"/>
      <c r="AS1956" s="2"/>
      <c r="AT1956" s="2"/>
      <c r="AU1956" s="2"/>
      <c r="AV1956" s="2"/>
      <c r="AW1956" s="2"/>
      <c r="AX1956" s="2"/>
      <c r="AY1956" s="2"/>
      <c r="AZ1956" s="2"/>
      <c r="BA1956" s="2"/>
      <c r="BB1956" s="2"/>
    </row>
    <row r="1957">
      <c r="A1957" s="2"/>
      <c r="B1957" s="2" t="str">
        <f>IFERROR(__xludf.DUMMYFUNCTION("""COMPUTED_VALUE"""),"")</f>
        <v/>
      </c>
      <c r="C1957" s="2"/>
      <c r="D1957" s="71"/>
      <c r="E1957" s="71" t="str">
        <f>IFERROR(__xludf.DUMMYFUNCTION("""COMPUTED_VALUE""")," ")</f>
        <v> </v>
      </c>
      <c r="F1957" s="2"/>
      <c r="G1957" s="2"/>
      <c r="H1957" s="2"/>
      <c r="I1957" s="72"/>
      <c r="J1957" s="72"/>
      <c r="K1957" s="72"/>
      <c r="L1957" s="72"/>
      <c r="M1957" s="2"/>
      <c r="N1957" s="2"/>
      <c r="O1957" s="2"/>
      <c r="P1957" s="2"/>
      <c r="Q1957" s="2"/>
      <c r="R1957" s="2"/>
      <c r="S1957" s="2"/>
      <c r="T1957" s="2"/>
      <c r="U1957" s="2"/>
      <c r="V1957" s="2"/>
      <c r="W1957" s="2"/>
      <c r="X1957" s="2"/>
      <c r="Y1957" s="2"/>
      <c r="Z1957" s="2"/>
      <c r="AA1957" s="2"/>
      <c r="AB1957" s="2"/>
      <c r="AC1957" s="2"/>
      <c r="AD1957" s="2"/>
      <c r="AE1957" s="2"/>
      <c r="AF1957" s="2"/>
      <c r="AG1957" s="2"/>
      <c r="AH1957" s="2"/>
      <c r="AI1957" s="2"/>
      <c r="AJ1957" s="2" t="str">
        <f>IFERROR(__xludf.DUMMYFUNCTION("""COMPUTED_VALUE"""),"")</f>
        <v/>
      </c>
      <c r="AK1957" s="2" t="str">
        <f>IFERROR(__xludf.DUMMYFUNCTION("""COMPUTED_VALUE"""),"")</f>
        <v/>
      </c>
      <c r="AL1957" s="2" t="str">
        <f>IFERROR(__xludf.DUMMYFUNCTION("""COMPUTED_VALUE"""),"")</f>
        <v/>
      </c>
      <c r="AM1957" s="2" t="str">
        <f>IFERROR(__xludf.DUMMYFUNCTION("""COMPUTED_VALUE"""),"")</f>
        <v/>
      </c>
      <c r="AN1957" s="2" t="str">
        <f>IFERROR(__xludf.DUMMYFUNCTION("""COMPUTED_VALUE""")," ")</f>
        <v> </v>
      </c>
      <c r="AO1957" s="2" t="str">
        <f>IFERROR(__xludf.DUMMYFUNCTION("""COMPUTED_VALUE""")," ")</f>
        <v> </v>
      </c>
      <c r="AP1957" s="2" t="str">
        <f>IFERROR(__xludf.DUMMYFUNCTION("""COMPUTED_VALUE"""),"")</f>
        <v/>
      </c>
      <c r="AQ1957" s="2"/>
      <c r="AR1957" s="2"/>
      <c r="AS1957" s="2"/>
      <c r="AT1957" s="2"/>
      <c r="AU1957" s="2"/>
      <c r="AV1957" s="2"/>
      <c r="AW1957" s="2"/>
      <c r="AX1957" s="2"/>
      <c r="AY1957" s="2"/>
      <c r="AZ1957" s="2"/>
      <c r="BA1957" s="2"/>
      <c r="BB1957" s="2"/>
    </row>
    <row r="1958">
      <c r="A1958" s="2"/>
      <c r="B1958" s="2"/>
      <c r="C1958" s="2"/>
      <c r="D1958" s="71"/>
      <c r="E1958" s="71"/>
      <c r="F1958" s="2"/>
      <c r="G1958" s="2"/>
      <c r="H1958" s="2"/>
      <c r="I1958" s="72"/>
      <c r="J1958" s="72"/>
      <c r="K1958" s="72"/>
      <c r="L1958" s="72"/>
      <c r="M1958" s="2"/>
      <c r="N1958" s="2"/>
      <c r="O1958" s="2"/>
      <c r="P1958" s="2"/>
      <c r="Q1958" s="2"/>
      <c r="R1958" s="2"/>
      <c r="S1958" s="2"/>
      <c r="T1958" s="2"/>
      <c r="U1958" s="2"/>
      <c r="V1958" s="2"/>
      <c r="W1958" s="2"/>
      <c r="X1958" s="2"/>
      <c r="Y1958" s="2"/>
      <c r="Z1958" s="2"/>
      <c r="AA1958" s="2"/>
      <c r="AB1958" s="2"/>
      <c r="AC1958" s="2"/>
      <c r="AD1958" s="2"/>
      <c r="AE1958" s="2"/>
      <c r="AF1958" s="2"/>
      <c r="AG1958" s="2"/>
      <c r="AH1958" s="2"/>
      <c r="AI1958" s="2"/>
      <c r="AJ1958" s="2" t="str">
        <f>IFERROR(__xludf.DUMMYFUNCTION("""COMPUTED_VALUE"""),"")</f>
        <v/>
      </c>
      <c r="AK1958" s="2" t="str">
        <f>IFERROR(__xludf.DUMMYFUNCTION("""COMPUTED_VALUE"""),"")</f>
        <v/>
      </c>
      <c r="AL1958" s="2" t="str">
        <f>IFERROR(__xludf.DUMMYFUNCTION("""COMPUTED_VALUE"""),"")</f>
        <v/>
      </c>
      <c r="AM1958" s="2" t="str">
        <f>IFERROR(__xludf.DUMMYFUNCTION("""COMPUTED_VALUE"""),"")</f>
        <v/>
      </c>
      <c r="AN1958" s="2" t="str">
        <f>IFERROR(__xludf.DUMMYFUNCTION("""COMPUTED_VALUE""")," ")</f>
        <v> </v>
      </c>
      <c r="AO1958" s="2" t="str">
        <f>IFERROR(__xludf.DUMMYFUNCTION("""COMPUTED_VALUE""")," ")</f>
        <v> </v>
      </c>
      <c r="AP1958" s="2" t="str">
        <f>IFERROR(__xludf.DUMMYFUNCTION("""COMPUTED_VALUE"""),"")</f>
        <v/>
      </c>
      <c r="AQ1958" s="2"/>
      <c r="AR1958" s="2"/>
      <c r="AS1958" s="2"/>
      <c r="AT1958" s="2"/>
      <c r="AU1958" s="2"/>
      <c r="AV1958" s="2"/>
      <c r="AW1958" s="2"/>
      <c r="AX1958" s="2"/>
      <c r="AY1958" s="2"/>
      <c r="AZ1958" s="2"/>
      <c r="BA1958" s="2"/>
      <c r="BB1958" s="2"/>
    </row>
    <row r="1959">
      <c r="A1959" s="2"/>
      <c r="B1959" s="2" t="str">
        <f>IFERROR(__xludf.DUMMYFUNCTION("""COMPUTED_VALUE"""),"")</f>
        <v/>
      </c>
      <c r="C1959" s="2"/>
      <c r="D1959" s="71"/>
      <c r="E1959" s="71" t="str">
        <f>IFERROR(__xludf.DUMMYFUNCTION("""COMPUTED_VALUE""")," ")</f>
        <v> </v>
      </c>
      <c r="F1959" s="2"/>
      <c r="G1959" s="2"/>
      <c r="H1959" s="2"/>
      <c r="I1959" s="72"/>
      <c r="J1959" s="72"/>
      <c r="K1959" s="72"/>
      <c r="L1959" s="72"/>
      <c r="M1959" s="2"/>
      <c r="N1959" s="2"/>
      <c r="O1959" s="2"/>
      <c r="P1959" s="2"/>
      <c r="Q1959" s="2"/>
      <c r="R1959" s="2"/>
      <c r="S1959" s="2"/>
      <c r="T1959" s="2"/>
      <c r="U1959" s="2"/>
      <c r="V1959" s="2"/>
      <c r="W1959" s="2"/>
      <c r="X1959" s="2"/>
      <c r="Y1959" s="2"/>
      <c r="Z1959" s="2"/>
      <c r="AA1959" s="2"/>
      <c r="AB1959" s="2"/>
      <c r="AC1959" s="2"/>
      <c r="AD1959" s="2"/>
      <c r="AE1959" s="2"/>
      <c r="AF1959" s="2"/>
      <c r="AG1959" s="2"/>
      <c r="AH1959" s="2"/>
      <c r="AI1959" s="2"/>
      <c r="AJ1959" s="2" t="str">
        <f>IFERROR(__xludf.DUMMYFUNCTION("""COMPUTED_VALUE"""),"")</f>
        <v/>
      </c>
      <c r="AK1959" s="2" t="str">
        <f>IFERROR(__xludf.DUMMYFUNCTION("""COMPUTED_VALUE"""),"")</f>
        <v/>
      </c>
      <c r="AL1959" s="2" t="str">
        <f>IFERROR(__xludf.DUMMYFUNCTION("""COMPUTED_VALUE"""),"")</f>
        <v/>
      </c>
      <c r="AM1959" s="2" t="str">
        <f>IFERROR(__xludf.DUMMYFUNCTION("""COMPUTED_VALUE"""),"")</f>
        <v/>
      </c>
      <c r="AN1959" s="2" t="str">
        <f>IFERROR(__xludf.DUMMYFUNCTION("""COMPUTED_VALUE""")," ")</f>
        <v> </v>
      </c>
      <c r="AO1959" s="2" t="str">
        <f>IFERROR(__xludf.DUMMYFUNCTION("""COMPUTED_VALUE""")," ")</f>
        <v> </v>
      </c>
      <c r="AP1959" s="2" t="str">
        <f>IFERROR(__xludf.DUMMYFUNCTION("""COMPUTED_VALUE"""),"")</f>
        <v/>
      </c>
      <c r="AQ1959" s="2"/>
      <c r="AR1959" s="2"/>
      <c r="AS1959" s="2"/>
      <c r="AT1959" s="2"/>
      <c r="AU1959" s="2"/>
      <c r="AV1959" s="2"/>
      <c r="AW1959" s="2"/>
      <c r="AX1959" s="2"/>
      <c r="AY1959" s="2"/>
      <c r="AZ1959" s="2"/>
      <c r="BA1959" s="2"/>
      <c r="BB1959" s="2"/>
    </row>
    <row r="1960">
      <c r="A1960" s="2"/>
      <c r="B1960" s="2" t="str">
        <f>IFERROR(__xludf.DUMMYFUNCTION("""COMPUTED_VALUE"""),"")</f>
        <v/>
      </c>
      <c r="C1960" s="2"/>
      <c r="D1960" s="71"/>
      <c r="E1960" s="71" t="str">
        <f>IFERROR(__xludf.DUMMYFUNCTION("""COMPUTED_VALUE""")," ")</f>
        <v> </v>
      </c>
      <c r="F1960" s="2"/>
      <c r="G1960" s="2"/>
      <c r="H1960" s="2"/>
      <c r="I1960" s="72"/>
      <c r="J1960" s="72"/>
      <c r="K1960" s="72"/>
      <c r="L1960" s="72"/>
      <c r="M1960" s="2"/>
      <c r="N1960" s="2"/>
      <c r="O1960" s="2"/>
      <c r="P1960" s="2"/>
      <c r="Q1960" s="2"/>
      <c r="R1960" s="2"/>
      <c r="S1960" s="2"/>
      <c r="T1960" s="2"/>
      <c r="U1960" s="2"/>
      <c r="V1960" s="2"/>
      <c r="W1960" s="2"/>
      <c r="X1960" s="2"/>
      <c r="Y1960" s="2"/>
      <c r="Z1960" s="2"/>
      <c r="AA1960" s="2"/>
      <c r="AB1960" s="2"/>
      <c r="AC1960" s="2"/>
      <c r="AD1960" s="2"/>
      <c r="AE1960" s="2"/>
      <c r="AF1960" s="2"/>
      <c r="AG1960" s="2"/>
      <c r="AH1960" s="2"/>
      <c r="AI1960" s="2"/>
      <c r="AJ1960" s="2" t="str">
        <f>IFERROR(__xludf.DUMMYFUNCTION("""COMPUTED_VALUE"""),"")</f>
        <v/>
      </c>
      <c r="AK1960" s="2" t="str">
        <f>IFERROR(__xludf.DUMMYFUNCTION("""COMPUTED_VALUE"""),"")</f>
        <v/>
      </c>
      <c r="AL1960" s="2" t="str">
        <f>IFERROR(__xludf.DUMMYFUNCTION("""COMPUTED_VALUE"""),"")</f>
        <v/>
      </c>
      <c r="AM1960" s="2" t="str">
        <f>IFERROR(__xludf.DUMMYFUNCTION("""COMPUTED_VALUE"""),"")</f>
        <v/>
      </c>
      <c r="AN1960" s="2" t="str">
        <f>IFERROR(__xludf.DUMMYFUNCTION("""COMPUTED_VALUE""")," ")</f>
        <v> </v>
      </c>
      <c r="AO1960" s="2" t="str">
        <f>IFERROR(__xludf.DUMMYFUNCTION("""COMPUTED_VALUE""")," ")</f>
        <v> </v>
      </c>
      <c r="AP1960" s="2" t="str">
        <f>IFERROR(__xludf.DUMMYFUNCTION("""COMPUTED_VALUE"""),"")</f>
        <v/>
      </c>
      <c r="AQ1960" s="2"/>
      <c r="AR1960" s="2"/>
      <c r="AS1960" s="2"/>
      <c r="AT1960" s="2"/>
      <c r="AU1960" s="2"/>
      <c r="AV1960" s="2"/>
      <c r="AW1960" s="2"/>
      <c r="AX1960" s="2"/>
      <c r="AY1960" s="2"/>
      <c r="AZ1960" s="2"/>
      <c r="BA1960" s="2"/>
      <c r="BB1960" s="2"/>
    </row>
    <row r="1961">
      <c r="A1961" s="2"/>
      <c r="B1961" s="2" t="str">
        <f>IFERROR(__xludf.DUMMYFUNCTION("""COMPUTED_VALUE"""),"")</f>
        <v/>
      </c>
      <c r="C1961" s="2"/>
      <c r="D1961" s="71"/>
      <c r="E1961" s="71" t="str">
        <f>IFERROR(__xludf.DUMMYFUNCTION("""COMPUTED_VALUE""")," ")</f>
        <v> </v>
      </c>
      <c r="F1961" s="2"/>
      <c r="G1961" s="2"/>
      <c r="H1961" s="2"/>
      <c r="I1961" s="72"/>
      <c r="J1961" s="72"/>
      <c r="K1961" s="72"/>
      <c r="L1961" s="72"/>
      <c r="M1961" s="2"/>
      <c r="N1961" s="2"/>
      <c r="O1961" s="2"/>
      <c r="P1961" s="2"/>
      <c r="Q1961" s="2"/>
      <c r="R1961" s="2"/>
      <c r="S1961" s="2"/>
      <c r="T1961" s="2"/>
      <c r="U1961" s="2"/>
      <c r="V1961" s="2"/>
      <c r="W1961" s="2"/>
      <c r="X1961" s="2"/>
      <c r="Y1961" s="2"/>
      <c r="Z1961" s="2"/>
      <c r="AA1961" s="2"/>
      <c r="AB1961" s="2"/>
      <c r="AC1961" s="2"/>
      <c r="AD1961" s="2"/>
      <c r="AE1961" s="2"/>
      <c r="AF1961" s="2"/>
      <c r="AG1961" s="2"/>
      <c r="AH1961" s="2"/>
      <c r="AI1961" s="2"/>
      <c r="AJ1961" s="2" t="str">
        <f>IFERROR(__xludf.DUMMYFUNCTION("""COMPUTED_VALUE"""),"")</f>
        <v/>
      </c>
      <c r="AK1961" s="2" t="str">
        <f>IFERROR(__xludf.DUMMYFUNCTION("""COMPUTED_VALUE"""),"")</f>
        <v/>
      </c>
      <c r="AL1961" s="2" t="str">
        <f>IFERROR(__xludf.DUMMYFUNCTION("""COMPUTED_VALUE"""),"")</f>
        <v/>
      </c>
      <c r="AM1961" s="2" t="str">
        <f>IFERROR(__xludf.DUMMYFUNCTION("""COMPUTED_VALUE"""),"")</f>
        <v/>
      </c>
      <c r="AN1961" s="2" t="str">
        <f>IFERROR(__xludf.DUMMYFUNCTION("""COMPUTED_VALUE""")," ")</f>
        <v> </v>
      </c>
      <c r="AO1961" s="2" t="str">
        <f>IFERROR(__xludf.DUMMYFUNCTION("""COMPUTED_VALUE""")," ")</f>
        <v> </v>
      </c>
      <c r="AP1961" s="2" t="str">
        <f>IFERROR(__xludf.DUMMYFUNCTION("""COMPUTED_VALUE"""),"")</f>
        <v/>
      </c>
      <c r="AQ1961" s="2"/>
      <c r="AR1961" s="2"/>
      <c r="AS1961" s="2"/>
      <c r="AT1961" s="2"/>
      <c r="AU1961" s="2"/>
      <c r="AV1961" s="2"/>
      <c r="AW1961" s="2"/>
      <c r="AX1961" s="2"/>
      <c r="AY1961" s="2"/>
      <c r="AZ1961" s="2"/>
      <c r="BA1961" s="2"/>
      <c r="BB1961" s="2"/>
    </row>
    <row r="1962">
      <c r="A1962" s="2"/>
      <c r="B1962" s="2" t="str">
        <f>IFERROR(__xludf.DUMMYFUNCTION("""COMPUTED_VALUE"""),"")</f>
        <v/>
      </c>
      <c r="C1962" s="2"/>
      <c r="D1962" s="71"/>
      <c r="E1962" s="71" t="str">
        <f>IFERROR(__xludf.DUMMYFUNCTION("""COMPUTED_VALUE""")," ")</f>
        <v> </v>
      </c>
      <c r="F1962" s="2"/>
      <c r="G1962" s="2"/>
      <c r="H1962" s="2"/>
      <c r="I1962" s="72"/>
      <c r="J1962" s="72"/>
      <c r="K1962" s="72"/>
      <c r="L1962" s="72"/>
      <c r="M1962" s="2"/>
      <c r="N1962" s="2"/>
      <c r="O1962" s="2"/>
      <c r="P1962" s="2"/>
      <c r="Q1962" s="2"/>
      <c r="R1962" s="2"/>
      <c r="S1962" s="2"/>
      <c r="T1962" s="2"/>
      <c r="U1962" s="2"/>
      <c r="V1962" s="2"/>
      <c r="W1962" s="2"/>
      <c r="X1962" s="2"/>
      <c r="Y1962" s="2"/>
      <c r="Z1962" s="2"/>
      <c r="AA1962" s="2"/>
      <c r="AB1962" s="2"/>
      <c r="AC1962" s="2"/>
      <c r="AD1962" s="2"/>
      <c r="AE1962" s="2"/>
      <c r="AF1962" s="2"/>
      <c r="AG1962" s="2"/>
      <c r="AH1962" s="2"/>
      <c r="AI1962" s="2"/>
      <c r="AJ1962" s="2" t="str">
        <f>IFERROR(__xludf.DUMMYFUNCTION("""COMPUTED_VALUE"""),"")</f>
        <v/>
      </c>
      <c r="AK1962" s="2" t="str">
        <f>IFERROR(__xludf.DUMMYFUNCTION("""COMPUTED_VALUE"""),"")</f>
        <v/>
      </c>
      <c r="AL1962" s="2" t="str">
        <f>IFERROR(__xludf.DUMMYFUNCTION("""COMPUTED_VALUE"""),"")</f>
        <v/>
      </c>
      <c r="AM1962" s="2" t="str">
        <f>IFERROR(__xludf.DUMMYFUNCTION("""COMPUTED_VALUE"""),"")</f>
        <v/>
      </c>
      <c r="AN1962" s="2" t="str">
        <f>IFERROR(__xludf.DUMMYFUNCTION("""COMPUTED_VALUE""")," ")</f>
        <v> </v>
      </c>
      <c r="AO1962" s="2" t="str">
        <f>IFERROR(__xludf.DUMMYFUNCTION("""COMPUTED_VALUE""")," ")</f>
        <v> </v>
      </c>
      <c r="AP1962" s="2" t="str">
        <f>IFERROR(__xludf.DUMMYFUNCTION("""COMPUTED_VALUE"""),"")</f>
        <v/>
      </c>
      <c r="AQ1962" s="2"/>
      <c r="AR1962" s="2"/>
      <c r="AS1962" s="2"/>
      <c r="AT1962" s="2"/>
      <c r="AU1962" s="2"/>
      <c r="AV1962" s="2"/>
      <c r="AW1962" s="2"/>
      <c r="AX1962" s="2"/>
      <c r="AY1962" s="2"/>
      <c r="AZ1962" s="2"/>
      <c r="BA1962" s="2"/>
      <c r="BB1962" s="2"/>
    </row>
    <row r="1963">
      <c r="A1963" s="2"/>
      <c r="B1963" s="2" t="str">
        <f>IFERROR(__xludf.DUMMYFUNCTION("""COMPUTED_VALUE"""),"")</f>
        <v/>
      </c>
      <c r="C1963" s="2"/>
      <c r="D1963" s="71"/>
      <c r="E1963" s="71" t="str">
        <f>IFERROR(__xludf.DUMMYFUNCTION("""COMPUTED_VALUE""")," ")</f>
        <v> </v>
      </c>
      <c r="F1963" s="2"/>
      <c r="G1963" s="2"/>
      <c r="H1963" s="2"/>
      <c r="I1963" s="72"/>
      <c r="J1963" s="72"/>
      <c r="K1963" s="72"/>
      <c r="L1963" s="72"/>
      <c r="M1963" s="2"/>
      <c r="N1963" s="2"/>
      <c r="O1963" s="2"/>
      <c r="P1963" s="2"/>
      <c r="Q1963" s="2"/>
      <c r="R1963" s="2"/>
      <c r="S1963" s="2"/>
      <c r="T1963" s="2"/>
      <c r="U1963" s="2"/>
      <c r="V1963" s="2"/>
      <c r="W1963" s="2"/>
      <c r="X1963" s="2"/>
      <c r="Y1963" s="2"/>
      <c r="Z1963" s="2"/>
      <c r="AA1963" s="2"/>
      <c r="AB1963" s="2"/>
      <c r="AC1963" s="2"/>
      <c r="AD1963" s="2"/>
      <c r="AE1963" s="2"/>
      <c r="AF1963" s="2"/>
      <c r="AG1963" s="2"/>
      <c r="AH1963" s="2"/>
      <c r="AI1963" s="2"/>
      <c r="AJ1963" s="2" t="str">
        <f>IFERROR(__xludf.DUMMYFUNCTION("""COMPUTED_VALUE"""),"")</f>
        <v/>
      </c>
      <c r="AK1963" s="2" t="str">
        <f>IFERROR(__xludf.DUMMYFUNCTION("""COMPUTED_VALUE"""),"")</f>
        <v/>
      </c>
      <c r="AL1963" s="2" t="str">
        <f>IFERROR(__xludf.DUMMYFUNCTION("""COMPUTED_VALUE"""),"")</f>
        <v/>
      </c>
      <c r="AM1963" s="2" t="str">
        <f>IFERROR(__xludf.DUMMYFUNCTION("""COMPUTED_VALUE"""),"")</f>
        <v/>
      </c>
      <c r="AN1963" s="2" t="str">
        <f>IFERROR(__xludf.DUMMYFUNCTION("""COMPUTED_VALUE""")," ")</f>
        <v> </v>
      </c>
      <c r="AO1963" s="2" t="str">
        <f>IFERROR(__xludf.DUMMYFUNCTION("""COMPUTED_VALUE""")," ")</f>
        <v> </v>
      </c>
      <c r="AP1963" s="2" t="str">
        <f>IFERROR(__xludf.DUMMYFUNCTION("""COMPUTED_VALUE"""),"")</f>
        <v/>
      </c>
      <c r="AQ1963" s="2"/>
      <c r="AR1963" s="2"/>
      <c r="AS1963" s="2"/>
      <c r="AT1963" s="2"/>
      <c r="AU1963" s="2"/>
      <c r="AV1963" s="2"/>
      <c r="AW1963" s="2"/>
      <c r="AX1963" s="2"/>
      <c r="AY1963" s="2"/>
      <c r="AZ1963" s="2"/>
      <c r="BA1963" s="2"/>
      <c r="BB1963" s="2"/>
    </row>
    <row r="1964">
      <c r="A1964" s="2"/>
      <c r="B1964" s="2" t="str">
        <f>IFERROR(__xludf.DUMMYFUNCTION("""COMPUTED_VALUE"""),"")</f>
        <v/>
      </c>
      <c r="C1964" s="2"/>
      <c r="D1964" s="71"/>
      <c r="E1964" s="71" t="str">
        <f>IFERROR(__xludf.DUMMYFUNCTION("""COMPUTED_VALUE""")," ")</f>
        <v> </v>
      </c>
      <c r="F1964" s="2"/>
      <c r="G1964" s="2"/>
      <c r="H1964" s="2"/>
      <c r="I1964" s="72"/>
      <c r="J1964" s="72"/>
      <c r="K1964" s="72"/>
      <c r="L1964" s="72"/>
      <c r="M1964" s="2"/>
      <c r="N1964" s="2"/>
      <c r="O1964" s="2"/>
      <c r="P1964" s="2"/>
      <c r="Q1964" s="2"/>
      <c r="R1964" s="2"/>
      <c r="S1964" s="2"/>
      <c r="T1964" s="2"/>
      <c r="U1964" s="2"/>
      <c r="V1964" s="2"/>
      <c r="W1964" s="2"/>
      <c r="X1964" s="2"/>
      <c r="Y1964" s="2"/>
      <c r="Z1964" s="2"/>
      <c r="AA1964" s="2"/>
      <c r="AB1964" s="2"/>
      <c r="AC1964" s="2"/>
      <c r="AD1964" s="2"/>
      <c r="AE1964" s="2"/>
      <c r="AF1964" s="2"/>
      <c r="AG1964" s="2"/>
      <c r="AH1964" s="2"/>
      <c r="AI1964" s="2"/>
      <c r="AJ1964" s="2" t="str">
        <f>IFERROR(__xludf.DUMMYFUNCTION("""COMPUTED_VALUE"""),"")</f>
        <v/>
      </c>
      <c r="AK1964" s="2" t="str">
        <f>IFERROR(__xludf.DUMMYFUNCTION("""COMPUTED_VALUE"""),"")</f>
        <v/>
      </c>
      <c r="AL1964" s="2" t="str">
        <f>IFERROR(__xludf.DUMMYFUNCTION("""COMPUTED_VALUE"""),"")</f>
        <v/>
      </c>
      <c r="AM1964" s="2" t="str">
        <f>IFERROR(__xludf.DUMMYFUNCTION("""COMPUTED_VALUE"""),"")</f>
        <v/>
      </c>
      <c r="AN1964" s="2" t="str">
        <f>IFERROR(__xludf.DUMMYFUNCTION("""COMPUTED_VALUE""")," ")</f>
        <v> </v>
      </c>
      <c r="AO1964" s="2" t="str">
        <f>IFERROR(__xludf.DUMMYFUNCTION("""COMPUTED_VALUE""")," ")</f>
        <v> </v>
      </c>
      <c r="AP1964" s="2" t="str">
        <f>IFERROR(__xludf.DUMMYFUNCTION("""COMPUTED_VALUE"""),"")</f>
        <v/>
      </c>
      <c r="AQ1964" s="2"/>
      <c r="AR1964" s="2"/>
      <c r="AS1964" s="2"/>
      <c r="AT1964" s="2"/>
      <c r="AU1964" s="2"/>
      <c r="AV1964" s="2"/>
      <c r="AW1964" s="2"/>
      <c r="AX1964" s="2"/>
      <c r="AY1964" s="2"/>
      <c r="AZ1964" s="2"/>
      <c r="BA1964" s="2"/>
      <c r="BB1964" s="2"/>
    </row>
    <row r="1965">
      <c r="A1965" s="2"/>
      <c r="B1965" s="2" t="str">
        <f>IFERROR(__xludf.DUMMYFUNCTION("""COMPUTED_VALUE"""),"")</f>
        <v/>
      </c>
      <c r="C1965" s="2"/>
      <c r="D1965" s="71"/>
      <c r="E1965" s="71" t="str">
        <f>IFERROR(__xludf.DUMMYFUNCTION("""COMPUTED_VALUE""")," ")</f>
        <v> </v>
      </c>
      <c r="F1965" s="2"/>
      <c r="G1965" s="2"/>
      <c r="H1965" s="2"/>
      <c r="I1965" s="72"/>
      <c r="J1965" s="72"/>
      <c r="K1965" s="72"/>
      <c r="L1965" s="72"/>
      <c r="M1965" s="2"/>
      <c r="N1965" s="2"/>
      <c r="O1965" s="2"/>
      <c r="P1965" s="2"/>
      <c r="Q1965" s="2"/>
      <c r="R1965" s="2"/>
      <c r="S1965" s="2"/>
      <c r="T1965" s="2"/>
      <c r="U1965" s="2"/>
      <c r="V1965" s="2"/>
      <c r="W1965" s="2"/>
      <c r="X1965" s="2"/>
      <c r="Y1965" s="2"/>
      <c r="Z1965" s="2"/>
      <c r="AA1965" s="2"/>
      <c r="AB1965" s="2"/>
      <c r="AC1965" s="2"/>
      <c r="AD1965" s="2"/>
      <c r="AE1965" s="2"/>
      <c r="AF1965" s="2"/>
      <c r="AG1965" s="2"/>
      <c r="AH1965" s="2"/>
      <c r="AI1965" s="2"/>
      <c r="AJ1965" s="2" t="str">
        <f>IFERROR(__xludf.DUMMYFUNCTION("""COMPUTED_VALUE"""),"")</f>
        <v/>
      </c>
      <c r="AK1965" s="2" t="str">
        <f>IFERROR(__xludf.DUMMYFUNCTION("""COMPUTED_VALUE"""),"")</f>
        <v/>
      </c>
      <c r="AL1965" s="2" t="str">
        <f>IFERROR(__xludf.DUMMYFUNCTION("""COMPUTED_VALUE"""),"")</f>
        <v/>
      </c>
      <c r="AM1965" s="2" t="str">
        <f>IFERROR(__xludf.DUMMYFUNCTION("""COMPUTED_VALUE"""),"")</f>
        <v/>
      </c>
      <c r="AN1965" s="2" t="str">
        <f>IFERROR(__xludf.DUMMYFUNCTION("""COMPUTED_VALUE""")," ")</f>
        <v> </v>
      </c>
      <c r="AO1965" s="2" t="str">
        <f>IFERROR(__xludf.DUMMYFUNCTION("""COMPUTED_VALUE""")," ")</f>
        <v> </v>
      </c>
      <c r="AP1965" s="2" t="str">
        <f>IFERROR(__xludf.DUMMYFUNCTION("""COMPUTED_VALUE"""),"")</f>
        <v/>
      </c>
      <c r="AQ1965" s="2"/>
      <c r="AR1965" s="2"/>
      <c r="AS1965" s="2"/>
      <c r="AT1965" s="2"/>
      <c r="AU1965" s="2"/>
      <c r="AV1965" s="2"/>
      <c r="AW1965" s="2"/>
      <c r="AX1965" s="2"/>
      <c r="AY1965" s="2"/>
      <c r="AZ1965" s="2"/>
      <c r="BA1965" s="2"/>
      <c r="BB1965" s="2"/>
    </row>
    <row r="1966">
      <c r="A1966" s="2"/>
      <c r="B1966" s="2" t="str">
        <f>IFERROR(__xludf.DUMMYFUNCTION("""COMPUTED_VALUE"""),"")</f>
        <v/>
      </c>
      <c r="C1966" s="2"/>
      <c r="D1966" s="71"/>
      <c r="E1966" s="71" t="str">
        <f>IFERROR(__xludf.DUMMYFUNCTION("""COMPUTED_VALUE""")," ")</f>
        <v> </v>
      </c>
      <c r="F1966" s="2"/>
      <c r="G1966" s="2"/>
      <c r="H1966" s="2"/>
      <c r="I1966" s="72"/>
      <c r="J1966" s="72"/>
      <c r="K1966" s="72"/>
      <c r="L1966" s="72"/>
      <c r="M1966" s="2"/>
      <c r="N1966" s="2"/>
      <c r="O1966" s="2"/>
      <c r="P1966" s="2"/>
      <c r="Q1966" s="2"/>
      <c r="R1966" s="2"/>
      <c r="S1966" s="2"/>
      <c r="T1966" s="2"/>
      <c r="U1966" s="2"/>
      <c r="V1966" s="2"/>
      <c r="W1966" s="2"/>
      <c r="X1966" s="2"/>
      <c r="Y1966" s="2"/>
      <c r="Z1966" s="2"/>
      <c r="AA1966" s="2"/>
      <c r="AB1966" s="2"/>
      <c r="AC1966" s="2"/>
      <c r="AD1966" s="2"/>
      <c r="AE1966" s="2"/>
      <c r="AF1966" s="2"/>
      <c r="AG1966" s="2"/>
      <c r="AH1966" s="2"/>
      <c r="AI1966" s="2"/>
      <c r="AJ1966" s="2" t="str">
        <f>IFERROR(__xludf.DUMMYFUNCTION("""COMPUTED_VALUE"""),"")</f>
        <v/>
      </c>
      <c r="AK1966" s="2" t="str">
        <f>IFERROR(__xludf.DUMMYFUNCTION("""COMPUTED_VALUE"""),"")</f>
        <v/>
      </c>
      <c r="AL1966" s="2" t="str">
        <f>IFERROR(__xludf.DUMMYFUNCTION("""COMPUTED_VALUE"""),"")</f>
        <v/>
      </c>
      <c r="AM1966" s="2" t="str">
        <f>IFERROR(__xludf.DUMMYFUNCTION("""COMPUTED_VALUE"""),"")</f>
        <v/>
      </c>
      <c r="AN1966" s="2" t="str">
        <f>IFERROR(__xludf.DUMMYFUNCTION("""COMPUTED_VALUE""")," ")</f>
        <v> </v>
      </c>
      <c r="AO1966" s="2" t="str">
        <f>IFERROR(__xludf.DUMMYFUNCTION("""COMPUTED_VALUE""")," ")</f>
        <v> </v>
      </c>
      <c r="AP1966" s="2" t="str">
        <f>IFERROR(__xludf.DUMMYFUNCTION("""COMPUTED_VALUE"""),"")</f>
        <v/>
      </c>
      <c r="AQ1966" s="2"/>
      <c r="AR1966" s="2"/>
      <c r="AS1966" s="2"/>
      <c r="AT1966" s="2"/>
      <c r="AU1966" s="2"/>
      <c r="AV1966" s="2"/>
      <c r="AW1966" s="2"/>
      <c r="AX1966" s="2"/>
      <c r="AY1966" s="2"/>
      <c r="AZ1966" s="2"/>
      <c r="BA1966" s="2"/>
      <c r="BB1966" s="2"/>
    </row>
    <row r="1967">
      <c r="A1967" s="2"/>
      <c r="B1967" s="2" t="str">
        <f>IFERROR(__xludf.DUMMYFUNCTION("""COMPUTED_VALUE"""),"")</f>
        <v/>
      </c>
      <c r="C1967" s="2"/>
      <c r="D1967" s="71"/>
      <c r="E1967" s="71" t="str">
        <f>IFERROR(__xludf.DUMMYFUNCTION("""COMPUTED_VALUE""")," ")</f>
        <v> </v>
      </c>
      <c r="F1967" s="2"/>
      <c r="G1967" s="2"/>
      <c r="H1967" s="2"/>
      <c r="I1967" s="72"/>
      <c r="J1967" s="72"/>
      <c r="K1967" s="72"/>
      <c r="L1967" s="72"/>
      <c r="M1967" s="2"/>
      <c r="N1967" s="2"/>
      <c r="O1967" s="2"/>
      <c r="P1967" s="2"/>
      <c r="Q1967" s="2"/>
      <c r="R1967" s="2"/>
      <c r="S1967" s="2"/>
      <c r="T1967" s="2"/>
      <c r="U1967" s="2"/>
      <c r="V1967" s="2"/>
      <c r="W1967" s="2"/>
      <c r="X1967" s="2"/>
      <c r="Y1967" s="2"/>
      <c r="Z1967" s="2"/>
      <c r="AA1967" s="2"/>
      <c r="AB1967" s="2"/>
      <c r="AC1967" s="2"/>
      <c r="AD1967" s="2"/>
      <c r="AE1967" s="2"/>
      <c r="AF1967" s="2"/>
      <c r="AG1967" s="2"/>
      <c r="AH1967" s="2"/>
      <c r="AI1967" s="2"/>
      <c r="AJ1967" s="2" t="str">
        <f>IFERROR(__xludf.DUMMYFUNCTION("""COMPUTED_VALUE"""),"")</f>
        <v/>
      </c>
      <c r="AK1967" s="2" t="str">
        <f>IFERROR(__xludf.DUMMYFUNCTION("""COMPUTED_VALUE"""),"")</f>
        <v/>
      </c>
      <c r="AL1967" s="2" t="str">
        <f>IFERROR(__xludf.DUMMYFUNCTION("""COMPUTED_VALUE"""),"")</f>
        <v/>
      </c>
      <c r="AM1967" s="2" t="str">
        <f>IFERROR(__xludf.DUMMYFUNCTION("""COMPUTED_VALUE"""),"")</f>
        <v/>
      </c>
      <c r="AN1967" s="2" t="str">
        <f>IFERROR(__xludf.DUMMYFUNCTION("""COMPUTED_VALUE""")," ")</f>
        <v> </v>
      </c>
      <c r="AO1967" s="2" t="str">
        <f>IFERROR(__xludf.DUMMYFUNCTION("""COMPUTED_VALUE""")," ")</f>
        <v> </v>
      </c>
      <c r="AP1967" s="2" t="str">
        <f>IFERROR(__xludf.DUMMYFUNCTION("""COMPUTED_VALUE"""),"")</f>
        <v/>
      </c>
      <c r="AQ1967" s="2"/>
      <c r="AR1967" s="2"/>
      <c r="AS1967" s="2"/>
      <c r="AT1967" s="2"/>
      <c r="AU1967" s="2"/>
      <c r="AV1967" s="2"/>
      <c r="AW1967" s="2"/>
      <c r="AX1967" s="2"/>
      <c r="AY1967" s="2"/>
      <c r="AZ1967" s="2"/>
      <c r="BA1967" s="2"/>
      <c r="BB1967" s="2"/>
    </row>
    <row r="1968">
      <c r="A1968" s="2"/>
      <c r="B1968" s="2" t="str">
        <f>IFERROR(__xludf.DUMMYFUNCTION("""COMPUTED_VALUE"""),"")</f>
        <v/>
      </c>
      <c r="C1968" s="2"/>
      <c r="D1968" s="71"/>
      <c r="E1968" s="71" t="str">
        <f>IFERROR(__xludf.DUMMYFUNCTION("""COMPUTED_VALUE""")," ")</f>
        <v> </v>
      </c>
      <c r="F1968" s="2"/>
      <c r="G1968" s="2"/>
      <c r="H1968" s="2"/>
      <c r="I1968" s="72"/>
      <c r="J1968" s="72"/>
      <c r="K1968" s="72"/>
      <c r="L1968" s="72"/>
      <c r="M1968" s="2"/>
      <c r="N1968" s="2"/>
      <c r="O1968" s="2"/>
      <c r="P1968" s="2"/>
      <c r="Q1968" s="2"/>
      <c r="R1968" s="2"/>
      <c r="S1968" s="2"/>
      <c r="T1968" s="2"/>
      <c r="U1968" s="2"/>
      <c r="V1968" s="2"/>
      <c r="W1968" s="2"/>
      <c r="X1968" s="2"/>
      <c r="Y1968" s="2"/>
      <c r="Z1968" s="2"/>
      <c r="AA1968" s="2"/>
      <c r="AB1968" s="2"/>
      <c r="AC1968" s="2"/>
      <c r="AD1968" s="2"/>
      <c r="AE1968" s="2"/>
      <c r="AF1968" s="2"/>
      <c r="AG1968" s="2"/>
      <c r="AH1968" s="2"/>
      <c r="AI1968" s="2"/>
      <c r="AJ1968" s="2" t="str">
        <f>IFERROR(__xludf.DUMMYFUNCTION("""COMPUTED_VALUE"""),"")</f>
        <v/>
      </c>
      <c r="AK1968" s="2" t="str">
        <f>IFERROR(__xludf.DUMMYFUNCTION("""COMPUTED_VALUE"""),"")</f>
        <v/>
      </c>
      <c r="AL1968" s="2" t="str">
        <f>IFERROR(__xludf.DUMMYFUNCTION("""COMPUTED_VALUE"""),"")</f>
        <v/>
      </c>
      <c r="AM1968" s="2" t="str">
        <f>IFERROR(__xludf.DUMMYFUNCTION("""COMPUTED_VALUE"""),"")</f>
        <v/>
      </c>
      <c r="AN1968" s="2" t="str">
        <f>IFERROR(__xludf.DUMMYFUNCTION("""COMPUTED_VALUE""")," ")</f>
        <v> </v>
      </c>
      <c r="AO1968" s="2" t="str">
        <f>IFERROR(__xludf.DUMMYFUNCTION("""COMPUTED_VALUE""")," ")</f>
        <v> </v>
      </c>
      <c r="AP1968" s="2" t="str">
        <f>IFERROR(__xludf.DUMMYFUNCTION("""COMPUTED_VALUE"""),"")</f>
        <v/>
      </c>
      <c r="AQ1968" s="2"/>
      <c r="AR1968" s="2"/>
      <c r="AS1968" s="2"/>
      <c r="AT1968" s="2"/>
      <c r="AU1968" s="2"/>
      <c r="AV1968" s="2"/>
      <c r="AW1968" s="2"/>
      <c r="AX1968" s="2"/>
      <c r="AY1968" s="2"/>
      <c r="AZ1968" s="2"/>
      <c r="BA1968" s="2"/>
      <c r="BB1968" s="2"/>
    </row>
    <row r="1969">
      <c r="A1969" s="2"/>
      <c r="B1969" s="2" t="str">
        <f>IFERROR(__xludf.DUMMYFUNCTION("""COMPUTED_VALUE"""),"")</f>
        <v/>
      </c>
      <c r="C1969" s="2"/>
      <c r="D1969" s="71"/>
      <c r="E1969" s="71" t="str">
        <f>IFERROR(__xludf.DUMMYFUNCTION("""COMPUTED_VALUE""")," ")</f>
        <v> </v>
      </c>
      <c r="F1969" s="2"/>
      <c r="G1969" s="2"/>
      <c r="H1969" s="2"/>
      <c r="I1969" s="72"/>
      <c r="J1969" s="72"/>
      <c r="K1969" s="72"/>
      <c r="L1969" s="72"/>
      <c r="M1969" s="2"/>
      <c r="N1969" s="2"/>
      <c r="O1969" s="2"/>
      <c r="P1969" s="2"/>
      <c r="Q1969" s="2"/>
      <c r="R1969" s="2"/>
      <c r="S1969" s="2"/>
      <c r="T1969" s="2"/>
      <c r="U1969" s="2"/>
      <c r="V1969" s="2"/>
      <c r="W1969" s="2"/>
      <c r="X1969" s="2"/>
      <c r="Y1969" s="2"/>
      <c r="Z1969" s="2"/>
      <c r="AA1969" s="2"/>
      <c r="AB1969" s="2"/>
      <c r="AC1969" s="2"/>
      <c r="AD1969" s="2"/>
      <c r="AE1969" s="2"/>
      <c r="AF1969" s="2"/>
      <c r="AG1969" s="2"/>
      <c r="AH1969" s="2"/>
      <c r="AI1969" s="2"/>
      <c r="AJ1969" s="2" t="str">
        <f>IFERROR(__xludf.DUMMYFUNCTION("""COMPUTED_VALUE"""),"")</f>
        <v/>
      </c>
      <c r="AK1969" s="2" t="str">
        <f>IFERROR(__xludf.DUMMYFUNCTION("""COMPUTED_VALUE"""),"")</f>
        <v/>
      </c>
      <c r="AL1969" s="2" t="str">
        <f>IFERROR(__xludf.DUMMYFUNCTION("""COMPUTED_VALUE"""),"")</f>
        <v/>
      </c>
      <c r="AM1969" s="2" t="str">
        <f>IFERROR(__xludf.DUMMYFUNCTION("""COMPUTED_VALUE"""),"")</f>
        <v/>
      </c>
      <c r="AN1969" s="2" t="str">
        <f>IFERROR(__xludf.DUMMYFUNCTION("""COMPUTED_VALUE""")," ")</f>
        <v> </v>
      </c>
      <c r="AO1969" s="2" t="str">
        <f>IFERROR(__xludf.DUMMYFUNCTION("""COMPUTED_VALUE""")," ")</f>
        <v> </v>
      </c>
      <c r="AP1969" s="2" t="str">
        <f>IFERROR(__xludf.DUMMYFUNCTION("""COMPUTED_VALUE"""),"")</f>
        <v/>
      </c>
      <c r="AQ1969" s="2"/>
      <c r="AR1969" s="2"/>
      <c r="AS1969" s="2"/>
      <c r="AT1969" s="2"/>
      <c r="AU1969" s="2"/>
      <c r="AV1969" s="2"/>
      <c r="AW1969" s="2"/>
      <c r="AX1969" s="2"/>
      <c r="AY1969" s="2"/>
      <c r="AZ1969" s="2"/>
      <c r="BA1969" s="2"/>
      <c r="BB1969" s="2"/>
    </row>
    <row r="1970">
      <c r="A1970" s="2"/>
      <c r="B1970" s="2" t="str">
        <f>IFERROR(__xludf.DUMMYFUNCTION("""COMPUTED_VALUE"""),"")</f>
        <v/>
      </c>
      <c r="C1970" s="2"/>
      <c r="D1970" s="71"/>
      <c r="E1970" s="71" t="str">
        <f>IFERROR(__xludf.DUMMYFUNCTION("""COMPUTED_VALUE""")," ")</f>
        <v> </v>
      </c>
      <c r="F1970" s="2"/>
      <c r="G1970" s="2"/>
      <c r="H1970" s="2"/>
      <c r="I1970" s="72"/>
      <c r="J1970" s="72"/>
      <c r="K1970" s="72"/>
      <c r="L1970" s="72"/>
      <c r="M1970" s="2"/>
      <c r="N1970" s="2"/>
      <c r="O1970" s="2"/>
      <c r="P1970" s="2"/>
      <c r="Q1970" s="2"/>
      <c r="R1970" s="2"/>
      <c r="S1970" s="2"/>
      <c r="T1970" s="2"/>
      <c r="U1970" s="2"/>
      <c r="V1970" s="2"/>
      <c r="W1970" s="2"/>
      <c r="X1970" s="2"/>
      <c r="Y1970" s="2"/>
      <c r="Z1970" s="2"/>
      <c r="AA1970" s="2"/>
      <c r="AB1970" s="2"/>
      <c r="AC1970" s="2"/>
      <c r="AD1970" s="2"/>
      <c r="AE1970" s="2"/>
      <c r="AF1970" s="2"/>
      <c r="AG1970" s="2"/>
      <c r="AH1970" s="2"/>
      <c r="AI1970" s="2"/>
      <c r="AJ1970" s="2" t="str">
        <f>IFERROR(__xludf.DUMMYFUNCTION("""COMPUTED_VALUE"""),"")</f>
        <v/>
      </c>
      <c r="AK1970" s="2" t="str">
        <f>IFERROR(__xludf.DUMMYFUNCTION("""COMPUTED_VALUE"""),"")</f>
        <v/>
      </c>
      <c r="AL1970" s="2" t="str">
        <f>IFERROR(__xludf.DUMMYFUNCTION("""COMPUTED_VALUE"""),"")</f>
        <v/>
      </c>
      <c r="AM1970" s="2" t="str">
        <f>IFERROR(__xludf.DUMMYFUNCTION("""COMPUTED_VALUE"""),"")</f>
        <v/>
      </c>
      <c r="AN1970" s="2" t="str">
        <f>IFERROR(__xludf.DUMMYFUNCTION("""COMPUTED_VALUE""")," ")</f>
        <v> </v>
      </c>
      <c r="AO1970" s="2" t="str">
        <f>IFERROR(__xludf.DUMMYFUNCTION("""COMPUTED_VALUE""")," ")</f>
        <v> </v>
      </c>
      <c r="AP1970" s="2" t="str">
        <f>IFERROR(__xludf.DUMMYFUNCTION("""COMPUTED_VALUE"""),"")</f>
        <v/>
      </c>
      <c r="AQ1970" s="2"/>
      <c r="AR1970" s="2"/>
      <c r="AS1970" s="2"/>
      <c r="AT1970" s="2"/>
      <c r="AU1970" s="2"/>
      <c r="AV1970" s="2"/>
      <c r="AW1970" s="2"/>
      <c r="AX1970" s="2"/>
      <c r="AY1970" s="2"/>
      <c r="AZ1970" s="2"/>
      <c r="BA1970" s="2"/>
      <c r="BB1970" s="2"/>
    </row>
    <row r="1971">
      <c r="A1971" s="2"/>
      <c r="B1971" s="2" t="str">
        <f>IFERROR(__xludf.DUMMYFUNCTION("""COMPUTED_VALUE"""),"")</f>
        <v/>
      </c>
      <c r="C1971" s="2"/>
      <c r="D1971" s="71"/>
      <c r="E1971" s="71" t="str">
        <f>IFERROR(__xludf.DUMMYFUNCTION("""COMPUTED_VALUE""")," ")</f>
        <v> </v>
      </c>
      <c r="F1971" s="2"/>
      <c r="G1971" s="2"/>
      <c r="H1971" s="2"/>
      <c r="I1971" s="72"/>
      <c r="J1971" s="72"/>
      <c r="K1971" s="72"/>
      <c r="L1971" s="72"/>
      <c r="M1971" s="2"/>
      <c r="N1971" s="2"/>
      <c r="O1971" s="2"/>
      <c r="P1971" s="2"/>
      <c r="Q1971" s="2"/>
      <c r="R1971" s="2"/>
      <c r="S1971" s="2"/>
      <c r="T1971" s="2"/>
      <c r="U1971" s="2"/>
      <c r="V1971" s="2"/>
      <c r="W1971" s="2"/>
      <c r="X1971" s="2"/>
      <c r="Y1971" s="2"/>
      <c r="Z1971" s="2"/>
      <c r="AA1971" s="2"/>
      <c r="AB1971" s="2"/>
      <c r="AC1971" s="2"/>
      <c r="AD1971" s="2"/>
      <c r="AE1971" s="2"/>
      <c r="AF1971" s="2"/>
      <c r="AG1971" s="2"/>
      <c r="AH1971" s="2"/>
      <c r="AI1971" s="2"/>
      <c r="AJ1971" s="2" t="str">
        <f>IFERROR(__xludf.DUMMYFUNCTION("""COMPUTED_VALUE"""),"")</f>
        <v/>
      </c>
      <c r="AK1971" s="2" t="str">
        <f>IFERROR(__xludf.DUMMYFUNCTION("""COMPUTED_VALUE"""),"")</f>
        <v/>
      </c>
      <c r="AL1971" s="2" t="str">
        <f>IFERROR(__xludf.DUMMYFUNCTION("""COMPUTED_VALUE"""),"")</f>
        <v/>
      </c>
      <c r="AM1971" s="2" t="str">
        <f>IFERROR(__xludf.DUMMYFUNCTION("""COMPUTED_VALUE"""),"")</f>
        <v/>
      </c>
      <c r="AN1971" s="2" t="str">
        <f>IFERROR(__xludf.DUMMYFUNCTION("""COMPUTED_VALUE""")," ")</f>
        <v> </v>
      </c>
      <c r="AO1971" s="2" t="str">
        <f>IFERROR(__xludf.DUMMYFUNCTION("""COMPUTED_VALUE""")," ")</f>
        <v> </v>
      </c>
      <c r="AP1971" s="2" t="str">
        <f>IFERROR(__xludf.DUMMYFUNCTION("""COMPUTED_VALUE"""),"")</f>
        <v/>
      </c>
      <c r="AQ1971" s="2"/>
      <c r="AR1971" s="2"/>
      <c r="AS1971" s="2"/>
      <c r="AT1971" s="2"/>
      <c r="AU1971" s="2"/>
      <c r="AV1971" s="2"/>
      <c r="AW1971" s="2"/>
      <c r="AX1971" s="2"/>
      <c r="AY1971" s="2"/>
      <c r="AZ1971" s="2"/>
      <c r="BA1971" s="2"/>
      <c r="BB1971" s="2"/>
    </row>
    <row r="1972">
      <c r="A1972" s="2"/>
      <c r="B1972" s="2" t="str">
        <f>IFERROR(__xludf.DUMMYFUNCTION("""COMPUTED_VALUE"""),"")</f>
        <v/>
      </c>
      <c r="C1972" s="2"/>
      <c r="D1972" s="71"/>
      <c r="E1972" s="71" t="str">
        <f>IFERROR(__xludf.DUMMYFUNCTION("""COMPUTED_VALUE""")," ")</f>
        <v> </v>
      </c>
      <c r="F1972" s="2"/>
      <c r="G1972" s="2"/>
      <c r="H1972" s="2"/>
      <c r="I1972" s="72"/>
      <c r="J1972" s="72"/>
      <c r="K1972" s="72"/>
      <c r="L1972" s="72"/>
      <c r="M1972" s="2"/>
      <c r="N1972" s="2"/>
      <c r="O1972" s="2"/>
      <c r="P1972" s="2"/>
      <c r="Q1972" s="2"/>
      <c r="R1972" s="2"/>
      <c r="S1972" s="2"/>
      <c r="T1972" s="2"/>
      <c r="U1972" s="2"/>
      <c r="V1972" s="2"/>
      <c r="W1972" s="2"/>
      <c r="X1972" s="2"/>
      <c r="Y1972" s="2"/>
      <c r="Z1972" s="2"/>
      <c r="AA1972" s="2"/>
      <c r="AB1972" s="2"/>
      <c r="AC1972" s="2"/>
      <c r="AD1972" s="2"/>
      <c r="AE1972" s="2"/>
      <c r="AF1972" s="2"/>
      <c r="AG1972" s="2"/>
      <c r="AH1972" s="2"/>
      <c r="AI1972" s="2"/>
      <c r="AJ1972" s="2" t="str">
        <f>IFERROR(__xludf.DUMMYFUNCTION("""COMPUTED_VALUE"""),"")</f>
        <v/>
      </c>
      <c r="AK1972" s="2" t="str">
        <f>IFERROR(__xludf.DUMMYFUNCTION("""COMPUTED_VALUE"""),"")</f>
        <v/>
      </c>
      <c r="AL1972" s="2" t="str">
        <f>IFERROR(__xludf.DUMMYFUNCTION("""COMPUTED_VALUE"""),"")</f>
        <v/>
      </c>
      <c r="AM1972" s="2" t="str">
        <f>IFERROR(__xludf.DUMMYFUNCTION("""COMPUTED_VALUE"""),"")</f>
        <v/>
      </c>
      <c r="AN1972" s="2" t="str">
        <f>IFERROR(__xludf.DUMMYFUNCTION("""COMPUTED_VALUE""")," ")</f>
        <v> </v>
      </c>
      <c r="AO1972" s="2" t="str">
        <f>IFERROR(__xludf.DUMMYFUNCTION("""COMPUTED_VALUE""")," ")</f>
        <v> </v>
      </c>
      <c r="AP1972" s="2" t="str">
        <f>IFERROR(__xludf.DUMMYFUNCTION("""COMPUTED_VALUE"""),"")</f>
        <v/>
      </c>
      <c r="AQ1972" s="2"/>
      <c r="AR1972" s="2"/>
      <c r="AS1972" s="2"/>
      <c r="AT1972" s="2"/>
      <c r="AU1972" s="2"/>
      <c r="AV1972" s="2"/>
      <c r="AW1972" s="2"/>
      <c r="AX1972" s="2"/>
      <c r="AY1972" s="2"/>
      <c r="AZ1972" s="2"/>
      <c r="BA1972" s="2"/>
      <c r="BB1972" s="2"/>
    </row>
    <row r="1973">
      <c r="A1973" s="2"/>
      <c r="B1973" s="2" t="str">
        <f>IFERROR(__xludf.DUMMYFUNCTION("""COMPUTED_VALUE"""),"")</f>
        <v/>
      </c>
      <c r="C1973" s="2"/>
      <c r="D1973" s="71"/>
      <c r="E1973" s="71" t="str">
        <f>IFERROR(__xludf.DUMMYFUNCTION("""COMPUTED_VALUE""")," ")</f>
        <v> </v>
      </c>
      <c r="F1973" s="2"/>
      <c r="G1973" s="2"/>
      <c r="H1973" s="2"/>
      <c r="I1973" s="72"/>
      <c r="J1973" s="72"/>
      <c r="K1973" s="72"/>
      <c r="L1973" s="72"/>
      <c r="M1973" s="2"/>
      <c r="N1973" s="2"/>
      <c r="O1973" s="2"/>
      <c r="P1973" s="2"/>
      <c r="Q1973" s="2"/>
      <c r="R1973" s="2"/>
      <c r="S1973" s="2"/>
      <c r="T1973" s="2"/>
      <c r="U1973" s="2"/>
      <c r="V1973" s="2"/>
      <c r="W1973" s="2"/>
      <c r="X1973" s="2"/>
      <c r="Y1973" s="2"/>
      <c r="Z1973" s="2"/>
      <c r="AA1973" s="2"/>
      <c r="AB1973" s="2"/>
      <c r="AC1973" s="2"/>
      <c r="AD1973" s="2"/>
      <c r="AE1973" s="2"/>
      <c r="AF1973" s="2"/>
      <c r="AG1973" s="2"/>
      <c r="AH1973" s="2"/>
      <c r="AI1973" s="2"/>
      <c r="AJ1973" s="2" t="str">
        <f>IFERROR(__xludf.DUMMYFUNCTION("""COMPUTED_VALUE"""),"")</f>
        <v/>
      </c>
      <c r="AK1973" s="2" t="str">
        <f>IFERROR(__xludf.DUMMYFUNCTION("""COMPUTED_VALUE"""),"")</f>
        <v/>
      </c>
      <c r="AL1973" s="2" t="str">
        <f>IFERROR(__xludf.DUMMYFUNCTION("""COMPUTED_VALUE"""),"")</f>
        <v/>
      </c>
      <c r="AM1973" s="2" t="str">
        <f>IFERROR(__xludf.DUMMYFUNCTION("""COMPUTED_VALUE"""),"")</f>
        <v/>
      </c>
      <c r="AN1973" s="2" t="str">
        <f>IFERROR(__xludf.DUMMYFUNCTION("""COMPUTED_VALUE""")," ")</f>
        <v> </v>
      </c>
      <c r="AO1973" s="2" t="str">
        <f>IFERROR(__xludf.DUMMYFUNCTION("""COMPUTED_VALUE""")," ")</f>
        <v> </v>
      </c>
      <c r="AP1973" s="2" t="str">
        <f>IFERROR(__xludf.DUMMYFUNCTION("""COMPUTED_VALUE"""),"")</f>
        <v/>
      </c>
      <c r="AQ1973" s="2"/>
      <c r="AR1973" s="2"/>
      <c r="AS1973" s="2"/>
      <c r="AT1973" s="2"/>
      <c r="AU1973" s="2"/>
      <c r="AV1973" s="2"/>
      <c r="AW1973" s="2"/>
      <c r="AX1973" s="2"/>
      <c r="AY1973" s="2"/>
      <c r="AZ1973" s="2"/>
      <c r="BA1973" s="2"/>
      <c r="BB1973" s="2"/>
    </row>
    <row r="1974">
      <c r="A1974" s="2"/>
      <c r="B1974" s="2" t="str">
        <f>IFERROR(__xludf.DUMMYFUNCTION("""COMPUTED_VALUE"""),"")</f>
        <v/>
      </c>
      <c r="C1974" s="2"/>
      <c r="D1974" s="71"/>
      <c r="E1974" s="71" t="str">
        <f>IFERROR(__xludf.DUMMYFUNCTION("""COMPUTED_VALUE""")," ")</f>
        <v> </v>
      </c>
      <c r="F1974" s="2"/>
      <c r="G1974" s="2"/>
      <c r="H1974" s="2"/>
      <c r="I1974" s="72"/>
      <c r="J1974" s="72"/>
      <c r="K1974" s="72"/>
      <c r="L1974" s="72"/>
      <c r="M1974" s="2"/>
      <c r="N1974" s="2"/>
      <c r="O1974" s="2"/>
      <c r="P1974" s="2"/>
      <c r="Q1974" s="2"/>
      <c r="R1974" s="2"/>
      <c r="S1974" s="2"/>
      <c r="T1974" s="2"/>
      <c r="U1974" s="2"/>
      <c r="V1974" s="2"/>
      <c r="W1974" s="2"/>
      <c r="X1974" s="2"/>
      <c r="Y1974" s="2"/>
      <c r="Z1974" s="2"/>
      <c r="AA1974" s="2"/>
      <c r="AB1974" s="2"/>
      <c r="AC1974" s="2"/>
      <c r="AD1974" s="2"/>
      <c r="AE1974" s="2"/>
      <c r="AF1974" s="2"/>
      <c r="AG1974" s="2"/>
      <c r="AH1974" s="2"/>
      <c r="AI1974" s="2"/>
      <c r="AJ1974" s="2" t="str">
        <f>IFERROR(__xludf.DUMMYFUNCTION("""COMPUTED_VALUE"""),"")</f>
        <v/>
      </c>
      <c r="AK1974" s="2" t="str">
        <f>IFERROR(__xludf.DUMMYFUNCTION("""COMPUTED_VALUE"""),"")</f>
        <v/>
      </c>
      <c r="AL1974" s="2" t="str">
        <f>IFERROR(__xludf.DUMMYFUNCTION("""COMPUTED_VALUE"""),"")</f>
        <v/>
      </c>
      <c r="AM1974" s="2" t="str">
        <f>IFERROR(__xludf.DUMMYFUNCTION("""COMPUTED_VALUE"""),"")</f>
        <v/>
      </c>
      <c r="AN1974" s="2" t="str">
        <f>IFERROR(__xludf.DUMMYFUNCTION("""COMPUTED_VALUE""")," ")</f>
        <v> </v>
      </c>
      <c r="AO1974" s="2" t="str">
        <f>IFERROR(__xludf.DUMMYFUNCTION("""COMPUTED_VALUE""")," ")</f>
        <v> </v>
      </c>
      <c r="AP1974" s="2" t="str">
        <f>IFERROR(__xludf.DUMMYFUNCTION("""COMPUTED_VALUE"""),"")</f>
        <v/>
      </c>
      <c r="AQ1974" s="2"/>
      <c r="AR1974" s="2"/>
      <c r="AS1974" s="2"/>
      <c r="AT1974" s="2"/>
      <c r="AU1974" s="2"/>
      <c r="AV1974" s="2"/>
      <c r="AW1974" s="2"/>
      <c r="AX1974" s="2"/>
      <c r="AY1974" s="2"/>
      <c r="AZ1974" s="2"/>
      <c r="BA1974" s="2"/>
      <c r="BB1974" s="2"/>
    </row>
    <row r="1975">
      <c r="A1975" s="2"/>
      <c r="B1975" s="2" t="str">
        <f>IFERROR(__xludf.DUMMYFUNCTION("""COMPUTED_VALUE"""),"")</f>
        <v/>
      </c>
      <c r="C1975" s="2"/>
      <c r="D1975" s="71"/>
      <c r="E1975" s="71" t="str">
        <f>IFERROR(__xludf.DUMMYFUNCTION("""COMPUTED_VALUE""")," ")</f>
        <v> </v>
      </c>
      <c r="F1975" s="2"/>
      <c r="G1975" s="2"/>
      <c r="H1975" s="2"/>
      <c r="I1975" s="72"/>
      <c r="J1975" s="72"/>
      <c r="K1975" s="72"/>
      <c r="L1975" s="72"/>
      <c r="M1975" s="2"/>
      <c r="N1975" s="2"/>
      <c r="O1975" s="2"/>
      <c r="P1975" s="2"/>
      <c r="Q1975" s="2"/>
      <c r="R1975" s="2"/>
      <c r="S1975" s="2"/>
      <c r="T1975" s="2"/>
      <c r="U1975" s="2"/>
      <c r="V1975" s="2"/>
      <c r="W1975" s="2"/>
      <c r="X1975" s="2"/>
      <c r="Y1975" s="2"/>
      <c r="Z1975" s="2"/>
      <c r="AA1975" s="2"/>
      <c r="AB1975" s="2"/>
      <c r="AC1975" s="2"/>
      <c r="AD1975" s="2"/>
      <c r="AE1975" s="2"/>
      <c r="AF1975" s="2"/>
      <c r="AG1975" s="2"/>
      <c r="AH1975" s="2"/>
      <c r="AI1975" s="2"/>
      <c r="AJ1975" s="2" t="str">
        <f>IFERROR(__xludf.DUMMYFUNCTION("""COMPUTED_VALUE"""),"")</f>
        <v/>
      </c>
      <c r="AK1975" s="2" t="str">
        <f>IFERROR(__xludf.DUMMYFUNCTION("""COMPUTED_VALUE"""),"")</f>
        <v/>
      </c>
      <c r="AL1975" s="2" t="str">
        <f>IFERROR(__xludf.DUMMYFUNCTION("""COMPUTED_VALUE"""),"")</f>
        <v/>
      </c>
      <c r="AM1975" s="2" t="str">
        <f>IFERROR(__xludf.DUMMYFUNCTION("""COMPUTED_VALUE"""),"")</f>
        <v/>
      </c>
      <c r="AN1975" s="2" t="str">
        <f>IFERROR(__xludf.DUMMYFUNCTION("""COMPUTED_VALUE""")," ")</f>
        <v> </v>
      </c>
      <c r="AO1975" s="2" t="str">
        <f>IFERROR(__xludf.DUMMYFUNCTION("""COMPUTED_VALUE""")," ")</f>
        <v> </v>
      </c>
      <c r="AP1975" s="2" t="str">
        <f>IFERROR(__xludf.DUMMYFUNCTION("""COMPUTED_VALUE"""),"")</f>
        <v/>
      </c>
      <c r="AQ1975" s="2"/>
      <c r="AR1975" s="2"/>
      <c r="AS1975" s="2"/>
      <c r="AT1975" s="2"/>
      <c r="AU1975" s="2"/>
      <c r="AV1975" s="2"/>
      <c r="AW1975" s="2"/>
      <c r="AX1975" s="2"/>
      <c r="AY1975" s="2"/>
      <c r="AZ1975" s="2"/>
      <c r="BA1975" s="2"/>
      <c r="BB1975" s="2"/>
    </row>
    <row r="1976">
      <c r="A1976" s="2"/>
      <c r="B1976" s="2" t="str">
        <f>IFERROR(__xludf.DUMMYFUNCTION("""COMPUTED_VALUE"""),"")</f>
        <v/>
      </c>
      <c r="C1976" s="2"/>
      <c r="D1976" s="71"/>
      <c r="E1976" s="71" t="str">
        <f>IFERROR(__xludf.DUMMYFUNCTION("""COMPUTED_VALUE""")," ")</f>
        <v> </v>
      </c>
      <c r="F1976" s="2"/>
      <c r="G1976" s="2"/>
      <c r="H1976" s="2"/>
      <c r="I1976" s="72"/>
      <c r="J1976" s="72"/>
      <c r="K1976" s="72"/>
      <c r="L1976" s="72"/>
      <c r="M1976" s="2"/>
      <c r="N1976" s="2"/>
      <c r="O1976" s="2"/>
      <c r="P1976" s="2"/>
      <c r="Q1976" s="2"/>
      <c r="R1976" s="2"/>
      <c r="S1976" s="2"/>
      <c r="T1976" s="2"/>
      <c r="U1976" s="2"/>
      <c r="V1976" s="2"/>
      <c r="W1976" s="2"/>
      <c r="X1976" s="2"/>
      <c r="Y1976" s="2"/>
      <c r="Z1976" s="2"/>
      <c r="AA1976" s="2"/>
      <c r="AB1976" s="2"/>
      <c r="AC1976" s="2"/>
      <c r="AD1976" s="2"/>
      <c r="AE1976" s="2"/>
      <c r="AF1976" s="2"/>
      <c r="AG1976" s="2"/>
      <c r="AH1976" s="2"/>
      <c r="AI1976" s="2"/>
      <c r="AJ1976" s="2" t="str">
        <f>IFERROR(__xludf.DUMMYFUNCTION("""COMPUTED_VALUE"""),"")</f>
        <v/>
      </c>
      <c r="AK1976" s="2" t="str">
        <f>IFERROR(__xludf.DUMMYFUNCTION("""COMPUTED_VALUE"""),"")</f>
        <v/>
      </c>
      <c r="AL1976" s="2" t="str">
        <f>IFERROR(__xludf.DUMMYFUNCTION("""COMPUTED_VALUE"""),"")</f>
        <v/>
      </c>
      <c r="AM1976" s="2" t="str">
        <f>IFERROR(__xludf.DUMMYFUNCTION("""COMPUTED_VALUE"""),"")</f>
        <v/>
      </c>
      <c r="AN1976" s="2" t="str">
        <f>IFERROR(__xludf.DUMMYFUNCTION("""COMPUTED_VALUE""")," ")</f>
        <v> </v>
      </c>
      <c r="AO1976" s="2" t="str">
        <f>IFERROR(__xludf.DUMMYFUNCTION("""COMPUTED_VALUE""")," ")</f>
        <v> </v>
      </c>
      <c r="AP1976" s="2" t="str">
        <f>IFERROR(__xludf.DUMMYFUNCTION("""COMPUTED_VALUE"""),"")</f>
        <v/>
      </c>
      <c r="AQ1976" s="2"/>
      <c r="AR1976" s="2"/>
      <c r="AS1976" s="2"/>
      <c r="AT1976" s="2"/>
      <c r="AU1976" s="2"/>
      <c r="AV1976" s="2"/>
      <c r="AW1976" s="2"/>
      <c r="AX1976" s="2"/>
      <c r="AY1976" s="2"/>
      <c r="AZ1976" s="2"/>
      <c r="BA1976" s="2"/>
      <c r="BB1976" s="2"/>
    </row>
    <row r="1977">
      <c r="A1977" s="2"/>
      <c r="B1977" s="2" t="str">
        <f>IFERROR(__xludf.DUMMYFUNCTION("""COMPUTED_VALUE"""),"")</f>
        <v/>
      </c>
      <c r="C1977" s="2"/>
      <c r="D1977" s="71"/>
      <c r="E1977" s="71" t="str">
        <f>IFERROR(__xludf.DUMMYFUNCTION("""COMPUTED_VALUE""")," ")</f>
        <v> </v>
      </c>
      <c r="F1977" s="2"/>
      <c r="G1977" s="2"/>
      <c r="H1977" s="2"/>
      <c r="I1977" s="72"/>
      <c r="J1977" s="72"/>
      <c r="K1977" s="72"/>
      <c r="L1977" s="72"/>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c r="AJ1977" s="2" t="str">
        <f>IFERROR(__xludf.DUMMYFUNCTION("""COMPUTED_VALUE"""),"")</f>
        <v/>
      </c>
      <c r="AK1977" s="2" t="str">
        <f>IFERROR(__xludf.DUMMYFUNCTION("""COMPUTED_VALUE"""),"")</f>
        <v/>
      </c>
      <c r="AL1977" s="2" t="str">
        <f>IFERROR(__xludf.DUMMYFUNCTION("""COMPUTED_VALUE"""),"")</f>
        <v/>
      </c>
      <c r="AM1977" s="2" t="str">
        <f>IFERROR(__xludf.DUMMYFUNCTION("""COMPUTED_VALUE"""),"")</f>
        <v/>
      </c>
      <c r="AN1977" s="2" t="str">
        <f>IFERROR(__xludf.DUMMYFUNCTION("""COMPUTED_VALUE""")," ")</f>
        <v> </v>
      </c>
      <c r="AO1977" s="2" t="str">
        <f>IFERROR(__xludf.DUMMYFUNCTION("""COMPUTED_VALUE""")," ")</f>
        <v> </v>
      </c>
      <c r="AP1977" s="2" t="str">
        <f>IFERROR(__xludf.DUMMYFUNCTION("""COMPUTED_VALUE"""),"")</f>
        <v/>
      </c>
      <c r="AQ1977" s="2"/>
      <c r="AR1977" s="2"/>
      <c r="AS1977" s="2"/>
      <c r="AT1977" s="2"/>
      <c r="AU1977" s="2"/>
      <c r="AV1977" s="2"/>
      <c r="AW1977" s="2"/>
      <c r="AX1977" s="2"/>
      <c r="AY1977" s="2"/>
      <c r="AZ1977" s="2"/>
      <c r="BA1977" s="2"/>
      <c r="BB1977" s="2"/>
    </row>
    <row r="1978">
      <c r="A1978" s="2"/>
      <c r="B1978" s="2" t="str">
        <f>IFERROR(__xludf.DUMMYFUNCTION("""COMPUTED_VALUE"""),"")</f>
        <v/>
      </c>
      <c r="C1978" s="2"/>
      <c r="D1978" s="71"/>
      <c r="E1978" s="71" t="str">
        <f>IFERROR(__xludf.DUMMYFUNCTION("""COMPUTED_VALUE""")," ")</f>
        <v> </v>
      </c>
      <c r="F1978" s="2"/>
      <c r="G1978" s="2"/>
      <c r="H1978" s="2"/>
      <c r="I1978" s="72"/>
      <c r="J1978" s="72"/>
      <c r="K1978" s="72"/>
      <c r="L1978" s="72"/>
      <c r="M1978" s="2"/>
      <c r="N1978" s="2"/>
      <c r="O1978" s="2"/>
      <c r="P1978" s="2"/>
      <c r="Q1978" s="2"/>
      <c r="R1978" s="2"/>
      <c r="S1978" s="2"/>
      <c r="T1978" s="2"/>
      <c r="U1978" s="2"/>
      <c r="V1978" s="2"/>
      <c r="W1978" s="2"/>
      <c r="X1978" s="2"/>
      <c r="Y1978" s="2"/>
      <c r="Z1978" s="2"/>
      <c r="AA1978" s="2"/>
      <c r="AB1978" s="2"/>
      <c r="AC1978" s="2"/>
      <c r="AD1978" s="2"/>
      <c r="AE1978" s="2"/>
      <c r="AF1978" s="2"/>
      <c r="AG1978" s="2"/>
      <c r="AH1978" s="2"/>
      <c r="AI1978" s="2"/>
      <c r="AJ1978" s="2" t="str">
        <f>IFERROR(__xludf.DUMMYFUNCTION("""COMPUTED_VALUE"""),"")</f>
        <v/>
      </c>
      <c r="AK1978" s="2" t="str">
        <f>IFERROR(__xludf.DUMMYFUNCTION("""COMPUTED_VALUE"""),"")</f>
        <v/>
      </c>
      <c r="AL1978" s="2" t="str">
        <f>IFERROR(__xludf.DUMMYFUNCTION("""COMPUTED_VALUE"""),"")</f>
        <v/>
      </c>
      <c r="AM1978" s="2" t="str">
        <f>IFERROR(__xludf.DUMMYFUNCTION("""COMPUTED_VALUE"""),"")</f>
        <v/>
      </c>
      <c r="AN1978" s="2" t="str">
        <f>IFERROR(__xludf.DUMMYFUNCTION("""COMPUTED_VALUE""")," ")</f>
        <v> </v>
      </c>
      <c r="AO1978" s="2" t="str">
        <f>IFERROR(__xludf.DUMMYFUNCTION("""COMPUTED_VALUE""")," ")</f>
        <v> </v>
      </c>
      <c r="AP1978" s="2" t="str">
        <f>IFERROR(__xludf.DUMMYFUNCTION("""COMPUTED_VALUE"""),"")</f>
        <v/>
      </c>
      <c r="AQ1978" s="2"/>
      <c r="AR1978" s="2"/>
      <c r="AS1978" s="2"/>
      <c r="AT1978" s="2"/>
      <c r="AU1978" s="2"/>
      <c r="AV1978" s="2"/>
      <c r="AW1978" s="2"/>
      <c r="AX1978" s="2"/>
      <c r="AY1978" s="2"/>
      <c r="AZ1978" s="2"/>
      <c r="BA1978" s="2"/>
      <c r="BB1978" s="2"/>
    </row>
    <row r="1979">
      <c r="A1979" s="2"/>
      <c r="B1979" s="2" t="str">
        <f>IFERROR(__xludf.DUMMYFUNCTION("""COMPUTED_VALUE"""),"")</f>
        <v/>
      </c>
      <c r="C1979" s="2"/>
      <c r="D1979" s="71"/>
      <c r="E1979" s="71" t="str">
        <f>IFERROR(__xludf.DUMMYFUNCTION("""COMPUTED_VALUE""")," ")</f>
        <v> </v>
      </c>
      <c r="F1979" s="2"/>
      <c r="G1979" s="2"/>
      <c r="H1979" s="2"/>
      <c r="I1979" s="72"/>
      <c r="J1979" s="72"/>
      <c r="K1979" s="72"/>
      <c r="L1979" s="72"/>
      <c r="M1979" s="2"/>
      <c r="N1979" s="2"/>
      <c r="O1979" s="2"/>
      <c r="P1979" s="2"/>
      <c r="Q1979" s="2"/>
      <c r="R1979" s="2"/>
      <c r="S1979" s="2"/>
      <c r="T1979" s="2"/>
      <c r="U1979" s="2"/>
      <c r="V1979" s="2"/>
      <c r="W1979" s="2"/>
      <c r="X1979" s="2"/>
      <c r="Y1979" s="2"/>
      <c r="Z1979" s="2"/>
      <c r="AA1979" s="2"/>
      <c r="AB1979" s="2"/>
      <c r="AC1979" s="2"/>
      <c r="AD1979" s="2"/>
      <c r="AE1979" s="2"/>
      <c r="AF1979" s="2"/>
      <c r="AG1979" s="2"/>
      <c r="AH1979" s="2"/>
      <c r="AI1979" s="2"/>
      <c r="AJ1979" s="2" t="str">
        <f>IFERROR(__xludf.DUMMYFUNCTION("""COMPUTED_VALUE"""),"")</f>
        <v/>
      </c>
      <c r="AK1979" s="2" t="str">
        <f>IFERROR(__xludf.DUMMYFUNCTION("""COMPUTED_VALUE"""),"")</f>
        <v/>
      </c>
      <c r="AL1979" s="2" t="str">
        <f>IFERROR(__xludf.DUMMYFUNCTION("""COMPUTED_VALUE"""),"")</f>
        <v/>
      </c>
      <c r="AM1979" s="2" t="str">
        <f>IFERROR(__xludf.DUMMYFUNCTION("""COMPUTED_VALUE"""),"")</f>
        <v/>
      </c>
      <c r="AN1979" s="2" t="str">
        <f>IFERROR(__xludf.DUMMYFUNCTION("""COMPUTED_VALUE""")," ")</f>
        <v> </v>
      </c>
      <c r="AO1979" s="2" t="str">
        <f>IFERROR(__xludf.DUMMYFUNCTION("""COMPUTED_VALUE""")," ")</f>
        <v> </v>
      </c>
      <c r="AP1979" s="2" t="str">
        <f>IFERROR(__xludf.DUMMYFUNCTION("""COMPUTED_VALUE"""),"")</f>
        <v/>
      </c>
      <c r="AQ1979" s="2"/>
      <c r="AR1979" s="2"/>
      <c r="AS1979" s="2"/>
      <c r="AT1979" s="2"/>
      <c r="AU1979" s="2"/>
      <c r="AV1979" s="2"/>
      <c r="AW1979" s="2"/>
      <c r="AX1979" s="2"/>
      <c r="AY1979" s="2"/>
      <c r="AZ1979" s="2"/>
      <c r="BA1979" s="2"/>
      <c r="BB1979" s="2"/>
    </row>
    <row r="1980">
      <c r="A1980" s="2"/>
      <c r="B1980" s="2" t="str">
        <f>IFERROR(__xludf.DUMMYFUNCTION("""COMPUTED_VALUE"""),"")</f>
        <v/>
      </c>
      <c r="C1980" s="2"/>
      <c r="D1980" s="71"/>
      <c r="E1980" s="71" t="str">
        <f>IFERROR(__xludf.DUMMYFUNCTION("""COMPUTED_VALUE""")," ")</f>
        <v> </v>
      </c>
      <c r="F1980" s="2"/>
      <c r="G1980" s="2"/>
      <c r="H1980" s="2"/>
      <c r="I1980" s="72"/>
      <c r="J1980" s="72"/>
      <c r="K1980" s="72"/>
      <c r="L1980" s="72"/>
      <c r="M1980" s="2"/>
      <c r="N1980" s="2"/>
      <c r="O1980" s="2"/>
      <c r="P1980" s="2"/>
      <c r="Q1980" s="2"/>
      <c r="R1980" s="2"/>
      <c r="S1980" s="2"/>
      <c r="T1980" s="2"/>
      <c r="U1980" s="2"/>
      <c r="V1980" s="2"/>
      <c r="W1980" s="2"/>
      <c r="X1980" s="2"/>
      <c r="Y1980" s="2"/>
      <c r="Z1980" s="2"/>
      <c r="AA1980" s="2"/>
      <c r="AB1980" s="2"/>
      <c r="AC1980" s="2"/>
      <c r="AD1980" s="2"/>
      <c r="AE1980" s="2"/>
      <c r="AF1980" s="2"/>
      <c r="AG1980" s="2"/>
      <c r="AH1980" s="2"/>
      <c r="AI1980" s="2"/>
      <c r="AJ1980" s="2" t="str">
        <f>IFERROR(__xludf.DUMMYFUNCTION("""COMPUTED_VALUE"""),"")</f>
        <v/>
      </c>
      <c r="AK1980" s="2" t="str">
        <f>IFERROR(__xludf.DUMMYFUNCTION("""COMPUTED_VALUE"""),"")</f>
        <v/>
      </c>
      <c r="AL1980" s="2" t="str">
        <f>IFERROR(__xludf.DUMMYFUNCTION("""COMPUTED_VALUE"""),"")</f>
        <v/>
      </c>
      <c r="AM1980" s="2" t="str">
        <f>IFERROR(__xludf.DUMMYFUNCTION("""COMPUTED_VALUE"""),"")</f>
        <v/>
      </c>
      <c r="AN1980" s="2" t="str">
        <f>IFERROR(__xludf.DUMMYFUNCTION("""COMPUTED_VALUE""")," ")</f>
        <v> </v>
      </c>
      <c r="AO1980" s="2" t="str">
        <f>IFERROR(__xludf.DUMMYFUNCTION("""COMPUTED_VALUE""")," ")</f>
        <v> </v>
      </c>
      <c r="AP1980" s="2" t="str">
        <f>IFERROR(__xludf.DUMMYFUNCTION("""COMPUTED_VALUE"""),"")</f>
        <v/>
      </c>
      <c r="AQ1980" s="2"/>
      <c r="AR1980" s="2"/>
      <c r="AS1980" s="2"/>
      <c r="AT1980" s="2"/>
      <c r="AU1980" s="2"/>
      <c r="AV1980" s="2"/>
      <c r="AW1980" s="2"/>
      <c r="AX1980" s="2"/>
      <c r="AY1980" s="2"/>
      <c r="AZ1980" s="2"/>
      <c r="BA1980" s="2"/>
      <c r="BB1980" s="2"/>
    </row>
    <row r="1981">
      <c r="A1981" s="2"/>
      <c r="B1981" s="2" t="str">
        <f>IFERROR(__xludf.DUMMYFUNCTION("""COMPUTED_VALUE"""),"")</f>
        <v/>
      </c>
      <c r="C1981" s="2"/>
      <c r="D1981" s="71"/>
      <c r="E1981" s="71" t="str">
        <f>IFERROR(__xludf.DUMMYFUNCTION("""COMPUTED_VALUE""")," ")</f>
        <v> </v>
      </c>
      <c r="F1981" s="2"/>
      <c r="G1981" s="2"/>
      <c r="H1981" s="2"/>
      <c r="I1981" s="72"/>
      <c r="J1981" s="72"/>
      <c r="K1981" s="72"/>
      <c r="L1981" s="72"/>
      <c r="M1981" s="2"/>
      <c r="N1981" s="2"/>
      <c r="O1981" s="2"/>
      <c r="P1981" s="2"/>
      <c r="Q1981" s="2"/>
      <c r="R1981" s="2"/>
      <c r="S1981" s="2"/>
      <c r="T1981" s="2"/>
      <c r="U1981" s="2"/>
      <c r="V1981" s="2"/>
      <c r="W1981" s="2"/>
      <c r="X1981" s="2"/>
      <c r="Y1981" s="2"/>
      <c r="Z1981" s="2"/>
      <c r="AA1981" s="2"/>
      <c r="AB1981" s="2"/>
      <c r="AC1981" s="2"/>
      <c r="AD1981" s="2"/>
      <c r="AE1981" s="2"/>
      <c r="AF1981" s="2"/>
      <c r="AG1981" s="2"/>
      <c r="AH1981" s="2"/>
      <c r="AI1981" s="2"/>
      <c r="AJ1981" s="2" t="str">
        <f>IFERROR(__xludf.DUMMYFUNCTION("""COMPUTED_VALUE"""),"")</f>
        <v/>
      </c>
      <c r="AK1981" s="2" t="str">
        <f>IFERROR(__xludf.DUMMYFUNCTION("""COMPUTED_VALUE"""),"")</f>
        <v/>
      </c>
      <c r="AL1981" s="2" t="str">
        <f>IFERROR(__xludf.DUMMYFUNCTION("""COMPUTED_VALUE"""),"")</f>
        <v/>
      </c>
      <c r="AM1981" s="2" t="str">
        <f>IFERROR(__xludf.DUMMYFUNCTION("""COMPUTED_VALUE"""),"")</f>
        <v/>
      </c>
      <c r="AN1981" s="2" t="str">
        <f>IFERROR(__xludf.DUMMYFUNCTION("""COMPUTED_VALUE""")," ")</f>
        <v> </v>
      </c>
      <c r="AO1981" s="2" t="str">
        <f>IFERROR(__xludf.DUMMYFUNCTION("""COMPUTED_VALUE""")," ")</f>
        <v> </v>
      </c>
      <c r="AP1981" s="2" t="str">
        <f>IFERROR(__xludf.DUMMYFUNCTION("""COMPUTED_VALUE"""),"")</f>
        <v/>
      </c>
      <c r="AQ1981" s="2"/>
      <c r="AR1981" s="2"/>
      <c r="AS1981" s="2"/>
      <c r="AT1981" s="2"/>
      <c r="AU1981" s="2"/>
      <c r="AV1981" s="2"/>
      <c r="AW1981" s="2"/>
      <c r="AX1981" s="2"/>
      <c r="AY1981" s="2"/>
      <c r="AZ1981" s="2"/>
      <c r="BA1981" s="2"/>
      <c r="BB1981" s="2"/>
    </row>
    <row r="1982">
      <c r="A1982" s="2"/>
      <c r="B1982" s="2" t="str">
        <f>IFERROR(__xludf.DUMMYFUNCTION("""COMPUTED_VALUE"""),"")</f>
        <v/>
      </c>
      <c r="C1982" s="2"/>
      <c r="D1982" s="71"/>
      <c r="E1982" s="71" t="str">
        <f>IFERROR(__xludf.DUMMYFUNCTION("""COMPUTED_VALUE""")," ")</f>
        <v> </v>
      </c>
      <c r="F1982" s="2"/>
      <c r="G1982" s="2"/>
      <c r="H1982" s="2"/>
      <c r="I1982" s="72"/>
      <c r="J1982" s="72"/>
      <c r="K1982" s="72"/>
      <c r="L1982" s="72"/>
      <c r="M1982" s="2"/>
      <c r="N1982" s="2"/>
      <c r="O1982" s="2"/>
      <c r="P1982" s="2"/>
      <c r="Q1982" s="2"/>
      <c r="R1982" s="2"/>
      <c r="S1982" s="2"/>
      <c r="T1982" s="2"/>
      <c r="U1982" s="2"/>
      <c r="V1982" s="2"/>
      <c r="W1982" s="2"/>
      <c r="X1982" s="2"/>
      <c r="Y1982" s="2"/>
      <c r="Z1982" s="2"/>
      <c r="AA1982" s="2"/>
      <c r="AB1982" s="2"/>
      <c r="AC1982" s="2"/>
      <c r="AD1982" s="2"/>
      <c r="AE1982" s="2"/>
      <c r="AF1982" s="2"/>
      <c r="AG1982" s="2"/>
      <c r="AH1982" s="2"/>
      <c r="AI1982" s="2"/>
      <c r="AJ1982" s="2" t="str">
        <f>IFERROR(__xludf.DUMMYFUNCTION("""COMPUTED_VALUE"""),"")</f>
        <v/>
      </c>
      <c r="AK1982" s="2" t="str">
        <f>IFERROR(__xludf.DUMMYFUNCTION("""COMPUTED_VALUE"""),"")</f>
        <v/>
      </c>
      <c r="AL1982" s="2" t="str">
        <f>IFERROR(__xludf.DUMMYFUNCTION("""COMPUTED_VALUE"""),"")</f>
        <v/>
      </c>
      <c r="AM1982" s="2" t="str">
        <f>IFERROR(__xludf.DUMMYFUNCTION("""COMPUTED_VALUE"""),"")</f>
        <v/>
      </c>
      <c r="AN1982" s="2" t="str">
        <f>IFERROR(__xludf.DUMMYFUNCTION("""COMPUTED_VALUE""")," ")</f>
        <v> </v>
      </c>
      <c r="AO1982" s="2" t="str">
        <f>IFERROR(__xludf.DUMMYFUNCTION("""COMPUTED_VALUE""")," ")</f>
        <v> </v>
      </c>
      <c r="AP1982" s="2" t="str">
        <f>IFERROR(__xludf.DUMMYFUNCTION("""COMPUTED_VALUE"""),"")</f>
        <v/>
      </c>
      <c r="AQ1982" s="2"/>
      <c r="AR1982" s="2"/>
      <c r="AS1982" s="2"/>
      <c r="AT1982" s="2"/>
      <c r="AU1982" s="2"/>
      <c r="AV1982" s="2"/>
      <c r="AW1982" s="2"/>
      <c r="AX1982" s="2"/>
      <c r="AY1982" s="2"/>
      <c r="AZ1982" s="2"/>
      <c r="BA1982" s="2"/>
      <c r="BB1982" s="2"/>
    </row>
    <row r="1983">
      <c r="A1983" s="2"/>
      <c r="B1983" s="2" t="str">
        <f>IFERROR(__xludf.DUMMYFUNCTION("""COMPUTED_VALUE"""),"")</f>
        <v/>
      </c>
      <c r="C1983" s="2"/>
      <c r="D1983" s="71"/>
      <c r="E1983" s="71" t="str">
        <f>IFERROR(__xludf.DUMMYFUNCTION("""COMPUTED_VALUE""")," ")</f>
        <v> </v>
      </c>
      <c r="F1983" s="2"/>
      <c r="G1983" s="2"/>
      <c r="H1983" s="2"/>
      <c r="I1983" s="72"/>
      <c r="J1983" s="72"/>
      <c r="K1983" s="72"/>
      <c r="L1983" s="72"/>
      <c r="M1983" s="2"/>
      <c r="N1983" s="2"/>
      <c r="O1983" s="2"/>
      <c r="P1983" s="2"/>
      <c r="Q1983" s="2"/>
      <c r="R1983" s="2"/>
      <c r="S1983" s="2"/>
      <c r="T1983" s="2"/>
      <c r="U1983" s="2"/>
      <c r="V1983" s="2"/>
      <c r="W1983" s="2"/>
      <c r="X1983" s="2"/>
      <c r="Y1983" s="2"/>
      <c r="Z1983" s="2"/>
      <c r="AA1983" s="2"/>
      <c r="AB1983" s="2"/>
      <c r="AC1983" s="2"/>
      <c r="AD1983" s="2"/>
      <c r="AE1983" s="2"/>
      <c r="AF1983" s="2"/>
      <c r="AG1983" s="2"/>
      <c r="AH1983" s="2"/>
      <c r="AI1983" s="2"/>
      <c r="AJ1983" s="2" t="str">
        <f>IFERROR(__xludf.DUMMYFUNCTION("""COMPUTED_VALUE"""),"")</f>
        <v/>
      </c>
      <c r="AK1983" s="2" t="str">
        <f>IFERROR(__xludf.DUMMYFUNCTION("""COMPUTED_VALUE"""),"")</f>
        <v/>
      </c>
      <c r="AL1983" s="2" t="str">
        <f>IFERROR(__xludf.DUMMYFUNCTION("""COMPUTED_VALUE"""),"")</f>
        <v/>
      </c>
      <c r="AM1983" s="2" t="str">
        <f>IFERROR(__xludf.DUMMYFUNCTION("""COMPUTED_VALUE"""),"")</f>
        <v/>
      </c>
      <c r="AN1983" s="2" t="str">
        <f>IFERROR(__xludf.DUMMYFUNCTION("""COMPUTED_VALUE""")," ")</f>
        <v> </v>
      </c>
      <c r="AO1983" s="2" t="str">
        <f>IFERROR(__xludf.DUMMYFUNCTION("""COMPUTED_VALUE""")," ")</f>
        <v> </v>
      </c>
      <c r="AP1983" s="2" t="str">
        <f>IFERROR(__xludf.DUMMYFUNCTION("""COMPUTED_VALUE"""),"")</f>
        <v/>
      </c>
      <c r="AQ1983" s="2"/>
      <c r="AR1983" s="2"/>
      <c r="AS1983" s="2"/>
      <c r="AT1983" s="2"/>
      <c r="AU1983" s="2"/>
      <c r="AV1983" s="2"/>
      <c r="AW1983" s="2"/>
      <c r="AX1983" s="2"/>
      <c r="AY1983" s="2"/>
      <c r="AZ1983" s="2"/>
      <c r="BA1983" s="2"/>
      <c r="BB1983" s="2"/>
    </row>
    <row r="1984">
      <c r="A1984" s="2"/>
      <c r="B1984" s="2" t="str">
        <f>IFERROR(__xludf.DUMMYFUNCTION("""COMPUTED_VALUE"""),"")</f>
        <v/>
      </c>
      <c r="C1984" s="2"/>
      <c r="D1984" s="71"/>
      <c r="E1984" s="71" t="str">
        <f>IFERROR(__xludf.DUMMYFUNCTION("""COMPUTED_VALUE""")," ")</f>
        <v> </v>
      </c>
      <c r="F1984" s="2"/>
      <c r="G1984" s="2"/>
      <c r="H1984" s="2"/>
      <c r="I1984" s="72"/>
      <c r="J1984" s="72"/>
      <c r="K1984" s="72"/>
      <c r="L1984" s="72"/>
      <c r="M1984" s="2"/>
      <c r="N1984" s="2"/>
      <c r="O1984" s="2"/>
      <c r="P1984" s="2"/>
      <c r="Q1984" s="2"/>
      <c r="R1984" s="2"/>
      <c r="S1984" s="2"/>
      <c r="T1984" s="2"/>
      <c r="U1984" s="2"/>
      <c r="V1984" s="2"/>
      <c r="W1984" s="2"/>
      <c r="X1984" s="2"/>
      <c r="Y1984" s="2"/>
      <c r="Z1984" s="2"/>
      <c r="AA1984" s="2"/>
      <c r="AB1984" s="2"/>
      <c r="AC1984" s="2"/>
      <c r="AD1984" s="2"/>
      <c r="AE1984" s="2"/>
      <c r="AF1984" s="2"/>
      <c r="AG1984" s="2"/>
      <c r="AH1984" s="2"/>
      <c r="AI1984" s="2"/>
      <c r="AJ1984" s="2" t="str">
        <f>IFERROR(__xludf.DUMMYFUNCTION("""COMPUTED_VALUE"""),"")</f>
        <v/>
      </c>
      <c r="AK1984" s="2" t="str">
        <f>IFERROR(__xludf.DUMMYFUNCTION("""COMPUTED_VALUE"""),"")</f>
        <v/>
      </c>
      <c r="AL1984" s="2" t="str">
        <f>IFERROR(__xludf.DUMMYFUNCTION("""COMPUTED_VALUE"""),"")</f>
        <v/>
      </c>
      <c r="AM1984" s="2" t="str">
        <f>IFERROR(__xludf.DUMMYFUNCTION("""COMPUTED_VALUE"""),"")</f>
        <v/>
      </c>
      <c r="AN1984" s="2" t="str">
        <f>IFERROR(__xludf.DUMMYFUNCTION("""COMPUTED_VALUE""")," ")</f>
        <v> </v>
      </c>
      <c r="AO1984" s="2" t="str">
        <f>IFERROR(__xludf.DUMMYFUNCTION("""COMPUTED_VALUE""")," ")</f>
        <v> </v>
      </c>
      <c r="AP1984" s="2" t="str">
        <f>IFERROR(__xludf.DUMMYFUNCTION("""COMPUTED_VALUE"""),"")</f>
        <v/>
      </c>
      <c r="AQ1984" s="2"/>
      <c r="AR1984" s="2"/>
      <c r="AS1984" s="2"/>
      <c r="AT1984" s="2"/>
      <c r="AU1984" s="2"/>
      <c r="AV1984" s="2"/>
      <c r="AW1984" s="2"/>
      <c r="AX1984" s="2"/>
      <c r="AY1984" s="2"/>
      <c r="AZ1984" s="2"/>
      <c r="BA1984" s="2"/>
      <c r="BB1984" s="2"/>
    </row>
    <row r="1985">
      <c r="A1985" s="2"/>
      <c r="B1985" s="2" t="str">
        <f>IFERROR(__xludf.DUMMYFUNCTION("""COMPUTED_VALUE"""),"")</f>
        <v/>
      </c>
      <c r="C1985" s="2"/>
      <c r="D1985" s="71"/>
      <c r="E1985" s="71" t="str">
        <f>IFERROR(__xludf.DUMMYFUNCTION("""COMPUTED_VALUE""")," ")</f>
        <v> </v>
      </c>
      <c r="F1985" s="2"/>
      <c r="G1985" s="2"/>
      <c r="H1985" s="2"/>
      <c r="I1985" s="72"/>
      <c r="J1985" s="72"/>
      <c r="K1985" s="72"/>
      <c r="L1985" s="72"/>
      <c r="M1985" s="2"/>
      <c r="N1985" s="2"/>
      <c r="O1985" s="2"/>
      <c r="P1985" s="2"/>
      <c r="Q1985" s="2"/>
      <c r="R1985" s="2"/>
      <c r="S1985" s="2"/>
      <c r="T1985" s="2"/>
      <c r="U1985" s="2"/>
      <c r="V1985" s="2"/>
      <c r="W1985" s="2"/>
      <c r="X1985" s="2"/>
      <c r="Y1985" s="2"/>
      <c r="Z1985" s="2"/>
      <c r="AA1985" s="2"/>
      <c r="AB1985" s="2"/>
      <c r="AC1985" s="2"/>
      <c r="AD1985" s="2"/>
      <c r="AE1985" s="2"/>
      <c r="AF1985" s="2"/>
      <c r="AG1985" s="2"/>
      <c r="AH1985" s="2"/>
      <c r="AI1985" s="2"/>
      <c r="AJ1985" s="2" t="str">
        <f>IFERROR(__xludf.DUMMYFUNCTION("""COMPUTED_VALUE"""),"")</f>
        <v/>
      </c>
      <c r="AK1985" s="2" t="str">
        <f>IFERROR(__xludf.DUMMYFUNCTION("""COMPUTED_VALUE"""),"")</f>
        <v/>
      </c>
      <c r="AL1985" s="2" t="str">
        <f>IFERROR(__xludf.DUMMYFUNCTION("""COMPUTED_VALUE"""),"")</f>
        <v/>
      </c>
      <c r="AM1985" s="2" t="str">
        <f>IFERROR(__xludf.DUMMYFUNCTION("""COMPUTED_VALUE"""),"")</f>
        <v/>
      </c>
      <c r="AN1985" s="2" t="str">
        <f>IFERROR(__xludf.DUMMYFUNCTION("""COMPUTED_VALUE""")," ")</f>
        <v> </v>
      </c>
      <c r="AO1985" s="2" t="str">
        <f>IFERROR(__xludf.DUMMYFUNCTION("""COMPUTED_VALUE""")," ")</f>
        <v> </v>
      </c>
      <c r="AP1985" s="2" t="str">
        <f>IFERROR(__xludf.DUMMYFUNCTION("""COMPUTED_VALUE"""),"")</f>
        <v/>
      </c>
      <c r="AQ1985" s="2"/>
      <c r="AR1985" s="2"/>
      <c r="AS1985" s="2"/>
      <c r="AT1985" s="2"/>
      <c r="AU1985" s="2"/>
      <c r="AV1985" s="2"/>
      <c r="AW1985" s="2"/>
      <c r="AX1985" s="2"/>
      <c r="AY1985" s="2"/>
      <c r="AZ1985" s="2"/>
      <c r="BA1985" s="2"/>
      <c r="BB1985" s="2"/>
    </row>
    <row r="1986">
      <c r="A1986" s="2"/>
      <c r="B1986" s="2" t="str">
        <f>IFERROR(__xludf.DUMMYFUNCTION("""COMPUTED_VALUE"""),"")</f>
        <v/>
      </c>
      <c r="C1986" s="2"/>
      <c r="D1986" s="71"/>
      <c r="E1986" s="71" t="str">
        <f>IFERROR(__xludf.DUMMYFUNCTION("""COMPUTED_VALUE""")," ")</f>
        <v> </v>
      </c>
      <c r="F1986" s="2"/>
      <c r="G1986" s="2"/>
      <c r="H1986" s="2"/>
      <c r="I1986" s="72"/>
      <c r="J1986" s="72"/>
      <c r="K1986" s="72"/>
      <c r="L1986" s="72"/>
      <c r="M1986" s="2"/>
      <c r="N1986" s="2"/>
      <c r="O1986" s="2"/>
      <c r="P1986" s="2"/>
      <c r="Q1986" s="2"/>
      <c r="R1986" s="2"/>
      <c r="S1986" s="2"/>
      <c r="T1986" s="2"/>
      <c r="U1986" s="2"/>
      <c r="V1986" s="2"/>
      <c r="W1986" s="2"/>
      <c r="X1986" s="2"/>
      <c r="Y1986" s="2"/>
      <c r="Z1986" s="2"/>
      <c r="AA1986" s="2"/>
      <c r="AB1986" s="2"/>
      <c r="AC1986" s="2"/>
      <c r="AD1986" s="2"/>
      <c r="AE1986" s="2"/>
      <c r="AF1986" s="2"/>
      <c r="AG1986" s="2"/>
      <c r="AH1986" s="2"/>
      <c r="AI1986" s="2"/>
      <c r="AJ1986" s="2" t="str">
        <f>IFERROR(__xludf.DUMMYFUNCTION("""COMPUTED_VALUE"""),"")</f>
        <v/>
      </c>
      <c r="AK1986" s="2" t="str">
        <f>IFERROR(__xludf.DUMMYFUNCTION("""COMPUTED_VALUE"""),"")</f>
        <v/>
      </c>
      <c r="AL1986" s="2" t="str">
        <f>IFERROR(__xludf.DUMMYFUNCTION("""COMPUTED_VALUE"""),"")</f>
        <v/>
      </c>
      <c r="AM1986" s="2" t="str">
        <f>IFERROR(__xludf.DUMMYFUNCTION("""COMPUTED_VALUE"""),"")</f>
        <v/>
      </c>
      <c r="AN1986" s="2" t="str">
        <f>IFERROR(__xludf.DUMMYFUNCTION("""COMPUTED_VALUE""")," ")</f>
        <v> </v>
      </c>
      <c r="AO1986" s="2" t="str">
        <f>IFERROR(__xludf.DUMMYFUNCTION("""COMPUTED_VALUE""")," ")</f>
        <v> </v>
      </c>
      <c r="AP1986" s="2" t="str">
        <f>IFERROR(__xludf.DUMMYFUNCTION("""COMPUTED_VALUE"""),"")</f>
        <v/>
      </c>
      <c r="AQ1986" s="2"/>
      <c r="AR1986" s="2"/>
      <c r="AS1986" s="2"/>
      <c r="AT1986" s="2"/>
      <c r="AU1986" s="2"/>
      <c r="AV1986" s="2"/>
      <c r="AW1986" s="2"/>
      <c r="AX1986" s="2"/>
      <c r="AY1986" s="2"/>
      <c r="AZ1986" s="2"/>
      <c r="BA1986" s="2"/>
      <c r="BB1986" s="2"/>
    </row>
    <row r="1987">
      <c r="A1987" s="2"/>
      <c r="B1987" s="2" t="str">
        <f>IFERROR(__xludf.DUMMYFUNCTION("""COMPUTED_VALUE"""),"")</f>
        <v/>
      </c>
      <c r="C1987" s="2"/>
      <c r="D1987" s="71"/>
      <c r="E1987" s="71" t="str">
        <f>IFERROR(__xludf.DUMMYFUNCTION("""COMPUTED_VALUE""")," ")</f>
        <v> </v>
      </c>
      <c r="F1987" s="2"/>
      <c r="G1987" s="2"/>
      <c r="H1987" s="2"/>
      <c r="I1987" s="72"/>
      <c r="J1987" s="72"/>
      <c r="K1987" s="72"/>
      <c r="L1987" s="72"/>
      <c r="M1987" s="2"/>
      <c r="N1987" s="2"/>
      <c r="O1987" s="2"/>
      <c r="P1987" s="2"/>
      <c r="Q1987" s="2"/>
      <c r="R1987" s="2"/>
      <c r="S1987" s="2"/>
      <c r="T1987" s="2"/>
      <c r="U1987" s="2"/>
      <c r="V1987" s="2"/>
      <c r="W1987" s="2"/>
      <c r="X1987" s="2"/>
      <c r="Y1987" s="2"/>
      <c r="Z1987" s="2"/>
      <c r="AA1987" s="2"/>
      <c r="AB1987" s="2"/>
      <c r="AC1987" s="2"/>
      <c r="AD1987" s="2"/>
      <c r="AE1987" s="2"/>
      <c r="AF1987" s="2"/>
      <c r="AG1987" s="2"/>
      <c r="AH1987" s="2"/>
      <c r="AI1987" s="2"/>
      <c r="AJ1987" s="2" t="str">
        <f>IFERROR(__xludf.DUMMYFUNCTION("""COMPUTED_VALUE"""),"")</f>
        <v/>
      </c>
      <c r="AK1987" s="2" t="str">
        <f>IFERROR(__xludf.DUMMYFUNCTION("""COMPUTED_VALUE"""),"")</f>
        <v/>
      </c>
      <c r="AL1987" s="2" t="str">
        <f>IFERROR(__xludf.DUMMYFUNCTION("""COMPUTED_VALUE"""),"")</f>
        <v/>
      </c>
      <c r="AM1987" s="2" t="str">
        <f>IFERROR(__xludf.DUMMYFUNCTION("""COMPUTED_VALUE"""),"")</f>
        <v/>
      </c>
      <c r="AN1987" s="2" t="str">
        <f>IFERROR(__xludf.DUMMYFUNCTION("""COMPUTED_VALUE""")," ")</f>
        <v> </v>
      </c>
      <c r="AO1987" s="2" t="str">
        <f>IFERROR(__xludf.DUMMYFUNCTION("""COMPUTED_VALUE""")," ")</f>
        <v> </v>
      </c>
      <c r="AP1987" s="2" t="str">
        <f>IFERROR(__xludf.DUMMYFUNCTION("""COMPUTED_VALUE"""),"")</f>
        <v/>
      </c>
      <c r="AQ1987" s="2"/>
      <c r="AR1987" s="2"/>
      <c r="AS1987" s="2"/>
      <c r="AT1987" s="2"/>
      <c r="AU1987" s="2"/>
      <c r="AV1987" s="2"/>
      <c r="AW1987" s="2"/>
      <c r="AX1987" s="2"/>
      <c r="AY1987" s="2"/>
      <c r="AZ1987" s="2"/>
      <c r="BA1987" s="2"/>
      <c r="BB1987" s="2"/>
    </row>
    <row r="1988">
      <c r="A1988" s="2"/>
      <c r="B1988" s="2" t="str">
        <f>IFERROR(__xludf.DUMMYFUNCTION("""COMPUTED_VALUE"""),"")</f>
        <v/>
      </c>
      <c r="C1988" s="2"/>
      <c r="D1988" s="71"/>
      <c r="E1988" s="71" t="str">
        <f>IFERROR(__xludf.DUMMYFUNCTION("""COMPUTED_VALUE""")," ")</f>
        <v> </v>
      </c>
      <c r="F1988" s="2"/>
      <c r="G1988" s="2"/>
      <c r="H1988" s="2"/>
      <c r="I1988" s="72"/>
      <c r="J1988" s="72"/>
      <c r="K1988" s="72"/>
      <c r="L1988" s="72"/>
      <c r="M1988" s="2"/>
      <c r="N1988" s="2"/>
      <c r="O1988" s="2"/>
      <c r="P1988" s="2"/>
      <c r="Q1988" s="2"/>
      <c r="R1988" s="2"/>
      <c r="S1988" s="2"/>
      <c r="T1988" s="2"/>
      <c r="U1988" s="2"/>
      <c r="V1988" s="2"/>
      <c r="W1988" s="2"/>
      <c r="X1988" s="2"/>
      <c r="Y1988" s="2"/>
      <c r="Z1988" s="2"/>
      <c r="AA1988" s="2"/>
      <c r="AB1988" s="2"/>
      <c r="AC1988" s="2"/>
      <c r="AD1988" s="2"/>
      <c r="AE1988" s="2"/>
      <c r="AF1988" s="2"/>
      <c r="AG1988" s="2"/>
      <c r="AH1988" s="2"/>
      <c r="AI1988" s="2"/>
      <c r="AJ1988" s="2" t="str">
        <f>IFERROR(__xludf.DUMMYFUNCTION("""COMPUTED_VALUE"""),"")</f>
        <v/>
      </c>
      <c r="AK1988" s="2" t="str">
        <f>IFERROR(__xludf.DUMMYFUNCTION("""COMPUTED_VALUE"""),"")</f>
        <v/>
      </c>
      <c r="AL1988" s="2" t="str">
        <f>IFERROR(__xludf.DUMMYFUNCTION("""COMPUTED_VALUE"""),"")</f>
        <v/>
      </c>
      <c r="AM1988" s="2" t="str">
        <f>IFERROR(__xludf.DUMMYFUNCTION("""COMPUTED_VALUE"""),"")</f>
        <v/>
      </c>
      <c r="AN1988" s="2" t="str">
        <f>IFERROR(__xludf.DUMMYFUNCTION("""COMPUTED_VALUE""")," ")</f>
        <v> </v>
      </c>
      <c r="AO1988" s="2" t="str">
        <f>IFERROR(__xludf.DUMMYFUNCTION("""COMPUTED_VALUE""")," ")</f>
        <v> </v>
      </c>
      <c r="AP1988" s="2" t="str">
        <f>IFERROR(__xludf.DUMMYFUNCTION("""COMPUTED_VALUE"""),"")</f>
        <v/>
      </c>
      <c r="AQ1988" s="2"/>
      <c r="AR1988" s="2"/>
      <c r="AS1988" s="2"/>
      <c r="AT1988" s="2"/>
      <c r="AU1988" s="2"/>
      <c r="AV1988" s="2"/>
      <c r="AW1988" s="2"/>
      <c r="AX1988" s="2"/>
      <c r="AY1988" s="2"/>
      <c r="AZ1988" s="2"/>
      <c r="BA1988" s="2"/>
      <c r="BB1988" s="2"/>
    </row>
    <row r="1989">
      <c r="A1989" s="2"/>
      <c r="B1989" s="2" t="str">
        <f>IFERROR(__xludf.DUMMYFUNCTION("""COMPUTED_VALUE"""),"")</f>
        <v/>
      </c>
      <c r="C1989" s="2"/>
      <c r="D1989" s="71"/>
      <c r="E1989" s="71" t="str">
        <f>IFERROR(__xludf.DUMMYFUNCTION("""COMPUTED_VALUE""")," ")</f>
        <v> </v>
      </c>
      <c r="F1989" s="2"/>
      <c r="G1989" s="2"/>
      <c r="H1989" s="2"/>
      <c r="I1989" s="72"/>
      <c r="J1989" s="72"/>
      <c r="K1989" s="72"/>
      <c r="L1989" s="72"/>
      <c r="M1989" s="2"/>
      <c r="N1989" s="2"/>
      <c r="O1989" s="2"/>
      <c r="P1989" s="2"/>
      <c r="Q1989" s="2"/>
      <c r="R1989" s="2"/>
      <c r="S1989" s="2"/>
      <c r="T1989" s="2"/>
      <c r="U1989" s="2"/>
      <c r="V1989" s="2"/>
      <c r="W1989" s="2"/>
      <c r="X1989" s="2"/>
      <c r="Y1989" s="2"/>
      <c r="Z1989" s="2"/>
      <c r="AA1989" s="2"/>
      <c r="AB1989" s="2"/>
      <c r="AC1989" s="2"/>
      <c r="AD1989" s="2"/>
      <c r="AE1989" s="2"/>
      <c r="AF1989" s="2"/>
      <c r="AG1989" s="2"/>
      <c r="AH1989" s="2"/>
      <c r="AI1989" s="2"/>
      <c r="AJ1989" s="2" t="str">
        <f>IFERROR(__xludf.DUMMYFUNCTION("""COMPUTED_VALUE"""),"")</f>
        <v/>
      </c>
      <c r="AK1989" s="2" t="str">
        <f>IFERROR(__xludf.DUMMYFUNCTION("""COMPUTED_VALUE"""),"")</f>
        <v/>
      </c>
      <c r="AL1989" s="2" t="str">
        <f>IFERROR(__xludf.DUMMYFUNCTION("""COMPUTED_VALUE"""),"")</f>
        <v/>
      </c>
      <c r="AM1989" s="2" t="str">
        <f>IFERROR(__xludf.DUMMYFUNCTION("""COMPUTED_VALUE"""),"")</f>
        <v/>
      </c>
      <c r="AN1989" s="2" t="str">
        <f>IFERROR(__xludf.DUMMYFUNCTION("""COMPUTED_VALUE""")," ")</f>
        <v> </v>
      </c>
      <c r="AO1989" s="2" t="str">
        <f>IFERROR(__xludf.DUMMYFUNCTION("""COMPUTED_VALUE""")," ")</f>
        <v> </v>
      </c>
      <c r="AP1989" s="2" t="str">
        <f>IFERROR(__xludf.DUMMYFUNCTION("""COMPUTED_VALUE"""),"")</f>
        <v/>
      </c>
      <c r="AQ1989" s="2"/>
      <c r="AR1989" s="2"/>
      <c r="AS1989" s="2"/>
      <c r="AT1989" s="2"/>
      <c r="AU1989" s="2"/>
      <c r="AV1989" s="2"/>
      <c r="AW1989" s="2"/>
      <c r="AX1989" s="2"/>
      <c r="AY1989" s="2"/>
      <c r="AZ1989" s="2"/>
      <c r="BA1989" s="2"/>
      <c r="BB1989" s="2"/>
    </row>
    <row r="1990">
      <c r="A1990" s="2"/>
      <c r="B1990" s="2" t="str">
        <f>IFERROR(__xludf.DUMMYFUNCTION("""COMPUTED_VALUE"""),"")</f>
        <v/>
      </c>
      <c r="C1990" s="2"/>
      <c r="D1990" s="71"/>
      <c r="E1990" s="71" t="str">
        <f>IFERROR(__xludf.DUMMYFUNCTION("""COMPUTED_VALUE""")," ")</f>
        <v> </v>
      </c>
      <c r="F1990" s="2"/>
      <c r="G1990" s="2"/>
      <c r="H1990" s="2"/>
      <c r="I1990" s="72"/>
      <c r="J1990" s="72"/>
      <c r="K1990" s="72"/>
      <c r="L1990" s="72"/>
      <c r="M1990" s="2"/>
      <c r="N1990" s="2"/>
      <c r="O1990" s="2"/>
      <c r="P1990" s="2"/>
      <c r="Q1990" s="2"/>
      <c r="R1990" s="2"/>
      <c r="S1990" s="2"/>
      <c r="T1990" s="2"/>
      <c r="U1990" s="2"/>
      <c r="V1990" s="2"/>
      <c r="W1990" s="2"/>
      <c r="X1990" s="2"/>
      <c r="Y1990" s="2"/>
      <c r="Z1990" s="2"/>
      <c r="AA1990" s="2"/>
      <c r="AB1990" s="2"/>
      <c r="AC1990" s="2"/>
      <c r="AD1990" s="2"/>
      <c r="AE1990" s="2"/>
      <c r="AF1990" s="2"/>
      <c r="AG1990" s="2"/>
      <c r="AH1990" s="2"/>
      <c r="AI1990" s="2"/>
      <c r="AJ1990" s="2" t="str">
        <f>IFERROR(__xludf.DUMMYFUNCTION("""COMPUTED_VALUE"""),"")</f>
        <v/>
      </c>
      <c r="AK1990" s="2" t="str">
        <f>IFERROR(__xludf.DUMMYFUNCTION("""COMPUTED_VALUE"""),"")</f>
        <v/>
      </c>
      <c r="AL1990" s="2" t="str">
        <f>IFERROR(__xludf.DUMMYFUNCTION("""COMPUTED_VALUE"""),"")</f>
        <v/>
      </c>
      <c r="AM1990" s="2" t="str">
        <f>IFERROR(__xludf.DUMMYFUNCTION("""COMPUTED_VALUE"""),"")</f>
        <v/>
      </c>
      <c r="AN1990" s="2" t="str">
        <f>IFERROR(__xludf.DUMMYFUNCTION("""COMPUTED_VALUE""")," ")</f>
        <v> </v>
      </c>
      <c r="AO1990" s="2" t="str">
        <f>IFERROR(__xludf.DUMMYFUNCTION("""COMPUTED_VALUE""")," ")</f>
        <v> </v>
      </c>
      <c r="AP1990" s="2" t="str">
        <f>IFERROR(__xludf.DUMMYFUNCTION("""COMPUTED_VALUE"""),"")</f>
        <v/>
      </c>
      <c r="AQ1990" s="2"/>
      <c r="AR1990" s="2"/>
      <c r="AS1990" s="2"/>
      <c r="AT1990" s="2"/>
      <c r="AU1990" s="2"/>
      <c r="AV1990" s="2"/>
      <c r="AW1990" s="2"/>
      <c r="AX1990" s="2"/>
      <c r="AY1990" s="2"/>
      <c r="AZ1990" s="2"/>
      <c r="BA1990" s="2"/>
      <c r="BB1990" s="2"/>
    </row>
    <row r="1991">
      <c r="A1991" s="2"/>
      <c r="B1991" s="2" t="str">
        <f>IFERROR(__xludf.DUMMYFUNCTION("""COMPUTED_VALUE"""),"")</f>
        <v/>
      </c>
      <c r="C1991" s="2"/>
      <c r="D1991" s="71"/>
      <c r="E1991" s="71" t="str">
        <f>IFERROR(__xludf.DUMMYFUNCTION("""COMPUTED_VALUE""")," ")</f>
        <v> </v>
      </c>
      <c r="F1991" s="2"/>
      <c r="G1991" s="2"/>
      <c r="H1991" s="2"/>
      <c r="I1991" s="72"/>
      <c r="J1991" s="72"/>
      <c r="K1991" s="72"/>
      <c r="L1991" s="72"/>
      <c r="M1991" s="2"/>
      <c r="N1991" s="2"/>
      <c r="O1991" s="2"/>
      <c r="P1991" s="2"/>
      <c r="Q1991" s="2"/>
      <c r="R1991" s="2"/>
      <c r="S1991" s="2"/>
      <c r="T1991" s="2"/>
      <c r="U1991" s="2"/>
      <c r="V1991" s="2"/>
      <c r="W1991" s="2"/>
      <c r="X1991" s="2"/>
      <c r="Y1991" s="2"/>
      <c r="Z1991" s="2"/>
      <c r="AA1991" s="2"/>
      <c r="AB1991" s="2"/>
      <c r="AC1991" s="2"/>
      <c r="AD1991" s="2"/>
      <c r="AE1991" s="2"/>
      <c r="AF1991" s="2"/>
      <c r="AG1991" s="2"/>
      <c r="AH1991" s="2"/>
      <c r="AI1991" s="2"/>
      <c r="AJ1991" s="2" t="str">
        <f>IFERROR(__xludf.DUMMYFUNCTION("""COMPUTED_VALUE"""),"")</f>
        <v/>
      </c>
      <c r="AK1991" s="2" t="str">
        <f>IFERROR(__xludf.DUMMYFUNCTION("""COMPUTED_VALUE"""),"")</f>
        <v/>
      </c>
      <c r="AL1991" s="2" t="str">
        <f>IFERROR(__xludf.DUMMYFUNCTION("""COMPUTED_VALUE"""),"")</f>
        <v/>
      </c>
      <c r="AM1991" s="2" t="str">
        <f>IFERROR(__xludf.DUMMYFUNCTION("""COMPUTED_VALUE"""),"")</f>
        <v/>
      </c>
      <c r="AN1991" s="2" t="str">
        <f>IFERROR(__xludf.DUMMYFUNCTION("""COMPUTED_VALUE""")," ")</f>
        <v> </v>
      </c>
      <c r="AO1991" s="2" t="str">
        <f>IFERROR(__xludf.DUMMYFUNCTION("""COMPUTED_VALUE""")," ")</f>
        <v> </v>
      </c>
      <c r="AP1991" s="2" t="str">
        <f>IFERROR(__xludf.DUMMYFUNCTION("""COMPUTED_VALUE"""),"")</f>
        <v/>
      </c>
      <c r="AQ1991" s="2"/>
      <c r="AR1991" s="2"/>
      <c r="AS1991" s="2"/>
      <c r="AT1991" s="2"/>
      <c r="AU1991" s="2"/>
      <c r="AV1991" s="2"/>
      <c r="AW1991" s="2"/>
      <c r="AX1991" s="2"/>
      <c r="AY1991" s="2"/>
      <c r="AZ1991" s="2"/>
      <c r="BA1991" s="2"/>
      <c r="BB1991" s="2"/>
    </row>
    <row r="1992">
      <c r="A1992" s="2"/>
      <c r="B1992" s="2" t="str">
        <f>IFERROR(__xludf.DUMMYFUNCTION("""COMPUTED_VALUE"""),"")</f>
        <v/>
      </c>
      <c r="C1992" s="2"/>
      <c r="D1992" s="71"/>
      <c r="E1992" s="71" t="str">
        <f>IFERROR(__xludf.DUMMYFUNCTION("""COMPUTED_VALUE""")," ")</f>
        <v> </v>
      </c>
      <c r="F1992" s="2"/>
      <c r="G1992" s="2"/>
      <c r="H1992" s="2"/>
      <c r="I1992" s="72"/>
      <c r="J1992" s="72"/>
      <c r="K1992" s="72"/>
      <c r="L1992" s="72"/>
      <c r="M1992" s="2"/>
      <c r="N1992" s="2"/>
      <c r="O1992" s="2"/>
      <c r="P1992" s="2"/>
      <c r="Q1992" s="2"/>
      <c r="R1992" s="2"/>
      <c r="S1992" s="2"/>
      <c r="T1992" s="2"/>
      <c r="U1992" s="2"/>
      <c r="V1992" s="2"/>
      <c r="W1992" s="2"/>
      <c r="X1992" s="2"/>
      <c r="Y1992" s="2"/>
      <c r="Z1992" s="2"/>
      <c r="AA1992" s="2"/>
      <c r="AB1992" s="2"/>
      <c r="AC1992" s="2"/>
      <c r="AD1992" s="2"/>
      <c r="AE1992" s="2"/>
      <c r="AF1992" s="2"/>
      <c r="AG1992" s="2"/>
      <c r="AH1992" s="2"/>
      <c r="AI1992" s="2"/>
      <c r="AJ1992" s="2" t="str">
        <f>IFERROR(__xludf.DUMMYFUNCTION("""COMPUTED_VALUE"""),"")</f>
        <v/>
      </c>
      <c r="AK1992" s="2" t="str">
        <f>IFERROR(__xludf.DUMMYFUNCTION("""COMPUTED_VALUE"""),"")</f>
        <v/>
      </c>
      <c r="AL1992" s="2" t="str">
        <f>IFERROR(__xludf.DUMMYFUNCTION("""COMPUTED_VALUE"""),"")</f>
        <v/>
      </c>
      <c r="AM1992" s="2" t="str">
        <f>IFERROR(__xludf.DUMMYFUNCTION("""COMPUTED_VALUE"""),"")</f>
        <v/>
      </c>
      <c r="AN1992" s="2" t="str">
        <f>IFERROR(__xludf.DUMMYFUNCTION("""COMPUTED_VALUE""")," ")</f>
        <v> </v>
      </c>
      <c r="AO1992" s="2" t="str">
        <f>IFERROR(__xludf.DUMMYFUNCTION("""COMPUTED_VALUE""")," ")</f>
        <v> </v>
      </c>
      <c r="AP1992" s="2" t="str">
        <f>IFERROR(__xludf.DUMMYFUNCTION("""COMPUTED_VALUE"""),"")</f>
        <v/>
      </c>
      <c r="AQ1992" s="2"/>
      <c r="AR1992" s="2"/>
      <c r="AS1992" s="2"/>
      <c r="AT1992" s="2"/>
      <c r="AU1992" s="2"/>
      <c r="AV1992" s="2"/>
      <c r="AW1992" s="2"/>
      <c r="AX1992" s="2"/>
      <c r="AY1992" s="2"/>
      <c r="AZ1992" s="2"/>
      <c r="BA1992" s="2"/>
      <c r="BB1992" s="2"/>
    </row>
    <row r="1993">
      <c r="A1993" s="2"/>
      <c r="B1993" s="2" t="str">
        <f>IFERROR(__xludf.DUMMYFUNCTION("""COMPUTED_VALUE"""),"")</f>
        <v/>
      </c>
      <c r="C1993" s="2"/>
      <c r="D1993" s="71"/>
      <c r="E1993" s="71" t="str">
        <f>IFERROR(__xludf.DUMMYFUNCTION("""COMPUTED_VALUE""")," ")</f>
        <v> </v>
      </c>
      <c r="F1993" s="2"/>
      <c r="G1993" s="2"/>
      <c r="H1993" s="2"/>
      <c r="I1993" s="72"/>
      <c r="J1993" s="72"/>
      <c r="K1993" s="72"/>
      <c r="L1993" s="72"/>
      <c r="M1993" s="2"/>
      <c r="N1993" s="2"/>
      <c r="O1993" s="2"/>
      <c r="P1993" s="2"/>
      <c r="Q1993" s="2"/>
      <c r="R1993" s="2"/>
      <c r="S1993" s="2"/>
      <c r="T1993" s="2"/>
      <c r="U1993" s="2"/>
      <c r="V1993" s="2"/>
      <c r="W1993" s="2"/>
      <c r="X1993" s="2"/>
      <c r="Y1993" s="2"/>
      <c r="Z1993" s="2"/>
      <c r="AA1993" s="2"/>
      <c r="AB1993" s="2"/>
      <c r="AC1993" s="2"/>
      <c r="AD1993" s="2"/>
      <c r="AE1993" s="2"/>
      <c r="AF1993" s="2"/>
      <c r="AG1993" s="2"/>
      <c r="AH1993" s="2"/>
      <c r="AI1993" s="2"/>
      <c r="AJ1993" s="2" t="str">
        <f>IFERROR(__xludf.DUMMYFUNCTION("""COMPUTED_VALUE"""),"")</f>
        <v/>
      </c>
      <c r="AK1993" s="2" t="str">
        <f>IFERROR(__xludf.DUMMYFUNCTION("""COMPUTED_VALUE"""),"")</f>
        <v/>
      </c>
      <c r="AL1993" s="2" t="str">
        <f>IFERROR(__xludf.DUMMYFUNCTION("""COMPUTED_VALUE"""),"")</f>
        <v/>
      </c>
      <c r="AM1993" s="2" t="str">
        <f>IFERROR(__xludf.DUMMYFUNCTION("""COMPUTED_VALUE"""),"")</f>
        <v/>
      </c>
      <c r="AN1993" s="2" t="str">
        <f>IFERROR(__xludf.DUMMYFUNCTION("""COMPUTED_VALUE""")," ")</f>
        <v> </v>
      </c>
      <c r="AO1993" s="2" t="str">
        <f>IFERROR(__xludf.DUMMYFUNCTION("""COMPUTED_VALUE""")," ")</f>
        <v> </v>
      </c>
      <c r="AP1993" s="2" t="str">
        <f>IFERROR(__xludf.DUMMYFUNCTION("""COMPUTED_VALUE"""),"")</f>
        <v/>
      </c>
      <c r="AQ1993" s="2"/>
      <c r="AR1993" s="2"/>
      <c r="AS1993" s="2"/>
      <c r="AT1993" s="2"/>
      <c r="AU1993" s="2"/>
      <c r="AV1993" s="2"/>
      <c r="AW1993" s="2"/>
      <c r="AX1993" s="2"/>
      <c r="AY1993" s="2"/>
      <c r="AZ1993" s="2"/>
      <c r="BA1993" s="2"/>
      <c r="BB1993" s="2"/>
    </row>
    <row r="1994">
      <c r="A1994" s="2"/>
      <c r="B1994" s="2" t="str">
        <f>IFERROR(__xludf.DUMMYFUNCTION("""COMPUTED_VALUE"""),"")</f>
        <v/>
      </c>
      <c r="C1994" s="2"/>
      <c r="D1994" s="71"/>
      <c r="E1994" s="71" t="str">
        <f>IFERROR(__xludf.DUMMYFUNCTION("""COMPUTED_VALUE""")," ")</f>
        <v> </v>
      </c>
      <c r="F1994" s="2"/>
      <c r="G1994" s="2"/>
      <c r="H1994" s="2"/>
      <c r="I1994" s="72"/>
      <c r="J1994" s="72"/>
      <c r="K1994" s="72"/>
      <c r="L1994" s="72"/>
      <c r="M1994" s="2"/>
      <c r="N1994" s="2"/>
      <c r="O1994" s="2"/>
      <c r="P1994" s="2"/>
      <c r="Q1994" s="2"/>
      <c r="R1994" s="2"/>
      <c r="S1994" s="2"/>
      <c r="T1994" s="2"/>
      <c r="U1994" s="2"/>
      <c r="V1994" s="2"/>
      <c r="W1994" s="2"/>
      <c r="X1994" s="2"/>
      <c r="Y1994" s="2"/>
      <c r="Z1994" s="2"/>
      <c r="AA1994" s="2"/>
      <c r="AB1994" s="2"/>
      <c r="AC1994" s="2"/>
      <c r="AD1994" s="2"/>
      <c r="AE1994" s="2"/>
      <c r="AF1994" s="2"/>
      <c r="AG1994" s="2"/>
      <c r="AH1994" s="2"/>
      <c r="AI1994" s="2"/>
      <c r="AJ1994" s="2" t="str">
        <f>IFERROR(__xludf.DUMMYFUNCTION("""COMPUTED_VALUE"""),"")</f>
        <v/>
      </c>
      <c r="AK1994" s="2" t="str">
        <f>IFERROR(__xludf.DUMMYFUNCTION("""COMPUTED_VALUE"""),"")</f>
        <v/>
      </c>
      <c r="AL1994" s="2" t="str">
        <f>IFERROR(__xludf.DUMMYFUNCTION("""COMPUTED_VALUE"""),"")</f>
        <v/>
      </c>
      <c r="AM1994" s="2" t="str">
        <f>IFERROR(__xludf.DUMMYFUNCTION("""COMPUTED_VALUE"""),"")</f>
        <v/>
      </c>
      <c r="AN1994" s="2" t="str">
        <f>IFERROR(__xludf.DUMMYFUNCTION("""COMPUTED_VALUE""")," ")</f>
        <v> </v>
      </c>
      <c r="AO1994" s="2" t="str">
        <f>IFERROR(__xludf.DUMMYFUNCTION("""COMPUTED_VALUE""")," ")</f>
        <v> </v>
      </c>
      <c r="AP1994" s="2" t="str">
        <f>IFERROR(__xludf.DUMMYFUNCTION("""COMPUTED_VALUE"""),"")</f>
        <v/>
      </c>
      <c r="AQ1994" s="2"/>
      <c r="AR1994" s="2"/>
      <c r="AS1994" s="2"/>
      <c r="AT1994" s="2"/>
      <c r="AU1994" s="2"/>
      <c r="AV1994" s="2"/>
      <c r="AW1994" s="2"/>
      <c r="AX1994" s="2"/>
      <c r="AY1994" s="2"/>
      <c r="AZ1994" s="2"/>
      <c r="BA1994" s="2"/>
      <c r="BB1994" s="2"/>
    </row>
    <row r="1995">
      <c r="A1995" s="2"/>
      <c r="B1995" s="2" t="str">
        <f>IFERROR(__xludf.DUMMYFUNCTION("""COMPUTED_VALUE"""),"")</f>
        <v/>
      </c>
      <c r="C1995" s="2"/>
      <c r="D1995" s="71"/>
      <c r="E1995" s="71" t="str">
        <f>IFERROR(__xludf.DUMMYFUNCTION("""COMPUTED_VALUE""")," ")</f>
        <v> </v>
      </c>
      <c r="F1995" s="2"/>
      <c r="G1995" s="2"/>
      <c r="H1995" s="2"/>
      <c r="I1995" s="72"/>
      <c r="J1995" s="72"/>
      <c r="K1995" s="72"/>
      <c r="L1995" s="72"/>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c r="AJ1995" s="2" t="str">
        <f>IFERROR(__xludf.DUMMYFUNCTION("""COMPUTED_VALUE"""),"")</f>
        <v/>
      </c>
      <c r="AK1995" s="2" t="str">
        <f>IFERROR(__xludf.DUMMYFUNCTION("""COMPUTED_VALUE"""),"")</f>
        <v/>
      </c>
      <c r="AL1995" s="2" t="str">
        <f>IFERROR(__xludf.DUMMYFUNCTION("""COMPUTED_VALUE"""),"")</f>
        <v/>
      </c>
      <c r="AM1995" s="2" t="str">
        <f>IFERROR(__xludf.DUMMYFUNCTION("""COMPUTED_VALUE"""),"")</f>
        <v/>
      </c>
      <c r="AN1995" s="2" t="str">
        <f>IFERROR(__xludf.DUMMYFUNCTION("""COMPUTED_VALUE""")," ")</f>
        <v> </v>
      </c>
      <c r="AO1995" s="2" t="str">
        <f>IFERROR(__xludf.DUMMYFUNCTION("""COMPUTED_VALUE""")," ")</f>
        <v> </v>
      </c>
      <c r="AP1995" s="2" t="str">
        <f>IFERROR(__xludf.DUMMYFUNCTION("""COMPUTED_VALUE"""),"")</f>
        <v/>
      </c>
      <c r="AQ1995" s="2"/>
      <c r="AR1995" s="2"/>
      <c r="AS1995" s="2"/>
      <c r="AT1995" s="2"/>
      <c r="AU1995" s="2"/>
      <c r="AV1995" s="2"/>
      <c r="AW1995" s="2"/>
      <c r="AX1995" s="2"/>
      <c r="AY1995" s="2"/>
      <c r="AZ1995" s="2"/>
      <c r="BA1995" s="2"/>
      <c r="BB1995" s="2"/>
    </row>
    <row r="1996">
      <c r="A1996" s="2"/>
      <c r="B1996" s="2" t="str">
        <f>IFERROR(__xludf.DUMMYFUNCTION("""COMPUTED_VALUE"""),"")</f>
        <v/>
      </c>
      <c r="C1996" s="2"/>
      <c r="D1996" s="71"/>
      <c r="E1996" s="71" t="str">
        <f>IFERROR(__xludf.DUMMYFUNCTION("""COMPUTED_VALUE""")," ")</f>
        <v> </v>
      </c>
      <c r="F1996" s="2"/>
      <c r="G1996" s="2"/>
      <c r="H1996" s="2"/>
      <c r="I1996" s="72"/>
      <c r="J1996" s="72"/>
      <c r="K1996" s="72"/>
      <c r="L1996" s="72"/>
      <c r="M1996" s="2"/>
      <c r="N1996" s="2"/>
      <c r="O1996" s="2"/>
      <c r="P1996" s="2"/>
      <c r="Q1996" s="2"/>
      <c r="R1996" s="2"/>
      <c r="S1996" s="2"/>
      <c r="T1996" s="2"/>
      <c r="U1996" s="2"/>
      <c r="V1996" s="2"/>
      <c r="W1996" s="2"/>
      <c r="X1996" s="2"/>
      <c r="Y1996" s="2"/>
      <c r="Z1996" s="2"/>
      <c r="AA1996" s="2"/>
      <c r="AB1996" s="2"/>
      <c r="AC1996" s="2"/>
      <c r="AD1996" s="2"/>
      <c r="AE1996" s="2"/>
      <c r="AF1996" s="2"/>
      <c r="AG1996" s="2"/>
      <c r="AH1996" s="2"/>
      <c r="AI1996" s="2"/>
      <c r="AJ1996" s="2" t="str">
        <f>IFERROR(__xludf.DUMMYFUNCTION("""COMPUTED_VALUE"""),"")</f>
        <v/>
      </c>
      <c r="AK1996" s="2" t="str">
        <f>IFERROR(__xludf.DUMMYFUNCTION("""COMPUTED_VALUE"""),"")</f>
        <v/>
      </c>
      <c r="AL1996" s="2" t="str">
        <f>IFERROR(__xludf.DUMMYFUNCTION("""COMPUTED_VALUE"""),"")</f>
        <v/>
      </c>
      <c r="AM1996" s="2" t="str">
        <f>IFERROR(__xludf.DUMMYFUNCTION("""COMPUTED_VALUE"""),"")</f>
        <v/>
      </c>
      <c r="AN1996" s="2" t="str">
        <f>IFERROR(__xludf.DUMMYFUNCTION("""COMPUTED_VALUE""")," ")</f>
        <v> </v>
      </c>
      <c r="AO1996" s="2" t="str">
        <f>IFERROR(__xludf.DUMMYFUNCTION("""COMPUTED_VALUE""")," ")</f>
        <v> </v>
      </c>
      <c r="AP1996" s="2" t="str">
        <f>IFERROR(__xludf.DUMMYFUNCTION("""COMPUTED_VALUE"""),"")</f>
        <v/>
      </c>
      <c r="AQ1996" s="2"/>
      <c r="AR1996" s="2"/>
      <c r="AS1996" s="2"/>
      <c r="AT1996" s="2"/>
      <c r="AU1996" s="2"/>
      <c r="AV1996" s="2"/>
      <c r="AW1996" s="2"/>
      <c r="AX1996" s="2"/>
      <c r="AY1996" s="2"/>
      <c r="AZ1996" s="2"/>
      <c r="BA1996" s="2"/>
      <c r="BB1996" s="2"/>
    </row>
    <row r="1997">
      <c r="A1997" s="2"/>
      <c r="B1997" s="2" t="str">
        <f>IFERROR(__xludf.DUMMYFUNCTION("""COMPUTED_VALUE"""),"")</f>
        <v/>
      </c>
      <c r="C1997" s="2"/>
      <c r="D1997" s="71"/>
      <c r="E1997" s="71" t="str">
        <f>IFERROR(__xludf.DUMMYFUNCTION("""COMPUTED_VALUE""")," ")</f>
        <v> </v>
      </c>
      <c r="F1997" s="2"/>
      <c r="G1997" s="2"/>
      <c r="H1997" s="2"/>
      <c r="I1997" s="72"/>
      <c r="J1997" s="72"/>
      <c r="K1997" s="72"/>
      <c r="L1997" s="72"/>
      <c r="M1997" s="2"/>
      <c r="N1997" s="2"/>
      <c r="O1997" s="2"/>
      <c r="P1997" s="2"/>
      <c r="Q1997" s="2"/>
      <c r="R1997" s="2"/>
      <c r="S1997" s="2"/>
      <c r="T1997" s="2"/>
      <c r="U1997" s="2"/>
      <c r="V1997" s="2"/>
      <c r="W1997" s="2"/>
      <c r="X1997" s="2"/>
      <c r="Y1997" s="2"/>
      <c r="Z1997" s="2"/>
      <c r="AA1997" s="2"/>
      <c r="AB1997" s="2"/>
      <c r="AC1997" s="2"/>
      <c r="AD1997" s="2"/>
      <c r="AE1997" s="2"/>
      <c r="AF1997" s="2"/>
      <c r="AG1997" s="2"/>
      <c r="AH1997" s="2"/>
      <c r="AI1997" s="2"/>
      <c r="AJ1997" s="2" t="str">
        <f>IFERROR(__xludf.DUMMYFUNCTION("""COMPUTED_VALUE"""),"")</f>
        <v/>
      </c>
      <c r="AK1997" s="2" t="str">
        <f>IFERROR(__xludf.DUMMYFUNCTION("""COMPUTED_VALUE"""),"")</f>
        <v/>
      </c>
      <c r="AL1997" s="2" t="str">
        <f>IFERROR(__xludf.DUMMYFUNCTION("""COMPUTED_VALUE"""),"")</f>
        <v/>
      </c>
      <c r="AM1997" s="2" t="str">
        <f>IFERROR(__xludf.DUMMYFUNCTION("""COMPUTED_VALUE"""),"")</f>
        <v/>
      </c>
      <c r="AN1997" s="2" t="str">
        <f>IFERROR(__xludf.DUMMYFUNCTION("""COMPUTED_VALUE""")," ")</f>
        <v> </v>
      </c>
      <c r="AO1997" s="2" t="str">
        <f>IFERROR(__xludf.DUMMYFUNCTION("""COMPUTED_VALUE""")," ")</f>
        <v> </v>
      </c>
      <c r="AP1997" s="2" t="str">
        <f>IFERROR(__xludf.DUMMYFUNCTION("""COMPUTED_VALUE"""),"")</f>
        <v/>
      </c>
      <c r="AQ1997" s="2"/>
      <c r="AR1997" s="2"/>
      <c r="AS1997" s="2"/>
      <c r="AT1997" s="2"/>
      <c r="AU1997" s="2"/>
      <c r="AV1997" s="2"/>
      <c r="AW1997" s="2"/>
      <c r="AX1997" s="2"/>
      <c r="AY1997" s="2"/>
      <c r="AZ1997" s="2"/>
      <c r="BA1997" s="2"/>
      <c r="BB1997" s="2"/>
    </row>
    <row r="1998">
      <c r="A1998" s="2"/>
      <c r="B1998" s="2" t="str">
        <f>IFERROR(__xludf.DUMMYFUNCTION("""COMPUTED_VALUE"""),"")</f>
        <v/>
      </c>
      <c r="C1998" s="2"/>
      <c r="D1998" s="71"/>
      <c r="E1998" s="71" t="str">
        <f>IFERROR(__xludf.DUMMYFUNCTION("""COMPUTED_VALUE""")," ")</f>
        <v> </v>
      </c>
      <c r="F1998" s="2"/>
      <c r="G1998" s="2"/>
      <c r="H1998" s="2"/>
      <c r="I1998" s="72"/>
      <c r="J1998" s="72"/>
      <c r="K1998" s="72"/>
      <c r="L1998" s="72"/>
      <c r="M1998" s="2"/>
      <c r="N1998" s="2"/>
      <c r="O1998" s="2"/>
      <c r="P1998" s="2"/>
      <c r="Q1998" s="2"/>
      <c r="R1998" s="2"/>
      <c r="S1998" s="2"/>
      <c r="T1998" s="2"/>
      <c r="U1998" s="2"/>
      <c r="V1998" s="2"/>
      <c r="W1998" s="2"/>
      <c r="X1998" s="2"/>
      <c r="Y1998" s="2"/>
      <c r="Z1998" s="2"/>
      <c r="AA1998" s="2"/>
      <c r="AB1998" s="2"/>
      <c r="AC1998" s="2"/>
      <c r="AD1998" s="2"/>
      <c r="AE1998" s="2"/>
      <c r="AF1998" s="2"/>
      <c r="AG1998" s="2"/>
      <c r="AH1998" s="2"/>
      <c r="AI1998" s="2"/>
      <c r="AJ1998" s="2" t="str">
        <f>IFERROR(__xludf.DUMMYFUNCTION("""COMPUTED_VALUE"""),"")</f>
        <v/>
      </c>
      <c r="AK1998" s="2" t="str">
        <f>IFERROR(__xludf.DUMMYFUNCTION("""COMPUTED_VALUE"""),"")</f>
        <v/>
      </c>
      <c r="AL1998" s="2" t="str">
        <f>IFERROR(__xludf.DUMMYFUNCTION("""COMPUTED_VALUE"""),"")</f>
        <v/>
      </c>
      <c r="AM1998" s="2" t="str">
        <f>IFERROR(__xludf.DUMMYFUNCTION("""COMPUTED_VALUE"""),"")</f>
        <v/>
      </c>
      <c r="AN1998" s="2" t="str">
        <f>IFERROR(__xludf.DUMMYFUNCTION("""COMPUTED_VALUE""")," ")</f>
        <v> </v>
      </c>
      <c r="AO1998" s="2" t="str">
        <f>IFERROR(__xludf.DUMMYFUNCTION("""COMPUTED_VALUE""")," ")</f>
        <v> </v>
      </c>
      <c r="AP1998" s="2" t="str">
        <f>IFERROR(__xludf.DUMMYFUNCTION("""COMPUTED_VALUE"""),"")</f>
        <v/>
      </c>
      <c r="AQ1998" s="2"/>
      <c r="AR1998" s="2"/>
      <c r="AS1998" s="2"/>
      <c r="AT1998" s="2"/>
      <c r="AU1998" s="2"/>
      <c r="AV1998" s="2"/>
      <c r="AW1998" s="2"/>
      <c r="AX1998" s="2"/>
      <c r="AY1998" s="2"/>
      <c r="AZ1998" s="2"/>
      <c r="BA1998" s="2"/>
      <c r="BB1998" s="2"/>
    </row>
    <row r="1999">
      <c r="A1999" s="2"/>
      <c r="B1999" s="2" t="str">
        <f>IFERROR(__xludf.DUMMYFUNCTION("""COMPUTED_VALUE"""),"")</f>
        <v/>
      </c>
      <c r="C1999" s="2"/>
      <c r="D1999" s="71"/>
      <c r="E1999" s="71" t="str">
        <f>IFERROR(__xludf.DUMMYFUNCTION("""COMPUTED_VALUE""")," ")</f>
        <v> </v>
      </c>
      <c r="F1999" s="2"/>
      <c r="G1999" s="2"/>
      <c r="H1999" s="2"/>
      <c r="I1999" s="72"/>
      <c r="J1999" s="72"/>
      <c r="K1999" s="72"/>
      <c r="L1999" s="72"/>
      <c r="M1999" s="2"/>
      <c r="N1999" s="2"/>
      <c r="O1999" s="2"/>
      <c r="P1999" s="2"/>
      <c r="Q1999" s="2"/>
      <c r="R1999" s="2"/>
      <c r="S1999" s="2"/>
      <c r="T1999" s="2"/>
      <c r="U1999" s="2"/>
      <c r="V1999" s="2"/>
      <c r="W1999" s="2"/>
      <c r="X1999" s="2"/>
      <c r="Y1999" s="2"/>
      <c r="Z1999" s="2"/>
      <c r="AA1999" s="2"/>
      <c r="AB1999" s="2"/>
      <c r="AC1999" s="2"/>
      <c r="AD1999" s="2"/>
      <c r="AE1999" s="2"/>
      <c r="AF1999" s="2"/>
      <c r="AG1999" s="2"/>
      <c r="AH1999" s="2"/>
      <c r="AI1999" s="2"/>
      <c r="AJ1999" s="2" t="str">
        <f>IFERROR(__xludf.DUMMYFUNCTION("""COMPUTED_VALUE"""),"")</f>
        <v/>
      </c>
      <c r="AK1999" s="2" t="str">
        <f>IFERROR(__xludf.DUMMYFUNCTION("""COMPUTED_VALUE"""),"")</f>
        <v/>
      </c>
      <c r="AL1999" s="2" t="str">
        <f>IFERROR(__xludf.DUMMYFUNCTION("""COMPUTED_VALUE"""),"")</f>
        <v/>
      </c>
      <c r="AM1999" s="2" t="str">
        <f>IFERROR(__xludf.DUMMYFUNCTION("""COMPUTED_VALUE"""),"")</f>
        <v/>
      </c>
      <c r="AN1999" s="2" t="str">
        <f>IFERROR(__xludf.DUMMYFUNCTION("""COMPUTED_VALUE""")," ")</f>
        <v> </v>
      </c>
      <c r="AO1999" s="2" t="str">
        <f>IFERROR(__xludf.DUMMYFUNCTION("""COMPUTED_VALUE""")," ")</f>
        <v> </v>
      </c>
      <c r="AP1999" s="2" t="str">
        <f>IFERROR(__xludf.DUMMYFUNCTION("""COMPUTED_VALUE"""),"")</f>
        <v/>
      </c>
      <c r="AQ1999" s="2"/>
      <c r="AR1999" s="2"/>
      <c r="AS1999" s="2"/>
      <c r="AT1999" s="2"/>
      <c r="AU1999" s="2"/>
      <c r="AV1999" s="2"/>
      <c r="AW1999" s="2"/>
      <c r="AX1999" s="2"/>
      <c r="AY1999" s="2"/>
      <c r="AZ1999" s="2"/>
      <c r="BA1999" s="2"/>
      <c r="BB1999" s="2"/>
    </row>
    <row r="2000">
      <c r="A2000" s="2"/>
      <c r="B2000" s="2" t="str">
        <f>IFERROR(__xludf.DUMMYFUNCTION("""COMPUTED_VALUE"""),"")</f>
        <v/>
      </c>
      <c r="C2000" s="2"/>
      <c r="D2000" s="71"/>
      <c r="E2000" s="71" t="str">
        <f>IFERROR(__xludf.DUMMYFUNCTION("""COMPUTED_VALUE""")," ")</f>
        <v> </v>
      </c>
      <c r="F2000" s="2"/>
      <c r="G2000" s="2"/>
      <c r="H2000" s="2"/>
      <c r="I2000" s="72"/>
      <c r="J2000" s="72"/>
      <c r="K2000" s="72"/>
      <c r="L2000" s="72"/>
      <c r="M2000" s="2"/>
      <c r="N2000" s="2"/>
      <c r="O2000" s="2"/>
      <c r="P2000" s="2"/>
      <c r="Q2000" s="2"/>
      <c r="R2000" s="2"/>
      <c r="S2000" s="2"/>
      <c r="T2000" s="2"/>
      <c r="U2000" s="2"/>
      <c r="V2000" s="2"/>
      <c r="W2000" s="2"/>
      <c r="X2000" s="2"/>
      <c r="Y2000" s="2"/>
      <c r="Z2000" s="2"/>
      <c r="AA2000" s="2"/>
      <c r="AB2000" s="2"/>
      <c r="AC2000" s="2"/>
      <c r="AD2000" s="2"/>
      <c r="AE2000" s="2"/>
      <c r="AF2000" s="2"/>
      <c r="AG2000" s="2"/>
      <c r="AH2000" s="2"/>
      <c r="AI2000" s="2"/>
      <c r="AJ2000" s="2" t="str">
        <f>IFERROR(__xludf.DUMMYFUNCTION("""COMPUTED_VALUE"""),"")</f>
        <v/>
      </c>
      <c r="AK2000" s="2" t="str">
        <f>IFERROR(__xludf.DUMMYFUNCTION("""COMPUTED_VALUE"""),"")</f>
        <v/>
      </c>
      <c r="AL2000" s="2" t="str">
        <f>IFERROR(__xludf.DUMMYFUNCTION("""COMPUTED_VALUE"""),"")</f>
        <v/>
      </c>
      <c r="AM2000" s="2" t="str">
        <f>IFERROR(__xludf.DUMMYFUNCTION("""COMPUTED_VALUE"""),"")</f>
        <v/>
      </c>
      <c r="AN2000" s="2" t="str">
        <f>IFERROR(__xludf.DUMMYFUNCTION("""COMPUTED_VALUE""")," ")</f>
        <v> </v>
      </c>
      <c r="AO2000" s="2" t="str">
        <f>IFERROR(__xludf.DUMMYFUNCTION("""COMPUTED_VALUE""")," ")</f>
        <v> </v>
      </c>
      <c r="AP2000" s="2" t="str">
        <f>IFERROR(__xludf.DUMMYFUNCTION("""COMPUTED_VALUE"""),"")</f>
        <v/>
      </c>
      <c r="AQ2000" s="2"/>
      <c r="AR2000" s="2"/>
      <c r="AS2000" s="2"/>
      <c r="AT2000" s="2"/>
      <c r="AU2000" s="2"/>
      <c r="AV2000" s="2"/>
      <c r="AW2000" s="2"/>
      <c r="AX2000" s="2"/>
      <c r="AY2000" s="2"/>
      <c r="AZ2000" s="2"/>
      <c r="BA2000" s="2"/>
      <c r="BB2000" s="2"/>
    </row>
    <row r="2001">
      <c r="A2001" s="2"/>
      <c r="B2001" s="2" t="str">
        <f>IFERROR(__xludf.DUMMYFUNCTION("""COMPUTED_VALUE"""),"")</f>
        <v/>
      </c>
      <c r="C2001" s="2"/>
      <c r="D2001" s="71"/>
      <c r="E2001" s="71" t="str">
        <f>IFERROR(__xludf.DUMMYFUNCTION("""COMPUTED_VALUE""")," ")</f>
        <v> </v>
      </c>
      <c r="F2001" s="2"/>
      <c r="G2001" s="2"/>
      <c r="H2001" s="2"/>
      <c r="I2001" s="72"/>
      <c r="J2001" s="72"/>
      <c r="K2001" s="72"/>
      <c r="L2001" s="72"/>
      <c r="M2001" s="2"/>
      <c r="N2001" s="2"/>
      <c r="O2001" s="2"/>
      <c r="P2001" s="2"/>
      <c r="Q2001" s="2"/>
      <c r="R2001" s="2"/>
      <c r="S2001" s="2"/>
      <c r="T2001" s="2"/>
      <c r="U2001" s="2"/>
      <c r="V2001" s="2"/>
      <c r="W2001" s="2"/>
      <c r="X2001" s="2"/>
      <c r="Y2001" s="2"/>
      <c r="Z2001" s="2"/>
      <c r="AA2001" s="2"/>
      <c r="AB2001" s="2"/>
      <c r="AC2001" s="2"/>
      <c r="AD2001" s="2"/>
      <c r="AE2001" s="2"/>
      <c r="AF2001" s="2"/>
      <c r="AG2001" s="2"/>
      <c r="AH2001" s="2"/>
      <c r="AI2001" s="2"/>
      <c r="AJ2001" s="2" t="str">
        <f>IFERROR(__xludf.DUMMYFUNCTION("""COMPUTED_VALUE"""),"")</f>
        <v/>
      </c>
      <c r="AK2001" s="2" t="str">
        <f>IFERROR(__xludf.DUMMYFUNCTION("""COMPUTED_VALUE"""),"")</f>
        <v/>
      </c>
      <c r="AL2001" s="2" t="str">
        <f>IFERROR(__xludf.DUMMYFUNCTION("""COMPUTED_VALUE"""),"")</f>
        <v/>
      </c>
      <c r="AM2001" s="2" t="str">
        <f>IFERROR(__xludf.DUMMYFUNCTION("""COMPUTED_VALUE"""),"")</f>
        <v/>
      </c>
      <c r="AN2001" s="2" t="str">
        <f>IFERROR(__xludf.DUMMYFUNCTION("""COMPUTED_VALUE""")," ")</f>
        <v> </v>
      </c>
      <c r="AO2001" s="2" t="str">
        <f>IFERROR(__xludf.DUMMYFUNCTION("""COMPUTED_VALUE""")," ")</f>
        <v> </v>
      </c>
      <c r="AP2001" s="2" t="str">
        <f>IFERROR(__xludf.DUMMYFUNCTION("""COMPUTED_VALUE"""),"")</f>
        <v/>
      </c>
      <c r="AQ2001" s="2"/>
      <c r="AR2001" s="2"/>
      <c r="AS2001" s="2"/>
      <c r="AT2001" s="2"/>
      <c r="AU2001" s="2"/>
      <c r="AV2001" s="2"/>
      <c r="AW2001" s="2"/>
      <c r="AX2001" s="2"/>
      <c r="AY2001" s="2"/>
      <c r="AZ2001" s="2"/>
      <c r="BA2001" s="2"/>
      <c r="BB2001" s="2"/>
    </row>
    <row r="2002">
      <c r="A2002" s="2"/>
      <c r="B2002" s="2" t="str">
        <f>IFERROR(__xludf.DUMMYFUNCTION("""COMPUTED_VALUE"""),"")</f>
        <v/>
      </c>
      <c r="C2002" s="2"/>
      <c r="D2002" s="71"/>
      <c r="E2002" s="71" t="str">
        <f>IFERROR(__xludf.DUMMYFUNCTION("""COMPUTED_VALUE""")," ")</f>
        <v> </v>
      </c>
      <c r="F2002" s="2"/>
      <c r="G2002" s="2"/>
      <c r="H2002" s="2"/>
      <c r="I2002" s="72"/>
      <c r="J2002" s="72"/>
      <c r="K2002" s="72"/>
      <c r="L2002" s="72"/>
      <c r="M2002" s="2"/>
      <c r="N2002" s="2"/>
      <c r="O2002" s="2"/>
      <c r="P2002" s="2"/>
      <c r="Q2002" s="2"/>
      <c r="R2002" s="2"/>
      <c r="S2002" s="2"/>
      <c r="T2002" s="2"/>
      <c r="U2002" s="2"/>
      <c r="V2002" s="2"/>
      <c r="W2002" s="2"/>
      <c r="X2002" s="2"/>
      <c r="Y2002" s="2"/>
      <c r="Z2002" s="2"/>
      <c r="AA2002" s="2"/>
      <c r="AB2002" s="2"/>
      <c r="AC2002" s="2"/>
      <c r="AD2002" s="2"/>
      <c r="AE2002" s="2"/>
      <c r="AF2002" s="2"/>
      <c r="AG2002" s="2"/>
      <c r="AH2002" s="2"/>
      <c r="AI2002" s="2"/>
      <c r="AJ2002" s="2" t="str">
        <f>IFERROR(__xludf.DUMMYFUNCTION("""COMPUTED_VALUE"""),"")</f>
        <v/>
      </c>
      <c r="AK2002" s="2" t="str">
        <f>IFERROR(__xludf.DUMMYFUNCTION("""COMPUTED_VALUE"""),"")</f>
        <v/>
      </c>
      <c r="AL2002" s="2" t="str">
        <f>IFERROR(__xludf.DUMMYFUNCTION("""COMPUTED_VALUE"""),"")</f>
        <v/>
      </c>
      <c r="AM2002" s="2" t="str">
        <f>IFERROR(__xludf.DUMMYFUNCTION("""COMPUTED_VALUE"""),"")</f>
        <v/>
      </c>
      <c r="AN2002" s="2" t="str">
        <f>IFERROR(__xludf.DUMMYFUNCTION("""COMPUTED_VALUE""")," ")</f>
        <v> </v>
      </c>
      <c r="AO2002" s="2" t="str">
        <f>IFERROR(__xludf.DUMMYFUNCTION("""COMPUTED_VALUE""")," ")</f>
        <v> </v>
      </c>
      <c r="AP2002" s="2" t="str">
        <f>IFERROR(__xludf.DUMMYFUNCTION("""COMPUTED_VALUE"""),"")</f>
        <v/>
      </c>
      <c r="AQ2002" s="2"/>
      <c r="AR2002" s="2"/>
      <c r="AS2002" s="2"/>
      <c r="AT2002" s="2"/>
      <c r="AU2002" s="2"/>
      <c r="AV2002" s="2"/>
      <c r="AW2002" s="2"/>
      <c r="AX2002" s="2"/>
      <c r="AY2002" s="2"/>
      <c r="AZ2002" s="2"/>
      <c r="BA2002" s="2"/>
      <c r="BB2002" s="2"/>
    </row>
    <row r="2003">
      <c r="A2003" s="2"/>
      <c r="B2003" s="2" t="str">
        <f>IFERROR(__xludf.DUMMYFUNCTION("""COMPUTED_VALUE"""),"")</f>
        <v/>
      </c>
      <c r="C2003" s="2"/>
      <c r="D2003" s="71"/>
      <c r="E2003" s="71" t="str">
        <f>IFERROR(__xludf.DUMMYFUNCTION("""COMPUTED_VALUE""")," ")</f>
        <v> </v>
      </c>
      <c r="F2003" s="2"/>
      <c r="G2003" s="2"/>
      <c r="H2003" s="2"/>
      <c r="I2003" s="72"/>
      <c r="J2003" s="72"/>
      <c r="K2003" s="72"/>
      <c r="L2003" s="72"/>
      <c r="M2003" s="2"/>
      <c r="N2003" s="2"/>
      <c r="O2003" s="2"/>
      <c r="P2003" s="2"/>
      <c r="Q2003" s="2"/>
      <c r="R2003" s="2"/>
      <c r="S2003" s="2"/>
      <c r="T2003" s="2"/>
      <c r="U2003" s="2"/>
      <c r="V2003" s="2"/>
      <c r="W2003" s="2"/>
      <c r="X2003" s="2"/>
      <c r="Y2003" s="2"/>
      <c r="Z2003" s="2"/>
      <c r="AA2003" s="2"/>
      <c r="AB2003" s="2"/>
      <c r="AC2003" s="2"/>
      <c r="AD2003" s="2"/>
      <c r="AE2003" s="2"/>
      <c r="AF2003" s="2"/>
      <c r="AG2003" s="2"/>
      <c r="AH2003" s="2"/>
      <c r="AI2003" s="2"/>
      <c r="AJ2003" s="2" t="str">
        <f>IFERROR(__xludf.DUMMYFUNCTION("""COMPUTED_VALUE"""),"")</f>
        <v/>
      </c>
      <c r="AK2003" s="2" t="str">
        <f>IFERROR(__xludf.DUMMYFUNCTION("""COMPUTED_VALUE"""),"")</f>
        <v/>
      </c>
      <c r="AL2003" s="2" t="str">
        <f>IFERROR(__xludf.DUMMYFUNCTION("""COMPUTED_VALUE"""),"")</f>
        <v/>
      </c>
      <c r="AM2003" s="2" t="str">
        <f>IFERROR(__xludf.DUMMYFUNCTION("""COMPUTED_VALUE"""),"")</f>
        <v/>
      </c>
      <c r="AN2003" s="2" t="str">
        <f>IFERROR(__xludf.DUMMYFUNCTION("""COMPUTED_VALUE""")," ")</f>
        <v> </v>
      </c>
      <c r="AO2003" s="2" t="str">
        <f>IFERROR(__xludf.DUMMYFUNCTION("""COMPUTED_VALUE""")," ")</f>
        <v> </v>
      </c>
      <c r="AP2003" s="2" t="str">
        <f>IFERROR(__xludf.DUMMYFUNCTION("""COMPUTED_VALUE"""),"")</f>
        <v/>
      </c>
      <c r="AQ2003" s="2"/>
      <c r="AR2003" s="2"/>
      <c r="AS2003" s="2"/>
      <c r="AT2003" s="2"/>
      <c r="AU2003" s="2"/>
      <c r="AV2003" s="2"/>
      <c r="AW2003" s="2"/>
      <c r="AX2003" s="2"/>
      <c r="AY2003" s="2"/>
      <c r="AZ2003" s="2"/>
      <c r="BA2003" s="2"/>
      <c r="BB2003" s="2"/>
    </row>
    <row r="2004">
      <c r="A2004" s="2"/>
      <c r="B2004" s="2" t="str">
        <f>IFERROR(__xludf.DUMMYFUNCTION("""COMPUTED_VALUE"""),"")</f>
        <v/>
      </c>
      <c r="C2004" s="2"/>
      <c r="D2004" s="71"/>
      <c r="E2004" s="71" t="str">
        <f>IFERROR(__xludf.DUMMYFUNCTION("""COMPUTED_VALUE""")," ")</f>
        <v> </v>
      </c>
      <c r="F2004" s="2"/>
      <c r="G2004" s="2"/>
      <c r="H2004" s="2"/>
      <c r="I2004" s="72"/>
      <c r="J2004" s="72"/>
      <c r="K2004" s="72"/>
      <c r="L2004" s="72"/>
      <c r="M2004" s="2"/>
      <c r="N2004" s="2"/>
      <c r="O2004" s="2"/>
      <c r="P2004" s="2"/>
      <c r="Q2004" s="2"/>
      <c r="R2004" s="2"/>
      <c r="S2004" s="2"/>
      <c r="T2004" s="2"/>
      <c r="U2004" s="2"/>
      <c r="V2004" s="2"/>
      <c r="W2004" s="2"/>
      <c r="X2004" s="2"/>
      <c r="Y2004" s="2"/>
      <c r="Z2004" s="2"/>
      <c r="AA2004" s="2"/>
      <c r="AB2004" s="2"/>
      <c r="AC2004" s="2"/>
      <c r="AD2004" s="2"/>
      <c r="AE2004" s="2"/>
      <c r="AF2004" s="2"/>
      <c r="AG2004" s="2"/>
      <c r="AH2004" s="2"/>
      <c r="AI2004" s="2"/>
      <c r="AJ2004" s="2" t="str">
        <f>IFERROR(__xludf.DUMMYFUNCTION("""COMPUTED_VALUE"""),"")</f>
        <v/>
      </c>
      <c r="AK2004" s="2" t="str">
        <f>IFERROR(__xludf.DUMMYFUNCTION("""COMPUTED_VALUE"""),"")</f>
        <v/>
      </c>
      <c r="AL2004" s="2" t="str">
        <f>IFERROR(__xludf.DUMMYFUNCTION("""COMPUTED_VALUE"""),"")</f>
        <v/>
      </c>
      <c r="AM2004" s="2" t="str">
        <f>IFERROR(__xludf.DUMMYFUNCTION("""COMPUTED_VALUE"""),"")</f>
        <v/>
      </c>
      <c r="AN2004" s="2" t="str">
        <f>IFERROR(__xludf.DUMMYFUNCTION("""COMPUTED_VALUE""")," ")</f>
        <v> </v>
      </c>
      <c r="AO2004" s="2" t="str">
        <f>IFERROR(__xludf.DUMMYFUNCTION("""COMPUTED_VALUE""")," ")</f>
        <v> </v>
      </c>
      <c r="AP2004" s="2" t="str">
        <f>IFERROR(__xludf.DUMMYFUNCTION("""COMPUTED_VALUE"""),"")</f>
        <v/>
      </c>
      <c r="AQ2004" s="2"/>
      <c r="AR2004" s="2"/>
      <c r="AS2004" s="2"/>
      <c r="AT2004" s="2"/>
      <c r="AU2004" s="2"/>
      <c r="AV2004" s="2"/>
      <c r="AW2004" s="2"/>
      <c r="AX2004" s="2"/>
      <c r="AY2004" s="2"/>
      <c r="AZ2004" s="2"/>
      <c r="BA2004" s="2"/>
      <c r="BB2004" s="2"/>
    </row>
    <row r="2005">
      <c r="A2005" s="2"/>
      <c r="B2005" s="2" t="str">
        <f>IFERROR(__xludf.DUMMYFUNCTION("""COMPUTED_VALUE"""),"")</f>
        <v/>
      </c>
      <c r="C2005" s="2"/>
      <c r="D2005" s="71"/>
      <c r="E2005" s="71" t="str">
        <f>IFERROR(__xludf.DUMMYFUNCTION("""COMPUTED_VALUE""")," ")</f>
        <v> </v>
      </c>
      <c r="F2005" s="2"/>
      <c r="G2005" s="2"/>
      <c r="H2005" s="2"/>
      <c r="I2005" s="72"/>
      <c r="J2005" s="72"/>
      <c r="K2005" s="72"/>
      <c r="L2005" s="72"/>
      <c r="M2005" s="2"/>
      <c r="N2005" s="2"/>
      <c r="O2005" s="2"/>
      <c r="P2005" s="2"/>
      <c r="Q2005" s="2"/>
      <c r="R2005" s="2"/>
      <c r="S2005" s="2"/>
      <c r="T2005" s="2"/>
      <c r="U2005" s="2"/>
      <c r="V2005" s="2"/>
      <c r="W2005" s="2"/>
      <c r="X2005" s="2"/>
      <c r="Y2005" s="2"/>
      <c r="Z2005" s="2"/>
      <c r="AA2005" s="2"/>
      <c r="AB2005" s="2"/>
      <c r="AC2005" s="2"/>
      <c r="AD2005" s="2"/>
      <c r="AE2005" s="2"/>
      <c r="AF2005" s="2"/>
      <c r="AG2005" s="2"/>
      <c r="AH2005" s="2"/>
      <c r="AI2005" s="2"/>
      <c r="AJ2005" s="2" t="str">
        <f>IFERROR(__xludf.DUMMYFUNCTION("""COMPUTED_VALUE"""),"")</f>
        <v/>
      </c>
      <c r="AK2005" s="2" t="str">
        <f>IFERROR(__xludf.DUMMYFUNCTION("""COMPUTED_VALUE"""),"")</f>
        <v/>
      </c>
      <c r="AL2005" s="2" t="str">
        <f>IFERROR(__xludf.DUMMYFUNCTION("""COMPUTED_VALUE"""),"")</f>
        <v/>
      </c>
      <c r="AM2005" s="2" t="str">
        <f>IFERROR(__xludf.DUMMYFUNCTION("""COMPUTED_VALUE"""),"")</f>
        <v/>
      </c>
      <c r="AN2005" s="2" t="str">
        <f>IFERROR(__xludf.DUMMYFUNCTION("""COMPUTED_VALUE""")," ")</f>
        <v> </v>
      </c>
      <c r="AO2005" s="2" t="str">
        <f>IFERROR(__xludf.DUMMYFUNCTION("""COMPUTED_VALUE""")," ")</f>
        <v> </v>
      </c>
      <c r="AP2005" s="2" t="str">
        <f>IFERROR(__xludf.DUMMYFUNCTION("""COMPUTED_VALUE"""),"")</f>
        <v/>
      </c>
      <c r="AQ2005" s="2"/>
      <c r="AR2005" s="2"/>
      <c r="AS2005" s="2"/>
      <c r="AT2005" s="2"/>
      <c r="AU2005" s="2"/>
      <c r="AV2005" s="2"/>
      <c r="AW2005" s="2"/>
      <c r="AX2005" s="2"/>
      <c r="AY2005" s="2"/>
      <c r="AZ2005" s="2"/>
      <c r="BA2005" s="2"/>
      <c r="BB2005" s="2"/>
    </row>
    <row r="2006">
      <c r="A2006" s="2"/>
      <c r="B2006" s="2" t="str">
        <f>IFERROR(__xludf.DUMMYFUNCTION("""COMPUTED_VALUE"""),"")</f>
        <v/>
      </c>
      <c r="C2006" s="2"/>
      <c r="D2006" s="71"/>
      <c r="E2006" s="71" t="str">
        <f>IFERROR(__xludf.DUMMYFUNCTION("""COMPUTED_VALUE""")," ")</f>
        <v> </v>
      </c>
      <c r="F2006" s="2"/>
      <c r="G2006" s="2"/>
      <c r="H2006" s="2"/>
      <c r="I2006" s="72"/>
      <c r="J2006" s="72"/>
      <c r="K2006" s="72"/>
      <c r="L2006" s="72"/>
      <c r="M2006" s="2"/>
      <c r="N2006" s="2"/>
      <c r="O2006" s="2"/>
      <c r="P2006" s="2"/>
      <c r="Q2006" s="2"/>
      <c r="R2006" s="2"/>
      <c r="S2006" s="2"/>
      <c r="T2006" s="2"/>
      <c r="U2006" s="2"/>
      <c r="V2006" s="2"/>
      <c r="W2006" s="2"/>
      <c r="X2006" s="2"/>
      <c r="Y2006" s="2"/>
      <c r="Z2006" s="2"/>
      <c r="AA2006" s="2"/>
      <c r="AB2006" s="2"/>
      <c r="AC2006" s="2"/>
      <c r="AD2006" s="2"/>
      <c r="AE2006" s="2"/>
      <c r="AF2006" s="2"/>
      <c r="AG2006" s="2"/>
      <c r="AH2006" s="2"/>
      <c r="AI2006" s="2"/>
      <c r="AJ2006" s="2" t="str">
        <f>IFERROR(__xludf.DUMMYFUNCTION("""COMPUTED_VALUE"""),"")</f>
        <v/>
      </c>
      <c r="AK2006" s="2" t="str">
        <f>IFERROR(__xludf.DUMMYFUNCTION("""COMPUTED_VALUE"""),"")</f>
        <v/>
      </c>
      <c r="AL2006" s="2" t="str">
        <f>IFERROR(__xludf.DUMMYFUNCTION("""COMPUTED_VALUE"""),"")</f>
        <v/>
      </c>
      <c r="AM2006" s="2" t="str">
        <f>IFERROR(__xludf.DUMMYFUNCTION("""COMPUTED_VALUE"""),"")</f>
        <v/>
      </c>
      <c r="AN2006" s="2" t="str">
        <f>IFERROR(__xludf.DUMMYFUNCTION("""COMPUTED_VALUE""")," ")</f>
        <v> </v>
      </c>
      <c r="AO2006" s="2" t="str">
        <f>IFERROR(__xludf.DUMMYFUNCTION("""COMPUTED_VALUE""")," ")</f>
        <v> </v>
      </c>
      <c r="AP2006" s="2" t="str">
        <f>IFERROR(__xludf.DUMMYFUNCTION("""COMPUTED_VALUE"""),"")</f>
        <v/>
      </c>
      <c r="AQ2006" s="2"/>
      <c r="AR2006" s="2"/>
      <c r="AS2006" s="2"/>
      <c r="AT2006" s="2"/>
      <c r="AU2006" s="2"/>
      <c r="AV2006" s="2"/>
      <c r="AW2006" s="2"/>
      <c r="AX2006" s="2"/>
      <c r="AY2006" s="2"/>
      <c r="AZ2006" s="2"/>
      <c r="BA2006" s="2"/>
      <c r="BB2006" s="2"/>
    </row>
    <row r="2007">
      <c r="A2007" s="2"/>
      <c r="B2007" s="2" t="str">
        <f>IFERROR(__xludf.DUMMYFUNCTION("""COMPUTED_VALUE"""),"")</f>
        <v/>
      </c>
      <c r="C2007" s="2"/>
      <c r="D2007" s="71"/>
      <c r="E2007" s="71" t="str">
        <f>IFERROR(__xludf.DUMMYFUNCTION("""COMPUTED_VALUE""")," ")</f>
        <v> </v>
      </c>
      <c r="F2007" s="2"/>
      <c r="G2007" s="2"/>
      <c r="H2007" s="2"/>
      <c r="I2007" s="72"/>
      <c r="J2007" s="72"/>
      <c r="K2007" s="72"/>
      <c r="L2007" s="72"/>
      <c r="M2007" s="2"/>
      <c r="N2007" s="2"/>
      <c r="O2007" s="2"/>
      <c r="P2007" s="2"/>
      <c r="Q2007" s="2"/>
      <c r="R2007" s="2"/>
      <c r="S2007" s="2"/>
      <c r="T2007" s="2"/>
      <c r="U2007" s="2"/>
      <c r="V2007" s="2"/>
      <c r="W2007" s="2"/>
      <c r="X2007" s="2"/>
      <c r="Y2007" s="2"/>
      <c r="Z2007" s="2"/>
      <c r="AA2007" s="2"/>
      <c r="AB2007" s="2"/>
      <c r="AC2007" s="2"/>
      <c r="AD2007" s="2"/>
      <c r="AE2007" s="2"/>
      <c r="AF2007" s="2"/>
      <c r="AG2007" s="2"/>
      <c r="AH2007" s="2"/>
      <c r="AI2007" s="2"/>
      <c r="AJ2007" s="2" t="str">
        <f>IFERROR(__xludf.DUMMYFUNCTION("""COMPUTED_VALUE"""),"")</f>
        <v/>
      </c>
      <c r="AK2007" s="2" t="str">
        <f>IFERROR(__xludf.DUMMYFUNCTION("""COMPUTED_VALUE"""),"")</f>
        <v/>
      </c>
      <c r="AL2007" s="2" t="str">
        <f>IFERROR(__xludf.DUMMYFUNCTION("""COMPUTED_VALUE"""),"")</f>
        <v/>
      </c>
      <c r="AM2007" s="2" t="str">
        <f>IFERROR(__xludf.DUMMYFUNCTION("""COMPUTED_VALUE"""),"")</f>
        <v/>
      </c>
      <c r="AN2007" s="2" t="str">
        <f>IFERROR(__xludf.DUMMYFUNCTION("""COMPUTED_VALUE""")," ")</f>
        <v> </v>
      </c>
      <c r="AO2007" s="2" t="str">
        <f>IFERROR(__xludf.DUMMYFUNCTION("""COMPUTED_VALUE""")," ")</f>
        <v> </v>
      </c>
      <c r="AP2007" s="2" t="str">
        <f>IFERROR(__xludf.DUMMYFUNCTION("""COMPUTED_VALUE"""),"")</f>
        <v/>
      </c>
      <c r="AQ2007" s="2"/>
      <c r="AR2007" s="2"/>
      <c r="AS2007" s="2"/>
      <c r="AT2007" s="2"/>
      <c r="AU2007" s="2"/>
      <c r="AV2007" s="2"/>
      <c r="AW2007" s="2"/>
      <c r="AX2007" s="2"/>
      <c r="AY2007" s="2"/>
      <c r="AZ2007" s="2"/>
      <c r="BA2007" s="2"/>
      <c r="BB2007" s="2"/>
    </row>
    <row r="2008">
      <c r="A2008" s="2"/>
      <c r="B2008" s="2" t="str">
        <f>IFERROR(__xludf.DUMMYFUNCTION("""COMPUTED_VALUE"""),"")</f>
        <v/>
      </c>
      <c r="C2008" s="2"/>
      <c r="D2008" s="71"/>
      <c r="E2008" s="71" t="str">
        <f>IFERROR(__xludf.DUMMYFUNCTION("""COMPUTED_VALUE""")," ")</f>
        <v> </v>
      </c>
      <c r="F2008" s="2"/>
      <c r="G2008" s="2"/>
      <c r="H2008" s="2"/>
      <c r="I2008" s="72"/>
      <c r="J2008" s="72"/>
      <c r="K2008" s="72"/>
      <c r="L2008" s="72"/>
      <c r="M2008" s="2"/>
      <c r="N2008" s="2"/>
      <c r="O2008" s="2"/>
      <c r="P2008" s="2"/>
      <c r="Q2008" s="2"/>
      <c r="R2008" s="2"/>
      <c r="S2008" s="2"/>
      <c r="T2008" s="2"/>
      <c r="U2008" s="2"/>
      <c r="V2008" s="2"/>
      <c r="W2008" s="2"/>
      <c r="X2008" s="2"/>
      <c r="Y2008" s="2"/>
      <c r="Z2008" s="2"/>
      <c r="AA2008" s="2"/>
      <c r="AB2008" s="2"/>
      <c r="AC2008" s="2"/>
      <c r="AD2008" s="2"/>
      <c r="AE2008" s="2"/>
      <c r="AF2008" s="2"/>
      <c r="AG2008" s="2"/>
      <c r="AH2008" s="2"/>
      <c r="AI2008" s="2"/>
      <c r="AJ2008" s="2" t="str">
        <f>IFERROR(__xludf.DUMMYFUNCTION("""COMPUTED_VALUE"""),"")</f>
        <v/>
      </c>
      <c r="AK2008" s="2" t="str">
        <f>IFERROR(__xludf.DUMMYFUNCTION("""COMPUTED_VALUE"""),"")</f>
        <v/>
      </c>
      <c r="AL2008" s="2" t="str">
        <f>IFERROR(__xludf.DUMMYFUNCTION("""COMPUTED_VALUE"""),"")</f>
        <v/>
      </c>
      <c r="AM2008" s="2" t="str">
        <f>IFERROR(__xludf.DUMMYFUNCTION("""COMPUTED_VALUE"""),"")</f>
        <v/>
      </c>
      <c r="AN2008" s="2" t="str">
        <f>IFERROR(__xludf.DUMMYFUNCTION("""COMPUTED_VALUE""")," ")</f>
        <v> </v>
      </c>
      <c r="AO2008" s="2" t="str">
        <f>IFERROR(__xludf.DUMMYFUNCTION("""COMPUTED_VALUE""")," ")</f>
        <v> </v>
      </c>
      <c r="AP2008" s="2" t="str">
        <f>IFERROR(__xludf.DUMMYFUNCTION("""COMPUTED_VALUE"""),"")</f>
        <v/>
      </c>
      <c r="AQ2008" s="2"/>
      <c r="AR2008" s="2"/>
      <c r="AS2008" s="2"/>
      <c r="AT2008" s="2"/>
      <c r="AU2008" s="2"/>
      <c r="AV2008" s="2"/>
      <c r="AW2008" s="2"/>
      <c r="AX2008" s="2"/>
      <c r="AY2008" s="2"/>
      <c r="AZ2008" s="2"/>
      <c r="BA2008" s="2"/>
      <c r="BB2008" s="2"/>
    </row>
    <row r="2009">
      <c r="A2009" s="2"/>
      <c r="B2009" s="2" t="str">
        <f>IFERROR(__xludf.DUMMYFUNCTION("""COMPUTED_VALUE"""),"")</f>
        <v/>
      </c>
      <c r="C2009" s="2"/>
      <c r="D2009" s="71"/>
      <c r="E2009" s="71" t="str">
        <f>IFERROR(__xludf.DUMMYFUNCTION("""COMPUTED_VALUE""")," ")</f>
        <v> </v>
      </c>
      <c r="F2009" s="2"/>
      <c r="G2009" s="2"/>
      <c r="H2009" s="2"/>
      <c r="I2009" s="72"/>
      <c r="J2009" s="72"/>
      <c r="K2009" s="72"/>
      <c r="L2009" s="72"/>
      <c r="M2009" s="2"/>
      <c r="N2009" s="2"/>
      <c r="O2009" s="2"/>
      <c r="P2009" s="2"/>
      <c r="Q2009" s="2"/>
      <c r="R2009" s="2"/>
      <c r="S2009" s="2"/>
      <c r="T2009" s="2"/>
      <c r="U2009" s="2"/>
      <c r="V2009" s="2"/>
      <c r="W2009" s="2"/>
      <c r="X2009" s="2"/>
      <c r="Y2009" s="2"/>
      <c r="Z2009" s="2"/>
      <c r="AA2009" s="2"/>
      <c r="AB2009" s="2"/>
      <c r="AC2009" s="2"/>
      <c r="AD2009" s="2"/>
      <c r="AE2009" s="2"/>
      <c r="AF2009" s="2"/>
      <c r="AG2009" s="2"/>
      <c r="AH2009" s="2"/>
      <c r="AI2009" s="2"/>
      <c r="AJ2009" s="2" t="str">
        <f>IFERROR(__xludf.DUMMYFUNCTION("""COMPUTED_VALUE"""),"")</f>
        <v/>
      </c>
      <c r="AK2009" s="2" t="str">
        <f>IFERROR(__xludf.DUMMYFUNCTION("""COMPUTED_VALUE"""),"")</f>
        <v/>
      </c>
      <c r="AL2009" s="2" t="str">
        <f>IFERROR(__xludf.DUMMYFUNCTION("""COMPUTED_VALUE"""),"")</f>
        <v/>
      </c>
      <c r="AM2009" s="2" t="str">
        <f>IFERROR(__xludf.DUMMYFUNCTION("""COMPUTED_VALUE"""),"")</f>
        <v/>
      </c>
      <c r="AN2009" s="2" t="str">
        <f>IFERROR(__xludf.DUMMYFUNCTION("""COMPUTED_VALUE""")," ")</f>
        <v> </v>
      </c>
      <c r="AO2009" s="2" t="str">
        <f>IFERROR(__xludf.DUMMYFUNCTION("""COMPUTED_VALUE""")," ")</f>
        <v> </v>
      </c>
      <c r="AP2009" s="2" t="str">
        <f>IFERROR(__xludf.DUMMYFUNCTION("""COMPUTED_VALUE"""),"")</f>
        <v/>
      </c>
      <c r="AQ2009" s="2"/>
      <c r="AR2009" s="2"/>
      <c r="AS2009" s="2"/>
      <c r="AT2009" s="2"/>
      <c r="AU2009" s="2"/>
      <c r="AV2009" s="2"/>
      <c r="AW2009" s="2"/>
      <c r="AX2009" s="2"/>
      <c r="AY2009" s="2"/>
      <c r="AZ2009" s="2"/>
      <c r="BA2009" s="2"/>
      <c r="BB2009" s="2"/>
    </row>
    <row r="2010">
      <c r="A2010" s="2"/>
      <c r="B2010" s="2" t="str">
        <f>IFERROR(__xludf.DUMMYFUNCTION("""COMPUTED_VALUE"""),"")</f>
        <v/>
      </c>
      <c r="C2010" s="2"/>
      <c r="D2010" s="71"/>
      <c r="E2010" s="71" t="str">
        <f>IFERROR(__xludf.DUMMYFUNCTION("""COMPUTED_VALUE""")," ")</f>
        <v> </v>
      </c>
      <c r="F2010" s="2"/>
      <c r="G2010" s="2"/>
      <c r="H2010" s="2"/>
      <c r="I2010" s="72"/>
      <c r="J2010" s="72"/>
      <c r="K2010" s="72"/>
      <c r="L2010" s="72"/>
      <c r="M2010" s="2"/>
      <c r="N2010" s="2"/>
      <c r="O2010" s="2"/>
      <c r="P2010" s="2"/>
      <c r="Q2010" s="2"/>
      <c r="R2010" s="2"/>
      <c r="S2010" s="2"/>
      <c r="T2010" s="2"/>
      <c r="U2010" s="2"/>
      <c r="V2010" s="2"/>
      <c r="W2010" s="2"/>
      <c r="X2010" s="2"/>
      <c r="Y2010" s="2"/>
      <c r="Z2010" s="2"/>
      <c r="AA2010" s="2"/>
      <c r="AB2010" s="2"/>
      <c r="AC2010" s="2"/>
      <c r="AD2010" s="2"/>
      <c r="AE2010" s="2"/>
      <c r="AF2010" s="2"/>
      <c r="AG2010" s="2"/>
      <c r="AH2010" s="2"/>
      <c r="AI2010" s="2"/>
      <c r="AJ2010" s="2" t="str">
        <f>IFERROR(__xludf.DUMMYFUNCTION("""COMPUTED_VALUE"""),"")</f>
        <v/>
      </c>
      <c r="AK2010" s="2" t="str">
        <f>IFERROR(__xludf.DUMMYFUNCTION("""COMPUTED_VALUE"""),"")</f>
        <v/>
      </c>
      <c r="AL2010" s="2" t="str">
        <f>IFERROR(__xludf.DUMMYFUNCTION("""COMPUTED_VALUE"""),"")</f>
        <v/>
      </c>
      <c r="AM2010" s="2" t="str">
        <f>IFERROR(__xludf.DUMMYFUNCTION("""COMPUTED_VALUE"""),"")</f>
        <v/>
      </c>
      <c r="AN2010" s="2" t="str">
        <f>IFERROR(__xludf.DUMMYFUNCTION("""COMPUTED_VALUE""")," ")</f>
        <v> </v>
      </c>
      <c r="AO2010" s="2" t="str">
        <f>IFERROR(__xludf.DUMMYFUNCTION("""COMPUTED_VALUE""")," ")</f>
        <v> </v>
      </c>
      <c r="AP2010" s="2" t="str">
        <f>IFERROR(__xludf.DUMMYFUNCTION("""COMPUTED_VALUE"""),"")</f>
        <v/>
      </c>
      <c r="AQ2010" s="2"/>
      <c r="AR2010" s="2"/>
      <c r="AS2010" s="2"/>
      <c r="AT2010" s="2"/>
      <c r="AU2010" s="2"/>
      <c r="AV2010" s="2"/>
      <c r="AW2010" s="2"/>
      <c r="AX2010" s="2"/>
      <c r="AY2010" s="2"/>
      <c r="AZ2010" s="2"/>
      <c r="BA2010" s="2"/>
      <c r="BB2010" s="2"/>
    </row>
    <row r="2011">
      <c r="A2011" s="2"/>
      <c r="B2011" s="2" t="str">
        <f>IFERROR(__xludf.DUMMYFUNCTION("""COMPUTED_VALUE"""),"")</f>
        <v/>
      </c>
      <c r="C2011" s="2"/>
      <c r="D2011" s="71"/>
      <c r="E2011" s="71" t="str">
        <f>IFERROR(__xludf.DUMMYFUNCTION("""COMPUTED_VALUE""")," ")</f>
        <v> </v>
      </c>
      <c r="F2011" s="2"/>
      <c r="G2011" s="2"/>
      <c r="H2011" s="2"/>
      <c r="I2011" s="72"/>
      <c r="J2011" s="72"/>
      <c r="K2011" s="72"/>
      <c r="L2011" s="72"/>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c r="AJ2011" s="2" t="str">
        <f>IFERROR(__xludf.DUMMYFUNCTION("""COMPUTED_VALUE"""),"")</f>
        <v/>
      </c>
      <c r="AK2011" s="2" t="str">
        <f>IFERROR(__xludf.DUMMYFUNCTION("""COMPUTED_VALUE"""),"")</f>
        <v/>
      </c>
      <c r="AL2011" s="2" t="str">
        <f>IFERROR(__xludf.DUMMYFUNCTION("""COMPUTED_VALUE"""),"")</f>
        <v/>
      </c>
      <c r="AM2011" s="2" t="str">
        <f>IFERROR(__xludf.DUMMYFUNCTION("""COMPUTED_VALUE"""),"")</f>
        <v/>
      </c>
      <c r="AN2011" s="2" t="str">
        <f>IFERROR(__xludf.DUMMYFUNCTION("""COMPUTED_VALUE""")," ")</f>
        <v> </v>
      </c>
      <c r="AO2011" s="2" t="str">
        <f>IFERROR(__xludf.DUMMYFUNCTION("""COMPUTED_VALUE""")," ")</f>
        <v> </v>
      </c>
      <c r="AP2011" s="2" t="str">
        <f>IFERROR(__xludf.DUMMYFUNCTION("""COMPUTED_VALUE"""),"")</f>
        <v/>
      </c>
      <c r="AQ2011" s="2"/>
      <c r="AR2011" s="2"/>
      <c r="AS2011" s="2"/>
      <c r="AT2011" s="2"/>
      <c r="AU2011" s="2"/>
      <c r="AV2011" s="2"/>
      <c r="AW2011" s="2"/>
      <c r="AX2011" s="2"/>
      <c r="AY2011" s="2"/>
      <c r="AZ2011" s="2"/>
      <c r="BA2011" s="2"/>
      <c r="BB2011" s="2"/>
    </row>
    <row r="2012">
      <c r="A2012" s="2"/>
      <c r="B2012" s="2" t="str">
        <f>IFERROR(__xludf.DUMMYFUNCTION("""COMPUTED_VALUE"""),"")</f>
        <v/>
      </c>
      <c r="C2012" s="2"/>
      <c r="D2012" s="71"/>
      <c r="E2012" s="71" t="str">
        <f>IFERROR(__xludf.DUMMYFUNCTION("""COMPUTED_VALUE""")," ")</f>
        <v> </v>
      </c>
      <c r="F2012" s="2"/>
      <c r="G2012" s="2"/>
      <c r="H2012" s="2"/>
      <c r="I2012" s="72"/>
      <c r="J2012" s="72"/>
      <c r="K2012" s="72"/>
      <c r="L2012" s="72"/>
      <c r="M2012" s="2"/>
      <c r="N2012" s="2"/>
      <c r="O2012" s="2"/>
      <c r="P2012" s="2"/>
      <c r="Q2012" s="2"/>
      <c r="R2012" s="2"/>
      <c r="S2012" s="2"/>
      <c r="T2012" s="2"/>
      <c r="U2012" s="2"/>
      <c r="V2012" s="2"/>
      <c r="W2012" s="2"/>
      <c r="X2012" s="2"/>
      <c r="Y2012" s="2"/>
      <c r="Z2012" s="2"/>
      <c r="AA2012" s="2"/>
      <c r="AB2012" s="2"/>
      <c r="AC2012" s="2"/>
      <c r="AD2012" s="2"/>
      <c r="AE2012" s="2"/>
      <c r="AF2012" s="2"/>
      <c r="AG2012" s="2"/>
      <c r="AH2012" s="2"/>
      <c r="AI2012" s="2"/>
      <c r="AJ2012" s="2" t="str">
        <f>IFERROR(__xludf.DUMMYFUNCTION("""COMPUTED_VALUE"""),"")</f>
        <v/>
      </c>
      <c r="AK2012" s="2" t="str">
        <f>IFERROR(__xludf.DUMMYFUNCTION("""COMPUTED_VALUE"""),"")</f>
        <v/>
      </c>
      <c r="AL2012" s="2" t="str">
        <f>IFERROR(__xludf.DUMMYFUNCTION("""COMPUTED_VALUE"""),"")</f>
        <v/>
      </c>
      <c r="AM2012" s="2" t="str">
        <f>IFERROR(__xludf.DUMMYFUNCTION("""COMPUTED_VALUE"""),"")</f>
        <v/>
      </c>
      <c r="AN2012" s="2" t="str">
        <f>IFERROR(__xludf.DUMMYFUNCTION("""COMPUTED_VALUE""")," ")</f>
        <v> </v>
      </c>
      <c r="AO2012" s="2" t="str">
        <f>IFERROR(__xludf.DUMMYFUNCTION("""COMPUTED_VALUE""")," ")</f>
        <v> </v>
      </c>
      <c r="AP2012" s="2" t="str">
        <f>IFERROR(__xludf.DUMMYFUNCTION("""COMPUTED_VALUE"""),"")</f>
        <v/>
      </c>
      <c r="AQ2012" s="2"/>
      <c r="AR2012" s="2"/>
      <c r="AS2012" s="2"/>
      <c r="AT2012" s="2"/>
      <c r="AU2012" s="2"/>
      <c r="AV2012" s="2"/>
      <c r="AW2012" s="2"/>
      <c r="AX2012" s="2"/>
      <c r="AY2012" s="2"/>
      <c r="AZ2012" s="2"/>
      <c r="BA2012" s="2"/>
      <c r="BB2012" s="2"/>
    </row>
    <row r="2013">
      <c r="A2013" s="2"/>
      <c r="B2013" s="2" t="str">
        <f>IFERROR(__xludf.DUMMYFUNCTION("""COMPUTED_VALUE"""),"")</f>
        <v/>
      </c>
      <c r="C2013" s="2"/>
      <c r="D2013" s="71"/>
      <c r="E2013" s="71" t="str">
        <f>IFERROR(__xludf.DUMMYFUNCTION("""COMPUTED_VALUE""")," ")</f>
        <v> </v>
      </c>
      <c r="F2013" s="2"/>
      <c r="G2013" s="2"/>
      <c r="H2013" s="2"/>
      <c r="I2013" s="72"/>
      <c r="J2013" s="72"/>
      <c r="K2013" s="72"/>
      <c r="L2013" s="72"/>
      <c r="M2013" s="2"/>
      <c r="N2013" s="2"/>
      <c r="O2013" s="2"/>
      <c r="P2013" s="2"/>
      <c r="Q2013" s="2"/>
      <c r="R2013" s="2"/>
      <c r="S2013" s="2"/>
      <c r="T2013" s="2"/>
      <c r="U2013" s="2"/>
      <c r="V2013" s="2"/>
      <c r="W2013" s="2"/>
      <c r="X2013" s="2"/>
      <c r="Y2013" s="2"/>
      <c r="Z2013" s="2"/>
      <c r="AA2013" s="2"/>
      <c r="AB2013" s="2"/>
      <c r="AC2013" s="2"/>
      <c r="AD2013" s="2"/>
      <c r="AE2013" s="2"/>
      <c r="AF2013" s="2"/>
      <c r="AG2013" s="2"/>
      <c r="AH2013" s="2"/>
      <c r="AI2013" s="2"/>
      <c r="AJ2013" s="2" t="str">
        <f>IFERROR(__xludf.DUMMYFUNCTION("""COMPUTED_VALUE"""),"")</f>
        <v/>
      </c>
      <c r="AK2013" s="2" t="str">
        <f>IFERROR(__xludf.DUMMYFUNCTION("""COMPUTED_VALUE"""),"")</f>
        <v/>
      </c>
      <c r="AL2013" s="2" t="str">
        <f>IFERROR(__xludf.DUMMYFUNCTION("""COMPUTED_VALUE"""),"")</f>
        <v/>
      </c>
      <c r="AM2013" s="2" t="str">
        <f>IFERROR(__xludf.DUMMYFUNCTION("""COMPUTED_VALUE"""),"")</f>
        <v/>
      </c>
      <c r="AN2013" s="2" t="str">
        <f>IFERROR(__xludf.DUMMYFUNCTION("""COMPUTED_VALUE""")," ")</f>
        <v> </v>
      </c>
      <c r="AO2013" s="2" t="str">
        <f>IFERROR(__xludf.DUMMYFUNCTION("""COMPUTED_VALUE""")," ")</f>
        <v> </v>
      </c>
      <c r="AP2013" s="2" t="str">
        <f>IFERROR(__xludf.DUMMYFUNCTION("""COMPUTED_VALUE"""),"")</f>
        <v/>
      </c>
      <c r="AQ2013" s="2"/>
      <c r="AR2013" s="2"/>
      <c r="AS2013" s="2"/>
      <c r="AT2013" s="2"/>
      <c r="AU2013" s="2"/>
      <c r="AV2013" s="2"/>
      <c r="AW2013" s="2"/>
      <c r="AX2013" s="2"/>
      <c r="AY2013" s="2"/>
      <c r="AZ2013" s="2"/>
      <c r="BA2013" s="2"/>
      <c r="BB2013" s="2"/>
    </row>
    <row r="2014">
      <c r="A2014" s="2"/>
      <c r="B2014" s="2" t="str">
        <f>IFERROR(__xludf.DUMMYFUNCTION("""COMPUTED_VALUE"""),"")</f>
        <v/>
      </c>
      <c r="C2014" s="2"/>
      <c r="D2014" s="71"/>
      <c r="E2014" s="71" t="str">
        <f>IFERROR(__xludf.DUMMYFUNCTION("""COMPUTED_VALUE""")," ")</f>
        <v> </v>
      </c>
      <c r="F2014" s="2"/>
      <c r="G2014" s="2"/>
      <c r="H2014" s="2"/>
      <c r="I2014" s="72"/>
      <c r="J2014" s="72"/>
      <c r="K2014" s="72"/>
      <c r="L2014" s="72"/>
      <c r="M2014" s="2"/>
      <c r="N2014" s="2"/>
      <c r="O2014" s="2"/>
      <c r="P2014" s="2"/>
      <c r="Q2014" s="2"/>
      <c r="R2014" s="2"/>
      <c r="S2014" s="2"/>
      <c r="T2014" s="2"/>
      <c r="U2014" s="2"/>
      <c r="V2014" s="2"/>
      <c r="W2014" s="2"/>
      <c r="X2014" s="2"/>
      <c r="Y2014" s="2"/>
      <c r="Z2014" s="2"/>
      <c r="AA2014" s="2"/>
      <c r="AB2014" s="2"/>
      <c r="AC2014" s="2"/>
      <c r="AD2014" s="2"/>
      <c r="AE2014" s="2"/>
      <c r="AF2014" s="2"/>
      <c r="AG2014" s="2"/>
      <c r="AH2014" s="2"/>
      <c r="AI2014" s="2"/>
      <c r="AJ2014" s="2" t="str">
        <f>IFERROR(__xludf.DUMMYFUNCTION("""COMPUTED_VALUE"""),"")</f>
        <v/>
      </c>
      <c r="AK2014" s="2" t="str">
        <f>IFERROR(__xludf.DUMMYFUNCTION("""COMPUTED_VALUE"""),"")</f>
        <v/>
      </c>
      <c r="AL2014" s="2" t="str">
        <f>IFERROR(__xludf.DUMMYFUNCTION("""COMPUTED_VALUE"""),"")</f>
        <v/>
      </c>
      <c r="AM2014" s="2" t="str">
        <f>IFERROR(__xludf.DUMMYFUNCTION("""COMPUTED_VALUE"""),"")</f>
        <v/>
      </c>
      <c r="AN2014" s="2" t="str">
        <f>IFERROR(__xludf.DUMMYFUNCTION("""COMPUTED_VALUE""")," ")</f>
        <v> </v>
      </c>
      <c r="AO2014" s="2" t="str">
        <f>IFERROR(__xludf.DUMMYFUNCTION("""COMPUTED_VALUE""")," ")</f>
        <v> </v>
      </c>
      <c r="AP2014" s="2" t="str">
        <f>IFERROR(__xludf.DUMMYFUNCTION("""COMPUTED_VALUE"""),"")</f>
        <v/>
      </c>
      <c r="AQ2014" s="2"/>
      <c r="AR2014" s="2"/>
      <c r="AS2014" s="2"/>
      <c r="AT2014" s="2"/>
      <c r="AU2014" s="2"/>
      <c r="AV2014" s="2"/>
      <c r="AW2014" s="2"/>
      <c r="AX2014" s="2"/>
      <c r="AY2014" s="2"/>
      <c r="AZ2014" s="2"/>
      <c r="BA2014" s="2"/>
      <c r="BB2014" s="2"/>
    </row>
    <row r="2015">
      <c r="A2015" s="2"/>
      <c r="B2015" s="2" t="str">
        <f>IFERROR(__xludf.DUMMYFUNCTION("""COMPUTED_VALUE"""),"")</f>
        <v/>
      </c>
      <c r="C2015" s="2"/>
      <c r="D2015" s="71"/>
      <c r="E2015" s="71" t="str">
        <f>IFERROR(__xludf.DUMMYFUNCTION("""COMPUTED_VALUE""")," ")</f>
        <v> </v>
      </c>
      <c r="F2015" s="2"/>
      <c r="G2015" s="2"/>
      <c r="H2015" s="2"/>
      <c r="I2015" s="72"/>
      <c r="J2015" s="72"/>
      <c r="K2015" s="72"/>
      <c r="L2015" s="72"/>
      <c r="M2015" s="2"/>
      <c r="N2015" s="2"/>
      <c r="O2015" s="2"/>
      <c r="P2015" s="2"/>
      <c r="Q2015" s="2"/>
      <c r="R2015" s="2"/>
      <c r="S2015" s="2"/>
      <c r="T2015" s="2"/>
      <c r="U2015" s="2"/>
      <c r="V2015" s="2"/>
      <c r="W2015" s="2"/>
      <c r="X2015" s="2"/>
      <c r="Y2015" s="2"/>
      <c r="Z2015" s="2"/>
      <c r="AA2015" s="2"/>
      <c r="AB2015" s="2"/>
      <c r="AC2015" s="2"/>
      <c r="AD2015" s="2"/>
      <c r="AE2015" s="2"/>
      <c r="AF2015" s="2"/>
      <c r="AG2015" s="2"/>
      <c r="AH2015" s="2"/>
      <c r="AI2015" s="2"/>
      <c r="AJ2015" s="2" t="str">
        <f>IFERROR(__xludf.DUMMYFUNCTION("""COMPUTED_VALUE"""),"")</f>
        <v/>
      </c>
      <c r="AK2015" s="2" t="str">
        <f>IFERROR(__xludf.DUMMYFUNCTION("""COMPUTED_VALUE"""),"")</f>
        <v/>
      </c>
      <c r="AL2015" s="2" t="str">
        <f>IFERROR(__xludf.DUMMYFUNCTION("""COMPUTED_VALUE"""),"")</f>
        <v/>
      </c>
      <c r="AM2015" s="2" t="str">
        <f>IFERROR(__xludf.DUMMYFUNCTION("""COMPUTED_VALUE"""),"")</f>
        <v/>
      </c>
      <c r="AN2015" s="2" t="str">
        <f>IFERROR(__xludf.DUMMYFUNCTION("""COMPUTED_VALUE""")," ")</f>
        <v> </v>
      </c>
      <c r="AO2015" s="2" t="str">
        <f>IFERROR(__xludf.DUMMYFUNCTION("""COMPUTED_VALUE""")," ")</f>
        <v> </v>
      </c>
      <c r="AP2015" s="2" t="str">
        <f>IFERROR(__xludf.DUMMYFUNCTION("""COMPUTED_VALUE"""),"")</f>
        <v/>
      </c>
      <c r="AQ2015" s="2"/>
      <c r="AR2015" s="2"/>
      <c r="AS2015" s="2"/>
      <c r="AT2015" s="2"/>
      <c r="AU2015" s="2"/>
      <c r="AV2015" s="2"/>
      <c r="AW2015" s="2"/>
      <c r="AX2015" s="2"/>
      <c r="AY2015" s="2"/>
      <c r="AZ2015" s="2"/>
      <c r="BA2015" s="2"/>
      <c r="BB2015" s="2"/>
    </row>
    <row r="2016">
      <c r="A2016" s="2"/>
      <c r="B2016" s="2" t="str">
        <f>IFERROR(__xludf.DUMMYFUNCTION("""COMPUTED_VALUE"""),"")</f>
        <v/>
      </c>
      <c r="C2016" s="2"/>
      <c r="D2016" s="71"/>
      <c r="E2016" s="71" t="str">
        <f>IFERROR(__xludf.DUMMYFUNCTION("""COMPUTED_VALUE""")," ")</f>
        <v> </v>
      </c>
      <c r="F2016" s="2"/>
      <c r="G2016" s="2"/>
      <c r="H2016" s="2"/>
      <c r="I2016" s="72"/>
      <c r="J2016" s="72"/>
      <c r="K2016" s="72"/>
      <c r="L2016" s="72"/>
      <c r="M2016" s="2"/>
      <c r="N2016" s="2"/>
      <c r="O2016" s="2"/>
      <c r="P2016" s="2"/>
      <c r="Q2016" s="2"/>
      <c r="R2016" s="2"/>
      <c r="S2016" s="2"/>
      <c r="T2016" s="2"/>
      <c r="U2016" s="2"/>
      <c r="V2016" s="2"/>
      <c r="W2016" s="2"/>
      <c r="X2016" s="2"/>
      <c r="Y2016" s="2"/>
      <c r="Z2016" s="2"/>
      <c r="AA2016" s="2"/>
      <c r="AB2016" s="2"/>
      <c r="AC2016" s="2"/>
      <c r="AD2016" s="2"/>
      <c r="AE2016" s="2"/>
      <c r="AF2016" s="2"/>
      <c r="AG2016" s="2"/>
      <c r="AH2016" s="2"/>
      <c r="AI2016" s="2"/>
      <c r="AJ2016" s="2" t="str">
        <f>IFERROR(__xludf.DUMMYFUNCTION("""COMPUTED_VALUE"""),"")</f>
        <v/>
      </c>
      <c r="AK2016" s="2" t="str">
        <f>IFERROR(__xludf.DUMMYFUNCTION("""COMPUTED_VALUE"""),"")</f>
        <v/>
      </c>
      <c r="AL2016" s="2" t="str">
        <f>IFERROR(__xludf.DUMMYFUNCTION("""COMPUTED_VALUE"""),"")</f>
        <v/>
      </c>
      <c r="AM2016" s="2" t="str">
        <f>IFERROR(__xludf.DUMMYFUNCTION("""COMPUTED_VALUE"""),"")</f>
        <v/>
      </c>
      <c r="AN2016" s="2" t="str">
        <f>IFERROR(__xludf.DUMMYFUNCTION("""COMPUTED_VALUE""")," ")</f>
        <v> </v>
      </c>
      <c r="AO2016" s="2" t="str">
        <f>IFERROR(__xludf.DUMMYFUNCTION("""COMPUTED_VALUE""")," ")</f>
        <v> </v>
      </c>
      <c r="AP2016" s="2" t="str">
        <f>IFERROR(__xludf.DUMMYFUNCTION("""COMPUTED_VALUE"""),"")</f>
        <v/>
      </c>
      <c r="AQ2016" s="2"/>
      <c r="AR2016" s="2"/>
      <c r="AS2016" s="2"/>
      <c r="AT2016" s="2"/>
      <c r="AU2016" s="2"/>
      <c r="AV2016" s="2"/>
      <c r="AW2016" s="2"/>
      <c r="AX2016" s="2"/>
      <c r="AY2016" s="2"/>
      <c r="AZ2016" s="2"/>
      <c r="BA2016" s="2"/>
      <c r="BB2016" s="2"/>
    </row>
    <row r="2017">
      <c r="A2017" s="2"/>
      <c r="B2017" s="2" t="str">
        <f>IFERROR(__xludf.DUMMYFUNCTION("""COMPUTED_VALUE"""),"")</f>
        <v/>
      </c>
      <c r="C2017" s="2"/>
      <c r="D2017" s="71"/>
      <c r="E2017" s="71" t="str">
        <f>IFERROR(__xludf.DUMMYFUNCTION("""COMPUTED_VALUE""")," ")</f>
        <v> </v>
      </c>
      <c r="F2017" s="2"/>
      <c r="G2017" s="2"/>
      <c r="H2017" s="2"/>
      <c r="I2017" s="72"/>
      <c r="J2017" s="72"/>
      <c r="K2017" s="72"/>
      <c r="L2017" s="72"/>
      <c r="M2017" s="2"/>
      <c r="N2017" s="2"/>
      <c r="O2017" s="2"/>
      <c r="P2017" s="2"/>
      <c r="Q2017" s="2"/>
      <c r="R2017" s="2"/>
      <c r="S2017" s="2"/>
      <c r="T2017" s="2"/>
      <c r="U2017" s="2"/>
      <c r="V2017" s="2"/>
      <c r="W2017" s="2"/>
      <c r="X2017" s="2"/>
      <c r="Y2017" s="2"/>
      <c r="Z2017" s="2"/>
      <c r="AA2017" s="2"/>
      <c r="AB2017" s="2"/>
      <c r="AC2017" s="2"/>
      <c r="AD2017" s="2"/>
      <c r="AE2017" s="2"/>
      <c r="AF2017" s="2"/>
      <c r="AG2017" s="2"/>
      <c r="AH2017" s="2"/>
      <c r="AI2017" s="2"/>
      <c r="AJ2017" s="2" t="str">
        <f>IFERROR(__xludf.DUMMYFUNCTION("""COMPUTED_VALUE"""),"")</f>
        <v/>
      </c>
      <c r="AK2017" s="2" t="str">
        <f>IFERROR(__xludf.DUMMYFUNCTION("""COMPUTED_VALUE"""),"")</f>
        <v/>
      </c>
      <c r="AL2017" s="2" t="str">
        <f>IFERROR(__xludf.DUMMYFUNCTION("""COMPUTED_VALUE"""),"")</f>
        <v/>
      </c>
      <c r="AM2017" s="2" t="str">
        <f>IFERROR(__xludf.DUMMYFUNCTION("""COMPUTED_VALUE"""),"")</f>
        <v/>
      </c>
      <c r="AN2017" s="2" t="str">
        <f>IFERROR(__xludf.DUMMYFUNCTION("""COMPUTED_VALUE""")," ")</f>
        <v> </v>
      </c>
      <c r="AO2017" s="2" t="str">
        <f>IFERROR(__xludf.DUMMYFUNCTION("""COMPUTED_VALUE""")," ")</f>
        <v> </v>
      </c>
      <c r="AP2017" s="2" t="str">
        <f>IFERROR(__xludf.DUMMYFUNCTION("""COMPUTED_VALUE"""),"")</f>
        <v/>
      </c>
      <c r="AQ2017" s="2"/>
      <c r="AR2017" s="2"/>
      <c r="AS2017" s="2"/>
      <c r="AT2017" s="2"/>
      <c r="AU2017" s="2"/>
      <c r="AV2017" s="2"/>
      <c r="AW2017" s="2"/>
      <c r="AX2017" s="2"/>
      <c r="AY2017" s="2"/>
      <c r="AZ2017" s="2"/>
      <c r="BA2017" s="2"/>
      <c r="BB2017" s="2"/>
    </row>
    <row r="2018">
      <c r="A2018" s="2"/>
      <c r="B2018" s="2" t="str">
        <f>IFERROR(__xludf.DUMMYFUNCTION("""COMPUTED_VALUE"""),"")</f>
        <v/>
      </c>
      <c r="C2018" s="2"/>
      <c r="D2018" s="71"/>
      <c r="E2018" s="71" t="str">
        <f>IFERROR(__xludf.DUMMYFUNCTION("""COMPUTED_VALUE""")," ")</f>
        <v> </v>
      </c>
      <c r="F2018" s="2"/>
      <c r="G2018" s="2"/>
      <c r="H2018" s="2"/>
      <c r="I2018" s="72"/>
      <c r="J2018" s="72"/>
      <c r="K2018" s="72"/>
      <c r="L2018" s="72"/>
      <c r="M2018" s="2"/>
      <c r="N2018" s="2"/>
      <c r="O2018" s="2"/>
      <c r="P2018" s="2"/>
      <c r="Q2018" s="2"/>
      <c r="R2018" s="2"/>
      <c r="S2018" s="2"/>
      <c r="T2018" s="2"/>
      <c r="U2018" s="2"/>
      <c r="V2018" s="2"/>
      <c r="W2018" s="2"/>
      <c r="X2018" s="2"/>
      <c r="Y2018" s="2"/>
      <c r="Z2018" s="2"/>
      <c r="AA2018" s="2"/>
      <c r="AB2018" s="2"/>
      <c r="AC2018" s="2"/>
      <c r="AD2018" s="2"/>
      <c r="AE2018" s="2"/>
      <c r="AF2018" s="2"/>
      <c r="AG2018" s="2"/>
      <c r="AH2018" s="2"/>
      <c r="AI2018" s="2"/>
      <c r="AJ2018" s="2" t="str">
        <f>IFERROR(__xludf.DUMMYFUNCTION("""COMPUTED_VALUE"""),"")</f>
        <v/>
      </c>
      <c r="AK2018" s="2" t="str">
        <f>IFERROR(__xludf.DUMMYFUNCTION("""COMPUTED_VALUE"""),"")</f>
        <v/>
      </c>
      <c r="AL2018" s="2" t="str">
        <f>IFERROR(__xludf.DUMMYFUNCTION("""COMPUTED_VALUE"""),"")</f>
        <v/>
      </c>
      <c r="AM2018" s="2" t="str">
        <f>IFERROR(__xludf.DUMMYFUNCTION("""COMPUTED_VALUE"""),"")</f>
        <v/>
      </c>
      <c r="AN2018" s="2" t="str">
        <f>IFERROR(__xludf.DUMMYFUNCTION("""COMPUTED_VALUE""")," ")</f>
        <v> </v>
      </c>
      <c r="AO2018" s="2" t="str">
        <f>IFERROR(__xludf.DUMMYFUNCTION("""COMPUTED_VALUE""")," ")</f>
        <v> </v>
      </c>
      <c r="AP2018" s="2" t="str">
        <f>IFERROR(__xludf.DUMMYFUNCTION("""COMPUTED_VALUE"""),"")</f>
        <v/>
      </c>
      <c r="AQ2018" s="2"/>
      <c r="AR2018" s="2"/>
      <c r="AS2018" s="2"/>
      <c r="AT2018" s="2"/>
      <c r="AU2018" s="2"/>
      <c r="AV2018" s="2"/>
      <c r="AW2018" s="2"/>
      <c r="AX2018" s="2"/>
      <c r="AY2018" s="2"/>
      <c r="AZ2018" s="2"/>
      <c r="BA2018" s="2"/>
      <c r="BB2018" s="2"/>
    </row>
    <row r="2019">
      <c r="A2019" s="2"/>
      <c r="B2019" s="2" t="str">
        <f>IFERROR(__xludf.DUMMYFUNCTION("""COMPUTED_VALUE"""),"")</f>
        <v/>
      </c>
      <c r="C2019" s="2"/>
      <c r="D2019" s="71"/>
      <c r="E2019" s="71" t="str">
        <f>IFERROR(__xludf.DUMMYFUNCTION("""COMPUTED_VALUE""")," ")</f>
        <v> </v>
      </c>
      <c r="F2019" s="2"/>
      <c r="G2019" s="2"/>
      <c r="H2019" s="2"/>
      <c r="I2019" s="72"/>
      <c r="J2019" s="72"/>
      <c r="K2019" s="72"/>
      <c r="L2019" s="72"/>
      <c r="M2019" s="2"/>
      <c r="N2019" s="2"/>
      <c r="O2019" s="2"/>
      <c r="P2019" s="2"/>
      <c r="Q2019" s="2"/>
      <c r="R2019" s="2"/>
      <c r="S2019" s="2"/>
      <c r="T2019" s="2"/>
      <c r="U2019" s="2"/>
      <c r="V2019" s="2"/>
      <c r="W2019" s="2"/>
      <c r="X2019" s="2"/>
      <c r="Y2019" s="2"/>
      <c r="Z2019" s="2"/>
      <c r="AA2019" s="2"/>
      <c r="AB2019" s="2"/>
      <c r="AC2019" s="2"/>
      <c r="AD2019" s="2"/>
      <c r="AE2019" s="2"/>
      <c r="AF2019" s="2"/>
      <c r="AG2019" s="2"/>
      <c r="AH2019" s="2"/>
      <c r="AI2019" s="2"/>
      <c r="AJ2019" s="2" t="str">
        <f>IFERROR(__xludf.DUMMYFUNCTION("""COMPUTED_VALUE"""),"")</f>
        <v/>
      </c>
      <c r="AK2019" s="2" t="str">
        <f>IFERROR(__xludf.DUMMYFUNCTION("""COMPUTED_VALUE"""),"")</f>
        <v/>
      </c>
      <c r="AL2019" s="2" t="str">
        <f>IFERROR(__xludf.DUMMYFUNCTION("""COMPUTED_VALUE"""),"")</f>
        <v/>
      </c>
      <c r="AM2019" s="2" t="str">
        <f>IFERROR(__xludf.DUMMYFUNCTION("""COMPUTED_VALUE"""),"")</f>
        <v/>
      </c>
      <c r="AN2019" s="2" t="str">
        <f>IFERROR(__xludf.DUMMYFUNCTION("""COMPUTED_VALUE""")," ")</f>
        <v> </v>
      </c>
      <c r="AO2019" s="2" t="str">
        <f>IFERROR(__xludf.DUMMYFUNCTION("""COMPUTED_VALUE""")," ")</f>
        <v> </v>
      </c>
      <c r="AP2019" s="2" t="str">
        <f>IFERROR(__xludf.DUMMYFUNCTION("""COMPUTED_VALUE"""),"")</f>
        <v/>
      </c>
      <c r="AQ2019" s="2"/>
      <c r="AR2019" s="2"/>
      <c r="AS2019" s="2"/>
      <c r="AT2019" s="2"/>
      <c r="AU2019" s="2"/>
      <c r="AV2019" s="2"/>
      <c r="AW2019" s="2"/>
      <c r="AX2019" s="2"/>
      <c r="AY2019" s="2"/>
      <c r="AZ2019" s="2"/>
      <c r="BA2019" s="2"/>
      <c r="BB2019" s="2"/>
    </row>
    <row r="2020">
      <c r="A2020" s="2"/>
      <c r="B2020" s="2" t="str">
        <f>IFERROR(__xludf.DUMMYFUNCTION("""COMPUTED_VALUE"""),"")</f>
        <v/>
      </c>
      <c r="C2020" s="2"/>
      <c r="D2020" s="71"/>
      <c r="E2020" s="71" t="str">
        <f>IFERROR(__xludf.DUMMYFUNCTION("""COMPUTED_VALUE""")," ")</f>
        <v> </v>
      </c>
      <c r="F2020" s="2"/>
      <c r="G2020" s="2"/>
      <c r="H2020" s="2"/>
      <c r="I2020" s="72"/>
      <c r="J2020" s="72"/>
      <c r="K2020" s="72"/>
      <c r="L2020" s="72"/>
      <c r="M2020" s="2"/>
      <c r="N2020" s="2"/>
      <c r="O2020" s="2"/>
      <c r="P2020" s="2"/>
      <c r="Q2020" s="2"/>
      <c r="R2020" s="2"/>
      <c r="S2020" s="2"/>
      <c r="T2020" s="2"/>
      <c r="U2020" s="2"/>
      <c r="V2020" s="2"/>
      <c r="W2020" s="2"/>
      <c r="X2020" s="2"/>
      <c r="Y2020" s="2"/>
      <c r="Z2020" s="2"/>
      <c r="AA2020" s="2"/>
      <c r="AB2020" s="2"/>
      <c r="AC2020" s="2"/>
      <c r="AD2020" s="2"/>
      <c r="AE2020" s="2"/>
      <c r="AF2020" s="2"/>
      <c r="AG2020" s="2"/>
      <c r="AH2020" s="2"/>
      <c r="AI2020" s="2"/>
      <c r="AJ2020" s="2" t="str">
        <f>IFERROR(__xludf.DUMMYFUNCTION("""COMPUTED_VALUE"""),"")</f>
        <v/>
      </c>
      <c r="AK2020" s="2" t="str">
        <f>IFERROR(__xludf.DUMMYFUNCTION("""COMPUTED_VALUE"""),"")</f>
        <v/>
      </c>
      <c r="AL2020" s="2" t="str">
        <f>IFERROR(__xludf.DUMMYFUNCTION("""COMPUTED_VALUE"""),"")</f>
        <v/>
      </c>
      <c r="AM2020" s="2" t="str">
        <f>IFERROR(__xludf.DUMMYFUNCTION("""COMPUTED_VALUE"""),"")</f>
        <v/>
      </c>
      <c r="AN2020" s="2" t="str">
        <f>IFERROR(__xludf.DUMMYFUNCTION("""COMPUTED_VALUE""")," ")</f>
        <v> </v>
      </c>
      <c r="AO2020" s="2" t="str">
        <f>IFERROR(__xludf.DUMMYFUNCTION("""COMPUTED_VALUE""")," ")</f>
        <v> </v>
      </c>
      <c r="AP2020" s="2" t="str">
        <f>IFERROR(__xludf.DUMMYFUNCTION("""COMPUTED_VALUE"""),"")</f>
        <v/>
      </c>
      <c r="AQ2020" s="2"/>
      <c r="AR2020" s="2"/>
      <c r="AS2020" s="2"/>
      <c r="AT2020" s="2"/>
      <c r="AU2020" s="2"/>
      <c r="AV2020" s="2"/>
      <c r="AW2020" s="2"/>
      <c r="AX2020" s="2"/>
      <c r="AY2020" s="2"/>
      <c r="AZ2020" s="2"/>
      <c r="BA2020" s="2"/>
      <c r="BB2020" s="2"/>
    </row>
    <row r="2021">
      <c r="A2021" s="2"/>
      <c r="B2021" s="2" t="str">
        <f>IFERROR(__xludf.DUMMYFUNCTION("""COMPUTED_VALUE"""),"")</f>
        <v/>
      </c>
      <c r="C2021" s="2"/>
      <c r="D2021" s="71"/>
      <c r="E2021" s="71" t="str">
        <f>IFERROR(__xludf.DUMMYFUNCTION("""COMPUTED_VALUE""")," ")</f>
        <v> </v>
      </c>
      <c r="F2021" s="2"/>
      <c r="G2021" s="2"/>
      <c r="H2021" s="2"/>
      <c r="I2021" s="72"/>
      <c r="J2021" s="72"/>
      <c r="K2021" s="72"/>
      <c r="L2021" s="72"/>
      <c r="M2021" s="2"/>
      <c r="N2021" s="2"/>
      <c r="O2021" s="2"/>
      <c r="P2021" s="2"/>
      <c r="Q2021" s="2"/>
      <c r="R2021" s="2"/>
      <c r="S2021" s="2"/>
      <c r="T2021" s="2"/>
      <c r="U2021" s="2"/>
      <c r="V2021" s="2"/>
      <c r="W2021" s="2"/>
      <c r="X2021" s="2"/>
      <c r="Y2021" s="2"/>
      <c r="Z2021" s="2"/>
      <c r="AA2021" s="2"/>
      <c r="AB2021" s="2"/>
      <c r="AC2021" s="2"/>
      <c r="AD2021" s="2"/>
      <c r="AE2021" s="2"/>
      <c r="AF2021" s="2"/>
      <c r="AG2021" s="2"/>
      <c r="AH2021" s="2"/>
      <c r="AI2021" s="2"/>
      <c r="AJ2021" s="2" t="str">
        <f>IFERROR(__xludf.DUMMYFUNCTION("""COMPUTED_VALUE"""),"")</f>
        <v/>
      </c>
      <c r="AK2021" s="2" t="str">
        <f>IFERROR(__xludf.DUMMYFUNCTION("""COMPUTED_VALUE"""),"")</f>
        <v/>
      </c>
      <c r="AL2021" s="2" t="str">
        <f>IFERROR(__xludf.DUMMYFUNCTION("""COMPUTED_VALUE"""),"")</f>
        <v/>
      </c>
      <c r="AM2021" s="2" t="str">
        <f>IFERROR(__xludf.DUMMYFUNCTION("""COMPUTED_VALUE"""),"")</f>
        <v/>
      </c>
      <c r="AN2021" s="2" t="str">
        <f>IFERROR(__xludf.DUMMYFUNCTION("""COMPUTED_VALUE""")," ")</f>
        <v> </v>
      </c>
      <c r="AO2021" s="2" t="str">
        <f>IFERROR(__xludf.DUMMYFUNCTION("""COMPUTED_VALUE""")," ")</f>
        <v> </v>
      </c>
      <c r="AP2021" s="2" t="str">
        <f>IFERROR(__xludf.DUMMYFUNCTION("""COMPUTED_VALUE"""),"")</f>
        <v/>
      </c>
      <c r="AQ2021" s="2"/>
      <c r="AR2021" s="2"/>
      <c r="AS2021" s="2"/>
      <c r="AT2021" s="2"/>
      <c r="AU2021" s="2"/>
      <c r="AV2021" s="2"/>
      <c r="AW2021" s="2"/>
      <c r="AX2021" s="2"/>
      <c r="AY2021" s="2"/>
      <c r="AZ2021" s="2"/>
      <c r="BA2021" s="2"/>
      <c r="BB2021" s="2"/>
    </row>
    <row r="2022">
      <c r="A2022" s="2"/>
      <c r="B2022" s="2" t="str">
        <f>IFERROR(__xludf.DUMMYFUNCTION("""COMPUTED_VALUE"""),"")</f>
        <v/>
      </c>
      <c r="C2022" s="2"/>
      <c r="D2022" s="71"/>
      <c r="E2022" s="71" t="str">
        <f>IFERROR(__xludf.DUMMYFUNCTION("""COMPUTED_VALUE""")," ")</f>
        <v> </v>
      </c>
      <c r="F2022" s="2"/>
      <c r="G2022" s="2"/>
      <c r="H2022" s="2"/>
      <c r="I2022" s="72"/>
      <c r="J2022" s="72"/>
      <c r="K2022" s="72"/>
      <c r="L2022" s="72"/>
      <c r="M2022" s="2"/>
      <c r="N2022" s="2"/>
      <c r="O2022" s="2"/>
      <c r="P2022" s="2"/>
      <c r="Q2022" s="2"/>
      <c r="R2022" s="2"/>
      <c r="S2022" s="2"/>
      <c r="T2022" s="2"/>
      <c r="U2022" s="2"/>
      <c r="V2022" s="2"/>
      <c r="W2022" s="2"/>
      <c r="X2022" s="2"/>
      <c r="Y2022" s="2"/>
      <c r="Z2022" s="2"/>
      <c r="AA2022" s="2"/>
      <c r="AB2022" s="2"/>
      <c r="AC2022" s="2"/>
      <c r="AD2022" s="2"/>
      <c r="AE2022" s="2"/>
      <c r="AF2022" s="2"/>
      <c r="AG2022" s="2"/>
      <c r="AH2022" s="2"/>
      <c r="AI2022" s="2"/>
      <c r="AJ2022" s="2" t="str">
        <f>IFERROR(__xludf.DUMMYFUNCTION("""COMPUTED_VALUE"""),"")</f>
        <v/>
      </c>
      <c r="AK2022" s="2" t="str">
        <f>IFERROR(__xludf.DUMMYFUNCTION("""COMPUTED_VALUE"""),"")</f>
        <v/>
      </c>
      <c r="AL2022" s="2" t="str">
        <f>IFERROR(__xludf.DUMMYFUNCTION("""COMPUTED_VALUE"""),"")</f>
        <v/>
      </c>
      <c r="AM2022" s="2" t="str">
        <f>IFERROR(__xludf.DUMMYFUNCTION("""COMPUTED_VALUE"""),"")</f>
        <v/>
      </c>
      <c r="AN2022" s="2" t="str">
        <f>IFERROR(__xludf.DUMMYFUNCTION("""COMPUTED_VALUE""")," ")</f>
        <v> </v>
      </c>
      <c r="AO2022" s="2" t="str">
        <f>IFERROR(__xludf.DUMMYFUNCTION("""COMPUTED_VALUE""")," ")</f>
        <v> </v>
      </c>
      <c r="AP2022" s="2" t="str">
        <f>IFERROR(__xludf.DUMMYFUNCTION("""COMPUTED_VALUE"""),"")</f>
        <v/>
      </c>
      <c r="AQ2022" s="2"/>
      <c r="AR2022" s="2"/>
      <c r="AS2022" s="2"/>
      <c r="AT2022" s="2"/>
      <c r="AU2022" s="2"/>
      <c r="AV2022" s="2"/>
      <c r="AW2022" s="2"/>
      <c r="AX2022" s="2"/>
      <c r="AY2022" s="2"/>
      <c r="AZ2022" s="2"/>
      <c r="BA2022" s="2"/>
      <c r="BB2022" s="2"/>
    </row>
    <row r="2023">
      <c r="A2023" s="2"/>
      <c r="B2023" s="2" t="str">
        <f>IFERROR(__xludf.DUMMYFUNCTION("""COMPUTED_VALUE"""),"")</f>
        <v/>
      </c>
      <c r="C2023" s="2"/>
      <c r="D2023" s="71"/>
      <c r="E2023" s="71" t="str">
        <f>IFERROR(__xludf.DUMMYFUNCTION("""COMPUTED_VALUE""")," ")</f>
        <v> </v>
      </c>
      <c r="F2023" s="2"/>
      <c r="G2023" s="2"/>
      <c r="H2023" s="2"/>
      <c r="I2023" s="72"/>
      <c r="J2023" s="72"/>
      <c r="K2023" s="72"/>
      <c r="L2023" s="72"/>
      <c r="M2023" s="2"/>
      <c r="N2023" s="2"/>
      <c r="O2023" s="2"/>
      <c r="P2023" s="2"/>
      <c r="Q2023" s="2"/>
      <c r="R2023" s="2"/>
      <c r="S2023" s="2"/>
      <c r="T2023" s="2"/>
      <c r="U2023" s="2"/>
      <c r="V2023" s="2"/>
      <c r="W2023" s="2"/>
      <c r="X2023" s="2"/>
      <c r="Y2023" s="2"/>
      <c r="Z2023" s="2"/>
      <c r="AA2023" s="2"/>
      <c r="AB2023" s="2"/>
      <c r="AC2023" s="2"/>
      <c r="AD2023" s="2"/>
      <c r="AE2023" s="2"/>
      <c r="AF2023" s="2"/>
      <c r="AG2023" s="2"/>
      <c r="AH2023" s="2"/>
      <c r="AI2023" s="2"/>
      <c r="AJ2023" s="2" t="str">
        <f>IFERROR(__xludf.DUMMYFUNCTION("""COMPUTED_VALUE"""),"")</f>
        <v/>
      </c>
      <c r="AK2023" s="2" t="str">
        <f>IFERROR(__xludf.DUMMYFUNCTION("""COMPUTED_VALUE"""),"")</f>
        <v/>
      </c>
      <c r="AL2023" s="2" t="str">
        <f>IFERROR(__xludf.DUMMYFUNCTION("""COMPUTED_VALUE"""),"")</f>
        <v/>
      </c>
      <c r="AM2023" s="2" t="str">
        <f>IFERROR(__xludf.DUMMYFUNCTION("""COMPUTED_VALUE"""),"")</f>
        <v/>
      </c>
      <c r="AN2023" s="2" t="str">
        <f>IFERROR(__xludf.DUMMYFUNCTION("""COMPUTED_VALUE""")," ")</f>
        <v> </v>
      </c>
      <c r="AO2023" s="2" t="str">
        <f>IFERROR(__xludf.DUMMYFUNCTION("""COMPUTED_VALUE""")," ")</f>
        <v> </v>
      </c>
      <c r="AP2023" s="2" t="str">
        <f>IFERROR(__xludf.DUMMYFUNCTION("""COMPUTED_VALUE"""),"")</f>
        <v/>
      </c>
      <c r="AQ2023" s="2"/>
      <c r="AR2023" s="2"/>
      <c r="AS2023" s="2"/>
      <c r="AT2023" s="2"/>
      <c r="AU2023" s="2"/>
      <c r="AV2023" s="2"/>
      <c r="AW2023" s="2"/>
      <c r="AX2023" s="2"/>
      <c r="AY2023" s="2"/>
      <c r="AZ2023" s="2"/>
      <c r="BA2023" s="2"/>
      <c r="BB2023" s="2"/>
    </row>
    <row r="2024">
      <c r="A2024" s="2"/>
      <c r="B2024" s="2" t="str">
        <f>IFERROR(__xludf.DUMMYFUNCTION("""COMPUTED_VALUE"""),"")</f>
        <v/>
      </c>
      <c r="C2024" s="2"/>
      <c r="D2024" s="71"/>
      <c r="E2024" s="71" t="str">
        <f>IFERROR(__xludf.DUMMYFUNCTION("""COMPUTED_VALUE""")," ")</f>
        <v> </v>
      </c>
      <c r="F2024" s="2"/>
      <c r="G2024" s="2"/>
      <c r="H2024" s="2"/>
      <c r="I2024" s="72"/>
      <c r="J2024" s="72"/>
      <c r="K2024" s="72"/>
      <c r="L2024" s="72"/>
      <c r="M2024" s="2"/>
      <c r="N2024" s="2"/>
      <c r="O2024" s="2"/>
      <c r="P2024" s="2"/>
      <c r="Q2024" s="2"/>
      <c r="R2024" s="2"/>
      <c r="S2024" s="2"/>
      <c r="T2024" s="2"/>
      <c r="U2024" s="2"/>
      <c r="V2024" s="2"/>
      <c r="W2024" s="2"/>
      <c r="X2024" s="2"/>
      <c r="Y2024" s="2"/>
      <c r="Z2024" s="2"/>
      <c r="AA2024" s="2"/>
      <c r="AB2024" s="2"/>
      <c r="AC2024" s="2"/>
      <c r="AD2024" s="2"/>
      <c r="AE2024" s="2"/>
      <c r="AF2024" s="2"/>
      <c r="AG2024" s="2"/>
      <c r="AH2024" s="2"/>
      <c r="AI2024" s="2"/>
      <c r="AJ2024" s="2" t="str">
        <f>IFERROR(__xludf.DUMMYFUNCTION("""COMPUTED_VALUE"""),"")</f>
        <v/>
      </c>
      <c r="AK2024" s="2" t="str">
        <f>IFERROR(__xludf.DUMMYFUNCTION("""COMPUTED_VALUE"""),"")</f>
        <v/>
      </c>
      <c r="AL2024" s="2" t="str">
        <f>IFERROR(__xludf.DUMMYFUNCTION("""COMPUTED_VALUE"""),"")</f>
        <v/>
      </c>
      <c r="AM2024" s="2" t="str">
        <f>IFERROR(__xludf.DUMMYFUNCTION("""COMPUTED_VALUE"""),"")</f>
        <v/>
      </c>
      <c r="AN2024" s="2" t="str">
        <f>IFERROR(__xludf.DUMMYFUNCTION("""COMPUTED_VALUE""")," ")</f>
        <v> </v>
      </c>
      <c r="AO2024" s="2" t="str">
        <f>IFERROR(__xludf.DUMMYFUNCTION("""COMPUTED_VALUE""")," ")</f>
        <v> </v>
      </c>
      <c r="AP2024" s="2" t="str">
        <f>IFERROR(__xludf.DUMMYFUNCTION("""COMPUTED_VALUE"""),"")</f>
        <v/>
      </c>
      <c r="AQ2024" s="2"/>
      <c r="AR2024" s="2"/>
      <c r="AS2024" s="2"/>
      <c r="AT2024" s="2"/>
      <c r="AU2024" s="2"/>
      <c r="AV2024" s="2"/>
      <c r="AW2024" s="2"/>
      <c r="AX2024" s="2"/>
      <c r="AY2024" s="2"/>
      <c r="AZ2024" s="2"/>
      <c r="BA2024" s="2"/>
      <c r="BB2024" s="2"/>
    </row>
    <row r="2025">
      <c r="A2025" s="2"/>
      <c r="B2025" s="2" t="str">
        <f>IFERROR(__xludf.DUMMYFUNCTION("""COMPUTED_VALUE"""),"")</f>
        <v/>
      </c>
      <c r="C2025" s="2"/>
      <c r="D2025" s="71"/>
      <c r="E2025" s="71" t="str">
        <f>IFERROR(__xludf.DUMMYFUNCTION("""COMPUTED_VALUE""")," ")</f>
        <v> </v>
      </c>
      <c r="F2025" s="2"/>
      <c r="G2025" s="2"/>
      <c r="H2025" s="2"/>
      <c r="I2025" s="72"/>
      <c r="J2025" s="72"/>
      <c r="K2025" s="72"/>
      <c r="L2025" s="72"/>
      <c r="M2025" s="2"/>
      <c r="N2025" s="2"/>
      <c r="O2025" s="2"/>
      <c r="P2025" s="2"/>
      <c r="Q2025" s="2"/>
      <c r="R2025" s="2"/>
      <c r="S2025" s="2"/>
      <c r="T2025" s="2"/>
      <c r="U2025" s="2"/>
      <c r="V2025" s="2"/>
      <c r="W2025" s="2"/>
      <c r="X2025" s="2"/>
      <c r="Y2025" s="2"/>
      <c r="Z2025" s="2"/>
      <c r="AA2025" s="2"/>
      <c r="AB2025" s="2"/>
      <c r="AC2025" s="2"/>
      <c r="AD2025" s="2"/>
      <c r="AE2025" s="2"/>
      <c r="AF2025" s="2"/>
      <c r="AG2025" s="2"/>
      <c r="AH2025" s="2"/>
      <c r="AI2025" s="2"/>
      <c r="AJ2025" s="2" t="str">
        <f>IFERROR(__xludf.DUMMYFUNCTION("""COMPUTED_VALUE"""),"")</f>
        <v/>
      </c>
      <c r="AK2025" s="2" t="str">
        <f>IFERROR(__xludf.DUMMYFUNCTION("""COMPUTED_VALUE"""),"")</f>
        <v/>
      </c>
      <c r="AL2025" s="2" t="str">
        <f>IFERROR(__xludf.DUMMYFUNCTION("""COMPUTED_VALUE"""),"")</f>
        <v/>
      </c>
      <c r="AM2025" s="2" t="str">
        <f>IFERROR(__xludf.DUMMYFUNCTION("""COMPUTED_VALUE"""),"")</f>
        <v/>
      </c>
      <c r="AN2025" s="2" t="str">
        <f>IFERROR(__xludf.DUMMYFUNCTION("""COMPUTED_VALUE""")," ")</f>
        <v> </v>
      </c>
      <c r="AO2025" s="2" t="str">
        <f>IFERROR(__xludf.DUMMYFUNCTION("""COMPUTED_VALUE""")," ")</f>
        <v> </v>
      </c>
      <c r="AP2025" s="2" t="str">
        <f>IFERROR(__xludf.DUMMYFUNCTION("""COMPUTED_VALUE"""),"")</f>
        <v/>
      </c>
      <c r="AQ2025" s="2"/>
      <c r="AR2025" s="2"/>
      <c r="AS2025" s="2"/>
      <c r="AT2025" s="2"/>
      <c r="AU2025" s="2"/>
      <c r="AV2025" s="2"/>
      <c r="AW2025" s="2"/>
      <c r="AX2025" s="2"/>
      <c r="AY2025" s="2"/>
      <c r="AZ2025" s="2"/>
      <c r="BA2025" s="2"/>
      <c r="BB2025" s="2"/>
    </row>
    <row r="2026">
      <c r="A2026" s="2"/>
      <c r="B2026" s="2" t="str">
        <f>IFERROR(__xludf.DUMMYFUNCTION("""COMPUTED_VALUE"""),"")</f>
        <v/>
      </c>
      <c r="C2026" s="2"/>
      <c r="D2026" s="71"/>
      <c r="E2026" s="71" t="str">
        <f>IFERROR(__xludf.DUMMYFUNCTION("""COMPUTED_VALUE""")," ")</f>
        <v> </v>
      </c>
      <c r="F2026" s="2"/>
      <c r="G2026" s="2"/>
      <c r="H2026" s="2"/>
      <c r="I2026" s="72"/>
      <c r="J2026" s="72"/>
      <c r="K2026" s="72"/>
      <c r="L2026" s="72"/>
      <c r="M2026" s="2"/>
      <c r="N2026" s="2"/>
      <c r="O2026" s="2"/>
      <c r="P2026" s="2"/>
      <c r="Q2026" s="2"/>
      <c r="R2026" s="2"/>
      <c r="S2026" s="2"/>
      <c r="T2026" s="2"/>
      <c r="U2026" s="2"/>
      <c r="V2026" s="2"/>
      <c r="W2026" s="2"/>
      <c r="X2026" s="2"/>
      <c r="Y2026" s="2"/>
      <c r="Z2026" s="2"/>
      <c r="AA2026" s="2"/>
      <c r="AB2026" s="2"/>
      <c r="AC2026" s="2"/>
      <c r="AD2026" s="2"/>
      <c r="AE2026" s="2"/>
      <c r="AF2026" s="2"/>
      <c r="AG2026" s="2"/>
      <c r="AH2026" s="2"/>
      <c r="AI2026" s="2"/>
      <c r="AJ2026" s="2" t="str">
        <f>IFERROR(__xludf.DUMMYFUNCTION("""COMPUTED_VALUE"""),"")</f>
        <v/>
      </c>
      <c r="AK2026" s="2" t="str">
        <f>IFERROR(__xludf.DUMMYFUNCTION("""COMPUTED_VALUE"""),"")</f>
        <v/>
      </c>
      <c r="AL2026" s="2" t="str">
        <f>IFERROR(__xludf.DUMMYFUNCTION("""COMPUTED_VALUE"""),"")</f>
        <v/>
      </c>
      <c r="AM2026" s="2" t="str">
        <f>IFERROR(__xludf.DUMMYFUNCTION("""COMPUTED_VALUE"""),"")</f>
        <v/>
      </c>
      <c r="AN2026" s="2" t="str">
        <f>IFERROR(__xludf.DUMMYFUNCTION("""COMPUTED_VALUE""")," ")</f>
        <v> </v>
      </c>
      <c r="AO2026" s="2" t="str">
        <f>IFERROR(__xludf.DUMMYFUNCTION("""COMPUTED_VALUE""")," ")</f>
        <v> </v>
      </c>
      <c r="AP2026" s="2" t="str">
        <f>IFERROR(__xludf.DUMMYFUNCTION("""COMPUTED_VALUE"""),"")</f>
        <v/>
      </c>
      <c r="AQ2026" s="2"/>
      <c r="AR2026" s="2"/>
      <c r="AS2026" s="2"/>
      <c r="AT2026" s="2"/>
      <c r="AU2026" s="2"/>
      <c r="AV2026" s="2"/>
      <c r="AW2026" s="2"/>
      <c r="AX2026" s="2"/>
      <c r="AY2026" s="2"/>
      <c r="AZ2026" s="2"/>
      <c r="BA2026" s="2"/>
      <c r="BB2026" s="2"/>
    </row>
    <row r="2027">
      <c r="A2027" s="2"/>
      <c r="B2027" s="2" t="str">
        <f>IFERROR(__xludf.DUMMYFUNCTION("""COMPUTED_VALUE"""),"")</f>
        <v/>
      </c>
      <c r="C2027" s="2"/>
      <c r="D2027" s="71"/>
      <c r="E2027" s="71" t="str">
        <f>IFERROR(__xludf.DUMMYFUNCTION("""COMPUTED_VALUE""")," ")</f>
        <v> </v>
      </c>
      <c r="F2027" s="2"/>
      <c r="G2027" s="2"/>
      <c r="H2027" s="2"/>
      <c r="I2027" s="72"/>
      <c r="J2027" s="72"/>
      <c r="K2027" s="72"/>
      <c r="L2027" s="72"/>
      <c r="M2027" s="2"/>
      <c r="N2027" s="2"/>
      <c r="O2027" s="2"/>
      <c r="P2027" s="2"/>
      <c r="Q2027" s="2"/>
      <c r="R2027" s="2"/>
      <c r="S2027" s="2"/>
      <c r="T2027" s="2"/>
      <c r="U2027" s="2"/>
      <c r="V2027" s="2"/>
      <c r="W2027" s="2"/>
      <c r="X2027" s="2"/>
      <c r="Y2027" s="2"/>
      <c r="Z2027" s="2"/>
      <c r="AA2027" s="2"/>
      <c r="AB2027" s="2"/>
      <c r="AC2027" s="2"/>
      <c r="AD2027" s="2"/>
      <c r="AE2027" s="2"/>
      <c r="AF2027" s="2"/>
      <c r="AG2027" s="2"/>
      <c r="AH2027" s="2"/>
      <c r="AI2027" s="2"/>
      <c r="AJ2027" s="2" t="str">
        <f>IFERROR(__xludf.DUMMYFUNCTION("""COMPUTED_VALUE"""),"")</f>
        <v/>
      </c>
      <c r="AK2027" s="2" t="str">
        <f>IFERROR(__xludf.DUMMYFUNCTION("""COMPUTED_VALUE"""),"")</f>
        <v/>
      </c>
      <c r="AL2027" s="2" t="str">
        <f>IFERROR(__xludf.DUMMYFUNCTION("""COMPUTED_VALUE"""),"")</f>
        <v/>
      </c>
      <c r="AM2027" s="2" t="str">
        <f>IFERROR(__xludf.DUMMYFUNCTION("""COMPUTED_VALUE"""),"")</f>
        <v/>
      </c>
      <c r="AN2027" s="2" t="str">
        <f>IFERROR(__xludf.DUMMYFUNCTION("""COMPUTED_VALUE""")," ")</f>
        <v> </v>
      </c>
      <c r="AO2027" s="2" t="str">
        <f>IFERROR(__xludf.DUMMYFUNCTION("""COMPUTED_VALUE""")," ")</f>
        <v> </v>
      </c>
      <c r="AP2027" s="2" t="str">
        <f>IFERROR(__xludf.DUMMYFUNCTION("""COMPUTED_VALUE"""),"")</f>
        <v/>
      </c>
      <c r="AQ2027" s="2"/>
      <c r="AR2027" s="2"/>
      <c r="AS2027" s="2"/>
      <c r="AT2027" s="2"/>
      <c r="AU2027" s="2"/>
      <c r="AV2027" s="2"/>
      <c r="AW2027" s="2"/>
      <c r="AX2027" s="2"/>
      <c r="AY2027" s="2"/>
      <c r="AZ2027" s="2"/>
      <c r="BA2027" s="2"/>
      <c r="BB2027" s="2"/>
    </row>
    <row r="2028">
      <c r="A2028" s="2"/>
      <c r="B2028" s="2" t="str">
        <f>IFERROR(__xludf.DUMMYFUNCTION("""COMPUTED_VALUE"""),"")</f>
        <v/>
      </c>
      <c r="C2028" s="2"/>
      <c r="D2028" s="71"/>
      <c r="E2028" s="71" t="str">
        <f>IFERROR(__xludf.DUMMYFUNCTION("""COMPUTED_VALUE""")," ")</f>
        <v> </v>
      </c>
      <c r="F2028" s="2"/>
      <c r="G2028" s="2"/>
      <c r="H2028" s="2"/>
      <c r="I2028" s="72"/>
      <c r="J2028" s="72"/>
      <c r="K2028" s="72"/>
      <c r="L2028" s="72"/>
      <c r="M2028" s="2"/>
      <c r="N2028" s="2"/>
      <c r="O2028" s="2"/>
      <c r="P2028" s="2"/>
      <c r="Q2028" s="2"/>
      <c r="R2028" s="2"/>
      <c r="S2028" s="2"/>
      <c r="T2028" s="2"/>
      <c r="U2028" s="2"/>
      <c r="V2028" s="2"/>
      <c r="W2028" s="2"/>
      <c r="X2028" s="2"/>
      <c r="Y2028" s="2"/>
      <c r="Z2028" s="2"/>
      <c r="AA2028" s="2"/>
      <c r="AB2028" s="2"/>
      <c r="AC2028" s="2"/>
      <c r="AD2028" s="2"/>
      <c r="AE2028" s="2"/>
      <c r="AF2028" s="2"/>
      <c r="AG2028" s="2"/>
      <c r="AH2028" s="2"/>
      <c r="AI2028" s="2"/>
      <c r="AJ2028" s="2" t="str">
        <f>IFERROR(__xludf.DUMMYFUNCTION("""COMPUTED_VALUE"""),"")</f>
        <v/>
      </c>
      <c r="AK2028" s="2" t="str">
        <f>IFERROR(__xludf.DUMMYFUNCTION("""COMPUTED_VALUE"""),"")</f>
        <v/>
      </c>
      <c r="AL2028" s="2" t="str">
        <f>IFERROR(__xludf.DUMMYFUNCTION("""COMPUTED_VALUE"""),"")</f>
        <v/>
      </c>
      <c r="AM2028" s="2" t="str">
        <f>IFERROR(__xludf.DUMMYFUNCTION("""COMPUTED_VALUE"""),"")</f>
        <v/>
      </c>
      <c r="AN2028" s="2" t="str">
        <f>IFERROR(__xludf.DUMMYFUNCTION("""COMPUTED_VALUE""")," ")</f>
        <v> </v>
      </c>
      <c r="AO2028" s="2" t="str">
        <f>IFERROR(__xludf.DUMMYFUNCTION("""COMPUTED_VALUE""")," ")</f>
        <v> </v>
      </c>
      <c r="AP2028" s="2" t="str">
        <f>IFERROR(__xludf.DUMMYFUNCTION("""COMPUTED_VALUE"""),"")</f>
        <v/>
      </c>
      <c r="AQ2028" s="2"/>
      <c r="AR2028" s="2"/>
      <c r="AS2028" s="2"/>
      <c r="AT2028" s="2"/>
      <c r="AU2028" s="2"/>
      <c r="AV2028" s="2"/>
      <c r="AW2028" s="2"/>
      <c r="AX2028" s="2"/>
      <c r="AY2028" s="2"/>
      <c r="AZ2028" s="2"/>
      <c r="BA2028" s="2"/>
      <c r="BB2028" s="2"/>
    </row>
    <row r="2029">
      <c r="A2029" s="2"/>
      <c r="B2029" s="2" t="str">
        <f>IFERROR(__xludf.DUMMYFUNCTION("""COMPUTED_VALUE"""),"")</f>
        <v/>
      </c>
      <c r="C2029" s="2"/>
      <c r="D2029" s="71"/>
      <c r="E2029" s="71" t="str">
        <f>IFERROR(__xludf.DUMMYFUNCTION("""COMPUTED_VALUE""")," ")</f>
        <v> </v>
      </c>
      <c r="F2029" s="2"/>
      <c r="G2029" s="2"/>
      <c r="H2029" s="2"/>
      <c r="I2029" s="72"/>
      <c r="J2029" s="72"/>
      <c r="K2029" s="72"/>
      <c r="L2029" s="72"/>
      <c r="M2029" s="2"/>
      <c r="N2029" s="2"/>
      <c r="O2029" s="2"/>
      <c r="P2029" s="2"/>
      <c r="Q2029" s="2"/>
      <c r="R2029" s="2"/>
      <c r="S2029" s="2"/>
      <c r="T2029" s="2"/>
      <c r="U2029" s="2"/>
      <c r="V2029" s="2"/>
      <c r="W2029" s="2"/>
      <c r="X2029" s="2"/>
      <c r="Y2029" s="2"/>
      <c r="Z2029" s="2"/>
      <c r="AA2029" s="2"/>
      <c r="AB2029" s="2"/>
      <c r="AC2029" s="2"/>
      <c r="AD2029" s="2"/>
      <c r="AE2029" s="2"/>
      <c r="AF2029" s="2"/>
      <c r="AG2029" s="2"/>
      <c r="AH2029" s="2"/>
      <c r="AI2029" s="2"/>
      <c r="AJ2029" s="2" t="str">
        <f>IFERROR(__xludf.DUMMYFUNCTION("""COMPUTED_VALUE"""),"")</f>
        <v/>
      </c>
      <c r="AK2029" s="2" t="str">
        <f>IFERROR(__xludf.DUMMYFUNCTION("""COMPUTED_VALUE"""),"")</f>
        <v/>
      </c>
      <c r="AL2029" s="2" t="str">
        <f>IFERROR(__xludf.DUMMYFUNCTION("""COMPUTED_VALUE"""),"")</f>
        <v/>
      </c>
      <c r="AM2029" s="2" t="str">
        <f>IFERROR(__xludf.DUMMYFUNCTION("""COMPUTED_VALUE"""),"")</f>
        <v/>
      </c>
      <c r="AN2029" s="2" t="str">
        <f>IFERROR(__xludf.DUMMYFUNCTION("""COMPUTED_VALUE""")," ")</f>
        <v> </v>
      </c>
      <c r="AO2029" s="2" t="str">
        <f>IFERROR(__xludf.DUMMYFUNCTION("""COMPUTED_VALUE""")," ")</f>
        <v> </v>
      </c>
      <c r="AP2029" s="2" t="str">
        <f>IFERROR(__xludf.DUMMYFUNCTION("""COMPUTED_VALUE"""),"")</f>
        <v/>
      </c>
      <c r="AQ2029" s="2"/>
      <c r="AR2029" s="2"/>
      <c r="AS2029" s="2"/>
      <c r="AT2029" s="2"/>
      <c r="AU2029" s="2"/>
      <c r="AV2029" s="2"/>
      <c r="AW2029" s="2"/>
      <c r="AX2029" s="2"/>
      <c r="AY2029" s="2"/>
      <c r="AZ2029" s="2"/>
      <c r="BA2029" s="2"/>
      <c r="BB2029" s="2"/>
    </row>
    <row r="2030">
      <c r="A2030" s="2"/>
      <c r="B2030" s="2" t="str">
        <f>IFERROR(__xludf.DUMMYFUNCTION("""COMPUTED_VALUE"""),"")</f>
        <v/>
      </c>
      <c r="C2030" s="2"/>
      <c r="D2030" s="71"/>
      <c r="E2030" s="71" t="str">
        <f>IFERROR(__xludf.DUMMYFUNCTION("""COMPUTED_VALUE""")," ")</f>
        <v> </v>
      </c>
      <c r="F2030" s="2"/>
      <c r="G2030" s="2"/>
      <c r="H2030" s="2"/>
      <c r="I2030" s="72"/>
      <c r="J2030" s="72"/>
      <c r="K2030" s="72"/>
      <c r="L2030" s="72"/>
      <c r="M2030" s="2"/>
      <c r="N2030" s="2"/>
      <c r="O2030" s="2"/>
      <c r="P2030" s="2"/>
      <c r="Q2030" s="2"/>
      <c r="R2030" s="2"/>
      <c r="S2030" s="2"/>
      <c r="T2030" s="2"/>
      <c r="U2030" s="2"/>
      <c r="V2030" s="2"/>
      <c r="W2030" s="2"/>
      <c r="X2030" s="2"/>
      <c r="Y2030" s="2"/>
      <c r="Z2030" s="2"/>
      <c r="AA2030" s="2"/>
      <c r="AB2030" s="2"/>
      <c r="AC2030" s="2"/>
      <c r="AD2030" s="2"/>
      <c r="AE2030" s="2"/>
      <c r="AF2030" s="2"/>
      <c r="AG2030" s="2"/>
      <c r="AH2030" s="2"/>
      <c r="AI2030" s="2"/>
      <c r="AJ2030" s="2" t="str">
        <f>IFERROR(__xludf.DUMMYFUNCTION("""COMPUTED_VALUE"""),"")</f>
        <v/>
      </c>
      <c r="AK2030" s="2" t="str">
        <f>IFERROR(__xludf.DUMMYFUNCTION("""COMPUTED_VALUE"""),"")</f>
        <v/>
      </c>
      <c r="AL2030" s="2" t="str">
        <f>IFERROR(__xludf.DUMMYFUNCTION("""COMPUTED_VALUE"""),"")</f>
        <v/>
      </c>
      <c r="AM2030" s="2" t="str">
        <f>IFERROR(__xludf.DUMMYFUNCTION("""COMPUTED_VALUE"""),"")</f>
        <v/>
      </c>
      <c r="AN2030" s="2" t="str">
        <f>IFERROR(__xludf.DUMMYFUNCTION("""COMPUTED_VALUE""")," ")</f>
        <v> </v>
      </c>
      <c r="AO2030" s="2" t="str">
        <f>IFERROR(__xludf.DUMMYFUNCTION("""COMPUTED_VALUE""")," ")</f>
        <v> </v>
      </c>
      <c r="AP2030" s="2" t="str">
        <f>IFERROR(__xludf.DUMMYFUNCTION("""COMPUTED_VALUE"""),"")</f>
        <v/>
      </c>
      <c r="AQ2030" s="2"/>
      <c r="AR2030" s="2"/>
      <c r="AS2030" s="2"/>
      <c r="AT2030" s="2"/>
      <c r="AU2030" s="2"/>
      <c r="AV2030" s="2"/>
      <c r="AW2030" s="2"/>
      <c r="AX2030" s="2"/>
      <c r="AY2030" s="2"/>
      <c r="AZ2030" s="2"/>
      <c r="BA2030" s="2"/>
      <c r="BB2030" s="2"/>
    </row>
    <row r="2031">
      <c r="A2031" s="2"/>
      <c r="B2031" s="2" t="str">
        <f>IFERROR(__xludf.DUMMYFUNCTION("""COMPUTED_VALUE"""),"")</f>
        <v/>
      </c>
      <c r="C2031" s="2"/>
      <c r="D2031" s="71"/>
      <c r="E2031" s="71" t="str">
        <f>IFERROR(__xludf.DUMMYFUNCTION("""COMPUTED_VALUE""")," ")</f>
        <v> </v>
      </c>
      <c r="F2031" s="2"/>
      <c r="G2031" s="2"/>
      <c r="H2031" s="2"/>
      <c r="I2031" s="72"/>
      <c r="J2031" s="72"/>
      <c r="K2031" s="72"/>
      <c r="L2031" s="72"/>
      <c r="M2031" s="2"/>
      <c r="N2031" s="2"/>
      <c r="O2031" s="2"/>
      <c r="P2031" s="2"/>
      <c r="Q2031" s="2"/>
      <c r="R2031" s="2"/>
      <c r="S2031" s="2"/>
      <c r="T2031" s="2"/>
      <c r="U2031" s="2"/>
      <c r="V2031" s="2"/>
      <c r="W2031" s="2"/>
      <c r="X2031" s="2"/>
      <c r="Y2031" s="2"/>
      <c r="Z2031" s="2"/>
      <c r="AA2031" s="2"/>
      <c r="AB2031" s="2"/>
      <c r="AC2031" s="2"/>
      <c r="AD2031" s="2"/>
      <c r="AE2031" s="2"/>
      <c r="AF2031" s="2"/>
      <c r="AG2031" s="2"/>
      <c r="AH2031" s="2"/>
      <c r="AI2031" s="2"/>
      <c r="AJ2031" s="2" t="str">
        <f>IFERROR(__xludf.DUMMYFUNCTION("""COMPUTED_VALUE"""),"")</f>
        <v/>
      </c>
      <c r="AK2031" s="2" t="str">
        <f>IFERROR(__xludf.DUMMYFUNCTION("""COMPUTED_VALUE"""),"")</f>
        <v/>
      </c>
      <c r="AL2031" s="2" t="str">
        <f>IFERROR(__xludf.DUMMYFUNCTION("""COMPUTED_VALUE"""),"")</f>
        <v/>
      </c>
      <c r="AM2031" s="2" t="str">
        <f>IFERROR(__xludf.DUMMYFUNCTION("""COMPUTED_VALUE"""),"")</f>
        <v/>
      </c>
      <c r="AN2031" s="2" t="str">
        <f>IFERROR(__xludf.DUMMYFUNCTION("""COMPUTED_VALUE""")," ")</f>
        <v> </v>
      </c>
      <c r="AO2031" s="2" t="str">
        <f>IFERROR(__xludf.DUMMYFUNCTION("""COMPUTED_VALUE""")," ")</f>
        <v> </v>
      </c>
      <c r="AP2031" s="2" t="str">
        <f>IFERROR(__xludf.DUMMYFUNCTION("""COMPUTED_VALUE"""),"")</f>
        <v/>
      </c>
      <c r="AQ2031" s="2"/>
      <c r="AR2031" s="2"/>
      <c r="AS2031" s="2"/>
      <c r="AT2031" s="2"/>
      <c r="AU2031" s="2"/>
      <c r="AV2031" s="2"/>
      <c r="AW2031" s="2"/>
      <c r="AX2031" s="2"/>
      <c r="AY2031" s="2"/>
      <c r="AZ2031" s="2"/>
      <c r="BA2031" s="2"/>
      <c r="BB2031" s="2"/>
    </row>
    <row r="2032">
      <c r="A2032" s="2"/>
      <c r="B2032" s="2" t="str">
        <f>IFERROR(__xludf.DUMMYFUNCTION("""COMPUTED_VALUE"""),"")</f>
        <v/>
      </c>
      <c r="C2032" s="2"/>
      <c r="D2032" s="71"/>
      <c r="E2032" s="71" t="str">
        <f>IFERROR(__xludf.DUMMYFUNCTION("""COMPUTED_VALUE""")," ")</f>
        <v> </v>
      </c>
      <c r="F2032" s="2"/>
      <c r="G2032" s="2"/>
      <c r="H2032" s="2"/>
      <c r="I2032" s="72"/>
      <c r="J2032" s="72"/>
      <c r="K2032" s="72"/>
      <c r="L2032" s="72"/>
      <c r="M2032" s="2"/>
      <c r="N2032" s="2"/>
      <c r="O2032" s="2"/>
      <c r="P2032" s="2"/>
      <c r="Q2032" s="2"/>
      <c r="R2032" s="2"/>
      <c r="S2032" s="2"/>
      <c r="T2032" s="2"/>
      <c r="U2032" s="2"/>
      <c r="V2032" s="2"/>
      <c r="W2032" s="2"/>
      <c r="X2032" s="2"/>
      <c r="Y2032" s="2"/>
      <c r="Z2032" s="2"/>
      <c r="AA2032" s="2"/>
      <c r="AB2032" s="2"/>
      <c r="AC2032" s="2"/>
      <c r="AD2032" s="2"/>
      <c r="AE2032" s="2"/>
      <c r="AF2032" s="2"/>
      <c r="AG2032" s="2"/>
      <c r="AH2032" s="2"/>
      <c r="AI2032" s="2"/>
      <c r="AJ2032" s="2" t="str">
        <f>IFERROR(__xludf.DUMMYFUNCTION("""COMPUTED_VALUE"""),"")</f>
        <v/>
      </c>
      <c r="AK2032" s="2" t="str">
        <f>IFERROR(__xludf.DUMMYFUNCTION("""COMPUTED_VALUE"""),"")</f>
        <v/>
      </c>
      <c r="AL2032" s="2" t="str">
        <f>IFERROR(__xludf.DUMMYFUNCTION("""COMPUTED_VALUE"""),"")</f>
        <v/>
      </c>
      <c r="AM2032" s="2" t="str">
        <f>IFERROR(__xludf.DUMMYFUNCTION("""COMPUTED_VALUE"""),"")</f>
        <v/>
      </c>
      <c r="AN2032" s="2" t="str">
        <f>IFERROR(__xludf.DUMMYFUNCTION("""COMPUTED_VALUE""")," ")</f>
        <v> </v>
      </c>
      <c r="AO2032" s="2" t="str">
        <f>IFERROR(__xludf.DUMMYFUNCTION("""COMPUTED_VALUE""")," ")</f>
        <v> </v>
      </c>
      <c r="AP2032" s="2" t="str">
        <f>IFERROR(__xludf.DUMMYFUNCTION("""COMPUTED_VALUE"""),"")</f>
        <v/>
      </c>
      <c r="AQ2032" s="2"/>
      <c r="AR2032" s="2"/>
      <c r="AS2032" s="2"/>
      <c r="AT2032" s="2"/>
      <c r="AU2032" s="2"/>
      <c r="AV2032" s="2"/>
      <c r="AW2032" s="2"/>
      <c r="AX2032" s="2"/>
      <c r="AY2032" s="2"/>
      <c r="AZ2032" s="2"/>
      <c r="BA2032" s="2"/>
      <c r="BB2032" s="2"/>
    </row>
    <row r="2033">
      <c r="A2033" s="2"/>
      <c r="B2033" s="2" t="str">
        <f>IFERROR(__xludf.DUMMYFUNCTION("""COMPUTED_VALUE"""),"")</f>
        <v/>
      </c>
      <c r="C2033" s="2"/>
      <c r="D2033" s="71"/>
      <c r="E2033" s="71" t="str">
        <f>IFERROR(__xludf.DUMMYFUNCTION("""COMPUTED_VALUE""")," ")</f>
        <v> </v>
      </c>
      <c r="F2033" s="2"/>
      <c r="G2033" s="2"/>
      <c r="H2033" s="2"/>
      <c r="I2033" s="72"/>
      <c r="J2033" s="72"/>
      <c r="K2033" s="72"/>
      <c r="L2033" s="72"/>
      <c r="M2033" s="2"/>
      <c r="N2033" s="2"/>
      <c r="O2033" s="2"/>
      <c r="P2033" s="2"/>
      <c r="Q2033" s="2"/>
      <c r="R2033" s="2"/>
      <c r="S2033" s="2"/>
      <c r="T2033" s="2"/>
      <c r="U2033" s="2"/>
      <c r="V2033" s="2"/>
      <c r="W2033" s="2"/>
      <c r="X2033" s="2"/>
      <c r="Y2033" s="2"/>
      <c r="Z2033" s="2"/>
      <c r="AA2033" s="2"/>
      <c r="AB2033" s="2"/>
      <c r="AC2033" s="2"/>
      <c r="AD2033" s="2"/>
      <c r="AE2033" s="2"/>
      <c r="AF2033" s="2"/>
      <c r="AG2033" s="2"/>
      <c r="AH2033" s="2"/>
      <c r="AI2033" s="2"/>
      <c r="AJ2033" s="2" t="str">
        <f>IFERROR(__xludf.DUMMYFUNCTION("""COMPUTED_VALUE"""),"")</f>
        <v/>
      </c>
      <c r="AK2033" s="2" t="str">
        <f>IFERROR(__xludf.DUMMYFUNCTION("""COMPUTED_VALUE"""),"")</f>
        <v/>
      </c>
      <c r="AL2033" s="2" t="str">
        <f>IFERROR(__xludf.DUMMYFUNCTION("""COMPUTED_VALUE"""),"")</f>
        <v/>
      </c>
      <c r="AM2033" s="2" t="str">
        <f>IFERROR(__xludf.DUMMYFUNCTION("""COMPUTED_VALUE"""),"")</f>
        <v/>
      </c>
      <c r="AN2033" s="2" t="str">
        <f>IFERROR(__xludf.DUMMYFUNCTION("""COMPUTED_VALUE""")," ")</f>
        <v> </v>
      </c>
      <c r="AO2033" s="2" t="str">
        <f>IFERROR(__xludf.DUMMYFUNCTION("""COMPUTED_VALUE""")," ")</f>
        <v> </v>
      </c>
      <c r="AP2033" s="2" t="str">
        <f>IFERROR(__xludf.DUMMYFUNCTION("""COMPUTED_VALUE"""),"")</f>
        <v/>
      </c>
      <c r="AQ2033" s="2"/>
      <c r="AR2033" s="2"/>
      <c r="AS2033" s="2"/>
      <c r="AT2033" s="2"/>
      <c r="AU2033" s="2"/>
      <c r="AV2033" s="2"/>
      <c r="AW2033" s="2"/>
      <c r="AX2033" s="2"/>
      <c r="AY2033" s="2"/>
      <c r="AZ2033" s="2"/>
      <c r="BA2033" s="2"/>
      <c r="BB2033" s="2"/>
    </row>
    <row r="2034">
      <c r="A2034" s="2"/>
      <c r="B2034" s="2" t="str">
        <f>IFERROR(__xludf.DUMMYFUNCTION("""COMPUTED_VALUE"""),"")</f>
        <v/>
      </c>
      <c r="C2034" s="2"/>
      <c r="D2034" s="71"/>
      <c r="E2034" s="71" t="str">
        <f>IFERROR(__xludf.DUMMYFUNCTION("""COMPUTED_VALUE""")," ")</f>
        <v> </v>
      </c>
      <c r="F2034" s="2"/>
      <c r="G2034" s="2"/>
      <c r="H2034" s="2"/>
      <c r="I2034" s="72"/>
      <c r="J2034" s="72"/>
      <c r="K2034" s="72"/>
      <c r="L2034" s="72"/>
      <c r="M2034" s="2"/>
      <c r="N2034" s="2"/>
      <c r="O2034" s="2"/>
      <c r="P2034" s="2"/>
      <c r="Q2034" s="2"/>
      <c r="R2034" s="2"/>
      <c r="S2034" s="2"/>
      <c r="T2034" s="2"/>
      <c r="U2034" s="2"/>
      <c r="V2034" s="2"/>
      <c r="W2034" s="2"/>
      <c r="X2034" s="2"/>
      <c r="Y2034" s="2"/>
      <c r="Z2034" s="2"/>
      <c r="AA2034" s="2"/>
      <c r="AB2034" s="2"/>
      <c r="AC2034" s="2"/>
      <c r="AD2034" s="2"/>
      <c r="AE2034" s="2"/>
      <c r="AF2034" s="2"/>
      <c r="AG2034" s="2"/>
      <c r="AH2034" s="2"/>
      <c r="AI2034" s="2"/>
      <c r="AJ2034" s="2" t="str">
        <f>IFERROR(__xludf.DUMMYFUNCTION("""COMPUTED_VALUE"""),"")</f>
        <v/>
      </c>
      <c r="AK2034" s="2" t="str">
        <f>IFERROR(__xludf.DUMMYFUNCTION("""COMPUTED_VALUE"""),"")</f>
        <v/>
      </c>
      <c r="AL2034" s="2" t="str">
        <f>IFERROR(__xludf.DUMMYFUNCTION("""COMPUTED_VALUE"""),"")</f>
        <v/>
      </c>
      <c r="AM2034" s="2" t="str">
        <f>IFERROR(__xludf.DUMMYFUNCTION("""COMPUTED_VALUE"""),"")</f>
        <v/>
      </c>
      <c r="AN2034" s="2" t="str">
        <f>IFERROR(__xludf.DUMMYFUNCTION("""COMPUTED_VALUE""")," ")</f>
        <v> </v>
      </c>
      <c r="AO2034" s="2" t="str">
        <f>IFERROR(__xludf.DUMMYFUNCTION("""COMPUTED_VALUE""")," ")</f>
        <v> </v>
      </c>
      <c r="AP2034" s="2" t="str">
        <f>IFERROR(__xludf.DUMMYFUNCTION("""COMPUTED_VALUE"""),"")</f>
        <v/>
      </c>
      <c r="AQ2034" s="2"/>
      <c r="AR2034" s="2"/>
      <c r="AS2034" s="2"/>
      <c r="AT2034" s="2"/>
      <c r="AU2034" s="2"/>
      <c r="AV2034" s="2"/>
      <c r="AW2034" s="2"/>
      <c r="AX2034" s="2"/>
      <c r="AY2034" s="2"/>
      <c r="AZ2034" s="2"/>
      <c r="BA2034" s="2"/>
      <c r="BB2034" s="2"/>
    </row>
    <row r="2035">
      <c r="A2035" s="2"/>
      <c r="B2035" s="2" t="str">
        <f>IFERROR(__xludf.DUMMYFUNCTION("""COMPUTED_VALUE"""),"")</f>
        <v/>
      </c>
      <c r="C2035" s="2"/>
      <c r="D2035" s="71"/>
      <c r="E2035" s="71" t="str">
        <f>IFERROR(__xludf.DUMMYFUNCTION("""COMPUTED_VALUE""")," ")</f>
        <v> </v>
      </c>
      <c r="F2035" s="2"/>
      <c r="G2035" s="2"/>
      <c r="H2035" s="2"/>
      <c r="I2035" s="72"/>
      <c r="J2035" s="72"/>
      <c r="K2035" s="72"/>
      <c r="L2035" s="72"/>
      <c r="M2035" s="2"/>
      <c r="N2035" s="2"/>
      <c r="O2035" s="2"/>
      <c r="P2035" s="2"/>
      <c r="Q2035" s="2"/>
      <c r="R2035" s="2"/>
      <c r="S2035" s="2"/>
      <c r="T2035" s="2"/>
      <c r="U2035" s="2"/>
      <c r="V2035" s="2"/>
      <c r="W2035" s="2"/>
      <c r="X2035" s="2"/>
      <c r="Y2035" s="2"/>
      <c r="Z2035" s="2"/>
      <c r="AA2035" s="2"/>
      <c r="AB2035" s="2"/>
      <c r="AC2035" s="2"/>
      <c r="AD2035" s="2"/>
      <c r="AE2035" s="2"/>
      <c r="AF2035" s="2"/>
      <c r="AG2035" s="2"/>
      <c r="AH2035" s="2"/>
      <c r="AI2035" s="2"/>
      <c r="AJ2035" s="2" t="str">
        <f>IFERROR(__xludf.DUMMYFUNCTION("""COMPUTED_VALUE"""),"")</f>
        <v/>
      </c>
      <c r="AK2035" s="2" t="str">
        <f>IFERROR(__xludf.DUMMYFUNCTION("""COMPUTED_VALUE"""),"")</f>
        <v/>
      </c>
      <c r="AL2035" s="2" t="str">
        <f>IFERROR(__xludf.DUMMYFUNCTION("""COMPUTED_VALUE"""),"")</f>
        <v/>
      </c>
      <c r="AM2035" s="2" t="str">
        <f>IFERROR(__xludf.DUMMYFUNCTION("""COMPUTED_VALUE"""),"")</f>
        <v/>
      </c>
      <c r="AN2035" s="2" t="str">
        <f>IFERROR(__xludf.DUMMYFUNCTION("""COMPUTED_VALUE""")," ")</f>
        <v> </v>
      </c>
      <c r="AO2035" s="2" t="str">
        <f>IFERROR(__xludf.DUMMYFUNCTION("""COMPUTED_VALUE""")," ")</f>
        <v> </v>
      </c>
      <c r="AP2035" s="2" t="str">
        <f>IFERROR(__xludf.DUMMYFUNCTION("""COMPUTED_VALUE"""),"")</f>
        <v/>
      </c>
      <c r="AQ2035" s="2"/>
      <c r="AR2035" s="2"/>
      <c r="AS2035" s="2"/>
      <c r="AT2035" s="2"/>
      <c r="AU2035" s="2"/>
      <c r="AV2035" s="2"/>
      <c r="AW2035" s="2"/>
      <c r="AX2035" s="2"/>
      <c r="AY2035" s="2"/>
      <c r="AZ2035" s="2"/>
      <c r="BA2035" s="2"/>
      <c r="BB2035" s="2"/>
    </row>
    <row r="2036">
      <c r="A2036" s="2"/>
      <c r="B2036" s="2" t="str">
        <f>IFERROR(__xludf.DUMMYFUNCTION("""COMPUTED_VALUE"""),"")</f>
        <v/>
      </c>
      <c r="C2036" s="2"/>
      <c r="D2036" s="71"/>
      <c r="E2036" s="71" t="str">
        <f>IFERROR(__xludf.DUMMYFUNCTION("""COMPUTED_VALUE""")," ")</f>
        <v> </v>
      </c>
      <c r="F2036" s="2"/>
      <c r="G2036" s="2"/>
      <c r="H2036" s="2"/>
      <c r="I2036" s="72"/>
      <c r="J2036" s="72"/>
      <c r="K2036" s="72"/>
      <c r="L2036" s="72"/>
      <c r="M2036" s="2"/>
      <c r="N2036" s="2"/>
      <c r="O2036" s="2"/>
      <c r="P2036" s="2"/>
      <c r="Q2036" s="2"/>
      <c r="R2036" s="2"/>
      <c r="S2036" s="2"/>
      <c r="T2036" s="2"/>
      <c r="U2036" s="2"/>
      <c r="V2036" s="2"/>
      <c r="W2036" s="2"/>
      <c r="X2036" s="2"/>
      <c r="Y2036" s="2"/>
      <c r="Z2036" s="2"/>
      <c r="AA2036" s="2"/>
      <c r="AB2036" s="2"/>
      <c r="AC2036" s="2"/>
      <c r="AD2036" s="2"/>
      <c r="AE2036" s="2"/>
      <c r="AF2036" s="2"/>
      <c r="AG2036" s="2"/>
      <c r="AH2036" s="2"/>
      <c r="AI2036" s="2"/>
      <c r="AJ2036" s="2" t="str">
        <f>IFERROR(__xludf.DUMMYFUNCTION("""COMPUTED_VALUE"""),"")</f>
        <v/>
      </c>
      <c r="AK2036" s="2" t="str">
        <f>IFERROR(__xludf.DUMMYFUNCTION("""COMPUTED_VALUE"""),"")</f>
        <v/>
      </c>
      <c r="AL2036" s="2" t="str">
        <f>IFERROR(__xludf.DUMMYFUNCTION("""COMPUTED_VALUE"""),"")</f>
        <v/>
      </c>
      <c r="AM2036" s="2" t="str">
        <f>IFERROR(__xludf.DUMMYFUNCTION("""COMPUTED_VALUE"""),"")</f>
        <v/>
      </c>
      <c r="AN2036" s="2" t="str">
        <f>IFERROR(__xludf.DUMMYFUNCTION("""COMPUTED_VALUE""")," ")</f>
        <v> </v>
      </c>
      <c r="AO2036" s="2" t="str">
        <f>IFERROR(__xludf.DUMMYFUNCTION("""COMPUTED_VALUE""")," ")</f>
        <v> </v>
      </c>
      <c r="AP2036" s="2" t="str">
        <f>IFERROR(__xludf.DUMMYFUNCTION("""COMPUTED_VALUE"""),"")</f>
        <v/>
      </c>
      <c r="AQ2036" s="2"/>
      <c r="AR2036" s="2"/>
      <c r="AS2036" s="2"/>
      <c r="AT2036" s="2"/>
      <c r="AU2036" s="2"/>
      <c r="AV2036" s="2"/>
      <c r="AW2036" s="2"/>
      <c r="AX2036" s="2"/>
      <c r="AY2036" s="2"/>
      <c r="AZ2036" s="2"/>
      <c r="BA2036" s="2"/>
      <c r="BB2036" s="2"/>
    </row>
    <row r="2037">
      <c r="A2037" s="2"/>
      <c r="B2037" s="2" t="str">
        <f>IFERROR(__xludf.DUMMYFUNCTION("""COMPUTED_VALUE"""),"")</f>
        <v/>
      </c>
      <c r="C2037" s="2"/>
      <c r="D2037" s="71"/>
      <c r="E2037" s="71" t="str">
        <f>IFERROR(__xludf.DUMMYFUNCTION("""COMPUTED_VALUE""")," ")</f>
        <v> </v>
      </c>
      <c r="F2037" s="2"/>
      <c r="G2037" s="2"/>
      <c r="H2037" s="2"/>
      <c r="I2037" s="72"/>
      <c r="J2037" s="72"/>
      <c r="K2037" s="72"/>
      <c r="L2037" s="72"/>
      <c r="M2037" s="2"/>
      <c r="N2037" s="2"/>
      <c r="O2037" s="2"/>
      <c r="P2037" s="2"/>
      <c r="Q2037" s="2"/>
      <c r="R2037" s="2"/>
      <c r="S2037" s="2"/>
      <c r="T2037" s="2"/>
      <c r="U2037" s="2"/>
      <c r="V2037" s="2"/>
      <c r="W2037" s="2"/>
      <c r="X2037" s="2"/>
      <c r="Y2037" s="2"/>
      <c r="Z2037" s="2"/>
      <c r="AA2037" s="2"/>
      <c r="AB2037" s="2"/>
      <c r="AC2037" s="2"/>
      <c r="AD2037" s="2"/>
      <c r="AE2037" s="2"/>
      <c r="AF2037" s="2"/>
      <c r="AG2037" s="2"/>
      <c r="AH2037" s="2"/>
      <c r="AI2037" s="2"/>
      <c r="AJ2037" s="2" t="str">
        <f>IFERROR(__xludf.DUMMYFUNCTION("""COMPUTED_VALUE"""),"")</f>
        <v/>
      </c>
      <c r="AK2037" s="2" t="str">
        <f>IFERROR(__xludf.DUMMYFUNCTION("""COMPUTED_VALUE"""),"")</f>
        <v/>
      </c>
      <c r="AL2037" s="2" t="str">
        <f>IFERROR(__xludf.DUMMYFUNCTION("""COMPUTED_VALUE"""),"")</f>
        <v/>
      </c>
      <c r="AM2037" s="2" t="str">
        <f>IFERROR(__xludf.DUMMYFUNCTION("""COMPUTED_VALUE"""),"")</f>
        <v/>
      </c>
      <c r="AN2037" s="2" t="str">
        <f>IFERROR(__xludf.DUMMYFUNCTION("""COMPUTED_VALUE""")," ")</f>
        <v> </v>
      </c>
      <c r="AO2037" s="2" t="str">
        <f>IFERROR(__xludf.DUMMYFUNCTION("""COMPUTED_VALUE""")," ")</f>
        <v> </v>
      </c>
      <c r="AP2037" s="2" t="str">
        <f>IFERROR(__xludf.DUMMYFUNCTION("""COMPUTED_VALUE"""),"")</f>
        <v/>
      </c>
      <c r="AQ2037" s="2"/>
      <c r="AR2037" s="2"/>
      <c r="AS2037" s="2"/>
      <c r="AT2037" s="2"/>
      <c r="AU2037" s="2"/>
      <c r="AV2037" s="2"/>
      <c r="AW2037" s="2"/>
      <c r="AX2037" s="2"/>
      <c r="AY2037" s="2"/>
      <c r="AZ2037" s="2"/>
      <c r="BA2037" s="2"/>
      <c r="BB2037" s="2"/>
    </row>
    <row r="2038">
      <c r="A2038" s="2"/>
      <c r="B2038" s="2" t="str">
        <f>IFERROR(__xludf.DUMMYFUNCTION("""COMPUTED_VALUE"""),"")</f>
        <v/>
      </c>
      <c r="C2038" s="2"/>
      <c r="D2038" s="71"/>
      <c r="E2038" s="71" t="str">
        <f>IFERROR(__xludf.DUMMYFUNCTION("""COMPUTED_VALUE""")," ")</f>
        <v> </v>
      </c>
      <c r="F2038" s="2"/>
      <c r="G2038" s="2"/>
      <c r="H2038" s="2"/>
      <c r="I2038" s="72"/>
      <c r="J2038" s="72"/>
      <c r="K2038" s="72"/>
      <c r="L2038" s="72"/>
      <c r="M2038" s="2"/>
      <c r="N2038" s="2"/>
      <c r="O2038" s="2"/>
      <c r="P2038" s="2"/>
      <c r="Q2038" s="2"/>
      <c r="R2038" s="2"/>
      <c r="S2038" s="2"/>
      <c r="T2038" s="2"/>
      <c r="U2038" s="2"/>
      <c r="V2038" s="2"/>
      <c r="W2038" s="2"/>
      <c r="X2038" s="2"/>
      <c r="Y2038" s="2"/>
      <c r="Z2038" s="2"/>
      <c r="AA2038" s="2"/>
      <c r="AB2038" s="2"/>
      <c r="AC2038" s="2"/>
      <c r="AD2038" s="2"/>
      <c r="AE2038" s="2"/>
      <c r="AF2038" s="2"/>
      <c r="AG2038" s="2"/>
      <c r="AH2038" s="2"/>
      <c r="AI2038" s="2"/>
      <c r="AJ2038" s="2" t="str">
        <f>IFERROR(__xludf.DUMMYFUNCTION("""COMPUTED_VALUE"""),"")</f>
        <v/>
      </c>
      <c r="AK2038" s="2" t="str">
        <f>IFERROR(__xludf.DUMMYFUNCTION("""COMPUTED_VALUE"""),"")</f>
        <v/>
      </c>
      <c r="AL2038" s="2" t="str">
        <f>IFERROR(__xludf.DUMMYFUNCTION("""COMPUTED_VALUE"""),"")</f>
        <v/>
      </c>
      <c r="AM2038" s="2" t="str">
        <f>IFERROR(__xludf.DUMMYFUNCTION("""COMPUTED_VALUE"""),"")</f>
        <v/>
      </c>
      <c r="AN2038" s="2" t="str">
        <f>IFERROR(__xludf.DUMMYFUNCTION("""COMPUTED_VALUE""")," ")</f>
        <v> </v>
      </c>
      <c r="AO2038" s="2" t="str">
        <f>IFERROR(__xludf.DUMMYFUNCTION("""COMPUTED_VALUE""")," ")</f>
        <v> </v>
      </c>
      <c r="AP2038" s="2" t="str">
        <f>IFERROR(__xludf.DUMMYFUNCTION("""COMPUTED_VALUE"""),"")</f>
        <v/>
      </c>
      <c r="AQ2038" s="2"/>
      <c r="AR2038" s="2"/>
      <c r="AS2038" s="2"/>
      <c r="AT2038" s="2"/>
      <c r="AU2038" s="2"/>
      <c r="AV2038" s="2"/>
      <c r="AW2038" s="2"/>
      <c r="AX2038" s="2"/>
      <c r="AY2038" s="2"/>
      <c r="AZ2038" s="2"/>
      <c r="BA2038" s="2"/>
      <c r="BB2038" s="2"/>
    </row>
    <row r="2039">
      <c r="A2039" s="2"/>
      <c r="B2039" s="2" t="str">
        <f>IFERROR(__xludf.DUMMYFUNCTION("""COMPUTED_VALUE"""),"")</f>
        <v/>
      </c>
      <c r="C2039" s="2"/>
      <c r="D2039" s="71"/>
      <c r="E2039" s="71" t="str">
        <f>IFERROR(__xludf.DUMMYFUNCTION("""COMPUTED_VALUE""")," ")</f>
        <v> </v>
      </c>
      <c r="F2039" s="2"/>
      <c r="G2039" s="2"/>
      <c r="H2039" s="2"/>
      <c r="I2039" s="72"/>
      <c r="J2039" s="72"/>
      <c r="K2039" s="72"/>
      <c r="L2039" s="72"/>
      <c r="M2039" s="2"/>
      <c r="N2039" s="2"/>
      <c r="O2039" s="2"/>
      <c r="P2039" s="2"/>
      <c r="Q2039" s="2"/>
      <c r="R2039" s="2"/>
      <c r="S2039" s="2"/>
      <c r="T2039" s="2"/>
      <c r="U2039" s="2"/>
      <c r="V2039" s="2"/>
      <c r="W2039" s="2"/>
      <c r="X2039" s="2"/>
      <c r="Y2039" s="2"/>
      <c r="Z2039" s="2"/>
      <c r="AA2039" s="2"/>
      <c r="AB2039" s="2"/>
      <c r="AC2039" s="2"/>
      <c r="AD2039" s="2"/>
      <c r="AE2039" s="2"/>
      <c r="AF2039" s="2"/>
      <c r="AG2039" s="2"/>
      <c r="AH2039" s="2"/>
      <c r="AI2039" s="2"/>
      <c r="AJ2039" s="2" t="str">
        <f>IFERROR(__xludf.DUMMYFUNCTION("""COMPUTED_VALUE"""),"")</f>
        <v/>
      </c>
      <c r="AK2039" s="2" t="str">
        <f>IFERROR(__xludf.DUMMYFUNCTION("""COMPUTED_VALUE"""),"")</f>
        <v/>
      </c>
      <c r="AL2039" s="2" t="str">
        <f>IFERROR(__xludf.DUMMYFUNCTION("""COMPUTED_VALUE"""),"")</f>
        <v/>
      </c>
      <c r="AM2039" s="2" t="str">
        <f>IFERROR(__xludf.DUMMYFUNCTION("""COMPUTED_VALUE"""),"")</f>
        <v/>
      </c>
      <c r="AN2039" s="2" t="str">
        <f>IFERROR(__xludf.DUMMYFUNCTION("""COMPUTED_VALUE""")," ")</f>
        <v> </v>
      </c>
      <c r="AO2039" s="2" t="str">
        <f>IFERROR(__xludf.DUMMYFUNCTION("""COMPUTED_VALUE""")," ")</f>
        <v> </v>
      </c>
      <c r="AP2039" s="2" t="str">
        <f>IFERROR(__xludf.DUMMYFUNCTION("""COMPUTED_VALUE"""),"")</f>
        <v/>
      </c>
      <c r="AQ2039" s="2"/>
      <c r="AR2039" s="2"/>
      <c r="AS2039" s="2"/>
      <c r="AT2039" s="2"/>
      <c r="AU2039" s="2"/>
      <c r="AV2039" s="2"/>
      <c r="AW2039" s="2"/>
      <c r="AX2039" s="2"/>
      <c r="AY2039" s="2"/>
      <c r="AZ2039" s="2"/>
      <c r="BA2039" s="2"/>
      <c r="BB2039" s="2"/>
    </row>
    <row r="2040">
      <c r="A2040" s="2"/>
      <c r="B2040" s="2" t="str">
        <f>IFERROR(__xludf.DUMMYFUNCTION("""COMPUTED_VALUE"""),"")</f>
        <v/>
      </c>
      <c r="C2040" s="2"/>
      <c r="D2040" s="71"/>
      <c r="E2040" s="71" t="str">
        <f>IFERROR(__xludf.DUMMYFUNCTION("""COMPUTED_VALUE""")," ")</f>
        <v> </v>
      </c>
      <c r="F2040" s="2"/>
      <c r="G2040" s="2"/>
      <c r="H2040" s="2"/>
      <c r="I2040" s="72"/>
      <c r="J2040" s="72"/>
      <c r="K2040" s="72"/>
      <c r="L2040" s="72"/>
      <c r="M2040" s="2"/>
      <c r="N2040" s="2"/>
      <c r="O2040" s="2"/>
      <c r="P2040" s="2"/>
      <c r="Q2040" s="2"/>
      <c r="R2040" s="2"/>
      <c r="S2040" s="2"/>
      <c r="T2040" s="2"/>
      <c r="U2040" s="2"/>
      <c r="V2040" s="2"/>
      <c r="W2040" s="2"/>
      <c r="X2040" s="2"/>
      <c r="Y2040" s="2"/>
      <c r="Z2040" s="2"/>
      <c r="AA2040" s="2"/>
      <c r="AB2040" s="2"/>
      <c r="AC2040" s="2"/>
      <c r="AD2040" s="2"/>
      <c r="AE2040" s="2"/>
      <c r="AF2040" s="2"/>
      <c r="AG2040" s="2"/>
      <c r="AH2040" s="2"/>
      <c r="AI2040" s="2"/>
      <c r="AJ2040" s="2" t="str">
        <f>IFERROR(__xludf.DUMMYFUNCTION("""COMPUTED_VALUE"""),"")</f>
        <v/>
      </c>
      <c r="AK2040" s="2" t="str">
        <f>IFERROR(__xludf.DUMMYFUNCTION("""COMPUTED_VALUE"""),"")</f>
        <v/>
      </c>
      <c r="AL2040" s="2" t="str">
        <f>IFERROR(__xludf.DUMMYFUNCTION("""COMPUTED_VALUE"""),"")</f>
        <v/>
      </c>
      <c r="AM2040" s="2" t="str">
        <f>IFERROR(__xludf.DUMMYFUNCTION("""COMPUTED_VALUE"""),"")</f>
        <v/>
      </c>
      <c r="AN2040" s="2" t="str">
        <f>IFERROR(__xludf.DUMMYFUNCTION("""COMPUTED_VALUE""")," ")</f>
        <v> </v>
      </c>
      <c r="AO2040" s="2" t="str">
        <f>IFERROR(__xludf.DUMMYFUNCTION("""COMPUTED_VALUE""")," ")</f>
        <v> </v>
      </c>
      <c r="AP2040" s="2" t="str">
        <f>IFERROR(__xludf.DUMMYFUNCTION("""COMPUTED_VALUE"""),"")</f>
        <v/>
      </c>
      <c r="AQ2040" s="2"/>
      <c r="AR2040" s="2"/>
      <c r="AS2040" s="2"/>
      <c r="AT2040" s="2"/>
      <c r="AU2040" s="2"/>
      <c r="AV2040" s="2"/>
      <c r="AW2040" s="2"/>
      <c r="AX2040" s="2"/>
      <c r="AY2040" s="2"/>
      <c r="AZ2040" s="2"/>
      <c r="BA2040" s="2"/>
      <c r="BB2040" s="2"/>
    </row>
    <row r="2041">
      <c r="A2041" s="2"/>
      <c r="B2041" s="2" t="str">
        <f>IFERROR(__xludf.DUMMYFUNCTION("""COMPUTED_VALUE"""),"")</f>
        <v/>
      </c>
      <c r="C2041" s="2"/>
      <c r="D2041" s="71"/>
      <c r="E2041" s="71" t="str">
        <f>IFERROR(__xludf.DUMMYFUNCTION("""COMPUTED_VALUE""")," ")</f>
        <v> </v>
      </c>
      <c r="F2041" s="2"/>
      <c r="G2041" s="2"/>
      <c r="H2041" s="2"/>
      <c r="I2041" s="72"/>
      <c r="J2041" s="72"/>
      <c r="K2041" s="72"/>
      <c r="L2041" s="72"/>
      <c r="M2041" s="2"/>
      <c r="N2041" s="2"/>
      <c r="O2041" s="2"/>
      <c r="P2041" s="2"/>
      <c r="Q2041" s="2"/>
      <c r="R2041" s="2"/>
      <c r="S2041" s="2"/>
      <c r="T2041" s="2"/>
      <c r="U2041" s="2"/>
      <c r="V2041" s="2"/>
      <c r="W2041" s="2"/>
      <c r="X2041" s="2"/>
      <c r="Y2041" s="2"/>
      <c r="Z2041" s="2"/>
      <c r="AA2041" s="2"/>
      <c r="AB2041" s="2"/>
      <c r="AC2041" s="2"/>
      <c r="AD2041" s="2"/>
      <c r="AE2041" s="2"/>
      <c r="AF2041" s="2"/>
      <c r="AG2041" s="2"/>
      <c r="AH2041" s="2"/>
      <c r="AI2041" s="2"/>
      <c r="AJ2041" s="2" t="str">
        <f>IFERROR(__xludf.DUMMYFUNCTION("""COMPUTED_VALUE"""),"")</f>
        <v/>
      </c>
      <c r="AK2041" s="2" t="str">
        <f>IFERROR(__xludf.DUMMYFUNCTION("""COMPUTED_VALUE"""),"")</f>
        <v/>
      </c>
      <c r="AL2041" s="2" t="str">
        <f>IFERROR(__xludf.DUMMYFUNCTION("""COMPUTED_VALUE"""),"")</f>
        <v/>
      </c>
      <c r="AM2041" s="2" t="str">
        <f>IFERROR(__xludf.DUMMYFUNCTION("""COMPUTED_VALUE"""),"")</f>
        <v/>
      </c>
      <c r="AN2041" s="2" t="str">
        <f>IFERROR(__xludf.DUMMYFUNCTION("""COMPUTED_VALUE""")," ")</f>
        <v> </v>
      </c>
      <c r="AO2041" s="2" t="str">
        <f>IFERROR(__xludf.DUMMYFUNCTION("""COMPUTED_VALUE""")," ")</f>
        <v> </v>
      </c>
      <c r="AP2041" s="2" t="str">
        <f>IFERROR(__xludf.DUMMYFUNCTION("""COMPUTED_VALUE"""),"")</f>
        <v/>
      </c>
      <c r="AQ2041" s="2"/>
      <c r="AR2041" s="2"/>
      <c r="AS2041" s="2"/>
      <c r="AT2041" s="2"/>
      <c r="AU2041" s="2"/>
      <c r="AV2041" s="2"/>
      <c r="AW2041" s="2"/>
      <c r="AX2041" s="2"/>
      <c r="AY2041" s="2"/>
      <c r="AZ2041" s="2"/>
      <c r="BA2041" s="2"/>
      <c r="BB2041" s="2"/>
    </row>
    <row r="2042">
      <c r="A2042" s="2"/>
      <c r="B2042" s="2" t="str">
        <f>IFERROR(__xludf.DUMMYFUNCTION("""COMPUTED_VALUE"""),"")</f>
        <v/>
      </c>
      <c r="C2042" s="2"/>
      <c r="D2042" s="71"/>
      <c r="E2042" s="71" t="str">
        <f>IFERROR(__xludf.DUMMYFUNCTION("""COMPUTED_VALUE""")," ")</f>
        <v> </v>
      </c>
      <c r="F2042" s="2"/>
      <c r="G2042" s="2"/>
      <c r="H2042" s="2"/>
      <c r="I2042" s="72"/>
      <c r="J2042" s="72"/>
      <c r="K2042" s="72"/>
      <c r="L2042" s="72"/>
      <c r="M2042" s="2"/>
      <c r="N2042" s="2"/>
      <c r="O2042" s="2"/>
      <c r="P2042" s="2"/>
      <c r="Q2042" s="2"/>
      <c r="R2042" s="2"/>
      <c r="S2042" s="2"/>
      <c r="T2042" s="2"/>
      <c r="U2042" s="2"/>
      <c r="V2042" s="2"/>
      <c r="W2042" s="2"/>
      <c r="X2042" s="2"/>
      <c r="Y2042" s="2"/>
      <c r="Z2042" s="2"/>
      <c r="AA2042" s="2"/>
      <c r="AB2042" s="2"/>
      <c r="AC2042" s="2"/>
      <c r="AD2042" s="2"/>
      <c r="AE2042" s="2"/>
      <c r="AF2042" s="2"/>
      <c r="AG2042" s="2"/>
      <c r="AH2042" s="2"/>
      <c r="AI2042" s="2"/>
      <c r="AJ2042" s="2" t="str">
        <f>IFERROR(__xludf.DUMMYFUNCTION("""COMPUTED_VALUE"""),"")</f>
        <v/>
      </c>
      <c r="AK2042" s="2" t="str">
        <f>IFERROR(__xludf.DUMMYFUNCTION("""COMPUTED_VALUE"""),"")</f>
        <v/>
      </c>
      <c r="AL2042" s="2" t="str">
        <f>IFERROR(__xludf.DUMMYFUNCTION("""COMPUTED_VALUE"""),"")</f>
        <v/>
      </c>
      <c r="AM2042" s="2" t="str">
        <f>IFERROR(__xludf.DUMMYFUNCTION("""COMPUTED_VALUE"""),"")</f>
        <v/>
      </c>
      <c r="AN2042" s="2" t="str">
        <f>IFERROR(__xludf.DUMMYFUNCTION("""COMPUTED_VALUE""")," ")</f>
        <v> </v>
      </c>
      <c r="AO2042" s="2" t="str">
        <f>IFERROR(__xludf.DUMMYFUNCTION("""COMPUTED_VALUE""")," ")</f>
        <v> </v>
      </c>
      <c r="AP2042" s="2" t="str">
        <f>IFERROR(__xludf.DUMMYFUNCTION("""COMPUTED_VALUE"""),"")</f>
        <v/>
      </c>
      <c r="AQ2042" s="2"/>
      <c r="AR2042" s="2"/>
      <c r="AS2042" s="2"/>
      <c r="AT2042" s="2"/>
      <c r="AU2042" s="2"/>
      <c r="AV2042" s="2"/>
      <c r="AW2042" s="2"/>
      <c r="AX2042" s="2"/>
      <c r="AY2042" s="2"/>
      <c r="AZ2042" s="2"/>
      <c r="BA2042" s="2"/>
      <c r="BB2042" s="2"/>
    </row>
    <row r="2043">
      <c r="A2043" s="2"/>
      <c r="B2043" s="2" t="str">
        <f>IFERROR(__xludf.DUMMYFUNCTION("""COMPUTED_VALUE"""),"")</f>
        <v/>
      </c>
      <c r="C2043" s="2"/>
      <c r="D2043" s="71"/>
      <c r="E2043" s="71" t="str">
        <f>IFERROR(__xludf.DUMMYFUNCTION("""COMPUTED_VALUE""")," ")</f>
        <v> </v>
      </c>
      <c r="F2043" s="2"/>
      <c r="G2043" s="2"/>
      <c r="H2043" s="2"/>
      <c r="I2043" s="72"/>
      <c r="J2043" s="72"/>
      <c r="K2043" s="72"/>
      <c r="L2043" s="72"/>
      <c r="M2043" s="2"/>
      <c r="N2043" s="2"/>
      <c r="O2043" s="2"/>
      <c r="P2043" s="2"/>
      <c r="Q2043" s="2"/>
      <c r="R2043" s="2"/>
      <c r="S2043" s="2"/>
      <c r="T2043" s="2"/>
      <c r="U2043" s="2"/>
      <c r="V2043" s="2"/>
      <c r="W2043" s="2"/>
      <c r="X2043" s="2"/>
      <c r="Y2043" s="2"/>
      <c r="Z2043" s="2"/>
      <c r="AA2043" s="2"/>
      <c r="AB2043" s="2"/>
      <c r="AC2043" s="2"/>
      <c r="AD2043" s="2"/>
      <c r="AE2043" s="2"/>
      <c r="AF2043" s="2"/>
      <c r="AG2043" s="2"/>
      <c r="AH2043" s="2"/>
      <c r="AI2043" s="2"/>
      <c r="AJ2043" s="2" t="str">
        <f>IFERROR(__xludf.DUMMYFUNCTION("""COMPUTED_VALUE"""),"")</f>
        <v/>
      </c>
      <c r="AK2043" s="2" t="str">
        <f>IFERROR(__xludf.DUMMYFUNCTION("""COMPUTED_VALUE"""),"")</f>
        <v/>
      </c>
      <c r="AL2043" s="2" t="str">
        <f>IFERROR(__xludf.DUMMYFUNCTION("""COMPUTED_VALUE"""),"")</f>
        <v/>
      </c>
      <c r="AM2043" s="2" t="str">
        <f>IFERROR(__xludf.DUMMYFUNCTION("""COMPUTED_VALUE"""),"")</f>
        <v/>
      </c>
      <c r="AN2043" s="2" t="str">
        <f>IFERROR(__xludf.DUMMYFUNCTION("""COMPUTED_VALUE""")," ")</f>
        <v> </v>
      </c>
      <c r="AO2043" s="2" t="str">
        <f>IFERROR(__xludf.DUMMYFUNCTION("""COMPUTED_VALUE""")," ")</f>
        <v> </v>
      </c>
      <c r="AP2043" s="2" t="str">
        <f>IFERROR(__xludf.DUMMYFUNCTION("""COMPUTED_VALUE"""),"")</f>
        <v/>
      </c>
      <c r="AQ2043" s="2"/>
      <c r="AR2043" s="2"/>
      <c r="AS2043" s="2"/>
      <c r="AT2043" s="2"/>
      <c r="AU2043" s="2"/>
      <c r="AV2043" s="2"/>
      <c r="AW2043" s="2"/>
      <c r="AX2043" s="2"/>
      <c r="AY2043" s="2"/>
      <c r="AZ2043" s="2"/>
      <c r="BA2043" s="2"/>
      <c r="BB2043" s="2"/>
    </row>
    <row r="2044">
      <c r="A2044" s="2"/>
      <c r="B2044" s="2" t="str">
        <f>IFERROR(__xludf.DUMMYFUNCTION("""COMPUTED_VALUE"""),"")</f>
        <v/>
      </c>
      <c r="C2044" s="2"/>
      <c r="D2044" s="71"/>
      <c r="E2044" s="71" t="str">
        <f>IFERROR(__xludf.DUMMYFUNCTION("""COMPUTED_VALUE""")," ")</f>
        <v> </v>
      </c>
      <c r="F2044" s="2"/>
      <c r="G2044" s="2"/>
      <c r="H2044" s="2"/>
      <c r="I2044" s="72"/>
      <c r="J2044" s="72"/>
      <c r="K2044" s="72"/>
      <c r="L2044" s="72"/>
      <c r="M2044" s="2"/>
      <c r="N2044" s="2"/>
      <c r="O2044" s="2"/>
      <c r="P2044" s="2"/>
      <c r="Q2044" s="2"/>
      <c r="R2044" s="2"/>
      <c r="S2044" s="2"/>
      <c r="T2044" s="2"/>
      <c r="U2044" s="2"/>
      <c r="V2044" s="2"/>
      <c r="W2044" s="2"/>
      <c r="X2044" s="2"/>
      <c r="Y2044" s="2"/>
      <c r="Z2044" s="2"/>
      <c r="AA2044" s="2"/>
      <c r="AB2044" s="2"/>
      <c r="AC2044" s="2"/>
      <c r="AD2044" s="2"/>
      <c r="AE2044" s="2"/>
      <c r="AF2044" s="2"/>
      <c r="AG2044" s="2"/>
      <c r="AH2044" s="2"/>
      <c r="AI2044" s="2"/>
      <c r="AJ2044" s="2" t="str">
        <f>IFERROR(__xludf.DUMMYFUNCTION("""COMPUTED_VALUE"""),"")</f>
        <v/>
      </c>
      <c r="AK2044" s="2" t="str">
        <f>IFERROR(__xludf.DUMMYFUNCTION("""COMPUTED_VALUE"""),"")</f>
        <v/>
      </c>
      <c r="AL2044" s="2" t="str">
        <f>IFERROR(__xludf.DUMMYFUNCTION("""COMPUTED_VALUE"""),"")</f>
        <v/>
      </c>
      <c r="AM2044" s="2" t="str">
        <f>IFERROR(__xludf.DUMMYFUNCTION("""COMPUTED_VALUE"""),"")</f>
        <v/>
      </c>
      <c r="AN2044" s="2" t="str">
        <f>IFERROR(__xludf.DUMMYFUNCTION("""COMPUTED_VALUE""")," ")</f>
        <v> </v>
      </c>
      <c r="AO2044" s="2" t="str">
        <f>IFERROR(__xludf.DUMMYFUNCTION("""COMPUTED_VALUE""")," ")</f>
        <v> </v>
      </c>
      <c r="AP2044" s="2" t="str">
        <f>IFERROR(__xludf.DUMMYFUNCTION("""COMPUTED_VALUE"""),"")</f>
        <v/>
      </c>
      <c r="AQ2044" s="2"/>
      <c r="AR2044" s="2"/>
      <c r="AS2044" s="2"/>
      <c r="AT2044" s="2"/>
      <c r="AU2044" s="2"/>
      <c r="AV2044" s="2"/>
      <c r="AW2044" s="2"/>
      <c r="AX2044" s="2"/>
      <c r="AY2044" s="2"/>
      <c r="AZ2044" s="2"/>
      <c r="BA2044" s="2"/>
      <c r="BB2044" s="2"/>
    </row>
    <row r="2045">
      <c r="A2045" s="2"/>
      <c r="B2045" s="2" t="str">
        <f>IFERROR(__xludf.DUMMYFUNCTION("""COMPUTED_VALUE"""),"")</f>
        <v/>
      </c>
      <c r="C2045" s="2"/>
      <c r="D2045" s="71"/>
      <c r="E2045" s="71" t="str">
        <f>IFERROR(__xludf.DUMMYFUNCTION("""COMPUTED_VALUE""")," ")</f>
        <v> </v>
      </c>
      <c r="F2045" s="2"/>
      <c r="G2045" s="2"/>
      <c r="H2045" s="2"/>
      <c r="I2045" s="72"/>
      <c r="J2045" s="72"/>
      <c r="K2045" s="72"/>
      <c r="L2045" s="72"/>
      <c r="M2045" s="2"/>
      <c r="N2045" s="2"/>
      <c r="O2045" s="2"/>
      <c r="P2045" s="2"/>
      <c r="Q2045" s="2"/>
      <c r="R2045" s="2"/>
      <c r="S2045" s="2"/>
      <c r="T2045" s="2"/>
      <c r="U2045" s="2"/>
      <c r="V2045" s="2"/>
      <c r="W2045" s="2"/>
      <c r="X2045" s="2"/>
      <c r="Y2045" s="2"/>
      <c r="Z2045" s="2"/>
      <c r="AA2045" s="2"/>
      <c r="AB2045" s="2"/>
      <c r="AC2045" s="2"/>
      <c r="AD2045" s="2"/>
      <c r="AE2045" s="2"/>
      <c r="AF2045" s="2"/>
      <c r="AG2045" s="2"/>
      <c r="AH2045" s="2"/>
      <c r="AI2045" s="2"/>
      <c r="AJ2045" s="2" t="str">
        <f>IFERROR(__xludf.DUMMYFUNCTION("""COMPUTED_VALUE"""),"")</f>
        <v/>
      </c>
      <c r="AK2045" s="2" t="str">
        <f>IFERROR(__xludf.DUMMYFUNCTION("""COMPUTED_VALUE"""),"")</f>
        <v/>
      </c>
      <c r="AL2045" s="2" t="str">
        <f>IFERROR(__xludf.DUMMYFUNCTION("""COMPUTED_VALUE"""),"")</f>
        <v/>
      </c>
      <c r="AM2045" s="2" t="str">
        <f>IFERROR(__xludf.DUMMYFUNCTION("""COMPUTED_VALUE"""),"")</f>
        <v/>
      </c>
      <c r="AN2045" s="2" t="str">
        <f>IFERROR(__xludf.DUMMYFUNCTION("""COMPUTED_VALUE""")," ")</f>
        <v> </v>
      </c>
      <c r="AO2045" s="2" t="str">
        <f>IFERROR(__xludf.DUMMYFUNCTION("""COMPUTED_VALUE""")," ")</f>
        <v> </v>
      </c>
      <c r="AP2045" s="2" t="str">
        <f>IFERROR(__xludf.DUMMYFUNCTION("""COMPUTED_VALUE"""),"")</f>
        <v/>
      </c>
      <c r="AQ2045" s="2"/>
      <c r="AR2045" s="2"/>
      <c r="AS2045" s="2"/>
      <c r="AT2045" s="2"/>
      <c r="AU2045" s="2"/>
      <c r="AV2045" s="2"/>
      <c r="AW2045" s="2"/>
      <c r="AX2045" s="2"/>
      <c r="AY2045" s="2"/>
      <c r="AZ2045" s="2"/>
      <c r="BA2045" s="2"/>
      <c r="BB2045" s="2"/>
    </row>
    <row r="2046">
      <c r="A2046" s="2"/>
      <c r="B2046" s="2" t="str">
        <f>IFERROR(__xludf.DUMMYFUNCTION("""COMPUTED_VALUE"""),"")</f>
        <v/>
      </c>
      <c r="C2046" s="2"/>
      <c r="D2046" s="71"/>
      <c r="E2046" s="71" t="str">
        <f>IFERROR(__xludf.DUMMYFUNCTION("""COMPUTED_VALUE""")," ")</f>
        <v> </v>
      </c>
      <c r="F2046" s="2"/>
      <c r="G2046" s="2"/>
      <c r="H2046" s="2"/>
      <c r="I2046" s="72"/>
      <c r="J2046" s="72"/>
      <c r="K2046" s="72"/>
      <c r="L2046" s="72"/>
      <c r="M2046" s="2"/>
      <c r="N2046" s="2"/>
      <c r="O2046" s="2"/>
      <c r="P2046" s="2"/>
      <c r="Q2046" s="2"/>
      <c r="R2046" s="2"/>
      <c r="S2046" s="2"/>
      <c r="T2046" s="2"/>
      <c r="U2046" s="2"/>
      <c r="V2046" s="2"/>
      <c r="W2046" s="2"/>
      <c r="X2046" s="2"/>
      <c r="Y2046" s="2"/>
      <c r="Z2046" s="2"/>
      <c r="AA2046" s="2"/>
      <c r="AB2046" s="2"/>
      <c r="AC2046" s="2"/>
      <c r="AD2046" s="2"/>
      <c r="AE2046" s="2"/>
      <c r="AF2046" s="2"/>
      <c r="AG2046" s="2"/>
      <c r="AH2046" s="2"/>
      <c r="AI2046" s="2"/>
      <c r="AJ2046" s="2" t="str">
        <f>IFERROR(__xludf.DUMMYFUNCTION("""COMPUTED_VALUE"""),"")</f>
        <v/>
      </c>
      <c r="AK2046" s="2" t="str">
        <f>IFERROR(__xludf.DUMMYFUNCTION("""COMPUTED_VALUE"""),"")</f>
        <v/>
      </c>
      <c r="AL2046" s="2" t="str">
        <f>IFERROR(__xludf.DUMMYFUNCTION("""COMPUTED_VALUE"""),"")</f>
        <v/>
      </c>
      <c r="AM2046" s="2" t="str">
        <f>IFERROR(__xludf.DUMMYFUNCTION("""COMPUTED_VALUE"""),"")</f>
        <v/>
      </c>
      <c r="AN2046" s="2" t="str">
        <f>IFERROR(__xludf.DUMMYFUNCTION("""COMPUTED_VALUE""")," ")</f>
        <v> </v>
      </c>
      <c r="AO2046" s="2" t="str">
        <f>IFERROR(__xludf.DUMMYFUNCTION("""COMPUTED_VALUE""")," ")</f>
        <v> </v>
      </c>
      <c r="AP2046" s="2" t="str">
        <f>IFERROR(__xludf.DUMMYFUNCTION("""COMPUTED_VALUE"""),"")</f>
        <v/>
      </c>
      <c r="AQ2046" s="2"/>
      <c r="AR2046" s="2"/>
      <c r="AS2046" s="2"/>
      <c r="AT2046" s="2"/>
      <c r="AU2046" s="2"/>
      <c r="AV2046" s="2"/>
      <c r="AW2046" s="2"/>
      <c r="AX2046" s="2"/>
      <c r="AY2046" s="2"/>
      <c r="AZ2046" s="2"/>
      <c r="BA2046" s="2"/>
      <c r="BB2046" s="2"/>
    </row>
    <row r="2047">
      <c r="A2047" s="2"/>
      <c r="B2047" s="2" t="str">
        <f>IFERROR(__xludf.DUMMYFUNCTION("""COMPUTED_VALUE"""),"")</f>
        <v/>
      </c>
      <c r="C2047" s="2"/>
      <c r="D2047" s="71"/>
      <c r="E2047" s="71" t="str">
        <f>IFERROR(__xludf.DUMMYFUNCTION("""COMPUTED_VALUE""")," ")</f>
        <v> </v>
      </c>
      <c r="F2047" s="2"/>
      <c r="G2047" s="2"/>
      <c r="H2047" s="2"/>
      <c r="I2047" s="72"/>
      <c r="J2047" s="72"/>
      <c r="K2047" s="72"/>
      <c r="L2047" s="72"/>
      <c r="M2047" s="2"/>
      <c r="N2047" s="2"/>
      <c r="O2047" s="2"/>
      <c r="P2047" s="2"/>
      <c r="Q2047" s="2"/>
      <c r="R2047" s="2"/>
      <c r="S2047" s="2"/>
      <c r="T2047" s="2"/>
      <c r="U2047" s="2"/>
      <c r="V2047" s="2"/>
      <c r="W2047" s="2"/>
      <c r="X2047" s="2"/>
      <c r="Y2047" s="2"/>
      <c r="Z2047" s="2"/>
      <c r="AA2047" s="2"/>
      <c r="AB2047" s="2"/>
      <c r="AC2047" s="2"/>
      <c r="AD2047" s="2"/>
      <c r="AE2047" s="2"/>
      <c r="AF2047" s="2"/>
      <c r="AG2047" s="2"/>
      <c r="AH2047" s="2"/>
      <c r="AI2047" s="2"/>
      <c r="AJ2047" s="2" t="str">
        <f>IFERROR(__xludf.DUMMYFUNCTION("""COMPUTED_VALUE"""),"")</f>
        <v/>
      </c>
      <c r="AK2047" s="2" t="str">
        <f>IFERROR(__xludf.DUMMYFUNCTION("""COMPUTED_VALUE"""),"")</f>
        <v/>
      </c>
      <c r="AL2047" s="2" t="str">
        <f>IFERROR(__xludf.DUMMYFUNCTION("""COMPUTED_VALUE"""),"")</f>
        <v/>
      </c>
      <c r="AM2047" s="2" t="str">
        <f>IFERROR(__xludf.DUMMYFUNCTION("""COMPUTED_VALUE"""),"")</f>
        <v/>
      </c>
      <c r="AN2047" s="2" t="str">
        <f>IFERROR(__xludf.DUMMYFUNCTION("""COMPUTED_VALUE""")," ")</f>
        <v> </v>
      </c>
      <c r="AO2047" s="2" t="str">
        <f>IFERROR(__xludf.DUMMYFUNCTION("""COMPUTED_VALUE""")," ")</f>
        <v> </v>
      </c>
      <c r="AP2047" s="2" t="str">
        <f>IFERROR(__xludf.DUMMYFUNCTION("""COMPUTED_VALUE"""),"")</f>
        <v/>
      </c>
      <c r="AQ2047" s="2"/>
      <c r="AR2047" s="2"/>
      <c r="AS2047" s="2"/>
      <c r="AT2047" s="2"/>
      <c r="AU2047" s="2"/>
      <c r="AV2047" s="2"/>
      <c r="AW2047" s="2"/>
      <c r="AX2047" s="2"/>
      <c r="AY2047" s="2"/>
      <c r="AZ2047" s="2"/>
      <c r="BA2047" s="2"/>
      <c r="BB2047" s="2"/>
    </row>
    <row r="2048">
      <c r="A2048" s="2"/>
      <c r="B2048" s="2" t="str">
        <f>IFERROR(__xludf.DUMMYFUNCTION("""COMPUTED_VALUE"""),"")</f>
        <v/>
      </c>
      <c r="C2048" s="2"/>
      <c r="D2048" s="71"/>
      <c r="E2048" s="71" t="str">
        <f>IFERROR(__xludf.DUMMYFUNCTION("""COMPUTED_VALUE""")," ")</f>
        <v> </v>
      </c>
      <c r="F2048" s="2"/>
      <c r="G2048" s="2"/>
      <c r="H2048" s="2"/>
      <c r="I2048" s="72"/>
      <c r="J2048" s="72"/>
      <c r="K2048" s="72"/>
      <c r="L2048" s="72"/>
      <c r="M2048" s="2"/>
      <c r="N2048" s="2"/>
      <c r="O2048" s="2"/>
      <c r="P2048" s="2"/>
      <c r="Q2048" s="2"/>
      <c r="R2048" s="2"/>
      <c r="S2048" s="2"/>
      <c r="T2048" s="2"/>
      <c r="U2048" s="2"/>
      <c r="V2048" s="2"/>
      <c r="W2048" s="2"/>
      <c r="X2048" s="2"/>
      <c r="Y2048" s="2"/>
      <c r="Z2048" s="2"/>
      <c r="AA2048" s="2"/>
      <c r="AB2048" s="2"/>
      <c r="AC2048" s="2"/>
      <c r="AD2048" s="2"/>
      <c r="AE2048" s="2"/>
      <c r="AF2048" s="2"/>
      <c r="AG2048" s="2"/>
      <c r="AH2048" s="2"/>
      <c r="AI2048" s="2"/>
      <c r="AJ2048" s="2" t="str">
        <f>IFERROR(__xludf.DUMMYFUNCTION("""COMPUTED_VALUE"""),"")</f>
        <v/>
      </c>
      <c r="AK2048" s="2" t="str">
        <f>IFERROR(__xludf.DUMMYFUNCTION("""COMPUTED_VALUE"""),"")</f>
        <v/>
      </c>
      <c r="AL2048" s="2" t="str">
        <f>IFERROR(__xludf.DUMMYFUNCTION("""COMPUTED_VALUE"""),"")</f>
        <v/>
      </c>
      <c r="AM2048" s="2" t="str">
        <f>IFERROR(__xludf.DUMMYFUNCTION("""COMPUTED_VALUE"""),"")</f>
        <v/>
      </c>
      <c r="AN2048" s="2" t="str">
        <f>IFERROR(__xludf.DUMMYFUNCTION("""COMPUTED_VALUE""")," ")</f>
        <v> </v>
      </c>
      <c r="AO2048" s="2" t="str">
        <f>IFERROR(__xludf.DUMMYFUNCTION("""COMPUTED_VALUE""")," ")</f>
        <v> </v>
      </c>
      <c r="AP2048" s="2" t="str">
        <f>IFERROR(__xludf.DUMMYFUNCTION("""COMPUTED_VALUE"""),"")</f>
        <v/>
      </c>
      <c r="AQ2048" s="2"/>
      <c r="AR2048" s="2"/>
      <c r="AS2048" s="2"/>
      <c r="AT2048" s="2"/>
      <c r="AU2048" s="2"/>
      <c r="AV2048" s="2"/>
      <c r="AW2048" s="2"/>
      <c r="AX2048" s="2"/>
      <c r="AY2048" s="2"/>
      <c r="AZ2048" s="2"/>
      <c r="BA2048" s="2"/>
      <c r="BB2048" s="2"/>
    </row>
    <row r="2049">
      <c r="A2049" s="2"/>
      <c r="B2049" s="2" t="str">
        <f>IFERROR(__xludf.DUMMYFUNCTION("""COMPUTED_VALUE"""),"")</f>
        <v/>
      </c>
      <c r="C2049" s="2"/>
      <c r="D2049" s="71"/>
      <c r="E2049" s="71" t="str">
        <f>IFERROR(__xludf.DUMMYFUNCTION("""COMPUTED_VALUE""")," ")</f>
        <v> </v>
      </c>
      <c r="F2049" s="2"/>
      <c r="G2049" s="2"/>
      <c r="H2049" s="2"/>
      <c r="I2049" s="72"/>
      <c r="J2049" s="72"/>
      <c r="K2049" s="72"/>
      <c r="L2049" s="72"/>
      <c r="M2049" s="2"/>
      <c r="N2049" s="2"/>
      <c r="O2049" s="2"/>
      <c r="P2049" s="2"/>
      <c r="Q2049" s="2"/>
      <c r="R2049" s="2"/>
      <c r="S2049" s="2"/>
      <c r="T2049" s="2"/>
      <c r="U2049" s="2"/>
      <c r="V2049" s="2"/>
      <c r="W2049" s="2"/>
      <c r="X2049" s="2"/>
      <c r="Y2049" s="2"/>
      <c r="Z2049" s="2"/>
      <c r="AA2049" s="2"/>
      <c r="AB2049" s="2"/>
      <c r="AC2049" s="2"/>
      <c r="AD2049" s="2"/>
      <c r="AE2049" s="2"/>
      <c r="AF2049" s="2"/>
      <c r="AG2049" s="2"/>
      <c r="AH2049" s="2"/>
      <c r="AI2049" s="2"/>
      <c r="AJ2049" s="2" t="str">
        <f>IFERROR(__xludf.DUMMYFUNCTION("""COMPUTED_VALUE"""),"")</f>
        <v/>
      </c>
      <c r="AK2049" s="2" t="str">
        <f>IFERROR(__xludf.DUMMYFUNCTION("""COMPUTED_VALUE"""),"")</f>
        <v/>
      </c>
      <c r="AL2049" s="2" t="str">
        <f>IFERROR(__xludf.DUMMYFUNCTION("""COMPUTED_VALUE"""),"")</f>
        <v/>
      </c>
      <c r="AM2049" s="2" t="str">
        <f>IFERROR(__xludf.DUMMYFUNCTION("""COMPUTED_VALUE"""),"")</f>
        <v/>
      </c>
      <c r="AN2049" s="2" t="str">
        <f>IFERROR(__xludf.DUMMYFUNCTION("""COMPUTED_VALUE""")," ")</f>
        <v> </v>
      </c>
      <c r="AO2049" s="2" t="str">
        <f>IFERROR(__xludf.DUMMYFUNCTION("""COMPUTED_VALUE""")," ")</f>
        <v> </v>
      </c>
      <c r="AP2049" s="2" t="str">
        <f>IFERROR(__xludf.DUMMYFUNCTION("""COMPUTED_VALUE"""),"")</f>
        <v/>
      </c>
      <c r="AQ2049" s="2"/>
      <c r="AR2049" s="2"/>
      <c r="AS2049" s="2"/>
      <c r="AT2049" s="2"/>
      <c r="AU2049" s="2"/>
      <c r="AV2049" s="2"/>
      <c r="AW2049" s="2"/>
      <c r="AX2049" s="2"/>
      <c r="AY2049" s="2"/>
      <c r="AZ2049" s="2"/>
      <c r="BA2049" s="2"/>
      <c r="BB2049" s="2"/>
    </row>
    <row r="2050">
      <c r="A2050" s="2"/>
      <c r="B2050" s="2" t="str">
        <f>IFERROR(__xludf.DUMMYFUNCTION("""COMPUTED_VALUE"""),"")</f>
        <v/>
      </c>
      <c r="C2050" s="2"/>
      <c r="D2050" s="71"/>
      <c r="E2050" s="71" t="str">
        <f>IFERROR(__xludf.DUMMYFUNCTION("""COMPUTED_VALUE""")," ")</f>
        <v> </v>
      </c>
      <c r="F2050" s="2"/>
      <c r="G2050" s="2"/>
      <c r="H2050" s="2"/>
      <c r="I2050" s="72"/>
      <c r="J2050" s="72"/>
      <c r="K2050" s="72"/>
      <c r="L2050" s="72"/>
      <c r="M2050" s="2"/>
      <c r="N2050" s="2"/>
      <c r="O2050" s="2"/>
      <c r="P2050" s="2"/>
      <c r="Q2050" s="2"/>
      <c r="R2050" s="2"/>
      <c r="S2050" s="2"/>
      <c r="T2050" s="2"/>
      <c r="U2050" s="2"/>
      <c r="V2050" s="2"/>
      <c r="W2050" s="2"/>
      <c r="X2050" s="2"/>
      <c r="Y2050" s="2"/>
      <c r="Z2050" s="2"/>
      <c r="AA2050" s="2"/>
      <c r="AB2050" s="2"/>
      <c r="AC2050" s="2"/>
      <c r="AD2050" s="2"/>
      <c r="AE2050" s="2"/>
      <c r="AF2050" s="2"/>
      <c r="AG2050" s="2"/>
      <c r="AH2050" s="2"/>
      <c r="AI2050" s="2"/>
      <c r="AJ2050" s="2" t="str">
        <f>IFERROR(__xludf.DUMMYFUNCTION("""COMPUTED_VALUE"""),"")</f>
        <v/>
      </c>
      <c r="AK2050" s="2" t="str">
        <f>IFERROR(__xludf.DUMMYFUNCTION("""COMPUTED_VALUE"""),"")</f>
        <v/>
      </c>
      <c r="AL2050" s="2" t="str">
        <f>IFERROR(__xludf.DUMMYFUNCTION("""COMPUTED_VALUE"""),"")</f>
        <v/>
      </c>
      <c r="AM2050" s="2" t="str">
        <f>IFERROR(__xludf.DUMMYFUNCTION("""COMPUTED_VALUE"""),"")</f>
        <v/>
      </c>
      <c r="AN2050" s="2" t="str">
        <f>IFERROR(__xludf.DUMMYFUNCTION("""COMPUTED_VALUE""")," ")</f>
        <v> </v>
      </c>
      <c r="AO2050" s="2" t="str">
        <f>IFERROR(__xludf.DUMMYFUNCTION("""COMPUTED_VALUE""")," ")</f>
        <v> </v>
      </c>
      <c r="AP2050" s="2" t="str">
        <f>IFERROR(__xludf.DUMMYFUNCTION("""COMPUTED_VALUE"""),"")</f>
        <v/>
      </c>
      <c r="AQ2050" s="2"/>
      <c r="AR2050" s="2"/>
      <c r="AS2050" s="2"/>
      <c r="AT2050" s="2"/>
      <c r="AU2050" s="2"/>
      <c r="AV2050" s="2"/>
      <c r="AW2050" s="2"/>
      <c r="AX2050" s="2"/>
      <c r="AY2050" s="2"/>
      <c r="AZ2050" s="2"/>
      <c r="BA2050" s="2"/>
      <c r="BB2050" s="2"/>
    </row>
    <row r="2051">
      <c r="A2051" s="2"/>
      <c r="B2051" s="2" t="str">
        <f>IFERROR(__xludf.DUMMYFUNCTION("""COMPUTED_VALUE"""),"")</f>
        <v/>
      </c>
      <c r="C2051" s="2"/>
      <c r="D2051" s="71"/>
      <c r="E2051" s="71" t="str">
        <f>IFERROR(__xludf.DUMMYFUNCTION("""COMPUTED_VALUE""")," ")</f>
        <v> </v>
      </c>
      <c r="F2051" s="2"/>
      <c r="G2051" s="2"/>
      <c r="H2051" s="2"/>
      <c r="I2051" s="72"/>
      <c r="J2051" s="72"/>
      <c r="K2051" s="72"/>
      <c r="L2051" s="72"/>
      <c r="M2051" s="2"/>
      <c r="N2051" s="2"/>
      <c r="O2051" s="2"/>
      <c r="P2051" s="2"/>
      <c r="Q2051" s="2"/>
      <c r="R2051" s="2"/>
      <c r="S2051" s="2"/>
      <c r="T2051" s="2"/>
      <c r="U2051" s="2"/>
      <c r="V2051" s="2"/>
      <c r="W2051" s="2"/>
      <c r="X2051" s="2"/>
      <c r="Y2051" s="2"/>
      <c r="Z2051" s="2"/>
      <c r="AA2051" s="2"/>
      <c r="AB2051" s="2"/>
      <c r="AC2051" s="2"/>
      <c r="AD2051" s="2"/>
      <c r="AE2051" s="2"/>
      <c r="AF2051" s="2"/>
      <c r="AG2051" s="2"/>
      <c r="AH2051" s="2"/>
      <c r="AI2051" s="2"/>
      <c r="AJ2051" s="2" t="str">
        <f>IFERROR(__xludf.DUMMYFUNCTION("""COMPUTED_VALUE"""),"")</f>
        <v/>
      </c>
      <c r="AK2051" s="2" t="str">
        <f>IFERROR(__xludf.DUMMYFUNCTION("""COMPUTED_VALUE"""),"")</f>
        <v/>
      </c>
      <c r="AL2051" s="2" t="str">
        <f>IFERROR(__xludf.DUMMYFUNCTION("""COMPUTED_VALUE"""),"")</f>
        <v/>
      </c>
      <c r="AM2051" s="2" t="str">
        <f>IFERROR(__xludf.DUMMYFUNCTION("""COMPUTED_VALUE"""),"")</f>
        <v/>
      </c>
      <c r="AN2051" s="2" t="str">
        <f>IFERROR(__xludf.DUMMYFUNCTION("""COMPUTED_VALUE""")," ")</f>
        <v> </v>
      </c>
      <c r="AO2051" s="2" t="str">
        <f>IFERROR(__xludf.DUMMYFUNCTION("""COMPUTED_VALUE""")," ")</f>
        <v> </v>
      </c>
      <c r="AP2051" s="2" t="str">
        <f>IFERROR(__xludf.DUMMYFUNCTION("""COMPUTED_VALUE"""),"")</f>
        <v/>
      </c>
      <c r="AQ2051" s="2"/>
      <c r="AR2051" s="2"/>
      <c r="AS2051" s="2"/>
      <c r="AT2051" s="2"/>
      <c r="AU2051" s="2"/>
      <c r="AV2051" s="2"/>
      <c r="AW2051" s="2"/>
      <c r="AX2051" s="2"/>
      <c r="AY2051" s="2"/>
      <c r="AZ2051" s="2"/>
      <c r="BA2051" s="2"/>
      <c r="BB2051" s="2"/>
    </row>
    <row r="2052">
      <c r="A2052" s="2"/>
      <c r="B2052" s="2" t="str">
        <f>IFERROR(__xludf.DUMMYFUNCTION("""COMPUTED_VALUE"""),"")</f>
        <v/>
      </c>
      <c r="C2052" s="2"/>
      <c r="D2052" s="71"/>
      <c r="E2052" s="71" t="str">
        <f>IFERROR(__xludf.DUMMYFUNCTION("""COMPUTED_VALUE""")," ")</f>
        <v> </v>
      </c>
      <c r="F2052" s="2"/>
      <c r="G2052" s="2"/>
      <c r="H2052" s="2"/>
      <c r="I2052" s="72"/>
      <c r="J2052" s="72"/>
      <c r="K2052" s="72"/>
      <c r="L2052" s="72"/>
      <c r="M2052" s="2"/>
      <c r="N2052" s="2"/>
      <c r="O2052" s="2"/>
      <c r="P2052" s="2"/>
      <c r="Q2052" s="2"/>
      <c r="R2052" s="2"/>
      <c r="S2052" s="2"/>
      <c r="T2052" s="2"/>
      <c r="U2052" s="2"/>
      <c r="V2052" s="2"/>
      <c r="W2052" s="2"/>
      <c r="X2052" s="2"/>
      <c r="Y2052" s="2"/>
      <c r="Z2052" s="2"/>
      <c r="AA2052" s="2"/>
      <c r="AB2052" s="2"/>
      <c r="AC2052" s="2"/>
      <c r="AD2052" s="2"/>
      <c r="AE2052" s="2"/>
      <c r="AF2052" s="2"/>
      <c r="AG2052" s="2"/>
      <c r="AH2052" s="2"/>
      <c r="AI2052" s="2"/>
      <c r="AJ2052" s="2" t="str">
        <f>IFERROR(__xludf.DUMMYFUNCTION("""COMPUTED_VALUE"""),"")</f>
        <v/>
      </c>
      <c r="AK2052" s="2" t="str">
        <f>IFERROR(__xludf.DUMMYFUNCTION("""COMPUTED_VALUE"""),"")</f>
        <v/>
      </c>
      <c r="AL2052" s="2" t="str">
        <f>IFERROR(__xludf.DUMMYFUNCTION("""COMPUTED_VALUE"""),"")</f>
        <v/>
      </c>
      <c r="AM2052" s="2" t="str">
        <f>IFERROR(__xludf.DUMMYFUNCTION("""COMPUTED_VALUE"""),"")</f>
        <v/>
      </c>
      <c r="AN2052" s="2" t="str">
        <f>IFERROR(__xludf.DUMMYFUNCTION("""COMPUTED_VALUE""")," ")</f>
        <v> </v>
      </c>
      <c r="AO2052" s="2" t="str">
        <f>IFERROR(__xludf.DUMMYFUNCTION("""COMPUTED_VALUE""")," ")</f>
        <v> </v>
      </c>
      <c r="AP2052" s="2" t="str">
        <f>IFERROR(__xludf.DUMMYFUNCTION("""COMPUTED_VALUE"""),"")</f>
        <v/>
      </c>
      <c r="AQ2052" s="2"/>
      <c r="AR2052" s="2"/>
      <c r="AS2052" s="2"/>
      <c r="AT2052" s="2"/>
      <c r="AU2052" s="2"/>
      <c r="AV2052" s="2"/>
      <c r="AW2052" s="2"/>
      <c r="AX2052" s="2"/>
      <c r="AY2052" s="2"/>
      <c r="AZ2052" s="2"/>
      <c r="BA2052" s="2"/>
      <c r="BB2052" s="2"/>
    </row>
    <row r="2053">
      <c r="A2053" s="2"/>
      <c r="B2053" s="2" t="str">
        <f>IFERROR(__xludf.DUMMYFUNCTION("""COMPUTED_VALUE"""),"")</f>
        <v/>
      </c>
      <c r="C2053" s="2"/>
      <c r="D2053" s="71"/>
      <c r="E2053" s="71" t="str">
        <f>IFERROR(__xludf.DUMMYFUNCTION("""COMPUTED_VALUE""")," ")</f>
        <v> </v>
      </c>
      <c r="F2053" s="2"/>
      <c r="G2053" s="2"/>
      <c r="H2053" s="2"/>
      <c r="I2053" s="72"/>
      <c r="J2053" s="72"/>
      <c r="K2053" s="72"/>
      <c r="L2053" s="72"/>
      <c r="M2053" s="2"/>
      <c r="N2053" s="2"/>
      <c r="O2053" s="2"/>
      <c r="P2053" s="2"/>
      <c r="Q2053" s="2"/>
      <c r="R2053" s="2"/>
      <c r="S2053" s="2"/>
      <c r="T2053" s="2"/>
      <c r="U2053" s="2"/>
      <c r="V2053" s="2"/>
      <c r="W2053" s="2"/>
      <c r="X2053" s="2"/>
      <c r="Y2053" s="2"/>
      <c r="Z2053" s="2"/>
      <c r="AA2053" s="2"/>
      <c r="AB2053" s="2"/>
      <c r="AC2053" s="2"/>
      <c r="AD2053" s="2"/>
      <c r="AE2053" s="2"/>
      <c r="AF2053" s="2"/>
      <c r="AG2053" s="2"/>
      <c r="AH2053" s="2"/>
      <c r="AI2053" s="2"/>
      <c r="AJ2053" s="2" t="str">
        <f>IFERROR(__xludf.DUMMYFUNCTION("""COMPUTED_VALUE"""),"")</f>
        <v/>
      </c>
      <c r="AK2053" s="2" t="str">
        <f>IFERROR(__xludf.DUMMYFUNCTION("""COMPUTED_VALUE"""),"")</f>
        <v/>
      </c>
      <c r="AL2053" s="2" t="str">
        <f>IFERROR(__xludf.DUMMYFUNCTION("""COMPUTED_VALUE"""),"")</f>
        <v/>
      </c>
      <c r="AM2053" s="2" t="str">
        <f>IFERROR(__xludf.DUMMYFUNCTION("""COMPUTED_VALUE"""),"")</f>
        <v/>
      </c>
      <c r="AN2053" s="2" t="str">
        <f>IFERROR(__xludf.DUMMYFUNCTION("""COMPUTED_VALUE""")," ")</f>
        <v> </v>
      </c>
      <c r="AO2053" s="2" t="str">
        <f>IFERROR(__xludf.DUMMYFUNCTION("""COMPUTED_VALUE""")," ")</f>
        <v> </v>
      </c>
      <c r="AP2053" s="2" t="str">
        <f>IFERROR(__xludf.DUMMYFUNCTION("""COMPUTED_VALUE"""),"")</f>
        <v/>
      </c>
      <c r="AQ2053" s="2"/>
      <c r="AR2053" s="2"/>
      <c r="AS2053" s="2"/>
      <c r="AT2053" s="2"/>
      <c r="AU2053" s="2"/>
      <c r="AV2053" s="2"/>
      <c r="AW2053" s="2"/>
      <c r="AX2053" s="2"/>
      <c r="AY2053" s="2"/>
      <c r="AZ2053" s="2"/>
      <c r="BA2053" s="2"/>
      <c r="BB2053" s="2"/>
    </row>
    <row r="2054">
      <c r="A2054" s="2"/>
      <c r="B2054" s="2" t="str">
        <f>IFERROR(__xludf.DUMMYFUNCTION("""COMPUTED_VALUE"""),"")</f>
        <v/>
      </c>
      <c r="C2054" s="2"/>
      <c r="D2054" s="71"/>
      <c r="E2054" s="71" t="str">
        <f>IFERROR(__xludf.DUMMYFUNCTION("""COMPUTED_VALUE""")," ")</f>
        <v> </v>
      </c>
      <c r="F2054" s="2"/>
      <c r="G2054" s="2"/>
      <c r="H2054" s="2"/>
      <c r="I2054" s="72"/>
      <c r="J2054" s="72"/>
      <c r="K2054" s="72"/>
      <c r="L2054" s="72"/>
      <c r="M2054" s="2"/>
      <c r="N2054" s="2"/>
      <c r="O2054" s="2"/>
      <c r="P2054" s="2"/>
      <c r="Q2054" s="2"/>
      <c r="R2054" s="2"/>
      <c r="S2054" s="2"/>
      <c r="T2054" s="2"/>
      <c r="U2054" s="2"/>
      <c r="V2054" s="2"/>
      <c r="W2054" s="2"/>
      <c r="X2054" s="2"/>
      <c r="Y2054" s="2"/>
      <c r="Z2054" s="2"/>
      <c r="AA2054" s="2"/>
      <c r="AB2054" s="2"/>
      <c r="AC2054" s="2"/>
      <c r="AD2054" s="2"/>
      <c r="AE2054" s="2"/>
      <c r="AF2054" s="2"/>
      <c r="AG2054" s="2"/>
      <c r="AH2054" s="2"/>
      <c r="AI2054" s="2"/>
      <c r="AJ2054" s="2" t="str">
        <f>IFERROR(__xludf.DUMMYFUNCTION("""COMPUTED_VALUE"""),"")</f>
        <v/>
      </c>
      <c r="AK2054" s="2" t="str">
        <f>IFERROR(__xludf.DUMMYFUNCTION("""COMPUTED_VALUE"""),"")</f>
        <v/>
      </c>
      <c r="AL2054" s="2" t="str">
        <f>IFERROR(__xludf.DUMMYFUNCTION("""COMPUTED_VALUE"""),"")</f>
        <v/>
      </c>
      <c r="AM2054" s="2" t="str">
        <f>IFERROR(__xludf.DUMMYFUNCTION("""COMPUTED_VALUE"""),"")</f>
        <v/>
      </c>
      <c r="AN2054" s="2" t="str">
        <f>IFERROR(__xludf.DUMMYFUNCTION("""COMPUTED_VALUE""")," ")</f>
        <v> </v>
      </c>
      <c r="AO2054" s="2" t="str">
        <f>IFERROR(__xludf.DUMMYFUNCTION("""COMPUTED_VALUE""")," ")</f>
        <v> </v>
      </c>
      <c r="AP2054" s="2" t="str">
        <f>IFERROR(__xludf.DUMMYFUNCTION("""COMPUTED_VALUE"""),"")</f>
        <v/>
      </c>
      <c r="AQ2054" s="2"/>
      <c r="AR2054" s="2"/>
      <c r="AS2054" s="2"/>
      <c r="AT2054" s="2"/>
      <c r="AU2054" s="2"/>
      <c r="AV2054" s="2"/>
      <c r="AW2054" s="2"/>
      <c r="AX2054" s="2"/>
      <c r="AY2054" s="2"/>
      <c r="AZ2054" s="2"/>
      <c r="BA2054" s="2"/>
      <c r="BB2054" s="2"/>
    </row>
    <row r="2055">
      <c r="A2055" s="2"/>
      <c r="B2055" s="2" t="str">
        <f>IFERROR(__xludf.DUMMYFUNCTION("""COMPUTED_VALUE"""),"")</f>
        <v/>
      </c>
      <c r="C2055" s="2"/>
      <c r="D2055" s="71"/>
      <c r="E2055" s="71" t="str">
        <f>IFERROR(__xludf.DUMMYFUNCTION("""COMPUTED_VALUE""")," ")</f>
        <v> </v>
      </c>
      <c r="F2055" s="2"/>
      <c r="G2055" s="2"/>
      <c r="H2055" s="2"/>
      <c r="I2055" s="72"/>
      <c r="J2055" s="72"/>
      <c r="K2055" s="72"/>
      <c r="L2055" s="72"/>
      <c r="M2055" s="2"/>
      <c r="N2055" s="2"/>
      <c r="O2055" s="2"/>
      <c r="P2055" s="2"/>
      <c r="Q2055" s="2"/>
      <c r="R2055" s="2"/>
      <c r="S2055" s="2"/>
      <c r="T2055" s="2"/>
      <c r="U2055" s="2"/>
      <c r="V2055" s="2"/>
      <c r="W2055" s="2"/>
      <c r="X2055" s="2"/>
      <c r="Y2055" s="2"/>
      <c r="Z2055" s="2"/>
      <c r="AA2055" s="2"/>
      <c r="AB2055" s="2"/>
      <c r="AC2055" s="2"/>
      <c r="AD2055" s="2"/>
      <c r="AE2055" s="2"/>
      <c r="AF2055" s="2"/>
      <c r="AG2055" s="2"/>
      <c r="AH2055" s="2"/>
      <c r="AI2055" s="2"/>
      <c r="AJ2055" s="2" t="str">
        <f>IFERROR(__xludf.DUMMYFUNCTION("""COMPUTED_VALUE"""),"")</f>
        <v/>
      </c>
      <c r="AK2055" s="2" t="str">
        <f>IFERROR(__xludf.DUMMYFUNCTION("""COMPUTED_VALUE"""),"")</f>
        <v/>
      </c>
      <c r="AL2055" s="2" t="str">
        <f>IFERROR(__xludf.DUMMYFUNCTION("""COMPUTED_VALUE"""),"")</f>
        <v/>
      </c>
      <c r="AM2055" s="2" t="str">
        <f>IFERROR(__xludf.DUMMYFUNCTION("""COMPUTED_VALUE"""),"")</f>
        <v/>
      </c>
      <c r="AN2055" s="2" t="str">
        <f>IFERROR(__xludf.DUMMYFUNCTION("""COMPUTED_VALUE""")," ")</f>
        <v> </v>
      </c>
      <c r="AO2055" s="2" t="str">
        <f>IFERROR(__xludf.DUMMYFUNCTION("""COMPUTED_VALUE""")," ")</f>
        <v> </v>
      </c>
      <c r="AP2055" s="2" t="str">
        <f>IFERROR(__xludf.DUMMYFUNCTION("""COMPUTED_VALUE"""),"")</f>
        <v/>
      </c>
      <c r="AQ2055" s="2"/>
      <c r="AR2055" s="2"/>
      <c r="AS2055" s="2"/>
      <c r="AT2055" s="2"/>
      <c r="AU2055" s="2"/>
      <c r="AV2055" s="2"/>
      <c r="AW2055" s="2"/>
      <c r="AX2055" s="2"/>
      <c r="AY2055" s="2"/>
      <c r="AZ2055" s="2"/>
      <c r="BA2055" s="2"/>
      <c r="BB2055" s="2"/>
    </row>
    <row r="2056">
      <c r="A2056" s="2"/>
      <c r="B2056" s="2" t="str">
        <f>IFERROR(__xludf.DUMMYFUNCTION("""COMPUTED_VALUE"""),"")</f>
        <v/>
      </c>
      <c r="C2056" s="2"/>
      <c r="D2056" s="71"/>
      <c r="E2056" s="71" t="str">
        <f>IFERROR(__xludf.DUMMYFUNCTION("""COMPUTED_VALUE""")," ")</f>
        <v> </v>
      </c>
      <c r="F2056" s="2"/>
      <c r="G2056" s="2"/>
      <c r="H2056" s="2"/>
      <c r="I2056" s="72"/>
      <c r="J2056" s="72"/>
      <c r="K2056" s="72"/>
      <c r="L2056" s="72"/>
      <c r="M2056" s="2"/>
      <c r="N2056" s="2"/>
      <c r="O2056" s="2"/>
      <c r="P2056" s="2"/>
      <c r="Q2056" s="2"/>
      <c r="R2056" s="2"/>
      <c r="S2056" s="2"/>
      <c r="T2056" s="2"/>
      <c r="U2056" s="2"/>
      <c r="V2056" s="2"/>
      <c r="W2056" s="2"/>
      <c r="X2056" s="2"/>
      <c r="Y2056" s="2"/>
      <c r="Z2056" s="2"/>
      <c r="AA2056" s="2"/>
      <c r="AB2056" s="2"/>
      <c r="AC2056" s="2"/>
      <c r="AD2056" s="2"/>
      <c r="AE2056" s="2"/>
      <c r="AF2056" s="2"/>
      <c r="AG2056" s="2"/>
      <c r="AH2056" s="2"/>
      <c r="AI2056" s="2"/>
      <c r="AJ2056" s="2" t="str">
        <f>IFERROR(__xludf.DUMMYFUNCTION("""COMPUTED_VALUE"""),"")</f>
        <v/>
      </c>
      <c r="AK2056" s="2" t="str">
        <f>IFERROR(__xludf.DUMMYFUNCTION("""COMPUTED_VALUE"""),"")</f>
        <v/>
      </c>
      <c r="AL2056" s="2" t="str">
        <f>IFERROR(__xludf.DUMMYFUNCTION("""COMPUTED_VALUE"""),"")</f>
        <v/>
      </c>
      <c r="AM2056" s="2" t="str">
        <f>IFERROR(__xludf.DUMMYFUNCTION("""COMPUTED_VALUE"""),"")</f>
        <v/>
      </c>
      <c r="AN2056" s="2" t="str">
        <f>IFERROR(__xludf.DUMMYFUNCTION("""COMPUTED_VALUE""")," ")</f>
        <v> </v>
      </c>
      <c r="AO2056" s="2" t="str">
        <f>IFERROR(__xludf.DUMMYFUNCTION("""COMPUTED_VALUE""")," ")</f>
        <v> </v>
      </c>
      <c r="AP2056" s="2" t="str">
        <f>IFERROR(__xludf.DUMMYFUNCTION("""COMPUTED_VALUE"""),"")</f>
        <v/>
      </c>
      <c r="AQ2056" s="2"/>
      <c r="AR2056" s="2"/>
      <c r="AS2056" s="2"/>
      <c r="AT2056" s="2"/>
      <c r="AU2056" s="2"/>
      <c r="AV2056" s="2"/>
      <c r="AW2056" s="2"/>
      <c r="AX2056" s="2"/>
      <c r="AY2056" s="2"/>
      <c r="AZ2056" s="2"/>
      <c r="BA2056" s="2"/>
      <c r="BB2056" s="2"/>
    </row>
    <row r="2057">
      <c r="A2057" s="2"/>
      <c r="B2057" s="2" t="str">
        <f>IFERROR(__xludf.DUMMYFUNCTION("""COMPUTED_VALUE"""),"")</f>
        <v/>
      </c>
      <c r="C2057" s="2"/>
      <c r="D2057" s="71"/>
      <c r="E2057" s="71" t="str">
        <f>IFERROR(__xludf.DUMMYFUNCTION("""COMPUTED_VALUE""")," ")</f>
        <v> </v>
      </c>
      <c r="F2057" s="2"/>
      <c r="G2057" s="2"/>
      <c r="H2057" s="2"/>
      <c r="I2057" s="72"/>
      <c r="J2057" s="72"/>
      <c r="K2057" s="72"/>
      <c r="L2057" s="72"/>
      <c r="M2057" s="2"/>
      <c r="N2057" s="2"/>
      <c r="O2057" s="2"/>
      <c r="P2057" s="2"/>
      <c r="Q2057" s="2"/>
      <c r="R2057" s="2"/>
      <c r="S2057" s="2"/>
      <c r="T2057" s="2"/>
      <c r="U2057" s="2"/>
      <c r="V2057" s="2"/>
      <c r="W2057" s="2"/>
      <c r="X2057" s="2"/>
      <c r="Y2057" s="2"/>
      <c r="Z2057" s="2"/>
      <c r="AA2057" s="2"/>
      <c r="AB2057" s="2"/>
      <c r="AC2057" s="2"/>
      <c r="AD2057" s="2"/>
      <c r="AE2057" s="2"/>
      <c r="AF2057" s="2"/>
      <c r="AG2057" s="2"/>
      <c r="AH2057" s="2"/>
      <c r="AI2057" s="2"/>
      <c r="AJ2057" s="2" t="str">
        <f>IFERROR(__xludf.DUMMYFUNCTION("""COMPUTED_VALUE"""),"")</f>
        <v/>
      </c>
      <c r="AK2057" s="2" t="str">
        <f>IFERROR(__xludf.DUMMYFUNCTION("""COMPUTED_VALUE"""),"")</f>
        <v/>
      </c>
      <c r="AL2057" s="2" t="str">
        <f>IFERROR(__xludf.DUMMYFUNCTION("""COMPUTED_VALUE"""),"")</f>
        <v/>
      </c>
      <c r="AM2057" s="2" t="str">
        <f>IFERROR(__xludf.DUMMYFUNCTION("""COMPUTED_VALUE"""),"")</f>
        <v/>
      </c>
      <c r="AN2057" s="2" t="str">
        <f>IFERROR(__xludf.DUMMYFUNCTION("""COMPUTED_VALUE""")," ")</f>
        <v> </v>
      </c>
      <c r="AO2057" s="2" t="str">
        <f>IFERROR(__xludf.DUMMYFUNCTION("""COMPUTED_VALUE""")," ")</f>
        <v> </v>
      </c>
      <c r="AP2057" s="2" t="str">
        <f>IFERROR(__xludf.DUMMYFUNCTION("""COMPUTED_VALUE"""),"")</f>
        <v/>
      </c>
      <c r="AQ2057" s="2"/>
      <c r="AR2057" s="2"/>
      <c r="AS2057" s="2"/>
      <c r="AT2057" s="2"/>
      <c r="AU2057" s="2"/>
      <c r="AV2057" s="2"/>
      <c r="AW2057" s="2"/>
      <c r="AX2057" s="2"/>
      <c r="AY2057" s="2"/>
      <c r="AZ2057" s="2"/>
      <c r="BA2057" s="2"/>
      <c r="BB2057" s="2"/>
    </row>
    <row r="2058">
      <c r="A2058" s="2"/>
      <c r="B2058" s="2" t="str">
        <f>IFERROR(__xludf.DUMMYFUNCTION("""COMPUTED_VALUE"""),"")</f>
        <v/>
      </c>
      <c r="C2058" s="2"/>
      <c r="D2058" s="71"/>
      <c r="E2058" s="71" t="str">
        <f>IFERROR(__xludf.DUMMYFUNCTION("""COMPUTED_VALUE""")," ")</f>
        <v> </v>
      </c>
      <c r="F2058" s="2"/>
      <c r="G2058" s="2"/>
      <c r="H2058" s="2"/>
      <c r="I2058" s="72"/>
      <c r="J2058" s="72"/>
      <c r="K2058" s="72"/>
      <c r="L2058" s="72"/>
      <c r="M2058" s="2"/>
      <c r="N2058" s="2"/>
      <c r="O2058" s="2"/>
      <c r="P2058" s="2"/>
      <c r="Q2058" s="2"/>
      <c r="R2058" s="2"/>
      <c r="S2058" s="2"/>
      <c r="T2058" s="2"/>
      <c r="U2058" s="2"/>
      <c r="V2058" s="2"/>
      <c r="W2058" s="2"/>
      <c r="X2058" s="2"/>
      <c r="Y2058" s="2"/>
      <c r="Z2058" s="2"/>
      <c r="AA2058" s="2"/>
      <c r="AB2058" s="2"/>
      <c r="AC2058" s="2"/>
      <c r="AD2058" s="2"/>
      <c r="AE2058" s="2"/>
      <c r="AF2058" s="2"/>
      <c r="AG2058" s="2"/>
      <c r="AH2058" s="2"/>
      <c r="AI2058" s="2"/>
      <c r="AJ2058" s="2" t="str">
        <f>IFERROR(__xludf.DUMMYFUNCTION("""COMPUTED_VALUE"""),"")</f>
        <v/>
      </c>
      <c r="AK2058" s="2" t="str">
        <f>IFERROR(__xludf.DUMMYFUNCTION("""COMPUTED_VALUE"""),"")</f>
        <v/>
      </c>
      <c r="AL2058" s="2" t="str">
        <f>IFERROR(__xludf.DUMMYFUNCTION("""COMPUTED_VALUE"""),"")</f>
        <v/>
      </c>
      <c r="AM2058" s="2" t="str">
        <f>IFERROR(__xludf.DUMMYFUNCTION("""COMPUTED_VALUE"""),"")</f>
        <v/>
      </c>
      <c r="AN2058" s="2" t="str">
        <f>IFERROR(__xludf.DUMMYFUNCTION("""COMPUTED_VALUE""")," ")</f>
        <v> </v>
      </c>
      <c r="AO2058" s="2" t="str">
        <f>IFERROR(__xludf.DUMMYFUNCTION("""COMPUTED_VALUE""")," ")</f>
        <v> </v>
      </c>
      <c r="AP2058" s="2" t="str">
        <f>IFERROR(__xludf.DUMMYFUNCTION("""COMPUTED_VALUE"""),"")</f>
        <v/>
      </c>
      <c r="AQ2058" s="2"/>
      <c r="AR2058" s="2"/>
      <c r="AS2058" s="2"/>
      <c r="AT2058" s="2"/>
      <c r="AU2058" s="2"/>
      <c r="AV2058" s="2"/>
      <c r="AW2058" s="2"/>
      <c r="AX2058" s="2"/>
      <c r="AY2058" s="2"/>
      <c r="AZ2058" s="2"/>
      <c r="BA2058" s="2"/>
      <c r="BB2058" s="2"/>
    </row>
    <row r="2059">
      <c r="A2059" s="2"/>
      <c r="B2059" s="2" t="str">
        <f>IFERROR(__xludf.DUMMYFUNCTION("""COMPUTED_VALUE"""),"")</f>
        <v/>
      </c>
      <c r="C2059" s="2"/>
      <c r="D2059" s="71"/>
      <c r="E2059" s="71" t="str">
        <f>IFERROR(__xludf.DUMMYFUNCTION("""COMPUTED_VALUE""")," ")</f>
        <v> </v>
      </c>
      <c r="F2059" s="2"/>
      <c r="G2059" s="2"/>
      <c r="H2059" s="2"/>
      <c r="I2059" s="72"/>
      <c r="J2059" s="72"/>
      <c r="K2059" s="72"/>
      <c r="L2059" s="72"/>
      <c r="M2059" s="2"/>
      <c r="N2059" s="2"/>
      <c r="O2059" s="2"/>
      <c r="P2059" s="2"/>
      <c r="Q2059" s="2"/>
      <c r="R2059" s="2"/>
      <c r="S2059" s="2"/>
      <c r="T2059" s="2"/>
      <c r="U2059" s="2"/>
      <c r="V2059" s="2"/>
      <c r="W2059" s="2"/>
      <c r="X2059" s="2"/>
      <c r="Y2059" s="2"/>
      <c r="Z2059" s="2"/>
      <c r="AA2059" s="2"/>
      <c r="AB2059" s="2"/>
      <c r="AC2059" s="2"/>
      <c r="AD2059" s="2"/>
      <c r="AE2059" s="2"/>
      <c r="AF2059" s="2"/>
      <c r="AG2059" s="2"/>
      <c r="AH2059" s="2"/>
      <c r="AI2059" s="2"/>
      <c r="AJ2059" s="2" t="str">
        <f>IFERROR(__xludf.DUMMYFUNCTION("""COMPUTED_VALUE"""),"")</f>
        <v/>
      </c>
      <c r="AK2059" s="2" t="str">
        <f>IFERROR(__xludf.DUMMYFUNCTION("""COMPUTED_VALUE"""),"")</f>
        <v/>
      </c>
      <c r="AL2059" s="2" t="str">
        <f>IFERROR(__xludf.DUMMYFUNCTION("""COMPUTED_VALUE"""),"")</f>
        <v/>
      </c>
      <c r="AM2059" s="2" t="str">
        <f>IFERROR(__xludf.DUMMYFUNCTION("""COMPUTED_VALUE"""),"")</f>
        <v/>
      </c>
      <c r="AN2059" s="2" t="str">
        <f>IFERROR(__xludf.DUMMYFUNCTION("""COMPUTED_VALUE""")," ")</f>
        <v> </v>
      </c>
      <c r="AO2059" s="2" t="str">
        <f>IFERROR(__xludf.DUMMYFUNCTION("""COMPUTED_VALUE""")," ")</f>
        <v> </v>
      </c>
      <c r="AP2059" s="2" t="str">
        <f>IFERROR(__xludf.DUMMYFUNCTION("""COMPUTED_VALUE"""),"")</f>
        <v/>
      </c>
      <c r="AQ2059" s="2"/>
      <c r="AR2059" s="2"/>
      <c r="AS2059" s="2"/>
      <c r="AT2059" s="2"/>
      <c r="AU2059" s="2"/>
      <c r="AV2059" s="2"/>
      <c r="AW2059" s="2"/>
      <c r="AX2059" s="2"/>
      <c r="AY2059" s="2"/>
      <c r="AZ2059" s="2"/>
      <c r="BA2059" s="2"/>
      <c r="BB2059" s="2"/>
    </row>
    <row r="2060">
      <c r="A2060" s="2"/>
      <c r="B2060" s="2" t="str">
        <f>IFERROR(__xludf.DUMMYFUNCTION("""COMPUTED_VALUE"""),"")</f>
        <v/>
      </c>
      <c r="C2060" s="2"/>
      <c r="D2060" s="71"/>
      <c r="E2060" s="71" t="str">
        <f>IFERROR(__xludf.DUMMYFUNCTION("""COMPUTED_VALUE""")," ")</f>
        <v> </v>
      </c>
      <c r="F2060" s="2"/>
      <c r="G2060" s="2"/>
      <c r="H2060" s="2"/>
      <c r="I2060" s="72"/>
      <c r="J2060" s="72"/>
      <c r="K2060" s="72"/>
      <c r="L2060" s="72"/>
      <c r="M2060" s="2"/>
      <c r="N2060" s="2"/>
      <c r="O2060" s="2"/>
      <c r="P2060" s="2"/>
      <c r="Q2060" s="2"/>
      <c r="R2060" s="2"/>
      <c r="S2060" s="2"/>
      <c r="T2060" s="2"/>
      <c r="U2060" s="2"/>
      <c r="V2060" s="2"/>
      <c r="W2060" s="2"/>
      <c r="X2060" s="2"/>
      <c r="Y2060" s="2"/>
      <c r="Z2060" s="2"/>
      <c r="AA2060" s="2"/>
      <c r="AB2060" s="2"/>
      <c r="AC2060" s="2"/>
      <c r="AD2060" s="2"/>
      <c r="AE2060" s="2"/>
      <c r="AF2060" s="2"/>
      <c r="AG2060" s="2"/>
      <c r="AH2060" s="2"/>
      <c r="AI2060" s="2"/>
      <c r="AJ2060" s="2" t="str">
        <f>IFERROR(__xludf.DUMMYFUNCTION("""COMPUTED_VALUE"""),"")</f>
        <v/>
      </c>
      <c r="AK2060" s="2" t="str">
        <f>IFERROR(__xludf.DUMMYFUNCTION("""COMPUTED_VALUE"""),"")</f>
        <v/>
      </c>
      <c r="AL2060" s="2" t="str">
        <f>IFERROR(__xludf.DUMMYFUNCTION("""COMPUTED_VALUE"""),"")</f>
        <v/>
      </c>
      <c r="AM2060" s="2" t="str">
        <f>IFERROR(__xludf.DUMMYFUNCTION("""COMPUTED_VALUE"""),"")</f>
        <v/>
      </c>
      <c r="AN2060" s="2" t="str">
        <f>IFERROR(__xludf.DUMMYFUNCTION("""COMPUTED_VALUE""")," ")</f>
        <v> </v>
      </c>
      <c r="AO2060" s="2" t="str">
        <f>IFERROR(__xludf.DUMMYFUNCTION("""COMPUTED_VALUE""")," ")</f>
        <v> </v>
      </c>
      <c r="AP2060" s="2" t="str">
        <f>IFERROR(__xludf.DUMMYFUNCTION("""COMPUTED_VALUE"""),"")</f>
        <v/>
      </c>
      <c r="AQ2060" s="2"/>
      <c r="AR2060" s="2"/>
      <c r="AS2060" s="2"/>
      <c r="AT2060" s="2"/>
      <c r="AU2060" s="2"/>
      <c r="AV2060" s="2"/>
      <c r="AW2060" s="2"/>
      <c r="AX2060" s="2"/>
      <c r="AY2060" s="2"/>
      <c r="AZ2060" s="2"/>
      <c r="BA2060" s="2"/>
      <c r="BB2060" s="2"/>
    </row>
    <row r="2061">
      <c r="A2061" s="2"/>
      <c r="B2061" s="2" t="str">
        <f>IFERROR(__xludf.DUMMYFUNCTION("""COMPUTED_VALUE"""),"")</f>
        <v/>
      </c>
      <c r="C2061" s="2"/>
      <c r="D2061" s="71"/>
      <c r="E2061" s="71" t="str">
        <f>IFERROR(__xludf.DUMMYFUNCTION("""COMPUTED_VALUE""")," ")</f>
        <v> </v>
      </c>
      <c r="F2061" s="2"/>
      <c r="G2061" s="2"/>
      <c r="H2061" s="2"/>
      <c r="I2061" s="72"/>
      <c r="J2061" s="72"/>
      <c r="K2061" s="72"/>
      <c r="L2061" s="72"/>
      <c r="M2061" s="2"/>
      <c r="N2061" s="2"/>
      <c r="O2061" s="2"/>
      <c r="P2061" s="2"/>
      <c r="Q2061" s="2"/>
      <c r="R2061" s="2"/>
      <c r="S2061" s="2"/>
      <c r="T2061" s="2"/>
      <c r="U2061" s="2"/>
      <c r="V2061" s="2"/>
      <c r="W2061" s="2"/>
      <c r="X2061" s="2"/>
      <c r="Y2061" s="2"/>
      <c r="Z2061" s="2"/>
      <c r="AA2061" s="2"/>
      <c r="AB2061" s="2"/>
      <c r="AC2061" s="2"/>
      <c r="AD2061" s="2"/>
      <c r="AE2061" s="2"/>
      <c r="AF2061" s="2"/>
      <c r="AG2061" s="2"/>
      <c r="AH2061" s="2"/>
      <c r="AI2061" s="2"/>
      <c r="AJ2061" s="2" t="str">
        <f>IFERROR(__xludf.DUMMYFUNCTION("""COMPUTED_VALUE"""),"")</f>
        <v/>
      </c>
      <c r="AK2061" s="2" t="str">
        <f>IFERROR(__xludf.DUMMYFUNCTION("""COMPUTED_VALUE"""),"")</f>
        <v/>
      </c>
      <c r="AL2061" s="2" t="str">
        <f>IFERROR(__xludf.DUMMYFUNCTION("""COMPUTED_VALUE"""),"")</f>
        <v/>
      </c>
      <c r="AM2061" s="2" t="str">
        <f>IFERROR(__xludf.DUMMYFUNCTION("""COMPUTED_VALUE"""),"")</f>
        <v/>
      </c>
      <c r="AN2061" s="2" t="str">
        <f>IFERROR(__xludf.DUMMYFUNCTION("""COMPUTED_VALUE""")," ")</f>
        <v> </v>
      </c>
      <c r="AO2061" s="2" t="str">
        <f>IFERROR(__xludf.DUMMYFUNCTION("""COMPUTED_VALUE""")," ")</f>
        <v> </v>
      </c>
      <c r="AP2061" s="2" t="str">
        <f>IFERROR(__xludf.DUMMYFUNCTION("""COMPUTED_VALUE"""),"")</f>
        <v/>
      </c>
      <c r="AQ2061" s="2"/>
      <c r="AR2061" s="2"/>
      <c r="AS2061" s="2"/>
      <c r="AT2061" s="2"/>
      <c r="AU2061" s="2"/>
      <c r="AV2061" s="2"/>
      <c r="AW2061" s="2"/>
      <c r="AX2061" s="2"/>
      <c r="AY2061" s="2"/>
      <c r="AZ2061" s="2"/>
      <c r="BA2061" s="2"/>
      <c r="BB2061" s="2"/>
    </row>
    <row r="2062">
      <c r="A2062" s="2"/>
      <c r="B2062" s="2" t="str">
        <f>IFERROR(__xludf.DUMMYFUNCTION("""COMPUTED_VALUE"""),"")</f>
        <v/>
      </c>
      <c r="C2062" s="2"/>
      <c r="D2062" s="71"/>
      <c r="E2062" s="71" t="str">
        <f>IFERROR(__xludf.DUMMYFUNCTION("""COMPUTED_VALUE""")," ")</f>
        <v> </v>
      </c>
      <c r="F2062" s="2"/>
      <c r="G2062" s="2"/>
      <c r="H2062" s="2"/>
      <c r="I2062" s="72"/>
      <c r="J2062" s="72"/>
      <c r="K2062" s="72"/>
      <c r="L2062" s="72"/>
      <c r="M2062" s="2"/>
      <c r="N2062" s="2"/>
      <c r="O2062" s="2"/>
      <c r="P2062" s="2"/>
      <c r="Q2062" s="2"/>
      <c r="R2062" s="2"/>
      <c r="S2062" s="2"/>
      <c r="T2062" s="2"/>
      <c r="U2062" s="2"/>
      <c r="V2062" s="2"/>
      <c r="W2062" s="2"/>
      <c r="X2062" s="2"/>
      <c r="Y2062" s="2"/>
      <c r="Z2062" s="2"/>
      <c r="AA2062" s="2"/>
      <c r="AB2062" s="2"/>
      <c r="AC2062" s="2"/>
      <c r="AD2062" s="2"/>
      <c r="AE2062" s="2"/>
      <c r="AF2062" s="2"/>
      <c r="AG2062" s="2"/>
      <c r="AH2062" s="2"/>
      <c r="AI2062" s="2"/>
      <c r="AJ2062" s="2" t="str">
        <f>IFERROR(__xludf.DUMMYFUNCTION("""COMPUTED_VALUE"""),"")</f>
        <v/>
      </c>
      <c r="AK2062" s="2" t="str">
        <f>IFERROR(__xludf.DUMMYFUNCTION("""COMPUTED_VALUE"""),"")</f>
        <v/>
      </c>
      <c r="AL2062" s="2" t="str">
        <f>IFERROR(__xludf.DUMMYFUNCTION("""COMPUTED_VALUE"""),"")</f>
        <v/>
      </c>
      <c r="AM2062" s="2" t="str">
        <f>IFERROR(__xludf.DUMMYFUNCTION("""COMPUTED_VALUE"""),"")</f>
        <v/>
      </c>
      <c r="AN2062" s="2" t="str">
        <f>IFERROR(__xludf.DUMMYFUNCTION("""COMPUTED_VALUE""")," ")</f>
        <v> </v>
      </c>
      <c r="AO2062" s="2" t="str">
        <f>IFERROR(__xludf.DUMMYFUNCTION("""COMPUTED_VALUE""")," ")</f>
        <v> </v>
      </c>
      <c r="AP2062" s="2" t="str">
        <f>IFERROR(__xludf.DUMMYFUNCTION("""COMPUTED_VALUE"""),"")</f>
        <v/>
      </c>
      <c r="AQ2062" s="2"/>
      <c r="AR2062" s="2"/>
      <c r="AS2062" s="2"/>
      <c r="AT2062" s="2"/>
      <c r="AU2062" s="2"/>
      <c r="AV2062" s="2"/>
      <c r="AW2062" s="2"/>
      <c r="AX2062" s="2"/>
      <c r="AY2062" s="2"/>
      <c r="AZ2062" s="2"/>
      <c r="BA2062" s="2"/>
      <c r="BB2062" s="2"/>
    </row>
    <row r="2063">
      <c r="A2063" s="2"/>
      <c r="B2063" s="2" t="str">
        <f>IFERROR(__xludf.DUMMYFUNCTION("""COMPUTED_VALUE"""),"")</f>
        <v/>
      </c>
      <c r="C2063" s="2"/>
      <c r="D2063" s="71"/>
      <c r="E2063" s="71" t="str">
        <f>IFERROR(__xludf.DUMMYFUNCTION("""COMPUTED_VALUE""")," ")</f>
        <v> </v>
      </c>
      <c r="F2063" s="2"/>
      <c r="G2063" s="2"/>
      <c r="H2063" s="2"/>
      <c r="I2063" s="72"/>
      <c r="J2063" s="72"/>
      <c r="K2063" s="72"/>
      <c r="L2063" s="72"/>
      <c r="M2063" s="2"/>
      <c r="N2063" s="2"/>
      <c r="O2063" s="2"/>
      <c r="P2063" s="2"/>
      <c r="Q2063" s="2"/>
      <c r="R2063" s="2"/>
      <c r="S2063" s="2"/>
      <c r="T2063" s="2"/>
      <c r="U2063" s="2"/>
      <c r="V2063" s="2"/>
      <c r="W2063" s="2"/>
      <c r="X2063" s="2"/>
      <c r="Y2063" s="2"/>
      <c r="Z2063" s="2"/>
      <c r="AA2063" s="2"/>
      <c r="AB2063" s="2"/>
      <c r="AC2063" s="2"/>
      <c r="AD2063" s="2"/>
      <c r="AE2063" s="2"/>
      <c r="AF2063" s="2"/>
      <c r="AG2063" s="2"/>
      <c r="AH2063" s="2"/>
      <c r="AI2063" s="2"/>
      <c r="AJ2063" s="2" t="str">
        <f>IFERROR(__xludf.DUMMYFUNCTION("""COMPUTED_VALUE"""),"")</f>
        <v/>
      </c>
      <c r="AK2063" s="2" t="str">
        <f>IFERROR(__xludf.DUMMYFUNCTION("""COMPUTED_VALUE"""),"")</f>
        <v/>
      </c>
      <c r="AL2063" s="2" t="str">
        <f>IFERROR(__xludf.DUMMYFUNCTION("""COMPUTED_VALUE"""),"")</f>
        <v/>
      </c>
      <c r="AM2063" s="2" t="str">
        <f>IFERROR(__xludf.DUMMYFUNCTION("""COMPUTED_VALUE"""),"")</f>
        <v/>
      </c>
      <c r="AN2063" s="2" t="str">
        <f>IFERROR(__xludf.DUMMYFUNCTION("""COMPUTED_VALUE""")," ")</f>
        <v> </v>
      </c>
      <c r="AO2063" s="2" t="str">
        <f>IFERROR(__xludf.DUMMYFUNCTION("""COMPUTED_VALUE""")," ")</f>
        <v> </v>
      </c>
      <c r="AP2063" s="2" t="str">
        <f>IFERROR(__xludf.DUMMYFUNCTION("""COMPUTED_VALUE"""),"")</f>
        <v/>
      </c>
      <c r="AQ2063" s="2"/>
      <c r="AR2063" s="2"/>
      <c r="AS2063" s="2"/>
      <c r="AT2063" s="2"/>
      <c r="AU2063" s="2"/>
      <c r="AV2063" s="2"/>
      <c r="AW2063" s="2"/>
      <c r="AX2063" s="2"/>
      <c r="AY2063" s="2"/>
      <c r="AZ2063" s="2"/>
      <c r="BA2063" s="2"/>
      <c r="BB2063" s="2"/>
    </row>
    <row r="2064">
      <c r="A2064" s="2"/>
      <c r="B2064" s="2" t="str">
        <f>IFERROR(__xludf.DUMMYFUNCTION("""COMPUTED_VALUE"""),"")</f>
        <v/>
      </c>
      <c r="C2064" s="2"/>
      <c r="D2064" s="71"/>
      <c r="E2064" s="71" t="str">
        <f>IFERROR(__xludf.DUMMYFUNCTION("""COMPUTED_VALUE""")," ")</f>
        <v> </v>
      </c>
      <c r="F2064" s="2"/>
      <c r="G2064" s="2"/>
      <c r="H2064" s="2"/>
      <c r="I2064" s="72"/>
      <c r="J2064" s="72"/>
      <c r="K2064" s="72"/>
      <c r="L2064" s="72"/>
      <c r="M2064" s="2"/>
      <c r="N2064" s="2"/>
      <c r="O2064" s="2"/>
      <c r="P2064" s="2"/>
      <c r="Q2064" s="2"/>
      <c r="R2064" s="2"/>
      <c r="S2064" s="2"/>
      <c r="T2064" s="2"/>
      <c r="U2064" s="2"/>
      <c r="V2064" s="2"/>
      <c r="W2064" s="2"/>
      <c r="X2064" s="2"/>
      <c r="Y2064" s="2"/>
      <c r="Z2064" s="2"/>
      <c r="AA2064" s="2"/>
      <c r="AB2064" s="2"/>
      <c r="AC2064" s="2"/>
      <c r="AD2064" s="2"/>
      <c r="AE2064" s="2"/>
      <c r="AF2064" s="2"/>
      <c r="AG2064" s="2"/>
      <c r="AH2064" s="2"/>
      <c r="AI2064" s="2"/>
      <c r="AJ2064" s="2" t="str">
        <f>IFERROR(__xludf.DUMMYFUNCTION("""COMPUTED_VALUE"""),"")</f>
        <v/>
      </c>
      <c r="AK2064" s="2" t="str">
        <f>IFERROR(__xludf.DUMMYFUNCTION("""COMPUTED_VALUE"""),"")</f>
        <v/>
      </c>
      <c r="AL2064" s="2" t="str">
        <f>IFERROR(__xludf.DUMMYFUNCTION("""COMPUTED_VALUE"""),"")</f>
        <v/>
      </c>
      <c r="AM2064" s="2" t="str">
        <f>IFERROR(__xludf.DUMMYFUNCTION("""COMPUTED_VALUE"""),"")</f>
        <v/>
      </c>
      <c r="AN2064" s="2" t="str">
        <f>IFERROR(__xludf.DUMMYFUNCTION("""COMPUTED_VALUE""")," ")</f>
        <v> </v>
      </c>
      <c r="AO2064" s="2" t="str">
        <f>IFERROR(__xludf.DUMMYFUNCTION("""COMPUTED_VALUE""")," ")</f>
        <v> </v>
      </c>
      <c r="AP2064" s="2" t="str">
        <f>IFERROR(__xludf.DUMMYFUNCTION("""COMPUTED_VALUE"""),"")</f>
        <v/>
      </c>
      <c r="AQ2064" s="2"/>
      <c r="AR2064" s="2"/>
      <c r="AS2064" s="2"/>
      <c r="AT2064" s="2"/>
      <c r="AU2064" s="2"/>
      <c r="AV2064" s="2"/>
      <c r="AW2064" s="2"/>
      <c r="AX2064" s="2"/>
      <c r="AY2064" s="2"/>
      <c r="AZ2064" s="2"/>
      <c r="BA2064" s="2"/>
      <c r="BB2064" s="2"/>
    </row>
    <row r="2065">
      <c r="A2065" s="2"/>
      <c r="B2065" s="2" t="str">
        <f>IFERROR(__xludf.DUMMYFUNCTION("""COMPUTED_VALUE"""),"")</f>
        <v/>
      </c>
      <c r="C2065" s="2"/>
      <c r="D2065" s="71"/>
      <c r="E2065" s="71" t="str">
        <f>IFERROR(__xludf.DUMMYFUNCTION("""COMPUTED_VALUE""")," ")</f>
        <v> </v>
      </c>
      <c r="F2065" s="2"/>
      <c r="G2065" s="2"/>
      <c r="H2065" s="2"/>
      <c r="I2065" s="72"/>
      <c r="J2065" s="72"/>
      <c r="K2065" s="72"/>
      <c r="L2065" s="72"/>
      <c r="M2065" s="2"/>
      <c r="N2065" s="2"/>
      <c r="O2065" s="2"/>
      <c r="P2065" s="2"/>
      <c r="Q2065" s="2"/>
      <c r="R2065" s="2"/>
      <c r="S2065" s="2"/>
      <c r="T2065" s="2"/>
      <c r="U2065" s="2"/>
      <c r="V2065" s="2"/>
      <c r="W2065" s="2"/>
      <c r="X2065" s="2"/>
      <c r="Y2065" s="2"/>
      <c r="Z2065" s="2"/>
      <c r="AA2065" s="2"/>
      <c r="AB2065" s="2"/>
      <c r="AC2065" s="2"/>
      <c r="AD2065" s="2"/>
      <c r="AE2065" s="2"/>
      <c r="AF2065" s="2"/>
      <c r="AG2065" s="2"/>
      <c r="AH2065" s="2"/>
      <c r="AI2065" s="2"/>
      <c r="AJ2065" s="2" t="str">
        <f>IFERROR(__xludf.DUMMYFUNCTION("""COMPUTED_VALUE"""),"")</f>
        <v/>
      </c>
      <c r="AK2065" s="2" t="str">
        <f>IFERROR(__xludf.DUMMYFUNCTION("""COMPUTED_VALUE"""),"")</f>
        <v/>
      </c>
      <c r="AL2065" s="2" t="str">
        <f>IFERROR(__xludf.DUMMYFUNCTION("""COMPUTED_VALUE"""),"")</f>
        <v/>
      </c>
      <c r="AM2065" s="2" t="str">
        <f>IFERROR(__xludf.DUMMYFUNCTION("""COMPUTED_VALUE"""),"")</f>
        <v/>
      </c>
      <c r="AN2065" s="2" t="str">
        <f>IFERROR(__xludf.DUMMYFUNCTION("""COMPUTED_VALUE""")," ")</f>
        <v> </v>
      </c>
      <c r="AO2065" s="2" t="str">
        <f>IFERROR(__xludf.DUMMYFUNCTION("""COMPUTED_VALUE""")," ")</f>
        <v> </v>
      </c>
      <c r="AP2065" s="2" t="str">
        <f>IFERROR(__xludf.DUMMYFUNCTION("""COMPUTED_VALUE"""),"")</f>
        <v/>
      </c>
      <c r="AQ2065" s="2"/>
      <c r="AR2065" s="2"/>
      <c r="AS2065" s="2"/>
      <c r="AT2065" s="2"/>
      <c r="AU2065" s="2"/>
      <c r="AV2065" s="2"/>
      <c r="AW2065" s="2"/>
      <c r="AX2065" s="2"/>
      <c r="AY2065" s="2"/>
      <c r="AZ2065" s="2"/>
      <c r="BA2065" s="2"/>
      <c r="BB2065" s="2"/>
    </row>
    <row r="2066">
      <c r="A2066" s="2"/>
      <c r="B2066" s="2" t="str">
        <f>IFERROR(__xludf.DUMMYFUNCTION("""COMPUTED_VALUE"""),"")</f>
        <v/>
      </c>
      <c r="C2066" s="2"/>
      <c r="D2066" s="71"/>
      <c r="E2066" s="71" t="str">
        <f>IFERROR(__xludf.DUMMYFUNCTION("""COMPUTED_VALUE""")," ")</f>
        <v> </v>
      </c>
      <c r="F2066" s="2"/>
      <c r="G2066" s="2"/>
      <c r="H2066" s="2"/>
      <c r="I2066" s="72"/>
      <c r="J2066" s="72"/>
      <c r="K2066" s="72"/>
      <c r="L2066" s="72"/>
      <c r="M2066" s="2"/>
      <c r="N2066" s="2"/>
      <c r="O2066" s="2"/>
      <c r="P2066" s="2"/>
      <c r="Q2066" s="2"/>
      <c r="R2066" s="2"/>
      <c r="S2066" s="2"/>
      <c r="T2066" s="2"/>
      <c r="U2066" s="2"/>
      <c r="V2066" s="2"/>
      <c r="W2066" s="2"/>
      <c r="X2066" s="2"/>
      <c r="Y2066" s="2"/>
      <c r="Z2066" s="2"/>
      <c r="AA2066" s="2"/>
      <c r="AB2066" s="2"/>
      <c r="AC2066" s="2"/>
      <c r="AD2066" s="2"/>
      <c r="AE2066" s="2"/>
      <c r="AF2066" s="2"/>
      <c r="AG2066" s="2"/>
      <c r="AH2066" s="2"/>
      <c r="AI2066" s="2"/>
      <c r="AJ2066" s="2" t="str">
        <f>IFERROR(__xludf.DUMMYFUNCTION("""COMPUTED_VALUE"""),"")</f>
        <v/>
      </c>
      <c r="AK2066" s="2" t="str">
        <f>IFERROR(__xludf.DUMMYFUNCTION("""COMPUTED_VALUE"""),"")</f>
        <v/>
      </c>
      <c r="AL2066" s="2" t="str">
        <f>IFERROR(__xludf.DUMMYFUNCTION("""COMPUTED_VALUE"""),"")</f>
        <v/>
      </c>
      <c r="AM2066" s="2" t="str">
        <f>IFERROR(__xludf.DUMMYFUNCTION("""COMPUTED_VALUE"""),"")</f>
        <v/>
      </c>
      <c r="AN2066" s="2" t="str">
        <f>IFERROR(__xludf.DUMMYFUNCTION("""COMPUTED_VALUE""")," ")</f>
        <v> </v>
      </c>
      <c r="AO2066" s="2" t="str">
        <f>IFERROR(__xludf.DUMMYFUNCTION("""COMPUTED_VALUE""")," ")</f>
        <v> </v>
      </c>
      <c r="AP2066" s="2" t="str">
        <f>IFERROR(__xludf.DUMMYFUNCTION("""COMPUTED_VALUE"""),"")</f>
        <v/>
      </c>
      <c r="AQ2066" s="2"/>
      <c r="AR2066" s="2"/>
      <c r="AS2066" s="2"/>
      <c r="AT2066" s="2"/>
      <c r="AU2066" s="2"/>
      <c r="AV2066" s="2"/>
      <c r="AW2066" s="2"/>
      <c r="AX2066" s="2"/>
      <c r="AY2066" s="2"/>
      <c r="AZ2066" s="2"/>
      <c r="BA2066" s="2"/>
      <c r="BB2066" s="2"/>
    </row>
    <row r="2067">
      <c r="A2067" s="2"/>
      <c r="B2067" s="2" t="str">
        <f>IFERROR(__xludf.DUMMYFUNCTION("""COMPUTED_VALUE"""),"")</f>
        <v/>
      </c>
      <c r="C2067" s="2"/>
      <c r="D2067" s="71"/>
      <c r="E2067" s="71" t="str">
        <f>IFERROR(__xludf.DUMMYFUNCTION("""COMPUTED_VALUE""")," ")</f>
        <v> </v>
      </c>
      <c r="F2067" s="2"/>
      <c r="G2067" s="2"/>
      <c r="H2067" s="2"/>
      <c r="I2067" s="72"/>
      <c r="J2067" s="72"/>
      <c r="K2067" s="72"/>
      <c r="L2067" s="72"/>
      <c r="M2067" s="2"/>
      <c r="N2067" s="2"/>
      <c r="O2067" s="2"/>
      <c r="P2067" s="2"/>
      <c r="Q2067" s="2"/>
      <c r="R2067" s="2"/>
      <c r="S2067" s="2"/>
      <c r="T2067" s="2"/>
      <c r="U2067" s="2"/>
      <c r="V2067" s="2"/>
      <c r="W2067" s="2"/>
      <c r="X2067" s="2"/>
      <c r="Y2067" s="2"/>
      <c r="Z2067" s="2"/>
      <c r="AA2067" s="2"/>
      <c r="AB2067" s="2"/>
      <c r="AC2067" s="2"/>
      <c r="AD2067" s="2"/>
      <c r="AE2067" s="2"/>
      <c r="AF2067" s="2"/>
      <c r="AG2067" s="2"/>
      <c r="AH2067" s="2"/>
      <c r="AI2067" s="2"/>
      <c r="AJ2067" s="2" t="str">
        <f>IFERROR(__xludf.DUMMYFUNCTION("""COMPUTED_VALUE"""),"")</f>
        <v/>
      </c>
      <c r="AK2067" s="2" t="str">
        <f>IFERROR(__xludf.DUMMYFUNCTION("""COMPUTED_VALUE"""),"")</f>
        <v/>
      </c>
      <c r="AL2067" s="2" t="str">
        <f>IFERROR(__xludf.DUMMYFUNCTION("""COMPUTED_VALUE"""),"")</f>
        <v/>
      </c>
      <c r="AM2067" s="2" t="str">
        <f>IFERROR(__xludf.DUMMYFUNCTION("""COMPUTED_VALUE"""),"")</f>
        <v/>
      </c>
      <c r="AN2067" s="2" t="str">
        <f>IFERROR(__xludf.DUMMYFUNCTION("""COMPUTED_VALUE""")," ")</f>
        <v> </v>
      </c>
      <c r="AO2067" s="2" t="str">
        <f>IFERROR(__xludf.DUMMYFUNCTION("""COMPUTED_VALUE""")," ")</f>
        <v> </v>
      </c>
      <c r="AP2067" s="2" t="str">
        <f>IFERROR(__xludf.DUMMYFUNCTION("""COMPUTED_VALUE"""),"")</f>
        <v/>
      </c>
      <c r="AQ2067" s="2"/>
      <c r="AR2067" s="2"/>
      <c r="AS2067" s="2"/>
      <c r="AT2067" s="2"/>
      <c r="AU2067" s="2"/>
      <c r="AV2067" s="2"/>
      <c r="AW2067" s="2"/>
      <c r="AX2067" s="2"/>
      <c r="AY2067" s="2"/>
      <c r="AZ2067" s="2"/>
      <c r="BA2067" s="2"/>
      <c r="BB2067" s="2"/>
    </row>
    <row r="2068">
      <c r="A2068" s="2"/>
      <c r="B2068" s="2" t="str">
        <f>IFERROR(__xludf.DUMMYFUNCTION("""COMPUTED_VALUE"""),"")</f>
        <v/>
      </c>
      <c r="C2068" s="2"/>
      <c r="D2068" s="71"/>
      <c r="E2068" s="71" t="str">
        <f>IFERROR(__xludf.DUMMYFUNCTION("""COMPUTED_VALUE""")," ")</f>
        <v> </v>
      </c>
      <c r="F2068" s="2"/>
      <c r="G2068" s="2"/>
      <c r="H2068" s="2"/>
      <c r="I2068" s="72"/>
      <c r="J2068" s="72"/>
      <c r="K2068" s="72"/>
      <c r="L2068" s="72"/>
      <c r="M2068" s="2"/>
      <c r="N2068" s="2"/>
      <c r="O2068" s="2"/>
      <c r="P2068" s="2"/>
      <c r="Q2068" s="2"/>
      <c r="R2068" s="2"/>
      <c r="S2068" s="2"/>
      <c r="T2068" s="2"/>
      <c r="U2068" s="2"/>
      <c r="V2068" s="2"/>
      <c r="W2068" s="2"/>
      <c r="X2068" s="2"/>
      <c r="Y2068" s="2"/>
      <c r="Z2068" s="2"/>
      <c r="AA2068" s="2"/>
      <c r="AB2068" s="2"/>
      <c r="AC2068" s="2"/>
      <c r="AD2068" s="2"/>
      <c r="AE2068" s="2"/>
      <c r="AF2068" s="2"/>
      <c r="AG2068" s="2"/>
      <c r="AH2068" s="2"/>
      <c r="AI2068" s="2"/>
      <c r="AJ2068" s="2" t="str">
        <f>IFERROR(__xludf.DUMMYFUNCTION("""COMPUTED_VALUE"""),"")</f>
        <v/>
      </c>
      <c r="AK2068" s="2" t="str">
        <f>IFERROR(__xludf.DUMMYFUNCTION("""COMPUTED_VALUE"""),"")</f>
        <v/>
      </c>
      <c r="AL2068" s="2" t="str">
        <f>IFERROR(__xludf.DUMMYFUNCTION("""COMPUTED_VALUE"""),"")</f>
        <v/>
      </c>
      <c r="AM2068" s="2" t="str">
        <f>IFERROR(__xludf.DUMMYFUNCTION("""COMPUTED_VALUE"""),"")</f>
        <v/>
      </c>
      <c r="AN2068" s="2" t="str">
        <f>IFERROR(__xludf.DUMMYFUNCTION("""COMPUTED_VALUE""")," ")</f>
        <v> </v>
      </c>
      <c r="AO2068" s="2" t="str">
        <f>IFERROR(__xludf.DUMMYFUNCTION("""COMPUTED_VALUE""")," ")</f>
        <v> </v>
      </c>
      <c r="AP2068" s="2" t="str">
        <f>IFERROR(__xludf.DUMMYFUNCTION("""COMPUTED_VALUE"""),"")</f>
        <v/>
      </c>
      <c r="AQ2068" s="2"/>
      <c r="AR2068" s="2"/>
      <c r="AS2068" s="2"/>
      <c r="AT2068" s="2"/>
      <c r="AU2068" s="2"/>
      <c r="AV2068" s="2"/>
      <c r="AW2068" s="2"/>
      <c r="AX2068" s="2"/>
      <c r="AY2068" s="2"/>
      <c r="AZ2068" s="2"/>
      <c r="BA2068" s="2"/>
      <c r="BB2068" s="2"/>
    </row>
    <row r="2069">
      <c r="A2069" s="2"/>
      <c r="B2069" s="2" t="str">
        <f>IFERROR(__xludf.DUMMYFUNCTION("""COMPUTED_VALUE"""),"")</f>
        <v/>
      </c>
      <c r="C2069" s="2"/>
      <c r="D2069" s="71"/>
      <c r="E2069" s="71" t="str">
        <f>IFERROR(__xludf.DUMMYFUNCTION("""COMPUTED_VALUE""")," ")</f>
        <v> </v>
      </c>
      <c r="F2069" s="2"/>
      <c r="G2069" s="2"/>
      <c r="H2069" s="2"/>
      <c r="I2069" s="72"/>
      <c r="J2069" s="72"/>
      <c r="K2069" s="72"/>
      <c r="L2069" s="72"/>
      <c r="M2069" s="2"/>
      <c r="N2069" s="2"/>
      <c r="O2069" s="2"/>
      <c r="P2069" s="2"/>
      <c r="Q2069" s="2"/>
      <c r="R2069" s="2"/>
      <c r="S2069" s="2"/>
      <c r="T2069" s="2"/>
      <c r="U2069" s="2"/>
      <c r="V2069" s="2"/>
      <c r="W2069" s="2"/>
      <c r="X2069" s="2"/>
      <c r="Y2069" s="2"/>
      <c r="Z2069" s="2"/>
      <c r="AA2069" s="2"/>
      <c r="AB2069" s="2"/>
      <c r="AC2069" s="2"/>
      <c r="AD2069" s="2"/>
      <c r="AE2069" s="2"/>
      <c r="AF2069" s="2"/>
      <c r="AG2069" s="2"/>
      <c r="AH2069" s="2"/>
      <c r="AI2069" s="2"/>
      <c r="AJ2069" s="2" t="str">
        <f>IFERROR(__xludf.DUMMYFUNCTION("""COMPUTED_VALUE"""),"")</f>
        <v/>
      </c>
      <c r="AK2069" s="2" t="str">
        <f>IFERROR(__xludf.DUMMYFUNCTION("""COMPUTED_VALUE"""),"")</f>
        <v/>
      </c>
      <c r="AL2069" s="2" t="str">
        <f>IFERROR(__xludf.DUMMYFUNCTION("""COMPUTED_VALUE"""),"")</f>
        <v/>
      </c>
      <c r="AM2069" s="2" t="str">
        <f>IFERROR(__xludf.DUMMYFUNCTION("""COMPUTED_VALUE"""),"")</f>
        <v/>
      </c>
      <c r="AN2069" s="2" t="str">
        <f>IFERROR(__xludf.DUMMYFUNCTION("""COMPUTED_VALUE""")," ")</f>
        <v> </v>
      </c>
      <c r="AO2069" s="2" t="str">
        <f>IFERROR(__xludf.DUMMYFUNCTION("""COMPUTED_VALUE""")," ")</f>
        <v> </v>
      </c>
      <c r="AP2069" s="2" t="str">
        <f>IFERROR(__xludf.DUMMYFUNCTION("""COMPUTED_VALUE"""),"")</f>
        <v/>
      </c>
      <c r="AQ2069" s="2"/>
      <c r="AR2069" s="2"/>
      <c r="AS2069" s="2"/>
      <c r="AT2069" s="2"/>
      <c r="AU2069" s="2"/>
      <c r="AV2069" s="2"/>
      <c r="AW2069" s="2"/>
      <c r="AX2069" s="2"/>
      <c r="AY2069" s="2"/>
      <c r="AZ2069" s="2"/>
      <c r="BA2069" s="2"/>
      <c r="BB2069" s="2"/>
    </row>
    <row r="2070">
      <c r="A2070" s="2"/>
      <c r="B2070" s="2" t="str">
        <f>IFERROR(__xludf.DUMMYFUNCTION("""COMPUTED_VALUE"""),"")</f>
        <v/>
      </c>
      <c r="C2070" s="2"/>
      <c r="D2070" s="71"/>
      <c r="E2070" s="71" t="str">
        <f>IFERROR(__xludf.DUMMYFUNCTION("""COMPUTED_VALUE""")," ")</f>
        <v> </v>
      </c>
      <c r="F2070" s="2"/>
      <c r="G2070" s="2"/>
      <c r="H2070" s="2"/>
      <c r="I2070" s="72"/>
      <c r="J2070" s="72"/>
      <c r="K2070" s="72"/>
      <c r="L2070" s="72"/>
      <c r="M2070" s="2"/>
      <c r="N2070" s="2"/>
      <c r="O2070" s="2"/>
      <c r="P2070" s="2"/>
      <c r="Q2070" s="2"/>
      <c r="R2070" s="2"/>
      <c r="S2070" s="2"/>
      <c r="T2070" s="2"/>
      <c r="U2070" s="2"/>
      <c r="V2070" s="2"/>
      <c r="W2070" s="2"/>
      <c r="X2070" s="2"/>
      <c r="Y2070" s="2"/>
      <c r="Z2070" s="2"/>
      <c r="AA2070" s="2"/>
      <c r="AB2070" s="2"/>
      <c r="AC2070" s="2"/>
      <c r="AD2070" s="2"/>
      <c r="AE2070" s="2"/>
      <c r="AF2070" s="2"/>
      <c r="AG2070" s="2"/>
      <c r="AH2070" s="2"/>
      <c r="AI2070" s="2"/>
      <c r="AJ2070" s="2" t="str">
        <f>IFERROR(__xludf.DUMMYFUNCTION("""COMPUTED_VALUE"""),"")</f>
        <v/>
      </c>
      <c r="AK2070" s="2" t="str">
        <f>IFERROR(__xludf.DUMMYFUNCTION("""COMPUTED_VALUE"""),"")</f>
        <v/>
      </c>
      <c r="AL2070" s="2" t="str">
        <f>IFERROR(__xludf.DUMMYFUNCTION("""COMPUTED_VALUE"""),"")</f>
        <v/>
      </c>
      <c r="AM2070" s="2" t="str">
        <f>IFERROR(__xludf.DUMMYFUNCTION("""COMPUTED_VALUE"""),"")</f>
        <v/>
      </c>
      <c r="AN2070" s="2" t="str">
        <f>IFERROR(__xludf.DUMMYFUNCTION("""COMPUTED_VALUE""")," ")</f>
        <v> </v>
      </c>
      <c r="AO2070" s="2" t="str">
        <f>IFERROR(__xludf.DUMMYFUNCTION("""COMPUTED_VALUE""")," ")</f>
        <v> </v>
      </c>
      <c r="AP2070" s="2" t="str">
        <f>IFERROR(__xludf.DUMMYFUNCTION("""COMPUTED_VALUE"""),"")</f>
        <v/>
      </c>
      <c r="AQ2070" s="2"/>
      <c r="AR2070" s="2"/>
      <c r="AS2070" s="2"/>
      <c r="AT2070" s="2"/>
      <c r="AU2070" s="2"/>
      <c r="AV2070" s="2"/>
      <c r="AW2070" s="2"/>
      <c r="AX2070" s="2"/>
      <c r="AY2070" s="2"/>
      <c r="AZ2070" s="2"/>
      <c r="BA2070" s="2"/>
      <c r="BB2070" s="2"/>
    </row>
    <row r="2071">
      <c r="A2071" s="2"/>
      <c r="B2071" s="2" t="str">
        <f>IFERROR(__xludf.DUMMYFUNCTION("""COMPUTED_VALUE"""),"")</f>
        <v/>
      </c>
      <c r="C2071" s="2"/>
      <c r="D2071" s="71"/>
      <c r="E2071" s="71" t="str">
        <f>IFERROR(__xludf.DUMMYFUNCTION("""COMPUTED_VALUE""")," ")</f>
        <v> </v>
      </c>
      <c r="F2071" s="2"/>
      <c r="G2071" s="2"/>
      <c r="H2071" s="2"/>
      <c r="I2071" s="72"/>
      <c r="J2071" s="72"/>
      <c r="K2071" s="72"/>
      <c r="L2071" s="72"/>
      <c r="M2071" s="2"/>
      <c r="N2071" s="2"/>
      <c r="O2071" s="2"/>
      <c r="P2071" s="2"/>
      <c r="Q2071" s="2"/>
      <c r="R2071" s="2"/>
      <c r="S2071" s="2"/>
      <c r="T2071" s="2"/>
      <c r="U2071" s="2"/>
      <c r="V2071" s="2"/>
      <c r="W2071" s="2"/>
      <c r="X2071" s="2"/>
      <c r="Y2071" s="2"/>
      <c r="Z2071" s="2"/>
      <c r="AA2071" s="2"/>
      <c r="AB2071" s="2"/>
      <c r="AC2071" s="2"/>
      <c r="AD2071" s="2"/>
      <c r="AE2071" s="2"/>
      <c r="AF2071" s="2"/>
      <c r="AG2071" s="2"/>
      <c r="AH2071" s="2"/>
      <c r="AI2071" s="2"/>
      <c r="AJ2071" s="2" t="str">
        <f>IFERROR(__xludf.DUMMYFUNCTION("""COMPUTED_VALUE"""),"")</f>
        <v/>
      </c>
      <c r="AK2071" s="2" t="str">
        <f>IFERROR(__xludf.DUMMYFUNCTION("""COMPUTED_VALUE"""),"")</f>
        <v/>
      </c>
      <c r="AL2071" s="2" t="str">
        <f>IFERROR(__xludf.DUMMYFUNCTION("""COMPUTED_VALUE"""),"")</f>
        <v/>
      </c>
      <c r="AM2071" s="2" t="str">
        <f>IFERROR(__xludf.DUMMYFUNCTION("""COMPUTED_VALUE"""),"")</f>
        <v/>
      </c>
      <c r="AN2071" s="2" t="str">
        <f>IFERROR(__xludf.DUMMYFUNCTION("""COMPUTED_VALUE""")," ")</f>
        <v> </v>
      </c>
      <c r="AO2071" s="2" t="str">
        <f>IFERROR(__xludf.DUMMYFUNCTION("""COMPUTED_VALUE""")," ")</f>
        <v> </v>
      </c>
      <c r="AP2071" s="2" t="str">
        <f>IFERROR(__xludf.DUMMYFUNCTION("""COMPUTED_VALUE"""),"")</f>
        <v/>
      </c>
      <c r="AQ2071" s="2"/>
      <c r="AR2071" s="2"/>
      <c r="AS2071" s="2"/>
      <c r="AT2071" s="2"/>
      <c r="AU2071" s="2"/>
      <c r="AV2071" s="2"/>
      <c r="AW2071" s="2"/>
      <c r="AX2071" s="2"/>
      <c r="AY2071" s="2"/>
      <c r="AZ2071" s="2"/>
      <c r="BA2071" s="2"/>
      <c r="BB2071" s="2"/>
    </row>
    <row r="2072">
      <c r="A2072" s="2"/>
      <c r="B2072" s="2" t="str">
        <f>IFERROR(__xludf.DUMMYFUNCTION("""COMPUTED_VALUE"""),"")</f>
        <v/>
      </c>
      <c r="C2072" s="2"/>
      <c r="D2072" s="71"/>
      <c r="E2072" s="71" t="str">
        <f>IFERROR(__xludf.DUMMYFUNCTION("""COMPUTED_VALUE""")," ")</f>
        <v> </v>
      </c>
      <c r="F2072" s="2"/>
      <c r="G2072" s="2"/>
      <c r="H2072" s="2"/>
      <c r="I2072" s="72"/>
      <c r="J2072" s="72"/>
      <c r="K2072" s="72"/>
      <c r="L2072" s="72"/>
      <c r="M2072" s="2"/>
      <c r="N2072" s="2"/>
      <c r="O2072" s="2"/>
      <c r="P2072" s="2"/>
      <c r="Q2072" s="2"/>
      <c r="R2072" s="2"/>
      <c r="S2072" s="2"/>
      <c r="T2072" s="2"/>
      <c r="U2072" s="2"/>
      <c r="V2072" s="2"/>
      <c r="W2072" s="2"/>
      <c r="X2072" s="2"/>
      <c r="Y2072" s="2"/>
      <c r="Z2072" s="2"/>
      <c r="AA2072" s="2"/>
      <c r="AB2072" s="2"/>
      <c r="AC2072" s="2"/>
      <c r="AD2072" s="2"/>
      <c r="AE2072" s="2"/>
      <c r="AF2072" s="2"/>
      <c r="AG2072" s="2"/>
      <c r="AH2072" s="2"/>
      <c r="AI2072" s="2"/>
      <c r="AJ2072" s="2" t="str">
        <f>IFERROR(__xludf.DUMMYFUNCTION("""COMPUTED_VALUE"""),"")</f>
        <v/>
      </c>
      <c r="AK2072" s="2" t="str">
        <f>IFERROR(__xludf.DUMMYFUNCTION("""COMPUTED_VALUE"""),"")</f>
        <v/>
      </c>
      <c r="AL2072" s="2" t="str">
        <f>IFERROR(__xludf.DUMMYFUNCTION("""COMPUTED_VALUE"""),"")</f>
        <v/>
      </c>
      <c r="AM2072" s="2" t="str">
        <f>IFERROR(__xludf.DUMMYFUNCTION("""COMPUTED_VALUE"""),"")</f>
        <v/>
      </c>
      <c r="AN2072" s="2" t="str">
        <f>IFERROR(__xludf.DUMMYFUNCTION("""COMPUTED_VALUE""")," ")</f>
        <v> </v>
      </c>
      <c r="AO2072" s="2" t="str">
        <f>IFERROR(__xludf.DUMMYFUNCTION("""COMPUTED_VALUE""")," ")</f>
        <v> </v>
      </c>
      <c r="AP2072" s="2" t="str">
        <f>IFERROR(__xludf.DUMMYFUNCTION("""COMPUTED_VALUE"""),"")</f>
        <v/>
      </c>
      <c r="AQ2072" s="2"/>
      <c r="AR2072" s="2"/>
      <c r="AS2072" s="2"/>
      <c r="AT2072" s="2"/>
      <c r="AU2072" s="2"/>
      <c r="AV2072" s="2"/>
      <c r="AW2072" s="2"/>
      <c r="AX2072" s="2"/>
      <c r="AY2072" s="2"/>
      <c r="AZ2072" s="2"/>
      <c r="BA2072" s="2"/>
      <c r="BB2072" s="2"/>
    </row>
    <row r="2073">
      <c r="A2073" s="2"/>
      <c r="B2073" s="2" t="str">
        <f>IFERROR(__xludf.DUMMYFUNCTION("""COMPUTED_VALUE"""),"")</f>
        <v/>
      </c>
      <c r="C2073" s="2"/>
      <c r="D2073" s="71"/>
      <c r="E2073" s="71" t="str">
        <f>IFERROR(__xludf.DUMMYFUNCTION("""COMPUTED_VALUE""")," ")</f>
        <v> </v>
      </c>
      <c r="F2073" s="2"/>
      <c r="G2073" s="2"/>
      <c r="H2073" s="2"/>
      <c r="I2073" s="72"/>
      <c r="J2073" s="72"/>
      <c r="K2073" s="72"/>
      <c r="L2073" s="72"/>
      <c r="M2073" s="2"/>
      <c r="N2073" s="2"/>
      <c r="O2073" s="2"/>
      <c r="P2073" s="2"/>
      <c r="Q2073" s="2"/>
      <c r="R2073" s="2"/>
      <c r="S2073" s="2"/>
      <c r="T2073" s="2"/>
      <c r="U2073" s="2"/>
      <c r="V2073" s="2"/>
      <c r="W2073" s="2"/>
      <c r="X2073" s="2"/>
      <c r="Y2073" s="2"/>
      <c r="Z2073" s="2"/>
      <c r="AA2073" s="2"/>
      <c r="AB2073" s="2"/>
      <c r="AC2073" s="2"/>
      <c r="AD2073" s="2"/>
      <c r="AE2073" s="2"/>
      <c r="AF2073" s="2"/>
      <c r="AG2073" s="2"/>
      <c r="AH2073" s="2"/>
      <c r="AI2073" s="2"/>
      <c r="AJ2073" s="2" t="str">
        <f>IFERROR(__xludf.DUMMYFUNCTION("""COMPUTED_VALUE"""),"")</f>
        <v/>
      </c>
      <c r="AK2073" s="2" t="str">
        <f>IFERROR(__xludf.DUMMYFUNCTION("""COMPUTED_VALUE"""),"")</f>
        <v/>
      </c>
      <c r="AL2073" s="2" t="str">
        <f>IFERROR(__xludf.DUMMYFUNCTION("""COMPUTED_VALUE"""),"")</f>
        <v/>
      </c>
      <c r="AM2073" s="2" t="str">
        <f>IFERROR(__xludf.DUMMYFUNCTION("""COMPUTED_VALUE"""),"")</f>
        <v/>
      </c>
      <c r="AN2073" s="2" t="str">
        <f>IFERROR(__xludf.DUMMYFUNCTION("""COMPUTED_VALUE""")," ")</f>
        <v> </v>
      </c>
      <c r="AO2073" s="2" t="str">
        <f>IFERROR(__xludf.DUMMYFUNCTION("""COMPUTED_VALUE""")," ")</f>
        <v> </v>
      </c>
      <c r="AP2073" s="2" t="str">
        <f>IFERROR(__xludf.DUMMYFUNCTION("""COMPUTED_VALUE"""),"")</f>
        <v/>
      </c>
      <c r="AQ2073" s="2"/>
      <c r="AR2073" s="2"/>
      <c r="AS2073" s="2"/>
      <c r="AT2073" s="2"/>
      <c r="AU2073" s="2"/>
      <c r="AV2073" s="2"/>
      <c r="AW2073" s="2"/>
      <c r="AX2073" s="2"/>
      <c r="AY2073" s="2"/>
      <c r="AZ2073" s="2"/>
      <c r="BA2073" s="2"/>
      <c r="BB2073" s="2"/>
    </row>
    <row r="2074">
      <c r="A2074" s="2"/>
      <c r="B2074" s="2" t="str">
        <f>IFERROR(__xludf.DUMMYFUNCTION("""COMPUTED_VALUE"""),"")</f>
        <v/>
      </c>
      <c r="C2074" s="2"/>
      <c r="D2074" s="71"/>
      <c r="E2074" s="71" t="str">
        <f>IFERROR(__xludf.DUMMYFUNCTION("""COMPUTED_VALUE""")," ")</f>
        <v> </v>
      </c>
      <c r="F2074" s="2"/>
      <c r="G2074" s="2"/>
      <c r="H2074" s="2"/>
      <c r="I2074" s="72"/>
      <c r="J2074" s="72"/>
      <c r="K2074" s="72"/>
      <c r="L2074" s="72"/>
      <c r="M2074" s="2"/>
      <c r="N2074" s="2"/>
      <c r="O2074" s="2"/>
      <c r="P2074" s="2"/>
      <c r="Q2074" s="2"/>
      <c r="R2074" s="2"/>
      <c r="S2074" s="2"/>
      <c r="T2074" s="2"/>
      <c r="U2074" s="2"/>
      <c r="V2074" s="2"/>
      <c r="W2074" s="2"/>
      <c r="X2074" s="2"/>
      <c r="Y2074" s="2"/>
      <c r="Z2074" s="2"/>
      <c r="AA2074" s="2"/>
      <c r="AB2074" s="2"/>
      <c r="AC2074" s="2"/>
      <c r="AD2074" s="2"/>
      <c r="AE2074" s="2"/>
      <c r="AF2074" s="2"/>
      <c r="AG2074" s="2"/>
      <c r="AH2074" s="2"/>
      <c r="AI2074" s="2"/>
      <c r="AJ2074" s="2" t="str">
        <f>IFERROR(__xludf.DUMMYFUNCTION("""COMPUTED_VALUE"""),"")</f>
        <v/>
      </c>
      <c r="AK2074" s="2" t="str">
        <f>IFERROR(__xludf.DUMMYFUNCTION("""COMPUTED_VALUE"""),"")</f>
        <v/>
      </c>
      <c r="AL2074" s="2" t="str">
        <f>IFERROR(__xludf.DUMMYFUNCTION("""COMPUTED_VALUE"""),"")</f>
        <v/>
      </c>
      <c r="AM2074" s="2" t="str">
        <f>IFERROR(__xludf.DUMMYFUNCTION("""COMPUTED_VALUE"""),"")</f>
        <v/>
      </c>
      <c r="AN2074" s="2" t="str">
        <f>IFERROR(__xludf.DUMMYFUNCTION("""COMPUTED_VALUE""")," ")</f>
        <v> </v>
      </c>
      <c r="AO2074" s="2" t="str">
        <f>IFERROR(__xludf.DUMMYFUNCTION("""COMPUTED_VALUE""")," ")</f>
        <v> </v>
      </c>
      <c r="AP2074" s="2" t="str">
        <f>IFERROR(__xludf.DUMMYFUNCTION("""COMPUTED_VALUE"""),"")</f>
        <v/>
      </c>
      <c r="AQ2074" s="2"/>
      <c r="AR2074" s="2"/>
      <c r="AS2074" s="2"/>
      <c r="AT2074" s="2"/>
      <c r="AU2074" s="2"/>
      <c r="AV2074" s="2"/>
      <c r="AW2074" s="2"/>
      <c r="AX2074" s="2"/>
      <c r="AY2074" s="2"/>
      <c r="AZ2074" s="2"/>
      <c r="BA2074" s="2"/>
      <c r="BB2074" s="2"/>
    </row>
    <row r="2075">
      <c r="A2075" s="2"/>
      <c r="B2075" s="2" t="str">
        <f>IFERROR(__xludf.DUMMYFUNCTION("""COMPUTED_VALUE"""),"")</f>
        <v/>
      </c>
      <c r="C2075" s="2"/>
      <c r="D2075" s="71"/>
      <c r="E2075" s="71" t="str">
        <f>IFERROR(__xludf.DUMMYFUNCTION("""COMPUTED_VALUE""")," ")</f>
        <v> </v>
      </c>
      <c r="F2075" s="2"/>
      <c r="G2075" s="2"/>
      <c r="H2075" s="2"/>
      <c r="I2075" s="72"/>
      <c r="J2075" s="72"/>
      <c r="K2075" s="72"/>
      <c r="L2075" s="72"/>
      <c r="M2075" s="2"/>
      <c r="N2075" s="2"/>
      <c r="O2075" s="2"/>
      <c r="P2075" s="2"/>
      <c r="Q2075" s="2"/>
      <c r="R2075" s="2"/>
      <c r="S2075" s="2"/>
      <c r="T2075" s="2"/>
      <c r="U2075" s="2"/>
      <c r="V2075" s="2"/>
      <c r="W2075" s="2"/>
      <c r="X2075" s="2"/>
      <c r="Y2075" s="2"/>
      <c r="Z2075" s="2"/>
      <c r="AA2075" s="2"/>
      <c r="AB2075" s="2"/>
      <c r="AC2075" s="2"/>
      <c r="AD2075" s="2"/>
      <c r="AE2075" s="2"/>
      <c r="AF2075" s="2"/>
      <c r="AG2075" s="2"/>
      <c r="AH2075" s="2"/>
      <c r="AI2075" s="2"/>
      <c r="AJ2075" s="2" t="str">
        <f>IFERROR(__xludf.DUMMYFUNCTION("""COMPUTED_VALUE"""),"")</f>
        <v/>
      </c>
      <c r="AK2075" s="2" t="str">
        <f>IFERROR(__xludf.DUMMYFUNCTION("""COMPUTED_VALUE"""),"")</f>
        <v/>
      </c>
      <c r="AL2075" s="2" t="str">
        <f>IFERROR(__xludf.DUMMYFUNCTION("""COMPUTED_VALUE"""),"")</f>
        <v/>
      </c>
      <c r="AM2075" s="2" t="str">
        <f>IFERROR(__xludf.DUMMYFUNCTION("""COMPUTED_VALUE"""),"")</f>
        <v/>
      </c>
      <c r="AN2075" s="2" t="str">
        <f>IFERROR(__xludf.DUMMYFUNCTION("""COMPUTED_VALUE""")," ")</f>
        <v> </v>
      </c>
      <c r="AO2075" s="2" t="str">
        <f>IFERROR(__xludf.DUMMYFUNCTION("""COMPUTED_VALUE""")," ")</f>
        <v> </v>
      </c>
      <c r="AP2075" s="2" t="str">
        <f>IFERROR(__xludf.DUMMYFUNCTION("""COMPUTED_VALUE"""),"")</f>
        <v/>
      </c>
      <c r="AQ2075" s="2"/>
      <c r="AR2075" s="2"/>
      <c r="AS2075" s="2"/>
      <c r="AT2075" s="2"/>
      <c r="AU2075" s="2"/>
      <c r="AV2075" s="2"/>
      <c r="AW2075" s="2"/>
      <c r="AX2075" s="2"/>
      <c r="AY2075" s="2"/>
      <c r="AZ2075" s="2"/>
      <c r="BA2075" s="2"/>
      <c r="BB2075" s="2"/>
    </row>
    <row r="2076">
      <c r="A2076" s="2"/>
      <c r="B2076" s="2" t="str">
        <f>IFERROR(__xludf.DUMMYFUNCTION("""COMPUTED_VALUE"""),"")</f>
        <v/>
      </c>
      <c r="C2076" s="2"/>
      <c r="D2076" s="71"/>
      <c r="E2076" s="71" t="str">
        <f>IFERROR(__xludf.DUMMYFUNCTION("""COMPUTED_VALUE""")," ")</f>
        <v> </v>
      </c>
      <c r="F2076" s="2"/>
      <c r="G2076" s="2"/>
      <c r="H2076" s="2"/>
      <c r="I2076" s="72"/>
      <c r="J2076" s="72"/>
      <c r="K2076" s="72"/>
      <c r="L2076" s="72"/>
      <c r="M2076" s="2"/>
      <c r="N2076" s="2"/>
      <c r="O2076" s="2"/>
      <c r="P2076" s="2"/>
      <c r="Q2076" s="2"/>
      <c r="R2076" s="2"/>
      <c r="S2076" s="2"/>
      <c r="T2076" s="2"/>
      <c r="U2076" s="2"/>
      <c r="V2076" s="2"/>
      <c r="W2076" s="2"/>
      <c r="X2076" s="2"/>
      <c r="Y2076" s="2"/>
      <c r="Z2076" s="2"/>
      <c r="AA2076" s="2"/>
      <c r="AB2076" s="2"/>
      <c r="AC2076" s="2"/>
      <c r="AD2076" s="2"/>
      <c r="AE2076" s="2"/>
      <c r="AF2076" s="2"/>
      <c r="AG2076" s="2"/>
      <c r="AH2076" s="2"/>
      <c r="AI2076" s="2"/>
      <c r="AJ2076" s="2" t="str">
        <f>IFERROR(__xludf.DUMMYFUNCTION("""COMPUTED_VALUE"""),"")</f>
        <v/>
      </c>
      <c r="AK2076" s="2" t="str">
        <f>IFERROR(__xludf.DUMMYFUNCTION("""COMPUTED_VALUE"""),"")</f>
        <v/>
      </c>
      <c r="AL2076" s="2" t="str">
        <f>IFERROR(__xludf.DUMMYFUNCTION("""COMPUTED_VALUE"""),"")</f>
        <v/>
      </c>
      <c r="AM2076" s="2" t="str">
        <f>IFERROR(__xludf.DUMMYFUNCTION("""COMPUTED_VALUE"""),"")</f>
        <v/>
      </c>
      <c r="AN2076" s="2" t="str">
        <f>IFERROR(__xludf.DUMMYFUNCTION("""COMPUTED_VALUE""")," ")</f>
        <v> </v>
      </c>
      <c r="AO2076" s="2" t="str">
        <f>IFERROR(__xludf.DUMMYFUNCTION("""COMPUTED_VALUE""")," ")</f>
        <v> </v>
      </c>
      <c r="AP2076" s="2" t="str">
        <f>IFERROR(__xludf.DUMMYFUNCTION("""COMPUTED_VALUE"""),"")</f>
        <v/>
      </c>
      <c r="AQ2076" s="2"/>
      <c r="AR2076" s="2"/>
      <c r="AS2076" s="2"/>
      <c r="AT2076" s="2"/>
      <c r="AU2076" s="2"/>
      <c r="AV2076" s="2"/>
      <c r="AW2076" s="2"/>
      <c r="AX2076" s="2"/>
      <c r="AY2076" s="2"/>
      <c r="AZ2076" s="2"/>
      <c r="BA2076" s="2"/>
      <c r="BB2076" s="2"/>
    </row>
    <row r="2077">
      <c r="A2077" s="2"/>
      <c r="B2077" s="2" t="str">
        <f>IFERROR(__xludf.DUMMYFUNCTION("""COMPUTED_VALUE"""),"")</f>
        <v/>
      </c>
      <c r="C2077" s="2"/>
      <c r="D2077" s="71"/>
      <c r="E2077" s="71" t="str">
        <f>IFERROR(__xludf.DUMMYFUNCTION("""COMPUTED_VALUE""")," ")</f>
        <v> </v>
      </c>
      <c r="F2077" s="2"/>
      <c r="G2077" s="2"/>
      <c r="H2077" s="2"/>
      <c r="I2077" s="72"/>
      <c r="J2077" s="72"/>
      <c r="K2077" s="72"/>
      <c r="L2077" s="72"/>
      <c r="M2077" s="2"/>
      <c r="N2077" s="2"/>
      <c r="O2077" s="2"/>
      <c r="P2077" s="2"/>
      <c r="Q2077" s="2"/>
      <c r="R2077" s="2"/>
      <c r="S2077" s="2"/>
      <c r="T2077" s="2"/>
      <c r="U2077" s="2"/>
      <c r="V2077" s="2"/>
      <c r="W2077" s="2"/>
      <c r="X2077" s="2"/>
      <c r="Y2077" s="2"/>
      <c r="Z2077" s="2"/>
      <c r="AA2077" s="2"/>
      <c r="AB2077" s="2"/>
      <c r="AC2077" s="2"/>
      <c r="AD2077" s="2"/>
      <c r="AE2077" s="2"/>
      <c r="AF2077" s="2"/>
      <c r="AG2077" s="2"/>
      <c r="AH2077" s="2"/>
      <c r="AI2077" s="2"/>
      <c r="AJ2077" s="2" t="str">
        <f>IFERROR(__xludf.DUMMYFUNCTION("""COMPUTED_VALUE"""),"")</f>
        <v/>
      </c>
      <c r="AK2077" s="2" t="str">
        <f>IFERROR(__xludf.DUMMYFUNCTION("""COMPUTED_VALUE"""),"")</f>
        <v/>
      </c>
      <c r="AL2077" s="2" t="str">
        <f>IFERROR(__xludf.DUMMYFUNCTION("""COMPUTED_VALUE"""),"")</f>
        <v/>
      </c>
      <c r="AM2077" s="2" t="str">
        <f>IFERROR(__xludf.DUMMYFUNCTION("""COMPUTED_VALUE"""),"")</f>
        <v/>
      </c>
      <c r="AN2077" s="2" t="str">
        <f>IFERROR(__xludf.DUMMYFUNCTION("""COMPUTED_VALUE""")," ")</f>
        <v> </v>
      </c>
      <c r="AO2077" s="2" t="str">
        <f>IFERROR(__xludf.DUMMYFUNCTION("""COMPUTED_VALUE""")," ")</f>
        <v> </v>
      </c>
      <c r="AP2077" s="2" t="str">
        <f>IFERROR(__xludf.DUMMYFUNCTION("""COMPUTED_VALUE"""),"")</f>
        <v/>
      </c>
      <c r="AQ2077" s="2"/>
      <c r="AR2077" s="2"/>
      <c r="AS2077" s="2"/>
      <c r="AT2077" s="2"/>
      <c r="AU2077" s="2"/>
      <c r="AV2077" s="2"/>
      <c r="AW2077" s="2"/>
      <c r="AX2077" s="2"/>
      <c r="AY2077" s="2"/>
      <c r="AZ2077" s="2"/>
      <c r="BA2077" s="2"/>
      <c r="BB2077" s="2"/>
    </row>
    <row r="2078">
      <c r="A2078" s="2"/>
      <c r="B2078" s="2" t="str">
        <f>IFERROR(__xludf.DUMMYFUNCTION("""COMPUTED_VALUE"""),"")</f>
        <v/>
      </c>
      <c r="C2078" s="2"/>
      <c r="D2078" s="71"/>
      <c r="E2078" s="71" t="str">
        <f>IFERROR(__xludf.DUMMYFUNCTION("""COMPUTED_VALUE""")," ")</f>
        <v> </v>
      </c>
      <c r="F2078" s="2"/>
      <c r="G2078" s="2"/>
      <c r="H2078" s="2"/>
      <c r="I2078" s="72"/>
      <c r="J2078" s="72"/>
      <c r="K2078" s="72"/>
      <c r="L2078" s="72"/>
      <c r="M2078" s="2"/>
      <c r="N2078" s="2"/>
      <c r="O2078" s="2"/>
      <c r="P2078" s="2"/>
      <c r="Q2078" s="2"/>
      <c r="R2078" s="2"/>
      <c r="S2078" s="2"/>
      <c r="T2078" s="2"/>
      <c r="U2078" s="2"/>
      <c r="V2078" s="2"/>
      <c r="W2078" s="2"/>
      <c r="X2078" s="2"/>
      <c r="Y2078" s="2"/>
      <c r="Z2078" s="2"/>
      <c r="AA2078" s="2"/>
      <c r="AB2078" s="2"/>
      <c r="AC2078" s="2"/>
      <c r="AD2078" s="2"/>
      <c r="AE2078" s="2"/>
      <c r="AF2078" s="2"/>
      <c r="AG2078" s="2"/>
      <c r="AH2078" s="2"/>
      <c r="AI2078" s="2"/>
      <c r="AJ2078" s="2" t="str">
        <f>IFERROR(__xludf.DUMMYFUNCTION("""COMPUTED_VALUE"""),"")</f>
        <v/>
      </c>
      <c r="AK2078" s="2" t="str">
        <f>IFERROR(__xludf.DUMMYFUNCTION("""COMPUTED_VALUE"""),"")</f>
        <v/>
      </c>
      <c r="AL2078" s="2" t="str">
        <f>IFERROR(__xludf.DUMMYFUNCTION("""COMPUTED_VALUE"""),"")</f>
        <v/>
      </c>
      <c r="AM2078" s="2" t="str">
        <f>IFERROR(__xludf.DUMMYFUNCTION("""COMPUTED_VALUE"""),"")</f>
        <v/>
      </c>
      <c r="AN2078" s="2" t="str">
        <f>IFERROR(__xludf.DUMMYFUNCTION("""COMPUTED_VALUE""")," ")</f>
        <v> </v>
      </c>
      <c r="AO2078" s="2" t="str">
        <f>IFERROR(__xludf.DUMMYFUNCTION("""COMPUTED_VALUE""")," ")</f>
        <v> </v>
      </c>
      <c r="AP2078" s="2" t="str">
        <f>IFERROR(__xludf.DUMMYFUNCTION("""COMPUTED_VALUE"""),"")</f>
        <v/>
      </c>
      <c r="AQ2078" s="2"/>
      <c r="AR2078" s="2"/>
      <c r="AS2078" s="2"/>
      <c r="AT2078" s="2"/>
      <c r="AU2078" s="2"/>
      <c r="AV2078" s="2"/>
      <c r="AW2078" s="2"/>
      <c r="AX2078" s="2"/>
      <c r="AY2078" s="2"/>
      <c r="AZ2078" s="2"/>
      <c r="BA2078" s="2"/>
      <c r="BB2078" s="2"/>
    </row>
    <row r="2079">
      <c r="A2079" s="2"/>
      <c r="B2079" s="2" t="str">
        <f>IFERROR(__xludf.DUMMYFUNCTION("""COMPUTED_VALUE"""),"")</f>
        <v/>
      </c>
      <c r="C2079" s="2"/>
      <c r="D2079" s="71"/>
      <c r="E2079" s="71" t="str">
        <f>IFERROR(__xludf.DUMMYFUNCTION("""COMPUTED_VALUE""")," ")</f>
        <v> </v>
      </c>
      <c r="F2079" s="2"/>
      <c r="G2079" s="2"/>
      <c r="H2079" s="2"/>
      <c r="I2079" s="72"/>
      <c r="J2079" s="72"/>
      <c r="K2079" s="72"/>
      <c r="L2079" s="72"/>
      <c r="M2079" s="2"/>
      <c r="N2079" s="2"/>
      <c r="O2079" s="2"/>
      <c r="P2079" s="2"/>
      <c r="Q2079" s="2"/>
      <c r="R2079" s="2"/>
      <c r="S2079" s="2"/>
      <c r="T2079" s="2"/>
      <c r="U2079" s="2"/>
      <c r="V2079" s="2"/>
      <c r="W2079" s="2"/>
      <c r="X2079" s="2"/>
      <c r="Y2079" s="2"/>
      <c r="Z2079" s="2"/>
      <c r="AA2079" s="2"/>
      <c r="AB2079" s="2"/>
      <c r="AC2079" s="2"/>
      <c r="AD2079" s="2"/>
      <c r="AE2079" s="2"/>
      <c r="AF2079" s="2"/>
      <c r="AG2079" s="2"/>
      <c r="AH2079" s="2"/>
      <c r="AI2079" s="2"/>
      <c r="AJ2079" s="2" t="str">
        <f>IFERROR(__xludf.DUMMYFUNCTION("""COMPUTED_VALUE"""),"")</f>
        <v/>
      </c>
      <c r="AK2079" s="2" t="str">
        <f>IFERROR(__xludf.DUMMYFUNCTION("""COMPUTED_VALUE"""),"")</f>
        <v/>
      </c>
      <c r="AL2079" s="2" t="str">
        <f>IFERROR(__xludf.DUMMYFUNCTION("""COMPUTED_VALUE"""),"")</f>
        <v/>
      </c>
      <c r="AM2079" s="2" t="str">
        <f>IFERROR(__xludf.DUMMYFUNCTION("""COMPUTED_VALUE"""),"")</f>
        <v/>
      </c>
      <c r="AN2079" s="2" t="str">
        <f>IFERROR(__xludf.DUMMYFUNCTION("""COMPUTED_VALUE""")," ")</f>
        <v> </v>
      </c>
      <c r="AO2079" s="2" t="str">
        <f>IFERROR(__xludf.DUMMYFUNCTION("""COMPUTED_VALUE""")," ")</f>
        <v> </v>
      </c>
      <c r="AP2079" s="2" t="str">
        <f>IFERROR(__xludf.DUMMYFUNCTION("""COMPUTED_VALUE"""),"")</f>
        <v/>
      </c>
      <c r="AQ2079" s="2"/>
      <c r="AR2079" s="2"/>
      <c r="AS2079" s="2"/>
      <c r="AT2079" s="2"/>
      <c r="AU2079" s="2"/>
      <c r="AV2079" s="2"/>
      <c r="AW2079" s="2"/>
      <c r="AX2079" s="2"/>
      <c r="AY2079" s="2"/>
      <c r="AZ2079" s="2"/>
      <c r="BA2079" s="2"/>
      <c r="BB2079" s="2"/>
    </row>
    <row r="2080">
      <c r="A2080" s="2"/>
      <c r="B2080" s="2" t="str">
        <f>IFERROR(__xludf.DUMMYFUNCTION("""COMPUTED_VALUE"""),"")</f>
        <v/>
      </c>
      <c r="C2080" s="2"/>
      <c r="D2080" s="71"/>
      <c r="E2080" s="71" t="str">
        <f>IFERROR(__xludf.DUMMYFUNCTION("""COMPUTED_VALUE""")," ")</f>
        <v> </v>
      </c>
      <c r="F2080" s="2"/>
      <c r="G2080" s="2"/>
      <c r="H2080" s="2"/>
      <c r="I2080" s="72"/>
      <c r="J2080" s="72"/>
      <c r="K2080" s="72"/>
      <c r="L2080" s="72"/>
      <c r="M2080" s="2"/>
      <c r="N2080" s="2"/>
      <c r="O2080" s="2"/>
      <c r="P2080" s="2"/>
      <c r="Q2080" s="2"/>
      <c r="R2080" s="2"/>
      <c r="S2080" s="2"/>
      <c r="T2080" s="2"/>
      <c r="U2080" s="2"/>
      <c r="V2080" s="2"/>
      <c r="W2080" s="2"/>
      <c r="X2080" s="2"/>
      <c r="Y2080" s="2"/>
      <c r="Z2080" s="2"/>
      <c r="AA2080" s="2"/>
      <c r="AB2080" s="2"/>
      <c r="AC2080" s="2"/>
      <c r="AD2080" s="2"/>
      <c r="AE2080" s="2"/>
      <c r="AF2080" s="2"/>
      <c r="AG2080" s="2"/>
      <c r="AH2080" s="2"/>
      <c r="AI2080" s="2"/>
      <c r="AJ2080" s="2" t="str">
        <f>IFERROR(__xludf.DUMMYFUNCTION("""COMPUTED_VALUE"""),"")</f>
        <v/>
      </c>
      <c r="AK2080" s="2" t="str">
        <f>IFERROR(__xludf.DUMMYFUNCTION("""COMPUTED_VALUE"""),"")</f>
        <v/>
      </c>
      <c r="AL2080" s="2" t="str">
        <f>IFERROR(__xludf.DUMMYFUNCTION("""COMPUTED_VALUE"""),"")</f>
        <v/>
      </c>
      <c r="AM2080" s="2" t="str">
        <f>IFERROR(__xludf.DUMMYFUNCTION("""COMPUTED_VALUE"""),"")</f>
        <v/>
      </c>
      <c r="AN2080" s="2" t="str">
        <f>IFERROR(__xludf.DUMMYFUNCTION("""COMPUTED_VALUE""")," ")</f>
        <v> </v>
      </c>
      <c r="AO2080" s="2" t="str">
        <f>IFERROR(__xludf.DUMMYFUNCTION("""COMPUTED_VALUE""")," ")</f>
        <v> </v>
      </c>
      <c r="AP2080" s="2" t="str">
        <f>IFERROR(__xludf.DUMMYFUNCTION("""COMPUTED_VALUE"""),"")</f>
        <v/>
      </c>
      <c r="AQ2080" s="2"/>
      <c r="AR2080" s="2"/>
      <c r="AS2080" s="2"/>
      <c r="AT2080" s="2"/>
      <c r="AU2080" s="2"/>
      <c r="AV2080" s="2"/>
      <c r="AW2080" s="2"/>
      <c r="AX2080" s="2"/>
      <c r="AY2080" s="2"/>
      <c r="AZ2080" s="2"/>
      <c r="BA2080" s="2"/>
      <c r="BB2080" s="2"/>
    </row>
    <row r="2081">
      <c r="A2081" s="2"/>
      <c r="B2081" s="2" t="str">
        <f>IFERROR(__xludf.DUMMYFUNCTION("""COMPUTED_VALUE"""),"")</f>
        <v/>
      </c>
      <c r="C2081" s="2"/>
      <c r="D2081" s="71"/>
      <c r="E2081" s="71" t="str">
        <f>IFERROR(__xludf.DUMMYFUNCTION("""COMPUTED_VALUE""")," ")</f>
        <v> </v>
      </c>
      <c r="F2081" s="2"/>
      <c r="G2081" s="2"/>
      <c r="H2081" s="2"/>
      <c r="I2081" s="72"/>
      <c r="J2081" s="72"/>
      <c r="K2081" s="72"/>
      <c r="L2081" s="72"/>
      <c r="M2081" s="2"/>
      <c r="N2081" s="2"/>
      <c r="O2081" s="2"/>
      <c r="P2081" s="2"/>
      <c r="Q2081" s="2"/>
      <c r="R2081" s="2"/>
      <c r="S2081" s="2"/>
      <c r="T2081" s="2"/>
      <c r="U2081" s="2"/>
      <c r="V2081" s="2"/>
      <c r="W2081" s="2"/>
      <c r="X2081" s="2"/>
      <c r="Y2081" s="2"/>
      <c r="Z2081" s="2"/>
      <c r="AA2081" s="2"/>
      <c r="AB2081" s="2"/>
      <c r="AC2081" s="2"/>
      <c r="AD2081" s="2"/>
      <c r="AE2081" s="2"/>
      <c r="AF2081" s="2"/>
      <c r="AG2081" s="2"/>
      <c r="AH2081" s="2"/>
      <c r="AI2081" s="2"/>
      <c r="AJ2081" s="2" t="str">
        <f>IFERROR(__xludf.DUMMYFUNCTION("""COMPUTED_VALUE"""),"")</f>
        <v/>
      </c>
      <c r="AK2081" s="2" t="str">
        <f>IFERROR(__xludf.DUMMYFUNCTION("""COMPUTED_VALUE"""),"")</f>
        <v/>
      </c>
      <c r="AL2081" s="2" t="str">
        <f>IFERROR(__xludf.DUMMYFUNCTION("""COMPUTED_VALUE"""),"")</f>
        <v/>
      </c>
      <c r="AM2081" s="2" t="str">
        <f>IFERROR(__xludf.DUMMYFUNCTION("""COMPUTED_VALUE"""),"")</f>
        <v/>
      </c>
      <c r="AN2081" s="2" t="str">
        <f>IFERROR(__xludf.DUMMYFUNCTION("""COMPUTED_VALUE""")," ")</f>
        <v> </v>
      </c>
      <c r="AO2081" s="2" t="str">
        <f>IFERROR(__xludf.DUMMYFUNCTION("""COMPUTED_VALUE""")," ")</f>
        <v> </v>
      </c>
      <c r="AP2081" s="2" t="str">
        <f>IFERROR(__xludf.DUMMYFUNCTION("""COMPUTED_VALUE"""),"")</f>
        <v/>
      </c>
      <c r="AQ2081" s="2"/>
      <c r="AR2081" s="2"/>
      <c r="AS2081" s="2"/>
      <c r="AT2081" s="2"/>
      <c r="AU2081" s="2"/>
      <c r="AV2081" s="2"/>
      <c r="AW2081" s="2"/>
      <c r="AX2081" s="2"/>
      <c r="AY2081" s="2"/>
      <c r="AZ2081" s="2"/>
      <c r="BA2081" s="2"/>
      <c r="BB2081" s="2"/>
    </row>
    <row r="2082">
      <c r="A2082" s="2"/>
      <c r="B2082" s="2" t="str">
        <f>IFERROR(__xludf.DUMMYFUNCTION("""COMPUTED_VALUE"""),"")</f>
        <v/>
      </c>
      <c r="C2082" s="2"/>
      <c r="D2082" s="71"/>
      <c r="E2082" s="71" t="str">
        <f>IFERROR(__xludf.DUMMYFUNCTION("""COMPUTED_VALUE""")," ")</f>
        <v> </v>
      </c>
      <c r="F2082" s="2"/>
      <c r="G2082" s="2"/>
      <c r="H2082" s="2"/>
      <c r="I2082" s="72"/>
      <c r="J2082" s="72"/>
      <c r="K2082" s="72"/>
      <c r="L2082" s="72"/>
      <c r="M2082" s="2"/>
      <c r="N2082" s="2"/>
      <c r="O2082" s="2"/>
      <c r="P2082" s="2"/>
      <c r="Q2082" s="2"/>
      <c r="R2082" s="2"/>
      <c r="S2082" s="2"/>
      <c r="T2082" s="2"/>
      <c r="U2082" s="2"/>
      <c r="V2082" s="2"/>
      <c r="W2082" s="2"/>
      <c r="X2082" s="2"/>
      <c r="Y2082" s="2"/>
      <c r="Z2082" s="2"/>
      <c r="AA2082" s="2"/>
      <c r="AB2082" s="2"/>
      <c r="AC2082" s="2"/>
      <c r="AD2082" s="2"/>
      <c r="AE2082" s="2"/>
      <c r="AF2082" s="2"/>
      <c r="AG2082" s="2"/>
      <c r="AH2082" s="2"/>
      <c r="AI2082" s="2"/>
      <c r="AJ2082" s="2" t="str">
        <f>IFERROR(__xludf.DUMMYFUNCTION("""COMPUTED_VALUE"""),"")</f>
        <v/>
      </c>
      <c r="AK2082" s="2" t="str">
        <f>IFERROR(__xludf.DUMMYFUNCTION("""COMPUTED_VALUE"""),"")</f>
        <v/>
      </c>
      <c r="AL2082" s="2" t="str">
        <f>IFERROR(__xludf.DUMMYFUNCTION("""COMPUTED_VALUE"""),"")</f>
        <v/>
      </c>
      <c r="AM2082" s="2" t="str">
        <f>IFERROR(__xludf.DUMMYFUNCTION("""COMPUTED_VALUE"""),"")</f>
        <v/>
      </c>
      <c r="AN2082" s="2" t="str">
        <f>IFERROR(__xludf.DUMMYFUNCTION("""COMPUTED_VALUE""")," ")</f>
        <v> </v>
      </c>
      <c r="AO2082" s="2" t="str">
        <f>IFERROR(__xludf.DUMMYFUNCTION("""COMPUTED_VALUE""")," ")</f>
        <v> </v>
      </c>
      <c r="AP2082" s="2" t="str">
        <f>IFERROR(__xludf.DUMMYFUNCTION("""COMPUTED_VALUE"""),"")</f>
        <v/>
      </c>
      <c r="AQ2082" s="2"/>
      <c r="AR2082" s="2"/>
      <c r="AS2082" s="2"/>
      <c r="AT2082" s="2"/>
      <c r="AU2082" s="2"/>
      <c r="AV2082" s="2"/>
      <c r="AW2082" s="2"/>
      <c r="AX2082" s="2"/>
      <c r="AY2082" s="2"/>
      <c r="AZ2082" s="2"/>
      <c r="BA2082" s="2"/>
      <c r="BB2082" s="2"/>
    </row>
    <row r="2083">
      <c r="A2083" s="2"/>
      <c r="B2083" s="2" t="str">
        <f>IFERROR(__xludf.DUMMYFUNCTION("""COMPUTED_VALUE"""),"")</f>
        <v/>
      </c>
      <c r="C2083" s="2"/>
      <c r="D2083" s="71"/>
      <c r="E2083" s="71" t="str">
        <f>IFERROR(__xludf.DUMMYFUNCTION("""COMPUTED_VALUE""")," ")</f>
        <v> </v>
      </c>
      <c r="F2083" s="2"/>
      <c r="G2083" s="2"/>
      <c r="H2083" s="2"/>
      <c r="I2083" s="72"/>
      <c r="J2083" s="72"/>
      <c r="K2083" s="72"/>
      <c r="L2083" s="72"/>
      <c r="M2083" s="2"/>
      <c r="N2083" s="2"/>
      <c r="O2083" s="2"/>
      <c r="P2083" s="2"/>
      <c r="Q2083" s="2"/>
      <c r="R2083" s="2"/>
      <c r="S2083" s="2"/>
      <c r="T2083" s="2"/>
      <c r="U2083" s="2"/>
      <c r="V2083" s="2"/>
      <c r="W2083" s="2"/>
      <c r="X2083" s="2"/>
      <c r="Y2083" s="2"/>
      <c r="Z2083" s="2"/>
      <c r="AA2083" s="2"/>
      <c r="AB2083" s="2"/>
      <c r="AC2083" s="2"/>
      <c r="AD2083" s="2"/>
      <c r="AE2083" s="2"/>
      <c r="AF2083" s="2"/>
      <c r="AG2083" s="2"/>
      <c r="AH2083" s="2"/>
      <c r="AI2083" s="2"/>
      <c r="AJ2083" s="2" t="str">
        <f>IFERROR(__xludf.DUMMYFUNCTION("""COMPUTED_VALUE"""),"")</f>
        <v/>
      </c>
      <c r="AK2083" s="2" t="str">
        <f>IFERROR(__xludf.DUMMYFUNCTION("""COMPUTED_VALUE"""),"")</f>
        <v/>
      </c>
      <c r="AL2083" s="2" t="str">
        <f>IFERROR(__xludf.DUMMYFUNCTION("""COMPUTED_VALUE"""),"")</f>
        <v/>
      </c>
      <c r="AM2083" s="2" t="str">
        <f>IFERROR(__xludf.DUMMYFUNCTION("""COMPUTED_VALUE"""),"")</f>
        <v/>
      </c>
      <c r="AN2083" s="2" t="str">
        <f>IFERROR(__xludf.DUMMYFUNCTION("""COMPUTED_VALUE""")," ")</f>
        <v> </v>
      </c>
      <c r="AO2083" s="2" t="str">
        <f>IFERROR(__xludf.DUMMYFUNCTION("""COMPUTED_VALUE""")," ")</f>
        <v> </v>
      </c>
      <c r="AP2083" s="2" t="str">
        <f>IFERROR(__xludf.DUMMYFUNCTION("""COMPUTED_VALUE"""),"")</f>
        <v/>
      </c>
      <c r="AQ2083" s="2"/>
      <c r="AR2083" s="2"/>
      <c r="AS2083" s="2"/>
      <c r="AT2083" s="2"/>
      <c r="AU2083" s="2"/>
      <c r="AV2083" s="2"/>
      <c r="AW2083" s="2"/>
      <c r="AX2083" s="2"/>
      <c r="AY2083" s="2"/>
      <c r="AZ2083" s="2"/>
      <c r="BA2083" s="2"/>
      <c r="BB2083" s="2"/>
    </row>
    <row r="2084">
      <c r="A2084" s="2"/>
      <c r="B2084" s="2" t="str">
        <f>IFERROR(__xludf.DUMMYFUNCTION("""COMPUTED_VALUE"""),"")</f>
        <v/>
      </c>
      <c r="C2084" s="2"/>
      <c r="D2084" s="71"/>
      <c r="E2084" s="71" t="str">
        <f>IFERROR(__xludf.DUMMYFUNCTION("""COMPUTED_VALUE""")," ")</f>
        <v> </v>
      </c>
      <c r="F2084" s="2"/>
      <c r="G2084" s="2"/>
      <c r="H2084" s="2"/>
      <c r="I2084" s="72"/>
      <c r="J2084" s="72"/>
      <c r="K2084" s="72"/>
      <c r="L2084" s="72"/>
      <c r="M2084" s="2"/>
      <c r="N2084" s="2"/>
      <c r="O2084" s="2"/>
      <c r="P2084" s="2"/>
      <c r="Q2084" s="2"/>
      <c r="R2084" s="2"/>
      <c r="S2084" s="2"/>
      <c r="T2084" s="2"/>
      <c r="U2084" s="2"/>
      <c r="V2084" s="2"/>
      <c r="W2084" s="2"/>
      <c r="X2084" s="2"/>
      <c r="Y2084" s="2"/>
      <c r="Z2084" s="2"/>
      <c r="AA2084" s="2"/>
      <c r="AB2084" s="2"/>
      <c r="AC2084" s="2"/>
      <c r="AD2084" s="2"/>
      <c r="AE2084" s="2"/>
      <c r="AF2084" s="2"/>
      <c r="AG2084" s="2"/>
      <c r="AH2084" s="2"/>
      <c r="AI2084" s="2"/>
      <c r="AJ2084" s="2" t="str">
        <f>IFERROR(__xludf.DUMMYFUNCTION("""COMPUTED_VALUE"""),"")</f>
        <v/>
      </c>
      <c r="AK2084" s="2" t="str">
        <f>IFERROR(__xludf.DUMMYFUNCTION("""COMPUTED_VALUE"""),"")</f>
        <v/>
      </c>
      <c r="AL2084" s="2" t="str">
        <f>IFERROR(__xludf.DUMMYFUNCTION("""COMPUTED_VALUE"""),"")</f>
        <v/>
      </c>
      <c r="AM2084" s="2" t="str">
        <f>IFERROR(__xludf.DUMMYFUNCTION("""COMPUTED_VALUE"""),"")</f>
        <v/>
      </c>
      <c r="AN2084" s="2" t="str">
        <f>IFERROR(__xludf.DUMMYFUNCTION("""COMPUTED_VALUE""")," ")</f>
        <v> </v>
      </c>
      <c r="AO2084" s="2" t="str">
        <f>IFERROR(__xludf.DUMMYFUNCTION("""COMPUTED_VALUE""")," ")</f>
        <v> </v>
      </c>
      <c r="AP2084" s="2" t="str">
        <f>IFERROR(__xludf.DUMMYFUNCTION("""COMPUTED_VALUE"""),"")</f>
        <v/>
      </c>
      <c r="AQ2084" s="2"/>
      <c r="AR2084" s="2"/>
      <c r="AS2084" s="2"/>
      <c r="AT2084" s="2"/>
      <c r="AU2084" s="2"/>
      <c r="AV2084" s="2"/>
      <c r="AW2084" s="2"/>
      <c r="AX2084" s="2"/>
      <c r="AY2084" s="2"/>
      <c r="AZ2084" s="2"/>
      <c r="BA2084" s="2"/>
      <c r="BB2084" s="2"/>
    </row>
    <row r="2085">
      <c r="A2085" s="2"/>
      <c r="B2085" s="2" t="str">
        <f>IFERROR(__xludf.DUMMYFUNCTION("""COMPUTED_VALUE"""),"")</f>
        <v/>
      </c>
      <c r="C2085" s="2"/>
      <c r="D2085" s="71"/>
      <c r="E2085" s="71" t="str">
        <f>IFERROR(__xludf.DUMMYFUNCTION("""COMPUTED_VALUE""")," ")</f>
        <v> </v>
      </c>
      <c r="F2085" s="2"/>
      <c r="G2085" s="2"/>
      <c r="H2085" s="2"/>
      <c r="I2085" s="72"/>
      <c r="J2085" s="72"/>
      <c r="K2085" s="72"/>
      <c r="L2085" s="72"/>
      <c r="M2085" s="2"/>
      <c r="N2085" s="2"/>
      <c r="O2085" s="2"/>
      <c r="P2085" s="2"/>
      <c r="Q2085" s="2"/>
      <c r="R2085" s="2"/>
      <c r="S2085" s="2"/>
      <c r="T2085" s="2"/>
      <c r="U2085" s="2"/>
      <c r="V2085" s="2"/>
      <c r="W2085" s="2"/>
      <c r="X2085" s="2"/>
      <c r="Y2085" s="2"/>
      <c r="Z2085" s="2"/>
      <c r="AA2085" s="2"/>
      <c r="AB2085" s="2"/>
      <c r="AC2085" s="2"/>
      <c r="AD2085" s="2"/>
      <c r="AE2085" s="2"/>
      <c r="AF2085" s="2"/>
      <c r="AG2085" s="2"/>
      <c r="AH2085" s="2"/>
      <c r="AI2085" s="2"/>
      <c r="AJ2085" s="2" t="str">
        <f>IFERROR(__xludf.DUMMYFUNCTION("""COMPUTED_VALUE"""),"")</f>
        <v/>
      </c>
      <c r="AK2085" s="2" t="str">
        <f>IFERROR(__xludf.DUMMYFUNCTION("""COMPUTED_VALUE"""),"")</f>
        <v/>
      </c>
      <c r="AL2085" s="2" t="str">
        <f>IFERROR(__xludf.DUMMYFUNCTION("""COMPUTED_VALUE"""),"")</f>
        <v/>
      </c>
      <c r="AM2085" s="2" t="str">
        <f>IFERROR(__xludf.DUMMYFUNCTION("""COMPUTED_VALUE"""),"")</f>
        <v/>
      </c>
      <c r="AN2085" s="2" t="str">
        <f>IFERROR(__xludf.DUMMYFUNCTION("""COMPUTED_VALUE""")," ")</f>
        <v> </v>
      </c>
      <c r="AO2085" s="2" t="str">
        <f>IFERROR(__xludf.DUMMYFUNCTION("""COMPUTED_VALUE""")," ")</f>
        <v> </v>
      </c>
      <c r="AP2085" s="2" t="str">
        <f>IFERROR(__xludf.DUMMYFUNCTION("""COMPUTED_VALUE"""),"")</f>
        <v/>
      </c>
      <c r="AQ2085" s="2"/>
      <c r="AR2085" s="2"/>
      <c r="AS2085" s="2"/>
      <c r="AT2085" s="2"/>
      <c r="AU2085" s="2"/>
      <c r="AV2085" s="2"/>
      <c r="AW2085" s="2"/>
      <c r="AX2085" s="2"/>
      <c r="AY2085" s="2"/>
      <c r="AZ2085" s="2"/>
      <c r="BA2085" s="2"/>
      <c r="BB2085" s="2"/>
    </row>
    <row r="2086">
      <c r="A2086" s="2"/>
      <c r="B2086" s="2" t="str">
        <f>IFERROR(__xludf.DUMMYFUNCTION("""COMPUTED_VALUE"""),"")</f>
        <v/>
      </c>
      <c r="C2086" s="2"/>
      <c r="D2086" s="71"/>
      <c r="E2086" s="71" t="str">
        <f>IFERROR(__xludf.DUMMYFUNCTION("""COMPUTED_VALUE""")," ")</f>
        <v> </v>
      </c>
      <c r="F2086" s="2"/>
      <c r="G2086" s="2"/>
      <c r="H2086" s="2"/>
      <c r="I2086" s="72"/>
      <c r="J2086" s="72"/>
      <c r="K2086" s="72"/>
      <c r="L2086" s="72"/>
      <c r="M2086" s="2"/>
      <c r="N2086" s="2"/>
      <c r="O2086" s="2"/>
      <c r="P2086" s="2"/>
      <c r="Q2086" s="2"/>
      <c r="R2086" s="2"/>
      <c r="S2086" s="2"/>
      <c r="T2086" s="2"/>
      <c r="U2086" s="2"/>
      <c r="V2086" s="2"/>
      <c r="W2086" s="2"/>
      <c r="X2086" s="2"/>
      <c r="Y2086" s="2"/>
      <c r="Z2086" s="2"/>
      <c r="AA2086" s="2"/>
      <c r="AB2086" s="2"/>
      <c r="AC2086" s="2"/>
      <c r="AD2086" s="2"/>
      <c r="AE2086" s="2"/>
      <c r="AF2086" s="2"/>
      <c r="AG2086" s="2"/>
      <c r="AH2086" s="2"/>
      <c r="AI2086" s="2"/>
      <c r="AJ2086" s="2" t="str">
        <f>IFERROR(__xludf.DUMMYFUNCTION("""COMPUTED_VALUE"""),"")</f>
        <v/>
      </c>
      <c r="AK2086" s="2" t="str">
        <f>IFERROR(__xludf.DUMMYFUNCTION("""COMPUTED_VALUE"""),"")</f>
        <v/>
      </c>
      <c r="AL2086" s="2" t="str">
        <f>IFERROR(__xludf.DUMMYFUNCTION("""COMPUTED_VALUE"""),"")</f>
        <v/>
      </c>
      <c r="AM2086" s="2" t="str">
        <f>IFERROR(__xludf.DUMMYFUNCTION("""COMPUTED_VALUE"""),"")</f>
        <v/>
      </c>
      <c r="AN2086" s="2" t="str">
        <f>IFERROR(__xludf.DUMMYFUNCTION("""COMPUTED_VALUE""")," ")</f>
        <v> </v>
      </c>
      <c r="AO2086" s="2" t="str">
        <f>IFERROR(__xludf.DUMMYFUNCTION("""COMPUTED_VALUE""")," ")</f>
        <v> </v>
      </c>
      <c r="AP2086" s="2" t="str">
        <f>IFERROR(__xludf.DUMMYFUNCTION("""COMPUTED_VALUE"""),"")</f>
        <v/>
      </c>
      <c r="AQ2086" s="2"/>
      <c r="AR2086" s="2"/>
      <c r="AS2086" s="2"/>
      <c r="AT2086" s="2"/>
      <c r="AU2086" s="2"/>
      <c r="AV2086" s="2"/>
      <c r="AW2086" s="2"/>
      <c r="AX2086" s="2"/>
      <c r="AY2086" s="2"/>
      <c r="AZ2086" s="2"/>
      <c r="BA2086" s="2"/>
      <c r="BB2086" s="2"/>
    </row>
    <row r="2087">
      <c r="A2087" s="2"/>
      <c r="B2087" s="2" t="str">
        <f>IFERROR(__xludf.DUMMYFUNCTION("""COMPUTED_VALUE"""),"")</f>
        <v/>
      </c>
      <c r="C2087" s="2"/>
      <c r="D2087" s="71"/>
      <c r="E2087" s="71" t="str">
        <f>IFERROR(__xludf.DUMMYFUNCTION("""COMPUTED_VALUE""")," ")</f>
        <v> </v>
      </c>
      <c r="F2087" s="2"/>
      <c r="G2087" s="2"/>
      <c r="H2087" s="2"/>
      <c r="I2087" s="72"/>
      <c r="J2087" s="72"/>
      <c r="K2087" s="72"/>
      <c r="L2087" s="72"/>
      <c r="M2087" s="2"/>
      <c r="N2087" s="2"/>
      <c r="O2087" s="2"/>
      <c r="P2087" s="2"/>
      <c r="Q2087" s="2"/>
      <c r="R2087" s="2"/>
      <c r="S2087" s="2"/>
      <c r="T2087" s="2"/>
      <c r="U2087" s="2"/>
      <c r="V2087" s="2"/>
      <c r="W2087" s="2"/>
      <c r="X2087" s="2"/>
      <c r="Y2087" s="2"/>
      <c r="Z2087" s="2"/>
      <c r="AA2087" s="2"/>
      <c r="AB2087" s="2"/>
      <c r="AC2087" s="2"/>
      <c r="AD2087" s="2"/>
      <c r="AE2087" s="2"/>
      <c r="AF2087" s="2"/>
      <c r="AG2087" s="2"/>
      <c r="AH2087" s="2"/>
      <c r="AI2087" s="2"/>
      <c r="AJ2087" s="2" t="str">
        <f>IFERROR(__xludf.DUMMYFUNCTION("""COMPUTED_VALUE"""),"")</f>
        <v/>
      </c>
      <c r="AK2087" s="2" t="str">
        <f>IFERROR(__xludf.DUMMYFUNCTION("""COMPUTED_VALUE"""),"")</f>
        <v/>
      </c>
      <c r="AL2087" s="2" t="str">
        <f>IFERROR(__xludf.DUMMYFUNCTION("""COMPUTED_VALUE"""),"")</f>
        <v/>
      </c>
      <c r="AM2087" s="2" t="str">
        <f>IFERROR(__xludf.DUMMYFUNCTION("""COMPUTED_VALUE"""),"")</f>
        <v/>
      </c>
      <c r="AN2087" s="2" t="str">
        <f>IFERROR(__xludf.DUMMYFUNCTION("""COMPUTED_VALUE""")," ")</f>
        <v> </v>
      </c>
      <c r="AO2087" s="2" t="str">
        <f>IFERROR(__xludf.DUMMYFUNCTION("""COMPUTED_VALUE""")," ")</f>
        <v> </v>
      </c>
      <c r="AP2087" s="2" t="str">
        <f>IFERROR(__xludf.DUMMYFUNCTION("""COMPUTED_VALUE"""),"")</f>
        <v/>
      </c>
      <c r="AQ2087" s="2"/>
      <c r="AR2087" s="2"/>
      <c r="AS2087" s="2"/>
      <c r="AT2087" s="2"/>
      <c r="AU2087" s="2"/>
      <c r="AV2087" s="2"/>
      <c r="AW2087" s="2"/>
      <c r="AX2087" s="2"/>
      <c r="AY2087" s="2"/>
      <c r="AZ2087" s="2"/>
      <c r="BA2087" s="2"/>
      <c r="BB2087" s="2"/>
    </row>
    <row r="2088">
      <c r="A2088" s="2"/>
      <c r="B2088" s="2" t="str">
        <f>IFERROR(__xludf.DUMMYFUNCTION("""COMPUTED_VALUE"""),"")</f>
        <v/>
      </c>
      <c r="C2088" s="2"/>
      <c r="D2088" s="71"/>
      <c r="E2088" s="71" t="str">
        <f>IFERROR(__xludf.DUMMYFUNCTION("""COMPUTED_VALUE""")," ")</f>
        <v> </v>
      </c>
      <c r="F2088" s="2"/>
      <c r="G2088" s="2"/>
      <c r="H2088" s="2"/>
      <c r="I2088" s="72"/>
      <c r="J2088" s="72"/>
      <c r="K2088" s="72"/>
      <c r="L2088" s="72"/>
      <c r="M2088" s="2"/>
      <c r="N2088" s="2"/>
      <c r="O2088" s="2"/>
      <c r="P2088" s="2"/>
      <c r="Q2088" s="2"/>
      <c r="R2088" s="2"/>
      <c r="S2088" s="2"/>
      <c r="T2088" s="2"/>
      <c r="U2088" s="2"/>
      <c r="V2088" s="2"/>
      <c r="W2088" s="2"/>
      <c r="X2088" s="2"/>
      <c r="Y2088" s="2"/>
      <c r="Z2088" s="2"/>
      <c r="AA2088" s="2"/>
      <c r="AB2088" s="2"/>
      <c r="AC2088" s="2"/>
      <c r="AD2088" s="2"/>
      <c r="AE2088" s="2"/>
      <c r="AF2088" s="2"/>
      <c r="AG2088" s="2"/>
      <c r="AH2088" s="2"/>
      <c r="AI2088" s="2"/>
      <c r="AJ2088" s="2" t="str">
        <f>IFERROR(__xludf.DUMMYFUNCTION("""COMPUTED_VALUE"""),"")</f>
        <v/>
      </c>
      <c r="AK2088" s="2" t="str">
        <f>IFERROR(__xludf.DUMMYFUNCTION("""COMPUTED_VALUE"""),"")</f>
        <v/>
      </c>
      <c r="AL2088" s="2" t="str">
        <f>IFERROR(__xludf.DUMMYFUNCTION("""COMPUTED_VALUE"""),"")</f>
        <v/>
      </c>
      <c r="AM2088" s="2" t="str">
        <f>IFERROR(__xludf.DUMMYFUNCTION("""COMPUTED_VALUE"""),"")</f>
        <v/>
      </c>
      <c r="AN2088" s="2" t="str">
        <f>IFERROR(__xludf.DUMMYFUNCTION("""COMPUTED_VALUE""")," ")</f>
        <v> </v>
      </c>
      <c r="AO2088" s="2" t="str">
        <f>IFERROR(__xludf.DUMMYFUNCTION("""COMPUTED_VALUE""")," ")</f>
        <v> </v>
      </c>
      <c r="AP2088" s="2" t="str">
        <f>IFERROR(__xludf.DUMMYFUNCTION("""COMPUTED_VALUE"""),"")</f>
        <v/>
      </c>
      <c r="AQ2088" s="2"/>
      <c r="AR2088" s="2"/>
      <c r="AS2088" s="2"/>
      <c r="AT2088" s="2"/>
      <c r="AU2088" s="2"/>
      <c r="AV2088" s="2"/>
      <c r="AW2088" s="2"/>
      <c r="AX2088" s="2"/>
      <c r="AY2088" s="2"/>
      <c r="AZ2088" s="2"/>
      <c r="BA2088" s="2"/>
      <c r="BB2088" s="2"/>
    </row>
    <row r="2089">
      <c r="A2089" s="2"/>
      <c r="B2089" s="2" t="str">
        <f>IFERROR(__xludf.DUMMYFUNCTION("""COMPUTED_VALUE"""),"")</f>
        <v/>
      </c>
      <c r="C2089" s="2"/>
      <c r="D2089" s="71"/>
      <c r="E2089" s="71" t="str">
        <f>IFERROR(__xludf.DUMMYFUNCTION("""COMPUTED_VALUE""")," ")</f>
        <v> </v>
      </c>
      <c r="F2089" s="2"/>
      <c r="G2089" s="2"/>
      <c r="H2089" s="2"/>
      <c r="I2089" s="72"/>
      <c r="J2089" s="72"/>
      <c r="K2089" s="72"/>
      <c r="L2089" s="72"/>
      <c r="M2089" s="2"/>
      <c r="N2089" s="2"/>
      <c r="O2089" s="2"/>
      <c r="P2089" s="2"/>
      <c r="Q2089" s="2"/>
      <c r="R2089" s="2"/>
      <c r="S2089" s="2"/>
      <c r="T2089" s="2"/>
      <c r="U2089" s="2"/>
      <c r="V2089" s="2"/>
      <c r="W2089" s="2"/>
      <c r="X2089" s="2"/>
      <c r="Y2089" s="2"/>
      <c r="Z2089" s="2"/>
      <c r="AA2089" s="2"/>
      <c r="AB2089" s="2"/>
      <c r="AC2089" s="2"/>
      <c r="AD2089" s="2"/>
      <c r="AE2089" s="2"/>
      <c r="AF2089" s="2"/>
      <c r="AG2089" s="2"/>
      <c r="AH2089" s="2"/>
      <c r="AI2089" s="2"/>
      <c r="AJ2089" s="2" t="str">
        <f>IFERROR(__xludf.DUMMYFUNCTION("""COMPUTED_VALUE"""),"")</f>
        <v/>
      </c>
      <c r="AK2089" s="2" t="str">
        <f>IFERROR(__xludf.DUMMYFUNCTION("""COMPUTED_VALUE"""),"")</f>
        <v/>
      </c>
      <c r="AL2089" s="2" t="str">
        <f>IFERROR(__xludf.DUMMYFUNCTION("""COMPUTED_VALUE"""),"")</f>
        <v/>
      </c>
      <c r="AM2089" s="2" t="str">
        <f>IFERROR(__xludf.DUMMYFUNCTION("""COMPUTED_VALUE"""),"")</f>
        <v/>
      </c>
      <c r="AN2089" s="2" t="str">
        <f>IFERROR(__xludf.DUMMYFUNCTION("""COMPUTED_VALUE""")," ")</f>
        <v> </v>
      </c>
      <c r="AO2089" s="2" t="str">
        <f>IFERROR(__xludf.DUMMYFUNCTION("""COMPUTED_VALUE""")," ")</f>
        <v> </v>
      </c>
      <c r="AP2089" s="2" t="str">
        <f>IFERROR(__xludf.DUMMYFUNCTION("""COMPUTED_VALUE"""),"")</f>
        <v/>
      </c>
      <c r="AQ2089" s="2"/>
      <c r="AR2089" s="2"/>
      <c r="AS2089" s="2"/>
      <c r="AT2089" s="2"/>
      <c r="AU2089" s="2"/>
      <c r="AV2089" s="2"/>
      <c r="AW2089" s="2"/>
      <c r="AX2089" s="2"/>
      <c r="AY2089" s="2"/>
      <c r="AZ2089" s="2"/>
      <c r="BA2089" s="2"/>
      <c r="BB2089" s="2"/>
    </row>
    <row r="2090">
      <c r="A2090" s="2"/>
      <c r="B2090" s="2" t="str">
        <f>IFERROR(__xludf.DUMMYFUNCTION("""COMPUTED_VALUE"""),"")</f>
        <v/>
      </c>
      <c r="C2090" s="2"/>
      <c r="D2090" s="71"/>
      <c r="E2090" s="71" t="str">
        <f>IFERROR(__xludf.DUMMYFUNCTION("""COMPUTED_VALUE""")," ")</f>
        <v> </v>
      </c>
      <c r="F2090" s="2"/>
      <c r="G2090" s="2"/>
      <c r="H2090" s="2"/>
      <c r="I2090" s="72"/>
      <c r="J2090" s="72"/>
      <c r="K2090" s="72"/>
      <c r="L2090" s="72"/>
      <c r="M2090" s="2"/>
      <c r="N2090" s="2"/>
      <c r="O2090" s="2"/>
      <c r="P2090" s="2"/>
      <c r="Q2090" s="2"/>
      <c r="R2090" s="2"/>
      <c r="S2090" s="2"/>
      <c r="T2090" s="2"/>
      <c r="U2090" s="2"/>
      <c r="V2090" s="2"/>
      <c r="W2090" s="2"/>
      <c r="X2090" s="2"/>
      <c r="Y2090" s="2"/>
      <c r="Z2090" s="2"/>
      <c r="AA2090" s="2"/>
      <c r="AB2090" s="2"/>
      <c r="AC2090" s="2"/>
      <c r="AD2090" s="2"/>
      <c r="AE2090" s="2"/>
      <c r="AF2090" s="2"/>
      <c r="AG2090" s="2"/>
      <c r="AH2090" s="2"/>
      <c r="AI2090" s="2"/>
      <c r="AJ2090" s="2" t="str">
        <f>IFERROR(__xludf.DUMMYFUNCTION("""COMPUTED_VALUE"""),"")</f>
        <v/>
      </c>
      <c r="AK2090" s="2" t="str">
        <f>IFERROR(__xludf.DUMMYFUNCTION("""COMPUTED_VALUE"""),"")</f>
        <v/>
      </c>
      <c r="AL2090" s="2" t="str">
        <f>IFERROR(__xludf.DUMMYFUNCTION("""COMPUTED_VALUE"""),"")</f>
        <v/>
      </c>
      <c r="AM2090" s="2" t="str">
        <f>IFERROR(__xludf.DUMMYFUNCTION("""COMPUTED_VALUE"""),"")</f>
        <v/>
      </c>
      <c r="AN2090" s="2" t="str">
        <f>IFERROR(__xludf.DUMMYFUNCTION("""COMPUTED_VALUE""")," ")</f>
        <v> </v>
      </c>
      <c r="AO2090" s="2" t="str">
        <f>IFERROR(__xludf.DUMMYFUNCTION("""COMPUTED_VALUE""")," ")</f>
        <v> </v>
      </c>
      <c r="AP2090" s="2" t="str">
        <f>IFERROR(__xludf.DUMMYFUNCTION("""COMPUTED_VALUE"""),"")</f>
        <v/>
      </c>
      <c r="AQ2090" s="2"/>
      <c r="AR2090" s="2"/>
      <c r="AS2090" s="2"/>
      <c r="AT2090" s="2"/>
      <c r="AU2090" s="2"/>
      <c r="AV2090" s="2"/>
      <c r="AW2090" s="2"/>
      <c r="AX2090" s="2"/>
      <c r="AY2090" s="2"/>
      <c r="AZ2090" s="2"/>
      <c r="BA2090" s="2"/>
      <c r="BB2090" s="2"/>
    </row>
    <row r="2091">
      <c r="A2091" s="2"/>
      <c r="B2091" s="2" t="str">
        <f>IFERROR(__xludf.DUMMYFUNCTION("""COMPUTED_VALUE"""),"")</f>
        <v/>
      </c>
      <c r="C2091" s="2"/>
      <c r="D2091" s="71"/>
      <c r="E2091" s="71" t="str">
        <f>IFERROR(__xludf.DUMMYFUNCTION("""COMPUTED_VALUE""")," ")</f>
        <v> </v>
      </c>
      <c r="F2091" s="2"/>
      <c r="G2091" s="2"/>
      <c r="H2091" s="2"/>
      <c r="I2091" s="72"/>
      <c r="J2091" s="72"/>
      <c r="K2091" s="72"/>
      <c r="L2091" s="72"/>
      <c r="M2091" s="2"/>
      <c r="N2091" s="2"/>
      <c r="O2091" s="2"/>
      <c r="P2091" s="2"/>
      <c r="Q2091" s="2"/>
      <c r="R2091" s="2"/>
      <c r="S2091" s="2"/>
      <c r="T2091" s="2"/>
      <c r="U2091" s="2"/>
      <c r="V2091" s="2"/>
      <c r="W2091" s="2"/>
      <c r="X2091" s="2"/>
      <c r="Y2091" s="2"/>
      <c r="Z2091" s="2"/>
      <c r="AA2091" s="2"/>
      <c r="AB2091" s="2"/>
      <c r="AC2091" s="2"/>
      <c r="AD2091" s="2"/>
      <c r="AE2091" s="2"/>
      <c r="AF2091" s="2"/>
      <c r="AG2091" s="2"/>
      <c r="AH2091" s="2"/>
      <c r="AI2091" s="2"/>
      <c r="AJ2091" s="2" t="str">
        <f>IFERROR(__xludf.DUMMYFUNCTION("""COMPUTED_VALUE"""),"")</f>
        <v/>
      </c>
      <c r="AK2091" s="2" t="str">
        <f>IFERROR(__xludf.DUMMYFUNCTION("""COMPUTED_VALUE"""),"")</f>
        <v/>
      </c>
      <c r="AL2091" s="2" t="str">
        <f>IFERROR(__xludf.DUMMYFUNCTION("""COMPUTED_VALUE"""),"")</f>
        <v/>
      </c>
      <c r="AM2091" s="2" t="str">
        <f>IFERROR(__xludf.DUMMYFUNCTION("""COMPUTED_VALUE"""),"")</f>
        <v/>
      </c>
      <c r="AN2091" s="2" t="str">
        <f>IFERROR(__xludf.DUMMYFUNCTION("""COMPUTED_VALUE""")," ")</f>
        <v> </v>
      </c>
      <c r="AO2091" s="2" t="str">
        <f>IFERROR(__xludf.DUMMYFUNCTION("""COMPUTED_VALUE""")," ")</f>
        <v> </v>
      </c>
      <c r="AP2091" s="2" t="str">
        <f>IFERROR(__xludf.DUMMYFUNCTION("""COMPUTED_VALUE"""),"")</f>
        <v/>
      </c>
      <c r="AQ2091" s="2"/>
      <c r="AR2091" s="2"/>
      <c r="AS2091" s="2"/>
      <c r="AT2091" s="2"/>
      <c r="AU2091" s="2"/>
      <c r="AV2091" s="2"/>
      <c r="AW2091" s="2"/>
      <c r="AX2091" s="2"/>
      <c r="AY2091" s="2"/>
      <c r="AZ2091" s="2"/>
      <c r="BA2091" s="2"/>
      <c r="BB2091" s="2"/>
    </row>
    <row r="2092">
      <c r="A2092" s="2"/>
      <c r="B2092" s="2" t="str">
        <f>IFERROR(__xludf.DUMMYFUNCTION("""COMPUTED_VALUE"""),"")</f>
        <v/>
      </c>
      <c r="C2092" s="2"/>
      <c r="D2092" s="71"/>
      <c r="E2092" s="71" t="str">
        <f>IFERROR(__xludf.DUMMYFUNCTION("""COMPUTED_VALUE""")," ")</f>
        <v> </v>
      </c>
      <c r="F2092" s="2"/>
      <c r="G2092" s="2"/>
      <c r="H2092" s="2"/>
      <c r="I2092" s="72"/>
      <c r="J2092" s="72"/>
      <c r="K2092" s="72"/>
      <c r="L2092" s="72"/>
      <c r="M2092" s="2"/>
      <c r="N2092" s="2"/>
      <c r="O2092" s="2"/>
      <c r="P2092" s="2"/>
      <c r="Q2092" s="2"/>
      <c r="R2092" s="2"/>
      <c r="S2092" s="2"/>
      <c r="T2092" s="2"/>
      <c r="U2092" s="2"/>
      <c r="V2092" s="2"/>
      <c r="W2092" s="2"/>
      <c r="X2092" s="2"/>
      <c r="Y2092" s="2"/>
      <c r="Z2092" s="2"/>
      <c r="AA2092" s="2"/>
      <c r="AB2092" s="2"/>
      <c r="AC2092" s="2"/>
      <c r="AD2092" s="2"/>
      <c r="AE2092" s="2"/>
      <c r="AF2092" s="2"/>
      <c r="AG2092" s="2"/>
      <c r="AH2092" s="2"/>
      <c r="AI2092" s="2"/>
      <c r="AJ2092" s="2" t="str">
        <f>IFERROR(__xludf.DUMMYFUNCTION("""COMPUTED_VALUE"""),"")</f>
        <v/>
      </c>
      <c r="AK2092" s="2" t="str">
        <f>IFERROR(__xludf.DUMMYFUNCTION("""COMPUTED_VALUE"""),"")</f>
        <v/>
      </c>
      <c r="AL2092" s="2" t="str">
        <f>IFERROR(__xludf.DUMMYFUNCTION("""COMPUTED_VALUE"""),"")</f>
        <v/>
      </c>
      <c r="AM2092" s="2" t="str">
        <f>IFERROR(__xludf.DUMMYFUNCTION("""COMPUTED_VALUE"""),"")</f>
        <v/>
      </c>
      <c r="AN2092" s="2" t="str">
        <f>IFERROR(__xludf.DUMMYFUNCTION("""COMPUTED_VALUE""")," ")</f>
        <v> </v>
      </c>
      <c r="AO2092" s="2" t="str">
        <f>IFERROR(__xludf.DUMMYFUNCTION("""COMPUTED_VALUE""")," ")</f>
        <v> </v>
      </c>
      <c r="AP2092" s="2" t="str">
        <f>IFERROR(__xludf.DUMMYFUNCTION("""COMPUTED_VALUE"""),"")</f>
        <v/>
      </c>
      <c r="AQ2092" s="2"/>
      <c r="AR2092" s="2"/>
      <c r="AS2092" s="2"/>
      <c r="AT2092" s="2"/>
      <c r="AU2092" s="2"/>
      <c r="AV2092" s="2"/>
      <c r="AW2092" s="2"/>
      <c r="AX2092" s="2"/>
      <c r="AY2092" s="2"/>
      <c r="AZ2092" s="2"/>
      <c r="BA2092" s="2"/>
      <c r="BB2092" s="2"/>
    </row>
    <row r="2093">
      <c r="A2093" s="2"/>
      <c r="B2093" s="2" t="str">
        <f>IFERROR(__xludf.DUMMYFUNCTION("""COMPUTED_VALUE"""),"")</f>
        <v/>
      </c>
      <c r="C2093" s="2"/>
      <c r="D2093" s="71"/>
      <c r="E2093" s="71" t="str">
        <f>IFERROR(__xludf.DUMMYFUNCTION("""COMPUTED_VALUE""")," ")</f>
        <v> </v>
      </c>
      <c r="F2093" s="2"/>
      <c r="G2093" s="2"/>
      <c r="H2093" s="2"/>
      <c r="I2093" s="72"/>
      <c r="J2093" s="72"/>
      <c r="K2093" s="72"/>
      <c r="L2093" s="72"/>
      <c r="M2093" s="2"/>
      <c r="N2093" s="2"/>
      <c r="O2093" s="2"/>
      <c r="P2093" s="2"/>
      <c r="Q2093" s="2"/>
      <c r="R2093" s="2"/>
      <c r="S2093" s="2"/>
      <c r="T2093" s="2"/>
      <c r="U2093" s="2"/>
      <c r="V2093" s="2"/>
      <c r="W2093" s="2"/>
      <c r="X2093" s="2"/>
      <c r="Y2093" s="2"/>
      <c r="Z2093" s="2"/>
      <c r="AA2093" s="2"/>
      <c r="AB2093" s="2"/>
      <c r="AC2093" s="2"/>
      <c r="AD2093" s="2"/>
      <c r="AE2093" s="2"/>
      <c r="AF2093" s="2"/>
      <c r="AG2093" s="2"/>
      <c r="AH2093" s="2"/>
      <c r="AI2093" s="2"/>
      <c r="AJ2093" s="2" t="str">
        <f>IFERROR(__xludf.DUMMYFUNCTION("""COMPUTED_VALUE"""),"")</f>
        <v/>
      </c>
      <c r="AK2093" s="2" t="str">
        <f>IFERROR(__xludf.DUMMYFUNCTION("""COMPUTED_VALUE"""),"")</f>
        <v/>
      </c>
      <c r="AL2093" s="2" t="str">
        <f>IFERROR(__xludf.DUMMYFUNCTION("""COMPUTED_VALUE"""),"")</f>
        <v/>
      </c>
      <c r="AM2093" s="2" t="str">
        <f>IFERROR(__xludf.DUMMYFUNCTION("""COMPUTED_VALUE"""),"")</f>
        <v/>
      </c>
      <c r="AN2093" s="2" t="str">
        <f>IFERROR(__xludf.DUMMYFUNCTION("""COMPUTED_VALUE""")," ")</f>
        <v> </v>
      </c>
      <c r="AO2093" s="2" t="str">
        <f>IFERROR(__xludf.DUMMYFUNCTION("""COMPUTED_VALUE""")," ")</f>
        <v> </v>
      </c>
      <c r="AP2093" s="2" t="str">
        <f>IFERROR(__xludf.DUMMYFUNCTION("""COMPUTED_VALUE"""),"")</f>
        <v/>
      </c>
      <c r="AQ2093" s="2"/>
      <c r="AR2093" s="2"/>
      <c r="AS2093" s="2"/>
      <c r="AT2093" s="2"/>
      <c r="AU2093" s="2"/>
      <c r="AV2093" s="2"/>
      <c r="AW2093" s="2"/>
      <c r="AX2093" s="2"/>
      <c r="AY2093" s="2"/>
      <c r="AZ2093" s="2"/>
      <c r="BA2093" s="2"/>
      <c r="BB2093" s="2"/>
    </row>
    <row r="2094">
      <c r="A2094" s="2"/>
      <c r="B2094" s="2" t="str">
        <f>IFERROR(__xludf.DUMMYFUNCTION("""COMPUTED_VALUE"""),"")</f>
        <v/>
      </c>
      <c r="C2094" s="2"/>
      <c r="D2094" s="71"/>
      <c r="E2094" s="71" t="str">
        <f>IFERROR(__xludf.DUMMYFUNCTION("""COMPUTED_VALUE""")," ")</f>
        <v> </v>
      </c>
      <c r="F2094" s="2"/>
      <c r="G2094" s="2"/>
      <c r="H2094" s="2"/>
      <c r="I2094" s="72"/>
      <c r="J2094" s="72"/>
      <c r="K2094" s="72"/>
      <c r="L2094" s="72"/>
      <c r="M2094" s="2"/>
      <c r="N2094" s="2"/>
      <c r="O2094" s="2"/>
      <c r="P2094" s="2"/>
      <c r="Q2094" s="2"/>
      <c r="R2094" s="2"/>
      <c r="S2094" s="2"/>
      <c r="T2094" s="2"/>
      <c r="U2094" s="2"/>
      <c r="V2094" s="2"/>
      <c r="W2094" s="2"/>
      <c r="X2094" s="2"/>
      <c r="Y2094" s="2"/>
      <c r="Z2094" s="2"/>
      <c r="AA2094" s="2"/>
      <c r="AB2094" s="2"/>
      <c r="AC2094" s="2"/>
      <c r="AD2094" s="2"/>
      <c r="AE2094" s="2"/>
      <c r="AF2094" s="2"/>
      <c r="AG2094" s="2"/>
      <c r="AH2094" s="2"/>
      <c r="AI2094" s="2"/>
      <c r="AJ2094" s="2" t="str">
        <f>IFERROR(__xludf.DUMMYFUNCTION("""COMPUTED_VALUE"""),"")</f>
        <v/>
      </c>
      <c r="AK2094" s="2" t="str">
        <f>IFERROR(__xludf.DUMMYFUNCTION("""COMPUTED_VALUE"""),"")</f>
        <v/>
      </c>
      <c r="AL2094" s="2" t="str">
        <f>IFERROR(__xludf.DUMMYFUNCTION("""COMPUTED_VALUE"""),"")</f>
        <v/>
      </c>
      <c r="AM2094" s="2" t="str">
        <f>IFERROR(__xludf.DUMMYFUNCTION("""COMPUTED_VALUE"""),"")</f>
        <v/>
      </c>
      <c r="AN2094" s="2" t="str">
        <f>IFERROR(__xludf.DUMMYFUNCTION("""COMPUTED_VALUE""")," ")</f>
        <v> </v>
      </c>
      <c r="AO2094" s="2" t="str">
        <f>IFERROR(__xludf.DUMMYFUNCTION("""COMPUTED_VALUE""")," ")</f>
        <v> </v>
      </c>
      <c r="AP2094" s="2" t="str">
        <f>IFERROR(__xludf.DUMMYFUNCTION("""COMPUTED_VALUE"""),"")</f>
        <v/>
      </c>
      <c r="AQ2094" s="2"/>
      <c r="AR2094" s="2"/>
      <c r="AS2094" s="2"/>
      <c r="AT2094" s="2"/>
      <c r="AU2094" s="2"/>
      <c r="AV2094" s="2"/>
      <c r="AW2094" s="2"/>
      <c r="AX2094" s="2"/>
      <c r="AY2094" s="2"/>
      <c r="AZ2094" s="2"/>
      <c r="BA2094" s="2"/>
      <c r="BB2094" s="2"/>
    </row>
    <row r="2095">
      <c r="A2095" s="2"/>
      <c r="B2095" s="2" t="str">
        <f>IFERROR(__xludf.DUMMYFUNCTION("""COMPUTED_VALUE"""),"")</f>
        <v/>
      </c>
      <c r="C2095" s="2"/>
      <c r="D2095" s="71"/>
      <c r="E2095" s="71" t="str">
        <f>IFERROR(__xludf.DUMMYFUNCTION("""COMPUTED_VALUE""")," ")</f>
        <v> </v>
      </c>
      <c r="F2095" s="2"/>
      <c r="G2095" s="2"/>
      <c r="H2095" s="2"/>
      <c r="I2095" s="72"/>
      <c r="J2095" s="72"/>
      <c r="K2095" s="72"/>
      <c r="L2095" s="72"/>
      <c r="M2095" s="2"/>
      <c r="N2095" s="2"/>
      <c r="O2095" s="2"/>
      <c r="P2095" s="2"/>
      <c r="Q2095" s="2"/>
      <c r="R2095" s="2"/>
      <c r="S2095" s="2"/>
      <c r="T2095" s="2"/>
      <c r="U2095" s="2"/>
      <c r="V2095" s="2"/>
      <c r="W2095" s="2"/>
      <c r="X2095" s="2"/>
      <c r="Y2095" s="2"/>
      <c r="Z2095" s="2"/>
      <c r="AA2095" s="2"/>
      <c r="AB2095" s="2"/>
      <c r="AC2095" s="2"/>
      <c r="AD2095" s="2"/>
      <c r="AE2095" s="2"/>
      <c r="AF2095" s="2"/>
      <c r="AG2095" s="2"/>
      <c r="AH2095" s="2"/>
      <c r="AI2095" s="2"/>
      <c r="AJ2095" s="2" t="str">
        <f>IFERROR(__xludf.DUMMYFUNCTION("""COMPUTED_VALUE"""),"")</f>
        <v/>
      </c>
      <c r="AK2095" s="2" t="str">
        <f>IFERROR(__xludf.DUMMYFUNCTION("""COMPUTED_VALUE"""),"")</f>
        <v/>
      </c>
      <c r="AL2095" s="2" t="str">
        <f>IFERROR(__xludf.DUMMYFUNCTION("""COMPUTED_VALUE"""),"")</f>
        <v/>
      </c>
      <c r="AM2095" s="2" t="str">
        <f>IFERROR(__xludf.DUMMYFUNCTION("""COMPUTED_VALUE"""),"")</f>
        <v/>
      </c>
      <c r="AN2095" s="2" t="str">
        <f>IFERROR(__xludf.DUMMYFUNCTION("""COMPUTED_VALUE""")," ")</f>
        <v> </v>
      </c>
      <c r="AO2095" s="2" t="str">
        <f>IFERROR(__xludf.DUMMYFUNCTION("""COMPUTED_VALUE""")," ")</f>
        <v> </v>
      </c>
      <c r="AP2095" s="2" t="str">
        <f>IFERROR(__xludf.DUMMYFUNCTION("""COMPUTED_VALUE"""),"")</f>
        <v/>
      </c>
      <c r="AQ2095" s="2"/>
      <c r="AR2095" s="2"/>
      <c r="AS2095" s="2"/>
      <c r="AT2095" s="2"/>
      <c r="AU2095" s="2"/>
      <c r="AV2095" s="2"/>
      <c r="AW2095" s="2"/>
      <c r="AX2095" s="2"/>
      <c r="AY2095" s="2"/>
      <c r="AZ2095" s="2"/>
      <c r="BA2095" s="2"/>
      <c r="BB2095" s="2"/>
    </row>
    <row r="2096">
      <c r="A2096" s="2"/>
      <c r="B2096" s="2"/>
      <c r="C2096" s="2"/>
      <c r="D2096" s="71"/>
      <c r="E2096" s="71"/>
      <c r="F2096" s="2"/>
      <c r="G2096" s="2"/>
      <c r="H2096" s="2"/>
      <c r="I2096" s="72"/>
      <c r="J2096" s="72"/>
      <c r="K2096" s="72"/>
      <c r="L2096" s="72"/>
      <c r="M2096" s="2"/>
      <c r="N2096" s="2"/>
      <c r="O2096" s="2"/>
      <c r="P2096" s="2"/>
      <c r="Q2096" s="2"/>
      <c r="R2096" s="2"/>
      <c r="S2096" s="2"/>
      <c r="T2096" s="2"/>
      <c r="U2096" s="2"/>
      <c r="V2096" s="2"/>
      <c r="W2096" s="2"/>
      <c r="X2096" s="2"/>
      <c r="Y2096" s="2"/>
      <c r="Z2096" s="2"/>
      <c r="AA2096" s="2"/>
      <c r="AB2096" s="2"/>
      <c r="AC2096" s="2"/>
      <c r="AD2096" s="2"/>
      <c r="AE2096" s="2"/>
      <c r="AF2096" s="2"/>
      <c r="AG2096" s="2"/>
      <c r="AH2096" s="2"/>
      <c r="AI2096" s="2"/>
      <c r="AJ2096" s="2" t="str">
        <f>IFERROR(__xludf.DUMMYFUNCTION("""COMPUTED_VALUE"""),"")</f>
        <v/>
      </c>
      <c r="AK2096" s="2" t="str">
        <f>IFERROR(__xludf.DUMMYFUNCTION("""COMPUTED_VALUE"""),"")</f>
        <v/>
      </c>
      <c r="AL2096" s="2" t="str">
        <f>IFERROR(__xludf.DUMMYFUNCTION("""COMPUTED_VALUE"""),"")</f>
        <v/>
      </c>
      <c r="AM2096" s="2" t="str">
        <f>IFERROR(__xludf.DUMMYFUNCTION("""COMPUTED_VALUE"""),"")</f>
        <v/>
      </c>
      <c r="AN2096" s="2" t="str">
        <f>IFERROR(__xludf.DUMMYFUNCTION("""COMPUTED_VALUE""")," ")</f>
        <v> </v>
      </c>
      <c r="AO2096" s="2" t="str">
        <f>IFERROR(__xludf.DUMMYFUNCTION("""COMPUTED_VALUE""")," ")</f>
        <v> </v>
      </c>
      <c r="AP2096" s="2" t="str">
        <f>IFERROR(__xludf.DUMMYFUNCTION("""COMPUTED_VALUE"""),"")</f>
        <v/>
      </c>
      <c r="AQ2096" s="2"/>
      <c r="AR2096" s="2"/>
      <c r="AS2096" s="2"/>
      <c r="AT2096" s="2"/>
      <c r="AU2096" s="2"/>
      <c r="AV2096" s="2"/>
      <c r="AW2096" s="2"/>
      <c r="AX2096" s="2"/>
      <c r="AY2096" s="2"/>
      <c r="AZ2096" s="2"/>
      <c r="BA2096" s="2"/>
      <c r="BB2096" s="2"/>
    </row>
    <row r="2097">
      <c r="A2097" s="2"/>
      <c r="B2097" s="2" t="str">
        <f>IFERROR(__xludf.DUMMYFUNCTION("""COMPUTED_VALUE"""),"")</f>
        <v/>
      </c>
      <c r="C2097" s="2"/>
      <c r="D2097" s="71"/>
      <c r="E2097" s="71" t="str">
        <f>IFERROR(__xludf.DUMMYFUNCTION("""COMPUTED_VALUE""")," ")</f>
        <v> </v>
      </c>
      <c r="F2097" s="2"/>
      <c r="G2097" s="2"/>
      <c r="H2097" s="2"/>
      <c r="I2097" s="72"/>
      <c r="J2097" s="72"/>
      <c r="K2097" s="72"/>
      <c r="L2097" s="72"/>
      <c r="M2097" s="2"/>
      <c r="N2097" s="2"/>
      <c r="O2097" s="2"/>
      <c r="P2097" s="2"/>
      <c r="Q2097" s="2"/>
      <c r="R2097" s="2"/>
      <c r="S2097" s="2"/>
      <c r="T2097" s="2"/>
      <c r="U2097" s="2"/>
      <c r="V2097" s="2"/>
      <c r="W2097" s="2"/>
      <c r="X2097" s="2"/>
      <c r="Y2097" s="2"/>
      <c r="Z2097" s="2"/>
      <c r="AA2097" s="2"/>
      <c r="AB2097" s="2"/>
      <c r="AC2097" s="2"/>
      <c r="AD2097" s="2"/>
      <c r="AE2097" s="2"/>
      <c r="AF2097" s="2"/>
      <c r="AG2097" s="2"/>
      <c r="AH2097" s="2"/>
      <c r="AI2097" s="2"/>
      <c r="AJ2097" s="2" t="str">
        <f>IFERROR(__xludf.DUMMYFUNCTION("""COMPUTED_VALUE"""),"")</f>
        <v/>
      </c>
      <c r="AK2097" s="2" t="str">
        <f>IFERROR(__xludf.DUMMYFUNCTION("""COMPUTED_VALUE"""),"")</f>
        <v/>
      </c>
      <c r="AL2097" s="2" t="str">
        <f>IFERROR(__xludf.DUMMYFUNCTION("""COMPUTED_VALUE"""),"")</f>
        <v/>
      </c>
      <c r="AM2097" s="2" t="str">
        <f>IFERROR(__xludf.DUMMYFUNCTION("""COMPUTED_VALUE"""),"")</f>
        <v/>
      </c>
      <c r="AN2097" s="2" t="str">
        <f>IFERROR(__xludf.DUMMYFUNCTION("""COMPUTED_VALUE""")," ")</f>
        <v> </v>
      </c>
      <c r="AO2097" s="2" t="str">
        <f>IFERROR(__xludf.DUMMYFUNCTION("""COMPUTED_VALUE""")," ")</f>
        <v> </v>
      </c>
      <c r="AP2097" s="2" t="str">
        <f>IFERROR(__xludf.DUMMYFUNCTION("""COMPUTED_VALUE"""),"")</f>
        <v/>
      </c>
      <c r="AQ2097" s="2"/>
      <c r="AR2097" s="2"/>
      <c r="AS2097" s="2"/>
      <c r="AT2097" s="2"/>
      <c r="AU2097" s="2"/>
      <c r="AV2097" s="2"/>
      <c r="AW2097" s="2"/>
      <c r="AX2097" s="2"/>
      <c r="AY2097" s="2"/>
      <c r="AZ2097" s="2"/>
      <c r="BA2097" s="2"/>
      <c r="BB2097" s="2"/>
    </row>
    <row r="2098">
      <c r="A2098" s="2"/>
      <c r="B2098" s="2" t="str">
        <f>IFERROR(__xludf.DUMMYFUNCTION("""COMPUTED_VALUE"""),"")</f>
        <v/>
      </c>
      <c r="C2098" s="2"/>
      <c r="D2098" s="71"/>
      <c r="E2098" s="71" t="str">
        <f>IFERROR(__xludf.DUMMYFUNCTION("""COMPUTED_VALUE""")," ")</f>
        <v> </v>
      </c>
      <c r="F2098" s="2"/>
      <c r="G2098" s="2"/>
      <c r="H2098" s="2"/>
      <c r="I2098" s="72"/>
      <c r="J2098" s="72"/>
      <c r="K2098" s="72"/>
      <c r="L2098" s="72"/>
      <c r="M2098" s="2"/>
      <c r="N2098" s="2"/>
      <c r="O2098" s="2"/>
      <c r="P2098" s="2"/>
      <c r="Q2098" s="2"/>
      <c r="R2098" s="2"/>
      <c r="S2098" s="2"/>
      <c r="T2098" s="2"/>
      <c r="U2098" s="2"/>
      <c r="V2098" s="2"/>
      <c r="W2098" s="2"/>
      <c r="X2098" s="2"/>
      <c r="Y2098" s="2"/>
      <c r="Z2098" s="2"/>
      <c r="AA2098" s="2"/>
      <c r="AB2098" s="2"/>
      <c r="AC2098" s="2"/>
      <c r="AD2098" s="2"/>
      <c r="AE2098" s="2"/>
      <c r="AF2098" s="2"/>
      <c r="AG2098" s="2"/>
      <c r="AH2098" s="2"/>
      <c r="AI2098" s="2"/>
      <c r="AJ2098" s="2" t="str">
        <f>IFERROR(__xludf.DUMMYFUNCTION("""COMPUTED_VALUE"""),"")</f>
        <v/>
      </c>
      <c r="AK2098" s="2" t="str">
        <f>IFERROR(__xludf.DUMMYFUNCTION("""COMPUTED_VALUE"""),"")</f>
        <v/>
      </c>
      <c r="AL2098" s="2" t="str">
        <f>IFERROR(__xludf.DUMMYFUNCTION("""COMPUTED_VALUE"""),"")</f>
        <v/>
      </c>
      <c r="AM2098" s="2" t="str">
        <f>IFERROR(__xludf.DUMMYFUNCTION("""COMPUTED_VALUE"""),"")</f>
        <v/>
      </c>
      <c r="AN2098" s="2" t="str">
        <f>IFERROR(__xludf.DUMMYFUNCTION("""COMPUTED_VALUE""")," ")</f>
        <v> </v>
      </c>
      <c r="AO2098" s="2" t="str">
        <f>IFERROR(__xludf.DUMMYFUNCTION("""COMPUTED_VALUE""")," ")</f>
        <v> </v>
      </c>
      <c r="AP2098" s="2" t="str">
        <f>IFERROR(__xludf.DUMMYFUNCTION("""COMPUTED_VALUE"""),"")</f>
        <v/>
      </c>
      <c r="AQ2098" s="2"/>
      <c r="AR2098" s="2"/>
      <c r="AS2098" s="2"/>
      <c r="AT2098" s="2"/>
      <c r="AU2098" s="2"/>
      <c r="AV2098" s="2"/>
      <c r="AW2098" s="2"/>
      <c r="AX2098" s="2"/>
      <c r="AY2098" s="2"/>
      <c r="AZ2098" s="2"/>
      <c r="BA2098" s="2"/>
      <c r="BB2098" s="2"/>
    </row>
    <row r="2099">
      <c r="A2099" s="2"/>
      <c r="B2099" s="2" t="str">
        <f>IFERROR(__xludf.DUMMYFUNCTION("""COMPUTED_VALUE"""),"")</f>
        <v/>
      </c>
      <c r="C2099" s="2"/>
      <c r="D2099" s="71"/>
      <c r="E2099" s="71" t="str">
        <f>IFERROR(__xludf.DUMMYFUNCTION("""COMPUTED_VALUE""")," ")</f>
        <v> </v>
      </c>
      <c r="F2099" s="2"/>
      <c r="G2099" s="2"/>
      <c r="H2099" s="2"/>
      <c r="I2099" s="72"/>
      <c r="J2099" s="72"/>
      <c r="K2099" s="72"/>
      <c r="L2099" s="72"/>
      <c r="M2099" s="2"/>
      <c r="N2099" s="2"/>
      <c r="O2099" s="2"/>
      <c r="P2099" s="2"/>
      <c r="Q2099" s="2"/>
      <c r="R2099" s="2"/>
      <c r="S2099" s="2"/>
      <c r="T2099" s="2"/>
      <c r="U2099" s="2"/>
      <c r="V2099" s="2"/>
      <c r="W2099" s="2"/>
      <c r="X2099" s="2"/>
      <c r="Y2099" s="2"/>
      <c r="Z2099" s="2"/>
      <c r="AA2099" s="2"/>
      <c r="AB2099" s="2"/>
      <c r="AC2099" s="2"/>
      <c r="AD2099" s="2"/>
      <c r="AE2099" s="2"/>
      <c r="AF2099" s="2"/>
      <c r="AG2099" s="2"/>
      <c r="AH2099" s="2"/>
      <c r="AI2099" s="2"/>
      <c r="AJ2099" s="2" t="str">
        <f>IFERROR(__xludf.DUMMYFUNCTION("""COMPUTED_VALUE"""),"")</f>
        <v/>
      </c>
      <c r="AK2099" s="2" t="str">
        <f>IFERROR(__xludf.DUMMYFUNCTION("""COMPUTED_VALUE"""),"")</f>
        <v/>
      </c>
      <c r="AL2099" s="2" t="str">
        <f>IFERROR(__xludf.DUMMYFUNCTION("""COMPUTED_VALUE"""),"")</f>
        <v/>
      </c>
      <c r="AM2099" s="2" t="str">
        <f>IFERROR(__xludf.DUMMYFUNCTION("""COMPUTED_VALUE"""),"")</f>
        <v/>
      </c>
      <c r="AN2099" s="2" t="str">
        <f>IFERROR(__xludf.DUMMYFUNCTION("""COMPUTED_VALUE""")," ")</f>
        <v> </v>
      </c>
      <c r="AO2099" s="2" t="str">
        <f>IFERROR(__xludf.DUMMYFUNCTION("""COMPUTED_VALUE""")," ")</f>
        <v> </v>
      </c>
      <c r="AP2099" s="2" t="str">
        <f>IFERROR(__xludf.DUMMYFUNCTION("""COMPUTED_VALUE"""),"")</f>
        <v/>
      </c>
      <c r="AQ2099" s="2"/>
      <c r="AR2099" s="2"/>
      <c r="AS2099" s="2"/>
      <c r="AT2099" s="2"/>
      <c r="AU2099" s="2"/>
      <c r="AV2099" s="2"/>
      <c r="AW2099" s="2"/>
      <c r="AX2099" s="2"/>
      <c r="AY2099" s="2"/>
      <c r="AZ2099" s="2"/>
      <c r="BA2099" s="2"/>
      <c r="BB2099" s="2"/>
    </row>
    <row r="2100">
      <c r="A2100" s="2"/>
      <c r="B2100" s="2" t="str">
        <f>IFERROR(__xludf.DUMMYFUNCTION("""COMPUTED_VALUE"""),"")</f>
        <v/>
      </c>
      <c r="C2100" s="2"/>
      <c r="D2100" s="71"/>
      <c r="E2100" s="71" t="str">
        <f>IFERROR(__xludf.DUMMYFUNCTION("""COMPUTED_VALUE""")," ")</f>
        <v> </v>
      </c>
      <c r="F2100" s="2"/>
      <c r="G2100" s="2"/>
      <c r="H2100" s="2"/>
      <c r="I2100" s="72"/>
      <c r="J2100" s="72"/>
      <c r="K2100" s="72"/>
      <c r="L2100" s="72"/>
      <c r="M2100" s="2"/>
      <c r="N2100" s="2"/>
      <c r="O2100" s="2"/>
      <c r="P2100" s="2"/>
      <c r="Q2100" s="2"/>
      <c r="R2100" s="2"/>
      <c r="S2100" s="2"/>
      <c r="T2100" s="2"/>
      <c r="U2100" s="2"/>
      <c r="V2100" s="2"/>
      <c r="W2100" s="2"/>
      <c r="X2100" s="2"/>
      <c r="Y2100" s="2"/>
      <c r="Z2100" s="2"/>
      <c r="AA2100" s="2"/>
      <c r="AB2100" s="2"/>
      <c r="AC2100" s="2"/>
      <c r="AD2100" s="2"/>
      <c r="AE2100" s="2"/>
      <c r="AF2100" s="2"/>
      <c r="AG2100" s="2"/>
      <c r="AH2100" s="2"/>
      <c r="AI2100" s="2"/>
      <c r="AJ2100" s="2" t="str">
        <f>IFERROR(__xludf.DUMMYFUNCTION("""COMPUTED_VALUE"""),"")</f>
        <v/>
      </c>
      <c r="AK2100" s="2" t="str">
        <f>IFERROR(__xludf.DUMMYFUNCTION("""COMPUTED_VALUE"""),"")</f>
        <v/>
      </c>
      <c r="AL2100" s="2" t="str">
        <f>IFERROR(__xludf.DUMMYFUNCTION("""COMPUTED_VALUE"""),"")</f>
        <v/>
      </c>
      <c r="AM2100" s="2" t="str">
        <f>IFERROR(__xludf.DUMMYFUNCTION("""COMPUTED_VALUE"""),"")</f>
        <v/>
      </c>
      <c r="AN2100" s="2" t="str">
        <f>IFERROR(__xludf.DUMMYFUNCTION("""COMPUTED_VALUE""")," ")</f>
        <v> </v>
      </c>
      <c r="AO2100" s="2" t="str">
        <f>IFERROR(__xludf.DUMMYFUNCTION("""COMPUTED_VALUE""")," ")</f>
        <v> </v>
      </c>
      <c r="AP2100" s="2" t="str">
        <f>IFERROR(__xludf.DUMMYFUNCTION("""COMPUTED_VALUE"""),"")</f>
        <v/>
      </c>
      <c r="AQ2100" s="2"/>
      <c r="AR2100" s="2"/>
      <c r="AS2100" s="2"/>
      <c r="AT2100" s="2"/>
      <c r="AU2100" s="2"/>
      <c r="AV2100" s="2"/>
      <c r="AW2100" s="2"/>
      <c r="AX2100" s="2"/>
      <c r="AY2100" s="2"/>
      <c r="AZ2100" s="2"/>
      <c r="BA2100" s="2"/>
      <c r="BB2100" s="2"/>
    </row>
    <row r="2101">
      <c r="A2101" s="2"/>
      <c r="B2101" s="2" t="str">
        <f>IFERROR(__xludf.DUMMYFUNCTION("""COMPUTED_VALUE"""),"")</f>
        <v/>
      </c>
      <c r="C2101" s="2"/>
      <c r="D2101" s="71"/>
      <c r="E2101" s="71" t="str">
        <f>IFERROR(__xludf.DUMMYFUNCTION("""COMPUTED_VALUE""")," ")</f>
        <v> </v>
      </c>
      <c r="F2101" s="2"/>
      <c r="G2101" s="2"/>
      <c r="H2101" s="2"/>
      <c r="I2101" s="72"/>
      <c r="J2101" s="72"/>
      <c r="K2101" s="72"/>
      <c r="L2101" s="72"/>
      <c r="M2101" s="2"/>
      <c r="N2101" s="2"/>
      <c r="O2101" s="2"/>
      <c r="P2101" s="2"/>
      <c r="Q2101" s="2"/>
      <c r="R2101" s="2"/>
      <c r="S2101" s="2"/>
      <c r="T2101" s="2"/>
      <c r="U2101" s="2"/>
      <c r="V2101" s="2"/>
      <c r="W2101" s="2"/>
      <c r="X2101" s="2"/>
      <c r="Y2101" s="2"/>
      <c r="Z2101" s="2"/>
      <c r="AA2101" s="2"/>
      <c r="AB2101" s="2"/>
      <c r="AC2101" s="2"/>
      <c r="AD2101" s="2"/>
      <c r="AE2101" s="2"/>
      <c r="AF2101" s="2"/>
      <c r="AG2101" s="2"/>
      <c r="AH2101" s="2"/>
      <c r="AI2101" s="2"/>
      <c r="AJ2101" s="2" t="str">
        <f>IFERROR(__xludf.DUMMYFUNCTION("""COMPUTED_VALUE"""),"")</f>
        <v/>
      </c>
      <c r="AK2101" s="2" t="str">
        <f>IFERROR(__xludf.DUMMYFUNCTION("""COMPUTED_VALUE"""),"")</f>
        <v/>
      </c>
      <c r="AL2101" s="2" t="str">
        <f>IFERROR(__xludf.DUMMYFUNCTION("""COMPUTED_VALUE"""),"")</f>
        <v/>
      </c>
      <c r="AM2101" s="2" t="str">
        <f>IFERROR(__xludf.DUMMYFUNCTION("""COMPUTED_VALUE"""),"")</f>
        <v/>
      </c>
      <c r="AN2101" s="2" t="str">
        <f>IFERROR(__xludf.DUMMYFUNCTION("""COMPUTED_VALUE""")," ")</f>
        <v> </v>
      </c>
      <c r="AO2101" s="2" t="str">
        <f>IFERROR(__xludf.DUMMYFUNCTION("""COMPUTED_VALUE""")," ")</f>
        <v> </v>
      </c>
      <c r="AP2101" s="2" t="str">
        <f>IFERROR(__xludf.DUMMYFUNCTION("""COMPUTED_VALUE"""),"")</f>
        <v/>
      </c>
      <c r="AQ2101" s="2"/>
      <c r="AR2101" s="2"/>
      <c r="AS2101" s="2"/>
      <c r="AT2101" s="2"/>
      <c r="AU2101" s="2"/>
      <c r="AV2101" s="2"/>
      <c r="AW2101" s="2"/>
      <c r="AX2101" s="2"/>
      <c r="AY2101" s="2"/>
      <c r="AZ2101" s="2"/>
      <c r="BA2101" s="2"/>
      <c r="BB2101" s="2"/>
    </row>
    <row r="2102">
      <c r="A2102" s="2"/>
      <c r="B2102" s="2" t="str">
        <f>IFERROR(__xludf.DUMMYFUNCTION("""COMPUTED_VALUE"""),"")</f>
        <v/>
      </c>
      <c r="C2102" s="2"/>
      <c r="D2102" s="71"/>
      <c r="E2102" s="71" t="str">
        <f>IFERROR(__xludf.DUMMYFUNCTION("""COMPUTED_VALUE""")," ")</f>
        <v> </v>
      </c>
      <c r="F2102" s="2"/>
      <c r="G2102" s="2"/>
      <c r="H2102" s="2"/>
      <c r="I2102" s="72"/>
      <c r="J2102" s="72"/>
      <c r="K2102" s="72"/>
      <c r="L2102" s="72"/>
      <c r="M2102" s="2"/>
      <c r="N2102" s="2"/>
      <c r="O2102" s="2"/>
      <c r="P2102" s="2"/>
      <c r="Q2102" s="2"/>
      <c r="R2102" s="2"/>
      <c r="S2102" s="2"/>
      <c r="T2102" s="2"/>
      <c r="U2102" s="2"/>
      <c r="V2102" s="2"/>
      <c r="W2102" s="2"/>
      <c r="X2102" s="2"/>
      <c r="Y2102" s="2"/>
      <c r="Z2102" s="2"/>
      <c r="AA2102" s="2"/>
      <c r="AB2102" s="2"/>
      <c r="AC2102" s="2"/>
      <c r="AD2102" s="2"/>
      <c r="AE2102" s="2"/>
      <c r="AF2102" s="2"/>
      <c r="AG2102" s="2"/>
      <c r="AH2102" s="2"/>
      <c r="AI2102" s="2"/>
      <c r="AJ2102" s="2" t="str">
        <f>IFERROR(__xludf.DUMMYFUNCTION("""COMPUTED_VALUE"""),"")</f>
        <v/>
      </c>
      <c r="AK2102" s="2" t="str">
        <f>IFERROR(__xludf.DUMMYFUNCTION("""COMPUTED_VALUE"""),"")</f>
        <v/>
      </c>
      <c r="AL2102" s="2" t="str">
        <f>IFERROR(__xludf.DUMMYFUNCTION("""COMPUTED_VALUE"""),"")</f>
        <v/>
      </c>
      <c r="AM2102" s="2" t="str">
        <f>IFERROR(__xludf.DUMMYFUNCTION("""COMPUTED_VALUE"""),"")</f>
        <v/>
      </c>
      <c r="AN2102" s="2" t="str">
        <f>IFERROR(__xludf.DUMMYFUNCTION("""COMPUTED_VALUE""")," ")</f>
        <v> </v>
      </c>
      <c r="AO2102" s="2" t="str">
        <f>IFERROR(__xludf.DUMMYFUNCTION("""COMPUTED_VALUE""")," ")</f>
        <v> </v>
      </c>
      <c r="AP2102" s="2" t="str">
        <f>IFERROR(__xludf.DUMMYFUNCTION("""COMPUTED_VALUE"""),"")</f>
        <v/>
      </c>
      <c r="AQ2102" s="2"/>
      <c r="AR2102" s="2"/>
      <c r="AS2102" s="2"/>
      <c r="AT2102" s="2"/>
      <c r="AU2102" s="2"/>
      <c r="AV2102" s="2"/>
      <c r="AW2102" s="2"/>
      <c r="AX2102" s="2"/>
      <c r="AY2102" s="2"/>
      <c r="AZ2102" s="2"/>
      <c r="BA2102" s="2"/>
      <c r="BB2102" s="2"/>
    </row>
    <row r="2103">
      <c r="A2103" s="2"/>
      <c r="B2103" s="2" t="str">
        <f>IFERROR(__xludf.DUMMYFUNCTION("""COMPUTED_VALUE"""),"")</f>
        <v/>
      </c>
      <c r="C2103" s="2"/>
      <c r="D2103" s="71"/>
      <c r="E2103" s="71" t="str">
        <f>IFERROR(__xludf.DUMMYFUNCTION("""COMPUTED_VALUE""")," ")</f>
        <v> </v>
      </c>
      <c r="F2103" s="2"/>
      <c r="G2103" s="2"/>
      <c r="H2103" s="2"/>
      <c r="I2103" s="72"/>
      <c r="J2103" s="72"/>
      <c r="K2103" s="72"/>
      <c r="L2103" s="72"/>
      <c r="M2103" s="2"/>
      <c r="N2103" s="2"/>
      <c r="O2103" s="2"/>
      <c r="P2103" s="2"/>
      <c r="Q2103" s="2"/>
      <c r="R2103" s="2"/>
      <c r="S2103" s="2"/>
      <c r="T2103" s="2"/>
      <c r="U2103" s="2"/>
      <c r="V2103" s="2"/>
      <c r="W2103" s="2"/>
      <c r="X2103" s="2"/>
      <c r="Y2103" s="2"/>
      <c r="Z2103" s="2"/>
      <c r="AA2103" s="2"/>
      <c r="AB2103" s="2"/>
      <c r="AC2103" s="2"/>
      <c r="AD2103" s="2"/>
      <c r="AE2103" s="2"/>
      <c r="AF2103" s="2"/>
      <c r="AG2103" s="2"/>
      <c r="AH2103" s="2"/>
      <c r="AI2103" s="2"/>
      <c r="AJ2103" s="2" t="str">
        <f>IFERROR(__xludf.DUMMYFUNCTION("""COMPUTED_VALUE"""),"")</f>
        <v/>
      </c>
      <c r="AK2103" s="2" t="str">
        <f>IFERROR(__xludf.DUMMYFUNCTION("""COMPUTED_VALUE"""),"")</f>
        <v/>
      </c>
      <c r="AL2103" s="2" t="str">
        <f>IFERROR(__xludf.DUMMYFUNCTION("""COMPUTED_VALUE"""),"")</f>
        <v/>
      </c>
      <c r="AM2103" s="2" t="str">
        <f>IFERROR(__xludf.DUMMYFUNCTION("""COMPUTED_VALUE"""),"")</f>
        <v/>
      </c>
      <c r="AN2103" s="2" t="str">
        <f>IFERROR(__xludf.DUMMYFUNCTION("""COMPUTED_VALUE""")," ")</f>
        <v> </v>
      </c>
      <c r="AO2103" s="2" t="str">
        <f>IFERROR(__xludf.DUMMYFUNCTION("""COMPUTED_VALUE""")," ")</f>
        <v> </v>
      </c>
      <c r="AP2103" s="2" t="str">
        <f>IFERROR(__xludf.DUMMYFUNCTION("""COMPUTED_VALUE"""),"")</f>
        <v/>
      </c>
      <c r="AQ2103" s="2"/>
      <c r="AR2103" s="2"/>
      <c r="AS2103" s="2"/>
      <c r="AT2103" s="2"/>
      <c r="AU2103" s="2"/>
      <c r="AV2103" s="2"/>
      <c r="AW2103" s="2"/>
      <c r="AX2103" s="2"/>
      <c r="AY2103" s="2"/>
      <c r="AZ2103" s="2"/>
      <c r="BA2103" s="2"/>
      <c r="BB2103" s="2"/>
    </row>
    <row r="2104">
      <c r="A2104" s="2"/>
      <c r="B2104" s="2" t="str">
        <f>IFERROR(__xludf.DUMMYFUNCTION("""COMPUTED_VALUE"""),"")</f>
        <v/>
      </c>
      <c r="C2104" s="2"/>
      <c r="D2104" s="71"/>
      <c r="E2104" s="71" t="str">
        <f>IFERROR(__xludf.DUMMYFUNCTION("""COMPUTED_VALUE""")," ")</f>
        <v> </v>
      </c>
      <c r="F2104" s="2"/>
      <c r="G2104" s="2"/>
      <c r="H2104" s="2"/>
      <c r="I2104" s="72"/>
      <c r="J2104" s="72"/>
      <c r="K2104" s="72"/>
      <c r="L2104" s="72"/>
      <c r="M2104" s="2"/>
      <c r="N2104" s="2"/>
      <c r="O2104" s="2"/>
      <c r="P2104" s="2"/>
      <c r="Q2104" s="2"/>
      <c r="R2104" s="2"/>
      <c r="S2104" s="2"/>
      <c r="T2104" s="2"/>
      <c r="U2104" s="2"/>
      <c r="V2104" s="2"/>
      <c r="W2104" s="2"/>
      <c r="X2104" s="2"/>
      <c r="Y2104" s="2"/>
      <c r="Z2104" s="2"/>
      <c r="AA2104" s="2"/>
      <c r="AB2104" s="2"/>
      <c r="AC2104" s="2"/>
      <c r="AD2104" s="2"/>
      <c r="AE2104" s="2"/>
      <c r="AF2104" s="2"/>
      <c r="AG2104" s="2"/>
      <c r="AH2104" s="2"/>
      <c r="AI2104" s="2"/>
      <c r="AJ2104" s="2" t="str">
        <f>IFERROR(__xludf.DUMMYFUNCTION("""COMPUTED_VALUE"""),"")</f>
        <v/>
      </c>
      <c r="AK2104" s="2" t="str">
        <f>IFERROR(__xludf.DUMMYFUNCTION("""COMPUTED_VALUE"""),"")</f>
        <v/>
      </c>
      <c r="AL2104" s="2" t="str">
        <f>IFERROR(__xludf.DUMMYFUNCTION("""COMPUTED_VALUE"""),"")</f>
        <v/>
      </c>
      <c r="AM2104" s="2" t="str">
        <f>IFERROR(__xludf.DUMMYFUNCTION("""COMPUTED_VALUE"""),"")</f>
        <v/>
      </c>
      <c r="AN2104" s="2" t="str">
        <f>IFERROR(__xludf.DUMMYFUNCTION("""COMPUTED_VALUE""")," ")</f>
        <v> </v>
      </c>
      <c r="AO2104" s="2" t="str">
        <f>IFERROR(__xludf.DUMMYFUNCTION("""COMPUTED_VALUE""")," ")</f>
        <v> </v>
      </c>
      <c r="AP2104" s="2" t="str">
        <f>IFERROR(__xludf.DUMMYFUNCTION("""COMPUTED_VALUE"""),"")</f>
        <v/>
      </c>
      <c r="AQ2104" s="2"/>
      <c r="AR2104" s="2"/>
      <c r="AS2104" s="2"/>
      <c r="AT2104" s="2"/>
      <c r="AU2104" s="2"/>
      <c r="AV2104" s="2"/>
      <c r="AW2104" s="2"/>
      <c r="AX2104" s="2"/>
      <c r="AY2104" s="2"/>
      <c r="AZ2104" s="2"/>
      <c r="BA2104" s="2"/>
      <c r="BB2104" s="2"/>
    </row>
    <row r="2105">
      <c r="A2105" s="2"/>
      <c r="B2105" s="2" t="str">
        <f>IFERROR(__xludf.DUMMYFUNCTION("""COMPUTED_VALUE"""),"")</f>
        <v/>
      </c>
      <c r="C2105" s="2"/>
      <c r="D2105" s="71"/>
      <c r="E2105" s="71" t="str">
        <f>IFERROR(__xludf.DUMMYFUNCTION("""COMPUTED_VALUE""")," ")</f>
        <v> </v>
      </c>
      <c r="F2105" s="2"/>
      <c r="G2105" s="2"/>
      <c r="H2105" s="2"/>
      <c r="I2105" s="72"/>
      <c r="J2105" s="72"/>
      <c r="K2105" s="72"/>
      <c r="L2105" s="72"/>
      <c r="M2105" s="2"/>
      <c r="N2105" s="2"/>
      <c r="O2105" s="2"/>
      <c r="P2105" s="2"/>
      <c r="Q2105" s="2"/>
      <c r="R2105" s="2"/>
      <c r="S2105" s="2"/>
      <c r="T2105" s="2"/>
      <c r="U2105" s="2"/>
      <c r="V2105" s="2"/>
      <c r="W2105" s="2"/>
      <c r="X2105" s="2"/>
      <c r="Y2105" s="2"/>
      <c r="Z2105" s="2"/>
      <c r="AA2105" s="2"/>
      <c r="AB2105" s="2"/>
      <c r="AC2105" s="2"/>
      <c r="AD2105" s="2"/>
      <c r="AE2105" s="2"/>
      <c r="AF2105" s="2"/>
      <c r="AG2105" s="2"/>
      <c r="AH2105" s="2"/>
      <c r="AI2105" s="2"/>
      <c r="AJ2105" s="2" t="str">
        <f>IFERROR(__xludf.DUMMYFUNCTION("""COMPUTED_VALUE"""),"")</f>
        <v/>
      </c>
      <c r="AK2105" s="2" t="str">
        <f>IFERROR(__xludf.DUMMYFUNCTION("""COMPUTED_VALUE"""),"")</f>
        <v/>
      </c>
      <c r="AL2105" s="2" t="str">
        <f>IFERROR(__xludf.DUMMYFUNCTION("""COMPUTED_VALUE"""),"")</f>
        <v/>
      </c>
      <c r="AM2105" s="2" t="str">
        <f>IFERROR(__xludf.DUMMYFUNCTION("""COMPUTED_VALUE"""),"")</f>
        <v/>
      </c>
      <c r="AN2105" s="2" t="str">
        <f>IFERROR(__xludf.DUMMYFUNCTION("""COMPUTED_VALUE""")," ")</f>
        <v> </v>
      </c>
      <c r="AO2105" s="2" t="str">
        <f>IFERROR(__xludf.DUMMYFUNCTION("""COMPUTED_VALUE""")," ")</f>
        <v> </v>
      </c>
      <c r="AP2105" s="2" t="str">
        <f>IFERROR(__xludf.DUMMYFUNCTION("""COMPUTED_VALUE"""),"")</f>
        <v/>
      </c>
      <c r="AQ2105" s="2"/>
      <c r="AR2105" s="2"/>
      <c r="AS2105" s="2"/>
      <c r="AT2105" s="2"/>
      <c r="AU2105" s="2"/>
      <c r="AV2105" s="2"/>
      <c r="AW2105" s="2"/>
      <c r="AX2105" s="2"/>
      <c r="AY2105" s="2"/>
      <c r="AZ2105" s="2"/>
      <c r="BA2105" s="2"/>
      <c r="BB2105" s="2"/>
    </row>
    <row r="2106">
      <c r="A2106" s="2"/>
      <c r="B2106" s="2" t="str">
        <f>IFERROR(__xludf.DUMMYFUNCTION("""COMPUTED_VALUE"""),"")</f>
        <v/>
      </c>
      <c r="C2106" s="2"/>
      <c r="D2106" s="71"/>
      <c r="E2106" s="71" t="str">
        <f>IFERROR(__xludf.DUMMYFUNCTION("""COMPUTED_VALUE""")," ")</f>
        <v> </v>
      </c>
      <c r="F2106" s="2"/>
      <c r="G2106" s="2"/>
      <c r="H2106" s="2"/>
      <c r="I2106" s="72"/>
      <c r="J2106" s="72"/>
      <c r="K2106" s="72"/>
      <c r="L2106" s="72"/>
      <c r="M2106" s="2"/>
      <c r="N2106" s="2"/>
      <c r="O2106" s="2"/>
      <c r="P2106" s="2"/>
      <c r="Q2106" s="2"/>
      <c r="R2106" s="2"/>
      <c r="S2106" s="2"/>
      <c r="T2106" s="2"/>
      <c r="U2106" s="2"/>
      <c r="V2106" s="2"/>
      <c r="W2106" s="2"/>
      <c r="X2106" s="2"/>
      <c r="Y2106" s="2"/>
      <c r="Z2106" s="2"/>
      <c r="AA2106" s="2"/>
      <c r="AB2106" s="2"/>
      <c r="AC2106" s="2"/>
      <c r="AD2106" s="2"/>
      <c r="AE2106" s="2"/>
      <c r="AF2106" s="2"/>
      <c r="AG2106" s="2"/>
      <c r="AH2106" s="2"/>
      <c r="AI2106" s="2"/>
      <c r="AJ2106" s="2" t="str">
        <f>IFERROR(__xludf.DUMMYFUNCTION("""COMPUTED_VALUE"""),"")</f>
        <v/>
      </c>
      <c r="AK2106" s="2" t="str">
        <f>IFERROR(__xludf.DUMMYFUNCTION("""COMPUTED_VALUE"""),"")</f>
        <v/>
      </c>
      <c r="AL2106" s="2" t="str">
        <f>IFERROR(__xludf.DUMMYFUNCTION("""COMPUTED_VALUE"""),"")</f>
        <v/>
      </c>
      <c r="AM2106" s="2" t="str">
        <f>IFERROR(__xludf.DUMMYFUNCTION("""COMPUTED_VALUE"""),"")</f>
        <v/>
      </c>
      <c r="AN2106" s="2" t="str">
        <f>IFERROR(__xludf.DUMMYFUNCTION("""COMPUTED_VALUE""")," ")</f>
        <v> </v>
      </c>
      <c r="AO2106" s="2" t="str">
        <f>IFERROR(__xludf.DUMMYFUNCTION("""COMPUTED_VALUE""")," ")</f>
        <v> </v>
      </c>
      <c r="AP2106" s="2" t="str">
        <f>IFERROR(__xludf.DUMMYFUNCTION("""COMPUTED_VALUE"""),"")</f>
        <v/>
      </c>
      <c r="AQ2106" s="2"/>
      <c r="AR2106" s="2"/>
      <c r="AS2106" s="2"/>
      <c r="AT2106" s="2"/>
      <c r="AU2106" s="2"/>
      <c r="AV2106" s="2"/>
      <c r="AW2106" s="2"/>
      <c r="AX2106" s="2"/>
      <c r="AY2106" s="2"/>
      <c r="AZ2106" s="2"/>
      <c r="BA2106" s="2"/>
      <c r="BB2106" s="2"/>
    </row>
    <row r="2107">
      <c r="A2107" s="2"/>
      <c r="B2107" s="2" t="str">
        <f>IFERROR(__xludf.DUMMYFUNCTION("""COMPUTED_VALUE"""),"")</f>
        <v/>
      </c>
      <c r="C2107" s="2"/>
      <c r="D2107" s="71"/>
      <c r="E2107" s="71" t="str">
        <f>IFERROR(__xludf.DUMMYFUNCTION("""COMPUTED_VALUE""")," ")</f>
        <v> </v>
      </c>
      <c r="F2107" s="2"/>
      <c r="G2107" s="2"/>
      <c r="H2107" s="2"/>
      <c r="I2107" s="72"/>
      <c r="J2107" s="72"/>
      <c r="K2107" s="72"/>
      <c r="L2107" s="72"/>
      <c r="M2107" s="2"/>
      <c r="N2107" s="2"/>
      <c r="O2107" s="2"/>
      <c r="P2107" s="2"/>
      <c r="Q2107" s="2"/>
      <c r="R2107" s="2"/>
      <c r="S2107" s="2"/>
      <c r="T2107" s="2"/>
      <c r="U2107" s="2"/>
      <c r="V2107" s="2"/>
      <c r="W2107" s="2"/>
      <c r="X2107" s="2"/>
      <c r="Y2107" s="2"/>
      <c r="Z2107" s="2"/>
      <c r="AA2107" s="2"/>
      <c r="AB2107" s="2"/>
      <c r="AC2107" s="2"/>
      <c r="AD2107" s="2"/>
      <c r="AE2107" s="2"/>
      <c r="AF2107" s="2"/>
      <c r="AG2107" s="2"/>
      <c r="AH2107" s="2"/>
      <c r="AI2107" s="2"/>
      <c r="AJ2107" s="2" t="str">
        <f>IFERROR(__xludf.DUMMYFUNCTION("""COMPUTED_VALUE"""),"")</f>
        <v/>
      </c>
      <c r="AK2107" s="2" t="str">
        <f>IFERROR(__xludf.DUMMYFUNCTION("""COMPUTED_VALUE"""),"")</f>
        <v/>
      </c>
      <c r="AL2107" s="2" t="str">
        <f>IFERROR(__xludf.DUMMYFUNCTION("""COMPUTED_VALUE"""),"")</f>
        <v/>
      </c>
      <c r="AM2107" s="2" t="str">
        <f>IFERROR(__xludf.DUMMYFUNCTION("""COMPUTED_VALUE"""),"")</f>
        <v/>
      </c>
      <c r="AN2107" s="2" t="str">
        <f>IFERROR(__xludf.DUMMYFUNCTION("""COMPUTED_VALUE""")," ")</f>
        <v> </v>
      </c>
      <c r="AO2107" s="2" t="str">
        <f>IFERROR(__xludf.DUMMYFUNCTION("""COMPUTED_VALUE""")," ")</f>
        <v> </v>
      </c>
      <c r="AP2107" s="2" t="str">
        <f>IFERROR(__xludf.DUMMYFUNCTION("""COMPUTED_VALUE"""),"")</f>
        <v/>
      </c>
      <c r="AQ2107" s="2"/>
      <c r="AR2107" s="2"/>
      <c r="AS2107" s="2"/>
      <c r="AT2107" s="2"/>
      <c r="AU2107" s="2"/>
      <c r="AV2107" s="2"/>
      <c r="AW2107" s="2"/>
      <c r="AX2107" s="2"/>
      <c r="AY2107" s="2"/>
      <c r="AZ2107" s="2"/>
      <c r="BA2107" s="2"/>
      <c r="BB2107" s="2"/>
    </row>
    <row r="2108">
      <c r="A2108" s="2"/>
      <c r="B2108" s="2" t="str">
        <f>IFERROR(__xludf.DUMMYFUNCTION("""COMPUTED_VALUE"""),"")</f>
        <v/>
      </c>
      <c r="C2108" s="2"/>
      <c r="D2108" s="71"/>
      <c r="E2108" s="71" t="str">
        <f>IFERROR(__xludf.DUMMYFUNCTION("""COMPUTED_VALUE""")," ")</f>
        <v> </v>
      </c>
      <c r="F2108" s="2"/>
      <c r="G2108" s="2"/>
      <c r="H2108" s="2"/>
      <c r="I2108" s="72"/>
      <c r="J2108" s="72"/>
      <c r="K2108" s="72"/>
      <c r="L2108" s="72"/>
      <c r="M2108" s="2"/>
      <c r="N2108" s="2"/>
      <c r="O2108" s="2"/>
      <c r="P2108" s="2"/>
      <c r="Q2108" s="2"/>
      <c r="R2108" s="2"/>
      <c r="S2108" s="2"/>
      <c r="T2108" s="2"/>
      <c r="U2108" s="2"/>
      <c r="V2108" s="2"/>
      <c r="W2108" s="2"/>
      <c r="X2108" s="2"/>
      <c r="Y2108" s="2"/>
      <c r="Z2108" s="2"/>
      <c r="AA2108" s="2"/>
      <c r="AB2108" s="2"/>
      <c r="AC2108" s="2"/>
      <c r="AD2108" s="2"/>
      <c r="AE2108" s="2"/>
      <c r="AF2108" s="2"/>
      <c r="AG2108" s="2"/>
      <c r="AH2108" s="2"/>
      <c r="AI2108" s="2"/>
      <c r="AJ2108" s="2" t="str">
        <f>IFERROR(__xludf.DUMMYFUNCTION("""COMPUTED_VALUE"""),"")</f>
        <v/>
      </c>
      <c r="AK2108" s="2" t="str">
        <f>IFERROR(__xludf.DUMMYFUNCTION("""COMPUTED_VALUE"""),"")</f>
        <v/>
      </c>
      <c r="AL2108" s="2" t="str">
        <f>IFERROR(__xludf.DUMMYFUNCTION("""COMPUTED_VALUE"""),"")</f>
        <v/>
      </c>
      <c r="AM2108" s="2" t="str">
        <f>IFERROR(__xludf.DUMMYFUNCTION("""COMPUTED_VALUE"""),"")</f>
        <v/>
      </c>
      <c r="AN2108" s="2" t="str">
        <f>IFERROR(__xludf.DUMMYFUNCTION("""COMPUTED_VALUE""")," ")</f>
        <v> </v>
      </c>
      <c r="AO2108" s="2" t="str">
        <f>IFERROR(__xludf.DUMMYFUNCTION("""COMPUTED_VALUE""")," ")</f>
        <v> </v>
      </c>
      <c r="AP2108" s="2" t="str">
        <f>IFERROR(__xludf.DUMMYFUNCTION("""COMPUTED_VALUE"""),"")</f>
        <v/>
      </c>
      <c r="AQ2108" s="2"/>
      <c r="AR2108" s="2"/>
      <c r="AS2108" s="2"/>
      <c r="AT2108" s="2"/>
      <c r="AU2108" s="2"/>
      <c r="AV2108" s="2"/>
      <c r="AW2108" s="2"/>
      <c r="AX2108" s="2"/>
      <c r="AY2108" s="2"/>
      <c r="AZ2108" s="2"/>
      <c r="BA2108" s="2"/>
      <c r="BB2108" s="2"/>
    </row>
    <row r="2109">
      <c r="A2109" s="2"/>
      <c r="B2109" s="2" t="str">
        <f>IFERROR(__xludf.DUMMYFUNCTION("""COMPUTED_VALUE"""),"")</f>
        <v/>
      </c>
      <c r="C2109" s="2"/>
      <c r="D2109" s="71"/>
      <c r="E2109" s="71" t="str">
        <f>IFERROR(__xludf.DUMMYFUNCTION("""COMPUTED_VALUE""")," ")</f>
        <v> </v>
      </c>
      <c r="F2109" s="2"/>
      <c r="G2109" s="2"/>
      <c r="H2109" s="2"/>
      <c r="I2109" s="72"/>
      <c r="J2109" s="72"/>
      <c r="K2109" s="72"/>
      <c r="L2109" s="72"/>
      <c r="M2109" s="2"/>
      <c r="N2109" s="2"/>
      <c r="O2109" s="2"/>
      <c r="P2109" s="2"/>
      <c r="Q2109" s="2"/>
      <c r="R2109" s="2"/>
      <c r="S2109" s="2"/>
      <c r="T2109" s="2"/>
      <c r="U2109" s="2"/>
      <c r="V2109" s="2"/>
      <c r="W2109" s="2"/>
      <c r="X2109" s="2"/>
      <c r="Y2109" s="2"/>
      <c r="Z2109" s="2"/>
      <c r="AA2109" s="2"/>
      <c r="AB2109" s="2"/>
      <c r="AC2109" s="2"/>
      <c r="AD2109" s="2"/>
      <c r="AE2109" s="2"/>
      <c r="AF2109" s="2"/>
      <c r="AG2109" s="2"/>
      <c r="AH2109" s="2"/>
      <c r="AI2109" s="2"/>
      <c r="AJ2109" s="2" t="str">
        <f>IFERROR(__xludf.DUMMYFUNCTION("""COMPUTED_VALUE"""),"")</f>
        <v/>
      </c>
      <c r="AK2109" s="2" t="str">
        <f>IFERROR(__xludf.DUMMYFUNCTION("""COMPUTED_VALUE"""),"")</f>
        <v/>
      </c>
      <c r="AL2109" s="2" t="str">
        <f>IFERROR(__xludf.DUMMYFUNCTION("""COMPUTED_VALUE"""),"")</f>
        <v/>
      </c>
      <c r="AM2109" s="2" t="str">
        <f>IFERROR(__xludf.DUMMYFUNCTION("""COMPUTED_VALUE"""),"")</f>
        <v/>
      </c>
      <c r="AN2109" s="2" t="str">
        <f>IFERROR(__xludf.DUMMYFUNCTION("""COMPUTED_VALUE""")," ")</f>
        <v> </v>
      </c>
      <c r="AO2109" s="2" t="str">
        <f>IFERROR(__xludf.DUMMYFUNCTION("""COMPUTED_VALUE""")," ")</f>
        <v> </v>
      </c>
      <c r="AP2109" s="2" t="str">
        <f>IFERROR(__xludf.DUMMYFUNCTION("""COMPUTED_VALUE"""),"")</f>
        <v/>
      </c>
      <c r="AQ2109" s="2"/>
      <c r="AR2109" s="2"/>
      <c r="AS2109" s="2"/>
      <c r="AT2109" s="2"/>
      <c r="AU2109" s="2"/>
      <c r="AV2109" s="2"/>
      <c r="AW2109" s="2"/>
      <c r="AX2109" s="2"/>
      <c r="AY2109" s="2"/>
      <c r="AZ2109" s="2"/>
      <c r="BA2109" s="2"/>
      <c r="BB2109" s="2"/>
    </row>
    <row r="2110">
      <c r="A2110" s="2"/>
      <c r="B2110" s="2" t="str">
        <f>IFERROR(__xludf.DUMMYFUNCTION("""COMPUTED_VALUE"""),"")</f>
        <v/>
      </c>
      <c r="C2110" s="2"/>
      <c r="D2110" s="71"/>
      <c r="E2110" s="71" t="str">
        <f>IFERROR(__xludf.DUMMYFUNCTION("""COMPUTED_VALUE""")," ")</f>
        <v> </v>
      </c>
      <c r="F2110" s="2"/>
      <c r="G2110" s="2"/>
      <c r="H2110" s="2"/>
      <c r="I2110" s="72"/>
      <c r="J2110" s="72"/>
      <c r="K2110" s="72"/>
      <c r="L2110" s="72"/>
      <c r="M2110" s="2"/>
      <c r="N2110" s="2"/>
      <c r="O2110" s="2"/>
      <c r="P2110" s="2"/>
      <c r="Q2110" s="2"/>
      <c r="R2110" s="2"/>
      <c r="S2110" s="2"/>
      <c r="T2110" s="2"/>
      <c r="U2110" s="2"/>
      <c r="V2110" s="2"/>
      <c r="W2110" s="2"/>
      <c r="X2110" s="2"/>
      <c r="Y2110" s="2"/>
      <c r="Z2110" s="2"/>
      <c r="AA2110" s="2"/>
      <c r="AB2110" s="2"/>
      <c r="AC2110" s="2"/>
      <c r="AD2110" s="2"/>
      <c r="AE2110" s="2"/>
      <c r="AF2110" s="2"/>
      <c r="AG2110" s="2"/>
      <c r="AH2110" s="2"/>
      <c r="AI2110" s="2"/>
      <c r="AJ2110" s="2" t="str">
        <f>IFERROR(__xludf.DUMMYFUNCTION("""COMPUTED_VALUE"""),"")</f>
        <v/>
      </c>
      <c r="AK2110" s="2" t="str">
        <f>IFERROR(__xludf.DUMMYFUNCTION("""COMPUTED_VALUE"""),"")</f>
        <v/>
      </c>
      <c r="AL2110" s="2" t="str">
        <f>IFERROR(__xludf.DUMMYFUNCTION("""COMPUTED_VALUE"""),"")</f>
        <v/>
      </c>
      <c r="AM2110" s="2" t="str">
        <f>IFERROR(__xludf.DUMMYFUNCTION("""COMPUTED_VALUE"""),"")</f>
        <v/>
      </c>
      <c r="AN2110" s="2" t="str">
        <f>IFERROR(__xludf.DUMMYFUNCTION("""COMPUTED_VALUE""")," ")</f>
        <v> </v>
      </c>
      <c r="AO2110" s="2" t="str">
        <f>IFERROR(__xludf.DUMMYFUNCTION("""COMPUTED_VALUE""")," ")</f>
        <v> </v>
      </c>
      <c r="AP2110" s="2" t="str">
        <f>IFERROR(__xludf.DUMMYFUNCTION("""COMPUTED_VALUE"""),"")</f>
        <v/>
      </c>
      <c r="AQ2110" s="2"/>
      <c r="AR2110" s="2"/>
      <c r="AS2110" s="2"/>
      <c r="AT2110" s="2"/>
      <c r="AU2110" s="2"/>
      <c r="AV2110" s="2"/>
      <c r="AW2110" s="2"/>
      <c r="AX2110" s="2"/>
      <c r="AY2110" s="2"/>
      <c r="AZ2110" s="2"/>
      <c r="BA2110" s="2"/>
      <c r="BB2110" s="2"/>
    </row>
    <row r="2111">
      <c r="A2111" s="2"/>
      <c r="B2111" s="2" t="str">
        <f>IFERROR(__xludf.DUMMYFUNCTION("""COMPUTED_VALUE"""),"")</f>
        <v/>
      </c>
      <c r="C2111" s="2"/>
      <c r="D2111" s="71"/>
      <c r="E2111" s="71" t="str">
        <f>IFERROR(__xludf.DUMMYFUNCTION("""COMPUTED_VALUE""")," ")</f>
        <v> </v>
      </c>
      <c r="F2111" s="2"/>
      <c r="G2111" s="2"/>
      <c r="H2111" s="2"/>
      <c r="I2111" s="72"/>
      <c r="J2111" s="72"/>
      <c r="K2111" s="72"/>
      <c r="L2111" s="72"/>
      <c r="M2111" s="2"/>
      <c r="N2111" s="2"/>
      <c r="O2111" s="2"/>
      <c r="P2111" s="2"/>
      <c r="Q2111" s="2"/>
      <c r="R2111" s="2"/>
      <c r="S2111" s="2"/>
      <c r="T2111" s="2"/>
      <c r="U2111" s="2"/>
      <c r="V2111" s="2"/>
      <c r="W2111" s="2"/>
      <c r="X2111" s="2"/>
      <c r="Y2111" s="2"/>
      <c r="Z2111" s="2"/>
      <c r="AA2111" s="2"/>
      <c r="AB2111" s="2"/>
      <c r="AC2111" s="2"/>
      <c r="AD2111" s="2"/>
      <c r="AE2111" s="2"/>
      <c r="AF2111" s="2"/>
      <c r="AG2111" s="2"/>
      <c r="AH2111" s="2"/>
      <c r="AI2111" s="2"/>
      <c r="AJ2111" s="2" t="str">
        <f>IFERROR(__xludf.DUMMYFUNCTION("""COMPUTED_VALUE"""),"")</f>
        <v/>
      </c>
      <c r="AK2111" s="2" t="str">
        <f>IFERROR(__xludf.DUMMYFUNCTION("""COMPUTED_VALUE"""),"")</f>
        <v/>
      </c>
      <c r="AL2111" s="2" t="str">
        <f>IFERROR(__xludf.DUMMYFUNCTION("""COMPUTED_VALUE"""),"")</f>
        <v/>
      </c>
      <c r="AM2111" s="2" t="str">
        <f>IFERROR(__xludf.DUMMYFUNCTION("""COMPUTED_VALUE"""),"")</f>
        <v/>
      </c>
      <c r="AN2111" s="2" t="str">
        <f>IFERROR(__xludf.DUMMYFUNCTION("""COMPUTED_VALUE""")," ")</f>
        <v> </v>
      </c>
      <c r="AO2111" s="2" t="str">
        <f>IFERROR(__xludf.DUMMYFUNCTION("""COMPUTED_VALUE""")," ")</f>
        <v> </v>
      </c>
      <c r="AP2111" s="2" t="str">
        <f>IFERROR(__xludf.DUMMYFUNCTION("""COMPUTED_VALUE"""),"")</f>
        <v/>
      </c>
      <c r="AQ2111" s="2"/>
      <c r="AR2111" s="2"/>
      <c r="AS2111" s="2"/>
      <c r="AT2111" s="2"/>
      <c r="AU2111" s="2"/>
      <c r="AV2111" s="2"/>
      <c r="AW2111" s="2"/>
      <c r="AX2111" s="2"/>
      <c r="AY2111" s="2"/>
      <c r="AZ2111" s="2"/>
      <c r="BA2111" s="2"/>
      <c r="BB2111" s="2"/>
    </row>
    <row r="2112">
      <c r="A2112" s="2"/>
      <c r="B2112" s="2" t="str">
        <f>IFERROR(__xludf.DUMMYFUNCTION("""COMPUTED_VALUE"""),"")</f>
        <v/>
      </c>
      <c r="C2112" s="2"/>
      <c r="D2112" s="71"/>
      <c r="E2112" s="71" t="str">
        <f>IFERROR(__xludf.DUMMYFUNCTION("""COMPUTED_VALUE""")," ")</f>
        <v> </v>
      </c>
      <c r="F2112" s="2"/>
      <c r="G2112" s="2"/>
      <c r="H2112" s="2"/>
      <c r="I2112" s="72"/>
      <c r="J2112" s="72"/>
      <c r="K2112" s="72"/>
      <c r="L2112" s="72"/>
      <c r="M2112" s="2"/>
      <c r="N2112" s="2"/>
      <c r="O2112" s="2"/>
      <c r="P2112" s="2"/>
      <c r="Q2112" s="2"/>
      <c r="R2112" s="2"/>
      <c r="S2112" s="2"/>
      <c r="T2112" s="2"/>
      <c r="U2112" s="2"/>
      <c r="V2112" s="2"/>
      <c r="W2112" s="2"/>
      <c r="X2112" s="2"/>
      <c r="Y2112" s="2"/>
      <c r="Z2112" s="2"/>
      <c r="AA2112" s="2"/>
      <c r="AB2112" s="2"/>
      <c r="AC2112" s="2"/>
      <c r="AD2112" s="2"/>
      <c r="AE2112" s="2"/>
      <c r="AF2112" s="2"/>
      <c r="AG2112" s="2"/>
      <c r="AH2112" s="2"/>
      <c r="AI2112" s="2"/>
      <c r="AJ2112" s="2" t="str">
        <f>IFERROR(__xludf.DUMMYFUNCTION("""COMPUTED_VALUE"""),"")</f>
        <v/>
      </c>
      <c r="AK2112" s="2" t="str">
        <f>IFERROR(__xludf.DUMMYFUNCTION("""COMPUTED_VALUE"""),"")</f>
        <v/>
      </c>
      <c r="AL2112" s="2" t="str">
        <f>IFERROR(__xludf.DUMMYFUNCTION("""COMPUTED_VALUE"""),"")</f>
        <v/>
      </c>
      <c r="AM2112" s="2" t="str">
        <f>IFERROR(__xludf.DUMMYFUNCTION("""COMPUTED_VALUE"""),"")</f>
        <v/>
      </c>
      <c r="AN2112" s="2" t="str">
        <f>IFERROR(__xludf.DUMMYFUNCTION("""COMPUTED_VALUE""")," ")</f>
        <v> </v>
      </c>
      <c r="AO2112" s="2" t="str">
        <f>IFERROR(__xludf.DUMMYFUNCTION("""COMPUTED_VALUE""")," ")</f>
        <v> </v>
      </c>
      <c r="AP2112" s="2" t="str">
        <f>IFERROR(__xludf.DUMMYFUNCTION("""COMPUTED_VALUE"""),"")</f>
        <v/>
      </c>
      <c r="AQ2112" s="2"/>
      <c r="AR2112" s="2"/>
      <c r="AS2112" s="2"/>
      <c r="AT2112" s="2"/>
      <c r="AU2112" s="2"/>
      <c r="AV2112" s="2"/>
      <c r="AW2112" s="2"/>
      <c r="AX2112" s="2"/>
      <c r="AY2112" s="2"/>
      <c r="AZ2112" s="2"/>
      <c r="BA2112" s="2"/>
      <c r="BB2112" s="2"/>
    </row>
    <row r="2113">
      <c r="A2113" s="2"/>
      <c r="B2113" s="2" t="str">
        <f>IFERROR(__xludf.DUMMYFUNCTION("""COMPUTED_VALUE"""),"")</f>
        <v/>
      </c>
      <c r="C2113" s="2"/>
      <c r="D2113" s="71"/>
      <c r="E2113" s="71" t="str">
        <f>IFERROR(__xludf.DUMMYFUNCTION("""COMPUTED_VALUE""")," ")</f>
        <v> </v>
      </c>
      <c r="F2113" s="2"/>
      <c r="G2113" s="2"/>
      <c r="H2113" s="2"/>
      <c r="I2113" s="72"/>
      <c r="J2113" s="72"/>
      <c r="K2113" s="72"/>
      <c r="L2113" s="72"/>
      <c r="M2113" s="2"/>
      <c r="N2113" s="2"/>
      <c r="O2113" s="2"/>
      <c r="P2113" s="2"/>
      <c r="Q2113" s="2"/>
      <c r="R2113" s="2"/>
      <c r="S2113" s="2"/>
      <c r="T2113" s="2"/>
      <c r="U2113" s="2"/>
      <c r="V2113" s="2"/>
      <c r="W2113" s="2"/>
      <c r="X2113" s="2"/>
      <c r="Y2113" s="2"/>
      <c r="Z2113" s="2"/>
      <c r="AA2113" s="2"/>
      <c r="AB2113" s="2"/>
      <c r="AC2113" s="2"/>
      <c r="AD2113" s="2"/>
      <c r="AE2113" s="2"/>
      <c r="AF2113" s="2"/>
      <c r="AG2113" s="2"/>
      <c r="AH2113" s="2"/>
      <c r="AI2113" s="2"/>
      <c r="AJ2113" s="2" t="str">
        <f>IFERROR(__xludf.DUMMYFUNCTION("""COMPUTED_VALUE"""),"")</f>
        <v/>
      </c>
      <c r="AK2113" s="2" t="str">
        <f>IFERROR(__xludf.DUMMYFUNCTION("""COMPUTED_VALUE"""),"")</f>
        <v/>
      </c>
      <c r="AL2113" s="2" t="str">
        <f>IFERROR(__xludf.DUMMYFUNCTION("""COMPUTED_VALUE"""),"")</f>
        <v/>
      </c>
      <c r="AM2113" s="2" t="str">
        <f>IFERROR(__xludf.DUMMYFUNCTION("""COMPUTED_VALUE"""),"")</f>
        <v/>
      </c>
      <c r="AN2113" s="2" t="str">
        <f>IFERROR(__xludf.DUMMYFUNCTION("""COMPUTED_VALUE""")," ")</f>
        <v> </v>
      </c>
      <c r="AO2113" s="2" t="str">
        <f>IFERROR(__xludf.DUMMYFUNCTION("""COMPUTED_VALUE""")," ")</f>
        <v> </v>
      </c>
      <c r="AP2113" s="2" t="str">
        <f>IFERROR(__xludf.DUMMYFUNCTION("""COMPUTED_VALUE"""),"")</f>
        <v/>
      </c>
      <c r="AQ2113" s="2"/>
      <c r="AR2113" s="2"/>
      <c r="AS2113" s="2"/>
      <c r="AT2113" s="2"/>
      <c r="AU2113" s="2"/>
      <c r="AV2113" s="2"/>
      <c r="AW2113" s="2"/>
      <c r="AX2113" s="2"/>
      <c r="AY2113" s="2"/>
      <c r="AZ2113" s="2"/>
      <c r="BA2113" s="2"/>
      <c r="BB2113" s="2"/>
    </row>
    <row r="2114">
      <c r="A2114" s="2"/>
      <c r="B2114" s="2" t="str">
        <f>IFERROR(__xludf.DUMMYFUNCTION("""COMPUTED_VALUE"""),"")</f>
        <v/>
      </c>
      <c r="C2114" s="2"/>
      <c r="D2114" s="71"/>
      <c r="E2114" s="71" t="str">
        <f>IFERROR(__xludf.DUMMYFUNCTION("""COMPUTED_VALUE""")," ")</f>
        <v> </v>
      </c>
      <c r="F2114" s="2"/>
      <c r="G2114" s="2"/>
      <c r="H2114" s="2"/>
      <c r="I2114" s="72"/>
      <c r="J2114" s="72"/>
      <c r="K2114" s="72"/>
      <c r="L2114" s="72"/>
      <c r="M2114" s="2"/>
      <c r="N2114" s="2"/>
      <c r="O2114" s="2"/>
      <c r="P2114" s="2"/>
      <c r="Q2114" s="2"/>
      <c r="R2114" s="2"/>
      <c r="S2114" s="2"/>
      <c r="T2114" s="2"/>
      <c r="U2114" s="2"/>
      <c r="V2114" s="2"/>
      <c r="W2114" s="2"/>
      <c r="X2114" s="2"/>
      <c r="Y2114" s="2"/>
      <c r="Z2114" s="2"/>
      <c r="AA2114" s="2"/>
      <c r="AB2114" s="2"/>
      <c r="AC2114" s="2"/>
      <c r="AD2114" s="2"/>
      <c r="AE2114" s="2"/>
      <c r="AF2114" s="2"/>
      <c r="AG2114" s="2"/>
      <c r="AH2114" s="2"/>
      <c r="AI2114" s="2"/>
      <c r="AJ2114" s="2" t="str">
        <f>IFERROR(__xludf.DUMMYFUNCTION("""COMPUTED_VALUE"""),"")</f>
        <v/>
      </c>
      <c r="AK2114" s="2" t="str">
        <f>IFERROR(__xludf.DUMMYFUNCTION("""COMPUTED_VALUE"""),"")</f>
        <v/>
      </c>
      <c r="AL2114" s="2" t="str">
        <f>IFERROR(__xludf.DUMMYFUNCTION("""COMPUTED_VALUE"""),"")</f>
        <v/>
      </c>
      <c r="AM2114" s="2" t="str">
        <f>IFERROR(__xludf.DUMMYFUNCTION("""COMPUTED_VALUE"""),"")</f>
        <v/>
      </c>
      <c r="AN2114" s="2" t="str">
        <f>IFERROR(__xludf.DUMMYFUNCTION("""COMPUTED_VALUE""")," ")</f>
        <v> </v>
      </c>
      <c r="AO2114" s="2" t="str">
        <f>IFERROR(__xludf.DUMMYFUNCTION("""COMPUTED_VALUE""")," ")</f>
        <v> </v>
      </c>
      <c r="AP2114" s="2" t="str">
        <f>IFERROR(__xludf.DUMMYFUNCTION("""COMPUTED_VALUE"""),"")</f>
        <v/>
      </c>
      <c r="AQ2114" s="2"/>
      <c r="AR2114" s="2"/>
      <c r="AS2114" s="2"/>
      <c r="AT2114" s="2"/>
      <c r="AU2114" s="2"/>
      <c r="AV2114" s="2"/>
      <c r="AW2114" s="2"/>
      <c r="AX2114" s="2"/>
      <c r="AY2114" s="2"/>
      <c r="AZ2114" s="2"/>
      <c r="BA2114" s="2"/>
      <c r="BB2114" s="2"/>
    </row>
    <row r="2115">
      <c r="A2115" s="2"/>
      <c r="B2115" s="2" t="str">
        <f>IFERROR(__xludf.DUMMYFUNCTION("""COMPUTED_VALUE"""),"")</f>
        <v/>
      </c>
      <c r="C2115" s="2"/>
      <c r="D2115" s="71"/>
      <c r="E2115" s="71" t="str">
        <f>IFERROR(__xludf.DUMMYFUNCTION("""COMPUTED_VALUE""")," ")</f>
        <v> </v>
      </c>
      <c r="F2115" s="2"/>
      <c r="G2115" s="2"/>
      <c r="H2115" s="2"/>
      <c r="I2115" s="72"/>
      <c r="J2115" s="72"/>
      <c r="K2115" s="72"/>
      <c r="L2115" s="72"/>
      <c r="M2115" s="2"/>
      <c r="N2115" s="2"/>
      <c r="O2115" s="2"/>
      <c r="P2115" s="2"/>
      <c r="Q2115" s="2"/>
      <c r="R2115" s="2"/>
      <c r="S2115" s="2"/>
      <c r="T2115" s="2"/>
      <c r="U2115" s="2"/>
      <c r="V2115" s="2"/>
      <c r="W2115" s="2"/>
      <c r="X2115" s="2"/>
      <c r="Y2115" s="2"/>
      <c r="Z2115" s="2"/>
      <c r="AA2115" s="2"/>
      <c r="AB2115" s="2"/>
      <c r="AC2115" s="2"/>
      <c r="AD2115" s="2"/>
      <c r="AE2115" s="2"/>
      <c r="AF2115" s="2"/>
      <c r="AG2115" s="2"/>
      <c r="AH2115" s="2"/>
      <c r="AI2115" s="2"/>
      <c r="AJ2115" s="2" t="str">
        <f>IFERROR(__xludf.DUMMYFUNCTION("""COMPUTED_VALUE"""),"")</f>
        <v/>
      </c>
      <c r="AK2115" s="2" t="str">
        <f>IFERROR(__xludf.DUMMYFUNCTION("""COMPUTED_VALUE"""),"")</f>
        <v/>
      </c>
      <c r="AL2115" s="2" t="str">
        <f>IFERROR(__xludf.DUMMYFUNCTION("""COMPUTED_VALUE"""),"")</f>
        <v/>
      </c>
      <c r="AM2115" s="2" t="str">
        <f>IFERROR(__xludf.DUMMYFUNCTION("""COMPUTED_VALUE"""),"")</f>
        <v/>
      </c>
      <c r="AN2115" s="2" t="str">
        <f>IFERROR(__xludf.DUMMYFUNCTION("""COMPUTED_VALUE""")," ")</f>
        <v> </v>
      </c>
      <c r="AO2115" s="2" t="str">
        <f>IFERROR(__xludf.DUMMYFUNCTION("""COMPUTED_VALUE""")," ")</f>
        <v> </v>
      </c>
      <c r="AP2115" s="2" t="str">
        <f>IFERROR(__xludf.DUMMYFUNCTION("""COMPUTED_VALUE"""),"")</f>
        <v/>
      </c>
      <c r="AQ2115" s="2"/>
      <c r="AR2115" s="2"/>
      <c r="AS2115" s="2"/>
      <c r="AT2115" s="2"/>
      <c r="AU2115" s="2"/>
      <c r="AV2115" s="2"/>
      <c r="AW2115" s="2"/>
      <c r="AX2115" s="2"/>
      <c r="AY2115" s="2"/>
      <c r="AZ2115" s="2"/>
      <c r="BA2115" s="2"/>
      <c r="BB2115" s="2"/>
    </row>
    <row r="2116">
      <c r="A2116" s="2"/>
      <c r="B2116" s="2" t="str">
        <f>IFERROR(__xludf.DUMMYFUNCTION("""COMPUTED_VALUE"""),"")</f>
        <v/>
      </c>
      <c r="C2116" s="2"/>
      <c r="D2116" s="71"/>
      <c r="E2116" s="71" t="str">
        <f>IFERROR(__xludf.DUMMYFUNCTION("""COMPUTED_VALUE""")," ")</f>
        <v> </v>
      </c>
      <c r="F2116" s="2"/>
      <c r="G2116" s="2"/>
      <c r="H2116" s="2"/>
      <c r="I2116" s="72"/>
      <c r="J2116" s="72"/>
      <c r="K2116" s="72"/>
      <c r="L2116" s="72"/>
      <c r="M2116" s="2"/>
      <c r="N2116" s="2"/>
      <c r="O2116" s="2"/>
      <c r="P2116" s="2"/>
      <c r="Q2116" s="2"/>
      <c r="R2116" s="2"/>
      <c r="S2116" s="2"/>
      <c r="T2116" s="2"/>
      <c r="U2116" s="2"/>
      <c r="V2116" s="2"/>
      <c r="W2116" s="2"/>
      <c r="X2116" s="2"/>
      <c r="Y2116" s="2"/>
      <c r="Z2116" s="2"/>
      <c r="AA2116" s="2"/>
      <c r="AB2116" s="2"/>
      <c r="AC2116" s="2"/>
      <c r="AD2116" s="2"/>
      <c r="AE2116" s="2"/>
      <c r="AF2116" s="2"/>
      <c r="AG2116" s="2"/>
      <c r="AH2116" s="2"/>
      <c r="AI2116" s="2"/>
      <c r="AJ2116" s="2" t="str">
        <f>IFERROR(__xludf.DUMMYFUNCTION("""COMPUTED_VALUE"""),"")</f>
        <v/>
      </c>
      <c r="AK2116" s="2" t="str">
        <f>IFERROR(__xludf.DUMMYFUNCTION("""COMPUTED_VALUE"""),"")</f>
        <v/>
      </c>
      <c r="AL2116" s="2" t="str">
        <f>IFERROR(__xludf.DUMMYFUNCTION("""COMPUTED_VALUE"""),"")</f>
        <v/>
      </c>
      <c r="AM2116" s="2" t="str">
        <f>IFERROR(__xludf.DUMMYFUNCTION("""COMPUTED_VALUE"""),"")</f>
        <v/>
      </c>
      <c r="AN2116" s="2" t="str">
        <f>IFERROR(__xludf.DUMMYFUNCTION("""COMPUTED_VALUE""")," ")</f>
        <v> </v>
      </c>
      <c r="AO2116" s="2" t="str">
        <f>IFERROR(__xludf.DUMMYFUNCTION("""COMPUTED_VALUE""")," ")</f>
        <v> </v>
      </c>
      <c r="AP2116" s="2" t="str">
        <f>IFERROR(__xludf.DUMMYFUNCTION("""COMPUTED_VALUE"""),"")</f>
        <v/>
      </c>
      <c r="AQ2116" s="2"/>
      <c r="AR2116" s="2"/>
      <c r="AS2116" s="2"/>
      <c r="AT2116" s="2"/>
      <c r="AU2116" s="2"/>
      <c r="AV2116" s="2"/>
      <c r="AW2116" s="2"/>
      <c r="AX2116" s="2"/>
      <c r="AY2116" s="2"/>
      <c r="AZ2116" s="2"/>
      <c r="BA2116" s="2"/>
      <c r="BB2116" s="2"/>
    </row>
    <row r="2117">
      <c r="A2117" s="2"/>
      <c r="B2117" s="2" t="str">
        <f>IFERROR(__xludf.DUMMYFUNCTION("""COMPUTED_VALUE"""),"")</f>
        <v/>
      </c>
      <c r="C2117" s="2"/>
      <c r="D2117" s="71"/>
      <c r="E2117" s="71" t="str">
        <f>IFERROR(__xludf.DUMMYFUNCTION("""COMPUTED_VALUE""")," ")</f>
        <v> </v>
      </c>
      <c r="F2117" s="2"/>
      <c r="G2117" s="2"/>
      <c r="H2117" s="2"/>
      <c r="I2117" s="72"/>
      <c r="J2117" s="72"/>
      <c r="K2117" s="72"/>
      <c r="L2117" s="72"/>
      <c r="M2117" s="2"/>
      <c r="N2117" s="2"/>
      <c r="O2117" s="2"/>
      <c r="P2117" s="2"/>
      <c r="Q2117" s="2"/>
      <c r="R2117" s="2"/>
      <c r="S2117" s="2"/>
      <c r="T2117" s="2"/>
      <c r="U2117" s="2"/>
      <c r="V2117" s="2"/>
      <c r="W2117" s="2"/>
      <c r="X2117" s="2"/>
      <c r="Y2117" s="2"/>
      <c r="Z2117" s="2"/>
      <c r="AA2117" s="2"/>
      <c r="AB2117" s="2"/>
      <c r="AC2117" s="2"/>
      <c r="AD2117" s="2"/>
      <c r="AE2117" s="2"/>
      <c r="AF2117" s="2"/>
      <c r="AG2117" s="2"/>
      <c r="AH2117" s="2"/>
      <c r="AI2117" s="2"/>
      <c r="AJ2117" s="2" t="str">
        <f>IFERROR(__xludf.DUMMYFUNCTION("""COMPUTED_VALUE"""),"")</f>
        <v/>
      </c>
      <c r="AK2117" s="2" t="str">
        <f>IFERROR(__xludf.DUMMYFUNCTION("""COMPUTED_VALUE"""),"")</f>
        <v/>
      </c>
      <c r="AL2117" s="2" t="str">
        <f>IFERROR(__xludf.DUMMYFUNCTION("""COMPUTED_VALUE"""),"")</f>
        <v/>
      </c>
      <c r="AM2117" s="2" t="str">
        <f>IFERROR(__xludf.DUMMYFUNCTION("""COMPUTED_VALUE"""),"")</f>
        <v/>
      </c>
      <c r="AN2117" s="2" t="str">
        <f>IFERROR(__xludf.DUMMYFUNCTION("""COMPUTED_VALUE""")," ")</f>
        <v> </v>
      </c>
      <c r="AO2117" s="2" t="str">
        <f>IFERROR(__xludf.DUMMYFUNCTION("""COMPUTED_VALUE""")," ")</f>
        <v> </v>
      </c>
      <c r="AP2117" s="2" t="str">
        <f>IFERROR(__xludf.DUMMYFUNCTION("""COMPUTED_VALUE"""),"")</f>
        <v/>
      </c>
      <c r="AQ2117" s="2"/>
      <c r="AR2117" s="2"/>
      <c r="AS2117" s="2"/>
      <c r="AT2117" s="2"/>
      <c r="AU2117" s="2"/>
      <c r="AV2117" s="2"/>
      <c r="AW2117" s="2"/>
      <c r="AX2117" s="2"/>
      <c r="AY2117" s="2"/>
      <c r="AZ2117" s="2"/>
      <c r="BA2117" s="2"/>
      <c r="BB2117" s="2"/>
    </row>
    <row r="2118">
      <c r="A2118" s="2"/>
      <c r="B2118" s="2" t="str">
        <f>IFERROR(__xludf.DUMMYFUNCTION("""COMPUTED_VALUE"""),"")</f>
        <v/>
      </c>
      <c r="C2118" s="2"/>
      <c r="D2118" s="71"/>
      <c r="E2118" s="71" t="str">
        <f>IFERROR(__xludf.DUMMYFUNCTION("""COMPUTED_VALUE""")," ")</f>
        <v> </v>
      </c>
      <c r="F2118" s="2"/>
      <c r="G2118" s="2"/>
      <c r="H2118" s="2"/>
      <c r="I2118" s="72"/>
      <c r="J2118" s="72"/>
      <c r="K2118" s="72"/>
      <c r="L2118" s="72"/>
      <c r="M2118" s="2"/>
      <c r="N2118" s="2"/>
      <c r="O2118" s="2"/>
      <c r="P2118" s="2"/>
      <c r="Q2118" s="2"/>
      <c r="R2118" s="2"/>
      <c r="S2118" s="2"/>
      <c r="T2118" s="2"/>
      <c r="U2118" s="2"/>
      <c r="V2118" s="2"/>
      <c r="W2118" s="2"/>
      <c r="X2118" s="2"/>
      <c r="Y2118" s="2"/>
      <c r="Z2118" s="2"/>
      <c r="AA2118" s="2"/>
      <c r="AB2118" s="2"/>
      <c r="AC2118" s="2"/>
      <c r="AD2118" s="2"/>
      <c r="AE2118" s="2"/>
      <c r="AF2118" s="2"/>
      <c r="AG2118" s="2"/>
      <c r="AH2118" s="2"/>
      <c r="AI2118" s="2"/>
      <c r="AJ2118" s="2" t="str">
        <f>IFERROR(__xludf.DUMMYFUNCTION("""COMPUTED_VALUE"""),"")</f>
        <v/>
      </c>
      <c r="AK2118" s="2" t="str">
        <f>IFERROR(__xludf.DUMMYFUNCTION("""COMPUTED_VALUE"""),"")</f>
        <v/>
      </c>
      <c r="AL2118" s="2" t="str">
        <f>IFERROR(__xludf.DUMMYFUNCTION("""COMPUTED_VALUE"""),"")</f>
        <v/>
      </c>
      <c r="AM2118" s="2" t="str">
        <f>IFERROR(__xludf.DUMMYFUNCTION("""COMPUTED_VALUE"""),"")</f>
        <v/>
      </c>
      <c r="AN2118" s="2" t="str">
        <f>IFERROR(__xludf.DUMMYFUNCTION("""COMPUTED_VALUE""")," ")</f>
        <v> </v>
      </c>
      <c r="AO2118" s="2" t="str">
        <f>IFERROR(__xludf.DUMMYFUNCTION("""COMPUTED_VALUE""")," ")</f>
        <v> </v>
      </c>
      <c r="AP2118" s="2" t="str">
        <f>IFERROR(__xludf.DUMMYFUNCTION("""COMPUTED_VALUE"""),"")</f>
        <v/>
      </c>
      <c r="AQ2118" s="2"/>
      <c r="AR2118" s="2"/>
      <c r="AS2118" s="2"/>
      <c r="AT2118" s="2"/>
      <c r="AU2118" s="2"/>
      <c r="AV2118" s="2"/>
      <c r="AW2118" s="2"/>
      <c r="AX2118" s="2"/>
      <c r="AY2118" s="2"/>
      <c r="AZ2118" s="2"/>
      <c r="BA2118" s="2"/>
      <c r="BB2118" s="2"/>
    </row>
    <row r="2119">
      <c r="A2119" s="2"/>
      <c r="B2119" s="2" t="str">
        <f>IFERROR(__xludf.DUMMYFUNCTION("""COMPUTED_VALUE"""),"")</f>
        <v/>
      </c>
      <c r="C2119" s="2"/>
      <c r="D2119" s="71"/>
      <c r="E2119" s="71" t="str">
        <f>IFERROR(__xludf.DUMMYFUNCTION("""COMPUTED_VALUE""")," ")</f>
        <v> </v>
      </c>
      <c r="F2119" s="2"/>
      <c r="G2119" s="2"/>
      <c r="H2119" s="2"/>
      <c r="I2119" s="72"/>
      <c r="J2119" s="72"/>
      <c r="K2119" s="72"/>
      <c r="L2119" s="72"/>
      <c r="M2119" s="2"/>
      <c r="N2119" s="2"/>
      <c r="O2119" s="2"/>
      <c r="P2119" s="2"/>
      <c r="Q2119" s="2"/>
      <c r="R2119" s="2"/>
      <c r="S2119" s="2"/>
      <c r="T2119" s="2"/>
      <c r="U2119" s="2"/>
      <c r="V2119" s="2"/>
      <c r="W2119" s="2"/>
      <c r="X2119" s="2"/>
      <c r="Y2119" s="2"/>
      <c r="Z2119" s="2"/>
      <c r="AA2119" s="2"/>
      <c r="AB2119" s="2"/>
      <c r="AC2119" s="2"/>
      <c r="AD2119" s="2"/>
      <c r="AE2119" s="2"/>
      <c r="AF2119" s="2"/>
      <c r="AG2119" s="2"/>
      <c r="AH2119" s="2"/>
      <c r="AI2119" s="2"/>
      <c r="AJ2119" s="2" t="str">
        <f>IFERROR(__xludf.DUMMYFUNCTION("""COMPUTED_VALUE"""),"")</f>
        <v/>
      </c>
      <c r="AK2119" s="2" t="str">
        <f>IFERROR(__xludf.DUMMYFUNCTION("""COMPUTED_VALUE"""),"")</f>
        <v/>
      </c>
      <c r="AL2119" s="2" t="str">
        <f>IFERROR(__xludf.DUMMYFUNCTION("""COMPUTED_VALUE"""),"")</f>
        <v/>
      </c>
      <c r="AM2119" s="2" t="str">
        <f>IFERROR(__xludf.DUMMYFUNCTION("""COMPUTED_VALUE"""),"")</f>
        <v/>
      </c>
      <c r="AN2119" s="2" t="str">
        <f>IFERROR(__xludf.DUMMYFUNCTION("""COMPUTED_VALUE""")," ")</f>
        <v> </v>
      </c>
      <c r="AO2119" s="2" t="str">
        <f>IFERROR(__xludf.DUMMYFUNCTION("""COMPUTED_VALUE""")," ")</f>
        <v> </v>
      </c>
      <c r="AP2119" s="2" t="str">
        <f>IFERROR(__xludf.DUMMYFUNCTION("""COMPUTED_VALUE"""),"")</f>
        <v/>
      </c>
      <c r="AQ2119" s="2"/>
      <c r="AR2119" s="2"/>
      <c r="AS2119" s="2"/>
      <c r="AT2119" s="2"/>
      <c r="AU2119" s="2"/>
      <c r="AV2119" s="2"/>
      <c r="AW2119" s="2"/>
      <c r="AX2119" s="2"/>
      <c r="AY2119" s="2"/>
      <c r="AZ2119" s="2"/>
      <c r="BA2119" s="2"/>
      <c r="BB2119" s="2"/>
    </row>
    <row r="2120">
      <c r="A2120" s="2"/>
      <c r="B2120" s="2" t="str">
        <f>IFERROR(__xludf.DUMMYFUNCTION("""COMPUTED_VALUE"""),"")</f>
        <v/>
      </c>
      <c r="C2120" s="2"/>
      <c r="D2120" s="71"/>
      <c r="E2120" s="71" t="str">
        <f>IFERROR(__xludf.DUMMYFUNCTION("""COMPUTED_VALUE""")," ")</f>
        <v> </v>
      </c>
      <c r="F2120" s="2"/>
      <c r="G2120" s="2"/>
      <c r="H2120" s="2"/>
      <c r="I2120" s="72"/>
      <c r="J2120" s="72"/>
      <c r="K2120" s="72"/>
      <c r="L2120" s="72"/>
      <c r="M2120" s="2"/>
      <c r="N2120" s="2"/>
      <c r="O2120" s="2"/>
      <c r="P2120" s="2"/>
      <c r="Q2120" s="2"/>
      <c r="R2120" s="2"/>
      <c r="S2120" s="2"/>
      <c r="T2120" s="2"/>
      <c r="U2120" s="2"/>
      <c r="V2120" s="2"/>
      <c r="W2120" s="2"/>
      <c r="X2120" s="2"/>
      <c r="Y2120" s="2"/>
      <c r="Z2120" s="2"/>
      <c r="AA2120" s="2"/>
      <c r="AB2120" s="2"/>
      <c r="AC2120" s="2"/>
      <c r="AD2120" s="2"/>
      <c r="AE2120" s="2"/>
      <c r="AF2120" s="2"/>
      <c r="AG2120" s="2"/>
      <c r="AH2120" s="2"/>
      <c r="AI2120" s="2"/>
      <c r="AJ2120" s="2" t="str">
        <f>IFERROR(__xludf.DUMMYFUNCTION("""COMPUTED_VALUE"""),"")</f>
        <v/>
      </c>
      <c r="AK2120" s="2" t="str">
        <f>IFERROR(__xludf.DUMMYFUNCTION("""COMPUTED_VALUE"""),"")</f>
        <v/>
      </c>
      <c r="AL2120" s="2" t="str">
        <f>IFERROR(__xludf.DUMMYFUNCTION("""COMPUTED_VALUE"""),"")</f>
        <v/>
      </c>
      <c r="AM2120" s="2" t="str">
        <f>IFERROR(__xludf.DUMMYFUNCTION("""COMPUTED_VALUE"""),"")</f>
        <v/>
      </c>
      <c r="AN2120" s="2" t="str">
        <f>IFERROR(__xludf.DUMMYFUNCTION("""COMPUTED_VALUE""")," ")</f>
        <v> </v>
      </c>
      <c r="AO2120" s="2" t="str">
        <f>IFERROR(__xludf.DUMMYFUNCTION("""COMPUTED_VALUE""")," ")</f>
        <v> </v>
      </c>
      <c r="AP2120" s="2" t="str">
        <f>IFERROR(__xludf.DUMMYFUNCTION("""COMPUTED_VALUE"""),"")</f>
        <v/>
      </c>
      <c r="AQ2120" s="2"/>
      <c r="AR2120" s="2"/>
      <c r="AS2120" s="2"/>
      <c r="AT2120" s="2"/>
      <c r="AU2120" s="2"/>
      <c r="AV2120" s="2"/>
      <c r="AW2120" s="2"/>
      <c r="AX2120" s="2"/>
      <c r="AY2120" s="2"/>
      <c r="AZ2120" s="2"/>
      <c r="BA2120" s="2"/>
      <c r="BB2120" s="2"/>
    </row>
    <row r="2121">
      <c r="A2121" s="2"/>
      <c r="B2121" s="2" t="str">
        <f>IFERROR(__xludf.DUMMYFUNCTION("""COMPUTED_VALUE"""),"")</f>
        <v/>
      </c>
      <c r="C2121" s="2"/>
      <c r="D2121" s="71"/>
      <c r="E2121" s="71" t="str">
        <f>IFERROR(__xludf.DUMMYFUNCTION("""COMPUTED_VALUE""")," ")</f>
        <v> </v>
      </c>
      <c r="F2121" s="2"/>
      <c r="G2121" s="2"/>
      <c r="H2121" s="2"/>
      <c r="I2121" s="72"/>
      <c r="J2121" s="72"/>
      <c r="K2121" s="72"/>
      <c r="L2121" s="72"/>
      <c r="M2121" s="2"/>
      <c r="N2121" s="2"/>
      <c r="O2121" s="2"/>
      <c r="P2121" s="2"/>
      <c r="Q2121" s="2"/>
      <c r="R2121" s="2"/>
      <c r="S2121" s="2"/>
      <c r="T2121" s="2"/>
      <c r="U2121" s="2"/>
      <c r="V2121" s="2"/>
      <c r="W2121" s="2"/>
      <c r="X2121" s="2"/>
      <c r="Y2121" s="2"/>
      <c r="Z2121" s="2"/>
      <c r="AA2121" s="2"/>
      <c r="AB2121" s="2"/>
      <c r="AC2121" s="2"/>
      <c r="AD2121" s="2"/>
      <c r="AE2121" s="2"/>
      <c r="AF2121" s="2"/>
      <c r="AG2121" s="2"/>
      <c r="AH2121" s="2"/>
      <c r="AI2121" s="2"/>
      <c r="AJ2121" s="2" t="str">
        <f>IFERROR(__xludf.DUMMYFUNCTION("""COMPUTED_VALUE"""),"")</f>
        <v/>
      </c>
      <c r="AK2121" s="2" t="str">
        <f>IFERROR(__xludf.DUMMYFUNCTION("""COMPUTED_VALUE"""),"")</f>
        <v/>
      </c>
      <c r="AL2121" s="2" t="str">
        <f>IFERROR(__xludf.DUMMYFUNCTION("""COMPUTED_VALUE"""),"")</f>
        <v/>
      </c>
      <c r="AM2121" s="2" t="str">
        <f>IFERROR(__xludf.DUMMYFUNCTION("""COMPUTED_VALUE"""),"")</f>
        <v/>
      </c>
      <c r="AN2121" s="2" t="str">
        <f>IFERROR(__xludf.DUMMYFUNCTION("""COMPUTED_VALUE""")," ")</f>
        <v> </v>
      </c>
      <c r="AO2121" s="2" t="str">
        <f>IFERROR(__xludf.DUMMYFUNCTION("""COMPUTED_VALUE""")," ")</f>
        <v> </v>
      </c>
      <c r="AP2121" s="2" t="str">
        <f>IFERROR(__xludf.DUMMYFUNCTION("""COMPUTED_VALUE"""),"")</f>
        <v/>
      </c>
      <c r="AQ2121" s="2"/>
      <c r="AR2121" s="2"/>
      <c r="AS2121" s="2"/>
      <c r="AT2121" s="2"/>
      <c r="AU2121" s="2"/>
      <c r="AV2121" s="2"/>
      <c r="AW2121" s="2"/>
      <c r="AX2121" s="2"/>
      <c r="AY2121" s="2"/>
      <c r="AZ2121" s="2"/>
      <c r="BA2121" s="2"/>
      <c r="BB2121" s="2"/>
    </row>
    <row r="2122">
      <c r="A2122" s="2"/>
      <c r="B2122" s="2" t="str">
        <f>IFERROR(__xludf.DUMMYFUNCTION("""COMPUTED_VALUE"""),"")</f>
        <v/>
      </c>
      <c r="C2122" s="2"/>
      <c r="D2122" s="71"/>
      <c r="E2122" s="71" t="str">
        <f>IFERROR(__xludf.DUMMYFUNCTION("""COMPUTED_VALUE""")," ")</f>
        <v> </v>
      </c>
      <c r="F2122" s="2"/>
      <c r="G2122" s="2"/>
      <c r="H2122" s="2"/>
      <c r="I2122" s="72"/>
      <c r="J2122" s="72"/>
      <c r="K2122" s="72"/>
      <c r="L2122" s="72"/>
      <c r="M2122" s="2"/>
      <c r="N2122" s="2"/>
      <c r="O2122" s="2"/>
      <c r="P2122" s="2"/>
      <c r="Q2122" s="2"/>
      <c r="R2122" s="2"/>
      <c r="S2122" s="2"/>
      <c r="T2122" s="2"/>
      <c r="U2122" s="2"/>
      <c r="V2122" s="2"/>
      <c r="W2122" s="2"/>
      <c r="X2122" s="2"/>
      <c r="Y2122" s="2"/>
      <c r="Z2122" s="2"/>
      <c r="AA2122" s="2"/>
      <c r="AB2122" s="2"/>
      <c r="AC2122" s="2"/>
      <c r="AD2122" s="2"/>
      <c r="AE2122" s="2"/>
      <c r="AF2122" s="2"/>
      <c r="AG2122" s="2"/>
      <c r="AH2122" s="2"/>
      <c r="AI2122" s="2"/>
      <c r="AJ2122" s="2" t="str">
        <f>IFERROR(__xludf.DUMMYFUNCTION("""COMPUTED_VALUE"""),"")</f>
        <v/>
      </c>
      <c r="AK2122" s="2" t="str">
        <f>IFERROR(__xludf.DUMMYFUNCTION("""COMPUTED_VALUE"""),"")</f>
        <v/>
      </c>
      <c r="AL2122" s="2" t="str">
        <f>IFERROR(__xludf.DUMMYFUNCTION("""COMPUTED_VALUE"""),"")</f>
        <v/>
      </c>
      <c r="AM2122" s="2" t="str">
        <f>IFERROR(__xludf.DUMMYFUNCTION("""COMPUTED_VALUE"""),"")</f>
        <v/>
      </c>
      <c r="AN2122" s="2" t="str">
        <f>IFERROR(__xludf.DUMMYFUNCTION("""COMPUTED_VALUE""")," ")</f>
        <v> </v>
      </c>
      <c r="AO2122" s="2" t="str">
        <f>IFERROR(__xludf.DUMMYFUNCTION("""COMPUTED_VALUE""")," ")</f>
        <v> </v>
      </c>
      <c r="AP2122" s="2" t="str">
        <f>IFERROR(__xludf.DUMMYFUNCTION("""COMPUTED_VALUE"""),"")</f>
        <v/>
      </c>
      <c r="AQ2122" s="2"/>
      <c r="AR2122" s="2"/>
      <c r="AS2122" s="2"/>
      <c r="AT2122" s="2"/>
      <c r="AU2122" s="2"/>
      <c r="AV2122" s="2"/>
      <c r="AW2122" s="2"/>
      <c r="AX2122" s="2"/>
      <c r="AY2122" s="2"/>
      <c r="AZ2122" s="2"/>
      <c r="BA2122" s="2"/>
      <c r="BB2122" s="2"/>
    </row>
    <row r="2123">
      <c r="A2123" s="2"/>
      <c r="B2123" s="2" t="str">
        <f>IFERROR(__xludf.DUMMYFUNCTION("""COMPUTED_VALUE"""),"")</f>
        <v/>
      </c>
      <c r="C2123" s="2"/>
      <c r="D2123" s="71"/>
      <c r="E2123" s="71" t="str">
        <f>IFERROR(__xludf.DUMMYFUNCTION("""COMPUTED_VALUE""")," ")</f>
        <v> </v>
      </c>
      <c r="F2123" s="2"/>
      <c r="G2123" s="2"/>
      <c r="H2123" s="2"/>
      <c r="I2123" s="72"/>
      <c r="J2123" s="72"/>
      <c r="K2123" s="72"/>
      <c r="L2123" s="72"/>
      <c r="M2123" s="2"/>
      <c r="N2123" s="2"/>
      <c r="O2123" s="2"/>
      <c r="P2123" s="2"/>
      <c r="Q2123" s="2"/>
      <c r="R2123" s="2"/>
      <c r="S2123" s="2"/>
      <c r="T2123" s="2"/>
      <c r="U2123" s="2"/>
      <c r="V2123" s="2"/>
      <c r="W2123" s="2"/>
      <c r="X2123" s="2"/>
      <c r="Y2123" s="2"/>
      <c r="Z2123" s="2"/>
      <c r="AA2123" s="2"/>
      <c r="AB2123" s="2"/>
      <c r="AC2123" s="2"/>
      <c r="AD2123" s="2"/>
      <c r="AE2123" s="2"/>
      <c r="AF2123" s="2"/>
      <c r="AG2123" s="2"/>
      <c r="AH2123" s="2"/>
      <c r="AI2123" s="2"/>
      <c r="AJ2123" s="2" t="str">
        <f>IFERROR(__xludf.DUMMYFUNCTION("""COMPUTED_VALUE"""),"")</f>
        <v/>
      </c>
      <c r="AK2123" s="2" t="str">
        <f>IFERROR(__xludf.DUMMYFUNCTION("""COMPUTED_VALUE"""),"")</f>
        <v/>
      </c>
      <c r="AL2123" s="2" t="str">
        <f>IFERROR(__xludf.DUMMYFUNCTION("""COMPUTED_VALUE"""),"")</f>
        <v/>
      </c>
      <c r="AM2123" s="2" t="str">
        <f>IFERROR(__xludf.DUMMYFUNCTION("""COMPUTED_VALUE"""),"")</f>
        <v/>
      </c>
      <c r="AN2123" s="2" t="str">
        <f>IFERROR(__xludf.DUMMYFUNCTION("""COMPUTED_VALUE""")," ")</f>
        <v> </v>
      </c>
      <c r="AO2123" s="2" t="str">
        <f>IFERROR(__xludf.DUMMYFUNCTION("""COMPUTED_VALUE""")," ")</f>
        <v> </v>
      </c>
      <c r="AP2123" s="2" t="str">
        <f>IFERROR(__xludf.DUMMYFUNCTION("""COMPUTED_VALUE"""),"")</f>
        <v/>
      </c>
      <c r="AQ2123" s="2"/>
      <c r="AR2123" s="2"/>
      <c r="AS2123" s="2"/>
      <c r="AT2123" s="2"/>
      <c r="AU2123" s="2"/>
      <c r="AV2123" s="2"/>
      <c r="AW2123" s="2"/>
      <c r="AX2123" s="2"/>
      <c r="AY2123" s="2"/>
      <c r="AZ2123" s="2"/>
      <c r="BA2123" s="2"/>
      <c r="BB2123" s="2"/>
    </row>
    <row r="2124">
      <c r="A2124" s="2"/>
      <c r="B2124" s="2" t="str">
        <f>IFERROR(__xludf.DUMMYFUNCTION("""COMPUTED_VALUE"""),"")</f>
        <v/>
      </c>
      <c r="C2124" s="2"/>
      <c r="D2124" s="71"/>
      <c r="E2124" s="71" t="str">
        <f>IFERROR(__xludf.DUMMYFUNCTION("""COMPUTED_VALUE""")," ")</f>
        <v> </v>
      </c>
      <c r="F2124" s="2"/>
      <c r="G2124" s="2"/>
      <c r="H2124" s="2"/>
      <c r="I2124" s="72"/>
      <c r="J2124" s="72"/>
      <c r="K2124" s="72"/>
      <c r="L2124" s="72"/>
      <c r="M2124" s="2"/>
      <c r="N2124" s="2"/>
      <c r="O2124" s="2"/>
      <c r="P2124" s="2"/>
      <c r="Q2124" s="2"/>
      <c r="R2124" s="2"/>
      <c r="S2124" s="2"/>
      <c r="T2124" s="2"/>
      <c r="U2124" s="2"/>
      <c r="V2124" s="2"/>
      <c r="W2124" s="2"/>
      <c r="X2124" s="2"/>
      <c r="Y2124" s="2"/>
      <c r="Z2124" s="2"/>
      <c r="AA2124" s="2"/>
      <c r="AB2124" s="2"/>
      <c r="AC2124" s="2"/>
      <c r="AD2124" s="2"/>
      <c r="AE2124" s="2"/>
      <c r="AF2124" s="2"/>
      <c r="AG2124" s="2"/>
      <c r="AH2124" s="2"/>
      <c r="AI2124" s="2"/>
      <c r="AJ2124" s="2" t="str">
        <f>IFERROR(__xludf.DUMMYFUNCTION("""COMPUTED_VALUE"""),"")</f>
        <v/>
      </c>
      <c r="AK2124" s="2" t="str">
        <f>IFERROR(__xludf.DUMMYFUNCTION("""COMPUTED_VALUE"""),"")</f>
        <v/>
      </c>
      <c r="AL2124" s="2" t="str">
        <f>IFERROR(__xludf.DUMMYFUNCTION("""COMPUTED_VALUE"""),"")</f>
        <v/>
      </c>
      <c r="AM2124" s="2" t="str">
        <f>IFERROR(__xludf.DUMMYFUNCTION("""COMPUTED_VALUE"""),"")</f>
        <v/>
      </c>
      <c r="AN2124" s="2" t="str">
        <f>IFERROR(__xludf.DUMMYFUNCTION("""COMPUTED_VALUE""")," ")</f>
        <v> </v>
      </c>
      <c r="AO2124" s="2" t="str">
        <f>IFERROR(__xludf.DUMMYFUNCTION("""COMPUTED_VALUE""")," ")</f>
        <v> </v>
      </c>
      <c r="AP2124" s="2" t="str">
        <f>IFERROR(__xludf.DUMMYFUNCTION("""COMPUTED_VALUE"""),"")</f>
        <v/>
      </c>
      <c r="AQ2124" s="2"/>
      <c r="AR2124" s="2"/>
      <c r="AS2124" s="2"/>
      <c r="AT2124" s="2"/>
      <c r="AU2124" s="2"/>
      <c r="AV2124" s="2"/>
      <c r="AW2124" s="2"/>
      <c r="AX2124" s="2"/>
      <c r="AY2124" s="2"/>
      <c r="AZ2124" s="2"/>
      <c r="BA2124" s="2"/>
      <c r="BB2124" s="2"/>
    </row>
    <row r="2125">
      <c r="A2125" s="2"/>
      <c r="B2125" s="2" t="str">
        <f>IFERROR(__xludf.DUMMYFUNCTION("""COMPUTED_VALUE"""),"")</f>
        <v/>
      </c>
      <c r="C2125" s="2"/>
      <c r="D2125" s="71"/>
      <c r="E2125" s="71" t="str">
        <f>IFERROR(__xludf.DUMMYFUNCTION("""COMPUTED_VALUE""")," ")</f>
        <v> </v>
      </c>
      <c r="F2125" s="2"/>
      <c r="G2125" s="2"/>
      <c r="H2125" s="2"/>
      <c r="I2125" s="72"/>
      <c r="J2125" s="72"/>
      <c r="K2125" s="72"/>
      <c r="L2125" s="72"/>
      <c r="M2125" s="2"/>
      <c r="N2125" s="2"/>
      <c r="O2125" s="2"/>
      <c r="P2125" s="2"/>
      <c r="Q2125" s="2"/>
      <c r="R2125" s="2"/>
      <c r="S2125" s="2"/>
      <c r="T2125" s="2"/>
      <c r="U2125" s="2"/>
      <c r="V2125" s="2"/>
      <c r="W2125" s="2"/>
      <c r="X2125" s="2"/>
      <c r="Y2125" s="2"/>
      <c r="Z2125" s="2"/>
      <c r="AA2125" s="2"/>
      <c r="AB2125" s="2"/>
      <c r="AC2125" s="2"/>
      <c r="AD2125" s="2"/>
      <c r="AE2125" s="2"/>
      <c r="AF2125" s="2"/>
      <c r="AG2125" s="2"/>
      <c r="AH2125" s="2"/>
      <c r="AI2125" s="2"/>
      <c r="AJ2125" s="2" t="str">
        <f>IFERROR(__xludf.DUMMYFUNCTION("""COMPUTED_VALUE"""),"")</f>
        <v/>
      </c>
      <c r="AK2125" s="2" t="str">
        <f>IFERROR(__xludf.DUMMYFUNCTION("""COMPUTED_VALUE"""),"")</f>
        <v/>
      </c>
      <c r="AL2125" s="2" t="str">
        <f>IFERROR(__xludf.DUMMYFUNCTION("""COMPUTED_VALUE"""),"")</f>
        <v/>
      </c>
      <c r="AM2125" s="2" t="str">
        <f>IFERROR(__xludf.DUMMYFUNCTION("""COMPUTED_VALUE"""),"")</f>
        <v/>
      </c>
      <c r="AN2125" s="2" t="str">
        <f>IFERROR(__xludf.DUMMYFUNCTION("""COMPUTED_VALUE""")," ")</f>
        <v> </v>
      </c>
      <c r="AO2125" s="2" t="str">
        <f>IFERROR(__xludf.DUMMYFUNCTION("""COMPUTED_VALUE""")," ")</f>
        <v> </v>
      </c>
      <c r="AP2125" s="2" t="str">
        <f>IFERROR(__xludf.DUMMYFUNCTION("""COMPUTED_VALUE"""),"")</f>
        <v/>
      </c>
      <c r="AQ2125" s="2"/>
      <c r="AR2125" s="2"/>
      <c r="AS2125" s="2"/>
      <c r="AT2125" s="2"/>
      <c r="AU2125" s="2"/>
      <c r="AV2125" s="2"/>
      <c r="AW2125" s="2"/>
      <c r="AX2125" s="2"/>
      <c r="AY2125" s="2"/>
      <c r="AZ2125" s="2"/>
      <c r="BA2125" s="2"/>
      <c r="BB2125" s="2"/>
    </row>
    <row r="2126">
      <c r="A2126" s="2"/>
      <c r="B2126" s="2" t="str">
        <f>IFERROR(__xludf.DUMMYFUNCTION("""COMPUTED_VALUE"""),"")</f>
        <v/>
      </c>
      <c r="C2126" s="2"/>
      <c r="D2126" s="71"/>
      <c r="E2126" s="71" t="str">
        <f>IFERROR(__xludf.DUMMYFUNCTION("""COMPUTED_VALUE""")," ")</f>
        <v> </v>
      </c>
      <c r="F2126" s="2"/>
      <c r="G2126" s="2"/>
      <c r="H2126" s="2"/>
      <c r="I2126" s="72"/>
      <c r="J2126" s="72"/>
      <c r="K2126" s="72"/>
      <c r="L2126" s="72"/>
      <c r="M2126" s="2"/>
      <c r="N2126" s="2"/>
      <c r="O2126" s="2"/>
      <c r="P2126" s="2"/>
      <c r="Q2126" s="2"/>
      <c r="R2126" s="2"/>
      <c r="S2126" s="2"/>
      <c r="T2126" s="2"/>
      <c r="U2126" s="2"/>
      <c r="V2126" s="2"/>
      <c r="W2126" s="2"/>
      <c r="X2126" s="2"/>
      <c r="Y2126" s="2"/>
      <c r="Z2126" s="2"/>
      <c r="AA2126" s="2"/>
      <c r="AB2126" s="2"/>
      <c r="AC2126" s="2"/>
      <c r="AD2126" s="2"/>
      <c r="AE2126" s="2"/>
      <c r="AF2126" s="2"/>
      <c r="AG2126" s="2"/>
      <c r="AH2126" s="2"/>
      <c r="AI2126" s="2"/>
      <c r="AJ2126" s="2" t="str">
        <f>IFERROR(__xludf.DUMMYFUNCTION("""COMPUTED_VALUE"""),"")</f>
        <v/>
      </c>
      <c r="AK2126" s="2" t="str">
        <f>IFERROR(__xludf.DUMMYFUNCTION("""COMPUTED_VALUE"""),"")</f>
        <v/>
      </c>
      <c r="AL2126" s="2" t="str">
        <f>IFERROR(__xludf.DUMMYFUNCTION("""COMPUTED_VALUE"""),"")</f>
        <v/>
      </c>
      <c r="AM2126" s="2" t="str">
        <f>IFERROR(__xludf.DUMMYFUNCTION("""COMPUTED_VALUE"""),"")</f>
        <v/>
      </c>
      <c r="AN2126" s="2" t="str">
        <f>IFERROR(__xludf.DUMMYFUNCTION("""COMPUTED_VALUE""")," ")</f>
        <v> </v>
      </c>
      <c r="AO2126" s="2" t="str">
        <f>IFERROR(__xludf.DUMMYFUNCTION("""COMPUTED_VALUE""")," ")</f>
        <v> </v>
      </c>
      <c r="AP2126" s="2" t="str">
        <f>IFERROR(__xludf.DUMMYFUNCTION("""COMPUTED_VALUE"""),"")</f>
        <v/>
      </c>
      <c r="AQ2126" s="2"/>
      <c r="AR2126" s="2"/>
      <c r="AS2126" s="2"/>
      <c r="AT2126" s="2"/>
      <c r="AU2126" s="2"/>
      <c r="AV2126" s="2"/>
      <c r="AW2126" s="2"/>
      <c r="AX2126" s="2"/>
      <c r="AY2126" s="2"/>
      <c r="AZ2126" s="2"/>
      <c r="BA2126" s="2"/>
      <c r="BB2126" s="2"/>
    </row>
    <row r="2127">
      <c r="A2127" s="2"/>
      <c r="B2127" s="2" t="str">
        <f>IFERROR(__xludf.DUMMYFUNCTION("""COMPUTED_VALUE"""),"")</f>
        <v/>
      </c>
      <c r="C2127" s="2"/>
      <c r="D2127" s="71"/>
      <c r="E2127" s="71" t="str">
        <f>IFERROR(__xludf.DUMMYFUNCTION("""COMPUTED_VALUE""")," ")</f>
        <v> </v>
      </c>
      <c r="F2127" s="2"/>
      <c r="G2127" s="2"/>
      <c r="H2127" s="2"/>
      <c r="I2127" s="72"/>
      <c r="J2127" s="72"/>
      <c r="K2127" s="72"/>
      <c r="L2127" s="72"/>
      <c r="M2127" s="2"/>
      <c r="N2127" s="2"/>
      <c r="O2127" s="2"/>
      <c r="P2127" s="2"/>
      <c r="Q2127" s="2"/>
      <c r="R2127" s="2"/>
      <c r="S2127" s="2"/>
      <c r="T2127" s="2"/>
      <c r="U2127" s="2"/>
      <c r="V2127" s="2"/>
      <c r="W2127" s="2"/>
      <c r="X2127" s="2"/>
      <c r="Y2127" s="2"/>
      <c r="Z2127" s="2"/>
      <c r="AA2127" s="2"/>
      <c r="AB2127" s="2"/>
      <c r="AC2127" s="2"/>
      <c r="AD2127" s="2"/>
      <c r="AE2127" s="2"/>
      <c r="AF2127" s="2"/>
      <c r="AG2127" s="2"/>
      <c r="AH2127" s="2"/>
      <c r="AI2127" s="2"/>
      <c r="AJ2127" s="2" t="str">
        <f>IFERROR(__xludf.DUMMYFUNCTION("""COMPUTED_VALUE"""),"")</f>
        <v/>
      </c>
      <c r="AK2127" s="2" t="str">
        <f>IFERROR(__xludf.DUMMYFUNCTION("""COMPUTED_VALUE"""),"")</f>
        <v/>
      </c>
      <c r="AL2127" s="2" t="str">
        <f>IFERROR(__xludf.DUMMYFUNCTION("""COMPUTED_VALUE"""),"")</f>
        <v/>
      </c>
      <c r="AM2127" s="2" t="str">
        <f>IFERROR(__xludf.DUMMYFUNCTION("""COMPUTED_VALUE"""),"")</f>
        <v/>
      </c>
      <c r="AN2127" s="2" t="str">
        <f>IFERROR(__xludf.DUMMYFUNCTION("""COMPUTED_VALUE""")," ")</f>
        <v> </v>
      </c>
      <c r="AO2127" s="2" t="str">
        <f>IFERROR(__xludf.DUMMYFUNCTION("""COMPUTED_VALUE""")," ")</f>
        <v> </v>
      </c>
      <c r="AP2127" s="2" t="str">
        <f>IFERROR(__xludf.DUMMYFUNCTION("""COMPUTED_VALUE"""),"")</f>
        <v/>
      </c>
      <c r="AQ2127" s="2"/>
      <c r="AR2127" s="2"/>
      <c r="AS2127" s="2"/>
      <c r="AT2127" s="2"/>
      <c r="AU2127" s="2"/>
      <c r="AV2127" s="2"/>
      <c r="AW2127" s="2"/>
      <c r="AX2127" s="2"/>
      <c r="AY2127" s="2"/>
      <c r="AZ2127" s="2"/>
      <c r="BA2127" s="2"/>
      <c r="BB2127" s="2"/>
    </row>
    <row r="2128">
      <c r="A2128" s="2"/>
      <c r="B2128" s="2" t="str">
        <f>IFERROR(__xludf.DUMMYFUNCTION("""COMPUTED_VALUE"""),"")</f>
        <v/>
      </c>
      <c r="C2128" s="2"/>
      <c r="D2128" s="71"/>
      <c r="E2128" s="71" t="str">
        <f>IFERROR(__xludf.DUMMYFUNCTION("""COMPUTED_VALUE""")," ")</f>
        <v> </v>
      </c>
      <c r="F2128" s="2"/>
      <c r="G2128" s="2"/>
      <c r="H2128" s="2"/>
      <c r="I2128" s="72"/>
      <c r="J2128" s="72"/>
      <c r="K2128" s="72"/>
      <c r="L2128" s="72"/>
      <c r="M2128" s="2"/>
      <c r="N2128" s="2"/>
      <c r="O2128" s="2"/>
      <c r="P2128" s="2"/>
      <c r="Q2128" s="2"/>
      <c r="R2128" s="2"/>
      <c r="S2128" s="2"/>
      <c r="T2128" s="2"/>
      <c r="U2128" s="2"/>
      <c r="V2128" s="2"/>
      <c r="W2128" s="2"/>
      <c r="X2128" s="2"/>
      <c r="Y2128" s="2"/>
      <c r="Z2128" s="2"/>
      <c r="AA2128" s="2"/>
      <c r="AB2128" s="2"/>
      <c r="AC2128" s="2"/>
      <c r="AD2128" s="2"/>
      <c r="AE2128" s="2"/>
      <c r="AF2128" s="2"/>
      <c r="AG2128" s="2"/>
      <c r="AH2128" s="2"/>
      <c r="AI2128" s="2"/>
      <c r="AJ2128" s="2" t="str">
        <f>IFERROR(__xludf.DUMMYFUNCTION("""COMPUTED_VALUE"""),"")</f>
        <v/>
      </c>
      <c r="AK2128" s="2" t="str">
        <f>IFERROR(__xludf.DUMMYFUNCTION("""COMPUTED_VALUE"""),"")</f>
        <v/>
      </c>
      <c r="AL2128" s="2" t="str">
        <f>IFERROR(__xludf.DUMMYFUNCTION("""COMPUTED_VALUE"""),"")</f>
        <v/>
      </c>
      <c r="AM2128" s="2" t="str">
        <f>IFERROR(__xludf.DUMMYFUNCTION("""COMPUTED_VALUE"""),"")</f>
        <v/>
      </c>
      <c r="AN2128" s="2" t="str">
        <f>IFERROR(__xludf.DUMMYFUNCTION("""COMPUTED_VALUE""")," ")</f>
        <v> </v>
      </c>
      <c r="AO2128" s="2" t="str">
        <f>IFERROR(__xludf.DUMMYFUNCTION("""COMPUTED_VALUE""")," ")</f>
        <v> </v>
      </c>
      <c r="AP2128" s="2" t="str">
        <f>IFERROR(__xludf.DUMMYFUNCTION("""COMPUTED_VALUE"""),"")</f>
        <v/>
      </c>
      <c r="AQ2128" s="2"/>
      <c r="AR2128" s="2"/>
      <c r="AS2128" s="2"/>
      <c r="AT2128" s="2"/>
      <c r="AU2128" s="2"/>
      <c r="AV2128" s="2"/>
      <c r="AW2128" s="2"/>
      <c r="AX2128" s="2"/>
      <c r="AY2128" s="2"/>
      <c r="AZ2128" s="2"/>
      <c r="BA2128" s="2"/>
      <c r="BB2128" s="2"/>
    </row>
    <row r="2129">
      <c r="A2129" s="2"/>
      <c r="B2129" s="2" t="str">
        <f>IFERROR(__xludf.DUMMYFUNCTION("""COMPUTED_VALUE"""),"")</f>
        <v/>
      </c>
      <c r="C2129" s="2"/>
      <c r="D2129" s="71"/>
      <c r="E2129" s="71" t="str">
        <f>IFERROR(__xludf.DUMMYFUNCTION("""COMPUTED_VALUE""")," ")</f>
        <v> </v>
      </c>
      <c r="F2129" s="2"/>
      <c r="G2129" s="2"/>
      <c r="H2129" s="2"/>
      <c r="I2129" s="72"/>
      <c r="J2129" s="72"/>
      <c r="K2129" s="72"/>
      <c r="L2129" s="72"/>
      <c r="M2129" s="2"/>
      <c r="N2129" s="2"/>
      <c r="O2129" s="2"/>
      <c r="P2129" s="2"/>
      <c r="Q2129" s="2"/>
      <c r="R2129" s="2"/>
      <c r="S2129" s="2"/>
      <c r="T2129" s="2"/>
      <c r="U2129" s="2"/>
      <c r="V2129" s="2"/>
      <c r="W2129" s="2"/>
      <c r="X2129" s="2"/>
      <c r="Y2129" s="2"/>
      <c r="Z2129" s="2"/>
      <c r="AA2129" s="2"/>
      <c r="AB2129" s="2"/>
      <c r="AC2129" s="2"/>
      <c r="AD2129" s="2"/>
      <c r="AE2129" s="2"/>
      <c r="AF2129" s="2"/>
      <c r="AG2129" s="2"/>
      <c r="AH2129" s="2"/>
      <c r="AI2129" s="2"/>
      <c r="AJ2129" s="2" t="str">
        <f>IFERROR(__xludf.DUMMYFUNCTION("""COMPUTED_VALUE"""),"")</f>
        <v/>
      </c>
      <c r="AK2129" s="2" t="str">
        <f>IFERROR(__xludf.DUMMYFUNCTION("""COMPUTED_VALUE"""),"")</f>
        <v/>
      </c>
      <c r="AL2129" s="2" t="str">
        <f>IFERROR(__xludf.DUMMYFUNCTION("""COMPUTED_VALUE"""),"")</f>
        <v/>
      </c>
      <c r="AM2129" s="2" t="str">
        <f>IFERROR(__xludf.DUMMYFUNCTION("""COMPUTED_VALUE"""),"")</f>
        <v/>
      </c>
      <c r="AN2129" s="2" t="str">
        <f>IFERROR(__xludf.DUMMYFUNCTION("""COMPUTED_VALUE""")," ")</f>
        <v> </v>
      </c>
      <c r="AO2129" s="2" t="str">
        <f>IFERROR(__xludf.DUMMYFUNCTION("""COMPUTED_VALUE""")," ")</f>
        <v> </v>
      </c>
      <c r="AP2129" s="2" t="str">
        <f>IFERROR(__xludf.DUMMYFUNCTION("""COMPUTED_VALUE"""),"")</f>
        <v/>
      </c>
      <c r="AQ2129" s="2"/>
      <c r="AR2129" s="2"/>
      <c r="AS2129" s="2"/>
      <c r="AT2129" s="2"/>
      <c r="AU2129" s="2"/>
      <c r="AV2129" s="2"/>
      <c r="AW2129" s="2"/>
      <c r="AX2129" s="2"/>
      <c r="AY2129" s="2"/>
      <c r="AZ2129" s="2"/>
      <c r="BA2129" s="2"/>
      <c r="BB2129" s="2"/>
    </row>
    <row r="2130">
      <c r="A2130" s="2"/>
      <c r="B2130" s="2" t="str">
        <f>IFERROR(__xludf.DUMMYFUNCTION("""COMPUTED_VALUE"""),"")</f>
        <v/>
      </c>
      <c r="C2130" s="2"/>
      <c r="D2130" s="71"/>
      <c r="E2130" s="71" t="str">
        <f>IFERROR(__xludf.DUMMYFUNCTION("""COMPUTED_VALUE""")," ")</f>
        <v> </v>
      </c>
      <c r="F2130" s="2"/>
      <c r="G2130" s="2"/>
      <c r="H2130" s="2"/>
      <c r="I2130" s="72"/>
      <c r="J2130" s="72"/>
      <c r="K2130" s="72"/>
      <c r="L2130" s="72"/>
      <c r="M2130" s="2"/>
      <c r="N2130" s="2"/>
      <c r="O2130" s="2"/>
      <c r="P2130" s="2"/>
      <c r="Q2130" s="2"/>
      <c r="R2130" s="2"/>
      <c r="S2130" s="2"/>
      <c r="T2130" s="2"/>
      <c r="U2130" s="2"/>
      <c r="V2130" s="2"/>
      <c r="W2130" s="2"/>
      <c r="X2130" s="2"/>
      <c r="Y2130" s="2"/>
      <c r="Z2130" s="2"/>
      <c r="AA2130" s="2"/>
      <c r="AB2130" s="2"/>
      <c r="AC2130" s="2"/>
      <c r="AD2130" s="2"/>
      <c r="AE2130" s="2"/>
      <c r="AF2130" s="2"/>
      <c r="AG2130" s="2"/>
      <c r="AH2130" s="2"/>
      <c r="AI2130" s="2"/>
      <c r="AJ2130" s="2" t="str">
        <f>IFERROR(__xludf.DUMMYFUNCTION("""COMPUTED_VALUE"""),"")</f>
        <v/>
      </c>
      <c r="AK2130" s="2" t="str">
        <f>IFERROR(__xludf.DUMMYFUNCTION("""COMPUTED_VALUE"""),"")</f>
        <v/>
      </c>
      <c r="AL2130" s="2" t="str">
        <f>IFERROR(__xludf.DUMMYFUNCTION("""COMPUTED_VALUE"""),"")</f>
        <v/>
      </c>
      <c r="AM2130" s="2" t="str">
        <f>IFERROR(__xludf.DUMMYFUNCTION("""COMPUTED_VALUE"""),"")</f>
        <v/>
      </c>
      <c r="AN2130" s="2" t="str">
        <f>IFERROR(__xludf.DUMMYFUNCTION("""COMPUTED_VALUE""")," ")</f>
        <v> </v>
      </c>
      <c r="AO2130" s="2" t="str">
        <f>IFERROR(__xludf.DUMMYFUNCTION("""COMPUTED_VALUE""")," ")</f>
        <v> </v>
      </c>
      <c r="AP2130" s="2" t="str">
        <f>IFERROR(__xludf.DUMMYFUNCTION("""COMPUTED_VALUE"""),"")</f>
        <v/>
      </c>
      <c r="AQ2130" s="2"/>
      <c r="AR2130" s="2"/>
      <c r="AS2130" s="2"/>
      <c r="AT2130" s="2"/>
      <c r="AU2130" s="2"/>
      <c r="AV2130" s="2"/>
      <c r="AW2130" s="2"/>
      <c r="AX2130" s="2"/>
      <c r="AY2130" s="2"/>
      <c r="AZ2130" s="2"/>
      <c r="BA2130" s="2"/>
      <c r="BB2130" s="2"/>
    </row>
    <row r="2131">
      <c r="A2131" s="2"/>
      <c r="B2131" s="2" t="str">
        <f>IFERROR(__xludf.DUMMYFUNCTION("""COMPUTED_VALUE"""),"")</f>
        <v/>
      </c>
      <c r="C2131" s="2"/>
      <c r="D2131" s="71"/>
      <c r="E2131" s="71" t="str">
        <f>IFERROR(__xludf.DUMMYFUNCTION("""COMPUTED_VALUE""")," ")</f>
        <v> </v>
      </c>
      <c r="F2131" s="2"/>
      <c r="G2131" s="2"/>
      <c r="H2131" s="2"/>
      <c r="I2131" s="72"/>
      <c r="J2131" s="72"/>
      <c r="K2131" s="72"/>
      <c r="L2131" s="72"/>
      <c r="M2131" s="2"/>
      <c r="N2131" s="2"/>
      <c r="O2131" s="2"/>
      <c r="P2131" s="2"/>
      <c r="Q2131" s="2"/>
      <c r="R2131" s="2"/>
      <c r="S2131" s="2"/>
      <c r="T2131" s="2"/>
      <c r="U2131" s="2"/>
      <c r="V2131" s="2"/>
      <c r="W2131" s="2"/>
      <c r="X2131" s="2"/>
      <c r="Y2131" s="2"/>
      <c r="Z2131" s="2"/>
      <c r="AA2131" s="2"/>
      <c r="AB2131" s="2"/>
      <c r="AC2131" s="2"/>
      <c r="AD2131" s="2"/>
      <c r="AE2131" s="2"/>
      <c r="AF2131" s="2"/>
      <c r="AG2131" s="2"/>
      <c r="AH2131" s="2"/>
      <c r="AI2131" s="2"/>
      <c r="AJ2131" s="2" t="str">
        <f>IFERROR(__xludf.DUMMYFUNCTION("""COMPUTED_VALUE"""),"")</f>
        <v/>
      </c>
      <c r="AK2131" s="2" t="str">
        <f>IFERROR(__xludf.DUMMYFUNCTION("""COMPUTED_VALUE"""),"")</f>
        <v/>
      </c>
      <c r="AL2131" s="2" t="str">
        <f>IFERROR(__xludf.DUMMYFUNCTION("""COMPUTED_VALUE"""),"")</f>
        <v/>
      </c>
      <c r="AM2131" s="2" t="str">
        <f>IFERROR(__xludf.DUMMYFUNCTION("""COMPUTED_VALUE"""),"")</f>
        <v/>
      </c>
      <c r="AN2131" s="2" t="str">
        <f>IFERROR(__xludf.DUMMYFUNCTION("""COMPUTED_VALUE""")," ")</f>
        <v> </v>
      </c>
      <c r="AO2131" s="2" t="str">
        <f>IFERROR(__xludf.DUMMYFUNCTION("""COMPUTED_VALUE""")," ")</f>
        <v> </v>
      </c>
      <c r="AP2131" s="2" t="str">
        <f>IFERROR(__xludf.DUMMYFUNCTION("""COMPUTED_VALUE"""),"")</f>
        <v/>
      </c>
      <c r="AQ2131" s="2"/>
      <c r="AR2131" s="2"/>
      <c r="AS2131" s="2"/>
      <c r="AT2131" s="2"/>
      <c r="AU2131" s="2"/>
      <c r="AV2131" s="2"/>
      <c r="AW2131" s="2"/>
      <c r="AX2131" s="2"/>
      <c r="AY2131" s="2"/>
      <c r="AZ2131" s="2"/>
      <c r="BA2131" s="2"/>
      <c r="BB2131" s="2"/>
    </row>
    <row r="2132">
      <c r="A2132" s="2"/>
      <c r="B2132" s="2" t="str">
        <f>IFERROR(__xludf.DUMMYFUNCTION("""COMPUTED_VALUE"""),"")</f>
        <v/>
      </c>
      <c r="C2132" s="2"/>
      <c r="D2132" s="71"/>
      <c r="E2132" s="71" t="str">
        <f>IFERROR(__xludf.DUMMYFUNCTION("""COMPUTED_VALUE""")," ")</f>
        <v> </v>
      </c>
      <c r="F2132" s="2"/>
      <c r="G2132" s="2"/>
      <c r="H2132" s="2"/>
      <c r="I2132" s="72"/>
      <c r="J2132" s="72"/>
      <c r="K2132" s="72"/>
      <c r="L2132" s="72"/>
      <c r="M2132" s="2"/>
      <c r="N2132" s="2"/>
      <c r="O2132" s="2"/>
      <c r="P2132" s="2"/>
      <c r="Q2132" s="2"/>
      <c r="R2132" s="2"/>
      <c r="S2132" s="2"/>
      <c r="T2132" s="2"/>
      <c r="U2132" s="2"/>
      <c r="V2132" s="2"/>
      <c r="W2132" s="2"/>
      <c r="X2132" s="2"/>
      <c r="Y2132" s="2"/>
      <c r="Z2132" s="2"/>
      <c r="AA2132" s="2"/>
      <c r="AB2132" s="2"/>
      <c r="AC2132" s="2"/>
      <c r="AD2132" s="2"/>
      <c r="AE2132" s="2"/>
      <c r="AF2132" s="2"/>
      <c r="AG2132" s="2"/>
      <c r="AH2132" s="2"/>
      <c r="AI2132" s="2"/>
      <c r="AJ2132" s="2" t="str">
        <f>IFERROR(__xludf.DUMMYFUNCTION("""COMPUTED_VALUE"""),"")</f>
        <v/>
      </c>
      <c r="AK2132" s="2" t="str">
        <f>IFERROR(__xludf.DUMMYFUNCTION("""COMPUTED_VALUE"""),"")</f>
        <v/>
      </c>
      <c r="AL2132" s="2" t="str">
        <f>IFERROR(__xludf.DUMMYFUNCTION("""COMPUTED_VALUE"""),"")</f>
        <v/>
      </c>
      <c r="AM2132" s="2" t="str">
        <f>IFERROR(__xludf.DUMMYFUNCTION("""COMPUTED_VALUE"""),"")</f>
        <v/>
      </c>
      <c r="AN2132" s="2" t="str">
        <f>IFERROR(__xludf.DUMMYFUNCTION("""COMPUTED_VALUE""")," ")</f>
        <v> </v>
      </c>
      <c r="AO2132" s="2" t="str">
        <f>IFERROR(__xludf.DUMMYFUNCTION("""COMPUTED_VALUE""")," ")</f>
        <v> </v>
      </c>
      <c r="AP2132" s="2" t="str">
        <f>IFERROR(__xludf.DUMMYFUNCTION("""COMPUTED_VALUE"""),"")</f>
        <v/>
      </c>
      <c r="AQ2132" s="2"/>
      <c r="AR2132" s="2"/>
      <c r="AS2132" s="2"/>
      <c r="AT2132" s="2"/>
      <c r="AU2132" s="2"/>
      <c r="AV2132" s="2"/>
      <c r="AW2132" s="2"/>
      <c r="AX2132" s="2"/>
      <c r="AY2132" s="2"/>
      <c r="AZ2132" s="2"/>
      <c r="BA2132" s="2"/>
      <c r="BB2132" s="2"/>
    </row>
    <row r="2133">
      <c r="A2133" s="2"/>
      <c r="B2133" s="2" t="str">
        <f>IFERROR(__xludf.DUMMYFUNCTION("""COMPUTED_VALUE"""),"")</f>
        <v/>
      </c>
      <c r="C2133" s="2"/>
      <c r="D2133" s="71"/>
      <c r="E2133" s="71" t="str">
        <f>IFERROR(__xludf.DUMMYFUNCTION("""COMPUTED_VALUE""")," ")</f>
        <v> </v>
      </c>
      <c r="F2133" s="2"/>
      <c r="G2133" s="2"/>
      <c r="H2133" s="2"/>
      <c r="I2133" s="72"/>
      <c r="J2133" s="72"/>
      <c r="K2133" s="72"/>
      <c r="L2133" s="72"/>
      <c r="M2133" s="2"/>
      <c r="N2133" s="2"/>
      <c r="O2133" s="2"/>
      <c r="P2133" s="2"/>
      <c r="Q2133" s="2"/>
      <c r="R2133" s="2"/>
      <c r="S2133" s="2"/>
      <c r="T2133" s="2"/>
      <c r="U2133" s="2"/>
      <c r="V2133" s="2"/>
      <c r="W2133" s="2"/>
      <c r="X2133" s="2"/>
      <c r="Y2133" s="2"/>
      <c r="Z2133" s="2"/>
      <c r="AA2133" s="2"/>
      <c r="AB2133" s="2"/>
      <c r="AC2133" s="2"/>
      <c r="AD2133" s="2"/>
      <c r="AE2133" s="2"/>
      <c r="AF2133" s="2"/>
      <c r="AG2133" s="2"/>
      <c r="AH2133" s="2"/>
      <c r="AI2133" s="2"/>
      <c r="AJ2133" s="2" t="str">
        <f>IFERROR(__xludf.DUMMYFUNCTION("""COMPUTED_VALUE"""),"")</f>
        <v/>
      </c>
      <c r="AK2133" s="2" t="str">
        <f>IFERROR(__xludf.DUMMYFUNCTION("""COMPUTED_VALUE"""),"")</f>
        <v/>
      </c>
      <c r="AL2133" s="2" t="str">
        <f>IFERROR(__xludf.DUMMYFUNCTION("""COMPUTED_VALUE"""),"")</f>
        <v/>
      </c>
      <c r="AM2133" s="2" t="str">
        <f>IFERROR(__xludf.DUMMYFUNCTION("""COMPUTED_VALUE"""),"")</f>
        <v/>
      </c>
      <c r="AN2133" s="2" t="str">
        <f>IFERROR(__xludf.DUMMYFUNCTION("""COMPUTED_VALUE""")," ")</f>
        <v> </v>
      </c>
      <c r="AO2133" s="2" t="str">
        <f>IFERROR(__xludf.DUMMYFUNCTION("""COMPUTED_VALUE""")," ")</f>
        <v> </v>
      </c>
      <c r="AP2133" s="2" t="str">
        <f>IFERROR(__xludf.DUMMYFUNCTION("""COMPUTED_VALUE"""),"")</f>
        <v/>
      </c>
      <c r="AQ2133" s="2"/>
      <c r="AR2133" s="2"/>
      <c r="AS2133" s="2"/>
      <c r="AT2133" s="2"/>
      <c r="AU2133" s="2"/>
      <c r="AV2133" s="2"/>
      <c r="AW2133" s="2"/>
      <c r="AX2133" s="2"/>
      <c r="AY2133" s="2"/>
      <c r="AZ2133" s="2"/>
      <c r="BA2133" s="2"/>
      <c r="BB2133" s="2"/>
    </row>
    <row r="2134">
      <c r="A2134" s="2"/>
      <c r="B2134" s="2" t="str">
        <f>IFERROR(__xludf.DUMMYFUNCTION("""COMPUTED_VALUE"""),"")</f>
        <v/>
      </c>
      <c r="C2134" s="2"/>
      <c r="D2134" s="71"/>
      <c r="E2134" s="71" t="str">
        <f>IFERROR(__xludf.DUMMYFUNCTION("""COMPUTED_VALUE""")," ")</f>
        <v> </v>
      </c>
      <c r="F2134" s="2"/>
      <c r="G2134" s="2"/>
      <c r="H2134" s="2"/>
      <c r="I2134" s="72"/>
      <c r="J2134" s="72"/>
      <c r="K2134" s="72"/>
      <c r="L2134" s="72"/>
      <c r="M2134" s="2"/>
      <c r="N2134" s="2"/>
      <c r="O2134" s="2"/>
      <c r="P2134" s="2"/>
      <c r="Q2134" s="2"/>
      <c r="R2134" s="2"/>
      <c r="S2134" s="2"/>
      <c r="T2134" s="2"/>
      <c r="U2134" s="2"/>
      <c r="V2134" s="2"/>
      <c r="W2134" s="2"/>
      <c r="X2134" s="2"/>
      <c r="Y2134" s="2"/>
      <c r="Z2134" s="2"/>
      <c r="AA2134" s="2"/>
      <c r="AB2134" s="2"/>
      <c r="AC2134" s="2"/>
      <c r="AD2134" s="2"/>
      <c r="AE2134" s="2"/>
      <c r="AF2134" s="2"/>
      <c r="AG2134" s="2"/>
      <c r="AH2134" s="2"/>
      <c r="AI2134" s="2"/>
      <c r="AJ2134" s="2" t="str">
        <f>IFERROR(__xludf.DUMMYFUNCTION("""COMPUTED_VALUE"""),"")</f>
        <v/>
      </c>
      <c r="AK2134" s="2" t="str">
        <f>IFERROR(__xludf.DUMMYFUNCTION("""COMPUTED_VALUE"""),"")</f>
        <v/>
      </c>
      <c r="AL2134" s="2" t="str">
        <f>IFERROR(__xludf.DUMMYFUNCTION("""COMPUTED_VALUE"""),"")</f>
        <v/>
      </c>
      <c r="AM2134" s="2" t="str">
        <f>IFERROR(__xludf.DUMMYFUNCTION("""COMPUTED_VALUE"""),"")</f>
        <v/>
      </c>
      <c r="AN2134" s="2" t="str">
        <f>IFERROR(__xludf.DUMMYFUNCTION("""COMPUTED_VALUE""")," ")</f>
        <v> </v>
      </c>
      <c r="AO2134" s="2" t="str">
        <f>IFERROR(__xludf.DUMMYFUNCTION("""COMPUTED_VALUE""")," ")</f>
        <v> </v>
      </c>
      <c r="AP2134" s="2" t="str">
        <f>IFERROR(__xludf.DUMMYFUNCTION("""COMPUTED_VALUE"""),"")</f>
        <v/>
      </c>
      <c r="AQ2134" s="2"/>
      <c r="AR2134" s="2"/>
      <c r="AS2134" s="2"/>
      <c r="AT2134" s="2"/>
      <c r="AU2134" s="2"/>
      <c r="AV2134" s="2"/>
      <c r="AW2134" s="2"/>
      <c r="AX2134" s="2"/>
      <c r="AY2134" s="2"/>
      <c r="AZ2134" s="2"/>
      <c r="BA2134" s="2"/>
      <c r="BB2134" s="2"/>
    </row>
    <row r="2135">
      <c r="A2135" s="2"/>
      <c r="B2135" s="2" t="str">
        <f>IFERROR(__xludf.DUMMYFUNCTION("""COMPUTED_VALUE"""),"")</f>
        <v/>
      </c>
      <c r="C2135" s="2"/>
      <c r="D2135" s="71"/>
      <c r="E2135" s="71" t="str">
        <f>IFERROR(__xludf.DUMMYFUNCTION("""COMPUTED_VALUE""")," ")</f>
        <v> </v>
      </c>
      <c r="F2135" s="2"/>
      <c r="G2135" s="2"/>
      <c r="H2135" s="2"/>
      <c r="I2135" s="72"/>
      <c r="J2135" s="72"/>
      <c r="K2135" s="72"/>
      <c r="L2135" s="72"/>
      <c r="M2135" s="2"/>
      <c r="N2135" s="2"/>
      <c r="O2135" s="2"/>
      <c r="P2135" s="2"/>
      <c r="Q2135" s="2"/>
      <c r="R2135" s="2"/>
      <c r="S2135" s="2"/>
      <c r="T2135" s="2"/>
      <c r="U2135" s="2"/>
      <c r="V2135" s="2"/>
      <c r="W2135" s="2"/>
      <c r="X2135" s="2"/>
      <c r="Y2135" s="2"/>
      <c r="Z2135" s="2"/>
      <c r="AA2135" s="2"/>
      <c r="AB2135" s="2"/>
      <c r="AC2135" s="2"/>
      <c r="AD2135" s="2"/>
      <c r="AE2135" s="2"/>
      <c r="AF2135" s="2"/>
      <c r="AG2135" s="2"/>
      <c r="AH2135" s="2"/>
      <c r="AI2135" s="2"/>
      <c r="AJ2135" s="2" t="str">
        <f>IFERROR(__xludf.DUMMYFUNCTION("""COMPUTED_VALUE"""),"")</f>
        <v/>
      </c>
      <c r="AK2135" s="2" t="str">
        <f>IFERROR(__xludf.DUMMYFUNCTION("""COMPUTED_VALUE"""),"")</f>
        <v/>
      </c>
      <c r="AL2135" s="2" t="str">
        <f>IFERROR(__xludf.DUMMYFUNCTION("""COMPUTED_VALUE"""),"")</f>
        <v/>
      </c>
      <c r="AM2135" s="2" t="str">
        <f>IFERROR(__xludf.DUMMYFUNCTION("""COMPUTED_VALUE"""),"")</f>
        <v/>
      </c>
      <c r="AN2135" s="2" t="str">
        <f>IFERROR(__xludf.DUMMYFUNCTION("""COMPUTED_VALUE""")," ")</f>
        <v> </v>
      </c>
      <c r="AO2135" s="2" t="str">
        <f>IFERROR(__xludf.DUMMYFUNCTION("""COMPUTED_VALUE""")," ")</f>
        <v> </v>
      </c>
      <c r="AP2135" s="2" t="str">
        <f>IFERROR(__xludf.DUMMYFUNCTION("""COMPUTED_VALUE"""),"")</f>
        <v/>
      </c>
      <c r="AQ2135" s="2"/>
      <c r="AR2135" s="2"/>
      <c r="AS2135" s="2"/>
      <c r="AT2135" s="2"/>
      <c r="AU2135" s="2"/>
      <c r="AV2135" s="2"/>
      <c r="AW2135" s="2"/>
      <c r="AX2135" s="2"/>
      <c r="AY2135" s="2"/>
      <c r="AZ2135" s="2"/>
      <c r="BA2135" s="2"/>
      <c r="BB2135" s="2"/>
    </row>
    <row r="2136">
      <c r="A2136" s="2"/>
      <c r="B2136" s="2" t="str">
        <f>IFERROR(__xludf.DUMMYFUNCTION("""COMPUTED_VALUE"""),"")</f>
        <v/>
      </c>
      <c r="C2136" s="2"/>
      <c r="D2136" s="71"/>
      <c r="E2136" s="71" t="str">
        <f>IFERROR(__xludf.DUMMYFUNCTION("""COMPUTED_VALUE""")," ")</f>
        <v> </v>
      </c>
      <c r="F2136" s="2"/>
      <c r="G2136" s="2"/>
      <c r="H2136" s="2"/>
      <c r="I2136" s="72"/>
      <c r="J2136" s="72"/>
      <c r="K2136" s="72"/>
      <c r="L2136" s="72"/>
      <c r="M2136" s="2"/>
      <c r="N2136" s="2"/>
      <c r="O2136" s="2"/>
      <c r="P2136" s="2"/>
      <c r="Q2136" s="2"/>
      <c r="R2136" s="2"/>
      <c r="S2136" s="2"/>
      <c r="T2136" s="2"/>
      <c r="U2136" s="2"/>
      <c r="V2136" s="2"/>
      <c r="W2136" s="2"/>
      <c r="X2136" s="2"/>
      <c r="Y2136" s="2"/>
      <c r="Z2136" s="2"/>
      <c r="AA2136" s="2"/>
      <c r="AB2136" s="2"/>
      <c r="AC2136" s="2"/>
      <c r="AD2136" s="2"/>
      <c r="AE2136" s="2"/>
      <c r="AF2136" s="2"/>
      <c r="AG2136" s="2"/>
      <c r="AH2136" s="2"/>
      <c r="AI2136" s="2"/>
      <c r="AJ2136" s="2" t="str">
        <f>IFERROR(__xludf.DUMMYFUNCTION("""COMPUTED_VALUE"""),"")</f>
        <v/>
      </c>
      <c r="AK2136" s="2" t="str">
        <f>IFERROR(__xludf.DUMMYFUNCTION("""COMPUTED_VALUE"""),"")</f>
        <v/>
      </c>
      <c r="AL2136" s="2" t="str">
        <f>IFERROR(__xludf.DUMMYFUNCTION("""COMPUTED_VALUE"""),"")</f>
        <v/>
      </c>
      <c r="AM2136" s="2" t="str">
        <f>IFERROR(__xludf.DUMMYFUNCTION("""COMPUTED_VALUE"""),"")</f>
        <v/>
      </c>
      <c r="AN2136" s="2" t="str">
        <f>IFERROR(__xludf.DUMMYFUNCTION("""COMPUTED_VALUE""")," ")</f>
        <v> </v>
      </c>
      <c r="AO2136" s="2" t="str">
        <f>IFERROR(__xludf.DUMMYFUNCTION("""COMPUTED_VALUE""")," ")</f>
        <v> </v>
      </c>
      <c r="AP2136" s="2" t="str">
        <f>IFERROR(__xludf.DUMMYFUNCTION("""COMPUTED_VALUE"""),"")</f>
        <v/>
      </c>
      <c r="AQ2136" s="2"/>
      <c r="AR2136" s="2"/>
      <c r="AS2136" s="2"/>
      <c r="AT2136" s="2"/>
      <c r="AU2136" s="2"/>
      <c r="AV2136" s="2"/>
      <c r="AW2136" s="2"/>
      <c r="AX2136" s="2"/>
      <c r="AY2136" s="2"/>
      <c r="AZ2136" s="2"/>
      <c r="BA2136" s="2"/>
      <c r="BB2136" s="2"/>
    </row>
    <row r="2137">
      <c r="A2137" s="2"/>
      <c r="B2137" s="2" t="str">
        <f>IFERROR(__xludf.DUMMYFUNCTION("""COMPUTED_VALUE"""),"")</f>
        <v/>
      </c>
      <c r="C2137" s="2"/>
      <c r="D2137" s="71"/>
      <c r="E2137" s="71" t="str">
        <f>IFERROR(__xludf.DUMMYFUNCTION("""COMPUTED_VALUE""")," ")</f>
        <v> </v>
      </c>
      <c r="F2137" s="2"/>
      <c r="G2137" s="2"/>
      <c r="H2137" s="2"/>
      <c r="I2137" s="72"/>
      <c r="J2137" s="72"/>
      <c r="K2137" s="72"/>
      <c r="L2137" s="72"/>
      <c r="M2137" s="2"/>
      <c r="N2137" s="2"/>
      <c r="O2137" s="2"/>
      <c r="P2137" s="2"/>
      <c r="Q2137" s="2"/>
      <c r="R2137" s="2"/>
      <c r="S2137" s="2"/>
      <c r="T2137" s="2"/>
      <c r="U2137" s="2"/>
      <c r="V2137" s="2"/>
      <c r="W2137" s="2"/>
      <c r="X2137" s="2"/>
      <c r="Y2137" s="2"/>
      <c r="Z2137" s="2"/>
      <c r="AA2137" s="2"/>
      <c r="AB2137" s="2"/>
      <c r="AC2137" s="2"/>
      <c r="AD2137" s="2"/>
      <c r="AE2137" s="2"/>
      <c r="AF2137" s="2"/>
      <c r="AG2137" s="2"/>
      <c r="AH2137" s="2"/>
      <c r="AI2137" s="2"/>
      <c r="AJ2137" s="2" t="str">
        <f>IFERROR(__xludf.DUMMYFUNCTION("""COMPUTED_VALUE"""),"")</f>
        <v/>
      </c>
      <c r="AK2137" s="2" t="str">
        <f>IFERROR(__xludf.DUMMYFUNCTION("""COMPUTED_VALUE"""),"")</f>
        <v/>
      </c>
      <c r="AL2137" s="2" t="str">
        <f>IFERROR(__xludf.DUMMYFUNCTION("""COMPUTED_VALUE"""),"")</f>
        <v/>
      </c>
      <c r="AM2137" s="2" t="str">
        <f>IFERROR(__xludf.DUMMYFUNCTION("""COMPUTED_VALUE"""),"")</f>
        <v/>
      </c>
      <c r="AN2137" s="2" t="str">
        <f>IFERROR(__xludf.DUMMYFUNCTION("""COMPUTED_VALUE""")," ")</f>
        <v> </v>
      </c>
      <c r="AO2137" s="2" t="str">
        <f>IFERROR(__xludf.DUMMYFUNCTION("""COMPUTED_VALUE""")," ")</f>
        <v> </v>
      </c>
      <c r="AP2137" s="2" t="str">
        <f>IFERROR(__xludf.DUMMYFUNCTION("""COMPUTED_VALUE"""),"")</f>
        <v/>
      </c>
      <c r="AQ2137" s="2"/>
      <c r="AR2137" s="2"/>
      <c r="AS2137" s="2"/>
      <c r="AT2137" s="2"/>
      <c r="AU2137" s="2"/>
      <c r="AV2137" s="2"/>
      <c r="AW2137" s="2"/>
      <c r="AX2137" s="2"/>
      <c r="AY2137" s="2"/>
      <c r="AZ2137" s="2"/>
      <c r="BA2137" s="2"/>
      <c r="BB2137" s="2"/>
    </row>
    <row r="2138">
      <c r="A2138" s="2"/>
      <c r="B2138" s="2" t="str">
        <f>IFERROR(__xludf.DUMMYFUNCTION("""COMPUTED_VALUE"""),"")</f>
        <v/>
      </c>
      <c r="C2138" s="2"/>
      <c r="D2138" s="71"/>
      <c r="E2138" s="71" t="str">
        <f>IFERROR(__xludf.DUMMYFUNCTION("""COMPUTED_VALUE""")," ")</f>
        <v> </v>
      </c>
      <c r="F2138" s="2"/>
      <c r="G2138" s="2"/>
      <c r="H2138" s="2"/>
      <c r="I2138" s="72"/>
      <c r="J2138" s="72"/>
      <c r="K2138" s="72"/>
      <c r="L2138" s="72"/>
      <c r="M2138" s="2"/>
      <c r="N2138" s="2"/>
      <c r="O2138" s="2"/>
      <c r="P2138" s="2"/>
      <c r="Q2138" s="2"/>
      <c r="R2138" s="2"/>
      <c r="S2138" s="2"/>
      <c r="T2138" s="2"/>
      <c r="U2138" s="2"/>
      <c r="V2138" s="2"/>
      <c r="W2138" s="2"/>
      <c r="X2138" s="2"/>
      <c r="Y2138" s="2"/>
      <c r="Z2138" s="2"/>
      <c r="AA2138" s="2"/>
      <c r="AB2138" s="2"/>
      <c r="AC2138" s="2"/>
      <c r="AD2138" s="2"/>
      <c r="AE2138" s="2"/>
      <c r="AF2138" s="2"/>
      <c r="AG2138" s="2"/>
      <c r="AH2138" s="2"/>
      <c r="AI2138" s="2"/>
      <c r="AJ2138" s="2" t="str">
        <f>IFERROR(__xludf.DUMMYFUNCTION("""COMPUTED_VALUE"""),"")</f>
        <v/>
      </c>
      <c r="AK2138" s="2" t="str">
        <f>IFERROR(__xludf.DUMMYFUNCTION("""COMPUTED_VALUE"""),"")</f>
        <v/>
      </c>
      <c r="AL2138" s="2" t="str">
        <f>IFERROR(__xludf.DUMMYFUNCTION("""COMPUTED_VALUE"""),"")</f>
        <v/>
      </c>
      <c r="AM2138" s="2" t="str">
        <f>IFERROR(__xludf.DUMMYFUNCTION("""COMPUTED_VALUE"""),"")</f>
        <v/>
      </c>
      <c r="AN2138" s="2" t="str">
        <f>IFERROR(__xludf.DUMMYFUNCTION("""COMPUTED_VALUE""")," ")</f>
        <v> </v>
      </c>
      <c r="AO2138" s="2" t="str">
        <f>IFERROR(__xludf.DUMMYFUNCTION("""COMPUTED_VALUE""")," ")</f>
        <v> </v>
      </c>
      <c r="AP2138" s="2" t="str">
        <f>IFERROR(__xludf.DUMMYFUNCTION("""COMPUTED_VALUE"""),"")</f>
        <v/>
      </c>
      <c r="AQ2138" s="2"/>
      <c r="AR2138" s="2"/>
      <c r="AS2138" s="2"/>
      <c r="AT2138" s="2"/>
      <c r="AU2138" s="2"/>
      <c r="AV2138" s="2"/>
      <c r="AW2138" s="2"/>
      <c r="AX2138" s="2"/>
      <c r="AY2138" s="2"/>
      <c r="AZ2138" s="2"/>
      <c r="BA2138" s="2"/>
      <c r="BB2138" s="2"/>
    </row>
    <row r="2139">
      <c r="A2139" s="2"/>
      <c r="B2139" s="2" t="str">
        <f>IFERROR(__xludf.DUMMYFUNCTION("""COMPUTED_VALUE"""),"")</f>
        <v/>
      </c>
      <c r="C2139" s="2"/>
      <c r="D2139" s="71"/>
      <c r="E2139" s="71" t="str">
        <f>IFERROR(__xludf.DUMMYFUNCTION("""COMPUTED_VALUE""")," ")</f>
        <v> </v>
      </c>
      <c r="F2139" s="2"/>
      <c r="G2139" s="2"/>
      <c r="H2139" s="2"/>
      <c r="I2139" s="72"/>
      <c r="J2139" s="72"/>
      <c r="K2139" s="72"/>
      <c r="L2139" s="72"/>
      <c r="M2139" s="2"/>
      <c r="N2139" s="2"/>
      <c r="O2139" s="2"/>
      <c r="P2139" s="2"/>
      <c r="Q2139" s="2"/>
      <c r="R2139" s="2"/>
      <c r="S2139" s="2"/>
      <c r="T2139" s="2"/>
      <c r="U2139" s="2"/>
      <c r="V2139" s="2"/>
      <c r="W2139" s="2"/>
      <c r="X2139" s="2"/>
      <c r="Y2139" s="2"/>
      <c r="Z2139" s="2"/>
      <c r="AA2139" s="2"/>
      <c r="AB2139" s="2"/>
      <c r="AC2139" s="2"/>
      <c r="AD2139" s="2"/>
      <c r="AE2139" s="2"/>
      <c r="AF2139" s="2"/>
      <c r="AG2139" s="2"/>
      <c r="AH2139" s="2"/>
      <c r="AI2139" s="2"/>
      <c r="AJ2139" s="2" t="str">
        <f>IFERROR(__xludf.DUMMYFUNCTION("""COMPUTED_VALUE"""),"")</f>
        <v/>
      </c>
      <c r="AK2139" s="2" t="str">
        <f>IFERROR(__xludf.DUMMYFUNCTION("""COMPUTED_VALUE"""),"")</f>
        <v/>
      </c>
      <c r="AL2139" s="2" t="str">
        <f>IFERROR(__xludf.DUMMYFUNCTION("""COMPUTED_VALUE"""),"")</f>
        <v/>
      </c>
      <c r="AM2139" s="2" t="str">
        <f>IFERROR(__xludf.DUMMYFUNCTION("""COMPUTED_VALUE"""),"")</f>
        <v/>
      </c>
      <c r="AN2139" s="2" t="str">
        <f>IFERROR(__xludf.DUMMYFUNCTION("""COMPUTED_VALUE""")," ")</f>
        <v> </v>
      </c>
      <c r="AO2139" s="2" t="str">
        <f>IFERROR(__xludf.DUMMYFUNCTION("""COMPUTED_VALUE""")," ")</f>
        <v> </v>
      </c>
      <c r="AP2139" s="2" t="str">
        <f>IFERROR(__xludf.DUMMYFUNCTION("""COMPUTED_VALUE"""),"")</f>
        <v/>
      </c>
      <c r="AQ2139" s="2"/>
      <c r="AR2139" s="2"/>
      <c r="AS2139" s="2"/>
      <c r="AT2139" s="2"/>
      <c r="AU2139" s="2"/>
      <c r="AV2139" s="2"/>
      <c r="AW2139" s="2"/>
      <c r="AX2139" s="2"/>
      <c r="AY2139" s="2"/>
      <c r="AZ2139" s="2"/>
      <c r="BA2139" s="2"/>
      <c r="BB2139" s="2"/>
    </row>
    <row r="2140">
      <c r="A2140" s="2"/>
      <c r="B2140" s="2" t="str">
        <f>IFERROR(__xludf.DUMMYFUNCTION("""COMPUTED_VALUE"""),"")</f>
        <v/>
      </c>
      <c r="C2140" s="2"/>
      <c r="D2140" s="71"/>
      <c r="E2140" s="71" t="str">
        <f>IFERROR(__xludf.DUMMYFUNCTION("""COMPUTED_VALUE""")," ")</f>
        <v> </v>
      </c>
      <c r="F2140" s="2"/>
      <c r="G2140" s="2"/>
      <c r="H2140" s="2"/>
      <c r="I2140" s="72"/>
      <c r="J2140" s="72"/>
      <c r="K2140" s="72"/>
      <c r="L2140" s="72"/>
      <c r="M2140" s="2"/>
      <c r="N2140" s="2"/>
      <c r="O2140" s="2"/>
      <c r="P2140" s="2"/>
      <c r="Q2140" s="2"/>
      <c r="R2140" s="2"/>
      <c r="S2140" s="2"/>
      <c r="T2140" s="2"/>
      <c r="U2140" s="2"/>
      <c r="V2140" s="2"/>
      <c r="W2140" s="2"/>
      <c r="X2140" s="2"/>
      <c r="Y2140" s="2"/>
      <c r="Z2140" s="2"/>
      <c r="AA2140" s="2"/>
      <c r="AB2140" s="2"/>
      <c r="AC2140" s="2"/>
      <c r="AD2140" s="2"/>
      <c r="AE2140" s="2"/>
      <c r="AF2140" s="2"/>
      <c r="AG2140" s="2"/>
      <c r="AH2140" s="2"/>
      <c r="AI2140" s="2"/>
      <c r="AJ2140" s="2" t="str">
        <f>IFERROR(__xludf.DUMMYFUNCTION("""COMPUTED_VALUE"""),"")</f>
        <v/>
      </c>
      <c r="AK2140" s="2" t="str">
        <f>IFERROR(__xludf.DUMMYFUNCTION("""COMPUTED_VALUE"""),"")</f>
        <v/>
      </c>
      <c r="AL2140" s="2" t="str">
        <f>IFERROR(__xludf.DUMMYFUNCTION("""COMPUTED_VALUE"""),"")</f>
        <v/>
      </c>
      <c r="AM2140" s="2" t="str">
        <f>IFERROR(__xludf.DUMMYFUNCTION("""COMPUTED_VALUE"""),"")</f>
        <v/>
      </c>
      <c r="AN2140" s="2" t="str">
        <f>IFERROR(__xludf.DUMMYFUNCTION("""COMPUTED_VALUE""")," ")</f>
        <v> </v>
      </c>
      <c r="AO2140" s="2" t="str">
        <f>IFERROR(__xludf.DUMMYFUNCTION("""COMPUTED_VALUE""")," ")</f>
        <v> </v>
      </c>
      <c r="AP2140" s="2" t="str">
        <f>IFERROR(__xludf.DUMMYFUNCTION("""COMPUTED_VALUE"""),"")</f>
        <v/>
      </c>
      <c r="AQ2140" s="2"/>
      <c r="AR2140" s="2"/>
      <c r="AS2140" s="2"/>
      <c r="AT2140" s="2"/>
      <c r="AU2140" s="2"/>
      <c r="AV2140" s="2"/>
      <c r="AW2140" s="2"/>
      <c r="AX2140" s="2"/>
      <c r="AY2140" s="2"/>
      <c r="AZ2140" s="2"/>
      <c r="BA2140" s="2"/>
      <c r="BB2140" s="2"/>
    </row>
    <row r="2141">
      <c r="A2141" s="2"/>
      <c r="B2141" s="2" t="str">
        <f>IFERROR(__xludf.DUMMYFUNCTION("""COMPUTED_VALUE"""),"")</f>
        <v/>
      </c>
      <c r="C2141" s="2"/>
      <c r="D2141" s="71"/>
      <c r="E2141" s="71" t="str">
        <f>IFERROR(__xludf.DUMMYFUNCTION("""COMPUTED_VALUE""")," ")</f>
        <v> </v>
      </c>
      <c r="F2141" s="2"/>
      <c r="G2141" s="2"/>
      <c r="H2141" s="2"/>
      <c r="I2141" s="72"/>
      <c r="J2141" s="72"/>
      <c r="K2141" s="72"/>
      <c r="L2141" s="72"/>
      <c r="M2141" s="2"/>
      <c r="N2141" s="2"/>
      <c r="O2141" s="2"/>
      <c r="P2141" s="2"/>
      <c r="Q2141" s="2"/>
      <c r="R2141" s="2"/>
      <c r="S2141" s="2"/>
      <c r="T2141" s="2"/>
      <c r="U2141" s="2"/>
      <c r="V2141" s="2"/>
      <c r="W2141" s="2"/>
      <c r="X2141" s="2"/>
      <c r="Y2141" s="2"/>
      <c r="Z2141" s="2"/>
      <c r="AA2141" s="2"/>
      <c r="AB2141" s="2"/>
      <c r="AC2141" s="2"/>
      <c r="AD2141" s="2"/>
      <c r="AE2141" s="2"/>
      <c r="AF2141" s="2"/>
      <c r="AG2141" s="2"/>
      <c r="AH2141" s="2"/>
      <c r="AI2141" s="2"/>
      <c r="AJ2141" s="2" t="str">
        <f>IFERROR(__xludf.DUMMYFUNCTION("""COMPUTED_VALUE"""),"")</f>
        <v/>
      </c>
      <c r="AK2141" s="2" t="str">
        <f>IFERROR(__xludf.DUMMYFUNCTION("""COMPUTED_VALUE"""),"")</f>
        <v/>
      </c>
      <c r="AL2141" s="2" t="str">
        <f>IFERROR(__xludf.DUMMYFUNCTION("""COMPUTED_VALUE"""),"")</f>
        <v/>
      </c>
      <c r="AM2141" s="2" t="str">
        <f>IFERROR(__xludf.DUMMYFUNCTION("""COMPUTED_VALUE"""),"")</f>
        <v/>
      </c>
      <c r="AN2141" s="2" t="str">
        <f>IFERROR(__xludf.DUMMYFUNCTION("""COMPUTED_VALUE""")," ")</f>
        <v> </v>
      </c>
      <c r="AO2141" s="2" t="str">
        <f>IFERROR(__xludf.DUMMYFUNCTION("""COMPUTED_VALUE""")," ")</f>
        <v> </v>
      </c>
      <c r="AP2141" s="2" t="str">
        <f>IFERROR(__xludf.DUMMYFUNCTION("""COMPUTED_VALUE"""),"")</f>
        <v/>
      </c>
      <c r="AQ2141" s="2"/>
      <c r="AR2141" s="2"/>
      <c r="AS2141" s="2"/>
      <c r="AT2141" s="2"/>
      <c r="AU2141" s="2"/>
      <c r="AV2141" s="2"/>
      <c r="AW2141" s="2"/>
      <c r="AX2141" s="2"/>
      <c r="AY2141" s="2"/>
      <c r="AZ2141" s="2"/>
      <c r="BA2141" s="2"/>
      <c r="BB2141" s="2"/>
    </row>
    <row r="2142">
      <c r="A2142" s="2"/>
      <c r="B2142" s="2" t="str">
        <f>IFERROR(__xludf.DUMMYFUNCTION("""COMPUTED_VALUE"""),"")</f>
        <v/>
      </c>
      <c r="C2142" s="2"/>
      <c r="D2142" s="71"/>
      <c r="E2142" s="71" t="str">
        <f>IFERROR(__xludf.DUMMYFUNCTION("""COMPUTED_VALUE""")," ")</f>
        <v> </v>
      </c>
      <c r="F2142" s="2"/>
      <c r="G2142" s="2"/>
      <c r="H2142" s="2"/>
      <c r="I2142" s="72"/>
      <c r="J2142" s="72"/>
      <c r="K2142" s="72"/>
      <c r="L2142" s="72"/>
      <c r="M2142" s="2"/>
      <c r="N2142" s="2"/>
      <c r="O2142" s="2"/>
      <c r="P2142" s="2"/>
      <c r="Q2142" s="2"/>
      <c r="R2142" s="2"/>
      <c r="S2142" s="2"/>
      <c r="T2142" s="2"/>
      <c r="U2142" s="2"/>
      <c r="V2142" s="2"/>
      <c r="W2142" s="2"/>
      <c r="X2142" s="2"/>
      <c r="Y2142" s="2"/>
      <c r="Z2142" s="2"/>
      <c r="AA2142" s="2"/>
      <c r="AB2142" s="2"/>
      <c r="AC2142" s="2"/>
      <c r="AD2142" s="2"/>
      <c r="AE2142" s="2"/>
      <c r="AF2142" s="2"/>
      <c r="AG2142" s="2"/>
      <c r="AH2142" s="2"/>
      <c r="AI2142" s="2"/>
      <c r="AJ2142" s="2" t="str">
        <f>IFERROR(__xludf.DUMMYFUNCTION("""COMPUTED_VALUE"""),"")</f>
        <v/>
      </c>
      <c r="AK2142" s="2" t="str">
        <f>IFERROR(__xludf.DUMMYFUNCTION("""COMPUTED_VALUE"""),"")</f>
        <v/>
      </c>
      <c r="AL2142" s="2" t="str">
        <f>IFERROR(__xludf.DUMMYFUNCTION("""COMPUTED_VALUE"""),"")</f>
        <v/>
      </c>
      <c r="AM2142" s="2" t="str">
        <f>IFERROR(__xludf.DUMMYFUNCTION("""COMPUTED_VALUE"""),"")</f>
        <v/>
      </c>
      <c r="AN2142" s="2" t="str">
        <f>IFERROR(__xludf.DUMMYFUNCTION("""COMPUTED_VALUE""")," ")</f>
        <v> </v>
      </c>
      <c r="AO2142" s="2" t="str">
        <f>IFERROR(__xludf.DUMMYFUNCTION("""COMPUTED_VALUE""")," ")</f>
        <v> </v>
      </c>
      <c r="AP2142" s="2" t="str">
        <f>IFERROR(__xludf.DUMMYFUNCTION("""COMPUTED_VALUE"""),"")</f>
        <v/>
      </c>
      <c r="AQ2142" s="2"/>
      <c r="AR2142" s="2"/>
      <c r="AS2142" s="2"/>
      <c r="AT2142" s="2"/>
      <c r="AU2142" s="2"/>
      <c r="AV2142" s="2"/>
      <c r="AW2142" s="2"/>
      <c r="AX2142" s="2"/>
      <c r="AY2142" s="2"/>
      <c r="AZ2142" s="2"/>
      <c r="BA2142" s="2"/>
      <c r="BB2142" s="2"/>
    </row>
    <row r="2143">
      <c r="A2143" s="2"/>
      <c r="B2143" s="2" t="str">
        <f>IFERROR(__xludf.DUMMYFUNCTION("""COMPUTED_VALUE"""),"")</f>
        <v/>
      </c>
      <c r="C2143" s="2"/>
      <c r="D2143" s="71"/>
      <c r="E2143" s="71" t="str">
        <f>IFERROR(__xludf.DUMMYFUNCTION("""COMPUTED_VALUE""")," ")</f>
        <v> </v>
      </c>
      <c r="F2143" s="2"/>
      <c r="G2143" s="2"/>
      <c r="H2143" s="2"/>
      <c r="I2143" s="72"/>
      <c r="J2143" s="72"/>
      <c r="K2143" s="72"/>
      <c r="L2143" s="72"/>
      <c r="M2143" s="2"/>
      <c r="N2143" s="2"/>
      <c r="O2143" s="2"/>
      <c r="P2143" s="2"/>
      <c r="Q2143" s="2"/>
      <c r="R2143" s="2"/>
      <c r="S2143" s="2"/>
      <c r="T2143" s="2"/>
      <c r="U2143" s="2"/>
      <c r="V2143" s="2"/>
      <c r="W2143" s="2"/>
      <c r="X2143" s="2"/>
      <c r="Y2143" s="2"/>
      <c r="Z2143" s="2"/>
      <c r="AA2143" s="2"/>
      <c r="AB2143" s="2"/>
      <c r="AC2143" s="2"/>
      <c r="AD2143" s="2"/>
      <c r="AE2143" s="2"/>
      <c r="AF2143" s="2"/>
      <c r="AG2143" s="2"/>
      <c r="AH2143" s="2"/>
      <c r="AI2143" s="2"/>
      <c r="AJ2143" s="2" t="str">
        <f>IFERROR(__xludf.DUMMYFUNCTION("""COMPUTED_VALUE"""),"")</f>
        <v/>
      </c>
      <c r="AK2143" s="2" t="str">
        <f>IFERROR(__xludf.DUMMYFUNCTION("""COMPUTED_VALUE"""),"")</f>
        <v/>
      </c>
      <c r="AL2143" s="2" t="str">
        <f>IFERROR(__xludf.DUMMYFUNCTION("""COMPUTED_VALUE"""),"")</f>
        <v/>
      </c>
      <c r="AM2143" s="2" t="str">
        <f>IFERROR(__xludf.DUMMYFUNCTION("""COMPUTED_VALUE"""),"")</f>
        <v/>
      </c>
      <c r="AN2143" s="2" t="str">
        <f>IFERROR(__xludf.DUMMYFUNCTION("""COMPUTED_VALUE""")," ")</f>
        <v> </v>
      </c>
      <c r="AO2143" s="2" t="str">
        <f>IFERROR(__xludf.DUMMYFUNCTION("""COMPUTED_VALUE""")," ")</f>
        <v> </v>
      </c>
      <c r="AP2143" s="2" t="str">
        <f>IFERROR(__xludf.DUMMYFUNCTION("""COMPUTED_VALUE"""),"")</f>
        <v/>
      </c>
      <c r="AQ2143" s="2"/>
      <c r="AR2143" s="2"/>
      <c r="AS2143" s="2"/>
      <c r="AT2143" s="2"/>
      <c r="AU2143" s="2"/>
      <c r="AV2143" s="2"/>
      <c r="AW2143" s="2"/>
      <c r="AX2143" s="2"/>
      <c r="AY2143" s="2"/>
      <c r="AZ2143" s="2"/>
      <c r="BA2143" s="2"/>
      <c r="BB2143" s="2"/>
    </row>
    <row r="2144">
      <c r="A2144" s="2"/>
      <c r="B2144" s="2" t="str">
        <f>IFERROR(__xludf.DUMMYFUNCTION("""COMPUTED_VALUE"""),"")</f>
        <v/>
      </c>
      <c r="C2144" s="2"/>
      <c r="D2144" s="71"/>
      <c r="E2144" s="71" t="str">
        <f>IFERROR(__xludf.DUMMYFUNCTION("""COMPUTED_VALUE""")," ")</f>
        <v> </v>
      </c>
      <c r="F2144" s="2"/>
      <c r="G2144" s="2"/>
      <c r="H2144" s="2"/>
      <c r="I2144" s="72"/>
      <c r="J2144" s="72"/>
      <c r="K2144" s="72"/>
      <c r="L2144" s="72"/>
      <c r="M2144" s="2"/>
      <c r="N2144" s="2"/>
      <c r="O2144" s="2"/>
      <c r="P2144" s="2"/>
      <c r="Q2144" s="2"/>
      <c r="R2144" s="2"/>
      <c r="S2144" s="2"/>
      <c r="T2144" s="2"/>
      <c r="U2144" s="2"/>
      <c r="V2144" s="2"/>
      <c r="W2144" s="2"/>
      <c r="X2144" s="2"/>
      <c r="Y2144" s="2"/>
      <c r="Z2144" s="2"/>
      <c r="AA2144" s="2"/>
      <c r="AB2144" s="2"/>
      <c r="AC2144" s="2"/>
      <c r="AD2144" s="2"/>
      <c r="AE2144" s="2"/>
      <c r="AF2144" s="2"/>
      <c r="AG2144" s="2"/>
      <c r="AH2144" s="2"/>
      <c r="AI2144" s="2"/>
      <c r="AJ2144" s="2" t="str">
        <f>IFERROR(__xludf.DUMMYFUNCTION("""COMPUTED_VALUE"""),"")</f>
        <v/>
      </c>
      <c r="AK2144" s="2" t="str">
        <f>IFERROR(__xludf.DUMMYFUNCTION("""COMPUTED_VALUE"""),"")</f>
        <v/>
      </c>
      <c r="AL2144" s="2" t="str">
        <f>IFERROR(__xludf.DUMMYFUNCTION("""COMPUTED_VALUE"""),"")</f>
        <v/>
      </c>
      <c r="AM2144" s="2" t="str">
        <f>IFERROR(__xludf.DUMMYFUNCTION("""COMPUTED_VALUE"""),"")</f>
        <v/>
      </c>
      <c r="AN2144" s="2" t="str">
        <f>IFERROR(__xludf.DUMMYFUNCTION("""COMPUTED_VALUE""")," ")</f>
        <v> </v>
      </c>
      <c r="AO2144" s="2" t="str">
        <f>IFERROR(__xludf.DUMMYFUNCTION("""COMPUTED_VALUE""")," ")</f>
        <v> </v>
      </c>
      <c r="AP2144" s="2" t="str">
        <f>IFERROR(__xludf.DUMMYFUNCTION("""COMPUTED_VALUE"""),"")</f>
        <v/>
      </c>
      <c r="AQ2144" s="2"/>
      <c r="AR2144" s="2"/>
      <c r="AS2144" s="2"/>
      <c r="AT2144" s="2"/>
      <c r="AU2144" s="2"/>
      <c r="AV2144" s="2"/>
      <c r="AW2144" s="2"/>
      <c r="AX2144" s="2"/>
      <c r="AY2144" s="2"/>
      <c r="AZ2144" s="2"/>
      <c r="BA2144" s="2"/>
      <c r="BB2144" s="2"/>
    </row>
    <row r="2145">
      <c r="A2145" s="2"/>
      <c r="B2145" s="2" t="str">
        <f>IFERROR(__xludf.DUMMYFUNCTION("""COMPUTED_VALUE"""),"")</f>
        <v/>
      </c>
      <c r="C2145" s="2"/>
      <c r="D2145" s="71"/>
      <c r="E2145" s="71" t="str">
        <f>IFERROR(__xludf.DUMMYFUNCTION("""COMPUTED_VALUE""")," ")</f>
        <v> </v>
      </c>
      <c r="F2145" s="2"/>
      <c r="G2145" s="2"/>
      <c r="H2145" s="2"/>
      <c r="I2145" s="72"/>
      <c r="J2145" s="72"/>
      <c r="K2145" s="72"/>
      <c r="L2145" s="72"/>
      <c r="M2145" s="2"/>
      <c r="N2145" s="2"/>
      <c r="O2145" s="2"/>
      <c r="P2145" s="2"/>
      <c r="Q2145" s="2"/>
      <c r="R2145" s="2"/>
      <c r="S2145" s="2"/>
      <c r="T2145" s="2"/>
      <c r="U2145" s="2"/>
      <c r="V2145" s="2"/>
      <c r="W2145" s="2"/>
      <c r="X2145" s="2"/>
      <c r="Y2145" s="2"/>
      <c r="Z2145" s="2"/>
      <c r="AA2145" s="2"/>
      <c r="AB2145" s="2"/>
      <c r="AC2145" s="2"/>
      <c r="AD2145" s="2"/>
      <c r="AE2145" s="2"/>
      <c r="AF2145" s="2"/>
      <c r="AG2145" s="2"/>
      <c r="AH2145" s="2"/>
      <c r="AI2145" s="2"/>
      <c r="AJ2145" s="2" t="str">
        <f>IFERROR(__xludf.DUMMYFUNCTION("""COMPUTED_VALUE"""),"")</f>
        <v/>
      </c>
      <c r="AK2145" s="2" t="str">
        <f>IFERROR(__xludf.DUMMYFUNCTION("""COMPUTED_VALUE"""),"")</f>
        <v/>
      </c>
      <c r="AL2145" s="2" t="str">
        <f>IFERROR(__xludf.DUMMYFUNCTION("""COMPUTED_VALUE"""),"")</f>
        <v/>
      </c>
      <c r="AM2145" s="2" t="str">
        <f>IFERROR(__xludf.DUMMYFUNCTION("""COMPUTED_VALUE"""),"")</f>
        <v/>
      </c>
      <c r="AN2145" s="2" t="str">
        <f>IFERROR(__xludf.DUMMYFUNCTION("""COMPUTED_VALUE""")," ")</f>
        <v> </v>
      </c>
      <c r="AO2145" s="2" t="str">
        <f>IFERROR(__xludf.DUMMYFUNCTION("""COMPUTED_VALUE""")," ")</f>
        <v> </v>
      </c>
      <c r="AP2145" s="2" t="str">
        <f>IFERROR(__xludf.DUMMYFUNCTION("""COMPUTED_VALUE"""),"")</f>
        <v/>
      </c>
      <c r="AQ2145" s="2"/>
      <c r="AR2145" s="2"/>
      <c r="AS2145" s="2"/>
      <c r="AT2145" s="2"/>
      <c r="AU2145" s="2"/>
      <c r="AV2145" s="2"/>
      <c r="AW2145" s="2"/>
      <c r="AX2145" s="2"/>
      <c r="AY2145" s="2"/>
      <c r="AZ2145" s="2"/>
      <c r="BA2145" s="2"/>
      <c r="BB2145" s="2"/>
    </row>
    <row r="2146">
      <c r="A2146" s="2"/>
      <c r="B2146" s="2" t="str">
        <f>IFERROR(__xludf.DUMMYFUNCTION("""COMPUTED_VALUE"""),"")</f>
        <v/>
      </c>
      <c r="C2146" s="2"/>
      <c r="D2146" s="71"/>
      <c r="E2146" s="71" t="str">
        <f>IFERROR(__xludf.DUMMYFUNCTION("""COMPUTED_VALUE""")," ")</f>
        <v> </v>
      </c>
      <c r="F2146" s="2"/>
      <c r="G2146" s="2"/>
      <c r="H2146" s="2"/>
      <c r="I2146" s="72"/>
      <c r="J2146" s="72"/>
      <c r="K2146" s="72"/>
      <c r="L2146" s="72"/>
      <c r="M2146" s="2"/>
      <c r="N2146" s="2"/>
      <c r="O2146" s="2"/>
      <c r="P2146" s="2"/>
      <c r="Q2146" s="2"/>
      <c r="R2146" s="2"/>
      <c r="S2146" s="2"/>
      <c r="T2146" s="2"/>
      <c r="U2146" s="2"/>
      <c r="V2146" s="2"/>
      <c r="W2146" s="2"/>
      <c r="X2146" s="2"/>
      <c r="Y2146" s="2"/>
      <c r="Z2146" s="2"/>
      <c r="AA2146" s="2"/>
      <c r="AB2146" s="2"/>
      <c r="AC2146" s="2"/>
      <c r="AD2146" s="2"/>
      <c r="AE2146" s="2"/>
      <c r="AF2146" s="2"/>
      <c r="AG2146" s="2"/>
      <c r="AH2146" s="2"/>
      <c r="AI2146" s="2"/>
      <c r="AJ2146" s="2" t="str">
        <f>IFERROR(__xludf.DUMMYFUNCTION("""COMPUTED_VALUE"""),"")</f>
        <v/>
      </c>
      <c r="AK2146" s="2" t="str">
        <f>IFERROR(__xludf.DUMMYFUNCTION("""COMPUTED_VALUE"""),"")</f>
        <v/>
      </c>
      <c r="AL2146" s="2" t="str">
        <f>IFERROR(__xludf.DUMMYFUNCTION("""COMPUTED_VALUE"""),"")</f>
        <v/>
      </c>
      <c r="AM2146" s="2" t="str">
        <f>IFERROR(__xludf.DUMMYFUNCTION("""COMPUTED_VALUE"""),"")</f>
        <v/>
      </c>
      <c r="AN2146" s="2" t="str">
        <f>IFERROR(__xludf.DUMMYFUNCTION("""COMPUTED_VALUE""")," ")</f>
        <v> </v>
      </c>
      <c r="AO2146" s="2" t="str">
        <f>IFERROR(__xludf.DUMMYFUNCTION("""COMPUTED_VALUE""")," ")</f>
        <v> </v>
      </c>
      <c r="AP2146" s="2" t="str">
        <f>IFERROR(__xludf.DUMMYFUNCTION("""COMPUTED_VALUE"""),"")</f>
        <v/>
      </c>
      <c r="AQ2146" s="2"/>
      <c r="AR2146" s="2"/>
      <c r="AS2146" s="2"/>
      <c r="AT2146" s="2"/>
      <c r="AU2146" s="2"/>
      <c r="AV2146" s="2"/>
      <c r="AW2146" s="2"/>
      <c r="AX2146" s="2"/>
      <c r="AY2146" s="2"/>
      <c r="AZ2146" s="2"/>
      <c r="BA2146" s="2"/>
      <c r="BB2146" s="2"/>
    </row>
    <row r="2147">
      <c r="A2147" s="2"/>
      <c r="B2147" s="2" t="str">
        <f>IFERROR(__xludf.DUMMYFUNCTION("""COMPUTED_VALUE"""),"")</f>
        <v/>
      </c>
      <c r="C2147" s="2"/>
      <c r="D2147" s="71"/>
      <c r="E2147" s="71" t="str">
        <f>IFERROR(__xludf.DUMMYFUNCTION("""COMPUTED_VALUE""")," ")</f>
        <v> </v>
      </c>
      <c r="F2147" s="2"/>
      <c r="G2147" s="2"/>
      <c r="H2147" s="2"/>
      <c r="I2147" s="72"/>
      <c r="J2147" s="72"/>
      <c r="K2147" s="72"/>
      <c r="L2147" s="72"/>
      <c r="M2147" s="2"/>
      <c r="N2147" s="2"/>
      <c r="O2147" s="2"/>
      <c r="P2147" s="2"/>
      <c r="Q2147" s="2"/>
      <c r="R2147" s="2"/>
      <c r="S2147" s="2"/>
      <c r="T2147" s="2"/>
      <c r="U2147" s="2"/>
      <c r="V2147" s="2"/>
      <c r="W2147" s="2"/>
      <c r="X2147" s="2"/>
      <c r="Y2147" s="2"/>
      <c r="Z2147" s="2"/>
      <c r="AA2147" s="2"/>
      <c r="AB2147" s="2"/>
      <c r="AC2147" s="2"/>
      <c r="AD2147" s="2"/>
      <c r="AE2147" s="2"/>
      <c r="AF2147" s="2"/>
      <c r="AG2147" s="2"/>
      <c r="AH2147" s="2"/>
      <c r="AI2147" s="2"/>
      <c r="AJ2147" s="2" t="str">
        <f>IFERROR(__xludf.DUMMYFUNCTION("""COMPUTED_VALUE"""),"")</f>
        <v/>
      </c>
      <c r="AK2147" s="2" t="str">
        <f>IFERROR(__xludf.DUMMYFUNCTION("""COMPUTED_VALUE"""),"")</f>
        <v/>
      </c>
      <c r="AL2147" s="2" t="str">
        <f>IFERROR(__xludf.DUMMYFUNCTION("""COMPUTED_VALUE"""),"")</f>
        <v/>
      </c>
      <c r="AM2147" s="2" t="str">
        <f>IFERROR(__xludf.DUMMYFUNCTION("""COMPUTED_VALUE"""),"")</f>
        <v/>
      </c>
      <c r="AN2147" s="2" t="str">
        <f>IFERROR(__xludf.DUMMYFUNCTION("""COMPUTED_VALUE""")," ")</f>
        <v> </v>
      </c>
      <c r="AO2147" s="2" t="str">
        <f>IFERROR(__xludf.DUMMYFUNCTION("""COMPUTED_VALUE""")," ")</f>
        <v> </v>
      </c>
      <c r="AP2147" s="2" t="str">
        <f>IFERROR(__xludf.DUMMYFUNCTION("""COMPUTED_VALUE"""),"")</f>
        <v/>
      </c>
      <c r="AQ2147" s="2"/>
      <c r="AR2147" s="2"/>
      <c r="AS2147" s="2"/>
      <c r="AT2147" s="2"/>
      <c r="AU2147" s="2"/>
      <c r="AV2147" s="2"/>
      <c r="AW2147" s="2"/>
      <c r="AX2147" s="2"/>
      <c r="AY2147" s="2"/>
      <c r="AZ2147" s="2"/>
      <c r="BA2147" s="2"/>
      <c r="BB2147" s="2"/>
    </row>
    <row r="2148">
      <c r="A2148" s="2"/>
      <c r="B2148" s="2" t="str">
        <f>IFERROR(__xludf.DUMMYFUNCTION("""COMPUTED_VALUE"""),"")</f>
        <v/>
      </c>
      <c r="C2148" s="2"/>
      <c r="D2148" s="71"/>
      <c r="E2148" s="71"/>
      <c r="F2148" s="2"/>
      <c r="G2148" s="2"/>
      <c r="H2148" s="2"/>
      <c r="I2148" s="72"/>
      <c r="J2148" s="72"/>
      <c r="K2148" s="72"/>
      <c r="L2148" s="72"/>
      <c r="M2148" s="2"/>
      <c r="N2148" s="2"/>
      <c r="O2148" s="2"/>
      <c r="P2148" s="2"/>
      <c r="Q2148" s="2"/>
      <c r="R2148" s="2"/>
      <c r="S2148" s="2"/>
      <c r="T2148" s="2"/>
      <c r="U2148" s="2"/>
      <c r="V2148" s="2"/>
      <c r="W2148" s="2"/>
      <c r="X2148" s="2"/>
      <c r="Y2148" s="2"/>
      <c r="Z2148" s="2"/>
      <c r="AA2148" s="2"/>
      <c r="AB2148" s="2"/>
      <c r="AC2148" s="2"/>
      <c r="AD2148" s="2"/>
      <c r="AE2148" s="2"/>
      <c r="AF2148" s="2"/>
      <c r="AG2148" s="2"/>
      <c r="AH2148" s="2"/>
      <c r="AI2148" s="2"/>
      <c r="AJ2148" s="2" t="str">
        <f>IFERROR(__xludf.DUMMYFUNCTION("""COMPUTED_VALUE"""),"")</f>
        <v/>
      </c>
      <c r="AK2148" s="2" t="str">
        <f>IFERROR(__xludf.DUMMYFUNCTION("""COMPUTED_VALUE"""),"")</f>
        <v/>
      </c>
      <c r="AL2148" s="2" t="str">
        <f>IFERROR(__xludf.DUMMYFUNCTION("""COMPUTED_VALUE"""),"")</f>
        <v/>
      </c>
      <c r="AM2148" s="2" t="str">
        <f>IFERROR(__xludf.DUMMYFUNCTION("""COMPUTED_VALUE"""),"")</f>
        <v/>
      </c>
      <c r="AN2148" s="2" t="str">
        <f>IFERROR(__xludf.DUMMYFUNCTION("""COMPUTED_VALUE""")," ")</f>
        <v> </v>
      </c>
      <c r="AO2148" s="2" t="str">
        <f>IFERROR(__xludf.DUMMYFUNCTION("""COMPUTED_VALUE""")," ")</f>
        <v> </v>
      </c>
      <c r="AP2148" s="2" t="str">
        <f>IFERROR(__xludf.DUMMYFUNCTION("""COMPUTED_VALUE"""),"")</f>
        <v/>
      </c>
      <c r="AQ2148" s="2"/>
      <c r="AR2148" s="2"/>
      <c r="AS2148" s="2"/>
      <c r="AT2148" s="2"/>
      <c r="AU2148" s="2"/>
      <c r="AV2148" s="2"/>
      <c r="AW2148" s="2"/>
      <c r="AX2148" s="2"/>
      <c r="AY2148" s="2"/>
      <c r="AZ2148" s="2"/>
      <c r="BA2148" s="2"/>
      <c r="BB2148" s="2"/>
    </row>
    <row r="2149">
      <c r="A2149" s="2"/>
      <c r="B2149" s="2" t="str">
        <f>IFERROR(__xludf.DUMMYFUNCTION("""COMPUTED_VALUE"""),"")</f>
        <v/>
      </c>
      <c r="C2149" s="2"/>
      <c r="D2149" s="71"/>
      <c r="E2149" s="71" t="str">
        <f>IFERROR(__xludf.DUMMYFUNCTION("""COMPUTED_VALUE""")," ")</f>
        <v> </v>
      </c>
      <c r="F2149" s="2"/>
      <c r="G2149" s="2"/>
      <c r="H2149" s="2"/>
      <c r="I2149" s="72"/>
      <c r="J2149" s="72"/>
      <c r="K2149" s="72"/>
      <c r="L2149" s="72"/>
      <c r="M2149" s="2"/>
      <c r="N2149" s="2"/>
      <c r="O2149" s="2"/>
      <c r="P2149" s="2"/>
      <c r="Q2149" s="2"/>
      <c r="R2149" s="2"/>
      <c r="S2149" s="2"/>
      <c r="T2149" s="2"/>
      <c r="U2149" s="2"/>
      <c r="V2149" s="2"/>
      <c r="W2149" s="2"/>
      <c r="X2149" s="2"/>
      <c r="Y2149" s="2"/>
      <c r="Z2149" s="2"/>
      <c r="AA2149" s="2"/>
      <c r="AB2149" s="2"/>
      <c r="AC2149" s="2"/>
      <c r="AD2149" s="2"/>
      <c r="AE2149" s="2"/>
      <c r="AF2149" s="2"/>
      <c r="AG2149" s="2"/>
      <c r="AH2149" s="2"/>
      <c r="AI2149" s="2"/>
      <c r="AJ2149" s="2" t="str">
        <f>IFERROR(__xludf.DUMMYFUNCTION("""COMPUTED_VALUE"""),"")</f>
        <v/>
      </c>
      <c r="AK2149" s="2" t="str">
        <f>IFERROR(__xludf.DUMMYFUNCTION("""COMPUTED_VALUE"""),"")</f>
        <v/>
      </c>
      <c r="AL2149" s="2" t="str">
        <f>IFERROR(__xludf.DUMMYFUNCTION("""COMPUTED_VALUE"""),"")</f>
        <v/>
      </c>
      <c r="AM2149" s="2" t="str">
        <f>IFERROR(__xludf.DUMMYFUNCTION("""COMPUTED_VALUE"""),"")</f>
        <v/>
      </c>
      <c r="AN2149" s="2" t="str">
        <f>IFERROR(__xludf.DUMMYFUNCTION("""COMPUTED_VALUE""")," ")</f>
        <v> </v>
      </c>
      <c r="AO2149" s="2" t="str">
        <f>IFERROR(__xludf.DUMMYFUNCTION("""COMPUTED_VALUE""")," ")</f>
        <v> </v>
      </c>
      <c r="AP2149" s="2" t="str">
        <f>IFERROR(__xludf.DUMMYFUNCTION("""COMPUTED_VALUE"""),"")</f>
        <v/>
      </c>
      <c r="AQ2149" s="2"/>
      <c r="AR2149" s="2"/>
      <c r="AS2149" s="2"/>
      <c r="AT2149" s="2"/>
      <c r="AU2149" s="2"/>
      <c r="AV2149" s="2"/>
      <c r="AW2149" s="2"/>
      <c r="AX2149" s="2"/>
      <c r="AY2149" s="2"/>
      <c r="AZ2149" s="2"/>
      <c r="BA2149" s="2"/>
      <c r="BB2149" s="2"/>
    </row>
    <row r="2150">
      <c r="A2150" s="2"/>
      <c r="B2150" s="2" t="str">
        <f>IFERROR(__xludf.DUMMYFUNCTION("""COMPUTED_VALUE"""),"")</f>
        <v/>
      </c>
      <c r="C2150" s="2"/>
      <c r="D2150" s="71"/>
      <c r="E2150" s="71" t="str">
        <f>IFERROR(__xludf.DUMMYFUNCTION("""COMPUTED_VALUE""")," ")</f>
        <v> </v>
      </c>
      <c r="F2150" s="2"/>
      <c r="G2150" s="2"/>
      <c r="H2150" s="2"/>
      <c r="I2150" s="72"/>
      <c r="J2150" s="72"/>
      <c r="K2150" s="72"/>
      <c r="L2150" s="72"/>
      <c r="M2150" s="2"/>
      <c r="N2150" s="2"/>
      <c r="O2150" s="2"/>
      <c r="P2150" s="2"/>
      <c r="Q2150" s="2"/>
      <c r="R2150" s="2"/>
      <c r="S2150" s="2"/>
      <c r="T2150" s="2"/>
      <c r="U2150" s="2"/>
      <c r="V2150" s="2"/>
      <c r="W2150" s="2"/>
      <c r="X2150" s="2"/>
      <c r="Y2150" s="2"/>
      <c r="Z2150" s="2"/>
      <c r="AA2150" s="2"/>
      <c r="AB2150" s="2"/>
      <c r="AC2150" s="2"/>
      <c r="AD2150" s="2"/>
      <c r="AE2150" s="2"/>
      <c r="AF2150" s="2"/>
      <c r="AG2150" s="2"/>
      <c r="AH2150" s="2"/>
      <c r="AI2150" s="2"/>
      <c r="AJ2150" s="2" t="str">
        <f>IFERROR(__xludf.DUMMYFUNCTION("""COMPUTED_VALUE"""),"")</f>
        <v/>
      </c>
      <c r="AK2150" s="2" t="str">
        <f>IFERROR(__xludf.DUMMYFUNCTION("""COMPUTED_VALUE"""),"")</f>
        <v/>
      </c>
      <c r="AL2150" s="2" t="str">
        <f>IFERROR(__xludf.DUMMYFUNCTION("""COMPUTED_VALUE"""),"")</f>
        <v/>
      </c>
      <c r="AM2150" s="2" t="str">
        <f>IFERROR(__xludf.DUMMYFUNCTION("""COMPUTED_VALUE"""),"")</f>
        <v/>
      </c>
      <c r="AN2150" s="2" t="str">
        <f>IFERROR(__xludf.DUMMYFUNCTION("""COMPUTED_VALUE""")," ")</f>
        <v> </v>
      </c>
      <c r="AO2150" s="2" t="str">
        <f>IFERROR(__xludf.DUMMYFUNCTION("""COMPUTED_VALUE""")," ")</f>
        <v> </v>
      </c>
      <c r="AP2150" s="2" t="str">
        <f>IFERROR(__xludf.DUMMYFUNCTION("""COMPUTED_VALUE"""),"")</f>
        <v/>
      </c>
      <c r="AQ2150" s="2"/>
      <c r="AR2150" s="2"/>
      <c r="AS2150" s="2"/>
      <c r="AT2150" s="2"/>
      <c r="AU2150" s="2"/>
      <c r="AV2150" s="2"/>
      <c r="AW2150" s="2"/>
      <c r="AX2150" s="2"/>
      <c r="AY2150" s="2"/>
      <c r="AZ2150" s="2"/>
      <c r="BA2150" s="2"/>
      <c r="BB2150" s="2"/>
    </row>
    <row r="2151">
      <c r="A2151" s="2"/>
      <c r="B2151" s="2" t="str">
        <f>IFERROR(__xludf.DUMMYFUNCTION("""COMPUTED_VALUE"""),"")</f>
        <v/>
      </c>
      <c r="C2151" s="2"/>
      <c r="D2151" s="71"/>
      <c r="E2151" s="71" t="str">
        <f>IFERROR(__xludf.DUMMYFUNCTION("""COMPUTED_VALUE""")," ")</f>
        <v> </v>
      </c>
      <c r="F2151" s="2"/>
      <c r="G2151" s="2"/>
      <c r="H2151" s="2"/>
      <c r="I2151" s="72"/>
      <c r="J2151" s="72"/>
      <c r="K2151" s="72"/>
      <c r="L2151" s="72"/>
      <c r="M2151" s="2"/>
      <c r="N2151" s="2"/>
      <c r="O2151" s="2"/>
      <c r="P2151" s="2"/>
      <c r="Q2151" s="2"/>
      <c r="R2151" s="2"/>
      <c r="S2151" s="2"/>
      <c r="T2151" s="2"/>
      <c r="U2151" s="2"/>
      <c r="V2151" s="2"/>
      <c r="W2151" s="2"/>
      <c r="X2151" s="2"/>
      <c r="Y2151" s="2"/>
      <c r="Z2151" s="2"/>
      <c r="AA2151" s="2"/>
      <c r="AB2151" s="2"/>
      <c r="AC2151" s="2"/>
      <c r="AD2151" s="2"/>
      <c r="AE2151" s="2"/>
      <c r="AF2151" s="2"/>
      <c r="AG2151" s="2"/>
      <c r="AH2151" s="2"/>
      <c r="AI2151" s="2"/>
      <c r="AJ2151" s="2" t="str">
        <f>IFERROR(__xludf.DUMMYFUNCTION("""COMPUTED_VALUE"""),"")</f>
        <v/>
      </c>
      <c r="AK2151" s="2" t="str">
        <f>IFERROR(__xludf.DUMMYFUNCTION("""COMPUTED_VALUE"""),"")</f>
        <v/>
      </c>
      <c r="AL2151" s="2" t="str">
        <f>IFERROR(__xludf.DUMMYFUNCTION("""COMPUTED_VALUE"""),"")</f>
        <v/>
      </c>
      <c r="AM2151" s="2" t="str">
        <f>IFERROR(__xludf.DUMMYFUNCTION("""COMPUTED_VALUE"""),"")</f>
        <v/>
      </c>
      <c r="AN2151" s="2" t="str">
        <f>IFERROR(__xludf.DUMMYFUNCTION("""COMPUTED_VALUE""")," ")</f>
        <v> </v>
      </c>
      <c r="AO2151" s="2" t="str">
        <f>IFERROR(__xludf.DUMMYFUNCTION("""COMPUTED_VALUE""")," ")</f>
        <v> </v>
      </c>
      <c r="AP2151" s="2" t="str">
        <f>IFERROR(__xludf.DUMMYFUNCTION("""COMPUTED_VALUE"""),"")</f>
        <v/>
      </c>
      <c r="AQ2151" s="2"/>
      <c r="AR2151" s="2"/>
      <c r="AS2151" s="2"/>
      <c r="AT2151" s="2"/>
      <c r="AU2151" s="2"/>
      <c r="AV2151" s="2"/>
      <c r="AW2151" s="2"/>
      <c r="AX2151" s="2"/>
      <c r="AY2151" s="2"/>
      <c r="AZ2151" s="2"/>
      <c r="BA2151" s="2"/>
      <c r="BB2151" s="2"/>
    </row>
    <row r="2152">
      <c r="A2152" s="2"/>
      <c r="B2152" s="2" t="str">
        <f>IFERROR(__xludf.DUMMYFUNCTION("""COMPUTED_VALUE"""),"")</f>
        <v/>
      </c>
      <c r="C2152" s="2"/>
      <c r="D2152" s="71"/>
      <c r="E2152" s="71" t="str">
        <f>IFERROR(__xludf.DUMMYFUNCTION("""COMPUTED_VALUE""")," ")</f>
        <v> </v>
      </c>
      <c r="F2152" s="2"/>
      <c r="G2152" s="2"/>
      <c r="H2152" s="2"/>
      <c r="I2152" s="72"/>
      <c r="J2152" s="72"/>
      <c r="K2152" s="72"/>
      <c r="L2152" s="72"/>
      <c r="M2152" s="2"/>
      <c r="N2152" s="2"/>
      <c r="O2152" s="2"/>
      <c r="P2152" s="2"/>
      <c r="Q2152" s="2"/>
      <c r="R2152" s="2"/>
      <c r="S2152" s="2"/>
      <c r="T2152" s="2"/>
      <c r="U2152" s="2"/>
      <c r="V2152" s="2"/>
      <c r="W2152" s="2"/>
      <c r="X2152" s="2"/>
      <c r="Y2152" s="2"/>
      <c r="Z2152" s="2"/>
      <c r="AA2152" s="2"/>
      <c r="AB2152" s="2"/>
      <c r="AC2152" s="2"/>
      <c r="AD2152" s="2"/>
      <c r="AE2152" s="2"/>
      <c r="AF2152" s="2"/>
      <c r="AG2152" s="2"/>
      <c r="AH2152" s="2"/>
      <c r="AI2152" s="2"/>
      <c r="AJ2152" s="2" t="str">
        <f>IFERROR(__xludf.DUMMYFUNCTION("""COMPUTED_VALUE"""),"")</f>
        <v/>
      </c>
      <c r="AK2152" s="2" t="str">
        <f>IFERROR(__xludf.DUMMYFUNCTION("""COMPUTED_VALUE"""),"")</f>
        <v/>
      </c>
      <c r="AL2152" s="2" t="str">
        <f>IFERROR(__xludf.DUMMYFUNCTION("""COMPUTED_VALUE"""),"")</f>
        <v/>
      </c>
      <c r="AM2152" s="2" t="str">
        <f>IFERROR(__xludf.DUMMYFUNCTION("""COMPUTED_VALUE"""),"")</f>
        <v/>
      </c>
      <c r="AN2152" s="2" t="str">
        <f>IFERROR(__xludf.DUMMYFUNCTION("""COMPUTED_VALUE""")," ")</f>
        <v> </v>
      </c>
      <c r="AO2152" s="2" t="str">
        <f>IFERROR(__xludf.DUMMYFUNCTION("""COMPUTED_VALUE""")," ")</f>
        <v> </v>
      </c>
      <c r="AP2152" s="2" t="str">
        <f>IFERROR(__xludf.DUMMYFUNCTION("""COMPUTED_VALUE"""),"")</f>
        <v/>
      </c>
      <c r="AQ2152" s="2"/>
      <c r="AR2152" s="2"/>
      <c r="AS2152" s="2"/>
      <c r="AT2152" s="2"/>
      <c r="AU2152" s="2"/>
      <c r="AV2152" s="2"/>
      <c r="AW2152" s="2"/>
      <c r="AX2152" s="2"/>
      <c r="AY2152" s="2"/>
      <c r="AZ2152" s="2"/>
      <c r="BA2152" s="2"/>
      <c r="BB2152" s="2"/>
    </row>
    <row r="2153">
      <c r="A2153" s="2"/>
      <c r="B2153" s="2" t="str">
        <f>IFERROR(__xludf.DUMMYFUNCTION("""COMPUTED_VALUE"""),"")</f>
        <v/>
      </c>
      <c r="C2153" s="2"/>
      <c r="D2153" s="71"/>
      <c r="E2153" s="71" t="str">
        <f>IFERROR(__xludf.DUMMYFUNCTION("""COMPUTED_VALUE""")," ")</f>
        <v> </v>
      </c>
      <c r="F2153" s="2"/>
      <c r="G2153" s="2"/>
      <c r="H2153" s="2"/>
      <c r="I2153" s="72"/>
      <c r="J2153" s="72"/>
      <c r="K2153" s="72"/>
      <c r="L2153" s="72"/>
      <c r="M2153" s="2"/>
      <c r="N2153" s="2"/>
      <c r="O2153" s="2"/>
      <c r="P2153" s="2"/>
      <c r="Q2153" s="2"/>
      <c r="R2153" s="2"/>
      <c r="S2153" s="2"/>
      <c r="T2153" s="2"/>
      <c r="U2153" s="2"/>
      <c r="V2153" s="2"/>
      <c r="W2153" s="2"/>
      <c r="X2153" s="2"/>
      <c r="Y2153" s="2"/>
      <c r="Z2153" s="2"/>
      <c r="AA2153" s="2"/>
      <c r="AB2153" s="2"/>
      <c r="AC2153" s="2"/>
      <c r="AD2153" s="2"/>
      <c r="AE2153" s="2"/>
      <c r="AF2153" s="2"/>
      <c r="AG2153" s="2"/>
      <c r="AH2153" s="2"/>
      <c r="AI2153" s="2"/>
      <c r="AJ2153" s="2" t="str">
        <f>IFERROR(__xludf.DUMMYFUNCTION("""COMPUTED_VALUE"""),"")</f>
        <v/>
      </c>
      <c r="AK2153" s="2" t="str">
        <f>IFERROR(__xludf.DUMMYFUNCTION("""COMPUTED_VALUE"""),"")</f>
        <v/>
      </c>
      <c r="AL2153" s="2" t="str">
        <f>IFERROR(__xludf.DUMMYFUNCTION("""COMPUTED_VALUE"""),"")</f>
        <v/>
      </c>
      <c r="AM2153" s="2" t="str">
        <f>IFERROR(__xludf.DUMMYFUNCTION("""COMPUTED_VALUE"""),"")</f>
        <v/>
      </c>
      <c r="AN2153" s="2" t="str">
        <f>IFERROR(__xludf.DUMMYFUNCTION("""COMPUTED_VALUE""")," ")</f>
        <v> </v>
      </c>
      <c r="AO2153" s="2" t="str">
        <f>IFERROR(__xludf.DUMMYFUNCTION("""COMPUTED_VALUE""")," ")</f>
        <v> </v>
      </c>
      <c r="AP2153" s="2" t="str">
        <f>IFERROR(__xludf.DUMMYFUNCTION("""COMPUTED_VALUE"""),"")</f>
        <v/>
      </c>
      <c r="AQ2153" s="2"/>
      <c r="AR2153" s="2"/>
      <c r="AS2153" s="2"/>
      <c r="AT2153" s="2"/>
      <c r="AU2153" s="2"/>
      <c r="AV2153" s="2"/>
      <c r="AW2153" s="2"/>
      <c r="AX2153" s="2"/>
      <c r="AY2153" s="2"/>
      <c r="AZ2153" s="2"/>
      <c r="BA2153" s="2"/>
      <c r="BB2153" s="2"/>
    </row>
    <row r="2154">
      <c r="A2154" s="2"/>
      <c r="B2154" s="2" t="str">
        <f>IFERROR(__xludf.DUMMYFUNCTION("""COMPUTED_VALUE"""),"")</f>
        <v/>
      </c>
      <c r="C2154" s="2"/>
      <c r="D2154" s="71"/>
      <c r="E2154" s="71" t="str">
        <f>IFERROR(__xludf.DUMMYFUNCTION("""COMPUTED_VALUE""")," ")</f>
        <v> </v>
      </c>
      <c r="F2154" s="2"/>
      <c r="G2154" s="2"/>
      <c r="H2154" s="2"/>
      <c r="I2154" s="72"/>
      <c r="J2154" s="72"/>
      <c r="K2154" s="72"/>
      <c r="L2154" s="72"/>
      <c r="M2154" s="2"/>
      <c r="N2154" s="2"/>
      <c r="O2154" s="2"/>
      <c r="P2154" s="2"/>
      <c r="Q2154" s="2"/>
      <c r="R2154" s="2"/>
      <c r="S2154" s="2"/>
      <c r="T2154" s="2"/>
      <c r="U2154" s="2"/>
      <c r="V2154" s="2"/>
      <c r="W2154" s="2"/>
      <c r="X2154" s="2"/>
      <c r="Y2154" s="2"/>
      <c r="Z2154" s="2"/>
      <c r="AA2154" s="2"/>
      <c r="AB2154" s="2"/>
      <c r="AC2154" s="2"/>
      <c r="AD2154" s="2"/>
      <c r="AE2154" s="2"/>
      <c r="AF2154" s="2"/>
      <c r="AG2154" s="2"/>
      <c r="AH2154" s="2"/>
      <c r="AI2154" s="2"/>
      <c r="AJ2154" s="2" t="str">
        <f>IFERROR(__xludf.DUMMYFUNCTION("""COMPUTED_VALUE"""),"")</f>
        <v/>
      </c>
      <c r="AK2154" s="2" t="str">
        <f>IFERROR(__xludf.DUMMYFUNCTION("""COMPUTED_VALUE"""),"")</f>
        <v/>
      </c>
      <c r="AL2154" s="2" t="str">
        <f>IFERROR(__xludf.DUMMYFUNCTION("""COMPUTED_VALUE"""),"")</f>
        <v/>
      </c>
      <c r="AM2154" s="2" t="str">
        <f>IFERROR(__xludf.DUMMYFUNCTION("""COMPUTED_VALUE"""),"")</f>
        <v/>
      </c>
      <c r="AN2154" s="2" t="str">
        <f>IFERROR(__xludf.DUMMYFUNCTION("""COMPUTED_VALUE""")," ")</f>
        <v> </v>
      </c>
      <c r="AO2154" s="2" t="str">
        <f>IFERROR(__xludf.DUMMYFUNCTION("""COMPUTED_VALUE""")," ")</f>
        <v> </v>
      </c>
      <c r="AP2154" s="2" t="str">
        <f>IFERROR(__xludf.DUMMYFUNCTION("""COMPUTED_VALUE"""),"")</f>
        <v/>
      </c>
      <c r="AQ2154" s="2"/>
      <c r="AR2154" s="2"/>
      <c r="AS2154" s="2"/>
      <c r="AT2154" s="2"/>
      <c r="AU2154" s="2"/>
      <c r="AV2154" s="2"/>
      <c r="AW2154" s="2"/>
      <c r="AX2154" s="2"/>
      <c r="AY2154" s="2"/>
      <c r="AZ2154" s="2"/>
      <c r="BA2154" s="2"/>
      <c r="BB2154" s="2"/>
    </row>
    <row r="2155">
      <c r="A2155" s="2"/>
      <c r="B2155" s="2" t="str">
        <f>IFERROR(__xludf.DUMMYFUNCTION("""COMPUTED_VALUE"""),"")</f>
        <v/>
      </c>
      <c r="C2155" s="2"/>
      <c r="D2155" s="71"/>
      <c r="E2155" s="71" t="str">
        <f>IFERROR(__xludf.DUMMYFUNCTION("""COMPUTED_VALUE""")," ")</f>
        <v> </v>
      </c>
      <c r="F2155" s="2"/>
      <c r="G2155" s="2"/>
      <c r="H2155" s="2"/>
      <c r="I2155" s="72"/>
      <c r="J2155" s="72"/>
      <c r="K2155" s="72"/>
      <c r="L2155" s="72"/>
      <c r="M2155" s="2"/>
      <c r="N2155" s="2"/>
      <c r="O2155" s="2"/>
      <c r="P2155" s="2"/>
      <c r="Q2155" s="2"/>
      <c r="R2155" s="2"/>
      <c r="S2155" s="2"/>
      <c r="T2155" s="2"/>
      <c r="U2155" s="2"/>
      <c r="V2155" s="2"/>
      <c r="W2155" s="2"/>
      <c r="X2155" s="2"/>
      <c r="Y2155" s="2"/>
      <c r="Z2155" s="2"/>
      <c r="AA2155" s="2"/>
      <c r="AB2155" s="2"/>
      <c r="AC2155" s="2"/>
      <c r="AD2155" s="2"/>
      <c r="AE2155" s="2"/>
      <c r="AF2155" s="2"/>
      <c r="AG2155" s="2"/>
      <c r="AH2155" s="2"/>
      <c r="AI2155" s="2"/>
      <c r="AJ2155" s="2" t="str">
        <f>IFERROR(__xludf.DUMMYFUNCTION("""COMPUTED_VALUE"""),"")</f>
        <v/>
      </c>
      <c r="AK2155" s="2" t="str">
        <f>IFERROR(__xludf.DUMMYFUNCTION("""COMPUTED_VALUE"""),"")</f>
        <v/>
      </c>
      <c r="AL2155" s="2" t="str">
        <f>IFERROR(__xludf.DUMMYFUNCTION("""COMPUTED_VALUE"""),"")</f>
        <v/>
      </c>
      <c r="AM2155" s="2" t="str">
        <f>IFERROR(__xludf.DUMMYFUNCTION("""COMPUTED_VALUE"""),"")</f>
        <v/>
      </c>
      <c r="AN2155" s="2" t="str">
        <f>IFERROR(__xludf.DUMMYFUNCTION("""COMPUTED_VALUE""")," ")</f>
        <v> </v>
      </c>
      <c r="AO2155" s="2" t="str">
        <f>IFERROR(__xludf.DUMMYFUNCTION("""COMPUTED_VALUE""")," ")</f>
        <v> </v>
      </c>
      <c r="AP2155" s="2" t="str">
        <f>IFERROR(__xludf.DUMMYFUNCTION("""COMPUTED_VALUE"""),"")</f>
        <v/>
      </c>
      <c r="AQ2155" s="2"/>
      <c r="AR2155" s="2"/>
      <c r="AS2155" s="2"/>
      <c r="AT2155" s="2"/>
      <c r="AU2155" s="2"/>
      <c r="AV2155" s="2"/>
      <c r="AW2155" s="2"/>
      <c r="AX2155" s="2"/>
      <c r="AY2155" s="2"/>
      <c r="AZ2155" s="2"/>
      <c r="BA2155" s="2"/>
      <c r="BB2155" s="2"/>
    </row>
    <row r="2156">
      <c r="A2156" s="2"/>
      <c r="B2156" s="2" t="str">
        <f>IFERROR(__xludf.DUMMYFUNCTION("""COMPUTED_VALUE"""),"")</f>
        <v/>
      </c>
      <c r="C2156" s="2"/>
      <c r="D2156" s="71"/>
      <c r="E2156" s="71" t="str">
        <f>IFERROR(__xludf.DUMMYFUNCTION("""COMPUTED_VALUE""")," ")</f>
        <v> </v>
      </c>
      <c r="F2156" s="2"/>
      <c r="G2156" s="2"/>
      <c r="H2156" s="2"/>
      <c r="I2156" s="72"/>
      <c r="J2156" s="72"/>
      <c r="K2156" s="72"/>
      <c r="L2156" s="72"/>
      <c r="M2156" s="2"/>
      <c r="N2156" s="2"/>
      <c r="O2156" s="2"/>
      <c r="P2156" s="2"/>
      <c r="Q2156" s="2"/>
      <c r="R2156" s="2"/>
      <c r="S2156" s="2"/>
      <c r="T2156" s="2"/>
      <c r="U2156" s="2"/>
      <c r="V2156" s="2"/>
      <c r="W2156" s="2"/>
      <c r="X2156" s="2"/>
      <c r="Y2156" s="2"/>
      <c r="Z2156" s="2"/>
      <c r="AA2156" s="2"/>
      <c r="AB2156" s="2"/>
      <c r="AC2156" s="2"/>
      <c r="AD2156" s="2"/>
      <c r="AE2156" s="2"/>
      <c r="AF2156" s="2"/>
      <c r="AG2156" s="2"/>
      <c r="AH2156" s="2"/>
      <c r="AI2156" s="2"/>
      <c r="AJ2156" s="2" t="str">
        <f>IFERROR(__xludf.DUMMYFUNCTION("""COMPUTED_VALUE"""),"")</f>
        <v/>
      </c>
      <c r="AK2156" s="2" t="str">
        <f>IFERROR(__xludf.DUMMYFUNCTION("""COMPUTED_VALUE"""),"")</f>
        <v/>
      </c>
      <c r="AL2156" s="2" t="str">
        <f>IFERROR(__xludf.DUMMYFUNCTION("""COMPUTED_VALUE"""),"")</f>
        <v/>
      </c>
      <c r="AM2156" s="2" t="str">
        <f>IFERROR(__xludf.DUMMYFUNCTION("""COMPUTED_VALUE"""),"")</f>
        <v/>
      </c>
      <c r="AN2156" s="2" t="str">
        <f>IFERROR(__xludf.DUMMYFUNCTION("""COMPUTED_VALUE""")," ")</f>
        <v> </v>
      </c>
      <c r="AO2156" s="2" t="str">
        <f>IFERROR(__xludf.DUMMYFUNCTION("""COMPUTED_VALUE""")," ")</f>
        <v> </v>
      </c>
      <c r="AP2156" s="2" t="str">
        <f>IFERROR(__xludf.DUMMYFUNCTION("""COMPUTED_VALUE"""),"")</f>
        <v/>
      </c>
      <c r="AQ2156" s="2"/>
      <c r="AR2156" s="2"/>
      <c r="AS2156" s="2"/>
      <c r="AT2156" s="2"/>
      <c r="AU2156" s="2"/>
      <c r="AV2156" s="2"/>
      <c r="AW2156" s="2"/>
      <c r="AX2156" s="2"/>
      <c r="AY2156" s="2"/>
      <c r="AZ2156" s="2"/>
      <c r="BA2156" s="2"/>
      <c r="BB2156" s="2"/>
    </row>
    <row r="2157">
      <c r="A2157" s="2"/>
      <c r="B2157" s="2" t="str">
        <f>IFERROR(__xludf.DUMMYFUNCTION("""COMPUTED_VALUE"""),"")</f>
        <v/>
      </c>
      <c r="C2157" s="2"/>
      <c r="D2157" s="71"/>
      <c r="E2157" s="71" t="str">
        <f>IFERROR(__xludf.DUMMYFUNCTION("""COMPUTED_VALUE""")," ")</f>
        <v> </v>
      </c>
      <c r="F2157" s="2"/>
      <c r="G2157" s="2"/>
      <c r="H2157" s="2"/>
      <c r="I2157" s="72"/>
      <c r="J2157" s="72"/>
      <c r="K2157" s="72"/>
      <c r="L2157" s="72"/>
      <c r="M2157" s="2"/>
      <c r="N2157" s="2"/>
      <c r="O2157" s="2"/>
      <c r="P2157" s="2"/>
      <c r="Q2157" s="2"/>
      <c r="R2157" s="2"/>
      <c r="S2157" s="2"/>
      <c r="T2157" s="2"/>
      <c r="U2157" s="2"/>
      <c r="V2157" s="2"/>
      <c r="W2157" s="2"/>
      <c r="X2157" s="2"/>
      <c r="Y2157" s="2"/>
      <c r="Z2157" s="2"/>
      <c r="AA2157" s="2"/>
      <c r="AB2157" s="2"/>
      <c r="AC2157" s="2"/>
      <c r="AD2157" s="2"/>
      <c r="AE2157" s="2"/>
      <c r="AF2157" s="2"/>
      <c r="AG2157" s="2"/>
      <c r="AH2157" s="2"/>
      <c r="AI2157" s="2"/>
      <c r="AJ2157" s="2" t="str">
        <f>IFERROR(__xludf.DUMMYFUNCTION("""COMPUTED_VALUE"""),"")</f>
        <v/>
      </c>
      <c r="AK2157" s="2" t="str">
        <f>IFERROR(__xludf.DUMMYFUNCTION("""COMPUTED_VALUE"""),"")</f>
        <v/>
      </c>
      <c r="AL2157" s="2" t="str">
        <f>IFERROR(__xludf.DUMMYFUNCTION("""COMPUTED_VALUE"""),"")</f>
        <v/>
      </c>
      <c r="AM2157" s="2" t="str">
        <f>IFERROR(__xludf.DUMMYFUNCTION("""COMPUTED_VALUE"""),"")</f>
        <v/>
      </c>
      <c r="AN2157" s="2" t="str">
        <f>IFERROR(__xludf.DUMMYFUNCTION("""COMPUTED_VALUE""")," ")</f>
        <v> </v>
      </c>
      <c r="AO2157" s="2" t="str">
        <f>IFERROR(__xludf.DUMMYFUNCTION("""COMPUTED_VALUE""")," ")</f>
        <v> </v>
      </c>
      <c r="AP2157" s="2" t="str">
        <f>IFERROR(__xludf.DUMMYFUNCTION("""COMPUTED_VALUE"""),"")</f>
        <v/>
      </c>
      <c r="AQ2157" s="2"/>
      <c r="AR2157" s="2"/>
      <c r="AS2157" s="2"/>
      <c r="AT2157" s="2"/>
      <c r="AU2157" s="2"/>
      <c r="AV2157" s="2"/>
      <c r="AW2157" s="2"/>
      <c r="AX2157" s="2"/>
      <c r="AY2157" s="2"/>
      <c r="AZ2157" s="2"/>
      <c r="BA2157" s="2"/>
      <c r="BB2157" s="2"/>
    </row>
    <row r="2158">
      <c r="A2158" s="2"/>
      <c r="B2158" s="2" t="str">
        <f>IFERROR(__xludf.DUMMYFUNCTION("""COMPUTED_VALUE"""),"")</f>
        <v/>
      </c>
      <c r="C2158" s="2"/>
      <c r="D2158" s="71"/>
      <c r="E2158" s="71" t="str">
        <f>IFERROR(__xludf.DUMMYFUNCTION("""COMPUTED_VALUE""")," ")</f>
        <v> </v>
      </c>
      <c r="F2158" s="2"/>
      <c r="G2158" s="2"/>
      <c r="H2158" s="2"/>
      <c r="I2158" s="72"/>
      <c r="J2158" s="72"/>
      <c r="K2158" s="72"/>
      <c r="L2158" s="72"/>
      <c r="M2158" s="2"/>
      <c r="N2158" s="2"/>
      <c r="O2158" s="2"/>
      <c r="P2158" s="2"/>
      <c r="Q2158" s="2"/>
      <c r="R2158" s="2"/>
      <c r="S2158" s="2"/>
      <c r="T2158" s="2"/>
      <c r="U2158" s="2"/>
      <c r="V2158" s="2"/>
      <c r="W2158" s="2"/>
      <c r="X2158" s="2"/>
      <c r="Y2158" s="2"/>
      <c r="Z2158" s="2"/>
      <c r="AA2158" s="2"/>
      <c r="AB2158" s="2"/>
      <c r="AC2158" s="2"/>
      <c r="AD2158" s="2"/>
      <c r="AE2158" s="2"/>
      <c r="AF2158" s="2"/>
      <c r="AG2158" s="2"/>
      <c r="AH2158" s="2"/>
      <c r="AI2158" s="2"/>
      <c r="AJ2158" s="2" t="str">
        <f>IFERROR(__xludf.DUMMYFUNCTION("""COMPUTED_VALUE"""),"")</f>
        <v/>
      </c>
      <c r="AK2158" s="2" t="str">
        <f>IFERROR(__xludf.DUMMYFUNCTION("""COMPUTED_VALUE"""),"")</f>
        <v/>
      </c>
      <c r="AL2158" s="2" t="str">
        <f>IFERROR(__xludf.DUMMYFUNCTION("""COMPUTED_VALUE"""),"")</f>
        <v/>
      </c>
      <c r="AM2158" s="2" t="str">
        <f>IFERROR(__xludf.DUMMYFUNCTION("""COMPUTED_VALUE"""),"")</f>
        <v/>
      </c>
      <c r="AN2158" s="2" t="str">
        <f>IFERROR(__xludf.DUMMYFUNCTION("""COMPUTED_VALUE""")," ")</f>
        <v> </v>
      </c>
      <c r="AO2158" s="2" t="str">
        <f>IFERROR(__xludf.DUMMYFUNCTION("""COMPUTED_VALUE""")," ")</f>
        <v> </v>
      </c>
      <c r="AP2158" s="2" t="str">
        <f>IFERROR(__xludf.DUMMYFUNCTION("""COMPUTED_VALUE"""),"")</f>
        <v/>
      </c>
      <c r="AQ2158" s="2"/>
      <c r="AR2158" s="2"/>
      <c r="AS2158" s="2"/>
      <c r="AT2158" s="2"/>
      <c r="AU2158" s="2"/>
      <c r="AV2158" s="2"/>
      <c r="AW2158" s="2"/>
      <c r="AX2158" s="2"/>
      <c r="AY2158" s="2"/>
      <c r="AZ2158" s="2"/>
      <c r="BA2158" s="2"/>
      <c r="BB2158" s="2"/>
    </row>
    <row r="2159">
      <c r="A2159" s="2"/>
      <c r="B2159" s="2" t="str">
        <f>IFERROR(__xludf.DUMMYFUNCTION("""COMPUTED_VALUE"""),"")</f>
        <v/>
      </c>
      <c r="C2159" s="2"/>
      <c r="D2159" s="71"/>
      <c r="E2159" s="71" t="str">
        <f>IFERROR(__xludf.DUMMYFUNCTION("""COMPUTED_VALUE""")," ")</f>
        <v> </v>
      </c>
      <c r="F2159" s="2"/>
      <c r="G2159" s="2"/>
      <c r="H2159" s="2"/>
      <c r="I2159" s="72"/>
      <c r="J2159" s="72"/>
      <c r="K2159" s="72"/>
      <c r="L2159" s="72"/>
      <c r="M2159" s="2"/>
      <c r="N2159" s="2"/>
      <c r="O2159" s="2"/>
      <c r="P2159" s="2"/>
      <c r="Q2159" s="2"/>
      <c r="R2159" s="2"/>
      <c r="S2159" s="2"/>
      <c r="T2159" s="2"/>
      <c r="U2159" s="2"/>
      <c r="V2159" s="2"/>
      <c r="W2159" s="2"/>
      <c r="X2159" s="2"/>
      <c r="Y2159" s="2"/>
      <c r="Z2159" s="2"/>
      <c r="AA2159" s="2"/>
      <c r="AB2159" s="2"/>
      <c r="AC2159" s="2"/>
      <c r="AD2159" s="2"/>
      <c r="AE2159" s="2"/>
      <c r="AF2159" s="2"/>
      <c r="AG2159" s="2"/>
      <c r="AH2159" s="2"/>
      <c r="AI2159" s="2"/>
      <c r="AJ2159" s="2" t="str">
        <f>IFERROR(__xludf.DUMMYFUNCTION("""COMPUTED_VALUE"""),"")</f>
        <v/>
      </c>
      <c r="AK2159" s="2" t="str">
        <f>IFERROR(__xludf.DUMMYFUNCTION("""COMPUTED_VALUE"""),"")</f>
        <v/>
      </c>
      <c r="AL2159" s="2" t="str">
        <f>IFERROR(__xludf.DUMMYFUNCTION("""COMPUTED_VALUE"""),"")</f>
        <v/>
      </c>
      <c r="AM2159" s="2" t="str">
        <f>IFERROR(__xludf.DUMMYFUNCTION("""COMPUTED_VALUE"""),"")</f>
        <v/>
      </c>
      <c r="AN2159" s="2" t="str">
        <f>IFERROR(__xludf.DUMMYFUNCTION("""COMPUTED_VALUE""")," ")</f>
        <v> </v>
      </c>
      <c r="AO2159" s="2" t="str">
        <f>IFERROR(__xludf.DUMMYFUNCTION("""COMPUTED_VALUE""")," ")</f>
        <v> </v>
      </c>
      <c r="AP2159" s="2" t="str">
        <f>IFERROR(__xludf.DUMMYFUNCTION("""COMPUTED_VALUE"""),"")</f>
        <v/>
      </c>
      <c r="AQ2159" s="2"/>
      <c r="AR2159" s="2"/>
      <c r="AS2159" s="2"/>
      <c r="AT2159" s="2"/>
      <c r="AU2159" s="2"/>
      <c r="AV2159" s="2"/>
      <c r="AW2159" s="2"/>
      <c r="AX2159" s="2"/>
      <c r="AY2159" s="2"/>
      <c r="AZ2159" s="2"/>
      <c r="BA2159" s="2"/>
      <c r="BB2159" s="2"/>
    </row>
    <row r="2160">
      <c r="A2160" s="2"/>
      <c r="B2160" s="2" t="str">
        <f>IFERROR(__xludf.DUMMYFUNCTION("""COMPUTED_VALUE"""),"")</f>
        <v/>
      </c>
      <c r="C2160" s="2"/>
      <c r="D2160" s="71"/>
      <c r="E2160" s="71" t="str">
        <f>IFERROR(__xludf.DUMMYFUNCTION("""COMPUTED_VALUE""")," ")</f>
        <v> </v>
      </c>
      <c r="F2160" s="2"/>
      <c r="G2160" s="2"/>
      <c r="H2160" s="2"/>
      <c r="I2160" s="72"/>
      <c r="J2160" s="72"/>
      <c r="K2160" s="72"/>
      <c r="L2160" s="72"/>
      <c r="M2160" s="2"/>
      <c r="N2160" s="2"/>
      <c r="O2160" s="2"/>
      <c r="P2160" s="2"/>
      <c r="Q2160" s="2"/>
      <c r="R2160" s="2"/>
      <c r="S2160" s="2"/>
      <c r="T2160" s="2"/>
      <c r="U2160" s="2"/>
      <c r="V2160" s="2"/>
      <c r="W2160" s="2"/>
      <c r="X2160" s="2"/>
      <c r="Y2160" s="2"/>
      <c r="Z2160" s="2"/>
      <c r="AA2160" s="2"/>
      <c r="AB2160" s="2"/>
      <c r="AC2160" s="2"/>
      <c r="AD2160" s="2"/>
      <c r="AE2160" s="2"/>
      <c r="AF2160" s="2"/>
      <c r="AG2160" s="2"/>
      <c r="AH2160" s="2"/>
      <c r="AI2160" s="2"/>
      <c r="AJ2160" s="2" t="str">
        <f>IFERROR(__xludf.DUMMYFUNCTION("""COMPUTED_VALUE"""),"")</f>
        <v/>
      </c>
      <c r="AK2160" s="2" t="str">
        <f>IFERROR(__xludf.DUMMYFUNCTION("""COMPUTED_VALUE"""),"")</f>
        <v/>
      </c>
      <c r="AL2160" s="2" t="str">
        <f>IFERROR(__xludf.DUMMYFUNCTION("""COMPUTED_VALUE"""),"")</f>
        <v/>
      </c>
      <c r="AM2160" s="2" t="str">
        <f>IFERROR(__xludf.DUMMYFUNCTION("""COMPUTED_VALUE"""),"")</f>
        <v/>
      </c>
      <c r="AN2160" s="2" t="str">
        <f>IFERROR(__xludf.DUMMYFUNCTION("""COMPUTED_VALUE""")," ")</f>
        <v> </v>
      </c>
      <c r="AO2160" s="2" t="str">
        <f>IFERROR(__xludf.DUMMYFUNCTION("""COMPUTED_VALUE""")," ")</f>
        <v> </v>
      </c>
      <c r="AP2160" s="2" t="str">
        <f>IFERROR(__xludf.DUMMYFUNCTION("""COMPUTED_VALUE"""),"")</f>
        <v/>
      </c>
      <c r="AQ2160" s="2"/>
      <c r="AR2160" s="2"/>
      <c r="AS2160" s="2"/>
      <c r="AT2160" s="2"/>
      <c r="AU2160" s="2"/>
      <c r="AV2160" s="2"/>
      <c r="AW2160" s="2"/>
      <c r="AX2160" s="2"/>
      <c r="AY2160" s="2"/>
      <c r="AZ2160" s="2"/>
      <c r="BA2160" s="2"/>
      <c r="BB2160" s="2"/>
    </row>
    <row r="2161">
      <c r="A2161" s="2"/>
      <c r="B2161" s="2" t="str">
        <f>IFERROR(__xludf.DUMMYFUNCTION("""COMPUTED_VALUE"""),"")</f>
        <v/>
      </c>
      <c r="C2161" s="2"/>
      <c r="D2161" s="71"/>
      <c r="E2161" s="71" t="str">
        <f>IFERROR(__xludf.DUMMYFUNCTION("""COMPUTED_VALUE""")," ")</f>
        <v> </v>
      </c>
      <c r="F2161" s="2"/>
      <c r="G2161" s="2"/>
      <c r="H2161" s="2"/>
      <c r="I2161" s="72"/>
      <c r="J2161" s="72"/>
      <c r="K2161" s="72"/>
      <c r="L2161" s="72"/>
      <c r="M2161" s="2"/>
      <c r="N2161" s="2"/>
      <c r="O2161" s="2"/>
      <c r="P2161" s="2"/>
      <c r="Q2161" s="2"/>
      <c r="R2161" s="2"/>
      <c r="S2161" s="2"/>
      <c r="T2161" s="2"/>
      <c r="U2161" s="2"/>
      <c r="V2161" s="2"/>
      <c r="W2161" s="2"/>
      <c r="X2161" s="2"/>
      <c r="Y2161" s="2"/>
      <c r="Z2161" s="2"/>
      <c r="AA2161" s="2"/>
      <c r="AB2161" s="2"/>
      <c r="AC2161" s="2"/>
      <c r="AD2161" s="2"/>
      <c r="AE2161" s="2"/>
      <c r="AF2161" s="2"/>
      <c r="AG2161" s="2"/>
      <c r="AH2161" s="2"/>
      <c r="AI2161" s="2"/>
      <c r="AJ2161" s="2" t="str">
        <f>IFERROR(__xludf.DUMMYFUNCTION("""COMPUTED_VALUE"""),"")</f>
        <v/>
      </c>
      <c r="AK2161" s="2" t="str">
        <f>IFERROR(__xludf.DUMMYFUNCTION("""COMPUTED_VALUE"""),"")</f>
        <v/>
      </c>
      <c r="AL2161" s="2" t="str">
        <f>IFERROR(__xludf.DUMMYFUNCTION("""COMPUTED_VALUE"""),"")</f>
        <v/>
      </c>
      <c r="AM2161" s="2" t="str">
        <f>IFERROR(__xludf.DUMMYFUNCTION("""COMPUTED_VALUE"""),"")</f>
        <v/>
      </c>
      <c r="AN2161" s="2" t="str">
        <f>IFERROR(__xludf.DUMMYFUNCTION("""COMPUTED_VALUE""")," ")</f>
        <v> </v>
      </c>
      <c r="AO2161" s="2" t="str">
        <f>IFERROR(__xludf.DUMMYFUNCTION("""COMPUTED_VALUE""")," ")</f>
        <v> </v>
      </c>
      <c r="AP2161" s="2" t="str">
        <f>IFERROR(__xludf.DUMMYFUNCTION("""COMPUTED_VALUE"""),"")</f>
        <v/>
      </c>
      <c r="AQ2161" s="2"/>
      <c r="AR2161" s="2"/>
      <c r="AS2161" s="2"/>
      <c r="AT2161" s="2"/>
      <c r="AU2161" s="2"/>
      <c r="AV2161" s="2"/>
      <c r="AW2161" s="2"/>
      <c r="AX2161" s="2"/>
      <c r="AY2161" s="2"/>
      <c r="AZ2161" s="2"/>
      <c r="BA2161" s="2"/>
      <c r="BB2161" s="2"/>
    </row>
    <row r="2162">
      <c r="A2162" s="2"/>
      <c r="B2162" s="2" t="str">
        <f>IFERROR(__xludf.DUMMYFUNCTION("""COMPUTED_VALUE"""),"")</f>
        <v/>
      </c>
      <c r="C2162" s="2"/>
      <c r="D2162" s="71"/>
      <c r="E2162" s="71" t="str">
        <f>IFERROR(__xludf.DUMMYFUNCTION("""COMPUTED_VALUE""")," ")</f>
        <v> </v>
      </c>
      <c r="F2162" s="2"/>
      <c r="G2162" s="2"/>
      <c r="H2162" s="2"/>
      <c r="I2162" s="72"/>
      <c r="J2162" s="72"/>
      <c r="K2162" s="72"/>
      <c r="L2162" s="72"/>
      <c r="M2162" s="2"/>
      <c r="N2162" s="2"/>
      <c r="O2162" s="2"/>
      <c r="P2162" s="2"/>
      <c r="Q2162" s="2"/>
      <c r="R2162" s="2"/>
      <c r="S2162" s="2"/>
      <c r="T2162" s="2"/>
      <c r="U2162" s="2"/>
      <c r="V2162" s="2"/>
      <c r="W2162" s="2"/>
      <c r="X2162" s="2"/>
      <c r="Y2162" s="2"/>
      <c r="Z2162" s="2"/>
      <c r="AA2162" s="2"/>
      <c r="AB2162" s="2"/>
      <c r="AC2162" s="2"/>
      <c r="AD2162" s="2"/>
      <c r="AE2162" s="2"/>
      <c r="AF2162" s="2"/>
      <c r="AG2162" s="2"/>
      <c r="AH2162" s="2"/>
      <c r="AI2162" s="2"/>
      <c r="AJ2162" s="2" t="str">
        <f>IFERROR(__xludf.DUMMYFUNCTION("""COMPUTED_VALUE"""),"")</f>
        <v/>
      </c>
      <c r="AK2162" s="2" t="str">
        <f>IFERROR(__xludf.DUMMYFUNCTION("""COMPUTED_VALUE"""),"")</f>
        <v/>
      </c>
      <c r="AL2162" s="2" t="str">
        <f>IFERROR(__xludf.DUMMYFUNCTION("""COMPUTED_VALUE"""),"")</f>
        <v/>
      </c>
      <c r="AM2162" s="2" t="str">
        <f>IFERROR(__xludf.DUMMYFUNCTION("""COMPUTED_VALUE"""),"")</f>
        <v/>
      </c>
      <c r="AN2162" s="2" t="str">
        <f>IFERROR(__xludf.DUMMYFUNCTION("""COMPUTED_VALUE""")," ")</f>
        <v> </v>
      </c>
      <c r="AO2162" s="2" t="str">
        <f>IFERROR(__xludf.DUMMYFUNCTION("""COMPUTED_VALUE""")," ")</f>
        <v> </v>
      </c>
      <c r="AP2162" s="2" t="str">
        <f>IFERROR(__xludf.DUMMYFUNCTION("""COMPUTED_VALUE"""),"")</f>
        <v/>
      </c>
      <c r="AQ2162" s="2"/>
      <c r="AR2162" s="2"/>
      <c r="AS2162" s="2"/>
      <c r="AT2162" s="2"/>
      <c r="AU2162" s="2"/>
      <c r="AV2162" s="2"/>
      <c r="AW2162" s="2"/>
      <c r="AX2162" s="2"/>
      <c r="AY2162" s="2"/>
      <c r="AZ2162" s="2"/>
      <c r="BA2162" s="2"/>
      <c r="BB2162" s="2"/>
    </row>
    <row r="2163">
      <c r="A2163" s="2"/>
      <c r="B2163" s="2" t="str">
        <f>IFERROR(__xludf.DUMMYFUNCTION("""COMPUTED_VALUE"""),"")</f>
        <v/>
      </c>
      <c r="C2163" s="2"/>
      <c r="D2163" s="71"/>
      <c r="E2163" s="71" t="str">
        <f>IFERROR(__xludf.DUMMYFUNCTION("""COMPUTED_VALUE""")," ")</f>
        <v> </v>
      </c>
      <c r="F2163" s="2"/>
      <c r="G2163" s="2"/>
      <c r="H2163" s="2"/>
      <c r="I2163" s="72"/>
      <c r="J2163" s="72"/>
      <c r="K2163" s="72"/>
      <c r="L2163" s="72"/>
      <c r="M2163" s="2"/>
      <c r="N2163" s="2"/>
      <c r="O2163" s="2"/>
      <c r="P2163" s="2"/>
      <c r="Q2163" s="2"/>
      <c r="R2163" s="2"/>
      <c r="S2163" s="2"/>
      <c r="T2163" s="2"/>
      <c r="U2163" s="2"/>
      <c r="V2163" s="2"/>
      <c r="W2163" s="2"/>
      <c r="X2163" s="2"/>
      <c r="Y2163" s="2"/>
      <c r="Z2163" s="2"/>
      <c r="AA2163" s="2"/>
      <c r="AB2163" s="2"/>
      <c r="AC2163" s="2"/>
      <c r="AD2163" s="2"/>
      <c r="AE2163" s="2"/>
      <c r="AF2163" s="2"/>
      <c r="AG2163" s="2"/>
      <c r="AH2163" s="2"/>
      <c r="AI2163" s="2"/>
      <c r="AJ2163" s="2" t="str">
        <f>IFERROR(__xludf.DUMMYFUNCTION("""COMPUTED_VALUE"""),"")</f>
        <v/>
      </c>
      <c r="AK2163" s="2" t="str">
        <f>IFERROR(__xludf.DUMMYFUNCTION("""COMPUTED_VALUE"""),"")</f>
        <v/>
      </c>
      <c r="AL2163" s="2" t="str">
        <f>IFERROR(__xludf.DUMMYFUNCTION("""COMPUTED_VALUE"""),"")</f>
        <v/>
      </c>
      <c r="AM2163" s="2" t="str">
        <f>IFERROR(__xludf.DUMMYFUNCTION("""COMPUTED_VALUE"""),"")</f>
        <v/>
      </c>
      <c r="AN2163" s="2" t="str">
        <f>IFERROR(__xludf.DUMMYFUNCTION("""COMPUTED_VALUE""")," ")</f>
        <v> </v>
      </c>
      <c r="AO2163" s="2" t="str">
        <f>IFERROR(__xludf.DUMMYFUNCTION("""COMPUTED_VALUE""")," ")</f>
        <v> </v>
      </c>
      <c r="AP2163" s="2" t="str">
        <f>IFERROR(__xludf.DUMMYFUNCTION("""COMPUTED_VALUE"""),"")</f>
        <v/>
      </c>
      <c r="AQ2163" s="2"/>
      <c r="AR2163" s="2"/>
      <c r="AS2163" s="2"/>
      <c r="AT2163" s="2"/>
      <c r="AU2163" s="2"/>
      <c r="AV2163" s="2"/>
      <c r="AW2163" s="2"/>
      <c r="AX2163" s="2"/>
      <c r="AY2163" s="2"/>
      <c r="AZ2163" s="2"/>
      <c r="BA2163" s="2"/>
      <c r="BB2163" s="2"/>
    </row>
    <row r="2164">
      <c r="A2164" s="2"/>
      <c r="B2164" s="2" t="str">
        <f>IFERROR(__xludf.DUMMYFUNCTION("""COMPUTED_VALUE"""),"")</f>
        <v/>
      </c>
      <c r="C2164" s="2"/>
      <c r="D2164" s="71"/>
      <c r="E2164" s="71" t="str">
        <f>IFERROR(__xludf.DUMMYFUNCTION("""COMPUTED_VALUE""")," ")</f>
        <v> </v>
      </c>
      <c r="F2164" s="2"/>
      <c r="G2164" s="2"/>
      <c r="H2164" s="2"/>
      <c r="I2164" s="72"/>
      <c r="J2164" s="72"/>
      <c r="K2164" s="72"/>
      <c r="L2164" s="72"/>
      <c r="M2164" s="2"/>
      <c r="N2164" s="2"/>
      <c r="O2164" s="2"/>
      <c r="P2164" s="2"/>
      <c r="Q2164" s="2"/>
      <c r="R2164" s="2"/>
      <c r="S2164" s="2"/>
      <c r="T2164" s="2"/>
      <c r="U2164" s="2"/>
      <c r="V2164" s="2"/>
      <c r="W2164" s="2"/>
      <c r="X2164" s="2"/>
      <c r="Y2164" s="2"/>
      <c r="Z2164" s="2"/>
      <c r="AA2164" s="2"/>
      <c r="AB2164" s="2"/>
      <c r="AC2164" s="2"/>
      <c r="AD2164" s="2"/>
      <c r="AE2164" s="2"/>
      <c r="AF2164" s="2"/>
      <c r="AG2164" s="2"/>
      <c r="AH2164" s="2"/>
      <c r="AI2164" s="2"/>
      <c r="AJ2164" s="2" t="str">
        <f>IFERROR(__xludf.DUMMYFUNCTION("""COMPUTED_VALUE"""),"")</f>
        <v/>
      </c>
      <c r="AK2164" s="2" t="str">
        <f>IFERROR(__xludf.DUMMYFUNCTION("""COMPUTED_VALUE"""),"")</f>
        <v/>
      </c>
      <c r="AL2164" s="2" t="str">
        <f>IFERROR(__xludf.DUMMYFUNCTION("""COMPUTED_VALUE"""),"")</f>
        <v/>
      </c>
      <c r="AM2164" s="2" t="str">
        <f>IFERROR(__xludf.DUMMYFUNCTION("""COMPUTED_VALUE"""),"")</f>
        <v/>
      </c>
      <c r="AN2164" s="2" t="str">
        <f>IFERROR(__xludf.DUMMYFUNCTION("""COMPUTED_VALUE""")," ")</f>
        <v> </v>
      </c>
      <c r="AO2164" s="2" t="str">
        <f>IFERROR(__xludf.DUMMYFUNCTION("""COMPUTED_VALUE""")," ")</f>
        <v> </v>
      </c>
      <c r="AP2164" s="2" t="str">
        <f>IFERROR(__xludf.DUMMYFUNCTION("""COMPUTED_VALUE"""),"")</f>
        <v/>
      </c>
      <c r="AQ2164" s="2"/>
      <c r="AR2164" s="2"/>
      <c r="AS2164" s="2"/>
      <c r="AT2164" s="2"/>
      <c r="AU2164" s="2"/>
      <c r="AV2164" s="2"/>
      <c r="AW2164" s="2"/>
      <c r="AX2164" s="2"/>
      <c r="AY2164" s="2"/>
      <c r="AZ2164" s="2"/>
      <c r="BA2164" s="2"/>
      <c r="BB2164" s="2"/>
    </row>
    <row r="2165">
      <c r="A2165" s="2"/>
      <c r="B2165" s="2" t="str">
        <f>IFERROR(__xludf.DUMMYFUNCTION("""COMPUTED_VALUE"""),"")</f>
        <v/>
      </c>
      <c r="C2165" s="2"/>
      <c r="D2165" s="71"/>
      <c r="E2165" s="71" t="str">
        <f>IFERROR(__xludf.DUMMYFUNCTION("""COMPUTED_VALUE""")," ")</f>
        <v> </v>
      </c>
      <c r="F2165" s="2"/>
      <c r="G2165" s="2"/>
      <c r="H2165" s="2"/>
      <c r="I2165" s="72"/>
      <c r="J2165" s="72"/>
      <c r="K2165" s="72"/>
      <c r="L2165" s="72"/>
      <c r="M2165" s="2"/>
      <c r="N2165" s="2"/>
      <c r="O2165" s="2"/>
      <c r="P2165" s="2"/>
      <c r="Q2165" s="2"/>
      <c r="R2165" s="2"/>
      <c r="S2165" s="2"/>
      <c r="T2165" s="2"/>
      <c r="U2165" s="2"/>
      <c r="V2165" s="2"/>
      <c r="W2165" s="2"/>
      <c r="X2165" s="2"/>
      <c r="Y2165" s="2"/>
      <c r="Z2165" s="2"/>
      <c r="AA2165" s="2"/>
      <c r="AB2165" s="2"/>
      <c r="AC2165" s="2"/>
      <c r="AD2165" s="2"/>
      <c r="AE2165" s="2"/>
      <c r="AF2165" s="2"/>
      <c r="AG2165" s="2"/>
      <c r="AH2165" s="2"/>
      <c r="AI2165" s="2"/>
      <c r="AJ2165" s="2" t="str">
        <f>IFERROR(__xludf.DUMMYFUNCTION("""COMPUTED_VALUE"""),"")</f>
        <v/>
      </c>
      <c r="AK2165" s="2" t="str">
        <f>IFERROR(__xludf.DUMMYFUNCTION("""COMPUTED_VALUE"""),"")</f>
        <v/>
      </c>
      <c r="AL2165" s="2" t="str">
        <f>IFERROR(__xludf.DUMMYFUNCTION("""COMPUTED_VALUE"""),"")</f>
        <v/>
      </c>
      <c r="AM2165" s="2" t="str">
        <f>IFERROR(__xludf.DUMMYFUNCTION("""COMPUTED_VALUE"""),"")</f>
        <v/>
      </c>
      <c r="AN2165" s="2" t="str">
        <f>IFERROR(__xludf.DUMMYFUNCTION("""COMPUTED_VALUE""")," ")</f>
        <v> </v>
      </c>
      <c r="AO2165" s="2" t="str">
        <f>IFERROR(__xludf.DUMMYFUNCTION("""COMPUTED_VALUE""")," ")</f>
        <v> </v>
      </c>
      <c r="AP2165" s="2" t="str">
        <f>IFERROR(__xludf.DUMMYFUNCTION("""COMPUTED_VALUE"""),"")</f>
        <v/>
      </c>
      <c r="AQ2165" s="2"/>
      <c r="AR2165" s="2"/>
      <c r="AS2165" s="2"/>
      <c r="AT2165" s="2"/>
      <c r="AU2165" s="2"/>
      <c r="AV2165" s="2"/>
      <c r="AW2165" s="2"/>
      <c r="AX2165" s="2"/>
      <c r="AY2165" s="2"/>
      <c r="AZ2165" s="2"/>
      <c r="BA2165" s="2"/>
      <c r="BB2165" s="2"/>
    </row>
    <row r="2166">
      <c r="A2166" s="2"/>
      <c r="B2166" s="2" t="str">
        <f>IFERROR(__xludf.DUMMYFUNCTION("""COMPUTED_VALUE"""),"")</f>
        <v/>
      </c>
      <c r="C2166" s="2"/>
      <c r="D2166" s="71"/>
      <c r="E2166" s="71" t="str">
        <f>IFERROR(__xludf.DUMMYFUNCTION("""COMPUTED_VALUE""")," ")</f>
        <v> </v>
      </c>
      <c r="F2166" s="2"/>
      <c r="G2166" s="2"/>
      <c r="H2166" s="2"/>
      <c r="I2166" s="72"/>
      <c r="J2166" s="72"/>
      <c r="K2166" s="72"/>
      <c r="L2166" s="72"/>
      <c r="M2166" s="2"/>
      <c r="N2166" s="2"/>
      <c r="O2166" s="2"/>
      <c r="P2166" s="2"/>
      <c r="Q2166" s="2"/>
      <c r="R2166" s="2"/>
      <c r="S2166" s="2"/>
      <c r="T2166" s="2"/>
      <c r="U2166" s="2"/>
      <c r="V2166" s="2"/>
      <c r="W2166" s="2"/>
      <c r="X2166" s="2"/>
      <c r="Y2166" s="2"/>
      <c r="Z2166" s="2"/>
      <c r="AA2166" s="2"/>
      <c r="AB2166" s="2"/>
      <c r="AC2166" s="2"/>
      <c r="AD2166" s="2"/>
      <c r="AE2166" s="2"/>
      <c r="AF2166" s="2"/>
      <c r="AG2166" s="2"/>
      <c r="AH2166" s="2"/>
      <c r="AI2166" s="2"/>
      <c r="AJ2166" s="2" t="str">
        <f>IFERROR(__xludf.DUMMYFUNCTION("""COMPUTED_VALUE"""),"")</f>
        <v/>
      </c>
      <c r="AK2166" s="2" t="str">
        <f>IFERROR(__xludf.DUMMYFUNCTION("""COMPUTED_VALUE"""),"")</f>
        <v/>
      </c>
      <c r="AL2166" s="2" t="str">
        <f>IFERROR(__xludf.DUMMYFUNCTION("""COMPUTED_VALUE"""),"")</f>
        <v/>
      </c>
      <c r="AM2166" s="2" t="str">
        <f>IFERROR(__xludf.DUMMYFUNCTION("""COMPUTED_VALUE"""),"")</f>
        <v/>
      </c>
      <c r="AN2166" s="2" t="str">
        <f>IFERROR(__xludf.DUMMYFUNCTION("""COMPUTED_VALUE""")," ")</f>
        <v> </v>
      </c>
      <c r="AO2166" s="2" t="str">
        <f>IFERROR(__xludf.DUMMYFUNCTION("""COMPUTED_VALUE""")," ")</f>
        <v> </v>
      </c>
      <c r="AP2166" s="2" t="str">
        <f>IFERROR(__xludf.DUMMYFUNCTION("""COMPUTED_VALUE"""),"")</f>
        <v/>
      </c>
      <c r="AQ2166" s="2"/>
      <c r="AR2166" s="2"/>
      <c r="AS2166" s="2"/>
      <c r="AT2166" s="2"/>
      <c r="AU2166" s="2"/>
      <c r="AV2166" s="2"/>
      <c r="AW2166" s="2"/>
      <c r="AX2166" s="2"/>
      <c r="AY2166" s="2"/>
      <c r="AZ2166" s="2"/>
      <c r="BA2166" s="2"/>
      <c r="BB2166" s="2"/>
    </row>
    <row r="2167">
      <c r="A2167" s="2"/>
      <c r="B2167" s="2" t="str">
        <f>IFERROR(__xludf.DUMMYFUNCTION("""COMPUTED_VALUE"""),"")</f>
        <v/>
      </c>
      <c r="C2167" s="2"/>
      <c r="D2167" s="71"/>
      <c r="E2167" s="71" t="str">
        <f>IFERROR(__xludf.DUMMYFUNCTION("""COMPUTED_VALUE""")," ")</f>
        <v> </v>
      </c>
      <c r="F2167" s="2"/>
      <c r="G2167" s="2"/>
      <c r="H2167" s="2"/>
      <c r="I2167" s="72"/>
      <c r="J2167" s="72"/>
      <c r="K2167" s="72"/>
      <c r="L2167" s="72"/>
      <c r="M2167" s="2"/>
      <c r="N2167" s="2"/>
      <c r="O2167" s="2"/>
      <c r="P2167" s="2"/>
      <c r="Q2167" s="2"/>
      <c r="R2167" s="2"/>
      <c r="S2167" s="2"/>
      <c r="T2167" s="2"/>
      <c r="U2167" s="2"/>
      <c r="V2167" s="2"/>
      <c r="W2167" s="2"/>
      <c r="X2167" s="2"/>
      <c r="Y2167" s="2"/>
      <c r="Z2167" s="2"/>
      <c r="AA2167" s="2"/>
      <c r="AB2167" s="2"/>
      <c r="AC2167" s="2"/>
      <c r="AD2167" s="2"/>
      <c r="AE2167" s="2"/>
      <c r="AF2167" s="2"/>
      <c r="AG2167" s="2"/>
      <c r="AH2167" s="2"/>
      <c r="AI2167" s="2"/>
      <c r="AJ2167" s="2" t="str">
        <f>IFERROR(__xludf.DUMMYFUNCTION("""COMPUTED_VALUE"""),"")</f>
        <v/>
      </c>
      <c r="AK2167" s="2" t="str">
        <f>IFERROR(__xludf.DUMMYFUNCTION("""COMPUTED_VALUE"""),"")</f>
        <v/>
      </c>
      <c r="AL2167" s="2" t="str">
        <f>IFERROR(__xludf.DUMMYFUNCTION("""COMPUTED_VALUE"""),"")</f>
        <v/>
      </c>
      <c r="AM2167" s="2" t="str">
        <f>IFERROR(__xludf.DUMMYFUNCTION("""COMPUTED_VALUE"""),"")</f>
        <v/>
      </c>
      <c r="AN2167" s="2" t="str">
        <f>IFERROR(__xludf.DUMMYFUNCTION("""COMPUTED_VALUE""")," ")</f>
        <v> </v>
      </c>
      <c r="AO2167" s="2" t="str">
        <f>IFERROR(__xludf.DUMMYFUNCTION("""COMPUTED_VALUE""")," ")</f>
        <v> </v>
      </c>
      <c r="AP2167" s="2" t="str">
        <f>IFERROR(__xludf.DUMMYFUNCTION("""COMPUTED_VALUE"""),"")</f>
        <v/>
      </c>
      <c r="AQ2167" s="2"/>
      <c r="AR2167" s="2"/>
      <c r="AS2167" s="2"/>
      <c r="AT2167" s="2"/>
      <c r="AU2167" s="2"/>
      <c r="AV2167" s="2"/>
      <c r="AW2167" s="2"/>
      <c r="AX2167" s="2"/>
      <c r="AY2167" s="2"/>
      <c r="AZ2167" s="2"/>
      <c r="BA2167" s="2"/>
      <c r="BB2167" s="2"/>
    </row>
    <row r="2168">
      <c r="A2168" s="2"/>
      <c r="B2168" s="2" t="str">
        <f>IFERROR(__xludf.DUMMYFUNCTION("""COMPUTED_VALUE"""),"")</f>
        <v/>
      </c>
      <c r="C2168" s="2"/>
      <c r="D2168" s="71"/>
      <c r="E2168" s="71" t="str">
        <f>IFERROR(__xludf.DUMMYFUNCTION("""COMPUTED_VALUE""")," ")</f>
        <v> </v>
      </c>
      <c r="F2168" s="2"/>
      <c r="G2168" s="2"/>
      <c r="H2168" s="2"/>
      <c r="I2168" s="72"/>
      <c r="J2168" s="72"/>
      <c r="K2168" s="72"/>
      <c r="L2168" s="72"/>
      <c r="M2168" s="2"/>
      <c r="N2168" s="2"/>
      <c r="O2168" s="2"/>
      <c r="P2168" s="2"/>
      <c r="Q2168" s="2"/>
      <c r="R2168" s="2"/>
      <c r="S2168" s="2"/>
      <c r="T2168" s="2"/>
      <c r="U2168" s="2"/>
      <c r="V2168" s="2"/>
      <c r="W2168" s="2"/>
      <c r="X2168" s="2"/>
      <c r="Y2168" s="2"/>
      <c r="Z2168" s="2"/>
      <c r="AA2168" s="2"/>
      <c r="AB2168" s="2"/>
      <c r="AC2168" s="2"/>
      <c r="AD2168" s="2"/>
      <c r="AE2168" s="2"/>
      <c r="AF2168" s="2"/>
      <c r="AG2168" s="2"/>
      <c r="AH2168" s="2"/>
      <c r="AI2168" s="2"/>
      <c r="AJ2168" s="2" t="str">
        <f>IFERROR(__xludf.DUMMYFUNCTION("""COMPUTED_VALUE"""),"")</f>
        <v/>
      </c>
      <c r="AK2168" s="2" t="str">
        <f>IFERROR(__xludf.DUMMYFUNCTION("""COMPUTED_VALUE"""),"")</f>
        <v/>
      </c>
      <c r="AL2168" s="2" t="str">
        <f>IFERROR(__xludf.DUMMYFUNCTION("""COMPUTED_VALUE"""),"")</f>
        <v/>
      </c>
      <c r="AM2168" s="2" t="str">
        <f>IFERROR(__xludf.DUMMYFUNCTION("""COMPUTED_VALUE"""),"")</f>
        <v/>
      </c>
      <c r="AN2168" s="2" t="str">
        <f>IFERROR(__xludf.DUMMYFUNCTION("""COMPUTED_VALUE""")," ")</f>
        <v> </v>
      </c>
      <c r="AO2168" s="2" t="str">
        <f>IFERROR(__xludf.DUMMYFUNCTION("""COMPUTED_VALUE""")," ")</f>
        <v> </v>
      </c>
      <c r="AP2168" s="2" t="str">
        <f>IFERROR(__xludf.DUMMYFUNCTION("""COMPUTED_VALUE"""),"")</f>
        <v/>
      </c>
      <c r="AQ2168" s="2"/>
      <c r="AR2168" s="2"/>
      <c r="AS2168" s="2"/>
      <c r="AT2168" s="2"/>
      <c r="AU2168" s="2"/>
      <c r="AV2168" s="2"/>
      <c r="AW2168" s="2"/>
      <c r="AX2168" s="2"/>
      <c r="AY2168" s="2"/>
      <c r="AZ2168" s="2"/>
      <c r="BA2168" s="2"/>
      <c r="BB2168" s="2"/>
    </row>
    <row r="2169">
      <c r="A2169" s="2"/>
      <c r="B2169" s="2" t="str">
        <f>IFERROR(__xludf.DUMMYFUNCTION("""COMPUTED_VALUE"""),"")</f>
        <v/>
      </c>
      <c r="C2169" s="2"/>
      <c r="D2169" s="71"/>
      <c r="E2169" s="71" t="str">
        <f>IFERROR(__xludf.DUMMYFUNCTION("""COMPUTED_VALUE""")," ")</f>
        <v> </v>
      </c>
      <c r="F2169" s="2"/>
      <c r="G2169" s="2"/>
      <c r="H2169" s="2"/>
      <c r="I2169" s="72"/>
      <c r="J2169" s="72"/>
      <c r="K2169" s="72"/>
      <c r="L2169" s="72"/>
      <c r="M2169" s="2"/>
      <c r="N2169" s="2"/>
      <c r="O2169" s="2"/>
      <c r="P2169" s="2"/>
      <c r="Q2169" s="2"/>
      <c r="R2169" s="2"/>
      <c r="S2169" s="2"/>
      <c r="T2169" s="2"/>
      <c r="U2169" s="2"/>
      <c r="V2169" s="2"/>
      <c r="W2169" s="2"/>
      <c r="X2169" s="2"/>
      <c r="Y2169" s="2"/>
      <c r="Z2169" s="2"/>
      <c r="AA2169" s="2"/>
      <c r="AB2169" s="2"/>
      <c r="AC2169" s="2"/>
      <c r="AD2169" s="2"/>
      <c r="AE2169" s="2"/>
      <c r="AF2169" s="2"/>
      <c r="AG2169" s="2"/>
      <c r="AH2169" s="2"/>
      <c r="AI2169" s="2"/>
      <c r="AJ2169" s="2" t="str">
        <f>IFERROR(__xludf.DUMMYFUNCTION("""COMPUTED_VALUE"""),"")</f>
        <v/>
      </c>
      <c r="AK2169" s="2" t="str">
        <f>IFERROR(__xludf.DUMMYFUNCTION("""COMPUTED_VALUE"""),"")</f>
        <v/>
      </c>
      <c r="AL2169" s="2" t="str">
        <f>IFERROR(__xludf.DUMMYFUNCTION("""COMPUTED_VALUE"""),"")</f>
        <v/>
      </c>
      <c r="AM2169" s="2" t="str">
        <f>IFERROR(__xludf.DUMMYFUNCTION("""COMPUTED_VALUE"""),"")</f>
        <v/>
      </c>
      <c r="AN2169" s="2" t="str">
        <f>IFERROR(__xludf.DUMMYFUNCTION("""COMPUTED_VALUE""")," ")</f>
        <v> </v>
      </c>
      <c r="AO2169" s="2" t="str">
        <f>IFERROR(__xludf.DUMMYFUNCTION("""COMPUTED_VALUE""")," ")</f>
        <v> </v>
      </c>
      <c r="AP2169" s="2" t="str">
        <f>IFERROR(__xludf.DUMMYFUNCTION("""COMPUTED_VALUE"""),"")</f>
        <v/>
      </c>
      <c r="AQ2169" s="2"/>
      <c r="AR2169" s="2"/>
      <c r="AS2169" s="2"/>
      <c r="AT2169" s="2"/>
      <c r="AU2169" s="2"/>
      <c r="AV2169" s="2"/>
      <c r="AW2169" s="2"/>
      <c r="AX2169" s="2"/>
      <c r="AY2169" s="2"/>
      <c r="AZ2169" s="2"/>
      <c r="BA2169" s="2"/>
      <c r="BB2169" s="2"/>
    </row>
    <row r="2170">
      <c r="A2170" s="2"/>
      <c r="B2170" s="2" t="str">
        <f>IFERROR(__xludf.DUMMYFUNCTION("""COMPUTED_VALUE"""),"")</f>
        <v/>
      </c>
      <c r="C2170" s="2"/>
      <c r="D2170" s="71"/>
      <c r="E2170" s="71" t="str">
        <f>IFERROR(__xludf.DUMMYFUNCTION("""COMPUTED_VALUE""")," ")</f>
        <v> </v>
      </c>
      <c r="F2170" s="2"/>
      <c r="G2170" s="2"/>
      <c r="H2170" s="2"/>
      <c r="I2170" s="72"/>
      <c r="J2170" s="72"/>
      <c r="K2170" s="72"/>
      <c r="L2170" s="72"/>
      <c r="M2170" s="2"/>
      <c r="N2170" s="2"/>
      <c r="O2170" s="2"/>
      <c r="P2170" s="2"/>
      <c r="Q2170" s="2"/>
      <c r="R2170" s="2"/>
      <c r="S2170" s="2"/>
      <c r="T2170" s="2"/>
      <c r="U2170" s="2"/>
      <c r="V2170" s="2"/>
      <c r="W2170" s="2"/>
      <c r="X2170" s="2"/>
      <c r="Y2170" s="2"/>
      <c r="Z2170" s="2"/>
      <c r="AA2170" s="2"/>
      <c r="AB2170" s="2"/>
      <c r="AC2170" s="2"/>
      <c r="AD2170" s="2"/>
      <c r="AE2170" s="2"/>
      <c r="AF2170" s="2"/>
      <c r="AG2170" s="2"/>
      <c r="AH2170" s="2"/>
      <c r="AI2170" s="2"/>
      <c r="AJ2170" s="2" t="str">
        <f>IFERROR(__xludf.DUMMYFUNCTION("""COMPUTED_VALUE"""),"")</f>
        <v/>
      </c>
      <c r="AK2170" s="2" t="str">
        <f>IFERROR(__xludf.DUMMYFUNCTION("""COMPUTED_VALUE"""),"")</f>
        <v/>
      </c>
      <c r="AL2170" s="2" t="str">
        <f>IFERROR(__xludf.DUMMYFUNCTION("""COMPUTED_VALUE"""),"")</f>
        <v/>
      </c>
      <c r="AM2170" s="2" t="str">
        <f>IFERROR(__xludf.DUMMYFUNCTION("""COMPUTED_VALUE"""),"")</f>
        <v/>
      </c>
      <c r="AN2170" s="2" t="str">
        <f>IFERROR(__xludf.DUMMYFUNCTION("""COMPUTED_VALUE""")," ")</f>
        <v> </v>
      </c>
      <c r="AO2170" s="2" t="str">
        <f>IFERROR(__xludf.DUMMYFUNCTION("""COMPUTED_VALUE""")," ")</f>
        <v> </v>
      </c>
      <c r="AP2170" s="2" t="str">
        <f>IFERROR(__xludf.DUMMYFUNCTION("""COMPUTED_VALUE"""),"")</f>
        <v/>
      </c>
      <c r="AQ2170" s="2"/>
      <c r="AR2170" s="2"/>
      <c r="AS2170" s="2"/>
      <c r="AT2170" s="2"/>
      <c r="AU2170" s="2"/>
      <c r="AV2170" s="2"/>
      <c r="AW2170" s="2"/>
      <c r="AX2170" s="2"/>
      <c r="AY2170" s="2"/>
      <c r="AZ2170" s="2"/>
      <c r="BA2170" s="2"/>
      <c r="BB2170" s="2"/>
    </row>
    <row r="2171">
      <c r="A2171" s="2"/>
      <c r="B2171" s="2" t="str">
        <f>IFERROR(__xludf.DUMMYFUNCTION("""COMPUTED_VALUE"""),"")</f>
        <v/>
      </c>
      <c r="C2171" s="2"/>
      <c r="D2171" s="71"/>
      <c r="E2171" s="71" t="str">
        <f>IFERROR(__xludf.DUMMYFUNCTION("""COMPUTED_VALUE""")," ")</f>
        <v> </v>
      </c>
      <c r="F2171" s="2"/>
      <c r="G2171" s="2"/>
      <c r="H2171" s="2"/>
      <c r="I2171" s="72"/>
      <c r="J2171" s="72"/>
      <c r="K2171" s="72"/>
      <c r="L2171" s="72"/>
      <c r="M2171" s="2"/>
      <c r="N2171" s="2"/>
      <c r="O2171" s="2"/>
      <c r="P2171" s="2"/>
      <c r="Q2171" s="2"/>
      <c r="R2171" s="2"/>
      <c r="S2171" s="2"/>
      <c r="T2171" s="2"/>
      <c r="U2171" s="2"/>
      <c r="V2171" s="2"/>
      <c r="W2171" s="2"/>
      <c r="X2171" s="2"/>
      <c r="Y2171" s="2"/>
      <c r="Z2171" s="2"/>
      <c r="AA2171" s="2"/>
      <c r="AB2171" s="2"/>
      <c r="AC2171" s="2"/>
      <c r="AD2171" s="2"/>
      <c r="AE2171" s="2"/>
      <c r="AF2171" s="2"/>
      <c r="AG2171" s="2"/>
      <c r="AH2171" s="2"/>
      <c r="AI2171" s="2"/>
      <c r="AJ2171" s="2" t="str">
        <f>IFERROR(__xludf.DUMMYFUNCTION("""COMPUTED_VALUE"""),"")</f>
        <v/>
      </c>
      <c r="AK2171" s="2" t="str">
        <f>IFERROR(__xludf.DUMMYFUNCTION("""COMPUTED_VALUE"""),"")</f>
        <v/>
      </c>
      <c r="AL2171" s="2" t="str">
        <f>IFERROR(__xludf.DUMMYFUNCTION("""COMPUTED_VALUE"""),"")</f>
        <v/>
      </c>
      <c r="AM2171" s="2" t="str">
        <f>IFERROR(__xludf.DUMMYFUNCTION("""COMPUTED_VALUE"""),"")</f>
        <v/>
      </c>
      <c r="AN2171" s="2" t="str">
        <f>IFERROR(__xludf.DUMMYFUNCTION("""COMPUTED_VALUE""")," ")</f>
        <v> </v>
      </c>
      <c r="AO2171" s="2" t="str">
        <f>IFERROR(__xludf.DUMMYFUNCTION("""COMPUTED_VALUE""")," ")</f>
        <v> </v>
      </c>
      <c r="AP2171" s="2" t="str">
        <f>IFERROR(__xludf.DUMMYFUNCTION("""COMPUTED_VALUE"""),"")</f>
        <v/>
      </c>
      <c r="AQ2171" s="2"/>
      <c r="AR2171" s="2"/>
      <c r="AS2171" s="2"/>
      <c r="AT2171" s="2"/>
      <c r="AU2171" s="2"/>
      <c r="AV2171" s="2"/>
      <c r="AW2171" s="2"/>
      <c r="AX2171" s="2"/>
      <c r="AY2171" s="2"/>
      <c r="AZ2171" s="2"/>
      <c r="BA2171" s="2"/>
      <c r="BB2171" s="2"/>
    </row>
    <row r="2172">
      <c r="A2172" s="2"/>
      <c r="B2172" s="2" t="str">
        <f>IFERROR(__xludf.DUMMYFUNCTION("""COMPUTED_VALUE"""),"")</f>
        <v/>
      </c>
      <c r="C2172" s="2"/>
      <c r="D2172" s="71"/>
      <c r="E2172" s="71" t="str">
        <f>IFERROR(__xludf.DUMMYFUNCTION("""COMPUTED_VALUE""")," ")</f>
        <v> </v>
      </c>
      <c r="F2172" s="2"/>
      <c r="G2172" s="2"/>
      <c r="H2172" s="2"/>
      <c r="I2172" s="72"/>
      <c r="J2172" s="72"/>
      <c r="K2172" s="72"/>
      <c r="L2172" s="72"/>
      <c r="M2172" s="2"/>
      <c r="N2172" s="2"/>
      <c r="O2172" s="2"/>
      <c r="P2172" s="2"/>
      <c r="Q2172" s="2"/>
      <c r="R2172" s="2"/>
      <c r="S2172" s="2"/>
      <c r="T2172" s="2"/>
      <c r="U2172" s="2"/>
      <c r="V2172" s="2"/>
      <c r="W2172" s="2"/>
      <c r="X2172" s="2"/>
      <c r="Y2172" s="2"/>
      <c r="Z2172" s="2"/>
      <c r="AA2172" s="2"/>
      <c r="AB2172" s="2"/>
      <c r="AC2172" s="2"/>
      <c r="AD2172" s="2"/>
      <c r="AE2172" s="2"/>
      <c r="AF2172" s="2"/>
      <c r="AG2172" s="2"/>
      <c r="AH2172" s="2"/>
      <c r="AI2172" s="2"/>
      <c r="AJ2172" s="2" t="str">
        <f>IFERROR(__xludf.DUMMYFUNCTION("""COMPUTED_VALUE"""),"")</f>
        <v/>
      </c>
      <c r="AK2172" s="2" t="str">
        <f>IFERROR(__xludf.DUMMYFUNCTION("""COMPUTED_VALUE"""),"")</f>
        <v/>
      </c>
      <c r="AL2172" s="2" t="str">
        <f>IFERROR(__xludf.DUMMYFUNCTION("""COMPUTED_VALUE"""),"")</f>
        <v/>
      </c>
      <c r="AM2172" s="2" t="str">
        <f>IFERROR(__xludf.DUMMYFUNCTION("""COMPUTED_VALUE"""),"")</f>
        <v/>
      </c>
      <c r="AN2172" s="2" t="str">
        <f>IFERROR(__xludf.DUMMYFUNCTION("""COMPUTED_VALUE""")," ")</f>
        <v> </v>
      </c>
      <c r="AO2172" s="2" t="str">
        <f>IFERROR(__xludf.DUMMYFUNCTION("""COMPUTED_VALUE""")," ")</f>
        <v> </v>
      </c>
      <c r="AP2172" s="2" t="str">
        <f>IFERROR(__xludf.DUMMYFUNCTION("""COMPUTED_VALUE"""),"")</f>
        <v/>
      </c>
      <c r="AQ2172" s="2"/>
      <c r="AR2172" s="2"/>
      <c r="AS2172" s="2"/>
      <c r="AT2172" s="2"/>
      <c r="AU2172" s="2"/>
      <c r="AV2172" s="2"/>
      <c r="AW2172" s="2"/>
      <c r="AX2172" s="2"/>
      <c r="AY2172" s="2"/>
      <c r="AZ2172" s="2"/>
      <c r="BA2172" s="2"/>
      <c r="BB2172" s="2"/>
    </row>
    <row r="2173">
      <c r="A2173" s="2"/>
      <c r="B2173" s="2" t="str">
        <f>IFERROR(__xludf.DUMMYFUNCTION("""COMPUTED_VALUE"""),"")</f>
        <v/>
      </c>
      <c r="C2173" s="2"/>
      <c r="D2173" s="71"/>
      <c r="E2173" s="71" t="str">
        <f>IFERROR(__xludf.DUMMYFUNCTION("""COMPUTED_VALUE""")," ")</f>
        <v> </v>
      </c>
      <c r="F2173" s="2"/>
      <c r="G2173" s="2"/>
      <c r="H2173" s="2"/>
      <c r="I2173" s="72"/>
      <c r="J2173" s="72"/>
      <c r="K2173" s="72"/>
      <c r="L2173" s="72"/>
      <c r="M2173" s="2"/>
      <c r="N2173" s="2"/>
      <c r="O2173" s="2"/>
      <c r="P2173" s="2"/>
      <c r="Q2173" s="2"/>
      <c r="R2173" s="2"/>
      <c r="S2173" s="2"/>
      <c r="T2173" s="2"/>
      <c r="U2173" s="2"/>
      <c r="V2173" s="2"/>
      <c r="W2173" s="2"/>
      <c r="X2173" s="2"/>
      <c r="Y2173" s="2"/>
      <c r="Z2173" s="2"/>
      <c r="AA2173" s="2"/>
      <c r="AB2173" s="2"/>
      <c r="AC2173" s="2"/>
      <c r="AD2173" s="2"/>
      <c r="AE2173" s="2"/>
      <c r="AF2173" s="2"/>
      <c r="AG2173" s="2"/>
      <c r="AH2173" s="2"/>
      <c r="AI2173" s="2"/>
      <c r="AJ2173" s="2" t="str">
        <f>IFERROR(__xludf.DUMMYFUNCTION("""COMPUTED_VALUE"""),"")</f>
        <v/>
      </c>
      <c r="AK2173" s="2" t="str">
        <f>IFERROR(__xludf.DUMMYFUNCTION("""COMPUTED_VALUE"""),"")</f>
        <v/>
      </c>
      <c r="AL2173" s="2" t="str">
        <f>IFERROR(__xludf.DUMMYFUNCTION("""COMPUTED_VALUE"""),"")</f>
        <v/>
      </c>
      <c r="AM2173" s="2" t="str">
        <f>IFERROR(__xludf.DUMMYFUNCTION("""COMPUTED_VALUE"""),"")</f>
        <v/>
      </c>
      <c r="AN2173" s="2" t="str">
        <f>IFERROR(__xludf.DUMMYFUNCTION("""COMPUTED_VALUE""")," ")</f>
        <v> </v>
      </c>
      <c r="AO2173" s="2" t="str">
        <f>IFERROR(__xludf.DUMMYFUNCTION("""COMPUTED_VALUE""")," ")</f>
        <v> </v>
      </c>
      <c r="AP2173" s="2" t="str">
        <f>IFERROR(__xludf.DUMMYFUNCTION("""COMPUTED_VALUE"""),"")</f>
        <v/>
      </c>
      <c r="AQ2173" s="2"/>
      <c r="AR2173" s="2"/>
      <c r="AS2173" s="2"/>
      <c r="AT2173" s="2"/>
      <c r="AU2173" s="2"/>
      <c r="AV2173" s="2"/>
      <c r="AW2173" s="2"/>
      <c r="AX2173" s="2"/>
      <c r="AY2173" s="2"/>
      <c r="AZ2173" s="2"/>
      <c r="BA2173" s="2"/>
      <c r="BB2173" s="2"/>
    </row>
    <row r="2174">
      <c r="A2174" s="2"/>
      <c r="B2174" s="2" t="str">
        <f>IFERROR(__xludf.DUMMYFUNCTION("""COMPUTED_VALUE"""),"")</f>
        <v/>
      </c>
      <c r="C2174" s="2"/>
      <c r="D2174" s="71"/>
      <c r="E2174" s="71" t="str">
        <f>IFERROR(__xludf.DUMMYFUNCTION("""COMPUTED_VALUE""")," ")</f>
        <v> </v>
      </c>
      <c r="F2174" s="2"/>
      <c r="G2174" s="2"/>
      <c r="H2174" s="2"/>
      <c r="I2174" s="72"/>
      <c r="J2174" s="72"/>
      <c r="K2174" s="72"/>
      <c r="L2174" s="72"/>
      <c r="M2174" s="2"/>
      <c r="N2174" s="2"/>
      <c r="O2174" s="2"/>
      <c r="P2174" s="2"/>
      <c r="Q2174" s="2"/>
      <c r="R2174" s="2"/>
      <c r="S2174" s="2"/>
      <c r="T2174" s="2"/>
      <c r="U2174" s="2"/>
      <c r="V2174" s="2"/>
      <c r="W2174" s="2"/>
      <c r="X2174" s="2"/>
      <c r="Y2174" s="2"/>
      <c r="Z2174" s="2"/>
      <c r="AA2174" s="2"/>
      <c r="AB2174" s="2"/>
      <c r="AC2174" s="2"/>
      <c r="AD2174" s="2"/>
      <c r="AE2174" s="2"/>
      <c r="AF2174" s="2"/>
      <c r="AG2174" s="2"/>
      <c r="AH2174" s="2"/>
      <c r="AI2174" s="2"/>
      <c r="AJ2174" s="2" t="str">
        <f>IFERROR(__xludf.DUMMYFUNCTION("""COMPUTED_VALUE"""),"")</f>
        <v/>
      </c>
      <c r="AK2174" s="2" t="str">
        <f>IFERROR(__xludf.DUMMYFUNCTION("""COMPUTED_VALUE"""),"")</f>
        <v/>
      </c>
      <c r="AL2174" s="2" t="str">
        <f>IFERROR(__xludf.DUMMYFUNCTION("""COMPUTED_VALUE"""),"")</f>
        <v/>
      </c>
      <c r="AM2174" s="2" t="str">
        <f>IFERROR(__xludf.DUMMYFUNCTION("""COMPUTED_VALUE"""),"")</f>
        <v/>
      </c>
      <c r="AN2174" s="2" t="str">
        <f>IFERROR(__xludf.DUMMYFUNCTION("""COMPUTED_VALUE""")," ")</f>
        <v> </v>
      </c>
      <c r="AO2174" s="2" t="str">
        <f>IFERROR(__xludf.DUMMYFUNCTION("""COMPUTED_VALUE""")," ")</f>
        <v> </v>
      </c>
      <c r="AP2174" s="2" t="str">
        <f>IFERROR(__xludf.DUMMYFUNCTION("""COMPUTED_VALUE"""),"")</f>
        <v/>
      </c>
      <c r="AQ2174" s="2"/>
      <c r="AR2174" s="2"/>
      <c r="AS2174" s="2"/>
      <c r="AT2174" s="2"/>
      <c r="AU2174" s="2"/>
      <c r="AV2174" s="2"/>
      <c r="AW2174" s="2"/>
      <c r="AX2174" s="2"/>
      <c r="AY2174" s="2"/>
      <c r="AZ2174" s="2"/>
      <c r="BA2174" s="2"/>
      <c r="BB2174" s="2"/>
    </row>
    <row r="2175">
      <c r="A2175" s="2"/>
      <c r="B2175" s="2" t="str">
        <f>IFERROR(__xludf.DUMMYFUNCTION("""COMPUTED_VALUE"""),"")</f>
        <v/>
      </c>
      <c r="C2175" s="2"/>
      <c r="D2175" s="71"/>
      <c r="E2175" s="71" t="str">
        <f>IFERROR(__xludf.DUMMYFUNCTION("""COMPUTED_VALUE""")," ")</f>
        <v> </v>
      </c>
      <c r="F2175" s="2"/>
      <c r="G2175" s="2"/>
      <c r="H2175" s="2"/>
      <c r="I2175" s="72"/>
      <c r="J2175" s="72"/>
      <c r="K2175" s="72"/>
      <c r="L2175" s="72"/>
      <c r="M2175" s="2"/>
      <c r="N2175" s="2"/>
      <c r="O2175" s="2"/>
      <c r="P2175" s="2"/>
      <c r="Q2175" s="2"/>
      <c r="R2175" s="2"/>
      <c r="S2175" s="2"/>
      <c r="T2175" s="2"/>
      <c r="U2175" s="2"/>
      <c r="V2175" s="2"/>
      <c r="W2175" s="2"/>
      <c r="X2175" s="2"/>
      <c r="Y2175" s="2"/>
      <c r="Z2175" s="2"/>
      <c r="AA2175" s="2"/>
      <c r="AB2175" s="2"/>
      <c r="AC2175" s="2"/>
      <c r="AD2175" s="2"/>
      <c r="AE2175" s="2"/>
      <c r="AF2175" s="2"/>
      <c r="AG2175" s="2"/>
      <c r="AH2175" s="2"/>
      <c r="AI2175" s="2"/>
      <c r="AJ2175" s="2" t="str">
        <f>IFERROR(__xludf.DUMMYFUNCTION("""COMPUTED_VALUE"""),"")</f>
        <v/>
      </c>
      <c r="AK2175" s="2" t="str">
        <f>IFERROR(__xludf.DUMMYFUNCTION("""COMPUTED_VALUE"""),"")</f>
        <v/>
      </c>
      <c r="AL2175" s="2" t="str">
        <f>IFERROR(__xludf.DUMMYFUNCTION("""COMPUTED_VALUE"""),"")</f>
        <v/>
      </c>
      <c r="AM2175" s="2" t="str">
        <f>IFERROR(__xludf.DUMMYFUNCTION("""COMPUTED_VALUE"""),"")</f>
        <v/>
      </c>
      <c r="AN2175" s="2" t="str">
        <f>IFERROR(__xludf.DUMMYFUNCTION("""COMPUTED_VALUE""")," ")</f>
        <v> </v>
      </c>
      <c r="AO2175" s="2" t="str">
        <f>IFERROR(__xludf.DUMMYFUNCTION("""COMPUTED_VALUE""")," ")</f>
        <v> </v>
      </c>
      <c r="AP2175" s="2" t="str">
        <f>IFERROR(__xludf.DUMMYFUNCTION("""COMPUTED_VALUE"""),"")</f>
        <v/>
      </c>
      <c r="AQ2175" s="2"/>
      <c r="AR2175" s="2"/>
      <c r="AS2175" s="2"/>
      <c r="AT2175" s="2"/>
      <c r="AU2175" s="2"/>
      <c r="AV2175" s="2"/>
      <c r="AW2175" s="2"/>
      <c r="AX2175" s="2"/>
      <c r="AY2175" s="2"/>
      <c r="AZ2175" s="2"/>
      <c r="BA2175" s="2"/>
      <c r="BB2175" s="2"/>
    </row>
    <row r="2176">
      <c r="A2176" s="2"/>
      <c r="B2176" s="2" t="str">
        <f>IFERROR(__xludf.DUMMYFUNCTION("""COMPUTED_VALUE"""),"")</f>
        <v/>
      </c>
      <c r="C2176" s="2"/>
      <c r="D2176" s="71"/>
      <c r="E2176" s="71" t="str">
        <f>IFERROR(__xludf.DUMMYFUNCTION("""COMPUTED_VALUE""")," ")</f>
        <v> </v>
      </c>
      <c r="F2176" s="2"/>
      <c r="G2176" s="2"/>
      <c r="H2176" s="2"/>
      <c r="I2176" s="72"/>
      <c r="J2176" s="72"/>
      <c r="K2176" s="72"/>
      <c r="L2176" s="72"/>
      <c r="M2176" s="2"/>
      <c r="N2176" s="2"/>
      <c r="O2176" s="2"/>
      <c r="P2176" s="2"/>
      <c r="Q2176" s="2"/>
      <c r="R2176" s="2"/>
      <c r="S2176" s="2"/>
      <c r="T2176" s="2"/>
      <c r="U2176" s="2"/>
      <c r="V2176" s="2"/>
      <c r="W2176" s="2"/>
      <c r="X2176" s="2"/>
      <c r="Y2176" s="2"/>
      <c r="Z2176" s="2"/>
      <c r="AA2176" s="2"/>
      <c r="AB2176" s="2"/>
      <c r="AC2176" s="2"/>
      <c r="AD2176" s="2"/>
      <c r="AE2176" s="2"/>
      <c r="AF2176" s="2"/>
      <c r="AG2176" s="2"/>
      <c r="AH2176" s="2"/>
      <c r="AI2176" s="2"/>
      <c r="AJ2176" s="2" t="str">
        <f>IFERROR(__xludf.DUMMYFUNCTION("""COMPUTED_VALUE"""),"")</f>
        <v/>
      </c>
      <c r="AK2176" s="2" t="str">
        <f>IFERROR(__xludf.DUMMYFUNCTION("""COMPUTED_VALUE"""),"")</f>
        <v/>
      </c>
      <c r="AL2176" s="2" t="str">
        <f>IFERROR(__xludf.DUMMYFUNCTION("""COMPUTED_VALUE"""),"")</f>
        <v/>
      </c>
      <c r="AM2176" s="2" t="str">
        <f>IFERROR(__xludf.DUMMYFUNCTION("""COMPUTED_VALUE"""),"")</f>
        <v/>
      </c>
      <c r="AN2176" s="2" t="str">
        <f>IFERROR(__xludf.DUMMYFUNCTION("""COMPUTED_VALUE""")," ")</f>
        <v> </v>
      </c>
      <c r="AO2176" s="2" t="str">
        <f>IFERROR(__xludf.DUMMYFUNCTION("""COMPUTED_VALUE""")," ")</f>
        <v> </v>
      </c>
      <c r="AP2176" s="2" t="str">
        <f>IFERROR(__xludf.DUMMYFUNCTION("""COMPUTED_VALUE"""),"")</f>
        <v/>
      </c>
      <c r="AQ2176" s="2"/>
      <c r="AR2176" s="2"/>
      <c r="AS2176" s="2"/>
      <c r="AT2176" s="2"/>
      <c r="AU2176" s="2"/>
      <c r="AV2176" s="2"/>
      <c r="AW2176" s="2"/>
      <c r="AX2176" s="2"/>
      <c r="AY2176" s="2"/>
      <c r="AZ2176" s="2"/>
      <c r="BA2176" s="2"/>
      <c r="BB2176" s="2"/>
    </row>
    <row r="2177">
      <c r="A2177" s="2"/>
      <c r="B2177" s="2" t="str">
        <f>IFERROR(__xludf.DUMMYFUNCTION("""COMPUTED_VALUE"""),"")</f>
        <v/>
      </c>
      <c r="C2177" s="2"/>
      <c r="D2177" s="71"/>
      <c r="E2177" s="71" t="str">
        <f>IFERROR(__xludf.DUMMYFUNCTION("""COMPUTED_VALUE""")," ")</f>
        <v> </v>
      </c>
      <c r="F2177" s="2"/>
      <c r="G2177" s="2"/>
      <c r="H2177" s="2"/>
      <c r="I2177" s="72"/>
      <c r="J2177" s="72"/>
      <c r="K2177" s="72"/>
      <c r="L2177" s="72"/>
      <c r="M2177" s="2"/>
      <c r="N2177" s="2"/>
      <c r="O2177" s="2"/>
      <c r="P2177" s="2"/>
      <c r="Q2177" s="2"/>
      <c r="R2177" s="2"/>
      <c r="S2177" s="2"/>
      <c r="T2177" s="2"/>
      <c r="U2177" s="2"/>
      <c r="V2177" s="2"/>
      <c r="W2177" s="2"/>
      <c r="X2177" s="2"/>
      <c r="Y2177" s="2"/>
      <c r="Z2177" s="2"/>
      <c r="AA2177" s="2"/>
      <c r="AB2177" s="2"/>
      <c r="AC2177" s="2"/>
      <c r="AD2177" s="2"/>
      <c r="AE2177" s="2"/>
      <c r="AF2177" s="2"/>
      <c r="AG2177" s="2"/>
      <c r="AH2177" s="2"/>
      <c r="AI2177" s="2"/>
      <c r="AJ2177" s="2" t="str">
        <f>IFERROR(__xludf.DUMMYFUNCTION("""COMPUTED_VALUE"""),"")</f>
        <v/>
      </c>
      <c r="AK2177" s="2" t="str">
        <f>IFERROR(__xludf.DUMMYFUNCTION("""COMPUTED_VALUE"""),"")</f>
        <v/>
      </c>
      <c r="AL2177" s="2" t="str">
        <f>IFERROR(__xludf.DUMMYFUNCTION("""COMPUTED_VALUE"""),"")</f>
        <v/>
      </c>
      <c r="AM2177" s="2" t="str">
        <f>IFERROR(__xludf.DUMMYFUNCTION("""COMPUTED_VALUE"""),"")</f>
        <v/>
      </c>
      <c r="AN2177" s="2" t="str">
        <f>IFERROR(__xludf.DUMMYFUNCTION("""COMPUTED_VALUE""")," ")</f>
        <v> </v>
      </c>
      <c r="AO2177" s="2" t="str">
        <f>IFERROR(__xludf.DUMMYFUNCTION("""COMPUTED_VALUE""")," ")</f>
        <v> </v>
      </c>
      <c r="AP2177" s="2" t="str">
        <f>IFERROR(__xludf.DUMMYFUNCTION("""COMPUTED_VALUE"""),"")</f>
        <v/>
      </c>
      <c r="AQ2177" s="2"/>
      <c r="AR2177" s="2"/>
      <c r="AS2177" s="2"/>
      <c r="AT2177" s="2"/>
      <c r="AU2177" s="2"/>
      <c r="AV2177" s="2"/>
      <c r="AW2177" s="2"/>
      <c r="AX2177" s="2"/>
      <c r="AY2177" s="2"/>
      <c r="AZ2177" s="2"/>
      <c r="BA2177" s="2"/>
      <c r="BB2177" s="2"/>
    </row>
    <row r="2178">
      <c r="A2178" s="2"/>
      <c r="B2178" s="2" t="str">
        <f>IFERROR(__xludf.DUMMYFUNCTION("""COMPUTED_VALUE"""),"")</f>
        <v/>
      </c>
      <c r="C2178" s="2"/>
      <c r="D2178" s="71"/>
      <c r="E2178" s="71" t="str">
        <f>IFERROR(__xludf.DUMMYFUNCTION("""COMPUTED_VALUE""")," ")</f>
        <v> </v>
      </c>
      <c r="F2178" s="2"/>
      <c r="G2178" s="2"/>
      <c r="H2178" s="2"/>
      <c r="I2178" s="72"/>
      <c r="J2178" s="72"/>
      <c r="K2178" s="72"/>
      <c r="L2178" s="72"/>
      <c r="M2178" s="2"/>
      <c r="N2178" s="2"/>
      <c r="O2178" s="2"/>
      <c r="P2178" s="2"/>
      <c r="Q2178" s="2"/>
      <c r="R2178" s="2"/>
      <c r="S2178" s="2"/>
      <c r="T2178" s="2"/>
      <c r="U2178" s="2"/>
      <c r="V2178" s="2"/>
      <c r="W2178" s="2"/>
      <c r="X2178" s="2"/>
      <c r="Y2178" s="2"/>
      <c r="Z2178" s="2"/>
      <c r="AA2178" s="2"/>
      <c r="AB2178" s="2"/>
      <c r="AC2178" s="2"/>
      <c r="AD2178" s="2"/>
      <c r="AE2178" s="2"/>
      <c r="AF2178" s="2"/>
      <c r="AG2178" s="2"/>
      <c r="AH2178" s="2"/>
      <c r="AI2178" s="2"/>
      <c r="AJ2178" s="2" t="str">
        <f>IFERROR(__xludf.DUMMYFUNCTION("""COMPUTED_VALUE"""),"")</f>
        <v/>
      </c>
      <c r="AK2178" s="2" t="str">
        <f>IFERROR(__xludf.DUMMYFUNCTION("""COMPUTED_VALUE"""),"")</f>
        <v/>
      </c>
      <c r="AL2178" s="2" t="str">
        <f>IFERROR(__xludf.DUMMYFUNCTION("""COMPUTED_VALUE"""),"")</f>
        <v/>
      </c>
      <c r="AM2178" s="2" t="str">
        <f>IFERROR(__xludf.DUMMYFUNCTION("""COMPUTED_VALUE"""),"")</f>
        <v/>
      </c>
      <c r="AN2178" s="2" t="str">
        <f>IFERROR(__xludf.DUMMYFUNCTION("""COMPUTED_VALUE""")," ")</f>
        <v> </v>
      </c>
      <c r="AO2178" s="2" t="str">
        <f>IFERROR(__xludf.DUMMYFUNCTION("""COMPUTED_VALUE""")," ")</f>
        <v> </v>
      </c>
      <c r="AP2178" s="2" t="str">
        <f>IFERROR(__xludf.DUMMYFUNCTION("""COMPUTED_VALUE"""),"")</f>
        <v/>
      </c>
      <c r="AQ2178" s="2"/>
      <c r="AR2178" s="2"/>
      <c r="AS2178" s="2"/>
      <c r="AT2178" s="2"/>
      <c r="AU2178" s="2"/>
      <c r="AV2178" s="2"/>
      <c r="AW2178" s="2"/>
      <c r="AX2178" s="2"/>
      <c r="AY2178" s="2"/>
      <c r="AZ2178" s="2"/>
      <c r="BA2178" s="2"/>
      <c r="BB2178" s="2"/>
    </row>
    <row r="2179">
      <c r="A2179" s="2"/>
      <c r="B2179" s="2" t="str">
        <f>IFERROR(__xludf.DUMMYFUNCTION("""COMPUTED_VALUE"""),"")</f>
        <v/>
      </c>
      <c r="C2179" s="2"/>
      <c r="D2179" s="71"/>
      <c r="E2179" s="71" t="str">
        <f>IFERROR(__xludf.DUMMYFUNCTION("""COMPUTED_VALUE""")," ")</f>
        <v> </v>
      </c>
      <c r="F2179" s="2"/>
      <c r="G2179" s="2"/>
      <c r="H2179" s="2"/>
      <c r="I2179" s="72"/>
      <c r="J2179" s="72"/>
      <c r="K2179" s="72"/>
      <c r="L2179" s="72"/>
      <c r="M2179" s="2"/>
      <c r="N2179" s="2"/>
      <c r="O2179" s="2"/>
      <c r="P2179" s="2"/>
      <c r="Q2179" s="2"/>
      <c r="R2179" s="2"/>
      <c r="S2179" s="2"/>
      <c r="T2179" s="2"/>
      <c r="U2179" s="2"/>
      <c r="V2179" s="2"/>
      <c r="W2179" s="2"/>
      <c r="X2179" s="2"/>
      <c r="Y2179" s="2"/>
      <c r="Z2179" s="2"/>
      <c r="AA2179" s="2"/>
      <c r="AB2179" s="2"/>
      <c r="AC2179" s="2"/>
      <c r="AD2179" s="2"/>
      <c r="AE2179" s="2"/>
      <c r="AF2179" s="2"/>
      <c r="AG2179" s="2"/>
      <c r="AH2179" s="2"/>
      <c r="AI2179" s="2"/>
      <c r="AJ2179" s="2" t="str">
        <f>IFERROR(__xludf.DUMMYFUNCTION("""COMPUTED_VALUE"""),"")</f>
        <v/>
      </c>
      <c r="AK2179" s="2" t="str">
        <f>IFERROR(__xludf.DUMMYFUNCTION("""COMPUTED_VALUE"""),"")</f>
        <v/>
      </c>
      <c r="AL2179" s="2" t="str">
        <f>IFERROR(__xludf.DUMMYFUNCTION("""COMPUTED_VALUE"""),"")</f>
        <v/>
      </c>
      <c r="AM2179" s="2" t="str">
        <f>IFERROR(__xludf.DUMMYFUNCTION("""COMPUTED_VALUE"""),"")</f>
        <v/>
      </c>
      <c r="AN2179" s="2" t="str">
        <f>IFERROR(__xludf.DUMMYFUNCTION("""COMPUTED_VALUE""")," ")</f>
        <v> </v>
      </c>
      <c r="AO2179" s="2" t="str">
        <f>IFERROR(__xludf.DUMMYFUNCTION("""COMPUTED_VALUE""")," ")</f>
        <v> </v>
      </c>
      <c r="AP2179" s="2" t="str">
        <f>IFERROR(__xludf.DUMMYFUNCTION("""COMPUTED_VALUE"""),"")</f>
        <v/>
      </c>
      <c r="AQ2179" s="2"/>
      <c r="AR2179" s="2"/>
      <c r="AS2179" s="2"/>
      <c r="AT2179" s="2"/>
      <c r="AU2179" s="2"/>
      <c r="AV2179" s="2"/>
      <c r="AW2179" s="2"/>
      <c r="AX2179" s="2"/>
      <c r="AY2179" s="2"/>
      <c r="AZ2179" s="2"/>
      <c r="BA2179" s="2"/>
      <c r="BB2179" s="2"/>
    </row>
    <row r="2180">
      <c r="A2180" s="2"/>
      <c r="B2180" s="2" t="str">
        <f>IFERROR(__xludf.DUMMYFUNCTION("""COMPUTED_VALUE"""),"")</f>
        <v/>
      </c>
      <c r="C2180" s="2"/>
      <c r="D2180" s="71"/>
      <c r="E2180" s="71" t="str">
        <f>IFERROR(__xludf.DUMMYFUNCTION("""COMPUTED_VALUE""")," ")</f>
        <v> </v>
      </c>
      <c r="F2180" s="2"/>
      <c r="G2180" s="2"/>
      <c r="H2180" s="2"/>
      <c r="I2180" s="72"/>
      <c r="J2180" s="72"/>
      <c r="K2180" s="72"/>
      <c r="L2180" s="72"/>
      <c r="M2180" s="2"/>
      <c r="N2180" s="2"/>
      <c r="O2180" s="2"/>
      <c r="P2180" s="2"/>
      <c r="Q2180" s="2"/>
      <c r="R2180" s="2"/>
      <c r="S2180" s="2"/>
      <c r="T2180" s="2"/>
      <c r="U2180" s="2"/>
      <c r="V2180" s="2"/>
      <c r="W2180" s="2"/>
      <c r="X2180" s="2"/>
      <c r="Y2180" s="2"/>
      <c r="Z2180" s="2"/>
      <c r="AA2180" s="2"/>
      <c r="AB2180" s="2"/>
      <c r="AC2180" s="2"/>
      <c r="AD2180" s="2"/>
      <c r="AE2180" s="2"/>
      <c r="AF2180" s="2"/>
      <c r="AG2180" s="2"/>
      <c r="AH2180" s="2"/>
      <c r="AI2180" s="2"/>
      <c r="AJ2180" s="2" t="str">
        <f>IFERROR(__xludf.DUMMYFUNCTION("""COMPUTED_VALUE"""),"")</f>
        <v/>
      </c>
      <c r="AK2180" s="2" t="str">
        <f>IFERROR(__xludf.DUMMYFUNCTION("""COMPUTED_VALUE"""),"")</f>
        <v/>
      </c>
      <c r="AL2180" s="2" t="str">
        <f>IFERROR(__xludf.DUMMYFUNCTION("""COMPUTED_VALUE"""),"")</f>
        <v/>
      </c>
      <c r="AM2180" s="2" t="str">
        <f>IFERROR(__xludf.DUMMYFUNCTION("""COMPUTED_VALUE"""),"")</f>
        <v/>
      </c>
      <c r="AN2180" s="2" t="str">
        <f>IFERROR(__xludf.DUMMYFUNCTION("""COMPUTED_VALUE""")," ")</f>
        <v> </v>
      </c>
      <c r="AO2180" s="2" t="str">
        <f>IFERROR(__xludf.DUMMYFUNCTION("""COMPUTED_VALUE""")," ")</f>
        <v> </v>
      </c>
      <c r="AP2180" s="2" t="str">
        <f>IFERROR(__xludf.DUMMYFUNCTION("""COMPUTED_VALUE"""),"")</f>
        <v/>
      </c>
      <c r="AQ2180" s="2"/>
      <c r="AR2180" s="2"/>
      <c r="AS2180" s="2"/>
      <c r="AT2180" s="2"/>
      <c r="AU2180" s="2"/>
      <c r="AV2180" s="2"/>
      <c r="AW2180" s="2"/>
      <c r="AX2180" s="2"/>
      <c r="AY2180" s="2"/>
      <c r="AZ2180" s="2"/>
      <c r="BA2180" s="2"/>
      <c r="BB2180" s="2"/>
    </row>
    <row r="2181">
      <c r="A2181" s="2"/>
      <c r="B2181" s="2" t="str">
        <f>IFERROR(__xludf.DUMMYFUNCTION("""COMPUTED_VALUE"""),"")</f>
        <v/>
      </c>
      <c r="C2181" s="2"/>
      <c r="D2181" s="71"/>
      <c r="E2181" s="71" t="str">
        <f>IFERROR(__xludf.DUMMYFUNCTION("""COMPUTED_VALUE""")," ")</f>
        <v> </v>
      </c>
      <c r="F2181" s="2"/>
      <c r="G2181" s="2"/>
      <c r="H2181" s="2"/>
      <c r="I2181" s="72"/>
      <c r="J2181" s="72"/>
      <c r="K2181" s="72"/>
      <c r="L2181" s="72"/>
      <c r="M2181" s="2"/>
      <c r="N2181" s="2"/>
      <c r="O2181" s="2"/>
      <c r="P2181" s="2"/>
      <c r="Q2181" s="2"/>
      <c r="R2181" s="2"/>
      <c r="S2181" s="2"/>
      <c r="T2181" s="2"/>
      <c r="U2181" s="2"/>
      <c r="V2181" s="2"/>
      <c r="W2181" s="2"/>
      <c r="X2181" s="2"/>
      <c r="Y2181" s="2"/>
      <c r="Z2181" s="2"/>
      <c r="AA2181" s="2"/>
      <c r="AB2181" s="2"/>
      <c r="AC2181" s="2"/>
      <c r="AD2181" s="2"/>
      <c r="AE2181" s="2"/>
      <c r="AF2181" s="2"/>
      <c r="AG2181" s="2"/>
      <c r="AH2181" s="2"/>
      <c r="AI2181" s="2"/>
      <c r="AJ2181" s="2" t="str">
        <f>IFERROR(__xludf.DUMMYFUNCTION("""COMPUTED_VALUE"""),"")</f>
        <v/>
      </c>
      <c r="AK2181" s="2" t="str">
        <f>IFERROR(__xludf.DUMMYFUNCTION("""COMPUTED_VALUE"""),"")</f>
        <v/>
      </c>
      <c r="AL2181" s="2" t="str">
        <f>IFERROR(__xludf.DUMMYFUNCTION("""COMPUTED_VALUE"""),"")</f>
        <v/>
      </c>
      <c r="AM2181" s="2" t="str">
        <f>IFERROR(__xludf.DUMMYFUNCTION("""COMPUTED_VALUE"""),"")</f>
        <v/>
      </c>
      <c r="AN2181" s="2" t="str">
        <f>IFERROR(__xludf.DUMMYFUNCTION("""COMPUTED_VALUE""")," ")</f>
        <v> </v>
      </c>
      <c r="AO2181" s="2" t="str">
        <f>IFERROR(__xludf.DUMMYFUNCTION("""COMPUTED_VALUE""")," ")</f>
        <v> </v>
      </c>
      <c r="AP2181" s="2" t="str">
        <f>IFERROR(__xludf.DUMMYFUNCTION("""COMPUTED_VALUE"""),"")</f>
        <v/>
      </c>
      <c r="AQ2181" s="2"/>
      <c r="AR2181" s="2"/>
      <c r="AS2181" s="2"/>
      <c r="AT2181" s="2"/>
      <c r="AU2181" s="2"/>
      <c r="AV2181" s="2"/>
      <c r="AW2181" s="2"/>
      <c r="AX2181" s="2"/>
      <c r="AY2181" s="2"/>
      <c r="AZ2181" s="2"/>
      <c r="BA2181" s="2"/>
      <c r="BB2181" s="2"/>
    </row>
    <row r="2182">
      <c r="A2182" s="2"/>
      <c r="B2182" s="2" t="str">
        <f>IFERROR(__xludf.DUMMYFUNCTION("""COMPUTED_VALUE"""),"")</f>
        <v/>
      </c>
      <c r="C2182" s="2"/>
      <c r="D2182" s="71"/>
      <c r="E2182" s="71" t="str">
        <f>IFERROR(__xludf.DUMMYFUNCTION("""COMPUTED_VALUE""")," ")</f>
        <v> </v>
      </c>
      <c r="F2182" s="2"/>
      <c r="G2182" s="2"/>
      <c r="H2182" s="2"/>
      <c r="I2182" s="72"/>
      <c r="J2182" s="72"/>
      <c r="K2182" s="72"/>
      <c r="L2182" s="72"/>
      <c r="M2182" s="2"/>
      <c r="N2182" s="2"/>
      <c r="O2182" s="2"/>
      <c r="P2182" s="2"/>
      <c r="Q2182" s="2"/>
      <c r="R2182" s="2"/>
      <c r="S2182" s="2"/>
      <c r="T2182" s="2"/>
      <c r="U2182" s="2"/>
      <c r="V2182" s="2"/>
      <c r="W2182" s="2"/>
      <c r="X2182" s="2"/>
      <c r="Y2182" s="2"/>
      <c r="Z2182" s="2"/>
      <c r="AA2182" s="2"/>
      <c r="AB2182" s="2"/>
      <c r="AC2182" s="2"/>
      <c r="AD2182" s="2"/>
      <c r="AE2182" s="2"/>
      <c r="AF2182" s="2"/>
      <c r="AG2182" s="2"/>
      <c r="AH2182" s="2"/>
      <c r="AI2182" s="2"/>
      <c r="AJ2182" s="2" t="str">
        <f>IFERROR(__xludf.DUMMYFUNCTION("""COMPUTED_VALUE"""),"")</f>
        <v/>
      </c>
      <c r="AK2182" s="2" t="str">
        <f>IFERROR(__xludf.DUMMYFUNCTION("""COMPUTED_VALUE"""),"")</f>
        <v/>
      </c>
      <c r="AL2182" s="2" t="str">
        <f>IFERROR(__xludf.DUMMYFUNCTION("""COMPUTED_VALUE"""),"")</f>
        <v/>
      </c>
      <c r="AM2182" s="2" t="str">
        <f>IFERROR(__xludf.DUMMYFUNCTION("""COMPUTED_VALUE"""),"")</f>
        <v/>
      </c>
      <c r="AN2182" s="2" t="str">
        <f>IFERROR(__xludf.DUMMYFUNCTION("""COMPUTED_VALUE""")," ")</f>
        <v> </v>
      </c>
      <c r="AO2182" s="2" t="str">
        <f>IFERROR(__xludf.DUMMYFUNCTION("""COMPUTED_VALUE""")," ")</f>
        <v> </v>
      </c>
      <c r="AP2182" s="2" t="str">
        <f>IFERROR(__xludf.DUMMYFUNCTION("""COMPUTED_VALUE"""),"")</f>
        <v/>
      </c>
      <c r="AQ2182" s="2"/>
      <c r="AR2182" s="2"/>
      <c r="AS2182" s="2"/>
      <c r="AT2182" s="2"/>
      <c r="AU2182" s="2"/>
      <c r="AV2182" s="2"/>
      <c r="AW2182" s="2"/>
      <c r="AX2182" s="2"/>
      <c r="AY2182" s="2"/>
      <c r="AZ2182" s="2"/>
      <c r="BA2182" s="2"/>
      <c r="BB2182" s="2"/>
    </row>
    <row r="2183">
      <c r="A2183" s="2"/>
      <c r="B2183" s="2" t="str">
        <f>IFERROR(__xludf.DUMMYFUNCTION("""COMPUTED_VALUE"""),"")</f>
        <v/>
      </c>
      <c r="C2183" s="2"/>
      <c r="D2183" s="71"/>
      <c r="E2183" s="71" t="str">
        <f>IFERROR(__xludf.DUMMYFUNCTION("""COMPUTED_VALUE""")," ")</f>
        <v> </v>
      </c>
      <c r="F2183" s="2"/>
      <c r="G2183" s="2"/>
      <c r="H2183" s="2"/>
      <c r="I2183" s="72"/>
      <c r="J2183" s="72"/>
      <c r="K2183" s="72"/>
      <c r="L2183" s="72"/>
      <c r="M2183" s="2"/>
      <c r="N2183" s="2"/>
      <c r="O2183" s="2"/>
      <c r="P2183" s="2"/>
      <c r="Q2183" s="2"/>
      <c r="R2183" s="2"/>
      <c r="S2183" s="2"/>
      <c r="T2183" s="2"/>
      <c r="U2183" s="2"/>
      <c r="V2183" s="2"/>
      <c r="W2183" s="2"/>
      <c r="X2183" s="2"/>
      <c r="Y2183" s="2"/>
      <c r="Z2183" s="2"/>
      <c r="AA2183" s="2"/>
      <c r="AB2183" s="2"/>
      <c r="AC2183" s="2"/>
      <c r="AD2183" s="2"/>
      <c r="AE2183" s="2"/>
      <c r="AF2183" s="2"/>
      <c r="AG2183" s="2"/>
      <c r="AH2183" s="2"/>
      <c r="AI2183" s="2"/>
      <c r="AJ2183" s="2" t="str">
        <f>IFERROR(__xludf.DUMMYFUNCTION("""COMPUTED_VALUE"""),"")</f>
        <v/>
      </c>
      <c r="AK2183" s="2" t="str">
        <f>IFERROR(__xludf.DUMMYFUNCTION("""COMPUTED_VALUE"""),"")</f>
        <v/>
      </c>
      <c r="AL2183" s="2" t="str">
        <f>IFERROR(__xludf.DUMMYFUNCTION("""COMPUTED_VALUE"""),"")</f>
        <v/>
      </c>
      <c r="AM2183" s="2" t="str">
        <f>IFERROR(__xludf.DUMMYFUNCTION("""COMPUTED_VALUE"""),"")</f>
        <v/>
      </c>
      <c r="AN2183" s="2" t="str">
        <f>IFERROR(__xludf.DUMMYFUNCTION("""COMPUTED_VALUE""")," ")</f>
        <v> </v>
      </c>
      <c r="AO2183" s="2" t="str">
        <f>IFERROR(__xludf.DUMMYFUNCTION("""COMPUTED_VALUE""")," ")</f>
        <v> </v>
      </c>
      <c r="AP2183" s="2" t="str">
        <f>IFERROR(__xludf.DUMMYFUNCTION("""COMPUTED_VALUE"""),"")</f>
        <v/>
      </c>
      <c r="AQ2183" s="2"/>
      <c r="AR2183" s="2"/>
      <c r="AS2183" s="2"/>
      <c r="AT2183" s="2"/>
      <c r="AU2183" s="2"/>
      <c r="AV2183" s="2"/>
      <c r="AW2183" s="2"/>
      <c r="AX2183" s="2"/>
      <c r="AY2183" s="2"/>
      <c r="AZ2183" s="2"/>
      <c r="BA2183" s="2"/>
      <c r="BB2183" s="2"/>
    </row>
    <row r="2184">
      <c r="A2184" s="2"/>
      <c r="B2184" s="2" t="str">
        <f>IFERROR(__xludf.DUMMYFUNCTION("""COMPUTED_VALUE"""),"")</f>
        <v/>
      </c>
      <c r="C2184" s="2"/>
      <c r="D2184" s="71"/>
      <c r="E2184" s="71" t="str">
        <f>IFERROR(__xludf.DUMMYFUNCTION("""COMPUTED_VALUE""")," ")</f>
        <v> </v>
      </c>
      <c r="F2184" s="2"/>
      <c r="G2184" s="2"/>
      <c r="H2184" s="2"/>
      <c r="I2184" s="72"/>
      <c r="J2184" s="72"/>
      <c r="K2184" s="72"/>
      <c r="L2184" s="72"/>
      <c r="M2184" s="2"/>
      <c r="N2184" s="2"/>
      <c r="O2184" s="2"/>
      <c r="P2184" s="2"/>
      <c r="Q2184" s="2"/>
      <c r="R2184" s="2"/>
      <c r="S2184" s="2"/>
      <c r="T2184" s="2"/>
      <c r="U2184" s="2"/>
      <c r="V2184" s="2"/>
      <c r="W2184" s="2"/>
      <c r="X2184" s="2"/>
      <c r="Y2184" s="2"/>
      <c r="Z2184" s="2"/>
      <c r="AA2184" s="2"/>
      <c r="AB2184" s="2"/>
      <c r="AC2184" s="2"/>
      <c r="AD2184" s="2"/>
      <c r="AE2184" s="2"/>
      <c r="AF2184" s="2"/>
      <c r="AG2184" s="2"/>
      <c r="AH2184" s="2"/>
      <c r="AI2184" s="2"/>
      <c r="AJ2184" s="2" t="str">
        <f>IFERROR(__xludf.DUMMYFUNCTION("""COMPUTED_VALUE"""),"")</f>
        <v/>
      </c>
      <c r="AK2184" s="2" t="str">
        <f>IFERROR(__xludf.DUMMYFUNCTION("""COMPUTED_VALUE"""),"")</f>
        <v/>
      </c>
      <c r="AL2184" s="2" t="str">
        <f>IFERROR(__xludf.DUMMYFUNCTION("""COMPUTED_VALUE"""),"")</f>
        <v/>
      </c>
      <c r="AM2184" s="2" t="str">
        <f>IFERROR(__xludf.DUMMYFUNCTION("""COMPUTED_VALUE"""),"")</f>
        <v/>
      </c>
      <c r="AN2184" s="2" t="str">
        <f>IFERROR(__xludf.DUMMYFUNCTION("""COMPUTED_VALUE""")," ")</f>
        <v> </v>
      </c>
      <c r="AO2184" s="2" t="str">
        <f>IFERROR(__xludf.DUMMYFUNCTION("""COMPUTED_VALUE""")," ")</f>
        <v> </v>
      </c>
      <c r="AP2184" s="2" t="str">
        <f>IFERROR(__xludf.DUMMYFUNCTION("""COMPUTED_VALUE"""),"")</f>
        <v/>
      </c>
      <c r="AQ2184" s="2"/>
      <c r="AR2184" s="2"/>
      <c r="AS2184" s="2"/>
      <c r="AT2184" s="2"/>
      <c r="AU2184" s="2"/>
      <c r="AV2184" s="2"/>
      <c r="AW2184" s="2"/>
      <c r="AX2184" s="2"/>
      <c r="AY2184" s="2"/>
      <c r="AZ2184" s="2"/>
      <c r="BA2184" s="2"/>
      <c r="BB2184" s="2"/>
    </row>
    <row r="2185">
      <c r="A2185" s="2"/>
      <c r="B2185" s="2" t="str">
        <f>IFERROR(__xludf.DUMMYFUNCTION("""COMPUTED_VALUE"""),"")</f>
        <v/>
      </c>
      <c r="C2185" s="2"/>
      <c r="D2185" s="71"/>
      <c r="E2185" s="71" t="str">
        <f>IFERROR(__xludf.DUMMYFUNCTION("""COMPUTED_VALUE""")," ")</f>
        <v> </v>
      </c>
      <c r="F2185" s="2"/>
      <c r="G2185" s="2"/>
      <c r="H2185" s="2"/>
      <c r="I2185" s="72"/>
      <c r="J2185" s="72"/>
      <c r="K2185" s="72"/>
      <c r="L2185" s="72"/>
      <c r="M2185" s="2"/>
      <c r="N2185" s="2"/>
      <c r="O2185" s="2"/>
      <c r="P2185" s="2"/>
      <c r="Q2185" s="2"/>
      <c r="R2185" s="2"/>
      <c r="S2185" s="2"/>
      <c r="T2185" s="2"/>
      <c r="U2185" s="2"/>
      <c r="V2185" s="2"/>
      <c r="W2185" s="2"/>
      <c r="X2185" s="2"/>
      <c r="Y2185" s="2"/>
      <c r="Z2185" s="2"/>
      <c r="AA2185" s="2"/>
      <c r="AB2185" s="2"/>
      <c r="AC2185" s="2"/>
      <c r="AD2185" s="2"/>
      <c r="AE2185" s="2"/>
      <c r="AF2185" s="2"/>
      <c r="AG2185" s="2"/>
      <c r="AH2185" s="2"/>
      <c r="AI2185" s="2"/>
      <c r="AJ2185" s="2" t="str">
        <f>IFERROR(__xludf.DUMMYFUNCTION("""COMPUTED_VALUE"""),"")</f>
        <v/>
      </c>
      <c r="AK2185" s="2" t="str">
        <f>IFERROR(__xludf.DUMMYFUNCTION("""COMPUTED_VALUE"""),"")</f>
        <v/>
      </c>
      <c r="AL2185" s="2" t="str">
        <f>IFERROR(__xludf.DUMMYFUNCTION("""COMPUTED_VALUE"""),"")</f>
        <v/>
      </c>
      <c r="AM2185" s="2" t="str">
        <f>IFERROR(__xludf.DUMMYFUNCTION("""COMPUTED_VALUE"""),"")</f>
        <v/>
      </c>
      <c r="AN2185" s="2" t="str">
        <f>IFERROR(__xludf.DUMMYFUNCTION("""COMPUTED_VALUE""")," ")</f>
        <v> </v>
      </c>
      <c r="AO2185" s="2" t="str">
        <f>IFERROR(__xludf.DUMMYFUNCTION("""COMPUTED_VALUE""")," ")</f>
        <v> </v>
      </c>
      <c r="AP2185" s="2" t="str">
        <f>IFERROR(__xludf.DUMMYFUNCTION("""COMPUTED_VALUE"""),"")</f>
        <v/>
      </c>
      <c r="AQ2185" s="2"/>
      <c r="AR2185" s="2"/>
      <c r="AS2185" s="2"/>
      <c r="AT2185" s="2"/>
      <c r="AU2185" s="2"/>
      <c r="AV2185" s="2"/>
      <c r="AW2185" s="2"/>
      <c r="AX2185" s="2"/>
      <c r="AY2185" s="2"/>
      <c r="AZ2185" s="2"/>
      <c r="BA2185" s="2"/>
      <c r="BB2185" s="2"/>
    </row>
    <row r="2186">
      <c r="A2186" s="2"/>
      <c r="B2186" s="2" t="str">
        <f>IFERROR(__xludf.DUMMYFUNCTION("""COMPUTED_VALUE"""),"")</f>
        <v/>
      </c>
      <c r="C2186" s="2"/>
      <c r="D2186" s="71"/>
      <c r="E2186" s="71" t="str">
        <f>IFERROR(__xludf.DUMMYFUNCTION("""COMPUTED_VALUE""")," ")</f>
        <v> </v>
      </c>
      <c r="F2186" s="2"/>
      <c r="G2186" s="2"/>
      <c r="H2186" s="2"/>
      <c r="I2186" s="72"/>
      <c r="J2186" s="72"/>
      <c r="K2186" s="72"/>
      <c r="L2186" s="72"/>
      <c r="M2186" s="2"/>
      <c r="N2186" s="2"/>
      <c r="O2186" s="2"/>
      <c r="P2186" s="2"/>
      <c r="Q2186" s="2"/>
      <c r="R2186" s="2"/>
      <c r="S2186" s="2"/>
      <c r="T2186" s="2"/>
      <c r="U2186" s="2"/>
      <c r="V2186" s="2"/>
      <c r="W2186" s="2"/>
      <c r="X2186" s="2"/>
      <c r="Y2186" s="2"/>
      <c r="Z2186" s="2"/>
      <c r="AA2186" s="2"/>
      <c r="AB2186" s="2"/>
      <c r="AC2186" s="2"/>
      <c r="AD2186" s="2"/>
      <c r="AE2186" s="2"/>
      <c r="AF2186" s="2"/>
      <c r="AG2186" s="2"/>
      <c r="AH2186" s="2"/>
      <c r="AI2186" s="2"/>
      <c r="AJ2186" s="2" t="str">
        <f>IFERROR(__xludf.DUMMYFUNCTION("""COMPUTED_VALUE"""),"")</f>
        <v/>
      </c>
      <c r="AK2186" s="2" t="str">
        <f>IFERROR(__xludf.DUMMYFUNCTION("""COMPUTED_VALUE"""),"")</f>
        <v/>
      </c>
      <c r="AL2186" s="2" t="str">
        <f>IFERROR(__xludf.DUMMYFUNCTION("""COMPUTED_VALUE"""),"")</f>
        <v/>
      </c>
      <c r="AM2186" s="2" t="str">
        <f>IFERROR(__xludf.DUMMYFUNCTION("""COMPUTED_VALUE"""),"")</f>
        <v/>
      </c>
      <c r="AN2186" s="2" t="str">
        <f>IFERROR(__xludf.DUMMYFUNCTION("""COMPUTED_VALUE""")," ")</f>
        <v> </v>
      </c>
      <c r="AO2186" s="2" t="str">
        <f>IFERROR(__xludf.DUMMYFUNCTION("""COMPUTED_VALUE""")," ")</f>
        <v> </v>
      </c>
      <c r="AP2186" s="2" t="str">
        <f>IFERROR(__xludf.DUMMYFUNCTION("""COMPUTED_VALUE"""),"")</f>
        <v/>
      </c>
      <c r="AQ2186" s="2"/>
      <c r="AR2186" s="2"/>
      <c r="AS2186" s="2"/>
      <c r="AT2186" s="2"/>
      <c r="AU2186" s="2"/>
      <c r="AV2186" s="2"/>
      <c r="AW2186" s="2"/>
      <c r="AX2186" s="2"/>
      <c r="AY2186" s="2"/>
      <c r="AZ2186" s="2"/>
      <c r="BA2186" s="2"/>
      <c r="BB2186" s="2"/>
    </row>
    <row r="2187">
      <c r="A2187" s="2"/>
      <c r="B2187" s="2" t="str">
        <f>IFERROR(__xludf.DUMMYFUNCTION("""COMPUTED_VALUE"""),"")</f>
        <v/>
      </c>
      <c r="C2187" s="2"/>
      <c r="D2187" s="71"/>
      <c r="E2187" s="71" t="str">
        <f>IFERROR(__xludf.DUMMYFUNCTION("""COMPUTED_VALUE""")," ")</f>
        <v> </v>
      </c>
      <c r="F2187" s="2"/>
      <c r="G2187" s="2"/>
      <c r="H2187" s="2"/>
      <c r="I2187" s="72"/>
      <c r="J2187" s="72"/>
      <c r="K2187" s="72"/>
      <c r="L2187" s="72"/>
      <c r="M2187" s="2"/>
      <c r="N2187" s="2"/>
      <c r="O2187" s="2"/>
      <c r="P2187" s="2"/>
      <c r="Q2187" s="2"/>
      <c r="R2187" s="2"/>
      <c r="S2187" s="2"/>
      <c r="T2187" s="2"/>
      <c r="U2187" s="2"/>
      <c r="V2187" s="2"/>
      <c r="W2187" s="2"/>
      <c r="X2187" s="2"/>
      <c r="Y2187" s="2"/>
      <c r="Z2187" s="2"/>
      <c r="AA2187" s="2"/>
      <c r="AB2187" s="2"/>
      <c r="AC2187" s="2"/>
      <c r="AD2187" s="2"/>
      <c r="AE2187" s="2"/>
      <c r="AF2187" s="2"/>
      <c r="AG2187" s="2"/>
      <c r="AH2187" s="2"/>
      <c r="AI2187" s="2"/>
      <c r="AJ2187" s="2" t="str">
        <f>IFERROR(__xludf.DUMMYFUNCTION("""COMPUTED_VALUE"""),"")</f>
        <v/>
      </c>
      <c r="AK2187" s="2" t="str">
        <f>IFERROR(__xludf.DUMMYFUNCTION("""COMPUTED_VALUE"""),"")</f>
        <v/>
      </c>
      <c r="AL2187" s="2" t="str">
        <f>IFERROR(__xludf.DUMMYFUNCTION("""COMPUTED_VALUE"""),"")</f>
        <v/>
      </c>
      <c r="AM2187" s="2" t="str">
        <f>IFERROR(__xludf.DUMMYFUNCTION("""COMPUTED_VALUE"""),"")</f>
        <v/>
      </c>
      <c r="AN2187" s="2" t="str">
        <f>IFERROR(__xludf.DUMMYFUNCTION("""COMPUTED_VALUE""")," ")</f>
        <v> </v>
      </c>
      <c r="AO2187" s="2" t="str">
        <f>IFERROR(__xludf.DUMMYFUNCTION("""COMPUTED_VALUE""")," ")</f>
        <v> </v>
      </c>
      <c r="AP2187" s="2" t="str">
        <f>IFERROR(__xludf.DUMMYFUNCTION("""COMPUTED_VALUE"""),"")</f>
        <v/>
      </c>
      <c r="AQ2187" s="2"/>
      <c r="AR2187" s="2"/>
      <c r="AS2187" s="2"/>
      <c r="AT2187" s="2"/>
      <c r="AU2187" s="2"/>
      <c r="AV2187" s="2"/>
      <c r="AW2187" s="2"/>
      <c r="AX2187" s="2"/>
      <c r="AY2187" s="2"/>
      <c r="AZ2187" s="2"/>
      <c r="BA2187" s="2"/>
      <c r="BB2187" s="2"/>
    </row>
    <row r="2188">
      <c r="A2188" s="2"/>
      <c r="B2188" s="2" t="str">
        <f>IFERROR(__xludf.DUMMYFUNCTION("""COMPUTED_VALUE"""),"")</f>
        <v/>
      </c>
      <c r="C2188" s="2"/>
      <c r="D2188" s="71"/>
      <c r="E2188" s="71" t="str">
        <f>IFERROR(__xludf.DUMMYFUNCTION("""COMPUTED_VALUE""")," ")</f>
        <v> </v>
      </c>
      <c r="F2188" s="2"/>
      <c r="G2188" s="2"/>
      <c r="H2188" s="2"/>
      <c r="I2188" s="72"/>
      <c r="J2188" s="72"/>
      <c r="K2188" s="72"/>
      <c r="L2188" s="72"/>
      <c r="M2188" s="2"/>
      <c r="N2188" s="2"/>
      <c r="O2188" s="2"/>
      <c r="P2188" s="2"/>
      <c r="Q2188" s="2"/>
      <c r="R2188" s="2"/>
      <c r="S2188" s="2"/>
      <c r="T2188" s="2"/>
      <c r="U2188" s="2"/>
      <c r="V2188" s="2"/>
      <c r="W2188" s="2"/>
      <c r="X2188" s="2"/>
      <c r="Y2188" s="2"/>
      <c r="Z2188" s="2"/>
      <c r="AA2188" s="2"/>
      <c r="AB2188" s="2"/>
      <c r="AC2188" s="2"/>
      <c r="AD2188" s="2"/>
      <c r="AE2188" s="2"/>
      <c r="AF2188" s="2"/>
      <c r="AG2188" s="2"/>
      <c r="AH2188" s="2"/>
      <c r="AI2188" s="2"/>
      <c r="AJ2188" s="2" t="str">
        <f>IFERROR(__xludf.DUMMYFUNCTION("""COMPUTED_VALUE"""),"")</f>
        <v/>
      </c>
      <c r="AK2188" s="2" t="str">
        <f>IFERROR(__xludf.DUMMYFUNCTION("""COMPUTED_VALUE"""),"")</f>
        <v/>
      </c>
      <c r="AL2188" s="2" t="str">
        <f>IFERROR(__xludf.DUMMYFUNCTION("""COMPUTED_VALUE"""),"")</f>
        <v/>
      </c>
      <c r="AM2188" s="2" t="str">
        <f>IFERROR(__xludf.DUMMYFUNCTION("""COMPUTED_VALUE"""),"")</f>
        <v/>
      </c>
      <c r="AN2188" s="2" t="str">
        <f>IFERROR(__xludf.DUMMYFUNCTION("""COMPUTED_VALUE""")," ")</f>
        <v> </v>
      </c>
      <c r="AO2188" s="2" t="str">
        <f>IFERROR(__xludf.DUMMYFUNCTION("""COMPUTED_VALUE""")," ")</f>
        <v> </v>
      </c>
      <c r="AP2188" s="2" t="str">
        <f>IFERROR(__xludf.DUMMYFUNCTION("""COMPUTED_VALUE"""),"")</f>
        <v/>
      </c>
      <c r="AQ2188" s="2"/>
      <c r="AR2188" s="2"/>
      <c r="AS2188" s="2"/>
      <c r="AT2188" s="2"/>
      <c r="AU2188" s="2"/>
      <c r="AV2188" s="2"/>
      <c r="AW2188" s="2"/>
      <c r="AX2188" s="2"/>
      <c r="AY2188" s="2"/>
      <c r="AZ2188" s="2"/>
      <c r="BA2188" s="2"/>
      <c r="BB2188" s="2"/>
    </row>
    <row r="2189">
      <c r="A2189" s="2"/>
      <c r="B2189" s="2" t="str">
        <f>IFERROR(__xludf.DUMMYFUNCTION("""COMPUTED_VALUE"""),"")</f>
        <v/>
      </c>
      <c r="C2189" s="2"/>
      <c r="D2189" s="71"/>
      <c r="E2189" s="71" t="str">
        <f>IFERROR(__xludf.DUMMYFUNCTION("""COMPUTED_VALUE""")," ")</f>
        <v> </v>
      </c>
      <c r="F2189" s="2"/>
      <c r="G2189" s="2"/>
      <c r="H2189" s="2"/>
      <c r="I2189" s="72"/>
      <c r="J2189" s="72"/>
      <c r="K2189" s="72"/>
      <c r="L2189" s="72"/>
      <c r="M2189" s="2"/>
      <c r="N2189" s="2"/>
      <c r="O2189" s="2"/>
      <c r="P2189" s="2"/>
      <c r="Q2189" s="2"/>
      <c r="R2189" s="2"/>
      <c r="S2189" s="2"/>
      <c r="T2189" s="2"/>
      <c r="U2189" s="2"/>
      <c r="V2189" s="2"/>
      <c r="W2189" s="2"/>
      <c r="X2189" s="2"/>
      <c r="Y2189" s="2"/>
      <c r="Z2189" s="2"/>
      <c r="AA2189" s="2"/>
      <c r="AB2189" s="2"/>
      <c r="AC2189" s="2"/>
      <c r="AD2189" s="2"/>
      <c r="AE2189" s="2"/>
      <c r="AF2189" s="2"/>
      <c r="AG2189" s="2"/>
      <c r="AH2189" s="2"/>
      <c r="AI2189" s="2"/>
      <c r="AJ2189" s="2" t="str">
        <f>IFERROR(__xludf.DUMMYFUNCTION("""COMPUTED_VALUE"""),"")</f>
        <v/>
      </c>
      <c r="AK2189" s="2" t="str">
        <f>IFERROR(__xludf.DUMMYFUNCTION("""COMPUTED_VALUE"""),"")</f>
        <v/>
      </c>
      <c r="AL2189" s="2" t="str">
        <f>IFERROR(__xludf.DUMMYFUNCTION("""COMPUTED_VALUE"""),"")</f>
        <v/>
      </c>
      <c r="AM2189" s="2" t="str">
        <f>IFERROR(__xludf.DUMMYFUNCTION("""COMPUTED_VALUE"""),"")</f>
        <v/>
      </c>
      <c r="AN2189" s="2" t="str">
        <f>IFERROR(__xludf.DUMMYFUNCTION("""COMPUTED_VALUE""")," ")</f>
        <v> </v>
      </c>
      <c r="AO2189" s="2" t="str">
        <f>IFERROR(__xludf.DUMMYFUNCTION("""COMPUTED_VALUE""")," ")</f>
        <v> </v>
      </c>
      <c r="AP2189" s="2" t="str">
        <f>IFERROR(__xludf.DUMMYFUNCTION("""COMPUTED_VALUE"""),"")</f>
        <v/>
      </c>
      <c r="AQ2189" s="2"/>
      <c r="AR2189" s="2"/>
      <c r="AS2189" s="2"/>
      <c r="AT2189" s="2"/>
      <c r="AU2189" s="2"/>
      <c r="AV2189" s="2"/>
      <c r="AW2189" s="2"/>
      <c r="AX2189" s="2"/>
      <c r="AY2189" s="2"/>
      <c r="AZ2189" s="2"/>
      <c r="BA2189" s="2"/>
      <c r="BB2189" s="2"/>
    </row>
    <row r="2190">
      <c r="A2190" s="2"/>
      <c r="B2190" s="2" t="str">
        <f>IFERROR(__xludf.DUMMYFUNCTION("""COMPUTED_VALUE"""),"")</f>
        <v/>
      </c>
      <c r="C2190" s="2"/>
      <c r="D2190" s="71"/>
      <c r="E2190" s="71" t="str">
        <f>IFERROR(__xludf.DUMMYFUNCTION("""COMPUTED_VALUE""")," ")</f>
        <v> </v>
      </c>
      <c r="F2190" s="2"/>
      <c r="G2190" s="2"/>
      <c r="H2190" s="2"/>
      <c r="I2190" s="72"/>
      <c r="J2190" s="72"/>
      <c r="K2190" s="72"/>
      <c r="L2190" s="72"/>
      <c r="M2190" s="2"/>
      <c r="N2190" s="2"/>
      <c r="O2190" s="2"/>
      <c r="P2190" s="2"/>
      <c r="Q2190" s="2"/>
      <c r="R2190" s="2"/>
      <c r="S2190" s="2"/>
      <c r="T2190" s="2"/>
      <c r="U2190" s="2"/>
      <c r="V2190" s="2"/>
      <c r="W2190" s="2"/>
      <c r="X2190" s="2"/>
      <c r="Y2190" s="2"/>
      <c r="Z2190" s="2"/>
      <c r="AA2190" s="2"/>
      <c r="AB2190" s="2"/>
      <c r="AC2190" s="2"/>
      <c r="AD2190" s="2"/>
      <c r="AE2190" s="2"/>
      <c r="AF2190" s="2"/>
      <c r="AG2190" s="2"/>
      <c r="AH2190" s="2"/>
      <c r="AI2190" s="2"/>
      <c r="AJ2190" s="2" t="str">
        <f>IFERROR(__xludf.DUMMYFUNCTION("""COMPUTED_VALUE"""),"")</f>
        <v/>
      </c>
      <c r="AK2190" s="2" t="str">
        <f>IFERROR(__xludf.DUMMYFUNCTION("""COMPUTED_VALUE"""),"")</f>
        <v/>
      </c>
      <c r="AL2190" s="2" t="str">
        <f>IFERROR(__xludf.DUMMYFUNCTION("""COMPUTED_VALUE"""),"")</f>
        <v/>
      </c>
      <c r="AM2190" s="2" t="str">
        <f>IFERROR(__xludf.DUMMYFUNCTION("""COMPUTED_VALUE"""),"")</f>
        <v/>
      </c>
      <c r="AN2190" s="2" t="str">
        <f>IFERROR(__xludf.DUMMYFUNCTION("""COMPUTED_VALUE""")," ")</f>
        <v> </v>
      </c>
      <c r="AO2190" s="2" t="str">
        <f>IFERROR(__xludf.DUMMYFUNCTION("""COMPUTED_VALUE""")," ")</f>
        <v> </v>
      </c>
      <c r="AP2190" s="2" t="str">
        <f>IFERROR(__xludf.DUMMYFUNCTION("""COMPUTED_VALUE"""),"")</f>
        <v/>
      </c>
      <c r="AQ2190" s="2"/>
      <c r="AR2190" s="2"/>
      <c r="AS2190" s="2"/>
      <c r="AT2190" s="2"/>
      <c r="AU2190" s="2"/>
      <c r="AV2190" s="2"/>
      <c r="AW2190" s="2"/>
      <c r="AX2190" s="2"/>
      <c r="AY2190" s="2"/>
      <c r="AZ2190" s="2"/>
      <c r="BA2190" s="2"/>
      <c r="BB2190" s="2"/>
    </row>
    <row r="2191">
      <c r="A2191" s="2"/>
      <c r="B2191" s="2" t="str">
        <f>IFERROR(__xludf.DUMMYFUNCTION("""COMPUTED_VALUE"""),"")</f>
        <v/>
      </c>
      <c r="C2191" s="2"/>
      <c r="D2191" s="71"/>
      <c r="E2191" s="71" t="str">
        <f>IFERROR(__xludf.DUMMYFUNCTION("""COMPUTED_VALUE""")," ")</f>
        <v> </v>
      </c>
      <c r="F2191" s="2"/>
      <c r="G2191" s="2"/>
      <c r="H2191" s="2"/>
      <c r="I2191" s="72"/>
      <c r="J2191" s="72"/>
      <c r="K2191" s="72"/>
      <c r="L2191" s="72"/>
      <c r="M2191" s="2"/>
      <c r="N2191" s="2"/>
      <c r="O2191" s="2"/>
      <c r="P2191" s="2"/>
      <c r="Q2191" s="2"/>
      <c r="R2191" s="2"/>
      <c r="S2191" s="2"/>
      <c r="T2191" s="2"/>
      <c r="U2191" s="2"/>
      <c r="V2191" s="2"/>
      <c r="W2191" s="2"/>
      <c r="X2191" s="2"/>
      <c r="Y2191" s="2"/>
      <c r="Z2191" s="2"/>
      <c r="AA2191" s="2"/>
      <c r="AB2191" s="2"/>
      <c r="AC2191" s="2"/>
      <c r="AD2191" s="2"/>
      <c r="AE2191" s="2"/>
      <c r="AF2191" s="2"/>
      <c r="AG2191" s="2"/>
      <c r="AH2191" s="2"/>
      <c r="AI2191" s="2"/>
      <c r="AJ2191" s="2" t="str">
        <f>IFERROR(__xludf.DUMMYFUNCTION("""COMPUTED_VALUE"""),"")</f>
        <v/>
      </c>
      <c r="AK2191" s="2" t="str">
        <f>IFERROR(__xludf.DUMMYFUNCTION("""COMPUTED_VALUE"""),"")</f>
        <v/>
      </c>
      <c r="AL2191" s="2" t="str">
        <f>IFERROR(__xludf.DUMMYFUNCTION("""COMPUTED_VALUE"""),"")</f>
        <v/>
      </c>
      <c r="AM2191" s="2" t="str">
        <f>IFERROR(__xludf.DUMMYFUNCTION("""COMPUTED_VALUE"""),"")</f>
        <v/>
      </c>
      <c r="AN2191" s="2" t="str">
        <f>IFERROR(__xludf.DUMMYFUNCTION("""COMPUTED_VALUE""")," ")</f>
        <v> </v>
      </c>
      <c r="AO2191" s="2" t="str">
        <f>IFERROR(__xludf.DUMMYFUNCTION("""COMPUTED_VALUE""")," ")</f>
        <v> </v>
      </c>
      <c r="AP2191" s="2" t="str">
        <f>IFERROR(__xludf.DUMMYFUNCTION("""COMPUTED_VALUE"""),"")</f>
        <v/>
      </c>
      <c r="AQ2191" s="2"/>
      <c r="AR2191" s="2"/>
      <c r="AS2191" s="2"/>
      <c r="AT2191" s="2"/>
      <c r="AU2191" s="2"/>
      <c r="AV2191" s="2"/>
      <c r="AW2191" s="2"/>
      <c r="AX2191" s="2"/>
      <c r="AY2191" s="2"/>
      <c r="AZ2191" s="2"/>
      <c r="BA2191" s="2"/>
      <c r="BB2191" s="2"/>
    </row>
    <row r="2192">
      <c r="A2192" s="2"/>
      <c r="B2192" s="2" t="str">
        <f>IFERROR(__xludf.DUMMYFUNCTION("""COMPUTED_VALUE"""),"")</f>
        <v/>
      </c>
      <c r="C2192" s="2"/>
      <c r="D2192" s="71"/>
      <c r="E2192" s="71" t="str">
        <f>IFERROR(__xludf.DUMMYFUNCTION("""COMPUTED_VALUE""")," ")</f>
        <v> </v>
      </c>
      <c r="F2192" s="2"/>
      <c r="G2192" s="2"/>
      <c r="H2192" s="2"/>
      <c r="I2192" s="72"/>
      <c r="J2192" s="72"/>
      <c r="K2192" s="72"/>
      <c r="L2192" s="72"/>
      <c r="M2192" s="2"/>
      <c r="N2192" s="2"/>
      <c r="O2192" s="2"/>
      <c r="P2192" s="2"/>
      <c r="Q2192" s="2"/>
      <c r="R2192" s="2"/>
      <c r="S2192" s="2"/>
      <c r="T2192" s="2"/>
      <c r="U2192" s="2"/>
      <c r="V2192" s="2"/>
      <c r="W2192" s="2"/>
      <c r="X2192" s="2"/>
      <c r="Y2192" s="2"/>
      <c r="Z2192" s="2"/>
      <c r="AA2192" s="2"/>
      <c r="AB2192" s="2"/>
      <c r="AC2192" s="2"/>
      <c r="AD2192" s="2"/>
      <c r="AE2192" s="2"/>
      <c r="AF2192" s="2"/>
      <c r="AG2192" s="2"/>
      <c r="AH2192" s="2"/>
      <c r="AI2192" s="2"/>
      <c r="AJ2192" s="2" t="str">
        <f>IFERROR(__xludf.DUMMYFUNCTION("""COMPUTED_VALUE"""),"")</f>
        <v/>
      </c>
      <c r="AK2192" s="2" t="str">
        <f>IFERROR(__xludf.DUMMYFUNCTION("""COMPUTED_VALUE"""),"")</f>
        <v/>
      </c>
      <c r="AL2192" s="2" t="str">
        <f>IFERROR(__xludf.DUMMYFUNCTION("""COMPUTED_VALUE"""),"")</f>
        <v/>
      </c>
      <c r="AM2192" s="2" t="str">
        <f>IFERROR(__xludf.DUMMYFUNCTION("""COMPUTED_VALUE"""),"")</f>
        <v/>
      </c>
      <c r="AN2192" s="2" t="str">
        <f>IFERROR(__xludf.DUMMYFUNCTION("""COMPUTED_VALUE""")," ")</f>
        <v> </v>
      </c>
      <c r="AO2192" s="2" t="str">
        <f>IFERROR(__xludf.DUMMYFUNCTION("""COMPUTED_VALUE""")," ")</f>
        <v> </v>
      </c>
      <c r="AP2192" s="2" t="str">
        <f>IFERROR(__xludf.DUMMYFUNCTION("""COMPUTED_VALUE"""),"")</f>
        <v/>
      </c>
      <c r="AQ2192" s="2"/>
      <c r="AR2192" s="2"/>
      <c r="AS2192" s="2"/>
      <c r="AT2192" s="2"/>
      <c r="AU2192" s="2"/>
      <c r="AV2192" s="2"/>
      <c r="AW2192" s="2"/>
      <c r="AX2192" s="2"/>
      <c r="AY2192" s="2"/>
      <c r="AZ2192" s="2"/>
      <c r="BA2192" s="2"/>
      <c r="BB2192" s="2"/>
    </row>
    <row r="2193">
      <c r="A2193" s="2"/>
      <c r="B2193" s="2" t="str">
        <f>IFERROR(__xludf.DUMMYFUNCTION("""COMPUTED_VALUE"""),"")</f>
        <v/>
      </c>
      <c r="C2193" s="2"/>
      <c r="D2193" s="71"/>
      <c r="E2193" s="71" t="str">
        <f>IFERROR(__xludf.DUMMYFUNCTION("""COMPUTED_VALUE""")," ")</f>
        <v> </v>
      </c>
      <c r="F2193" s="2"/>
      <c r="G2193" s="2"/>
      <c r="H2193" s="2"/>
      <c r="I2193" s="72"/>
      <c r="J2193" s="72"/>
      <c r="K2193" s="72"/>
      <c r="L2193" s="72"/>
      <c r="M2193" s="2"/>
      <c r="N2193" s="2"/>
      <c r="O2193" s="2"/>
      <c r="P2193" s="2"/>
      <c r="Q2193" s="2"/>
      <c r="R2193" s="2"/>
      <c r="S2193" s="2"/>
      <c r="T2193" s="2"/>
      <c r="U2193" s="2"/>
      <c r="V2193" s="2"/>
      <c r="W2193" s="2"/>
      <c r="X2193" s="2"/>
      <c r="Y2193" s="2"/>
      <c r="Z2193" s="2"/>
      <c r="AA2193" s="2"/>
      <c r="AB2193" s="2"/>
      <c r="AC2193" s="2"/>
      <c r="AD2193" s="2"/>
      <c r="AE2193" s="2"/>
      <c r="AF2193" s="2"/>
      <c r="AG2193" s="2"/>
      <c r="AH2193" s="2"/>
      <c r="AI2193" s="2"/>
      <c r="AJ2193" s="2" t="str">
        <f>IFERROR(__xludf.DUMMYFUNCTION("""COMPUTED_VALUE"""),"")</f>
        <v/>
      </c>
      <c r="AK2193" s="2" t="str">
        <f>IFERROR(__xludf.DUMMYFUNCTION("""COMPUTED_VALUE"""),"")</f>
        <v/>
      </c>
      <c r="AL2193" s="2" t="str">
        <f>IFERROR(__xludf.DUMMYFUNCTION("""COMPUTED_VALUE"""),"")</f>
        <v/>
      </c>
      <c r="AM2193" s="2" t="str">
        <f>IFERROR(__xludf.DUMMYFUNCTION("""COMPUTED_VALUE"""),"")</f>
        <v/>
      </c>
      <c r="AN2193" s="2" t="str">
        <f>IFERROR(__xludf.DUMMYFUNCTION("""COMPUTED_VALUE""")," ")</f>
        <v> </v>
      </c>
      <c r="AO2193" s="2" t="str">
        <f>IFERROR(__xludf.DUMMYFUNCTION("""COMPUTED_VALUE""")," ")</f>
        <v> </v>
      </c>
      <c r="AP2193" s="2" t="str">
        <f>IFERROR(__xludf.DUMMYFUNCTION("""COMPUTED_VALUE"""),"")</f>
        <v/>
      </c>
      <c r="AQ2193" s="2"/>
      <c r="AR2193" s="2"/>
      <c r="AS2193" s="2"/>
      <c r="AT2193" s="2"/>
      <c r="AU2193" s="2"/>
      <c r="AV2193" s="2"/>
      <c r="AW2193" s="2"/>
      <c r="AX2193" s="2"/>
      <c r="AY2193" s="2"/>
      <c r="AZ2193" s="2"/>
      <c r="BA2193" s="2"/>
      <c r="BB2193" s="2"/>
    </row>
    <row r="2194">
      <c r="A2194" s="2"/>
      <c r="B2194" s="2" t="str">
        <f>IFERROR(__xludf.DUMMYFUNCTION("""COMPUTED_VALUE"""),"")</f>
        <v/>
      </c>
      <c r="C2194" s="2"/>
      <c r="D2194" s="71"/>
      <c r="E2194" s="71" t="str">
        <f>IFERROR(__xludf.DUMMYFUNCTION("""COMPUTED_VALUE""")," ")</f>
        <v> </v>
      </c>
      <c r="F2194" s="2"/>
      <c r="G2194" s="2"/>
      <c r="H2194" s="2"/>
      <c r="I2194" s="72"/>
      <c r="J2194" s="72"/>
      <c r="K2194" s="72"/>
      <c r="L2194" s="72"/>
      <c r="M2194" s="2"/>
      <c r="N2194" s="2"/>
      <c r="O2194" s="2"/>
      <c r="P2194" s="2"/>
      <c r="Q2194" s="2"/>
      <c r="R2194" s="2"/>
      <c r="S2194" s="2"/>
      <c r="T2194" s="2"/>
      <c r="U2194" s="2"/>
      <c r="V2194" s="2"/>
      <c r="W2194" s="2"/>
      <c r="X2194" s="2"/>
      <c r="Y2194" s="2"/>
      <c r="Z2194" s="2"/>
      <c r="AA2194" s="2"/>
      <c r="AB2194" s="2"/>
      <c r="AC2194" s="2"/>
      <c r="AD2194" s="2"/>
      <c r="AE2194" s="2"/>
      <c r="AF2194" s="2"/>
      <c r="AG2194" s="2"/>
      <c r="AH2194" s="2"/>
      <c r="AI2194" s="2"/>
      <c r="AJ2194" s="2" t="str">
        <f>IFERROR(__xludf.DUMMYFUNCTION("""COMPUTED_VALUE"""),"")</f>
        <v/>
      </c>
      <c r="AK2194" s="2" t="str">
        <f>IFERROR(__xludf.DUMMYFUNCTION("""COMPUTED_VALUE"""),"")</f>
        <v/>
      </c>
      <c r="AL2194" s="2" t="str">
        <f>IFERROR(__xludf.DUMMYFUNCTION("""COMPUTED_VALUE"""),"")</f>
        <v/>
      </c>
      <c r="AM2194" s="2" t="str">
        <f>IFERROR(__xludf.DUMMYFUNCTION("""COMPUTED_VALUE"""),"")</f>
        <v/>
      </c>
      <c r="AN2194" s="2" t="str">
        <f>IFERROR(__xludf.DUMMYFUNCTION("""COMPUTED_VALUE""")," ")</f>
        <v> </v>
      </c>
      <c r="AO2194" s="2" t="str">
        <f>IFERROR(__xludf.DUMMYFUNCTION("""COMPUTED_VALUE""")," ")</f>
        <v> </v>
      </c>
      <c r="AP2194" s="2" t="str">
        <f>IFERROR(__xludf.DUMMYFUNCTION("""COMPUTED_VALUE"""),"")</f>
        <v/>
      </c>
      <c r="AQ2194" s="2"/>
      <c r="AR2194" s="2"/>
      <c r="AS2194" s="2"/>
      <c r="AT2194" s="2"/>
      <c r="AU2194" s="2"/>
      <c r="AV2194" s="2"/>
      <c r="AW2194" s="2"/>
      <c r="AX2194" s="2"/>
      <c r="AY2194" s="2"/>
      <c r="AZ2194" s="2"/>
      <c r="BA2194" s="2"/>
      <c r="BB2194" s="2"/>
    </row>
    <row r="2195">
      <c r="A2195" s="2"/>
      <c r="B2195" s="2" t="str">
        <f>IFERROR(__xludf.DUMMYFUNCTION("""COMPUTED_VALUE"""),"")</f>
        <v/>
      </c>
      <c r="C2195" s="2"/>
      <c r="D2195" s="71"/>
      <c r="E2195" s="71" t="str">
        <f>IFERROR(__xludf.DUMMYFUNCTION("""COMPUTED_VALUE""")," ")</f>
        <v> </v>
      </c>
      <c r="F2195" s="2"/>
      <c r="G2195" s="2"/>
      <c r="H2195" s="2"/>
      <c r="I2195" s="72"/>
      <c r="J2195" s="72"/>
      <c r="K2195" s="72"/>
      <c r="L2195" s="72"/>
      <c r="M2195" s="2"/>
      <c r="N2195" s="2"/>
      <c r="O2195" s="2"/>
      <c r="P2195" s="2"/>
      <c r="Q2195" s="2"/>
      <c r="R2195" s="2"/>
      <c r="S2195" s="2"/>
      <c r="T2195" s="2"/>
      <c r="U2195" s="2"/>
      <c r="V2195" s="2"/>
      <c r="W2195" s="2"/>
      <c r="X2195" s="2"/>
      <c r="Y2195" s="2"/>
      <c r="Z2195" s="2"/>
      <c r="AA2195" s="2"/>
      <c r="AB2195" s="2"/>
      <c r="AC2195" s="2"/>
      <c r="AD2195" s="2"/>
      <c r="AE2195" s="2"/>
      <c r="AF2195" s="2"/>
      <c r="AG2195" s="2"/>
      <c r="AH2195" s="2"/>
      <c r="AI2195" s="2"/>
      <c r="AJ2195" s="2" t="str">
        <f>IFERROR(__xludf.DUMMYFUNCTION("""COMPUTED_VALUE"""),"")</f>
        <v/>
      </c>
      <c r="AK2195" s="2" t="str">
        <f>IFERROR(__xludf.DUMMYFUNCTION("""COMPUTED_VALUE"""),"")</f>
        <v/>
      </c>
      <c r="AL2195" s="2" t="str">
        <f>IFERROR(__xludf.DUMMYFUNCTION("""COMPUTED_VALUE"""),"")</f>
        <v/>
      </c>
      <c r="AM2195" s="2" t="str">
        <f>IFERROR(__xludf.DUMMYFUNCTION("""COMPUTED_VALUE"""),"")</f>
        <v/>
      </c>
      <c r="AN2195" s="2" t="str">
        <f>IFERROR(__xludf.DUMMYFUNCTION("""COMPUTED_VALUE""")," ")</f>
        <v> </v>
      </c>
      <c r="AO2195" s="2" t="str">
        <f>IFERROR(__xludf.DUMMYFUNCTION("""COMPUTED_VALUE""")," ")</f>
        <v> </v>
      </c>
      <c r="AP2195" s="2" t="str">
        <f>IFERROR(__xludf.DUMMYFUNCTION("""COMPUTED_VALUE"""),"")</f>
        <v/>
      </c>
      <c r="AQ2195" s="2"/>
      <c r="AR2195" s="2"/>
      <c r="AS2195" s="2"/>
      <c r="AT2195" s="2"/>
      <c r="AU2195" s="2"/>
      <c r="AV2195" s="2"/>
      <c r="AW2195" s="2"/>
      <c r="AX2195" s="2"/>
      <c r="AY2195" s="2"/>
      <c r="AZ2195" s="2"/>
      <c r="BA2195" s="2"/>
      <c r="BB2195" s="2"/>
    </row>
    <row r="2196">
      <c r="A2196" s="2"/>
      <c r="B2196" s="2" t="str">
        <f>IFERROR(__xludf.DUMMYFUNCTION("""COMPUTED_VALUE"""),"")</f>
        <v/>
      </c>
      <c r="C2196" s="2"/>
      <c r="D2196" s="71"/>
      <c r="E2196" s="71" t="str">
        <f>IFERROR(__xludf.DUMMYFUNCTION("""COMPUTED_VALUE""")," ")</f>
        <v> </v>
      </c>
      <c r="F2196" s="2"/>
      <c r="G2196" s="2"/>
      <c r="H2196" s="2"/>
      <c r="I2196" s="72"/>
      <c r="J2196" s="72"/>
      <c r="K2196" s="72"/>
      <c r="L2196" s="72"/>
      <c r="M2196" s="2"/>
      <c r="N2196" s="2"/>
      <c r="O2196" s="2"/>
      <c r="P2196" s="2"/>
      <c r="Q2196" s="2"/>
      <c r="R2196" s="2"/>
      <c r="S2196" s="2"/>
      <c r="T2196" s="2"/>
      <c r="U2196" s="2"/>
      <c r="V2196" s="2"/>
      <c r="W2196" s="2"/>
      <c r="X2196" s="2"/>
      <c r="Y2196" s="2"/>
      <c r="Z2196" s="2"/>
      <c r="AA2196" s="2"/>
      <c r="AB2196" s="2"/>
      <c r="AC2196" s="2"/>
      <c r="AD2196" s="2"/>
      <c r="AE2196" s="2"/>
      <c r="AF2196" s="2"/>
      <c r="AG2196" s="2"/>
      <c r="AH2196" s="2"/>
      <c r="AI2196" s="2"/>
      <c r="AJ2196" s="2" t="str">
        <f>IFERROR(__xludf.DUMMYFUNCTION("""COMPUTED_VALUE"""),"")</f>
        <v/>
      </c>
      <c r="AK2196" s="2" t="str">
        <f>IFERROR(__xludf.DUMMYFUNCTION("""COMPUTED_VALUE"""),"")</f>
        <v/>
      </c>
      <c r="AL2196" s="2" t="str">
        <f>IFERROR(__xludf.DUMMYFUNCTION("""COMPUTED_VALUE"""),"")</f>
        <v/>
      </c>
      <c r="AM2196" s="2" t="str">
        <f>IFERROR(__xludf.DUMMYFUNCTION("""COMPUTED_VALUE"""),"")</f>
        <v/>
      </c>
      <c r="AN2196" s="2" t="str">
        <f>IFERROR(__xludf.DUMMYFUNCTION("""COMPUTED_VALUE""")," ")</f>
        <v> </v>
      </c>
      <c r="AO2196" s="2" t="str">
        <f>IFERROR(__xludf.DUMMYFUNCTION("""COMPUTED_VALUE""")," ")</f>
        <v> </v>
      </c>
      <c r="AP2196" s="2" t="str">
        <f>IFERROR(__xludf.DUMMYFUNCTION("""COMPUTED_VALUE"""),"")</f>
        <v/>
      </c>
      <c r="AQ2196" s="2"/>
      <c r="AR2196" s="2"/>
      <c r="AS2196" s="2"/>
      <c r="AT2196" s="2"/>
      <c r="AU2196" s="2"/>
      <c r="AV2196" s="2"/>
      <c r="AW2196" s="2"/>
      <c r="AX2196" s="2"/>
      <c r="AY2196" s="2"/>
      <c r="AZ2196" s="2"/>
      <c r="BA2196" s="2"/>
      <c r="BB2196" s="2"/>
    </row>
    <row r="2197">
      <c r="A2197" s="2"/>
      <c r="B2197" s="2" t="str">
        <f>IFERROR(__xludf.DUMMYFUNCTION("""COMPUTED_VALUE"""),"")</f>
        <v/>
      </c>
      <c r="C2197" s="2"/>
      <c r="D2197" s="71"/>
      <c r="E2197" s="71" t="str">
        <f>IFERROR(__xludf.DUMMYFUNCTION("""COMPUTED_VALUE""")," ")</f>
        <v> </v>
      </c>
      <c r="F2197" s="2"/>
      <c r="G2197" s="2"/>
      <c r="H2197" s="2"/>
      <c r="I2197" s="72"/>
      <c r="J2197" s="72"/>
      <c r="K2197" s="72"/>
      <c r="L2197" s="72"/>
      <c r="M2197" s="2"/>
      <c r="N2197" s="2"/>
      <c r="O2197" s="2"/>
      <c r="P2197" s="2"/>
      <c r="Q2197" s="2"/>
      <c r="R2197" s="2"/>
      <c r="S2197" s="2"/>
      <c r="T2197" s="2"/>
      <c r="U2197" s="2"/>
      <c r="V2197" s="2"/>
      <c r="W2197" s="2"/>
      <c r="X2197" s="2"/>
      <c r="Y2197" s="2"/>
      <c r="Z2197" s="2"/>
      <c r="AA2197" s="2"/>
      <c r="AB2197" s="2"/>
      <c r="AC2197" s="2"/>
      <c r="AD2197" s="2"/>
      <c r="AE2197" s="2"/>
      <c r="AF2197" s="2"/>
      <c r="AG2197" s="2"/>
      <c r="AH2197" s="2"/>
      <c r="AI2197" s="2"/>
      <c r="AJ2197" s="2" t="str">
        <f>IFERROR(__xludf.DUMMYFUNCTION("""COMPUTED_VALUE"""),"")</f>
        <v/>
      </c>
      <c r="AK2197" s="2" t="str">
        <f>IFERROR(__xludf.DUMMYFUNCTION("""COMPUTED_VALUE"""),"")</f>
        <v/>
      </c>
      <c r="AL2197" s="2" t="str">
        <f>IFERROR(__xludf.DUMMYFUNCTION("""COMPUTED_VALUE"""),"")</f>
        <v/>
      </c>
      <c r="AM2197" s="2" t="str">
        <f>IFERROR(__xludf.DUMMYFUNCTION("""COMPUTED_VALUE"""),"")</f>
        <v/>
      </c>
      <c r="AN2197" s="2" t="str">
        <f>IFERROR(__xludf.DUMMYFUNCTION("""COMPUTED_VALUE""")," ")</f>
        <v> </v>
      </c>
      <c r="AO2197" s="2" t="str">
        <f>IFERROR(__xludf.DUMMYFUNCTION("""COMPUTED_VALUE""")," ")</f>
        <v> </v>
      </c>
      <c r="AP2197" s="2" t="str">
        <f>IFERROR(__xludf.DUMMYFUNCTION("""COMPUTED_VALUE"""),"")</f>
        <v/>
      </c>
      <c r="AQ2197" s="2"/>
      <c r="AR2197" s="2"/>
      <c r="AS2197" s="2"/>
      <c r="AT2197" s="2"/>
      <c r="AU2197" s="2"/>
      <c r="AV2197" s="2"/>
      <c r="AW2197" s="2"/>
      <c r="AX2197" s="2"/>
      <c r="AY2197" s="2"/>
      <c r="AZ2197" s="2"/>
      <c r="BA2197" s="2"/>
      <c r="BB2197" s="2"/>
    </row>
    <row r="2198">
      <c r="A2198" s="2"/>
      <c r="B2198" s="2" t="str">
        <f>IFERROR(__xludf.DUMMYFUNCTION("""COMPUTED_VALUE"""),"")</f>
        <v/>
      </c>
      <c r="C2198" s="2"/>
      <c r="D2198" s="71"/>
      <c r="E2198" s="71" t="str">
        <f>IFERROR(__xludf.DUMMYFUNCTION("""COMPUTED_VALUE""")," ")</f>
        <v> </v>
      </c>
      <c r="F2198" s="2"/>
      <c r="G2198" s="2"/>
      <c r="H2198" s="2"/>
      <c r="I2198" s="72"/>
      <c r="J2198" s="72"/>
      <c r="K2198" s="72"/>
      <c r="L2198" s="72"/>
      <c r="M2198" s="2"/>
      <c r="N2198" s="2"/>
      <c r="O2198" s="2"/>
      <c r="P2198" s="2"/>
      <c r="Q2198" s="2"/>
      <c r="R2198" s="2"/>
      <c r="S2198" s="2"/>
      <c r="T2198" s="2"/>
      <c r="U2198" s="2"/>
      <c r="V2198" s="2"/>
      <c r="W2198" s="2"/>
      <c r="X2198" s="2"/>
      <c r="Y2198" s="2"/>
      <c r="Z2198" s="2"/>
      <c r="AA2198" s="2"/>
      <c r="AB2198" s="2"/>
      <c r="AC2198" s="2"/>
      <c r="AD2198" s="2"/>
      <c r="AE2198" s="2"/>
      <c r="AF2198" s="2"/>
      <c r="AG2198" s="2"/>
      <c r="AH2198" s="2"/>
      <c r="AI2198" s="2"/>
      <c r="AJ2198" s="2" t="str">
        <f>IFERROR(__xludf.DUMMYFUNCTION("""COMPUTED_VALUE"""),"")</f>
        <v/>
      </c>
      <c r="AK2198" s="2" t="str">
        <f>IFERROR(__xludf.DUMMYFUNCTION("""COMPUTED_VALUE"""),"")</f>
        <v/>
      </c>
      <c r="AL2198" s="2" t="str">
        <f>IFERROR(__xludf.DUMMYFUNCTION("""COMPUTED_VALUE"""),"")</f>
        <v/>
      </c>
      <c r="AM2198" s="2" t="str">
        <f>IFERROR(__xludf.DUMMYFUNCTION("""COMPUTED_VALUE"""),"")</f>
        <v/>
      </c>
      <c r="AN2198" s="2" t="str">
        <f>IFERROR(__xludf.DUMMYFUNCTION("""COMPUTED_VALUE""")," ")</f>
        <v> </v>
      </c>
      <c r="AO2198" s="2" t="str">
        <f>IFERROR(__xludf.DUMMYFUNCTION("""COMPUTED_VALUE""")," ")</f>
        <v> </v>
      </c>
      <c r="AP2198" s="2" t="str">
        <f>IFERROR(__xludf.DUMMYFUNCTION("""COMPUTED_VALUE"""),"")</f>
        <v/>
      </c>
      <c r="AQ2198" s="2"/>
      <c r="AR2198" s="2"/>
      <c r="AS2198" s="2"/>
      <c r="AT2198" s="2"/>
      <c r="AU2198" s="2"/>
      <c r="AV2198" s="2"/>
      <c r="AW2198" s="2"/>
      <c r="AX2198" s="2"/>
      <c r="AY2198" s="2"/>
      <c r="AZ2198" s="2"/>
      <c r="BA2198" s="2"/>
      <c r="BB2198" s="2"/>
    </row>
    <row r="2199">
      <c r="A2199" s="2"/>
      <c r="B2199" s="2" t="str">
        <f>IFERROR(__xludf.DUMMYFUNCTION("""COMPUTED_VALUE"""),"")</f>
        <v/>
      </c>
      <c r="C2199" s="2"/>
      <c r="D2199" s="71"/>
      <c r="E2199" s="71" t="str">
        <f>IFERROR(__xludf.DUMMYFUNCTION("""COMPUTED_VALUE""")," ")</f>
        <v> </v>
      </c>
      <c r="F2199" s="2"/>
      <c r="G2199" s="2"/>
      <c r="H2199" s="2"/>
      <c r="I2199" s="72"/>
      <c r="J2199" s="72"/>
      <c r="K2199" s="72"/>
      <c r="L2199" s="72"/>
      <c r="M2199" s="2"/>
      <c r="N2199" s="2"/>
      <c r="O2199" s="2"/>
      <c r="P2199" s="2"/>
      <c r="Q2199" s="2"/>
      <c r="R2199" s="2"/>
      <c r="S2199" s="2"/>
      <c r="T2199" s="2"/>
      <c r="U2199" s="2"/>
      <c r="V2199" s="2"/>
      <c r="W2199" s="2"/>
      <c r="X2199" s="2"/>
      <c r="Y2199" s="2"/>
      <c r="Z2199" s="2"/>
      <c r="AA2199" s="2"/>
      <c r="AB2199" s="2"/>
      <c r="AC2199" s="2"/>
      <c r="AD2199" s="2"/>
      <c r="AE2199" s="2"/>
      <c r="AF2199" s="2"/>
      <c r="AG2199" s="2"/>
      <c r="AH2199" s="2"/>
      <c r="AI2199" s="2"/>
      <c r="AJ2199" s="2" t="str">
        <f>IFERROR(__xludf.DUMMYFUNCTION("""COMPUTED_VALUE"""),"")</f>
        <v/>
      </c>
      <c r="AK2199" s="2" t="str">
        <f>IFERROR(__xludf.DUMMYFUNCTION("""COMPUTED_VALUE"""),"")</f>
        <v/>
      </c>
      <c r="AL2199" s="2" t="str">
        <f>IFERROR(__xludf.DUMMYFUNCTION("""COMPUTED_VALUE"""),"")</f>
        <v/>
      </c>
      <c r="AM2199" s="2" t="str">
        <f>IFERROR(__xludf.DUMMYFUNCTION("""COMPUTED_VALUE"""),"")</f>
        <v/>
      </c>
      <c r="AN2199" s="2" t="str">
        <f>IFERROR(__xludf.DUMMYFUNCTION("""COMPUTED_VALUE""")," ")</f>
        <v> </v>
      </c>
      <c r="AO2199" s="2" t="str">
        <f>IFERROR(__xludf.DUMMYFUNCTION("""COMPUTED_VALUE""")," ")</f>
        <v> </v>
      </c>
      <c r="AP2199" s="2" t="str">
        <f>IFERROR(__xludf.DUMMYFUNCTION("""COMPUTED_VALUE"""),"")</f>
        <v/>
      </c>
      <c r="AQ2199" s="2"/>
      <c r="AR2199" s="2"/>
      <c r="AS2199" s="2"/>
      <c r="AT2199" s="2"/>
      <c r="AU2199" s="2"/>
      <c r="AV2199" s="2"/>
      <c r="AW2199" s="2"/>
      <c r="AX2199" s="2"/>
      <c r="AY2199" s="2"/>
      <c r="AZ2199" s="2"/>
      <c r="BA2199" s="2"/>
      <c r="BB2199" s="2"/>
    </row>
    <row r="2200">
      <c r="A2200" s="2"/>
      <c r="B2200" s="2" t="str">
        <f>IFERROR(__xludf.DUMMYFUNCTION("""COMPUTED_VALUE"""),"")</f>
        <v/>
      </c>
      <c r="C2200" s="2"/>
      <c r="D2200" s="71"/>
      <c r="E2200" s="71" t="str">
        <f>IFERROR(__xludf.DUMMYFUNCTION("""COMPUTED_VALUE""")," ")</f>
        <v> </v>
      </c>
      <c r="F2200" s="2"/>
      <c r="G2200" s="2"/>
      <c r="H2200" s="2"/>
      <c r="I2200" s="72"/>
      <c r="J2200" s="72"/>
      <c r="K2200" s="72"/>
      <c r="L2200" s="72"/>
      <c r="M2200" s="2"/>
      <c r="N2200" s="2"/>
      <c r="O2200" s="2"/>
      <c r="P2200" s="2"/>
      <c r="Q2200" s="2"/>
      <c r="R2200" s="2"/>
      <c r="S2200" s="2"/>
      <c r="T2200" s="2"/>
      <c r="U2200" s="2"/>
      <c r="V2200" s="2"/>
      <c r="W2200" s="2"/>
      <c r="X2200" s="2"/>
      <c r="Y2200" s="2"/>
      <c r="Z2200" s="2"/>
      <c r="AA2200" s="2"/>
      <c r="AB2200" s="2"/>
      <c r="AC2200" s="2"/>
      <c r="AD2200" s="2"/>
      <c r="AE2200" s="2"/>
      <c r="AF2200" s="2"/>
      <c r="AG2200" s="2"/>
      <c r="AH2200" s="2"/>
      <c r="AI2200" s="2"/>
      <c r="AJ2200" s="2" t="str">
        <f>IFERROR(__xludf.DUMMYFUNCTION("""COMPUTED_VALUE"""),"")</f>
        <v/>
      </c>
      <c r="AK2200" s="2" t="str">
        <f>IFERROR(__xludf.DUMMYFUNCTION("""COMPUTED_VALUE"""),"")</f>
        <v/>
      </c>
      <c r="AL2200" s="2" t="str">
        <f>IFERROR(__xludf.DUMMYFUNCTION("""COMPUTED_VALUE"""),"")</f>
        <v/>
      </c>
      <c r="AM2200" s="2" t="str">
        <f>IFERROR(__xludf.DUMMYFUNCTION("""COMPUTED_VALUE"""),"")</f>
        <v/>
      </c>
      <c r="AN2200" s="2" t="str">
        <f>IFERROR(__xludf.DUMMYFUNCTION("""COMPUTED_VALUE""")," ")</f>
        <v> </v>
      </c>
      <c r="AO2200" s="2" t="str">
        <f>IFERROR(__xludf.DUMMYFUNCTION("""COMPUTED_VALUE""")," ")</f>
        <v> </v>
      </c>
      <c r="AP2200" s="2" t="str">
        <f>IFERROR(__xludf.DUMMYFUNCTION("""COMPUTED_VALUE"""),"")</f>
        <v/>
      </c>
      <c r="AQ2200" s="2"/>
      <c r="AR2200" s="2"/>
      <c r="AS2200" s="2"/>
      <c r="AT2200" s="2"/>
      <c r="AU2200" s="2"/>
      <c r="AV2200" s="2"/>
      <c r="AW2200" s="2"/>
      <c r="AX2200" s="2"/>
      <c r="AY2200" s="2"/>
      <c r="AZ2200" s="2"/>
      <c r="BA2200" s="2"/>
      <c r="BB2200" s="2"/>
    </row>
    <row r="2201">
      <c r="A2201" s="2"/>
      <c r="B2201" s="2" t="str">
        <f>IFERROR(__xludf.DUMMYFUNCTION("""COMPUTED_VALUE"""),"")</f>
        <v/>
      </c>
      <c r="C2201" s="2"/>
      <c r="D2201" s="71"/>
      <c r="E2201" s="71" t="str">
        <f>IFERROR(__xludf.DUMMYFUNCTION("""COMPUTED_VALUE""")," ")</f>
        <v> </v>
      </c>
      <c r="F2201" s="2"/>
      <c r="G2201" s="2"/>
      <c r="H2201" s="2"/>
      <c r="I2201" s="72"/>
      <c r="J2201" s="72"/>
      <c r="K2201" s="72"/>
      <c r="L2201" s="72"/>
      <c r="M2201" s="2"/>
      <c r="N2201" s="2"/>
      <c r="O2201" s="2"/>
      <c r="P2201" s="2"/>
      <c r="Q2201" s="2"/>
      <c r="R2201" s="2"/>
      <c r="S2201" s="2"/>
      <c r="T2201" s="2"/>
      <c r="U2201" s="2"/>
      <c r="V2201" s="2"/>
      <c r="W2201" s="2"/>
      <c r="X2201" s="2"/>
      <c r="Y2201" s="2"/>
      <c r="Z2201" s="2"/>
      <c r="AA2201" s="2"/>
      <c r="AB2201" s="2"/>
      <c r="AC2201" s="2"/>
      <c r="AD2201" s="2"/>
      <c r="AE2201" s="2"/>
      <c r="AF2201" s="2"/>
      <c r="AG2201" s="2"/>
      <c r="AH2201" s="2"/>
      <c r="AI2201" s="2"/>
      <c r="AJ2201" s="2" t="str">
        <f>IFERROR(__xludf.DUMMYFUNCTION("""COMPUTED_VALUE"""),"")</f>
        <v/>
      </c>
      <c r="AK2201" s="2" t="str">
        <f>IFERROR(__xludf.DUMMYFUNCTION("""COMPUTED_VALUE"""),"")</f>
        <v/>
      </c>
      <c r="AL2201" s="2" t="str">
        <f>IFERROR(__xludf.DUMMYFUNCTION("""COMPUTED_VALUE"""),"")</f>
        <v/>
      </c>
      <c r="AM2201" s="2" t="str">
        <f>IFERROR(__xludf.DUMMYFUNCTION("""COMPUTED_VALUE"""),"")</f>
        <v/>
      </c>
      <c r="AN2201" s="2" t="str">
        <f>IFERROR(__xludf.DUMMYFUNCTION("""COMPUTED_VALUE""")," ")</f>
        <v> </v>
      </c>
      <c r="AO2201" s="2" t="str">
        <f>IFERROR(__xludf.DUMMYFUNCTION("""COMPUTED_VALUE""")," ")</f>
        <v> </v>
      </c>
      <c r="AP2201" s="2" t="str">
        <f>IFERROR(__xludf.DUMMYFUNCTION("""COMPUTED_VALUE"""),"")</f>
        <v/>
      </c>
      <c r="AQ2201" s="2"/>
      <c r="AR2201" s="2"/>
      <c r="AS2201" s="2"/>
      <c r="AT2201" s="2"/>
      <c r="AU2201" s="2"/>
      <c r="AV2201" s="2"/>
      <c r="AW2201" s="2"/>
      <c r="AX2201" s="2"/>
      <c r="AY2201" s="2"/>
      <c r="AZ2201" s="2"/>
      <c r="BA2201" s="2"/>
      <c r="BB2201" s="2"/>
    </row>
    <row r="2202">
      <c r="A2202" s="2"/>
      <c r="B2202" s="2" t="str">
        <f>IFERROR(__xludf.DUMMYFUNCTION("""COMPUTED_VALUE"""),"")</f>
        <v/>
      </c>
      <c r="C2202" s="2"/>
      <c r="D2202" s="71"/>
      <c r="E2202" s="71" t="str">
        <f>IFERROR(__xludf.DUMMYFUNCTION("""COMPUTED_VALUE""")," ")</f>
        <v> </v>
      </c>
      <c r="F2202" s="2"/>
      <c r="G2202" s="2"/>
      <c r="H2202" s="2"/>
      <c r="I2202" s="72"/>
      <c r="J2202" s="72"/>
      <c r="K2202" s="72"/>
      <c r="L2202" s="72"/>
      <c r="M2202" s="2"/>
      <c r="N2202" s="2"/>
      <c r="O2202" s="2"/>
      <c r="P2202" s="2"/>
      <c r="Q2202" s="2"/>
      <c r="R2202" s="2"/>
      <c r="S2202" s="2"/>
      <c r="T2202" s="2"/>
      <c r="U2202" s="2"/>
      <c r="V2202" s="2"/>
      <c r="W2202" s="2"/>
      <c r="X2202" s="2"/>
      <c r="Y2202" s="2"/>
      <c r="Z2202" s="2"/>
      <c r="AA2202" s="2"/>
      <c r="AB2202" s="2"/>
      <c r="AC2202" s="2"/>
      <c r="AD2202" s="2"/>
      <c r="AE2202" s="2"/>
      <c r="AF2202" s="2"/>
      <c r="AG2202" s="2"/>
      <c r="AH2202" s="2"/>
      <c r="AI2202" s="2"/>
      <c r="AJ2202" s="2" t="str">
        <f>IFERROR(__xludf.DUMMYFUNCTION("""COMPUTED_VALUE"""),"")</f>
        <v/>
      </c>
      <c r="AK2202" s="2" t="str">
        <f>IFERROR(__xludf.DUMMYFUNCTION("""COMPUTED_VALUE"""),"")</f>
        <v/>
      </c>
      <c r="AL2202" s="2" t="str">
        <f>IFERROR(__xludf.DUMMYFUNCTION("""COMPUTED_VALUE"""),"")</f>
        <v/>
      </c>
      <c r="AM2202" s="2" t="str">
        <f>IFERROR(__xludf.DUMMYFUNCTION("""COMPUTED_VALUE"""),"")</f>
        <v/>
      </c>
      <c r="AN2202" s="2" t="str">
        <f>IFERROR(__xludf.DUMMYFUNCTION("""COMPUTED_VALUE""")," ")</f>
        <v> </v>
      </c>
      <c r="AO2202" s="2" t="str">
        <f>IFERROR(__xludf.DUMMYFUNCTION("""COMPUTED_VALUE""")," ")</f>
        <v> </v>
      </c>
      <c r="AP2202" s="2" t="str">
        <f>IFERROR(__xludf.DUMMYFUNCTION("""COMPUTED_VALUE"""),"")</f>
        <v/>
      </c>
      <c r="AQ2202" s="2"/>
      <c r="AR2202" s="2"/>
      <c r="AS2202" s="2"/>
      <c r="AT2202" s="2"/>
      <c r="AU2202" s="2"/>
      <c r="AV2202" s="2"/>
      <c r="AW2202" s="2"/>
      <c r="AX2202" s="2"/>
      <c r="AY2202" s="2"/>
      <c r="AZ2202" s="2"/>
      <c r="BA2202" s="2"/>
      <c r="BB2202" s="2"/>
    </row>
    <row r="2203">
      <c r="A2203" s="2"/>
      <c r="B2203" s="2" t="str">
        <f>IFERROR(__xludf.DUMMYFUNCTION("""COMPUTED_VALUE"""),"")</f>
        <v/>
      </c>
      <c r="C2203" s="2"/>
      <c r="D2203" s="71"/>
      <c r="E2203" s="71" t="str">
        <f>IFERROR(__xludf.DUMMYFUNCTION("""COMPUTED_VALUE""")," ")</f>
        <v> </v>
      </c>
      <c r="F2203" s="2"/>
      <c r="G2203" s="2"/>
      <c r="H2203" s="2"/>
      <c r="I2203" s="72"/>
      <c r="J2203" s="72"/>
      <c r="K2203" s="72"/>
      <c r="L2203" s="72"/>
      <c r="M2203" s="2"/>
      <c r="N2203" s="2"/>
      <c r="O2203" s="2"/>
      <c r="P2203" s="2"/>
      <c r="Q2203" s="2"/>
      <c r="R2203" s="2"/>
      <c r="S2203" s="2"/>
      <c r="T2203" s="2"/>
      <c r="U2203" s="2"/>
      <c r="V2203" s="2"/>
      <c r="W2203" s="2"/>
      <c r="X2203" s="2"/>
      <c r="Y2203" s="2"/>
      <c r="Z2203" s="2"/>
      <c r="AA2203" s="2"/>
      <c r="AB2203" s="2"/>
      <c r="AC2203" s="2"/>
      <c r="AD2203" s="2"/>
      <c r="AE2203" s="2"/>
      <c r="AF2203" s="2"/>
      <c r="AG2203" s="2"/>
      <c r="AH2203" s="2"/>
      <c r="AI2203" s="2"/>
      <c r="AJ2203" s="2" t="str">
        <f>IFERROR(__xludf.DUMMYFUNCTION("""COMPUTED_VALUE"""),"")</f>
        <v/>
      </c>
      <c r="AK2203" s="2" t="str">
        <f>IFERROR(__xludf.DUMMYFUNCTION("""COMPUTED_VALUE"""),"")</f>
        <v/>
      </c>
      <c r="AL2203" s="2" t="str">
        <f>IFERROR(__xludf.DUMMYFUNCTION("""COMPUTED_VALUE"""),"")</f>
        <v/>
      </c>
      <c r="AM2203" s="2" t="str">
        <f>IFERROR(__xludf.DUMMYFUNCTION("""COMPUTED_VALUE"""),"")</f>
        <v/>
      </c>
      <c r="AN2203" s="2" t="str">
        <f>IFERROR(__xludf.DUMMYFUNCTION("""COMPUTED_VALUE""")," ")</f>
        <v> </v>
      </c>
      <c r="AO2203" s="2" t="str">
        <f>IFERROR(__xludf.DUMMYFUNCTION("""COMPUTED_VALUE""")," ")</f>
        <v> </v>
      </c>
      <c r="AP2203" s="2" t="str">
        <f>IFERROR(__xludf.DUMMYFUNCTION("""COMPUTED_VALUE"""),"")</f>
        <v/>
      </c>
      <c r="AQ2203" s="2"/>
      <c r="AR2203" s="2"/>
      <c r="AS2203" s="2"/>
      <c r="AT2203" s="2"/>
      <c r="AU2203" s="2"/>
      <c r="AV2203" s="2"/>
      <c r="AW2203" s="2"/>
      <c r="AX2203" s="2"/>
      <c r="AY2203" s="2"/>
      <c r="AZ2203" s="2"/>
      <c r="BA2203" s="2"/>
      <c r="BB2203" s="2"/>
    </row>
    <row r="2204">
      <c r="A2204" s="2"/>
      <c r="B2204" s="2" t="str">
        <f>IFERROR(__xludf.DUMMYFUNCTION("""COMPUTED_VALUE"""),"")</f>
        <v/>
      </c>
      <c r="C2204" s="2"/>
      <c r="D2204" s="71"/>
      <c r="E2204" s="71" t="str">
        <f>IFERROR(__xludf.DUMMYFUNCTION("""COMPUTED_VALUE""")," ")</f>
        <v> </v>
      </c>
      <c r="F2204" s="2"/>
      <c r="G2204" s="2"/>
      <c r="H2204" s="2"/>
      <c r="I2204" s="72"/>
      <c r="J2204" s="72"/>
      <c r="K2204" s="72"/>
      <c r="L2204" s="72"/>
      <c r="M2204" s="2"/>
      <c r="N2204" s="2"/>
      <c r="O2204" s="2"/>
      <c r="P2204" s="2"/>
      <c r="Q2204" s="2"/>
      <c r="R2204" s="2"/>
      <c r="S2204" s="2"/>
      <c r="T2204" s="2"/>
      <c r="U2204" s="2"/>
      <c r="V2204" s="2"/>
      <c r="W2204" s="2"/>
      <c r="X2204" s="2"/>
      <c r="Y2204" s="2"/>
      <c r="Z2204" s="2"/>
      <c r="AA2204" s="2"/>
      <c r="AB2204" s="2"/>
      <c r="AC2204" s="2"/>
      <c r="AD2204" s="2"/>
      <c r="AE2204" s="2"/>
      <c r="AF2204" s="2"/>
      <c r="AG2204" s="2"/>
      <c r="AH2204" s="2"/>
      <c r="AI2204" s="2"/>
      <c r="AJ2204" s="2" t="str">
        <f>IFERROR(__xludf.DUMMYFUNCTION("""COMPUTED_VALUE"""),"")</f>
        <v/>
      </c>
      <c r="AK2204" s="2" t="str">
        <f>IFERROR(__xludf.DUMMYFUNCTION("""COMPUTED_VALUE"""),"")</f>
        <v/>
      </c>
      <c r="AL2204" s="2" t="str">
        <f>IFERROR(__xludf.DUMMYFUNCTION("""COMPUTED_VALUE"""),"")</f>
        <v/>
      </c>
      <c r="AM2204" s="2" t="str">
        <f>IFERROR(__xludf.DUMMYFUNCTION("""COMPUTED_VALUE"""),"")</f>
        <v/>
      </c>
      <c r="AN2204" s="2" t="str">
        <f>IFERROR(__xludf.DUMMYFUNCTION("""COMPUTED_VALUE""")," ")</f>
        <v> </v>
      </c>
      <c r="AO2204" s="2" t="str">
        <f>IFERROR(__xludf.DUMMYFUNCTION("""COMPUTED_VALUE""")," ")</f>
        <v> </v>
      </c>
      <c r="AP2204" s="2" t="str">
        <f>IFERROR(__xludf.DUMMYFUNCTION("""COMPUTED_VALUE"""),"")</f>
        <v/>
      </c>
      <c r="AQ2204" s="2"/>
      <c r="AR2204" s="2"/>
      <c r="AS2204" s="2"/>
      <c r="AT2204" s="2"/>
      <c r="AU2204" s="2"/>
      <c r="AV2204" s="2"/>
      <c r="AW2204" s="2"/>
      <c r="AX2204" s="2"/>
      <c r="AY2204" s="2"/>
      <c r="AZ2204" s="2"/>
      <c r="BA2204" s="2"/>
      <c r="BB2204" s="2"/>
    </row>
    <row r="2205">
      <c r="A2205" s="2"/>
      <c r="B2205" s="2" t="str">
        <f>IFERROR(__xludf.DUMMYFUNCTION("""COMPUTED_VALUE"""),"")</f>
        <v/>
      </c>
      <c r="C2205" s="2"/>
      <c r="D2205" s="71"/>
      <c r="E2205" s="71" t="str">
        <f>IFERROR(__xludf.DUMMYFUNCTION("""COMPUTED_VALUE""")," ")</f>
        <v> </v>
      </c>
      <c r="F2205" s="2"/>
      <c r="G2205" s="2"/>
      <c r="H2205" s="2"/>
      <c r="I2205" s="72"/>
      <c r="J2205" s="72"/>
      <c r="K2205" s="72"/>
      <c r="L2205" s="72"/>
      <c r="M2205" s="2"/>
      <c r="N2205" s="2"/>
      <c r="O2205" s="2"/>
      <c r="P2205" s="2"/>
      <c r="Q2205" s="2"/>
      <c r="R2205" s="2"/>
      <c r="S2205" s="2"/>
      <c r="T2205" s="2"/>
      <c r="U2205" s="2"/>
      <c r="V2205" s="2"/>
      <c r="W2205" s="2"/>
      <c r="X2205" s="2"/>
      <c r="Y2205" s="2"/>
      <c r="Z2205" s="2"/>
      <c r="AA2205" s="2"/>
      <c r="AB2205" s="2"/>
      <c r="AC2205" s="2"/>
      <c r="AD2205" s="2"/>
      <c r="AE2205" s="2"/>
      <c r="AF2205" s="2"/>
      <c r="AG2205" s="2"/>
      <c r="AH2205" s="2"/>
      <c r="AI2205" s="2"/>
      <c r="AJ2205" s="2" t="str">
        <f>IFERROR(__xludf.DUMMYFUNCTION("""COMPUTED_VALUE"""),"")</f>
        <v/>
      </c>
      <c r="AK2205" s="2" t="str">
        <f>IFERROR(__xludf.DUMMYFUNCTION("""COMPUTED_VALUE"""),"")</f>
        <v/>
      </c>
      <c r="AL2205" s="2" t="str">
        <f>IFERROR(__xludf.DUMMYFUNCTION("""COMPUTED_VALUE"""),"")</f>
        <v/>
      </c>
      <c r="AM2205" s="2" t="str">
        <f>IFERROR(__xludf.DUMMYFUNCTION("""COMPUTED_VALUE"""),"")</f>
        <v/>
      </c>
      <c r="AN2205" s="2" t="str">
        <f>IFERROR(__xludf.DUMMYFUNCTION("""COMPUTED_VALUE""")," ")</f>
        <v> </v>
      </c>
      <c r="AO2205" s="2" t="str">
        <f>IFERROR(__xludf.DUMMYFUNCTION("""COMPUTED_VALUE""")," ")</f>
        <v> </v>
      </c>
      <c r="AP2205" s="2" t="str">
        <f>IFERROR(__xludf.DUMMYFUNCTION("""COMPUTED_VALUE"""),"")</f>
        <v/>
      </c>
      <c r="AQ2205" s="2"/>
      <c r="AR2205" s="2"/>
      <c r="AS2205" s="2"/>
      <c r="AT2205" s="2"/>
      <c r="AU2205" s="2"/>
      <c r="AV2205" s="2"/>
      <c r="AW2205" s="2"/>
      <c r="AX2205" s="2"/>
      <c r="AY2205" s="2"/>
      <c r="AZ2205" s="2"/>
      <c r="BA2205" s="2"/>
      <c r="BB2205" s="2"/>
    </row>
    <row r="2206">
      <c r="A2206" s="2"/>
      <c r="B2206" s="2" t="str">
        <f>IFERROR(__xludf.DUMMYFUNCTION("""COMPUTED_VALUE"""),"")</f>
        <v/>
      </c>
      <c r="C2206" s="2"/>
      <c r="D2206" s="71"/>
      <c r="E2206" s="71" t="str">
        <f>IFERROR(__xludf.DUMMYFUNCTION("""COMPUTED_VALUE""")," ")</f>
        <v> </v>
      </c>
      <c r="F2206" s="2"/>
      <c r="G2206" s="2"/>
      <c r="H2206" s="2"/>
      <c r="I2206" s="72"/>
      <c r="J2206" s="72"/>
      <c r="K2206" s="72"/>
      <c r="L2206" s="72"/>
      <c r="M2206" s="2"/>
      <c r="N2206" s="2"/>
      <c r="O2206" s="2"/>
      <c r="P2206" s="2"/>
      <c r="Q2206" s="2"/>
      <c r="R2206" s="2"/>
      <c r="S2206" s="2"/>
      <c r="T2206" s="2"/>
      <c r="U2206" s="2"/>
      <c r="V2206" s="2"/>
      <c r="W2206" s="2"/>
      <c r="X2206" s="2"/>
      <c r="Y2206" s="2"/>
      <c r="Z2206" s="2"/>
      <c r="AA2206" s="2"/>
      <c r="AB2206" s="2"/>
      <c r="AC2206" s="2"/>
      <c r="AD2206" s="2"/>
      <c r="AE2206" s="2"/>
      <c r="AF2206" s="2"/>
      <c r="AG2206" s="2"/>
      <c r="AH2206" s="2"/>
      <c r="AI2206" s="2"/>
      <c r="AJ2206" s="2" t="str">
        <f>IFERROR(__xludf.DUMMYFUNCTION("""COMPUTED_VALUE"""),"")</f>
        <v/>
      </c>
      <c r="AK2206" s="2" t="str">
        <f>IFERROR(__xludf.DUMMYFUNCTION("""COMPUTED_VALUE"""),"")</f>
        <v/>
      </c>
      <c r="AL2206" s="2" t="str">
        <f>IFERROR(__xludf.DUMMYFUNCTION("""COMPUTED_VALUE"""),"")</f>
        <v/>
      </c>
      <c r="AM2206" s="2" t="str">
        <f>IFERROR(__xludf.DUMMYFUNCTION("""COMPUTED_VALUE"""),"")</f>
        <v/>
      </c>
      <c r="AN2206" s="2" t="str">
        <f>IFERROR(__xludf.DUMMYFUNCTION("""COMPUTED_VALUE""")," ")</f>
        <v> </v>
      </c>
      <c r="AO2206" s="2" t="str">
        <f>IFERROR(__xludf.DUMMYFUNCTION("""COMPUTED_VALUE""")," ")</f>
        <v> </v>
      </c>
      <c r="AP2206" s="2" t="str">
        <f>IFERROR(__xludf.DUMMYFUNCTION("""COMPUTED_VALUE"""),"")</f>
        <v/>
      </c>
      <c r="AQ2206" s="2"/>
      <c r="AR2206" s="2"/>
      <c r="AS2206" s="2"/>
      <c r="AT2206" s="2"/>
      <c r="AU2206" s="2"/>
      <c r="AV2206" s="2"/>
      <c r="AW2206" s="2"/>
      <c r="AX2206" s="2"/>
      <c r="AY2206" s="2"/>
      <c r="AZ2206" s="2"/>
      <c r="BA2206" s="2"/>
      <c r="BB2206" s="2"/>
    </row>
    <row r="2207">
      <c r="A2207" s="2"/>
      <c r="B2207" s="2" t="str">
        <f>IFERROR(__xludf.DUMMYFUNCTION("""COMPUTED_VALUE"""),"")</f>
        <v/>
      </c>
      <c r="C2207" s="2"/>
      <c r="D2207" s="71"/>
      <c r="E2207" s="71" t="str">
        <f>IFERROR(__xludf.DUMMYFUNCTION("""COMPUTED_VALUE""")," ")</f>
        <v> </v>
      </c>
      <c r="F2207" s="2"/>
      <c r="G2207" s="2"/>
      <c r="H2207" s="2"/>
      <c r="I2207" s="72"/>
      <c r="J2207" s="72"/>
      <c r="K2207" s="72"/>
      <c r="L2207" s="72"/>
      <c r="M2207" s="2"/>
      <c r="N2207" s="2"/>
      <c r="O2207" s="2"/>
      <c r="P2207" s="2"/>
      <c r="Q2207" s="2"/>
      <c r="R2207" s="2"/>
      <c r="S2207" s="2"/>
      <c r="T2207" s="2"/>
      <c r="U2207" s="2"/>
      <c r="V2207" s="2"/>
      <c r="W2207" s="2"/>
      <c r="X2207" s="2"/>
      <c r="Y2207" s="2"/>
      <c r="Z2207" s="2"/>
      <c r="AA2207" s="2"/>
      <c r="AB2207" s="2"/>
      <c r="AC2207" s="2"/>
      <c r="AD2207" s="2"/>
      <c r="AE2207" s="2"/>
      <c r="AF2207" s="2"/>
      <c r="AG2207" s="2"/>
      <c r="AH2207" s="2"/>
      <c r="AI2207" s="2"/>
      <c r="AJ2207" s="2" t="str">
        <f>IFERROR(__xludf.DUMMYFUNCTION("""COMPUTED_VALUE"""),"")</f>
        <v/>
      </c>
      <c r="AK2207" s="2" t="str">
        <f>IFERROR(__xludf.DUMMYFUNCTION("""COMPUTED_VALUE"""),"")</f>
        <v/>
      </c>
      <c r="AL2207" s="2" t="str">
        <f>IFERROR(__xludf.DUMMYFUNCTION("""COMPUTED_VALUE"""),"")</f>
        <v/>
      </c>
      <c r="AM2207" s="2" t="str">
        <f>IFERROR(__xludf.DUMMYFUNCTION("""COMPUTED_VALUE"""),"")</f>
        <v/>
      </c>
      <c r="AN2207" s="2" t="str">
        <f>IFERROR(__xludf.DUMMYFUNCTION("""COMPUTED_VALUE""")," ")</f>
        <v> </v>
      </c>
      <c r="AO2207" s="2" t="str">
        <f>IFERROR(__xludf.DUMMYFUNCTION("""COMPUTED_VALUE""")," ")</f>
        <v> </v>
      </c>
      <c r="AP2207" s="2" t="str">
        <f>IFERROR(__xludf.DUMMYFUNCTION("""COMPUTED_VALUE"""),"")</f>
        <v/>
      </c>
      <c r="AQ2207" s="2"/>
      <c r="AR2207" s="2"/>
      <c r="AS2207" s="2"/>
      <c r="AT2207" s="2"/>
      <c r="AU2207" s="2"/>
      <c r="AV2207" s="2"/>
      <c r="AW2207" s="2"/>
      <c r="AX2207" s="2"/>
      <c r="AY2207" s="2"/>
      <c r="AZ2207" s="2"/>
      <c r="BA2207" s="2"/>
      <c r="BB2207" s="2"/>
    </row>
    <row r="2208">
      <c r="A2208" s="2"/>
      <c r="B2208" s="2" t="str">
        <f>IFERROR(__xludf.DUMMYFUNCTION("""COMPUTED_VALUE"""),"")</f>
        <v/>
      </c>
      <c r="C2208" s="2"/>
      <c r="D2208" s="71"/>
      <c r="E2208" s="71" t="str">
        <f>IFERROR(__xludf.DUMMYFUNCTION("""COMPUTED_VALUE""")," ")</f>
        <v> </v>
      </c>
      <c r="F2208" s="2"/>
      <c r="G2208" s="2"/>
      <c r="H2208" s="2"/>
      <c r="I2208" s="72"/>
      <c r="J2208" s="72"/>
      <c r="K2208" s="72"/>
      <c r="L2208" s="72"/>
      <c r="M2208" s="2"/>
      <c r="N2208" s="2"/>
      <c r="O2208" s="2"/>
      <c r="P2208" s="2"/>
      <c r="Q2208" s="2"/>
      <c r="R2208" s="2"/>
      <c r="S2208" s="2"/>
      <c r="T2208" s="2"/>
      <c r="U2208" s="2"/>
      <c r="V2208" s="2"/>
      <c r="W2208" s="2"/>
      <c r="X2208" s="2"/>
      <c r="Y2208" s="2"/>
      <c r="Z2208" s="2"/>
      <c r="AA2208" s="2"/>
      <c r="AB2208" s="2"/>
      <c r="AC2208" s="2"/>
      <c r="AD2208" s="2"/>
      <c r="AE2208" s="2"/>
      <c r="AF2208" s="2"/>
      <c r="AG2208" s="2"/>
      <c r="AH2208" s="2"/>
      <c r="AI2208" s="2"/>
      <c r="AJ2208" s="2" t="str">
        <f>IFERROR(__xludf.DUMMYFUNCTION("""COMPUTED_VALUE"""),"")</f>
        <v/>
      </c>
      <c r="AK2208" s="2" t="str">
        <f>IFERROR(__xludf.DUMMYFUNCTION("""COMPUTED_VALUE"""),"")</f>
        <v/>
      </c>
      <c r="AL2208" s="2" t="str">
        <f>IFERROR(__xludf.DUMMYFUNCTION("""COMPUTED_VALUE"""),"")</f>
        <v/>
      </c>
      <c r="AM2208" s="2" t="str">
        <f>IFERROR(__xludf.DUMMYFUNCTION("""COMPUTED_VALUE"""),"")</f>
        <v/>
      </c>
      <c r="AN2208" s="2" t="str">
        <f>IFERROR(__xludf.DUMMYFUNCTION("""COMPUTED_VALUE""")," ")</f>
        <v> </v>
      </c>
      <c r="AO2208" s="2" t="str">
        <f>IFERROR(__xludf.DUMMYFUNCTION("""COMPUTED_VALUE""")," ")</f>
        <v> </v>
      </c>
      <c r="AP2208" s="2" t="str">
        <f>IFERROR(__xludf.DUMMYFUNCTION("""COMPUTED_VALUE"""),"")</f>
        <v/>
      </c>
      <c r="AQ2208" s="2"/>
      <c r="AR2208" s="2"/>
      <c r="AS2208" s="2"/>
      <c r="AT2208" s="2"/>
      <c r="AU2208" s="2"/>
      <c r="AV2208" s="2"/>
      <c r="AW2208" s="2"/>
      <c r="AX2208" s="2"/>
      <c r="AY2208" s="2"/>
      <c r="AZ2208" s="2"/>
      <c r="BA2208" s="2"/>
      <c r="BB2208" s="2"/>
    </row>
    <row r="2209">
      <c r="A2209" s="2"/>
      <c r="B2209" s="2" t="str">
        <f>IFERROR(__xludf.DUMMYFUNCTION("""COMPUTED_VALUE"""),"")</f>
        <v/>
      </c>
      <c r="C2209" s="2"/>
      <c r="D2209" s="71"/>
      <c r="E2209" s="71" t="str">
        <f>IFERROR(__xludf.DUMMYFUNCTION("""COMPUTED_VALUE""")," ")</f>
        <v> </v>
      </c>
      <c r="F2209" s="2"/>
      <c r="G2209" s="2"/>
      <c r="H2209" s="2"/>
      <c r="I2209" s="72"/>
      <c r="J2209" s="72"/>
      <c r="K2209" s="72"/>
      <c r="L2209" s="72"/>
      <c r="M2209" s="2"/>
      <c r="N2209" s="2"/>
      <c r="O2209" s="2"/>
      <c r="P2209" s="2"/>
      <c r="Q2209" s="2"/>
      <c r="R2209" s="2"/>
      <c r="S2209" s="2"/>
      <c r="T2209" s="2"/>
      <c r="U2209" s="2"/>
      <c r="V2209" s="2"/>
      <c r="W2209" s="2"/>
      <c r="X2209" s="2"/>
      <c r="Y2209" s="2"/>
      <c r="Z2209" s="2"/>
      <c r="AA2209" s="2"/>
      <c r="AB2209" s="2"/>
      <c r="AC2209" s="2"/>
      <c r="AD2209" s="2"/>
      <c r="AE2209" s="2"/>
      <c r="AF2209" s="2"/>
      <c r="AG2209" s="2"/>
      <c r="AH2209" s="2"/>
      <c r="AI2209" s="2"/>
      <c r="AJ2209" s="2" t="str">
        <f>IFERROR(__xludf.DUMMYFUNCTION("""COMPUTED_VALUE"""),"")</f>
        <v/>
      </c>
      <c r="AK2209" s="2" t="str">
        <f>IFERROR(__xludf.DUMMYFUNCTION("""COMPUTED_VALUE"""),"")</f>
        <v/>
      </c>
      <c r="AL2209" s="2" t="str">
        <f>IFERROR(__xludf.DUMMYFUNCTION("""COMPUTED_VALUE"""),"")</f>
        <v/>
      </c>
      <c r="AM2209" s="2" t="str">
        <f>IFERROR(__xludf.DUMMYFUNCTION("""COMPUTED_VALUE"""),"")</f>
        <v/>
      </c>
      <c r="AN2209" s="2" t="str">
        <f>IFERROR(__xludf.DUMMYFUNCTION("""COMPUTED_VALUE""")," ")</f>
        <v> </v>
      </c>
      <c r="AO2209" s="2" t="str">
        <f>IFERROR(__xludf.DUMMYFUNCTION("""COMPUTED_VALUE""")," ")</f>
        <v> </v>
      </c>
      <c r="AP2209" s="2" t="str">
        <f>IFERROR(__xludf.DUMMYFUNCTION("""COMPUTED_VALUE"""),"")</f>
        <v/>
      </c>
      <c r="AQ2209" s="2"/>
      <c r="AR2209" s="2"/>
      <c r="AS2209" s="2"/>
      <c r="AT2209" s="2"/>
      <c r="AU2209" s="2"/>
      <c r="AV2209" s="2"/>
      <c r="AW2209" s="2"/>
      <c r="AX2209" s="2"/>
      <c r="AY2209" s="2"/>
      <c r="AZ2209" s="2"/>
      <c r="BA2209" s="2"/>
      <c r="BB2209" s="2"/>
    </row>
    <row r="2210">
      <c r="A2210" s="2"/>
      <c r="B2210" s="2" t="str">
        <f>IFERROR(__xludf.DUMMYFUNCTION("""COMPUTED_VALUE"""),"")</f>
        <v/>
      </c>
      <c r="C2210" s="2"/>
      <c r="D2210" s="71"/>
      <c r="E2210" s="71" t="str">
        <f>IFERROR(__xludf.DUMMYFUNCTION("""COMPUTED_VALUE""")," ")</f>
        <v> </v>
      </c>
      <c r="F2210" s="2"/>
      <c r="G2210" s="2"/>
      <c r="H2210" s="2"/>
      <c r="I2210" s="72"/>
      <c r="J2210" s="72"/>
      <c r="K2210" s="72"/>
      <c r="L2210" s="72"/>
      <c r="M2210" s="2"/>
      <c r="N2210" s="2"/>
      <c r="O2210" s="2"/>
      <c r="P2210" s="2"/>
      <c r="Q2210" s="2"/>
      <c r="R2210" s="2"/>
      <c r="S2210" s="2"/>
      <c r="T2210" s="2"/>
      <c r="U2210" s="2"/>
      <c r="V2210" s="2"/>
      <c r="W2210" s="2"/>
      <c r="X2210" s="2"/>
      <c r="Y2210" s="2"/>
      <c r="Z2210" s="2"/>
      <c r="AA2210" s="2"/>
      <c r="AB2210" s="2"/>
      <c r="AC2210" s="2"/>
      <c r="AD2210" s="2"/>
      <c r="AE2210" s="2"/>
      <c r="AF2210" s="2"/>
      <c r="AG2210" s="2"/>
      <c r="AH2210" s="2"/>
      <c r="AI2210" s="2"/>
      <c r="AJ2210" s="2" t="str">
        <f>IFERROR(__xludf.DUMMYFUNCTION("""COMPUTED_VALUE"""),"")</f>
        <v/>
      </c>
      <c r="AK2210" s="2" t="str">
        <f>IFERROR(__xludf.DUMMYFUNCTION("""COMPUTED_VALUE"""),"")</f>
        <v/>
      </c>
      <c r="AL2210" s="2" t="str">
        <f>IFERROR(__xludf.DUMMYFUNCTION("""COMPUTED_VALUE"""),"")</f>
        <v/>
      </c>
      <c r="AM2210" s="2" t="str">
        <f>IFERROR(__xludf.DUMMYFUNCTION("""COMPUTED_VALUE"""),"")</f>
        <v/>
      </c>
      <c r="AN2210" s="2" t="str">
        <f>IFERROR(__xludf.DUMMYFUNCTION("""COMPUTED_VALUE""")," ")</f>
        <v> </v>
      </c>
      <c r="AO2210" s="2" t="str">
        <f>IFERROR(__xludf.DUMMYFUNCTION("""COMPUTED_VALUE""")," ")</f>
        <v> </v>
      </c>
      <c r="AP2210" s="2" t="str">
        <f>IFERROR(__xludf.DUMMYFUNCTION("""COMPUTED_VALUE"""),"")</f>
        <v/>
      </c>
      <c r="AQ2210" s="2"/>
      <c r="AR2210" s="2"/>
      <c r="AS2210" s="2"/>
      <c r="AT2210" s="2"/>
      <c r="AU2210" s="2"/>
      <c r="AV2210" s="2"/>
      <c r="AW2210" s="2"/>
      <c r="AX2210" s="2"/>
      <c r="AY2210" s="2"/>
      <c r="AZ2210" s="2"/>
      <c r="BA2210" s="2"/>
      <c r="BB2210" s="2"/>
    </row>
    <row r="2211">
      <c r="A2211" s="2"/>
      <c r="B2211" s="2" t="str">
        <f>IFERROR(__xludf.DUMMYFUNCTION("""COMPUTED_VALUE"""),"")</f>
        <v/>
      </c>
      <c r="C2211" s="2"/>
      <c r="D2211" s="71"/>
      <c r="E2211" s="71" t="str">
        <f>IFERROR(__xludf.DUMMYFUNCTION("""COMPUTED_VALUE""")," ")</f>
        <v> </v>
      </c>
      <c r="F2211" s="2"/>
      <c r="G2211" s="2"/>
      <c r="H2211" s="2"/>
      <c r="I2211" s="72"/>
      <c r="J2211" s="72"/>
      <c r="K2211" s="72"/>
      <c r="L2211" s="72"/>
      <c r="M2211" s="2"/>
      <c r="N2211" s="2"/>
      <c r="O2211" s="2"/>
      <c r="P2211" s="2"/>
      <c r="Q2211" s="2"/>
      <c r="R2211" s="2"/>
      <c r="S2211" s="2"/>
      <c r="T2211" s="2"/>
      <c r="U2211" s="2"/>
      <c r="V2211" s="2"/>
      <c r="W2211" s="2"/>
      <c r="X2211" s="2"/>
      <c r="Y2211" s="2"/>
      <c r="Z2211" s="2"/>
      <c r="AA2211" s="2"/>
      <c r="AB2211" s="2"/>
      <c r="AC2211" s="2"/>
      <c r="AD2211" s="2"/>
      <c r="AE2211" s="2"/>
      <c r="AF2211" s="2"/>
      <c r="AG2211" s="2"/>
      <c r="AH2211" s="2"/>
      <c r="AI2211" s="2"/>
      <c r="AJ2211" s="2" t="str">
        <f>IFERROR(__xludf.DUMMYFUNCTION("""COMPUTED_VALUE"""),"")</f>
        <v/>
      </c>
      <c r="AK2211" s="2" t="str">
        <f>IFERROR(__xludf.DUMMYFUNCTION("""COMPUTED_VALUE"""),"")</f>
        <v/>
      </c>
      <c r="AL2211" s="2" t="str">
        <f>IFERROR(__xludf.DUMMYFUNCTION("""COMPUTED_VALUE"""),"")</f>
        <v/>
      </c>
      <c r="AM2211" s="2" t="str">
        <f>IFERROR(__xludf.DUMMYFUNCTION("""COMPUTED_VALUE"""),"")</f>
        <v/>
      </c>
      <c r="AN2211" s="2" t="str">
        <f>IFERROR(__xludf.DUMMYFUNCTION("""COMPUTED_VALUE""")," ")</f>
        <v> </v>
      </c>
      <c r="AO2211" s="2" t="str">
        <f>IFERROR(__xludf.DUMMYFUNCTION("""COMPUTED_VALUE""")," ")</f>
        <v> </v>
      </c>
      <c r="AP2211" s="2" t="str">
        <f>IFERROR(__xludf.DUMMYFUNCTION("""COMPUTED_VALUE"""),"")</f>
        <v/>
      </c>
      <c r="AQ2211" s="2"/>
      <c r="AR2211" s="2"/>
      <c r="AS2211" s="2"/>
      <c r="AT2211" s="2"/>
      <c r="AU2211" s="2"/>
      <c r="AV2211" s="2"/>
      <c r="AW2211" s="2"/>
      <c r="AX2211" s="2"/>
      <c r="AY2211" s="2"/>
      <c r="AZ2211" s="2"/>
      <c r="BA2211" s="2"/>
      <c r="BB2211" s="2"/>
    </row>
    <row r="2212">
      <c r="A2212" s="2"/>
      <c r="B2212" s="2" t="str">
        <f>IFERROR(__xludf.DUMMYFUNCTION("""COMPUTED_VALUE"""),"")</f>
        <v/>
      </c>
      <c r="C2212" s="2"/>
      <c r="D2212" s="71"/>
      <c r="E2212" s="71" t="str">
        <f>IFERROR(__xludf.DUMMYFUNCTION("""COMPUTED_VALUE""")," ")</f>
        <v> </v>
      </c>
      <c r="F2212" s="2"/>
      <c r="G2212" s="2"/>
      <c r="H2212" s="2"/>
      <c r="I2212" s="72"/>
      <c r="J2212" s="72"/>
      <c r="K2212" s="72"/>
      <c r="L2212" s="72"/>
      <c r="M2212" s="2"/>
      <c r="N2212" s="2"/>
      <c r="O2212" s="2"/>
      <c r="P2212" s="2"/>
      <c r="Q2212" s="2"/>
      <c r="R2212" s="2"/>
      <c r="S2212" s="2"/>
      <c r="T2212" s="2"/>
      <c r="U2212" s="2"/>
      <c r="V2212" s="2"/>
      <c r="W2212" s="2"/>
      <c r="X2212" s="2"/>
      <c r="Y2212" s="2"/>
      <c r="Z2212" s="2"/>
      <c r="AA2212" s="2"/>
      <c r="AB2212" s="2"/>
      <c r="AC2212" s="2"/>
      <c r="AD2212" s="2"/>
      <c r="AE2212" s="2"/>
      <c r="AF2212" s="2"/>
      <c r="AG2212" s="2"/>
      <c r="AH2212" s="2"/>
      <c r="AI2212" s="2"/>
      <c r="AJ2212" s="2" t="str">
        <f>IFERROR(__xludf.DUMMYFUNCTION("""COMPUTED_VALUE"""),"")</f>
        <v/>
      </c>
      <c r="AK2212" s="2" t="str">
        <f>IFERROR(__xludf.DUMMYFUNCTION("""COMPUTED_VALUE"""),"")</f>
        <v/>
      </c>
      <c r="AL2212" s="2" t="str">
        <f>IFERROR(__xludf.DUMMYFUNCTION("""COMPUTED_VALUE"""),"")</f>
        <v/>
      </c>
      <c r="AM2212" s="2" t="str">
        <f>IFERROR(__xludf.DUMMYFUNCTION("""COMPUTED_VALUE"""),"")</f>
        <v/>
      </c>
      <c r="AN2212" s="2" t="str">
        <f>IFERROR(__xludf.DUMMYFUNCTION("""COMPUTED_VALUE""")," ")</f>
        <v> </v>
      </c>
      <c r="AO2212" s="2" t="str">
        <f>IFERROR(__xludf.DUMMYFUNCTION("""COMPUTED_VALUE""")," ")</f>
        <v> </v>
      </c>
      <c r="AP2212" s="2" t="str">
        <f>IFERROR(__xludf.DUMMYFUNCTION("""COMPUTED_VALUE"""),"")</f>
        <v/>
      </c>
      <c r="AQ2212" s="2"/>
      <c r="AR2212" s="2"/>
      <c r="AS2212" s="2"/>
      <c r="AT2212" s="2"/>
      <c r="AU2212" s="2"/>
      <c r="AV2212" s="2"/>
      <c r="AW2212" s="2"/>
      <c r="AX2212" s="2"/>
      <c r="AY2212" s="2"/>
      <c r="AZ2212" s="2"/>
      <c r="BA2212" s="2"/>
      <c r="BB2212" s="2"/>
    </row>
    <row r="2213">
      <c r="A2213" s="2"/>
      <c r="B2213" s="2" t="str">
        <f>IFERROR(__xludf.DUMMYFUNCTION("""COMPUTED_VALUE"""),"")</f>
        <v/>
      </c>
      <c r="C2213" s="2"/>
      <c r="D2213" s="71"/>
      <c r="E2213" s="71" t="str">
        <f>IFERROR(__xludf.DUMMYFUNCTION("""COMPUTED_VALUE""")," ")</f>
        <v> </v>
      </c>
      <c r="F2213" s="2"/>
      <c r="G2213" s="2"/>
      <c r="H2213" s="2"/>
      <c r="I2213" s="72"/>
      <c r="J2213" s="72"/>
      <c r="K2213" s="72"/>
      <c r="L2213" s="72"/>
      <c r="M2213" s="2"/>
      <c r="N2213" s="2"/>
      <c r="O2213" s="2"/>
      <c r="P2213" s="2"/>
      <c r="Q2213" s="2"/>
      <c r="R2213" s="2"/>
      <c r="S2213" s="2"/>
      <c r="T2213" s="2"/>
      <c r="U2213" s="2"/>
      <c r="V2213" s="2"/>
      <c r="W2213" s="2"/>
      <c r="X2213" s="2"/>
      <c r="Y2213" s="2"/>
      <c r="Z2213" s="2"/>
      <c r="AA2213" s="2"/>
      <c r="AB2213" s="2"/>
      <c r="AC2213" s="2"/>
      <c r="AD2213" s="2"/>
      <c r="AE2213" s="2"/>
      <c r="AF2213" s="2"/>
      <c r="AG2213" s="2"/>
      <c r="AH2213" s="2"/>
      <c r="AI2213" s="2"/>
      <c r="AJ2213" s="2" t="str">
        <f>IFERROR(__xludf.DUMMYFUNCTION("""COMPUTED_VALUE"""),"")</f>
        <v/>
      </c>
      <c r="AK2213" s="2" t="str">
        <f>IFERROR(__xludf.DUMMYFUNCTION("""COMPUTED_VALUE"""),"")</f>
        <v/>
      </c>
      <c r="AL2213" s="2" t="str">
        <f>IFERROR(__xludf.DUMMYFUNCTION("""COMPUTED_VALUE"""),"")</f>
        <v/>
      </c>
      <c r="AM2213" s="2" t="str">
        <f>IFERROR(__xludf.DUMMYFUNCTION("""COMPUTED_VALUE"""),"")</f>
        <v/>
      </c>
      <c r="AN2213" s="2" t="str">
        <f>IFERROR(__xludf.DUMMYFUNCTION("""COMPUTED_VALUE""")," ")</f>
        <v> </v>
      </c>
      <c r="AO2213" s="2" t="str">
        <f>IFERROR(__xludf.DUMMYFUNCTION("""COMPUTED_VALUE""")," ")</f>
        <v> </v>
      </c>
      <c r="AP2213" s="2" t="str">
        <f>IFERROR(__xludf.DUMMYFUNCTION("""COMPUTED_VALUE"""),"")</f>
        <v/>
      </c>
      <c r="AQ2213" s="2"/>
      <c r="AR2213" s="2"/>
      <c r="AS2213" s="2"/>
      <c r="AT2213" s="2"/>
      <c r="AU2213" s="2"/>
      <c r="AV2213" s="2"/>
      <c r="AW2213" s="2"/>
      <c r="AX2213" s="2"/>
      <c r="AY2213" s="2"/>
      <c r="AZ2213" s="2"/>
      <c r="BA2213" s="2"/>
      <c r="BB2213" s="2"/>
    </row>
    <row r="2214">
      <c r="A2214" s="2"/>
      <c r="B2214" s="2" t="str">
        <f>IFERROR(__xludf.DUMMYFUNCTION("""COMPUTED_VALUE"""),"")</f>
        <v/>
      </c>
      <c r="C2214" s="2"/>
      <c r="D2214" s="71"/>
      <c r="E2214" s="71" t="str">
        <f>IFERROR(__xludf.DUMMYFUNCTION("""COMPUTED_VALUE""")," ")</f>
        <v> </v>
      </c>
      <c r="F2214" s="2"/>
      <c r="G2214" s="2"/>
      <c r="H2214" s="2"/>
      <c r="I2214" s="72"/>
      <c r="J2214" s="72"/>
      <c r="K2214" s="72"/>
      <c r="L2214" s="72"/>
      <c r="M2214" s="2"/>
      <c r="N2214" s="2"/>
      <c r="O2214" s="2"/>
      <c r="P2214" s="2"/>
      <c r="Q2214" s="2"/>
      <c r="R2214" s="2"/>
      <c r="S2214" s="2"/>
      <c r="T2214" s="2"/>
      <c r="U2214" s="2"/>
      <c r="V2214" s="2"/>
      <c r="W2214" s="2"/>
      <c r="X2214" s="2"/>
      <c r="Y2214" s="2"/>
      <c r="Z2214" s="2"/>
      <c r="AA2214" s="2"/>
      <c r="AB2214" s="2"/>
      <c r="AC2214" s="2"/>
      <c r="AD2214" s="2"/>
      <c r="AE2214" s="2"/>
      <c r="AF2214" s="2"/>
      <c r="AG2214" s="2"/>
      <c r="AH2214" s="2"/>
      <c r="AI2214" s="2"/>
      <c r="AJ2214" s="2" t="str">
        <f>IFERROR(__xludf.DUMMYFUNCTION("""COMPUTED_VALUE"""),"")</f>
        <v/>
      </c>
      <c r="AK2214" s="2" t="str">
        <f>IFERROR(__xludf.DUMMYFUNCTION("""COMPUTED_VALUE"""),"")</f>
        <v/>
      </c>
      <c r="AL2214" s="2" t="str">
        <f>IFERROR(__xludf.DUMMYFUNCTION("""COMPUTED_VALUE"""),"")</f>
        <v/>
      </c>
      <c r="AM2214" s="2" t="str">
        <f>IFERROR(__xludf.DUMMYFUNCTION("""COMPUTED_VALUE"""),"")</f>
        <v/>
      </c>
      <c r="AN2214" s="2" t="str">
        <f>IFERROR(__xludf.DUMMYFUNCTION("""COMPUTED_VALUE""")," ")</f>
        <v> </v>
      </c>
      <c r="AO2214" s="2" t="str">
        <f>IFERROR(__xludf.DUMMYFUNCTION("""COMPUTED_VALUE""")," ")</f>
        <v> </v>
      </c>
      <c r="AP2214" s="2" t="str">
        <f>IFERROR(__xludf.DUMMYFUNCTION("""COMPUTED_VALUE"""),"")</f>
        <v/>
      </c>
      <c r="AQ2214" s="2"/>
      <c r="AR2214" s="2"/>
      <c r="AS2214" s="2"/>
      <c r="AT2214" s="2"/>
      <c r="AU2214" s="2"/>
      <c r="AV2214" s="2"/>
      <c r="AW2214" s="2"/>
      <c r="AX2214" s="2"/>
      <c r="AY2214" s="2"/>
      <c r="AZ2214" s="2"/>
      <c r="BA2214" s="2"/>
      <c r="BB2214" s="2"/>
    </row>
    <row r="2215">
      <c r="A2215" s="2"/>
      <c r="B2215" s="2" t="str">
        <f>IFERROR(__xludf.DUMMYFUNCTION("""COMPUTED_VALUE"""),"")</f>
        <v/>
      </c>
      <c r="C2215" s="2"/>
      <c r="D2215" s="71"/>
      <c r="E2215" s="71" t="str">
        <f>IFERROR(__xludf.DUMMYFUNCTION("""COMPUTED_VALUE""")," ")</f>
        <v> </v>
      </c>
      <c r="F2215" s="2"/>
      <c r="G2215" s="2"/>
      <c r="H2215" s="2"/>
      <c r="I2215" s="72"/>
      <c r="J2215" s="72"/>
      <c r="K2215" s="72"/>
      <c r="L2215" s="72"/>
      <c r="M2215" s="2"/>
      <c r="N2215" s="2"/>
      <c r="O2215" s="2"/>
      <c r="P2215" s="2"/>
      <c r="Q2215" s="2"/>
      <c r="R2215" s="2"/>
      <c r="S2215" s="2"/>
      <c r="T2215" s="2"/>
      <c r="U2215" s="2"/>
      <c r="V2215" s="2"/>
      <c r="W2215" s="2"/>
      <c r="X2215" s="2"/>
      <c r="Y2215" s="2"/>
      <c r="Z2215" s="2"/>
      <c r="AA2215" s="2"/>
      <c r="AB2215" s="2"/>
      <c r="AC2215" s="2"/>
      <c r="AD2215" s="2"/>
      <c r="AE2215" s="2"/>
      <c r="AF2215" s="2"/>
      <c r="AG2215" s="2"/>
      <c r="AH2215" s="2"/>
      <c r="AI2215" s="2"/>
      <c r="AJ2215" s="2" t="str">
        <f>IFERROR(__xludf.DUMMYFUNCTION("""COMPUTED_VALUE"""),"")</f>
        <v/>
      </c>
      <c r="AK2215" s="2" t="str">
        <f>IFERROR(__xludf.DUMMYFUNCTION("""COMPUTED_VALUE"""),"")</f>
        <v/>
      </c>
      <c r="AL2215" s="2" t="str">
        <f>IFERROR(__xludf.DUMMYFUNCTION("""COMPUTED_VALUE"""),"")</f>
        <v/>
      </c>
      <c r="AM2215" s="2" t="str">
        <f>IFERROR(__xludf.DUMMYFUNCTION("""COMPUTED_VALUE"""),"")</f>
        <v/>
      </c>
      <c r="AN2215" s="2" t="str">
        <f>IFERROR(__xludf.DUMMYFUNCTION("""COMPUTED_VALUE""")," ")</f>
        <v> </v>
      </c>
      <c r="AO2215" s="2" t="str">
        <f>IFERROR(__xludf.DUMMYFUNCTION("""COMPUTED_VALUE""")," ")</f>
        <v> </v>
      </c>
      <c r="AP2215" s="2" t="str">
        <f>IFERROR(__xludf.DUMMYFUNCTION("""COMPUTED_VALUE"""),"")</f>
        <v/>
      </c>
      <c r="AQ2215" s="2"/>
      <c r="AR2215" s="2"/>
      <c r="AS2215" s="2"/>
      <c r="AT2215" s="2"/>
      <c r="AU2215" s="2"/>
      <c r="AV2215" s="2"/>
      <c r="AW2215" s="2"/>
      <c r="AX2215" s="2"/>
      <c r="AY2215" s="2"/>
      <c r="AZ2215" s="2"/>
      <c r="BA2215" s="2"/>
      <c r="BB2215" s="2"/>
    </row>
    <row r="2216">
      <c r="A2216" s="2"/>
      <c r="B2216" s="2" t="str">
        <f>IFERROR(__xludf.DUMMYFUNCTION("""COMPUTED_VALUE"""),"")</f>
        <v/>
      </c>
      <c r="C2216" s="2"/>
      <c r="D2216" s="71"/>
      <c r="E2216" s="71" t="str">
        <f>IFERROR(__xludf.DUMMYFUNCTION("""COMPUTED_VALUE""")," ")</f>
        <v> </v>
      </c>
      <c r="F2216" s="2"/>
      <c r="G2216" s="2"/>
      <c r="H2216" s="2"/>
      <c r="I2216" s="72"/>
      <c r="J2216" s="72"/>
      <c r="K2216" s="72"/>
      <c r="L2216" s="72"/>
      <c r="M2216" s="2"/>
      <c r="N2216" s="2"/>
      <c r="O2216" s="2"/>
      <c r="P2216" s="2"/>
      <c r="Q2216" s="2"/>
      <c r="R2216" s="2"/>
      <c r="S2216" s="2"/>
      <c r="T2216" s="2"/>
      <c r="U2216" s="2"/>
      <c r="V2216" s="2"/>
      <c r="W2216" s="2"/>
      <c r="X2216" s="2"/>
      <c r="Y2216" s="2"/>
      <c r="Z2216" s="2"/>
      <c r="AA2216" s="2"/>
      <c r="AB2216" s="2"/>
      <c r="AC2216" s="2"/>
      <c r="AD2216" s="2"/>
      <c r="AE2216" s="2"/>
      <c r="AF2216" s="2"/>
      <c r="AG2216" s="2"/>
      <c r="AH2216" s="2"/>
      <c r="AI2216" s="2"/>
      <c r="AJ2216" s="2" t="str">
        <f>IFERROR(__xludf.DUMMYFUNCTION("""COMPUTED_VALUE"""),"")</f>
        <v/>
      </c>
      <c r="AK2216" s="2" t="str">
        <f>IFERROR(__xludf.DUMMYFUNCTION("""COMPUTED_VALUE"""),"")</f>
        <v/>
      </c>
      <c r="AL2216" s="2" t="str">
        <f>IFERROR(__xludf.DUMMYFUNCTION("""COMPUTED_VALUE"""),"")</f>
        <v/>
      </c>
      <c r="AM2216" s="2" t="str">
        <f>IFERROR(__xludf.DUMMYFUNCTION("""COMPUTED_VALUE"""),"")</f>
        <v/>
      </c>
      <c r="AN2216" s="2" t="str">
        <f>IFERROR(__xludf.DUMMYFUNCTION("""COMPUTED_VALUE""")," ")</f>
        <v> </v>
      </c>
      <c r="AO2216" s="2" t="str">
        <f>IFERROR(__xludf.DUMMYFUNCTION("""COMPUTED_VALUE""")," ")</f>
        <v> </v>
      </c>
      <c r="AP2216" s="2" t="str">
        <f>IFERROR(__xludf.DUMMYFUNCTION("""COMPUTED_VALUE"""),"")</f>
        <v/>
      </c>
      <c r="AQ2216" s="2"/>
      <c r="AR2216" s="2"/>
      <c r="AS2216" s="2"/>
      <c r="AT2216" s="2"/>
      <c r="AU2216" s="2"/>
      <c r="AV2216" s="2"/>
      <c r="AW2216" s="2"/>
      <c r="AX2216" s="2"/>
      <c r="AY2216" s="2"/>
      <c r="AZ2216" s="2"/>
      <c r="BA2216" s="2"/>
      <c r="BB2216" s="2"/>
    </row>
    <row r="2217">
      <c r="A2217" s="2"/>
      <c r="B2217" s="2" t="str">
        <f>IFERROR(__xludf.DUMMYFUNCTION("""COMPUTED_VALUE"""),"")</f>
        <v/>
      </c>
      <c r="C2217" s="2"/>
      <c r="D2217" s="71"/>
      <c r="E2217" s="71" t="str">
        <f>IFERROR(__xludf.DUMMYFUNCTION("""COMPUTED_VALUE""")," ")</f>
        <v> </v>
      </c>
      <c r="F2217" s="2"/>
      <c r="G2217" s="2"/>
      <c r="H2217" s="2"/>
      <c r="I2217" s="72"/>
      <c r="J2217" s="72"/>
      <c r="K2217" s="72"/>
      <c r="L2217" s="72"/>
      <c r="M2217" s="2"/>
      <c r="N2217" s="2"/>
      <c r="O2217" s="2"/>
      <c r="P2217" s="2"/>
      <c r="Q2217" s="2"/>
      <c r="R2217" s="2"/>
      <c r="S2217" s="2"/>
      <c r="T2217" s="2"/>
      <c r="U2217" s="2"/>
      <c r="V2217" s="2"/>
      <c r="W2217" s="2"/>
      <c r="X2217" s="2"/>
      <c r="Y2217" s="2"/>
      <c r="Z2217" s="2"/>
      <c r="AA2217" s="2"/>
      <c r="AB2217" s="2"/>
      <c r="AC2217" s="2"/>
      <c r="AD2217" s="2"/>
      <c r="AE2217" s="2"/>
      <c r="AF2217" s="2"/>
      <c r="AG2217" s="2"/>
      <c r="AH2217" s="2"/>
      <c r="AI2217" s="2"/>
      <c r="AJ2217" s="2" t="str">
        <f>IFERROR(__xludf.DUMMYFUNCTION("""COMPUTED_VALUE"""),"")</f>
        <v/>
      </c>
      <c r="AK2217" s="2" t="str">
        <f>IFERROR(__xludf.DUMMYFUNCTION("""COMPUTED_VALUE"""),"")</f>
        <v/>
      </c>
      <c r="AL2217" s="2" t="str">
        <f>IFERROR(__xludf.DUMMYFUNCTION("""COMPUTED_VALUE"""),"")</f>
        <v/>
      </c>
      <c r="AM2217" s="2" t="str">
        <f>IFERROR(__xludf.DUMMYFUNCTION("""COMPUTED_VALUE"""),"")</f>
        <v/>
      </c>
      <c r="AN2217" s="2" t="str">
        <f>IFERROR(__xludf.DUMMYFUNCTION("""COMPUTED_VALUE""")," ")</f>
        <v> </v>
      </c>
      <c r="AO2217" s="2" t="str">
        <f>IFERROR(__xludf.DUMMYFUNCTION("""COMPUTED_VALUE""")," ")</f>
        <v> </v>
      </c>
      <c r="AP2217" s="2" t="str">
        <f>IFERROR(__xludf.DUMMYFUNCTION("""COMPUTED_VALUE"""),"")</f>
        <v/>
      </c>
      <c r="AQ2217" s="2"/>
      <c r="AR2217" s="2"/>
      <c r="AS2217" s="2"/>
      <c r="AT2217" s="2"/>
      <c r="AU2217" s="2"/>
      <c r="AV2217" s="2"/>
      <c r="AW2217" s="2"/>
      <c r="AX2217" s="2"/>
      <c r="AY2217" s="2"/>
      <c r="AZ2217" s="2"/>
      <c r="BA2217" s="2"/>
      <c r="BB2217" s="2"/>
    </row>
    <row r="2218">
      <c r="A2218" s="2"/>
      <c r="B2218" s="2" t="str">
        <f>IFERROR(__xludf.DUMMYFUNCTION("""COMPUTED_VALUE"""),"")</f>
        <v/>
      </c>
      <c r="C2218" s="2"/>
      <c r="D2218" s="71"/>
      <c r="E2218" s="71" t="str">
        <f>IFERROR(__xludf.DUMMYFUNCTION("""COMPUTED_VALUE""")," ")</f>
        <v> </v>
      </c>
      <c r="F2218" s="2"/>
      <c r="G2218" s="2"/>
      <c r="H2218" s="2"/>
      <c r="I2218" s="72"/>
      <c r="J2218" s="72"/>
      <c r="K2218" s="72"/>
      <c r="L2218" s="72"/>
      <c r="M2218" s="2"/>
      <c r="N2218" s="2"/>
      <c r="O2218" s="2"/>
      <c r="P2218" s="2"/>
      <c r="Q2218" s="2"/>
      <c r="R2218" s="2"/>
      <c r="S2218" s="2"/>
      <c r="T2218" s="2"/>
      <c r="U2218" s="2"/>
      <c r="V2218" s="2"/>
      <c r="W2218" s="2"/>
      <c r="X2218" s="2"/>
      <c r="Y2218" s="2"/>
      <c r="Z2218" s="2"/>
      <c r="AA2218" s="2"/>
      <c r="AB2218" s="2"/>
      <c r="AC2218" s="2"/>
      <c r="AD2218" s="2"/>
      <c r="AE2218" s="2"/>
      <c r="AF2218" s="2"/>
      <c r="AG2218" s="2"/>
      <c r="AH2218" s="2"/>
      <c r="AI2218" s="2"/>
      <c r="AJ2218" s="2" t="str">
        <f>IFERROR(__xludf.DUMMYFUNCTION("""COMPUTED_VALUE"""),"")</f>
        <v/>
      </c>
      <c r="AK2218" s="2" t="str">
        <f>IFERROR(__xludf.DUMMYFUNCTION("""COMPUTED_VALUE"""),"")</f>
        <v/>
      </c>
      <c r="AL2218" s="2" t="str">
        <f>IFERROR(__xludf.DUMMYFUNCTION("""COMPUTED_VALUE"""),"")</f>
        <v/>
      </c>
      <c r="AM2218" s="2" t="str">
        <f>IFERROR(__xludf.DUMMYFUNCTION("""COMPUTED_VALUE"""),"")</f>
        <v/>
      </c>
      <c r="AN2218" s="2" t="str">
        <f>IFERROR(__xludf.DUMMYFUNCTION("""COMPUTED_VALUE""")," ")</f>
        <v> </v>
      </c>
      <c r="AO2218" s="2" t="str">
        <f>IFERROR(__xludf.DUMMYFUNCTION("""COMPUTED_VALUE""")," ")</f>
        <v> </v>
      </c>
      <c r="AP2218" s="2" t="str">
        <f>IFERROR(__xludf.DUMMYFUNCTION("""COMPUTED_VALUE"""),"")</f>
        <v/>
      </c>
      <c r="AQ2218" s="2"/>
      <c r="AR2218" s="2"/>
      <c r="AS2218" s="2"/>
      <c r="AT2218" s="2"/>
      <c r="AU2218" s="2"/>
      <c r="AV2218" s="2"/>
      <c r="AW2218" s="2"/>
      <c r="AX2218" s="2"/>
      <c r="AY2218" s="2"/>
      <c r="AZ2218" s="2"/>
      <c r="BA2218" s="2"/>
      <c r="BB2218" s="2"/>
    </row>
    <row r="2219">
      <c r="A2219" s="2"/>
      <c r="B2219" s="2" t="str">
        <f>IFERROR(__xludf.DUMMYFUNCTION("""COMPUTED_VALUE"""),"")</f>
        <v/>
      </c>
      <c r="C2219" s="2"/>
      <c r="D2219" s="71"/>
      <c r="E2219" s="71" t="str">
        <f>IFERROR(__xludf.DUMMYFUNCTION("""COMPUTED_VALUE""")," ")</f>
        <v> </v>
      </c>
      <c r="F2219" s="2"/>
      <c r="G2219" s="2"/>
      <c r="H2219" s="2"/>
      <c r="I2219" s="72"/>
      <c r="J2219" s="72"/>
      <c r="K2219" s="72"/>
      <c r="L2219" s="72"/>
      <c r="M2219" s="2"/>
      <c r="N2219" s="2"/>
      <c r="O2219" s="2"/>
      <c r="P2219" s="2"/>
      <c r="Q2219" s="2"/>
      <c r="R2219" s="2"/>
      <c r="S2219" s="2"/>
      <c r="T2219" s="2"/>
      <c r="U2219" s="2"/>
      <c r="V2219" s="2"/>
      <c r="W2219" s="2"/>
      <c r="X2219" s="2"/>
      <c r="Y2219" s="2"/>
      <c r="Z2219" s="2"/>
      <c r="AA2219" s="2"/>
      <c r="AB2219" s="2"/>
      <c r="AC2219" s="2"/>
      <c r="AD2219" s="2"/>
      <c r="AE2219" s="2"/>
      <c r="AF2219" s="2"/>
      <c r="AG2219" s="2"/>
      <c r="AH2219" s="2"/>
      <c r="AI2219" s="2"/>
      <c r="AJ2219" s="2" t="str">
        <f>IFERROR(__xludf.DUMMYFUNCTION("""COMPUTED_VALUE"""),"")</f>
        <v/>
      </c>
      <c r="AK2219" s="2" t="str">
        <f>IFERROR(__xludf.DUMMYFUNCTION("""COMPUTED_VALUE"""),"")</f>
        <v/>
      </c>
      <c r="AL2219" s="2" t="str">
        <f>IFERROR(__xludf.DUMMYFUNCTION("""COMPUTED_VALUE"""),"")</f>
        <v/>
      </c>
      <c r="AM2219" s="2" t="str">
        <f>IFERROR(__xludf.DUMMYFUNCTION("""COMPUTED_VALUE"""),"")</f>
        <v/>
      </c>
      <c r="AN2219" s="2" t="str">
        <f>IFERROR(__xludf.DUMMYFUNCTION("""COMPUTED_VALUE""")," ")</f>
        <v> </v>
      </c>
      <c r="AO2219" s="2" t="str">
        <f>IFERROR(__xludf.DUMMYFUNCTION("""COMPUTED_VALUE""")," ")</f>
        <v> </v>
      </c>
      <c r="AP2219" s="2" t="str">
        <f>IFERROR(__xludf.DUMMYFUNCTION("""COMPUTED_VALUE"""),"")</f>
        <v/>
      </c>
      <c r="AQ2219" s="2"/>
      <c r="AR2219" s="2"/>
      <c r="AS2219" s="2"/>
      <c r="AT2219" s="2"/>
      <c r="AU2219" s="2"/>
      <c r="AV2219" s="2"/>
      <c r="AW2219" s="2"/>
      <c r="AX2219" s="2"/>
      <c r="AY2219" s="2"/>
      <c r="AZ2219" s="2"/>
      <c r="BA2219" s="2"/>
      <c r="BB2219" s="2"/>
    </row>
    <row r="2220">
      <c r="A2220" s="2"/>
      <c r="B2220" s="2" t="str">
        <f>IFERROR(__xludf.DUMMYFUNCTION("""COMPUTED_VALUE"""),"")</f>
        <v/>
      </c>
      <c r="C2220" s="2"/>
      <c r="D2220" s="71"/>
      <c r="E2220" s="71" t="str">
        <f>IFERROR(__xludf.DUMMYFUNCTION("""COMPUTED_VALUE""")," ")</f>
        <v> </v>
      </c>
      <c r="F2220" s="2"/>
      <c r="G2220" s="2"/>
      <c r="H2220" s="2"/>
      <c r="I2220" s="72"/>
      <c r="J2220" s="72"/>
      <c r="K2220" s="72"/>
      <c r="L2220" s="72"/>
      <c r="M2220" s="2"/>
      <c r="N2220" s="2"/>
      <c r="O2220" s="2"/>
      <c r="P2220" s="2"/>
      <c r="Q2220" s="2"/>
      <c r="R2220" s="2"/>
      <c r="S2220" s="2"/>
      <c r="T2220" s="2"/>
      <c r="U2220" s="2"/>
      <c r="V2220" s="2"/>
      <c r="W2220" s="2"/>
      <c r="X2220" s="2"/>
      <c r="Y2220" s="2"/>
      <c r="Z2220" s="2"/>
      <c r="AA2220" s="2"/>
      <c r="AB2220" s="2"/>
      <c r="AC2220" s="2"/>
      <c r="AD2220" s="2"/>
      <c r="AE2220" s="2"/>
      <c r="AF2220" s="2"/>
      <c r="AG2220" s="2"/>
      <c r="AH2220" s="2"/>
      <c r="AI2220" s="2"/>
      <c r="AJ2220" s="2" t="str">
        <f>IFERROR(__xludf.DUMMYFUNCTION("""COMPUTED_VALUE"""),"")</f>
        <v/>
      </c>
      <c r="AK2220" s="2" t="str">
        <f>IFERROR(__xludf.DUMMYFUNCTION("""COMPUTED_VALUE"""),"")</f>
        <v/>
      </c>
      <c r="AL2220" s="2" t="str">
        <f>IFERROR(__xludf.DUMMYFUNCTION("""COMPUTED_VALUE"""),"")</f>
        <v/>
      </c>
      <c r="AM2220" s="2" t="str">
        <f>IFERROR(__xludf.DUMMYFUNCTION("""COMPUTED_VALUE"""),"")</f>
        <v/>
      </c>
      <c r="AN2220" s="2" t="str">
        <f>IFERROR(__xludf.DUMMYFUNCTION("""COMPUTED_VALUE""")," ")</f>
        <v> </v>
      </c>
      <c r="AO2220" s="2" t="str">
        <f>IFERROR(__xludf.DUMMYFUNCTION("""COMPUTED_VALUE""")," ")</f>
        <v> </v>
      </c>
      <c r="AP2220" s="2" t="str">
        <f>IFERROR(__xludf.DUMMYFUNCTION("""COMPUTED_VALUE"""),"")</f>
        <v/>
      </c>
      <c r="AQ2220" s="2"/>
      <c r="AR2220" s="2"/>
      <c r="AS2220" s="2"/>
      <c r="AT2220" s="2"/>
      <c r="AU2220" s="2"/>
      <c r="AV2220" s="2"/>
      <c r="AW2220" s="2"/>
      <c r="AX2220" s="2"/>
      <c r="AY2220" s="2"/>
      <c r="AZ2220" s="2"/>
      <c r="BA2220" s="2"/>
      <c r="BB2220" s="2"/>
    </row>
    <row r="2221">
      <c r="A2221" s="2"/>
      <c r="B2221" s="2" t="str">
        <f>IFERROR(__xludf.DUMMYFUNCTION("""COMPUTED_VALUE"""),"")</f>
        <v/>
      </c>
      <c r="C2221" s="2"/>
      <c r="D2221" s="71"/>
      <c r="E2221" s="71" t="str">
        <f>IFERROR(__xludf.DUMMYFUNCTION("""COMPUTED_VALUE""")," ")</f>
        <v> </v>
      </c>
      <c r="F2221" s="2"/>
      <c r="G2221" s="2"/>
      <c r="H2221" s="2"/>
      <c r="I2221" s="72"/>
      <c r="J2221" s="72"/>
      <c r="K2221" s="72"/>
      <c r="L2221" s="72"/>
      <c r="M2221" s="2"/>
      <c r="N2221" s="2"/>
      <c r="O2221" s="2"/>
      <c r="P2221" s="2"/>
      <c r="Q2221" s="2"/>
      <c r="R2221" s="2"/>
      <c r="S2221" s="2"/>
      <c r="T2221" s="2"/>
      <c r="U2221" s="2"/>
      <c r="V2221" s="2"/>
      <c r="W2221" s="2"/>
      <c r="X2221" s="2"/>
      <c r="Y2221" s="2"/>
      <c r="Z2221" s="2"/>
      <c r="AA2221" s="2"/>
      <c r="AB2221" s="2"/>
      <c r="AC2221" s="2"/>
      <c r="AD2221" s="2"/>
      <c r="AE2221" s="2"/>
      <c r="AF2221" s="2"/>
      <c r="AG2221" s="2"/>
      <c r="AH2221" s="2"/>
      <c r="AI2221" s="2"/>
      <c r="AJ2221" s="2" t="str">
        <f>IFERROR(__xludf.DUMMYFUNCTION("""COMPUTED_VALUE"""),"")</f>
        <v/>
      </c>
      <c r="AK2221" s="2" t="str">
        <f>IFERROR(__xludf.DUMMYFUNCTION("""COMPUTED_VALUE"""),"")</f>
        <v/>
      </c>
      <c r="AL2221" s="2" t="str">
        <f>IFERROR(__xludf.DUMMYFUNCTION("""COMPUTED_VALUE"""),"")</f>
        <v/>
      </c>
      <c r="AM2221" s="2" t="str">
        <f>IFERROR(__xludf.DUMMYFUNCTION("""COMPUTED_VALUE"""),"")</f>
        <v/>
      </c>
      <c r="AN2221" s="2" t="str">
        <f>IFERROR(__xludf.DUMMYFUNCTION("""COMPUTED_VALUE""")," ")</f>
        <v> </v>
      </c>
      <c r="AO2221" s="2" t="str">
        <f>IFERROR(__xludf.DUMMYFUNCTION("""COMPUTED_VALUE""")," ")</f>
        <v> </v>
      </c>
      <c r="AP2221" s="2" t="str">
        <f>IFERROR(__xludf.DUMMYFUNCTION("""COMPUTED_VALUE"""),"")</f>
        <v/>
      </c>
      <c r="AQ2221" s="2"/>
      <c r="AR2221" s="2"/>
      <c r="AS2221" s="2"/>
      <c r="AT2221" s="2"/>
      <c r="AU2221" s="2"/>
      <c r="AV2221" s="2"/>
      <c r="AW2221" s="2"/>
      <c r="AX2221" s="2"/>
      <c r="AY2221" s="2"/>
      <c r="AZ2221" s="2"/>
      <c r="BA2221" s="2"/>
      <c r="BB2221" s="2"/>
    </row>
    <row r="2222">
      <c r="A2222" s="2"/>
      <c r="B2222" s="2" t="str">
        <f>IFERROR(__xludf.DUMMYFUNCTION("""COMPUTED_VALUE"""),"")</f>
        <v/>
      </c>
      <c r="C2222" s="2"/>
      <c r="D2222" s="71"/>
      <c r="E2222" s="71" t="str">
        <f>IFERROR(__xludf.DUMMYFUNCTION("""COMPUTED_VALUE""")," ")</f>
        <v> </v>
      </c>
      <c r="F2222" s="2"/>
      <c r="G2222" s="2"/>
      <c r="H2222" s="2"/>
      <c r="I2222" s="72"/>
      <c r="J2222" s="72"/>
      <c r="K2222" s="72"/>
      <c r="L2222" s="72"/>
      <c r="M2222" s="2"/>
      <c r="N2222" s="2"/>
      <c r="O2222" s="2"/>
      <c r="P2222" s="2"/>
      <c r="Q2222" s="2"/>
      <c r="R2222" s="2"/>
      <c r="S2222" s="2"/>
      <c r="T2222" s="2"/>
      <c r="U2222" s="2"/>
      <c r="V2222" s="2"/>
      <c r="W2222" s="2"/>
      <c r="X2222" s="2"/>
      <c r="Y2222" s="2"/>
      <c r="Z2222" s="2"/>
      <c r="AA2222" s="2"/>
      <c r="AB2222" s="2"/>
      <c r="AC2222" s="2"/>
      <c r="AD2222" s="2"/>
      <c r="AE2222" s="2"/>
      <c r="AF2222" s="2"/>
      <c r="AG2222" s="2"/>
      <c r="AH2222" s="2"/>
      <c r="AI2222" s="2"/>
      <c r="AJ2222" s="2" t="str">
        <f>IFERROR(__xludf.DUMMYFUNCTION("""COMPUTED_VALUE"""),"")</f>
        <v/>
      </c>
      <c r="AK2222" s="2" t="str">
        <f>IFERROR(__xludf.DUMMYFUNCTION("""COMPUTED_VALUE"""),"")</f>
        <v/>
      </c>
      <c r="AL2222" s="2" t="str">
        <f>IFERROR(__xludf.DUMMYFUNCTION("""COMPUTED_VALUE"""),"")</f>
        <v/>
      </c>
      <c r="AM2222" s="2" t="str">
        <f>IFERROR(__xludf.DUMMYFUNCTION("""COMPUTED_VALUE"""),"")</f>
        <v/>
      </c>
      <c r="AN2222" s="2" t="str">
        <f>IFERROR(__xludf.DUMMYFUNCTION("""COMPUTED_VALUE""")," ")</f>
        <v> </v>
      </c>
      <c r="AO2222" s="2" t="str">
        <f>IFERROR(__xludf.DUMMYFUNCTION("""COMPUTED_VALUE""")," ")</f>
        <v> </v>
      </c>
      <c r="AP2222" s="2" t="str">
        <f>IFERROR(__xludf.DUMMYFUNCTION("""COMPUTED_VALUE"""),"")</f>
        <v/>
      </c>
      <c r="AQ2222" s="2"/>
      <c r="AR2222" s="2"/>
      <c r="AS2222" s="2"/>
      <c r="AT2222" s="2"/>
      <c r="AU2222" s="2"/>
      <c r="AV2222" s="2"/>
      <c r="AW2222" s="2"/>
      <c r="AX2222" s="2"/>
      <c r="AY2222" s="2"/>
      <c r="AZ2222" s="2"/>
      <c r="BA2222" s="2"/>
      <c r="BB2222" s="2"/>
    </row>
    <row r="2223">
      <c r="A2223" s="2"/>
      <c r="B2223" s="2" t="str">
        <f>IFERROR(__xludf.DUMMYFUNCTION("""COMPUTED_VALUE"""),"")</f>
        <v/>
      </c>
      <c r="C2223" s="2"/>
      <c r="D2223" s="71"/>
      <c r="E2223" s="71" t="str">
        <f>IFERROR(__xludf.DUMMYFUNCTION("""COMPUTED_VALUE""")," ")</f>
        <v> </v>
      </c>
      <c r="F2223" s="2"/>
      <c r="G2223" s="2"/>
      <c r="H2223" s="2"/>
      <c r="I2223" s="72"/>
      <c r="J2223" s="72"/>
      <c r="K2223" s="72"/>
      <c r="L2223" s="72"/>
      <c r="M2223" s="2"/>
      <c r="N2223" s="2"/>
      <c r="O2223" s="2"/>
      <c r="P2223" s="2"/>
      <c r="Q2223" s="2"/>
      <c r="R2223" s="2"/>
      <c r="S2223" s="2"/>
      <c r="T2223" s="2"/>
      <c r="U2223" s="2"/>
      <c r="V2223" s="2"/>
      <c r="W2223" s="2"/>
      <c r="X2223" s="2"/>
      <c r="Y2223" s="2"/>
      <c r="Z2223" s="2"/>
      <c r="AA2223" s="2"/>
      <c r="AB2223" s="2"/>
      <c r="AC2223" s="2"/>
      <c r="AD2223" s="2"/>
      <c r="AE2223" s="2"/>
      <c r="AF2223" s="2"/>
      <c r="AG2223" s="2"/>
      <c r="AH2223" s="2"/>
      <c r="AI2223" s="2"/>
      <c r="AJ2223" s="2" t="str">
        <f>IFERROR(__xludf.DUMMYFUNCTION("""COMPUTED_VALUE"""),"")</f>
        <v/>
      </c>
      <c r="AK2223" s="2" t="str">
        <f>IFERROR(__xludf.DUMMYFUNCTION("""COMPUTED_VALUE"""),"")</f>
        <v/>
      </c>
      <c r="AL2223" s="2" t="str">
        <f>IFERROR(__xludf.DUMMYFUNCTION("""COMPUTED_VALUE"""),"")</f>
        <v/>
      </c>
      <c r="AM2223" s="2" t="str">
        <f>IFERROR(__xludf.DUMMYFUNCTION("""COMPUTED_VALUE"""),"")</f>
        <v/>
      </c>
      <c r="AN2223" s="2" t="str">
        <f>IFERROR(__xludf.DUMMYFUNCTION("""COMPUTED_VALUE""")," ")</f>
        <v> </v>
      </c>
      <c r="AO2223" s="2" t="str">
        <f>IFERROR(__xludf.DUMMYFUNCTION("""COMPUTED_VALUE""")," ")</f>
        <v> </v>
      </c>
      <c r="AP2223" s="2" t="str">
        <f>IFERROR(__xludf.DUMMYFUNCTION("""COMPUTED_VALUE"""),"")</f>
        <v/>
      </c>
      <c r="AQ2223" s="2"/>
      <c r="AR2223" s="2"/>
      <c r="AS2223" s="2"/>
      <c r="AT2223" s="2"/>
      <c r="AU2223" s="2"/>
      <c r="AV2223" s="2"/>
      <c r="AW2223" s="2"/>
      <c r="AX2223" s="2"/>
      <c r="AY2223" s="2"/>
      <c r="AZ2223" s="2"/>
      <c r="BA2223" s="2"/>
      <c r="BB2223" s="2"/>
    </row>
    <row r="2224">
      <c r="A2224" s="2"/>
      <c r="B2224" s="2" t="str">
        <f>IFERROR(__xludf.DUMMYFUNCTION("""COMPUTED_VALUE"""),"")</f>
        <v/>
      </c>
      <c r="C2224" s="2"/>
      <c r="D2224" s="71"/>
      <c r="E2224" s="71" t="str">
        <f>IFERROR(__xludf.DUMMYFUNCTION("""COMPUTED_VALUE""")," ")</f>
        <v> </v>
      </c>
      <c r="F2224" s="2"/>
      <c r="G2224" s="2"/>
      <c r="H2224" s="2"/>
      <c r="I2224" s="72"/>
      <c r="J2224" s="72"/>
      <c r="K2224" s="72"/>
      <c r="L2224" s="72"/>
      <c r="M2224" s="2"/>
      <c r="N2224" s="2"/>
      <c r="O2224" s="2"/>
      <c r="P2224" s="2"/>
      <c r="Q2224" s="2"/>
      <c r="R2224" s="2"/>
      <c r="S2224" s="2"/>
      <c r="T2224" s="2"/>
      <c r="U2224" s="2"/>
      <c r="V2224" s="2"/>
      <c r="W2224" s="2"/>
      <c r="X2224" s="2"/>
      <c r="Y2224" s="2"/>
      <c r="Z2224" s="2"/>
      <c r="AA2224" s="2"/>
      <c r="AB2224" s="2"/>
      <c r="AC2224" s="2"/>
      <c r="AD2224" s="2"/>
      <c r="AE2224" s="2"/>
      <c r="AF2224" s="2"/>
      <c r="AG2224" s="2"/>
      <c r="AH2224" s="2"/>
      <c r="AI2224" s="2"/>
      <c r="AJ2224" s="2" t="str">
        <f>IFERROR(__xludf.DUMMYFUNCTION("""COMPUTED_VALUE"""),"")</f>
        <v/>
      </c>
      <c r="AK2224" s="2" t="str">
        <f>IFERROR(__xludf.DUMMYFUNCTION("""COMPUTED_VALUE"""),"")</f>
        <v/>
      </c>
      <c r="AL2224" s="2" t="str">
        <f>IFERROR(__xludf.DUMMYFUNCTION("""COMPUTED_VALUE"""),"")</f>
        <v/>
      </c>
      <c r="AM2224" s="2" t="str">
        <f>IFERROR(__xludf.DUMMYFUNCTION("""COMPUTED_VALUE"""),"")</f>
        <v/>
      </c>
      <c r="AN2224" s="2" t="str">
        <f>IFERROR(__xludf.DUMMYFUNCTION("""COMPUTED_VALUE""")," ")</f>
        <v> </v>
      </c>
      <c r="AO2224" s="2" t="str">
        <f>IFERROR(__xludf.DUMMYFUNCTION("""COMPUTED_VALUE""")," ")</f>
        <v> </v>
      </c>
      <c r="AP2224" s="2" t="str">
        <f>IFERROR(__xludf.DUMMYFUNCTION("""COMPUTED_VALUE"""),"")</f>
        <v/>
      </c>
      <c r="AQ2224" s="2"/>
      <c r="AR2224" s="2"/>
      <c r="AS2224" s="2"/>
      <c r="AT2224" s="2"/>
      <c r="AU2224" s="2"/>
      <c r="AV2224" s="2"/>
      <c r="AW2224" s="2"/>
      <c r="AX2224" s="2"/>
      <c r="AY2224" s="2"/>
      <c r="AZ2224" s="2"/>
      <c r="BA2224" s="2"/>
      <c r="BB2224" s="2"/>
    </row>
    <row r="2225">
      <c r="A2225" s="2"/>
      <c r="B2225" s="2" t="str">
        <f>IFERROR(__xludf.DUMMYFUNCTION("""COMPUTED_VALUE"""),"")</f>
        <v/>
      </c>
      <c r="C2225" s="2"/>
      <c r="D2225" s="71"/>
      <c r="E2225" s="71" t="str">
        <f>IFERROR(__xludf.DUMMYFUNCTION("""COMPUTED_VALUE""")," ")</f>
        <v> </v>
      </c>
      <c r="F2225" s="2"/>
      <c r="G2225" s="2"/>
      <c r="H2225" s="2"/>
      <c r="I2225" s="72"/>
      <c r="J2225" s="72"/>
      <c r="K2225" s="72"/>
      <c r="L2225" s="72"/>
      <c r="M2225" s="2"/>
      <c r="N2225" s="2"/>
      <c r="O2225" s="2"/>
      <c r="P2225" s="2"/>
      <c r="Q2225" s="2"/>
      <c r="R2225" s="2"/>
      <c r="S2225" s="2"/>
      <c r="T2225" s="2"/>
      <c r="U2225" s="2"/>
      <c r="V2225" s="2"/>
      <c r="W2225" s="2"/>
      <c r="X2225" s="2"/>
      <c r="Y2225" s="2"/>
      <c r="Z2225" s="2"/>
      <c r="AA2225" s="2"/>
      <c r="AB2225" s="2"/>
      <c r="AC2225" s="2"/>
      <c r="AD2225" s="2"/>
      <c r="AE2225" s="2"/>
      <c r="AF2225" s="2"/>
      <c r="AG2225" s="2"/>
      <c r="AH2225" s="2"/>
      <c r="AI2225" s="2"/>
      <c r="AJ2225" s="2" t="str">
        <f>IFERROR(__xludf.DUMMYFUNCTION("""COMPUTED_VALUE"""),"")</f>
        <v/>
      </c>
      <c r="AK2225" s="2" t="str">
        <f>IFERROR(__xludf.DUMMYFUNCTION("""COMPUTED_VALUE"""),"")</f>
        <v/>
      </c>
      <c r="AL2225" s="2" t="str">
        <f>IFERROR(__xludf.DUMMYFUNCTION("""COMPUTED_VALUE"""),"")</f>
        <v/>
      </c>
      <c r="AM2225" s="2" t="str">
        <f>IFERROR(__xludf.DUMMYFUNCTION("""COMPUTED_VALUE"""),"")</f>
        <v/>
      </c>
      <c r="AN2225" s="2" t="str">
        <f>IFERROR(__xludf.DUMMYFUNCTION("""COMPUTED_VALUE""")," ")</f>
        <v> </v>
      </c>
      <c r="AO2225" s="2" t="str">
        <f>IFERROR(__xludf.DUMMYFUNCTION("""COMPUTED_VALUE""")," ")</f>
        <v> </v>
      </c>
      <c r="AP2225" s="2" t="str">
        <f>IFERROR(__xludf.DUMMYFUNCTION("""COMPUTED_VALUE"""),"")</f>
        <v/>
      </c>
      <c r="AQ2225" s="2"/>
      <c r="AR2225" s="2"/>
      <c r="AS2225" s="2"/>
      <c r="AT2225" s="2"/>
      <c r="AU2225" s="2"/>
      <c r="AV2225" s="2"/>
      <c r="AW2225" s="2"/>
      <c r="AX2225" s="2"/>
      <c r="AY2225" s="2"/>
      <c r="AZ2225" s="2"/>
      <c r="BA2225" s="2"/>
      <c r="BB2225" s="2"/>
    </row>
    <row r="2226">
      <c r="A2226" s="2"/>
      <c r="B2226" s="2" t="str">
        <f>IFERROR(__xludf.DUMMYFUNCTION("""COMPUTED_VALUE"""),"")</f>
        <v/>
      </c>
      <c r="C2226" s="2"/>
      <c r="D2226" s="71"/>
      <c r="E2226" s="71" t="str">
        <f>IFERROR(__xludf.DUMMYFUNCTION("""COMPUTED_VALUE""")," ")</f>
        <v> </v>
      </c>
      <c r="F2226" s="2"/>
      <c r="G2226" s="2"/>
      <c r="H2226" s="2"/>
      <c r="I2226" s="72"/>
      <c r="J2226" s="72"/>
      <c r="K2226" s="72"/>
      <c r="L2226" s="72"/>
      <c r="M2226" s="2"/>
      <c r="N2226" s="2"/>
      <c r="O2226" s="2"/>
      <c r="P2226" s="2"/>
      <c r="Q2226" s="2"/>
      <c r="R2226" s="2"/>
      <c r="S2226" s="2"/>
      <c r="T2226" s="2"/>
      <c r="U2226" s="2"/>
      <c r="V2226" s="2"/>
      <c r="W2226" s="2"/>
      <c r="X2226" s="2"/>
      <c r="Y2226" s="2"/>
      <c r="Z2226" s="2"/>
      <c r="AA2226" s="2"/>
      <c r="AB2226" s="2"/>
      <c r="AC2226" s="2"/>
      <c r="AD2226" s="2"/>
      <c r="AE2226" s="2"/>
      <c r="AF2226" s="2"/>
      <c r="AG2226" s="2"/>
      <c r="AH2226" s="2"/>
      <c r="AI2226" s="2"/>
      <c r="AJ2226" s="2" t="str">
        <f>IFERROR(__xludf.DUMMYFUNCTION("""COMPUTED_VALUE"""),"")</f>
        <v/>
      </c>
      <c r="AK2226" s="2" t="str">
        <f>IFERROR(__xludf.DUMMYFUNCTION("""COMPUTED_VALUE"""),"")</f>
        <v/>
      </c>
      <c r="AL2226" s="2" t="str">
        <f>IFERROR(__xludf.DUMMYFUNCTION("""COMPUTED_VALUE"""),"")</f>
        <v/>
      </c>
      <c r="AM2226" s="2" t="str">
        <f>IFERROR(__xludf.DUMMYFUNCTION("""COMPUTED_VALUE"""),"")</f>
        <v/>
      </c>
      <c r="AN2226" s="2" t="str">
        <f>IFERROR(__xludf.DUMMYFUNCTION("""COMPUTED_VALUE""")," ")</f>
        <v> </v>
      </c>
      <c r="AO2226" s="2" t="str">
        <f>IFERROR(__xludf.DUMMYFUNCTION("""COMPUTED_VALUE""")," ")</f>
        <v> </v>
      </c>
      <c r="AP2226" s="2" t="str">
        <f>IFERROR(__xludf.DUMMYFUNCTION("""COMPUTED_VALUE"""),"")</f>
        <v/>
      </c>
      <c r="AQ2226" s="2"/>
      <c r="AR2226" s="2"/>
      <c r="AS2226" s="2"/>
      <c r="AT2226" s="2"/>
      <c r="AU2226" s="2"/>
      <c r="AV2226" s="2"/>
      <c r="AW2226" s="2"/>
      <c r="AX2226" s="2"/>
      <c r="AY2226" s="2"/>
      <c r="AZ2226" s="2"/>
      <c r="BA2226" s="2"/>
      <c r="BB2226" s="2"/>
    </row>
    <row r="2227">
      <c r="A2227" s="2"/>
      <c r="B2227" s="2" t="str">
        <f>IFERROR(__xludf.DUMMYFUNCTION("""COMPUTED_VALUE"""),"")</f>
        <v/>
      </c>
      <c r="C2227" s="2"/>
      <c r="D2227" s="71"/>
      <c r="E2227" s="71" t="str">
        <f>IFERROR(__xludf.DUMMYFUNCTION("""COMPUTED_VALUE""")," ")</f>
        <v> </v>
      </c>
      <c r="F2227" s="2"/>
      <c r="G2227" s="2"/>
      <c r="H2227" s="2"/>
      <c r="I2227" s="72"/>
      <c r="J2227" s="72"/>
      <c r="K2227" s="72"/>
      <c r="L2227" s="72"/>
      <c r="M2227" s="2"/>
      <c r="N2227" s="2"/>
      <c r="O2227" s="2"/>
      <c r="P2227" s="2"/>
      <c r="Q2227" s="2"/>
      <c r="R2227" s="2"/>
      <c r="S2227" s="2"/>
      <c r="T2227" s="2"/>
      <c r="U2227" s="2"/>
      <c r="V2227" s="2"/>
      <c r="W2227" s="2"/>
      <c r="X2227" s="2"/>
      <c r="Y2227" s="2"/>
      <c r="Z2227" s="2"/>
      <c r="AA2227" s="2"/>
      <c r="AB2227" s="2"/>
      <c r="AC2227" s="2"/>
      <c r="AD2227" s="2"/>
      <c r="AE2227" s="2"/>
      <c r="AF2227" s="2"/>
      <c r="AG2227" s="2"/>
      <c r="AH2227" s="2"/>
      <c r="AI2227" s="2"/>
      <c r="AJ2227" s="2" t="str">
        <f>IFERROR(__xludf.DUMMYFUNCTION("""COMPUTED_VALUE"""),"")</f>
        <v/>
      </c>
      <c r="AK2227" s="2" t="str">
        <f>IFERROR(__xludf.DUMMYFUNCTION("""COMPUTED_VALUE"""),"")</f>
        <v/>
      </c>
      <c r="AL2227" s="2" t="str">
        <f>IFERROR(__xludf.DUMMYFUNCTION("""COMPUTED_VALUE"""),"")</f>
        <v/>
      </c>
      <c r="AM2227" s="2" t="str">
        <f>IFERROR(__xludf.DUMMYFUNCTION("""COMPUTED_VALUE"""),"")</f>
        <v/>
      </c>
      <c r="AN2227" s="2" t="str">
        <f>IFERROR(__xludf.DUMMYFUNCTION("""COMPUTED_VALUE""")," ")</f>
        <v> </v>
      </c>
      <c r="AO2227" s="2" t="str">
        <f>IFERROR(__xludf.DUMMYFUNCTION("""COMPUTED_VALUE""")," ")</f>
        <v> </v>
      </c>
      <c r="AP2227" s="2" t="str">
        <f>IFERROR(__xludf.DUMMYFUNCTION("""COMPUTED_VALUE"""),"")</f>
        <v/>
      </c>
      <c r="AQ2227" s="2"/>
      <c r="AR2227" s="2"/>
      <c r="AS2227" s="2"/>
      <c r="AT2227" s="2"/>
      <c r="AU2227" s="2"/>
      <c r="AV2227" s="2"/>
      <c r="AW2227" s="2"/>
      <c r="AX2227" s="2"/>
      <c r="AY2227" s="2"/>
      <c r="AZ2227" s="2"/>
      <c r="BA2227" s="2"/>
      <c r="BB2227" s="2"/>
    </row>
    <row r="2228">
      <c r="A2228" s="2"/>
      <c r="B2228" s="2" t="str">
        <f>IFERROR(__xludf.DUMMYFUNCTION("""COMPUTED_VALUE"""),"")</f>
        <v/>
      </c>
      <c r="C2228" s="2"/>
      <c r="D2228" s="71"/>
      <c r="E2228" s="71" t="str">
        <f>IFERROR(__xludf.DUMMYFUNCTION("""COMPUTED_VALUE""")," ")</f>
        <v> </v>
      </c>
      <c r="F2228" s="2"/>
      <c r="G2228" s="2"/>
      <c r="H2228" s="2"/>
      <c r="I2228" s="72"/>
      <c r="J2228" s="72"/>
      <c r="K2228" s="72"/>
      <c r="L2228" s="72"/>
      <c r="M2228" s="2"/>
      <c r="N2228" s="2"/>
      <c r="O2228" s="2"/>
      <c r="P2228" s="2"/>
      <c r="Q2228" s="2"/>
      <c r="R2228" s="2"/>
      <c r="S2228" s="2"/>
      <c r="T2228" s="2"/>
      <c r="U2228" s="2"/>
      <c r="V2228" s="2"/>
      <c r="W2228" s="2"/>
      <c r="X2228" s="2"/>
      <c r="Y2228" s="2"/>
      <c r="Z2228" s="2"/>
      <c r="AA2228" s="2"/>
      <c r="AB2228" s="2"/>
      <c r="AC2228" s="2"/>
      <c r="AD2228" s="2"/>
      <c r="AE2228" s="2"/>
      <c r="AF2228" s="2"/>
      <c r="AG2228" s="2"/>
      <c r="AH2228" s="2"/>
      <c r="AI2228" s="2"/>
      <c r="AJ2228" s="2" t="str">
        <f>IFERROR(__xludf.DUMMYFUNCTION("""COMPUTED_VALUE"""),"")</f>
        <v/>
      </c>
      <c r="AK2228" s="2" t="str">
        <f>IFERROR(__xludf.DUMMYFUNCTION("""COMPUTED_VALUE"""),"")</f>
        <v/>
      </c>
      <c r="AL2228" s="2" t="str">
        <f>IFERROR(__xludf.DUMMYFUNCTION("""COMPUTED_VALUE"""),"")</f>
        <v/>
      </c>
      <c r="AM2228" s="2" t="str">
        <f>IFERROR(__xludf.DUMMYFUNCTION("""COMPUTED_VALUE"""),"")</f>
        <v/>
      </c>
      <c r="AN2228" s="2" t="str">
        <f>IFERROR(__xludf.DUMMYFUNCTION("""COMPUTED_VALUE""")," ")</f>
        <v> </v>
      </c>
      <c r="AO2228" s="2" t="str">
        <f>IFERROR(__xludf.DUMMYFUNCTION("""COMPUTED_VALUE""")," ")</f>
        <v> </v>
      </c>
      <c r="AP2228" s="2" t="str">
        <f>IFERROR(__xludf.DUMMYFUNCTION("""COMPUTED_VALUE"""),"")</f>
        <v/>
      </c>
      <c r="AQ2228" s="2"/>
      <c r="AR2228" s="2"/>
      <c r="AS2228" s="2"/>
      <c r="AT2228" s="2"/>
      <c r="AU2228" s="2"/>
      <c r="AV2228" s="2"/>
      <c r="AW2228" s="2"/>
      <c r="AX2228" s="2"/>
      <c r="AY2228" s="2"/>
      <c r="AZ2228" s="2"/>
      <c r="BA2228" s="2"/>
      <c r="BB2228" s="2"/>
    </row>
    <row r="2229">
      <c r="A2229" s="2"/>
      <c r="B2229" s="2" t="str">
        <f>IFERROR(__xludf.DUMMYFUNCTION("""COMPUTED_VALUE"""),"")</f>
        <v/>
      </c>
      <c r="C2229" s="2"/>
      <c r="D2229" s="71"/>
      <c r="E2229" s="71" t="str">
        <f>IFERROR(__xludf.DUMMYFUNCTION("""COMPUTED_VALUE""")," ")</f>
        <v> </v>
      </c>
      <c r="F2229" s="2"/>
      <c r="G2229" s="2"/>
      <c r="H2229" s="2"/>
      <c r="I2229" s="72"/>
      <c r="J2229" s="72"/>
      <c r="K2229" s="72"/>
      <c r="L2229" s="72"/>
      <c r="M2229" s="2"/>
      <c r="N2229" s="2"/>
      <c r="O2229" s="2"/>
      <c r="P2229" s="2"/>
      <c r="Q2229" s="2"/>
      <c r="R2229" s="2"/>
      <c r="S2229" s="2"/>
      <c r="T2229" s="2"/>
      <c r="U2229" s="2"/>
      <c r="V2229" s="2"/>
      <c r="W2229" s="2"/>
      <c r="X2229" s="2"/>
      <c r="Y2229" s="2"/>
      <c r="Z2229" s="2"/>
      <c r="AA2229" s="2"/>
      <c r="AB2229" s="2"/>
      <c r="AC2229" s="2"/>
      <c r="AD2229" s="2"/>
      <c r="AE2229" s="2"/>
      <c r="AF2229" s="2"/>
      <c r="AG2229" s="2"/>
      <c r="AH2229" s="2"/>
      <c r="AI2229" s="2"/>
      <c r="AJ2229" s="2" t="str">
        <f>IFERROR(__xludf.DUMMYFUNCTION("""COMPUTED_VALUE"""),"")</f>
        <v/>
      </c>
      <c r="AK2229" s="2" t="str">
        <f>IFERROR(__xludf.DUMMYFUNCTION("""COMPUTED_VALUE"""),"")</f>
        <v/>
      </c>
      <c r="AL2229" s="2" t="str">
        <f>IFERROR(__xludf.DUMMYFUNCTION("""COMPUTED_VALUE"""),"")</f>
        <v/>
      </c>
      <c r="AM2229" s="2" t="str">
        <f>IFERROR(__xludf.DUMMYFUNCTION("""COMPUTED_VALUE"""),"")</f>
        <v/>
      </c>
      <c r="AN2229" s="2" t="str">
        <f>IFERROR(__xludf.DUMMYFUNCTION("""COMPUTED_VALUE""")," ")</f>
        <v> </v>
      </c>
      <c r="AO2229" s="2" t="str">
        <f>IFERROR(__xludf.DUMMYFUNCTION("""COMPUTED_VALUE""")," ")</f>
        <v> </v>
      </c>
      <c r="AP2229" s="2" t="str">
        <f>IFERROR(__xludf.DUMMYFUNCTION("""COMPUTED_VALUE"""),"")</f>
        <v/>
      </c>
      <c r="AQ2229" s="2"/>
      <c r="AR2229" s="2"/>
      <c r="AS2229" s="2"/>
      <c r="AT2229" s="2"/>
      <c r="AU2229" s="2"/>
      <c r="AV2229" s="2"/>
      <c r="AW2229" s="2"/>
      <c r="AX2229" s="2"/>
      <c r="AY2229" s="2"/>
      <c r="AZ2229" s="2"/>
      <c r="BA2229" s="2"/>
      <c r="BB2229" s="2"/>
    </row>
    <row r="2230">
      <c r="A2230" s="2"/>
      <c r="B2230" s="2" t="str">
        <f>IFERROR(__xludf.DUMMYFUNCTION("""COMPUTED_VALUE"""),"")</f>
        <v/>
      </c>
      <c r="C2230" s="2"/>
      <c r="D2230" s="71"/>
      <c r="E2230" s="71" t="str">
        <f>IFERROR(__xludf.DUMMYFUNCTION("""COMPUTED_VALUE""")," ")</f>
        <v> </v>
      </c>
      <c r="F2230" s="2"/>
      <c r="G2230" s="2"/>
      <c r="H2230" s="2"/>
      <c r="I2230" s="72"/>
      <c r="J2230" s="72"/>
      <c r="K2230" s="72"/>
      <c r="L2230" s="72"/>
      <c r="M2230" s="2"/>
      <c r="N2230" s="2"/>
      <c r="O2230" s="2"/>
      <c r="P2230" s="2"/>
      <c r="Q2230" s="2"/>
      <c r="R2230" s="2"/>
      <c r="S2230" s="2"/>
      <c r="T2230" s="2"/>
      <c r="U2230" s="2"/>
      <c r="V2230" s="2"/>
      <c r="W2230" s="2"/>
      <c r="X2230" s="2"/>
      <c r="Y2230" s="2"/>
      <c r="Z2230" s="2"/>
      <c r="AA2230" s="2"/>
      <c r="AB2230" s="2"/>
      <c r="AC2230" s="2"/>
      <c r="AD2230" s="2"/>
      <c r="AE2230" s="2"/>
      <c r="AF2230" s="2"/>
      <c r="AG2230" s="2"/>
      <c r="AH2230" s="2"/>
      <c r="AI2230" s="2"/>
      <c r="AJ2230" s="2" t="str">
        <f>IFERROR(__xludf.DUMMYFUNCTION("""COMPUTED_VALUE"""),"")</f>
        <v/>
      </c>
      <c r="AK2230" s="2" t="str">
        <f>IFERROR(__xludf.DUMMYFUNCTION("""COMPUTED_VALUE"""),"")</f>
        <v/>
      </c>
      <c r="AL2230" s="2" t="str">
        <f>IFERROR(__xludf.DUMMYFUNCTION("""COMPUTED_VALUE"""),"")</f>
        <v/>
      </c>
      <c r="AM2230" s="2" t="str">
        <f>IFERROR(__xludf.DUMMYFUNCTION("""COMPUTED_VALUE"""),"")</f>
        <v/>
      </c>
      <c r="AN2230" s="2" t="str">
        <f>IFERROR(__xludf.DUMMYFUNCTION("""COMPUTED_VALUE""")," ")</f>
        <v> </v>
      </c>
      <c r="AO2230" s="2" t="str">
        <f>IFERROR(__xludf.DUMMYFUNCTION("""COMPUTED_VALUE""")," ")</f>
        <v> </v>
      </c>
      <c r="AP2230" s="2" t="str">
        <f>IFERROR(__xludf.DUMMYFUNCTION("""COMPUTED_VALUE"""),"")</f>
        <v/>
      </c>
      <c r="AQ2230" s="2"/>
      <c r="AR2230" s="2"/>
      <c r="AS2230" s="2"/>
      <c r="AT2230" s="2"/>
      <c r="AU2230" s="2"/>
      <c r="AV2230" s="2"/>
      <c r="AW2230" s="2"/>
      <c r="AX2230" s="2"/>
      <c r="AY2230" s="2"/>
      <c r="AZ2230" s="2"/>
      <c r="BA2230" s="2"/>
      <c r="BB2230" s="2"/>
    </row>
    <row r="2231">
      <c r="A2231" s="2"/>
      <c r="B2231" s="2" t="str">
        <f>IFERROR(__xludf.DUMMYFUNCTION("""COMPUTED_VALUE"""),"")</f>
        <v/>
      </c>
      <c r="C2231" s="2"/>
      <c r="D2231" s="71"/>
      <c r="E2231" s="71" t="str">
        <f>IFERROR(__xludf.DUMMYFUNCTION("""COMPUTED_VALUE""")," ")</f>
        <v> </v>
      </c>
      <c r="F2231" s="2"/>
      <c r="G2231" s="2"/>
      <c r="H2231" s="2"/>
      <c r="I2231" s="72"/>
      <c r="J2231" s="72"/>
      <c r="K2231" s="72"/>
      <c r="L2231" s="72"/>
      <c r="M2231" s="2"/>
      <c r="N2231" s="2"/>
      <c r="O2231" s="2"/>
      <c r="P2231" s="2"/>
      <c r="Q2231" s="2"/>
      <c r="R2231" s="2"/>
      <c r="S2231" s="2"/>
      <c r="T2231" s="2"/>
      <c r="U2231" s="2"/>
      <c r="V2231" s="2"/>
      <c r="W2231" s="2"/>
      <c r="X2231" s="2"/>
      <c r="Y2231" s="2"/>
      <c r="Z2231" s="2"/>
      <c r="AA2231" s="2"/>
      <c r="AB2231" s="2"/>
      <c r="AC2231" s="2"/>
      <c r="AD2231" s="2"/>
      <c r="AE2231" s="2"/>
      <c r="AF2231" s="2"/>
      <c r="AG2231" s="2"/>
      <c r="AH2231" s="2"/>
      <c r="AI2231" s="2"/>
      <c r="AJ2231" s="2" t="str">
        <f>IFERROR(__xludf.DUMMYFUNCTION("""COMPUTED_VALUE"""),"")</f>
        <v/>
      </c>
      <c r="AK2231" s="2" t="str">
        <f>IFERROR(__xludf.DUMMYFUNCTION("""COMPUTED_VALUE"""),"")</f>
        <v/>
      </c>
      <c r="AL2231" s="2" t="str">
        <f>IFERROR(__xludf.DUMMYFUNCTION("""COMPUTED_VALUE"""),"")</f>
        <v/>
      </c>
      <c r="AM2231" s="2" t="str">
        <f>IFERROR(__xludf.DUMMYFUNCTION("""COMPUTED_VALUE"""),"")</f>
        <v/>
      </c>
      <c r="AN2231" s="2" t="str">
        <f>IFERROR(__xludf.DUMMYFUNCTION("""COMPUTED_VALUE""")," ")</f>
        <v> </v>
      </c>
      <c r="AO2231" s="2" t="str">
        <f>IFERROR(__xludf.DUMMYFUNCTION("""COMPUTED_VALUE""")," ")</f>
        <v> </v>
      </c>
      <c r="AP2231" s="2" t="str">
        <f>IFERROR(__xludf.DUMMYFUNCTION("""COMPUTED_VALUE"""),"")</f>
        <v/>
      </c>
      <c r="AQ2231" s="2"/>
      <c r="AR2231" s="2"/>
      <c r="AS2231" s="2"/>
      <c r="AT2231" s="2"/>
      <c r="AU2231" s="2"/>
      <c r="AV2231" s="2"/>
      <c r="AW2231" s="2"/>
      <c r="AX2231" s="2"/>
      <c r="AY2231" s="2"/>
      <c r="AZ2231" s="2"/>
      <c r="BA2231" s="2"/>
      <c r="BB2231" s="2"/>
    </row>
    <row r="2232">
      <c r="A2232" s="2"/>
      <c r="B2232" s="2" t="str">
        <f>IFERROR(__xludf.DUMMYFUNCTION("""COMPUTED_VALUE"""),"")</f>
        <v/>
      </c>
      <c r="C2232" s="2"/>
      <c r="D2232" s="71"/>
      <c r="E2232" s="71" t="str">
        <f>IFERROR(__xludf.DUMMYFUNCTION("""COMPUTED_VALUE""")," ")</f>
        <v> </v>
      </c>
      <c r="F2232" s="2"/>
      <c r="G2232" s="2"/>
      <c r="H2232" s="2"/>
      <c r="I2232" s="72"/>
      <c r="J2232" s="72"/>
      <c r="K2232" s="72"/>
      <c r="L2232" s="72"/>
      <c r="M2232" s="2"/>
      <c r="N2232" s="2"/>
      <c r="O2232" s="2"/>
      <c r="P2232" s="2"/>
      <c r="Q2232" s="2"/>
      <c r="R2232" s="2"/>
      <c r="S2232" s="2"/>
      <c r="T2232" s="2"/>
      <c r="U2232" s="2"/>
      <c r="V2232" s="2"/>
      <c r="W2232" s="2"/>
      <c r="X2232" s="2"/>
      <c r="Y2232" s="2"/>
      <c r="Z2232" s="2"/>
      <c r="AA2232" s="2"/>
      <c r="AB2232" s="2"/>
      <c r="AC2232" s="2"/>
      <c r="AD2232" s="2"/>
      <c r="AE2232" s="2"/>
      <c r="AF2232" s="2"/>
      <c r="AG2232" s="2"/>
      <c r="AH2232" s="2"/>
      <c r="AI2232" s="2"/>
      <c r="AJ2232" s="2" t="str">
        <f>IFERROR(__xludf.DUMMYFUNCTION("""COMPUTED_VALUE"""),"")</f>
        <v/>
      </c>
      <c r="AK2232" s="2" t="str">
        <f>IFERROR(__xludf.DUMMYFUNCTION("""COMPUTED_VALUE"""),"")</f>
        <v/>
      </c>
      <c r="AL2232" s="2" t="str">
        <f>IFERROR(__xludf.DUMMYFUNCTION("""COMPUTED_VALUE"""),"")</f>
        <v/>
      </c>
      <c r="AM2232" s="2" t="str">
        <f>IFERROR(__xludf.DUMMYFUNCTION("""COMPUTED_VALUE"""),"")</f>
        <v/>
      </c>
      <c r="AN2232" s="2" t="str">
        <f>IFERROR(__xludf.DUMMYFUNCTION("""COMPUTED_VALUE""")," ")</f>
        <v> </v>
      </c>
      <c r="AO2232" s="2" t="str">
        <f>IFERROR(__xludf.DUMMYFUNCTION("""COMPUTED_VALUE""")," ")</f>
        <v> </v>
      </c>
      <c r="AP2232" s="2" t="str">
        <f>IFERROR(__xludf.DUMMYFUNCTION("""COMPUTED_VALUE"""),"")</f>
        <v/>
      </c>
      <c r="AQ2232" s="2"/>
      <c r="AR2232" s="2"/>
      <c r="AS2232" s="2"/>
      <c r="AT2232" s="2"/>
      <c r="AU2232" s="2"/>
      <c r="AV2232" s="2"/>
      <c r="AW2232" s="2"/>
      <c r="AX2232" s="2"/>
      <c r="AY2232" s="2"/>
      <c r="AZ2232" s="2"/>
      <c r="BA2232" s="2"/>
      <c r="BB2232" s="2"/>
    </row>
    <row r="2233">
      <c r="A2233" s="2"/>
      <c r="B2233" s="2" t="str">
        <f>IFERROR(__xludf.DUMMYFUNCTION("""COMPUTED_VALUE"""),"")</f>
        <v/>
      </c>
      <c r="C2233" s="2"/>
      <c r="D2233" s="71"/>
      <c r="E2233" s="71" t="str">
        <f>IFERROR(__xludf.DUMMYFUNCTION("""COMPUTED_VALUE""")," ")</f>
        <v> </v>
      </c>
      <c r="F2233" s="2"/>
      <c r="G2233" s="2"/>
      <c r="H2233" s="2"/>
      <c r="I2233" s="72"/>
      <c r="J2233" s="72"/>
      <c r="K2233" s="72"/>
      <c r="L2233" s="72"/>
      <c r="M2233" s="2"/>
      <c r="N2233" s="2"/>
      <c r="O2233" s="2"/>
      <c r="P2233" s="2"/>
      <c r="Q2233" s="2"/>
      <c r="R2233" s="2"/>
      <c r="S2233" s="2"/>
      <c r="T2233" s="2"/>
      <c r="U2233" s="2"/>
      <c r="V2233" s="2"/>
      <c r="W2233" s="2"/>
      <c r="X2233" s="2"/>
      <c r="Y2233" s="2"/>
      <c r="Z2233" s="2"/>
      <c r="AA2233" s="2"/>
      <c r="AB2233" s="2"/>
      <c r="AC2233" s="2"/>
      <c r="AD2233" s="2"/>
      <c r="AE2233" s="2"/>
      <c r="AF2233" s="2"/>
      <c r="AG2233" s="2"/>
      <c r="AH2233" s="2"/>
      <c r="AI2233" s="2"/>
      <c r="AJ2233" s="2" t="str">
        <f>IFERROR(__xludf.DUMMYFUNCTION("""COMPUTED_VALUE"""),"")</f>
        <v/>
      </c>
      <c r="AK2233" s="2" t="str">
        <f>IFERROR(__xludf.DUMMYFUNCTION("""COMPUTED_VALUE"""),"")</f>
        <v/>
      </c>
      <c r="AL2233" s="2" t="str">
        <f>IFERROR(__xludf.DUMMYFUNCTION("""COMPUTED_VALUE"""),"")</f>
        <v/>
      </c>
      <c r="AM2233" s="2" t="str">
        <f>IFERROR(__xludf.DUMMYFUNCTION("""COMPUTED_VALUE"""),"")</f>
        <v/>
      </c>
      <c r="AN2233" s="2" t="str">
        <f>IFERROR(__xludf.DUMMYFUNCTION("""COMPUTED_VALUE""")," ")</f>
        <v> </v>
      </c>
      <c r="AO2233" s="2" t="str">
        <f>IFERROR(__xludf.DUMMYFUNCTION("""COMPUTED_VALUE""")," ")</f>
        <v> </v>
      </c>
      <c r="AP2233" s="2" t="str">
        <f>IFERROR(__xludf.DUMMYFUNCTION("""COMPUTED_VALUE"""),"")</f>
        <v/>
      </c>
      <c r="AQ2233" s="2"/>
      <c r="AR2233" s="2"/>
      <c r="AS2233" s="2"/>
      <c r="AT2233" s="2"/>
      <c r="AU2233" s="2"/>
      <c r="AV2233" s="2"/>
      <c r="AW2233" s="2"/>
      <c r="AX2233" s="2"/>
      <c r="AY2233" s="2"/>
      <c r="AZ2233" s="2"/>
      <c r="BA2233" s="2"/>
      <c r="BB2233" s="2"/>
    </row>
    <row r="2234">
      <c r="A2234" s="2"/>
      <c r="B2234" s="2" t="str">
        <f>IFERROR(__xludf.DUMMYFUNCTION("""COMPUTED_VALUE"""),"")</f>
        <v/>
      </c>
      <c r="C2234" s="2"/>
      <c r="D2234" s="71"/>
      <c r="E2234" s="71" t="str">
        <f>IFERROR(__xludf.DUMMYFUNCTION("""COMPUTED_VALUE""")," ")</f>
        <v> </v>
      </c>
      <c r="F2234" s="2"/>
      <c r="G2234" s="2"/>
      <c r="H2234" s="2"/>
      <c r="I2234" s="72"/>
      <c r="J2234" s="72"/>
      <c r="K2234" s="72"/>
      <c r="L2234" s="72"/>
      <c r="M2234" s="2"/>
      <c r="N2234" s="2"/>
      <c r="O2234" s="2"/>
      <c r="P2234" s="2"/>
      <c r="Q2234" s="2"/>
      <c r="R2234" s="2"/>
      <c r="S2234" s="2"/>
      <c r="T2234" s="2"/>
      <c r="U2234" s="2"/>
      <c r="V2234" s="2"/>
      <c r="W2234" s="2"/>
      <c r="X2234" s="2"/>
      <c r="Y2234" s="2"/>
      <c r="Z2234" s="2"/>
      <c r="AA2234" s="2"/>
      <c r="AB2234" s="2"/>
      <c r="AC2234" s="2"/>
      <c r="AD2234" s="2"/>
      <c r="AE2234" s="2"/>
      <c r="AF2234" s="2"/>
      <c r="AG2234" s="2"/>
      <c r="AH2234" s="2"/>
      <c r="AI2234" s="2"/>
      <c r="AJ2234" s="2" t="str">
        <f>IFERROR(__xludf.DUMMYFUNCTION("""COMPUTED_VALUE"""),"")</f>
        <v/>
      </c>
      <c r="AK2234" s="2" t="str">
        <f>IFERROR(__xludf.DUMMYFUNCTION("""COMPUTED_VALUE"""),"")</f>
        <v/>
      </c>
      <c r="AL2234" s="2" t="str">
        <f>IFERROR(__xludf.DUMMYFUNCTION("""COMPUTED_VALUE"""),"")</f>
        <v/>
      </c>
      <c r="AM2234" s="2" t="str">
        <f>IFERROR(__xludf.DUMMYFUNCTION("""COMPUTED_VALUE"""),"")</f>
        <v/>
      </c>
      <c r="AN2234" s="2" t="str">
        <f>IFERROR(__xludf.DUMMYFUNCTION("""COMPUTED_VALUE""")," ")</f>
        <v> </v>
      </c>
      <c r="AO2234" s="2" t="str">
        <f>IFERROR(__xludf.DUMMYFUNCTION("""COMPUTED_VALUE""")," ")</f>
        <v> </v>
      </c>
      <c r="AP2234" s="2" t="str">
        <f>IFERROR(__xludf.DUMMYFUNCTION("""COMPUTED_VALUE"""),"")</f>
        <v/>
      </c>
      <c r="AQ2234" s="2"/>
      <c r="AR2234" s="2"/>
      <c r="AS2234" s="2"/>
      <c r="AT2234" s="2"/>
      <c r="AU2234" s="2"/>
      <c r="AV2234" s="2"/>
      <c r="AW2234" s="2"/>
      <c r="AX2234" s="2"/>
      <c r="AY2234" s="2"/>
      <c r="AZ2234" s="2"/>
      <c r="BA2234" s="2"/>
      <c r="BB2234" s="2"/>
    </row>
    <row r="2235">
      <c r="A2235" s="2"/>
      <c r="B2235" s="2"/>
      <c r="C2235" s="2"/>
      <c r="D2235" s="71"/>
      <c r="E2235" s="71"/>
      <c r="F2235" s="2"/>
      <c r="G2235" s="2"/>
      <c r="H2235" s="2"/>
      <c r="I2235" s="72"/>
      <c r="J2235" s="72"/>
      <c r="K2235" s="72"/>
      <c r="L2235" s="72"/>
      <c r="M2235" s="2"/>
      <c r="N2235" s="2"/>
      <c r="O2235" s="2"/>
      <c r="P2235" s="2"/>
      <c r="Q2235" s="2"/>
      <c r="R2235" s="2"/>
      <c r="S2235" s="2"/>
      <c r="T2235" s="2"/>
      <c r="U2235" s="2"/>
      <c r="V2235" s="2"/>
      <c r="W2235" s="2"/>
      <c r="X2235" s="2"/>
      <c r="Y2235" s="2"/>
      <c r="Z2235" s="2"/>
      <c r="AA2235" s="2"/>
      <c r="AB2235" s="2"/>
      <c r="AC2235" s="2"/>
      <c r="AD2235" s="2"/>
      <c r="AE2235" s="2"/>
      <c r="AF2235" s="2"/>
      <c r="AG2235" s="2"/>
      <c r="AH2235" s="2"/>
      <c r="AI2235" s="2"/>
      <c r="AJ2235" s="2"/>
      <c r="AK2235" s="2"/>
      <c r="AL2235" s="2"/>
      <c r="AM2235" s="2"/>
      <c r="AN2235" s="2"/>
      <c r="AO2235" s="2"/>
      <c r="AP2235" s="2"/>
      <c r="AQ2235" s="2"/>
      <c r="AR2235" s="2"/>
      <c r="AS2235" s="2"/>
      <c r="AT2235" s="2"/>
      <c r="AU2235" s="2"/>
      <c r="AV2235" s="2"/>
      <c r="AW2235" s="2"/>
      <c r="AX2235" s="2"/>
      <c r="AY2235" s="2"/>
      <c r="AZ2235" s="2"/>
      <c r="BA2235" s="2"/>
      <c r="BB2235" s="2"/>
    </row>
    <row r="2236">
      <c r="A2236" s="2"/>
      <c r="B2236" s="2" t="str">
        <f>IFERROR(__xludf.DUMMYFUNCTION("""COMPUTED_VALUE"""),"")</f>
        <v/>
      </c>
      <c r="C2236" s="2"/>
      <c r="D2236" s="71"/>
      <c r="E2236" s="71" t="str">
        <f>IFERROR(__xludf.DUMMYFUNCTION("""COMPUTED_VALUE""")," ")</f>
        <v> </v>
      </c>
      <c r="F2236" s="2"/>
      <c r="G2236" s="2"/>
      <c r="H2236" s="2"/>
      <c r="I2236" s="72"/>
      <c r="J2236" s="72"/>
      <c r="K2236" s="72"/>
      <c r="L2236" s="72"/>
      <c r="M2236" s="2"/>
      <c r="N2236" s="2"/>
      <c r="O2236" s="2"/>
      <c r="P2236" s="2"/>
      <c r="Q2236" s="2"/>
      <c r="R2236" s="2"/>
      <c r="S2236" s="2"/>
      <c r="T2236" s="2"/>
      <c r="U2236" s="2"/>
      <c r="V2236" s="2"/>
      <c r="W2236" s="2"/>
      <c r="X2236" s="2"/>
      <c r="Y2236" s="2"/>
      <c r="Z2236" s="2"/>
      <c r="AA2236" s="2"/>
      <c r="AB2236" s="2"/>
      <c r="AC2236" s="2"/>
      <c r="AD2236" s="2"/>
      <c r="AE2236" s="2"/>
      <c r="AF2236" s="2"/>
      <c r="AG2236" s="2"/>
      <c r="AH2236" s="2"/>
      <c r="AI2236" s="2"/>
      <c r="AJ2236" s="2" t="str">
        <f>IFERROR(__xludf.DUMMYFUNCTION("""COMPUTED_VALUE"""),"")</f>
        <v/>
      </c>
      <c r="AK2236" s="2" t="str">
        <f>IFERROR(__xludf.DUMMYFUNCTION("""COMPUTED_VALUE"""),"")</f>
        <v/>
      </c>
      <c r="AL2236" s="2" t="str">
        <f>IFERROR(__xludf.DUMMYFUNCTION("""COMPUTED_VALUE"""),"")</f>
        <v/>
      </c>
      <c r="AM2236" s="2" t="str">
        <f>IFERROR(__xludf.DUMMYFUNCTION("""COMPUTED_VALUE"""),"")</f>
        <v/>
      </c>
      <c r="AN2236" s="2" t="str">
        <f>IFERROR(__xludf.DUMMYFUNCTION("""COMPUTED_VALUE""")," ")</f>
        <v> </v>
      </c>
      <c r="AO2236" s="2" t="str">
        <f>IFERROR(__xludf.DUMMYFUNCTION("""COMPUTED_VALUE""")," ")</f>
        <v> </v>
      </c>
      <c r="AP2236" s="2" t="str">
        <f>IFERROR(__xludf.DUMMYFUNCTION("""COMPUTED_VALUE"""),"")</f>
        <v/>
      </c>
      <c r="AQ2236" s="2"/>
      <c r="AR2236" s="2"/>
      <c r="AS2236" s="2"/>
      <c r="AT2236" s="2"/>
      <c r="AU2236" s="2"/>
      <c r="AV2236" s="2"/>
      <c r="AW2236" s="2"/>
      <c r="AX2236" s="2"/>
      <c r="AY2236" s="2"/>
      <c r="AZ2236" s="2"/>
      <c r="BA2236" s="2"/>
      <c r="BB2236" s="2"/>
    </row>
    <row r="2237">
      <c r="A2237" s="2"/>
      <c r="B2237" s="2" t="str">
        <f>IFERROR(__xludf.DUMMYFUNCTION("""COMPUTED_VALUE"""),"")</f>
        <v/>
      </c>
      <c r="C2237" s="2"/>
      <c r="D2237" s="71"/>
      <c r="E2237" s="71" t="str">
        <f>IFERROR(__xludf.DUMMYFUNCTION("""COMPUTED_VALUE""")," ")</f>
        <v> </v>
      </c>
      <c r="F2237" s="2"/>
      <c r="G2237" s="2"/>
      <c r="H2237" s="2"/>
      <c r="I2237" s="72"/>
      <c r="J2237" s="72"/>
      <c r="K2237" s="72"/>
      <c r="L2237" s="72"/>
      <c r="M2237" s="2"/>
      <c r="N2237" s="2"/>
      <c r="O2237" s="2"/>
      <c r="P2237" s="2"/>
      <c r="Q2237" s="2"/>
      <c r="R2237" s="2"/>
      <c r="S2237" s="2"/>
      <c r="T2237" s="2"/>
      <c r="U2237" s="2"/>
      <c r="V2237" s="2"/>
      <c r="W2237" s="2"/>
      <c r="X2237" s="2"/>
      <c r="Y2237" s="2"/>
      <c r="Z2237" s="2"/>
      <c r="AA2237" s="2"/>
      <c r="AB2237" s="2"/>
      <c r="AC2237" s="2"/>
      <c r="AD2237" s="2"/>
      <c r="AE2237" s="2"/>
      <c r="AF2237" s="2"/>
      <c r="AG2237" s="2"/>
      <c r="AH2237" s="2"/>
      <c r="AI2237" s="2"/>
      <c r="AJ2237" s="2" t="str">
        <f>IFERROR(__xludf.DUMMYFUNCTION("""COMPUTED_VALUE"""),"")</f>
        <v/>
      </c>
      <c r="AK2237" s="2" t="str">
        <f>IFERROR(__xludf.DUMMYFUNCTION("""COMPUTED_VALUE"""),"")</f>
        <v/>
      </c>
      <c r="AL2237" s="2" t="str">
        <f>IFERROR(__xludf.DUMMYFUNCTION("""COMPUTED_VALUE"""),"")</f>
        <v/>
      </c>
      <c r="AM2237" s="2" t="str">
        <f>IFERROR(__xludf.DUMMYFUNCTION("""COMPUTED_VALUE"""),"")</f>
        <v/>
      </c>
      <c r="AN2237" s="2" t="str">
        <f>IFERROR(__xludf.DUMMYFUNCTION("""COMPUTED_VALUE""")," ")</f>
        <v> </v>
      </c>
      <c r="AO2237" s="2" t="str">
        <f>IFERROR(__xludf.DUMMYFUNCTION("""COMPUTED_VALUE""")," ")</f>
        <v> </v>
      </c>
      <c r="AP2237" s="2" t="str">
        <f>IFERROR(__xludf.DUMMYFUNCTION("""COMPUTED_VALUE"""),"")</f>
        <v/>
      </c>
      <c r="AQ2237" s="2"/>
      <c r="AR2237" s="2"/>
      <c r="AS2237" s="2"/>
      <c r="AT2237" s="2"/>
      <c r="AU2237" s="2"/>
      <c r="AV2237" s="2"/>
      <c r="AW2237" s="2"/>
      <c r="AX2237" s="2"/>
      <c r="AY2237" s="2"/>
      <c r="AZ2237" s="2"/>
      <c r="BA2237" s="2"/>
      <c r="BB2237" s="2"/>
    </row>
    <row r="2238">
      <c r="A2238" s="2"/>
      <c r="B2238" s="2" t="str">
        <f>IFERROR(__xludf.DUMMYFUNCTION("""COMPUTED_VALUE"""),"")</f>
        <v/>
      </c>
      <c r="C2238" s="2"/>
      <c r="D2238" s="71"/>
      <c r="E2238" s="71" t="str">
        <f>IFERROR(__xludf.DUMMYFUNCTION("""COMPUTED_VALUE""")," ")</f>
        <v> </v>
      </c>
      <c r="F2238" s="2"/>
      <c r="G2238" s="2"/>
      <c r="H2238" s="2"/>
      <c r="I2238" s="72"/>
      <c r="J2238" s="72"/>
      <c r="K2238" s="72"/>
      <c r="L2238" s="72"/>
      <c r="M2238" s="2"/>
      <c r="N2238" s="2"/>
      <c r="O2238" s="2"/>
      <c r="P2238" s="2"/>
      <c r="Q2238" s="2"/>
      <c r="R2238" s="2"/>
      <c r="S2238" s="2"/>
      <c r="T2238" s="2"/>
      <c r="U2238" s="2"/>
      <c r="V2238" s="2"/>
      <c r="W2238" s="2"/>
      <c r="X2238" s="2"/>
      <c r="Y2238" s="2"/>
      <c r="Z2238" s="2"/>
      <c r="AA2238" s="2"/>
      <c r="AB2238" s="2"/>
      <c r="AC2238" s="2"/>
      <c r="AD2238" s="2"/>
      <c r="AE2238" s="2"/>
      <c r="AF2238" s="2"/>
      <c r="AG2238" s="2"/>
      <c r="AH2238" s="2"/>
      <c r="AI2238" s="2"/>
      <c r="AJ2238" s="2" t="str">
        <f>IFERROR(__xludf.DUMMYFUNCTION("""COMPUTED_VALUE"""),"")</f>
        <v/>
      </c>
      <c r="AK2238" s="2" t="str">
        <f>IFERROR(__xludf.DUMMYFUNCTION("""COMPUTED_VALUE"""),"")</f>
        <v/>
      </c>
      <c r="AL2238" s="2" t="str">
        <f>IFERROR(__xludf.DUMMYFUNCTION("""COMPUTED_VALUE"""),"")</f>
        <v/>
      </c>
      <c r="AM2238" s="2" t="str">
        <f>IFERROR(__xludf.DUMMYFUNCTION("""COMPUTED_VALUE"""),"")</f>
        <v/>
      </c>
      <c r="AN2238" s="2" t="str">
        <f>IFERROR(__xludf.DUMMYFUNCTION("""COMPUTED_VALUE""")," ")</f>
        <v> </v>
      </c>
      <c r="AO2238" s="2" t="str">
        <f>IFERROR(__xludf.DUMMYFUNCTION("""COMPUTED_VALUE""")," ")</f>
        <v> </v>
      </c>
      <c r="AP2238" s="2" t="str">
        <f>IFERROR(__xludf.DUMMYFUNCTION("""COMPUTED_VALUE"""),"")</f>
        <v/>
      </c>
      <c r="AQ2238" s="2"/>
      <c r="AR2238" s="2"/>
      <c r="AS2238" s="2"/>
      <c r="AT2238" s="2"/>
      <c r="AU2238" s="2"/>
      <c r="AV2238" s="2"/>
      <c r="AW2238" s="2"/>
      <c r="AX2238" s="2"/>
      <c r="AY2238" s="2"/>
      <c r="AZ2238" s="2"/>
      <c r="BA2238" s="2"/>
      <c r="BB2238" s="2"/>
    </row>
    <row r="2239">
      <c r="A2239" s="2"/>
      <c r="B2239" s="2" t="str">
        <f>IFERROR(__xludf.DUMMYFUNCTION("""COMPUTED_VALUE"""),"")</f>
        <v/>
      </c>
      <c r="C2239" s="2"/>
      <c r="D2239" s="71"/>
      <c r="E2239" s="71" t="str">
        <f>IFERROR(__xludf.DUMMYFUNCTION("""COMPUTED_VALUE""")," ")</f>
        <v> </v>
      </c>
      <c r="F2239" s="2"/>
      <c r="G2239" s="2"/>
      <c r="H2239" s="2"/>
      <c r="I2239" s="72"/>
      <c r="J2239" s="72"/>
      <c r="K2239" s="72"/>
      <c r="L2239" s="72"/>
      <c r="M2239" s="2"/>
      <c r="N2239" s="2"/>
      <c r="O2239" s="2"/>
      <c r="P2239" s="2"/>
      <c r="Q2239" s="2"/>
      <c r="R2239" s="2"/>
      <c r="S2239" s="2"/>
      <c r="T2239" s="2"/>
      <c r="U2239" s="2"/>
      <c r="V2239" s="2"/>
      <c r="W2239" s="2"/>
      <c r="X2239" s="2"/>
      <c r="Y2239" s="2"/>
      <c r="Z2239" s="2"/>
      <c r="AA2239" s="2"/>
      <c r="AB2239" s="2"/>
      <c r="AC2239" s="2"/>
      <c r="AD2239" s="2"/>
      <c r="AE2239" s="2"/>
      <c r="AF2239" s="2"/>
      <c r="AG2239" s="2"/>
      <c r="AH2239" s="2"/>
      <c r="AI2239" s="2"/>
      <c r="AJ2239" s="2" t="str">
        <f>IFERROR(__xludf.DUMMYFUNCTION("""COMPUTED_VALUE"""),"")</f>
        <v/>
      </c>
      <c r="AK2239" s="2" t="str">
        <f>IFERROR(__xludf.DUMMYFUNCTION("""COMPUTED_VALUE"""),"")</f>
        <v/>
      </c>
      <c r="AL2239" s="2" t="str">
        <f>IFERROR(__xludf.DUMMYFUNCTION("""COMPUTED_VALUE"""),"")</f>
        <v/>
      </c>
      <c r="AM2239" s="2" t="str">
        <f>IFERROR(__xludf.DUMMYFUNCTION("""COMPUTED_VALUE"""),"")</f>
        <v/>
      </c>
      <c r="AN2239" s="2" t="str">
        <f>IFERROR(__xludf.DUMMYFUNCTION("""COMPUTED_VALUE""")," ")</f>
        <v> </v>
      </c>
      <c r="AO2239" s="2" t="str">
        <f>IFERROR(__xludf.DUMMYFUNCTION("""COMPUTED_VALUE""")," ")</f>
        <v> </v>
      </c>
      <c r="AP2239" s="2" t="str">
        <f>IFERROR(__xludf.DUMMYFUNCTION("""COMPUTED_VALUE"""),"")</f>
        <v/>
      </c>
      <c r="AQ2239" s="2"/>
      <c r="AR2239" s="2"/>
      <c r="AS2239" s="2"/>
      <c r="AT2239" s="2"/>
      <c r="AU2239" s="2"/>
      <c r="AV2239" s="2"/>
      <c r="AW2239" s="2"/>
      <c r="AX2239" s="2"/>
      <c r="AY2239" s="2"/>
      <c r="AZ2239" s="2"/>
      <c r="BA2239" s="2"/>
      <c r="BB2239" s="2"/>
    </row>
    <row r="2240">
      <c r="A2240" s="2"/>
      <c r="B2240" s="2" t="str">
        <f>IFERROR(__xludf.DUMMYFUNCTION("""COMPUTED_VALUE"""),"")</f>
        <v/>
      </c>
      <c r="C2240" s="2"/>
      <c r="D2240" s="71"/>
      <c r="E2240" s="71" t="str">
        <f>IFERROR(__xludf.DUMMYFUNCTION("""COMPUTED_VALUE""")," ")</f>
        <v> </v>
      </c>
      <c r="F2240" s="2"/>
      <c r="G2240" s="2"/>
      <c r="H2240" s="2"/>
      <c r="I2240" s="72"/>
      <c r="J2240" s="72"/>
      <c r="K2240" s="72"/>
      <c r="L2240" s="72"/>
      <c r="M2240" s="2"/>
      <c r="N2240" s="2"/>
      <c r="O2240" s="2"/>
      <c r="P2240" s="2"/>
      <c r="Q2240" s="2"/>
      <c r="R2240" s="2"/>
      <c r="S2240" s="2"/>
      <c r="T2240" s="2"/>
      <c r="U2240" s="2"/>
      <c r="V2240" s="2"/>
      <c r="W2240" s="2"/>
      <c r="X2240" s="2"/>
      <c r="Y2240" s="2"/>
      <c r="Z2240" s="2"/>
      <c r="AA2240" s="2"/>
      <c r="AB2240" s="2"/>
      <c r="AC2240" s="2"/>
      <c r="AD2240" s="2"/>
      <c r="AE2240" s="2"/>
      <c r="AF2240" s="2"/>
      <c r="AG2240" s="2"/>
      <c r="AH2240" s="2"/>
      <c r="AI2240" s="2"/>
      <c r="AJ2240" s="2" t="str">
        <f>IFERROR(__xludf.DUMMYFUNCTION("""COMPUTED_VALUE"""),"")</f>
        <v/>
      </c>
      <c r="AK2240" s="2" t="str">
        <f>IFERROR(__xludf.DUMMYFUNCTION("""COMPUTED_VALUE"""),"")</f>
        <v/>
      </c>
      <c r="AL2240" s="2" t="str">
        <f>IFERROR(__xludf.DUMMYFUNCTION("""COMPUTED_VALUE"""),"")</f>
        <v/>
      </c>
      <c r="AM2240" s="2" t="str">
        <f>IFERROR(__xludf.DUMMYFUNCTION("""COMPUTED_VALUE"""),"")</f>
        <v/>
      </c>
      <c r="AN2240" s="2" t="str">
        <f>IFERROR(__xludf.DUMMYFUNCTION("""COMPUTED_VALUE""")," ")</f>
        <v> </v>
      </c>
      <c r="AO2240" s="2" t="str">
        <f>IFERROR(__xludf.DUMMYFUNCTION("""COMPUTED_VALUE""")," ")</f>
        <v> </v>
      </c>
      <c r="AP2240" s="2" t="str">
        <f>IFERROR(__xludf.DUMMYFUNCTION("""COMPUTED_VALUE"""),"")</f>
        <v/>
      </c>
      <c r="AQ2240" s="2"/>
      <c r="AR2240" s="2"/>
      <c r="AS2240" s="2"/>
      <c r="AT2240" s="2"/>
      <c r="AU2240" s="2"/>
      <c r="AV2240" s="2"/>
      <c r="AW2240" s="2"/>
      <c r="AX2240" s="2"/>
      <c r="AY2240" s="2"/>
      <c r="AZ2240" s="2"/>
      <c r="BA2240" s="2"/>
      <c r="BB2240" s="2"/>
    </row>
    <row r="2241">
      <c r="A2241" s="2"/>
      <c r="B2241" s="2" t="str">
        <f>IFERROR(__xludf.DUMMYFUNCTION("""COMPUTED_VALUE"""),"")</f>
        <v/>
      </c>
      <c r="C2241" s="2"/>
      <c r="D2241" s="71"/>
      <c r="E2241" s="71" t="str">
        <f>IFERROR(__xludf.DUMMYFUNCTION("""COMPUTED_VALUE""")," ")</f>
        <v> </v>
      </c>
      <c r="F2241" s="2"/>
      <c r="G2241" s="2"/>
      <c r="H2241" s="2"/>
      <c r="I2241" s="72"/>
      <c r="J2241" s="72"/>
      <c r="K2241" s="72"/>
      <c r="L2241" s="72"/>
      <c r="M2241" s="2"/>
      <c r="N2241" s="2"/>
      <c r="O2241" s="2"/>
      <c r="P2241" s="2"/>
      <c r="Q2241" s="2"/>
      <c r="R2241" s="2"/>
      <c r="S2241" s="2"/>
      <c r="T2241" s="2"/>
      <c r="U2241" s="2"/>
      <c r="V2241" s="2"/>
      <c r="W2241" s="2"/>
      <c r="X2241" s="2"/>
      <c r="Y2241" s="2"/>
      <c r="Z2241" s="2"/>
      <c r="AA2241" s="2"/>
      <c r="AB2241" s="2"/>
      <c r="AC2241" s="2"/>
      <c r="AD2241" s="2"/>
      <c r="AE2241" s="2"/>
      <c r="AF2241" s="2"/>
      <c r="AG2241" s="2"/>
      <c r="AH2241" s="2"/>
      <c r="AI2241" s="2"/>
      <c r="AJ2241" s="2" t="str">
        <f>IFERROR(__xludf.DUMMYFUNCTION("""COMPUTED_VALUE"""),"")</f>
        <v/>
      </c>
      <c r="AK2241" s="2" t="str">
        <f>IFERROR(__xludf.DUMMYFUNCTION("""COMPUTED_VALUE"""),"")</f>
        <v/>
      </c>
      <c r="AL2241" s="2" t="str">
        <f>IFERROR(__xludf.DUMMYFUNCTION("""COMPUTED_VALUE"""),"")</f>
        <v/>
      </c>
      <c r="AM2241" s="2" t="str">
        <f>IFERROR(__xludf.DUMMYFUNCTION("""COMPUTED_VALUE"""),"")</f>
        <v/>
      </c>
      <c r="AN2241" s="2" t="str">
        <f>IFERROR(__xludf.DUMMYFUNCTION("""COMPUTED_VALUE""")," ")</f>
        <v> </v>
      </c>
      <c r="AO2241" s="2" t="str">
        <f>IFERROR(__xludf.DUMMYFUNCTION("""COMPUTED_VALUE""")," ")</f>
        <v> </v>
      </c>
      <c r="AP2241" s="2" t="str">
        <f>IFERROR(__xludf.DUMMYFUNCTION("""COMPUTED_VALUE"""),"")</f>
        <v/>
      </c>
      <c r="AQ2241" s="2"/>
      <c r="AR2241" s="2"/>
      <c r="AS2241" s="2"/>
      <c r="AT2241" s="2"/>
      <c r="AU2241" s="2"/>
      <c r="AV2241" s="2"/>
      <c r="AW2241" s="2"/>
      <c r="AX2241" s="2"/>
      <c r="AY2241" s="2"/>
      <c r="AZ2241" s="2"/>
      <c r="BA2241" s="2"/>
      <c r="BB2241" s="2"/>
    </row>
    <row r="2242">
      <c r="A2242" s="2"/>
      <c r="B2242" s="2" t="str">
        <f>IFERROR(__xludf.DUMMYFUNCTION("""COMPUTED_VALUE"""),"")</f>
        <v/>
      </c>
      <c r="C2242" s="2"/>
      <c r="D2242" s="71"/>
      <c r="E2242" s="71" t="str">
        <f>IFERROR(__xludf.DUMMYFUNCTION("""COMPUTED_VALUE""")," ")</f>
        <v> </v>
      </c>
      <c r="F2242" s="2"/>
      <c r="G2242" s="2"/>
      <c r="H2242" s="2"/>
      <c r="I2242" s="72"/>
      <c r="J2242" s="72"/>
      <c r="K2242" s="72"/>
      <c r="L2242" s="72"/>
      <c r="M2242" s="2"/>
      <c r="N2242" s="2"/>
      <c r="O2242" s="2"/>
      <c r="P2242" s="2"/>
      <c r="Q2242" s="2"/>
      <c r="R2242" s="2"/>
      <c r="S2242" s="2"/>
      <c r="T2242" s="2"/>
      <c r="U2242" s="2"/>
      <c r="V2242" s="2"/>
      <c r="W2242" s="2"/>
      <c r="X2242" s="2"/>
      <c r="Y2242" s="2"/>
      <c r="Z2242" s="2"/>
      <c r="AA2242" s="2"/>
      <c r="AB2242" s="2"/>
      <c r="AC2242" s="2"/>
      <c r="AD2242" s="2"/>
      <c r="AE2242" s="2"/>
      <c r="AF2242" s="2"/>
      <c r="AG2242" s="2"/>
      <c r="AH2242" s="2"/>
      <c r="AI2242" s="2"/>
      <c r="AJ2242" s="2" t="str">
        <f>IFERROR(__xludf.DUMMYFUNCTION("""COMPUTED_VALUE"""),"")</f>
        <v/>
      </c>
      <c r="AK2242" s="2" t="str">
        <f>IFERROR(__xludf.DUMMYFUNCTION("""COMPUTED_VALUE"""),"")</f>
        <v/>
      </c>
      <c r="AL2242" s="2" t="str">
        <f>IFERROR(__xludf.DUMMYFUNCTION("""COMPUTED_VALUE"""),"")</f>
        <v/>
      </c>
      <c r="AM2242" s="2" t="str">
        <f>IFERROR(__xludf.DUMMYFUNCTION("""COMPUTED_VALUE"""),"")</f>
        <v/>
      </c>
      <c r="AN2242" s="2" t="str">
        <f>IFERROR(__xludf.DUMMYFUNCTION("""COMPUTED_VALUE""")," ")</f>
        <v> </v>
      </c>
      <c r="AO2242" s="2" t="str">
        <f>IFERROR(__xludf.DUMMYFUNCTION("""COMPUTED_VALUE""")," ")</f>
        <v> </v>
      </c>
      <c r="AP2242" s="2" t="str">
        <f>IFERROR(__xludf.DUMMYFUNCTION("""COMPUTED_VALUE"""),"")</f>
        <v/>
      </c>
      <c r="AQ2242" s="2"/>
      <c r="AR2242" s="2"/>
      <c r="AS2242" s="2"/>
      <c r="AT2242" s="2"/>
      <c r="AU2242" s="2"/>
      <c r="AV2242" s="2"/>
      <c r="AW2242" s="2"/>
      <c r="AX2242" s="2"/>
      <c r="AY2242" s="2"/>
      <c r="AZ2242" s="2"/>
      <c r="BA2242" s="2"/>
      <c r="BB2242" s="2"/>
    </row>
    <row r="2243">
      <c r="A2243" s="2"/>
      <c r="B2243" s="2" t="str">
        <f>IFERROR(__xludf.DUMMYFUNCTION("""COMPUTED_VALUE"""),"")</f>
        <v/>
      </c>
      <c r="C2243" s="2"/>
      <c r="D2243" s="71"/>
      <c r="E2243" s="71" t="str">
        <f>IFERROR(__xludf.DUMMYFUNCTION("""COMPUTED_VALUE""")," ")</f>
        <v> </v>
      </c>
      <c r="F2243" s="2"/>
      <c r="G2243" s="2"/>
      <c r="H2243" s="2"/>
      <c r="I2243" s="72"/>
      <c r="J2243" s="72"/>
      <c r="K2243" s="72"/>
      <c r="L2243" s="72"/>
      <c r="M2243" s="2"/>
      <c r="N2243" s="2"/>
      <c r="O2243" s="2"/>
      <c r="P2243" s="2"/>
      <c r="Q2243" s="2"/>
      <c r="R2243" s="2"/>
      <c r="S2243" s="2"/>
      <c r="T2243" s="2"/>
      <c r="U2243" s="2"/>
      <c r="V2243" s="2"/>
      <c r="W2243" s="2"/>
      <c r="X2243" s="2"/>
      <c r="Y2243" s="2"/>
      <c r="Z2243" s="2"/>
      <c r="AA2243" s="2"/>
      <c r="AB2243" s="2"/>
      <c r="AC2243" s="2"/>
      <c r="AD2243" s="2"/>
      <c r="AE2243" s="2"/>
      <c r="AF2243" s="2"/>
      <c r="AG2243" s="2"/>
      <c r="AH2243" s="2"/>
      <c r="AI2243" s="2"/>
      <c r="AJ2243" s="2" t="str">
        <f>IFERROR(__xludf.DUMMYFUNCTION("""COMPUTED_VALUE"""),"")</f>
        <v/>
      </c>
      <c r="AK2243" s="2" t="str">
        <f>IFERROR(__xludf.DUMMYFUNCTION("""COMPUTED_VALUE"""),"")</f>
        <v/>
      </c>
      <c r="AL2243" s="2" t="str">
        <f>IFERROR(__xludf.DUMMYFUNCTION("""COMPUTED_VALUE"""),"")</f>
        <v/>
      </c>
      <c r="AM2243" s="2" t="str">
        <f>IFERROR(__xludf.DUMMYFUNCTION("""COMPUTED_VALUE"""),"")</f>
        <v/>
      </c>
      <c r="AN2243" s="2" t="str">
        <f>IFERROR(__xludf.DUMMYFUNCTION("""COMPUTED_VALUE""")," ")</f>
        <v> </v>
      </c>
      <c r="AO2243" s="2" t="str">
        <f>IFERROR(__xludf.DUMMYFUNCTION("""COMPUTED_VALUE""")," ")</f>
        <v> </v>
      </c>
      <c r="AP2243" s="2" t="str">
        <f>IFERROR(__xludf.DUMMYFUNCTION("""COMPUTED_VALUE"""),"")</f>
        <v/>
      </c>
      <c r="AQ2243" s="2"/>
      <c r="AR2243" s="2"/>
      <c r="AS2243" s="2"/>
      <c r="AT2243" s="2"/>
      <c r="AU2243" s="2"/>
      <c r="AV2243" s="2"/>
      <c r="AW2243" s="2"/>
      <c r="AX2243" s="2"/>
      <c r="AY2243" s="2"/>
      <c r="AZ2243" s="2"/>
      <c r="BA2243" s="2"/>
      <c r="BB2243" s="2"/>
    </row>
    <row r="2244">
      <c r="A2244" s="2"/>
      <c r="B2244" s="2" t="str">
        <f>IFERROR(__xludf.DUMMYFUNCTION("""COMPUTED_VALUE"""),"")</f>
        <v/>
      </c>
      <c r="C2244" s="2"/>
      <c r="D2244" s="71"/>
      <c r="E2244" s="71" t="str">
        <f>IFERROR(__xludf.DUMMYFUNCTION("""COMPUTED_VALUE""")," ")</f>
        <v> </v>
      </c>
      <c r="F2244" s="2"/>
      <c r="G2244" s="2"/>
      <c r="H2244" s="2"/>
      <c r="I2244" s="72"/>
      <c r="J2244" s="72"/>
      <c r="K2244" s="72"/>
      <c r="L2244" s="72"/>
      <c r="M2244" s="2"/>
      <c r="N2244" s="2"/>
      <c r="O2244" s="2"/>
      <c r="P2244" s="2"/>
      <c r="Q2244" s="2"/>
      <c r="R2244" s="2"/>
      <c r="S2244" s="2"/>
      <c r="T2244" s="2"/>
      <c r="U2244" s="2"/>
      <c r="V2244" s="2"/>
      <c r="W2244" s="2"/>
      <c r="X2244" s="2"/>
      <c r="Y2244" s="2"/>
      <c r="Z2244" s="2"/>
      <c r="AA2244" s="2"/>
      <c r="AB2244" s="2"/>
      <c r="AC2244" s="2"/>
      <c r="AD2244" s="2"/>
      <c r="AE2244" s="2"/>
      <c r="AF2244" s="2"/>
      <c r="AG2244" s="2"/>
      <c r="AH2244" s="2"/>
      <c r="AI2244" s="2"/>
      <c r="AJ2244" s="2" t="str">
        <f>IFERROR(__xludf.DUMMYFUNCTION("""COMPUTED_VALUE"""),"")</f>
        <v/>
      </c>
      <c r="AK2244" s="2" t="str">
        <f>IFERROR(__xludf.DUMMYFUNCTION("""COMPUTED_VALUE"""),"")</f>
        <v/>
      </c>
      <c r="AL2244" s="2" t="str">
        <f>IFERROR(__xludf.DUMMYFUNCTION("""COMPUTED_VALUE"""),"")</f>
        <v/>
      </c>
      <c r="AM2244" s="2" t="str">
        <f>IFERROR(__xludf.DUMMYFUNCTION("""COMPUTED_VALUE"""),"")</f>
        <v/>
      </c>
      <c r="AN2244" s="2" t="str">
        <f>IFERROR(__xludf.DUMMYFUNCTION("""COMPUTED_VALUE""")," ")</f>
        <v> </v>
      </c>
      <c r="AO2244" s="2" t="str">
        <f>IFERROR(__xludf.DUMMYFUNCTION("""COMPUTED_VALUE""")," ")</f>
        <v> </v>
      </c>
      <c r="AP2244" s="2" t="str">
        <f>IFERROR(__xludf.DUMMYFUNCTION("""COMPUTED_VALUE"""),"")</f>
        <v/>
      </c>
      <c r="AQ2244" s="2"/>
      <c r="AR2244" s="2"/>
      <c r="AS2244" s="2"/>
      <c r="AT2244" s="2"/>
      <c r="AU2244" s="2"/>
      <c r="AV2244" s="2"/>
      <c r="AW2244" s="2"/>
      <c r="AX2244" s="2"/>
      <c r="AY2244" s="2"/>
      <c r="AZ2244" s="2"/>
      <c r="BA2244" s="2"/>
      <c r="BB2244" s="2"/>
    </row>
    <row r="2245">
      <c r="A2245" s="2"/>
      <c r="B2245" s="2" t="str">
        <f>IFERROR(__xludf.DUMMYFUNCTION("""COMPUTED_VALUE"""),"")</f>
        <v/>
      </c>
      <c r="C2245" s="2"/>
      <c r="D2245" s="71"/>
      <c r="E2245" s="71" t="str">
        <f>IFERROR(__xludf.DUMMYFUNCTION("""COMPUTED_VALUE""")," ")</f>
        <v> </v>
      </c>
      <c r="F2245" s="2"/>
      <c r="G2245" s="2"/>
      <c r="H2245" s="2"/>
      <c r="I2245" s="72"/>
      <c r="J2245" s="72"/>
      <c r="K2245" s="72"/>
      <c r="L2245" s="72"/>
      <c r="M2245" s="2"/>
      <c r="N2245" s="2"/>
      <c r="O2245" s="2"/>
      <c r="P2245" s="2"/>
      <c r="Q2245" s="2"/>
      <c r="R2245" s="2"/>
      <c r="S2245" s="2"/>
      <c r="T2245" s="2"/>
      <c r="U2245" s="2"/>
      <c r="V2245" s="2"/>
      <c r="W2245" s="2"/>
      <c r="X2245" s="2"/>
      <c r="Y2245" s="2"/>
      <c r="Z2245" s="2"/>
      <c r="AA2245" s="2"/>
      <c r="AB2245" s="2"/>
      <c r="AC2245" s="2"/>
      <c r="AD2245" s="2"/>
      <c r="AE2245" s="2"/>
      <c r="AF2245" s="2"/>
      <c r="AG2245" s="2"/>
      <c r="AH2245" s="2"/>
      <c r="AI2245" s="2"/>
      <c r="AJ2245" s="2" t="str">
        <f>IFERROR(__xludf.DUMMYFUNCTION("""COMPUTED_VALUE"""),"")</f>
        <v/>
      </c>
      <c r="AK2245" s="2" t="str">
        <f>IFERROR(__xludf.DUMMYFUNCTION("""COMPUTED_VALUE"""),"")</f>
        <v/>
      </c>
      <c r="AL2245" s="2" t="str">
        <f>IFERROR(__xludf.DUMMYFUNCTION("""COMPUTED_VALUE"""),"")</f>
        <v/>
      </c>
      <c r="AM2245" s="2" t="str">
        <f>IFERROR(__xludf.DUMMYFUNCTION("""COMPUTED_VALUE"""),"")</f>
        <v/>
      </c>
      <c r="AN2245" s="2" t="str">
        <f>IFERROR(__xludf.DUMMYFUNCTION("""COMPUTED_VALUE""")," ")</f>
        <v> </v>
      </c>
      <c r="AO2245" s="2" t="str">
        <f>IFERROR(__xludf.DUMMYFUNCTION("""COMPUTED_VALUE""")," ")</f>
        <v> </v>
      </c>
      <c r="AP2245" s="2" t="str">
        <f>IFERROR(__xludf.DUMMYFUNCTION("""COMPUTED_VALUE"""),"")</f>
        <v/>
      </c>
      <c r="AQ2245" s="2"/>
      <c r="AR2245" s="2"/>
      <c r="AS2245" s="2"/>
      <c r="AT2245" s="2"/>
      <c r="AU2245" s="2"/>
      <c r="AV2245" s="2"/>
      <c r="AW2245" s="2"/>
      <c r="AX2245" s="2"/>
      <c r="AY2245" s="2"/>
      <c r="AZ2245" s="2"/>
      <c r="BA2245" s="2"/>
      <c r="BB2245" s="2"/>
    </row>
    <row r="2246">
      <c r="A2246" s="2"/>
      <c r="B2246" s="2" t="str">
        <f>IFERROR(__xludf.DUMMYFUNCTION("""COMPUTED_VALUE"""),"")</f>
        <v/>
      </c>
      <c r="C2246" s="2"/>
      <c r="D2246" s="71"/>
      <c r="E2246" s="71" t="str">
        <f>IFERROR(__xludf.DUMMYFUNCTION("""COMPUTED_VALUE""")," ")</f>
        <v> </v>
      </c>
      <c r="F2246" s="2"/>
      <c r="G2246" s="2"/>
      <c r="H2246" s="2"/>
      <c r="I2246" s="72"/>
      <c r="J2246" s="72"/>
      <c r="K2246" s="72"/>
      <c r="L2246" s="72"/>
      <c r="M2246" s="2"/>
      <c r="N2246" s="2"/>
      <c r="O2246" s="2"/>
      <c r="P2246" s="2"/>
      <c r="Q2246" s="2"/>
      <c r="R2246" s="2"/>
      <c r="S2246" s="2"/>
      <c r="T2246" s="2"/>
      <c r="U2246" s="2"/>
      <c r="V2246" s="2"/>
      <c r="W2246" s="2"/>
      <c r="X2246" s="2"/>
      <c r="Y2246" s="2"/>
      <c r="Z2246" s="2"/>
      <c r="AA2246" s="2"/>
      <c r="AB2246" s="2"/>
      <c r="AC2246" s="2"/>
      <c r="AD2246" s="2"/>
      <c r="AE2246" s="2"/>
      <c r="AF2246" s="2"/>
      <c r="AG2246" s="2"/>
      <c r="AH2246" s="2"/>
      <c r="AI2246" s="2"/>
      <c r="AJ2246" s="2" t="str">
        <f>IFERROR(__xludf.DUMMYFUNCTION("""COMPUTED_VALUE"""),"")</f>
        <v/>
      </c>
      <c r="AK2246" s="2" t="str">
        <f>IFERROR(__xludf.DUMMYFUNCTION("""COMPUTED_VALUE"""),"")</f>
        <v/>
      </c>
      <c r="AL2246" s="2" t="str">
        <f>IFERROR(__xludf.DUMMYFUNCTION("""COMPUTED_VALUE"""),"")</f>
        <v/>
      </c>
      <c r="AM2246" s="2" t="str">
        <f>IFERROR(__xludf.DUMMYFUNCTION("""COMPUTED_VALUE"""),"")</f>
        <v/>
      </c>
      <c r="AN2246" s="2" t="str">
        <f>IFERROR(__xludf.DUMMYFUNCTION("""COMPUTED_VALUE""")," ")</f>
        <v> </v>
      </c>
      <c r="AO2246" s="2" t="str">
        <f>IFERROR(__xludf.DUMMYFUNCTION("""COMPUTED_VALUE""")," ")</f>
        <v> </v>
      </c>
      <c r="AP2246" s="2" t="str">
        <f>IFERROR(__xludf.DUMMYFUNCTION("""COMPUTED_VALUE"""),"")</f>
        <v/>
      </c>
      <c r="AQ2246" s="2"/>
      <c r="AR2246" s="2"/>
      <c r="AS2246" s="2"/>
      <c r="AT2246" s="2"/>
      <c r="AU2246" s="2"/>
      <c r="AV2246" s="2"/>
      <c r="AW2246" s="2"/>
      <c r="AX2246" s="2"/>
      <c r="AY2246" s="2"/>
      <c r="AZ2246" s="2"/>
      <c r="BA2246" s="2"/>
      <c r="BB2246" s="2"/>
    </row>
    <row r="2247">
      <c r="A2247" s="2"/>
      <c r="B2247" s="2" t="str">
        <f>IFERROR(__xludf.DUMMYFUNCTION("""COMPUTED_VALUE"""),"")</f>
        <v/>
      </c>
      <c r="C2247" s="2"/>
      <c r="D2247" s="71"/>
      <c r="E2247" s="71" t="str">
        <f>IFERROR(__xludf.DUMMYFUNCTION("""COMPUTED_VALUE""")," ")</f>
        <v> </v>
      </c>
      <c r="F2247" s="2"/>
      <c r="G2247" s="2"/>
      <c r="H2247" s="2"/>
      <c r="I2247" s="72"/>
      <c r="J2247" s="72"/>
      <c r="K2247" s="72"/>
      <c r="L2247" s="72"/>
      <c r="M2247" s="2"/>
      <c r="N2247" s="2"/>
      <c r="O2247" s="2"/>
      <c r="P2247" s="2"/>
      <c r="Q2247" s="2"/>
      <c r="R2247" s="2"/>
      <c r="S2247" s="2"/>
      <c r="T2247" s="2"/>
      <c r="U2247" s="2"/>
      <c r="V2247" s="2"/>
      <c r="W2247" s="2"/>
      <c r="X2247" s="2"/>
      <c r="Y2247" s="2"/>
      <c r="Z2247" s="2"/>
      <c r="AA2247" s="2"/>
      <c r="AB2247" s="2"/>
      <c r="AC2247" s="2"/>
      <c r="AD2247" s="2"/>
      <c r="AE2247" s="2"/>
      <c r="AF2247" s="2"/>
      <c r="AG2247" s="2"/>
      <c r="AH2247" s="2"/>
      <c r="AI2247" s="2"/>
      <c r="AJ2247" s="2" t="str">
        <f>IFERROR(__xludf.DUMMYFUNCTION("""COMPUTED_VALUE"""),"")</f>
        <v/>
      </c>
      <c r="AK2247" s="2" t="str">
        <f>IFERROR(__xludf.DUMMYFUNCTION("""COMPUTED_VALUE"""),"")</f>
        <v/>
      </c>
      <c r="AL2247" s="2" t="str">
        <f>IFERROR(__xludf.DUMMYFUNCTION("""COMPUTED_VALUE"""),"")</f>
        <v/>
      </c>
      <c r="AM2247" s="2" t="str">
        <f>IFERROR(__xludf.DUMMYFUNCTION("""COMPUTED_VALUE"""),"")</f>
        <v/>
      </c>
      <c r="AN2247" s="2" t="str">
        <f>IFERROR(__xludf.DUMMYFUNCTION("""COMPUTED_VALUE""")," ")</f>
        <v> </v>
      </c>
      <c r="AO2247" s="2" t="str">
        <f>IFERROR(__xludf.DUMMYFUNCTION("""COMPUTED_VALUE""")," ")</f>
        <v> </v>
      </c>
      <c r="AP2247" s="2" t="str">
        <f>IFERROR(__xludf.DUMMYFUNCTION("""COMPUTED_VALUE"""),"")</f>
        <v/>
      </c>
      <c r="AQ2247" s="2"/>
      <c r="AR2247" s="2"/>
      <c r="AS2247" s="2"/>
      <c r="AT2247" s="2"/>
      <c r="AU2247" s="2"/>
      <c r="AV2247" s="2"/>
      <c r="AW2247" s="2"/>
      <c r="AX2247" s="2"/>
      <c r="AY2247" s="2"/>
      <c r="AZ2247" s="2"/>
      <c r="BA2247" s="2"/>
      <c r="BB2247" s="2"/>
    </row>
    <row r="2248">
      <c r="A2248" s="2"/>
      <c r="B2248" s="2" t="str">
        <f>IFERROR(__xludf.DUMMYFUNCTION("""COMPUTED_VALUE"""),"")</f>
        <v/>
      </c>
      <c r="C2248" s="2"/>
      <c r="D2248" s="71"/>
      <c r="E2248" s="71" t="str">
        <f>IFERROR(__xludf.DUMMYFUNCTION("""COMPUTED_VALUE""")," ")</f>
        <v> </v>
      </c>
      <c r="F2248" s="2"/>
      <c r="G2248" s="2"/>
      <c r="H2248" s="2"/>
      <c r="I2248" s="72"/>
      <c r="J2248" s="72"/>
      <c r="K2248" s="72"/>
      <c r="L2248" s="72"/>
      <c r="M2248" s="2"/>
      <c r="N2248" s="2"/>
      <c r="O2248" s="2"/>
      <c r="P2248" s="2"/>
      <c r="Q2248" s="2"/>
      <c r="R2248" s="2"/>
      <c r="S2248" s="2"/>
      <c r="T2248" s="2"/>
      <c r="U2248" s="2"/>
      <c r="V2248" s="2"/>
      <c r="W2248" s="2"/>
      <c r="X2248" s="2"/>
      <c r="Y2248" s="2"/>
      <c r="Z2248" s="2"/>
      <c r="AA2248" s="2"/>
      <c r="AB2248" s="2"/>
      <c r="AC2248" s="2"/>
      <c r="AD2248" s="2"/>
      <c r="AE2248" s="2"/>
      <c r="AF2248" s="2"/>
      <c r="AG2248" s="2"/>
      <c r="AH2248" s="2"/>
      <c r="AI2248" s="2"/>
      <c r="AJ2248" s="2" t="str">
        <f>IFERROR(__xludf.DUMMYFUNCTION("""COMPUTED_VALUE"""),"")</f>
        <v/>
      </c>
      <c r="AK2248" s="2" t="str">
        <f>IFERROR(__xludf.DUMMYFUNCTION("""COMPUTED_VALUE"""),"")</f>
        <v/>
      </c>
      <c r="AL2248" s="2" t="str">
        <f>IFERROR(__xludf.DUMMYFUNCTION("""COMPUTED_VALUE"""),"")</f>
        <v/>
      </c>
      <c r="AM2248" s="2" t="str">
        <f>IFERROR(__xludf.DUMMYFUNCTION("""COMPUTED_VALUE"""),"")</f>
        <v/>
      </c>
      <c r="AN2248" s="2" t="str">
        <f>IFERROR(__xludf.DUMMYFUNCTION("""COMPUTED_VALUE""")," ")</f>
        <v> </v>
      </c>
      <c r="AO2248" s="2" t="str">
        <f>IFERROR(__xludf.DUMMYFUNCTION("""COMPUTED_VALUE""")," ")</f>
        <v> </v>
      </c>
      <c r="AP2248" s="2" t="str">
        <f>IFERROR(__xludf.DUMMYFUNCTION("""COMPUTED_VALUE"""),"")</f>
        <v/>
      </c>
      <c r="AQ2248" s="2"/>
      <c r="AR2248" s="2"/>
      <c r="AS2248" s="2"/>
      <c r="AT2248" s="2"/>
      <c r="AU2248" s="2"/>
      <c r="AV2248" s="2"/>
      <c r="AW2248" s="2"/>
      <c r="AX2248" s="2"/>
      <c r="AY2248" s="2"/>
      <c r="AZ2248" s="2"/>
      <c r="BA2248" s="2"/>
      <c r="BB2248" s="2"/>
    </row>
    <row r="2249">
      <c r="A2249" s="2"/>
      <c r="B2249" s="2" t="str">
        <f>IFERROR(__xludf.DUMMYFUNCTION("""COMPUTED_VALUE"""),"")</f>
        <v/>
      </c>
      <c r="C2249" s="2"/>
      <c r="D2249" s="71"/>
      <c r="E2249" s="71" t="str">
        <f>IFERROR(__xludf.DUMMYFUNCTION("""COMPUTED_VALUE""")," ")</f>
        <v> </v>
      </c>
      <c r="F2249" s="2"/>
      <c r="G2249" s="2"/>
      <c r="H2249" s="2"/>
      <c r="I2249" s="72"/>
      <c r="J2249" s="72"/>
      <c r="K2249" s="72"/>
      <c r="L2249" s="72"/>
      <c r="M2249" s="2"/>
      <c r="N2249" s="2"/>
      <c r="O2249" s="2"/>
      <c r="P2249" s="2"/>
      <c r="Q2249" s="2"/>
      <c r="R2249" s="2"/>
      <c r="S2249" s="2"/>
      <c r="T2249" s="2"/>
      <c r="U2249" s="2"/>
      <c r="V2249" s="2"/>
      <c r="W2249" s="2"/>
      <c r="X2249" s="2"/>
      <c r="Y2249" s="2"/>
      <c r="Z2249" s="2"/>
      <c r="AA2249" s="2"/>
      <c r="AB2249" s="2"/>
      <c r="AC2249" s="2"/>
      <c r="AD2249" s="2"/>
      <c r="AE2249" s="2"/>
      <c r="AF2249" s="2"/>
      <c r="AG2249" s="2"/>
      <c r="AH2249" s="2"/>
      <c r="AI2249" s="2"/>
      <c r="AJ2249" s="2" t="str">
        <f>IFERROR(__xludf.DUMMYFUNCTION("""COMPUTED_VALUE"""),"")</f>
        <v/>
      </c>
      <c r="AK2249" s="2" t="str">
        <f>IFERROR(__xludf.DUMMYFUNCTION("""COMPUTED_VALUE"""),"")</f>
        <v/>
      </c>
      <c r="AL2249" s="2" t="str">
        <f>IFERROR(__xludf.DUMMYFUNCTION("""COMPUTED_VALUE"""),"")</f>
        <v/>
      </c>
      <c r="AM2249" s="2" t="str">
        <f>IFERROR(__xludf.DUMMYFUNCTION("""COMPUTED_VALUE"""),"")</f>
        <v/>
      </c>
      <c r="AN2249" s="2" t="str">
        <f>IFERROR(__xludf.DUMMYFUNCTION("""COMPUTED_VALUE""")," ")</f>
        <v> </v>
      </c>
      <c r="AO2249" s="2" t="str">
        <f>IFERROR(__xludf.DUMMYFUNCTION("""COMPUTED_VALUE""")," ")</f>
        <v> </v>
      </c>
      <c r="AP2249" s="2" t="str">
        <f>IFERROR(__xludf.DUMMYFUNCTION("""COMPUTED_VALUE"""),"")</f>
        <v/>
      </c>
      <c r="AQ2249" s="2"/>
      <c r="AR2249" s="2"/>
      <c r="AS2249" s="2"/>
      <c r="AT2249" s="2"/>
      <c r="AU2249" s="2"/>
      <c r="AV2249" s="2"/>
      <c r="AW2249" s="2"/>
      <c r="AX2249" s="2"/>
      <c r="AY2249" s="2"/>
      <c r="AZ2249" s="2"/>
      <c r="BA2249" s="2"/>
      <c r="BB2249" s="2"/>
    </row>
    <row r="2250">
      <c r="A2250" s="2"/>
      <c r="B2250" s="2" t="str">
        <f>IFERROR(__xludf.DUMMYFUNCTION("""COMPUTED_VALUE"""),"")</f>
        <v/>
      </c>
      <c r="C2250" s="2"/>
      <c r="D2250" s="71"/>
      <c r="E2250" s="71" t="str">
        <f>IFERROR(__xludf.DUMMYFUNCTION("""COMPUTED_VALUE""")," ")</f>
        <v> </v>
      </c>
      <c r="F2250" s="2"/>
      <c r="G2250" s="2"/>
      <c r="H2250" s="2"/>
      <c r="I2250" s="72"/>
      <c r="J2250" s="72"/>
      <c r="K2250" s="72"/>
      <c r="L2250" s="72"/>
      <c r="M2250" s="2"/>
      <c r="N2250" s="2"/>
      <c r="O2250" s="2"/>
      <c r="P2250" s="2"/>
      <c r="Q2250" s="2"/>
      <c r="R2250" s="2"/>
      <c r="S2250" s="2"/>
      <c r="T2250" s="2"/>
      <c r="U2250" s="2"/>
      <c r="V2250" s="2"/>
      <c r="W2250" s="2"/>
      <c r="X2250" s="2"/>
      <c r="Y2250" s="2"/>
      <c r="Z2250" s="2"/>
      <c r="AA2250" s="2"/>
      <c r="AB2250" s="2"/>
      <c r="AC2250" s="2"/>
      <c r="AD2250" s="2"/>
      <c r="AE2250" s="2"/>
      <c r="AF2250" s="2"/>
      <c r="AG2250" s="2"/>
      <c r="AH2250" s="2"/>
      <c r="AI2250" s="2"/>
      <c r="AJ2250" s="2" t="str">
        <f>IFERROR(__xludf.DUMMYFUNCTION("""COMPUTED_VALUE"""),"")</f>
        <v/>
      </c>
      <c r="AK2250" s="2" t="str">
        <f>IFERROR(__xludf.DUMMYFUNCTION("""COMPUTED_VALUE"""),"")</f>
        <v/>
      </c>
      <c r="AL2250" s="2" t="str">
        <f>IFERROR(__xludf.DUMMYFUNCTION("""COMPUTED_VALUE"""),"")</f>
        <v/>
      </c>
      <c r="AM2250" s="2" t="str">
        <f>IFERROR(__xludf.DUMMYFUNCTION("""COMPUTED_VALUE"""),"")</f>
        <v/>
      </c>
      <c r="AN2250" s="2" t="str">
        <f>IFERROR(__xludf.DUMMYFUNCTION("""COMPUTED_VALUE""")," ")</f>
        <v> </v>
      </c>
      <c r="AO2250" s="2" t="str">
        <f>IFERROR(__xludf.DUMMYFUNCTION("""COMPUTED_VALUE""")," ")</f>
        <v> </v>
      </c>
      <c r="AP2250" s="2" t="str">
        <f>IFERROR(__xludf.DUMMYFUNCTION("""COMPUTED_VALUE"""),"")</f>
        <v/>
      </c>
      <c r="AQ2250" s="2"/>
      <c r="AR2250" s="2"/>
      <c r="AS2250" s="2"/>
      <c r="AT2250" s="2"/>
      <c r="AU2250" s="2"/>
      <c r="AV2250" s="2"/>
      <c r="AW2250" s="2"/>
      <c r="AX2250" s="2"/>
      <c r="AY2250" s="2"/>
      <c r="AZ2250" s="2"/>
      <c r="BA2250" s="2"/>
      <c r="BB2250" s="2"/>
    </row>
    <row r="2251">
      <c r="A2251" s="2"/>
      <c r="B2251" s="2" t="str">
        <f>IFERROR(__xludf.DUMMYFUNCTION("""COMPUTED_VALUE"""),"")</f>
        <v/>
      </c>
      <c r="C2251" s="2"/>
      <c r="D2251" s="71"/>
      <c r="E2251" s="71" t="str">
        <f>IFERROR(__xludf.DUMMYFUNCTION("""COMPUTED_VALUE""")," ")</f>
        <v> </v>
      </c>
      <c r="F2251" s="2"/>
      <c r="G2251" s="2"/>
      <c r="H2251" s="2"/>
      <c r="I2251" s="72"/>
      <c r="J2251" s="72"/>
      <c r="K2251" s="72"/>
      <c r="L2251" s="72"/>
      <c r="M2251" s="2"/>
      <c r="N2251" s="2"/>
      <c r="O2251" s="2"/>
      <c r="P2251" s="2"/>
      <c r="Q2251" s="2"/>
      <c r="R2251" s="2"/>
      <c r="S2251" s="2"/>
      <c r="T2251" s="2"/>
      <c r="U2251" s="2"/>
      <c r="V2251" s="2"/>
      <c r="W2251" s="2"/>
      <c r="X2251" s="2"/>
      <c r="Y2251" s="2"/>
      <c r="Z2251" s="2"/>
      <c r="AA2251" s="2"/>
      <c r="AB2251" s="2"/>
      <c r="AC2251" s="2"/>
      <c r="AD2251" s="2"/>
      <c r="AE2251" s="2"/>
      <c r="AF2251" s="2"/>
      <c r="AG2251" s="2"/>
      <c r="AH2251" s="2"/>
      <c r="AI2251" s="2"/>
      <c r="AJ2251" s="2" t="str">
        <f>IFERROR(__xludf.DUMMYFUNCTION("""COMPUTED_VALUE"""),"")</f>
        <v/>
      </c>
      <c r="AK2251" s="2" t="str">
        <f>IFERROR(__xludf.DUMMYFUNCTION("""COMPUTED_VALUE"""),"")</f>
        <v/>
      </c>
      <c r="AL2251" s="2" t="str">
        <f>IFERROR(__xludf.DUMMYFUNCTION("""COMPUTED_VALUE"""),"")</f>
        <v/>
      </c>
      <c r="AM2251" s="2" t="str">
        <f>IFERROR(__xludf.DUMMYFUNCTION("""COMPUTED_VALUE"""),"")</f>
        <v/>
      </c>
      <c r="AN2251" s="2" t="str">
        <f>IFERROR(__xludf.DUMMYFUNCTION("""COMPUTED_VALUE""")," ")</f>
        <v> </v>
      </c>
      <c r="AO2251" s="2" t="str">
        <f>IFERROR(__xludf.DUMMYFUNCTION("""COMPUTED_VALUE""")," ")</f>
        <v> </v>
      </c>
      <c r="AP2251" s="2" t="str">
        <f>IFERROR(__xludf.DUMMYFUNCTION("""COMPUTED_VALUE"""),"")</f>
        <v/>
      </c>
      <c r="AQ2251" s="2"/>
      <c r="AR2251" s="2"/>
      <c r="AS2251" s="2"/>
      <c r="AT2251" s="2"/>
      <c r="AU2251" s="2"/>
      <c r="AV2251" s="2"/>
      <c r="AW2251" s="2"/>
      <c r="AX2251" s="2"/>
      <c r="AY2251" s="2"/>
      <c r="AZ2251" s="2"/>
      <c r="BA2251" s="2"/>
      <c r="BB2251" s="2"/>
    </row>
    <row r="2252">
      <c r="A2252" s="2"/>
      <c r="B2252" s="2" t="str">
        <f>IFERROR(__xludf.DUMMYFUNCTION("""COMPUTED_VALUE"""),"")</f>
        <v/>
      </c>
      <c r="C2252" s="2"/>
      <c r="D2252" s="71"/>
      <c r="E2252" s="71" t="str">
        <f>IFERROR(__xludf.DUMMYFUNCTION("""COMPUTED_VALUE""")," ")</f>
        <v> </v>
      </c>
      <c r="F2252" s="2"/>
      <c r="G2252" s="2"/>
      <c r="H2252" s="2"/>
      <c r="I2252" s="72"/>
      <c r="J2252" s="72"/>
      <c r="K2252" s="72"/>
      <c r="L2252" s="72"/>
      <c r="M2252" s="2"/>
      <c r="N2252" s="2"/>
      <c r="O2252" s="2"/>
      <c r="P2252" s="2"/>
      <c r="Q2252" s="2"/>
      <c r="R2252" s="2"/>
      <c r="S2252" s="2"/>
      <c r="T2252" s="2"/>
      <c r="U2252" s="2"/>
      <c r="V2252" s="2"/>
      <c r="W2252" s="2"/>
      <c r="X2252" s="2"/>
      <c r="Y2252" s="2"/>
      <c r="Z2252" s="2"/>
      <c r="AA2252" s="2"/>
      <c r="AB2252" s="2"/>
      <c r="AC2252" s="2"/>
      <c r="AD2252" s="2"/>
      <c r="AE2252" s="2"/>
      <c r="AF2252" s="2"/>
      <c r="AG2252" s="2"/>
      <c r="AH2252" s="2"/>
      <c r="AI2252" s="2"/>
      <c r="AJ2252" s="2" t="str">
        <f>IFERROR(__xludf.DUMMYFUNCTION("""COMPUTED_VALUE"""),"")</f>
        <v/>
      </c>
      <c r="AK2252" s="2" t="str">
        <f>IFERROR(__xludf.DUMMYFUNCTION("""COMPUTED_VALUE"""),"")</f>
        <v/>
      </c>
      <c r="AL2252" s="2" t="str">
        <f>IFERROR(__xludf.DUMMYFUNCTION("""COMPUTED_VALUE"""),"")</f>
        <v/>
      </c>
      <c r="AM2252" s="2" t="str">
        <f>IFERROR(__xludf.DUMMYFUNCTION("""COMPUTED_VALUE"""),"")</f>
        <v/>
      </c>
      <c r="AN2252" s="2" t="str">
        <f>IFERROR(__xludf.DUMMYFUNCTION("""COMPUTED_VALUE""")," ")</f>
        <v> </v>
      </c>
      <c r="AO2252" s="2" t="str">
        <f>IFERROR(__xludf.DUMMYFUNCTION("""COMPUTED_VALUE""")," ")</f>
        <v> </v>
      </c>
      <c r="AP2252" s="2" t="str">
        <f>IFERROR(__xludf.DUMMYFUNCTION("""COMPUTED_VALUE"""),"")</f>
        <v/>
      </c>
      <c r="AQ2252" s="2"/>
      <c r="AR2252" s="2"/>
      <c r="AS2252" s="2"/>
      <c r="AT2252" s="2"/>
      <c r="AU2252" s="2"/>
      <c r="AV2252" s="2"/>
      <c r="AW2252" s="2"/>
      <c r="AX2252" s="2"/>
      <c r="AY2252" s="2"/>
      <c r="AZ2252" s="2"/>
      <c r="BA2252" s="2"/>
      <c r="BB2252" s="2"/>
    </row>
    <row r="2253">
      <c r="A2253" s="2"/>
      <c r="B2253" s="2" t="str">
        <f>IFERROR(__xludf.DUMMYFUNCTION("""COMPUTED_VALUE"""),"")</f>
        <v/>
      </c>
      <c r="C2253" s="2"/>
      <c r="D2253" s="71"/>
      <c r="E2253" s="71" t="str">
        <f>IFERROR(__xludf.DUMMYFUNCTION("""COMPUTED_VALUE""")," ")</f>
        <v> </v>
      </c>
      <c r="F2253" s="2"/>
      <c r="G2253" s="2"/>
      <c r="H2253" s="2"/>
      <c r="I2253" s="72"/>
      <c r="J2253" s="72"/>
      <c r="K2253" s="72"/>
      <c r="L2253" s="72"/>
      <c r="M2253" s="2"/>
      <c r="N2253" s="2"/>
      <c r="O2253" s="2"/>
      <c r="P2253" s="2"/>
      <c r="Q2253" s="2"/>
      <c r="R2253" s="2"/>
      <c r="S2253" s="2"/>
      <c r="T2253" s="2"/>
      <c r="U2253" s="2"/>
      <c r="V2253" s="2"/>
      <c r="W2253" s="2"/>
      <c r="X2253" s="2"/>
      <c r="Y2253" s="2"/>
      <c r="Z2253" s="2"/>
      <c r="AA2253" s="2"/>
      <c r="AB2253" s="2"/>
      <c r="AC2253" s="2"/>
      <c r="AD2253" s="2"/>
      <c r="AE2253" s="2"/>
      <c r="AF2253" s="2"/>
      <c r="AG2253" s="2"/>
      <c r="AH2253" s="2"/>
      <c r="AI2253" s="2"/>
      <c r="AJ2253" s="2" t="str">
        <f>IFERROR(__xludf.DUMMYFUNCTION("""COMPUTED_VALUE"""),"")</f>
        <v/>
      </c>
      <c r="AK2253" s="2" t="str">
        <f>IFERROR(__xludf.DUMMYFUNCTION("""COMPUTED_VALUE"""),"")</f>
        <v/>
      </c>
      <c r="AL2253" s="2" t="str">
        <f>IFERROR(__xludf.DUMMYFUNCTION("""COMPUTED_VALUE"""),"")</f>
        <v/>
      </c>
      <c r="AM2253" s="2" t="str">
        <f>IFERROR(__xludf.DUMMYFUNCTION("""COMPUTED_VALUE"""),"")</f>
        <v/>
      </c>
      <c r="AN2253" s="2" t="str">
        <f>IFERROR(__xludf.DUMMYFUNCTION("""COMPUTED_VALUE""")," ")</f>
        <v> </v>
      </c>
      <c r="AO2253" s="2" t="str">
        <f>IFERROR(__xludf.DUMMYFUNCTION("""COMPUTED_VALUE""")," ")</f>
        <v> </v>
      </c>
      <c r="AP2253" s="2" t="str">
        <f>IFERROR(__xludf.DUMMYFUNCTION("""COMPUTED_VALUE"""),"")</f>
        <v/>
      </c>
      <c r="AQ2253" s="2"/>
      <c r="AR2253" s="2"/>
      <c r="AS2253" s="2"/>
      <c r="AT2253" s="2"/>
      <c r="AU2253" s="2"/>
      <c r="AV2253" s="2"/>
      <c r="AW2253" s="2"/>
      <c r="AX2253" s="2"/>
      <c r="AY2253" s="2"/>
      <c r="AZ2253" s="2"/>
      <c r="BA2253" s="2"/>
      <c r="BB2253" s="2"/>
    </row>
    <row r="2254">
      <c r="A2254" s="2"/>
      <c r="B2254" s="2" t="str">
        <f>IFERROR(__xludf.DUMMYFUNCTION("""COMPUTED_VALUE"""),"")</f>
        <v/>
      </c>
      <c r="C2254" s="2"/>
      <c r="D2254" s="71"/>
      <c r="E2254" s="71" t="str">
        <f>IFERROR(__xludf.DUMMYFUNCTION("""COMPUTED_VALUE""")," ")</f>
        <v> </v>
      </c>
      <c r="F2254" s="2"/>
      <c r="G2254" s="2"/>
      <c r="H2254" s="2"/>
      <c r="I2254" s="72"/>
      <c r="J2254" s="72"/>
      <c r="K2254" s="72"/>
      <c r="L2254" s="72"/>
      <c r="M2254" s="2"/>
      <c r="N2254" s="2"/>
      <c r="O2254" s="2"/>
      <c r="P2254" s="2"/>
      <c r="Q2254" s="2"/>
      <c r="R2254" s="2"/>
      <c r="S2254" s="2"/>
      <c r="T2254" s="2"/>
      <c r="U2254" s="2"/>
      <c r="V2254" s="2"/>
      <c r="W2254" s="2"/>
      <c r="X2254" s="2"/>
      <c r="Y2254" s="2"/>
      <c r="Z2254" s="2"/>
      <c r="AA2254" s="2"/>
      <c r="AB2254" s="2"/>
      <c r="AC2254" s="2"/>
      <c r="AD2254" s="2"/>
      <c r="AE2254" s="2"/>
      <c r="AF2254" s="2"/>
      <c r="AG2254" s="2"/>
      <c r="AH2254" s="2"/>
      <c r="AI2254" s="2"/>
      <c r="AJ2254" s="2" t="str">
        <f>IFERROR(__xludf.DUMMYFUNCTION("""COMPUTED_VALUE"""),"")</f>
        <v/>
      </c>
      <c r="AK2254" s="2" t="str">
        <f>IFERROR(__xludf.DUMMYFUNCTION("""COMPUTED_VALUE"""),"")</f>
        <v/>
      </c>
      <c r="AL2254" s="2" t="str">
        <f>IFERROR(__xludf.DUMMYFUNCTION("""COMPUTED_VALUE"""),"")</f>
        <v/>
      </c>
      <c r="AM2254" s="2" t="str">
        <f>IFERROR(__xludf.DUMMYFUNCTION("""COMPUTED_VALUE"""),"")</f>
        <v/>
      </c>
      <c r="AN2254" s="2" t="str">
        <f>IFERROR(__xludf.DUMMYFUNCTION("""COMPUTED_VALUE""")," ")</f>
        <v> </v>
      </c>
      <c r="AO2254" s="2" t="str">
        <f>IFERROR(__xludf.DUMMYFUNCTION("""COMPUTED_VALUE""")," ")</f>
        <v> </v>
      </c>
      <c r="AP2254" s="2" t="str">
        <f>IFERROR(__xludf.DUMMYFUNCTION("""COMPUTED_VALUE"""),"")</f>
        <v/>
      </c>
      <c r="AQ2254" s="2"/>
      <c r="AR2254" s="2"/>
      <c r="AS2254" s="2"/>
      <c r="AT2254" s="2"/>
      <c r="AU2254" s="2"/>
      <c r="AV2254" s="2"/>
      <c r="AW2254" s="2"/>
      <c r="AX2254" s="2"/>
      <c r="AY2254" s="2"/>
      <c r="AZ2254" s="2"/>
      <c r="BA2254" s="2"/>
      <c r="BB2254" s="2"/>
    </row>
    <row r="2255">
      <c r="A2255" s="2"/>
      <c r="B2255" s="2" t="str">
        <f>IFERROR(__xludf.DUMMYFUNCTION("""COMPUTED_VALUE"""),"")</f>
        <v/>
      </c>
      <c r="C2255" s="2"/>
      <c r="D2255" s="71"/>
      <c r="E2255" s="71" t="str">
        <f>IFERROR(__xludf.DUMMYFUNCTION("""COMPUTED_VALUE""")," ")</f>
        <v> </v>
      </c>
      <c r="F2255" s="2"/>
      <c r="G2255" s="2"/>
      <c r="H2255" s="2"/>
      <c r="I2255" s="72"/>
      <c r="J2255" s="72"/>
      <c r="K2255" s="72"/>
      <c r="L2255" s="72"/>
      <c r="M2255" s="2"/>
      <c r="N2255" s="2"/>
      <c r="O2255" s="2"/>
      <c r="P2255" s="2"/>
      <c r="Q2255" s="2"/>
      <c r="R2255" s="2"/>
      <c r="S2255" s="2"/>
      <c r="T2255" s="2"/>
      <c r="U2255" s="2"/>
      <c r="V2255" s="2"/>
      <c r="W2255" s="2"/>
      <c r="X2255" s="2"/>
      <c r="Y2255" s="2"/>
      <c r="Z2255" s="2"/>
      <c r="AA2255" s="2"/>
      <c r="AB2255" s="2"/>
      <c r="AC2255" s="2"/>
      <c r="AD2255" s="2"/>
      <c r="AE2255" s="2"/>
      <c r="AF2255" s="2"/>
      <c r="AG2255" s="2"/>
      <c r="AH2255" s="2"/>
      <c r="AI2255" s="2"/>
      <c r="AJ2255" s="2" t="str">
        <f>IFERROR(__xludf.DUMMYFUNCTION("""COMPUTED_VALUE"""),"")</f>
        <v/>
      </c>
      <c r="AK2255" s="2" t="str">
        <f>IFERROR(__xludf.DUMMYFUNCTION("""COMPUTED_VALUE"""),"")</f>
        <v/>
      </c>
      <c r="AL2255" s="2" t="str">
        <f>IFERROR(__xludf.DUMMYFUNCTION("""COMPUTED_VALUE"""),"")</f>
        <v/>
      </c>
      <c r="AM2255" s="2" t="str">
        <f>IFERROR(__xludf.DUMMYFUNCTION("""COMPUTED_VALUE"""),"")</f>
        <v/>
      </c>
      <c r="AN2255" s="2" t="str">
        <f>IFERROR(__xludf.DUMMYFUNCTION("""COMPUTED_VALUE""")," ")</f>
        <v> </v>
      </c>
      <c r="AO2255" s="2" t="str">
        <f>IFERROR(__xludf.DUMMYFUNCTION("""COMPUTED_VALUE""")," ")</f>
        <v> </v>
      </c>
      <c r="AP2255" s="2" t="str">
        <f>IFERROR(__xludf.DUMMYFUNCTION("""COMPUTED_VALUE"""),"")</f>
        <v/>
      </c>
      <c r="AQ2255" s="2"/>
      <c r="AR2255" s="2"/>
      <c r="AS2255" s="2"/>
      <c r="AT2255" s="2"/>
      <c r="AU2255" s="2"/>
      <c r="AV2255" s="2"/>
      <c r="AW2255" s="2"/>
      <c r="AX2255" s="2"/>
      <c r="AY2255" s="2"/>
      <c r="AZ2255" s="2"/>
      <c r="BA2255" s="2"/>
      <c r="BB2255" s="2"/>
    </row>
    <row r="2256">
      <c r="A2256" s="2"/>
      <c r="B2256" s="2" t="str">
        <f>IFERROR(__xludf.DUMMYFUNCTION("""COMPUTED_VALUE"""),"")</f>
        <v/>
      </c>
      <c r="C2256" s="2"/>
      <c r="D2256" s="71"/>
      <c r="E2256" s="71" t="str">
        <f>IFERROR(__xludf.DUMMYFUNCTION("""COMPUTED_VALUE""")," ")</f>
        <v> </v>
      </c>
      <c r="F2256" s="2"/>
      <c r="G2256" s="2"/>
      <c r="H2256" s="2"/>
      <c r="I2256" s="72"/>
      <c r="J2256" s="72"/>
      <c r="K2256" s="72"/>
      <c r="L2256" s="72"/>
      <c r="M2256" s="2"/>
      <c r="N2256" s="2"/>
      <c r="O2256" s="2"/>
      <c r="P2256" s="2"/>
      <c r="Q2256" s="2"/>
      <c r="R2256" s="2"/>
      <c r="S2256" s="2"/>
      <c r="T2256" s="2"/>
      <c r="U2256" s="2"/>
      <c r="V2256" s="2"/>
      <c r="W2256" s="2"/>
      <c r="X2256" s="2"/>
      <c r="Y2256" s="2"/>
      <c r="Z2256" s="2"/>
      <c r="AA2256" s="2"/>
      <c r="AB2256" s="2"/>
      <c r="AC2256" s="2"/>
      <c r="AD2256" s="2"/>
      <c r="AE2256" s="2"/>
      <c r="AF2256" s="2"/>
      <c r="AG2256" s="2"/>
      <c r="AH2256" s="2"/>
      <c r="AI2256" s="2"/>
      <c r="AJ2256" s="2" t="str">
        <f>IFERROR(__xludf.DUMMYFUNCTION("""COMPUTED_VALUE"""),"")</f>
        <v/>
      </c>
      <c r="AK2256" s="2" t="str">
        <f>IFERROR(__xludf.DUMMYFUNCTION("""COMPUTED_VALUE"""),"")</f>
        <v/>
      </c>
      <c r="AL2256" s="2" t="str">
        <f>IFERROR(__xludf.DUMMYFUNCTION("""COMPUTED_VALUE"""),"")</f>
        <v/>
      </c>
      <c r="AM2256" s="2" t="str">
        <f>IFERROR(__xludf.DUMMYFUNCTION("""COMPUTED_VALUE"""),"")</f>
        <v/>
      </c>
      <c r="AN2256" s="2" t="str">
        <f>IFERROR(__xludf.DUMMYFUNCTION("""COMPUTED_VALUE""")," ")</f>
        <v> </v>
      </c>
      <c r="AO2256" s="2" t="str">
        <f>IFERROR(__xludf.DUMMYFUNCTION("""COMPUTED_VALUE""")," ")</f>
        <v> </v>
      </c>
      <c r="AP2256" s="2" t="str">
        <f>IFERROR(__xludf.DUMMYFUNCTION("""COMPUTED_VALUE"""),"")</f>
        <v/>
      </c>
      <c r="AQ2256" s="2"/>
      <c r="AR2256" s="2"/>
      <c r="AS2256" s="2"/>
      <c r="AT2256" s="2"/>
      <c r="AU2256" s="2"/>
      <c r="AV2256" s="2"/>
      <c r="AW2256" s="2"/>
      <c r="AX2256" s="2"/>
      <c r="AY2256" s="2"/>
      <c r="AZ2256" s="2"/>
      <c r="BA2256" s="2"/>
      <c r="BB2256" s="2"/>
    </row>
    <row r="2257">
      <c r="A2257" s="2"/>
      <c r="B2257" s="2" t="str">
        <f>IFERROR(__xludf.DUMMYFUNCTION("""COMPUTED_VALUE"""),"")</f>
        <v/>
      </c>
      <c r="C2257" s="2"/>
      <c r="D2257" s="71"/>
      <c r="E2257" s="71" t="str">
        <f>IFERROR(__xludf.DUMMYFUNCTION("""COMPUTED_VALUE""")," ")</f>
        <v> </v>
      </c>
      <c r="F2257" s="2"/>
      <c r="G2257" s="2"/>
      <c r="H2257" s="2"/>
      <c r="I2257" s="72"/>
      <c r="J2257" s="72"/>
      <c r="K2257" s="72"/>
      <c r="L2257" s="72"/>
      <c r="M2257" s="2"/>
      <c r="N2257" s="2"/>
      <c r="O2257" s="2"/>
      <c r="P2257" s="2"/>
      <c r="Q2257" s="2"/>
      <c r="R2257" s="2"/>
      <c r="S2257" s="2"/>
      <c r="T2257" s="2"/>
      <c r="U2257" s="2"/>
      <c r="V2257" s="2"/>
      <c r="W2257" s="2"/>
      <c r="X2257" s="2"/>
      <c r="Y2257" s="2"/>
      <c r="Z2257" s="2"/>
      <c r="AA2257" s="2"/>
      <c r="AB2257" s="2"/>
      <c r="AC2257" s="2"/>
      <c r="AD2257" s="2"/>
      <c r="AE2257" s="2"/>
      <c r="AF2257" s="2"/>
      <c r="AG2257" s="2"/>
      <c r="AH2257" s="2"/>
      <c r="AI2257" s="2"/>
      <c r="AJ2257" s="2" t="str">
        <f>IFERROR(__xludf.DUMMYFUNCTION("""COMPUTED_VALUE"""),"")</f>
        <v/>
      </c>
      <c r="AK2257" s="2" t="str">
        <f>IFERROR(__xludf.DUMMYFUNCTION("""COMPUTED_VALUE"""),"")</f>
        <v/>
      </c>
      <c r="AL2257" s="2" t="str">
        <f>IFERROR(__xludf.DUMMYFUNCTION("""COMPUTED_VALUE"""),"")</f>
        <v/>
      </c>
      <c r="AM2257" s="2" t="str">
        <f>IFERROR(__xludf.DUMMYFUNCTION("""COMPUTED_VALUE"""),"")</f>
        <v/>
      </c>
      <c r="AN2257" s="2" t="str">
        <f>IFERROR(__xludf.DUMMYFUNCTION("""COMPUTED_VALUE""")," ")</f>
        <v> </v>
      </c>
      <c r="AO2257" s="2" t="str">
        <f>IFERROR(__xludf.DUMMYFUNCTION("""COMPUTED_VALUE""")," ")</f>
        <v> </v>
      </c>
      <c r="AP2257" s="2" t="str">
        <f>IFERROR(__xludf.DUMMYFUNCTION("""COMPUTED_VALUE"""),"")</f>
        <v/>
      </c>
      <c r="AQ2257" s="2"/>
      <c r="AR2257" s="2"/>
      <c r="AS2257" s="2"/>
      <c r="AT2257" s="2"/>
      <c r="AU2257" s="2"/>
      <c r="AV2257" s="2"/>
      <c r="AW2257" s="2"/>
      <c r="AX2257" s="2"/>
      <c r="AY2257" s="2"/>
      <c r="AZ2257" s="2"/>
      <c r="BA2257" s="2"/>
      <c r="BB2257" s="2"/>
    </row>
    <row r="2258">
      <c r="A2258" s="2"/>
      <c r="B2258" s="2" t="str">
        <f>IFERROR(__xludf.DUMMYFUNCTION("""COMPUTED_VALUE"""),"")</f>
        <v/>
      </c>
      <c r="C2258" s="2"/>
      <c r="D2258" s="71"/>
      <c r="E2258" s="71" t="str">
        <f>IFERROR(__xludf.DUMMYFUNCTION("""COMPUTED_VALUE""")," ")</f>
        <v> </v>
      </c>
      <c r="F2258" s="2"/>
      <c r="G2258" s="2"/>
      <c r="H2258" s="2"/>
      <c r="I2258" s="72"/>
      <c r="J2258" s="72"/>
      <c r="K2258" s="72"/>
      <c r="L2258" s="72"/>
      <c r="M2258" s="2"/>
      <c r="N2258" s="2"/>
      <c r="O2258" s="2"/>
      <c r="P2258" s="2"/>
      <c r="Q2258" s="2"/>
      <c r="R2258" s="2"/>
      <c r="S2258" s="2"/>
      <c r="T2258" s="2"/>
      <c r="U2258" s="2"/>
      <c r="V2258" s="2"/>
      <c r="W2258" s="2"/>
      <c r="X2258" s="2"/>
      <c r="Y2258" s="2"/>
      <c r="Z2258" s="2"/>
      <c r="AA2258" s="2"/>
      <c r="AB2258" s="2"/>
      <c r="AC2258" s="2"/>
      <c r="AD2258" s="2"/>
      <c r="AE2258" s="2"/>
      <c r="AF2258" s="2"/>
      <c r="AG2258" s="2"/>
      <c r="AH2258" s="2"/>
      <c r="AI2258" s="2"/>
      <c r="AJ2258" s="2" t="str">
        <f>IFERROR(__xludf.DUMMYFUNCTION("""COMPUTED_VALUE"""),"")</f>
        <v/>
      </c>
      <c r="AK2258" s="2" t="str">
        <f>IFERROR(__xludf.DUMMYFUNCTION("""COMPUTED_VALUE"""),"")</f>
        <v/>
      </c>
      <c r="AL2258" s="2" t="str">
        <f>IFERROR(__xludf.DUMMYFUNCTION("""COMPUTED_VALUE"""),"")</f>
        <v/>
      </c>
      <c r="AM2258" s="2" t="str">
        <f>IFERROR(__xludf.DUMMYFUNCTION("""COMPUTED_VALUE"""),"")</f>
        <v/>
      </c>
      <c r="AN2258" s="2" t="str">
        <f>IFERROR(__xludf.DUMMYFUNCTION("""COMPUTED_VALUE""")," ")</f>
        <v> </v>
      </c>
      <c r="AO2258" s="2" t="str">
        <f>IFERROR(__xludf.DUMMYFUNCTION("""COMPUTED_VALUE""")," ")</f>
        <v> </v>
      </c>
      <c r="AP2258" s="2" t="str">
        <f>IFERROR(__xludf.DUMMYFUNCTION("""COMPUTED_VALUE"""),"")</f>
        <v/>
      </c>
      <c r="AQ2258" s="2"/>
      <c r="AR2258" s="2"/>
      <c r="AS2258" s="2"/>
      <c r="AT2258" s="2"/>
      <c r="AU2258" s="2"/>
      <c r="AV2258" s="2"/>
      <c r="AW2258" s="2"/>
      <c r="AX2258" s="2"/>
      <c r="AY2258" s="2"/>
      <c r="AZ2258" s="2"/>
      <c r="BA2258" s="2"/>
      <c r="BB2258" s="2"/>
    </row>
    <row r="2259">
      <c r="A2259" s="2"/>
      <c r="B2259" s="2" t="str">
        <f>IFERROR(__xludf.DUMMYFUNCTION("""COMPUTED_VALUE"""),"")</f>
        <v/>
      </c>
      <c r="C2259" s="2"/>
      <c r="D2259" s="71"/>
      <c r="E2259" s="71" t="str">
        <f>IFERROR(__xludf.DUMMYFUNCTION("""COMPUTED_VALUE""")," ")</f>
        <v> </v>
      </c>
      <c r="F2259" s="2"/>
      <c r="G2259" s="2"/>
      <c r="H2259" s="2"/>
      <c r="I2259" s="72"/>
      <c r="J2259" s="72"/>
      <c r="K2259" s="72"/>
      <c r="L2259" s="72"/>
      <c r="M2259" s="2"/>
      <c r="N2259" s="2"/>
      <c r="O2259" s="2"/>
      <c r="P2259" s="2"/>
      <c r="Q2259" s="2"/>
      <c r="R2259" s="2"/>
      <c r="S2259" s="2"/>
      <c r="T2259" s="2"/>
      <c r="U2259" s="2"/>
      <c r="V2259" s="2"/>
      <c r="W2259" s="2"/>
      <c r="X2259" s="2"/>
      <c r="Y2259" s="2"/>
      <c r="Z2259" s="2"/>
      <c r="AA2259" s="2"/>
      <c r="AB2259" s="2"/>
      <c r="AC2259" s="2"/>
      <c r="AD2259" s="2"/>
      <c r="AE2259" s="2"/>
      <c r="AF2259" s="2"/>
      <c r="AG2259" s="2"/>
      <c r="AH2259" s="2"/>
      <c r="AI2259" s="2"/>
      <c r="AJ2259" s="2" t="str">
        <f>IFERROR(__xludf.DUMMYFUNCTION("""COMPUTED_VALUE"""),"")</f>
        <v/>
      </c>
      <c r="AK2259" s="2" t="str">
        <f>IFERROR(__xludf.DUMMYFUNCTION("""COMPUTED_VALUE"""),"")</f>
        <v/>
      </c>
      <c r="AL2259" s="2" t="str">
        <f>IFERROR(__xludf.DUMMYFUNCTION("""COMPUTED_VALUE"""),"")</f>
        <v/>
      </c>
      <c r="AM2259" s="2" t="str">
        <f>IFERROR(__xludf.DUMMYFUNCTION("""COMPUTED_VALUE"""),"")</f>
        <v/>
      </c>
      <c r="AN2259" s="2" t="str">
        <f>IFERROR(__xludf.DUMMYFUNCTION("""COMPUTED_VALUE""")," ")</f>
        <v> </v>
      </c>
      <c r="AO2259" s="2" t="str">
        <f>IFERROR(__xludf.DUMMYFUNCTION("""COMPUTED_VALUE""")," ")</f>
        <v> </v>
      </c>
      <c r="AP2259" s="2" t="str">
        <f>IFERROR(__xludf.DUMMYFUNCTION("""COMPUTED_VALUE"""),"")</f>
        <v/>
      </c>
      <c r="AQ2259" s="2"/>
      <c r="AR2259" s="2"/>
      <c r="AS2259" s="2"/>
      <c r="AT2259" s="2"/>
      <c r="AU2259" s="2"/>
      <c r="AV2259" s="2"/>
      <c r="AW2259" s="2"/>
      <c r="AX2259" s="2"/>
      <c r="AY2259" s="2"/>
      <c r="AZ2259" s="2"/>
      <c r="BA2259" s="2"/>
      <c r="BB2259" s="2"/>
    </row>
    <row r="2260">
      <c r="A2260" s="2"/>
      <c r="B2260" s="2" t="str">
        <f>IFERROR(__xludf.DUMMYFUNCTION("""COMPUTED_VALUE"""),"")</f>
        <v/>
      </c>
      <c r="C2260" s="2"/>
      <c r="D2260" s="71"/>
      <c r="E2260" s="71" t="str">
        <f>IFERROR(__xludf.DUMMYFUNCTION("""COMPUTED_VALUE""")," ")</f>
        <v> </v>
      </c>
      <c r="F2260" s="2"/>
      <c r="G2260" s="2"/>
      <c r="H2260" s="2"/>
      <c r="I2260" s="72"/>
      <c r="J2260" s="72"/>
      <c r="K2260" s="72"/>
      <c r="L2260" s="72"/>
      <c r="M2260" s="2"/>
      <c r="N2260" s="2"/>
      <c r="O2260" s="2"/>
      <c r="P2260" s="2"/>
      <c r="Q2260" s="2"/>
      <c r="R2260" s="2"/>
      <c r="S2260" s="2"/>
      <c r="T2260" s="2"/>
      <c r="U2260" s="2"/>
      <c r="V2260" s="2"/>
      <c r="W2260" s="2"/>
      <c r="X2260" s="2"/>
      <c r="Y2260" s="2"/>
      <c r="Z2260" s="2"/>
      <c r="AA2260" s="2"/>
      <c r="AB2260" s="2"/>
      <c r="AC2260" s="2"/>
      <c r="AD2260" s="2"/>
      <c r="AE2260" s="2"/>
      <c r="AF2260" s="2"/>
      <c r="AG2260" s="2"/>
      <c r="AH2260" s="2"/>
      <c r="AI2260" s="2"/>
      <c r="AJ2260" s="2" t="str">
        <f>IFERROR(__xludf.DUMMYFUNCTION("""COMPUTED_VALUE"""),"")</f>
        <v/>
      </c>
      <c r="AK2260" s="2" t="str">
        <f>IFERROR(__xludf.DUMMYFUNCTION("""COMPUTED_VALUE"""),"")</f>
        <v/>
      </c>
      <c r="AL2260" s="2" t="str">
        <f>IFERROR(__xludf.DUMMYFUNCTION("""COMPUTED_VALUE"""),"")</f>
        <v/>
      </c>
      <c r="AM2260" s="2" t="str">
        <f>IFERROR(__xludf.DUMMYFUNCTION("""COMPUTED_VALUE"""),"")</f>
        <v/>
      </c>
      <c r="AN2260" s="2" t="str">
        <f>IFERROR(__xludf.DUMMYFUNCTION("""COMPUTED_VALUE""")," ")</f>
        <v> </v>
      </c>
      <c r="AO2260" s="2" t="str">
        <f>IFERROR(__xludf.DUMMYFUNCTION("""COMPUTED_VALUE""")," ")</f>
        <v> </v>
      </c>
      <c r="AP2260" s="2" t="str">
        <f>IFERROR(__xludf.DUMMYFUNCTION("""COMPUTED_VALUE"""),"")</f>
        <v/>
      </c>
      <c r="AQ2260" s="2"/>
      <c r="AR2260" s="2"/>
      <c r="AS2260" s="2"/>
      <c r="AT2260" s="2"/>
      <c r="AU2260" s="2"/>
      <c r="AV2260" s="2"/>
      <c r="AW2260" s="2"/>
      <c r="AX2260" s="2"/>
      <c r="AY2260" s="2"/>
      <c r="AZ2260" s="2"/>
      <c r="BA2260" s="2"/>
      <c r="BB2260" s="2"/>
    </row>
    <row r="2261">
      <c r="A2261" s="2"/>
      <c r="B2261" s="2" t="str">
        <f>IFERROR(__xludf.DUMMYFUNCTION("""COMPUTED_VALUE"""),"")</f>
        <v/>
      </c>
      <c r="C2261" s="2"/>
      <c r="D2261" s="71"/>
      <c r="E2261" s="71" t="str">
        <f>IFERROR(__xludf.DUMMYFUNCTION("""COMPUTED_VALUE""")," ")</f>
        <v> </v>
      </c>
      <c r="F2261" s="2"/>
      <c r="G2261" s="2"/>
      <c r="H2261" s="2"/>
      <c r="I2261" s="72"/>
      <c r="J2261" s="72"/>
      <c r="K2261" s="72"/>
      <c r="L2261" s="72"/>
      <c r="M2261" s="2"/>
      <c r="N2261" s="2"/>
      <c r="O2261" s="2"/>
      <c r="P2261" s="2"/>
      <c r="Q2261" s="2"/>
      <c r="R2261" s="2"/>
      <c r="S2261" s="2"/>
      <c r="T2261" s="2"/>
      <c r="U2261" s="2"/>
      <c r="V2261" s="2"/>
      <c r="W2261" s="2"/>
      <c r="X2261" s="2"/>
      <c r="Y2261" s="2"/>
      <c r="Z2261" s="2"/>
      <c r="AA2261" s="2"/>
      <c r="AB2261" s="2"/>
      <c r="AC2261" s="2"/>
      <c r="AD2261" s="2"/>
      <c r="AE2261" s="2"/>
      <c r="AF2261" s="2"/>
      <c r="AG2261" s="2"/>
      <c r="AH2261" s="2"/>
      <c r="AI2261" s="2"/>
      <c r="AJ2261" s="2" t="str">
        <f>IFERROR(__xludf.DUMMYFUNCTION("""COMPUTED_VALUE"""),"")</f>
        <v/>
      </c>
      <c r="AK2261" s="2" t="str">
        <f>IFERROR(__xludf.DUMMYFUNCTION("""COMPUTED_VALUE"""),"")</f>
        <v/>
      </c>
      <c r="AL2261" s="2" t="str">
        <f>IFERROR(__xludf.DUMMYFUNCTION("""COMPUTED_VALUE"""),"")</f>
        <v/>
      </c>
      <c r="AM2261" s="2" t="str">
        <f>IFERROR(__xludf.DUMMYFUNCTION("""COMPUTED_VALUE"""),"")</f>
        <v/>
      </c>
      <c r="AN2261" s="2" t="str">
        <f>IFERROR(__xludf.DUMMYFUNCTION("""COMPUTED_VALUE""")," ")</f>
        <v> </v>
      </c>
      <c r="AO2261" s="2" t="str">
        <f>IFERROR(__xludf.DUMMYFUNCTION("""COMPUTED_VALUE""")," ")</f>
        <v> </v>
      </c>
      <c r="AP2261" s="2" t="str">
        <f>IFERROR(__xludf.DUMMYFUNCTION("""COMPUTED_VALUE"""),"")</f>
        <v/>
      </c>
      <c r="AQ2261" s="2"/>
      <c r="AR2261" s="2"/>
      <c r="AS2261" s="2"/>
      <c r="AT2261" s="2"/>
      <c r="AU2261" s="2"/>
      <c r="AV2261" s="2"/>
      <c r="AW2261" s="2"/>
      <c r="AX2261" s="2"/>
      <c r="AY2261" s="2"/>
      <c r="AZ2261" s="2"/>
      <c r="BA2261" s="2"/>
      <c r="BB2261" s="2"/>
    </row>
    <row r="2262">
      <c r="A2262" s="2"/>
      <c r="B2262" s="2" t="str">
        <f>IFERROR(__xludf.DUMMYFUNCTION("""COMPUTED_VALUE"""),"")</f>
        <v/>
      </c>
      <c r="C2262" s="2"/>
      <c r="D2262" s="71"/>
      <c r="E2262" s="71" t="str">
        <f>IFERROR(__xludf.DUMMYFUNCTION("""COMPUTED_VALUE""")," ")</f>
        <v> </v>
      </c>
      <c r="F2262" s="2"/>
      <c r="G2262" s="2"/>
      <c r="H2262" s="2"/>
      <c r="I2262" s="72"/>
      <c r="J2262" s="72"/>
      <c r="K2262" s="72"/>
      <c r="L2262" s="72"/>
      <c r="M2262" s="2"/>
      <c r="N2262" s="2"/>
      <c r="O2262" s="2"/>
      <c r="P2262" s="2"/>
      <c r="Q2262" s="2"/>
      <c r="R2262" s="2"/>
      <c r="S2262" s="2"/>
      <c r="T2262" s="2"/>
      <c r="U2262" s="2"/>
      <c r="V2262" s="2"/>
      <c r="W2262" s="2"/>
      <c r="X2262" s="2"/>
      <c r="Y2262" s="2"/>
      <c r="Z2262" s="2"/>
      <c r="AA2262" s="2"/>
      <c r="AB2262" s="2"/>
      <c r="AC2262" s="2"/>
      <c r="AD2262" s="2"/>
      <c r="AE2262" s="2"/>
      <c r="AF2262" s="2"/>
      <c r="AG2262" s="2"/>
      <c r="AH2262" s="2"/>
      <c r="AI2262" s="2"/>
      <c r="AJ2262" s="2" t="str">
        <f>IFERROR(__xludf.DUMMYFUNCTION("""COMPUTED_VALUE"""),"")</f>
        <v/>
      </c>
      <c r="AK2262" s="2" t="str">
        <f>IFERROR(__xludf.DUMMYFUNCTION("""COMPUTED_VALUE"""),"")</f>
        <v/>
      </c>
      <c r="AL2262" s="2" t="str">
        <f>IFERROR(__xludf.DUMMYFUNCTION("""COMPUTED_VALUE"""),"")</f>
        <v/>
      </c>
      <c r="AM2262" s="2" t="str">
        <f>IFERROR(__xludf.DUMMYFUNCTION("""COMPUTED_VALUE"""),"")</f>
        <v/>
      </c>
      <c r="AN2262" s="2" t="str">
        <f>IFERROR(__xludf.DUMMYFUNCTION("""COMPUTED_VALUE""")," ")</f>
        <v> </v>
      </c>
      <c r="AO2262" s="2" t="str">
        <f>IFERROR(__xludf.DUMMYFUNCTION("""COMPUTED_VALUE""")," ")</f>
        <v> </v>
      </c>
      <c r="AP2262" s="2" t="str">
        <f>IFERROR(__xludf.DUMMYFUNCTION("""COMPUTED_VALUE"""),"")</f>
        <v/>
      </c>
      <c r="AQ2262" s="2"/>
      <c r="AR2262" s="2"/>
      <c r="AS2262" s="2"/>
      <c r="AT2262" s="2"/>
      <c r="AU2262" s="2"/>
      <c r="AV2262" s="2"/>
      <c r="AW2262" s="2"/>
      <c r="AX2262" s="2"/>
      <c r="AY2262" s="2"/>
      <c r="AZ2262" s="2"/>
      <c r="BA2262" s="2"/>
      <c r="BB2262" s="2"/>
    </row>
    <row r="2263">
      <c r="A2263" s="2"/>
      <c r="B2263" s="2" t="str">
        <f>IFERROR(__xludf.DUMMYFUNCTION("""COMPUTED_VALUE"""),"")</f>
        <v/>
      </c>
      <c r="C2263" s="2"/>
      <c r="D2263" s="71"/>
      <c r="E2263" s="71" t="str">
        <f>IFERROR(__xludf.DUMMYFUNCTION("""COMPUTED_VALUE""")," ")</f>
        <v> </v>
      </c>
      <c r="F2263" s="2"/>
      <c r="G2263" s="2"/>
      <c r="H2263" s="2"/>
      <c r="I2263" s="72"/>
      <c r="J2263" s="72"/>
      <c r="K2263" s="72"/>
      <c r="L2263" s="72"/>
      <c r="M2263" s="2"/>
      <c r="N2263" s="2"/>
      <c r="O2263" s="2"/>
      <c r="P2263" s="2"/>
      <c r="Q2263" s="2"/>
      <c r="R2263" s="2"/>
      <c r="S2263" s="2"/>
      <c r="T2263" s="2"/>
      <c r="U2263" s="2"/>
      <c r="V2263" s="2"/>
      <c r="W2263" s="2"/>
      <c r="X2263" s="2"/>
      <c r="Y2263" s="2"/>
      <c r="Z2263" s="2"/>
      <c r="AA2263" s="2"/>
      <c r="AB2263" s="2"/>
      <c r="AC2263" s="2"/>
      <c r="AD2263" s="2"/>
      <c r="AE2263" s="2"/>
      <c r="AF2263" s="2"/>
      <c r="AG2263" s="2"/>
      <c r="AH2263" s="2"/>
      <c r="AI2263" s="2"/>
      <c r="AJ2263" s="2" t="str">
        <f>IFERROR(__xludf.DUMMYFUNCTION("""COMPUTED_VALUE"""),"")</f>
        <v/>
      </c>
      <c r="AK2263" s="2" t="str">
        <f>IFERROR(__xludf.DUMMYFUNCTION("""COMPUTED_VALUE"""),"")</f>
        <v/>
      </c>
      <c r="AL2263" s="2" t="str">
        <f>IFERROR(__xludf.DUMMYFUNCTION("""COMPUTED_VALUE"""),"")</f>
        <v/>
      </c>
      <c r="AM2263" s="2" t="str">
        <f>IFERROR(__xludf.DUMMYFUNCTION("""COMPUTED_VALUE"""),"")</f>
        <v/>
      </c>
      <c r="AN2263" s="2" t="str">
        <f>IFERROR(__xludf.DUMMYFUNCTION("""COMPUTED_VALUE""")," ")</f>
        <v> </v>
      </c>
      <c r="AO2263" s="2" t="str">
        <f>IFERROR(__xludf.DUMMYFUNCTION("""COMPUTED_VALUE""")," ")</f>
        <v> </v>
      </c>
      <c r="AP2263" s="2" t="str">
        <f>IFERROR(__xludf.DUMMYFUNCTION("""COMPUTED_VALUE"""),"")</f>
        <v/>
      </c>
      <c r="AQ2263" s="2"/>
      <c r="AR2263" s="2"/>
      <c r="AS2263" s="2"/>
      <c r="AT2263" s="2"/>
      <c r="AU2263" s="2"/>
      <c r="AV2263" s="2"/>
      <c r="AW2263" s="2"/>
      <c r="AX2263" s="2"/>
      <c r="AY2263" s="2"/>
      <c r="AZ2263" s="2"/>
      <c r="BA2263" s="2"/>
      <c r="BB2263" s="2"/>
    </row>
    <row r="2264">
      <c r="A2264" s="2"/>
      <c r="B2264" s="2" t="str">
        <f>IFERROR(__xludf.DUMMYFUNCTION("""COMPUTED_VALUE"""),"")</f>
        <v/>
      </c>
      <c r="C2264" s="2"/>
      <c r="D2264" s="71"/>
      <c r="E2264" s="71" t="str">
        <f>IFERROR(__xludf.DUMMYFUNCTION("""COMPUTED_VALUE""")," ")</f>
        <v> </v>
      </c>
      <c r="F2264" s="2"/>
      <c r="G2264" s="2"/>
      <c r="H2264" s="2"/>
      <c r="I2264" s="72"/>
      <c r="J2264" s="72"/>
      <c r="K2264" s="72"/>
      <c r="L2264" s="72"/>
      <c r="M2264" s="2"/>
      <c r="N2264" s="2"/>
      <c r="O2264" s="2"/>
      <c r="P2264" s="2"/>
      <c r="Q2264" s="2"/>
      <c r="R2264" s="2"/>
      <c r="S2264" s="2"/>
      <c r="T2264" s="2"/>
      <c r="U2264" s="2"/>
      <c r="V2264" s="2"/>
      <c r="W2264" s="2"/>
      <c r="X2264" s="2"/>
      <c r="Y2264" s="2"/>
      <c r="Z2264" s="2"/>
      <c r="AA2264" s="2"/>
      <c r="AB2264" s="2"/>
      <c r="AC2264" s="2"/>
      <c r="AD2264" s="2"/>
      <c r="AE2264" s="2"/>
      <c r="AF2264" s="2"/>
      <c r="AG2264" s="2"/>
      <c r="AH2264" s="2"/>
      <c r="AI2264" s="2"/>
      <c r="AJ2264" s="2" t="str">
        <f>IFERROR(__xludf.DUMMYFUNCTION("""COMPUTED_VALUE"""),"")</f>
        <v/>
      </c>
      <c r="AK2264" s="2" t="str">
        <f>IFERROR(__xludf.DUMMYFUNCTION("""COMPUTED_VALUE"""),"")</f>
        <v/>
      </c>
      <c r="AL2264" s="2" t="str">
        <f>IFERROR(__xludf.DUMMYFUNCTION("""COMPUTED_VALUE"""),"")</f>
        <v/>
      </c>
      <c r="AM2264" s="2" t="str">
        <f>IFERROR(__xludf.DUMMYFUNCTION("""COMPUTED_VALUE"""),"")</f>
        <v/>
      </c>
      <c r="AN2264" s="2" t="str">
        <f>IFERROR(__xludf.DUMMYFUNCTION("""COMPUTED_VALUE""")," ")</f>
        <v> </v>
      </c>
      <c r="AO2264" s="2" t="str">
        <f>IFERROR(__xludf.DUMMYFUNCTION("""COMPUTED_VALUE""")," ")</f>
        <v> </v>
      </c>
      <c r="AP2264" s="2" t="str">
        <f>IFERROR(__xludf.DUMMYFUNCTION("""COMPUTED_VALUE"""),"")</f>
        <v/>
      </c>
      <c r="AQ2264" s="2"/>
      <c r="AR2264" s="2"/>
      <c r="AS2264" s="2"/>
      <c r="AT2264" s="2"/>
      <c r="AU2264" s="2"/>
      <c r="AV2264" s="2"/>
      <c r="AW2264" s="2"/>
      <c r="AX2264" s="2"/>
      <c r="AY2264" s="2"/>
      <c r="AZ2264" s="2"/>
      <c r="BA2264" s="2"/>
      <c r="BB2264" s="2"/>
    </row>
    <row r="2265">
      <c r="A2265" s="2"/>
      <c r="B2265" s="2" t="str">
        <f>IFERROR(__xludf.DUMMYFUNCTION("""COMPUTED_VALUE"""),"")</f>
        <v/>
      </c>
      <c r="C2265" s="2"/>
      <c r="D2265" s="71"/>
      <c r="E2265" s="71" t="str">
        <f>IFERROR(__xludf.DUMMYFUNCTION("""COMPUTED_VALUE""")," ")</f>
        <v> </v>
      </c>
      <c r="F2265" s="2"/>
      <c r="G2265" s="2"/>
      <c r="H2265" s="2"/>
      <c r="I2265" s="72"/>
      <c r="J2265" s="72"/>
      <c r="K2265" s="72"/>
      <c r="L2265" s="72"/>
      <c r="M2265" s="2"/>
      <c r="N2265" s="2"/>
      <c r="O2265" s="2"/>
      <c r="P2265" s="2"/>
      <c r="Q2265" s="2"/>
      <c r="R2265" s="2"/>
      <c r="S2265" s="2"/>
      <c r="T2265" s="2"/>
      <c r="U2265" s="2"/>
      <c r="V2265" s="2"/>
      <c r="W2265" s="2"/>
      <c r="X2265" s="2"/>
      <c r="Y2265" s="2"/>
      <c r="Z2265" s="2"/>
      <c r="AA2265" s="2"/>
      <c r="AB2265" s="2"/>
      <c r="AC2265" s="2"/>
      <c r="AD2265" s="2"/>
      <c r="AE2265" s="2"/>
      <c r="AF2265" s="2"/>
      <c r="AG2265" s="2"/>
      <c r="AH2265" s="2"/>
      <c r="AI2265" s="2"/>
      <c r="AJ2265" s="2" t="str">
        <f>IFERROR(__xludf.DUMMYFUNCTION("""COMPUTED_VALUE"""),"")</f>
        <v/>
      </c>
      <c r="AK2265" s="2" t="str">
        <f>IFERROR(__xludf.DUMMYFUNCTION("""COMPUTED_VALUE"""),"")</f>
        <v/>
      </c>
      <c r="AL2265" s="2" t="str">
        <f>IFERROR(__xludf.DUMMYFUNCTION("""COMPUTED_VALUE"""),"")</f>
        <v/>
      </c>
      <c r="AM2265" s="2" t="str">
        <f>IFERROR(__xludf.DUMMYFUNCTION("""COMPUTED_VALUE"""),"")</f>
        <v/>
      </c>
      <c r="AN2265" s="2" t="str">
        <f>IFERROR(__xludf.DUMMYFUNCTION("""COMPUTED_VALUE""")," ")</f>
        <v> </v>
      </c>
      <c r="AO2265" s="2" t="str">
        <f>IFERROR(__xludf.DUMMYFUNCTION("""COMPUTED_VALUE""")," ")</f>
        <v> </v>
      </c>
      <c r="AP2265" s="2" t="str">
        <f>IFERROR(__xludf.DUMMYFUNCTION("""COMPUTED_VALUE"""),"")</f>
        <v/>
      </c>
      <c r="AQ2265" s="2"/>
      <c r="AR2265" s="2"/>
      <c r="AS2265" s="2"/>
      <c r="AT2265" s="2"/>
      <c r="AU2265" s="2"/>
      <c r="AV2265" s="2"/>
      <c r="AW2265" s="2"/>
      <c r="AX2265" s="2"/>
      <c r="AY2265" s="2"/>
      <c r="AZ2265" s="2"/>
      <c r="BA2265" s="2"/>
      <c r="BB2265" s="2"/>
    </row>
    <row r="2266">
      <c r="A2266" s="2"/>
      <c r="B2266" s="2" t="str">
        <f>IFERROR(__xludf.DUMMYFUNCTION("""COMPUTED_VALUE"""),"")</f>
        <v/>
      </c>
      <c r="C2266" s="2"/>
      <c r="D2266" s="71"/>
      <c r="E2266" s="71" t="str">
        <f>IFERROR(__xludf.DUMMYFUNCTION("""COMPUTED_VALUE""")," ")</f>
        <v> </v>
      </c>
      <c r="F2266" s="2"/>
      <c r="G2266" s="2"/>
      <c r="H2266" s="2"/>
      <c r="I2266" s="72"/>
      <c r="J2266" s="72"/>
      <c r="K2266" s="72"/>
      <c r="L2266" s="72"/>
      <c r="M2266" s="2"/>
      <c r="N2266" s="2"/>
      <c r="O2266" s="2"/>
      <c r="P2266" s="2"/>
      <c r="Q2266" s="2"/>
      <c r="R2266" s="2"/>
      <c r="S2266" s="2"/>
      <c r="T2266" s="2"/>
      <c r="U2266" s="2"/>
      <c r="V2266" s="2"/>
      <c r="W2266" s="2"/>
      <c r="X2266" s="2"/>
      <c r="Y2266" s="2"/>
      <c r="Z2266" s="2"/>
      <c r="AA2266" s="2"/>
      <c r="AB2266" s="2"/>
      <c r="AC2266" s="2"/>
      <c r="AD2266" s="2"/>
      <c r="AE2266" s="2"/>
      <c r="AF2266" s="2"/>
      <c r="AG2266" s="2"/>
      <c r="AH2266" s="2"/>
      <c r="AI2266" s="2"/>
      <c r="AJ2266" s="2" t="str">
        <f>IFERROR(__xludf.DUMMYFUNCTION("""COMPUTED_VALUE"""),"")</f>
        <v/>
      </c>
      <c r="AK2266" s="2" t="str">
        <f>IFERROR(__xludf.DUMMYFUNCTION("""COMPUTED_VALUE"""),"")</f>
        <v/>
      </c>
      <c r="AL2266" s="2" t="str">
        <f>IFERROR(__xludf.DUMMYFUNCTION("""COMPUTED_VALUE"""),"")</f>
        <v/>
      </c>
      <c r="AM2266" s="2" t="str">
        <f>IFERROR(__xludf.DUMMYFUNCTION("""COMPUTED_VALUE"""),"")</f>
        <v/>
      </c>
      <c r="AN2266" s="2" t="str">
        <f>IFERROR(__xludf.DUMMYFUNCTION("""COMPUTED_VALUE""")," ")</f>
        <v> </v>
      </c>
      <c r="AO2266" s="2" t="str">
        <f>IFERROR(__xludf.DUMMYFUNCTION("""COMPUTED_VALUE""")," ")</f>
        <v> </v>
      </c>
      <c r="AP2266" s="2" t="str">
        <f>IFERROR(__xludf.DUMMYFUNCTION("""COMPUTED_VALUE"""),"")</f>
        <v/>
      </c>
      <c r="AQ2266" s="2"/>
      <c r="AR2266" s="2"/>
      <c r="AS2266" s="2"/>
      <c r="AT2266" s="2"/>
      <c r="AU2266" s="2"/>
      <c r="AV2266" s="2"/>
      <c r="AW2266" s="2"/>
      <c r="AX2266" s="2"/>
      <c r="AY2266" s="2"/>
      <c r="AZ2266" s="2"/>
      <c r="BA2266" s="2"/>
      <c r="BB2266" s="2"/>
    </row>
    <row r="2267">
      <c r="A2267" s="2"/>
      <c r="B2267" s="2"/>
      <c r="C2267" s="2"/>
      <c r="D2267" s="71"/>
      <c r="E2267" s="71"/>
      <c r="F2267" s="2"/>
      <c r="G2267" s="2"/>
      <c r="H2267" s="2"/>
      <c r="I2267" s="72"/>
      <c r="J2267" s="72"/>
      <c r="K2267" s="72"/>
      <c r="L2267" s="72"/>
      <c r="M2267" s="2"/>
      <c r="N2267" s="2"/>
      <c r="O2267" s="2"/>
      <c r="P2267" s="2"/>
      <c r="Q2267" s="2"/>
      <c r="R2267" s="2"/>
      <c r="S2267" s="2"/>
      <c r="T2267" s="2"/>
      <c r="U2267" s="2"/>
      <c r="V2267" s="2"/>
      <c r="W2267" s="2"/>
      <c r="X2267" s="2"/>
      <c r="Y2267" s="2"/>
      <c r="Z2267" s="2"/>
      <c r="AA2267" s="2"/>
      <c r="AB2267" s="2"/>
      <c r="AC2267" s="2"/>
      <c r="AD2267" s="2"/>
      <c r="AE2267" s="2"/>
      <c r="AF2267" s="2"/>
      <c r="AG2267" s="2"/>
      <c r="AH2267" s="2"/>
      <c r="AI2267" s="2"/>
      <c r="AJ2267" s="2" t="str">
        <f>IFERROR(__xludf.DUMMYFUNCTION("""COMPUTED_VALUE"""),"")</f>
        <v/>
      </c>
      <c r="AK2267" s="2" t="str">
        <f>IFERROR(__xludf.DUMMYFUNCTION("""COMPUTED_VALUE"""),"")</f>
        <v/>
      </c>
      <c r="AL2267" s="2" t="str">
        <f>IFERROR(__xludf.DUMMYFUNCTION("""COMPUTED_VALUE"""),"")</f>
        <v/>
      </c>
      <c r="AM2267" s="2" t="str">
        <f>IFERROR(__xludf.DUMMYFUNCTION("""COMPUTED_VALUE"""),"")</f>
        <v/>
      </c>
      <c r="AN2267" s="2" t="str">
        <f>IFERROR(__xludf.DUMMYFUNCTION("""COMPUTED_VALUE""")," ")</f>
        <v> </v>
      </c>
      <c r="AO2267" s="2" t="str">
        <f>IFERROR(__xludf.DUMMYFUNCTION("""COMPUTED_VALUE""")," ")</f>
        <v> </v>
      </c>
      <c r="AP2267" s="2" t="str">
        <f>IFERROR(__xludf.DUMMYFUNCTION("""COMPUTED_VALUE"""),"")</f>
        <v/>
      </c>
      <c r="AQ2267" s="2"/>
      <c r="AR2267" s="2"/>
      <c r="AS2267" s="2"/>
      <c r="AT2267" s="2"/>
      <c r="AU2267" s="2"/>
      <c r="AV2267" s="2"/>
      <c r="AW2267" s="2"/>
      <c r="AX2267" s="2"/>
      <c r="AY2267" s="2"/>
      <c r="AZ2267" s="2"/>
      <c r="BA2267" s="2"/>
      <c r="BB2267" s="2"/>
    </row>
    <row r="2268">
      <c r="A2268" s="2"/>
      <c r="B2268" s="2" t="str">
        <f>IFERROR(__xludf.DUMMYFUNCTION("""COMPUTED_VALUE"""),"")</f>
        <v/>
      </c>
      <c r="C2268" s="2"/>
      <c r="D2268" s="71"/>
      <c r="E2268" s="71" t="str">
        <f>IFERROR(__xludf.DUMMYFUNCTION("""COMPUTED_VALUE""")," ")</f>
        <v> </v>
      </c>
      <c r="F2268" s="2"/>
      <c r="G2268" s="2"/>
      <c r="H2268" s="2"/>
      <c r="I2268" s="72"/>
      <c r="J2268" s="72"/>
      <c r="K2268" s="72"/>
      <c r="L2268" s="72"/>
      <c r="M2268" s="2"/>
      <c r="N2268" s="2"/>
      <c r="O2268" s="2"/>
      <c r="P2268" s="2"/>
      <c r="Q2268" s="2"/>
      <c r="R2268" s="2"/>
      <c r="S2268" s="2"/>
      <c r="T2268" s="2"/>
      <c r="U2268" s="2"/>
      <c r="V2268" s="2"/>
      <c r="W2268" s="2"/>
      <c r="X2268" s="2"/>
      <c r="Y2268" s="2"/>
      <c r="Z2268" s="2"/>
      <c r="AA2268" s="2"/>
      <c r="AB2268" s="2"/>
      <c r="AC2268" s="2"/>
      <c r="AD2268" s="2"/>
      <c r="AE2268" s="2"/>
      <c r="AF2268" s="2"/>
      <c r="AG2268" s="2"/>
      <c r="AH2268" s="2"/>
      <c r="AI2268" s="2"/>
      <c r="AJ2268" s="2" t="str">
        <f>IFERROR(__xludf.DUMMYFUNCTION("""COMPUTED_VALUE"""),"")</f>
        <v/>
      </c>
      <c r="AK2268" s="2" t="str">
        <f>IFERROR(__xludf.DUMMYFUNCTION("""COMPUTED_VALUE"""),"")</f>
        <v/>
      </c>
      <c r="AL2268" s="2" t="str">
        <f>IFERROR(__xludf.DUMMYFUNCTION("""COMPUTED_VALUE"""),"")</f>
        <v/>
      </c>
      <c r="AM2268" s="2" t="str">
        <f>IFERROR(__xludf.DUMMYFUNCTION("""COMPUTED_VALUE"""),"")</f>
        <v/>
      </c>
      <c r="AN2268" s="2" t="str">
        <f>IFERROR(__xludf.DUMMYFUNCTION("""COMPUTED_VALUE""")," ")</f>
        <v> </v>
      </c>
      <c r="AO2268" s="2" t="str">
        <f>IFERROR(__xludf.DUMMYFUNCTION("""COMPUTED_VALUE""")," ")</f>
        <v> </v>
      </c>
      <c r="AP2268" s="2" t="str">
        <f>IFERROR(__xludf.DUMMYFUNCTION("""COMPUTED_VALUE"""),"")</f>
        <v/>
      </c>
      <c r="AQ2268" s="2"/>
      <c r="AR2268" s="2"/>
      <c r="AS2268" s="2"/>
      <c r="AT2268" s="2"/>
      <c r="AU2268" s="2"/>
      <c r="AV2268" s="2"/>
      <c r="AW2268" s="2"/>
      <c r="AX2268" s="2"/>
      <c r="AY2268" s="2"/>
      <c r="AZ2268" s="2"/>
      <c r="BA2268" s="2"/>
      <c r="BB2268" s="2"/>
    </row>
    <row r="2269">
      <c r="A2269" s="2"/>
      <c r="B2269" s="2" t="str">
        <f>IFERROR(__xludf.DUMMYFUNCTION("""COMPUTED_VALUE"""),"")</f>
        <v/>
      </c>
      <c r="C2269" s="2"/>
      <c r="D2269" s="71"/>
      <c r="E2269" s="71" t="str">
        <f>IFERROR(__xludf.DUMMYFUNCTION("""COMPUTED_VALUE""")," ")</f>
        <v> </v>
      </c>
      <c r="F2269" s="2"/>
      <c r="G2269" s="2"/>
      <c r="H2269" s="2"/>
      <c r="I2269" s="72"/>
      <c r="J2269" s="72"/>
      <c r="K2269" s="72"/>
      <c r="L2269" s="72"/>
      <c r="M2269" s="2"/>
      <c r="N2269" s="2"/>
      <c r="O2269" s="2"/>
      <c r="P2269" s="2"/>
      <c r="Q2269" s="2"/>
      <c r="R2269" s="2"/>
      <c r="S2269" s="2"/>
      <c r="T2269" s="2"/>
      <c r="U2269" s="2"/>
      <c r="V2269" s="2"/>
      <c r="W2269" s="2"/>
      <c r="X2269" s="2"/>
      <c r="Y2269" s="2"/>
      <c r="Z2269" s="2"/>
      <c r="AA2269" s="2"/>
      <c r="AB2269" s="2"/>
      <c r="AC2269" s="2"/>
      <c r="AD2269" s="2"/>
      <c r="AE2269" s="2"/>
      <c r="AF2269" s="2"/>
      <c r="AG2269" s="2"/>
      <c r="AH2269" s="2"/>
      <c r="AI2269" s="2"/>
      <c r="AJ2269" s="2" t="str">
        <f>IFERROR(__xludf.DUMMYFUNCTION("""COMPUTED_VALUE"""),"")</f>
        <v/>
      </c>
      <c r="AK2269" s="2" t="str">
        <f>IFERROR(__xludf.DUMMYFUNCTION("""COMPUTED_VALUE"""),"")</f>
        <v/>
      </c>
      <c r="AL2269" s="2" t="str">
        <f>IFERROR(__xludf.DUMMYFUNCTION("""COMPUTED_VALUE"""),"")</f>
        <v/>
      </c>
      <c r="AM2269" s="2" t="str">
        <f>IFERROR(__xludf.DUMMYFUNCTION("""COMPUTED_VALUE"""),"")</f>
        <v/>
      </c>
      <c r="AN2269" s="2" t="str">
        <f>IFERROR(__xludf.DUMMYFUNCTION("""COMPUTED_VALUE""")," ")</f>
        <v> </v>
      </c>
      <c r="AO2269" s="2" t="str">
        <f>IFERROR(__xludf.DUMMYFUNCTION("""COMPUTED_VALUE""")," ")</f>
        <v> </v>
      </c>
      <c r="AP2269" s="2" t="str">
        <f>IFERROR(__xludf.DUMMYFUNCTION("""COMPUTED_VALUE"""),"")</f>
        <v/>
      </c>
      <c r="AQ2269" s="2"/>
      <c r="AR2269" s="2"/>
      <c r="AS2269" s="2"/>
      <c r="AT2269" s="2"/>
      <c r="AU2269" s="2"/>
      <c r="AV2269" s="2"/>
      <c r="AW2269" s="2"/>
      <c r="AX2269" s="2"/>
      <c r="AY2269" s="2"/>
      <c r="AZ2269" s="2"/>
      <c r="BA2269" s="2"/>
      <c r="BB2269" s="2"/>
    </row>
    <row r="2270">
      <c r="A2270" s="2"/>
      <c r="B2270" s="2" t="str">
        <f>IFERROR(__xludf.DUMMYFUNCTION("""COMPUTED_VALUE"""),"")</f>
        <v/>
      </c>
      <c r="C2270" s="2"/>
      <c r="D2270" s="71"/>
      <c r="E2270" s="71" t="str">
        <f>IFERROR(__xludf.DUMMYFUNCTION("""COMPUTED_VALUE""")," ")</f>
        <v> </v>
      </c>
      <c r="F2270" s="2"/>
      <c r="G2270" s="2"/>
      <c r="H2270" s="2"/>
      <c r="I2270" s="72"/>
      <c r="J2270" s="72"/>
      <c r="K2270" s="72"/>
      <c r="L2270" s="72"/>
      <c r="M2270" s="2"/>
      <c r="N2270" s="2"/>
      <c r="O2270" s="2"/>
      <c r="P2270" s="2"/>
      <c r="Q2270" s="2"/>
      <c r="R2270" s="2"/>
      <c r="S2270" s="2"/>
      <c r="T2270" s="2"/>
      <c r="U2270" s="2"/>
      <c r="V2270" s="2"/>
      <c r="W2270" s="2"/>
      <c r="X2270" s="2"/>
      <c r="Y2270" s="2"/>
      <c r="Z2270" s="2"/>
      <c r="AA2270" s="2"/>
      <c r="AB2270" s="2"/>
      <c r="AC2270" s="2"/>
      <c r="AD2270" s="2"/>
      <c r="AE2270" s="2"/>
      <c r="AF2270" s="2"/>
      <c r="AG2270" s="2"/>
      <c r="AH2270" s="2"/>
      <c r="AI2270" s="2"/>
      <c r="AJ2270" s="2" t="str">
        <f>IFERROR(__xludf.DUMMYFUNCTION("""COMPUTED_VALUE"""),"")</f>
        <v/>
      </c>
      <c r="AK2270" s="2" t="str">
        <f>IFERROR(__xludf.DUMMYFUNCTION("""COMPUTED_VALUE"""),"")</f>
        <v/>
      </c>
      <c r="AL2270" s="2" t="str">
        <f>IFERROR(__xludf.DUMMYFUNCTION("""COMPUTED_VALUE"""),"")</f>
        <v/>
      </c>
      <c r="AM2270" s="2" t="str">
        <f>IFERROR(__xludf.DUMMYFUNCTION("""COMPUTED_VALUE"""),"")</f>
        <v/>
      </c>
      <c r="AN2270" s="2" t="str">
        <f>IFERROR(__xludf.DUMMYFUNCTION("""COMPUTED_VALUE""")," ")</f>
        <v> </v>
      </c>
      <c r="AO2270" s="2" t="str">
        <f>IFERROR(__xludf.DUMMYFUNCTION("""COMPUTED_VALUE""")," ")</f>
        <v> </v>
      </c>
      <c r="AP2270" s="2" t="str">
        <f>IFERROR(__xludf.DUMMYFUNCTION("""COMPUTED_VALUE"""),"")</f>
        <v/>
      </c>
      <c r="AQ2270" s="2"/>
      <c r="AR2270" s="2"/>
      <c r="AS2270" s="2"/>
      <c r="AT2270" s="2"/>
      <c r="AU2270" s="2"/>
      <c r="AV2270" s="2"/>
      <c r="AW2270" s="2"/>
      <c r="AX2270" s="2"/>
      <c r="AY2270" s="2"/>
      <c r="AZ2270" s="2"/>
      <c r="BA2270" s="2"/>
      <c r="BB2270" s="2"/>
    </row>
    <row r="2271">
      <c r="A2271" s="2"/>
      <c r="B2271" s="2" t="str">
        <f>IFERROR(__xludf.DUMMYFUNCTION("""COMPUTED_VALUE"""),"")</f>
        <v/>
      </c>
      <c r="C2271" s="2"/>
      <c r="D2271" s="71"/>
      <c r="E2271" s="71" t="str">
        <f>IFERROR(__xludf.DUMMYFUNCTION("""COMPUTED_VALUE""")," ")</f>
        <v> </v>
      </c>
      <c r="F2271" s="2"/>
      <c r="G2271" s="2"/>
      <c r="H2271" s="2"/>
      <c r="I2271" s="72"/>
      <c r="J2271" s="72"/>
      <c r="K2271" s="72"/>
      <c r="L2271" s="72"/>
      <c r="M2271" s="2"/>
      <c r="N2271" s="2"/>
      <c r="O2271" s="2"/>
      <c r="P2271" s="2"/>
      <c r="Q2271" s="2"/>
      <c r="R2271" s="2"/>
      <c r="S2271" s="2"/>
      <c r="T2271" s="2"/>
      <c r="U2271" s="2"/>
      <c r="V2271" s="2"/>
      <c r="W2271" s="2"/>
      <c r="X2271" s="2"/>
      <c r="Y2271" s="2"/>
      <c r="Z2271" s="2"/>
      <c r="AA2271" s="2"/>
      <c r="AB2271" s="2"/>
      <c r="AC2271" s="2"/>
      <c r="AD2271" s="2"/>
      <c r="AE2271" s="2"/>
      <c r="AF2271" s="2"/>
      <c r="AG2271" s="2"/>
      <c r="AH2271" s="2"/>
      <c r="AI2271" s="2"/>
      <c r="AJ2271" s="2" t="str">
        <f>IFERROR(__xludf.DUMMYFUNCTION("""COMPUTED_VALUE"""),"")</f>
        <v/>
      </c>
      <c r="AK2271" s="2" t="str">
        <f>IFERROR(__xludf.DUMMYFUNCTION("""COMPUTED_VALUE"""),"")</f>
        <v/>
      </c>
      <c r="AL2271" s="2" t="str">
        <f>IFERROR(__xludf.DUMMYFUNCTION("""COMPUTED_VALUE"""),"")</f>
        <v/>
      </c>
      <c r="AM2271" s="2" t="str">
        <f>IFERROR(__xludf.DUMMYFUNCTION("""COMPUTED_VALUE"""),"")</f>
        <v/>
      </c>
      <c r="AN2271" s="2" t="str">
        <f>IFERROR(__xludf.DUMMYFUNCTION("""COMPUTED_VALUE""")," ")</f>
        <v> </v>
      </c>
      <c r="AO2271" s="2" t="str">
        <f>IFERROR(__xludf.DUMMYFUNCTION("""COMPUTED_VALUE""")," ")</f>
        <v> </v>
      </c>
      <c r="AP2271" s="2" t="str">
        <f>IFERROR(__xludf.DUMMYFUNCTION("""COMPUTED_VALUE"""),"")</f>
        <v/>
      </c>
      <c r="AQ2271" s="2"/>
      <c r="AR2271" s="2"/>
      <c r="AS2271" s="2"/>
      <c r="AT2271" s="2"/>
      <c r="AU2271" s="2"/>
      <c r="AV2271" s="2"/>
      <c r="AW2271" s="2"/>
      <c r="AX2271" s="2"/>
      <c r="AY2271" s="2"/>
      <c r="AZ2271" s="2"/>
      <c r="BA2271" s="2"/>
      <c r="BB2271" s="2"/>
    </row>
    <row r="2272">
      <c r="A2272" s="2"/>
      <c r="B2272" s="2" t="str">
        <f>IFERROR(__xludf.DUMMYFUNCTION("""COMPUTED_VALUE"""),"")</f>
        <v/>
      </c>
      <c r="C2272" s="2"/>
      <c r="D2272" s="71"/>
      <c r="E2272" s="71" t="str">
        <f>IFERROR(__xludf.DUMMYFUNCTION("""COMPUTED_VALUE""")," ")</f>
        <v> </v>
      </c>
      <c r="F2272" s="2"/>
      <c r="G2272" s="2"/>
      <c r="H2272" s="2"/>
      <c r="I2272" s="72"/>
      <c r="J2272" s="72"/>
      <c r="K2272" s="72"/>
      <c r="L2272" s="72"/>
      <c r="M2272" s="2"/>
      <c r="N2272" s="2"/>
      <c r="O2272" s="2"/>
      <c r="P2272" s="2"/>
      <c r="Q2272" s="2"/>
      <c r="R2272" s="2"/>
      <c r="S2272" s="2"/>
      <c r="T2272" s="2"/>
      <c r="U2272" s="2"/>
      <c r="V2272" s="2"/>
      <c r="W2272" s="2"/>
      <c r="X2272" s="2"/>
      <c r="Y2272" s="2"/>
      <c r="Z2272" s="2"/>
      <c r="AA2272" s="2"/>
      <c r="AB2272" s="2"/>
      <c r="AC2272" s="2"/>
      <c r="AD2272" s="2"/>
      <c r="AE2272" s="2"/>
      <c r="AF2272" s="2"/>
      <c r="AG2272" s="2"/>
      <c r="AH2272" s="2"/>
      <c r="AI2272" s="2"/>
      <c r="AJ2272" s="2" t="str">
        <f>IFERROR(__xludf.DUMMYFUNCTION("""COMPUTED_VALUE"""),"")</f>
        <v/>
      </c>
      <c r="AK2272" s="2" t="str">
        <f>IFERROR(__xludf.DUMMYFUNCTION("""COMPUTED_VALUE"""),"")</f>
        <v/>
      </c>
      <c r="AL2272" s="2" t="str">
        <f>IFERROR(__xludf.DUMMYFUNCTION("""COMPUTED_VALUE"""),"")</f>
        <v/>
      </c>
      <c r="AM2272" s="2" t="str">
        <f>IFERROR(__xludf.DUMMYFUNCTION("""COMPUTED_VALUE"""),"")</f>
        <v/>
      </c>
      <c r="AN2272" s="2" t="str">
        <f>IFERROR(__xludf.DUMMYFUNCTION("""COMPUTED_VALUE""")," ")</f>
        <v> </v>
      </c>
      <c r="AO2272" s="2" t="str">
        <f>IFERROR(__xludf.DUMMYFUNCTION("""COMPUTED_VALUE""")," ")</f>
        <v> </v>
      </c>
      <c r="AP2272" s="2" t="str">
        <f>IFERROR(__xludf.DUMMYFUNCTION("""COMPUTED_VALUE"""),"")</f>
        <v/>
      </c>
      <c r="AQ2272" s="2"/>
      <c r="AR2272" s="2"/>
      <c r="AS2272" s="2"/>
      <c r="AT2272" s="2"/>
      <c r="AU2272" s="2"/>
      <c r="AV2272" s="2"/>
      <c r="AW2272" s="2"/>
      <c r="AX2272" s="2"/>
      <c r="AY2272" s="2"/>
      <c r="AZ2272" s="2"/>
      <c r="BA2272" s="2"/>
      <c r="BB2272" s="2"/>
    </row>
    <row r="2273">
      <c r="A2273" s="2"/>
      <c r="B2273" s="2" t="str">
        <f>IFERROR(__xludf.DUMMYFUNCTION("""COMPUTED_VALUE"""),"")</f>
        <v/>
      </c>
      <c r="C2273" s="2"/>
      <c r="D2273" s="71"/>
      <c r="E2273" s="71" t="str">
        <f>IFERROR(__xludf.DUMMYFUNCTION("""COMPUTED_VALUE""")," ")</f>
        <v> </v>
      </c>
      <c r="F2273" s="2"/>
      <c r="G2273" s="2"/>
      <c r="H2273" s="2"/>
      <c r="I2273" s="72"/>
      <c r="J2273" s="72"/>
      <c r="K2273" s="72"/>
      <c r="L2273" s="72"/>
      <c r="M2273" s="2"/>
      <c r="N2273" s="2"/>
      <c r="O2273" s="2"/>
      <c r="P2273" s="2"/>
      <c r="Q2273" s="2"/>
      <c r="R2273" s="2"/>
      <c r="S2273" s="2"/>
      <c r="T2273" s="2"/>
      <c r="U2273" s="2"/>
      <c r="V2273" s="2"/>
      <c r="W2273" s="2"/>
      <c r="X2273" s="2"/>
      <c r="Y2273" s="2"/>
      <c r="Z2273" s="2"/>
      <c r="AA2273" s="2"/>
      <c r="AB2273" s="2"/>
      <c r="AC2273" s="2"/>
      <c r="AD2273" s="2"/>
      <c r="AE2273" s="2"/>
      <c r="AF2273" s="2"/>
      <c r="AG2273" s="2"/>
      <c r="AH2273" s="2"/>
      <c r="AI2273" s="2"/>
      <c r="AJ2273" s="2" t="str">
        <f>IFERROR(__xludf.DUMMYFUNCTION("""COMPUTED_VALUE"""),"")</f>
        <v/>
      </c>
      <c r="AK2273" s="2" t="str">
        <f>IFERROR(__xludf.DUMMYFUNCTION("""COMPUTED_VALUE"""),"")</f>
        <v/>
      </c>
      <c r="AL2273" s="2" t="str">
        <f>IFERROR(__xludf.DUMMYFUNCTION("""COMPUTED_VALUE"""),"")</f>
        <v/>
      </c>
      <c r="AM2273" s="2" t="str">
        <f>IFERROR(__xludf.DUMMYFUNCTION("""COMPUTED_VALUE"""),"")</f>
        <v/>
      </c>
      <c r="AN2273" s="2" t="str">
        <f>IFERROR(__xludf.DUMMYFUNCTION("""COMPUTED_VALUE""")," ")</f>
        <v> </v>
      </c>
      <c r="AO2273" s="2" t="str">
        <f>IFERROR(__xludf.DUMMYFUNCTION("""COMPUTED_VALUE""")," ")</f>
        <v> </v>
      </c>
      <c r="AP2273" s="2" t="str">
        <f>IFERROR(__xludf.DUMMYFUNCTION("""COMPUTED_VALUE"""),"")</f>
        <v/>
      </c>
      <c r="AQ2273" s="2"/>
      <c r="AR2273" s="2"/>
      <c r="AS2273" s="2"/>
      <c r="AT2273" s="2"/>
      <c r="AU2273" s="2"/>
      <c r="AV2273" s="2"/>
      <c r="AW2273" s="2"/>
      <c r="AX2273" s="2"/>
      <c r="AY2273" s="2"/>
      <c r="AZ2273" s="2"/>
      <c r="BA2273" s="2"/>
      <c r="BB2273" s="2"/>
    </row>
    <row r="2274">
      <c r="A2274" s="2"/>
      <c r="B2274" s="2" t="str">
        <f>IFERROR(__xludf.DUMMYFUNCTION("""COMPUTED_VALUE"""),"")</f>
        <v/>
      </c>
      <c r="C2274" s="2"/>
      <c r="D2274" s="71"/>
      <c r="E2274" s="71" t="str">
        <f>IFERROR(__xludf.DUMMYFUNCTION("""COMPUTED_VALUE""")," ")</f>
        <v> </v>
      </c>
      <c r="F2274" s="2"/>
      <c r="G2274" s="2"/>
      <c r="H2274" s="2"/>
      <c r="I2274" s="72"/>
      <c r="J2274" s="72"/>
      <c r="K2274" s="72"/>
      <c r="L2274" s="72"/>
      <c r="M2274" s="2"/>
      <c r="N2274" s="2"/>
      <c r="O2274" s="2"/>
      <c r="P2274" s="2"/>
      <c r="Q2274" s="2"/>
      <c r="R2274" s="2"/>
      <c r="S2274" s="2"/>
      <c r="T2274" s="2"/>
      <c r="U2274" s="2"/>
      <c r="V2274" s="2"/>
      <c r="W2274" s="2"/>
      <c r="X2274" s="2"/>
      <c r="Y2274" s="2"/>
      <c r="Z2274" s="2"/>
      <c r="AA2274" s="2"/>
      <c r="AB2274" s="2"/>
      <c r="AC2274" s="2"/>
      <c r="AD2274" s="2"/>
      <c r="AE2274" s="2"/>
      <c r="AF2274" s="2"/>
      <c r="AG2274" s="2"/>
      <c r="AH2274" s="2"/>
      <c r="AI2274" s="2"/>
      <c r="AJ2274" s="2" t="str">
        <f>IFERROR(__xludf.DUMMYFUNCTION("""COMPUTED_VALUE"""),"")</f>
        <v/>
      </c>
      <c r="AK2274" s="2" t="str">
        <f>IFERROR(__xludf.DUMMYFUNCTION("""COMPUTED_VALUE"""),"")</f>
        <v/>
      </c>
      <c r="AL2274" s="2" t="str">
        <f>IFERROR(__xludf.DUMMYFUNCTION("""COMPUTED_VALUE"""),"")</f>
        <v/>
      </c>
      <c r="AM2274" s="2" t="str">
        <f>IFERROR(__xludf.DUMMYFUNCTION("""COMPUTED_VALUE"""),"")</f>
        <v/>
      </c>
      <c r="AN2274" s="2" t="str">
        <f>IFERROR(__xludf.DUMMYFUNCTION("""COMPUTED_VALUE""")," ")</f>
        <v> </v>
      </c>
      <c r="AO2274" s="2" t="str">
        <f>IFERROR(__xludf.DUMMYFUNCTION("""COMPUTED_VALUE""")," ")</f>
        <v> </v>
      </c>
      <c r="AP2274" s="2" t="str">
        <f>IFERROR(__xludf.DUMMYFUNCTION("""COMPUTED_VALUE"""),"")</f>
        <v/>
      </c>
      <c r="AQ2274" s="2"/>
      <c r="AR2274" s="2"/>
      <c r="AS2274" s="2"/>
      <c r="AT2274" s="2"/>
      <c r="AU2274" s="2"/>
      <c r="AV2274" s="2"/>
      <c r="AW2274" s="2"/>
      <c r="AX2274" s="2"/>
      <c r="AY2274" s="2"/>
      <c r="AZ2274" s="2"/>
      <c r="BA2274" s="2"/>
      <c r="BB2274" s="2"/>
    </row>
    <row r="2275">
      <c r="A2275" s="2"/>
      <c r="B2275" s="2" t="str">
        <f>IFERROR(__xludf.DUMMYFUNCTION("""COMPUTED_VALUE"""),"")</f>
        <v/>
      </c>
      <c r="C2275" s="2"/>
      <c r="D2275" s="71"/>
      <c r="E2275" s="71" t="str">
        <f>IFERROR(__xludf.DUMMYFUNCTION("""COMPUTED_VALUE""")," ")</f>
        <v> </v>
      </c>
      <c r="F2275" s="2"/>
      <c r="G2275" s="2"/>
      <c r="H2275" s="2"/>
      <c r="I2275" s="72"/>
      <c r="J2275" s="72"/>
      <c r="K2275" s="72"/>
      <c r="L2275" s="72"/>
      <c r="M2275" s="2"/>
      <c r="N2275" s="2"/>
      <c r="O2275" s="2"/>
      <c r="P2275" s="2"/>
      <c r="Q2275" s="2"/>
      <c r="R2275" s="2"/>
      <c r="S2275" s="2"/>
      <c r="T2275" s="2"/>
      <c r="U2275" s="2"/>
      <c r="V2275" s="2"/>
      <c r="W2275" s="2"/>
      <c r="X2275" s="2"/>
      <c r="Y2275" s="2"/>
      <c r="Z2275" s="2"/>
      <c r="AA2275" s="2"/>
      <c r="AB2275" s="2"/>
      <c r="AC2275" s="2"/>
      <c r="AD2275" s="2"/>
      <c r="AE2275" s="2"/>
      <c r="AF2275" s="2"/>
      <c r="AG2275" s="2"/>
      <c r="AH2275" s="2"/>
      <c r="AI2275" s="2"/>
      <c r="AJ2275" s="2" t="str">
        <f>IFERROR(__xludf.DUMMYFUNCTION("""COMPUTED_VALUE"""),"")</f>
        <v/>
      </c>
      <c r="AK2275" s="2" t="str">
        <f>IFERROR(__xludf.DUMMYFUNCTION("""COMPUTED_VALUE"""),"")</f>
        <v/>
      </c>
      <c r="AL2275" s="2" t="str">
        <f>IFERROR(__xludf.DUMMYFUNCTION("""COMPUTED_VALUE"""),"")</f>
        <v/>
      </c>
      <c r="AM2275" s="2" t="str">
        <f>IFERROR(__xludf.DUMMYFUNCTION("""COMPUTED_VALUE"""),"")</f>
        <v/>
      </c>
      <c r="AN2275" s="2" t="str">
        <f>IFERROR(__xludf.DUMMYFUNCTION("""COMPUTED_VALUE""")," ")</f>
        <v> </v>
      </c>
      <c r="AO2275" s="2" t="str">
        <f>IFERROR(__xludf.DUMMYFUNCTION("""COMPUTED_VALUE""")," ")</f>
        <v> </v>
      </c>
      <c r="AP2275" s="2" t="str">
        <f>IFERROR(__xludf.DUMMYFUNCTION("""COMPUTED_VALUE"""),"")</f>
        <v/>
      </c>
      <c r="AQ2275" s="2"/>
      <c r="AR2275" s="2"/>
      <c r="AS2275" s="2"/>
      <c r="AT2275" s="2"/>
      <c r="AU2275" s="2"/>
      <c r="AV2275" s="2"/>
      <c r="AW2275" s="2"/>
      <c r="AX2275" s="2"/>
      <c r="AY2275" s="2"/>
      <c r="AZ2275" s="2"/>
      <c r="BA2275" s="2"/>
      <c r="BB2275" s="2"/>
    </row>
    <row r="2276">
      <c r="A2276" s="2"/>
      <c r="B2276" s="2" t="str">
        <f>IFERROR(__xludf.DUMMYFUNCTION("""COMPUTED_VALUE"""),"")</f>
        <v/>
      </c>
      <c r="C2276" s="2"/>
      <c r="D2276" s="71"/>
      <c r="E2276" s="71" t="str">
        <f>IFERROR(__xludf.DUMMYFUNCTION("""COMPUTED_VALUE""")," ")</f>
        <v> </v>
      </c>
      <c r="F2276" s="2"/>
      <c r="G2276" s="2"/>
      <c r="H2276" s="2"/>
      <c r="I2276" s="72"/>
      <c r="J2276" s="72"/>
      <c r="K2276" s="72"/>
      <c r="L2276" s="72"/>
      <c r="M2276" s="2"/>
      <c r="N2276" s="2"/>
      <c r="O2276" s="2"/>
      <c r="P2276" s="2"/>
      <c r="Q2276" s="2"/>
      <c r="R2276" s="2"/>
      <c r="S2276" s="2"/>
      <c r="T2276" s="2"/>
      <c r="U2276" s="2"/>
      <c r="V2276" s="2"/>
      <c r="W2276" s="2"/>
      <c r="X2276" s="2"/>
      <c r="Y2276" s="2"/>
      <c r="Z2276" s="2"/>
      <c r="AA2276" s="2"/>
      <c r="AB2276" s="2"/>
      <c r="AC2276" s="2"/>
      <c r="AD2276" s="2"/>
      <c r="AE2276" s="2"/>
      <c r="AF2276" s="2"/>
      <c r="AG2276" s="2"/>
      <c r="AH2276" s="2"/>
      <c r="AI2276" s="2"/>
      <c r="AJ2276" s="2" t="str">
        <f>IFERROR(__xludf.DUMMYFUNCTION("""COMPUTED_VALUE"""),"")</f>
        <v/>
      </c>
      <c r="AK2276" s="2" t="str">
        <f>IFERROR(__xludf.DUMMYFUNCTION("""COMPUTED_VALUE"""),"")</f>
        <v/>
      </c>
      <c r="AL2276" s="2" t="str">
        <f>IFERROR(__xludf.DUMMYFUNCTION("""COMPUTED_VALUE"""),"")</f>
        <v/>
      </c>
      <c r="AM2276" s="2" t="str">
        <f>IFERROR(__xludf.DUMMYFUNCTION("""COMPUTED_VALUE"""),"")</f>
        <v/>
      </c>
      <c r="AN2276" s="2" t="str">
        <f>IFERROR(__xludf.DUMMYFUNCTION("""COMPUTED_VALUE""")," ")</f>
        <v> </v>
      </c>
      <c r="AO2276" s="2" t="str">
        <f>IFERROR(__xludf.DUMMYFUNCTION("""COMPUTED_VALUE""")," ")</f>
        <v> </v>
      </c>
      <c r="AP2276" s="2" t="str">
        <f>IFERROR(__xludf.DUMMYFUNCTION("""COMPUTED_VALUE"""),"")</f>
        <v/>
      </c>
      <c r="AQ2276" s="2"/>
      <c r="AR2276" s="2"/>
      <c r="AS2276" s="2"/>
      <c r="AT2276" s="2"/>
      <c r="AU2276" s="2"/>
      <c r="AV2276" s="2"/>
      <c r="AW2276" s="2"/>
      <c r="AX2276" s="2"/>
      <c r="AY2276" s="2"/>
      <c r="AZ2276" s="2"/>
      <c r="BA2276" s="2"/>
      <c r="BB2276" s="2"/>
    </row>
    <row r="2277">
      <c r="A2277" s="2"/>
      <c r="B2277" s="2" t="str">
        <f>IFERROR(__xludf.DUMMYFUNCTION("""COMPUTED_VALUE"""),"")</f>
        <v/>
      </c>
      <c r="C2277" s="2"/>
      <c r="D2277" s="71"/>
      <c r="E2277" s="71" t="str">
        <f>IFERROR(__xludf.DUMMYFUNCTION("""COMPUTED_VALUE""")," ")</f>
        <v> </v>
      </c>
      <c r="F2277" s="2"/>
      <c r="G2277" s="2"/>
      <c r="H2277" s="2"/>
      <c r="I2277" s="72"/>
      <c r="J2277" s="72"/>
      <c r="K2277" s="72"/>
      <c r="L2277" s="72"/>
      <c r="M2277" s="2"/>
      <c r="N2277" s="2"/>
      <c r="O2277" s="2"/>
      <c r="P2277" s="2"/>
      <c r="Q2277" s="2"/>
      <c r="R2277" s="2"/>
      <c r="S2277" s="2"/>
      <c r="T2277" s="2"/>
      <c r="U2277" s="2"/>
      <c r="V2277" s="2"/>
      <c r="W2277" s="2"/>
      <c r="X2277" s="2"/>
      <c r="Y2277" s="2"/>
      <c r="Z2277" s="2"/>
      <c r="AA2277" s="2"/>
      <c r="AB2277" s="2"/>
      <c r="AC2277" s="2"/>
      <c r="AD2277" s="2"/>
      <c r="AE2277" s="2"/>
      <c r="AF2277" s="2"/>
      <c r="AG2277" s="2"/>
      <c r="AH2277" s="2"/>
      <c r="AI2277" s="2"/>
      <c r="AJ2277" s="2" t="str">
        <f>IFERROR(__xludf.DUMMYFUNCTION("""COMPUTED_VALUE"""),"")</f>
        <v/>
      </c>
      <c r="AK2277" s="2" t="str">
        <f>IFERROR(__xludf.DUMMYFUNCTION("""COMPUTED_VALUE"""),"")</f>
        <v/>
      </c>
      <c r="AL2277" s="2" t="str">
        <f>IFERROR(__xludf.DUMMYFUNCTION("""COMPUTED_VALUE"""),"")</f>
        <v/>
      </c>
      <c r="AM2277" s="2" t="str">
        <f>IFERROR(__xludf.DUMMYFUNCTION("""COMPUTED_VALUE"""),"")</f>
        <v/>
      </c>
      <c r="AN2277" s="2" t="str">
        <f>IFERROR(__xludf.DUMMYFUNCTION("""COMPUTED_VALUE""")," ")</f>
        <v> </v>
      </c>
      <c r="AO2277" s="2" t="str">
        <f>IFERROR(__xludf.DUMMYFUNCTION("""COMPUTED_VALUE""")," ")</f>
        <v> </v>
      </c>
      <c r="AP2277" s="2" t="str">
        <f>IFERROR(__xludf.DUMMYFUNCTION("""COMPUTED_VALUE"""),"")</f>
        <v/>
      </c>
      <c r="AQ2277" s="2"/>
      <c r="AR2277" s="2"/>
      <c r="AS2277" s="2"/>
      <c r="AT2277" s="2"/>
      <c r="AU2277" s="2"/>
      <c r="AV2277" s="2"/>
      <c r="AW2277" s="2"/>
      <c r="AX2277" s="2"/>
      <c r="AY2277" s="2"/>
      <c r="AZ2277" s="2"/>
      <c r="BA2277" s="2"/>
      <c r="BB2277" s="2"/>
    </row>
    <row r="2278">
      <c r="A2278" s="2"/>
      <c r="B2278" s="2" t="str">
        <f>IFERROR(__xludf.DUMMYFUNCTION("""COMPUTED_VALUE"""),"")</f>
        <v/>
      </c>
      <c r="C2278" s="2"/>
      <c r="D2278" s="71"/>
      <c r="E2278" s="71" t="str">
        <f>IFERROR(__xludf.DUMMYFUNCTION("""COMPUTED_VALUE""")," ")</f>
        <v> </v>
      </c>
      <c r="F2278" s="2"/>
      <c r="G2278" s="2"/>
      <c r="H2278" s="2"/>
      <c r="I2278" s="72"/>
      <c r="J2278" s="72"/>
      <c r="K2278" s="72"/>
      <c r="L2278" s="72"/>
      <c r="M2278" s="2"/>
      <c r="N2278" s="2"/>
      <c r="O2278" s="2"/>
      <c r="P2278" s="2"/>
      <c r="Q2278" s="2"/>
      <c r="R2278" s="2"/>
      <c r="S2278" s="2"/>
      <c r="T2278" s="2"/>
      <c r="U2278" s="2"/>
      <c r="V2278" s="2"/>
      <c r="W2278" s="2"/>
      <c r="X2278" s="2"/>
      <c r="Y2278" s="2"/>
      <c r="Z2278" s="2"/>
      <c r="AA2278" s="2"/>
      <c r="AB2278" s="2"/>
      <c r="AC2278" s="2"/>
      <c r="AD2278" s="2"/>
      <c r="AE2278" s="2"/>
      <c r="AF2278" s="2"/>
      <c r="AG2278" s="2"/>
      <c r="AH2278" s="2"/>
      <c r="AI2278" s="2"/>
      <c r="AJ2278" s="2" t="str">
        <f>IFERROR(__xludf.DUMMYFUNCTION("""COMPUTED_VALUE"""),"")</f>
        <v/>
      </c>
      <c r="AK2278" s="2" t="str">
        <f>IFERROR(__xludf.DUMMYFUNCTION("""COMPUTED_VALUE"""),"")</f>
        <v/>
      </c>
      <c r="AL2278" s="2" t="str">
        <f>IFERROR(__xludf.DUMMYFUNCTION("""COMPUTED_VALUE"""),"")</f>
        <v/>
      </c>
      <c r="AM2278" s="2" t="str">
        <f>IFERROR(__xludf.DUMMYFUNCTION("""COMPUTED_VALUE"""),"")</f>
        <v/>
      </c>
      <c r="AN2278" s="2" t="str">
        <f>IFERROR(__xludf.DUMMYFUNCTION("""COMPUTED_VALUE""")," ")</f>
        <v> </v>
      </c>
      <c r="AO2278" s="2" t="str">
        <f>IFERROR(__xludf.DUMMYFUNCTION("""COMPUTED_VALUE""")," ")</f>
        <v> </v>
      </c>
      <c r="AP2278" s="2" t="str">
        <f>IFERROR(__xludf.DUMMYFUNCTION("""COMPUTED_VALUE"""),"")</f>
        <v/>
      </c>
      <c r="AQ2278" s="2"/>
      <c r="AR2278" s="2"/>
      <c r="AS2278" s="2"/>
      <c r="AT2278" s="2"/>
      <c r="AU2278" s="2"/>
      <c r="AV2278" s="2"/>
      <c r="AW2278" s="2"/>
      <c r="AX2278" s="2"/>
      <c r="AY2278" s="2"/>
      <c r="AZ2278" s="2"/>
      <c r="BA2278" s="2"/>
      <c r="BB2278" s="2"/>
    </row>
    <row r="2279">
      <c r="A2279" s="2"/>
      <c r="B2279" s="2" t="str">
        <f>IFERROR(__xludf.DUMMYFUNCTION("""COMPUTED_VALUE"""),"")</f>
        <v/>
      </c>
      <c r="C2279" s="2"/>
      <c r="D2279" s="71"/>
      <c r="E2279" s="71" t="str">
        <f>IFERROR(__xludf.DUMMYFUNCTION("""COMPUTED_VALUE""")," ")</f>
        <v> </v>
      </c>
      <c r="F2279" s="2"/>
      <c r="G2279" s="2"/>
      <c r="H2279" s="2"/>
      <c r="I2279" s="72"/>
      <c r="J2279" s="72"/>
      <c r="K2279" s="72"/>
      <c r="L2279" s="72"/>
      <c r="M2279" s="2"/>
      <c r="N2279" s="2"/>
      <c r="O2279" s="2"/>
      <c r="P2279" s="2"/>
      <c r="Q2279" s="2"/>
      <c r="R2279" s="2"/>
      <c r="S2279" s="2"/>
      <c r="T2279" s="2"/>
      <c r="U2279" s="2"/>
      <c r="V2279" s="2"/>
      <c r="W2279" s="2"/>
      <c r="X2279" s="2"/>
      <c r="Y2279" s="2"/>
      <c r="Z2279" s="2"/>
      <c r="AA2279" s="2"/>
      <c r="AB2279" s="2"/>
      <c r="AC2279" s="2"/>
      <c r="AD2279" s="2"/>
      <c r="AE2279" s="2"/>
      <c r="AF2279" s="2"/>
      <c r="AG2279" s="2"/>
      <c r="AH2279" s="2"/>
      <c r="AI2279" s="2"/>
      <c r="AJ2279" s="2" t="str">
        <f>IFERROR(__xludf.DUMMYFUNCTION("""COMPUTED_VALUE"""),"")</f>
        <v/>
      </c>
      <c r="AK2279" s="2" t="str">
        <f>IFERROR(__xludf.DUMMYFUNCTION("""COMPUTED_VALUE"""),"")</f>
        <v/>
      </c>
      <c r="AL2279" s="2" t="str">
        <f>IFERROR(__xludf.DUMMYFUNCTION("""COMPUTED_VALUE"""),"")</f>
        <v/>
      </c>
      <c r="AM2279" s="2" t="str">
        <f>IFERROR(__xludf.DUMMYFUNCTION("""COMPUTED_VALUE"""),"")</f>
        <v/>
      </c>
      <c r="AN2279" s="2" t="str">
        <f>IFERROR(__xludf.DUMMYFUNCTION("""COMPUTED_VALUE""")," ")</f>
        <v> </v>
      </c>
      <c r="AO2279" s="2" t="str">
        <f>IFERROR(__xludf.DUMMYFUNCTION("""COMPUTED_VALUE""")," ")</f>
        <v> </v>
      </c>
      <c r="AP2279" s="2" t="str">
        <f>IFERROR(__xludf.DUMMYFUNCTION("""COMPUTED_VALUE"""),"")</f>
        <v/>
      </c>
      <c r="AQ2279" s="2"/>
      <c r="AR2279" s="2"/>
      <c r="AS2279" s="2"/>
      <c r="AT2279" s="2"/>
      <c r="AU2279" s="2"/>
      <c r="AV2279" s="2"/>
      <c r="AW2279" s="2"/>
      <c r="AX2279" s="2"/>
      <c r="AY2279" s="2"/>
      <c r="AZ2279" s="2"/>
      <c r="BA2279" s="2"/>
      <c r="BB2279" s="2"/>
    </row>
    <row r="2280">
      <c r="A2280" s="2"/>
      <c r="B2280" s="2" t="str">
        <f>IFERROR(__xludf.DUMMYFUNCTION("""COMPUTED_VALUE"""),"")</f>
        <v/>
      </c>
      <c r="C2280" s="2"/>
      <c r="D2280" s="71"/>
      <c r="E2280" s="71" t="str">
        <f>IFERROR(__xludf.DUMMYFUNCTION("""COMPUTED_VALUE""")," ")</f>
        <v> </v>
      </c>
      <c r="F2280" s="2"/>
      <c r="G2280" s="2"/>
      <c r="H2280" s="2"/>
      <c r="I2280" s="72"/>
      <c r="J2280" s="72"/>
      <c r="K2280" s="72"/>
      <c r="L2280" s="72"/>
      <c r="M2280" s="2"/>
      <c r="N2280" s="2"/>
      <c r="O2280" s="2"/>
      <c r="P2280" s="2"/>
      <c r="Q2280" s="2"/>
      <c r="R2280" s="2"/>
      <c r="S2280" s="2"/>
      <c r="T2280" s="2"/>
      <c r="U2280" s="2"/>
      <c r="V2280" s="2"/>
      <c r="W2280" s="2"/>
      <c r="X2280" s="2"/>
      <c r="Y2280" s="2"/>
      <c r="Z2280" s="2"/>
      <c r="AA2280" s="2"/>
      <c r="AB2280" s="2"/>
      <c r="AC2280" s="2"/>
      <c r="AD2280" s="2"/>
      <c r="AE2280" s="2"/>
      <c r="AF2280" s="2"/>
      <c r="AG2280" s="2"/>
      <c r="AH2280" s="2"/>
      <c r="AI2280" s="2"/>
      <c r="AJ2280" s="2" t="str">
        <f>IFERROR(__xludf.DUMMYFUNCTION("""COMPUTED_VALUE"""),"")</f>
        <v/>
      </c>
      <c r="AK2280" s="2" t="str">
        <f>IFERROR(__xludf.DUMMYFUNCTION("""COMPUTED_VALUE"""),"")</f>
        <v/>
      </c>
      <c r="AL2280" s="2" t="str">
        <f>IFERROR(__xludf.DUMMYFUNCTION("""COMPUTED_VALUE"""),"")</f>
        <v/>
      </c>
      <c r="AM2280" s="2" t="str">
        <f>IFERROR(__xludf.DUMMYFUNCTION("""COMPUTED_VALUE"""),"")</f>
        <v/>
      </c>
      <c r="AN2280" s="2" t="str">
        <f>IFERROR(__xludf.DUMMYFUNCTION("""COMPUTED_VALUE""")," ")</f>
        <v> </v>
      </c>
      <c r="AO2280" s="2" t="str">
        <f>IFERROR(__xludf.DUMMYFUNCTION("""COMPUTED_VALUE""")," ")</f>
        <v> </v>
      </c>
      <c r="AP2280" s="2" t="str">
        <f>IFERROR(__xludf.DUMMYFUNCTION("""COMPUTED_VALUE"""),"")</f>
        <v/>
      </c>
      <c r="AQ2280" s="2"/>
      <c r="AR2280" s="2"/>
      <c r="AS2280" s="2"/>
      <c r="AT2280" s="2"/>
      <c r="AU2280" s="2"/>
      <c r="AV2280" s="2"/>
      <c r="AW2280" s="2"/>
      <c r="AX2280" s="2"/>
      <c r="AY2280" s="2"/>
      <c r="AZ2280" s="2"/>
      <c r="BA2280" s="2"/>
      <c r="BB2280" s="2"/>
    </row>
    <row r="2281">
      <c r="A2281" s="2"/>
      <c r="B2281" s="2" t="str">
        <f>IFERROR(__xludf.DUMMYFUNCTION("""COMPUTED_VALUE"""),"")</f>
        <v/>
      </c>
      <c r="C2281" s="2"/>
      <c r="D2281" s="71"/>
      <c r="E2281" s="71" t="str">
        <f>IFERROR(__xludf.DUMMYFUNCTION("""COMPUTED_VALUE""")," ")</f>
        <v> </v>
      </c>
      <c r="F2281" s="2"/>
      <c r="G2281" s="2"/>
      <c r="H2281" s="2"/>
      <c r="I2281" s="72"/>
      <c r="J2281" s="72"/>
      <c r="K2281" s="72"/>
      <c r="L2281" s="72"/>
      <c r="M2281" s="2"/>
      <c r="N2281" s="2"/>
      <c r="O2281" s="2"/>
      <c r="P2281" s="2"/>
      <c r="Q2281" s="2"/>
      <c r="R2281" s="2"/>
      <c r="S2281" s="2"/>
      <c r="T2281" s="2"/>
      <c r="U2281" s="2"/>
      <c r="V2281" s="2"/>
      <c r="W2281" s="2"/>
      <c r="X2281" s="2"/>
      <c r="Y2281" s="2"/>
      <c r="Z2281" s="2"/>
      <c r="AA2281" s="2"/>
      <c r="AB2281" s="2"/>
      <c r="AC2281" s="2"/>
      <c r="AD2281" s="2"/>
      <c r="AE2281" s="2"/>
      <c r="AF2281" s="2"/>
      <c r="AG2281" s="2"/>
      <c r="AH2281" s="2"/>
      <c r="AI2281" s="2"/>
      <c r="AJ2281" s="2" t="str">
        <f>IFERROR(__xludf.DUMMYFUNCTION("""COMPUTED_VALUE"""),"")</f>
        <v/>
      </c>
      <c r="AK2281" s="2" t="str">
        <f>IFERROR(__xludf.DUMMYFUNCTION("""COMPUTED_VALUE"""),"")</f>
        <v/>
      </c>
      <c r="AL2281" s="2" t="str">
        <f>IFERROR(__xludf.DUMMYFUNCTION("""COMPUTED_VALUE"""),"")</f>
        <v/>
      </c>
      <c r="AM2281" s="2" t="str">
        <f>IFERROR(__xludf.DUMMYFUNCTION("""COMPUTED_VALUE"""),"")</f>
        <v/>
      </c>
      <c r="AN2281" s="2" t="str">
        <f>IFERROR(__xludf.DUMMYFUNCTION("""COMPUTED_VALUE""")," ")</f>
        <v> </v>
      </c>
      <c r="AO2281" s="2" t="str">
        <f>IFERROR(__xludf.DUMMYFUNCTION("""COMPUTED_VALUE""")," ")</f>
        <v> </v>
      </c>
      <c r="AP2281" s="2" t="str">
        <f>IFERROR(__xludf.DUMMYFUNCTION("""COMPUTED_VALUE"""),"")</f>
        <v/>
      </c>
      <c r="AQ2281" s="2"/>
      <c r="AR2281" s="2"/>
      <c r="AS2281" s="2"/>
      <c r="AT2281" s="2"/>
      <c r="AU2281" s="2"/>
      <c r="AV2281" s="2"/>
      <c r="AW2281" s="2"/>
      <c r="AX2281" s="2"/>
      <c r="AY2281" s="2"/>
      <c r="AZ2281" s="2"/>
      <c r="BA2281" s="2"/>
      <c r="BB2281" s="2"/>
    </row>
    <row r="2282">
      <c r="A2282" s="2"/>
      <c r="B2282" s="2" t="str">
        <f>IFERROR(__xludf.DUMMYFUNCTION("""COMPUTED_VALUE"""),"")</f>
        <v/>
      </c>
      <c r="C2282" s="2"/>
      <c r="D2282" s="71"/>
      <c r="E2282" s="71" t="str">
        <f>IFERROR(__xludf.DUMMYFUNCTION("""COMPUTED_VALUE""")," ")</f>
        <v> </v>
      </c>
      <c r="F2282" s="2"/>
      <c r="G2282" s="2"/>
      <c r="H2282" s="2"/>
      <c r="I2282" s="72"/>
      <c r="J2282" s="72"/>
      <c r="K2282" s="72"/>
      <c r="L2282" s="72"/>
      <c r="M2282" s="2"/>
      <c r="N2282" s="2"/>
      <c r="O2282" s="2"/>
      <c r="P2282" s="2"/>
      <c r="Q2282" s="2"/>
      <c r="R2282" s="2"/>
      <c r="S2282" s="2"/>
      <c r="T2282" s="2"/>
      <c r="U2282" s="2"/>
      <c r="V2282" s="2"/>
      <c r="W2282" s="2"/>
      <c r="X2282" s="2"/>
      <c r="Y2282" s="2"/>
      <c r="Z2282" s="2"/>
      <c r="AA2282" s="2"/>
      <c r="AB2282" s="2"/>
      <c r="AC2282" s="2"/>
      <c r="AD2282" s="2"/>
      <c r="AE2282" s="2"/>
      <c r="AF2282" s="2"/>
      <c r="AG2282" s="2"/>
      <c r="AH2282" s="2"/>
      <c r="AI2282" s="2"/>
      <c r="AJ2282" s="2" t="str">
        <f>IFERROR(__xludf.DUMMYFUNCTION("""COMPUTED_VALUE"""),"")</f>
        <v/>
      </c>
      <c r="AK2282" s="2" t="str">
        <f>IFERROR(__xludf.DUMMYFUNCTION("""COMPUTED_VALUE"""),"")</f>
        <v/>
      </c>
      <c r="AL2282" s="2" t="str">
        <f>IFERROR(__xludf.DUMMYFUNCTION("""COMPUTED_VALUE"""),"")</f>
        <v/>
      </c>
      <c r="AM2282" s="2" t="str">
        <f>IFERROR(__xludf.DUMMYFUNCTION("""COMPUTED_VALUE"""),"")</f>
        <v/>
      </c>
      <c r="AN2282" s="2" t="str">
        <f>IFERROR(__xludf.DUMMYFUNCTION("""COMPUTED_VALUE""")," ")</f>
        <v> </v>
      </c>
      <c r="AO2282" s="2" t="str">
        <f>IFERROR(__xludf.DUMMYFUNCTION("""COMPUTED_VALUE""")," ")</f>
        <v> </v>
      </c>
      <c r="AP2282" s="2" t="str">
        <f>IFERROR(__xludf.DUMMYFUNCTION("""COMPUTED_VALUE"""),"")</f>
        <v/>
      </c>
      <c r="AQ2282" s="2"/>
      <c r="AR2282" s="2"/>
      <c r="AS2282" s="2"/>
      <c r="AT2282" s="2"/>
      <c r="AU2282" s="2"/>
      <c r="AV2282" s="2"/>
      <c r="AW2282" s="2"/>
      <c r="AX2282" s="2"/>
      <c r="AY2282" s="2"/>
      <c r="AZ2282" s="2"/>
      <c r="BA2282" s="2"/>
      <c r="BB2282" s="2"/>
    </row>
    <row r="2283">
      <c r="A2283" s="2"/>
      <c r="B2283" s="2" t="str">
        <f>IFERROR(__xludf.DUMMYFUNCTION("""COMPUTED_VALUE"""),"")</f>
        <v/>
      </c>
      <c r="C2283" s="2"/>
      <c r="D2283" s="71"/>
      <c r="E2283" s="71" t="str">
        <f>IFERROR(__xludf.DUMMYFUNCTION("""COMPUTED_VALUE""")," ")</f>
        <v> </v>
      </c>
      <c r="F2283" s="2"/>
      <c r="G2283" s="2"/>
      <c r="H2283" s="2"/>
      <c r="I2283" s="72"/>
      <c r="J2283" s="72"/>
      <c r="K2283" s="72"/>
      <c r="L2283" s="72"/>
      <c r="M2283" s="2"/>
      <c r="N2283" s="2"/>
      <c r="O2283" s="2"/>
      <c r="P2283" s="2"/>
      <c r="Q2283" s="2"/>
      <c r="R2283" s="2"/>
      <c r="S2283" s="2"/>
      <c r="T2283" s="2"/>
      <c r="U2283" s="2"/>
      <c r="V2283" s="2"/>
      <c r="W2283" s="2"/>
      <c r="X2283" s="2"/>
      <c r="Y2283" s="2"/>
      <c r="Z2283" s="2"/>
      <c r="AA2283" s="2"/>
      <c r="AB2283" s="2"/>
      <c r="AC2283" s="2"/>
      <c r="AD2283" s="2"/>
      <c r="AE2283" s="2"/>
      <c r="AF2283" s="2"/>
      <c r="AG2283" s="2"/>
      <c r="AH2283" s="2"/>
      <c r="AI2283" s="2"/>
      <c r="AJ2283" s="2" t="str">
        <f>IFERROR(__xludf.DUMMYFUNCTION("""COMPUTED_VALUE"""),"")</f>
        <v/>
      </c>
      <c r="AK2283" s="2" t="str">
        <f>IFERROR(__xludf.DUMMYFUNCTION("""COMPUTED_VALUE"""),"")</f>
        <v/>
      </c>
      <c r="AL2283" s="2" t="str">
        <f>IFERROR(__xludf.DUMMYFUNCTION("""COMPUTED_VALUE"""),"")</f>
        <v/>
      </c>
      <c r="AM2283" s="2" t="str">
        <f>IFERROR(__xludf.DUMMYFUNCTION("""COMPUTED_VALUE"""),"")</f>
        <v/>
      </c>
      <c r="AN2283" s="2" t="str">
        <f>IFERROR(__xludf.DUMMYFUNCTION("""COMPUTED_VALUE""")," ")</f>
        <v> </v>
      </c>
      <c r="AO2283" s="2" t="str">
        <f>IFERROR(__xludf.DUMMYFUNCTION("""COMPUTED_VALUE""")," ")</f>
        <v> </v>
      </c>
      <c r="AP2283" s="2" t="str">
        <f>IFERROR(__xludf.DUMMYFUNCTION("""COMPUTED_VALUE"""),"")</f>
        <v/>
      </c>
      <c r="AQ2283" s="2"/>
      <c r="AR2283" s="2"/>
      <c r="AS2283" s="2"/>
      <c r="AT2283" s="2"/>
      <c r="AU2283" s="2"/>
      <c r="AV2283" s="2"/>
      <c r="AW2283" s="2"/>
      <c r="AX2283" s="2"/>
      <c r="AY2283" s="2"/>
      <c r="AZ2283" s="2"/>
      <c r="BA2283" s="2"/>
      <c r="BB2283" s="2"/>
    </row>
    <row r="2284">
      <c r="A2284" s="2"/>
      <c r="B2284" s="2" t="str">
        <f>IFERROR(__xludf.DUMMYFUNCTION("""COMPUTED_VALUE"""),"")</f>
        <v/>
      </c>
      <c r="C2284" s="2"/>
      <c r="D2284" s="71"/>
      <c r="E2284" s="71" t="str">
        <f>IFERROR(__xludf.DUMMYFUNCTION("""COMPUTED_VALUE""")," ")</f>
        <v> </v>
      </c>
      <c r="F2284" s="2"/>
      <c r="G2284" s="2"/>
      <c r="H2284" s="2"/>
      <c r="I2284" s="72"/>
      <c r="J2284" s="72"/>
      <c r="K2284" s="72"/>
      <c r="L2284" s="72"/>
      <c r="M2284" s="2"/>
      <c r="N2284" s="2"/>
      <c r="O2284" s="2"/>
      <c r="P2284" s="2"/>
      <c r="Q2284" s="2"/>
      <c r="R2284" s="2"/>
      <c r="S2284" s="2"/>
      <c r="T2284" s="2"/>
      <c r="U2284" s="2"/>
      <c r="V2284" s="2"/>
      <c r="W2284" s="2"/>
      <c r="X2284" s="2"/>
      <c r="Y2284" s="2"/>
      <c r="Z2284" s="2"/>
      <c r="AA2284" s="2"/>
      <c r="AB2284" s="2"/>
      <c r="AC2284" s="2"/>
      <c r="AD2284" s="2"/>
      <c r="AE2284" s="2"/>
      <c r="AF2284" s="2"/>
      <c r="AG2284" s="2"/>
      <c r="AH2284" s="2"/>
      <c r="AI2284" s="2"/>
      <c r="AJ2284" s="2" t="str">
        <f>IFERROR(__xludf.DUMMYFUNCTION("""COMPUTED_VALUE"""),"")</f>
        <v/>
      </c>
      <c r="AK2284" s="2" t="str">
        <f>IFERROR(__xludf.DUMMYFUNCTION("""COMPUTED_VALUE"""),"")</f>
        <v/>
      </c>
      <c r="AL2284" s="2" t="str">
        <f>IFERROR(__xludf.DUMMYFUNCTION("""COMPUTED_VALUE"""),"")</f>
        <v/>
      </c>
      <c r="AM2284" s="2" t="str">
        <f>IFERROR(__xludf.DUMMYFUNCTION("""COMPUTED_VALUE"""),"")</f>
        <v/>
      </c>
      <c r="AN2284" s="2" t="str">
        <f>IFERROR(__xludf.DUMMYFUNCTION("""COMPUTED_VALUE""")," ")</f>
        <v> </v>
      </c>
      <c r="AO2284" s="2" t="str">
        <f>IFERROR(__xludf.DUMMYFUNCTION("""COMPUTED_VALUE""")," ")</f>
        <v> </v>
      </c>
      <c r="AP2284" s="2" t="str">
        <f>IFERROR(__xludf.DUMMYFUNCTION("""COMPUTED_VALUE"""),"")</f>
        <v/>
      </c>
      <c r="AQ2284" s="2"/>
      <c r="AR2284" s="2"/>
      <c r="AS2284" s="2"/>
      <c r="AT2284" s="2"/>
      <c r="AU2284" s="2"/>
      <c r="AV2284" s="2"/>
      <c r="AW2284" s="2"/>
      <c r="AX2284" s="2"/>
      <c r="AY2284" s="2"/>
      <c r="AZ2284" s="2"/>
      <c r="BA2284" s="2"/>
      <c r="BB2284" s="2"/>
    </row>
    <row r="2285">
      <c r="A2285" s="2"/>
      <c r="B2285" s="2" t="str">
        <f>IFERROR(__xludf.DUMMYFUNCTION("""COMPUTED_VALUE"""),"")</f>
        <v/>
      </c>
      <c r="C2285" s="2"/>
      <c r="D2285" s="71"/>
      <c r="E2285" s="71" t="str">
        <f>IFERROR(__xludf.DUMMYFUNCTION("""COMPUTED_VALUE""")," ")</f>
        <v> </v>
      </c>
      <c r="F2285" s="2"/>
      <c r="G2285" s="2"/>
      <c r="H2285" s="2"/>
      <c r="I2285" s="72"/>
      <c r="J2285" s="72"/>
      <c r="K2285" s="72"/>
      <c r="L2285" s="72"/>
      <c r="M2285" s="2"/>
      <c r="N2285" s="2"/>
      <c r="O2285" s="2"/>
      <c r="P2285" s="2"/>
      <c r="Q2285" s="2"/>
      <c r="R2285" s="2"/>
      <c r="S2285" s="2"/>
      <c r="T2285" s="2"/>
      <c r="U2285" s="2"/>
      <c r="V2285" s="2"/>
      <c r="W2285" s="2"/>
      <c r="X2285" s="2"/>
      <c r="Y2285" s="2"/>
      <c r="Z2285" s="2"/>
      <c r="AA2285" s="2"/>
      <c r="AB2285" s="2"/>
      <c r="AC2285" s="2"/>
      <c r="AD2285" s="2"/>
      <c r="AE2285" s="2"/>
      <c r="AF2285" s="2"/>
      <c r="AG2285" s="2"/>
      <c r="AH2285" s="2"/>
      <c r="AI2285" s="2"/>
      <c r="AJ2285" s="2" t="str">
        <f>IFERROR(__xludf.DUMMYFUNCTION("""COMPUTED_VALUE"""),"")</f>
        <v/>
      </c>
      <c r="AK2285" s="2" t="str">
        <f>IFERROR(__xludf.DUMMYFUNCTION("""COMPUTED_VALUE"""),"")</f>
        <v/>
      </c>
      <c r="AL2285" s="2" t="str">
        <f>IFERROR(__xludf.DUMMYFUNCTION("""COMPUTED_VALUE"""),"")</f>
        <v/>
      </c>
      <c r="AM2285" s="2" t="str">
        <f>IFERROR(__xludf.DUMMYFUNCTION("""COMPUTED_VALUE"""),"")</f>
        <v/>
      </c>
      <c r="AN2285" s="2" t="str">
        <f>IFERROR(__xludf.DUMMYFUNCTION("""COMPUTED_VALUE""")," ")</f>
        <v> </v>
      </c>
      <c r="AO2285" s="2" t="str">
        <f>IFERROR(__xludf.DUMMYFUNCTION("""COMPUTED_VALUE""")," ")</f>
        <v> </v>
      </c>
      <c r="AP2285" s="2" t="str">
        <f>IFERROR(__xludf.DUMMYFUNCTION("""COMPUTED_VALUE"""),"")</f>
        <v/>
      </c>
      <c r="AQ2285" s="2"/>
      <c r="AR2285" s="2"/>
      <c r="AS2285" s="2"/>
      <c r="AT2285" s="2"/>
      <c r="AU2285" s="2"/>
      <c r="AV2285" s="2"/>
      <c r="AW2285" s="2"/>
      <c r="AX2285" s="2"/>
      <c r="AY2285" s="2"/>
      <c r="AZ2285" s="2"/>
      <c r="BA2285" s="2"/>
      <c r="BB2285" s="2"/>
    </row>
    <row r="2286">
      <c r="A2286" s="2"/>
      <c r="B2286" s="2" t="str">
        <f>IFERROR(__xludf.DUMMYFUNCTION("""COMPUTED_VALUE"""),"")</f>
        <v/>
      </c>
      <c r="C2286" s="2"/>
      <c r="D2286" s="71"/>
      <c r="E2286" s="71" t="str">
        <f>IFERROR(__xludf.DUMMYFUNCTION("""COMPUTED_VALUE""")," ")</f>
        <v> </v>
      </c>
      <c r="F2286" s="2"/>
      <c r="G2286" s="2"/>
      <c r="H2286" s="2"/>
      <c r="I2286" s="72"/>
      <c r="J2286" s="72"/>
      <c r="K2286" s="72"/>
      <c r="L2286" s="72"/>
      <c r="M2286" s="2"/>
      <c r="N2286" s="2"/>
      <c r="O2286" s="2"/>
      <c r="P2286" s="2"/>
      <c r="Q2286" s="2"/>
      <c r="R2286" s="2"/>
      <c r="S2286" s="2"/>
      <c r="T2286" s="2"/>
      <c r="U2286" s="2"/>
      <c r="V2286" s="2"/>
      <c r="W2286" s="2"/>
      <c r="X2286" s="2"/>
      <c r="Y2286" s="2"/>
      <c r="Z2286" s="2"/>
      <c r="AA2286" s="2"/>
      <c r="AB2286" s="2"/>
      <c r="AC2286" s="2"/>
      <c r="AD2286" s="2"/>
      <c r="AE2286" s="2"/>
      <c r="AF2286" s="2"/>
      <c r="AG2286" s="2"/>
      <c r="AH2286" s="2"/>
      <c r="AI2286" s="2"/>
      <c r="AJ2286" s="2" t="str">
        <f>IFERROR(__xludf.DUMMYFUNCTION("""COMPUTED_VALUE"""),"")</f>
        <v/>
      </c>
      <c r="AK2286" s="2" t="str">
        <f>IFERROR(__xludf.DUMMYFUNCTION("""COMPUTED_VALUE"""),"")</f>
        <v/>
      </c>
      <c r="AL2286" s="2" t="str">
        <f>IFERROR(__xludf.DUMMYFUNCTION("""COMPUTED_VALUE"""),"")</f>
        <v/>
      </c>
      <c r="AM2286" s="2" t="str">
        <f>IFERROR(__xludf.DUMMYFUNCTION("""COMPUTED_VALUE"""),"")</f>
        <v/>
      </c>
      <c r="AN2286" s="2" t="str">
        <f>IFERROR(__xludf.DUMMYFUNCTION("""COMPUTED_VALUE""")," ")</f>
        <v> </v>
      </c>
      <c r="AO2286" s="2" t="str">
        <f>IFERROR(__xludf.DUMMYFUNCTION("""COMPUTED_VALUE""")," ")</f>
        <v> </v>
      </c>
      <c r="AP2286" s="2" t="str">
        <f>IFERROR(__xludf.DUMMYFUNCTION("""COMPUTED_VALUE"""),"")</f>
        <v/>
      </c>
      <c r="AQ2286" s="2"/>
      <c r="AR2286" s="2"/>
      <c r="AS2286" s="2"/>
      <c r="AT2286" s="2"/>
      <c r="AU2286" s="2"/>
      <c r="AV2286" s="2"/>
      <c r="AW2286" s="2"/>
      <c r="AX2286" s="2"/>
      <c r="AY2286" s="2"/>
      <c r="AZ2286" s="2"/>
      <c r="BA2286" s="2"/>
      <c r="BB2286" s="2"/>
    </row>
    <row r="2287">
      <c r="A2287" s="2"/>
      <c r="B2287" s="2" t="str">
        <f>IFERROR(__xludf.DUMMYFUNCTION("""COMPUTED_VALUE"""),"")</f>
        <v/>
      </c>
      <c r="C2287" s="2"/>
      <c r="D2287" s="71"/>
      <c r="E2287" s="71" t="str">
        <f>IFERROR(__xludf.DUMMYFUNCTION("""COMPUTED_VALUE""")," ")</f>
        <v> </v>
      </c>
      <c r="F2287" s="2"/>
      <c r="G2287" s="2"/>
      <c r="H2287" s="2"/>
      <c r="I2287" s="72"/>
      <c r="J2287" s="72"/>
      <c r="K2287" s="72"/>
      <c r="L2287" s="72"/>
      <c r="M2287" s="2"/>
      <c r="N2287" s="2"/>
      <c r="O2287" s="2"/>
      <c r="P2287" s="2"/>
      <c r="Q2287" s="2"/>
      <c r="R2287" s="2"/>
      <c r="S2287" s="2"/>
      <c r="T2287" s="2"/>
      <c r="U2287" s="2"/>
      <c r="V2287" s="2"/>
      <c r="W2287" s="2"/>
      <c r="X2287" s="2"/>
      <c r="Y2287" s="2"/>
      <c r="Z2287" s="2"/>
      <c r="AA2287" s="2"/>
      <c r="AB2287" s="2"/>
      <c r="AC2287" s="2"/>
      <c r="AD2287" s="2"/>
      <c r="AE2287" s="2"/>
      <c r="AF2287" s="2"/>
      <c r="AG2287" s="2"/>
      <c r="AH2287" s="2"/>
      <c r="AI2287" s="2"/>
      <c r="AJ2287" s="2" t="str">
        <f>IFERROR(__xludf.DUMMYFUNCTION("""COMPUTED_VALUE"""),"")</f>
        <v/>
      </c>
      <c r="AK2287" s="2" t="str">
        <f>IFERROR(__xludf.DUMMYFUNCTION("""COMPUTED_VALUE"""),"")</f>
        <v/>
      </c>
      <c r="AL2287" s="2" t="str">
        <f>IFERROR(__xludf.DUMMYFUNCTION("""COMPUTED_VALUE"""),"")</f>
        <v/>
      </c>
      <c r="AM2287" s="2" t="str">
        <f>IFERROR(__xludf.DUMMYFUNCTION("""COMPUTED_VALUE"""),"")</f>
        <v/>
      </c>
      <c r="AN2287" s="2" t="str">
        <f>IFERROR(__xludf.DUMMYFUNCTION("""COMPUTED_VALUE""")," ")</f>
        <v> </v>
      </c>
      <c r="AO2287" s="2" t="str">
        <f>IFERROR(__xludf.DUMMYFUNCTION("""COMPUTED_VALUE""")," ")</f>
        <v> </v>
      </c>
      <c r="AP2287" s="2" t="str">
        <f>IFERROR(__xludf.DUMMYFUNCTION("""COMPUTED_VALUE"""),"")</f>
        <v/>
      </c>
      <c r="AQ2287" s="2"/>
      <c r="AR2287" s="2"/>
      <c r="AS2287" s="2"/>
      <c r="AT2287" s="2"/>
      <c r="AU2287" s="2"/>
      <c r="AV2287" s="2"/>
      <c r="AW2287" s="2"/>
      <c r="AX2287" s="2"/>
      <c r="AY2287" s="2"/>
      <c r="AZ2287" s="2"/>
      <c r="BA2287" s="2"/>
      <c r="BB2287" s="2"/>
    </row>
    <row r="2288">
      <c r="A2288" s="2"/>
      <c r="B2288" s="2" t="str">
        <f>IFERROR(__xludf.DUMMYFUNCTION("""COMPUTED_VALUE"""),"")</f>
        <v/>
      </c>
      <c r="C2288" s="2"/>
      <c r="D2288" s="71"/>
      <c r="E2288" s="71" t="str">
        <f>IFERROR(__xludf.DUMMYFUNCTION("""COMPUTED_VALUE""")," ")</f>
        <v> </v>
      </c>
      <c r="F2288" s="2"/>
      <c r="G2288" s="2"/>
      <c r="H2288" s="2"/>
      <c r="I2288" s="72"/>
      <c r="J2288" s="72"/>
      <c r="K2288" s="72"/>
      <c r="L2288" s="72"/>
      <c r="M2288" s="2"/>
      <c r="N2288" s="2"/>
      <c r="O2288" s="2"/>
      <c r="P2288" s="2"/>
      <c r="Q2288" s="2"/>
      <c r="R2288" s="2"/>
      <c r="S2288" s="2"/>
      <c r="T2288" s="2"/>
      <c r="U2288" s="2"/>
      <c r="V2288" s="2"/>
      <c r="W2288" s="2"/>
      <c r="X2288" s="2"/>
      <c r="Y2288" s="2"/>
      <c r="Z2288" s="2"/>
      <c r="AA2288" s="2"/>
      <c r="AB2288" s="2"/>
      <c r="AC2288" s="2"/>
      <c r="AD2288" s="2"/>
      <c r="AE2288" s="2"/>
      <c r="AF2288" s="2"/>
      <c r="AG2288" s="2"/>
      <c r="AH2288" s="2"/>
      <c r="AI2288" s="2"/>
      <c r="AJ2288" s="2" t="str">
        <f>IFERROR(__xludf.DUMMYFUNCTION("""COMPUTED_VALUE"""),"")</f>
        <v/>
      </c>
      <c r="AK2288" s="2" t="str">
        <f>IFERROR(__xludf.DUMMYFUNCTION("""COMPUTED_VALUE"""),"")</f>
        <v/>
      </c>
      <c r="AL2288" s="2" t="str">
        <f>IFERROR(__xludf.DUMMYFUNCTION("""COMPUTED_VALUE"""),"")</f>
        <v/>
      </c>
      <c r="AM2288" s="2" t="str">
        <f>IFERROR(__xludf.DUMMYFUNCTION("""COMPUTED_VALUE"""),"")</f>
        <v/>
      </c>
      <c r="AN2288" s="2" t="str">
        <f>IFERROR(__xludf.DUMMYFUNCTION("""COMPUTED_VALUE""")," ")</f>
        <v> </v>
      </c>
      <c r="AO2288" s="2" t="str">
        <f>IFERROR(__xludf.DUMMYFUNCTION("""COMPUTED_VALUE""")," ")</f>
        <v> </v>
      </c>
      <c r="AP2288" s="2" t="str">
        <f>IFERROR(__xludf.DUMMYFUNCTION("""COMPUTED_VALUE"""),"")</f>
        <v/>
      </c>
      <c r="AQ2288" s="2"/>
      <c r="AR2288" s="2"/>
      <c r="AS2288" s="2"/>
      <c r="AT2288" s="2"/>
      <c r="AU2288" s="2"/>
      <c r="AV2288" s="2"/>
      <c r="AW2288" s="2"/>
      <c r="AX2288" s="2"/>
      <c r="AY2288" s="2"/>
      <c r="AZ2288" s="2"/>
      <c r="BA2288" s="2"/>
      <c r="BB2288" s="2"/>
    </row>
    <row r="2289">
      <c r="A2289" s="2"/>
      <c r="B2289" s="2" t="str">
        <f>IFERROR(__xludf.DUMMYFUNCTION("""COMPUTED_VALUE"""),"")</f>
        <v/>
      </c>
      <c r="C2289" s="2"/>
      <c r="D2289" s="71"/>
      <c r="E2289" s="71" t="str">
        <f>IFERROR(__xludf.DUMMYFUNCTION("""COMPUTED_VALUE""")," ")</f>
        <v> </v>
      </c>
      <c r="F2289" s="2"/>
      <c r="G2289" s="2"/>
      <c r="H2289" s="2"/>
      <c r="I2289" s="72"/>
      <c r="J2289" s="72"/>
      <c r="K2289" s="72"/>
      <c r="L2289" s="72"/>
      <c r="M2289" s="2"/>
      <c r="N2289" s="2"/>
      <c r="O2289" s="2"/>
      <c r="P2289" s="2"/>
      <c r="Q2289" s="2"/>
      <c r="R2289" s="2"/>
      <c r="S2289" s="2"/>
      <c r="T2289" s="2"/>
      <c r="U2289" s="2"/>
      <c r="V2289" s="2"/>
      <c r="W2289" s="2"/>
      <c r="X2289" s="2"/>
      <c r="Y2289" s="2"/>
      <c r="Z2289" s="2"/>
      <c r="AA2289" s="2"/>
      <c r="AB2289" s="2"/>
      <c r="AC2289" s="2"/>
      <c r="AD2289" s="2"/>
      <c r="AE2289" s="2"/>
      <c r="AF2289" s="2"/>
      <c r="AG2289" s="2"/>
      <c r="AH2289" s="2"/>
      <c r="AI2289" s="2"/>
      <c r="AJ2289" s="2" t="str">
        <f>IFERROR(__xludf.DUMMYFUNCTION("""COMPUTED_VALUE"""),"")</f>
        <v/>
      </c>
      <c r="AK2289" s="2" t="str">
        <f>IFERROR(__xludf.DUMMYFUNCTION("""COMPUTED_VALUE"""),"")</f>
        <v/>
      </c>
      <c r="AL2289" s="2" t="str">
        <f>IFERROR(__xludf.DUMMYFUNCTION("""COMPUTED_VALUE"""),"")</f>
        <v/>
      </c>
      <c r="AM2289" s="2" t="str">
        <f>IFERROR(__xludf.DUMMYFUNCTION("""COMPUTED_VALUE"""),"")</f>
        <v/>
      </c>
      <c r="AN2289" s="2" t="str">
        <f>IFERROR(__xludf.DUMMYFUNCTION("""COMPUTED_VALUE""")," ")</f>
        <v> </v>
      </c>
      <c r="AO2289" s="2" t="str">
        <f>IFERROR(__xludf.DUMMYFUNCTION("""COMPUTED_VALUE""")," ")</f>
        <v> </v>
      </c>
      <c r="AP2289" s="2" t="str">
        <f>IFERROR(__xludf.DUMMYFUNCTION("""COMPUTED_VALUE"""),"")</f>
        <v/>
      </c>
      <c r="AQ2289" s="2"/>
      <c r="AR2289" s="2"/>
      <c r="AS2289" s="2"/>
      <c r="AT2289" s="2"/>
      <c r="AU2289" s="2"/>
      <c r="AV2289" s="2"/>
      <c r="AW2289" s="2"/>
      <c r="AX2289" s="2"/>
      <c r="AY2289" s="2"/>
      <c r="AZ2289" s="2"/>
      <c r="BA2289" s="2"/>
      <c r="BB2289" s="2"/>
    </row>
    <row r="2290">
      <c r="A2290" s="2"/>
      <c r="B2290" s="2" t="str">
        <f>IFERROR(__xludf.DUMMYFUNCTION("""COMPUTED_VALUE"""),"")</f>
        <v/>
      </c>
      <c r="C2290" s="2"/>
      <c r="D2290" s="71"/>
      <c r="E2290" s="71" t="str">
        <f>IFERROR(__xludf.DUMMYFUNCTION("""COMPUTED_VALUE""")," ")</f>
        <v> </v>
      </c>
      <c r="F2290" s="2"/>
      <c r="G2290" s="2"/>
      <c r="H2290" s="2"/>
      <c r="I2290" s="72"/>
      <c r="J2290" s="72"/>
      <c r="K2290" s="72"/>
      <c r="L2290" s="72"/>
      <c r="M2290" s="2"/>
      <c r="N2290" s="2"/>
      <c r="O2290" s="2"/>
      <c r="P2290" s="2"/>
      <c r="Q2290" s="2"/>
      <c r="R2290" s="2"/>
      <c r="S2290" s="2"/>
      <c r="T2290" s="2"/>
      <c r="U2290" s="2"/>
      <c r="V2290" s="2"/>
      <c r="W2290" s="2"/>
      <c r="X2290" s="2"/>
      <c r="Y2290" s="2"/>
      <c r="Z2290" s="2"/>
      <c r="AA2290" s="2"/>
      <c r="AB2290" s="2"/>
      <c r="AC2290" s="2"/>
      <c r="AD2290" s="2"/>
      <c r="AE2290" s="2"/>
      <c r="AF2290" s="2"/>
      <c r="AG2290" s="2"/>
      <c r="AH2290" s="2"/>
      <c r="AI2290" s="2"/>
      <c r="AJ2290" s="2" t="str">
        <f>IFERROR(__xludf.DUMMYFUNCTION("""COMPUTED_VALUE"""),"")</f>
        <v/>
      </c>
      <c r="AK2290" s="2" t="str">
        <f>IFERROR(__xludf.DUMMYFUNCTION("""COMPUTED_VALUE"""),"")</f>
        <v/>
      </c>
      <c r="AL2290" s="2" t="str">
        <f>IFERROR(__xludf.DUMMYFUNCTION("""COMPUTED_VALUE"""),"")</f>
        <v/>
      </c>
      <c r="AM2290" s="2" t="str">
        <f>IFERROR(__xludf.DUMMYFUNCTION("""COMPUTED_VALUE"""),"")</f>
        <v/>
      </c>
      <c r="AN2290" s="2" t="str">
        <f>IFERROR(__xludf.DUMMYFUNCTION("""COMPUTED_VALUE""")," ")</f>
        <v> </v>
      </c>
      <c r="AO2290" s="2" t="str">
        <f>IFERROR(__xludf.DUMMYFUNCTION("""COMPUTED_VALUE""")," ")</f>
        <v> </v>
      </c>
      <c r="AP2290" s="2" t="str">
        <f>IFERROR(__xludf.DUMMYFUNCTION("""COMPUTED_VALUE"""),"")</f>
        <v/>
      </c>
      <c r="AQ2290" s="2"/>
      <c r="AR2290" s="2"/>
      <c r="AS2290" s="2"/>
      <c r="AT2290" s="2"/>
      <c r="AU2290" s="2"/>
      <c r="AV2290" s="2"/>
      <c r="AW2290" s="2"/>
      <c r="AX2290" s="2"/>
      <c r="AY2290" s="2"/>
      <c r="AZ2290" s="2"/>
      <c r="BA2290" s="2"/>
      <c r="BB2290" s="2"/>
    </row>
    <row r="2291">
      <c r="A2291" s="2"/>
      <c r="B2291" s="2" t="str">
        <f>IFERROR(__xludf.DUMMYFUNCTION("""COMPUTED_VALUE"""),"")</f>
        <v/>
      </c>
      <c r="C2291" s="2"/>
      <c r="D2291" s="71"/>
      <c r="E2291" s="71" t="str">
        <f>IFERROR(__xludf.DUMMYFUNCTION("""COMPUTED_VALUE""")," ")</f>
        <v> </v>
      </c>
      <c r="F2291" s="2"/>
      <c r="G2291" s="2"/>
      <c r="H2291" s="2"/>
      <c r="I2291" s="72"/>
      <c r="J2291" s="72"/>
      <c r="K2291" s="72"/>
      <c r="L2291" s="72"/>
      <c r="M2291" s="2"/>
      <c r="N2291" s="2"/>
      <c r="O2291" s="2"/>
      <c r="P2291" s="2"/>
      <c r="Q2291" s="2"/>
      <c r="R2291" s="2"/>
      <c r="S2291" s="2"/>
      <c r="T2291" s="2"/>
      <c r="U2291" s="2"/>
      <c r="V2291" s="2"/>
      <c r="W2291" s="2"/>
      <c r="X2291" s="2"/>
      <c r="Y2291" s="2"/>
      <c r="Z2291" s="2"/>
      <c r="AA2291" s="2"/>
      <c r="AB2291" s="2"/>
      <c r="AC2291" s="2"/>
      <c r="AD2291" s="2"/>
      <c r="AE2291" s="2"/>
      <c r="AF2291" s="2"/>
      <c r="AG2291" s="2"/>
      <c r="AH2291" s="2"/>
      <c r="AI2291" s="2"/>
      <c r="AJ2291" s="2" t="str">
        <f>IFERROR(__xludf.DUMMYFUNCTION("""COMPUTED_VALUE"""),"")</f>
        <v/>
      </c>
      <c r="AK2291" s="2" t="str">
        <f>IFERROR(__xludf.DUMMYFUNCTION("""COMPUTED_VALUE"""),"")</f>
        <v/>
      </c>
      <c r="AL2291" s="2" t="str">
        <f>IFERROR(__xludf.DUMMYFUNCTION("""COMPUTED_VALUE"""),"")</f>
        <v/>
      </c>
      <c r="AM2291" s="2" t="str">
        <f>IFERROR(__xludf.DUMMYFUNCTION("""COMPUTED_VALUE"""),"")</f>
        <v/>
      </c>
      <c r="AN2291" s="2" t="str">
        <f>IFERROR(__xludf.DUMMYFUNCTION("""COMPUTED_VALUE""")," ")</f>
        <v> </v>
      </c>
      <c r="AO2291" s="2" t="str">
        <f>IFERROR(__xludf.DUMMYFUNCTION("""COMPUTED_VALUE""")," ")</f>
        <v> </v>
      </c>
      <c r="AP2291" s="2" t="str">
        <f>IFERROR(__xludf.DUMMYFUNCTION("""COMPUTED_VALUE"""),"")</f>
        <v/>
      </c>
      <c r="AQ2291" s="2"/>
      <c r="AR2291" s="2"/>
      <c r="AS2291" s="2"/>
      <c r="AT2291" s="2"/>
      <c r="AU2291" s="2"/>
      <c r="AV2291" s="2"/>
      <c r="AW2291" s="2"/>
      <c r="AX2291" s="2"/>
      <c r="AY2291" s="2"/>
      <c r="AZ2291" s="2"/>
      <c r="BA2291" s="2"/>
      <c r="BB2291" s="2"/>
    </row>
    <row r="2292">
      <c r="A2292" s="2"/>
      <c r="B2292" s="2" t="str">
        <f>IFERROR(__xludf.DUMMYFUNCTION("""COMPUTED_VALUE"""),"")</f>
        <v/>
      </c>
      <c r="C2292" s="2"/>
      <c r="D2292" s="71"/>
      <c r="E2292" s="71" t="str">
        <f>IFERROR(__xludf.DUMMYFUNCTION("""COMPUTED_VALUE""")," ")</f>
        <v> </v>
      </c>
      <c r="F2292" s="2"/>
      <c r="G2292" s="2"/>
      <c r="H2292" s="2"/>
      <c r="I2292" s="72"/>
      <c r="J2292" s="72"/>
      <c r="K2292" s="72"/>
      <c r="L2292" s="72"/>
      <c r="M2292" s="2"/>
      <c r="N2292" s="2"/>
      <c r="O2292" s="2"/>
      <c r="P2292" s="2"/>
      <c r="Q2292" s="2"/>
      <c r="R2292" s="2"/>
      <c r="S2292" s="2"/>
      <c r="T2292" s="2"/>
      <c r="U2292" s="2"/>
      <c r="V2292" s="2"/>
      <c r="W2292" s="2"/>
      <c r="X2292" s="2"/>
      <c r="Y2292" s="2"/>
      <c r="Z2292" s="2"/>
      <c r="AA2292" s="2"/>
      <c r="AB2292" s="2"/>
      <c r="AC2292" s="2"/>
      <c r="AD2292" s="2"/>
      <c r="AE2292" s="2"/>
      <c r="AF2292" s="2"/>
      <c r="AG2292" s="2"/>
      <c r="AH2292" s="2"/>
      <c r="AI2292" s="2"/>
      <c r="AJ2292" s="2" t="str">
        <f>IFERROR(__xludf.DUMMYFUNCTION("""COMPUTED_VALUE"""),"")</f>
        <v/>
      </c>
      <c r="AK2292" s="2" t="str">
        <f>IFERROR(__xludf.DUMMYFUNCTION("""COMPUTED_VALUE"""),"")</f>
        <v/>
      </c>
      <c r="AL2292" s="2" t="str">
        <f>IFERROR(__xludf.DUMMYFUNCTION("""COMPUTED_VALUE"""),"")</f>
        <v/>
      </c>
      <c r="AM2292" s="2" t="str">
        <f>IFERROR(__xludf.DUMMYFUNCTION("""COMPUTED_VALUE"""),"")</f>
        <v/>
      </c>
      <c r="AN2292" s="2" t="str">
        <f>IFERROR(__xludf.DUMMYFUNCTION("""COMPUTED_VALUE""")," ")</f>
        <v> </v>
      </c>
      <c r="AO2292" s="2" t="str">
        <f>IFERROR(__xludf.DUMMYFUNCTION("""COMPUTED_VALUE""")," ")</f>
        <v> </v>
      </c>
      <c r="AP2292" s="2" t="str">
        <f>IFERROR(__xludf.DUMMYFUNCTION("""COMPUTED_VALUE"""),"")</f>
        <v/>
      </c>
      <c r="AQ2292" s="2"/>
      <c r="AR2292" s="2"/>
      <c r="AS2292" s="2"/>
      <c r="AT2292" s="2"/>
      <c r="AU2292" s="2"/>
      <c r="AV2292" s="2"/>
      <c r="AW2292" s="2"/>
      <c r="AX2292" s="2"/>
      <c r="AY2292" s="2"/>
      <c r="AZ2292" s="2"/>
      <c r="BA2292" s="2"/>
      <c r="BB2292" s="2"/>
    </row>
    <row r="2293">
      <c r="A2293" s="2"/>
      <c r="B2293" s="2" t="str">
        <f>IFERROR(__xludf.DUMMYFUNCTION("""COMPUTED_VALUE"""),"")</f>
        <v/>
      </c>
      <c r="C2293" s="2"/>
      <c r="D2293" s="71"/>
      <c r="E2293" s="71" t="str">
        <f>IFERROR(__xludf.DUMMYFUNCTION("""COMPUTED_VALUE""")," ")</f>
        <v> </v>
      </c>
      <c r="F2293" s="2"/>
      <c r="G2293" s="2"/>
      <c r="H2293" s="2"/>
      <c r="I2293" s="72"/>
      <c r="J2293" s="72"/>
      <c r="K2293" s="72"/>
      <c r="L2293" s="72"/>
      <c r="M2293" s="2"/>
      <c r="N2293" s="2"/>
      <c r="O2293" s="2"/>
      <c r="P2293" s="2"/>
      <c r="Q2293" s="2"/>
      <c r="R2293" s="2"/>
      <c r="S2293" s="2"/>
      <c r="T2293" s="2"/>
      <c r="U2293" s="2"/>
      <c r="V2293" s="2"/>
      <c r="W2293" s="2"/>
      <c r="X2293" s="2"/>
      <c r="Y2293" s="2"/>
      <c r="Z2293" s="2"/>
      <c r="AA2293" s="2"/>
      <c r="AB2293" s="2"/>
      <c r="AC2293" s="2"/>
      <c r="AD2293" s="2"/>
      <c r="AE2293" s="2"/>
      <c r="AF2293" s="2"/>
      <c r="AG2293" s="2"/>
      <c r="AH2293" s="2"/>
      <c r="AI2293" s="2"/>
      <c r="AJ2293" s="2" t="str">
        <f>IFERROR(__xludf.DUMMYFUNCTION("""COMPUTED_VALUE"""),"")</f>
        <v/>
      </c>
      <c r="AK2293" s="2" t="str">
        <f>IFERROR(__xludf.DUMMYFUNCTION("""COMPUTED_VALUE"""),"")</f>
        <v/>
      </c>
      <c r="AL2293" s="2" t="str">
        <f>IFERROR(__xludf.DUMMYFUNCTION("""COMPUTED_VALUE"""),"")</f>
        <v/>
      </c>
      <c r="AM2293" s="2" t="str">
        <f>IFERROR(__xludf.DUMMYFUNCTION("""COMPUTED_VALUE"""),"")</f>
        <v/>
      </c>
      <c r="AN2293" s="2" t="str">
        <f>IFERROR(__xludf.DUMMYFUNCTION("""COMPUTED_VALUE""")," ")</f>
        <v> </v>
      </c>
      <c r="AO2293" s="2" t="str">
        <f>IFERROR(__xludf.DUMMYFUNCTION("""COMPUTED_VALUE""")," ")</f>
        <v> </v>
      </c>
      <c r="AP2293" s="2" t="str">
        <f>IFERROR(__xludf.DUMMYFUNCTION("""COMPUTED_VALUE"""),"")</f>
        <v/>
      </c>
      <c r="AQ2293" s="2"/>
      <c r="AR2293" s="2"/>
      <c r="AS2293" s="2"/>
      <c r="AT2293" s="2"/>
      <c r="AU2293" s="2"/>
      <c r="AV2293" s="2"/>
      <c r="AW2293" s="2"/>
      <c r="AX2293" s="2"/>
      <c r="AY2293" s="2"/>
      <c r="AZ2293" s="2"/>
      <c r="BA2293" s="2"/>
      <c r="BB2293" s="2"/>
    </row>
    <row r="2294">
      <c r="A2294" s="2"/>
      <c r="B2294" s="2" t="str">
        <f>IFERROR(__xludf.DUMMYFUNCTION("""COMPUTED_VALUE"""),"")</f>
        <v/>
      </c>
      <c r="C2294" s="2"/>
      <c r="D2294" s="71"/>
      <c r="E2294" s="71" t="str">
        <f>IFERROR(__xludf.DUMMYFUNCTION("""COMPUTED_VALUE""")," ")</f>
        <v> </v>
      </c>
      <c r="F2294" s="2"/>
      <c r="G2294" s="2"/>
      <c r="H2294" s="2"/>
      <c r="I2294" s="72"/>
      <c r="J2294" s="72"/>
      <c r="K2294" s="72"/>
      <c r="L2294" s="72"/>
      <c r="M2294" s="2"/>
      <c r="N2294" s="2"/>
      <c r="O2294" s="2"/>
      <c r="P2294" s="2"/>
      <c r="Q2294" s="2"/>
      <c r="R2294" s="2"/>
      <c r="S2294" s="2"/>
      <c r="T2294" s="2"/>
      <c r="U2294" s="2"/>
      <c r="V2294" s="2"/>
      <c r="W2294" s="2"/>
      <c r="X2294" s="2"/>
      <c r="Y2294" s="2"/>
      <c r="Z2294" s="2"/>
      <c r="AA2294" s="2"/>
      <c r="AB2294" s="2"/>
      <c r="AC2294" s="2"/>
      <c r="AD2294" s="2"/>
      <c r="AE2294" s="2"/>
      <c r="AF2294" s="2"/>
      <c r="AG2294" s="2"/>
      <c r="AH2294" s="2"/>
      <c r="AI2294" s="2"/>
      <c r="AJ2294" s="2" t="str">
        <f>IFERROR(__xludf.DUMMYFUNCTION("""COMPUTED_VALUE"""),"")</f>
        <v/>
      </c>
      <c r="AK2294" s="2" t="str">
        <f>IFERROR(__xludf.DUMMYFUNCTION("""COMPUTED_VALUE"""),"")</f>
        <v/>
      </c>
      <c r="AL2294" s="2" t="str">
        <f>IFERROR(__xludf.DUMMYFUNCTION("""COMPUTED_VALUE"""),"")</f>
        <v/>
      </c>
      <c r="AM2294" s="2" t="str">
        <f>IFERROR(__xludf.DUMMYFUNCTION("""COMPUTED_VALUE"""),"")</f>
        <v/>
      </c>
      <c r="AN2294" s="2" t="str">
        <f>IFERROR(__xludf.DUMMYFUNCTION("""COMPUTED_VALUE""")," ")</f>
        <v> </v>
      </c>
      <c r="AO2294" s="2" t="str">
        <f>IFERROR(__xludf.DUMMYFUNCTION("""COMPUTED_VALUE""")," ")</f>
        <v> </v>
      </c>
      <c r="AP2294" s="2" t="str">
        <f>IFERROR(__xludf.DUMMYFUNCTION("""COMPUTED_VALUE"""),"")</f>
        <v/>
      </c>
      <c r="AQ2294" s="2"/>
      <c r="AR2294" s="2"/>
      <c r="AS2294" s="2"/>
      <c r="AT2294" s="2"/>
      <c r="AU2294" s="2"/>
      <c r="AV2294" s="2"/>
      <c r="AW2294" s="2"/>
      <c r="AX2294" s="2"/>
      <c r="AY2294" s="2"/>
      <c r="AZ2294" s="2"/>
      <c r="BA2294" s="2"/>
      <c r="BB2294" s="2"/>
    </row>
    <row r="2295">
      <c r="A2295" s="2"/>
      <c r="B2295" s="2" t="str">
        <f>IFERROR(__xludf.DUMMYFUNCTION("""COMPUTED_VALUE"""),"")</f>
        <v/>
      </c>
      <c r="C2295" s="2"/>
      <c r="D2295" s="71"/>
      <c r="E2295" s="71" t="str">
        <f>IFERROR(__xludf.DUMMYFUNCTION("""COMPUTED_VALUE""")," ")</f>
        <v> </v>
      </c>
      <c r="F2295" s="2"/>
      <c r="G2295" s="2"/>
      <c r="H2295" s="2"/>
      <c r="I2295" s="72"/>
      <c r="J2295" s="72"/>
      <c r="K2295" s="72"/>
      <c r="L2295" s="72"/>
      <c r="M2295" s="2"/>
      <c r="N2295" s="2"/>
      <c r="O2295" s="2"/>
      <c r="P2295" s="2"/>
      <c r="Q2295" s="2"/>
      <c r="R2295" s="2"/>
      <c r="S2295" s="2"/>
      <c r="T2295" s="2"/>
      <c r="U2295" s="2"/>
      <c r="V2295" s="2"/>
      <c r="W2295" s="2"/>
      <c r="X2295" s="2"/>
      <c r="Y2295" s="2"/>
      <c r="Z2295" s="2"/>
      <c r="AA2295" s="2"/>
      <c r="AB2295" s="2"/>
      <c r="AC2295" s="2"/>
      <c r="AD2295" s="2"/>
      <c r="AE2295" s="2"/>
      <c r="AF2295" s="2"/>
      <c r="AG2295" s="2"/>
      <c r="AH2295" s="2"/>
      <c r="AI2295" s="2"/>
      <c r="AJ2295" s="2" t="str">
        <f>IFERROR(__xludf.DUMMYFUNCTION("""COMPUTED_VALUE"""),"")</f>
        <v/>
      </c>
      <c r="AK2295" s="2" t="str">
        <f>IFERROR(__xludf.DUMMYFUNCTION("""COMPUTED_VALUE"""),"")</f>
        <v/>
      </c>
      <c r="AL2295" s="2" t="str">
        <f>IFERROR(__xludf.DUMMYFUNCTION("""COMPUTED_VALUE"""),"")</f>
        <v/>
      </c>
      <c r="AM2295" s="2" t="str">
        <f>IFERROR(__xludf.DUMMYFUNCTION("""COMPUTED_VALUE"""),"")</f>
        <v/>
      </c>
      <c r="AN2295" s="2" t="str">
        <f>IFERROR(__xludf.DUMMYFUNCTION("""COMPUTED_VALUE""")," ")</f>
        <v> </v>
      </c>
      <c r="AO2295" s="2" t="str">
        <f>IFERROR(__xludf.DUMMYFUNCTION("""COMPUTED_VALUE""")," ")</f>
        <v> </v>
      </c>
      <c r="AP2295" s="2" t="str">
        <f>IFERROR(__xludf.DUMMYFUNCTION("""COMPUTED_VALUE"""),"")</f>
        <v/>
      </c>
      <c r="AQ2295" s="2"/>
      <c r="AR2295" s="2"/>
      <c r="AS2295" s="2"/>
      <c r="AT2295" s="2"/>
      <c r="AU2295" s="2"/>
      <c r="AV2295" s="2"/>
      <c r="AW2295" s="2"/>
      <c r="AX2295" s="2"/>
      <c r="AY2295" s="2"/>
      <c r="AZ2295" s="2"/>
      <c r="BA2295" s="2"/>
      <c r="BB2295" s="2"/>
    </row>
    <row r="2296">
      <c r="A2296" s="2"/>
      <c r="B2296" s="2" t="str">
        <f>IFERROR(__xludf.DUMMYFUNCTION("""COMPUTED_VALUE"""),"")</f>
        <v/>
      </c>
      <c r="C2296" s="2"/>
      <c r="D2296" s="71"/>
      <c r="E2296" s="71" t="str">
        <f>IFERROR(__xludf.DUMMYFUNCTION("""COMPUTED_VALUE""")," ")</f>
        <v> </v>
      </c>
      <c r="F2296" s="2"/>
      <c r="G2296" s="2"/>
      <c r="H2296" s="2"/>
      <c r="I2296" s="72"/>
      <c r="J2296" s="72"/>
      <c r="K2296" s="72"/>
      <c r="L2296" s="72"/>
      <c r="M2296" s="2"/>
      <c r="N2296" s="2"/>
      <c r="O2296" s="2"/>
      <c r="P2296" s="2"/>
      <c r="Q2296" s="2"/>
      <c r="R2296" s="2"/>
      <c r="S2296" s="2"/>
      <c r="T2296" s="2"/>
      <c r="U2296" s="2"/>
      <c r="V2296" s="2"/>
      <c r="W2296" s="2"/>
      <c r="X2296" s="2"/>
      <c r="Y2296" s="2"/>
      <c r="Z2296" s="2"/>
      <c r="AA2296" s="2"/>
      <c r="AB2296" s="2"/>
      <c r="AC2296" s="2"/>
      <c r="AD2296" s="2"/>
      <c r="AE2296" s="2"/>
      <c r="AF2296" s="2"/>
      <c r="AG2296" s="2"/>
      <c r="AH2296" s="2"/>
      <c r="AI2296" s="2"/>
      <c r="AJ2296" s="2" t="str">
        <f>IFERROR(__xludf.DUMMYFUNCTION("""COMPUTED_VALUE"""),"")</f>
        <v/>
      </c>
      <c r="AK2296" s="2" t="str">
        <f>IFERROR(__xludf.DUMMYFUNCTION("""COMPUTED_VALUE"""),"")</f>
        <v/>
      </c>
      <c r="AL2296" s="2" t="str">
        <f>IFERROR(__xludf.DUMMYFUNCTION("""COMPUTED_VALUE"""),"")</f>
        <v/>
      </c>
      <c r="AM2296" s="2" t="str">
        <f>IFERROR(__xludf.DUMMYFUNCTION("""COMPUTED_VALUE"""),"")</f>
        <v/>
      </c>
      <c r="AN2296" s="2" t="str">
        <f>IFERROR(__xludf.DUMMYFUNCTION("""COMPUTED_VALUE""")," ")</f>
        <v> </v>
      </c>
      <c r="AO2296" s="2" t="str">
        <f>IFERROR(__xludf.DUMMYFUNCTION("""COMPUTED_VALUE""")," ")</f>
        <v> </v>
      </c>
      <c r="AP2296" s="2" t="str">
        <f>IFERROR(__xludf.DUMMYFUNCTION("""COMPUTED_VALUE"""),"")</f>
        <v/>
      </c>
      <c r="AQ2296" s="2"/>
      <c r="AR2296" s="2"/>
      <c r="AS2296" s="2"/>
      <c r="AT2296" s="2"/>
      <c r="AU2296" s="2"/>
      <c r="AV2296" s="2"/>
      <c r="AW2296" s="2"/>
      <c r="AX2296" s="2"/>
      <c r="AY2296" s="2"/>
      <c r="AZ2296" s="2"/>
      <c r="BA2296" s="2"/>
      <c r="BB2296" s="2"/>
    </row>
    <row r="2297">
      <c r="A2297" s="2"/>
      <c r="B2297" s="2" t="str">
        <f>IFERROR(__xludf.DUMMYFUNCTION("""COMPUTED_VALUE"""),"")</f>
        <v/>
      </c>
      <c r="C2297" s="2"/>
      <c r="D2297" s="71"/>
      <c r="E2297" s="71" t="str">
        <f>IFERROR(__xludf.DUMMYFUNCTION("""COMPUTED_VALUE""")," ")</f>
        <v> </v>
      </c>
      <c r="F2297" s="2"/>
      <c r="G2297" s="2"/>
      <c r="H2297" s="2"/>
      <c r="I2297" s="72"/>
      <c r="J2297" s="72"/>
      <c r="K2297" s="72"/>
      <c r="L2297" s="72"/>
      <c r="M2297" s="2"/>
      <c r="N2297" s="2"/>
      <c r="O2297" s="2"/>
      <c r="P2297" s="2"/>
      <c r="Q2297" s="2"/>
      <c r="R2297" s="2"/>
      <c r="S2297" s="2"/>
      <c r="T2297" s="2"/>
      <c r="U2297" s="2"/>
      <c r="V2297" s="2"/>
      <c r="W2297" s="2"/>
      <c r="X2297" s="2"/>
      <c r="Y2297" s="2"/>
      <c r="Z2297" s="2"/>
      <c r="AA2297" s="2"/>
      <c r="AB2297" s="2"/>
      <c r="AC2297" s="2"/>
      <c r="AD2297" s="2"/>
      <c r="AE2297" s="2"/>
      <c r="AF2297" s="2"/>
      <c r="AG2297" s="2"/>
      <c r="AH2297" s="2"/>
      <c r="AI2297" s="2"/>
      <c r="AJ2297" s="2" t="str">
        <f>IFERROR(__xludf.DUMMYFUNCTION("""COMPUTED_VALUE"""),"")</f>
        <v/>
      </c>
      <c r="AK2297" s="2" t="str">
        <f>IFERROR(__xludf.DUMMYFUNCTION("""COMPUTED_VALUE"""),"")</f>
        <v/>
      </c>
      <c r="AL2297" s="2" t="str">
        <f>IFERROR(__xludf.DUMMYFUNCTION("""COMPUTED_VALUE"""),"")</f>
        <v/>
      </c>
      <c r="AM2297" s="2" t="str">
        <f>IFERROR(__xludf.DUMMYFUNCTION("""COMPUTED_VALUE"""),"")</f>
        <v/>
      </c>
      <c r="AN2297" s="2" t="str">
        <f>IFERROR(__xludf.DUMMYFUNCTION("""COMPUTED_VALUE""")," ")</f>
        <v> </v>
      </c>
      <c r="AO2297" s="2" t="str">
        <f>IFERROR(__xludf.DUMMYFUNCTION("""COMPUTED_VALUE""")," ")</f>
        <v> </v>
      </c>
      <c r="AP2297" s="2" t="str">
        <f>IFERROR(__xludf.DUMMYFUNCTION("""COMPUTED_VALUE"""),"")</f>
        <v/>
      </c>
      <c r="AQ2297" s="2"/>
      <c r="AR2297" s="2"/>
      <c r="AS2297" s="2"/>
      <c r="AT2297" s="2"/>
      <c r="AU2297" s="2"/>
      <c r="AV2297" s="2"/>
      <c r="AW2297" s="2"/>
      <c r="AX2297" s="2"/>
      <c r="AY2297" s="2"/>
      <c r="AZ2297" s="2"/>
      <c r="BA2297" s="2"/>
      <c r="BB2297" s="2"/>
    </row>
    <row r="2298">
      <c r="A2298" s="2"/>
      <c r="B2298" s="2" t="str">
        <f>IFERROR(__xludf.DUMMYFUNCTION("""COMPUTED_VALUE"""),"")</f>
        <v/>
      </c>
      <c r="C2298" s="2"/>
      <c r="D2298" s="71"/>
      <c r="E2298" s="71" t="str">
        <f>IFERROR(__xludf.DUMMYFUNCTION("""COMPUTED_VALUE""")," ")</f>
        <v> </v>
      </c>
      <c r="F2298" s="2"/>
      <c r="G2298" s="2"/>
      <c r="H2298" s="2"/>
      <c r="I2298" s="72"/>
      <c r="J2298" s="72"/>
      <c r="K2298" s="72"/>
      <c r="L2298" s="72"/>
      <c r="M2298" s="2"/>
      <c r="N2298" s="2"/>
      <c r="O2298" s="2"/>
      <c r="P2298" s="2"/>
      <c r="Q2298" s="2"/>
      <c r="R2298" s="2"/>
      <c r="S2298" s="2"/>
      <c r="T2298" s="2"/>
      <c r="U2298" s="2"/>
      <c r="V2298" s="2"/>
      <c r="W2298" s="2"/>
      <c r="X2298" s="2"/>
      <c r="Y2298" s="2"/>
      <c r="Z2298" s="2"/>
      <c r="AA2298" s="2"/>
      <c r="AB2298" s="2"/>
      <c r="AC2298" s="2"/>
      <c r="AD2298" s="2"/>
      <c r="AE2298" s="2"/>
      <c r="AF2298" s="2"/>
      <c r="AG2298" s="2"/>
      <c r="AH2298" s="2"/>
      <c r="AI2298" s="2"/>
      <c r="AJ2298" s="2" t="str">
        <f>IFERROR(__xludf.DUMMYFUNCTION("""COMPUTED_VALUE"""),"")</f>
        <v/>
      </c>
      <c r="AK2298" s="2" t="str">
        <f>IFERROR(__xludf.DUMMYFUNCTION("""COMPUTED_VALUE"""),"")</f>
        <v/>
      </c>
      <c r="AL2298" s="2" t="str">
        <f>IFERROR(__xludf.DUMMYFUNCTION("""COMPUTED_VALUE"""),"")</f>
        <v/>
      </c>
      <c r="AM2298" s="2" t="str">
        <f>IFERROR(__xludf.DUMMYFUNCTION("""COMPUTED_VALUE"""),"")</f>
        <v/>
      </c>
      <c r="AN2298" s="2" t="str">
        <f>IFERROR(__xludf.DUMMYFUNCTION("""COMPUTED_VALUE""")," ")</f>
        <v> </v>
      </c>
      <c r="AO2298" s="2" t="str">
        <f>IFERROR(__xludf.DUMMYFUNCTION("""COMPUTED_VALUE""")," ")</f>
        <v> </v>
      </c>
      <c r="AP2298" s="2" t="str">
        <f>IFERROR(__xludf.DUMMYFUNCTION("""COMPUTED_VALUE"""),"")</f>
        <v/>
      </c>
      <c r="AQ2298" s="2"/>
      <c r="AR2298" s="2"/>
      <c r="AS2298" s="2"/>
      <c r="AT2298" s="2"/>
      <c r="AU2298" s="2"/>
      <c r="AV2298" s="2"/>
      <c r="AW2298" s="2"/>
      <c r="AX2298" s="2"/>
      <c r="AY2298" s="2"/>
      <c r="AZ2298" s="2"/>
      <c r="BA2298" s="2"/>
      <c r="BB2298" s="2"/>
    </row>
    <row r="2299">
      <c r="A2299" s="2"/>
      <c r="B2299" s="2" t="str">
        <f>IFERROR(__xludf.DUMMYFUNCTION("""COMPUTED_VALUE"""),"")</f>
        <v/>
      </c>
      <c r="C2299" s="2"/>
      <c r="D2299" s="71"/>
      <c r="E2299" s="71" t="str">
        <f>IFERROR(__xludf.DUMMYFUNCTION("""COMPUTED_VALUE""")," ")</f>
        <v> </v>
      </c>
      <c r="F2299" s="2"/>
      <c r="G2299" s="2"/>
      <c r="H2299" s="2"/>
      <c r="I2299" s="72"/>
      <c r="J2299" s="72"/>
      <c r="K2299" s="72"/>
      <c r="L2299" s="72"/>
      <c r="M2299" s="2"/>
      <c r="N2299" s="2"/>
      <c r="O2299" s="2"/>
      <c r="P2299" s="2"/>
      <c r="Q2299" s="2"/>
      <c r="R2299" s="2"/>
      <c r="S2299" s="2"/>
      <c r="T2299" s="2"/>
      <c r="U2299" s="2"/>
      <c r="V2299" s="2"/>
      <c r="W2299" s="2"/>
      <c r="X2299" s="2"/>
      <c r="Y2299" s="2"/>
      <c r="Z2299" s="2"/>
      <c r="AA2299" s="2"/>
      <c r="AB2299" s="2"/>
      <c r="AC2299" s="2"/>
      <c r="AD2299" s="2"/>
      <c r="AE2299" s="2"/>
      <c r="AF2299" s="2"/>
      <c r="AG2299" s="2"/>
      <c r="AH2299" s="2"/>
      <c r="AI2299" s="2"/>
      <c r="AJ2299" s="2" t="str">
        <f>IFERROR(__xludf.DUMMYFUNCTION("""COMPUTED_VALUE"""),"")</f>
        <v/>
      </c>
      <c r="AK2299" s="2" t="str">
        <f>IFERROR(__xludf.DUMMYFUNCTION("""COMPUTED_VALUE"""),"")</f>
        <v/>
      </c>
      <c r="AL2299" s="2" t="str">
        <f>IFERROR(__xludf.DUMMYFUNCTION("""COMPUTED_VALUE"""),"")</f>
        <v/>
      </c>
      <c r="AM2299" s="2" t="str">
        <f>IFERROR(__xludf.DUMMYFUNCTION("""COMPUTED_VALUE"""),"")</f>
        <v/>
      </c>
      <c r="AN2299" s="2" t="str">
        <f>IFERROR(__xludf.DUMMYFUNCTION("""COMPUTED_VALUE""")," ")</f>
        <v> </v>
      </c>
      <c r="AO2299" s="2" t="str">
        <f>IFERROR(__xludf.DUMMYFUNCTION("""COMPUTED_VALUE""")," ")</f>
        <v> </v>
      </c>
      <c r="AP2299" s="2" t="str">
        <f>IFERROR(__xludf.DUMMYFUNCTION("""COMPUTED_VALUE"""),"")</f>
        <v/>
      </c>
      <c r="AQ2299" s="2"/>
      <c r="AR2299" s="2"/>
      <c r="AS2299" s="2"/>
      <c r="AT2299" s="2"/>
      <c r="AU2299" s="2"/>
      <c r="AV2299" s="2"/>
      <c r="AW2299" s="2"/>
      <c r="AX2299" s="2"/>
      <c r="AY2299" s="2"/>
      <c r="AZ2299" s="2"/>
      <c r="BA2299" s="2"/>
      <c r="BB2299" s="2"/>
    </row>
    <row r="2300">
      <c r="A2300" s="2"/>
      <c r="B2300" s="2" t="str">
        <f>IFERROR(__xludf.DUMMYFUNCTION("""COMPUTED_VALUE"""),"")</f>
        <v/>
      </c>
      <c r="C2300" s="2"/>
      <c r="D2300" s="71"/>
      <c r="E2300" s="71" t="str">
        <f>IFERROR(__xludf.DUMMYFUNCTION("""COMPUTED_VALUE""")," ")</f>
        <v> </v>
      </c>
      <c r="F2300" s="2"/>
      <c r="G2300" s="2"/>
      <c r="H2300" s="2"/>
      <c r="I2300" s="72"/>
      <c r="J2300" s="72"/>
      <c r="K2300" s="72"/>
      <c r="L2300" s="72"/>
      <c r="M2300" s="2"/>
      <c r="N2300" s="2"/>
      <c r="O2300" s="2"/>
      <c r="P2300" s="2"/>
      <c r="Q2300" s="2"/>
      <c r="R2300" s="2"/>
      <c r="S2300" s="2"/>
      <c r="T2300" s="2"/>
      <c r="U2300" s="2"/>
      <c r="V2300" s="2"/>
      <c r="W2300" s="2"/>
      <c r="X2300" s="2"/>
      <c r="Y2300" s="2"/>
      <c r="Z2300" s="2"/>
      <c r="AA2300" s="2"/>
      <c r="AB2300" s="2"/>
      <c r="AC2300" s="2"/>
      <c r="AD2300" s="2"/>
      <c r="AE2300" s="2"/>
      <c r="AF2300" s="2"/>
      <c r="AG2300" s="2"/>
      <c r="AH2300" s="2"/>
      <c r="AI2300" s="2"/>
      <c r="AJ2300" s="2" t="str">
        <f>IFERROR(__xludf.DUMMYFUNCTION("""COMPUTED_VALUE"""),"")</f>
        <v/>
      </c>
      <c r="AK2300" s="2" t="str">
        <f>IFERROR(__xludf.DUMMYFUNCTION("""COMPUTED_VALUE"""),"")</f>
        <v/>
      </c>
      <c r="AL2300" s="2" t="str">
        <f>IFERROR(__xludf.DUMMYFUNCTION("""COMPUTED_VALUE"""),"")</f>
        <v/>
      </c>
      <c r="AM2300" s="2" t="str">
        <f>IFERROR(__xludf.DUMMYFUNCTION("""COMPUTED_VALUE"""),"")</f>
        <v/>
      </c>
      <c r="AN2300" s="2" t="str">
        <f>IFERROR(__xludf.DUMMYFUNCTION("""COMPUTED_VALUE""")," ")</f>
        <v> </v>
      </c>
      <c r="AO2300" s="2" t="str">
        <f>IFERROR(__xludf.DUMMYFUNCTION("""COMPUTED_VALUE""")," ")</f>
        <v> </v>
      </c>
      <c r="AP2300" s="2" t="str">
        <f>IFERROR(__xludf.DUMMYFUNCTION("""COMPUTED_VALUE"""),"")</f>
        <v/>
      </c>
      <c r="AQ2300" s="2"/>
      <c r="AR2300" s="2"/>
      <c r="AS2300" s="2"/>
      <c r="AT2300" s="2"/>
      <c r="AU2300" s="2"/>
      <c r="AV2300" s="2"/>
      <c r="AW2300" s="2"/>
      <c r="AX2300" s="2"/>
      <c r="AY2300" s="2"/>
      <c r="AZ2300" s="2"/>
      <c r="BA2300" s="2"/>
      <c r="BB2300" s="2"/>
    </row>
    <row r="2301">
      <c r="A2301" s="2"/>
      <c r="B2301" s="2" t="str">
        <f>IFERROR(__xludf.DUMMYFUNCTION("""COMPUTED_VALUE"""),"")</f>
        <v/>
      </c>
      <c r="C2301" s="2"/>
      <c r="D2301" s="71"/>
      <c r="E2301" s="71" t="str">
        <f>IFERROR(__xludf.DUMMYFUNCTION("""COMPUTED_VALUE""")," ")</f>
        <v> </v>
      </c>
      <c r="F2301" s="2"/>
      <c r="G2301" s="2"/>
      <c r="H2301" s="2"/>
      <c r="I2301" s="72"/>
      <c r="J2301" s="72"/>
      <c r="K2301" s="72"/>
      <c r="L2301" s="72"/>
      <c r="M2301" s="2"/>
      <c r="N2301" s="2"/>
      <c r="O2301" s="2"/>
      <c r="P2301" s="2"/>
      <c r="Q2301" s="2"/>
      <c r="R2301" s="2"/>
      <c r="S2301" s="2"/>
      <c r="T2301" s="2"/>
      <c r="U2301" s="2"/>
      <c r="V2301" s="2"/>
      <c r="W2301" s="2"/>
      <c r="X2301" s="2"/>
      <c r="Y2301" s="2"/>
      <c r="Z2301" s="2"/>
      <c r="AA2301" s="2"/>
      <c r="AB2301" s="2"/>
      <c r="AC2301" s="2"/>
      <c r="AD2301" s="2"/>
      <c r="AE2301" s="2"/>
      <c r="AF2301" s="2"/>
      <c r="AG2301" s="2"/>
      <c r="AH2301" s="2"/>
      <c r="AI2301" s="2"/>
      <c r="AJ2301" s="2" t="str">
        <f>IFERROR(__xludf.DUMMYFUNCTION("""COMPUTED_VALUE"""),"")</f>
        <v/>
      </c>
      <c r="AK2301" s="2" t="str">
        <f>IFERROR(__xludf.DUMMYFUNCTION("""COMPUTED_VALUE"""),"")</f>
        <v/>
      </c>
      <c r="AL2301" s="2" t="str">
        <f>IFERROR(__xludf.DUMMYFUNCTION("""COMPUTED_VALUE"""),"")</f>
        <v/>
      </c>
      <c r="AM2301" s="2" t="str">
        <f>IFERROR(__xludf.DUMMYFUNCTION("""COMPUTED_VALUE"""),"")</f>
        <v/>
      </c>
      <c r="AN2301" s="2" t="str">
        <f>IFERROR(__xludf.DUMMYFUNCTION("""COMPUTED_VALUE""")," ")</f>
        <v> </v>
      </c>
      <c r="AO2301" s="2" t="str">
        <f>IFERROR(__xludf.DUMMYFUNCTION("""COMPUTED_VALUE""")," ")</f>
        <v> </v>
      </c>
      <c r="AP2301" s="2" t="str">
        <f>IFERROR(__xludf.DUMMYFUNCTION("""COMPUTED_VALUE"""),"")</f>
        <v/>
      </c>
      <c r="AQ2301" s="2"/>
      <c r="AR2301" s="2"/>
      <c r="AS2301" s="2"/>
      <c r="AT2301" s="2"/>
      <c r="AU2301" s="2"/>
      <c r="AV2301" s="2"/>
      <c r="AW2301" s="2"/>
      <c r="AX2301" s="2"/>
      <c r="AY2301" s="2"/>
      <c r="AZ2301" s="2"/>
      <c r="BA2301" s="2"/>
      <c r="BB2301" s="2"/>
    </row>
    <row r="2302">
      <c r="A2302" s="2"/>
      <c r="B2302" s="2" t="str">
        <f>IFERROR(__xludf.DUMMYFUNCTION("""COMPUTED_VALUE"""),"")</f>
        <v/>
      </c>
      <c r="C2302" s="2"/>
      <c r="D2302" s="71"/>
      <c r="E2302" s="71" t="str">
        <f>IFERROR(__xludf.DUMMYFUNCTION("""COMPUTED_VALUE""")," ")</f>
        <v> </v>
      </c>
      <c r="F2302" s="2"/>
      <c r="G2302" s="2"/>
      <c r="H2302" s="2"/>
      <c r="I2302" s="72"/>
      <c r="J2302" s="72"/>
      <c r="K2302" s="72"/>
      <c r="L2302" s="72"/>
      <c r="M2302" s="2"/>
      <c r="N2302" s="2"/>
      <c r="O2302" s="2"/>
      <c r="P2302" s="2"/>
      <c r="Q2302" s="2"/>
      <c r="R2302" s="2"/>
      <c r="S2302" s="2"/>
      <c r="T2302" s="2"/>
      <c r="U2302" s="2"/>
      <c r="V2302" s="2"/>
      <c r="W2302" s="2"/>
      <c r="X2302" s="2"/>
      <c r="Y2302" s="2"/>
      <c r="Z2302" s="2"/>
      <c r="AA2302" s="2"/>
      <c r="AB2302" s="2"/>
      <c r="AC2302" s="2"/>
      <c r="AD2302" s="2"/>
      <c r="AE2302" s="2"/>
      <c r="AF2302" s="2"/>
      <c r="AG2302" s="2"/>
      <c r="AH2302" s="2"/>
      <c r="AI2302" s="2"/>
      <c r="AJ2302" s="2" t="str">
        <f>IFERROR(__xludf.DUMMYFUNCTION("""COMPUTED_VALUE"""),"")</f>
        <v/>
      </c>
      <c r="AK2302" s="2" t="str">
        <f>IFERROR(__xludf.DUMMYFUNCTION("""COMPUTED_VALUE"""),"")</f>
        <v/>
      </c>
      <c r="AL2302" s="2" t="str">
        <f>IFERROR(__xludf.DUMMYFUNCTION("""COMPUTED_VALUE"""),"")</f>
        <v/>
      </c>
      <c r="AM2302" s="2" t="str">
        <f>IFERROR(__xludf.DUMMYFUNCTION("""COMPUTED_VALUE"""),"")</f>
        <v/>
      </c>
      <c r="AN2302" s="2" t="str">
        <f>IFERROR(__xludf.DUMMYFUNCTION("""COMPUTED_VALUE""")," ")</f>
        <v> </v>
      </c>
      <c r="AO2302" s="2" t="str">
        <f>IFERROR(__xludf.DUMMYFUNCTION("""COMPUTED_VALUE""")," ")</f>
        <v> </v>
      </c>
      <c r="AP2302" s="2" t="str">
        <f>IFERROR(__xludf.DUMMYFUNCTION("""COMPUTED_VALUE"""),"")</f>
        <v/>
      </c>
      <c r="AQ2302" s="2"/>
      <c r="AR2302" s="2"/>
      <c r="AS2302" s="2"/>
      <c r="AT2302" s="2"/>
      <c r="AU2302" s="2"/>
      <c r="AV2302" s="2"/>
      <c r="AW2302" s="2"/>
      <c r="AX2302" s="2"/>
      <c r="AY2302" s="2"/>
      <c r="AZ2302" s="2"/>
      <c r="BA2302" s="2"/>
      <c r="BB2302" s="2"/>
    </row>
    <row r="2303">
      <c r="A2303" s="2"/>
      <c r="B2303" s="2" t="str">
        <f>IFERROR(__xludf.DUMMYFUNCTION("""COMPUTED_VALUE"""),"")</f>
        <v/>
      </c>
      <c r="C2303" s="2"/>
      <c r="D2303" s="71"/>
      <c r="E2303" s="71" t="str">
        <f>IFERROR(__xludf.DUMMYFUNCTION("""COMPUTED_VALUE""")," ")</f>
        <v> </v>
      </c>
      <c r="F2303" s="2"/>
      <c r="G2303" s="2"/>
      <c r="H2303" s="2"/>
      <c r="I2303" s="72"/>
      <c r="J2303" s="72"/>
      <c r="K2303" s="72"/>
      <c r="L2303" s="72"/>
      <c r="M2303" s="2"/>
      <c r="N2303" s="2"/>
      <c r="O2303" s="2"/>
      <c r="P2303" s="2"/>
      <c r="Q2303" s="2"/>
      <c r="R2303" s="2"/>
      <c r="S2303" s="2"/>
      <c r="T2303" s="2"/>
      <c r="U2303" s="2"/>
      <c r="V2303" s="2"/>
      <c r="W2303" s="2"/>
      <c r="X2303" s="2"/>
      <c r="Y2303" s="2"/>
      <c r="Z2303" s="2"/>
      <c r="AA2303" s="2"/>
      <c r="AB2303" s="2"/>
      <c r="AC2303" s="2"/>
      <c r="AD2303" s="2"/>
      <c r="AE2303" s="2"/>
      <c r="AF2303" s="2"/>
      <c r="AG2303" s="2"/>
      <c r="AH2303" s="2"/>
      <c r="AI2303" s="2"/>
      <c r="AJ2303" s="2" t="str">
        <f>IFERROR(__xludf.DUMMYFUNCTION("""COMPUTED_VALUE"""),"")</f>
        <v/>
      </c>
      <c r="AK2303" s="2" t="str">
        <f>IFERROR(__xludf.DUMMYFUNCTION("""COMPUTED_VALUE"""),"")</f>
        <v/>
      </c>
      <c r="AL2303" s="2" t="str">
        <f>IFERROR(__xludf.DUMMYFUNCTION("""COMPUTED_VALUE"""),"")</f>
        <v/>
      </c>
      <c r="AM2303" s="2" t="str">
        <f>IFERROR(__xludf.DUMMYFUNCTION("""COMPUTED_VALUE"""),"")</f>
        <v/>
      </c>
      <c r="AN2303" s="2" t="str">
        <f>IFERROR(__xludf.DUMMYFUNCTION("""COMPUTED_VALUE""")," ")</f>
        <v> </v>
      </c>
      <c r="AO2303" s="2" t="str">
        <f>IFERROR(__xludf.DUMMYFUNCTION("""COMPUTED_VALUE""")," ")</f>
        <v> </v>
      </c>
      <c r="AP2303" s="2" t="str">
        <f>IFERROR(__xludf.DUMMYFUNCTION("""COMPUTED_VALUE"""),"")</f>
        <v/>
      </c>
      <c r="AQ2303" s="2"/>
      <c r="AR2303" s="2"/>
      <c r="AS2303" s="2"/>
      <c r="AT2303" s="2"/>
      <c r="AU2303" s="2"/>
      <c r="AV2303" s="2"/>
      <c r="AW2303" s="2"/>
      <c r="AX2303" s="2"/>
      <c r="AY2303" s="2"/>
      <c r="AZ2303" s="2"/>
      <c r="BA2303" s="2"/>
      <c r="BB2303" s="2"/>
    </row>
    <row r="2304">
      <c r="A2304" s="2"/>
      <c r="B2304" s="2" t="str">
        <f>IFERROR(__xludf.DUMMYFUNCTION("""COMPUTED_VALUE"""),"")</f>
        <v/>
      </c>
      <c r="C2304" s="2"/>
      <c r="D2304" s="71"/>
      <c r="E2304" s="71" t="str">
        <f>IFERROR(__xludf.DUMMYFUNCTION("""COMPUTED_VALUE""")," ")</f>
        <v> </v>
      </c>
      <c r="F2304" s="2"/>
      <c r="G2304" s="2"/>
      <c r="H2304" s="2"/>
      <c r="I2304" s="72"/>
      <c r="J2304" s="72"/>
      <c r="K2304" s="72"/>
      <c r="L2304" s="72"/>
      <c r="M2304" s="2"/>
      <c r="N2304" s="2"/>
      <c r="O2304" s="2"/>
      <c r="P2304" s="2"/>
      <c r="Q2304" s="2"/>
      <c r="R2304" s="2"/>
      <c r="S2304" s="2"/>
      <c r="T2304" s="2"/>
      <c r="U2304" s="2"/>
      <c r="V2304" s="2"/>
      <c r="W2304" s="2"/>
      <c r="X2304" s="2"/>
      <c r="Y2304" s="2"/>
      <c r="Z2304" s="2"/>
      <c r="AA2304" s="2"/>
      <c r="AB2304" s="2"/>
      <c r="AC2304" s="2"/>
      <c r="AD2304" s="2"/>
      <c r="AE2304" s="2"/>
      <c r="AF2304" s="2"/>
      <c r="AG2304" s="2"/>
      <c r="AH2304" s="2"/>
      <c r="AI2304" s="2"/>
      <c r="AJ2304" s="2" t="str">
        <f>IFERROR(__xludf.DUMMYFUNCTION("""COMPUTED_VALUE"""),"")</f>
        <v/>
      </c>
      <c r="AK2304" s="2" t="str">
        <f>IFERROR(__xludf.DUMMYFUNCTION("""COMPUTED_VALUE"""),"")</f>
        <v/>
      </c>
      <c r="AL2304" s="2" t="str">
        <f>IFERROR(__xludf.DUMMYFUNCTION("""COMPUTED_VALUE"""),"")</f>
        <v/>
      </c>
      <c r="AM2304" s="2" t="str">
        <f>IFERROR(__xludf.DUMMYFUNCTION("""COMPUTED_VALUE"""),"")</f>
        <v/>
      </c>
      <c r="AN2304" s="2" t="str">
        <f>IFERROR(__xludf.DUMMYFUNCTION("""COMPUTED_VALUE""")," ")</f>
        <v> </v>
      </c>
      <c r="AO2304" s="2" t="str">
        <f>IFERROR(__xludf.DUMMYFUNCTION("""COMPUTED_VALUE""")," ")</f>
        <v> </v>
      </c>
      <c r="AP2304" s="2" t="str">
        <f>IFERROR(__xludf.DUMMYFUNCTION("""COMPUTED_VALUE"""),"")</f>
        <v/>
      </c>
      <c r="AQ2304" s="2"/>
      <c r="AR2304" s="2"/>
      <c r="AS2304" s="2"/>
      <c r="AT2304" s="2"/>
      <c r="AU2304" s="2"/>
      <c r="AV2304" s="2"/>
      <c r="AW2304" s="2"/>
      <c r="AX2304" s="2"/>
      <c r="AY2304" s="2"/>
      <c r="AZ2304" s="2"/>
      <c r="BA2304" s="2"/>
      <c r="BB2304" s="2"/>
    </row>
    <row r="2305">
      <c r="A2305" s="2"/>
      <c r="B2305" s="2" t="str">
        <f>IFERROR(__xludf.DUMMYFUNCTION("""COMPUTED_VALUE"""),"")</f>
        <v/>
      </c>
      <c r="C2305" s="2"/>
      <c r="D2305" s="71"/>
      <c r="E2305" s="71" t="str">
        <f>IFERROR(__xludf.DUMMYFUNCTION("""COMPUTED_VALUE""")," ")</f>
        <v> </v>
      </c>
      <c r="F2305" s="2"/>
      <c r="G2305" s="2"/>
      <c r="H2305" s="2"/>
      <c r="I2305" s="72"/>
      <c r="J2305" s="72"/>
      <c r="K2305" s="72"/>
      <c r="L2305" s="72"/>
      <c r="M2305" s="2"/>
      <c r="N2305" s="2"/>
      <c r="O2305" s="2"/>
      <c r="P2305" s="2"/>
      <c r="Q2305" s="2"/>
      <c r="R2305" s="2"/>
      <c r="S2305" s="2"/>
      <c r="T2305" s="2"/>
      <c r="U2305" s="2"/>
      <c r="V2305" s="2"/>
      <c r="W2305" s="2"/>
      <c r="X2305" s="2"/>
      <c r="Y2305" s="2"/>
      <c r="Z2305" s="2"/>
      <c r="AA2305" s="2"/>
      <c r="AB2305" s="2"/>
      <c r="AC2305" s="2"/>
      <c r="AD2305" s="2"/>
      <c r="AE2305" s="2"/>
      <c r="AF2305" s="2"/>
      <c r="AG2305" s="2"/>
      <c r="AH2305" s="2"/>
      <c r="AI2305" s="2"/>
      <c r="AJ2305" s="2" t="str">
        <f>IFERROR(__xludf.DUMMYFUNCTION("""COMPUTED_VALUE"""),"")</f>
        <v/>
      </c>
      <c r="AK2305" s="2" t="str">
        <f>IFERROR(__xludf.DUMMYFUNCTION("""COMPUTED_VALUE"""),"")</f>
        <v/>
      </c>
      <c r="AL2305" s="2" t="str">
        <f>IFERROR(__xludf.DUMMYFUNCTION("""COMPUTED_VALUE"""),"")</f>
        <v/>
      </c>
      <c r="AM2305" s="2" t="str">
        <f>IFERROR(__xludf.DUMMYFUNCTION("""COMPUTED_VALUE"""),"")</f>
        <v/>
      </c>
      <c r="AN2305" s="2" t="str">
        <f>IFERROR(__xludf.DUMMYFUNCTION("""COMPUTED_VALUE""")," ")</f>
        <v> </v>
      </c>
      <c r="AO2305" s="2" t="str">
        <f>IFERROR(__xludf.DUMMYFUNCTION("""COMPUTED_VALUE""")," ")</f>
        <v> </v>
      </c>
      <c r="AP2305" s="2" t="str">
        <f>IFERROR(__xludf.DUMMYFUNCTION("""COMPUTED_VALUE"""),"")</f>
        <v/>
      </c>
      <c r="AQ2305" s="2"/>
      <c r="AR2305" s="2"/>
      <c r="AS2305" s="2"/>
      <c r="AT2305" s="2"/>
      <c r="AU2305" s="2"/>
      <c r="AV2305" s="2"/>
      <c r="AW2305" s="2"/>
      <c r="AX2305" s="2"/>
      <c r="AY2305" s="2"/>
      <c r="AZ2305" s="2"/>
      <c r="BA2305" s="2"/>
      <c r="BB2305" s="2"/>
    </row>
    <row r="2306">
      <c r="A2306" s="2"/>
      <c r="B2306" s="2" t="str">
        <f>IFERROR(__xludf.DUMMYFUNCTION("""COMPUTED_VALUE"""),"")</f>
        <v/>
      </c>
      <c r="C2306" s="2"/>
      <c r="D2306" s="71"/>
      <c r="E2306" s="71" t="str">
        <f>IFERROR(__xludf.DUMMYFUNCTION("""COMPUTED_VALUE""")," ")</f>
        <v> </v>
      </c>
      <c r="F2306" s="2"/>
      <c r="G2306" s="2"/>
      <c r="H2306" s="2"/>
      <c r="I2306" s="72"/>
      <c r="J2306" s="72"/>
      <c r="K2306" s="72"/>
      <c r="L2306" s="72"/>
      <c r="M2306" s="2"/>
      <c r="N2306" s="2"/>
      <c r="O2306" s="2"/>
      <c r="P2306" s="2"/>
      <c r="Q2306" s="2"/>
      <c r="R2306" s="2"/>
      <c r="S2306" s="2"/>
      <c r="T2306" s="2"/>
      <c r="U2306" s="2"/>
      <c r="V2306" s="2"/>
      <c r="W2306" s="2"/>
      <c r="X2306" s="2"/>
      <c r="Y2306" s="2"/>
      <c r="Z2306" s="2"/>
      <c r="AA2306" s="2"/>
      <c r="AB2306" s="2"/>
      <c r="AC2306" s="2"/>
      <c r="AD2306" s="2"/>
      <c r="AE2306" s="2"/>
      <c r="AF2306" s="2"/>
      <c r="AG2306" s="2"/>
      <c r="AH2306" s="2"/>
      <c r="AI2306" s="2"/>
      <c r="AJ2306" s="2" t="str">
        <f>IFERROR(__xludf.DUMMYFUNCTION("""COMPUTED_VALUE"""),"")</f>
        <v/>
      </c>
      <c r="AK2306" s="2" t="str">
        <f>IFERROR(__xludf.DUMMYFUNCTION("""COMPUTED_VALUE"""),"")</f>
        <v/>
      </c>
      <c r="AL2306" s="2" t="str">
        <f>IFERROR(__xludf.DUMMYFUNCTION("""COMPUTED_VALUE"""),"")</f>
        <v/>
      </c>
      <c r="AM2306" s="2" t="str">
        <f>IFERROR(__xludf.DUMMYFUNCTION("""COMPUTED_VALUE"""),"")</f>
        <v/>
      </c>
      <c r="AN2306" s="2" t="str">
        <f>IFERROR(__xludf.DUMMYFUNCTION("""COMPUTED_VALUE""")," ")</f>
        <v> </v>
      </c>
      <c r="AO2306" s="2" t="str">
        <f>IFERROR(__xludf.DUMMYFUNCTION("""COMPUTED_VALUE""")," ")</f>
        <v> </v>
      </c>
      <c r="AP2306" s="2" t="str">
        <f>IFERROR(__xludf.DUMMYFUNCTION("""COMPUTED_VALUE"""),"")</f>
        <v/>
      </c>
      <c r="AQ2306" s="2"/>
      <c r="AR2306" s="2"/>
      <c r="AS2306" s="2"/>
      <c r="AT2306" s="2"/>
      <c r="AU2306" s="2"/>
      <c r="AV2306" s="2"/>
      <c r="AW2306" s="2"/>
      <c r="AX2306" s="2"/>
      <c r="AY2306" s="2"/>
      <c r="AZ2306" s="2"/>
      <c r="BA2306" s="2"/>
      <c r="BB2306" s="2"/>
    </row>
    <row r="2307">
      <c r="A2307" s="2"/>
      <c r="B2307" s="2" t="str">
        <f>IFERROR(__xludf.DUMMYFUNCTION("""COMPUTED_VALUE"""),"")</f>
        <v/>
      </c>
      <c r="C2307" s="2"/>
      <c r="D2307" s="71"/>
      <c r="E2307" s="71" t="str">
        <f>IFERROR(__xludf.DUMMYFUNCTION("""COMPUTED_VALUE""")," ")</f>
        <v> </v>
      </c>
      <c r="F2307" s="2"/>
      <c r="G2307" s="2"/>
      <c r="H2307" s="2"/>
      <c r="I2307" s="72"/>
      <c r="J2307" s="72"/>
      <c r="K2307" s="72"/>
      <c r="L2307" s="72"/>
      <c r="M2307" s="2"/>
      <c r="N2307" s="2"/>
      <c r="O2307" s="2"/>
      <c r="P2307" s="2"/>
      <c r="Q2307" s="2"/>
      <c r="R2307" s="2"/>
      <c r="S2307" s="2"/>
      <c r="T2307" s="2"/>
      <c r="U2307" s="2"/>
      <c r="V2307" s="2"/>
      <c r="W2307" s="2"/>
      <c r="X2307" s="2"/>
      <c r="Y2307" s="2"/>
      <c r="Z2307" s="2"/>
      <c r="AA2307" s="2"/>
      <c r="AB2307" s="2"/>
      <c r="AC2307" s="2"/>
      <c r="AD2307" s="2"/>
      <c r="AE2307" s="2"/>
      <c r="AF2307" s="2"/>
      <c r="AG2307" s="2"/>
      <c r="AH2307" s="2"/>
      <c r="AI2307" s="2"/>
      <c r="AJ2307" s="2" t="str">
        <f>IFERROR(__xludf.DUMMYFUNCTION("""COMPUTED_VALUE"""),"")</f>
        <v/>
      </c>
      <c r="AK2307" s="2" t="str">
        <f>IFERROR(__xludf.DUMMYFUNCTION("""COMPUTED_VALUE"""),"")</f>
        <v/>
      </c>
      <c r="AL2307" s="2" t="str">
        <f>IFERROR(__xludf.DUMMYFUNCTION("""COMPUTED_VALUE"""),"")</f>
        <v/>
      </c>
      <c r="AM2307" s="2" t="str">
        <f>IFERROR(__xludf.DUMMYFUNCTION("""COMPUTED_VALUE"""),"")</f>
        <v/>
      </c>
      <c r="AN2307" s="2" t="str">
        <f>IFERROR(__xludf.DUMMYFUNCTION("""COMPUTED_VALUE""")," ")</f>
        <v> </v>
      </c>
      <c r="AO2307" s="2" t="str">
        <f>IFERROR(__xludf.DUMMYFUNCTION("""COMPUTED_VALUE""")," ")</f>
        <v> </v>
      </c>
      <c r="AP2307" s="2" t="str">
        <f>IFERROR(__xludf.DUMMYFUNCTION("""COMPUTED_VALUE"""),"")</f>
        <v/>
      </c>
      <c r="AQ2307" s="2"/>
      <c r="AR2307" s="2"/>
      <c r="AS2307" s="2"/>
      <c r="AT2307" s="2"/>
      <c r="AU2307" s="2"/>
      <c r="AV2307" s="2"/>
      <c r="AW2307" s="2"/>
      <c r="AX2307" s="2"/>
      <c r="AY2307" s="2"/>
      <c r="AZ2307" s="2"/>
      <c r="BA2307" s="2"/>
      <c r="BB2307" s="2"/>
    </row>
    <row r="2308">
      <c r="A2308" s="2"/>
      <c r="B2308" s="2" t="str">
        <f>IFERROR(__xludf.DUMMYFUNCTION("""COMPUTED_VALUE"""),"")</f>
        <v/>
      </c>
      <c r="C2308" s="2"/>
      <c r="D2308" s="71"/>
      <c r="E2308" s="71" t="str">
        <f>IFERROR(__xludf.DUMMYFUNCTION("""COMPUTED_VALUE""")," ")</f>
        <v> </v>
      </c>
      <c r="F2308" s="2"/>
      <c r="G2308" s="2"/>
      <c r="H2308" s="2"/>
      <c r="I2308" s="72"/>
      <c r="J2308" s="72"/>
      <c r="K2308" s="72"/>
      <c r="L2308" s="72"/>
      <c r="M2308" s="2"/>
      <c r="N2308" s="2"/>
      <c r="O2308" s="2"/>
      <c r="P2308" s="2"/>
      <c r="Q2308" s="2"/>
      <c r="R2308" s="2"/>
      <c r="S2308" s="2"/>
      <c r="T2308" s="2"/>
      <c r="U2308" s="2"/>
      <c r="V2308" s="2"/>
      <c r="W2308" s="2"/>
      <c r="X2308" s="2"/>
      <c r="Y2308" s="2"/>
      <c r="Z2308" s="2"/>
      <c r="AA2308" s="2"/>
      <c r="AB2308" s="2"/>
      <c r="AC2308" s="2"/>
      <c r="AD2308" s="2"/>
      <c r="AE2308" s="2"/>
      <c r="AF2308" s="2"/>
      <c r="AG2308" s="2"/>
      <c r="AH2308" s="2"/>
      <c r="AI2308" s="2"/>
      <c r="AJ2308" s="2" t="str">
        <f>IFERROR(__xludf.DUMMYFUNCTION("""COMPUTED_VALUE"""),"")</f>
        <v/>
      </c>
      <c r="AK2308" s="2" t="str">
        <f>IFERROR(__xludf.DUMMYFUNCTION("""COMPUTED_VALUE"""),"")</f>
        <v/>
      </c>
      <c r="AL2308" s="2" t="str">
        <f>IFERROR(__xludf.DUMMYFUNCTION("""COMPUTED_VALUE"""),"")</f>
        <v/>
      </c>
      <c r="AM2308" s="2" t="str">
        <f>IFERROR(__xludf.DUMMYFUNCTION("""COMPUTED_VALUE"""),"")</f>
        <v/>
      </c>
      <c r="AN2308" s="2" t="str">
        <f>IFERROR(__xludf.DUMMYFUNCTION("""COMPUTED_VALUE""")," ")</f>
        <v> </v>
      </c>
      <c r="AO2308" s="2" t="str">
        <f>IFERROR(__xludf.DUMMYFUNCTION("""COMPUTED_VALUE""")," ")</f>
        <v> </v>
      </c>
      <c r="AP2308" s="2" t="str">
        <f>IFERROR(__xludf.DUMMYFUNCTION("""COMPUTED_VALUE"""),"")</f>
        <v/>
      </c>
      <c r="AQ2308" s="2"/>
      <c r="AR2308" s="2"/>
      <c r="AS2308" s="2"/>
      <c r="AT2308" s="2"/>
      <c r="AU2308" s="2"/>
      <c r="AV2308" s="2"/>
      <c r="AW2308" s="2"/>
      <c r="AX2308" s="2"/>
      <c r="AY2308" s="2"/>
      <c r="AZ2308" s="2"/>
      <c r="BA2308" s="2"/>
      <c r="BB2308" s="2"/>
    </row>
    <row r="2309">
      <c r="A2309" s="2"/>
      <c r="B2309" s="2" t="str">
        <f>IFERROR(__xludf.DUMMYFUNCTION("""COMPUTED_VALUE"""),"")</f>
        <v/>
      </c>
      <c r="C2309" s="2"/>
      <c r="D2309" s="71"/>
      <c r="E2309" s="71" t="str">
        <f>IFERROR(__xludf.DUMMYFUNCTION("""COMPUTED_VALUE""")," ")</f>
        <v> </v>
      </c>
      <c r="F2309" s="2"/>
      <c r="G2309" s="2"/>
      <c r="H2309" s="2"/>
      <c r="I2309" s="72"/>
      <c r="J2309" s="72"/>
      <c r="K2309" s="72"/>
      <c r="L2309" s="72"/>
      <c r="M2309" s="2"/>
      <c r="N2309" s="2"/>
      <c r="O2309" s="2"/>
      <c r="P2309" s="2"/>
      <c r="Q2309" s="2"/>
      <c r="R2309" s="2"/>
      <c r="S2309" s="2"/>
      <c r="T2309" s="2"/>
      <c r="U2309" s="2"/>
      <c r="V2309" s="2"/>
      <c r="W2309" s="2"/>
      <c r="X2309" s="2"/>
      <c r="Y2309" s="2"/>
      <c r="Z2309" s="2"/>
      <c r="AA2309" s="2"/>
      <c r="AB2309" s="2"/>
      <c r="AC2309" s="2"/>
      <c r="AD2309" s="2"/>
      <c r="AE2309" s="2"/>
      <c r="AF2309" s="2"/>
      <c r="AG2309" s="2"/>
      <c r="AH2309" s="2"/>
      <c r="AI2309" s="2"/>
      <c r="AJ2309" s="2" t="str">
        <f>IFERROR(__xludf.DUMMYFUNCTION("""COMPUTED_VALUE"""),"")</f>
        <v/>
      </c>
      <c r="AK2309" s="2" t="str">
        <f>IFERROR(__xludf.DUMMYFUNCTION("""COMPUTED_VALUE"""),"")</f>
        <v/>
      </c>
      <c r="AL2309" s="2" t="str">
        <f>IFERROR(__xludf.DUMMYFUNCTION("""COMPUTED_VALUE"""),"")</f>
        <v/>
      </c>
      <c r="AM2309" s="2" t="str">
        <f>IFERROR(__xludf.DUMMYFUNCTION("""COMPUTED_VALUE"""),"")</f>
        <v/>
      </c>
      <c r="AN2309" s="2" t="str">
        <f>IFERROR(__xludf.DUMMYFUNCTION("""COMPUTED_VALUE""")," ")</f>
        <v> </v>
      </c>
      <c r="AO2309" s="2" t="str">
        <f>IFERROR(__xludf.DUMMYFUNCTION("""COMPUTED_VALUE""")," ")</f>
        <v> </v>
      </c>
      <c r="AP2309" s="2" t="str">
        <f>IFERROR(__xludf.DUMMYFUNCTION("""COMPUTED_VALUE"""),"")</f>
        <v/>
      </c>
      <c r="AQ2309" s="2"/>
      <c r="AR2309" s="2"/>
      <c r="AS2309" s="2"/>
      <c r="AT2309" s="2"/>
      <c r="AU2309" s="2"/>
      <c r="AV2309" s="2"/>
      <c r="AW2309" s="2"/>
      <c r="AX2309" s="2"/>
      <c r="AY2309" s="2"/>
      <c r="AZ2309" s="2"/>
      <c r="BA2309" s="2"/>
      <c r="BB2309" s="2"/>
    </row>
    <row r="2310">
      <c r="A2310" s="2"/>
      <c r="B2310" s="2" t="str">
        <f>IFERROR(__xludf.DUMMYFUNCTION("""COMPUTED_VALUE"""),"")</f>
        <v/>
      </c>
      <c r="C2310" s="2"/>
      <c r="D2310" s="71"/>
      <c r="E2310" s="71" t="str">
        <f>IFERROR(__xludf.DUMMYFUNCTION("""COMPUTED_VALUE""")," ")</f>
        <v> </v>
      </c>
      <c r="F2310" s="2"/>
      <c r="G2310" s="2"/>
      <c r="H2310" s="2"/>
      <c r="I2310" s="72"/>
      <c r="J2310" s="72"/>
      <c r="K2310" s="72"/>
      <c r="L2310" s="72"/>
      <c r="M2310" s="2"/>
      <c r="N2310" s="2"/>
      <c r="O2310" s="2"/>
      <c r="P2310" s="2"/>
      <c r="Q2310" s="2"/>
      <c r="R2310" s="2"/>
      <c r="S2310" s="2"/>
      <c r="T2310" s="2"/>
      <c r="U2310" s="2"/>
      <c r="V2310" s="2"/>
      <c r="W2310" s="2"/>
      <c r="X2310" s="2"/>
      <c r="Y2310" s="2"/>
      <c r="Z2310" s="2"/>
      <c r="AA2310" s="2"/>
      <c r="AB2310" s="2"/>
      <c r="AC2310" s="2"/>
      <c r="AD2310" s="2"/>
      <c r="AE2310" s="2"/>
      <c r="AF2310" s="2"/>
      <c r="AG2310" s="2"/>
      <c r="AH2310" s="2"/>
      <c r="AI2310" s="2"/>
      <c r="AJ2310" s="2" t="str">
        <f>IFERROR(__xludf.DUMMYFUNCTION("""COMPUTED_VALUE"""),"")</f>
        <v/>
      </c>
      <c r="AK2310" s="2" t="str">
        <f>IFERROR(__xludf.DUMMYFUNCTION("""COMPUTED_VALUE"""),"")</f>
        <v/>
      </c>
      <c r="AL2310" s="2" t="str">
        <f>IFERROR(__xludf.DUMMYFUNCTION("""COMPUTED_VALUE"""),"")</f>
        <v/>
      </c>
      <c r="AM2310" s="2" t="str">
        <f>IFERROR(__xludf.DUMMYFUNCTION("""COMPUTED_VALUE"""),"")</f>
        <v/>
      </c>
      <c r="AN2310" s="2" t="str">
        <f>IFERROR(__xludf.DUMMYFUNCTION("""COMPUTED_VALUE""")," ")</f>
        <v> </v>
      </c>
      <c r="AO2310" s="2" t="str">
        <f>IFERROR(__xludf.DUMMYFUNCTION("""COMPUTED_VALUE""")," ")</f>
        <v> </v>
      </c>
      <c r="AP2310" s="2" t="str">
        <f>IFERROR(__xludf.DUMMYFUNCTION("""COMPUTED_VALUE"""),"")</f>
        <v/>
      </c>
      <c r="AQ2310" s="2"/>
      <c r="AR2310" s="2"/>
      <c r="AS2310" s="2"/>
      <c r="AT2310" s="2"/>
      <c r="AU2310" s="2"/>
      <c r="AV2310" s="2"/>
      <c r="AW2310" s="2"/>
      <c r="AX2310" s="2"/>
      <c r="AY2310" s="2"/>
      <c r="AZ2310" s="2"/>
      <c r="BA2310" s="2"/>
      <c r="BB2310" s="2"/>
    </row>
    <row r="2311">
      <c r="A2311" s="2"/>
      <c r="B2311" s="2" t="str">
        <f>IFERROR(__xludf.DUMMYFUNCTION("""COMPUTED_VALUE"""),"")</f>
        <v/>
      </c>
      <c r="C2311" s="2"/>
      <c r="D2311" s="71"/>
      <c r="E2311" s="71" t="str">
        <f>IFERROR(__xludf.DUMMYFUNCTION("""COMPUTED_VALUE""")," ")</f>
        <v> </v>
      </c>
      <c r="F2311" s="2"/>
      <c r="G2311" s="2"/>
      <c r="H2311" s="2"/>
      <c r="I2311" s="72"/>
      <c r="J2311" s="72"/>
      <c r="K2311" s="72"/>
      <c r="L2311" s="72"/>
      <c r="M2311" s="2"/>
      <c r="N2311" s="2"/>
      <c r="O2311" s="2"/>
      <c r="P2311" s="2"/>
      <c r="Q2311" s="2"/>
      <c r="R2311" s="2"/>
      <c r="S2311" s="2"/>
      <c r="T2311" s="2"/>
      <c r="U2311" s="2"/>
      <c r="V2311" s="2"/>
      <c r="W2311" s="2"/>
      <c r="X2311" s="2"/>
      <c r="Y2311" s="2"/>
      <c r="Z2311" s="2"/>
      <c r="AA2311" s="2"/>
      <c r="AB2311" s="2"/>
      <c r="AC2311" s="2"/>
      <c r="AD2311" s="2"/>
      <c r="AE2311" s="2"/>
      <c r="AF2311" s="2"/>
      <c r="AG2311" s="2"/>
      <c r="AH2311" s="2"/>
      <c r="AI2311" s="2"/>
      <c r="AJ2311" s="2" t="str">
        <f>IFERROR(__xludf.DUMMYFUNCTION("""COMPUTED_VALUE"""),"")</f>
        <v/>
      </c>
      <c r="AK2311" s="2" t="str">
        <f>IFERROR(__xludf.DUMMYFUNCTION("""COMPUTED_VALUE"""),"")</f>
        <v/>
      </c>
      <c r="AL2311" s="2" t="str">
        <f>IFERROR(__xludf.DUMMYFUNCTION("""COMPUTED_VALUE"""),"")</f>
        <v/>
      </c>
      <c r="AM2311" s="2" t="str">
        <f>IFERROR(__xludf.DUMMYFUNCTION("""COMPUTED_VALUE"""),"")</f>
        <v/>
      </c>
      <c r="AN2311" s="2" t="str">
        <f>IFERROR(__xludf.DUMMYFUNCTION("""COMPUTED_VALUE""")," ")</f>
        <v> </v>
      </c>
      <c r="AO2311" s="2" t="str">
        <f>IFERROR(__xludf.DUMMYFUNCTION("""COMPUTED_VALUE""")," ")</f>
        <v> </v>
      </c>
      <c r="AP2311" s="2" t="str">
        <f>IFERROR(__xludf.DUMMYFUNCTION("""COMPUTED_VALUE"""),"")</f>
        <v/>
      </c>
      <c r="AQ2311" s="2"/>
      <c r="AR2311" s="2"/>
      <c r="AS2311" s="2"/>
      <c r="AT2311" s="2"/>
      <c r="AU2311" s="2"/>
      <c r="AV2311" s="2"/>
      <c r="AW2311" s="2"/>
      <c r="AX2311" s="2"/>
      <c r="AY2311" s="2"/>
      <c r="AZ2311" s="2"/>
      <c r="BA2311" s="2"/>
      <c r="BB2311" s="2"/>
    </row>
    <row r="2312">
      <c r="A2312" s="2"/>
      <c r="B2312" s="2" t="str">
        <f>IFERROR(__xludf.DUMMYFUNCTION("""COMPUTED_VALUE"""),"")</f>
        <v/>
      </c>
      <c r="C2312" s="2"/>
      <c r="D2312" s="71"/>
      <c r="E2312" s="71" t="str">
        <f>IFERROR(__xludf.DUMMYFUNCTION("""COMPUTED_VALUE""")," ")</f>
        <v> </v>
      </c>
      <c r="F2312" s="2"/>
      <c r="G2312" s="2"/>
      <c r="H2312" s="2"/>
      <c r="I2312" s="72"/>
      <c r="J2312" s="72"/>
      <c r="K2312" s="72"/>
      <c r="L2312" s="72"/>
      <c r="M2312" s="2"/>
      <c r="N2312" s="2"/>
      <c r="O2312" s="2"/>
      <c r="P2312" s="2"/>
      <c r="Q2312" s="2"/>
      <c r="R2312" s="2"/>
      <c r="S2312" s="2"/>
      <c r="T2312" s="2"/>
      <c r="U2312" s="2"/>
      <c r="V2312" s="2"/>
      <c r="W2312" s="2"/>
      <c r="X2312" s="2"/>
      <c r="Y2312" s="2"/>
      <c r="Z2312" s="2"/>
      <c r="AA2312" s="2"/>
      <c r="AB2312" s="2"/>
      <c r="AC2312" s="2"/>
      <c r="AD2312" s="2"/>
      <c r="AE2312" s="2"/>
      <c r="AF2312" s="2"/>
      <c r="AG2312" s="2"/>
      <c r="AH2312" s="2"/>
      <c r="AI2312" s="2"/>
      <c r="AJ2312" s="2" t="str">
        <f>IFERROR(__xludf.DUMMYFUNCTION("""COMPUTED_VALUE"""),"")</f>
        <v/>
      </c>
      <c r="AK2312" s="2" t="str">
        <f>IFERROR(__xludf.DUMMYFUNCTION("""COMPUTED_VALUE"""),"")</f>
        <v/>
      </c>
      <c r="AL2312" s="2" t="str">
        <f>IFERROR(__xludf.DUMMYFUNCTION("""COMPUTED_VALUE"""),"")</f>
        <v/>
      </c>
      <c r="AM2312" s="2" t="str">
        <f>IFERROR(__xludf.DUMMYFUNCTION("""COMPUTED_VALUE"""),"")</f>
        <v/>
      </c>
      <c r="AN2312" s="2" t="str">
        <f>IFERROR(__xludf.DUMMYFUNCTION("""COMPUTED_VALUE""")," ")</f>
        <v> </v>
      </c>
      <c r="AO2312" s="2" t="str">
        <f>IFERROR(__xludf.DUMMYFUNCTION("""COMPUTED_VALUE""")," ")</f>
        <v> </v>
      </c>
      <c r="AP2312" s="2" t="str">
        <f>IFERROR(__xludf.DUMMYFUNCTION("""COMPUTED_VALUE"""),"")</f>
        <v/>
      </c>
      <c r="AQ2312" s="2"/>
      <c r="AR2312" s="2"/>
      <c r="AS2312" s="2"/>
      <c r="AT2312" s="2"/>
      <c r="AU2312" s="2"/>
      <c r="AV2312" s="2"/>
      <c r="AW2312" s="2"/>
      <c r="AX2312" s="2"/>
      <c r="AY2312" s="2"/>
      <c r="AZ2312" s="2"/>
      <c r="BA2312" s="2"/>
      <c r="BB2312" s="2"/>
    </row>
    <row r="2313">
      <c r="A2313" s="2"/>
      <c r="B2313" s="2" t="str">
        <f>IFERROR(__xludf.DUMMYFUNCTION("""COMPUTED_VALUE"""),"")</f>
        <v/>
      </c>
      <c r="C2313" s="2"/>
      <c r="D2313" s="71"/>
      <c r="E2313" s="71" t="str">
        <f>IFERROR(__xludf.DUMMYFUNCTION("""COMPUTED_VALUE""")," ")</f>
        <v> </v>
      </c>
      <c r="F2313" s="2"/>
      <c r="G2313" s="2"/>
      <c r="H2313" s="2"/>
      <c r="I2313" s="72"/>
      <c r="J2313" s="72"/>
      <c r="K2313" s="72"/>
      <c r="L2313" s="72"/>
      <c r="M2313" s="2"/>
      <c r="N2313" s="2"/>
      <c r="O2313" s="2"/>
      <c r="P2313" s="2"/>
      <c r="Q2313" s="2"/>
      <c r="R2313" s="2"/>
      <c r="S2313" s="2"/>
      <c r="T2313" s="2"/>
      <c r="U2313" s="2"/>
      <c r="V2313" s="2"/>
      <c r="W2313" s="2"/>
      <c r="X2313" s="2"/>
      <c r="Y2313" s="2"/>
      <c r="Z2313" s="2"/>
      <c r="AA2313" s="2"/>
      <c r="AB2313" s="2"/>
      <c r="AC2313" s="2"/>
      <c r="AD2313" s="2"/>
      <c r="AE2313" s="2"/>
      <c r="AF2313" s="2"/>
      <c r="AG2313" s="2"/>
      <c r="AH2313" s="2"/>
      <c r="AI2313" s="2"/>
      <c r="AJ2313" s="2" t="str">
        <f>IFERROR(__xludf.DUMMYFUNCTION("""COMPUTED_VALUE"""),"")</f>
        <v/>
      </c>
      <c r="AK2313" s="2" t="str">
        <f>IFERROR(__xludf.DUMMYFUNCTION("""COMPUTED_VALUE"""),"")</f>
        <v/>
      </c>
      <c r="AL2313" s="2" t="str">
        <f>IFERROR(__xludf.DUMMYFUNCTION("""COMPUTED_VALUE"""),"")</f>
        <v/>
      </c>
      <c r="AM2313" s="2" t="str">
        <f>IFERROR(__xludf.DUMMYFUNCTION("""COMPUTED_VALUE"""),"")</f>
        <v/>
      </c>
      <c r="AN2313" s="2" t="str">
        <f>IFERROR(__xludf.DUMMYFUNCTION("""COMPUTED_VALUE""")," ")</f>
        <v> </v>
      </c>
      <c r="AO2313" s="2" t="str">
        <f>IFERROR(__xludf.DUMMYFUNCTION("""COMPUTED_VALUE""")," ")</f>
        <v> </v>
      </c>
      <c r="AP2313" s="2" t="str">
        <f>IFERROR(__xludf.DUMMYFUNCTION("""COMPUTED_VALUE"""),"")</f>
        <v/>
      </c>
      <c r="AQ2313" s="2"/>
      <c r="AR2313" s="2"/>
      <c r="AS2313" s="2"/>
      <c r="AT2313" s="2"/>
      <c r="AU2313" s="2"/>
      <c r="AV2313" s="2"/>
      <c r="AW2313" s="2"/>
      <c r="AX2313" s="2"/>
      <c r="AY2313" s="2"/>
      <c r="AZ2313" s="2"/>
      <c r="BA2313" s="2"/>
      <c r="BB2313" s="2"/>
    </row>
    <row r="2314">
      <c r="A2314" s="2"/>
      <c r="B2314" s="2" t="str">
        <f>IFERROR(__xludf.DUMMYFUNCTION("""COMPUTED_VALUE"""),"")</f>
        <v/>
      </c>
      <c r="C2314" s="2"/>
      <c r="D2314" s="71"/>
      <c r="E2314" s="71" t="str">
        <f>IFERROR(__xludf.DUMMYFUNCTION("""COMPUTED_VALUE""")," ")</f>
        <v> </v>
      </c>
      <c r="F2314" s="2"/>
      <c r="G2314" s="2"/>
      <c r="H2314" s="2"/>
      <c r="I2314" s="72"/>
      <c r="J2314" s="72"/>
      <c r="K2314" s="72"/>
      <c r="L2314" s="72"/>
      <c r="M2314" s="2"/>
      <c r="N2314" s="2"/>
      <c r="O2314" s="2"/>
      <c r="P2314" s="2"/>
      <c r="Q2314" s="2"/>
      <c r="R2314" s="2"/>
      <c r="S2314" s="2"/>
      <c r="T2314" s="2"/>
      <c r="U2314" s="2"/>
      <c r="V2314" s="2"/>
      <c r="W2314" s="2"/>
      <c r="X2314" s="2"/>
      <c r="Y2314" s="2"/>
      <c r="Z2314" s="2"/>
      <c r="AA2314" s="2"/>
      <c r="AB2314" s="2"/>
      <c r="AC2314" s="2"/>
      <c r="AD2314" s="2"/>
      <c r="AE2314" s="2"/>
      <c r="AF2314" s="2"/>
      <c r="AG2314" s="2"/>
      <c r="AH2314" s="2"/>
      <c r="AI2314" s="2"/>
      <c r="AJ2314" s="2" t="str">
        <f>IFERROR(__xludf.DUMMYFUNCTION("""COMPUTED_VALUE"""),"")</f>
        <v/>
      </c>
      <c r="AK2314" s="2" t="str">
        <f>IFERROR(__xludf.DUMMYFUNCTION("""COMPUTED_VALUE"""),"")</f>
        <v/>
      </c>
      <c r="AL2314" s="2" t="str">
        <f>IFERROR(__xludf.DUMMYFUNCTION("""COMPUTED_VALUE"""),"")</f>
        <v/>
      </c>
      <c r="AM2314" s="2" t="str">
        <f>IFERROR(__xludf.DUMMYFUNCTION("""COMPUTED_VALUE"""),"")</f>
        <v/>
      </c>
      <c r="AN2314" s="2" t="str">
        <f>IFERROR(__xludf.DUMMYFUNCTION("""COMPUTED_VALUE""")," ")</f>
        <v> </v>
      </c>
      <c r="AO2314" s="2" t="str">
        <f>IFERROR(__xludf.DUMMYFUNCTION("""COMPUTED_VALUE""")," ")</f>
        <v> </v>
      </c>
      <c r="AP2314" s="2" t="str">
        <f>IFERROR(__xludf.DUMMYFUNCTION("""COMPUTED_VALUE"""),"")</f>
        <v/>
      </c>
      <c r="AQ2314" s="2"/>
      <c r="AR2314" s="2"/>
      <c r="AS2314" s="2"/>
      <c r="AT2314" s="2"/>
      <c r="AU2314" s="2"/>
      <c r="AV2314" s="2"/>
      <c r="AW2314" s="2"/>
      <c r="AX2314" s="2"/>
      <c r="AY2314" s="2"/>
      <c r="AZ2314" s="2"/>
      <c r="BA2314" s="2"/>
      <c r="BB2314" s="2"/>
    </row>
    <row r="2315">
      <c r="A2315" s="2"/>
      <c r="B2315" s="2" t="str">
        <f>IFERROR(__xludf.DUMMYFUNCTION("""COMPUTED_VALUE"""),"")</f>
        <v/>
      </c>
      <c r="C2315" s="2"/>
      <c r="D2315" s="71"/>
      <c r="E2315" s="71" t="str">
        <f>IFERROR(__xludf.DUMMYFUNCTION("""COMPUTED_VALUE""")," ")</f>
        <v> </v>
      </c>
      <c r="F2315" s="2"/>
      <c r="G2315" s="2"/>
      <c r="H2315" s="2"/>
      <c r="I2315" s="72"/>
      <c r="J2315" s="72"/>
      <c r="K2315" s="72"/>
      <c r="L2315" s="72"/>
      <c r="M2315" s="2"/>
      <c r="N2315" s="2"/>
      <c r="O2315" s="2"/>
      <c r="P2315" s="2"/>
      <c r="Q2315" s="2"/>
      <c r="R2315" s="2"/>
      <c r="S2315" s="2"/>
      <c r="T2315" s="2"/>
      <c r="U2315" s="2"/>
      <c r="V2315" s="2"/>
      <c r="W2315" s="2"/>
      <c r="X2315" s="2"/>
      <c r="Y2315" s="2"/>
      <c r="Z2315" s="2"/>
      <c r="AA2315" s="2"/>
      <c r="AB2315" s="2"/>
      <c r="AC2315" s="2"/>
      <c r="AD2315" s="2"/>
      <c r="AE2315" s="2"/>
      <c r="AF2315" s="2"/>
      <c r="AG2315" s="2"/>
      <c r="AH2315" s="2"/>
      <c r="AI2315" s="2"/>
      <c r="AJ2315" s="2" t="str">
        <f>IFERROR(__xludf.DUMMYFUNCTION("""COMPUTED_VALUE"""),"")</f>
        <v/>
      </c>
      <c r="AK2315" s="2" t="str">
        <f>IFERROR(__xludf.DUMMYFUNCTION("""COMPUTED_VALUE"""),"")</f>
        <v/>
      </c>
      <c r="AL2315" s="2" t="str">
        <f>IFERROR(__xludf.DUMMYFUNCTION("""COMPUTED_VALUE"""),"")</f>
        <v/>
      </c>
      <c r="AM2315" s="2" t="str">
        <f>IFERROR(__xludf.DUMMYFUNCTION("""COMPUTED_VALUE"""),"")</f>
        <v/>
      </c>
      <c r="AN2315" s="2" t="str">
        <f>IFERROR(__xludf.DUMMYFUNCTION("""COMPUTED_VALUE""")," ")</f>
        <v> </v>
      </c>
      <c r="AO2315" s="2" t="str">
        <f>IFERROR(__xludf.DUMMYFUNCTION("""COMPUTED_VALUE""")," ")</f>
        <v> </v>
      </c>
      <c r="AP2315" s="2" t="str">
        <f>IFERROR(__xludf.DUMMYFUNCTION("""COMPUTED_VALUE"""),"")</f>
        <v/>
      </c>
      <c r="AQ2315" s="2"/>
      <c r="AR2315" s="2"/>
      <c r="AS2315" s="2"/>
      <c r="AT2315" s="2"/>
      <c r="AU2315" s="2"/>
      <c r="AV2315" s="2"/>
      <c r="AW2315" s="2"/>
      <c r="AX2315" s="2"/>
      <c r="AY2315" s="2"/>
      <c r="AZ2315" s="2"/>
      <c r="BA2315" s="2"/>
      <c r="BB2315" s="2"/>
    </row>
    <row r="2316">
      <c r="A2316" s="2"/>
      <c r="B2316" s="2" t="str">
        <f>IFERROR(__xludf.DUMMYFUNCTION("""COMPUTED_VALUE"""),"")</f>
        <v/>
      </c>
      <c r="C2316" s="2"/>
      <c r="D2316" s="71"/>
      <c r="E2316" s="71" t="str">
        <f>IFERROR(__xludf.DUMMYFUNCTION("""COMPUTED_VALUE""")," ")</f>
        <v> </v>
      </c>
      <c r="F2316" s="2"/>
      <c r="G2316" s="2"/>
      <c r="H2316" s="2"/>
      <c r="I2316" s="72"/>
      <c r="J2316" s="72"/>
      <c r="K2316" s="72"/>
      <c r="L2316" s="72"/>
      <c r="M2316" s="2"/>
      <c r="N2316" s="2"/>
      <c r="O2316" s="2"/>
      <c r="P2316" s="2"/>
      <c r="Q2316" s="2"/>
      <c r="R2316" s="2"/>
      <c r="S2316" s="2"/>
      <c r="T2316" s="2"/>
      <c r="U2316" s="2"/>
      <c r="V2316" s="2"/>
      <c r="W2316" s="2"/>
      <c r="X2316" s="2"/>
      <c r="Y2316" s="2"/>
      <c r="Z2316" s="2"/>
      <c r="AA2316" s="2"/>
      <c r="AB2316" s="2"/>
      <c r="AC2316" s="2"/>
      <c r="AD2316" s="2"/>
      <c r="AE2316" s="2"/>
      <c r="AF2316" s="2"/>
      <c r="AG2316" s="2"/>
      <c r="AH2316" s="2"/>
      <c r="AI2316" s="2"/>
      <c r="AJ2316" s="2" t="str">
        <f>IFERROR(__xludf.DUMMYFUNCTION("""COMPUTED_VALUE"""),"")</f>
        <v/>
      </c>
      <c r="AK2316" s="2" t="str">
        <f>IFERROR(__xludf.DUMMYFUNCTION("""COMPUTED_VALUE"""),"")</f>
        <v/>
      </c>
      <c r="AL2316" s="2" t="str">
        <f>IFERROR(__xludf.DUMMYFUNCTION("""COMPUTED_VALUE"""),"")</f>
        <v/>
      </c>
      <c r="AM2316" s="2" t="str">
        <f>IFERROR(__xludf.DUMMYFUNCTION("""COMPUTED_VALUE"""),"")</f>
        <v/>
      </c>
      <c r="AN2316" s="2" t="str">
        <f>IFERROR(__xludf.DUMMYFUNCTION("""COMPUTED_VALUE""")," ")</f>
        <v> </v>
      </c>
      <c r="AO2316" s="2" t="str">
        <f>IFERROR(__xludf.DUMMYFUNCTION("""COMPUTED_VALUE""")," ")</f>
        <v> </v>
      </c>
      <c r="AP2316" s="2" t="str">
        <f>IFERROR(__xludf.DUMMYFUNCTION("""COMPUTED_VALUE"""),"")</f>
        <v/>
      </c>
      <c r="AQ2316" s="2"/>
      <c r="AR2316" s="2"/>
      <c r="AS2316" s="2"/>
      <c r="AT2316" s="2"/>
      <c r="AU2316" s="2"/>
      <c r="AV2316" s="2"/>
      <c r="AW2316" s="2"/>
      <c r="AX2316" s="2"/>
      <c r="AY2316" s="2"/>
      <c r="AZ2316" s="2"/>
      <c r="BA2316" s="2"/>
      <c r="BB2316" s="2"/>
    </row>
    <row r="2317">
      <c r="A2317" s="2"/>
      <c r="B2317" s="2" t="str">
        <f>IFERROR(__xludf.DUMMYFUNCTION("""COMPUTED_VALUE"""),"")</f>
        <v/>
      </c>
      <c r="C2317" s="2"/>
      <c r="D2317" s="71"/>
      <c r="E2317" s="71" t="str">
        <f>IFERROR(__xludf.DUMMYFUNCTION("""COMPUTED_VALUE""")," ")</f>
        <v> </v>
      </c>
      <c r="F2317" s="2"/>
      <c r="G2317" s="2"/>
      <c r="H2317" s="2"/>
      <c r="I2317" s="72"/>
      <c r="J2317" s="72"/>
      <c r="K2317" s="72"/>
      <c r="L2317" s="72"/>
      <c r="M2317" s="2"/>
      <c r="N2317" s="2"/>
      <c r="O2317" s="2"/>
      <c r="P2317" s="2"/>
      <c r="Q2317" s="2"/>
      <c r="R2317" s="2"/>
      <c r="S2317" s="2"/>
      <c r="T2317" s="2"/>
      <c r="U2317" s="2"/>
      <c r="V2317" s="2"/>
      <c r="W2317" s="2"/>
      <c r="X2317" s="2"/>
      <c r="Y2317" s="2"/>
      <c r="Z2317" s="2"/>
      <c r="AA2317" s="2"/>
      <c r="AB2317" s="2"/>
      <c r="AC2317" s="2"/>
      <c r="AD2317" s="2"/>
      <c r="AE2317" s="2"/>
      <c r="AF2317" s="2"/>
      <c r="AG2317" s="2"/>
      <c r="AH2317" s="2"/>
      <c r="AI2317" s="2"/>
      <c r="AJ2317" s="2" t="str">
        <f>IFERROR(__xludf.DUMMYFUNCTION("""COMPUTED_VALUE"""),"")</f>
        <v/>
      </c>
      <c r="AK2317" s="2" t="str">
        <f>IFERROR(__xludf.DUMMYFUNCTION("""COMPUTED_VALUE"""),"")</f>
        <v/>
      </c>
      <c r="AL2317" s="2" t="str">
        <f>IFERROR(__xludf.DUMMYFUNCTION("""COMPUTED_VALUE"""),"")</f>
        <v/>
      </c>
      <c r="AM2317" s="2" t="str">
        <f>IFERROR(__xludf.DUMMYFUNCTION("""COMPUTED_VALUE"""),"")</f>
        <v/>
      </c>
      <c r="AN2317" s="2" t="str">
        <f>IFERROR(__xludf.DUMMYFUNCTION("""COMPUTED_VALUE""")," ")</f>
        <v> </v>
      </c>
      <c r="AO2317" s="2" t="str">
        <f>IFERROR(__xludf.DUMMYFUNCTION("""COMPUTED_VALUE""")," ")</f>
        <v> </v>
      </c>
      <c r="AP2317" s="2" t="str">
        <f>IFERROR(__xludf.DUMMYFUNCTION("""COMPUTED_VALUE"""),"")</f>
        <v/>
      </c>
      <c r="AQ2317" s="2"/>
      <c r="AR2317" s="2"/>
      <c r="AS2317" s="2"/>
      <c r="AT2317" s="2"/>
      <c r="AU2317" s="2"/>
      <c r="AV2317" s="2"/>
      <c r="AW2317" s="2"/>
      <c r="AX2317" s="2"/>
      <c r="AY2317" s="2"/>
      <c r="AZ2317" s="2"/>
      <c r="BA2317" s="2"/>
      <c r="BB2317" s="2"/>
    </row>
    <row r="2318">
      <c r="A2318" s="2"/>
      <c r="B2318" s="2" t="str">
        <f>IFERROR(__xludf.DUMMYFUNCTION("""COMPUTED_VALUE"""),"")</f>
        <v/>
      </c>
      <c r="C2318" s="2"/>
      <c r="D2318" s="71"/>
      <c r="E2318" s="71" t="str">
        <f>IFERROR(__xludf.DUMMYFUNCTION("""COMPUTED_VALUE""")," ")</f>
        <v> </v>
      </c>
      <c r="F2318" s="2"/>
      <c r="G2318" s="2"/>
      <c r="H2318" s="2"/>
      <c r="I2318" s="72"/>
      <c r="J2318" s="72"/>
      <c r="K2318" s="72"/>
      <c r="L2318" s="72"/>
      <c r="M2318" s="2"/>
      <c r="N2318" s="2"/>
      <c r="O2318" s="2"/>
      <c r="P2318" s="2"/>
      <c r="Q2318" s="2"/>
      <c r="R2318" s="2"/>
      <c r="S2318" s="2"/>
      <c r="T2318" s="2"/>
      <c r="U2318" s="2"/>
      <c r="V2318" s="2"/>
      <c r="W2318" s="2"/>
      <c r="X2318" s="2"/>
      <c r="Y2318" s="2"/>
      <c r="Z2318" s="2"/>
      <c r="AA2318" s="2"/>
      <c r="AB2318" s="2"/>
      <c r="AC2318" s="2"/>
      <c r="AD2318" s="2"/>
      <c r="AE2318" s="2"/>
      <c r="AF2318" s="2"/>
      <c r="AG2318" s="2"/>
      <c r="AH2318" s="2"/>
      <c r="AI2318" s="2"/>
      <c r="AJ2318" s="2" t="str">
        <f>IFERROR(__xludf.DUMMYFUNCTION("""COMPUTED_VALUE"""),"")</f>
        <v/>
      </c>
      <c r="AK2318" s="2" t="str">
        <f>IFERROR(__xludf.DUMMYFUNCTION("""COMPUTED_VALUE"""),"")</f>
        <v/>
      </c>
      <c r="AL2318" s="2" t="str">
        <f>IFERROR(__xludf.DUMMYFUNCTION("""COMPUTED_VALUE"""),"")</f>
        <v/>
      </c>
      <c r="AM2318" s="2" t="str">
        <f>IFERROR(__xludf.DUMMYFUNCTION("""COMPUTED_VALUE"""),"")</f>
        <v/>
      </c>
      <c r="AN2318" s="2" t="str">
        <f>IFERROR(__xludf.DUMMYFUNCTION("""COMPUTED_VALUE""")," ")</f>
        <v> </v>
      </c>
      <c r="AO2318" s="2" t="str">
        <f>IFERROR(__xludf.DUMMYFUNCTION("""COMPUTED_VALUE""")," ")</f>
        <v> </v>
      </c>
      <c r="AP2318" s="2" t="str">
        <f>IFERROR(__xludf.DUMMYFUNCTION("""COMPUTED_VALUE"""),"")</f>
        <v/>
      </c>
      <c r="AQ2318" s="2"/>
      <c r="AR2318" s="2"/>
      <c r="AS2318" s="2"/>
      <c r="AT2318" s="2"/>
      <c r="AU2318" s="2"/>
      <c r="AV2318" s="2"/>
      <c r="AW2318" s="2"/>
      <c r="AX2318" s="2"/>
      <c r="AY2318" s="2"/>
      <c r="AZ2318" s="2"/>
      <c r="BA2318" s="2"/>
      <c r="BB2318" s="2"/>
    </row>
    <row r="2319">
      <c r="A2319" s="2"/>
      <c r="B2319" s="2" t="str">
        <f>IFERROR(__xludf.DUMMYFUNCTION("""COMPUTED_VALUE"""),"")</f>
        <v/>
      </c>
      <c r="C2319" s="2"/>
      <c r="D2319" s="71"/>
      <c r="E2319" s="71" t="str">
        <f>IFERROR(__xludf.DUMMYFUNCTION("""COMPUTED_VALUE""")," ")</f>
        <v> </v>
      </c>
      <c r="F2319" s="2"/>
      <c r="G2319" s="2"/>
      <c r="H2319" s="2"/>
      <c r="I2319" s="72"/>
      <c r="J2319" s="72"/>
      <c r="K2319" s="72"/>
      <c r="L2319" s="72"/>
      <c r="M2319" s="2"/>
      <c r="N2319" s="2"/>
      <c r="O2319" s="2"/>
      <c r="P2319" s="2"/>
      <c r="Q2319" s="2"/>
      <c r="R2319" s="2"/>
      <c r="S2319" s="2"/>
      <c r="T2319" s="2"/>
      <c r="U2319" s="2"/>
      <c r="V2319" s="2"/>
      <c r="W2319" s="2"/>
      <c r="X2319" s="2"/>
      <c r="Y2319" s="2"/>
      <c r="Z2319" s="2"/>
      <c r="AA2319" s="2"/>
      <c r="AB2319" s="2"/>
      <c r="AC2319" s="2"/>
      <c r="AD2319" s="2"/>
      <c r="AE2319" s="2"/>
      <c r="AF2319" s="2"/>
      <c r="AG2319" s="2"/>
      <c r="AH2319" s="2"/>
      <c r="AI2319" s="2"/>
      <c r="AJ2319" s="2" t="str">
        <f>IFERROR(__xludf.DUMMYFUNCTION("""COMPUTED_VALUE"""),"")</f>
        <v/>
      </c>
      <c r="AK2319" s="2" t="str">
        <f>IFERROR(__xludf.DUMMYFUNCTION("""COMPUTED_VALUE"""),"")</f>
        <v/>
      </c>
      <c r="AL2319" s="2" t="str">
        <f>IFERROR(__xludf.DUMMYFUNCTION("""COMPUTED_VALUE"""),"")</f>
        <v/>
      </c>
      <c r="AM2319" s="2" t="str">
        <f>IFERROR(__xludf.DUMMYFUNCTION("""COMPUTED_VALUE"""),"")</f>
        <v/>
      </c>
      <c r="AN2319" s="2" t="str">
        <f>IFERROR(__xludf.DUMMYFUNCTION("""COMPUTED_VALUE""")," ")</f>
        <v> </v>
      </c>
      <c r="AO2319" s="2" t="str">
        <f>IFERROR(__xludf.DUMMYFUNCTION("""COMPUTED_VALUE""")," ")</f>
        <v> </v>
      </c>
      <c r="AP2319" s="2" t="str">
        <f>IFERROR(__xludf.DUMMYFUNCTION("""COMPUTED_VALUE"""),"")</f>
        <v/>
      </c>
      <c r="AQ2319" s="2"/>
      <c r="AR2319" s="2"/>
      <c r="AS2319" s="2"/>
      <c r="AT2319" s="2"/>
      <c r="AU2319" s="2"/>
      <c r="AV2319" s="2"/>
      <c r="AW2319" s="2"/>
      <c r="AX2319" s="2"/>
      <c r="AY2319" s="2"/>
      <c r="AZ2319" s="2"/>
      <c r="BA2319" s="2"/>
      <c r="BB2319" s="2"/>
    </row>
    <row r="2320">
      <c r="A2320" s="2"/>
      <c r="B2320" s="2" t="str">
        <f>IFERROR(__xludf.DUMMYFUNCTION("""COMPUTED_VALUE"""),"")</f>
        <v/>
      </c>
      <c r="C2320" s="2"/>
      <c r="D2320" s="71"/>
      <c r="E2320" s="71" t="str">
        <f>IFERROR(__xludf.DUMMYFUNCTION("""COMPUTED_VALUE""")," ")</f>
        <v> </v>
      </c>
      <c r="F2320" s="2"/>
      <c r="G2320" s="2"/>
      <c r="H2320" s="2"/>
      <c r="I2320" s="72"/>
      <c r="J2320" s="72"/>
      <c r="K2320" s="72"/>
      <c r="L2320" s="72"/>
      <c r="M2320" s="2"/>
      <c r="N2320" s="2"/>
      <c r="O2320" s="2"/>
      <c r="P2320" s="2"/>
      <c r="Q2320" s="2"/>
      <c r="R2320" s="2"/>
      <c r="S2320" s="2"/>
      <c r="T2320" s="2"/>
      <c r="U2320" s="2"/>
      <c r="V2320" s="2"/>
      <c r="W2320" s="2"/>
      <c r="X2320" s="2"/>
      <c r="Y2320" s="2"/>
      <c r="Z2320" s="2"/>
      <c r="AA2320" s="2"/>
      <c r="AB2320" s="2"/>
      <c r="AC2320" s="2"/>
      <c r="AD2320" s="2"/>
      <c r="AE2320" s="2"/>
      <c r="AF2320" s="2"/>
      <c r="AG2320" s="2"/>
      <c r="AH2320" s="2"/>
      <c r="AI2320" s="2"/>
      <c r="AJ2320" s="2" t="str">
        <f>IFERROR(__xludf.DUMMYFUNCTION("""COMPUTED_VALUE"""),"")</f>
        <v/>
      </c>
      <c r="AK2320" s="2" t="str">
        <f>IFERROR(__xludf.DUMMYFUNCTION("""COMPUTED_VALUE"""),"")</f>
        <v/>
      </c>
      <c r="AL2320" s="2" t="str">
        <f>IFERROR(__xludf.DUMMYFUNCTION("""COMPUTED_VALUE"""),"")</f>
        <v/>
      </c>
      <c r="AM2320" s="2" t="str">
        <f>IFERROR(__xludf.DUMMYFUNCTION("""COMPUTED_VALUE"""),"")</f>
        <v/>
      </c>
      <c r="AN2320" s="2" t="str">
        <f>IFERROR(__xludf.DUMMYFUNCTION("""COMPUTED_VALUE""")," ")</f>
        <v> </v>
      </c>
      <c r="AO2320" s="2" t="str">
        <f>IFERROR(__xludf.DUMMYFUNCTION("""COMPUTED_VALUE""")," ")</f>
        <v> </v>
      </c>
      <c r="AP2320" s="2" t="str">
        <f>IFERROR(__xludf.DUMMYFUNCTION("""COMPUTED_VALUE"""),"")</f>
        <v/>
      </c>
      <c r="AQ2320" s="2"/>
      <c r="AR2320" s="2"/>
      <c r="AS2320" s="2"/>
      <c r="AT2320" s="2"/>
      <c r="AU2320" s="2"/>
      <c r="AV2320" s="2"/>
      <c r="AW2320" s="2"/>
      <c r="AX2320" s="2"/>
      <c r="AY2320" s="2"/>
      <c r="AZ2320" s="2"/>
      <c r="BA2320" s="2"/>
      <c r="BB2320" s="2"/>
    </row>
    <row r="2321">
      <c r="A2321" s="2"/>
      <c r="B2321" s="2" t="str">
        <f>IFERROR(__xludf.DUMMYFUNCTION("""COMPUTED_VALUE"""),"")</f>
        <v/>
      </c>
      <c r="C2321" s="2"/>
      <c r="D2321" s="71"/>
      <c r="E2321" s="71" t="str">
        <f>IFERROR(__xludf.DUMMYFUNCTION("""COMPUTED_VALUE""")," ")</f>
        <v> </v>
      </c>
      <c r="F2321" s="2"/>
      <c r="G2321" s="2"/>
      <c r="H2321" s="2"/>
      <c r="I2321" s="72"/>
      <c r="J2321" s="72"/>
      <c r="K2321" s="72"/>
      <c r="L2321" s="72"/>
      <c r="M2321" s="2"/>
      <c r="N2321" s="2"/>
      <c r="O2321" s="2"/>
      <c r="P2321" s="2"/>
      <c r="Q2321" s="2"/>
      <c r="R2321" s="2"/>
      <c r="S2321" s="2"/>
      <c r="T2321" s="2"/>
      <c r="U2321" s="2"/>
      <c r="V2321" s="2"/>
      <c r="W2321" s="2"/>
      <c r="X2321" s="2"/>
      <c r="Y2321" s="2"/>
      <c r="Z2321" s="2"/>
      <c r="AA2321" s="2"/>
      <c r="AB2321" s="2"/>
      <c r="AC2321" s="2"/>
      <c r="AD2321" s="2"/>
      <c r="AE2321" s="2"/>
      <c r="AF2321" s="2"/>
      <c r="AG2321" s="2"/>
      <c r="AH2321" s="2"/>
      <c r="AI2321" s="2"/>
      <c r="AJ2321" s="2" t="str">
        <f>IFERROR(__xludf.DUMMYFUNCTION("""COMPUTED_VALUE"""),"")</f>
        <v/>
      </c>
      <c r="AK2321" s="2" t="str">
        <f>IFERROR(__xludf.DUMMYFUNCTION("""COMPUTED_VALUE"""),"")</f>
        <v/>
      </c>
      <c r="AL2321" s="2" t="str">
        <f>IFERROR(__xludf.DUMMYFUNCTION("""COMPUTED_VALUE"""),"")</f>
        <v/>
      </c>
      <c r="AM2321" s="2" t="str">
        <f>IFERROR(__xludf.DUMMYFUNCTION("""COMPUTED_VALUE"""),"")</f>
        <v/>
      </c>
      <c r="AN2321" s="2" t="str">
        <f>IFERROR(__xludf.DUMMYFUNCTION("""COMPUTED_VALUE""")," ")</f>
        <v> </v>
      </c>
      <c r="AO2321" s="2" t="str">
        <f>IFERROR(__xludf.DUMMYFUNCTION("""COMPUTED_VALUE""")," ")</f>
        <v> </v>
      </c>
      <c r="AP2321" s="2" t="str">
        <f>IFERROR(__xludf.DUMMYFUNCTION("""COMPUTED_VALUE"""),"")</f>
        <v/>
      </c>
      <c r="AQ2321" s="2"/>
      <c r="AR2321" s="2"/>
      <c r="AS2321" s="2"/>
      <c r="AT2321" s="2"/>
      <c r="AU2321" s="2"/>
      <c r="AV2321" s="2"/>
      <c r="AW2321" s="2"/>
      <c r="AX2321" s="2"/>
      <c r="AY2321" s="2"/>
      <c r="AZ2321" s="2"/>
      <c r="BA2321" s="2"/>
      <c r="BB2321" s="2"/>
    </row>
    <row r="2322">
      <c r="A2322" s="2"/>
      <c r="B2322" s="2" t="str">
        <f>IFERROR(__xludf.DUMMYFUNCTION("""COMPUTED_VALUE"""),"")</f>
        <v/>
      </c>
      <c r="C2322" s="2"/>
      <c r="D2322" s="71"/>
      <c r="E2322" s="71" t="str">
        <f>IFERROR(__xludf.DUMMYFUNCTION("""COMPUTED_VALUE""")," ")</f>
        <v> </v>
      </c>
      <c r="F2322" s="2"/>
      <c r="G2322" s="2"/>
      <c r="H2322" s="2"/>
      <c r="I2322" s="72"/>
      <c r="J2322" s="72"/>
      <c r="K2322" s="72"/>
      <c r="L2322" s="72"/>
      <c r="M2322" s="2"/>
      <c r="N2322" s="2"/>
      <c r="O2322" s="2"/>
      <c r="P2322" s="2"/>
      <c r="Q2322" s="2"/>
      <c r="R2322" s="2"/>
      <c r="S2322" s="2"/>
      <c r="T2322" s="2"/>
      <c r="U2322" s="2"/>
      <c r="V2322" s="2"/>
      <c r="W2322" s="2"/>
      <c r="X2322" s="2"/>
      <c r="Y2322" s="2"/>
      <c r="Z2322" s="2"/>
      <c r="AA2322" s="2"/>
      <c r="AB2322" s="2"/>
      <c r="AC2322" s="2"/>
      <c r="AD2322" s="2"/>
      <c r="AE2322" s="2"/>
      <c r="AF2322" s="2"/>
      <c r="AG2322" s="2"/>
      <c r="AH2322" s="2"/>
      <c r="AI2322" s="2"/>
      <c r="AJ2322" s="2" t="str">
        <f>IFERROR(__xludf.DUMMYFUNCTION("""COMPUTED_VALUE"""),"")</f>
        <v/>
      </c>
      <c r="AK2322" s="2" t="str">
        <f>IFERROR(__xludf.DUMMYFUNCTION("""COMPUTED_VALUE"""),"")</f>
        <v/>
      </c>
      <c r="AL2322" s="2" t="str">
        <f>IFERROR(__xludf.DUMMYFUNCTION("""COMPUTED_VALUE"""),"")</f>
        <v/>
      </c>
      <c r="AM2322" s="2" t="str">
        <f>IFERROR(__xludf.DUMMYFUNCTION("""COMPUTED_VALUE"""),"")</f>
        <v/>
      </c>
      <c r="AN2322" s="2" t="str">
        <f>IFERROR(__xludf.DUMMYFUNCTION("""COMPUTED_VALUE""")," ")</f>
        <v> </v>
      </c>
      <c r="AO2322" s="2" t="str">
        <f>IFERROR(__xludf.DUMMYFUNCTION("""COMPUTED_VALUE""")," ")</f>
        <v> </v>
      </c>
      <c r="AP2322" s="2" t="str">
        <f>IFERROR(__xludf.DUMMYFUNCTION("""COMPUTED_VALUE"""),"")</f>
        <v/>
      </c>
      <c r="AQ2322" s="2"/>
      <c r="AR2322" s="2"/>
      <c r="AS2322" s="2"/>
      <c r="AT2322" s="2"/>
      <c r="AU2322" s="2"/>
      <c r="AV2322" s="2"/>
      <c r="AW2322" s="2"/>
      <c r="AX2322" s="2"/>
      <c r="AY2322" s="2"/>
      <c r="AZ2322" s="2"/>
      <c r="BA2322" s="2"/>
      <c r="BB2322" s="2"/>
    </row>
    <row r="2323">
      <c r="A2323" s="2"/>
      <c r="B2323" s="2" t="str">
        <f>IFERROR(__xludf.DUMMYFUNCTION("""COMPUTED_VALUE"""),"")</f>
        <v/>
      </c>
      <c r="C2323" s="2"/>
      <c r="D2323" s="71"/>
      <c r="E2323" s="71" t="str">
        <f>IFERROR(__xludf.DUMMYFUNCTION("""COMPUTED_VALUE""")," ")</f>
        <v> </v>
      </c>
      <c r="F2323" s="2"/>
      <c r="G2323" s="2"/>
      <c r="H2323" s="2"/>
      <c r="I2323" s="72"/>
      <c r="J2323" s="72"/>
      <c r="K2323" s="72"/>
      <c r="L2323" s="72"/>
      <c r="M2323" s="2"/>
      <c r="N2323" s="2"/>
      <c r="O2323" s="2"/>
      <c r="P2323" s="2"/>
      <c r="Q2323" s="2"/>
      <c r="R2323" s="2"/>
      <c r="S2323" s="2"/>
      <c r="T2323" s="2"/>
      <c r="U2323" s="2"/>
      <c r="V2323" s="2"/>
      <c r="W2323" s="2"/>
      <c r="X2323" s="2"/>
      <c r="Y2323" s="2"/>
      <c r="Z2323" s="2"/>
      <c r="AA2323" s="2"/>
      <c r="AB2323" s="2"/>
      <c r="AC2323" s="2"/>
      <c r="AD2323" s="2"/>
      <c r="AE2323" s="2"/>
      <c r="AF2323" s="2"/>
      <c r="AG2323" s="2"/>
      <c r="AH2323" s="2"/>
      <c r="AI2323" s="2"/>
      <c r="AJ2323" s="2" t="str">
        <f>IFERROR(__xludf.DUMMYFUNCTION("""COMPUTED_VALUE"""),"")</f>
        <v/>
      </c>
      <c r="AK2323" s="2" t="str">
        <f>IFERROR(__xludf.DUMMYFUNCTION("""COMPUTED_VALUE"""),"")</f>
        <v/>
      </c>
      <c r="AL2323" s="2" t="str">
        <f>IFERROR(__xludf.DUMMYFUNCTION("""COMPUTED_VALUE"""),"")</f>
        <v/>
      </c>
      <c r="AM2323" s="2" t="str">
        <f>IFERROR(__xludf.DUMMYFUNCTION("""COMPUTED_VALUE"""),"")</f>
        <v/>
      </c>
      <c r="AN2323" s="2" t="str">
        <f>IFERROR(__xludf.DUMMYFUNCTION("""COMPUTED_VALUE""")," ")</f>
        <v> </v>
      </c>
      <c r="AO2323" s="2" t="str">
        <f>IFERROR(__xludf.DUMMYFUNCTION("""COMPUTED_VALUE""")," ")</f>
        <v> </v>
      </c>
      <c r="AP2323" s="2" t="str">
        <f>IFERROR(__xludf.DUMMYFUNCTION("""COMPUTED_VALUE"""),"")</f>
        <v/>
      </c>
      <c r="AQ2323" s="2"/>
      <c r="AR2323" s="2"/>
      <c r="AS2323" s="2"/>
      <c r="AT2323" s="2"/>
      <c r="AU2323" s="2"/>
      <c r="AV2323" s="2"/>
      <c r="AW2323" s="2"/>
      <c r="AX2323" s="2"/>
      <c r="AY2323" s="2"/>
      <c r="AZ2323" s="2"/>
      <c r="BA2323" s="2"/>
      <c r="BB2323" s="2"/>
    </row>
    <row r="2324">
      <c r="A2324" s="2"/>
      <c r="B2324" s="2" t="str">
        <f>IFERROR(__xludf.DUMMYFUNCTION("""COMPUTED_VALUE"""),"")</f>
        <v/>
      </c>
      <c r="C2324" s="2"/>
      <c r="D2324" s="71"/>
      <c r="E2324" s="71" t="str">
        <f>IFERROR(__xludf.DUMMYFUNCTION("""COMPUTED_VALUE""")," ")</f>
        <v> </v>
      </c>
      <c r="F2324" s="2"/>
      <c r="G2324" s="2"/>
      <c r="H2324" s="2"/>
      <c r="I2324" s="72"/>
      <c r="J2324" s="72"/>
      <c r="K2324" s="72"/>
      <c r="L2324" s="72"/>
      <c r="M2324" s="2"/>
      <c r="N2324" s="2"/>
      <c r="O2324" s="2"/>
      <c r="P2324" s="2"/>
      <c r="Q2324" s="2"/>
      <c r="R2324" s="2"/>
      <c r="S2324" s="2"/>
      <c r="T2324" s="2"/>
      <c r="U2324" s="2"/>
      <c r="V2324" s="2"/>
      <c r="W2324" s="2"/>
      <c r="X2324" s="2"/>
      <c r="Y2324" s="2"/>
      <c r="Z2324" s="2"/>
      <c r="AA2324" s="2"/>
      <c r="AB2324" s="2"/>
      <c r="AC2324" s="2"/>
      <c r="AD2324" s="2"/>
      <c r="AE2324" s="2"/>
      <c r="AF2324" s="2"/>
      <c r="AG2324" s="2"/>
      <c r="AH2324" s="2"/>
      <c r="AI2324" s="2"/>
      <c r="AJ2324" s="2" t="str">
        <f>IFERROR(__xludf.DUMMYFUNCTION("""COMPUTED_VALUE"""),"")</f>
        <v/>
      </c>
      <c r="AK2324" s="2" t="str">
        <f>IFERROR(__xludf.DUMMYFUNCTION("""COMPUTED_VALUE"""),"")</f>
        <v/>
      </c>
      <c r="AL2324" s="2" t="str">
        <f>IFERROR(__xludf.DUMMYFUNCTION("""COMPUTED_VALUE"""),"")</f>
        <v/>
      </c>
      <c r="AM2324" s="2" t="str">
        <f>IFERROR(__xludf.DUMMYFUNCTION("""COMPUTED_VALUE"""),"")</f>
        <v/>
      </c>
      <c r="AN2324" s="2" t="str">
        <f>IFERROR(__xludf.DUMMYFUNCTION("""COMPUTED_VALUE""")," ")</f>
        <v> </v>
      </c>
      <c r="AO2324" s="2" t="str">
        <f>IFERROR(__xludf.DUMMYFUNCTION("""COMPUTED_VALUE""")," ")</f>
        <v> </v>
      </c>
      <c r="AP2324" s="2" t="str">
        <f>IFERROR(__xludf.DUMMYFUNCTION("""COMPUTED_VALUE"""),"")</f>
        <v/>
      </c>
      <c r="AQ2324" s="2"/>
      <c r="AR2324" s="2"/>
      <c r="AS2324" s="2"/>
      <c r="AT2324" s="2"/>
      <c r="AU2324" s="2"/>
      <c r="AV2324" s="2"/>
      <c r="AW2324" s="2"/>
      <c r="AX2324" s="2"/>
      <c r="AY2324" s="2"/>
      <c r="AZ2324" s="2"/>
      <c r="BA2324" s="2"/>
      <c r="BB2324" s="2"/>
    </row>
    <row r="2325">
      <c r="A2325" s="2"/>
      <c r="B2325" s="2" t="str">
        <f>IFERROR(__xludf.DUMMYFUNCTION("""COMPUTED_VALUE"""),"")</f>
        <v/>
      </c>
      <c r="C2325" s="2"/>
      <c r="D2325" s="71"/>
      <c r="E2325" s="71" t="str">
        <f>IFERROR(__xludf.DUMMYFUNCTION("""COMPUTED_VALUE""")," ")</f>
        <v> </v>
      </c>
      <c r="F2325" s="2"/>
      <c r="G2325" s="2"/>
      <c r="H2325" s="2"/>
      <c r="I2325" s="72"/>
      <c r="J2325" s="72"/>
      <c r="K2325" s="72"/>
      <c r="L2325" s="72"/>
      <c r="M2325" s="2"/>
      <c r="N2325" s="2"/>
      <c r="O2325" s="2"/>
      <c r="P2325" s="2"/>
      <c r="Q2325" s="2"/>
      <c r="R2325" s="2"/>
      <c r="S2325" s="2"/>
      <c r="T2325" s="2"/>
      <c r="U2325" s="2"/>
      <c r="V2325" s="2"/>
      <c r="W2325" s="2"/>
      <c r="X2325" s="2"/>
      <c r="Y2325" s="2"/>
      <c r="Z2325" s="2"/>
      <c r="AA2325" s="2"/>
      <c r="AB2325" s="2"/>
      <c r="AC2325" s="2"/>
      <c r="AD2325" s="2"/>
      <c r="AE2325" s="2"/>
      <c r="AF2325" s="2"/>
      <c r="AG2325" s="2"/>
      <c r="AH2325" s="2"/>
      <c r="AI2325" s="2"/>
      <c r="AJ2325" s="2" t="str">
        <f>IFERROR(__xludf.DUMMYFUNCTION("""COMPUTED_VALUE"""),"")</f>
        <v/>
      </c>
      <c r="AK2325" s="2" t="str">
        <f>IFERROR(__xludf.DUMMYFUNCTION("""COMPUTED_VALUE"""),"")</f>
        <v/>
      </c>
      <c r="AL2325" s="2" t="str">
        <f>IFERROR(__xludf.DUMMYFUNCTION("""COMPUTED_VALUE"""),"")</f>
        <v/>
      </c>
      <c r="AM2325" s="2" t="str">
        <f>IFERROR(__xludf.DUMMYFUNCTION("""COMPUTED_VALUE"""),"")</f>
        <v/>
      </c>
      <c r="AN2325" s="2" t="str">
        <f>IFERROR(__xludf.DUMMYFUNCTION("""COMPUTED_VALUE""")," ")</f>
        <v> </v>
      </c>
      <c r="AO2325" s="2" t="str">
        <f>IFERROR(__xludf.DUMMYFUNCTION("""COMPUTED_VALUE""")," ")</f>
        <v> </v>
      </c>
      <c r="AP2325" s="2" t="str">
        <f>IFERROR(__xludf.DUMMYFUNCTION("""COMPUTED_VALUE"""),"")</f>
        <v/>
      </c>
      <c r="AQ2325" s="2"/>
      <c r="AR2325" s="2"/>
      <c r="AS2325" s="2"/>
      <c r="AT2325" s="2"/>
      <c r="AU2325" s="2"/>
      <c r="AV2325" s="2"/>
      <c r="AW2325" s="2"/>
      <c r="AX2325" s="2"/>
      <c r="AY2325" s="2"/>
      <c r="AZ2325" s="2"/>
      <c r="BA2325" s="2"/>
      <c r="BB2325" s="2"/>
    </row>
    <row r="2326">
      <c r="A2326" s="2"/>
      <c r="B2326" s="2" t="str">
        <f>IFERROR(__xludf.DUMMYFUNCTION("""COMPUTED_VALUE"""),"")</f>
        <v/>
      </c>
      <c r="C2326" s="2"/>
      <c r="D2326" s="71"/>
      <c r="E2326" s="71" t="str">
        <f>IFERROR(__xludf.DUMMYFUNCTION("""COMPUTED_VALUE""")," ")</f>
        <v> </v>
      </c>
      <c r="F2326" s="2"/>
      <c r="G2326" s="2"/>
      <c r="H2326" s="2"/>
      <c r="I2326" s="72"/>
      <c r="J2326" s="72"/>
      <c r="K2326" s="72"/>
      <c r="L2326" s="72"/>
      <c r="M2326" s="2"/>
      <c r="N2326" s="2"/>
      <c r="O2326" s="2"/>
      <c r="P2326" s="2"/>
      <c r="Q2326" s="2"/>
      <c r="R2326" s="2"/>
      <c r="S2326" s="2"/>
      <c r="T2326" s="2"/>
      <c r="U2326" s="2"/>
      <c r="V2326" s="2"/>
      <c r="W2326" s="2"/>
      <c r="X2326" s="2"/>
      <c r="Y2326" s="2"/>
      <c r="Z2326" s="2"/>
      <c r="AA2326" s="2"/>
      <c r="AB2326" s="2"/>
      <c r="AC2326" s="2"/>
      <c r="AD2326" s="2"/>
      <c r="AE2326" s="2"/>
      <c r="AF2326" s="2"/>
      <c r="AG2326" s="2"/>
      <c r="AH2326" s="2"/>
      <c r="AI2326" s="2"/>
      <c r="AJ2326" s="2" t="str">
        <f>IFERROR(__xludf.DUMMYFUNCTION("""COMPUTED_VALUE"""),"")</f>
        <v/>
      </c>
      <c r="AK2326" s="2" t="str">
        <f>IFERROR(__xludf.DUMMYFUNCTION("""COMPUTED_VALUE"""),"")</f>
        <v/>
      </c>
      <c r="AL2326" s="2" t="str">
        <f>IFERROR(__xludf.DUMMYFUNCTION("""COMPUTED_VALUE"""),"")</f>
        <v/>
      </c>
      <c r="AM2326" s="2" t="str">
        <f>IFERROR(__xludf.DUMMYFUNCTION("""COMPUTED_VALUE"""),"")</f>
        <v/>
      </c>
      <c r="AN2326" s="2" t="str">
        <f>IFERROR(__xludf.DUMMYFUNCTION("""COMPUTED_VALUE""")," ")</f>
        <v> </v>
      </c>
      <c r="AO2326" s="2" t="str">
        <f>IFERROR(__xludf.DUMMYFUNCTION("""COMPUTED_VALUE""")," ")</f>
        <v> </v>
      </c>
      <c r="AP2326" s="2" t="str">
        <f>IFERROR(__xludf.DUMMYFUNCTION("""COMPUTED_VALUE"""),"")</f>
        <v/>
      </c>
      <c r="AQ2326" s="2"/>
      <c r="AR2326" s="2"/>
      <c r="AS2326" s="2"/>
      <c r="AT2326" s="2"/>
      <c r="AU2326" s="2"/>
      <c r="AV2326" s="2"/>
      <c r="AW2326" s="2"/>
      <c r="AX2326" s="2"/>
      <c r="AY2326" s="2"/>
      <c r="AZ2326" s="2"/>
      <c r="BA2326" s="2"/>
      <c r="BB2326" s="2"/>
    </row>
    <row r="2327">
      <c r="A2327" s="2"/>
      <c r="B2327" s="2" t="str">
        <f>IFERROR(__xludf.DUMMYFUNCTION("""COMPUTED_VALUE"""),"")</f>
        <v/>
      </c>
      <c r="C2327" s="2"/>
      <c r="D2327" s="71"/>
      <c r="E2327" s="71" t="str">
        <f>IFERROR(__xludf.DUMMYFUNCTION("""COMPUTED_VALUE""")," ")</f>
        <v> </v>
      </c>
      <c r="F2327" s="2"/>
      <c r="G2327" s="2"/>
      <c r="H2327" s="2"/>
      <c r="I2327" s="72"/>
      <c r="J2327" s="72"/>
      <c r="K2327" s="72"/>
      <c r="L2327" s="72"/>
      <c r="M2327" s="2"/>
      <c r="N2327" s="2"/>
      <c r="O2327" s="2"/>
      <c r="P2327" s="2"/>
      <c r="Q2327" s="2"/>
      <c r="R2327" s="2"/>
      <c r="S2327" s="2"/>
      <c r="T2327" s="2"/>
      <c r="U2327" s="2"/>
      <c r="V2327" s="2"/>
      <c r="W2327" s="2"/>
      <c r="X2327" s="2"/>
      <c r="Y2327" s="2"/>
      <c r="Z2327" s="2"/>
      <c r="AA2327" s="2"/>
      <c r="AB2327" s="2"/>
      <c r="AC2327" s="2"/>
      <c r="AD2327" s="2"/>
      <c r="AE2327" s="2"/>
      <c r="AF2327" s="2"/>
      <c r="AG2327" s="2"/>
      <c r="AH2327" s="2"/>
      <c r="AI2327" s="2"/>
      <c r="AJ2327" s="2" t="str">
        <f>IFERROR(__xludf.DUMMYFUNCTION("""COMPUTED_VALUE"""),"")</f>
        <v/>
      </c>
      <c r="AK2327" s="2" t="str">
        <f>IFERROR(__xludf.DUMMYFUNCTION("""COMPUTED_VALUE"""),"")</f>
        <v/>
      </c>
      <c r="AL2327" s="2" t="str">
        <f>IFERROR(__xludf.DUMMYFUNCTION("""COMPUTED_VALUE"""),"")</f>
        <v/>
      </c>
      <c r="AM2327" s="2" t="str">
        <f>IFERROR(__xludf.DUMMYFUNCTION("""COMPUTED_VALUE"""),"")</f>
        <v/>
      </c>
      <c r="AN2327" s="2" t="str">
        <f>IFERROR(__xludf.DUMMYFUNCTION("""COMPUTED_VALUE""")," ")</f>
        <v> </v>
      </c>
      <c r="AO2327" s="2" t="str">
        <f>IFERROR(__xludf.DUMMYFUNCTION("""COMPUTED_VALUE""")," ")</f>
        <v> </v>
      </c>
      <c r="AP2327" s="2" t="str">
        <f>IFERROR(__xludf.DUMMYFUNCTION("""COMPUTED_VALUE"""),"")</f>
        <v/>
      </c>
      <c r="AQ2327" s="2"/>
      <c r="AR2327" s="2"/>
      <c r="AS2327" s="2"/>
      <c r="AT2327" s="2"/>
      <c r="AU2327" s="2"/>
      <c r="AV2327" s="2"/>
      <c r="AW2327" s="2"/>
      <c r="AX2327" s="2"/>
      <c r="AY2327" s="2"/>
      <c r="AZ2327" s="2"/>
      <c r="BA2327" s="2"/>
      <c r="BB2327" s="2"/>
    </row>
    <row r="2328">
      <c r="A2328" s="2"/>
      <c r="B2328" s="2" t="str">
        <f>IFERROR(__xludf.DUMMYFUNCTION("""COMPUTED_VALUE"""),"")</f>
        <v/>
      </c>
      <c r="C2328" s="2"/>
      <c r="D2328" s="71"/>
      <c r="E2328" s="71" t="str">
        <f>IFERROR(__xludf.DUMMYFUNCTION("""COMPUTED_VALUE""")," ")</f>
        <v> </v>
      </c>
      <c r="F2328" s="2"/>
      <c r="G2328" s="2"/>
      <c r="H2328" s="2"/>
      <c r="I2328" s="72"/>
      <c r="J2328" s="72"/>
      <c r="K2328" s="72"/>
      <c r="L2328" s="72"/>
      <c r="M2328" s="2"/>
      <c r="N2328" s="2"/>
      <c r="O2328" s="2"/>
      <c r="P2328" s="2"/>
      <c r="Q2328" s="2"/>
      <c r="R2328" s="2"/>
      <c r="S2328" s="2"/>
      <c r="T2328" s="2"/>
      <c r="U2328" s="2"/>
      <c r="V2328" s="2"/>
      <c r="W2328" s="2"/>
      <c r="X2328" s="2"/>
      <c r="Y2328" s="2"/>
      <c r="Z2328" s="2"/>
      <c r="AA2328" s="2"/>
      <c r="AB2328" s="2"/>
      <c r="AC2328" s="2"/>
      <c r="AD2328" s="2"/>
      <c r="AE2328" s="2"/>
      <c r="AF2328" s="2"/>
      <c r="AG2328" s="2"/>
      <c r="AH2328" s="2"/>
      <c r="AI2328" s="2"/>
      <c r="AJ2328" s="2" t="str">
        <f>IFERROR(__xludf.DUMMYFUNCTION("""COMPUTED_VALUE"""),"")</f>
        <v/>
      </c>
      <c r="AK2328" s="2" t="str">
        <f>IFERROR(__xludf.DUMMYFUNCTION("""COMPUTED_VALUE"""),"")</f>
        <v/>
      </c>
      <c r="AL2328" s="2" t="str">
        <f>IFERROR(__xludf.DUMMYFUNCTION("""COMPUTED_VALUE"""),"")</f>
        <v/>
      </c>
      <c r="AM2328" s="2" t="str">
        <f>IFERROR(__xludf.DUMMYFUNCTION("""COMPUTED_VALUE"""),"")</f>
        <v/>
      </c>
      <c r="AN2328" s="2" t="str">
        <f>IFERROR(__xludf.DUMMYFUNCTION("""COMPUTED_VALUE""")," ")</f>
        <v> </v>
      </c>
      <c r="AO2328" s="2" t="str">
        <f>IFERROR(__xludf.DUMMYFUNCTION("""COMPUTED_VALUE""")," ")</f>
        <v> </v>
      </c>
      <c r="AP2328" s="2" t="str">
        <f>IFERROR(__xludf.DUMMYFUNCTION("""COMPUTED_VALUE"""),"")</f>
        <v/>
      </c>
      <c r="AQ2328" s="2"/>
      <c r="AR2328" s="2"/>
      <c r="AS2328" s="2"/>
      <c r="AT2328" s="2"/>
      <c r="AU2328" s="2"/>
      <c r="AV2328" s="2"/>
      <c r="AW2328" s="2"/>
      <c r="AX2328" s="2"/>
      <c r="AY2328" s="2"/>
      <c r="AZ2328" s="2"/>
      <c r="BA2328" s="2"/>
      <c r="BB2328" s="2"/>
    </row>
    <row r="2329">
      <c r="A2329" s="2"/>
      <c r="B2329" s="2" t="str">
        <f>IFERROR(__xludf.DUMMYFUNCTION("""COMPUTED_VALUE"""),"")</f>
        <v/>
      </c>
      <c r="C2329" s="2"/>
      <c r="D2329" s="71"/>
      <c r="E2329" s="71" t="str">
        <f>IFERROR(__xludf.DUMMYFUNCTION("""COMPUTED_VALUE""")," ")</f>
        <v> </v>
      </c>
      <c r="F2329" s="2"/>
      <c r="G2329" s="2"/>
      <c r="H2329" s="2"/>
      <c r="I2329" s="72"/>
      <c r="J2329" s="72"/>
      <c r="K2329" s="72"/>
      <c r="L2329" s="72"/>
      <c r="M2329" s="2"/>
      <c r="N2329" s="2"/>
      <c r="O2329" s="2"/>
      <c r="P2329" s="2"/>
      <c r="Q2329" s="2"/>
      <c r="R2329" s="2"/>
      <c r="S2329" s="2"/>
      <c r="T2329" s="2"/>
      <c r="U2329" s="2"/>
      <c r="V2329" s="2"/>
      <c r="W2329" s="2"/>
      <c r="X2329" s="2"/>
      <c r="Y2329" s="2"/>
      <c r="Z2329" s="2"/>
      <c r="AA2329" s="2"/>
      <c r="AB2329" s="2"/>
      <c r="AC2329" s="2"/>
      <c r="AD2329" s="2"/>
      <c r="AE2329" s="2"/>
      <c r="AF2329" s="2"/>
      <c r="AG2329" s="2"/>
      <c r="AH2329" s="2"/>
      <c r="AI2329" s="2"/>
      <c r="AJ2329" s="2" t="str">
        <f>IFERROR(__xludf.DUMMYFUNCTION("""COMPUTED_VALUE"""),"")</f>
        <v/>
      </c>
      <c r="AK2329" s="2" t="str">
        <f>IFERROR(__xludf.DUMMYFUNCTION("""COMPUTED_VALUE"""),"")</f>
        <v/>
      </c>
      <c r="AL2329" s="2" t="str">
        <f>IFERROR(__xludf.DUMMYFUNCTION("""COMPUTED_VALUE"""),"")</f>
        <v/>
      </c>
      <c r="AM2329" s="2" t="str">
        <f>IFERROR(__xludf.DUMMYFUNCTION("""COMPUTED_VALUE"""),"")</f>
        <v/>
      </c>
      <c r="AN2329" s="2" t="str">
        <f>IFERROR(__xludf.DUMMYFUNCTION("""COMPUTED_VALUE""")," ")</f>
        <v> </v>
      </c>
      <c r="AO2329" s="2" t="str">
        <f>IFERROR(__xludf.DUMMYFUNCTION("""COMPUTED_VALUE""")," ")</f>
        <v> </v>
      </c>
      <c r="AP2329" s="2" t="str">
        <f>IFERROR(__xludf.DUMMYFUNCTION("""COMPUTED_VALUE"""),"")</f>
        <v/>
      </c>
      <c r="AQ2329" s="2"/>
      <c r="AR2329" s="2"/>
      <c r="AS2329" s="2"/>
      <c r="AT2329" s="2"/>
      <c r="AU2329" s="2"/>
      <c r="AV2329" s="2"/>
      <c r="AW2329" s="2"/>
      <c r="AX2329" s="2"/>
      <c r="AY2329" s="2"/>
      <c r="AZ2329" s="2"/>
      <c r="BA2329" s="2"/>
      <c r="BB2329" s="2"/>
    </row>
    <row r="2330">
      <c r="A2330" s="2"/>
      <c r="B2330" s="2" t="str">
        <f>IFERROR(__xludf.DUMMYFUNCTION("""COMPUTED_VALUE"""),"")</f>
        <v/>
      </c>
      <c r="C2330" s="2"/>
      <c r="D2330" s="71"/>
      <c r="E2330" s="71" t="str">
        <f>IFERROR(__xludf.DUMMYFUNCTION("""COMPUTED_VALUE""")," ")</f>
        <v> </v>
      </c>
      <c r="F2330" s="2"/>
      <c r="G2330" s="2"/>
      <c r="H2330" s="2"/>
      <c r="I2330" s="72"/>
      <c r="J2330" s="72"/>
      <c r="K2330" s="72"/>
      <c r="L2330" s="72"/>
      <c r="M2330" s="2"/>
      <c r="N2330" s="2"/>
      <c r="O2330" s="2"/>
      <c r="P2330" s="2"/>
      <c r="Q2330" s="2"/>
      <c r="R2330" s="2"/>
      <c r="S2330" s="2"/>
      <c r="T2330" s="2"/>
      <c r="U2330" s="2"/>
      <c r="V2330" s="2"/>
      <c r="W2330" s="2"/>
      <c r="X2330" s="2"/>
      <c r="Y2330" s="2"/>
      <c r="Z2330" s="2"/>
      <c r="AA2330" s="2"/>
      <c r="AB2330" s="2"/>
      <c r="AC2330" s="2"/>
      <c r="AD2330" s="2"/>
      <c r="AE2330" s="2"/>
      <c r="AF2330" s="2"/>
      <c r="AG2330" s="2"/>
      <c r="AH2330" s="2"/>
      <c r="AI2330" s="2"/>
      <c r="AJ2330" s="2" t="str">
        <f>IFERROR(__xludf.DUMMYFUNCTION("""COMPUTED_VALUE"""),"")</f>
        <v/>
      </c>
      <c r="AK2330" s="2" t="str">
        <f>IFERROR(__xludf.DUMMYFUNCTION("""COMPUTED_VALUE"""),"")</f>
        <v/>
      </c>
      <c r="AL2330" s="2" t="str">
        <f>IFERROR(__xludf.DUMMYFUNCTION("""COMPUTED_VALUE"""),"")</f>
        <v/>
      </c>
      <c r="AM2330" s="2" t="str">
        <f>IFERROR(__xludf.DUMMYFUNCTION("""COMPUTED_VALUE"""),"")</f>
        <v/>
      </c>
      <c r="AN2330" s="2" t="str">
        <f>IFERROR(__xludf.DUMMYFUNCTION("""COMPUTED_VALUE""")," ")</f>
        <v> </v>
      </c>
      <c r="AO2330" s="2" t="str">
        <f>IFERROR(__xludf.DUMMYFUNCTION("""COMPUTED_VALUE""")," ")</f>
        <v> </v>
      </c>
      <c r="AP2330" s="2" t="str">
        <f>IFERROR(__xludf.DUMMYFUNCTION("""COMPUTED_VALUE"""),"")</f>
        <v/>
      </c>
      <c r="AQ2330" s="2"/>
      <c r="AR2330" s="2"/>
      <c r="AS2330" s="2"/>
      <c r="AT2330" s="2"/>
      <c r="AU2330" s="2"/>
      <c r="AV2330" s="2"/>
      <c r="AW2330" s="2"/>
      <c r="AX2330" s="2"/>
      <c r="AY2330" s="2"/>
      <c r="AZ2330" s="2"/>
      <c r="BA2330" s="2"/>
      <c r="BB2330" s="2"/>
    </row>
    <row r="2331">
      <c r="A2331" s="2"/>
      <c r="B2331" s="2" t="str">
        <f>IFERROR(__xludf.DUMMYFUNCTION("""COMPUTED_VALUE"""),"")</f>
        <v/>
      </c>
      <c r="C2331" s="2"/>
      <c r="D2331" s="71"/>
      <c r="E2331" s="71" t="str">
        <f>IFERROR(__xludf.DUMMYFUNCTION("""COMPUTED_VALUE""")," ")</f>
        <v> </v>
      </c>
      <c r="F2331" s="2"/>
      <c r="G2331" s="2"/>
      <c r="H2331" s="2"/>
      <c r="I2331" s="72"/>
      <c r="J2331" s="72"/>
      <c r="K2331" s="72"/>
      <c r="L2331" s="72"/>
      <c r="M2331" s="2"/>
      <c r="N2331" s="2"/>
      <c r="O2331" s="2"/>
      <c r="P2331" s="2"/>
      <c r="Q2331" s="2"/>
      <c r="R2331" s="2"/>
      <c r="S2331" s="2"/>
      <c r="T2331" s="2"/>
      <c r="U2331" s="2"/>
      <c r="V2331" s="2"/>
      <c r="W2331" s="2"/>
      <c r="X2331" s="2"/>
      <c r="Y2331" s="2"/>
      <c r="Z2331" s="2"/>
      <c r="AA2331" s="2"/>
      <c r="AB2331" s="2"/>
      <c r="AC2331" s="2"/>
      <c r="AD2331" s="2"/>
      <c r="AE2331" s="2"/>
      <c r="AF2331" s="2"/>
      <c r="AG2331" s="2"/>
      <c r="AH2331" s="2"/>
      <c r="AI2331" s="2"/>
      <c r="AJ2331" s="2" t="str">
        <f>IFERROR(__xludf.DUMMYFUNCTION("""COMPUTED_VALUE"""),"")</f>
        <v/>
      </c>
      <c r="AK2331" s="2" t="str">
        <f>IFERROR(__xludf.DUMMYFUNCTION("""COMPUTED_VALUE"""),"")</f>
        <v/>
      </c>
      <c r="AL2331" s="2" t="str">
        <f>IFERROR(__xludf.DUMMYFUNCTION("""COMPUTED_VALUE"""),"")</f>
        <v/>
      </c>
      <c r="AM2331" s="2" t="str">
        <f>IFERROR(__xludf.DUMMYFUNCTION("""COMPUTED_VALUE"""),"")</f>
        <v/>
      </c>
      <c r="AN2331" s="2" t="str">
        <f>IFERROR(__xludf.DUMMYFUNCTION("""COMPUTED_VALUE""")," ")</f>
        <v> </v>
      </c>
      <c r="AO2331" s="2" t="str">
        <f>IFERROR(__xludf.DUMMYFUNCTION("""COMPUTED_VALUE""")," ")</f>
        <v> </v>
      </c>
      <c r="AP2331" s="2" t="str">
        <f>IFERROR(__xludf.DUMMYFUNCTION("""COMPUTED_VALUE"""),"")</f>
        <v/>
      </c>
      <c r="AQ2331" s="2"/>
      <c r="AR2331" s="2"/>
      <c r="AS2331" s="2"/>
      <c r="AT2331" s="2"/>
      <c r="AU2331" s="2"/>
      <c r="AV2331" s="2"/>
      <c r="AW2331" s="2"/>
      <c r="AX2331" s="2"/>
      <c r="AY2331" s="2"/>
      <c r="AZ2331" s="2"/>
      <c r="BA2331" s="2"/>
      <c r="BB2331" s="2"/>
    </row>
    <row r="2332">
      <c r="A2332" s="2"/>
      <c r="B2332" s="2" t="str">
        <f>IFERROR(__xludf.DUMMYFUNCTION("""COMPUTED_VALUE"""),"")</f>
        <v/>
      </c>
      <c r="C2332" s="2"/>
      <c r="D2332" s="71"/>
      <c r="E2332" s="71" t="str">
        <f>IFERROR(__xludf.DUMMYFUNCTION("""COMPUTED_VALUE""")," ")</f>
        <v> </v>
      </c>
      <c r="F2332" s="2"/>
      <c r="G2332" s="2"/>
      <c r="H2332" s="2"/>
      <c r="I2332" s="72"/>
      <c r="J2332" s="72"/>
      <c r="K2332" s="72"/>
      <c r="L2332" s="72"/>
      <c r="M2332" s="2"/>
      <c r="N2332" s="2"/>
      <c r="O2332" s="2"/>
      <c r="P2332" s="2"/>
      <c r="Q2332" s="2"/>
      <c r="R2332" s="2"/>
      <c r="S2332" s="2"/>
      <c r="T2332" s="2"/>
      <c r="U2332" s="2"/>
      <c r="V2332" s="2"/>
      <c r="W2332" s="2"/>
      <c r="X2332" s="2"/>
      <c r="Y2332" s="2"/>
      <c r="Z2332" s="2"/>
      <c r="AA2332" s="2"/>
      <c r="AB2332" s="2"/>
      <c r="AC2332" s="2"/>
      <c r="AD2332" s="2"/>
      <c r="AE2332" s="2"/>
      <c r="AF2332" s="2"/>
      <c r="AG2332" s="2"/>
      <c r="AH2332" s="2"/>
      <c r="AI2332" s="2"/>
      <c r="AJ2332" s="2" t="str">
        <f>IFERROR(__xludf.DUMMYFUNCTION("""COMPUTED_VALUE"""),"")</f>
        <v/>
      </c>
      <c r="AK2332" s="2" t="str">
        <f>IFERROR(__xludf.DUMMYFUNCTION("""COMPUTED_VALUE"""),"")</f>
        <v/>
      </c>
      <c r="AL2332" s="2" t="str">
        <f>IFERROR(__xludf.DUMMYFUNCTION("""COMPUTED_VALUE"""),"")</f>
        <v/>
      </c>
      <c r="AM2332" s="2" t="str">
        <f>IFERROR(__xludf.DUMMYFUNCTION("""COMPUTED_VALUE"""),"")</f>
        <v/>
      </c>
      <c r="AN2332" s="2" t="str">
        <f>IFERROR(__xludf.DUMMYFUNCTION("""COMPUTED_VALUE""")," ")</f>
        <v> </v>
      </c>
      <c r="AO2332" s="2" t="str">
        <f>IFERROR(__xludf.DUMMYFUNCTION("""COMPUTED_VALUE""")," ")</f>
        <v> </v>
      </c>
      <c r="AP2332" s="2" t="str">
        <f>IFERROR(__xludf.DUMMYFUNCTION("""COMPUTED_VALUE"""),"")</f>
        <v/>
      </c>
      <c r="AQ2332" s="2"/>
      <c r="AR2332" s="2"/>
      <c r="AS2332" s="2"/>
      <c r="AT2332" s="2"/>
      <c r="AU2332" s="2"/>
      <c r="AV2332" s="2"/>
      <c r="AW2332" s="2"/>
      <c r="AX2332" s="2"/>
      <c r="AY2332" s="2"/>
      <c r="AZ2332" s="2"/>
      <c r="BA2332" s="2"/>
      <c r="BB2332" s="2"/>
    </row>
    <row r="2333">
      <c r="A2333" s="2"/>
      <c r="B2333" s="2" t="str">
        <f>IFERROR(__xludf.DUMMYFUNCTION("""COMPUTED_VALUE"""),"")</f>
        <v/>
      </c>
      <c r="C2333" s="2"/>
      <c r="D2333" s="71"/>
      <c r="E2333" s="71" t="str">
        <f>IFERROR(__xludf.DUMMYFUNCTION("""COMPUTED_VALUE""")," ")</f>
        <v> </v>
      </c>
      <c r="F2333" s="2"/>
      <c r="G2333" s="2"/>
      <c r="H2333" s="2"/>
      <c r="I2333" s="72"/>
      <c r="J2333" s="72"/>
      <c r="K2333" s="72"/>
      <c r="L2333" s="72"/>
      <c r="M2333" s="2"/>
      <c r="N2333" s="2"/>
      <c r="O2333" s="2"/>
      <c r="P2333" s="2"/>
      <c r="Q2333" s="2"/>
      <c r="R2333" s="2"/>
      <c r="S2333" s="2"/>
      <c r="T2333" s="2"/>
      <c r="U2333" s="2"/>
      <c r="V2333" s="2"/>
      <c r="W2333" s="2"/>
      <c r="X2333" s="2"/>
      <c r="Y2333" s="2"/>
      <c r="Z2333" s="2"/>
      <c r="AA2333" s="2"/>
      <c r="AB2333" s="2"/>
      <c r="AC2333" s="2"/>
      <c r="AD2333" s="2"/>
      <c r="AE2333" s="2"/>
      <c r="AF2333" s="2"/>
      <c r="AG2333" s="2"/>
      <c r="AH2333" s="2"/>
      <c r="AI2333" s="2"/>
      <c r="AJ2333" s="2" t="str">
        <f>IFERROR(__xludf.DUMMYFUNCTION("""COMPUTED_VALUE"""),"")</f>
        <v/>
      </c>
      <c r="AK2333" s="2" t="str">
        <f>IFERROR(__xludf.DUMMYFUNCTION("""COMPUTED_VALUE"""),"")</f>
        <v/>
      </c>
      <c r="AL2333" s="2" t="str">
        <f>IFERROR(__xludf.DUMMYFUNCTION("""COMPUTED_VALUE"""),"")</f>
        <v/>
      </c>
      <c r="AM2333" s="2" t="str">
        <f>IFERROR(__xludf.DUMMYFUNCTION("""COMPUTED_VALUE"""),"")</f>
        <v/>
      </c>
      <c r="AN2333" s="2" t="str">
        <f>IFERROR(__xludf.DUMMYFUNCTION("""COMPUTED_VALUE""")," ")</f>
        <v> </v>
      </c>
      <c r="AO2333" s="2" t="str">
        <f>IFERROR(__xludf.DUMMYFUNCTION("""COMPUTED_VALUE""")," ")</f>
        <v> </v>
      </c>
      <c r="AP2333" s="2" t="str">
        <f>IFERROR(__xludf.DUMMYFUNCTION("""COMPUTED_VALUE"""),"")</f>
        <v/>
      </c>
      <c r="AQ2333" s="2"/>
      <c r="AR2333" s="2"/>
      <c r="AS2333" s="2"/>
      <c r="AT2333" s="2"/>
      <c r="AU2333" s="2"/>
      <c r="AV2333" s="2"/>
      <c r="AW2333" s="2"/>
      <c r="AX2333" s="2"/>
      <c r="AY2333" s="2"/>
      <c r="AZ2333" s="2"/>
      <c r="BA2333" s="2"/>
      <c r="BB2333" s="2"/>
    </row>
    <row r="2334">
      <c r="A2334" s="2"/>
      <c r="B2334" s="2" t="str">
        <f>IFERROR(__xludf.DUMMYFUNCTION("""COMPUTED_VALUE"""),"")</f>
        <v/>
      </c>
      <c r="C2334" s="2"/>
      <c r="D2334" s="71"/>
      <c r="E2334" s="71" t="str">
        <f>IFERROR(__xludf.DUMMYFUNCTION("""COMPUTED_VALUE""")," ")</f>
        <v> </v>
      </c>
      <c r="F2334" s="2"/>
      <c r="G2334" s="2"/>
      <c r="H2334" s="2"/>
      <c r="I2334" s="72"/>
      <c r="J2334" s="72"/>
      <c r="K2334" s="72"/>
      <c r="L2334" s="72"/>
      <c r="M2334" s="2"/>
      <c r="N2334" s="2"/>
      <c r="O2334" s="2"/>
      <c r="P2334" s="2"/>
      <c r="Q2334" s="2"/>
      <c r="R2334" s="2"/>
      <c r="S2334" s="2"/>
      <c r="T2334" s="2"/>
      <c r="U2334" s="2"/>
      <c r="V2334" s="2"/>
      <c r="W2334" s="2"/>
      <c r="X2334" s="2"/>
      <c r="Y2334" s="2"/>
      <c r="Z2334" s="2"/>
      <c r="AA2334" s="2"/>
      <c r="AB2334" s="2"/>
      <c r="AC2334" s="2"/>
      <c r="AD2334" s="2"/>
      <c r="AE2334" s="2"/>
      <c r="AF2334" s="2"/>
      <c r="AG2334" s="2"/>
      <c r="AH2334" s="2"/>
      <c r="AI2334" s="2"/>
      <c r="AJ2334" s="2" t="str">
        <f>IFERROR(__xludf.DUMMYFUNCTION("""COMPUTED_VALUE"""),"")</f>
        <v/>
      </c>
      <c r="AK2334" s="2" t="str">
        <f>IFERROR(__xludf.DUMMYFUNCTION("""COMPUTED_VALUE"""),"")</f>
        <v/>
      </c>
      <c r="AL2334" s="2" t="str">
        <f>IFERROR(__xludf.DUMMYFUNCTION("""COMPUTED_VALUE"""),"")</f>
        <v/>
      </c>
      <c r="AM2334" s="2" t="str">
        <f>IFERROR(__xludf.DUMMYFUNCTION("""COMPUTED_VALUE"""),"")</f>
        <v/>
      </c>
      <c r="AN2334" s="2" t="str">
        <f>IFERROR(__xludf.DUMMYFUNCTION("""COMPUTED_VALUE""")," ")</f>
        <v> </v>
      </c>
      <c r="AO2334" s="2" t="str">
        <f>IFERROR(__xludf.DUMMYFUNCTION("""COMPUTED_VALUE""")," ")</f>
        <v> </v>
      </c>
      <c r="AP2334" s="2" t="str">
        <f>IFERROR(__xludf.DUMMYFUNCTION("""COMPUTED_VALUE"""),"")</f>
        <v/>
      </c>
      <c r="AQ2334" s="2"/>
      <c r="AR2334" s="2"/>
      <c r="AS2334" s="2"/>
      <c r="AT2334" s="2"/>
      <c r="AU2334" s="2"/>
      <c r="AV2334" s="2"/>
      <c r="AW2334" s="2"/>
      <c r="AX2334" s="2"/>
      <c r="AY2334" s="2"/>
      <c r="AZ2334" s="2"/>
      <c r="BA2334" s="2"/>
      <c r="BB2334" s="2"/>
    </row>
    <row r="2335">
      <c r="A2335" s="2"/>
      <c r="B2335" s="2" t="str">
        <f>IFERROR(__xludf.DUMMYFUNCTION("""COMPUTED_VALUE"""),"")</f>
        <v/>
      </c>
      <c r="C2335" s="2"/>
      <c r="D2335" s="71"/>
      <c r="E2335" s="71" t="str">
        <f>IFERROR(__xludf.DUMMYFUNCTION("""COMPUTED_VALUE""")," ")</f>
        <v> </v>
      </c>
      <c r="F2335" s="2"/>
      <c r="G2335" s="2"/>
      <c r="H2335" s="2"/>
      <c r="I2335" s="72"/>
      <c r="J2335" s="72"/>
      <c r="K2335" s="72"/>
      <c r="L2335" s="72"/>
      <c r="M2335" s="2"/>
      <c r="N2335" s="2"/>
      <c r="O2335" s="2"/>
      <c r="P2335" s="2"/>
      <c r="Q2335" s="2"/>
      <c r="R2335" s="2"/>
      <c r="S2335" s="2"/>
      <c r="T2335" s="2"/>
      <c r="U2335" s="2"/>
      <c r="V2335" s="2"/>
      <c r="W2335" s="2"/>
      <c r="X2335" s="2"/>
      <c r="Y2335" s="2"/>
      <c r="Z2335" s="2"/>
      <c r="AA2335" s="2"/>
      <c r="AB2335" s="2"/>
      <c r="AC2335" s="2"/>
      <c r="AD2335" s="2"/>
      <c r="AE2335" s="2"/>
      <c r="AF2335" s="2"/>
      <c r="AG2335" s="2"/>
      <c r="AH2335" s="2"/>
      <c r="AI2335" s="2"/>
      <c r="AJ2335" s="2" t="str">
        <f>IFERROR(__xludf.DUMMYFUNCTION("""COMPUTED_VALUE"""),"")</f>
        <v/>
      </c>
      <c r="AK2335" s="2" t="str">
        <f>IFERROR(__xludf.DUMMYFUNCTION("""COMPUTED_VALUE"""),"")</f>
        <v/>
      </c>
      <c r="AL2335" s="2" t="str">
        <f>IFERROR(__xludf.DUMMYFUNCTION("""COMPUTED_VALUE"""),"")</f>
        <v/>
      </c>
      <c r="AM2335" s="2" t="str">
        <f>IFERROR(__xludf.DUMMYFUNCTION("""COMPUTED_VALUE"""),"")</f>
        <v/>
      </c>
      <c r="AN2335" s="2" t="str">
        <f>IFERROR(__xludf.DUMMYFUNCTION("""COMPUTED_VALUE""")," ")</f>
        <v> </v>
      </c>
      <c r="AO2335" s="2" t="str">
        <f>IFERROR(__xludf.DUMMYFUNCTION("""COMPUTED_VALUE""")," ")</f>
        <v> </v>
      </c>
      <c r="AP2335" s="2" t="str">
        <f>IFERROR(__xludf.DUMMYFUNCTION("""COMPUTED_VALUE"""),"")</f>
        <v/>
      </c>
      <c r="AQ2335" s="2"/>
      <c r="AR2335" s="2"/>
      <c r="AS2335" s="2"/>
      <c r="AT2335" s="2"/>
      <c r="AU2335" s="2"/>
      <c r="AV2335" s="2"/>
      <c r="AW2335" s="2"/>
      <c r="AX2335" s="2"/>
      <c r="AY2335" s="2"/>
      <c r="AZ2335" s="2"/>
      <c r="BA2335" s="2"/>
      <c r="BB2335" s="2"/>
    </row>
    <row r="2336">
      <c r="A2336" s="2"/>
      <c r="B2336" s="2" t="str">
        <f>IFERROR(__xludf.DUMMYFUNCTION("""COMPUTED_VALUE"""),"")</f>
        <v/>
      </c>
      <c r="C2336" s="2"/>
      <c r="D2336" s="71"/>
      <c r="E2336" s="71" t="str">
        <f>IFERROR(__xludf.DUMMYFUNCTION("""COMPUTED_VALUE""")," ")</f>
        <v> </v>
      </c>
      <c r="F2336" s="2"/>
      <c r="G2336" s="2"/>
      <c r="H2336" s="2"/>
      <c r="I2336" s="72"/>
      <c r="J2336" s="72"/>
      <c r="K2336" s="72"/>
      <c r="L2336" s="72"/>
      <c r="M2336" s="2"/>
      <c r="N2336" s="2"/>
      <c r="O2336" s="2"/>
      <c r="P2336" s="2"/>
      <c r="Q2336" s="2"/>
      <c r="R2336" s="2"/>
      <c r="S2336" s="2"/>
      <c r="T2336" s="2"/>
      <c r="U2336" s="2"/>
      <c r="V2336" s="2"/>
      <c r="W2336" s="2"/>
      <c r="X2336" s="2"/>
      <c r="Y2336" s="2"/>
      <c r="Z2336" s="2"/>
      <c r="AA2336" s="2"/>
      <c r="AB2336" s="2"/>
      <c r="AC2336" s="2"/>
      <c r="AD2336" s="2"/>
      <c r="AE2336" s="2"/>
      <c r="AF2336" s="2"/>
      <c r="AG2336" s="2"/>
      <c r="AH2336" s="2"/>
      <c r="AI2336" s="2"/>
      <c r="AJ2336" s="2" t="str">
        <f>IFERROR(__xludf.DUMMYFUNCTION("""COMPUTED_VALUE"""),"")</f>
        <v/>
      </c>
      <c r="AK2336" s="2" t="str">
        <f>IFERROR(__xludf.DUMMYFUNCTION("""COMPUTED_VALUE"""),"")</f>
        <v/>
      </c>
      <c r="AL2336" s="2" t="str">
        <f>IFERROR(__xludf.DUMMYFUNCTION("""COMPUTED_VALUE"""),"")</f>
        <v/>
      </c>
      <c r="AM2336" s="2" t="str">
        <f>IFERROR(__xludf.DUMMYFUNCTION("""COMPUTED_VALUE"""),"")</f>
        <v/>
      </c>
      <c r="AN2336" s="2" t="str">
        <f>IFERROR(__xludf.DUMMYFUNCTION("""COMPUTED_VALUE""")," ")</f>
        <v> </v>
      </c>
      <c r="AO2336" s="2" t="str">
        <f>IFERROR(__xludf.DUMMYFUNCTION("""COMPUTED_VALUE""")," ")</f>
        <v> </v>
      </c>
      <c r="AP2336" s="2" t="str">
        <f>IFERROR(__xludf.DUMMYFUNCTION("""COMPUTED_VALUE"""),"")</f>
        <v/>
      </c>
      <c r="AQ2336" s="2"/>
      <c r="AR2336" s="2"/>
      <c r="AS2336" s="2"/>
      <c r="AT2336" s="2"/>
      <c r="AU2336" s="2"/>
      <c r="AV2336" s="2"/>
      <c r="AW2336" s="2"/>
      <c r="AX2336" s="2"/>
      <c r="AY2336" s="2"/>
      <c r="AZ2336" s="2"/>
      <c r="BA2336" s="2"/>
      <c r="BB2336" s="2"/>
    </row>
    <row r="2337">
      <c r="A2337" s="2"/>
      <c r="B2337" s="2" t="str">
        <f>IFERROR(__xludf.DUMMYFUNCTION("""COMPUTED_VALUE"""),"")</f>
        <v/>
      </c>
      <c r="C2337" s="2"/>
      <c r="D2337" s="71"/>
      <c r="E2337" s="71" t="str">
        <f>IFERROR(__xludf.DUMMYFUNCTION("""COMPUTED_VALUE""")," ")</f>
        <v> </v>
      </c>
      <c r="F2337" s="2"/>
      <c r="G2337" s="2"/>
      <c r="H2337" s="2"/>
      <c r="I2337" s="72"/>
      <c r="J2337" s="72"/>
      <c r="K2337" s="72"/>
      <c r="L2337" s="72"/>
      <c r="M2337" s="2"/>
      <c r="N2337" s="2"/>
      <c r="O2337" s="2"/>
      <c r="P2337" s="2"/>
      <c r="Q2337" s="2"/>
      <c r="R2337" s="2"/>
      <c r="S2337" s="2"/>
      <c r="T2337" s="2"/>
      <c r="U2337" s="2"/>
      <c r="V2337" s="2"/>
      <c r="W2337" s="2"/>
      <c r="X2337" s="2"/>
      <c r="Y2337" s="2"/>
      <c r="Z2337" s="2"/>
      <c r="AA2337" s="2"/>
      <c r="AB2337" s="2"/>
      <c r="AC2337" s="2"/>
      <c r="AD2337" s="2"/>
      <c r="AE2337" s="2"/>
      <c r="AF2337" s="2"/>
      <c r="AG2337" s="2"/>
      <c r="AH2337" s="2"/>
      <c r="AI2337" s="2"/>
      <c r="AJ2337" s="2" t="str">
        <f>IFERROR(__xludf.DUMMYFUNCTION("""COMPUTED_VALUE"""),"")</f>
        <v/>
      </c>
      <c r="AK2337" s="2" t="str">
        <f>IFERROR(__xludf.DUMMYFUNCTION("""COMPUTED_VALUE"""),"")</f>
        <v/>
      </c>
      <c r="AL2337" s="2" t="str">
        <f>IFERROR(__xludf.DUMMYFUNCTION("""COMPUTED_VALUE"""),"")</f>
        <v/>
      </c>
      <c r="AM2337" s="2" t="str">
        <f>IFERROR(__xludf.DUMMYFUNCTION("""COMPUTED_VALUE"""),"")</f>
        <v/>
      </c>
      <c r="AN2337" s="2" t="str">
        <f>IFERROR(__xludf.DUMMYFUNCTION("""COMPUTED_VALUE""")," ")</f>
        <v> </v>
      </c>
      <c r="AO2337" s="2" t="str">
        <f>IFERROR(__xludf.DUMMYFUNCTION("""COMPUTED_VALUE""")," ")</f>
        <v> </v>
      </c>
      <c r="AP2337" s="2" t="str">
        <f>IFERROR(__xludf.DUMMYFUNCTION("""COMPUTED_VALUE"""),"")</f>
        <v/>
      </c>
      <c r="AQ2337" s="2"/>
      <c r="AR2337" s="2"/>
      <c r="AS2337" s="2"/>
      <c r="AT2337" s="2"/>
      <c r="AU2337" s="2"/>
      <c r="AV2337" s="2"/>
      <c r="AW2337" s="2"/>
      <c r="AX2337" s="2"/>
      <c r="AY2337" s="2"/>
      <c r="AZ2337" s="2"/>
      <c r="BA2337" s="2"/>
      <c r="BB2337" s="2"/>
    </row>
    <row r="2338">
      <c r="A2338" s="2"/>
      <c r="B2338" s="2" t="str">
        <f>IFERROR(__xludf.DUMMYFUNCTION("""COMPUTED_VALUE"""),"")</f>
        <v/>
      </c>
      <c r="C2338" s="2"/>
      <c r="D2338" s="71"/>
      <c r="E2338" s="71" t="str">
        <f>IFERROR(__xludf.DUMMYFUNCTION("""COMPUTED_VALUE""")," ")</f>
        <v> </v>
      </c>
      <c r="F2338" s="2"/>
      <c r="G2338" s="2"/>
      <c r="H2338" s="2"/>
      <c r="I2338" s="72"/>
      <c r="J2338" s="72"/>
      <c r="K2338" s="72"/>
      <c r="L2338" s="72"/>
      <c r="M2338" s="2"/>
      <c r="N2338" s="2"/>
      <c r="O2338" s="2"/>
      <c r="P2338" s="2"/>
      <c r="Q2338" s="2"/>
      <c r="R2338" s="2"/>
      <c r="S2338" s="2"/>
      <c r="T2338" s="2"/>
      <c r="U2338" s="2"/>
      <c r="V2338" s="2"/>
      <c r="W2338" s="2"/>
      <c r="X2338" s="2"/>
      <c r="Y2338" s="2"/>
      <c r="Z2338" s="2"/>
      <c r="AA2338" s="2"/>
      <c r="AB2338" s="2"/>
      <c r="AC2338" s="2"/>
      <c r="AD2338" s="2"/>
      <c r="AE2338" s="2"/>
      <c r="AF2338" s="2"/>
      <c r="AG2338" s="2"/>
      <c r="AH2338" s="2"/>
      <c r="AI2338" s="2"/>
      <c r="AJ2338" s="2" t="str">
        <f>IFERROR(__xludf.DUMMYFUNCTION("""COMPUTED_VALUE"""),"")</f>
        <v/>
      </c>
      <c r="AK2338" s="2" t="str">
        <f>IFERROR(__xludf.DUMMYFUNCTION("""COMPUTED_VALUE"""),"")</f>
        <v/>
      </c>
      <c r="AL2338" s="2" t="str">
        <f>IFERROR(__xludf.DUMMYFUNCTION("""COMPUTED_VALUE"""),"")</f>
        <v/>
      </c>
      <c r="AM2338" s="2" t="str">
        <f>IFERROR(__xludf.DUMMYFUNCTION("""COMPUTED_VALUE"""),"")</f>
        <v/>
      </c>
      <c r="AN2338" s="2" t="str">
        <f>IFERROR(__xludf.DUMMYFUNCTION("""COMPUTED_VALUE""")," ")</f>
        <v> </v>
      </c>
      <c r="AO2338" s="2" t="str">
        <f>IFERROR(__xludf.DUMMYFUNCTION("""COMPUTED_VALUE""")," ")</f>
        <v> </v>
      </c>
      <c r="AP2338" s="2" t="str">
        <f>IFERROR(__xludf.DUMMYFUNCTION("""COMPUTED_VALUE"""),"")</f>
        <v/>
      </c>
      <c r="AQ2338" s="2"/>
      <c r="AR2338" s="2"/>
      <c r="AS2338" s="2"/>
      <c r="AT2338" s="2"/>
      <c r="AU2338" s="2"/>
      <c r="AV2338" s="2"/>
      <c r="AW2338" s="2"/>
      <c r="AX2338" s="2"/>
      <c r="AY2338" s="2"/>
      <c r="AZ2338" s="2"/>
      <c r="BA2338" s="2"/>
      <c r="BB2338" s="2"/>
    </row>
    <row r="2339">
      <c r="A2339" s="2"/>
      <c r="B2339" s="2" t="str">
        <f>IFERROR(__xludf.DUMMYFUNCTION("""COMPUTED_VALUE"""),"")</f>
        <v/>
      </c>
      <c r="C2339" s="2"/>
      <c r="D2339" s="71"/>
      <c r="E2339" s="71" t="str">
        <f>IFERROR(__xludf.DUMMYFUNCTION("""COMPUTED_VALUE""")," ")</f>
        <v> </v>
      </c>
      <c r="F2339" s="2"/>
      <c r="G2339" s="2"/>
      <c r="H2339" s="2"/>
      <c r="I2339" s="72"/>
      <c r="J2339" s="72"/>
      <c r="K2339" s="72"/>
      <c r="L2339" s="72"/>
      <c r="M2339" s="2"/>
      <c r="N2339" s="2"/>
      <c r="O2339" s="2"/>
      <c r="P2339" s="2"/>
      <c r="Q2339" s="2"/>
      <c r="R2339" s="2"/>
      <c r="S2339" s="2"/>
      <c r="T2339" s="2"/>
      <c r="U2339" s="2"/>
      <c r="V2339" s="2"/>
      <c r="W2339" s="2"/>
      <c r="X2339" s="2"/>
      <c r="Y2339" s="2"/>
      <c r="Z2339" s="2"/>
      <c r="AA2339" s="2"/>
      <c r="AB2339" s="2"/>
      <c r="AC2339" s="2"/>
      <c r="AD2339" s="2"/>
      <c r="AE2339" s="2"/>
      <c r="AF2339" s="2"/>
      <c r="AG2339" s="2"/>
      <c r="AH2339" s="2"/>
      <c r="AI2339" s="2"/>
      <c r="AJ2339" s="2" t="str">
        <f>IFERROR(__xludf.DUMMYFUNCTION("""COMPUTED_VALUE"""),"")</f>
        <v/>
      </c>
      <c r="AK2339" s="2" t="str">
        <f>IFERROR(__xludf.DUMMYFUNCTION("""COMPUTED_VALUE"""),"")</f>
        <v/>
      </c>
      <c r="AL2339" s="2" t="str">
        <f>IFERROR(__xludf.DUMMYFUNCTION("""COMPUTED_VALUE"""),"")</f>
        <v/>
      </c>
      <c r="AM2339" s="2" t="str">
        <f>IFERROR(__xludf.DUMMYFUNCTION("""COMPUTED_VALUE"""),"")</f>
        <v/>
      </c>
      <c r="AN2339" s="2" t="str">
        <f>IFERROR(__xludf.DUMMYFUNCTION("""COMPUTED_VALUE""")," ")</f>
        <v> </v>
      </c>
      <c r="AO2339" s="2" t="str">
        <f>IFERROR(__xludf.DUMMYFUNCTION("""COMPUTED_VALUE""")," ")</f>
        <v> </v>
      </c>
      <c r="AP2339" s="2" t="str">
        <f>IFERROR(__xludf.DUMMYFUNCTION("""COMPUTED_VALUE"""),"")</f>
        <v/>
      </c>
      <c r="AQ2339" s="2"/>
      <c r="AR2339" s="2"/>
      <c r="AS2339" s="2"/>
      <c r="AT2339" s="2"/>
      <c r="AU2339" s="2"/>
      <c r="AV2339" s="2"/>
      <c r="AW2339" s="2"/>
      <c r="AX2339" s="2"/>
      <c r="AY2339" s="2"/>
      <c r="AZ2339" s="2"/>
      <c r="BA2339" s="2"/>
      <c r="BB2339" s="2"/>
    </row>
    <row r="2340">
      <c r="A2340" s="2"/>
      <c r="B2340" s="2" t="str">
        <f>IFERROR(__xludf.DUMMYFUNCTION("""COMPUTED_VALUE"""),"")</f>
        <v/>
      </c>
      <c r="C2340" s="2"/>
      <c r="D2340" s="71"/>
      <c r="E2340" s="71" t="str">
        <f>IFERROR(__xludf.DUMMYFUNCTION("""COMPUTED_VALUE""")," ")</f>
        <v> </v>
      </c>
      <c r="F2340" s="2"/>
      <c r="G2340" s="2"/>
      <c r="H2340" s="2"/>
      <c r="I2340" s="72"/>
      <c r="J2340" s="72"/>
      <c r="K2340" s="72"/>
      <c r="L2340" s="72"/>
      <c r="M2340" s="2"/>
      <c r="N2340" s="2"/>
      <c r="O2340" s="2"/>
      <c r="P2340" s="2"/>
      <c r="Q2340" s="2"/>
      <c r="R2340" s="2"/>
      <c r="S2340" s="2"/>
      <c r="T2340" s="2"/>
      <c r="U2340" s="2"/>
      <c r="V2340" s="2"/>
      <c r="W2340" s="2"/>
      <c r="X2340" s="2"/>
      <c r="Y2340" s="2"/>
      <c r="Z2340" s="2"/>
      <c r="AA2340" s="2"/>
      <c r="AB2340" s="2"/>
      <c r="AC2340" s="2"/>
      <c r="AD2340" s="2"/>
      <c r="AE2340" s="2"/>
      <c r="AF2340" s="2"/>
      <c r="AG2340" s="2"/>
      <c r="AH2340" s="2"/>
      <c r="AI2340" s="2"/>
      <c r="AJ2340" s="2" t="str">
        <f>IFERROR(__xludf.DUMMYFUNCTION("""COMPUTED_VALUE"""),"")</f>
        <v/>
      </c>
      <c r="AK2340" s="2" t="str">
        <f>IFERROR(__xludf.DUMMYFUNCTION("""COMPUTED_VALUE"""),"")</f>
        <v/>
      </c>
      <c r="AL2340" s="2" t="str">
        <f>IFERROR(__xludf.DUMMYFUNCTION("""COMPUTED_VALUE"""),"")</f>
        <v/>
      </c>
      <c r="AM2340" s="2" t="str">
        <f>IFERROR(__xludf.DUMMYFUNCTION("""COMPUTED_VALUE"""),"")</f>
        <v/>
      </c>
      <c r="AN2340" s="2" t="str">
        <f>IFERROR(__xludf.DUMMYFUNCTION("""COMPUTED_VALUE""")," ")</f>
        <v> </v>
      </c>
      <c r="AO2340" s="2" t="str">
        <f>IFERROR(__xludf.DUMMYFUNCTION("""COMPUTED_VALUE""")," ")</f>
        <v> </v>
      </c>
      <c r="AP2340" s="2" t="str">
        <f>IFERROR(__xludf.DUMMYFUNCTION("""COMPUTED_VALUE"""),"")</f>
        <v/>
      </c>
      <c r="AQ2340" s="2"/>
      <c r="AR2340" s="2"/>
      <c r="AS2340" s="2"/>
      <c r="AT2340" s="2"/>
      <c r="AU2340" s="2"/>
      <c r="AV2340" s="2"/>
      <c r="AW2340" s="2"/>
      <c r="AX2340" s="2"/>
      <c r="AY2340" s="2"/>
      <c r="AZ2340" s="2"/>
      <c r="BA2340" s="2"/>
      <c r="BB2340" s="2"/>
    </row>
    <row r="2341">
      <c r="A2341" s="2"/>
      <c r="B2341" s="2" t="str">
        <f>IFERROR(__xludf.DUMMYFUNCTION("""COMPUTED_VALUE"""),"")</f>
        <v/>
      </c>
      <c r="C2341" s="2"/>
      <c r="D2341" s="71"/>
      <c r="E2341" s="71" t="str">
        <f>IFERROR(__xludf.DUMMYFUNCTION("""COMPUTED_VALUE""")," ")</f>
        <v> </v>
      </c>
      <c r="F2341" s="2"/>
      <c r="G2341" s="2"/>
      <c r="H2341" s="2"/>
      <c r="I2341" s="72"/>
      <c r="J2341" s="72"/>
      <c r="K2341" s="72"/>
      <c r="L2341" s="72"/>
      <c r="M2341" s="2"/>
      <c r="N2341" s="2"/>
      <c r="O2341" s="2"/>
      <c r="P2341" s="2"/>
      <c r="Q2341" s="2"/>
      <c r="R2341" s="2"/>
      <c r="S2341" s="2"/>
      <c r="T2341" s="2"/>
      <c r="U2341" s="2"/>
      <c r="V2341" s="2"/>
      <c r="W2341" s="2"/>
      <c r="X2341" s="2"/>
      <c r="Y2341" s="2"/>
      <c r="Z2341" s="2"/>
      <c r="AA2341" s="2"/>
      <c r="AB2341" s="2"/>
      <c r="AC2341" s="2"/>
      <c r="AD2341" s="2"/>
      <c r="AE2341" s="2"/>
      <c r="AF2341" s="2"/>
      <c r="AG2341" s="2"/>
      <c r="AH2341" s="2"/>
      <c r="AI2341" s="2"/>
      <c r="AJ2341" s="2" t="str">
        <f>IFERROR(__xludf.DUMMYFUNCTION("""COMPUTED_VALUE"""),"")</f>
        <v/>
      </c>
      <c r="AK2341" s="2" t="str">
        <f>IFERROR(__xludf.DUMMYFUNCTION("""COMPUTED_VALUE"""),"")</f>
        <v/>
      </c>
      <c r="AL2341" s="2" t="str">
        <f>IFERROR(__xludf.DUMMYFUNCTION("""COMPUTED_VALUE"""),"")</f>
        <v/>
      </c>
      <c r="AM2341" s="2" t="str">
        <f>IFERROR(__xludf.DUMMYFUNCTION("""COMPUTED_VALUE"""),"")</f>
        <v/>
      </c>
      <c r="AN2341" s="2" t="str">
        <f>IFERROR(__xludf.DUMMYFUNCTION("""COMPUTED_VALUE""")," ")</f>
        <v> </v>
      </c>
      <c r="AO2341" s="2" t="str">
        <f>IFERROR(__xludf.DUMMYFUNCTION("""COMPUTED_VALUE""")," ")</f>
        <v> </v>
      </c>
      <c r="AP2341" s="2" t="str">
        <f>IFERROR(__xludf.DUMMYFUNCTION("""COMPUTED_VALUE"""),"")</f>
        <v/>
      </c>
      <c r="AQ2341" s="2"/>
      <c r="AR2341" s="2"/>
      <c r="AS2341" s="2"/>
      <c r="AT2341" s="2"/>
      <c r="AU2341" s="2"/>
      <c r="AV2341" s="2"/>
      <c r="AW2341" s="2"/>
      <c r="AX2341" s="2"/>
      <c r="AY2341" s="2"/>
      <c r="AZ2341" s="2"/>
      <c r="BA2341" s="2"/>
      <c r="BB2341" s="2"/>
    </row>
    <row r="2342">
      <c r="A2342" s="2"/>
      <c r="B2342" s="2" t="str">
        <f>IFERROR(__xludf.DUMMYFUNCTION("""COMPUTED_VALUE"""),"")</f>
        <v/>
      </c>
      <c r="C2342" s="2"/>
      <c r="D2342" s="71"/>
      <c r="E2342" s="71" t="str">
        <f>IFERROR(__xludf.DUMMYFUNCTION("""COMPUTED_VALUE""")," ")</f>
        <v> </v>
      </c>
      <c r="F2342" s="2"/>
      <c r="G2342" s="2"/>
      <c r="H2342" s="2"/>
      <c r="I2342" s="72"/>
      <c r="J2342" s="72"/>
      <c r="K2342" s="72"/>
      <c r="L2342" s="72"/>
      <c r="M2342" s="2"/>
      <c r="N2342" s="2"/>
      <c r="O2342" s="2"/>
      <c r="P2342" s="2"/>
      <c r="Q2342" s="2"/>
      <c r="R2342" s="2"/>
      <c r="S2342" s="2"/>
      <c r="T2342" s="2"/>
      <c r="U2342" s="2"/>
      <c r="V2342" s="2"/>
      <c r="W2342" s="2"/>
      <c r="X2342" s="2"/>
      <c r="Y2342" s="2"/>
      <c r="Z2342" s="2"/>
      <c r="AA2342" s="2"/>
      <c r="AB2342" s="2"/>
      <c r="AC2342" s="2"/>
      <c r="AD2342" s="2"/>
      <c r="AE2342" s="2"/>
      <c r="AF2342" s="2"/>
      <c r="AG2342" s="2"/>
      <c r="AH2342" s="2"/>
      <c r="AI2342" s="2"/>
      <c r="AJ2342" s="2" t="str">
        <f>IFERROR(__xludf.DUMMYFUNCTION("""COMPUTED_VALUE"""),"")</f>
        <v/>
      </c>
      <c r="AK2342" s="2" t="str">
        <f>IFERROR(__xludf.DUMMYFUNCTION("""COMPUTED_VALUE"""),"")</f>
        <v/>
      </c>
      <c r="AL2342" s="2" t="str">
        <f>IFERROR(__xludf.DUMMYFUNCTION("""COMPUTED_VALUE"""),"")</f>
        <v/>
      </c>
      <c r="AM2342" s="2" t="str">
        <f>IFERROR(__xludf.DUMMYFUNCTION("""COMPUTED_VALUE"""),"")</f>
        <v/>
      </c>
      <c r="AN2342" s="2" t="str">
        <f>IFERROR(__xludf.DUMMYFUNCTION("""COMPUTED_VALUE""")," ")</f>
        <v> </v>
      </c>
      <c r="AO2342" s="2" t="str">
        <f>IFERROR(__xludf.DUMMYFUNCTION("""COMPUTED_VALUE""")," ")</f>
        <v> </v>
      </c>
      <c r="AP2342" s="2" t="str">
        <f>IFERROR(__xludf.DUMMYFUNCTION("""COMPUTED_VALUE"""),"")</f>
        <v/>
      </c>
      <c r="AQ2342" s="2"/>
      <c r="AR2342" s="2"/>
      <c r="AS2342" s="2"/>
      <c r="AT2342" s="2"/>
      <c r="AU2342" s="2"/>
      <c r="AV2342" s="2"/>
      <c r="AW2342" s="2"/>
      <c r="AX2342" s="2"/>
      <c r="AY2342" s="2"/>
      <c r="AZ2342" s="2"/>
      <c r="BA2342" s="2"/>
      <c r="BB2342" s="2"/>
    </row>
    <row r="2343">
      <c r="A2343" s="2"/>
      <c r="B2343" s="2" t="str">
        <f>IFERROR(__xludf.DUMMYFUNCTION("""COMPUTED_VALUE"""),"")</f>
        <v/>
      </c>
      <c r="C2343" s="2"/>
      <c r="D2343" s="71"/>
      <c r="E2343" s="71" t="str">
        <f>IFERROR(__xludf.DUMMYFUNCTION("""COMPUTED_VALUE""")," ")</f>
        <v> </v>
      </c>
      <c r="F2343" s="2"/>
      <c r="G2343" s="2"/>
      <c r="H2343" s="2"/>
      <c r="I2343" s="72"/>
      <c r="J2343" s="72"/>
      <c r="K2343" s="72"/>
      <c r="L2343" s="72"/>
      <c r="M2343" s="2"/>
      <c r="N2343" s="2"/>
      <c r="O2343" s="2"/>
      <c r="P2343" s="2"/>
      <c r="Q2343" s="2"/>
      <c r="R2343" s="2"/>
      <c r="S2343" s="2"/>
      <c r="T2343" s="2"/>
      <c r="U2343" s="2"/>
      <c r="V2343" s="2"/>
      <c r="W2343" s="2"/>
      <c r="X2343" s="2"/>
      <c r="Y2343" s="2"/>
      <c r="Z2343" s="2"/>
      <c r="AA2343" s="2"/>
      <c r="AB2343" s="2"/>
      <c r="AC2343" s="2"/>
      <c r="AD2343" s="2"/>
      <c r="AE2343" s="2"/>
      <c r="AF2343" s="2"/>
      <c r="AG2343" s="2"/>
      <c r="AH2343" s="2"/>
      <c r="AI2343" s="2"/>
      <c r="AJ2343" s="2" t="str">
        <f>IFERROR(__xludf.DUMMYFUNCTION("""COMPUTED_VALUE"""),"")</f>
        <v/>
      </c>
      <c r="AK2343" s="2" t="str">
        <f>IFERROR(__xludf.DUMMYFUNCTION("""COMPUTED_VALUE"""),"")</f>
        <v/>
      </c>
      <c r="AL2343" s="2" t="str">
        <f>IFERROR(__xludf.DUMMYFUNCTION("""COMPUTED_VALUE"""),"")</f>
        <v/>
      </c>
      <c r="AM2343" s="2" t="str">
        <f>IFERROR(__xludf.DUMMYFUNCTION("""COMPUTED_VALUE"""),"")</f>
        <v/>
      </c>
      <c r="AN2343" s="2" t="str">
        <f>IFERROR(__xludf.DUMMYFUNCTION("""COMPUTED_VALUE""")," ")</f>
        <v> </v>
      </c>
      <c r="AO2343" s="2" t="str">
        <f>IFERROR(__xludf.DUMMYFUNCTION("""COMPUTED_VALUE""")," ")</f>
        <v> </v>
      </c>
      <c r="AP2343" s="2" t="str">
        <f>IFERROR(__xludf.DUMMYFUNCTION("""COMPUTED_VALUE"""),"")</f>
        <v/>
      </c>
      <c r="AQ2343" s="2"/>
      <c r="AR2343" s="2"/>
      <c r="AS2343" s="2"/>
      <c r="AT2343" s="2"/>
      <c r="AU2343" s="2"/>
      <c r="AV2343" s="2"/>
      <c r="AW2343" s="2"/>
      <c r="AX2343" s="2"/>
      <c r="AY2343" s="2"/>
      <c r="AZ2343" s="2"/>
      <c r="BA2343" s="2"/>
      <c r="BB2343" s="2"/>
    </row>
    <row r="2344">
      <c r="A2344" s="2"/>
      <c r="B2344" s="2" t="str">
        <f>IFERROR(__xludf.DUMMYFUNCTION("""COMPUTED_VALUE"""),"")</f>
        <v/>
      </c>
      <c r="C2344" s="2"/>
      <c r="D2344" s="71"/>
      <c r="E2344" s="71" t="str">
        <f>IFERROR(__xludf.DUMMYFUNCTION("""COMPUTED_VALUE""")," ")</f>
        <v> </v>
      </c>
      <c r="F2344" s="2"/>
      <c r="G2344" s="2"/>
      <c r="H2344" s="2"/>
      <c r="I2344" s="72"/>
      <c r="J2344" s="72"/>
      <c r="K2344" s="72"/>
      <c r="L2344" s="72"/>
      <c r="M2344" s="2"/>
      <c r="N2344" s="2"/>
      <c r="O2344" s="2"/>
      <c r="P2344" s="2"/>
      <c r="Q2344" s="2"/>
      <c r="R2344" s="2"/>
      <c r="S2344" s="2"/>
      <c r="T2344" s="2"/>
      <c r="U2344" s="2"/>
      <c r="V2344" s="2"/>
      <c r="W2344" s="2"/>
      <c r="X2344" s="2"/>
      <c r="Y2344" s="2"/>
      <c r="Z2344" s="2"/>
      <c r="AA2344" s="2"/>
      <c r="AB2344" s="2"/>
      <c r="AC2344" s="2"/>
      <c r="AD2344" s="2"/>
      <c r="AE2344" s="2"/>
      <c r="AF2344" s="2"/>
      <c r="AG2344" s="2"/>
      <c r="AH2344" s="2"/>
      <c r="AI2344" s="2"/>
      <c r="AJ2344" s="2" t="str">
        <f>IFERROR(__xludf.DUMMYFUNCTION("""COMPUTED_VALUE"""),"")</f>
        <v/>
      </c>
      <c r="AK2344" s="2" t="str">
        <f>IFERROR(__xludf.DUMMYFUNCTION("""COMPUTED_VALUE"""),"")</f>
        <v/>
      </c>
      <c r="AL2344" s="2" t="str">
        <f>IFERROR(__xludf.DUMMYFUNCTION("""COMPUTED_VALUE"""),"")</f>
        <v/>
      </c>
      <c r="AM2344" s="2" t="str">
        <f>IFERROR(__xludf.DUMMYFUNCTION("""COMPUTED_VALUE"""),"")</f>
        <v/>
      </c>
      <c r="AN2344" s="2" t="str">
        <f>IFERROR(__xludf.DUMMYFUNCTION("""COMPUTED_VALUE""")," ")</f>
        <v> </v>
      </c>
      <c r="AO2344" s="2" t="str">
        <f>IFERROR(__xludf.DUMMYFUNCTION("""COMPUTED_VALUE""")," ")</f>
        <v> </v>
      </c>
      <c r="AP2344" s="2" t="str">
        <f>IFERROR(__xludf.DUMMYFUNCTION("""COMPUTED_VALUE"""),"")</f>
        <v/>
      </c>
      <c r="AQ2344" s="2"/>
      <c r="AR2344" s="2"/>
      <c r="AS2344" s="2"/>
      <c r="AT2344" s="2"/>
      <c r="AU2344" s="2"/>
      <c r="AV2344" s="2"/>
      <c r="AW2344" s="2"/>
      <c r="AX2344" s="2"/>
      <c r="AY2344" s="2"/>
      <c r="AZ2344" s="2"/>
      <c r="BA2344" s="2"/>
      <c r="BB2344" s="2"/>
    </row>
    <row r="2345">
      <c r="A2345" s="2"/>
      <c r="B2345" s="2" t="str">
        <f>IFERROR(__xludf.DUMMYFUNCTION("""COMPUTED_VALUE"""),"")</f>
        <v/>
      </c>
      <c r="C2345" s="2"/>
      <c r="D2345" s="71"/>
      <c r="E2345" s="71" t="str">
        <f>IFERROR(__xludf.DUMMYFUNCTION("""COMPUTED_VALUE""")," ")</f>
        <v> </v>
      </c>
      <c r="F2345" s="2"/>
      <c r="G2345" s="2"/>
      <c r="H2345" s="2"/>
      <c r="I2345" s="72"/>
      <c r="J2345" s="72"/>
      <c r="K2345" s="72"/>
      <c r="L2345" s="72"/>
      <c r="M2345" s="2"/>
      <c r="N2345" s="2"/>
      <c r="O2345" s="2"/>
      <c r="P2345" s="2"/>
      <c r="Q2345" s="2"/>
      <c r="R2345" s="2"/>
      <c r="S2345" s="2"/>
      <c r="T2345" s="2"/>
      <c r="U2345" s="2"/>
      <c r="V2345" s="2"/>
      <c r="W2345" s="2"/>
      <c r="X2345" s="2"/>
      <c r="Y2345" s="2"/>
      <c r="Z2345" s="2"/>
      <c r="AA2345" s="2"/>
      <c r="AB2345" s="2"/>
      <c r="AC2345" s="2"/>
      <c r="AD2345" s="2"/>
      <c r="AE2345" s="2"/>
      <c r="AF2345" s="2"/>
      <c r="AG2345" s="2"/>
      <c r="AH2345" s="2"/>
      <c r="AI2345" s="2"/>
      <c r="AJ2345" s="2" t="str">
        <f>IFERROR(__xludf.DUMMYFUNCTION("""COMPUTED_VALUE"""),"")</f>
        <v/>
      </c>
      <c r="AK2345" s="2" t="str">
        <f>IFERROR(__xludf.DUMMYFUNCTION("""COMPUTED_VALUE"""),"")</f>
        <v/>
      </c>
      <c r="AL2345" s="2" t="str">
        <f>IFERROR(__xludf.DUMMYFUNCTION("""COMPUTED_VALUE"""),"")</f>
        <v/>
      </c>
      <c r="AM2345" s="2" t="str">
        <f>IFERROR(__xludf.DUMMYFUNCTION("""COMPUTED_VALUE"""),"")</f>
        <v/>
      </c>
      <c r="AN2345" s="2" t="str">
        <f>IFERROR(__xludf.DUMMYFUNCTION("""COMPUTED_VALUE""")," ")</f>
        <v> </v>
      </c>
      <c r="AO2345" s="2" t="str">
        <f>IFERROR(__xludf.DUMMYFUNCTION("""COMPUTED_VALUE""")," ")</f>
        <v> </v>
      </c>
      <c r="AP2345" s="2" t="str">
        <f>IFERROR(__xludf.DUMMYFUNCTION("""COMPUTED_VALUE"""),"")</f>
        <v/>
      </c>
      <c r="AQ2345" s="2"/>
      <c r="AR2345" s="2"/>
      <c r="AS2345" s="2"/>
      <c r="AT2345" s="2"/>
      <c r="AU2345" s="2"/>
      <c r="AV2345" s="2"/>
      <c r="AW2345" s="2"/>
      <c r="AX2345" s="2"/>
      <c r="AY2345" s="2"/>
      <c r="AZ2345" s="2"/>
      <c r="BA2345" s="2"/>
      <c r="BB2345" s="2"/>
    </row>
    <row r="2346">
      <c r="A2346" s="2"/>
      <c r="B2346" s="2"/>
      <c r="C2346" s="2"/>
      <c r="D2346" s="71"/>
      <c r="E2346" s="71"/>
      <c r="F2346" s="2"/>
      <c r="G2346" s="2"/>
      <c r="H2346" s="2"/>
      <c r="I2346" s="72"/>
      <c r="J2346" s="72"/>
      <c r="K2346" s="72"/>
      <c r="L2346" s="72"/>
      <c r="M2346" s="2"/>
      <c r="N2346" s="2"/>
      <c r="O2346" s="2"/>
      <c r="P2346" s="2"/>
      <c r="Q2346" s="2"/>
      <c r="R2346" s="2"/>
      <c r="S2346" s="2"/>
      <c r="T2346" s="2"/>
      <c r="U2346" s="2"/>
      <c r="V2346" s="2"/>
      <c r="W2346" s="2"/>
      <c r="X2346" s="2"/>
      <c r="Y2346" s="2"/>
      <c r="Z2346" s="2"/>
      <c r="AA2346" s="2"/>
      <c r="AB2346" s="2"/>
      <c r="AC2346" s="2"/>
      <c r="AD2346" s="2"/>
      <c r="AE2346" s="2"/>
      <c r="AF2346" s="2"/>
      <c r="AG2346" s="2"/>
      <c r="AH2346" s="2"/>
      <c r="AI2346" s="2"/>
      <c r="AJ2346" s="2" t="str">
        <f>IFERROR(__xludf.DUMMYFUNCTION("""COMPUTED_VALUE"""),"")</f>
        <v/>
      </c>
      <c r="AK2346" s="2" t="str">
        <f>IFERROR(__xludf.DUMMYFUNCTION("""COMPUTED_VALUE"""),"")</f>
        <v/>
      </c>
      <c r="AL2346" s="2" t="str">
        <f>IFERROR(__xludf.DUMMYFUNCTION("""COMPUTED_VALUE"""),"")</f>
        <v/>
      </c>
      <c r="AM2346" s="2" t="str">
        <f>IFERROR(__xludf.DUMMYFUNCTION("""COMPUTED_VALUE"""),"")</f>
        <v/>
      </c>
      <c r="AN2346" s="2" t="str">
        <f>IFERROR(__xludf.DUMMYFUNCTION("""COMPUTED_VALUE""")," ")</f>
        <v> </v>
      </c>
      <c r="AO2346" s="2" t="str">
        <f>IFERROR(__xludf.DUMMYFUNCTION("""COMPUTED_VALUE""")," ")</f>
        <v> </v>
      </c>
      <c r="AP2346" s="2" t="str">
        <f>IFERROR(__xludf.DUMMYFUNCTION("""COMPUTED_VALUE"""),"")</f>
        <v/>
      </c>
      <c r="AQ2346" s="2"/>
      <c r="AR2346" s="2"/>
      <c r="AS2346" s="2"/>
      <c r="AT2346" s="2"/>
      <c r="AU2346" s="2"/>
      <c r="AV2346" s="2"/>
      <c r="AW2346" s="2"/>
      <c r="AX2346" s="2"/>
      <c r="AY2346" s="2"/>
      <c r="AZ2346" s="2"/>
      <c r="BA2346" s="2"/>
      <c r="BB2346" s="2"/>
    </row>
    <row r="2347">
      <c r="A2347" s="2"/>
      <c r="B2347" s="2" t="str">
        <f>IFERROR(__xludf.DUMMYFUNCTION("""COMPUTED_VALUE"""),"")</f>
        <v/>
      </c>
      <c r="C2347" s="2"/>
      <c r="D2347" s="71"/>
      <c r="E2347" s="71" t="str">
        <f>IFERROR(__xludf.DUMMYFUNCTION("""COMPUTED_VALUE""")," ")</f>
        <v> </v>
      </c>
      <c r="F2347" s="2"/>
      <c r="G2347" s="2"/>
      <c r="H2347" s="2"/>
      <c r="I2347" s="72"/>
      <c r="J2347" s="72"/>
      <c r="K2347" s="72"/>
      <c r="L2347" s="72"/>
      <c r="M2347" s="2"/>
      <c r="N2347" s="2"/>
      <c r="O2347" s="2"/>
      <c r="P2347" s="2"/>
      <c r="Q2347" s="2"/>
      <c r="R2347" s="2"/>
      <c r="S2347" s="2"/>
      <c r="T2347" s="2"/>
      <c r="U2347" s="2"/>
      <c r="V2347" s="2"/>
      <c r="W2347" s="2"/>
      <c r="X2347" s="2"/>
      <c r="Y2347" s="2"/>
      <c r="Z2347" s="2"/>
      <c r="AA2347" s="2"/>
      <c r="AB2347" s="2"/>
      <c r="AC2347" s="2"/>
      <c r="AD2347" s="2"/>
      <c r="AE2347" s="2"/>
      <c r="AF2347" s="2"/>
      <c r="AG2347" s="2"/>
      <c r="AH2347" s="2"/>
      <c r="AI2347" s="2"/>
      <c r="AJ2347" s="2" t="str">
        <f>IFERROR(__xludf.DUMMYFUNCTION("""COMPUTED_VALUE"""),"")</f>
        <v/>
      </c>
      <c r="AK2347" s="2" t="str">
        <f>IFERROR(__xludf.DUMMYFUNCTION("""COMPUTED_VALUE"""),"")</f>
        <v/>
      </c>
      <c r="AL2347" s="2" t="str">
        <f>IFERROR(__xludf.DUMMYFUNCTION("""COMPUTED_VALUE"""),"")</f>
        <v/>
      </c>
      <c r="AM2347" s="2" t="str">
        <f>IFERROR(__xludf.DUMMYFUNCTION("""COMPUTED_VALUE"""),"")</f>
        <v/>
      </c>
      <c r="AN2347" s="2" t="str">
        <f>IFERROR(__xludf.DUMMYFUNCTION("""COMPUTED_VALUE""")," ")</f>
        <v> </v>
      </c>
      <c r="AO2347" s="2" t="str">
        <f>IFERROR(__xludf.DUMMYFUNCTION("""COMPUTED_VALUE""")," ")</f>
        <v> </v>
      </c>
      <c r="AP2347" s="2" t="str">
        <f>IFERROR(__xludf.DUMMYFUNCTION("""COMPUTED_VALUE"""),"")</f>
        <v/>
      </c>
      <c r="AQ2347" s="2"/>
      <c r="AR2347" s="2"/>
      <c r="AS2347" s="2"/>
      <c r="AT2347" s="2"/>
      <c r="AU2347" s="2"/>
      <c r="AV2347" s="2"/>
      <c r="AW2347" s="2"/>
      <c r="AX2347" s="2"/>
      <c r="AY2347" s="2"/>
      <c r="AZ2347" s="2"/>
      <c r="BA2347" s="2"/>
      <c r="BB2347" s="2"/>
    </row>
    <row r="2348">
      <c r="A2348" s="2"/>
      <c r="B2348" s="2" t="str">
        <f>IFERROR(__xludf.DUMMYFUNCTION("""COMPUTED_VALUE"""),"")</f>
        <v/>
      </c>
      <c r="C2348" s="2"/>
      <c r="D2348" s="71"/>
      <c r="E2348" s="71" t="str">
        <f>IFERROR(__xludf.DUMMYFUNCTION("""COMPUTED_VALUE""")," ")</f>
        <v> </v>
      </c>
      <c r="F2348" s="2"/>
      <c r="G2348" s="2"/>
      <c r="H2348" s="2"/>
      <c r="I2348" s="72"/>
      <c r="J2348" s="72"/>
      <c r="K2348" s="72"/>
      <c r="L2348" s="72"/>
      <c r="M2348" s="2"/>
      <c r="N2348" s="2"/>
      <c r="O2348" s="2"/>
      <c r="P2348" s="2"/>
      <c r="Q2348" s="2"/>
      <c r="R2348" s="2"/>
      <c r="S2348" s="2"/>
      <c r="T2348" s="2"/>
      <c r="U2348" s="2"/>
      <c r="V2348" s="2"/>
      <c r="W2348" s="2"/>
      <c r="X2348" s="2"/>
      <c r="Y2348" s="2"/>
      <c r="Z2348" s="2"/>
      <c r="AA2348" s="2"/>
      <c r="AB2348" s="2"/>
      <c r="AC2348" s="2"/>
      <c r="AD2348" s="2"/>
      <c r="AE2348" s="2"/>
      <c r="AF2348" s="2"/>
      <c r="AG2348" s="2"/>
      <c r="AH2348" s="2"/>
      <c r="AI2348" s="2"/>
      <c r="AJ2348" s="2" t="str">
        <f>IFERROR(__xludf.DUMMYFUNCTION("""COMPUTED_VALUE"""),"")</f>
        <v/>
      </c>
      <c r="AK2348" s="2" t="str">
        <f>IFERROR(__xludf.DUMMYFUNCTION("""COMPUTED_VALUE"""),"")</f>
        <v/>
      </c>
      <c r="AL2348" s="2" t="str">
        <f>IFERROR(__xludf.DUMMYFUNCTION("""COMPUTED_VALUE"""),"")</f>
        <v/>
      </c>
      <c r="AM2348" s="2" t="str">
        <f>IFERROR(__xludf.DUMMYFUNCTION("""COMPUTED_VALUE"""),"")</f>
        <v/>
      </c>
      <c r="AN2348" s="2" t="str">
        <f>IFERROR(__xludf.DUMMYFUNCTION("""COMPUTED_VALUE""")," ")</f>
        <v> </v>
      </c>
      <c r="AO2348" s="2" t="str">
        <f>IFERROR(__xludf.DUMMYFUNCTION("""COMPUTED_VALUE""")," ")</f>
        <v> </v>
      </c>
      <c r="AP2348" s="2" t="str">
        <f>IFERROR(__xludf.DUMMYFUNCTION("""COMPUTED_VALUE"""),"")</f>
        <v/>
      </c>
      <c r="AQ2348" s="2"/>
      <c r="AR2348" s="2"/>
      <c r="AS2348" s="2"/>
      <c r="AT2348" s="2"/>
      <c r="AU2348" s="2"/>
      <c r="AV2348" s="2"/>
      <c r="AW2348" s="2"/>
      <c r="AX2348" s="2"/>
      <c r="AY2348" s="2"/>
      <c r="AZ2348" s="2"/>
      <c r="BA2348" s="2"/>
      <c r="BB2348" s="2"/>
    </row>
    <row r="2349">
      <c r="A2349" s="2"/>
      <c r="B2349" s="2" t="str">
        <f>IFERROR(__xludf.DUMMYFUNCTION("""COMPUTED_VALUE"""),"")</f>
        <v/>
      </c>
      <c r="C2349" s="2"/>
      <c r="D2349" s="71"/>
      <c r="E2349" s="71" t="str">
        <f>IFERROR(__xludf.DUMMYFUNCTION("""COMPUTED_VALUE""")," ")</f>
        <v> </v>
      </c>
      <c r="F2349" s="2"/>
      <c r="G2349" s="2"/>
      <c r="H2349" s="2"/>
      <c r="I2349" s="72"/>
      <c r="J2349" s="72"/>
      <c r="K2349" s="72"/>
      <c r="L2349" s="72"/>
      <c r="M2349" s="2"/>
      <c r="N2349" s="2"/>
      <c r="O2349" s="2"/>
      <c r="P2349" s="2"/>
      <c r="Q2349" s="2"/>
      <c r="R2349" s="2"/>
      <c r="S2349" s="2"/>
      <c r="T2349" s="2"/>
      <c r="U2349" s="2"/>
      <c r="V2349" s="2"/>
      <c r="W2349" s="2"/>
      <c r="X2349" s="2"/>
      <c r="Y2349" s="2"/>
      <c r="Z2349" s="2"/>
      <c r="AA2349" s="2"/>
      <c r="AB2349" s="2"/>
      <c r="AC2349" s="2"/>
      <c r="AD2349" s="2"/>
      <c r="AE2349" s="2"/>
      <c r="AF2349" s="2"/>
      <c r="AG2349" s="2"/>
      <c r="AH2349" s="2"/>
      <c r="AI2349" s="2"/>
      <c r="AJ2349" s="2" t="str">
        <f>IFERROR(__xludf.DUMMYFUNCTION("""COMPUTED_VALUE"""),"")</f>
        <v/>
      </c>
      <c r="AK2349" s="2" t="str">
        <f>IFERROR(__xludf.DUMMYFUNCTION("""COMPUTED_VALUE"""),"")</f>
        <v/>
      </c>
      <c r="AL2349" s="2" t="str">
        <f>IFERROR(__xludf.DUMMYFUNCTION("""COMPUTED_VALUE"""),"")</f>
        <v/>
      </c>
      <c r="AM2349" s="2" t="str">
        <f>IFERROR(__xludf.DUMMYFUNCTION("""COMPUTED_VALUE"""),"")</f>
        <v/>
      </c>
      <c r="AN2349" s="2" t="str">
        <f>IFERROR(__xludf.DUMMYFUNCTION("""COMPUTED_VALUE""")," ")</f>
        <v> </v>
      </c>
      <c r="AO2349" s="2" t="str">
        <f>IFERROR(__xludf.DUMMYFUNCTION("""COMPUTED_VALUE""")," ")</f>
        <v> </v>
      </c>
      <c r="AP2349" s="2" t="str">
        <f>IFERROR(__xludf.DUMMYFUNCTION("""COMPUTED_VALUE"""),"")</f>
        <v/>
      </c>
      <c r="AQ2349" s="2"/>
      <c r="AR2349" s="2"/>
      <c r="AS2349" s="2"/>
      <c r="AT2349" s="2"/>
      <c r="AU2349" s="2"/>
      <c r="AV2349" s="2"/>
      <c r="AW2349" s="2"/>
      <c r="AX2349" s="2"/>
      <c r="AY2349" s="2"/>
      <c r="AZ2349" s="2"/>
      <c r="BA2349" s="2"/>
      <c r="BB2349" s="2"/>
    </row>
    <row r="2350">
      <c r="A2350" s="2"/>
      <c r="B2350" s="2" t="str">
        <f>IFERROR(__xludf.DUMMYFUNCTION("""COMPUTED_VALUE"""),"")</f>
        <v/>
      </c>
      <c r="C2350" s="2"/>
      <c r="D2350" s="71"/>
      <c r="E2350" s="71" t="str">
        <f>IFERROR(__xludf.DUMMYFUNCTION("""COMPUTED_VALUE""")," ")</f>
        <v> </v>
      </c>
      <c r="F2350" s="2"/>
      <c r="G2350" s="2"/>
      <c r="H2350" s="2"/>
      <c r="I2350" s="72"/>
      <c r="J2350" s="72"/>
      <c r="K2350" s="72"/>
      <c r="L2350" s="72"/>
      <c r="M2350" s="2"/>
      <c r="N2350" s="2"/>
      <c r="O2350" s="2"/>
      <c r="P2350" s="2"/>
      <c r="Q2350" s="2"/>
      <c r="R2350" s="2"/>
      <c r="S2350" s="2"/>
      <c r="T2350" s="2"/>
      <c r="U2350" s="2"/>
      <c r="V2350" s="2"/>
      <c r="W2350" s="2"/>
      <c r="X2350" s="2"/>
      <c r="Y2350" s="2"/>
      <c r="Z2350" s="2"/>
      <c r="AA2350" s="2"/>
      <c r="AB2350" s="2"/>
      <c r="AC2350" s="2"/>
      <c r="AD2350" s="2"/>
      <c r="AE2350" s="2"/>
      <c r="AF2350" s="2"/>
      <c r="AG2350" s="2"/>
      <c r="AH2350" s="2"/>
      <c r="AI2350" s="2"/>
      <c r="AJ2350" s="2" t="str">
        <f>IFERROR(__xludf.DUMMYFUNCTION("""COMPUTED_VALUE"""),"")</f>
        <v/>
      </c>
      <c r="AK2350" s="2" t="str">
        <f>IFERROR(__xludf.DUMMYFUNCTION("""COMPUTED_VALUE"""),"")</f>
        <v/>
      </c>
      <c r="AL2350" s="2" t="str">
        <f>IFERROR(__xludf.DUMMYFUNCTION("""COMPUTED_VALUE"""),"")</f>
        <v/>
      </c>
      <c r="AM2350" s="2" t="str">
        <f>IFERROR(__xludf.DUMMYFUNCTION("""COMPUTED_VALUE"""),"")</f>
        <v/>
      </c>
      <c r="AN2350" s="2" t="str">
        <f>IFERROR(__xludf.DUMMYFUNCTION("""COMPUTED_VALUE""")," ")</f>
        <v> </v>
      </c>
      <c r="AO2350" s="2" t="str">
        <f>IFERROR(__xludf.DUMMYFUNCTION("""COMPUTED_VALUE""")," ")</f>
        <v> </v>
      </c>
      <c r="AP2350" s="2" t="str">
        <f>IFERROR(__xludf.DUMMYFUNCTION("""COMPUTED_VALUE"""),"")</f>
        <v/>
      </c>
      <c r="AQ2350" s="2"/>
      <c r="AR2350" s="2"/>
      <c r="AS2350" s="2"/>
      <c r="AT2350" s="2"/>
      <c r="AU2350" s="2"/>
      <c r="AV2350" s="2"/>
      <c r="AW2350" s="2"/>
      <c r="AX2350" s="2"/>
      <c r="AY2350" s="2"/>
      <c r="AZ2350" s="2"/>
      <c r="BA2350" s="2"/>
      <c r="BB2350" s="2"/>
    </row>
    <row r="2351">
      <c r="A2351" s="2"/>
      <c r="B2351" s="2" t="str">
        <f>IFERROR(__xludf.DUMMYFUNCTION("""COMPUTED_VALUE"""),"")</f>
        <v/>
      </c>
      <c r="C2351" s="2"/>
      <c r="D2351" s="71"/>
      <c r="E2351" s="71" t="str">
        <f>IFERROR(__xludf.DUMMYFUNCTION("""COMPUTED_VALUE""")," ")</f>
        <v> </v>
      </c>
      <c r="F2351" s="2"/>
      <c r="G2351" s="2"/>
      <c r="H2351" s="2"/>
      <c r="I2351" s="72"/>
      <c r="J2351" s="72"/>
      <c r="K2351" s="72"/>
      <c r="L2351" s="72"/>
      <c r="M2351" s="2"/>
      <c r="N2351" s="2"/>
      <c r="O2351" s="2"/>
      <c r="P2351" s="2"/>
      <c r="Q2351" s="2"/>
      <c r="R2351" s="2"/>
      <c r="S2351" s="2"/>
      <c r="T2351" s="2"/>
      <c r="U2351" s="2"/>
      <c r="V2351" s="2"/>
      <c r="W2351" s="2"/>
      <c r="X2351" s="2"/>
      <c r="Y2351" s="2"/>
      <c r="Z2351" s="2"/>
      <c r="AA2351" s="2"/>
      <c r="AB2351" s="2"/>
      <c r="AC2351" s="2"/>
      <c r="AD2351" s="2"/>
      <c r="AE2351" s="2"/>
      <c r="AF2351" s="2"/>
      <c r="AG2351" s="2"/>
      <c r="AH2351" s="2"/>
      <c r="AI2351" s="2"/>
      <c r="AJ2351" s="2" t="str">
        <f>IFERROR(__xludf.DUMMYFUNCTION("""COMPUTED_VALUE"""),"")</f>
        <v/>
      </c>
      <c r="AK2351" s="2" t="str">
        <f>IFERROR(__xludf.DUMMYFUNCTION("""COMPUTED_VALUE"""),"")</f>
        <v/>
      </c>
      <c r="AL2351" s="2" t="str">
        <f>IFERROR(__xludf.DUMMYFUNCTION("""COMPUTED_VALUE"""),"")</f>
        <v/>
      </c>
      <c r="AM2351" s="2" t="str">
        <f>IFERROR(__xludf.DUMMYFUNCTION("""COMPUTED_VALUE"""),"")</f>
        <v/>
      </c>
      <c r="AN2351" s="2" t="str">
        <f>IFERROR(__xludf.DUMMYFUNCTION("""COMPUTED_VALUE""")," ")</f>
        <v> </v>
      </c>
      <c r="AO2351" s="2" t="str">
        <f>IFERROR(__xludf.DUMMYFUNCTION("""COMPUTED_VALUE""")," ")</f>
        <v> </v>
      </c>
      <c r="AP2351" s="2" t="str">
        <f>IFERROR(__xludf.DUMMYFUNCTION("""COMPUTED_VALUE"""),"")</f>
        <v/>
      </c>
      <c r="AQ2351" s="2"/>
      <c r="AR2351" s="2"/>
      <c r="AS2351" s="2"/>
      <c r="AT2351" s="2"/>
      <c r="AU2351" s="2"/>
      <c r="AV2351" s="2"/>
      <c r="AW2351" s="2"/>
      <c r="AX2351" s="2"/>
      <c r="AY2351" s="2"/>
      <c r="AZ2351" s="2"/>
      <c r="BA2351" s="2"/>
      <c r="BB2351" s="2"/>
    </row>
    <row r="2352">
      <c r="A2352" s="2"/>
      <c r="B2352" s="2" t="str">
        <f>IFERROR(__xludf.DUMMYFUNCTION("""COMPUTED_VALUE"""),"")</f>
        <v/>
      </c>
      <c r="C2352" s="2"/>
      <c r="D2352" s="71"/>
      <c r="E2352" s="71" t="str">
        <f>IFERROR(__xludf.DUMMYFUNCTION("""COMPUTED_VALUE""")," ")</f>
        <v> </v>
      </c>
      <c r="F2352" s="2"/>
      <c r="G2352" s="2"/>
      <c r="H2352" s="2"/>
      <c r="I2352" s="72"/>
      <c r="J2352" s="72"/>
      <c r="K2352" s="72"/>
      <c r="L2352" s="72"/>
      <c r="M2352" s="2"/>
      <c r="N2352" s="2"/>
      <c r="O2352" s="2"/>
      <c r="P2352" s="2"/>
      <c r="Q2352" s="2"/>
      <c r="R2352" s="2"/>
      <c r="S2352" s="2"/>
      <c r="T2352" s="2"/>
      <c r="U2352" s="2"/>
      <c r="V2352" s="2"/>
      <c r="W2352" s="2"/>
      <c r="X2352" s="2"/>
      <c r="Y2352" s="2"/>
      <c r="Z2352" s="2"/>
      <c r="AA2352" s="2"/>
      <c r="AB2352" s="2"/>
      <c r="AC2352" s="2"/>
      <c r="AD2352" s="2"/>
      <c r="AE2352" s="2"/>
      <c r="AF2352" s="2"/>
      <c r="AG2352" s="2"/>
      <c r="AH2352" s="2"/>
      <c r="AI2352" s="2"/>
      <c r="AJ2352" s="2" t="str">
        <f>IFERROR(__xludf.DUMMYFUNCTION("""COMPUTED_VALUE"""),"")</f>
        <v/>
      </c>
      <c r="AK2352" s="2" t="str">
        <f>IFERROR(__xludf.DUMMYFUNCTION("""COMPUTED_VALUE"""),"")</f>
        <v/>
      </c>
      <c r="AL2352" s="2" t="str">
        <f>IFERROR(__xludf.DUMMYFUNCTION("""COMPUTED_VALUE"""),"")</f>
        <v/>
      </c>
      <c r="AM2352" s="2" t="str">
        <f>IFERROR(__xludf.DUMMYFUNCTION("""COMPUTED_VALUE"""),"")</f>
        <v/>
      </c>
      <c r="AN2352" s="2" t="str">
        <f>IFERROR(__xludf.DUMMYFUNCTION("""COMPUTED_VALUE""")," ")</f>
        <v> </v>
      </c>
      <c r="AO2352" s="2" t="str">
        <f>IFERROR(__xludf.DUMMYFUNCTION("""COMPUTED_VALUE""")," ")</f>
        <v> </v>
      </c>
      <c r="AP2352" s="2" t="str">
        <f>IFERROR(__xludf.DUMMYFUNCTION("""COMPUTED_VALUE"""),"")</f>
        <v/>
      </c>
      <c r="AQ2352" s="2"/>
      <c r="AR2352" s="2"/>
      <c r="AS2352" s="2"/>
      <c r="AT2352" s="2"/>
      <c r="AU2352" s="2"/>
      <c r="AV2352" s="2"/>
      <c r="AW2352" s="2"/>
      <c r="AX2352" s="2"/>
      <c r="AY2352" s="2"/>
      <c r="AZ2352" s="2"/>
      <c r="BA2352" s="2"/>
      <c r="BB2352" s="2"/>
    </row>
    <row r="2353">
      <c r="A2353" s="2"/>
      <c r="B2353" s="2" t="str">
        <f>IFERROR(__xludf.DUMMYFUNCTION("""COMPUTED_VALUE"""),"")</f>
        <v/>
      </c>
      <c r="C2353" s="2"/>
      <c r="D2353" s="71"/>
      <c r="E2353" s="71" t="str">
        <f>IFERROR(__xludf.DUMMYFUNCTION("""COMPUTED_VALUE""")," ")</f>
        <v> </v>
      </c>
      <c r="F2353" s="2"/>
      <c r="G2353" s="2"/>
      <c r="H2353" s="2"/>
      <c r="I2353" s="72"/>
      <c r="J2353" s="72"/>
      <c r="K2353" s="72"/>
      <c r="L2353" s="72"/>
      <c r="M2353" s="2"/>
      <c r="N2353" s="2"/>
      <c r="O2353" s="2"/>
      <c r="P2353" s="2"/>
      <c r="Q2353" s="2"/>
      <c r="R2353" s="2"/>
      <c r="S2353" s="2"/>
      <c r="T2353" s="2"/>
      <c r="U2353" s="2"/>
      <c r="V2353" s="2"/>
      <c r="W2353" s="2"/>
      <c r="X2353" s="2"/>
      <c r="Y2353" s="2"/>
      <c r="Z2353" s="2"/>
      <c r="AA2353" s="2"/>
      <c r="AB2353" s="2"/>
      <c r="AC2353" s="2"/>
      <c r="AD2353" s="2"/>
      <c r="AE2353" s="2"/>
      <c r="AF2353" s="2"/>
      <c r="AG2353" s="2"/>
      <c r="AH2353" s="2"/>
      <c r="AI2353" s="2"/>
      <c r="AJ2353" s="2" t="str">
        <f>IFERROR(__xludf.DUMMYFUNCTION("""COMPUTED_VALUE"""),"")</f>
        <v/>
      </c>
      <c r="AK2353" s="2" t="str">
        <f>IFERROR(__xludf.DUMMYFUNCTION("""COMPUTED_VALUE"""),"")</f>
        <v/>
      </c>
      <c r="AL2353" s="2" t="str">
        <f>IFERROR(__xludf.DUMMYFUNCTION("""COMPUTED_VALUE"""),"")</f>
        <v/>
      </c>
      <c r="AM2353" s="2" t="str">
        <f>IFERROR(__xludf.DUMMYFUNCTION("""COMPUTED_VALUE"""),"")</f>
        <v/>
      </c>
      <c r="AN2353" s="2" t="str">
        <f>IFERROR(__xludf.DUMMYFUNCTION("""COMPUTED_VALUE""")," ")</f>
        <v> </v>
      </c>
      <c r="AO2353" s="2" t="str">
        <f>IFERROR(__xludf.DUMMYFUNCTION("""COMPUTED_VALUE""")," ")</f>
        <v> </v>
      </c>
      <c r="AP2353" s="2" t="str">
        <f>IFERROR(__xludf.DUMMYFUNCTION("""COMPUTED_VALUE"""),"")</f>
        <v/>
      </c>
      <c r="AQ2353" s="2"/>
      <c r="AR2353" s="2"/>
      <c r="AS2353" s="2"/>
      <c r="AT2353" s="2"/>
      <c r="AU2353" s="2"/>
      <c r="AV2353" s="2"/>
      <c r="AW2353" s="2"/>
      <c r="AX2353" s="2"/>
      <c r="AY2353" s="2"/>
      <c r="AZ2353" s="2"/>
      <c r="BA2353" s="2"/>
      <c r="BB2353" s="2"/>
    </row>
    <row r="2354">
      <c r="A2354" s="2"/>
      <c r="B2354" s="2" t="str">
        <f>IFERROR(__xludf.DUMMYFUNCTION("""COMPUTED_VALUE"""),"")</f>
        <v/>
      </c>
      <c r="C2354" s="2"/>
      <c r="D2354" s="71"/>
      <c r="E2354" s="71" t="str">
        <f>IFERROR(__xludf.DUMMYFUNCTION("""COMPUTED_VALUE""")," ")</f>
        <v> </v>
      </c>
      <c r="F2354" s="2"/>
      <c r="G2354" s="2"/>
      <c r="H2354" s="2"/>
      <c r="I2354" s="72"/>
      <c r="J2354" s="72"/>
      <c r="K2354" s="72"/>
      <c r="L2354" s="72"/>
      <c r="M2354" s="2"/>
      <c r="N2354" s="2"/>
      <c r="O2354" s="2"/>
      <c r="P2354" s="2"/>
      <c r="Q2354" s="2"/>
      <c r="R2354" s="2"/>
      <c r="S2354" s="2"/>
      <c r="T2354" s="2"/>
      <c r="U2354" s="2"/>
      <c r="V2354" s="2"/>
      <c r="W2354" s="2"/>
      <c r="X2354" s="2"/>
      <c r="Y2354" s="2"/>
      <c r="Z2354" s="2"/>
      <c r="AA2354" s="2"/>
      <c r="AB2354" s="2"/>
      <c r="AC2354" s="2"/>
      <c r="AD2354" s="2"/>
      <c r="AE2354" s="2"/>
      <c r="AF2354" s="2"/>
      <c r="AG2354" s="2"/>
      <c r="AH2354" s="2"/>
      <c r="AI2354" s="2"/>
      <c r="AJ2354" s="2" t="str">
        <f>IFERROR(__xludf.DUMMYFUNCTION("""COMPUTED_VALUE"""),"")</f>
        <v/>
      </c>
      <c r="AK2354" s="2" t="str">
        <f>IFERROR(__xludf.DUMMYFUNCTION("""COMPUTED_VALUE"""),"")</f>
        <v/>
      </c>
      <c r="AL2354" s="2" t="str">
        <f>IFERROR(__xludf.DUMMYFUNCTION("""COMPUTED_VALUE"""),"")</f>
        <v/>
      </c>
      <c r="AM2354" s="2" t="str">
        <f>IFERROR(__xludf.DUMMYFUNCTION("""COMPUTED_VALUE"""),"")</f>
        <v/>
      </c>
      <c r="AN2354" s="2" t="str">
        <f>IFERROR(__xludf.DUMMYFUNCTION("""COMPUTED_VALUE""")," ")</f>
        <v> </v>
      </c>
      <c r="AO2354" s="2" t="str">
        <f>IFERROR(__xludf.DUMMYFUNCTION("""COMPUTED_VALUE""")," ")</f>
        <v> </v>
      </c>
      <c r="AP2354" s="2" t="str">
        <f>IFERROR(__xludf.DUMMYFUNCTION("""COMPUTED_VALUE"""),"")</f>
        <v/>
      </c>
      <c r="AQ2354" s="2"/>
      <c r="AR2354" s="2"/>
      <c r="AS2354" s="2"/>
      <c r="AT2354" s="2"/>
      <c r="AU2354" s="2"/>
      <c r="AV2354" s="2"/>
      <c r="AW2354" s="2"/>
      <c r="AX2354" s="2"/>
      <c r="AY2354" s="2"/>
      <c r="AZ2354" s="2"/>
      <c r="BA2354" s="2"/>
      <c r="BB2354" s="2"/>
    </row>
    <row r="2355">
      <c r="A2355" s="2"/>
      <c r="B2355" s="2" t="str">
        <f>IFERROR(__xludf.DUMMYFUNCTION("""COMPUTED_VALUE"""),"")</f>
        <v/>
      </c>
      <c r="C2355" s="2"/>
      <c r="D2355" s="71"/>
      <c r="E2355" s="71" t="str">
        <f>IFERROR(__xludf.DUMMYFUNCTION("""COMPUTED_VALUE""")," ")</f>
        <v> </v>
      </c>
      <c r="F2355" s="2"/>
      <c r="G2355" s="2"/>
      <c r="H2355" s="2"/>
      <c r="I2355" s="72"/>
      <c r="J2355" s="72"/>
      <c r="K2355" s="72"/>
      <c r="L2355" s="72"/>
      <c r="M2355" s="2"/>
      <c r="N2355" s="2"/>
      <c r="O2355" s="2"/>
      <c r="P2355" s="2"/>
      <c r="Q2355" s="2"/>
      <c r="R2355" s="2"/>
      <c r="S2355" s="2"/>
      <c r="T2355" s="2"/>
      <c r="U2355" s="2"/>
      <c r="V2355" s="2"/>
      <c r="W2355" s="2"/>
      <c r="X2355" s="2"/>
      <c r="Y2355" s="2"/>
      <c r="Z2355" s="2"/>
      <c r="AA2355" s="2"/>
      <c r="AB2355" s="2"/>
      <c r="AC2355" s="2"/>
      <c r="AD2355" s="2"/>
      <c r="AE2355" s="2"/>
      <c r="AF2355" s="2"/>
      <c r="AG2355" s="2"/>
      <c r="AH2355" s="2"/>
      <c r="AI2355" s="2"/>
      <c r="AJ2355" s="2" t="str">
        <f>IFERROR(__xludf.DUMMYFUNCTION("""COMPUTED_VALUE"""),"")</f>
        <v/>
      </c>
      <c r="AK2355" s="2" t="str">
        <f>IFERROR(__xludf.DUMMYFUNCTION("""COMPUTED_VALUE"""),"")</f>
        <v/>
      </c>
      <c r="AL2355" s="2" t="str">
        <f>IFERROR(__xludf.DUMMYFUNCTION("""COMPUTED_VALUE"""),"")</f>
        <v/>
      </c>
      <c r="AM2355" s="2" t="str">
        <f>IFERROR(__xludf.DUMMYFUNCTION("""COMPUTED_VALUE"""),"")</f>
        <v/>
      </c>
      <c r="AN2355" s="2" t="str">
        <f>IFERROR(__xludf.DUMMYFUNCTION("""COMPUTED_VALUE""")," ")</f>
        <v> </v>
      </c>
      <c r="AO2355" s="2" t="str">
        <f>IFERROR(__xludf.DUMMYFUNCTION("""COMPUTED_VALUE""")," ")</f>
        <v> </v>
      </c>
      <c r="AP2355" s="2" t="str">
        <f>IFERROR(__xludf.DUMMYFUNCTION("""COMPUTED_VALUE"""),"")</f>
        <v/>
      </c>
      <c r="AQ2355" s="2"/>
      <c r="AR2355" s="2"/>
      <c r="AS2355" s="2"/>
      <c r="AT2355" s="2"/>
      <c r="AU2355" s="2"/>
      <c r="AV2355" s="2"/>
      <c r="AW2355" s="2"/>
      <c r="AX2355" s="2"/>
      <c r="AY2355" s="2"/>
      <c r="AZ2355" s="2"/>
      <c r="BA2355" s="2"/>
      <c r="BB2355" s="2"/>
    </row>
    <row r="2356">
      <c r="A2356" s="2"/>
      <c r="B2356" s="2" t="str">
        <f>IFERROR(__xludf.DUMMYFUNCTION("""COMPUTED_VALUE"""),"")</f>
        <v/>
      </c>
      <c r="C2356" s="2"/>
      <c r="D2356" s="71"/>
      <c r="E2356" s="71" t="str">
        <f>IFERROR(__xludf.DUMMYFUNCTION("""COMPUTED_VALUE""")," ")</f>
        <v> </v>
      </c>
      <c r="F2356" s="2"/>
      <c r="G2356" s="2"/>
      <c r="H2356" s="2"/>
      <c r="I2356" s="72"/>
      <c r="J2356" s="72"/>
      <c r="K2356" s="72"/>
      <c r="L2356" s="72"/>
      <c r="M2356" s="2"/>
      <c r="N2356" s="2"/>
      <c r="O2356" s="2"/>
      <c r="P2356" s="2"/>
      <c r="Q2356" s="2"/>
      <c r="R2356" s="2"/>
      <c r="S2356" s="2"/>
      <c r="T2356" s="2"/>
      <c r="U2356" s="2"/>
      <c r="V2356" s="2"/>
      <c r="W2356" s="2"/>
      <c r="X2356" s="2"/>
      <c r="Y2356" s="2"/>
      <c r="Z2356" s="2"/>
      <c r="AA2356" s="2"/>
      <c r="AB2356" s="2"/>
      <c r="AC2356" s="2"/>
      <c r="AD2356" s="2"/>
      <c r="AE2356" s="2"/>
      <c r="AF2356" s="2"/>
      <c r="AG2356" s="2"/>
      <c r="AH2356" s="2"/>
      <c r="AI2356" s="2"/>
      <c r="AJ2356" s="2" t="str">
        <f>IFERROR(__xludf.DUMMYFUNCTION("""COMPUTED_VALUE"""),"")</f>
        <v/>
      </c>
      <c r="AK2356" s="2" t="str">
        <f>IFERROR(__xludf.DUMMYFUNCTION("""COMPUTED_VALUE"""),"")</f>
        <v/>
      </c>
      <c r="AL2356" s="2" t="str">
        <f>IFERROR(__xludf.DUMMYFUNCTION("""COMPUTED_VALUE"""),"")</f>
        <v/>
      </c>
      <c r="AM2356" s="2" t="str">
        <f>IFERROR(__xludf.DUMMYFUNCTION("""COMPUTED_VALUE"""),"")</f>
        <v/>
      </c>
      <c r="AN2356" s="2" t="str">
        <f>IFERROR(__xludf.DUMMYFUNCTION("""COMPUTED_VALUE""")," ")</f>
        <v> </v>
      </c>
      <c r="AO2356" s="2" t="str">
        <f>IFERROR(__xludf.DUMMYFUNCTION("""COMPUTED_VALUE""")," ")</f>
        <v> </v>
      </c>
      <c r="AP2356" s="2" t="str">
        <f>IFERROR(__xludf.DUMMYFUNCTION("""COMPUTED_VALUE"""),"")</f>
        <v/>
      </c>
      <c r="AQ2356" s="2"/>
      <c r="AR2356" s="2"/>
      <c r="AS2356" s="2"/>
      <c r="AT2356" s="2"/>
      <c r="AU2356" s="2"/>
      <c r="AV2356" s="2"/>
      <c r="AW2356" s="2"/>
      <c r="AX2356" s="2"/>
      <c r="AY2356" s="2"/>
      <c r="AZ2356" s="2"/>
      <c r="BA2356" s="2"/>
      <c r="BB2356" s="2"/>
    </row>
    <row r="2357">
      <c r="A2357" s="2"/>
      <c r="B2357" s="2" t="str">
        <f>IFERROR(__xludf.DUMMYFUNCTION("""COMPUTED_VALUE"""),"")</f>
        <v/>
      </c>
      <c r="C2357" s="2"/>
      <c r="D2357" s="71"/>
      <c r="E2357" s="71" t="str">
        <f>IFERROR(__xludf.DUMMYFUNCTION("""COMPUTED_VALUE""")," ")</f>
        <v> </v>
      </c>
      <c r="F2357" s="2"/>
      <c r="G2357" s="2"/>
      <c r="H2357" s="2"/>
      <c r="I2357" s="72"/>
      <c r="J2357" s="72"/>
      <c r="K2357" s="72"/>
      <c r="L2357" s="72"/>
      <c r="M2357" s="2"/>
      <c r="N2357" s="2"/>
      <c r="O2357" s="2"/>
      <c r="P2357" s="2"/>
      <c r="Q2357" s="2"/>
      <c r="R2357" s="2"/>
      <c r="S2357" s="2"/>
      <c r="T2357" s="2"/>
      <c r="U2357" s="2"/>
      <c r="V2357" s="2"/>
      <c r="W2357" s="2"/>
      <c r="X2357" s="2"/>
      <c r="Y2357" s="2"/>
      <c r="Z2357" s="2"/>
      <c r="AA2357" s="2"/>
      <c r="AB2357" s="2"/>
      <c r="AC2357" s="2"/>
      <c r="AD2357" s="2"/>
      <c r="AE2357" s="2"/>
      <c r="AF2357" s="2"/>
      <c r="AG2357" s="2"/>
      <c r="AH2357" s="2"/>
      <c r="AI2357" s="2"/>
      <c r="AJ2357" s="2" t="str">
        <f>IFERROR(__xludf.DUMMYFUNCTION("""COMPUTED_VALUE"""),"")</f>
        <v/>
      </c>
      <c r="AK2357" s="2" t="str">
        <f>IFERROR(__xludf.DUMMYFUNCTION("""COMPUTED_VALUE"""),"")</f>
        <v/>
      </c>
      <c r="AL2357" s="2" t="str">
        <f>IFERROR(__xludf.DUMMYFUNCTION("""COMPUTED_VALUE"""),"")</f>
        <v/>
      </c>
      <c r="AM2357" s="2" t="str">
        <f>IFERROR(__xludf.DUMMYFUNCTION("""COMPUTED_VALUE"""),"")</f>
        <v/>
      </c>
      <c r="AN2357" s="2" t="str">
        <f>IFERROR(__xludf.DUMMYFUNCTION("""COMPUTED_VALUE""")," ")</f>
        <v> </v>
      </c>
      <c r="AO2357" s="2" t="str">
        <f>IFERROR(__xludf.DUMMYFUNCTION("""COMPUTED_VALUE""")," ")</f>
        <v> </v>
      </c>
      <c r="AP2357" s="2" t="str">
        <f>IFERROR(__xludf.DUMMYFUNCTION("""COMPUTED_VALUE"""),"")</f>
        <v/>
      </c>
      <c r="AQ2357" s="2"/>
      <c r="AR2357" s="2"/>
      <c r="AS2357" s="2"/>
      <c r="AT2357" s="2"/>
      <c r="AU2357" s="2"/>
      <c r="AV2357" s="2"/>
      <c r="AW2357" s="2"/>
      <c r="AX2357" s="2"/>
      <c r="AY2357" s="2"/>
      <c r="AZ2357" s="2"/>
      <c r="BA2357" s="2"/>
      <c r="BB2357" s="2"/>
    </row>
    <row r="2358">
      <c r="A2358" s="2"/>
      <c r="B2358" s="2" t="str">
        <f>IFERROR(__xludf.DUMMYFUNCTION("""COMPUTED_VALUE"""),"")</f>
        <v/>
      </c>
      <c r="C2358" s="2"/>
      <c r="D2358" s="71"/>
      <c r="E2358" s="71" t="str">
        <f>IFERROR(__xludf.DUMMYFUNCTION("""COMPUTED_VALUE""")," ")</f>
        <v> </v>
      </c>
      <c r="F2358" s="2"/>
      <c r="G2358" s="2"/>
      <c r="H2358" s="2"/>
      <c r="I2358" s="72"/>
      <c r="J2358" s="72"/>
      <c r="K2358" s="72"/>
      <c r="L2358" s="72"/>
      <c r="M2358" s="2"/>
      <c r="N2358" s="2"/>
      <c r="O2358" s="2"/>
      <c r="P2358" s="2"/>
      <c r="Q2358" s="2"/>
      <c r="R2358" s="2"/>
      <c r="S2358" s="2"/>
      <c r="T2358" s="2"/>
      <c r="U2358" s="2"/>
      <c r="V2358" s="2"/>
      <c r="W2358" s="2"/>
      <c r="X2358" s="2"/>
      <c r="Y2358" s="2"/>
      <c r="Z2358" s="2"/>
      <c r="AA2358" s="2"/>
      <c r="AB2358" s="2"/>
      <c r="AC2358" s="2"/>
      <c r="AD2358" s="2"/>
      <c r="AE2358" s="2"/>
      <c r="AF2358" s="2"/>
      <c r="AG2358" s="2"/>
      <c r="AH2358" s="2"/>
      <c r="AI2358" s="2"/>
      <c r="AJ2358" s="2" t="str">
        <f>IFERROR(__xludf.DUMMYFUNCTION("""COMPUTED_VALUE"""),"")</f>
        <v/>
      </c>
      <c r="AK2358" s="2" t="str">
        <f>IFERROR(__xludf.DUMMYFUNCTION("""COMPUTED_VALUE"""),"")</f>
        <v/>
      </c>
      <c r="AL2358" s="2" t="str">
        <f>IFERROR(__xludf.DUMMYFUNCTION("""COMPUTED_VALUE"""),"")</f>
        <v/>
      </c>
      <c r="AM2358" s="2" t="str">
        <f>IFERROR(__xludf.DUMMYFUNCTION("""COMPUTED_VALUE"""),"")</f>
        <v/>
      </c>
      <c r="AN2358" s="2" t="str">
        <f>IFERROR(__xludf.DUMMYFUNCTION("""COMPUTED_VALUE""")," ")</f>
        <v> </v>
      </c>
      <c r="AO2358" s="2" t="str">
        <f>IFERROR(__xludf.DUMMYFUNCTION("""COMPUTED_VALUE""")," ")</f>
        <v> </v>
      </c>
      <c r="AP2358" s="2" t="str">
        <f>IFERROR(__xludf.DUMMYFUNCTION("""COMPUTED_VALUE"""),"")</f>
        <v/>
      </c>
      <c r="AQ2358" s="2"/>
      <c r="AR2358" s="2"/>
      <c r="AS2358" s="2"/>
      <c r="AT2358" s="2"/>
      <c r="AU2358" s="2"/>
      <c r="AV2358" s="2"/>
      <c r="AW2358" s="2"/>
      <c r="AX2358" s="2"/>
      <c r="AY2358" s="2"/>
      <c r="AZ2358" s="2"/>
      <c r="BA2358" s="2"/>
      <c r="BB2358" s="2"/>
    </row>
    <row r="2359">
      <c r="A2359" s="2"/>
      <c r="B2359" s="2" t="str">
        <f>IFERROR(__xludf.DUMMYFUNCTION("""COMPUTED_VALUE"""),"")</f>
        <v/>
      </c>
      <c r="C2359" s="2"/>
      <c r="D2359" s="71"/>
      <c r="E2359" s="71" t="str">
        <f>IFERROR(__xludf.DUMMYFUNCTION("""COMPUTED_VALUE""")," ")</f>
        <v> </v>
      </c>
      <c r="F2359" s="2"/>
      <c r="G2359" s="2"/>
      <c r="H2359" s="2"/>
      <c r="I2359" s="72"/>
      <c r="J2359" s="72"/>
      <c r="K2359" s="72"/>
      <c r="L2359" s="72"/>
      <c r="M2359" s="2"/>
      <c r="N2359" s="2"/>
      <c r="O2359" s="2"/>
      <c r="P2359" s="2"/>
      <c r="Q2359" s="2"/>
      <c r="R2359" s="2"/>
      <c r="S2359" s="2"/>
      <c r="T2359" s="2"/>
      <c r="U2359" s="2"/>
      <c r="V2359" s="2"/>
      <c r="W2359" s="2"/>
      <c r="X2359" s="2"/>
      <c r="Y2359" s="2"/>
      <c r="Z2359" s="2"/>
      <c r="AA2359" s="2"/>
      <c r="AB2359" s="2"/>
      <c r="AC2359" s="2"/>
      <c r="AD2359" s="2"/>
      <c r="AE2359" s="2"/>
      <c r="AF2359" s="2"/>
      <c r="AG2359" s="2"/>
      <c r="AH2359" s="2"/>
      <c r="AI2359" s="2"/>
      <c r="AJ2359" s="2" t="str">
        <f>IFERROR(__xludf.DUMMYFUNCTION("""COMPUTED_VALUE"""),"")</f>
        <v/>
      </c>
      <c r="AK2359" s="2" t="str">
        <f>IFERROR(__xludf.DUMMYFUNCTION("""COMPUTED_VALUE"""),"")</f>
        <v/>
      </c>
      <c r="AL2359" s="2" t="str">
        <f>IFERROR(__xludf.DUMMYFUNCTION("""COMPUTED_VALUE"""),"")</f>
        <v/>
      </c>
      <c r="AM2359" s="2" t="str">
        <f>IFERROR(__xludf.DUMMYFUNCTION("""COMPUTED_VALUE"""),"")</f>
        <v/>
      </c>
      <c r="AN2359" s="2" t="str">
        <f>IFERROR(__xludf.DUMMYFUNCTION("""COMPUTED_VALUE""")," ")</f>
        <v> </v>
      </c>
      <c r="AO2359" s="2" t="str">
        <f>IFERROR(__xludf.DUMMYFUNCTION("""COMPUTED_VALUE""")," ")</f>
        <v> </v>
      </c>
      <c r="AP2359" s="2" t="str">
        <f>IFERROR(__xludf.DUMMYFUNCTION("""COMPUTED_VALUE"""),"")</f>
        <v/>
      </c>
      <c r="AQ2359" s="2"/>
      <c r="AR2359" s="2"/>
      <c r="AS2359" s="2"/>
      <c r="AT2359" s="2"/>
      <c r="AU2359" s="2"/>
      <c r="AV2359" s="2"/>
      <c r="AW2359" s="2"/>
      <c r="AX2359" s="2"/>
      <c r="AY2359" s="2"/>
      <c r="AZ2359" s="2"/>
      <c r="BA2359" s="2"/>
      <c r="BB2359" s="2"/>
    </row>
    <row r="2360">
      <c r="A2360" s="2"/>
      <c r="B2360" s="2" t="str">
        <f>IFERROR(__xludf.DUMMYFUNCTION("""COMPUTED_VALUE"""),"")</f>
        <v/>
      </c>
      <c r="C2360" s="2"/>
      <c r="D2360" s="71"/>
      <c r="E2360" s="71" t="str">
        <f>IFERROR(__xludf.DUMMYFUNCTION("""COMPUTED_VALUE""")," ")</f>
        <v> </v>
      </c>
      <c r="F2360" s="2"/>
      <c r="G2360" s="2"/>
      <c r="H2360" s="2"/>
      <c r="I2360" s="72"/>
      <c r="J2360" s="72"/>
      <c r="K2360" s="72"/>
      <c r="L2360" s="72"/>
      <c r="M2360" s="2"/>
      <c r="N2360" s="2"/>
      <c r="O2360" s="2"/>
      <c r="P2360" s="2"/>
      <c r="Q2360" s="2"/>
      <c r="R2360" s="2"/>
      <c r="S2360" s="2"/>
      <c r="T2360" s="2"/>
      <c r="U2360" s="2"/>
      <c r="V2360" s="2"/>
      <c r="W2360" s="2"/>
      <c r="X2360" s="2"/>
      <c r="Y2360" s="2"/>
      <c r="Z2360" s="2"/>
      <c r="AA2360" s="2"/>
      <c r="AB2360" s="2"/>
      <c r="AC2360" s="2"/>
      <c r="AD2360" s="2"/>
      <c r="AE2360" s="2"/>
      <c r="AF2360" s="2"/>
      <c r="AG2360" s="2"/>
      <c r="AH2360" s="2"/>
      <c r="AI2360" s="2"/>
      <c r="AJ2360" s="2" t="str">
        <f>IFERROR(__xludf.DUMMYFUNCTION("""COMPUTED_VALUE"""),"")</f>
        <v/>
      </c>
      <c r="AK2360" s="2" t="str">
        <f>IFERROR(__xludf.DUMMYFUNCTION("""COMPUTED_VALUE"""),"")</f>
        <v/>
      </c>
      <c r="AL2360" s="2" t="str">
        <f>IFERROR(__xludf.DUMMYFUNCTION("""COMPUTED_VALUE"""),"")</f>
        <v/>
      </c>
      <c r="AM2360" s="2" t="str">
        <f>IFERROR(__xludf.DUMMYFUNCTION("""COMPUTED_VALUE"""),"")</f>
        <v/>
      </c>
      <c r="AN2360" s="2" t="str">
        <f>IFERROR(__xludf.DUMMYFUNCTION("""COMPUTED_VALUE""")," ")</f>
        <v> </v>
      </c>
      <c r="AO2360" s="2" t="str">
        <f>IFERROR(__xludf.DUMMYFUNCTION("""COMPUTED_VALUE""")," ")</f>
        <v> </v>
      </c>
      <c r="AP2360" s="2" t="str">
        <f>IFERROR(__xludf.DUMMYFUNCTION("""COMPUTED_VALUE"""),"")</f>
        <v/>
      </c>
      <c r="AQ2360" s="2"/>
      <c r="AR2360" s="2"/>
      <c r="AS2360" s="2"/>
      <c r="AT2360" s="2"/>
      <c r="AU2360" s="2"/>
      <c r="AV2360" s="2"/>
      <c r="AW2360" s="2"/>
      <c r="AX2360" s="2"/>
      <c r="AY2360" s="2"/>
      <c r="AZ2360" s="2"/>
      <c r="BA2360" s="2"/>
      <c r="BB2360" s="2"/>
    </row>
    <row r="2361">
      <c r="A2361" s="2"/>
      <c r="B2361" s="2"/>
      <c r="C2361" s="2"/>
      <c r="D2361" s="71"/>
      <c r="E2361" s="71"/>
      <c r="F2361" s="2"/>
      <c r="G2361" s="2"/>
      <c r="H2361" s="2"/>
      <c r="I2361" s="72"/>
      <c r="J2361" s="72"/>
      <c r="K2361" s="72"/>
      <c r="L2361" s="72"/>
      <c r="M2361" s="2"/>
      <c r="N2361" s="2"/>
      <c r="O2361" s="2"/>
      <c r="P2361" s="2"/>
      <c r="Q2361" s="2"/>
      <c r="R2361" s="2"/>
      <c r="S2361" s="2"/>
      <c r="T2361" s="2"/>
      <c r="U2361" s="2"/>
      <c r="V2361" s="2"/>
      <c r="W2361" s="2"/>
      <c r="X2361" s="2"/>
      <c r="Y2361" s="2"/>
      <c r="Z2361" s="2"/>
      <c r="AA2361" s="2"/>
      <c r="AB2361" s="2"/>
      <c r="AC2361" s="2"/>
      <c r="AD2361" s="2"/>
      <c r="AE2361" s="2"/>
      <c r="AF2361" s="2"/>
      <c r="AG2361" s="2"/>
      <c r="AH2361" s="2"/>
      <c r="AI2361" s="2"/>
      <c r="AJ2361" s="2" t="str">
        <f>IFERROR(__xludf.DUMMYFUNCTION("""COMPUTED_VALUE"""),"")</f>
        <v/>
      </c>
      <c r="AK2361" s="2" t="str">
        <f>IFERROR(__xludf.DUMMYFUNCTION("""COMPUTED_VALUE"""),"")</f>
        <v/>
      </c>
      <c r="AL2361" s="2" t="str">
        <f>IFERROR(__xludf.DUMMYFUNCTION("""COMPUTED_VALUE"""),"")</f>
        <v/>
      </c>
      <c r="AM2361" s="2" t="str">
        <f>IFERROR(__xludf.DUMMYFUNCTION("""COMPUTED_VALUE"""),"")</f>
        <v/>
      </c>
      <c r="AN2361" s="2" t="str">
        <f>IFERROR(__xludf.DUMMYFUNCTION("""COMPUTED_VALUE""")," ")</f>
        <v> </v>
      </c>
      <c r="AO2361" s="2" t="str">
        <f>IFERROR(__xludf.DUMMYFUNCTION("""COMPUTED_VALUE""")," ")</f>
        <v> </v>
      </c>
      <c r="AP2361" s="2" t="str">
        <f>IFERROR(__xludf.DUMMYFUNCTION("""COMPUTED_VALUE"""),"")</f>
        <v/>
      </c>
      <c r="AQ2361" s="2"/>
      <c r="AR2361" s="2"/>
      <c r="AS2361" s="2"/>
      <c r="AT2361" s="2"/>
      <c r="AU2361" s="2"/>
      <c r="AV2361" s="2"/>
      <c r="AW2361" s="2"/>
      <c r="AX2361" s="2"/>
      <c r="AY2361" s="2"/>
      <c r="AZ2361" s="2"/>
      <c r="BA2361" s="2"/>
      <c r="BB2361" s="2"/>
    </row>
    <row r="2362">
      <c r="A2362" s="2"/>
      <c r="B2362" s="2" t="str">
        <f>IFERROR(__xludf.DUMMYFUNCTION("""COMPUTED_VALUE"""),"")</f>
        <v/>
      </c>
      <c r="C2362" s="2"/>
      <c r="D2362" s="71"/>
      <c r="E2362" s="71" t="str">
        <f>IFERROR(__xludf.DUMMYFUNCTION("""COMPUTED_VALUE""")," ")</f>
        <v> </v>
      </c>
      <c r="F2362" s="2"/>
      <c r="G2362" s="2"/>
      <c r="H2362" s="2"/>
      <c r="I2362" s="72"/>
      <c r="J2362" s="72"/>
      <c r="K2362" s="72"/>
      <c r="L2362" s="72"/>
      <c r="M2362" s="2"/>
      <c r="N2362" s="2"/>
      <c r="O2362" s="2"/>
      <c r="P2362" s="2"/>
      <c r="Q2362" s="2"/>
      <c r="R2362" s="2"/>
      <c r="S2362" s="2"/>
      <c r="T2362" s="2"/>
      <c r="U2362" s="2"/>
      <c r="V2362" s="2"/>
      <c r="W2362" s="2"/>
      <c r="X2362" s="2"/>
      <c r="Y2362" s="2"/>
      <c r="Z2362" s="2"/>
      <c r="AA2362" s="2"/>
      <c r="AB2362" s="2"/>
      <c r="AC2362" s="2"/>
      <c r="AD2362" s="2"/>
      <c r="AE2362" s="2"/>
      <c r="AF2362" s="2"/>
      <c r="AG2362" s="2"/>
      <c r="AH2362" s="2"/>
      <c r="AI2362" s="2"/>
      <c r="AJ2362" s="2" t="str">
        <f>IFERROR(__xludf.DUMMYFUNCTION("""COMPUTED_VALUE"""),"")</f>
        <v/>
      </c>
      <c r="AK2362" s="2" t="str">
        <f>IFERROR(__xludf.DUMMYFUNCTION("""COMPUTED_VALUE"""),"")</f>
        <v/>
      </c>
      <c r="AL2362" s="2" t="str">
        <f>IFERROR(__xludf.DUMMYFUNCTION("""COMPUTED_VALUE"""),"")</f>
        <v/>
      </c>
      <c r="AM2362" s="2" t="str">
        <f>IFERROR(__xludf.DUMMYFUNCTION("""COMPUTED_VALUE"""),"")</f>
        <v/>
      </c>
      <c r="AN2362" s="2" t="str">
        <f>IFERROR(__xludf.DUMMYFUNCTION("""COMPUTED_VALUE""")," ")</f>
        <v> </v>
      </c>
      <c r="AO2362" s="2" t="str">
        <f>IFERROR(__xludf.DUMMYFUNCTION("""COMPUTED_VALUE""")," ")</f>
        <v> </v>
      </c>
      <c r="AP2362" s="2" t="str">
        <f>IFERROR(__xludf.DUMMYFUNCTION("""COMPUTED_VALUE"""),"")</f>
        <v/>
      </c>
      <c r="AQ2362" s="2"/>
      <c r="AR2362" s="2"/>
      <c r="AS2362" s="2"/>
      <c r="AT2362" s="2"/>
      <c r="AU2362" s="2"/>
      <c r="AV2362" s="2"/>
      <c r="AW2362" s="2"/>
      <c r="AX2362" s="2"/>
      <c r="AY2362" s="2"/>
      <c r="AZ2362" s="2"/>
      <c r="BA2362" s="2"/>
      <c r="BB2362" s="2"/>
    </row>
    <row r="2363">
      <c r="A2363" s="2"/>
      <c r="B2363" s="2" t="str">
        <f>IFERROR(__xludf.DUMMYFUNCTION("""COMPUTED_VALUE"""),"")</f>
        <v/>
      </c>
      <c r="C2363" s="2"/>
      <c r="D2363" s="71"/>
      <c r="E2363" s="71" t="str">
        <f>IFERROR(__xludf.DUMMYFUNCTION("""COMPUTED_VALUE""")," ")</f>
        <v> </v>
      </c>
      <c r="F2363" s="2"/>
      <c r="G2363" s="2"/>
      <c r="H2363" s="2"/>
      <c r="I2363" s="72"/>
      <c r="J2363" s="72"/>
      <c r="K2363" s="72"/>
      <c r="L2363" s="72"/>
      <c r="M2363" s="2"/>
      <c r="N2363" s="2"/>
      <c r="O2363" s="2"/>
      <c r="P2363" s="2"/>
      <c r="Q2363" s="2"/>
      <c r="R2363" s="2"/>
      <c r="S2363" s="2"/>
      <c r="T2363" s="2"/>
      <c r="U2363" s="2"/>
      <c r="V2363" s="2"/>
      <c r="W2363" s="2"/>
      <c r="X2363" s="2"/>
      <c r="Y2363" s="2"/>
      <c r="Z2363" s="2"/>
      <c r="AA2363" s="2"/>
      <c r="AB2363" s="2"/>
      <c r="AC2363" s="2"/>
      <c r="AD2363" s="2"/>
      <c r="AE2363" s="2"/>
      <c r="AF2363" s="2"/>
      <c r="AG2363" s="2"/>
      <c r="AH2363" s="2"/>
      <c r="AI2363" s="2"/>
      <c r="AJ2363" s="2" t="str">
        <f>IFERROR(__xludf.DUMMYFUNCTION("""COMPUTED_VALUE"""),"")</f>
        <v/>
      </c>
      <c r="AK2363" s="2" t="str">
        <f>IFERROR(__xludf.DUMMYFUNCTION("""COMPUTED_VALUE"""),"")</f>
        <v/>
      </c>
      <c r="AL2363" s="2" t="str">
        <f>IFERROR(__xludf.DUMMYFUNCTION("""COMPUTED_VALUE"""),"")</f>
        <v/>
      </c>
      <c r="AM2363" s="2" t="str">
        <f>IFERROR(__xludf.DUMMYFUNCTION("""COMPUTED_VALUE"""),"")</f>
        <v/>
      </c>
      <c r="AN2363" s="2" t="str">
        <f>IFERROR(__xludf.DUMMYFUNCTION("""COMPUTED_VALUE""")," ")</f>
        <v> </v>
      </c>
      <c r="AO2363" s="2" t="str">
        <f>IFERROR(__xludf.DUMMYFUNCTION("""COMPUTED_VALUE""")," ")</f>
        <v> </v>
      </c>
      <c r="AP2363" s="2" t="str">
        <f>IFERROR(__xludf.DUMMYFUNCTION("""COMPUTED_VALUE"""),"")</f>
        <v/>
      </c>
      <c r="AQ2363" s="2"/>
      <c r="AR2363" s="2"/>
      <c r="AS2363" s="2"/>
      <c r="AT2363" s="2"/>
      <c r="AU2363" s="2"/>
      <c r="AV2363" s="2"/>
      <c r="AW2363" s="2"/>
      <c r="AX2363" s="2"/>
      <c r="AY2363" s="2"/>
      <c r="AZ2363" s="2"/>
      <c r="BA2363" s="2"/>
      <c r="BB2363" s="2"/>
    </row>
    <row r="2364">
      <c r="A2364" s="2"/>
      <c r="B2364" s="2" t="str">
        <f>IFERROR(__xludf.DUMMYFUNCTION("""COMPUTED_VALUE"""),"")</f>
        <v/>
      </c>
      <c r="C2364" s="2"/>
      <c r="D2364" s="71"/>
      <c r="E2364" s="71" t="str">
        <f>IFERROR(__xludf.DUMMYFUNCTION("""COMPUTED_VALUE""")," ")</f>
        <v> </v>
      </c>
      <c r="F2364" s="2"/>
      <c r="G2364" s="2"/>
      <c r="H2364" s="2"/>
      <c r="I2364" s="72"/>
      <c r="J2364" s="72"/>
      <c r="K2364" s="72"/>
      <c r="L2364" s="72"/>
      <c r="M2364" s="2"/>
      <c r="N2364" s="2"/>
      <c r="O2364" s="2"/>
      <c r="P2364" s="2"/>
      <c r="Q2364" s="2"/>
      <c r="R2364" s="2"/>
      <c r="S2364" s="2"/>
      <c r="T2364" s="2"/>
      <c r="U2364" s="2"/>
      <c r="V2364" s="2"/>
      <c r="W2364" s="2"/>
      <c r="X2364" s="2"/>
      <c r="Y2364" s="2"/>
      <c r="Z2364" s="2"/>
      <c r="AA2364" s="2"/>
      <c r="AB2364" s="2"/>
      <c r="AC2364" s="2"/>
      <c r="AD2364" s="2"/>
      <c r="AE2364" s="2"/>
      <c r="AF2364" s="2"/>
      <c r="AG2364" s="2"/>
      <c r="AH2364" s="2"/>
      <c r="AI2364" s="2"/>
      <c r="AJ2364" s="2" t="str">
        <f>IFERROR(__xludf.DUMMYFUNCTION("""COMPUTED_VALUE"""),"")</f>
        <v/>
      </c>
      <c r="AK2364" s="2" t="str">
        <f>IFERROR(__xludf.DUMMYFUNCTION("""COMPUTED_VALUE"""),"")</f>
        <v/>
      </c>
      <c r="AL2364" s="2" t="str">
        <f>IFERROR(__xludf.DUMMYFUNCTION("""COMPUTED_VALUE"""),"")</f>
        <v/>
      </c>
      <c r="AM2364" s="2" t="str">
        <f>IFERROR(__xludf.DUMMYFUNCTION("""COMPUTED_VALUE"""),"")</f>
        <v/>
      </c>
      <c r="AN2364" s="2" t="str">
        <f>IFERROR(__xludf.DUMMYFUNCTION("""COMPUTED_VALUE""")," ")</f>
        <v> </v>
      </c>
      <c r="AO2364" s="2" t="str">
        <f>IFERROR(__xludf.DUMMYFUNCTION("""COMPUTED_VALUE""")," ")</f>
        <v> </v>
      </c>
      <c r="AP2364" s="2" t="str">
        <f>IFERROR(__xludf.DUMMYFUNCTION("""COMPUTED_VALUE"""),"")</f>
        <v/>
      </c>
      <c r="AQ2364" s="2"/>
      <c r="AR2364" s="2"/>
      <c r="AS2364" s="2"/>
      <c r="AT2364" s="2"/>
      <c r="AU2364" s="2"/>
      <c r="AV2364" s="2"/>
      <c r="AW2364" s="2"/>
      <c r="AX2364" s="2"/>
      <c r="AY2364" s="2"/>
      <c r="AZ2364" s="2"/>
      <c r="BA2364" s="2"/>
      <c r="BB2364" s="2"/>
    </row>
    <row r="2365">
      <c r="A2365" s="2"/>
      <c r="B2365" s="2" t="str">
        <f>IFERROR(__xludf.DUMMYFUNCTION("""COMPUTED_VALUE"""),"")</f>
        <v/>
      </c>
      <c r="C2365" s="2"/>
      <c r="D2365" s="71"/>
      <c r="E2365" s="71" t="str">
        <f>IFERROR(__xludf.DUMMYFUNCTION("""COMPUTED_VALUE""")," ")</f>
        <v> </v>
      </c>
      <c r="F2365" s="2"/>
      <c r="G2365" s="2"/>
      <c r="H2365" s="2"/>
      <c r="I2365" s="72"/>
      <c r="J2365" s="72"/>
      <c r="K2365" s="72"/>
      <c r="L2365" s="72"/>
      <c r="M2365" s="2"/>
      <c r="N2365" s="2"/>
      <c r="O2365" s="2"/>
      <c r="P2365" s="2"/>
      <c r="Q2365" s="2"/>
      <c r="R2365" s="2"/>
      <c r="S2365" s="2"/>
      <c r="T2365" s="2"/>
      <c r="U2365" s="2"/>
      <c r="V2365" s="2"/>
      <c r="W2365" s="2"/>
      <c r="X2365" s="2"/>
      <c r="Y2365" s="2"/>
      <c r="Z2365" s="2"/>
      <c r="AA2365" s="2"/>
      <c r="AB2365" s="2"/>
      <c r="AC2365" s="2"/>
      <c r="AD2365" s="2"/>
      <c r="AE2365" s="2"/>
      <c r="AF2365" s="2"/>
      <c r="AG2365" s="2"/>
      <c r="AH2365" s="2"/>
      <c r="AI2365" s="2"/>
      <c r="AJ2365" s="2" t="str">
        <f>IFERROR(__xludf.DUMMYFUNCTION("""COMPUTED_VALUE"""),"")</f>
        <v/>
      </c>
      <c r="AK2365" s="2" t="str">
        <f>IFERROR(__xludf.DUMMYFUNCTION("""COMPUTED_VALUE"""),"")</f>
        <v/>
      </c>
      <c r="AL2365" s="2" t="str">
        <f>IFERROR(__xludf.DUMMYFUNCTION("""COMPUTED_VALUE"""),"")</f>
        <v/>
      </c>
      <c r="AM2365" s="2" t="str">
        <f>IFERROR(__xludf.DUMMYFUNCTION("""COMPUTED_VALUE"""),"")</f>
        <v/>
      </c>
      <c r="AN2365" s="2" t="str">
        <f>IFERROR(__xludf.DUMMYFUNCTION("""COMPUTED_VALUE""")," ")</f>
        <v> </v>
      </c>
      <c r="AO2365" s="2" t="str">
        <f>IFERROR(__xludf.DUMMYFUNCTION("""COMPUTED_VALUE""")," ")</f>
        <v> </v>
      </c>
      <c r="AP2365" s="2" t="str">
        <f>IFERROR(__xludf.DUMMYFUNCTION("""COMPUTED_VALUE"""),"")</f>
        <v/>
      </c>
      <c r="AQ2365" s="2"/>
      <c r="AR2365" s="2"/>
      <c r="AS2365" s="2"/>
      <c r="AT2365" s="2"/>
      <c r="AU2365" s="2"/>
      <c r="AV2365" s="2"/>
      <c r="AW2365" s="2"/>
      <c r="AX2365" s="2"/>
      <c r="AY2365" s="2"/>
      <c r="AZ2365" s="2"/>
      <c r="BA2365" s="2"/>
      <c r="BB2365" s="2"/>
    </row>
    <row r="2366">
      <c r="A2366" s="2"/>
      <c r="B2366" s="2" t="str">
        <f>IFERROR(__xludf.DUMMYFUNCTION("""COMPUTED_VALUE"""),"")</f>
        <v/>
      </c>
      <c r="C2366" s="2"/>
      <c r="D2366" s="71"/>
      <c r="E2366" s="71" t="str">
        <f>IFERROR(__xludf.DUMMYFUNCTION("""COMPUTED_VALUE""")," ")</f>
        <v> </v>
      </c>
      <c r="F2366" s="2"/>
      <c r="G2366" s="2"/>
      <c r="H2366" s="2"/>
      <c r="I2366" s="72"/>
      <c r="J2366" s="72"/>
      <c r="K2366" s="72"/>
      <c r="L2366" s="72"/>
      <c r="M2366" s="2"/>
      <c r="N2366" s="2"/>
      <c r="O2366" s="2"/>
      <c r="P2366" s="2"/>
      <c r="Q2366" s="2"/>
      <c r="R2366" s="2"/>
      <c r="S2366" s="2"/>
      <c r="T2366" s="2"/>
      <c r="U2366" s="2"/>
      <c r="V2366" s="2"/>
      <c r="W2366" s="2"/>
      <c r="X2366" s="2"/>
      <c r="Y2366" s="2"/>
      <c r="Z2366" s="2"/>
      <c r="AA2366" s="2"/>
      <c r="AB2366" s="2"/>
      <c r="AC2366" s="2"/>
      <c r="AD2366" s="2"/>
      <c r="AE2366" s="2"/>
      <c r="AF2366" s="2"/>
      <c r="AG2366" s="2"/>
      <c r="AH2366" s="2"/>
      <c r="AI2366" s="2"/>
      <c r="AJ2366" s="2" t="str">
        <f>IFERROR(__xludf.DUMMYFUNCTION("""COMPUTED_VALUE"""),"")</f>
        <v/>
      </c>
      <c r="AK2366" s="2" t="str">
        <f>IFERROR(__xludf.DUMMYFUNCTION("""COMPUTED_VALUE"""),"")</f>
        <v/>
      </c>
      <c r="AL2366" s="2" t="str">
        <f>IFERROR(__xludf.DUMMYFUNCTION("""COMPUTED_VALUE"""),"")</f>
        <v/>
      </c>
      <c r="AM2366" s="2" t="str">
        <f>IFERROR(__xludf.DUMMYFUNCTION("""COMPUTED_VALUE"""),"")</f>
        <v/>
      </c>
      <c r="AN2366" s="2" t="str">
        <f>IFERROR(__xludf.DUMMYFUNCTION("""COMPUTED_VALUE""")," ")</f>
        <v> </v>
      </c>
      <c r="AO2366" s="2" t="str">
        <f>IFERROR(__xludf.DUMMYFUNCTION("""COMPUTED_VALUE""")," ")</f>
        <v> </v>
      </c>
      <c r="AP2366" s="2" t="str">
        <f>IFERROR(__xludf.DUMMYFUNCTION("""COMPUTED_VALUE"""),"")</f>
        <v/>
      </c>
      <c r="AQ2366" s="2"/>
      <c r="AR2366" s="2"/>
      <c r="AS2366" s="2"/>
      <c r="AT2366" s="2"/>
      <c r="AU2366" s="2"/>
      <c r="AV2366" s="2"/>
      <c r="AW2366" s="2"/>
      <c r="AX2366" s="2"/>
      <c r="AY2366" s="2"/>
      <c r="AZ2366" s="2"/>
      <c r="BA2366" s="2"/>
      <c r="BB2366" s="2"/>
    </row>
    <row r="2367">
      <c r="A2367" s="2"/>
      <c r="B2367" s="2" t="str">
        <f>IFERROR(__xludf.DUMMYFUNCTION("""COMPUTED_VALUE"""),"")</f>
        <v/>
      </c>
      <c r="C2367" s="2"/>
      <c r="D2367" s="71"/>
      <c r="E2367" s="71" t="str">
        <f>IFERROR(__xludf.DUMMYFUNCTION("""COMPUTED_VALUE""")," ")</f>
        <v> </v>
      </c>
      <c r="F2367" s="2"/>
      <c r="G2367" s="2"/>
      <c r="H2367" s="2"/>
      <c r="I2367" s="72"/>
      <c r="J2367" s="72"/>
      <c r="K2367" s="72"/>
      <c r="L2367" s="72"/>
      <c r="M2367" s="2"/>
      <c r="N2367" s="2"/>
      <c r="O2367" s="2"/>
      <c r="P2367" s="2"/>
      <c r="Q2367" s="2"/>
      <c r="R2367" s="2"/>
      <c r="S2367" s="2"/>
      <c r="T2367" s="2"/>
      <c r="U2367" s="2"/>
      <c r="V2367" s="2"/>
      <c r="W2367" s="2"/>
      <c r="X2367" s="2"/>
      <c r="Y2367" s="2"/>
      <c r="Z2367" s="2"/>
      <c r="AA2367" s="2"/>
      <c r="AB2367" s="2"/>
      <c r="AC2367" s="2"/>
      <c r="AD2367" s="2"/>
      <c r="AE2367" s="2"/>
      <c r="AF2367" s="2"/>
      <c r="AG2367" s="2"/>
      <c r="AH2367" s="2"/>
      <c r="AI2367" s="2"/>
      <c r="AJ2367" s="2" t="str">
        <f>IFERROR(__xludf.DUMMYFUNCTION("""COMPUTED_VALUE"""),"")</f>
        <v/>
      </c>
      <c r="AK2367" s="2" t="str">
        <f>IFERROR(__xludf.DUMMYFUNCTION("""COMPUTED_VALUE"""),"")</f>
        <v/>
      </c>
      <c r="AL2367" s="2" t="str">
        <f>IFERROR(__xludf.DUMMYFUNCTION("""COMPUTED_VALUE"""),"")</f>
        <v/>
      </c>
      <c r="AM2367" s="2" t="str">
        <f>IFERROR(__xludf.DUMMYFUNCTION("""COMPUTED_VALUE"""),"")</f>
        <v/>
      </c>
      <c r="AN2367" s="2" t="str">
        <f>IFERROR(__xludf.DUMMYFUNCTION("""COMPUTED_VALUE""")," ")</f>
        <v> </v>
      </c>
      <c r="AO2367" s="2" t="str">
        <f>IFERROR(__xludf.DUMMYFUNCTION("""COMPUTED_VALUE""")," ")</f>
        <v> </v>
      </c>
      <c r="AP2367" s="2" t="str">
        <f>IFERROR(__xludf.DUMMYFUNCTION("""COMPUTED_VALUE"""),"")</f>
        <v/>
      </c>
      <c r="AQ2367" s="2"/>
      <c r="AR2367" s="2"/>
      <c r="AS2367" s="2"/>
      <c r="AT2367" s="2"/>
      <c r="AU2367" s="2"/>
      <c r="AV2367" s="2"/>
      <c r="AW2367" s="2"/>
      <c r="AX2367" s="2"/>
      <c r="AY2367" s="2"/>
      <c r="AZ2367" s="2"/>
      <c r="BA2367" s="2"/>
      <c r="BB2367" s="2"/>
    </row>
    <row r="2368">
      <c r="A2368" s="2"/>
      <c r="B2368" s="2" t="str">
        <f>IFERROR(__xludf.DUMMYFUNCTION("""COMPUTED_VALUE"""),"")</f>
        <v/>
      </c>
      <c r="C2368" s="2"/>
      <c r="D2368" s="71"/>
      <c r="E2368" s="71" t="str">
        <f>IFERROR(__xludf.DUMMYFUNCTION("""COMPUTED_VALUE""")," ")</f>
        <v> </v>
      </c>
      <c r="F2368" s="2"/>
      <c r="G2368" s="2"/>
      <c r="H2368" s="2"/>
      <c r="I2368" s="72"/>
      <c r="J2368" s="72"/>
      <c r="K2368" s="72"/>
      <c r="L2368" s="72"/>
      <c r="M2368" s="2"/>
      <c r="N2368" s="2"/>
      <c r="O2368" s="2"/>
      <c r="P2368" s="2"/>
      <c r="Q2368" s="2"/>
      <c r="R2368" s="2"/>
      <c r="S2368" s="2"/>
      <c r="T2368" s="2"/>
      <c r="U2368" s="2"/>
      <c r="V2368" s="2"/>
      <c r="W2368" s="2"/>
      <c r="X2368" s="2"/>
      <c r="Y2368" s="2"/>
      <c r="Z2368" s="2"/>
      <c r="AA2368" s="2"/>
      <c r="AB2368" s="2"/>
      <c r="AC2368" s="2"/>
      <c r="AD2368" s="2"/>
      <c r="AE2368" s="2"/>
      <c r="AF2368" s="2"/>
      <c r="AG2368" s="2"/>
      <c r="AH2368" s="2"/>
      <c r="AI2368" s="2"/>
      <c r="AJ2368" s="2" t="str">
        <f>IFERROR(__xludf.DUMMYFUNCTION("""COMPUTED_VALUE"""),"")</f>
        <v/>
      </c>
      <c r="AK2368" s="2" t="str">
        <f>IFERROR(__xludf.DUMMYFUNCTION("""COMPUTED_VALUE"""),"")</f>
        <v/>
      </c>
      <c r="AL2368" s="2" t="str">
        <f>IFERROR(__xludf.DUMMYFUNCTION("""COMPUTED_VALUE"""),"")</f>
        <v/>
      </c>
      <c r="AM2368" s="2" t="str">
        <f>IFERROR(__xludf.DUMMYFUNCTION("""COMPUTED_VALUE"""),"")</f>
        <v/>
      </c>
      <c r="AN2368" s="2" t="str">
        <f>IFERROR(__xludf.DUMMYFUNCTION("""COMPUTED_VALUE""")," ")</f>
        <v> </v>
      </c>
      <c r="AO2368" s="2" t="str">
        <f>IFERROR(__xludf.DUMMYFUNCTION("""COMPUTED_VALUE""")," ")</f>
        <v> </v>
      </c>
      <c r="AP2368" s="2" t="str">
        <f>IFERROR(__xludf.DUMMYFUNCTION("""COMPUTED_VALUE"""),"")</f>
        <v/>
      </c>
      <c r="AQ2368" s="2"/>
      <c r="AR2368" s="2"/>
      <c r="AS2368" s="2"/>
      <c r="AT2368" s="2"/>
      <c r="AU2368" s="2"/>
      <c r="AV2368" s="2"/>
      <c r="AW2368" s="2"/>
      <c r="AX2368" s="2"/>
      <c r="AY2368" s="2"/>
      <c r="AZ2368" s="2"/>
      <c r="BA2368" s="2"/>
      <c r="BB2368" s="2"/>
    </row>
    <row r="2369">
      <c r="A2369" s="2"/>
      <c r="B2369" s="2" t="str">
        <f>IFERROR(__xludf.DUMMYFUNCTION("""COMPUTED_VALUE"""),"")</f>
        <v/>
      </c>
      <c r="C2369" s="2"/>
      <c r="D2369" s="71"/>
      <c r="E2369" s="71" t="str">
        <f>IFERROR(__xludf.DUMMYFUNCTION("""COMPUTED_VALUE""")," ")</f>
        <v> </v>
      </c>
      <c r="F2369" s="2"/>
      <c r="G2369" s="2"/>
      <c r="H2369" s="2"/>
      <c r="I2369" s="72"/>
      <c r="J2369" s="72"/>
      <c r="K2369" s="72"/>
      <c r="L2369" s="72"/>
      <c r="M2369" s="2"/>
      <c r="N2369" s="2"/>
      <c r="O2369" s="2"/>
      <c r="P2369" s="2"/>
      <c r="Q2369" s="2"/>
      <c r="R2369" s="2"/>
      <c r="S2369" s="2"/>
      <c r="T2369" s="2"/>
      <c r="U2369" s="2"/>
      <c r="V2369" s="2"/>
      <c r="W2369" s="2"/>
      <c r="X2369" s="2"/>
      <c r="Y2369" s="2"/>
      <c r="Z2369" s="2"/>
      <c r="AA2369" s="2"/>
      <c r="AB2369" s="2"/>
      <c r="AC2369" s="2"/>
      <c r="AD2369" s="2"/>
      <c r="AE2369" s="2"/>
      <c r="AF2369" s="2"/>
      <c r="AG2369" s="2"/>
      <c r="AH2369" s="2"/>
      <c r="AI2369" s="2"/>
      <c r="AJ2369" s="2" t="str">
        <f>IFERROR(__xludf.DUMMYFUNCTION("""COMPUTED_VALUE"""),"")</f>
        <v/>
      </c>
      <c r="AK2369" s="2" t="str">
        <f>IFERROR(__xludf.DUMMYFUNCTION("""COMPUTED_VALUE"""),"")</f>
        <v/>
      </c>
      <c r="AL2369" s="2" t="str">
        <f>IFERROR(__xludf.DUMMYFUNCTION("""COMPUTED_VALUE"""),"")</f>
        <v/>
      </c>
      <c r="AM2369" s="2" t="str">
        <f>IFERROR(__xludf.DUMMYFUNCTION("""COMPUTED_VALUE"""),"")</f>
        <v/>
      </c>
      <c r="AN2369" s="2" t="str">
        <f>IFERROR(__xludf.DUMMYFUNCTION("""COMPUTED_VALUE""")," ")</f>
        <v> </v>
      </c>
      <c r="AO2369" s="2" t="str">
        <f>IFERROR(__xludf.DUMMYFUNCTION("""COMPUTED_VALUE""")," ")</f>
        <v> </v>
      </c>
      <c r="AP2369" s="2" t="str">
        <f>IFERROR(__xludf.DUMMYFUNCTION("""COMPUTED_VALUE"""),"")</f>
        <v/>
      </c>
      <c r="AQ2369" s="2"/>
      <c r="AR2369" s="2"/>
      <c r="AS2369" s="2"/>
      <c r="AT2369" s="2"/>
      <c r="AU2369" s="2"/>
      <c r="AV2369" s="2"/>
      <c r="AW2369" s="2"/>
      <c r="AX2369" s="2"/>
      <c r="AY2369" s="2"/>
      <c r="AZ2369" s="2"/>
      <c r="BA2369" s="2"/>
      <c r="BB2369" s="2"/>
    </row>
    <row r="2370">
      <c r="A2370" s="2"/>
      <c r="B2370" s="2" t="str">
        <f>IFERROR(__xludf.DUMMYFUNCTION("""COMPUTED_VALUE"""),"")</f>
        <v/>
      </c>
      <c r="C2370" s="2"/>
      <c r="D2370" s="71"/>
      <c r="E2370" s="71" t="str">
        <f>IFERROR(__xludf.DUMMYFUNCTION("""COMPUTED_VALUE""")," ")</f>
        <v> </v>
      </c>
      <c r="F2370" s="2"/>
      <c r="G2370" s="2"/>
      <c r="H2370" s="2"/>
      <c r="I2370" s="72"/>
      <c r="J2370" s="72"/>
      <c r="K2370" s="72"/>
      <c r="L2370" s="72"/>
      <c r="M2370" s="2"/>
      <c r="N2370" s="2"/>
      <c r="O2370" s="2"/>
      <c r="P2370" s="2"/>
      <c r="Q2370" s="2"/>
      <c r="R2370" s="2"/>
      <c r="S2370" s="2"/>
      <c r="T2370" s="2"/>
      <c r="U2370" s="2"/>
      <c r="V2370" s="2"/>
      <c r="W2370" s="2"/>
      <c r="X2370" s="2"/>
      <c r="Y2370" s="2"/>
      <c r="Z2370" s="2"/>
      <c r="AA2370" s="2"/>
      <c r="AB2370" s="2"/>
      <c r="AC2370" s="2"/>
      <c r="AD2370" s="2"/>
      <c r="AE2370" s="2"/>
      <c r="AF2370" s="2"/>
      <c r="AG2370" s="2"/>
      <c r="AH2370" s="2"/>
      <c r="AI2370" s="2"/>
      <c r="AJ2370" s="2" t="str">
        <f>IFERROR(__xludf.DUMMYFUNCTION("""COMPUTED_VALUE"""),"")</f>
        <v/>
      </c>
      <c r="AK2370" s="2" t="str">
        <f>IFERROR(__xludf.DUMMYFUNCTION("""COMPUTED_VALUE"""),"")</f>
        <v/>
      </c>
      <c r="AL2370" s="2" t="str">
        <f>IFERROR(__xludf.DUMMYFUNCTION("""COMPUTED_VALUE"""),"")</f>
        <v/>
      </c>
      <c r="AM2370" s="2" t="str">
        <f>IFERROR(__xludf.DUMMYFUNCTION("""COMPUTED_VALUE"""),"")</f>
        <v/>
      </c>
      <c r="AN2370" s="2" t="str">
        <f>IFERROR(__xludf.DUMMYFUNCTION("""COMPUTED_VALUE""")," ")</f>
        <v> </v>
      </c>
      <c r="AO2370" s="2" t="str">
        <f>IFERROR(__xludf.DUMMYFUNCTION("""COMPUTED_VALUE""")," ")</f>
        <v> </v>
      </c>
      <c r="AP2370" s="2" t="str">
        <f>IFERROR(__xludf.DUMMYFUNCTION("""COMPUTED_VALUE"""),"")</f>
        <v/>
      </c>
      <c r="AQ2370" s="2"/>
      <c r="AR2370" s="2"/>
      <c r="AS2370" s="2"/>
      <c r="AT2370" s="2"/>
      <c r="AU2370" s="2"/>
      <c r="AV2370" s="2"/>
      <c r="AW2370" s="2"/>
      <c r="AX2370" s="2"/>
      <c r="AY2370" s="2"/>
      <c r="AZ2370" s="2"/>
      <c r="BA2370" s="2"/>
      <c r="BB2370" s="2"/>
    </row>
    <row r="2371">
      <c r="A2371" s="2"/>
      <c r="B2371" s="2" t="str">
        <f>IFERROR(__xludf.DUMMYFUNCTION("""COMPUTED_VALUE"""),"")</f>
        <v/>
      </c>
      <c r="C2371" s="2"/>
      <c r="D2371" s="71"/>
      <c r="E2371" s="71" t="str">
        <f>IFERROR(__xludf.DUMMYFUNCTION("""COMPUTED_VALUE""")," ")</f>
        <v> </v>
      </c>
      <c r="F2371" s="2"/>
      <c r="G2371" s="2"/>
      <c r="H2371" s="2"/>
      <c r="I2371" s="72"/>
      <c r="J2371" s="72"/>
      <c r="K2371" s="72"/>
      <c r="L2371" s="72"/>
      <c r="M2371" s="2"/>
      <c r="N2371" s="2"/>
      <c r="O2371" s="2"/>
      <c r="P2371" s="2"/>
      <c r="Q2371" s="2"/>
      <c r="R2371" s="2"/>
      <c r="S2371" s="2"/>
      <c r="T2371" s="2"/>
      <c r="U2371" s="2"/>
      <c r="V2371" s="2"/>
      <c r="W2371" s="2"/>
      <c r="X2371" s="2"/>
      <c r="Y2371" s="2"/>
      <c r="Z2371" s="2"/>
      <c r="AA2371" s="2"/>
      <c r="AB2371" s="2"/>
      <c r="AC2371" s="2"/>
      <c r="AD2371" s="2"/>
      <c r="AE2371" s="2"/>
      <c r="AF2371" s="2"/>
      <c r="AG2371" s="2"/>
      <c r="AH2371" s="2"/>
      <c r="AI2371" s="2"/>
      <c r="AJ2371" s="2" t="str">
        <f>IFERROR(__xludf.DUMMYFUNCTION("""COMPUTED_VALUE"""),"")</f>
        <v/>
      </c>
      <c r="AK2371" s="2" t="str">
        <f>IFERROR(__xludf.DUMMYFUNCTION("""COMPUTED_VALUE"""),"")</f>
        <v/>
      </c>
      <c r="AL2371" s="2" t="str">
        <f>IFERROR(__xludf.DUMMYFUNCTION("""COMPUTED_VALUE"""),"")</f>
        <v/>
      </c>
      <c r="AM2371" s="2" t="str">
        <f>IFERROR(__xludf.DUMMYFUNCTION("""COMPUTED_VALUE"""),"")</f>
        <v/>
      </c>
      <c r="AN2371" s="2" t="str">
        <f>IFERROR(__xludf.DUMMYFUNCTION("""COMPUTED_VALUE""")," ")</f>
        <v> </v>
      </c>
      <c r="AO2371" s="2" t="str">
        <f>IFERROR(__xludf.DUMMYFUNCTION("""COMPUTED_VALUE""")," ")</f>
        <v> </v>
      </c>
      <c r="AP2371" s="2" t="str">
        <f>IFERROR(__xludf.DUMMYFUNCTION("""COMPUTED_VALUE"""),"")</f>
        <v/>
      </c>
      <c r="AQ2371" s="2"/>
      <c r="AR2371" s="2"/>
      <c r="AS2371" s="2"/>
      <c r="AT2371" s="2"/>
      <c r="AU2371" s="2"/>
      <c r="AV2371" s="2"/>
      <c r="AW2371" s="2"/>
      <c r="AX2371" s="2"/>
      <c r="AY2371" s="2"/>
      <c r="AZ2371" s="2"/>
      <c r="BA2371" s="2"/>
      <c r="BB2371" s="2"/>
    </row>
    <row r="2372">
      <c r="A2372" s="2"/>
      <c r="B2372" s="2" t="str">
        <f>IFERROR(__xludf.DUMMYFUNCTION("""COMPUTED_VALUE"""),"")</f>
        <v/>
      </c>
      <c r="C2372" s="2"/>
      <c r="D2372" s="71"/>
      <c r="E2372" s="71" t="str">
        <f>IFERROR(__xludf.DUMMYFUNCTION("""COMPUTED_VALUE""")," ")</f>
        <v> </v>
      </c>
      <c r="F2372" s="2"/>
      <c r="G2372" s="2"/>
      <c r="H2372" s="2"/>
      <c r="I2372" s="72"/>
      <c r="J2372" s="72"/>
      <c r="K2372" s="72"/>
      <c r="L2372" s="72"/>
      <c r="M2372" s="2"/>
      <c r="N2372" s="2"/>
      <c r="O2372" s="2"/>
      <c r="P2372" s="2"/>
      <c r="Q2372" s="2"/>
      <c r="R2372" s="2"/>
      <c r="S2372" s="2"/>
      <c r="T2372" s="2"/>
      <c r="U2372" s="2"/>
      <c r="V2372" s="2"/>
      <c r="W2372" s="2"/>
      <c r="X2372" s="2"/>
      <c r="Y2372" s="2"/>
      <c r="Z2372" s="2"/>
      <c r="AA2372" s="2"/>
      <c r="AB2372" s="2"/>
      <c r="AC2372" s="2"/>
      <c r="AD2372" s="2"/>
      <c r="AE2372" s="2"/>
      <c r="AF2372" s="2"/>
      <c r="AG2372" s="2"/>
      <c r="AH2372" s="2"/>
      <c r="AI2372" s="2"/>
      <c r="AJ2372" s="2" t="str">
        <f>IFERROR(__xludf.DUMMYFUNCTION("""COMPUTED_VALUE"""),"")</f>
        <v/>
      </c>
      <c r="AK2372" s="2" t="str">
        <f>IFERROR(__xludf.DUMMYFUNCTION("""COMPUTED_VALUE"""),"")</f>
        <v/>
      </c>
      <c r="AL2372" s="2" t="str">
        <f>IFERROR(__xludf.DUMMYFUNCTION("""COMPUTED_VALUE"""),"")</f>
        <v/>
      </c>
      <c r="AM2372" s="2" t="str">
        <f>IFERROR(__xludf.DUMMYFUNCTION("""COMPUTED_VALUE"""),"")</f>
        <v/>
      </c>
      <c r="AN2372" s="2" t="str">
        <f>IFERROR(__xludf.DUMMYFUNCTION("""COMPUTED_VALUE""")," ")</f>
        <v> </v>
      </c>
      <c r="AO2372" s="2" t="str">
        <f>IFERROR(__xludf.DUMMYFUNCTION("""COMPUTED_VALUE""")," ")</f>
        <v> </v>
      </c>
      <c r="AP2372" s="2" t="str">
        <f>IFERROR(__xludf.DUMMYFUNCTION("""COMPUTED_VALUE"""),"")</f>
        <v/>
      </c>
      <c r="AQ2372" s="2"/>
      <c r="AR2372" s="2"/>
      <c r="AS2372" s="2"/>
      <c r="AT2372" s="2"/>
      <c r="AU2372" s="2"/>
      <c r="AV2372" s="2"/>
      <c r="AW2372" s="2"/>
      <c r="AX2372" s="2"/>
      <c r="AY2372" s="2"/>
      <c r="AZ2372" s="2"/>
      <c r="BA2372" s="2"/>
      <c r="BB2372" s="2"/>
    </row>
    <row r="2373">
      <c r="A2373" s="2"/>
      <c r="B2373" s="2" t="str">
        <f>IFERROR(__xludf.DUMMYFUNCTION("""COMPUTED_VALUE"""),"")</f>
        <v/>
      </c>
      <c r="C2373" s="2"/>
      <c r="D2373" s="71"/>
      <c r="E2373" s="71" t="str">
        <f>IFERROR(__xludf.DUMMYFUNCTION("""COMPUTED_VALUE""")," ")</f>
        <v> </v>
      </c>
      <c r="F2373" s="2"/>
      <c r="G2373" s="2"/>
      <c r="H2373" s="2"/>
      <c r="I2373" s="72"/>
      <c r="J2373" s="72"/>
      <c r="K2373" s="72"/>
      <c r="L2373" s="72"/>
      <c r="M2373" s="2"/>
      <c r="N2373" s="2"/>
      <c r="O2373" s="2"/>
      <c r="P2373" s="2"/>
      <c r="Q2373" s="2"/>
      <c r="R2373" s="2"/>
      <c r="S2373" s="2"/>
      <c r="T2373" s="2"/>
      <c r="U2373" s="2"/>
      <c r="V2373" s="2"/>
      <c r="W2373" s="2"/>
      <c r="X2373" s="2"/>
      <c r="Y2373" s="2"/>
      <c r="Z2373" s="2"/>
      <c r="AA2373" s="2"/>
      <c r="AB2373" s="2"/>
      <c r="AC2373" s="2"/>
      <c r="AD2373" s="2"/>
      <c r="AE2373" s="2"/>
      <c r="AF2373" s="2"/>
      <c r="AG2373" s="2"/>
      <c r="AH2373" s="2"/>
      <c r="AI2373" s="2"/>
      <c r="AJ2373" s="2" t="str">
        <f>IFERROR(__xludf.DUMMYFUNCTION("""COMPUTED_VALUE"""),"")</f>
        <v/>
      </c>
      <c r="AK2373" s="2" t="str">
        <f>IFERROR(__xludf.DUMMYFUNCTION("""COMPUTED_VALUE"""),"")</f>
        <v/>
      </c>
      <c r="AL2373" s="2" t="str">
        <f>IFERROR(__xludf.DUMMYFUNCTION("""COMPUTED_VALUE"""),"")</f>
        <v/>
      </c>
      <c r="AM2373" s="2" t="str">
        <f>IFERROR(__xludf.DUMMYFUNCTION("""COMPUTED_VALUE"""),"")</f>
        <v/>
      </c>
      <c r="AN2373" s="2" t="str">
        <f>IFERROR(__xludf.DUMMYFUNCTION("""COMPUTED_VALUE""")," ")</f>
        <v> </v>
      </c>
      <c r="AO2373" s="2" t="str">
        <f>IFERROR(__xludf.DUMMYFUNCTION("""COMPUTED_VALUE""")," ")</f>
        <v> </v>
      </c>
      <c r="AP2373" s="2" t="str">
        <f>IFERROR(__xludf.DUMMYFUNCTION("""COMPUTED_VALUE"""),"")</f>
        <v/>
      </c>
      <c r="AQ2373" s="2"/>
      <c r="AR2373" s="2"/>
      <c r="AS2373" s="2"/>
      <c r="AT2373" s="2"/>
      <c r="AU2373" s="2"/>
      <c r="AV2373" s="2"/>
      <c r="AW2373" s="2"/>
      <c r="AX2373" s="2"/>
      <c r="AY2373" s="2"/>
      <c r="AZ2373" s="2"/>
      <c r="BA2373" s="2"/>
      <c r="BB2373" s="2"/>
    </row>
    <row r="2374">
      <c r="A2374" s="2"/>
      <c r="B2374" s="2" t="str">
        <f>IFERROR(__xludf.DUMMYFUNCTION("""COMPUTED_VALUE"""),"")</f>
        <v/>
      </c>
      <c r="C2374" s="2"/>
      <c r="D2374" s="71"/>
      <c r="E2374" s="71" t="str">
        <f>IFERROR(__xludf.DUMMYFUNCTION("""COMPUTED_VALUE""")," ")</f>
        <v> </v>
      </c>
      <c r="F2374" s="2"/>
      <c r="G2374" s="2"/>
      <c r="H2374" s="2"/>
      <c r="I2374" s="72"/>
      <c r="J2374" s="72"/>
      <c r="K2374" s="72"/>
      <c r="L2374" s="72"/>
      <c r="M2374" s="2"/>
      <c r="N2374" s="2"/>
      <c r="O2374" s="2"/>
      <c r="P2374" s="2"/>
      <c r="Q2374" s="2"/>
      <c r="R2374" s="2"/>
      <c r="S2374" s="2"/>
      <c r="T2374" s="2"/>
      <c r="U2374" s="2"/>
      <c r="V2374" s="2"/>
      <c r="W2374" s="2"/>
      <c r="X2374" s="2"/>
      <c r="Y2374" s="2"/>
      <c r="Z2374" s="2"/>
      <c r="AA2374" s="2"/>
      <c r="AB2374" s="2"/>
      <c r="AC2374" s="2"/>
      <c r="AD2374" s="2"/>
      <c r="AE2374" s="2"/>
      <c r="AF2374" s="2"/>
      <c r="AG2374" s="2"/>
      <c r="AH2374" s="2"/>
      <c r="AI2374" s="2"/>
      <c r="AJ2374" s="2" t="str">
        <f>IFERROR(__xludf.DUMMYFUNCTION("""COMPUTED_VALUE"""),"")</f>
        <v/>
      </c>
      <c r="AK2374" s="2" t="str">
        <f>IFERROR(__xludf.DUMMYFUNCTION("""COMPUTED_VALUE"""),"")</f>
        <v/>
      </c>
      <c r="AL2374" s="2" t="str">
        <f>IFERROR(__xludf.DUMMYFUNCTION("""COMPUTED_VALUE"""),"")</f>
        <v/>
      </c>
      <c r="AM2374" s="2" t="str">
        <f>IFERROR(__xludf.DUMMYFUNCTION("""COMPUTED_VALUE"""),"")</f>
        <v/>
      </c>
      <c r="AN2374" s="2" t="str">
        <f>IFERROR(__xludf.DUMMYFUNCTION("""COMPUTED_VALUE""")," ")</f>
        <v> </v>
      </c>
      <c r="AO2374" s="2" t="str">
        <f>IFERROR(__xludf.DUMMYFUNCTION("""COMPUTED_VALUE""")," ")</f>
        <v> </v>
      </c>
      <c r="AP2374" s="2" t="str">
        <f>IFERROR(__xludf.DUMMYFUNCTION("""COMPUTED_VALUE"""),"")</f>
        <v/>
      </c>
      <c r="AQ2374" s="2"/>
      <c r="AR2374" s="2"/>
      <c r="AS2374" s="2"/>
      <c r="AT2374" s="2"/>
      <c r="AU2374" s="2"/>
      <c r="AV2374" s="2"/>
      <c r="AW2374" s="2"/>
      <c r="AX2374" s="2"/>
      <c r="AY2374" s="2"/>
      <c r="AZ2374" s="2"/>
      <c r="BA2374" s="2"/>
      <c r="BB2374" s="2"/>
    </row>
    <row r="2375">
      <c r="A2375" s="2"/>
      <c r="B2375" s="2" t="str">
        <f>IFERROR(__xludf.DUMMYFUNCTION("""COMPUTED_VALUE"""),"")</f>
        <v/>
      </c>
      <c r="C2375" s="2"/>
      <c r="D2375" s="71"/>
      <c r="E2375" s="71" t="str">
        <f>IFERROR(__xludf.DUMMYFUNCTION("""COMPUTED_VALUE""")," ")</f>
        <v> </v>
      </c>
      <c r="F2375" s="2"/>
      <c r="G2375" s="2"/>
      <c r="H2375" s="2"/>
      <c r="I2375" s="72"/>
      <c r="J2375" s="72"/>
      <c r="K2375" s="72"/>
      <c r="L2375" s="72"/>
      <c r="M2375" s="2"/>
      <c r="N2375" s="2"/>
      <c r="O2375" s="2"/>
      <c r="P2375" s="2"/>
      <c r="Q2375" s="2"/>
      <c r="R2375" s="2"/>
      <c r="S2375" s="2"/>
      <c r="T2375" s="2"/>
      <c r="U2375" s="2"/>
      <c r="V2375" s="2"/>
      <c r="W2375" s="2"/>
      <c r="X2375" s="2"/>
      <c r="Y2375" s="2"/>
      <c r="Z2375" s="2"/>
      <c r="AA2375" s="2"/>
      <c r="AB2375" s="2"/>
      <c r="AC2375" s="2"/>
      <c r="AD2375" s="2"/>
      <c r="AE2375" s="2"/>
      <c r="AF2375" s="2"/>
      <c r="AG2375" s="2"/>
      <c r="AH2375" s="2"/>
      <c r="AI2375" s="2"/>
      <c r="AJ2375" s="2" t="str">
        <f>IFERROR(__xludf.DUMMYFUNCTION("""COMPUTED_VALUE"""),"")</f>
        <v/>
      </c>
      <c r="AK2375" s="2" t="str">
        <f>IFERROR(__xludf.DUMMYFUNCTION("""COMPUTED_VALUE"""),"")</f>
        <v/>
      </c>
      <c r="AL2375" s="2" t="str">
        <f>IFERROR(__xludf.DUMMYFUNCTION("""COMPUTED_VALUE"""),"")</f>
        <v/>
      </c>
      <c r="AM2375" s="2" t="str">
        <f>IFERROR(__xludf.DUMMYFUNCTION("""COMPUTED_VALUE"""),"")</f>
        <v/>
      </c>
      <c r="AN2375" s="2" t="str">
        <f>IFERROR(__xludf.DUMMYFUNCTION("""COMPUTED_VALUE""")," ")</f>
        <v> </v>
      </c>
      <c r="AO2375" s="2" t="str">
        <f>IFERROR(__xludf.DUMMYFUNCTION("""COMPUTED_VALUE""")," ")</f>
        <v> </v>
      </c>
      <c r="AP2375" s="2" t="str">
        <f>IFERROR(__xludf.DUMMYFUNCTION("""COMPUTED_VALUE"""),"")</f>
        <v/>
      </c>
      <c r="AQ2375" s="2"/>
      <c r="AR2375" s="2"/>
      <c r="AS2375" s="2"/>
      <c r="AT2375" s="2"/>
      <c r="AU2375" s="2"/>
      <c r="AV2375" s="2"/>
      <c r="AW2375" s="2"/>
      <c r="AX2375" s="2"/>
      <c r="AY2375" s="2"/>
      <c r="AZ2375" s="2"/>
      <c r="BA2375" s="2"/>
      <c r="BB2375" s="2"/>
    </row>
    <row r="2376">
      <c r="A2376" s="2"/>
      <c r="B2376" s="2" t="str">
        <f>IFERROR(__xludf.DUMMYFUNCTION("""COMPUTED_VALUE"""),"")</f>
        <v/>
      </c>
      <c r="C2376" s="2"/>
      <c r="D2376" s="71"/>
      <c r="E2376" s="71" t="str">
        <f>IFERROR(__xludf.DUMMYFUNCTION("""COMPUTED_VALUE""")," ")</f>
        <v> </v>
      </c>
      <c r="F2376" s="2"/>
      <c r="G2376" s="2"/>
      <c r="H2376" s="2"/>
      <c r="I2376" s="72"/>
      <c r="J2376" s="72"/>
      <c r="K2376" s="72"/>
      <c r="L2376" s="72"/>
      <c r="M2376" s="2"/>
      <c r="N2376" s="2"/>
      <c r="O2376" s="2"/>
      <c r="P2376" s="2"/>
      <c r="Q2376" s="2"/>
      <c r="R2376" s="2"/>
      <c r="S2376" s="2"/>
      <c r="T2376" s="2"/>
      <c r="U2376" s="2"/>
      <c r="V2376" s="2"/>
      <c r="W2376" s="2"/>
      <c r="X2376" s="2"/>
      <c r="Y2376" s="2"/>
      <c r="Z2376" s="2"/>
      <c r="AA2376" s="2"/>
      <c r="AB2376" s="2"/>
      <c r="AC2376" s="2"/>
      <c r="AD2376" s="2"/>
      <c r="AE2376" s="2"/>
      <c r="AF2376" s="2"/>
      <c r="AG2376" s="2"/>
      <c r="AH2376" s="2"/>
      <c r="AI2376" s="2"/>
      <c r="AJ2376" s="2" t="str">
        <f>IFERROR(__xludf.DUMMYFUNCTION("""COMPUTED_VALUE"""),"")</f>
        <v/>
      </c>
      <c r="AK2376" s="2" t="str">
        <f>IFERROR(__xludf.DUMMYFUNCTION("""COMPUTED_VALUE"""),"")</f>
        <v/>
      </c>
      <c r="AL2376" s="2" t="str">
        <f>IFERROR(__xludf.DUMMYFUNCTION("""COMPUTED_VALUE"""),"")</f>
        <v/>
      </c>
      <c r="AM2376" s="2" t="str">
        <f>IFERROR(__xludf.DUMMYFUNCTION("""COMPUTED_VALUE"""),"")</f>
        <v/>
      </c>
      <c r="AN2376" s="2" t="str">
        <f>IFERROR(__xludf.DUMMYFUNCTION("""COMPUTED_VALUE""")," ")</f>
        <v> </v>
      </c>
      <c r="AO2376" s="2" t="str">
        <f>IFERROR(__xludf.DUMMYFUNCTION("""COMPUTED_VALUE""")," ")</f>
        <v> </v>
      </c>
      <c r="AP2376" s="2" t="str">
        <f>IFERROR(__xludf.DUMMYFUNCTION("""COMPUTED_VALUE"""),"")</f>
        <v/>
      </c>
      <c r="AQ2376" s="2"/>
      <c r="AR2376" s="2"/>
      <c r="AS2376" s="2"/>
      <c r="AT2376" s="2"/>
      <c r="AU2376" s="2"/>
      <c r="AV2376" s="2"/>
      <c r="AW2376" s="2"/>
      <c r="AX2376" s="2"/>
      <c r="AY2376" s="2"/>
      <c r="AZ2376" s="2"/>
      <c r="BA2376" s="2"/>
      <c r="BB2376" s="2"/>
    </row>
    <row r="2377">
      <c r="A2377" s="2"/>
      <c r="B2377" s="2" t="str">
        <f>IFERROR(__xludf.DUMMYFUNCTION("""COMPUTED_VALUE"""),"")</f>
        <v/>
      </c>
      <c r="C2377" s="2"/>
      <c r="D2377" s="71"/>
      <c r="E2377" s="71" t="str">
        <f>IFERROR(__xludf.DUMMYFUNCTION("""COMPUTED_VALUE""")," ")</f>
        <v> </v>
      </c>
      <c r="F2377" s="2"/>
      <c r="G2377" s="2"/>
      <c r="H2377" s="2"/>
      <c r="I2377" s="72"/>
      <c r="J2377" s="72"/>
      <c r="K2377" s="72"/>
      <c r="L2377" s="72"/>
      <c r="M2377" s="2"/>
      <c r="N2377" s="2"/>
      <c r="O2377" s="2"/>
      <c r="P2377" s="2"/>
      <c r="Q2377" s="2"/>
      <c r="R2377" s="2"/>
      <c r="S2377" s="2"/>
      <c r="T2377" s="2"/>
      <c r="U2377" s="2"/>
      <c r="V2377" s="2"/>
      <c r="W2377" s="2"/>
      <c r="X2377" s="2"/>
      <c r="Y2377" s="2"/>
      <c r="Z2377" s="2"/>
      <c r="AA2377" s="2"/>
      <c r="AB2377" s="2"/>
      <c r="AC2377" s="2"/>
      <c r="AD2377" s="2"/>
      <c r="AE2377" s="2"/>
      <c r="AF2377" s="2"/>
      <c r="AG2377" s="2"/>
      <c r="AH2377" s="2"/>
      <c r="AI2377" s="2"/>
      <c r="AJ2377" s="2" t="str">
        <f>IFERROR(__xludf.DUMMYFUNCTION("""COMPUTED_VALUE"""),"")</f>
        <v/>
      </c>
      <c r="AK2377" s="2" t="str">
        <f>IFERROR(__xludf.DUMMYFUNCTION("""COMPUTED_VALUE"""),"")</f>
        <v/>
      </c>
      <c r="AL2377" s="2" t="str">
        <f>IFERROR(__xludf.DUMMYFUNCTION("""COMPUTED_VALUE"""),"")</f>
        <v/>
      </c>
      <c r="AM2377" s="2" t="str">
        <f>IFERROR(__xludf.DUMMYFUNCTION("""COMPUTED_VALUE"""),"")</f>
        <v/>
      </c>
      <c r="AN2377" s="2" t="str">
        <f>IFERROR(__xludf.DUMMYFUNCTION("""COMPUTED_VALUE""")," ")</f>
        <v> </v>
      </c>
      <c r="AO2377" s="2" t="str">
        <f>IFERROR(__xludf.DUMMYFUNCTION("""COMPUTED_VALUE""")," ")</f>
        <v> </v>
      </c>
      <c r="AP2377" s="2" t="str">
        <f>IFERROR(__xludf.DUMMYFUNCTION("""COMPUTED_VALUE"""),"")</f>
        <v/>
      </c>
      <c r="AQ2377" s="2"/>
      <c r="AR2377" s="2"/>
      <c r="AS2377" s="2"/>
      <c r="AT2377" s="2"/>
      <c r="AU2377" s="2"/>
      <c r="AV2377" s="2"/>
      <c r="AW2377" s="2"/>
      <c r="AX2377" s="2"/>
      <c r="AY2377" s="2"/>
      <c r="AZ2377" s="2"/>
      <c r="BA2377" s="2"/>
      <c r="BB2377" s="2"/>
    </row>
    <row r="2378">
      <c r="A2378" s="2"/>
      <c r="B2378" s="2" t="str">
        <f>IFERROR(__xludf.DUMMYFUNCTION("""COMPUTED_VALUE"""),"")</f>
        <v/>
      </c>
      <c r="C2378" s="2"/>
      <c r="D2378" s="71"/>
      <c r="E2378" s="71" t="str">
        <f>IFERROR(__xludf.DUMMYFUNCTION("""COMPUTED_VALUE""")," ")</f>
        <v> </v>
      </c>
      <c r="F2378" s="2"/>
      <c r="G2378" s="2"/>
      <c r="H2378" s="2"/>
      <c r="I2378" s="72"/>
      <c r="J2378" s="72"/>
      <c r="K2378" s="72"/>
      <c r="L2378" s="72"/>
      <c r="M2378" s="2"/>
      <c r="N2378" s="2"/>
      <c r="O2378" s="2"/>
      <c r="P2378" s="2"/>
      <c r="Q2378" s="2"/>
      <c r="R2378" s="2"/>
      <c r="S2378" s="2"/>
      <c r="T2378" s="2"/>
      <c r="U2378" s="2"/>
      <c r="V2378" s="2"/>
      <c r="W2378" s="2"/>
      <c r="X2378" s="2"/>
      <c r="Y2378" s="2"/>
      <c r="Z2378" s="2"/>
      <c r="AA2378" s="2"/>
      <c r="AB2378" s="2"/>
      <c r="AC2378" s="2"/>
      <c r="AD2378" s="2"/>
      <c r="AE2378" s="2"/>
      <c r="AF2378" s="2"/>
      <c r="AG2378" s="2"/>
      <c r="AH2378" s="2"/>
      <c r="AI2378" s="2"/>
      <c r="AJ2378" s="2" t="str">
        <f>IFERROR(__xludf.DUMMYFUNCTION("""COMPUTED_VALUE"""),"")</f>
        <v/>
      </c>
      <c r="AK2378" s="2" t="str">
        <f>IFERROR(__xludf.DUMMYFUNCTION("""COMPUTED_VALUE"""),"")</f>
        <v/>
      </c>
      <c r="AL2378" s="2" t="str">
        <f>IFERROR(__xludf.DUMMYFUNCTION("""COMPUTED_VALUE"""),"")</f>
        <v/>
      </c>
      <c r="AM2378" s="2" t="str">
        <f>IFERROR(__xludf.DUMMYFUNCTION("""COMPUTED_VALUE"""),"")</f>
        <v/>
      </c>
      <c r="AN2378" s="2" t="str">
        <f>IFERROR(__xludf.DUMMYFUNCTION("""COMPUTED_VALUE""")," ")</f>
        <v> </v>
      </c>
      <c r="AO2378" s="2" t="str">
        <f>IFERROR(__xludf.DUMMYFUNCTION("""COMPUTED_VALUE""")," ")</f>
        <v> </v>
      </c>
      <c r="AP2378" s="2" t="str">
        <f>IFERROR(__xludf.DUMMYFUNCTION("""COMPUTED_VALUE"""),"")</f>
        <v/>
      </c>
      <c r="AQ2378" s="2"/>
      <c r="AR2378" s="2"/>
      <c r="AS2378" s="2"/>
      <c r="AT2378" s="2"/>
      <c r="AU2378" s="2"/>
      <c r="AV2378" s="2"/>
      <c r="AW2378" s="2"/>
      <c r="AX2378" s="2"/>
      <c r="AY2378" s="2"/>
      <c r="AZ2378" s="2"/>
      <c r="BA2378" s="2"/>
      <c r="BB2378" s="2"/>
    </row>
    <row r="2379">
      <c r="A2379" s="2"/>
      <c r="B2379" s="2" t="str">
        <f>IFERROR(__xludf.DUMMYFUNCTION("""COMPUTED_VALUE"""),"")</f>
        <v/>
      </c>
      <c r="C2379" s="2"/>
      <c r="D2379" s="71"/>
      <c r="E2379" s="71" t="str">
        <f>IFERROR(__xludf.DUMMYFUNCTION("""COMPUTED_VALUE""")," ")</f>
        <v> </v>
      </c>
      <c r="F2379" s="2"/>
      <c r="G2379" s="2"/>
      <c r="H2379" s="2"/>
      <c r="I2379" s="72"/>
      <c r="J2379" s="72"/>
      <c r="K2379" s="72"/>
      <c r="L2379" s="72"/>
      <c r="M2379" s="2"/>
      <c r="N2379" s="2"/>
      <c r="O2379" s="2"/>
      <c r="P2379" s="2"/>
      <c r="Q2379" s="2"/>
      <c r="R2379" s="2"/>
      <c r="S2379" s="2"/>
      <c r="T2379" s="2"/>
      <c r="U2379" s="2"/>
      <c r="V2379" s="2"/>
      <c r="W2379" s="2"/>
      <c r="X2379" s="2"/>
      <c r="Y2379" s="2"/>
      <c r="Z2379" s="2"/>
      <c r="AA2379" s="2"/>
      <c r="AB2379" s="2"/>
      <c r="AC2379" s="2"/>
      <c r="AD2379" s="2"/>
      <c r="AE2379" s="2"/>
      <c r="AF2379" s="2"/>
      <c r="AG2379" s="2"/>
      <c r="AH2379" s="2"/>
      <c r="AI2379" s="2"/>
      <c r="AJ2379" s="2" t="str">
        <f>IFERROR(__xludf.DUMMYFUNCTION("""COMPUTED_VALUE"""),"")</f>
        <v/>
      </c>
      <c r="AK2379" s="2" t="str">
        <f>IFERROR(__xludf.DUMMYFUNCTION("""COMPUTED_VALUE"""),"")</f>
        <v/>
      </c>
      <c r="AL2379" s="2" t="str">
        <f>IFERROR(__xludf.DUMMYFUNCTION("""COMPUTED_VALUE"""),"")</f>
        <v/>
      </c>
      <c r="AM2379" s="2" t="str">
        <f>IFERROR(__xludf.DUMMYFUNCTION("""COMPUTED_VALUE"""),"")</f>
        <v/>
      </c>
      <c r="AN2379" s="2" t="str">
        <f>IFERROR(__xludf.DUMMYFUNCTION("""COMPUTED_VALUE""")," ")</f>
        <v> </v>
      </c>
      <c r="AO2379" s="2" t="str">
        <f>IFERROR(__xludf.DUMMYFUNCTION("""COMPUTED_VALUE""")," ")</f>
        <v> </v>
      </c>
      <c r="AP2379" s="2" t="str">
        <f>IFERROR(__xludf.DUMMYFUNCTION("""COMPUTED_VALUE"""),"")</f>
        <v/>
      </c>
      <c r="AQ2379" s="2"/>
      <c r="AR2379" s="2"/>
      <c r="AS2379" s="2"/>
      <c r="AT2379" s="2"/>
      <c r="AU2379" s="2"/>
      <c r="AV2379" s="2"/>
      <c r="AW2379" s="2"/>
      <c r="AX2379" s="2"/>
      <c r="AY2379" s="2"/>
      <c r="AZ2379" s="2"/>
      <c r="BA2379" s="2"/>
      <c r="BB2379" s="2"/>
    </row>
    <row r="2380">
      <c r="A2380" s="2"/>
      <c r="B2380" s="2" t="str">
        <f>IFERROR(__xludf.DUMMYFUNCTION("""COMPUTED_VALUE"""),"")</f>
        <v/>
      </c>
      <c r="C2380" s="2"/>
      <c r="D2380" s="71"/>
      <c r="E2380" s="71" t="str">
        <f>IFERROR(__xludf.DUMMYFUNCTION("""COMPUTED_VALUE""")," ")</f>
        <v> </v>
      </c>
      <c r="F2380" s="2"/>
      <c r="G2380" s="2"/>
      <c r="H2380" s="2"/>
      <c r="I2380" s="72"/>
      <c r="J2380" s="72"/>
      <c r="K2380" s="72"/>
      <c r="L2380" s="72"/>
      <c r="M2380" s="2"/>
      <c r="N2380" s="2"/>
      <c r="O2380" s="2"/>
      <c r="P2380" s="2"/>
      <c r="Q2380" s="2"/>
      <c r="R2380" s="2"/>
      <c r="S2380" s="2"/>
      <c r="T2380" s="2"/>
      <c r="U2380" s="2"/>
      <c r="V2380" s="2"/>
      <c r="W2380" s="2"/>
      <c r="X2380" s="2"/>
      <c r="Y2380" s="2"/>
      <c r="Z2380" s="2"/>
      <c r="AA2380" s="2"/>
      <c r="AB2380" s="2"/>
      <c r="AC2380" s="2"/>
      <c r="AD2380" s="2"/>
      <c r="AE2380" s="2"/>
      <c r="AF2380" s="2"/>
      <c r="AG2380" s="2"/>
      <c r="AH2380" s="2"/>
      <c r="AI2380" s="2"/>
      <c r="AJ2380" s="2" t="str">
        <f>IFERROR(__xludf.DUMMYFUNCTION("""COMPUTED_VALUE"""),"")</f>
        <v/>
      </c>
      <c r="AK2380" s="2" t="str">
        <f>IFERROR(__xludf.DUMMYFUNCTION("""COMPUTED_VALUE"""),"")</f>
        <v/>
      </c>
      <c r="AL2380" s="2" t="str">
        <f>IFERROR(__xludf.DUMMYFUNCTION("""COMPUTED_VALUE"""),"")</f>
        <v/>
      </c>
      <c r="AM2380" s="2" t="str">
        <f>IFERROR(__xludf.DUMMYFUNCTION("""COMPUTED_VALUE"""),"")</f>
        <v/>
      </c>
      <c r="AN2380" s="2" t="str">
        <f>IFERROR(__xludf.DUMMYFUNCTION("""COMPUTED_VALUE""")," ")</f>
        <v> </v>
      </c>
      <c r="AO2380" s="2" t="str">
        <f>IFERROR(__xludf.DUMMYFUNCTION("""COMPUTED_VALUE""")," ")</f>
        <v> </v>
      </c>
      <c r="AP2380" s="2" t="str">
        <f>IFERROR(__xludf.DUMMYFUNCTION("""COMPUTED_VALUE"""),"")</f>
        <v/>
      </c>
      <c r="AQ2380" s="2"/>
      <c r="AR2380" s="2"/>
      <c r="AS2380" s="2"/>
      <c r="AT2380" s="2"/>
      <c r="AU2380" s="2"/>
      <c r="AV2380" s="2"/>
      <c r="AW2380" s="2"/>
      <c r="AX2380" s="2"/>
      <c r="AY2380" s="2"/>
      <c r="AZ2380" s="2"/>
      <c r="BA2380" s="2"/>
      <c r="BB2380" s="2"/>
    </row>
    <row r="2381">
      <c r="A2381" s="2"/>
      <c r="B2381" s="2" t="str">
        <f>IFERROR(__xludf.DUMMYFUNCTION("""COMPUTED_VALUE"""),"")</f>
        <v/>
      </c>
      <c r="C2381" s="2"/>
      <c r="D2381" s="71"/>
      <c r="E2381" s="71" t="str">
        <f>IFERROR(__xludf.DUMMYFUNCTION("""COMPUTED_VALUE""")," ")</f>
        <v> </v>
      </c>
      <c r="F2381" s="2"/>
      <c r="G2381" s="2"/>
      <c r="H2381" s="2"/>
      <c r="I2381" s="72"/>
      <c r="J2381" s="72"/>
      <c r="K2381" s="72"/>
      <c r="L2381" s="72"/>
      <c r="M2381" s="2"/>
      <c r="N2381" s="2"/>
      <c r="O2381" s="2"/>
      <c r="P2381" s="2"/>
      <c r="Q2381" s="2"/>
      <c r="R2381" s="2"/>
      <c r="S2381" s="2"/>
      <c r="T2381" s="2"/>
      <c r="U2381" s="2"/>
      <c r="V2381" s="2"/>
      <c r="W2381" s="2"/>
      <c r="X2381" s="2"/>
      <c r="Y2381" s="2"/>
      <c r="Z2381" s="2"/>
      <c r="AA2381" s="2"/>
      <c r="AB2381" s="2"/>
      <c r="AC2381" s="2"/>
      <c r="AD2381" s="2"/>
      <c r="AE2381" s="2"/>
      <c r="AF2381" s="2"/>
      <c r="AG2381" s="2"/>
      <c r="AH2381" s="2"/>
      <c r="AI2381" s="2"/>
      <c r="AJ2381" s="2" t="str">
        <f>IFERROR(__xludf.DUMMYFUNCTION("""COMPUTED_VALUE"""),"")</f>
        <v/>
      </c>
      <c r="AK2381" s="2" t="str">
        <f>IFERROR(__xludf.DUMMYFUNCTION("""COMPUTED_VALUE"""),"")</f>
        <v/>
      </c>
      <c r="AL2381" s="2" t="str">
        <f>IFERROR(__xludf.DUMMYFUNCTION("""COMPUTED_VALUE"""),"")</f>
        <v/>
      </c>
      <c r="AM2381" s="2" t="str">
        <f>IFERROR(__xludf.DUMMYFUNCTION("""COMPUTED_VALUE"""),"")</f>
        <v/>
      </c>
      <c r="AN2381" s="2" t="str">
        <f>IFERROR(__xludf.DUMMYFUNCTION("""COMPUTED_VALUE""")," ")</f>
        <v> </v>
      </c>
      <c r="AO2381" s="2" t="str">
        <f>IFERROR(__xludf.DUMMYFUNCTION("""COMPUTED_VALUE""")," ")</f>
        <v> </v>
      </c>
      <c r="AP2381" s="2" t="str">
        <f>IFERROR(__xludf.DUMMYFUNCTION("""COMPUTED_VALUE"""),"")</f>
        <v/>
      </c>
      <c r="AQ2381" s="2"/>
      <c r="AR2381" s="2"/>
      <c r="AS2381" s="2"/>
      <c r="AT2381" s="2"/>
      <c r="AU2381" s="2"/>
      <c r="AV2381" s="2"/>
      <c r="AW2381" s="2"/>
      <c r="AX2381" s="2"/>
      <c r="AY2381" s="2"/>
      <c r="AZ2381" s="2"/>
      <c r="BA2381" s="2"/>
      <c r="BB2381" s="2"/>
    </row>
    <row r="2382">
      <c r="A2382" s="2"/>
      <c r="B2382" s="2" t="str">
        <f>IFERROR(__xludf.DUMMYFUNCTION("""COMPUTED_VALUE"""),"")</f>
        <v/>
      </c>
      <c r="C2382" s="2"/>
      <c r="D2382" s="71"/>
      <c r="E2382" s="71" t="str">
        <f>IFERROR(__xludf.DUMMYFUNCTION("""COMPUTED_VALUE""")," ")</f>
        <v> </v>
      </c>
      <c r="F2382" s="2"/>
      <c r="G2382" s="2"/>
      <c r="H2382" s="2"/>
      <c r="I2382" s="72"/>
      <c r="J2382" s="72"/>
      <c r="K2382" s="72"/>
      <c r="L2382" s="72"/>
      <c r="M2382" s="2"/>
      <c r="N2382" s="2"/>
      <c r="O2382" s="2"/>
      <c r="P2382" s="2"/>
      <c r="Q2382" s="2"/>
      <c r="R2382" s="2"/>
      <c r="S2382" s="2"/>
      <c r="T2382" s="2"/>
      <c r="U2382" s="2"/>
      <c r="V2382" s="2"/>
      <c r="W2382" s="2"/>
      <c r="X2382" s="2"/>
      <c r="Y2382" s="2"/>
      <c r="Z2382" s="2"/>
      <c r="AA2382" s="2"/>
      <c r="AB2382" s="2"/>
      <c r="AC2382" s="2"/>
      <c r="AD2382" s="2"/>
      <c r="AE2382" s="2"/>
      <c r="AF2382" s="2"/>
      <c r="AG2382" s="2"/>
      <c r="AH2382" s="2"/>
      <c r="AI2382" s="2"/>
      <c r="AJ2382" s="2" t="str">
        <f>IFERROR(__xludf.DUMMYFUNCTION("""COMPUTED_VALUE"""),"")</f>
        <v/>
      </c>
      <c r="AK2382" s="2" t="str">
        <f>IFERROR(__xludf.DUMMYFUNCTION("""COMPUTED_VALUE"""),"")</f>
        <v/>
      </c>
      <c r="AL2382" s="2" t="str">
        <f>IFERROR(__xludf.DUMMYFUNCTION("""COMPUTED_VALUE"""),"")</f>
        <v/>
      </c>
      <c r="AM2382" s="2" t="str">
        <f>IFERROR(__xludf.DUMMYFUNCTION("""COMPUTED_VALUE"""),"")</f>
        <v/>
      </c>
      <c r="AN2382" s="2" t="str">
        <f>IFERROR(__xludf.DUMMYFUNCTION("""COMPUTED_VALUE""")," ")</f>
        <v> </v>
      </c>
      <c r="AO2382" s="2" t="str">
        <f>IFERROR(__xludf.DUMMYFUNCTION("""COMPUTED_VALUE""")," ")</f>
        <v> </v>
      </c>
      <c r="AP2382" s="2" t="str">
        <f>IFERROR(__xludf.DUMMYFUNCTION("""COMPUTED_VALUE"""),"")</f>
        <v/>
      </c>
      <c r="AQ2382" s="2"/>
      <c r="AR2382" s="2"/>
      <c r="AS2382" s="2"/>
      <c r="AT2382" s="2"/>
      <c r="AU2382" s="2"/>
      <c r="AV2382" s="2"/>
      <c r="AW2382" s="2"/>
      <c r="AX2382" s="2"/>
      <c r="AY2382" s="2"/>
      <c r="AZ2382" s="2"/>
      <c r="BA2382" s="2"/>
      <c r="BB2382" s="2"/>
    </row>
    <row r="2383">
      <c r="A2383" s="2"/>
      <c r="B2383" s="2" t="str">
        <f>IFERROR(__xludf.DUMMYFUNCTION("""COMPUTED_VALUE"""),"")</f>
        <v/>
      </c>
      <c r="C2383" s="2"/>
      <c r="D2383" s="71"/>
      <c r="E2383" s="71" t="str">
        <f>IFERROR(__xludf.DUMMYFUNCTION("""COMPUTED_VALUE""")," ")</f>
        <v> </v>
      </c>
      <c r="F2383" s="2"/>
      <c r="G2383" s="2"/>
      <c r="H2383" s="2"/>
      <c r="I2383" s="72"/>
      <c r="J2383" s="72"/>
      <c r="K2383" s="72"/>
      <c r="L2383" s="72"/>
      <c r="M2383" s="2"/>
      <c r="N2383" s="2"/>
      <c r="O2383" s="2"/>
      <c r="P2383" s="2"/>
      <c r="Q2383" s="2"/>
      <c r="R2383" s="2"/>
      <c r="S2383" s="2"/>
      <c r="T2383" s="2"/>
      <c r="U2383" s="2"/>
      <c r="V2383" s="2"/>
      <c r="W2383" s="2"/>
      <c r="X2383" s="2"/>
      <c r="Y2383" s="2"/>
      <c r="Z2383" s="2"/>
      <c r="AA2383" s="2"/>
      <c r="AB2383" s="2"/>
      <c r="AC2383" s="2"/>
      <c r="AD2383" s="2"/>
      <c r="AE2383" s="2"/>
      <c r="AF2383" s="2"/>
      <c r="AG2383" s="2"/>
      <c r="AH2383" s="2"/>
      <c r="AI2383" s="2"/>
      <c r="AJ2383" s="2" t="str">
        <f>IFERROR(__xludf.DUMMYFUNCTION("""COMPUTED_VALUE"""),"")</f>
        <v/>
      </c>
      <c r="AK2383" s="2" t="str">
        <f>IFERROR(__xludf.DUMMYFUNCTION("""COMPUTED_VALUE"""),"")</f>
        <v/>
      </c>
      <c r="AL2383" s="2" t="str">
        <f>IFERROR(__xludf.DUMMYFUNCTION("""COMPUTED_VALUE"""),"")</f>
        <v/>
      </c>
      <c r="AM2383" s="2" t="str">
        <f>IFERROR(__xludf.DUMMYFUNCTION("""COMPUTED_VALUE"""),"")</f>
        <v/>
      </c>
      <c r="AN2383" s="2" t="str">
        <f>IFERROR(__xludf.DUMMYFUNCTION("""COMPUTED_VALUE""")," ")</f>
        <v> </v>
      </c>
      <c r="AO2383" s="2" t="str">
        <f>IFERROR(__xludf.DUMMYFUNCTION("""COMPUTED_VALUE""")," ")</f>
        <v> </v>
      </c>
      <c r="AP2383" s="2" t="str">
        <f>IFERROR(__xludf.DUMMYFUNCTION("""COMPUTED_VALUE"""),"")</f>
        <v/>
      </c>
      <c r="AQ2383" s="2"/>
      <c r="AR2383" s="2"/>
      <c r="AS2383" s="2"/>
      <c r="AT2383" s="2"/>
      <c r="AU2383" s="2"/>
      <c r="AV2383" s="2"/>
      <c r="AW2383" s="2"/>
      <c r="AX2383" s="2"/>
      <c r="AY2383" s="2"/>
      <c r="AZ2383" s="2"/>
      <c r="BA2383" s="2"/>
      <c r="BB2383" s="2"/>
    </row>
    <row r="2384">
      <c r="A2384" s="2"/>
      <c r="B2384" s="2" t="str">
        <f>IFERROR(__xludf.DUMMYFUNCTION("""COMPUTED_VALUE"""),"")</f>
        <v/>
      </c>
      <c r="C2384" s="2"/>
      <c r="D2384" s="71"/>
      <c r="E2384" s="71" t="str">
        <f>IFERROR(__xludf.DUMMYFUNCTION("""COMPUTED_VALUE""")," ")</f>
        <v> </v>
      </c>
      <c r="F2384" s="2"/>
      <c r="G2384" s="2"/>
      <c r="H2384" s="2"/>
      <c r="I2384" s="72"/>
      <c r="J2384" s="72"/>
      <c r="K2384" s="72"/>
      <c r="L2384" s="72"/>
      <c r="M2384" s="2"/>
      <c r="N2384" s="2"/>
      <c r="O2384" s="2"/>
      <c r="P2384" s="2"/>
      <c r="Q2384" s="2"/>
      <c r="R2384" s="2"/>
      <c r="S2384" s="2"/>
      <c r="T2384" s="2"/>
      <c r="U2384" s="2"/>
      <c r="V2384" s="2"/>
      <c r="W2384" s="2"/>
      <c r="X2384" s="2"/>
      <c r="Y2384" s="2"/>
      <c r="Z2384" s="2"/>
      <c r="AA2384" s="2"/>
      <c r="AB2384" s="2"/>
      <c r="AC2384" s="2"/>
      <c r="AD2384" s="2"/>
      <c r="AE2384" s="2"/>
      <c r="AF2384" s="2"/>
      <c r="AG2384" s="2"/>
      <c r="AH2384" s="2"/>
      <c r="AI2384" s="2"/>
      <c r="AJ2384" s="2" t="str">
        <f>IFERROR(__xludf.DUMMYFUNCTION("""COMPUTED_VALUE"""),"")</f>
        <v/>
      </c>
      <c r="AK2384" s="2" t="str">
        <f>IFERROR(__xludf.DUMMYFUNCTION("""COMPUTED_VALUE"""),"")</f>
        <v/>
      </c>
      <c r="AL2384" s="2" t="str">
        <f>IFERROR(__xludf.DUMMYFUNCTION("""COMPUTED_VALUE"""),"")</f>
        <v/>
      </c>
      <c r="AM2384" s="2" t="str">
        <f>IFERROR(__xludf.DUMMYFUNCTION("""COMPUTED_VALUE"""),"")</f>
        <v/>
      </c>
      <c r="AN2384" s="2" t="str">
        <f>IFERROR(__xludf.DUMMYFUNCTION("""COMPUTED_VALUE""")," ")</f>
        <v> </v>
      </c>
      <c r="AO2384" s="2" t="str">
        <f>IFERROR(__xludf.DUMMYFUNCTION("""COMPUTED_VALUE""")," ")</f>
        <v> </v>
      </c>
      <c r="AP2384" s="2" t="str">
        <f>IFERROR(__xludf.DUMMYFUNCTION("""COMPUTED_VALUE"""),"")</f>
        <v/>
      </c>
      <c r="AQ2384" s="2"/>
      <c r="AR2384" s="2"/>
      <c r="AS2384" s="2"/>
      <c r="AT2384" s="2"/>
      <c r="AU2384" s="2"/>
      <c r="AV2384" s="2"/>
      <c r="AW2384" s="2"/>
      <c r="AX2384" s="2"/>
      <c r="AY2384" s="2"/>
      <c r="AZ2384" s="2"/>
      <c r="BA2384" s="2"/>
      <c r="BB2384" s="2"/>
    </row>
    <row r="2385">
      <c r="A2385" s="2"/>
      <c r="B2385" s="2" t="str">
        <f>IFERROR(__xludf.DUMMYFUNCTION("""COMPUTED_VALUE"""),"")</f>
        <v/>
      </c>
      <c r="C2385" s="2"/>
      <c r="D2385" s="71"/>
      <c r="E2385" s="71" t="str">
        <f>IFERROR(__xludf.DUMMYFUNCTION("""COMPUTED_VALUE""")," ")</f>
        <v> </v>
      </c>
      <c r="F2385" s="2"/>
      <c r="G2385" s="2"/>
      <c r="H2385" s="2"/>
      <c r="I2385" s="72"/>
      <c r="J2385" s="72"/>
      <c r="K2385" s="72"/>
      <c r="L2385" s="72"/>
      <c r="M2385" s="2"/>
      <c r="N2385" s="2"/>
      <c r="O2385" s="2"/>
      <c r="P2385" s="2"/>
      <c r="Q2385" s="2"/>
      <c r="R2385" s="2"/>
      <c r="S2385" s="2"/>
      <c r="T2385" s="2"/>
      <c r="U2385" s="2"/>
      <c r="V2385" s="2"/>
      <c r="W2385" s="2"/>
      <c r="X2385" s="2"/>
      <c r="Y2385" s="2"/>
      <c r="Z2385" s="2"/>
      <c r="AA2385" s="2"/>
      <c r="AB2385" s="2"/>
      <c r="AC2385" s="2"/>
      <c r="AD2385" s="2"/>
      <c r="AE2385" s="2"/>
      <c r="AF2385" s="2"/>
      <c r="AG2385" s="2"/>
      <c r="AH2385" s="2"/>
      <c r="AI2385" s="2"/>
      <c r="AJ2385" s="2" t="str">
        <f>IFERROR(__xludf.DUMMYFUNCTION("""COMPUTED_VALUE"""),"")</f>
        <v/>
      </c>
      <c r="AK2385" s="2" t="str">
        <f>IFERROR(__xludf.DUMMYFUNCTION("""COMPUTED_VALUE"""),"")</f>
        <v/>
      </c>
      <c r="AL2385" s="2" t="str">
        <f>IFERROR(__xludf.DUMMYFUNCTION("""COMPUTED_VALUE"""),"")</f>
        <v/>
      </c>
      <c r="AM2385" s="2" t="str">
        <f>IFERROR(__xludf.DUMMYFUNCTION("""COMPUTED_VALUE"""),"")</f>
        <v/>
      </c>
      <c r="AN2385" s="2" t="str">
        <f>IFERROR(__xludf.DUMMYFUNCTION("""COMPUTED_VALUE""")," ")</f>
        <v> </v>
      </c>
      <c r="AO2385" s="2" t="str">
        <f>IFERROR(__xludf.DUMMYFUNCTION("""COMPUTED_VALUE""")," ")</f>
        <v> </v>
      </c>
      <c r="AP2385" s="2" t="str">
        <f>IFERROR(__xludf.DUMMYFUNCTION("""COMPUTED_VALUE"""),"")</f>
        <v/>
      </c>
      <c r="AQ2385" s="2"/>
      <c r="AR2385" s="2"/>
      <c r="AS2385" s="2"/>
      <c r="AT2385" s="2"/>
      <c r="AU2385" s="2"/>
      <c r="AV2385" s="2"/>
      <c r="AW2385" s="2"/>
      <c r="AX2385" s="2"/>
      <c r="AY2385" s="2"/>
      <c r="AZ2385" s="2"/>
      <c r="BA2385" s="2"/>
      <c r="BB2385" s="2"/>
    </row>
    <row r="2386">
      <c r="A2386" s="2"/>
      <c r="B2386" s="2" t="str">
        <f>IFERROR(__xludf.DUMMYFUNCTION("""COMPUTED_VALUE"""),"")</f>
        <v/>
      </c>
      <c r="C2386" s="2"/>
      <c r="D2386" s="71"/>
      <c r="E2386" s="71" t="str">
        <f>IFERROR(__xludf.DUMMYFUNCTION("""COMPUTED_VALUE""")," ")</f>
        <v> </v>
      </c>
      <c r="F2386" s="2"/>
      <c r="G2386" s="2"/>
      <c r="H2386" s="2"/>
      <c r="I2386" s="72"/>
      <c r="J2386" s="72"/>
      <c r="K2386" s="72"/>
      <c r="L2386" s="72"/>
      <c r="M2386" s="2"/>
      <c r="N2386" s="2"/>
      <c r="O2386" s="2"/>
      <c r="P2386" s="2"/>
      <c r="Q2386" s="2"/>
      <c r="R2386" s="2"/>
      <c r="S2386" s="2"/>
      <c r="T2386" s="2"/>
      <c r="U2386" s="2"/>
      <c r="V2386" s="2"/>
      <c r="W2386" s="2"/>
      <c r="X2386" s="2"/>
      <c r="Y2386" s="2"/>
      <c r="Z2386" s="2"/>
      <c r="AA2386" s="2"/>
      <c r="AB2386" s="2"/>
      <c r="AC2386" s="2"/>
      <c r="AD2386" s="2"/>
      <c r="AE2386" s="2"/>
      <c r="AF2386" s="2"/>
      <c r="AG2386" s="2"/>
      <c r="AH2386" s="2"/>
      <c r="AI2386" s="2"/>
      <c r="AJ2386" s="2" t="str">
        <f>IFERROR(__xludf.DUMMYFUNCTION("""COMPUTED_VALUE"""),"")</f>
        <v/>
      </c>
      <c r="AK2386" s="2" t="str">
        <f>IFERROR(__xludf.DUMMYFUNCTION("""COMPUTED_VALUE"""),"")</f>
        <v/>
      </c>
      <c r="AL2386" s="2" t="str">
        <f>IFERROR(__xludf.DUMMYFUNCTION("""COMPUTED_VALUE"""),"")</f>
        <v/>
      </c>
      <c r="AM2386" s="2" t="str">
        <f>IFERROR(__xludf.DUMMYFUNCTION("""COMPUTED_VALUE"""),"")</f>
        <v/>
      </c>
      <c r="AN2386" s="2" t="str">
        <f>IFERROR(__xludf.DUMMYFUNCTION("""COMPUTED_VALUE""")," ")</f>
        <v> </v>
      </c>
      <c r="AO2386" s="2" t="str">
        <f>IFERROR(__xludf.DUMMYFUNCTION("""COMPUTED_VALUE""")," ")</f>
        <v> </v>
      </c>
      <c r="AP2386" s="2" t="str">
        <f>IFERROR(__xludf.DUMMYFUNCTION("""COMPUTED_VALUE"""),"")</f>
        <v/>
      </c>
      <c r="AQ2386" s="2"/>
      <c r="AR2386" s="2"/>
      <c r="AS2386" s="2"/>
      <c r="AT2386" s="2"/>
      <c r="AU2386" s="2"/>
      <c r="AV2386" s="2"/>
      <c r="AW2386" s="2"/>
      <c r="AX2386" s="2"/>
      <c r="AY2386" s="2"/>
      <c r="AZ2386" s="2"/>
      <c r="BA2386" s="2"/>
      <c r="BB2386" s="2"/>
    </row>
    <row r="2387">
      <c r="A2387" s="2"/>
      <c r="B2387" s="2" t="str">
        <f>IFERROR(__xludf.DUMMYFUNCTION("""COMPUTED_VALUE"""),"")</f>
        <v/>
      </c>
      <c r="C2387" s="2"/>
      <c r="D2387" s="71"/>
      <c r="E2387" s="71" t="str">
        <f>IFERROR(__xludf.DUMMYFUNCTION("""COMPUTED_VALUE""")," ")</f>
        <v> </v>
      </c>
      <c r="F2387" s="2"/>
      <c r="G2387" s="2"/>
      <c r="H2387" s="2"/>
      <c r="I2387" s="72"/>
      <c r="J2387" s="72"/>
      <c r="K2387" s="72"/>
      <c r="L2387" s="72"/>
      <c r="M2387" s="2"/>
      <c r="N2387" s="2"/>
      <c r="O2387" s="2"/>
      <c r="P2387" s="2"/>
      <c r="Q2387" s="2"/>
      <c r="R2387" s="2"/>
      <c r="S2387" s="2"/>
      <c r="T2387" s="2"/>
      <c r="U2387" s="2"/>
      <c r="V2387" s="2"/>
      <c r="W2387" s="2"/>
      <c r="X2387" s="2"/>
      <c r="Y2387" s="2"/>
      <c r="Z2387" s="2"/>
      <c r="AA2387" s="2"/>
      <c r="AB2387" s="2"/>
      <c r="AC2387" s="2"/>
      <c r="AD2387" s="2"/>
      <c r="AE2387" s="2"/>
      <c r="AF2387" s="2"/>
      <c r="AG2387" s="2"/>
      <c r="AH2387" s="2"/>
      <c r="AI2387" s="2"/>
      <c r="AJ2387" s="2" t="str">
        <f>IFERROR(__xludf.DUMMYFUNCTION("""COMPUTED_VALUE"""),"")</f>
        <v/>
      </c>
      <c r="AK2387" s="2" t="str">
        <f>IFERROR(__xludf.DUMMYFUNCTION("""COMPUTED_VALUE"""),"")</f>
        <v/>
      </c>
      <c r="AL2387" s="2" t="str">
        <f>IFERROR(__xludf.DUMMYFUNCTION("""COMPUTED_VALUE"""),"")</f>
        <v/>
      </c>
      <c r="AM2387" s="2" t="str">
        <f>IFERROR(__xludf.DUMMYFUNCTION("""COMPUTED_VALUE"""),"")</f>
        <v/>
      </c>
      <c r="AN2387" s="2" t="str">
        <f>IFERROR(__xludf.DUMMYFUNCTION("""COMPUTED_VALUE""")," ")</f>
        <v> </v>
      </c>
      <c r="AO2387" s="2" t="str">
        <f>IFERROR(__xludf.DUMMYFUNCTION("""COMPUTED_VALUE""")," ")</f>
        <v> </v>
      </c>
      <c r="AP2387" s="2" t="str">
        <f>IFERROR(__xludf.DUMMYFUNCTION("""COMPUTED_VALUE"""),"")</f>
        <v/>
      </c>
      <c r="AQ2387" s="2"/>
      <c r="AR2387" s="2"/>
      <c r="AS2387" s="2"/>
      <c r="AT2387" s="2"/>
      <c r="AU2387" s="2"/>
      <c r="AV2387" s="2"/>
      <c r="AW2387" s="2"/>
      <c r="AX2387" s="2"/>
      <c r="AY2387" s="2"/>
      <c r="AZ2387" s="2"/>
      <c r="BA2387" s="2"/>
      <c r="BB2387" s="2"/>
    </row>
    <row r="2388">
      <c r="A2388" s="2"/>
      <c r="B2388" s="2" t="str">
        <f>IFERROR(__xludf.DUMMYFUNCTION("""COMPUTED_VALUE"""),"")</f>
        <v/>
      </c>
      <c r="C2388" s="2"/>
      <c r="D2388" s="71"/>
      <c r="E2388" s="71" t="str">
        <f>IFERROR(__xludf.DUMMYFUNCTION("""COMPUTED_VALUE""")," ")</f>
        <v> </v>
      </c>
      <c r="F2388" s="2"/>
      <c r="G2388" s="2"/>
      <c r="H2388" s="2"/>
      <c r="I2388" s="72"/>
      <c r="J2388" s="72"/>
      <c r="K2388" s="72"/>
      <c r="L2388" s="72"/>
      <c r="M2388" s="2"/>
      <c r="N2388" s="2"/>
      <c r="O2388" s="2"/>
      <c r="P2388" s="2"/>
      <c r="Q2388" s="2"/>
      <c r="R2388" s="2"/>
      <c r="S2388" s="2"/>
      <c r="T2388" s="2"/>
      <c r="U2388" s="2"/>
      <c r="V2388" s="2"/>
      <c r="W2388" s="2"/>
      <c r="X2388" s="2"/>
      <c r="Y2388" s="2"/>
      <c r="Z2388" s="2"/>
      <c r="AA2388" s="2"/>
      <c r="AB2388" s="2"/>
      <c r="AC2388" s="2"/>
      <c r="AD2388" s="2"/>
      <c r="AE2388" s="2"/>
      <c r="AF2388" s="2"/>
      <c r="AG2388" s="2"/>
      <c r="AH2388" s="2"/>
      <c r="AI2388" s="2"/>
      <c r="AJ2388" s="2" t="str">
        <f>IFERROR(__xludf.DUMMYFUNCTION("""COMPUTED_VALUE"""),"")</f>
        <v/>
      </c>
      <c r="AK2388" s="2" t="str">
        <f>IFERROR(__xludf.DUMMYFUNCTION("""COMPUTED_VALUE"""),"")</f>
        <v/>
      </c>
      <c r="AL2388" s="2" t="str">
        <f>IFERROR(__xludf.DUMMYFUNCTION("""COMPUTED_VALUE"""),"")</f>
        <v/>
      </c>
      <c r="AM2388" s="2" t="str">
        <f>IFERROR(__xludf.DUMMYFUNCTION("""COMPUTED_VALUE"""),"")</f>
        <v/>
      </c>
      <c r="AN2388" s="2" t="str">
        <f>IFERROR(__xludf.DUMMYFUNCTION("""COMPUTED_VALUE""")," ")</f>
        <v> </v>
      </c>
      <c r="AO2388" s="2" t="str">
        <f>IFERROR(__xludf.DUMMYFUNCTION("""COMPUTED_VALUE""")," ")</f>
        <v> </v>
      </c>
      <c r="AP2388" s="2" t="str">
        <f>IFERROR(__xludf.DUMMYFUNCTION("""COMPUTED_VALUE"""),"")</f>
        <v/>
      </c>
      <c r="AQ2388" s="2"/>
      <c r="AR2388" s="2"/>
      <c r="AS2388" s="2"/>
      <c r="AT2388" s="2"/>
      <c r="AU2388" s="2"/>
      <c r="AV2388" s="2"/>
      <c r="AW2388" s="2"/>
      <c r="AX2388" s="2"/>
      <c r="AY2388" s="2"/>
      <c r="AZ2388" s="2"/>
      <c r="BA2388" s="2"/>
      <c r="BB2388" s="2"/>
    </row>
    <row r="2389">
      <c r="A2389" s="2"/>
      <c r="B2389" s="2" t="str">
        <f>IFERROR(__xludf.DUMMYFUNCTION("""COMPUTED_VALUE"""),"")</f>
        <v/>
      </c>
      <c r="C2389" s="2"/>
      <c r="D2389" s="71"/>
      <c r="E2389" s="71" t="str">
        <f>IFERROR(__xludf.DUMMYFUNCTION("""COMPUTED_VALUE""")," ")</f>
        <v> </v>
      </c>
      <c r="F2389" s="2"/>
      <c r="G2389" s="2"/>
      <c r="H2389" s="2"/>
      <c r="I2389" s="72"/>
      <c r="J2389" s="72"/>
      <c r="K2389" s="72"/>
      <c r="L2389" s="72"/>
      <c r="M2389" s="2"/>
      <c r="N2389" s="2"/>
      <c r="O2389" s="2"/>
      <c r="P2389" s="2"/>
      <c r="Q2389" s="2"/>
      <c r="R2389" s="2"/>
      <c r="S2389" s="2"/>
      <c r="T2389" s="2"/>
      <c r="U2389" s="2"/>
      <c r="V2389" s="2"/>
      <c r="W2389" s="2"/>
      <c r="X2389" s="2"/>
      <c r="Y2389" s="2"/>
      <c r="Z2389" s="2"/>
      <c r="AA2389" s="2"/>
      <c r="AB2389" s="2"/>
      <c r="AC2389" s="2"/>
      <c r="AD2389" s="2"/>
      <c r="AE2389" s="2"/>
      <c r="AF2389" s="2"/>
      <c r="AG2389" s="2"/>
      <c r="AH2389" s="2"/>
      <c r="AI2389" s="2"/>
      <c r="AJ2389" s="2" t="str">
        <f>IFERROR(__xludf.DUMMYFUNCTION("""COMPUTED_VALUE"""),"")</f>
        <v/>
      </c>
      <c r="AK2389" s="2" t="str">
        <f>IFERROR(__xludf.DUMMYFUNCTION("""COMPUTED_VALUE"""),"")</f>
        <v/>
      </c>
      <c r="AL2389" s="2" t="str">
        <f>IFERROR(__xludf.DUMMYFUNCTION("""COMPUTED_VALUE"""),"")</f>
        <v/>
      </c>
      <c r="AM2389" s="2" t="str">
        <f>IFERROR(__xludf.DUMMYFUNCTION("""COMPUTED_VALUE"""),"")</f>
        <v/>
      </c>
      <c r="AN2389" s="2" t="str">
        <f>IFERROR(__xludf.DUMMYFUNCTION("""COMPUTED_VALUE""")," ")</f>
        <v> </v>
      </c>
      <c r="AO2389" s="2" t="str">
        <f>IFERROR(__xludf.DUMMYFUNCTION("""COMPUTED_VALUE""")," ")</f>
        <v> </v>
      </c>
      <c r="AP2389" s="2" t="str">
        <f>IFERROR(__xludf.DUMMYFUNCTION("""COMPUTED_VALUE"""),"")</f>
        <v/>
      </c>
      <c r="AQ2389" s="2"/>
      <c r="AR2389" s="2"/>
      <c r="AS2389" s="2"/>
      <c r="AT2389" s="2"/>
      <c r="AU2389" s="2"/>
      <c r="AV2389" s="2"/>
      <c r="AW2389" s="2"/>
      <c r="AX2389" s="2"/>
      <c r="AY2389" s="2"/>
      <c r="AZ2389" s="2"/>
      <c r="BA2389" s="2"/>
      <c r="BB2389" s="2"/>
    </row>
    <row r="2390">
      <c r="A2390" s="2"/>
      <c r="B2390" s="2" t="str">
        <f>IFERROR(__xludf.DUMMYFUNCTION("""COMPUTED_VALUE"""),"")</f>
        <v/>
      </c>
      <c r="C2390" s="2"/>
      <c r="D2390" s="71"/>
      <c r="E2390" s="71" t="str">
        <f>IFERROR(__xludf.DUMMYFUNCTION("""COMPUTED_VALUE""")," ")</f>
        <v> </v>
      </c>
      <c r="F2390" s="2"/>
      <c r="G2390" s="2"/>
      <c r="H2390" s="2"/>
      <c r="I2390" s="72"/>
      <c r="J2390" s="72"/>
      <c r="K2390" s="72"/>
      <c r="L2390" s="72"/>
      <c r="M2390" s="2"/>
      <c r="N2390" s="2"/>
      <c r="O2390" s="2"/>
      <c r="P2390" s="2"/>
      <c r="Q2390" s="2"/>
      <c r="R2390" s="2"/>
      <c r="S2390" s="2"/>
      <c r="T2390" s="2"/>
      <c r="U2390" s="2"/>
      <c r="V2390" s="2"/>
      <c r="W2390" s="2"/>
      <c r="X2390" s="2"/>
      <c r="Y2390" s="2"/>
      <c r="Z2390" s="2"/>
      <c r="AA2390" s="2"/>
      <c r="AB2390" s="2"/>
      <c r="AC2390" s="2"/>
      <c r="AD2390" s="2"/>
      <c r="AE2390" s="2"/>
      <c r="AF2390" s="2"/>
      <c r="AG2390" s="2"/>
      <c r="AH2390" s="2"/>
      <c r="AI2390" s="2"/>
      <c r="AJ2390" s="2" t="str">
        <f>IFERROR(__xludf.DUMMYFUNCTION("""COMPUTED_VALUE"""),"")</f>
        <v/>
      </c>
      <c r="AK2390" s="2" t="str">
        <f>IFERROR(__xludf.DUMMYFUNCTION("""COMPUTED_VALUE"""),"")</f>
        <v/>
      </c>
      <c r="AL2390" s="2" t="str">
        <f>IFERROR(__xludf.DUMMYFUNCTION("""COMPUTED_VALUE"""),"")</f>
        <v/>
      </c>
      <c r="AM2390" s="2" t="str">
        <f>IFERROR(__xludf.DUMMYFUNCTION("""COMPUTED_VALUE"""),"")</f>
        <v/>
      </c>
      <c r="AN2390" s="2" t="str">
        <f>IFERROR(__xludf.DUMMYFUNCTION("""COMPUTED_VALUE""")," ")</f>
        <v> </v>
      </c>
      <c r="AO2390" s="2" t="str">
        <f>IFERROR(__xludf.DUMMYFUNCTION("""COMPUTED_VALUE""")," ")</f>
        <v> </v>
      </c>
      <c r="AP2390" s="2" t="str">
        <f>IFERROR(__xludf.DUMMYFUNCTION("""COMPUTED_VALUE"""),"")</f>
        <v/>
      </c>
      <c r="AQ2390" s="2"/>
      <c r="AR2390" s="2"/>
      <c r="AS2390" s="2"/>
      <c r="AT2390" s="2"/>
      <c r="AU2390" s="2"/>
      <c r="AV2390" s="2"/>
      <c r="AW2390" s="2"/>
      <c r="AX2390" s="2"/>
      <c r="AY2390" s="2"/>
      <c r="AZ2390" s="2"/>
      <c r="BA2390" s="2"/>
      <c r="BB2390" s="2"/>
    </row>
    <row r="2391">
      <c r="A2391" s="2"/>
      <c r="B2391" s="2" t="str">
        <f>IFERROR(__xludf.DUMMYFUNCTION("""COMPUTED_VALUE"""),"")</f>
        <v/>
      </c>
      <c r="C2391" s="2"/>
      <c r="D2391" s="71"/>
      <c r="E2391" s="71" t="str">
        <f>IFERROR(__xludf.DUMMYFUNCTION("""COMPUTED_VALUE""")," ")</f>
        <v> </v>
      </c>
      <c r="F2391" s="2"/>
      <c r="G2391" s="2"/>
      <c r="H2391" s="2"/>
      <c r="I2391" s="72"/>
      <c r="J2391" s="72"/>
      <c r="K2391" s="72"/>
      <c r="L2391" s="72"/>
      <c r="M2391" s="2"/>
      <c r="N2391" s="2"/>
      <c r="O2391" s="2"/>
      <c r="P2391" s="2"/>
      <c r="Q2391" s="2"/>
      <c r="R2391" s="2"/>
      <c r="S2391" s="2"/>
      <c r="T2391" s="2"/>
      <c r="U2391" s="2"/>
      <c r="V2391" s="2"/>
      <c r="W2391" s="2"/>
      <c r="X2391" s="2"/>
      <c r="Y2391" s="2"/>
      <c r="Z2391" s="2"/>
      <c r="AA2391" s="2"/>
      <c r="AB2391" s="2"/>
      <c r="AC2391" s="2"/>
      <c r="AD2391" s="2"/>
      <c r="AE2391" s="2"/>
      <c r="AF2391" s="2"/>
      <c r="AG2391" s="2"/>
      <c r="AH2391" s="2"/>
      <c r="AI2391" s="2"/>
      <c r="AJ2391" s="2" t="str">
        <f>IFERROR(__xludf.DUMMYFUNCTION("""COMPUTED_VALUE"""),"")</f>
        <v/>
      </c>
      <c r="AK2391" s="2" t="str">
        <f>IFERROR(__xludf.DUMMYFUNCTION("""COMPUTED_VALUE"""),"")</f>
        <v/>
      </c>
      <c r="AL2391" s="2" t="str">
        <f>IFERROR(__xludf.DUMMYFUNCTION("""COMPUTED_VALUE"""),"")</f>
        <v/>
      </c>
      <c r="AM2391" s="2" t="str">
        <f>IFERROR(__xludf.DUMMYFUNCTION("""COMPUTED_VALUE"""),"")</f>
        <v/>
      </c>
      <c r="AN2391" s="2" t="str">
        <f>IFERROR(__xludf.DUMMYFUNCTION("""COMPUTED_VALUE""")," ")</f>
        <v> </v>
      </c>
      <c r="AO2391" s="2" t="str">
        <f>IFERROR(__xludf.DUMMYFUNCTION("""COMPUTED_VALUE""")," ")</f>
        <v> </v>
      </c>
      <c r="AP2391" s="2" t="str">
        <f>IFERROR(__xludf.DUMMYFUNCTION("""COMPUTED_VALUE"""),"")</f>
        <v/>
      </c>
      <c r="AQ2391" s="2"/>
      <c r="AR2391" s="2"/>
      <c r="AS2391" s="2"/>
      <c r="AT2391" s="2"/>
      <c r="AU2391" s="2"/>
      <c r="AV2391" s="2"/>
      <c r="AW2391" s="2"/>
      <c r="AX2391" s="2"/>
      <c r="AY2391" s="2"/>
      <c r="AZ2391" s="2"/>
      <c r="BA2391" s="2"/>
      <c r="BB2391" s="2"/>
    </row>
    <row r="2392">
      <c r="A2392" s="2"/>
      <c r="B2392" s="2" t="str">
        <f>IFERROR(__xludf.DUMMYFUNCTION("""COMPUTED_VALUE"""),"")</f>
        <v/>
      </c>
      <c r="C2392" s="2"/>
      <c r="D2392" s="71"/>
      <c r="E2392" s="71" t="str">
        <f>IFERROR(__xludf.DUMMYFUNCTION("""COMPUTED_VALUE""")," ")</f>
        <v> </v>
      </c>
      <c r="F2392" s="2"/>
      <c r="G2392" s="2"/>
      <c r="H2392" s="2"/>
      <c r="I2392" s="72"/>
      <c r="J2392" s="72"/>
      <c r="K2392" s="72"/>
      <c r="L2392" s="72"/>
      <c r="M2392" s="2"/>
      <c r="N2392" s="2"/>
      <c r="O2392" s="2"/>
      <c r="P2392" s="2"/>
      <c r="Q2392" s="2"/>
      <c r="R2392" s="2"/>
      <c r="S2392" s="2"/>
      <c r="T2392" s="2"/>
      <c r="U2392" s="2"/>
      <c r="V2392" s="2"/>
      <c r="W2392" s="2"/>
      <c r="X2392" s="2"/>
      <c r="Y2392" s="2"/>
      <c r="Z2392" s="2"/>
      <c r="AA2392" s="2"/>
      <c r="AB2392" s="2"/>
      <c r="AC2392" s="2"/>
      <c r="AD2392" s="2"/>
      <c r="AE2392" s="2"/>
      <c r="AF2392" s="2"/>
      <c r="AG2392" s="2"/>
      <c r="AH2392" s="2"/>
      <c r="AI2392" s="2"/>
      <c r="AJ2392" s="2" t="str">
        <f>IFERROR(__xludf.DUMMYFUNCTION("""COMPUTED_VALUE"""),"")</f>
        <v/>
      </c>
      <c r="AK2392" s="2" t="str">
        <f>IFERROR(__xludf.DUMMYFUNCTION("""COMPUTED_VALUE"""),"")</f>
        <v/>
      </c>
      <c r="AL2392" s="2" t="str">
        <f>IFERROR(__xludf.DUMMYFUNCTION("""COMPUTED_VALUE"""),"")</f>
        <v/>
      </c>
      <c r="AM2392" s="2" t="str">
        <f>IFERROR(__xludf.DUMMYFUNCTION("""COMPUTED_VALUE"""),"")</f>
        <v/>
      </c>
      <c r="AN2392" s="2" t="str">
        <f>IFERROR(__xludf.DUMMYFUNCTION("""COMPUTED_VALUE""")," ")</f>
        <v> </v>
      </c>
      <c r="AO2392" s="2" t="str">
        <f>IFERROR(__xludf.DUMMYFUNCTION("""COMPUTED_VALUE""")," ")</f>
        <v> </v>
      </c>
      <c r="AP2392" s="2" t="str">
        <f>IFERROR(__xludf.DUMMYFUNCTION("""COMPUTED_VALUE"""),"")</f>
        <v/>
      </c>
      <c r="AQ2392" s="2"/>
      <c r="AR2392" s="2"/>
      <c r="AS2392" s="2"/>
      <c r="AT2392" s="2"/>
      <c r="AU2392" s="2"/>
      <c r="AV2392" s="2"/>
      <c r="AW2392" s="2"/>
      <c r="AX2392" s="2"/>
      <c r="AY2392" s="2"/>
      <c r="AZ2392" s="2"/>
      <c r="BA2392" s="2"/>
      <c r="BB2392" s="2"/>
    </row>
    <row r="2393">
      <c r="A2393" s="2"/>
      <c r="B2393" s="2" t="str">
        <f>IFERROR(__xludf.DUMMYFUNCTION("""COMPUTED_VALUE"""),"")</f>
        <v/>
      </c>
      <c r="C2393" s="2"/>
      <c r="D2393" s="71"/>
      <c r="E2393" s="71" t="str">
        <f>IFERROR(__xludf.DUMMYFUNCTION("""COMPUTED_VALUE""")," ")</f>
        <v> </v>
      </c>
      <c r="F2393" s="2"/>
      <c r="G2393" s="2"/>
      <c r="H2393" s="2"/>
      <c r="I2393" s="72"/>
      <c r="J2393" s="72"/>
      <c r="K2393" s="72"/>
      <c r="L2393" s="72"/>
      <c r="M2393" s="2"/>
      <c r="N2393" s="2"/>
      <c r="O2393" s="2"/>
      <c r="P2393" s="2"/>
      <c r="Q2393" s="2"/>
      <c r="R2393" s="2"/>
      <c r="S2393" s="2"/>
      <c r="T2393" s="2"/>
      <c r="U2393" s="2"/>
      <c r="V2393" s="2"/>
      <c r="W2393" s="2"/>
      <c r="X2393" s="2"/>
      <c r="Y2393" s="2"/>
      <c r="Z2393" s="2"/>
      <c r="AA2393" s="2"/>
      <c r="AB2393" s="2"/>
      <c r="AC2393" s="2"/>
      <c r="AD2393" s="2"/>
      <c r="AE2393" s="2"/>
      <c r="AF2393" s="2"/>
      <c r="AG2393" s="2"/>
      <c r="AH2393" s="2"/>
      <c r="AI2393" s="2"/>
      <c r="AJ2393" s="2" t="str">
        <f>IFERROR(__xludf.DUMMYFUNCTION("""COMPUTED_VALUE"""),"")</f>
        <v/>
      </c>
      <c r="AK2393" s="2" t="str">
        <f>IFERROR(__xludf.DUMMYFUNCTION("""COMPUTED_VALUE"""),"")</f>
        <v/>
      </c>
      <c r="AL2393" s="2" t="str">
        <f>IFERROR(__xludf.DUMMYFUNCTION("""COMPUTED_VALUE"""),"")</f>
        <v/>
      </c>
      <c r="AM2393" s="2" t="str">
        <f>IFERROR(__xludf.DUMMYFUNCTION("""COMPUTED_VALUE"""),"")</f>
        <v/>
      </c>
      <c r="AN2393" s="2" t="str">
        <f>IFERROR(__xludf.DUMMYFUNCTION("""COMPUTED_VALUE""")," ")</f>
        <v> </v>
      </c>
      <c r="AO2393" s="2" t="str">
        <f>IFERROR(__xludf.DUMMYFUNCTION("""COMPUTED_VALUE""")," ")</f>
        <v> </v>
      </c>
      <c r="AP2393" s="2" t="str">
        <f>IFERROR(__xludf.DUMMYFUNCTION("""COMPUTED_VALUE"""),"")</f>
        <v/>
      </c>
      <c r="AQ2393" s="2"/>
      <c r="AR2393" s="2"/>
      <c r="AS2393" s="2"/>
      <c r="AT2393" s="2"/>
      <c r="AU2393" s="2"/>
      <c r="AV2393" s="2"/>
      <c r="AW2393" s="2"/>
      <c r="AX2393" s="2"/>
      <c r="AY2393" s="2"/>
      <c r="AZ2393" s="2"/>
      <c r="BA2393" s="2"/>
      <c r="BB2393" s="2"/>
    </row>
    <row r="2394">
      <c r="A2394" s="2"/>
      <c r="B2394" s="2" t="str">
        <f>IFERROR(__xludf.DUMMYFUNCTION("""COMPUTED_VALUE"""),"")</f>
        <v/>
      </c>
      <c r="C2394" s="2"/>
      <c r="D2394" s="71"/>
      <c r="E2394" s="71" t="str">
        <f>IFERROR(__xludf.DUMMYFUNCTION("""COMPUTED_VALUE""")," ")</f>
        <v> </v>
      </c>
      <c r="F2394" s="2"/>
      <c r="G2394" s="2"/>
      <c r="H2394" s="2"/>
      <c r="I2394" s="72"/>
      <c r="J2394" s="72"/>
      <c r="K2394" s="72"/>
      <c r="L2394" s="72"/>
      <c r="M2394" s="2"/>
      <c r="N2394" s="2"/>
      <c r="O2394" s="2"/>
      <c r="P2394" s="2"/>
      <c r="Q2394" s="2"/>
      <c r="R2394" s="2"/>
      <c r="S2394" s="2"/>
      <c r="T2394" s="2"/>
      <c r="U2394" s="2"/>
      <c r="V2394" s="2"/>
      <c r="W2394" s="2"/>
      <c r="X2394" s="2"/>
      <c r="Y2394" s="2"/>
      <c r="Z2394" s="2"/>
      <c r="AA2394" s="2"/>
      <c r="AB2394" s="2"/>
      <c r="AC2394" s="2"/>
      <c r="AD2394" s="2"/>
      <c r="AE2394" s="2"/>
      <c r="AF2394" s="2"/>
      <c r="AG2394" s="2"/>
      <c r="AH2394" s="2"/>
      <c r="AI2394" s="2"/>
      <c r="AJ2394" s="2" t="str">
        <f>IFERROR(__xludf.DUMMYFUNCTION("""COMPUTED_VALUE"""),"")</f>
        <v/>
      </c>
      <c r="AK2394" s="2" t="str">
        <f>IFERROR(__xludf.DUMMYFUNCTION("""COMPUTED_VALUE"""),"")</f>
        <v/>
      </c>
      <c r="AL2394" s="2" t="str">
        <f>IFERROR(__xludf.DUMMYFUNCTION("""COMPUTED_VALUE"""),"")</f>
        <v/>
      </c>
      <c r="AM2394" s="2" t="str">
        <f>IFERROR(__xludf.DUMMYFUNCTION("""COMPUTED_VALUE"""),"")</f>
        <v/>
      </c>
      <c r="AN2394" s="2" t="str">
        <f>IFERROR(__xludf.DUMMYFUNCTION("""COMPUTED_VALUE""")," ")</f>
        <v> </v>
      </c>
      <c r="AO2394" s="2" t="str">
        <f>IFERROR(__xludf.DUMMYFUNCTION("""COMPUTED_VALUE""")," ")</f>
        <v> </v>
      </c>
      <c r="AP2394" s="2" t="str">
        <f>IFERROR(__xludf.DUMMYFUNCTION("""COMPUTED_VALUE"""),"")</f>
        <v/>
      </c>
      <c r="AQ2394" s="2"/>
      <c r="AR2394" s="2"/>
      <c r="AS2394" s="2"/>
      <c r="AT2394" s="2"/>
      <c r="AU2394" s="2"/>
      <c r="AV2394" s="2"/>
      <c r="AW2394" s="2"/>
      <c r="AX2394" s="2"/>
      <c r="AY2394" s="2"/>
      <c r="AZ2394" s="2"/>
      <c r="BA2394" s="2"/>
      <c r="BB2394" s="2"/>
    </row>
    <row r="2395">
      <c r="A2395" s="2"/>
      <c r="B2395" s="2" t="str">
        <f>IFERROR(__xludf.DUMMYFUNCTION("""COMPUTED_VALUE"""),"")</f>
        <v/>
      </c>
      <c r="C2395" s="2"/>
      <c r="D2395" s="71"/>
      <c r="E2395" s="71" t="str">
        <f>IFERROR(__xludf.DUMMYFUNCTION("""COMPUTED_VALUE""")," ")</f>
        <v> </v>
      </c>
      <c r="F2395" s="2"/>
      <c r="G2395" s="2"/>
      <c r="H2395" s="2"/>
      <c r="I2395" s="72"/>
      <c r="J2395" s="72"/>
      <c r="K2395" s="72"/>
      <c r="L2395" s="72"/>
      <c r="M2395" s="2"/>
      <c r="N2395" s="2"/>
      <c r="O2395" s="2"/>
      <c r="P2395" s="2"/>
      <c r="Q2395" s="2"/>
      <c r="R2395" s="2"/>
      <c r="S2395" s="2"/>
      <c r="T2395" s="2"/>
      <c r="U2395" s="2"/>
      <c r="V2395" s="2"/>
      <c r="W2395" s="2"/>
      <c r="X2395" s="2"/>
      <c r="Y2395" s="2"/>
      <c r="Z2395" s="2"/>
      <c r="AA2395" s="2"/>
      <c r="AB2395" s="2"/>
      <c r="AC2395" s="2"/>
      <c r="AD2395" s="2"/>
      <c r="AE2395" s="2"/>
      <c r="AF2395" s="2"/>
      <c r="AG2395" s="2"/>
      <c r="AH2395" s="2"/>
      <c r="AI2395" s="2"/>
      <c r="AJ2395" s="2" t="str">
        <f>IFERROR(__xludf.DUMMYFUNCTION("""COMPUTED_VALUE"""),"")</f>
        <v/>
      </c>
      <c r="AK2395" s="2" t="str">
        <f>IFERROR(__xludf.DUMMYFUNCTION("""COMPUTED_VALUE"""),"")</f>
        <v/>
      </c>
      <c r="AL2395" s="2" t="str">
        <f>IFERROR(__xludf.DUMMYFUNCTION("""COMPUTED_VALUE"""),"")</f>
        <v/>
      </c>
      <c r="AM2395" s="2" t="str">
        <f>IFERROR(__xludf.DUMMYFUNCTION("""COMPUTED_VALUE"""),"")</f>
        <v/>
      </c>
      <c r="AN2395" s="2" t="str">
        <f>IFERROR(__xludf.DUMMYFUNCTION("""COMPUTED_VALUE""")," ")</f>
        <v> </v>
      </c>
      <c r="AO2395" s="2" t="str">
        <f>IFERROR(__xludf.DUMMYFUNCTION("""COMPUTED_VALUE""")," ")</f>
        <v> </v>
      </c>
      <c r="AP2395" s="2" t="str">
        <f>IFERROR(__xludf.DUMMYFUNCTION("""COMPUTED_VALUE"""),"")</f>
        <v/>
      </c>
      <c r="AQ2395" s="2"/>
      <c r="AR2395" s="2"/>
      <c r="AS2395" s="2"/>
      <c r="AT2395" s="2"/>
      <c r="AU2395" s="2"/>
      <c r="AV2395" s="2"/>
      <c r="AW2395" s="2"/>
      <c r="AX2395" s="2"/>
      <c r="AY2395" s="2"/>
      <c r="AZ2395" s="2"/>
      <c r="BA2395" s="2"/>
      <c r="BB2395" s="2"/>
    </row>
    <row r="2396">
      <c r="A2396" s="2"/>
      <c r="B2396" s="2" t="str">
        <f>IFERROR(__xludf.DUMMYFUNCTION("""COMPUTED_VALUE"""),"")</f>
        <v/>
      </c>
      <c r="C2396" s="2"/>
      <c r="D2396" s="71"/>
      <c r="E2396" s="71" t="str">
        <f>IFERROR(__xludf.DUMMYFUNCTION("""COMPUTED_VALUE""")," ")</f>
        <v> </v>
      </c>
      <c r="F2396" s="2"/>
      <c r="G2396" s="2"/>
      <c r="H2396" s="2"/>
      <c r="I2396" s="72"/>
      <c r="J2396" s="72"/>
      <c r="K2396" s="72"/>
      <c r="L2396" s="72"/>
      <c r="M2396" s="2"/>
      <c r="N2396" s="2"/>
      <c r="O2396" s="2"/>
      <c r="P2396" s="2"/>
      <c r="Q2396" s="2"/>
      <c r="R2396" s="2"/>
      <c r="S2396" s="2"/>
      <c r="T2396" s="2"/>
      <c r="U2396" s="2"/>
      <c r="V2396" s="2"/>
      <c r="W2396" s="2"/>
      <c r="X2396" s="2"/>
      <c r="Y2396" s="2"/>
      <c r="Z2396" s="2"/>
      <c r="AA2396" s="2"/>
      <c r="AB2396" s="2"/>
      <c r="AC2396" s="2"/>
      <c r="AD2396" s="2"/>
      <c r="AE2396" s="2"/>
      <c r="AF2396" s="2"/>
      <c r="AG2396" s="2"/>
      <c r="AH2396" s="2"/>
      <c r="AI2396" s="2"/>
      <c r="AJ2396" s="2" t="str">
        <f>IFERROR(__xludf.DUMMYFUNCTION("""COMPUTED_VALUE"""),"")</f>
        <v/>
      </c>
      <c r="AK2396" s="2" t="str">
        <f>IFERROR(__xludf.DUMMYFUNCTION("""COMPUTED_VALUE"""),"")</f>
        <v/>
      </c>
      <c r="AL2396" s="2" t="str">
        <f>IFERROR(__xludf.DUMMYFUNCTION("""COMPUTED_VALUE"""),"")</f>
        <v/>
      </c>
      <c r="AM2396" s="2" t="str">
        <f>IFERROR(__xludf.DUMMYFUNCTION("""COMPUTED_VALUE"""),"")</f>
        <v/>
      </c>
      <c r="AN2396" s="2" t="str">
        <f>IFERROR(__xludf.DUMMYFUNCTION("""COMPUTED_VALUE""")," ")</f>
        <v> </v>
      </c>
      <c r="AO2396" s="2" t="str">
        <f>IFERROR(__xludf.DUMMYFUNCTION("""COMPUTED_VALUE""")," ")</f>
        <v> </v>
      </c>
      <c r="AP2396" s="2" t="str">
        <f>IFERROR(__xludf.DUMMYFUNCTION("""COMPUTED_VALUE"""),"")</f>
        <v/>
      </c>
      <c r="AQ2396" s="2"/>
      <c r="AR2396" s="2"/>
      <c r="AS2396" s="2"/>
      <c r="AT2396" s="2"/>
      <c r="AU2396" s="2"/>
      <c r="AV2396" s="2"/>
      <c r="AW2396" s="2"/>
      <c r="AX2396" s="2"/>
      <c r="AY2396" s="2"/>
      <c r="AZ2396" s="2"/>
      <c r="BA2396" s="2"/>
      <c r="BB2396" s="2"/>
    </row>
    <row r="2397">
      <c r="A2397" s="2"/>
      <c r="B2397" s="2" t="str">
        <f>IFERROR(__xludf.DUMMYFUNCTION("""COMPUTED_VALUE"""),"")</f>
        <v/>
      </c>
      <c r="C2397" s="2"/>
      <c r="D2397" s="71"/>
      <c r="E2397" s="71" t="str">
        <f>IFERROR(__xludf.DUMMYFUNCTION("""COMPUTED_VALUE""")," ")</f>
        <v> </v>
      </c>
      <c r="F2397" s="2"/>
      <c r="G2397" s="2"/>
      <c r="H2397" s="2"/>
      <c r="I2397" s="72"/>
      <c r="J2397" s="72"/>
      <c r="K2397" s="72"/>
      <c r="L2397" s="72"/>
      <c r="M2397" s="2"/>
      <c r="N2397" s="2"/>
      <c r="O2397" s="2"/>
      <c r="P2397" s="2"/>
      <c r="Q2397" s="2"/>
      <c r="R2397" s="2"/>
      <c r="S2397" s="2"/>
      <c r="T2397" s="2"/>
      <c r="U2397" s="2"/>
      <c r="V2397" s="2"/>
      <c r="W2397" s="2"/>
      <c r="X2397" s="2"/>
      <c r="Y2397" s="2"/>
      <c r="Z2397" s="2"/>
      <c r="AA2397" s="2"/>
      <c r="AB2397" s="2"/>
      <c r="AC2397" s="2"/>
      <c r="AD2397" s="2"/>
      <c r="AE2397" s="2"/>
      <c r="AF2397" s="2"/>
      <c r="AG2397" s="2"/>
      <c r="AH2397" s="2"/>
      <c r="AI2397" s="2"/>
      <c r="AJ2397" s="2" t="str">
        <f>IFERROR(__xludf.DUMMYFUNCTION("""COMPUTED_VALUE"""),"")</f>
        <v/>
      </c>
      <c r="AK2397" s="2" t="str">
        <f>IFERROR(__xludf.DUMMYFUNCTION("""COMPUTED_VALUE"""),"")</f>
        <v/>
      </c>
      <c r="AL2397" s="2" t="str">
        <f>IFERROR(__xludf.DUMMYFUNCTION("""COMPUTED_VALUE"""),"")</f>
        <v/>
      </c>
      <c r="AM2397" s="2" t="str">
        <f>IFERROR(__xludf.DUMMYFUNCTION("""COMPUTED_VALUE"""),"")</f>
        <v/>
      </c>
      <c r="AN2397" s="2" t="str">
        <f>IFERROR(__xludf.DUMMYFUNCTION("""COMPUTED_VALUE""")," ")</f>
        <v> </v>
      </c>
      <c r="AO2397" s="2" t="str">
        <f>IFERROR(__xludf.DUMMYFUNCTION("""COMPUTED_VALUE""")," ")</f>
        <v> </v>
      </c>
      <c r="AP2397" s="2" t="str">
        <f>IFERROR(__xludf.DUMMYFUNCTION("""COMPUTED_VALUE"""),"")</f>
        <v/>
      </c>
      <c r="AQ2397" s="2"/>
      <c r="AR2397" s="2"/>
      <c r="AS2397" s="2"/>
      <c r="AT2397" s="2"/>
      <c r="AU2397" s="2"/>
      <c r="AV2397" s="2"/>
      <c r="AW2397" s="2"/>
      <c r="AX2397" s="2"/>
      <c r="AY2397" s="2"/>
      <c r="AZ2397" s="2"/>
      <c r="BA2397" s="2"/>
      <c r="BB2397" s="2"/>
    </row>
    <row r="2398">
      <c r="A2398" s="2"/>
      <c r="B2398" s="2" t="str">
        <f>IFERROR(__xludf.DUMMYFUNCTION("""COMPUTED_VALUE"""),"")</f>
        <v/>
      </c>
      <c r="C2398" s="2"/>
      <c r="D2398" s="71"/>
      <c r="E2398" s="71" t="str">
        <f>IFERROR(__xludf.DUMMYFUNCTION("""COMPUTED_VALUE""")," ")</f>
        <v> </v>
      </c>
      <c r="F2398" s="2"/>
      <c r="G2398" s="2"/>
      <c r="H2398" s="2"/>
      <c r="I2398" s="72"/>
      <c r="J2398" s="72"/>
      <c r="K2398" s="72"/>
      <c r="L2398" s="72"/>
      <c r="M2398" s="2"/>
      <c r="N2398" s="2"/>
      <c r="O2398" s="2"/>
      <c r="P2398" s="2"/>
      <c r="Q2398" s="2"/>
      <c r="R2398" s="2"/>
      <c r="S2398" s="2"/>
      <c r="T2398" s="2"/>
      <c r="U2398" s="2"/>
      <c r="V2398" s="2"/>
      <c r="W2398" s="2"/>
      <c r="X2398" s="2"/>
      <c r="Y2398" s="2"/>
      <c r="Z2398" s="2"/>
      <c r="AA2398" s="2"/>
      <c r="AB2398" s="2"/>
      <c r="AC2398" s="2"/>
      <c r="AD2398" s="2"/>
      <c r="AE2398" s="2"/>
      <c r="AF2398" s="2"/>
      <c r="AG2398" s="2"/>
      <c r="AH2398" s="2"/>
      <c r="AI2398" s="2"/>
      <c r="AJ2398" s="2" t="str">
        <f>IFERROR(__xludf.DUMMYFUNCTION("""COMPUTED_VALUE"""),"")</f>
        <v/>
      </c>
      <c r="AK2398" s="2" t="str">
        <f>IFERROR(__xludf.DUMMYFUNCTION("""COMPUTED_VALUE"""),"")</f>
        <v/>
      </c>
      <c r="AL2398" s="2" t="str">
        <f>IFERROR(__xludf.DUMMYFUNCTION("""COMPUTED_VALUE"""),"")</f>
        <v/>
      </c>
      <c r="AM2398" s="2" t="str">
        <f>IFERROR(__xludf.DUMMYFUNCTION("""COMPUTED_VALUE"""),"")</f>
        <v/>
      </c>
      <c r="AN2398" s="2" t="str">
        <f>IFERROR(__xludf.DUMMYFUNCTION("""COMPUTED_VALUE""")," ")</f>
        <v> </v>
      </c>
      <c r="AO2398" s="2" t="str">
        <f>IFERROR(__xludf.DUMMYFUNCTION("""COMPUTED_VALUE""")," ")</f>
        <v> </v>
      </c>
      <c r="AP2398" s="2" t="str">
        <f>IFERROR(__xludf.DUMMYFUNCTION("""COMPUTED_VALUE"""),"")</f>
        <v/>
      </c>
      <c r="AQ2398" s="2"/>
      <c r="AR2398" s="2"/>
      <c r="AS2398" s="2"/>
      <c r="AT2398" s="2"/>
      <c r="AU2398" s="2"/>
      <c r="AV2398" s="2"/>
      <c r="AW2398" s="2"/>
      <c r="AX2398" s="2"/>
      <c r="AY2398" s="2"/>
      <c r="AZ2398" s="2"/>
      <c r="BA2398" s="2"/>
      <c r="BB2398" s="2"/>
    </row>
    <row r="2399">
      <c r="A2399" s="2"/>
      <c r="B2399" s="2" t="str">
        <f>IFERROR(__xludf.DUMMYFUNCTION("""COMPUTED_VALUE"""),"")</f>
        <v/>
      </c>
      <c r="C2399" s="2"/>
      <c r="D2399" s="71"/>
      <c r="E2399" s="71" t="str">
        <f>IFERROR(__xludf.DUMMYFUNCTION("""COMPUTED_VALUE""")," ")</f>
        <v> </v>
      </c>
      <c r="F2399" s="2"/>
      <c r="G2399" s="2"/>
      <c r="H2399" s="2"/>
      <c r="I2399" s="72"/>
      <c r="J2399" s="72"/>
      <c r="K2399" s="72"/>
      <c r="L2399" s="72"/>
      <c r="M2399" s="2"/>
      <c r="N2399" s="2"/>
      <c r="O2399" s="2"/>
      <c r="P2399" s="2"/>
      <c r="Q2399" s="2"/>
      <c r="R2399" s="2"/>
      <c r="S2399" s="2"/>
      <c r="T2399" s="2"/>
      <c r="U2399" s="2"/>
      <c r="V2399" s="2"/>
      <c r="W2399" s="2"/>
      <c r="X2399" s="2"/>
      <c r="Y2399" s="2"/>
      <c r="Z2399" s="2"/>
      <c r="AA2399" s="2"/>
      <c r="AB2399" s="2"/>
      <c r="AC2399" s="2"/>
      <c r="AD2399" s="2"/>
      <c r="AE2399" s="2"/>
      <c r="AF2399" s="2"/>
      <c r="AG2399" s="2"/>
      <c r="AH2399" s="2"/>
      <c r="AI2399" s="2"/>
      <c r="AJ2399" s="2" t="str">
        <f>IFERROR(__xludf.DUMMYFUNCTION("""COMPUTED_VALUE"""),"")</f>
        <v/>
      </c>
      <c r="AK2399" s="2" t="str">
        <f>IFERROR(__xludf.DUMMYFUNCTION("""COMPUTED_VALUE"""),"")</f>
        <v/>
      </c>
      <c r="AL2399" s="2" t="str">
        <f>IFERROR(__xludf.DUMMYFUNCTION("""COMPUTED_VALUE"""),"")</f>
        <v/>
      </c>
      <c r="AM2399" s="2" t="str">
        <f>IFERROR(__xludf.DUMMYFUNCTION("""COMPUTED_VALUE"""),"")</f>
        <v/>
      </c>
      <c r="AN2399" s="2" t="str">
        <f>IFERROR(__xludf.DUMMYFUNCTION("""COMPUTED_VALUE""")," ")</f>
        <v> </v>
      </c>
      <c r="AO2399" s="2" t="str">
        <f>IFERROR(__xludf.DUMMYFUNCTION("""COMPUTED_VALUE""")," ")</f>
        <v> </v>
      </c>
      <c r="AP2399" s="2" t="str">
        <f>IFERROR(__xludf.DUMMYFUNCTION("""COMPUTED_VALUE"""),"")</f>
        <v/>
      </c>
      <c r="AQ2399" s="2"/>
      <c r="AR2399" s="2"/>
      <c r="AS2399" s="2"/>
      <c r="AT2399" s="2"/>
      <c r="AU2399" s="2"/>
      <c r="AV2399" s="2"/>
      <c r="AW2399" s="2"/>
      <c r="AX2399" s="2"/>
      <c r="AY2399" s="2"/>
      <c r="AZ2399" s="2"/>
      <c r="BA2399" s="2"/>
      <c r="BB2399" s="2"/>
    </row>
    <row r="2400">
      <c r="A2400" s="2"/>
      <c r="B2400" s="2" t="str">
        <f>IFERROR(__xludf.DUMMYFUNCTION("""COMPUTED_VALUE"""),"")</f>
        <v/>
      </c>
      <c r="C2400" s="2"/>
      <c r="D2400" s="71"/>
      <c r="E2400" s="71" t="str">
        <f>IFERROR(__xludf.DUMMYFUNCTION("""COMPUTED_VALUE""")," ")</f>
        <v> </v>
      </c>
      <c r="F2400" s="2"/>
      <c r="G2400" s="2"/>
      <c r="H2400" s="2"/>
      <c r="I2400" s="72"/>
      <c r="J2400" s="72"/>
      <c r="K2400" s="72"/>
      <c r="L2400" s="72"/>
      <c r="M2400" s="2"/>
      <c r="N2400" s="2"/>
      <c r="O2400" s="2"/>
      <c r="P2400" s="2"/>
      <c r="Q2400" s="2"/>
      <c r="R2400" s="2"/>
      <c r="S2400" s="2"/>
      <c r="T2400" s="2"/>
      <c r="U2400" s="2"/>
      <c r="V2400" s="2"/>
      <c r="W2400" s="2"/>
      <c r="X2400" s="2"/>
      <c r="Y2400" s="2"/>
      <c r="Z2400" s="2"/>
      <c r="AA2400" s="2"/>
      <c r="AB2400" s="2"/>
      <c r="AC2400" s="2"/>
      <c r="AD2400" s="2"/>
      <c r="AE2400" s="2"/>
      <c r="AF2400" s="2"/>
      <c r="AG2400" s="2"/>
      <c r="AH2400" s="2"/>
      <c r="AI2400" s="2"/>
      <c r="AJ2400" s="2" t="str">
        <f>IFERROR(__xludf.DUMMYFUNCTION("""COMPUTED_VALUE"""),"")</f>
        <v/>
      </c>
      <c r="AK2400" s="2" t="str">
        <f>IFERROR(__xludf.DUMMYFUNCTION("""COMPUTED_VALUE"""),"")</f>
        <v/>
      </c>
      <c r="AL2400" s="2" t="str">
        <f>IFERROR(__xludf.DUMMYFUNCTION("""COMPUTED_VALUE"""),"")</f>
        <v/>
      </c>
      <c r="AM2400" s="2" t="str">
        <f>IFERROR(__xludf.DUMMYFUNCTION("""COMPUTED_VALUE"""),"")</f>
        <v/>
      </c>
      <c r="AN2400" s="2" t="str">
        <f>IFERROR(__xludf.DUMMYFUNCTION("""COMPUTED_VALUE""")," ")</f>
        <v> </v>
      </c>
      <c r="AO2400" s="2" t="str">
        <f>IFERROR(__xludf.DUMMYFUNCTION("""COMPUTED_VALUE""")," ")</f>
        <v> </v>
      </c>
      <c r="AP2400" s="2" t="str">
        <f>IFERROR(__xludf.DUMMYFUNCTION("""COMPUTED_VALUE"""),"")</f>
        <v/>
      </c>
      <c r="AQ2400" s="2"/>
      <c r="AR2400" s="2"/>
      <c r="AS2400" s="2"/>
      <c r="AT2400" s="2"/>
      <c r="AU2400" s="2"/>
      <c r="AV2400" s="2"/>
      <c r="AW2400" s="2"/>
      <c r="AX2400" s="2"/>
      <c r="AY2400" s="2"/>
      <c r="AZ2400" s="2"/>
      <c r="BA2400" s="2"/>
      <c r="BB2400" s="2"/>
    </row>
    <row r="2401">
      <c r="A2401" s="2"/>
      <c r="B2401" s="2" t="str">
        <f>IFERROR(__xludf.DUMMYFUNCTION("""COMPUTED_VALUE"""),"")</f>
        <v/>
      </c>
      <c r="C2401" s="2"/>
      <c r="D2401" s="71"/>
      <c r="E2401" s="71" t="str">
        <f>IFERROR(__xludf.DUMMYFUNCTION("""COMPUTED_VALUE""")," ")</f>
        <v> </v>
      </c>
      <c r="F2401" s="2"/>
      <c r="G2401" s="2"/>
      <c r="H2401" s="2"/>
      <c r="I2401" s="72"/>
      <c r="J2401" s="72"/>
      <c r="K2401" s="72"/>
      <c r="L2401" s="72"/>
      <c r="M2401" s="2"/>
      <c r="N2401" s="2"/>
      <c r="O2401" s="2"/>
      <c r="P2401" s="2"/>
      <c r="Q2401" s="2"/>
      <c r="R2401" s="2"/>
      <c r="S2401" s="2"/>
      <c r="T2401" s="2"/>
      <c r="U2401" s="2"/>
      <c r="V2401" s="2"/>
      <c r="W2401" s="2"/>
      <c r="X2401" s="2"/>
      <c r="Y2401" s="2"/>
      <c r="Z2401" s="2"/>
      <c r="AA2401" s="2"/>
      <c r="AB2401" s="2"/>
      <c r="AC2401" s="2"/>
      <c r="AD2401" s="2"/>
      <c r="AE2401" s="2"/>
      <c r="AF2401" s="2"/>
      <c r="AG2401" s="2"/>
      <c r="AH2401" s="2"/>
      <c r="AI2401" s="2"/>
      <c r="AJ2401" s="2" t="str">
        <f>IFERROR(__xludf.DUMMYFUNCTION("""COMPUTED_VALUE"""),"")</f>
        <v/>
      </c>
      <c r="AK2401" s="2" t="str">
        <f>IFERROR(__xludf.DUMMYFUNCTION("""COMPUTED_VALUE"""),"")</f>
        <v/>
      </c>
      <c r="AL2401" s="2" t="str">
        <f>IFERROR(__xludf.DUMMYFUNCTION("""COMPUTED_VALUE"""),"")</f>
        <v/>
      </c>
      <c r="AM2401" s="2" t="str">
        <f>IFERROR(__xludf.DUMMYFUNCTION("""COMPUTED_VALUE"""),"")</f>
        <v/>
      </c>
      <c r="AN2401" s="2" t="str">
        <f>IFERROR(__xludf.DUMMYFUNCTION("""COMPUTED_VALUE""")," ")</f>
        <v> </v>
      </c>
      <c r="AO2401" s="2" t="str">
        <f>IFERROR(__xludf.DUMMYFUNCTION("""COMPUTED_VALUE""")," ")</f>
        <v> </v>
      </c>
      <c r="AP2401" s="2" t="str">
        <f>IFERROR(__xludf.DUMMYFUNCTION("""COMPUTED_VALUE"""),"")</f>
        <v/>
      </c>
      <c r="AQ2401" s="2"/>
      <c r="AR2401" s="2"/>
      <c r="AS2401" s="2"/>
      <c r="AT2401" s="2"/>
      <c r="AU2401" s="2"/>
      <c r="AV2401" s="2"/>
      <c r="AW2401" s="2"/>
      <c r="AX2401" s="2"/>
      <c r="AY2401" s="2"/>
      <c r="AZ2401" s="2"/>
      <c r="BA2401" s="2"/>
      <c r="BB2401" s="2"/>
    </row>
    <row r="2402">
      <c r="A2402" s="2"/>
      <c r="B2402" s="2" t="str">
        <f>IFERROR(__xludf.DUMMYFUNCTION("""COMPUTED_VALUE"""),"")</f>
        <v/>
      </c>
      <c r="C2402" s="2"/>
      <c r="D2402" s="71"/>
      <c r="E2402" s="71" t="str">
        <f>IFERROR(__xludf.DUMMYFUNCTION("""COMPUTED_VALUE""")," ")</f>
        <v> </v>
      </c>
      <c r="F2402" s="2"/>
      <c r="G2402" s="2"/>
      <c r="H2402" s="2"/>
      <c r="I2402" s="72"/>
      <c r="J2402" s="72"/>
      <c r="K2402" s="72"/>
      <c r="L2402" s="72"/>
      <c r="M2402" s="2"/>
      <c r="N2402" s="2"/>
      <c r="O2402" s="2"/>
      <c r="P2402" s="2"/>
      <c r="Q2402" s="2"/>
      <c r="R2402" s="2"/>
      <c r="S2402" s="2"/>
      <c r="T2402" s="2"/>
      <c r="U2402" s="2"/>
      <c r="V2402" s="2"/>
      <c r="W2402" s="2"/>
      <c r="X2402" s="2"/>
      <c r="Y2402" s="2"/>
      <c r="Z2402" s="2"/>
      <c r="AA2402" s="2"/>
      <c r="AB2402" s="2"/>
      <c r="AC2402" s="2"/>
      <c r="AD2402" s="2"/>
      <c r="AE2402" s="2"/>
      <c r="AF2402" s="2"/>
      <c r="AG2402" s="2"/>
      <c r="AH2402" s="2"/>
      <c r="AI2402" s="2"/>
      <c r="AJ2402" s="2" t="str">
        <f>IFERROR(__xludf.DUMMYFUNCTION("""COMPUTED_VALUE"""),"")</f>
        <v/>
      </c>
      <c r="AK2402" s="2" t="str">
        <f>IFERROR(__xludf.DUMMYFUNCTION("""COMPUTED_VALUE"""),"")</f>
        <v/>
      </c>
      <c r="AL2402" s="2" t="str">
        <f>IFERROR(__xludf.DUMMYFUNCTION("""COMPUTED_VALUE"""),"")</f>
        <v/>
      </c>
      <c r="AM2402" s="2" t="str">
        <f>IFERROR(__xludf.DUMMYFUNCTION("""COMPUTED_VALUE"""),"")</f>
        <v/>
      </c>
      <c r="AN2402" s="2" t="str">
        <f>IFERROR(__xludf.DUMMYFUNCTION("""COMPUTED_VALUE""")," ")</f>
        <v> </v>
      </c>
      <c r="AO2402" s="2" t="str">
        <f>IFERROR(__xludf.DUMMYFUNCTION("""COMPUTED_VALUE""")," ")</f>
        <v> </v>
      </c>
      <c r="AP2402" s="2" t="str">
        <f>IFERROR(__xludf.DUMMYFUNCTION("""COMPUTED_VALUE"""),"")</f>
        <v/>
      </c>
      <c r="AQ2402" s="2"/>
      <c r="AR2402" s="2"/>
      <c r="AS2402" s="2"/>
      <c r="AT2402" s="2"/>
      <c r="AU2402" s="2"/>
      <c r="AV2402" s="2"/>
      <c r="AW2402" s="2"/>
      <c r="AX2402" s="2"/>
      <c r="AY2402" s="2"/>
      <c r="AZ2402" s="2"/>
      <c r="BA2402" s="2"/>
      <c r="BB2402" s="2"/>
    </row>
    <row r="2403">
      <c r="A2403" s="2"/>
      <c r="B2403" s="2" t="str">
        <f>IFERROR(__xludf.DUMMYFUNCTION("""COMPUTED_VALUE"""),"")</f>
        <v/>
      </c>
      <c r="C2403" s="2"/>
      <c r="D2403" s="71"/>
      <c r="E2403" s="71" t="str">
        <f>IFERROR(__xludf.DUMMYFUNCTION("""COMPUTED_VALUE""")," ")</f>
        <v> </v>
      </c>
      <c r="F2403" s="2"/>
      <c r="G2403" s="2"/>
      <c r="H2403" s="2"/>
      <c r="I2403" s="72"/>
      <c r="J2403" s="72"/>
      <c r="K2403" s="72"/>
      <c r="L2403" s="72"/>
      <c r="M2403" s="2"/>
      <c r="N2403" s="2"/>
      <c r="O2403" s="2"/>
      <c r="P2403" s="2"/>
      <c r="Q2403" s="2"/>
      <c r="R2403" s="2"/>
      <c r="S2403" s="2"/>
      <c r="T2403" s="2"/>
      <c r="U2403" s="2"/>
      <c r="V2403" s="2"/>
      <c r="W2403" s="2"/>
      <c r="X2403" s="2"/>
      <c r="Y2403" s="2"/>
      <c r="Z2403" s="2"/>
      <c r="AA2403" s="2"/>
      <c r="AB2403" s="2"/>
      <c r="AC2403" s="2"/>
      <c r="AD2403" s="2"/>
      <c r="AE2403" s="2"/>
      <c r="AF2403" s="2"/>
      <c r="AG2403" s="2"/>
      <c r="AH2403" s="2"/>
      <c r="AI2403" s="2"/>
      <c r="AJ2403" s="2" t="str">
        <f>IFERROR(__xludf.DUMMYFUNCTION("""COMPUTED_VALUE"""),"")</f>
        <v/>
      </c>
      <c r="AK2403" s="2" t="str">
        <f>IFERROR(__xludf.DUMMYFUNCTION("""COMPUTED_VALUE"""),"")</f>
        <v/>
      </c>
      <c r="AL2403" s="2" t="str">
        <f>IFERROR(__xludf.DUMMYFUNCTION("""COMPUTED_VALUE"""),"")</f>
        <v/>
      </c>
      <c r="AM2403" s="2" t="str">
        <f>IFERROR(__xludf.DUMMYFUNCTION("""COMPUTED_VALUE"""),"")</f>
        <v/>
      </c>
      <c r="AN2403" s="2" t="str">
        <f>IFERROR(__xludf.DUMMYFUNCTION("""COMPUTED_VALUE""")," ")</f>
        <v> </v>
      </c>
      <c r="AO2403" s="2" t="str">
        <f>IFERROR(__xludf.DUMMYFUNCTION("""COMPUTED_VALUE""")," ")</f>
        <v> </v>
      </c>
      <c r="AP2403" s="2" t="str">
        <f>IFERROR(__xludf.DUMMYFUNCTION("""COMPUTED_VALUE"""),"")</f>
        <v/>
      </c>
      <c r="AQ2403" s="2"/>
      <c r="AR2403" s="2"/>
      <c r="AS2403" s="2"/>
      <c r="AT2403" s="2"/>
      <c r="AU2403" s="2"/>
      <c r="AV2403" s="2"/>
      <c r="AW2403" s="2"/>
      <c r="AX2403" s="2"/>
      <c r="AY2403" s="2"/>
      <c r="AZ2403" s="2"/>
      <c r="BA2403" s="2"/>
      <c r="BB2403" s="2"/>
    </row>
    <row r="2404">
      <c r="A2404" s="2"/>
      <c r="B2404" s="2" t="str">
        <f>IFERROR(__xludf.DUMMYFUNCTION("""COMPUTED_VALUE"""),"")</f>
        <v/>
      </c>
      <c r="C2404" s="2"/>
      <c r="D2404" s="71"/>
      <c r="E2404" s="71" t="str">
        <f>IFERROR(__xludf.DUMMYFUNCTION("""COMPUTED_VALUE""")," ")</f>
        <v> </v>
      </c>
      <c r="F2404" s="2"/>
      <c r="G2404" s="2"/>
      <c r="H2404" s="2"/>
      <c r="I2404" s="72"/>
      <c r="J2404" s="72"/>
      <c r="K2404" s="72"/>
      <c r="L2404" s="72"/>
      <c r="M2404" s="2"/>
      <c r="N2404" s="2"/>
      <c r="O2404" s="2"/>
      <c r="P2404" s="2"/>
      <c r="Q2404" s="2"/>
      <c r="R2404" s="2"/>
      <c r="S2404" s="2"/>
      <c r="T2404" s="2"/>
      <c r="U2404" s="2"/>
      <c r="V2404" s="2"/>
      <c r="W2404" s="2"/>
      <c r="X2404" s="2"/>
      <c r="Y2404" s="2"/>
      <c r="Z2404" s="2"/>
      <c r="AA2404" s="2"/>
      <c r="AB2404" s="2"/>
      <c r="AC2404" s="2"/>
      <c r="AD2404" s="2"/>
      <c r="AE2404" s="2"/>
      <c r="AF2404" s="2"/>
      <c r="AG2404" s="2"/>
      <c r="AH2404" s="2"/>
      <c r="AI2404" s="2"/>
      <c r="AJ2404" s="2" t="str">
        <f>IFERROR(__xludf.DUMMYFUNCTION("""COMPUTED_VALUE"""),"")</f>
        <v/>
      </c>
      <c r="AK2404" s="2" t="str">
        <f>IFERROR(__xludf.DUMMYFUNCTION("""COMPUTED_VALUE"""),"")</f>
        <v/>
      </c>
      <c r="AL2404" s="2" t="str">
        <f>IFERROR(__xludf.DUMMYFUNCTION("""COMPUTED_VALUE"""),"")</f>
        <v/>
      </c>
      <c r="AM2404" s="2" t="str">
        <f>IFERROR(__xludf.DUMMYFUNCTION("""COMPUTED_VALUE"""),"")</f>
        <v/>
      </c>
      <c r="AN2404" s="2" t="str">
        <f>IFERROR(__xludf.DUMMYFUNCTION("""COMPUTED_VALUE""")," ")</f>
        <v> </v>
      </c>
      <c r="AO2404" s="2" t="str">
        <f>IFERROR(__xludf.DUMMYFUNCTION("""COMPUTED_VALUE""")," ")</f>
        <v> </v>
      </c>
      <c r="AP2404" s="2" t="str">
        <f>IFERROR(__xludf.DUMMYFUNCTION("""COMPUTED_VALUE"""),"")</f>
        <v/>
      </c>
      <c r="AQ2404" s="2"/>
      <c r="AR2404" s="2"/>
      <c r="AS2404" s="2"/>
      <c r="AT2404" s="2"/>
      <c r="AU2404" s="2"/>
      <c r="AV2404" s="2"/>
      <c r="AW2404" s="2"/>
      <c r="AX2404" s="2"/>
      <c r="AY2404" s="2"/>
      <c r="AZ2404" s="2"/>
      <c r="BA2404" s="2"/>
      <c r="BB2404" s="2"/>
    </row>
    <row r="2405">
      <c r="A2405" s="2"/>
      <c r="B2405" s="2" t="str">
        <f>IFERROR(__xludf.DUMMYFUNCTION("""COMPUTED_VALUE"""),"")</f>
        <v/>
      </c>
      <c r="C2405" s="2"/>
      <c r="D2405" s="71"/>
      <c r="E2405" s="71" t="str">
        <f>IFERROR(__xludf.DUMMYFUNCTION("""COMPUTED_VALUE""")," ")</f>
        <v> </v>
      </c>
      <c r="F2405" s="2"/>
      <c r="G2405" s="2"/>
      <c r="H2405" s="2"/>
      <c r="I2405" s="72"/>
      <c r="J2405" s="72"/>
      <c r="K2405" s="72"/>
      <c r="L2405" s="72"/>
      <c r="M2405" s="2"/>
      <c r="N2405" s="2"/>
      <c r="O2405" s="2"/>
      <c r="P2405" s="2"/>
      <c r="Q2405" s="2"/>
      <c r="R2405" s="2"/>
      <c r="S2405" s="2"/>
      <c r="T2405" s="2"/>
      <c r="U2405" s="2"/>
      <c r="V2405" s="2"/>
      <c r="W2405" s="2"/>
      <c r="X2405" s="2"/>
      <c r="Y2405" s="2"/>
      <c r="Z2405" s="2"/>
      <c r="AA2405" s="2"/>
      <c r="AB2405" s="2"/>
      <c r="AC2405" s="2"/>
      <c r="AD2405" s="2"/>
      <c r="AE2405" s="2"/>
      <c r="AF2405" s="2"/>
      <c r="AG2405" s="2"/>
      <c r="AH2405" s="2"/>
      <c r="AI2405" s="2"/>
      <c r="AJ2405" s="2" t="str">
        <f>IFERROR(__xludf.DUMMYFUNCTION("""COMPUTED_VALUE"""),"")</f>
        <v/>
      </c>
      <c r="AK2405" s="2" t="str">
        <f>IFERROR(__xludf.DUMMYFUNCTION("""COMPUTED_VALUE"""),"")</f>
        <v/>
      </c>
      <c r="AL2405" s="2" t="str">
        <f>IFERROR(__xludf.DUMMYFUNCTION("""COMPUTED_VALUE"""),"")</f>
        <v/>
      </c>
      <c r="AM2405" s="2" t="str">
        <f>IFERROR(__xludf.DUMMYFUNCTION("""COMPUTED_VALUE"""),"")</f>
        <v/>
      </c>
      <c r="AN2405" s="2" t="str">
        <f>IFERROR(__xludf.DUMMYFUNCTION("""COMPUTED_VALUE""")," ")</f>
        <v> </v>
      </c>
      <c r="AO2405" s="2" t="str">
        <f>IFERROR(__xludf.DUMMYFUNCTION("""COMPUTED_VALUE""")," ")</f>
        <v> </v>
      </c>
      <c r="AP2405" s="2" t="str">
        <f>IFERROR(__xludf.DUMMYFUNCTION("""COMPUTED_VALUE"""),"")</f>
        <v/>
      </c>
      <c r="AQ2405" s="2"/>
      <c r="AR2405" s="2"/>
      <c r="AS2405" s="2"/>
      <c r="AT2405" s="2"/>
      <c r="AU2405" s="2"/>
      <c r="AV2405" s="2"/>
      <c r="AW2405" s="2"/>
      <c r="AX2405" s="2"/>
      <c r="AY2405" s="2"/>
      <c r="AZ2405" s="2"/>
      <c r="BA2405" s="2"/>
      <c r="BB2405" s="2"/>
    </row>
    <row r="2406">
      <c r="A2406" s="2"/>
      <c r="B2406" s="2" t="str">
        <f>IFERROR(__xludf.DUMMYFUNCTION("""COMPUTED_VALUE"""),"")</f>
        <v/>
      </c>
      <c r="C2406" s="2"/>
      <c r="D2406" s="71"/>
      <c r="E2406" s="71" t="str">
        <f>IFERROR(__xludf.DUMMYFUNCTION("""COMPUTED_VALUE""")," ")</f>
        <v> </v>
      </c>
      <c r="F2406" s="2"/>
      <c r="G2406" s="2"/>
      <c r="H2406" s="2"/>
      <c r="I2406" s="72"/>
      <c r="J2406" s="72"/>
      <c r="K2406" s="72"/>
      <c r="L2406" s="72"/>
      <c r="M2406" s="2"/>
      <c r="N2406" s="2"/>
      <c r="O2406" s="2"/>
      <c r="P2406" s="2"/>
      <c r="Q2406" s="2"/>
      <c r="R2406" s="2"/>
      <c r="S2406" s="2"/>
      <c r="T2406" s="2"/>
      <c r="U2406" s="2"/>
      <c r="V2406" s="2"/>
      <c r="W2406" s="2"/>
      <c r="X2406" s="2"/>
      <c r="Y2406" s="2"/>
      <c r="Z2406" s="2"/>
      <c r="AA2406" s="2"/>
      <c r="AB2406" s="2"/>
      <c r="AC2406" s="2"/>
      <c r="AD2406" s="2"/>
      <c r="AE2406" s="2"/>
      <c r="AF2406" s="2"/>
      <c r="AG2406" s="2"/>
      <c r="AH2406" s="2"/>
      <c r="AI2406" s="2"/>
      <c r="AJ2406" s="2" t="str">
        <f>IFERROR(__xludf.DUMMYFUNCTION("""COMPUTED_VALUE"""),"")</f>
        <v/>
      </c>
      <c r="AK2406" s="2" t="str">
        <f>IFERROR(__xludf.DUMMYFUNCTION("""COMPUTED_VALUE"""),"")</f>
        <v/>
      </c>
      <c r="AL2406" s="2" t="str">
        <f>IFERROR(__xludf.DUMMYFUNCTION("""COMPUTED_VALUE"""),"")</f>
        <v/>
      </c>
      <c r="AM2406" s="2" t="str">
        <f>IFERROR(__xludf.DUMMYFUNCTION("""COMPUTED_VALUE"""),"")</f>
        <v/>
      </c>
      <c r="AN2406" s="2" t="str">
        <f>IFERROR(__xludf.DUMMYFUNCTION("""COMPUTED_VALUE""")," ")</f>
        <v> </v>
      </c>
      <c r="AO2406" s="2" t="str">
        <f>IFERROR(__xludf.DUMMYFUNCTION("""COMPUTED_VALUE""")," ")</f>
        <v> </v>
      </c>
      <c r="AP2406" s="2" t="str">
        <f>IFERROR(__xludf.DUMMYFUNCTION("""COMPUTED_VALUE"""),"")</f>
        <v/>
      </c>
      <c r="AQ2406" s="2"/>
      <c r="AR2406" s="2"/>
      <c r="AS2406" s="2"/>
      <c r="AT2406" s="2"/>
      <c r="AU2406" s="2"/>
      <c r="AV2406" s="2"/>
      <c r="AW2406" s="2"/>
      <c r="AX2406" s="2"/>
      <c r="AY2406" s="2"/>
      <c r="AZ2406" s="2"/>
      <c r="BA2406" s="2"/>
      <c r="BB2406" s="2"/>
    </row>
    <row r="2407">
      <c r="A2407" s="2"/>
      <c r="B2407" s="2" t="str">
        <f>IFERROR(__xludf.DUMMYFUNCTION("""COMPUTED_VALUE"""),"")</f>
        <v/>
      </c>
      <c r="C2407" s="2"/>
      <c r="D2407" s="71"/>
      <c r="E2407" s="71" t="str">
        <f>IFERROR(__xludf.DUMMYFUNCTION("""COMPUTED_VALUE""")," ")</f>
        <v> </v>
      </c>
      <c r="F2407" s="2"/>
      <c r="G2407" s="2"/>
      <c r="H2407" s="2"/>
      <c r="I2407" s="72"/>
      <c r="J2407" s="72"/>
      <c r="K2407" s="72"/>
      <c r="L2407" s="72"/>
      <c r="M2407" s="2"/>
      <c r="N2407" s="2"/>
      <c r="O2407" s="2"/>
      <c r="P2407" s="2"/>
      <c r="Q2407" s="2"/>
      <c r="R2407" s="2"/>
      <c r="S2407" s="2"/>
      <c r="T2407" s="2"/>
      <c r="U2407" s="2"/>
      <c r="V2407" s="2"/>
      <c r="W2407" s="2"/>
      <c r="X2407" s="2"/>
      <c r="Y2407" s="2"/>
      <c r="Z2407" s="2"/>
      <c r="AA2407" s="2"/>
      <c r="AB2407" s="2"/>
      <c r="AC2407" s="2"/>
      <c r="AD2407" s="2"/>
      <c r="AE2407" s="2"/>
      <c r="AF2407" s="2"/>
      <c r="AG2407" s="2"/>
      <c r="AH2407" s="2"/>
      <c r="AI2407" s="2"/>
      <c r="AJ2407" s="2" t="str">
        <f>IFERROR(__xludf.DUMMYFUNCTION("""COMPUTED_VALUE"""),"")</f>
        <v/>
      </c>
      <c r="AK2407" s="2" t="str">
        <f>IFERROR(__xludf.DUMMYFUNCTION("""COMPUTED_VALUE"""),"")</f>
        <v/>
      </c>
      <c r="AL2407" s="2" t="str">
        <f>IFERROR(__xludf.DUMMYFUNCTION("""COMPUTED_VALUE"""),"")</f>
        <v/>
      </c>
      <c r="AM2407" s="2" t="str">
        <f>IFERROR(__xludf.DUMMYFUNCTION("""COMPUTED_VALUE"""),"")</f>
        <v/>
      </c>
      <c r="AN2407" s="2" t="str">
        <f>IFERROR(__xludf.DUMMYFUNCTION("""COMPUTED_VALUE""")," ")</f>
        <v> </v>
      </c>
      <c r="AO2407" s="2" t="str">
        <f>IFERROR(__xludf.DUMMYFUNCTION("""COMPUTED_VALUE""")," ")</f>
        <v> </v>
      </c>
      <c r="AP2407" s="2" t="str">
        <f>IFERROR(__xludf.DUMMYFUNCTION("""COMPUTED_VALUE"""),"")</f>
        <v/>
      </c>
      <c r="AQ2407" s="2"/>
      <c r="AR2407" s="2"/>
      <c r="AS2407" s="2"/>
      <c r="AT2407" s="2"/>
      <c r="AU2407" s="2"/>
      <c r="AV2407" s="2"/>
      <c r="AW2407" s="2"/>
      <c r="AX2407" s="2"/>
      <c r="AY2407" s="2"/>
      <c r="AZ2407" s="2"/>
      <c r="BA2407" s="2"/>
      <c r="BB2407" s="2"/>
    </row>
    <row r="2408">
      <c r="A2408" s="2"/>
      <c r="B2408" s="2" t="str">
        <f>IFERROR(__xludf.DUMMYFUNCTION("""COMPUTED_VALUE"""),"")</f>
        <v/>
      </c>
      <c r="C2408" s="2"/>
      <c r="D2408" s="71"/>
      <c r="E2408" s="71" t="str">
        <f>IFERROR(__xludf.DUMMYFUNCTION("""COMPUTED_VALUE""")," ")</f>
        <v> </v>
      </c>
      <c r="F2408" s="2"/>
      <c r="G2408" s="2"/>
      <c r="H2408" s="2"/>
      <c r="I2408" s="72"/>
      <c r="J2408" s="72"/>
      <c r="K2408" s="72"/>
      <c r="L2408" s="72"/>
      <c r="M2408" s="2"/>
      <c r="N2408" s="2"/>
      <c r="O2408" s="2"/>
      <c r="P2408" s="2"/>
      <c r="Q2408" s="2"/>
      <c r="R2408" s="2"/>
      <c r="S2408" s="2"/>
      <c r="T2408" s="2"/>
      <c r="U2408" s="2"/>
      <c r="V2408" s="2"/>
      <c r="W2408" s="2"/>
      <c r="X2408" s="2"/>
      <c r="Y2408" s="2"/>
      <c r="Z2408" s="2"/>
      <c r="AA2408" s="2"/>
      <c r="AB2408" s="2"/>
      <c r="AC2408" s="2"/>
      <c r="AD2408" s="2"/>
      <c r="AE2408" s="2"/>
      <c r="AF2408" s="2"/>
      <c r="AG2408" s="2"/>
      <c r="AH2408" s="2"/>
      <c r="AI2408" s="2"/>
      <c r="AJ2408" s="2" t="str">
        <f>IFERROR(__xludf.DUMMYFUNCTION("""COMPUTED_VALUE"""),"")</f>
        <v/>
      </c>
      <c r="AK2408" s="2" t="str">
        <f>IFERROR(__xludf.DUMMYFUNCTION("""COMPUTED_VALUE"""),"")</f>
        <v/>
      </c>
      <c r="AL2408" s="2" t="str">
        <f>IFERROR(__xludf.DUMMYFUNCTION("""COMPUTED_VALUE"""),"")</f>
        <v/>
      </c>
      <c r="AM2408" s="2" t="str">
        <f>IFERROR(__xludf.DUMMYFUNCTION("""COMPUTED_VALUE"""),"")</f>
        <v/>
      </c>
      <c r="AN2408" s="2" t="str">
        <f>IFERROR(__xludf.DUMMYFUNCTION("""COMPUTED_VALUE""")," ")</f>
        <v> </v>
      </c>
      <c r="AO2408" s="2" t="str">
        <f>IFERROR(__xludf.DUMMYFUNCTION("""COMPUTED_VALUE""")," ")</f>
        <v> </v>
      </c>
      <c r="AP2408" s="2" t="str">
        <f>IFERROR(__xludf.DUMMYFUNCTION("""COMPUTED_VALUE"""),"")</f>
        <v/>
      </c>
      <c r="AQ2408" s="2"/>
      <c r="AR2408" s="2"/>
      <c r="AS2408" s="2"/>
      <c r="AT2408" s="2"/>
      <c r="AU2408" s="2"/>
      <c r="AV2408" s="2"/>
      <c r="AW2408" s="2"/>
      <c r="AX2408" s="2"/>
      <c r="AY2408" s="2"/>
      <c r="AZ2408" s="2"/>
      <c r="BA2408" s="2"/>
      <c r="BB2408" s="2"/>
    </row>
    <row r="2409">
      <c r="A2409" s="2"/>
      <c r="B2409" s="2" t="str">
        <f>IFERROR(__xludf.DUMMYFUNCTION("""COMPUTED_VALUE"""),"")</f>
        <v/>
      </c>
      <c r="C2409" s="2"/>
      <c r="D2409" s="71"/>
      <c r="E2409" s="71" t="str">
        <f>IFERROR(__xludf.DUMMYFUNCTION("""COMPUTED_VALUE""")," ")</f>
        <v> </v>
      </c>
      <c r="F2409" s="2"/>
      <c r="G2409" s="2"/>
      <c r="H2409" s="2"/>
      <c r="I2409" s="72"/>
      <c r="J2409" s="72"/>
      <c r="K2409" s="72"/>
      <c r="L2409" s="72"/>
      <c r="M2409" s="2"/>
      <c r="N2409" s="2"/>
      <c r="O2409" s="2"/>
      <c r="P2409" s="2"/>
      <c r="Q2409" s="2"/>
      <c r="R2409" s="2"/>
      <c r="S2409" s="2"/>
      <c r="T2409" s="2"/>
      <c r="U2409" s="2"/>
      <c r="V2409" s="2"/>
      <c r="W2409" s="2"/>
      <c r="X2409" s="2"/>
      <c r="Y2409" s="2"/>
      <c r="Z2409" s="2"/>
      <c r="AA2409" s="2"/>
      <c r="AB2409" s="2"/>
      <c r="AC2409" s="2"/>
      <c r="AD2409" s="2"/>
      <c r="AE2409" s="2"/>
      <c r="AF2409" s="2"/>
      <c r="AG2409" s="2"/>
      <c r="AH2409" s="2"/>
      <c r="AI2409" s="2"/>
      <c r="AJ2409" s="2" t="str">
        <f>IFERROR(__xludf.DUMMYFUNCTION("""COMPUTED_VALUE"""),"")</f>
        <v/>
      </c>
      <c r="AK2409" s="2" t="str">
        <f>IFERROR(__xludf.DUMMYFUNCTION("""COMPUTED_VALUE"""),"")</f>
        <v/>
      </c>
      <c r="AL2409" s="2" t="str">
        <f>IFERROR(__xludf.DUMMYFUNCTION("""COMPUTED_VALUE"""),"")</f>
        <v/>
      </c>
      <c r="AM2409" s="2" t="str">
        <f>IFERROR(__xludf.DUMMYFUNCTION("""COMPUTED_VALUE"""),"")</f>
        <v/>
      </c>
      <c r="AN2409" s="2" t="str">
        <f>IFERROR(__xludf.DUMMYFUNCTION("""COMPUTED_VALUE""")," ")</f>
        <v> </v>
      </c>
      <c r="AO2409" s="2" t="str">
        <f>IFERROR(__xludf.DUMMYFUNCTION("""COMPUTED_VALUE""")," ")</f>
        <v> </v>
      </c>
      <c r="AP2409" s="2" t="str">
        <f>IFERROR(__xludf.DUMMYFUNCTION("""COMPUTED_VALUE"""),"")</f>
        <v/>
      </c>
      <c r="AQ2409" s="2"/>
      <c r="AR2409" s="2"/>
      <c r="AS2409" s="2"/>
      <c r="AT2409" s="2"/>
      <c r="AU2409" s="2"/>
      <c r="AV2409" s="2"/>
      <c r="AW2409" s="2"/>
      <c r="AX2409" s="2"/>
      <c r="AY2409" s="2"/>
      <c r="AZ2409" s="2"/>
      <c r="BA2409" s="2"/>
      <c r="BB2409" s="2"/>
    </row>
    <row r="2410">
      <c r="A2410" s="2"/>
      <c r="B2410" s="2" t="str">
        <f>IFERROR(__xludf.DUMMYFUNCTION("""COMPUTED_VALUE"""),"")</f>
        <v/>
      </c>
      <c r="C2410" s="2"/>
      <c r="D2410" s="71"/>
      <c r="E2410" s="71" t="str">
        <f>IFERROR(__xludf.DUMMYFUNCTION("""COMPUTED_VALUE""")," ")</f>
        <v> </v>
      </c>
      <c r="F2410" s="2"/>
      <c r="G2410" s="2"/>
      <c r="H2410" s="2"/>
      <c r="I2410" s="72"/>
      <c r="J2410" s="72"/>
      <c r="K2410" s="72"/>
      <c r="L2410" s="72"/>
      <c r="M2410" s="2"/>
      <c r="N2410" s="2"/>
      <c r="O2410" s="2"/>
      <c r="P2410" s="2"/>
      <c r="Q2410" s="2"/>
      <c r="R2410" s="2"/>
      <c r="S2410" s="2"/>
      <c r="T2410" s="2"/>
      <c r="U2410" s="2"/>
      <c r="V2410" s="2"/>
      <c r="W2410" s="2"/>
      <c r="X2410" s="2"/>
      <c r="Y2410" s="2"/>
      <c r="Z2410" s="2"/>
      <c r="AA2410" s="2"/>
      <c r="AB2410" s="2"/>
      <c r="AC2410" s="2"/>
      <c r="AD2410" s="2"/>
      <c r="AE2410" s="2"/>
      <c r="AF2410" s="2"/>
      <c r="AG2410" s="2"/>
      <c r="AH2410" s="2"/>
      <c r="AI2410" s="2"/>
      <c r="AJ2410" s="2" t="str">
        <f>IFERROR(__xludf.DUMMYFUNCTION("""COMPUTED_VALUE"""),"")</f>
        <v/>
      </c>
      <c r="AK2410" s="2" t="str">
        <f>IFERROR(__xludf.DUMMYFUNCTION("""COMPUTED_VALUE"""),"")</f>
        <v/>
      </c>
      <c r="AL2410" s="2" t="str">
        <f>IFERROR(__xludf.DUMMYFUNCTION("""COMPUTED_VALUE"""),"")</f>
        <v/>
      </c>
      <c r="AM2410" s="2" t="str">
        <f>IFERROR(__xludf.DUMMYFUNCTION("""COMPUTED_VALUE"""),"")</f>
        <v/>
      </c>
      <c r="AN2410" s="2" t="str">
        <f>IFERROR(__xludf.DUMMYFUNCTION("""COMPUTED_VALUE""")," ")</f>
        <v> </v>
      </c>
      <c r="AO2410" s="2" t="str">
        <f>IFERROR(__xludf.DUMMYFUNCTION("""COMPUTED_VALUE""")," ")</f>
        <v> </v>
      </c>
      <c r="AP2410" s="2" t="str">
        <f>IFERROR(__xludf.DUMMYFUNCTION("""COMPUTED_VALUE"""),"")</f>
        <v/>
      </c>
      <c r="AQ2410" s="2"/>
      <c r="AR2410" s="2"/>
      <c r="AS2410" s="2"/>
      <c r="AT2410" s="2"/>
      <c r="AU2410" s="2"/>
      <c r="AV2410" s="2"/>
      <c r="AW2410" s="2"/>
      <c r="AX2410" s="2"/>
      <c r="AY2410" s="2"/>
      <c r="AZ2410" s="2"/>
      <c r="BA2410" s="2"/>
      <c r="BB2410" s="2"/>
    </row>
    <row r="2411">
      <c r="A2411" s="2"/>
      <c r="B2411" s="2" t="str">
        <f>IFERROR(__xludf.DUMMYFUNCTION("""COMPUTED_VALUE"""),"")</f>
        <v/>
      </c>
      <c r="C2411" s="2"/>
      <c r="D2411" s="71"/>
      <c r="E2411" s="71" t="str">
        <f>IFERROR(__xludf.DUMMYFUNCTION("""COMPUTED_VALUE""")," ")</f>
        <v> </v>
      </c>
      <c r="F2411" s="2"/>
      <c r="G2411" s="2"/>
      <c r="H2411" s="2"/>
      <c r="I2411" s="72"/>
      <c r="J2411" s="72"/>
      <c r="K2411" s="72"/>
      <c r="L2411" s="72"/>
      <c r="M2411" s="2"/>
      <c r="N2411" s="2"/>
      <c r="O2411" s="2"/>
      <c r="P2411" s="2"/>
      <c r="Q2411" s="2"/>
      <c r="R2411" s="2"/>
      <c r="S2411" s="2"/>
      <c r="T2411" s="2"/>
      <c r="U2411" s="2"/>
      <c r="V2411" s="2"/>
      <c r="W2411" s="2"/>
      <c r="X2411" s="2"/>
      <c r="Y2411" s="2"/>
      <c r="Z2411" s="2"/>
      <c r="AA2411" s="2"/>
      <c r="AB2411" s="2"/>
      <c r="AC2411" s="2"/>
      <c r="AD2411" s="2"/>
      <c r="AE2411" s="2"/>
      <c r="AF2411" s="2"/>
      <c r="AG2411" s="2"/>
      <c r="AH2411" s="2"/>
      <c r="AI2411" s="2"/>
      <c r="AJ2411" s="2" t="str">
        <f>IFERROR(__xludf.DUMMYFUNCTION("""COMPUTED_VALUE"""),"")</f>
        <v/>
      </c>
      <c r="AK2411" s="2" t="str">
        <f>IFERROR(__xludf.DUMMYFUNCTION("""COMPUTED_VALUE"""),"")</f>
        <v/>
      </c>
      <c r="AL2411" s="2" t="str">
        <f>IFERROR(__xludf.DUMMYFUNCTION("""COMPUTED_VALUE"""),"")</f>
        <v/>
      </c>
      <c r="AM2411" s="2" t="str">
        <f>IFERROR(__xludf.DUMMYFUNCTION("""COMPUTED_VALUE"""),"")</f>
        <v/>
      </c>
      <c r="AN2411" s="2" t="str">
        <f>IFERROR(__xludf.DUMMYFUNCTION("""COMPUTED_VALUE""")," ")</f>
        <v> </v>
      </c>
      <c r="AO2411" s="2" t="str">
        <f>IFERROR(__xludf.DUMMYFUNCTION("""COMPUTED_VALUE""")," ")</f>
        <v> </v>
      </c>
      <c r="AP2411" s="2" t="str">
        <f>IFERROR(__xludf.DUMMYFUNCTION("""COMPUTED_VALUE"""),"")</f>
        <v/>
      </c>
      <c r="AQ2411" s="2"/>
      <c r="AR2411" s="2"/>
      <c r="AS2411" s="2"/>
      <c r="AT2411" s="2"/>
      <c r="AU2411" s="2"/>
      <c r="AV2411" s="2"/>
      <c r="AW2411" s="2"/>
      <c r="AX2411" s="2"/>
      <c r="AY2411" s="2"/>
      <c r="AZ2411" s="2"/>
      <c r="BA2411" s="2"/>
      <c r="BB2411" s="2"/>
    </row>
    <row r="2412">
      <c r="A2412" s="2"/>
      <c r="B2412" s="2" t="str">
        <f>IFERROR(__xludf.DUMMYFUNCTION("""COMPUTED_VALUE"""),"")</f>
        <v/>
      </c>
      <c r="C2412" s="2"/>
      <c r="D2412" s="71"/>
      <c r="E2412" s="71" t="str">
        <f>IFERROR(__xludf.DUMMYFUNCTION("""COMPUTED_VALUE""")," ")</f>
        <v> </v>
      </c>
      <c r="F2412" s="2"/>
      <c r="G2412" s="2"/>
      <c r="H2412" s="2"/>
      <c r="I2412" s="72"/>
      <c r="J2412" s="72"/>
      <c r="K2412" s="72"/>
      <c r="L2412" s="72"/>
      <c r="M2412" s="2"/>
      <c r="N2412" s="2"/>
      <c r="O2412" s="2"/>
      <c r="P2412" s="2"/>
      <c r="Q2412" s="2"/>
      <c r="R2412" s="2"/>
      <c r="S2412" s="2"/>
      <c r="T2412" s="2"/>
      <c r="U2412" s="2"/>
      <c r="V2412" s="2"/>
      <c r="W2412" s="2"/>
      <c r="X2412" s="2"/>
      <c r="Y2412" s="2"/>
      <c r="Z2412" s="2"/>
      <c r="AA2412" s="2"/>
      <c r="AB2412" s="2"/>
      <c r="AC2412" s="2"/>
      <c r="AD2412" s="2"/>
      <c r="AE2412" s="2"/>
      <c r="AF2412" s="2"/>
      <c r="AG2412" s="2"/>
      <c r="AH2412" s="2"/>
      <c r="AI2412" s="2"/>
      <c r="AJ2412" s="2" t="str">
        <f>IFERROR(__xludf.DUMMYFUNCTION("""COMPUTED_VALUE"""),"")</f>
        <v/>
      </c>
      <c r="AK2412" s="2" t="str">
        <f>IFERROR(__xludf.DUMMYFUNCTION("""COMPUTED_VALUE"""),"")</f>
        <v/>
      </c>
      <c r="AL2412" s="2" t="str">
        <f>IFERROR(__xludf.DUMMYFUNCTION("""COMPUTED_VALUE"""),"")</f>
        <v/>
      </c>
      <c r="AM2412" s="2" t="str">
        <f>IFERROR(__xludf.DUMMYFUNCTION("""COMPUTED_VALUE"""),"")</f>
        <v/>
      </c>
      <c r="AN2412" s="2" t="str">
        <f>IFERROR(__xludf.DUMMYFUNCTION("""COMPUTED_VALUE""")," ")</f>
        <v> </v>
      </c>
      <c r="AO2412" s="2" t="str">
        <f>IFERROR(__xludf.DUMMYFUNCTION("""COMPUTED_VALUE""")," ")</f>
        <v> </v>
      </c>
      <c r="AP2412" s="2" t="str">
        <f>IFERROR(__xludf.DUMMYFUNCTION("""COMPUTED_VALUE"""),"")</f>
        <v/>
      </c>
      <c r="AQ2412" s="2"/>
      <c r="AR2412" s="2"/>
      <c r="AS2412" s="2"/>
      <c r="AT2412" s="2"/>
      <c r="AU2412" s="2"/>
      <c r="AV2412" s="2"/>
      <c r="AW2412" s="2"/>
      <c r="AX2412" s="2"/>
      <c r="AY2412" s="2"/>
      <c r="AZ2412" s="2"/>
      <c r="BA2412" s="2"/>
      <c r="BB2412" s="2"/>
    </row>
    <row r="2413">
      <c r="A2413" s="2"/>
      <c r="B2413" s="2" t="str">
        <f>IFERROR(__xludf.DUMMYFUNCTION("""COMPUTED_VALUE"""),"")</f>
        <v/>
      </c>
      <c r="C2413" s="2"/>
      <c r="D2413" s="71"/>
      <c r="E2413" s="71" t="str">
        <f>IFERROR(__xludf.DUMMYFUNCTION("""COMPUTED_VALUE""")," ")</f>
        <v> </v>
      </c>
      <c r="F2413" s="2"/>
      <c r="G2413" s="2"/>
      <c r="H2413" s="2"/>
      <c r="I2413" s="72"/>
      <c r="J2413" s="72"/>
      <c r="K2413" s="72"/>
      <c r="L2413" s="72"/>
      <c r="M2413" s="2"/>
      <c r="N2413" s="2"/>
      <c r="O2413" s="2"/>
      <c r="P2413" s="2"/>
      <c r="Q2413" s="2"/>
      <c r="R2413" s="2"/>
      <c r="S2413" s="2"/>
      <c r="T2413" s="2"/>
      <c r="U2413" s="2"/>
      <c r="V2413" s="2"/>
      <c r="W2413" s="2"/>
      <c r="X2413" s="2"/>
      <c r="Y2413" s="2"/>
      <c r="Z2413" s="2"/>
      <c r="AA2413" s="2"/>
      <c r="AB2413" s="2"/>
      <c r="AC2413" s="2"/>
      <c r="AD2413" s="2"/>
      <c r="AE2413" s="2"/>
      <c r="AF2413" s="2"/>
      <c r="AG2413" s="2"/>
      <c r="AH2413" s="2"/>
      <c r="AI2413" s="2"/>
      <c r="AJ2413" s="2" t="str">
        <f>IFERROR(__xludf.DUMMYFUNCTION("""COMPUTED_VALUE"""),"")</f>
        <v/>
      </c>
      <c r="AK2413" s="2" t="str">
        <f>IFERROR(__xludf.DUMMYFUNCTION("""COMPUTED_VALUE"""),"")</f>
        <v/>
      </c>
      <c r="AL2413" s="2" t="str">
        <f>IFERROR(__xludf.DUMMYFUNCTION("""COMPUTED_VALUE"""),"")</f>
        <v/>
      </c>
      <c r="AM2413" s="2" t="str">
        <f>IFERROR(__xludf.DUMMYFUNCTION("""COMPUTED_VALUE"""),"")</f>
        <v/>
      </c>
      <c r="AN2413" s="2" t="str">
        <f>IFERROR(__xludf.DUMMYFUNCTION("""COMPUTED_VALUE""")," ")</f>
        <v> </v>
      </c>
      <c r="AO2413" s="2" t="str">
        <f>IFERROR(__xludf.DUMMYFUNCTION("""COMPUTED_VALUE""")," ")</f>
        <v> </v>
      </c>
      <c r="AP2413" s="2" t="str">
        <f>IFERROR(__xludf.DUMMYFUNCTION("""COMPUTED_VALUE"""),"")</f>
        <v/>
      </c>
      <c r="AQ2413" s="2"/>
      <c r="AR2413" s="2"/>
      <c r="AS2413" s="2"/>
      <c r="AT2413" s="2"/>
      <c r="AU2413" s="2"/>
      <c r="AV2413" s="2"/>
      <c r="AW2413" s="2"/>
      <c r="AX2413" s="2"/>
      <c r="AY2413" s="2"/>
      <c r="AZ2413" s="2"/>
      <c r="BA2413" s="2"/>
      <c r="BB2413" s="2"/>
    </row>
    <row r="2414">
      <c r="A2414" s="2"/>
      <c r="B2414" s="2" t="str">
        <f>IFERROR(__xludf.DUMMYFUNCTION("""COMPUTED_VALUE"""),"")</f>
        <v/>
      </c>
      <c r="C2414" s="2"/>
      <c r="D2414" s="71"/>
      <c r="E2414" s="71" t="str">
        <f>IFERROR(__xludf.DUMMYFUNCTION("""COMPUTED_VALUE""")," ")</f>
        <v> </v>
      </c>
      <c r="F2414" s="2"/>
      <c r="G2414" s="2"/>
      <c r="H2414" s="2"/>
      <c r="I2414" s="72"/>
      <c r="J2414" s="72"/>
      <c r="K2414" s="72"/>
      <c r="L2414" s="72"/>
      <c r="M2414" s="2"/>
      <c r="N2414" s="2"/>
      <c r="O2414" s="2"/>
      <c r="P2414" s="2"/>
      <c r="Q2414" s="2"/>
      <c r="R2414" s="2"/>
      <c r="S2414" s="2"/>
      <c r="T2414" s="2"/>
      <c r="U2414" s="2"/>
      <c r="V2414" s="2"/>
      <c r="W2414" s="2"/>
      <c r="X2414" s="2"/>
      <c r="Y2414" s="2"/>
      <c r="Z2414" s="2"/>
      <c r="AA2414" s="2"/>
      <c r="AB2414" s="2"/>
      <c r="AC2414" s="2"/>
      <c r="AD2414" s="2"/>
      <c r="AE2414" s="2"/>
      <c r="AF2414" s="2"/>
      <c r="AG2414" s="2"/>
      <c r="AH2414" s="2"/>
      <c r="AI2414" s="2"/>
      <c r="AJ2414" s="2" t="str">
        <f>IFERROR(__xludf.DUMMYFUNCTION("""COMPUTED_VALUE"""),"")</f>
        <v/>
      </c>
      <c r="AK2414" s="2" t="str">
        <f>IFERROR(__xludf.DUMMYFUNCTION("""COMPUTED_VALUE"""),"")</f>
        <v/>
      </c>
      <c r="AL2414" s="2" t="str">
        <f>IFERROR(__xludf.DUMMYFUNCTION("""COMPUTED_VALUE"""),"")</f>
        <v/>
      </c>
      <c r="AM2414" s="2" t="str">
        <f>IFERROR(__xludf.DUMMYFUNCTION("""COMPUTED_VALUE"""),"")</f>
        <v/>
      </c>
      <c r="AN2414" s="2" t="str">
        <f>IFERROR(__xludf.DUMMYFUNCTION("""COMPUTED_VALUE""")," ")</f>
        <v> </v>
      </c>
      <c r="AO2414" s="2" t="str">
        <f>IFERROR(__xludf.DUMMYFUNCTION("""COMPUTED_VALUE""")," ")</f>
        <v> </v>
      </c>
      <c r="AP2414" s="2" t="str">
        <f>IFERROR(__xludf.DUMMYFUNCTION("""COMPUTED_VALUE"""),"")</f>
        <v/>
      </c>
      <c r="AQ2414" s="2"/>
      <c r="AR2414" s="2"/>
      <c r="AS2414" s="2"/>
      <c r="AT2414" s="2"/>
      <c r="AU2414" s="2"/>
      <c r="AV2414" s="2"/>
      <c r="AW2414" s="2"/>
      <c r="AX2414" s="2"/>
      <c r="AY2414" s="2"/>
      <c r="AZ2414" s="2"/>
      <c r="BA2414" s="2"/>
      <c r="BB2414" s="2"/>
    </row>
    <row r="2415">
      <c r="A2415" s="2"/>
      <c r="B2415" s="2" t="str">
        <f>IFERROR(__xludf.DUMMYFUNCTION("""COMPUTED_VALUE"""),"")</f>
        <v/>
      </c>
      <c r="C2415" s="2"/>
      <c r="D2415" s="71"/>
      <c r="E2415" s="71" t="str">
        <f>IFERROR(__xludf.DUMMYFUNCTION("""COMPUTED_VALUE""")," ")</f>
        <v> </v>
      </c>
      <c r="F2415" s="2"/>
      <c r="G2415" s="2"/>
      <c r="H2415" s="2"/>
      <c r="I2415" s="72"/>
      <c r="J2415" s="72"/>
      <c r="K2415" s="72"/>
      <c r="L2415" s="72"/>
      <c r="M2415" s="2"/>
      <c r="N2415" s="2"/>
      <c r="O2415" s="2"/>
      <c r="P2415" s="2"/>
      <c r="Q2415" s="2"/>
      <c r="R2415" s="2"/>
      <c r="S2415" s="2"/>
      <c r="T2415" s="2"/>
      <c r="U2415" s="2"/>
      <c r="V2415" s="2"/>
      <c r="W2415" s="2"/>
      <c r="X2415" s="2"/>
      <c r="Y2415" s="2"/>
      <c r="Z2415" s="2"/>
      <c r="AA2415" s="2"/>
      <c r="AB2415" s="2"/>
      <c r="AC2415" s="2"/>
      <c r="AD2415" s="2"/>
      <c r="AE2415" s="2"/>
      <c r="AF2415" s="2"/>
      <c r="AG2415" s="2"/>
      <c r="AH2415" s="2"/>
      <c r="AI2415" s="2"/>
      <c r="AJ2415" s="2" t="str">
        <f>IFERROR(__xludf.DUMMYFUNCTION("""COMPUTED_VALUE"""),"")</f>
        <v/>
      </c>
      <c r="AK2415" s="2" t="str">
        <f>IFERROR(__xludf.DUMMYFUNCTION("""COMPUTED_VALUE"""),"")</f>
        <v/>
      </c>
      <c r="AL2415" s="2" t="str">
        <f>IFERROR(__xludf.DUMMYFUNCTION("""COMPUTED_VALUE"""),"")</f>
        <v/>
      </c>
      <c r="AM2415" s="2" t="str">
        <f>IFERROR(__xludf.DUMMYFUNCTION("""COMPUTED_VALUE"""),"")</f>
        <v/>
      </c>
      <c r="AN2415" s="2" t="str">
        <f>IFERROR(__xludf.DUMMYFUNCTION("""COMPUTED_VALUE""")," ")</f>
        <v> </v>
      </c>
      <c r="AO2415" s="2" t="str">
        <f>IFERROR(__xludf.DUMMYFUNCTION("""COMPUTED_VALUE""")," ")</f>
        <v> </v>
      </c>
      <c r="AP2415" s="2" t="str">
        <f>IFERROR(__xludf.DUMMYFUNCTION("""COMPUTED_VALUE"""),"")</f>
        <v/>
      </c>
      <c r="AQ2415" s="2"/>
      <c r="AR2415" s="2"/>
      <c r="AS2415" s="2"/>
      <c r="AT2415" s="2"/>
      <c r="AU2415" s="2"/>
      <c r="AV2415" s="2"/>
      <c r="AW2415" s="2"/>
      <c r="AX2415" s="2"/>
      <c r="AY2415" s="2"/>
      <c r="AZ2415" s="2"/>
      <c r="BA2415" s="2"/>
      <c r="BB2415" s="2"/>
    </row>
    <row r="2416">
      <c r="A2416" s="2"/>
      <c r="B2416" s="2" t="str">
        <f>IFERROR(__xludf.DUMMYFUNCTION("""COMPUTED_VALUE"""),"")</f>
        <v/>
      </c>
      <c r="C2416" s="2"/>
      <c r="D2416" s="71"/>
      <c r="E2416" s="71" t="str">
        <f>IFERROR(__xludf.DUMMYFUNCTION("""COMPUTED_VALUE""")," ")</f>
        <v> </v>
      </c>
      <c r="F2416" s="2"/>
      <c r="G2416" s="2"/>
      <c r="H2416" s="2"/>
      <c r="I2416" s="72"/>
      <c r="J2416" s="72"/>
      <c r="K2416" s="72"/>
      <c r="L2416" s="72"/>
      <c r="M2416" s="2"/>
      <c r="N2416" s="2"/>
      <c r="O2416" s="2"/>
      <c r="P2416" s="2"/>
      <c r="Q2416" s="2"/>
      <c r="R2416" s="2"/>
      <c r="S2416" s="2"/>
      <c r="T2416" s="2"/>
      <c r="U2416" s="2"/>
      <c r="V2416" s="2"/>
      <c r="W2416" s="2"/>
      <c r="X2416" s="2"/>
      <c r="Y2416" s="2"/>
      <c r="Z2416" s="2"/>
      <c r="AA2416" s="2"/>
      <c r="AB2416" s="2"/>
      <c r="AC2416" s="2"/>
      <c r="AD2416" s="2"/>
      <c r="AE2416" s="2"/>
      <c r="AF2416" s="2"/>
      <c r="AG2416" s="2"/>
      <c r="AH2416" s="2"/>
      <c r="AI2416" s="2"/>
      <c r="AJ2416" s="2" t="str">
        <f>IFERROR(__xludf.DUMMYFUNCTION("""COMPUTED_VALUE"""),"")</f>
        <v/>
      </c>
      <c r="AK2416" s="2" t="str">
        <f>IFERROR(__xludf.DUMMYFUNCTION("""COMPUTED_VALUE"""),"")</f>
        <v/>
      </c>
      <c r="AL2416" s="2" t="str">
        <f>IFERROR(__xludf.DUMMYFUNCTION("""COMPUTED_VALUE"""),"")</f>
        <v/>
      </c>
      <c r="AM2416" s="2" t="str">
        <f>IFERROR(__xludf.DUMMYFUNCTION("""COMPUTED_VALUE"""),"")</f>
        <v/>
      </c>
      <c r="AN2416" s="2" t="str">
        <f>IFERROR(__xludf.DUMMYFUNCTION("""COMPUTED_VALUE""")," ")</f>
        <v> </v>
      </c>
      <c r="AO2416" s="2" t="str">
        <f>IFERROR(__xludf.DUMMYFUNCTION("""COMPUTED_VALUE""")," ")</f>
        <v> </v>
      </c>
      <c r="AP2416" s="2" t="str">
        <f>IFERROR(__xludf.DUMMYFUNCTION("""COMPUTED_VALUE"""),"")</f>
        <v/>
      </c>
      <c r="AQ2416" s="2"/>
      <c r="AR2416" s="2"/>
      <c r="AS2416" s="2"/>
      <c r="AT2416" s="2"/>
      <c r="AU2416" s="2"/>
      <c r="AV2416" s="2"/>
      <c r="AW2416" s="2"/>
      <c r="AX2416" s="2"/>
      <c r="AY2416" s="2"/>
      <c r="AZ2416" s="2"/>
      <c r="BA2416" s="2"/>
      <c r="BB2416" s="2"/>
    </row>
    <row r="2417">
      <c r="A2417" s="2"/>
      <c r="B2417" s="2" t="str">
        <f>IFERROR(__xludf.DUMMYFUNCTION("""COMPUTED_VALUE"""),"")</f>
        <v/>
      </c>
      <c r="C2417" s="2"/>
      <c r="D2417" s="71"/>
      <c r="E2417" s="71" t="str">
        <f>IFERROR(__xludf.DUMMYFUNCTION("""COMPUTED_VALUE""")," ")</f>
        <v> </v>
      </c>
      <c r="F2417" s="2"/>
      <c r="G2417" s="2"/>
      <c r="H2417" s="2"/>
      <c r="I2417" s="72"/>
      <c r="J2417" s="72"/>
      <c r="K2417" s="72"/>
      <c r="L2417" s="72"/>
      <c r="M2417" s="2"/>
      <c r="N2417" s="2"/>
      <c r="O2417" s="2"/>
      <c r="P2417" s="2"/>
      <c r="Q2417" s="2"/>
      <c r="R2417" s="2"/>
      <c r="S2417" s="2"/>
      <c r="T2417" s="2"/>
      <c r="U2417" s="2"/>
      <c r="V2417" s="2"/>
      <c r="W2417" s="2"/>
      <c r="X2417" s="2"/>
      <c r="Y2417" s="2"/>
      <c r="Z2417" s="2"/>
      <c r="AA2417" s="2"/>
      <c r="AB2417" s="2"/>
      <c r="AC2417" s="2"/>
      <c r="AD2417" s="2"/>
      <c r="AE2417" s="2"/>
      <c r="AF2417" s="2"/>
      <c r="AG2417" s="2"/>
      <c r="AH2417" s="2"/>
      <c r="AI2417" s="2"/>
      <c r="AJ2417" s="2" t="str">
        <f>IFERROR(__xludf.DUMMYFUNCTION("""COMPUTED_VALUE"""),"")</f>
        <v/>
      </c>
      <c r="AK2417" s="2" t="str">
        <f>IFERROR(__xludf.DUMMYFUNCTION("""COMPUTED_VALUE"""),"")</f>
        <v/>
      </c>
      <c r="AL2417" s="2" t="str">
        <f>IFERROR(__xludf.DUMMYFUNCTION("""COMPUTED_VALUE"""),"")</f>
        <v/>
      </c>
      <c r="AM2417" s="2" t="str">
        <f>IFERROR(__xludf.DUMMYFUNCTION("""COMPUTED_VALUE"""),"")</f>
        <v/>
      </c>
      <c r="AN2417" s="2" t="str">
        <f>IFERROR(__xludf.DUMMYFUNCTION("""COMPUTED_VALUE""")," ")</f>
        <v> </v>
      </c>
      <c r="AO2417" s="2" t="str">
        <f>IFERROR(__xludf.DUMMYFUNCTION("""COMPUTED_VALUE""")," ")</f>
        <v> </v>
      </c>
      <c r="AP2417" s="2" t="str">
        <f>IFERROR(__xludf.DUMMYFUNCTION("""COMPUTED_VALUE"""),"")</f>
        <v/>
      </c>
      <c r="AQ2417" s="2"/>
      <c r="AR2417" s="2"/>
      <c r="AS2417" s="2"/>
      <c r="AT2417" s="2"/>
      <c r="AU2417" s="2"/>
      <c r="AV2417" s="2"/>
      <c r="AW2417" s="2"/>
      <c r="AX2417" s="2"/>
      <c r="AY2417" s="2"/>
      <c r="AZ2417" s="2"/>
      <c r="BA2417" s="2"/>
      <c r="BB2417" s="2"/>
    </row>
    <row r="2418">
      <c r="A2418" s="2"/>
      <c r="B2418" s="2" t="str">
        <f>IFERROR(__xludf.DUMMYFUNCTION("""COMPUTED_VALUE"""),"")</f>
        <v/>
      </c>
      <c r="C2418" s="2"/>
      <c r="D2418" s="71"/>
      <c r="E2418" s="71" t="str">
        <f>IFERROR(__xludf.DUMMYFUNCTION("""COMPUTED_VALUE""")," ")</f>
        <v> </v>
      </c>
      <c r="F2418" s="2"/>
      <c r="G2418" s="2"/>
      <c r="H2418" s="2"/>
      <c r="I2418" s="72"/>
      <c r="J2418" s="72"/>
      <c r="K2418" s="72"/>
      <c r="L2418" s="72"/>
      <c r="M2418" s="2"/>
      <c r="N2418" s="2"/>
      <c r="O2418" s="2"/>
      <c r="P2418" s="2"/>
      <c r="Q2418" s="2"/>
      <c r="R2418" s="2"/>
      <c r="S2418" s="2"/>
      <c r="T2418" s="2"/>
      <c r="U2418" s="2"/>
      <c r="V2418" s="2"/>
      <c r="W2418" s="2"/>
      <c r="X2418" s="2"/>
      <c r="Y2418" s="2"/>
      <c r="Z2418" s="2"/>
      <c r="AA2418" s="2"/>
      <c r="AB2418" s="2"/>
      <c r="AC2418" s="2"/>
      <c r="AD2418" s="2"/>
      <c r="AE2418" s="2"/>
      <c r="AF2418" s="2"/>
      <c r="AG2418" s="2"/>
      <c r="AH2418" s="2"/>
      <c r="AI2418" s="2"/>
      <c r="AJ2418" s="2" t="str">
        <f>IFERROR(__xludf.DUMMYFUNCTION("""COMPUTED_VALUE"""),"")</f>
        <v/>
      </c>
      <c r="AK2418" s="2" t="str">
        <f>IFERROR(__xludf.DUMMYFUNCTION("""COMPUTED_VALUE"""),"")</f>
        <v/>
      </c>
      <c r="AL2418" s="2" t="str">
        <f>IFERROR(__xludf.DUMMYFUNCTION("""COMPUTED_VALUE"""),"")</f>
        <v/>
      </c>
      <c r="AM2418" s="2" t="str">
        <f>IFERROR(__xludf.DUMMYFUNCTION("""COMPUTED_VALUE"""),"")</f>
        <v/>
      </c>
      <c r="AN2418" s="2" t="str">
        <f>IFERROR(__xludf.DUMMYFUNCTION("""COMPUTED_VALUE""")," ")</f>
        <v> </v>
      </c>
      <c r="AO2418" s="2" t="str">
        <f>IFERROR(__xludf.DUMMYFUNCTION("""COMPUTED_VALUE""")," ")</f>
        <v> </v>
      </c>
      <c r="AP2418" s="2" t="str">
        <f>IFERROR(__xludf.DUMMYFUNCTION("""COMPUTED_VALUE"""),"")</f>
        <v/>
      </c>
      <c r="AQ2418" s="2"/>
      <c r="AR2418" s="2"/>
      <c r="AS2418" s="2"/>
      <c r="AT2418" s="2"/>
      <c r="AU2418" s="2"/>
      <c r="AV2418" s="2"/>
      <c r="AW2418" s="2"/>
      <c r="AX2418" s="2"/>
      <c r="AY2418" s="2"/>
      <c r="AZ2418" s="2"/>
      <c r="BA2418" s="2"/>
      <c r="BB2418" s="2"/>
    </row>
    <row r="2419">
      <c r="A2419" s="2"/>
      <c r="B2419" s="2" t="str">
        <f>IFERROR(__xludf.DUMMYFUNCTION("""COMPUTED_VALUE"""),"")</f>
        <v/>
      </c>
      <c r="C2419" s="2"/>
      <c r="D2419" s="71"/>
      <c r="E2419" s="71" t="str">
        <f>IFERROR(__xludf.DUMMYFUNCTION("""COMPUTED_VALUE""")," ")</f>
        <v> </v>
      </c>
      <c r="F2419" s="2"/>
      <c r="G2419" s="2"/>
      <c r="H2419" s="2"/>
      <c r="I2419" s="72"/>
      <c r="J2419" s="72"/>
      <c r="K2419" s="72"/>
      <c r="L2419" s="72"/>
      <c r="M2419" s="2"/>
      <c r="N2419" s="2"/>
      <c r="O2419" s="2"/>
      <c r="P2419" s="2"/>
      <c r="Q2419" s="2"/>
      <c r="R2419" s="2"/>
      <c r="S2419" s="2"/>
      <c r="T2419" s="2"/>
      <c r="U2419" s="2"/>
      <c r="V2419" s="2"/>
      <c r="W2419" s="2"/>
      <c r="X2419" s="2"/>
      <c r="Y2419" s="2"/>
      <c r="Z2419" s="2"/>
      <c r="AA2419" s="2"/>
      <c r="AB2419" s="2"/>
      <c r="AC2419" s="2"/>
      <c r="AD2419" s="2"/>
      <c r="AE2419" s="2"/>
      <c r="AF2419" s="2"/>
      <c r="AG2419" s="2"/>
      <c r="AH2419" s="2"/>
      <c r="AI2419" s="2"/>
      <c r="AJ2419" s="2" t="str">
        <f>IFERROR(__xludf.DUMMYFUNCTION("""COMPUTED_VALUE"""),"")</f>
        <v/>
      </c>
      <c r="AK2419" s="2" t="str">
        <f>IFERROR(__xludf.DUMMYFUNCTION("""COMPUTED_VALUE"""),"")</f>
        <v/>
      </c>
      <c r="AL2419" s="2" t="str">
        <f>IFERROR(__xludf.DUMMYFUNCTION("""COMPUTED_VALUE"""),"")</f>
        <v/>
      </c>
      <c r="AM2419" s="2" t="str">
        <f>IFERROR(__xludf.DUMMYFUNCTION("""COMPUTED_VALUE"""),"")</f>
        <v/>
      </c>
      <c r="AN2419" s="2" t="str">
        <f>IFERROR(__xludf.DUMMYFUNCTION("""COMPUTED_VALUE""")," ")</f>
        <v> </v>
      </c>
      <c r="AO2419" s="2" t="str">
        <f>IFERROR(__xludf.DUMMYFUNCTION("""COMPUTED_VALUE""")," ")</f>
        <v> </v>
      </c>
      <c r="AP2419" s="2" t="str">
        <f>IFERROR(__xludf.DUMMYFUNCTION("""COMPUTED_VALUE"""),"")</f>
        <v/>
      </c>
      <c r="AQ2419" s="2"/>
      <c r="AR2419" s="2"/>
      <c r="AS2419" s="2"/>
      <c r="AT2419" s="2"/>
      <c r="AU2419" s="2"/>
      <c r="AV2419" s="2"/>
      <c r="AW2419" s="2"/>
      <c r="AX2419" s="2"/>
      <c r="AY2419" s="2"/>
      <c r="AZ2419" s="2"/>
      <c r="BA2419" s="2"/>
      <c r="BB2419" s="2"/>
    </row>
    <row r="2420">
      <c r="A2420" s="2"/>
      <c r="B2420" s="2" t="str">
        <f>IFERROR(__xludf.DUMMYFUNCTION("""COMPUTED_VALUE"""),"")</f>
        <v/>
      </c>
      <c r="C2420" s="2"/>
      <c r="D2420" s="71"/>
      <c r="E2420" s="71" t="str">
        <f>IFERROR(__xludf.DUMMYFUNCTION("""COMPUTED_VALUE""")," ")</f>
        <v> </v>
      </c>
      <c r="F2420" s="2"/>
      <c r="G2420" s="2"/>
      <c r="H2420" s="2"/>
      <c r="I2420" s="72"/>
      <c r="J2420" s="72"/>
      <c r="K2420" s="72"/>
      <c r="L2420" s="72"/>
      <c r="M2420" s="2"/>
      <c r="N2420" s="2"/>
      <c r="O2420" s="2"/>
      <c r="P2420" s="2"/>
      <c r="Q2420" s="2"/>
      <c r="R2420" s="2"/>
      <c r="S2420" s="2"/>
      <c r="T2420" s="2"/>
      <c r="U2420" s="2"/>
      <c r="V2420" s="2"/>
      <c r="W2420" s="2"/>
      <c r="X2420" s="2"/>
      <c r="Y2420" s="2"/>
      <c r="Z2420" s="2"/>
      <c r="AA2420" s="2"/>
      <c r="AB2420" s="2"/>
      <c r="AC2420" s="2"/>
      <c r="AD2420" s="2"/>
      <c r="AE2420" s="2"/>
      <c r="AF2420" s="2"/>
      <c r="AG2420" s="2"/>
      <c r="AH2420" s="2"/>
      <c r="AI2420" s="2"/>
      <c r="AJ2420" s="2" t="str">
        <f>IFERROR(__xludf.DUMMYFUNCTION("""COMPUTED_VALUE"""),"")</f>
        <v/>
      </c>
      <c r="AK2420" s="2" t="str">
        <f>IFERROR(__xludf.DUMMYFUNCTION("""COMPUTED_VALUE"""),"")</f>
        <v/>
      </c>
      <c r="AL2420" s="2" t="str">
        <f>IFERROR(__xludf.DUMMYFUNCTION("""COMPUTED_VALUE"""),"")</f>
        <v/>
      </c>
      <c r="AM2420" s="2" t="str">
        <f>IFERROR(__xludf.DUMMYFUNCTION("""COMPUTED_VALUE"""),"")</f>
        <v/>
      </c>
      <c r="AN2420" s="2" t="str">
        <f>IFERROR(__xludf.DUMMYFUNCTION("""COMPUTED_VALUE""")," ")</f>
        <v> </v>
      </c>
      <c r="AO2420" s="2" t="str">
        <f>IFERROR(__xludf.DUMMYFUNCTION("""COMPUTED_VALUE""")," ")</f>
        <v> </v>
      </c>
      <c r="AP2420" s="2" t="str">
        <f>IFERROR(__xludf.DUMMYFUNCTION("""COMPUTED_VALUE"""),"")</f>
        <v/>
      </c>
      <c r="AQ2420" s="2"/>
      <c r="AR2420" s="2"/>
      <c r="AS2420" s="2"/>
      <c r="AT2420" s="2"/>
      <c r="AU2420" s="2"/>
      <c r="AV2420" s="2"/>
      <c r="AW2420" s="2"/>
      <c r="AX2420" s="2"/>
      <c r="AY2420" s="2"/>
      <c r="AZ2420" s="2"/>
      <c r="BA2420" s="2"/>
      <c r="BB2420" s="2"/>
    </row>
    <row r="2421">
      <c r="A2421" s="2"/>
      <c r="B2421" s="2" t="str">
        <f>IFERROR(__xludf.DUMMYFUNCTION("""COMPUTED_VALUE"""),"")</f>
        <v/>
      </c>
      <c r="C2421" s="2"/>
      <c r="D2421" s="71"/>
      <c r="E2421" s="71" t="str">
        <f>IFERROR(__xludf.DUMMYFUNCTION("""COMPUTED_VALUE""")," ")</f>
        <v> </v>
      </c>
      <c r="F2421" s="2"/>
      <c r="G2421" s="2"/>
      <c r="H2421" s="2"/>
      <c r="I2421" s="72"/>
      <c r="J2421" s="72"/>
      <c r="K2421" s="72"/>
      <c r="L2421" s="72"/>
      <c r="M2421" s="2"/>
      <c r="N2421" s="2"/>
      <c r="O2421" s="2"/>
      <c r="P2421" s="2"/>
      <c r="Q2421" s="2"/>
      <c r="R2421" s="2"/>
      <c r="S2421" s="2"/>
      <c r="T2421" s="2"/>
      <c r="U2421" s="2"/>
      <c r="V2421" s="2"/>
      <c r="W2421" s="2"/>
      <c r="X2421" s="2"/>
      <c r="Y2421" s="2"/>
      <c r="Z2421" s="2"/>
      <c r="AA2421" s="2"/>
      <c r="AB2421" s="2"/>
      <c r="AC2421" s="2"/>
      <c r="AD2421" s="2"/>
      <c r="AE2421" s="2"/>
      <c r="AF2421" s="2"/>
      <c r="AG2421" s="2"/>
      <c r="AH2421" s="2"/>
      <c r="AI2421" s="2"/>
      <c r="AJ2421" s="2" t="str">
        <f>IFERROR(__xludf.DUMMYFUNCTION("""COMPUTED_VALUE"""),"")</f>
        <v/>
      </c>
      <c r="AK2421" s="2" t="str">
        <f>IFERROR(__xludf.DUMMYFUNCTION("""COMPUTED_VALUE"""),"")</f>
        <v/>
      </c>
      <c r="AL2421" s="2" t="str">
        <f>IFERROR(__xludf.DUMMYFUNCTION("""COMPUTED_VALUE"""),"")</f>
        <v/>
      </c>
      <c r="AM2421" s="2" t="str">
        <f>IFERROR(__xludf.DUMMYFUNCTION("""COMPUTED_VALUE"""),"")</f>
        <v/>
      </c>
      <c r="AN2421" s="2" t="str">
        <f>IFERROR(__xludf.DUMMYFUNCTION("""COMPUTED_VALUE""")," ")</f>
        <v> </v>
      </c>
      <c r="AO2421" s="2" t="str">
        <f>IFERROR(__xludf.DUMMYFUNCTION("""COMPUTED_VALUE""")," ")</f>
        <v> </v>
      </c>
      <c r="AP2421" s="2" t="str">
        <f>IFERROR(__xludf.DUMMYFUNCTION("""COMPUTED_VALUE"""),"")</f>
        <v/>
      </c>
      <c r="AQ2421" s="2"/>
      <c r="AR2421" s="2"/>
      <c r="AS2421" s="2"/>
      <c r="AT2421" s="2"/>
      <c r="AU2421" s="2"/>
      <c r="AV2421" s="2"/>
      <c r="AW2421" s="2"/>
      <c r="AX2421" s="2"/>
      <c r="AY2421" s="2"/>
      <c r="AZ2421" s="2"/>
      <c r="BA2421" s="2"/>
      <c r="BB2421" s="2"/>
    </row>
    <row r="2422">
      <c r="A2422" s="2"/>
      <c r="B2422" s="2" t="str">
        <f>IFERROR(__xludf.DUMMYFUNCTION("""COMPUTED_VALUE"""),"")</f>
        <v/>
      </c>
      <c r="C2422" s="2"/>
      <c r="D2422" s="71"/>
      <c r="E2422" s="71" t="str">
        <f>IFERROR(__xludf.DUMMYFUNCTION("""COMPUTED_VALUE""")," ")</f>
        <v> </v>
      </c>
      <c r="F2422" s="2"/>
      <c r="G2422" s="2"/>
      <c r="H2422" s="2"/>
      <c r="I2422" s="72"/>
      <c r="J2422" s="72"/>
      <c r="K2422" s="72"/>
      <c r="L2422" s="72"/>
      <c r="M2422" s="2"/>
      <c r="N2422" s="2"/>
      <c r="O2422" s="2"/>
      <c r="P2422" s="2"/>
      <c r="Q2422" s="2"/>
      <c r="R2422" s="2"/>
      <c r="S2422" s="2"/>
      <c r="T2422" s="2"/>
      <c r="U2422" s="2"/>
      <c r="V2422" s="2"/>
      <c r="W2422" s="2"/>
      <c r="X2422" s="2"/>
      <c r="Y2422" s="2"/>
      <c r="Z2422" s="2"/>
      <c r="AA2422" s="2"/>
      <c r="AB2422" s="2"/>
      <c r="AC2422" s="2"/>
      <c r="AD2422" s="2"/>
      <c r="AE2422" s="2"/>
      <c r="AF2422" s="2"/>
      <c r="AG2422" s="2"/>
      <c r="AH2422" s="2"/>
      <c r="AI2422" s="2"/>
      <c r="AJ2422" s="2" t="str">
        <f>IFERROR(__xludf.DUMMYFUNCTION("""COMPUTED_VALUE"""),"")</f>
        <v/>
      </c>
      <c r="AK2422" s="2" t="str">
        <f>IFERROR(__xludf.DUMMYFUNCTION("""COMPUTED_VALUE"""),"")</f>
        <v/>
      </c>
      <c r="AL2422" s="2" t="str">
        <f>IFERROR(__xludf.DUMMYFUNCTION("""COMPUTED_VALUE"""),"")</f>
        <v/>
      </c>
      <c r="AM2422" s="2" t="str">
        <f>IFERROR(__xludf.DUMMYFUNCTION("""COMPUTED_VALUE"""),"")</f>
        <v/>
      </c>
      <c r="AN2422" s="2" t="str">
        <f>IFERROR(__xludf.DUMMYFUNCTION("""COMPUTED_VALUE""")," ")</f>
        <v> </v>
      </c>
      <c r="AO2422" s="2" t="str">
        <f>IFERROR(__xludf.DUMMYFUNCTION("""COMPUTED_VALUE""")," ")</f>
        <v> </v>
      </c>
      <c r="AP2422" s="2" t="str">
        <f>IFERROR(__xludf.DUMMYFUNCTION("""COMPUTED_VALUE"""),"")</f>
        <v/>
      </c>
      <c r="AQ2422" s="2"/>
      <c r="AR2422" s="2"/>
      <c r="AS2422" s="2"/>
      <c r="AT2422" s="2"/>
      <c r="AU2422" s="2"/>
      <c r="AV2422" s="2"/>
      <c r="AW2422" s="2"/>
      <c r="AX2422" s="2"/>
      <c r="AY2422" s="2"/>
      <c r="AZ2422" s="2"/>
      <c r="BA2422" s="2"/>
      <c r="BB2422" s="2"/>
    </row>
    <row r="2423">
      <c r="A2423" s="2"/>
      <c r="B2423" s="2" t="str">
        <f>IFERROR(__xludf.DUMMYFUNCTION("""COMPUTED_VALUE"""),"")</f>
        <v/>
      </c>
      <c r="C2423" s="2"/>
      <c r="D2423" s="71"/>
      <c r="E2423" s="71" t="str">
        <f>IFERROR(__xludf.DUMMYFUNCTION("""COMPUTED_VALUE""")," ")</f>
        <v> </v>
      </c>
      <c r="F2423" s="2"/>
      <c r="G2423" s="2"/>
      <c r="H2423" s="2"/>
      <c r="I2423" s="72"/>
      <c r="J2423" s="72"/>
      <c r="K2423" s="72"/>
      <c r="L2423" s="72"/>
      <c r="M2423" s="2"/>
      <c r="N2423" s="2"/>
      <c r="O2423" s="2"/>
      <c r="P2423" s="2"/>
      <c r="Q2423" s="2"/>
      <c r="R2423" s="2"/>
      <c r="S2423" s="2"/>
      <c r="T2423" s="2"/>
      <c r="U2423" s="2"/>
      <c r="V2423" s="2"/>
      <c r="W2423" s="2"/>
      <c r="X2423" s="2"/>
      <c r="Y2423" s="2"/>
      <c r="Z2423" s="2"/>
      <c r="AA2423" s="2"/>
      <c r="AB2423" s="2"/>
      <c r="AC2423" s="2"/>
      <c r="AD2423" s="2"/>
      <c r="AE2423" s="2"/>
      <c r="AF2423" s="2"/>
      <c r="AG2423" s="2"/>
      <c r="AH2423" s="2"/>
      <c r="AI2423" s="2"/>
      <c r="AJ2423" s="2" t="str">
        <f>IFERROR(__xludf.DUMMYFUNCTION("""COMPUTED_VALUE"""),"")</f>
        <v/>
      </c>
      <c r="AK2423" s="2" t="str">
        <f>IFERROR(__xludf.DUMMYFUNCTION("""COMPUTED_VALUE"""),"")</f>
        <v/>
      </c>
      <c r="AL2423" s="2" t="str">
        <f>IFERROR(__xludf.DUMMYFUNCTION("""COMPUTED_VALUE"""),"")</f>
        <v/>
      </c>
      <c r="AM2423" s="2" t="str">
        <f>IFERROR(__xludf.DUMMYFUNCTION("""COMPUTED_VALUE"""),"")</f>
        <v/>
      </c>
      <c r="AN2423" s="2" t="str">
        <f>IFERROR(__xludf.DUMMYFUNCTION("""COMPUTED_VALUE""")," ")</f>
        <v> </v>
      </c>
      <c r="AO2423" s="2" t="str">
        <f>IFERROR(__xludf.DUMMYFUNCTION("""COMPUTED_VALUE""")," ")</f>
        <v> </v>
      </c>
      <c r="AP2423" s="2" t="str">
        <f>IFERROR(__xludf.DUMMYFUNCTION("""COMPUTED_VALUE"""),"")</f>
        <v/>
      </c>
      <c r="AQ2423" s="2"/>
      <c r="AR2423" s="2"/>
      <c r="AS2423" s="2"/>
      <c r="AT2423" s="2"/>
      <c r="AU2423" s="2"/>
      <c r="AV2423" s="2"/>
      <c r="AW2423" s="2"/>
      <c r="AX2423" s="2"/>
      <c r="AY2423" s="2"/>
      <c r="AZ2423" s="2"/>
      <c r="BA2423" s="2"/>
      <c r="BB2423" s="2"/>
    </row>
    <row r="2424">
      <c r="A2424" s="2"/>
      <c r="B2424" s="2" t="str">
        <f>IFERROR(__xludf.DUMMYFUNCTION("""COMPUTED_VALUE"""),"")</f>
        <v/>
      </c>
      <c r="C2424" s="2"/>
      <c r="D2424" s="71"/>
      <c r="E2424" s="71" t="str">
        <f>IFERROR(__xludf.DUMMYFUNCTION("""COMPUTED_VALUE""")," ")</f>
        <v> </v>
      </c>
      <c r="F2424" s="2"/>
      <c r="G2424" s="2"/>
      <c r="H2424" s="2"/>
      <c r="I2424" s="72"/>
      <c r="J2424" s="72"/>
      <c r="K2424" s="72"/>
      <c r="L2424" s="72"/>
      <c r="M2424" s="2"/>
      <c r="N2424" s="2"/>
      <c r="O2424" s="2"/>
      <c r="P2424" s="2"/>
      <c r="Q2424" s="2"/>
      <c r="R2424" s="2"/>
      <c r="S2424" s="2"/>
      <c r="T2424" s="2"/>
      <c r="U2424" s="2"/>
      <c r="V2424" s="2"/>
      <c r="W2424" s="2"/>
      <c r="X2424" s="2"/>
      <c r="Y2424" s="2"/>
      <c r="Z2424" s="2"/>
      <c r="AA2424" s="2"/>
      <c r="AB2424" s="2"/>
      <c r="AC2424" s="2"/>
      <c r="AD2424" s="2"/>
      <c r="AE2424" s="2"/>
      <c r="AF2424" s="2"/>
      <c r="AG2424" s="2"/>
      <c r="AH2424" s="2"/>
      <c r="AI2424" s="2"/>
      <c r="AJ2424" s="2" t="str">
        <f>IFERROR(__xludf.DUMMYFUNCTION("""COMPUTED_VALUE"""),"")</f>
        <v/>
      </c>
      <c r="AK2424" s="2" t="str">
        <f>IFERROR(__xludf.DUMMYFUNCTION("""COMPUTED_VALUE"""),"")</f>
        <v/>
      </c>
      <c r="AL2424" s="2" t="str">
        <f>IFERROR(__xludf.DUMMYFUNCTION("""COMPUTED_VALUE"""),"")</f>
        <v/>
      </c>
      <c r="AM2424" s="2" t="str">
        <f>IFERROR(__xludf.DUMMYFUNCTION("""COMPUTED_VALUE"""),"")</f>
        <v/>
      </c>
      <c r="AN2424" s="2" t="str">
        <f>IFERROR(__xludf.DUMMYFUNCTION("""COMPUTED_VALUE""")," ")</f>
        <v> </v>
      </c>
      <c r="AO2424" s="2" t="str">
        <f>IFERROR(__xludf.DUMMYFUNCTION("""COMPUTED_VALUE""")," ")</f>
        <v> </v>
      </c>
      <c r="AP2424" s="2" t="str">
        <f>IFERROR(__xludf.DUMMYFUNCTION("""COMPUTED_VALUE"""),"")</f>
        <v/>
      </c>
      <c r="AQ2424" s="2"/>
      <c r="AR2424" s="2"/>
      <c r="AS2424" s="2"/>
      <c r="AT2424" s="2"/>
      <c r="AU2424" s="2"/>
      <c r="AV2424" s="2"/>
      <c r="AW2424" s="2"/>
      <c r="AX2424" s="2"/>
      <c r="AY2424" s="2"/>
      <c r="AZ2424" s="2"/>
      <c r="BA2424" s="2"/>
      <c r="BB2424" s="2"/>
    </row>
    <row r="2425">
      <c r="A2425" s="2"/>
      <c r="B2425" s="2" t="str">
        <f>IFERROR(__xludf.DUMMYFUNCTION("""COMPUTED_VALUE"""),"")</f>
        <v/>
      </c>
      <c r="C2425" s="2"/>
      <c r="D2425" s="71"/>
      <c r="E2425" s="71" t="str">
        <f>IFERROR(__xludf.DUMMYFUNCTION("""COMPUTED_VALUE""")," ")</f>
        <v> </v>
      </c>
      <c r="F2425" s="2"/>
      <c r="G2425" s="2"/>
      <c r="H2425" s="2"/>
      <c r="I2425" s="72"/>
      <c r="J2425" s="72"/>
      <c r="K2425" s="72"/>
      <c r="L2425" s="72"/>
      <c r="M2425" s="2"/>
      <c r="N2425" s="2"/>
      <c r="O2425" s="2"/>
      <c r="P2425" s="2"/>
      <c r="Q2425" s="2"/>
      <c r="R2425" s="2"/>
      <c r="S2425" s="2"/>
      <c r="T2425" s="2"/>
      <c r="U2425" s="2"/>
      <c r="V2425" s="2"/>
      <c r="W2425" s="2"/>
      <c r="X2425" s="2"/>
      <c r="Y2425" s="2"/>
      <c r="Z2425" s="2"/>
      <c r="AA2425" s="2"/>
      <c r="AB2425" s="2"/>
      <c r="AC2425" s="2"/>
      <c r="AD2425" s="2"/>
      <c r="AE2425" s="2"/>
      <c r="AF2425" s="2"/>
      <c r="AG2425" s="2"/>
      <c r="AH2425" s="2"/>
      <c r="AI2425" s="2"/>
      <c r="AJ2425" s="2" t="str">
        <f>IFERROR(__xludf.DUMMYFUNCTION("""COMPUTED_VALUE"""),"")</f>
        <v/>
      </c>
      <c r="AK2425" s="2" t="str">
        <f>IFERROR(__xludf.DUMMYFUNCTION("""COMPUTED_VALUE"""),"")</f>
        <v/>
      </c>
      <c r="AL2425" s="2" t="str">
        <f>IFERROR(__xludf.DUMMYFUNCTION("""COMPUTED_VALUE"""),"")</f>
        <v/>
      </c>
      <c r="AM2425" s="2" t="str">
        <f>IFERROR(__xludf.DUMMYFUNCTION("""COMPUTED_VALUE"""),"")</f>
        <v/>
      </c>
      <c r="AN2425" s="2" t="str">
        <f>IFERROR(__xludf.DUMMYFUNCTION("""COMPUTED_VALUE""")," ")</f>
        <v> </v>
      </c>
      <c r="AO2425" s="2" t="str">
        <f>IFERROR(__xludf.DUMMYFUNCTION("""COMPUTED_VALUE""")," ")</f>
        <v> </v>
      </c>
      <c r="AP2425" s="2" t="str">
        <f>IFERROR(__xludf.DUMMYFUNCTION("""COMPUTED_VALUE"""),"")</f>
        <v/>
      </c>
      <c r="AQ2425" s="2"/>
      <c r="AR2425" s="2"/>
      <c r="AS2425" s="2"/>
      <c r="AT2425" s="2"/>
      <c r="AU2425" s="2"/>
      <c r="AV2425" s="2"/>
      <c r="AW2425" s="2"/>
      <c r="AX2425" s="2"/>
      <c r="AY2425" s="2"/>
      <c r="AZ2425" s="2"/>
      <c r="BA2425" s="2"/>
      <c r="BB2425" s="2"/>
    </row>
    <row r="2426">
      <c r="A2426" s="2"/>
      <c r="B2426" s="2" t="str">
        <f>IFERROR(__xludf.DUMMYFUNCTION("""COMPUTED_VALUE"""),"")</f>
        <v/>
      </c>
      <c r="C2426" s="2"/>
      <c r="D2426" s="71"/>
      <c r="E2426" s="71" t="str">
        <f>IFERROR(__xludf.DUMMYFUNCTION("""COMPUTED_VALUE""")," ")</f>
        <v> </v>
      </c>
      <c r="F2426" s="2"/>
      <c r="G2426" s="2"/>
      <c r="H2426" s="2"/>
      <c r="I2426" s="72"/>
      <c r="J2426" s="72"/>
      <c r="K2426" s="72"/>
      <c r="L2426" s="72"/>
      <c r="M2426" s="2"/>
      <c r="N2426" s="2"/>
      <c r="O2426" s="2"/>
      <c r="P2426" s="2"/>
      <c r="Q2426" s="2"/>
      <c r="R2426" s="2"/>
      <c r="S2426" s="2"/>
      <c r="T2426" s="2"/>
      <c r="U2426" s="2"/>
      <c r="V2426" s="2"/>
      <c r="W2426" s="2"/>
      <c r="X2426" s="2"/>
      <c r="Y2426" s="2"/>
      <c r="Z2426" s="2"/>
      <c r="AA2426" s="2"/>
      <c r="AB2426" s="2"/>
      <c r="AC2426" s="2"/>
      <c r="AD2426" s="2"/>
      <c r="AE2426" s="2"/>
      <c r="AF2426" s="2"/>
      <c r="AG2426" s="2"/>
      <c r="AH2426" s="2"/>
      <c r="AI2426" s="2"/>
      <c r="AJ2426" s="2" t="str">
        <f>IFERROR(__xludf.DUMMYFUNCTION("""COMPUTED_VALUE"""),"")</f>
        <v/>
      </c>
      <c r="AK2426" s="2" t="str">
        <f>IFERROR(__xludf.DUMMYFUNCTION("""COMPUTED_VALUE"""),"")</f>
        <v/>
      </c>
      <c r="AL2426" s="2" t="str">
        <f>IFERROR(__xludf.DUMMYFUNCTION("""COMPUTED_VALUE"""),"")</f>
        <v/>
      </c>
      <c r="AM2426" s="2" t="str">
        <f>IFERROR(__xludf.DUMMYFUNCTION("""COMPUTED_VALUE"""),"")</f>
        <v/>
      </c>
      <c r="AN2426" s="2" t="str">
        <f>IFERROR(__xludf.DUMMYFUNCTION("""COMPUTED_VALUE""")," ")</f>
        <v> </v>
      </c>
      <c r="AO2426" s="2" t="str">
        <f>IFERROR(__xludf.DUMMYFUNCTION("""COMPUTED_VALUE""")," ")</f>
        <v> </v>
      </c>
      <c r="AP2426" s="2" t="str">
        <f>IFERROR(__xludf.DUMMYFUNCTION("""COMPUTED_VALUE"""),"")</f>
        <v/>
      </c>
      <c r="AQ2426" s="2"/>
      <c r="AR2426" s="2"/>
      <c r="AS2426" s="2"/>
      <c r="AT2426" s="2"/>
      <c r="AU2426" s="2"/>
      <c r="AV2426" s="2"/>
      <c r="AW2426" s="2"/>
      <c r="AX2426" s="2"/>
      <c r="AY2426" s="2"/>
      <c r="AZ2426" s="2"/>
      <c r="BA2426" s="2"/>
      <c r="BB2426" s="2"/>
    </row>
    <row r="2427">
      <c r="A2427" s="2"/>
      <c r="B2427" s="2" t="str">
        <f>IFERROR(__xludf.DUMMYFUNCTION("""COMPUTED_VALUE"""),"")</f>
        <v/>
      </c>
      <c r="C2427" s="2"/>
      <c r="D2427" s="71"/>
      <c r="E2427" s="71" t="str">
        <f>IFERROR(__xludf.DUMMYFUNCTION("""COMPUTED_VALUE""")," ")</f>
        <v> </v>
      </c>
      <c r="F2427" s="2"/>
      <c r="G2427" s="2"/>
      <c r="H2427" s="2"/>
      <c r="I2427" s="72"/>
      <c r="J2427" s="72"/>
      <c r="K2427" s="72"/>
      <c r="L2427" s="72"/>
      <c r="M2427" s="2"/>
      <c r="N2427" s="2"/>
      <c r="O2427" s="2"/>
      <c r="P2427" s="2"/>
      <c r="Q2427" s="2"/>
      <c r="R2427" s="2"/>
      <c r="S2427" s="2"/>
      <c r="T2427" s="2"/>
      <c r="U2427" s="2"/>
      <c r="V2427" s="2"/>
      <c r="W2427" s="2"/>
      <c r="X2427" s="2"/>
      <c r="Y2427" s="2"/>
      <c r="Z2427" s="2"/>
      <c r="AA2427" s="2"/>
      <c r="AB2427" s="2"/>
      <c r="AC2427" s="2"/>
      <c r="AD2427" s="2"/>
      <c r="AE2427" s="2"/>
      <c r="AF2427" s="2"/>
      <c r="AG2427" s="2"/>
      <c r="AH2427" s="2"/>
      <c r="AI2427" s="2"/>
      <c r="AJ2427" s="2" t="str">
        <f>IFERROR(__xludf.DUMMYFUNCTION("""COMPUTED_VALUE"""),"")</f>
        <v/>
      </c>
      <c r="AK2427" s="2" t="str">
        <f>IFERROR(__xludf.DUMMYFUNCTION("""COMPUTED_VALUE"""),"")</f>
        <v/>
      </c>
      <c r="AL2427" s="2" t="str">
        <f>IFERROR(__xludf.DUMMYFUNCTION("""COMPUTED_VALUE"""),"")</f>
        <v/>
      </c>
      <c r="AM2427" s="2" t="str">
        <f>IFERROR(__xludf.DUMMYFUNCTION("""COMPUTED_VALUE"""),"")</f>
        <v/>
      </c>
      <c r="AN2427" s="2" t="str">
        <f>IFERROR(__xludf.DUMMYFUNCTION("""COMPUTED_VALUE""")," ")</f>
        <v> </v>
      </c>
      <c r="AO2427" s="2" t="str">
        <f>IFERROR(__xludf.DUMMYFUNCTION("""COMPUTED_VALUE""")," ")</f>
        <v> </v>
      </c>
      <c r="AP2427" s="2" t="str">
        <f>IFERROR(__xludf.DUMMYFUNCTION("""COMPUTED_VALUE"""),"")</f>
        <v/>
      </c>
      <c r="AQ2427" s="2"/>
      <c r="AR2427" s="2"/>
      <c r="AS2427" s="2"/>
      <c r="AT2427" s="2"/>
      <c r="AU2427" s="2"/>
      <c r="AV2427" s="2"/>
      <c r="AW2427" s="2"/>
      <c r="AX2427" s="2"/>
      <c r="AY2427" s="2"/>
      <c r="AZ2427" s="2"/>
      <c r="BA2427" s="2"/>
      <c r="BB2427" s="2"/>
    </row>
    <row r="2428">
      <c r="A2428" s="2"/>
      <c r="B2428" s="2" t="str">
        <f>IFERROR(__xludf.DUMMYFUNCTION("""COMPUTED_VALUE"""),"")</f>
        <v/>
      </c>
      <c r="C2428" s="2"/>
      <c r="D2428" s="71"/>
      <c r="E2428" s="71" t="str">
        <f>IFERROR(__xludf.DUMMYFUNCTION("""COMPUTED_VALUE""")," ")</f>
        <v> </v>
      </c>
      <c r="F2428" s="2"/>
      <c r="G2428" s="2"/>
      <c r="H2428" s="2"/>
      <c r="I2428" s="72"/>
      <c r="J2428" s="72"/>
      <c r="K2428" s="72"/>
      <c r="L2428" s="72"/>
      <c r="M2428" s="2"/>
      <c r="N2428" s="2"/>
      <c r="O2428" s="2"/>
      <c r="P2428" s="2"/>
      <c r="Q2428" s="2"/>
      <c r="R2428" s="2"/>
      <c r="S2428" s="2"/>
      <c r="T2428" s="2"/>
      <c r="U2428" s="2"/>
      <c r="V2428" s="2"/>
      <c r="W2428" s="2"/>
      <c r="X2428" s="2"/>
      <c r="Y2428" s="2"/>
      <c r="Z2428" s="2"/>
      <c r="AA2428" s="2"/>
      <c r="AB2428" s="2"/>
      <c r="AC2428" s="2"/>
      <c r="AD2428" s="2"/>
      <c r="AE2428" s="2"/>
      <c r="AF2428" s="2"/>
      <c r="AG2428" s="2"/>
      <c r="AH2428" s="2"/>
      <c r="AI2428" s="2"/>
      <c r="AJ2428" s="2" t="str">
        <f>IFERROR(__xludf.DUMMYFUNCTION("""COMPUTED_VALUE"""),"")</f>
        <v/>
      </c>
      <c r="AK2428" s="2" t="str">
        <f>IFERROR(__xludf.DUMMYFUNCTION("""COMPUTED_VALUE"""),"")</f>
        <v/>
      </c>
      <c r="AL2428" s="2" t="str">
        <f>IFERROR(__xludf.DUMMYFUNCTION("""COMPUTED_VALUE"""),"")</f>
        <v/>
      </c>
      <c r="AM2428" s="2" t="str">
        <f>IFERROR(__xludf.DUMMYFUNCTION("""COMPUTED_VALUE"""),"")</f>
        <v/>
      </c>
      <c r="AN2428" s="2" t="str">
        <f>IFERROR(__xludf.DUMMYFUNCTION("""COMPUTED_VALUE""")," ")</f>
        <v> </v>
      </c>
      <c r="AO2428" s="2" t="str">
        <f>IFERROR(__xludf.DUMMYFUNCTION("""COMPUTED_VALUE""")," ")</f>
        <v> </v>
      </c>
      <c r="AP2428" s="2" t="str">
        <f>IFERROR(__xludf.DUMMYFUNCTION("""COMPUTED_VALUE"""),"")</f>
        <v/>
      </c>
      <c r="AQ2428" s="2"/>
      <c r="AR2428" s="2"/>
      <c r="AS2428" s="2"/>
      <c r="AT2428" s="2"/>
      <c r="AU2428" s="2"/>
      <c r="AV2428" s="2"/>
      <c r="AW2428" s="2"/>
      <c r="AX2428" s="2"/>
      <c r="AY2428" s="2"/>
      <c r="AZ2428" s="2"/>
      <c r="BA2428" s="2"/>
      <c r="BB2428" s="2"/>
    </row>
    <row r="2429">
      <c r="A2429" s="2"/>
      <c r="B2429" s="2" t="str">
        <f>IFERROR(__xludf.DUMMYFUNCTION("""COMPUTED_VALUE"""),"")</f>
        <v/>
      </c>
      <c r="C2429" s="2"/>
      <c r="D2429" s="71"/>
      <c r="E2429" s="71" t="str">
        <f>IFERROR(__xludf.DUMMYFUNCTION("""COMPUTED_VALUE""")," ")</f>
        <v> </v>
      </c>
      <c r="F2429" s="2"/>
      <c r="G2429" s="2"/>
      <c r="H2429" s="2"/>
      <c r="I2429" s="72"/>
      <c r="J2429" s="72"/>
      <c r="K2429" s="72"/>
      <c r="L2429" s="72"/>
      <c r="M2429" s="2"/>
      <c r="N2429" s="2"/>
      <c r="O2429" s="2"/>
      <c r="P2429" s="2"/>
      <c r="Q2429" s="2"/>
      <c r="R2429" s="2"/>
      <c r="S2429" s="2"/>
      <c r="T2429" s="2"/>
      <c r="U2429" s="2"/>
      <c r="V2429" s="2"/>
      <c r="W2429" s="2"/>
      <c r="X2429" s="2"/>
      <c r="Y2429" s="2"/>
      <c r="Z2429" s="2"/>
      <c r="AA2429" s="2"/>
      <c r="AB2429" s="2"/>
      <c r="AC2429" s="2"/>
      <c r="AD2429" s="2"/>
      <c r="AE2429" s="2"/>
      <c r="AF2429" s="2"/>
      <c r="AG2429" s="2"/>
      <c r="AH2429" s="2"/>
      <c r="AI2429" s="2"/>
      <c r="AJ2429" s="2" t="str">
        <f>IFERROR(__xludf.DUMMYFUNCTION("""COMPUTED_VALUE"""),"")</f>
        <v/>
      </c>
      <c r="AK2429" s="2" t="str">
        <f>IFERROR(__xludf.DUMMYFUNCTION("""COMPUTED_VALUE"""),"")</f>
        <v/>
      </c>
      <c r="AL2429" s="2" t="str">
        <f>IFERROR(__xludf.DUMMYFUNCTION("""COMPUTED_VALUE"""),"")</f>
        <v/>
      </c>
      <c r="AM2429" s="2" t="str">
        <f>IFERROR(__xludf.DUMMYFUNCTION("""COMPUTED_VALUE"""),"")</f>
        <v/>
      </c>
      <c r="AN2429" s="2" t="str">
        <f>IFERROR(__xludf.DUMMYFUNCTION("""COMPUTED_VALUE""")," ")</f>
        <v> </v>
      </c>
      <c r="AO2429" s="2" t="str">
        <f>IFERROR(__xludf.DUMMYFUNCTION("""COMPUTED_VALUE""")," ")</f>
        <v> </v>
      </c>
      <c r="AP2429" s="2" t="str">
        <f>IFERROR(__xludf.DUMMYFUNCTION("""COMPUTED_VALUE"""),"")</f>
        <v/>
      </c>
      <c r="AQ2429" s="2"/>
      <c r="AR2429" s="2"/>
      <c r="AS2429" s="2"/>
      <c r="AT2429" s="2"/>
      <c r="AU2429" s="2"/>
      <c r="AV2429" s="2"/>
      <c r="AW2429" s="2"/>
      <c r="AX2429" s="2"/>
      <c r="AY2429" s="2"/>
      <c r="AZ2429" s="2"/>
      <c r="BA2429" s="2"/>
      <c r="BB2429" s="2"/>
    </row>
    <row r="2430">
      <c r="A2430" s="2"/>
      <c r="B2430" s="2" t="str">
        <f>IFERROR(__xludf.DUMMYFUNCTION("""COMPUTED_VALUE"""),"")</f>
        <v/>
      </c>
      <c r="C2430" s="2"/>
      <c r="D2430" s="71"/>
      <c r="E2430" s="71" t="str">
        <f>IFERROR(__xludf.DUMMYFUNCTION("""COMPUTED_VALUE""")," ")</f>
        <v> </v>
      </c>
      <c r="F2430" s="2"/>
      <c r="G2430" s="2"/>
      <c r="H2430" s="2"/>
      <c r="I2430" s="72"/>
      <c r="J2430" s="72"/>
      <c r="K2430" s="72"/>
      <c r="L2430" s="72"/>
      <c r="M2430" s="2"/>
      <c r="N2430" s="2"/>
      <c r="O2430" s="2"/>
      <c r="P2430" s="2"/>
      <c r="Q2430" s="2"/>
      <c r="R2430" s="2"/>
      <c r="S2430" s="2"/>
      <c r="T2430" s="2"/>
      <c r="U2430" s="2"/>
      <c r="V2430" s="2"/>
      <c r="W2430" s="2"/>
      <c r="X2430" s="2"/>
      <c r="Y2430" s="2"/>
      <c r="Z2430" s="2"/>
      <c r="AA2430" s="2"/>
      <c r="AB2430" s="2"/>
      <c r="AC2430" s="2"/>
      <c r="AD2430" s="2"/>
      <c r="AE2430" s="2"/>
      <c r="AF2430" s="2"/>
      <c r="AG2430" s="2"/>
      <c r="AH2430" s="2"/>
      <c r="AI2430" s="2"/>
      <c r="AJ2430" s="2" t="str">
        <f>IFERROR(__xludf.DUMMYFUNCTION("""COMPUTED_VALUE"""),"")</f>
        <v/>
      </c>
      <c r="AK2430" s="2" t="str">
        <f>IFERROR(__xludf.DUMMYFUNCTION("""COMPUTED_VALUE"""),"")</f>
        <v/>
      </c>
      <c r="AL2430" s="2" t="str">
        <f>IFERROR(__xludf.DUMMYFUNCTION("""COMPUTED_VALUE"""),"")</f>
        <v/>
      </c>
      <c r="AM2430" s="2" t="str">
        <f>IFERROR(__xludf.DUMMYFUNCTION("""COMPUTED_VALUE"""),"")</f>
        <v/>
      </c>
      <c r="AN2430" s="2" t="str">
        <f>IFERROR(__xludf.DUMMYFUNCTION("""COMPUTED_VALUE""")," ")</f>
        <v> </v>
      </c>
      <c r="AO2430" s="2" t="str">
        <f>IFERROR(__xludf.DUMMYFUNCTION("""COMPUTED_VALUE""")," ")</f>
        <v> </v>
      </c>
      <c r="AP2430" s="2" t="str">
        <f>IFERROR(__xludf.DUMMYFUNCTION("""COMPUTED_VALUE"""),"")</f>
        <v/>
      </c>
      <c r="AQ2430" s="2"/>
      <c r="AR2430" s="2"/>
      <c r="AS2430" s="2"/>
      <c r="AT2430" s="2"/>
      <c r="AU2430" s="2"/>
      <c r="AV2430" s="2"/>
      <c r="AW2430" s="2"/>
      <c r="AX2430" s="2"/>
      <c r="AY2430" s="2"/>
      <c r="AZ2430" s="2"/>
      <c r="BA2430" s="2"/>
      <c r="BB2430" s="2"/>
    </row>
    <row r="2431">
      <c r="A2431" s="2"/>
      <c r="B2431" s="2" t="str">
        <f>IFERROR(__xludf.DUMMYFUNCTION("""COMPUTED_VALUE"""),"")</f>
        <v/>
      </c>
      <c r="C2431" s="2"/>
      <c r="D2431" s="71"/>
      <c r="E2431" s="71" t="str">
        <f>IFERROR(__xludf.DUMMYFUNCTION("""COMPUTED_VALUE""")," ")</f>
        <v> </v>
      </c>
      <c r="F2431" s="2"/>
      <c r="G2431" s="2"/>
      <c r="H2431" s="2"/>
      <c r="I2431" s="72"/>
      <c r="J2431" s="72"/>
      <c r="K2431" s="72"/>
      <c r="L2431" s="72"/>
      <c r="M2431" s="2"/>
      <c r="N2431" s="2"/>
      <c r="O2431" s="2"/>
      <c r="P2431" s="2"/>
      <c r="Q2431" s="2"/>
      <c r="R2431" s="2"/>
      <c r="S2431" s="2"/>
      <c r="T2431" s="2"/>
      <c r="U2431" s="2"/>
      <c r="V2431" s="2"/>
      <c r="W2431" s="2"/>
      <c r="X2431" s="2"/>
      <c r="Y2431" s="2"/>
      <c r="Z2431" s="2"/>
      <c r="AA2431" s="2"/>
      <c r="AB2431" s="2"/>
      <c r="AC2431" s="2"/>
      <c r="AD2431" s="2"/>
      <c r="AE2431" s="2"/>
      <c r="AF2431" s="2"/>
      <c r="AG2431" s="2"/>
      <c r="AH2431" s="2"/>
      <c r="AI2431" s="2"/>
      <c r="AJ2431" s="2" t="str">
        <f>IFERROR(__xludf.DUMMYFUNCTION("""COMPUTED_VALUE"""),"")</f>
        <v/>
      </c>
      <c r="AK2431" s="2" t="str">
        <f>IFERROR(__xludf.DUMMYFUNCTION("""COMPUTED_VALUE"""),"")</f>
        <v/>
      </c>
      <c r="AL2431" s="2" t="str">
        <f>IFERROR(__xludf.DUMMYFUNCTION("""COMPUTED_VALUE"""),"")</f>
        <v/>
      </c>
      <c r="AM2431" s="2" t="str">
        <f>IFERROR(__xludf.DUMMYFUNCTION("""COMPUTED_VALUE"""),"")</f>
        <v/>
      </c>
      <c r="AN2431" s="2" t="str">
        <f>IFERROR(__xludf.DUMMYFUNCTION("""COMPUTED_VALUE""")," ")</f>
        <v> </v>
      </c>
      <c r="AO2431" s="2" t="str">
        <f>IFERROR(__xludf.DUMMYFUNCTION("""COMPUTED_VALUE""")," ")</f>
        <v> </v>
      </c>
      <c r="AP2431" s="2" t="str">
        <f>IFERROR(__xludf.DUMMYFUNCTION("""COMPUTED_VALUE"""),"")</f>
        <v/>
      </c>
      <c r="AQ2431" s="2"/>
      <c r="AR2431" s="2"/>
      <c r="AS2431" s="2"/>
      <c r="AT2431" s="2"/>
      <c r="AU2431" s="2"/>
      <c r="AV2431" s="2"/>
      <c r="AW2431" s="2"/>
      <c r="AX2431" s="2"/>
      <c r="AY2431" s="2"/>
      <c r="AZ2431" s="2"/>
      <c r="BA2431" s="2"/>
      <c r="BB2431" s="2"/>
    </row>
    <row r="2432">
      <c r="A2432" s="2"/>
      <c r="B2432" s="2" t="str">
        <f>IFERROR(__xludf.DUMMYFUNCTION("""COMPUTED_VALUE"""),"")</f>
        <v/>
      </c>
      <c r="C2432" s="2"/>
      <c r="D2432" s="71"/>
      <c r="E2432" s="71" t="str">
        <f>IFERROR(__xludf.DUMMYFUNCTION("""COMPUTED_VALUE""")," ")</f>
        <v> </v>
      </c>
      <c r="F2432" s="2"/>
      <c r="G2432" s="2"/>
      <c r="H2432" s="2"/>
      <c r="I2432" s="72"/>
      <c r="J2432" s="72"/>
      <c r="K2432" s="72"/>
      <c r="L2432" s="72"/>
      <c r="M2432" s="2"/>
      <c r="N2432" s="2"/>
      <c r="O2432" s="2"/>
      <c r="P2432" s="2"/>
      <c r="Q2432" s="2"/>
      <c r="R2432" s="2"/>
      <c r="S2432" s="2"/>
      <c r="T2432" s="2"/>
      <c r="U2432" s="2"/>
      <c r="V2432" s="2"/>
      <c r="W2432" s="2"/>
      <c r="X2432" s="2"/>
      <c r="Y2432" s="2"/>
      <c r="Z2432" s="2"/>
      <c r="AA2432" s="2"/>
      <c r="AB2432" s="2"/>
      <c r="AC2432" s="2"/>
      <c r="AD2432" s="2"/>
      <c r="AE2432" s="2"/>
      <c r="AF2432" s="2"/>
      <c r="AG2432" s="2"/>
      <c r="AH2432" s="2"/>
      <c r="AI2432" s="2"/>
      <c r="AJ2432" s="2" t="str">
        <f>IFERROR(__xludf.DUMMYFUNCTION("""COMPUTED_VALUE"""),"")</f>
        <v/>
      </c>
      <c r="AK2432" s="2" t="str">
        <f>IFERROR(__xludf.DUMMYFUNCTION("""COMPUTED_VALUE"""),"")</f>
        <v/>
      </c>
      <c r="AL2432" s="2" t="str">
        <f>IFERROR(__xludf.DUMMYFUNCTION("""COMPUTED_VALUE"""),"")</f>
        <v/>
      </c>
      <c r="AM2432" s="2" t="str">
        <f>IFERROR(__xludf.DUMMYFUNCTION("""COMPUTED_VALUE"""),"")</f>
        <v/>
      </c>
      <c r="AN2432" s="2" t="str">
        <f>IFERROR(__xludf.DUMMYFUNCTION("""COMPUTED_VALUE""")," ")</f>
        <v> </v>
      </c>
      <c r="AO2432" s="2" t="str">
        <f>IFERROR(__xludf.DUMMYFUNCTION("""COMPUTED_VALUE""")," ")</f>
        <v> </v>
      </c>
      <c r="AP2432" s="2" t="str">
        <f>IFERROR(__xludf.DUMMYFUNCTION("""COMPUTED_VALUE"""),"")</f>
        <v/>
      </c>
      <c r="AQ2432" s="2"/>
      <c r="AR2432" s="2"/>
      <c r="AS2432" s="2"/>
      <c r="AT2432" s="2"/>
      <c r="AU2432" s="2"/>
      <c r="AV2432" s="2"/>
      <c r="AW2432" s="2"/>
      <c r="AX2432" s="2"/>
      <c r="AY2432" s="2"/>
      <c r="AZ2432" s="2"/>
      <c r="BA2432" s="2"/>
      <c r="BB2432" s="2"/>
    </row>
    <row r="2433">
      <c r="A2433" s="2"/>
      <c r="B2433" s="2" t="str">
        <f>IFERROR(__xludf.DUMMYFUNCTION("""COMPUTED_VALUE"""),"")</f>
        <v/>
      </c>
      <c r="C2433" s="2"/>
      <c r="D2433" s="71"/>
      <c r="E2433" s="71" t="str">
        <f>IFERROR(__xludf.DUMMYFUNCTION("""COMPUTED_VALUE""")," ")</f>
        <v> </v>
      </c>
      <c r="F2433" s="2"/>
      <c r="G2433" s="2"/>
      <c r="H2433" s="2"/>
      <c r="I2433" s="72"/>
      <c r="J2433" s="72"/>
      <c r="K2433" s="72"/>
      <c r="L2433" s="72"/>
      <c r="M2433" s="2"/>
      <c r="N2433" s="2"/>
      <c r="O2433" s="2"/>
      <c r="P2433" s="2"/>
      <c r="Q2433" s="2"/>
      <c r="R2433" s="2"/>
      <c r="S2433" s="2"/>
      <c r="T2433" s="2"/>
      <c r="U2433" s="2"/>
      <c r="V2433" s="2"/>
      <c r="W2433" s="2"/>
      <c r="X2433" s="2"/>
      <c r="Y2433" s="2"/>
      <c r="Z2433" s="2"/>
      <c r="AA2433" s="2"/>
      <c r="AB2433" s="2"/>
      <c r="AC2433" s="2"/>
      <c r="AD2433" s="2"/>
      <c r="AE2433" s="2"/>
      <c r="AF2433" s="2"/>
      <c r="AG2433" s="2"/>
      <c r="AH2433" s="2"/>
      <c r="AI2433" s="2"/>
      <c r="AJ2433" s="2" t="str">
        <f>IFERROR(__xludf.DUMMYFUNCTION("""COMPUTED_VALUE"""),"")</f>
        <v/>
      </c>
      <c r="AK2433" s="2" t="str">
        <f>IFERROR(__xludf.DUMMYFUNCTION("""COMPUTED_VALUE"""),"")</f>
        <v/>
      </c>
      <c r="AL2433" s="2" t="str">
        <f>IFERROR(__xludf.DUMMYFUNCTION("""COMPUTED_VALUE"""),"")</f>
        <v/>
      </c>
      <c r="AM2433" s="2" t="str">
        <f>IFERROR(__xludf.DUMMYFUNCTION("""COMPUTED_VALUE"""),"")</f>
        <v/>
      </c>
      <c r="AN2433" s="2" t="str">
        <f>IFERROR(__xludf.DUMMYFUNCTION("""COMPUTED_VALUE""")," ")</f>
        <v> </v>
      </c>
      <c r="AO2433" s="2" t="str">
        <f>IFERROR(__xludf.DUMMYFUNCTION("""COMPUTED_VALUE""")," ")</f>
        <v> </v>
      </c>
      <c r="AP2433" s="2" t="str">
        <f>IFERROR(__xludf.DUMMYFUNCTION("""COMPUTED_VALUE"""),"")</f>
        <v/>
      </c>
      <c r="AQ2433" s="2"/>
      <c r="AR2433" s="2"/>
      <c r="AS2433" s="2"/>
      <c r="AT2433" s="2"/>
      <c r="AU2433" s="2"/>
      <c r="AV2433" s="2"/>
      <c r="AW2433" s="2"/>
      <c r="AX2433" s="2"/>
      <c r="AY2433" s="2"/>
      <c r="AZ2433" s="2"/>
      <c r="BA2433" s="2"/>
      <c r="BB2433" s="2"/>
    </row>
    <row r="2434">
      <c r="A2434" s="2"/>
      <c r="B2434" s="2" t="str">
        <f>IFERROR(__xludf.DUMMYFUNCTION("""COMPUTED_VALUE"""),"")</f>
        <v/>
      </c>
      <c r="C2434" s="2"/>
      <c r="D2434" s="71"/>
      <c r="E2434" s="71" t="str">
        <f>IFERROR(__xludf.DUMMYFUNCTION("""COMPUTED_VALUE""")," ")</f>
        <v> </v>
      </c>
      <c r="F2434" s="2"/>
      <c r="G2434" s="2"/>
      <c r="H2434" s="2"/>
      <c r="I2434" s="72"/>
      <c r="J2434" s="72"/>
      <c r="K2434" s="72"/>
      <c r="L2434" s="72"/>
      <c r="M2434" s="2"/>
      <c r="N2434" s="2"/>
      <c r="O2434" s="2"/>
      <c r="P2434" s="2"/>
      <c r="Q2434" s="2"/>
      <c r="R2434" s="2"/>
      <c r="S2434" s="2"/>
      <c r="T2434" s="2"/>
      <c r="U2434" s="2"/>
      <c r="V2434" s="2"/>
      <c r="W2434" s="2"/>
      <c r="X2434" s="2"/>
      <c r="Y2434" s="2"/>
      <c r="Z2434" s="2"/>
      <c r="AA2434" s="2"/>
      <c r="AB2434" s="2"/>
      <c r="AC2434" s="2"/>
      <c r="AD2434" s="2"/>
      <c r="AE2434" s="2"/>
      <c r="AF2434" s="2"/>
      <c r="AG2434" s="2"/>
      <c r="AH2434" s="2"/>
      <c r="AI2434" s="2"/>
      <c r="AJ2434" s="2" t="str">
        <f>IFERROR(__xludf.DUMMYFUNCTION("""COMPUTED_VALUE"""),"")</f>
        <v/>
      </c>
      <c r="AK2434" s="2" t="str">
        <f>IFERROR(__xludf.DUMMYFUNCTION("""COMPUTED_VALUE"""),"")</f>
        <v/>
      </c>
      <c r="AL2434" s="2" t="str">
        <f>IFERROR(__xludf.DUMMYFUNCTION("""COMPUTED_VALUE"""),"")</f>
        <v/>
      </c>
      <c r="AM2434" s="2" t="str">
        <f>IFERROR(__xludf.DUMMYFUNCTION("""COMPUTED_VALUE"""),"")</f>
        <v/>
      </c>
      <c r="AN2434" s="2" t="str">
        <f>IFERROR(__xludf.DUMMYFUNCTION("""COMPUTED_VALUE""")," ")</f>
        <v> </v>
      </c>
      <c r="AO2434" s="2" t="str">
        <f>IFERROR(__xludf.DUMMYFUNCTION("""COMPUTED_VALUE""")," ")</f>
        <v> </v>
      </c>
      <c r="AP2434" s="2" t="str">
        <f>IFERROR(__xludf.DUMMYFUNCTION("""COMPUTED_VALUE"""),"")</f>
        <v/>
      </c>
      <c r="AQ2434" s="2"/>
      <c r="AR2434" s="2"/>
      <c r="AS2434" s="2"/>
      <c r="AT2434" s="2"/>
      <c r="AU2434" s="2"/>
      <c r="AV2434" s="2"/>
      <c r="AW2434" s="2"/>
      <c r="AX2434" s="2"/>
      <c r="AY2434" s="2"/>
      <c r="AZ2434" s="2"/>
      <c r="BA2434" s="2"/>
      <c r="BB2434" s="2"/>
    </row>
    <row r="2435">
      <c r="A2435" s="2"/>
      <c r="B2435" s="2" t="str">
        <f>IFERROR(__xludf.DUMMYFUNCTION("""COMPUTED_VALUE"""),"")</f>
        <v/>
      </c>
      <c r="C2435" s="2"/>
      <c r="D2435" s="71"/>
      <c r="E2435" s="71" t="str">
        <f>IFERROR(__xludf.DUMMYFUNCTION("""COMPUTED_VALUE""")," ")</f>
        <v> </v>
      </c>
      <c r="F2435" s="2"/>
      <c r="G2435" s="2"/>
      <c r="H2435" s="2"/>
      <c r="I2435" s="72"/>
      <c r="J2435" s="72"/>
      <c r="K2435" s="72"/>
      <c r="L2435" s="72"/>
      <c r="M2435" s="2"/>
      <c r="N2435" s="2"/>
      <c r="O2435" s="2"/>
      <c r="P2435" s="2"/>
      <c r="Q2435" s="2"/>
      <c r="R2435" s="2"/>
      <c r="S2435" s="2"/>
      <c r="T2435" s="2"/>
      <c r="U2435" s="2"/>
      <c r="V2435" s="2"/>
      <c r="W2435" s="2"/>
      <c r="X2435" s="2"/>
      <c r="Y2435" s="2"/>
      <c r="Z2435" s="2"/>
      <c r="AA2435" s="2"/>
      <c r="AB2435" s="2"/>
      <c r="AC2435" s="2"/>
      <c r="AD2435" s="2"/>
      <c r="AE2435" s="2"/>
      <c r="AF2435" s="2"/>
      <c r="AG2435" s="2"/>
      <c r="AH2435" s="2"/>
      <c r="AI2435" s="2"/>
      <c r="AJ2435" s="2" t="str">
        <f>IFERROR(__xludf.DUMMYFUNCTION("""COMPUTED_VALUE"""),"")</f>
        <v/>
      </c>
      <c r="AK2435" s="2" t="str">
        <f>IFERROR(__xludf.DUMMYFUNCTION("""COMPUTED_VALUE"""),"")</f>
        <v/>
      </c>
      <c r="AL2435" s="2" t="str">
        <f>IFERROR(__xludf.DUMMYFUNCTION("""COMPUTED_VALUE"""),"")</f>
        <v/>
      </c>
      <c r="AM2435" s="2" t="str">
        <f>IFERROR(__xludf.DUMMYFUNCTION("""COMPUTED_VALUE"""),"")</f>
        <v/>
      </c>
      <c r="AN2435" s="2" t="str">
        <f>IFERROR(__xludf.DUMMYFUNCTION("""COMPUTED_VALUE""")," ")</f>
        <v> </v>
      </c>
      <c r="AO2435" s="2" t="str">
        <f>IFERROR(__xludf.DUMMYFUNCTION("""COMPUTED_VALUE""")," ")</f>
        <v> </v>
      </c>
      <c r="AP2435" s="2" t="str">
        <f>IFERROR(__xludf.DUMMYFUNCTION("""COMPUTED_VALUE"""),"")</f>
        <v/>
      </c>
      <c r="AQ2435" s="2"/>
      <c r="AR2435" s="2"/>
      <c r="AS2435" s="2"/>
      <c r="AT2435" s="2"/>
      <c r="AU2435" s="2"/>
      <c r="AV2435" s="2"/>
      <c r="AW2435" s="2"/>
      <c r="AX2435" s="2"/>
      <c r="AY2435" s="2"/>
      <c r="AZ2435" s="2"/>
      <c r="BA2435" s="2"/>
      <c r="BB2435" s="2"/>
    </row>
    <row r="2436">
      <c r="A2436" s="2"/>
      <c r="B2436" s="2" t="str">
        <f>IFERROR(__xludf.DUMMYFUNCTION("""COMPUTED_VALUE"""),"")</f>
        <v/>
      </c>
      <c r="C2436" s="2"/>
      <c r="D2436" s="71"/>
      <c r="E2436" s="71" t="str">
        <f>IFERROR(__xludf.DUMMYFUNCTION("""COMPUTED_VALUE""")," ")</f>
        <v> </v>
      </c>
      <c r="F2436" s="2"/>
      <c r="G2436" s="2"/>
      <c r="H2436" s="2"/>
      <c r="I2436" s="72"/>
      <c r="J2436" s="72"/>
      <c r="K2436" s="72"/>
      <c r="L2436" s="72"/>
      <c r="M2436" s="2"/>
      <c r="N2436" s="2"/>
      <c r="O2436" s="2"/>
      <c r="P2436" s="2"/>
      <c r="Q2436" s="2"/>
      <c r="R2436" s="2"/>
      <c r="S2436" s="2"/>
      <c r="T2436" s="2"/>
      <c r="U2436" s="2"/>
      <c r="V2436" s="2"/>
      <c r="W2436" s="2"/>
      <c r="X2436" s="2"/>
      <c r="Y2436" s="2"/>
      <c r="Z2436" s="2"/>
      <c r="AA2436" s="2"/>
      <c r="AB2436" s="2"/>
      <c r="AC2436" s="2"/>
      <c r="AD2436" s="2"/>
      <c r="AE2436" s="2"/>
      <c r="AF2436" s="2"/>
      <c r="AG2436" s="2"/>
      <c r="AH2436" s="2"/>
      <c r="AI2436" s="2"/>
      <c r="AJ2436" s="2" t="str">
        <f>IFERROR(__xludf.DUMMYFUNCTION("""COMPUTED_VALUE"""),"")</f>
        <v/>
      </c>
      <c r="AK2436" s="2" t="str">
        <f>IFERROR(__xludf.DUMMYFUNCTION("""COMPUTED_VALUE"""),"")</f>
        <v/>
      </c>
      <c r="AL2436" s="2" t="str">
        <f>IFERROR(__xludf.DUMMYFUNCTION("""COMPUTED_VALUE"""),"")</f>
        <v/>
      </c>
      <c r="AM2436" s="2" t="str">
        <f>IFERROR(__xludf.DUMMYFUNCTION("""COMPUTED_VALUE"""),"")</f>
        <v/>
      </c>
      <c r="AN2436" s="2" t="str">
        <f>IFERROR(__xludf.DUMMYFUNCTION("""COMPUTED_VALUE""")," ")</f>
        <v> </v>
      </c>
      <c r="AO2436" s="2" t="str">
        <f>IFERROR(__xludf.DUMMYFUNCTION("""COMPUTED_VALUE""")," ")</f>
        <v> </v>
      </c>
      <c r="AP2436" s="2" t="str">
        <f>IFERROR(__xludf.DUMMYFUNCTION("""COMPUTED_VALUE"""),"")</f>
        <v/>
      </c>
      <c r="AQ2436" s="2"/>
      <c r="AR2436" s="2"/>
      <c r="AS2436" s="2"/>
      <c r="AT2436" s="2"/>
      <c r="AU2436" s="2"/>
      <c r="AV2436" s="2"/>
      <c r="AW2436" s="2"/>
      <c r="AX2436" s="2"/>
      <c r="AY2436" s="2"/>
      <c r="AZ2436" s="2"/>
      <c r="BA2436" s="2"/>
      <c r="BB2436" s="2"/>
    </row>
    <row r="2437">
      <c r="A2437" s="2"/>
      <c r="B2437" s="2" t="str">
        <f>IFERROR(__xludf.DUMMYFUNCTION("""COMPUTED_VALUE"""),"")</f>
        <v/>
      </c>
      <c r="C2437" s="2"/>
      <c r="D2437" s="71"/>
      <c r="E2437" s="71" t="str">
        <f>IFERROR(__xludf.DUMMYFUNCTION("""COMPUTED_VALUE""")," ")</f>
        <v> </v>
      </c>
      <c r="F2437" s="2"/>
      <c r="G2437" s="2"/>
      <c r="H2437" s="2"/>
      <c r="I2437" s="72"/>
      <c r="J2437" s="72"/>
      <c r="K2437" s="72"/>
      <c r="L2437" s="72"/>
      <c r="M2437" s="2"/>
      <c r="N2437" s="2"/>
      <c r="O2437" s="2"/>
      <c r="P2437" s="2"/>
      <c r="Q2437" s="2"/>
      <c r="R2437" s="2"/>
      <c r="S2437" s="2"/>
      <c r="T2437" s="2"/>
      <c r="U2437" s="2"/>
      <c r="V2437" s="2"/>
      <c r="W2437" s="2"/>
      <c r="X2437" s="2"/>
      <c r="Y2437" s="2"/>
      <c r="Z2437" s="2"/>
      <c r="AA2437" s="2"/>
      <c r="AB2437" s="2"/>
      <c r="AC2437" s="2"/>
      <c r="AD2437" s="2"/>
      <c r="AE2437" s="2"/>
      <c r="AF2437" s="2"/>
      <c r="AG2437" s="2"/>
      <c r="AH2437" s="2"/>
      <c r="AI2437" s="2"/>
      <c r="AJ2437" s="2" t="str">
        <f>IFERROR(__xludf.DUMMYFUNCTION("""COMPUTED_VALUE"""),"")</f>
        <v/>
      </c>
      <c r="AK2437" s="2" t="str">
        <f>IFERROR(__xludf.DUMMYFUNCTION("""COMPUTED_VALUE"""),"")</f>
        <v/>
      </c>
      <c r="AL2437" s="2" t="str">
        <f>IFERROR(__xludf.DUMMYFUNCTION("""COMPUTED_VALUE"""),"")</f>
        <v/>
      </c>
      <c r="AM2437" s="2" t="str">
        <f>IFERROR(__xludf.DUMMYFUNCTION("""COMPUTED_VALUE"""),"")</f>
        <v/>
      </c>
      <c r="AN2437" s="2" t="str">
        <f>IFERROR(__xludf.DUMMYFUNCTION("""COMPUTED_VALUE""")," ")</f>
        <v> </v>
      </c>
      <c r="AO2437" s="2" t="str">
        <f>IFERROR(__xludf.DUMMYFUNCTION("""COMPUTED_VALUE""")," ")</f>
        <v> </v>
      </c>
      <c r="AP2437" s="2" t="str">
        <f>IFERROR(__xludf.DUMMYFUNCTION("""COMPUTED_VALUE"""),"")</f>
        <v/>
      </c>
      <c r="AQ2437" s="2"/>
      <c r="AR2437" s="2"/>
      <c r="AS2437" s="2"/>
      <c r="AT2437" s="2"/>
      <c r="AU2437" s="2"/>
      <c r="AV2437" s="2"/>
      <c r="AW2437" s="2"/>
      <c r="AX2437" s="2"/>
      <c r="AY2437" s="2"/>
      <c r="AZ2437" s="2"/>
      <c r="BA2437" s="2"/>
      <c r="BB2437" s="2"/>
    </row>
    <row r="2438">
      <c r="A2438" s="2"/>
      <c r="B2438" s="2" t="str">
        <f>IFERROR(__xludf.DUMMYFUNCTION("""COMPUTED_VALUE"""),"")</f>
        <v/>
      </c>
      <c r="C2438" s="2"/>
      <c r="D2438" s="71"/>
      <c r="E2438" s="71" t="str">
        <f>IFERROR(__xludf.DUMMYFUNCTION("""COMPUTED_VALUE""")," ")</f>
        <v> </v>
      </c>
      <c r="F2438" s="2"/>
      <c r="G2438" s="2"/>
      <c r="H2438" s="2"/>
      <c r="I2438" s="72"/>
      <c r="J2438" s="72"/>
      <c r="K2438" s="72"/>
      <c r="L2438" s="72"/>
      <c r="M2438" s="2"/>
      <c r="N2438" s="2"/>
      <c r="O2438" s="2"/>
      <c r="P2438" s="2"/>
      <c r="Q2438" s="2"/>
      <c r="R2438" s="2"/>
      <c r="S2438" s="2"/>
      <c r="T2438" s="2"/>
      <c r="U2438" s="2"/>
      <c r="V2438" s="2"/>
      <c r="W2438" s="2"/>
      <c r="X2438" s="2"/>
      <c r="Y2438" s="2"/>
      <c r="Z2438" s="2"/>
      <c r="AA2438" s="2"/>
      <c r="AB2438" s="2"/>
      <c r="AC2438" s="2"/>
      <c r="AD2438" s="2"/>
      <c r="AE2438" s="2"/>
      <c r="AF2438" s="2"/>
      <c r="AG2438" s="2"/>
      <c r="AH2438" s="2"/>
      <c r="AI2438" s="2"/>
      <c r="AJ2438" s="2" t="str">
        <f>IFERROR(__xludf.DUMMYFUNCTION("""COMPUTED_VALUE"""),"")</f>
        <v/>
      </c>
      <c r="AK2438" s="2" t="str">
        <f>IFERROR(__xludf.DUMMYFUNCTION("""COMPUTED_VALUE"""),"")</f>
        <v/>
      </c>
      <c r="AL2438" s="2" t="str">
        <f>IFERROR(__xludf.DUMMYFUNCTION("""COMPUTED_VALUE"""),"")</f>
        <v/>
      </c>
      <c r="AM2438" s="2" t="str">
        <f>IFERROR(__xludf.DUMMYFUNCTION("""COMPUTED_VALUE"""),"")</f>
        <v/>
      </c>
      <c r="AN2438" s="2" t="str">
        <f>IFERROR(__xludf.DUMMYFUNCTION("""COMPUTED_VALUE""")," ")</f>
        <v> </v>
      </c>
      <c r="AO2438" s="2" t="str">
        <f>IFERROR(__xludf.DUMMYFUNCTION("""COMPUTED_VALUE""")," ")</f>
        <v> </v>
      </c>
      <c r="AP2438" s="2" t="str">
        <f>IFERROR(__xludf.DUMMYFUNCTION("""COMPUTED_VALUE"""),"")</f>
        <v/>
      </c>
      <c r="AQ2438" s="2"/>
      <c r="AR2438" s="2"/>
      <c r="AS2438" s="2"/>
      <c r="AT2438" s="2"/>
      <c r="AU2438" s="2"/>
      <c r="AV2438" s="2"/>
      <c r="AW2438" s="2"/>
      <c r="AX2438" s="2"/>
      <c r="AY2438" s="2"/>
      <c r="AZ2438" s="2"/>
      <c r="BA2438" s="2"/>
      <c r="BB2438" s="2"/>
    </row>
    <row r="2439">
      <c r="A2439" s="2"/>
      <c r="B2439" s="2" t="str">
        <f>IFERROR(__xludf.DUMMYFUNCTION("""COMPUTED_VALUE"""),"")</f>
        <v/>
      </c>
      <c r="C2439" s="2"/>
      <c r="D2439" s="71"/>
      <c r="E2439" s="71" t="str">
        <f>IFERROR(__xludf.DUMMYFUNCTION("""COMPUTED_VALUE""")," ")</f>
        <v> </v>
      </c>
      <c r="F2439" s="2"/>
      <c r="G2439" s="2"/>
      <c r="H2439" s="2"/>
      <c r="I2439" s="72"/>
      <c r="J2439" s="72"/>
      <c r="K2439" s="72"/>
      <c r="L2439" s="72"/>
      <c r="M2439" s="2"/>
      <c r="N2439" s="2"/>
      <c r="O2439" s="2"/>
      <c r="P2439" s="2"/>
      <c r="Q2439" s="2"/>
      <c r="R2439" s="2"/>
      <c r="S2439" s="2"/>
      <c r="T2439" s="2"/>
      <c r="U2439" s="2"/>
      <c r="V2439" s="2"/>
      <c r="W2439" s="2"/>
      <c r="X2439" s="2"/>
      <c r="Y2439" s="2"/>
      <c r="Z2439" s="2"/>
      <c r="AA2439" s="2"/>
      <c r="AB2439" s="2"/>
      <c r="AC2439" s="2"/>
      <c r="AD2439" s="2"/>
      <c r="AE2439" s="2"/>
      <c r="AF2439" s="2"/>
      <c r="AG2439" s="2"/>
      <c r="AH2439" s="2"/>
      <c r="AI2439" s="2"/>
      <c r="AJ2439" s="2" t="str">
        <f>IFERROR(__xludf.DUMMYFUNCTION("""COMPUTED_VALUE"""),"")</f>
        <v/>
      </c>
      <c r="AK2439" s="2" t="str">
        <f>IFERROR(__xludf.DUMMYFUNCTION("""COMPUTED_VALUE"""),"")</f>
        <v/>
      </c>
      <c r="AL2439" s="2" t="str">
        <f>IFERROR(__xludf.DUMMYFUNCTION("""COMPUTED_VALUE"""),"")</f>
        <v/>
      </c>
      <c r="AM2439" s="2" t="str">
        <f>IFERROR(__xludf.DUMMYFUNCTION("""COMPUTED_VALUE"""),"")</f>
        <v/>
      </c>
      <c r="AN2439" s="2" t="str">
        <f>IFERROR(__xludf.DUMMYFUNCTION("""COMPUTED_VALUE""")," ")</f>
        <v> </v>
      </c>
      <c r="AO2439" s="2" t="str">
        <f>IFERROR(__xludf.DUMMYFUNCTION("""COMPUTED_VALUE""")," ")</f>
        <v> </v>
      </c>
      <c r="AP2439" s="2" t="str">
        <f>IFERROR(__xludf.DUMMYFUNCTION("""COMPUTED_VALUE"""),"")</f>
        <v/>
      </c>
      <c r="AQ2439" s="2"/>
      <c r="AR2439" s="2"/>
      <c r="AS2439" s="2"/>
      <c r="AT2439" s="2"/>
      <c r="AU2439" s="2"/>
      <c r="AV2439" s="2"/>
      <c r="AW2439" s="2"/>
      <c r="AX2439" s="2"/>
      <c r="AY2439" s="2"/>
      <c r="AZ2439" s="2"/>
      <c r="BA2439" s="2"/>
      <c r="BB2439" s="2"/>
    </row>
    <row r="2440">
      <c r="A2440" s="2"/>
      <c r="B2440" s="2" t="str">
        <f>IFERROR(__xludf.DUMMYFUNCTION("""COMPUTED_VALUE"""),"")</f>
        <v/>
      </c>
      <c r="C2440" s="2"/>
      <c r="D2440" s="71"/>
      <c r="E2440" s="71" t="str">
        <f>IFERROR(__xludf.DUMMYFUNCTION("""COMPUTED_VALUE""")," ")</f>
        <v> </v>
      </c>
      <c r="F2440" s="2"/>
      <c r="G2440" s="2"/>
      <c r="H2440" s="2"/>
      <c r="I2440" s="72"/>
      <c r="J2440" s="72"/>
      <c r="K2440" s="72"/>
      <c r="L2440" s="72"/>
      <c r="M2440" s="2"/>
      <c r="N2440" s="2"/>
      <c r="O2440" s="2"/>
      <c r="P2440" s="2"/>
      <c r="Q2440" s="2"/>
      <c r="R2440" s="2"/>
      <c r="S2440" s="2"/>
      <c r="T2440" s="2"/>
      <c r="U2440" s="2"/>
      <c r="V2440" s="2"/>
      <c r="W2440" s="2"/>
      <c r="X2440" s="2"/>
      <c r="Y2440" s="2"/>
      <c r="Z2440" s="2"/>
      <c r="AA2440" s="2"/>
      <c r="AB2440" s="2"/>
      <c r="AC2440" s="2"/>
      <c r="AD2440" s="2"/>
      <c r="AE2440" s="2"/>
      <c r="AF2440" s="2"/>
      <c r="AG2440" s="2"/>
      <c r="AH2440" s="2"/>
      <c r="AI2440" s="2"/>
      <c r="AJ2440" s="2" t="str">
        <f>IFERROR(__xludf.DUMMYFUNCTION("""COMPUTED_VALUE"""),"")</f>
        <v/>
      </c>
      <c r="AK2440" s="2" t="str">
        <f>IFERROR(__xludf.DUMMYFUNCTION("""COMPUTED_VALUE"""),"")</f>
        <v/>
      </c>
      <c r="AL2440" s="2" t="str">
        <f>IFERROR(__xludf.DUMMYFUNCTION("""COMPUTED_VALUE"""),"")</f>
        <v/>
      </c>
      <c r="AM2440" s="2" t="str">
        <f>IFERROR(__xludf.DUMMYFUNCTION("""COMPUTED_VALUE"""),"")</f>
        <v/>
      </c>
      <c r="AN2440" s="2" t="str">
        <f>IFERROR(__xludf.DUMMYFUNCTION("""COMPUTED_VALUE""")," ")</f>
        <v> </v>
      </c>
      <c r="AO2440" s="2" t="str">
        <f>IFERROR(__xludf.DUMMYFUNCTION("""COMPUTED_VALUE""")," ")</f>
        <v> </v>
      </c>
      <c r="AP2440" s="2" t="str">
        <f>IFERROR(__xludf.DUMMYFUNCTION("""COMPUTED_VALUE"""),"")</f>
        <v/>
      </c>
      <c r="AQ2440" s="2"/>
      <c r="AR2440" s="2"/>
      <c r="AS2440" s="2"/>
      <c r="AT2440" s="2"/>
      <c r="AU2440" s="2"/>
      <c r="AV2440" s="2"/>
      <c r="AW2440" s="2"/>
      <c r="AX2440" s="2"/>
      <c r="AY2440" s="2"/>
      <c r="AZ2440" s="2"/>
      <c r="BA2440" s="2"/>
      <c r="BB2440" s="2"/>
    </row>
    <row r="2441">
      <c r="A2441" s="2"/>
      <c r="B2441" s="2" t="str">
        <f>IFERROR(__xludf.DUMMYFUNCTION("""COMPUTED_VALUE"""),"")</f>
        <v/>
      </c>
      <c r="C2441" s="2"/>
      <c r="D2441" s="71"/>
      <c r="E2441" s="71" t="str">
        <f>IFERROR(__xludf.DUMMYFUNCTION("""COMPUTED_VALUE""")," ")</f>
        <v> </v>
      </c>
      <c r="F2441" s="2"/>
      <c r="G2441" s="2"/>
      <c r="H2441" s="2"/>
      <c r="I2441" s="72"/>
      <c r="J2441" s="72"/>
      <c r="K2441" s="72"/>
      <c r="L2441" s="72"/>
      <c r="M2441" s="2"/>
      <c r="N2441" s="2"/>
      <c r="O2441" s="2"/>
      <c r="P2441" s="2"/>
      <c r="Q2441" s="2"/>
      <c r="R2441" s="2"/>
      <c r="S2441" s="2"/>
      <c r="T2441" s="2"/>
      <c r="U2441" s="2"/>
      <c r="V2441" s="2"/>
      <c r="W2441" s="2"/>
      <c r="X2441" s="2"/>
      <c r="Y2441" s="2"/>
      <c r="Z2441" s="2"/>
      <c r="AA2441" s="2"/>
      <c r="AB2441" s="2"/>
      <c r="AC2441" s="2"/>
      <c r="AD2441" s="2"/>
      <c r="AE2441" s="2"/>
      <c r="AF2441" s="2"/>
      <c r="AG2441" s="2"/>
      <c r="AH2441" s="2"/>
      <c r="AI2441" s="2"/>
      <c r="AJ2441" s="2" t="str">
        <f>IFERROR(__xludf.DUMMYFUNCTION("""COMPUTED_VALUE"""),"")</f>
        <v/>
      </c>
      <c r="AK2441" s="2" t="str">
        <f>IFERROR(__xludf.DUMMYFUNCTION("""COMPUTED_VALUE"""),"")</f>
        <v/>
      </c>
      <c r="AL2441" s="2" t="str">
        <f>IFERROR(__xludf.DUMMYFUNCTION("""COMPUTED_VALUE"""),"")</f>
        <v/>
      </c>
      <c r="AM2441" s="2" t="str">
        <f>IFERROR(__xludf.DUMMYFUNCTION("""COMPUTED_VALUE"""),"")</f>
        <v/>
      </c>
      <c r="AN2441" s="2" t="str">
        <f>IFERROR(__xludf.DUMMYFUNCTION("""COMPUTED_VALUE""")," ")</f>
        <v> </v>
      </c>
      <c r="AO2441" s="2" t="str">
        <f>IFERROR(__xludf.DUMMYFUNCTION("""COMPUTED_VALUE""")," ")</f>
        <v> </v>
      </c>
      <c r="AP2441" s="2" t="str">
        <f>IFERROR(__xludf.DUMMYFUNCTION("""COMPUTED_VALUE"""),"")</f>
        <v/>
      </c>
      <c r="AQ2441" s="2"/>
      <c r="AR2441" s="2"/>
      <c r="AS2441" s="2"/>
      <c r="AT2441" s="2"/>
      <c r="AU2441" s="2"/>
      <c r="AV2441" s="2"/>
      <c r="AW2441" s="2"/>
      <c r="AX2441" s="2"/>
      <c r="AY2441" s="2"/>
      <c r="AZ2441" s="2"/>
      <c r="BA2441" s="2"/>
      <c r="BB2441" s="2"/>
    </row>
    <row r="2442">
      <c r="A2442" s="2"/>
      <c r="B2442" s="2" t="str">
        <f>IFERROR(__xludf.DUMMYFUNCTION("""COMPUTED_VALUE"""),"")</f>
        <v/>
      </c>
      <c r="C2442" s="2"/>
      <c r="D2442" s="71"/>
      <c r="E2442" s="71" t="str">
        <f>IFERROR(__xludf.DUMMYFUNCTION("""COMPUTED_VALUE""")," ")</f>
        <v> </v>
      </c>
      <c r="F2442" s="2"/>
      <c r="G2442" s="2"/>
      <c r="H2442" s="2"/>
      <c r="I2442" s="72"/>
      <c r="J2442" s="72"/>
      <c r="K2442" s="72"/>
      <c r="L2442" s="72"/>
      <c r="M2442" s="2"/>
      <c r="N2442" s="2"/>
      <c r="O2442" s="2"/>
      <c r="P2442" s="2"/>
      <c r="Q2442" s="2"/>
      <c r="R2442" s="2"/>
      <c r="S2442" s="2"/>
      <c r="T2442" s="2"/>
      <c r="U2442" s="2"/>
      <c r="V2442" s="2"/>
      <c r="W2442" s="2"/>
      <c r="X2442" s="2"/>
      <c r="Y2442" s="2"/>
      <c r="Z2442" s="2"/>
      <c r="AA2442" s="2"/>
      <c r="AB2442" s="2"/>
      <c r="AC2442" s="2"/>
      <c r="AD2442" s="2"/>
      <c r="AE2442" s="2"/>
      <c r="AF2442" s="2"/>
      <c r="AG2442" s="2"/>
      <c r="AH2442" s="2"/>
      <c r="AI2442" s="2"/>
      <c r="AJ2442" s="2" t="str">
        <f>IFERROR(__xludf.DUMMYFUNCTION("""COMPUTED_VALUE"""),"")</f>
        <v/>
      </c>
      <c r="AK2442" s="2" t="str">
        <f>IFERROR(__xludf.DUMMYFUNCTION("""COMPUTED_VALUE"""),"")</f>
        <v/>
      </c>
      <c r="AL2442" s="2" t="str">
        <f>IFERROR(__xludf.DUMMYFUNCTION("""COMPUTED_VALUE"""),"")</f>
        <v/>
      </c>
      <c r="AM2442" s="2" t="str">
        <f>IFERROR(__xludf.DUMMYFUNCTION("""COMPUTED_VALUE"""),"")</f>
        <v/>
      </c>
      <c r="AN2442" s="2" t="str">
        <f>IFERROR(__xludf.DUMMYFUNCTION("""COMPUTED_VALUE""")," ")</f>
        <v> </v>
      </c>
      <c r="AO2442" s="2" t="str">
        <f>IFERROR(__xludf.DUMMYFUNCTION("""COMPUTED_VALUE""")," ")</f>
        <v> </v>
      </c>
      <c r="AP2442" s="2" t="str">
        <f>IFERROR(__xludf.DUMMYFUNCTION("""COMPUTED_VALUE"""),"")</f>
        <v/>
      </c>
      <c r="AQ2442" s="2"/>
      <c r="AR2442" s="2"/>
      <c r="AS2442" s="2"/>
      <c r="AT2442" s="2"/>
      <c r="AU2442" s="2"/>
      <c r="AV2442" s="2"/>
      <c r="AW2442" s="2"/>
      <c r="AX2442" s="2"/>
      <c r="AY2442" s="2"/>
      <c r="AZ2442" s="2"/>
      <c r="BA2442" s="2"/>
      <c r="BB2442" s="2"/>
    </row>
    <row r="2443">
      <c r="A2443" s="2"/>
      <c r="B2443" s="2" t="str">
        <f>IFERROR(__xludf.DUMMYFUNCTION("""COMPUTED_VALUE"""),"")</f>
        <v/>
      </c>
      <c r="C2443" s="2"/>
      <c r="D2443" s="71"/>
      <c r="E2443" s="71" t="str">
        <f>IFERROR(__xludf.DUMMYFUNCTION("""COMPUTED_VALUE""")," ")</f>
        <v> </v>
      </c>
      <c r="F2443" s="2"/>
      <c r="G2443" s="2"/>
      <c r="H2443" s="2"/>
      <c r="I2443" s="72"/>
      <c r="J2443" s="72"/>
      <c r="K2443" s="72"/>
      <c r="L2443" s="72"/>
      <c r="M2443" s="2"/>
      <c r="N2443" s="2"/>
      <c r="O2443" s="2"/>
      <c r="P2443" s="2"/>
      <c r="Q2443" s="2"/>
      <c r="R2443" s="2"/>
      <c r="S2443" s="2"/>
      <c r="T2443" s="2"/>
      <c r="U2443" s="2"/>
      <c r="V2443" s="2"/>
      <c r="W2443" s="2"/>
      <c r="X2443" s="2"/>
      <c r="Y2443" s="2"/>
      <c r="Z2443" s="2"/>
      <c r="AA2443" s="2"/>
      <c r="AB2443" s="2"/>
      <c r="AC2443" s="2"/>
      <c r="AD2443" s="2"/>
      <c r="AE2443" s="2"/>
      <c r="AF2443" s="2"/>
      <c r="AG2443" s="2"/>
      <c r="AH2443" s="2"/>
      <c r="AI2443" s="2"/>
      <c r="AJ2443" s="2" t="str">
        <f>IFERROR(__xludf.DUMMYFUNCTION("""COMPUTED_VALUE"""),"")</f>
        <v/>
      </c>
      <c r="AK2443" s="2" t="str">
        <f>IFERROR(__xludf.DUMMYFUNCTION("""COMPUTED_VALUE"""),"")</f>
        <v/>
      </c>
      <c r="AL2443" s="2" t="str">
        <f>IFERROR(__xludf.DUMMYFUNCTION("""COMPUTED_VALUE"""),"")</f>
        <v/>
      </c>
      <c r="AM2443" s="2" t="str">
        <f>IFERROR(__xludf.DUMMYFUNCTION("""COMPUTED_VALUE"""),"")</f>
        <v/>
      </c>
      <c r="AN2443" s="2" t="str">
        <f>IFERROR(__xludf.DUMMYFUNCTION("""COMPUTED_VALUE""")," ")</f>
        <v> </v>
      </c>
      <c r="AO2443" s="2" t="str">
        <f>IFERROR(__xludf.DUMMYFUNCTION("""COMPUTED_VALUE""")," ")</f>
        <v> </v>
      </c>
      <c r="AP2443" s="2" t="str">
        <f>IFERROR(__xludf.DUMMYFUNCTION("""COMPUTED_VALUE"""),"")</f>
        <v/>
      </c>
      <c r="AQ2443" s="2"/>
      <c r="AR2443" s="2"/>
      <c r="AS2443" s="2"/>
      <c r="AT2443" s="2"/>
      <c r="AU2443" s="2"/>
      <c r="AV2443" s="2"/>
      <c r="AW2443" s="2"/>
      <c r="AX2443" s="2"/>
      <c r="AY2443" s="2"/>
      <c r="AZ2443" s="2"/>
      <c r="BA2443" s="2"/>
      <c r="BB2443" s="2"/>
    </row>
    <row r="2444">
      <c r="A2444" s="2"/>
      <c r="B2444" s="2" t="str">
        <f>IFERROR(__xludf.DUMMYFUNCTION("""COMPUTED_VALUE"""),"")</f>
        <v/>
      </c>
      <c r="C2444" s="2"/>
      <c r="D2444" s="71"/>
      <c r="E2444" s="71" t="str">
        <f>IFERROR(__xludf.DUMMYFUNCTION("""COMPUTED_VALUE""")," ")</f>
        <v> </v>
      </c>
      <c r="F2444" s="2"/>
      <c r="G2444" s="2"/>
      <c r="H2444" s="2"/>
      <c r="I2444" s="72"/>
      <c r="J2444" s="72"/>
      <c r="K2444" s="72"/>
      <c r="L2444" s="72"/>
      <c r="M2444" s="2"/>
      <c r="N2444" s="2"/>
      <c r="O2444" s="2"/>
      <c r="P2444" s="2"/>
      <c r="Q2444" s="2"/>
      <c r="R2444" s="2"/>
      <c r="S2444" s="2"/>
      <c r="T2444" s="2"/>
      <c r="U2444" s="2"/>
      <c r="V2444" s="2"/>
      <c r="W2444" s="2"/>
      <c r="X2444" s="2"/>
      <c r="Y2444" s="2"/>
      <c r="Z2444" s="2"/>
      <c r="AA2444" s="2"/>
      <c r="AB2444" s="2"/>
      <c r="AC2444" s="2"/>
      <c r="AD2444" s="2"/>
      <c r="AE2444" s="2"/>
      <c r="AF2444" s="2"/>
      <c r="AG2444" s="2"/>
      <c r="AH2444" s="2"/>
      <c r="AI2444" s="2"/>
      <c r="AJ2444" s="2" t="str">
        <f>IFERROR(__xludf.DUMMYFUNCTION("""COMPUTED_VALUE"""),"")</f>
        <v/>
      </c>
      <c r="AK2444" s="2" t="str">
        <f>IFERROR(__xludf.DUMMYFUNCTION("""COMPUTED_VALUE"""),"")</f>
        <v/>
      </c>
      <c r="AL2444" s="2" t="str">
        <f>IFERROR(__xludf.DUMMYFUNCTION("""COMPUTED_VALUE"""),"")</f>
        <v/>
      </c>
      <c r="AM2444" s="2" t="str">
        <f>IFERROR(__xludf.DUMMYFUNCTION("""COMPUTED_VALUE"""),"")</f>
        <v/>
      </c>
      <c r="AN2444" s="2" t="str">
        <f>IFERROR(__xludf.DUMMYFUNCTION("""COMPUTED_VALUE""")," ")</f>
        <v> </v>
      </c>
      <c r="AO2444" s="2" t="str">
        <f>IFERROR(__xludf.DUMMYFUNCTION("""COMPUTED_VALUE""")," ")</f>
        <v> </v>
      </c>
      <c r="AP2444" s="2" t="str">
        <f>IFERROR(__xludf.DUMMYFUNCTION("""COMPUTED_VALUE"""),"")</f>
        <v/>
      </c>
      <c r="AQ2444" s="2"/>
      <c r="AR2444" s="2"/>
      <c r="AS2444" s="2"/>
      <c r="AT2444" s="2"/>
      <c r="AU2444" s="2"/>
      <c r="AV2444" s="2"/>
      <c r="AW2444" s="2"/>
      <c r="AX2444" s="2"/>
      <c r="AY2444" s="2"/>
      <c r="AZ2444" s="2"/>
      <c r="BA2444" s="2"/>
      <c r="BB2444" s="2"/>
    </row>
    <row r="2445">
      <c r="A2445" s="2"/>
      <c r="B2445" s="2" t="str">
        <f>IFERROR(__xludf.DUMMYFUNCTION("""COMPUTED_VALUE"""),"")</f>
        <v/>
      </c>
      <c r="C2445" s="2"/>
      <c r="D2445" s="71"/>
      <c r="E2445" s="71" t="str">
        <f>IFERROR(__xludf.DUMMYFUNCTION("""COMPUTED_VALUE""")," ")</f>
        <v> </v>
      </c>
      <c r="F2445" s="2"/>
      <c r="G2445" s="2"/>
      <c r="H2445" s="2"/>
      <c r="I2445" s="72"/>
      <c r="J2445" s="72"/>
      <c r="K2445" s="72"/>
      <c r="L2445" s="72"/>
      <c r="M2445" s="2"/>
      <c r="N2445" s="2"/>
      <c r="O2445" s="2"/>
      <c r="P2445" s="2"/>
      <c r="Q2445" s="2"/>
      <c r="R2445" s="2"/>
      <c r="S2445" s="2"/>
      <c r="T2445" s="2"/>
      <c r="U2445" s="2"/>
      <c r="V2445" s="2"/>
      <c r="W2445" s="2"/>
      <c r="X2445" s="2"/>
      <c r="Y2445" s="2"/>
      <c r="Z2445" s="2"/>
      <c r="AA2445" s="2"/>
      <c r="AB2445" s="2"/>
      <c r="AC2445" s="2"/>
      <c r="AD2445" s="2"/>
      <c r="AE2445" s="2"/>
      <c r="AF2445" s="2"/>
      <c r="AG2445" s="2"/>
      <c r="AH2445" s="2"/>
      <c r="AI2445" s="2"/>
      <c r="AJ2445" s="2" t="str">
        <f>IFERROR(__xludf.DUMMYFUNCTION("""COMPUTED_VALUE"""),"")</f>
        <v/>
      </c>
      <c r="AK2445" s="2" t="str">
        <f>IFERROR(__xludf.DUMMYFUNCTION("""COMPUTED_VALUE"""),"")</f>
        <v/>
      </c>
      <c r="AL2445" s="2" t="str">
        <f>IFERROR(__xludf.DUMMYFUNCTION("""COMPUTED_VALUE"""),"")</f>
        <v/>
      </c>
      <c r="AM2445" s="2" t="str">
        <f>IFERROR(__xludf.DUMMYFUNCTION("""COMPUTED_VALUE"""),"")</f>
        <v/>
      </c>
      <c r="AN2445" s="2" t="str">
        <f>IFERROR(__xludf.DUMMYFUNCTION("""COMPUTED_VALUE""")," ")</f>
        <v> </v>
      </c>
      <c r="AO2445" s="2" t="str">
        <f>IFERROR(__xludf.DUMMYFUNCTION("""COMPUTED_VALUE""")," ")</f>
        <v> </v>
      </c>
      <c r="AP2445" s="2" t="str">
        <f>IFERROR(__xludf.DUMMYFUNCTION("""COMPUTED_VALUE"""),"")</f>
        <v/>
      </c>
      <c r="AQ2445" s="2"/>
      <c r="AR2445" s="2"/>
      <c r="AS2445" s="2"/>
      <c r="AT2445" s="2"/>
      <c r="AU2445" s="2"/>
      <c r="AV2445" s="2"/>
      <c r="AW2445" s="2"/>
      <c r="AX2445" s="2"/>
      <c r="AY2445" s="2"/>
      <c r="AZ2445" s="2"/>
      <c r="BA2445" s="2"/>
      <c r="BB2445" s="2"/>
    </row>
    <row r="2446">
      <c r="A2446" s="2"/>
      <c r="B2446" s="2" t="str">
        <f>IFERROR(__xludf.DUMMYFUNCTION("""COMPUTED_VALUE"""),"")</f>
        <v/>
      </c>
      <c r="C2446" s="2"/>
      <c r="D2446" s="71"/>
      <c r="E2446" s="71" t="str">
        <f>IFERROR(__xludf.DUMMYFUNCTION("""COMPUTED_VALUE""")," ")</f>
        <v> </v>
      </c>
      <c r="F2446" s="2"/>
      <c r="G2446" s="2"/>
      <c r="H2446" s="2"/>
      <c r="I2446" s="72"/>
      <c r="J2446" s="72"/>
      <c r="K2446" s="72"/>
      <c r="L2446" s="72"/>
      <c r="M2446" s="2"/>
      <c r="N2446" s="2"/>
      <c r="O2446" s="2"/>
      <c r="P2446" s="2"/>
      <c r="Q2446" s="2"/>
      <c r="R2446" s="2"/>
      <c r="S2446" s="2"/>
      <c r="T2446" s="2"/>
      <c r="U2446" s="2"/>
      <c r="V2446" s="2"/>
      <c r="W2446" s="2"/>
      <c r="X2446" s="2"/>
      <c r="Y2446" s="2"/>
      <c r="Z2446" s="2"/>
      <c r="AA2446" s="2"/>
      <c r="AB2446" s="2"/>
      <c r="AC2446" s="2"/>
      <c r="AD2446" s="2"/>
      <c r="AE2446" s="2"/>
      <c r="AF2446" s="2"/>
      <c r="AG2446" s="2"/>
      <c r="AH2446" s="2"/>
      <c r="AI2446" s="2"/>
      <c r="AJ2446" s="2" t="str">
        <f>IFERROR(__xludf.DUMMYFUNCTION("""COMPUTED_VALUE"""),"")</f>
        <v/>
      </c>
      <c r="AK2446" s="2" t="str">
        <f>IFERROR(__xludf.DUMMYFUNCTION("""COMPUTED_VALUE"""),"")</f>
        <v/>
      </c>
      <c r="AL2446" s="2" t="str">
        <f>IFERROR(__xludf.DUMMYFUNCTION("""COMPUTED_VALUE"""),"")</f>
        <v/>
      </c>
      <c r="AM2446" s="2" t="str">
        <f>IFERROR(__xludf.DUMMYFUNCTION("""COMPUTED_VALUE"""),"")</f>
        <v/>
      </c>
      <c r="AN2446" s="2" t="str">
        <f>IFERROR(__xludf.DUMMYFUNCTION("""COMPUTED_VALUE""")," ")</f>
        <v> </v>
      </c>
      <c r="AO2446" s="2" t="str">
        <f>IFERROR(__xludf.DUMMYFUNCTION("""COMPUTED_VALUE""")," ")</f>
        <v> </v>
      </c>
      <c r="AP2446" s="2" t="str">
        <f>IFERROR(__xludf.DUMMYFUNCTION("""COMPUTED_VALUE"""),"")</f>
        <v/>
      </c>
      <c r="AQ2446" s="2"/>
      <c r="AR2446" s="2"/>
      <c r="AS2446" s="2"/>
      <c r="AT2446" s="2"/>
      <c r="AU2446" s="2"/>
      <c r="AV2446" s="2"/>
      <c r="AW2446" s="2"/>
      <c r="AX2446" s="2"/>
      <c r="AY2446" s="2"/>
      <c r="AZ2446" s="2"/>
      <c r="BA2446" s="2"/>
      <c r="BB2446" s="2"/>
    </row>
    <row r="2447">
      <c r="A2447" s="2"/>
      <c r="B2447" s="2" t="str">
        <f>IFERROR(__xludf.DUMMYFUNCTION("""COMPUTED_VALUE"""),"")</f>
        <v/>
      </c>
      <c r="C2447" s="2"/>
      <c r="D2447" s="71"/>
      <c r="E2447" s="71" t="str">
        <f>IFERROR(__xludf.DUMMYFUNCTION("""COMPUTED_VALUE""")," ")</f>
        <v> </v>
      </c>
      <c r="F2447" s="2"/>
      <c r="G2447" s="2"/>
      <c r="H2447" s="2"/>
      <c r="I2447" s="72"/>
      <c r="J2447" s="72"/>
      <c r="K2447" s="72"/>
      <c r="L2447" s="72"/>
      <c r="M2447" s="2"/>
      <c r="N2447" s="2"/>
      <c r="O2447" s="2"/>
      <c r="P2447" s="2"/>
      <c r="Q2447" s="2"/>
      <c r="R2447" s="2"/>
      <c r="S2447" s="2"/>
      <c r="T2447" s="2"/>
      <c r="U2447" s="2"/>
      <c r="V2447" s="2"/>
      <c r="W2447" s="2"/>
      <c r="X2447" s="2"/>
      <c r="Y2447" s="2"/>
      <c r="Z2447" s="2"/>
      <c r="AA2447" s="2"/>
      <c r="AB2447" s="2"/>
      <c r="AC2447" s="2"/>
      <c r="AD2447" s="2"/>
      <c r="AE2447" s="2"/>
      <c r="AF2447" s="2"/>
      <c r="AG2447" s="2"/>
      <c r="AH2447" s="2"/>
      <c r="AI2447" s="2"/>
      <c r="AJ2447" s="2" t="str">
        <f>IFERROR(__xludf.DUMMYFUNCTION("""COMPUTED_VALUE"""),"")</f>
        <v/>
      </c>
      <c r="AK2447" s="2" t="str">
        <f>IFERROR(__xludf.DUMMYFUNCTION("""COMPUTED_VALUE"""),"")</f>
        <v/>
      </c>
      <c r="AL2447" s="2" t="str">
        <f>IFERROR(__xludf.DUMMYFUNCTION("""COMPUTED_VALUE"""),"")</f>
        <v/>
      </c>
      <c r="AM2447" s="2" t="str">
        <f>IFERROR(__xludf.DUMMYFUNCTION("""COMPUTED_VALUE"""),"")</f>
        <v/>
      </c>
      <c r="AN2447" s="2" t="str">
        <f>IFERROR(__xludf.DUMMYFUNCTION("""COMPUTED_VALUE""")," ")</f>
        <v> </v>
      </c>
      <c r="AO2447" s="2" t="str">
        <f>IFERROR(__xludf.DUMMYFUNCTION("""COMPUTED_VALUE""")," ")</f>
        <v> </v>
      </c>
      <c r="AP2447" s="2" t="str">
        <f>IFERROR(__xludf.DUMMYFUNCTION("""COMPUTED_VALUE"""),"")</f>
        <v/>
      </c>
      <c r="AQ2447" s="2"/>
      <c r="AR2447" s="2"/>
      <c r="AS2447" s="2"/>
      <c r="AT2447" s="2"/>
      <c r="AU2447" s="2"/>
      <c r="AV2447" s="2"/>
      <c r="AW2447" s="2"/>
      <c r="AX2447" s="2"/>
      <c r="AY2447" s="2"/>
      <c r="AZ2447" s="2"/>
      <c r="BA2447" s="2"/>
      <c r="BB2447" s="2"/>
    </row>
    <row r="2448">
      <c r="A2448" s="2"/>
      <c r="B2448" s="2" t="str">
        <f>IFERROR(__xludf.DUMMYFUNCTION("""COMPUTED_VALUE"""),"")</f>
        <v/>
      </c>
      <c r="C2448" s="2"/>
      <c r="D2448" s="71"/>
      <c r="E2448" s="71" t="str">
        <f>IFERROR(__xludf.DUMMYFUNCTION("""COMPUTED_VALUE""")," ")</f>
        <v> </v>
      </c>
      <c r="F2448" s="2"/>
      <c r="G2448" s="2"/>
      <c r="H2448" s="2"/>
      <c r="I2448" s="72"/>
      <c r="J2448" s="72"/>
      <c r="K2448" s="72"/>
      <c r="L2448" s="72"/>
      <c r="M2448" s="2"/>
      <c r="N2448" s="2"/>
      <c r="O2448" s="2"/>
      <c r="P2448" s="2"/>
      <c r="Q2448" s="2"/>
      <c r="R2448" s="2"/>
      <c r="S2448" s="2"/>
      <c r="T2448" s="2"/>
      <c r="U2448" s="2"/>
      <c r="V2448" s="2"/>
      <c r="W2448" s="2"/>
      <c r="X2448" s="2"/>
      <c r="Y2448" s="2"/>
      <c r="Z2448" s="2"/>
      <c r="AA2448" s="2"/>
      <c r="AB2448" s="2"/>
      <c r="AC2448" s="2"/>
      <c r="AD2448" s="2"/>
      <c r="AE2448" s="2"/>
      <c r="AF2448" s="2"/>
      <c r="AG2448" s="2"/>
      <c r="AH2448" s="2"/>
      <c r="AI2448" s="2"/>
      <c r="AJ2448" s="2" t="str">
        <f>IFERROR(__xludf.DUMMYFUNCTION("""COMPUTED_VALUE"""),"")</f>
        <v/>
      </c>
      <c r="AK2448" s="2" t="str">
        <f>IFERROR(__xludf.DUMMYFUNCTION("""COMPUTED_VALUE"""),"")</f>
        <v/>
      </c>
      <c r="AL2448" s="2" t="str">
        <f>IFERROR(__xludf.DUMMYFUNCTION("""COMPUTED_VALUE"""),"")</f>
        <v/>
      </c>
      <c r="AM2448" s="2" t="str">
        <f>IFERROR(__xludf.DUMMYFUNCTION("""COMPUTED_VALUE"""),"")</f>
        <v/>
      </c>
      <c r="AN2448" s="2" t="str">
        <f>IFERROR(__xludf.DUMMYFUNCTION("""COMPUTED_VALUE""")," ")</f>
        <v> </v>
      </c>
      <c r="AO2448" s="2" t="str">
        <f>IFERROR(__xludf.DUMMYFUNCTION("""COMPUTED_VALUE""")," ")</f>
        <v> </v>
      </c>
      <c r="AP2448" s="2" t="str">
        <f>IFERROR(__xludf.DUMMYFUNCTION("""COMPUTED_VALUE"""),"")</f>
        <v/>
      </c>
      <c r="AQ2448" s="2"/>
      <c r="AR2448" s="2"/>
      <c r="AS2448" s="2"/>
      <c r="AT2448" s="2"/>
      <c r="AU2448" s="2"/>
      <c r="AV2448" s="2"/>
      <c r="AW2448" s="2"/>
      <c r="AX2448" s="2"/>
      <c r="AY2448" s="2"/>
      <c r="AZ2448" s="2"/>
      <c r="BA2448" s="2"/>
      <c r="BB2448" s="2"/>
    </row>
    <row r="2449">
      <c r="A2449" s="2"/>
      <c r="B2449" s="2" t="str">
        <f>IFERROR(__xludf.DUMMYFUNCTION("""COMPUTED_VALUE"""),"")</f>
        <v/>
      </c>
      <c r="C2449" s="2"/>
      <c r="D2449" s="71"/>
      <c r="E2449" s="71" t="str">
        <f>IFERROR(__xludf.DUMMYFUNCTION("""COMPUTED_VALUE""")," ")</f>
        <v> </v>
      </c>
      <c r="F2449" s="2"/>
      <c r="G2449" s="2"/>
      <c r="H2449" s="2"/>
      <c r="I2449" s="72"/>
      <c r="J2449" s="72"/>
      <c r="K2449" s="72"/>
      <c r="L2449" s="72"/>
      <c r="M2449" s="2"/>
      <c r="N2449" s="2"/>
      <c r="O2449" s="2"/>
      <c r="P2449" s="2"/>
      <c r="Q2449" s="2"/>
      <c r="R2449" s="2"/>
      <c r="S2449" s="2"/>
      <c r="T2449" s="2"/>
      <c r="U2449" s="2"/>
      <c r="V2449" s="2"/>
      <c r="W2449" s="2"/>
      <c r="X2449" s="2"/>
      <c r="Y2449" s="2"/>
      <c r="Z2449" s="2"/>
      <c r="AA2449" s="2"/>
      <c r="AB2449" s="2"/>
      <c r="AC2449" s="2"/>
      <c r="AD2449" s="2"/>
      <c r="AE2449" s="2"/>
      <c r="AF2449" s="2"/>
      <c r="AG2449" s="2"/>
      <c r="AH2449" s="2"/>
      <c r="AI2449" s="2"/>
      <c r="AJ2449" s="2" t="str">
        <f>IFERROR(__xludf.DUMMYFUNCTION("""COMPUTED_VALUE"""),"")</f>
        <v/>
      </c>
      <c r="AK2449" s="2" t="str">
        <f>IFERROR(__xludf.DUMMYFUNCTION("""COMPUTED_VALUE"""),"")</f>
        <v/>
      </c>
      <c r="AL2449" s="2" t="str">
        <f>IFERROR(__xludf.DUMMYFUNCTION("""COMPUTED_VALUE"""),"")</f>
        <v/>
      </c>
      <c r="AM2449" s="2" t="str">
        <f>IFERROR(__xludf.DUMMYFUNCTION("""COMPUTED_VALUE"""),"")</f>
        <v/>
      </c>
      <c r="AN2449" s="2" t="str">
        <f>IFERROR(__xludf.DUMMYFUNCTION("""COMPUTED_VALUE""")," ")</f>
        <v> </v>
      </c>
      <c r="AO2449" s="2" t="str">
        <f>IFERROR(__xludf.DUMMYFUNCTION("""COMPUTED_VALUE""")," ")</f>
        <v> </v>
      </c>
      <c r="AP2449" s="2" t="str">
        <f>IFERROR(__xludf.DUMMYFUNCTION("""COMPUTED_VALUE"""),"")</f>
        <v/>
      </c>
      <c r="AQ2449" s="2"/>
      <c r="AR2449" s="2"/>
      <c r="AS2449" s="2"/>
      <c r="AT2449" s="2"/>
      <c r="AU2449" s="2"/>
      <c r="AV2449" s="2"/>
      <c r="AW2449" s="2"/>
      <c r="AX2449" s="2"/>
      <c r="AY2449" s="2"/>
      <c r="AZ2449" s="2"/>
      <c r="BA2449" s="2"/>
      <c r="BB2449" s="2"/>
    </row>
    <row r="2450">
      <c r="A2450" s="2"/>
      <c r="B2450" s="2" t="str">
        <f>IFERROR(__xludf.DUMMYFUNCTION("""COMPUTED_VALUE"""),"")</f>
        <v/>
      </c>
      <c r="C2450" s="2"/>
      <c r="D2450" s="71"/>
      <c r="E2450" s="71" t="str">
        <f>IFERROR(__xludf.DUMMYFUNCTION("""COMPUTED_VALUE""")," ")</f>
        <v> </v>
      </c>
      <c r="F2450" s="2"/>
      <c r="G2450" s="2"/>
      <c r="H2450" s="2"/>
      <c r="I2450" s="72"/>
      <c r="J2450" s="72"/>
      <c r="K2450" s="72"/>
      <c r="L2450" s="72"/>
      <c r="M2450" s="2"/>
      <c r="N2450" s="2"/>
      <c r="O2450" s="2"/>
      <c r="P2450" s="2"/>
      <c r="Q2450" s="2"/>
      <c r="R2450" s="2"/>
      <c r="S2450" s="2"/>
      <c r="T2450" s="2"/>
      <c r="U2450" s="2"/>
      <c r="V2450" s="2"/>
      <c r="W2450" s="2"/>
      <c r="X2450" s="2"/>
      <c r="Y2450" s="2"/>
      <c r="Z2450" s="2"/>
      <c r="AA2450" s="2"/>
      <c r="AB2450" s="2"/>
      <c r="AC2450" s="2"/>
      <c r="AD2450" s="2"/>
      <c r="AE2450" s="2"/>
      <c r="AF2450" s="2"/>
      <c r="AG2450" s="2"/>
      <c r="AH2450" s="2"/>
      <c r="AI2450" s="2"/>
      <c r="AJ2450" s="2" t="str">
        <f>IFERROR(__xludf.DUMMYFUNCTION("""COMPUTED_VALUE"""),"")</f>
        <v/>
      </c>
      <c r="AK2450" s="2" t="str">
        <f>IFERROR(__xludf.DUMMYFUNCTION("""COMPUTED_VALUE"""),"")</f>
        <v/>
      </c>
      <c r="AL2450" s="2" t="str">
        <f>IFERROR(__xludf.DUMMYFUNCTION("""COMPUTED_VALUE"""),"")</f>
        <v/>
      </c>
      <c r="AM2450" s="2" t="str">
        <f>IFERROR(__xludf.DUMMYFUNCTION("""COMPUTED_VALUE"""),"")</f>
        <v/>
      </c>
      <c r="AN2450" s="2" t="str">
        <f>IFERROR(__xludf.DUMMYFUNCTION("""COMPUTED_VALUE""")," ")</f>
        <v> </v>
      </c>
      <c r="AO2450" s="2" t="str">
        <f>IFERROR(__xludf.DUMMYFUNCTION("""COMPUTED_VALUE""")," ")</f>
        <v> </v>
      </c>
      <c r="AP2450" s="2" t="str">
        <f>IFERROR(__xludf.DUMMYFUNCTION("""COMPUTED_VALUE"""),"")</f>
        <v/>
      </c>
      <c r="AQ2450" s="2"/>
      <c r="AR2450" s="2"/>
      <c r="AS2450" s="2"/>
      <c r="AT2450" s="2"/>
      <c r="AU2450" s="2"/>
      <c r="AV2450" s="2"/>
      <c r="AW2450" s="2"/>
      <c r="AX2450" s="2"/>
      <c r="AY2450" s="2"/>
      <c r="AZ2450" s="2"/>
      <c r="BA2450" s="2"/>
      <c r="BB2450" s="2"/>
    </row>
    <row r="2451">
      <c r="A2451" s="2"/>
      <c r="B2451" s="2" t="str">
        <f>IFERROR(__xludf.DUMMYFUNCTION("""COMPUTED_VALUE"""),"")</f>
        <v/>
      </c>
      <c r="C2451" s="2"/>
      <c r="D2451" s="71"/>
      <c r="E2451" s="71" t="str">
        <f>IFERROR(__xludf.DUMMYFUNCTION("""COMPUTED_VALUE""")," ")</f>
        <v> </v>
      </c>
      <c r="F2451" s="2"/>
      <c r="G2451" s="2"/>
      <c r="H2451" s="2"/>
      <c r="I2451" s="72"/>
      <c r="J2451" s="72"/>
      <c r="K2451" s="72"/>
      <c r="L2451" s="72"/>
      <c r="M2451" s="2"/>
      <c r="N2451" s="2"/>
      <c r="O2451" s="2"/>
      <c r="P2451" s="2"/>
      <c r="Q2451" s="2"/>
      <c r="R2451" s="2"/>
      <c r="S2451" s="2"/>
      <c r="T2451" s="2"/>
      <c r="U2451" s="2"/>
      <c r="V2451" s="2"/>
      <c r="W2451" s="2"/>
      <c r="X2451" s="2"/>
      <c r="Y2451" s="2"/>
      <c r="Z2451" s="2"/>
      <c r="AA2451" s="2"/>
      <c r="AB2451" s="2"/>
      <c r="AC2451" s="2"/>
      <c r="AD2451" s="2"/>
      <c r="AE2451" s="2"/>
      <c r="AF2451" s="2"/>
      <c r="AG2451" s="2"/>
      <c r="AH2451" s="2"/>
      <c r="AI2451" s="2"/>
      <c r="AJ2451" s="2" t="str">
        <f>IFERROR(__xludf.DUMMYFUNCTION("""COMPUTED_VALUE"""),"")</f>
        <v/>
      </c>
      <c r="AK2451" s="2" t="str">
        <f>IFERROR(__xludf.DUMMYFUNCTION("""COMPUTED_VALUE"""),"")</f>
        <v/>
      </c>
      <c r="AL2451" s="2" t="str">
        <f>IFERROR(__xludf.DUMMYFUNCTION("""COMPUTED_VALUE"""),"")</f>
        <v/>
      </c>
      <c r="AM2451" s="2" t="str">
        <f>IFERROR(__xludf.DUMMYFUNCTION("""COMPUTED_VALUE"""),"")</f>
        <v/>
      </c>
      <c r="AN2451" s="2" t="str">
        <f>IFERROR(__xludf.DUMMYFUNCTION("""COMPUTED_VALUE""")," ")</f>
        <v> </v>
      </c>
      <c r="AO2451" s="2" t="str">
        <f>IFERROR(__xludf.DUMMYFUNCTION("""COMPUTED_VALUE""")," ")</f>
        <v> </v>
      </c>
      <c r="AP2451" s="2" t="str">
        <f>IFERROR(__xludf.DUMMYFUNCTION("""COMPUTED_VALUE"""),"")</f>
        <v/>
      </c>
      <c r="AQ2451" s="2"/>
      <c r="AR2451" s="2"/>
      <c r="AS2451" s="2"/>
      <c r="AT2451" s="2"/>
      <c r="AU2451" s="2"/>
      <c r="AV2451" s="2"/>
      <c r="AW2451" s="2"/>
      <c r="AX2451" s="2"/>
      <c r="AY2451" s="2"/>
      <c r="AZ2451" s="2"/>
      <c r="BA2451" s="2"/>
      <c r="BB2451" s="2"/>
    </row>
    <row r="2452">
      <c r="A2452" s="2"/>
      <c r="B2452" s="2" t="str">
        <f>IFERROR(__xludf.DUMMYFUNCTION("""COMPUTED_VALUE"""),"")</f>
        <v/>
      </c>
      <c r="C2452" s="2"/>
      <c r="D2452" s="71"/>
      <c r="E2452" s="71" t="str">
        <f>IFERROR(__xludf.DUMMYFUNCTION("""COMPUTED_VALUE""")," ")</f>
        <v> </v>
      </c>
      <c r="F2452" s="2"/>
      <c r="G2452" s="2"/>
      <c r="H2452" s="2"/>
      <c r="I2452" s="72"/>
      <c r="J2452" s="72"/>
      <c r="K2452" s="72"/>
      <c r="L2452" s="72"/>
      <c r="M2452" s="2"/>
      <c r="N2452" s="2"/>
      <c r="O2452" s="2"/>
      <c r="P2452" s="2"/>
      <c r="Q2452" s="2"/>
      <c r="R2452" s="2"/>
      <c r="S2452" s="2"/>
      <c r="T2452" s="2"/>
      <c r="U2452" s="2"/>
      <c r="V2452" s="2"/>
      <c r="W2452" s="2"/>
      <c r="X2452" s="2"/>
      <c r="Y2452" s="2"/>
      <c r="Z2452" s="2"/>
      <c r="AA2452" s="2"/>
      <c r="AB2452" s="2"/>
      <c r="AC2452" s="2"/>
      <c r="AD2452" s="2"/>
      <c r="AE2452" s="2"/>
      <c r="AF2452" s="2"/>
      <c r="AG2452" s="2"/>
      <c r="AH2452" s="2"/>
      <c r="AI2452" s="2"/>
      <c r="AJ2452" s="2" t="str">
        <f>IFERROR(__xludf.DUMMYFUNCTION("""COMPUTED_VALUE"""),"")</f>
        <v/>
      </c>
      <c r="AK2452" s="2" t="str">
        <f>IFERROR(__xludf.DUMMYFUNCTION("""COMPUTED_VALUE"""),"")</f>
        <v/>
      </c>
      <c r="AL2452" s="2" t="str">
        <f>IFERROR(__xludf.DUMMYFUNCTION("""COMPUTED_VALUE"""),"")</f>
        <v/>
      </c>
      <c r="AM2452" s="2" t="str">
        <f>IFERROR(__xludf.DUMMYFUNCTION("""COMPUTED_VALUE"""),"")</f>
        <v/>
      </c>
      <c r="AN2452" s="2" t="str">
        <f>IFERROR(__xludf.DUMMYFUNCTION("""COMPUTED_VALUE""")," ")</f>
        <v> </v>
      </c>
      <c r="AO2452" s="2" t="str">
        <f>IFERROR(__xludf.DUMMYFUNCTION("""COMPUTED_VALUE""")," ")</f>
        <v> </v>
      </c>
      <c r="AP2452" s="2" t="str">
        <f>IFERROR(__xludf.DUMMYFUNCTION("""COMPUTED_VALUE"""),"")</f>
        <v/>
      </c>
      <c r="AQ2452" s="2"/>
      <c r="AR2452" s="2"/>
      <c r="AS2452" s="2"/>
      <c r="AT2452" s="2"/>
      <c r="AU2452" s="2"/>
      <c r="AV2452" s="2"/>
      <c r="AW2452" s="2"/>
      <c r="AX2452" s="2"/>
      <c r="AY2452" s="2"/>
      <c r="AZ2452" s="2"/>
      <c r="BA2452" s="2"/>
      <c r="BB2452" s="2"/>
    </row>
    <row r="2453">
      <c r="A2453" s="2"/>
      <c r="B2453" s="2" t="str">
        <f>IFERROR(__xludf.DUMMYFUNCTION("""COMPUTED_VALUE"""),"")</f>
        <v/>
      </c>
      <c r="C2453" s="2"/>
      <c r="D2453" s="71"/>
      <c r="E2453" s="71" t="str">
        <f>IFERROR(__xludf.DUMMYFUNCTION("""COMPUTED_VALUE""")," ")</f>
        <v> </v>
      </c>
      <c r="F2453" s="2"/>
      <c r="G2453" s="2"/>
      <c r="H2453" s="2"/>
      <c r="I2453" s="72"/>
      <c r="J2453" s="72"/>
      <c r="K2453" s="72"/>
      <c r="L2453" s="72"/>
      <c r="M2453" s="2"/>
      <c r="N2453" s="2"/>
      <c r="O2453" s="2"/>
      <c r="P2453" s="2"/>
      <c r="Q2453" s="2"/>
      <c r="R2453" s="2"/>
      <c r="S2453" s="2"/>
      <c r="T2453" s="2"/>
      <c r="U2453" s="2"/>
      <c r="V2453" s="2"/>
      <c r="W2453" s="2"/>
      <c r="X2453" s="2"/>
      <c r="Y2453" s="2"/>
      <c r="Z2453" s="2"/>
      <c r="AA2453" s="2"/>
      <c r="AB2453" s="2"/>
      <c r="AC2453" s="2"/>
      <c r="AD2453" s="2"/>
      <c r="AE2453" s="2"/>
      <c r="AF2453" s="2"/>
      <c r="AG2453" s="2"/>
      <c r="AH2453" s="2"/>
      <c r="AI2453" s="2"/>
      <c r="AJ2453" s="2" t="str">
        <f>IFERROR(__xludf.DUMMYFUNCTION("""COMPUTED_VALUE"""),"")</f>
        <v/>
      </c>
      <c r="AK2453" s="2" t="str">
        <f>IFERROR(__xludf.DUMMYFUNCTION("""COMPUTED_VALUE"""),"")</f>
        <v/>
      </c>
      <c r="AL2453" s="2" t="str">
        <f>IFERROR(__xludf.DUMMYFUNCTION("""COMPUTED_VALUE"""),"")</f>
        <v/>
      </c>
      <c r="AM2453" s="2" t="str">
        <f>IFERROR(__xludf.DUMMYFUNCTION("""COMPUTED_VALUE"""),"")</f>
        <v/>
      </c>
      <c r="AN2453" s="2" t="str">
        <f>IFERROR(__xludf.DUMMYFUNCTION("""COMPUTED_VALUE""")," ")</f>
        <v> </v>
      </c>
      <c r="AO2453" s="2" t="str">
        <f>IFERROR(__xludf.DUMMYFUNCTION("""COMPUTED_VALUE""")," ")</f>
        <v> </v>
      </c>
      <c r="AP2453" s="2" t="str">
        <f>IFERROR(__xludf.DUMMYFUNCTION("""COMPUTED_VALUE"""),"")</f>
        <v/>
      </c>
      <c r="AQ2453" s="2"/>
      <c r="AR2453" s="2"/>
      <c r="AS2453" s="2"/>
      <c r="AT2453" s="2"/>
      <c r="AU2453" s="2"/>
      <c r="AV2453" s="2"/>
      <c r="AW2453" s="2"/>
      <c r="AX2453" s="2"/>
      <c r="AY2453" s="2"/>
      <c r="AZ2453" s="2"/>
      <c r="BA2453" s="2"/>
      <c r="BB2453" s="2"/>
    </row>
    <row r="2454">
      <c r="A2454" s="2"/>
      <c r="B2454" s="2" t="str">
        <f>IFERROR(__xludf.DUMMYFUNCTION("""COMPUTED_VALUE"""),"")</f>
        <v/>
      </c>
      <c r="C2454" s="2"/>
      <c r="D2454" s="71"/>
      <c r="E2454" s="71" t="str">
        <f>IFERROR(__xludf.DUMMYFUNCTION("""COMPUTED_VALUE""")," ")</f>
        <v> </v>
      </c>
      <c r="F2454" s="2"/>
      <c r="G2454" s="2"/>
      <c r="H2454" s="2"/>
      <c r="I2454" s="72"/>
      <c r="J2454" s="72"/>
      <c r="K2454" s="72"/>
      <c r="L2454" s="72"/>
      <c r="M2454" s="2"/>
      <c r="N2454" s="2"/>
      <c r="O2454" s="2"/>
      <c r="P2454" s="2"/>
      <c r="Q2454" s="2"/>
      <c r="R2454" s="2"/>
      <c r="S2454" s="2"/>
      <c r="T2454" s="2"/>
      <c r="U2454" s="2"/>
      <c r="V2454" s="2"/>
      <c r="W2454" s="2"/>
      <c r="X2454" s="2"/>
      <c r="Y2454" s="2"/>
      <c r="Z2454" s="2"/>
      <c r="AA2454" s="2"/>
      <c r="AB2454" s="2"/>
      <c r="AC2454" s="2"/>
      <c r="AD2454" s="2"/>
      <c r="AE2454" s="2"/>
      <c r="AF2454" s="2"/>
      <c r="AG2454" s="2"/>
      <c r="AH2454" s="2"/>
      <c r="AI2454" s="2"/>
      <c r="AJ2454" s="2" t="str">
        <f>IFERROR(__xludf.DUMMYFUNCTION("""COMPUTED_VALUE"""),"")</f>
        <v/>
      </c>
      <c r="AK2454" s="2" t="str">
        <f>IFERROR(__xludf.DUMMYFUNCTION("""COMPUTED_VALUE"""),"")</f>
        <v/>
      </c>
      <c r="AL2454" s="2" t="str">
        <f>IFERROR(__xludf.DUMMYFUNCTION("""COMPUTED_VALUE"""),"")</f>
        <v/>
      </c>
      <c r="AM2454" s="2" t="str">
        <f>IFERROR(__xludf.DUMMYFUNCTION("""COMPUTED_VALUE"""),"")</f>
        <v/>
      </c>
      <c r="AN2454" s="2" t="str">
        <f>IFERROR(__xludf.DUMMYFUNCTION("""COMPUTED_VALUE""")," ")</f>
        <v> </v>
      </c>
      <c r="AO2454" s="2" t="str">
        <f>IFERROR(__xludf.DUMMYFUNCTION("""COMPUTED_VALUE""")," ")</f>
        <v> </v>
      </c>
      <c r="AP2454" s="2" t="str">
        <f>IFERROR(__xludf.DUMMYFUNCTION("""COMPUTED_VALUE"""),"")</f>
        <v/>
      </c>
      <c r="AQ2454" s="2"/>
      <c r="AR2454" s="2"/>
      <c r="AS2454" s="2"/>
      <c r="AT2454" s="2"/>
      <c r="AU2454" s="2"/>
      <c r="AV2454" s="2"/>
      <c r="AW2454" s="2"/>
      <c r="AX2454" s="2"/>
      <c r="AY2454" s="2"/>
      <c r="AZ2454" s="2"/>
      <c r="BA2454" s="2"/>
      <c r="BB2454" s="2"/>
    </row>
    <row r="2455">
      <c r="A2455" s="2"/>
      <c r="B2455" s="2" t="str">
        <f>IFERROR(__xludf.DUMMYFUNCTION("""COMPUTED_VALUE"""),"")</f>
        <v/>
      </c>
      <c r="C2455" s="2"/>
      <c r="D2455" s="71"/>
      <c r="E2455" s="71" t="str">
        <f>IFERROR(__xludf.DUMMYFUNCTION("""COMPUTED_VALUE""")," ")</f>
        <v> </v>
      </c>
      <c r="F2455" s="2"/>
      <c r="G2455" s="2"/>
      <c r="H2455" s="2"/>
      <c r="I2455" s="72"/>
      <c r="J2455" s="72"/>
      <c r="K2455" s="72"/>
      <c r="L2455" s="72"/>
      <c r="M2455" s="2"/>
      <c r="N2455" s="2"/>
      <c r="O2455" s="2"/>
      <c r="P2455" s="2"/>
      <c r="Q2455" s="2"/>
      <c r="R2455" s="2"/>
      <c r="S2455" s="2"/>
      <c r="T2455" s="2"/>
      <c r="U2455" s="2"/>
      <c r="V2455" s="2"/>
      <c r="W2455" s="2"/>
      <c r="X2455" s="2"/>
      <c r="Y2455" s="2"/>
      <c r="Z2455" s="2"/>
      <c r="AA2455" s="2"/>
      <c r="AB2455" s="2"/>
      <c r="AC2455" s="2"/>
      <c r="AD2455" s="2"/>
      <c r="AE2455" s="2"/>
      <c r="AF2455" s="2"/>
      <c r="AG2455" s="2"/>
      <c r="AH2455" s="2"/>
      <c r="AI2455" s="2"/>
      <c r="AJ2455" s="2" t="str">
        <f>IFERROR(__xludf.DUMMYFUNCTION("""COMPUTED_VALUE"""),"")</f>
        <v/>
      </c>
      <c r="AK2455" s="2" t="str">
        <f>IFERROR(__xludf.DUMMYFUNCTION("""COMPUTED_VALUE"""),"")</f>
        <v/>
      </c>
      <c r="AL2455" s="2" t="str">
        <f>IFERROR(__xludf.DUMMYFUNCTION("""COMPUTED_VALUE"""),"")</f>
        <v/>
      </c>
      <c r="AM2455" s="2" t="str">
        <f>IFERROR(__xludf.DUMMYFUNCTION("""COMPUTED_VALUE"""),"")</f>
        <v/>
      </c>
      <c r="AN2455" s="2" t="str">
        <f>IFERROR(__xludf.DUMMYFUNCTION("""COMPUTED_VALUE""")," ")</f>
        <v> </v>
      </c>
      <c r="AO2455" s="2" t="str">
        <f>IFERROR(__xludf.DUMMYFUNCTION("""COMPUTED_VALUE""")," ")</f>
        <v> </v>
      </c>
      <c r="AP2455" s="2" t="str">
        <f>IFERROR(__xludf.DUMMYFUNCTION("""COMPUTED_VALUE"""),"")</f>
        <v/>
      </c>
      <c r="AQ2455" s="2"/>
      <c r="AR2455" s="2"/>
      <c r="AS2455" s="2"/>
      <c r="AT2455" s="2"/>
      <c r="AU2455" s="2"/>
      <c r="AV2455" s="2"/>
      <c r="AW2455" s="2"/>
      <c r="AX2455" s="2"/>
      <c r="AY2455" s="2"/>
      <c r="AZ2455" s="2"/>
      <c r="BA2455" s="2"/>
      <c r="BB2455" s="2"/>
    </row>
    <row r="2456">
      <c r="A2456" s="2"/>
      <c r="B2456" s="2" t="str">
        <f>IFERROR(__xludf.DUMMYFUNCTION("""COMPUTED_VALUE"""),"")</f>
        <v/>
      </c>
      <c r="C2456" s="2"/>
      <c r="D2456" s="71"/>
      <c r="E2456" s="71" t="str">
        <f>IFERROR(__xludf.DUMMYFUNCTION("""COMPUTED_VALUE""")," ")</f>
        <v> </v>
      </c>
      <c r="F2456" s="2"/>
      <c r="G2456" s="2"/>
      <c r="H2456" s="2"/>
      <c r="I2456" s="72"/>
      <c r="J2456" s="72"/>
      <c r="K2456" s="72"/>
      <c r="L2456" s="72"/>
      <c r="M2456" s="2"/>
      <c r="N2456" s="2"/>
      <c r="O2456" s="2"/>
      <c r="P2456" s="2"/>
      <c r="Q2456" s="2"/>
      <c r="R2456" s="2"/>
      <c r="S2456" s="2"/>
      <c r="T2456" s="2"/>
      <c r="U2456" s="2"/>
      <c r="V2456" s="2"/>
      <c r="W2456" s="2"/>
      <c r="X2456" s="2"/>
      <c r="Y2456" s="2"/>
      <c r="Z2456" s="2"/>
      <c r="AA2456" s="2"/>
      <c r="AB2456" s="2"/>
      <c r="AC2456" s="2"/>
      <c r="AD2456" s="2"/>
      <c r="AE2456" s="2"/>
      <c r="AF2456" s="2"/>
      <c r="AG2456" s="2"/>
      <c r="AH2456" s="2"/>
      <c r="AI2456" s="2"/>
      <c r="AJ2456" s="2" t="str">
        <f>IFERROR(__xludf.DUMMYFUNCTION("""COMPUTED_VALUE"""),"")</f>
        <v/>
      </c>
      <c r="AK2456" s="2" t="str">
        <f>IFERROR(__xludf.DUMMYFUNCTION("""COMPUTED_VALUE"""),"")</f>
        <v/>
      </c>
      <c r="AL2456" s="2" t="str">
        <f>IFERROR(__xludf.DUMMYFUNCTION("""COMPUTED_VALUE"""),"")</f>
        <v/>
      </c>
      <c r="AM2456" s="2" t="str">
        <f>IFERROR(__xludf.DUMMYFUNCTION("""COMPUTED_VALUE"""),"")</f>
        <v/>
      </c>
      <c r="AN2456" s="2" t="str">
        <f>IFERROR(__xludf.DUMMYFUNCTION("""COMPUTED_VALUE""")," ")</f>
        <v> </v>
      </c>
      <c r="AO2456" s="2" t="str">
        <f>IFERROR(__xludf.DUMMYFUNCTION("""COMPUTED_VALUE""")," ")</f>
        <v> </v>
      </c>
      <c r="AP2456" s="2" t="str">
        <f>IFERROR(__xludf.DUMMYFUNCTION("""COMPUTED_VALUE"""),"")</f>
        <v/>
      </c>
      <c r="AQ2456" s="2"/>
      <c r="AR2456" s="2"/>
      <c r="AS2456" s="2"/>
      <c r="AT2456" s="2"/>
      <c r="AU2456" s="2"/>
      <c r="AV2456" s="2"/>
      <c r="AW2456" s="2"/>
      <c r="AX2456" s="2"/>
      <c r="AY2456" s="2"/>
      <c r="AZ2456" s="2"/>
      <c r="BA2456" s="2"/>
      <c r="BB2456" s="2"/>
    </row>
    <row r="2457">
      <c r="A2457" s="2"/>
      <c r="B2457" s="2" t="str">
        <f>IFERROR(__xludf.DUMMYFUNCTION("""COMPUTED_VALUE"""),"")</f>
        <v/>
      </c>
      <c r="C2457" s="2"/>
      <c r="D2457" s="71"/>
      <c r="E2457" s="71" t="str">
        <f>IFERROR(__xludf.DUMMYFUNCTION("""COMPUTED_VALUE""")," ")</f>
        <v> </v>
      </c>
      <c r="F2457" s="2"/>
      <c r="G2457" s="2"/>
      <c r="H2457" s="2"/>
      <c r="I2457" s="72"/>
      <c r="J2457" s="72"/>
      <c r="K2457" s="72"/>
      <c r="L2457" s="72"/>
      <c r="M2457" s="2"/>
      <c r="N2457" s="2"/>
      <c r="O2457" s="2"/>
      <c r="P2457" s="2"/>
      <c r="Q2457" s="2"/>
      <c r="R2457" s="2"/>
      <c r="S2457" s="2"/>
      <c r="T2457" s="2"/>
      <c r="U2457" s="2"/>
      <c r="V2457" s="2"/>
      <c r="W2457" s="2"/>
      <c r="X2457" s="2"/>
      <c r="Y2457" s="2"/>
      <c r="Z2457" s="2"/>
      <c r="AA2457" s="2"/>
      <c r="AB2457" s="2"/>
      <c r="AC2457" s="2"/>
      <c r="AD2457" s="2"/>
      <c r="AE2457" s="2"/>
      <c r="AF2457" s="2"/>
      <c r="AG2457" s="2"/>
      <c r="AH2457" s="2"/>
      <c r="AI2457" s="2"/>
      <c r="AJ2457" s="2" t="str">
        <f>IFERROR(__xludf.DUMMYFUNCTION("""COMPUTED_VALUE"""),"")</f>
        <v/>
      </c>
      <c r="AK2457" s="2" t="str">
        <f>IFERROR(__xludf.DUMMYFUNCTION("""COMPUTED_VALUE"""),"")</f>
        <v/>
      </c>
      <c r="AL2457" s="2" t="str">
        <f>IFERROR(__xludf.DUMMYFUNCTION("""COMPUTED_VALUE"""),"")</f>
        <v/>
      </c>
      <c r="AM2457" s="2" t="str">
        <f>IFERROR(__xludf.DUMMYFUNCTION("""COMPUTED_VALUE"""),"")</f>
        <v/>
      </c>
      <c r="AN2457" s="2" t="str">
        <f>IFERROR(__xludf.DUMMYFUNCTION("""COMPUTED_VALUE""")," ")</f>
        <v> </v>
      </c>
      <c r="AO2457" s="2" t="str">
        <f>IFERROR(__xludf.DUMMYFUNCTION("""COMPUTED_VALUE""")," ")</f>
        <v> </v>
      </c>
      <c r="AP2457" s="2" t="str">
        <f>IFERROR(__xludf.DUMMYFUNCTION("""COMPUTED_VALUE"""),"")</f>
        <v/>
      </c>
      <c r="AQ2457" s="2"/>
      <c r="AR2457" s="2"/>
      <c r="AS2457" s="2"/>
      <c r="AT2457" s="2"/>
      <c r="AU2457" s="2"/>
      <c r="AV2457" s="2"/>
      <c r="AW2457" s="2"/>
      <c r="AX2457" s="2"/>
      <c r="AY2457" s="2"/>
      <c r="AZ2457" s="2"/>
      <c r="BA2457" s="2"/>
      <c r="BB2457" s="2"/>
    </row>
    <row r="2458">
      <c r="A2458" s="2"/>
      <c r="B2458" s="2" t="str">
        <f>IFERROR(__xludf.DUMMYFUNCTION("""COMPUTED_VALUE"""),"")</f>
        <v/>
      </c>
      <c r="C2458" s="2"/>
      <c r="D2458" s="71"/>
      <c r="E2458" s="71" t="str">
        <f>IFERROR(__xludf.DUMMYFUNCTION("""COMPUTED_VALUE""")," ")</f>
        <v> </v>
      </c>
      <c r="F2458" s="2"/>
      <c r="G2458" s="2"/>
      <c r="H2458" s="2"/>
      <c r="I2458" s="72"/>
      <c r="J2458" s="72"/>
      <c r="K2458" s="72"/>
      <c r="L2458" s="72"/>
      <c r="M2458" s="2"/>
      <c r="N2458" s="2"/>
      <c r="O2458" s="2"/>
      <c r="P2458" s="2"/>
      <c r="Q2458" s="2"/>
      <c r="R2458" s="2"/>
      <c r="S2458" s="2"/>
      <c r="T2458" s="2"/>
      <c r="U2458" s="2"/>
      <c r="V2458" s="2"/>
      <c r="W2458" s="2"/>
      <c r="X2458" s="2"/>
      <c r="Y2458" s="2"/>
      <c r="Z2458" s="2"/>
      <c r="AA2458" s="2"/>
      <c r="AB2458" s="2"/>
      <c r="AC2458" s="2"/>
      <c r="AD2458" s="2"/>
      <c r="AE2458" s="2"/>
      <c r="AF2458" s="2"/>
      <c r="AG2458" s="2"/>
      <c r="AH2458" s="2"/>
      <c r="AI2458" s="2"/>
      <c r="AJ2458" s="2" t="str">
        <f>IFERROR(__xludf.DUMMYFUNCTION("""COMPUTED_VALUE"""),"")</f>
        <v/>
      </c>
      <c r="AK2458" s="2" t="str">
        <f>IFERROR(__xludf.DUMMYFUNCTION("""COMPUTED_VALUE"""),"")</f>
        <v/>
      </c>
      <c r="AL2458" s="2" t="str">
        <f>IFERROR(__xludf.DUMMYFUNCTION("""COMPUTED_VALUE"""),"")</f>
        <v/>
      </c>
      <c r="AM2458" s="2" t="str">
        <f>IFERROR(__xludf.DUMMYFUNCTION("""COMPUTED_VALUE"""),"")</f>
        <v/>
      </c>
      <c r="AN2458" s="2" t="str">
        <f>IFERROR(__xludf.DUMMYFUNCTION("""COMPUTED_VALUE""")," ")</f>
        <v> </v>
      </c>
      <c r="AO2458" s="2" t="str">
        <f>IFERROR(__xludf.DUMMYFUNCTION("""COMPUTED_VALUE""")," ")</f>
        <v> </v>
      </c>
      <c r="AP2458" s="2" t="str">
        <f>IFERROR(__xludf.DUMMYFUNCTION("""COMPUTED_VALUE"""),"")</f>
        <v/>
      </c>
      <c r="AQ2458" s="2"/>
      <c r="AR2458" s="2"/>
      <c r="AS2458" s="2"/>
      <c r="AT2458" s="2"/>
      <c r="AU2458" s="2"/>
      <c r="AV2458" s="2"/>
      <c r="AW2458" s="2"/>
      <c r="AX2458" s="2"/>
      <c r="AY2458" s="2"/>
      <c r="AZ2458" s="2"/>
      <c r="BA2458" s="2"/>
      <c r="BB2458" s="2"/>
    </row>
    <row r="2459">
      <c r="A2459" s="2"/>
      <c r="B2459" s="2" t="str">
        <f>IFERROR(__xludf.DUMMYFUNCTION("""COMPUTED_VALUE"""),"")</f>
        <v/>
      </c>
      <c r="C2459" s="2"/>
      <c r="D2459" s="71"/>
      <c r="E2459" s="71" t="str">
        <f>IFERROR(__xludf.DUMMYFUNCTION("""COMPUTED_VALUE""")," ")</f>
        <v> </v>
      </c>
      <c r="F2459" s="2"/>
      <c r="G2459" s="2"/>
      <c r="H2459" s="2"/>
      <c r="I2459" s="72"/>
      <c r="J2459" s="72"/>
      <c r="K2459" s="72"/>
      <c r="L2459" s="72"/>
      <c r="M2459" s="2"/>
      <c r="N2459" s="2"/>
      <c r="O2459" s="2"/>
      <c r="P2459" s="2"/>
      <c r="Q2459" s="2"/>
      <c r="R2459" s="2"/>
      <c r="S2459" s="2"/>
      <c r="T2459" s="2"/>
      <c r="U2459" s="2"/>
      <c r="V2459" s="2"/>
      <c r="W2459" s="2"/>
      <c r="X2459" s="2"/>
      <c r="Y2459" s="2"/>
      <c r="Z2459" s="2"/>
      <c r="AA2459" s="2"/>
      <c r="AB2459" s="2"/>
      <c r="AC2459" s="2"/>
      <c r="AD2459" s="2"/>
      <c r="AE2459" s="2"/>
      <c r="AF2459" s="2"/>
      <c r="AG2459" s="2"/>
      <c r="AH2459" s="2"/>
      <c r="AI2459" s="2"/>
      <c r="AJ2459" s="2" t="str">
        <f>IFERROR(__xludf.DUMMYFUNCTION("""COMPUTED_VALUE"""),"")</f>
        <v/>
      </c>
      <c r="AK2459" s="2" t="str">
        <f>IFERROR(__xludf.DUMMYFUNCTION("""COMPUTED_VALUE"""),"")</f>
        <v/>
      </c>
      <c r="AL2459" s="2" t="str">
        <f>IFERROR(__xludf.DUMMYFUNCTION("""COMPUTED_VALUE"""),"")</f>
        <v/>
      </c>
      <c r="AM2459" s="2" t="str">
        <f>IFERROR(__xludf.DUMMYFUNCTION("""COMPUTED_VALUE"""),"")</f>
        <v/>
      </c>
      <c r="AN2459" s="2" t="str">
        <f>IFERROR(__xludf.DUMMYFUNCTION("""COMPUTED_VALUE""")," ")</f>
        <v> </v>
      </c>
      <c r="AO2459" s="2" t="str">
        <f>IFERROR(__xludf.DUMMYFUNCTION("""COMPUTED_VALUE""")," ")</f>
        <v> </v>
      </c>
      <c r="AP2459" s="2" t="str">
        <f>IFERROR(__xludf.DUMMYFUNCTION("""COMPUTED_VALUE"""),"")</f>
        <v/>
      </c>
      <c r="AQ2459" s="2"/>
      <c r="AR2459" s="2"/>
      <c r="AS2459" s="2"/>
      <c r="AT2459" s="2"/>
      <c r="AU2459" s="2"/>
      <c r="AV2459" s="2"/>
      <c r="AW2459" s="2"/>
      <c r="AX2459" s="2"/>
      <c r="AY2459" s="2"/>
      <c r="AZ2459" s="2"/>
      <c r="BA2459" s="2"/>
      <c r="BB2459" s="2"/>
    </row>
    <row r="2460">
      <c r="A2460" s="2"/>
      <c r="B2460" s="2" t="str">
        <f>IFERROR(__xludf.DUMMYFUNCTION("""COMPUTED_VALUE"""),"")</f>
        <v/>
      </c>
      <c r="C2460" s="2"/>
      <c r="D2460" s="71"/>
      <c r="E2460" s="71" t="str">
        <f>IFERROR(__xludf.DUMMYFUNCTION("""COMPUTED_VALUE""")," ")</f>
        <v> </v>
      </c>
      <c r="F2460" s="2"/>
      <c r="G2460" s="2"/>
      <c r="H2460" s="2"/>
      <c r="I2460" s="72"/>
      <c r="J2460" s="72"/>
      <c r="K2460" s="72"/>
      <c r="L2460" s="72"/>
      <c r="M2460" s="2"/>
      <c r="N2460" s="2"/>
      <c r="O2460" s="2"/>
      <c r="P2460" s="2"/>
      <c r="Q2460" s="2"/>
      <c r="R2460" s="2"/>
      <c r="S2460" s="2"/>
      <c r="T2460" s="2"/>
      <c r="U2460" s="2"/>
      <c r="V2460" s="2"/>
      <c r="W2460" s="2"/>
      <c r="X2460" s="2"/>
      <c r="Y2460" s="2"/>
      <c r="Z2460" s="2"/>
      <c r="AA2460" s="2"/>
      <c r="AB2460" s="2"/>
      <c r="AC2460" s="2"/>
      <c r="AD2460" s="2"/>
      <c r="AE2460" s="2"/>
      <c r="AF2460" s="2"/>
      <c r="AG2460" s="2"/>
      <c r="AH2460" s="2"/>
      <c r="AI2460" s="2"/>
      <c r="AJ2460" s="2" t="str">
        <f>IFERROR(__xludf.DUMMYFUNCTION("""COMPUTED_VALUE"""),"")</f>
        <v/>
      </c>
      <c r="AK2460" s="2" t="str">
        <f>IFERROR(__xludf.DUMMYFUNCTION("""COMPUTED_VALUE"""),"")</f>
        <v/>
      </c>
      <c r="AL2460" s="2" t="str">
        <f>IFERROR(__xludf.DUMMYFUNCTION("""COMPUTED_VALUE"""),"")</f>
        <v/>
      </c>
      <c r="AM2460" s="2" t="str">
        <f>IFERROR(__xludf.DUMMYFUNCTION("""COMPUTED_VALUE"""),"")</f>
        <v/>
      </c>
      <c r="AN2460" s="2" t="str">
        <f>IFERROR(__xludf.DUMMYFUNCTION("""COMPUTED_VALUE""")," ")</f>
        <v> </v>
      </c>
      <c r="AO2460" s="2" t="str">
        <f>IFERROR(__xludf.DUMMYFUNCTION("""COMPUTED_VALUE""")," ")</f>
        <v> </v>
      </c>
      <c r="AP2460" s="2" t="str">
        <f>IFERROR(__xludf.DUMMYFUNCTION("""COMPUTED_VALUE"""),"")</f>
        <v/>
      </c>
      <c r="AQ2460" s="2"/>
      <c r="AR2460" s="2"/>
      <c r="AS2460" s="2"/>
      <c r="AT2460" s="2"/>
      <c r="AU2460" s="2"/>
      <c r="AV2460" s="2"/>
      <c r="AW2460" s="2"/>
      <c r="AX2460" s="2"/>
      <c r="AY2460" s="2"/>
      <c r="AZ2460" s="2"/>
      <c r="BA2460" s="2"/>
      <c r="BB2460" s="2"/>
    </row>
    <row r="2461">
      <c r="A2461" s="2"/>
      <c r="B2461" s="2" t="str">
        <f>IFERROR(__xludf.DUMMYFUNCTION("""COMPUTED_VALUE"""),"")</f>
        <v/>
      </c>
      <c r="C2461" s="2"/>
      <c r="D2461" s="71"/>
      <c r="E2461" s="71" t="str">
        <f>IFERROR(__xludf.DUMMYFUNCTION("""COMPUTED_VALUE""")," ")</f>
        <v> </v>
      </c>
      <c r="F2461" s="2"/>
      <c r="G2461" s="2"/>
      <c r="H2461" s="2"/>
      <c r="I2461" s="72"/>
      <c r="J2461" s="72"/>
      <c r="K2461" s="72"/>
      <c r="L2461" s="72"/>
      <c r="M2461" s="2"/>
      <c r="N2461" s="2"/>
      <c r="O2461" s="2"/>
      <c r="P2461" s="2"/>
      <c r="Q2461" s="2"/>
      <c r="R2461" s="2"/>
      <c r="S2461" s="2"/>
      <c r="T2461" s="2"/>
      <c r="U2461" s="2"/>
      <c r="V2461" s="2"/>
      <c r="W2461" s="2"/>
      <c r="X2461" s="2"/>
      <c r="Y2461" s="2"/>
      <c r="Z2461" s="2"/>
      <c r="AA2461" s="2"/>
      <c r="AB2461" s="2"/>
      <c r="AC2461" s="2"/>
      <c r="AD2461" s="2"/>
      <c r="AE2461" s="2"/>
      <c r="AF2461" s="2"/>
      <c r="AG2461" s="2"/>
      <c r="AH2461" s="2"/>
      <c r="AI2461" s="2"/>
      <c r="AJ2461" s="2" t="str">
        <f>IFERROR(__xludf.DUMMYFUNCTION("""COMPUTED_VALUE"""),"")</f>
        <v/>
      </c>
      <c r="AK2461" s="2" t="str">
        <f>IFERROR(__xludf.DUMMYFUNCTION("""COMPUTED_VALUE"""),"")</f>
        <v/>
      </c>
      <c r="AL2461" s="2" t="str">
        <f>IFERROR(__xludf.DUMMYFUNCTION("""COMPUTED_VALUE"""),"")</f>
        <v/>
      </c>
      <c r="AM2461" s="2" t="str">
        <f>IFERROR(__xludf.DUMMYFUNCTION("""COMPUTED_VALUE"""),"")</f>
        <v/>
      </c>
      <c r="AN2461" s="2" t="str">
        <f>IFERROR(__xludf.DUMMYFUNCTION("""COMPUTED_VALUE""")," ")</f>
        <v> </v>
      </c>
      <c r="AO2461" s="2" t="str">
        <f>IFERROR(__xludf.DUMMYFUNCTION("""COMPUTED_VALUE""")," ")</f>
        <v> </v>
      </c>
      <c r="AP2461" s="2" t="str">
        <f>IFERROR(__xludf.DUMMYFUNCTION("""COMPUTED_VALUE"""),"")</f>
        <v/>
      </c>
      <c r="AQ2461" s="2"/>
      <c r="AR2461" s="2"/>
      <c r="AS2461" s="2"/>
      <c r="AT2461" s="2"/>
      <c r="AU2461" s="2"/>
      <c r="AV2461" s="2"/>
      <c r="AW2461" s="2"/>
      <c r="AX2461" s="2"/>
      <c r="AY2461" s="2"/>
      <c r="AZ2461" s="2"/>
      <c r="BA2461" s="2"/>
      <c r="BB2461" s="2"/>
    </row>
    <row r="2462">
      <c r="A2462" s="2"/>
      <c r="B2462" s="2" t="str">
        <f>IFERROR(__xludf.DUMMYFUNCTION("""COMPUTED_VALUE"""),"")</f>
        <v/>
      </c>
      <c r="C2462" s="2"/>
      <c r="D2462" s="71"/>
      <c r="E2462" s="71" t="str">
        <f>IFERROR(__xludf.DUMMYFUNCTION("""COMPUTED_VALUE""")," ")</f>
        <v> </v>
      </c>
      <c r="F2462" s="2"/>
      <c r="G2462" s="2"/>
      <c r="H2462" s="2"/>
      <c r="I2462" s="72"/>
      <c r="J2462" s="72"/>
      <c r="K2462" s="72"/>
      <c r="L2462" s="72"/>
      <c r="M2462" s="2"/>
      <c r="N2462" s="2"/>
      <c r="O2462" s="2"/>
      <c r="P2462" s="2"/>
      <c r="Q2462" s="2"/>
      <c r="R2462" s="2"/>
      <c r="S2462" s="2"/>
      <c r="T2462" s="2"/>
      <c r="U2462" s="2"/>
      <c r="V2462" s="2"/>
      <c r="W2462" s="2"/>
      <c r="X2462" s="2"/>
      <c r="Y2462" s="2"/>
      <c r="Z2462" s="2"/>
      <c r="AA2462" s="2"/>
      <c r="AB2462" s="2"/>
      <c r="AC2462" s="2"/>
      <c r="AD2462" s="2"/>
      <c r="AE2462" s="2"/>
      <c r="AF2462" s="2"/>
      <c r="AG2462" s="2"/>
      <c r="AH2462" s="2"/>
      <c r="AI2462" s="2"/>
      <c r="AJ2462" s="2" t="str">
        <f>IFERROR(__xludf.DUMMYFUNCTION("""COMPUTED_VALUE"""),"")</f>
        <v/>
      </c>
      <c r="AK2462" s="2" t="str">
        <f>IFERROR(__xludf.DUMMYFUNCTION("""COMPUTED_VALUE"""),"")</f>
        <v/>
      </c>
      <c r="AL2462" s="2" t="str">
        <f>IFERROR(__xludf.DUMMYFUNCTION("""COMPUTED_VALUE"""),"")</f>
        <v/>
      </c>
      <c r="AM2462" s="2" t="str">
        <f>IFERROR(__xludf.DUMMYFUNCTION("""COMPUTED_VALUE"""),"")</f>
        <v/>
      </c>
      <c r="AN2462" s="2" t="str">
        <f>IFERROR(__xludf.DUMMYFUNCTION("""COMPUTED_VALUE""")," ")</f>
        <v> </v>
      </c>
      <c r="AO2462" s="2" t="str">
        <f>IFERROR(__xludf.DUMMYFUNCTION("""COMPUTED_VALUE""")," ")</f>
        <v> </v>
      </c>
      <c r="AP2462" s="2" t="str">
        <f>IFERROR(__xludf.DUMMYFUNCTION("""COMPUTED_VALUE"""),"")</f>
        <v/>
      </c>
      <c r="AQ2462" s="2"/>
      <c r="AR2462" s="2"/>
      <c r="AS2462" s="2"/>
      <c r="AT2462" s="2"/>
      <c r="AU2462" s="2"/>
      <c r="AV2462" s="2"/>
      <c r="AW2462" s="2"/>
      <c r="AX2462" s="2"/>
      <c r="AY2462" s="2"/>
      <c r="AZ2462" s="2"/>
      <c r="BA2462" s="2"/>
      <c r="BB2462" s="2"/>
    </row>
    <row r="2463">
      <c r="A2463" s="2"/>
      <c r="B2463" s="2" t="str">
        <f>IFERROR(__xludf.DUMMYFUNCTION("""COMPUTED_VALUE"""),"")</f>
        <v/>
      </c>
      <c r="C2463" s="2"/>
      <c r="D2463" s="71"/>
      <c r="E2463" s="71" t="str">
        <f>IFERROR(__xludf.DUMMYFUNCTION("""COMPUTED_VALUE""")," ")</f>
        <v> </v>
      </c>
      <c r="F2463" s="2"/>
      <c r="G2463" s="2"/>
      <c r="H2463" s="2"/>
      <c r="I2463" s="72"/>
      <c r="J2463" s="72"/>
      <c r="K2463" s="72"/>
      <c r="L2463" s="72"/>
      <c r="M2463" s="2"/>
      <c r="N2463" s="2"/>
      <c r="O2463" s="2"/>
      <c r="P2463" s="2"/>
      <c r="Q2463" s="2"/>
      <c r="R2463" s="2"/>
      <c r="S2463" s="2"/>
      <c r="T2463" s="2"/>
      <c r="U2463" s="2"/>
      <c r="V2463" s="2"/>
      <c r="W2463" s="2"/>
      <c r="X2463" s="2"/>
      <c r="Y2463" s="2"/>
      <c r="Z2463" s="2"/>
      <c r="AA2463" s="2"/>
      <c r="AB2463" s="2"/>
      <c r="AC2463" s="2"/>
      <c r="AD2463" s="2"/>
      <c r="AE2463" s="2"/>
      <c r="AF2463" s="2"/>
      <c r="AG2463" s="2"/>
      <c r="AH2463" s="2"/>
      <c r="AI2463" s="2"/>
      <c r="AJ2463" s="2" t="str">
        <f>IFERROR(__xludf.DUMMYFUNCTION("""COMPUTED_VALUE"""),"")</f>
        <v/>
      </c>
      <c r="AK2463" s="2" t="str">
        <f>IFERROR(__xludf.DUMMYFUNCTION("""COMPUTED_VALUE"""),"")</f>
        <v/>
      </c>
      <c r="AL2463" s="2" t="str">
        <f>IFERROR(__xludf.DUMMYFUNCTION("""COMPUTED_VALUE"""),"")</f>
        <v/>
      </c>
      <c r="AM2463" s="2" t="str">
        <f>IFERROR(__xludf.DUMMYFUNCTION("""COMPUTED_VALUE"""),"")</f>
        <v/>
      </c>
      <c r="AN2463" s="2" t="str">
        <f>IFERROR(__xludf.DUMMYFUNCTION("""COMPUTED_VALUE""")," ")</f>
        <v> </v>
      </c>
      <c r="AO2463" s="2" t="str">
        <f>IFERROR(__xludf.DUMMYFUNCTION("""COMPUTED_VALUE""")," ")</f>
        <v> </v>
      </c>
      <c r="AP2463" s="2" t="str">
        <f>IFERROR(__xludf.DUMMYFUNCTION("""COMPUTED_VALUE"""),"")</f>
        <v/>
      </c>
      <c r="AQ2463" s="2"/>
      <c r="AR2463" s="2"/>
      <c r="AS2463" s="2"/>
      <c r="AT2463" s="2"/>
      <c r="AU2463" s="2"/>
      <c r="AV2463" s="2"/>
      <c r="AW2463" s="2"/>
      <c r="AX2463" s="2"/>
      <c r="AY2463" s="2"/>
      <c r="AZ2463" s="2"/>
      <c r="BA2463" s="2"/>
      <c r="BB2463" s="2"/>
    </row>
    <row r="2464">
      <c r="A2464" s="2"/>
      <c r="B2464" s="2" t="str">
        <f>IFERROR(__xludf.DUMMYFUNCTION("""COMPUTED_VALUE"""),"")</f>
        <v/>
      </c>
      <c r="C2464" s="2"/>
      <c r="D2464" s="71"/>
      <c r="E2464" s="71" t="str">
        <f>IFERROR(__xludf.DUMMYFUNCTION("""COMPUTED_VALUE""")," ")</f>
        <v> </v>
      </c>
      <c r="F2464" s="2"/>
      <c r="G2464" s="2"/>
      <c r="H2464" s="2"/>
      <c r="I2464" s="72"/>
      <c r="J2464" s="72"/>
      <c r="K2464" s="72"/>
      <c r="L2464" s="72"/>
      <c r="M2464" s="2"/>
      <c r="N2464" s="2"/>
      <c r="O2464" s="2"/>
      <c r="P2464" s="2"/>
      <c r="Q2464" s="2"/>
      <c r="R2464" s="2"/>
      <c r="S2464" s="2"/>
      <c r="T2464" s="2"/>
      <c r="U2464" s="2"/>
      <c r="V2464" s="2"/>
      <c r="W2464" s="2"/>
      <c r="X2464" s="2"/>
      <c r="Y2464" s="2"/>
      <c r="Z2464" s="2"/>
      <c r="AA2464" s="2"/>
      <c r="AB2464" s="2"/>
      <c r="AC2464" s="2"/>
      <c r="AD2464" s="2"/>
      <c r="AE2464" s="2"/>
      <c r="AF2464" s="2"/>
      <c r="AG2464" s="2"/>
      <c r="AH2464" s="2"/>
      <c r="AI2464" s="2"/>
      <c r="AJ2464" s="2" t="str">
        <f>IFERROR(__xludf.DUMMYFUNCTION("""COMPUTED_VALUE"""),"")</f>
        <v/>
      </c>
      <c r="AK2464" s="2" t="str">
        <f>IFERROR(__xludf.DUMMYFUNCTION("""COMPUTED_VALUE"""),"")</f>
        <v/>
      </c>
      <c r="AL2464" s="2" t="str">
        <f>IFERROR(__xludf.DUMMYFUNCTION("""COMPUTED_VALUE"""),"")</f>
        <v/>
      </c>
      <c r="AM2464" s="2" t="str">
        <f>IFERROR(__xludf.DUMMYFUNCTION("""COMPUTED_VALUE"""),"")</f>
        <v/>
      </c>
      <c r="AN2464" s="2" t="str">
        <f>IFERROR(__xludf.DUMMYFUNCTION("""COMPUTED_VALUE""")," ")</f>
        <v> </v>
      </c>
      <c r="AO2464" s="2" t="str">
        <f>IFERROR(__xludf.DUMMYFUNCTION("""COMPUTED_VALUE""")," ")</f>
        <v> </v>
      </c>
      <c r="AP2464" s="2" t="str">
        <f>IFERROR(__xludf.DUMMYFUNCTION("""COMPUTED_VALUE"""),"")</f>
        <v/>
      </c>
      <c r="AQ2464" s="2"/>
      <c r="AR2464" s="2"/>
      <c r="AS2464" s="2"/>
      <c r="AT2464" s="2"/>
      <c r="AU2464" s="2"/>
      <c r="AV2464" s="2"/>
      <c r="AW2464" s="2"/>
      <c r="AX2464" s="2"/>
      <c r="AY2464" s="2"/>
      <c r="AZ2464" s="2"/>
      <c r="BA2464" s="2"/>
      <c r="BB2464" s="2"/>
    </row>
    <row r="2465">
      <c r="A2465" s="2"/>
      <c r="B2465" s="2" t="str">
        <f>IFERROR(__xludf.DUMMYFUNCTION("""COMPUTED_VALUE"""),"")</f>
        <v/>
      </c>
      <c r="C2465" s="2"/>
      <c r="D2465" s="71"/>
      <c r="E2465" s="71" t="str">
        <f>IFERROR(__xludf.DUMMYFUNCTION("""COMPUTED_VALUE""")," ")</f>
        <v> </v>
      </c>
      <c r="F2465" s="2"/>
      <c r="G2465" s="2"/>
      <c r="H2465" s="2"/>
      <c r="I2465" s="72"/>
      <c r="J2465" s="72"/>
      <c r="K2465" s="72"/>
      <c r="L2465" s="72"/>
      <c r="M2465" s="2"/>
      <c r="N2465" s="2"/>
      <c r="O2465" s="2"/>
      <c r="P2465" s="2"/>
      <c r="Q2465" s="2"/>
      <c r="R2465" s="2"/>
      <c r="S2465" s="2"/>
      <c r="T2465" s="2"/>
      <c r="U2465" s="2"/>
      <c r="V2465" s="2"/>
      <c r="W2465" s="2"/>
      <c r="X2465" s="2"/>
      <c r="Y2465" s="2"/>
      <c r="Z2465" s="2"/>
      <c r="AA2465" s="2"/>
      <c r="AB2465" s="2"/>
      <c r="AC2465" s="2"/>
      <c r="AD2465" s="2"/>
      <c r="AE2465" s="2"/>
      <c r="AF2465" s="2"/>
      <c r="AG2465" s="2"/>
      <c r="AH2465" s="2"/>
      <c r="AI2465" s="2"/>
      <c r="AJ2465" s="2" t="str">
        <f>IFERROR(__xludf.DUMMYFUNCTION("""COMPUTED_VALUE"""),"")</f>
        <v/>
      </c>
      <c r="AK2465" s="2" t="str">
        <f>IFERROR(__xludf.DUMMYFUNCTION("""COMPUTED_VALUE"""),"")</f>
        <v/>
      </c>
      <c r="AL2465" s="2" t="str">
        <f>IFERROR(__xludf.DUMMYFUNCTION("""COMPUTED_VALUE"""),"")</f>
        <v/>
      </c>
      <c r="AM2465" s="2" t="str">
        <f>IFERROR(__xludf.DUMMYFUNCTION("""COMPUTED_VALUE"""),"")</f>
        <v/>
      </c>
      <c r="AN2465" s="2" t="str">
        <f>IFERROR(__xludf.DUMMYFUNCTION("""COMPUTED_VALUE""")," ")</f>
        <v> </v>
      </c>
      <c r="AO2465" s="2" t="str">
        <f>IFERROR(__xludf.DUMMYFUNCTION("""COMPUTED_VALUE""")," ")</f>
        <v> </v>
      </c>
      <c r="AP2465" s="2" t="str">
        <f>IFERROR(__xludf.DUMMYFUNCTION("""COMPUTED_VALUE"""),"")</f>
        <v/>
      </c>
      <c r="AQ2465" s="2"/>
      <c r="AR2465" s="2"/>
      <c r="AS2465" s="2"/>
      <c r="AT2465" s="2"/>
      <c r="AU2465" s="2"/>
      <c r="AV2465" s="2"/>
      <c r="AW2465" s="2"/>
      <c r="AX2465" s="2"/>
      <c r="AY2465" s="2"/>
      <c r="AZ2465" s="2"/>
      <c r="BA2465" s="2"/>
      <c r="BB2465" s="2"/>
    </row>
    <row r="2466">
      <c r="A2466" s="2"/>
      <c r="B2466" s="2" t="str">
        <f>IFERROR(__xludf.DUMMYFUNCTION("""COMPUTED_VALUE"""),"")</f>
        <v/>
      </c>
      <c r="C2466" s="2"/>
      <c r="D2466" s="71"/>
      <c r="E2466" s="71" t="str">
        <f>IFERROR(__xludf.DUMMYFUNCTION("""COMPUTED_VALUE""")," ")</f>
        <v> </v>
      </c>
      <c r="F2466" s="2"/>
      <c r="G2466" s="2"/>
      <c r="H2466" s="2"/>
      <c r="I2466" s="72"/>
      <c r="J2466" s="72"/>
      <c r="K2466" s="72"/>
      <c r="L2466" s="72"/>
      <c r="M2466" s="2"/>
      <c r="N2466" s="2"/>
      <c r="O2466" s="2"/>
      <c r="P2466" s="2"/>
      <c r="Q2466" s="2"/>
      <c r="R2466" s="2"/>
      <c r="S2466" s="2"/>
      <c r="T2466" s="2"/>
      <c r="U2466" s="2"/>
      <c r="V2466" s="2"/>
      <c r="W2466" s="2"/>
      <c r="X2466" s="2"/>
      <c r="Y2466" s="2"/>
      <c r="Z2466" s="2"/>
      <c r="AA2466" s="2"/>
      <c r="AB2466" s="2"/>
      <c r="AC2466" s="2"/>
      <c r="AD2466" s="2"/>
      <c r="AE2466" s="2"/>
      <c r="AF2466" s="2"/>
      <c r="AG2466" s="2"/>
      <c r="AH2466" s="2"/>
      <c r="AI2466" s="2"/>
      <c r="AJ2466" s="2" t="str">
        <f>IFERROR(__xludf.DUMMYFUNCTION("""COMPUTED_VALUE"""),"")</f>
        <v/>
      </c>
      <c r="AK2466" s="2" t="str">
        <f>IFERROR(__xludf.DUMMYFUNCTION("""COMPUTED_VALUE"""),"")</f>
        <v/>
      </c>
      <c r="AL2466" s="2" t="str">
        <f>IFERROR(__xludf.DUMMYFUNCTION("""COMPUTED_VALUE"""),"")</f>
        <v/>
      </c>
      <c r="AM2466" s="2" t="str">
        <f>IFERROR(__xludf.DUMMYFUNCTION("""COMPUTED_VALUE"""),"")</f>
        <v/>
      </c>
      <c r="AN2466" s="2" t="str">
        <f>IFERROR(__xludf.DUMMYFUNCTION("""COMPUTED_VALUE""")," ")</f>
        <v> </v>
      </c>
      <c r="AO2466" s="2" t="str">
        <f>IFERROR(__xludf.DUMMYFUNCTION("""COMPUTED_VALUE""")," ")</f>
        <v> </v>
      </c>
      <c r="AP2466" s="2" t="str">
        <f>IFERROR(__xludf.DUMMYFUNCTION("""COMPUTED_VALUE"""),"")</f>
        <v/>
      </c>
      <c r="AQ2466" s="2"/>
      <c r="AR2466" s="2"/>
      <c r="AS2466" s="2"/>
      <c r="AT2466" s="2"/>
      <c r="AU2466" s="2"/>
      <c r="AV2466" s="2"/>
      <c r="AW2466" s="2"/>
      <c r="AX2466" s="2"/>
      <c r="AY2466" s="2"/>
      <c r="AZ2466" s="2"/>
      <c r="BA2466" s="2"/>
      <c r="BB2466" s="2"/>
    </row>
    <row r="2467">
      <c r="A2467" s="2"/>
      <c r="B2467" s="2" t="str">
        <f>IFERROR(__xludf.DUMMYFUNCTION("""COMPUTED_VALUE"""),"")</f>
        <v/>
      </c>
      <c r="C2467" s="2"/>
      <c r="D2467" s="71"/>
      <c r="E2467" s="71" t="str">
        <f>IFERROR(__xludf.DUMMYFUNCTION("""COMPUTED_VALUE""")," ")</f>
        <v> </v>
      </c>
      <c r="F2467" s="2"/>
      <c r="G2467" s="2"/>
      <c r="H2467" s="2"/>
      <c r="I2467" s="72"/>
      <c r="J2467" s="72"/>
      <c r="K2467" s="72"/>
      <c r="L2467" s="72"/>
      <c r="M2467" s="2"/>
      <c r="N2467" s="2"/>
      <c r="O2467" s="2"/>
      <c r="P2467" s="2"/>
      <c r="Q2467" s="2"/>
      <c r="R2467" s="2"/>
      <c r="S2467" s="2"/>
      <c r="T2467" s="2"/>
      <c r="U2467" s="2"/>
      <c r="V2467" s="2"/>
      <c r="W2467" s="2"/>
      <c r="X2467" s="2"/>
      <c r="Y2467" s="2"/>
      <c r="Z2467" s="2"/>
      <c r="AA2467" s="2"/>
      <c r="AB2467" s="2"/>
      <c r="AC2467" s="2"/>
      <c r="AD2467" s="2"/>
      <c r="AE2467" s="2"/>
      <c r="AF2467" s="2"/>
      <c r="AG2467" s="2"/>
      <c r="AH2467" s="2"/>
      <c r="AI2467" s="2"/>
      <c r="AJ2467" s="2" t="str">
        <f>IFERROR(__xludf.DUMMYFUNCTION("""COMPUTED_VALUE"""),"")</f>
        <v/>
      </c>
      <c r="AK2467" s="2" t="str">
        <f>IFERROR(__xludf.DUMMYFUNCTION("""COMPUTED_VALUE"""),"")</f>
        <v/>
      </c>
      <c r="AL2467" s="2" t="str">
        <f>IFERROR(__xludf.DUMMYFUNCTION("""COMPUTED_VALUE"""),"")</f>
        <v/>
      </c>
      <c r="AM2467" s="2" t="str">
        <f>IFERROR(__xludf.DUMMYFUNCTION("""COMPUTED_VALUE"""),"")</f>
        <v/>
      </c>
      <c r="AN2467" s="2" t="str">
        <f>IFERROR(__xludf.DUMMYFUNCTION("""COMPUTED_VALUE""")," ")</f>
        <v> </v>
      </c>
      <c r="AO2467" s="2" t="str">
        <f>IFERROR(__xludf.DUMMYFUNCTION("""COMPUTED_VALUE""")," ")</f>
        <v> </v>
      </c>
      <c r="AP2467" s="2" t="str">
        <f>IFERROR(__xludf.DUMMYFUNCTION("""COMPUTED_VALUE"""),"")</f>
        <v/>
      </c>
      <c r="AQ2467" s="2"/>
      <c r="AR2467" s="2"/>
      <c r="AS2467" s="2"/>
      <c r="AT2467" s="2"/>
      <c r="AU2467" s="2"/>
      <c r="AV2467" s="2"/>
      <c r="AW2467" s="2"/>
      <c r="AX2467" s="2"/>
      <c r="AY2467" s="2"/>
      <c r="AZ2467" s="2"/>
      <c r="BA2467" s="2"/>
      <c r="BB2467" s="2"/>
    </row>
    <row r="2468">
      <c r="A2468" s="2"/>
      <c r="B2468" s="2" t="str">
        <f>IFERROR(__xludf.DUMMYFUNCTION("""COMPUTED_VALUE"""),"")</f>
        <v/>
      </c>
      <c r="C2468" s="2"/>
      <c r="D2468" s="71"/>
      <c r="E2468" s="71" t="str">
        <f>IFERROR(__xludf.DUMMYFUNCTION("""COMPUTED_VALUE""")," ")</f>
        <v> </v>
      </c>
      <c r="F2468" s="2"/>
      <c r="G2468" s="2"/>
      <c r="H2468" s="2"/>
      <c r="I2468" s="72"/>
      <c r="J2468" s="72"/>
      <c r="K2468" s="72"/>
      <c r="L2468" s="72"/>
      <c r="M2468" s="2"/>
      <c r="N2468" s="2"/>
      <c r="O2468" s="2"/>
      <c r="P2468" s="2"/>
      <c r="Q2468" s="2"/>
      <c r="R2468" s="2"/>
      <c r="S2468" s="2"/>
      <c r="T2468" s="2"/>
      <c r="U2468" s="2"/>
      <c r="V2468" s="2"/>
      <c r="W2468" s="2"/>
      <c r="X2468" s="2"/>
      <c r="Y2468" s="2"/>
      <c r="Z2468" s="2"/>
      <c r="AA2468" s="2"/>
      <c r="AB2468" s="2"/>
      <c r="AC2468" s="2"/>
      <c r="AD2468" s="2"/>
      <c r="AE2468" s="2"/>
      <c r="AF2468" s="2"/>
      <c r="AG2468" s="2"/>
      <c r="AH2468" s="2"/>
      <c r="AI2468" s="2"/>
      <c r="AJ2468" s="2" t="str">
        <f>IFERROR(__xludf.DUMMYFUNCTION("""COMPUTED_VALUE"""),"")</f>
        <v/>
      </c>
      <c r="AK2468" s="2" t="str">
        <f>IFERROR(__xludf.DUMMYFUNCTION("""COMPUTED_VALUE"""),"")</f>
        <v/>
      </c>
      <c r="AL2468" s="2" t="str">
        <f>IFERROR(__xludf.DUMMYFUNCTION("""COMPUTED_VALUE"""),"")</f>
        <v/>
      </c>
      <c r="AM2468" s="2" t="str">
        <f>IFERROR(__xludf.DUMMYFUNCTION("""COMPUTED_VALUE"""),"")</f>
        <v/>
      </c>
      <c r="AN2468" s="2" t="str">
        <f>IFERROR(__xludf.DUMMYFUNCTION("""COMPUTED_VALUE""")," ")</f>
        <v> </v>
      </c>
      <c r="AO2468" s="2" t="str">
        <f>IFERROR(__xludf.DUMMYFUNCTION("""COMPUTED_VALUE""")," ")</f>
        <v> </v>
      </c>
      <c r="AP2468" s="2" t="str">
        <f>IFERROR(__xludf.DUMMYFUNCTION("""COMPUTED_VALUE"""),"")</f>
        <v/>
      </c>
      <c r="AQ2468" s="2"/>
      <c r="AR2468" s="2"/>
      <c r="AS2468" s="2"/>
      <c r="AT2468" s="2"/>
      <c r="AU2468" s="2"/>
      <c r="AV2468" s="2"/>
      <c r="AW2468" s="2"/>
      <c r="AX2468" s="2"/>
      <c r="AY2468" s="2"/>
      <c r="AZ2468" s="2"/>
      <c r="BA2468" s="2"/>
      <c r="BB2468" s="2"/>
    </row>
    <row r="2469">
      <c r="A2469" s="2"/>
      <c r="B2469" s="2" t="str">
        <f>IFERROR(__xludf.DUMMYFUNCTION("""COMPUTED_VALUE"""),"")</f>
        <v/>
      </c>
      <c r="C2469" s="2"/>
      <c r="D2469" s="71"/>
      <c r="E2469" s="71" t="str">
        <f>IFERROR(__xludf.DUMMYFUNCTION("""COMPUTED_VALUE""")," ")</f>
        <v> </v>
      </c>
      <c r="F2469" s="2"/>
      <c r="G2469" s="2"/>
      <c r="H2469" s="2"/>
      <c r="I2469" s="72"/>
      <c r="J2469" s="72"/>
      <c r="K2469" s="72"/>
      <c r="L2469" s="72"/>
      <c r="M2469" s="2"/>
      <c r="N2469" s="2"/>
      <c r="O2469" s="2"/>
      <c r="P2469" s="2"/>
      <c r="Q2469" s="2"/>
      <c r="R2469" s="2"/>
      <c r="S2469" s="2"/>
      <c r="T2469" s="2"/>
      <c r="U2469" s="2"/>
      <c r="V2469" s="2"/>
      <c r="W2469" s="2"/>
      <c r="X2469" s="2"/>
      <c r="Y2469" s="2"/>
      <c r="Z2469" s="2"/>
      <c r="AA2469" s="2"/>
      <c r="AB2469" s="2"/>
      <c r="AC2469" s="2"/>
      <c r="AD2469" s="2"/>
      <c r="AE2469" s="2"/>
      <c r="AF2469" s="2"/>
      <c r="AG2469" s="2"/>
      <c r="AH2469" s="2"/>
      <c r="AI2469" s="2"/>
      <c r="AJ2469" s="2" t="str">
        <f>IFERROR(__xludf.DUMMYFUNCTION("""COMPUTED_VALUE"""),"")</f>
        <v/>
      </c>
      <c r="AK2469" s="2" t="str">
        <f>IFERROR(__xludf.DUMMYFUNCTION("""COMPUTED_VALUE"""),"")</f>
        <v/>
      </c>
      <c r="AL2469" s="2" t="str">
        <f>IFERROR(__xludf.DUMMYFUNCTION("""COMPUTED_VALUE"""),"")</f>
        <v/>
      </c>
      <c r="AM2469" s="2" t="str">
        <f>IFERROR(__xludf.DUMMYFUNCTION("""COMPUTED_VALUE"""),"")</f>
        <v/>
      </c>
      <c r="AN2469" s="2" t="str">
        <f>IFERROR(__xludf.DUMMYFUNCTION("""COMPUTED_VALUE""")," ")</f>
        <v> </v>
      </c>
      <c r="AO2469" s="2" t="str">
        <f>IFERROR(__xludf.DUMMYFUNCTION("""COMPUTED_VALUE""")," ")</f>
        <v> </v>
      </c>
      <c r="AP2469" s="2" t="str">
        <f>IFERROR(__xludf.DUMMYFUNCTION("""COMPUTED_VALUE"""),"")</f>
        <v/>
      </c>
      <c r="AQ2469" s="2"/>
      <c r="AR2469" s="2"/>
      <c r="AS2469" s="2"/>
      <c r="AT2469" s="2"/>
      <c r="AU2469" s="2"/>
      <c r="AV2469" s="2"/>
      <c r="AW2469" s="2"/>
      <c r="AX2469" s="2"/>
      <c r="AY2469" s="2"/>
      <c r="AZ2469" s="2"/>
      <c r="BA2469" s="2"/>
      <c r="BB2469" s="2"/>
    </row>
    <row r="2470">
      <c r="A2470" s="2"/>
      <c r="B2470" s="2" t="str">
        <f>IFERROR(__xludf.DUMMYFUNCTION("""COMPUTED_VALUE"""),"")</f>
        <v/>
      </c>
      <c r="C2470" s="2"/>
      <c r="D2470" s="71"/>
      <c r="E2470" s="71" t="str">
        <f>IFERROR(__xludf.DUMMYFUNCTION("""COMPUTED_VALUE""")," ")</f>
        <v> </v>
      </c>
      <c r="F2470" s="2"/>
      <c r="G2470" s="2"/>
      <c r="H2470" s="2"/>
      <c r="I2470" s="72"/>
      <c r="J2470" s="72"/>
      <c r="K2470" s="72"/>
      <c r="L2470" s="72"/>
      <c r="M2470" s="2"/>
      <c r="N2470" s="2"/>
      <c r="O2470" s="2"/>
      <c r="P2470" s="2"/>
      <c r="Q2470" s="2"/>
      <c r="R2470" s="2"/>
      <c r="S2470" s="2"/>
      <c r="T2470" s="2"/>
      <c r="U2470" s="2"/>
      <c r="V2470" s="2"/>
      <c r="W2470" s="2"/>
      <c r="X2470" s="2"/>
      <c r="Y2470" s="2"/>
      <c r="Z2470" s="2"/>
      <c r="AA2470" s="2"/>
      <c r="AB2470" s="2"/>
      <c r="AC2470" s="2"/>
      <c r="AD2470" s="2"/>
      <c r="AE2470" s="2"/>
      <c r="AF2470" s="2"/>
      <c r="AG2470" s="2"/>
      <c r="AH2470" s="2"/>
      <c r="AI2470" s="2"/>
      <c r="AJ2470" s="2" t="str">
        <f>IFERROR(__xludf.DUMMYFUNCTION("""COMPUTED_VALUE"""),"")</f>
        <v/>
      </c>
      <c r="AK2470" s="2" t="str">
        <f>IFERROR(__xludf.DUMMYFUNCTION("""COMPUTED_VALUE"""),"")</f>
        <v/>
      </c>
      <c r="AL2470" s="2" t="str">
        <f>IFERROR(__xludf.DUMMYFUNCTION("""COMPUTED_VALUE"""),"")</f>
        <v/>
      </c>
      <c r="AM2470" s="2" t="str">
        <f>IFERROR(__xludf.DUMMYFUNCTION("""COMPUTED_VALUE"""),"")</f>
        <v/>
      </c>
      <c r="AN2470" s="2" t="str">
        <f>IFERROR(__xludf.DUMMYFUNCTION("""COMPUTED_VALUE""")," ")</f>
        <v> </v>
      </c>
      <c r="AO2470" s="2" t="str">
        <f>IFERROR(__xludf.DUMMYFUNCTION("""COMPUTED_VALUE""")," ")</f>
        <v> </v>
      </c>
      <c r="AP2470" s="2" t="str">
        <f>IFERROR(__xludf.DUMMYFUNCTION("""COMPUTED_VALUE"""),"")</f>
        <v/>
      </c>
      <c r="AQ2470" s="2"/>
      <c r="AR2470" s="2"/>
      <c r="AS2470" s="2"/>
      <c r="AT2470" s="2"/>
      <c r="AU2470" s="2"/>
      <c r="AV2470" s="2"/>
      <c r="AW2470" s="2"/>
      <c r="AX2470" s="2"/>
      <c r="AY2470" s="2"/>
      <c r="AZ2470" s="2"/>
      <c r="BA2470" s="2"/>
      <c r="BB2470" s="2"/>
    </row>
    <row r="2471">
      <c r="A2471" s="2"/>
      <c r="B2471" s="2" t="str">
        <f>IFERROR(__xludf.DUMMYFUNCTION("""COMPUTED_VALUE"""),"")</f>
        <v/>
      </c>
      <c r="C2471" s="2"/>
      <c r="D2471" s="71"/>
      <c r="E2471" s="71" t="str">
        <f>IFERROR(__xludf.DUMMYFUNCTION("""COMPUTED_VALUE""")," ")</f>
        <v> </v>
      </c>
      <c r="F2471" s="2"/>
      <c r="G2471" s="2"/>
      <c r="H2471" s="2"/>
      <c r="I2471" s="72"/>
      <c r="J2471" s="72"/>
      <c r="K2471" s="72"/>
      <c r="L2471" s="72"/>
      <c r="M2471" s="2"/>
      <c r="N2471" s="2"/>
      <c r="O2471" s="2"/>
      <c r="P2471" s="2"/>
      <c r="Q2471" s="2"/>
      <c r="R2471" s="2"/>
      <c r="S2471" s="2"/>
      <c r="T2471" s="2"/>
      <c r="U2471" s="2"/>
      <c r="V2471" s="2"/>
      <c r="W2471" s="2"/>
      <c r="X2471" s="2"/>
      <c r="Y2471" s="2"/>
      <c r="Z2471" s="2"/>
      <c r="AA2471" s="2"/>
      <c r="AB2471" s="2"/>
      <c r="AC2471" s="2"/>
      <c r="AD2471" s="2"/>
      <c r="AE2471" s="2"/>
      <c r="AF2471" s="2"/>
      <c r="AG2471" s="2"/>
      <c r="AH2471" s="2"/>
      <c r="AI2471" s="2"/>
      <c r="AJ2471" s="2" t="str">
        <f>IFERROR(__xludf.DUMMYFUNCTION("""COMPUTED_VALUE"""),"")</f>
        <v/>
      </c>
      <c r="AK2471" s="2" t="str">
        <f>IFERROR(__xludf.DUMMYFUNCTION("""COMPUTED_VALUE"""),"")</f>
        <v/>
      </c>
      <c r="AL2471" s="2" t="str">
        <f>IFERROR(__xludf.DUMMYFUNCTION("""COMPUTED_VALUE"""),"")</f>
        <v/>
      </c>
      <c r="AM2471" s="2" t="str">
        <f>IFERROR(__xludf.DUMMYFUNCTION("""COMPUTED_VALUE"""),"")</f>
        <v/>
      </c>
      <c r="AN2471" s="2" t="str">
        <f>IFERROR(__xludf.DUMMYFUNCTION("""COMPUTED_VALUE""")," ")</f>
        <v> </v>
      </c>
      <c r="AO2471" s="2" t="str">
        <f>IFERROR(__xludf.DUMMYFUNCTION("""COMPUTED_VALUE""")," ")</f>
        <v> </v>
      </c>
      <c r="AP2471" s="2" t="str">
        <f>IFERROR(__xludf.DUMMYFUNCTION("""COMPUTED_VALUE"""),"")</f>
        <v/>
      </c>
      <c r="AQ2471" s="2"/>
      <c r="AR2471" s="2"/>
      <c r="AS2471" s="2"/>
      <c r="AT2471" s="2"/>
      <c r="AU2471" s="2"/>
      <c r="AV2471" s="2"/>
      <c r="AW2471" s="2"/>
      <c r="AX2471" s="2"/>
      <c r="AY2471" s="2"/>
      <c r="AZ2471" s="2"/>
      <c r="BA2471" s="2"/>
      <c r="BB2471" s="2"/>
    </row>
    <row r="2472">
      <c r="A2472" s="2"/>
      <c r="B2472" s="2" t="str">
        <f>IFERROR(__xludf.DUMMYFUNCTION("""COMPUTED_VALUE"""),"")</f>
        <v/>
      </c>
      <c r="C2472" s="2"/>
      <c r="D2472" s="71"/>
      <c r="E2472" s="71" t="str">
        <f>IFERROR(__xludf.DUMMYFUNCTION("""COMPUTED_VALUE""")," ")</f>
        <v> </v>
      </c>
      <c r="F2472" s="2"/>
      <c r="G2472" s="2"/>
      <c r="H2472" s="2"/>
      <c r="I2472" s="72"/>
      <c r="J2472" s="72"/>
      <c r="K2472" s="72"/>
      <c r="L2472" s="72"/>
      <c r="M2472" s="2"/>
      <c r="N2472" s="2"/>
      <c r="O2472" s="2"/>
      <c r="P2472" s="2"/>
      <c r="Q2472" s="2"/>
      <c r="R2472" s="2"/>
      <c r="S2472" s="2"/>
      <c r="T2472" s="2"/>
      <c r="U2472" s="2"/>
      <c r="V2472" s="2"/>
      <c r="W2472" s="2"/>
      <c r="X2472" s="2"/>
      <c r="Y2472" s="2"/>
      <c r="Z2472" s="2"/>
      <c r="AA2472" s="2"/>
      <c r="AB2472" s="2"/>
      <c r="AC2472" s="2"/>
      <c r="AD2472" s="2"/>
      <c r="AE2472" s="2"/>
      <c r="AF2472" s="2"/>
      <c r="AG2472" s="2"/>
      <c r="AH2472" s="2"/>
      <c r="AI2472" s="2"/>
      <c r="AJ2472" s="2" t="str">
        <f>IFERROR(__xludf.DUMMYFUNCTION("""COMPUTED_VALUE"""),"")</f>
        <v/>
      </c>
      <c r="AK2472" s="2" t="str">
        <f>IFERROR(__xludf.DUMMYFUNCTION("""COMPUTED_VALUE"""),"")</f>
        <v/>
      </c>
      <c r="AL2472" s="2" t="str">
        <f>IFERROR(__xludf.DUMMYFUNCTION("""COMPUTED_VALUE"""),"")</f>
        <v/>
      </c>
      <c r="AM2472" s="2" t="str">
        <f>IFERROR(__xludf.DUMMYFUNCTION("""COMPUTED_VALUE"""),"")</f>
        <v/>
      </c>
      <c r="AN2472" s="2" t="str">
        <f>IFERROR(__xludf.DUMMYFUNCTION("""COMPUTED_VALUE""")," ")</f>
        <v> </v>
      </c>
      <c r="AO2472" s="2" t="str">
        <f>IFERROR(__xludf.DUMMYFUNCTION("""COMPUTED_VALUE""")," ")</f>
        <v> </v>
      </c>
      <c r="AP2472" s="2" t="str">
        <f>IFERROR(__xludf.DUMMYFUNCTION("""COMPUTED_VALUE"""),"")</f>
        <v/>
      </c>
      <c r="AQ2472" s="2"/>
      <c r="AR2472" s="2"/>
      <c r="AS2472" s="2"/>
      <c r="AT2472" s="2"/>
      <c r="AU2472" s="2"/>
      <c r="AV2472" s="2"/>
      <c r="AW2472" s="2"/>
      <c r="AX2472" s="2"/>
      <c r="AY2472" s="2"/>
      <c r="AZ2472" s="2"/>
      <c r="BA2472" s="2"/>
      <c r="BB2472" s="2"/>
    </row>
    <row r="2473">
      <c r="A2473" s="2"/>
      <c r="B2473" s="2" t="str">
        <f>IFERROR(__xludf.DUMMYFUNCTION("""COMPUTED_VALUE"""),"")</f>
        <v/>
      </c>
      <c r="C2473" s="2"/>
      <c r="D2473" s="71"/>
      <c r="E2473" s="71" t="str">
        <f>IFERROR(__xludf.DUMMYFUNCTION("""COMPUTED_VALUE""")," ")</f>
        <v> </v>
      </c>
      <c r="F2473" s="2"/>
      <c r="G2473" s="2"/>
      <c r="H2473" s="2"/>
      <c r="I2473" s="72"/>
      <c r="J2473" s="72"/>
      <c r="K2473" s="72"/>
      <c r="L2473" s="72"/>
      <c r="M2473" s="2"/>
      <c r="N2473" s="2"/>
      <c r="O2473" s="2"/>
      <c r="P2473" s="2"/>
      <c r="Q2473" s="2"/>
      <c r="R2473" s="2"/>
      <c r="S2473" s="2"/>
      <c r="T2473" s="2"/>
      <c r="U2473" s="2"/>
      <c r="V2473" s="2"/>
      <c r="W2473" s="2"/>
      <c r="X2473" s="2"/>
      <c r="Y2473" s="2"/>
      <c r="Z2473" s="2"/>
      <c r="AA2473" s="2"/>
      <c r="AB2473" s="2"/>
      <c r="AC2473" s="2"/>
      <c r="AD2473" s="2"/>
      <c r="AE2473" s="2"/>
      <c r="AF2473" s="2"/>
      <c r="AG2473" s="2"/>
      <c r="AH2473" s="2"/>
      <c r="AI2473" s="2"/>
      <c r="AJ2473" s="2" t="str">
        <f>IFERROR(__xludf.DUMMYFUNCTION("""COMPUTED_VALUE"""),"")</f>
        <v/>
      </c>
      <c r="AK2473" s="2" t="str">
        <f>IFERROR(__xludf.DUMMYFUNCTION("""COMPUTED_VALUE"""),"")</f>
        <v/>
      </c>
      <c r="AL2473" s="2" t="str">
        <f>IFERROR(__xludf.DUMMYFUNCTION("""COMPUTED_VALUE"""),"")</f>
        <v/>
      </c>
      <c r="AM2473" s="2" t="str">
        <f>IFERROR(__xludf.DUMMYFUNCTION("""COMPUTED_VALUE"""),"")</f>
        <v/>
      </c>
      <c r="AN2473" s="2" t="str">
        <f>IFERROR(__xludf.DUMMYFUNCTION("""COMPUTED_VALUE""")," ")</f>
        <v> </v>
      </c>
      <c r="AO2473" s="2" t="str">
        <f>IFERROR(__xludf.DUMMYFUNCTION("""COMPUTED_VALUE""")," ")</f>
        <v> </v>
      </c>
      <c r="AP2473" s="2" t="str">
        <f>IFERROR(__xludf.DUMMYFUNCTION("""COMPUTED_VALUE"""),"")</f>
        <v/>
      </c>
      <c r="AQ2473" s="2"/>
      <c r="AR2473" s="2"/>
      <c r="AS2473" s="2"/>
      <c r="AT2473" s="2"/>
      <c r="AU2473" s="2"/>
      <c r="AV2473" s="2"/>
      <c r="AW2473" s="2"/>
      <c r="AX2473" s="2"/>
      <c r="AY2473" s="2"/>
      <c r="AZ2473" s="2"/>
      <c r="BA2473" s="2"/>
      <c r="BB2473" s="2"/>
    </row>
    <row r="2474">
      <c r="A2474" s="2"/>
      <c r="B2474" s="2" t="str">
        <f>IFERROR(__xludf.DUMMYFUNCTION("""COMPUTED_VALUE"""),"")</f>
        <v/>
      </c>
      <c r="C2474" s="2"/>
      <c r="D2474" s="71"/>
      <c r="E2474" s="71" t="str">
        <f>IFERROR(__xludf.DUMMYFUNCTION("""COMPUTED_VALUE""")," ")</f>
        <v> </v>
      </c>
      <c r="F2474" s="2"/>
      <c r="G2474" s="2"/>
      <c r="H2474" s="2"/>
      <c r="I2474" s="72"/>
      <c r="J2474" s="72"/>
      <c r="K2474" s="72"/>
      <c r="L2474" s="72"/>
      <c r="M2474" s="2"/>
      <c r="N2474" s="2"/>
      <c r="O2474" s="2"/>
      <c r="P2474" s="2"/>
      <c r="Q2474" s="2"/>
      <c r="R2474" s="2"/>
      <c r="S2474" s="2"/>
      <c r="T2474" s="2"/>
      <c r="U2474" s="2"/>
      <c r="V2474" s="2"/>
      <c r="W2474" s="2"/>
      <c r="X2474" s="2"/>
      <c r="Y2474" s="2"/>
      <c r="Z2474" s="2"/>
      <c r="AA2474" s="2"/>
      <c r="AB2474" s="2"/>
      <c r="AC2474" s="2"/>
      <c r="AD2474" s="2"/>
      <c r="AE2474" s="2"/>
      <c r="AF2474" s="2"/>
      <c r="AG2474" s="2"/>
      <c r="AH2474" s="2"/>
      <c r="AI2474" s="2"/>
      <c r="AJ2474" s="2" t="str">
        <f>IFERROR(__xludf.DUMMYFUNCTION("""COMPUTED_VALUE"""),"")</f>
        <v/>
      </c>
      <c r="AK2474" s="2" t="str">
        <f>IFERROR(__xludf.DUMMYFUNCTION("""COMPUTED_VALUE"""),"")</f>
        <v/>
      </c>
      <c r="AL2474" s="2" t="str">
        <f>IFERROR(__xludf.DUMMYFUNCTION("""COMPUTED_VALUE"""),"")</f>
        <v/>
      </c>
      <c r="AM2474" s="2" t="str">
        <f>IFERROR(__xludf.DUMMYFUNCTION("""COMPUTED_VALUE"""),"")</f>
        <v/>
      </c>
      <c r="AN2474" s="2" t="str">
        <f>IFERROR(__xludf.DUMMYFUNCTION("""COMPUTED_VALUE""")," ")</f>
        <v> </v>
      </c>
      <c r="AO2474" s="2" t="str">
        <f>IFERROR(__xludf.DUMMYFUNCTION("""COMPUTED_VALUE""")," ")</f>
        <v> </v>
      </c>
      <c r="AP2474" s="2" t="str">
        <f>IFERROR(__xludf.DUMMYFUNCTION("""COMPUTED_VALUE"""),"")</f>
        <v/>
      </c>
      <c r="AQ2474" s="2"/>
      <c r="AR2474" s="2"/>
      <c r="AS2474" s="2"/>
      <c r="AT2474" s="2"/>
      <c r="AU2474" s="2"/>
      <c r="AV2474" s="2"/>
      <c r="AW2474" s="2"/>
      <c r="AX2474" s="2"/>
      <c r="AY2474" s="2"/>
      <c r="AZ2474" s="2"/>
      <c r="BA2474" s="2"/>
      <c r="BB2474" s="2"/>
    </row>
    <row r="2475">
      <c r="A2475" s="2"/>
      <c r="B2475" s="2" t="str">
        <f>IFERROR(__xludf.DUMMYFUNCTION("""COMPUTED_VALUE"""),"")</f>
        <v/>
      </c>
      <c r="C2475" s="2"/>
      <c r="D2475" s="71"/>
      <c r="E2475" s="71" t="str">
        <f>IFERROR(__xludf.DUMMYFUNCTION("""COMPUTED_VALUE""")," ")</f>
        <v> </v>
      </c>
      <c r="F2475" s="2"/>
      <c r="G2475" s="2"/>
      <c r="H2475" s="2"/>
      <c r="I2475" s="72"/>
      <c r="J2475" s="72"/>
      <c r="K2475" s="72"/>
      <c r="L2475" s="72"/>
      <c r="M2475" s="2"/>
      <c r="N2475" s="2"/>
      <c r="O2475" s="2"/>
      <c r="P2475" s="2"/>
      <c r="Q2475" s="2"/>
      <c r="R2475" s="2"/>
      <c r="S2475" s="2"/>
      <c r="T2475" s="2"/>
      <c r="U2475" s="2"/>
      <c r="V2475" s="2"/>
      <c r="W2475" s="2"/>
      <c r="X2475" s="2"/>
      <c r="Y2475" s="2"/>
      <c r="Z2475" s="2"/>
      <c r="AA2475" s="2"/>
      <c r="AB2475" s="2"/>
      <c r="AC2475" s="2"/>
      <c r="AD2475" s="2"/>
      <c r="AE2475" s="2"/>
      <c r="AF2475" s="2"/>
      <c r="AG2475" s="2"/>
      <c r="AH2475" s="2"/>
      <c r="AI2475" s="2"/>
      <c r="AJ2475" s="2" t="str">
        <f>IFERROR(__xludf.DUMMYFUNCTION("""COMPUTED_VALUE"""),"")</f>
        <v/>
      </c>
      <c r="AK2475" s="2" t="str">
        <f>IFERROR(__xludf.DUMMYFUNCTION("""COMPUTED_VALUE"""),"")</f>
        <v/>
      </c>
      <c r="AL2475" s="2" t="str">
        <f>IFERROR(__xludf.DUMMYFUNCTION("""COMPUTED_VALUE"""),"")</f>
        <v/>
      </c>
      <c r="AM2475" s="2" t="str">
        <f>IFERROR(__xludf.DUMMYFUNCTION("""COMPUTED_VALUE"""),"")</f>
        <v/>
      </c>
      <c r="AN2475" s="2" t="str">
        <f>IFERROR(__xludf.DUMMYFUNCTION("""COMPUTED_VALUE""")," ")</f>
        <v> </v>
      </c>
      <c r="AO2475" s="2" t="str">
        <f>IFERROR(__xludf.DUMMYFUNCTION("""COMPUTED_VALUE""")," ")</f>
        <v> </v>
      </c>
      <c r="AP2475" s="2" t="str">
        <f>IFERROR(__xludf.DUMMYFUNCTION("""COMPUTED_VALUE"""),"")</f>
        <v/>
      </c>
      <c r="AQ2475" s="2"/>
      <c r="AR2475" s="2"/>
      <c r="AS2475" s="2"/>
      <c r="AT2475" s="2"/>
      <c r="AU2475" s="2"/>
      <c r="AV2475" s="2"/>
      <c r="AW2475" s="2"/>
      <c r="AX2475" s="2"/>
      <c r="AY2475" s="2"/>
      <c r="AZ2475" s="2"/>
      <c r="BA2475" s="2"/>
      <c r="BB2475" s="2"/>
    </row>
    <row r="2476">
      <c r="A2476" s="2"/>
      <c r="B2476" s="2" t="str">
        <f>IFERROR(__xludf.DUMMYFUNCTION("""COMPUTED_VALUE"""),"")</f>
        <v/>
      </c>
      <c r="C2476" s="2"/>
      <c r="D2476" s="71"/>
      <c r="E2476" s="71" t="str">
        <f>IFERROR(__xludf.DUMMYFUNCTION("""COMPUTED_VALUE""")," ")</f>
        <v> </v>
      </c>
      <c r="F2476" s="2"/>
      <c r="G2476" s="2"/>
      <c r="H2476" s="2"/>
      <c r="I2476" s="72"/>
      <c r="J2476" s="72"/>
      <c r="K2476" s="72"/>
      <c r="L2476" s="72"/>
      <c r="M2476" s="2"/>
      <c r="N2476" s="2"/>
      <c r="O2476" s="2"/>
      <c r="P2476" s="2"/>
      <c r="Q2476" s="2"/>
      <c r="R2476" s="2"/>
      <c r="S2476" s="2"/>
      <c r="T2476" s="2"/>
      <c r="U2476" s="2"/>
      <c r="V2476" s="2"/>
      <c r="W2476" s="2"/>
      <c r="X2476" s="2"/>
      <c r="Y2476" s="2"/>
      <c r="Z2476" s="2"/>
      <c r="AA2476" s="2"/>
      <c r="AB2476" s="2"/>
      <c r="AC2476" s="2"/>
      <c r="AD2476" s="2"/>
      <c r="AE2476" s="2"/>
      <c r="AF2476" s="2"/>
      <c r="AG2476" s="2"/>
      <c r="AH2476" s="2"/>
      <c r="AI2476" s="2"/>
      <c r="AJ2476" s="2" t="str">
        <f>IFERROR(__xludf.DUMMYFUNCTION("""COMPUTED_VALUE"""),"")</f>
        <v/>
      </c>
      <c r="AK2476" s="2" t="str">
        <f>IFERROR(__xludf.DUMMYFUNCTION("""COMPUTED_VALUE"""),"")</f>
        <v/>
      </c>
      <c r="AL2476" s="2" t="str">
        <f>IFERROR(__xludf.DUMMYFUNCTION("""COMPUTED_VALUE"""),"")</f>
        <v/>
      </c>
      <c r="AM2476" s="2" t="str">
        <f>IFERROR(__xludf.DUMMYFUNCTION("""COMPUTED_VALUE"""),"")</f>
        <v/>
      </c>
      <c r="AN2476" s="2" t="str">
        <f>IFERROR(__xludf.DUMMYFUNCTION("""COMPUTED_VALUE""")," ")</f>
        <v> </v>
      </c>
      <c r="AO2476" s="2" t="str">
        <f>IFERROR(__xludf.DUMMYFUNCTION("""COMPUTED_VALUE""")," ")</f>
        <v> </v>
      </c>
      <c r="AP2476" s="2" t="str">
        <f>IFERROR(__xludf.DUMMYFUNCTION("""COMPUTED_VALUE"""),"")</f>
        <v/>
      </c>
      <c r="AQ2476" s="2"/>
      <c r="AR2476" s="2"/>
      <c r="AS2476" s="2"/>
      <c r="AT2476" s="2"/>
      <c r="AU2476" s="2"/>
      <c r="AV2476" s="2"/>
      <c r="AW2476" s="2"/>
      <c r="AX2476" s="2"/>
      <c r="AY2476" s="2"/>
      <c r="AZ2476" s="2"/>
      <c r="BA2476" s="2"/>
      <c r="BB2476" s="2"/>
    </row>
    <row r="2477">
      <c r="A2477" s="2"/>
      <c r="B2477" s="2" t="str">
        <f>IFERROR(__xludf.DUMMYFUNCTION("""COMPUTED_VALUE"""),"")</f>
        <v/>
      </c>
      <c r="C2477" s="2"/>
      <c r="D2477" s="71"/>
      <c r="E2477" s="71" t="str">
        <f>IFERROR(__xludf.DUMMYFUNCTION("""COMPUTED_VALUE""")," ")</f>
        <v> </v>
      </c>
      <c r="F2477" s="2"/>
      <c r="G2477" s="2"/>
      <c r="H2477" s="2"/>
      <c r="I2477" s="72"/>
      <c r="J2477" s="72"/>
      <c r="K2477" s="72"/>
      <c r="L2477" s="72"/>
      <c r="M2477" s="2"/>
      <c r="N2477" s="2"/>
      <c r="O2477" s="2"/>
      <c r="P2477" s="2"/>
      <c r="Q2477" s="2"/>
      <c r="R2477" s="2"/>
      <c r="S2477" s="2"/>
      <c r="T2477" s="2"/>
      <c r="U2477" s="2"/>
      <c r="V2477" s="2"/>
      <c r="W2477" s="2"/>
      <c r="X2477" s="2"/>
      <c r="Y2477" s="2"/>
      <c r="Z2477" s="2"/>
      <c r="AA2477" s="2"/>
      <c r="AB2477" s="2"/>
      <c r="AC2477" s="2"/>
      <c r="AD2477" s="2"/>
      <c r="AE2477" s="2"/>
      <c r="AF2477" s="2"/>
      <c r="AG2477" s="2"/>
      <c r="AH2477" s="2"/>
      <c r="AI2477" s="2"/>
      <c r="AJ2477" s="2" t="str">
        <f>IFERROR(__xludf.DUMMYFUNCTION("""COMPUTED_VALUE"""),"")</f>
        <v/>
      </c>
      <c r="AK2477" s="2" t="str">
        <f>IFERROR(__xludf.DUMMYFUNCTION("""COMPUTED_VALUE"""),"")</f>
        <v/>
      </c>
      <c r="AL2477" s="2" t="str">
        <f>IFERROR(__xludf.DUMMYFUNCTION("""COMPUTED_VALUE"""),"")</f>
        <v/>
      </c>
      <c r="AM2477" s="2" t="str">
        <f>IFERROR(__xludf.DUMMYFUNCTION("""COMPUTED_VALUE"""),"")</f>
        <v/>
      </c>
      <c r="AN2477" s="2" t="str">
        <f>IFERROR(__xludf.DUMMYFUNCTION("""COMPUTED_VALUE""")," ")</f>
        <v> </v>
      </c>
      <c r="AO2477" s="2" t="str">
        <f>IFERROR(__xludf.DUMMYFUNCTION("""COMPUTED_VALUE""")," ")</f>
        <v> </v>
      </c>
      <c r="AP2477" s="2" t="str">
        <f>IFERROR(__xludf.DUMMYFUNCTION("""COMPUTED_VALUE"""),"")</f>
        <v/>
      </c>
      <c r="AQ2477" s="2"/>
      <c r="AR2477" s="2"/>
      <c r="AS2477" s="2"/>
      <c r="AT2477" s="2"/>
      <c r="AU2477" s="2"/>
      <c r="AV2477" s="2"/>
      <c r="AW2477" s="2"/>
      <c r="AX2477" s="2"/>
      <c r="AY2477" s="2"/>
      <c r="AZ2477" s="2"/>
      <c r="BA2477" s="2"/>
      <c r="BB2477" s="2"/>
    </row>
    <row r="2478">
      <c r="A2478" s="2"/>
      <c r="B2478" s="2" t="str">
        <f>IFERROR(__xludf.DUMMYFUNCTION("""COMPUTED_VALUE"""),"")</f>
        <v/>
      </c>
      <c r="C2478" s="2"/>
      <c r="D2478" s="71"/>
      <c r="E2478" s="71" t="str">
        <f>IFERROR(__xludf.DUMMYFUNCTION("""COMPUTED_VALUE""")," ")</f>
        <v> </v>
      </c>
      <c r="F2478" s="2"/>
      <c r="G2478" s="2"/>
      <c r="H2478" s="2"/>
      <c r="I2478" s="72"/>
      <c r="J2478" s="72"/>
      <c r="K2478" s="72"/>
      <c r="L2478" s="72"/>
      <c r="M2478" s="2"/>
      <c r="N2478" s="2"/>
      <c r="O2478" s="2"/>
      <c r="P2478" s="2"/>
      <c r="Q2478" s="2"/>
      <c r="R2478" s="2"/>
      <c r="S2478" s="2"/>
      <c r="T2478" s="2"/>
      <c r="U2478" s="2"/>
      <c r="V2478" s="2"/>
      <c r="W2478" s="2"/>
      <c r="X2478" s="2"/>
      <c r="Y2478" s="2"/>
      <c r="Z2478" s="2"/>
      <c r="AA2478" s="2"/>
      <c r="AB2478" s="2"/>
      <c r="AC2478" s="2"/>
      <c r="AD2478" s="2"/>
      <c r="AE2478" s="2"/>
      <c r="AF2478" s="2"/>
      <c r="AG2478" s="2"/>
      <c r="AH2478" s="2"/>
      <c r="AI2478" s="2"/>
      <c r="AJ2478" s="2" t="str">
        <f>IFERROR(__xludf.DUMMYFUNCTION("""COMPUTED_VALUE"""),"")</f>
        <v/>
      </c>
      <c r="AK2478" s="2" t="str">
        <f>IFERROR(__xludf.DUMMYFUNCTION("""COMPUTED_VALUE"""),"")</f>
        <v/>
      </c>
      <c r="AL2478" s="2" t="str">
        <f>IFERROR(__xludf.DUMMYFUNCTION("""COMPUTED_VALUE"""),"")</f>
        <v/>
      </c>
      <c r="AM2478" s="2" t="str">
        <f>IFERROR(__xludf.DUMMYFUNCTION("""COMPUTED_VALUE"""),"")</f>
        <v/>
      </c>
      <c r="AN2478" s="2" t="str">
        <f>IFERROR(__xludf.DUMMYFUNCTION("""COMPUTED_VALUE""")," ")</f>
        <v> </v>
      </c>
      <c r="AO2478" s="2" t="str">
        <f>IFERROR(__xludf.DUMMYFUNCTION("""COMPUTED_VALUE""")," ")</f>
        <v> </v>
      </c>
      <c r="AP2478" s="2" t="str">
        <f>IFERROR(__xludf.DUMMYFUNCTION("""COMPUTED_VALUE"""),"")</f>
        <v/>
      </c>
      <c r="AQ2478" s="2"/>
      <c r="AR2478" s="2"/>
      <c r="AS2478" s="2"/>
      <c r="AT2478" s="2"/>
      <c r="AU2478" s="2"/>
      <c r="AV2478" s="2"/>
      <c r="AW2478" s="2"/>
      <c r="AX2478" s="2"/>
      <c r="AY2478" s="2"/>
      <c r="AZ2478" s="2"/>
      <c r="BA2478" s="2"/>
      <c r="BB2478" s="2"/>
    </row>
    <row r="2479">
      <c r="A2479" s="2"/>
      <c r="B2479" s="2" t="str">
        <f>IFERROR(__xludf.DUMMYFUNCTION("""COMPUTED_VALUE"""),"")</f>
        <v/>
      </c>
      <c r="C2479" s="2"/>
      <c r="D2479" s="71"/>
      <c r="E2479" s="71" t="str">
        <f>IFERROR(__xludf.DUMMYFUNCTION("""COMPUTED_VALUE""")," ")</f>
        <v> </v>
      </c>
      <c r="F2479" s="2"/>
      <c r="G2479" s="2"/>
      <c r="H2479" s="2"/>
      <c r="I2479" s="72"/>
      <c r="J2479" s="72"/>
      <c r="K2479" s="72"/>
      <c r="L2479" s="72"/>
      <c r="M2479" s="2"/>
      <c r="N2479" s="2"/>
      <c r="O2479" s="2"/>
      <c r="P2479" s="2"/>
      <c r="Q2479" s="2"/>
      <c r="R2479" s="2"/>
      <c r="S2479" s="2"/>
      <c r="T2479" s="2"/>
      <c r="U2479" s="2"/>
      <c r="V2479" s="2"/>
      <c r="W2479" s="2"/>
      <c r="X2479" s="2"/>
      <c r="Y2479" s="2"/>
      <c r="Z2479" s="2"/>
      <c r="AA2479" s="2"/>
      <c r="AB2479" s="2"/>
      <c r="AC2479" s="2"/>
      <c r="AD2479" s="2"/>
      <c r="AE2479" s="2"/>
      <c r="AF2479" s="2"/>
      <c r="AG2479" s="2"/>
      <c r="AH2479" s="2"/>
      <c r="AI2479" s="2"/>
      <c r="AJ2479" s="2" t="str">
        <f>IFERROR(__xludf.DUMMYFUNCTION("""COMPUTED_VALUE"""),"")</f>
        <v/>
      </c>
      <c r="AK2479" s="2" t="str">
        <f>IFERROR(__xludf.DUMMYFUNCTION("""COMPUTED_VALUE"""),"")</f>
        <v/>
      </c>
      <c r="AL2479" s="2" t="str">
        <f>IFERROR(__xludf.DUMMYFUNCTION("""COMPUTED_VALUE"""),"")</f>
        <v/>
      </c>
      <c r="AM2479" s="2" t="str">
        <f>IFERROR(__xludf.DUMMYFUNCTION("""COMPUTED_VALUE"""),"")</f>
        <v/>
      </c>
      <c r="AN2479" s="2" t="str">
        <f>IFERROR(__xludf.DUMMYFUNCTION("""COMPUTED_VALUE""")," ")</f>
        <v> </v>
      </c>
      <c r="AO2479" s="2" t="str">
        <f>IFERROR(__xludf.DUMMYFUNCTION("""COMPUTED_VALUE""")," ")</f>
        <v> </v>
      </c>
      <c r="AP2479" s="2" t="str">
        <f>IFERROR(__xludf.DUMMYFUNCTION("""COMPUTED_VALUE"""),"")</f>
        <v/>
      </c>
      <c r="AQ2479" s="2"/>
      <c r="AR2479" s="2"/>
      <c r="AS2479" s="2"/>
      <c r="AT2479" s="2"/>
      <c r="AU2479" s="2"/>
      <c r="AV2479" s="2"/>
      <c r="AW2479" s="2"/>
      <c r="AX2479" s="2"/>
      <c r="AY2479" s="2"/>
      <c r="AZ2479" s="2"/>
      <c r="BA2479" s="2"/>
      <c r="BB2479" s="2"/>
    </row>
    <row r="2480">
      <c r="A2480" s="2"/>
      <c r="B2480" s="2" t="str">
        <f>IFERROR(__xludf.DUMMYFUNCTION("""COMPUTED_VALUE"""),"")</f>
        <v/>
      </c>
      <c r="C2480" s="2"/>
      <c r="D2480" s="71"/>
      <c r="E2480" s="71" t="str">
        <f>IFERROR(__xludf.DUMMYFUNCTION("""COMPUTED_VALUE""")," ")</f>
        <v> </v>
      </c>
      <c r="F2480" s="2"/>
      <c r="G2480" s="2"/>
      <c r="H2480" s="2"/>
      <c r="I2480" s="72"/>
      <c r="J2480" s="72"/>
      <c r="K2480" s="72"/>
      <c r="L2480" s="72"/>
      <c r="M2480" s="2"/>
      <c r="N2480" s="2"/>
      <c r="O2480" s="2"/>
      <c r="P2480" s="2"/>
      <c r="Q2480" s="2"/>
      <c r="R2480" s="2"/>
      <c r="S2480" s="2"/>
      <c r="T2480" s="2"/>
      <c r="U2480" s="2"/>
      <c r="V2480" s="2"/>
      <c r="W2480" s="2"/>
      <c r="X2480" s="2"/>
      <c r="Y2480" s="2"/>
      <c r="Z2480" s="2"/>
      <c r="AA2480" s="2"/>
      <c r="AB2480" s="2"/>
      <c r="AC2480" s="2"/>
      <c r="AD2480" s="2"/>
      <c r="AE2480" s="2"/>
      <c r="AF2480" s="2"/>
      <c r="AG2480" s="2"/>
      <c r="AH2480" s="2"/>
      <c r="AI2480" s="2"/>
      <c r="AJ2480" s="2" t="str">
        <f>IFERROR(__xludf.DUMMYFUNCTION("""COMPUTED_VALUE"""),"")</f>
        <v/>
      </c>
      <c r="AK2480" s="2" t="str">
        <f>IFERROR(__xludf.DUMMYFUNCTION("""COMPUTED_VALUE"""),"")</f>
        <v/>
      </c>
      <c r="AL2480" s="2" t="str">
        <f>IFERROR(__xludf.DUMMYFUNCTION("""COMPUTED_VALUE"""),"")</f>
        <v/>
      </c>
      <c r="AM2480" s="2" t="str">
        <f>IFERROR(__xludf.DUMMYFUNCTION("""COMPUTED_VALUE"""),"")</f>
        <v/>
      </c>
      <c r="AN2480" s="2" t="str">
        <f>IFERROR(__xludf.DUMMYFUNCTION("""COMPUTED_VALUE""")," ")</f>
        <v> </v>
      </c>
      <c r="AO2480" s="2" t="str">
        <f>IFERROR(__xludf.DUMMYFUNCTION("""COMPUTED_VALUE""")," ")</f>
        <v> </v>
      </c>
      <c r="AP2480" s="2" t="str">
        <f>IFERROR(__xludf.DUMMYFUNCTION("""COMPUTED_VALUE"""),"")</f>
        <v/>
      </c>
      <c r="AQ2480" s="2"/>
      <c r="AR2480" s="2"/>
      <c r="AS2480" s="2"/>
      <c r="AT2480" s="2"/>
      <c r="AU2480" s="2"/>
      <c r="AV2480" s="2"/>
      <c r="AW2480" s="2"/>
      <c r="AX2480" s="2"/>
      <c r="AY2480" s="2"/>
      <c r="AZ2480" s="2"/>
      <c r="BA2480" s="2"/>
      <c r="BB2480" s="2"/>
    </row>
    <row r="2481">
      <c r="A2481" s="2"/>
      <c r="B2481" s="2" t="str">
        <f>IFERROR(__xludf.DUMMYFUNCTION("""COMPUTED_VALUE"""),"")</f>
        <v/>
      </c>
      <c r="C2481" s="2"/>
      <c r="D2481" s="71"/>
      <c r="E2481" s="71" t="str">
        <f>IFERROR(__xludf.DUMMYFUNCTION("""COMPUTED_VALUE""")," ")</f>
        <v> </v>
      </c>
      <c r="F2481" s="2"/>
      <c r="G2481" s="2"/>
      <c r="H2481" s="2"/>
      <c r="I2481" s="72"/>
      <c r="J2481" s="72"/>
      <c r="K2481" s="72"/>
      <c r="L2481" s="72"/>
      <c r="M2481" s="2"/>
      <c r="N2481" s="2"/>
      <c r="O2481" s="2"/>
      <c r="P2481" s="2"/>
      <c r="Q2481" s="2"/>
      <c r="R2481" s="2"/>
      <c r="S2481" s="2"/>
      <c r="T2481" s="2"/>
      <c r="U2481" s="2"/>
      <c r="V2481" s="2"/>
      <c r="W2481" s="2"/>
      <c r="X2481" s="2"/>
      <c r="Y2481" s="2"/>
      <c r="Z2481" s="2"/>
      <c r="AA2481" s="2"/>
      <c r="AB2481" s="2"/>
      <c r="AC2481" s="2"/>
      <c r="AD2481" s="2"/>
      <c r="AE2481" s="2"/>
      <c r="AF2481" s="2"/>
      <c r="AG2481" s="2"/>
      <c r="AH2481" s="2"/>
      <c r="AI2481" s="2"/>
      <c r="AJ2481" s="2" t="str">
        <f>IFERROR(__xludf.DUMMYFUNCTION("""COMPUTED_VALUE"""),"")</f>
        <v/>
      </c>
      <c r="AK2481" s="2" t="str">
        <f>IFERROR(__xludf.DUMMYFUNCTION("""COMPUTED_VALUE"""),"")</f>
        <v/>
      </c>
      <c r="AL2481" s="2" t="str">
        <f>IFERROR(__xludf.DUMMYFUNCTION("""COMPUTED_VALUE"""),"")</f>
        <v/>
      </c>
      <c r="AM2481" s="2" t="str">
        <f>IFERROR(__xludf.DUMMYFUNCTION("""COMPUTED_VALUE"""),"")</f>
        <v/>
      </c>
      <c r="AN2481" s="2" t="str">
        <f>IFERROR(__xludf.DUMMYFUNCTION("""COMPUTED_VALUE""")," ")</f>
        <v> </v>
      </c>
      <c r="AO2481" s="2" t="str">
        <f>IFERROR(__xludf.DUMMYFUNCTION("""COMPUTED_VALUE""")," ")</f>
        <v> </v>
      </c>
      <c r="AP2481" s="2" t="str">
        <f>IFERROR(__xludf.DUMMYFUNCTION("""COMPUTED_VALUE"""),"")</f>
        <v/>
      </c>
      <c r="AQ2481" s="2"/>
      <c r="AR2481" s="2"/>
      <c r="AS2481" s="2"/>
      <c r="AT2481" s="2"/>
      <c r="AU2481" s="2"/>
      <c r="AV2481" s="2"/>
      <c r="AW2481" s="2"/>
      <c r="AX2481" s="2"/>
      <c r="AY2481" s="2"/>
      <c r="AZ2481" s="2"/>
      <c r="BA2481" s="2"/>
      <c r="BB2481" s="2"/>
    </row>
    <row r="2482">
      <c r="A2482" s="2"/>
      <c r="B2482" s="2" t="str">
        <f>IFERROR(__xludf.DUMMYFUNCTION("""COMPUTED_VALUE"""),"")</f>
        <v/>
      </c>
      <c r="C2482" s="2"/>
      <c r="D2482" s="71"/>
      <c r="E2482" s="71" t="str">
        <f>IFERROR(__xludf.DUMMYFUNCTION("""COMPUTED_VALUE""")," ")</f>
        <v> </v>
      </c>
      <c r="F2482" s="2"/>
      <c r="G2482" s="2"/>
      <c r="H2482" s="2"/>
      <c r="I2482" s="72"/>
      <c r="J2482" s="72"/>
      <c r="K2482" s="72"/>
      <c r="L2482" s="72"/>
      <c r="M2482" s="2"/>
      <c r="N2482" s="2"/>
      <c r="O2482" s="2"/>
      <c r="P2482" s="2"/>
      <c r="Q2482" s="2"/>
      <c r="R2482" s="2"/>
      <c r="S2482" s="2"/>
      <c r="T2482" s="2"/>
      <c r="U2482" s="2"/>
      <c r="V2482" s="2"/>
      <c r="W2482" s="2"/>
      <c r="X2482" s="2"/>
      <c r="Y2482" s="2"/>
      <c r="Z2482" s="2"/>
      <c r="AA2482" s="2"/>
      <c r="AB2482" s="2"/>
      <c r="AC2482" s="2"/>
      <c r="AD2482" s="2"/>
      <c r="AE2482" s="2"/>
      <c r="AF2482" s="2"/>
      <c r="AG2482" s="2"/>
      <c r="AH2482" s="2"/>
      <c r="AI2482" s="2"/>
      <c r="AJ2482" s="2" t="str">
        <f>IFERROR(__xludf.DUMMYFUNCTION("""COMPUTED_VALUE"""),"")</f>
        <v/>
      </c>
      <c r="AK2482" s="2" t="str">
        <f>IFERROR(__xludf.DUMMYFUNCTION("""COMPUTED_VALUE"""),"")</f>
        <v/>
      </c>
      <c r="AL2482" s="2" t="str">
        <f>IFERROR(__xludf.DUMMYFUNCTION("""COMPUTED_VALUE"""),"")</f>
        <v/>
      </c>
      <c r="AM2482" s="2" t="str">
        <f>IFERROR(__xludf.DUMMYFUNCTION("""COMPUTED_VALUE"""),"")</f>
        <v/>
      </c>
      <c r="AN2482" s="2" t="str">
        <f>IFERROR(__xludf.DUMMYFUNCTION("""COMPUTED_VALUE""")," ")</f>
        <v> </v>
      </c>
      <c r="AO2482" s="2" t="str">
        <f>IFERROR(__xludf.DUMMYFUNCTION("""COMPUTED_VALUE""")," ")</f>
        <v> </v>
      </c>
      <c r="AP2482" s="2" t="str">
        <f>IFERROR(__xludf.DUMMYFUNCTION("""COMPUTED_VALUE"""),"")</f>
        <v/>
      </c>
      <c r="AQ2482" s="2"/>
      <c r="AR2482" s="2"/>
      <c r="AS2482" s="2"/>
      <c r="AT2482" s="2"/>
      <c r="AU2482" s="2"/>
      <c r="AV2482" s="2"/>
      <c r="AW2482" s="2"/>
      <c r="AX2482" s="2"/>
      <c r="AY2482" s="2"/>
      <c r="AZ2482" s="2"/>
      <c r="BA2482" s="2"/>
      <c r="BB2482" s="2"/>
    </row>
    <row r="2483">
      <c r="A2483" s="2"/>
      <c r="B2483" s="2" t="str">
        <f>IFERROR(__xludf.DUMMYFUNCTION("""COMPUTED_VALUE"""),"")</f>
        <v/>
      </c>
      <c r="C2483" s="2"/>
      <c r="D2483" s="71"/>
      <c r="E2483" s="71" t="str">
        <f>IFERROR(__xludf.DUMMYFUNCTION("""COMPUTED_VALUE""")," ")</f>
        <v> </v>
      </c>
      <c r="F2483" s="2"/>
      <c r="G2483" s="2"/>
      <c r="H2483" s="2"/>
      <c r="I2483" s="72"/>
      <c r="J2483" s="72"/>
      <c r="K2483" s="72"/>
      <c r="L2483" s="72"/>
      <c r="M2483" s="2"/>
      <c r="N2483" s="2"/>
      <c r="O2483" s="2"/>
      <c r="P2483" s="2"/>
      <c r="Q2483" s="2"/>
      <c r="R2483" s="2"/>
      <c r="S2483" s="2"/>
      <c r="T2483" s="2"/>
      <c r="U2483" s="2"/>
      <c r="V2483" s="2"/>
      <c r="W2483" s="2"/>
      <c r="X2483" s="2"/>
      <c r="Y2483" s="2"/>
      <c r="Z2483" s="2"/>
      <c r="AA2483" s="2"/>
      <c r="AB2483" s="2"/>
      <c r="AC2483" s="2"/>
      <c r="AD2483" s="2"/>
      <c r="AE2483" s="2"/>
      <c r="AF2483" s="2"/>
      <c r="AG2483" s="2"/>
      <c r="AH2483" s="2"/>
      <c r="AI2483" s="2"/>
      <c r="AJ2483" s="2" t="str">
        <f>IFERROR(__xludf.DUMMYFUNCTION("""COMPUTED_VALUE"""),"")</f>
        <v/>
      </c>
      <c r="AK2483" s="2" t="str">
        <f>IFERROR(__xludf.DUMMYFUNCTION("""COMPUTED_VALUE"""),"")</f>
        <v/>
      </c>
      <c r="AL2483" s="2" t="str">
        <f>IFERROR(__xludf.DUMMYFUNCTION("""COMPUTED_VALUE"""),"")</f>
        <v/>
      </c>
      <c r="AM2483" s="2" t="str">
        <f>IFERROR(__xludf.DUMMYFUNCTION("""COMPUTED_VALUE"""),"")</f>
        <v/>
      </c>
      <c r="AN2483" s="2" t="str">
        <f>IFERROR(__xludf.DUMMYFUNCTION("""COMPUTED_VALUE""")," ")</f>
        <v> </v>
      </c>
      <c r="AO2483" s="2" t="str">
        <f>IFERROR(__xludf.DUMMYFUNCTION("""COMPUTED_VALUE""")," ")</f>
        <v> </v>
      </c>
      <c r="AP2483" s="2" t="str">
        <f>IFERROR(__xludf.DUMMYFUNCTION("""COMPUTED_VALUE"""),"")</f>
        <v/>
      </c>
      <c r="AQ2483" s="2"/>
      <c r="AR2483" s="2"/>
      <c r="AS2483" s="2"/>
      <c r="AT2483" s="2"/>
      <c r="AU2483" s="2"/>
      <c r="AV2483" s="2"/>
      <c r="AW2483" s="2"/>
      <c r="AX2483" s="2"/>
      <c r="AY2483" s="2"/>
      <c r="AZ2483" s="2"/>
      <c r="BA2483" s="2"/>
      <c r="BB2483" s="2"/>
    </row>
    <row r="2484">
      <c r="A2484" s="2"/>
      <c r="B2484" s="2" t="str">
        <f>IFERROR(__xludf.DUMMYFUNCTION("""COMPUTED_VALUE"""),"")</f>
        <v/>
      </c>
      <c r="C2484" s="2"/>
      <c r="D2484" s="71"/>
      <c r="E2484" s="71" t="str">
        <f>IFERROR(__xludf.DUMMYFUNCTION("""COMPUTED_VALUE""")," ")</f>
        <v> </v>
      </c>
      <c r="F2484" s="2"/>
      <c r="G2484" s="2"/>
      <c r="H2484" s="2"/>
      <c r="I2484" s="72"/>
      <c r="J2484" s="72"/>
      <c r="K2484" s="72"/>
      <c r="L2484" s="72"/>
      <c r="M2484" s="2"/>
      <c r="N2484" s="2"/>
      <c r="O2484" s="2"/>
      <c r="P2484" s="2"/>
      <c r="Q2484" s="2"/>
      <c r="R2484" s="2"/>
      <c r="S2484" s="2"/>
      <c r="T2484" s="2"/>
      <c r="U2484" s="2"/>
      <c r="V2484" s="2"/>
      <c r="W2484" s="2"/>
      <c r="X2484" s="2"/>
      <c r="Y2484" s="2"/>
      <c r="Z2484" s="2"/>
      <c r="AA2484" s="2"/>
      <c r="AB2484" s="2"/>
      <c r="AC2484" s="2"/>
      <c r="AD2484" s="2"/>
      <c r="AE2484" s="2"/>
      <c r="AF2484" s="2"/>
      <c r="AG2484" s="2"/>
      <c r="AH2484" s="2"/>
      <c r="AI2484" s="2"/>
      <c r="AJ2484" s="2" t="str">
        <f>IFERROR(__xludf.DUMMYFUNCTION("""COMPUTED_VALUE"""),"")</f>
        <v/>
      </c>
      <c r="AK2484" s="2" t="str">
        <f>IFERROR(__xludf.DUMMYFUNCTION("""COMPUTED_VALUE"""),"")</f>
        <v/>
      </c>
      <c r="AL2484" s="2" t="str">
        <f>IFERROR(__xludf.DUMMYFUNCTION("""COMPUTED_VALUE"""),"")</f>
        <v/>
      </c>
      <c r="AM2484" s="2" t="str">
        <f>IFERROR(__xludf.DUMMYFUNCTION("""COMPUTED_VALUE"""),"")</f>
        <v/>
      </c>
      <c r="AN2484" s="2" t="str">
        <f>IFERROR(__xludf.DUMMYFUNCTION("""COMPUTED_VALUE""")," ")</f>
        <v> </v>
      </c>
      <c r="AO2484" s="2" t="str">
        <f>IFERROR(__xludf.DUMMYFUNCTION("""COMPUTED_VALUE""")," ")</f>
        <v> </v>
      </c>
      <c r="AP2484" s="2" t="str">
        <f>IFERROR(__xludf.DUMMYFUNCTION("""COMPUTED_VALUE"""),"")</f>
        <v/>
      </c>
      <c r="AQ2484" s="2"/>
      <c r="AR2484" s="2"/>
      <c r="AS2484" s="2"/>
      <c r="AT2484" s="2"/>
      <c r="AU2484" s="2"/>
      <c r="AV2484" s="2"/>
      <c r="AW2484" s="2"/>
      <c r="AX2484" s="2"/>
      <c r="AY2484" s="2"/>
      <c r="AZ2484" s="2"/>
      <c r="BA2484" s="2"/>
      <c r="BB2484" s="2"/>
    </row>
    <row r="2485">
      <c r="A2485" s="2"/>
      <c r="B2485" s="2" t="str">
        <f>IFERROR(__xludf.DUMMYFUNCTION("""COMPUTED_VALUE"""),"")</f>
        <v/>
      </c>
      <c r="C2485" s="2"/>
      <c r="D2485" s="71"/>
      <c r="E2485" s="71" t="str">
        <f>IFERROR(__xludf.DUMMYFUNCTION("""COMPUTED_VALUE""")," ")</f>
        <v> </v>
      </c>
      <c r="F2485" s="2"/>
      <c r="G2485" s="2"/>
      <c r="H2485" s="2"/>
      <c r="I2485" s="72"/>
      <c r="J2485" s="72"/>
      <c r="K2485" s="72"/>
      <c r="L2485" s="72"/>
      <c r="M2485" s="2"/>
      <c r="N2485" s="2"/>
      <c r="O2485" s="2"/>
      <c r="P2485" s="2"/>
      <c r="Q2485" s="2"/>
      <c r="R2485" s="2"/>
      <c r="S2485" s="2"/>
      <c r="T2485" s="2"/>
      <c r="U2485" s="2"/>
      <c r="V2485" s="2"/>
      <c r="W2485" s="2"/>
      <c r="X2485" s="2"/>
      <c r="Y2485" s="2"/>
      <c r="Z2485" s="2"/>
      <c r="AA2485" s="2"/>
      <c r="AB2485" s="2"/>
      <c r="AC2485" s="2"/>
      <c r="AD2485" s="2"/>
      <c r="AE2485" s="2"/>
      <c r="AF2485" s="2"/>
      <c r="AG2485" s="2"/>
      <c r="AH2485" s="2"/>
      <c r="AI2485" s="2"/>
      <c r="AJ2485" s="2" t="str">
        <f>IFERROR(__xludf.DUMMYFUNCTION("""COMPUTED_VALUE"""),"")</f>
        <v/>
      </c>
      <c r="AK2485" s="2" t="str">
        <f>IFERROR(__xludf.DUMMYFUNCTION("""COMPUTED_VALUE"""),"")</f>
        <v/>
      </c>
      <c r="AL2485" s="2" t="str">
        <f>IFERROR(__xludf.DUMMYFUNCTION("""COMPUTED_VALUE"""),"")</f>
        <v/>
      </c>
      <c r="AM2485" s="2" t="str">
        <f>IFERROR(__xludf.DUMMYFUNCTION("""COMPUTED_VALUE"""),"")</f>
        <v/>
      </c>
      <c r="AN2485" s="2" t="str">
        <f>IFERROR(__xludf.DUMMYFUNCTION("""COMPUTED_VALUE""")," ")</f>
        <v> </v>
      </c>
      <c r="AO2485" s="2" t="str">
        <f>IFERROR(__xludf.DUMMYFUNCTION("""COMPUTED_VALUE""")," ")</f>
        <v> </v>
      </c>
      <c r="AP2485" s="2" t="str">
        <f>IFERROR(__xludf.DUMMYFUNCTION("""COMPUTED_VALUE"""),"")</f>
        <v/>
      </c>
      <c r="AQ2485" s="2"/>
      <c r="AR2485" s="2"/>
      <c r="AS2485" s="2"/>
      <c r="AT2485" s="2"/>
      <c r="AU2485" s="2"/>
      <c r="AV2485" s="2"/>
      <c r="AW2485" s="2"/>
      <c r="AX2485" s="2"/>
      <c r="AY2485" s="2"/>
      <c r="AZ2485" s="2"/>
      <c r="BA2485" s="2"/>
      <c r="BB2485" s="2"/>
    </row>
    <row r="2486">
      <c r="A2486" s="2"/>
      <c r="B2486" s="2" t="str">
        <f>IFERROR(__xludf.DUMMYFUNCTION("""COMPUTED_VALUE"""),"")</f>
        <v/>
      </c>
      <c r="C2486" s="2"/>
      <c r="D2486" s="71"/>
      <c r="E2486" s="71" t="str">
        <f>IFERROR(__xludf.DUMMYFUNCTION("""COMPUTED_VALUE""")," ")</f>
        <v> </v>
      </c>
      <c r="F2486" s="2"/>
      <c r="G2486" s="2"/>
      <c r="H2486" s="2"/>
      <c r="I2486" s="72"/>
      <c r="J2486" s="72"/>
      <c r="K2486" s="72"/>
      <c r="L2486" s="72"/>
      <c r="M2486" s="2"/>
      <c r="N2486" s="2"/>
      <c r="O2486" s="2"/>
      <c r="P2486" s="2"/>
      <c r="Q2486" s="2"/>
      <c r="R2486" s="2"/>
      <c r="S2486" s="2"/>
      <c r="T2486" s="2"/>
      <c r="U2486" s="2"/>
      <c r="V2486" s="2"/>
      <c r="W2486" s="2"/>
      <c r="X2486" s="2"/>
      <c r="Y2486" s="2"/>
      <c r="Z2486" s="2"/>
      <c r="AA2486" s="2"/>
      <c r="AB2486" s="2"/>
      <c r="AC2486" s="2"/>
      <c r="AD2486" s="2"/>
      <c r="AE2486" s="2"/>
      <c r="AF2486" s="2"/>
      <c r="AG2486" s="2"/>
      <c r="AH2486" s="2"/>
      <c r="AI2486" s="2"/>
      <c r="AJ2486" s="2" t="str">
        <f>IFERROR(__xludf.DUMMYFUNCTION("""COMPUTED_VALUE"""),"")</f>
        <v/>
      </c>
      <c r="AK2486" s="2" t="str">
        <f>IFERROR(__xludf.DUMMYFUNCTION("""COMPUTED_VALUE"""),"")</f>
        <v/>
      </c>
      <c r="AL2486" s="2" t="str">
        <f>IFERROR(__xludf.DUMMYFUNCTION("""COMPUTED_VALUE"""),"")</f>
        <v/>
      </c>
      <c r="AM2486" s="2" t="str">
        <f>IFERROR(__xludf.DUMMYFUNCTION("""COMPUTED_VALUE"""),"")</f>
        <v/>
      </c>
      <c r="AN2486" s="2" t="str">
        <f>IFERROR(__xludf.DUMMYFUNCTION("""COMPUTED_VALUE""")," ")</f>
        <v> </v>
      </c>
      <c r="AO2486" s="2" t="str">
        <f>IFERROR(__xludf.DUMMYFUNCTION("""COMPUTED_VALUE""")," ")</f>
        <v> </v>
      </c>
      <c r="AP2486" s="2" t="str">
        <f>IFERROR(__xludf.DUMMYFUNCTION("""COMPUTED_VALUE"""),"")</f>
        <v/>
      </c>
      <c r="AQ2486" s="2"/>
      <c r="AR2486" s="2"/>
      <c r="AS2486" s="2"/>
      <c r="AT2486" s="2"/>
      <c r="AU2486" s="2"/>
      <c r="AV2486" s="2"/>
      <c r="AW2486" s="2"/>
      <c r="AX2486" s="2"/>
      <c r="AY2486" s="2"/>
      <c r="AZ2486" s="2"/>
      <c r="BA2486" s="2"/>
      <c r="BB2486" s="2"/>
    </row>
    <row r="2487">
      <c r="A2487" s="2"/>
      <c r="B2487" s="2" t="str">
        <f>IFERROR(__xludf.DUMMYFUNCTION("""COMPUTED_VALUE"""),"")</f>
        <v/>
      </c>
      <c r="C2487" s="2"/>
      <c r="D2487" s="71"/>
      <c r="E2487" s="71" t="str">
        <f>IFERROR(__xludf.DUMMYFUNCTION("""COMPUTED_VALUE""")," ")</f>
        <v> </v>
      </c>
      <c r="F2487" s="2"/>
      <c r="G2487" s="2"/>
      <c r="H2487" s="2"/>
      <c r="I2487" s="72"/>
      <c r="J2487" s="72"/>
      <c r="K2487" s="72"/>
      <c r="L2487" s="72"/>
      <c r="M2487" s="2"/>
      <c r="N2487" s="2"/>
      <c r="O2487" s="2"/>
      <c r="P2487" s="2"/>
      <c r="Q2487" s="2"/>
      <c r="R2487" s="2"/>
      <c r="S2487" s="2"/>
      <c r="T2487" s="2"/>
      <c r="U2487" s="2"/>
      <c r="V2487" s="2"/>
      <c r="W2487" s="2"/>
      <c r="X2487" s="2"/>
      <c r="Y2487" s="2"/>
      <c r="Z2487" s="2"/>
      <c r="AA2487" s="2"/>
      <c r="AB2487" s="2"/>
      <c r="AC2487" s="2"/>
      <c r="AD2487" s="2"/>
      <c r="AE2487" s="2"/>
      <c r="AF2487" s="2"/>
      <c r="AG2487" s="2"/>
      <c r="AH2487" s="2"/>
      <c r="AI2487" s="2"/>
      <c r="AJ2487" s="2" t="str">
        <f>IFERROR(__xludf.DUMMYFUNCTION("""COMPUTED_VALUE"""),"")</f>
        <v/>
      </c>
      <c r="AK2487" s="2" t="str">
        <f>IFERROR(__xludf.DUMMYFUNCTION("""COMPUTED_VALUE"""),"")</f>
        <v/>
      </c>
      <c r="AL2487" s="2" t="str">
        <f>IFERROR(__xludf.DUMMYFUNCTION("""COMPUTED_VALUE"""),"")</f>
        <v/>
      </c>
      <c r="AM2487" s="2" t="str">
        <f>IFERROR(__xludf.DUMMYFUNCTION("""COMPUTED_VALUE"""),"")</f>
        <v/>
      </c>
      <c r="AN2487" s="2" t="str">
        <f>IFERROR(__xludf.DUMMYFUNCTION("""COMPUTED_VALUE""")," ")</f>
        <v> </v>
      </c>
      <c r="AO2487" s="2" t="str">
        <f>IFERROR(__xludf.DUMMYFUNCTION("""COMPUTED_VALUE""")," ")</f>
        <v> </v>
      </c>
      <c r="AP2487" s="2" t="str">
        <f>IFERROR(__xludf.DUMMYFUNCTION("""COMPUTED_VALUE"""),"")</f>
        <v/>
      </c>
      <c r="AQ2487" s="2"/>
      <c r="AR2487" s="2"/>
      <c r="AS2487" s="2"/>
      <c r="AT2487" s="2"/>
      <c r="AU2487" s="2"/>
      <c r="AV2487" s="2"/>
      <c r="AW2487" s="2"/>
      <c r="AX2487" s="2"/>
      <c r="AY2487" s="2"/>
      <c r="AZ2487" s="2"/>
      <c r="BA2487" s="2"/>
      <c r="BB2487" s="2"/>
    </row>
    <row r="2488">
      <c r="A2488" s="2"/>
      <c r="B2488" s="2" t="str">
        <f>IFERROR(__xludf.DUMMYFUNCTION("""COMPUTED_VALUE"""),"")</f>
        <v/>
      </c>
      <c r="C2488" s="2"/>
      <c r="D2488" s="71"/>
      <c r="E2488" s="71" t="str">
        <f>IFERROR(__xludf.DUMMYFUNCTION("""COMPUTED_VALUE""")," ")</f>
        <v> </v>
      </c>
      <c r="F2488" s="2"/>
      <c r="G2488" s="2"/>
      <c r="H2488" s="2"/>
      <c r="I2488" s="72"/>
      <c r="J2488" s="72"/>
      <c r="K2488" s="72"/>
      <c r="L2488" s="72"/>
      <c r="M2488" s="2"/>
      <c r="N2488" s="2"/>
      <c r="O2488" s="2"/>
      <c r="P2488" s="2"/>
      <c r="Q2488" s="2"/>
      <c r="R2488" s="2"/>
      <c r="S2488" s="2"/>
      <c r="T2488" s="2"/>
      <c r="U2488" s="2"/>
      <c r="V2488" s="2"/>
      <c r="W2488" s="2"/>
      <c r="X2488" s="2"/>
      <c r="Y2488" s="2"/>
      <c r="Z2488" s="2"/>
      <c r="AA2488" s="2"/>
      <c r="AB2488" s="2"/>
      <c r="AC2488" s="2"/>
      <c r="AD2488" s="2"/>
      <c r="AE2488" s="2"/>
      <c r="AF2488" s="2"/>
      <c r="AG2488" s="2"/>
      <c r="AH2488" s="2"/>
      <c r="AI2488" s="2"/>
      <c r="AJ2488" s="2" t="str">
        <f>IFERROR(__xludf.DUMMYFUNCTION("""COMPUTED_VALUE"""),"")</f>
        <v/>
      </c>
      <c r="AK2488" s="2" t="str">
        <f>IFERROR(__xludf.DUMMYFUNCTION("""COMPUTED_VALUE"""),"")</f>
        <v/>
      </c>
      <c r="AL2488" s="2" t="str">
        <f>IFERROR(__xludf.DUMMYFUNCTION("""COMPUTED_VALUE"""),"")</f>
        <v/>
      </c>
      <c r="AM2488" s="2" t="str">
        <f>IFERROR(__xludf.DUMMYFUNCTION("""COMPUTED_VALUE"""),"")</f>
        <v/>
      </c>
      <c r="AN2488" s="2" t="str">
        <f>IFERROR(__xludf.DUMMYFUNCTION("""COMPUTED_VALUE""")," ")</f>
        <v> </v>
      </c>
      <c r="AO2488" s="2" t="str">
        <f>IFERROR(__xludf.DUMMYFUNCTION("""COMPUTED_VALUE""")," ")</f>
        <v> </v>
      </c>
      <c r="AP2488" s="2" t="str">
        <f>IFERROR(__xludf.DUMMYFUNCTION("""COMPUTED_VALUE"""),"")</f>
        <v/>
      </c>
      <c r="AQ2488" s="2"/>
      <c r="AR2488" s="2"/>
      <c r="AS2488" s="2"/>
      <c r="AT2488" s="2"/>
      <c r="AU2488" s="2"/>
      <c r="AV2488" s="2"/>
      <c r="AW2488" s="2"/>
      <c r="AX2488" s="2"/>
      <c r="AY2488" s="2"/>
      <c r="AZ2488" s="2"/>
      <c r="BA2488" s="2"/>
      <c r="BB2488" s="2"/>
    </row>
    <row r="2489">
      <c r="A2489" s="2"/>
      <c r="B2489" s="2" t="str">
        <f>IFERROR(__xludf.DUMMYFUNCTION("""COMPUTED_VALUE"""),"")</f>
        <v/>
      </c>
      <c r="C2489" s="2"/>
      <c r="D2489" s="71"/>
      <c r="E2489" s="71" t="str">
        <f>IFERROR(__xludf.DUMMYFUNCTION("""COMPUTED_VALUE""")," ")</f>
        <v> </v>
      </c>
      <c r="F2489" s="2"/>
      <c r="G2489" s="2"/>
      <c r="H2489" s="2"/>
      <c r="I2489" s="72"/>
      <c r="J2489" s="72"/>
      <c r="K2489" s="72"/>
      <c r="L2489" s="72"/>
      <c r="M2489" s="2"/>
      <c r="N2489" s="2"/>
      <c r="O2489" s="2"/>
      <c r="P2489" s="2"/>
      <c r="Q2489" s="2"/>
      <c r="R2489" s="2"/>
      <c r="S2489" s="2"/>
      <c r="T2489" s="2"/>
      <c r="U2489" s="2"/>
      <c r="V2489" s="2"/>
      <c r="W2489" s="2"/>
      <c r="X2489" s="2"/>
      <c r="Y2489" s="2"/>
      <c r="Z2489" s="2"/>
      <c r="AA2489" s="2"/>
      <c r="AB2489" s="2"/>
      <c r="AC2489" s="2"/>
      <c r="AD2489" s="2"/>
      <c r="AE2489" s="2"/>
      <c r="AF2489" s="2"/>
      <c r="AG2489" s="2"/>
      <c r="AH2489" s="2"/>
      <c r="AI2489" s="2"/>
      <c r="AJ2489" s="2" t="str">
        <f>IFERROR(__xludf.DUMMYFUNCTION("""COMPUTED_VALUE"""),"")</f>
        <v/>
      </c>
      <c r="AK2489" s="2" t="str">
        <f>IFERROR(__xludf.DUMMYFUNCTION("""COMPUTED_VALUE"""),"")</f>
        <v/>
      </c>
      <c r="AL2489" s="2" t="str">
        <f>IFERROR(__xludf.DUMMYFUNCTION("""COMPUTED_VALUE"""),"")</f>
        <v/>
      </c>
      <c r="AM2489" s="2" t="str">
        <f>IFERROR(__xludf.DUMMYFUNCTION("""COMPUTED_VALUE"""),"")</f>
        <v/>
      </c>
      <c r="AN2489" s="2" t="str">
        <f>IFERROR(__xludf.DUMMYFUNCTION("""COMPUTED_VALUE""")," ")</f>
        <v> </v>
      </c>
      <c r="AO2489" s="2" t="str">
        <f>IFERROR(__xludf.DUMMYFUNCTION("""COMPUTED_VALUE""")," ")</f>
        <v> </v>
      </c>
      <c r="AP2489" s="2" t="str">
        <f>IFERROR(__xludf.DUMMYFUNCTION("""COMPUTED_VALUE"""),"")</f>
        <v/>
      </c>
      <c r="AQ2489" s="2"/>
      <c r="AR2489" s="2"/>
      <c r="AS2489" s="2"/>
      <c r="AT2489" s="2"/>
      <c r="AU2489" s="2"/>
      <c r="AV2489" s="2"/>
      <c r="AW2489" s="2"/>
      <c r="AX2489" s="2"/>
      <c r="AY2489" s="2"/>
      <c r="AZ2489" s="2"/>
      <c r="BA2489" s="2"/>
      <c r="BB2489" s="2"/>
    </row>
    <row r="2490">
      <c r="A2490" s="2"/>
      <c r="B2490" s="2" t="str">
        <f>IFERROR(__xludf.DUMMYFUNCTION("""COMPUTED_VALUE"""),"")</f>
        <v/>
      </c>
      <c r="C2490" s="2"/>
      <c r="D2490" s="71"/>
      <c r="E2490" s="71" t="str">
        <f>IFERROR(__xludf.DUMMYFUNCTION("""COMPUTED_VALUE""")," ")</f>
        <v> </v>
      </c>
      <c r="F2490" s="2"/>
      <c r="G2490" s="2"/>
      <c r="H2490" s="2"/>
      <c r="I2490" s="72"/>
      <c r="J2490" s="72"/>
      <c r="K2490" s="72"/>
      <c r="L2490" s="72"/>
      <c r="M2490" s="2"/>
      <c r="N2490" s="2"/>
      <c r="O2490" s="2"/>
      <c r="P2490" s="2"/>
      <c r="Q2490" s="2"/>
      <c r="R2490" s="2"/>
      <c r="S2490" s="2"/>
      <c r="T2490" s="2"/>
      <c r="U2490" s="2"/>
      <c r="V2490" s="2"/>
      <c r="W2490" s="2"/>
      <c r="X2490" s="2"/>
      <c r="Y2490" s="2"/>
      <c r="Z2490" s="2"/>
      <c r="AA2490" s="2"/>
      <c r="AB2490" s="2"/>
      <c r="AC2490" s="2"/>
      <c r="AD2490" s="2"/>
      <c r="AE2490" s="2"/>
      <c r="AF2490" s="2"/>
      <c r="AG2490" s="2"/>
      <c r="AH2490" s="2"/>
      <c r="AI2490" s="2"/>
      <c r="AJ2490" s="2" t="str">
        <f>IFERROR(__xludf.DUMMYFUNCTION("""COMPUTED_VALUE"""),"")</f>
        <v/>
      </c>
      <c r="AK2490" s="2" t="str">
        <f>IFERROR(__xludf.DUMMYFUNCTION("""COMPUTED_VALUE"""),"")</f>
        <v/>
      </c>
      <c r="AL2490" s="2" t="str">
        <f>IFERROR(__xludf.DUMMYFUNCTION("""COMPUTED_VALUE"""),"")</f>
        <v/>
      </c>
      <c r="AM2490" s="2" t="str">
        <f>IFERROR(__xludf.DUMMYFUNCTION("""COMPUTED_VALUE"""),"")</f>
        <v/>
      </c>
      <c r="AN2490" s="2" t="str">
        <f>IFERROR(__xludf.DUMMYFUNCTION("""COMPUTED_VALUE""")," ")</f>
        <v> </v>
      </c>
      <c r="AO2490" s="2" t="str">
        <f>IFERROR(__xludf.DUMMYFUNCTION("""COMPUTED_VALUE""")," ")</f>
        <v> </v>
      </c>
      <c r="AP2490" s="2" t="str">
        <f>IFERROR(__xludf.DUMMYFUNCTION("""COMPUTED_VALUE"""),"")</f>
        <v/>
      </c>
      <c r="AQ2490" s="2"/>
      <c r="AR2490" s="2"/>
      <c r="AS2490" s="2"/>
      <c r="AT2490" s="2"/>
      <c r="AU2490" s="2"/>
      <c r="AV2490" s="2"/>
      <c r="AW2490" s="2"/>
      <c r="AX2490" s="2"/>
      <c r="AY2490" s="2"/>
      <c r="AZ2490" s="2"/>
      <c r="BA2490" s="2"/>
      <c r="BB2490" s="2"/>
    </row>
    <row r="2491">
      <c r="A2491" s="2"/>
      <c r="B2491" s="2" t="str">
        <f>IFERROR(__xludf.DUMMYFUNCTION("""COMPUTED_VALUE"""),"")</f>
        <v/>
      </c>
      <c r="C2491" s="2"/>
      <c r="D2491" s="71"/>
      <c r="E2491" s="71" t="str">
        <f>IFERROR(__xludf.DUMMYFUNCTION("""COMPUTED_VALUE""")," ")</f>
        <v> </v>
      </c>
      <c r="F2491" s="2"/>
      <c r="G2491" s="2"/>
      <c r="H2491" s="2"/>
      <c r="I2491" s="72"/>
      <c r="J2491" s="72"/>
      <c r="K2491" s="72"/>
      <c r="L2491" s="72"/>
      <c r="M2491" s="2"/>
      <c r="N2491" s="2"/>
      <c r="O2491" s="2"/>
      <c r="P2491" s="2"/>
      <c r="Q2491" s="2"/>
      <c r="R2491" s="2"/>
      <c r="S2491" s="2"/>
      <c r="T2491" s="2"/>
      <c r="U2491" s="2"/>
      <c r="V2491" s="2"/>
      <c r="W2491" s="2"/>
      <c r="X2491" s="2"/>
      <c r="Y2491" s="2"/>
      <c r="Z2491" s="2"/>
      <c r="AA2491" s="2"/>
      <c r="AB2491" s="2"/>
      <c r="AC2491" s="2"/>
      <c r="AD2491" s="2"/>
      <c r="AE2491" s="2"/>
      <c r="AF2491" s="2"/>
      <c r="AG2491" s="2"/>
      <c r="AH2491" s="2"/>
      <c r="AI2491" s="2"/>
      <c r="AJ2491" s="2" t="str">
        <f>IFERROR(__xludf.DUMMYFUNCTION("""COMPUTED_VALUE"""),"")</f>
        <v/>
      </c>
      <c r="AK2491" s="2" t="str">
        <f>IFERROR(__xludf.DUMMYFUNCTION("""COMPUTED_VALUE"""),"")</f>
        <v/>
      </c>
      <c r="AL2491" s="2" t="str">
        <f>IFERROR(__xludf.DUMMYFUNCTION("""COMPUTED_VALUE"""),"")</f>
        <v/>
      </c>
      <c r="AM2491" s="2" t="str">
        <f>IFERROR(__xludf.DUMMYFUNCTION("""COMPUTED_VALUE"""),"")</f>
        <v/>
      </c>
      <c r="AN2491" s="2" t="str">
        <f>IFERROR(__xludf.DUMMYFUNCTION("""COMPUTED_VALUE""")," ")</f>
        <v> </v>
      </c>
      <c r="AO2491" s="2" t="str">
        <f>IFERROR(__xludf.DUMMYFUNCTION("""COMPUTED_VALUE""")," ")</f>
        <v> </v>
      </c>
      <c r="AP2491" s="2" t="str">
        <f>IFERROR(__xludf.DUMMYFUNCTION("""COMPUTED_VALUE"""),"")</f>
        <v/>
      </c>
      <c r="AQ2491" s="2"/>
      <c r="AR2491" s="2"/>
      <c r="AS2491" s="2"/>
      <c r="AT2491" s="2"/>
      <c r="AU2491" s="2"/>
      <c r="AV2491" s="2"/>
      <c r="AW2491" s="2"/>
      <c r="AX2491" s="2"/>
      <c r="AY2491" s="2"/>
      <c r="AZ2491" s="2"/>
      <c r="BA2491" s="2"/>
      <c r="BB2491" s="2"/>
    </row>
    <row r="2492">
      <c r="A2492" s="2"/>
      <c r="B2492" s="2" t="str">
        <f>IFERROR(__xludf.DUMMYFUNCTION("""COMPUTED_VALUE"""),"")</f>
        <v/>
      </c>
      <c r="C2492" s="2"/>
      <c r="D2492" s="71"/>
      <c r="E2492" s="71" t="str">
        <f>IFERROR(__xludf.DUMMYFUNCTION("""COMPUTED_VALUE""")," ")</f>
        <v> </v>
      </c>
      <c r="F2492" s="2"/>
      <c r="G2492" s="2"/>
      <c r="H2492" s="2"/>
      <c r="I2492" s="72"/>
      <c r="J2492" s="72"/>
      <c r="K2492" s="72"/>
      <c r="L2492" s="72"/>
      <c r="M2492" s="2"/>
      <c r="N2492" s="2"/>
      <c r="O2492" s="2"/>
      <c r="P2492" s="2"/>
      <c r="Q2492" s="2"/>
      <c r="R2492" s="2"/>
      <c r="S2492" s="2"/>
      <c r="T2492" s="2"/>
      <c r="U2492" s="2"/>
      <c r="V2492" s="2"/>
      <c r="W2492" s="2"/>
      <c r="X2492" s="2"/>
      <c r="Y2492" s="2"/>
      <c r="Z2492" s="2"/>
      <c r="AA2492" s="2"/>
      <c r="AB2492" s="2"/>
      <c r="AC2492" s="2"/>
      <c r="AD2492" s="2"/>
      <c r="AE2492" s="2"/>
      <c r="AF2492" s="2"/>
      <c r="AG2492" s="2"/>
      <c r="AH2492" s="2"/>
      <c r="AI2492" s="2"/>
      <c r="AJ2492" s="2" t="str">
        <f>IFERROR(__xludf.DUMMYFUNCTION("""COMPUTED_VALUE"""),"")</f>
        <v/>
      </c>
      <c r="AK2492" s="2" t="str">
        <f>IFERROR(__xludf.DUMMYFUNCTION("""COMPUTED_VALUE"""),"")</f>
        <v/>
      </c>
      <c r="AL2492" s="2" t="str">
        <f>IFERROR(__xludf.DUMMYFUNCTION("""COMPUTED_VALUE"""),"")</f>
        <v/>
      </c>
      <c r="AM2492" s="2" t="str">
        <f>IFERROR(__xludf.DUMMYFUNCTION("""COMPUTED_VALUE"""),"")</f>
        <v/>
      </c>
      <c r="AN2492" s="2" t="str">
        <f>IFERROR(__xludf.DUMMYFUNCTION("""COMPUTED_VALUE""")," ")</f>
        <v> </v>
      </c>
      <c r="AO2492" s="2" t="str">
        <f>IFERROR(__xludf.DUMMYFUNCTION("""COMPUTED_VALUE""")," ")</f>
        <v> </v>
      </c>
      <c r="AP2492" s="2" t="str">
        <f>IFERROR(__xludf.DUMMYFUNCTION("""COMPUTED_VALUE"""),"")</f>
        <v/>
      </c>
      <c r="AQ2492" s="2"/>
      <c r="AR2492" s="2"/>
      <c r="AS2492" s="2"/>
      <c r="AT2492" s="2"/>
      <c r="AU2492" s="2"/>
      <c r="AV2492" s="2"/>
      <c r="AW2492" s="2"/>
      <c r="AX2492" s="2"/>
      <c r="AY2492" s="2"/>
      <c r="AZ2492" s="2"/>
      <c r="BA2492" s="2"/>
      <c r="BB2492" s="2"/>
    </row>
    <row r="2493">
      <c r="A2493" s="2"/>
      <c r="B2493" s="2" t="str">
        <f>IFERROR(__xludf.DUMMYFUNCTION("""COMPUTED_VALUE"""),"")</f>
        <v/>
      </c>
      <c r="C2493" s="2"/>
      <c r="D2493" s="71"/>
      <c r="E2493" s="71" t="str">
        <f>IFERROR(__xludf.DUMMYFUNCTION("""COMPUTED_VALUE""")," ")</f>
        <v> </v>
      </c>
      <c r="F2493" s="2"/>
      <c r="G2493" s="2"/>
      <c r="H2493" s="2"/>
      <c r="I2493" s="72"/>
      <c r="J2493" s="72"/>
      <c r="K2493" s="72"/>
      <c r="L2493" s="72"/>
      <c r="M2493" s="2"/>
      <c r="N2493" s="2"/>
      <c r="O2493" s="2"/>
      <c r="P2493" s="2"/>
      <c r="Q2493" s="2"/>
      <c r="R2493" s="2"/>
      <c r="S2493" s="2"/>
      <c r="T2493" s="2"/>
      <c r="U2493" s="2"/>
      <c r="V2493" s="2"/>
      <c r="W2493" s="2"/>
      <c r="X2493" s="2"/>
      <c r="Y2493" s="2"/>
      <c r="Z2493" s="2"/>
      <c r="AA2493" s="2"/>
      <c r="AB2493" s="2"/>
      <c r="AC2493" s="2"/>
      <c r="AD2493" s="2"/>
      <c r="AE2493" s="2"/>
      <c r="AF2493" s="2"/>
      <c r="AG2493" s="2"/>
      <c r="AH2493" s="2"/>
      <c r="AI2493" s="2"/>
      <c r="AJ2493" s="2" t="str">
        <f>IFERROR(__xludf.DUMMYFUNCTION("""COMPUTED_VALUE"""),"")</f>
        <v/>
      </c>
      <c r="AK2493" s="2" t="str">
        <f>IFERROR(__xludf.DUMMYFUNCTION("""COMPUTED_VALUE"""),"")</f>
        <v/>
      </c>
      <c r="AL2493" s="2" t="str">
        <f>IFERROR(__xludf.DUMMYFUNCTION("""COMPUTED_VALUE"""),"")</f>
        <v/>
      </c>
      <c r="AM2493" s="2" t="str">
        <f>IFERROR(__xludf.DUMMYFUNCTION("""COMPUTED_VALUE"""),"")</f>
        <v/>
      </c>
      <c r="AN2493" s="2" t="str">
        <f>IFERROR(__xludf.DUMMYFUNCTION("""COMPUTED_VALUE""")," ")</f>
        <v> </v>
      </c>
      <c r="AO2493" s="2" t="str">
        <f>IFERROR(__xludf.DUMMYFUNCTION("""COMPUTED_VALUE""")," ")</f>
        <v> </v>
      </c>
      <c r="AP2493" s="2" t="str">
        <f>IFERROR(__xludf.DUMMYFUNCTION("""COMPUTED_VALUE"""),"")</f>
        <v/>
      </c>
      <c r="AQ2493" s="2"/>
      <c r="AR2493" s="2"/>
      <c r="AS2493" s="2"/>
      <c r="AT2493" s="2"/>
      <c r="AU2493" s="2"/>
      <c r="AV2493" s="2"/>
      <c r="AW2493" s="2"/>
      <c r="AX2493" s="2"/>
      <c r="AY2493" s="2"/>
      <c r="AZ2493" s="2"/>
      <c r="BA2493" s="2"/>
      <c r="BB2493" s="2"/>
    </row>
    <row r="2494">
      <c r="A2494" s="2"/>
      <c r="B2494" s="2" t="str">
        <f>IFERROR(__xludf.DUMMYFUNCTION("""COMPUTED_VALUE"""),"")</f>
        <v/>
      </c>
      <c r="C2494" s="2"/>
      <c r="D2494" s="71"/>
      <c r="E2494" s="71" t="str">
        <f>IFERROR(__xludf.DUMMYFUNCTION("""COMPUTED_VALUE""")," ")</f>
        <v> </v>
      </c>
      <c r="F2494" s="2"/>
      <c r="G2494" s="2"/>
      <c r="H2494" s="2"/>
      <c r="I2494" s="72"/>
      <c r="J2494" s="72"/>
      <c r="K2494" s="72"/>
      <c r="L2494" s="72"/>
      <c r="M2494" s="2"/>
      <c r="N2494" s="2"/>
      <c r="O2494" s="2"/>
      <c r="P2494" s="2"/>
      <c r="Q2494" s="2"/>
      <c r="R2494" s="2"/>
      <c r="S2494" s="2"/>
      <c r="T2494" s="2"/>
      <c r="U2494" s="2"/>
      <c r="V2494" s="2"/>
      <c r="W2494" s="2"/>
      <c r="X2494" s="2"/>
      <c r="Y2494" s="2"/>
      <c r="Z2494" s="2"/>
      <c r="AA2494" s="2"/>
      <c r="AB2494" s="2"/>
      <c r="AC2494" s="2"/>
      <c r="AD2494" s="2"/>
      <c r="AE2494" s="2"/>
      <c r="AF2494" s="2"/>
      <c r="AG2494" s="2"/>
      <c r="AH2494" s="2"/>
      <c r="AI2494" s="2"/>
      <c r="AJ2494" s="2" t="str">
        <f>IFERROR(__xludf.DUMMYFUNCTION("""COMPUTED_VALUE"""),"")</f>
        <v/>
      </c>
      <c r="AK2494" s="2" t="str">
        <f>IFERROR(__xludf.DUMMYFUNCTION("""COMPUTED_VALUE"""),"")</f>
        <v/>
      </c>
      <c r="AL2494" s="2" t="str">
        <f>IFERROR(__xludf.DUMMYFUNCTION("""COMPUTED_VALUE"""),"")</f>
        <v/>
      </c>
      <c r="AM2494" s="2" t="str">
        <f>IFERROR(__xludf.DUMMYFUNCTION("""COMPUTED_VALUE"""),"")</f>
        <v/>
      </c>
      <c r="AN2494" s="2" t="str">
        <f>IFERROR(__xludf.DUMMYFUNCTION("""COMPUTED_VALUE""")," ")</f>
        <v> </v>
      </c>
      <c r="AO2494" s="2" t="str">
        <f>IFERROR(__xludf.DUMMYFUNCTION("""COMPUTED_VALUE""")," ")</f>
        <v> </v>
      </c>
      <c r="AP2494" s="2" t="str">
        <f>IFERROR(__xludf.DUMMYFUNCTION("""COMPUTED_VALUE"""),"")</f>
        <v/>
      </c>
      <c r="AQ2494" s="2"/>
      <c r="AR2494" s="2"/>
      <c r="AS2494" s="2"/>
      <c r="AT2494" s="2"/>
      <c r="AU2494" s="2"/>
      <c r="AV2494" s="2"/>
      <c r="AW2494" s="2"/>
      <c r="AX2494" s="2"/>
      <c r="AY2494" s="2"/>
      <c r="AZ2494" s="2"/>
      <c r="BA2494" s="2"/>
      <c r="BB2494" s="2"/>
    </row>
    <row r="2495">
      <c r="A2495" s="2"/>
      <c r="B2495" s="2" t="str">
        <f>IFERROR(__xludf.DUMMYFUNCTION("""COMPUTED_VALUE"""),"")</f>
        <v/>
      </c>
      <c r="C2495" s="2"/>
      <c r="D2495" s="71"/>
      <c r="E2495" s="71" t="str">
        <f>IFERROR(__xludf.DUMMYFUNCTION("""COMPUTED_VALUE""")," ")</f>
        <v> </v>
      </c>
      <c r="F2495" s="2"/>
      <c r="G2495" s="2"/>
      <c r="H2495" s="2"/>
      <c r="I2495" s="72"/>
      <c r="J2495" s="72"/>
      <c r="K2495" s="72"/>
      <c r="L2495" s="72"/>
      <c r="M2495" s="2"/>
      <c r="N2495" s="2"/>
      <c r="O2495" s="2"/>
      <c r="P2495" s="2"/>
      <c r="Q2495" s="2"/>
      <c r="R2495" s="2"/>
      <c r="S2495" s="2"/>
      <c r="T2495" s="2"/>
      <c r="U2495" s="2"/>
      <c r="V2495" s="2"/>
      <c r="W2495" s="2"/>
      <c r="X2495" s="2"/>
      <c r="Y2495" s="2"/>
      <c r="Z2495" s="2"/>
      <c r="AA2495" s="2"/>
      <c r="AB2495" s="2"/>
      <c r="AC2495" s="2"/>
      <c r="AD2495" s="2"/>
      <c r="AE2495" s="2"/>
      <c r="AF2495" s="2"/>
      <c r="AG2495" s="2"/>
      <c r="AH2495" s="2"/>
      <c r="AI2495" s="2"/>
      <c r="AJ2495" s="2" t="str">
        <f>IFERROR(__xludf.DUMMYFUNCTION("""COMPUTED_VALUE"""),"")</f>
        <v/>
      </c>
      <c r="AK2495" s="2" t="str">
        <f>IFERROR(__xludf.DUMMYFUNCTION("""COMPUTED_VALUE"""),"")</f>
        <v/>
      </c>
      <c r="AL2495" s="2" t="str">
        <f>IFERROR(__xludf.DUMMYFUNCTION("""COMPUTED_VALUE"""),"")</f>
        <v/>
      </c>
      <c r="AM2495" s="2" t="str">
        <f>IFERROR(__xludf.DUMMYFUNCTION("""COMPUTED_VALUE"""),"")</f>
        <v/>
      </c>
      <c r="AN2495" s="2" t="str">
        <f>IFERROR(__xludf.DUMMYFUNCTION("""COMPUTED_VALUE""")," ")</f>
        <v> </v>
      </c>
      <c r="AO2495" s="2" t="str">
        <f>IFERROR(__xludf.DUMMYFUNCTION("""COMPUTED_VALUE""")," ")</f>
        <v> </v>
      </c>
      <c r="AP2495" s="2" t="str">
        <f>IFERROR(__xludf.DUMMYFUNCTION("""COMPUTED_VALUE"""),"")</f>
        <v/>
      </c>
      <c r="AQ2495" s="2"/>
      <c r="AR2495" s="2"/>
      <c r="AS2495" s="2"/>
      <c r="AT2495" s="2"/>
      <c r="AU2495" s="2"/>
      <c r="AV2495" s="2"/>
      <c r="AW2495" s="2"/>
      <c r="AX2495" s="2"/>
      <c r="AY2495" s="2"/>
      <c r="AZ2495" s="2"/>
      <c r="BA2495" s="2"/>
      <c r="BB2495" s="2"/>
    </row>
    <row r="2496">
      <c r="A2496" s="2"/>
      <c r="B2496" s="2" t="str">
        <f>IFERROR(__xludf.DUMMYFUNCTION("""COMPUTED_VALUE"""),"")</f>
        <v/>
      </c>
      <c r="C2496" s="2"/>
      <c r="D2496" s="71"/>
      <c r="E2496" s="71" t="str">
        <f>IFERROR(__xludf.DUMMYFUNCTION("""COMPUTED_VALUE""")," ")</f>
        <v> </v>
      </c>
      <c r="F2496" s="2"/>
      <c r="G2496" s="2"/>
      <c r="H2496" s="2"/>
      <c r="I2496" s="72"/>
      <c r="J2496" s="72"/>
      <c r="K2496" s="72"/>
      <c r="L2496" s="72"/>
      <c r="M2496" s="2"/>
      <c r="N2496" s="2"/>
      <c r="O2496" s="2"/>
      <c r="P2496" s="2"/>
      <c r="Q2496" s="2"/>
      <c r="R2496" s="2"/>
      <c r="S2496" s="2"/>
      <c r="T2496" s="2"/>
      <c r="U2496" s="2"/>
      <c r="V2496" s="2"/>
      <c r="W2496" s="2"/>
      <c r="X2496" s="2"/>
      <c r="Y2496" s="2"/>
      <c r="Z2496" s="2"/>
      <c r="AA2496" s="2"/>
      <c r="AB2496" s="2"/>
      <c r="AC2496" s="2"/>
      <c r="AD2496" s="2"/>
      <c r="AE2496" s="2"/>
      <c r="AF2496" s="2"/>
      <c r="AG2496" s="2"/>
      <c r="AH2496" s="2"/>
      <c r="AI2496" s="2"/>
      <c r="AJ2496" s="2" t="str">
        <f>IFERROR(__xludf.DUMMYFUNCTION("""COMPUTED_VALUE"""),"")</f>
        <v/>
      </c>
      <c r="AK2496" s="2" t="str">
        <f>IFERROR(__xludf.DUMMYFUNCTION("""COMPUTED_VALUE"""),"")</f>
        <v/>
      </c>
      <c r="AL2496" s="2" t="str">
        <f>IFERROR(__xludf.DUMMYFUNCTION("""COMPUTED_VALUE"""),"")</f>
        <v/>
      </c>
      <c r="AM2496" s="2" t="str">
        <f>IFERROR(__xludf.DUMMYFUNCTION("""COMPUTED_VALUE"""),"")</f>
        <v/>
      </c>
      <c r="AN2496" s="2" t="str">
        <f>IFERROR(__xludf.DUMMYFUNCTION("""COMPUTED_VALUE""")," ")</f>
        <v> </v>
      </c>
      <c r="AO2496" s="2" t="str">
        <f>IFERROR(__xludf.DUMMYFUNCTION("""COMPUTED_VALUE""")," ")</f>
        <v> </v>
      </c>
      <c r="AP2496" s="2" t="str">
        <f>IFERROR(__xludf.DUMMYFUNCTION("""COMPUTED_VALUE"""),"")</f>
        <v/>
      </c>
      <c r="AQ2496" s="2"/>
      <c r="AR2496" s="2"/>
      <c r="AS2496" s="2"/>
      <c r="AT2496" s="2"/>
      <c r="AU2496" s="2"/>
      <c r="AV2496" s="2"/>
      <c r="AW2496" s="2"/>
      <c r="AX2496" s="2"/>
      <c r="AY2496" s="2"/>
      <c r="AZ2496" s="2"/>
      <c r="BA2496" s="2"/>
      <c r="BB2496" s="2"/>
    </row>
    <row r="2497">
      <c r="A2497" s="2"/>
      <c r="B2497" s="2" t="str">
        <f>IFERROR(__xludf.DUMMYFUNCTION("""COMPUTED_VALUE"""),"")</f>
        <v/>
      </c>
      <c r="C2497" s="2"/>
      <c r="D2497" s="71"/>
      <c r="E2497" s="71" t="str">
        <f>IFERROR(__xludf.DUMMYFUNCTION("""COMPUTED_VALUE""")," ")</f>
        <v> </v>
      </c>
      <c r="F2497" s="2"/>
      <c r="G2497" s="2"/>
      <c r="H2497" s="2"/>
      <c r="I2497" s="72"/>
      <c r="J2497" s="72"/>
      <c r="K2497" s="72"/>
      <c r="L2497" s="72"/>
      <c r="M2497" s="2"/>
      <c r="N2497" s="2"/>
      <c r="O2497" s="2"/>
      <c r="P2497" s="2"/>
      <c r="Q2497" s="2"/>
      <c r="R2497" s="2"/>
      <c r="S2497" s="2"/>
      <c r="T2497" s="2"/>
      <c r="U2497" s="2"/>
      <c r="V2497" s="2"/>
      <c r="W2497" s="2"/>
      <c r="X2497" s="2"/>
      <c r="Y2497" s="2"/>
      <c r="Z2497" s="2"/>
      <c r="AA2497" s="2"/>
      <c r="AB2497" s="2"/>
      <c r="AC2497" s="2"/>
      <c r="AD2497" s="2"/>
      <c r="AE2497" s="2"/>
      <c r="AF2497" s="2"/>
      <c r="AG2497" s="2"/>
      <c r="AH2497" s="2"/>
      <c r="AI2497" s="2"/>
      <c r="AJ2497" s="2" t="str">
        <f>IFERROR(__xludf.DUMMYFUNCTION("""COMPUTED_VALUE"""),"")</f>
        <v/>
      </c>
      <c r="AK2497" s="2" t="str">
        <f>IFERROR(__xludf.DUMMYFUNCTION("""COMPUTED_VALUE"""),"")</f>
        <v/>
      </c>
      <c r="AL2497" s="2" t="str">
        <f>IFERROR(__xludf.DUMMYFUNCTION("""COMPUTED_VALUE"""),"")</f>
        <v/>
      </c>
      <c r="AM2497" s="2" t="str">
        <f>IFERROR(__xludf.DUMMYFUNCTION("""COMPUTED_VALUE"""),"")</f>
        <v/>
      </c>
      <c r="AN2497" s="2" t="str">
        <f>IFERROR(__xludf.DUMMYFUNCTION("""COMPUTED_VALUE""")," ")</f>
        <v> </v>
      </c>
      <c r="AO2497" s="2" t="str">
        <f>IFERROR(__xludf.DUMMYFUNCTION("""COMPUTED_VALUE""")," ")</f>
        <v> </v>
      </c>
      <c r="AP2497" s="2" t="str">
        <f>IFERROR(__xludf.DUMMYFUNCTION("""COMPUTED_VALUE"""),"")</f>
        <v/>
      </c>
      <c r="AQ2497" s="2"/>
      <c r="AR2497" s="2"/>
      <c r="AS2497" s="2"/>
      <c r="AT2497" s="2"/>
      <c r="AU2497" s="2"/>
      <c r="AV2497" s="2"/>
      <c r="AW2497" s="2"/>
      <c r="AX2497" s="2"/>
      <c r="AY2497" s="2"/>
      <c r="AZ2497" s="2"/>
      <c r="BA2497" s="2"/>
      <c r="BB2497" s="2"/>
    </row>
    <row r="2498">
      <c r="A2498" s="2"/>
      <c r="B2498" s="2" t="str">
        <f>IFERROR(__xludf.DUMMYFUNCTION("""COMPUTED_VALUE"""),"")</f>
        <v/>
      </c>
      <c r="C2498" s="2"/>
      <c r="D2498" s="71"/>
      <c r="E2498" s="71" t="str">
        <f>IFERROR(__xludf.DUMMYFUNCTION("""COMPUTED_VALUE""")," ")</f>
        <v> </v>
      </c>
      <c r="F2498" s="2"/>
      <c r="G2498" s="2"/>
      <c r="H2498" s="2"/>
      <c r="I2498" s="72"/>
      <c r="J2498" s="72"/>
      <c r="K2498" s="72"/>
      <c r="L2498" s="72"/>
      <c r="M2498" s="2"/>
      <c r="N2498" s="2"/>
      <c r="O2498" s="2"/>
      <c r="P2498" s="2"/>
      <c r="Q2498" s="2"/>
      <c r="R2498" s="2"/>
      <c r="S2498" s="2"/>
      <c r="T2498" s="2"/>
      <c r="U2498" s="2"/>
      <c r="V2498" s="2"/>
      <c r="W2498" s="2"/>
      <c r="X2498" s="2"/>
      <c r="Y2498" s="2"/>
      <c r="Z2498" s="2"/>
      <c r="AA2498" s="2"/>
      <c r="AB2498" s="2"/>
      <c r="AC2498" s="2"/>
      <c r="AD2498" s="2"/>
      <c r="AE2498" s="2"/>
      <c r="AF2498" s="2"/>
      <c r="AG2498" s="2"/>
      <c r="AH2498" s="2"/>
      <c r="AI2498" s="2"/>
      <c r="AJ2498" s="2" t="str">
        <f>IFERROR(__xludf.DUMMYFUNCTION("""COMPUTED_VALUE"""),"")</f>
        <v/>
      </c>
      <c r="AK2498" s="2" t="str">
        <f>IFERROR(__xludf.DUMMYFUNCTION("""COMPUTED_VALUE"""),"")</f>
        <v/>
      </c>
      <c r="AL2498" s="2" t="str">
        <f>IFERROR(__xludf.DUMMYFUNCTION("""COMPUTED_VALUE"""),"")</f>
        <v/>
      </c>
      <c r="AM2498" s="2" t="str">
        <f>IFERROR(__xludf.DUMMYFUNCTION("""COMPUTED_VALUE"""),"")</f>
        <v/>
      </c>
      <c r="AN2498" s="2" t="str">
        <f>IFERROR(__xludf.DUMMYFUNCTION("""COMPUTED_VALUE""")," ")</f>
        <v> </v>
      </c>
      <c r="AO2498" s="2" t="str">
        <f>IFERROR(__xludf.DUMMYFUNCTION("""COMPUTED_VALUE""")," ")</f>
        <v> </v>
      </c>
      <c r="AP2498" s="2" t="str">
        <f>IFERROR(__xludf.DUMMYFUNCTION("""COMPUTED_VALUE"""),"")</f>
        <v/>
      </c>
      <c r="AQ2498" s="2"/>
      <c r="AR2498" s="2"/>
      <c r="AS2498" s="2"/>
      <c r="AT2498" s="2"/>
      <c r="AU2498" s="2"/>
      <c r="AV2498" s="2"/>
      <c r="AW2498" s="2"/>
      <c r="AX2498" s="2"/>
      <c r="AY2498" s="2"/>
      <c r="AZ2498" s="2"/>
      <c r="BA2498" s="2"/>
      <c r="BB2498" s="2"/>
    </row>
    <row r="2499">
      <c r="A2499" s="2"/>
      <c r="B2499" s="2" t="str">
        <f>IFERROR(__xludf.DUMMYFUNCTION("""COMPUTED_VALUE"""),"")</f>
        <v/>
      </c>
      <c r="C2499" s="2"/>
      <c r="D2499" s="71"/>
      <c r="E2499" s="71" t="str">
        <f>IFERROR(__xludf.DUMMYFUNCTION("""COMPUTED_VALUE""")," ")</f>
        <v> </v>
      </c>
      <c r="F2499" s="2"/>
      <c r="G2499" s="2"/>
      <c r="H2499" s="2"/>
      <c r="I2499" s="72"/>
      <c r="J2499" s="72"/>
      <c r="K2499" s="72"/>
      <c r="L2499" s="72"/>
      <c r="M2499" s="2"/>
      <c r="N2499" s="2"/>
      <c r="O2499" s="2"/>
      <c r="P2499" s="2"/>
      <c r="Q2499" s="2"/>
      <c r="R2499" s="2"/>
      <c r="S2499" s="2"/>
      <c r="T2499" s="2"/>
      <c r="U2499" s="2"/>
      <c r="V2499" s="2"/>
      <c r="W2499" s="2"/>
      <c r="X2499" s="2"/>
      <c r="Y2499" s="2"/>
      <c r="Z2499" s="2"/>
      <c r="AA2499" s="2"/>
      <c r="AB2499" s="2"/>
      <c r="AC2499" s="2"/>
      <c r="AD2499" s="2"/>
      <c r="AE2499" s="2"/>
      <c r="AF2499" s="2"/>
      <c r="AG2499" s="2"/>
      <c r="AH2499" s="2"/>
      <c r="AI2499" s="2"/>
      <c r="AJ2499" s="2" t="str">
        <f>IFERROR(__xludf.DUMMYFUNCTION("""COMPUTED_VALUE"""),"")</f>
        <v/>
      </c>
      <c r="AK2499" s="2" t="str">
        <f>IFERROR(__xludf.DUMMYFUNCTION("""COMPUTED_VALUE"""),"")</f>
        <v/>
      </c>
      <c r="AL2499" s="2" t="str">
        <f>IFERROR(__xludf.DUMMYFUNCTION("""COMPUTED_VALUE"""),"")</f>
        <v/>
      </c>
      <c r="AM2499" s="2" t="str">
        <f>IFERROR(__xludf.DUMMYFUNCTION("""COMPUTED_VALUE"""),"")</f>
        <v/>
      </c>
      <c r="AN2499" s="2" t="str">
        <f>IFERROR(__xludf.DUMMYFUNCTION("""COMPUTED_VALUE""")," ")</f>
        <v> </v>
      </c>
      <c r="AO2499" s="2" t="str">
        <f>IFERROR(__xludf.DUMMYFUNCTION("""COMPUTED_VALUE""")," ")</f>
        <v> </v>
      </c>
      <c r="AP2499" s="2" t="str">
        <f>IFERROR(__xludf.DUMMYFUNCTION("""COMPUTED_VALUE"""),"")</f>
        <v/>
      </c>
      <c r="AQ2499" s="2"/>
      <c r="AR2499" s="2"/>
      <c r="AS2499" s="2"/>
      <c r="AT2499" s="2"/>
      <c r="AU2499" s="2"/>
      <c r="AV2499" s="2"/>
      <c r="AW2499" s="2"/>
      <c r="AX2499" s="2"/>
      <c r="AY2499" s="2"/>
      <c r="AZ2499" s="2"/>
      <c r="BA2499" s="2"/>
      <c r="BB2499" s="2"/>
    </row>
    <row r="2500">
      <c r="A2500" s="2"/>
      <c r="B2500" s="2" t="str">
        <f>IFERROR(__xludf.DUMMYFUNCTION("""COMPUTED_VALUE"""),"")</f>
        <v/>
      </c>
      <c r="C2500" s="2"/>
      <c r="D2500" s="71"/>
      <c r="E2500" s="71" t="str">
        <f>IFERROR(__xludf.DUMMYFUNCTION("""COMPUTED_VALUE""")," ")</f>
        <v> </v>
      </c>
      <c r="F2500" s="2"/>
      <c r="G2500" s="2"/>
      <c r="H2500" s="2"/>
      <c r="I2500" s="72"/>
      <c r="J2500" s="72"/>
      <c r="K2500" s="72"/>
      <c r="L2500" s="72"/>
      <c r="M2500" s="2"/>
      <c r="N2500" s="2"/>
      <c r="O2500" s="2"/>
      <c r="P2500" s="2"/>
      <c r="Q2500" s="2"/>
      <c r="R2500" s="2"/>
      <c r="S2500" s="2"/>
      <c r="T2500" s="2"/>
      <c r="U2500" s="2"/>
      <c r="V2500" s="2"/>
      <c r="W2500" s="2"/>
      <c r="X2500" s="2"/>
      <c r="Y2500" s="2"/>
      <c r="Z2500" s="2"/>
      <c r="AA2500" s="2"/>
      <c r="AB2500" s="2"/>
      <c r="AC2500" s="2"/>
      <c r="AD2500" s="2"/>
      <c r="AE2500" s="2"/>
      <c r="AF2500" s="2"/>
      <c r="AG2500" s="2"/>
      <c r="AH2500" s="2"/>
      <c r="AI2500" s="2"/>
      <c r="AJ2500" s="2" t="str">
        <f>IFERROR(__xludf.DUMMYFUNCTION("""COMPUTED_VALUE"""),"")</f>
        <v/>
      </c>
      <c r="AK2500" s="2" t="str">
        <f>IFERROR(__xludf.DUMMYFUNCTION("""COMPUTED_VALUE"""),"")</f>
        <v/>
      </c>
      <c r="AL2500" s="2" t="str">
        <f>IFERROR(__xludf.DUMMYFUNCTION("""COMPUTED_VALUE"""),"")</f>
        <v/>
      </c>
      <c r="AM2500" s="2" t="str">
        <f>IFERROR(__xludf.DUMMYFUNCTION("""COMPUTED_VALUE"""),"")</f>
        <v/>
      </c>
      <c r="AN2500" s="2" t="str">
        <f>IFERROR(__xludf.DUMMYFUNCTION("""COMPUTED_VALUE""")," ")</f>
        <v> </v>
      </c>
      <c r="AO2500" s="2" t="str">
        <f>IFERROR(__xludf.DUMMYFUNCTION("""COMPUTED_VALUE""")," ")</f>
        <v> </v>
      </c>
      <c r="AP2500" s="2" t="str">
        <f>IFERROR(__xludf.DUMMYFUNCTION("""COMPUTED_VALUE"""),"")</f>
        <v/>
      </c>
      <c r="AQ2500" s="2"/>
      <c r="AR2500" s="2"/>
      <c r="AS2500" s="2"/>
      <c r="AT2500" s="2"/>
      <c r="AU2500" s="2"/>
      <c r="AV2500" s="2"/>
      <c r="AW2500" s="2"/>
      <c r="AX2500" s="2"/>
      <c r="AY2500" s="2"/>
      <c r="AZ2500" s="2"/>
      <c r="BA2500" s="2"/>
      <c r="BB2500" s="2"/>
    </row>
    <row r="2501">
      <c r="A2501" s="2"/>
      <c r="B2501" s="2" t="str">
        <f>IFERROR(__xludf.DUMMYFUNCTION("""COMPUTED_VALUE"""),"")</f>
        <v/>
      </c>
      <c r="C2501" s="2"/>
      <c r="D2501" s="71"/>
      <c r="E2501" s="71" t="str">
        <f>IFERROR(__xludf.DUMMYFUNCTION("""COMPUTED_VALUE""")," ")</f>
        <v> </v>
      </c>
      <c r="F2501" s="2"/>
      <c r="G2501" s="2"/>
      <c r="H2501" s="2"/>
      <c r="I2501" s="72"/>
      <c r="J2501" s="72"/>
      <c r="K2501" s="72"/>
      <c r="L2501" s="72"/>
      <c r="M2501" s="2"/>
      <c r="N2501" s="2"/>
      <c r="O2501" s="2"/>
      <c r="P2501" s="2"/>
      <c r="Q2501" s="2"/>
      <c r="R2501" s="2"/>
      <c r="S2501" s="2"/>
      <c r="T2501" s="2"/>
      <c r="U2501" s="2"/>
      <c r="V2501" s="2"/>
      <c r="W2501" s="2"/>
      <c r="X2501" s="2"/>
      <c r="Y2501" s="2"/>
      <c r="Z2501" s="2"/>
      <c r="AA2501" s="2"/>
      <c r="AB2501" s="2"/>
      <c r="AC2501" s="2"/>
      <c r="AD2501" s="2"/>
      <c r="AE2501" s="2"/>
      <c r="AF2501" s="2"/>
      <c r="AG2501" s="2"/>
      <c r="AH2501" s="2"/>
      <c r="AI2501" s="2"/>
      <c r="AJ2501" s="2" t="str">
        <f>IFERROR(__xludf.DUMMYFUNCTION("""COMPUTED_VALUE"""),"")</f>
        <v/>
      </c>
      <c r="AK2501" s="2" t="str">
        <f>IFERROR(__xludf.DUMMYFUNCTION("""COMPUTED_VALUE"""),"")</f>
        <v/>
      </c>
      <c r="AL2501" s="2" t="str">
        <f>IFERROR(__xludf.DUMMYFUNCTION("""COMPUTED_VALUE"""),"")</f>
        <v/>
      </c>
      <c r="AM2501" s="2" t="str">
        <f>IFERROR(__xludf.DUMMYFUNCTION("""COMPUTED_VALUE"""),"")</f>
        <v/>
      </c>
      <c r="AN2501" s="2" t="str">
        <f>IFERROR(__xludf.DUMMYFUNCTION("""COMPUTED_VALUE""")," ")</f>
        <v> </v>
      </c>
      <c r="AO2501" s="2" t="str">
        <f>IFERROR(__xludf.DUMMYFUNCTION("""COMPUTED_VALUE""")," ")</f>
        <v> </v>
      </c>
      <c r="AP2501" s="2" t="str">
        <f>IFERROR(__xludf.DUMMYFUNCTION("""COMPUTED_VALUE"""),"")</f>
        <v/>
      </c>
      <c r="AQ2501" s="2"/>
      <c r="AR2501" s="2"/>
      <c r="AS2501" s="2"/>
      <c r="AT2501" s="2"/>
      <c r="AU2501" s="2"/>
      <c r="AV2501" s="2"/>
      <c r="AW2501" s="2"/>
      <c r="AX2501" s="2"/>
      <c r="AY2501" s="2"/>
      <c r="AZ2501" s="2"/>
      <c r="BA2501" s="2"/>
      <c r="BB2501" s="2"/>
    </row>
    <row r="2502">
      <c r="A2502" s="2"/>
      <c r="B2502" s="2" t="str">
        <f>IFERROR(__xludf.DUMMYFUNCTION("""COMPUTED_VALUE"""),"")</f>
        <v/>
      </c>
      <c r="C2502" s="2"/>
      <c r="D2502" s="71"/>
      <c r="E2502" s="71" t="str">
        <f>IFERROR(__xludf.DUMMYFUNCTION("""COMPUTED_VALUE""")," ")</f>
        <v> </v>
      </c>
      <c r="F2502" s="2"/>
      <c r="G2502" s="2"/>
      <c r="H2502" s="2"/>
      <c r="I2502" s="72"/>
      <c r="J2502" s="72"/>
      <c r="K2502" s="72"/>
      <c r="L2502" s="72"/>
      <c r="M2502" s="2"/>
      <c r="N2502" s="2"/>
      <c r="O2502" s="2"/>
      <c r="P2502" s="2"/>
      <c r="Q2502" s="2"/>
      <c r="R2502" s="2"/>
      <c r="S2502" s="2"/>
      <c r="T2502" s="2"/>
      <c r="U2502" s="2"/>
      <c r="V2502" s="2"/>
      <c r="W2502" s="2"/>
      <c r="X2502" s="2"/>
      <c r="Y2502" s="2"/>
      <c r="Z2502" s="2"/>
      <c r="AA2502" s="2"/>
      <c r="AB2502" s="2"/>
      <c r="AC2502" s="2"/>
      <c r="AD2502" s="2"/>
      <c r="AE2502" s="2"/>
      <c r="AF2502" s="2"/>
      <c r="AG2502" s="2"/>
      <c r="AH2502" s="2"/>
      <c r="AI2502" s="2"/>
      <c r="AJ2502" s="2" t="str">
        <f>IFERROR(__xludf.DUMMYFUNCTION("""COMPUTED_VALUE"""),"")</f>
        <v/>
      </c>
      <c r="AK2502" s="2" t="str">
        <f>IFERROR(__xludf.DUMMYFUNCTION("""COMPUTED_VALUE"""),"")</f>
        <v/>
      </c>
      <c r="AL2502" s="2" t="str">
        <f>IFERROR(__xludf.DUMMYFUNCTION("""COMPUTED_VALUE"""),"")</f>
        <v/>
      </c>
      <c r="AM2502" s="2" t="str">
        <f>IFERROR(__xludf.DUMMYFUNCTION("""COMPUTED_VALUE"""),"")</f>
        <v/>
      </c>
      <c r="AN2502" s="2" t="str">
        <f>IFERROR(__xludf.DUMMYFUNCTION("""COMPUTED_VALUE""")," ")</f>
        <v> </v>
      </c>
      <c r="AO2502" s="2" t="str">
        <f>IFERROR(__xludf.DUMMYFUNCTION("""COMPUTED_VALUE""")," ")</f>
        <v> </v>
      </c>
      <c r="AP2502" s="2" t="str">
        <f>IFERROR(__xludf.DUMMYFUNCTION("""COMPUTED_VALUE"""),"")</f>
        <v/>
      </c>
      <c r="AQ2502" s="2"/>
      <c r="AR2502" s="2"/>
      <c r="AS2502" s="2"/>
      <c r="AT2502" s="2"/>
      <c r="AU2502" s="2"/>
      <c r="AV2502" s="2"/>
      <c r="AW2502" s="2"/>
      <c r="AX2502" s="2"/>
      <c r="AY2502" s="2"/>
      <c r="AZ2502" s="2"/>
      <c r="BA2502" s="2"/>
      <c r="BB2502" s="2"/>
    </row>
    <row r="2503">
      <c r="A2503" s="2"/>
      <c r="B2503" s="2" t="str">
        <f>IFERROR(__xludf.DUMMYFUNCTION("""COMPUTED_VALUE"""),"")</f>
        <v/>
      </c>
      <c r="C2503" s="2"/>
      <c r="D2503" s="71"/>
      <c r="E2503" s="71" t="str">
        <f>IFERROR(__xludf.DUMMYFUNCTION("""COMPUTED_VALUE""")," ")</f>
        <v> </v>
      </c>
      <c r="F2503" s="2"/>
      <c r="G2503" s="2"/>
      <c r="H2503" s="2"/>
      <c r="I2503" s="72"/>
      <c r="J2503" s="72"/>
      <c r="K2503" s="72"/>
      <c r="L2503" s="72"/>
      <c r="M2503" s="2"/>
      <c r="N2503" s="2"/>
      <c r="O2503" s="2"/>
      <c r="P2503" s="2"/>
      <c r="Q2503" s="2"/>
      <c r="R2503" s="2"/>
      <c r="S2503" s="2"/>
      <c r="T2503" s="2"/>
      <c r="U2503" s="2"/>
      <c r="V2503" s="2"/>
      <c r="W2503" s="2"/>
      <c r="X2503" s="2"/>
      <c r="Y2503" s="2"/>
      <c r="Z2503" s="2"/>
      <c r="AA2503" s="2"/>
      <c r="AB2503" s="2"/>
      <c r="AC2503" s="2"/>
      <c r="AD2503" s="2"/>
      <c r="AE2503" s="2"/>
      <c r="AF2503" s="2"/>
      <c r="AG2503" s="2"/>
      <c r="AH2503" s="2"/>
      <c r="AI2503" s="2"/>
      <c r="AJ2503" s="2" t="str">
        <f>IFERROR(__xludf.DUMMYFUNCTION("""COMPUTED_VALUE"""),"")</f>
        <v/>
      </c>
      <c r="AK2503" s="2" t="str">
        <f>IFERROR(__xludf.DUMMYFUNCTION("""COMPUTED_VALUE"""),"")</f>
        <v/>
      </c>
      <c r="AL2503" s="2" t="str">
        <f>IFERROR(__xludf.DUMMYFUNCTION("""COMPUTED_VALUE"""),"")</f>
        <v/>
      </c>
      <c r="AM2503" s="2" t="str">
        <f>IFERROR(__xludf.DUMMYFUNCTION("""COMPUTED_VALUE"""),"")</f>
        <v/>
      </c>
      <c r="AN2503" s="2" t="str">
        <f>IFERROR(__xludf.DUMMYFUNCTION("""COMPUTED_VALUE""")," ")</f>
        <v> </v>
      </c>
      <c r="AO2503" s="2" t="str">
        <f>IFERROR(__xludf.DUMMYFUNCTION("""COMPUTED_VALUE""")," ")</f>
        <v> </v>
      </c>
      <c r="AP2503" s="2" t="str">
        <f>IFERROR(__xludf.DUMMYFUNCTION("""COMPUTED_VALUE"""),"")</f>
        <v/>
      </c>
      <c r="AQ2503" s="2"/>
      <c r="AR2503" s="2"/>
      <c r="AS2503" s="2"/>
      <c r="AT2503" s="2"/>
      <c r="AU2503" s="2"/>
      <c r="AV2503" s="2"/>
      <c r="AW2503" s="2"/>
      <c r="AX2503" s="2"/>
      <c r="AY2503" s="2"/>
      <c r="AZ2503" s="2"/>
      <c r="BA2503" s="2"/>
      <c r="BB2503" s="2"/>
    </row>
    <row r="2504">
      <c r="A2504" s="2"/>
      <c r="B2504" s="2" t="str">
        <f>IFERROR(__xludf.DUMMYFUNCTION("""COMPUTED_VALUE"""),"")</f>
        <v/>
      </c>
      <c r="C2504" s="2"/>
      <c r="D2504" s="71"/>
      <c r="E2504" s="71" t="str">
        <f>IFERROR(__xludf.DUMMYFUNCTION("""COMPUTED_VALUE""")," ")</f>
        <v> </v>
      </c>
      <c r="F2504" s="2"/>
      <c r="G2504" s="2"/>
      <c r="H2504" s="2"/>
      <c r="I2504" s="72"/>
      <c r="J2504" s="72"/>
      <c r="K2504" s="72"/>
      <c r="L2504" s="72"/>
      <c r="M2504" s="2"/>
      <c r="N2504" s="2"/>
      <c r="O2504" s="2"/>
      <c r="P2504" s="2"/>
      <c r="Q2504" s="2"/>
      <c r="R2504" s="2"/>
      <c r="S2504" s="2"/>
      <c r="T2504" s="2"/>
      <c r="U2504" s="2"/>
      <c r="V2504" s="2"/>
      <c r="W2504" s="2"/>
      <c r="X2504" s="2"/>
      <c r="Y2504" s="2"/>
      <c r="Z2504" s="2"/>
      <c r="AA2504" s="2"/>
      <c r="AB2504" s="2"/>
      <c r="AC2504" s="2"/>
      <c r="AD2504" s="2"/>
      <c r="AE2504" s="2"/>
      <c r="AF2504" s="2"/>
      <c r="AG2504" s="2"/>
      <c r="AH2504" s="2"/>
      <c r="AI2504" s="2"/>
      <c r="AJ2504" s="2" t="str">
        <f>IFERROR(__xludf.DUMMYFUNCTION("""COMPUTED_VALUE"""),"")</f>
        <v/>
      </c>
      <c r="AK2504" s="2" t="str">
        <f>IFERROR(__xludf.DUMMYFUNCTION("""COMPUTED_VALUE"""),"")</f>
        <v/>
      </c>
      <c r="AL2504" s="2" t="str">
        <f>IFERROR(__xludf.DUMMYFUNCTION("""COMPUTED_VALUE"""),"")</f>
        <v/>
      </c>
      <c r="AM2504" s="2" t="str">
        <f>IFERROR(__xludf.DUMMYFUNCTION("""COMPUTED_VALUE"""),"")</f>
        <v/>
      </c>
      <c r="AN2504" s="2" t="str">
        <f>IFERROR(__xludf.DUMMYFUNCTION("""COMPUTED_VALUE""")," ")</f>
        <v> </v>
      </c>
      <c r="AO2504" s="2" t="str">
        <f>IFERROR(__xludf.DUMMYFUNCTION("""COMPUTED_VALUE""")," ")</f>
        <v> </v>
      </c>
      <c r="AP2504" s="2" t="str">
        <f>IFERROR(__xludf.DUMMYFUNCTION("""COMPUTED_VALUE"""),"")</f>
        <v/>
      </c>
      <c r="AQ2504" s="2"/>
      <c r="AR2504" s="2"/>
      <c r="AS2504" s="2"/>
      <c r="AT2504" s="2"/>
      <c r="AU2504" s="2"/>
      <c r="AV2504" s="2"/>
      <c r="AW2504" s="2"/>
      <c r="AX2504" s="2"/>
      <c r="AY2504" s="2"/>
      <c r="AZ2504" s="2"/>
      <c r="BA2504" s="2"/>
      <c r="BB2504" s="2"/>
    </row>
    <row r="2505">
      <c r="A2505" s="2"/>
      <c r="B2505" s="2" t="str">
        <f>IFERROR(__xludf.DUMMYFUNCTION("""COMPUTED_VALUE"""),"")</f>
        <v/>
      </c>
      <c r="C2505" s="2"/>
      <c r="D2505" s="71"/>
      <c r="E2505" s="71" t="str">
        <f>IFERROR(__xludf.DUMMYFUNCTION("""COMPUTED_VALUE""")," ")</f>
        <v> </v>
      </c>
      <c r="F2505" s="2"/>
      <c r="G2505" s="2"/>
      <c r="H2505" s="2"/>
      <c r="I2505" s="72"/>
      <c r="J2505" s="72"/>
      <c r="K2505" s="72"/>
      <c r="L2505" s="72"/>
      <c r="M2505" s="2"/>
      <c r="N2505" s="2"/>
      <c r="O2505" s="2"/>
      <c r="P2505" s="2"/>
      <c r="Q2505" s="2"/>
      <c r="R2505" s="2"/>
      <c r="S2505" s="2"/>
      <c r="T2505" s="2"/>
      <c r="U2505" s="2"/>
      <c r="V2505" s="2"/>
      <c r="W2505" s="2"/>
      <c r="X2505" s="2"/>
      <c r="Y2505" s="2"/>
      <c r="Z2505" s="2"/>
      <c r="AA2505" s="2"/>
      <c r="AB2505" s="2"/>
      <c r="AC2505" s="2"/>
      <c r="AD2505" s="2"/>
      <c r="AE2505" s="2"/>
      <c r="AF2505" s="2"/>
      <c r="AG2505" s="2"/>
      <c r="AH2505" s="2"/>
      <c r="AI2505" s="2"/>
      <c r="AJ2505" s="2" t="str">
        <f>IFERROR(__xludf.DUMMYFUNCTION("""COMPUTED_VALUE"""),"")</f>
        <v/>
      </c>
      <c r="AK2505" s="2" t="str">
        <f>IFERROR(__xludf.DUMMYFUNCTION("""COMPUTED_VALUE"""),"")</f>
        <v/>
      </c>
      <c r="AL2505" s="2" t="str">
        <f>IFERROR(__xludf.DUMMYFUNCTION("""COMPUTED_VALUE"""),"")</f>
        <v/>
      </c>
      <c r="AM2505" s="2" t="str">
        <f>IFERROR(__xludf.DUMMYFUNCTION("""COMPUTED_VALUE"""),"")</f>
        <v/>
      </c>
      <c r="AN2505" s="2" t="str">
        <f>IFERROR(__xludf.DUMMYFUNCTION("""COMPUTED_VALUE""")," ")</f>
        <v> </v>
      </c>
      <c r="AO2505" s="2" t="str">
        <f>IFERROR(__xludf.DUMMYFUNCTION("""COMPUTED_VALUE""")," ")</f>
        <v> </v>
      </c>
      <c r="AP2505" s="2" t="str">
        <f>IFERROR(__xludf.DUMMYFUNCTION("""COMPUTED_VALUE"""),"")</f>
        <v/>
      </c>
      <c r="AQ2505" s="2"/>
      <c r="AR2505" s="2"/>
      <c r="AS2505" s="2"/>
      <c r="AT2505" s="2"/>
      <c r="AU2505" s="2"/>
      <c r="AV2505" s="2"/>
      <c r="AW2505" s="2"/>
      <c r="AX2505" s="2"/>
      <c r="AY2505" s="2"/>
      <c r="AZ2505" s="2"/>
      <c r="BA2505" s="2"/>
      <c r="BB2505" s="2"/>
    </row>
    <row r="2506">
      <c r="A2506" s="2"/>
      <c r="B2506" s="2" t="str">
        <f>IFERROR(__xludf.DUMMYFUNCTION("""COMPUTED_VALUE"""),"")</f>
        <v/>
      </c>
      <c r="C2506" s="2"/>
      <c r="D2506" s="71"/>
      <c r="E2506" s="71" t="str">
        <f>IFERROR(__xludf.DUMMYFUNCTION("""COMPUTED_VALUE""")," ")</f>
        <v> </v>
      </c>
      <c r="F2506" s="2"/>
      <c r="G2506" s="2"/>
      <c r="H2506" s="2"/>
      <c r="I2506" s="72"/>
      <c r="J2506" s="72"/>
      <c r="K2506" s="72"/>
      <c r="L2506" s="72"/>
      <c r="M2506" s="2"/>
      <c r="N2506" s="2"/>
      <c r="O2506" s="2"/>
      <c r="P2506" s="2"/>
      <c r="Q2506" s="2"/>
      <c r="R2506" s="2"/>
      <c r="S2506" s="2"/>
      <c r="T2506" s="2"/>
      <c r="U2506" s="2"/>
      <c r="V2506" s="2"/>
      <c r="W2506" s="2"/>
      <c r="X2506" s="2"/>
      <c r="Y2506" s="2"/>
      <c r="Z2506" s="2"/>
      <c r="AA2506" s="2"/>
      <c r="AB2506" s="2"/>
      <c r="AC2506" s="2"/>
      <c r="AD2506" s="2"/>
      <c r="AE2506" s="2"/>
      <c r="AF2506" s="2"/>
      <c r="AG2506" s="2"/>
      <c r="AH2506" s="2"/>
      <c r="AI2506" s="2"/>
      <c r="AJ2506" s="2" t="str">
        <f>IFERROR(__xludf.DUMMYFUNCTION("""COMPUTED_VALUE"""),"")</f>
        <v/>
      </c>
      <c r="AK2506" s="2" t="str">
        <f>IFERROR(__xludf.DUMMYFUNCTION("""COMPUTED_VALUE"""),"")</f>
        <v/>
      </c>
      <c r="AL2506" s="2" t="str">
        <f>IFERROR(__xludf.DUMMYFUNCTION("""COMPUTED_VALUE"""),"")</f>
        <v/>
      </c>
      <c r="AM2506" s="2" t="str">
        <f>IFERROR(__xludf.DUMMYFUNCTION("""COMPUTED_VALUE"""),"")</f>
        <v/>
      </c>
      <c r="AN2506" s="2" t="str">
        <f>IFERROR(__xludf.DUMMYFUNCTION("""COMPUTED_VALUE""")," ")</f>
        <v> </v>
      </c>
      <c r="AO2506" s="2" t="str">
        <f>IFERROR(__xludf.DUMMYFUNCTION("""COMPUTED_VALUE""")," ")</f>
        <v> </v>
      </c>
      <c r="AP2506" s="2" t="str">
        <f>IFERROR(__xludf.DUMMYFUNCTION("""COMPUTED_VALUE"""),"")</f>
        <v/>
      </c>
      <c r="AQ2506" s="2"/>
      <c r="AR2506" s="2"/>
      <c r="AS2506" s="2"/>
      <c r="AT2506" s="2"/>
      <c r="AU2506" s="2"/>
      <c r="AV2506" s="2"/>
      <c r="AW2506" s="2"/>
      <c r="AX2506" s="2"/>
      <c r="AY2506" s="2"/>
      <c r="AZ2506" s="2"/>
      <c r="BA2506" s="2"/>
      <c r="BB2506" s="2"/>
    </row>
    <row r="2507">
      <c r="A2507" s="2"/>
      <c r="B2507" s="2" t="str">
        <f>IFERROR(__xludf.DUMMYFUNCTION("""COMPUTED_VALUE"""),"")</f>
        <v/>
      </c>
      <c r="C2507" s="2"/>
      <c r="D2507" s="71"/>
      <c r="E2507" s="71" t="str">
        <f>IFERROR(__xludf.DUMMYFUNCTION("""COMPUTED_VALUE""")," ")</f>
        <v> </v>
      </c>
      <c r="F2507" s="2"/>
      <c r="G2507" s="2"/>
      <c r="H2507" s="2"/>
      <c r="I2507" s="72"/>
      <c r="J2507" s="72"/>
      <c r="K2507" s="72"/>
      <c r="L2507" s="72"/>
      <c r="M2507" s="2"/>
      <c r="N2507" s="2"/>
      <c r="O2507" s="2"/>
      <c r="P2507" s="2"/>
      <c r="Q2507" s="2"/>
      <c r="R2507" s="2"/>
      <c r="S2507" s="2"/>
      <c r="T2507" s="2"/>
      <c r="U2507" s="2"/>
      <c r="V2507" s="2"/>
      <c r="W2507" s="2"/>
      <c r="X2507" s="2"/>
      <c r="Y2507" s="2"/>
      <c r="Z2507" s="2"/>
      <c r="AA2507" s="2"/>
      <c r="AB2507" s="2"/>
      <c r="AC2507" s="2"/>
      <c r="AD2507" s="2"/>
      <c r="AE2507" s="2"/>
      <c r="AF2507" s="2"/>
      <c r="AG2507" s="2"/>
      <c r="AH2507" s="2"/>
      <c r="AI2507" s="2"/>
      <c r="AJ2507" s="2" t="str">
        <f>IFERROR(__xludf.DUMMYFUNCTION("""COMPUTED_VALUE"""),"")</f>
        <v/>
      </c>
      <c r="AK2507" s="2" t="str">
        <f>IFERROR(__xludf.DUMMYFUNCTION("""COMPUTED_VALUE"""),"")</f>
        <v/>
      </c>
      <c r="AL2507" s="2" t="str">
        <f>IFERROR(__xludf.DUMMYFUNCTION("""COMPUTED_VALUE"""),"")</f>
        <v/>
      </c>
      <c r="AM2507" s="2" t="str">
        <f>IFERROR(__xludf.DUMMYFUNCTION("""COMPUTED_VALUE"""),"")</f>
        <v/>
      </c>
      <c r="AN2507" s="2" t="str">
        <f>IFERROR(__xludf.DUMMYFUNCTION("""COMPUTED_VALUE""")," ")</f>
        <v> </v>
      </c>
      <c r="AO2507" s="2" t="str">
        <f>IFERROR(__xludf.DUMMYFUNCTION("""COMPUTED_VALUE""")," ")</f>
        <v> </v>
      </c>
      <c r="AP2507" s="2" t="str">
        <f>IFERROR(__xludf.DUMMYFUNCTION("""COMPUTED_VALUE"""),"")</f>
        <v/>
      </c>
      <c r="AQ2507" s="2"/>
      <c r="AR2507" s="2"/>
      <c r="AS2507" s="2"/>
      <c r="AT2507" s="2"/>
      <c r="AU2507" s="2"/>
      <c r="AV2507" s="2"/>
      <c r="AW2507" s="2"/>
      <c r="AX2507" s="2"/>
      <c r="AY2507" s="2"/>
      <c r="AZ2507" s="2"/>
      <c r="BA2507" s="2"/>
      <c r="BB2507" s="2"/>
    </row>
    <row r="2508">
      <c r="A2508" s="2"/>
      <c r="B2508" s="2" t="str">
        <f>IFERROR(__xludf.DUMMYFUNCTION("""COMPUTED_VALUE"""),"")</f>
        <v/>
      </c>
      <c r="C2508" s="2"/>
      <c r="D2508" s="71"/>
      <c r="E2508" s="71" t="str">
        <f>IFERROR(__xludf.DUMMYFUNCTION("""COMPUTED_VALUE""")," ")</f>
        <v> </v>
      </c>
      <c r="F2508" s="2"/>
      <c r="G2508" s="2"/>
      <c r="H2508" s="2"/>
      <c r="I2508" s="72"/>
      <c r="J2508" s="72"/>
      <c r="K2508" s="72"/>
      <c r="L2508" s="72"/>
      <c r="M2508" s="2"/>
      <c r="N2508" s="2"/>
      <c r="O2508" s="2"/>
      <c r="P2508" s="2"/>
      <c r="Q2508" s="2"/>
      <c r="R2508" s="2"/>
      <c r="S2508" s="2"/>
      <c r="T2508" s="2"/>
      <c r="U2508" s="2"/>
      <c r="V2508" s="2"/>
      <c r="W2508" s="2"/>
      <c r="X2508" s="2"/>
      <c r="Y2508" s="2"/>
      <c r="Z2508" s="2"/>
      <c r="AA2508" s="2"/>
      <c r="AB2508" s="2"/>
      <c r="AC2508" s="2"/>
      <c r="AD2508" s="2"/>
      <c r="AE2508" s="2"/>
      <c r="AF2508" s="2"/>
      <c r="AG2508" s="2"/>
      <c r="AH2508" s="2"/>
      <c r="AI2508" s="2"/>
      <c r="AJ2508" s="2" t="str">
        <f>IFERROR(__xludf.DUMMYFUNCTION("""COMPUTED_VALUE"""),"")</f>
        <v/>
      </c>
      <c r="AK2508" s="2" t="str">
        <f>IFERROR(__xludf.DUMMYFUNCTION("""COMPUTED_VALUE"""),"")</f>
        <v/>
      </c>
      <c r="AL2508" s="2" t="str">
        <f>IFERROR(__xludf.DUMMYFUNCTION("""COMPUTED_VALUE"""),"")</f>
        <v/>
      </c>
      <c r="AM2508" s="2" t="str">
        <f>IFERROR(__xludf.DUMMYFUNCTION("""COMPUTED_VALUE"""),"")</f>
        <v/>
      </c>
      <c r="AN2508" s="2" t="str">
        <f>IFERROR(__xludf.DUMMYFUNCTION("""COMPUTED_VALUE""")," ")</f>
        <v> </v>
      </c>
      <c r="AO2508" s="2" t="str">
        <f>IFERROR(__xludf.DUMMYFUNCTION("""COMPUTED_VALUE""")," ")</f>
        <v> </v>
      </c>
      <c r="AP2508" s="2" t="str">
        <f>IFERROR(__xludf.DUMMYFUNCTION("""COMPUTED_VALUE"""),"")</f>
        <v/>
      </c>
      <c r="AQ2508" s="2"/>
      <c r="AR2508" s="2"/>
      <c r="AS2508" s="2"/>
      <c r="AT2508" s="2"/>
      <c r="AU2508" s="2"/>
      <c r="AV2508" s="2"/>
      <c r="AW2508" s="2"/>
      <c r="AX2508" s="2"/>
      <c r="AY2508" s="2"/>
      <c r="AZ2508" s="2"/>
      <c r="BA2508" s="2"/>
      <c r="BB2508" s="2"/>
    </row>
    <row r="2509">
      <c r="A2509" s="2"/>
      <c r="B2509" s="2" t="str">
        <f>IFERROR(__xludf.DUMMYFUNCTION("""COMPUTED_VALUE"""),"")</f>
        <v/>
      </c>
      <c r="C2509" s="2"/>
      <c r="D2509" s="71"/>
      <c r="E2509" s="71" t="str">
        <f>IFERROR(__xludf.DUMMYFUNCTION("""COMPUTED_VALUE""")," ")</f>
        <v> </v>
      </c>
      <c r="F2509" s="2"/>
      <c r="G2509" s="2"/>
      <c r="H2509" s="2"/>
      <c r="I2509" s="72"/>
      <c r="J2509" s="72"/>
      <c r="K2509" s="72"/>
      <c r="L2509" s="72"/>
      <c r="M2509" s="2"/>
      <c r="N2509" s="2"/>
      <c r="O2509" s="2"/>
      <c r="P2509" s="2"/>
      <c r="Q2509" s="2"/>
      <c r="R2509" s="2"/>
      <c r="S2509" s="2"/>
      <c r="T2509" s="2"/>
      <c r="U2509" s="2"/>
      <c r="V2509" s="2"/>
      <c r="W2509" s="2"/>
      <c r="X2509" s="2"/>
      <c r="Y2509" s="2"/>
      <c r="Z2509" s="2"/>
      <c r="AA2509" s="2"/>
      <c r="AB2509" s="2"/>
      <c r="AC2509" s="2"/>
      <c r="AD2509" s="2"/>
      <c r="AE2509" s="2"/>
      <c r="AF2509" s="2"/>
      <c r="AG2509" s="2"/>
      <c r="AH2509" s="2"/>
      <c r="AI2509" s="2"/>
      <c r="AJ2509" s="2" t="str">
        <f>IFERROR(__xludf.DUMMYFUNCTION("""COMPUTED_VALUE"""),"")</f>
        <v/>
      </c>
      <c r="AK2509" s="2" t="str">
        <f>IFERROR(__xludf.DUMMYFUNCTION("""COMPUTED_VALUE"""),"")</f>
        <v/>
      </c>
      <c r="AL2509" s="2" t="str">
        <f>IFERROR(__xludf.DUMMYFUNCTION("""COMPUTED_VALUE"""),"")</f>
        <v/>
      </c>
      <c r="AM2509" s="2" t="str">
        <f>IFERROR(__xludf.DUMMYFUNCTION("""COMPUTED_VALUE"""),"")</f>
        <v/>
      </c>
      <c r="AN2509" s="2" t="str">
        <f>IFERROR(__xludf.DUMMYFUNCTION("""COMPUTED_VALUE""")," ")</f>
        <v> </v>
      </c>
      <c r="AO2509" s="2" t="str">
        <f>IFERROR(__xludf.DUMMYFUNCTION("""COMPUTED_VALUE""")," ")</f>
        <v> </v>
      </c>
      <c r="AP2509" s="2" t="str">
        <f>IFERROR(__xludf.DUMMYFUNCTION("""COMPUTED_VALUE"""),"")</f>
        <v/>
      </c>
      <c r="AQ2509" s="2"/>
      <c r="AR2509" s="2"/>
      <c r="AS2509" s="2"/>
      <c r="AT2509" s="2"/>
      <c r="AU2509" s="2"/>
      <c r="AV2509" s="2"/>
      <c r="AW2509" s="2"/>
      <c r="AX2509" s="2"/>
      <c r="AY2509" s="2"/>
      <c r="AZ2509" s="2"/>
      <c r="BA2509" s="2"/>
      <c r="BB2509" s="2"/>
    </row>
    <row r="2510">
      <c r="A2510" s="2"/>
      <c r="B2510" s="2" t="str">
        <f>IFERROR(__xludf.DUMMYFUNCTION("""COMPUTED_VALUE"""),"")</f>
        <v/>
      </c>
      <c r="C2510" s="2"/>
      <c r="D2510" s="71"/>
      <c r="E2510" s="71" t="str">
        <f>IFERROR(__xludf.DUMMYFUNCTION("""COMPUTED_VALUE""")," ")</f>
        <v> </v>
      </c>
      <c r="F2510" s="2"/>
      <c r="G2510" s="2"/>
      <c r="H2510" s="2"/>
      <c r="I2510" s="72"/>
      <c r="J2510" s="72"/>
      <c r="K2510" s="72"/>
      <c r="L2510" s="72"/>
      <c r="M2510" s="2"/>
      <c r="N2510" s="2"/>
      <c r="O2510" s="2"/>
      <c r="P2510" s="2"/>
      <c r="Q2510" s="2"/>
      <c r="R2510" s="2"/>
      <c r="S2510" s="2"/>
      <c r="T2510" s="2"/>
      <c r="U2510" s="2"/>
      <c r="V2510" s="2"/>
      <c r="W2510" s="2"/>
      <c r="X2510" s="2"/>
      <c r="Y2510" s="2"/>
      <c r="Z2510" s="2"/>
      <c r="AA2510" s="2"/>
      <c r="AB2510" s="2"/>
      <c r="AC2510" s="2"/>
      <c r="AD2510" s="2"/>
      <c r="AE2510" s="2"/>
      <c r="AF2510" s="2"/>
      <c r="AG2510" s="2"/>
      <c r="AH2510" s="2"/>
      <c r="AI2510" s="2"/>
      <c r="AJ2510" s="2" t="str">
        <f>IFERROR(__xludf.DUMMYFUNCTION("""COMPUTED_VALUE"""),"")</f>
        <v/>
      </c>
      <c r="AK2510" s="2" t="str">
        <f>IFERROR(__xludf.DUMMYFUNCTION("""COMPUTED_VALUE"""),"")</f>
        <v/>
      </c>
      <c r="AL2510" s="2" t="str">
        <f>IFERROR(__xludf.DUMMYFUNCTION("""COMPUTED_VALUE"""),"")</f>
        <v/>
      </c>
      <c r="AM2510" s="2" t="str">
        <f>IFERROR(__xludf.DUMMYFUNCTION("""COMPUTED_VALUE"""),"")</f>
        <v/>
      </c>
      <c r="AN2510" s="2" t="str">
        <f>IFERROR(__xludf.DUMMYFUNCTION("""COMPUTED_VALUE""")," ")</f>
        <v> </v>
      </c>
      <c r="AO2510" s="2" t="str">
        <f>IFERROR(__xludf.DUMMYFUNCTION("""COMPUTED_VALUE""")," ")</f>
        <v> </v>
      </c>
      <c r="AP2510" s="2" t="str">
        <f>IFERROR(__xludf.DUMMYFUNCTION("""COMPUTED_VALUE"""),"")</f>
        <v/>
      </c>
      <c r="AQ2510" s="2"/>
      <c r="AR2510" s="2"/>
      <c r="AS2510" s="2"/>
      <c r="AT2510" s="2"/>
      <c r="AU2510" s="2"/>
      <c r="AV2510" s="2"/>
      <c r="AW2510" s="2"/>
      <c r="AX2510" s="2"/>
      <c r="AY2510" s="2"/>
      <c r="AZ2510" s="2"/>
      <c r="BA2510" s="2"/>
      <c r="BB2510" s="2"/>
    </row>
    <row r="2511">
      <c r="A2511" s="2"/>
      <c r="B2511" s="2" t="str">
        <f>IFERROR(__xludf.DUMMYFUNCTION("""COMPUTED_VALUE"""),"")</f>
        <v/>
      </c>
      <c r="C2511" s="2"/>
      <c r="D2511" s="71"/>
      <c r="E2511" s="71" t="str">
        <f>IFERROR(__xludf.DUMMYFUNCTION("""COMPUTED_VALUE""")," ")</f>
        <v> </v>
      </c>
      <c r="F2511" s="2"/>
      <c r="G2511" s="2"/>
      <c r="H2511" s="2"/>
      <c r="I2511" s="72"/>
      <c r="J2511" s="72"/>
      <c r="K2511" s="72"/>
      <c r="L2511" s="72"/>
      <c r="M2511" s="2"/>
      <c r="N2511" s="2"/>
      <c r="O2511" s="2"/>
      <c r="P2511" s="2"/>
      <c r="Q2511" s="2"/>
      <c r="R2511" s="2"/>
      <c r="S2511" s="2"/>
      <c r="T2511" s="2"/>
      <c r="U2511" s="2"/>
      <c r="V2511" s="2"/>
      <c r="W2511" s="2"/>
      <c r="X2511" s="2"/>
      <c r="Y2511" s="2"/>
      <c r="Z2511" s="2"/>
      <c r="AA2511" s="2"/>
      <c r="AB2511" s="2"/>
      <c r="AC2511" s="2"/>
      <c r="AD2511" s="2"/>
      <c r="AE2511" s="2"/>
      <c r="AF2511" s="2"/>
      <c r="AG2511" s="2"/>
      <c r="AH2511" s="2"/>
      <c r="AI2511" s="2"/>
      <c r="AJ2511" s="2" t="str">
        <f>IFERROR(__xludf.DUMMYFUNCTION("""COMPUTED_VALUE"""),"")</f>
        <v/>
      </c>
      <c r="AK2511" s="2" t="str">
        <f>IFERROR(__xludf.DUMMYFUNCTION("""COMPUTED_VALUE"""),"")</f>
        <v/>
      </c>
      <c r="AL2511" s="2" t="str">
        <f>IFERROR(__xludf.DUMMYFUNCTION("""COMPUTED_VALUE"""),"")</f>
        <v/>
      </c>
      <c r="AM2511" s="2" t="str">
        <f>IFERROR(__xludf.DUMMYFUNCTION("""COMPUTED_VALUE"""),"")</f>
        <v/>
      </c>
      <c r="AN2511" s="2" t="str">
        <f>IFERROR(__xludf.DUMMYFUNCTION("""COMPUTED_VALUE""")," ")</f>
        <v> </v>
      </c>
      <c r="AO2511" s="2" t="str">
        <f>IFERROR(__xludf.DUMMYFUNCTION("""COMPUTED_VALUE""")," ")</f>
        <v> </v>
      </c>
      <c r="AP2511" s="2" t="str">
        <f>IFERROR(__xludf.DUMMYFUNCTION("""COMPUTED_VALUE"""),"")</f>
        <v/>
      </c>
      <c r="AQ2511" s="2"/>
      <c r="AR2511" s="2"/>
      <c r="AS2511" s="2"/>
      <c r="AT2511" s="2"/>
      <c r="AU2511" s="2"/>
      <c r="AV2511" s="2"/>
      <c r="AW2511" s="2"/>
      <c r="AX2511" s="2"/>
      <c r="AY2511" s="2"/>
      <c r="AZ2511" s="2"/>
      <c r="BA2511" s="2"/>
      <c r="BB2511" s="2"/>
    </row>
    <row r="2512">
      <c r="A2512" s="2"/>
      <c r="B2512" s="2" t="str">
        <f>IFERROR(__xludf.DUMMYFUNCTION("""COMPUTED_VALUE"""),"")</f>
        <v/>
      </c>
      <c r="C2512" s="2"/>
      <c r="D2512" s="71"/>
      <c r="E2512" s="71" t="str">
        <f>IFERROR(__xludf.DUMMYFUNCTION("""COMPUTED_VALUE""")," ")</f>
        <v> </v>
      </c>
      <c r="F2512" s="2"/>
      <c r="G2512" s="2"/>
      <c r="H2512" s="2"/>
      <c r="I2512" s="72"/>
      <c r="J2512" s="72"/>
      <c r="K2512" s="72"/>
      <c r="L2512" s="72"/>
      <c r="M2512" s="2"/>
      <c r="N2512" s="2"/>
      <c r="O2512" s="2"/>
      <c r="P2512" s="2"/>
      <c r="Q2512" s="2"/>
      <c r="R2512" s="2"/>
      <c r="S2512" s="2"/>
      <c r="T2512" s="2"/>
      <c r="U2512" s="2"/>
      <c r="V2512" s="2"/>
      <c r="W2512" s="2"/>
      <c r="X2512" s="2"/>
      <c r="Y2512" s="2"/>
      <c r="Z2512" s="2"/>
      <c r="AA2512" s="2"/>
      <c r="AB2512" s="2"/>
      <c r="AC2512" s="2"/>
      <c r="AD2512" s="2"/>
      <c r="AE2512" s="2"/>
      <c r="AF2512" s="2"/>
      <c r="AG2512" s="2"/>
      <c r="AH2512" s="2"/>
      <c r="AI2512" s="2"/>
      <c r="AJ2512" s="2" t="str">
        <f>IFERROR(__xludf.DUMMYFUNCTION("""COMPUTED_VALUE"""),"")</f>
        <v/>
      </c>
      <c r="AK2512" s="2" t="str">
        <f>IFERROR(__xludf.DUMMYFUNCTION("""COMPUTED_VALUE"""),"")</f>
        <v/>
      </c>
      <c r="AL2512" s="2" t="str">
        <f>IFERROR(__xludf.DUMMYFUNCTION("""COMPUTED_VALUE"""),"")</f>
        <v/>
      </c>
      <c r="AM2512" s="2" t="str">
        <f>IFERROR(__xludf.DUMMYFUNCTION("""COMPUTED_VALUE"""),"")</f>
        <v/>
      </c>
      <c r="AN2512" s="2" t="str">
        <f>IFERROR(__xludf.DUMMYFUNCTION("""COMPUTED_VALUE""")," ")</f>
        <v> </v>
      </c>
      <c r="AO2512" s="2" t="str">
        <f>IFERROR(__xludf.DUMMYFUNCTION("""COMPUTED_VALUE""")," ")</f>
        <v> </v>
      </c>
      <c r="AP2512" s="2" t="str">
        <f>IFERROR(__xludf.DUMMYFUNCTION("""COMPUTED_VALUE"""),"")</f>
        <v/>
      </c>
      <c r="AQ2512" s="2"/>
      <c r="AR2512" s="2"/>
      <c r="AS2512" s="2"/>
      <c r="AT2512" s="2"/>
      <c r="AU2512" s="2"/>
      <c r="AV2512" s="2"/>
      <c r="AW2512" s="2"/>
      <c r="AX2512" s="2"/>
      <c r="AY2512" s="2"/>
      <c r="AZ2512" s="2"/>
      <c r="BA2512" s="2"/>
      <c r="BB2512" s="2"/>
    </row>
    <row r="2513">
      <c r="A2513" s="2"/>
      <c r="B2513" s="2" t="str">
        <f>IFERROR(__xludf.DUMMYFUNCTION("""COMPUTED_VALUE"""),"")</f>
        <v/>
      </c>
      <c r="C2513" s="2"/>
      <c r="D2513" s="71"/>
      <c r="E2513" s="71" t="str">
        <f>IFERROR(__xludf.DUMMYFUNCTION("""COMPUTED_VALUE""")," ")</f>
        <v> </v>
      </c>
      <c r="F2513" s="2"/>
      <c r="G2513" s="2"/>
      <c r="H2513" s="2"/>
      <c r="I2513" s="72"/>
      <c r="J2513" s="72"/>
      <c r="K2513" s="72"/>
      <c r="L2513" s="72"/>
      <c r="M2513" s="2"/>
      <c r="N2513" s="2"/>
      <c r="O2513" s="2"/>
      <c r="P2513" s="2"/>
      <c r="Q2513" s="2"/>
      <c r="R2513" s="2"/>
      <c r="S2513" s="2"/>
      <c r="T2513" s="2"/>
      <c r="U2513" s="2"/>
      <c r="V2513" s="2"/>
      <c r="W2513" s="2"/>
      <c r="X2513" s="2"/>
      <c r="Y2513" s="2"/>
      <c r="Z2513" s="2"/>
      <c r="AA2513" s="2"/>
      <c r="AB2513" s="2"/>
      <c r="AC2513" s="2"/>
      <c r="AD2513" s="2"/>
      <c r="AE2513" s="2"/>
      <c r="AF2513" s="2"/>
      <c r="AG2513" s="2"/>
      <c r="AH2513" s="2"/>
      <c r="AI2513" s="2"/>
      <c r="AJ2513" s="2" t="str">
        <f>IFERROR(__xludf.DUMMYFUNCTION("""COMPUTED_VALUE"""),"")</f>
        <v/>
      </c>
      <c r="AK2513" s="2" t="str">
        <f>IFERROR(__xludf.DUMMYFUNCTION("""COMPUTED_VALUE"""),"")</f>
        <v/>
      </c>
      <c r="AL2513" s="2" t="str">
        <f>IFERROR(__xludf.DUMMYFUNCTION("""COMPUTED_VALUE"""),"")</f>
        <v/>
      </c>
      <c r="AM2513" s="2" t="str">
        <f>IFERROR(__xludf.DUMMYFUNCTION("""COMPUTED_VALUE"""),"")</f>
        <v/>
      </c>
      <c r="AN2513" s="2" t="str">
        <f>IFERROR(__xludf.DUMMYFUNCTION("""COMPUTED_VALUE""")," ")</f>
        <v> </v>
      </c>
      <c r="AO2513" s="2" t="str">
        <f>IFERROR(__xludf.DUMMYFUNCTION("""COMPUTED_VALUE""")," ")</f>
        <v> </v>
      </c>
      <c r="AP2513" s="2" t="str">
        <f>IFERROR(__xludf.DUMMYFUNCTION("""COMPUTED_VALUE"""),"")</f>
        <v/>
      </c>
      <c r="AQ2513" s="2"/>
      <c r="AR2513" s="2"/>
      <c r="AS2513" s="2"/>
      <c r="AT2513" s="2"/>
      <c r="AU2513" s="2"/>
      <c r="AV2513" s="2"/>
      <c r="AW2513" s="2"/>
      <c r="AX2513" s="2"/>
      <c r="AY2513" s="2"/>
      <c r="AZ2513" s="2"/>
      <c r="BA2513" s="2"/>
      <c r="BB2513" s="2"/>
    </row>
    <row r="2514">
      <c r="A2514" s="2"/>
      <c r="B2514" s="2" t="str">
        <f>IFERROR(__xludf.DUMMYFUNCTION("""COMPUTED_VALUE"""),"")</f>
        <v/>
      </c>
      <c r="C2514" s="2"/>
      <c r="D2514" s="71"/>
      <c r="E2514" s="71" t="str">
        <f>IFERROR(__xludf.DUMMYFUNCTION("""COMPUTED_VALUE""")," ")</f>
        <v> </v>
      </c>
      <c r="F2514" s="2"/>
      <c r="G2514" s="2"/>
      <c r="H2514" s="2"/>
      <c r="I2514" s="72"/>
      <c r="J2514" s="72"/>
      <c r="K2514" s="72"/>
      <c r="L2514" s="72"/>
      <c r="M2514" s="2"/>
      <c r="N2514" s="2"/>
      <c r="O2514" s="2"/>
      <c r="P2514" s="2"/>
      <c r="Q2514" s="2"/>
      <c r="R2514" s="2"/>
      <c r="S2514" s="2"/>
      <c r="T2514" s="2"/>
      <c r="U2514" s="2"/>
      <c r="V2514" s="2"/>
      <c r="W2514" s="2"/>
      <c r="X2514" s="2"/>
      <c r="Y2514" s="2"/>
      <c r="Z2514" s="2"/>
      <c r="AA2514" s="2"/>
      <c r="AB2514" s="2"/>
      <c r="AC2514" s="2"/>
      <c r="AD2514" s="2"/>
      <c r="AE2514" s="2"/>
      <c r="AF2514" s="2"/>
      <c r="AG2514" s="2"/>
      <c r="AH2514" s="2"/>
      <c r="AI2514" s="2"/>
      <c r="AJ2514" s="2" t="str">
        <f>IFERROR(__xludf.DUMMYFUNCTION("""COMPUTED_VALUE"""),"")</f>
        <v/>
      </c>
      <c r="AK2514" s="2" t="str">
        <f>IFERROR(__xludf.DUMMYFUNCTION("""COMPUTED_VALUE"""),"")</f>
        <v/>
      </c>
      <c r="AL2514" s="2" t="str">
        <f>IFERROR(__xludf.DUMMYFUNCTION("""COMPUTED_VALUE"""),"")</f>
        <v/>
      </c>
      <c r="AM2514" s="2" t="str">
        <f>IFERROR(__xludf.DUMMYFUNCTION("""COMPUTED_VALUE"""),"")</f>
        <v/>
      </c>
      <c r="AN2514" s="2" t="str">
        <f>IFERROR(__xludf.DUMMYFUNCTION("""COMPUTED_VALUE""")," ")</f>
        <v> </v>
      </c>
      <c r="AO2514" s="2" t="str">
        <f>IFERROR(__xludf.DUMMYFUNCTION("""COMPUTED_VALUE""")," ")</f>
        <v> </v>
      </c>
      <c r="AP2514" s="2" t="str">
        <f>IFERROR(__xludf.DUMMYFUNCTION("""COMPUTED_VALUE"""),"")</f>
        <v/>
      </c>
      <c r="AQ2514" s="2"/>
      <c r="AR2514" s="2"/>
      <c r="AS2514" s="2"/>
      <c r="AT2514" s="2"/>
      <c r="AU2514" s="2"/>
      <c r="AV2514" s="2"/>
      <c r="AW2514" s="2"/>
      <c r="AX2514" s="2"/>
      <c r="AY2514" s="2"/>
      <c r="AZ2514" s="2"/>
      <c r="BA2514" s="2"/>
      <c r="BB2514" s="2"/>
    </row>
    <row r="2515">
      <c r="A2515" s="2"/>
      <c r="B2515" s="2" t="str">
        <f>IFERROR(__xludf.DUMMYFUNCTION("""COMPUTED_VALUE"""),"")</f>
        <v/>
      </c>
      <c r="C2515" s="2"/>
      <c r="D2515" s="71"/>
      <c r="E2515" s="71" t="str">
        <f>IFERROR(__xludf.DUMMYFUNCTION("""COMPUTED_VALUE""")," ")</f>
        <v> </v>
      </c>
      <c r="F2515" s="2"/>
      <c r="G2515" s="2"/>
      <c r="H2515" s="2"/>
      <c r="I2515" s="72"/>
      <c r="J2515" s="72"/>
      <c r="K2515" s="72"/>
      <c r="L2515" s="72"/>
      <c r="M2515" s="2"/>
      <c r="N2515" s="2"/>
      <c r="O2515" s="2"/>
      <c r="P2515" s="2"/>
      <c r="Q2515" s="2"/>
      <c r="R2515" s="2"/>
      <c r="S2515" s="2"/>
      <c r="T2515" s="2"/>
      <c r="U2515" s="2"/>
      <c r="V2515" s="2"/>
      <c r="W2515" s="2"/>
      <c r="X2515" s="2"/>
      <c r="Y2515" s="2"/>
      <c r="Z2515" s="2"/>
      <c r="AA2515" s="2"/>
      <c r="AB2515" s="2"/>
      <c r="AC2515" s="2"/>
      <c r="AD2515" s="2"/>
      <c r="AE2515" s="2"/>
      <c r="AF2515" s="2"/>
      <c r="AG2515" s="2"/>
      <c r="AH2515" s="2"/>
      <c r="AI2515" s="2"/>
      <c r="AJ2515" s="2" t="str">
        <f>IFERROR(__xludf.DUMMYFUNCTION("""COMPUTED_VALUE"""),"")</f>
        <v/>
      </c>
      <c r="AK2515" s="2" t="str">
        <f>IFERROR(__xludf.DUMMYFUNCTION("""COMPUTED_VALUE"""),"")</f>
        <v/>
      </c>
      <c r="AL2515" s="2" t="str">
        <f>IFERROR(__xludf.DUMMYFUNCTION("""COMPUTED_VALUE"""),"")</f>
        <v/>
      </c>
      <c r="AM2515" s="2" t="str">
        <f>IFERROR(__xludf.DUMMYFUNCTION("""COMPUTED_VALUE"""),"")</f>
        <v/>
      </c>
      <c r="AN2515" s="2" t="str">
        <f>IFERROR(__xludf.DUMMYFUNCTION("""COMPUTED_VALUE""")," ")</f>
        <v> </v>
      </c>
      <c r="AO2515" s="2" t="str">
        <f>IFERROR(__xludf.DUMMYFUNCTION("""COMPUTED_VALUE""")," ")</f>
        <v> </v>
      </c>
      <c r="AP2515" s="2" t="str">
        <f>IFERROR(__xludf.DUMMYFUNCTION("""COMPUTED_VALUE"""),"")</f>
        <v/>
      </c>
      <c r="AQ2515" s="2"/>
      <c r="AR2515" s="2"/>
      <c r="AS2515" s="2"/>
      <c r="AT2515" s="2"/>
      <c r="AU2515" s="2"/>
      <c r="AV2515" s="2"/>
      <c r="AW2515" s="2"/>
      <c r="AX2515" s="2"/>
      <c r="AY2515" s="2"/>
      <c r="AZ2515" s="2"/>
      <c r="BA2515" s="2"/>
      <c r="BB2515" s="2"/>
    </row>
    <row r="2516">
      <c r="A2516" s="2"/>
      <c r="B2516" s="2" t="str">
        <f>IFERROR(__xludf.DUMMYFUNCTION("""COMPUTED_VALUE"""),"")</f>
        <v/>
      </c>
      <c r="C2516" s="2"/>
      <c r="D2516" s="71"/>
      <c r="E2516" s="71" t="str">
        <f>IFERROR(__xludf.DUMMYFUNCTION("""COMPUTED_VALUE""")," ")</f>
        <v> </v>
      </c>
      <c r="F2516" s="2"/>
      <c r="G2516" s="2"/>
      <c r="H2516" s="2"/>
      <c r="I2516" s="72"/>
      <c r="J2516" s="72"/>
      <c r="K2516" s="72"/>
      <c r="L2516" s="72"/>
      <c r="M2516" s="2"/>
      <c r="N2516" s="2"/>
      <c r="O2516" s="2"/>
      <c r="P2516" s="2"/>
      <c r="Q2516" s="2"/>
      <c r="R2516" s="2"/>
      <c r="S2516" s="2"/>
      <c r="T2516" s="2"/>
      <c r="U2516" s="2"/>
      <c r="V2516" s="2"/>
      <c r="W2516" s="2"/>
      <c r="X2516" s="2"/>
      <c r="Y2516" s="2"/>
      <c r="Z2516" s="2"/>
      <c r="AA2516" s="2"/>
      <c r="AB2516" s="2"/>
      <c r="AC2516" s="2"/>
      <c r="AD2516" s="2"/>
      <c r="AE2516" s="2"/>
      <c r="AF2516" s="2"/>
      <c r="AG2516" s="2"/>
      <c r="AH2516" s="2"/>
      <c r="AI2516" s="2"/>
      <c r="AJ2516" s="2" t="str">
        <f>IFERROR(__xludf.DUMMYFUNCTION("""COMPUTED_VALUE"""),"")</f>
        <v/>
      </c>
      <c r="AK2516" s="2" t="str">
        <f>IFERROR(__xludf.DUMMYFUNCTION("""COMPUTED_VALUE"""),"")</f>
        <v/>
      </c>
      <c r="AL2516" s="2" t="str">
        <f>IFERROR(__xludf.DUMMYFUNCTION("""COMPUTED_VALUE"""),"")</f>
        <v/>
      </c>
      <c r="AM2516" s="2" t="str">
        <f>IFERROR(__xludf.DUMMYFUNCTION("""COMPUTED_VALUE"""),"")</f>
        <v/>
      </c>
      <c r="AN2516" s="2" t="str">
        <f>IFERROR(__xludf.DUMMYFUNCTION("""COMPUTED_VALUE""")," ")</f>
        <v> </v>
      </c>
      <c r="AO2516" s="2" t="str">
        <f>IFERROR(__xludf.DUMMYFUNCTION("""COMPUTED_VALUE""")," ")</f>
        <v> </v>
      </c>
      <c r="AP2516" s="2" t="str">
        <f>IFERROR(__xludf.DUMMYFUNCTION("""COMPUTED_VALUE"""),"")</f>
        <v/>
      </c>
      <c r="AQ2516" s="2"/>
      <c r="AR2516" s="2"/>
      <c r="AS2516" s="2"/>
      <c r="AT2516" s="2"/>
      <c r="AU2516" s="2"/>
      <c r="AV2516" s="2"/>
      <c r="AW2516" s="2"/>
      <c r="AX2516" s="2"/>
      <c r="AY2516" s="2"/>
      <c r="AZ2516" s="2"/>
      <c r="BA2516" s="2"/>
      <c r="BB2516" s="2"/>
    </row>
    <row r="2517">
      <c r="A2517" s="2"/>
      <c r="B2517" s="2" t="str">
        <f>IFERROR(__xludf.DUMMYFUNCTION("""COMPUTED_VALUE"""),"")</f>
        <v/>
      </c>
      <c r="C2517" s="2"/>
      <c r="D2517" s="71"/>
      <c r="E2517" s="71" t="str">
        <f>IFERROR(__xludf.DUMMYFUNCTION("""COMPUTED_VALUE""")," ")</f>
        <v> </v>
      </c>
      <c r="F2517" s="2"/>
      <c r="G2517" s="2"/>
      <c r="H2517" s="2"/>
      <c r="I2517" s="72"/>
      <c r="J2517" s="72"/>
      <c r="K2517" s="72"/>
      <c r="L2517" s="72"/>
      <c r="M2517" s="2"/>
      <c r="N2517" s="2"/>
      <c r="O2517" s="2"/>
      <c r="P2517" s="2"/>
      <c r="Q2517" s="2"/>
      <c r="R2517" s="2"/>
      <c r="S2517" s="2"/>
      <c r="T2517" s="2"/>
      <c r="U2517" s="2"/>
      <c r="V2517" s="2"/>
      <c r="W2517" s="2"/>
      <c r="X2517" s="2"/>
      <c r="Y2517" s="2"/>
      <c r="Z2517" s="2"/>
      <c r="AA2517" s="2"/>
      <c r="AB2517" s="2"/>
      <c r="AC2517" s="2"/>
      <c r="AD2517" s="2"/>
      <c r="AE2517" s="2"/>
      <c r="AF2517" s="2"/>
      <c r="AG2517" s="2"/>
      <c r="AH2517" s="2"/>
      <c r="AI2517" s="2"/>
      <c r="AJ2517" s="2" t="str">
        <f>IFERROR(__xludf.DUMMYFUNCTION("""COMPUTED_VALUE"""),"")</f>
        <v/>
      </c>
      <c r="AK2517" s="2" t="str">
        <f>IFERROR(__xludf.DUMMYFUNCTION("""COMPUTED_VALUE"""),"")</f>
        <v/>
      </c>
      <c r="AL2517" s="2" t="str">
        <f>IFERROR(__xludf.DUMMYFUNCTION("""COMPUTED_VALUE"""),"")</f>
        <v/>
      </c>
      <c r="AM2517" s="2" t="str">
        <f>IFERROR(__xludf.DUMMYFUNCTION("""COMPUTED_VALUE"""),"")</f>
        <v/>
      </c>
      <c r="AN2517" s="2" t="str">
        <f>IFERROR(__xludf.DUMMYFUNCTION("""COMPUTED_VALUE""")," ")</f>
        <v> </v>
      </c>
      <c r="AO2517" s="2" t="str">
        <f>IFERROR(__xludf.DUMMYFUNCTION("""COMPUTED_VALUE""")," ")</f>
        <v> </v>
      </c>
      <c r="AP2517" s="2" t="str">
        <f>IFERROR(__xludf.DUMMYFUNCTION("""COMPUTED_VALUE"""),"")</f>
        <v/>
      </c>
      <c r="AQ2517" s="2"/>
      <c r="AR2517" s="2"/>
      <c r="AS2517" s="2"/>
      <c r="AT2517" s="2"/>
      <c r="AU2517" s="2"/>
      <c r="AV2517" s="2"/>
      <c r="AW2517" s="2"/>
      <c r="AX2517" s="2"/>
      <c r="AY2517" s="2"/>
      <c r="AZ2517" s="2"/>
      <c r="BA2517" s="2"/>
      <c r="BB2517" s="2"/>
    </row>
    <row r="2518">
      <c r="A2518" s="2"/>
      <c r="B2518" s="2" t="str">
        <f>IFERROR(__xludf.DUMMYFUNCTION("""COMPUTED_VALUE"""),"")</f>
        <v/>
      </c>
      <c r="C2518" s="2"/>
      <c r="D2518" s="71"/>
      <c r="E2518" s="71" t="str">
        <f>IFERROR(__xludf.DUMMYFUNCTION("""COMPUTED_VALUE""")," ")</f>
        <v> </v>
      </c>
      <c r="F2518" s="2"/>
      <c r="G2518" s="2"/>
      <c r="H2518" s="2"/>
      <c r="I2518" s="72"/>
      <c r="J2518" s="72"/>
      <c r="K2518" s="72"/>
      <c r="L2518" s="72"/>
      <c r="M2518" s="2"/>
      <c r="N2518" s="2"/>
      <c r="O2518" s="2"/>
      <c r="P2518" s="2"/>
      <c r="Q2518" s="2"/>
      <c r="R2518" s="2"/>
      <c r="S2518" s="2"/>
      <c r="T2518" s="2"/>
      <c r="U2518" s="2"/>
      <c r="V2518" s="2"/>
      <c r="W2518" s="2"/>
      <c r="X2518" s="2"/>
      <c r="Y2518" s="2"/>
      <c r="Z2518" s="2"/>
      <c r="AA2518" s="2"/>
      <c r="AB2518" s="2"/>
      <c r="AC2518" s="2"/>
      <c r="AD2518" s="2"/>
      <c r="AE2518" s="2"/>
      <c r="AF2518" s="2"/>
      <c r="AG2518" s="2"/>
      <c r="AH2518" s="2"/>
      <c r="AI2518" s="2"/>
      <c r="AJ2518" s="2" t="str">
        <f>IFERROR(__xludf.DUMMYFUNCTION("""COMPUTED_VALUE"""),"")</f>
        <v/>
      </c>
      <c r="AK2518" s="2" t="str">
        <f>IFERROR(__xludf.DUMMYFUNCTION("""COMPUTED_VALUE"""),"")</f>
        <v/>
      </c>
      <c r="AL2518" s="2" t="str">
        <f>IFERROR(__xludf.DUMMYFUNCTION("""COMPUTED_VALUE"""),"")</f>
        <v/>
      </c>
      <c r="AM2518" s="2" t="str">
        <f>IFERROR(__xludf.DUMMYFUNCTION("""COMPUTED_VALUE"""),"")</f>
        <v/>
      </c>
      <c r="AN2518" s="2" t="str">
        <f>IFERROR(__xludf.DUMMYFUNCTION("""COMPUTED_VALUE""")," ")</f>
        <v> </v>
      </c>
      <c r="AO2518" s="2" t="str">
        <f>IFERROR(__xludf.DUMMYFUNCTION("""COMPUTED_VALUE""")," ")</f>
        <v> </v>
      </c>
      <c r="AP2518" s="2" t="str">
        <f>IFERROR(__xludf.DUMMYFUNCTION("""COMPUTED_VALUE"""),"")</f>
        <v/>
      </c>
      <c r="AQ2518" s="2"/>
      <c r="AR2518" s="2"/>
      <c r="AS2518" s="2"/>
      <c r="AT2518" s="2"/>
      <c r="AU2518" s="2"/>
      <c r="AV2518" s="2"/>
      <c r="AW2518" s="2"/>
      <c r="AX2518" s="2"/>
      <c r="AY2518" s="2"/>
      <c r="AZ2518" s="2"/>
      <c r="BA2518" s="2"/>
      <c r="BB2518" s="2"/>
    </row>
    <row r="2519">
      <c r="A2519" s="2"/>
      <c r="B2519" s="2" t="str">
        <f>IFERROR(__xludf.DUMMYFUNCTION("""COMPUTED_VALUE"""),"")</f>
        <v/>
      </c>
      <c r="C2519" s="2"/>
      <c r="D2519" s="71"/>
      <c r="E2519" s="71" t="str">
        <f>IFERROR(__xludf.DUMMYFUNCTION("""COMPUTED_VALUE""")," ")</f>
        <v> </v>
      </c>
      <c r="F2519" s="2"/>
      <c r="G2519" s="2"/>
      <c r="H2519" s="2"/>
      <c r="I2519" s="72"/>
      <c r="J2519" s="72"/>
      <c r="K2519" s="72"/>
      <c r="L2519" s="72"/>
      <c r="M2519" s="2"/>
      <c r="N2519" s="2"/>
      <c r="O2519" s="2"/>
      <c r="P2519" s="2"/>
      <c r="Q2519" s="2"/>
      <c r="R2519" s="2"/>
      <c r="S2519" s="2"/>
      <c r="T2519" s="2"/>
      <c r="U2519" s="2"/>
      <c r="V2519" s="2"/>
      <c r="W2519" s="2"/>
      <c r="X2519" s="2"/>
      <c r="Y2519" s="2"/>
      <c r="Z2519" s="2"/>
      <c r="AA2519" s="2"/>
      <c r="AB2519" s="2"/>
      <c r="AC2519" s="2"/>
      <c r="AD2519" s="2"/>
      <c r="AE2519" s="2"/>
      <c r="AF2519" s="2"/>
      <c r="AG2519" s="2"/>
      <c r="AH2519" s="2"/>
      <c r="AI2519" s="2"/>
      <c r="AJ2519" s="2" t="str">
        <f>IFERROR(__xludf.DUMMYFUNCTION("""COMPUTED_VALUE"""),"")</f>
        <v/>
      </c>
      <c r="AK2519" s="2" t="str">
        <f>IFERROR(__xludf.DUMMYFUNCTION("""COMPUTED_VALUE"""),"")</f>
        <v/>
      </c>
      <c r="AL2519" s="2" t="str">
        <f>IFERROR(__xludf.DUMMYFUNCTION("""COMPUTED_VALUE"""),"")</f>
        <v/>
      </c>
      <c r="AM2519" s="2" t="str">
        <f>IFERROR(__xludf.DUMMYFUNCTION("""COMPUTED_VALUE"""),"")</f>
        <v/>
      </c>
      <c r="AN2519" s="2" t="str">
        <f>IFERROR(__xludf.DUMMYFUNCTION("""COMPUTED_VALUE""")," ")</f>
        <v> </v>
      </c>
      <c r="AO2519" s="2" t="str">
        <f>IFERROR(__xludf.DUMMYFUNCTION("""COMPUTED_VALUE""")," ")</f>
        <v> </v>
      </c>
      <c r="AP2519" s="2" t="str">
        <f>IFERROR(__xludf.DUMMYFUNCTION("""COMPUTED_VALUE"""),"")</f>
        <v/>
      </c>
      <c r="AQ2519" s="2"/>
      <c r="AR2519" s="2"/>
      <c r="AS2519" s="2"/>
      <c r="AT2519" s="2"/>
      <c r="AU2519" s="2"/>
      <c r="AV2519" s="2"/>
      <c r="AW2519" s="2"/>
      <c r="AX2519" s="2"/>
      <c r="AY2519" s="2"/>
      <c r="AZ2519" s="2"/>
      <c r="BA2519" s="2"/>
      <c r="BB2519" s="2"/>
    </row>
    <row r="2520">
      <c r="A2520" s="2"/>
      <c r="B2520" s="2" t="str">
        <f>IFERROR(__xludf.DUMMYFUNCTION("""COMPUTED_VALUE"""),"")</f>
        <v/>
      </c>
      <c r="C2520" s="2"/>
      <c r="D2520" s="71"/>
      <c r="E2520" s="71" t="str">
        <f>IFERROR(__xludf.DUMMYFUNCTION("""COMPUTED_VALUE""")," ")</f>
        <v> </v>
      </c>
      <c r="F2520" s="2"/>
      <c r="G2520" s="2"/>
      <c r="H2520" s="2"/>
      <c r="I2520" s="72"/>
      <c r="J2520" s="72"/>
      <c r="K2520" s="72"/>
      <c r="L2520" s="72"/>
      <c r="M2520" s="2"/>
      <c r="N2520" s="2"/>
      <c r="O2520" s="2"/>
      <c r="P2520" s="2"/>
      <c r="Q2520" s="2"/>
      <c r="R2520" s="2"/>
      <c r="S2520" s="2"/>
      <c r="T2520" s="2"/>
      <c r="U2520" s="2"/>
      <c r="V2520" s="2"/>
      <c r="W2520" s="2"/>
      <c r="X2520" s="2"/>
      <c r="Y2520" s="2"/>
      <c r="Z2520" s="2"/>
      <c r="AA2520" s="2"/>
      <c r="AB2520" s="2"/>
      <c r="AC2520" s="2"/>
      <c r="AD2520" s="2"/>
      <c r="AE2520" s="2"/>
      <c r="AF2520" s="2"/>
      <c r="AG2520" s="2"/>
      <c r="AH2520" s="2"/>
      <c r="AI2520" s="2"/>
      <c r="AJ2520" s="2" t="str">
        <f>IFERROR(__xludf.DUMMYFUNCTION("""COMPUTED_VALUE"""),"")</f>
        <v/>
      </c>
      <c r="AK2520" s="2" t="str">
        <f>IFERROR(__xludf.DUMMYFUNCTION("""COMPUTED_VALUE"""),"")</f>
        <v/>
      </c>
      <c r="AL2520" s="2" t="str">
        <f>IFERROR(__xludf.DUMMYFUNCTION("""COMPUTED_VALUE"""),"")</f>
        <v/>
      </c>
      <c r="AM2520" s="2" t="str">
        <f>IFERROR(__xludf.DUMMYFUNCTION("""COMPUTED_VALUE"""),"")</f>
        <v/>
      </c>
      <c r="AN2520" s="2" t="str">
        <f>IFERROR(__xludf.DUMMYFUNCTION("""COMPUTED_VALUE""")," ")</f>
        <v> </v>
      </c>
      <c r="AO2520" s="2" t="str">
        <f>IFERROR(__xludf.DUMMYFUNCTION("""COMPUTED_VALUE""")," ")</f>
        <v> </v>
      </c>
      <c r="AP2520" s="2" t="str">
        <f>IFERROR(__xludf.DUMMYFUNCTION("""COMPUTED_VALUE"""),"")</f>
        <v/>
      </c>
      <c r="AQ2520" s="2"/>
      <c r="AR2520" s="2"/>
      <c r="AS2520" s="2"/>
      <c r="AT2520" s="2"/>
      <c r="AU2520" s="2"/>
      <c r="AV2520" s="2"/>
      <c r="AW2520" s="2"/>
      <c r="AX2520" s="2"/>
      <c r="AY2520" s="2"/>
      <c r="AZ2520" s="2"/>
      <c r="BA2520" s="2"/>
      <c r="BB2520" s="2"/>
    </row>
    <row r="2521">
      <c r="A2521" s="2"/>
      <c r="B2521" s="2"/>
      <c r="C2521" s="2"/>
      <c r="D2521" s="71"/>
      <c r="E2521" s="71"/>
      <c r="F2521" s="2"/>
      <c r="G2521" s="2"/>
      <c r="H2521" s="2"/>
      <c r="I2521" s="72"/>
      <c r="J2521" s="72"/>
      <c r="K2521" s="72"/>
      <c r="L2521" s="72"/>
      <c r="M2521" s="2"/>
      <c r="N2521" s="2"/>
      <c r="O2521" s="2"/>
      <c r="P2521" s="2"/>
      <c r="Q2521" s="2"/>
      <c r="R2521" s="2"/>
      <c r="S2521" s="2"/>
      <c r="T2521" s="2"/>
      <c r="U2521" s="2"/>
      <c r="V2521" s="2"/>
      <c r="W2521" s="2"/>
      <c r="X2521" s="2"/>
      <c r="Y2521" s="2"/>
      <c r="Z2521" s="2"/>
      <c r="AA2521" s="2"/>
      <c r="AB2521" s="2"/>
      <c r="AC2521" s="2"/>
      <c r="AD2521" s="2"/>
      <c r="AE2521" s="2"/>
      <c r="AF2521" s="2"/>
      <c r="AG2521" s="2"/>
      <c r="AH2521" s="2"/>
      <c r="AI2521" s="2"/>
      <c r="AJ2521" s="2"/>
      <c r="AK2521" s="2"/>
      <c r="AL2521" s="2"/>
      <c r="AM2521" s="2"/>
      <c r="AN2521" s="2"/>
      <c r="AO2521" s="2"/>
      <c r="AP2521" s="2"/>
      <c r="AQ2521" s="2"/>
      <c r="AR2521" s="2"/>
      <c r="AS2521" s="2"/>
      <c r="AT2521" s="2"/>
      <c r="AU2521" s="2"/>
      <c r="AV2521" s="2"/>
      <c r="AW2521" s="2"/>
      <c r="AX2521" s="2"/>
      <c r="AY2521" s="2"/>
      <c r="AZ2521" s="2"/>
      <c r="BA2521" s="2"/>
      <c r="BB2521" s="2"/>
    </row>
    <row r="2522">
      <c r="A2522" s="2"/>
      <c r="B2522" s="2" t="str">
        <f>IFERROR(__xludf.DUMMYFUNCTION("""COMPUTED_VALUE"""),"")</f>
        <v/>
      </c>
      <c r="C2522" s="2"/>
      <c r="D2522" s="71"/>
      <c r="E2522" s="71" t="str">
        <f>IFERROR(__xludf.DUMMYFUNCTION("""COMPUTED_VALUE""")," ")</f>
        <v> </v>
      </c>
      <c r="F2522" s="2"/>
      <c r="G2522" s="2"/>
      <c r="H2522" s="2"/>
      <c r="I2522" s="72"/>
      <c r="J2522" s="72"/>
      <c r="K2522" s="72"/>
      <c r="L2522" s="72"/>
      <c r="M2522" s="2"/>
      <c r="N2522" s="2"/>
      <c r="O2522" s="2"/>
      <c r="P2522" s="2"/>
      <c r="Q2522" s="2"/>
      <c r="R2522" s="2"/>
      <c r="S2522" s="2"/>
      <c r="T2522" s="2"/>
      <c r="U2522" s="2"/>
      <c r="V2522" s="2"/>
      <c r="W2522" s="2"/>
      <c r="X2522" s="2"/>
      <c r="Y2522" s="2"/>
      <c r="Z2522" s="2"/>
      <c r="AA2522" s="2"/>
      <c r="AB2522" s="2"/>
      <c r="AC2522" s="2"/>
      <c r="AD2522" s="2"/>
      <c r="AE2522" s="2"/>
      <c r="AF2522" s="2"/>
      <c r="AG2522" s="2"/>
      <c r="AH2522" s="2"/>
      <c r="AI2522" s="2"/>
      <c r="AJ2522" s="2" t="str">
        <f>IFERROR(__xludf.DUMMYFUNCTION("""COMPUTED_VALUE"""),"")</f>
        <v/>
      </c>
      <c r="AK2522" s="2" t="str">
        <f>IFERROR(__xludf.DUMMYFUNCTION("""COMPUTED_VALUE"""),"")</f>
        <v/>
      </c>
      <c r="AL2522" s="2" t="str">
        <f>IFERROR(__xludf.DUMMYFUNCTION("""COMPUTED_VALUE"""),"")</f>
        <v/>
      </c>
      <c r="AM2522" s="2" t="str">
        <f>IFERROR(__xludf.DUMMYFUNCTION("""COMPUTED_VALUE"""),"")</f>
        <v/>
      </c>
      <c r="AN2522" s="2" t="str">
        <f>IFERROR(__xludf.DUMMYFUNCTION("""COMPUTED_VALUE""")," ")</f>
        <v> </v>
      </c>
      <c r="AO2522" s="2" t="str">
        <f>IFERROR(__xludf.DUMMYFUNCTION("""COMPUTED_VALUE""")," ")</f>
        <v> </v>
      </c>
      <c r="AP2522" s="2" t="str">
        <f>IFERROR(__xludf.DUMMYFUNCTION("""COMPUTED_VALUE"""),"")</f>
        <v/>
      </c>
      <c r="AQ2522" s="2"/>
      <c r="AR2522" s="2"/>
      <c r="AS2522" s="2"/>
      <c r="AT2522" s="2"/>
      <c r="AU2522" s="2"/>
      <c r="AV2522" s="2"/>
      <c r="AW2522" s="2"/>
      <c r="AX2522" s="2"/>
      <c r="AY2522" s="2"/>
      <c r="AZ2522" s="2"/>
      <c r="BA2522" s="2"/>
      <c r="BB2522" s="2"/>
    </row>
    <row r="2523">
      <c r="A2523" s="2"/>
      <c r="B2523" s="2" t="str">
        <f>IFERROR(__xludf.DUMMYFUNCTION("""COMPUTED_VALUE"""),"")</f>
        <v/>
      </c>
      <c r="C2523" s="2"/>
      <c r="D2523" s="71"/>
      <c r="E2523" s="71" t="str">
        <f>IFERROR(__xludf.DUMMYFUNCTION("""COMPUTED_VALUE""")," ")</f>
        <v> </v>
      </c>
      <c r="F2523" s="2"/>
      <c r="G2523" s="2"/>
      <c r="H2523" s="2"/>
      <c r="I2523" s="72"/>
      <c r="J2523" s="72"/>
      <c r="K2523" s="72"/>
      <c r="L2523" s="72"/>
      <c r="M2523" s="2"/>
      <c r="N2523" s="2"/>
      <c r="O2523" s="2"/>
      <c r="P2523" s="2"/>
      <c r="Q2523" s="2"/>
      <c r="R2523" s="2"/>
      <c r="S2523" s="2"/>
      <c r="T2523" s="2"/>
      <c r="U2523" s="2"/>
      <c r="V2523" s="2"/>
      <c r="W2523" s="2"/>
      <c r="X2523" s="2"/>
      <c r="Y2523" s="2"/>
      <c r="Z2523" s="2"/>
      <c r="AA2523" s="2"/>
      <c r="AB2523" s="2"/>
      <c r="AC2523" s="2"/>
      <c r="AD2523" s="2"/>
      <c r="AE2523" s="2"/>
      <c r="AF2523" s="2"/>
      <c r="AG2523" s="2"/>
      <c r="AH2523" s="2"/>
      <c r="AI2523" s="2"/>
      <c r="AJ2523" s="2" t="str">
        <f>IFERROR(__xludf.DUMMYFUNCTION("""COMPUTED_VALUE"""),"")</f>
        <v/>
      </c>
      <c r="AK2523" s="2" t="str">
        <f>IFERROR(__xludf.DUMMYFUNCTION("""COMPUTED_VALUE"""),"")</f>
        <v/>
      </c>
      <c r="AL2523" s="2" t="str">
        <f>IFERROR(__xludf.DUMMYFUNCTION("""COMPUTED_VALUE"""),"")</f>
        <v/>
      </c>
      <c r="AM2523" s="2" t="str">
        <f>IFERROR(__xludf.DUMMYFUNCTION("""COMPUTED_VALUE"""),"")</f>
        <v/>
      </c>
      <c r="AN2523" s="2" t="str">
        <f>IFERROR(__xludf.DUMMYFUNCTION("""COMPUTED_VALUE""")," ")</f>
        <v> </v>
      </c>
      <c r="AO2523" s="2" t="str">
        <f>IFERROR(__xludf.DUMMYFUNCTION("""COMPUTED_VALUE""")," ")</f>
        <v> </v>
      </c>
      <c r="AP2523" s="2" t="str">
        <f>IFERROR(__xludf.DUMMYFUNCTION("""COMPUTED_VALUE"""),"")</f>
        <v/>
      </c>
      <c r="AQ2523" s="2"/>
      <c r="AR2523" s="2"/>
      <c r="AS2523" s="2"/>
      <c r="AT2523" s="2"/>
      <c r="AU2523" s="2"/>
      <c r="AV2523" s="2"/>
      <c r="AW2523" s="2"/>
      <c r="AX2523" s="2"/>
      <c r="AY2523" s="2"/>
      <c r="AZ2523" s="2"/>
      <c r="BA2523" s="2"/>
      <c r="BB2523" s="2"/>
    </row>
    <row r="2524">
      <c r="A2524" s="2"/>
      <c r="B2524" s="2" t="str">
        <f>IFERROR(__xludf.DUMMYFUNCTION("""COMPUTED_VALUE"""),"")</f>
        <v/>
      </c>
      <c r="C2524" s="2"/>
      <c r="D2524" s="71"/>
      <c r="E2524" s="71" t="str">
        <f>IFERROR(__xludf.DUMMYFUNCTION("""COMPUTED_VALUE""")," ")</f>
        <v> </v>
      </c>
      <c r="F2524" s="2"/>
      <c r="G2524" s="2"/>
      <c r="H2524" s="2"/>
      <c r="I2524" s="72"/>
      <c r="J2524" s="72"/>
      <c r="K2524" s="72"/>
      <c r="L2524" s="72"/>
      <c r="M2524" s="2"/>
      <c r="N2524" s="2"/>
      <c r="O2524" s="2"/>
      <c r="P2524" s="2"/>
      <c r="Q2524" s="2"/>
      <c r="R2524" s="2"/>
      <c r="S2524" s="2"/>
      <c r="T2524" s="2"/>
      <c r="U2524" s="2"/>
      <c r="V2524" s="2"/>
      <c r="W2524" s="2"/>
      <c r="X2524" s="2"/>
      <c r="Y2524" s="2"/>
      <c r="Z2524" s="2"/>
      <c r="AA2524" s="2"/>
      <c r="AB2524" s="2"/>
      <c r="AC2524" s="2"/>
      <c r="AD2524" s="2"/>
      <c r="AE2524" s="2"/>
      <c r="AF2524" s="2"/>
      <c r="AG2524" s="2"/>
      <c r="AH2524" s="2"/>
      <c r="AI2524" s="2"/>
      <c r="AJ2524" s="2" t="str">
        <f>IFERROR(__xludf.DUMMYFUNCTION("""COMPUTED_VALUE"""),"")</f>
        <v/>
      </c>
      <c r="AK2524" s="2" t="str">
        <f>IFERROR(__xludf.DUMMYFUNCTION("""COMPUTED_VALUE"""),"")</f>
        <v/>
      </c>
      <c r="AL2524" s="2" t="str">
        <f>IFERROR(__xludf.DUMMYFUNCTION("""COMPUTED_VALUE"""),"")</f>
        <v/>
      </c>
      <c r="AM2524" s="2" t="str">
        <f>IFERROR(__xludf.DUMMYFUNCTION("""COMPUTED_VALUE"""),"")</f>
        <v/>
      </c>
      <c r="AN2524" s="2" t="str">
        <f>IFERROR(__xludf.DUMMYFUNCTION("""COMPUTED_VALUE""")," ")</f>
        <v> </v>
      </c>
      <c r="AO2524" s="2" t="str">
        <f>IFERROR(__xludf.DUMMYFUNCTION("""COMPUTED_VALUE""")," ")</f>
        <v> </v>
      </c>
      <c r="AP2524" s="2" t="str">
        <f>IFERROR(__xludf.DUMMYFUNCTION("""COMPUTED_VALUE"""),"")</f>
        <v/>
      </c>
      <c r="AQ2524" s="2"/>
      <c r="AR2524" s="2"/>
      <c r="AS2524" s="2"/>
      <c r="AT2524" s="2"/>
      <c r="AU2524" s="2"/>
      <c r="AV2524" s="2"/>
      <c r="AW2524" s="2"/>
      <c r="AX2524" s="2"/>
      <c r="AY2524" s="2"/>
      <c r="AZ2524" s="2"/>
      <c r="BA2524" s="2"/>
      <c r="BB2524" s="2"/>
    </row>
    <row r="2525">
      <c r="A2525" s="2"/>
      <c r="B2525" s="2" t="str">
        <f>IFERROR(__xludf.DUMMYFUNCTION("""COMPUTED_VALUE"""),"")</f>
        <v/>
      </c>
      <c r="C2525" s="2"/>
      <c r="D2525" s="71"/>
      <c r="E2525" s="71" t="str">
        <f>IFERROR(__xludf.DUMMYFUNCTION("""COMPUTED_VALUE""")," ")</f>
        <v> </v>
      </c>
      <c r="F2525" s="2"/>
      <c r="G2525" s="2"/>
      <c r="H2525" s="2"/>
      <c r="I2525" s="72"/>
      <c r="J2525" s="72"/>
      <c r="K2525" s="72"/>
      <c r="L2525" s="72"/>
      <c r="M2525" s="2"/>
      <c r="N2525" s="2"/>
      <c r="O2525" s="2"/>
      <c r="P2525" s="2"/>
      <c r="Q2525" s="2"/>
      <c r="R2525" s="2"/>
      <c r="S2525" s="2"/>
      <c r="T2525" s="2"/>
      <c r="U2525" s="2"/>
      <c r="V2525" s="2"/>
      <c r="W2525" s="2"/>
      <c r="X2525" s="2"/>
      <c r="Y2525" s="2"/>
      <c r="Z2525" s="2"/>
      <c r="AA2525" s="2"/>
      <c r="AB2525" s="2"/>
      <c r="AC2525" s="2"/>
      <c r="AD2525" s="2"/>
      <c r="AE2525" s="2"/>
      <c r="AF2525" s="2"/>
      <c r="AG2525" s="2"/>
      <c r="AH2525" s="2"/>
      <c r="AI2525" s="2"/>
      <c r="AJ2525" s="2" t="str">
        <f>IFERROR(__xludf.DUMMYFUNCTION("""COMPUTED_VALUE"""),"")</f>
        <v/>
      </c>
      <c r="AK2525" s="2" t="str">
        <f>IFERROR(__xludf.DUMMYFUNCTION("""COMPUTED_VALUE"""),"")</f>
        <v/>
      </c>
      <c r="AL2525" s="2" t="str">
        <f>IFERROR(__xludf.DUMMYFUNCTION("""COMPUTED_VALUE"""),"")</f>
        <v/>
      </c>
      <c r="AM2525" s="2" t="str">
        <f>IFERROR(__xludf.DUMMYFUNCTION("""COMPUTED_VALUE"""),"")</f>
        <v/>
      </c>
      <c r="AN2525" s="2" t="str">
        <f>IFERROR(__xludf.DUMMYFUNCTION("""COMPUTED_VALUE""")," ")</f>
        <v> </v>
      </c>
      <c r="AO2525" s="2" t="str">
        <f>IFERROR(__xludf.DUMMYFUNCTION("""COMPUTED_VALUE""")," ")</f>
        <v> </v>
      </c>
      <c r="AP2525" s="2" t="str">
        <f>IFERROR(__xludf.DUMMYFUNCTION("""COMPUTED_VALUE"""),"")</f>
        <v/>
      </c>
      <c r="AQ2525" s="2"/>
      <c r="AR2525" s="2"/>
      <c r="AS2525" s="2"/>
      <c r="AT2525" s="2"/>
      <c r="AU2525" s="2"/>
      <c r="AV2525" s="2"/>
      <c r="AW2525" s="2"/>
      <c r="AX2525" s="2"/>
      <c r="AY2525" s="2"/>
      <c r="AZ2525" s="2"/>
      <c r="BA2525" s="2"/>
      <c r="BB2525" s="2"/>
    </row>
    <row r="2526">
      <c r="A2526" s="2"/>
      <c r="B2526" s="2" t="str">
        <f>IFERROR(__xludf.DUMMYFUNCTION("""COMPUTED_VALUE"""),"")</f>
        <v/>
      </c>
      <c r="C2526" s="2"/>
      <c r="D2526" s="71"/>
      <c r="E2526" s="71" t="str">
        <f>IFERROR(__xludf.DUMMYFUNCTION("""COMPUTED_VALUE""")," ")</f>
        <v> </v>
      </c>
      <c r="F2526" s="2"/>
      <c r="G2526" s="2"/>
      <c r="H2526" s="2"/>
      <c r="I2526" s="72"/>
      <c r="J2526" s="72"/>
      <c r="K2526" s="72"/>
      <c r="L2526" s="72"/>
      <c r="M2526" s="2"/>
      <c r="N2526" s="2"/>
      <c r="O2526" s="2"/>
      <c r="P2526" s="2"/>
      <c r="Q2526" s="2"/>
      <c r="R2526" s="2"/>
      <c r="S2526" s="2"/>
      <c r="T2526" s="2"/>
      <c r="U2526" s="2"/>
      <c r="V2526" s="2"/>
      <c r="W2526" s="2"/>
      <c r="X2526" s="2"/>
      <c r="Y2526" s="2"/>
      <c r="Z2526" s="2"/>
      <c r="AA2526" s="2"/>
      <c r="AB2526" s="2"/>
      <c r="AC2526" s="2"/>
      <c r="AD2526" s="2"/>
      <c r="AE2526" s="2"/>
      <c r="AF2526" s="2"/>
      <c r="AG2526" s="2"/>
      <c r="AH2526" s="2"/>
      <c r="AI2526" s="2"/>
      <c r="AJ2526" s="2" t="str">
        <f>IFERROR(__xludf.DUMMYFUNCTION("""COMPUTED_VALUE"""),"")</f>
        <v/>
      </c>
      <c r="AK2526" s="2" t="str">
        <f>IFERROR(__xludf.DUMMYFUNCTION("""COMPUTED_VALUE"""),"")</f>
        <v/>
      </c>
      <c r="AL2526" s="2" t="str">
        <f>IFERROR(__xludf.DUMMYFUNCTION("""COMPUTED_VALUE"""),"")</f>
        <v/>
      </c>
      <c r="AM2526" s="2" t="str">
        <f>IFERROR(__xludf.DUMMYFUNCTION("""COMPUTED_VALUE"""),"")</f>
        <v/>
      </c>
      <c r="AN2526" s="2" t="str">
        <f>IFERROR(__xludf.DUMMYFUNCTION("""COMPUTED_VALUE""")," ")</f>
        <v> </v>
      </c>
      <c r="AO2526" s="2" t="str">
        <f>IFERROR(__xludf.DUMMYFUNCTION("""COMPUTED_VALUE""")," ")</f>
        <v> </v>
      </c>
      <c r="AP2526" s="2" t="str">
        <f>IFERROR(__xludf.DUMMYFUNCTION("""COMPUTED_VALUE"""),"")</f>
        <v/>
      </c>
      <c r="AQ2526" s="2"/>
      <c r="AR2526" s="2"/>
      <c r="AS2526" s="2"/>
      <c r="AT2526" s="2"/>
      <c r="AU2526" s="2"/>
      <c r="AV2526" s="2"/>
      <c r="AW2526" s="2"/>
      <c r="AX2526" s="2"/>
      <c r="AY2526" s="2"/>
      <c r="AZ2526" s="2"/>
      <c r="BA2526" s="2"/>
      <c r="BB2526" s="2"/>
    </row>
    <row r="2527">
      <c r="A2527" s="2"/>
      <c r="B2527" s="2" t="str">
        <f>IFERROR(__xludf.DUMMYFUNCTION("""COMPUTED_VALUE"""),"")</f>
        <v/>
      </c>
      <c r="C2527" s="2"/>
      <c r="D2527" s="71"/>
      <c r="E2527" s="71" t="str">
        <f>IFERROR(__xludf.DUMMYFUNCTION("""COMPUTED_VALUE""")," ")</f>
        <v> </v>
      </c>
      <c r="F2527" s="2"/>
      <c r="G2527" s="2"/>
      <c r="H2527" s="2"/>
      <c r="I2527" s="72"/>
      <c r="J2527" s="72"/>
      <c r="K2527" s="72"/>
      <c r="L2527" s="72"/>
      <c r="M2527" s="2"/>
      <c r="N2527" s="2"/>
      <c r="O2527" s="2"/>
      <c r="P2527" s="2"/>
      <c r="Q2527" s="2"/>
      <c r="R2527" s="2"/>
      <c r="S2527" s="2"/>
      <c r="T2527" s="2"/>
      <c r="U2527" s="2"/>
      <c r="V2527" s="2"/>
      <c r="W2527" s="2"/>
      <c r="X2527" s="2"/>
      <c r="Y2527" s="2"/>
      <c r="Z2527" s="2"/>
      <c r="AA2527" s="2"/>
      <c r="AB2527" s="2"/>
      <c r="AC2527" s="2"/>
      <c r="AD2527" s="2"/>
      <c r="AE2527" s="2"/>
      <c r="AF2527" s="2"/>
      <c r="AG2527" s="2"/>
      <c r="AH2527" s="2"/>
      <c r="AI2527" s="2"/>
      <c r="AJ2527" s="2" t="str">
        <f>IFERROR(__xludf.DUMMYFUNCTION("""COMPUTED_VALUE"""),"")</f>
        <v/>
      </c>
      <c r="AK2527" s="2" t="str">
        <f>IFERROR(__xludf.DUMMYFUNCTION("""COMPUTED_VALUE"""),"")</f>
        <v/>
      </c>
      <c r="AL2527" s="2" t="str">
        <f>IFERROR(__xludf.DUMMYFUNCTION("""COMPUTED_VALUE"""),"")</f>
        <v/>
      </c>
      <c r="AM2527" s="2" t="str">
        <f>IFERROR(__xludf.DUMMYFUNCTION("""COMPUTED_VALUE"""),"")</f>
        <v/>
      </c>
      <c r="AN2527" s="2" t="str">
        <f>IFERROR(__xludf.DUMMYFUNCTION("""COMPUTED_VALUE""")," ")</f>
        <v> </v>
      </c>
      <c r="AO2527" s="2" t="str">
        <f>IFERROR(__xludf.DUMMYFUNCTION("""COMPUTED_VALUE""")," ")</f>
        <v> </v>
      </c>
      <c r="AP2527" s="2" t="str">
        <f>IFERROR(__xludf.DUMMYFUNCTION("""COMPUTED_VALUE"""),"")</f>
        <v/>
      </c>
      <c r="AQ2527" s="2"/>
      <c r="AR2527" s="2"/>
      <c r="AS2527" s="2"/>
      <c r="AT2527" s="2"/>
      <c r="AU2527" s="2"/>
      <c r="AV2527" s="2"/>
      <c r="AW2527" s="2"/>
      <c r="AX2527" s="2"/>
      <c r="AY2527" s="2"/>
      <c r="AZ2527" s="2"/>
      <c r="BA2527" s="2"/>
      <c r="BB2527" s="2"/>
    </row>
    <row r="2528">
      <c r="A2528" s="2"/>
      <c r="B2528" s="2" t="str">
        <f>IFERROR(__xludf.DUMMYFUNCTION("""COMPUTED_VALUE"""),"")</f>
        <v/>
      </c>
      <c r="C2528" s="2"/>
      <c r="D2528" s="71"/>
      <c r="E2528" s="71" t="str">
        <f>IFERROR(__xludf.DUMMYFUNCTION("""COMPUTED_VALUE""")," ")</f>
        <v> </v>
      </c>
      <c r="F2528" s="2"/>
      <c r="G2528" s="2"/>
      <c r="H2528" s="2"/>
      <c r="I2528" s="72"/>
      <c r="J2528" s="72"/>
      <c r="K2528" s="72"/>
      <c r="L2528" s="72"/>
      <c r="M2528" s="2"/>
      <c r="N2528" s="2"/>
      <c r="O2528" s="2"/>
      <c r="P2528" s="2"/>
      <c r="Q2528" s="2"/>
      <c r="R2528" s="2"/>
      <c r="S2528" s="2"/>
      <c r="T2528" s="2"/>
      <c r="U2528" s="2"/>
      <c r="V2528" s="2"/>
      <c r="W2528" s="2"/>
      <c r="X2528" s="2"/>
      <c r="Y2528" s="2"/>
      <c r="Z2528" s="2"/>
      <c r="AA2528" s="2"/>
      <c r="AB2528" s="2"/>
      <c r="AC2528" s="2"/>
      <c r="AD2528" s="2"/>
      <c r="AE2528" s="2"/>
      <c r="AF2528" s="2"/>
      <c r="AG2528" s="2"/>
      <c r="AH2528" s="2"/>
      <c r="AI2528" s="2"/>
      <c r="AJ2528" s="2" t="str">
        <f>IFERROR(__xludf.DUMMYFUNCTION("""COMPUTED_VALUE"""),"")</f>
        <v/>
      </c>
      <c r="AK2528" s="2" t="str">
        <f>IFERROR(__xludf.DUMMYFUNCTION("""COMPUTED_VALUE"""),"")</f>
        <v/>
      </c>
      <c r="AL2528" s="2" t="str">
        <f>IFERROR(__xludf.DUMMYFUNCTION("""COMPUTED_VALUE"""),"")</f>
        <v/>
      </c>
      <c r="AM2528" s="2" t="str">
        <f>IFERROR(__xludf.DUMMYFUNCTION("""COMPUTED_VALUE"""),"")</f>
        <v/>
      </c>
      <c r="AN2528" s="2" t="str">
        <f>IFERROR(__xludf.DUMMYFUNCTION("""COMPUTED_VALUE""")," ")</f>
        <v> </v>
      </c>
      <c r="AO2528" s="2" t="str">
        <f>IFERROR(__xludf.DUMMYFUNCTION("""COMPUTED_VALUE""")," ")</f>
        <v> </v>
      </c>
      <c r="AP2528" s="2" t="str">
        <f>IFERROR(__xludf.DUMMYFUNCTION("""COMPUTED_VALUE"""),"")</f>
        <v/>
      </c>
      <c r="AQ2528" s="2"/>
      <c r="AR2528" s="2"/>
      <c r="AS2528" s="2"/>
      <c r="AT2528" s="2"/>
      <c r="AU2528" s="2"/>
      <c r="AV2528" s="2"/>
      <c r="AW2528" s="2"/>
      <c r="AX2528" s="2"/>
      <c r="AY2528" s="2"/>
      <c r="AZ2528" s="2"/>
      <c r="BA2528" s="2"/>
      <c r="BB2528" s="2"/>
    </row>
    <row r="2529">
      <c r="A2529" s="2"/>
      <c r="B2529" s="2" t="str">
        <f>IFERROR(__xludf.DUMMYFUNCTION("""COMPUTED_VALUE"""),"")</f>
        <v/>
      </c>
      <c r="C2529" s="2"/>
      <c r="D2529" s="71"/>
      <c r="E2529" s="71" t="str">
        <f>IFERROR(__xludf.DUMMYFUNCTION("""COMPUTED_VALUE""")," ")</f>
        <v> </v>
      </c>
      <c r="F2529" s="2"/>
      <c r="G2529" s="2"/>
      <c r="H2529" s="2"/>
      <c r="I2529" s="72"/>
      <c r="J2529" s="72"/>
      <c r="K2529" s="72"/>
      <c r="L2529" s="72"/>
      <c r="M2529" s="2"/>
      <c r="N2529" s="2"/>
      <c r="O2529" s="2"/>
      <c r="P2529" s="2"/>
      <c r="Q2529" s="2"/>
      <c r="R2529" s="2"/>
      <c r="S2529" s="2"/>
      <c r="T2529" s="2"/>
      <c r="U2529" s="2"/>
      <c r="V2529" s="2"/>
      <c r="W2529" s="2"/>
      <c r="X2529" s="2"/>
      <c r="Y2529" s="2"/>
      <c r="Z2529" s="2"/>
      <c r="AA2529" s="2"/>
      <c r="AB2529" s="2"/>
      <c r="AC2529" s="2"/>
      <c r="AD2529" s="2"/>
      <c r="AE2529" s="2"/>
      <c r="AF2529" s="2"/>
      <c r="AG2529" s="2"/>
      <c r="AH2529" s="2"/>
      <c r="AI2529" s="2"/>
      <c r="AJ2529" s="2" t="str">
        <f>IFERROR(__xludf.DUMMYFUNCTION("""COMPUTED_VALUE"""),"")</f>
        <v/>
      </c>
      <c r="AK2529" s="2" t="str">
        <f>IFERROR(__xludf.DUMMYFUNCTION("""COMPUTED_VALUE"""),"")</f>
        <v/>
      </c>
      <c r="AL2529" s="2" t="str">
        <f>IFERROR(__xludf.DUMMYFUNCTION("""COMPUTED_VALUE"""),"")</f>
        <v/>
      </c>
      <c r="AM2529" s="2" t="str">
        <f>IFERROR(__xludf.DUMMYFUNCTION("""COMPUTED_VALUE"""),"")</f>
        <v/>
      </c>
      <c r="AN2529" s="2" t="str">
        <f>IFERROR(__xludf.DUMMYFUNCTION("""COMPUTED_VALUE""")," ")</f>
        <v> </v>
      </c>
      <c r="AO2529" s="2" t="str">
        <f>IFERROR(__xludf.DUMMYFUNCTION("""COMPUTED_VALUE""")," ")</f>
        <v> </v>
      </c>
      <c r="AP2529" s="2" t="str">
        <f>IFERROR(__xludf.DUMMYFUNCTION("""COMPUTED_VALUE"""),"")</f>
        <v/>
      </c>
      <c r="AQ2529" s="2"/>
      <c r="AR2529" s="2"/>
      <c r="AS2529" s="2"/>
      <c r="AT2529" s="2"/>
      <c r="AU2529" s="2"/>
      <c r="AV2529" s="2"/>
      <c r="AW2529" s="2"/>
      <c r="AX2529" s="2"/>
      <c r="AY2529" s="2"/>
      <c r="AZ2529" s="2"/>
      <c r="BA2529" s="2"/>
      <c r="BB2529" s="2"/>
    </row>
    <row r="2530">
      <c r="A2530" s="2"/>
      <c r="B2530" s="2" t="str">
        <f>IFERROR(__xludf.DUMMYFUNCTION("""COMPUTED_VALUE"""),"")</f>
        <v/>
      </c>
      <c r="C2530" s="2"/>
      <c r="D2530" s="71"/>
      <c r="E2530" s="71" t="str">
        <f>IFERROR(__xludf.DUMMYFUNCTION("""COMPUTED_VALUE""")," ")</f>
        <v> </v>
      </c>
      <c r="F2530" s="2"/>
      <c r="G2530" s="2"/>
      <c r="H2530" s="2"/>
      <c r="I2530" s="72"/>
      <c r="J2530" s="72"/>
      <c r="K2530" s="72"/>
      <c r="L2530" s="72"/>
      <c r="M2530" s="2"/>
      <c r="N2530" s="2"/>
      <c r="O2530" s="2"/>
      <c r="P2530" s="2"/>
      <c r="Q2530" s="2"/>
      <c r="R2530" s="2"/>
      <c r="S2530" s="2"/>
      <c r="T2530" s="2"/>
      <c r="U2530" s="2"/>
      <c r="V2530" s="2"/>
      <c r="W2530" s="2"/>
      <c r="X2530" s="2"/>
      <c r="Y2530" s="2"/>
      <c r="Z2530" s="2"/>
      <c r="AA2530" s="2"/>
      <c r="AB2530" s="2"/>
      <c r="AC2530" s="2"/>
      <c r="AD2530" s="2"/>
      <c r="AE2530" s="2"/>
      <c r="AF2530" s="2"/>
      <c r="AG2530" s="2"/>
      <c r="AH2530" s="2"/>
      <c r="AI2530" s="2"/>
      <c r="AJ2530" s="2" t="str">
        <f>IFERROR(__xludf.DUMMYFUNCTION("""COMPUTED_VALUE"""),"")</f>
        <v/>
      </c>
      <c r="AK2530" s="2" t="str">
        <f>IFERROR(__xludf.DUMMYFUNCTION("""COMPUTED_VALUE"""),"")</f>
        <v/>
      </c>
      <c r="AL2530" s="2" t="str">
        <f>IFERROR(__xludf.DUMMYFUNCTION("""COMPUTED_VALUE"""),"")</f>
        <v/>
      </c>
      <c r="AM2530" s="2" t="str">
        <f>IFERROR(__xludf.DUMMYFUNCTION("""COMPUTED_VALUE"""),"")</f>
        <v/>
      </c>
      <c r="AN2530" s="2" t="str">
        <f>IFERROR(__xludf.DUMMYFUNCTION("""COMPUTED_VALUE""")," ")</f>
        <v> </v>
      </c>
      <c r="AO2530" s="2" t="str">
        <f>IFERROR(__xludf.DUMMYFUNCTION("""COMPUTED_VALUE""")," ")</f>
        <v> </v>
      </c>
      <c r="AP2530" s="2" t="str">
        <f>IFERROR(__xludf.DUMMYFUNCTION("""COMPUTED_VALUE"""),"")</f>
        <v/>
      </c>
      <c r="AQ2530" s="2"/>
      <c r="AR2530" s="2"/>
      <c r="AS2530" s="2"/>
      <c r="AT2530" s="2"/>
      <c r="AU2530" s="2"/>
      <c r="AV2530" s="2"/>
      <c r="AW2530" s="2"/>
      <c r="AX2530" s="2"/>
      <c r="AY2530" s="2"/>
      <c r="AZ2530" s="2"/>
      <c r="BA2530" s="2"/>
      <c r="BB2530" s="2"/>
    </row>
    <row r="2531">
      <c r="A2531" s="2"/>
      <c r="B2531" s="2" t="str">
        <f>IFERROR(__xludf.DUMMYFUNCTION("""COMPUTED_VALUE"""),"")</f>
        <v/>
      </c>
      <c r="C2531" s="2"/>
      <c r="D2531" s="71"/>
      <c r="E2531" s="71" t="str">
        <f>IFERROR(__xludf.DUMMYFUNCTION("""COMPUTED_VALUE""")," ")</f>
        <v> </v>
      </c>
      <c r="F2531" s="2"/>
      <c r="G2531" s="2"/>
      <c r="H2531" s="2"/>
      <c r="I2531" s="72"/>
      <c r="J2531" s="72"/>
      <c r="K2531" s="72"/>
      <c r="L2531" s="72"/>
      <c r="M2531" s="2"/>
      <c r="N2531" s="2"/>
      <c r="O2531" s="2"/>
      <c r="P2531" s="2"/>
      <c r="Q2531" s="2"/>
      <c r="R2531" s="2"/>
      <c r="S2531" s="2"/>
      <c r="T2531" s="2"/>
      <c r="U2531" s="2"/>
      <c r="V2531" s="2"/>
      <c r="W2531" s="2"/>
      <c r="X2531" s="2"/>
      <c r="Y2531" s="2"/>
      <c r="Z2531" s="2"/>
      <c r="AA2531" s="2"/>
      <c r="AB2531" s="2"/>
      <c r="AC2531" s="2"/>
      <c r="AD2531" s="2"/>
      <c r="AE2531" s="2"/>
      <c r="AF2531" s="2"/>
      <c r="AG2531" s="2"/>
      <c r="AH2531" s="2"/>
      <c r="AI2531" s="2"/>
      <c r="AJ2531" s="2" t="str">
        <f>IFERROR(__xludf.DUMMYFUNCTION("""COMPUTED_VALUE"""),"")</f>
        <v/>
      </c>
      <c r="AK2531" s="2" t="str">
        <f>IFERROR(__xludf.DUMMYFUNCTION("""COMPUTED_VALUE"""),"")</f>
        <v/>
      </c>
      <c r="AL2531" s="2" t="str">
        <f>IFERROR(__xludf.DUMMYFUNCTION("""COMPUTED_VALUE"""),"")</f>
        <v/>
      </c>
      <c r="AM2531" s="2" t="str">
        <f>IFERROR(__xludf.DUMMYFUNCTION("""COMPUTED_VALUE"""),"")</f>
        <v/>
      </c>
      <c r="AN2531" s="2" t="str">
        <f>IFERROR(__xludf.DUMMYFUNCTION("""COMPUTED_VALUE""")," ")</f>
        <v> </v>
      </c>
      <c r="AO2531" s="2" t="str">
        <f>IFERROR(__xludf.DUMMYFUNCTION("""COMPUTED_VALUE""")," ")</f>
        <v> </v>
      </c>
      <c r="AP2531" s="2" t="str">
        <f>IFERROR(__xludf.DUMMYFUNCTION("""COMPUTED_VALUE"""),"")</f>
        <v/>
      </c>
      <c r="AQ2531" s="2"/>
      <c r="AR2531" s="2"/>
      <c r="AS2531" s="2"/>
      <c r="AT2531" s="2"/>
      <c r="AU2531" s="2"/>
      <c r="AV2531" s="2"/>
      <c r="AW2531" s="2"/>
      <c r="AX2531" s="2"/>
      <c r="AY2531" s="2"/>
      <c r="AZ2531" s="2"/>
      <c r="BA2531" s="2"/>
      <c r="BB2531" s="2"/>
    </row>
    <row r="2532">
      <c r="A2532" s="2"/>
      <c r="B2532" s="2" t="str">
        <f>IFERROR(__xludf.DUMMYFUNCTION("""COMPUTED_VALUE"""),"")</f>
        <v/>
      </c>
      <c r="C2532" s="2"/>
      <c r="D2532" s="71"/>
      <c r="E2532" s="71" t="str">
        <f>IFERROR(__xludf.DUMMYFUNCTION("""COMPUTED_VALUE""")," ")</f>
        <v> </v>
      </c>
      <c r="F2532" s="2"/>
      <c r="G2532" s="2"/>
      <c r="H2532" s="2"/>
      <c r="I2532" s="72"/>
      <c r="J2532" s="72"/>
      <c r="K2532" s="72"/>
      <c r="L2532" s="72"/>
      <c r="M2532" s="2"/>
      <c r="N2532" s="2"/>
      <c r="O2532" s="2"/>
      <c r="P2532" s="2"/>
      <c r="Q2532" s="2"/>
      <c r="R2532" s="2"/>
      <c r="S2532" s="2"/>
      <c r="T2532" s="2"/>
      <c r="U2532" s="2"/>
      <c r="V2532" s="2"/>
      <c r="W2532" s="2"/>
      <c r="X2532" s="2"/>
      <c r="Y2532" s="2"/>
      <c r="Z2532" s="2"/>
      <c r="AA2532" s="2"/>
      <c r="AB2532" s="2"/>
      <c r="AC2532" s="2"/>
      <c r="AD2532" s="2"/>
      <c r="AE2532" s="2"/>
      <c r="AF2532" s="2"/>
      <c r="AG2532" s="2"/>
      <c r="AH2532" s="2"/>
      <c r="AI2532" s="2"/>
      <c r="AJ2532" s="2" t="str">
        <f>IFERROR(__xludf.DUMMYFUNCTION("""COMPUTED_VALUE"""),"")</f>
        <v/>
      </c>
      <c r="AK2532" s="2" t="str">
        <f>IFERROR(__xludf.DUMMYFUNCTION("""COMPUTED_VALUE"""),"")</f>
        <v/>
      </c>
      <c r="AL2532" s="2" t="str">
        <f>IFERROR(__xludf.DUMMYFUNCTION("""COMPUTED_VALUE"""),"")</f>
        <v/>
      </c>
      <c r="AM2532" s="2" t="str">
        <f>IFERROR(__xludf.DUMMYFUNCTION("""COMPUTED_VALUE"""),"")</f>
        <v/>
      </c>
      <c r="AN2532" s="2" t="str">
        <f>IFERROR(__xludf.DUMMYFUNCTION("""COMPUTED_VALUE""")," ")</f>
        <v> </v>
      </c>
      <c r="AO2532" s="2" t="str">
        <f>IFERROR(__xludf.DUMMYFUNCTION("""COMPUTED_VALUE""")," ")</f>
        <v> </v>
      </c>
      <c r="AP2532" s="2" t="str">
        <f>IFERROR(__xludf.DUMMYFUNCTION("""COMPUTED_VALUE"""),"")</f>
        <v/>
      </c>
      <c r="AQ2532" s="2"/>
      <c r="AR2532" s="2"/>
      <c r="AS2532" s="2"/>
      <c r="AT2532" s="2"/>
      <c r="AU2532" s="2"/>
      <c r="AV2532" s="2"/>
      <c r="AW2532" s="2"/>
      <c r="AX2532" s="2"/>
      <c r="AY2532" s="2"/>
      <c r="AZ2532" s="2"/>
      <c r="BA2532" s="2"/>
      <c r="BB2532" s="2"/>
    </row>
    <row r="2533">
      <c r="A2533" s="2"/>
      <c r="B2533" s="2" t="str">
        <f>IFERROR(__xludf.DUMMYFUNCTION("""COMPUTED_VALUE"""),"")</f>
        <v/>
      </c>
      <c r="C2533" s="2"/>
      <c r="D2533" s="71"/>
      <c r="E2533" s="71" t="str">
        <f>IFERROR(__xludf.DUMMYFUNCTION("""COMPUTED_VALUE""")," ")</f>
        <v> </v>
      </c>
      <c r="F2533" s="2"/>
      <c r="G2533" s="2"/>
      <c r="H2533" s="2"/>
      <c r="I2533" s="72"/>
      <c r="J2533" s="72"/>
      <c r="K2533" s="72"/>
      <c r="L2533" s="72"/>
      <c r="M2533" s="2"/>
      <c r="N2533" s="2"/>
      <c r="O2533" s="2"/>
      <c r="P2533" s="2"/>
      <c r="Q2533" s="2"/>
      <c r="R2533" s="2"/>
      <c r="S2533" s="2"/>
      <c r="T2533" s="2"/>
      <c r="U2533" s="2"/>
      <c r="V2533" s="2"/>
      <c r="W2533" s="2"/>
      <c r="X2533" s="2"/>
      <c r="Y2533" s="2"/>
      <c r="Z2533" s="2"/>
      <c r="AA2533" s="2"/>
      <c r="AB2533" s="2"/>
      <c r="AC2533" s="2"/>
      <c r="AD2533" s="2"/>
      <c r="AE2533" s="2"/>
      <c r="AF2533" s="2"/>
      <c r="AG2533" s="2"/>
      <c r="AH2533" s="2"/>
      <c r="AI2533" s="2"/>
      <c r="AJ2533" s="2" t="str">
        <f>IFERROR(__xludf.DUMMYFUNCTION("""COMPUTED_VALUE"""),"")</f>
        <v/>
      </c>
      <c r="AK2533" s="2" t="str">
        <f>IFERROR(__xludf.DUMMYFUNCTION("""COMPUTED_VALUE"""),"")</f>
        <v/>
      </c>
      <c r="AL2533" s="2" t="str">
        <f>IFERROR(__xludf.DUMMYFUNCTION("""COMPUTED_VALUE"""),"")</f>
        <v/>
      </c>
      <c r="AM2533" s="2" t="str">
        <f>IFERROR(__xludf.DUMMYFUNCTION("""COMPUTED_VALUE"""),"")</f>
        <v/>
      </c>
      <c r="AN2533" s="2" t="str">
        <f>IFERROR(__xludf.DUMMYFUNCTION("""COMPUTED_VALUE""")," ")</f>
        <v> </v>
      </c>
      <c r="AO2533" s="2" t="str">
        <f>IFERROR(__xludf.DUMMYFUNCTION("""COMPUTED_VALUE""")," ")</f>
        <v> </v>
      </c>
      <c r="AP2533" s="2" t="str">
        <f>IFERROR(__xludf.DUMMYFUNCTION("""COMPUTED_VALUE"""),"")</f>
        <v/>
      </c>
      <c r="AQ2533" s="2"/>
      <c r="AR2533" s="2"/>
      <c r="AS2533" s="2"/>
      <c r="AT2533" s="2"/>
      <c r="AU2533" s="2"/>
      <c r="AV2533" s="2"/>
      <c r="AW2533" s="2"/>
      <c r="AX2533" s="2"/>
      <c r="AY2533" s="2"/>
      <c r="AZ2533" s="2"/>
      <c r="BA2533" s="2"/>
      <c r="BB2533" s="2"/>
    </row>
    <row r="2534">
      <c r="A2534" s="2"/>
      <c r="B2534" s="2" t="str">
        <f>IFERROR(__xludf.DUMMYFUNCTION("""COMPUTED_VALUE"""),"")</f>
        <v/>
      </c>
      <c r="C2534" s="2"/>
      <c r="D2534" s="71"/>
      <c r="E2534" s="71" t="str">
        <f>IFERROR(__xludf.DUMMYFUNCTION("""COMPUTED_VALUE""")," ")</f>
        <v> </v>
      </c>
      <c r="F2534" s="2"/>
      <c r="G2534" s="2"/>
      <c r="H2534" s="2"/>
      <c r="I2534" s="72"/>
      <c r="J2534" s="72"/>
      <c r="K2534" s="72"/>
      <c r="L2534" s="72"/>
      <c r="M2534" s="2"/>
      <c r="N2534" s="2"/>
      <c r="O2534" s="2"/>
      <c r="P2534" s="2"/>
      <c r="Q2534" s="2"/>
      <c r="R2534" s="2"/>
      <c r="S2534" s="2"/>
      <c r="T2534" s="2"/>
      <c r="U2534" s="2"/>
      <c r="V2534" s="2"/>
      <c r="W2534" s="2"/>
      <c r="X2534" s="2"/>
      <c r="Y2534" s="2"/>
      <c r="Z2534" s="2"/>
      <c r="AA2534" s="2"/>
      <c r="AB2534" s="2"/>
      <c r="AC2534" s="2"/>
      <c r="AD2534" s="2"/>
      <c r="AE2534" s="2"/>
      <c r="AF2534" s="2"/>
      <c r="AG2534" s="2"/>
      <c r="AH2534" s="2"/>
      <c r="AI2534" s="2"/>
      <c r="AJ2534" s="2" t="str">
        <f>IFERROR(__xludf.DUMMYFUNCTION("""COMPUTED_VALUE"""),"")</f>
        <v/>
      </c>
      <c r="AK2534" s="2" t="str">
        <f>IFERROR(__xludf.DUMMYFUNCTION("""COMPUTED_VALUE"""),"")</f>
        <v/>
      </c>
      <c r="AL2534" s="2" t="str">
        <f>IFERROR(__xludf.DUMMYFUNCTION("""COMPUTED_VALUE"""),"")</f>
        <v/>
      </c>
      <c r="AM2534" s="2" t="str">
        <f>IFERROR(__xludf.DUMMYFUNCTION("""COMPUTED_VALUE"""),"")</f>
        <v/>
      </c>
      <c r="AN2534" s="2" t="str">
        <f>IFERROR(__xludf.DUMMYFUNCTION("""COMPUTED_VALUE""")," ")</f>
        <v> </v>
      </c>
      <c r="AO2534" s="2" t="str">
        <f>IFERROR(__xludf.DUMMYFUNCTION("""COMPUTED_VALUE""")," ")</f>
        <v> </v>
      </c>
      <c r="AP2534" s="2" t="str">
        <f>IFERROR(__xludf.DUMMYFUNCTION("""COMPUTED_VALUE"""),"")</f>
        <v/>
      </c>
      <c r="AQ2534" s="2"/>
      <c r="AR2534" s="2"/>
      <c r="AS2534" s="2"/>
      <c r="AT2534" s="2"/>
      <c r="AU2534" s="2"/>
      <c r="AV2534" s="2"/>
      <c r="AW2534" s="2"/>
      <c r="AX2534" s="2"/>
      <c r="AY2534" s="2"/>
      <c r="AZ2534" s="2"/>
      <c r="BA2534" s="2"/>
      <c r="BB2534" s="2"/>
    </row>
    <row r="2535">
      <c r="A2535" s="2"/>
      <c r="B2535" s="2" t="str">
        <f>IFERROR(__xludf.DUMMYFUNCTION("""COMPUTED_VALUE"""),"")</f>
        <v/>
      </c>
      <c r="C2535" s="2"/>
      <c r="D2535" s="71"/>
      <c r="E2535" s="71" t="str">
        <f>IFERROR(__xludf.DUMMYFUNCTION("""COMPUTED_VALUE""")," ")</f>
        <v> </v>
      </c>
      <c r="F2535" s="2"/>
      <c r="G2535" s="2"/>
      <c r="H2535" s="2"/>
      <c r="I2535" s="72"/>
      <c r="J2535" s="72"/>
      <c r="K2535" s="72"/>
      <c r="L2535" s="72"/>
      <c r="M2535" s="2"/>
      <c r="N2535" s="2"/>
      <c r="O2535" s="2"/>
      <c r="P2535" s="2"/>
      <c r="Q2535" s="2"/>
      <c r="R2535" s="2"/>
      <c r="S2535" s="2"/>
      <c r="T2535" s="2"/>
      <c r="U2535" s="2"/>
      <c r="V2535" s="2"/>
      <c r="W2535" s="2"/>
      <c r="X2535" s="2"/>
      <c r="Y2535" s="2"/>
      <c r="Z2535" s="2"/>
      <c r="AA2535" s="2"/>
      <c r="AB2535" s="2"/>
      <c r="AC2535" s="2"/>
      <c r="AD2535" s="2"/>
      <c r="AE2535" s="2"/>
      <c r="AF2535" s="2"/>
      <c r="AG2535" s="2"/>
      <c r="AH2535" s="2"/>
      <c r="AI2535" s="2"/>
      <c r="AJ2535" s="2" t="str">
        <f>IFERROR(__xludf.DUMMYFUNCTION("""COMPUTED_VALUE"""),"")</f>
        <v/>
      </c>
      <c r="AK2535" s="2" t="str">
        <f>IFERROR(__xludf.DUMMYFUNCTION("""COMPUTED_VALUE"""),"")</f>
        <v/>
      </c>
      <c r="AL2535" s="2" t="str">
        <f>IFERROR(__xludf.DUMMYFUNCTION("""COMPUTED_VALUE"""),"")</f>
        <v/>
      </c>
      <c r="AM2535" s="2" t="str">
        <f>IFERROR(__xludf.DUMMYFUNCTION("""COMPUTED_VALUE"""),"")</f>
        <v/>
      </c>
      <c r="AN2535" s="2" t="str">
        <f>IFERROR(__xludf.DUMMYFUNCTION("""COMPUTED_VALUE""")," ")</f>
        <v> </v>
      </c>
      <c r="AO2535" s="2" t="str">
        <f>IFERROR(__xludf.DUMMYFUNCTION("""COMPUTED_VALUE""")," ")</f>
        <v> </v>
      </c>
      <c r="AP2535" s="2" t="str">
        <f>IFERROR(__xludf.DUMMYFUNCTION("""COMPUTED_VALUE"""),"")</f>
        <v/>
      </c>
      <c r="AQ2535" s="2"/>
      <c r="AR2535" s="2"/>
      <c r="AS2535" s="2"/>
      <c r="AT2535" s="2"/>
      <c r="AU2535" s="2"/>
      <c r="AV2535" s="2"/>
      <c r="AW2535" s="2"/>
      <c r="AX2535" s="2"/>
      <c r="AY2535" s="2"/>
      <c r="AZ2535" s="2"/>
      <c r="BA2535" s="2"/>
      <c r="BB2535" s="2"/>
    </row>
    <row r="2536">
      <c r="A2536" s="2"/>
      <c r="B2536" s="2" t="str">
        <f>IFERROR(__xludf.DUMMYFUNCTION("""COMPUTED_VALUE"""),"")</f>
        <v/>
      </c>
      <c r="C2536" s="2"/>
      <c r="D2536" s="71"/>
      <c r="E2536" s="71" t="str">
        <f>IFERROR(__xludf.DUMMYFUNCTION("""COMPUTED_VALUE""")," ")</f>
        <v> </v>
      </c>
      <c r="F2536" s="2"/>
      <c r="G2536" s="2"/>
      <c r="H2536" s="2"/>
      <c r="I2536" s="72"/>
      <c r="J2536" s="72"/>
      <c r="K2536" s="72"/>
      <c r="L2536" s="72"/>
      <c r="M2536" s="2"/>
      <c r="N2536" s="2"/>
      <c r="O2536" s="2"/>
      <c r="P2536" s="2"/>
      <c r="Q2536" s="2"/>
      <c r="R2536" s="2"/>
      <c r="S2536" s="2"/>
      <c r="T2536" s="2"/>
      <c r="U2536" s="2"/>
      <c r="V2536" s="2"/>
      <c r="W2536" s="2"/>
      <c r="X2536" s="2"/>
      <c r="Y2536" s="2"/>
      <c r="Z2536" s="2"/>
      <c r="AA2536" s="2"/>
      <c r="AB2536" s="2"/>
      <c r="AC2536" s="2"/>
      <c r="AD2536" s="2"/>
      <c r="AE2536" s="2"/>
      <c r="AF2536" s="2"/>
      <c r="AG2536" s="2"/>
      <c r="AH2536" s="2"/>
      <c r="AI2536" s="2"/>
      <c r="AJ2536" s="2" t="str">
        <f>IFERROR(__xludf.DUMMYFUNCTION("""COMPUTED_VALUE"""),"")</f>
        <v/>
      </c>
      <c r="AK2536" s="2" t="str">
        <f>IFERROR(__xludf.DUMMYFUNCTION("""COMPUTED_VALUE"""),"")</f>
        <v/>
      </c>
      <c r="AL2536" s="2" t="str">
        <f>IFERROR(__xludf.DUMMYFUNCTION("""COMPUTED_VALUE"""),"")</f>
        <v/>
      </c>
      <c r="AM2536" s="2" t="str">
        <f>IFERROR(__xludf.DUMMYFUNCTION("""COMPUTED_VALUE"""),"")</f>
        <v/>
      </c>
      <c r="AN2536" s="2" t="str">
        <f>IFERROR(__xludf.DUMMYFUNCTION("""COMPUTED_VALUE""")," ")</f>
        <v> </v>
      </c>
      <c r="AO2536" s="2" t="str">
        <f>IFERROR(__xludf.DUMMYFUNCTION("""COMPUTED_VALUE""")," ")</f>
        <v> </v>
      </c>
      <c r="AP2536" s="2" t="str">
        <f>IFERROR(__xludf.DUMMYFUNCTION("""COMPUTED_VALUE"""),"")</f>
        <v/>
      </c>
      <c r="AQ2536" s="2"/>
      <c r="AR2536" s="2"/>
      <c r="AS2536" s="2"/>
      <c r="AT2536" s="2"/>
      <c r="AU2536" s="2"/>
      <c r="AV2536" s="2"/>
      <c r="AW2536" s="2"/>
      <c r="AX2536" s="2"/>
      <c r="AY2536" s="2"/>
      <c r="AZ2536" s="2"/>
      <c r="BA2536" s="2"/>
      <c r="BB2536" s="2"/>
    </row>
    <row r="2537">
      <c r="A2537" s="2"/>
      <c r="B2537" s="2" t="str">
        <f>IFERROR(__xludf.DUMMYFUNCTION("""COMPUTED_VALUE"""),"")</f>
        <v/>
      </c>
      <c r="C2537" s="2"/>
      <c r="D2537" s="71"/>
      <c r="E2537" s="71" t="str">
        <f>IFERROR(__xludf.DUMMYFUNCTION("""COMPUTED_VALUE""")," ")</f>
        <v> </v>
      </c>
      <c r="F2537" s="2"/>
      <c r="G2537" s="2"/>
      <c r="H2537" s="2"/>
      <c r="I2537" s="72"/>
      <c r="J2537" s="72"/>
      <c r="K2537" s="72"/>
      <c r="L2537" s="72"/>
      <c r="M2537" s="2"/>
      <c r="N2537" s="2"/>
      <c r="O2537" s="2"/>
      <c r="P2537" s="2"/>
      <c r="Q2537" s="2"/>
      <c r="R2537" s="2"/>
      <c r="S2537" s="2"/>
      <c r="T2537" s="2"/>
      <c r="U2537" s="2"/>
      <c r="V2537" s="2"/>
      <c r="W2537" s="2"/>
      <c r="X2537" s="2"/>
      <c r="Y2537" s="2"/>
      <c r="Z2537" s="2"/>
      <c r="AA2537" s="2"/>
      <c r="AB2537" s="2"/>
      <c r="AC2537" s="2"/>
      <c r="AD2537" s="2"/>
      <c r="AE2537" s="2"/>
      <c r="AF2537" s="2"/>
      <c r="AG2537" s="2"/>
      <c r="AH2537" s="2"/>
      <c r="AI2537" s="2"/>
      <c r="AJ2537" s="2" t="str">
        <f>IFERROR(__xludf.DUMMYFUNCTION("""COMPUTED_VALUE"""),"")</f>
        <v/>
      </c>
      <c r="AK2537" s="2" t="str">
        <f>IFERROR(__xludf.DUMMYFUNCTION("""COMPUTED_VALUE"""),"")</f>
        <v/>
      </c>
      <c r="AL2537" s="2" t="str">
        <f>IFERROR(__xludf.DUMMYFUNCTION("""COMPUTED_VALUE"""),"")</f>
        <v/>
      </c>
      <c r="AM2537" s="2" t="str">
        <f>IFERROR(__xludf.DUMMYFUNCTION("""COMPUTED_VALUE"""),"")</f>
        <v/>
      </c>
      <c r="AN2537" s="2" t="str">
        <f>IFERROR(__xludf.DUMMYFUNCTION("""COMPUTED_VALUE""")," ")</f>
        <v> </v>
      </c>
      <c r="AO2537" s="2" t="str">
        <f>IFERROR(__xludf.DUMMYFUNCTION("""COMPUTED_VALUE""")," ")</f>
        <v> </v>
      </c>
      <c r="AP2537" s="2" t="str">
        <f>IFERROR(__xludf.DUMMYFUNCTION("""COMPUTED_VALUE"""),"")</f>
        <v/>
      </c>
      <c r="AQ2537" s="2"/>
      <c r="AR2537" s="2"/>
      <c r="AS2537" s="2"/>
      <c r="AT2537" s="2"/>
      <c r="AU2537" s="2"/>
      <c r="AV2537" s="2"/>
      <c r="AW2537" s="2"/>
      <c r="AX2537" s="2"/>
      <c r="AY2537" s="2"/>
      <c r="AZ2537" s="2"/>
      <c r="BA2537" s="2"/>
      <c r="BB2537" s="2"/>
    </row>
    <row r="2538">
      <c r="A2538" s="2"/>
      <c r="B2538" s="2" t="str">
        <f>IFERROR(__xludf.DUMMYFUNCTION("""COMPUTED_VALUE"""),"")</f>
        <v/>
      </c>
      <c r="C2538" s="2"/>
      <c r="D2538" s="71"/>
      <c r="E2538" s="71" t="str">
        <f>IFERROR(__xludf.DUMMYFUNCTION("""COMPUTED_VALUE""")," ")</f>
        <v> </v>
      </c>
      <c r="F2538" s="2"/>
      <c r="G2538" s="2"/>
      <c r="H2538" s="2"/>
      <c r="I2538" s="72"/>
      <c r="J2538" s="72"/>
      <c r="K2538" s="72"/>
      <c r="L2538" s="72"/>
      <c r="M2538" s="2"/>
      <c r="N2538" s="2"/>
      <c r="O2538" s="2"/>
      <c r="P2538" s="2"/>
      <c r="Q2538" s="2"/>
      <c r="R2538" s="2"/>
      <c r="S2538" s="2"/>
      <c r="T2538" s="2"/>
      <c r="U2538" s="2"/>
      <c r="V2538" s="2"/>
      <c r="W2538" s="2"/>
      <c r="X2538" s="2"/>
      <c r="Y2538" s="2"/>
      <c r="Z2538" s="2"/>
      <c r="AA2538" s="2"/>
      <c r="AB2538" s="2"/>
      <c r="AC2538" s="2"/>
      <c r="AD2538" s="2"/>
      <c r="AE2538" s="2"/>
      <c r="AF2538" s="2"/>
      <c r="AG2538" s="2"/>
      <c r="AH2538" s="2"/>
      <c r="AI2538" s="2"/>
      <c r="AJ2538" s="2" t="str">
        <f>IFERROR(__xludf.DUMMYFUNCTION("""COMPUTED_VALUE"""),"")</f>
        <v/>
      </c>
      <c r="AK2538" s="2" t="str">
        <f>IFERROR(__xludf.DUMMYFUNCTION("""COMPUTED_VALUE"""),"")</f>
        <v/>
      </c>
      <c r="AL2538" s="2" t="str">
        <f>IFERROR(__xludf.DUMMYFUNCTION("""COMPUTED_VALUE"""),"")</f>
        <v/>
      </c>
      <c r="AM2538" s="2" t="str">
        <f>IFERROR(__xludf.DUMMYFUNCTION("""COMPUTED_VALUE"""),"")</f>
        <v/>
      </c>
      <c r="AN2538" s="2" t="str">
        <f>IFERROR(__xludf.DUMMYFUNCTION("""COMPUTED_VALUE""")," ")</f>
        <v> </v>
      </c>
      <c r="AO2538" s="2" t="str">
        <f>IFERROR(__xludf.DUMMYFUNCTION("""COMPUTED_VALUE""")," ")</f>
        <v> </v>
      </c>
      <c r="AP2538" s="2" t="str">
        <f>IFERROR(__xludf.DUMMYFUNCTION("""COMPUTED_VALUE"""),"")</f>
        <v/>
      </c>
      <c r="AQ2538" s="2"/>
      <c r="AR2538" s="2"/>
      <c r="AS2538" s="2"/>
      <c r="AT2538" s="2"/>
      <c r="AU2538" s="2"/>
      <c r="AV2538" s="2"/>
      <c r="AW2538" s="2"/>
      <c r="AX2538" s="2"/>
      <c r="AY2538" s="2"/>
      <c r="AZ2538" s="2"/>
      <c r="BA2538" s="2"/>
      <c r="BB2538" s="2"/>
    </row>
    <row r="2539">
      <c r="A2539" s="2"/>
      <c r="B2539" s="2" t="str">
        <f>IFERROR(__xludf.DUMMYFUNCTION("""COMPUTED_VALUE"""),"")</f>
        <v/>
      </c>
      <c r="C2539" s="2"/>
      <c r="D2539" s="71"/>
      <c r="E2539" s="71" t="str">
        <f>IFERROR(__xludf.DUMMYFUNCTION("""COMPUTED_VALUE""")," ")</f>
        <v> </v>
      </c>
      <c r="F2539" s="2"/>
      <c r="G2539" s="2"/>
      <c r="H2539" s="2"/>
      <c r="I2539" s="72"/>
      <c r="J2539" s="72"/>
      <c r="K2539" s="72"/>
      <c r="L2539" s="72"/>
      <c r="M2539" s="2"/>
      <c r="N2539" s="2"/>
      <c r="O2539" s="2"/>
      <c r="P2539" s="2"/>
      <c r="Q2539" s="2"/>
      <c r="R2539" s="2"/>
      <c r="S2539" s="2"/>
      <c r="T2539" s="2"/>
      <c r="U2539" s="2"/>
      <c r="V2539" s="2"/>
      <c r="W2539" s="2"/>
      <c r="X2539" s="2"/>
      <c r="Y2539" s="2"/>
      <c r="Z2539" s="2"/>
      <c r="AA2539" s="2"/>
      <c r="AB2539" s="2"/>
      <c r="AC2539" s="2"/>
      <c r="AD2539" s="2"/>
      <c r="AE2539" s="2"/>
      <c r="AF2539" s="2"/>
      <c r="AG2539" s="2"/>
      <c r="AH2539" s="2"/>
      <c r="AI2539" s="2"/>
      <c r="AJ2539" s="2" t="str">
        <f>IFERROR(__xludf.DUMMYFUNCTION("""COMPUTED_VALUE"""),"")</f>
        <v/>
      </c>
      <c r="AK2539" s="2" t="str">
        <f>IFERROR(__xludf.DUMMYFUNCTION("""COMPUTED_VALUE"""),"")</f>
        <v/>
      </c>
      <c r="AL2539" s="2" t="str">
        <f>IFERROR(__xludf.DUMMYFUNCTION("""COMPUTED_VALUE"""),"")</f>
        <v/>
      </c>
      <c r="AM2539" s="2" t="str">
        <f>IFERROR(__xludf.DUMMYFUNCTION("""COMPUTED_VALUE"""),"")</f>
        <v/>
      </c>
      <c r="AN2539" s="2" t="str">
        <f>IFERROR(__xludf.DUMMYFUNCTION("""COMPUTED_VALUE""")," ")</f>
        <v> </v>
      </c>
      <c r="AO2539" s="2" t="str">
        <f>IFERROR(__xludf.DUMMYFUNCTION("""COMPUTED_VALUE""")," ")</f>
        <v> </v>
      </c>
      <c r="AP2539" s="2" t="str">
        <f>IFERROR(__xludf.DUMMYFUNCTION("""COMPUTED_VALUE"""),"")</f>
        <v/>
      </c>
      <c r="AQ2539" s="2"/>
      <c r="AR2539" s="2"/>
      <c r="AS2539" s="2"/>
      <c r="AT2539" s="2"/>
      <c r="AU2539" s="2"/>
      <c r="AV2539" s="2"/>
      <c r="AW2539" s="2"/>
      <c r="AX2539" s="2"/>
      <c r="AY2539" s="2"/>
      <c r="AZ2539" s="2"/>
      <c r="BA2539" s="2"/>
      <c r="BB2539" s="2"/>
    </row>
    <row r="2540">
      <c r="A2540" s="2"/>
      <c r="B2540" s="2" t="str">
        <f>IFERROR(__xludf.DUMMYFUNCTION("""COMPUTED_VALUE"""),"")</f>
        <v/>
      </c>
      <c r="C2540" s="2"/>
      <c r="D2540" s="71"/>
      <c r="E2540" s="71" t="str">
        <f>IFERROR(__xludf.DUMMYFUNCTION("""COMPUTED_VALUE""")," ")</f>
        <v> </v>
      </c>
      <c r="F2540" s="2"/>
      <c r="G2540" s="2"/>
      <c r="H2540" s="2"/>
      <c r="I2540" s="72"/>
      <c r="J2540" s="72"/>
      <c r="K2540" s="72"/>
      <c r="L2540" s="72"/>
      <c r="M2540" s="2"/>
      <c r="N2540" s="2"/>
      <c r="O2540" s="2"/>
      <c r="P2540" s="2"/>
      <c r="Q2540" s="2"/>
      <c r="R2540" s="2"/>
      <c r="S2540" s="2"/>
      <c r="T2540" s="2"/>
      <c r="U2540" s="2"/>
      <c r="V2540" s="2"/>
      <c r="W2540" s="2"/>
      <c r="X2540" s="2"/>
      <c r="Y2540" s="2"/>
      <c r="Z2540" s="2"/>
      <c r="AA2540" s="2"/>
      <c r="AB2540" s="2"/>
      <c r="AC2540" s="2"/>
      <c r="AD2540" s="2"/>
      <c r="AE2540" s="2"/>
      <c r="AF2540" s="2"/>
      <c r="AG2540" s="2"/>
      <c r="AH2540" s="2"/>
      <c r="AI2540" s="2"/>
      <c r="AJ2540" s="2" t="str">
        <f>IFERROR(__xludf.DUMMYFUNCTION("""COMPUTED_VALUE"""),"")</f>
        <v/>
      </c>
      <c r="AK2540" s="2" t="str">
        <f>IFERROR(__xludf.DUMMYFUNCTION("""COMPUTED_VALUE"""),"")</f>
        <v/>
      </c>
      <c r="AL2540" s="2" t="str">
        <f>IFERROR(__xludf.DUMMYFUNCTION("""COMPUTED_VALUE"""),"")</f>
        <v/>
      </c>
      <c r="AM2540" s="2" t="str">
        <f>IFERROR(__xludf.DUMMYFUNCTION("""COMPUTED_VALUE"""),"")</f>
        <v/>
      </c>
      <c r="AN2540" s="2" t="str">
        <f>IFERROR(__xludf.DUMMYFUNCTION("""COMPUTED_VALUE""")," ")</f>
        <v> </v>
      </c>
      <c r="AO2540" s="2" t="str">
        <f>IFERROR(__xludf.DUMMYFUNCTION("""COMPUTED_VALUE""")," ")</f>
        <v> </v>
      </c>
      <c r="AP2540" s="2" t="str">
        <f>IFERROR(__xludf.DUMMYFUNCTION("""COMPUTED_VALUE"""),"")</f>
        <v/>
      </c>
      <c r="AQ2540" s="2"/>
      <c r="AR2540" s="2"/>
      <c r="AS2540" s="2"/>
      <c r="AT2540" s="2"/>
      <c r="AU2540" s="2"/>
      <c r="AV2540" s="2"/>
      <c r="AW2540" s="2"/>
      <c r="AX2540" s="2"/>
      <c r="AY2540" s="2"/>
      <c r="AZ2540" s="2"/>
      <c r="BA2540" s="2"/>
      <c r="BB2540" s="2"/>
    </row>
    <row r="2541">
      <c r="A2541" s="2"/>
      <c r="B2541" s="2" t="str">
        <f>IFERROR(__xludf.DUMMYFUNCTION("""COMPUTED_VALUE"""),"")</f>
        <v/>
      </c>
      <c r="C2541" s="2"/>
      <c r="D2541" s="71"/>
      <c r="E2541" s="71" t="str">
        <f>IFERROR(__xludf.DUMMYFUNCTION("""COMPUTED_VALUE""")," ")</f>
        <v> </v>
      </c>
      <c r="F2541" s="2"/>
      <c r="G2541" s="2"/>
      <c r="H2541" s="2"/>
      <c r="I2541" s="72"/>
      <c r="J2541" s="72"/>
      <c r="K2541" s="72"/>
      <c r="L2541" s="72"/>
      <c r="M2541" s="2"/>
      <c r="N2541" s="2"/>
      <c r="O2541" s="2"/>
      <c r="P2541" s="2"/>
      <c r="Q2541" s="2"/>
      <c r="R2541" s="2"/>
      <c r="S2541" s="2"/>
      <c r="T2541" s="2"/>
      <c r="U2541" s="2"/>
      <c r="V2541" s="2"/>
      <c r="W2541" s="2"/>
      <c r="X2541" s="2"/>
      <c r="Y2541" s="2"/>
      <c r="Z2541" s="2"/>
      <c r="AA2541" s="2"/>
      <c r="AB2541" s="2"/>
      <c r="AC2541" s="2"/>
      <c r="AD2541" s="2"/>
      <c r="AE2541" s="2"/>
      <c r="AF2541" s="2"/>
      <c r="AG2541" s="2"/>
      <c r="AH2541" s="2"/>
      <c r="AI2541" s="2"/>
      <c r="AJ2541" s="2" t="str">
        <f>IFERROR(__xludf.DUMMYFUNCTION("""COMPUTED_VALUE"""),"")</f>
        <v/>
      </c>
      <c r="AK2541" s="2" t="str">
        <f>IFERROR(__xludf.DUMMYFUNCTION("""COMPUTED_VALUE"""),"")</f>
        <v/>
      </c>
      <c r="AL2541" s="2" t="str">
        <f>IFERROR(__xludf.DUMMYFUNCTION("""COMPUTED_VALUE"""),"")</f>
        <v/>
      </c>
      <c r="AM2541" s="2" t="str">
        <f>IFERROR(__xludf.DUMMYFUNCTION("""COMPUTED_VALUE"""),"")</f>
        <v/>
      </c>
      <c r="AN2541" s="2" t="str">
        <f>IFERROR(__xludf.DUMMYFUNCTION("""COMPUTED_VALUE""")," ")</f>
        <v> </v>
      </c>
      <c r="AO2541" s="2" t="str">
        <f>IFERROR(__xludf.DUMMYFUNCTION("""COMPUTED_VALUE""")," ")</f>
        <v> </v>
      </c>
      <c r="AP2541" s="2" t="str">
        <f>IFERROR(__xludf.DUMMYFUNCTION("""COMPUTED_VALUE"""),"")</f>
        <v/>
      </c>
      <c r="AQ2541" s="2"/>
      <c r="AR2541" s="2"/>
      <c r="AS2541" s="2"/>
      <c r="AT2541" s="2"/>
      <c r="AU2541" s="2"/>
      <c r="AV2541" s="2"/>
      <c r="AW2541" s="2"/>
      <c r="AX2541" s="2"/>
      <c r="AY2541" s="2"/>
      <c r="AZ2541" s="2"/>
      <c r="BA2541" s="2"/>
      <c r="BB2541" s="2"/>
    </row>
    <row r="2542">
      <c r="A2542" s="2"/>
      <c r="B2542" s="2" t="str">
        <f>IFERROR(__xludf.DUMMYFUNCTION("""COMPUTED_VALUE"""),"")</f>
        <v/>
      </c>
      <c r="C2542" s="2"/>
      <c r="D2542" s="71"/>
      <c r="E2542" s="71" t="str">
        <f>IFERROR(__xludf.DUMMYFUNCTION("""COMPUTED_VALUE""")," ")</f>
        <v> </v>
      </c>
      <c r="F2542" s="2"/>
      <c r="G2542" s="2"/>
      <c r="H2542" s="2"/>
      <c r="I2542" s="72"/>
      <c r="J2542" s="72"/>
      <c r="K2542" s="72"/>
      <c r="L2542" s="72"/>
      <c r="M2542" s="2"/>
      <c r="N2542" s="2"/>
      <c r="O2542" s="2"/>
      <c r="P2542" s="2"/>
      <c r="Q2542" s="2"/>
      <c r="R2542" s="2"/>
      <c r="S2542" s="2"/>
      <c r="T2542" s="2"/>
      <c r="U2542" s="2"/>
      <c r="V2542" s="2"/>
      <c r="W2542" s="2"/>
      <c r="X2542" s="2"/>
      <c r="Y2542" s="2"/>
      <c r="Z2542" s="2"/>
      <c r="AA2542" s="2"/>
      <c r="AB2542" s="2"/>
      <c r="AC2542" s="2"/>
      <c r="AD2542" s="2"/>
      <c r="AE2542" s="2"/>
      <c r="AF2542" s="2"/>
      <c r="AG2542" s="2"/>
      <c r="AH2542" s="2"/>
      <c r="AI2542" s="2"/>
      <c r="AJ2542" s="2" t="str">
        <f>IFERROR(__xludf.DUMMYFUNCTION("""COMPUTED_VALUE"""),"")</f>
        <v/>
      </c>
      <c r="AK2542" s="2" t="str">
        <f>IFERROR(__xludf.DUMMYFUNCTION("""COMPUTED_VALUE"""),"")</f>
        <v/>
      </c>
      <c r="AL2542" s="2" t="str">
        <f>IFERROR(__xludf.DUMMYFUNCTION("""COMPUTED_VALUE"""),"")</f>
        <v/>
      </c>
      <c r="AM2542" s="2" t="str">
        <f>IFERROR(__xludf.DUMMYFUNCTION("""COMPUTED_VALUE"""),"")</f>
        <v/>
      </c>
      <c r="AN2542" s="2" t="str">
        <f>IFERROR(__xludf.DUMMYFUNCTION("""COMPUTED_VALUE""")," ")</f>
        <v> </v>
      </c>
      <c r="AO2542" s="2" t="str">
        <f>IFERROR(__xludf.DUMMYFUNCTION("""COMPUTED_VALUE""")," ")</f>
        <v> </v>
      </c>
      <c r="AP2542" s="2" t="str">
        <f>IFERROR(__xludf.DUMMYFUNCTION("""COMPUTED_VALUE"""),"")</f>
        <v/>
      </c>
      <c r="AQ2542" s="2"/>
      <c r="AR2542" s="2"/>
      <c r="AS2542" s="2"/>
      <c r="AT2542" s="2"/>
      <c r="AU2542" s="2"/>
      <c r="AV2542" s="2"/>
      <c r="AW2542" s="2"/>
      <c r="AX2542" s="2"/>
      <c r="AY2542" s="2"/>
      <c r="AZ2542" s="2"/>
      <c r="BA2542" s="2"/>
      <c r="BB2542" s="2"/>
    </row>
    <row r="2543">
      <c r="A2543" s="2"/>
      <c r="B2543" s="2" t="str">
        <f>IFERROR(__xludf.DUMMYFUNCTION("""COMPUTED_VALUE"""),"")</f>
        <v/>
      </c>
      <c r="C2543" s="2"/>
      <c r="D2543" s="71"/>
      <c r="E2543" s="71" t="str">
        <f>IFERROR(__xludf.DUMMYFUNCTION("""COMPUTED_VALUE""")," ")</f>
        <v> </v>
      </c>
      <c r="F2543" s="2"/>
      <c r="G2543" s="2"/>
      <c r="H2543" s="2"/>
      <c r="I2543" s="72"/>
      <c r="J2543" s="72"/>
      <c r="K2543" s="72"/>
      <c r="L2543" s="72"/>
      <c r="M2543" s="2"/>
      <c r="N2543" s="2"/>
      <c r="O2543" s="2"/>
      <c r="P2543" s="2"/>
      <c r="Q2543" s="2"/>
      <c r="R2543" s="2"/>
      <c r="S2543" s="2"/>
      <c r="T2543" s="2"/>
      <c r="U2543" s="2"/>
      <c r="V2543" s="2"/>
      <c r="W2543" s="2"/>
      <c r="X2543" s="2"/>
      <c r="Y2543" s="2"/>
      <c r="Z2543" s="2"/>
      <c r="AA2543" s="2"/>
      <c r="AB2543" s="2"/>
      <c r="AC2543" s="2"/>
      <c r="AD2543" s="2"/>
      <c r="AE2543" s="2"/>
      <c r="AF2543" s="2"/>
      <c r="AG2543" s="2"/>
      <c r="AH2543" s="2"/>
      <c r="AI2543" s="2"/>
      <c r="AJ2543" s="2" t="str">
        <f>IFERROR(__xludf.DUMMYFUNCTION("""COMPUTED_VALUE"""),"")</f>
        <v/>
      </c>
      <c r="AK2543" s="2" t="str">
        <f>IFERROR(__xludf.DUMMYFUNCTION("""COMPUTED_VALUE"""),"")</f>
        <v/>
      </c>
      <c r="AL2543" s="2" t="str">
        <f>IFERROR(__xludf.DUMMYFUNCTION("""COMPUTED_VALUE"""),"")</f>
        <v/>
      </c>
      <c r="AM2543" s="2" t="str">
        <f>IFERROR(__xludf.DUMMYFUNCTION("""COMPUTED_VALUE"""),"")</f>
        <v/>
      </c>
      <c r="AN2543" s="2" t="str">
        <f>IFERROR(__xludf.DUMMYFUNCTION("""COMPUTED_VALUE""")," ")</f>
        <v> </v>
      </c>
      <c r="AO2543" s="2" t="str">
        <f>IFERROR(__xludf.DUMMYFUNCTION("""COMPUTED_VALUE""")," ")</f>
        <v> </v>
      </c>
      <c r="AP2543" s="2" t="str">
        <f>IFERROR(__xludf.DUMMYFUNCTION("""COMPUTED_VALUE"""),"")</f>
        <v/>
      </c>
      <c r="AQ2543" s="2"/>
      <c r="AR2543" s="2"/>
      <c r="AS2543" s="2"/>
      <c r="AT2543" s="2"/>
      <c r="AU2543" s="2"/>
      <c r="AV2543" s="2"/>
      <c r="AW2543" s="2"/>
      <c r="AX2543" s="2"/>
      <c r="AY2543" s="2"/>
      <c r="AZ2543" s="2"/>
      <c r="BA2543" s="2"/>
      <c r="BB2543" s="2"/>
    </row>
    <row r="2544">
      <c r="A2544" s="2"/>
      <c r="B2544" s="2" t="str">
        <f>IFERROR(__xludf.DUMMYFUNCTION("""COMPUTED_VALUE"""),"")</f>
        <v/>
      </c>
      <c r="C2544" s="2"/>
      <c r="D2544" s="71"/>
      <c r="E2544" s="71" t="str">
        <f>IFERROR(__xludf.DUMMYFUNCTION("""COMPUTED_VALUE""")," ")</f>
        <v> </v>
      </c>
      <c r="F2544" s="2"/>
      <c r="G2544" s="2"/>
      <c r="H2544" s="2"/>
      <c r="I2544" s="72"/>
      <c r="J2544" s="72"/>
      <c r="K2544" s="72"/>
      <c r="L2544" s="72"/>
      <c r="M2544" s="2"/>
      <c r="N2544" s="2"/>
      <c r="O2544" s="2"/>
      <c r="P2544" s="2"/>
      <c r="Q2544" s="2"/>
      <c r="R2544" s="2"/>
      <c r="S2544" s="2"/>
      <c r="T2544" s="2"/>
      <c r="U2544" s="2"/>
      <c r="V2544" s="2"/>
      <c r="W2544" s="2"/>
      <c r="X2544" s="2"/>
      <c r="Y2544" s="2"/>
      <c r="Z2544" s="2"/>
      <c r="AA2544" s="2"/>
      <c r="AB2544" s="2"/>
      <c r="AC2544" s="2"/>
      <c r="AD2544" s="2"/>
      <c r="AE2544" s="2"/>
      <c r="AF2544" s="2"/>
      <c r="AG2544" s="2"/>
      <c r="AH2544" s="2"/>
      <c r="AI2544" s="2"/>
      <c r="AJ2544" s="2" t="str">
        <f>IFERROR(__xludf.DUMMYFUNCTION("""COMPUTED_VALUE"""),"")</f>
        <v/>
      </c>
      <c r="AK2544" s="2" t="str">
        <f>IFERROR(__xludf.DUMMYFUNCTION("""COMPUTED_VALUE"""),"")</f>
        <v/>
      </c>
      <c r="AL2544" s="2" t="str">
        <f>IFERROR(__xludf.DUMMYFUNCTION("""COMPUTED_VALUE"""),"")</f>
        <v/>
      </c>
      <c r="AM2544" s="2" t="str">
        <f>IFERROR(__xludf.DUMMYFUNCTION("""COMPUTED_VALUE"""),"")</f>
        <v/>
      </c>
      <c r="AN2544" s="2" t="str">
        <f>IFERROR(__xludf.DUMMYFUNCTION("""COMPUTED_VALUE""")," ")</f>
        <v> </v>
      </c>
      <c r="AO2544" s="2" t="str">
        <f>IFERROR(__xludf.DUMMYFUNCTION("""COMPUTED_VALUE""")," ")</f>
        <v> </v>
      </c>
      <c r="AP2544" s="2" t="str">
        <f>IFERROR(__xludf.DUMMYFUNCTION("""COMPUTED_VALUE"""),"")</f>
        <v/>
      </c>
      <c r="AQ2544" s="2"/>
      <c r="AR2544" s="2"/>
      <c r="AS2544" s="2"/>
      <c r="AT2544" s="2"/>
      <c r="AU2544" s="2"/>
      <c r="AV2544" s="2"/>
      <c r="AW2544" s="2"/>
      <c r="AX2544" s="2"/>
      <c r="AY2544" s="2"/>
      <c r="AZ2544" s="2"/>
      <c r="BA2544" s="2"/>
      <c r="BB2544" s="2"/>
    </row>
    <row r="2545">
      <c r="A2545" s="2"/>
      <c r="B2545" s="2" t="str">
        <f>IFERROR(__xludf.DUMMYFUNCTION("""COMPUTED_VALUE"""),"")</f>
        <v/>
      </c>
      <c r="C2545" s="2"/>
      <c r="D2545" s="71"/>
      <c r="E2545" s="71" t="str">
        <f>IFERROR(__xludf.DUMMYFUNCTION("""COMPUTED_VALUE""")," ")</f>
        <v> </v>
      </c>
      <c r="F2545" s="2"/>
      <c r="G2545" s="2"/>
      <c r="H2545" s="2"/>
      <c r="I2545" s="72"/>
      <c r="J2545" s="72"/>
      <c r="K2545" s="72"/>
      <c r="L2545" s="72"/>
      <c r="M2545" s="2"/>
      <c r="N2545" s="2"/>
      <c r="O2545" s="2"/>
      <c r="P2545" s="2"/>
      <c r="Q2545" s="2"/>
      <c r="R2545" s="2"/>
      <c r="S2545" s="2"/>
      <c r="T2545" s="2"/>
      <c r="U2545" s="2"/>
      <c r="V2545" s="2"/>
      <c r="W2545" s="2"/>
      <c r="X2545" s="2"/>
      <c r="Y2545" s="2"/>
      <c r="Z2545" s="2"/>
      <c r="AA2545" s="2"/>
      <c r="AB2545" s="2"/>
      <c r="AC2545" s="2"/>
      <c r="AD2545" s="2"/>
      <c r="AE2545" s="2"/>
      <c r="AF2545" s="2"/>
      <c r="AG2545" s="2"/>
      <c r="AH2545" s="2"/>
      <c r="AI2545" s="2"/>
      <c r="AJ2545" s="2" t="str">
        <f>IFERROR(__xludf.DUMMYFUNCTION("""COMPUTED_VALUE"""),"")</f>
        <v/>
      </c>
      <c r="AK2545" s="2" t="str">
        <f>IFERROR(__xludf.DUMMYFUNCTION("""COMPUTED_VALUE"""),"")</f>
        <v/>
      </c>
      <c r="AL2545" s="2" t="str">
        <f>IFERROR(__xludf.DUMMYFUNCTION("""COMPUTED_VALUE"""),"")</f>
        <v/>
      </c>
      <c r="AM2545" s="2" t="str">
        <f>IFERROR(__xludf.DUMMYFUNCTION("""COMPUTED_VALUE"""),"")</f>
        <v/>
      </c>
      <c r="AN2545" s="2" t="str">
        <f>IFERROR(__xludf.DUMMYFUNCTION("""COMPUTED_VALUE""")," ")</f>
        <v> </v>
      </c>
      <c r="AO2545" s="2" t="str">
        <f>IFERROR(__xludf.DUMMYFUNCTION("""COMPUTED_VALUE""")," ")</f>
        <v> </v>
      </c>
      <c r="AP2545" s="2" t="str">
        <f>IFERROR(__xludf.DUMMYFUNCTION("""COMPUTED_VALUE"""),"")</f>
        <v/>
      </c>
      <c r="AQ2545" s="2"/>
      <c r="AR2545" s="2"/>
      <c r="AS2545" s="2"/>
      <c r="AT2545" s="2"/>
      <c r="AU2545" s="2"/>
      <c r="AV2545" s="2"/>
      <c r="AW2545" s="2"/>
      <c r="AX2545" s="2"/>
      <c r="AY2545" s="2"/>
      <c r="AZ2545" s="2"/>
      <c r="BA2545" s="2"/>
      <c r="BB2545" s="2"/>
    </row>
    <row r="2546">
      <c r="A2546" s="2"/>
      <c r="B2546" s="2" t="str">
        <f>IFERROR(__xludf.DUMMYFUNCTION("""COMPUTED_VALUE"""),"")</f>
        <v/>
      </c>
      <c r="C2546" s="2"/>
      <c r="D2546" s="71"/>
      <c r="E2546" s="71" t="str">
        <f>IFERROR(__xludf.DUMMYFUNCTION("""COMPUTED_VALUE""")," ")</f>
        <v> </v>
      </c>
      <c r="F2546" s="2"/>
      <c r="G2546" s="2"/>
      <c r="H2546" s="2"/>
      <c r="I2546" s="72"/>
      <c r="J2546" s="72"/>
      <c r="K2546" s="72"/>
      <c r="L2546" s="72"/>
      <c r="M2546" s="2"/>
      <c r="N2546" s="2"/>
      <c r="O2546" s="2"/>
      <c r="P2546" s="2"/>
      <c r="Q2546" s="2"/>
      <c r="R2546" s="2"/>
      <c r="S2546" s="2"/>
      <c r="T2546" s="2"/>
      <c r="U2546" s="2"/>
      <c r="V2546" s="2"/>
      <c r="W2546" s="2"/>
      <c r="X2546" s="2"/>
      <c r="Y2546" s="2"/>
      <c r="Z2546" s="2"/>
      <c r="AA2546" s="2"/>
      <c r="AB2546" s="2"/>
      <c r="AC2546" s="2"/>
      <c r="AD2546" s="2"/>
      <c r="AE2546" s="2"/>
      <c r="AF2546" s="2"/>
      <c r="AG2546" s="2"/>
      <c r="AH2546" s="2"/>
      <c r="AI2546" s="2"/>
      <c r="AJ2546" s="2" t="str">
        <f>IFERROR(__xludf.DUMMYFUNCTION("""COMPUTED_VALUE"""),"")</f>
        <v/>
      </c>
      <c r="AK2546" s="2" t="str">
        <f>IFERROR(__xludf.DUMMYFUNCTION("""COMPUTED_VALUE"""),"")</f>
        <v/>
      </c>
      <c r="AL2546" s="2" t="str">
        <f>IFERROR(__xludf.DUMMYFUNCTION("""COMPUTED_VALUE"""),"")</f>
        <v/>
      </c>
      <c r="AM2546" s="2" t="str">
        <f>IFERROR(__xludf.DUMMYFUNCTION("""COMPUTED_VALUE"""),"")</f>
        <v/>
      </c>
      <c r="AN2546" s="2" t="str">
        <f>IFERROR(__xludf.DUMMYFUNCTION("""COMPUTED_VALUE""")," ")</f>
        <v> </v>
      </c>
      <c r="AO2546" s="2" t="str">
        <f>IFERROR(__xludf.DUMMYFUNCTION("""COMPUTED_VALUE""")," ")</f>
        <v> </v>
      </c>
      <c r="AP2546" s="2" t="str">
        <f>IFERROR(__xludf.DUMMYFUNCTION("""COMPUTED_VALUE"""),"")</f>
        <v/>
      </c>
      <c r="AQ2546" s="2"/>
      <c r="AR2546" s="2"/>
      <c r="AS2546" s="2"/>
      <c r="AT2546" s="2"/>
      <c r="AU2546" s="2"/>
      <c r="AV2546" s="2"/>
      <c r="AW2546" s="2"/>
      <c r="AX2546" s="2"/>
      <c r="AY2546" s="2"/>
      <c r="AZ2546" s="2"/>
      <c r="BA2546" s="2"/>
      <c r="BB2546" s="2"/>
    </row>
    <row r="2547">
      <c r="A2547" s="2"/>
      <c r="B2547" s="2" t="str">
        <f>IFERROR(__xludf.DUMMYFUNCTION("""COMPUTED_VALUE"""),"")</f>
        <v/>
      </c>
      <c r="C2547" s="2"/>
      <c r="D2547" s="71"/>
      <c r="E2547" s="71" t="str">
        <f>IFERROR(__xludf.DUMMYFUNCTION("""COMPUTED_VALUE""")," ")</f>
        <v> </v>
      </c>
      <c r="F2547" s="2"/>
      <c r="G2547" s="2"/>
      <c r="H2547" s="2"/>
      <c r="I2547" s="72"/>
      <c r="J2547" s="72"/>
      <c r="K2547" s="72"/>
      <c r="L2547" s="72"/>
      <c r="M2547" s="2"/>
      <c r="N2547" s="2"/>
      <c r="O2547" s="2"/>
      <c r="P2547" s="2"/>
      <c r="Q2547" s="2"/>
      <c r="R2547" s="2"/>
      <c r="S2547" s="2"/>
      <c r="T2547" s="2"/>
      <c r="U2547" s="2"/>
      <c r="V2547" s="2"/>
      <c r="W2547" s="2"/>
      <c r="X2547" s="2"/>
      <c r="Y2547" s="2"/>
      <c r="Z2547" s="2"/>
      <c r="AA2547" s="2"/>
      <c r="AB2547" s="2"/>
      <c r="AC2547" s="2"/>
      <c r="AD2547" s="2"/>
      <c r="AE2547" s="2"/>
      <c r="AF2547" s="2"/>
      <c r="AG2547" s="2"/>
      <c r="AH2547" s="2"/>
      <c r="AI2547" s="2"/>
      <c r="AJ2547" s="2" t="str">
        <f>IFERROR(__xludf.DUMMYFUNCTION("""COMPUTED_VALUE"""),"")</f>
        <v/>
      </c>
      <c r="AK2547" s="2" t="str">
        <f>IFERROR(__xludf.DUMMYFUNCTION("""COMPUTED_VALUE"""),"")</f>
        <v/>
      </c>
      <c r="AL2547" s="2" t="str">
        <f>IFERROR(__xludf.DUMMYFUNCTION("""COMPUTED_VALUE"""),"")</f>
        <v/>
      </c>
      <c r="AM2547" s="2" t="str">
        <f>IFERROR(__xludf.DUMMYFUNCTION("""COMPUTED_VALUE"""),"")</f>
        <v/>
      </c>
      <c r="AN2547" s="2" t="str">
        <f>IFERROR(__xludf.DUMMYFUNCTION("""COMPUTED_VALUE""")," ")</f>
        <v> </v>
      </c>
      <c r="AO2547" s="2" t="str">
        <f>IFERROR(__xludf.DUMMYFUNCTION("""COMPUTED_VALUE""")," ")</f>
        <v> </v>
      </c>
      <c r="AP2547" s="2" t="str">
        <f>IFERROR(__xludf.DUMMYFUNCTION("""COMPUTED_VALUE"""),"")</f>
        <v/>
      </c>
      <c r="AQ2547" s="2"/>
      <c r="AR2547" s="2"/>
      <c r="AS2547" s="2"/>
      <c r="AT2547" s="2"/>
      <c r="AU2547" s="2"/>
      <c r="AV2547" s="2"/>
      <c r="AW2547" s="2"/>
      <c r="AX2547" s="2"/>
      <c r="AY2547" s="2"/>
      <c r="AZ2547" s="2"/>
      <c r="BA2547" s="2"/>
      <c r="BB2547" s="2"/>
    </row>
    <row r="2548">
      <c r="A2548" s="2"/>
      <c r="B2548" s="2" t="str">
        <f>IFERROR(__xludf.DUMMYFUNCTION("""COMPUTED_VALUE"""),"")</f>
        <v/>
      </c>
      <c r="C2548" s="2"/>
      <c r="D2548" s="71"/>
      <c r="E2548" s="71" t="str">
        <f>IFERROR(__xludf.DUMMYFUNCTION("""COMPUTED_VALUE""")," ")</f>
        <v> </v>
      </c>
      <c r="F2548" s="2"/>
      <c r="G2548" s="2"/>
      <c r="H2548" s="2"/>
      <c r="I2548" s="72"/>
      <c r="J2548" s="72"/>
      <c r="K2548" s="72"/>
      <c r="L2548" s="72"/>
      <c r="M2548" s="2"/>
      <c r="N2548" s="2"/>
      <c r="O2548" s="2"/>
      <c r="P2548" s="2"/>
      <c r="Q2548" s="2"/>
      <c r="R2548" s="2"/>
      <c r="S2548" s="2"/>
      <c r="T2548" s="2"/>
      <c r="U2548" s="2"/>
      <c r="V2548" s="2"/>
      <c r="W2548" s="2"/>
      <c r="X2548" s="2"/>
      <c r="Y2548" s="2"/>
      <c r="Z2548" s="2"/>
      <c r="AA2548" s="2"/>
      <c r="AB2548" s="2"/>
      <c r="AC2548" s="2"/>
      <c r="AD2548" s="2"/>
      <c r="AE2548" s="2"/>
      <c r="AF2548" s="2"/>
      <c r="AG2548" s="2"/>
      <c r="AH2548" s="2"/>
      <c r="AI2548" s="2"/>
      <c r="AJ2548" s="2" t="str">
        <f>IFERROR(__xludf.DUMMYFUNCTION("""COMPUTED_VALUE"""),"")</f>
        <v/>
      </c>
      <c r="AK2548" s="2" t="str">
        <f>IFERROR(__xludf.DUMMYFUNCTION("""COMPUTED_VALUE"""),"")</f>
        <v/>
      </c>
      <c r="AL2548" s="2" t="str">
        <f>IFERROR(__xludf.DUMMYFUNCTION("""COMPUTED_VALUE"""),"")</f>
        <v/>
      </c>
      <c r="AM2548" s="2" t="str">
        <f>IFERROR(__xludf.DUMMYFUNCTION("""COMPUTED_VALUE"""),"")</f>
        <v/>
      </c>
      <c r="AN2548" s="2" t="str">
        <f>IFERROR(__xludf.DUMMYFUNCTION("""COMPUTED_VALUE""")," ")</f>
        <v> </v>
      </c>
      <c r="AO2548" s="2" t="str">
        <f>IFERROR(__xludf.DUMMYFUNCTION("""COMPUTED_VALUE""")," ")</f>
        <v> </v>
      </c>
      <c r="AP2548" s="2" t="str">
        <f>IFERROR(__xludf.DUMMYFUNCTION("""COMPUTED_VALUE"""),"")</f>
        <v/>
      </c>
      <c r="AQ2548" s="2"/>
      <c r="AR2548" s="2"/>
      <c r="AS2548" s="2"/>
      <c r="AT2548" s="2"/>
      <c r="AU2548" s="2"/>
      <c r="AV2548" s="2"/>
      <c r="AW2548" s="2"/>
      <c r="AX2548" s="2"/>
      <c r="AY2548" s="2"/>
      <c r="AZ2548" s="2"/>
      <c r="BA2548" s="2"/>
      <c r="BB2548" s="2"/>
    </row>
    <row r="2549">
      <c r="A2549" s="2"/>
      <c r="B2549" s="2" t="str">
        <f>IFERROR(__xludf.DUMMYFUNCTION("""COMPUTED_VALUE"""),"")</f>
        <v/>
      </c>
      <c r="C2549" s="2"/>
      <c r="D2549" s="71"/>
      <c r="E2549" s="71" t="str">
        <f>IFERROR(__xludf.DUMMYFUNCTION("""COMPUTED_VALUE""")," ")</f>
        <v> </v>
      </c>
      <c r="F2549" s="2"/>
      <c r="G2549" s="2"/>
      <c r="H2549" s="2"/>
      <c r="I2549" s="72"/>
      <c r="J2549" s="72"/>
      <c r="K2549" s="72"/>
      <c r="L2549" s="72"/>
      <c r="M2549" s="2"/>
      <c r="N2549" s="2"/>
      <c r="O2549" s="2"/>
      <c r="P2549" s="2"/>
      <c r="Q2549" s="2"/>
      <c r="R2549" s="2"/>
      <c r="S2549" s="2"/>
      <c r="T2549" s="2"/>
      <c r="U2549" s="2"/>
      <c r="V2549" s="2"/>
      <c r="W2549" s="2"/>
      <c r="X2549" s="2"/>
      <c r="Y2549" s="2"/>
      <c r="Z2549" s="2"/>
      <c r="AA2549" s="2"/>
      <c r="AB2549" s="2"/>
      <c r="AC2549" s="2"/>
      <c r="AD2549" s="2"/>
      <c r="AE2549" s="2"/>
      <c r="AF2549" s="2"/>
      <c r="AG2549" s="2"/>
      <c r="AH2549" s="2"/>
      <c r="AI2549" s="2"/>
      <c r="AJ2549" s="2" t="str">
        <f>IFERROR(__xludf.DUMMYFUNCTION("""COMPUTED_VALUE"""),"")</f>
        <v/>
      </c>
      <c r="AK2549" s="2" t="str">
        <f>IFERROR(__xludf.DUMMYFUNCTION("""COMPUTED_VALUE"""),"")</f>
        <v/>
      </c>
      <c r="AL2549" s="2" t="str">
        <f>IFERROR(__xludf.DUMMYFUNCTION("""COMPUTED_VALUE"""),"")</f>
        <v/>
      </c>
      <c r="AM2549" s="2" t="str">
        <f>IFERROR(__xludf.DUMMYFUNCTION("""COMPUTED_VALUE"""),"")</f>
        <v/>
      </c>
      <c r="AN2549" s="2" t="str">
        <f>IFERROR(__xludf.DUMMYFUNCTION("""COMPUTED_VALUE""")," ")</f>
        <v> </v>
      </c>
      <c r="AO2549" s="2" t="str">
        <f>IFERROR(__xludf.DUMMYFUNCTION("""COMPUTED_VALUE""")," ")</f>
        <v> </v>
      </c>
      <c r="AP2549" s="2" t="str">
        <f>IFERROR(__xludf.DUMMYFUNCTION("""COMPUTED_VALUE"""),"")</f>
        <v/>
      </c>
      <c r="AQ2549" s="2"/>
      <c r="AR2549" s="2"/>
      <c r="AS2549" s="2"/>
      <c r="AT2549" s="2"/>
      <c r="AU2549" s="2"/>
      <c r="AV2549" s="2"/>
      <c r="AW2549" s="2"/>
      <c r="AX2549" s="2"/>
      <c r="AY2549" s="2"/>
      <c r="AZ2549" s="2"/>
      <c r="BA2549" s="2"/>
      <c r="BB2549" s="2"/>
    </row>
    <row r="2550">
      <c r="A2550" s="2"/>
      <c r="B2550" s="2" t="str">
        <f>IFERROR(__xludf.DUMMYFUNCTION("""COMPUTED_VALUE"""),"")</f>
        <v/>
      </c>
      <c r="C2550" s="2"/>
      <c r="D2550" s="71"/>
      <c r="E2550" s="71" t="str">
        <f>IFERROR(__xludf.DUMMYFUNCTION("""COMPUTED_VALUE""")," ")</f>
        <v> </v>
      </c>
      <c r="F2550" s="2"/>
      <c r="G2550" s="2"/>
      <c r="H2550" s="2"/>
      <c r="I2550" s="72"/>
      <c r="J2550" s="72"/>
      <c r="K2550" s="72"/>
      <c r="L2550" s="72"/>
      <c r="M2550" s="2"/>
      <c r="N2550" s="2"/>
      <c r="O2550" s="2"/>
      <c r="P2550" s="2"/>
      <c r="Q2550" s="2"/>
      <c r="R2550" s="2"/>
      <c r="S2550" s="2"/>
      <c r="T2550" s="2"/>
      <c r="U2550" s="2"/>
      <c r="V2550" s="2"/>
      <c r="W2550" s="2"/>
      <c r="X2550" s="2"/>
      <c r="Y2550" s="2"/>
      <c r="Z2550" s="2"/>
      <c r="AA2550" s="2"/>
      <c r="AB2550" s="2"/>
      <c r="AC2550" s="2"/>
      <c r="AD2550" s="2"/>
      <c r="AE2550" s="2"/>
      <c r="AF2550" s="2"/>
      <c r="AG2550" s="2"/>
      <c r="AH2550" s="2"/>
      <c r="AI2550" s="2"/>
      <c r="AJ2550" s="2" t="str">
        <f>IFERROR(__xludf.DUMMYFUNCTION("""COMPUTED_VALUE"""),"")</f>
        <v/>
      </c>
      <c r="AK2550" s="2" t="str">
        <f>IFERROR(__xludf.DUMMYFUNCTION("""COMPUTED_VALUE"""),"")</f>
        <v/>
      </c>
      <c r="AL2550" s="2" t="str">
        <f>IFERROR(__xludf.DUMMYFUNCTION("""COMPUTED_VALUE"""),"")</f>
        <v/>
      </c>
      <c r="AM2550" s="2" t="str">
        <f>IFERROR(__xludf.DUMMYFUNCTION("""COMPUTED_VALUE"""),"")</f>
        <v/>
      </c>
      <c r="AN2550" s="2" t="str">
        <f>IFERROR(__xludf.DUMMYFUNCTION("""COMPUTED_VALUE""")," ")</f>
        <v> </v>
      </c>
      <c r="AO2550" s="2" t="str">
        <f>IFERROR(__xludf.DUMMYFUNCTION("""COMPUTED_VALUE""")," ")</f>
        <v> </v>
      </c>
      <c r="AP2550" s="2" t="str">
        <f>IFERROR(__xludf.DUMMYFUNCTION("""COMPUTED_VALUE"""),"")</f>
        <v/>
      </c>
      <c r="AQ2550" s="2"/>
      <c r="AR2550" s="2"/>
      <c r="AS2550" s="2"/>
      <c r="AT2550" s="2"/>
      <c r="AU2550" s="2"/>
      <c r="AV2550" s="2"/>
      <c r="AW2550" s="2"/>
      <c r="AX2550" s="2"/>
      <c r="AY2550" s="2"/>
      <c r="AZ2550" s="2"/>
      <c r="BA2550" s="2"/>
      <c r="BB2550" s="2"/>
    </row>
    <row r="2551">
      <c r="A2551" s="2"/>
      <c r="B2551" s="2" t="str">
        <f>IFERROR(__xludf.DUMMYFUNCTION("""COMPUTED_VALUE"""),"")</f>
        <v/>
      </c>
      <c r="C2551" s="2"/>
      <c r="D2551" s="71"/>
      <c r="E2551" s="71" t="str">
        <f>IFERROR(__xludf.DUMMYFUNCTION("""COMPUTED_VALUE""")," ")</f>
        <v> </v>
      </c>
      <c r="F2551" s="2"/>
      <c r="G2551" s="2"/>
      <c r="H2551" s="2"/>
      <c r="I2551" s="72"/>
      <c r="J2551" s="72"/>
      <c r="K2551" s="72"/>
      <c r="L2551" s="72"/>
      <c r="M2551" s="2"/>
      <c r="N2551" s="2"/>
      <c r="O2551" s="2"/>
      <c r="P2551" s="2"/>
      <c r="Q2551" s="2"/>
      <c r="R2551" s="2"/>
      <c r="S2551" s="2"/>
      <c r="T2551" s="2"/>
      <c r="U2551" s="2"/>
      <c r="V2551" s="2"/>
      <c r="W2551" s="2"/>
      <c r="X2551" s="2"/>
      <c r="Y2551" s="2"/>
      <c r="Z2551" s="2"/>
      <c r="AA2551" s="2"/>
      <c r="AB2551" s="2"/>
      <c r="AC2551" s="2"/>
      <c r="AD2551" s="2"/>
      <c r="AE2551" s="2"/>
      <c r="AF2551" s="2"/>
      <c r="AG2551" s="2"/>
      <c r="AH2551" s="2"/>
      <c r="AI2551" s="2"/>
      <c r="AJ2551" s="2" t="str">
        <f>IFERROR(__xludf.DUMMYFUNCTION("""COMPUTED_VALUE"""),"")</f>
        <v/>
      </c>
      <c r="AK2551" s="2" t="str">
        <f>IFERROR(__xludf.DUMMYFUNCTION("""COMPUTED_VALUE"""),"")</f>
        <v/>
      </c>
      <c r="AL2551" s="2" t="str">
        <f>IFERROR(__xludf.DUMMYFUNCTION("""COMPUTED_VALUE"""),"")</f>
        <v/>
      </c>
      <c r="AM2551" s="2" t="str">
        <f>IFERROR(__xludf.DUMMYFUNCTION("""COMPUTED_VALUE"""),"")</f>
        <v/>
      </c>
      <c r="AN2551" s="2" t="str">
        <f>IFERROR(__xludf.DUMMYFUNCTION("""COMPUTED_VALUE""")," ")</f>
        <v> </v>
      </c>
      <c r="AO2551" s="2" t="str">
        <f>IFERROR(__xludf.DUMMYFUNCTION("""COMPUTED_VALUE""")," ")</f>
        <v> </v>
      </c>
      <c r="AP2551" s="2" t="str">
        <f>IFERROR(__xludf.DUMMYFUNCTION("""COMPUTED_VALUE"""),"")</f>
        <v/>
      </c>
      <c r="AQ2551" s="2"/>
      <c r="AR2551" s="2"/>
      <c r="AS2551" s="2"/>
      <c r="AT2551" s="2"/>
      <c r="AU2551" s="2"/>
      <c r="AV2551" s="2"/>
      <c r="AW2551" s="2"/>
      <c r="AX2551" s="2"/>
      <c r="AY2551" s="2"/>
      <c r="AZ2551" s="2"/>
      <c r="BA2551" s="2"/>
      <c r="BB2551" s="2"/>
    </row>
    <row r="2552">
      <c r="A2552" s="2"/>
      <c r="B2552" s="2" t="str">
        <f>IFERROR(__xludf.DUMMYFUNCTION("""COMPUTED_VALUE"""),"")</f>
        <v/>
      </c>
      <c r="C2552" s="2"/>
      <c r="D2552" s="71"/>
      <c r="E2552" s="71" t="str">
        <f>IFERROR(__xludf.DUMMYFUNCTION("""COMPUTED_VALUE""")," ")</f>
        <v> </v>
      </c>
      <c r="F2552" s="2"/>
      <c r="G2552" s="2"/>
      <c r="H2552" s="2"/>
      <c r="I2552" s="72"/>
      <c r="J2552" s="72"/>
      <c r="K2552" s="72"/>
      <c r="L2552" s="72"/>
      <c r="M2552" s="2"/>
      <c r="N2552" s="2"/>
      <c r="O2552" s="2"/>
      <c r="P2552" s="2"/>
      <c r="Q2552" s="2"/>
      <c r="R2552" s="2"/>
      <c r="S2552" s="2"/>
      <c r="T2552" s="2"/>
      <c r="U2552" s="2"/>
      <c r="V2552" s="2"/>
      <c r="W2552" s="2"/>
      <c r="X2552" s="2"/>
      <c r="Y2552" s="2"/>
      <c r="Z2552" s="2"/>
      <c r="AA2552" s="2"/>
      <c r="AB2552" s="2"/>
      <c r="AC2552" s="2"/>
      <c r="AD2552" s="2"/>
      <c r="AE2552" s="2"/>
      <c r="AF2552" s="2"/>
      <c r="AG2552" s="2"/>
      <c r="AH2552" s="2"/>
      <c r="AI2552" s="2"/>
      <c r="AJ2552" s="2" t="str">
        <f>IFERROR(__xludf.DUMMYFUNCTION("""COMPUTED_VALUE"""),"")</f>
        <v/>
      </c>
      <c r="AK2552" s="2" t="str">
        <f>IFERROR(__xludf.DUMMYFUNCTION("""COMPUTED_VALUE"""),"")</f>
        <v/>
      </c>
      <c r="AL2552" s="2" t="str">
        <f>IFERROR(__xludf.DUMMYFUNCTION("""COMPUTED_VALUE"""),"")</f>
        <v/>
      </c>
      <c r="AM2552" s="2" t="str">
        <f>IFERROR(__xludf.DUMMYFUNCTION("""COMPUTED_VALUE"""),"")</f>
        <v/>
      </c>
      <c r="AN2552" s="2" t="str">
        <f>IFERROR(__xludf.DUMMYFUNCTION("""COMPUTED_VALUE""")," ")</f>
        <v> </v>
      </c>
      <c r="AO2552" s="2" t="str">
        <f>IFERROR(__xludf.DUMMYFUNCTION("""COMPUTED_VALUE""")," ")</f>
        <v> </v>
      </c>
      <c r="AP2552" s="2" t="str">
        <f>IFERROR(__xludf.DUMMYFUNCTION("""COMPUTED_VALUE"""),"")</f>
        <v/>
      </c>
      <c r="AQ2552" s="2"/>
      <c r="AR2552" s="2"/>
      <c r="AS2552" s="2"/>
      <c r="AT2552" s="2"/>
      <c r="AU2552" s="2"/>
      <c r="AV2552" s="2"/>
      <c r="AW2552" s="2"/>
      <c r="AX2552" s="2"/>
      <c r="AY2552" s="2"/>
      <c r="AZ2552" s="2"/>
      <c r="BA2552" s="2"/>
      <c r="BB2552" s="2"/>
    </row>
    <row r="2553">
      <c r="A2553" s="2"/>
      <c r="B2553" s="2" t="str">
        <f>IFERROR(__xludf.DUMMYFUNCTION("""COMPUTED_VALUE"""),"")</f>
        <v/>
      </c>
      <c r="C2553" s="2"/>
      <c r="D2553" s="71"/>
      <c r="E2553" s="71" t="str">
        <f>IFERROR(__xludf.DUMMYFUNCTION("""COMPUTED_VALUE""")," ")</f>
        <v> </v>
      </c>
      <c r="F2553" s="2"/>
      <c r="G2553" s="2"/>
      <c r="H2553" s="2"/>
      <c r="I2553" s="72"/>
      <c r="J2553" s="72"/>
      <c r="K2553" s="72"/>
      <c r="L2553" s="72"/>
      <c r="M2553" s="2"/>
      <c r="N2553" s="2"/>
      <c r="O2553" s="2"/>
      <c r="P2553" s="2"/>
      <c r="Q2553" s="2"/>
      <c r="R2553" s="2"/>
      <c r="S2553" s="2"/>
      <c r="T2553" s="2"/>
      <c r="U2553" s="2"/>
      <c r="V2553" s="2"/>
      <c r="W2553" s="2"/>
      <c r="X2553" s="2"/>
      <c r="Y2553" s="2"/>
      <c r="Z2553" s="2"/>
      <c r="AA2553" s="2"/>
      <c r="AB2553" s="2"/>
      <c r="AC2553" s="2"/>
      <c r="AD2553" s="2"/>
      <c r="AE2553" s="2"/>
      <c r="AF2553" s="2"/>
      <c r="AG2553" s="2"/>
      <c r="AH2553" s="2"/>
      <c r="AI2553" s="2"/>
      <c r="AJ2553" s="2" t="str">
        <f>IFERROR(__xludf.DUMMYFUNCTION("""COMPUTED_VALUE"""),"")</f>
        <v/>
      </c>
      <c r="AK2553" s="2" t="str">
        <f>IFERROR(__xludf.DUMMYFUNCTION("""COMPUTED_VALUE"""),"")</f>
        <v/>
      </c>
      <c r="AL2553" s="2" t="str">
        <f>IFERROR(__xludf.DUMMYFUNCTION("""COMPUTED_VALUE"""),"")</f>
        <v/>
      </c>
      <c r="AM2553" s="2" t="str">
        <f>IFERROR(__xludf.DUMMYFUNCTION("""COMPUTED_VALUE"""),"")</f>
        <v/>
      </c>
      <c r="AN2553" s="2" t="str">
        <f>IFERROR(__xludf.DUMMYFUNCTION("""COMPUTED_VALUE""")," ")</f>
        <v> </v>
      </c>
      <c r="AO2553" s="2" t="str">
        <f>IFERROR(__xludf.DUMMYFUNCTION("""COMPUTED_VALUE""")," ")</f>
        <v> </v>
      </c>
      <c r="AP2553" s="2" t="str">
        <f>IFERROR(__xludf.DUMMYFUNCTION("""COMPUTED_VALUE"""),"")</f>
        <v/>
      </c>
      <c r="AQ2553" s="2"/>
      <c r="AR2553" s="2"/>
      <c r="AS2553" s="2"/>
      <c r="AT2553" s="2"/>
      <c r="AU2553" s="2"/>
      <c r="AV2553" s="2"/>
      <c r="AW2553" s="2"/>
      <c r="AX2553" s="2"/>
      <c r="AY2553" s="2"/>
      <c r="AZ2553" s="2"/>
      <c r="BA2553" s="2"/>
      <c r="BB2553" s="2"/>
    </row>
    <row r="2554">
      <c r="A2554" s="2"/>
      <c r="B2554" s="2" t="str">
        <f>IFERROR(__xludf.DUMMYFUNCTION("""COMPUTED_VALUE"""),"")</f>
        <v/>
      </c>
      <c r="C2554" s="2"/>
      <c r="D2554" s="71"/>
      <c r="E2554" s="71" t="str">
        <f>IFERROR(__xludf.DUMMYFUNCTION("""COMPUTED_VALUE""")," ")</f>
        <v> </v>
      </c>
      <c r="F2554" s="2"/>
      <c r="G2554" s="2"/>
      <c r="H2554" s="2"/>
      <c r="I2554" s="72"/>
      <c r="J2554" s="72"/>
      <c r="K2554" s="72"/>
      <c r="L2554" s="72"/>
      <c r="M2554" s="2"/>
      <c r="N2554" s="2"/>
      <c r="O2554" s="2"/>
      <c r="P2554" s="2"/>
      <c r="Q2554" s="2"/>
      <c r="R2554" s="2"/>
      <c r="S2554" s="2"/>
      <c r="T2554" s="2"/>
      <c r="U2554" s="2"/>
      <c r="V2554" s="2"/>
      <c r="W2554" s="2"/>
      <c r="X2554" s="2"/>
      <c r="Y2554" s="2"/>
      <c r="Z2554" s="2"/>
      <c r="AA2554" s="2"/>
      <c r="AB2554" s="2"/>
      <c r="AC2554" s="2"/>
      <c r="AD2554" s="2"/>
      <c r="AE2554" s="2"/>
      <c r="AF2554" s="2"/>
      <c r="AG2554" s="2"/>
      <c r="AH2554" s="2"/>
      <c r="AI2554" s="2"/>
      <c r="AJ2554" s="2" t="str">
        <f>IFERROR(__xludf.DUMMYFUNCTION("""COMPUTED_VALUE"""),"")</f>
        <v/>
      </c>
      <c r="AK2554" s="2" t="str">
        <f>IFERROR(__xludf.DUMMYFUNCTION("""COMPUTED_VALUE"""),"")</f>
        <v/>
      </c>
      <c r="AL2554" s="2" t="str">
        <f>IFERROR(__xludf.DUMMYFUNCTION("""COMPUTED_VALUE"""),"")</f>
        <v/>
      </c>
      <c r="AM2554" s="2" t="str">
        <f>IFERROR(__xludf.DUMMYFUNCTION("""COMPUTED_VALUE"""),"")</f>
        <v/>
      </c>
      <c r="AN2554" s="2" t="str">
        <f>IFERROR(__xludf.DUMMYFUNCTION("""COMPUTED_VALUE""")," ")</f>
        <v> </v>
      </c>
      <c r="AO2554" s="2" t="str">
        <f>IFERROR(__xludf.DUMMYFUNCTION("""COMPUTED_VALUE""")," ")</f>
        <v> </v>
      </c>
      <c r="AP2554" s="2" t="str">
        <f>IFERROR(__xludf.DUMMYFUNCTION("""COMPUTED_VALUE"""),"")</f>
        <v/>
      </c>
      <c r="AQ2554" s="2"/>
      <c r="AR2554" s="2"/>
      <c r="AS2554" s="2"/>
      <c r="AT2554" s="2"/>
      <c r="AU2554" s="2"/>
      <c r="AV2554" s="2"/>
      <c r="AW2554" s="2"/>
      <c r="AX2554" s="2"/>
      <c r="AY2554" s="2"/>
      <c r="AZ2554" s="2"/>
      <c r="BA2554" s="2"/>
      <c r="BB2554" s="2"/>
    </row>
    <row r="2555">
      <c r="A2555" s="2"/>
      <c r="B2555" s="2" t="str">
        <f>IFERROR(__xludf.DUMMYFUNCTION("""COMPUTED_VALUE"""),"")</f>
        <v/>
      </c>
      <c r="C2555" s="2"/>
      <c r="D2555" s="71"/>
      <c r="E2555" s="71" t="str">
        <f>IFERROR(__xludf.DUMMYFUNCTION("""COMPUTED_VALUE""")," ")</f>
        <v> </v>
      </c>
      <c r="F2555" s="2"/>
      <c r="G2555" s="2"/>
      <c r="H2555" s="2"/>
      <c r="I2555" s="72"/>
      <c r="J2555" s="72"/>
      <c r="K2555" s="72"/>
      <c r="L2555" s="72"/>
      <c r="M2555" s="2"/>
      <c r="N2555" s="2"/>
      <c r="O2555" s="2"/>
      <c r="P2555" s="2"/>
      <c r="Q2555" s="2"/>
      <c r="R2555" s="2"/>
      <c r="S2555" s="2"/>
      <c r="T2555" s="2"/>
      <c r="U2555" s="2"/>
      <c r="V2555" s="2"/>
      <c r="W2555" s="2"/>
      <c r="X2555" s="2"/>
      <c r="Y2555" s="2"/>
      <c r="Z2555" s="2"/>
      <c r="AA2555" s="2"/>
      <c r="AB2555" s="2"/>
      <c r="AC2555" s="2"/>
      <c r="AD2555" s="2"/>
      <c r="AE2555" s="2"/>
      <c r="AF2555" s="2"/>
      <c r="AG2555" s="2"/>
      <c r="AH2555" s="2"/>
      <c r="AI2555" s="2"/>
      <c r="AJ2555" s="2" t="str">
        <f>IFERROR(__xludf.DUMMYFUNCTION("""COMPUTED_VALUE"""),"")</f>
        <v/>
      </c>
      <c r="AK2555" s="2" t="str">
        <f>IFERROR(__xludf.DUMMYFUNCTION("""COMPUTED_VALUE"""),"")</f>
        <v/>
      </c>
      <c r="AL2555" s="2" t="str">
        <f>IFERROR(__xludf.DUMMYFUNCTION("""COMPUTED_VALUE"""),"")</f>
        <v/>
      </c>
      <c r="AM2555" s="2" t="str">
        <f>IFERROR(__xludf.DUMMYFUNCTION("""COMPUTED_VALUE"""),"")</f>
        <v/>
      </c>
      <c r="AN2555" s="2" t="str">
        <f>IFERROR(__xludf.DUMMYFUNCTION("""COMPUTED_VALUE""")," ")</f>
        <v> </v>
      </c>
      <c r="AO2555" s="2" t="str">
        <f>IFERROR(__xludf.DUMMYFUNCTION("""COMPUTED_VALUE""")," ")</f>
        <v> </v>
      </c>
      <c r="AP2555" s="2" t="str">
        <f>IFERROR(__xludf.DUMMYFUNCTION("""COMPUTED_VALUE"""),"")</f>
        <v/>
      </c>
      <c r="AQ2555" s="2"/>
      <c r="AR2555" s="2"/>
      <c r="AS2555" s="2"/>
      <c r="AT2555" s="2"/>
      <c r="AU2555" s="2"/>
      <c r="AV2555" s="2"/>
      <c r="AW2555" s="2"/>
      <c r="AX2555" s="2"/>
      <c r="AY2555" s="2"/>
      <c r="AZ2555" s="2"/>
      <c r="BA2555" s="2"/>
      <c r="BB2555" s="2"/>
    </row>
    <row r="2556">
      <c r="A2556" s="2"/>
      <c r="B2556" s="2" t="str">
        <f>IFERROR(__xludf.DUMMYFUNCTION("""COMPUTED_VALUE"""),"")</f>
        <v/>
      </c>
      <c r="C2556" s="2"/>
      <c r="D2556" s="71"/>
      <c r="E2556" s="71" t="str">
        <f>IFERROR(__xludf.DUMMYFUNCTION("""COMPUTED_VALUE""")," ")</f>
        <v> </v>
      </c>
      <c r="F2556" s="2"/>
      <c r="G2556" s="2"/>
      <c r="H2556" s="2"/>
      <c r="I2556" s="72"/>
      <c r="J2556" s="72"/>
      <c r="K2556" s="72"/>
      <c r="L2556" s="72"/>
      <c r="M2556" s="2"/>
      <c r="N2556" s="2"/>
      <c r="O2556" s="2"/>
      <c r="P2556" s="2"/>
      <c r="Q2556" s="2"/>
      <c r="R2556" s="2"/>
      <c r="S2556" s="2"/>
      <c r="T2556" s="2"/>
      <c r="U2556" s="2"/>
      <c r="V2556" s="2"/>
      <c r="W2556" s="2"/>
      <c r="X2556" s="2"/>
      <c r="Y2556" s="2"/>
      <c r="Z2556" s="2"/>
      <c r="AA2556" s="2"/>
      <c r="AB2556" s="2"/>
      <c r="AC2556" s="2"/>
      <c r="AD2556" s="2"/>
      <c r="AE2556" s="2"/>
      <c r="AF2556" s="2"/>
      <c r="AG2556" s="2"/>
      <c r="AH2556" s="2"/>
      <c r="AI2556" s="2"/>
      <c r="AJ2556" s="2" t="str">
        <f>IFERROR(__xludf.DUMMYFUNCTION("""COMPUTED_VALUE"""),"")</f>
        <v/>
      </c>
      <c r="AK2556" s="2" t="str">
        <f>IFERROR(__xludf.DUMMYFUNCTION("""COMPUTED_VALUE"""),"")</f>
        <v/>
      </c>
      <c r="AL2556" s="2" t="str">
        <f>IFERROR(__xludf.DUMMYFUNCTION("""COMPUTED_VALUE"""),"")</f>
        <v/>
      </c>
      <c r="AM2556" s="2" t="str">
        <f>IFERROR(__xludf.DUMMYFUNCTION("""COMPUTED_VALUE"""),"")</f>
        <v/>
      </c>
      <c r="AN2556" s="2" t="str">
        <f>IFERROR(__xludf.DUMMYFUNCTION("""COMPUTED_VALUE""")," ")</f>
        <v> </v>
      </c>
      <c r="AO2556" s="2" t="str">
        <f>IFERROR(__xludf.DUMMYFUNCTION("""COMPUTED_VALUE""")," ")</f>
        <v> </v>
      </c>
      <c r="AP2556" s="2" t="str">
        <f>IFERROR(__xludf.DUMMYFUNCTION("""COMPUTED_VALUE"""),"")</f>
        <v/>
      </c>
      <c r="AQ2556" s="2"/>
      <c r="AR2556" s="2"/>
      <c r="AS2556" s="2"/>
      <c r="AT2556" s="2"/>
      <c r="AU2556" s="2"/>
      <c r="AV2556" s="2"/>
      <c r="AW2556" s="2"/>
      <c r="AX2556" s="2"/>
      <c r="AY2556" s="2"/>
      <c r="AZ2556" s="2"/>
      <c r="BA2556" s="2"/>
      <c r="BB2556" s="2"/>
    </row>
    <row r="2557">
      <c r="A2557" s="2"/>
      <c r="B2557" s="2" t="str">
        <f>IFERROR(__xludf.DUMMYFUNCTION("""COMPUTED_VALUE"""),"")</f>
        <v/>
      </c>
      <c r="C2557" s="2"/>
      <c r="D2557" s="71"/>
      <c r="E2557" s="71" t="str">
        <f>IFERROR(__xludf.DUMMYFUNCTION("""COMPUTED_VALUE""")," ")</f>
        <v> </v>
      </c>
      <c r="F2557" s="2"/>
      <c r="G2557" s="2"/>
      <c r="H2557" s="2"/>
      <c r="I2557" s="72"/>
      <c r="J2557" s="72"/>
      <c r="K2557" s="72"/>
      <c r="L2557" s="72"/>
      <c r="M2557" s="2"/>
      <c r="N2557" s="2"/>
      <c r="O2557" s="2"/>
      <c r="P2557" s="2"/>
      <c r="Q2557" s="2"/>
      <c r="R2557" s="2"/>
      <c r="S2557" s="2"/>
      <c r="T2557" s="2"/>
      <c r="U2557" s="2"/>
      <c r="V2557" s="2"/>
      <c r="W2557" s="2"/>
      <c r="X2557" s="2"/>
      <c r="Y2557" s="2"/>
      <c r="Z2557" s="2"/>
      <c r="AA2557" s="2"/>
      <c r="AB2557" s="2"/>
      <c r="AC2557" s="2"/>
      <c r="AD2557" s="2"/>
      <c r="AE2557" s="2"/>
      <c r="AF2557" s="2"/>
      <c r="AG2557" s="2"/>
      <c r="AH2557" s="2"/>
      <c r="AI2557" s="2"/>
      <c r="AJ2557" s="2" t="str">
        <f>IFERROR(__xludf.DUMMYFUNCTION("""COMPUTED_VALUE"""),"")</f>
        <v/>
      </c>
      <c r="AK2557" s="2" t="str">
        <f>IFERROR(__xludf.DUMMYFUNCTION("""COMPUTED_VALUE"""),"")</f>
        <v/>
      </c>
      <c r="AL2557" s="2" t="str">
        <f>IFERROR(__xludf.DUMMYFUNCTION("""COMPUTED_VALUE"""),"")</f>
        <v/>
      </c>
      <c r="AM2557" s="2" t="str">
        <f>IFERROR(__xludf.DUMMYFUNCTION("""COMPUTED_VALUE"""),"")</f>
        <v/>
      </c>
      <c r="AN2557" s="2" t="str">
        <f>IFERROR(__xludf.DUMMYFUNCTION("""COMPUTED_VALUE""")," ")</f>
        <v> </v>
      </c>
      <c r="AO2557" s="2" t="str">
        <f>IFERROR(__xludf.DUMMYFUNCTION("""COMPUTED_VALUE""")," ")</f>
        <v> </v>
      </c>
      <c r="AP2557" s="2" t="str">
        <f>IFERROR(__xludf.DUMMYFUNCTION("""COMPUTED_VALUE"""),"")</f>
        <v/>
      </c>
      <c r="AQ2557" s="2"/>
      <c r="AR2557" s="2"/>
      <c r="AS2557" s="2"/>
      <c r="AT2557" s="2"/>
      <c r="AU2557" s="2"/>
      <c r="AV2557" s="2"/>
      <c r="AW2557" s="2"/>
      <c r="AX2557" s="2"/>
      <c r="AY2557" s="2"/>
      <c r="AZ2557" s="2"/>
      <c r="BA2557" s="2"/>
      <c r="BB2557" s="2"/>
    </row>
    <row r="2558">
      <c r="A2558" s="2"/>
      <c r="B2558" s="2" t="str">
        <f>IFERROR(__xludf.DUMMYFUNCTION("""COMPUTED_VALUE"""),"")</f>
        <v/>
      </c>
      <c r="C2558" s="2"/>
      <c r="D2558" s="71"/>
      <c r="E2558" s="71" t="str">
        <f>IFERROR(__xludf.DUMMYFUNCTION("""COMPUTED_VALUE""")," ")</f>
        <v> </v>
      </c>
      <c r="F2558" s="2"/>
      <c r="G2558" s="2"/>
      <c r="H2558" s="2"/>
      <c r="I2558" s="72"/>
      <c r="J2558" s="72"/>
      <c r="K2558" s="72"/>
      <c r="L2558" s="72"/>
      <c r="M2558" s="2"/>
      <c r="N2558" s="2"/>
      <c r="O2558" s="2"/>
      <c r="P2558" s="2"/>
      <c r="Q2558" s="2"/>
      <c r="R2558" s="2"/>
      <c r="S2558" s="2"/>
      <c r="T2558" s="2"/>
      <c r="U2558" s="2"/>
      <c r="V2558" s="2"/>
      <c r="W2558" s="2"/>
      <c r="X2558" s="2"/>
      <c r="Y2558" s="2"/>
      <c r="Z2558" s="2"/>
      <c r="AA2558" s="2"/>
      <c r="AB2558" s="2"/>
      <c r="AC2558" s="2"/>
      <c r="AD2558" s="2"/>
      <c r="AE2558" s="2"/>
      <c r="AF2558" s="2"/>
      <c r="AG2558" s="2"/>
      <c r="AH2558" s="2"/>
      <c r="AI2558" s="2"/>
      <c r="AJ2558" s="2" t="str">
        <f>IFERROR(__xludf.DUMMYFUNCTION("""COMPUTED_VALUE"""),"")</f>
        <v/>
      </c>
      <c r="AK2558" s="2" t="str">
        <f>IFERROR(__xludf.DUMMYFUNCTION("""COMPUTED_VALUE"""),"")</f>
        <v/>
      </c>
      <c r="AL2558" s="2" t="str">
        <f>IFERROR(__xludf.DUMMYFUNCTION("""COMPUTED_VALUE"""),"")</f>
        <v/>
      </c>
      <c r="AM2558" s="2" t="str">
        <f>IFERROR(__xludf.DUMMYFUNCTION("""COMPUTED_VALUE"""),"")</f>
        <v/>
      </c>
      <c r="AN2558" s="2" t="str">
        <f>IFERROR(__xludf.DUMMYFUNCTION("""COMPUTED_VALUE""")," ")</f>
        <v> </v>
      </c>
      <c r="AO2558" s="2" t="str">
        <f>IFERROR(__xludf.DUMMYFUNCTION("""COMPUTED_VALUE""")," ")</f>
        <v> </v>
      </c>
      <c r="AP2558" s="2" t="str">
        <f>IFERROR(__xludf.DUMMYFUNCTION("""COMPUTED_VALUE"""),"")</f>
        <v/>
      </c>
      <c r="AQ2558" s="2"/>
      <c r="AR2558" s="2"/>
      <c r="AS2558" s="2"/>
      <c r="AT2558" s="2"/>
      <c r="AU2558" s="2"/>
      <c r="AV2558" s="2"/>
      <c r="AW2558" s="2"/>
      <c r="AX2558" s="2"/>
      <c r="AY2558" s="2"/>
      <c r="AZ2558" s="2"/>
      <c r="BA2558" s="2"/>
      <c r="BB2558" s="2"/>
    </row>
    <row r="2559">
      <c r="A2559" s="2"/>
      <c r="B2559" s="2" t="str">
        <f>IFERROR(__xludf.DUMMYFUNCTION("""COMPUTED_VALUE"""),"")</f>
        <v/>
      </c>
      <c r="C2559" s="2"/>
      <c r="D2559" s="71"/>
      <c r="E2559" s="71" t="str">
        <f>IFERROR(__xludf.DUMMYFUNCTION("""COMPUTED_VALUE""")," ")</f>
        <v> </v>
      </c>
      <c r="F2559" s="2"/>
      <c r="G2559" s="2"/>
      <c r="H2559" s="2"/>
      <c r="I2559" s="72"/>
      <c r="J2559" s="72"/>
      <c r="K2559" s="72"/>
      <c r="L2559" s="72"/>
      <c r="M2559" s="2"/>
      <c r="N2559" s="2"/>
      <c r="O2559" s="2"/>
      <c r="P2559" s="2"/>
      <c r="Q2559" s="2"/>
      <c r="R2559" s="2"/>
      <c r="S2559" s="2"/>
      <c r="T2559" s="2"/>
      <c r="U2559" s="2"/>
      <c r="V2559" s="2"/>
      <c r="W2559" s="2"/>
      <c r="X2559" s="2"/>
      <c r="Y2559" s="2"/>
      <c r="Z2559" s="2"/>
      <c r="AA2559" s="2"/>
      <c r="AB2559" s="2"/>
      <c r="AC2559" s="2"/>
      <c r="AD2559" s="2"/>
      <c r="AE2559" s="2"/>
      <c r="AF2559" s="2"/>
      <c r="AG2559" s="2"/>
      <c r="AH2559" s="2"/>
      <c r="AI2559" s="2"/>
      <c r="AJ2559" s="2" t="str">
        <f>IFERROR(__xludf.DUMMYFUNCTION("""COMPUTED_VALUE"""),"")</f>
        <v/>
      </c>
      <c r="AK2559" s="2" t="str">
        <f>IFERROR(__xludf.DUMMYFUNCTION("""COMPUTED_VALUE"""),"")</f>
        <v/>
      </c>
      <c r="AL2559" s="2" t="str">
        <f>IFERROR(__xludf.DUMMYFUNCTION("""COMPUTED_VALUE"""),"")</f>
        <v/>
      </c>
      <c r="AM2559" s="2" t="str">
        <f>IFERROR(__xludf.DUMMYFUNCTION("""COMPUTED_VALUE"""),"")</f>
        <v/>
      </c>
      <c r="AN2559" s="2" t="str">
        <f>IFERROR(__xludf.DUMMYFUNCTION("""COMPUTED_VALUE""")," ")</f>
        <v> </v>
      </c>
      <c r="AO2559" s="2" t="str">
        <f>IFERROR(__xludf.DUMMYFUNCTION("""COMPUTED_VALUE""")," ")</f>
        <v> </v>
      </c>
      <c r="AP2559" s="2" t="str">
        <f>IFERROR(__xludf.DUMMYFUNCTION("""COMPUTED_VALUE"""),"")</f>
        <v/>
      </c>
      <c r="AQ2559" s="2"/>
      <c r="AR2559" s="2"/>
      <c r="AS2559" s="2"/>
      <c r="AT2559" s="2"/>
      <c r="AU2559" s="2"/>
      <c r="AV2559" s="2"/>
      <c r="AW2559" s="2"/>
      <c r="AX2559" s="2"/>
      <c r="AY2559" s="2"/>
      <c r="AZ2559" s="2"/>
      <c r="BA2559" s="2"/>
      <c r="BB2559" s="2"/>
    </row>
    <row r="2560">
      <c r="A2560" s="2"/>
      <c r="B2560" s="2" t="str">
        <f>IFERROR(__xludf.DUMMYFUNCTION("""COMPUTED_VALUE"""),"")</f>
        <v/>
      </c>
      <c r="C2560" s="2"/>
      <c r="D2560" s="71"/>
      <c r="E2560" s="71" t="str">
        <f>IFERROR(__xludf.DUMMYFUNCTION("""COMPUTED_VALUE""")," ")</f>
        <v> </v>
      </c>
      <c r="F2560" s="2"/>
      <c r="G2560" s="2"/>
      <c r="H2560" s="2"/>
      <c r="I2560" s="72"/>
      <c r="J2560" s="72"/>
      <c r="K2560" s="72"/>
      <c r="L2560" s="72"/>
      <c r="M2560" s="2"/>
      <c r="N2560" s="2"/>
      <c r="O2560" s="2"/>
      <c r="P2560" s="2"/>
      <c r="Q2560" s="2"/>
      <c r="R2560" s="2"/>
      <c r="S2560" s="2"/>
      <c r="T2560" s="2"/>
      <c r="U2560" s="2"/>
      <c r="V2560" s="2"/>
      <c r="W2560" s="2"/>
      <c r="X2560" s="2"/>
      <c r="Y2560" s="2"/>
      <c r="Z2560" s="2"/>
      <c r="AA2560" s="2"/>
      <c r="AB2560" s="2"/>
      <c r="AC2560" s="2"/>
      <c r="AD2560" s="2"/>
      <c r="AE2560" s="2"/>
      <c r="AF2560" s="2"/>
      <c r="AG2560" s="2"/>
      <c r="AH2560" s="2"/>
      <c r="AI2560" s="2"/>
      <c r="AJ2560" s="2" t="str">
        <f>IFERROR(__xludf.DUMMYFUNCTION("""COMPUTED_VALUE"""),"")</f>
        <v/>
      </c>
      <c r="AK2560" s="2" t="str">
        <f>IFERROR(__xludf.DUMMYFUNCTION("""COMPUTED_VALUE"""),"")</f>
        <v/>
      </c>
      <c r="AL2560" s="2" t="str">
        <f>IFERROR(__xludf.DUMMYFUNCTION("""COMPUTED_VALUE"""),"")</f>
        <v/>
      </c>
      <c r="AM2560" s="2" t="str">
        <f>IFERROR(__xludf.DUMMYFUNCTION("""COMPUTED_VALUE"""),"")</f>
        <v/>
      </c>
      <c r="AN2560" s="2" t="str">
        <f>IFERROR(__xludf.DUMMYFUNCTION("""COMPUTED_VALUE""")," ")</f>
        <v> </v>
      </c>
      <c r="AO2560" s="2" t="str">
        <f>IFERROR(__xludf.DUMMYFUNCTION("""COMPUTED_VALUE""")," ")</f>
        <v> </v>
      </c>
      <c r="AP2560" s="2" t="str">
        <f>IFERROR(__xludf.DUMMYFUNCTION("""COMPUTED_VALUE"""),"")</f>
        <v/>
      </c>
      <c r="AQ2560" s="2"/>
      <c r="AR2560" s="2"/>
      <c r="AS2560" s="2"/>
      <c r="AT2560" s="2"/>
      <c r="AU2560" s="2"/>
      <c r="AV2560" s="2"/>
      <c r="AW2560" s="2"/>
      <c r="AX2560" s="2"/>
      <c r="AY2560" s="2"/>
      <c r="AZ2560" s="2"/>
      <c r="BA2560" s="2"/>
      <c r="BB2560" s="2"/>
    </row>
    <row r="2561">
      <c r="A2561" s="2"/>
      <c r="B2561" s="2" t="str">
        <f>IFERROR(__xludf.DUMMYFUNCTION("""COMPUTED_VALUE"""),"")</f>
        <v/>
      </c>
      <c r="C2561" s="2"/>
      <c r="D2561" s="71"/>
      <c r="E2561" s="71" t="str">
        <f>IFERROR(__xludf.DUMMYFUNCTION("""COMPUTED_VALUE""")," ")</f>
        <v> </v>
      </c>
      <c r="F2561" s="2"/>
      <c r="G2561" s="2"/>
      <c r="H2561" s="2"/>
      <c r="I2561" s="72"/>
      <c r="J2561" s="72"/>
      <c r="K2561" s="72"/>
      <c r="L2561" s="72"/>
      <c r="M2561" s="2"/>
      <c r="N2561" s="2"/>
      <c r="O2561" s="2"/>
      <c r="P2561" s="2"/>
      <c r="Q2561" s="2"/>
      <c r="R2561" s="2"/>
      <c r="S2561" s="2"/>
      <c r="T2561" s="2"/>
      <c r="U2561" s="2"/>
      <c r="V2561" s="2"/>
      <c r="W2561" s="2"/>
      <c r="X2561" s="2"/>
      <c r="Y2561" s="2"/>
      <c r="Z2561" s="2"/>
      <c r="AA2561" s="2"/>
      <c r="AB2561" s="2"/>
      <c r="AC2561" s="2"/>
      <c r="AD2561" s="2"/>
      <c r="AE2561" s="2"/>
      <c r="AF2561" s="2"/>
      <c r="AG2561" s="2"/>
      <c r="AH2561" s="2"/>
      <c r="AI2561" s="2"/>
      <c r="AJ2561" s="2" t="str">
        <f>IFERROR(__xludf.DUMMYFUNCTION("""COMPUTED_VALUE"""),"")</f>
        <v/>
      </c>
      <c r="AK2561" s="2" t="str">
        <f>IFERROR(__xludf.DUMMYFUNCTION("""COMPUTED_VALUE"""),"")</f>
        <v/>
      </c>
      <c r="AL2561" s="2" t="str">
        <f>IFERROR(__xludf.DUMMYFUNCTION("""COMPUTED_VALUE"""),"")</f>
        <v/>
      </c>
      <c r="AM2561" s="2" t="str">
        <f>IFERROR(__xludf.DUMMYFUNCTION("""COMPUTED_VALUE"""),"")</f>
        <v/>
      </c>
      <c r="AN2561" s="2" t="str">
        <f>IFERROR(__xludf.DUMMYFUNCTION("""COMPUTED_VALUE""")," ")</f>
        <v> </v>
      </c>
      <c r="AO2561" s="2" t="str">
        <f>IFERROR(__xludf.DUMMYFUNCTION("""COMPUTED_VALUE""")," ")</f>
        <v> </v>
      </c>
      <c r="AP2561" s="2" t="str">
        <f>IFERROR(__xludf.DUMMYFUNCTION("""COMPUTED_VALUE"""),"")</f>
        <v/>
      </c>
      <c r="AQ2561" s="2"/>
      <c r="AR2561" s="2"/>
      <c r="AS2561" s="2"/>
      <c r="AT2561" s="2"/>
      <c r="AU2561" s="2"/>
      <c r="AV2561" s="2"/>
      <c r="AW2561" s="2"/>
      <c r="AX2561" s="2"/>
      <c r="AY2561" s="2"/>
      <c r="AZ2561" s="2"/>
      <c r="BA2561" s="2"/>
      <c r="BB2561" s="2"/>
    </row>
    <row r="2562">
      <c r="A2562" s="2"/>
      <c r="B2562" s="2" t="str">
        <f>IFERROR(__xludf.DUMMYFUNCTION("""COMPUTED_VALUE"""),"")</f>
        <v/>
      </c>
      <c r="C2562" s="2"/>
      <c r="D2562" s="71"/>
      <c r="E2562" s="71" t="str">
        <f>IFERROR(__xludf.DUMMYFUNCTION("""COMPUTED_VALUE""")," ")</f>
        <v> </v>
      </c>
      <c r="F2562" s="2"/>
      <c r="G2562" s="2"/>
      <c r="H2562" s="2"/>
      <c r="I2562" s="72"/>
      <c r="J2562" s="72"/>
      <c r="K2562" s="72"/>
      <c r="L2562" s="72"/>
      <c r="M2562" s="2"/>
      <c r="N2562" s="2"/>
      <c r="O2562" s="2"/>
      <c r="P2562" s="2"/>
      <c r="Q2562" s="2"/>
      <c r="R2562" s="2"/>
      <c r="S2562" s="2"/>
      <c r="T2562" s="2"/>
      <c r="U2562" s="2"/>
      <c r="V2562" s="2"/>
      <c r="W2562" s="2"/>
      <c r="X2562" s="2"/>
      <c r="Y2562" s="2"/>
      <c r="Z2562" s="2"/>
      <c r="AA2562" s="2"/>
      <c r="AB2562" s="2"/>
      <c r="AC2562" s="2"/>
      <c r="AD2562" s="2"/>
      <c r="AE2562" s="2"/>
      <c r="AF2562" s="2"/>
      <c r="AG2562" s="2"/>
      <c r="AH2562" s="2"/>
      <c r="AI2562" s="2"/>
      <c r="AJ2562" s="2" t="str">
        <f>IFERROR(__xludf.DUMMYFUNCTION("""COMPUTED_VALUE"""),"")</f>
        <v/>
      </c>
      <c r="AK2562" s="2" t="str">
        <f>IFERROR(__xludf.DUMMYFUNCTION("""COMPUTED_VALUE"""),"")</f>
        <v/>
      </c>
      <c r="AL2562" s="2" t="str">
        <f>IFERROR(__xludf.DUMMYFUNCTION("""COMPUTED_VALUE"""),"")</f>
        <v/>
      </c>
      <c r="AM2562" s="2" t="str">
        <f>IFERROR(__xludf.DUMMYFUNCTION("""COMPUTED_VALUE"""),"")</f>
        <v/>
      </c>
      <c r="AN2562" s="2" t="str">
        <f>IFERROR(__xludf.DUMMYFUNCTION("""COMPUTED_VALUE""")," ")</f>
        <v> </v>
      </c>
      <c r="AO2562" s="2" t="str">
        <f>IFERROR(__xludf.DUMMYFUNCTION("""COMPUTED_VALUE""")," ")</f>
        <v> </v>
      </c>
      <c r="AP2562" s="2" t="str">
        <f>IFERROR(__xludf.DUMMYFUNCTION("""COMPUTED_VALUE"""),"")</f>
        <v/>
      </c>
      <c r="AQ2562" s="2"/>
      <c r="AR2562" s="2"/>
      <c r="AS2562" s="2"/>
      <c r="AT2562" s="2"/>
      <c r="AU2562" s="2"/>
      <c r="AV2562" s="2"/>
      <c r="AW2562" s="2"/>
      <c r="AX2562" s="2"/>
      <c r="AY2562" s="2"/>
      <c r="AZ2562" s="2"/>
      <c r="BA2562" s="2"/>
      <c r="BB2562" s="2"/>
    </row>
    <row r="2563">
      <c r="A2563" s="2"/>
      <c r="B2563" s="2" t="str">
        <f>IFERROR(__xludf.DUMMYFUNCTION("""COMPUTED_VALUE"""),"")</f>
        <v/>
      </c>
      <c r="C2563" s="2"/>
      <c r="D2563" s="71"/>
      <c r="E2563" s="71" t="str">
        <f>IFERROR(__xludf.DUMMYFUNCTION("""COMPUTED_VALUE""")," ")</f>
        <v> </v>
      </c>
      <c r="F2563" s="2"/>
      <c r="G2563" s="2"/>
      <c r="H2563" s="2"/>
      <c r="I2563" s="72"/>
      <c r="J2563" s="72"/>
      <c r="K2563" s="72"/>
      <c r="L2563" s="72"/>
      <c r="M2563" s="2"/>
      <c r="N2563" s="2"/>
      <c r="O2563" s="2"/>
      <c r="P2563" s="2"/>
      <c r="Q2563" s="2"/>
      <c r="R2563" s="2"/>
      <c r="S2563" s="2"/>
      <c r="T2563" s="2"/>
      <c r="U2563" s="2"/>
      <c r="V2563" s="2"/>
      <c r="W2563" s="2"/>
      <c r="X2563" s="2"/>
      <c r="Y2563" s="2"/>
      <c r="Z2563" s="2"/>
      <c r="AA2563" s="2"/>
      <c r="AB2563" s="2"/>
      <c r="AC2563" s="2"/>
      <c r="AD2563" s="2"/>
      <c r="AE2563" s="2"/>
      <c r="AF2563" s="2"/>
      <c r="AG2563" s="2"/>
      <c r="AH2563" s="2"/>
      <c r="AI2563" s="2"/>
      <c r="AJ2563" s="2" t="str">
        <f>IFERROR(__xludf.DUMMYFUNCTION("""COMPUTED_VALUE"""),"")</f>
        <v/>
      </c>
      <c r="AK2563" s="2" t="str">
        <f>IFERROR(__xludf.DUMMYFUNCTION("""COMPUTED_VALUE"""),"")</f>
        <v/>
      </c>
      <c r="AL2563" s="2" t="str">
        <f>IFERROR(__xludf.DUMMYFUNCTION("""COMPUTED_VALUE"""),"")</f>
        <v/>
      </c>
      <c r="AM2563" s="2" t="str">
        <f>IFERROR(__xludf.DUMMYFUNCTION("""COMPUTED_VALUE"""),"")</f>
        <v/>
      </c>
      <c r="AN2563" s="2" t="str">
        <f>IFERROR(__xludf.DUMMYFUNCTION("""COMPUTED_VALUE""")," ")</f>
        <v> </v>
      </c>
      <c r="AO2563" s="2" t="str">
        <f>IFERROR(__xludf.DUMMYFUNCTION("""COMPUTED_VALUE""")," ")</f>
        <v> </v>
      </c>
      <c r="AP2563" s="2" t="str">
        <f>IFERROR(__xludf.DUMMYFUNCTION("""COMPUTED_VALUE"""),"")</f>
        <v/>
      </c>
      <c r="AQ2563" s="2"/>
      <c r="AR2563" s="2"/>
      <c r="AS2563" s="2"/>
      <c r="AT2563" s="2"/>
      <c r="AU2563" s="2"/>
      <c r="AV2563" s="2"/>
      <c r="AW2563" s="2"/>
      <c r="AX2563" s="2"/>
      <c r="AY2563" s="2"/>
      <c r="AZ2563" s="2"/>
      <c r="BA2563" s="2"/>
      <c r="BB2563" s="2"/>
    </row>
    <row r="2564">
      <c r="A2564" s="2"/>
      <c r="B2564" s="2" t="str">
        <f>IFERROR(__xludf.DUMMYFUNCTION("""COMPUTED_VALUE"""),"")</f>
        <v/>
      </c>
      <c r="C2564" s="2"/>
      <c r="D2564" s="71"/>
      <c r="E2564" s="71" t="str">
        <f>IFERROR(__xludf.DUMMYFUNCTION("""COMPUTED_VALUE""")," ")</f>
        <v> </v>
      </c>
      <c r="F2564" s="2"/>
      <c r="G2564" s="2"/>
      <c r="H2564" s="2"/>
      <c r="I2564" s="72"/>
      <c r="J2564" s="72"/>
      <c r="K2564" s="72"/>
      <c r="L2564" s="72"/>
      <c r="M2564" s="2"/>
      <c r="N2564" s="2"/>
      <c r="O2564" s="2"/>
      <c r="P2564" s="2"/>
      <c r="Q2564" s="2"/>
      <c r="R2564" s="2"/>
      <c r="S2564" s="2"/>
      <c r="T2564" s="2"/>
      <c r="U2564" s="2"/>
      <c r="V2564" s="2"/>
      <c r="W2564" s="2"/>
      <c r="X2564" s="2"/>
      <c r="Y2564" s="2"/>
      <c r="Z2564" s="2"/>
      <c r="AA2564" s="2"/>
      <c r="AB2564" s="2"/>
      <c r="AC2564" s="2"/>
      <c r="AD2564" s="2"/>
      <c r="AE2564" s="2"/>
      <c r="AF2564" s="2"/>
      <c r="AG2564" s="2"/>
      <c r="AH2564" s="2"/>
      <c r="AI2564" s="2"/>
      <c r="AJ2564" s="2" t="str">
        <f>IFERROR(__xludf.DUMMYFUNCTION("""COMPUTED_VALUE"""),"")</f>
        <v/>
      </c>
      <c r="AK2564" s="2" t="str">
        <f>IFERROR(__xludf.DUMMYFUNCTION("""COMPUTED_VALUE"""),"")</f>
        <v/>
      </c>
      <c r="AL2564" s="2" t="str">
        <f>IFERROR(__xludf.DUMMYFUNCTION("""COMPUTED_VALUE"""),"")</f>
        <v/>
      </c>
      <c r="AM2564" s="2" t="str">
        <f>IFERROR(__xludf.DUMMYFUNCTION("""COMPUTED_VALUE"""),"")</f>
        <v/>
      </c>
      <c r="AN2564" s="2" t="str">
        <f>IFERROR(__xludf.DUMMYFUNCTION("""COMPUTED_VALUE""")," ")</f>
        <v> </v>
      </c>
      <c r="AO2564" s="2" t="str">
        <f>IFERROR(__xludf.DUMMYFUNCTION("""COMPUTED_VALUE""")," ")</f>
        <v> </v>
      </c>
      <c r="AP2564" s="2" t="str">
        <f>IFERROR(__xludf.DUMMYFUNCTION("""COMPUTED_VALUE"""),"")</f>
        <v/>
      </c>
      <c r="AQ2564" s="2"/>
      <c r="AR2564" s="2"/>
      <c r="AS2564" s="2"/>
      <c r="AT2564" s="2"/>
      <c r="AU2564" s="2"/>
      <c r="AV2564" s="2"/>
      <c r="AW2564" s="2"/>
      <c r="AX2564" s="2"/>
      <c r="AY2564" s="2"/>
      <c r="AZ2564" s="2"/>
      <c r="BA2564" s="2"/>
      <c r="BB2564" s="2"/>
    </row>
    <row r="2565">
      <c r="A2565" s="2"/>
      <c r="B2565" s="2" t="str">
        <f>IFERROR(__xludf.DUMMYFUNCTION("""COMPUTED_VALUE"""),"")</f>
        <v/>
      </c>
      <c r="C2565" s="2"/>
      <c r="D2565" s="71"/>
      <c r="E2565" s="71" t="str">
        <f>IFERROR(__xludf.DUMMYFUNCTION("""COMPUTED_VALUE""")," ")</f>
        <v> </v>
      </c>
      <c r="F2565" s="2"/>
      <c r="G2565" s="2"/>
      <c r="H2565" s="2"/>
      <c r="I2565" s="72"/>
      <c r="J2565" s="72"/>
      <c r="K2565" s="72"/>
      <c r="L2565" s="72"/>
      <c r="M2565" s="2"/>
      <c r="N2565" s="2"/>
      <c r="O2565" s="2"/>
      <c r="P2565" s="2"/>
      <c r="Q2565" s="2"/>
      <c r="R2565" s="2"/>
      <c r="S2565" s="2"/>
      <c r="T2565" s="2"/>
      <c r="U2565" s="2"/>
      <c r="V2565" s="2"/>
      <c r="W2565" s="2"/>
      <c r="X2565" s="2"/>
      <c r="Y2565" s="2"/>
      <c r="Z2565" s="2"/>
      <c r="AA2565" s="2"/>
      <c r="AB2565" s="2"/>
      <c r="AC2565" s="2"/>
      <c r="AD2565" s="2"/>
      <c r="AE2565" s="2"/>
      <c r="AF2565" s="2"/>
      <c r="AG2565" s="2"/>
      <c r="AH2565" s="2"/>
      <c r="AI2565" s="2"/>
      <c r="AJ2565" s="2" t="str">
        <f>IFERROR(__xludf.DUMMYFUNCTION("""COMPUTED_VALUE"""),"")</f>
        <v/>
      </c>
      <c r="AK2565" s="2" t="str">
        <f>IFERROR(__xludf.DUMMYFUNCTION("""COMPUTED_VALUE"""),"")</f>
        <v/>
      </c>
      <c r="AL2565" s="2" t="str">
        <f>IFERROR(__xludf.DUMMYFUNCTION("""COMPUTED_VALUE"""),"")</f>
        <v/>
      </c>
      <c r="AM2565" s="2" t="str">
        <f>IFERROR(__xludf.DUMMYFUNCTION("""COMPUTED_VALUE"""),"")</f>
        <v/>
      </c>
      <c r="AN2565" s="2" t="str">
        <f>IFERROR(__xludf.DUMMYFUNCTION("""COMPUTED_VALUE""")," ")</f>
        <v> </v>
      </c>
      <c r="AO2565" s="2" t="str">
        <f>IFERROR(__xludf.DUMMYFUNCTION("""COMPUTED_VALUE""")," ")</f>
        <v> </v>
      </c>
      <c r="AP2565" s="2" t="str">
        <f>IFERROR(__xludf.DUMMYFUNCTION("""COMPUTED_VALUE"""),"")</f>
        <v/>
      </c>
      <c r="AQ2565" s="2"/>
      <c r="AR2565" s="2"/>
      <c r="AS2565" s="2"/>
      <c r="AT2565" s="2"/>
      <c r="AU2565" s="2"/>
      <c r="AV2565" s="2"/>
      <c r="AW2565" s="2"/>
      <c r="AX2565" s="2"/>
      <c r="AY2565" s="2"/>
      <c r="AZ2565" s="2"/>
      <c r="BA2565" s="2"/>
      <c r="BB2565" s="2"/>
    </row>
    <row r="2566">
      <c r="A2566" s="2"/>
      <c r="B2566" s="2" t="str">
        <f>IFERROR(__xludf.DUMMYFUNCTION("""COMPUTED_VALUE"""),"")</f>
        <v/>
      </c>
      <c r="C2566" s="2"/>
      <c r="D2566" s="71"/>
      <c r="E2566" s="71" t="str">
        <f>IFERROR(__xludf.DUMMYFUNCTION("""COMPUTED_VALUE""")," ")</f>
        <v> </v>
      </c>
      <c r="F2566" s="2"/>
      <c r="G2566" s="2"/>
      <c r="H2566" s="2"/>
      <c r="I2566" s="72"/>
      <c r="J2566" s="72"/>
      <c r="K2566" s="72"/>
      <c r="L2566" s="72"/>
      <c r="M2566" s="2"/>
      <c r="N2566" s="2"/>
      <c r="O2566" s="2"/>
      <c r="P2566" s="2"/>
      <c r="Q2566" s="2"/>
      <c r="R2566" s="2"/>
      <c r="S2566" s="2"/>
      <c r="T2566" s="2"/>
      <c r="U2566" s="2"/>
      <c r="V2566" s="2"/>
      <c r="W2566" s="2"/>
      <c r="X2566" s="2"/>
      <c r="Y2566" s="2"/>
      <c r="Z2566" s="2"/>
      <c r="AA2566" s="2"/>
      <c r="AB2566" s="2"/>
      <c r="AC2566" s="2"/>
      <c r="AD2566" s="2"/>
      <c r="AE2566" s="2"/>
      <c r="AF2566" s="2"/>
      <c r="AG2566" s="2"/>
      <c r="AH2566" s="2"/>
      <c r="AI2566" s="2"/>
      <c r="AJ2566" s="2" t="str">
        <f>IFERROR(__xludf.DUMMYFUNCTION("""COMPUTED_VALUE"""),"")</f>
        <v/>
      </c>
      <c r="AK2566" s="2" t="str">
        <f>IFERROR(__xludf.DUMMYFUNCTION("""COMPUTED_VALUE"""),"")</f>
        <v/>
      </c>
      <c r="AL2566" s="2" t="str">
        <f>IFERROR(__xludf.DUMMYFUNCTION("""COMPUTED_VALUE"""),"")</f>
        <v/>
      </c>
      <c r="AM2566" s="2" t="str">
        <f>IFERROR(__xludf.DUMMYFUNCTION("""COMPUTED_VALUE"""),"")</f>
        <v/>
      </c>
      <c r="AN2566" s="2" t="str">
        <f>IFERROR(__xludf.DUMMYFUNCTION("""COMPUTED_VALUE""")," ")</f>
        <v> </v>
      </c>
      <c r="AO2566" s="2" t="str">
        <f>IFERROR(__xludf.DUMMYFUNCTION("""COMPUTED_VALUE""")," ")</f>
        <v> </v>
      </c>
      <c r="AP2566" s="2" t="str">
        <f>IFERROR(__xludf.DUMMYFUNCTION("""COMPUTED_VALUE"""),"")</f>
        <v/>
      </c>
      <c r="AQ2566" s="2"/>
      <c r="AR2566" s="2"/>
      <c r="AS2566" s="2"/>
      <c r="AT2566" s="2"/>
      <c r="AU2566" s="2"/>
      <c r="AV2566" s="2"/>
      <c r="AW2566" s="2"/>
      <c r="AX2566" s="2"/>
      <c r="AY2566" s="2"/>
      <c r="AZ2566" s="2"/>
      <c r="BA2566" s="2"/>
      <c r="BB2566" s="2"/>
    </row>
    <row r="2567">
      <c r="A2567" s="2"/>
      <c r="B2567" s="2" t="str">
        <f>IFERROR(__xludf.DUMMYFUNCTION("""COMPUTED_VALUE"""),"")</f>
        <v/>
      </c>
      <c r="C2567" s="2"/>
      <c r="D2567" s="71"/>
      <c r="E2567" s="71" t="str">
        <f>IFERROR(__xludf.DUMMYFUNCTION("""COMPUTED_VALUE""")," ")</f>
        <v> </v>
      </c>
      <c r="F2567" s="2"/>
      <c r="G2567" s="2"/>
      <c r="H2567" s="2"/>
      <c r="I2567" s="72"/>
      <c r="J2567" s="72"/>
      <c r="K2567" s="72"/>
      <c r="L2567" s="72"/>
      <c r="M2567" s="2"/>
      <c r="N2567" s="2"/>
      <c r="O2567" s="2"/>
      <c r="P2567" s="2"/>
      <c r="Q2567" s="2"/>
      <c r="R2567" s="2"/>
      <c r="S2567" s="2"/>
      <c r="T2567" s="2"/>
      <c r="U2567" s="2"/>
      <c r="V2567" s="2"/>
      <c r="W2567" s="2"/>
      <c r="X2567" s="2"/>
      <c r="Y2567" s="2"/>
      <c r="Z2567" s="2"/>
      <c r="AA2567" s="2"/>
      <c r="AB2567" s="2"/>
      <c r="AC2567" s="2"/>
      <c r="AD2567" s="2"/>
      <c r="AE2567" s="2"/>
      <c r="AF2567" s="2"/>
      <c r="AG2567" s="2"/>
      <c r="AH2567" s="2"/>
      <c r="AI2567" s="2"/>
      <c r="AJ2567" s="2" t="str">
        <f>IFERROR(__xludf.DUMMYFUNCTION("""COMPUTED_VALUE"""),"")</f>
        <v/>
      </c>
      <c r="AK2567" s="2" t="str">
        <f>IFERROR(__xludf.DUMMYFUNCTION("""COMPUTED_VALUE"""),"")</f>
        <v/>
      </c>
      <c r="AL2567" s="2" t="str">
        <f>IFERROR(__xludf.DUMMYFUNCTION("""COMPUTED_VALUE"""),"")</f>
        <v/>
      </c>
      <c r="AM2567" s="2" t="str">
        <f>IFERROR(__xludf.DUMMYFUNCTION("""COMPUTED_VALUE"""),"")</f>
        <v/>
      </c>
      <c r="AN2567" s="2" t="str">
        <f>IFERROR(__xludf.DUMMYFUNCTION("""COMPUTED_VALUE""")," ")</f>
        <v> </v>
      </c>
      <c r="AO2567" s="2" t="str">
        <f>IFERROR(__xludf.DUMMYFUNCTION("""COMPUTED_VALUE""")," ")</f>
        <v> </v>
      </c>
      <c r="AP2567" s="2" t="str">
        <f>IFERROR(__xludf.DUMMYFUNCTION("""COMPUTED_VALUE"""),"")</f>
        <v/>
      </c>
      <c r="AQ2567" s="2"/>
      <c r="AR2567" s="2"/>
      <c r="AS2567" s="2"/>
      <c r="AT2567" s="2"/>
      <c r="AU2567" s="2"/>
      <c r="AV2567" s="2"/>
      <c r="AW2567" s="2"/>
      <c r="AX2567" s="2"/>
      <c r="AY2567" s="2"/>
      <c r="AZ2567" s="2"/>
      <c r="BA2567" s="2"/>
      <c r="BB2567" s="2"/>
    </row>
    <row r="2568">
      <c r="A2568" s="2"/>
      <c r="B2568" s="2" t="str">
        <f>IFERROR(__xludf.DUMMYFUNCTION("""COMPUTED_VALUE"""),"")</f>
        <v/>
      </c>
      <c r="C2568" s="2"/>
      <c r="D2568" s="71"/>
      <c r="E2568" s="71" t="str">
        <f>IFERROR(__xludf.DUMMYFUNCTION("""COMPUTED_VALUE""")," ")</f>
        <v> </v>
      </c>
      <c r="F2568" s="2"/>
      <c r="G2568" s="2"/>
      <c r="H2568" s="2"/>
      <c r="I2568" s="72"/>
      <c r="J2568" s="72"/>
      <c r="K2568" s="72"/>
      <c r="L2568" s="72"/>
      <c r="M2568" s="2"/>
      <c r="N2568" s="2"/>
      <c r="O2568" s="2"/>
      <c r="P2568" s="2"/>
      <c r="Q2568" s="2"/>
      <c r="R2568" s="2"/>
      <c r="S2568" s="2"/>
      <c r="T2568" s="2"/>
      <c r="U2568" s="2"/>
      <c r="V2568" s="2"/>
      <c r="W2568" s="2"/>
      <c r="X2568" s="2"/>
      <c r="Y2568" s="2"/>
      <c r="Z2568" s="2"/>
      <c r="AA2568" s="2"/>
      <c r="AB2568" s="2"/>
      <c r="AC2568" s="2"/>
      <c r="AD2568" s="2"/>
      <c r="AE2568" s="2"/>
      <c r="AF2568" s="2"/>
      <c r="AG2568" s="2"/>
      <c r="AH2568" s="2"/>
      <c r="AI2568" s="2"/>
      <c r="AJ2568" s="2" t="str">
        <f>IFERROR(__xludf.DUMMYFUNCTION("""COMPUTED_VALUE"""),"")</f>
        <v/>
      </c>
      <c r="AK2568" s="2" t="str">
        <f>IFERROR(__xludf.DUMMYFUNCTION("""COMPUTED_VALUE"""),"")</f>
        <v/>
      </c>
      <c r="AL2568" s="2" t="str">
        <f>IFERROR(__xludf.DUMMYFUNCTION("""COMPUTED_VALUE"""),"")</f>
        <v/>
      </c>
      <c r="AM2568" s="2" t="str">
        <f>IFERROR(__xludf.DUMMYFUNCTION("""COMPUTED_VALUE"""),"")</f>
        <v/>
      </c>
      <c r="AN2568" s="2" t="str">
        <f>IFERROR(__xludf.DUMMYFUNCTION("""COMPUTED_VALUE""")," ")</f>
        <v> </v>
      </c>
      <c r="AO2568" s="2" t="str">
        <f>IFERROR(__xludf.DUMMYFUNCTION("""COMPUTED_VALUE""")," ")</f>
        <v> </v>
      </c>
      <c r="AP2568" s="2" t="str">
        <f>IFERROR(__xludf.DUMMYFUNCTION("""COMPUTED_VALUE"""),"")</f>
        <v/>
      </c>
      <c r="AQ2568" s="2"/>
      <c r="AR2568" s="2"/>
      <c r="AS2568" s="2"/>
      <c r="AT2568" s="2"/>
      <c r="AU2568" s="2"/>
      <c r="AV2568" s="2"/>
      <c r="AW2568" s="2"/>
      <c r="AX2568" s="2"/>
      <c r="AY2568" s="2"/>
      <c r="AZ2568" s="2"/>
      <c r="BA2568" s="2"/>
      <c r="BB2568" s="2"/>
    </row>
    <row r="2569">
      <c r="A2569" s="2"/>
      <c r="B2569" s="2" t="str">
        <f>IFERROR(__xludf.DUMMYFUNCTION("""COMPUTED_VALUE"""),"")</f>
        <v/>
      </c>
      <c r="C2569" s="2"/>
      <c r="D2569" s="71"/>
      <c r="E2569" s="71" t="str">
        <f>IFERROR(__xludf.DUMMYFUNCTION("""COMPUTED_VALUE""")," ")</f>
        <v> </v>
      </c>
      <c r="F2569" s="2"/>
      <c r="G2569" s="2"/>
      <c r="H2569" s="2"/>
      <c r="I2569" s="72"/>
      <c r="J2569" s="72"/>
      <c r="K2569" s="72"/>
      <c r="L2569" s="72"/>
      <c r="M2569" s="2"/>
      <c r="N2569" s="2"/>
      <c r="O2569" s="2"/>
      <c r="P2569" s="2"/>
      <c r="Q2569" s="2"/>
      <c r="R2569" s="2"/>
      <c r="S2569" s="2"/>
      <c r="T2569" s="2"/>
      <c r="U2569" s="2"/>
      <c r="V2569" s="2"/>
      <c r="W2569" s="2"/>
      <c r="X2569" s="2"/>
      <c r="Y2569" s="2"/>
      <c r="Z2569" s="2"/>
      <c r="AA2569" s="2"/>
      <c r="AB2569" s="2"/>
      <c r="AC2569" s="2"/>
      <c r="AD2569" s="2"/>
      <c r="AE2569" s="2"/>
      <c r="AF2569" s="2"/>
      <c r="AG2569" s="2"/>
      <c r="AH2569" s="2"/>
      <c r="AI2569" s="2"/>
      <c r="AJ2569" s="2" t="str">
        <f>IFERROR(__xludf.DUMMYFUNCTION("""COMPUTED_VALUE"""),"")</f>
        <v/>
      </c>
      <c r="AK2569" s="2" t="str">
        <f>IFERROR(__xludf.DUMMYFUNCTION("""COMPUTED_VALUE"""),"")</f>
        <v/>
      </c>
      <c r="AL2569" s="2" t="str">
        <f>IFERROR(__xludf.DUMMYFUNCTION("""COMPUTED_VALUE"""),"")</f>
        <v/>
      </c>
      <c r="AM2569" s="2" t="str">
        <f>IFERROR(__xludf.DUMMYFUNCTION("""COMPUTED_VALUE"""),"")</f>
        <v/>
      </c>
      <c r="AN2569" s="2" t="str">
        <f>IFERROR(__xludf.DUMMYFUNCTION("""COMPUTED_VALUE""")," ")</f>
        <v> </v>
      </c>
      <c r="AO2569" s="2" t="str">
        <f>IFERROR(__xludf.DUMMYFUNCTION("""COMPUTED_VALUE""")," ")</f>
        <v> </v>
      </c>
      <c r="AP2569" s="2" t="str">
        <f>IFERROR(__xludf.DUMMYFUNCTION("""COMPUTED_VALUE"""),"")</f>
        <v/>
      </c>
      <c r="AQ2569" s="2"/>
      <c r="AR2569" s="2"/>
      <c r="AS2569" s="2"/>
      <c r="AT2569" s="2"/>
      <c r="AU2569" s="2"/>
      <c r="AV2569" s="2"/>
      <c r="AW2569" s="2"/>
      <c r="AX2569" s="2"/>
      <c r="AY2569" s="2"/>
      <c r="AZ2569" s="2"/>
      <c r="BA2569" s="2"/>
      <c r="BB2569" s="2"/>
    </row>
    <row r="2570">
      <c r="A2570" s="2"/>
      <c r="B2570" s="2" t="str">
        <f>IFERROR(__xludf.DUMMYFUNCTION("""COMPUTED_VALUE"""),"")</f>
        <v/>
      </c>
      <c r="C2570" s="2"/>
      <c r="D2570" s="71"/>
      <c r="E2570" s="71" t="str">
        <f>IFERROR(__xludf.DUMMYFUNCTION("""COMPUTED_VALUE""")," ")</f>
        <v> </v>
      </c>
      <c r="F2570" s="2"/>
      <c r="G2570" s="2"/>
      <c r="H2570" s="2"/>
      <c r="I2570" s="72"/>
      <c r="J2570" s="72"/>
      <c r="K2570" s="72"/>
      <c r="L2570" s="72"/>
      <c r="M2570" s="2"/>
      <c r="N2570" s="2"/>
      <c r="O2570" s="2"/>
      <c r="P2570" s="2"/>
      <c r="Q2570" s="2"/>
      <c r="R2570" s="2"/>
      <c r="S2570" s="2"/>
      <c r="T2570" s="2"/>
      <c r="U2570" s="2"/>
      <c r="V2570" s="2"/>
      <c r="W2570" s="2"/>
      <c r="X2570" s="2"/>
      <c r="Y2570" s="2"/>
      <c r="Z2570" s="2"/>
      <c r="AA2570" s="2"/>
      <c r="AB2570" s="2"/>
      <c r="AC2570" s="2"/>
      <c r="AD2570" s="2"/>
      <c r="AE2570" s="2"/>
      <c r="AF2570" s="2"/>
      <c r="AG2570" s="2"/>
      <c r="AH2570" s="2"/>
      <c r="AI2570" s="2"/>
      <c r="AJ2570" s="2" t="str">
        <f>IFERROR(__xludf.DUMMYFUNCTION("""COMPUTED_VALUE"""),"")</f>
        <v/>
      </c>
      <c r="AK2570" s="2" t="str">
        <f>IFERROR(__xludf.DUMMYFUNCTION("""COMPUTED_VALUE"""),"")</f>
        <v/>
      </c>
      <c r="AL2570" s="2" t="str">
        <f>IFERROR(__xludf.DUMMYFUNCTION("""COMPUTED_VALUE"""),"")</f>
        <v/>
      </c>
      <c r="AM2570" s="2" t="str">
        <f>IFERROR(__xludf.DUMMYFUNCTION("""COMPUTED_VALUE"""),"")</f>
        <v/>
      </c>
      <c r="AN2570" s="2" t="str">
        <f>IFERROR(__xludf.DUMMYFUNCTION("""COMPUTED_VALUE""")," ")</f>
        <v> </v>
      </c>
      <c r="AO2570" s="2" t="str">
        <f>IFERROR(__xludf.DUMMYFUNCTION("""COMPUTED_VALUE""")," ")</f>
        <v> </v>
      </c>
      <c r="AP2570" s="2" t="str">
        <f>IFERROR(__xludf.DUMMYFUNCTION("""COMPUTED_VALUE"""),"")</f>
        <v/>
      </c>
      <c r="AQ2570" s="2"/>
      <c r="AR2570" s="2"/>
      <c r="AS2570" s="2"/>
      <c r="AT2570" s="2"/>
      <c r="AU2570" s="2"/>
      <c r="AV2570" s="2"/>
      <c r="AW2570" s="2"/>
      <c r="AX2570" s="2"/>
      <c r="AY2570" s="2"/>
      <c r="AZ2570" s="2"/>
      <c r="BA2570" s="2"/>
      <c r="BB2570" s="2"/>
    </row>
    <row r="2571">
      <c r="A2571" s="2"/>
      <c r="B2571" s="2" t="str">
        <f>IFERROR(__xludf.DUMMYFUNCTION("""COMPUTED_VALUE"""),"")</f>
        <v/>
      </c>
      <c r="C2571" s="2"/>
      <c r="D2571" s="71"/>
      <c r="E2571" s="71" t="str">
        <f>IFERROR(__xludf.DUMMYFUNCTION("""COMPUTED_VALUE""")," ")</f>
        <v> </v>
      </c>
      <c r="F2571" s="2"/>
      <c r="G2571" s="2"/>
      <c r="H2571" s="2"/>
      <c r="I2571" s="72"/>
      <c r="J2571" s="72"/>
      <c r="K2571" s="72"/>
      <c r="L2571" s="72"/>
      <c r="M2571" s="2"/>
      <c r="N2571" s="2"/>
      <c r="O2571" s="2"/>
      <c r="P2571" s="2"/>
      <c r="Q2571" s="2"/>
      <c r="R2571" s="2"/>
      <c r="S2571" s="2"/>
      <c r="T2571" s="2"/>
      <c r="U2571" s="2"/>
      <c r="V2571" s="2"/>
      <c r="W2571" s="2"/>
      <c r="X2571" s="2"/>
      <c r="Y2571" s="2"/>
      <c r="Z2571" s="2"/>
      <c r="AA2571" s="2"/>
      <c r="AB2571" s="2"/>
      <c r="AC2571" s="2"/>
      <c r="AD2571" s="2"/>
      <c r="AE2571" s="2"/>
      <c r="AF2571" s="2"/>
      <c r="AG2571" s="2"/>
      <c r="AH2571" s="2"/>
      <c r="AI2571" s="2"/>
      <c r="AJ2571" s="2" t="str">
        <f>IFERROR(__xludf.DUMMYFUNCTION("""COMPUTED_VALUE"""),"")</f>
        <v/>
      </c>
      <c r="AK2571" s="2" t="str">
        <f>IFERROR(__xludf.DUMMYFUNCTION("""COMPUTED_VALUE"""),"")</f>
        <v/>
      </c>
      <c r="AL2571" s="2" t="str">
        <f>IFERROR(__xludf.DUMMYFUNCTION("""COMPUTED_VALUE"""),"")</f>
        <v/>
      </c>
      <c r="AM2571" s="2" t="str">
        <f>IFERROR(__xludf.DUMMYFUNCTION("""COMPUTED_VALUE"""),"")</f>
        <v/>
      </c>
      <c r="AN2571" s="2" t="str">
        <f>IFERROR(__xludf.DUMMYFUNCTION("""COMPUTED_VALUE""")," ")</f>
        <v> </v>
      </c>
      <c r="AO2571" s="2" t="str">
        <f>IFERROR(__xludf.DUMMYFUNCTION("""COMPUTED_VALUE""")," ")</f>
        <v> </v>
      </c>
      <c r="AP2571" s="2" t="str">
        <f>IFERROR(__xludf.DUMMYFUNCTION("""COMPUTED_VALUE"""),"")</f>
        <v/>
      </c>
      <c r="AQ2571" s="2"/>
      <c r="AR2571" s="2"/>
      <c r="AS2571" s="2"/>
      <c r="AT2571" s="2"/>
      <c r="AU2571" s="2"/>
      <c r="AV2571" s="2"/>
      <c r="AW2571" s="2"/>
      <c r="AX2571" s="2"/>
      <c r="AY2571" s="2"/>
      <c r="AZ2571" s="2"/>
      <c r="BA2571" s="2"/>
      <c r="BB2571" s="2"/>
    </row>
    <row r="2572">
      <c r="A2572" s="2"/>
      <c r="B2572" s="2" t="str">
        <f>IFERROR(__xludf.DUMMYFUNCTION("""COMPUTED_VALUE"""),"")</f>
        <v/>
      </c>
      <c r="C2572" s="2"/>
      <c r="D2572" s="71"/>
      <c r="E2572" s="71" t="str">
        <f>IFERROR(__xludf.DUMMYFUNCTION("""COMPUTED_VALUE""")," ")</f>
        <v> </v>
      </c>
      <c r="F2572" s="2"/>
      <c r="G2572" s="2"/>
      <c r="H2572" s="2"/>
      <c r="I2572" s="72"/>
      <c r="J2572" s="72"/>
      <c r="K2572" s="72"/>
      <c r="L2572" s="72"/>
      <c r="M2572" s="2"/>
      <c r="N2572" s="2"/>
      <c r="O2572" s="2"/>
      <c r="P2572" s="2"/>
      <c r="Q2572" s="2"/>
      <c r="R2572" s="2"/>
      <c r="S2572" s="2"/>
      <c r="T2572" s="2"/>
      <c r="U2572" s="2"/>
      <c r="V2572" s="2"/>
      <c r="W2572" s="2"/>
      <c r="X2572" s="2"/>
      <c r="Y2572" s="2"/>
      <c r="Z2572" s="2"/>
      <c r="AA2572" s="2"/>
      <c r="AB2572" s="2"/>
      <c r="AC2572" s="2"/>
      <c r="AD2572" s="2"/>
      <c r="AE2572" s="2"/>
      <c r="AF2572" s="2"/>
      <c r="AG2572" s="2"/>
      <c r="AH2572" s="2"/>
      <c r="AI2572" s="2"/>
      <c r="AJ2572" s="2" t="str">
        <f>IFERROR(__xludf.DUMMYFUNCTION("""COMPUTED_VALUE"""),"")</f>
        <v/>
      </c>
      <c r="AK2572" s="2" t="str">
        <f>IFERROR(__xludf.DUMMYFUNCTION("""COMPUTED_VALUE"""),"")</f>
        <v/>
      </c>
      <c r="AL2572" s="2" t="str">
        <f>IFERROR(__xludf.DUMMYFUNCTION("""COMPUTED_VALUE"""),"")</f>
        <v/>
      </c>
      <c r="AM2572" s="2" t="str">
        <f>IFERROR(__xludf.DUMMYFUNCTION("""COMPUTED_VALUE"""),"")</f>
        <v/>
      </c>
      <c r="AN2572" s="2" t="str">
        <f>IFERROR(__xludf.DUMMYFUNCTION("""COMPUTED_VALUE""")," ")</f>
        <v> </v>
      </c>
      <c r="AO2572" s="2" t="str">
        <f>IFERROR(__xludf.DUMMYFUNCTION("""COMPUTED_VALUE""")," ")</f>
        <v> </v>
      </c>
      <c r="AP2572" s="2" t="str">
        <f>IFERROR(__xludf.DUMMYFUNCTION("""COMPUTED_VALUE"""),"")</f>
        <v/>
      </c>
      <c r="AQ2572" s="2"/>
      <c r="AR2572" s="2"/>
      <c r="AS2572" s="2"/>
      <c r="AT2572" s="2"/>
      <c r="AU2572" s="2"/>
      <c r="AV2572" s="2"/>
      <c r="AW2572" s="2"/>
      <c r="AX2572" s="2"/>
      <c r="AY2572" s="2"/>
      <c r="AZ2572" s="2"/>
      <c r="BA2572" s="2"/>
      <c r="BB2572" s="2"/>
    </row>
    <row r="2573">
      <c r="A2573" s="2"/>
      <c r="B2573" s="2" t="str">
        <f>IFERROR(__xludf.DUMMYFUNCTION("""COMPUTED_VALUE"""),"")</f>
        <v/>
      </c>
      <c r="C2573" s="2"/>
      <c r="D2573" s="71"/>
      <c r="E2573" s="71" t="str">
        <f>IFERROR(__xludf.DUMMYFUNCTION("""COMPUTED_VALUE""")," ")</f>
        <v> </v>
      </c>
      <c r="F2573" s="2"/>
      <c r="G2573" s="2"/>
      <c r="H2573" s="2"/>
      <c r="I2573" s="72"/>
      <c r="J2573" s="72"/>
      <c r="K2573" s="72"/>
      <c r="L2573" s="72"/>
      <c r="M2573" s="2"/>
      <c r="N2573" s="2"/>
      <c r="O2573" s="2"/>
      <c r="P2573" s="2"/>
      <c r="Q2573" s="2"/>
      <c r="R2573" s="2"/>
      <c r="S2573" s="2"/>
      <c r="T2573" s="2"/>
      <c r="U2573" s="2"/>
      <c r="V2573" s="2"/>
      <c r="W2573" s="2"/>
      <c r="X2573" s="2"/>
      <c r="Y2573" s="2"/>
      <c r="Z2573" s="2"/>
      <c r="AA2573" s="2"/>
      <c r="AB2573" s="2"/>
      <c r="AC2573" s="2"/>
      <c r="AD2573" s="2"/>
      <c r="AE2573" s="2"/>
      <c r="AF2573" s="2"/>
      <c r="AG2573" s="2"/>
      <c r="AH2573" s="2"/>
      <c r="AI2573" s="2"/>
      <c r="AJ2573" s="2" t="str">
        <f>IFERROR(__xludf.DUMMYFUNCTION("""COMPUTED_VALUE"""),"")</f>
        <v/>
      </c>
      <c r="AK2573" s="2" t="str">
        <f>IFERROR(__xludf.DUMMYFUNCTION("""COMPUTED_VALUE"""),"")</f>
        <v/>
      </c>
      <c r="AL2573" s="2" t="str">
        <f>IFERROR(__xludf.DUMMYFUNCTION("""COMPUTED_VALUE"""),"")</f>
        <v/>
      </c>
      <c r="AM2573" s="2" t="str">
        <f>IFERROR(__xludf.DUMMYFUNCTION("""COMPUTED_VALUE"""),"")</f>
        <v/>
      </c>
      <c r="AN2573" s="2" t="str">
        <f>IFERROR(__xludf.DUMMYFUNCTION("""COMPUTED_VALUE""")," ")</f>
        <v> </v>
      </c>
      <c r="AO2573" s="2" t="str">
        <f>IFERROR(__xludf.DUMMYFUNCTION("""COMPUTED_VALUE""")," ")</f>
        <v> </v>
      </c>
      <c r="AP2573" s="2" t="str">
        <f>IFERROR(__xludf.DUMMYFUNCTION("""COMPUTED_VALUE"""),"")</f>
        <v/>
      </c>
      <c r="AQ2573" s="2"/>
      <c r="AR2573" s="2"/>
      <c r="AS2573" s="2"/>
      <c r="AT2573" s="2"/>
      <c r="AU2573" s="2"/>
      <c r="AV2573" s="2"/>
      <c r="AW2573" s="2"/>
      <c r="AX2573" s="2"/>
      <c r="AY2573" s="2"/>
      <c r="AZ2573" s="2"/>
      <c r="BA2573" s="2"/>
      <c r="BB2573" s="2"/>
    </row>
    <row r="2574">
      <c r="A2574" s="2"/>
      <c r="B2574" s="2" t="str">
        <f>IFERROR(__xludf.DUMMYFUNCTION("""COMPUTED_VALUE"""),"")</f>
        <v/>
      </c>
      <c r="C2574" s="2"/>
      <c r="D2574" s="71"/>
      <c r="E2574" s="71" t="str">
        <f>IFERROR(__xludf.DUMMYFUNCTION("""COMPUTED_VALUE""")," ")</f>
        <v> </v>
      </c>
      <c r="F2574" s="2"/>
      <c r="G2574" s="2"/>
      <c r="H2574" s="2"/>
      <c r="I2574" s="72"/>
      <c r="J2574" s="72"/>
      <c r="K2574" s="72"/>
      <c r="L2574" s="72"/>
      <c r="M2574" s="2"/>
      <c r="N2574" s="2"/>
      <c r="O2574" s="2"/>
      <c r="P2574" s="2"/>
      <c r="Q2574" s="2"/>
      <c r="R2574" s="2"/>
      <c r="S2574" s="2"/>
      <c r="T2574" s="2"/>
      <c r="U2574" s="2"/>
      <c r="V2574" s="2"/>
      <c r="W2574" s="2"/>
      <c r="X2574" s="2"/>
      <c r="Y2574" s="2"/>
      <c r="Z2574" s="2"/>
      <c r="AA2574" s="2"/>
      <c r="AB2574" s="2"/>
      <c r="AC2574" s="2"/>
      <c r="AD2574" s="2"/>
      <c r="AE2574" s="2"/>
      <c r="AF2574" s="2"/>
      <c r="AG2574" s="2"/>
      <c r="AH2574" s="2"/>
      <c r="AI2574" s="2"/>
      <c r="AJ2574" s="2" t="str">
        <f>IFERROR(__xludf.DUMMYFUNCTION("""COMPUTED_VALUE"""),"")</f>
        <v/>
      </c>
      <c r="AK2574" s="2" t="str">
        <f>IFERROR(__xludf.DUMMYFUNCTION("""COMPUTED_VALUE"""),"")</f>
        <v/>
      </c>
      <c r="AL2574" s="2" t="str">
        <f>IFERROR(__xludf.DUMMYFUNCTION("""COMPUTED_VALUE"""),"")</f>
        <v/>
      </c>
      <c r="AM2574" s="2" t="str">
        <f>IFERROR(__xludf.DUMMYFUNCTION("""COMPUTED_VALUE"""),"")</f>
        <v/>
      </c>
      <c r="AN2574" s="2" t="str">
        <f>IFERROR(__xludf.DUMMYFUNCTION("""COMPUTED_VALUE""")," ")</f>
        <v> </v>
      </c>
      <c r="AO2574" s="2" t="str">
        <f>IFERROR(__xludf.DUMMYFUNCTION("""COMPUTED_VALUE""")," ")</f>
        <v> </v>
      </c>
      <c r="AP2574" s="2" t="str">
        <f>IFERROR(__xludf.DUMMYFUNCTION("""COMPUTED_VALUE"""),"")</f>
        <v/>
      </c>
      <c r="AQ2574" s="2"/>
      <c r="AR2574" s="2"/>
      <c r="AS2574" s="2"/>
      <c r="AT2574" s="2"/>
      <c r="AU2574" s="2"/>
      <c r="AV2574" s="2"/>
      <c r="AW2574" s="2"/>
      <c r="AX2574" s="2"/>
      <c r="AY2574" s="2"/>
      <c r="AZ2574" s="2"/>
      <c r="BA2574" s="2"/>
      <c r="BB2574" s="2"/>
    </row>
    <row r="2575">
      <c r="A2575" s="2"/>
      <c r="B2575" s="2" t="str">
        <f>IFERROR(__xludf.DUMMYFUNCTION("""COMPUTED_VALUE"""),"")</f>
        <v/>
      </c>
      <c r="C2575" s="2"/>
      <c r="D2575" s="71"/>
      <c r="E2575" s="71" t="str">
        <f>IFERROR(__xludf.DUMMYFUNCTION("""COMPUTED_VALUE""")," ")</f>
        <v> </v>
      </c>
      <c r="F2575" s="2"/>
      <c r="G2575" s="2"/>
      <c r="H2575" s="2"/>
      <c r="I2575" s="72"/>
      <c r="J2575" s="72"/>
      <c r="K2575" s="72"/>
      <c r="L2575" s="72"/>
      <c r="M2575" s="2"/>
      <c r="N2575" s="2"/>
      <c r="O2575" s="2"/>
      <c r="P2575" s="2"/>
      <c r="Q2575" s="2"/>
      <c r="R2575" s="2"/>
      <c r="S2575" s="2"/>
      <c r="T2575" s="2"/>
      <c r="U2575" s="2"/>
      <c r="V2575" s="2"/>
      <c r="W2575" s="2"/>
      <c r="X2575" s="2"/>
      <c r="Y2575" s="2"/>
      <c r="Z2575" s="2"/>
      <c r="AA2575" s="2"/>
      <c r="AB2575" s="2"/>
      <c r="AC2575" s="2"/>
      <c r="AD2575" s="2"/>
      <c r="AE2575" s="2"/>
      <c r="AF2575" s="2"/>
      <c r="AG2575" s="2"/>
      <c r="AH2575" s="2"/>
      <c r="AI2575" s="2"/>
      <c r="AJ2575" s="2" t="str">
        <f>IFERROR(__xludf.DUMMYFUNCTION("""COMPUTED_VALUE"""),"")</f>
        <v/>
      </c>
      <c r="AK2575" s="2" t="str">
        <f>IFERROR(__xludf.DUMMYFUNCTION("""COMPUTED_VALUE"""),"")</f>
        <v/>
      </c>
      <c r="AL2575" s="2" t="str">
        <f>IFERROR(__xludf.DUMMYFUNCTION("""COMPUTED_VALUE"""),"")</f>
        <v/>
      </c>
      <c r="AM2575" s="2" t="str">
        <f>IFERROR(__xludf.DUMMYFUNCTION("""COMPUTED_VALUE"""),"")</f>
        <v/>
      </c>
      <c r="AN2575" s="2" t="str">
        <f>IFERROR(__xludf.DUMMYFUNCTION("""COMPUTED_VALUE""")," ")</f>
        <v> </v>
      </c>
      <c r="AO2575" s="2" t="str">
        <f>IFERROR(__xludf.DUMMYFUNCTION("""COMPUTED_VALUE""")," ")</f>
        <v> </v>
      </c>
      <c r="AP2575" s="2" t="str">
        <f>IFERROR(__xludf.DUMMYFUNCTION("""COMPUTED_VALUE"""),"")</f>
        <v/>
      </c>
      <c r="AQ2575" s="2"/>
      <c r="AR2575" s="2"/>
      <c r="AS2575" s="2"/>
      <c r="AT2575" s="2"/>
      <c r="AU2575" s="2"/>
      <c r="AV2575" s="2"/>
      <c r="AW2575" s="2"/>
      <c r="AX2575" s="2"/>
      <c r="AY2575" s="2"/>
      <c r="AZ2575" s="2"/>
      <c r="BA2575" s="2"/>
      <c r="BB2575" s="2"/>
    </row>
    <row r="2576">
      <c r="A2576" s="2"/>
      <c r="B2576" s="2" t="str">
        <f>IFERROR(__xludf.DUMMYFUNCTION("""COMPUTED_VALUE"""),"")</f>
        <v/>
      </c>
      <c r="C2576" s="2"/>
      <c r="D2576" s="71"/>
      <c r="E2576" s="71" t="str">
        <f>IFERROR(__xludf.DUMMYFUNCTION("""COMPUTED_VALUE""")," ")</f>
        <v> </v>
      </c>
      <c r="F2576" s="2"/>
      <c r="G2576" s="2"/>
      <c r="H2576" s="2"/>
      <c r="I2576" s="72"/>
      <c r="J2576" s="72"/>
      <c r="K2576" s="72"/>
      <c r="L2576" s="72"/>
      <c r="M2576" s="2"/>
      <c r="N2576" s="2"/>
      <c r="O2576" s="2"/>
      <c r="P2576" s="2"/>
      <c r="Q2576" s="2"/>
      <c r="R2576" s="2"/>
      <c r="S2576" s="2"/>
      <c r="T2576" s="2"/>
      <c r="U2576" s="2"/>
      <c r="V2576" s="2"/>
      <c r="W2576" s="2"/>
      <c r="X2576" s="2"/>
      <c r="Y2576" s="2"/>
      <c r="Z2576" s="2"/>
      <c r="AA2576" s="2"/>
      <c r="AB2576" s="2"/>
      <c r="AC2576" s="2"/>
      <c r="AD2576" s="2"/>
      <c r="AE2576" s="2"/>
      <c r="AF2576" s="2"/>
      <c r="AG2576" s="2"/>
      <c r="AH2576" s="2"/>
      <c r="AI2576" s="2"/>
      <c r="AJ2576" s="2" t="str">
        <f>IFERROR(__xludf.DUMMYFUNCTION("""COMPUTED_VALUE"""),"")</f>
        <v/>
      </c>
      <c r="AK2576" s="2" t="str">
        <f>IFERROR(__xludf.DUMMYFUNCTION("""COMPUTED_VALUE"""),"")</f>
        <v/>
      </c>
      <c r="AL2576" s="2" t="str">
        <f>IFERROR(__xludf.DUMMYFUNCTION("""COMPUTED_VALUE"""),"")</f>
        <v/>
      </c>
      <c r="AM2576" s="2" t="str">
        <f>IFERROR(__xludf.DUMMYFUNCTION("""COMPUTED_VALUE"""),"")</f>
        <v/>
      </c>
      <c r="AN2576" s="2" t="str">
        <f>IFERROR(__xludf.DUMMYFUNCTION("""COMPUTED_VALUE""")," ")</f>
        <v> </v>
      </c>
      <c r="AO2576" s="2" t="str">
        <f>IFERROR(__xludf.DUMMYFUNCTION("""COMPUTED_VALUE""")," ")</f>
        <v> </v>
      </c>
      <c r="AP2576" s="2" t="str">
        <f>IFERROR(__xludf.DUMMYFUNCTION("""COMPUTED_VALUE"""),"")</f>
        <v/>
      </c>
      <c r="AQ2576" s="2"/>
      <c r="AR2576" s="2"/>
      <c r="AS2576" s="2"/>
      <c r="AT2576" s="2"/>
      <c r="AU2576" s="2"/>
      <c r="AV2576" s="2"/>
      <c r="AW2576" s="2"/>
      <c r="AX2576" s="2"/>
      <c r="AY2576" s="2"/>
      <c r="AZ2576" s="2"/>
      <c r="BA2576" s="2"/>
      <c r="BB2576" s="2"/>
    </row>
    <row r="2577">
      <c r="A2577" s="2"/>
      <c r="B2577" s="2" t="str">
        <f>IFERROR(__xludf.DUMMYFUNCTION("""COMPUTED_VALUE"""),"")</f>
        <v/>
      </c>
      <c r="C2577" s="2"/>
      <c r="D2577" s="71"/>
      <c r="E2577" s="71" t="str">
        <f>IFERROR(__xludf.DUMMYFUNCTION("""COMPUTED_VALUE""")," ")</f>
        <v> </v>
      </c>
      <c r="F2577" s="2"/>
      <c r="G2577" s="2"/>
      <c r="H2577" s="2"/>
      <c r="I2577" s="72"/>
      <c r="J2577" s="72"/>
      <c r="K2577" s="72"/>
      <c r="L2577" s="72"/>
      <c r="M2577" s="2"/>
      <c r="N2577" s="2"/>
      <c r="O2577" s="2"/>
      <c r="P2577" s="2"/>
      <c r="Q2577" s="2"/>
      <c r="R2577" s="2"/>
      <c r="S2577" s="2"/>
      <c r="T2577" s="2"/>
      <c r="U2577" s="2"/>
      <c r="V2577" s="2"/>
      <c r="W2577" s="2"/>
      <c r="X2577" s="2"/>
      <c r="Y2577" s="2"/>
      <c r="Z2577" s="2"/>
      <c r="AA2577" s="2"/>
      <c r="AB2577" s="2"/>
      <c r="AC2577" s="2"/>
      <c r="AD2577" s="2"/>
      <c r="AE2577" s="2"/>
      <c r="AF2577" s="2"/>
      <c r="AG2577" s="2"/>
      <c r="AH2577" s="2"/>
      <c r="AI2577" s="2"/>
      <c r="AJ2577" s="2" t="str">
        <f>IFERROR(__xludf.DUMMYFUNCTION("""COMPUTED_VALUE"""),"")</f>
        <v/>
      </c>
      <c r="AK2577" s="2" t="str">
        <f>IFERROR(__xludf.DUMMYFUNCTION("""COMPUTED_VALUE"""),"")</f>
        <v/>
      </c>
      <c r="AL2577" s="2" t="str">
        <f>IFERROR(__xludf.DUMMYFUNCTION("""COMPUTED_VALUE"""),"")</f>
        <v/>
      </c>
      <c r="AM2577" s="2" t="str">
        <f>IFERROR(__xludf.DUMMYFUNCTION("""COMPUTED_VALUE"""),"")</f>
        <v/>
      </c>
      <c r="AN2577" s="2" t="str">
        <f>IFERROR(__xludf.DUMMYFUNCTION("""COMPUTED_VALUE""")," ")</f>
        <v> </v>
      </c>
      <c r="AO2577" s="2" t="str">
        <f>IFERROR(__xludf.DUMMYFUNCTION("""COMPUTED_VALUE""")," ")</f>
        <v> </v>
      </c>
      <c r="AP2577" s="2" t="str">
        <f>IFERROR(__xludf.DUMMYFUNCTION("""COMPUTED_VALUE"""),"")</f>
        <v/>
      </c>
      <c r="AQ2577" s="2"/>
      <c r="AR2577" s="2"/>
      <c r="AS2577" s="2"/>
      <c r="AT2577" s="2"/>
      <c r="AU2577" s="2"/>
      <c r="AV2577" s="2"/>
      <c r="AW2577" s="2"/>
      <c r="AX2577" s="2"/>
      <c r="AY2577" s="2"/>
      <c r="AZ2577" s="2"/>
      <c r="BA2577" s="2"/>
      <c r="BB2577" s="2"/>
    </row>
    <row r="2578">
      <c r="A2578" s="2"/>
      <c r="B2578" s="2" t="str">
        <f>IFERROR(__xludf.DUMMYFUNCTION("""COMPUTED_VALUE"""),"")</f>
        <v/>
      </c>
      <c r="C2578" s="2"/>
      <c r="D2578" s="71"/>
      <c r="E2578" s="71" t="str">
        <f>IFERROR(__xludf.DUMMYFUNCTION("""COMPUTED_VALUE""")," ")</f>
        <v> </v>
      </c>
      <c r="F2578" s="2"/>
      <c r="G2578" s="2"/>
      <c r="H2578" s="2"/>
      <c r="I2578" s="72"/>
      <c r="J2578" s="72"/>
      <c r="K2578" s="72"/>
      <c r="L2578" s="72"/>
      <c r="M2578" s="2"/>
      <c r="N2578" s="2"/>
      <c r="O2578" s="2"/>
      <c r="P2578" s="2"/>
      <c r="Q2578" s="2"/>
      <c r="R2578" s="2"/>
      <c r="S2578" s="2"/>
      <c r="T2578" s="2"/>
      <c r="U2578" s="2"/>
      <c r="V2578" s="2"/>
      <c r="W2578" s="2"/>
      <c r="X2578" s="2"/>
      <c r="Y2578" s="2"/>
      <c r="Z2578" s="2"/>
      <c r="AA2578" s="2"/>
      <c r="AB2578" s="2"/>
      <c r="AC2578" s="2"/>
      <c r="AD2578" s="2"/>
      <c r="AE2578" s="2"/>
      <c r="AF2578" s="2"/>
      <c r="AG2578" s="2"/>
      <c r="AH2578" s="2"/>
      <c r="AI2578" s="2"/>
      <c r="AJ2578" s="2" t="str">
        <f>IFERROR(__xludf.DUMMYFUNCTION("""COMPUTED_VALUE"""),"")</f>
        <v/>
      </c>
      <c r="AK2578" s="2" t="str">
        <f>IFERROR(__xludf.DUMMYFUNCTION("""COMPUTED_VALUE"""),"")</f>
        <v/>
      </c>
      <c r="AL2578" s="2" t="str">
        <f>IFERROR(__xludf.DUMMYFUNCTION("""COMPUTED_VALUE"""),"")</f>
        <v/>
      </c>
      <c r="AM2578" s="2" t="str">
        <f>IFERROR(__xludf.DUMMYFUNCTION("""COMPUTED_VALUE"""),"")</f>
        <v/>
      </c>
      <c r="AN2578" s="2" t="str">
        <f>IFERROR(__xludf.DUMMYFUNCTION("""COMPUTED_VALUE""")," ")</f>
        <v> </v>
      </c>
      <c r="AO2578" s="2" t="str">
        <f>IFERROR(__xludf.DUMMYFUNCTION("""COMPUTED_VALUE""")," ")</f>
        <v> </v>
      </c>
      <c r="AP2578" s="2" t="str">
        <f>IFERROR(__xludf.DUMMYFUNCTION("""COMPUTED_VALUE"""),"")</f>
        <v/>
      </c>
      <c r="AQ2578" s="2"/>
      <c r="AR2578" s="2"/>
      <c r="AS2578" s="2"/>
      <c r="AT2578" s="2"/>
      <c r="AU2578" s="2"/>
      <c r="AV2578" s="2"/>
      <c r="AW2578" s="2"/>
      <c r="AX2578" s="2"/>
      <c r="AY2578" s="2"/>
      <c r="AZ2578" s="2"/>
      <c r="BA2578" s="2"/>
      <c r="BB2578" s="2"/>
    </row>
    <row r="2579">
      <c r="A2579" s="2"/>
      <c r="B2579" s="2" t="str">
        <f>IFERROR(__xludf.DUMMYFUNCTION("""COMPUTED_VALUE"""),"")</f>
        <v/>
      </c>
      <c r="C2579" s="2"/>
      <c r="D2579" s="71"/>
      <c r="E2579" s="71" t="str">
        <f>IFERROR(__xludf.DUMMYFUNCTION("""COMPUTED_VALUE""")," ")</f>
        <v> </v>
      </c>
      <c r="F2579" s="2"/>
      <c r="G2579" s="2"/>
      <c r="H2579" s="2"/>
      <c r="I2579" s="72"/>
      <c r="J2579" s="72"/>
      <c r="K2579" s="72"/>
      <c r="L2579" s="72"/>
      <c r="M2579" s="2"/>
      <c r="N2579" s="2"/>
      <c r="O2579" s="2"/>
      <c r="P2579" s="2"/>
      <c r="Q2579" s="2"/>
      <c r="R2579" s="2"/>
      <c r="S2579" s="2"/>
      <c r="T2579" s="2"/>
      <c r="U2579" s="2"/>
      <c r="V2579" s="2"/>
      <c r="W2579" s="2"/>
      <c r="X2579" s="2"/>
      <c r="Y2579" s="2"/>
      <c r="Z2579" s="2"/>
      <c r="AA2579" s="2"/>
      <c r="AB2579" s="2"/>
      <c r="AC2579" s="2"/>
      <c r="AD2579" s="2"/>
      <c r="AE2579" s="2"/>
      <c r="AF2579" s="2"/>
      <c r="AG2579" s="2"/>
      <c r="AH2579" s="2"/>
      <c r="AI2579" s="2"/>
      <c r="AJ2579" s="2" t="str">
        <f>IFERROR(__xludf.DUMMYFUNCTION("""COMPUTED_VALUE"""),"")</f>
        <v/>
      </c>
      <c r="AK2579" s="2" t="str">
        <f>IFERROR(__xludf.DUMMYFUNCTION("""COMPUTED_VALUE"""),"")</f>
        <v/>
      </c>
      <c r="AL2579" s="2" t="str">
        <f>IFERROR(__xludf.DUMMYFUNCTION("""COMPUTED_VALUE"""),"")</f>
        <v/>
      </c>
      <c r="AM2579" s="2" t="str">
        <f>IFERROR(__xludf.DUMMYFUNCTION("""COMPUTED_VALUE"""),"")</f>
        <v/>
      </c>
      <c r="AN2579" s="2" t="str">
        <f>IFERROR(__xludf.DUMMYFUNCTION("""COMPUTED_VALUE""")," ")</f>
        <v> </v>
      </c>
      <c r="AO2579" s="2" t="str">
        <f>IFERROR(__xludf.DUMMYFUNCTION("""COMPUTED_VALUE""")," ")</f>
        <v> </v>
      </c>
      <c r="AP2579" s="2" t="str">
        <f>IFERROR(__xludf.DUMMYFUNCTION("""COMPUTED_VALUE"""),"")</f>
        <v/>
      </c>
      <c r="AQ2579" s="2"/>
      <c r="AR2579" s="2"/>
      <c r="AS2579" s="2"/>
      <c r="AT2579" s="2"/>
      <c r="AU2579" s="2"/>
      <c r="AV2579" s="2"/>
      <c r="AW2579" s="2"/>
      <c r="AX2579" s="2"/>
      <c r="AY2579" s="2"/>
      <c r="AZ2579" s="2"/>
      <c r="BA2579" s="2"/>
      <c r="BB2579" s="2"/>
    </row>
    <row r="2580">
      <c r="A2580" s="2"/>
      <c r="B2580" s="2" t="str">
        <f>IFERROR(__xludf.DUMMYFUNCTION("""COMPUTED_VALUE"""),"")</f>
        <v/>
      </c>
      <c r="C2580" s="2"/>
      <c r="D2580" s="71"/>
      <c r="E2580" s="71" t="str">
        <f>IFERROR(__xludf.DUMMYFUNCTION("""COMPUTED_VALUE""")," ")</f>
        <v> </v>
      </c>
      <c r="F2580" s="2"/>
      <c r="G2580" s="2"/>
      <c r="H2580" s="2"/>
      <c r="I2580" s="72"/>
      <c r="J2580" s="72"/>
      <c r="K2580" s="72"/>
      <c r="L2580" s="72"/>
      <c r="M2580" s="2"/>
      <c r="N2580" s="2"/>
      <c r="O2580" s="2"/>
      <c r="P2580" s="2"/>
      <c r="Q2580" s="2"/>
      <c r="R2580" s="2"/>
      <c r="S2580" s="2"/>
      <c r="T2580" s="2"/>
      <c r="U2580" s="2"/>
      <c r="V2580" s="2"/>
      <c r="W2580" s="2"/>
      <c r="X2580" s="2"/>
      <c r="Y2580" s="2"/>
      <c r="Z2580" s="2"/>
      <c r="AA2580" s="2"/>
      <c r="AB2580" s="2"/>
      <c r="AC2580" s="2"/>
      <c r="AD2580" s="2"/>
      <c r="AE2580" s="2"/>
      <c r="AF2580" s="2"/>
      <c r="AG2580" s="2"/>
      <c r="AH2580" s="2"/>
      <c r="AI2580" s="2"/>
      <c r="AJ2580" s="2" t="str">
        <f>IFERROR(__xludf.DUMMYFUNCTION("""COMPUTED_VALUE"""),"")</f>
        <v/>
      </c>
      <c r="AK2580" s="2" t="str">
        <f>IFERROR(__xludf.DUMMYFUNCTION("""COMPUTED_VALUE"""),"")</f>
        <v/>
      </c>
      <c r="AL2580" s="2" t="str">
        <f>IFERROR(__xludf.DUMMYFUNCTION("""COMPUTED_VALUE"""),"")</f>
        <v/>
      </c>
      <c r="AM2580" s="2" t="str">
        <f>IFERROR(__xludf.DUMMYFUNCTION("""COMPUTED_VALUE"""),"")</f>
        <v/>
      </c>
      <c r="AN2580" s="2" t="str">
        <f>IFERROR(__xludf.DUMMYFUNCTION("""COMPUTED_VALUE""")," ")</f>
        <v> </v>
      </c>
      <c r="AO2580" s="2" t="str">
        <f>IFERROR(__xludf.DUMMYFUNCTION("""COMPUTED_VALUE""")," ")</f>
        <v> </v>
      </c>
      <c r="AP2580" s="2" t="str">
        <f>IFERROR(__xludf.DUMMYFUNCTION("""COMPUTED_VALUE"""),"")</f>
        <v/>
      </c>
      <c r="AQ2580" s="2"/>
      <c r="AR2580" s="2"/>
      <c r="AS2580" s="2"/>
      <c r="AT2580" s="2"/>
      <c r="AU2580" s="2"/>
      <c r="AV2580" s="2"/>
      <c r="AW2580" s="2"/>
      <c r="AX2580" s="2"/>
      <c r="AY2580" s="2"/>
      <c r="AZ2580" s="2"/>
      <c r="BA2580" s="2"/>
      <c r="BB2580" s="2"/>
    </row>
    <row r="2581">
      <c r="A2581" s="2"/>
      <c r="B2581" s="2" t="str">
        <f>IFERROR(__xludf.DUMMYFUNCTION("""COMPUTED_VALUE"""),"")</f>
        <v/>
      </c>
      <c r="C2581" s="2"/>
      <c r="D2581" s="71"/>
      <c r="E2581" s="71" t="str">
        <f>IFERROR(__xludf.DUMMYFUNCTION("""COMPUTED_VALUE""")," ")</f>
        <v> </v>
      </c>
      <c r="F2581" s="2"/>
      <c r="G2581" s="2"/>
      <c r="H2581" s="2"/>
      <c r="I2581" s="72"/>
      <c r="J2581" s="72"/>
      <c r="K2581" s="72"/>
      <c r="L2581" s="72"/>
      <c r="M2581" s="2"/>
      <c r="N2581" s="2"/>
      <c r="O2581" s="2"/>
      <c r="P2581" s="2"/>
      <c r="Q2581" s="2"/>
      <c r="R2581" s="2"/>
      <c r="S2581" s="2"/>
      <c r="T2581" s="2"/>
      <c r="U2581" s="2"/>
      <c r="V2581" s="2"/>
      <c r="W2581" s="2"/>
      <c r="X2581" s="2"/>
      <c r="Y2581" s="2"/>
      <c r="Z2581" s="2"/>
      <c r="AA2581" s="2"/>
      <c r="AB2581" s="2"/>
      <c r="AC2581" s="2"/>
      <c r="AD2581" s="2"/>
      <c r="AE2581" s="2"/>
      <c r="AF2581" s="2"/>
      <c r="AG2581" s="2"/>
      <c r="AH2581" s="2"/>
      <c r="AI2581" s="2"/>
      <c r="AJ2581" s="2" t="str">
        <f>IFERROR(__xludf.DUMMYFUNCTION("""COMPUTED_VALUE"""),"")</f>
        <v/>
      </c>
      <c r="AK2581" s="2" t="str">
        <f>IFERROR(__xludf.DUMMYFUNCTION("""COMPUTED_VALUE"""),"")</f>
        <v/>
      </c>
      <c r="AL2581" s="2" t="str">
        <f>IFERROR(__xludf.DUMMYFUNCTION("""COMPUTED_VALUE"""),"")</f>
        <v/>
      </c>
      <c r="AM2581" s="2" t="str">
        <f>IFERROR(__xludf.DUMMYFUNCTION("""COMPUTED_VALUE"""),"")</f>
        <v/>
      </c>
      <c r="AN2581" s="2" t="str">
        <f>IFERROR(__xludf.DUMMYFUNCTION("""COMPUTED_VALUE""")," ")</f>
        <v> </v>
      </c>
      <c r="AO2581" s="2" t="str">
        <f>IFERROR(__xludf.DUMMYFUNCTION("""COMPUTED_VALUE""")," ")</f>
        <v> </v>
      </c>
      <c r="AP2581" s="2" t="str">
        <f>IFERROR(__xludf.DUMMYFUNCTION("""COMPUTED_VALUE"""),"")</f>
        <v/>
      </c>
      <c r="AQ2581" s="2"/>
      <c r="AR2581" s="2"/>
      <c r="AS2581" s="2"/>
      <c r="AT2581" s="2"/>
      <c r="AU2581" s="2"/>
      <c r="AV2581" s="2"/>
      <c r="AW2581" s="2"/>
      <c r="AX2581" s="2"/>
      <c r="AY2581" s="2"/>
      <c r="AZ2581" s="2"/>
      <c r="BA2581" s="2"/>
      <c r="BB2581" s="2"/>
    </row>
    <row r="2582">
      <c r="A2582" s="2"/>
      <c r="B2582" s="2" t="str">
        <f>IFERROR(__xludf.DUMMYFUNCTION("""COMPUTED_VALUE"""),"")</f>
        <v/>
      </c>
      <c r="C2582" s="2"/>
      <c r="D2582" s="71"/>
      <c r="E2582" s="71" t="str">
        <f>IFERROR(__xludf.DUMMYFUNCTION("""COMPUTED_VALUE""")," ")</f>
        <v> </v>
      </c>
      <c r="F2582" s="2"/>
      <c r="G2582" s="2"/>
      <c r="H2582" s="2"/>
      <c r="I2582" s="72"/>
      <c r="J2582" s="72"/>
      <c r="K2582" s="72"/>
      <c r="L2582" s="72"/>
      <c r="M2582" s="2"/>
      <c r="N2582" s="2"/>
      <c r="O2582" s="2"/>
      <c r="P2582" s="2"/>
      <c r="Q2582" s="2"/>
      <c r="R2582" s="2"/>
      <c r="S2582" s="2"/>
      <c r="T2582" s="2"/>
      <c r="U2582" s="2"/>
      <c r="V2582" s="2"/>
      <c r="W2582" s="2"/>
      <c r="X2582" s="2"/>
      <c r="Y2582" s="2"/>
      <c r="Z2582" s="2"/>
      <c r="AA2582" s="2"/>
      <c r="AB2582" s="2"/>
      <c r="AC2582" s="2"/>
      <c r="AD2582" s="2"/>
      <c r="AE2582" s="2"/>
      <c r="AF2582" s="2"/>
      <c r="AG2582" s="2"/>
      <c r="AH2582" s="2"/>
      <c r="AI2582" s="2"/>
      <c r="AJ2582" s="2" t="str">
        <f>IFERROR(__xludf.DUMMYFUNCTION("""COMPUTED_VALUE"""),"")</f>
        <v/>
      </c>
      <c r="AK2582" s="2" t="str">
        <f>IFERROR(__xludf.DUMMYFUNCTION("""COMPUTED_VALUE"""),"")</f>
        <v/>
      </c>
      <c r="AL2582" s="2" t="str">
        <f>IFERROR(__xludf.DUMMYFUNCTION("""COMPUTED_VALUE"""),"")</f>
        <v/>
      </c>
      <c r="AM2582" s="2" t="str">
        <f>IFERROR(__xludf.DUMMYFUNCTION("""COMPUTED_VALUE"""),"")</f>
        <v/>
      </c>
      <c r="AN2582" s="2" t="str">
        <f>IFERROR(__xludf.DUMMYFUNCTION("""COMPUTED_VALUE""")," ")</f>
        <v> </v>
      </c>
      <c r="AO2582" s="2" t="str">
        <f>IFERROR(__xludf.DUMMYFUNCTION("""COMPUTED_VALUE""")," ")</f>
        <v> </v>
      </c>
      <c r="AP2582" s="2" t="str">
        <f>IFERROR(__xludf.DUMMYFUNCTION("""COMPUTED_VALUE"""),"")</f>
        <v/>
      </c>
      <c r="AQ2582" s="2"/>
      <c r="AR2582" s="2"/>
      <c r="AS2582" s="2"/>
      <c r="AT2582" s="2"/>
      <c r="AU2582" s="2"/>
      <c r="AV2582" s="2"/>
      <c r="AW2582" s="2"/>
      <c r="AX2582" s="2"/>
      <c r="AY2582" s="2"/>
      <c r="AZ2582" s="2"/>
      <c r="BA2582" s="2"/>
      <c r="BB2582" s="2"/>
    </row>
    <row r="2583">
      <c r="A2583" s="2"/>
      <c r="B2583" s="2" t="str">
        <f>IFERROR(__xludf.DUMMYFUNCTION("""COMPUTED_VALUE"""),"")</f>
        <v/>
      </c>
      <c r="C2583" s="2"/>
      <c r="D2583" s="71"/>
      <c r="E2583" s="71" t="str">
        <f>IFERROR(__xludf.DUMMYFUNCTION("""COMPUTED_VALUE""")," ")</f>
        <v> </v>
      </c>
      <c r="F2583" s="2"/>
      <c r="G2583" s="2"/>
      <c r="H2583" s="2"/>
      <c r="I2583" s="72"/>
      <c r="J2583" s="72"/>
      <c r="K2583" s="72"/>
      <c r="L2583" s="72"/>
      <c r="M2583" s="2"/>
      <c r="N2583" s="2"/>
      <c r="O2583" s="2"/>
      <c r="P2583" s="2"/>
      <c r="Q2583" s="2"/>
      <c r="R2583" s="2"/>
      <c r="S2583" s="2"/>
      <c r="T2583" s="2"/>
      <c r="U2583" s="2"/>
      <c r="V2583" s="2"/>
      <c r="W2583" s="2"/>
      <c r="X2583" s="2"/>
      <c r="Y2583" s="2"/>
      <c r="Z2583" s="2"/>
      <c r="AA2583" s="2"/>
      <c r="AB2583" s="2"/>
      <c r="AC2583" s="2"/>
      <c r="AD2583" s="2"/>
      <c r="AE2583" s="2"/>
      <c r="AF2583" s="2"/>
      <c r="AG2583" s="2"/>
      <c r="AH2583" s="2"/>
      <c r="AI2583" s="2"/>
      <c r="AJ2583" s="2" t="str">
        <f>IFERROR(__xludf.DUMMYFUNCTION("""COMPUTED_VALUE"""),"")</f>
        <v/>
      </c>
      <c r="AK2583" s="2" t="str">
        <f>IFERROR(__xludf.DUMMYFUNCTION("""COMPUTED_VALUE"""),"")</f>
        <v/>
      </c>
      <c r="AL2583" s="2" t="str">
        <f>IFERROR(__xludf.DUMMYFUNCTION("""COMPUTED_VALUE"""),"")</f>
        <v/>
      </c>
      <c r="AM2583" s="2" t="str">
        <f>IFERROR(__xludf.DUMMYFUNCTION("""COMPUTED_VALUE"""),"")</f>
        <v/>
      </c>
      <c r="AN2583" s="2" t="str">
        <f>IFERROR(__xludf.DUMMYFUNCTION("""COMPUTED_VALUE""")," ")</f>
        <v> </v>
      </c>
      <c r="AO2583" s="2" t="str">
        <f>IFERROR(__xludf.DUMMYFUNCTION("""COMPUTED_VALUE""")," ")</f>
        <v> </v>
      </c>
      <c r="AP2583" s="2" t="str">
        <f>IFERROR(__xludf.DUMMYFUNCTION("""COMPUTED_VALUE"""),"")</f>
        <v/>
      </c>
      <c r="AQ2583" s="2"/>
      <c r="AR2583" s="2"/>
      <c r="AS2583" s="2"/>
      <c r="AT2583" s="2"/>
      <c r="AU2583" s="2"/>
      <c r="AV2583" s="2"/>
      <c r="AW2583" s="2"/>
      <c r="AX2583" s="2"/>
      <c r="AY2583" s="2"/>
      <c r="AZ2583" s="2"/>
      <c r="BA2583" s="2"/>
      <c r="BB2583" s="2"/>
    </row>
    <row r="2584">
      <c r="A2584" s="2"/>
      <c r="B2584" s="2" t="str">
        <f>IFERROR(__xludf.DUMMYFUNCTION("""COMPUTED_VALUE"""),"")</f>
        <v/>
      </c>
      <c r="C2584" s="2"/>
      <c r="D2584" s="71"/>
      <c r="E2584" s="71" t="str">
        <f>IFERROR(__xludf.DUMMYFUNCTION("""COMPUTED_VALUE""")," ")</f>
        <v> </v>
      </c>
      <c r="F2584" s="2"/>
      <c r="G2584" s="2"/>
      <c r="H2584" s="2"/>
      <c r="I2584" s="72"/>
      <c r="J2584" s="72"/>
      <c r="K2584" s="72"/>
      <c r="L2584" s="72"/>
      <c r="M2584" s="2"/>
      <c r="N2584" s="2"/>
      <c r="O2584" s="2"/>
      <c r="P2584" s="2"/>
      <c r="Q2584" s="2"/>
      <c r="R2584" s="2"/>
      <c r="S2584" s="2"/>
      <c r="T2584" s="2"/>
      <c r="U2584" s="2"/>
      <c r="V2584" s="2"/>
      <c r="W2584" s="2"/>
      <c r="X2584" s="2"/>
      <c r="Y2584" s="2"/>
      <c r="Z2584" s="2"/>
      <c r="AA2584" s="2"/>
      <c r="AB2584" s="2"/>
      <c r="AC2584" s="2"/>
      <c r="AD2584" s="2"/>
      <c r="AE2584" s="2"/>
      <c r="AF2584" s="2"/>
      <c r="AG2584" s="2"/>
      <c r="AH2584" s="2"/>
      <c r="AI2584" s="2"/>
      <c r="AJ2584" s="2" t="str">
        <f>IFERROR(__xludf.DUMMYFUNCTION("""COMPUTED_VALUE"""),"")</f>
        <v/>
      </c>
      <c r="AK2584" s="2" t="str">
        <f>IFERROR(__xludf.DUMMYFUNCTION("""COMPUTED_VALUE"""),"")</f>
        <v/>
      </c>
      <c r="AL2584" s="2" t="str">
        <f>IFERROR(__xludf.DUMMYFUNCTION("""COMPUTED_VALUE"""),"")</f>
        <v/>
      </c>
      <c r="AM2584" s="2" t="str">
        <f>IFERROR(__xludf.DUMMYFUNCTION("""COMPUTED_VALUE"""),"")</f>
        <v/>
      </c>
      <c r="AN2584" s="2" t="str">
        <f>IFERROR(__xludf.DUMMYFUNCTION("""COMPUTED_VALUE""")," ")</f>
        <v> </v>
      </c>
      <c r="AO2584" s="2" t="str">
        <f>IFERROR(__xludf.DUMMYFUNCTION("""COMPUTED_VALUE""")," ")</f>
        <v> </v>
      </c>
      <c r="AP2584" s="2" t="str">
        <f>IFERROR(__xludf.DUMMYFUNCTION("""COMPUTED_VALUE"""),"")</f>
        <v/>
      </c>
      <c r="AQ2584" s="2"/>
      <c r="AR2584" s="2"/>
      <c r="AS2584" s="2"/>
      <c r="AT2584" s="2"/>
      <c r="AU2584" s="2"/>
      <c r="AV2584" s="2"/>
      <c r="AW2584" s="2"/>
      <c r="AX2584" s="2"/>
      <c r="AY2584" s="2"/>
      <c r="AZ2584" s="2"/>
      <c r="BA2584" s="2"/>
      <c r="BB2584" s="2"/>
    </row>
    <row r="2585">
      <c r="A2585" s="2"/>
      <c r="B2585" s="2" t="str">
        <f>IFERROR(__xludf.DUMMYFUNCTION("""COMPUTED_VALUE"""),"")</f>
        <v/>
      </c>
      <c r="C2585" s="2"/>
      <c r="D2585" s="71"/>
      <c r="E2585" s="71" t="str">
        <f>IFERROR(__xludf.DUMMYFUNCTION("""COMPUTED_VALUE""")," ")</f>
        <v> </v>
      </c>
      <c r="F2585" s="2"/>
      <c r="G2585" s="2"/>
      <c r="H2585" s="2"/>
      <c r="I2585" s="72"/>
      <c r="J2585" s="72"/>
      <c r="K2585" s="72"/>
      <c r="L2585" s="72"/>
      <c r="M2585" s="2"/>
      <c r="N2585" s="2"/>
      <c r="O2585" s="2"/>
      <c r="P2585" s="2"/>
      <c r="Q2585" s="2"/>
      <c r="R2585" s="2"/>
      <c r="S2585" s="2"/>
      <c r="T2585" s="2"/>
      <c r="U2585" s="2"/>
      <c r="V2585" s="2"/>
      <c r="W2585" s="2"/>
      <c r="X2585" s="2"/>
      <c r="Y2585" s="2"/>
      <c r="Z2585" s="2"/>
      <c r="AA2585" s="2"/>
      <c r="AB2585" s="2"/>
      <c r="AC2585" s="2"/>
      <c r="AD2585" s="2"/>
      <c r="AE2585" s="2"/>
      <c r="AF2585" s="2"/>
      <c r="AG2585" s="2"/>
      <c r="AH2585" s="2"/>
      <c r="AI2585" s="2"/>
      <c r="AJ2585" s="2" t="str">
        <f>IFERROR(__xludf.DUMMYFUNCTION("""COMPUTED_VALUE"""),"")</f>
        <v/>
      </c>
      <c r="AK2585" s="2" t="str">
        <f>IFERROR(__xludf.DUMMYFUNCTION("""COMPUTED_VALUE"""),"")</f>
        <v/>
      </c>
      <c r="AL2585" s="2" t="str">
        <f>IFERROR(__xludf.DUMMYFUNCTION("""COMPUTED_VALUE"""),"")</f>
        <v/>
      </c>
      <c r="AM2585" s="2" t="str">
        <f>IFERROR(__xludf.DUMMYFUNCTION("""COMPUTED_VALUE"""),"")</f>
        <v/>
      </c>
      <c r="AN2585" s="2" t="str">
        <f>IFERROR(__xludf.DUMMYFUNCTION("""COMPUTED_VALUE""")," ")</f>
        <v> </v>
      </c>
      <c r="AO2585" s="2" t="str">
        <f>IFERROR(__xludf.DUMMYFUNCTION("""COMPUTED_VALUE""")," ")</f>
        <v> </v>
      </c>
      <c r="AP2585" s="2" t="str">
        <f>IFERROR(__xludf.DUMMYFUNCTION("""COMPUTED_VALUE"""),"")</f>
        <v/>
      </c>
      <c r="AQ2585" s="2"/>
      <c r="AR2585" s="2"/>
      <c r="AS2585" s="2"/>
      <c r="AT2585" s="2"/>
      <c r="AU2585" s="2"/>
      <c r="AV2585" s="2"/>
      <c r="AW2585" s="2"/>
      <c r="AX2585" s="2"/>
      <c r="AY2585" s="2"/>
      <c r="AZ2585" s="2"/>
      <c r="BA2585" s="2"/>
      <c r="BB2585" s="2"/>
    </row>
    <row r="2586">
      <c r="A2586" s="2"/>
      <c r="B2586" s="2" t="str">
        <f>IFERROR(__xludf.DUMMYFUNCTION("""COMPUTED_VALUE"""),"")</f>
        <v/>
      </c>
      <c r="C2586" s="2"/>
      <c r="D2586" s="71"/>
      <c r="E2586" s="71" t="str">
        <f>IFERROR(__xludf.DUMMYFUNCTION("""COMPUTED_VALUE""")," ")</f>
        <v> </v>
      </c>
      <c r="F2586" s="2"/>
      <c r="G2586" s="2"/>
      <c r="H2586" s="2"/>
      <c r="I2586" s="72"/>
      <c r="J2586" s="72"/>
      <c r="K2586" s="72"/>
      <c r="L2586" s="72"/>
      <c r="M2586" s="2"/>
      <c r="N2586" s="2"/>
      <c r="O2586" s="2"/>
      <c r="P2586" s="2"/>
      <c r="Q2586" s="2"/>
      <c r="R2586" s="2"/>
      <c r="S2586" s="2"/>
      <c r="T2586" s="2"/>
      <c r="U2586" s="2"/>
      <c r="V2586" s="2"/>
      <c r="W2586" s="2"/>
      <c r="X2586" s="2"/>
      <c r="Y2586" s="2"/>
      <c r="Z2586" s="2"/>
      <c r="AA2586" s="2"/>
      <c r="AB2586" s="2"/>
      <c r="AC2586" s="2"/>
      <c r="AD2586" s="2"/>
      <c r="AE2586" s="2"/>
      <c r="AF2586" s="2"/>
      <c r="AG2586" s="2"/>
      <c r="AH2586" s="2"/>
      <c r="AI2586" s="2"/>
      <c r="AJ2586" s="2" t="str">
        <f>IFERROR(__xludf.DUMMYFUNCTION("""COMPUTED_VALUE"""),"")</f>
        <v/>
      </c>
      <c r="AK2586" s="2" t="str">
        <f>IFERROR(__xludf.DUMMYFUNCTION("""COMPUTED_VALUE"""),"")</f>
        <v/>
      </c>
      <c r="AL2586" s="2" t="str">
        <f>IFERROR(__xludf.DUMMYFUNCTION("""COMPUTED_VALUE"""),"")</f>
        <v/>
      </c>
      <c r="AM2586" s="2" t="str">
        <f>IFERROR(__xludf.DUMMYFUNCTION("""COMPUTED_VALUE"""),"")</f>
        <v/>
      </c>
      <c r="AN2586" s="2" t="str">
        <f>IFERROR(__xludf.DUMMYFUNCTION("""COMPUTED_VALUE""")," ")</f>
        <v> </v>
      </c>
      <c r="AO2586" s="2" t="str">
        <f>IFERROR(__xludf.DUMMYFUNCTION("""COMPUTED_VALUE""")," ")</f>
        <v> </v>
      </c>
      <c r="AP2586" s="2" t="str">
        <f>IFERROR(__xludf.DUMMYFUNCTION("""COMPUTED_VALUE"""),"")</f>
        <v/>
      </c>
      <c r="AQ2586" s="2"/>
      <c r="AR2586" s="2"/>
      <c r="AS2586" s="2"/>
      <c r="AT2586" s="2"/>
      <c r="AU2586" s="2"/>
      <c r="AV2586" s="2"/>
      <c r="AW2586" s="2"/>
      <c r="AX2586" s="2"/>
      <c r="AY2586" s="2"/>
      <c r="AZ2586" s="2"/>
      <c r="BA2586" s="2"/>
      <c r="BB2586" s="2"/>
    </row>
    <row r="2587">
      <c r="A2587" s="2"/>
      <c r="B2587" s="2" t="str">
        <f>IFERROR(__xludf.DUMMYFUNCTION("""COMPUTED_VALUE"""),"")</f>
        <v/>
      </c>
      <c r="C2587" s="2"/>
      <c r="D2587" s="71"/>
      <c r="E2587" s="71" t="str">
        <f>IFERROR(__xludf.DUMMYFUNCTION("""COMPUTED_VALUE""")," ")</f>
        <v> </v>
      </c>
      <c r="F2587" s="2"/>
      <c r="G2587" s="2"/>
      <c r="H2587" s="2"/>
      <c r="I2587" s="72"/>
      <c r="J2587" s="72"/>
      <c r="K2587" s="72"/>
      <c r="L2587" s="72"/>
      <c r="M2587" s="2"/>
      <c r="N2587" s="2"/>
      <c r="O2587" s="2"/>
      <c r="P2587" s="2"/>
      <c r="Q2587" s="2"/>
      <c r="R2587" s="2"/>
      <c r="S2587" s="2"/>
      <c r="T2587" s="2"/>
      <c r="U2587" s="2"/>
      <c r="V2587" s="2"/>
      <c r="W2587" s="2"/>
      <c r="X2587" s="2"/>
      <c r="Y2587" s="2"/>
      <c r="Z2587" s="2"/>
      <c r="AA2587" s="2"/>
      <c r="AB2587" s="2"/>
      <c r="AC2587" s="2"/>
      <c r="AD2587" s="2"/>
      <c r="AE2587" s="2"/>
      <c r="AF2587" s="2"/>
      <c r="AG2587" s="2"/>
      <c r="AH2587" s="2"/>
      <c r="AI2587" s="2"/>
      <c r="AJ2587" s="2" t="str">
        <f>IFERROR(__xludf.DUMMYFUNCTION("""COMPUTED_VALUE"""),"")</f>
        <v/>
      </c>
      <c r="AK2587" s="2" t="str">
        <f>IFERROR(__xludf.DUMMYFUNCTION("""COMPUTED_VALUE"""),"")</f>
        <v/>
      </c>
      <c r="AL2587" s="2" t="str">
        <f>IFERROR(__xludf.DUMMYFUNCTION("""COMPUTED_VALUE"""),"")</f>
        <v/>
      </c>
      <c r="AM2587" s="2" t="str">
        <f>IFERROR(__xludf.DUMMYFUNCTION("""COMPUTED_VALUE"""),"")</f>
        <v/>
      </c>
      <c r="AN2587" s="2" t="str">
        <f>IFERROR(__xludf.DUMMYFUNCTION("""COMPUTED_VALUE""")," ")</f>
        <v> </v>
      </c>
      <c r="AO2587" s="2" t="str">
        <f>IFERROR(__xludf.DUMMYFUNCTION("""COMPUTED_VALUE""")," ")</f>
        <v> </v>
      </c>
      <c r="AP2587" s="2" t="str">
        <f>IFERROR(__xludf.DUMMYFUNCTION("""COMPUTED_VALUE"""),"")</f>
        <v/>
      </c>
      <c r="AQ2587" s="2"/>
      <c r="AR2587" s="2"/>
      <c r="AS2587" s="2"/>
      <c r="AT2587" s="2"/>
      <c r="AU2587" s="2"/>
      <c r="AV2587" s="2"/>
      <c r="AW2587" s="2"/>
      <c r="AX2587" s="2"/>
      <c r="AY2587" s="2"/>
      <c r="AZ2587" s="2"/>
      <c r="BA2587" s="2"/>
      <c r="BB2587" s="2"/>
    </row>
    <row r="2588">
      <c r="A2588" s="2"/>
      <c r="B2588" s="2" t="str">
        <f>IFERROR(__xludf.DUMMYFUNCTION("""COMPUTED_VALUE"""),"")</f>
        <v/>
      </c>
      <c r="C2588" s="2"/>
      <c r="D2588" s="71"/>
      <c r="E2588" s="71" t="str">
        <f>IFERROR(__xludf.DUMMYFUNCTION("""COMPUTED_VALUE""")," ")</f>
        <v> </v>
      </c>
      <c r="F2588" s="2"/>
      <c r="G2588" s="2"/>
      <c r="H2588" s="2"/>
      <c r="I2588" s="72"/>
      <c r="J2588" s="72"/>
      <c r="K2588" s="72"/>
      <c r="L2588" s="72"/>
      <c r="M2588" s="2"/>
      <c r="N2588" s="2"/>
      <c r="O2588" s="2"/>
      <c r="P2588" s="2"/>
      <c r="Q2588" s="2"/>
      <c r="R2588" s="2"/>
      <c r="S2588" s="2"/>
      <c r="T2588" s="2"/>
      <c r="U2588" s="2"/>
      <c r="V2588" s="2"/>
      <c r="W2588" s="2"/>
      <c r="X2588" s="2"/>
      <c r="Y2588" s="2"/>
      <c r="Z2588" s="2"/>
      <c r="AA2588" s="2"/>
      <c r="AB2588" s="2"/>
      <c r="AC2588" s="2"/>
      <c r="AD2588" s="2"/>
      <c r="AE2588" s="2"/>
      <c r="AF2588" s="2"/>
      <c r="AG2588" s="2"/>
      <c r="AH2588" s="2"/>
      <c r="AI2588" s="2"/>
      <c r="AJ2588" s="2" t="str">
        <f>IFERROR(__xludf.DUMMYFUNCTION("""COMPUTED_VALUE"""),"")</f>
        <v/>
      </c>
      <c r="AK2588" s="2" t="str">
        <f>IFERROR(__xludf.DUMMYFUNCTION("""COMPUTED_VALUE"""),"")</f>
        <v/>
      </c>
      <c r="AL2588" s="2" t="str">
        <f>IFERROR(__xludf.DUMMYFUNCTION("""COMPUTED_VALUE"""),"")</f>
        <v/>
      </c>
      <c r="AM2588" s="2" t="str">
        <f>IFERROR(__xludf.DUMMYFUNCTION("""COMPUTED_VALUE"""),"")</f>
        <v/>
      </c>
      <c r="AN2588" s="2" t="str">
        <f>IFERROR(__xludf.DUMMYFUNCTION("""COMPUTED_VALUE""")," ")</f>
        <v> </v>
      </c>
      <c r="AO2588" s="2" t="str">
        <f>IFERROR(__xludf.DUMMYFUNCTION("""COMPUTED_VALUE""")," ")</f>
        <v> </v>
      </c>
      <c r="AP2588" s="2" t="str">
        <f>IFERROR(__xludf.DUMMYFUNCTION("""COMPUTED_VALUE"""),"")</f>
        <v/>
      </c>
      <c r="AQ2588" s="2"/>
      <c r="AR2588" s="2"/>
      <c r="AS2588" s="2"/>
      <c r="AT2588" s="2"/>
      <c r="AU2588" s="2"/>
      <c r="AV2588" s="2"/>
      <c r="AW2588" s="2"/>
      <c r="AX2588" s="2"/>
      <c r="AY2588" s="2"/>
      <c r="AZ2588" s="2"/>
      <c r="BA2588" s="2"/>
      <c r="BB2588" s="2"/>
    </row>
    <row r="2589">
      <c r="A2589" s="2"/>
      <c r="B2589" s="2" t="str">
        <f>IFERROR(__xludf.DUMMYFUNCTION("""COMPUTED_VALUE"""),"")</f>
        <v/>
      </c>
      <c r="C2589" s="2"/>
      <c r="D2589" s="71"/>
      <c r="E2589" s="71" t="str">
        <f>IFERROR(__xludf.DUMMYFUNCTION("""COMPUTED_VALUE""")," ")</f>
        <v> </v>
      </c>
      <c r="F2589" s="2"/>
      <c r="G2589" s="2"/>
      <c r="H2589" s="2"/>
      <c r="I2589" s="72"/>
      <c r="J2589" s="72"/>
      <c r="K2589" s="72"/>
      <c r="L2589" s="72"/>
      <c r="M2589" s="2"/>
      <c r="N2589" s="2"/>
      <c r="O2589" s="2"/>
      <c r="P2589" s="2"/>
      <c r="Q2589" s="2"/>
      <c r="R2589" s="2"/>
      <c r="S2589" s="2"/>
      <c r="T2589" s="2"/>
      <c r="U2589" s="2"/>
      <c r="V2589" s="2"/>
      <c r="W2589" s="2"/>
      <c r="X2589" s="2"/>
      <c r="Y2589" s="2"/>
      <c r="Z2589" s="2"/>
      <c r="AA2589" s="2"/>
      <c r="AB2589" s="2"/>
      <c r="AC2589" s="2"/>
      <c r="AD2589" s="2"/>
      <c r="AE2589" s="2"/>
      <c r="AF2589" s="2"/>
      <c r="AG2589" s="2"/>
      <c r="AH2589" s="2"/>
      <c r="AI2589" s="2"/>
      <c r="AJ2589" s="2" t="str">
        <f>IFERROR(__xludf.DUMMYFUNCTION("""COMPUTED_VALUE"""),"")</f>
        <v/>
      </c>
      <c r="AK2589" s="2" t="str">
        <f>IFERROR(__xludf.DUMMYFUNCTION("""COMPUTED_VALUE"""),"")</f>
        <v/>
      </c>
      <c r="AL2589" s="2" t="str">
        <f>IFERROR(__xludf.DUMMYFUNCTION("""COMPUTED_VALUE"""),"")</f>
        <v/>
      </c>
      <c r="AM2589" s="2" t="str">
        <f>IFERROR(__xludf.DUMMYFUNCTION("""COMPUTED_VALUE"""),"")</f>
        <v/>
      </c>
      <c r="AN2589" s="2" t="str">
        <f>IFERROR(__xludf.DUMMYFUNCTION("""COMPUTED_VALUE""")," ")</f>
        <v> </v>
      </c>
      <c r="AO2589" s="2" t="str">
        <f>IFERROR(__xludf.DUMMYFUNCTION("""COMPUTED_VALUE""")," ")</f>
        <v> </v>
      </c>
      <c r="AP2589" s="2" t="str">
        <f>IFERROR(__xludf.DUMMYFUNCTION("""COMPUTED_VALUE"""),"")</f>
        <v/>
      </c>
      <c r="AQ2589" s="2"/>
      <c r="AR2589" s="2"/>
      <c r="AS2589" s="2"/>
      <c r="AT2589" s="2"/>
      <c r="AU2589" s="2"/>
      <c r="AV2589" s="2"/>
      <c r="AW2589" s="2"/>
      <c r="AX2589" s="2"/>
      <c r="AY2589" s="2"/>
      <c r="AZ2589" s="2"/>
      <c r="BA2589" s="2"/>
      <c r="BB2589" s="2"/>
    </row>
    <row r="2590">
      <c r="A2590" s="2"/>
      <c r="B2590" s="2" t="str">
        <f>IFERROR(__xludf.DUMMYFUNCTION("""COMPUTED_VALUE"""),"")</f>
        <v/>
      </c>
      <c r="C2590" s="2"/>
      <c r="D2590" s="71"/>
      <c r="E2590" s="71" t="str">
        <f>IFERROR(__xludf.DUMMYFUNCTION("""COMPUTED_VALUE""")," ")</f>
        <v> </v>
      </c>
      <c r="F2590" s="2"/>
      <c r="G2590" s="2"/>
      <c r="H2590" s="2"/>
      <c r="I2590" s="72"/>
      <c r="J2590" s="72"/>
      <c r="K2590" s="72"/>
      <c r="L2590" s="72"/>
      <c r="M2590" s="2"/>
      <c r="N2590" s="2"/>
      <c r="O2590" s="2"/>
      <c r="P2590" s="2"/>
      <c r="Q2590" s="2"/>
      <c r="R2590" s="2"/>
      <c r="S2590" s="2"/>
      <c r="T2590" s="2"/>
      <c r="U2590" s="2"/>
      <c r="V2590" s="2"/>
      <c r="W2590" s="2"/>
      <c r="X2590" s="2"/>
      <c r="Y2590" s="2"/>
      <c r="Z2590" s="2"/>
      <c r="AA2590" s="2"/>
      <c r="AB2590" s="2"/>
      <c r="AC2590" s="2"/>
      <c r="AD2590" s="2"/>
      <c r="AE2590" s="2"/>
      <c r="AF2590" s="2"/>
      <c r="AG2590" s="2"/>
      <c r="AH2590" s="2"/>
      <c r="AI2590" s="2"/>
      <c r="AJ2590" s="2" t="str">
        <f>IFERROR(__xludf.DUMMYFUNCTION("""COMPUTED_VALUE"""),"")</f>
        <v/>
      </c>
      <c r="AK2590" s="2" t="str">
        <f>IFERROR(__xludf.DUMMYFUNCTION("""COMPUTED_VALUE"""),"")</f>
        <v/>
      </c>
      <c r="AL2590" s="2" t="str">
        <f>IFERROR(__xludf.DUMMYFUNCTION("""COMPUTED_VALUE"""),"")</f>
        <v/>
      </c>
      <c r="AM2590" s="2" t="str">
        <f>IFERROR(__xludf.DUMMYFUNCTION("""COMPUTED_VALUE"""),"")</f>
        <v/>
      </c>
      <c r="AN2590" s="2" t="str">
        <f>IFERROR(__xludf.DUMMYFUNCTION("""COMPUTED_VALUE""")," ")</f>
        <v> </v>
      </c>
      <c r="AO2590" s="2" t="str">
        <f>IFERROR(__xludf.DUMMYFUNCTION("""COMPUTED_VALUE""")," ")</f>
        <v> </v>
      </c>
      <c r="AP2590" s="2" t="str">
        <f>IFERROR(__xludf.DUMMYFUNCTION("""COMPUTED_VALUE"""),"")</f>
        <v/>
      </c>
      <c r="AQ2590" s="2"/>
      <c r="AR2590" s="2"/>
      <c r="AS2590" s="2"/>
      <c r="AT2590" s="2"/>
      <c r="AU2590" s="2"/>
      <c r="AV2590" s="2"/>
      <c r="AW2590" s="2"/>
      <c r="AX2590" s="2"/>
      <c r="AY2590" s="2"/>
      <c r="AZ2590" s="2"/>
      <c r="BA2590" s="2"/>
      <c r="BB2590" s="2"/>
    </row>
    <row r="2591">
      <c r="A2591" s="2"/>
      <c r="B2591" s="2" t="str">
        <f>IFERROR(__xludf.DUMMYFUNCTION("""COMPUTED_VALUE"""),"")</f>
        <v/>
      </c>
      <c r="C2591" s="2"/>
      <c r="D2591" s="71"/>
      <c r="E2591" s="71" t="str">
        <f>IFERROR(__xludf.DUMMYFUNCTION("""COMPUTED_VALUE""")," ")</f>
        <v> </v>
      </c>
      <c r="F2591" s="2"/>
      <c r="G2591" s="2"/>
      <c r="H2591" s="2"/>
      <c r="I2591" s="72"/>
      <c r="J2591" s="72"/>
      <c r="K2591" s="72"/>
      <c r="L2591" s="72"/>
      <c r="M2591" s="2"/>
      <c r="N2591" s="2"/>
      <c r="O2591" s="2"/>
      <c r="P2591" s="2"/>
      <c r="Q2591" s="2"/>
      <c r="R2591" s="2"/>
      <c r="S2591" s="2"/>
      <c r="T2591" s="2"/>
      <c r="U2591" s="2"/>
      <c r="V2591" s="2"/>
      <c r="W2591" s="2"/>
      <c r="X2591" s="2"/>
      <c r="Y2591" s="2"/>
      <c r="Z2591" s="2"/>
      <c r="AA2591" s="2"/>
      <c r="AB2591" s="2"/>
      <c r="AC2591" s="2"/>
      <c r="AD2591" s="2"/>
      <c r="AE2591" s="2"/>
      <c r="AF2591" s="2"/>
      <c r="AG2591" s="2"/>
      <c r="AH2591" s="2"/>
      <c r="AI2591" s="2"/>
      <c r="AJ2591" s="2" t="str">
        <f>IFERROR(__xludf.DUMMYFUNCTION("""COMPUTED_VALUE"""),"")</f>
        <v/>
      </c>
      <c r="AK2591" s="2" t="str">
        <f>IFERROR(__xludf.DUMMYFUNCTION("""COMPUTED_VALUE"""),"")</f>
        <v/>
      </c>
      <c r="AL2591" s="2" t="str">
        <f>IFERROR(__xludf.DUMMYFUNCTION("""COMPUTED_VALUE"""),"")</f>
        <v/>
      </c>
      <c r="AM2591" s="2" t="str">
        <f>IFERROR(__xludf.DUMMYFUNCTION("""COMPUTED_VALUE"""),"")</f>
        <v/>
      </c>
      <c r="AN2591" s="2" t="str">
        <f>IFERROR(__xludf.DUMMYFUNCTION("""COMPUTED_VALUE""")," ")</f>
        <v> </v>
      </c>
      <c r="AO2591" s="2" t="str">
        <f>IFERROR(__xludf.DUMMYFUNCTION("""COMPUTED_VALUE""")," ")</f>
        <v> </v>
      </c>
      <c r="AP2591" s="2" t="str">
        <f>IFERROR(__xludf.DUMMYFUNCTION("""COMPUTED_VALUE"""),"")</f>
        <v/>
      </c>
      <c r="AQ2591" s="2"/>
      <c r="AR2591" s="2"/>
      <c r="AS2591" s="2"/>
      <c r="AT2591" s="2"/>
      <c r="AU2591" s="2"/>
      <c r="AV2591" s="2"/>
      <c r="AW2591" s="2"/>
      <c r="AX2591" s="2"/>
      <c r="AY2591" s="2"/>
      <c r="AZ2591" s="2"/>
      <c r="BA2591" s="2"/>
      <c r="BB2591" s="2"/>
    </row>
    <row r="2592">
      <c r="A2592" s="2"/>
      <c r="B2592" s="2" t="str">
        <f>IFERROR(__xludf.DUMMYFUNCTION("""COMPUTED_VALUE"""),"")</f>
        <v/>
      </c>
      <c r="C2592" s="2"/>
      <c r="D2592" s="71"/>
      <c r="E2592" s="71" t="str">
        <f>IFERROR(__xludf.DUMMYFUNCTION("""COMPUTED_VALUE""")," ")</f>
        <v> </v>
      </c>
      <c r="F2592" s="2"/>
      <c r="G2592" s="2"/>
      <c r="H2592" s="2"/>
      <c r="I2592" s="72"/>
      <c r="J2592" s="72"/>
      <c r="K2592" s="72"/>
      <c r="L2592" s="72"/>
      <c r="M2592" s="2"/>
      <c r="N2592" s="2"/>
      <c r="O2592" s="2"/>
      <c r="P2592" s="2"/>
      <c r="Q2592" s="2"/>
      <c r="R2592" s="2"/>
      <c r="S2592" s="2"/>
      <c r="T2592" s="2"/>
      <c r="U2592" s="2"/>
      <c r="V2592" s="2"/>
      <c r="W2592" s="2"/>
      <c r="X2592" s="2"/>
      <c r="Y2592" s="2"/>
      <c r="Z2592" s="2"/>
      <c r="AA2592" s="2"/>
      <c r="AB2592" s="2"/>
      <c r="AC2592" s="2"/>
      <c r="AD2592" s="2"/>
      <c r="AE2592" s="2"/>
      <c r="AF2592" s="2"/>
      <c r="AG2592" s="2"/>
      <c r="AH2592" s="2"/>
      <c r="AI2592" s="2"/>
      <c r="AJ2592" s="2" t="str">
        <f>IFERROR(__xludf.DUMMYFUNCTION("""COMPUTED_VALUE"""),"")</f>
        <v/>
      </c>
      <c r="AK2592" s="2" t="str">
        <f>IFERROR(__xludf.DUMMYFUNCTION("""COMPUTED_VALUE"""),"")</f>
        <v/>
      </c>
      <c r="AL2592" s="2" t="str">
        <f>IFERROR(__xludf.DUMMYFUNCTION("""COMPUTED_VALUE"""),"")</f>
        <v/>
      </c>
      <c r="AM2592" s="2" t="str">
        <f>IFERROR(__xludf.DUMMYFUNCTION("""COMPUTED_VALUE"""),"")</f>
        <v/>
      </c>
      <c r="AN2592" s="2" t="str">
        <f>IFERROR(__xludf.DUMMYFUNCTION("""COMPUTED_VALUE""")," ")</f>
        <v> </v>
      </c>
      <c r="AO2592" s="2" t="str">
        <f>IFERROR(__xludf.DUMMYFUNCTION("""COMPUTED_VALUE""")," ")</f>
        <v> </v>
      </c>
      <c r="AP2592" s="2" t="str">
        <f>IFERROR(__xludf.DUMMYFUNCTION("""COMPUTED_VALUE"""),"")</f>
        <v/>
      </c>
      <c r="AQ2592" s="2"/>
      <c r="AR2592" s="2"/>
      <c r="AS2592" s="2"/>
      <c r="AT2592" s="2"/>
      <c r="AU2592" s="2"/>
      <c r="AV2592" s="2"/>
      <c r="AW2592" s="2"/>
      <c r="AX2592" s="2"/>
      <c r="AY2592" s="2"/>
      <c r="AZ2592" s="2"/>
      <c r="BA2592" s="2"/>
      <c r="BB2592" s="2"/>
    </row>
    <row r="2593">
      <c r="A2593" s="2"/>
      <c r="B2593" s="2" t="str">
        <f>IFERROR(__xludf.DUMMYFUNCTION("""COMPUTED_VALUE"""),"")</f>
        <v/>
      </c>
      <c r="C2593" s="2"/>
      <c r="D2593" s="71"/>
      <c r="E2593" s="71" t="str">
        <f>IFERROR(__xludf.DUMMYFUNCTION("""COMPUTED_VALUE""")," ")</f>
        <v> </v>
      </c>
      <c r="F2593" s="2"/>
      <c r="G2593" s="2"/>
      <c r="H2593" s="2"/>
      <c r="I2593" s="72"/>
      <c r="J2593" s="72"/>
      <c r="K2593" s="72"/>
      <c r="L2593" s="72"/>
      <c r="M2593" s="2"/>
      <c r="N2593" s="2"/>
      <c r="O2593" s="2"/>
      <c r="P2593" s="2"/>
      <c r="Q2593" s="2"/>
      <c r="R2593" s="2"/>
      <c r="S2593" s="2"/>
      <c r="T2593" s="2"/>
      <c r="U2593" s="2"/>
      <c r="V2593" s="2"/>
      <c r="W2593" s="2"/>
      <c r="X2593" s="2"/>
      <c r="Y2593" s="2"/>
      <c r="Z2593" s="2"/>
      <c r="AA2593" s="2"/>
      <c r="AB2593" s="2"/>
      <c r="AC2593" s="2"/>
      <c r="AD2593" s="2"/>
      <c r="AE2593" s="2"/>
      <c r="AF2593" s="2"/>
      <c r="AG2593" s="2"/>
      <c r="AH2593" s="2"/>
      <c r="AI2593" s="2"/>
      <c r="AJ2593" s="2" t="str">
        <f>IFERROR(__xludf.DUMMYFUNCTION("""COMPUTED_VALUE"""),"")</f>
        <v/>
      </c>
      <c r="AK2593" s="2" t="str">
        <f>IFERROR(__xludf.DUMMYFUNCTION("""COMPUTED_VALUE"""),"")</f>
        <v/>
      </c>
      <c r="AL2593" s="2" t="str">
        <f>IFERROR(__xludf.DUMMYFUNCTION("""COMPUTED_VALUE"""),"")</f>
        <v/>
      </c>
      <c r="AM2593" s="2" t="str">
        <f>IFERROR(__xludf.DUMMYFUNCTION("""COMPUTED_VALUE"""),"")</f>
        <v/>
      </c>
      <c r="AN2593" s="2" t="str">
        <f>IFERROR(__xludf.DUMMYFUNCTION("""COMPUTED_VALUE""")," ")</f>
        <v> </v>
      </c>
      <c r="AO2593" s="2" t="str">
        <f>IFERROR(__xludf.DUMMYFUNCTION("""COMPUTED_VALUE""")," ")</f>
        <v> </v>
      </c>
      <c r="AP2593" s="2" t="str">
        <f>IFERROR(__xludf.DUMMYFUNCTION("""COMPUTED_VALUE"""),"")</f>
        <v/>
      </c>
      <c r="AQ2593" s="2"/>
      <c r="AR2593" s="2"/>
      <c r="AS2593" s="2"/>
      <c r="AT2593" s="2"/>
      <c r="AU2593" s="2"/>
      <c r="AV2593" s="2"/>
      <c r="AW2593" s="2"/>
      <c r="AX2593" s="2"/>
      <c r="AY2593" s="2"/>
      <c r="AZ2593" s="2"/>
      <c r="BA2593" s="2"/>
      <c r="BB2593" s="2"/>
    </row>
    <row r="2594">
      <c r="A2594" s="2"/>
      <c r="B2594" s="2" t="str">
        <f>IFERROR(__xludf.DUMMYFUNCTION("""COMPUTED_VALUE"""),"")</f>
        <v/>
      </c>
      <c r="C2594" s="2"/>
      <c r="D2594" s="71"/>
      <c r="E2594" s="71" t="str">
        <f>IFERROR(__xludf.DUMMYFUNCTION("""COMPUTED_VALUE""")," ")</f>
        <v> </v>
      </c>
      <c r="F2594" s="2"/>
      <c r="G2594" s="2"/>
      <c r="H2594" s="2"/>
      <c r="I2594" s="72"/>
      <c r="J2594" s="72"/>
      <c r="K2594" s="72"/>
      <c r="L2594" s="72" t="str">
        <f>IFERROR(__xludf.DUMMYFUNCTION("""COMPUTED_VALUE"""),"z")</f>
        <v>z</v>
      </c>
      <c r="M2594" s="2"/>
      <c r="N2594" s="2"/>
      <c r="O2594" s="2"/>
      <c r="P2594" s="2"/>
      <c r="Q2594" s="2"/>
      <c r="R2594" s="2"/>
      <c r="S2594" s="2"/>
      <c r="T2594" s="2"/>
      <c r="U2594" s="2"/>
      <c r="V2594" s="2"/>
      <c r="W2594" s="2"/>
      <c r="X2594" s="2"/>
      <c r="Y2594" s="2"/>
      <c r="Z2594" s="2"/>
      <c r="AA2594" s="2"/>
      <c r="AB2594" s="2"/>
      <c r="AC2594" s="2"/>
      <c r="AD2594" s="2"/>
      <c r="AE2594" s="2"/>
      <c r="AF2594" s="2"/>
      <c r="AG2594" s="2"/>
      <c r="AH2594" s="2"/>
      <c r="AI2594" s="2"/>
      <c r="AJ2594" s="2" t="str">
        <f>IFERROR(__xludf.DUMMYFUNCTION("""COMPUTED_VALUE"""),"")</f>
        <v/>
      </c>
      <c r="AK2594" s="2" t="str">
        <f>IFERROR(__xludf.DUMMYFUNCTION("""COMPUTED_VALUE"""),"")</f>
        <v/>
      </c>
      <c r="AL2594" s="2" t="str">
        <f>IFERROR(__xludf.DUMMYFUNCTION("""COMPUTED_VALUE"""),"")</f>
        <v/>
      </c>
      <c r="AM2594" s="2" t="str">
        <f>IFERROR(__xludf.DUMMYFUNCTION("""COMPUTED_VALUE"""),"")</f>
        <v/>
      </c>
      <c r="AN2594" s="2" t="str">
        <f>IFERROR(__xludf.DUMMYFUNCTION("""COMPUTED_VALUE""")," ")</f>
        <v> </v>
      </c>
      <c r="AO2594" s="2" t="str">
        <f>IFERROR(__xludf.DUMMYFUNCTION("""COMPUTED_VALUE""")," ")</f>
        <v> </v>
      </c>
      <c r="AP2594" s="2" t="str">
        <f>IFERROR(__xludf.DUMMYFUNCTION("""COMPUTED_VALUE"""),"")</f>
        <v/>
      </c>
      <c r="AQ2594" s="2"/>
      <c r="AR2594" s="2"/>
      <c r="AS2594" s="2"/>
      <c r="AT2594" s="2"/>
      <c r="AU2594" s="2"/>
      <c r="AV2594" s="2"/>
      <c r="AW2594" s="2"/>
      <c r="AX2594" s="2"/>
      <c r="AY2594" s="2"/>
      <c r="AZ2594" s="2"/>
      <c r="BA2594" s="2"/>
      <c r="BB2594" s="2"/>
    </row>
    <row r="2595">
      <c r="A2595" s="2"/>
      <c r="B2595" s="2" t="str">
        <f>IFERROR(__xludf.DUMMYFUNCTION("""COMPUTED_VALUE"""),"")</f>
        <v/>
      </c>
      <c r="C2595" s="2"/>
      <c r="D2595" s="71"/>
      <c r="E2595" s="71" t="str">
        <f>IFERROR(__xludf.DUMMYFUNCTION("""COMPUTED_VALUE""")," ")</f>
        <v> </v>
      </c>
      <c r="F2595" s="2"/>
      <c r="G2595" s="2"/>
      <c r="H2595" s="2"/>
      <c r="I2595" s="72"/>
      <c r="J2595" s="72"/>
      <c r="K2595" s="72"/>
      <c r="L2595" s="72"/>
      <c r="M2595" s="2"/>
      <c r="N2595" s="2"/>
      <c r="O2595" s="2"/>
      <c r="P2595" s="2"/>
      <c r="Q2595" s="2"/>
      <c r="R2595" s="2"/>
      <c r="S2595" s="2"/>
      <c r="T2595" s="2"/>
      <c r="U2595" s="2"/>
      <c r="V2595" s="2"/>
      <c r="W2595" s="2"/>
      <c r="X2595" s="2"/>
      <c r="Y2595" s="2"/>
      <c r="Z2595" s="2"/>
      <c r="AA2595" s="2"/>
      <c r="AB2595" s="2"/>
      <c r="AC2595" s="2"/>
      <c r="AD2595" s="2"/>
      <c r="AE2595" s="2"/>
      <c r="AF2595" s="2"/>
      <c r="AG2595" s="2"/>
      <c r="AH2595" s="2"/>
      <c r="AI2595" s="2"/>
      <c r="AJ2595" s="2" t="str">
        <f>IFERROR(__xludf.DUMMYFUNCTION("""COMPUTED_VALUE"""),"")</f>
        <v/>
      </c>
      <c r="AK2595" s="2" t="str">
        <f>IFERROR(__xludf.DUMMYFUNCTION("""COMPUTED_VALUE"""),"")</f>
        <v/>
      </c>
      <c r="AL2595" s="2" t="str">
        <f>IFERROR(__xludf.DUMMYFUNCTION("""COMPUTED_VALUE"""),"")</f>
        <v/>
      </c>
      <c r="AM2595" s="2" t="str">
        <f>IFERROR(__xludf.DUMMYFUNCTION("""COMPUTED_VALUE"""),"")</f>
        <v/>
      </c>
      <c r="AN2595" s="2" t="str">
        <f>IFERROR(__xludf.DUMMYFUNCTION("""COMPUTED_VALUE""")," ")</f>
        <v> </v>
      </c>
      <c r="AO2595" s="2" t="str">
        <f>IFERROR(__xludf.DUMMYFUNCTION("""COMPUTED_VALUE""")," ")</f>
        <v> </v>
      </c>
      <c r="AP2595" s="2" t="str">
        <f>IFERROR(__xludf.DUMMYFUNCTION("""COMPUTED_VALUE"""),"")</f>
        <v/>
      </c>
      <c r="AQ2595" s="2"/>
      <c r="AR2595" s="2"/>
      <c r="AS2595" s="2"/>
      <c r="AT2595" s="2"/>
      <c r="AU2595" s="2"/>
      <c r="AV2595" s="2"/>
      <c r="AW2595" s="2"/>
      <c r="AX2595" s="2"/>
      <c r="AY2595" s="2"/>
      <c r="AZ2595" s="2"/>
      <c r="BA2595" s="2"/>
      <c r="BB2595" s="2"/>
    </row>
    <row r="2596">
      <c r="A2596" s="2"/>
      <c r="B2596" s="2" t="str">
        <f>IFERROR(__xludf.DUMMYFUNCTION("""COMPUTED_VALUE"""),"")</f>
        <v/>
      </c>
      <c r="C2596" s="2"/>
      <c r="D2596" s="71"/>
      <c r="E2596" s="71" t="str">
        <f>IFERROR(__xludf.DUMMYFUNCTION("""COMPUTED_VALUE""")," ")</f>
        <v> </v>
      </c>
      <c r="F2596" s="2"/>
      <c r="G2596" s="2"/>
      <c r="H2596" s="2"/>
      <c r="I2596" s="72"/>
      <c r="J2596" s="72"/>
      <c r="K2596" s="72"/>
      <c r="L2596" s="72"/>
      <c r="M2596" s="2"/>
      <c r="N2596" s="2"/>
      <c r="O2596" s="2"/>
      <c r="P2596" s="2"/>
      <c r="Q2596" s="2"/>
      <c r="R2596" s="2"/>
      <c r="S2596" s="2"/>
      <c r="T2596" s="2"/>
      <c r="U2596" s="2"/>
      <c r="V2596" s="2"/>
      <c r="W2596" s="2"/>
      <c r="X2596" s="2"/>
      <c r="Y2596" s="2"/>
      <c r="Z2596" s="2"/>
      <c r="AA2596" s="2"/>
      <c r="AB2596" s="2"/>
      <c r="AC2596" s="2"/>
      <c r="AD2596" s="2"/>
      <c r="AE2596" s="2"/>
      <c r="AF2596" s="2"/>
      <c r="AG2596" s="2"/>
      <c r="AH2596" s="2"/>
      <c r="AI2596" s="2"/>
      <c r="AJ2596" s="2" t="str">
        <f>IFERROR(__xludf.DUMMYFUNCTION("""COMPUTED_VALUE"""),"")</f>
        <v/>
      </c>
      <c r="AK2596" s="2" t="str">
        <f>IFERROR(__xludf.DUMMYFUNCTION("""COMPUTED_VALUE"""),"")</f>
        <v/>
      </c>
      <c r="AL2596" s="2" t="str">
        <f>IFERROR(__xludf.DUMMYFUNCTION("""COMPUTED_VALUE"""),"")</f>
        <v/>
      </c>
      <c r="AM2596" s="2" t="str">
        <f>IFERROR(__xludf.DUMMYFUNCTION("""COMPUTED_VALUE"""),"")</f>
        <v/>
      </c>
      <c r="AN2596" s="2" t="str">
        <f>IFERROR(__xludf.DUMMYFUNCTION("""COMPUTED_VALUE""")," ")</f>
        <v> </v>
      </c>
      <c r="AO2596" s="2" t="str">
        <f>IFERROR(__xludf.DUMMYFUNCTION("""COMPUTED_VALUE""")," ")</f>
        <v> </v>
      </c>
      <c r="AP2596" s="2" t="str">
        <f>IFERROR(__xludf.DUMMYFUNCTION("""COMPUTED_VALUE"""),"")</f>
        <v/>
      </c>
      <c r="AQ2596" s="2"/>
      <c r="AR2596" s="2"/>
      <c r="AS2596" s="2"/>
      <c r="AT2596" s="2"/>
      <c r="AU2596" s="2"/>
      <c r="AV2596" s="2"/>
      <c r="AW2596" s="2"/>
      <c r="AX2596" s="2"/>
      <c r="AY2596" s="2"/>
      <c r="AZ2596" s="2"/>
      <c r="BA2596" s="2"/>
      <c r="BB2596" s="2"/>
    </row>
    <row r="2597">
      <c r="A2597" s="2"/>
      <c r="B2597" s="2" t="str">
        <f>IFERROR(__xludf.DUMMYFUNCTION("""COMPUTED_VALUE"""),"")</f>
        <v/>
      </c>
      <c r="C2597" s="2"/>
      <c r="D2597" s="71"/>
      <c r="E2597" s="71" t="str">
        <f>IFERROR(__xludf.DUMMYFUNCTION("""COMPUTED_VALUE""")," ")</f>
        <v> </v>
      </c>
      <c r="F2597" s="2"/>
      <c r="G2597" s="2"/>
      <c r="H2597" s="2"/>
      <c r="I2597" s="72"/>
      <c r="J2597" s="72"/>
      <c r="K2597" s="72"/>
      <c r="L2597" s="72"/>
      <c r="M2597" s="2"/>
      <c r="N2597" s="2"/>
      <c r="O2597" s="2"/>
      <c r="P2597" s="2"/>
      <c r="Q2597" s="2"/>
      <c r="R2597" s="2"/>
      <c r="S2597" s="2"/>
      <c r="T2597" s="2"/>
      <c r="U2597" s="2"/>
      <c r="V2597" s="2"/>
      <c r="W2597" s="2"/>
      <c r="X2597" s="2"/>
      <c r="Y2597" s="2"/>
      <c r="Z2597" s="2"/>
      <c r="AA2597" s="2"/>
      <c r="AB2597" s="2"/>
      <c r="AC2597" s="2"/>
      <c r="AD2597" s="2"/>
      <c r="AE2597" s="2"/>
      <c r="AF2597" s="2"/>
      <c r="AG2597" s="2"/>
      <c r="AH2597" s="2"/>
      <c r="AI2597" s="2"/>
      <c r="AJ2597" s="2" t="str">
        <f>IFERROR(__xludf.DUMMYFUNCTION("""COMPUTED_VALUE"""),"")</f>
        <v/>
      </c>
      <c r="AK2597" s="2" t="str">
        <f>IFERROR(__xludf.DUMMYFUNCTION("""COMPUTED_VALUE"""),"")</f>
        <v/>
      </c>
      <c r="AL2597" s="2" t="str">
        <f>IFERROR(__xludf.DUMMYFUNCTION("""COMPUTED_VALUE"""),"")</f>
        <v/>
      </c>
      <c r="AM2597" s="2" t="str">
        <f>IFERROR(__xludf.DUMMYFUNCTION("""COMPUTED_VALUE"""),"")</f>
        <v/>
      </c>
      <c r="AN2597" s="2" t="str">
        <f>IFERROR(__xludf.DUMMYFUNCTION("""COMPUTED_VALUE""")," ")</f>
        <v> </v>
      </c>
      <c r="AO2597" s="2" t="str">
        <f>IFERROR(__xludf.DUMMYFUNCTION("""COMPUTED_VALUE""")," ")</f>
        <v> </v>
      </c>
      <c r="AP2597" s="2" t="str">
        <f>IFERROR(__xludf.DUMMYFUNCTION("""COMPUTED_VALUE"""),"")</f>
        <v/>
      </c>
      <c r="AQ2597" s="2"/>
      <c r="AR2597" s="2"/>
      <c r="AS2597" s="2"/>
      <c r="AT2597" s="2"/>
      <c r="AU2597" s="2"/>
      <c r="AV2597" s="2"/>
      <c r="AW2597" s="2"/>
      <c r="AX2597" s="2"/>
      <c r="AY2597" s="2"/>
      <c r="AZ2597" s="2"/>
      <c r="BA2597" s="2"/>
      <c r="BB2597" s="2"/>
    </row>
    <row r="2598">
      <c r="A2598" s="2"/>
      <c r="B2598" s="2" t="str">
        <f>IFERROR(__xludf.DUMMYFUNCTION("""COMPUTED_VALUE"""),"")</f>
        <v/>
      </c>
      <c r="C2598" s="2"/>
      <c r="D2598" s="71"/>
      <c r="E2598" s="71" t="str">
        <f>IFERROR(__xludf.DUMMYFUNCTION("""COMPUTED_VALUE""")," ")</f>
        <v> </v>
      </c>
      <c r="F2598" s="2"/>
      <c r="G2598" s="2"/>
      <c r="H2598" s="2"/>
      <c r="I2598" s="72"/>
      <c r="J2598" s="72"/>
      <c r="K2598" s="72"/>
      <c r="L2598" s="72"/>
      <c r="M2598" s="2"/>
      <c r="N2598" s="2"/>
      <c r="O2598" s="2"/>
      <c r="P2598" s="2"/>
      <c r="Q2598" s="2"/>
      <c r="R2598" s="2"/>
      <c r="S2598" s="2"/>
      <c r="T2598" s="2"/>
      <c r="U2598" s="2"/>
      <c r="V2598" s="2"/>
      <c r="W2598" s="2"/>
      <c r="X2598" s="2"/>
      <c r="Y2598" s="2"/>
      <c r="Z2598" s="2"/>
      <c r="AA2598" s="2"/>
      <c r="AB2598" s="2"/>
      <c r="AC2598" s="2"/>
      <c r="AD2598" s="2"/>
      <c r="AE2598" s="2"/>
      <c r="AF2598" s="2"/>
      <c r="AG2598" s="2"/>
      <c r="AH2598" s="2"/>
      <c r="AI2598" s="2"/>
      <c r="AJ2598" s="2" t="str">
        <f>IFERROR(__xludf.DUMMYFUNCTION("""COMPUTED_VALUE"""),"")</f>
        <v/>
      </c>
      <c r="AK2598" s="2" t="str">
        <f>IFERROR(__xludf.DUMMYFUNCTION("""COMPUTED_VALUE"""),"")</f>
        <v/>
      </c>
      <c r="AL2598" s="2" t="str">
        <f>IFERROR(__xludf.DUMMYFUNCTION("""COMPUTED_VALUE"""),"")</f>
        <v/>
      </c>
      <c r="AM2598" s="2" t="str">
        <f>IFERROR(__xludf.DUMMYFUNCTION("""COMPUTED_VALUE"""),"")</f>
        <v/>
      </c>
      <c r="AN2598" s="2" t="str">
        <f>IFERROR(__xludf.DUMMYFUNCTION("""COMPUTED_VALUE""")," ")</f>
        <v> </v>
      </c>
      <c r="AO2598" s="2" t="str">
        <f>IFERROR(__xludf.DUMMYFUNCTION("""COMPUTED_VALUE""")," ")</f>
        <v> </v>
      </c>
      <c r="AP2598" s="2" t="str">
        <f>IFERROR(__xludf.DUMMYFUNCTION("""COMPUTED_VALUE"""),"")</f>
        <v/>
      </c>
      <c r="AQ2598" s="2"/>
      <c r="AR2598" s="2"/>
      <c r="AS2598" s="2"/>
      <c r="AT2598" s="2"/>
      <c r="AU2598" s="2"/>
      <c r="AV2598" s="2"/>
      <c r="AW2598" s="2"/>
      <c r="AX2598" s="2"/>
      <c r="AY2598" s="2"/>
      <c r="AZ2598" s="2"/>
      <c r="BA2598" s="2"/>
      <c r="BB2598" s="2"/>
    </row>
    <row r="2599">
      <c r="A2599" s="2"/>
      <c r="B2599" s="2" t="str">
        <f>IFERROR(__xludf.DUMMYFUNCTION("""COMPUTED_VALUE"""),"")</f>
        <v/>
      </c>
      <c r="C2599" s="2"/>
      <c r="D2599" s="71"/>
      <c r="E2599" s="71" t="str">
        <f>IFERROR(__xludf.DUMMYFUNCTION("""COMPUTED_VALUE""")," ")</f>
        <v> </v>
      </c>
      <c r="F2599" s="2"/>
      <c r="G2599" s="2"/>
      <c r="H2599" s="2"/>
      <c r="I2599" s="72"/>
      <c r="J2599" s="72"/>
      <c r="K2599" s="72"/>
      <c r="L2599" s="72"/>
      <c r="M2599" s="2"/>
      <c r="N2599" s="2"/>
      <c r="O2599" s="2"/>
      <c r="P2599" s="2"/>
      <c r="Q2599" s="2"/>
      <c r="R2599" s="2"/>
      <c r="S2599" s="2"/>
      <c r="T2599" s="2"/>
      <c r="U2599" s="2"/>
      <c r="V2599" s="2"/>
      <c r="W2599" s="2"/>
      <c r="X2599" s="2"/>
      <c r="Y2599" s="2"/>
      <c r="Z2599" s="2"/>
      <c r="AA2599" s="2"/>
      <c r="AB2599" s="2"/>
      <c r="AC2599" s="2"/>
      <c r="AD2599" s="2"/>
      <c r="AE2599" s="2"/>
      <c r="AF2599" s="2"/>
      <c r="AG2599" s="2"/>
      <c r="AH2599" s="2"/>
      <c r="AI2599" s="2"/>
      <c r="AJ2599" s="2" t="str">
        <f>IFERROR(__xludf.DUMMYFUNCTION("""COMPUTED_VALUE"""),"")</f>
        <v/>
      </c>
      <c r="AK2599" s="2" t="str">
        <f>IFERROR(__xludf.DUMMYFUNCTION("""COMPUTED_VALUE"""),"")</f>
        <v/>
      </c>
      <c r="AL2599" s="2" t="str">
        <f>IFERROR(__xludf.DUMMYFUNCTION("""COMPUTED_VALUE"""),"")</f>
        <v/>
      </c>
      <c r="AM2599" s="2" t="str">
        <f>IFERROR(__xludf.DUMMYFUNCTION("""COMPUTED_VALUE"""),"")</f>
        <v/>
      </c>
      <c r="AN2599" s="2" t="str">
        <f>IFERROR(__xludf.DUMMYFUNCTION("""COMPUTED_VALUE""")," ")</f>
        <v> </v>
      </c>
      <c r="AO2599" s="2" t="str">
        <f>IFERROR(__xludf.DUMMYFUNCTION("""COMPUTED_VALUE""")," ")</f>
        <v> </v>
      </c>
      <c r="AP2599" s="2" t="str">
        <f>IFERROR(__xludf.DUMMYFUNCTION("""COMPUTED_VALUE"""),"")</f>
        <v/>
      </c>
      <c r="AQ2599" s="2"/>
      <c r="AR2599" s="2"/>
      <c r="AS2599" s="2"/>
      <c r="AT2599" s="2"/>
      <c r="AU2599" s="2"/>
      <c r="AV2599" s="2"/>
      <c r="AW2599" s="2"/>
      <c r="AX2599" s="2"/>
      <c r="AY2599" s="2"/>
      <c r="AZ2599" s="2"/>
      <c r="BA2599" s="2"/>
      <c r="BB2599" s="2"/>
    </row>
    <row r="2600">
      <c r="A2600" s="2"/>
      <c r="B2600" s="2" t="str">
        <f>IFERROR(__xludf.DUMMYFUNCTION("""COMPUTED_VALUE"""),"")</f>
        <v/>
      </c>
      <c r="C2600" s="2"/>
      <c r="D2600" s="71"/>
      <c r="E2600" s="71" t="str">
        <f>IFERROR(__xludf.DUMMYFUNCTION("""COMPUTED_VALUE""")," ")</f>
        <v> </v>
      </c>
      <c r="F2600" s="2"/>
      <c r="G2600" s="2"/>
      <c r="H2600" s="2"/>
      <c r="I2600" s="72"/>
      <c r="J2600" s="72"/>
      <c r="K2600" s="72"/>
      <c r="L2600" s="72"/>
      <c r="M2600" s="2"/>
      <c r="N2600" s="2"/>
      <c r="O2600" s="2"/>
      <c r="P2600" s="2"/>
      <c r="Q2600" s="2"/>
      <c r="R2600" s="2"/>
      <c r="S2600" s="2"/>
      <c r="T2600" s="2"/>
      <c r="U2600" s="2"/>
      <c r="V2600" s="2"/>
      <c r="W2600" s="2"/>
      <c r="X2600" s="2"/>
      <c r="Y2600" s="2"/>
      <c r="Z2600" s="2"/>
      <c r="AA2600" s="2"/>
      <c r="AB2600" s="2"/>
      <c r="AC2600" s="2"/>
      <c r="AD2600" s="2"/>
      <c r="AE2600" s="2"/>
      <c r="AF2600" s="2"/>
      <c r="AG2600" s="2"/>
      <c r="AH2600" s="2"/>
      <c r="AI2600" s="2"/>
      <c r="AJ2600" s="2" t="str">
        <f>IFERROR(__xludf.DUMMYFUNCTION("""COMPUTED_VALUE"""),"")</f>
        <v/>
      </c>
      <c r="AK2600" s="2" t="str">
        <f>IFERROR(__xludf.DUMMYFUNCTION("""COMPUTED_VALUE"""),"")</f>
        <v/>
      </c>
      <c r="AL2600" s="2" t="str">
        <f>IFERROR(__xludf.DUMMYFUNCTION("""COMPUTED_VALUE"""),"")</f>
        <v/>
      </c>
      <c r="AM2600" s="2" t="str">
        <f>IFERROR(__xludf.DUMMYFUNCTION("""COMPUTED_VALUE"""),"")</f>
        <v/>
      </c>
      <c r="AN2600" s="2" t="str">
        <f>IFERROR(__xludf.DUMMYFUNCTION("""COMPUTED_VALUE""")," ")</f>
        <v> </v>
      </c>
      <c r="AO2600" s="2" t="str">
        <f>IFERROR(__xludf.DUMMYFUNCTION("""COMPUTED_VALUE""")," ")</f>
        <v> </v>
      </c>
      <c r="AP2600" s="2" t="str">
        <f>IFERROR(__xludf.DUMMYFUNCTION("""COMPUTED_VALUE"""),"")</f>
        <v/>
      </c>
      <c r="AQ2600" s="2"/>
      <c r="AR2600" s="2"/>
      <c r="AS2600" s="2"/>
      <c r="AT2600" s="2"/>
      <c r="AU2600" s="2"/>
      <c r="AV2600" s="2"/>
      <c r="AW2600" s="2"/>
      <c r="AX2600" s="2"/>
      <c r="AY2600" s="2"/>
      <c r="AZ2600" s="2"/>
      <c r="BA2600" s="2"/>
      <c r="BB2600" s="2"/>
    </row>
    <row r="2601">
      <c r="A2601" s="2"/>
      <c r="B2601" s="2" t="str">
        <f>IFERROR(__xludf.DUMMYFUNCTION("""COMPUTED_VALUE"""),"")</f>
        <v/>
      </c>
      <c r="C2601" s="2"/>
      <c r="D2601" s="71"/>
      <c r="E2601" s="71" t="str">
        <f>IFERROR(__xludf.DUMMYFUNCTION("""COMPUTED_VALUE""")," ")</f>
        <v> </v>
      </c>
      <c r="F2601" s="2"/>
      <c r="G2601" s="2"/>
      <c r="H2601" s="2"/>
      <c r="I2601" s="72"/>
      <c r="J2601" s="72"/>
      <c r="K2601" s="72"/>
      <c r="L2601" s="72"/>
      <c r="M2601" s="2"/>
      <c r="N2601" s="2"/>
      <c r="O2601" s="2"/>
      <c r="P2601" s="2"/>
      <c r="Q2601" s="2"/>
      <c r="R2601" s="2"/>
      <c r="S2601" s="2"/>
      <c r="T2601" s="2"/>
      <c r="U2601" s="2"/>
      <c r="V2601" s="2"/>
      <c r="W2601" s="2"/>
      <c r="X2601" s="2"/>
      <c r="Y2601" s="2"/>
      <c r="Z2601" s="2"/>
      <c r="AA2601" s="2"/>
      <c r="AB2601" s="2"/>
      <c r="AC2601" s="2"/>
      <c r="AD2601" s="2"/>
      <c r="AE2601" s="2"/>
      <c r="AF2601" s="2"/>
      <c r="AG2601" s="2"/>
      <c r="AH2601" s="2"/>
      <c r="AI2601" s="2"/>
      <c r="AJ2601" s="2" t="str">
        <f>IFERROR(__xludf.DUMMYFUNCTION("""COMPUTED_VALUE"""),"")</f>
        <v/>
      </c>
      <c r="AK2601" s="2" t="str">
        <f>IFERROR(__xludf.DUMMYFUNCTION("""COMPUTED_VALUE"""),"")</f>
        <v/>
      </c>
      <c r="AL2601" s="2" t="str">
        <f>IFERROR(__xludf.DUMMYFUNCTION("""COMPUTED_VALUE"""),"")</f>
        <v/>
      </c>
      <c r="AM2601" s="2" t="str">
        <f>IFERROR(__xludf.DUMMYFUNCTION("""COMPUTED_VALUE"""),"")</f>
        <v/>
      </c>
      <c r="AN2601" s="2" t="str">
        <f>IFERROR(__xludf.DUMMYFUNCTION("""COMPUTED_VALUE""")," ")</f>
        <v> </v>
      </c>
      <c r="AO2601" s="2" t="str">
        <f>IFERROR(__xludf.DUMMYFUNCTION("""COMPUTED_VALUE""")," ")</f>
        <v> </v>
      </c>
      <c r="AP2601" s="2" t="str">
        <f>IFERROR(__xludf.DUMMYFUNCTION("""COMPUTED_VALUE"""),"")</f>
        <v/>
      </c>
      <c r="AQ2601" s="2"/>
      <c r="AR2601" s="2"/>
      <c r="AS2601" s="2"/>
      <c r="AT2601" s="2"/>
      <c r="AU2601" s="2"/>
      <c r="AV2601" s="2"/>
      <c r="AW2601" s="2"/>
      <c r="AX2601" s="2"/>
      <c r="AY2601" s="2"/>
      <c r="AZ2601" s="2"/>
      <c r="BA2601" s="2"/>
      <c r="BB2601" s="2"/>
    </row>
    <row r="2602">
      <c r="A2602" s="2"/>
      <c r="B2602" s="2" t="str">
        <f>IFERROR(__xludf.DUMMYFUNCTION("""COMPUTED_VALUE"""),"")</f>
        <v/>
      </c>
      <c r="C2602" s="2"/>
      <c r="D2602" s="71"/>
      <c r="E2602" s="71" t="str">
        <f>IFERROR(__xludf.DUMMYFUNCTION("""COMPUTED_VALUE""")," ")</f>
        <v> </v>
      </c>
      <c r="F2602" s="2"/>
      <c r="G2602" s="2"/>
      <c r="H2602" s="2"/>
      <c r="I2602" s="72"/>
      <c r="J2602" s="72"/>
      <c r="K2602" s="72"/>
      <c r="L2602" s="72"/>
      <c r="M2602" s="2"/>
      <c r="N2602" s="2"/>
      <c r="O2602" s="2"/>
      <c r="P2602" s="2"/>
      <c r="Q2602" s="2"/>
      <c r="R2602" s="2"/>
      <c r="S2602" s="2"/>
      <c r="T2602" s="2"/>
      <c r="U2602" s="2"/>
      <c r="V2602" s="2"/>
      <c r="W2602" s="2"/>
      <c r="X2602" s="2"/>
      <c r="Y2602" s="2"/>
      <c r="Z2602" s="2"/>
      <c r="AA2602" s="2"/>
      <c r="AB2602" s="2"/>
      <c r="AC2602" s="2"/>
      <c r="AD2602" s="2"/>
      <c r="AE2602" s="2"/>
      <c r="AF2602" s="2"/>
      <c r="AG2602" s="2"/>
      <c r="AH2602" s="2"/>
      <c r="AI2602" s="2"/>
      <c r="AJ2602" s="2" t="str">
        <f>IFERROR(__xludf.DUMMYFUNCTION("""COMPUTED_VALUE"""),"")</f>
        <v/>
      </c>
      <c r="AK2602" s="2" t="str">
        <f>IFERROR(__xludf.DUMMYFUNCTION("""COMPUTED_VALUE"""),"")</f>
        <v/>
      </c>
      <c r="AL2602" s="2" t="str">
        <f>IFERROR(__xludf.DUMMYFUNCTION("""COMPUTED_VALUE"""),"")</f>
        <v/>
      </c>
      <c r="AM2602" s="2" t="str">
        <f>IFERROR(__xludf.DUMMYFUNCTION("""COMPUTED_VALUE"""),"")</f>
        <v/>
      </c>
      <c r="AN2602" s="2" t="str">
        <f>IFERROR(__xludf.DUMMYFUNCTION("""COMPUTED_VALUE""")," ")</f>
        <v> </v>
      </c>
      <c r="AO2602" s="2" t="str">
        <f>IFERROR(__xludf.DUMMYFUNCTION("""COMPUTED_VALUE""")," ")</f>
        <v> </v>
      </c>
      <c r="AP2602" s="2" t="str">
        <f>IFERROR(__xludf.DUMMYFUNCTION("""COMPUTED_VALUE"""),"")</f>
        <v/>
      </c>
      <c r="AQ2602" s="2"/>
      <c r="AR2602" s="2"/>
      <c r="AS2602" s="2"/>
      <c r="AT2602" s="2"/>
      <c r="AU2602" s="2"/>
      <c r="AV2602" s="2"/>
      <c r="AW2602" s="2"/>
      <c r="AX2602" s="2"/>
      <c r="AY2602" s="2"/>
      <c r="AZ2602" s="2"/>
      <c r="BA2602" s="2"/>
      <c r="BB2602" s="2"/>
    </row>
    <row r="2603">
      <c r="A2603" s="2"/>
      <c r="B2603" s="2" t="str">
        <f>IFERROR(__xludf.DUMMYFUNCTION("""COMPUTED_VALUE"""),"")</f>
        <v/>
      </c>
      <c r="C2603" s="2"/>
      <c r="D2603" s="71"/>
      <c r="E2603" s="71" t="str">
        <f>IFERROR(__xludf.DUMMYFUNCTION("""COMPUTED_VALUE""")," ")</f>
        <v> </v>
      </c>
      <c r="F2603" s="2"/>
      <c r="G2603" s="2"/>
      <c r="H2603" s="2"/>
      <c r="I2603" s="72"/>
      <c r="J2603" s="72"/>
      <c r="K2603" s="72"/>
      <c r="L2603" s="72"/>
      <c r="M2603" s="2"/>
      <c r="N2603" s="2"/>
      <c r="O2603" s="2"/>
      <c r="P2603" s="2"/>
      <c r="Q2603" s="2"/>
      <c r="R2603" s="2"/>
      <c r="S2603" s="2"/>
      <c r="T2603" s="2"/>
      <c r="U2603" s="2"/>
      <c r="V2603" s="2"/>
      <c r="W2603" s="2"/>
      <c r="X2603" s="2"/>
      <c r="Y2603" s="2"/>
      <c r="Z2603" s="2"/>
      <c r="AA2603" s="2"/>
      <c r="AB2603" s="2"/>
      <c r="AC2603" s="2"/>
      <c r="AD2603" s="2"/>
      <c r="AE2603" s="2"/>
      <c r="AF2603" s="2"/>
      <c r="AG2603" s="2"/>
      <c r="AH2603" s="2"/>
      <c r="AI2603" s="2"/>
      <c r="AJ2603" s="2" t="str">
        <f>IFERROR(__xludf.DUMMYFUNCTION("""COMPUTED_VALUE"""),"")</f>
        <v/>
      </c>
      <c r="AK2603" s="2" t="str">
        <f>IFERROR(__xludf.DUMMYFUNCTION("""COMPUTED_VALUE"""),"")</f>
        <v/>
      </c>
      <c r="AL2603" s="2" t="str">
        <f>IFERROR(__xludf.DUMMYFUNCTION("""COMPUTED_VALUE"""),"")</f>
        <v/>
      </c>
      <c r="AM2603" s="2" t="str">
        <f>IFERROR(__xludf.DUMMYFUNCTION("""COMPUTED_VALUE"""),"")</f>
        <v/>
      </c>
      <c r="AN2603" s="2" t="str">
        <f>IFERROR(__xludf.DUMMYFUNCTION("""COMPUTED_VALUE""")," ")</f>
        <v> </v>
      </c>
      <c r="AO2603" s="2" t="str">
        <f>IFERROR(__xludf.DUMMYFUNCTION("""COMPUTED_VALUE""")," ")</f>
        <v> </v>
      </c>
      <c r="AP2603" s="2" t="str">
        <f>IFERROR(__xludf.DUMMYFUNCTION("""COMPUTED_VALUE"""),"")</f>
        <v/>
      </c>
      <c r="AQ2603" s="2"/>
      <c r="AR2603" s="2"/>
      <c r="AS2603" s="2"/>
      <c r="AT2603" s="2"/>
      <c r="AU2603" s="2"/>
      <c r="AV2603" s="2"/>
      <c r="AW2603" s="2"/>
      <c r="AX2603" s="2"/>
      <c r="AY2603" s="2"/>
      <c r="AZ2603" s="2"/>
      <c r="BA2603" s="2"/>
      <c r="BB2603" s="2"/>
    </row>
    <row r="2604">
      <c r="A2604" s="2"/>
      <c r="B2604" s="2" t="str">
        <f>IFERROR(__xludf.DUMMYFUNCTION("""COMPUTED_VALUE"""),"")</f>
        <v/>
      </c>
      <c r="C2604" s="2"/>
      <c r="D2604" s="71"/>
      <c r="E2604" s="71" t="str">
        <f>IFERROR(__xludf.DUMMYFUNCTION("""COMPUTED_VALUE""")," ")</f>
        <v> </v>
      </c>
      <c r="F2604" s="2"/>
      <c r="G2604" s="2"/>
      <c r="H2604" s="2"/>
      <c r="I2604" s="72"/>
      <c r="J2604" s="72"/>
      <c r="K2604" s="72"/>
      <c r="L2604" s="72"/>
      <c r="M2604" s="2"/>
      <c r="N2604" s="2"/>
      <c r="O2604" s="2"/>
      <c r="P2604" s="2"/>
      <c r="Q2604" s="2"/>
      <c r="R2604" s="2"/>
      <c r="S2604" s="2"/>
      <c r="T2604" s="2"/>
      <c r="U2604" s="2"/>
      <c r="V2604" s="2"/>
      <c r="W2604" s="2"/>
      <c r="X2604" s="2"/>
      <c r="Y2604" s="2"/>
      <c r="Z2604" s="2"/>
      <c r="AA2604" s="2"/>
      <c r="AB2604" s="2"/>
      <c r="AC2604" s="2"/>
      <c r="AD2604" s="2"/>
      <c r="AE2604" s="2"/>
      <c r="AF2604" s="2"/>
      <c r="AG2604" s="2"/>
      <c r="AH2604" s="2"/>
      <c r="AI2604" s="2"/>
      <c r="AJ2604" s="2" t="str">
        <f>IFERROR(__xludf.DUMMYFUNCTION("""COMPUTED_VALUE"""),"")</f>
        <v/>
      </c>
      <c r="AK2604" s="2" t="str">
        <f>IFERROR(__xludf.DUMMYFUNCTION("""COMPUTED_VALUE"""),"")</f>
        <v/>
      </c>
      <c r="AL2604" s="2" t="str">
        <f>IFERROR(__xludf.DUMMYFUNCTION("""COMPUTED_VALUE"""),"")</f>
        <v/>
      </c>
      <c r="AM2604" s="2" t="str">
        <f>IFERROR(__xludf.DUMMYFUNCTION("""COMPUTED_VALUE"""),"")</f>
        <v/>
      </c>
      <c r="AN2604" s="2" t="str">
        <f>IFERROR(__xludf.DUMMYFUNCTION("""COMPUTED_VALUE""")," ")</f>
        <v> </v>
      </c>
      <c r="AO2604" s="2" t="str">
        <f>IFERROR(__xludf.DUMMYFUNCTION("""COMPUTED_VALUE""")," ")</f>
        <v> </v>
      </c>
      <c r="AP2604" s="2" t="str">
        <f>IFERROR(__xludf.DUMMYFUNCTION("""COMPUTED_VALUE"""),"")</f>
        <v/>
      </c>
      <c r="AQ2604" s="2"/>
      <c r="AR2604" s="2"/>
      <c r="AS2604" s="2"/>
      <c r="AT2604" s="2"/>
      <c r="AU2604" s="2"/>
      <c r="AV2604" s="2"/>
      <c r="AW2604" s="2"/>
      <c r="AX2604" s="2"/>
      <c r="AY2604" s="2"/>
      <c r="AZ2604" s="2"/>
      <c r="BA2604" s="2"/>
      <c r="BB2604" s="2"/>
    </row>
    <row r="2605">
      <c r="A2605" s="2"/>
      <c r="B2605" s="2" t="str">
        <f>IFERROR(__xludf.DUMMYFUNCTION("""COMPUTED_VALUE"""),"")</f>
        <v/>
      </c>
      <c r="C2605" s="2"/>
      <c r="D2605" s="71"/>
      <c r="E2605" s="71" t="str">
        <f>IFERROR(__xludf.DUMMYFUNCTION("""COMPUTED_VALUE""")," ")</f>
        <v> </v>
      </c>
      <c r="F2605" s="2"/>
      <c r="G2605" s="2"/>
      <c r="H2605" s="2"/>
      <c r="I2605" s="72"/>
      <c r="J2605" s="72"/>
      <c r="K2605" s="72"/>
      <c r="L2605" s="72"/>
      <c r="M2605" s="2"/>
      <c r="N2605" s="2"/>
      <c r="O2605" s="2"/>
      <c r="P2605" s="2"/>
      <c r="Q2605" s="2"/>
      <c r="R2605" s="2"/>
      <c r="S2605" s="2"/>
      <c r="T2605" s="2"/>
      <c r="U2605" s="2"/>
      <c r="V2605" s="2"/>
      <c r="W2605" s="2"/>
      <c r="X2605" s="2"/>
      <c r="Y2605" s="2"/>
      <c r="Z2605" s="2"/>
      <c r="AA2605" s="2"/>
      <c r="AB2605" s="2"/>
      <c r="AC2605" s="2"/>
      <c r="AD2605" s="2"/>
      <c r="AE2605" s="2"/>
      <c r="AF2605" s="2"/>
      <c r="AG2605" s="2"/>
      <c r="AH2605" s="2"/>
      <c r="AI2605" s="2"/>
      <c r="AJ2605" s="2" t="str">
        <f>IFERROR(__xludf.DUMMYFUNCTION("""COMPUTED_VALUE"""),"")</f>
        <v/>
      </c>
      <c r="AK2605" s="2" t="str">
        <f>IFERROR(__xludf.DUMMYFUNCTION("""COMPUTED_VALUE"""),"")</f>
        <v/>
      </c>
      <c r="AL2605" s="2" t="str">
        <f>IFERROR(__xludf.DUMMYFUNCTION("""COMPUTED_VALUE"""),"")</f>
        <v/>
      </c>
      <c r="AM2605" s="2" t="str">
        <f>IFERROR(__xludf.DUMMYFUNCTION("""COMPUTED_VALUE"""),"")</f>
        <v/>
      </c>
      <c r="AN2605" s="2" t="str">
        <f>IFERROR(__xludf.DUMMYFUNCTION("""COMPUTED_VALUE""")," ")</f>
        <v> </v>
      </c>
      <c r="AO2605" s="2" t="str">
        <f>IFERROR(__xludf.DUMMYFUNCTION("""COMPUTED_VALUE""")," ")</f>
        <v> </v>
      </c>
      <c r="AP2605" s="2" t="str">
        <f>IFERROR(__xludf.DUMMYFUNCTION("""COMPUTED_VALUE"""),"")</f>
        <v/>
      </c>
      <c r="AQ2605" s="2"/>
      <c r="AR2605" s="2"/>
      <c r="AS2605" s="2"/>
      <c r="AT2605" s="2"/>
      <c r="AU2605" s="2"/>
      <c r="AV2605" s="2"/>
      <c r="AW2605" s="2"/>
      <c r="AX2605" s="2"/>
      <c r="AY2605" s="2"/>
      <c r="AZ2605" s="2"/>
      <c r="BA2605" s="2"/>
      <c r="BB2605" s="2"/>
    </row>
    <row r="2606">
      <c r="A2606" s="2"/>
      <c r="B2606" s="2" t="str">
        <f>IFERROR(__xludf.DUMMYFUNCTION("""COMPUTED_VALUE"""),"")</f>
        <v/>
      </c>
      <c r="C2606" s="2"/>
      <c r="D2606" s="71"/>
      <c r="E2606" s="71" t="str">
        <f>IFERROR(__xludf.DUMMYFUNCTION("""COMPUTED_VALUE""")," ")</f>
        <v> </v>
      </c>
      <c r="F2606" s="2"/>
      <c r="G2606" s="2"/>
      <c r="H2606" s="2"/>
      <c r="I2606" s="72"/>
      <c r="J2606" s="72"/>
      <c r="K2606" s="72"/>
      <c r="L2606" s="72"/>
      <c r="M2606" s="2"/>
      <c r="N2606" s="2"/>
      <c r="O2606" s="2"/>
      <c r="P2606" s="2"/>
      <c r="Q2606" s="2"/>
      <c r="R2606" s="2"/>
      <c r="S2606" s="2"/>
      <c r="T2606" s="2"/>
      <c r="U2606" s="2"/>
      <c r="V2606" s="2"/>
      <c r="W2606" s="2"/>
      <c r="X2606" s="2"/>
      <c r="Y2606" s="2"/>
      <c r="Z2606" s="2"/>
      <c r="AA2606" s="2"/>
      <c r="AB2606" s="2"/>
      <c r="AC2606" s="2"/>
      <c r="AD2606" s="2"/>
      <c r="AE2606" s="2"/>
      <c r="AF2606" s="2"/>
      <c r="AG2606" s="2"/>
      <c r="AH2606" s="2"/>
      <c r="AI2606" s="2"/>
      <c r="AJ2606" s="2" t="str">
        <f>IFERROR(__xludf.DUMMYFUNCTION("""COMPUTED_VALUE"""),"")</f>
        <v/>
      </c>
      <c r="AK2606" s="2" t="str">
        <f>IFERROR(__xludf.DUMMYFUNCTION("""COMPUTED_VALUE"""),"")</f>
        <v/>
      </c>
      <c r="AL2606" s="2" t="str">
        <f>IFERROR(__xludf.DUMMYFUNCTION("""COMPUTED_VALUE"""),"")</f>
        <v/>
      </c>
      <c r="AM2606" s="2" t="str">
        <f>IFERROR(__xludf.DUMMYFUNCTION("""COMPUTED_VALUE"""),"")</f>
        <v/>
      </c>
      <c r="AN2606" s="2" t="str">
        <f>IFERROR(__xludf.DUMMYFUNCTION("""COMPUTED_VALUE""")," ")</f>
        <v> </v>
      </c>
      <c r="AO2606" s="2" t="str">
        <f>IFERROR(__xludf.DUMMYFUNCTION("""COMPUTED_VALUE""")," ")</f>
        <v> </v>
      </c>
      <c r="AP2606" s="2" t="str">
        <f>IFERROR(__xludf.DUMMYFUNCTION("""COMPUTED_VALUE"""),"")</f>
        <v/>
      </c>
      <c r="AQ2606" s="2"/>
      <c r="AR2606" s="2"/>
      <c r="AS2606" s="2"/>
      <c r="AT2606" s="2"/>
      <c r="AU2606" s="2"/>
      <c r="AV2606" s="2"/>
      <c r="AW2606" s="2"/>
      <c r="AX2606" s="2"/>
      <c r="AY2606" s="2"/>
      <c r="AZ2606" s="2"/>
      <c r="BA2606" s="2"/>
      <c r="BB2606" s="2"/>
    </row>
    <row r="2607">
      <c r="A2607" s="2"/>
      <c r="B2607" s="2" t="str">
        <f>IFERROR(__xludf.DUMMYFUNCTION("""COMPUTED_VALUE"""),"")</f>
        <v/>
      </c>
      <c r="C2607" s="2"/>
      <c r="D2607" s="71"/>
      <c r="E2607" s="71" t="str">
        <f>IFERROR(__xludf.DUMMYFUNCTION("""COMPUTED_VALUE""")," ")</f>
        <v> </v>
      </c>
      <c r="F2607" s="2"/>
      <c r="G2607" s="2"/>
      <c r="H2607" s="2"/>
      <c r="I2607" s="72"/>
      <c r="J2607" s="72"/>
      <c r="K2607" s="72"/>
      <c r="L2607" s="72"/>
      <c r="M2607" s="2"/>
      <c r="N2607" s="2"/>
      <c r="O2607" s="2"/>
      <c r="P2607" s="2"/>
      <c r="Q2607" s="2"/>
      <c r="R2607" s="2"/>
      <c r="S2607" s="2"/>
      <c r="T2607" s="2"/>
      <c r="U2607" s="2"/>
      <c r="V2607" s="2"/>
      <c r="W2607" s="2"/>
      <c r="X2607" s="2"/>
      <c r="Y2607" s="2"/>
      <c r="Z2607" s="2"/>
      <c r="AA2607" s="2"/>
      <c r="AB2607" s="2"/>
      <c r="AC2607" s="2"/>
      <c r="AD2607" s="2"/>
      <c r="AE2607" s="2"/>
      <c r="AF2607" s="2"/>
      <c r="AG2607" s="2"/>
      <c r="AH2607" s="2"/>
      <c r="AI2607" s="2"/>
      <c r="AJ2607" s="2" t="str">
        <f>IFERROR(__xludf.DUMMYFUNCTION("""COMPUTED_VALUE"""),"")</f>
        <v/>
      </c>
      <c r="AK2607" s="2" t="str">
        <f>IFERROR(__xludf.DUMMYFUNCTION("""COMPUTED_VALUE"""),"")</f>
        <v/>
      </c>
      <c r="AL2607" s="2" t="str">
        <f>IFERROR(__xludf.DUMMYFUNCTION("""COMPUTED_VALUE"""),"")</f>
        <v/>
      </c>
      <c r="AM2607" s="2" t="str">
        <f>IFERROR(__xludf.DUMMYFUNCTION("""COMPUTED_VALUE"""),"")</f>
        <v/>
      </c>
      <c r="AN2607" s="2" t="str">
        <f>IFERROR(__xludf.DUMMYFUNCTION("""COMPUTED_VALUE""")," ")</f>
        <v> </v>
      </c>
      <c r="AO2607" s="2" t="str">
        <f>IFERROR(__xludf.DUMMYFUNCTION("""COMPUTED_VALUE""")," ")</f>
        <v> </v>
      </c>
      <c r="AP2607" s="2" t="str">
        <f>IFERROR(__xludf.DUMMYFUNCTION("""COMPUTED_VALUE"""),"")</f>
        <v/>
      </c>
      <c r="AQ2607" s="2"/>
      <c r="AR2607" s="2"/>
      <c r="AS2607" s="2"/>
      <c r="AT2607" s="2"/>
      <c r="AU2607" s="2"/>
      <c r="AV2607" s="2"/>
      <c r="AW2607" s="2"/>
      <c r="AX2607" s="2"/>
      <c r="AY2607" s="2"/>
      <c r="AZ2607" s="2"/>
      <c r="BA2607" s="2"/>
      <c r="BB2607" s="2"/>
    </row>
    <row r="2608">
      <c r="A2608" s="2"/>
      <c r="B2608" s="2" t="str">
        <f>IFERROR(__xludf.DUMMYFUNCTION("""COMPUTED_VALUE"""),"")</f>
        <v/>
      </c>
      <c r="C2608" s="2"/>
      <c r="D2608" s="71"/>
      <c r="E2608" s="71" t="str">
        <f>IFERROR(__xludf.DUMMYFUNCTION("""COMPUTED_VALUE""")," ")</f>
        <v> </v>
      </c>
      <c r="F2608" s="2"/>
      <c r="G2608" s="2"/>
      <c r="H2608" s="2"/>
      <c r="I2608" s="72"/>
      <c r="J2608" s="72"/>
      <c r="K2608" s="72"/>
      <c r="L2608" s="72"/>
      <c r="M2608" s="2"/>
      <c r="N2608" s="2"/>
      <c r="O2608" s="2"/>
      <c r="P2608" s="2"/>
      <c r="Q2608" s="2"/>
      <c r="R2608" s="2"/>
      <c r="S2608" s="2"/>
      <c r="T2608" s="2"/>
      <c r="U2608" s="2"/>
      <c r="V2608" s="2"/>
      <c r="W2608" s="2"/>
      <c r="X2608" s="2"/>
      <c r="Y2608" s="2"/>
      <c r="Z2608" s="2"/>
      <c r="AA2608" s="2"/>
      <c r="AB2608" s="2"/>
      <c r="AC2608" s="2"/>
      <c r="AD2608" s="2"/>
      <c r="AE2608" s="2"/>
      <c r="AF2608" s="2"/>
      <c r="AG2608" s="2"/>
      <c r="AH2608" s="2"/>
      <c r="AI2608" s="2"/>
      <c r="AJ2608" s="2" t="str">
        <f>IFERROR(__xludf.DUMMYFUNCTION("""COMPUTED_VALUE"""),"")</f>
        <v/>
      </c>
      <c r="AK2608" s="2" t="str">
        <f>IFERROR(__xludf.DUMMYFUNCTION("""COMPUTED_VALUE"""),"")</f>
        <v/>
      </c>
      <c r="AL2608" s="2" t="str">
        <f>IFERROR(__xludf.DUMMYFUNCTION("""COMPUTED_VALUE"""),"")</f>
        <v/>
      </c>
      <c r="AM2608" s="2" t="str">
        <f>IFERROR(__xludf.DUMMYFUNCTION("""COMPUTED_VALUE"""),"")</f>
        <v/>
      </c>
      <c r="AN2608" s="2" t="str">
        <f>IFERROR(__xludf.DUMMYFUNCTION("""COMPUTED_VALUE""")," ")</f>
        <v> </v>
      </c>
      <c r="AO2608" s="2" t="str">
        <f>IFERROR(__xludf.DUMMYFUNCTION("""COMPUTED_VALUE""")," ")</f>
        <v> </v>
      </c>
      <c r="AP2608" s="2" t="str">
        <f>IFERROR(__xludf.DUMMYFUNCTION("""COMPUTED_VALUE"""),"")</f>
        <v/>
      </c>
      <c r="AQ2608" s="2"/>
      <c r="AR2608" s="2"/>
      <c r="AS2608" s="2"/>
      <c r="AT2608" s="2"/>
      <c r="AU2608" s="2"/>
      <c r="AV2608" s="2"/>
      <c r="AW2608" s="2"/>
      <c r="AX2608" s="2"/>
      <c r="AY2608" s="2"/>
      <c r="AZ2608" s="2"/>
      <c r="BA2608" s="2"/>
      <c r="BB2608" s="2"/>
    </row>
    <row r="2609">
      <c r="A2609" s="2"/>
      <c r="B2609" s="2" t="str">
        <f>IFERROR(__xludf.DUMMYFUNCTION("""COMPUTED_VALUE"""),"")</f>
        <v/>
      </c>
      <c r="C2609" s="2"/>
      <c r="D2609" s="71"/>
      <c r="E2609" s="71" t="str">
        <f>IFERROR(__xludf.DUMMYFUNCTION("""COMPUTED_VALUE""")," ")</f>
        <v> </v>
      </c>
      <c r="F2609" s="2"/>
      <c r="G2609" s="2"/>
      <c r="H2609" s="2"/>
      <c r="I2609" s="72"/>
      <c r="J2609" s="72"/>
      <c r="K2609" s="72"/>
      <c r="L2609" s="72"/>
      <c r="M2609" s="2"/>
      <c r="N2609" s="2"/>
      <c r="O2609" s="2"/>
      <c r="P2609" s="2"/>
      <c r="Q2609" s="2"/>
      <c r="R2609" s="2"/>
      <c r="S2609" s="2"/>
      <c r="T2609" s="2"/>
      <c r="U2609" s="2"/>
      <c r="V2609" s="2"/>
      <c r="W2609" s="2"/>
      <c r="X2609" s="2"/>
      <c r="Y2609" s="2"/>
      <c r="Z2609" s="2"/>
      <c r="AA2609" s="2"/>
      <c r="AB2609" s="2"/>
      <c r="AC2609" s="2"/>
      <c r="AD2609" s="2"/>
      <c r="AE2609" s="2"/>
      <c r="AF2609" s="2"/>
      <c r="AG2609" s="2"/>
      <c r="AH2609" s="2"/>
      <c r="AI2609" s="2"/>
      <c r="AJ2609" s="2" t="str">
        <f>IFERROR(__xludf.DUMMYFUNCTION("""COMPUTED_VALUE"""),"")</f>
        <v/>
      </c>
      <c r="AK2609" s="2" t="str">
        <f>IFERROR(__xludf.DUMMYFUNCTION("""COMPUTED_VALUE"""),"")</f>
        <v/>
      </c>
      <c r="AL2609" s="2" t="str">
        <f>IFERROR(__xludf.DUMMYFUNCTION("""COMPUTED_VALUE"""),"")</f>
        <v/>
      </c>
      <c r="AM2609" s="2" t="str">
        <f>IFERROR(__xludf.DUMMYFUNCTION("""COMPUTED_VALUE"""),"")</f>
        <v/>
      </c>
      <c r="AN2609" s="2" t="str">
        <f>IFERROR(__xludf.DUMMYFUNCTION("""COMPUTED_VALUE""")," ")</f>
        <v> </v>
      </c>
      <c r="AO2609" s="2" t="str">
        <f>IFERROR(__xludf.DUMMYFUNCTION("""COMPUTED_VALUE""")," ")</f>
        <v> </v>
      </c>
      <c r="AP2609" s="2" t="str">
        <f>IFERROR(__xludf.DUMMYFUNCTION("""COMPUTED_VALUE"""),"")</f>
        <v/>
      </c>
      <c r="AQ2609" s="2"/>
      <c r="AR2609" s="2"/>
      <c r="AS2609" s="2"/>
      <c r="AT2609" s="2"/>
      <c r="AU2609" s="2"/>
      <c r="AV2609" s="2"/>
      <c r="AW2609" s="2"/>
      <c r="AX2609" s="2"/>
      <c r="AY2609" s="2"/>
      <c r="AZ2609" s="2"/>
      <c r="BA2609" s="2"/>
      <c r="BB2609" s="2"/>
    </row>
    <row r="2610">
      <c r="A2610" s="2"/>
      <c r="B2610" s="2" t="str">
        <f>IFERROR(__xludf.DUMMYFUNCTION("""COMPUTED_VALUE"""),"")</f>
        <v/>
      </c>
      <c r="C2610" s="2"/>
      <c r="D2610" s="71"/>
      <c r="E2610" s="71" t="str">
        <f>IFERROR(__xludf.DUMMYFUNCTION("""COMPUTED_VALUE""")," ")</f>
        <v> </v>
      </c>
      <c r="F2610" s="2"/>
      <c r="G2610" s="2"/>
      <c r="H2610" s="2"/>
      <c r="I2610" s="72"/>
      <c r="J2610" s="72"/>
      <c r="K2610" s="72"/>
      <c r="L2610" s="72"/>
      <c r="M2610" s="2"/>
      <c r="N2610" s="2"/>
      <c r="O2610" s="2"/>
      <c r="P2610" s="2"/>
      <c r="Q2610" s="2"/>
      <c r="R2610" s="2"/>
      <c r="S2610" s="2"/>
      <c r="T2610" s="2"/>
      <c r="U2610" s="2"/>
      <c r="V2610" s="2"/>
      <c r="W2610" s="2"/>
      <c r="X2610" s="2"/>
      <c r="Y2610" s="2"/>
      <c r="Z2610" s="2"/>
      <c r="AA2610" s="2"/>
      <c r="AB2610" s="2"/>
      <c r="AC2610" s="2"/>
      <c r="AD2610" s="2"/>
      <c r="AE2610" s="2"/>
      <c r="AF2610" s="2"/>
      <c r="AG2610" s="2"/>
      <c r="AH2610" s="2"/>
      <c r="AI2610" s="2"/>
      <c r="AJ2610" s="2" t="str">
        <f>IFERROR(__xludf.DUMMYFUNCTION("""COMPUTED_VALUE"""),"")</f>
        <v/>
      </c>
      <c r="AK2610" s="2" t="str">
        <f>IFERROR(__xludf.DUMMYFUNCTION("""COMPUTED_VALUE"""),"")</f>
        <v/>
      </c>
      <c r="AL2610" s="2" t="str">
        <f>IFERROR(__xludf.DUMMYFUNCTION("""COMPUTED_VALUE"""),"")</f>
        <v/>
      </c>
      <c r="AM2610" s="2" t="str">
        <f>IFERROR(__xludf.DUMMYFUNCTION("""COMPUTED_VALUE"""),"")</f>
        <v/>
      </c>
      <c r="AN2610" s="2" t="str">
        <f>IFERROR(__xludf.DUMMYFUNCTION("""COMPUTED_VALUE""")," ")</f>
        <v> </v>
      </c>
      <c r="AO2610" s="2" t="str">
        <f>IFERROR(__xludf.DUMMYFUNCTION("""COMPUTED_VALUE""")," ")</f>
        <v> </v>
      </c>
      <c r="AP2610" s="2" t="str">
        <f>IFERROR(__xludf.DUMMYFUNCTION("""COMPUTED_VALUE"""),"")</f>
        <v/>
      </c>
      <c r="AQ2610" s="2"/>
      <c r="AR2610" s="2"/>
      <c r="AS2610" s="2"/>
      <c r="AT2610" s="2"/>
      <c r="AU2610" s="2"/>
      <c r="AV2610" s="2"/>
      <c r="AW2610" s="2"/>
      <c r="AX2610" s="2"/>
      <c r="AY2610" s="2"/>
      <c r="AZ2610" s="2"/>
      <c r="BA2610" s="2"/>
      <c r="BB2610" s="2"/>
    </row>
    <row r="2611">
      <c r="A2611" s="2"/>
      <c r="B2611" s="2" t="str">
        <f>IFERROR(__xludf.DUMMYFUNCTION("""COMPUTED_VALUE"""),"")</f>
        <v/>
      </c>
      <c r="C2611" s="2"/>
      <c r="D2611" s="71"/>
      <c r="E2611" s="71" t="str">
        <f>IFERROR(__xludf.DUMMYFUNCTION("""COMPUTED_VALUE""")," ")</f>
        <v> </v>
      </c>
      <c r="F2611" s="2"/>
      <c r="G2611" s="2"/>
      <c r="H2611" s="2"/>
      <c r="I2611" s="72"/>
      <c r="J2611" s="72"/>
      <c r="K2611" s="72"/>
      <c r="L2611" s="72"/>
      <c r="M2611" s="2"/>
      <c r="N2611" s="2"/>
      <c r="O2611" s="2"/>
      <c r="P2611" s="2"/>
      <c r="Q2611" s="2"/>
      <c r="R2611" s="2"/>
      <c r="S2611" s="2"/>
      <c r="T2611" s="2"/>
      <c r="U2611" s="2"/>
      <c r="V2611" s="2"/>
      <c r="W2611" s="2"/>
      <c r="X2611" s="2"/>
      <c r="Y2611" s="2"/>
      <c r="Z2611" s="2"/>
      <c r="AA2611" s="2"/>
      <c r="AB2611" s="2"/>
      <c r="AC2611" s="2"/>
      <c r="AD2611" s="2"/>
      <c r="AE2611" s="2"/>
      <c r="AF2611" s="2"/>
      <c r="AG2611" s="2"/>
      <c r="AH2611" s="2"/>
      <c r="AI2611" s="2"/>
      <c r="AJ2611" s="2" t="str">
        <f>IFERROR(__xludf.DUMMYFUNCTION("""COMPUTED_VALUE"""),"")</f>
        <v/>
      </c>
      <c r="AK2611" s="2" t="str">
        <f>IFERROR(__xludf.DUMMYFUNCTION("""COMPUTED_VALUE"""),"")</f>
        <v/>
      </c>
      <c r="AL2611" s="2" t="str">
        <f>IFERROR(__xludf.DUMMYFUNCTION("""COMPUTED_VALUE"""),"")</f>
        <v/>
      </c>
      <c r="AM2611" s="2" t="str">
        <f>IFERROR(__xludf.DUMMYFUNCTION("""COMPUTED_VALUE"""),"")</f>
        <v/>
      </c>
      <c r="AN2611" s="2" t="str">
        <f>IFERROR(__xludf.DUMMYFUNCTION("""COMPUTED_VALUE""")," ")</f>
        <v> </v>
      </c>
      <c r="AO2611" s="2" t="str">
        <f>IFERROR(__xludf.DUMMYFUNCTION("""COMPUTED_VALUE""")," ")</f>
        <v> </v>
      </c>
      <c r="AP2611" s="2" t="str">
        <f>IFERROR(__xludf.DUMMYFUNCTION("""COMPUTED_VALUE"""),"")</f>
        <v/>
      </c>
      <c r="AQ2611" s="2"/>
      <c r="AR2611" s="2"/>
      <c r="AS2611" s="2"/>
      <c r="AT2611" s="2"/>
      <c r="AU2611" s="2"/>
      <c r="AV2611" s="2"/>
      <c r="AW2611" s="2"/>
      <c r="AX2611" s="2"/>
      <c r="AY2611" s="2"/>
      <c r="AZ2611" s="2"/>
      <c r="BA2611" s="2"/>
      <c r="BB2611" s="2"/>
    </row>
    <row r="2612">
      <c r="A2612" s="2"/>
      <c r="B2612" s="2" t="str">
        <f>IFERROR(__xludf.DUMMYFUNCTION("""COMPUTED_VALUE"""),"")</f>
        <v/>
      </c>
      <c r="C2612" s="2"/>
      <c r="D2612" s="71"/>
      <c r="E2612" s="71" t="str">
        <f>IFERROR(__xludf.DUMMYFUNCTION("""COMPUTED_VALUE""")," ")</f>
        <v> </v>
      </c>
      <c r="F2612" s="2"/>
      <c r="G2612" s="2"/>
      <c r="H2612" s="2"/>
      <c r="I2612" s="72"/>
      <c r="J2612" s="72"/>
      <c r="K2612" s="72"/>
      <c r="L2612" s="72"/>
      <c r="M2612" s="2"/>
      <c r="N2612" s="2"/>
      <c r="O2612" s="2"/>
      <c r="P2612" s="2"/>
      <c r="Q2612" s="2"/>
      <c r="R2612" s="2"/>
      <c r="S2612" s="2"/>
      <c r="T2612" s="2"/>
      <c r="U2612" s="2"/>
      <c r="V2612" s="2"/>
      <c r="W2612" s="2"/>
      <c r="X2612" s="2"/>
      <c r="Y2612" s="2"/>
      <c r="Z2612" s="2"/>
      <c r="AA2612" s="2"/>
      <c r="AB2612" s="2"/>
      <c r="AC2612" s="2"/>
      <c r="AD2612" s="2"/>
      <c r="AE2612" s="2"/>
      <c r="AF2612" s="2"/>
      <c r="AG2612" s="2"/>
      <c r="AH2612" s="2"/>
      <c r="AI2612" s="2"/>
      <c r="AJ2612" s="2" t="str">
        <f>IFERROR(__xludf.DUMMYFUNCTION("""COMPUTED_VALUE"""),"")</f>
        <v/>
      </c>
      <c r="AK2612" s="2" t="str">
        <f>IFERROR(__xludf.DUMMYFUNCTION("""COMPUTED_VALUE"""),"")</f>
        <v/>
      </c>
      <c r="AL2612" s="2" t="str">
        <f>IFERROR(__xludf.DUMMYFUNCTION("""COMPUTED_VALUE"""),"")</f>
        <v/>
      </c>
      <c r="AM2612" s="2" t="str">
        <f>IFERROR(__xludf.DUMMYFUNCTION("""COMPUTED_VALUE"""),"")</f>
        <v/>
      </c>
      <c r="AN2612" s="2" t="str">
        <f>IFERROR(__xludf.DUMMYFUNCTION("""COMPUTED_VALUE""")," ")</f>
        <v> </v>
      </c>
      <c r="AO2612" s="2" t="str">
        <f>IFERROR(__xludf.DUMMYFUNCTION("""COMPUTED_VALUE""")," ")</f>
        <v> </v>
      </c>
      <c r="AP2612" s="2" t="str">
        <f>IFERROR(__xludf.DUMMYFUNCTION("""COMPUTED_VALUE"""),"")</f>
        <v/>
      </c>
      <c r="AQ2612" s="2"/>
      <c r="AR2612" s="2"/>
      <c r="AS2612" s="2"/>
      <c r="AT2612" s="2"/>
      <c r="AU2612" s="2"/>
      <c r="AV2612" s="2"/>
      <c r="AW2612" s="2"/>
      <c r="AX2612" s="2"/>
      <c r="AY2612" s="2"/>
      <c r="AZ2612" s="2"/>
      <c r="BA2612" s="2"/>
      <c r="BB2612" s="2"/>
    </row>
    <row r="2613">
      <c r="A2613" s="2"/>
      <c r="B2613" s="2" t="str">
        <f>IFERROR(__xludf.DUMMYFUNCTION("""COMPUTED_VALUE"""),"")</f>
        <v/>
      </c>
      <c r="C2613" s="2"/>
      <c r="D2613" s="71"/>
      <c r="E2613" s="71" t="str">
        <f>IFERROR(__xludf.DUMMYFUNCTION("""COMPUTED_VALUE""")," ")</f>
        <v> </v>
      </c>
      <c r="F2613" s="2"/>
      <c r="G2613" s="2"/>
      <c r="H2613" s="2"/>
      <c r="I2613" s="72"/>
      <c r="J2613" s="72"/>
      <c r="K2613" s="72"/>
      <c r="L2613" s="72"/>
      <c r="M2613" s="2"/>
      <c r="N2613" s="2"/>
      <c r="O2613" s="2"/>
      <c r="P2613" s="2"/>
      <c r="Q2613" s="2"/>
      <c r="R2613" s="2"/>
      <c r="S2613" s="2"/>
      <c r="T2613" s="2"/>
      <c r="U2613" s="2"/>
      <c r="V2613" s="2"/>
      <c r="W2613" s="2"/>
      <c r="X2613" s="2"/>
      <c r="Y2613" s="2"/>
      <c r="Z2613" s="2"/>
      <c r="AA2613" s="2"/>
      <c r="AB2613" s="2"/>
      <c r="AC2613" s="2"/>
      <c r="AD2613" s="2"/>
      <c r="AE2613" s="2"/>
      <c r="AF2613" s="2"/>
      <c r="AG2613" s="2"/>
      <c r="AH2613" s="2"/>
      <c r="AI2613" s="2"/>
      <c r="AJ2613" s="2" t="str">
        <f>IFERROR(__xludf.DUMMYFUNCTION("""COMPUTED_VALUE"""),"")</f>
        <v/>
      </c>
      <c r="AK2613" s="2" t="str">
        <f>IFERROR(__xludf.DUMMYFUNCTION("""COMPUTED_VALUE"""),"")</f>
        <v/>
      </c>
      <c r="AL2613" s="2" t="str">
        <f>IFERROR(__xludf.DUMMYFUNCTION("""COMPUTED_VALUE"""),"")</f>
        <v/>
      </c>
      <c r="AM2613" s="2" t="str">
        <f>IFERROR(__xludf.DUMMYFUNCTION("""COMPUTED_VALUE"""),"")</f>
        <v/>
      </c>
      <c r="AN2613" s="2" t="str">
        <f>IFERROR(__xludf.DUMMYFUNCTION("""COMPUTED_VALUE""")," ")</f>
        <v> </v>
      </c>
      <c r="AO2613" s="2" t="str">
        <f>IFERROR(__xludf.DUMMYFUNCTION("""COMPUTED_VALUE""")," ")</f>
        <v> </v>
      </c>
      <c r="AP2613" s="2" t="str">
        <f>IFERROR(__xludf.DUMMYFUNCTION("""COMPUTED_VALUE"""),"")</f>
        <v/>
      </c>
      <c r="AQ2613" s="2"/>
      <c r="AR2613" s="2"/>
      <c r="AS2613" s="2"/>
      <c r="AT2613" s="2"/>
      <c r="AU2613" s="2"/>
      <c r="AV2613" s="2"/>
      <c r="AW2613" s="2"/>
      <c r="AX2613" s="2"/>
      <c r="AY2613" s="2"/>
      <c r="AZ2613" s="2"/>
      <c r="BA2613" s="2"/>
      <c r="BB2613" s="2"/>
    </row>
    <row r="2614">
      <c r="A2614" s="2"/>
      <c r="B2614" s="2" t="str">
        <f>IFERROR(__xludf.DUMMYFUNCTION("""COMPUTED_VALUE"""),"")</f>
        <v/>
      </c>
      <c r="C2614" s="2"/>
      <c r="D2614" s="71"/>
      <c r="E2614" s="71" t="str">
        <f>IFERROR(__xludf.DUMMYFUNCTION("""COMPUTED_VALUE""")," ")</f>
        <v> </v>
      </c>
      <c r="F2614" s="2"/>
      <c r="G2614" s="2"/>
      <c r="H2614" s="2"/>
      <c r="I2614" s="72"/>
      <c r="J2614" s="72"/>
      <c r="K2614" s="72"/>
      <c r="L2614" s="72"/>
      <c r="M2614" s="2"/>
      <c r="N2614" s="2"/>
      <c r="O2614" s="2"/>
      <c r="P2614" s="2"/>
      <c r="Q2614" s="2"/>
      <c r="R2614" s="2"/>
      <c r="S2614" s="2"/>
      <c r="T2614" s="2"/>
      <c r="U2614" s="2"/>
      <c r="V2614" s="2"/>
      <c r="W2614" s="2"/>
      <c r="X2614" s="2"/>
      <c r="Y2614" s="2"/>
      <c r="Z2614" s="2"/>
      <c r="AA2614" s="2"/>
      <c r="AB2614" s="2"/>
      <c r="AC2614" s="2"/>
      <c r="AD2614" s="2"/>
      <c r="AE2614" s="2"/>
      <c r="AF2614" s="2"/>
      <c r="AG2614" s="2"/>
      <c r="AH2614" s="2"/>
      <c r="AI2614" s="2"/>
      <c r="AJ2614" s="2" t="str">
        <f>IFERROR(__xludf.DUMMYFUNCTION("""COMPUTED_VALUE"""),"")</f>
        <v/>
      </c>
      <c r="AK2614" s="2" t="str">
        <f>IFERROR(__xludf.DUMMYFUNCTION("""COMPUTED_VALUE"""),"")</f>
        <v/>
      </c>
      <c r="AL2614" s="2" t="str">
        <f>IFERROR(__xludf.DUMMYFUNCTION("""COMPUTED_VALUE"""),"")</f>
        <v/>
      </c>
      <c r="AM2614" s="2" t="str">
        <f>IFERROR(__xludf.DUMMYFUNCTION("""COMPUTED_VALUE"""),"")</f>
        <v/>
      </c>
      <c r="AN2614" s="2" t="str">
        <f>IFERROR(__xludf.DUMMYFUNCTION("""COMPUTED_VALUE""")," ")</f>
        <v> </v>
      </c>
      <c r="AO2614" s="2" t="str">
        <f>IFERROR(__xludf.DUMMYFUNCTION("""COMPUTED_VALUE""")," ")</f>
        <v> </v>
      </c>
      <c r="AP2614" s="2" t="str">
        <f>IFERROR(__xludf.DUMMYFUNCTION("""COMPUTED_VALUE"""),"")</f>
        <v/>
      </c>
      <c r="AQ2614" s="2"/>
      <c r="AR2614" s="2"/>
      <c r="AS2614" s="2"/>
      <c r="AT2614" s="2"/>
      <c r="AU2614" s="2"/>
      <c r="AV2614" s="2"/>
      <c r="AW2614" s="2"/>
      <c r="AX2614" s="2"/>
      <c r="AY2614" s="2"/>
      <c r="AZ2614" s="2"/>
      <c r="BA2614" s="2"/>
      <c r="BB2614" s="2"/>
    </row>
    <row r="2615">
      <c r="A2615" s="2"/>
      <c r="B2615" s="2" t="str">
        <f>IFERROR(__xludf.DUMMYFUNCTION("""COMPUTED_VALUE"""),"")</f>
        <v/>
      </c>
      <c r="C2615" s="2"/>
      <c r="D2615" s="71"/>
      <c r="E2615" s="71" t="str">
        <f>IFERROR(__xludf.DUMMYFUNCTION("""COMPUTED_VALUE""")," ")</f>
        <v> </v>
      </c>
      <c r="F2615" s="2"/>
      <c r="G2615" s="2"/>
      <c r="H2615" s="2"/>
      <c r="I2615" s="72"/>
      <c r="J2615" s="72"/>
      <c r="K2615" s="72"/>
      <c r="L2615" s="72"/>
      <c r="M2615" s="2"/>
      <c r="N2615" s="2"/>
      <c r="O2615" s="2"/>
      <c r="P2615" s="2"/>
      <c r="Q2615" s="2"/>
      <c r="R2615" s="2"/>
      <c r="S2615" s="2"/>
      <c r="T2615" s="2"/>
      <c r="U2615" s="2"/>
      <c r="V2615" s="2"/>
      <c r="W2615" s="2"/>
      <c r="X2615" s="2"/>
      <c r="Y2615" s="2"/>
      <c r="Z2615" s="2"/>
      <c r="AA2615" s="2"/>
      <c r="AB2615" s="2"/>
      <c r="AC2615" s="2"/>
      <c r="AD2615" s="2"/>
      <c r="AE2615" s="2"/>
      <c r="AF2615" s="2"/>
      <c r="AG2615" s="2"/>
      <c r="AH2615" s="2"/>
      <c r="AI2615" s="2"/>
      <c r="AJ2615" s="2" t="str">
        <f>IFERROR(__xludf.DUMMYFUNCTION("""COMPUTED_VALUE"""),"")</f>
        <v/>
      </c>
      <c r="AK2615" s="2" t="str">
        <f>IFERROR(__xludf.DUMMYFUNCTION("""COMPUTED_VALUE"""),"")</f>
        <v/>
      </c>
      <c r="AL2615" s="2" t="str">
        <f>IFERROR(__xludf.DUMMYFUNCTION("""COMPUTED_VALUE"""),"")</f>
        <v/>
      </c>
      <c r="AM2615" s="2" t="str">
        <f>IFERROR(__xludf.DUMMYFUNCTION("""COMPUTED_VALUE"""),"")</f>
        <v/>
      </c>
      <c r="AN2615" s="2" t="str">
        <f>IFERROR(__xludf.DUMMYFUNCTION("""COMPUTED_VALUE""")," ")</f>
        <v> </v>
      </c>
      <c r="AO2615" s="2" t="str">
        <f>IFERROR(__xludf.DUMMYFUNCTION("""COMPUTED_VALUE""")," ")</f>
        <v> </v>
      </c>
      <c r="AP2615" s="2" t="str">
        <f>IFERROR(__xludf.DUMMYFUNCTION("""COMPUTED_VALUE"""),"")</f>
        <v/>
      </c>
      <c r="AQ2615" s="2"/>
      <c r="AR2615" s="2"/>
      <c r="AS2615" s="2"/>
      <c r="AT2615" s="2"/>
      <c r="AU2615" s="2"/>
      <c r="AV2615" s="2"/>
      <c r="AW2615" s="2"/>
      <c r="AX2615" s="2"/>
      <c r="AY2615" s="2"/>
      <c r="AZ2615" s="2"/>
      <c r="BA2615" s="2"/>
      <c r="BB2615" s="2"/>
    </row>
    <row r="2616">
      <c r="A2616" s="2"/>
      <c r="B2616" s="2" t="str">
        <f>IFERROR(__xludf.DUMMYFUNCTION("""COMPUTED_VALUE"""),"")</f>
        <v/>
      </c>
      <c r="C2616" s="2"/>
      <c r="D2616" s="71"/>
      <c r="E2616" s="71" t="str">
        <f>IFERROR(__xludf.DUMMYFUNCTION("""COMPUTED_VALUE""")," ")</f>
        <v> </v>
      </c>
      <c r="F2616" s="2"/>
      <c r="G2616" s="2"/>
      <c r="H2616" s="2"/>
      <c r="I2616" s="72"/>
      <c r="J2616" s="72"/>
      <c r="K2616" s="72"/>
      <c r="L2616" s="72"/>
      <c r="M2616" s="2"/>
      <c r="N2616" s="2"/>
      <c r="O2616" s="2"/>
      <c r="P2616" s="2"/>
      <c r="Q2616" s="2"/>
      <c r="R2616" s="2"/>
      <c r="S2616" s="2"/>
      <c r="T2616" s="2"/>
      <c r="U2616" s="2"/>
      <c r="V2616" s="2"/>
      <c r="W2616" s="2"/>
      <c r="X2616" s="2"/>
      <c r="Y2616" s="2"/>
      <c r="Z2616" s="2"/>
      <c r="AA2616" s="2"/>
      <c r="AB2616" s="2"/>
      <c r="AC2616" s="2"/>
      <c r="AD2616" s="2"/>
      <c r="AE2616" s="2"/>
      <c r="AF2616" s="2"/>
      <c r="AG2616" s="2"/>
      <c r="AH2616" s="2"/>
      <c r="AI2616" s="2"/>
      <c r="AJ2616" s="2" t="str">
        <f>IFERROR(__xludf.DUMMYFUNCTION("""COMPUTED_VALUE"""),"")</f>
        <v/>
      </c>
      <c r="AK2616" s="2" t="str">
        <f>IFERROR(__xludf.DUMMYFUNCTION("""COMPUTED_VALUE"""),"")</f>
        <v/>
      </c>
      <c r="AL2616" s="2" t="str">
        <f>IFERROR(__xludf.DUMMYFUNCTION("""COMPUTED_VALUE"""),"")</f>
        <v/>
      </c>
      <c r="AM2616" s="2" t="str">
        <f>IFERROR(__xludf.DUMMYFUNCTION("""COMPUTED_VALUE"""),"")</f>
        <v/>
      </c>
      <c r="AN2616" s="2" t="str">
        <f>IFERROR(__xludf.DUMMYFUNCTION("""COMPUTED_VALUE""")," ")</f>
        <v> </v>
      </c>
      <c r="AO2616" s="2" t="str">
        <f>IFERROR(__xludf.DUMMYFUNCTION("""COMPUTED_VALUE""")," ")</f>
        <v> </v>
      </c>
      <c r="AP2616" s="2" t="str">
        <f>IFERROR(__xludf.DUMMYFUNCTION("""COMPUTED_VALUE"""),"")</f>
        <v/>
      </c>
      <c r="AQ2616" s="2"/>
      <c r="AR2616" s="2"/>
      <c r="AS2616" s="2"/>
      <c r="AT2616" s="2"/>
      <c r="AU2616" s="2"/>
      <c r="AV2616" s="2"/>
      <c r="AW2616" s="2"/>
      <c r="AX2616" s="2"/>
      <c r="AY2616" s="2"/>
      <c r="AZ2616" s="2"/>
      <c r="BA2616" s="2"/>
      <c r="BB2616" s="2"/>
    </row>
    <row r="2617">
      <c r="A2617" s="2"/>
      <c r="B2617" s="2" t="str">
        <f>IFERROR(__xludf.DUMMYFUNCTION("""COMPUTED_VALUE"""),"")</f>
        <v/>
      </c>
      <c r="C2617" s="2"/>
      <c r="D2617" s="71"/>
      <c r="E2617" s="71" t="str">
        <f>IFERROR(__xludf.DUMMYFUNCTION("""COMPUTED_VALUE""")," ")</f>
        <v> </v>
      </c>
      <c r="F2617" s="2"/>
      <c r="G2617" s="2"/>
      <c r="H2617" s="2"/>
      <c r="I2617" s="72"/>
      <c r="J2617" s="72"/>
      <c r="K2617" s="72"/>
      <c r="L2617" s="72"/>
      <c r="M2617" s="2"/>
      <c r="N2617" s="2"/>
      <c r="O2617" s="2"/>
      <c r="P2617" s="2"/>
      <c r="Q2617" s="2"/>
      <c r="R2617" s="2"/>
      <c r="S2617" s="2"/>
      <c r="T2617" s="2"/>
      <c r="U2617" s="2"/>
      <c r="V2617" s="2"/>
      <c r="W2617" s="2"/>
      <c r="X2617" s="2"/>
      <c r="Y2617" s="2"/>
      <c r="Z2617" s="2"/>
      <c r="AA2617" s="2"/>
      <c r="AB2617" s="2"/>
      <c r="AC2617" s="2"/>
      <c r="AD2617" s="2"/>
      <c r="AE2617" s="2"/>
      <c r="AF2617" s="2"/>
      <c r="AG2617" s="2"/>
      <c r="AH2617" s="2"/>
      <c r="AI2617" s="2"/>
      <c r="AJ2617" s="2" t="str">
        <f>IFERROR(__xludf.DUMMYFUNCTION("""COMPUTED_VALUE"""),"")</f>
        <v/>
      </c>
      <c r="AK2617" s="2" t="str">
        <f>IFERROR(__xludf.DUMMYFUNCTION("""COMPUTED_VALUE"""),"")</f>
        <v/>
      </c>
      <c r="AL2617" s="2" t="str">
        <f>IFERROR(__xludf.DUMMYFUNCTION("""COMPUTED_VALUE"""),"")</f>
        <v/>
      </c>
      <c r="AM2617" s="2" t="str">
        <f>IFERROR(__xludf.DUMMYFUNCTION("""COMPUTED_VALUE"""),"")</f>
        <v/>
      </c>
      <c r="AN2617" s="2" t="str">
        <f>IFERROR(__xludf.DUMMYFUNCTION("""COMPUTED_VALUE""")," ")</f>
        <v> </v>
      </c>
      <c r="AO2617" s="2" t="str">
        <f>IFERROR(__xludf.DUMMYFUNCTION("""COMPUTED_VALUE""")," ")</f>
        <v> </v>
      </c>
      <c r="AP2617" s="2" t="str">
        <f>IFERROR(__xludf.DUMMYFUNCTION("""COMPUTED_VALUE"""),"")</f>
        <v/>
      </c>
      <c r="AQ2617" s="2"/>
      <c r="AR2617" s="2"/>
      <c r="AS2617" s="2"/>
      <c r="AT2617" s="2"/>
      <c r="AU2617" s="2"/>
      <c r="AV2617" s="2"/>
      <c r="AW2617" s="2"/>
      <c r="AX2617" s="2"/>
      <c r="AY2617" s="2"/>
      <c r="AZ2617" s="2"/>
      <c r="BA2617" s="2"/>
      <c r="BB2617" s="2"/>
    </row>
    <row r="2618">
      <c r="A2618" s="2"/>
      <c r="B2618" s="2" t="str">
        <f>IFERROR(__xludf.DUMMYFUNCTION("""COMPUTED_VALUE"""),"")</f>
        <v/>
      </c>
      <c r="C2618" s="2"/>
      <c r="D2618" s="71"/>
      <c r="E2618" s="71" t="str">
        <f>IFERROR(__xludf.DUMMYFUNCTION("""COMPUTED_VALUE""")," ")</f>
        <v> </v>
      </c>
      <c r="F2618" s="2"/>
      <c r="G2618" s="2"/>
      <c r="H2618" s="2"/>
      <c r="I2618" s="72"/>
      <c r="J2618" s="72"/>
      <c r="K2618" s="72"/>
      <c r="L2618" s="72"/>
      <c r="M2618" s="2"/>
      <c r="N2618" s="2"/>
      <c r="O2618" s="2"/>
      <c r="P2618" s="2"/>
      <c r="Q2618" s="2"/>
      <c r="R2618" s="2"/>
      <c r="S2618" s="2"/>
      <c r="T2618" s="2"/>
      <c r="U2618" s="2"/>
      <c r="V2618" s="2"/>
      <c r="W2618" s="2"/>
      <c r="X2618" s="2"/>
      <c r="Y2618" s="2"/>
      <c r="Z2618" s="2"/>
      <c r="AA2618" s="2"/>
      <c r="AB2618" s="2"/>
      <c r="AC2618" s="2"/>
      <c r="AD2618" s="2"/>
      <c r="AE2618" s="2"/>
      <c r="AF2618" s="2"/>
      <c r="AG2618" s="2"/>
      <c r="AH2618" s="2"/>
      <c r="AI2618" s="2"/>
      <c r="AJ2618" s="2" t="str">
        <f>IFERROR(__xludf.DUMMYFUNCTION("""COMPUTED_VALUE"""),"")</f>
        <v/>
      </c>
      <c r="AK2618" s="2" t="str">
        <f>IFERROR(__xludf.DUMMYFUNCTION("""COMPUTED_VALUE"""),"")</f>
        <v/>
      </c>
      <c r="AL2618" s="2" t="str">
        <f>IFERROR(__xludf.DUMMYFUNCTION("""COMPUTED_VALUE"""),"")</f>
        <v/>
      </c>
      <c r="AM2618" s="2" t="str">
        <f>IFERROR(__xludf.DUMMYFUNCTION("""COMPUTED_VALUE"""),"")</f>
        <v/>
      </c>
      <c r="AN2618" s="2" t="str">
        <f>IFERROR(__xludf.DUMMYFUNCTION("""COMPUTED_VALUE""")," ")</f>
        <v> </v>
      </c>
      <c r="AO2618" s="2" t="str">
        <f>IFERROR(__xludf.DUMMYFUNCTION("""COMPUTED_VALUE""")," ")</f>
        <v> </v>
      </c>
      <c r="AP2618" s="2" t="str">
        <f>IFERROR(__xludf.DUMMYFUNCTION("""COMPUTED_VALUE"""),"")</f>
        <v/>
      </c>
      <c r="AQ2618" s="2"/>
      <c r="AR2618" s="2"/>
      <c r="AS2618" s="2"/>
      <c r="AT2618" s="2"/>
      <c r="AU2618" s="2"/>
      <c r="AV2618" s="2"/>
      <c r="AW2618" s="2"/>
      <c r="AX2618" s="2"/>
      <c r="AY2618" s="2"/>
      <c r="AZ2618" s="2"/>
      <c r="BA2618" s="2"/>
      <c r="BB2618" s="2"/>
    </row>
    <row r="2619">
      <c r="A2619" s="2"/>
      <c r="B2619" s="2" t="str">
        <f>IFERROR(__xludf.DUMMYFUNCTION("""COMPUTED_VALUE"""),"")</f>
        <v/>
      </c>
      <c r="C2619" s="2"/>
      <c r="D2619" s="71"/>
      <c r="E2619" s="71" t="str">
        <f>IFERROR(__xludf.DUMMYFUNCTION("""COMPUTED_VALUE""")," ")</f>
        <v> </v>
      </c>
      <c r="F2619" s="2"/>
      <c r="G2619" s="2"/>
      <c r="H2619" s="2"/>
      <c r="I2619" s="72"/>
      <c r="J2619" s="72"/>
      <c r="K2619" s="72"/>
      <c r="L2619" s="72"/>
      <c r="M2619" s="2"/>
      <c r="N2619" s="2"/>
      <c r="O2619" s="2"/>
      <c r="P2619" s="2"/>
      <c r="Q2619" s="2"/>
      <c r="R2619" s="2"/>
      <c r="S2619" s="2"/>
      <c r="T2619" s="2"/>
      <c r="U2619" s="2"/>
      <c r="V2619" s="2"/>
      <c r="W2619" s="2"/>
      <c r="X2619" s="2"/>
      <c r="Y2619" s="2"/>
      <c r="Z2619" s="2"/>
      <c r="AA2619" s="2"/>
      <c r="AB2619" s="2"/>
      <c r="AC2619" s="2"/>
      <c r="AD2619" s="2"/>
      <c r="AE2619" s="2"/>
      <c r="AF2619" s="2"/>
      <c r="AG2619" s="2"/>
      <c r="AH2619" s="2"/>
      <c r="AI2619" s="2"/>
      <c r="AJ2619" s="2" t="str">
        <f>IFERROR(__xludf.DUMMYFUNCTION("""COMPUTED_VALUE"""),"")</f>
        <v/>
      </c>
      <c r="AK2619" s="2" t="str">
        <f>IFERROR(__xludf.DUMMYFUNCTION("""COMPUTED_VALUE"""),"")</f>
        <v/>
      </c>
      <c r="AL2619" s="2" t="str">
        <f>IFERROR(__xludf.DUMMYFUNCTION("""COMPUTED_VALUE"""),"")</f>
        <v/>
      </c>
      <c r="AM2619" s="2" t="str">
        <f>IFERROR(__xludf.DUMMYFUNCTION("""COMPUTED_VALUE"""),"")</f>
        <v/>
      </c>
      <c r="AN2619" s="2" t="str">
        <f>IFERROR(__xludf.DUMMYFUNCTION("""COMPUTED_VALUE""")," ")</f>
        <v> </v>
      </c>
      <c r="AO2619" s="2" t="str">
        <f>IFERROR(__xludf.DUMMYFUNCTION("""COMPUTED_VALUE""")," ")</f>
        <v> </v>
      </c>
      <c r="AP2619" s="2" t="str">
        <f>IFERROR(__xludf.DUMMYFUNCTION("""COMPUTED_VALUE"""),"")</f>
        <v/>
      </c>
      <c r="AQ2619" s="2"/>
      <c r="AR2619" s="2"/>
      <c r="AS2619" s="2"/>
      <c r="AT2619" s="2"/>
      <c r="AU2619" s="2"/>
      <c r="AV2619" s="2"/>
      <c r="AW2619" s="2"/>
      <c r="AX2619" s="2"/>
      <c r="AY2619" s="2"/>
      <c r="AZ2619" s="2"/>
      <c r="BA2619" s="2"/>
      <c r="BB2619" s="2"/>
    </row>
    <row r="2620">
      <c r="A2620" s="2"/>
      <c r="B2620" s="2" t="str">
        <f>IFERROR(__xludf.DUMMYFUNCTION("""COMPUTED_VALUE"""),"")</f>
        <v/>
      </c>
      <c r="C2620" s="2"/>
      <c r="D2620" s="71"/>
      <c r="E2620" s="71" t="str">
        <f>IFERROR(__xludf.DUMMYFUNCTION("""COMPUTED_VALUE""")," ")</f>
        <v> </v>
      </c>
      <c r="F2620" s="2"/>
      <c r="G2620" s="2"/>
      <c r="H2620" s="2"/>
      <c r="I2620" s="72"/>
      <c r="J2620" s="72"/>
      <c r="K2620" s="72"/>
      <c r="L2620" s="72"/>
      <c r="M2620" s="2"/>
      <c r="N2620" s="2"/>
      <c r="O2620" s="2"/>
      <c r="P2620" s="2"/>
      <c r="Q2620" s="2"/>
      <c r="R2620" s="2"/>
      <c r="S2620" s="2"/>
      <c r="T2620" s="2"/>
      <c r="U2620" s="2"/>
      <c r="V2620" s="2"/>
      <c r="W2620" s="2"/>
      <c r="X2620" s="2"/>
      <c r="Y2620" s="2"/>
      <c r="Z2620" s="2"/>
      <c r="AA2620" s="2"/>
      <c r="AB2620" s="2"/>
      <c r="AC2620" s="2"/>
      <c r="AD2620" s="2"/>
      <c r="AE2620" s="2"/>
      <c r="AF2620" s="2"/>
      <c r="AG2620" s="2"/>
      <c r="AH2620" s="2"/>
      <c r="AI2620" s="2"/>
      <c r="AJ2620" s="2" t="str">
        <f>IFERROR(__xludf.DUMMYFUNCTION("""COMPUTED_VALUE"""),"")</f>
        <v/>
      </c>
      <c r="AK2620" s="2" t="str">
        <f>IFERROR(__xludf.DUMMYFUNCTION("""COMPUTED_VALUE"""),"")</f>
        <v/>
      </c>
      <c r="AL2620" s="2" t="str">
        <f>IFERROR(__xludf.DUMMYFUNCTION("""COMPUTED_VALUE"""),"")</f>
        <v/>
      </c>
      <c r="AM2620" s="2" t="str">
        <f>IFERROR(__xludf.DUMMYFUNCTION("""COMPUTED_VALUE"""),"")</f>
        <v/>
      </c>
      <c r="AN2620" s="2" t="str">
        <f>IFERROR(__xludf.DUMMYFUNCTION("""COMPUTED_VALUE""")," ")</f>
        <v> </v>
      </c>
      <c r="AO2620" s="2" t="str">
        <f>IFERROR(__xludf.DUMMYFUNCTION("""COMPUTED_VALUE""")," ")</f>
        <v> </v>
      </c>
      <c r="AP2620" s="2" t="str">
        <f>IFERROR(__xludf.DUMMYFUNCTION("""COMPUTED_VALUE"""),"")</f>
        <v/>
      </c>
      <c r="AQ2620" s="2"/>
      <c r="AR2620" s="2"/>
      <c r="AS2620" s="2"/>
      <c r="AT2620" s="2"/>
      <c r="AU2620" s="2"/>
      <c r="AV2620" s="2"/>
      <c r="AW2620" s="2"/>
      <c r="AX2620" s="2"/>
      <c r="AY2620" s="2"/>
      <c r="AZ2620" s="2"/>
      <c r="BA2620" s="2"/>
      <c r="BB2620" s="2"/>
    </row>
    <row r="2621">
      <c r="A2621" s="2"/>
      <c r="B2621" s="2" t="str">
        <f>IFERROR(__xludf.DUMMYFUNCTION("""COMPUTED_VALUE"""),"")</f>
        <v/>
      </c>
      <c r="C2621" s="2"/>
      <c r="D2621" s="71"/>
      <c r="E2621" s="71" t="str">
        <f>IFERROR(__xludf.DUMMYFUNCTION("""COMPUTED_VALUE""")," ")</f>
        <v> </v>
      </c>
      <c r="F2621" s="2"/>
      <c r="G2621" s="2"/>
      <c r="H2621" s="2"/>
      <c r="I2621" s="72"/>
      <c r="J2621" s="72"/>
      <c r="K2621" s="72"/>
      <c r="L2621" s="72"/>
      <c r="M2621" s="2"/>
      <c r="N2621" s="2"/>
      <c r="O2621" s="2"/>
      <c r="P2621" s="2"/>
      <c r="Q2621" s="2"/>
      <c r="R2621" s="2"/>
      <c r="S2621" s="2"/>
      <c r="T2621" s="2"/>
      <c r="U2621" s="2"/>
      <c r="V2621" s="2"/>
      <c r="W2621" s="2"/>
      <c r="X2621" s="2"/>
      <c r="Y2621" s="2"/>
      <c r="Z2621" s="2"/>
      <c r="AA2621" s="2"/>
      <c r="AB2621" s="2"/>
      <c r="AC2621" s="2"/>
      <c r="AD2621" s="2"/>
      <c r="AE2621" s="2"/>
      <c r="AF2621" s="2"/>
      <c r="AG2621" s="2"/>
      <c r="AH2621" s="2"/>
      <c r="AI2621" s="2"/>
      <c r="AJ2621" s="2" t="str">
        <f>IFERROR(__xludf.DUMMYFUNCTION("""COMPUTED_VALUE"""),"")</f>
        <v/>
      </c>
      <c r="AK2621" s="2" t="str">
        <f>IFERROR(__xludf.DUMMYFUNCTION("""COMPUTED_VALUE"""),"")</f>
        <v/>
      </c>
      <c r="AL2621" s="2" t="str">
        <f>IFERROR(__xludf.DUMMYFUNCTION("""COMPUTED_VALUE"""),"")</f>
        <v/>
      </c>
      <c r="AM2621" s="2" t="str">
        <f>IFERROR(__xludf.DUMMYFUNCTION("""COMPUTED_VALUE"""),"")</f>
        <v/>
      </c>
      <c r="AN2621" s="2" t="str">
        <f>IFERROR(__xludf.DUMMYFUNCTION("""COMPUTED_VALUE""")," ")</f>
        <v> </v>
      </c>
      <c r="AO2621" s="2" t="str">
        <f>IFERROR(__xludf.DUMMYFUNCTION("""COMPUTED_VALUE""")," ")</f>
        <v> </v>
      </c>
      <c r="AP2621" s="2" t="str">
        <f>IFERROR(__xludf.DUMMYFUNCTION("""COMPUTED_VALUE"""),"")</f>
        <v/>
      </c>
      <c r="AQ2621" s="2"/>
      <c r="AR2621" s="2"/>
      <c r="AS2621" s="2"/>
      <c r="AT2621" s="2"/>
      <c r="AU2621" s="2"/>
      <c r="AV2621" s="2"/>
      <c r="AW2621" s="2"/>
      <c r="AX2621" s="2"/>
      <c r="AY2621" s="2"/>
      <c r="AZ2621" s="2"/>
      <c r="BA2621" s="2"/>
      <c r="BB2621" s="2"/>
    </row>
    <row r="2622">
      <c r="A2622" s="2"/>
      <c r="B2622" s="2" t="str">
        <f>IFERROR(__xludf.DUMMYFUNCTION("""COMPUTED_VALUE"""),"")</f>
        <v/>
      </c>
      <c r="C2622" s="2"/>
      <c r="D2622" s="71"/>
      <c r="E2622" s="71" t="str">
        <f>IFERROR(__xludf.DUMMYFUNCTION("""COMPUTED_VALUE""")," ")</f>
        <v> </v>
      </c>
      <c r="F2622" s="2"/>
      <c r="G2622" s="2"/>
      <c r="H2622" s="2"/>
      <c r="I2622" s="72"/>
      <c r="J2622" s="72"/>
      <c r="K2622" s="72"/>
      <c r="L2622" s="72"/>
      <c r="M2622" s="2"/>
      <c r="N2622" s="2"/>
      <c r="O2622" s="2"/>
      <c r="P2622" s="2"/>
      <c r="Q2622" s="2"/>
      <c r="R2622" s="2"/>
      <c r="S2622" s="2"/>
      <c r="T2622" s="2"/>
      <c r="U2622" s="2"/>
      <c r="V2622" s="2"/>
      <c r="W2622" s="2"/>
      <c r="X2622" s="2"/>
      <c r="Y2622" s="2"/>
      <c r="Z2622" s="2"/>
      <c r="AA2622" s="2"/>
      <c r="AB2622" s="2"/>
      <c r="AC2622" s="2"/>
      <c r="AD2622" s="2"/>
      <c r="AE2622" s="2"/>
      <c r="AF2622" s="2"/>
      <c r="AG2622" s="2"/>
      <c r="AH2622" s="2"/>
      <c r="AI2622" s="2"/>
      <c r="AJ2622" s="2" t="str">
        <f>IFERROR(__xludf.DUMMYFUNCTION("""COMPUTED_VALUE"""),"")</f>
        <v/>
      </c>
      <c r="AK2622" s="2" t="str">
        <f>IFERROR(__xludf.DUMMYFUNCTION("""COMPUTED_VALUE"""),"")</f>
        <v/>
      </c>
      <c r="AL2622" s="2" t="str">
        <f>IFERROR(__xludf.DUMMYFUNCTION("""COMPUTED_VALUE"""),"")</f>
        <v/>
      </c>
      <c r="AM2622" s="2" t="str">
        <f>IFERROR(__xludf.DUMMYFUNCTION("""COMPUTED_VALUE"""),"")</f>
        <v/>
      </c>
      <c r="AN2622" s="2" t="str">
        <f>IFERROR(__xludf.DUMMYFUNCTION("""COMPUTED_VALUE""")," ")</f>
        <v> </v>
      </c>
      <c r="AO2622" s="2" t="str">
        <f>IFERROR(__xludf.DUMMYFUNCTION("""COMPUTED_VALUE""")," ")</f>
        <v> </v>
      </c>
      <c r="AP2622" s="2" t="str">
        <f>IFERROR(__xludf.DUMMYFUNCTION("""COMPUTED_VALUE"""),"")</f>
        <v/>
      </c>
      <c r="AQ2622" s="2"/>
      <c r="AR2622" s="2"/>
      <c r="AS2622" s="2"/>
      <c r="AT2622" s="2"/>
      <c r="AU2622" s="2"/>
      <c r="AV2622" s="2"/>
      <c r="AW2622" s="2"/>
      <c r="AX2622" s="2"/>
      <c r="AY2622" s="2"/>
      <c r="AZ2622" s="2"/>
      <c r="BA2622" s="2"/>
      <c r="BB2622" s="2"/>
    </row>
    <row r="2623">
      <c r="A2623" s="2"/>
      <c r="B2623" s="2"/>
      <c r="C2623" s="2"/>
      <c r="D2623" s="71"/>
      <c r="E2623" s="71"/>
      <c r="F2623" s="2"/>
      <c r="G2623" s="2"/>
      <c r="H2623" s="2"/>
      <c r="I2623" s="72"/>
      <c r="J2623" s="72"/>
      <c r="K2623" s="72"/>
      <c r="L2623" s="72"/>
      <c r="M2623" s="2"/>
      <c r="N2623" s="2"/>
      <c r="O2623" s="2"/>
      <c r="P2623" s="2"/>
      <c r="Q2623" s="2"/>
      <c r="R2623" s="2"/>
      <c r="S2623" s="2"/>
      <c r="T2623" s="2"/>
      <c r="U2623" s="2"/>
      <c r="V2623" s="2"/>
      <c r="W2623" s="2"/>
      <c r="X2623" s="2"/>
      <c r="Y2623" s="2"/>
      <c r="Z2623" s="2"/>
      <c r="AA2623" s="2"/>
      <c r="AB2623" s="2"/>
      <c r="AC2623" s="2"/>
      <c r="AD2623" s="2"/>
      <c r="AE2623" s="2"/>
      <c r="AF2623" s="2"/>
      <c r="AG2623" s="2"/>
      <c r="AH2623" s="2"/>
      <c r="AI2623" s="2"/>
      <c r="AJ2623" s="2" t="str">
        <f>IFERROR(__xludf.DUMMYFUNCTION("""COMPUTED_VALUE"""),"")</f>
        <v/>
      </c>
      <c r="AK2623" s="2" t="str">
        <f>IFERROR(__xludf.DUMMYFUNCTION("""COMPUTED_VALUE"""),"")</f>
        <v/>
      </c>
      <c r="AL2623" s="2" t="str">
        <f>IFERROR(__xludf.DUMMYFUNCTION("""COMPUTED_VALUE"""),"")</f>
        <v/>
      </c>
      <c r="AM2623" s="2" t="str">
        <f>IFERROR(__xludf.DUMMYFUNCTION("""COMPUTED_VALUE"""),"")</f>
        <v/>
      </c>
      <c r="AN2623" s="2" t="str">
        <f>IFERROR(__xludf.DUMMYFUNCTION("""COMPUTED_VALUE""")," ")</f>
        <v> </v>
      </c>
      <c r="AO2623" s="2" t="str">
        <f>IFERROR(__xludf.DUMMYFUNCTION("""COMPUTED_VALUE""")," ")</f>
        <v> </v>
      </c>
      <c r="AP2623" s="2" t="str">
        <f>IFERROR(__xludf.DUMMYFUNCTION("""COMPUTED_VALUE"""),"")</f>
        <v/>
      </c>
      <c r="AQ2623" s="2"/>
      <c r="AR2623" s="2"/>
      <c r="AS2623" s="2"/>
      <c r="AT2623" s="2"/>
      <c r="AU2623" s="2"/>
      <c r="AV2623" s="2"/>
      <c r="AW2623" s="2"/>
      <c r="AX2623" s="2"/>
      <c r="AY2623" s="2"/>
      <c r="AZ2623" s="2"/>
      <c r="BA2623" s="2"/>
      <c r="BB2623" s="2"/>
    </row>
    <row r="2624">
      <c r="A2624" s="2"/>
      <c r="B2624" s="2" t="str">
        <f>IFERROR(__xludf.DUMMYFUNCTION("""COMPUTED_VALUE"""),"")</f>
        <v/>
      </c>
      <c r="C2624" s="2"/>
      <c r="D2624" s="71"/>
      <c r="E2624" s="71" t="str">
        <f>IFERROR(__xludf.DUMMYFUNCTION("""COMPUTED_VALUE""")," ")</f>
        <v> </v>
      </c>
      <c r="F2624" s="2"/>
      <c r="G2624" s="2"/>
      <c r="H2624" s="2"/>
      <c r="I2624" s="72"/>
      <c r="J2624" s="72"/>
      <c r="K2624" s="72"/>
      <c r="L2624" s="72"/>
      <c r="M2624" s="2"/>
      <c r="N2624" s="2"/>
      <c r="O2624" s="2"/>
      <c r="P2624" s="2"/>
      <c r="Q2624" s="2"/>
      <c r="R2624" s="2"/>
      <c r="S2624" s="2"/>
      <c r="T2624" s="2"/>
      <c r="U2624" s="2"/>
      <c r="V2624" s="2"/>
      <c r="W2624" s="2"/>
      <c r="X2624" s="2"/>
      <c r="Y2624" s="2"/>
      <c r="Z2624" s="2"/>
      <c r="AA2624" s="2"/>
      <c r="AB2624" s="2"/>
      <c r="AC2624" s="2"/>
      <c r="AD2624" s="2"/>
      <c r="AE2624" s="2"/>
      <c r="AF2624" s="2"/>
      <c r="AG2624" s="2"/>
      <c r="AH2624" s="2"/>
      <c r="AI2624" s="2"/>
      <c r="AJ2624" s="2" t="str">
        <f>IFERROR(__xludf.DUMMYFUNCTION("""COMPUTED_VALUE"""),"")</f>
        <v/>
      </c>
      <c r="AK2624" s="2" t="str">
        <f>IFERROR(__xludf.DUMMYFUNCTION("""COMPUTED_VALUE"""),"")</f>
        <v/>
      </c>
      <c r="AL2624" s="2" t="str">
        <f>IFERROR(__xludf.DUMMYFUNCTION("""COMPUTED_VALUE"""),"")</f>
        <v/>
      </c>
      <c r="AM2624" s="2" t="str">
        <f>IFERROR(__xludf.DUMMYFUNCTION("""COMPUTED_VALUE"""),"")</f>
        <v/>
      </c>
      <c r="AN2624" s="2" t="str">
        <f>IFERROR(__xludf.DUMMYFUNCTION("""COMPUTED_VALUE""")," ")</f>
        <v> </v>
      </c>
      <c r="AO2624" s="2" t="str">
        <f>IFERROR(__xludf.DUMMYFUNCTION("""COMPUTED_VALUE""")," ")</f>
        <v> </v>
      </c>
      <c r="AP2624" s="2" t="str">
        <f>IFERROR(__xludf.DUMMYFUNCTION("""COMPUTED_VALUE"""),"")</f>
        <v/>
      </c>
      <c r="AQ2624" s="2"/>
      <c r="AR2624" s="2"/>
      <c r="AS2624" s="2"/>
      <c r="AT2624" s="2"/>
      <c r="AU2624" s="2"/>
      <c r="AV2624" s="2"/>
      <c r="AW2624" s="2"/>
      <c r="AX2624" s="2"/>
      <c r="AY2624" s="2"/>
      <c r="AZ2624" s="2"/>
      <c r="BA2624" s="2"/>
      <c r="BB2624" s="2"/>
    </row>
    <row r="2625">
      <c r="A2625" s="2"/>
      <c r="B2625" s="2" t="str">
        <f>IFERROR(__xludf.DUMMYFUNCTION("""COMPUTED_VALUE"""),"")</f>
        <v/>
      </c>
      <c r="C2625" s="2"/>
      <c r="D2625" s="71"/>
      <c r="E2625" s="71" t="str">
        <f>IFERROR(__xludf.DUMMYFUNCTION("""COMPUTED_VALUE""")," ")</f>
        <v> </v>
      </c>
      <c r="F2625" s="2"/>
      <c r="G2625" s="2"/>
      <c r="H2625" s="2"/>
      <c r="I2625" s="72"/>
      <c r="J2625" s="72"/>
      <c r="K2625" s="72"/>
      <c r="L2625" s="72"/>
      <c r="M2625" s="2"/>
      <c r="N2625" s="2"/>
      <c r="O2625" s="2"/>
      <c r="P2625" s="2"/>
      <c r="Q2625" s="2"/>
      <c r="R2625" s="2"/>
      <c r="S2625" s="2"/>
      <c r="T2625" s="2"/>
      <c r="U2625" s="2"/>
      <c r="V2625" s="2"/>
      <c r="W2625" s="2"/>
      <c r="X2625" s="2"/>
      <c r="Y2625" s="2"/>
      <c r="Z2625" s="2"/>
      <c r="AA2625" s="2"/>
      <c r="AB2625" s="2"/>
      <c r="AC2625" s="2"/>
      <c r="AD2625" s="2"/>
      <c r="AE2625" s="2"/>
      <c r="AF2625" s="2"/>
      <c r="AG2625" s="2"/>
      <c r="AH2625" s="2"/>
      <c r="AI2625" s="2"/>
      <c r="AJ2625" s="2" t="str">
        <f>IFERROR(__xludf.DUMMYFUNCTION("""COMPUTED_VALUE"""),"")</f>
        <v/>
      </c>
      <c r="AK2625" s="2" t="str">
        <f>IFERROR(__xludf.DUMMYFUNCTION("""COMPUTED_VALUE"""),"")</f>
        <v/>
      </c>
      <c r="AL2625" s="2" t="str">
        <f>IFERROR(__xludf.DUMMYFUNCTION("""COMPUTED_VALUE"""),"")</f>
        <v/>
      </c>
      <c r="AM2625" s="2" t="str">
        <f>IFERROR(__xludf.DUMMYFUNCTION("""COMPUTED_VALUE"""),"")</f>
        <v/>
      </c>
      <c r="AN2625" s="2" t="str">
        <f>IFERROR(__xludf.DUMMYFUNCTION("""COMPUTED_VALUE""")," ")</f>
        <v> </v>
      </c>
      <c r="AO2625" s="2" t="str">
        <f>IFERROR(__xludf.DUMMYFUNCTION("""COMPUTED_VALUE""")," ")</f>
        <v> </v>
      </c>
      <c r="AP2625" s="2" t="str">
        <f>IFERROR(__xludf.DUMMYFUNCTION("""COMPUTED_VALUE"""),"")</f>
        <v/>
      </c>
      <c r="AQ2625" s="2"/>
      <c r="AR2625" s="2"/>
      <c r="AS2625" s="2"/>
      <c r="AT2625" s="2"/>
      <c r="AU2625" s="2"/>
      <c r="AV2625" s="2"/>
      <c r="AW2625" s="2"/>
      <c r="AX2625" s="2"/>
      <c r="AY2625" s="2"/>
      <c r="AZ2625" s="2"/>
      <c r="BA2625" s="2"/>
      <c r="BB2625" s="2"/>
    </row>
    <row r="2626">
      <c r="A2626" s="2"/>
      <c r="B2626" s="2" t="str">
        <f>IFERROR(__xludf.DUMMYFUNCTION("""COMPUTED_VALUE"""),"")</f>
        <v/>
      </c>
      <c r="C2626" s="2"/>
      <c r="D2626" s="71"/>
      <c r="E2626" s="71" t="str">
        <f>IFERROR(__xludf.DUMMYFUNCTION("""COMPUTED_VALUE""")," ")</f>
        <v> </v>
      </c>
      <c r="F2626" s="2"/>
      <c r="G2626" s="2"/>
      <c r="H2626" s="2"/>
      <c r="I2626" s="72"/>
      <c r="J2626" s="72"/>
      <c r="K2626" s="72"/>
      <c r="L2626" s="72"/>
      <c r="M2626" s="2"/>
      <c r="N2626" s="2"/>
      <c r="O2626" s="2"/>
      <c r="P2626" s="2"/>
      <c r="Q2626" s="2"/>
      <c r="R2626" s="2"/>
      <c r="S2626" s="2"/>
      <c r="T2626" s="2"/>
      <c r="U2626" s="2"/>
      <c r="V2626" s="2"/>
      <c r="W2626" s="2"/>
      <c r="X2626" s="2"/>
      <c r="Y2626" s="2"/>
      <c r="Z2626" s="2"/>
      <c r="AA2626" s="2"/>
      <c r="AB2626" s="2"/>
      <c r="AC2626" s="2"/>
      <c r="AD2626" s="2"/>
      <c r="AE2626" s="2"/>
      <c r="AF2626" s="2"/>
      <c r="AG2626" s="2"/>
      <c r="AH2626" s="2"/>
      <c r="AI2626" s="2"/>
      <c r="AJ2626" s="2" t="str">
        <f>IFERROR(__xludf.DUMMYFUNCTION("""COMPUTED_VALUE"""),"")</f>
        <v/>
      </c>
      <c r="AK2626" s="2" t="str">
        <f>IFERROR(__xludf.DUMMYFUNCTION("""COMPUTED_VALUE"""),"")</f>
        <v/>
      </c>
      <c r="AL2626" s="2" t="str">
        <f>IFERROR(__xludf.DUMMYFUNCTION("""COMPUTED_VALUE"""),"")</f>
        <v/>
      </c>
      <c r="AM2626" s="2" t="str">
        <f>IFERROR(__xludf.DUMMYFUNCTION("""COMPUTED_VALUE"""),"")</f>
        <v/>
      </c>
      <c r="AN2626" s="2" t="str">
        <f>IFERROR(__xludf.DUMMYFUNCTION("""COMPUTED_VALUE""")," ")</f>
        <v> </v>
      </c>
      <c r="AO2626" s="2" t="str">
        <f>IFERROR(__xludf.DUMMYFUNCTION("""COMPUTED_VALUE""")," ")</f>
        <v> </v>
      </c>
      <c r="AP2626" s="2" t="str">
        <f>IFERROR(__xludf.DUMMYFUNCTION("""COMPUTED_VALUE"""),"")</f>
        <v/>
      </c>
      <c r="AQ2626" s="2"/>
      <c r="AR2626" s="2"/>
      <c r="AS2626" s="2"/>
      <c r="AT2626" s="2"/>
      <c r="AU2626" s="2"/>
      <c r="AV2626" s="2"/>
      <c r="AW2626" s="2"/>
      <c r="AX2626" s="2"/>
      <c r="AY2626" s="2"/>
      <c r="AZ2626" s="2"/>
      <c r="BA2626" s="2"/>
      <c r="BB2626" s="2"/>
    </row>
    <row r="2627">
      <c r="A2627" s="2"/>
      <c r="B2627" s="2" t="str">
        <f>IFERROR(__xludf.DUMMYFUNCTION("""COMPUTED_VALUE"""),"")</f>
        <v/>
      </c>
      <c r="C2627" s="2"/>
      <c r="D2627" s="71"/>
      <c r="E2627" s="71" t="str">
        <f>IFERROR(__xludf.DUMMYFUNCTION("""COMPUTED_VALUE""")," ")</f>
        <v> </v>
      </c>
      <c r="F2627" s="2"/>
      <c r="G2627" s="2"/>
      <c r="H2627" s="2"/>
      <c r="I2627" s="72"/>
      <c r="J2627" s="72"/>
      <c r="K2627" s="72"/>
      <c r="L2627" s="72"/>
      <c r="M2627" s="2"/>
      <c r="N2627" s="2"/>
      <c r="O2627" s="2"/>
      <c r="P2627" s="2"/>
      <c r="Q2627" s="2"/>
      <c r="R2627" s="2"/>
      <c r="S2627" s="2"/>
      <c r="T2627" s="2"/>
      <c r="U2627" s="2"/>
      <c r="V2627" s="2"/>
      <c r="W2627" s="2"/>
      <c r="X2627" s="2"/>
      <c r="Y2627" s="2"/>
      <c r="Z2627" s="2"/>
      <c r="AA2627" s="2"/>
      <c r="AB2627" s="2"/>
      <c r="AC2627" s="2"/>
      <c r="AD2627" s="2"/>
      <c r="AE2627" s="2"/>
      <c r="AF2627" s="2"/>
      <c r="AG2627" s="2"/>
      <c r="AH2627" s="2"/>
      <c r="AI2627" s="2"/>
      <c r="AJ2627" s="2" t="str">
        <f>IFERROR(__xludf.DUMMYFUNCTION("""COMPUTED_VALUE"""),"")</f>
        <v/>
      </c>
      <c r="AK2627" s="2" t="str">
        <f>IFERROR(__xludf.DUMMYFUNCTION("""COMPUTED_VALUE"""),"")</f>
        <v/>
      </c>
      <c r="AL2627" s="2" t="str">
        <f>IFERROR(__xludf.DUMMYFUNCTION("""COMPUTED_VALUE"""),"")</f>
        <v/>
      </c>
      <c r="AM2627" s="2" t="str">
        <f>IFERROR(__xludf.DUMMYFUNCTION("""COMPUTED_VALUE"""),"")</f>
        <v/>
      </c>
      <c r="AN2627" s="2" t="str">
        <f>IFERROR(__xludf.DUMMYFUNCTION("""COMPUTED_VALUE""")," ")</f>
        <v> </v>
      </c>
      <c r="AO2627" s="2" t="str">
        <f>IFERROR(__xludf.DUMMYFUNCTION("""COMPUTED_VALUE""")," ")</f>
        <v> </v>
      </c>
      <c r="AP2627" s="2" t="str">
        <f>IFERROR(__xludf.DUMMYFUNCTION("""COMPUTED_VALUE"""),"")</f>
        <v/>
      </c>
      <c r="AQ2627" s="2"/>
      <c r="AR2627" s="2"/>
      <c r="AS2627" s="2"/>
      <c r="AT2627" s="2"/>
      <c r="AU2627" s="2"/>
      <c r="AV2627" s="2"/>
      <c r="AW2627" s="2"/>
      <c r="AX2627" s="2"/>
      <c r="AY2627" s="2"/>
      <c r="AZ2627" s="2"/>
      <c r="BA2627" s="2"/>
      <c r="BB2627" s="2"/>
    </row>
    <row r="2628">
      <c r="A2628" s="2"/>
      <c r="B2628" s="2" t="str">
        <f>IFERROR(__xludf.DUMMYFUNCTION("""COMPUTED_VALUE"""),"")</f>
        <v/>
      </c>
      <c r="C2628" s="2"/>
      <c r="D2628" s="71"/>
      <c r="E2628" s="71" t="str">
        <f>IFERROR(__xludf.DUMMYFUNCTION("""COMPUTED_VALUE""")," ")</f>
        <v> </v>
      </c>
      <c r="F2628" s="2"/>
      <c r="G2628" s="2"/>
      <c r="H2628" s="2"/>
      <c r="I2628" s="72"/>
      <c r="J2628" s="72"/>
      <c r="K2628" s="72"/>
      <c r="L2628" s="72"/>
      <c r="M2628" s="2"/>
      <c r="N2628" s="2"/>
      <c r="O2628" s="2"/>
      <c r="P2628" s="2"/>
      <c r="Q2628" s="2"/>
      <c r="R2628" s="2"/>
      <c r="S2628" s="2"/>
      <c r="T2628" s="2"/>
      <c r="U2628" s="2"/>
      <c r="V2628" s="2"/>
      <c r="W2628" s="2"/>
      <c r="X2628" s="2"/>
      <c r="Y2628" s="2"/>
      <c r="Z2628" s="2"/>
      <c r="AA2628" s="2"/>
      <c r="AB2628" s="2"/>
      <c r="AC2628" s="2"/>
      <c r="AD2628" s="2"/>
      <c r="AE2628" s="2"/>
      <c r="AF2628" s="2"/>
      <c r="AG2628" s="2"/>
      <c r="AH2628" s="2"/>
      <c r="AI2628" s="2"/>
      <c r="AJ2628" s="2" t="str">
        <f>IFERROR(__xludf.DUMMYFUNCTION("""COMPUTED_VALUE"""),"")</f>
        <v/>
      </c>
      <c r="AK2628" s="2" t="str">
        <f>IFERROR(__xludf.DUMMYFUNCTION("""COMPUTED_VALUE"""),"")</f>
        <v/>
      </c>
      <c r="AL2628" s="2" t="str">
        <f>IFERROR(__xludf.DUMMYFUNCTION("""COMPUTED_VALUE"""),"")</f>
        <v/>
      </c>
      <c r="AM2628" s="2" t="str">
        <f>IFERROR(__xludf.DUMMYFUNCTION("""COMPUTED_VALUE"""),"")</f>
        <v/>
      </c>
      <c r="AN2628" s="2" t="str">
        <f>IFERROR(__xludf.DUMMYFUNCTION("""COMPUTED_VALUE""")," ")</f>
        <v> </v>
      </c>
      <c r="AO2628" s="2" t="str">
        <f>IFERROR(__xludf.DUMMYFUNCTION("""COMPUTED_VALUE""")," ")</f>
        <v> </v>
      </c>
      <c r="AP2628" s="2" t="str">
        <f>IFERROR(__xludf.DUMMYFUNCTION("""COMPUTED_VALUE"""),"")</f>
        <v/>
      </c>
      <c r="AQ2628" s="2"/>
      <c r="AR2628" s="2"/>
      <c r="AS2628" s="2"/>
      <c r="AT2628" s="2"/>
      <c r="AU2628" s="2"/>
      <c r="AV2628" s="2"/>
      <c r="AW2628" s="2"/>
      <c r="AX2628" s="2"/>
      <c r="AY2628" s="2"/>
      <c r="AZ2628" s="2"/>
      <c r="BA2628" s="2"/>
      <c r="BB2628" s="2"/>
    </row>
    <row r="2629">
      <c r="A2629" s="2"/>
      <c r="B2629" s="2" t="str">
        <f>IFERROR(__xludf.DUMMYFUNCTION("""COMPUTED_VALUE"""),"")</f>
        <v/>
      </c>
      <c r="C2629" s="2"/>
      <c r="D2629" s="71"/>
      <c r="E2629" s="71" t="str">
        <f>IFERROR(__xludf.DUMMYFUNCTION("""COMPUTED_VALUE""")," ")</f>
        <v> </v>
      </c>
      <c r="F2629" s="2"/>
      <c r="G2629" s="2"/>
      <c r="H2629" s="2"/>
      <c r="I2629" s="72"/>
      <c r="J2629" s="72"/>
      <c r="K2629" s="72"/>
      <c r="L2629" s="72"/>
      <c r="M2629" s="2"/>
      <c r="N2629" s="2"/>
      <c r="O2629" s="2"/>
      <c r="P2629" s="2"/>
      <c r="Q2629" s="2"/>
      <c r="R2629" s="2"/>
      <c r="S2629" s="2"/>
      <c r="T2629" s="2"/>
      <c r="U2629" s="2"/>
      <c r="V2629" s="2"/>
      <c r="W2629" s="2"/>
      <c r="X2629" s="2"/>
      <c r="Y2629" s="2"/>
      <c r="Z2629" s="2"/>
      <c r="AA2629" s="2"/>
      <c r="AB2629" s="2"/>
      <c r="AC2629" s="2"/>
      <c r="AD2629" s="2"/>
      <c r="AE2629" s="2"/>
      <c r="AF2629" s="2"/>
      <c r="AG2629" s="2"/>
      <c r="AH2629" s="2"/>
      <c r="AI2629" s="2"/>
      <c r="AJ2629" s="2" t="str">
        <f>IFERROR(__xludf.DUMMYFUNCTION("""COMPUTED_VALUE"""),"")</f>
        <v/>
      </c>
      <c r="AK2629" s="2" t="str">
        <f>IFERROR(__xludf.DUMMYFUNCTION("""COMPUTED_VALUE"""),"")</f>
        <v/>
      </c>
      <c r="AL2629" s="2" t="str">
        <f>IFERROR(__xludf.DUMMYFUNCTION("""COMPUTED_VALUE"""),"")</f>
        <v/>
      </c>
      <c r="AM2629" s="2" t="str">
        <f>IFERROR(__xludf.DUMMYFUNCTION("""COMPUTED_VALUE"""),"")</f>
        <v/>
      </c>
      <c r="AN2629" s="2" t="str">
        <f>IFERROR(__xludf.DUMMYFUNCTION("""COMPUTED_VALUE""")," ")</f>
        <v> </v>
      </c>
      <c r="AO2629" s="2" t="str">
        <f>IFERROR(__xludf.DUMMYFUNCTION("""COMPUTED_VALUE""")," ")</f>
        <v> </v>
      </c>
      <c r="AP2629" s="2" t="str">
        <f>IFERROR(__xludf.DUMMYFUNCTION("""COMPUTED_VALUE"""),"")</f>
        <v/>
      </c>
      <c r="AQ2629" s="2"/>
      <c r="AR2629" s="2"/>
      <c r="AS2629" s="2"/>
      <c r="AT2629" s="2"/>
      <c r="AU2629" s="2"/>
      <c r="AV2629" s="2"/>
      <c r="AW2629" s="2"/>
      <c r="AX2629" s="2"/>
      <c r="AY2629" s="2"/>
      <c r="AZ2629" s="2"/>
      <c r="BA2629" s="2"/>
      <c r="BB2629" s="2"/>
    </row>
    <row r="2630">
      <c r="A2630" s="2"/>
      <c r="B2630" s="2" t="str">
        <f>IFERROR(__xludf.DUMMYFUNCTION("""COMPUTED_VALUE"""),"")</f>
        <v/>
      </c>
      <c r="C2630" s="2"/>
      <c r="D2630" s="71"/>
      <c r="E2630" s="71" t="str">
        <f>IFERROR(__xludf.DUMMYFUNCTION("""COMPUTED_VALUE""")," ")</f>
        <v> </v>
      </c>
      <c r="F2630" s="2"/>
      <c r="G2630" s="2"/>
      <c r="H2630" s="2"/>
      <c r="I2630" s="72"/>
      <c r="J2630" s="72"/>
      <c r="K2630" s="72"/>
      <c r="L2630" s="72"/>
      <c r="M2630" s="2"/>
      <c r="N2630" s="2"/>
      <c r="O2630" s="2"/>
      <c r="P2630" s="2"/>
      <c r="Q2630" s="2"/>
      <c r="R2630" s="2"/>
      <c r="S2630" s="2"/>
      <c r="T2630" s="2"/>
      <c r="U2630" s="2"/>
      <c r="V2630" s="2"/>
      <c r="W2630" s="2"/>
      <c r="X2630" s="2"/>
      <c r="Y2630" s="2"/>
      <c r="Z2630" s="2"/>
      <c r="AA2630" s="2"/>
      <c r="AB2630" s="2"/>
      <c r="AC2630" s="2"/>
      <c r="AD2630" s="2"/>
      <c r="AE2630" s="2"/>
      <c r="AF2630" s="2"/>
      <c r="AG2630" s="2"/>
      <c r="AH2630" s="2"/>
      <c r="AI2630" s="2"/>
      <c r="AJ2630" s="2" t="str">
        <f>IFERROR(__xludf.DUMMYFUNCTION("""COMPUTED_VALUE"""),"")</f>
        <v/>
      </c>
      <c r="AK2630" s="2" t="str">
        <f>IFERROR(__xludf.DUMMYFUNCTION("""COMPUTED_VALUE"""),"")</f>
        <v/>
      </c>
      <c r="AL2630" s="2" t="str">
        <f>IFERROR(__xludf.DUMMYFUNCTION("""COMPUTED_VALUE"""),"")</f>
        <v/>
      </c>
      <c r="AM2630" s="2" t="str">
        <f>IFERROR(__xludf.DUMMYFUNCTION("""COMPUTED_VALUE"""),"")</f>
        <v/>
      </c>
      <c r="AN2630" s="2" t="str">
        <f>IFERROR(__xludf.DUMMYFUNCTION("""COMPUTED_VALUE""")," ")</f>
        <v> </v>
      </c>
      <c r="AO2630" s="2" t="str">
        <f>IFERROR(__xludf.DUMMYFUNCTION("""COMPUTED_VALUE""")," ")</f>
        <v> </v>
      </c>
      <c r="AP2630" s="2" t="str">
        <f>IFERROR(__xludf.DUMMYFUNCTION("""COMPUTED_VALUE"""),"")</f>
        <v/>
      </c>
      <c r="AQ2630" s="2"/>
      <c r="AR2630" s="2"/>
      <c r="AS2630" s="2"/>
      <c r="AT2630" s="2"/>
      <c r="AU2630" s="2"/>
      <c r="AV2630" s="2"/>
      <c r="AW2630" s="2"/>
      <c r="AX2630" s="2"/>
      <c r="AY2630" s="2"/>
      <c r="AZ2630" s="2"/>
      <c r="BA2630" s="2"/>
      <c r="BB2630" s="2"/>
    </row>
    <row r="2631">
      <c r="A2631" s="2"/>
      <c r="B2631" s="2" t="str">
        <f>IFERROR(__xludf.DUMMYFUNCTION("""COMPUTED_VALUE"""),"")</f>
        <v/>
      </c>
      <c r="C2631" s="2"/>
      <c r="D2631" s="71"/>
      <c r="E2631" s="71" t="str">
        <f>IFERROR(__xludf.DUMMYFUNCTION("""COMPUTED_VALUE""")," ")</f>
        <v> </v>
      </c>
      <c r="F2631" s="2"/>
      <c r="G2631" s="2"/>
      <c r="H2631" s="2"/>
      <c r="I2631" s="72"/>
      <c r="J2631" s="72"/>
      <c r="K2631" s="72"/>
      <c r="L2631" s="72"/>
      <c r="M2631" s="2"/>
      <c r="N2631" s="2"/>
      <c r="O2631" s="2"/>
      <c r="P2631" s="2"/>
      <c r="Q2631" s="2"/>
      <c r="R2631" s="2"/>
      <c r="S2631" s="2"/>
      <c r="T2631" s="2"/>
      <c r="U2631" s="2"/>
      <c r="V2631" s="2"/>
      <c r="W2631" s="2"/>
      <c r="X2631" s="2"/>
      <c r="Y2631" s="2"/>
      <c r="Z2631" s="2"/>
      <c r="AA2631" s="2"/>
      <c r="AB2631" s="2"/>
      <c r="AC2631" s="2"/>
      <c r="AD2631" s="2"/>
      <c r="AE2631" s="2"/>
      <c r="AF2631" s="2"/>
      <c r="AG2631" s="2"/>
      <c r="AH2631" s="2"/>
      <c r="AI2631" s="2"/>
      <c r="AJ2631" s="2" t="str">
        <f>IFERROR(__xludf.DUMMYFUNCTION("""COMPUTED_VALUE"""),"")</f>
        <v/>
      </c>
      <c r="AK2631" s="2" t="str">
        <f>IFERROR(__xludf.DUMMYFUNCTION("""COMPUTED_VALUE"""),"")</f>
        <v/>
      </c>
      <c r="AL2631" s="2" t="str">
        <f>IFERROR(__xludf.DUMMYFUNCTION("""COMPUTED_VALUE"""),"")</f>
        <v/>
      </c>
      <c r="AM2631" s="2" t="str">
        <f>IFERROR(__xludf.DUMMYFUNCTION("""COMPUTED_VALUE"""),"")</f>
        <v/>
      </c>
      <c r="AN2631" s="2" t="str">
        <f>IFERROR(__xludf.DUMMYFUNCTION("""COMPUTED_VALUE""")," ")</f>
        <v> </v>
      </c>
      <c r="AO2631" s="2" t="str">
        <f>IFERROR(__xludf.DUMMYFUNCTION("""COMPUTED_VALUE""")," ")</f>
        <v> </v>
      </c>
      <c r="AP2631" s="2" t="str">
        <f>IFERROR(__xludf.DUMMYFUNCTION("""COMPUTED_VALUE"""),"")</f>
        <v/>
      </c>
      <c r="AQ2631" s="2"/>
      <c r="AR2631" s="2"/>
      <c r="AS2631" s="2"/>
      <c r="AT2631" s="2"/>
      <c r="AU2631" s="2"/>
      <c r="AV2631" s="2"/>
      <c r="AW2631" s="2"/>
      <c r="AX2631" s="2"/>
      <c r="AY2631" s="2"/>
      <c r="AZ2631" s="2"/>
      <c r="BA2631" s="2"/>
      <c r="BB2631" s="2"/>
    </row>
    <row r="2632">
      <c r="A2632" s="2"/>
      <c r="B2632" s="2" t="str">
        <f>IFERROR(__xludf.DUMMYFUNCTION("""COMPUTED_VALUE"""),"")</f>
        <v/>
      </c>
      <c r="C2632" s="2"/>
      <c r="D2632" s="71"/>
      <c r="E2632" s="71" t="str">
        <f>IFERROR(__xludf.DUMMYFUNCTION("""COMPUTED_VALUE""")," ")</f>
        <v> </v>
      </c>
      <c r="F2632" s="2"/>
      <c r="G2632" s="2"/>
      <c r="H2632" s="2"/>
      <c r="I2632" s="72"/>
      <c r="J2632" s="72"/>
      <c r="K2632" s="72"/>
      <c r="L2632" s="72"/>
      <c r="M2632" s="2"/>
      <c r="N2632" s="2"/>
      <c r="O2632" s="2"/>
      <c r="P2632" s="2"/>
      <c r="Q2632" s="2"/>
      <c r="R2632" s="2"/>
      <c r="S2632" s="2"/>
      <c r="T2632" s="2"/>
      <c r="U2632" s="2"/>
      <c r="V2632" s="2"/>
      <c r="W2632" s="2"/>
      <c r="X2632" s="2"/>
      <c r="Y2632" s="2"/>
      <c r="Z2632" s="2"/>
      <c r="AA2632" s="2"/>
      <c r="AB2632" s="2"/>
      <c r="AC2632" s="2"/>
      <c r="AD2632" s="2"/>
      <c r="AE2632" s="2"/>
      <c r="AF2632" s="2"/>
      <c r="AG2632" s="2"/>
      <c r="AH2632" s="2"/>
      <c r="AI2632" s="2"/>
      <c r="AJ2632" s="2" t="str">
        <f>IFERROR(__xludf.DUMMYFUNCTION("""COMPUTED_VALUE"""),"")</f>
        <v/>
      </c>
      <c r="AK2632" s="2" t="str">
        <f>IFERROR(__xludf.DUMMYFUNCTION("""COMPUTED_VALUE"""),"")</f>
        <v/>
      </c>
      <c r="AL2632" s="2" t="str">
        <f>IFERROR(__xludf.DUMMYFUNCTION("""COMPUTED_VALUE"""),"")</f>
        <v/>
      </c>
      <c r="AM2632" s="2" t="str">
        <f>IFERROR(__xludf.DUMMYFUNCTION("""COMPUTED_VALUE"""),"")</f>
        <v/>
      </c>
      <c r="AN2632" s="2" t="str">
        <f>IFERROR(__xludf.DUMMYFUNCTION("""COMPUTED_VALUE""")," ")</f>
        <v> </v>
      </c>
      <c r="AO2632" s="2" t="str">
        <f>IFERROR(__xludf.DUMMYFUNCTION("""COMPUTED_VALUE""")," ")</f>
        <v> </v>
      </c>
      <c r="AP2632" s="2" t="str">
        <f>IFERROR(__xludf.DUMMYFUNCTION("""COMPUTED_VALUE"""),"")</f>
        <v/>
      </c>
      <c r="AQ2632" s="2"/>
      <c r="AR2632" s="2"/>
      <c r="AS2632" s="2"/>
      <c r="AT2632" s="2"/>
      <c r="AU2632" s="2"/>
      <c r="AV2632" s="2"/>
      <c r="AW2632" s="2"/>
      <c r="AX2632" s="2"/>
      <c r="AY2632" s="2"/>
      <c r="AZ2632" s="2"/>
      <c r="BA2632" s="2"/>
      <c r="BB2632" s="2"/>
    </row>
    <row r="2633">
      <c r="A2633" s="2"/>
      <c r="B2633" s="2" t="str">
        <f>IFERROR(__xludf.DUMMYFUNCTION("""COMPUTED_VALUE"""),"")</f>
        <v/>
      </c>
      <c r="C2633" s="2"/>
      <c r="D2633" s="71"/>
      <c r="E2633" s="71" t="str">
        <f>IFERROR(__xludf.DUMMYFUNCTION("""COMPUTED_VALUE""")," ")</f>
        <v> </v>
      </c>
      <c r="F2633" s="2"/>
      <c r="G2633" s="2"/>
      <c r="H2633" s="2"/>
      <c r="I2633" s="72"/>
      <c r="J2633" s="72"/>
      <c r="K2633" s="72"/>
      <c r="L2633" s="72"/>
      <c r="M2633" s="2"/>
      <c r="N2633" s="2"/>
      <c r="O2633" s="2"/>
      <c r="P2633" s="2"/>
      <c r="Q2633" s="2"/>
      <c r="R2633" s="2"/>
      <c r="S2633" s="2"/>
      <c r="T2633" s="2"/>
      <c r="U2633" s="2"/>
      <c r="V2633" s="2"/>
      <c r="W2633" s="2"/>
      <c r="X2633" s="2"/>
      <c r="Y2633" s="2"/>
      <c r="Z2633" s="2"/>
      <c r="AA2633" s="2"/>
      <c r="AB2633" s="2"/>
      <c r="AC2633" s="2"/>
      <c r="AD2633" s="2"/>
      <c r="AE2633" s="2"/>
      <c r="AF2633" s="2"/>
      <c r="AG2633" s="2"/>
      <c r="AH2633" s="2"/>
      <c r="AI2633" s="2"/>
      <c r="AJ2633" s="2" t="str">
        <f>IFERROR(__xludf.DUMMYFUNCTION("""COMPUTED_VALUE"""),"")</f>
        <v/>
      </c>
      <c r="AK2633" s="2" t="str">
        <f>IFERROR(__xludf.DUMMYFUNCTION("""COMPUTED_VALUE"""),"")</f>
        <v/>
      </c>
      <c r="AL2633" s="2" t="str">
        <f>IFERROR(__xludf.DUMMYFUNCTION("""COMPUTED_VALUE"""),"")</f>
        <v/>
      </c>
      <c r="AM2633" s="2" t="str">
        <f>IFERROR(__xludf.DUMMYFUNCTION("""COMPUTED_VALUE"""),"")</f>
        <v/>
      </c>
      <c r="AN2633" s="2" t="str">
        <f>IFERROR(__xludf.DUMMYFUNCTION("""COMPUTED_VALUE""")," ")</f>
        <v> </v>
      </c>
      <c r="AO2633" s="2" t="str">
        <f>IFERROR(__xludf.DUMMYFUNCTION("""COMPUTED_VALUE""")," ")</f>
        <v> </v>
      </c>
      <c r="AP2633" s="2" t="str">
        <f>IFERROR(__xludf.DUMMYFUNCTION("""COMPUTED_VALUE"""),"")</f>
        <v/>
      </c>
      <c r="AQ2633" s="2"/>
      <c r="AR2633" s="2"/>
      <c r="AS2633" s="2"/>
      <c r="AT2633" s="2"/>
      <c r="AU2633" s="2"/>
      <c r="AV2633" s="2"/>
      <c r="AW2633" s="2"/>
      <c r="AX2633" s="2"/>
      <c r="AY2633" s="2"/>
      <c r="AZ2633" s="2"/>
      <c r="BA2633" s="2"/>
      <c r="BB2633" s="2"/>
    </row>
    <row r="2634">
      <c r="A2634" s="2"/>
      <c r="B2634" s="2" t="str">
        <f>IFERROR(__xludf.DUMMYFUNCTION("""COMPUTED_VALUE"""),"")</f>
        <v/>
      </c>
      <c r="C2634" s="2"/>
      <c r="D2634" s="71"/>
      <c r="E2634" s="71" t="str">
        <f>IFERROR(__xludf.DUMMYFUNCTION("""COMPUTED_VALUE""")," ")</f>
        <v> </v>
      </c>
      <c r="F2634" s="2"/>
      <c r="G2634" s="2"/>
      <c r="H2634" s="2"/>
      <c r="I2634" s="72"/>
      <c r="J2634" s="72"/>
      <c r="K2634" s="72"/>
      <c r="L2634" s="72"/>
      <c r="M2634" s="2"/>
      <c r="N2634" s="2"/>
      <c r="O2634" s="2"/>
      <c r="P2634" s="2"/>
      <c r="Q2634" s="2"/>
      <c r="R2634" s="2"/>
      <c r="S2634" s="2"/>
      <c r="T2634" s="2"/>
      <c r="U2634" s="2"/>
      <c r="V2634" s="2"/>
      <c r="W2634" s="2"/>
      <c r="X2634" s="2"/>
      <c r="Y2634" s="2"/>
      <c r="Z2634" s="2"/>
      <c r="AA2634" s="2"/>
      <c r="AB2634" s="2"/>
      <c r="AC2634" s="2"/>
      <c r="AD2634" s="2"/>
      <c r="AE2634" s="2"/>
      <c r="AF2634" s="2"/>
      <c r="AG2634" s="2"/>
      <c r="AH2634" s="2"/>
      <c r="AI2634" s="2"/>
      <c r="AJ2634" s="2" t="str">
        <f>IFERROR(__xludf.DUMMYFUNCTION("""COMPUTED_VALUE"""),"")</f>
        <v/>
      </c>
      <c r="AK2634" s="2" t="str">
        <f>IFERROR(__xludf.DUMMYFUNCTION("""COMPUTED_VALUE"""),"")</f>
        <v/>
      </c>
      <c r="AL2634" s="2" t="str">
        <f>IFERROR(__xludf.DUMMYFUNCTION("""COMPUTED_VALUE"""),"")</f>
        <v/>
      </c>
      <c r="AM2634" s="2" t="str">
        <f>IFERROR(__xludf.DUMMYFUNCTION("""COMPUTED_VALUE"""),"")</f>
        <v/>
      </c>
      <c r="AN2634" s="2" t="str">
        <f>IFERROR(__xludf.DUMMYFUNCTION("""COMPUTED_VALUE""")," ")</f>
        <v> </v>
      </c>
      <c r="AO2634" s="2" t="str">
        <f>IFERROR(__xludf.DUMMYFUNCTION("""COMPUTED_VALUE""")," ")</f>
        <v> </v>
      </c>
      <c r="AP2634" s="2" t="str">
        <f>IFERROR(__xludf.DUMMYFUNCTION("""COMPUTED_VALUE"""),"")</f>
        <v/>
      </c>
      <c r="AQ2634" s="2"/>
      <c r="AR2634" s="2"/>
      <c r="AS2634" s="2"/>
      <c r="AT2634" s="2"/>
      <c r="AU2634" s="2"/>
      <c r="AV2634" s="2"/>
      <c r="AW2634" s="2"/>
      <c r="AX2634" s="2"/>
      <c r="AY2634" s="2"/>
      <c r="AZ2634" s="2"/>
      <c r="BA2634" s="2"/>
      <c r="BB2634" s="2"/>
    </row>
    <row r="2635">
      <c r="A2635" s="2"/>
      <c r="B2635" s="2" t="str">
        <f>IFERROR(__xludf.DUMMYFUNCTION("""COMPUTED_VALUE"""),"")</f>
        <v/>
      </c>
      <c r="C2635" s="2"/>
      <c r="D2635" s="71"/>
      <c r="E2635" s="71" t="str">
        <f>IFERROR(__xludf.DUMMYFUNCTION("""COMPUTED_VALUE""")," ")</f>
        <v> </v>
      </c>
      <c r="F2635" s="2"/>
      <c r="G2635" s="2"/>
      <c r="H2635" s="2"/>
      <c r="I2635" s="72"/>
      <c r="J2635" s="72"/>
      <c r="K2635" s="72"/>
      <c r="L2635" s="72"/>
      <c r="M2635" s="2"/>
      <c r="N2635" s="2"/>
      <c r="O2635" s="2"/>
      <c r="P2635" s="2"/>
      <c r="Q2635" s="2"/>
      <c r="R2635" s="2"/>
      <c r="S2635" s="2"/>
      <c r="T2635" s="2"/>
      <c r="U2635" s="2"/>
      <c r="V2635" s="2"/>
      <c r="W2635" s="2"/>
      <c r="X2635" s="2"/>
      <c r="Y2635" s="2"/>
      <c r="Z2635" s="2"/>
      <c r="AA2635" s="2"/>
      <c r="AB2635" s="2"/>
      <c r="AC2635" s="2"/>
      <c r="AD2635" s="2"/>
      <c r="AE2635" s="2"/>
      <c r="AF2635" s="2"/>
      <c r="AG2635" s="2"/>
      <c r="AH2635" s="2"/>
      <c r="AI2635" s="2"/>
      <c r="AJ2635" s="2" t="str">
        <f>IFERROR(__xludf.DUMMYFUNCTION("""COMPUTED_VALUE"""),"")</f>
        <v/>
      </c>
      <c r="AK2635" s="2" t="str">
        <f>IFERROR(__xludf.DUMMYFUNCTION("""COMPUTED_VALUE"""),"")</f>
        <v/>
      </c>
      <c r="AL2635" s="2" t="str">
        <f>IFERROR(__xludf.DUMMYFUNCTION("""COMPUTED_VALUE"""),"")</f>
        <v/>
      </c>
      <c r="AM2635" s="2" t="str">
        <f>IFERROR(__xludf.DUMMYFUNCTION("""COMPUTED_VALUE"""),"")</f>
        <v/>
      </c>
      <c r="AN2635" s="2" t="str">
        <f>IFERROR(__xludf.DUMMYFUNCTION("""COMPUTED_VALUE""")," ")</f>
        <v> </v>
      </c>
      <c r="AO2635" s="2" t="str">
        <f>IFERROR(__xludf.DUMMYFUNCTION("""COMPUTED_VALUE""")," ")</f>
        <v> </v>
      </c>
      <c r="AP2635" s="2" t="str">
        <f>IFERROR(__xludf.DUMMYFUNCTION("""COMPUTED_VALUE"""),"")</f>
        <v/>
      </c>
      <c r="AQ2635" s="2"/>
      <c r="AR2635" s="2"/>
      <c r="AS2635" s="2"/>
      <c r="AT2635" s="2"/>
      <c r="AU2635" s="2"/>
      <c r="AV2635" s="2"/>
      <c r="AW2635" s="2"/>
      <c r="AX2635" s="2"/>
      <c r="AY2635" s="2"/>
      <c r="AZ2635" s="2"/>
      <c r="BA2635" s="2"/>
      <c r="BB2635" s="2"/>
    </row>
    <row r="2636">
      <c r="A2636" s="2"/>
      <c r="B2636" s="2" t="str">
        <f>IFERROR(__xludf.DUMMYFUNCTION("""COMPUTED_VALUE"""),"")</f>
        <v/>
      </c>
      <c r="C2636" s="2"/>
      <c r="D2636" s="71"/>
      <c r="E2636" s="71" t="str">
        <f>IFERROR(__xludf.DUMMYFUNCTION("""COMPUTED_VALUE""")," ")</f>
        <v> </v>
      </c>
      <c r="F2636" s="2"/>
      <c r="G2636" s="2"/>
      <c r="H2636" s="2"/>
      <c r="I2636" s="72"/>
      <c r="J2636" s="72"/>
      <c r="K2636" s="72"/>
      <c r="L2636" s="72"/>
      <c r="M2636" s="2"/>
      <c r="N2636" s="2"/>
      <c r="O2636" s="2"/>
      <c r="P2636" s="2"/>
      <c r="Q2636" s="2"/>
      <c r="R2636" s="2"/>
      <c r="S2636" s="2"/>
      <c r="T2636" s="2"/>
      <c r="U2636" s="2"/>
      <c r="V2636" s="2"/>
      <c r="W2636" s="2"/>
      <c r="X2636" s="2"/>
      <c r="Y2636" s="2"/>
      <c r="Z2636" s="2"/>
      <c r="AA2636" s="2"/>
      <c r="AB2636" s="2"/>
      <c r="AC2636" s="2"/>
      <c r="AD2636" s="2"/>
      <c r="AE2636" s="2"/>
      <c r="AF2636" s="2"/>
      <c r="AG2636" s="2"/>
      <c r="AH2636" s="2"/>
      <c r="AI2636" s="2"/>
      <c r="AJ2636" s="2" t="str">
        <f>IFERROR(__xludf.DUMMYFUNCTION("""COMPUTED_VALUE"""),"")</f>
        <v/>
      </c>
      <c r="AK2636" s="2" t="str">
        <f>IFERROR(__xludf.DUMMYFUNCTION("""COMPUTED_VALUE"""),"")</f>
        <v/>
      </c>
      <c r="AL2636" s="2" t="str">
        <f>IFERROR(__xludf.DUMMYFUNCTION("""COMPUTED_VALUE"""),"")</f>
        <v/>
      </c>
      <c r="AM2636" s="2" t="str">
        <f>IFERROR(__xludf.DUMMYFUNCTION("""COMPUTED_VALUE"""),"")</f>
        <v/>
      </c>
      <c r="AN2636" s="2" t="str">
        <f>IFERROR(__xludf.DUMMYFUNCTION("""COMPUTED_VALUE""")," ")</f>
        <v> </v>
      </c>
      <c r="AO2636" s="2" t="str">
        <f>IFERROR(__xludf.DUMMYFUNCTION("""COMPUTED_VALUE""")," ")</f>
        <v> </v>
      </c>
      <c r="AP2636" s="2" t="str">
        <f>IFERROR(__xludf.DUMMYFUNCTION("""COMPUTED_VALUE"""),"")</f>
        <v/>
      </c>
      <c r="AQ2636" s="2"/>
      <c r="AR2636" s="2"/>
      <c r="AS2636" s="2"/>
      <c r="AT2636" s="2"/>
      <c r="AU2636" s="2"/>
      <c r="AV2636" s="2"/>
      <c r="AW2636" s="2"/>
      <c r="AX2636" s="2"/>
      <c r="AY2636" s="2"/>
      <c r="AZ2636" s="2"/>
      <c r="BA2636" s="2"/>
      <c r="BB2636" s="2"/>
    </row>
    <row r="2637">
      <c r="A2637" s="2"/>
      <c r="B2637" s="2" t="str">
        <f>IFERROR(__xludf.DUMMYFUNCTION("""COMPUTED_VALUE"""),"")</f>
        <v/>
      </c>
      <c r="C2637" s="2"/>
      <c r="D2637" s="71"/>
      <c r="E2637" s="71" t="str">
        <f>IFERROR(__xludf.DUMMYFUNCTION("""COMPUTED_VALUE""")," ")</f>
        <v> </v>
      </c>
      <c r="F2637" s="2"/>
      <c r="G2637" s="2"/>
      <c r="H2637" s="2"/>
      <c r="I2637" s="72"/>
      <c r="J2637" s="72"/>
      <c r="K2637" s="72"/>
      <c r="L2637" s="72"/>
      <c r="M2637" s="2"/>
      <c r="N2637" s="2"/>
      <c r="O2637" s="2"/>
      <c r="P2637" s="2"/>
      <c r="Q2637" s="2"/>
      <c r="R2637" s="2"/>
      <c r="S2637" s="2"/>
      <c r="T2637" s="2"/>
      <c r="U2637" s="2"/>
      <c r="V2637" s="2"/>
      <c r="W2637" s="2"/>
      <c r="X2637" s="2"/>
      <c r="Y2637" s="2"/>
      <c r="Z2637" s="2"/>
      <c r="AA2637" s="2"/>
      <c r="AB2637" s="2"/>
      <c r="AC2637" s="2"/>
      <c r="AD2637" s="2"/>
      <c r="AE2637" s="2"/>
      <c r="AF2637" s="2"/>
      <c r="AG2637" s="2"/>
      <c r="AH2637" s="2"/>
      <c r="AI2637" s="2"/>
      <c r="AJ2637" s="2" t="str">
        <f>IFERROR(__xludf.DUMMYFUNCTION("""COMPUTED_VALUE"""),"")</f>
        <v/>
      </c>
      <c r="AK2637" s="2" t="str">
        <f>IFERROR(__xludf.DUMMYFUNCTION("""COMPUTED_VALUE"""),"")</f>
        <v/>
      </c>
      <c r="AL2637" s="2" t="str">
        <f>IFERROR(__xludf.DUMMYFUNCTION("""COMPUTED_VALUE"""),"")</f>
        <v/>
      </c>
      <c r="AM2637" s="2" t="str">
        <f>IFERROR(__xludf.DUMMYFUNCTION("""COMPUTED_VALUE"""),"")</f>
        <v/>
      </c>
      <c r="AN2637" s="2" t="str">
        <f>IFERROR(__xludf.DUMMYFUNCTION("""COMPUTED_VALUE""")," ")</f>
        <v> </v>
      </c>
      <c r="AO2637" s="2" t="str">
        <f>IFERROR(__xludf.DUMMYFUNCTION("""COMPUTED_VALUE""")," ")</f>
        <v> </v>
      </c>
      <c r="AP2637" s="2" t="str">
        <f>IFERROR(__xludf.DUMMYFUNCTION("""COMPUTED_VALUE"""),"")</f>
        <v/>
      </c>
      <c r="AQ2637" s="2"/>
      <c r="AR2637" s="2"/>
      <c r="AS2637" s="2"/>
      <c r="AT2637" s="2"/>
      <c r="AU2637" s="2"/>
      <c r="AV2637" s="2"/>
      <c r="AW2637" s="2"/>
      <c r="AX2637" s="2"/>
      <c r="AY2637" s="2"/>
      <c r="AZ2637" s="2"/>
      <c r="BA2637" s="2"/>
      <c r="BB2637" s="2"/>
    </row>
    <row r="2638">
      <c r="A2638" s="2"/>
      <c r="B2638" s="2" t="str">
        <f>IFERROR(__xludf.DUMMYFUNCTION("""COMPUTED_VALUE"""),"")</f>
        <v/>
      </c>
      <c r="C2638" s="2"/>
      <c r="D2638" s="71"/>
      <c r="E2638" s="71" t="str">
        <f>IFERROR(__xludf.DUMMYFUNCTION("""COMPUTED_VALUE""")," ")</f>
        <v> </v>
      </c>
      <c r="F2638" s="2"/>
      <c r="G2638" s="2"/>
      <c r="H2638" s="2"/>
      <c r="I2638" s="72"/>
      <c r="J2638" s="72"/>
      <c r="K2638" s="72"/>
      <c r="L2638" s="72"/>
      <c r="M2638" s="2"/>
      <c r="N2638" s="2"/>
      <c r="O2638" s="2"/>
      <c r="P2638" s="2"/>
      <c r="Q2638" s="2"/>
      <c r="R2638" s="2"/>
      <c r="S2638" s="2"/>
      <c r="T2638" s="2"/>
      <c r="U2638" s="2"/>
      <c r="V2638" s="2"/>
      <c r="W2638" s="2"/>
      <c r="X2638" s="2"/>
      <c r="Y2638" s="2"/>
      <c r="Z2638" s="2"/>
      <c r="AA2638" s="2"/>
      <c r="AB2638" s="2"/>
      <c r="AC2638" s="2"/>
      <c r="AD2638" s="2"/>
      <c r="AE2638" s="2"/>
      <c r="AF2638" s="2"/>
      <c r="AG2638" s="2"/>
      <c r="AH2638" s="2"/>
      <c r="AI2638" s="2"/>
      <c r="AJ2638" s="2" t="str">
        <f>IFERROR(__xludf.DUMMYFUNCTION("""COMPUTED_VALUE"""),"")</f>
        <v/>
      </c>
      <c r="AK2638" s="2" t="str">
        <f>IFERROR(__xludf.DUMMYFUNCTION("""COMPUTED_VALUE"""),"")</f>
        <v/>
      </c>
      <c r="AL2638" s="2" t="str">
        <f>IFERROR(__xludf.DUMMYFUNCTION("""COMPUTED_VALUE"""),"")</f>
        <v/>
      </c>
      <c r="AM2638" s="2" t="str">
        <f>IFERROR(__xludf.DUMMYFUNCTION("""COMPUTED_VALUE"""),"")</f>
        <v/>
      </c>
      <c r="AN2638" s="2" t="str">
        <f>IFERROR(__xludf.DUMMYFUNCTION("""COMPUTED_VALUE""")," ")</f>
        <v> </v>
      </c>
      <c r="AO2638" s="2" t="str">
        <f>IFERROR(__xludf.DUMMYFUNCTION("""COMPUTED_VALUE""")," ")</f>
        <v> </v>
      </c>
      <c r="AP2638" s="2" t="str">
        <f>IFERROR(__xludf.DUMMYFUNCTION("""COMPUTED_VALUE"""),"")</f>
        <v/>
      </c>
      <c r="AQ2638" s="2"/>
      <c r="AR2638" s="2"/>
      <c r="AS2638" s="2"/>
      <c r="AT2638" s="2"/>
      <c r="AU2638" s="2"/>
      <c r="AV2638" s="2"/>
      <c r="AW2638" s="2"/>
      <c r="AX2638" s="2"/>
      <c r="AY2638" s="2"/>
      <c r="AZ2638" s="2"/>
      <c r="BA2638" s="2"/>
      <c r="BB2638" s="2"/>
    </row>
    <row r="2639">
      <c r="A2639" s="2"/>
      <c r="B2639" s="2" t="str">
        <f>IFERROR(__xludf.DUMMYFUNCTION("""COMPUTED_VALUE"""),"")</f>
        <v/>
      </c>
      <c r="C2639" s="2"/>
      <c r="D2639" s="71"/>
      <c r="E2639" s="71" t="str">
        <f>IFERROR(__xludf.DUMMYFUNCTION("""COMPUTED_VALUE""")," ")</f>
        <v> </v>
      </c>
      <c r="F2639" s="2"/>
      <c r="G2639" s="2"/>
      <c r="H2639" s="2"/>
      <c r="I2639" s="72"/>
      <c r="J2639" s="72"/>
      <c r="K2639" s="72"/>
      <c r="L2639" s="72"/>
      <c r="M2639" s="2"/>
      <c r="N2639" s="2"/>
      <c r="O2639" s="2"/>
      <c r="P2639" s="2"/>
      <c r="Q2639" s="2"/>
      <c r="R2639" s="2"/>
      <c r="S2639" s="2"/>
      <c r="T2639" s="2"/>
      <c r="U2639" s="2"/>
      <c r="V2639" s="2"/>
      <c r="W2639" s="2"/>
      <c r="X2639" s="2"/>
      <c r="Y2639" s="2"/>
      <c r="Z2639" s="2"/>
      <c r="AA2639" s="2"/>
      <c r="AB2639" s="2"/>
      <c r="AC2639" s="2"/>
      <c r="AD2639" s="2"/>
      <c r="AE2639" s="2"/>
      <c r="AF2639" s="2"/>
      <c r="AG2639" s="2"/>
      <c r="AH2639" s="2"/>
      <c r="AI2639" s="2"/>
      <c r="AJ2639" s="2" t="str">
        <f>IFERROR(__xludf.DUMMYFUNCTION("""COMPUTED_VALUE"""),"")</f>
        <v/>
      </c>
      <c r="AK2639" s="2" t="str">
        <f>IFERROR(__xludf.DUMMYFUNCTION("""COMPUTED_VALUE"""),"")</f>
        <v/>
      </c>
      <c r="AL2639" s="2" t="str">
        <f>IFERROR(__xludf.DUMMYFUNCTION("""COMPUTED_VALUE"""),"")</f>
        <v/>
      </c>
      <c r="AM2639" s="2" t="str">
        <f>IFERROR(__xludf.DUMMYFUNCTION("""COMPUTED_VALUE"""),"")</f>
        <v/>
      </c>
      <c r="AN2639" s="2" t="str">
        <f>IFERROR(__xludf.DUMMYFUNCTION("""COMPUTED_VALUE""")," ")</f>
        <v> </v>
      </c>
      <c r="AO2639" s="2" t="str">
        <f>IFERROR(__xludf.DUMMYFUNCTION("""COMPUTED_VALUE""")," ")</f>
        <v> </v>
      </c>
      <c r="AP2639" s="2" t="str">
        <f>IFERROR(__xludf.DUMMYFUNCTION("""COMPUTED_VALUE"""),"")</f>
        <v/>
      </c>
      <c r="AQ2639" s="2"/>
      <c r="AR2639" s="2"/>
      <c r="AS2639" s="2"/>
      <c r="AT2639" s="2"/>
      <c r="AU2639" s="2"/>
      <c r="AV2639" s="2"/>
      <c r="AW2639" s="2"/>
      <c r="AX2639" s="2"/>
      <c r="AY2639" s="2"/>
      <c r="AZ2639" s="2"/>
      <c r="BA2639" s="2"/>
      <c r="BB2639" s="2"/>
    </row>
    <row r="2640">
      <c r="A2640" s="2"/>
      <c r="B2640" s="2" t="str">
        <f>IFERROR(__xludf.DUMMYFUNCTION("""COMPUTED_VALUE"""),"")</f>
        <v/>
      </c>
      <c r="C2640" s="2"/>
      <c r="D2640" s="71"/>
      <c r="E2640" s="71" t="str">
        <f>IFERROR(__xludf.DUMMYFUNCTION("""COMPUTED_VALUE""")," ")</f>
        <v> </v>
      </c>
      <c r="F2640" s="2"/>
      <c r="G2640" s="2"/>
      <c r="H2640" s="2"/>
      <c r="I2640" s="72"/>
      <c r="J2640" s="72"/>
      <c r="K2640" s="72"/>
      <c r="L2640" s="72"/>
      <c r="M2640" s="2"/>
      <c r="N2640" s="2"/>
      <c r="O2640" s="2"/>
      <c r="P2640" s="2"/>
      <c r="Q2640" s="2"/>
      <c r="R2640" s="2"/>
      <c r="S2640" s="2"/>
      <c r="T2640" s="2"/>
      <c r="U2640" s="2"/>
      <c r="V2640" s="2"/>
      <c r="W2640" s="2"/>
      <c r="X2640" s="2"/>
      <c r="Y2640" s="2"/>
      <c r="Z2640" s="2"/>
      <c r="AA2640" s="2"/>
      <c r="AB2640" s="2"/>
      <c r="AC2640" s="2"/>
      <c r="AD2640" s="2"/>
      <c r="AE2640" s="2"/>
      <c r="AF2640" s="2"/>
      <c r="AG2640" s="2"/>
      <c r="AH2640" s="2"/>
      <c r="AI2640" s="2"/>
      <c r="AJ2640" s="2" t="str">
        <f>IFERROR(__xludf.DUMMYFUNCTION("""COMPUTED_VALUE"""),"")</f>
        <v/>
      </c>
      <c r="AK2640" s="2" t="str">
        <f>IFERROR(__xludf.DUMMYFUNCTION("""COMPUTED_VALUE"""),"")</f>
        <v/>
      </c>
      <c r="AL2640" s="2" t="str">
        <f>IFERROR(__xludf.DUMMYFUNCTION("""COMPUTED_VALUE"""),"")</f>
        <v/>
      </c>
      <c r="AM2640" s="2" t="str">
        <f>IFERROR(__xludf.DUMMYFUNCTION("""COMPUTED_VALUE"""),"")</f>
        <v/>
      </c>
      <c r="AN2640" s="2" t="str">
        <f>IFERROR(__xludf.DUMMYFUNCTION("""COMPUTED_VALUE""")," ")</f>
        <v> </v>
      </c>
      <c r="AO2640" s="2" t="str">
        <f>IFERROR(__xludf.DUMMYFUNCTION("""COMPUTED_VALUE""")," ")</f>
        <v> </v>
      </c>
      <c r="AP2640" s="2" t="str">
        <f>IFERROR(__xludf.DUMMYFUNCTION("""COMPUTED_VALUE"""),"")</f>
        <v/>
      </c>
      <c r="AQ2640" s="2"/>
      <c r="AR2640" s="2"/>
      <c r="AS2640" s="2"/>
      <c r="AT2640" s="2"/>
      <c r="AU2640" s="2"/>
      <c r="AV2640" s="2"/>
      <c r="AW2640" s="2"/>
      <c r="AX2640" s="2"/>
      <c r="AY2640" s="2"/>
      <c r="AZ2640" s="2"/>
      <c r="BA2640" s="2"/>
      <c r="BB2640" s="2"/>
    </row>
    <row r="2641">
      <c r="A2641" s="2"/>
      <c r="B2641" s="2" t="str">
        <f>IFERROR(__xludf.DUMMYFUNCTION("""COMPUTED_VALUE"""),"")</f>
        <v/>
      </c>
      <c r="C2641" s="2"/>
      <c r="D2641" s="71"/>
      <c r="E2641" s="71" t="str">
        <f>IFERROR(__xludf.DUMMYFUNCTION("""COMPUTED_VALUE""")," ")</f>
        <v> </v>
      </c>
      <c r="F2641" s="2"/>
      <c r="G2641" s="2"/>
      <c r="H2641" s="2"/>
      <c r="I2641" s="72"/>
      <c r="J2641" s="72"/>
      <c r="K2641" s="72"/>
      <c r="L2641" s="72"/>
      <c r="M2641" s="2"/>
      <c r="N2641" s="2"/>
      <c r="O2641" s="2"/>
      <c r="P2641" s="2"/>
      <c r="Q2641" s="2"/>
      <c r="R2641" s="2"/>
      <c r="S2641" s="2"/>
      <c r="T2641" s="2"/>
      <c r="U2641" s="2"/>
      <c r="V2641" s="2"/>
      <c r="W2641" s="2"/>
      <c r="X2641" s="2"/>
      <c r="Y2641" s="2"/>
      <c r="Z2641" s="2"/>
      <c r="AA2641" s="2"/>
      <c r="AB2641" s="2"/>
      <c r="AC2641" s="2"/>
      <c r="AD2641" s="2"/>
      <c r="AE2641" s="2"/>
      <c r="AF2641" s="2"/>
      <c r="AG2641" s="2"/>
      <c r="AH2641" s="2"/>
      <c r="AI2641" s="2"/>
      <c r="AJ2641" s="2" t="str">
        <f>IFERROR(__xludf.DUMMYFUNCTION("""COMPUTED_VALUE"""),"")</f>
        <v/>
      </c>
      <c r="AK2641" s="2" t="str">
        <f>IFERROR(__xludf.DUMMYFUNCTION("""COMPUTED_VALUE"""),"")</f>
        <v/>
      </c>
      <c r="AL2641" s="2" t="str">
        <f>IFERROR(__xludf.DUMMYFUNCTION("""COMPUTED_VALUE"""),"")</f>
        <v/>
      </c>
      <c r="AM2641" s="2" t="str">
        <f>IFERROR(__xludf.DUMMYFUNCTION("""COMPUTED_VALUE"""),"")</f>
        <v/>
      </c>
      <c r="AN2641" s="2" t="str">
        <f>IFERROR(__xludf.DUMMYFUNCTION("""COMPUTED_VALUE""")," ")</f>
        <v> </v>
      </c>
      <c r="AO2641" s="2" t="str">
        <f>IFERROR(__xludf.DUMMYFUNCTION("""COMPUTED_VALUE""")," ")</f>
        <v> </v>
      </c>
      <c r="AP2641" s="2" t="str">
        <f>IFERROR(__xludf.DUMMYFUNCTION("""COMPUTED_VALUE"""),"")</f>
        <v/>
      </c>
      <c r="AQ2641" s="2"/>
      <c r="AR2641" s="2"/>
      <c r="AS2641" s="2"/>
      <c r="AT2641" s="2"/>
      <c r="AU2641" s="2"/>
      <c r="AV2641" s="2"/>
      <c r="AW2641" s="2"/>
      <c r="AX2641" s="2"/>
      <c r="AY2641" s="2"/>
      <c r="AZ2641" s="2"/>
      <c r="BA2641" s="2"/>
      <c r="BB2641" s="2"/>
    </row>
    <row r="2642">
      <c r="A2642" s="2"/>
      <c r="B2642" s="2" t="str">
        <f>IFERROR(__xludf.DUMMYFUNCTION("""COMPUTED_VALUE"""),"")</f>
        <v/>
      </c>
      <c r="C2642" s="2"/>
      <c r="D2642" s="71"/>
      <c r="E2642" s="71" t="str">
        <f>IFERROR(__xludf.DUMMYFUNCTION("""COMPUTED_VALUE""")," ")</f>
        <v> </v>
      </c>
      <c r="F2642" s="2"/>
      <c r="G2642" s="2"/>
      <c r="H2642" s="2"/>
      <c r="I2642" s="72"/>
      <c r="J2642" s="72"/>
      <c r="K2642" s="72"/>
      <c r="L2642" s="72"/>
      <c r="M2642" s="2"/>
      <c r="N2642" s="2"/>
      <c r="O2642" s="2"/>
      <c r="P2642" s="2"/>
      <c r="Q2642" s="2"/>
      <c r="R2642" s="2"/>
      <c r="S2642" s="2"/>
      <c r="T2642" s="2"/>
      <c r="U2642" s="2"/>
      <c r="V2642" s="2"/>
      <c r="W2642" s="2"/>
      <c r="X2642" s="2"/>
      <c r="Y2642" s="2"/>
      <c r="Z2642" s="2"/>
      <c r="AA2642" s="2"/>
      <c r="AB2642" s="2"/>
      <c r="AC2642" s="2"/>
      <c r="AD2642" s="2"/>
      <c r="AE2642" s="2"/>
      <c r="AF2642" s="2"/>
      <c r="AG2642" s="2"/>
      <c r="AH2642" s="2"/>
      <c r="AI2642" s="2"/>
      <c r="AJ2642" s="2" t="str">
        <f>IFERROR(__xludf.DUMMYFUNCTION("""COMPUTED_VALUE"""),"")</f>
        <v/>
      </c>
      <c r="AK2642" s="2" t="str">
        <f>IFERROR(__xludf.DUMMYFUNCTION("""COMPUTED_VALUE"""),"")</f>
        <v/>
      </c>
      <c r="AL2642" s="2" t="str">
        <f>IFERROR(__xludf.DUMMYFUNCTION("""COMPUTED_VALUE"""),"")</f>
        <v/>
      </c>
      <c r="AM2642" s="2" t="str">
        <f>IFERROR(__xludf.DUMMYFUNCTION("""COMPUTED_VALUE"""),"")</f>
        <v/>
      </c>
      <c r="AN2642" s="2" t="str">
        <f>IFERROR(__xludf.DUMMYFUNCTION("""COMPUTED_VALUE""")," ")</f>
        <v> </v>
      </c>
      <c r="AO2642" s="2" t="str">
        <f>IFERROR(__xludf.DUMMYFUNCTION("""COMPUTED_VALUE""")," ")</f>
        <v> </v>
      </c>
      <c r="AP2642" s="2" t="str">
        <f>IFERROR(__xludf.DUMMYFUNCTION("""COMPUTED_VALUE"""),"")</f>
        <v/>
      </c>
      <c r="AQ2642" s="2"/>
      <c r="AR2642" s="2"/>
      <c r="AS2642" s="2"/>
      <c r="AT2642" s="2"/>
      <c r="AU2642" s="2"/>
      <c r="AV2642" s="2"/>
      <c r="AW2642" s="2"/>
      <c r="AX2642" s="2"/>
      <c r="AY2642" s="2"/>
      <c r="AZ2642" s="2"/>
      <c r="BA2642" s="2"/>
      <c r="BB2642" s="2"/>
    </row>
    <row r="2643">
      <c r="A2643" s="2"/>
      <c r="B2643" s="2" t="str">
        <f>IFERROR(__xludf.DUMMYFUNCTION("""COMPUTED_VALUE"""),"")</f>
        <v/>
      </c>
      <c r="C2643" s="2"/>
      <c r="D2643" s="71"/>
      <c r="E2643" s="71" t="str">
        <f>IFERROR(__xludf.DUMMYFUNCTION("""COMPUTED_VALUE""")," ")</f>
        <v> </v>
      </c>
      <c r="F2643" s="2"/>
      <c r="G2643" s="2"/>
      <c r="H2643" s="2"/>
      <c r="I2643" s="72"/>
      <c r="J2643" s="72"/>
      <c r="K2643" s="72"/>
      <c r="L2643" s="72"/>
      <c r="M2643" s="2"/>
      <c r="N2643" s="2"/>
      <c r="O2643" s="2"/>
      <c r="P2643" s="2"/>
      <c r="Q2643" s="2"/>
      <c r="R2643" s="2"/>
      <c r="S2643" s="2"/>
      <c r="T2643" s="2"/>
      <c r="U2643" s="2"/>
      <c r="V2643" s="2"/>
      <c r="W2643" s="2"/>
      <c r="X2643" s="2"/>
      <c r="Y2643" s="2"/>
      <c r="Z2643" s="2"/>
      <c r="AA2643" s="2"/>
      <c r="AB2643" s="2"/>
      <c r="AC2643" s="2"/>
      <c r="AD2643" s="2"/>
      <c r="AE2643" s="2"/>
      <c r="AF2643" s="2"/>
      <c r="AG2643" s="2"/>
      <c r="AH2643" s="2"/>
      <c r="AI2643" s="2"/>
      <c r="AJ2643" s="2" t="str">
        <f>IFERROR(__xludf.DUMMYFUNCTION("""COMPUTED_VALUE"""),"")</f>
        <v/>
      </c>
      <c r="AK2643" s="2" t="str">
        <f>IFERROR(__xludf.DUMMYFUNCTION("""COMPUTED_VALUE"""),"")</f>
        <v/>
      </c>
      <c r="AL2643" s="2" t="str">
        <f>IFERROR(__xludf.DUMMYFUNCTION("""COMPUTED_VALUE"""),"")</f>
        <v/>
      </c>
      <c r="AM2643" s="2" t="str">
        <f>IFERROR(__xludf.DUMMYFUNCTION("""COMPUTED_VALUE"""),"")</f>
        <v/>
      </c>
      <c r="AN2643" s="2" t="str">
        <f>IFERROR(__xludf.DUMMYFUNCTION("""COMPUTED_VALUE""")," ")</f>
        <v> </v>
      </c>
      <c r="AO2643" s="2" t="str">
        <f>IFERROR(__xludf.DUMMYFUNCTION("""COMPUTED_VALUE""")," ")</f>
        <v> </v>
      </c>
      <c r="AP2643" s="2" t="str">
        <f>IFERROR(__xludf.DUMMYFUNCTION("""COMPUTED_VALUE"""),"")</f>
        <v/>
      </c>
      <c r="AQ2643" s="2"/>
      <c r="AR2643" s="2"/>
      <c r="AS2643" s="2"/>
      <c r="AT2643" s="2"/>
      <c r="AU2643" s="2"/>
      <c r="AV2643" s="2"/>
      <c r="AW2643" s="2"/>
      <c r="AX2643" s="2"/>
      <c r="AY2643" s="2"/>
      <c r="AZ2643" s="2"/>
      <c r="BA2643" s="2"/>
      <c r="BB2643" s="2"/>
    </row>
    <row r="2644">
      <c r="A2644" s="2"/>
      <c r="B2644" s="2" t="str">
        <f>IFERROR(__xludf.DUMMYFUNCTION("""COMPUTED_VALUE"""),"")</f>
        <v/>
      </c>
      <c r="C2644" s="2"/>
      <c r="D2644" s="71"/>
      <c r="E2644" s="71" t="str">
        <f>IFERROR(__xludf.DUMMYFUNCTION("""COMPUTED_VALUE""")," ")</f>
        <v> </v>
      </c>
      <c r="F2644" s="2"/>
      <c r="G2644" s="2"/>
      <c r="H2644" s="2"/>
      <c r="I2644" s="72"/>
      <c r="J2644" s="72"/>
      <c r="K2644" s="72"/>
      <c r="L2644" s="72"/>
      <c r="M2644" s="2"/>
      <c r="N2644" s="2"/>
      <c r="O2644" s="2"/>
      <c r="P2644" s="2"/>
      <c r="Q2644" s="2"/>
      <c r="R2644" s="2"/>
      <c r="S2644" s="2"/>
      <c r="T2644" s="2"/>
      <c r="U2644" s="2"/>
      <c r="V2644" s="2"/>
      <c r="W2644" s="2"/>
      <c r="X2644" s="2"/>
      <c r="Y2644" s="2"/>
      <c r="Z2644" s="2"/>
      <c r="AA2644" s="2"/>
      <c r="AB2644" s="2"/>
      <c r="AC2644" s="2"/>
      <c r="AD2644" s="2"/>
      <c r="AE2644" s="2"/>
      <c r="AF2644" s="2"/>
      <c r="AG2644" s="2"/>
      <c r="AH2644" s="2"/>
      <c r="AI2644" s="2"/>
      <c r="AJ2644" s="2" t="str">
        <f>IFERROR(__xludf.DUMMYFUNCTION("""COMPUTED_VALUE"""),"")</f>
        <v/>
      </c>
      <c r="AK2644" s="2" t="str">
        <f>IFERROR(__xludf.DUMMYFUNCTION("""COMPUTED_VALUE"""),"")</f>
        <v/>
      </c>
      <c r="AL2644" s="2" t="str">
        <f>IFERROR(__xludf.DUMMYFUNCTION("""COMPUTED_VALUE"""),"")</f>
        <v/>
      </c>
      <c r="AM2644" s="2" t="str">
        <f>IFERROR(__xludf.DUMMYFUNCTION("""COMPUTED_VALUE"""),"")</f>
        <v/>
      </c>
      <c r="AN2644" s="2" t="str">
        <f>IFERROR(__xludf.DUMMYFUNCTION("""COMPUTED_VALUE""")," ")</f>
        <v> </v>
      </c>
      <c r="AO2644" s="2" t="str">
        <f>IFERROR(__xludf.DUMMYFUNCTION("""COMPUTED_VALUE""")," ")</f>
        <v> </v>
      </c>
      <c r="AP2644" s="2" t="str">
        <f>IFERROR(__xludf.DUMMYFUNCTION("""COMPUTED_VALUE"""),"")</f>
        <v/>
      </c>
      <c r="AQ2644" s="2"/>
      <c r="AR2644" s="2"/>
      <c r="AS2644" s="2"/>
      <c r="AT2644" s="2"/>
      <c r="AU2644" s="2"/>
      <c r="AV2644" s="2"/>
      <c r="AW2644" s="2"/>
      <c r="AX2644" s="2"/>
      <c r="AY2644" s="2"/>
      <c r="AZ2644" s="2"/>
      <c r="BA2644" s="2"/>
      <c r="BB2644" s="2"/>
    </row>
    <row r="2645">
      <c r="A2645" s="2"/>
      <c r="B2645" s="2" t="str">
        <f>IFERROR(__xludf.DUMMYFUNCTION("""COMPUTED_VALUE"""),"")</f>
        <v/>
      </c>
      <c r="C2645" s="2"/>
      <c r="D2645" s="71"/>
      <c r="E2645" s="71" t="str">
        <f>IFERROR(__xludf.DUMMYFUNCTION("""COMPUTED_VALUE""")," ")</f>
        <v> </v>
      </c>
      <c r="F2645" s="2"/>
      <c r="G2645" s="2"/>
      <c r="H2645" s="2"/>
      <c r="I2645" s="72"/>
      <c r="J2645" s="72"/>
      <c r="K2645" s="72"/>
      <c r="L2645" s="72"/>
      <c r="M2645" s="2"/>
      <c r="N2645" s="2"/>
      <c r="O2645" s="2"/>
      <c r="P2645" s="2"/>
      <c r="Q2645" s="2"/>
      <c r="R2645" s="2"/>
      <c r="S2645" s="2"/>
      <c r="T2645" s="2"/>
      <c r="U2645" s="2"/>
      <c r="V2645" s="2"/>
      <c r="W2645" s="2"/>
      <c r="X2645" s="2"/>
      <c r="Y2645" s="2"/>
      <c r="Z2645" s="2"/>
      <c r="AA2645" s="2"/>
      <c r="AB2645" s="2"/>
      <c r="AC2645" s="2"/>
      <c r="AD2645" s="2"/>
      <c r="AE2645" s="2"/>
      <c r="AF2645" s="2"/>
      <c r="AG2645" s="2"/>
      <c r="AH2645" s="2"/>
      <c r="AI2645" s="2"/>
      <c r="AJ2645" s="2" t="str">
        <f>IFERROR(__xludf.DUMMYFUNCTION("""COMPUTED_VALUE"""),"")</f>
        <v/>
      </c>
      <c r="AK2645" s="2" t="str">
        <f>IFERROR(__xludf.DUMMYFUNCTION("""COMPUTED_VALUE"""),"")</f>
        <v/>
      </c>
      <c r="AL2645" s="2" t="str">
        <f>IFERROR(__xludf.DUMMYFUNCTION("""COMPUTED_VALUE"""),"")</f>
        <v/>
      </c>
      <c r="AM2645" s="2" t="str">
        <f>IFERROR(__xludf.DUMMYFUNCTION("""COMPUTED_VALUE"""),"")</f>
        <v/>
      </c>
      <c r="AN2645" s="2" t="str">
        <f>IFERROR(__xludf.DUMMYFUNCTION("""COMPUTED_VALUE""")," ")</f>
        <v> </v>
      </c>
      <c r="AO2645" s="2" t="str">
        <f>IFERROR(__xludf.DUMMYFUNCTION("""COMPUTED_VALUE""")," ")</f>
        <v> </v>
      </c>
      <c r="AP2645" s="2" t="str">
        <f>IFERROR(__xludf.DUMMYFUNCTION("""COMPUTED_VALUE"""),"")</f>
        <v/>
      </c>
      <c r="AQ2645" s="2"/>
      <c r="AR2645" s="2"/>
      <c r="AS2645" s="2"/>
      <c r="AT2645" s="2"/>
      <c r="AU2645" s="2"/>
      <c r="AV2645" s="2"/>
      <c r="AW2645" s="2"/>
      <c r="AX2645" s="2"/>
      <c r="AY2645" s="2"/>
      <c r="AZ2645" s="2"/>
      <c r="BA2645" s="2"/>
      <c r="BB2645" s="2"/>
    </row>
    <row r="2646">
      <c r="A2646" s="2"/>
      <c r="B2646" s="2" t="str">
        <f>IFERROR(__xludf.DUMMYFUNCTION("""COMPUTED_VALUE"""),"")</f>
        <v/>
      </c>
      <c r="C2646" s="2"/>
      <c r="D2646" s="71"/>
      <c r="E2646" s="71" t="str">
        <f>IFERROR(__xludf.DUMMYFUNCTION("""COMPUTED_VALUE""")," ")</f>
        <v> </v>
      </c>
      <c r="F2646" s="2"/>
      <c r="G2646" s="2"/>
      <c r="H2646" s="2"/>
      <c r="I2646" s="72"/>
      <c r="J2646" s="72"/>
      <c r="K2646" s="72"/>
      <c r="L2646" s="72"/>
      <c r="M2646" s="2"/>
      <c r="N2646" s="2"/>
      <c r="O2646" s="2"/>
      <c r="P2646" s="2"/>
      <c r="Q2646" s="2"/>
      <c r="R2646" s="2"/>
      <c r="S2646" s="2"/>
      <c r="T2646" s="2"/>
      <c r="U2646" s="2"/>
      <c r="V2646" s="2"/>
      <c r="W2646" s="2"/>
      <c r="X2646" s="2"/>
      <c r="Y2646" s="2"/>
      <c r="Z2646" s="2"/>
      <c r="AA2646" s="2"/>
      <c r="AB2646" s="2"/>
      <c r="AC2646" s="2"/>
      <c r="AD2646" s="2"/>
      <c r="AE2646" s="2"/>
      <c r="AF2646" s="2"/>
      <c r="AG2646" s="2"/>
      <c r="AH2646" s="2"/>
      <c r="AI2646" s="2"/>
      <c r="AJ2646" s="2" t="str">
        <f>IFERROR(__xludf.DUMMYFUNCTION("""COMPUTED_VALUE"""),"")</f>
        <v/>
      </c>
      <c r="AK2646" s="2" t="str">
        <f>IFERROR(__xludf.DUMMYFUNCTION("""COMPUTED_VALUE"""),"")</f>
        <v/>
      </c>
      <c r="AL2646" s="2" t="str">
        <f>IFERROR(__xludf.DUMMYFUNCTION("""COMPUTED_VALUE"""),"")</f>
        <v/>
      </c>
      <c r="AM2646" s="2" t="str">
        <f>IFERROR(__xludf.DUMMYFUNCTION("""COMPUTED_VALUE"""),"")</f>
        <v/>
      </c>
      <c r="AN2646" s="2" t="str">
        <f>IFERROR(__xludf.DUMMYFUNCTION("""COMPUTED_VALUE""")," ")</f>
        <v> </v>
      </c>
      <c r="AO2646" s="2" t="str">
        <f>IFERROR(__xludf.DUMMYFUNCTION("""COMPUTED_VALUE""")," ")</f>
        <v> </v>
      </c>
      <c r="AP2646" s="2" t="str">
        <f>IFERROR(__xludf.DUMMYFUNCTION("""COMPUTED_VALUE"""),"")</f>
        <v/>
      </c>
      <c r="AQ2646" s="2"/>
      <c r="AR2646" s="2"/>
      <c r="AS2646" s="2"/>
      <c r="AT2646" s="2"/>
      <c r="AU2646" s="2"/>
      <c r="AV2646" s="2"/>
      <c r="AW2646" s="2"/>
      <c r="AX2646" s="2"/>
      <c r="AY2646" s="2"/>
      <c r="AZ2646" s="2"/>
      <c r="BA2646" s="2"/>
      <c r="BB2646" s="2"/>
    </row>
    <row r="2647">
      <c r="A2647" s="2"/>
      <c r="B2647" s="2" t="str">
        <f>IFERROR(__xludf.DUMMYFUNCTION("""COMPUTED_VALUE"""),"")</f>
        <v/>
      </c>
      <c r="C2647" s="2"/>
      <c r="D2647" s="71"/>
      <c r="E2647" s="71" t="str">
        <f>IFERROR(__xludf.DUMMYFUNCTION("""COMPUTED_VALUE""")," ")</f>
        <v> </v>
      </c>
      <c r="F2647" s="2"/>
      <c r="G2647" s="2"/>
      <c r="H2647" s="2"/>
      <c r="I2647" s="72"/>
      <c r="J2647" s="72"/>
      <c r="K2647" s="72"/>
      <c r="L2647" s="72"/>
      <c r="M2647" s="2"/>
      <c r="N2647" s="2"/>
      <c r="O2647" s="2"/>
      <c r="P2647" s="2"/>
      <c r="Q2647" s="2"/>
      <c r="R2647" s="2"/>
      <c r="S2647" s="2"/>
      <c r="T2647" s="2"/>
      <c r="U2647" s="2"/>
      <c r="V2647" s="2"/>
      <c r="W2647" s="2"/>
      <c r="X2647" s="2"/>
      <c r="Y2647" s="2"/>
      <c r="Z2647" s="2"/>
      <c r="AA2647" s="2"/>
      <c r="AB2647" s="2"/>
      <c r="AC2647" s="2"/>
      <c r="AD2647" s="2"/>
      <c r="AE2647" s="2"/>
      <c r="AF2647" s="2"/>
      <c r="AG2647" s="2"/>
      <c r="AH2647" s="2"/>
      <c r="AI2647" s="2"/>
      <c r="AJ2647" s="2" t="str">
        <f>IFERROR(__xludf.DUMMYFUNCTION("""COMPUTED_VALUE"""),"")</f>
        <v/>
      </c>
      <c r="AK2647" s="2" t="str">
        <f>IFERROR(__xludf.DUMMYFUNCTION("""COMPUTED_VALUE"""),"")</f>
        <v/>
      </c>
      <c r="AL2647" s="2" t="str">
        <f>IFERROR(__xludf.DUMMYFUNCTION("""COMPUTED_VALUE"""),"")</f>
        <v/>
      </c>
      <c r="AM2647" s="2" t="str">
        <f>IFERROR(__xludf.DUMMYFUNCTION("""COMPUTED_VALUE"""),"")</f>
        <v/>
      </c>
      <c r="AN2647" s="2" t="str">
        <f>IFERROR(__xludf.DUMMYFUNCTION("""COMPUTED_VALUE""")," ")</f>
        <v> </v>
      </c>
      <c r="AO2647" s="2" t="str">
        <f>IFERROR(__xludf.DUMMYFUNCTION("""COMPUTED_VALUE""")," ")</f>
        <v> </v>
      </c>
      <c r="AP2647" s="2" t="str">
        <f>IFERROR(__xludf.DUMMYFUNCTION("""COMPUTED_VALUE"""),"")</f>
        <v/>
      </c>
      <c r="AQ2647" s="2"/>
      <c r="AR2647" s="2"/>
      <c r="AS2647" s="2"/>
      <c r="AT2647" s="2"/>
      <c r="AU2647" s="2"/>
      <c r="AV2647" s="2"/>
      <c r="AW2647" s="2"/>
      <c r="AX2647" s="2"/>
      <c r="AY2647" s="2"/>
      <c r="AZ2647" s="2"/>
      <c r="BA2647" s="2"/>
      <c r="BB2647" s="2"/>
    </row>
    <row r="2648">
      <c r="A2648" s="2"/>
      <c r="B2648" s="2" t="str">
        <f>IFERROR(__xludf.DUMMYFUNCTION("""COMPUTED_VALUE"""),"")</f>
        <v/>
      </c>
      <c r="C2648" s="2"/>
      <c r="D2648" s="71"/>
      <c r="E2648" s="71" t="str">
        <f>IFERROR(__xludf.DUMMYFUNCTION("""COMPUTED_VALUE""")," ")</f>
        <v> </v>
      </c>
      <c r="F2648" s="2"/>
      <c r="G2648" s="2"/>
      <c r="H2648" s="2"/>
      <c r="I2648" s="72"/>
      <c r="J2648" s="72"/>
      <c r="K2648" s="72"/>
      <c r="L2648" s="72"/>
      <c r="M2648" s="2"/>
      <c r="N2648" s="2"/>
      <c r="O2648" s="2"/>
      <c r="P2648" s="2"/>
      <c r="Q2648" s="2"/>
      <c r="R2648" s="2"/>
      <c r="S2648" s="2"/>
      <c r="T2648" s="2"/>
      <c r="U2648" s="2"/>
      <c r="V2648" s="2"/>
      <c r="W2648" s="2"/>
      <c r="X2648" s="2"/>
      <c r="Y2648" s="2"/>
      <c r="Z2648" s="2"/>
      <c r="AA2648" s="2"/>
      <c r="AB2648" s="2"/>
      <c r="AC2648" s="2"/>
      <c r="AD2648" s="2"/>
      <c r="AE2648" s="2"/>
      <c r="AF2648" s="2"/>
      <c r="AG2648" s="2"/>
      <c r="AH2648" s="2"/>
      <c r="AI2648" s="2"/>
      <c r="AJ2648" s="2" t="str">
        <f>IFERROR(__xludf.DUMMYFUNCTION("""COMPUTED_VALUE"""),"")</f>
        <v/>
      </c>
      <c r="AK2648" s="2" t="str">
        <f>IFERROR(__xludf.DUMMYFUNCTION("""COMPUTED_VALUE"""),"")</f>
        <v/>
      </c>
      <c r="AL2648" s="2" t="str">
        <f>IFERROR(__xludf.DUMMYFUNCTION("""COMPUTED_VALUE"""),"")</f>
        <v/>
      </c>
      <c r="AM2648" s="2" t="str">
        <f>IFERROR(__xludf.DUMMYFUNCTION("""COMPUTED_VALUE"""),"")</f>
        <v/>
      </c>
      <c r="AN2648" s="2" t="str">
        <f>IFERROR(__xludf.DUMMYFUNCTION("""COMPUTED_VALUE""")," ")</f>
        <v> </v>
      </c>
      <c r="AO2648" s="2" t="str">
        <f>IFERROR(__xludf.DUMMYFUNCTION("""COMPUTED_VALUE""")," ")</f>
        <v> </v>
      </c>
      <c r="AP2648" s="2" t="str">
        <f>IFERROR(__xludf.DUMMYFUNCTION("""COMPUTED_VALUE"""),"")</f>
        <v/>
      </c>
      <c r="AQ2648" s="2"/>
      <c r="AR2648" s="2"/>
      <c r="AS2648" s="2"/>
      <c r="AT2648" s="2"/>
      <c r="AU2648" s="2"/>
      <c r="AV2648" s="2"/>
      <c r="AW2648" s="2"/>
      <c r="AX2648" s="2"/>
      <c r="AY2648" s="2"/>
      <c r="AZ2648" s="2"/>
      <c r="BA2648" s="2"/>
      <c r="BB2648" s="2"/>
    </row>
    <row r="2649">
      <c r="A2649" s="2"/>
      <c r="B2649" s="2" t="str">
        <f>IFERROR(__xludf.DUMMYFUNCTION("""COMPUTED_VALUE"""),"")</f>
        <v/>
      </c>
      <c r="C2649" s="2"/>
      <c r="D2649" s="71"/>
      <c r="E2649" s="71" t="str">
        <f>IFERROR(__xludf.DUMMYFUNCTION("""COMPUTED_VALUE""")," ")</f>
        <v> </v>
      </c>
      <c r="F2649" s="2"/>
      <c r="G2649" s="2"/>
      <c r="H2649" s="2"/>
      <c r="I2649" s="72"/>
      <c r="J2649" s="72"/>
      <c r="K2649" s="72"/>
      <c r="L2649" s="72"/>
      <c r="M2649" s="2"/>
      <c r="N2649" s="2"/>
      <c r="O2649" s="2"/>
      <c r="P2649" s="2"/>
      <c r="Q2649" s="2"/>
      <c r="R2649" s="2"/>
      <c r="S2649" s="2"/>
      <c r="T2649" s="2"/>
      <c r="U2649" s="2"/>
      <c r="V2649" s="2"/>
      <c r="W2649" s="2"/>
      <c r="X2649" s="2"/>
      <c r="Y2649" s="2"/>
      <c r="Z2649" s="2"/>
      <c r="AA2649" s="2"/>
      <c r="AB2649" s="2"/>
      <c r="AC2649" s="2"/>
      <c r="AD2649" s="2"/>
      <c r="AE2649" s="2"/>
      <c r="AF2649" s="2"/>
      <c r="AG2649" s="2"/>
      <c r="AH2649" s="2"/>
      <c r="AI2649" s="2"/>
      <c r="AJ2649" s="2" t="str">
        <f>IFERROR(__xludf.DUMMYFUNCTION("""COMPUTED_VALUE"""),"")</f>
        <v/>
      </c>
      <c r="AK2649" s="2" t="str">
        <f>IFERROR(__xludf.DUMMYFUNCTION("""COMPUTED_VALUE"""),"")</f>
        <v/>
      </c>
      <c r="AL2649" s="2" t="str">
        <f>IFERROR(__xludf.DUMMYFUNCTION("""COMPUTED_VALUE"""),"")</f>
        <v/>
      </c>
      <c r="AM2649" s="2" t="str">
        <f>IFERROR(__xludf.DUMMYFUNCTION("""COMPUTED_VALUE"""),"")</f>
        <v/>
      </c>
      <c r="AN2649" s="2" t="str">
        <f>IFERROR(__xludf.DUMMYFUNCTION("""COMPUTED_VALUE""")," ")</f>
        <v> </v>
      </c>
      <c r="AO2649" s="2" t="str">
        <f>IFERROR(__xludf.DUMMYFUNCTION("""COMPUTED_VALUE""")," ")</f>
        <v> </v>
      </c>
      <c r="AP2649" s="2" t="str">
        <f>IFERROR(__xludf.DUMMYFUNCTION("""COMPUTED_VALUE"""),"")</f>
        <v/>
      </c>
      <c r="AQ2649" s="2"/>
      <c r="AR2649" s="2"/>
      <c r="AS2649" s="2"/>
      <c r="AT2649" s="2"/>
      <c r="AU2649" s="2"/>
      <c r="AV2649" s="2"/>
      <c r="AW2649" s="2"/>
      <c r="AX2649" s="2"/>
      <c r="AY2649" s="2"/>
      <c r="AZ2649" s="2"/>
      <c r="BA2649" s="2"/>
      <c r="BB2649" s="2"/>
    </row>
    <row r="2650">
      <c r="A2650" s="2"/>
      <c r="B2650" s="2" t="str">
        <f>IFERROR(__xludf.DUMMYFUNCTION("""COMPUTED_VALUE"""),"")</f>
        <v/>
      </c>
      <c r="C2650" s="2"/>
      <c r="D2650" s="71"/>
      <c r="E2650" s="71" t="str">
        <f>IFERROR(__xludf.DUMMYFUNCTION("""COMPUTED_VALUE""")," ")</f>
        <v> </v>
      </c>
      <c r="F2650" s="2"/>
      <c r="G2650" s="2"/>
      <c r="H2650" s="2"/>
      <c r="I2650" s="72"/>
      <c r="J2650" s="72"/>
      <c r="K2650" s="72"/>
      <c r="L2650" s="72"/>
      <c r="M2650" s="2"/>
      <c r="N2650" s="2"/>
      <c r="O2650" s="2"/>
      <c r="P2650" s="2"/>
      <c r="Q2650" s="2"/>
      <c r="R2650" s="2"/>
      <c r="S2650" s="2"/>
      <c r="T2650" s="2"/>
      <c r="U2650" s="2"/>
      <c r="V2650" s="2"/>
      <c r="W2650" s="2"/>
      <c r="X2650" s="2"/>
      <c r="Y2650" s="2"/>
      <c r="Z2650" s="2"/>
      <c r="AA2650" s="2"/>
      <c r="AB2650" s="2"/>
      <c r="AC2650" s="2"/>
      <c r="AD2650" s="2"/>
      <c r="AE2650" s="2"/>
      <c r="AF2650" s="2"/>
      <c r="AG2650" s="2"/>
      <c r="AH2650" s="2"/>
      <c r="AI2650" s="2"/>
      <c r="AJ2650" s="2" t="str">
        <f>IFERROR(__xludf.DUMMYFUNCTION("""COMPUTED_VALUE"""),"")</f>
        <v/>
      </c>
      <c r="AK2650" s="2" t="str">
        <f>IFERROR(__xludf.DUMMYFUNCTION("""COMPUTED_VALUE"""),"")</f>
        <v/>
      </c>
      <c r="AL2650" s="2" t="str">
        <f>IFERROR(__xludf.DUMMYFUNCTION("""COMPUTED_VALUE"""),"")</f>
        <v/>
      </c>
      <c r="AM2650" s="2" t="str">
        <f>IFERROR(__xludf.DUMMYFUNCTION("""COMPUTED_VALUE"""),"")</f>
        <v/>
      </c>
      <c r="AN2650" s="2" t="str">
        <f>IFERROR(__xludf.DUMMYFUNCTION("""COMPUTED_VALUE""")," ")</f>
        <v> </v>
      </c>
      <c r="AO2650" s="2" t="str">
        <f>IFERROR(__xludf.DUMMYFUNCTION("""COMPUTED_VALUE""")," ")</f>
        <v> </v>
      </c>
      <c r="AP2650" s="2" t="str">
        <f>IFERROR(__xludf.DUMMYFUNCTION("""COMPUTED_VALUE"""),"")</f>
        <v/>
      </c>
      <c r="AQ2650" s="2"/>
      <c r="AR2650" s="2"/>
      <c r="AS2650" s="2"/>
      <c r="AT2650" s="2"/>
      <c r="AU2650" s="2"/>
      <c r="AV2650" s="2"/>
      <c r="AW2650" s="2"/>
      <c r="AX2650" s="2"/>
      <c r="AY2650" s="2"/>
      <c r="AZ2650" s="2"/>
      <c r="BA2650" s="2"/>
      <c r="BB2650" s="2"/>
    </row>
    <row r="2651">
      <c r="A2651" s="2"/>
      <c r="B2651" s="2" t="str">
        <f>IFERROR(__xludf.DUMMYFUNCTION("""COMPUTED_VALUE"""),"")</f>
        <v/>
      </c>
      <c r="C2651" s="2"/>
      <c r="D2651" s="71"/>
      <c r="E2651" s="71" t="str">
        <f>IFERROR(__xludf.DUMMYFUNCTION("""COMPUTED_VALUE""")," ")</f>
        <v> </v>
      </c>
      <c r="F2651" s="2"/>
      <c r="G2651" s="2"/>
      <c r="H2651" s="2"/>
      <c r="I2651" s="72"/>
      <c r="J2651" s="72"/>
      <c r="K2651" s="72"/>
      <c r="L2651" s="72"/>
      <c r="M2651" s="2"/>
      <c r="N2651" s="2"/>
      <c r="O2651" s="2"/>
      <c r="P2651" s="2"/>
      <c r="Q2651" s="2"/>
      <c r="R2651" s="2"/>
      <c r="S2651" s="2"/>
      <c r="T2651" s="2"/>
      <c r="U2651" s="2"/>
      <c r="V2651" s="2"/>
      <c r="W2651" s="2"/>
      <c r="X2651" s="2"/>
      <c r="Y2651" s="2"/>
      <c r="Z2651" s="2"/>
      <c r="AA2651" s="2"/>
      <c r="AB2651" s="2"/>
      <c r="AC2651" s="2"/>
      <c r="AD2651" s="2"/>
      <c r="AE2651" s="2"/>
      <c r="AF2651" s="2"/>
      <c r="AG2651" s="2"/>
      <c r="AH2651" s="2"/>
      <c r="AI2651" s="2"/>
      <c r="AJ2651" s="2" t="str">
        <f>IFERROR(__xludf.DUMMYFUNCTION("""COMPUTED_VALUE"""),"")</f>
        <v/>
      </c>
      <c r="AK2651" s="2" t="str">
        <f>IFERROR(__xludf.DUMMYFUNCTION("""COMPUTED_VALUE"""),"")</f>
        <v/>
      </c>
      <c r="AL2651" s="2" t="str">
        <f>IFERROR(__xludf.DUMMYFUNCTION("""COMPUTED_VALUE"""),"")</f>
        <v/>
      </c>
      <c r="AM2651" s="2" t="str">
        <f>IFERROR(__xludf.DUMMYFUNCTION("""COMPUTED_VALUE"""),"")</f>
        <v/>
      </c>
      <c r="AN2651" s="2" t="str">
        <f>IFERROR(__xludf.DUMMYFUNCTION("""COMPUTED_VALUE""")," ")</f>
        <v> </v>
      </c>
      <c r="AO2651" s="2" t="str">
        <f>IFERROR(__xludf.DUMMYFUNCTION("""COMPUTED_VALUE""")," ")</f>
        <v> </v>
      </c>
      <c r="AP2651" s="2" t="str">
        <f>IFERROR(__xludf.DUMMYFUNCTION("""COMPUTED_VALUE"""),"")</f>
        <v/>
      </c>
      <c r="AQ2651" s="2"/>
      <c r="AR2651" s="2"/>
      <c r="AS2651" s="2"/>
      <c r="AT2651" s="2"/>
      <c r="AU2651" s="2"/>
      <c r="AV2651" s="2"/>
      <c r="AW2651" s="2"/>
      <c r="AX2651" s="2"/>
      <c r="AY2651" s="2"/>
      <c r="AZ2651" s="2"/>
      <c r="BA2651" s="2"/>
      <c r="BB2651" s="2"/>
    </row>
    <row r="2652">
      <c r="A2652" s="2"/>
      <c r="B2652" s="2" t="str">
        <f>IFERROR(__xludf.DUMMYFUNCTION("""COMPUTED_VALUE"""),"")</f>
        <v/>
      </c>
      <c r="C2652" s="2"/>
      <c r="D2652" s="71"/>
      <c r="E2652" s="71" t="str">
        <f>IFERROR(__xludf.DUMMYFUNCTION("""COMPUTED_VALUE""")," ")</f>
        <v> </v>
      </c>
      <c r="F2652" s="2"/>
      <c r="G2652" s="2"/>
      <c r="H2652" s="2"/>
      <c r="I2652" s="72"/>
      <c r="J2652" s="72"/>
      <c r="K2652" s="72"/>
      <c r="L2652" s="72"/>
      <c r="M2652" s="2"/>
      <c r="N2652" s="2"/>
      <c r="O2652" s="2"/>
      <c r="P2652" s="2"/>
      <c r="Q2652" s="2"/>
      <c r="R2652" s="2"/>
      <c r="S2652" s="2"/>
      <c r="T2652" s="2"/>
      <c r="U2652" s="2"/>
      <c r="V2652" s="2"/>
      <c r="W2652" s="2"/>
      <c r="X2652" s="2"/>
      <c r="Y2652" s="2"/>
      <c r="Z2652" s="2"/>
      <c r="AA2652" s="2"/>
      <c r="AB2652" s="2"/>
      <c r="AC2652" s="2"/>
      <c r="AD2652" s="2"/>
      <c r="AE2652" s="2"/>
      <c r="AF2652" s="2"/>
      <c r="AG2652" s="2"/>
      <c r="AH2652" s="2"/>
      <c r="AI2652" s="2"/>
      <c r="AJ2652" s="2" t="str">
        <f>IFERROR(__xludf.DUMMYFUNCTION("""COMPUTED_VALUE"""),"")</f>
        <v/>
      </c>
      <c r="AK2652" s="2" t="str">
        <f>IFERROR(__xludf.DUMMYFUNCTION("""COMPUTED_VALUE"""),"")</f>
        <v/>
      </c>
      <c r="AL2652" s="2" t="str">
        <f>IFERROR(__xludf.DUMMYFUNCTION("""COMPUTED_VALUE"""),"")</f>
        <v/>
      </c>
      <c r="AM2652" s="2" t="str">
        <f>IFERROR(__xludf.DUMMYFUNCTION("""COMPUTED_VALUE"""),"")</f>
        <v/>
      </c>
      <c r="AN2652" s="2" t="str">
        <f>IFERROR(__xludf.DUMMYFUNCTION("""COMPUTED_VALUE""")," ")</f>
        <v> </v>
      </c>
      <c r="AO2652" s="2" t="str">
        <f>IFERROR(__xludf.DUMMYFUNCTION("""COMPUTED_VALUE""")," ")</f>
        <v> </v>
      </c>
      <c r="AP2652" s="2" t="str">
        <f>IFERROR(__xludf.DUMMYFUNCTION("""COMPUTED_VALUE"""),"")</f>
        <v/>
      </c>
      <c r="AQ2652" s="2"/>
      <c r="AR2652" s="2"/>
      <c r="AS2652" s="2"/>
      <c r="AT2652" s="2"/>
      <c r="AU2652" s="2"/>
      <c r="AV2652" s="2"/>
      <c r="AW2652" s="2"/>
      <c r="AX2652" s="2"/>
      <c r="AY2652" s="2"/>
      <c r="AZ2652" s="2"/>
      <c r="BA2652" s="2"/>
      <c r="BB2652" s="2"/>
    </row>
    <row r="2653">
      <c r="A2653" s="2"/>
      <c r="B2653" s="2" t="str">
        <f>IFERROR(__xludf.DUMMYFUNCTION("""COMPUTED_VALUE"""),"")</f>
        <v/>
      </c>
      <c r="C2653" s="2"/>
      <c r="D2653" s="71"/>
      <c r="E2653" s="71" t="str">
        <f>IFERROR(__xludf.DUMMYFUNCTION("""COMPUTED_VALUE""")," ")</f>
        <v> </v>
      </c>
      <c r="F2653" s="2"/>
      <c r="G2653" s="2"/>
      <c r="H2653" s="2"/>
      <c r="I2653" s="72"/>
      <c r="J2653" s="72"/>
      <c r="K2653" s="72"/>
      <c r="L2653" s="72"/>
      <c r="M2653" s="2"/>
      <c r="N2653" s="2"/>
      <c r="O2653" s="2"/>
      <c r="P2653" s="2"/>
      <c r="Q2653" s="2"/>
      <c r="R2653" s="2"/>
      <c r="S2653" s="2"/>
      <c r="T2653" s="2"/>
      <c r="U2653" s="2"/>
      <c r="V2653" s="2"/>
      <c r="W2653" s="2"/>
      <c r="X2653" s="2"/>
      <c r="Y2653" s="2"/>
      <c r="Z2653" s="2"/>
      <c r="AA2653" s="2"/>
      <c r="AB2653" s="2"/>
      <c r="AC2653" s="2"/>
      <c r="AD2653" s="2"/>
      <c r="AE2653" s="2"/>
      <c r="AF2653" s="2"/>
      <c r="AG2653" s="2"/>
      <c r="AH2653" s="2"/>
      <c r="AI2653" s="2"/>
      <c r="AJ2653" s="2" t="str">
        <f>IFERROR(__xludf.DUMMYFUNCTION("""COMPUTED_VALUE"""),"")</f>
        <v/>
      </c>
      <c r="AK2653" s="2" t="str">
        <f>IFERROR(__xludf.DUMMYFUNCTION("""COMPUTED_VALUE"""),"")</f>
        <v/>
      </c>
      <c r="AL2653" s="2" t="str">
        <f>IFERROR(__xludf.DUMMYFUNCTION("""COMPUTED_VALUE"""),"")</f>
        <v/>
      </c>
      <c r="AM2653" s="2" t="str">
        <f>IFERROR(__xludf.DUMMYFUNCTION("""COMPUTED_VALUE"""),"")</f>
        <v/>
      </c>
      <c r="AN2653" s="2" t="str">
        <f>IFERROR(__xludf.DUMMYFUNCTION("""COMPUTED_VALUE""")," ")</f>
        <v> </v>
      </c>
      <c r="AO2653" s="2" t="str">
        <f>IFERROR(__xludf.DUMMYFUNCTION("""COMPUTED_VALUE""")," ")</f>
        <v> </v>
      </c>
      <c r="AP2653" s="2" t="str">
        <f>IFERROR(__xludf.DUMMYFUNCTION("""COMPUTED_VALUE"""),"")</f>
        <v/>
      </c>
      <c r="AQ2653" s="2"/>
      <c r="AR2653" s="2"/>
      <c r="AS2653" s="2"/>
      <c r="AT2653" s="2"/>
      <c r="AU2653" s="2"/>
      <c r="AV2653" s="2"/>
      <c r="AW2653" s="2"/>
      <c r="AX2653" s="2"/>
      <c r="AY2653" s="2"/>
      <c r="AZ2653" s="2"/>
      <c r="BA2653" s="2"/>
      <c r="BB2653" s="2"/>
    </row>
    <row r="2654">
      <c r="A2654" s="2"/>
      <c r="B2654" s="2" t="str">
        <f>IFERROR(__xludf.DUMMYFUNCTION("""COMPUTED_VALUE"""),"")</f>
        <v/>
      </c>
      <c r="C2654" s="2"/>
      <c r="D2654" s="71"/>
      <c r="E2654" s="71" t="str">
        <f>IFERROR(__xludf.DUMMYFUNCTION("""COMPUTED_VALUE""")," ")</f>
        <v> </v>
      </c>
      <c r="F2654" s="2"/>
      <c r="G2654" s="2"/>
      <c r="H2654" s="2"/>
      <c r="I2654" s="72"/>
      <c r="J2654" s="72"/>
      <c r="K2654" s="72"/>
      <c r="L2654" s="72"/>
      <c r="M2654" s="2"/>
      <c r="N2654" s="2"/>
      <c r="O2654" s="2"/>
      <c r="P2654" s="2"/>
      <c r="Q2654" s="2"/>
      <c r="R2654" s="2"/>
      <c r="S2654" s="2"/>
      <c r="T2654" s="2"/>
      <c r="U2654" s="2"/>
      <c r="V2654" s="2"/>
      <c r="W2654" s="2"/>
      <c r="X2654" s="2"/>
      <c r="Y2654" s="2"/>
      <c r="Z2654" s="2"/>
      <c r="AA2654" s="2"/>
      <c r="AB2654" s="2"/>
      <c r="AC2654" s="2"/>
      <c r="AD2654" s="2"/>
      <c r="AE2654" s="2"/>
      <c r="AF2654" s="2"/>
      <c r="AG2654" s="2"/>
      <c r="AH2654" s="2"/>
      <c r="AI2654" s="2"/>
      <c r="AJ2654" s="2" t="str">
        <f>IFERROR(__xludf.DUMMYFUNCTION("""COMPUTED_VALUE"""),"")</f>
        <v/>
      </c>
      <c r="AK2654" s="2" t="str">
        <f>IFERROR(__xludf.DUMMYFUNCTION("""COMPUTED_VALUE"""),"")</f>
        <v/>
      </c>
      <c r="AL2654" s="2" t="str">
        <f>IFERROR(__xludf.DUMMYFUNCTION("""COMPUTED_VALUE"""),"")</f>
        <v/>
      </c>
      <c r="AM2654" s="2" t="str">
        <f>IFERROR(__xludf.DUMMYFUNCTION("""COMPUTED_VALUE"""),"")</f>
        <v/>
      </c>
      <c r="AN2654" s="2" t="str">
        <f>IFERROR(__xludf.DUMMYFUNCTION("""COMPUTED_VALUE""")," ")</f>
        <v> </v>
      </c>
      <c r="AO2654" s="2" t="str">
        <f>IFERROR(__xludf.DUMMYFUNCTION("""COMPUTED_VALUE""")," ")</f>
        <v> </v>
      </c>
      <c r="AP2654" s="2" t="str">
        <f>IFERROR(__xludf.DUMMYFUNCTION("""COMPUTED_VALUE"""),"")</f>
        <v/>
      </c>
      <c r="AQ2654" s="2"/>
      <c r="AR2654" s="2"/>
      <c r="AS2654" s="2"/>
      <c r="AT2654" s="2"/>
      <c r="AU2654" s="2"/>
      <c r="AV2654" s="2"/>
      <c r="AW2654" s="2"/>
      <c r="AX2654" s="2"/>
      <c r="AY2654" s="2"/>
      <c r="AZ2654" s="2"/>
      <c r="BA2654" s="2"/>
      <c r="BB2654" s="2"/>
    </row>
    <row r="2655">
      <c r="A2655" s="2"/>
      <c r="B2655" s="2" t="str">
        <f>IFERROR(__xludf.DUMMYFUNCTION("""COMPUTED_VALUE"""),"")</f>
        <v/>
      </c>
      <c r="C2655" s="2"/>
      <c r="D2655" s="71"/>
      <c r="E2655" s="71" t="str">
        <f>IFERROR(__xludf.DUMMYFUNCTION("""COMPUTED_VALUE""")," ")</f>
        <v> </v>
      </c>
      <c r="F2655" s="2"/>
      <c r="G2655" s="2"/>
      <c r="H2655" s="2"/>
      <c r="I2655" s="72"/>
      <c r="J2655" s="72"/>
      <c r="K2655" s="72"/>
      <c r="L2655" s="72"/>
      <c r="M2655" s="2"/>
      <c r="N2655" s="2"/>
      <c r="O2655" s="2"/>
      <c r="P2655" s="2"/>
      <c r="Q2655" s="2"/>
      <c r="R2655" s="2"/>
      <c r="S2655" s="2"/>
      <c r="T2655" s="2"/>
      <c r="U2655" s="2"/>
      <c r="V2655" s="2"/>
      <c r="W2655" s="2"/>
      <c r="X2655" s="2"/>
      <c r="Y2655" s="2"/>
      <c r="Z2655" s="2"/>
      <c r="AA2655" s="2"/>
      <c r="AB2655" s="2"/>
      <c r="AC2655" s="2"/>
      <c r="AD2655" s="2"/>
      <c r="AE2655" s="2"/>
      <c r="AF2655" s="2"/>
      <c r="AG2655" s="2"/>
      <c r="AH2655" s="2"/>
      <c r="AI2655" s="2"/>
      <c r="AJ2655" s="2" t="str">
        <f>IFERROR(__xludf.DUMMYFUNCTION("""COMPUTED_VALUE"""),"")</f>
        <v/>
      </c>
      <c r="AK2655" s="2" t="str">
        <f>IFERROR(__xludf.DUMMYFUNCTION("""COMPUTED_VALUE"""),"")</f>
        <v/>
      </c>
      <c r="AL2655" s="2" t="str">
        <f>IFERROR(__xludf.DUMMYFUNCTION("""COMPUTED_VALUE"""),"")</f>
        <v/>
      </c>
      <c r="AM2655" s="2" t="str">
        <f>IFERROR(__xludf.DUMMYFUNCTION("""COMPUTED_VALUE"""),"")</f>
        <v/>
      </c>
      <c r="AN2655" s="2" t="str">
        <f>IFERROR(__xludf.DUMMYFUNCTION("""COMPUTED_VALUE""")," ")</f>
        <v> </v>
      </c>
      <c r="AO2655" s="2" t="str">
        <f>IFERROR(__xludf.DUMMYFUNCTION("""COMPUTED_VALUE""")," ")</f>
        <v> </v>
      </c>
      <c r="AP2655" s="2" t="str">
        <f>IFERROR(__xludf.DUMMYFUNCTION("""COMPUTED_VALUE"""),"")</f>
        <v/>
      </c>
      <c r="AQ2655" s="2"/>
      <c r="AR2655" s="2"/>
      <c r="AS2655" s="2"/>
      <c r="AT2655" s="2"/>
      <c r="AU2655" s="2"/>
      <c r="AV2655" s="2"/>
      <c r="AW2655" s="2"/>
      <c r="AX2655" s="2"/>
      <c r="AY2655" s="2"/>
      <c r="AZ2655" s="2"/>
      <c r="BA2655" s="2"/>
      <c r="BB2655" s="2"/>
    </row>
    <row r="2656">
      <c r="A2656" s="2"/>
      <c r="B2656" s="2" t="str">
        <f>IFERROR(__xludf.DUMMYFUNCTION("""COMPUTED_VALUE"""),"")</f>
        <v/>
      </c>
      <c r="C2656" s="2"/>
      <c r="D2656" s="71"/>
      <c r="E2656" s="71" t="str">
        <f>IFERROR(__xludf.DUMMYFUNCTION("""COMPUTED_VALUE""")," ")</f>
        <v> </v>
      </c>
      <c r="F2656" s="2"/>
      <c r="G2656" s="2"/>
      <c r="H2656" s="2"/>
      <c r="I2656" s="72"/>
      <c r="J2656" s="72"/>
      <c r="K2656" s="72"/>
      <c r="L2656" s="72"/>
      <c r="M2656" s="2"/>
      <c r="N2656" s="2"/>
      <c r="O2656" s="2"/>
      <c r="P2656" s="2"/>
      <c r="Q2656" s="2"/>
      <c r="R2656" s="2"/>
      <c r="S2656" s="2"/>
      <c r="T2656" s="2"/>
      <c r="U2656" s="2"/>
      <c r="V2656" s="2"/>
      <c r="W2656" s="2"/>
      <c r="X2656" s="2"/>
      <c r="Y2656" s="2"/>
      <c r="Z2656" s="2"/>
      <c r="AA2656" s="2"/>
      <c r="AB2656" s="2"/>
      <c r="AC2656" s="2"/>
      <c r="AD2656" s="2"/>
      <c r="AE2656" s="2"/>
      <c r="AF2656" s="2"/>
      <c r="AG2656" s="2"/>
      <c r="AH2656" s="2"/>
      <c r="AI2656" s="2"/>
      <c r="AJ2656" s="2" t="str">
        <f>IFERROR(__xludf.DUMMYFUNCTION("""COMPUTED_VALUE"""),"")</f>
        <v/>
      </c>
      <c r="AK2656" s="2" t="str">
        <f>IFERROR(__xludf.DUMMYFUNCTION("""COMPUTED_VALUE"""),"")</f>
        <v/>
      </c>
      <c r="AL2656" s="2" t="str">
        <f>IFERROR(__xludf.DUMMYFUNCTION("""COMPUTED_VALUE"""),"")</f>
        <v/>
      </c>
      <c r="AM2656" s="2" t="str">
        <f>IFERROR(__xludf.DUMMYFUNCTION("""COMPUTED_VALUE"""),"")</f>
        <v/>
      </c>
      <c r="AN2656" s="2" t="str">
        <f>IFERROR(__xludf.DUMMYFUNCTION("""COMPUTED_VALUE""")," ")</f>
        <v> </v>
      </c>
      <c r="AO2656" s="2" t="str">
        <f>IFERROR(__xludf.DUMMYFUNCTION("""COMPUTED_VALUE""")," ")</f>
        <v> </v>
      </c>
      <c r="AP2656" s="2" t="str">
        <f>IFERROR(__xludf.DUMMYFUNCTION("""COMPUTED_VALUE"""),"")</f>
        <v/>
      </c>
      <c r="AQ2656" s="2"/>
      <c r="AR2656" s="2"/>
      <c r="AS2656" s="2"/>
      <c r="AT2656" s="2"/>
      <c r="AU2656" s="2"/>
      <c r="AV2656" s="2"/>
      <c r="AW2656" s="2"/>
      <c r="AX2656" s="2"/>
      <c r="AY2656" s="2"/>
      <c r="AZ2656" s="2"/>
      <c r="BA2656" s="2"/>
      <c r="BB2656" s="2"/>
    </row>
    <row r="2657">
      <c r="A2657" s="2"/>
      <c r="B2657" s="2" t="str">
        <f>IFERROR(__xludf.DUMMYFUNCTION("""COMPUTED_VALUE"""),"")</f>
        <v/>
      </c>
      <c r="C2657" s="2"/>
      <c r="D2657" s="71"/>
      <c r="E2657" s="71" t="str">
        <f>IFERROR(__xludf.DUMMYFUNCTION("""COMPUTED_VALUE""")," ")</f>
        <v> </v>
      </c>
      <c r="F2657" s="2"/>
      <c r="G2657" s="2"/>
      <c r="H2657" s="2"/>
      <c r="I2657" s="72"/>
      <c r="J2657" s="72"/>
      <c r="K2657" s="72"/>
      <c r="L2657" s="72"/>
      <c r="M2657" s="2"/>
      <c r="N2657" s="2"/>
      <c r="O2657" s="2"/>
      <c r="P2657" s="2"/>
      <c r="Q2657" s="2"/>
      <c r="R2657" s="2"/>
      <c r="S2657" s="2"/>
      <c r="T2657" s="2"/>
      <c r="U2657" s="2"/>
      <c r="V2657" s="2"/>
      <c r="W2657" s="2"/>
      <c r="X2657" s="2"/>
      <c r="Y2657" s="2"/>
      <c r="Z2657" s="2"/>
      <c r="AA2657" s="2"/>
      <c r="AB2657" s="2"/>
      <c r="AC2657" s="2"/>
      <c r="AD2657" s="2"/>
      <c r="AE2657" s="2"/>
      <c r="AF2657" s="2"/>
      <c r="AG2657" s="2"/>
      <c r="AH2657" s="2"/>
      <c r="AI2657" s="2"/>
      <c r="AJ2657" s="2" t="str">
        <f>IFERROR(__xludf.DUMMYFUNCTION("""COMPUTED_VALUE"""),"")</f>
        <v/>
      </c>
      <c r="AK2657" s="2" t="str">
        <f>IFERROR(__xludf.DUMMYFUNCTION("""COMPUTED_VALUE"""),"")</f>
        <v/>
      </c>
      <c r="AL2657" s="2" t="str">
        <f>IFERROR(__xludf.DUMMYFUNCTION("""COMPUTED_VALUE"""),"")</f>
        <v/>
      </c>
      <c r="AM2657" s="2" t="str">
        <f>IFERROR(__xludf.DUMMYFUNCTION("""COMPUTED_VALUE"""),"")</f>
        <v/>
      </c>
      <c r="AN2657" s="2" t="str">
        <f>IFERROR(__xludf.DUMMYFUNCTION("""COMPUTED_VALUE""")," ")</f>
        <v> </v>
      </c>
      <c r="AO2657" s="2" t="str">
        <f>IFERROR(__xludf.DUMMYFUNCTION("""COMPUTED_VALUE""")," ")</f>
        <v> </v>
      </c>
      <c r="AP2657" s="2" t="str">
        <f>IFERROR(__xludf.DUMMYFUNCTION("""COMPUTED_VALUE"""),"")</f>
        <v/>
      </c>
      <c r="AQ2657" s="2"/>
      <c r="AR2657" s="2"/>
      <c r="AS2657" s="2"/>
      <c r="AT2657" s="2"/>
      <c r="AU2657" s="2"/>
      <c r="AV2657" s="2"/>
      <c r="AW2657" s="2"/>
      <c r="AX2657" s="2"/>
      <c r="AY2657" s="2"/>
      <c r="AZ2657" s="2"/>
      <c r="BA2657" s="2"/>
      <c r="BB2657" s="2"/>
    </row>
    <row r="2658">
      <c r="A2658" s="2"/>
      <c r="B2658" s="2" t="str">
        <f>IFERROR(__xludf.DUMMYFUNCTION("""COMPUTED_VALUE"""),"")</f>
        <v/>
      </c>
      <c r="C2658" s="2"/>
      <c r="D2658" s="71"/>
      <c r="E2658" s="71" t="str">
        <f>IFERROR(__xludf.DUMMYFUNCTION("""COMPUTED_VALUE""")," ")</f>
        <v> </v>
      </c>
      <c r="F2658" s="2"/>
      <c r="G2658" s="2"/>
      <c r="H2658" s="2"/>
      <c r="I2658" s="72"/>
      <c r="J2658" s="72"/>
      <c r="K2658" s="72"/>
      <c r="L2658" s="72"/>
      <c r="M2658" s="2"/>
      <c r="N2658" s="2"/>
      <c r="O2658" s="2"/>
      <c r="P2658" s="2"/>
      <c r="Q2658" s="2"/>
      <c r="R2658" s="2"/>
      <c r="S2658" s="2"/>
      <c r="T2658" s="2"/>
      <c r="U2658" s="2"/>
      <c r="V2658" s="2"/>
      <c r="W2658" s="2"/>
      <c r="X2658" s="2"/>
      <c r="Y2658" s="2"/>
      <c r="Z2658" s="2"/>
      <c r="AA2658" s="2"/>
      <c r="AB2658" s="2"/>
      <c r="AC2658" s="2"/>
      <c r="AD2658" s="2"/>
      <c r="AE2658" s="2"/>
      <c r="AF2658" s="2"/>
      <c r="AG2658" s="2"/>
      <c r="AH2658" s="2"/>
      <c r="AI2658" s="2"/>
      <c r="AJ2658" s="2" t="str">
        <f>IFERROR(__xludf.DUMMYFUNCTION("""COMPUTED_VALUE"""),"")</f>
        <v/>
      </c>
      <c r="AK2658" s="2" t="str">
        <f>IFERROR(__xludf.DUMMYFUNCTION("""COMPUTED_VALUE"""),"")</f>
        <v/>
      </c>
      <c r="AL2658" s="2" t="str">
        <f>IFERROR(__xludf.DUMMYFUNCTION("""COMPUTED_VALUE"""),"")</f>
        <v/>
      </c>
      <c r="AM2658" s="2" t="str">
        <f>IFERROR(__xludf.DUMMYFUNCTION("""COMPUTED_VALUE"""),"")</f>
        <v/>
      </c>
      <c r="AN2658" s="2" t="str">
        <f>IFERROR(__xludf.DUMMYFUNCTION("""COMPUTED_VALUE""")," ")</f>
        <v> </v>
      </c>
      <c r="AO2658" s="2" t="str">
        <f>IFERROR(__xludf.DUMMYFUNCTION("""COMPUTED_VALUE""")," ")</f>
        <v> </v>
      </c>
      <c r="AP2658" s="2" t="str">
        <f>IFERROR(__xludf.DUMMYFUNCTION("""COMPUTED_VALUE"""),"")</f>
        <v/>
      </c>
      <c r="AQ2658" s="2"/>
      <c r="AR2658" s="2"/>
      <c r="AS2658" s="2"/>
      <c r="AT2658" s="2"/>
      <c r="AU2658" s="2"/>
      <c r="AV2658" s="2"/>
      <c r="AW2658" s="2"/>
      <c r="AX2658" s="2"/>
      <c r="AY2658" s="2"/>
      <c r="AZ2658" s="2"/>
      <c r="BA2658" s="2"/>
      <c r="BB2658" s="2"/>
    </row>
    <row r="2659">
      <c r="A2659" s="2"/>
      <c r="B2659" s="2" t="str">
        <f>IFERROR(__xludf.DUMMYFUNCTION("""COMPUTED_VALUE"""),"")</f>
        <v/>
      </c>
      <c r="C2659" s="2"/>
      <c r="D2659" s="71"/>
      <c r="E2659" s="71" t="str">
        <f>IFERROR(__xludf.DUMMYFUNCTION("""COMPUTED_VALUE""")," ")</f>
        <v> </v>
      </c>
      <c r="F2659" s="2"/>
      <c r="G2659" s="2"/>
      <c r="H2659" s="2"/>
      <c r="I2659" s="72"/>
      <c r="J2659" s="72"/>
      <c r="K2659" s="72"/>
      <c r="L2659" s="72"/>
      <c r="M2659" s="2"/>
      <c r="N2659" s="2"/>
      <c r="O2659" s="2"/>
      <c r="P2659" s="2"/>
      <c r="Q2659" s="2"/>
      <c r="R2659" s="2"/>
      <c r="S2659" s="2"/>
      <c r="T2659" s="2"/>
      <c r="U2659" s="2"/>
      <c r="V2659" s="2"/>
      <c r="W2659" s="2"/>
      <c r="X2659" s="2"/>
      <c r="Y2659" s="2"/>
      <c r="Z2659" s="2"/>
      <c r="AA2659" s="2"/>
      <c r="AB2659" s="2"/>
      <c r="AC2659" s="2"/>
      <c r="AD2659" s="2"/>
      <c r="AE2659" s="2"/>
      <c r="AF2659" s="2"/>
      <c r="AG2659" s="2"/>
      <c r="AH2659" s="2"/>
      <c r="AI2659" s="2"/>
      <c r="AJ2659" s="2" t="str">
        <f>IFERROR(__xludf.DUMMYFUNCTION("""COMPUTED_VALUE"""),"")</f>
        <v/>
      </c>
      <c r="AK2659" s="2" t="str">
        <f>IFERROR(__xludf.DUMMYFUNCTION("""COMPUTED_VALUE"""),"")</f>
        <v/>
      </c>
      <c r="AL2659" s="2" t="str">
        <f>IFERROR(__xludf.DUMMYFUNCTION("""COMPUTED_VALUE"""),"")</f>
        <v/>
      </c>
      <c r="AM2659" s="2" t="str">
        <f>IFERROR(__xludf.DUMMYFUNCTION("""COMPUTED_VALUE"""),"")</f>
        <v/>
      </c>
      <c r="AN2659" s="2" t="str">
        <f>IFERROR(__xludf.DUMMYFUNCTION("""COMPUTED_VALUE""")," ")</f>
        <v> </v>
      </c>
      <c r="AO2659" s="2" t="str">
        <f>IFERROR(__xludf.DUMMYFUNCTION("""COMPUTED_VALUE""")," ")</f>
        <v> </v>
      </c>
      <c r="AP2659" s="2" t="str">
        <f>IFERROR(__xludf.DUMMYFUNCTION("""COMPUTED_VALUE"""),"")</f>
        <v/>
      </c>
      <c r="AQ2659" s="2"/>
      <c r="AR2659" s="2"/>
      <c r="AS2659" s="2"/>
      <c r="AT2659" s="2"/>
      <c r="AU2659" s="2"/>
      <c r="AV2659" s="2"/>
      <c r="AW2659" s="2"/>
      <c r="AX2659" s="2"/>
      <c r="AY2659" s="2"/>
      <c r="AZ2659" s="2"/>
      <c r="BA2659" s="2"/>
      <c r="BB2659" s="2"/>
    </row>
    <row r="2660">
      <c r="A2660" s="2"/>
      <c r="B2660" s="2" t="str">
        <f>IFERROR(__xludf.DUMMYFUNCTION("""COMPUTED_VALUE"""),"")</f>
        <v/>
      </c>
      <c r="C2660" s="2"/>
      <c r="D2660" s="71"/>
      <c r="E2660" s="71" t="str">
        <f>IFERROR(__xludf.DUMMYFUNCTION("""COMPUTED_VALUE""")," ")</f>
        <v> </v>
      </c>
      <c r="F2660" s="2"/>
      <c r="G2660" s="2"/>
      <c r="H2660" s="2"/>
      <c r="I2660" s="72"/>
      <c r="J2660" s="72"/>
      <c r="K2660" s="72"/>
      <c r="L2660" s="72"/>
      <c r="M2660" s="2"/>
      <c r="N2660" s="2"/>
      <c r="O2660" s="2"/>
      <c r="P2660" s="2"/>
      <c r="Q2660" s="2"/>
      <c r="R2660" s="2"/>
      <c r="S2660" s="2"/>
      <c r="T2660" s="2"/>
      <c r="U2660" s="2"/>
      <c r="V2660" s="2"/>
      <c r="W2660" s="2"/>
      <c r="X2660" s="2"/>
      <c r="Y2660" s="2"/>
      <c r="Z2660" s="2"/>
      <c r="AA2660" s="2"/>
      <c r="AB2660" s="2"/>
      <c r="AC2660" s="2"/>
      <c r="AD2660" s="2"/>
      <c r="AE2660" s="2"/>
      <c r="AF2660" s="2"/>
      <c r="AG2660" s="2"/>
      <c r="AH2660" s="2"/>
      <c r="AI2660" s="2"/>
      <c r="AJ2660" s="2" t="str">
        <f>IFERROR(__xludf.DUMMYFUNCTION("""COMPUTED_VALUE"""),"")</f>
        <v/>
      </c>
      <c r="AK2660" s="2" t="str">
        <f>IFERROR(__xludf.DUMMYFUNCTION("""COMPUTED_VALUE"""),"")</f>
        <v/>
      </c>
      <c r="AL2660" s="2" t="str">
        <f>IFERROR(__xludf.DUMMYFUNCTION("""COMPUTED_VALUE"""),"")</f>
        <v/>
      </c>
      <c r="AM2660" s="2" t="str">
        <f>IFERROR(__xludf.DUMMYFUNCTION("""COMPUTED_VALUE"""),"")</f>
        <v/>
      </c>
      <c r="AN2660" s="2" t="str">
        <f>IFERROR(__xludf.DUMMYFUNCTION("""COMPUTED_VALUE""")," ")</f>
        <v> </v>
      </c>
      <c r="AO2660" s="2" t="str">
        <f>IFERROR(__xludf.DUMMYFUNCTION("""COMPUTED_VALUE""")," ")</f>
        <v> </v>
      </c>
      <c r="AP2660" s="2" t="str">
        <f>IFERROR(__xludf.DUMMYFUNCTION("""COMPUTED_VALUE"""),"")</f>
        <v/>
      </c>
      <c r="AQ2660" s="2"/>
      <c r="AR2660" s="2"/>
      <c r="AS2660" s="2"/>
      <c r="AT2660" s="2"/>
      <c r="AU2660" s="2"/>
      <c r="AV2660" s="2"/>
      <c r="AW2660" s="2"/>
      <c r="AX2660" s="2"/>
      <c r="AY2660" s="2"/>
      <c r="AZ2660" s="2"/>
      <c r="BA2660" s="2"/>
      <c r="BB2660" s="2"/>
    </row>
    <row r="2661">
      <c r="A2661" s="2"/>
      <c r="B2661" s="2" t="str">
        <f>IFERROR(__xludf.DUMMYFUNCTION("""COMPUTED_VALUE"""),"")</f>
        <v/>
      </c>
      <c r="C2661" s="2"/>
      <c r="D2661" s="71"/>
      <c r="E2661" s="71" t="str">
        <f>IFERROR(__xludf.DUMMYFUNCTION("""COMPUTED_VALUE""")," ")</f>
        <v> </v>
      </c>
      <c r="F2661" s="2"/>
      <c r="G2661" s="2"/>
      <c r="H2661" s="2"/>
      <c r="I2661" s="72"/>
      <c r="J2661" s="72"/>
      <c r="K2661" s="72"/>
      <c r="L2661" s="72"/>
      <c r="M2661" s="2"/>
      <c r="N2661" s="2"/>
      <c r="O2661" s="2"/>
      <c r="P2661" s="2"/>
      <c r="Q2661" s="2"/>
      <c r="R2661" s="2"/>
      <c r="S2661" s="2"/>
      <c r="T2661" s="2"/>
      <c r="U2661" s="2"/>
      <c r="V2661" s="2"/>
      <c r="W2661" s="2"/>
      <c r="X2661" s="2"/>
      <c r="Y2661" s="2"/>
      <c r="Z2661" s="2"/>
      <c r="AA2661" s="2"/>
      <c r="AB2661" s="2"/>
      <c r="AC2661" s="2"/>
      <c r="AD2661" s="2"/>
      <c r="AE2661" s="2"/>
      <c r="AF2661" s="2"/>
      <c r="AG2661" s="2"/>
      <c r="AH2661" s="2"/>
      <c r="AI2661" s="2"/>
      <c r="AJ2661" s="2" t="str">
        <f>IFERROR(__xludf.DUMMYFUNCTION("""COMPUTED_VALUE"""),"")</f>
        <v/>
      </c>
      <c r="AK2661" s="2" t="str">
        <f>IFERROR(__xludf.DUMMYFUNCTION("""COMPUTED_VALUE"""),"")</f>
        <v/>
      </c>
      <c r="AL2661" s="2" t="str">
        <f>IFERROR(__xludf.DUMMYFUNCTION("""COMPUTED_VALUE"""),"")</f>
        <v/>
      </c>
      <c r="AM2661" s="2" t="str">
        <f>IFERROR(__xludf.DUMMYFUNCTION("""COMPUTED_VALUE"""),"")</f>
        <v/>
      </c>
      <c r="AN2661" s="2" t="str">
        <f>IFERROR(__xludf.DUMMYFUNCTION("""COMPUTED_VALUE""")," ")</f>
        <v> </v>
      </c>
      <c r="AO2661" s="2" t="str">
        <f>IFERROR(__xludf.DUMMYFUNCTION("""COMPUTED_VALUE""")," ")</f>
        <v> </v>
      </c>
      <c r="AP2661" s="2" t="str">
        <f>IFERROR(__xludf.DUMMYFUNCTION("""COMPUTED_VALUE"""),"")</f>
        <v/>
      </c>
      <c r="AQ2661" s="2"/>
      <c r="AR2661" s="2"/>
      <c r="AS2661" s="2"/>
      <c r="AT2661" s="2"/>
      <c r="AU2661" s="2"/>
      <c r="AV2661" s="2"/>
      <c r="AW2661" s="2"/>
      <c r="AX2661" s="2"/>
      <c r="AY2661" s="2"/>
      <c r="AZ2661" s="2"/>
      <c r="BA2661" s="2"/>
      <c r="BB2661" s="2"/>
    </row>
    <row r="2662">
      <c r="A2662" s="2"/>
      <c r="B2662" s="2" t="str">
        <f>IFERROR(__xludf.DUMMYFUNCTION("""COMPUTED_VALUE"""),"")</f>
        <v/>
      </c>
      <c r="C2662" s="2"/>
      <c r="D2662" s="71"/>
      <c r="E2662" s="71" t="str">
        <f>IFERROR(__xludf.DUMMYFUNCTION("""COMPUTED_VALUE""")," ")</f>
        <v> </v>
      </c>
      <c r="F2662" s="2"/>
      <c r="G2662" s="2"/>
      <c r="H2662" s="2"/>
      <c r="I2662" s="72"/>
      <c r="J2662" s="72"/>
      <c r="K2662" s="72"/>
      <c r="L2662" s="72"/>
      <c r="M2662" s="2"/>
      <c r="N2662" s="2"/>
      <c r="O2662" s="2"/>
      <c r="P2662" s="2"/>
      <c r="Q2662" s="2"/>
      <c r="R2662" s="2"/>
      <c r="S2662" s="2"/>
      <c r="T2662" s="2"/>
      <c r="U2662" s="2"/>
      <c r="V2662" s="2"/>
      <c r="W2662" s="2"/>
      <c r="X2662" s="2"/>
      <c r="Y2662" s="2"/>
      <c r="Z2662" s="2"/>
      <c r="AA2662" s="2"/>
      <c r="AB2662" s="2"/>
      <c r="AC2662" s="2"/>
      <c r="AD2662" s="2"/>
      <c r="AE2662" s="2"/>
      <c r="AF2662" s="2"/>
      <c r="AG2662" s="2"/>
      <c r="AH2662" s="2"/>
      <c r="AI2662" s="2"/>
      <c r="AJ2662" s="2" t="str">
        <f>IFERROR(__xludf.DUMMYFUNCTION("""COMPUTED_VALUE"""),"")</f>
        <v/>
      </c>
      <c r="AK2662" s="2" t="str">
        <f>IFERROR(__xludf.DUMMYFUNCTION("""COMPUTED_VALUE"""),"")</f>
        <v/>
      </c>
      <c r="AL2662" s="2" t="str">
        <f>IFERROR(__xludf.DUMMYFUNCTION("""COMPUTED_VALUE"""),"")</f>
        <v/>
      </c>
      <c r="AM2662" s="2" t="str">
        <f>IFERROR(__xludf.DUMMYFUNCTION("""COMPUTED_VALUE"""),"")</f>
        <v/>
      </c>
      <c r="AN2662" s="2" t="str">
        <f>IFERROR(__xludf.DUMMYFUNCTION("""COMPUTED_VALUE""")," ")</f>
        <v> </v>
      </c>
      <c r="AO2662" s="2" t="str">
        <f>IFERROR(__xludf.DUMMYFUNCTION("""COMPUTED_VALUE""")," ")</f>
        <v> </v>
      </c>
      <c r="AP2662" s="2" t="str">
        <f>IFERROR(__xludf.DUMMYFUNCTION("""COMPUTED_VALUE"""),"")</f>
        <v/>
      </c>
      <c r="AQ2662" s="2"/>
      <c r="AR2662" s="2"/>
      <c r="AS2662" s="2"/>
      <c r="AT2662" s="2"/>
      <c r="AU2662" s="2"/>
      <c r="AV2662" s="2"/>
      <c r="AW2662" s="2"/>
      <c r="AX2662" s="2"/>
      <c r="AY2662" s="2"/>
      <c r="AZ2662" s="2"/>
      <c r="BA2662" s="2"/>
      <c r="BB2662" s="2"/>
    </row>
    <row r="2663">
      <c r="A2663" s="2"/>
      <c r="B2663" s="2" t="str">
        <f>IFERROR(__xludf.DUMMYFUNCTION("""COMPUTED_VALUE"""),"")</f>
        <v/>
      </c>
      <c r="C2663" s="2"/>
      <c r="D2663" s="71"/>
      <c r="E2663" s="71" t="str">
        <f>IFERROR(__xludf.DUMMYFUNCTION("""COMPUTED_VALUE""")," ")</f>
        <v> </v>
      </c>
      <c r="F2663" s="2"/>
      <c r="G2663" s="2"/>
      <c r="H2663" s="2"/>
      <c r="I2663" s="72"/>
      <c r="J2663" s="72"/>
      <c r="K2663" s="72"/>
      <c r="L2663" s="72"/>
      <c r="M2663" s="2"/>
      <c r="N2663" s="2"/>
      <c r="O2663" s="2"/>
      <c r="P2663" s="2"/>
      <c r="Q2663" s="2"/>
      <c r="R2663" s="2"/>
      <c r="S2663" s="2"/>
      <c r="T2663" s="2"/>
      <c r="U2663" s="2"/>
      <c r="V2663" s="2"/>
      <c r="W2663" s="2"/>
      <c r="X2663" s="2"/>
      <c r="Y2663" s="2"/>
      <c r="Z2663" s="2"/>
      <c r="AA2663" s="2"/>
      <c r="AB2663" s="2"/>
      <c r="AC2663" s="2"/>
      <c r="AD2663" s="2"/>
      <c r="AE2663" s="2"/>
      <c r="AF2663" s="2"/>
      <c r="AG2663" s="2"/>
      <c r="AH2663" s="2"/>
      <c r="AI2663" s="2"/>
      <c r="AJ2663" s="2" t="str">
        <f>IFERROR(__xludf.DUMMYFUNCTION("""COMPUTED_VALUE"""),"")</f>
        <v/>
      </c>
      <c r="AK2663" s="2" t="str">
        <f>IFERROR(__xludf.DUMMYFUNCTION("""COMPUTED_VALUE"""),"")</f>
        <v/>
      </c>
      <c r="AL2663" s="2" t="str">
        <f>IFERROR(__xludf.DUMMYFUNCTION("""COMPUTED_VALUE"""),"")</f>
        <v/>
      </c>
      <c r="AM2663" s="2" t="str">
        <f>IFERROR(__xludf.DUMMYFUNCTION("""COMPUTED_VALUE"""),"")</f>
        <v/>
      </c>
      <c r="AN2663" s="2" t="str">
        <f>IFERROR(__xludf.DUMMYFUNCTION("""COMPUTED_VALUE""")," ")</f>
        <v> </v>
      </c>
      <c r="AO2663" s="2" t="str">
        <f>IFERROR(__xludf.DUMMYFUNCTION("""COMPUTED_VALUE""")," ")</f>
        <v> </v>
      </c>
      <c r="AP2663" s="2" t="str">
        <f>IFERROR(__xludf.DUMMYFUNCTION("""COMPUTED_VALUE"""),"")</f>
        <v/>
      </c>
      <c r="AQ2663" s="2"/>
      <c r="AR2663" s="2"/>
      <c r="AS2663" s="2"/>
      <c r="AT2663" s="2"/>
      <c r="AU2663" s="2"/>
      <c r="AV2663" s="2"/>
      <c r="AW2663" s="2"/>
      <c r="AX2663" s="2"/>
      <c r="AY2663" s="2"/>
      <c r="AZ2663" s="2"/>
      <c r="BA2663" s="2"/>
      <c r="BB2663" s="2"/>
    </row>
    <row r="2664">
      <c r="A2664" s="2"/>
      <c r="B2664" s="2" t="str">
        <f>IFERROR(__xludf.DUMMYFUNCTION("""COMPUTED_VALUE"""),"")</f>
        <v/>
      </c>
      <c r="C2664" s="2"/>
      <c r="D2664" s="71"/>
      <c r="E2664" s="71" t="str">
        <f>IFERROR(__xludf.DUMMYFUNCTION("""COMPUTED_VALUE""")," ")</f>
        <v> </v>
      </c>
      <c r="F2664" s="2"/>
      <c r="G2664" s="2"/>
      <c r="H2664" s="2"/>
      <c r="I2664" s="72"/>
      <c r="J2664" s="72"/>
      <c r="K2664" s="72"/>
      <c r="L2664" s="72"/>
      <c r="M2664" s="2"/>
      <c r="N2664" s="2"/>
      <c r="O2664" s="2"/>
      <c r="P2664" s="2"/>
      <c r="Q2664" s="2"/>
      <c r="R2664" s="2"/>
      <c r="S2664" s="2"/>
      <c r="T2664" s="2"/>
      <c r="U2664" s="2"/>
      <c r="V2664" s="2"/>
      <c r="W2664" s="2"/>
      <c r="X2664" s="2"/>
      <c r="Y2664" s="2"/>
      <c r="Z2664" s="2"/>
      <c r="AA2664" s="2"/>
      <c r="AB2664" s="2"/>
      <c r="AC2664" s="2"/>
      <c r="AD2664" s="2"/>
      <c r="AE2664" s="2"/>
      <c r="AF2664" s="2"/>
      <c r="AG2664" s="2"/>
      <c r="AH2664" s="2"/>
      <c r="AI2664" s="2"/>
      <c r="AJ2664" s="2" t="str">
        <f>IFERROR(__xludf.DUMMYFUNCTION("""COMPUTED_VALUE"""),"")</f>
        <v/>
      </c>
      <c r="AK2664" s="2" t="str">
        <f>IFERROR(__xludf.DUMMYFUNCTION("""COMPUTED_VALUE"""),"")</f>
        <v/>
      </c>
      <c r="AL2664" s="2" t="str">
        <f>IFERROR(__xludf.DUMMYFUNCTION("""COMPUTED_VALUE"""),"")</f>
        <v/>
      </c>
      <c r="AM2664" s="2" t="str">
        <f>IFERROR(__xludf.DUMMYFUNCTION("""COMPUTED_VALUE"""),"")</f>
        <v/>
      </c>
      <c r="AN2664" s="2" t="str">
        <f>IFERROR(__xludf.DUMMYFUNCTION("""COMPUTED_VALUE""")," ")</f>
        <v> </v>
      </c>
      <c r="AO2664" s="2" t="str">
        <f>IFERROR(__xludf.DUMMYFUNCTION("""COMPUTED_VALUE""")," ")</f>
        <v> </v>
      </c>
      <c r="AP2664" s="2" t="str">
        <f>IFERROR(__xludf.DUMMYFUNCTION("""COMPUTED_VALUE"""),"")</f>
        <v/>
      </c>
      <c r="AQ2664" s="2"/>
      <c r="AR2664" s="2"/>
      <c r="AS2664" s="2"/>
      <c r="AT2664" s="2"/>
      <c r="AU2664" s="2"/>
      <c r="AV2664" s="2"/>
      <c r="AW2664" s="2"/>
      <c r="AX2664" s="2"/>
      <c r="AY2664" s="2"/>
      <c r="AZ2664" s="2"/>
      <c r="BA2664" s="2"/>
      <c r="BB2664" s="2"/>
    </row>
    <row r="2665">
      <c r="A2665" s="2"/>
      <c r="B2665" s="2" t="str">
        <f>IFERROR(__xludf.DUMMYFUNCTION("""COMPUTED_VALUE"""),"")</f>
        <v/>
      </c>
      <c r="C2665" s="2"/>
      <c r="D2665" s="71"/>
      <c r="E2665" s="71" t="str">
        <f>IFERROR(__xludf.DUMMYFUNCTION("""COMPUTED_VALUE""")," ")</f>
        <v> </v>
      </c>
      <c r="F2665" s="2"/>
      <c r="G2665" s="2"/>
      <c r="H2665" s="2"/>
      <c r="I2665" s="72"/>
      <c r="J2665" s="72"/>
      <c r="K2665" s="72"/>
      <c r="L2665" s="72"/>
      <c r="M2665" s="2"/>
      <c r="N2665" s="2"/>
      <c r="O2665" s="2"/>
      <c r="P2665" s="2"/>
      <c r="Q2665" s="2"/>
      <c r="R2665" s="2"/>
      <c r="S2665" s="2"/>
      <c r="T2665" s="2"/>
      <c r="U2665" s="2"/>
      <c r="V2665" s="2"/>
      <c r="W2665" s="2"/>
      <c r="X2665" s="2"/>
      <c r="Y2665" s="2"/>
      <c r="Z2665" s="2"/>
      <c r="AA2665" s="2"/>
      <c r="AB2665" s="2"/>
      <c r="AC2665" s="2"/>
      <c r="AD2665" s="2"/>
      <c r="AE2665" s="2"/>
      <c r="AF2665" s="2"/>
      <c r="AG2665" s="2"/>
      <c r="AH2665" s="2"/>
      <c r="AI2665" s="2"/>
      <c r="AJ2665" s="2" t="str">
        <f>IFERROR(__xludf.DUMMYFUNCTION("""COMPUTED_VALUE"""),"")</f>
        <v/>
      </c>
      <c r="AK2665" s="2" t="str">
        <f>IFERROR(__xludf.DUMMYFUNCTION("""COMPUTED_VALUE"""),"")</f>
        <v/>
      </c>
      <c r="AL2665" s="2" t="str">
        <f>IFERROR(__xludf.DUMMYFUNCTION("""COMPUTED_VALUE"""),"")</f>
        <v/>
      </c>
      <c r="AM2665" s="2" t="str">
        <f>IFERROR(__xludf.DUMMYFUNCTION("""COMPUTED_VALUE"""),"")</f>
        <v/>
      </c>
      <c r="AN2665" s="2" t="str">
        <f>IFERROR(__xludf.DUMMYFUNCTION("""COMPUTED_VALUE""")," ")</f>
        <v> </v>
      </c>
      <c r="AO2665" s="2" t="str">
        <f>IFERROR(__xludf.DUMMYFUNCTION("""COMPUTED_VALUE""")," ")</f>
        <v> </v>
      </c>
      <c r="AP2665" s="2" t="str">
        <f>IFERROR(__xludf.DUMMYFUNCTION("""COMPUTED_VALUE"""),"")</f>
        <v/>
      </c>
      <c r="AQ2665" s="2"/>
      <c r="AR2665" s="2"/>
      <c r="AS2665" s="2"/>
      <c r="AT2665" s="2"/>
      <c r="AU2665" s="2"/>
      <c r="AV2665" s="2"/>
      <c r="AW2665" s="2"/>
      <c r="AX2665" s="2"/>
      <c r="AY2665" s="2"/>
      <c r="AZ2665" s="2"/>
      <c r="BA2665" s="2"/>
      <c r="BB2665" s="2"/>
    </row>
    <row r="2666">
      <c r="A2666" s="2"/>
      <c r="B2666" s="2" t="str">
        <f>IFERROR(__xludf.DUMMYFUNCTION("""COMPUTED_VALUE"""),"")</f>
        <v/>
      </c>
      <c r="C2666" s="2"/>
      <c r="D2666" s="71"/>
      <c r="E2666" s="71" t="str">
        <f>IFERROR(__xludf.DUMMYFUNCTION("""COMPUTED_VALUE""")," ")</f>
        <v> </v>
      </c>
      <c r="F2666" s="2"/>
      <c r="G2666" s="2"/>
      <c r="H2666" s="2"/>
      <c r="I2666" s="72"/>
      <c r="J2666" s="72"/>
      <c r="K2666" s="72"/>
      <c r="L2666" s="72"/>
      <c r="M2666" s="2"/>
      <c r="N2666" s="2"/>
      <c r="O2666" s="2"/>
      <c r="P2666" s="2"/>
      <c r="Q2666" s="2"/>
      <c r="R2666" s="2"/>
      <c r="S2666" s="2"/>
      <c r="T2666" s="2"/>
      <c r="U2666" s="2"/>
      <c r="V2666" s="2"/>
      <c r="W2666" s="2"/>
      <c r="X2666" s="2"/>
      <c r="Y2666" s="2"/>
      <c r="Z2666" s="2"/>
      <c r="AA2666" s="2"/>
      <c r="AB2666" s="2"/>
      <c r="AC2666" s="2"/>
      <c r="AD2666" s="2"/>
      <c r="AE2666" s="2"/>
      <c r="AF2666" s="2"/>
      <c r="AG2666" s="2"/>
      <c r="AH2666" s="2"/>
      <c r="AI2666" s="2"/>
      <c r="AJ2666" s="2" t="str">
        <f>IFERROR(__xludf.DUMMYFUNCTION("""COMPUTED_VALUE"""),"")</f>
        <v/>
      </c>
      <c r="AK2666" s="2" t="str">
        <f>IFERROR(__xludf.DUMMYFUNCTION("""COMPUTED_VALUE"""),"")</f>
        <v/>
      </c>
      <c r="AL2666" s="2" t="str">
        <f>IFERROR(__xludf.DUMMYFUNCTION("""COMPUTED_VALUE"""),"")</f>
        <v/>
      </c>
      <c r="AM2666" s="2" t="str">
        <f>IFERROR(__xludf.DUMMYFUNCTION("""COMPUTED_VALUE"""),"")</f>
        <v/>
      </c>
      <c r="AN2666" s="2" t="str">
        <f>IFERROR(__xludf.DUMMYFUNCTION("""COMPUTED_VALUE""")," ")</f>
        <v> </v>
      </c>
      <c r="AO2666" s="2" t="str">
        <f>IFERROR(__xludf.DUMMYFUNCTION("""COMPUTED_VALUE""")," ")</f>
        <v> </v>
      </c>
      <c r="AP2666" s="2" t="str">
        <f>IFERROR(__xludf.DUMMYFUNCTION("""COMPUTED_VALUE"""),"")</f>
        <v/>
      </c>
      <c r="AQ2666" s="2"/>
      <c r="AR2666" s="2"/>
      <c r="AS2666" s="2"/>
      <c r="AT2666" s="2"/>
      <c r="AU2666" s="2"/>
      <c r="AV2666" s="2"/>
      <c r="AW2666" s="2"/>
      <c r="AX2666" s="2"/>
      <c r="AY2666" s="2"/>
      <c r="AZ2666" s="2"/>
      <c r="BA2666" s="2"/>
      <c r="BB2666" s="2"/>
    </row>
    <row r="2667">
      <c r="A2667" s="2"/>
      <c r="B2667" s="2" t="str">
        <f>IFERROR(__xludf.DUMMYFUNCTION("""COMPUTED_VALUE"""),"")</f>
        <v/>
      </c>
      <c r="C2667" s="2"/>
      <c r="D2667" s="71"/>
      <c r="E2667" s="71" t="str">
        <f>IFERROR(__xludf.DUMMYFUNCTION("""COMPUTED_VALUE""")," ")</f>
        <v> </v>
      </c>
      <c r="F2667" s="2"/>
      <c r="G2667" s="2"/>
      <c r="H2667" s="2"/>
      <c r="I2667" s="72"/>
      <c r="J2667" s="72"/>
      <c r="K2667" s="72"/>
      <c r="L2667" s="72"/>
      <c r="M2667" s="2"/>
      <c r="N2667" s="2"/>
      <c r="O2667" s="2"/>
      <c r="P2667" s="2"/>
      <c r="Q2667" s="2"/>
      <c r="R2667" s="2"/>
      <c r="S2667" s="2"/>
      <c r="T2667" s="2"/>
      <c r="U2667" s="2"/>
      <c r="V2667" s="2"/>
      <c r="W2667" s="2"/>
      <c r="X2667" s="2"/>
      <c r="Y2667" s="2"/>
      <c r="Z2667" s="2"/>
      <c r="AA2667" s="2"/>
      <c r="AB2667" s="2"/>
      <c r="AC2667" s="2"/>
      <c r="AD2667" s="2"/>
      <c r="AE2667" s="2"/>
      <c r="AF2667" s="2"/>
      <c r="AG2667" s="2"/>
      <c r="AH2667" s="2"/>
      <c r="AI2667" s="2"/>
      <c r="AJ2667" s="2" t="str">
        <f>IFERROR(__xludf.DUMMYFUNCTION("""COMPUTED_VALUE"""),"")</f>
        <v/>
      </c>
      <c r="AK2667" s="2" t="str">
        <f>IFERROR(__xludf.DUMMYFUNCTION("""COMPUTED_VALUE"""),"")</f>
        <v/>
      </c>
      <c r="AL2667" s="2" t="str">
        <f>IFERROR(__xludf.DUMMYFUNCTION("""COMPUTED_VALUE"""),"")</f>
        <v/>
      </c>
      <c r="AM2667" s="2" t="str">
        <f>IFERROR(__xludf.DUMMYFUNCTION("""COMPUTED_VALUE"""),"")</f>
        <v/>
      </c>
      <c r="AN2667" s="2" t="str">
        <f>IFERROR(__xludf.DUMMYFUNCTION("""COMPUTED_VALUE""")," ")</f>
        <v> </v>
      </c>
      <c r="AO2667" s="2" t="str">
        <f>IFERROR(__xludf.DUMMYFUNCTION("""COMPUTED_VALUE""")," ")</f>
        <v> </v>
      </c>
      <c r="AP2667" s="2" t="str">
        <f>IFERROR(__xludf.DUMMYFUNCTION("""COMPUTED_VALUE"""),"")</f>
        <v/>
      </c>
      <c r="AQ2667" s="2"/>
      <c r="AR2667" s="2"/>
      <c r="AS2667" s="2"/>
      <c r="AT2667" s="2"/>
      <c r="AU2667" s="2"/>
      <c r="AV2667" s="2"/>
      <c r="AW2667" s="2"/>
      <c r="AX2667" s="2"/>
      <c r="AY2667" s="2"/>
      <c r="AZ2667" s="2"/>
      <c r="BA2667" s="2"/>
      <c r="BB2667" s="2"/>
    </row>
    <row r="2668">
      <c r="A2668" s="2"/>
      <c r="B2668" s="2" t="str">
        <f>IFERROR(__xludf.DUMMYFUNCTION("""COMPUTED_VALUE"""),"")</f>
        <v/>
      </c>
      <c r="C2668" s="2"/>
      <c r="D2668" s="71"/>
      <c r="E2668" s="71" t="str">
        <f>IFERROR(__xludf.DUMMYFUNCTION("""COMPUTED_VALUE""")," ")</f>
        <v> </v>
      </c>
      <c r="F2668" s="2"/>
      <c r="G2668" s="2"/>
      <c r="H2668" s="2"/>
      <c r="I2668" s="72"/>
      <c r="J2668" s="72"/>
      <c r="K2668" s="72"/>
      <c r="L2668" s="72"/>
      <c r="M2668" s="2"/>
      <c r="N2668" s="2"/>
      <c r="O2668" s="2"/>
      <c r="P2668" s="2"/>
      <c r="Q2668" s="2"/>
      <c r="R2668" s="2"/>
      <c r="S2668" s="2"/>
      <c r="T2668" s="2"/>
      <c r="U2668" s="2"/>
      <c r="V2668" s="2"/>
      <c r="W2668" s="2"/>
      <c r="X2668" s="2"/>
      <c r="Y2668" s="2"/>
      <c r="Z2668" s="2"/>
      <c r="AA2668" s="2"/>
      <c r="AB2668" s="2"/>
      <c r="AC2668" s="2"/>
      <c r="AD2668" s="2"/>
      <c r="AE2668" s="2"/>
      <c r="AF2668" s="2"/>
      <c r="AG2668" s="2"/>
      <c r="AH2668" s="2"/>
      <c r="AI2668" s="2"/>
      <c r="AJ2668" s="2" t="str">
        <f>IFERROR(__xludf.DUMMYFUNCTION("""COMPUTED_VALUE"""),"")</f>
        <v/>
      </c>
      <c r="AK2668" s="2" t="str">
        <f>IFERROR(__xludf.DUMMYFUNCTION("""COMPUTED_VALUE"""),"")</f>
        <v/>
      </c>
      <c r="AL2668" s="2" t="str">
        <f>IFERROR(__xludf.DUMMYFUNCTION("""COMPUTED_VALUE"""),"")</f>
        <v/>
      </c>
      <c r="AM2668" s="2" t="str">
        <f>IFERROR(__xludf.DUMMYFUNCTION("""COMPUTED_VALUE"""),"")</f>
        <v/>
      </c>
      <c r="AN2668" s="2" t="str">
        <f>IFERROR(__xludf.DUMMYFUNCTION("""COMPUTED_VALUE""")," ")</f>
        <v> </v>
      </c>
      <c r="AO2668" s="2" t="str">
        <f>IFERROR(__xludf.DUMMYFUNCTION("""COMPUTED_VALUE""")," ")</f>
        <v> </v>
      </c>
      <c r="AP2668" s="2" t="str">
        <f>IFERROR(__xludf.DUMMYFUNCTION("""COMPUTED_VALUE"""),"")</f>
        <v/>
      </c>
      <c r="AQ2668" s="2"/>
      <c r="AR2668" s="2"/>
      <c r="AS2668" s="2"/>
      <c r="AT2668" s="2"/>
      <c r="AU2668" s="2"/>
      <c r="AV2668" s="2"/>
      <c r="AW2668" s="2"/>
      <c r="AX2668" s="2"/>
      <c r="AY2668" s="2"/>
      <c r="AZ2668" s="2"/>
      <c r="BA2668" s="2"/>
      <c r="BB2668" s="2"/>
    </row>
    <row r="2669">
      <c r="A2669" s="2"/>
      <c r="B2669" s="2" t="str">
        <f>IFERROR(__xludf.DUMMYFUNCTION("""COMPUTED_VALUE"""),"")</f>
        <v/>
      </c>
      <c r="C2669" s="2"/>
      <c r="D2669" s="71"/>
      <c r="E2669" s="71" t="str">
        <f>IFERROR(__xludf.DUMMYFUNCTION("""COMPUTED_VALUE""")," ")</f>
        <v> </v>
      </c>
      <c r="F2669" s="2"/>
      <c r="G2669" s="2"/>
      <c r="H2669" s="2"/>
      <c r="I2669" s="72"/>
      <c r="J2669" s="72"/>
      <c r="K2669" s="72"/>
      <c r="L2669" s="72"/>
      <c r="M2669" s="2"/>
      <c r="N2669" s="2"/>
      <c r="O2669" s="2"/>
      <c r="P2669" s="2"/>
      <c r="Q2669" s="2"/>
      <c r="R2669" s="2"/>
      <c r="S2669" s="2"/>
      <c r="T2669" s="2"/>
      <c r="U2669" s="2"/>
      <c r="V2669" s="2"/>
      <c r="W2669" s="2"/>
      <c r="X2669" s="2"/>
      <c r="Y2669" s="2"/>
      <c r="Z2669" s="2"/>
      <c r="AA2669" s="2"/>
      <c r="AB2669" s="2"/>
      <c r="AC2669" s="2"/>
      <c r="AD2669" s="2"/>
      <c r="AE2669" s="2"/>
      <c r="AF2669" s="2"/>
      <c r="AG2669" s="2"/>
      <c r="AH2669" s="2"/>
      <c r="AI2669" s="2"/>
      <c r="AJ2669" s="2" t="str">
        <f>IFERROR(__xludf.DUMMYFUNCTION("""COMPUTED_VALUE"""),"")</f>
        <v/>
      </c>
      <c r="AK2669" s="2" t="str">
        <f>IFERROR(__xludf.DUMMYFUNCTION("""COMPUTED_VALUE"""),"")</f>
        <v/>
      </c>
      <c r="AL2669" s="2" t="str">
        <f>IFERROR(__xludf.DUMMYFUNCTION("""COMPUTED_VALUE"""),"")</f>
        <v/>
      </c>
      <c r="AM2669" s="2" t="str">
        <f>IFERROR(__xludf.DUMMYFUNCTION("""COMPUTED_VALUE"""),"")</f>
        <v/>
      </c>
      <c r="AN2669" s="2" t="str">
        <f>IFERROR(__xludf.DUMMYFUNCTION("""COMPUTED_VALUE""")," ")</f>
        <v> </v>
      </c>
      <c r="AO2669" s="2" t="str">
        <f>IFERROR(__xludf.DUMMYFUNCTION("""COMPUTED_VALUE""")," ")</f>
        <v> </v>
      </c>
      <c r="AP2669" s="2" t="str">
        <f>IFERROR(__xludf.DUMMYFUNCTION("""COMPUTED_VALUE"""),"")</f>
        <v/>
      </c>
      <c r="AQ2669" s="2"/>
      <c r="AR2669" s="2"/>
      <c r="AS2669" s="2"/>
      <c r="AT2669" s="2"/>
      <c r="AU2669" s="2"/>
      <c r="AV2669" s="2"/>
      <c r="AW2669" s="2"/>
      <c r="AX2669" s="2"/>
      <c r="AY2669" s="2"/>
      <c r="AZ2669" s="2"/>
      <c r="BA2669" s="2"/>
      <c r="BB2669" s="2"/>
    </row>
    <row r="2670">
      <c r="A2670" s="2"/>
      <c r="B2670" s="2" t="str">
        <f>IFERROR(__xludf.DUMMYFUNCTION("""COMPUTED_VALUE"""),"")</f>
        <v/>
      </c>
      <c r="C2670" s="2"/>
      <c r="D2670" s="71"/>
      <c r="E2670" s="71" t="str">
        <f>IFERROR(__xludf.DUMMYFUNCTION("""COMPUTED_VALUE""")," ")</f>
        <v> </v>
      </c>
      <c r="F2670" s="2"/>
      <c r="G2670" s="2"/>
      <c r="H2670" s="2"/>
      <c r="I2670" s="72"/>
      <c r="J2670" s="72"/>
      <c r="K2670" s="72"/>
      <c r="L2670" s="72"/>
      <c r="M2670" s="2"/>
      <c r="N2670" s="2"/>
      <c r="O2670" s="2"/>
      <c r="P2670" s="2"/>
      <c r="Q2670" s="2"/>
      <c r="R2670" s="2"/>
      <c r="S2670" s="2"/>
      <c r="T2670" s="2"/>
      <c r="U2670" s="2"/>
      <c r="V2670" s="2"/>
      <c r="W2670" s="2"/>
      <c r="X2670" s="2"/>
      <c r="Y2670" s="2"/>
      <c r="Z2670" s="2"/>
      <c r="AA2670" s="2"/>
      <c r="AB2670" s="2"/>
      <c r="AC2670" s="2"/>
      <c r="AD2670" s="2"/>
      <c r="AE2670" s="2"/>
      <c r="AF2670" s="2"/>
      <c r="AG2670" s="2"/>
      <c r="AH2670" s="2"/>
      <c r="AI2670" s="2"/>
      <c r="AJ2670" s="2" t="str">
        <f>IFERROR(__xludf.DUMMYFUNCTION("""COMPUTED_VALUE"""),"")</f>
        <v/>
      </c>
      <c r="AK2670" s="2" t="str">
        <f>IFERROR(__xludf.DUMMYFUNCTION("""COMPUTED_VALUE"""),"")</f>
        <v/>
      </c>
      <c r="AL2670" s="2" t="str">
        <f>IFERROR(__xludf.DUMMYFUNCTION("""COMPUTED_VALUE"""),"")</f>
        <v/>
      </c>
      <c r="AM2670" s="2" t="str">
        <f>IFERROR(__xludf.DUMMYFUNCTION("""COMPUTED_VALUE"""),"")</f>
        <v/>
      </c>
      <c r="AN2670" s="2" t="str">
        <f>IFERROR(__xludf.DUMMYFUNCTION("""COMPUTED_VALUE""")," ")</f>
        <v> </v>
      </c>
      <c r="AO2670" s="2" t="str">
        <f>IFERROR(__xludf.DUMMYFUNCTION("""COMPUTED_VALUE""")," ")</f>
        <v> </v>
      </c>
      <c r="AP2670" s="2" t="str">
        <f>IFERROR(__xludf.DUMMYFUNCTION("""COMPUTED_VALUE"""),"")</f>
        <v/>
      </c>
      <c r="AQ2670" s="2"/>
      <c r="AR2670" s="2"/>
      <c r="AS2670" s="2"/>
      <c r="AT2670" s="2"/>
      <c r="AU2670" s="2"/>
      <c r="AV2670" s="2"/>
      <c r="AW2670" s="2"/>
      <c r="AX2670" s="2"/>
      <c r="AY2670" s="2"/>
      <c r="AZ2670" s="2"/>
      <c r="BA2670" s="2"/>
      <c r="BB2670" s="2"/>
    </row>
    <row r="2671">
      <c r="A2671" s="2"/>
      <c r="B2671" s="2" t="str">
        <f>IFERROR(__xludf.DUMMYFUNCTION("""COMPUTED_VALUE"""),"")</f>
        <v/>
      </c>
      <c r="C2671" s="2"/>
      <c r="D2671" s="71"/>
      <c r="E2671" s="71" t="str">
        <f>IFERROR(__xludf.DUMMYFUNCTION("""COMPUTED_VALUE""")," ")</f>
        <v> </v>
      </c>
      <c r="F2671" s="2"/>
      <c r="G2671" s="2"/>
      <c r="H2671" s="2"/>
      <c r="I2671" s="72"/>
      <c r="J2671" s="72"/>
      <c r="K2671" s="72"/>
      <c r="L2671" s="72"/>
      <c r="M2671" s="2"/>
      <c r="N2671" s="2"/>
      <c r="O2671" s="2"/>
      <c r="P2671" s="2"/>
      <c r="Q2671" s="2"/>
      <c r="R2671" s="2"/>
      <c r="S2671" s="2"/>
      <c r="T2671" s="2"/>
      <c r="U2671" s="2"/>
      <c r="V2671" s="2"/>
      <c r="W2671" s="2"/>
      <c r="X2671" s="2"/>
      <c r="Y2671" s="2"/>
      <c r="Z2671" s="2"/>
      <c r="AA2671" s="2"/>
      <c r="AB2671" s="2"/>
      <c r="AC2671" s="2"/>
      <c r="AD2671" s="2"/>
      <c r="AE2671" s="2"/>
      <c r="AF2671" s="2"/>
      <c r="AG2671" s="2"/>
      <c r="AH2671" s="2"/>
      <c r="AI2671" s="2"/>
      <c r="AJ2671" s="2" t="str">
        <f>IFERROR(__xludf.DUMMYFUNCTION("""COMPUTED_VALUE"""),"")</f>
        <v/>
      </c>
      <c r="AK2671" s="2" t="str">
        <f>IFERROR(__xludf.DUMMYFUNCTION("""COMPUTED_VALUE"""),"")</f>
        <v/>
      </c>
      <c r="AL2671" s="2" t="str">
        <f>IFERROR(__xludf.DUMMYFUNCTION("""COMPUTED_VALUE"""),"")</f>
        <v/>
      </c>
      <c r="AM2671" s="2" t="str">
        <f>IFERROR(__xludf.DUMMYFUNCTION("""COMPUTED_VALUE"""),"")</f>
        <v/>
      </c>
      <c r="AN2671" s="2" t="str">
        <f>IFERROR(__xludf.DUMMYFUNCTION("""COMPUTED_VALUE""")," ")</f>
        <v> </v>
      </c>
      <c r="AO2671" s="2" t="str">
        <f>IFERROR(__xludf.DUMMYFUNCTION("""COMPUTED_VALUE""")," ")</f>
        <v> </v>
      </c>
      <c r="AP2671" s="2" t="str">
        <f>IFERROR(__xludf.DUMMYFUNCTION("""COMPUTED_VALUE"""),"")</f>
        <v/>
      </c>
      <c r="AQ2671" s="2"/>
      <c r="AR2671" s="2"/>
      <c r="AS2671" s="2"/>
      <c r="AT2671" s="2"/>
      <c r="AU2671" s="2"/>
      <c r="AV2671" s="2"/>
      <c r="AW2671" s="2"/>
      <c r="AX2671" s="2"/>
      <c r="AY2671" s="2"/>
      <c r="AZ2671" s="2"/>
      <c r="BA2671" s="2"/>
      <c r="BB2671" s="2"/>
    </row>
    <row r="2672">
      <c r="A2672" s="2"/>
      <c r="B2672" s="2" t="str">
        <f>IFERROR(__xludf.DUMMYFUNCTION("""COMPUTED_VALUE"""),"")</f>
        <v/>
      </c>
      <c r="C2672" s="2"/>
      <c r="D2672" s="71"/>
      <c r="E2672" s="71" t="str">
        <f>IFERROR(__xludf.DUMMYFUNCTION("""COMPUTED_VALUE""")," ")</f>
        <v> </v>
      </c>
      <c r="F2672" s="2"/>
      <c r="G2672" s="2"/>
      <c r="H2672" s="2"/>
      <c r="I2672" s="72"/>
      <c r="J2672" s="72"/>
      <c r="K2672" s="72"/>
      <c r="L2672" s="72"/>
      <c r="M2672" s="2"/>
      <c r="N2672" s="2"/>
      <c r="O2672" s="2"/>
      <c r="P2672" s="2"/>
      <c r="Q2672" s="2"/>
      <c r="R2672" s="2"/>
      <c r="S2672" s="2"/>
      <c r="T2672" s="2"/>
      <c r="U2672" s="2"/>
      <c r="V2672" s="2"/>
      <c r="W2672" s="2"/>
      <c r="X2672" s="2"/>
      <c r="Y2672" s="2"/>
      <c r="Z2672" s="2"/>
      <c r="AA2672" s="2"/>
      <c r="AB2672" s="2"/>
      <c r="AC2672" s="2"/>
      <c r="AD2672" s="2"/>
      <c r="AE2672" s="2"/>
      <c r="AF2672" s="2"/>
      <c r="AG2672" s="2"/>
      <c r="AH2672" s="2"/>
      <c r="AI2672" s="2"/>
      <c r="AJ2672" s="2" t="str">
        <f>IFERROR(__xludf.DUMMYFUNCTION("""COMPUTED_VALUE"""),"")</f>
        <v/>
      </c>
      <c r="AK2672" s="2" t="str">
        <f>IFERROR(__xludf.DUMMYFUNCTION("""COMPUTED_VALUE"""),"")</f>
        <v/>
      </c>
      <c r="AL2672" s="2" t="str">
        <f>IFERROR(__xludf.DUMMYFUNCTION("""COMPUTED_VALUE"""),"")</f>
        <v/>
      </c>
      <c r="AM2672" s="2" t="str">
        <f>IFERROR(__xludf.DUMMYFUNCTION("""COMPUTED_VALUE"""),"")</f>
        <v/>
      </c>
      <c r="AN2672" s="2" t="str">
        <f>IFERROR(__xludf.DUMMYFUNCTION("""COMPUTED_VALUE""")," ")</f>
        <v> </v>
      </c>
      <c r="AO2672" s="2" t="str">
        <f>IFERROR(__xludf.DUMMYFUNCTION("""COMPUTED_VALUE""")," ")</f>
        <v> </v>
      </c>
      <c r="AP2672" s="2" t="str">
        <f>IFERROR(__xludf.DUMMYFUNCTION("""COMPUTED_VALUE"""),"")</f>
        <v/>
      </c>
      <c r="AQ2672" s="2"/>
      <c r="AR2672" s="2"/>
      <c r="AS2672" s="2"/>
      <c r="AT2672" s="2"/>
      <c r="AU2672" s="2"/>
      <c r="AV2672" s="2"/>
      <c r="AW2672" s="2"/>
      <c r="AX2672" s="2"/>
      <c r="AY2672" s="2"/>
      <c r="AZ2672" s="2"/>
      <c r="BA2672" s="2"/>
      <c r="BB2672" s="2"/>
    </row>
    <row r="2673">
      <c r="A2673" s="2"/>
      <c r="B2673" s="2" t="str">
        <f>IFERROR(__xludf.DUMMYFUNCTION("""COMPUTED_VALUE"""),"")</f>
        <v/>
      </c>
      <c r="C2673" s="2"/>
      <c r="D2673" s="71"/>
      <c r="E2673" s="71" t="str">
        <f>IFERROR(__xludf.DUMMYFUNCTION("""COMPUTED_VALUE""")," ")</f>
        <v> </v>
      </c>
      <c r="F2673" s="2"/>
      <c r="G2673" s="2"/>
      <c r="H2673" s="2"/>
      <c r="I2673" s="72"/>
      <c r="J2673" s="72"/>
      <c r="K2673" s="72"/>
      <c r="L2673" s="72"/>
      <c r="M2673" s="2"/>
      <c r="N2673" s="2"/>
      <c r="O2673" s="2"/>
      <c r="P2673" s="2"/>
      <c r="Q2673" s="2"/>
      <c r="R2673" s="2"/>
      <c r="S2673" s="2"/>
      <c r="T2673" s="2"/>
      <c r="U2673" s="2"/>
      <c r="V2673" s="2"/>
      <c r="W2673" s="2"/>
      <c r="X2673" s="2"/>
      <c r="Y2673" s="2"/>
      <c r="Z2673" s="2"/>
      <c r="AA2673" s="2"/>
      <c r="AB2673" s="2"/>
      <c r="AC2673" s="2"/>
      <c r="AD2673" s="2"/>
      <c r="AE2673" s="2"/>
      <c r="AF2673" s="2"/>
      <c r="AG2673" s="2"/>
      <c r="AH2673" s="2"/>
      <c r="AI2673" s="2"/>
      <c r="AJ2673" s="2" t="str">
        <f>IFERROR(__xludf.DUMMYFUNCTION("""COMPUTED_VALUE"""),"")</f>
        <v/>
      </c>
      <c r="AK2673" s="2" t="str">
        <f>IFERROR(__xludf.DUMMYFUNCTION("""COMPUTED_VALUE"""),"")</f>
        <v/>
      </c>
      <c r="AL2673" s="2" t="str">
        <f>IFERROR(__xludf.DUMMYFUNCTION("""COMPUTED_VALUE"""),"")</f>
        <v/>
      </c>
      <c r="AM2673" s="2" t="str">
        <f>IFERROR(__xludf.DUMMYFUNCTION("""COMPUTED_VALUE"""),"")</f>
        <v/>
      </c>
      <c r="AN2673" s="2" t="str">
        <f>IFERROR(__xludf.DUMMYFUNCTION("""COMPUTED_VALUE""")," ")</f>
        <v> </v>
      </c>
      <c r="AO2673" s="2" t="str">
        <f>IFERROR(__xludf.DUMMYFUNCTION("""COMPUTED_VALUE""")," ")</f>
        <v> </v>
      </c>
      <c r="AP2673" s="2" t="str">
        <f>IFERROR(__xludf.DUMMYFUNCTION("""COMPUTED_VALUE"""),"")</f>
        <v/>
      </c>
      <c r="AQ2673" s="2"/>
      <c r="AR2673" s="2"/>
      <c r="AS2673" s="2"/>
      <c r="AT2673" s="2"/>
      <c r="AU2673" s="2"/>
      <c r="AV2673" s="2"/>
      <c r="AW2673" s="2"/>
      <c r="AX2673" s="2"/>
      <c r="AY2673" s="2"/>
      <c r="AZ2673" s="2"/>
      <c r="BA2673" s="2"/>
      <c r="BB2673" s="2"/>
    </row>
    <row r="2674">
      <c r="A2674" s="2"/>
      <c r="B2674" s="2" t="str">
        <f>IFERROR(__xludf.DUMMYFUNCTION("""COMPUTED_VALUE"""),"")</f>
        <v/>
      </c>
      <c r="C2674" s="2"/>
      <c r="D2674" s="71"/>
      <c r="E2674" s="71" t="str">
        <f>IFERROR(__xludf.DUMMYFUNCTION("""COMPUTED_VALUE""")," ")</f>
        <v> </v>
      </c>
      <c r="F2674" s="2"/>
      <c r="G2674" s="2"/>
      <c r="H2674" s="2"/>
      <c r="I2674" s="72"/>
      <c r="J2674" s="72"/>
      <c r="K2674" s="72"/>
      <c r="L2674" s="72"/>
      <c r="M2674" s="2"/>
      <c r="N2674" s="2"/>
      <c r="O2674" s="2"/>
      <c r="P2674" s="2"/>
      <c r="Q2674" s="2"/>
      <c r="R2674" s="2"/>
      <c r="S2674" s="2"/>
      <c r="T2674" s="2"/>
      <c r="U2674" s="2"/>
      <c r="V2674" s="2"/>
      <c r="W2674" s="2"/>
      <c r="X2674" s="2"/>
      <c r="Y2674" s="2"/>
      <c r="Z2674" s="2"/>
      <c r="AA2674" s="2"/>
      <c r="AB2674" s="2"/>
      <c r="AC2674" s="2"/>
      <c r="AD2674" s="2"/>
      <c r="AE2674" s="2"/>
      <c r="AF2674" s="2"/>
      <c r="AG2674" s="2"/>
      <c r="AH2674" s="2"/>
      <c r="AI2674" s="2"/>
      <c r="AJ2674" s="2" t="str">
        <f>IFERROR(__xludf.DUMMYFUNCTION("""COMPUTED_VALUE"""),"")</f>
        <v/>
      </c>
      <c r="AK2674" s="2" t="str">
        <f>IFERROR(__xludf.DUMMYFUNCTION("""COMPUTED_VALUE"""),"")</f>
        <v/>
      </c>
      <c r="AL2674" s="2" t="str">
        <f>IFERROR(__xludf.DUMMYFUNCTION("""COMPUTED_VALUE"""),"")</f>
        <v/>
      </c>
      <c r="AM2674" s="2" t="str">
        <f>IFERROR(__xludf.DUMMYFUNCTION("""COMPUTED_VALUE"""),"")</f>
        <v/>
      </c>
      <c r="AN2674" s="2" t="str">
        <f>IFERROR(__xludf.DUMMYFUNCTION("""COMPUTED_VALUE""")," ")</f>
        <v> </v>
      </c>
      <c r="AO2674" s="2" t="str">
        <f>IFERROR(__xludf.DUMMYFUNCTION("""COMPUTED_VALUE""")," ")</f>
        <v> </v>
      </c>
      <c r="AP2674" s="2" t="str">
        <f>IFERROR(__xludf.DUMMYFUNCTION("""COMPUTED_VALUE"""),"")</f>
        <v/>
      </c>
      <c r="AQ2674" s="2"/>
      <c r="AR2674" s="2"/>
      <c r="AS2674" s="2"/>
      <c r="AT2674" s="2"/>
      <c r="AU2674" s="2"/>
      <c r="AV2674" s="2"/>
      <c r="AW2674" s="2"/>
      <c r="AX2674" s="2"/>
      <c r="AY2674" s="2"/>
      <c r="AZ2674" s="2"/>
      <c r="BA2674" s="2"/>
      <c r="BB2674" s="2"/>
    </row>
    <row r="2675">
      <c r="A2675" s="2"/>
      <c r="B2675" s="2" t="str">
        <f>IFERROR(__xludf.DUMMYFUNCTION("""COMPUTED_VALUE"""),"")</f>
        <v/>
      </c>
      <c r="C2675" s="2"/>
      <c r="D2675" s="71"/>
      <c r="E2675" s="71" t="str">
        <f>IFERROR(__xludf.DUMMYFUNCTION("""COMPUTED_VALUE""")," ")</f>
        <v> </v>
      </c>
      <c r="F2675" s="2"/>
      <c r="G2675" s="2"/>
      <c r="H2675" s="2"/>
      <c r="I2675" s="72"/>
      <c r="J2675" s="72"/>
      <c r="K2675" s="72"/>
      <c r="L2675" s="72"/>
      <c r="M2675" s="2"/>
      <c r="N2675" s="2"/>
      <c r="O2675" s="2"/>
      <c r="P2675" s="2"/>
      <c r="Q2675" s="2"/>
      <c r="R2675" s="2"/>
      <c r="S2675" s="2"/>
      <c r="T2675" s="2"/>
      <c r="U2675" s="2"/>
      <c r="V2675" s="2"/>
      <c r="W2675" s="2"/>
      <c r="X2675" s="2"/>
      <c r="Y2675" s="2"/>
      <c r="Z2675" s="2"/>
      <c r="AA2675" s="2"/>
      <c r="AB2675" s="2"/>
      <c r="AC2675" s="2"/>
      <c r="AD2675" s="2"/>
      <c r="AE2675" s="2"/>
      <c r="AF2675" s="2"/>
      <c r="AG2675" s="2"/>
      <c r="AH2675" s="2"/>
      <c r="AI2675" s="2"/>
      <c r="AJ2675" s="2" t="str">
        <f>IFERROR(__xludf.DUMMYFUNCTION("""COMPUTED_VALUE"""),"")</f>
        <v/>
      </c>
      <c r="AK2675" s="2" t="str">
        <f>IFERROR(__xludf.DUMMYFUNCTION("""COMPUTED_VALUE"""),"")</f>
        <v/>
      </c>
      <c r="AL2675" s="2" t="str">
        <f>IFERROR(__xludf.DUMMYFUNCTION("""COMPUTED_VALUE"""),"")</f>
        <v/>
      </c>
      <c r="AM2675" s="2" t="str">
        <f>IFERROR(__xludf.DUMMYFUNCTION("""COMPUTED_VALUE"""),"")</f>
        <v/>
      </c>
      <c r="AN2675" s="2" t="str">
        <f>IFERROR(__xludf.DUMMYFUNCTION("""COMPUTED_VALUE""")," ")</f>
        <v> </v>
      </c>
      <c r="AO2675" s="2" t="str">
        <f>IFERROR(__xludf.DUMMYFUNCTION("""COMPUTED_VALUE""")," ")</f>
        <v> </v>
      </c>
      <c r="AP2675" s="2" t="str">
        <f>IFERROR(__xludf.DUMMYFUNCTION("""COMPUTED_VALUE"""),"")</f>
        <v/>
      </c>
      <c r="AQ2675" s="2"/>
      <c r="AR2675" s="2"/>
      <c r="AS2675" s="2"/>
      <c r="AT2675" s="2"/>
      <c r="AU2675" s="2"/>
      <c r="AV2675" s="2"/>
      <c r="AW2675" s="2"/>
      <c r="AX2675" s="2"/>
      <c r="AY2675" s="2"/>
      <c r="AZ2675" s="2"/>
      <c r="BA2675" s="2"/>
      <c r="BB2675" s="2"/>
    </row>
    <row r="2676">
      <c r="A2676" s="2"/>
      <c r="B2676" s="2" t="str">
        <f>IFERROR(__xludf.DUMMYFUNCTION("""COMPUTED_VALUE"""),"")</f>
        <v/>
      </c>
      <c r="C2676" s="2"/>
      <c r="D2676" s="71"/>
      <c r="E2676" s="71" t="str">
        <f>IFERROR(__xludf.DUMMYFUNCTION("""COMPUTED_VALUE""")," ")</f>
        <v> </v>
      </c>
      <c r="F2676" s="2"/>
      <c r="G2676" s="2"/>
      <c r="H2676" s="2"/>
      <c r="I2676" s="72"/>
      <c r="J2676" s="72"/>
      <c r="K2676" s="72"/>
      <c r="L2676" s="72"/>
      <c r="M2676" s="2"/>
      <c r="N2676" s="2"/>
      <c r="O2676" s="2"/>
      <c r="P2676" s="2"/>
      <c r="Q2676" s="2"/>
      <c r="R2676" s="2"/>
      <c r="S2676" s="2"/>
      <c r="T2676" s="2"/>
      <c r="U2676" s="2"/>
      <c r="V2676" s="2"/>
      <c r="W2676" s="2"/>
      <c r="X2676" s="2"/>
      <c r="Y2676" s="2"/>
      <c r="Z2676" s="2"/>
      <c r="AA2676" s="2"/>
      <c r="AB2676" s="2"/>
      <c r="AC2676" s="2"/>
      <c r="AD2676" s="2"/>
      <c r="AE2676" s="2"/>
      <c r="AF2676" s="2"/>
      <c r="AG2676" s="2"/>
      <c r="AH2676" s="2"/>
      <c r="AI2676" s="2"/>
      <c r="AJ2676" s="2" t="str">
        <f>IFERROR(__xludf.DUMMYFUNCTION("""COMPUTED_VALUE"""),"")</f>
        <v/>
      </c>
      <c r="AK2676" s="2" t="str">
        <f>IFERROR(__xludf.DUMMYFUNCTION("""COMPUTED_VALUE"""),"")</f>
        <v/>
      </c>
      <c r="AL2676" s="2" t="str">
        <f>IFERROR(__xludf.DUMMYFUNCTION("""COMPUTED_VALUE"""),"")</f>
        <v/>
      </c>
      <c r="AM2676" s="2" t="str">
        <f>IFERROR(__xludf.DUMMYFUNCTION("""COMPUTED_VALUE"""),"")</f>
        <v/>
      </c>
      <c r="AN2676" s="2" t="str">
        <f>IFERROR(__xludf.DUMMYFUNCTION("""COMPUTED_VALUE""")," ")</f>
        <v> </v>
      </c>
      <c r="AO2676" s="2" t="str">
        <f>IFERROR(__xludf.DUMMYFUNCTION("""COMPUTED_VALUE""")," ")</f>
        <v> </v>
      </c>
      <c r="AP2676" s="2" t="str">
        <f>IFERROR(__xludf.DUMMYFUNCTION("""COMPUTED_VALUE"""),"")</f>
        <v/>
      </c>
      <c r="AQ2676" s="2"/>
      <c r="AR2676" s="2"/>
      <c r="AS2676" s="2"/>
      <c r="AT2676" s="2"/>
      <c r="AU2676" s="2"/>
      <c r="AV2676" s="2"/>
      <c r="AW2676" s="2"/>
      <c r="AX2676" s="2"/>
      <c r="AY2676" s="2"/>
      <c r="AZ2676" s="2"/>
      <c r="BA2676" s="2"/>
      <c r="BB2676" s="2"/>
    </row>
    <row r="2677">
      <c r="A2677" s="2"/>
      <c r="B2677" s="2" t="str">
        <f>IFERROR(__xludf.DUMMYFUNCTION("""COMPUTED_VALUE"""),"")</f>
        <v/>
      </c>
      <c r="C2677" s="2"/>
      <c r="D2677" s="71"/>
      <c r="E2677" s="71" t="str">
        <f>IFERROR(__xludf.DUMMYFUNCTION("""COMPUTED_VALUE""")," ")</f>
        <v> </v>
      </c>
      <c r="F2677" s="2"/>
      <c r="G2677" s="2"/>
      <c r="H2677" s="2"/>
      <c r="I2677" s="72"/>
      <c r="J2677" s="72"/>
      <c r="K2677" s="72"/>
      <c r="L2677" s="72"/>
      <c r="M2677" s="2"/>
      <c r="N2677" s="2"/>
      <c r="O2677" s="2"/>
      <c r="P2677" s="2"/>
      <c r="Q2677" s="2"/>
      <c r="R2677" s="2"/>
      <c r="S2677" s="2"/>
      <c r="T2677" s="2"/>
      <c r="U2677" s="2"/>
      <c r="V2677" s="2"/>
      <c r="W2677" s="2"/>
      <c r="X2677" s="2"/>
      <c r="Y2677" s="2"/>
      <c r="Z2677" s="2"/>
      <c r="AA2677" s="2"/>
      <c r="AB2677" s="2"/>
      <c r="AC2677" s="2"/>
      <c r="AD2677" s="2"/>
      <c r="AE2677" s="2"/>
      <c r="AF2677" s="2"/>
      <c r="AG2677" s="2"/>
      <c r="AH2677" s="2"/>
      <c r="AI2677" s="2"/>
      <c r="AJ2677" s="2" t="str">
        <f>IFERROR(__xludf.DUMMYFUNCTION("""COMPUTED_VALUE"""),"")</f>
        <v/>
      </c>
      <c r="AK2677" s="2" t="str">
        <f>IFERROR(__xludf.DUMMYFUNCTION("""COMPUTED_VALUE"""),"")</f>
        <v/>
      </c>
      <c r="AL2677" s="2" t="str">
        <f>IFERROR(__xludf.DUMMYFUNCTION("""COMPUTED_VALUE"""),"")</f>
        <v/>
      </c>
      <c r="AM2677" s="2" t="str">
        <f>IFERROR(__xludf.DUMMYFUNCTION("""COMPUTED_VALUE"""),"")</f>
        <v/>
      </c>
      <c r="AN2677" s="2" t="str">
        <f>IFERROR(__xludf.DUMMYFUNCTION("""COMPUTED_VALUE""")," ")</f>
        <v> </v>
      </c>
      <c r="AO2677" s="2" t="str">
        <f>IFERROR(__xludf.DUMMYFUNCTION("""COMPUTED_VALUE""")," ")</f>
        <v> </v>
      </c>
      <c r="AP2677" s="2" t="str">
        <f>IFERROR(__xludf.DUMMYFUNCTION("""COMPUTED_VALUE"""),"")</f>
        <v/>
      </c>
      <c r="AQ2677" s="2"/>
      <c r="AR2677" s="2"/>
      <c r="AS2677" s="2"/>
      <c r="AT2677" s="2"/>
      <c r="AU2677" s="2"/>
      <c r="AV2677" s="2"/>
      <c r="AW2677" s="2"/>
      <c r="AX2677" s="2"/>
      <c r="AY2677" s="2"/>
      <c r="AZ2677" s="2"/>
      <c r="BA2677" s="2"/>
      <c r="BB2677" s="2"/>
    </row>
    <row r="2678">
      <c r="A2678" s="2"/>
      <c r="B2678" s="2" t="str">
        <f>IFERROR(__xludf.DUMMYFUNCTION("""COMPUTED_VALUE"""),"")</f>
        <v/>
      </c>
      <c r="C2678" s="2"/>
      <c r="D2678" s="71"/>
      <c r="E2678" s="71" t="str">
        <f>IFERROR(__xludf.DUMMYFUNCTION("""COMPUTED_VALUE""")," ")</f>
        <v> </v>
      </c>
      <c r="F2678" s="2"/>
      <c r="G2678" s="2"/>
      <c r="H2678" s="2"/>
      <c r="I2678" s="72"/>
      <c r="J2678" s="72"/>
      <c r="K2678" s="72"/>
      <c r="L2678" s="72"/>
      <c r="M2678" s="2"/>
      <c r="N2678" s="2"/>
      <c r="O2678" s="2"/>
      <c r="P2678" s="2"/>
      <c r="Q2678" s="2"/>
      <c r="R2678" s="2"/>
      <c r="S2678" s="2"/>
      <c r="T2678" s="2"/>
      <c r="U2678" s="2"/>
      <c r="V2678" s="2"/>
      <c r="W2678" s="2"/>
      <c r="X2678" s="2"/>
      <c r="Y2678" s="2"/>
      <c r="Z2678" s="2"/>
      <c r="AA2678" s="2"/>
      <c r="AB2678" s="2"/>
      <c r="AC2678" s="2"/>
      <c r="AD2678" s="2"/>
      <c r="AE2678" s="2"/>
      <c r="AF2678" s="2"/>
      <c r="AG2678" s="2"/>
      <c r="AH2678" s="2"/>
      <c r="AI2678" s="2"/>
      <c r="AJ2678" s="2" t="str">
        <f>IFERROR(__xludf.DUMMYFUNCTION("""COMPUTED_VALUE"""),"")</f>
        <v/>
      </c>
      <c r="AK2678" s="2" t="str">
        <f>IFERROR(__xludf.DUMMYFUNCTION("""COMPUTED_VALUE"""),"")</f>
        <v/>
      </c>
      <c r="AL2678" s="2" t="str">
        <f>IFERROR(__xludf.DUMMYFUNCTION("""COMPUTED_VALUE"""),"")</f>
        <v/>
      </c>
      <c r="AM2678" s="2" t="str">
        <f>IFERROR(__xludf.DUMMYFUNCTION("""COMPUTED_VALUE"""),"")</f>
        <v/>
      </c>
      <c r="AN2678" s="2" t="str">
        <f>IFERROR(__xludf.DUMMYFUNCTION("""COMPUTED_VALUE""")," ")</f>
        <v> </v>
      </c>
      <c r="AO2678" s="2" t="str">
        <f>IFERROR(__xludf.DUMMYFUNCTION("""COMPUTED_VALUE""")," ")</f>
        <v> </v>
      </c>
      <c r="AP2678" s="2" t="str">
        <f>IFERROR(__xludf.DUMMYFUNCTION("""COMPUTED_VALUE"""),"")</f>
        <v/>
      </c>
      <c r="AQ2678" s="2"/>
      <c r="AR2678" s="2"/>
      <c r="AS2678" s="2"/>
      <c r="AT2678" s="2"/>
      <c r="AU2678" s="2"/>
      <c r="AV2678" s="2"/>
      <c r="AW2678" s="2"/>
      <c r="AX2678" s="2"/>
      <c r="AY2678" s="2"/>
      <c r="AZ2678" s="2"/>
      <c r="BA2678" s="2"/>
      <c r="BB2678" s="2"/>
    </row>
    <row r="2679">
      <c r="A2679" s="2"/>
      <c r="B2679" s="2" t="str">
        <f>IFERROR(__xludf.DUMMYFUNCTION("""COMPUTED_VALUE"""),"")</f>
        <v/>
      </c>
      <c r="C2679" s="2"/>
      <c r="D2679" s="71"/>
      <c r="E2679" s="71" t="str">
        <f>IFERROR(__xludf.DUMMYFUNCTION("""COMPUTED_VALUE""")," ")</f>
        <v> </v>
      </c>
      <c r="F2679" s="2"/>
      <c r="G2679" s="2"/>
      <c r="H2679" s="2"/>
      <c r="I2679" s="72"/>
      <c r="J2679" s="72"/>
      <c r="K2679" s="72"/>
      <c r="L2679" s="72"/>
      <c r="M2679" s="2"/>
      <c r="N2679" s="2"/>
      <c r="O2679" s="2"/>
      <c r="P2679" s="2"/>
      <c r="Q2679" s="2"/>
      <c r="R2679" s="2"/>
      <c r="S2679" s="2"/>
      <c r="T2679" s="2"/>
      <c r="U2679" s="2"/>
      <c r="V2679" s="2"/>
      <c r="W2679" s="2"/>
      <c r="X2679" s="2"/>
      <c r="Y2679" s="2"/>
      <c r="Z2679" s="2"/>
      <c r="AA2679" s="2"/>
      <c r="AB2679" s="2"/>
      <c r="AC2679" s="2"/>
      <c r="AD2679" s="2"/>
      <c r="AE2679" s="2"/>
      <c r="AF2679" s="2"/>
      <c r="AG2679" s="2"/>
      <c r="AH2679" s="2"/>
      <c r="AI2679" s="2"/>
      <c r="AJ2679" s="2" t="str">
        <f>IFERROR(__xludf.DUMMYFUNCTION("""COMPUTED_VALUE"""),"")</f>
        <v/>
      </c>
      <c r="AK2679" s="2" t="str">
        <f>IFERROR(__xludf.DUMMYFUNCTION("""COMPUTED_VALUE"""),"")</f>
        <v/>
      </c>
      <c r="AL2679" s="2" t="str">
        <f>IFERROR(__xludf.DUMMYFUNCTION("""COMPUTED_VALUE"""),"")</f>
        <v/>
      </c>
      <c r="AM2679" s="2" t="str">
        <f>IFERROR(__xludf.DUMMYFUNCTION("""COMPUTED_VALUE"""),"")</f>
        <v/>
      </c>
      <c r="AN2679" s="2" t="str">
        <f>IFERROR(__xludf.DUMMYFUNCTION("""COMPUTED_VALUE""")," ")</f>
        <v> </v>
      </c>
      <c r="AO2679" s="2" t="str">
        <f>IFERROR(__xludf.DUMMYFUNCTION("""COMPUTED_VALUE""")," ")</f>
        <v> </v>
      </c>
      <c r="AP2679" s="2" t="str">
        <f>IFERROR(__xludf.DUMMYFUNCTION("""COMPUTED_VALUE"""),"")</f>
        <v/>
      </c>
      <c r="AQ2679" s="2"/>
      <c r="AR2679" s="2"/>
      <c r="AS2679" s="2"/>
      <c r="AT2679" s="2"/>
      <c r="AU2679" s="2"/>
      <c r="AV2679" s="2"/>
      <c r="AW2679" s="2"/>
      <c r="AX2679" s="2"/>
      <c r="AY2679" s="2"/>
      <c r="AZ2679" s="2"/>
      <c r="BA2679" s="2"/>
      <c r="BB2679" s="2"/>
    </row>
    <row r="2680">
      <c r="A2680" s="2"/>
      <c r="B2680" s="2" t="str">
        <f>IFERROR(__xludf.DUMMYFUNCTION("""COMPUTED_VALUE"""),"")</f>
        <v/>
      </c>
      <c r="C2680" s="2"/>
      <c r="D2680" s="71"/>
      <c r="E2680" s="71" t="str">
        <f>IFERROR(__xludf.DUMMYFUNCTION("""COMPUTED_VALUE""")," ")</f>
        <v> </v>
      </c>
      <c r="F2680" s="2"/>
      <c r="G2680" s="2"/>
      <c r="H2680" s="2"/>
      <c r="I2680" s="72"/>
      <c r="J2680" s="72"/>
      <c r="K2680" s="72"/>
      <c r="L2680" s="72"/>
      <c r="M2680" s="2"/>
      <c r="N2680" s="2"/>
      <c r="O2680" s="2"/>
      <c r="P2680" s="2"/>
      <c r="Q2680" s="2"/>
      <c r="R2680" s="2"/>
      <c r="S2680" s="2"/>
      <c r="T2680" s="2"/>
      <c r="U2680" s="2"/>
      <c r="V2680" s="2"/>
      <c r="W2680" s="2"/>
      <c r="X2680" s="2"/>
      <c r="Y2680" s="2"/>
      <c r="Z2680" s="2"/>
      <c r="AA2680" s="2"/>
      <c r="AB2680" s="2"/>
      <c r="AC2680" s="2"/>
      <c r="AD2680" s="2"/>
      <c r="AE2680" s="2"/>
      <c r="AF2680" s="2"/>
      <c r="AG2680" s="2"/>
      <c r="AH2680" s="2"/>
      <c r="AI2680" s="2"/>
      <c r="AJ2680" s="2" t="str">
        <f>IFERROR(__xludf.DUMMYFUNCTION("""COMPUTED_VALUE"""),"")</f>
        <v/>
      </c>
      <c r="AK2680" s="2" t="str">
        <f>IFERROR(__xludf.DUMMYFUNCTION("""COMPUTED_VALUE"""),"")</f>
        <v/>
      </c>
      <c r="AL2680" s="2" t="str">
        <f>IFERROR(__xludf.DUMMYFUNCTION("""COMPUTED_VALUE"""),"")</f>
        <v/>
      </c>
      <c r="AM2680" s="2" t="str">
        <f>IFERROR(__xludf.DUMMYFUNCTION("""COMPUTED_VALUE"""),"")</f>
        <v/>
      </c>
      <c r="AN2680" s="2" t="str">
        <f>IFERROR(__xludf.DUMMYFUNCTION("""COMPUTED_VALUE""")," ")</f>
        <v> </v>
      </c>
      <c r="AO2680" s="2" t="str">
        <f>IFERROR(__xludf.DUMMYFUNCTION("""COMPUTED_VALUE""")," ")</f>
        <v> </v>
      </c>
      <c r="AP2680" s="2" t="str">
        <f>IFERROR(__xludf.DUMMYFUNCTION("""COMPUTED_VALUE"""),"")</f>
        <v/>
      </c>
      <c r="AQ2680" s="2"/>
      <c r="AR2680" s="2"/>
      <c r="AS2680" s="2"/>
      <c r="AT2680" s="2"/>
      <c r="AU2680" s="2"/>
      <c r="AV2680" s="2"/>
      <c r="AW2680" s="2"/>
      <c r="AX2680" s="2"/>
      <c r="AY2680" s="2"/>
      <c r="AZ2680" s="2"/>
      <c r="BA2680" s="2"/>
      <c r="BB2680" s="2"/>
    </row>
    <row r="2681">
      <c r="A2681" s="2"/>
      <c r="B2681" s="2" t="str">
        <f>IFERROR(__xludf.DUMMYFUNCTION("""COMPUTED_VALUE"""),"")</f>
        <v/>
      </c>
      <c r="C2681" s="2"/>
      <c r="D2681" s="71"/>
      <c r="E2681" s="71" t="str">
        <f>IFERROR(__xludf.DUMMYFUNCTION("""COMPUTED_VALUE""")," ")</f>
        <v> </v>
      </c>
      <c r="F2681" s="2"/>
      <c r="G2681" s="2"/>
      <c r="H2681" s="2"/>
      <c r="I2681" s="72"/>
      <c r="J2681" s="72"/>
      <c r="K2681" s="72"/>
      <c r="L2681" s="72"/>
      <c r="M2681" s="2"/>
      <c r="N2681" s="2"/>
      <c r="O2681" s="2"/>
      <c r="P2681" s="2"/>
      <c r="Q2681" s="2"/>
      <c r="R2681" s="2"/>
      <c r="S2681" s="2"/>
      <c r="T2681" s="2"/>
      <c r="U2681" s="2"/>
      <c r="V2681" s="2"/>
      <c r="W2681" s="2"/>
      <c r="X2681" s="2"/>
      <c r="Y2681" s="2"/>
      <c r="Z2681" s="2"/>
      <c r="AA2681" s="2"/>
      <c r="AB2681" s="2"/>
      <c r="AC2681" s="2"/>
      <c r="AD2681" s="2"/>
      <c r="AE2681" s="2"/>
      <c r="AF2681" s="2"/>
      <c r="AG2681" s="2"/>
      <c r="AH2681" s="2"/>
      <c r="AI2681" s="2"/>
      <c r="AJ2681" s="2" t="str">
        <f>IFERROR(__xludf.DUMMYFUNCTION("""COMPUTED_VALUE"""),"")</f>
        <v/>
      </c>
      <c r="AK2681" s="2" t="str">
        <f>IFERROR(__xludf.DUMMYFUNCTION("""COMPUTED_VALUE"""),"")</f>
        <v/>
      </c>
      <c r="AL2681" s="2" t="str">
        <f>IFERROR(__xludf.DUMMYFUNCTION("""COMPUTED_VALUE"""),"")</f>
        <v/>
      </c>
      <c r="AM2681" s="2" t="str">
        <f>IFERROR(__xludf.DUMMYFUNCTION("""COMPUTED_VALUE"""),"")</f>
        <v/>
      </c>
      <c r="AN2681" s="2" t="str">
        <f>IFERROR(__xludf.DUMMYFUNCTION("""COMPUTED_VALUE""")," ")</f>
        <v> </v>
      </c>
      <c r="AO2681" s="2" t="str">
        <f>IFERROR(__xludf.DUMMYFUNCTION("""COMPUTED_VALUE""")," ")</f>
        <v> </v>
      </c>
      <c r="AP2681" s="2" t="str">
        <f>IFERROR(__xludf.DUMMYFUNCTION("""COMPUTED_VALUE"""),"")</f>
        <v/>
      </c>
      <c r="AQ2681" s="2"/>
      <c r="AR2681" s="2"/>
      <c r="AS2681" s="2"/>
      <c r="AT2681" s="2"/>
      <c r="AU2681" s="2"/>
      <c r="AV2681" s="2"/>
      <c r="AW2681" s="2"/>
      <c r="AX2681" s="2"/>
      <c r="AY2681" s="2"/>
      <c r="AZ2681" s="2"/>
      <c r="BA2681" s="2"/>
      <c r="BB2681" s="2"/>
    </row>
    <row r="2682">
      <c r="A2682" s="2"/>
      <c r="B2682" s="2" t="str">
        <f>IFERROR(__xludf.DUMMYFUNCTION("""COMPUTED_VALUE"""),"")</f>
        <v/>
      </c>
      <c r="C2682" s="2"/>
      <c r="D2682" s="71"/>
      <c r="E2682" s="71" t="str">
        <f>IFERROR(__xludf.DUMMYFUNCTION("""COMPUTED_VALUE""")," ")</f>
        <v> </v>
      </c>
      <c r="F2682" s="2"/>
      <c r="G2682" s="2"/>
      <c r="H2682" s="2"/>
      <c r="I2682" s="72"/>
      <c r="J2682" s="72"/>
      <c r="K2682" s="72"/>
      <c r="L2682" s="72"/>
      <c r="M2682" s="2"/>
      <c r="N2682" s="2"/>
      <c r="O2682" s="2"/>
      <c r="P2682" s="2"/>
      <c r="Q2682" s="2"/>
      <c r="R2682" s="2"/>
      <c r="S2682" s="2"/>
      <c r="T2682" s="2"/>
      <c r="U2682" s="2"/>
      <c r="V2682" s="2"/>
      <c r="W2682" s="2"/>
      <c r="X2682" s="2"/>
      <c r="Y2682" s="2"/>
      <c r="Z2682" s="2"/>
      <c r="AA2682" s="2"/>
      <c r="AB2682" s="2"/>
      <c r="AC2682" s="2"/>
      <c r="AD2682" s="2"/>
      <c r="AE2682" s="2"/>
      <c r="AF2682" s="2"/>
      <c r="AG2682" s="2"/>
      <c r="AH2682" s="2"/>
      <c r="AI2682" s="2"/>
      <c r="AJ2682" s="2" t="str">
        <f>IFERROR(__xludf.DUMMYFUNCTION("""COMPUTED_VALUE"""),"")</f>
        <v/>
      </c>
      <c r="AK2682" s="2" t="str">
        <f>IFERROR(__xludf.DUMMYFUNCTION("""COMPUTED_VALUE"""),"")</f>
        <v/>
      </c>
      <c r="AL2682" s="2" t="str">
        <f>IFERROR(__xludf.DUMMYFUNCTION("""COMPUTED_VALUE"""),"")</f>
        <v/>
      </c>
      <c r="AM2682" s="2" t="str">
        <f>IFERROR(__xludf.DUMMYFUNCTION("""COMPUTED_VALUE"""),"")</f>
        <v/>
      </c>
      <c r="AN2682" s="2" t="str">
        <f>IFERROR(__xludf.DUMMYFUNCTION("""COMPUTED_VALUE""")," ")</f>
        <v> </v>
      </c>
      <c r="AO2682" s="2" t="str">
        <f>IFERROR(__xludf.DUMMYFUNCTION("""COMPUTED_VALUE""")," ")</f>
        <v> </v>
      </c>
      <c r="AP2682" s="2" t="str">
        <f>IFERROR(__xludf.DUMMYFUNCTION("""COMPUTED_VALUE"""),"")</f>
        <v/>
      </c>
      <c r="AQ2682" s="2"/>
      <c r="AR2682" s="2"/>
      <c r="AS2682" s="2"/>
      <c r="AT2682" s="2"/>
      <c r="AU2682" s="2"/>
      <c r="AV2682" s="2"/>
      <c r="AW2682" s="2"/>
      <c r="AX2682" s="2"/>
      <c r="AY2682" s="2"/>
      <c r="AZ2682" s="2"/>
      <c r="BA2682" s="2"/>
      <c r="BB2682" s="2"/>
    </row>
    <row r="2683">
      <c r="A2683" s="2"/>
      <c r="B2683" s="2" t="str">
        <f>IFERROR(__xludf.DUMMYFUNCTION("""COMPUTED_VALUE"""),"")</f>
        <v/>
      </c>
      <c r="C2683" s="2"/>
      <c r="D2683" s="71"/>
      <c r="E2683" s="71" t="str">
        <f>IFERROR(__xludf.DUMMYFUNCTION("""COMPUTED_VALUE""")," ")</f>
        <v> </v>
      </c>
      <c r="F2683" s="2"/>
      <c r="G2683" s="2"/>
      <c r="H2683" s="2"/>
      <c r="I2683" s="72"/>
      <c r="J2683" s="72"/>
      <c r="K2683" s="72"/>
      <c r="L2683" s="72"/>
      <c r="M2683" s="2"/>
      <c r="N2683" s="2"/>
      <c r="O2683" s="2"/>
      <c r="P2683" s="2"/>
      <c r="Q2683" s="2"/>
      <c r="R2683" s="2"/>
      <c r="S2683" s="2"/>
      <c r="T2683" s="2"/>
      <c r="U2683" s="2"/>
      <c r="V2683" s="2"/>
      <c r="W2683" s="2"/>
      <c r="X2683" s="2"/>
      <c r="Y2683" s="2"/>
      <c r="Z2683" s="2"/>
      <c r="AA2683" s="2"/>
      <c r="AB2683" s="2"/>
      <c r="AC2683" s="2"/>
      <c r="AD2683" s="2"/>
      <c r="AE2683" s="2"/>
      <c r="AF2683" s="2"/>
      <c r="AG2683" s="2"/>
      <c r="AH2683" s="2"/>
      <c r="AI2683" s="2"/>
      <c r="AJ2683" s="2" t="str">
        <f>IFERROR(__xludf.DUMMYFUNCTION("""COMPUTED_VALUE"""),"")</f>
        <v/>
      </c>
      <c r="AK2683" s="2" t="str">
        <f>IFERROR(__xludf.DUMMYFUNCTION("""COMPUTED_VALUE"""),"")</f>
        <v/>
      </c>
      <c r="AL2683" s="2" t="str">
        <f>IFERROR(__xludf.DUMMYFUNCTION("""COMPUTED_VALUE"""),"")</f>
        <v/>
      </c>
      <c r="AM2683" s="2" t="str">
        <f>IFERROR(__xludf.DUMMYFUNCTION("""COMPUTED_VALUE"""),"")</f>
        <v/>
      </c>
      <c r="AN2683" s="2" t="str">
        <f>IFERROR(__xludf.DUMMYFUNCTION("""COMPUTED_VALUE""")," ")</f>
        <v> </v>
      </c>
      <c r="AO2683" s="2" t="str">
        <f>IFERROR(__xludf.DUMMYFUNCTION("""COMPUTED_VALUE""")," ")</f>
        <v> </v>
      </c>
      <c r="AP2683" s="2" t="str">
        <f>IFERROR(__xludf.DUMMYFUNCTION("""COMPUTED_VALUE"""),"")</f>
        <v/>
      </c>
      <c r="AQ2683" s="2"/>
      <c r="AR2683" s="2"/>
      <c r="AS2683" s="2"/>
      <c r="AT2683" s="2"/>
      <c r="AU2683" s="2"/>
      <c r="AV2683" s="2"/>
      <c r="AW2683" s="2"/>
      <c r="AX2683" s="2"/>
      <c r="AY2683" s="2"/>
      <c r="AZ2683" s="2"/>
      <c r="BA2683" s="2"/>
      <c r="BB2683" s="2"/>
    </row>
    <row r="2684">
      <c r="A2684" s="2"/>
      <c r="B2684" s="2" t="str">
        <f>IFERROR(__xludf.DUMMYFUNCTION("""COMPUTED_VALUE"""),"")</f>
        <v/>
      </c>
      <c r="C2684" s="2"/>
      <c r="D2684" s="71"/>
      <c r="E2684" s="71" t="str">
        <f>IFERROR(__xludf.DUMMYFUNCTION("""COMPUTED_VALUE""")," ")</f>
        <v> </v>
      </c>
      <c r="F2684" s="2"/>
      <c r="G2684" s="2"/>
      <c r="H2684" s="2"/>
      <c r="I2684" s="72"/>
      <c r="J2684" s="72"/>
      <c r="K2684" s="72"/>
      <c r="L2684" s="72"/>
      <c r="M2684" s="2"/>
      <c r="N2684" s="2"/>
      <c r="O2684" s="2"/>
      <c r="P2684" s="2"/>
      <c r="Q2684" s="2"/>
      <c r="R2684" s="2"/>
      <c r="S2684" s="2"/>
      <c r="T2684" s="2"/>
      <c r="U2684" s="2"/>
      <c r="V2684" s="2"/>
      <c r="W2684" s="2"/>
      <c r="X2684" s="2"/>
      <c r="Y2684" s="2"/>
      <c r="Z2684" s="2"/>
      <c r="AA2684" s="2"/>
      <c r="AB2684" s="2"/>
      <c r="AC2684" s="2"/>
      <c r="AD2684" s="2"/>
      <c r="AE2684" s="2"/>
      <c r="AF2684" s="2"/>
      <c r="AG2684" s="2"/>
      <c r="AH2684" s="2"/>
      <c r="AI2684" s="2"/>
      <c r="AJ2684" s="2" t="str">
        <f>IFERROR(__xludf.DUMMYFUNCTION("""COMPUTED_VALUE"""),"")</f>
        <v/>
      </c>
      <c r="AK2684" s="2" t="str">
        <f>IFERROR(__xludf.DUMMYFUNCTION("""COMPUTED_VALUE"""),"")</f>
        <v/>
      </c>
      <c r="AL2684" s="2" t="str">
        <f>IFERROR(__xludf.DUMMYFUNCTION("""COMPUTED_VALUE"""),"")</f>
        <v/>
      </c>
      <c r="AM2684" s="2" t="str">
        <f>IFERROR(__xludf.DUMMYFUNCTION("""COMPUTED_VALUE"""),"")</f>
        <v/>
      </c>
      <c r="AN2684" s="2" t="str">
        <f>IFERROR(__xludf.DUMMYFUNCTION("""COMPUTED_VALUE""")," ")</f>
        <v> </v>
      </c>
      <c r="AO2684" s="2" t="str">
        <f>IFERROR(__xludf.DUMMYFUNCTION("""COMPUTED_VALUE""")," ")</f>
        <v> </v>
      </c>
      <c r="AP2684" s="2" t="str">
        <f>IFERROR(__xludf.DUMMYFUNCTION("""COMPUTED_VALUE"""),"")</f>
        <v/>
      </c>
      <c r="AQ2684" s="2"/>
      <c r="AR2684" s="2"/>
      <c r="AS2684" s="2"/>
      <c r="AT2684" s="2"/>
      <c r="AU2684" s="2"/>
      <c r="AV2684" s="2"/>
      <c r="AW2684" s="2"/>
      <c r="AX2684" s="2"/>
      <c r="AY2684" s="2"/>
      <c r="AZ2684" s="2"/>
      <c r="BA2684" s="2"/>
      <c r="BB2684" s="2"/>
    </row>
    <row r="2685">
      <c r="A2685" s="2"/>
      <c r="B2685" s="2" t="str">
        <f>IFERROR(__xludf.DUMMYFUNCTION("""COMPUTED_VALUE"""),"")</f>
        <v/>
      </c>
      <c r="C2685" s="2"/>
      <c r="D2685" s="71"/>
      <c r="E2685" s="71" t="str">
        <f>IFERROR(__xludf.DUMMYFUNCTION("""COMPUTED_VALUE""")," ")</f>
        <v> </v>
      </c>
      <c r="F2685" s="2"/>
      <c r="G2685" s="2"/>
      <c r="H2685" s="2"/>
      <c r="I2685" s="72"/>
      <c r="J2685" s="72"/>
      <c r="K2685" s="72"/>
      <c r="L2685" s="72"/>
      <c r="M2685" s="2"/>
      <c r="N2685" s="2"/>
      <c r="O2685" s="2"/>
      <c r="P2685" s="2"/>
      <c r="Q2685" s="2"/>
      <c r="R2685" s="2"/>
      <c r="S2685" s="2"/>
      <c r="T2685" s="2"/>
      <c r="U2685" s="2"/>
      <c r="V2685" s="2"/>
      <c r="W2685" s="2"/>
      <c r="X2685" s="2"/>
      <c r="Y2685" s="2"/>
      <c r="Z2685" s="2"/>
      <c r="AA2685" s="2"/>
      <c r="AB2685" s="2"/>
      <c r="AC2685" s="2"/>
      <c r="AD2685" s="2"/>
      <c r="AE2685" s="2"/>
      <c r="AF2685" s="2"/>
      <c r="AG2685" s="2"/>
      <c r="AH2685" s="2"/>
      <c r="AI2685" s="2"/>
      <c r="AJ2685" s="2" t="str">
        <f>IFERROR(__xludf.DUMMYFUNCTION("""COMPUTED_VALUE"""),"")</f>
        <v/>
      </c>
      <c r="AK2685" s="2" t="str">
        <f>IFERROR(__xludf.DUMMYFUNCTION("""COMPUTED_VALUE"""),"")</f>
        <v/>
      </c>
      <c r="AL2685" s="2" t="str">
        <f>IFERROR(__xludf.DUMMYFUNCTION("""COMPUTED_VALUE"""),"")</f>
        <v/>
      </c>
      <c r="AM2685" s="2" t="str">
        <f>IFERROR(__xludf.DUMMYFUNCTION("""COMPUTED_VALUE"""),"")</f>
        <v/>
      </c>
      <c r="AN2685" s="2" t="str">
        <f>IFERROR(__xludf.DUMMYFUNCTION("""COMPUTED_VALUE""")," ")</f>
        <v> </v>
      </c>
      <c r="AO2685" s="2" t="str">
        <f>IFERROR(__xludf.DUMMYFUNCTION("""COMPUTED_VALUE""")," ")</f>
        <v> </v>
      </c>
      <c r="AP2685" s="2" t="str">
        <f>IFERROR(__xludf.DUMMYFUNCTION("""COMPUTED_VALUE"""),"")</f>
        <v/>
      </c>
      <c r="AQ2685" s="2"/>
      <c r="AR2685" s="2"/>
      <c r="AS2685" s="2"/>
      <c r="AT2685" s="2"/>
      <c r="AU2685" s="2"/>
      <c r="AV2685" s="2"/>
      <c r="AW2685" s="2"/>
      <c r="AX2685" s="2"/>
      <c r="AY2685" s="2"/>
      <c r="AZ2685" s="2"/>
      <c r="BA2685" s="2"/>
      <c r="BB2685" s="2"/>
    </row>
    <row r="2686">
      <c r="A2686" s="2"/>
      <c r="B2686" s="2" t="str">
        <f>IFERROR(__xludf.DUMMYFUNCTION("""COMPUTED_VALUE"""),"")</f>
        <v/>
      </c>
      <c r="C2686" s="2"/>
      <c r="D2686" s="71"/>
      <c r="E2686" s="71" t="str">
        <f>IFERROR(__xludf.DUMMYFUNCTION("""COMPUTED_VALUE""")," ")</f>
        <v> </v>
      </c>
      <c r="F2686" s="2"/>
      <c r="G2686" s="2"/>
      <c r="H2686" s="2"/>
      <c r="I2686" s="72"/>
      <c r="J2686" s="72"/>
      <c r="K2686" s="72"/>
      <c r="L2686" s="72"/>
      <c r="M2686" s="2"/>
      <c r="N2686" s="2"/>
      <c r="O2686" s="2"/>
      <c r="P2686" s="2"/>
      <c r="Q2686" s="2"/>
      <c r="R2686" s="2"/>
      <c r="S2686" s="2"/>
      <c r="T2686" s="2"/>
      <c r="U2686" s="2"/>
      <c r="V2686" s="2"/>
      <c r="W2686" s="2"/>
      <c r="X2686" s="2"/>
      <c r="Y2686" s="2"/>
      <c r="Z2686" s="2"/>
      <c r="AA2686" s="2"/>
      <c r="AB2686" s="2"/>
      <c r="AC2686" s="2"/>
      <c r="AD2686" s="2"/>
      <c r="AE2686" s="2"/>
      <c r="AF2686" s="2"/>
      <c r="AG2686" s="2"/>
      <c r="AH2686" s="2"/>
      <c r="AI2686" s="2"/>
      <c r="AJ2686" s="2" t="str">
        <f>IFERROR(__xludf.DUMMYFUNCTION("""COMPUTED_VALUE"""),"")</f>
        <v/>
      </c>
      <c r="AK2686" s="2" t="str">
        <f>IFERROR(__xludf.DUMMYFUNCTION("""COMPUTED_VALUE"""),"")</f>
        <v/>
      </c>
      <c r="AL2686" s="2" t="str">
        <f>IFERROR(__xludf.DUMMYFUNCTION("""COMPUTED_VALUE"""),"")</f>
        <v/>
      </c>
      <c r="AM2686" s="2" t="str">
        <f>IFERROR(__xludf.DUMMYFUNCTION("""COMPUTED_VALUE"""),"")</f>
        <v/>
      </c>
      <c r="AN2686" s="2" t="str">
        <f>IFERROR(__xludf.DUMMYFUNCTION("""COMPUTED_VALUE""")," ")</f>
        <v> </v>
      </c>
      <c r="AO2686" s="2" t="str">
        <f>IFERROR(__xludf.DUMMYFUNCTION("""COMPUTED_VALUE""")," ")</f>
        <v> </v>
      </c>
      <c r="AP2686" s="2" t="str">
        <f>IFERROR(__xludf.DUMMYFUNCTION("""COMPUTED_VALUE"""),"")</f>
        <v/>
      </c>
      <c r="AQ2686" s="2"/>
      <c r="AR2686" s="2"/>
      <c r="AS2686" s="2"/>
      <c r="AT2686" s="2"/>
      <c r="AU2686" s="2"/>
      <c r="AV2686" s="2"/>
      <c r="AW2686" s="2"/>
      <c r="AX2686" s="2"/>
      <c r="AY2686" s="2"/>
      <c r="AZ2686" s="2"/>
      <c r="BA2686" s="2"/>
      <c r="BB2686" s="2"/>
    </row>
    <row r="2687">
      <c r="A2687" s="2"/>
      <c r="B2687" s="2" t="str">
        <f>IFERROR(__xludf.DUMMYFUNCTION("""COMPUTED_VALUE"""),"")</f>
        <v/>
      </c>
      <c r="C2687" s="2"/>
      <c r="D2687" s="71"/>
      <c r="E2687" s="71" t="str">
        <f>IFERROR(__xludf.DUMMYFUNCTION("""COMPUTED_VALUE""")," ")</f>
        <v> </v>
      </c>
      <c r="F2687" s="2"/>
      <c r="G2687" s="2"/>
      <c r="H2687" s="2"/>
      <c r="I2687" s="72"/>
      <c r="J2687" s="72"/>
      <c r="K2687" s="72"/>
      <c r="L2687" s="72"/>
      <c r="M2687" s="2"/>
      <c r="N2687" s="2"/>
      <c r="O2687" s="2"/>
      <c r="P2687" s="2"/>
      <c r="Q2687" s="2"/>
      <c r="R2687" s="2"/>
      <c r="S2687" s="2"/>
      <c r="T2687" s="2"/>
      <c r="U2687" s="2"/>
      <c r="V2687" s="2"/>
      <c r="W2687" s="2"/>
      <c r="X2687" s="2"/>
      <c r="Y2687" s="2"/>
      <c r="Z2687" s="2"/>
      <c r="AA2687" s="2"/>
      <c r="AB2687" s="2"/>
      <c r="AC2687" s="2"/>
      <c r="AD2687" s="2"/>
      <c r="AE2687" s="2"/>
      <c r="AF2687" s="2"/>
      <c r="AG2687" s="2"/>
      <c r="AH2687" s="2"/>
      <c r="AI2687" s="2"/>
      <c r="AJ2687" s="2" t="str">
        <f>IFERROR(__xludf.DUMMYFUNCTION("""COMPUTED_VALUE"""),"")</f>
        <v/>
      </c>
      <c r="AK2687" s="2" t="str">
        <f>IFERROR(__xludf.DUMMYFUNCTION("""COMPUTED_VALUE"""),"")</f>
        <v/>
      </c>
      <c r="AL2687" s="2" t="str">
        <f>IFERROR(__xludf.DUMMYFUNCTION("""COMPUTED_VALUE"""),"")</f>
        <v/>
      </c>
      <c r="AM2687" s="2" t="str">
        <f>IFERROR(__xludf.DUMMYFUNCTION("""COMPUTED_VALUE"""),"")</f>
        <v/>
      </c>
      <c r="AN2687" s="2" t="str">
        <f>IFERROR(__xludf.DUMMYFUNCTION("""COMPUTED_VALUE""")," ")</f>
        <v> </v>
      </c>
      <c r="AO2687" s="2" t="str">
        <f>IFERROR(__xludf.DUMMYFUNCTION("""COMPUTED_VALUE""")," ")</f>
        <v> </v>
      </c>
      <c r="AP2687" s="2" t="str">
        <f>IFERROR(__xludf.DUMMYFUNCTION("""COMPUTED_VALUE"""),"")</f>
        <v/>
      </c>
      <c r="AQ2687" s="2"/>
      <c r="AR2687" s="2"/>
      <c r="AS2687" s="2"/>
      <c r="AT2687" s="2"/>
      <c r="AU2687" s="2"/>
      <c r="AV2687" s="2"/>
      <c r="AW2687" s="2"/>
      <c r="AX2687" s="2"/>
      <c r="AY2687" s="2"/>
      <c r="AZ2687" s="2"/>
      <c r="BA2687" s="2"/>
      <c r="BB2687" s="2"/>
    </row>
    <row r="2688">
      <c r="A2688" s="2"/>
      <c r="B2688" s="2" t="str">
        <f>IFERROR(__xludf.DUMMYFUNCTION("""COMPUTED_VALUE"""),"")</f>
        <v/>
      </c>
      <c r="C2688" s="2"/>
      <c r="D2688" s="71"/>
      <c r="E2688" s="71" t="str">
        <f>IFERROR(__xludf.DUMMYFUNCTION("""COMPUTED_VALUE""")," ")</f>
        <v> </v>
      </c>
      <c r="F2688" s="2"/>
      <c r="G2688" s="2"/>
      <c r="H2688" s="2"/>
      <c r="I2688" s="72"/>
      <c r="J2688" s="72"/>
      <c r="K2688" s="72"/>
      <c r="L2688" s="72"/>
      <c r="M2688" s="2"/>
      <c r="N2688" s="2"/>
      <c r="O2688" s="2"/>
      <c r="P2688" s="2"/>
      <c r="Q2688" s="2"/>
      <c r="R2688" s="2"/>
      <c r="S2688" s="2"/>
      <c r="T2688" s="2"/>
      <c r="U2688" s="2"/>
      <c r="V2688" s="2"/>
      <c r="W2688" s="2"/>
      <c r="X2688" s="2"/>
      <c r="Y2688" s="2"/>
      <c r="Z2688" s="2"/>
      <c r="AA2688" s="2"/>
      <c r="AB2688" s="2"/>
      <c r="AC2688" s="2"/>
      <c r="AD2688" s="2"/>
      <c r="AE2688" s="2"/>
      <c r="AF2688" s="2"/>
      <c r="AG2688" s="2"/>
      <c r="AH2688" s="2"/>
      <c r="AI2688" s="2"/>
      <c r="AJ2688" s="2" t="str">
        <f>IFERROR(__xludf.DUMMYFUNCTION("""COMPUTED_VALUE"""),"")</f>
        <v/>
      </c>
      <c r="AK2688" s="2" t="str">
        <f>IFERROR(__xludf.DUMMYFUNCTION("""COMPUTED_VALUE"""),"")</f>
        <v/>
      </c>
      <c r="AL2688" s="2" t="str">
        <f>IFERROR(__xludf.DUMMYFUNCTION("""COMPUTED_VALUE"""),"")</f>
        <v/>
      </c>
      <c r="AM2688" s="2" t="str">
        <f>IFERROR(__xludf.DUMMYFUNCTION("""COMPUTED_VALUE"""),"")</f>
        <v/>
      </c>
      <c r="AN2688" s="2" t="str">
        <f>IFERROR(__xludf.DUMMYFUNCTION("""COMPUTED_VALUE""")," ")</f>
        <v> </v>
      </c>
      <c r="AO2688" s="2" t="str">
        <f>IFERROR(__xludf.DUMMYFUNCTION("""COMPUTED_VALUE""")," ")</f>
        <v> </v>
      </c>
      <c r="AP2688" s="2" t="str">
        <f>IFERROR(__xludf.DUMMYFUNCTION("""COMPUTED_VALUE"""),"")</f>
        <v/>
      </c>
      <c r="AQ2688" s="2"/>
      <c r="AR2688" s="2"/>
      <c r="AS2688" s="2"/>
      <c r="AT2688" s="2"/>
      <c r="AU2688" s="2"/>
      <c r="AV2688" s="2"/>
      <c r="AW2688" s="2"/>
      <c r="AX2688" s="2"/>
      <c r="AY2688" s="2"/>
      <c r="AZ2688" s="2"/>
      <c r="BA2688" s="2"/>
      <c r="BB2688" s="2"/>
    </row>
    <row r="2689">
      <c r="A2689" s="2"/>
      <c r="B2689" s="2" t="str">
        <f>IFERROR(__xludf.DUMMYFUNCTION("""COMPUTED_VALUE"""),"")</f>
        <v/>
      </c>
      <c r="C2689" s="2"/>
      <c r="D2689" s="71"/>
      <c r="E2689" s="71" t="str">
        <f>IFERROR(__xludf.DUMMYFUNCTION("""COMPUTED_VALUE""")," ")</f>
        <v> </v>
      </c>
      <c r="F2689" s="2"/>
      <c r="G2689" s="2"/>
      <c r="H2689" s="2"/>
      <c r="I2689" s="72"/>
      <c r="J2689" s="72"/>
      <c r="K2689" s="72"/>
      <c r="L2689" s="72"/>
      <c r="M2689" s="2"/>
      <c r="N2689" s="2"/>
      <c r="O2689" s="2"/>
      <c r="P2689" s="2"/>
      <c r="Q2689" s="2"/>
      <c r="R2689" s="2"/>
      <c r="S2689" s="2"/>
      <c r="T2689" s="2"/>
      <c r="U2689" s="2"/>
      <c r="V2689" s="2"/>
      <c r="W2689" s="2"/>
      <c r="X2689" s="2"/>
      <c r="Y2689" s="2"/>
      <c r="Z2689" s="2"/>
      <c r="AA2689" s="2"/>
      <c r="AB2689" s="2"/>
      <c r="AC2689" s="2"/>
      <c r="AD2689" s="2"/>
      <c r="AE2689" s="2"/>
      <c r="AF2689" s="2"/>
      <c r="AG2689" s="2"/>
      <c r="AH2689" s="2"/>
      <c r="AI2689" s="2"/>
      <c r="AJ2689" s="2" t="str">
        <f>IFERROR(__xludf.DUMMYFUNCTION("""COMPUTED_VALUE"""),"")</f>
        <v/>
      </c>
      <c r="AK2689" s="2" t="str">
        <f>IFERROR(__xludf.DUMMYFUNCTION("""COMPUTED_VALUE"""),"")</f>
        <v/>
      </c>
      <c r="AL2689" s="2" t="str">
        <f>IFERROR(__xludf.DUMMYFUNCTION("""COMPUTED_VALUE"""),"")</f>
        <v/>
      </c>
      <c r="AM2689" s="2" t="str">
        <f>IFERROR(__xludf.DUMMYFUNCTION("""COMPUTED_VALUE"""),"")</f>
        <v/>
      </c>
      <c r="AN2689" s="2" t="str">
        <f>IFERROR(__xludf.DUMMYFUNCTION("""COMPUTED_VALUE""")," ")</f>
        <v> </v>
      </c>
      <c r="AO2689" s="2" t="str">
        <f>IFERROR(__xludf.DUMMYFUNCTION("""COMPUTED_VALUE""")," ")</f>
        <v> </v>
      </c>
      <c r="AP2689" s="2" t="str">
        <f>IFERROR(__xludf.DUMMYFUNCTION("""COMPUTED_VALUE"""),"")</f>
        <v/>
      </c>
      <c r="AQ2689" s="2"/>
      <c r="AR2689" s="2"/>
      <c r="AS2689" s="2"/>
      <c r="AT2689" s="2"/>
      <c r="AU2689" s="2"/>
      <c r="AV2689" s="2"/>
      <c r="AW2689" s="2"/>
      <c r="AX2689" s="2"/>
      <c r="AY2689" s="2"/>
      <c r="AZ2689" s="2"/>
      <c r="BA2689" s="2"/>
      <c r="BB2689" s="2"/>
    </row>
    <row r="2690">
      <c r="A2690" s="2"/>
      <c r="B2690" s="2" t="str">
        <f>IFERROR(__xludf.DUMMYFUNCTION("""COMPUTED_VALUE"""),"")</f>
        <v/>
      </c>
      <c r="C2690" s="2"/>
      <c r="D2690" s="71"/>
      <c r="E2690" s="71" t="str">
        <f>IFERROR(__xludf.DUMMYFUNCTION("""COMPUTED_VALUE""")," ")</f>
        <v> </v>
      </c>
      <c r="F2690" s="2"/>
      <c r="G2690" s="2"/>
      <c r="H2690" s="2"/>
      <c r="I2690" s="72"/>
      <c r="J2690" s="72"/>
      <c r="K2690" s="72"/>
      <c r="L2690" s="72"/>
      <c r="M2690" s="2"/>
      <c r="N2690" s="2"/>
      <c r="O2690" s="2"/>
      <c r="P2690" s="2"/>
      <c r="Q2690" s="2"/>
      <c r="R2690" s="2"/>
      <c r="S2690" s="2"/>
      <c r="T2690" s="2"/>
      <c r="U2690" s="2"/>
      <c r="V2690" s="2"/>
      <c r="W2690" s="2"/>
      <c r="X2690" s="2"/>
      <c r="Y2690" s="2"/>
      <c r="Z2690" s="2"/>
      <c r="AA2690" s="2"/>
      <c r="AB2690" s="2"/>
      <c r="AC2690" s="2"/>
      <c r="AD2690" s="2"/>
      <c r="AE2690" s="2"/>
      <c r="AF2690" s="2"/>
      <c r="AG2690" s="2"/>
      <c r="AH2690" s="2"/>
      <c r="AI2690" s="2"/>
      <c r="AJ2690" s="2" t="str">
        <f>IFERROR(__xludf.DUMMYFUNCTION("""COMPUTED_VALUE"""),"")</f>
        <v/>
      </c>
      <c r="AK2690" s="2" t="str">
        <f>IFERROR(__xludf.DUMMYFUNCTION("""COMPUTED_VALUE"""),"")</f>
        <v/>
      </c>
      <c r="AL2690" s="2" t="str">
        <f>IFERROR(__xludf.DUMMYFUNCTION("""COMPUTED_VALUE"""),"")</f>
        <v/>
      </c>
      <c r="AM2690" s="2" t="str">
        <f>IFERROR(__xludf.DUMMYFUNCTION("""COMPUTED_VALUE"""),"")</f>
        <v/>
      </c>
      <c r="AN2690" s="2" t="str">
        <f>IFERROR(__xludf.DUMMYFUNCTION("""COMPUTED_VALUE""")," ")</f>
        <v> </v>
      </c>
      <c r="AO2690" s="2" t="str">
        <f>IFERROR(__xludf.DUMMYFUNCTION("""COMPUTED_VALUE""")," ")</f>
        <v> </v>
      </c>
      <c r="AP2690" s="2" t="str">
        <f>IFERROR(__xludf.DUMMYFUNCTION("""COMPUTED_VALUE"""),"")</f>
        <v/>
      </c>
      <c r="AQ2690" s="2"/>
      <c r="AR2690" s="2"/>
      <c r="AS2690" s="2"/>
      <c r="AT2690" s="2"/>
      <c r="AU2690" s="2"/>
      <c r="AV2690" s="2"/>
      <c r="AW2690" s="2"/>
      <c r="AX2690" s="2"/>
      <c r="AY2690" s="2"/>
      <c r="AZ2690" s="2"/>
      <c r="BA2690" s="2"/>
      <c r="BB2690" s="2"/>
    </row>
    <row r="2691">
      <c r="A2691" s="2"/>
      <c r="B2691" s="2" t="str">
        <f>IFERROR(__xludf.DUMMYFUNCTION("""COMPUTED_VALUE"""),"")</f>
        <v/>
      </c>
      <c r="C2691" s="2"/>
      <c r="D2691" s="71"/>
      <c r="E2691" s="71" t="str">
        <f>IFERROR(__xludf.DUMMYFUNCTION("""COMPUTED_VALUE""")," ")</f>
        <v> </v>
      </c>
      <c r="F2691" s="2"/>
      <c r="G2691" s="2"/>
      <c r="H2691" s="2"/>
      <c r="I2691" s="72"/>
      <c r="J2691" s="72"/>
      <c r="K2691" s="72"/>
      <c r="L2691" s="72"/>
      <c r="M2691" s="2"/>
      <c r="N2691" s="2"/>
      <c r="O2691" s="2"/>
      <c r="P2691" s="2"/>
      <c r="Q2691" s="2"/>
      <c r="R2691" s="2"/>
      <c r="S2691" s="2"/>
      <c r="T2691" s="2"/>
      <c r="U2691" s="2"/>
      <c r="V2691" s="2"/>
      <c r="W2691" s="2"/>
      <c r="X2691" s="2"/>
      <c r="Y2691" s="2"/>
      <c r="Z2691" s="2"/>
      <c r="AA2691" s="2"/>
      <c r="AB2691" s="2"/>
      <c r="AC2691" s="2"/>
      <c r="AD2691" s="2"/>
      <c r="AE2691" s="2"/>
      <c r="AF2691" s="2"/>
      <c r="AG2691" s="2"/>
      <c r="AH2691" s="2"/>
      <c r="AI2691" s="2"/>
      <c r="AJ2691" s="2" t="str">
        <f>IFERROR(__xludf.DUMMYFUNCTION("""COMPUTED_VALUE"""),"")</f>
        <v/>
      </c>
      <c r="AK2691" s="2" t="str">
        <f>IFERROR(__xludf.DUMMYFUNCTION("""COMPUTED_VALUE"""),"")</f>
        <v/>
      </c>
      <c r="AL2691" s="2" t="str">
        <f>IFERROR(__xludf.DUMMYFUNCTION("""COMPUTED_VALUE"""),"")</f>
        <v/>
      </c>
      <c r="AM2691" s="2" t="str">
        <f>IFERROR(__xludf.DUMMYFUNCTION("""COMPUTED_VALUE"""),"")</f>
        <v/>
      </c>
      <c r="AN2691" s="2" t="str">
        <f>IFERROR(__xludf.DUMMYFUNCTION("""COMPUTED_VALUE""")," ")</f>
        <v> </v>
      </c>
      <c r="AO2691" s="2" t="str">
        <f>IFERROR(__xludf.DUMMYFUNCTION("""COMPUTED_VALUE""")," ")</f>
        <v> </v>
      </c>
      <c r="AP2691" s="2" t="str">
        <f>IFERROR(__xludf.DUMMYFUNCTION("""COMPUTED_VALUE"""),"")</f>
        <v/>
      </c>
      <c r="AQ2691" s="2"/>
      <c r="AR2691" s="2"/>
      <c r="AS2691" s="2"/>
      <c r="AT2691" s="2"/>
      <c r="AU2691" s="2"/>
      <c r="AV2691" s="2"/>
      <c r="AW2691" s="2"/>
      <c r="AX2691" s="2"/>
      <c r="AY2691" s="2"/>
      <c r="AZ2691" s="2"/>
      <c r="BA2691" s="2"/>
      <c r="BB2691" s="2"/>
    </row>
    <row r="2692">
      <c r="A2692" s="2"/>
      <c r="B2692" s="2" t="str">
        <f>IFERROR(__xludf.DUMMYFUNCTION("""COMPUTED_VALUE"""),"")</f>
        <v/>
      </c>
      <c r="C2692" s="2"/>
      <c r="D2692" s="71"/>
      <c r="E2692" s="71" t="str">
        <f>IFERROR(__xludf.DUMMYFUNCTION("""COMPUTED_VALUE""")," ")</f>
        <v> </v>
      </c>
      <c r="F2692" s="2"/>
      <c r="G2692" s="2"/>
      <c r="H2692" s="2"/>
      <c r="I2692" s="72"/>
      <c r="J2692" s="72"/>
      <c r="K2692" s="72"/>
      <c r="L2692" s="72"/>
      <c r="M2692" s="2"/>
      <c r="N2692" s="2"/>
      <c r="O2692" s="2"/>
      <c r="P2692" s="2"/>
      <c r="Q2692" s="2"/>
      <c r="R2692" s="2"/>
      <c r="S2692" s="2"/>
      <c r="T2692" s="2"/>
      <c r="U2692" s="2"/>
      <c r="V2692" s="2"/>
      <c r="W2692" s="2"/>
      <c r="X2692" s="2"/>
      <c r="Y2692" s="2"/>
      <c r="Z2692" s="2"/>
      <c r="AA2692" s="2"/>
      <c r="AB2692" s="2"/>
      <c r="AC2692" s="2"/>
      <c r="AD2692" s="2"/>
      <c r="AE2692" s="2"/>
      <c r="AF2692" s="2"/>
      <c r="AG2692" s="2"/>
      <c r="AH2692" s="2"/>
      <c r="AI2692" s="2"/>
      <c r="AJ2692" s="2" t="str">
        <f>IFERROR(__xludf.DUMMYFUNCTION("""COMPUTED_VALUE"""),"")</f>
        <v/>
      </c>
      <c r="AK2692" s="2" t="str">
        <f>IFERROR(__xludf.DUMMYFUNCTION("""COMPUTED_VALUE"""),"")</f>
        <v/>
      </c>
      <c r="AL2692" s="2" t="str">
        <f>IFERROR(__xludf.DUMMYFUNCTION("""COMPUTED_VALUE"""),"")</f>
        <v/>
      </c>
      <c r="AM2692" s="2" t="str">
        <f>IFERROR(__xludf.DUMMYFUNCTION("""COMPUTED_VALUE"""),"")</f>
        <v/>
      </c>
      <c r="AN2692" s="2" t="str">
        <f>IFERROR(__xludf.DUMMYFUNCTION("""COMPUTED_VALUE""")," ")</f>
        <v> </v>
      </c>
      <c r="AO2692" s="2" t="str">
        <f>IFERROR(__xludf.DUMMYFUNCTION("""COMPUTED_VALUE""")," ")</f>
        <v> </v>
      </c>
      <c r="AP2692" s="2" t="str">
        <f>IFERROR(__xludf.DUMMYFUNCTION("""COMPUTED_VALUE"""),"")</f>
        <v/>
      </c>
      <c r="AQ2692" s="2"/>
      <c r="AR2692" s="2"/>
      <c r="AS2692" s="2"/>
      <c r="AT2692" s="2"/>
      <c r="AU2692" s="2"/>
      <c r="AV2692" s="2"/>
      <c r="AW2692" s="2"/>
      <c r="AX2692" s="2"/>
      <c r="AY2692" s="2"/>
      <c r="AZ2692" s="2"/>
      <c r="BA2692" s="2"/>
      <c r="BB2692" s="2"/>
    </row>
    <row r="2693">
      <c r="A2693" s="2"/>
      <c r="B2693" s="2" t="str">
        <f>IFERROR(__xludf.DUMMYFUNCTION("""COMPUTED_VALUE"""),"")</f>
        <v/>
      </c>
      <c r="C2693" s="2"/>
      <c r="D2693" s="71"/>
      <c r="E2693" s="71" t="str">
        <f>IFERROR(__xludf.DUMMYFUNCTION("""COMPUTED_VALUE""")," ")</f>
        <v> </v>
      </c>
      <c r="F2693" s="2"/>
      <c r="G2693" s="2"/>
      <c r="H2693" s="2"/>
      <c r="I2693" s="72"/>
      <c r="J2693" s="72"/>
      <c r="K2693" s="72"/>
      <c r="L2693" s="72"/>
      <c r="M2693" s="2"/>
      <c r="N2693" s="2"/>
      <c r="O2693" s="2"/>
      <c r="P2693" s="2"/>
      <c r="Q2693" s="2"/>
      <c r="R2693" s="2"/>
      <c r="S2693" s="2"/>
      <c r="T2693" s="2"/>
      <c r="U2693" s="2"/>
      <c r="V2693" s="2"/>
      <c r="W2693" s="2"/>
      <c r="X2693" s="2"/>
      <c r="Y2693" s="2"/>
      <c r="Z2693" s="2"/>
      <c r="AA2693" s="2"/>
      <c r="AB2693" s="2"/>
      <c r="AC2693" s="2"/>
      <c r="AD2693" s="2"/>
      <c r="AE2693" s="2"/>
      <c r="AF2693" s="2"/>
      <c r="AG2693" s="2"/>
      <c r="AH2693" s="2"/>
      <c r="AI2693" s="2"/>
      <c r="AJ2693" s="2" t="str">
        <f>IFERROR(__xludf.DUMMYFUNCTION("""COMPUTED_VALUE"""),"")</f>
        <v/>
      </c>
      <c r="AK2693" s="2" t="str">
        <f>IFERROR(__xludf.DUMMYFUNCTION("""COMPUTED_VALUE"""),"")</f>
        <v/>
      </c>
      <c r="AL2693" s="2" t="str">
        <f>IFERROR(__xludf.DUMMYFUNCTION("""COMPUTED_VALUE"""),"")</f>
        <v/>
      </c>
      <c r="AM2693" s="2" t="str">
        <f>IFERROR(__xludf.DUMMYFUNCTION("""COMPUTED_VALUE"""),"")</f>
        <v/>
      </c>
      <c r="AN2693" s="2" t="str">
        <f>IFERROR(__xludf.DUMMYFUNCTION("""COMPUTED_VALUE""")," ")</f>
        <v> </v>
      </c>
      <c r="AO2693" s="2" t="str">
        <f>IFERROR(__xludf.DUMMYFUNCTION("""COMPUTED_VALUE""")," ")</f>
        <v> </v>
      </c>
      <c r="AP2693" s="2" t="str">
        <f>IFERROR(__xludf.DUMMYFUNCTION("""COMPUTED_VALUE"""),"")</f>
        <v/>
      </c>
      <c r="AQ2693" s="2"/>
      <c r="AR2693" s="2"/>
      <c r="AS2693" s="2"/>
      <c r="AT2693" s="2"/>
      <c r="AU2693" s="2"/>
      <c r="AV2693" s="2"/>
      <c r="AW2693" s="2"/>
      <c r="AX2693" s="2"/>
      <c r="AY2693" s="2"/>
      <c r="AZ2693" s="2"/>
      <c r="BA2693" s="2"/>
      <c r="BB2693" s="2"/>
    </row>
    <row r="2694">
      <c r="A2694" s="2"/>
      <c r="B2694" s="2" t="str">
        <f>IFERROR(__xludf.DUMMYFUNCTION("""COMPUTED_VALUE"""),"")</f>
        <v/>
      </c>
      <c r="C2694" s="2"/>
      <c r="D2694" s="71"/>
      <c r="E2694" s="71" t="str">
        <f>IFERROR(__xludf.DUMMYFUNCTION("""COMPUTED_VALUE""")," ")</f>
        <v> </v>
      </c>
      <c r="F2694" s="2"/>
      <c r="G2694" s="2"/>
      <c r="H2694" s="2"/>
      <c r="I2694" s="72"/>
      <c r="J2694" s="72"/>
      <c r="K2694" s="72"/>
      <c r="L2694" s="72"/>
      <c r="M2694" s="2"/>
      <c r="N2694" s="2"/>
      <c r="O2694" s="2"/>
      <c r="P2694" s="2"/>
      <c r="Q2694" s="2"/>
      <c r="R2694" s="2"/>
      <c r="S2694" s="2"/>
      <c r="T2694" s="2"/>
      <c r="U2694" s="2"/>
      <c r="V2694" s="2"/>
      <c r="W2694" s="2"/>
      <c r="X2694" s="2"/>
      <c r="Y2694" s="2"/>
      <c r="Z2694" s="2"/>
      <c r="AA2694" s="2"/>
      <c r="AB2694" s="2"/>
      <c r="AC2694" s="2"/>
      <c r="AD2694" s="2"/>
      <c r="AE2694" s="2"/>
      <c r="AF2694" s="2"/>
      <c r="AG2694" s="2"/>
      <c r="AH2694" s="2"/>
      <c r="AI2694" s="2"/>
      <c r="AJ2694" s="2" t="str">
        <f>IFERROR(__xludf.DUMMYFUNCTION("""COMPUTED_VALUE"""),"")</f>
        <v/>
      </c>
      <c r="AK2694" s="2" t="str">
        <f>IFERROR(__xludf.DUMMYFUNCTION("""COMPUTED_VALUE"""),"")</f>
        <v/>
      </c>
      <c r="AL2694" s="2" t="str">
        <f>IFERROR(__xludf.DUMMYFUNCTION("""COMPUTED_VALUE"""),"")</f>
        <v/>
      </c>
      <c r="AM2694" s="2" t="str">
        <f>IFERROR(__xludf.DUMMYFUNCTION("""COMPUTED_VALUE"""),"")</f>
        <v/>
      </c>
      <c r="AN2694" s="2" t="str">
        <f>IFERROR(__xludf.DUMMYFUNCTION("""COMPUTED_VALUE""")," ")</f>
        <v> </v>
      </c>
      <c r="AO2694" s="2" t="str">
        <f>IFERROR(__xludf.DUMMYFUNCTION("""COMPUTED_VALUE""")," ")</f>
        <v> </v>
      </c>
      <c r="AP2694" s="2" t="str">
        <f>IFERROR(__xludf.DUMMYFUNCTION("""COMPUTED_VALUE"""),"")</f>
        <v/>
      </c>
      <c r="AQ2694" s="2"/>
      <c r="AR2694" s="2"/>
      <c r="AS2694" s="2"/>
      <c r="AT2694" s="2"/>
      <c r="AU2694" s="2"/>
      <c r="AV2694" s="2"/>
      <c r="AW2694" s="2"/>
      <c r="AX2694" s="2"/>
      <c r="AY2694" s="2"/>
      <c r="AZ2694" s="2"/>
      <c r="BA2694" s="2"/>
      <c r="BB2694" s="2"/>
    </row>
    <row r="2695">
      <c r="A2695" s="2"/>
      <c r="B2695" s="2" t="str">
        <f>IFERROR(__xludf.DUMMYFUNCTION("""COMPUTED_VALUE"""),"")</f>
        <v/>
      </c>
      <c r="C2695" s="2"/>
      <c r="D2695" s="71"/>
      <c r="E2695" s="71" t="str">
        <f>IFERROR(__xludf.DUMMYFUNCTION("""COMPUTED_VALUE""")," ")</f>
        <v> </v>
      </c>
      <c r="F2695" s="2"/>
      <c r="G2695" s="2"/>
      <c r="H2695" s="2"/>
      <c r="I2695" s="72"/>
      <c r="J2695" s="72"/>
      <c r="K2695" s="72"/>
      <c r="L2695" s="72"/>
      <c r="M2695" s="2"/>
      <c r="N2695" s="2"/>
      <c r="O2695" s="2"/>
      <c r="P2695" s="2"/>
      <c r="Q2695" s="2"/>
      <c r="R2695" s="2"/>
      <c r="S2695" s="2"/>
      <c r="T2695" s="2"/>
      <c r="U2695" s="2"/>
      <c r="V2695" s="2"/>
      <c r="W2695" s="2"/>
      <c r="X2695" s="2"/>
      <c r="Y2695" s="2"/>
      <c r="Z2695" s="2"/>
      <c r="AA2695" s="2"/>
      <c r="AB2695" s="2"/>
      <c r="AC2695" s="2"/>
      <c r="AD2695" s="2"/>
      <c r="AE2695" s="2"/>
      <c r="AF2695" s="2"/>
      <c r="AG2695" s="2"/>
      <c r="AH2695" s="2"/>
      <c r="AI2695" s="2"/>
      <c r="AJ2695" s="2" t="str">
        <f>IFERROR(__xludf.DUMMYFUNCTION("""COMPUTED_VALUE"""),"")</f>
        <v/>
      </c>
      <c r="AK2695" s="2" t="str">
        <f>IFERROR(__xludf.DUMMYFUNCTION("""COMPUTED_VALUE"""),"")</f>
        <v/>
      </c>
      <c r="AL2695" s="2" t="str">
        <f>IFERROR(__xludf.DUMMYFUNCTION("""COMPUTED_VALUE"""),"")</f>
        <v/>
      </c>
      <c r="AM2695" s="2" t="str">
        <f>IFERROR(__xludf.DUMMYFUNCTION("""COMPUTED_VALUE"""),"")</f>
        <v/>
      </c>
      <c r="AN2695" s="2" t="str">
        <f>IFERROR(__xludf.DUMMYFUNCTION("""COMPUTED_VALUE""")," ")</f>
        <v> </v>
      </c>
      <c r="AO2695" s="2" t="str">
        <f>IFERROR(__xludf.DUMMYFUNCTION("""COMPUTED_VALUE""")," ")</f>
        <v> </v>
      </c>
      <c r="AP2695" s="2" t="str">
        <f>IFERROR(__xludf.DUMMYFUNCTION("""COMPUTED_VALUE"""),"")</f>
        <v/>
      </c>
      <c r="AQ2695" s="2"/>
      <c r="AR2695" s="2"/>
      <c r="AS2695" s="2"/>
      <c r="AT2695" s="2"/>
      <c r="AU2695" s="2"/>
      <c r="AV2695" s="2"/>
      <c r="AW2695" s="2"/>
      <c r="AX2695" s="2"/>
      <c r="AY2695" s="2"/>
      <c r="AZ2695" s="2"/>
      <c r="BA2695" s="2"/>
      <c r="BB2695" s="2"/>
    </row>
    <row r="2696">
      <c r="A2696" s="2"/>
      <c r="B2696" s="2" t="str">
        <f>IFERROR(__xludf.DUMMYFUNCTION("""COMPUTED_VALUE"""),"")</f>
        <v/>
      </c>
      <c r="C2696" s="2"/>
      <c r="D2696" s="71"/>
      <c r="E2696" s="71" t="str">
        <f>IFERROR(__xludf.DUMMYFUNCTION("""COMPUTED_VALUE""")," ")</f>
        <v> </v>
      </c>
      <c r="F2696" s="2"/>
      <c r="G2696" s="2"/>
      <c r="H2696" s="2"/>
      <c r="I2696" s="72"/>
      <c r="J2696" s="72"/>
      <c r="K2696" s="72"/>
      <c r="L2696" s="72"/>
      <c r="M2696" s="2"/>
      <c r="N2696" s="2"/>
      <c r="O2696" s="2"/>
      <c r="P2696" s="2"/>
      <c r="Q2696" s="2"/>
      <c r="R2696" s="2"/>
      <c r="S2696" s="2"/>
      <c r="T2696" s="2"/>
      <c r="U2696" s="2"/>
      <c r="V2696" s="2"/>
      <c r="W2696" s="2"/>
      <c r="X2696" s="2"/>
      <c r="Y2696" s="2"/>
      <c r="Z2696" s="2"/>
      <c r="AA2696" s="2"/>
      <c r="AB2696" s="2"/>
      <c r="AC2696" s="2"/>
      <c r="AD2696" s="2"/>
      <c r="AE2696" s="2"/>
      <c r="AF2696" s="2"/>
      <c r="AG2696" s="2"/>
      <c r="AH2696" s="2"/>
      <c r="AI2696" s="2"/>
      <c r="AJ2696" s="2" t="str">
        <f>IFERROR(__xludf.DUMMYFUNCTION("""COMPUTED_VALUE"""),"")</f>
        <v/>
      </c>
      <c r="AK2696" s="2" t="str">
        <f>IFERROR(__xludf.DUMMYFUNCTION("""COMPUTED_VALUE"""),"")</f>
        <v/>
      </c>
      <c r="AL2696" s="2" t="str">
        <f>IFERROR(__xludf.DUMMYFUNCTION("""COMPUTED_VALUE"""),"")</f>
        <v/>
      </c>
      <c r="AM2696" s="2" t="str">
        <f>IFERROR(__xludf.DUMMYFUNCTION("""COMPUTED_VALUE"""),"")</f>
        <v/>
      </c>
      <c r="AN2696" s="2" t="str">
        <f>IFERROR(__xludf.DUMMYFUNCTION("""COMPUTED_VALUE""")," ")</f>
        <v> </v>
      </c>
      <c r="AO2696" s="2" t="str">
        <f>IFERROR(__xludf.DUMMYFUNCTION("""COMPUTED_VALUE""")," ")</f>
        <v> </v>
      </c>
      <c r="AP2696" s="2" t="str">
        <f>IFERROR(__xludf.DUMMYFUNCTION("""COMPUTED_VALUE"""),"")</f>
        <v/>
      </c>
      <c r="AQ2696" s="2"/>
      <c r="AR2696" s="2"/>
      <c r="AS2696" s="2"/>
      <c r="AT2696" s="2"/>
      <c r="AU2696" s="2"/>
      <c r="AV2696" s="2"/>
      <c r="AW2696" s="2"/>
      <c r="AX2696" s="2"/>
      <c r="AY2696" s="2"/>
      <c r="AZ2696" s="2"/>
      <c r="BA2696" s="2"/>
      <c r="BB2696" s="2"/>
    </row>
    <row r="2697">
      <c r="A2697" s="2"/>
      <c r="B2697" s="2" t="str">
        <f>IFERROR(__xludf.DUMMYFUNCTION("""COMPUTED_VALUE"""),"")</f>
        <v/>
      </c>
      <c r="C2697" s="2"/>
      <c r="D2697" s="71"/>
      <c r="E2697" s="71" t="str">
        <f>IFERROR(__xludf.DUMMYFUNCTION("""COMPUTED_VALUE""")," ")</f>
        <v> </v>
      </c>
      <c r="F2697" s="2"/>
      <c r="G2697" s="2"/>
      <c r="H2697" s="2"/>
      <c r="I2697" s="72"/>
      <c r="J2697" s="72"/>
      <c r="K2697" s="72"/>
      <c r="L2697" s="72"/>
      <c r="M2697" s="2"/>
      <c r="N2697" s="2"/>
      <c r="O2697" s="2"/>
      <c r="P2697" s="2"/>
      <c r="Q2697" s="2"/>
      <c r="R2697" s="2"/>
      <c r="S2697" s="2"/>
      <c r="T2697" s="2"/>
      <c r="U2697" s="2"/>
      <c r="V2697" s="2"/>
      <c r="W2697" s="2"/>
      <c r="X2697" s="2"/>
      <c r="Y2697" s="2"/>
      <c r="Z2697" s="2"/>
      <c r="AA2697" s="2"/>
      <c r="AB2697" s="2"/>
      <c r="AC2697" s="2"/>
      <c r="AD2697" s="2"/>
      <c r="AE2697" s="2"/>
      <c r="AF2697" s="2"/>
      <c r="AG2697" s="2"/>
      <c r="AH2697" s="2"/>
      <c r="AI2697" s="2"/>
      <c r="AJ2697" s="2" t="str">
        <f>IFERROR(__xludf.DUMMYFUNCTION("""COMPUTED_VALUE"""),"")</f>
        <v/>
      </c>
      <c r="AK2697" s="2" t="str">
        <f>IFERROR(__xludf.DUMMYFUNCTION("""COMPUTED_VALUE"""),"")</f>
        <v/>
      </c>
      <c r="AL2697" s="2" t="str">
        <f>IFERROR(__xludf.DUMMYFUNCTION("""COMPUTED_VALUE"""),"")</f>
        <v/>
      </c>
      <c r="AM2697" s="2" t="str">
        <f>IFERROR(__xludf.DUMMYFUNCTION("""COMPUTED_VALUE"""),"")</f>
        <v/>
      </c>
      <c r="AN2697" s="2" t="str">
        <f>IFERROR(__xludf.DUMMYFUNCTION("""COMPUTED_VALUE""")," ")</f>
        <v> </v>
      </c>
      <c r="AO2697" s="2" t="str">
        <f>IFERROR(__xludf.DUMMYFUNCTION("""COMPUTED_VALUE""")," ")</f>
        <v> </v>
      </c>
      <c r="AP2697" s="2" t="str">
        <f>IFERROR(__xludf.DUMMYFUNCTION("""COMPUTED_VALUE"""),"")</f>
        <v/>
      </c>
      <c r="AQ2697" s="2"/>
      <c r="AR2697" s="2"/>
      <c r="AS2697" s="2"/>
      <c r="AT2697" s="2"/>
      <c r="AU2697" s="2"/>
      <c r="AV2697" s="2"/>
      <c r="AW2697" s="2"/>
      <c r="AX2697" s="2"/>
      <c r="AY2697" s="2"/>
      <c r="AZ2697" s="2"/>
      <c r="BA2697" s="2"/>
      <c r="BB2697" s="2"/>
    </row>
    <row r="2698">
      <c r="A2698" s="2"/>
      <c r="B2698" s="2" t="str">
        <f>IFERROR(__xludf.DUMMYFUNCTION("""COMPUTED_VALUE"""),"")</f>
        <v/>
      </c>
      <c r="C2698" s="2"/>
      <c r="D2698" s="71"/>
      <c r="E2698" s="71" t="str">
        <f>IFERROR(__xludf.DUMMYFUNCTION("""COMPUTED_VALUE""")," ")</f>
        <v> </v>
      </c>
      <c r="F2698" s="2"/>
      <c r="G2698" s="2"/>
      <c r="H2698" s="2"/>
      <c r="I2698" s="72"/>
      <c r="J2698" s="72"/>
      <c r="K2698" s="72"/>
      <c r="L2698" s="72"/>
      <c r="M2698" s="2"/>
      <c r="N2698" s="2"/>
      <c r="O2698" s="2"/>
      <c r="P2698" s="2"/>
      <c r="Q2698" s="2"/>
      <c r="R2698" s="2"/>
      <c r="S2698" s="2"/>
      <c r="T2698" s="2"/>
      <c r="U2698" s="2"/>
      <c r="V2698" s="2"/>
      <c r="W2698" s="2"/>
      <c r="X2698" s="2"/>
      <c r="Y2698" s="2"/>
      <c r="Z2698" s="2"/>
      <c r="AA2698" s="2"/>
      <c r="AB2698" s="2"/>
      <c r="AC2698" s="2"/>
      <c r="AD2698" s="2"/>
      <c r="AE2698" s="2"/>
      <c r="AF2698" s="2"/>
      <c r="AG2698" s="2"/>
      <c r="AH2698" s="2"/>
      <c r="AI2698" s="2"/>
      <c r="AJ2698" s="2" t="str">
        <f>IFERROR(__xludf.DUMMYFUNCTION("""COMPUTED_VALUE"""),"")</f>
        <v/>
      </c>
      <c r="AK2698" s="2" t="str">
        <f>IFERROR(__xludf.DUMMYFUNCTION("""COMPUTED_VALUE"""),"")</f>
        <v/>
      </c>
      <c r="AL2698" s="2" t="str">
        <f>IFERROR(__xludf.DUMMYFUNCTION("""COMPUTED_VALUE"""),"")</f>
        <v/>
      </c>
      <c r="AM2698" s="2" t="str">
        <f>IFERROR(__xludf.DUMMYFUNCTION("""COMPUTED_VALUE"""),"")</f>
        <v/>
      </c>
      <c r="AN2698" s="2" t="str">
        <f>IFERROR(__xludf.DUMMYFUNCTION("""COMPUTED_VALUE""")," ")</f>
        <v> </v>
      </c>
      <c r="AO2698" s="2" t="str">
        <f>IFERROR(__xludf.DUMMYFUNCTION("""COMPUTED_VALUE""")," ")</f>
        <v> </v>
      </c>
      <c r="AP2698" s="2" t="str">
        <f>IFERROR(__xludf.DUMMYFUNCTION("""COMPUTED_VALUE"""),"")</f>
        <v/>
      </c>
      <c r="AQ2698" s="2"/>
      <c r="AR2698" s="2"/>
      <c r="AS2698" s="2"/>
      <c r="AT2698" s="2"/>
      <c r="AU2698" s="2"/>
      <c r="AV2698" s="2"/>
      <c r="AW2698" s="2"/>
      <c r="AX2698" s="2"/>
      <c r="AY2698" s="2"/>
      <c r="AZ2698" s="2"/>
      <c r="BA2698" s="2"/>
      <c r="BB2698" s="2"/>
    </row>
    <row r="2699">
      <c r="A2699" s="2"/>
      <c r="B2699" s="2" t="str">
        <f>IFERROR(__xludf.DUMMYFUNCTION("""COMPUTED_VALUE"""),"")</f>
        <v/>
      </c>
      <c r="C2699" s="2"/>
      <c r="D2699" s="71"/>
      <c r="E2699" s="71" t="str">
        <f>IFERROR(__xludf.DUMMYFUNCTION("""COMPUTED_VALUE""")," ")</f>
        <v> </v>
      </c>
      <c r="F2699" s="2"/>
      <c r="G2699" s="2"/>
      <c r="H2699" s="2"/>
      <c r="I2699" s="72"/>
      <c r="J2699" s="72"/>
      <c r="K2699" s="72"/>
      <c r="L2699" s="72"/>
      <c r="M2699" s="2"/>
      <c r="N2699" s="2"/>
      <c r="O2699" s="2"/>
      <c r="P2699" s="2"/>
      <c r="Q2699" s="2"/>
      <c r="R2699" s="2"/>
      <c r="S2699" s="2"/>
      <c r="T2699" s="2"/>
      <c r="U2699" s="2"/>
      <c r="V2699" s="2"/>
      <c r="W2699" s="2"/>
      <c r="X2699" s="2"/>
      <c r="Y2699" s="2"/>
      <c r="Z2699" s="2"/>
      <c r="AA2699" s="2"/>
      <c r="AB2699" s="2"/>
      <c r="AC2699" s="2"/>
      <c r="AD2699" s="2"/>
      <c r="AE2699" s="2"/>
      <c r="AF2699" s="2"/>
      <c r="AG2699" s="2"/>
      <c r="AH2699" s="2"/>
      <c r="AI2699" s="2"/>
      <c r="AJ2699" s="2" t="str">
        <f>IFERROR(__xludf.DUMMYFUNCTION("""COMPUTED_VALUE"""),"")</f>
        <v/>
      </c>
      <c r="AK2699" s="2" t="str">
        <f>IFERROR(__xludf.DUMMYFUNCTION("""COMPUTED_VALUE"""),"")</f>
        <v/>
      </c>
      <c r="AL2699" s="2" t="str">
        <f>IFERROR(__xludf.DUMMYFUNCTION("""COMPUTED_VALUE"""),"")</f>
        <v/>
      </c>
      <c r="AM2699" s="2" t="str">
        <f>IFERROR(__xludf.DUMMYFUNCTION("""COMPUTED_VALUE"""),"")</f>
        <v/>
      </c>
      <c r="AN2699" s="2" t="str">
        <f>IFERROR(__xludf.DUMMYFUNCTION("""COMPUTED_VALUE""")," ")</f>
        <v> </v>
      </c>
      <c r="AO2699" s="2" t="str">
        <f>IFERROR(__xludf.DUMMYFUNCTION("""COMPUTED_VALUE""")," ")</f>
        <v> </v>
      </c>
      <c r="AP2699" s="2" t="str">
        <f>IFERROR(__xludf.DUMMYFUNCTION("""COMPUTED_VALUE"""),"")</f>
        <v/>
      </c>
      <c r="AQ2699" s="2"/>
      <c r="AR2699" s="2"/>
      <c r="AS2699" s="2"/>
      <c r="AT2699" s="2"/>
      <c r="AU2699" s="2"/>
      <c r="AV2699" s="2"/>
      <c r="AW2699" s="2"/>
      <c r="AX2699" s="2"/>
      <c r="AY2699" s="2"/>
      <c r="AZ2699" s="2"/>
      <c r="BA2699" s="2"/>
      <c r="BB2699" s="2"/>
    </row>
    <row r="2700">
      <c r="A2700" s="2"/>
      <c r="B2700" s="2" t="str">
        <f>IFERROR(__xludf.DUMMYFUNCTION("""COMPUTED_VALUE"""),"")</f>
        <v/>
      </c>
      <c r="C2700" s="2"/>
      <c r="D2700" s="71"/>
      <c r="E2700" s="71" t="str">
        <f>IFERROR(__xludf.DUMMYFUNCTION("""COMPUTED_VALUE""")," ")</f>
        <v> </v>
      </c>
      <c r="F2700" s="2"/>
      <c r="G2700" s="2"/>
      <c r="H2700" s="2"/>
      <c r="I2700" s="72"/>
      <c r="J2700" s="72"/>
      <c r="K2700" s="72"/>
      <c r="L2700" s="72"/>
      <c r="M2700" s="2"/>
      <c r="N2700" s="2"/>
      <c r="O2700" s="2"/>
      <c r="P2700" s="2"/>
      <c r="Q2700" s="2"/>
      <c r="R2700" s="2"/>
      <c r="S2700" s="2"/>
      <c r="T2700" s="2"/>
      <c r="U2700" s="2"/>
      <c r="V2700" s="2"/>
      <c r="W2700" s="2"/>
      <c r="X2700" s="2"/>
      <c r="Y2700" s="2"/>
      <c r="Z2700" s="2"/>
      <c r="AA2700" s="2"/>
      <c r="AB2700" s="2"/>
      <c r="AC2700" s="2"/>
      <c r="AD2700" s="2"/>
      <c r="AE2700" s="2"/>
      <c r="AF2700" s="2"/>
      <c r="AG2700" s="2"/>
      <c r="AH2700" s="2"/>
      <c r="AI2700" s="2"/>
      <c r="AJ2700" s="2" t="str">
        <f>IFERROR(__xludf.DUMMYFUNCTION("""COMPUTED_VALUE"""),"")</f>
        <v/>
      </c>
      <c r="AK2700" s="2" t="str">
        <f>IFERROR(__xludf.DUMMYFUNCTION("""COMPUTED_VALUE"""),"")</f>
        <v/>
      </c>
      <c r="AL2700" s="2" t="str">
        <f>IFERROR(__xludf.DUMMYFUNCTION("""COMPUTED_VALUE"""),"")</f>
        <v/>
      </c>
      <c r="AM2700" s="2" t="str">
        <f>IFERROR(__xludf.DUMMYFUNCTION("""COMPUTED_VALUE"""),"")</f>
        <v/>
      </c>
      <c r="AN2700" s="2" t="str">
        <f>IFERROR(__xludf.DUMMYFUNCTION("""COMPUTED_VALUE""")," ")</f>
        <v> </v>
      </c>
      <c r="AO2700" s="2" t="str">
        <f>IFERROR(__xludf.DUMMYFUNCTION("""COMPUTED_VALUE""")," ")</f>
        <v> </v>
      </c>
      <c r="AP2700" s="2" t="str">
        <f>IFERROR(__xludf.DUMMYFUNCTION("""COMPUTED_VALUE"""),"")</f>
        <v/>
      </c>
      <c r="AQ2700" s="2"/>
      <c r="AR2700" s="2"/>
      <c r="AS2700" s="2"/>
      <c r="AT2700" s="2"/>
      <c r="AU2700" s="2"/>
      <c r="AV2700" s="2"/>
      <c r="AW2700" s="2"/>
      <c r="AX2700" s="2"/>
      <c r="AY2700" s="2"/>
      <c r="AZ2700" s="2"/>
      <c r="BA2700" s="2"/>
      <c r="BB2700" s="2"/>
    </row>
    <row r="2701">
      <c r="A2701" s="2"/>
      <c r="B2701" s="2" t="str">
        <f>IFERROR(__xludf.DUMMYFUNCTION("""COMPUTED_VALUE"""),"")</f>
        <v/>
      </c>
      <c r="C2701" s="2"/>
      <c r="D2701" s="71"/>
      <c r="E2701" s="71" t="str">
        <f>IFERROR(__xludf.DUMMYFUNCTION("""COMPUTED_VALUE""")," ")</f>
        <v> </v>
      </c>
      <c r="F2701" s="2"/>
      <c r="G2701" s="2"/>
      <c r="H2701" s="2"/>
      <c r="I2701" s="72"/>
      <c r="J2701" s="72"/>
      <c r="K2701" s="72"/>
      <c r="L2701" s="72"/>
      <c r="M2701" s="2"/>
      <c r="N2701" s="2"/>
      <c r="O2701" s="2"/>
      <c r="P2701" s="2"/>
      <c r="Q2701" s="2"/>
      <c r="R2701" s="2"/>
      <c r="S2701" s="2"/>
      <c r="T2701" s="2"/>
      <c r="U2701" s="2"/>
      <c r="V2701" s="2"/>
      <c r="W2701" s="2"/>
      <c r="X2701" s="2"/>
      <c r="Y2701" s="2"/>
      <c r="Z2701" s="2"/>
      <c r="AA2701" s="2"/>
      <c r="AB2701" s="2"/>
      <c r="AC2701" s="2"/>
      <c r="AD2701" s="2"/>
      <c r="AE2701" s="2"/>
      <c r="AF2701" s="2"/>
      <c r="AG2701" s="2"/>
      <c r="AH2701" s="2"/>
      <c r="AI2701" s="2"/>
      <c r="AJ2701" s="2" t="str">
        <f>IFERROR(__xludf.DUMMYFUNCTION("""COMPUTED_VALUE"""),"")</f>
        <v/>
      </c>
      <c r="AK2701" s="2" t="str">
        <f>IFERROR(__xludf.DUMMYFUNCTION("""COMPUTED_VALUE"""),"")</f>
        <v/>
      </c>
      <c r="AL2701" s="2" t="str">
        <f>IFERROR(__xludf.DUMMYFUNCTION("""COMPUTED_VALUE"""),"")</f>
        <v/>
      </c>
      <c r="AM2701" s="2" t="str">
        <f>IFERROR(__xludf.DUMMYFUNCTION("""COMPUTED_VALUE"""),"")</f>
        <v/>
      </c>
      <c r="AN2701" s="2" t="str">
        <f>IFERROR(__xludf.DUMMYFUNCTION("""COMPUTED_VALUE""")," ")</f>
        <v> </v>
      </c>
      <c r="AO2701" s="2" t="str">
        <f>IFERROR(__xludf.DUMMYFUNCTION("""COMPUTED_VALUE""")," ")</f>
        <v> </v>
      </c>
      <c r="AP2701" s="2" t="str">
        <f>IFERROR(__xludf.DUMMYFUNCTION("""COMPUTED_VALUE"""),"")</f>
        <v/>
      </c>
      <c r="AQ2701" s="2"/>
      <c r="AR2701" s="2"/>
      <c r="AS2701" s="2"/>
      <c r="AT2701" s="2"/>
      <c r="AU2701" s="2"/>
      <c r="AV2701" s="2"/>
      <c r="AW2701" s="2"/>
      <c r="AX2701" s="2"/>
      <c r="AY2701" s="2"/>
      <c r="AZ2701" s="2"/>
      <c r="BA2701" s="2"/>
      <c r="BB2701" s="2"/>
    </row>
    <row r="2702">
      <c r="A2702" s="2"/>
      <c r="B2702" s="2" t="str">
        <f>IFERROR(__xludf.DUMMYFUNCTION("""COMPUTED_VALUE"""),"")</f>
        <v/>
      </c>
      <c r="C2702" s="2"/>
      <c r="D2702" s="71"/>
      <c r="E2702" s="71" t="str">
        <f>IFERROR(__xludf.DUMMYFUNCTION("""COMPUTED_VALUE""")," ")</f>
        <v> </v>
      </c>
      <c r="F2702" s="2"/>
      <c r="G2702" s="2"/>
      <c r="H2702" s="2"/>
      <c r="I2702" s="72"/>
      <c r="J2702" s="72"/>
      <c r="K2702" s="72"/>
      <c r="L2702" s="72"/>
      <c r="M2702" s="2"/>
      <c r="N2702" s="2"/>
      <c r="O2702" s="2"/>
      <c r="P2702" s="2"/>
      <c r="Q2702" s="2"/>
      <c r="R2702" s="2"/>
      <c r="S2702" s="2"/>
      <c r="T2702" s="2"/>
      <c r="U2702" s="2"/>
      <c r="V2702" s="2"/>
      <c r="W2702" s="2"/>
      <c r="X2702" s="2"/>
      <c r="Y2702" s="2"/>
      <c r="Z2702" s="2"/>
      <c r="AA2702" s="2"/>
      <c r="AB2702" s="2"/>
      <c r="AC2702" s="2"/>
      <c r="AD2702" s="2"/>
      <c r="AE2702" s="2"/>
      <c r="AF2702" s="2"/>
      <c r="AG2702" s="2"/>
      <c r="AH2702" s="2"/>
      <c r="AI2702" s="2"/>
      <c r="AJ2702" s="2" t="str">
        <f>IFERROR(__xludf.DUMMYFUNCTION("""COMPUTED_VALUE"""),"")</f>
        <v/>
      </c>
      <c r="AK2702" s="2" t="str">
        <f>IFERROR(__xludf.DUMMYFUNCTION("""COMPUTED_VALUE"""),"")</f>
        <v/>
      </c>
      <c r="AL2702" s="2" t="str">
        <f>IFERROR(__xludf.DUMMYFUNCTION("""COMPUTED_VALUE"""),"")</f>
        <v/>
      </c>
      <c r="AM2702" s="2" t="str">
        <f>IFERROR(__xludf.DUMMYFUNCTION("""COMPUTED_VALUE"""),"")</f>
        <v/>
      </c>
      <c r="AN2702" s="2" t="str">
        <f>IFERROR(__xludf.DUMMYFUNCTION("""COMPUTED_VALUE""")," ")</f>
        <v> </v>
      </c>
      <c r="AO2702" s="2" t="str">
        <f>IFERROR(__xludf.DUMMYFUNCTION("""COMPUTED_VALUE""")," ")</f>
        <v> </v>
      </c>
      <c r="AP2702" s="2" t="str">
        <f>IFERROR(__xludf.DUMMYFUNCTION("""COMPUTED_VALUE"""),"")</f>
        <v/>
      </c>
      <c r="AQ2702" s="2"/>
      <c r="AR2702" s="2"/>
      <c r="AS2702" s="2"/>
      <c r="AT2702" s="2"/>
      <c r="AU2702" s="2"/>
      <c r="AV2702" s="2"/>
      <c r="AW2702" s="2"/>
      <c r="AX2702" s="2"/>
      <c r="AY2702" s="2"/>
      <c r="AZ2702" s="2"/>
      <c r="BA2702" s="2"/>
      <c r="BB2702" s="2"/>
    </row>
    <row r="2703">
      <c r="A2703" s="2"/>
      <c r="B2703" s="2" t="str">
        <f>IFERROR(__xludf.DUMMYFUNCTION("""COMPUTED_VALUE"""),"")</f>
        <v/>
      </c>
      <c r="C2703" s="2"/>
      <c r="D2703" s="71"/>
      <c r="E2703" s="71" t="str">
        <f>IFERROR(__xludf.DUMMYFUNCTION("""COMPUTED_VALUE""")," ")</f>
        <v> </v>
      </c>
      <c r="F2703" s="2"/>
      <c r="G2703" s="2"/>
      <c r="H2703" s="2"/>
      <c r="I2703" s="72"/>
      <c r="J2703" s="72"/>
      <c r="K2703" s="72"/>
      <c r="L2703" s="72"/>
      <c r="M2703" s="2"/>
      <c r="N2703" s="2"/>
      <c r="O2703" s="2"/>
      <c r="P2703" s="2"/>
      <c r="Q2703" s="2"/>
      <c r="R2703" s="2"/>
      <c r="S2703" s="2"/>
      <c r="T2703" s="2"/>
      <c r="U2703" s="2"/>
      <c r="V2703" s="2"/>
      <c r="W2703" s="2"/>
      <c r="X2703" s="2"/>
      <c r="Y2703" s="2"/>
      <c r="Z2703" s="2"/>
      <c r="AA2703" s="2"/>
      <c r="AB2703" s="2"/>
      <c r="AC2703" s="2"/>
      <c r="AD2703" s="2"/>
      <c r="AE2703" s="2"/>
      <c r="AF2703" s="2"/>
      <c r="AG2703" s="2"/>
      <c r="AH2703" s="2"/>
      <c r="AI2703" s="2"/>
      <c r="AJ2703" s="2" t="str">
        <f>IFERROR(__xludf.DUMMYFUNCTION("""COMPUTED_VALUE"""),"")</f>
        <v/>
      </c>
      <c r="AK2703" s="2" t="str">
        <f>IFERROR(__xludf.DUMMYFUNCTION("""COMPUTED_VALUE"""),"")</f>
        <v/>
      </c>
      <c r="AL2703" s="2" t="str">
        <f>IFERROR(__xludf.DUMMYFUNCTION("""COMPUTED_VALUE"""),"")</f>
        <v/>
      </c>
      <c r="AM2703" s="2" t="str">
        <f>IFERROR(__xludf.DUMMYFUNCTION("""COMPUTED_VALUE"""),"")</f>
        <v/>
      </c>
      <c r="AN2703" s="2" t="str">
        <f>IFERROR(__xludf.DUMMYFUNCTION("""COMPUTED_VALUE""")," ")</f>
        <v> </v>
      </c>
      <c r="AO2703" s="2" t="str">
        <f>IFERROR(__xludf.DUMMYFUNCTION("""COMPUTED_VALUE""")," ")</f>
        <v> </v>
      </c>
      <c r="AP2703" s="2" t="str">
        <f>IFERROR(__xludf.DUMMYFUNCTION("""COMPUTED_VALUE"""),"")</f>
        <v/>
      </c>
      <c r="AQ2703" s="2"/>
      <c r="AR2703" s="2"/>
      <c r="AS2703" s="2"/>
      <c r="AT2703" s="2"/>
      <c r="AU2703" s="2"/>
      <c r="AV2703" s="2"/>
      <c r="AW2703" s="2"/>
      <c r="AX2703" s="2"/>
      <c r="AY2703" s="2"/>
      <c r="AZ2703" s="2"/>
      <c r="BA2703" s="2"/>
      <c r="BB2703" s="2"/>
    </row>
    <row r="2704">
      <c r="A2704" s="2"/>
      <c r="B2704" s="2" t="str">
        <f>IFERROR(__xludf.DUMMYFUNCTION("""COMPUTED_VALUE"""),"")</f>
        <v/>
      </c>
      <c r="C2704" s="2"/>
      <c r="D2704" s="71"/>
      <c r="E2704" s="71" t="str">
        <f>IFERROR(__xludf.DUMMYFUNCTION("""COMPUTED_VALUE""")," ")</f>
        <v> </v>
      </c>
      <c r="F2704" s="2"/>
      <c r="G2704" s="2"/>
      <c r="H2704" s="2"/>
      <c r="I2704" s="72"/>
      <c r="J2704" s="72"/>
      <c r="K2704" s="72"/>
      <c r="L2704" s="72"/>
      <c r="M2704" s="2"/>
      <c r="N2704" s="2"/>
      <c r="O2704" s="2"/>
      <c r="P2704" s="2"/>
      <c r="Q2704" s="2"/>
      <c r="R2704" s="2"/>
      <c r="S2704" s="2"/>
      <c r="T2704" s="2"/>
      <c r="U2704" s="2"/>
      <c r="V2704" s="2"/>
      <c r="W2704" s="2"/>
      <c r="X2704" s="2"/>
      <c r="Y2704" s="2"/>
      <c r="Z2704" s="2"/>
      <c r="AA2704" s="2"/>
      <c r="AB2704" s="2"/>
      <c r="AC2704" s="2"/>
      <c r="AD2704" s="2"/>
      <c r="AE2704" s="2"/>
      <c r="AF2704" s="2"/>
      <c r="AG2704" s="2"/>
      <c r="AH2704" s="2"/>
      <c r="AI2704" s="2"/>
      <c r="AJ2704" s="2" t="str">
        <f>IFERROR(__xludf.DUMMYFUNCTION("""COMPUTED_VALUE"""),"")</f>
        <v/>
      </c>
      <c r="AK2704" s="2" t="str">
        <f>IFERROR(__xludf.DUMMYFUNCTION("""COMPUTED_VALUE"""),"")</f>
        <v/>
      </c>
      <c r="AL2704" s="2" t="str">
        <f>IFERROR(__xludf.DUMMYFUNCTION("""COMPUTED_VALUE"""),"")</f>
        <v/>
      </c>
      <c r="AM2704" s="2" t="str">
        <f>IFERROR(__xludf.DUMMYFUNCTION("""COMPUTED_VALUE"""),"")</f>
        <v/>
      </c>
      <c r="AN2704" s="2" t="str">
        <f>IFERROR(__xludf.DUMMYFUNCTION("""COMPUTED_VALUE""")," ")</f>
        <v> </v>
      </c>
      <c r="AO2704" s="2" t="str">
        <f>IFERROR(__xludf.DUMMYFUNCTION("""COMPUTED_VALUE""")," ")</f>
        <v> </v>
      </c>
      <c r="AP2704" s="2" t="str">
        <f>IFERROR(__xludf.DUMMYFUNCTION("""COMPUTED_VALUE"""),"")</f>
        <v/>
      </c>
      <c r="AQ2704" s="2"/>
      <c r="AR2704" s="2"/>
      <c r="AS2704" s="2"/>
      <c r="AT2704" s="2"/>
      <c r="AU2704" s="2"/>
      <c r="AV2704" s="2"/>
      <c r="AW2704" s="2"/>
      <c r="AX2704" s="2"/>
      <c r="AY2704" s="2"/>
      <c r="AZ2704" s="2"/>
      <c r="BA2704" s="2"/>
      <c r="BB2704" s="2"/>
    </row>
    <row r="2705">
      <c r="A2705" s="2"/>
      <c r="B2705" s="2" t="str">
        <f>IFERROR(__xludf.DUMMYFUNCTION("""COMPUTED_VALUE"""),"")</f>
        <v/>
      </c>
      <c r="C2705" s="2"/>
      <c r="D2705" s="71"/>
      <c r="E2705" s="71" t="str">
        <f>IFERROR(__xludf.DUMMYFUNCTION("""COMPUTED_VALUE""")," ")</f>
        <v> </v>
      </c>
      <c r="F2705" s="2"/>
      <c r="G2705" s="2"/>
      <c r="H2705" s="2"/>
      <c r="I2705" s="72"/>
      <c r="J2705" s="72"/>
      <c r="K2705" s="72"/>
      <c r="L2705" s="72"/>
      <c r="M2705" s="2"/>
      <c r="N2705" s="2"/>
      <c r="O2705" s="2"/>
      <c r="P2705" s="2"/>
      <c r="Q2705" s="2"/>
      <c r="R2705" s="2"/>
      <c r="S2705" s="2"/>
      <c r="T2705" s="2"/>
      <c r="U2705" s="2"/>
      <c r="V2705" s="2"/>
      <c r="W2705" s="2"/>
      <c r="X2705" s="2"/>
      <c r="Y2705" s="2"/>
      <c r="Z2705" s="2"/>
      <c r="AA2705" s="2"/>
      <c r="AB2705" s="2"/>
      <c r="AC2705" s="2"/>
      <c r="AD2705" s="2"/>
      <c r="AE2705" s="2"/>
      <c r="AF2705" s="2"/>
      <c r="AG2705" s="2"/>
      <c r="AH2705" s="2"/>
      <c r="AI2705" s="2"/>
      <c r="AJ2705" s="2" t="str">
        <f>IFERROR(__xludf.DUMMYFUNCTION("""COMPUTED_VALUE"""),"")</f>
        <v/>
      </c>
      <c r="AK2705" s="2" t="str">
        <f>IFERROR(__xludf.DUMMYFUNCTION("""COMPUTED_VALUE"""),"")</f>
        <v/>
      </c>
      <c r="AL2705" s="2" t="str">
        <f>IFERROR(__xludf.DUMMYFUNCTION("""COMPUTED_VALUE"""),"")</f>
        <v/>
      </c>
      <c r="AM2705" s="2" t="str">
        <f>IFERROR(__xludf.DUMMYFUNCTION("""COMPUTED_VALUE"""),"")</f>
        <v/>
      </c>
      <c r="AN2705" s="2" t="str">
        <f>IFERROR(__xludf.DUMMYFUNCTION("""COMPUTED_VALUE""")," ")</f>
        <v> </v>
      </c>
      <c r="AO2705" s="2" t="str">
        <f>IFERROR(__xludf.DUMMYFUNCTION("""COMPUTED_VALUE""")," ")</f>
        <v> </v>
      </c>
      <c r="AP2705" s="2" t="str">
        <f>IFERROR(__xludf.DUMMYFUNCTION("""COMPUTED_VALUE"""),"")</f>
        <v/>
      </c>
      <c r="AQ2705" s="2"/>
      <c r="AR2705" s="2"/>
      <c r="AS2705" s="2"/>
      <c r="AT2705" s="2"/>
      <c r="AU2705" s="2"/>
      <c r="AV2705" s="2"/>
      <c r="AW2705" s="2"/>
      <c r="AX2705" s="2"/>
      <c r="AY2705" s="2"/>
      <c r="AZ2705" s="2"/>
      <c r="BA2705" s="2"/>
      <c r="BB2705" s="2"/>
    </row>
    <row r="2706">
      <c r="A2706" s="2"/>
      <c r="B2706" s="2" t="str">
        <f>IFERROR(__xludf.DUMMYFUNCTION("""COMPUTED_VALUE"""),"")</f>
        <v/>
      </c>
      <c r="C2706" s="2"/>
      <c r="D2706" s="71"/>
      <c r="E2706" s="71" t="str">
        <f>IFERROR(__xludf.DUMMYFUNCTION("""COMPUTED_VALUE""")," ")</f>
        <v> </v>
      </c>
      <c r="F2706" s="2"/>
      <c r="G2706" s="2"/>
      <c r="H2706" s="2"/>
      <c r="I2706" s="72"/>
      <c r="J2706" s="72"/>
      <c r="K2706" s="72"/>
      <c r="L2706" s="72"/>
      <c r="M2706" s="2"/>
      <c r="N2706" s="2"/>
      <c r="O2706" s="2"/>
      <c r="P2706" s="2"/>
      <c r="Q2706" s="2"/>
      <c r="R2706" s="2"/>
      <c r="S2706" s="2"/>
      <c r="T2706" s="2"/>
      <c r="U2706" s="2"/>
      <c r="V2706" s="2"/>
      <c r="W2706" s="2"/>
      <c r="X2706" s="2"/>
      <c r="Y2706" s="2"/>
      <c r="Z2706" s="2"/>
      <c r="AA2706" s="2"/>
      <c r="AB2706" s="2"/>
      <c r="AC2706" s="2"/>
      <c r="AD2706" s="2"/>
      <c r="AE2706" s="2"/>
      <c r="AF2706" s="2"/>
      <c r="AG2706" s="2"/>
      <c r="AH2706" s="2"/>
      <c r="AI2706" s="2"/>
      <c r="AJ2706" s="2" t="str">
        <f>IFERROR(__xludf.DUMMYFUNCTION("""COMPUTED_VALUE"""),"")</f>
        <v/>
      </c>
      <c r="AK2706" s="2" t="str">
        <f>IFERROR(__xludf.DUMMYFUNCTION("""COMPUTED_VALUE"""),"")</f>
        <v/>
      </c>
      <c r="AL2706" s="2" t="str">
        <f>IFERROR(__xludf.DUMMYFUNCTION("""COMPUTED_VALUE"""),"")</f>
        <v/>
      </c>
      <c r="AM2706" s="2" t="str">
        <f>IFERROR(__xludf.DUMMYFUNCTION("""COMPUTED_VALUE"""),"")</f>
        <v/>
      </c>
      <c r="AN2706" s="2" t="str">
        <f>IFERROR(__xludf.DUMMYFUNCTION("""COMPUTED_VALUE""")," ")</f>
        <v> </v>
      </c>
      <c r="AO2706" s="2" t="str">
        <f>IFERROR(__xludf.DUMMYFUNCTION("""COMPUTED_VALUE""")," ")</f>
        <v> </v>
      </c>
      <c r="AP2706" s="2" t="str">
        <f>IFERROR(__xludf.DUMMYFUNCTION("""COMPUTED_VALUE"""),"")</f>
        <v/>
      </c>
      <c r="AQ2706" s="2"/>
      <c r="AR2706" s="2"/>
      <c r="AS2706" s="2"/>
      <c r="AT2706" s="2"/>
      <c r="AU2706" s="2"/>
      <c r="AV2706" s="2"/>
      <c r="AW2706" s="2"/>
      <c r="AX2706" s="2"/>
      <c r="AY2706" s="2"/>
      <c r="AZ2706" s="2"/>
      <c r="BA2706" s="2"/>
      <c r="BB2706" s="2"/>
    </row>
    <row r="2707">
      <c r="A2707" s="2"/>
      <c r="B2707" s="2" t="str">
        <f>IFERROR(__xludf.DUMMYFUNCTION("""COMPUTED_VALUE"""),"")</f>
        <v/>
      </c>
      <c r="C2707" s="2"/>
      <c r="D2707" s="71"/>
      <c r="E2707" s="71" t="str">
        <f>IFERROR(__xludf.DUMMYFUNCTION("""COMPUTED_VALUE""")," ")</f>
        <v> </v>
      </c>
      <c r="F2707" s="2"/>
      <c r="G2707" s="2"/>
      <c r="H2707" s="2"/>
      <c r="I2707" s="72"/>
      <c r="J2707" s="72"/>
      <c r="K2707" s="72"/>
      <c r="L2707" s="72"/>
      <c r="M2707" s="2"/>
      <c r="N2707" s="2"/>
      <c r="O2707" s="2"/>
      <c r="P2707" s="2"/>
      <c r="Q2707" s="2"/>
      <c r="R2707" s="2"/>
      <c r="S2707" s="2"/>
      <c r="T2707" s="2"/>
      <c r="U2707" s="2"/>
      <c r="V2707" s="2"/>
      <c r="W2707" s="2"/>
      <c r="X2707" s="2"/>
      <c r="Y2707" s="2"/>
      <c r="Z2707" s="2"/>
      <c r="AA2707" s="2"/>
      <c r="AB2707" s="2"/>
      <c r="AC2707" s="2"/>
      <c r="AD2707" s="2"/>
      <c r="AE2707" s="2"/>
      <c r="AF2707" s="2"/>
      <c r="AG2707" s="2"/>
      <c r="AH2707" s="2"/>
      <c r="AI2707" s="2"/>
      <c r="AJ2707" s="2" t="str">
        <f>IFERROR(__xludf.DUMMYFUNCTION("""COMPUTED_VALUE"""),"")</f>
        <v/>
      </c>
      <c r="AK2707" s="2" t="str">
        <f>IFERROR(__xludf.DUMMYFUNCTION("""COMPUTED_VALUE"""),"")</f>
        <v/>
      </c>
      <c r="AL2707" s="2" t="str">
        <f>IFERROR(__xludf.DUMMYFUNCTION("""COMPUTED_VALUE"""),"")</f>
        <v/>
      </c>
      <c r="AM2707" s="2" t="str">
        <f>IFERROR(__xludf.DUMMYFUNCTION("""COMPUTED_VALUE"""),"")</f>
        <v/>
      </c>
      <c r="AN2707" s="2" t="str">
        <f>IFERROR(__xludf.DUMMYFUNCTION("""COMPUTED_VALUE""")," ")</f>
        <v> </v>
      </c>
      <c r="AO2707" s="2" t="str">
        <f>IFERROR(__xludf.DUMMYFUNCTION("""COMPUTED_VALUE""")," ")</f>
        <v> </v>
      </c>
      <c r="AP2707" s="2" t="str">
        <f>IFERROR(__xludf.DUMMYFUNCTION("""COMPUTED_VALUE"""),"")</f>
        <v/>
      </c>
      <c r="AQ2707" s="2"/>
      <c r="AR2707" s="2"/>
      <c r="AS2707" s="2"/>
      <c r="AT2707" s="2"/>
      <c r="AU2707" s="2"/>
      <c r="AV2707" s="2"/>
      <c r="AW2707" s="2"/>
      <c r="AX2707" s="2"/>
      <c r="AY2707" s="2"/>
      <c r="AZ2707" s="2"/>
      <c r="BA2707" s="2"/>
      <c r="BB2707" s="2"/>
    </row>
    <row r="2708">
      <c r="A2708" s="2"/>
      <c r="B2708" s="2" t="str">
        <f>IFERROR(__xludf.DUMMYFUNCTION("""COMPUTED_VALUE"""),"")</f>
        <v/>
      </c>
      <c r="C2708" s="2"/>
      <c r="D2708" s="71"/>
      <c r="E2708" s="71" t="str">
        <f>IFERROR(__xludf.DUMMYFUNCTION("""COMPUTED_VALUE""")," ")</f>
        <v> </v>
      </c>
      <c r="F2708" s="2"/>
      <c r="G2708" s="2"/>
      <c r="H2708" s="2"/>
      <c r="I2708" s="72"/>
      <c r="J2708" s="72"/>
      <c r="K2708" s="72"/>
      <c r="L2708" s="72"/>
      <c r="M2708" s="2"/>
      <c r="N2708" s="2"/>
      <c r="O2708" s="2"/>
      <c r="P2708" s="2"/>
      <c r="Q2708" s="2"/>
      <c r="R2708" s="2"/>
      <c r="S2708" s="2"/>
      <c r="T2708" s="2"/>
      <c r="U2708" s="2"/>
      <c r="V2708" s="2"/>
      <c r="W2708" s="2"/>
      <c r="X2708" s="2"/>
      <c r="Y2708" s="2"/>
      <c r="Z2708" s="2"/>
      <c r="AA2708" s="2"/>
      <c r="AB2708" s="2"/>
      <c r="AC2708" s="2"/>
      <c r="AD2708" s="2"/>
      <c r="AE2708" s="2"/>
      <c r="AF2708" s="2"/>
      <c r="AG2708" s="2"/>
      <c r="AH2708" s="2"/>
      <c r="AI2708" s="2"/>
      <c r="AJ2708" s="2" t="str">
        <f>IFERROR(__xludf.DUMMYFUNCTION("""COMPUTED_VALUE"""),"")</f>
        <v/>
      </c>
      <c r="AK2708" s="2" t="str">
        <f>IFERROR(__xludf.DUMMYFUNCTION("""COMPUTED_VALUE"""),"")</f>
        <v/>
      </c>
      <c r="AL2708" s="2" t="str">
        <f>IFERROR(__xludf.DUMMYFUNCTION("""COMPUTED_VALUE"""),"")</f>
        <v/>
      </c>
      <c r="AM2708" s="2" t="str">
        <f>IFERROR(__xludf.DUMMYFUNCTION("""COMPUTED_VALUE"""),"")</f>
        <v/>
      </c>
      <c r="AN2708" s="2" t="str">
        <f>IFERROR(__xludf.DUMMYFUNCTION("""COMPUTED_VALUE""")," ")</f>
        <v> </v>
      </c>
      <c r="AO2708" s="2" t="str">
        <f>IFERROR(__xludf.DUMMYFUNCTION("""COMPUTED_VALUE""")," ")</f>
        <v> </v>
      </c>
      <c r="AP2708" s="2" t="str">
        <f>IFERROR(__xludf.DUMMYFUNCTION("""COMPUTED_VALUE"""),"")</f>
        <v/>
      </c>
      <c r="AQ2708" s="2"/>
      <c r="AR2708" s="2"/>
      <c r="AS2708" s="2"/>
      <c r="AT2708" s="2"/>
      <c r="AU2708" s="2"/>
      <c r="AV2708" s="2"/>
      <c r="AW2708" s="2"/>
      <c r="AX2708" s="2"/>
      <c r="AY2708" s="2"/>
      <c r="AZ2708" s="2"/>
      <c r="BA2708" s="2"/>
      <c r="BB2708" s="2"/>
    </row>
    <row r="2709">
      <c r="A2709" s="2"/>
      <c r="B2709" s="2" t="str">
        <f>IFERROR(__xludf.DUMMYFUNCTION("""COMPUTED_VALUE"""),"")</f>
        <v/>
      </c>
      <c r="C2709" s="2"/>
      <c r="D2709" s="71"/>
      <c r="E2709" s="71" t="str">
        <f>IFERROR(__xludf.DUMMYFUNCTION("""COMPUTED_VALUE""")," ")</f>
        <v> </v>
      </c>
      <c r="F2709" s="2"/>
      <c r="G2709" s="2"/>
      <c r="H2709" s="2"/>
      <c r="I2709" s="72"/>
      <c r="J2709" s="72"/>
      <c r="K2709" s="72"/>
      <c r="L2709" s="72"/>
      <c r="M2709" s="2"/>
      <c r="N2709" s="2"/>
      <c r="O2709" s="2"/>
      <c r="P2709" s="2"/>
      <c r="Q2709" s="2"/>
      <c r="R2709" s="2"/>
      <c r="S2709" s="2"/>
      <c r="T2709" s="2"/>
      <c r="U2709" s="2"/>
      <c r="V2709" s="2"/>
      <c r="W2709" s="2"/>
      <c r="X2709" s="2"/>
      <c r="Y2709" s="2"/>
      <c r="Z2709" s="2"/>
      <c r="AA2709" s="2"/>
      <c r="AB2709" s="2"/>
      <c r="AC2709" s="2"/>
      <c r="AD2709" s="2"/>
      <c r="AE2709" s="2"/>
      <c r="AF2709" s="2"/>
      <c r="AG2709" s="2"/>
      <c r="AH2709" s="2"/>
      <c r="AI2709" s="2"/>
      <c r="AJ2709" s="2" t="str">
        <f>IFERROR(__xludf.DUMMYFUNCTION("""COMPUTED_VALUE"""),"")</f>
        <v/>
      </c>
      <c r="AK2709" s="2" t="str">
        <f>IFERROR(__xludf.DUMMYFUNCTION("""COMPUTED_VALUE"""),"")</f>
        <v/>
      </c>
      <c r="AL2709" s="2" t="str">
        <f>IFERROR(__xludf.DUMMYFUNCTION("""COMPUTED_VALUE"""),"")</f>
        <v/>
      </c>
      <c r="AM2709" s="2" t="str">
        <f>IFERROR(__xludf.DUMMYFUNCTION("""COMPUTED_VALUE"""),"")</f>
        <v/>
      </c>
      <c r="AN2709" s="2" t="str">
        <f>IFERROR(__xludf.DUMMYFUNCTION("""COMPUTED_VALUE""")," ")</f>
        <v> </v>
      </c>
      <c r="AO2709" s="2" t="str">
        <f>IFERROR(__xludf.DUMMYFUNCTION("""COMPUTED_VALUE""")," ")</f>
        <v> </v>
      </c>
      <c r="AP2709" s="2" t="str">
        <f>IFERROR(__xludf.DUMMYFUNCTION("""COMPUTED_VALUE"""),"")</f>
        <v/>
      </c>
      <c r="AQ2709" s="2"/>
      <c r="AR2709" s="2"/>
      <c r="AS2709" s="2"/>
      <c r="AT2709" s="2"/>
      <c r="AU2709" s="2"/>
      <c r="AV2709" s="2"/>
      <c r="AW2709" s="2"/>
      <c r="AX2709" s="2"/>
      <c r="AY2709" s="2"/>
      <c r="AZ2709" s="2"/>
      <c r="BA2709" s="2"/>
      <c r="BB2709" s="2"/>
    </row>
    <row r="2710">
      <c r="A2710" s="2"/>
      <c r="B2710" s="2" t="str">
        <f>IFERROR(__xludf.DUMMYFUNCTION("""COMPUTED_VALUE"""),"")</f>
        <v/>
      </c>
      <c r="C2710" s="2"/>
      <c r="D2710" s="71"/>
      <c r="E2710" s="71" t="str">
        <f>IFERROR(__xludf.DUMMYFUNCTION("""COMPUTED_VALUE""")," ")</f>
        <v> </v>
      </c>
      <c r="F2710" s="2"/>
      <c r="G2710" s="2"/>
      <c r="H2710" s="2"/>
      <c r="I2710" s="72"/>
      <c r="J2710" s="72"/>
      <c r="K2710" s="72"/>
      <c r="L2710" s="72"/>
      <c r="M2710" s="2"/>
      <c r="N2710" s="2"/>
      <c r="O2710" s="2"/>
      <c r="P2710" s="2"/>
      <c r="Q2710" s="2"/>
      <c r="R2710" s="2"/>
      <c r="S2710" s="2"/>
      <c r="T2710" s="2"/>
      <c r="U2710" s="2"/>
      <c r="V2710" s="2"/>
      <c r="W2710" s="2"/>
      <c r="X2710" s="2"/>
      <c r="Y2710" s="2"/>
      <c r="Z2710" s="2"/>
      <c r="AA2710" s="2"/>
      <c r="AB2710" s="2"/>
      <c r="AC2710" s="2"/>
      <c r="AD2710" s="2"/>
      <c r="AE2710" s="2"/>
      <c r="AF2710" s="2"/>
      <c r="AG2710" s="2"/>
      <c r="AH2710" s="2"/>
      <c r="AI2710" s="2"/>
      <c r="AJ2710" s="2" t="str">
        <f>IFERROR(__xludf.DUMMYFUNCTION("""COMPUTED_VALUE"""),"")</f>
        <v/>
      </c>
      <c r="AK2710" s="2" t="str">
        <f>IFERROR(__xludf.DUMMYFUNCTION("""COMPUTED_VALUE"""),"")</f>
        <v/>
      </c>
      <c r="AL2710" s="2" t="str">
        <f>IFERROR(__xludf.DUMMYFUNCTION("""COMPUTED_VALUE"""),"")</f>
        <v/>
      </c>
      <c r="AM2710" s="2" t="str">
        <f>IFERROR(__xludf.DUMMYFUNCTION("""COMPUTED_VALUE"""),"")</f>
        <v/>
      </c>
      <c r="AN2710" s="2" t="str">
        <f>IFERROR(__xludf.DUMMYFUNCTION("""COMPUTED_VALUE""")," ")</f>
        <v> </v>
      </c>
      <c r="AO2710" s="2" t="str">
        <f>IFERROR(__xludf.DUMMYFUNCTION("""COMPUTED_VALUE""")," ")</f>
        <v> </v>
      </c>
      <c r="AP2710" s="2" t="str">
        <f>IFERROR(__xludf.DUMMYFUNCTION("""COMPUTED_VALUE"""),"")</f>
        <v/>
      </c>
      <c r="AQ2710" s="2"/>
      <c r="AR2710" s="2"/>
      <c r="AS2710" s="2"/>
      <c r="AT2710" s="2"/>
      <c r="AU2710" s="2"/>
      <c r="AV2710" s="2"/>
      <c r="AW2710" s="2"/>
      <c r="AX2710" s="2"/>
      <c r="AY2710" s="2"/>
      <c r="AZ2710" s="2"/>
      <c r="BA2710" s="2"/>
      <c r="BB2710" s="2"/>
    </row>
    <row r="2711">
      <c r="A2711" s="2"/>
      <c r="B2711" s="2" t="str">
        <f>IFERROR(__xludf.DUMMYFUNCTION("""COMPUTED_VALUE"""),"")</f>
        <v/>
      </c>
      <c r="C2711" s="2"/>
      <c r="D2711" s="71"/>
      <c r="E2711" s="71" t="str">
        <f>IFERROR(__xludf.DUMMYFUNCTION("""COMPUTED_VALUE""")," ")</f>
        <v> </v>
      </c>
      <c r="F2711" s="2"/>
      <c r="G2711" s="2"/>
      <c r="H2711" s="2"/>
      <c r="I2711" s="72"/>
      <c r="J2711" s="72"/>
      <c r="K2711" s="72"/>
      <c r="L2711" s="72"/>
      <c r="M2711" s="2"/>
      <c r="N2711" s="2"/>
      <c r="O2711" s="2"/>
      <c r="P2711" s="2"/>
      <c r="Q2711" s="2"/>
      <c r="R2711" s="2"/>
      <c r="S2711" s="2"/>
      <c r="T2711" s="2"/>
      <c r="U2711" s="2"/>
      <c r="V2711" s="2"/>
      <c r="W2711" s="2"/>
      <c r="X2711" s="2"/>
      <c r="Y2711" s="2"/>
      <c r="Z2711" s="2"/>
      <c r="AA2711" s="2"/>
      <c r="AB2711" s="2"/>
      <c r="AC2711" s="2"/>
      <c r="AD2711" s="2"/>
      <c r="AE2711" s="2"/>
      <c r="AF2711" s="2"/>
      <c r="AG2711" s="2"/>
      <c r="AH2711" s="2"/>
      <c r="AI2711" s="2"/>
      <c r="AJ2711" s="2" t="str">
        <f>IFERROR(__xludf.DUMMYFUNCTION("""COMPUTED_VALUE"""),"")</f>
        <v/>
      </c>
      <c r="AK2711" s="2" t="str">
        <f>IFERROR(__xludf.DUMMYFUNCTION("""COMPUTED_VALUE"""),"")</f>
        <v/>
      </c>
      <c r="AL2711" s="2" t="str">
        <f>IFERROR(__xludf.DUMMYFUNCTION("""COMPUTED_VALUE"""),"")</f>
        <v/>
      </c>
      <c r="AM2711" s="2" t="str">
        <f>IFERROR(__xludf.DUMMYFUNCTION("""COMPUTED_VALUE"""),"")</f>
        <v/>
      </c>
      <c r="AN2711" s="2" t="str">
        <f>IFERROR(__xludf.DUMMYFUNCTION("""COMPUTED_VALUE""")," ")</f>
        <v> </v>
      </c>
      <c r="AO2711" s="2" t="str">
        <f>IFERROR(__xludf.DUMMYFUNCTION("""COMPUTED_VALUE""")," ")</f>
        <v> </v>
      </c>
      <c r="AP2711" s="2" t="str">
        <f>IFERROR(__xludf.DUMMYFUNCTION("""COMPUTED_VALUE"""),"")</f>
        <v/>
      </c>
      <c r="AQ2711" s="2"/>
      <c r="AR2711" s="2"/>
      <c r="AS2711" s="2"/>
      <c r="AT2711" s="2"/>
      <c r="AU2711" s="2"/>
      <c r="AV2711" s="2"/>
      <c r="AW2711" s="2"/>
      <c r="AX2711" s="2"/>
      <c r="AY2711" s="2"/>
      <c r="AZ2711" s="2"/>
      <c r="BA2711" s="2"/>
      <c r="BB2711" s="2"/>
    </row>
    <row r="2712">
      <c r="A2712" s="2"/>
      <c r="B2712" s="2" t="str">
        <f>IFERROR(__xludf.DUMMYFUNCTION("""COMPUTED_VALUE"""),"")</f>
        <v/>
      </c>
      <c r="C2712" s="2"/>
      <c r="D2712" s="71"/>
      <c r="E2712" s="71" t="str">
        <f>IFERROR(__xludf.DUMMYFUNCTION("""COMPUTED_VALUE""")," ")</f>
        <v> </v>
      </c>
      <c r="F2712" s="2"/>
      <c r="G2712" s="2"/>
      <c r="H2712" s="2"/>
      <c r="I2712" s="72"/>
      <c r="J2712" s="72"/>
      <c r="K2712" s="72"/>
      <c r="L2712" s="72"/>
      <c r="M2712" s="2"/>
      <c r="N2712" s="2"/>
      <c r="O2712" s="2"/>
      <c r="P2712" s="2"/>
      <c r="Q2712" s="2"/>
      <c r="R2712" s="2"/>
      <c r="S2712" s="2"/>
      <c r="T2712" s="2"/>
      <c r="U2712" s="2"/>
      <c r="V2712" s="2"/>
      <c r="W2712" s="2"/>
      <c r="X2712" s="2"/>
      <c r="Y2712" s="2"/>
      <c r="Z2712" s="2"/>
      <c r="AA2712" s="2"/>
      <c r="AB2712" s="2"/>
      <c r="AC2712" s="2"/>
      <c r="AD2712" s="2"/>
      <c r="AE2712" s="2"/>
      <c r="AF2712" s="2"/>
      <c r="AG2712" s="2"/>
      <c r="AH2712" s="2"/>
      <c r="AI2712" s="2"/>
      <c r="AJ2712" s="2" t="str">
        <f>IFERROR(__xludf.DUMMYFUNCTION("""COMPUTED_VALUE"""),"")</f>
        <v/>
      </c>
      <c r="AK2712" s="2" t="str">
        <f>IFERROR(__xludf.DUMMYFUNCTION("""COMPUTED_VALUE"""),"")</f>
        <v/>
      </c>
      <c r="AL2712" s="2" t="str">
        <f>IFERROR(__xludf.DUMMYFUNCTION("""COMPUTED_VALUE"""),"")</f>
        <v/>
      </c>
      <c r="AM2712" s="2" t="str">
        <f>IFERROR(__xludf.DUMMYFUNCTION("""COMPUTED_VALUE"""),"")</f>
        <v/>
      </c>
      <c r="AN2712" s="2" t="str">
        <f>IFERROR(__xludf.DUMMYFUNCTION("""COMPUTED_VALUE""")," ")</f>
        <v> </v>
      </c>
      <c r="AO2712" s="2" t="str">
        <f>IFERROR(__xludf.DUMMYFUNCTION("""COMPUTED_VALUE""")," ")</f>
        <v> </v>
      </c>
      <c r="AP2712" s="2" t="str">
        <f>IFERROR(__xludf.DUMMYFUNCTION("""COMPUTED_VALUE"""),"")</f>
        <v/>
      </c>
      <c r="AQ2712" s="2"/>
      <c r="AR2712" s="2"/>
      <c r="AS2712" s="2"/>
      <c r="AT2712" s="2"/>
      <c r="AU2712" s="2"/>
      <c r="AV2712" s="2"/>
      <c r="AW2712" s="2"/>
      <c r="AX2712" s="2"/>
      <c r="AY2712" s="2"/>
      <c r="AZ2712" s="2"/>
      <c r="BA2712" s="2"/>
      <c r="BB2712" s="2"/>
    </row>
    <row r="2713">
      <c r="A2713" s="2"/>
      <c r="B2713" s="2" t="str">
        <f>IFERROR(__xludf.DUMMYFUNCTION("""COMPUTED_VALUE"""),"")</f>
        <v/>
      </c>
      <c r="C2713" s="2"/>
      <c r="D2713" s="71"/>
      <c r="E2713" s="71" t="str">
        <f>IFERROR(__xludf.DUMMYFUNCTION("""COMPUTED_VALUE""")," ")</f>
        <v> </v>
      </c>
      <c r="F2713" s="2"/>
      <c r="G2713" s="2"/>
      <c r="H2713" s="2"/>
      <c r="I2713" s="72"/>
      <c r="J2713" s="72"/>
      <c r="K2713" s="72"/>
      <c r="L2713" s="72"/>
      <c r="M2713" s="2"/>
      <c r="N2713" s="2"/>
      <c r="O2713" s="2"/>
      <c r="P2713" s="2"/>
      <c r="Q2713" s="2"/>
      <c r="R2713" s="2"/>
      <c r="S2713" s="2"/>
      <c r="T2713" s="2"/>
      <c r="U2713" s="2"/>
      <c r="V2713" s="2"/>
      <c r="W2713" s="2"/>
      <c r="X2713" s="2"/>
      <c r="Y2713" s="2"/>
      <c r="Z2713" s="2"/>
      <c r="AA2713" s="2"/>
      <c r="AB2713" s="2"/>
      <c r="AC2713" s="2"/>
      <c r="AD2713" s="2"/>
      <c r="AE2713" s="2"/>
      <c r="AF2713" s="2"/>
      <c r="AG2713" s="2"/>
      <c r="AH2713" s="2"/>
      <c r="AI2713" s="2"/>
      <c r="AJ2713" s="2" t="str">
        <f>IFERROR(__xludf.DUMMYFUNCTION("""COMPUTED_VALUE"""),"")</f>
        <v/>
      </c>
      <c r="AK2713" s="2" t="str">
        <f>IFERROR(__xludf.DUMMYFUNCTION("""COMPUTED_VALUE"""),"")</f>
        <v/>
      </c>
      <c r="AL2713" s="2" t="str">
        <f>IFERROR(__xludf.DUMMYFUNCTION("""COMPUTED_VALUE"""),"")</f>
        <v/>
      </c>
      <c r="AM2713" s="2" t="str">
        <f>IFERROR(__xludf.DUMMYFUNCTION("""COMPUTED_VALUE"""),"")</f>
        <v/>
      </c>
      <c r="AN2713" s="2" t="str">
        <f>IFERROR(__xludf.DUMMYFUNCTION("""COMPUTED_VALUE""")," ")</f>
        <v> </v>
      </c>
      <c r="AO2713" s="2" t="str">
        <f>IFERROR(__xludf.DUMMYFUNCTION("""COMPUTED_VALUE""")," ")</f>
        <v> </v>
      </c>
      <c r="AP2713" s="2" t="str">
        <f>IFERROR(__xludf.DUMMYFUNCTION("""COMPUTED_VALUE"""),"")</f>
        <v/>
      </c>
      <c r="AQ2713" s="2"/>
      <c r="AR2713" s="2"/>
      <c r="AS2713" s="2"/>
      <c r="AT2713" s="2"/>
      <c r="AU2713" s="2"/>
      <c r="AV2713" s="2"/>
      <c r="AW2713" s="2"/>
      <c r="AX2713" s="2"/>
      <c r="AY2713" s="2"/>
      <c r="AZ2713" s="2"/>
      <c r="BA2713" s="2"/>
      <c r="BB2713" s="2"/>
    </row>
    <row r="2714">
      <c r="A2714" s="2"/>
      <c r="B2714" s="2" t="str">
        <f>IFERROR(__xludf.DUMMYFUNCTION("""COMPUTED_VALUE"""),"")</f>
        <v/>
      </c>
      <c r="C2714" s="2"/>
      <c r="D2714" s="71"/>
      <c r="E2714" s="71" t="str">
        <f>IFERROR(__xludf.DUMMYFUNCTION("""COMPUTED_VALUE""")," ")</f>
        <v> </v>
      </c>
      <c r="F2714" s="2"/>
      <c r="G2714" s="2"/>
      <c r="H2714" s="2"/>
      <c r="I2714" s="72"/>
      <c r="J2714" s="72"/>
      <c r="K2714" s="72"/>
      <c r="L2714" s="72"/>
      <c r="M2714" s="2"/>
      <c r="N2714" s="2"/>
      <c r="O2714" s="2"/>
      <c r="P2714" s="2"/>
      <c r="Q2714" s="2"/>
      <c r="R2714" s="2"/>
      <c r="S2714" s="2"/>
      <c r="T2714" s="2"/>
      <c r="U2714" s="2"/>
      <c r="V2714" s="2"/>
      <c r="W2714" s="2"/>
      <c r="X2714" s="2"/>
      <c r="Y2714" s="2"/>
      <c r="Z2714" s="2"/>
      <c r="AA2714" s="2"/>
      <c r="AB2714" s="2"/>
      <c r="AC2714" s="2"/>
      <c r="AD2714" s="2"/>
      <c r="AE2714" s="2"/>
      <c r="AF2714" s="2"/>
      <c r="AG2714" s="2"/>
      <c r="AH2714" s="2"/>
      <c r="AI2714" s="2"/>
      <c r="AJ2714" s="2" t="str">
        <f>IFERROR(__xludf.DUMMYFUNCTION("""COMPUTED_VALUE"""),"")</f>
        <v/>
      </c>
      <c r="AK2714" s="2" t="str">
        <f>IFERROR(__xludf.DUMMYFUNCTION("""COMPUTED_VALUE"""),"")</f>
        <v/>
      </c>
      <c r="AL2714" s="2" t="str">
        <f>IFERROR(__xludf.DUMMYFUNCTION("""COMPUTED_VALUE"""),"")</f>
        <v/>
      </c>
      <c r="AM2714" s="2" t="str">
        <f>IFERROR(__xludf.DUMMYFUNCTION("""COMPUTED_VALUE"""),"")</f>
        <v/>
      </c>
      <c r="AN2714" s="2" t="str">
        <f>IFERROR(__xludf.DUMMYFUNCTION("""COMPUTED_VALUE""")," ")</f>
        <v> </v>
      </c>
      <c r="AO2714" s="2" t="str">
        <f>IFERROR(__xludf.DUMMYFUNCTION("""COMPUTED_VALUE""")," ")</f>
        <v> </v>
      </c>
      <c r="AP2714" s="2" t="str">
        <f>IFERROR(__xludf.DUMMYFUNCTION("""COMPUTED_VALUE"""),"")</f>
        <v/>
      </c>
      <c r="AQ2714" s="2"/>
      <c r="AR2714" s="2"/>
      <c r="AS2714" s="2"/>
      <c r="AT2714" s="2"/>
      <c r="AU2714" s="2"/>
      <c r="AV2714" s="2"/>
      <c r="AW2714" s="2"/>
      <c r="AX2714" s="2"/>
      <c r="AY2714" s="2"/>
      <c r="AZ2714" s="2"/>
      <c r="BA2714" s="2"/>
      <c r="BB2714" s="2"/>
    </row>
    <row r="2715">
      <c r="A2715" s="2"/>
      <c r="B2715" s="2" t="str">
        <f>IFERROR(__xludf.DUMMYFUNCTION("""COMPUTED_VALUE"""),"")</f>
        <v/>
      </c>
      <c r="C2715" s="2"/>
      <c r="D2715" s="71"/>
      <c r="E2715" s="71" t="str">
        <f>IFERROR(__xludf.DUMMYFUNCTION("""COMPUTED_VALUE""")," ")</f>
        <v> </v>
      </c>
      <c r="F2715" s="2"/>
      <c r="G2715" s="2"/>
      <c r="H2715" s="2"/>
      <c r="I2715" s="72"/>
      <c r="J2715" s="72"/>
      <c r="K2715" s="72"/>
      <c r="L2715" s="72"/>
      <c r="M2715" s="2"/>
      <c r="N2715" s="2"/>
      <c r="O2715" s="2"/>
      <c r="P2715" s="2"/>
      <c r="Q2715" s="2"/>
      <c r="R2715" s="2"/>
      <c r="S2715" s="2"/>
      <c r="T2715" s="2"/>
      <c r="U2715" s="2"/>
      <c r="V2715" s="2"/>
      <c r="W2715" s="2"/>
      <c r="X2715" s="2"/>
      <c r="Y2715" s="2"/>
      <c r="Z2715" s="2"/>
      <c r="AA2715" s="2"/>
      <c r="AB2715" s="2"/>
      <c r="AC2715" s="2"/>
      <c r="AD2715" s="2"/>
      <c r="AE2715" s="2"/>
      <c r="AF2715" s="2"/>
      <c r="AG2715" s="2"/>
      <c r="AH2715" s="2"/>
      <c r="AI2715" s="2"/>
      <c r="AJ2715" s="2" t="str">
        <f>IFERROR(__xludf.DUMMYFUNCTION("""COMPUTED_VALUE"""),"")</f>
        <v/>
      </c>
      <c r="AK2715" s="2" t="str">
        <f>IFERROR(__xludf.DUMMYFUNCTION("""COMPUTED_VALUE"""),"")</f>
        <v/>
      </c>
      <c r="AL2715" s="2" t="str">
        <f>IFERROR(__xludf.DUMMYFUNCTION("""COMPUTED_VALUE"""),"")</f>
        <v/>
      </c>
      <c r="AM2715" s="2" t="str">
        <f>IFERROR(__xludf.DUMMYFUNCTION("""COMPUTED_VALUE"""),"")</f>
        <v/>
      </c>
      <c r="AN2715" s="2" t="str">
        <f>IFERROR(__xludf.DUMMYFUNCTION("""COMPUTED_VALUE""")," ")</f>
        <v> </v>
      </c>
      <c r="AO2715" s="2" t="str">
        <f>IFERROR(__xludf.DUMMYFUNCTION("""COMPUTED_VALUE""")," ")</f>
        <v> </v>
      </c>
      <c r="AP2715" s="2" t="str">
        <f>IFERROR(__xludf.DUMMYFUNCTION("""COMPUTED_VALUE"""),"")</f>
        <v/>
      </c>
      <c r="AQ2715" s="2"/>
      <c r="AR2715" s="2"/>
      <c r="AS2715" s="2"/>
      <c r="AT2715" s="2"/>
      <c r="AU2715" s="2"/>
      <c r="AV2715" s="2"/>
      <c r="AW2715" s="2"/>
      <c r="AX2715" s="2"/>
      <c r="AY2715" s="2"/>
      <c r="AZ2715" s="2"/>
      <c r="BA2715" s="2"/>
      <c r="BB2715" s="2"/>
    </row>
    <row r="2716">
      <c r="A2716" s="2"/>
      <c r="B2716" s="2" t="str">
        <f>IFERROR(__xludf.DUMMYFUNCTION("""COMPUTED_VALUE"""),"")</f>
        <v/>
      </c>
      <c r="C2716" s="2"/>
      <c r="D2716" s="71"/>
      <c r="E2716" s="71" t="str">
        <f>IFERROR(__xludf.DUMMYFUNCTION("""COMPUTED_VALUE""")," ")</f>
        <v> </v>
      </c>
      <c r="F2716" s="2"/>
      <c r="G2716" s="2"/>
      <c r="H2716" s="2"/>
      <c r="I2716" s="72"/>
      <c r="J2716" s="72"/>
      <c r="K2716" s="72"/>
      <c r="L2716" s="72"/>
      <c r="M2716" s="2"/>
      <c r="N2716" s="2"/>
      <c r="O2716" s="2"/>
      <c r="P2716" s="2"/>
      <c r="Q2716" s="2"/>
      <c r="R2716" s="2"/>
      <c r="S2716" s="2"/>
      <c r="T2716" s="2"/>
      <c r="U2716" s="2"/>
      <c r="V2716" s="2"/>
      <c r="W2716" s="2"/>
      <c r="X2716" s="2"/>
      <c r="Y2716" s="2"/>
      <c r="Z2716" s="2"/>
      <c r="AA2716" s="2"/>
      <c r="AB2716" s="2"/>
      <c r="AC2716" s="2"/>
      <c r="AD2716" s="2"/>
      <c r="AE2716" s="2"/>
      <c r="AF2716" s="2"/>
      <c r="AG2716" s="2"/>
      <c r="AH2716" s="2"/>
      <c r="AI2716" s="2"/>
      <c r="AJ2716" s="2" t="str">
        <f>IFERROR(__xludf.DUMMYFUNCTION("""COMPUTED_VALUE"""),"")</f>
        <v/>
      </c>
      <c r="AK2716" s="2" t="str">
        <f>IFERROR(__xludf.DUMMYFUNCTION("""COMPUTED_VALUE"""),"")</f>
        <v/>
      </c>
      <c r="AL2716" s="2" t="str">
        <f>IFERROR(__xludf.DUMMYFUNCTION("""COMPUTED_VALUE"""),"")</f>
        <v/>
      </c>
      <c r="AM2716" s="2" t="str">
        <f>IFERROR(__xludf.DUMMYFUNCTION("""COMPUTED_VALUE"""),"")</f>
        <v/>
      </c>
      <c r="AN2716" s="2" t="str">
        <f>IFERROR(__xludf.DUMMYFUNCTION("""COMPUTED_VALUE""")," ")</f>
        <v> </v>
      </c>
      <c r="AO2716" s="2" t="str">
        <f>IFERROR(__xludf.DUMMYFUNCTION("""COMPUTED_VALUE""")," ")</f>
        <v> </v>
      </c>
      <c r="AP2716" s="2" t="str">
        <f>IFERROR(__xludf.DUMMYFUNCTION("""COMPUTED_VALUE"""),"")</f>
        <v/>
      </c>
      <c r="AQ2716" s="2"/>
      <c r="AR2716" s="2"/>
      <c r="AS2716" s="2"/>
      <c r="AT2716" s="2"/>
      <c r="AU2716" s="2"/>
      <c r="AV2716" s="2"/>
      <c r="AW2716" s="2"/>
      <c r="AX2716" s="2"/>
      <c r="AY2716" s="2"/>
      <c r="AZ2716" s="2"/>
      <c r="BA2716" s="2"/>
      <c r="BB2716" s="2"/>
    </row>
    <row r="2717">
      <c r="A2717" s="2"/>
      <c r="B2717" s="2" t="str">
        <f>IFERROR(__xludf.DUMMYFUNCTION("""COMPUTED_VALUE"""),"")</f>
        <v/>
      </c>
      <c r="C2717" s="2"/>
      <c r="D2717" s="71"/>
      <c r="E2717" s="71" t="str">
        <f>IFERROR(__xludf.DUMMYFUNCTION("""COMPUTED_VALUE""")," ")</f>
        <v> </v>
      </c>
      <c r="F2717" s="2"/>
      <c r="G2717" s="2"/>
      <c r="H2717" s="2"/>
      <c r="I2717" s="72"/>
      <c r="J2717" s="72"/>
      <c r="K2717" s="72"/>
      <c r="L2717" s="72"/>
      <c r="M2717" s="2"/>
      <c r="N2717" s="2"/>
      <c r="O2717" s="2"/>
      <c r="P2717" s="2"/>
      <c r="Q2717" s="2"/>
      <c r="R2717" s="2"/>
      <c r="S2717" s="2"/>
      <c r="T2717" s="2"/>
      <c r="U2717" s="2"/>
      <c r="V2717" s="2"/>
      <c r="W2717" s="2"/>
      <c r="X2717" s="2"/>
      <c r="Y2717" s="2"/>
      <c r="Z2717" s="2"/>
      <c r="AA2717" s="2"/>
      <c r="AB2717" s="2"/>
      <c r="AC2717" s="2"/>
      <c r="AD2717" s="2"/>
      <c r="AE2717" s="2"/>
      <c r="AF2717" s="2"/>
      <c r="AG2717" s="2"/>
      <c r="AH2717" s="2"/>
      <c r="AI2717" s="2"/>
      <c r="AJ2717" s="2" t="str">
        <f>IFERROR(__xludf.DUMMYFUNCTION("""COMPUTED_VALUE"""),"")</f>
        <v/>
      </c>
      <c r="AK2717" s="2" t="str">
        <f>IFERROR(__xludf.DUMMYFUNCTION("""COMPUTED_VALUE"""),"")</f>
        <v/>
      </c>
      <c r="AL2717" s="2" t="str">
        <f>IFERROR(__xludf.DUMMYFUNCTION("""COMPUTED_VALUE"""),"")</f>
        <v/>
      </c>
      <c r="AM2717" s="2" t="str">
        <f>IFERROR(__xludf.DUMMYFUNCTION("""COMPUTED_VALUE"""),"")</f>
        <v/>
      </c>
      <c r="AN2717" s="2" t="str">
        <f>IFERROR(__xludf.DUMMYFUNCTION("""COMPUTED_VALUE""")," ")</f>
        <v> </v>
      </c>
      <c r="AO2717" s="2" t="str">
        <f>IFERROR(__xludf.DUMMYFUNCTION("""COMPUTED_VALUE""")," ")</f>
        <v> </v>
      </c>
      <c r="AP2717" s="2" t="str">
        <f>IFERROR(__xludf.DUMMYFUNCTION("""COMPUTED_VALUE"""),"")</f>
        <v/>
      </c>
      <c r="AQ2717" s="2"/>
      <c r="AR2717" s="2"/>
      <c r="AS2717" s="2"/>
      <c r="AT2717" s="2"/>
      <c r="AU2717" s="2"/>
      <c r="AV2717" s="2"/>
      <c r="AW2717" s="2"/>
      <c r="AX2717" s="2"/>
      <c r="AY2717" s="2"/>
      <c r="AZ2717" s="2"/>
      <c r="BA2717" s="2"/>
      <c r="BB2717" s="2"/>
    </row>
    <row r="2718">
      <c r="A2718" s="2"/>
      <c r="B2718" s="2" t="str">
        <f>IFERROR(__xludf.DUMMYFUNCTION("""COMPUTED_VALUE"""),"")</f>
        <v/>
      </c>
      <c r="C2718" s="2"/>
      <c r="D2718" s="71"/>
      <c r="E2718" s="71" t="str">
        <f>IFERROR(__xludf.DUMMYFUNCTION("""COMPUTED_VALUE""")," ")</f>
        <v> </v>
      </c>
      <c r="F2718" s="2"/>
      <c r="G2718" s="2"/>
      <c r="H2718" s="2"/>
      <c r="I2718" s="72"/>
      <c r="J2718" s="72"/>
      <c r="K2718" s="72"/>
      <c r="L2718" s="72"/>
      <c r="M2718" s="2"/>
      <c r="N2718" s="2"/>
      <c r="O2718" s="2"/>
      <c r="P2718" s="2"/>
      <c r="Q2718" s="2"/>
      <c r="R2718" s="2"/>
      <c r="S2718" s="2"/>
      <c r="T2718" s="2"/>
      <c r="U2718" s="2"/>
      <c r="V2718" s="2"/>
      <c r="W2718" s="2"/>
      <c r="X2718" s="2"/>
      <c r="Y2718" s="2"/>
      <c r="Z2718" s="2"/>
      <c r="AA2718" s="2"/>
      <c r="AB2718" s="2"/>
      <c r="AC2718" s="2"/>
      <c r="AD2718" s="2"/>
      <c r="AE2718" s="2"/>
      <c r="AF2718" s="2"/>
      <c r="AG2718" s="2"/>
      <c r="AH2718" s="2"/>
      <c r="AI2718" s="2"/>
      <c r="AJ2718" s="2" t="str">
        <f>IFERROR(__xludf.DUMMYFUNCTION("""COMPUTED_VALUE"""),"")</f>
        <v/>
      </c>
      <c r="AK2718" s="2" t="str">
        <f>IFERROR(__xludf.DUMMYFUNCTION("""COMPUTED_VALUE"""),"")</f>
        <v/>
      </c>
      <c r="AL2718" s="2" t="str">
        <f>IFERROR(__xludf.DUMMYFUNCTION("""COMPUTED_VALUE"""),"")</f>
        <v/>
      </c>
      <c r="AM2718" s="2" t="str">
        <f>IFERROR(__xludf.DUMMYFUNCTION("""COMPUTED_VALUE"""),"")</f>
        <v/>
      </c>
      <c r="AN2718" s="2" t="str">
        <f>IFERROR(__xludf.DUMMYFUNCTION("""COMPUTED_VALUE""")," ")</f>
        <v> </v>
      </c>
      <c r="AO2718" s="2" t="str">
        <f>IFERROR(__xludf.DUMMYFUNCTION("""COMPUTED_VALUE""")," ")</f>
        <v> </v>
      </c>
      <c r="AP2718" s="2" t="str">
        <f>IFERROR(__xludf.DUMMYFUNCTION("""COMPUTED_VALUE"""),"")</f>
        <v/>
      </c>
      <c r="AQ2718" s="2"/>
      <c r="AR2718" s="2"/>
      <c r="AS2718" s="2"/>
      <c r="AT2718" s="2"/>
      <c r="AU2718" s="2"/>
      <c r="AV2718" s="2"/>
      <c r="AW2718" s="2"/>
      <c r="AX2718" s="2"/>
      <c r="AY2718" s="2"/>
      <c r="AZ2718" s="2"/>
      <c r="BA2718" s="2"/>
      <c r="BB2718" s="2"/>
    </row>
    <row r="2719">
      <c r="A2719" s="2"/>
      <c r="B2719" s="2" t="str">
        <f>IFERROR(__xludf.DUMMYFUNCTION("""COMPUTED_VALUE"""),"")</f>
        <v/>
      </c>
      <c r="C2719" s="2"/>
      <c r="D2719" s="71"/>
      <c r="E2719" s="71" t="str">
        <f>IFERROR(__xludf.DUMMYFUNCTION("""COMPUTED_VALUE""")," ")</f>
        <v> </v>
      </c>
      <c r="F2719" s="2"/>
      <c r="G2719" s="2"/>
      <c r="H2719" s="2"/>
      <c r="I2719" s="72"/>
      <c r="J2719" s="72"/>
      <c r="K2719" s="72"/>
      <c r="L2719" s="72"/>
      <c r="M2719" s="2"/>
      <c r="N2719" s="2"/>
      <c r="O2719" s="2"/>
      <c r="P2719" s="2"/>
      <c r="Q2719" s="2"/>
      <c r="R2719" s="2"/>
      <c r="S2719" s="2"/>
      <c r="T2719" s="2"/>
      <c r="U2719" s="2"/>
      <c r="V2719" s="2"/>
      <c r="W2719" s="2"/>
      <c r="X2719" s="2"/>
      <c r="Y2719" s="2"/>
      <c r="Z2719" s="2"/>
      <c r="AA2719" s="2"/>
      <c r="AB2719" s="2"/>
      <c r="AC2719" s="2"/>
      <c r="AD2719" s="2"/>
      <c r="AE2719" s="2"/>
      <c r="AF2719" s="2"/>
      <c r="AG2719" s="2"/>
      <c r="AH2719" s="2"/>
      <c r="AI2719" s="2"/>
      <c r="AJ2719" s="2" t="str">
        <f>IFERROR(__xludf.DUMMYFUNCTION("""COMPUTED_VALUE"""),"")</f>
        <v/>
      </c>
      <c r="AK2719" s="2" t="str">
        <f>IFERROR(__xludf.DUMMYFUNCTION("""COMPUTED_VALUE"""),"")</f>
        <v/>
      </c>
      <c r="AL2719" s="2" t="str">
        <f>IFERROR(__xludf.DUMMYFUNCTION("""COMPUTED_VALUE"""),"")</f>
        <v/>
      </c>
      <c r="AM2719" s="2" t="str">
        <f>IFERROR(__xludf.DUMMYFUNCTION("""COMPUTED_VALUE"""),"")</f>
        <v/>
      </c>
      <c r="AN2719" s="2" t="str">
        <f>IFERROR(__xludf.DUMMYFUNCTION("""COMPUTED_VALUE""")," ")</f>
        <v> </v>
      </c>
      <c r="AO2719" s="2" t="str">
        <f>IFERROR(__xludf.DUMMYFUNCTION("""COMPUTED_VALUE""")," ")</f>
        <v> </v>
      </c>
      <c r="AP2719" s="2" t="str">
        <f>IFERROR(__xludf.DUMMYFUNCTION("""COMPUTED_VALUE"""),"")</f>
        <v/>
      </c>
      <c r="AQ2719" s="2"/>
      <c r="AR2719" s="2"/>
      <c r="AS2719" s="2"/>
      <c r="AT2719" s="2"/>
      <c r="AU2719" s="2"/>
      <c r="AV2719" s="2"/>
      <c r="AW2719" s="2"/>
      <c r="AX2719" s="2"/>
      <c r="AY2719" s="2"/>
      <c r="AZ2719" s="2"/>
      <c r="BA2719" s="2"/>
      <c r="BB2719" s="2"/>
    </row>
    <row r="2720">
      <c r="A2720" s="2"/>
      <c r="B2720" s="2" t="str">
        <f>IFERROR(__xludf.DUMMYFUNCTION("""COMPUTED_VALUE"""),"")</f>
        <v/>
      </c>
      <c r="C2720" s="2"/>
      <c r="D2720" s="71"/>
      <c r="E2720" s="71" t="str">
        <f>IFERROR(__xludf.DUMMYFUNCTION("""COMPUTED_VALUE""")," ")</f>
        <v> </v>
      </c>
      <c r="F2720" s="2"/>
      <c r="G2720" s="2"/>
      <c r="H2720" s="2"/>
      <c r="I2720" s="72"/>
      <c r="J2720" s="72"/>
      <c r="K2720" s="72"/>
      <c r="L2720" s="72"/>
      <c r="M2720" s="2"/>
      <c r="N2720" s="2"/>
      <c r="O2720" s="2"/>
      <c r="P2720" s="2"/>
      <c r="Q2720" s="2"/>
      <c r="R2720" s="2"/>
      <c r="S2720" s="2"/>
      <c r="T2720" s="2"/>
      <c r="U2720" s="2"/>
      <c r="V2720" s="2"/>
      <c r="W2720" s="2"/>
      <c r="X2720" s="2"/>
      <c r="Y2720" s="2"/>
      <c r="Z2720" s="2"/>
      <c r="AA2720" s="2"/>
      <c r="AB2720" s="2"/>
      <c r="AC2720" s="2"/>
      <c r="AD2720" s="2"/>
      <c r="AE2720" s="2"/>
      <c r="AF2720" s="2"/>
      <c r="AG2720" s="2"/>
      <c r="AH2720" s="2"/>
      <c r="AI2720" s="2"/>
      <c r="AJ2720" s="2" t="str">
        <f>IFERROR(__xludf.DUMMYFUNCTION("""COMPUTED_VALUE"""),"")</f>
        <v/>
      </c>
      <c r="AK2720" s="2" t="str">
        <f>IFERROR(__xludf.DUMMYFUNCTION("""COMPUTED_VALUE"""),"")</f>
        <v/>
      </c>
      <c r="AL2720" s="2" t="str">
        <f>IFERROR(__xludf.DUMMYFUNCTION("""COMPUTED_VALUE"""),"")</f>
        <v/>
      </c>
      <c r="AM2720" s="2" t="str">
        <f>IFERROR(__xludf.DUMMYFUNCTION("""COMPUTED_VALUE"""),"")</f>
        <v/>
      </c>
      <c r="AN2720" s="2" t="str">
        <f>IFERROR(__xludf.DUMMYFUNCTION("""COMPUTED_VALUE""")," ")</f>
        <v> </v>
      </c>
      <c r="AO2720" s="2" t="str">
        <f>IFERROR(__xludf.DUMMYFUNCTION("""COMPUTED_VALUE""")," ")</f>
        <v> </v>
      </c>
      <c r="AP2720" s="2" t="str">
        <f>IFERROR(__xludf.DUMMYFUNCTION("""COMPUTED_VALUE"""),"")</f>
        <v/>
      </c>
      <c r="AQ2720" s="2"/>
      <c r="AR2720" s="2"/>
      <c r="AS2720" s="2"/>
      <c r="AT2720" s="2"/>
      <c r="AU2720" s="2"/>
      <c r="AV2720" s="2"/>
      <c r="AW2720" s="2"/>
      <c r="AX2720" s="2"/>
      <c r="AY2720" s="2"/>
      <c r="AZ2720" s="2"/>
      <c r="BA2720" s="2"/>
      <c r="BB2720" s="2"/>
    </row>
    <row r="2721">
      <c r="A2721" s="2"/>
      <c r="B2721" s="2" t="str">
        <f>IFERROR(__xludf.DUMMYFUNCTION("""COMPUTED_VALUE"""),"")</f>
        <v/>
      </c>
      <c r="C2721" s="2"/>
      <c r="D2721" s="71"/>
      <c r="E2721" s="71" t="str">
        <f>IFERROR(__xludf.DUMMYFUNCTION("""COMPUTED_VALUE""")," ")</f>
        <v> </v>
      </c>
      <c r="F2721" s="2"/>
      <c r="G2721" s="2"/>
      <c r="H2721" s="2"/>
      <c r="I2721" s="72"/>
      <c r="J2721" s="72"/>
      <c r="K2721" s="72"/>
      <c r="L2721" s="72"/>
      <c r="M2721" s="2"/>
      <c r="N2721" s="2"/>
      <c r="O2721" s="2"/>
      <c r="P2721" s="2"/>
      <c r="Q2721" s="2"/>
      <c r="R2721" s="2"/>
      <c r="S2721" s="2"/>
      <c r="T2721" s="2"/>
      <c r="U2721" s="2"/>
      <c r="V2721" s="2"/>
      <c r="W2721" s="2"/>
      <c r="X2721" s="2"/>
      <c r="Y2721" s="2"/>
      <c r="Z2721" s="2"/>
      <c r="AA2721" s="2"/>
      <c r="AB2721" s="2"/>
      <c r="AC2721" s="2"/>
      <c r="AD2721" s="2"/>
      <c r="AE2721" s="2"/>
      <c r="AF2721" s="2"/>
      <c r="AG2721" s="2"/>
      <c r="AH2721" s="2"/>
      <c r="AI2721" s="2"/>
      <c r="AJ2721" s="2" t="str">
        <f>IFERROR(__xludf.DUMMYFUNCTION("""COMPUTED_VALUE"""),"")</f>
        <v/>
      </c>
      <c r="AK2721" s="2" t="str">
        <f>IFERROR(__xludf.DUMMYFUNCTION("""COMPUTED_VALUE"""),"")</f>
        <v/>
      </c>
      <c r="AL2721" s="2" t="str">
        <f>IFERROR(__xludf.DUMMYFUNCTION("""COMPUTED_VALUE"""),"")</f>
        <v/>
      </c>
      <c r="AM2721" s="2" t="str">
        <f>IFERROR(__xludf.DUMMYFUNCTION("""COMPUTED_VALUE"""),"")</f>
        <v/>
      </c>
      <c r="AN2721" s="2" t="str">
        <f>IFERROR(__xludf.DUMMYFUNCTION("""COMPUTED_VALUE""")," ")</f>
        <v> </v>
      </c>
      <c r="AO2721" s="2" t="str">
        <f>IFERROR(__xludf.DUMMYFUNCTION("""COMPUTED_VALUE""")," ")</f>
        <v> </v>
      </c>
      <c r="AP2721" s="2" t="str">
        <f>IFERROR(__xludf.DUMMYFUNCTION("""COMPUTED_VALUE"""),"")</f>
        <v/>
      </c>
      <c r="AQ2721" s="2"/>
      <c r="AR2721" s="2"/>
      <c r="AS2721" s="2"/>
      <c r="AT2721" s="2"/>
      <c r="AU2721" s="2"/>
      <c r="AV2721" s="2"/>
      <c r="AW2721" s="2"/>
      <c r="AX2721" s="2"/>
      <c r="AY2721" s="2"/>
      <c r="AZ2721" s="2"/>
      <c r="BA2721" s="2"/>
      <c r="BB2721" s="2"/>
    </row>
    <row r="2722">
      <c r="A2722" s="2"/>
      <c r="B2722" s="2" t="str">
        <f>IFERROR(__xludf.DUMMYFUNCTION("""COMPUTED_VALUE"""),"")</f>
        <v/>
      </c>
      <c r="C2722" s="2"/>
      <c r="D2722" s="71"/>
      <c r="E2722" s="71" t="str">
        <f>IFERROR(__xludf.DUMMYFUNCTION("""COMPUTED_VALUE""")," ")</f>
        <v> </v>
      </c>
      <c r="F2722" s="2"/>
      <c r="G2722" s="2"/>
      <c r="H2722" s="2"/>
      <c r="I2722" s="72"/>
      <c r="J2722" s="72"/>
      <c r="K2722" s="72"/>
      <c r="L2722" s="72"/>
      <c r="M2722" s="2"/>
      <c r="N2722" s="2"/>
      <c r="O2722" s="2"/>
      <c r="P2722" s="2"/>
      <c r="Q2722" s="2"/>
      <c r="R2722" s="2"/>
      <c r="S2722" s="2"/>
      <c r="T2722" s="2"/>
      <c r="U2722" s="2"/>
      <c r="V2722" s="2"/>
      <c r="W2722" s="2"/>
      <c r="X2722" s="2"/>
      <c r="Y2722" s="2"/>
      <c r="Z2722" s="2"/>
      <c r="AA2722" s="2"/>
      <c r="AB2722" s="2"/>
      <c r="AC2722" s="2"/>
      <c r="AD2722" s="2"/>
      <c r="AE2722" s="2"/>
      <c r="AF2722" s="2"/>
      <c r="AG2722" s="2"/>
      <c r="AH2722" s="2"/>
      <c r="AI2722" s="2"/>
      <c r="AJ2722" s="2" t="str">
        <f>IFERROR(__xludf.DUMMYFUNCTION("""COMPUTED_VALUE"""),"")</f>
        <v/>
      </c>
      <c r="AK2722" s="2" t="str">
        <f>IFERROR(__xludf.DUMMYFUNCTION("""COMPUTED_VALUE"""),"")</f>
        <v/>
      </c>
      <c r="AL2722" s="2" t="str">
        <f>IFERROR(__xludf.DUMMYFUNCTION("""COMPUTED_VALUE"""),"")</f>
        <v/>
      </c>
      <c r="AM2722" s="2" t="str">
        <f>IFERROR(__xludf.DUMMYFUNCTION("""COMPUTED_VALUE"""),"")</f>
        <v/>
      </c>
      <c r="AN2722" s="2" t="str">
        <f>IFERROR(__xludf.DUMMYFUNCTION("""COMPUTED_VALUE""")," ")</f>
        <v> </v>
      </c>
      <c r="AO2722" s="2" t="str">
        <f>IFERROR(__xludf.DUMMYFUNCTION("""COMPUTED_VALUE""")," ")</f>
        <v> </v>
      </c>
      <c r="AP2722" s="2" t="str">
        <f>IFERROR(__xludf.DUMMYFUNCTION("""COMPUTED_VALUE"""),"")</f>
        <v/>
      </c>
      <c r="AQ2722" s="2"/>
      <c r="AR2722" s="2"/>
      <c r="AS2722" s="2"/>
      <c r="AT2722" s="2"/>
      <c r="AU2722" s="2"/>
      <c r="AV2722" s="2"/>
      <c r="AW2722" s="2"/>
      <c r="AX2722" s="2"/>
      <c r="AY2722" s="2"/>
      <c r="AZ2722" s="2"/>
      <c r="BA2722" s="2"/>
      <c r="BB2722" s="2"/>
    </row>
    <row r="2723">
      <c r="A2723" s="2"/>
      <c r="B2723" s="2" t="str">
        <f>IFERROR(__xludf.DUMMYFUNCTION("""COMPUTED_VALUE"""),"")</f>
        <v/>
      </c>
      <c r="C2723" s="2"/>
      <c r="D2723" s="71"/>
      <c r="E2723" s="71" t="str">
        <f>IFERROR(__xludf.DUMMYFUNCTION("""COMPUTED_VALUE""")," ")</f>
        <v> </v>
      </c>
      <c r="F2723" s="2"/>
      <c r="G2723" s="2"/>
      <c r="H2723" s="2"/>
      <c r="I2723" s="72"/>
      <c r="J2723" s="72"/>
      <c r="K2723" s="72"/>
      <c r="L2723" s="72"/>
      <c r="M2723" s="2"/>
      <c r="N2723" s="2"/>
      <c r="O2723" s="2"/>
      <c r="P2723" s="2"/>
      <c r="Q2723" s="2"/>
      <c r="R2723" s="2"/>
      <c r="S2723" s="2"/>
      <c r="T2723" s="2"/>
      <c r="U2723" s="2"/>
      <c r="V2723" s="2"/>
      <c r="W2723" s="2"/>
      <c r="X2723" s="2"/>
      <c r="Y2723" s="2"/>
      <c r="Z2723" s="2"/>
      <c r="AA2723" s="2"/>
      <c r="AB2723" s="2"/>
      <c r="AC2723" s="2"/>
      <c r="AD2723" s="2"/>
      <c r="AE2723" s="2"/>
      <c r="AF2723" s="2"/>
      <c r="AG2723" s="2"/>
      <c r="AH2723" s="2"/>
      <c r="AI2723" s="2"/>
      <c r="AJ2723" s="2" t="str">
        <f>IFERROR(__xludf.DUMMYFUNCTION("""COMPUTED_VALUE"""),"")</f>
        <v/>
      </c>
      <c r="AK2723" s="2" t="str">
        <f>IFERROR(__xludf.DUMMYFUNCTION("""COMPUTED_VALUE"""),"")</f>
        <v/>
      </c>
      <c r="AL2723" s="2" t="str">
        <f>IFERROR(__xludf.DUMMYFUNCTION("""COMPUTED_VALUE"""),"")</f>
        <v/>
      </c>
      <c r="AM2723" s="2" t="str">
        <f>IFERROR(__xludf.DUMMYFUNCTION("""COMPUTED_VALUE"""),"")</f>
        <v/>
      </c>
      <c r="AN2723" s="2" t="str">
        <f>IFERROR(__xludf.DUMMYFUNCTION("""COMPUTED_VALUE""")," ")</f>
        <v> </v>
      </c>
      <c r="AO2723" s="2" t="str">
        <f>IFERROR(__xludf.DUMMYFUNCTION("""COMPUTED_VALUE""")," ")</f>
        <v> </v>
      </c>
      <c r="AP2723" s="2" t="str">
        <f>IFERROR(__xludf.DUMMYFUNCTION("""COMPUTED_VALUE"""),"")</f>
        <v/>
      </c>
      <c r="AQ2723" s="2"/>
      <c r="AR2723" s="2"/>
      <c r="AS2723" s="2"/>
      <c r="AT2723" s="2"/>
      <c r="AU2723" s="2"/>
      <c r="AV2723" s="2"/>
      <c r="AW2723" s="2"/>
      <c r="AX2723" s="2"/>
      <c r="AY2723" s="2"/>
      <c r="AZ2723" s="2"/>
      <c r="BA2723" s="2"/>
      <c r="BB2723" s="2"/>
    </row>
    <row r="2724">
      <c r="A2724" s="2"/>
      <c r="B2724" s="2" t="str">
        <f>IFERROR(__xludf.DUMMYFUNCTION("""COMPUTED_VALUE"""),"")</f>
        <v/>
      </c>
      <c r="C2724" s="2"/>
      <c r="D2724" s="71"/>
      <c r="E2724" s="71" t="str">
        <f>IFERROR(__xludf.DUMMYFUNCTION("""COMPUTED_VALUE""")," ")</f>
        <v> </v>
      </c>
      <c r="F2724" s="2"/>
      <c r="G2724" s="2"/>
      <c r="H2724" s="2"/>
      <c r="I2724" s="72"/>
      <c r="J2724" s="72"/>
      <c r="K2724" s="72"/>
      <c r="L2724" s="72"/>
      <c r="M2724" s="2"/>
      <c r="N2724" s="2"/>
      <c r="O2724" s="2"/>
      <c r="P2724" s="2"/>
      <c r="Q2724" s="2"/>
      <c r="R2724" s="2"/>
      <c r="S2724" s="2"/>
      <c r="T2724" s="2"/>
      <c r="U2724" s="2"/>
      <c r="V2724" s="2"/>
      <c r="W2724" s="2"/>
      <c r="X2724" s="2"/>
      <c r="Y2724" s="2"/>
      <c r="Z2724" s="2"/>
      <c r="AA2724" s="2"/>
      <c r="AB2724" s="2"/>
      <c r="AC2724" s="2"/>
      <c r="AD2724" s="2"/>
      <c r="AE2724" s="2"/>
      <c r="AF2724" s="2"/>
      <c r="AG2724" s="2"/>
      <c r="AH2724" s="2"/>
      <c r="AI2724" s="2"/>
      <c r="AJ2724" s="2" t="str">
        <f>IFERROR(__xludf.DUMMYFUNCTION("""COMPUTED_VALUE"""),"")</f>
        <v/>
      </c>
      <c r="AK2724" s="2" t="str">
        <f>IFERROR(__xludf.DUMMYFUNCTION("""COMPUTED_VALUE"""),"")</f>
        <v/>
      </c>
      <c r="AL2724" s="2" t="str">
        <f>IFERROR(__xludf.DUMMYFUNCTION("""COMPUTED_VALUE"""),"")</f>
        <v/>
      </c>
      <c r="AM2724" s="2" t="str">
        <f>IFERROR(__xludf.DUMMYFUNCTION("""COMPUTED_VALUE"""),"")</f>
        <v/>
      </c>
      <c r="AN2724" s="2" t="str">
        <f>IFERROR(__xludf.DUMMYFUNCTION("""COMPUTED_VALUE""")," ")</f>
        <v> </v>
      </c>
      <c r="AO2724" s="2" t="str">
        <f>IFERROR(__xludf.DUMMYFUNCTION("""COMPUTED_VALUE""")," ")</f>
        <v> </v>
      </c>
      <c r="AP2724" s="2" t="str">
        <f>IFERROR(__xludf.DUMMYFUNCTION("""COMPUTED_VALUE"""),"")</f>
        <v/>
      </c>
      <c r="AQ2724" s="2"/>
      <c r="AR2724" s="2"/>
      <c r="AS2724" s="2"/>
      <c r="AT2724" s="2"/>
      <c r="AU2724" s="2"/>
      <c r="AV2724" s="2"/>
      <c r="AW2724" s="2"/>
      <c r="AX2724" s="2"/>
      <c r="AY2724" s="2"/>
      <c r="AZ2724" s="2"/>
      <c r="BA2724" s="2"/>
      <c r="BB2724" s="2"/>
    </row>
    <row r="2725">
      <c r="A2725" s="2"/>
      <c r="B2725" s="2" t="str">
        <f>IFERROR(__xludf.DUMMYFUNCTION("""COMPUTED_VALUE"""),"")</f>
        <v/>
      </c>
      <c r="C2725" s="2"/>
      <c r="D2725" s="71"/>
      <c r="E2725" s="71" t="str">
        <f>IFERROR(__xludf.DUMMYFUNCTION("""COMPUTED_VALUE""")," ")</f>
        <v> </v>
      </c>
      <c r="F2725" s="2"/>
      <c r="G2725" s="2"/>
      <c r="H2725" s="2"/>
      <c r="I2725" s="72"/>
      <c r="J2725" s="72"/>
      <c r="K2725" s="72"/>
      <c r="L2725" s="72"/>
      <c r="M2725" s="2"/>
      <c r="N2725" s="2"/>
      <c r="O2725" s="2"/>
      <c r="P2725" s="2"/>
      <c r="Q2725" s="2"/>
      <c r="R2725" s="2"/>
      <c r="S2725" s="2"/>
      <c r="T2725" s="2"/>
      <c r="U2725" s="2"/>
      <c r="V2725" s="2"/>
      <c r="W2725" s="2"/>
      <c r="X2725" s="2"/>
      <c r="Y2725" s="2"/>
      <c r="Z2725" s="2"/>
      <c r="AA2725" s="2"/>
      <c r="AB2725" s="2"/>
      <c r="AC2725" s="2"/>
      <c r="AD2725" s="2"/>
      <c r="AE2725" s="2"/>
      <c r="AF2725" s="2"/>
      <c r="AG2725" s="2"/>
      <c r="AH2725" s="2"/>
      <c r="AI2725" s="2"/>
      <c r="AJ2725" s="2" t="str">
        <f>IFERROR(__xludf.DUMMYFUNCTION("""COMPUTED_VALUE"""),"")</f>
        <v/>
      </c>
      <c r="AK2725" s="2" t="str">
        <f>IFERROR(__xludf.DUMMYFUNCTION("""COMPUTED_VALUE"""),"")</f>
        <v/>
      </c>
      <c r="AL2725" s="2" t="str">
        <f>IFERROR(__xludf.DUMMYFUNCTION("""COMPUTED_VALUE"""),"")</f>
        <v/>
      </c>
      <c r="AM2725" s="2" t="str">
        <f>IFERROR(__xludf.DUMMYFUNCTION("""COMPUTED_VALUE"""),"")</f>
        <v/>
      </c>
      <c r="AN2725" s="2" t="str">
        <f>IFERROR(__xludf.DUMMYFUNCTION("""COMPUTED_VALUE""")," ")</f>
        <v> </v>
      </c>
      <c r="AO2725" s="2" t="str">
        <f>IFERROR(__xludf.DUMMYFUNCTION("""COMPUTED_VALUE""")," ")</f>
        <v> </v>
      </c>
      <c r="AP2725" s="2" t="str">
        <f>IFERROR(__xludf.DUMMYFUNCTION("""COMPUTED_VALUE"""),"")</f>
        <v/>
      </c>
      <c r="AQ2725" s="2"/>
      <c r="AR2725" s="2"/>
      <c r="AS2725" s="2"/>
      <c r="AT2725" s="2"/>
      <c r="AU2725" s="2"/>
      <c r="AV2725" s="2"/>
      <c r="AW2725" s="2"/>
      <c r="AX2725" s="2"/>
      <c r="AY2725" s="2"/>
      <c r="AZ2725" s="2"/>
      <c r="BA2725" s="2"/>
      <c r="BB2725" s="2"/>
    </row>
    <row r="2726">
      <c r="A2726" s="2"/>
      <c r="B2726" s="2" t="str">
        <f>IFERROR(__xludf.DUMMYFUNCTION("""COMPUTED_VALUE"""),"")</f>
        <v/>
      </c>
      <c r="C2726" s="2"/>
      <c r="D2726" s="71"/>
      <c r="E2726" s="71" t="str">
        <f>IFERROR(__xludf.DUMMYFUNCTION("""COMPUTED_VALUE""")," ")</f>
        <v> </v>
      </c>
      <c r="F2726" s="2"/>
      <c r="G2726" s="2"/>
      <c r="H2726" s="2"/>
      <c r="I2726" s="72"/>
      <c r="J2726" s="72"/>
      <c r="K2726" s="72"/>
      <c r="L2726" s="72"/>
      <c r="M2726" s="2"/>
      <c r="N2726" s="2"/>
      <c r="O2726" s="2"/>
      <c r="P2726" s="2"/>
      <c r="Q2726" s="2"/>
      <c r="R2726" s="2"/>
      <c r="S2726" s="2"/>
      <c r="T2726" s="2"/>
      <c r="U2726" s="2"/>
      <c r="V2726" s="2"/>
      <c r="W2726" s="2"/>
      <c r="X2726" s="2"/>
      <c r="Y2726" s="2"/>
      <c r="Z2726" s="2"/>
      <c r="AA2726" s="2"/>
      <c r="AB2726" s="2"/>
      <c r="AC2726" s="2"/>
      <c r="AD2726" s="2"/>
      <c r="AE2726" s="2"/>
      <c r="AF2726" s="2"/>
      <c r="AG2726" s="2"/>
      <c r="AH2726" s="2"/>
      <c r="AI2726" s="2"/>
      <c r="AJ2726" s="2" t="str">
        <f>IFERROR(__xludf.DUMMYFUNCTION("""COMPUTED_VALUE"""),"")</f>
        <v/>
      </c>
      <c r="AK2726" s="2" t="str">
        <f>IFERROR(__xludf.DUMMYFUNCTION("""COMPUTED_VALUE"""),"")</f>
        <v/>
      </c>
      <c r="AL2726" s="2" t="str">
        <f>IFERROR(__xludf.DUMMYFUNCTION("""COMPUTED_VALUE"""),"")</f>
        <v/>
      </c>
      <c r="AM2726" s="2" t="str">
        <f>IFERROR(__xludf.DUMMYFUNCTION("""COMPUTED_VALUE"""),"")</f>
        <v/>
      </c>
      <c r="AN2726" s="2" t="str">
        <f>IFERROR(__xludf.DUMMYFUNCTION("""COMPUTED_VALUE""")," ")</f>
        <v> </v>
      </c>
      <c r="AO2726" s="2" t="str">
        <f>IFERROR(__xludf.DUMMYFUNCTION("""COMPUTED_VALUE""")," ")</f>
        <v> </v>
      </c>
      <c r="AP2726" s="2" t="str">
        <f>IFERROR(__xludf.DUMMYFUNCTION("""COMPUTED_VALUE"""),"")</f>
        <v/>
      </c>
      <c r="AQ2726" s="2"/>
      <c r="AR2726" s="2"/>
      <c r="AS2726" s="2"/>
      <c r="AT2726" s="2"/>
      <c r="AU2726" s="2"/>
      <c r="AV2726" s="2"/>
      <c r="AW2726" s="2"/>
      <c r="AX2726" s="2"/>
      <c r="AY2726" s="2"/>
      <c r="AZ2726" s="2"/>
      <c r="BA2726" s="2"/>
      <c r="BB2726" s="2"/>
    </row>
    <row r="2727">
      <c r="A2727" s="2"/>
      <c r="B2727" s="2" t="str">
        <f>IFERROR(__xludf.DUMMYFUNCTION("""COMPUTED_VALUE"""),"")</f>
        <v/>
      </c>
      <c r="C2727" s="2"/>
      <c r="D2727" s="71"/>
      <c r="E2727" s="71" t="str">
        <f>IFERROR(__xludf.DUMMYFUNCTION("""COMPUTED_VALUE""")," ")</f>
        <v> </v>
      </c>
      <c r="F2727" s="2"/>
      <c r="G2727" s="2"/>
      <c r="H2727" s="2"/>
      <c r="I2727" s="72"/>
      <c r="J2727" s="72"/>
      <c r="K2727" s="72"/>
      <c r="L2727" s="72"/>
      <c r="M2727" s="2"/>
      <c r="N2727" s="2"/>
      <c r="O2727" s="2"/>
      <c r="P2727" s="2"/>
      <c r="Q2727" s="2"/>
      <c r="R2727" s="2"/>
      <c r="S2727" s="2"/>
      <c r="T2727" s="2"/>
      <c r="U2727" s="2"/>
      <c r="V2727" s="2"/>
      <c r="W2727" s="2"/>
      <c r="X2727" s="2"/>
      <c r="Y2727" s="2"/>
      <c r="Z2727" s="2"/>
      <c r="AA2727" s="2"/>
      <c r="AB2727" s="2"/>
      <c r="AC2727" s="2"/>
      <c r="AD2727" s="2"/>
      <c r="AE2727" s="2"/>
      <c r="AF2727" s="2"/>
      <c r="AG2727" s="2"/>
      <c r="AH2727" s="2"/>
      <c r="AI2727" s="2"/>
      <c r="AJ2727" s="2" t="str">
        <f>IFERROR(__xludf.DUMMYFUNCTION("""COMPUTED_VALUE"""),"")</f>
        <v/>
      </c>
      <c r="AK2727" s="2" t="str">
        <f>IFERROR(__xludf.DUMMYFUNCTION("""COMPUTED_VALUE"""),"")</f>
        <v/>
      </c>
      <c r="AL2727" s="2" t="str">
        <f>IFERROR(__xludf.DUMMYFUNCTION("""COMPUTED_VALUE"""),"")</f>
        <v/>
      </c>
      <c r="AM2727" s="2" t="str">
        <f>IFERROR(__xludf.DUMMYFUNCTION("""COMPUTED_VALUE"""),"")</f>
        <v/>
      </c>
      <c r="AN2727" s="2" t="str">
        <f>IFERROR(__xludf.DUMMYFUNCTION("""COMPUTED_VALUE""")," ")</f>
        <v> </v>
      </c>
      <c r="AO2727" s="2" t="str">
        <f>IFERROR(__xludf.DUMMYFUNCTION("""COMPUTED_VALUE""")," ")</f>
        <v> </v>
      </c>
      <c r="AP2727" s="2" t="str">
        <f>IFERROR(__xludf.DUMMYFUNCTION("""COMPUTED_VALUE"""),"")</f>
        <v/>
      </c>
      <c r="AQ2727" s="2"/>
      <c r="AR2727" s="2"/>
      <c r="AS2727" s="2"/>
      <c r="AT2727" s="2"/>
      <c r="AU2727" s="2"/>
      <c r="AV2727" s="2"/>
      <c r="AW2727" s="2"/>
      <c r="AX2727" s="2"/>
      <c r="AY2727" s="2"/>
      <c r="AZ2727" s="2"/>
      <c r="BA2727" s="2"/>
      <c r="BB2727" s="2"/>
    </row>
    <row r="2728">
      <c r="A2728" s="2"/>
      <c r="B2728" s="2" t="str">
        <f>IFERROR(__xludf.DUMMYFUNCTION("""COMPUTED_VALUE"""),"")</f>
        <v/>
      </c>
      <c r="C2728" s="2"/>
      <c r="D2728" s="71"/>
      <c r="E2728" s="71" t="str">
        <f>IFERROR(__xludf.DUMMYFUNCTION("""COMPUTED_VALUE""")," ")</f>
        <v> </v>
      </c>
      <c r="F2728" s="2"/>
      <c r="G2728" s="2"/>
      <c r="H2728" s="2"/>
      <c r="I2728" s="72"/>
      <c r="J2728" s="72"/>
      <c r="K2728" s="72"/>
      <c r="L2728" s="72"/>
      <c r="M2728" s="2"/>
      <c r="N2728" s="2"/>
      <c r="O2728" s="2"/>
      <c r="P2728" s="2"/>
      <c r="Q2728" s="2"/>
      <c r="R2728" s="2"/>
      <c r="S2728" s="2"/>
      <c r="T2728" s="2"/>
      <c r="U2728" s="2"/>
      <c r="V2728" s="2"/>
      <c r="W2728" s="2"/>
      <c r="X2728" s="2"/>
      <c r="Y2728" s="2"/>
      <c r="Z2728" s="2"/>
      <c r="AA2728" s="2"/>
      <c r="AB2728" s="2"/>
      <c r="AC2728" s="2"/>
      <c r="AD2728" s="2"/>
      <c r="AE2728" s="2"/>
      <c r="AF2728" s="2"/>
      <c r="AG2728" s="2"/>
      <c r="AH2728" s="2"/>
      <c r="AI2728" s="2"/>
      <c r="AJ2728" s="2" t="str">
        <f>IFERROR(__xludf.DUMMYFUNCTION("""COMPUTED_VALUE"""),"")</f>
        <v/>
      </c>
      <c r="AK2728" s="2" t="str">
        <f>IFERROR(__xludf.DUMMYFUNCTION("""COMPUTED_VALUE"""),"")</f>
        <v/>
      </c>
      <c r="AL2728" s="2" t="str">
        <f>IFERROR(__xludf.DUMMYFUNCTION("""COMPUTED_VALUE"""),"")</f>
        <v/>
      </c>
      <c r="AM2728" s="2" t="str">
        <f>IFERROR(__xludf.DUMMYFUNCTION("""COMPUTED_VALUE"""),"")</f>
        <v/>
      </c>
      <c r="AN2728" s="2" t="str">
        <f>IFERROR(__xludf.DUMMYFUNCTION("""COMPUTED_VALUE""")," ")</f>
        <v> </v>
      </c>
      <c r="AO2728" s="2" t="str">
        <f>IFERROR(__xludf.DUMMYFUNCTION("""COMPUTED_VALUE""")," ")</f>
        <v> </v>
      </c>
      <c r="AP2728" s="2" t="str">
        <f>IFERROR(__xludf.DUMMYFUNCTION("""COMPUTED_VALUE"""),"")</f>
        <v/>
      </c>
      <c r="AQ2728" s="2"/>
      <c r="AR2728" s="2"/>
      <c r="AS2728" s="2"/>
      <c r="AT2728" s="2"/>
      <c r="AU2728" s="2"/>
      <c r="AV2728" s="2"/>
      <c r="AW2728" s="2"/>
      <c r="AX2728" s="2"/>
      <c r="AY2728" s="2"/>
      <c r="AZ2728" s="2"/>
      <c r="BA2728" s="2"/>
      <c r="BB2728" s="2"/>
    </row>
    <row r="2729">
      <c r="A2729" s="2"/>
      <c r="B2729" s="2" t="str">
        <f>IFERROR(__xludf.DUMMYFUNCTION("""COMPUTED_VALUE"""),"")</f>
        <v/>
      </c>
      <c r="C2729" s="2"/>
      <c r="D2729" s="71"/>
      <c r="E2729" s="71" t="str">
        <f>IFERROR(__xludf.DUMMYFUNCTION("""COMPUTED_VALUE""")," ")</f>
        <v> </v>
      </c>
      <c r="F2729" s="2"/>
      <c r="G2729" s="2"/>
      <c r="H2729" s="2"/>
      <c r="I2729" s="72"/>
      <c r="J2729" s="72"/>
      <c r="K2729" s="72"/>
      <c r="L2729" s="72"/>
      <c r="M2729" s="2"/>
      <c r="N2729" s="2"/>
      <c r="O2729" s="2"/>
      <c r="P2729" s="2"/>
      <c r="Q2729" s="2"/>
      <c r="R2729" s="2"/>
      <c r="S2729" s="2"/>
      <c r="T2729" s="2"/>
      <c r="U2729" s="2"/>
      <c r="V2729" s="2"/>
      <c r="W2729" s="2"/>
      <c r="X2729" s="2"/>
      <c r="Y2729" s="2"/>
      <c r="Z2729" s="2"/>
      <c r="AA2729" s="2"/>
      <c r="AB2729" s="2"/>
      <c r="AC2729" s="2"/>
      <c r="AD2729" s="2"/>
      <c r="AE2729" s="2"/>
      <c r="AF2729" s="2"/>
      <c r="AG2729" s="2"/>
      <c r="AH2729" s="2"/>
      <c r="AI2729" s="2"/>
      <c r="AJ2729" s="2" t="str">
        <f>IFERROR(__xludf.DUMMYFUNCTION("""COMPUTED_VALUE"""),"")</f>
        <v/>
      </c>
      <c r="AK2729" s="2" t="str">
        <f>IFERROR(__xludf.DUMMYFUNCTION("""COMPUTED_VALUE"""),"")</f>
        <v/>
      </c>
      <c r="AL2729" s="2" t="str">
        <f>IFERROR(__xludf.DUMMYFUNCTION("""COMPUTED_VALUE"""),"")</f>
        <v/>
      </c>
      <c r="AM2729" s="2" t="str">
        <f>IFERROR(__xludf.DUMMYFUNCTION("""COMPUTED_VALUE"""),"")</f>
        <v/>
      </c>
      <c r="AN2729" s="2" t="str">
        <f>IFERROR(__xludf.DUMMYFUNCTION("""COMPUTED_VALUE""")," ")</f>
        <v> </v>
      </c>
      <c r="AO2729" s="2" t="str">
        <f>IFERROR(__xludf.DUMMYFUNCTION("""COMPUTED_VALUE""")," ")</f>
        <v> </v>
      </c>
      <c r="AP2729" s="2" t="str">
        <f>IFERROR(__xludf.DUMMYFUNCTION("""COMPUTED_VALUE"""),"")</f>
        <v/>
      </c>
      <c r="AQ2729" s="2"/>
      <c r="AR2729" s="2"/>
      <c r="AS2729" s="2"/>
      <c r="AT2729" s="2"/>
      <c r="AU2729" s="2"/>
      <c r="AV2729" s="2"/>
      <c r="AW2729" s="2"/>
      <c r="AX2729" s="2"/>
      <c r="AY2729" s="2"/>
      <c r="AZ2729" s="2"/>
      <c r="BA2729" s="2"/>
      <c r="BB2729" s="2"/>
    </row>
    <row r="2730">
      <c r="A2730" s="2"/>
      <c r="B2730" s="2" t="str">
        <f>IFERROR(__xludf.DUMMYFUNCTION("""COMPUTED_VALUE"""),"")</f>
        <v/>
      </c>
      <c r="C2730" s="2"/>
      <c r="D2730" s="71"/>
      <c r="E2730" s="71" t="str">
        <f>IFERROR(__xludf.DUMMYFUNCTION("""COMPUTED_VALUE""")," ")</f>
        <v> </v>
      </c>
      <c r="F2730" s="2"/>
      <c r="G2730" s="2"/>
      <c r="H2730" s="2"/>
      <c r="I2730" s="72"/>
      <c r="J2730" s="72"/>
      <c r="K2730" s="72"/>
      <c r="L2730" s="72"/>
      <c r="M2730" s="2"/>
      <c r="N2730" s="2"/>
      <c r="O2730" s="2"/>
      <c r="P2730" s="2"/>
      <c r="Q2730" s="2"/>
      <c r="R2730" s="2"/>
      <c r="S2730" s="2"/>
      <c r="T2730" s="2"/>
      <c r="U2730" s="2"/>
      <c r="V2730" s="2"/>
      <c r="W2730" s="2"/>
      <c r="X2730" s="2"/>
      <c r="Y2730" s="2"/>
      <c r="Z2730" s="2"/>
      <c r="AA2730" s="2"/>
      <c r="AB2730" s="2"/>
      <c r="AC2730" s="2"/>
      <c r="AD2730" s="2"/>
      <c r="AE2730" s="2"/>
      <c r="AF2730" s="2"/>
      <c r="AG2730" s="2"/>
      <c r="AH2730" s="2"/>
      <c r="AI2730" s="2"/>
      <c r="AJ2730" s="2" t="str">
        <f>IFERROR(__xludf.DUMMYFUNCTION("""COMPUTED_VALUE"""),"")</f>
        <v/>
      </c>
      <c r="AK2730" s="2" t="str">
        <f>IFERROR(__xludf.DUMMYFUNCTION("""COMPUTED_VALUE"""),"")</f>
        <v/>
      </c>
      <c r="AL2730" s="2" t="str">
        <f>IFERROR(__xludf.DUMMYFUNCTION("""COMPUTED_VALUE"""),"")</f>
        <v/>
      </c>
      <c r="AM2730" s="2" t="str">
        <f>IFERROR(__xludf.DUMMYFUNCTION("""COMPUTED_VALUE"""),"")</f>
        <v/>
      </c>
      <c r="AN2730" s="2" t="str">
        <f>IFERROR(__xludf.DUMMYFUNCTION("""COMPUTED_VALUE""")," ")</f>
        <v> </v>
      </c>
      <c r="AO2730" s="2" t="str">
        <f>IFERROR(__xludf.DUMMYFUNCTION("""COMPUTED_VALUE""")," ")</f>
        <v> </v>
      </c>
      <c r="AP2730" s="2" t="str">
        <f>IFERROR(__xludf.DUMMYFUNCTION("""COMPUTED_VALUE"""),"")</f>
        <v/>
      </c>
      <c r="AQ2730" s="2"/>
      <c r="AR2730" s="2"/>
      <c r="AS2730" s="2"/>
      <c r="AT2730" s="2"/>
      <c r="AU2730" s="2"/>
      <c r="AV2730" s="2"/>
      <c r="AW2730" s="2"/>
      <c r="AX2730" s="2"/>
      <c r="AY2730" s="2"/>
      <c r="AZ2730" s="2"/>
      <c r="BA2730" s="2"/>
      <c r="BB2730" s="2"/>
    </row>
    <row r="2731">
      <c r="A2731" s="2"/>
      <c r="B2731" s="2" t="str">
        <f>IFERROR(__xludf.DUMMYFUNCTION("""COMPUTED_VALUE"""),"")</f>
        <v/>
      </c>
      <c r="C2731" s="2"/>
      <c r="D2731" s="71"/>
      <c r="E2731" s="71" t="str">
        <f>IFERROR(__xludf.DUMMYFUNCTION("""COMPUTED_VALUE""")," ")</f>
        <v> </v>
      </c>
      <c r="F2731" s="2"/>
      <c r="G2731" s="2"/>
      <c r="H2731" s="2"/>
      <c r="I2731" s="72"/>
      <c r="J2731" s="72"/>
      <c r="K2731" s="72"/>
      <c r="L2731" s="72"/>
      <c r="M2731" s="2"/>
      <c r="N2731" s="2"/>
      <c r="O2731" s="2"/>
      <c r="P2731" s="2"/>
      <c r="Q2731" s="2"/>
      <c r="R2731" s="2"/>
      <c r="S2731" s="2"/>
      <c r="T2731" s="2"/>
      <c r="U2731" s="2"/>
      <c r="V2731" s="2"/>
      <c r="W2731" s="2"/>
      <c r="X2731" s="2"/>
      <c r="Y2731" s="2"/>
      <c r="Z2731" s="2"/>
      <c r="AA2731" s="2"/>
      <c r="AB2731" s="2"/>
      <c r="AC2731" s="2"/>
      <c r="AD2731" s="2"/>
      <c r="AE2731" s="2"/>
      <c r="AF2731" s="2"/>
      <c r="AG2731" s="2"/>
      <c r="AH2731" s="2"/>
      <c r="AI2731" s="2"/>
      <c r="AJ2731" s="2" t="str">
        <f>IFERROR(__xludf.DUMMYFUNCTION("""COMPUTED_VALUE"""),"")</f>
        <v/>
      </c>
      <c r="AK2731" s="2" t="str">
        <f>IFERROR(__xludf.DUMMYFUNCTION("""COMPUTED_VALUE"""),"")</f>
        <v/>
      </c>
      <c r="AL2731" s="2" t="str">
        <f>IFERROR(__xludf.DUMMYFUNCTION("""COMPUTED_VALUE"""),"")</f>
        <v/>
      </c>
      <c r="AM2731" s="2" t="str">
        <f>IFERROR(__xludf.DUMMYFUNCTION("""COMPUTED_VALUE"""),"")</f>
        <v/>
      </c>
      <c r="AN2731" s="2" t="str">
        <f>IFERROR(__xludf.DUMMYFUNCTION("""COMPUTED_VALUE""")," ")</f>
        <v> </v>
      </c>
      <c r="AO2731" s="2" t="str">
        <f>IFERROR(__xludf.DUMMYFUNCTION("""COMPUTED_VALUE""")," ")</f>
        <v> </v>
      </c>
      <c r="AP2731" s="2" t="str">
        <f>IFERROR(__xludf.DUMMYFUNCTION("""COMPUTED_VALUE"""),"")</f>
        <v/>
      </c>
      <c r="AQ2731" s="2"/>
      <c r="AR2731" s="2"/>
      <c r="AS2731" s="2"/>
      <c r="AT2731" s="2"/>
      <c r="AU2731" s="2"/>
      <c r="AV2731" s="2"/>
      <c r="AW2731" s="2"/>
      <c r="AX2731" s="2"/>
      <c r="AY2731" s="2"/>
      <c r="AZ2731" s="2"/>
      <c r="BA2731" s="2"/>
      <c r="BB2731" s="2"/>
    </row>
    <row r="2732">
      <c r="A2732" s="2"/>
      <c r="B2732" s="2" t="str">
        <f>IFERROR(__xludf.DUMMYFUNCTION("""COMPUTED_VALUE"""),"")</f>
        <v/>
      </c>
      <c r="C2732" s="2"/>
      <c r="D2732" s="71"/>
      <c r="E2732" s="71" t="str">
        <f>IFERROR(__xludf.DUMMYFUNCTION("""COMPUTED_VALUE""")," ")</f>
        <v> </v>
      </c>
      <c r="F2732" s="2"/>
      <c r="G2732" s="2"/>
      <c r="H2732" s="2"/>
      <c r="I2732" s="72"/>
      <c r="J2732" s="72"/>
      <c r="K2732" s="72"/>
      <c r="L2732" s="72"/>
      <c r="M2732" s="2"/>
      <c r="N2732" s="2"/>
      <c r="O2732" s="2"/>
      <c r="P2732" s="2"/>
      <c r="Q2732" s="2"/>
      <c r="R2732" s="2"/>
      <c r="S2732" s="2"/>
      <c r="T2732" s="2"/>
      <c r="U2732" s="2"/>
      <c r="V2732" s="2"/>
      <c r="W2732" s="2"/>
      <c r="X2732" s="2"/>
      <c r="Y2732" s="2"/>
      <c r="Z2732" s="2"/>
      <c r="AA2732" s="2"/>
      <c r="AB2732" s="2"/>
      <c r="AC2732" s="2"/>
      <c r="AD2732" s="2"/>
      <c r="AE2732" s="2"/>
      <c r="AF2732" s="2"/>
      <c r="AG2732" s="2"/>
      <c r="AH2732" s="2"/>
      <c r="AI2732" s="2"/>
      <c r="AJ2732" s="2" t="str">
        <f>IFERROR(__xludf.DUMMYFUNCTION("""COMPUTED_VALUE"""),"")</f>
        <v/>
      </c>
      <c r="AK2732" s="2" t="str">
        <f>IFERROR(__xludf.DUMMYFUNCTION("""COMPUTED_VALUE"""),"")</f>
        <v/>
      </c>
      <c r="AL2732" s="2" t="str">
        <f>IFERROR(__xludf.DUMMYFUNCTION("""COMPUTED_VALUE"""),"")</f>
        <v/>
      </c>
      <c r="AM2732" s="2" t="str">
        <f>IFERROR(__xludf.DUMMYFUNCTION("""COMPUTED_VALUE"""),"")</f>
        <v/>
      </c>
      <c r="AN2732" s="2" t="str">
        <f>IFERROR(__xludf.DUMMYFUNCTION("""COMPUTED_VALUE""")," ")</f>
        <v> </v>
      </c>
      <c r="AO2732" s="2" t="str">
        <f>IFERROR(__xludf.DUMMYFUNCTION("""COMPUTED_VALUE""")," ")</f>
        <v> </v>
      </c>
      <c r="AP2732" s="2" t="str">
        <f>IFERROR(__xludf.DUMMYFUNCTION("""COMPUTED_VALUE"""),"")</f>
        <v/>
      </c>
      <c r="AQ2732" s="2"/>
      <c r="AR2732" s="2"/>
      <c r="AS2732" s="2"/>
      <c r="AT2732" s="2"/>
      <c r="AU2732" s="2"/>
      <c r="AV2732" s="2"/>
      <c r="AW2732" s="2"/>
      <c r="AX2732" s="2"/>
      <c r="AY2732" s="2"/>
      <c r="AZ2732" s="2"/>
      <c r="BA2732" s="2"/>
      <c r="BB2732" s="2"/>
    </row>
    <row r="2733">
      <c r="A2733" s="2"/>
      <c r="B2733" s="2" t="str">
        <f>IFERROR(__xludf.DUMMYFUNCTION("""COMPUTED_VALUE"""),"")</f>
        <v/>
      </c>
      <c r="C2733" s="2"/>
      <c r="D2733" s="71"/>
      <c r="E2733" s="71" t="str">
        <f>IFERROR(__xludf.DUMMYFUNCTION("""COMPUTED_VALUE""")," ")</f>
        <v> </v>
      </c>
      <c r="F2733" s="2"/>
      <c r="G2733" s="2"/>
      <c r="H2733" s="2"/>
      <c r="I2733" s="72"/>
      <c r="J2733" s="72"/>
      <c r="K2733" s="72"/>
      <c r="L2733" s="72"/>
      <c r="M2733" s="2"/>
      <c r="N2733" s="2"/>
      <c r="O2733" s="2"/>
      <c r="P2733" s="2"/>
      <c r="Q2733" s="2"/>
      <c r="R2733" s="2"/>
      <c r="S2733" s="2"/>
      <c r="T2733" s="2"/>
      <c r="U2733" s="2"/>
      <c r="V2733" s="2"/>
      <c r="W2733" s="2"/>
      <c r="X2733" s="2"/>
      <c r="Y2733" s="2"/>
      <c r="Z2733" s="2"/>
      <c r="AA2733" s="2"/>
      <c r="AB2733" s="2"/>
      <c r="AC2733" s="2"/>
      <c r="AD2733" s="2"/>
      <c r="AE2733" s="2"/>
      <c r="AF2733" s="2"/>
      <c r="AG2733" s="2"/>
      <c r="AH2733" s="2"/>
      <c r="AI2733" s="2"/>
      <c r="AJ2733" s="2" t="str">
        <f>IFERROR(__xludf.DUMMYFUNCTION("""COMPUTED_VALUE"""),"")</f>
        <v/>
      </c>
      <c r="AK2733" s="2" t="str">
        <f>IFERROR(__xludf.DUMMYFUNCTION("""COMPUTED_VALUE"""),"")</f>
        <v/>
      </c>
      <c r="AL2733" s="2" t="str">
        <f>IFERROR(__xludf.DUMMYFUNCTION("""COMPUTED_VALUE"""),"")</f>
        <v/>
      </c>
      <c r="AM2733" s="2" t="str">
        <f>IFERROR(__xludf.DUMMYFUNCTION("""COMPUTED_VALUE"""),"")</f>
        <v/>
      </c>
      <c r="AN2733" s="2" t="str">
        <f>IFERROR(__xludf.DUMMYFUNCTION("""COMPUTED_VALUE""")," ")</f>
        <v> </v>
      </c>
      <c r="AO2733" s="2" t="str">
        <f>IFERROR(__xludf.DUMMYFUNCTION("""COMPUTED_VALUE""")," ")</f>
        <v> </v>
      </c>
      <c r="AP2733" s="2" t="str">
        <f>IFERROR(__xludf.DUMMYFUNCTION("""COMPUTED_VALUE"""),"")</f>
        <v/>
      </c>
      <c r="AQ2733" s="2"/>
      <c r="AR2733" s="2"/>
      <c r="AS2733" s="2"/>
      <c r="AT2733" s="2"/>
      <c r="AU2733" s="2"/>
      <c r="AV2733" s="2"/>
      <c r="AW2733" s="2"/>
      <c r="AX2733" s="2"/>
      <c r="AY2733" s="2"/>
      <c r="AZ2733" s="2"/>
      <c r="BA2733" s="2"/>
      <c r="BB2733" s="2"/>
    </row>
    <row r="2734">
      <c r="A2734" s="2"/>
      <c r="B2734" s="2" t="str">
        <f>IFERROR(__xludf.DUMMYFUNCTION("""COMPUTED_VALUE"""),"")</f>
        <v/>
      </c>
      <c r="C2734" s="2"/>
      <c r="D2734" s="71"/>
      <c r="E2734" s="71" t="str">
        <f>IFERROR(__xludf.DUMMYFUNCTION("""COMPUTED_VALUE""")," ")</f>
        <v> </v>
      </c>
      <c r="F2734" s="2"/>
      <c r="G2734" s="2"/>
      <c r="H2734" s="2"/>
      <c r="I2734" s="72"/>
      <c r="J2734" s="72"/>
      <c r="K2734" s="72"/>
      <c r="L2734" s="72"/>
      <c r="M2734" s="2"/>
      <c r="N2734" s="2"/>
      <c r="O2734" s="2"/>
      <c r="P2734" s="2"/>
      <c r="Q2734" s="2"/>
      <c r="R2734" s="2"/>
      <c r="S2734" s="2"/>
      <c r="T2734" s="2"/>
      <c r="U2734" s="2"/>
      <c r="V2734" s="2"/>
      <c r="W2734" s="2"/>
      <c r="X2734" s="2"/>
      <c r="Y2734" s="2"/>
      <c r="Z2734" s="2"/>
      <c r="AA2734" s="2"/>
      <c r="AB2734" s="2"/>
      <c r="AC2734" s="2"/>
      <c r="AD2734" s="2"/>
      <c r="AE2734" s="2"/>
      <c r="AF2734" s="2"/>
      <c r="AG2734" s="2"/>
      <c r="AH2734" s="2"/>
      <c r="AI2734" s="2"/>
      <c r="AJ2734" s="2" t="str">
        <f>IFERROR(__xludf.DUMMYFUNCTION("""COMPUTED_VALUE"""),"")</f>
        <v/>
      </c>
      <c r="AK2734" s="2" t="str">
        <f>IFERROR(__xludf.DUMMYFUNCTION("""COMPUTED_VALUE"""),"")</f>
        <v/>
      </c>
      <c r="AL2734" s="2" t="str">
        <f>IFERROR(__xludf.DUMMYFUNCTION("""COMPUTED_VALUE"""),"")</f>
        <v/>
      </c>
      <c r="AM2734" s="2" t="str">
        <f>IFERROR(__xludf.DUMMYFUNCTION("""COMPUTED_VALUE"""),"")</f>
        <v/>
      </c>
      <c r="AN2734" s="2" t="str">
        <f>IFERROR(__xludf.DUMMYFUNCTION("""COMPUTED_VALUE""")," ")</f>
        <v> </v>
      </c>
      <c r="AO2734" s="2" t="str">
        <f>IFERROR(__xludf.DUMMYFUNCTION("""COMPUTED_VALUE""")," ")</f>
        <v> </v>
      </c>
      <c r="AP2734" s="2" t="str">
        <f>IFERROR(__xludf.DUMMYFUNCTION("""COMPUTED_VALUE"""),"")</f>
        <v/>
      </c>
      <c r="AQ2734" s="2"/>
      <c r="AR2734" s="2"/>
      <c r="AS2734" s="2"/>
      <c r="AT2734" s="2"/>
      <c r="AU2734" s="2"/>
      <c r="AV2734" s="2"/>
      <c r="AW2734" s="2"/>
      <c r="AX2734" s="2"/>
      <c r="AY2734" s="2"/>
      <c r="AZ2734" s="2"/>
      <c r="BA2734" s="2"/>
      <c r="BB2734" s="2"/>
    </row>
    <row r="2735">
      <c r="A2735" s="2"/>
      <c r="B2735" s="2" t="str">
        <f>IFERROR(__xludf.DUMMYFUNCTION("""COMPUTED_VALUE"""),"")</f>
        <v/>
      </c>
      <c r="C2735" s="2"/>
      <c r="D2735" s="71"/>
      <c r="E2735" s="71" t="str">
        <f>IFERROR(__xludf.DUMMYFUNCTION("""COMPUTED_VALUE""")," ")</f>
        <v> </v>
      </c>
      <c r="F2735" s="2"/>
      <c r="G2735" s="2"/>
      <c r="H2735" s="2"/>
      <c r="I2735" s="72"/>
      <c r="J2735" s="72"/>
      <c r="K2735" s="72"/>
      <c r="L2735" s="72"/>
      <c r="M2735" s="2"/>
      <c r="N2735" s="2"/>
      <c r="O2735" s="2"/>
      <c r="P2735" s="2"/>
      <c r="Q2735" s="2"/>
      <c r="R2735" s="2"/>
      <c r="S2735" s="2"/>
      <c r="T2735" s="2"/>
      <c r="U2735" s="2"/>
      <c r="V2735" s="2"/>
      <c r="W2735" s="2"/>
      <c r="X2735" s="2"/>
      <c r="Y2735" s="2"/>
      <c r="Z2735" s="2"/>
      <c r="AA2735" s="2"/>
      <c r="AB2735" s="2"/>
      <c r="AC2735" s="2"/>
      <c r="AD2735" s="2"/>
      <c r="AE2735" s="2"/>
      <c r="AF2735" s="2"/>
      <c r="AG2735" s="2"/>
      <c r="AH2735" s="2"/>
      <c r="AI2735" s="2"/>
      <c r="AJ2735" s="2" t="str">
        <f>IFERROR(__xludf.DUMMYFUNCTION("""COMPUTED_VALUE"""),"")</f>
        <v/>
      </c>
      <c r="AK2735" s="2" t="str">
        <f>IFERROR(__xludf.DUMMYFUNCTION("""COMPUTED_VALUE"""),"")</f>
        <v/>
      </c>
      <c r="AL2735" s="2" t="str">
        <f>IFERROR(__xludf.DUMMYFUNCTION("""COMPUTED_VALUE"""),"")</f>
        <v/>
      </c>
      <c r="AM2735" s="2" t="str">
        <f>IFERROR(__xludf.DUMMYFUNCTION("""COMPUTED_VALUE"""),"")</f>
        <v/>
      </c>
      <c r="AN2735" s="2" t="str">
        <f>IFERROR(__xludf.DUMMYFUNCTION("""COMPUTED_VALUE""")," ")</f>
        <v> </v>
      </c>
      <c r="AO2735" s="2" t="str">
        <f>IFERROR(__xludf.DUMMYFUNCTION("""COMPUTED_VALUE""")," ")</f>
        <v> </v>
      </c>
      <c r="AP2735" s="2" t="str">
        <f>IFERROR(__xludf.DUMMYFUNCTION("""COMPUTED_VALUE"""),"")</f>
        <v/>
      </c>
      <c r="AQ2735" s="2"/>
      <c r="AR2735" s="2"/>
      <c r="AS2735" s="2"/>
      <c r="AT2735" s="2"/>
      <c r="AU2735" s="2"/>
      <c r="AV2735" s="2"/>
      <c r="AW2735" s="2"/>
      <c r="AX2735" s="2"/>
      <c r="AY2735" s="2"/>
      <c r="AZ2735" s="2"/>
      <c r="BA2735" s="2"/>
      <c r="BB2735" s="2"/>
    </row>
    <row r="2736">
      <c r="A2736" s="2"/>
      <c r="B2736" s="2" t="str">
        <f>IFERROR(__xludf.DUMMYFUNCTION("""COMPUTED_VALUE"""),"")</f>
        <v/>
      </c>
      <c r="C2736" s="2"/>
      <c r="D2736" s="71"/>
      <c r="E2736" s="71" t="str">
        <f>IFERROR(__xludf.DUMMYFUNCTION("""COMPUTED_VALUE""")," ")</f>
        <v> </v>
      </c>
      <c r="F2736" s="2"/>
      <c r="G2736" s="2"/>
      <c r="H2736" s="2"/>
      <c r="I2736" s="72"/>
      <c r="J2736" s="72"/>
      <c r="K2736" s="72"/>
      <c r="L2736" s="72"/>
      <c r="M2736" s="2"/>
      <c r="N2736" s="2"/>
      <c r="O2736" s="2"/>
      <c r="P2736" s="2"/>
      <c r="Q2736" s="2"/>
      <c r="R2736" s="2"/>
      <c r="S2736" s="2"/>
      <c r="T2736" s="2"/>
      <c r="U2736" s="2"/>
      <c r="V2736" s="2"/>
      <c r="W2736" s="2"/>
      <c r="X2736" s="2"/>
      <c r="Y2736" s="2"/>
      <c r="Z2736" s="2"/>
      <c r="AA2736" s="2"/>
      <c r="AB2736" s="2"/>
      <c r="AC2736" s="2"/>
      <c r="AD2736" s="2"/>
      <c r="AE2736" s="2"/>
      <c r="AF2736" s="2"/>
      <c r="AG2736" s="2"/>
      <c r="AH2736" s="2"/>
      <c r="AI2736" s="2"/>
      <c r="AJ2736" s="2" t="str">
        <f>IFERROR(__xludf.DUMMYFUNCTION("""COMPUTED_VALUE"""),"")</f>
        <v/>
      </c>
      <c r="AK2736" s="2" t="str">
        <f>IFERROR(__xludf.DUMMYFUNCTION("""COMPUTED_VALUE"""),"")</f>
        <v/>
      </c>
      <c r="AL2736" s="2" t="str">
        <f>IFERROR(__xludf.DUMMYFUNCTION("""COMPUTED_VALUE"""),"")</f>
        <v/>
      </c>
      <c r="AM2736" s="2" t="str">
        <f>IFERROR(__xludf.DUMMYFUNCTION("""COMPUTED_VALUE"""),"")</f>
        <v/>
      </c>
      <c r="AN2736" s="2" t="str">
        <f>IFERROR(__xludf.DUMMYFUNCTION("""COMPUTED_VALUE""")," ")</f>
        <v> </v>
      </c>
      <c r="AO2736" s="2" t="str">
        <f>IFERROR(__xludf.DUMMYFUNCTION("""COMPUTED_VALUE""")," ")</f>
        <v> </v>
      </c>
      <c r="AP2736" s="2" t="str">
        <f>IFERROR(__xludf.DUMMYFUNCTION("""COMPUTED_VALUE"""),"")</f>
        <v/>
      </c>
      <c r="AQ2736" s="2"/>
      <c r="AR2736" s="2"/>
      <c r="AS2736" s="2"/>
      <c r="AT2736" s="2"/>
      <c r="AU2736" s="2"/>
      <c r="AV2736" s="2"/>
      <c r="AW2736" s="2"/>
      <c r="AX2736" s="2"/>
      <c r="AY2736" s="2"/>
      <c r="AZ2736" s="2"/>
      <c r="BA2736" s="2"/>
      <c r="BB2736" s="2"/>
    </row>
    <row r="2737">
      <c r="A2737" s="2"/>
      <c r="B2737" s="2" t="str">
        <f>IFERROR(__xludf.DUMMYFUNCTION("""COMPUTED_VALUE"""),"")</f>
        <v/>
      </c>
      <c r="C2737" s="2"/>
      <c r="D2737" s="71"/>
      <c r="E2737" s="71" t="str">
        <f>IFERROR(__xludf.DUMMYFUNCTION("""COMPUTED_VALUE""")," ")</f>
        <v> </v>
      </c>
      <c r="F2737" s="2"/>
      <c r="G2737" s="2"/>
      <c r="H2737" s="2"/>
      <c r="I2737" s="72"/>
      <c r="J2737" s="72"/>
      <c r="K2737" s="72"/>
      <c r="L2737" s="72"/>
      <c r="M2737" s="2"/>
      <c r="N2737" s="2"/>
      <c r="O2737" s="2"/>
      <c r="P2737" s="2"/>
      <c r="Q2737" s="2"/>
      <c r="R2737" s="2"/>
      <c r="S2737" s="2"/>
      <c r="T2737" s="2"/>
      <c r="U2737" s="2"/>
      <c r="V2737" s="2"/>
      <c r="W2737" s="2"/>
      <c r="X2737" s="2"/>
      <c r="Y2737" s="2"/>
      <c r="Z2737" s="2"/>
      <c r="AA2737" s="2"/>
      <c r="AB2737" s="2"/>
      <c r="AC2737" s="2"/>
      <c r="AD2737" s="2"/>
      <c r="AE2737" s="2"/>
      <c r="AF2737" s="2"/>
      <c r="AG2737" s="2"/>
      <c r="AH2737" s="2"/>
      <c r="AI2737" s="2"/>
      <c r="AJ2737" s="2" t="str">
        <f>IFERROR(__xludf.DUMMYFUNCTION("""COMPUTED_VALUE"""),"")</f>
        <v/>
      </c>
      <c r="AK2737" s="2" t="str">
        <f>IFERROR(__xludf.DUMMYFUNCTION("""COMPUTED_VALUE"""),"")</f>
        <v/>
      </c>
      <c r="AL2737" s="2" t="str">
        <f>IFERROR(__xludf.DUMMYFUNCTION("""COMPUTED_VALUE"""),"")</f>
        <v/>
      </c>
      <c r="AM2737" s="2" t="str">
        <f>IFERROR(__xludf.DUMMYFUNCTION("""COMPUTED_VALUE"""),"")</f>
        <v/>
      </c>
      <c r="AN2737" s="2" t="str">
        <f>IFERROR(__xludf.DUMMYFUNCTION("""COMPUTED_VALUE""")," ")</f>
        <v> </v>
      </c>
      <c r="AO2737" s="2" t="str">
        <f>IFERROR(__xludf.DUMMYFUNCTION("""COMPUTED_VALUE""")," ")</f>
        <v> </v>
      </c>
      <c r="AP2737" s="2" t="str">
        <f>IFERROR(__xludf.DUMMYFUNCTION("""COMPUTED_VALUE"""),"")</f>
        <v/>
      </c>
      <c r="AQ2737" s="2"/>
      <c r="AR2737" s="2"/>
      <c r="AS2737" s="2"/>
      <c r="AT2737" s="2"/>
      <c r="AU2737" s="2"/>
      <c r="AV2737" s="2"/>
      <c r="AW2737" s="2"/>
      <c r="AX2737" s="2"/>
      <c r="AY2737" s="2"/>
      <c r="AZ2737" s="2"/>
      <c r="BA2737" s="2"/>
      <c r="BB2737" s="2"/>
    </row>
    <row r="2738">
      <c r="A2738" s="2"/>
      <c r="B2738" s="2" t="str">
        <f>IFERROR(__xludf.DUMMYFUNCTION("""COMPUTED_VALUE"""),"")</f>
        <v/>
      </c>
      <c r="C2738" s="2"/>
      <c r="D2738" s="71"/>
      <c r="E2738" s="71" t="str">
        <f>IFERROR(__xludf.DUMMYFUNCTION("""COMPUTED_VALUE""")," ")</f>
        <v> </v>
      </c>
      <c r="F2738" s="2"/>
      <c r="G2738" s="2"/>
      <c r="H2738" s="2"/>
      <c r="I2738" s="72"/>
      <c r="J2738" s="72"/>
      <c r="K2738" s="72"/>
      <c r="L2738" s="72"/>
      <c r="M2738" s="2"/>
      <c r="N2738" s="2"/>
      <c r="O2738" s="2"/>
      <c r="P2738" s="2"/>
      <c r="Q2738" s="2"/>
      <c r="R2738" s="2"/>
      <c r="S2738" s="2"/>
      <c r="T2738" s="2"/>
      <c r="U2738" s="2"/>
      <c r="V2738" s="2"/>
      <c r="W2738" s="2"/>
      <c r="X2738" s="2"/>
      <c r="Y2738" s="2"/>
      <c r="Z2738" s="2"/>
      <c r="AA2738" s="2"/>
      <c r="AB2738" s="2"/>
      <c r="AC2738" s="2"/>
      <c r="AD2738" s="2"/>
      <c r="AE2738" s="2"/>
      <c r="AF2738" s="2"/>
      <c r="AG2738" s="2"/>
      <c r="AH2738" s="2"/>
      <c r="AI2738" s="2"/>
      <c r="AJ2738" s="2" t="str">
        <f>IFERROR(__xludf.DUMMYFUNCTION("""COMPUTED_VALUE"""),"")</f>
        <v/>
      </c>
      <c r="AK2738" s="2" t="str">
        <f>IFERROR(__xludf.DUMMYFUNCTION("""COMPUTED_VALUE"""),"")</f>
        <v/>
      </c>
      <c r="AL2738" s="2" t="str">
        <f>IFERROR(__xludf.DUMMYFUNCTION("""COMPUTED_VALUE"""),"")</f>
        <v/>
      </c>
      <c r="AM2738" s="2" t="str">
        <f>IFERROR(__xludf.DUMMYFUNCTION("""COMPUTED_VALUE"""),"")</f>
        <v/>
      </c>
      <c r="AN2738" s="2" t="str">
        <f>IFERROR(__xludf.DUMMYFUNCTION("""COMPUTED_VALUE""")," ")</f>
        <v> </v>
      </c>
      <c r="AO2738" s="2" t="str">
        <f>IFERROR(__xludf.DUMMYFUNCTION("""COMPUTED_VALUE""")," ")</f>
        <v> </v>
      </c>
      <c r="AP2738" s="2" t="str">
        <f>IFERROR(__xludf.DUMMYFUNCTION("""COMPUTED_VALUE"""),"")</f>
        <v/>
      </c>
      <c r="AQ2738" s="2"/>
      <c r="AR2738" s="2"/>
      <c r="AS2738" s="2"/>
      <c r="AT2738" s="2"/>
      <c r="AU2738" s="2"/>
      <c r="AV2738" s="2"/>
      <c r="AW2738" s="2"/>
      <c r="AX2738" s="2"/>
      <c r="AY2738" s="2"/>
      <c r="AZ2738" s="2"/>
      <c r="BA2738" s="2"/>
      <c r="BB2738" s="2"/>
    </row>
    <row r="2739">
      <c r="A2739" s="2"/>
      <c r="B2739" s="2" t="str">
        <f>IFERROR(__xludf.DUMMYFUNCTION("""COMPUTED_VALUE"""),"")</f>
        <v/>
      </c>
      <c r="C2739" s="2"/>
      <c r="D2739" s="71"/>
      <c r="E2739" s="71" t="str">
        <f>IFERROR(__xludf.DUMMYFUNCTION("""COMPUTED_VALUE""")," ")</f>
        <v> </v>
      </c>
      <c r="F2739" s="2"/>
      <c r="G2739" s="2"/>
      <c r="H2739" s="2"/>
      <c r="I2739" s="72"/>
      <c r="J2739" s="72"/>
      <c r="K2739" s="72"/>
      <c r="L2739" s="72"/>
      <c r="M2739" s="2"/>
      <c r="N2739" s="2"/>
      <c r="O2739" s="2"/>
      <c r="P2739" s="2"/>
      <c r="Q2739" s="2"/>
      <c r="R2739" s="2"/>
      <c r="S2739" s="2"/>
      <c r="T2739" s="2"/>
      <c r="U2739" s="2"/>
      <c r="V2739" s="2"/>
      <c r="W2739" s="2"/>
      <c r="X2739" s="2"/>
      <c r="Y2739" s="2"/>
      <c r="Z2739" s="2"/>
      <c r="AA2739" s="2"/>
      <c r="AB2739" s="2"/>
      <c r="AC2739" s="2"/>
      <c r="AD2739" s="2"/>
      <c r="AE2739" s="2"/>
      <c r="AF2739" s="2"/>
      <c r="AG2739" s="2"/>
      <c r="AH2739" s="2"/>
      <c r="AI2739" s="2"/>
      <c r="AJ2739" s="2" t="str">
        <f>IFERROR(__xludf.DUMMYFUNCTION("""COMPUTED_VALUE"""),"")</f>
        <v/>
      </c>
      <c r="AK2739" s="2" t="str">
        <f>IFERROR(__xludf.DUMMYFUNCTION("""COMPUTED_VALUE"""),"")</f>
        <v/>
      </c>
      <c r="AL2739" s="2" t="str">
        <f>IFERROR(__xludf.DUMMYFUNCTION("""COMPUTED_VALUE"""),"")</f>
        <v/>
      </c>
      <c r="AM2739" s="2" t="str">
        <f>IFERROR(__xludf.DUMMYFUNCTION("""COMPUTED_VALUE"""),"")</f>
        <v/>
      </c>
      <c r="AN2739" s="2" t="str">
        <f>IFERROR(__xludf.DUMMYFUNCTION("""COMPUTED_VALUE""")," ")</f>
        <v> </v>
      </c>
      <c r="AO2739" s="2" t="str">
        <f>IFERROR(__xludf.DUMMYFUNCTION("""COMPUTED_VALUE""")," ")</f>
        <v> </v>
      </c>
      <c r="AP2739" s="2" t="str">
        <f>IFERROR(__xludf.DUMMYFUNCTION("""COMPUTED_VALUE"""),"")</f>
        <v/>
      </c>
      <c r="AQ2739" s="2"/>
      <c r="AR2739" s="2"/>
      <c r="AS2739" s="2"/>
      <c r="AT2739" s="2"/>
      <c r="AU2739" s="2"/>
      <c r="AV2739" s="2"/>
      <c r="AW2739" s="2"/>
      <c r="AX2739" s="2"/>
      <c r="AY2739" s="2"/>
      <c r="AZ2739" s="2"/>
      <c r="BA2739" s="2"/>
      <c r="BB2739" s="2"/>
    </row>
    <row r="2740">
      <c r="A2740" s="2"/>
      <c r="B2740" s="2" t="str">
        <f>IFERROR(__xludf.DUMMYFUNCTION("""COMPUTED_VALUE"""),"")</f>
        <v/>
      </c>
      <c r="C2740" s="2"/>
      <c r="D2740" s="71"/>
      <c r="E2740" s="71" t="str">
        <f>IFERROR(__xludf.DUMMYFUNCTION("""COMPUTED_VALUE""")," ")</f>
        <v> </v>
      </c>
      <c r="F2740" s="2"/>
      <c r="G2740" s="2"/>
      <c r="H2740" s="2"/>
      <c r="I2740" s="72"/>
      <c r="J2740" s="72"/>
      <c r="K2740" s="72"/>
      <c r="L2740" s="72"/>
      <c r="M2740" s="2"/>
      <c r="N2740" s="2"/>
      <c r="O2740" s="2"/>
      <c r="P2740" s="2"/>
      <c r="Q2740" s="2"/>
      <c r="R2740" s="2"/>
      <c r="S2740" s="2"/>
      <c r="T2740" s="2"/>
      <c r="U2740" s="2"/>
      <c r="V2740" s="2"/>
      <c r="W2740" s="2"/>
      <c r="X2740" s="2"/>
      <c r="Y2740" s="2"/>
      <c r="Z2740" s="2"/>
      <c r="AA2740" s="2"/>
      <c r="AB2740" s="2"/>
      <c r="AC2740" s="2"/>
      <c r="AD2740" s="2"/>
      <c r="AE2740" s="2"/>
      <c r="AF2740" s="2"/>
      <c r="AG2740" s="2"/>
      <c r="AH2740" s="2"/>
      <c r="AI2740" s="2"/>
      <c r="AJ2740" s="2" t="str">
        <f>IFERROR(__xludf.DUMMYFUNCTION("""COMPUTED_VALUE"""),"")</f>
        <v/>
      </c>
      <c r="AK2740" s="2" t="str">
        <f>IFERROR(__xludf.DUMMYFUNCTION("""COMPUTED_VALUE"""),"")</f>
        <v/>
      </c>
      <c r="AL2740" s="2" t="str">
        <f>IFERROR(__xludf.DUMMYFUNCTION("""COMPUTED_VALUE"""),"")</f>
        <v/>
      </c>
      <c r="AM2740" s="2" t="str">
        <f>IFERROR(__xludf.DUMMYFUNCTION("""COMPUTED_VALUE"""),"")</f>
        <v/>
      </c>
      <c r="AN2740" s="2" t="str">
        <f>IFERROR(__xludf.DUMMYFUNCTION("""COMPUTED_VALUE""")," ")</f>
        <v> </v>
      </c>
      <c r="AO2740" s="2" t="str">
        <f>IFERROR(__xludf.DUMMYFUNCTION("""COMPUTED_VALUE""")," ")</f>
        <v> </v>
      </c>
      <c r="AP2740" s="2" t="str">
        <f>IFERROR(__xludf.DUMMYFUNCTION("""COMPUTED_VALUE"""),"")</f>
        <v/>
      </c>
      <c r="AQ2740" s="2"/>
      <c r="AR2740" s="2"/>
      <c r="AS2740" s="2"/>
      <c r="AT2740" s="2"/>
      <c r="AU2740" s="2"/>
      <c r="AV2740" s="2"/>
      <c r="AW2740" s="2"/>
      <c r="AX2740" s="2"/>
      <c r="AY2740" s="2"/>
      <c r="AZ2740" s="2"/>
      <c r="BA2740" s="2"/>
      <c r="BB2740" s="2"/>
    </row>
    <row r="2741">
      <c r="A2741" s="2"/>
      <c r="B2741" s="2" t="str">
        <f>IFERROR(__xludf.DUMMYFUNCTION("""COMPUTED_VALUE"""),"")</f>
        <v/>
      </c>
      <c r="C2741" s="2"/>
      <c r="D2741" s="71"/>
      <c r="E2741" s="71" t="str">
        <f>IFERROR(__xludf.DUMMYFUNCTION("""COMPUTED_VALUE""")," ")</f>
        <v> </v>
      </c>
      <c r="F2741" s="2"/>
      <c r="G2741" s="2"/>
      <c r="H2741" s="2"/>
      <c r="I2741" s="72"/>
      <c r="J2741" s="72"/>
      <c r="K2741" s="72"/>
      <c r="L2741" s="72"/>
      <c r="M2741" s="2"/>
      <c r="N2741" s="2"/>
      <c r="O2741" s="2"/>
      <c r="P2741" s="2"/>
      <c r="Q2741" s="2"/>
      <c r="R2741" s="2"/>
      <c r="S2741" s="2"/>
      <c r="T2741" s="2"/>
      <c r="U2741" s="2"/>
      <c r="V2741" s="2"/>
      <c r="W2741" s="2"/>
      <c r="X2741" s="2"/>
      <c r="Y2741" s="2"/>
      <c r="Z2741" s="2"/>
      <c r="AA2741" s="2"/>
      <c r="AB2741" s="2"/>
      <c r="AC2741" s="2"/>
      <c r="AD2741" s="2"/>
      <c r="AE2741" s="2"/>
      <c r="AF2741" s="2"/>
      <c r="AG2741" s="2"/>
      <c r="AH2741" s="2"/>
      <c r="AI2741" s="2"/>
      <c r="AJ2741" s="2" t="str">
        <f>IFERROR(__xludf.DUMMYFUNCTION("""COMPUTED_VALUE"""),"")</f>
        <v/>
      </c>
      <c r="AK2741" s="2" t="str">
        <f>IFERROR(__xludf.DUMMYFUNCTION("""COMPUTED_VALUE"""),"")</f>
        <v/>
      </c>
      <c r="AL2741" s="2" t="str">
        <f>IFERROR(__xludf.DUMMYFUNCTION("""COMPUTED_VALUE"""),"")</f>
        <v/>
      </c>
      <c r="AM2741" s="2" t="str">
        <f>IFERROR(__xludf.DUMMYFUNCTION("""COMPUTED_VALUE"""),"")</f>
        <v/>
      </c>
      <c r="AN2741" s="2" t="str">
        <f>IFERROR(__xludf.DUMMYFUNCTION("""COMPUTED_VALUE""")," ")</f>
        <v> </v>
      </c>
      <c r="AO2741" s="2" t="str">
        <f>IFERROR(__xludf.DUMMYFUNCTION("""COMPUTED_VALUE""")," ")</f>
        <v> </v>
      </c>
      <c r="AP2741" s="2" t="str">
        <f>IFERROR(__xludf.DUMMYFUNCTION("""COMPUTED_VALUE"""),"")</f>
        <v/>
      </c>
      <c r="AQ2741" s="2"/>
      <c r="AR2741" s="2"/>
      <c r="AS2741" s="2"/>
      <c r="AT2741" s="2"/>
      <c r="AU2741" s="2"/>
      <c r="AV2741" s="2"/>
      <c r="AW2741" s="2"/>
      <c r="AX2741" s="2"/>
      <c r="AY2741" s="2"/>
      <c r="AZ2741" s="2"/>
      <c r="BA2741" s="2"/>
      <c r="BB2741" s="2"/>
    </row>
    <row r="2742">
      <c r="A2742" s="2"/>
      <c r="B2742" s="2" t="str">
        <f>IFERROR(__xludf.DUMMYFUNCTION("""COMPUTED_VALUE"""),"")</f>
        <v/>
      </c>
      <c r="C2742" s="2"/>
      <c r="D2742" s="71"/>
      <c r="E2742" s="71" t="str">
        <f>IFERROR(__xludf.DUMMYFUNCTION("""COMPUTED_VALUE""")," ")</f>
        <v> </v>
      </c>
      <c r="F2742" s="2"/>
      <c r="G2742" s="2"/>
      <c r="H2742" s="2"/>
      <c r="I2742" s="72"/>
      <c r="J2742" s="72"/>
      <c r="K2742" s="72"/>
      <c r="L2742" s="72"/>
      <c r="M2742" s="2"/>
      <c r="N2742" s="2"/>
      <c r="O2742" s="2"/>
      <c r="P2742" s="2"/>
      <c r="Q2742" s="2"/>
      <c r="R2742" s="2"/>
      <c r="S2742" s="2"/>
      <c r="T2742" s="2"/>
      <c r="U2742" s="2"/>
      <c r="V2742" s="2"/>
      <c r="W2742" s="2"/>
      <c r="X2742" s="2"/>
      <c r="Y2742" s="2"/>
      <c r="Z2742" s="2"/>
      <c r="AA2742" s="2"/>
      <c r="AB2742" s="2"/>
      <c r="AC2742" s="2"/>
      <c r="AD2742" s="2"/>
      <c r="AE2742" s="2"/>
      <c r="AF2742" s="2"/>
      <c r="AG2742" s="2"/>
      <c r="AH2742" s="2"/>
      <c r="AI2742" s="2"/>
      <c r="AJ2742" s="2" t="str">
        <f>IFERROR(__xludf.DUMMYFUNCTION("""COMPUTED_VALUE"""),"")</f>
        <v/>
      </c>
      <c r="AK2742" s="2" t="str">
        <f>IFERROR(__xludf.DUMMYFUNCTION("""COMPUTED_VALUE"""),"")</f>
        <v/>
      </c>
      <c r="AL2742" s="2" t="str">
        <f>IFERROR(__xludf.DUMMYFUNCTION("""COMPUTED_VALUE"""),"")</f>
        <v/>
      </c>
      <c r="AM2742" s="2" t="str">
        <f>IFERROR(__xludf.DUMMYFUNCTION("""COMPUTED_VALUE"""),"")</f>
        <v/>
      </c>
      <c r="AN2742" s="2" t="str">
        <f>IFERROR(__xludf.DUMMYFUNCTION("""COMPUTED_VALUE""")," ")</f>
        <v> </v>
      </c>
      <c r="AO2742" s="2" t="str">
        <f>IFERROR(__xludf.DUMMYFUNCTION("""COMPUTED_VALUE""")," ")</f>
        <v> </v>
      </c>
      <c r="AP2742" s="2" t="str">
        <f>IFERROR(__xludf.DUMMYFUNCTION("""COMPUTED_VALUE"""),"")</f>
        <v/>
      </c>
      <c r="AQ2742" s="2"/>
      <c r="AR2742" s="2"/>
      <c r="AS2742" s="2"/>
      <c r="AT2742" s="2"/>
      <c r="AU2742" s="2"/>
      <c r="AV2742" s="2"/>
      <c r="AW2742" s="2"/>
      <c r="AX2742" s="2"/>
      <c r="AY2742" s="2"/>
      <c r="AZ2742" s="2"/>
      <c r="BA2742" s="2"/>
      <c r="BB2742" s="2"/>
    </row>
    <row r="2743">
      <c r="A2743" s="2"/>
      <c r="B2743" s="2" t="str">
        <f>IFERROR(__xludf.DUMMYFUNCTION("""COMPUTED_VALUE"""),"")</f>
        <v/>
      </c>
      <c r="C2743" s="2"/>
      <c r="D2743" s="71"/>
      <c r="E2743" s="71" t="str">
        <f>IFERROR(__xludf.DUMMYFUNCTION("""COMPUTED_VALUE""")," ")</f>
        <v> </v>
      </c>
      <c r="F2743" s="2"/>
      <c r="G2743" s="2"/>
      <c r="H2743" s="2"/>
      <c r="I2743" s="72"/>
      <c r="J2743" s="72"/>
      <c r="K2743" s="72"/>
      <c r="L2743" s="72"/>
      <c r="M2743" s="2"/>
      <c r="N2743" s="2"/>
      <c r="O2743" s="2"/>
      <c r="P2743" s="2"/>
      <c r="Q2743" s="2"/>
      <c r="R2743" s="2"/>
      <c r="S2743" s="2"/>
      <c r="T2743" s="2"/>
      <c r="U2743" s="2"/>
      <c r="V2743" s="2"/>
      <c r="W2743" s="2"/>
      <c r="X2743" s="2"/>
      <c r="Y2743" s="2"/>
      <c r="Z2743" s="2"/>
      <c r="AA2743" s="2"/>
      <c r="AB2743" s="2"/>
      <c r="AC2743" s="2"/>
      <c r="AD2743" s="2"/>
      <c r="AE2743" s="2"/>
      <c r="AF2743" s="2"/>
      <c r="AG2743" s="2"/>
      <c r="AH2743" s="2"/>
      <c r="AI2743" s="2"/>
      <c r="AJ2743" s="2" t="str">
        <f>IFERROR(__xludf.DUMMYFUNCTION("""COMPUTED_VALUE"""),"")</f>
        <v/>
      </c>
      <c r="AK2743" s="2" t="str">
        <f>IFERROR(__xludf.DUMMYFUNCTION("""COMPUTED_VALUE"""),"")</f>
        <v/>
      </c>
      <c r="AL2743" s="2" t="str">
        <f>IFERROR(__xludf.DUMMYFUNCTION("""COMPUTED_VALUE"""),"")</f>
        <v/>
      </c>
      <c r="AM2743" s="2" t="str">
        <f>IFERROR(__xludf.DUMMYFUNCTION("""COMPUTED_VALUE"""),"")</f>
        <v/>
      </c>
      <c r="AN2743" s="2" t="str">
        <f>IFERROR(__xludf.DUMMYFUNCTION("""COMPUTED_VALUE""")," ")</f>
        <v> </v>
      </c>
      <c r="AO2743" s="2" t="str">
        <f>IFERROR(__xludf.DUMMYFUNCTION("""COMPUTED_VALUE""")," ")</f>
        <v> </v>
      </c>
      <c r="AP2743" s="2" t="str">
        <f>IFERROR(__xludf.DUMMYFUNCTION("""COMPUTED_VALUE"""),"")</f>
        <v/>
      </c>
      <c r="AQ2743" s="2"/>
      <c r="AR2743" s="2"/>
      <c r="AS2743" s="2"/>
      <c r="AT2743" s="2"/>
      <c r="AU2743" s="2"/>
      <c r="AV2743" s="2"/>
      <c r="AW2743" s="2"/>
      <c r="AX2743" s="2"/>
      <c r="AY2743" s="2"/>
      <c r="AZ2743" s="2"/>
      <c r="BA2743" s="2"/>
      <c r="BB2743" s="2"/>
    </row>
    <row r="2744">
      <c r="A2744" s="2"/>
      <c r="B2744" s="2" t="str">
        <f>IFERROR(__xludf.DUMMYFUNCTION("""COMPUTED_VALUE"""),"")</f>
        <v/>
      </c>
      <c r="C2744" s="2"/>
      <c r="D2744" s="71"/>
      <c r="E2744" s="71" t="str">
        <f>IFERROR(__xludf.DUMMYFUNCTION("""COMPUTED_VALUE""")," ")</f>
        <v> </v>
      </c>
      <c r="F2744" s="2"/>
      <c r="G2744" s="2"/>
      <c r="H2744" s="2"/>
      <c r="I2744" s="72"/>
      <c r="J2744" s="72"/>
      <c r="K2744" s="72"/>
      <c r="L2744" s="72"/>
      <c r="M2744" s="2"/>
      <c r="N2744" s="2"/>
      <c r="O2744" s="2"/>
      <c r="P2744" s="2"/>
      <c r="Q2744" s="2"/>
      <c r="R2744" s="2"/>
      <c r="S2744" s="2"/>
      <c r="T2744" s="2"/>
      <c r="U2744" s="2"/>
      <c r="V2744" s="2"/>
      <c r="W2744" s="2"/>
      <c r="X2744" s="2"/>
      <c r="Y2744" s="2"/>
      <c r="Z2744" s="2"/>
      <c r="AA2744" s="2"/>
      <c r="AB2744" s="2"/>
      <c r="AC2744" s="2"/>
      <c r="AD2744" s="2"/>
      <c r="AE2744" s="2"/>
      <c r="AF2744" s="2"/>
      <c r="AG2744" s="2"/>
      <c r="AH2744" s="2"/>
      <c r="AI2744" s="2"/>
      <c r="AJ2744" s="2" t="str">
        <f>IFERROR(__xludf.DUMMYFUNCTION("""COMPUTED_VALUE"""),"")</f>
        <v/>
      </c>
      <c r="AK2744" s="2" t="str">
        <f>IFERROR(__xludf.DUMMYFUNCTION("""COMPUTED_VALUE"""),"")</f>
        <v/>
      </c>
      <c r="AL2744" s="2" t="str">
        <f>IFERROR(__xludf.DUMMYFUNCTION("""COMPUTED_VALUE"""),"")</f>
        <v/>
      </c>
      <c r="AM2744" s="2" t="str">
        <f>IFERROR(__xludf.DUMMYFUNCTION("""COMPUTED_VALUE"""),"")</f>
        <v/>
      </c>
      <c r="AN2744" s="2" t="str">
        <f>IFERROR(__xludf.DUMMYFUNCTION("""COMPUTED_VALUE""")," ")</f>
        <v> </v>
      </c>
      <c r="AO2744" s="2" t="str">
        <f>IFERROR(__xludf.DUMMYFUNCTION("""COMPUTED_VALUE""")," ")</f>
        <v> </v>
      </c>
      <c r="AP2744" s="2" t="str">
        <f>IFERROR(__xludf.DUMMYFUNCTION("""COMPUTED_VALUE"""),"")</f>
        <v/>
      </c>
      <c r="AQ2744" s="2"/>
      <c r="AR2744" s="2"/>
      <c r="AS2744" s="2"/>
      <c r="AT2744" s="2"/>
      <c r="AU2744" s="2"/>
      <c r="AV2744" s="2"/>
      <c r="AW2744" s="2"/>
      <c r="AX2744" s="2"/>
      <c r="AY2744" s="2"/>
      <c r="AZ2744" s="2"/>
      <c r="BA2744" s="2"/>
      <c r="BB2744" s="2"/>
    </row>
    <row r="2745">
      <c r="A2745" s="2"/>
      <c r="B2745" s="2" t="str">
        <f>IFERROR(__xludf.DUMMYFUNCTION("""COMPUTED_VALUE"""),"")</f>
        <v/>
      </c>
      <c r="C2745" s="2"/>
      <c r="D2745" s="71"/>
      <c r="E2745" s="71" t="str">
        <f>IFERROR(__xludf.DUMMYFUNCTION("""COMPUTED_VALUE""")," ")</f>
        <v> </v>
      </c>
      <c r="F2745" s="2"/>
      <c r="G2745" s="2"/>
      <c r="H2745" s="2"/>
      <c r="I2745" s="72"/>
      <c r="J2745" s="72"/>
      <c r="K2745" s="72"/>
      <c r="L2745" s="72"/>
      <c r="M2745" s="2"/>
      <c r="N2745" s="2"/>
      <c r="O2745" s="2"/>
      <c r="P2745" s="2"/>
      <c r="Q2745" s="2"/>
      <c r="R2745" s="2"/>
      <c r="S2745" s="2"/>
      <c r="T2745" s="2"/>
      <c r="U2745" s="2"/>
      <c r="V2745" s="2"/>
      <c r="W2745" s="2"/>
      <c r="X2745" s="2"/>
      <c r="Y2745" s="2"/>
      <c r="Z2745" s="2"/>
      <c r="AA2745" s="2"/>
      <c r="AB2745" s="2"/>
      <c r="AC2745" s="2"/>
      <c r="AD2745" s="2"/>
      <c r="AE2745" s="2"/>
      <c r="AF2745" s="2"/>
      <c r="AG2745" s="2"/>
      <c r="AH2745" s="2"/>
      <c r="AI2745" s="2"/>
      <c r="AJ2745" s="2" t="str">
        <f>IFERROR(__xludf.DUMMYFUNCTION("""COMPUTED_VALUE"""),"")</f>
        <v/>
      </c>
      <c r="AK2745" s="2" t="str">
        <f>IFERROR(__xludf.DUMMYFUNCTION("""COMPUTED_VALUE"""),"")</f>
        <v/>
      </c>
      <c r="AL2745" s="2" t="str">
        <f>IFERROR(__xludf.DUMMYFUNCTION("""COMPUTED_VALUE"""),"")</f>
        <v/>
      </c>
      <c r="AM2745" s="2" t="str">
        <f>IFERROR(__xludf.DUMMYFUNCTION("""COMPUTED_VALUE"""),"")</f>
        <v/>
      </c>
      <c r="AN2745" s="2" t="str">
        <f>IFERROR(__xludf.DUMMYFUNCTION("""COMPUTED_VALUE""")," ")</f>
        <v> </v>
      </c>
      <c r="AO2745" s="2" t="str">
        <f>IFERROR(__xludf.DUMMYFUNCTION("""COMPUTED_VALUE""")," ")</f>
        <v> </v>
      </c>
      <c r="AP2745" s="2" t="str">
        <f>IFERROR(__xludf.DUMMYFUNCTION("""COMPUTED_VALUE"""),"")</f>
        <v/>
      </c>
      <c r="AQ2745" s="2"/>
      <c r="AR2745" s="2"/>
      <c r="AS2745" s="2"/>
      <c r="AT2745" s="2"/>
      <c r="AU2745" s="2"/>
      <c r="AV2745" s="2"/>
      <c r="AW2745" s="2"/>
      <c r="AX2745" s="2"/>
      <c r="AY2745" s="2"/>
      <c r="AZ2745" s="2"/>
      <c r="BA2745" s="2"/>
      <c r="BB2745" s="2"/>
    </row>
    <row r="2746">
      <c r="A2746" s="2"/>
      <c r="B2746" s="2" t="str">
        <f>IFERROR(__xludf.DUMMYFUNCTION("""COMPUTED_VALUE"""),"")</f>
        <v/>
      </c>
      <c r="C2746" s="2"/>
      <c r="D2746" s="71"/>
      <c r="E2746" s="71" t="str">
        <f>IFERROR(__xludf.DUMMYFUNCTION("""COMPUTED_VALUE""")," ")</f>
        <v> </v>
      </c>
      <c r="F2746" s="2"/>
      <c r="G2746" s="2"/>
      <c r="H2746" s="2"/>
      <c r="I2746" s="72"/>
      <c r="J2746" s="72"/>
      <c r="K2746" s="72"/>
      <c r="L2746" s="72"/>
      <c r="M2746" s="2"/>
      <c r="N2746" s="2"/>
      <c r="O2746" s="2"/>
      <c r="P2746" s="2"/>
      <c r="Q2746" s="2"/>
      <c r="R2746" s="2"/>
      <c r="S2746" s="2"/>
      <c r="T2746" s="2"/>
      <c r="U2746" s="2"/>
      <c r="V2746" s="2"/>
      <c r="W2746" s="2"/>
      <c r="X2746" s="2"/>
      <c r="Y2746" s="2"/>
      <c r="Z2746" s="2"/>
      <c r="AA2746" s="2"/>
      <c r="AB2746" s="2"/>
      <c r="AC2746" s="2"/>
      <c r="AD2746" s="2"/>
      <c r="AE2746" s="2"/>
      <c r="AF2746" s="2"/>
      <c r="AG2746" s="2"/>
      <c r="AH2746" s="2"/>
      <c r="AI2746" s="2"/>
      <c r="AJ2746" s="2" t="str">
        <f>IFERROR(__xludf.DUMMYFUNCTION("""COMPUTED_VALUE"""),"")</f>
        <v/>
      </c>
      <c r="AK2746" s="2" t="str">
        <f>IFERROR(__xludf.DUMMYFUNCTION("""COMPUTED_VALUE"""),"")</f>
        <v/>
      </c>
      <c r="AL2746" s="2" t="str">
        <f>IFERROR(__xludf.DUMMYFUNCTION("""COMPUTED_VALUE"""),"")</f>
        <v/>
      </c>
      <c r="AM2746" s="2" t="str">
        <f>IFERROR(__xludf.DUMMYFUNCTION("""COMPUTED_VALUE"""),"")</f>
        <v/>
      </c>
      <c r="AN2746" s="2" t="str">
        <f>IFERROR(__xludf.DUMMYFUNCTION("""COMPUTED_VALUE""")," ")</f>
        <v> </v>
      </c>
      <c r="AO2746" s="2" t="str">
        <f>IFERROR(__xludf.DUMMYFUNCTION("""COMPUTED_VALUE""")," ")</f>
        <v> </v>
      </c>
      <c r="AP2746" s="2" t="str">
        <f>IFERROR(__xludf.DUMMYFUNCTION("""COMPUTED_VALUE"""),"")</f>
        <v/>
      </c>
      <c r="AQ2746" s="2"/>
      <c r="AR2746" s="2"/>
      <c r="AS2746" s="2"/>
      <c r="AT2746" s="2"/>
      <c r="AU2746" s="2"/>
      <c r="AV2746" s="2"/>
      <c r="AW2746" s="2"/>
      <c r="AX2746" s="2"/>
      <c r="AY2746" s="2"/>
      <c r="AZ2746" s="2"/>
      <c r="BA2746" s="2"/>
      <c r="BB2746" s="2"/>
    </row>
    <row r="2747">
      <c r="A2747" s="2"/>
      <c r="B2747" s="2" t="str">
        <f>IFERROR(__xludf.DUMMYFUNCTION("""COMPUTED_VALUE"""),"")</f>
        <v/>
      </c>
      <c r="C2747" s="2"/>
      <c r="D2747" s="71"/>
      <c r="E2747" s="71" t="str">
        <f>IFERROR(__xludf.DUMMYFUNCTION("""COMPUTED_VALUE""")," ")</f>
        <v> </v>
      </c>
      <c r="F2747" s="2"/>
      <c r="G2747" s="2"/>
      <c r="H2747" s="2"/>
      <c r="I2747" s="72"/>
      <c r="J2747" s="72"/>
      <c r="K2747" s="72"/>
      <c r="L2747" s="72"/>
      <c r="M2747" s="2"/>
      <c r="N2747" s="2"/>
      <c r="O2747" s="2"/>
      <c r="P2747" s="2"/>
      <c r="Q2747" s="2"/>
      <c r="R2747" s="2"/>
      <c r="S2747" s="2"/>
      <c r="T2747" s="2"/>
      <c r="U2747" s="2"/>
      <c r="V2747" s="2"/>
      <c r="W2747" s="2"/>
      <c r="X2747" s="2"/>
      <c r="Y2747" s="2"/>
      <c r="Z2747" s="2"/>
      <c r="AA2747" s="2"/>
      <c r="AB2747" s="2"/>
      <c r="AC2747" s="2"/>
      <c r="AD2747" s="2"/>
      <c r="AE2747" s="2"/>
      <c r="AF2747" s="2"/>
      <c r="AG2747" s="2"/>
      <c r="AH2747" s="2"/>
      <c r="AI2747" s="2"/>
      <c r="AJ2747" s="2" t="str">
        <f>IFERROR(__xludf.DUMMYFUNCTION("""COMPUTED_VALUE"""),"")</f>
        <v/>
      </c>
      <c r="AK2747" s="2" t="str">
        <f>IFERROR(__xludf.DUMMYFUNCTION("""COMPUTED_VALUE"""),"")</f>
        <v/>
      </c>
      <c r="AL2747" s="2" t="str">
        <f>IFERROR(__xludf.DUMMYFUNCTION("""COMPUTED_VALUE"""),"")</f>
        <v/>
      </c>
      <c r="AM2747" s="2" t="str">
        <f>IFERROR(__xludf.DUMMYFUNCTION("""COMPUTED_VALUE"""),"")</f>
        <v/>
      </c>
      <c r="AN2747" s="2" t="str">
        <f>IFERROR(__xludf.DUMMYFUNCTION("""COMPUTED_VALUE""")," ")</f>
        <v> </v>
      </c>
      <c r="AO2747" s="2" t="str">
        <f>IFERROR(__xludf.DUMMYFUNCTION("""COMPUTED_VALUE""")," ")</f>
        <v> </v>
      </c>
      <c r="AP2747" s="2" t="str">
        <f>IFERROR(__xludf.DUMMYFUNCTION("""COMPUTED_VALUE"""),"")</f>
        <v/>
      </c>
      <c r="AQ2747" s="2"/>
      <c r="AR2747" s="2"/>
      <c r="AS2747" s="2"/>
      <c r="AT2747" s="2"/>
      <c r="AU2747" s="2"/>
      <c r="AV2747" s="2"/>
      <c r="AW2747" s="2"/>
      <c r="AX2747" s="2"/>
      <c r="AY2747" s="2"/>
      <c r="AZ2747" s="2"/>
      <c r="BA2747" s="2"/>
      <c r="BB2747" s="2"/>
    </row>
    <row r="2748">
      <c r="A2748" s="2"/>
      <c r="B2748" s="2" t="str">
        <f>IFERROR(__xludf.DUMMYFUNCTION("""COMPUTED_VALUE"""),"")</f>
        <v/>
      </c>
      <c r="C2748" s="2"/>
      <c r="D2748" s="71"/>
      <c r="E2748" s="71" t="str">
        <f>IFERROR(__xludf.DUMMYFUNCTION("""COMPUTED_VALUE""")," ")</f>
        <v> </v>
      </c>
      <c r="F2748" s="2"/>
      <c r="G2748" s="2"/>
      <c r="H2748" s="2"/>
      <c r="I2748" s="72"/>
      <c r="J2748" s="72"/>
      <c r="K2748" s="72"/>
      <c r="L2748" s="72"/>
      <c r="M2748" s="2"/>
      <c r="N2748" s="2"/>
      <c r="O2748" s="2"/>
      <c r="P2748" s="2"/>
      <c r="Q2748" s="2"/>
      <c r="R2748" s="2"/>
      <c r="S2748" s="2"/>
      <c r="T2748" s="2"/>
      <c r="U2748" s="2"/>
      <c r="V2748" s="2"/>
      <c r="W2748" s="2"/>
      <c r="X2748" s="2"/>
      <c r="Y2748" s="2"/>
      <c r="Z2748" s="2"/>
      <c r="AA2748" s="2"/>
      <c r="AB2748" s="2"/>
      <c r="AC2748" s="2"/>
      <c r="AD2748" s="2"/>
      <c r="AE2748" s="2"/>
      <c r="AF2748" s="2"/>
      <c r="AG2748" s="2"/>
      <c r="AH2748" s="2"/>
      <c r="AI2748" s="2"/>
      <c r="AJ2748" s="2" t="str">
        <f>IFERROR(__xludf.DUMMYFUNCTION("""COMPUTED_VALUE"""),"")</f>
        <v/>
      </c>
      <c r="AK2748" s="2" t="str">
        <f>IFERROR(__xludf.DUMMYFUNCTION("""COMPUTED_VALUE"""),"")</f>
        <v/>
      </c>
      <c r="AL2748" s="2" t="str">
        <f>IFERROR(__xludf.DUMMYFUNCTION("""COMPUTED_VALUE"""),"")</f>
        <v/>
      </c>
      <c r="AM2748" s="2" t="str">
        <f>IFERROR(__xludf.DUMMYFUNCTION("""COMPUTED_VALUE"""),"")</f>
        <v/>
      </c>
      <c r="AN2748" s="2" t="str">
        <f>IFERROR(__xludf.DUMMYFUNCTION("""COMPUTED_VALUE""")," ")</f>
        <v> </v>
      </c>
      <c r="AO2748" s="2" t="str">
        <f>IFERROR(__xludf.DUMMYFUNCTION("""COMPUTED_VALUE""")," ")</f>
        <v> </v>
      </c>
      <c r="AP2748" s="2" t="str">
        <f>IFERROR(__xludf.DUMMYFUNCTION("""COMPUTED_VALUE"""),"")</f>
        <v/>
      </c>
      <c r="AQ2748" s="2"/>
      <c r="AR2748" s="2"/>
      <c r="AS2748" s="2"/>
      <c r="AT2748" s="2"/>
      <c r="AU2748" s="2"/>
      <c r="AV2748" s="2"/>
      <c r="AW2748" s="2"/>
      <c r="AX2748" s="2"/>
      <c r="AY2748" s="2"/>
      <c r="AZ2748" s="2"/>
      <c r="BA2748" s="2"/>
      <c r="BB2748" s="2"/>
    </row>
    <row r="2749">
      <c r="A2749" s="2"/>
      <c r="B2749" s="2" t="str">
        <f>IFERROR(__xludf.DUMMYFUNCTION("""COMPUTED_VALUE"""),"")</f>
        <v/>
      </c>
      <c r="C2749" s="2"/>
      <c r="D2749" s="71"/>
      <c r="E2749" s="71" t="str">
        <f>IFERROR(__xludf.DUMMYFUNCTION("""COMPUTED_VALUE""")," ")</f>
        <v> </v>
      </c>
      <c r="F2749" s="2"/>
      <c r="G2749" s="2"/>
      <c r="H2749" s="2"/>
      <c r="I2749" s="72"/>
      <c r="J2749" s="72"/>
      <c r="K2749" s="72"/>
      <c r="L2749" s="72"/>
      <c r="M2749" s="2"/>
      <c r="N2749" s="2"/>
      <c r="O2749" s="2"/>
      <c r="P2749" s="2"/>
      <c r="Q2749" s="2"/>
      <c r="R2749" s="2"/>
      <c r="S2749" s="2"/>
      <c r="T2749" s="2"/>
      <c r="U2749" s="2"/>
      <c r="V2749" s="2"/>
      <c r="W2749" s="2"/>
      <c r="X2749" s="2"/>
      <c r="Y2749" s="2"/>
      <c r="Z2749" s="2"/>
      <c r="AA2749" s="2"/>
      <c r="AB2749" s="2"/>
      <c r="AC2749" s="2"/>
      <c r="AD2749" s="2"/>
      <c r="AE2749" s="2"/>
      <c r="AF2749" s="2"/>
      <c r="AG2749" s="2"/>
      <c r="AH2749" s="2"/>
      <c r="AI2749" s="2"/>
      <c r="AJ2749" s="2" t="str">
        <f>IFERROR(__xludf.DUMMYFUNCTION("""COMPUTED_VALUE"""),"")</f>
        <v/>
      </c>
      <c r="AK2749" s="2" t="str">
        <f>IFERROR(__xludf.DUMMYFUNCTION("""COMPUTED_VALUE"""),"")</f>
        <v/>
      </c>
      <c r="AL2749" s="2" t="str">
        <f>IFERROR(__xludf.DUMMYFUNCTION("""COMPUTED_VALUE"""),"")</f>
        <v/>
      </c>
      <c r="AM2749" s="2" t="str">
        <f>IFERROR(__xludf.DUMMYFUNCTION("""COMPUTED_VALUE"""),"")</f>
        <v/>
      </c>
      <c r="AN2749" s="2" t="str">
        <f>IFERROR(__xludf.DUMMYFUNCTION("""COMPUTED_VALUE""")," ")</f>
        <v> </v>
      </c>
      <c r="AO2749" s="2" t="str">
        <f>IFERROR(__xludf.DUMMYFUNCTION("""COMPUTED_VALUE""")," ")</f>
        <v> </v>
      </c>
      <c r="AP2749" s="2" t="str">
        <f>IFERROR(__xludf.DUMMYFUNCTION("""COMPUTED_VALUE"""),"")</f>
        <v/>
      </c>
      <c r="AQ2749" s="2"/>
      <c r="AR2749" s="2"/>
      <c r="AS2749" s="2"/>
      <c r="AT2749" s="2"/>
      <c r="AU2749" s="2"/>
      <c r="AV2749" s="2"/>
      <c r="AW2749" s="2"/>
      <c r="AX2749" s="2"/>
      <c r="AY2749" s="2"/>
      <c r="AZ2749" s="2"/>
      <c r="BA2749" s="2"/>
      <c r="BB2749" s="2"/>
    </row>
    <row r="2750">
      <c r="A2750" s="2"/>
      <c r="B2750" s="2" t="str">
        <f>IFERROR(__xludf.DUMMYFUNCTION("""COMPUTED_VALUE"""),"")</f>
        <v/>
      </c>
      <c r="C2750" s="2"/>
      <c r="D2750" s="71"/>
      <c r="E2750" s="71" t="str">
        <f>IFERROR(__xludf.DUMMYFUNCTION("""COMPUTED_VALUE""")," ")</f>
        <v> </v>
      </c>
      <c r="F2750" s="2"/>
      <c r="G2750" s="2"/>
      <c r="H2750" s="2"/>
      <c r="I2750" s="72"/>
      <c r="J2750" s="72"/>
      <c r="K2750" s="72"/>
      <c r="L2750" s="72"/>
      <c r="M2750" s="2"/>
      <c r="N2750" s="2"/>
      <c r="O2750" s="2"/>
      <c r="P2750" s="2"/>
      <c r="Q2750" s="2"/>
      <c r="R2750" s="2"/>
      <c r="S2750" s="2"/>
      <c r="T2750" s="2"/>
      <c r="U2750" s="2"/>
      <c r="V2750" s="2"/>
      <c r="W2750" s="2"/>
      <c r="X2750" s="2"/>
      <c r="Y2750" s="2"/>
      <c r="Z2750" s="2"/>
      <c r="AA2750" s="2"/>
      <c r="AB2750" s="2"/>
      <c r="AC2750" s="2"/>
      <c r="AD2750" s="2"/>
      <c r="AE2750" s="2"/>
      <c r="AF2750" s="2"/>
      <c r="AG2750" s="2"/>
      <c r="AH2750" s="2"/>
      <c r="AI2750" s="2"/>
      <c r="AJ2750" s="2" t="str">
        <f>IFERROR(__xludf.DUMMYFUNCTION("""COMPUTED_VALUE"""),"")</f>
        <v/>
      </c>
      <c r="AK2750" s="2" t="str">
        <f>IFERROR(__xludf.DUMMYFUNCTION("""COMPUTED_VALUE"""),"")</f>
        <v/>
      </c>
      <c r="AL2750" s="2" t="str">
        <f>IFERROR(__xludf.DUMMYFUNCTION("""COMPUTED_VALUE"""),"")</f>
        <v/>
      </c>
      <c r="AM2750" s="2" t="str">
        <f>IFERROR(__xludf.DUMMYFUNCTION("""COMPUTED_VALUE"""),"")</f>
        <v/>
      </c>
      <c r="AN2750" s="2" t="str">
        <f>IFERROR(__xludf.DUMMYFUNCTION("""COMPUTED_VALUE""")," ")</f>
        <v> </v>
      </c>
      <c r="AO2750" s="2" t="str">
        <f>IFERROR(__xludf.DUMMYFUNCTION("""COMPUTED_VALUE""")," ")</f>
        <v> </v>
      </c>
      <c r="AP2750" s="2" t="str">
        <f>IFERROR(__xludf.DUMMYFUNCTION("""COMPUTED_VALUE"""),"")</f>
        <v/>
      </c>
      <c r="AQ2750" s="2"/>
      <c r="AR2750" s="2"/>
      <c r="AS2750" s="2"/>
      <c r="AT2750" s="2"/>
      <c r="AU2750" s="2"/>
      <c r="AV2750" s="2"/>
      <c r="AW2750" s="2"/>
      <c r="AX2750" s="2"/>
      <c r="AY2750" s="2"/>
      <c r="AZ2750" s="2"/>
      <c r="BA2750" s="2"/>
      <c r="BB2750" s="2"/>
    </row>
    <row r="2751">
      <c r="A2751" s="2"/>
      <c r="B2751" s="2" t="str">
        <f>IFERROR(__xludf.DUMMYFUNCTION("""COMPUTED_VALUE"""),"")</f>
        <v/>
      </c>
      <c r="C2751" s="2"/>
      <c r="D2751" s="71"/>
      <c r="E2751" s="71" t="str">
        <f>IFERROR(__xludf.DUMMYFUNCTION("""COMPUTED_VALUE""")," ")</f>
        <v> </v>
      </c>
      <c r="F2751" s="2"/>
      <c r="G2751" s="2"/>
      <c r="H2751" s="2"/>
      <c r="I2751" s="72"/>
      <c r="J2751" s="72"/>
      <c r="K2751" s="72"/>
      <c r="L2751" s="72"/>
      <c r="M2751" s="2"/>
      <c r="N2751" s="2"/>
      <c r="O2751" s="2"/>
      <c r="P2751" s="2"/>
      <c r="Q2751" s="2"/>
      <c r="R2751" s="2"/>
      <c r="S2751" s="2"/>
      <c r="T2751" s="2"/>
      <c r="U2751" s="2"/>
      <c r="V2751" s="2"/>
      <c r="W2751" s="2"/>
      <c r="X2751" s="2"/>
      <c r="Y2751" s="2"/>
      <c r="Z2751" s="2"/>
      <c r="AA2751" s="2"/>
      <c r="AB2751" s="2"/>
      <c r="AC2751" s="2"/>
      <c r="AD2751" s="2"/>
      <c r="AE2751" s="2"/>
      <c r="AF2751" s="2"/>
      <c r="AG2751" s="2"/>
      <c r="AH2751" s="2"/>
      <c r="AI2751" s="2"/>
      <c r="AJ2751" s="2" t="str">
        <f>IFERROR(__xludf.DUMMYFUNCTION("""COMPUTED_VALUE"""),"")</f>
        <v/>
      </c>
      <c r="AK2751" s="2" t="str">
        <f>IFERROR(__xludf.DUMMYFUNCTION("""COMPUTED_VALUE"""),"")</f>
        <v/>
      </c>
      <c r="AL2751" s="2" t="str">
        <f>IFERROR(__xludf.DUMMYFUNCTION("""COMPUTED_VALUE"""),"")</f>
        <v/>
      </c>
      <c r="AM2751" s="2" t="str">
        <f>IFERROR(__xludf.DUMMYFUNCTION("""COMPUTED_VALUE"""),"")</f>
        <v/>
      </c>
      <c r="AN2751" s="2" t="str">
        <f>IFERROR(__xludf.DUMMYFUNCTION("""COMPUTED_VALUE""")," ")</f>
        <v> </v>
      </c>
      <c r="AO2751" s="2" t="str">
        <f>IFERROR(__xludf.DUMMYFUNCTION("""COMPUTED_VALUE""")," ")</f>
        <v> </v>
      </c>
      <c r="AP2751" s="2" t="str">
        <f>IFERROR(__xludf.DUMMYFUNCTION("""COMPUTED_VALUE"""),"")</f>
        <v/>
      </c>
      <c r="AQ2751" s="2"/>
      <c r="AR2751" s="2"/>
      <c r="AS2751" s="2"/>
      <c r="AT2751" s="2"/>
      <c r="AU2751" s="2"/>
      <c r="AV2751" s="2"/>
      <c r="AW2751" s="2"/>
      <c r="AX2751" s="2"/>
      <c r="AY2751" s="2"/>
      <c r="AZ2751" s="2"/>
      <c r="BA2751" s="2"/>
      <c r="BB2751" s="2"/>
    </row>
    <row r="2752">
      <c r="A2752" s="2"/>
      <c r="B2752" s="2" t="str">
        <f>IFERROR(__xludf.DUMMYFUNCTION("""COMPUTED_VALUE"""),"")</f>
        <v/>
      </c>
      <c r="C2752" s="2"/>
      <c r="D2752" s="71"/>
      <c r="E2752" s="71" t="str">
        <f>IFERROR(__xludf.DUMMYFUNCTION("""COMPUTED_VALUE""")," ")</f>
        <v> </v>
      </c>
      <c r="F2752" s="2"/>
      <c r="G2752" s="2"/>
      <c r="H2752" s="2"/>
      <c r="I2752" s="72"/>
      <c r="J2752" s="72"/>
      <c r="K2752" s="72"/>
      <c r="L2752" s="72"/>
      <c r="M2752" s="2"/>
      <c r="N2752" s="2"/>
      <c r="O2752" s="2"/>
      <c r="P2752" s="2"/>
      <c r="Q2752" s="2"/>
      <c r="R2752" s="2"/>
      <c r="S2752" s="2"/>
      <c r="T2752" s="2"/>
      <c r="U2752" s="2"/>
      <c r="V2752" s="2"/>
      <c r="W2752" s="2"/>
      <c r="X2752" s="2"/>
      <c r="Y2752" s="2"/>
      <c r="Z2752" s="2"/>
      <c r="AA2752" s="2"/>
      <c r="AB2752" s="2"/>
      <c r="AC2752" s="2"/>
      <c r="AD2752" s="2"/>
      <c r="AE2752" s="2"/>
      <c r="AF2752" s="2"/>
      <c r="AG2752" s="2"/>
      <c r="AH2752" s="2"/>
      <c r="AI2752" s="2"/>
      <c r="AJ2752" s="2" t="str">
        <f>IFERROR(__xludf.DUMMYFUNCTION("""COMPUTED_VALUE"""),"")</f>
        <v/>
      </c>
      <c r="AK2752" s="2" t="str">
        <f>IFERROR(__xludf.DUMMYFUNCTION("""COMPUTED_VALUE"""),"")</f>
        <v/>
      </c>
      <c r="AL2752" s="2" t="str">
        <f>IFERROR(__xludf.DUMMYFUNCTION("""COMPUTED_VALUE"""),"")</f>
        <v/>
      </c>
      <c r="AM2752" s="2" t="str">
        <f>IFERROR(__xludf.DUMMYFUNCTION("""COMPUTED_VALUE"""),"")</f>
        <v/>
      </c>
      <c r="AN2752" s="2" t="str">
        <f>IFERROR(__xludf.DUMMYFUNCTION("""COMPUTED_VALUE""")," ")</f>
        <v> </v>
      </c>
      <c r="AO2752" s="2" t="str">
        <f>IFERROR(__xludf.DUMMYFUNCTION("""COMPUTED_VALUE""")," ")</f>
        <v> </v>
      </c>
      <c r="AP2752" s="2" t="str">
        <f>IFERROR(__xludf.DUMMYFUNCTION("""COMPUTED_VALUE"""),"")</f>
        <v/>
      </c>
      <c r="AQ2752" s="2"/>
      <c r="AR2752" s="2"/>
      <c r="AS2752" s="2"/>
      <c r="AT2752" s="2"/>
      <c r="AU2752" s="2"/>
      <c r="AV2752" s="2"/>
      <c r="AW2752" s="2"/>
      <c r="AX2752" s="2"/>
      <c r="AY2752" s="2"/>
      <c r="AZ2752" s="2"/>
      <c r="BA2752" s="2"/>
      <c r="BB2752" s="2"/>
    </row>
    <row r="2753">
      <c r="A2753" s="2"/>
      <c r="B2753" s="2" t="str">
        <f>IFERROR(__xludf.DUMMYFUNCTION("""COMPUTED_VALUE"""),"")</f>
        <v/>
      </c>
      <c r="C2753" s="2"/>
      <c r="D2753" s="71"/>
      <c r="E2753" s="71" t="str">
        <f>IFERROR(__xludf.DUMMYFUNCTION("""COMPUTED_VALUE""")," ")</f>
        <v> </v>
      </c>
      <c r="F2753" s="2"/>
      <c r="G2753" s="2"/>
      <c r="H2753" s="2"/>
      <c r="I2753" s="72"/>
      <c r="J2753" s="72"/>
      <c r="K2753" s="72"/>
      <c r="L2753" s="72"/>
      <c r="M2753" s="2"/>
      <c r="N2753" s="2"/>
      <c r="O2753" s="2"/>
      <c r="P2753" s="2"/>
      <c r="Q2753" s="2"/>
      <c r="R2753" s="2"/>
      <c r="S2753" s="2"/>
      <c r="T2753" s="2"/>
      <c r="U2753" s="2"/>
      <c r="V2753" s="2"/>
      <c r="W2753" s="2"/>
      <c r="X2753" s="2"/>
      <c r="Y2753" s="2"/>
      <c r="Z2753" s="2"/>
      <c r="AA2753" s="2"/>
      <c r="AB2753" s="2"/>
      <c r="AC2753" s="2"/>
      <c r="AD2753" s="2"/>
      <c r="AE2753" s="2"/>
      <c r="AF2753" s="2"/>
      <c r="AG2753" s="2"/>
      <c r="AH2753" s="2"/>
      <c r="AI2753" s="2"/>
      <c r="AJ2753" s="2" t="str">
        <f>IFERROR(__xludf.DUMMYFUNCTION("""COMPUTED_VALUE"""),"")</f>
        <v/>
      </c>
      <c r="AK2753" s="2" t="str">
        <f>IFERROR(__xludf.DUMMYFUNCTION("""COMPUTED_VALUE"""),"")</f>
        <v/>
      </c>
      <c r="AL2753" s="2" t="str">
        <f>IFERROR(__xludf.DUMMYFUNCTION("""COMPUTED_VALUE"""),"")</f>
        <v/>
      </c>
      <c r="AM2753" s="2" t="str">
        <f>IFERROR(__xludf.DUMMYFUNCTION("""COMPUTED_VALUE"""),"")</f>
        <v/>
      </c>
      <c r="AN2753" s="2" t="str">
        <f>IFERROR(__xludf.DUMMYFUNCTION("""COMPUTED_VALUE""")," ")</f>
        <v> </v>
      </c>
      <c r="AO2753" s="2" t="str">
        <f>IFERROR(__xludf.DUMMYFUNCTION("""COMPUTED_VALUE""")," ")</f>
        <v> </v>
      </c>
      <c r="AP2753" s="2" t="str">
        <f>IFERROR(__xludf.DUMMYFUNCTION("""COMPUTED_VALUE"""),"")</f>
        <v/>
      </c>
      <c r="AQ2753" s="2"/>
      <c r="AR2753" s="2"/>
      <c r="AS2753" s="2"/>
      <c r="AT2753" s="2"/>
      <c r="AU2753" s="2"/>
      <c r="AV2753" s="2"/>
      <c r="AW2753" s="2"/>
      <c r="AX2753" s="2"/>
      <c r="AY2753" s="2"/>
      <c r="AZ2753" s="2"/>
      <c r="BA2753" s="2"/>
      <c r="BB2753" s="2"/>
    </row>
    <row r="2754">
      <c r="A2754" s="2"/>
      <c r="B2754" s="2" t="str">
        <f>IFERROR(__xludf.DUMMYFUNCTION("""COMPUTED_VALUE"""),"")</f>
        <v/>
      </c>
      <c r="C2754" s="2"/>
      <c r="D2754" s="71"/>
      <c r="E2754" s="71" t="str">
        <f>IFERROR(__xludf.DUMMYFUNCTION("""COMPUTED_VALUE""")," ")</f>
        <v> </v>
      </c>
      <c r="F2754" s="2"/>
      <c r="G2754" s="2"/>
      <c r="H2754" s="2"/>
      <c r="I2754" s="72"/>
      <c r="J2754" s="72"/>
      <c r="K2754" s="72"/>
      <c r="L2754" s="72"/>
      <c r="M2754" s="2"/>
      <c r="N2754" s="2"/>
      <c r="O2754" s="2"/>
      <c r="P2754" s="2"/>
      <c r="Q2754" s="2"/>
      <c r="R2754" s="2"/>
      <c r="S2754" s="2"/>
      <c r="T2754" s="2"/>
      <c r="U2754" s="2"/>
      <c r="V2754" s="2"/>
      <c r="W2754" s="2"/>
      <c r="X2754" s="2"/>
      <c r="Y2754" s="2"/>
      <c r="Z2754" s="2"/>
      <c r="AA2754" s="2"/>
      <c r="AB2754" s="2"/>
      <c r="AC2754" s="2"/>
      <c r="AD2754" s="2"/>
      <c r="AE2754" s="2"/>
      <c r="AF2754" s="2"/>
      <c r="AG2754" s="2"/>
      <c r="AH2754" s="2"/>
      <c r="AI2754" s="2"/>
      <c r="AJ2754" s="2" t="str">
        <f>IFERROR(__xludf.DUMMYFUNCTION("""COMPUTED_VALUE"""),"")</f>
        <v/>
      </c>
      <c r="AK2754" s="2" t="str">
        <f>IFERROR(__xludf.DUMMYFUNCTION("""COMPUTED_VALUE"""),"")</f>
        <v/>
      </c>
      <c r="AL2754" s="2" t="str">
        <f>IFERROR(__xludf.DUMMYFUNCTION("""COMPUTED_VALUE"""),"")</f>
        <v/>
      </c>
      <c r="AM2754" s="2" t="str">
        <f>IFERROR(__xludf.DUMMYFUNCTION("""COMPUTED_VALUE"""),"")</f>
        <v/>
      </c>
      <c r="AN2754" s="2" t="str">
        <f>IFERROR(__xludf.DUMMYFUNCTION("""COMPUTED_VALUE""")," ")</f>
        <v> </v>
      </c>
      <c r="AO2754" s="2" t="str">
        <f>IFERROR(__xludf.DUMMYFUNCTION("""COMPUTED_VALUE""")," ")</f>
        <v> </v>
      </c>
      <c r="AP2754" s="2" t="str">
        <f>IFERROR(__xludf.DUMMYFUNCTION("""COMPUTED_VALUE"""),"")</f>
        <v/>
      </c>
      <c r="AQ2754" s="2"/>
      <c r="AR2754" s="2"/>
      <c r="AS2754" s="2"/>
      <c r="AT2754" s="2"/>
      <c r="AU2754" s="2"/>
      <c r="AV2754" s="2"/>
      <c r="AW2754" s="2"/>
      <c r="AX2754" s="2"/>
      <c r="AY2754" s="2"/>
      <c r="AZ2754" s="2"/>
      <c r="BA2754" s="2"/>
      <c r="BB2754" s="2"/>
    </row>
    <row r="2755">
      <c r="A2755" s="2"/>
      <c r="B2755" s="2" t="str">
        <f>IFERROR(__xludf.DUMMYFUNCTION("""COMPUTED_VALUE"""),"")</f>
        <v/>
      </c>
      <c r="C2755" s="2"/>
      <c r="D2755" s="71"/>
      <c r="E2755" s="71" t="str">
        <f>IFERROR(__xludf.DUMMYFUNCTION("""COMPUTED_VALUE""")," ")</f>
        <v> </v>
      </c>
      <c r="F2755" s="2"/>
      <c r="G2755" s="2"/>
      <c r="H2755" s="2"/>
      <c r="I2755" s="72"/>
      <c r="J2755" s="72"/>
      <c r="K2755" s="72"/>
      <c r="L2755" s="72"/>
      <c r="M2755" s="2"/>
      <c r="N2755" s="2"/>
      <c r="O2755" s="2"/>
      <c r="P2755" s="2"/>
      <c r="Q2755" s="2"/>
      <c r="R2755" s="2"/>
      <c r="S2755" s="2"/>
      <c r="T2755" s="2"/>
      <c r="U2755" s="2"/>
      <c r="V2755" s="2"/>
      <c r="W2755" s="2"/>
      <c r="X2755" s="2"/>
      <c r="Y2755" s="2"/>
      <c r="Z2755" s="2"/>
      <c r="AA2755" s="2"/>
      <c r="AB2755" s="2"/>
      <c r="AC2755" s="2"/>
      <c r="AD2755" s="2"/>
      <c r="AE2755" s="2"/>
      <c r="AF2755" s="2"/>
      <c r="AG2755" s="2"/>
      <c r="AH2755" s="2"/>
      <c r="AI2755" s="2"/>
      <c r="AJ2755" s="2" t="str">
        <f>IFERROR(__xludf.DUMMYFUNCTION("""COMPUTED_VALUE"""),"")</f>
        <v/>
      </c>
      <c r="AK2755" s="2" t="str">
        <f>IFERROR(__xludf.DUMMYFUNCTION("""COMPUTED_VALUE"""),"")</f>
        <v/>
      </c>
      <c r="AL2755" s="2" t="str">
        <f>IFERROR(__xludf.DUMMYFUNCTION("""COMPUTED_VALUE"""),"")</f>
        <v/>
      </c>
      <c r="AM2755" s="2" t="str">
        <f>IFERROR(__xludf.DUMMYFUNCTION("""COMPUTED_VALUE"""),"")</f>
        <v/>
      </c>
      <c r="AN2755" s="2" t="str">
        <f>IFERROR(__xludf.DUMMYFUNCTION("""COMPUTED_VALUE""")," ")</f>
        <v> </v>
      </c>
      <c r="AO2755" s="2" t="str">
        <f>IFERROR(__xludf.DUMMYFUNCTION("""COMPUTED_VALUE""")," ")</f>
        <v> </v>
      </c>
      <c r="AP2755" s="2" t="str">
        <f>IFERROR(__xludf.DUMMYFUNCTION("""COMPUTED_VALUE"""),"")</f>
        <v/>
      </c>
      <c r="AQ2755" s="2"/>
      <c r="AR2755" s="2"/>
      <c r="AS2755" s="2"/>
      <c r="AT2755" s="2"/>
      <c r="AU2755" s="2"/>
      <c r="AV2755" s="2"/>
      <c r="AW2755" s="2"/>
      <c r="AX2755" s="2"/>
      <c r="AY2755" s="2"/>
      <c r="AZ2755" s="2"/>
      <c r="BA2755" s="2"/>
      <c r="BB2755" s="2"/>
    </row>
    <row r="2756">
      <c r="A2756" s="2"/>
      <c r="B2756" s="2" t="str">
        <f>IFERROR(__xludf.DUMMYFUNCTION("""COMPUTED_VALUE"""),"")</f>
        <v/>
      </c>
      <c r="C2756" s="2"/>
      <c r="D2756" s="71"/>
      <c r="E2756" s="71" t="str">
        <f>IFERROR(__xludf.DUMMYFUNCTION("""COMPUTED_VALUE""")," ")</f>
        <v> </v>
      </c>
      <c r="F2756" s="2"/>
      <c r="G2756" s="2"/>
      <c r="H2756" s="2"/>
      <c r="I2756" s="72"/>
      <c r="J2756" s="72"/>
      <c r="K2756" s="72"/>
      <c r="L2756" s="72"/>
      <c r="M2756" s="2"/>
      <c r="N2756" s="2"/>
      <c r="O2756" s="2"/>
      <c r="P2756" s="2"/>
      <c r="Q2756" s="2"/>
      <c r="R2756" s="2"/>
      <c r="S2756" s="2"/>
      <c r="T2756" s="2"/>
      <c r="U2756" s="2"/>
      <c r="V2756" s="2"/>
      <c r="W2756" s="2"/>
      <c r="X2756" s="2"/>
      <c r="Y2756" s="2"/>
      <c r="Z2756" s="2"/>
      <c r="AA2756" s="2"/>
      <c r="AB2756" s="2"/>
      <c r="AC2756" s="2"/>
      <c r="AD2756" s="2"/>
      <c r="AE2756" s="2"/>
      <c r="AF2756" s="2"/>
      <c r="AG2756" s="2"/>
      <c r="AH2756" s="2"/>
      <c r="AI2756" s="2"/>
      <c r="AJ2756" s="2" t="str">
        <f>IFERROR(__xludf.DUMMYFUNCTION("""COMPUTED_VALUE"""),"")</f>
        <v/>
      </c>
      <c r="AK2756" s="2" t="str">
        <f>IFERROR(__xludf.DUMMYFUNCTION("""COMPUTED_VALUE"""),"")</f>
        <v/>
      </c>
      <c r="AL2756" s="2" t="str">
        <f>IFERROR(__xludf.DUMMYFUNCTION("""COMPUTED_VALUE"""),"")</f>
        <v/>
      </c>
      <c r="AM2756" s="2" t="str">
        <f>IFERROR(__xludf.DUMMYFUNCTION("""COMPUTED_VALUE"""),"")</f>
        <v/>
      </c>
      <c r="AN2756" s="2" t="str">
        <f>IFERROR(__xludf.DUMMYFUNCTION("""COMPUTED_VALUE""")," ")</f>
        <v> </v>
      </c>
      <c r="AO2756" s="2" t="str">
        <f>IFERROR(__xludf.DUMMYFUNCTION("""COMPUTED_VALUE""")," ")</f>
        <v> </v>
      </c>
      <c r="AP2756" s="2" t="str">
        <f>IFERROR(__xludf.DUMMYFUNCTION("""COMPUTED_VALUE"""),"")</f>
        <v/>
      </c>
      <c r="AQ2756" s="2"/>
      <c r="AR2756" s="2"/>
      <c r="AS2756" s="2"/>
      <c r="AT2756" s="2"/>
      <c r="AU2756" s="2"/>
      <c r="AV2756" s="2"/>
      <c r="AW2756" s="2"/>
      <c r="AX2756" s="2"/>
      <c r="AY2756" s="2"/>
      <c r="AZ2756" s="2"/>
      <c r="BA2756" s="2"/>
      <c r="BB2756" s="2"/>
    </row>
    <row r="2757">
      <c r="A2757" s="2"/>
      <c r="B2757" s="2" t="str">
        <f>IFERROR(__xludf.DUMMYFUNCTION("""COMPUTED_VALUE"""),"")</f>
        <v/>
      </c>
      <c r="C2757" s="2"/>
      <c r="D2757" s="71"/>
      <c r="E2757" s="71" t="str">
        <f>IFERROR(__xludf.DUMMYFUNCTION("""COMPUTED_VALUE""")," ")</f>
        <v> </v>
      </c>
      <c r="F2757" s="2"/>
      <c r="G2757" s="2"/>
      <c r="H2757" s="2"/>
      <c r="I2757" s="72"/>
      <c r="J2757" s="72"/>
      <c r="K2757" s="72"/>
      <c r="L2757" s="72"/>
      <c r="M2757" s="2"/>
      <c r="N2757" s="2"/>
      <c r="O2757" s="2"/>
      <c r="P2757" s="2"/>
      <c r="Q2757" s="2"/>
      <c r="R2757" s="2"/>
      <c r="S2757" s="2"/>
      <c r="T2757" s="2"/>
      <c r="U2757" s="2"/>
      <c r="V2757" s="2"/>
      <c r="W2757" s="2"/>
      <c r="X2757" s="2"/>
      <c r="Y2757" s="2"/>
      <c r="Z2757" s="2"/>
      <c r="AA2757" s="2"/>
      <c r="AB2757" s="2"/>
      <c r="AC2757" s="2"/>
      <c r="AD2757" s="2"/>
      <c r="AE2757" s="2"/>
      <c r="AF2757" s="2"/>
      <c r="AG2757" s="2"/>
      <c r="AH2757" s="2"/>
      <c r="AI2757" s="2"/>
      <c r="AJ2757" s="2" t="str">
        <f>IFERROR(__xludf.DUMMYFUNCTION("""COMPUTED_VALUE"""),"")</f>
        <v/>
      </c>
      <c r="AK2757" s="2" t="str">
        <f>IFERROR(__xludf.DUMMYFUNCTION("""COMPUTED_VALUE"""),"")</f>
        <v/>
      </c>
      <c r="AL2757" s="2" t="str">
        <f>IFERROR(__xludf.DUMMYFUNCTION("""COMPUTED_VALUE"""),"")</f>
        <v/>
      </c>
      <c r="AM2757" s="2" t="str">
        <f>IFERROR(__xludf.DUMMYFUNCTION("""COMPUTED_VALUE"""),"")</f>
        <v/>
      </c>
      <c r="AN2757" s="2" t="str">
        <f>IFERROR(__xludf.DUMMYFUNCTION("""COMPUTED_VALUE""")," ")</f>
        <v> </v>
      </c>
      <c r="AO2757" s="2" t="str">
        <f>IFERROR(__xludf.DUMMYFUNCTION("""COMPUTED_VALUE""")," ")</f>
        <v> </v>
      </c>
      <c r="AP2757" s="2" t="str">
        <f>IFERROR(__xludf.DUMMYFUNCTION("""COMPUTED_VALUE"""),"")</f>
        <v/>
      </c>
      <c r="AQ2757" s="2"/>
      <c r="AR2757" s="2"/>
      <c r="AS2757" s="2"/>
      <c r="AT2757" s="2"/>
      <c r="AU2757" s="2"/>
      <c r="AV2757" s="2"/>
      <c r="AW2757" s="2"/>
      <c r="AX2757" s="2"/>
      <c r="AY2757" s="2"/>
      <c r="AZ2757" s="2"/>
      <c r="BA2757" s="2"/>
      <c r="BB2757" s="2"/>
    </row>
    <row r="2758">
      <c r="A2758" s="2"/>
      <c r="B2758" s="2" t="str">
        <f>IFERROR(__xludf.DUMMYFUNCTION("""COMPUTED_VALUE"""),"")</f>
        <v/>
      </c>
      <c r="C2758" s="2"/>
      <c r="D2758" s="71"/>
      <c r="E2758" s="71" t="str">
        <f>IFERROR(__xludf.DUMMYFUNCTION("""COMPUTED_VALUE""")," ")</f>
        <v> </v>
      </c>
      <c r="F2758" s="2"/>
      <c r="G2758" s="2"/>
      <c r="H2758" s="2"/>
      <c r="I2758" s="72"/>
      <c r="J2758" s="72"/>
      <c r="K2758" s="72"/>
      <c r="L2758" s="72"/>
      <c r="M2758" s="2"/>
      <c r="N2758" s="2"/>
      <c r="O2758" s="2"/>
      <c r="P2758" s="2"/>
      <c r="Q2758" s="2"/>
      <c r="R2758" s="2"/>
      <c r="S2758" s="2"/>
      <c r="T2758" s="2"/>
      <c r="U2758" s="2"/>
      <c r="V2758" s="2"/>
      <c r="W2758" s="2"/>
      <c r="X2758" s="2"/>
      <c r="Y2758" s="2"/>
      <c r="Z2758" s="2"/>
      <c r="AA2758" s="2"/>
      <c r="AB2758" s="2"/>
      <c r="AC2758" s="2"/>
      <c r="AD2758" s="2"/>
      <c r="AE2758" s="2"/>
      <c r="AF2758" s="2"/>
      <c r="AG2758" s="2"/>
      <c r="AH2758" s="2"/>
      <c r="AI2758" s="2"/>
      <c r="AJ2758" s="2" t="str">
        <f>IFERROR(__xludf.DUMMYFUNCTION("""COMPUTED_VALUE"""),"")</f>
        <v/>
      </c>
      <c r="AK2758" s="2" t="str">
        <f>IFERROR(__xludf.DUMMYFUNCTION("""COMPUTED_VALUE"""),"")</f>
        <v/>
      </c>
      <c r="AL2758" s="2" t="str">
        <f>IFERROR(__xludf.DUMMYFUNCTION("""COMPUTED_VALUE"""),"")</f>
        <v/>
      </c>
      <c r="AM2758" s="2" t="str">
        <f>IFERROR(__xludf.DUMMYFUNCTION("""COMPUTED_VALUE"""),"")</f>
        <v/>
      </c>
      <c r="AN2758" s="2" t="str">
        <f>IFERROR(__xludf.DUMMYFUNCTION("""COMPUTED_VALUE""")," ")</f>
        <v> </v>
      </c>
      <c r="AO2758" s="2" t="str">
        <f>IFERROR(__xludf.DUMMYFUNCTION("""COMPUTED_VALUE""")," ")</f>
        <v> </v>
      </c>
      <c r="AP2758" s="2" t="str">
        <f>IFERROR(__xludf.DUMMYFUNCTION("""COMPUTED_VALUE"""),"")</f>
        <v/>
      </c>
      <c r="AQ2758" s="2"/>
      <c r="AR2758" s="2"/>
      <c r="AS2758" s="2"/>
      <c r="AT2758" s="2"/>
      <c r="AU2758" s="2"/>
      <c r="AV2758" s="2"/>
      <c r="AW2758" s="2"/>
      <c r="AX2758" s="2"/>
      <c r="AY2758" s="2"/>
      <c r="AZ2758" s="2"/>
      <c r="BA2758" s="2"/>
      <c r="BB2758" s="2"/>
    </row>
    <row r="2759">
      <c r="A2759" s="2"/>
      <c r="B2759" s="2" t="str">
        <f>IFERROR(__xludf.DUMMYFUNCTION("""COMPUTED_VALUE"""),"")</f>
        <v/>
      </c>
      <c r="C2759" s="2"/>
      <c r="D2759" s="71"/>
      <c r="E2759" s="71" t="str">
        <f>IFERROR(__xludf.DUMMYFUNCTION("""COMPUTED_VALUE""")," ")</f>
        <v> </v>
      </c>
      <c r="F2759" s="2"/>
      <c r="G2759" s="2"/>
      <c r="H2759" s="2"/>
      <c r="I2759" s="72"/>
      <c r="J2759" s="72"/>
      <c r="K2759" s="72"/>
      <c r="L2759" s="72"/>
      <c r="M2759" s="2"/>
      <c r="N2759" s="2"/>
      <c r="O2759" s="2"/>
      <c r="P2759" s="2"/>
      <c r="Q2759" s="2"/>
      <c r="R2759" s="2"/>
      <c r="S2759" s="2"/>
      <c r="T2759" s="2"/>
      <c r="U2759" s="2"/>
      <c r="V2759" s="2"/>
      <c r="W2759" s="2"/>
      <c r="X2759" s="2"/>
      <c r="Y2759" s="2"/>
      <c r="Z2759" s="2"/>
      <c r="AA2759" s="2"/>
      <c r="AB2759" s="2"/>
      <c r="AC2759" s="2"/>
      <c r="AD2759" s="2"/>
      <c r="AE2759" s="2"/>
      <c r="AF2759" s="2"/>
      <c r="AG2759" s="2"/>
      <c r="AH2759" s="2"/>
      <c r="AI2759" s="2"/>
      <c r="AJ2759" s="2" t="str">
        <f>IFERROR(__xludf.DUMMYFUNCTION("""COMPUTED_VALUE"""),"")</f>
        <v/>
      </c>
      <c r="AK2759" s="2" t="str">
        <f>IFERROR(__xludf.DUMMYFUNCTION("""COMPUTED_VALUE"""),"")</f>
        <v/>
      </c>
      <c r="AL2759" s="2" t="str">
        <f>IFERROR(__xludf.DUMMYFUNCTION("""COMPUTED_VALUE"""),"")</f>
        <v/>
      </c>
      <c r="AM2759" s="2" t="str">
        <f>IFERROR(__xludf.DUMMYFUNCTION("""COMPUTED_VALUE"""),"")</f>
        <v/>
      </c>
      <c r="AN2759" s="2" t="str">
        <f>IFERROR(__xludf.DUMMYFUNCTION("""COMPUTED_VALUE""")," ")</f>
        <v> </v>
      </c>
      <c r="AO2759" s="2" t="str">
        <f>IFERROR(__xludf.DUMMYFUNCTION("""COMPUTED_VALUE""")," ")</f>
        <v> </v>
      </c>
      <c r="AP2759" s="2" t="str">
        <f>IFERROR(__xludf.DUMMYFUNCTION("""COMPUTED_VALUE"""),"")</f>
        <v/>
      </c>
      <c r="AQ2759" s="2"/>
      <c r="AR2759" s="2"/>
      <c r="AS2759" s="2"/>
      <c r="AT2759" s="2"/>
      <c r="AU2759" s="2"/>
      <c r="AV2759" s="2"/>
      <c r="AW2759" s="2"/>
      <c r="AX2759" s="2"/>
      <c r="AY2759" s="2"/>
      <c r="AZ2759" s="2"/>
      <c r="BA2759" s="2"/>
      <c r="BB2759" s="2"/>
    </row>
    <row r="2760">
      <c r="A2760" s="2"/>
      <c r="B2760" s="2" t="str">
        <f>IFERROR(__xludf.DUMMYFUNCTION("""COMPUTED_VALUE"""),"")</f>
        <v/>
      </c>
      <c r="C2760" s="2"/>
      <c r="D2760" s="71"/>
      <c r="E2760" s="71" t="str">
        <f>IFERROR(__xludf.DUMMYFUNCTION("""COMPUTED_VALUE""")," ")</f>
        <v> </v>
      </c>
      <c r="F2760" s="2"/>
      <c r="G2760" s="2"/>
      <c r="H2760" s="2"/>
      <c r="I2760" s="72"/>
      <c r="J2760" s="72"/>
      <c r="K2760" s="72"/>
      <c r="L2760" s="72"/>
      <c r="M2760" s="2"/>
      <c r="N2760" s="2"/>
      <c r="O2760" s="2"/>
      <c r="P2760" s="2"/>
      <c r="Q2760" s="2"/>
      <c r="R2760" s="2"/>
      <c r="S2760" s="2"/>
      <c r="T2760" s="2"/>
      <c r="U2760" s="2"/>
      <c r="V2760" s="2"/>
      <c r="W2760" s="2"/>
      <c r="X2760" s="2"/>
      <c r="Y2760" s="2"/>
      <c r="Z2760" s="2"/>
      <c r="AA2760" s="2"/>
      <c r="AB2760" s="2"/>
      <c r="AC2760" s="2"/>
      <c r="AD2760" s="2"/>
      <c r="AE2760" s="2"/>
      <c r="AF2760" s="2"/>
      <c r="AG2760" s="2"/>
      <c r="AH2760" s="2"/>
      <c r="AI2760" s="2"/>
      <c r="AJ2760" s="2" t="str">
        <f>IFERROR(__xludf.DUMMYFUNCTION("""COMPUTED_VALUE"""),"")</f>
        <v/>
      </c>
      <c r="AK2760" s="2" t="str">
        <f>IFERROR(__xludf.DUMMYFUNCTION("""COMPUTED_VALUE"""),"")</f>
        <v/>
      </c>
      <c r="AL2760" s="2" t="str">
        <f>IFERROR(__xludf.DUMMYFUNCTION("""COMPUTED_VALUE"""),"")</f>
        <v/>
      </c>
      <c r="AM2760" s="2" t="str">
        <f>IFERROR(__xludf.DUMMYFUNCTION("""COMPUTED_VALUE"""),"")</f>
        <v/>
      </c>
      <c r="AN2760" s="2" t="str">
        <f>IFERROR(__xludf.DUMMYFUNCTION("""COMPUTED_VALUE""")," ")</f>
        <v> </v>
      </c>
      <c r="AO2760" s="2" t="str">
        <f>IFERROR(__xludf.DUMMYFUNCTION("""COMPUTED_VALUE""")," ")</f>
        <v> </v>
      </c>
      <c r="AP2760" s="2" t="str">
        <f>IFERROR(__xludf.DUMMYFUNCTION("""COMPUTED_VALUE"""),"")</f>
        <v/>
      </c>
      <c r="AQ2760" s="2"/>
      <c r="AR2760" s="2"/>
      <c r="AS2760" s="2"/>
      <c r="AT2760" s="2"/>
      <c r="AU2760" s="2"/>
      <c r="AV2760" s="2"/>
      <c r="AW2760" s="2"/>
      <c r="AX2760" s="2"/>
      <c r="AY2760" s="2"/>
      <c r="AZ2760" s="2"/>
      <c r="BA2760" s="2"/>
      <c r="BB2760" s="2"/>
    </row>
    <row r="2761">
      <c r="A2761" s="2"/>
      <c r="B2761" s="2" t="str">
        <f>IFERROR(__xludf.DUMMYFUNCTION("""COMPUTED_VALUE"""),"")</f>
        <v/>
      </c>
      <c r="C2761" s="2"/>
      <c r="D2761" s="71"/>
      <c r="E2761" s="71" t="str">
        <f>IFERROR(__xludf.DUMMYFUNCTION("""COMPUTED_VALUE""")," ")</f>
        <v> </v>
      </c>
      <c r="F2761" s="2"/>
      <c r="G2761" s="2"/>
      <c r="H2761" s="2"/>
      <c r="I2761" s="72"/>
      <c r="J2761" s="72"/>
      <c r="K2761" s="72"/>
      <c r="L2761" s="72"/>
      <c r="M2761" s="2"/>
      <c r="N2761" s="2"/>
      <c r="O2761" s="2"/>
      <c r="P2761" s="2"/>
      <c r="Q2761" s="2"/>
      <c r="R2761" s="2"/>
      <c r="S2761" s="2"/>
      <c r="T2761" s="2"/>
      <c r="U2761" s="2"/>
      <c r="V2761" s="2"/>
      <c r="W2761" s="2"/>
      <c r="X2761" s="2"/>
      <c r="Y2761" s="2"/>
      <c r="Z2761" s="2"/>
      <c r="AA2761" s="2"/>
      <c r="AB2761" s="2"/>
      <c r="AC2761" s="2"/>
      <c r="AD2761" s="2"/>
      <c r="AE2761" s="2"/>
      <c r="AF2761" s="2"/>
      <c r="AG2761" s="2"/>
      <c r="AH2761" s="2"/>
      <c r="AI2761" s="2"/>
      <c r="AJ2761" s="2" t="str">
        <f>IFERROR(__xludf.DUMMYFUNCTION("""COMPUTED_VALUE"""),"")</f>
        <v/>
      </c>
      <c r="AK2761" s="2" t="str">
        <f>IFERROR(__xludf.DUMMYFUNCTION("""COMPUTED_VALUE"""),"")</f>
        <v/>
      </c>
      <c r="AL2761" s="2" t="str">
        <f>IFERROR(__xludf.DUMMYFUNCTION("""COMPUTED_VALUE"""),"")</f>
        <v/>
      </c>
      <c r="AM2761" s="2" t="str">
        <f>IFERROR(__xludf.DUMMYFUNCTION("""COMPUTED_VALUE"""),"")</f>
        <v/>
      </c>
      <c r="AN2761" s="2" t="str">
        <f>IFERROR(__xludf.DUMMYFUNCTION("""COMPUTED_VALUE""")," ")</f>
        <v> </v>
      </c>
      <c r="AO2761" s="2" t="str">
        <f>IFERROR(__xludf.DUMMYFUNCTION("""COMPUTED_VALUE""")," ")</f>
        <v> </v>
      </c>
      <c r="AP2761" s="2" t="str">
        <f>IFERROR(__xludf.DUMMYFUNCTION("""COMPUTED_VALUE"""),"")</f>
        <v/>
      </c>
      <c r="AQ2761" s="2"/>
      <c r="AR2761" s="2"/>
      <c r="AS2761" s="2"/>
      <c r="AT2761" s="2"/>
      <c r="AU2761" s="2"/>
      <c r="AV2761" s="2"/>
      <c r="AW2761" s="2"/>
      <c r="AX2761" s="2"/>
      <c r="AY2761" s="2"/>
      <c r="AZ2761" s="2"/>
      <c r="BA2761" s="2"/>
      <c r="BB2761" s="2"/>
    </row>
    <row r="2762">
      <c r="A2762" s="2"/>
      <c r="B2762" s="2" t="str">
        <f>IFERROR(__xludf.DUMMYFUNCTION("""COMPUTED_VALUE"""),"")</f>
        <v/>
      </c>
      <c r="C2762" s="2"/>
      <c r="D2762" s="71"/>
      <c r="E2762" s="71" t="str">
        <f>IFERROR(__xludf.DUMMYFUNCTION("""COMPUTED_VALUE""")," ")</f>
        <v> </v>
      </c>
      <c r="F2762" s="2"/>
      <c r="G2762" s="2"/>
      <c r="H2762" s="2"/>
      <c r="I2762" s="72"/>
      <c r="J2762" s="72"/>
      <c r="K2762" s="72"/>
      <c r="L2762" s="72"/>
      <c r="M2762" s="2"/>
      <c r="N2762" s="2"/>
      <c r="O2762" s="2"/>
      <c r="P2762" s="2"/>
      <c r="Q2762" s="2"/>
      <c r="R2762" s="2"/>
      <c r="S2762" s="2"/>
      <c r="T2762" s="2"/>
      <c r="U2762" s="2"/>
      <c r="V2762" s="2"/>
      <c r="W2762" s="2"/>
      <c r="X2762" s="2"/>
      <c r="Y2762" s="2"/>
      <c r="Z2762" s="2"/>
      <c r="AA2762" s="2"/>
      <c r="AB2762" s="2"/>
      <c r="AC2762" s="2"/>
      <c r="AD2762" s="2"/>
      <c r="AE2762" s="2"/>
      <c r="AF2762" s="2"/>
      <c r="AG2762" s="2"/>
      <c r="AH2762" s="2"/>
      <c r="AI2762" s="2"/>
      <c r="AJ2762" s="2" t="str">
        <f>IFERROR(__xludf.DUMMYFUNCTION("""COMPUTED_VALUE"""),"")</f>
        <v/>
      </c>
      <c r="AK2762" s="2" t="str">
        <f>IFERROR(__xludf.DUMMYFUNCTION("""COMPUTED_VALUE"""),"")</f>
        <v/>
      </c>
      <c r="AL2762" s="2" t="str">
        <f>IFERROR(__xludf.DUMMYFUNCTION("""COMPUTED_VALUE"""),"")</f>
        <v/>
      </c>
      <c r="AM2762" s="2" t="str">
        <f>IFERROR(__xludf.DUMMYFUNCTION("""COMPUTED_VALUE"""),"")</f>
        <v/>
      </c>
      <c r="AN2762" s="2" t="str">
        <f>IFERROR(__xludf.DUMMYFUNCTION("""COMPUTED_VALUE""")," ")</f>
        <v> </v>
      </c>
      <c r="AO2762" s="2" t="str">
        <f>IFERROR(__xludf.DUMMYFUNCTION("""COMPUTED_VALUE""")," ")</f>
        <v> </v>
      </c>
      <c r="AP2762" s="2" t="str">
        <f>IFERROR(__xludf.DUMMYFUNCTION("""COMPUTED_VALUE"""),"")</f>
        <v/>
      </c>
      <c r="AQ2762" s="2"/>
      <c r="AR2762" s="2"/>
      <c r="AS2762" s="2"/>
      <c r="AT2762" s="2"/>
      <c r="AU2762" s="2"/>
      <c r="AV2762" s="2"/>
      <c r="AW2762" s="2"/>
      <c r="AX2762" s="2"/>
      <c r="AY2762" s="2"/>
      <c r="AZ2762" s="2"/>
      <c r="BA2762" s="2"/>
      <c r="BB2762" s="2"/>
    </row>
    <row r="2763">
      <c r="A2763" s="2"/>
      <c r="B2763" s="2" t="str">
        <f>IFERROR(__xludf.DUMMYFUNCTION("""COMPUTED_VALUE"""),"")</f>
        <v/>
      </c>
      <c r="C2763" s="2"/>
      <c r="D2763" s="71"/>
      <c r="E2763" s="71" t="str">
        <f>IFERROR(__xludf.DUMMYFUNCTION("""COMPUTED_VALUE""")," ")</f>
        <v> </v>
      </c>
      <c r="F2763" s="2"/>
      <c r="G2763" s="2"/>
      <c r="H2763" s="2"/>
      <c r="I2763" s="72"/>
      <c r="J2763" s="72"/>
      <c r="K2763" s="72"/>
      <c r="L2763" s="72"/>
      <c r="M2763" s="2"/>
      <c r="N2763" s="2"/>
      <c r="O2763" s="2"/>
      <c r="P2763" s="2"/>
      <c r="Q2763" s="2"/>
      <c r="R2763" s="2"/>
      <c r="S2763" s="2"/>
      <c r="T2763" s="2"/>
      <c r="U2763" s="2"/>
      <c r="V2763" s="2"/>
      <c r="W2763" s="2"/>
      <c r="X2763" s="2"/>
      <c r="Y2763" s="2"/>
      <c r="Z2763" s="2"/>
      <c r="AA2763" s="2"/>
      <c r="AB2763" s="2"/>
      <c r="AC2763" s="2"/>
      <c r="AD2763" s="2"/>
      <c r="AE2763" s="2"/>
      <c r="AF2763" s="2"/>
      <c r="AG2763" s="2"/>
      <c r="AH2763" s="2"/>
      <c r="AI2763" s="2"/>
      <c r="AJ2763" s="2" t="str">
        <f>IFERROR(__xludf.DUMMYFUNCTION("""COMPUTED_VALUE"""),"")</f>
        <v/>
      </c>
      <c r="AK2763" s="2" t="str">
        <f>IFERROR(__xludf.DUMMYFUNCTION("""COMPUTED_VALUE"""),"")</f>
        <v/>
      </c>
      <c r="AL2763" s="2" t="str">
        <f>IFERROR(__xludf.DUMMYFUNCTION("""COMPUTED_VALUE"""),"")</f>
        <v/>
      </c>
      <c r="AM2763" s="2" t="str">
        <f>IFERROR(__xludf.DUMMYFUNCTION("""COMPUTED_VALUE"""),"")</f>
        <v/>
      </c>
      <c r="AN2763" s="2" t="str">
        <f>IFERROR(__xludf.DUMMYFUNCTION("""COMPUTED_VALUE""")," ")</f>
        <v> </v>
      </c>
      <c r="AO2763" s="2" t="str">
        <f>IFERROR(__xludf.DUMMYFUNCTION("""COMPUTED_VALUE""")," ")</f>
        <v> </v>
      </c>
      <c r="AP2763" s="2" t="str">
        <f>IFERROR(__xludf.DUMMYFUNCTION("""COMPUTED_VALUE"""),"")</f>
        <v/>
      </c>
      <c r="AQ2763" s="2"/>
      <c r="AR2763" s="2"/>
      <c r="AS2763" s="2"/>
      <c r="AT2763" s="2"/>
      <c r="AU2763" s="2"/>
      <c r="AV2763" s="2"/>
      <c r="AW2763" s="2"/>
      <c r="AX2763" s="2"/>
      <c r="AY2763" s="2"/>
      <c r="AZ2763" s="2"/>
      <c r="BA2763" s="2"/>
      <c r="BB2763" s="2"/>
    </row>
    <row r="2764">
      <c r="A2764" s="2"/>
      <c r="B2764" s="2" t="str">
        <f>IFERROR(__xludf.DUMMYFUNCTION("""COMPUTED_VALUE"""),"")</f>
        <v/>
      </c>
      <c r="C2764" s="2"/>
      <c r="D2764" s="71"/>
      <c r="E2764" s="71" t="str">
        <f>IFERROR(__xludf.DUMMYFUNCTION("""COMPUTED_VALUE""")," ")</f>
        <v> </v>
      </c>
      <c r="F2764" s="2"/>
      <c r="G2764" s="2"/>
      <c r="H2764" s="2"/>
      <c r="I2764" s="72"/>
      <c r="J2764" s="72"/>
      <c r="K2764" s="72"/>
      <c r="L2764" s="72"/>
      <c r="M2764" s="2"/>
      <c r="N2764" s="2"/>
      <c r="O2764" s="2"/>
      <c r="P2764" s="2"/>
      <c r="Q2764" s="2"/>
      <c r="R2764" s="2"/>
      <c r="S2764" s="2"/>
      <c r="T2764" s="2"/>
      <c r="U2764" s="2"/>
      <c r="V2764" s="2"/>
      <c r="W2764" s="2"/>
      <c r="X2764" s="2"/>
      <c r="Y2764" s="2"/>
      <c r="Z2764" s="2"/>
      <c r="AA2764" s="2"/>
      <c r="AB2764" s="2"/>
      <c r="AC2764" s="2"/>
      <c r="AD2764" s="2"/>
      <c r="AE2764" s="2"/>
      <c r="AF2764" s="2"/>
      <c r="AG2764" s="2"/>
      <c r="AH2764" s="2"/>
      <c r="AI2764" s="2"/>
      <c r="AJ2764" s="2" t="str">
        <f>IFERROR(__xludf.DUMMYFUNCTION("""COMPUTED_VALUE"""),"")</f>
        <v/>
      </c>
      <c r="AK2764" s="2" t="str">
        <f>IFERROR(__xludf.DUMMYFUNCTION("""COMPUTED_VALUE"""),"")</f>
        <v/>
      </c>
      <c r="AL2764" s="2" t="str">
        <f>IFERROR(__xludf.DUMMYFUNCTION("""COMPUTED_VALUE"""),"")</f>
        <v/>
      </c>
      <c r="AM2764" s="2" t="str">
        <f>IFERROR(__xludf.DUMMYFUNCTION("""COMPUTED_VALUE"""),"")</f>
        <v/>
      </c>
      <c r="AN2764" s="2" t="str">
        <f>IFERROR(__xludf.DUMMYFUNCTION("""COMPUTED_VALUE""")," ")</f>
        <v> </v>
      </c>
      <c r="AO2764" s="2" t="str">
        <f>IFERROR(__xludf.DUMMYFUNCTION("""COMPUTED_VALUE""")," ")</f>
        <v> </v>
      </c>
      <c r="AP2764" s="2" t="str">
        <f>IFERROR(__xludf.DUMMYFUNCTION("""COMPUTED_VALUE"""),"")</f>
        <v/>
      </c>
      <c r="AQ2764" s="2"/>
      <c r="AR2764" s="2"/>
      <c r="AS2764" s="2"/>
      <c r="AT2764" s="2"/>
      <c r="AU2764" s="2"/>
      <c r="AV2764" s="2"/>
      <c r="AW2764" s="2"/>
      <c r="AX2764" s="2"/>
      <c r="AY2764" s="2"/>
      <c r="AZ2764" s="2"/>
      <c r="BA2764" s="2"/>
      <c r="BB2764" s="2"/>
    </row>
    <row r="2765">
      <c r="A2765" s="2"/>
      <c r="B2765" s="2" t="str">
        <f>IFERROR(__xludf.DUMMYFUNCTION("""COMPUTED_VALUE"""),"")</f>
        <v/>
      </c>
      <c r="C2765" s="2"/>
      <c r="D2765" s="71"/>
      <c r="E2765" s="71" t="str">
        <f>IFERROR(__xludf.DUMMYFUNCTION("""COMPUTED_VALUE""")," ")</f>
        <v> </v>
      </c>
      <c r="F2765" s="2"/>
      <c r="G2765" s="2"/>
      <c r="H2765" s="2"/>
      <c r="I2765" s="72"/>
      <c r="J2765" s="72"/>
      <c r="K2765" s="72"/>
      <c r="L2765" s="72"/>
      <c r="M2765" s="2"/>
      <c r="N2765" s="2"/>
      <c r="O2765" s="2"/>
      <c r="P2765" s="2"/>
      <c r="Q2765" s="2"/>
      <c r="R2765" s="2"/>
      <c r="S2765" s="2"/>
      <c r="T2765" s="2"/>
      <c r="U2765" s="2"/>
      <c r="V2765" s="2"/>
      <c r="W2765" s="2"/>
      <c r="X2765" s="2"/>
      <c r="Y2765" s="2"/>
      <c r="Z2765" s="2"/>
      <c r="AA2765" s="2"/>
      <c r="AB2765" s="2"/>
      <c r="AC2765" s="2"/>
      <c r="AD2765" s="2"/>
      <c r="AE2765" s="2"/>
      <c r="AF2765" s="2"/>
      <c r="AG2765" s="2"/>
      <c r="AH2765" s="2"/>
      <c r="AI2765" s="2"/>
      <c r="AJ2765" s="2" t="str">
        <f>IFERROR(__xludf.DUMMYFUNCTION("""COMPUTED_VALUE"""),"")</f>
        <v/>
      </c>
      <c r="AK2765" s="2" t="str">
        <f>IFERROR(__xludf.DUMMYFUNCTION("""COMPUTED_VALUE"""),"")</f>
        <v/>
      </c>
      <c r="AL2765" s="2" t="str">
        <f>IFERROR(__xludf.DUMMYFUNCTION("""COMPUTED_VALUE"""),"")</f>
        <v/>
      </c>
      <c r="AM2765" s="2" t="str">
        <f>IFERROR(__xludf.DUMMYFUNCTION("""COMPUTED_VALUE"""),"")</f>
        <v/>
      </c>
      <c r="AN2765" s="2" t="str">
        <f>IFERROR(__xludf.DUMMYFUNCTION("""COMPUTED_VALUE""")," ")</f>
        <v> </v>
      </c>
      <c r="AO2765" s="2" t="str">
        <f>IFERROR(__xludf.DUMMYFUNCTION("""COMPUTED_VALUE""")," ")</f>
        <v> </v>
      </c>
      <c r="AP2765" s="2" t="str">
        <f>IFERROR(__xludf.DUMMYFUNCTION("""COMPUTED_VALUE"""),"")</f>
        <v/>
      </c>
      <c r="AQ2765" s="2"/>
      <c r="AR2765" s="2"/>
      <c r="AS2765" s="2"/>
      <c r="AT2765" s="2"/>
      <c r="AU2765" s="2"/>
      <c r="AV2765" s="2"/>
      <c r="AW2765" s="2"/>
      <c r="AX2765" s="2"/>
      <c r="AY2765" s="2"/>
      <c r="AZ2765" s="2"/>
      <c r="BA2765" s="2"/>
      <c r="BB2765" s="2"/>
    </row>
    <row r="2766">
      <c r="A2766" s="2"/>
      <c r="B2766" s="2" t="str">
        <f>IFERROR(__xludf.DUMMYFUNCTION("""COMPUTED_VALUE"""),"")</f>
        <v/>
      </c>
      <c r="C2766" s="2"/>
      <c r="D2766" s="71"/>
      <c r="E2766" s="71" t="str">
        <f>IFERROR(__xludf.DUMMYFUNCTION("""COMPUTED_VALUE""")," ")</f>
        <v> </v>
      </c>
      <c r="F2766" s="2"/>
      <c r="G2766" s="2"/>
      <c r="H2766" s="2"/>
      <c r="I2766" s="72"/>
      <c r="J2766" s="72"/>
      <c r="K2766" s="72"/>
      <c r="L2766" s="72"/>
      <c r="M2766" s="2"/>
      <c r="N2766" s="2"/>
      <c r="O2766" s="2"/>
      <c r="P2766" s="2"/>
      <c r="Q2766" s="2"/>
      <c r="R2766" s="2"/>
      <c r="S2766" s="2"/>
      <c r="T2766" s="2"/>
      <c r="U2766" s="2"/>
      <c r="V2766" s="2"/>
      <c r="W2766" s="2"/>
      <c r="X2766" s="2"/>
      <c r="Y2766" s="2"/>
      <c r="Z2766" s="2"/>
      <c r="AA2766" s="2"/>
      <c r="AB2766" s="2"/>
      <c r="AC2766" s="2"/>
      <c r="AD2766" s="2"/>
      <c r="AE2766" s="2"/>
      <c r="AF2766" s="2"/>
      <c r="AG2766" s="2"/>
      <c r="AH2766" s="2"/>
      <c r="AI2766" s="2"/>
      <c r="AJ2766" s="2" t="str">
        <f>IFERROR(__xludf.DUMMYFUNCTION("""COMPUTED_VALUE"""),"")</f>
        <v/>
      </c>
      <c r="AK2766" s="2" t="str">
        <f>IFERROR(__xludf.DUMMYFUNCTION("""COMPUTED_VALUE"""),"")</f>
        <v/>
      </c>
      <c r="AL2766" s="2" t="str">
        <f>IFERROR(__xludf.DUMMYFUNCTION("""COMPUTED_VALUE"""),"")</f>
        <v/>
      </c>
      <c r="AM2766" s="2" t="str">
        <f>IFERROR(__xludf.DUMMYFUNCTION("""COMPUTED_VALUE"""),"")</f>
        <v/>
      </c>
      <c r="AN2766" s="2" t="str">
        <f>IFERROR(__xludf.DUMMYFUNCTION("""COMPUTED_VALUE""")," ")</f>
        <v> </v>
      </c>
      <c r="AO2766" s="2" t="str">
        <f>IFERROR(__xludf.DUMMYFUNCTION("""COMPUTED_VALUE""")," ")</f>
        <v> </v>
      </c>
      <c r="AP2766" s="2" t="str">
        <f>IFERROR(__xludf.DUMMYFUNCTION("""COMPUTED_VALUE"""),"")</f>
        <v/>
      </c>
      <c r="AQ2766" s="2"/>
      <c r="AR2766" s="2"/>
      <c r="AS2766" s="2"/>
      <c r="AT2766" s="2"/>
      <c r="AU2766" s="2"/>
      <c r="AV2766" s="2"/>
      <c r="AW2766" s="2"/>
      <c r="AX2766" s="2"/>
      <c r="AY2766" s="2"/>
      <c r="AZ2766" s="2"/>
      <c r="BA2766" s="2"/>
      <c r="BB2766" s="2"/>
    </row>
    <row r="2767">
      <c r="A2767" s="2"/>
      <c r="B2767" s="2" t="str">
        <f>IFERROR(__xludf.DUMMYFUNCTION("""COMPUTED_VALUE"""),"")</f>
        <v/>
      </c>
      <c r="C2767" s="2"/>
      <c r="D2767" s="71"/>
      <c r="E2767" s="71" t="str">
        <f>IFERROR(__xludf.DUMMYFUNCTION("""COMPUTED_VALUE""")," ")</f>
        <v> </v>
      </c>
      <c r="F2767" s="2"/>
      <c r="G2767" s="2"/>
      <c r="H2767" s="2"/>
      <c r="I2767" s="72"/>
      <c r="J2767" s="72"/>
      <c r="K2767" s="72"/>
      <c r="L2767" s="72"/>
      <c r="M2767" s="2"/>
      <c r="N2767" s="2"/>
      <c r="O2767" s="2"/>
      <c r="P2767" s="2"/>
      <c r="Q2767" s="2"/>
      <c r="R2767" s="2"/>
      <c r="S2767" s="2"/>
      <c r="T2767" s="2"/>
      <c r="U2767" s="2"/>
      <c r="V2767" s="2"/>
      <c r="W2767" s="2"/>
      <c r="X2767" s="2"/>
      <c r="Y2767" s="2"/>
      <c r="Z2767" s="2"/>
      <c r="AA2767" s="2"/>
      <c r="AB2767" s="2"/>
      <c r="AC2767" s="2"/>
      <c r="AD2767" s="2"/>
      <c r="AE2767" s="2"/>
      <c r="AF2767" s="2"/>
      <c r="AG2767" s="2"/>
      <c r="AH2767" s="2"/>
      <c r="AI2767" s="2"/>
      <c r="AJ2767" s="2" t="str">
        <f>IFERROR(__xludf.DUMMYFUNCTION("""COMPUTED_VALUE"""),"")</f>
        <v/>
      </c>
      <c r="AK2767" s="2" t="str">
        <f>IFERROR(__xludf.DUMMYFUNCTION("""COMPUTED_VALUE"""),"")</f>
        <v/>
      </c>
      <c r="AL2767" s="2" t="str">
        <f>IFERROR(__xludf.DUMMYFUNCTION("""COMPUTED_VALUE"""),"")</f>
        <v/>
      </c>
      <c r="AM2767" s="2" t="str">
        <f>IFERROR(__xludf.DUMMYFUNCTION("""COMPUTED_VALUE"""),"")</f>
        <v/>
      </c>
      <c r="AN2767" s="2" t="str">
        <f>IFERROR(__xludf.DUMMYFUNCTION("""COMPUTED_VALUE""")," ")</f>
        <v> </v>
      </c>
      <c r="AO2767" s="2" t="str">
        <f>IFERROR(__xludf.DUMMYFUNCTION("""COMPUTED_VALUE""")," ")</f>
        <v> </v>
      </c>
      <c r="AP2767" s="2" t="str">
        <f>IFERROR(__xludf.DUMMYFUNCTION("""COMPUTED_VALUE"""),"")</f>
        <v/>
      </c>
      <c r="AQ2767" s="2"/>
      <c r="AR2767" s="2"/>
      <c r="AS2767" s="2"/>
      <c r="AT2767" s="2"/>
      <c r="AU2767" s="2"/>
      <c r="AV2767" s="2"/>
      <c r="AW2767" s="2"/>
      <c r="AX2767" s="2"/>
      <c r="AY2767" s="2"/>
      <c r="AZ2767" s="2"/>
      <c r="BA2767" s="2"/>
      <c r="BB2767" s="2"/>
    </row>
    <row r="2768">
      <c r="A2768" s="2"/>
      <c r="B2768" s="2" t="str">
        <f>IFERROR(__xludf.DUMMYFUNCTION("""COMPUTED_VALUE"""),"")</f>
        <v/>
      </c>
      <c r="C2768" s="2"/>
      <c r="D2768" s="71"/>
      <c r="E2768" s="71" t="str">
        <f>IFERROR(__xludf.DUMMYFUNCTION("""COMPUTED_VALUE""")," ")</f>
        <v> </v>
      </c>
      <c r="F2768" s="2"/>
      <c r="G2768" s="2"/>
      <c r="H2768" s="2"/>
      <c r="I2768" s="72"/>
      <c r="J2768" s="72"/>
      <c r="K2768" s="72"/>
      <c r="L2768" s="72"/>
      <c r="M2768" s="2"/>
      <c r="N2768" s="2"/>
      <c r="O2768" s="2"/>
      <c r="P2768" s="2"/>
      <c r="Q2768" s="2"/>
      <c r="R2768" s="2"/>
      <c r="S2768" s="2"/>
      <c r="T2768" s="2"/>
      <c r="U2768" s="2"/>
      <c r="V2768" s="2"/>
      <c r="W2768" s="2"/>
      <c r="X2768" s="2"/>
      <c r="Y2768" s="2"/>
      <c r="Z2768" s="2"/>
      <c r="AA2768" s="2"/>
      <c r="AB2768" s="2"/>
      <c r="AC2768" s="2"/>
      <c r="AD2768" s="2"/>
      <c r="AE2768" s="2"/>
      <c r="AF2768" s="2"/>
      <c r="AG2768" s="2"/>
      <c r="AH2768" s="2"/>
      <c r="AI2768" s="2"/>
      <c r="AJ2768" s="2" t="str">
        <f>IFERROR(__xludf.DUMMYFUNCTION("""COMPUTED_VALUE"""),"")</f>
        <v/>
      </c>
      <c r="AK2768" s="2" t="str">
        <f>IFERROR(__xludf.DUMMYFUNCTION("""COMPUTED_VALUE"""),"")</f>
        <v/>
      </c>
      <c r="AL2768" s="2" t="str">
        <f>IFERROR(__xludf.DUMMYFUNCTION("""COMPUTED_VALUE"""),"")</f>
        <v/>
      </c>
      <c r="AM2768" s="2" t="str">
        <f>IFERROR(__xludf.DUMMYFUNCTION("""COMPUTED_VALUE"""),"")</f>
        <v/>
      </c>
      <c r="AN2768" s="2" t="str">
        <f>IFERROR(__xludf.DUMMYFUNCTION("""COMPUTED_VALUE""")," ")</f>
        <v> </v>
      </c>
      <c r="AO2768" s="2" t="str">
        <f>IFERROR(__xludf.DUMMYFUNCTION("""COMPUTED_VALUE""")," ")</f>
        <v> </v>
      </c>
      <c r="AP2768" s="2" t="str">
        <f>IFERROR(__xludf.DUMMYFUNCTION("""COMPUTED_VALUE"""),"")</f>
        <v/>
      </c>
      <c r="AQ2768" s="2"/>
      <c r="AR2768" s="2"/>
      <c r="AS2768" s="2"/>
      <c r="AT2768" s="2"/>
      <c r="AU2768" s="2"/>
      <c r="AV2768" s="2"/>
      <c r="AW2768" s="2"/>
      <c r="AX2768" s="2"/>
      <c r="AY2768" s="2"/>
      <c r="AZ2768" s="2"/>
      <c r="BA2768" s="2"/>
      <c r="BB2768" s="2"/>
    </row>
    <row r="2769">
      <c r="A2769" s="2"/>
      <c r="B2769" s="2" t="str">
        <f>IFERROR(__xludf.DUMMYFUNCTION("""COMPUTED_VALUE"""),"")</f>
        <v/>
      </c>
      <c r="C2769" s="2"/>
      <c r="D2769" s="71"/>
      <c r="E2769" s="71" t="str">
        <f>IFERROR(__xludf.DUMMYFUNCTION("""COMPUTED_VALUE""")," ")</f>
        <v> </v>
      </c>
      <c r="F2769" s="2"/>
      <c r="G2769" s="2"/>
      <c r="H2769" s="2"/>
      <c r="I2769" s="72"/>
      <c r="J2769" s="72"/>
      <c r="K2769" s="72"/>
      <c r="L2769" s="72"/>
      <c r="M2769" s="2"/>
      <c r="N2769" s="2"/>
      <c r="O2769" s="2"/>
      <c r="P2769" s="2"/>
      <c r="Q2769" s="2"/>
      <c r="R2769" s="2"/>
      <c r="S2769" s="2"/>
      <c r="T2769" s="2"/>
      <c r="U2769" s="2"/>
      <c r="V2769" s="2"/>
      <c r="W2769" s="2"/>
      <c r="X2769" s="2"/>
      <c r="Y2769" s="2"/>
      <c r="Z2769" s="2"/>
      <c r="AA2769" s="2"/>
      <c r="AB2769" s="2"/>
      <c r="AC2769" s="2"/>
      <c r="AD2769" s="2"/>
      <c r="AE2769" s="2"/>
      <c r="AF2769" s="2"/>
      <c r="AG2769" s="2"/>
      <c r="AH2769" s="2"/>
      <c r="AI2769" s="2"/>
      <c r="AJ2769" s="2" t="str">
        <f>IFERROR(__xludf.DUMMYFUNCTION("""COMPUTED_VALUE"""),"")</f>
        <v/>
      </c>
      <c r="AK2769" s="2" t="str">
        <f>IFERROR(__xludf.DUMMYFUNCTION("""COMPUTED_VALUE"""),"")</f>
        <v/>
      </c>
      <c r="AL2769" s="2" t="str">
        <f>IFERROR(__xludf.DUMMYFUNCTION("""COMPUTED_VALUE"""),"")</f>
        <v/>
      </c>
      <c r="AM2769" s="2" t="str">
        <f>IFERROR(__xludf.DUMMYFUNCTION("""COMPUTED_VALUE"""),"")</f>
        <v/>
      </c>
      <c r="AN2769" s="2" t="str">
        <f>IFERROR(__xludf.DUMMYFUNCTION("""COMPUTED_VALUE""")," ")</f>
        <v> </v>
      </c>
      <c r="AO2769" s="2" t="str">
        <f>IFERROR(__xludf.DUMMYFUNCTION("""COMPUTED_VALUE""")," ")</f>
        <v> </v>
      </c>
      <c r="AP2769" s="2" t="str">
        <f>IFERROR(__xludf.DUMMYFUNCTION("""COMPUTED_VALUE"""),"")</f>
        <v/>
      </c>
      <c r="AQ2769" s="2"/>
      <c r="AR2769" s="2"/>
      <c r="AS2769" s="2"/>
      <c r="AT2769" s="2"/>
      <c r="AU2769" s="2"/>
      <c r="AV2769" s="2"/>
      <c r="AW2769" s="2"/>
      <c r="AX2769" s="2"/>
      <c r="AY2769" s="2"/>
      <c r="AZ2769" s="2"/>
      <c r="BA2769" s="2"/>
      <c r="BB2769" s="2"/>
    </row>
    <row r="2770">
      <c r="A2770" s="2"/>
      <c r="B2770" s="2" t="str">
        <f>IFERROR(__xludf.DUMMYFUNCTION("""COMPUTED_VALUE"""),"")</f>
        <v/>
      </c>
      <c r="C2770" s="2"/>
      <c r="D2770" s="71"/>
      <c r="E2770" s="71" t="str">
        <f>IFERROR(__xludf.DUMMYFUNCTION("""COMPUTED_VALUE""")," ")</f>
        <v> </v>
      </c>
      <c r="F2770" s="2"/>
      <c r="G2770" s="2"/>
      <c r="H2770" s="2"/>
      <c r="I2770" s="72"/>
      <c r="J2770" s="72"/>
      <c r="K2770" s="72"/>
      <c r="L2770" s="72"/>
      <c r="M2770" s="2"/>
      <c r="N2770" s="2"/>
      <c r="O2770" s="2"/>
      <c r="P2770" s="2"/>
      <c r="Q2770" s="2"/>
      <c r="R2770" s="2"/>
      <c r="S2770" s="2"/>
      <c r="T2770" s="2"/>
      <c r="U2770" s="2"/>
      <c r="V2770" s="2"/>
      <c r="W2770" s="2"/>
      <c r="X2770" s="2"/>
      <c r="Y2770" s="2"/>
      <c r="Z2770" s="2"/>
      <c r="AA2770" s="2"/>
      <c r="AB2770" s="2"/>
      <c r="AC2770" s="2"/>
      <c r="AD2770" s="2"/>
      <c r="AE2770" s="2"/>
      <c r="AF2770" s="2"/>
      <c r="AG2770" s="2"/>
      <c r="AH2770" s="2"/>
      <c r="AI2770" s="2"/>
      <c r="AJ2770" s="2" t="str">
        <f>IFERROR(__xludf.DUMMYFUNCTION("""COMPUTED_VALUE"""),"")</f>
        <v/>
      </c>
      <c r="AK2770" s="2" t="str">
        <f>IFERROR(__xludf.DUMMYFUNCTION("""COMPUTED_VALUE"""),"")</f>
        <v/>
      </c>
      <c r="AL2770" s="2" t="str">
        <f>IFERROR(__xludf.DUMMYFUNCTION("""COMPUTED_VALUE"""),"")</f>
        <v/>
      </c>
      <c r="AM2770" s="2" t="str">
        <f>IFERROR(__xludf.DUMMYFUNCTION("""COMPUTED_VALUE"""),"")</f>
        <v/>
      </c>
      <c r="AN2770" s="2" t="str">
        <f>IFERROR(__xludf.DUMMYFUNCTION("""COMPUTED_VALUE""")," ")</f>
        <v> </v>
      </c>
      <c r="AO2770" s="2" t="str">
        <f>IFERROR(__xludf.DUMMYFUNCTION("""COMPUTED_VALUE""")," ")</f>
        <v> </v>
      </c>
      <c r="AP2770" s="2" t="str">
        <f>IFERROR(__xludf.DUMMYFUNCTION("""COMPUTED_VALUE"""),"")</f>
        <v/>
      </c>
      <c r="AQ2770" s="2"/>
      <c r="AR2770" s="2"/>
      <c r="AS2770" s="2"/>
      <c r="AT2770" s="2"/>
      <c r="AU2770" s="2"/>
      <c r="AV2770" s="2"/>
      <c r="AW2770" s="2"/>
      <c r="AX2770" s="2"/>
      <c r="AY2770" s="2"/>
      <c r="AZ2770" s="2"/>
      <c r="BA2770" s="2"/>
      <c r="BB2770" s="2"/>
    </row>
    <row r="2771">
      <c r="A2771" s="2"/>
      <c r="B2771" s="2" t="str">
        <f>IFERROR(__xludf.DUMMYFUNCTION("""COMPUTED_VALUE"""),"")</f>
        <v/>
      </c>
      <c r="C2771" s="2"/>
      <c r="D2771" s="71"/>
      <c r="E2771" s="71" t="str">
        <f>IFERROR(__xludf.DUMMYFUNCTION("""COMPUTED_VALUE""")," ")</f>
        <v> </v>
      </c>
      <c r="F2771" s="2"/>
      <c r="G2771" s="2"/>
      <c r="H2771" s="2"/>
      <c r="I2771" s="72"/>
      <c r="J2771" s="72"/>
      <c r="K2771" s="72"/>
      <c r="L2771" s="72"/>
      <c r="M2771" s="2"/>
      <c r="N2771" s="2"/>
      <c r="O2771" s="2"/>
      <c r="P2771" s="2"/>
      <c r="Q2771" s="2"/>
      <c r="R2771" s="2"/>
      <c r="S2771" s="2"/>
      <c r="T2771" s="2"/>
      <c r="U2771" s="2"/>
      <c r="V2771" s="2"/>
      <c r="W2771" s="2"/>
      <c r="X2771" s="2"/>
      <c r="Y2771" s="2"/>
      <c r="Z2771" s="2"/>
      <c r="AA2771" s="2"/>
      <c r="AB2771" s="2"/>
      <c r="AC2771" s="2"/>
      <c r="AD2771" s="2"/>
      <c r="AE2771" s="2"/>
      <c r="AF2771" s="2"/>
      <c r="AG2771" s="2"/>
      <c r="AH2771" s="2"/>
      <c r="AI2771" s="2"/>
      <c r="AJ2771" s="2" t="str">
        <f>IFERROR(__xludf.DUMMYFUNCTION("""COMPUTED_VALUE"""),"")</f>
        <v/>
      </c>
      <c r="AK2771" s="2" t="str">
        <f>IFERROR(__xludf.DUMMYFUNCTION("""COMPUTED_VALUE"""),"")</f>
        <v/>
      </c>
      <c r="AL2771" s="2" t="str">
        <f>IFERROR(__xludf.DUMMYFUNCTION("""COMPUTED_VALUE"""),"")</f>
        <v/>
      </c>
      <c r="AM2771" s="2" t="str">
        <f>IFERROR(__xludf.DUMMYFUNCTION("""COMPUTED_VALUE"""),"")</f>
        <v/>
      </c>
      <c r="AN2771" s="2" t="str">
        <f>IFERROR(__xludf.DUMMYFUNCTION("""COMPUTED_VALUE""")," ")</f>
        <v> </v>
      </c>
      <c r="AO2771" s="2" t="str">
        <f>IFERROR(__xludf.DUMMYFUNCTION("""COMPUTED_VALUE""")," ")</f>
        <v> </v>
      </c>
      <c r="AP2771" s="2" t="str">
        <f>IFERROR(__xludf.DUMMYFUNCTION("""COMPUTED_VALUE"""),"")</f>
        <v/>
      </c>
      <c r="AQ2771" s="2"/>
      <c r="AR2771" s="2"/>
      <c r="AS2771" s="2"/>
      <c r="AT2771" s="2"/>
      <c r="AU2771" s="2"/>
      <c r="AV2771" s="2"/>
      <c r="AW2771" s="2"/>
      <c r="AX2771" s="2"/>
      <c r="AY2771" s="2"/>
      <c r="AZ2771" s="2"/>
      <c r="BA2771" s="2"/>
      <c r="BB2771" s="2"/>
    </row>
    <row r="2772">
      <c r="A2772" s="2"/>
      <c r="B2772" s="2" t="str">
        <f>IFERROR(__xludf.DUMMYFUNCTION("""COMPUTED_VALUE"""),"")</f>
        <v/>
      </c>
      <c r="C2772" s="2"/>
      <c r="D2772" s="71"/>
      <c r="E2772" s="71" t="str">
        <f>IFERROR(__xludf.DUMMYFUNCTION("""COMPUTED_VALUE""")," ")</f>
        <v> </v>
      </c>
      <c r="F2772" s="2"/>
      <c r="G2772" s="2"/>
      <c r="H2772" s="2"/>
      <c r="I2772" s="72"/>
      <c r="J2772" s="72"/>
      <c r="K2772" s="72"/>
      <c r="L2772" s="72"/>
      <c r="M2772" s="2"/>
      <c r="N2772" s="2"/>
      <c r="O2772" s="2"/>
      <c r="P2772" s="2"/>
      <c r="Q2772" s="2"/>
      <c r="R2772" s="2"/>
      <c r="S2772" s="2"/>
      <c r="T2772" s="2"/>
      <c r="U2772" s="2"/>
      <c r="V2772" s="2"/>
      <c r="W2772" s="2"/>
      <c r="X2772" s="2"/>
      <c r="Y2772" s="2"/>
      <c r="Z2772" s="2"/>
      <c r="AA2772" s="2"/>
      <c r="AB2772" s="2"/>
      <c r="AC2772" s="2"/>
      <c r="AD2772" s="2"/>
      <c r="AE2772" s="2"/>
      <c r="AF2772" s="2"/>
      <c r="AG2772" s="2"/>
      <c r="AH2772" s="2"/>
      <c r="AI2772" s="2"/>
      <c r="AJ2772" s="2" t="str">
        <f>IFERROR(__xludf.DUMMYFUNCTION("""COMPUTED_VALUE"""),"")</f>
        <v/>
      </c>
      <c r="AK2772" s="2" t="str">
        <f>IFERROR(__xludf.DUMMYFUNCTION("""COMPUTED_VALUE"""),"")</f>
        <v/>
      </c>
      <c r="AL2772" s="2" t="str">
        <f>IFERROR(__xludf.DUMMYFUNCTION("""COMPUTED_VALUE"""),"")</f>
        <v/>
      </c>
      <c r="AM2772" s="2" t="str">
        <f>IFERROR(__xludf.DUMMYFUNCTION("""COMPUTED_VALUE"""),"")</f>
        <v/>
      </c>
      <c r="AN2772" s="2" t="str">
        <f>IFERROR(__xludf.DUMMYFUNCTION("""COMPUTED_VALUE""")," ")</f>
        <v> </v>
      </c>
      <c r="AO2772" s="2" t="str">
        <f>IFERROR(__xludf.DUMMYFUNCTION("""COMPUTED_VALUE""")," ")</f>
        <v> </v>
      </c>
      <c r="AP2772" s="2" t="str">
        <f>IFERROR(__xludf.DUMMYFUNCTION("""COMPUTED_VALUE"""),"")</f>
        <v/>
      </c>
      <c r="AQ2772" s="2"/>
      <c r="AR2772" s="2"/>
      <c r="AS2772" s="2"/>
      <c r="AT2772" s="2"/>
      <c r="AU2772" s="2"/>
      <c r="AV2772" s="2"/>
      <c r="AW2772" s="2"/>
      <c r="AX2772" s="2"/>
      <c r="AY2772" s="2"/>
      <c r="AZ2772" s="2"/>
      <c r="BA2772" s="2"/>
      <c r="BB2772" s="2"/>
    </row>
    <row r="2773">
      <c r="A2773" s="2"/>
      <c r="B2773" s="2" t="str">
        <f>IFERROR(__xludf.DUMMYFUNCTION("""COMPUTED_VALUE"""),"")</f>
        <v/>
      </c>
      <c r="C2773" s="2"/>
      <c r="D2773" s="71"/>
      <c r="E2773" s="71" t="str">
        <f>IFERROR(__xludf.DUMMYFUNCTION("""COMPUTED_VALUE""")," ")</f>
        <v> </v>
      </c>
      <c r="F2773" s="2"/>
      <c r="G2773" s="2"/>
      <c r="H2773" s="2"/>
      <c r="I2773" s="72"/>
      <c r="J2773" s="72"/>
      <c r="K2773" s="72"/>
      <c r="L2773" s="72"/>
      <c r="M2773" s="2"/>
      <c r="N2773" s="2"/>
      <c r="O2773" s="2"/>
      <c r="P2773" s="2"/>
      <c r="Q2773" s="2"/>
      <c r="R2773" s="2"/>
      <c r="S2773" s="2"/>
      <c r="T2773" s="2"/>
      <c r="U2773" s="2"/>
      <c r="V2773" s="2"/>
      <c r="W2773" s="2"/>
      <c r="X2773" s="2"/>
      <c r="Y2773" s="2"/>
      <c r="Z2773" s="2"/>
      <c r="AA2773" s="2"/>
      <c r="AB2773" s="2"/>
      <c r="AC2773" s="2"/>
      <c r="AD2773" s="2"/>
      <c r="AE2773" s="2"/>
      <c r="AF2773" s="2"/>
      <c r="AG2773" s="2"/>
      <c r="AH2773" s="2"/>
      <c r="AI2773" s="2"/>
      <c r="AJ2773" s="2" t="str">
        <f>IFERROR(__xludf.DUMMYFUNCTION("""COMPUTED_VALUE"""),"")</f>
        <v/>
      </c>
      <c r="AK2773" s="2" t="str">
        <f>IFERROR(__xludf.DUMMYFUNCTION("""COMPUTED_VALUE"""),"")</f>
        <v/>
      </c>
      <c r="AL2773" s="2" t="str">
        <f>IFERROR(__xludf.DUMMYFUNCTION("""COMPUTED_VALUE"""),"")</f>
        <v/>
      </c>
      <c r="AM2773" s="2" t="str">
        <f>IFERROR(__xludf.DUMMYFUNCTION("""COMPUTED_VALUE"""),"")</f>
        <v/>
      </c>
      <c r="AN2773" s="2" t="str">
        <f>IFERROR(__xludf.DUMMYFUNCTION("""COMPUTED_VALUE""")," ")</f>
        <v> </v>
      </c>
      <c r="AO2773" s="2" t="str">
        <f>IFERROR(__xludf.DUMMYFUNCTION("""COMPUTED_VALUE""")," ")</f>
        <v> </v>
      </c>
      <c r="AP2773" s="2" t="str">
        <f>IFERROR(__xludf.DUMMYFUNCTION("""COMPUTED_VALUE"""),"")</f>
        <v/>
      </c>
      <c r="AQ2773" s="2"/>
      <c r="AR2773" s="2"/>
      <c r="AS2773" s="2"/>
      <c r="AT2773" s="2"/>
      <c r="AU2773" s="2"/>
      <c r="AV2773" s="2"/>
      <c r="AW2773" s="2"/>
      <c r="AX2773" s="2"/>
      <c r="AY2773" s="2"/>
      <c r="AZ2773" s="2"/>
      <c r="BA2773" s="2"/>
      <c r="BB2773" s="2"/>
    </row>
    <row r="2774">
      <c r="A2774" s="2"/>
      <c r="B2774" s="2" t="str">
        <f>IFERROR(__xludf.DUMMYFUNCTION("""COMPUTED_VALUE"""),"")</f>
        <v/>
      </c>
      <c r="C2774" s="2"/>
      <c r="D2774" s="71"/>
      <c r="E2774" s="71" t="str">
        <f>IFERROR(__xludf.DUMMYFUNCTION("""COMPUTED_VALUE""")," ")</f>
        <v> </v>
      </c>
      <c r="F2774" s="2"/>
      <c r="G2774" s="2"/>
      <c r="H2774" s="2"/>
      <c r="I2774" s="72"/>
      <c r="J2774" s="72"/>
      <c r="K2774" s="72"/>
      <c r="L2774" s="72"/>
      <c r="M2774" s="2"/>
      <c r="N2774" s="2"/>
      <c r="O2774" s="2"/>
      <c r="P2774" s="2"/>
      <c r="Q2774" s="2"/>
      <c r="R2774" s="2"/>
      <c r="S2774" s="2"/>
      <c r="T2774" s="2"/>
      <c r="U2774" s="2"/>
      <c r="V2774" s="2"/>
      <c r="W2774" s="2"/>
      <c r="X2774" s="2"/>
      <c r="Y2774" s="2"/>
      <c r="Z2774" s="2"/>
      <c r="AA2774" s="2"/>
      <c r="AB2774" s="2"/>
      <c r="AC2774" s="2"/>
      <c r="AD2774" s="2"/>
      <c r="AE2774" s="2"/>
      <c r="AF2774" s="2"/>
      <c r="AG2774" s="2"/>
      <c r="AH2774" s="2"/>
      <c r="AI2774" s="2"/>
      <c r="AJ2774" s="2" t="str">
        <f>IFERROR(__xludf.DUMMYFUNCTION("""COMPUTED_VALUE"""),"")</f>
        <v/>
      </c>
      <c r="AK2774" s="2" t="str">
        <f>IFERROR(__xludf.DUMMYFUNCTION("""COMPUTED_VALUE"""),"")</f>
        <v/>
      </c>
      <c r="AL2774" s="2" t="str">
        <f>IFERROR(__xludf.DUMMYFUNCTION("""COMPUTED_VALUE"""),"")</f>
        <v/>
      </c>
      <c r="AM2774" s="2" t="str">
        <f>IFERROR(__xludf.DUMMYFUNCTION("""COMPUTED_VALUE"""),"")</f>
        <v/>
      </c>
      <c r="AN2774" s="2" t="str">
        <f>IFERROR(__xludf.DUMMYFUNCTION("""COMPUTED_VALUE""")," ")</f>
        <v> </v>
      </c>
      <c r="AO2774" s="2" t="str">
        <f>IFERROR(__xludf.DUMMYFUNCTION("""COMPUTED_VALUE""")," ")</f>
        <v> </v>
      </c>
      <c r="AP2774" s="2" t="str">
        <f>IFERROR(__xludf.DUMMYFUNCTION("""COMPUTED_VALUE"""),"")</f>
        <v/>
      </c>
      <c r="AQ2774" s="2"/>
      <c r="AR2774" s="2"/>
      <c r="AS2774" s="2"/>
      <c r="AT2774" s="2"/>
      <c r="AU2774" s="2"/>
      <c r="AV2774" s="2"/>
      <c r="AW2774" s="2"/>
      <c r="AX2774" s="2"/>
      <c r="AY2774" s="2"/>
      <c r="AZ2774" s="2"/>
      <c r="BA2774" s="2"/>
      <c r="BB2774" s="2"/>
    </row>
    <row r="2775">
      <c r="A2775" s="2"/>
      <c r="B2775" s="2" t="str">
        <f>IFERROR(__xludf.DUMMYFUNCTION("""COMPUTED_VALUE"""),"")</f>
        <v/>
      </c>
      <c r="C2775" s="2"/>
      <c r="D2775" s="71"/>
      <c r="E2775" s="71" t="str">
        <f>IFERROR(__xludf.DUMMYFUNCTION("""COMPUTED_VALUE""")," ")</f>
        <v> </v>
      </c>
      <c r="F2775" s="2"/>
      <c r="G2775" s="2"/>
      <c r="H2775" s="2"/>
      <c r="I2775" s="72"/>
      <c r="J2775" s="72"/>
      <c r="K2775" s="72"/>
      <c r="L2775" s="72"/>
      <c r="M2775" s="2"/>
      <c r="N2775" s="2"/>
      <c r="O2775" s="2"/>
      <c r="P2775" s="2"/>
      <c r="Q2775" s="2"/>
      <c r="R2775" s="2"/>
      <c r="S2775" s="2"/>
      <c r="T2775" s="2"/>
      <c r="U2775" s="2"/>
      <c r="V2775" s="2"/>
      <c r="W2775" s="2"/>
      <c r="X2775" s="2"/>
      <c r="Y2775" s="2"/>
      <c r="Z2775" s="2"/>
      <c r="AA2775" s="2"/>
      <c r="AB2775" s="2"/>
      <c r="AC2775" s="2"/>
      <c r="AD2775" s="2"/>
      <c r="AE2775" s="2"/>
      <c r="AF2775" s="2"/>
      <c r="AG2775" s="2"/>
      <c r="AH2775" s="2"/>
      <c r="AI2775" s="2"/>
      <c r="AJ2775" s="2" t="str">
        <f>IFERROR(__xludf.DUMMYFUNCTION("""COMPUTED_VALUE"""),"")</f>
        <v/>
      </c>
      <c r="AK2775" s="2" t="str">
        <f>IFERROR(__xludf.DUMMYFUNCTION("""COMPUTED_VALUE"""),"")</f>
        <v/>
      </c>
      <c r="AL2775" s="2" t="str">
        <f>IFERROR(__xludf.DUMMYFUNCTION("""COMPUTED_VALUE"""),"")</f>
        <v/>
      </c>
      <c r="AM2775" s="2" t="str">
        <f>IFERROR(__xludf.DUMMYFUNCTION("""COMPUTED_VALUE"""),"")</f>
        <v/>
      </c>
      <c r="AN2775" s="2" t="str">
        <f>IFERROR(__xludf.DUMMYFUNCTION("""COMPUTED_VALUE""")," ")</f>
        <v> </v>
      </c>
      <c r="AO2775" s="2" t="str">
        <f>IFERROR(__xludf.DUMMYFUNCTION("""COMPUTED_VALUE""")," ")</f>
        <v> </v>
      </c>
      <c r="AP2775" s="2" t="str">
        <f>IFERROR(__xludf.DUMMYFUNCTION("""COMPUTED_VALUE"""),"")</f>
        <v/>
      </c>
      <c r="AQ2775" s="2"/>
      <c r="AR2775" s="2"/>
      <c r="AS2775" s="2"/>
      <c r="AT2775" s="2"/>
      <c r="AU2775" s="2"/>
      <c r="AV2775" s="2"/>
      <c r="AW2775" s="2"/>
      <c r="AX2775" s="2"/>
      <c r="AY2775" s="2"/>
      <c r="AZ2775" s="2"/>
      <c r="BA2775" s="2"/>
      <c r="BB2775" s="2"/>
    </row>
    <row r="2776">
      <c r="A2776" s="2"/>
      <c r="B2776" s="2" t="str">
        <f>IFERROR(__xludf.DUMMYFUNCTION("""COMPUTED_VALUE"""),"")</f>
        <v/>
      </c>
      <c r="C2776" s="2"/>
      <c r="D2776" s="71"/>
      <c r="E2776" s="71" t="str">
        <f>IFERROR(__xludf.DUMMYFUNCTION("""COMPUTED_VALUE""")," ")</f>
        <v> </v>
      </c>
      <c r="F2776" s="2"/>
      <c r="G2776" s="2"/>
      <c r="H2776" s="2"/>
      <c r="I2776" s="72"/>
      <c r="J2776" s="72"/>
      <c r="K2776" s="72"/>
      <c r="L2776" s="72"/>
      <c r="M2776" s="2"/>
      <c r="N2776" s="2"/>
      <c r="O2776" s="2"/>
      <c r="P2776" s="2"/>
      <c r="Q2776" s="2"/>
      <c r="R2776" s="2"/>
      <c r="S2776" s="2"/>
      <c r="T2776" s="2"/>
      <c r="U2776" s="2"/>
      <c r="V2776" s="2"/>
      <c r="W2776" s="2"/>
      <c r="X2776" s="2"/>
      <c r="Y2776" s="2"/>
      <c r="Z2776" s="2"/>
      <c r="AA2776" s="2"/>
      <c r="AB2776" s="2"/>
      <c r="AC2776" s="2"/>
      <c r="AD2776" s="2"/>
      <c r="AE2776" s="2"/>
      <c r="AF2776" s="2"/>
      <c r="AG2776" s="2"/>
      <c r="AH2776" s="2"/>
      <c r="AI2776" s="2"/>
      <c r="AJ2776" s="2" t="str">
        <f>IFERROR(__xludf.DUMMYFUNCTION("""COMPUTED_VALUE"""),"")</f>
        <v/>
      </c>
      <c r="AK2776" s="2" t="str">
        <f>IFERROR(__xludf.DUMMYFUNCTION("""COMPUTED_VALUE"""),"")</f>
        <v/>
      </c>
      <c r="AL2776" s="2" t="str">
        <f>IFERROR(__xludf.DUMMYFUNCTION("""COMPUTED_VALUE"""),"")</f>
        <v/>
      </c>
      <c r="AM2776" s="2" t="str">
        <f>IFERROR(__xludf.DUMMYFUNCTION("""COMPUTED_VALUE"""),"")</f>
        <v/>
      </c>
      <c r="AN2776" s="2" t="str">
        <f>IFERROR(__xludf.DUMMYFUNCTION("""COMPUTED_VALUE""")," ")</f>
        <v> </v>
      </c>
      <c r="AO2776" s="2" t="str">
        <f>IFERROR(__xludf.DUMMYFUNCTION("""COMPUTED_VALUE""")," ")</f>
        <v> </v>
      </c>
      <c r="AP2776" s="2" t="str">
        <f>IFERROR(__xludf.DUMMYFUNCTION("""COMPUTED_VALUE"""),"")</f>
        <v/>
      </c>
      <c r="AQ2776" s="2"/>
      <c r="AR2776" s="2"/>
      <c r="AS2776" s="2"/>
      <c r="AT2776" s="2"/>
      <c r="AU2776" s="2"/>
      <c r="AV2776" s="2"/>
      <c r="AW2776" s="2"/>
      <c r="AX2776" s="2"/>
      <c r="AY2776" s="2"/>
      <c r="AZ2776" s="2"/>
      <c r="BA2776" s="2"/>
      <c r="BB2776" s="2"/>
    </row>
    <row r="2777">
      <c r="A2777" s="2"/>
      <c r="B2777" s="2" t="str">
        <f>IFERROR(__xludf.DUMMYFUNCTION("""COMPUTED_VALUE"""),"")</f>
        <v/>
      </c>
      <c r="C2777" s="2"/>
      <c r="D2777" s="71"/>
      <c r="E2777" s="71" t="str">
        <f>IFERROR(__xludf.DUMMYFUNCTION("""COMPUTED_VALUE""")," ")</f>
        <v> </v>
      </c>
      <c r="F2777" s="2"/>
      <c r="G2777" s="2"/>
      <c r="H2777" s="2"/>
      <c r="I2777" s="72"/>
      <c r="J2777" s="72"/>
      <c r="K2777" s="72"/>
      <c r="L2777" s="72"/>
      <c r="M2777" s="2"/>
      <c r="N2777" s="2"/>
      <c r="O2777" s="2"/>
      <c r="P2777" s="2"/>
      <c r="Q2777" s="2"/>
      <c r="R2777" s="2"/>
      <c r="S2777" s="2"/>
      <c r="T2777" s="2"/>
      <c r="U2777" s="2"/>
      <c r="V2777" s="2"/>
      <c r="W2777" s="2"/>
      <c r="X2777" s="2"/>
      <c r="Y2777" s="2"/>
      <c r="Z2777" s="2"/>
      <c r="AA2777" s="2"/>
      <c r="AB2777" s="2"/>
      <c r="AC2777" s="2"/>
      <c r="AD2777" s="2"/>
      <c r="AE2777" s="2"/>
      <c r="AF2777" s="2"/>
      <c r="AG2777" s="2"/>
      <c r="AH2777" s="2"/>
      <c r="AI2777" s="2"/>
      <c r="AJ2777" s="2" t="str">
        <f>IFERROR(__xludf.DUMMYFUNCTION("""COMPUTED_VALUE"""),"")</f>
        <v/>
      </c>
      <c r="AK2777" s="2" t="str">
        <f>IFERROR(__xludf.DUMMYFUNCTION("""COMPUTED_VALUE"""),"")</f>
        <v/>
      </c>
      <c r="AL2777" s="2" t="str">
        <f>IFERROR(__xludf.DUMMYFUNCTION("""COMPUTED_VALUE"""),"")</f>
        <v/>
      </c>
      <c r="AM2777" s="2" t="str">
        <f>IFERROR(__xludf.DUMMYFUNCTION("""COMPUTED_VALUE"""),"")</f>
        <v/>
      </c>
      <c r="AN2777" s="2" t="str">
        <f>IFERROR(__xludf.DUMMYFUNCTION("""COMPUTED_VALUE""")," ")</f>
        <v> </v>
      </c>
      <c r="AO2777" s="2" t="str">
        <f>IFERROR(__xludf.DUMMYFUNCTION("""COMPUTED_VALUE""")," ")</f>
        <v> </v>
      </c>
      <c r="AP2777" s="2" t="str">
        <f>IFERROR(__xludf.DUMMYFUNCTION("""COMPUTED_VALUE"""),"")</f>
        <v/>
      </c>
      <c r="AQ2777" s="2"/>
      <c r="AR2777" s="2"/>
      <c r="AS2777" s="2"/>
      <c r="AT2777" s="2"/>
      <c r="AU2777" s="2"/>
      <c r="AV2777" s="2"/>
      <c r="AW2777" s="2"/>
      <c r="AX2777" s="2"/>
      <c r="AY2777" s="2"/>
      <c r="AZ2777" s="2"/>
      <c r="BA2777" s="2"/>
      <c r="BB2777" s="2"/>
    </row>
    <row r="2778">
      <c r="A2778" s="2"/>
      <c r="B2778" s="2" t="str">
        <f>IFERROR(__xludf.DUMMYFUNCTION("""COMPUTED_VALUE"""),"")</f>
        <v/>
      </c>
      <c r="C2778" s="2"/>
      <c r="D2778" s="71"/>
      <c r="E2778" s="71" t="str">
        <f>IFERROR(__xludf.DUMMYFUNCTION("""COMPUTED_VALUE""")," ")</f>
        <v> </v>
      </c>
      <c r="F2778" s="2"/>
      <c r="G2778" s="2"/>
      <c r="H2778" s="2"/>
      <c r="I2778" s="72"/>
      <c r="J2778" s="72"/>
      <c r="K2778" s="72"/>
      <c r="L2778" s="72"/>
      <c r="M2778" s="2"/>
      <c r="N2778" s="2"/>
      <c r="O2778" s="2"/>
      <c r="P2778" s="2"/>
      <c r="Q2778" s="2"/>
      <c r="R2778" s="2"/>
      <c r="S2778" s="2"/>
      <c r="T2778" s="2"/>
      <c r="U2778" s="2"/>
      <c r="V2778" s="2"/>
      <c r="W2778" s="2"/>
      <c r="X2778" s="2"/>
      <c r="Y2778" s="2"/>
      <c r="Z2778" s="2"/>
      <c r="AA2778" s="2"/>
      <c r="AB2778" s="2"/>
      <c r="AC2778" s="2"/>
      <c r="AD2778" s="2"/>
      <c r="AE2778" s="2"/>
      <c r="AF2778" s="2"/>
      <c r="AG2778" s="2"/>
      <c r="AH2778" s="2"/>
      <c r="AI2778" s="2"/>
      <c r="AJ2778" s="2" t="str">
        <f>IFERROR(__xludf.DUMMYFUNCTION("""COMPUTED_VALUE"""),"")</f>
        <v/>
      </c>
      <c r="AK2778" s="2" t="str">
        <f>IFERROR(__xludf.DUMMYFUNCTION("""COMPUTED_VALUE"""),"")</f>
        <v/>
      </c>
      <c r="AL2778" s="2" t="str">
        <f>IFERROR(__xludf.DUMMYFUNCTION("""COMPUTED_VALUE"""),"")</f>
        <v/>
      </c>
      <c r="AM2778" s="2" t="str">
        <f>IFERROR(__xludf.DUMMYFUNCTION("""COMPUTED_VALUE"""),"")</f>
        <v/>
      </c>
      <c r="AN2778" s="2" t="str">
        <f>IFERROR(__xludf.DUMMYFUNCTION("""COMPUTED_VALUE""")," ")</f>
        <v> </v>
      </c>
      <c r="AO2778" s="2" t="str">
        <f>IFERROR(__xludf.DUMMYFUNCTION("""COMPUTED_VALUE""")," ")</f>
        <v> </v>
      </c>
      <c r="AP2778" s="2" t="str">
        <f>IFERROR(__xludf.DUMMYFUNCTION("""COMPUTED_VALUE"""),"")</f>
        <v/>
      </c>
      <c r="AQ2778" s="2"/>
      <c r="AR2778" s="2"/>
      <c r="AS2778" s="2"/>
      <c r="AT2778" s="2"/>
      <c r="AU2778" s="2"/>
      <c r="AV2778" s="2"/>
      <c r="AW2778" s="2"/>
      <c r="AX2778" s="2"/>
      <c r="AY2778" s="2"/>
      <c r="AZ2778" s="2"/>
      <c r="BA2778" s="2"/>
      <c r="BB2778" s="2"/>
    </row>
    <row r="2779">
      <c r="A2779" s="2"/>
      <c r="B2779" s="2" t="str">
        <f>IFERROR(__xludf.DUMMYFUNCTION("""COMPUTED_VALUE"""),"")</f>
        <v/>
      </c>
      <c r="C2779" s="2"/>
      <c r="D2779" s="71"/>
      <c r="E2779" s="71" t="str">
        <f>IFERROR(__xludf.DUMMYFUNCTION("""COMPUTED_VALUE""")," ")</f>
        <v> </v>
      </c>
      <c r="F2779" s="2"/>
      <c r="G2779" s="2"/>
      <c r="H2779" s="2"/>
      <c r="I2779" s="72"/>
      <c r="J2779" s="72"/>
      <c r="K2779" s="72"/>
      <c r="L2779" s="72"/>
      <c r="M2779" s="2"/>
      <c r="N2779" s="2"/>
      <c r="O2779" s="2"/>
      <c r="P2779" s="2"/>
      <c r="Q2779" s="2"/>
      <c r="R2779" s="2"/>
      <c r="S2779" s="2"/>
      <c r="T2779" s="2"/>
      <c r="U2779" s="2"/>
      <c r="V2779" s="2"/>
      <c r="W2779" s="2"/>
      <c r="X2779" s="2"/>
      <c r="Y2779" s="2"/>
      <c r="Z2779" s="2"/>
      <c r="AA2779" s="2"/>
      <c r="AB2779" s="2"/>
      <c r="AC2779" s="2"/>
      <c r="AD2779" s="2"/>
      <c r="AE2779" s="2"/>
      <c r="AF2779" s="2"/>
      <c r="AG2779" s="2"/>
      <c r="AH2779" s="2"/>
      <c r="AI2779" s="2"/>
      <c r="AJ2779" s="2" t="str">
        <f>IFERROR(__xludf.DUMMYFUNCTION("""COMPUTED_VALUE"""),"")</f>
        <v/>
      </c>
      <c r="AK2779" s="2" t="str">
        <f>IFERROR(__xludf.DUMMYFUNCTION("""COMPUTED_VALUE"""),"")</f>
        <v/>
      </c>
      <c r="AL2779" s="2" t="str">
        <f>IFERROR(__xludf.DUMMYFUNCTION("""COMPUTED_VALUE"""),"")</f>
        <v/>
      </c>
      <c r="AM2779" s="2" t="str">
        <f>IFERROR(__xludf.DUMMYFUNCTION("""COMPUTED_VALUE"""),"")</f>
        <v/>
      </c>
      <c r="AN2779" s="2" t="str">
        <f>IFERROR(__xludf.DUMMYFUNCTION("""COMPUTED_VALUE""")," ")</f>
        <v> </v>
      </c>
      <c r="AO2779" s="2" t="str">
        <f>IFERROR(__xludf.DUMMYFUNCTION("""COMPUTED_VALUE""")," ")</f>
        <v> </v>
      </c>
      <c r="AP2779" s="2" t="str">
        <f>IFERROR(__xludf.DUMMYFUNCTION("""COMPUTED_VALUE"""),"")</f>
        <v/>
      </c>
      <c r="AQ2779" s="2"/>
      <c r="AR2779" s="2"/>
      <c r="AS2779" s="2"/>
      <c r="AT2779" s="2"/>
      <c r="AU2779" s="2"/>
      <c r="AV2779" s="2"/>
      <c r="AW2779" s="2"/>
      <c r="AX2779" s="2"/>
      <c r="AY2779" s="2"/>
      <c r="AZ2779" s="2"/>
      <c r="BA2779" s="2"/>
      <c r="BB2779" s="2"/>
    </row>
    <row r="2780">
      <c r="A2780" s="2"/>
      <c r="B2780" s="2" t="str">
        <f>IFERROR(__xludf.DUMMYFUNCTION("""COMPUTED_VALUE"""),"")</f>
        <v/>
      </c>
      <c r="C2780" s="2"/>
      <c r="D2780" s="71"/>
      <c r="E2780" s="71" t="str">
        <f>IFERROR(__xludf.DUMMYFUNCTION("""COMPUTED_VALUE""")," ")</f>
        <v> </v>
      </c>
      <c r="F2780" s="2"/>
      <c r="G2780" s="2"/>
      <c r="H2780" s="2"/>
      <c r="I2780" s="72"/>
      <c r="J2780" s="72"/>
      <c r="K2780" s="72"/>
      <c r="L2780" s="72"/>
      <c r="M2780" s="2"/>
      <c r="N2780" s="2"/>
      <c r="O2780" s="2"/>
      <c r="P2780" s="2"/>
      <c r="Q2780" s="2"/>
      <c r="R2780" s="2"/>
      <c r="S2780" s="2"/>
      <c r="T2780" s="2"/>
      <c r="U2780" s="2"/>
      <c r="V2780" s="2"/>
      <c r="W2780" s="2"/>
      <c r="X2780" s="2"/>
      <c r="Y2780" s="2"/>
      <c r="Z2780" s="2"/>
      <c r="AA2780" s="2"/>
      <c r="AB2780" s="2"/>
      <c r="AC2780" s="2"/>
      <c r="AD2780" s="2"/>
      <c r="AE2780" s="2"/>
      <c r="AF2780" s="2"/>
      <c r="AG2780" s="2"/>
      <c r="AH2780" s="2"/>
      <c r="AI2780" s="2"/>
      <c r="AJ2780" s="2" t="str">
        <f>IFERROR(__xludf.DUMMYFUNCTION("""COMPUTED_VALUE"""),"")</f>
        <v/>
      </c>
      <c r="AK2780" s="2" t="str">
        <f>IFERROR(__xludf.DUMMYFUNCTION("""COMPUTED_VALUE"""),"")</f>
        <v/>
      </c>
      <c r="AL2780" s="2" t="str">
        <f>IFERROR(__xludf.DUMMYFUNCTION("""COMPUTED_VALUE"""),"")</f>
        <v/>
      </c>
      <c r="AM2780" s="2" t="str">
        <f>IFERROR(__xludf.DUMMYFUNCTION("""COMPUTED_VALUE"""),"")</f>
        <v/>
      </c>
      <c r="AN2780" s="2" t="str">
        <f>IFERROR(__xludf.DUMMYFUNCTION("""COMPUTED_VALUE""")," ")</f>
        <v> </v>
      </c>
      <c r="AO2780" s="2" t="str">
        <f>IFERROR(__xludf.DUMMYFUNCTION("""COMPUTED_VALUE""")," ")</f>
        <v> </v>
      </c>
      <c r="AP2780" s="2" t="str">
        <f>IFERROR(__xludf.DUMMYFUNCTION("""COMPUTED_VALUE"""),"")</f>
        <v/>
      </c>
      <c r="AQ2780" s="2"/>
      <c r="AR2780" s="2"/>
      <c r="AS2780" s="2"/>
      <c r="AT2780" s="2"/>
      <c r="AU2780" s="2"/>
      <c r="AV2780" s="2"/>
      <c r="AW2780" s="2"/>
      <c r="AX2780" s="2"/>
      <c r="AY2780" s="2"/>
      <c r="AZ2780" s="2"/>
      <c r="BA2780" s="2"/>
      <c r="BB2780" s="2"/>
    </row>
    <row r="2781">
      <c r="A2781" s="2"/>
      <c r="B2781" s="2" t="str">
        <f>IFERROR(__xludf.DUMMYFUNCTION("""COMPUTED_VALUE"""),"")</f>
        <v/>
      </c>
      <c r="C2781" s="2"/>
      <c r="D2781" s="71"/>
      <c r="E2781" s="71" t="str">
        <f>IFERROR(__xludf.DUMMYFUNCTION("""COMPUTED_VALUE""")," ")</f>
        <v> </v>
      </c>
      <c r="F2781" s="2"/>
      <c r="G2781" s="2"/>
      <c r="H2781" s="2"/>
      <c r="I2781" s="72"/>
      <c r="J2781" s="72"/>
      <c r="K2781" s="72"/>
      <c r="L2781" s="72"/>
      <c r="M2781" s="2"/>
      <c r="N2781" s="2"/>
      <c r="O2781" s="2"/>
      <c r="P2781" s="2"/>
      <c r="Q2781" s="2"/>
      <c r="R2781" s="2"/>
      <c r="S2781" s="2"/>
      <c r="T2781" s="2"/>
      <c r="U2781" s="2"/>
      <c r="V2781" s="2"/>
      <c r="W2781" s="2"/>
      <c r="X2781" s="2"/>
      <c r="Y2781" s="2"/>
      <c r="Z2781" s="2"/>
      <c r="AA2781" s="2"/>
      <c r="AB2781" s="2"/>
      <c r="AC2781" s="2"/>
      <c r="AD2781" s="2"/>
      <c r="AE2781" s="2"/>
      <c r="AF2781" s="2"/>
      <c r="AG2781" s="2"/>
      <c r="AH2781" s="2"/>
      <c r="AI2781" s="2"/>
      <c r="AJ2781" s="2" t="str">
        <f>IFERROR(__xludf.DUMMYFUNCTION("""COMPUTED_VALUE"""),"")</f>
        <v/>
      </c>
      <c r="AK2781" s="2" t="str">
        <f>IFERROR(__xludf.DUMMYFUNCTION("""COMPUTED_VALUE"""),"")</f>
        <v/>
      </c>
      <c r="AL2781" s="2" t="str">
        <f>IFERROR(__xludf.DUMMYFUNCTION("""COMPUTED_VALUE"""),"")</f>
        <v/>
      </c>
      <c r="AM2781" s="2" t="str">
        <f>IFERROR(__xludf.DUMMYFUNCTION("""COMPUTED_VALUE"""),"")</f>
        <v/>
      </c>
      <c r="AN2781" s="2" t="str">
        <f>IFERROR(__xludf.DUMMYFUNCTION("""COMPUTED_VALUE""")," ")</f>
        <v> </v>
      </c>
      <c r="AO2781" s="2" t="str">
        <f>IFERROR(__xludf.DUMMYFUNCTION("""COMPUTED_VALUE""")," ")</f>
        <v> </v>
      </c>
      <c r="AP2781" s="2" t="str">
        <f>IFERROR(__xludf.DUMMYFUNCTION("""COMPUTED_VALUE"""),"")</f>
        <v/>
      </c>
      <c r="AQ2781" s="2"/>
      <c r="AR2781" s="2"/>
      <c r="AS2781" s="2"/>
      <c r="AT2781" s="2"/>
      <c r="AU2781" s="2"/>
      <c r="AV2781" s="2"/>
      <c r="AW2781" s="2"/>
      <c r="AX2781" s="2"/>
      <c r="AY2781" s="2"/>
      <c r="AZ2781" s="2"/>
      <c r="BA2781" s="2"/>
      <c r="BB2781" s="2"/>
    </row>
    <row r="2782">
      <c r="A2782" s="2"/>
      <c r="B2782" s="2" t="str">
        <f>IFERROR(__xludf.DUMMYFUNCTION("""COMPUTED_VALUE"""),"")</f>
        <v/>
      </c>
      <c r="C2782" s="2"/>
      <c r="D2782" s="71"/>
      <c r="E2782" s="71" t="str">
        <f>IFERROR(__xludf.DUMMYFUNCTION("""COMPUTED_VALUE""")," ")</f>
        <v> </v>
      </c>
      <c r="F2782" s="2"/>
      <c r="G2782" s="2"/>
      <c r="H2782" s="2"/>
      <c r="I2782" s="72"/>
      <c r="J2782" s="72"/>
      <c r="K2782" s="72"/>
      <c r="L2782" s="72"/>
      <c r="M2782" s="2"/>
      <c r="N2782" s="2"/>
      <c r="O2782" s="2"/>
      <c r="P2782" s="2"/>
      <c r="Q2782" s="2"/>
      <c r="R2782" s="2"/>
      <c r="S2782" s="2"/>
      <c r="T2782" s="2"/>
      <c r="U2782" s="2"/>
      <c r="V2782" s="2"/>
      <c r="W2782" s="2"/>
      <c r="X2782" s="2"/>
      <c r="Y2782" s="2"/>
      <c r="Z2782" s="2"/>
      <c r="AA2782" s="2"/>
      <c r="AB2782" s="2"/>
      <c r="AC2782" s="2"/>
      <c r="AD2782" s="2"/>
      <c r="AE2782" s="2"/>
      <c r="AF2782" s="2"/>
      <c r="AG2782" s="2"/>
      <c r="AH2782" s="2"/>
      <c r="AI2782" s="2"/>
      <c r="AJ2782" s="2" t="str">
        <f>IFERROR(__xludf.DUMMYFUNCTION("""COMPUTED_VALUE"""),"")</f>
        <v/>
      </c>
      <c r="AK2782" s="2" t="str">
        <f>IFERROR(__xludf.DUMMYFUNCTION("""COMPUTED_VALUE"""),"")</f>
        <v/>
      </c>
      <c r="AL2782" s="2" t="str">
        <f>IFERROR(__xludf.DUMMYFUNCTION("""COMPUTED_VALUE"""),"")</f>
        <v/>
      </c>
      <c r="AM2782" s="2" t="str">
        <f>IFERROR(__xludf.DUMMYFUNCTION("""COMPUTED_VALUE"""),"")</f>
        <v/>
      </c>
      <c r="AN2782" s="2" t="str">
        <f>IFERROR(__xludf.DUMMYFUNCTION("""COMPUTED_VALUE""")," ")</f>
        <v> </v>
      </c>
      <c r="AO2782" s="2" t="str">
        <f>IFERROR(__xludf.DUMMYFUNCTION("""COMPUTED_VALUE""")," ")</f>
        <v> </v>
      </c>
      <c r="AP2782" s="2" t="str">
        <f>IFERROR(__xludf.DUMMYFUNCTION("""COMPUTED_VALUE"""),"")</f>
        <v/>
      </c>
      <c r="AQ2782" s="2"/>
      <c r="AR2782" s="2"/>
      <c r="AS2782" s="2"/>
      <c r="AT2782" s="2"/>
      <c r="AU2782" s="2"/>
      <c r="AV2782" s="2"/>
      <c r="AW2782" s="2"/>
      <c r="AX2782" s="2"/>
      <c r="AY2782" s="2"/>
      <c r="AZ2782" s="2"/>
      <c r="BA2782" s="2"/>
      <c r="BB2782" s="2"/>
    </row>
    <row r="2783">
      <c r="A2783" s="2"/>
      <c r="B2783" s="2" t="str">
        <f>IFERROR(__xludf.DUMMYFUNCTION("""COMPUTED_VALUE"""),"")</f>
        <v/>
      </c>
      <c r="C2783" s="2"/>
      <c r="D2783" s="71"/>
      <c r="E2783" s="71" t="str">
        <f>IFERROR(__xludf.DUMMYFUNCTION("""COMPUTED_VALUE""")," ")</f>
        <v> </v>
      </c>
      <c r="F2783" s="2"/>
      <c r="G2783" s="2"/>
      <c r="H2783" s="2"/>
      <c r="I2783" s="72"/>
      <c r="J2783" s="72"/>
      <c r="K2783" s="72"/>
      <c r="L2783" s="72"/>
      <c r="M2783" s="2"/>
      <c r="N2783" s="2"/>
      <c r="O2783" s="2"/>
      <c r="P2783" s="2"/>
      <c r="Q2783" s="2"/>
      <c r="R2783" s="2"/>
      <c r="S2783" s="2"/>
      <c r="T2783" s="2"/>
      <c r="U2783" s="2"/>
      <c r="V2783" s="2"/>
      <c r="W2783" s="2"/>
      <c r="X2783" s="2"/>
      <c r="Y2783" s="2"/>
      <c r="Z2783" s="2"/>
      <c r="AA2783" s="2"/>
      <c r="AB2783" s="2"/>
      <c r="AC2783" s="2"/>
      <c r="AD2783" s="2"/>
      <c r="AE2783" s="2"/>
      <c r="AF2783" s="2"/>
      <c r="AG2783" s="2"/>
      <c r="AH2783" s="2"/>
      <c r="AI2783" s="2"/>
      <c r="AJ2783" s="2" t="str">
        <f>IFERROR(__xludf.DUMMYFUNCTION("""COMPUTED_VALUE"""),"")</f>
        <v/>
      </c>
      <c r="AK2783" s="2" t="str">
        <f>IFERROR(__xludf.DUMMYFUNCTION("""COMPUTED_VALUE"""),"")</f>
        <v/>
      </c>
      <c r="AL2783" s="2" t="str">
        <f>IFERROR(__xludf.DUMMYFUNCTION("""COMPUTED_VALUE"""),"")</f>
        <v/>
      </c>
      <c r="AM2783" s="2" t="str">
        <f>IFERROR(__xludf.DUMMYFUNCTION("""COMPUTED_VALUE"""),"")</f>
        <v/>
      </c>
      <c r="AN2783" s="2" t="str">
        <f>IFERROR(__xludf.DUMMYFUNCTION("""COMPUTED_VALUE""")," ")</f>
        <v> </v>
      </c>
      <c r="AO2783" s="2" t="str">
        <f>IFERROR(__xludf.DUMMYFUNCTION("""COMPUTED_VALUE""")," ")</f>
        <v> </v>
      </c>
      <c r="AP2783" s="2" t="str">
        <f>IFERROR(__xludf.DUMMYFUNCTION("""COMPUTED_VALUE"""),"")</f>
        <v/>
      </c>
      <c r="AQ2783" s="2"/>
      <c r="AR2783" s="2"/>
      <c r="AS2783" s="2"/>
      <c r="AT2783" s="2"/>
      <c r="AU2783" s="2"/>
      <c r="AV2783" s="2"/>
      <c r="AW2783" s="2"/>
      <c r="AX2783" s="2"/>
      <c r="AY2783" s="2"/>
      <c r="AZ2783" s="2"/>
      <c r="BA2783" s="2"/>
      <c r="BB2783" s="2"/>
    </row>
    <row r="2784">
      <c r="A2784" s="2"/>
      <c r="B2784" s="2" t="str">
        <f>IFERROR(__xludf.DUMMYFUNCTION("""COMPUTED_VALUE"""),"")</f>
        <v/>
      </c>
      <c r="C2784" s="2"/>
      <c r="D2784" s="71"/>
      <c r="E2784" s="71" t="str">
        <f>IFERROR(__xludf.DUMMYFUNCTION("""COMPUTED_VALUE""")," ")</f>
        <v> </v>
      </c>
      <c r="F2784" s="2"/>
      <c r="G2784" s="2"/>
      <c r="H2784" s="2"/>
      <c r="I2784" s="72"/>
      <c r="J2784" s="72"/>
      <c r="K2784" s="72"/>
      <c r="L2784" s="72"/>
      <c r="M2784" s="2"/>
      <c r="N2784" s="2"/>
      <c r="O2784" s="2"/>
      <c r="P2784" s="2"/>
      <c r="Q2784" s="2"/>
      <c r="R2784" s="2"/>
      <c r="S2784" s="2"/>
      <c r="T2784" s="2"/>
      <c r="U2784" s="2"/>
      <c r="V2784" s="2"/>
      <c r="W2784" s="2"/>
      <c r="X2784" s="2"/>
      <c r="Y2784" s="2"/>
      <c r="Z2784" s="2"/>
      <c r="AA2784" s="2"/>
      <c r="AB2784" s="2"/>
      <c r="AC2784" s="2"/>
      <c r="AD2784" s="2"/>
      <c r="AE2784" s="2"/>
      <c r="AF2784" s="2"/>
      <c r="AG2784" s="2"/>
      <c r="AH2784" s="2"/>
      <c r="AI2784" s="2"/>
      <c r="AJ2784" s="2" t="str">
        <f>IFERROR(__xludf.DUMMYFUNCTION("""COMPUTED_VALUE"""),"")</f>
        <v/>
      </c>
      <c r="AK2784" s="2" t="str">
        <f>IFERROR(__xludf.DUMMYFUNCTION("""COMPUTED_VALUE"""),"")</f>
        <v/>
      </c>
      <c r="AL2784" s="2" t="str">
        <f>IFERROR(__xludf.DUMMYFUNCTION("""COMPUTED_VALUE"""),"")</f>
        <v/>
      </c>
      <c r="AM2784" s="2" t="str">
        <f>IFERROR(__xludf.DUMMYFUNCTION("""COMPUTED_VALUE"""),"")</f>
        <v/>
      </c>
      <c r="AN2784" s="2" t="str">
        <f>IFERROR(__xludf.DUMMYFUNCTION("""COMPUTED_VALUE""")," ")</f>
        <v> </v>
      </c>
      <c r="AO2784" s="2" t="str">
        <f>IFERROR(__xludf.DUMMYFUNCTION("""COMPUTED_VALUE""")," ")</f>
        <v> </v>
      </c>
      <c r="AP2784" s="2" t="str">
        <f>IFERROR(__xludf.DUMMYFUNCTION("""COMPUTED_VALUE"""),"")</f>
        <v/>
      </c>
      <c r="AQ2784" s="2"/>
      <c r="AR2784" s="2"/>
      <c r="AS2784" s="2"/>
      <c r="AT2784" s="2"/>
      <c r="AU2784" s="2"/>
      <c r="AV2784" s="2"/>
      <c r="AW2784" s="2"/>
      <c r="AX2784" s="2"/>
      <c r="AY2784" s="2"/>
      <c r="AZ2784" s="2"/>
      <c r="BA2784" s="2"/>
      <c r="BB2784" s="2"/>
    </row>
    <row r="2785">
      <c r="A2785" s="2"/>
      <c r="B2785" s="2" t="str">
        <f>IFERROR(__xludf.DUMMYFUNCTION("""COMPUTED_VALUE"""),"")</f>
        <v/>
      </c>
      <c r="C2785" s="2"/>
      <c r="D2785" s="71"/>
      <c r="E2785" s="71" t="str">
        <f>IFERROR(__xludf.DUMMYFUNCTION("""COMPUTED_VALUE""")," ")</f>
        <v> </v>
      </c>
      <c r="F2785" s="2"/>
      <c r="G2785" s="2"/>
      <c r="H2785" s="2"/>
      <c r="I2785" s="72"/>
      <c r="J2785" s="72"/>
      <c r="K2785" s="72"/>
      <c r="L2785" s="72"/>
      <c r="M2785" s="2"/>
      <c r="N2785" s="2"/>
      <c r="O2785" s="2"/>
      <c r="P2785" s="2"/>
      <c r="Q2785" s="2"/>
      <c r="R2785" s="2"/>
      <c r="S2785" s="2"/>
      <c r="T2785" s="2"/>
      <c r="U2785" s="2"/>
      <c r="V2785" s="2"/>
      <c r="W2785" s="2"/>
      <c r="X2785" s="2"/>
      <c r="Y2785" s="2"/>
      <c r="Z2785" s="2"/>
      <c r="AA2785" s="2"/>
      <c r="AB2785" s="2"/>
      <c r="AC2785" s="2"/>
      <c r="AD2785" s="2"/>
      <c r="AE2785" s="2"/>
      <c r="AF2785" s="2"/>
      <c r="AG2785" s="2"/>
      <c r="AH2785" s="2"/>
      <c r="AI2785" s="2"/>
      <c r="AJ2785" s="2" t="str">
        <f>IFERROR(__xludf.DUMMYFUNCTION("""COMPUTED_VALUE"""),"")</f>
        <v/>
      </c>
      <c r="AK2785" s="2" t="str">
        <f>IFERROR(__xludf.DUMMYFUNCTION("""COMPUTED_VALUE"""),"")</f>
        <v/>
      </c>
      <c r="AL2785" s="2" t="str">
        <f>IFERROR(__xludf.DUMMYFUNCTION("""COMPUTED_VALUE"""),"")</f>
        <v/>
      </c>
      <c r="AM2785" s="2" t="str">
        <f>IFERROR(__xludf.DUMMYFUNCTION("""COMPUTED_VALUE"""),"")</f>
        <v/>
      </c>
      <c r="AN2785" s="2" t="str">
        <f>IFERROR(__xludf.DUMMYFUNCTION("""COMPUTED_VALUE""")," ")</f>
        <v> </v>
      </c>
      <c r="AO2785" s="2" t="str">
        <f>IFERROR(__xludf.DUMMYFUNCTION("""COMPUTED_VALUE""")," ")</f>
        <v> </v>
      </c>
      <c r="AP2785" s="2" t="str">
        <f>IFERROR(__xludf.DUMMYFUNCTION("""COMPUTED_VALUE"""),"")</f>
        <v/>
      </c>
      <c r="AQ2785" s="2"/>
      <c r="AR2785" s="2"/>
      <c r="AS2785" s="2"/>
      <c r="AT2785" s="2"/>
      <c r="AU2785" s="2"/>
      <c r="AV2785" s="2"/>
      <c r="AW2785" s="2"/>
      <c r="AX2785" s="2"/>
      <c r="AY2785" s="2"/>
      <c r="AZ2785" s="2"/>
      <c r="BA2785" s="2"/>
      <c r="BB2785" s="2"/>
    </row>
    <row r="2786">
      <c r="A2786" s="2"/>
      <c r="B2786" s="2" t="str">
        <f>IFERROR(__xludf.DUMMYFUNCTION("""COMPUTED_VALUE"""),"")</f>
        <v/>
      </c>
      <c r="C2786" s="2"/>
      <c r="D2786" s="71"/>
      <c r="E2786" s="71" t="str">
        <f>IFERROR(__xludf.DUMMYFUNCTION("""COMPUTED_VALUE""")," ")</f>
        <v> </v>
      </c>
      <c r="F2786" s="2"/>
      <c r="G2786" s="2"/>
      <c r="H2786" s="2"/>
      <c r="I2786" s="72"/>
      <c r="J2786" s="72"/>
      <c r="K2786" s="72"/>
      <c r="L2786" s="72"/>
      <c r="M2786" s="2"/>
      <c r="N2786" s="2"/>
      <c r="O2786" s="2"/>
      <c r="P2786" s="2"/>
      <c r="Q2786" s="2"/>
      <c r="R2786" s="2"/>
      <c r="S2786" s="2"/>
      <c r="T2786" s="2"/>
      <c r="U2786" s="2"/>
      <c r="V2786" s="2"/>
      <c r="W2786" s="2"/>
      <c r="X2786" s="2"/>
      <c r="Y2786" s="2"/>
      <c r="Z2786" s="2"/>
      <c r="AA2786" s="2"/>
      <c r="AB2786" s="2"/>
      <c r="AC2786" s="2"/>
      <c r="AD2786" s="2"/>
      <c r="AE2786" s="2"/>
      <c r="AF2786" s="2"/>
      <c r="AG2786" s="2"/>
      <c r="AH2786" s="2"/>
      <c r="AI2786" s="2"/>
      <c r="AJ2786" s="2" t="str">
        <f>IFERROR(__xludf.DUMMYFUNCTION("""COMPUTED_VALUE"""),"")</f>
        <v/>
      </c>
      <c r="AK2786" s="2" t="str">
        <f>IFERROR(__xludf.DUMMYFUNCTION("""COMPUTED_VALUE"""),"")</f>
        <v/>
      </c>
      <c r="AL2786" s="2" t="str">
        <f>IFERROR(__xludf.DUMMYFUNCTION("""COMPUTED_VALUE"""),"")</f>
        <v/>
      </c>
      <c r="AM2786" s="2" t="str">
        <f>IFERROR(__xludf.DUMMYFUNCTION("""COMPUTED_VALUE"""),"")</f>
        <v/>
      </c>
      <c r="AN2786" s="2" t="str">
        <f>IFERROR(__xludf.DUMMYFUNCTION("""COMPUTED_VALUE""")," ")</f>
        <v> </v>
      </c>
      <c r="AO2786" s="2" t="str">
        <f>IFERROR(__xludf.DUMMYFUNCTION("""COMPUTED_VALUE""")," ")</f>
        <v> </v>
      </c>
      <c r="AP2786" s="2" t="str">
        <f>IFERROR(__xludf.DUMMYFUNCTION("""COMPUTED_VALUE"""),"")</f>
        <v/>
      </c>
      <c r="AQ2786" s="2"/>
      <c r="AR2786" s="2"/>
      <c r="AS2786" s="2"/>
      <c r="AT2786" s="2"/>
      <c r="AU2786" s="2"/>
      <c r="AV2786" s="2"/>
      <c r="AW2786" s="2"/>
      <c r="AX2786" s="2"/>
      <c r="AY2786" s="2"/>
      <c r="AZ2786" s="2"/>
      <c r="BA2786" s="2"/>
      <c r="BB2786" s="2"/>
    </row>
    <row r="2787">
      <c r="A2787" s="2"/>
      <c r="B2787" s="2" t="str">
        <f>IFERROR(__xludf.DUMMYFUNCTION("""COMPUTED_VALUE"""),"")</f>
        <v/>
      </c>
      <c r="C2787" s="2"/>
      <c r="D2787" s="71"/>
      <c r="E2787" s="71" t="str">
        <f>IFERROR(__xludf.DUMMYFUNCTION("""COMPUTED_VALUE""")," ")</f>
        <v> </v>
      </c>
      <c r="F2787" s="2"/>
      <c r="G2787" s="2"/>
      <c r="H2787" s="2"/>
      <c r="I2787" s="72"/>
      <c r="J2787" s="72"/>
      <c r="K2787" s="72"/>
      <c r="L2787" s="72"/>
      <c r="M2787" s="2"/>
      <c r="N2787" s="2"/>
      <c r="O2787" s="2"/>
      <c r="P2787" s="2"/>
      <c r="Q2787" s="2"/>
      <c r="R2787" s="2"/>
      <c r="S2787" s="2"/>
      <c r="T2787" s="2"/>
      <c r="U2787" s="2"/>
      <c r="V2787" s="2"/>
      <c r="W2787" s="2"/>
      <c r="X2787" s="2"/>
      <c r="Y2787" s="2"/>
      <c r="Z2787" s="2"/>
      <c r="AA2787" s="2"/>
      <c r="AB2787" s="2"/>
      <c r="AC2787" s="2"/>
      <c r="AD2787" s="2"/>
      <c r="AE2787" s="2"/>
      <c r="AF2787" s="2"/>
      <c r="AG2787" s="2"/>
      <c r="AH2787" s="2"/>
      <c r="AI2787" s="2"/>
      <c r="AJ2787" s="2" t="str">
        <f>IFERROR(__xludf.DUMMYFUNCTION("""COMPUTED_VALUE"""),"")</f>
        <v/>
      </c>
      <c r="AK2787" s="2" t="str">
        <f>IFERROR(__xludf.DUMMYFUNCTION("""COMPUTED_VALUE"""),"")</f>
        <v/>
      </c>
      <c r="AL2787" s="2" t="str">
        <f>IFERROR(__xludf.DUMMYFUNCTION("""COMPUTED_VALUE"""),"")</f>
        <v/>
      </c>
      <c r="AM2787" s="2" t="str">
        <f>IFERROR(__xludf.DUMMYFUNCTION("""COMPUTED_VALUE"""),"")</f>
        <v/>
      </c>
      <c r="AN2787" s="2" t="str">
        <f>IFERROR(__xludf.DUMMYFUNCTION("""COMPUTED_VALUE""")," ")</f>
        <v> </v>
      </c>
      <c r="AO2787" s="2" t="str">
        <f>IFERROR(__xludf.DUMMYFUNCTION("""COMPUTED_VALUE""")," ")</f>
        <v> </v>
      </c>
      <c r="AP2787" s="2" t="str">
        <f>IFERROR(__xludf.DUMMYFUNCTION("""COMPUTED_VALUE"""),"")</f>
        <v/>
      </c>
      <c r="AQ2787" s="2"/>
      <c r="AR2787" s="2"/>
      <c r="AS2787" s="2"/>
      <c r="AT2787" s="2"/>
      <c r="AU2787" s="2"/>
      <c r="AV2787" s="2"/>
      <c r="AW2787" s="2"/>
      <c r="AX2787" s="2"/>
      <c r="AY2787" s="2"/>
      <c r="AZ2787" s="2"/>
      <c r="BA2787" s="2"/>
      <c r="BB2787" s="2"/>
    </row>
    <row r="2788">
      <c r="A2788" s="2"/>
      <c r="B2788" s="2" t="str">
        <f>IFERROR(__xludf.DUMMYFUNCTION("""COMPUTED_VALUE"""),"")</f>
        <v/>
      </c>
      <c r="C2788" s="2"/>
      <c r="D2788" s="71"/>
      <c r="E2788" s="71" t="str">
        <f>IFERROR(__xludf.DUMMYFUNCTION("""COMPUTED_VALUE""")," ")</f>
        <v> </v>
      </c>
      <c r="F2788" s="2"/>
      <c r="G2788" s="2"/>
      <c r="H2788" s="2"/>
      <c r="I2788" s="72"/>
      <c r="J2788" s="72"/>
      <c r="K2788" s="72"/>
      <c r="L2788" s="72"/>
      <c r="M2788" s="2"/>
      <c r="N2788" s="2"/>
      <c r="O2788" s="2"/>
      <c r="P2788" s="2"/>
      <c r="Q2788" s="2"/>
      <c r="R2788" s="2"/>
      <c r="S2788" s="2"/>
      <c r="T2788" s="2"/>
      <c r="U2788" s="2"/>
      <c r="V2788" s="2"/>
      <c r="W2788" s="2"/>
      <c r="X2788" s="2"/>
      <c r="Y2788" s="2"/>
      <c r="Z2788" s="2"/>
      <c r="AA2788" s="2"/>
      <c r="AB2788" s="2"/>
      <c r="AC2788" s="2"/>
      <c r="AD2788" s="2"/>
      <c r="AE2788" s="2"/>
      <c r="AF2788" s="2"/>
      <c r="AG2788" s="2"/>
      <c r="AH2788" s="2"/>
      <c r="AI2788" s="2"/>
      <c r="AJ2788" s="2" t="str">
        <f>IFERROR(__xludf.DUMMYFUNCTION("""COMPUTED_VALUE"""),"")</f>
        <v/>
      </c>
      <c r="AK2788" s="2" t="str">
        <f>IFERROR(__xludf.DUMMYFUNCTION("""COMPUTED_VALUE"""),"")</f>
        <v/>
      </c>
      <c r="AL2788" s="2" t="str">
        <f>IFERROR(__xludf.DUMMYFUNCTION("""COMPUTED_VALUE"""),"")</f>
        <v/>
      </c>
      <c r="AM2788" s="2" t="str">
        <f>IFERROR(__xludf.DUMMYFUNCTION("""COMPUTED_VALUE"""),"")</f>
        <v/>
      </c>
      <c r="AN2788" s="2" t="str">
        <f>IFERROR(__xludf.DUMMYFUNCTION("""COMPUTED_VALUE""")," ")</f>
        <v> </v>
      </c>
      <c r="AO2788" s="2" t="str">
        <f>IFERROR(__xludf.DUMMYFUNCTION("""COMPUTED_VALUE""")," ")</f>
        <v> </v>
      </c>
      <c r="AP2788" s="2" t="str">
        <f>IFERROR(__xludf.DUMMYFUNCTION("""COMPUTED_VALUE"""),"")</f>
        <v/>
      </c>
      <c r="AQ2788" s="2"/>
      <c r="AR2788" s="2"/>
      <c r="AS2788" s="2"/>
      <c r="AT2788" s="2"/>
      <c r="AU2788" s="2"/>
      <c r="AV2788" s="2"/>
      <c r="AW2788" s="2"/>
      <c r="AX2788" s="2"/>
      <c r="AY2788" s="2"/>
      <c r="AZ2788" s="2"/>
      <c r="BA2788" s="2"/>
      <c r="BB2788" s="2"/>
    </row>
    <row r="2789">
      <c r="A2789" s="2"/>
      <c r="B2789" s="2" t="str">
        <f>IFERROR(__xludf.DUMMYFUNCTION("""COMPUTED_VALUE"""),"")</f>
        <v/>
      </c>
      <c r="C2789" s="2"/>
      <c r="D2789" s="71"/>
      <c r="E2789" s="71" t="str">
        <f>IFERROR(__xludf.DUMMYFUNCTION("""COMPUTED_VALUE""")," ")</f>
        <v> </v>
      </c>
      <c r="F2789" s="2"/>
      <c r="G2789" s="2"/>
      <c r="H2789" s="2"/>
      <c r="I2789" s="72"/>
      <c r="J2789" s="72"/>
      <c r="K2789" s="72"/>
      <c r="L2789" s="72"/>
      <c r="M2789" s="2"/>
      <c r="N2789" s="2"/>
      <c r="O2789" s="2"/>
      <c r="P2789" s="2"/>
      <c r="Q2789" s="2"/>
      <c r="R2789" s="2"/>
      <c r="S2789" s="2"/>
      <c r="T2789" s="2"/>
      <c r="U2789" s="2"/>
      <c r="V2789" s="2"/>
      <c r="W2789" s="2"/>
      <c r="X2789" s="2"/>
      <c r="Y2789" s="2"/>
      <c r="Z2789" s="2"/>
      <c r="AA2789" s="2"/>
      <c r="AB2789" s="2"/>
      <c r="AC2789" s="2"/>
      <c r="AD2789" s="2"/>
      <c r="AE2789" s="2"/>
      <c r="AF2789" s="2"/>
      <c r="AG2789" s="2"/>
      <c r="AH2789" s="2"/>
      <c r="AI2789" s="2"/>
      <c r="AJ2789" s="2" t="str">
        <f>IFERROR(__xludf.DUMMYFUNCTION("""COMPUTED_VALUE"""),"")</f>
        <v/>
      </c>
      <c r="AK2789" s="2" t="str">
        <f>IFERROR(__xludf.DUMMYFUNCTION("""COMPUTED_VALUE"""),"")</f>
        <v/>
      </c>
      <c r="AL2789" s="2" t="str">
        <f>IFERROR(__xludf.DUMMYFUNCTION("""COMPUTED_VALUE"""),"")</f>
        <v/>
      </c>
      <c r="AM2789" s="2" t="str">
        <f>IFERROR(__xludf.DUMMYFUNCTION("""COMPUTED_VALUE"""),"")</f>
        <v/>
      </c>
      <c r="AN2789" s="2" t="str">
        <f>IFERROR(__xludf.DUMMYFUNCTION("""COMPUTED_VALUE""")," ")</f>
        <v> </v>
      </c>
      <c r="AO2789" s="2" t="str">
        <f>IFERROR(__xludf.DUMMYFUNCTION("""COMPUTED_VALUE""")," ")</f>
        <v> </v>
      </c>
      <c r="AP2789" s="2" t="str">
        <f>IFERROR(__xludf.DUMMYFUNCTION("""COMPUTED_VALUE"""),"")</f>
        <v/>
      </c>
      <c r="AQ2789" s="2"/>
      <c r="AR2789" s="2"/>
      <c r="AS2789" s="2"/>
      <c r="AT2789" s="2"/>
      <c r="AU2789" s="2"/>
      <c r="AV2789" s="2"/>
      <c r="AW2789" s="2"/>
      <c r="AX2789" s="2"/>
      <c r="AY2789" s="2"/>
      <c r="AZ2789" s="2"/>
      <c r="BA2789" s="2"/>
      <c r="BB2789" s="2"/>
    </row>
    <row r="2790">
      <c r="A2790" s="2"/>
      <c r="B2790" s="2" t="str">
        <f>IFERROR(__xludf.DUMMYFUNCTION("""COMPUTED_VALUE"""),"")</f>
        <v/>
      </c>
      <c r="C2790" s="2"/>
      <c r="D2790" s="71"/>
      <c r="E2790" s="71" t="str">
        <f>IFERROR(__xludf.DUMMYFUNCTION("""COMPUTED_VALUE""")," ")</f>
        <v> </v>
      </c>
      <c r="F2790" s="2"/>
      <c r="G2790" s="2"/>
      <c r="H2790" s="2"/>
      <c r="I2790" s="72"/>
      <c r="J2790" s="72"/>
      <c r="K2790" s="72"/>
      <c r="L2790" s="72"/>
      <c r="M2790" s="2"/>
      <c r="N2790" s="2"/>
      <c r="O2790" s="2"/>
      <c r="P2790" s="2"/>
      <c r="Q2790" s="2"/>
      <c r="R2790" s="2"/>
      <c r="S2790" s="2"/>
      <c r="T2790" s="2"/>
      <c r="U2790" s="2"/>
      <c r="V2790" s="2"/>
      <c r="W2790" s="2"/>
      <c r="X2790" s="2"/>
      <c r="Y2790" s="2"/>
      <c r="Z2790" s="2"/>
      <c r="AA2790" s="2"/>
      <c r="AB2790" s="2"/>
      <c r="AC2790" s="2"/>
      <c r="AD2790" s="2"/>
      <c r="AE2790" s="2"/>
      <c r="AF2790" s="2"/>
      <c r="AG2790" s="2"/>
      <c r="AH2790" s="2"/>
      <c r="AI2790" s="2"/>
      <c r="AJ2790" s="2" t="str">
        <f>IFERROR(__xludf.DUMMYFUNCTION("""COMPUTED_VALUE"""),"")</f>
        <v/>
      </c>
      <c r="AK2790" s="2" t="str">
        <f>IFERROR(__xludf.DUMMYFUNCTION("""COMPUTED_VALUE"""),"")</f>
        <v/>
      </c>
      <c r="AL2790" s="2" t="str">
        <f>IFERROR(__xludf.DUMMYFUNCTION("""COMPUTED_VALUE"""),"")</f>
        <v/>
      </c>
      <c r="AM2790" s="2" t="str">
        <f>IFERROR(__xludf.DUMMYFUNCTION("""COMPUTED_VALUE"""),"")</f>
        <v/>
      </c>
      <c r="AN2790" s="2" t="str">
        <f>IFERROR(__xludf.DUMMYFUNCTION("""COMPUTED_VALUE""")," ")</f>
        <v> </v>
      </c>
      <c r="AO2790" s="2" t="str">
        <f>IFERROR(__xludf.DUMMYFUNCTION("""COMPUTED_VALUE""")," ")</f>
        <v> </v>
      </c>
      <c r="AP2790" s="2" t="str">
        <f>IFERROR(__xludf.DUMMYFUNCTION("""COMPUTED_VALUE"""),"")</f>
        <v/>
      </c>
      <c r="AQ2790" s="2"/>
      <c r="AR2790" s="2"/>
      <c r="AS2790" s="2"/>
      <c r="AT2790" s="2"/>
      <c r="AU2790" s="2"/>
      <c r="AV2790" s="2"/>
      <c r="AW2790" s="2"/>
      <c r="AX2790" s="2"/>
      <c r="AY2790" s="2"/>
      <c r="AZ2790" s="2"/>
      <c r="BA2790" s="2"/>
      <c r="BB2790" s="2"/>
    </row>
    <row r="2791">
      <c r="A2791" s="2"/>
      <c r="B2791" s="2" t="str">
        <f>IFERROR(__xludf.DUMMYFUNCTION("""COMPUTED_VALUE"""),"")</f>
        <v/>
      </c>
      <c r="C2791" s="2"/>
      <c r="D2791" s="71"/>
      <c r="E2791" s="71" t="str">
        <f>IFERROR(__xludf.DUMMYFUNCTION("""COMPUTED_VALUE""")," ")</f>
        <v> </v>
      </c>
      <c r="F2791" s="2"/>
      <c r="G2791" s="2"/>
      <c r="H2791" s="2"/>
      <c r="I2791" s="72"/>
      <c r="J2791" s="72"/>
      <c r="K2791" s="72"/>
      <c r="L2791" s="72"/>
      <c r="M2791" s="2"/>
      <c r="N2791" s="2"/>
      <c r="O2791" s="2"/>
      <c r="P2791" s="2"/>
      <c r="Q2791" s="2"/>
      <c r="R2791" s="2"/>
      <c r="S2791" s="2"/>
      <c r="T2791" s="2"/>
      <c r="U2791" s="2"/>
      <c r="V2791" s="2"/>
      <c r="W2791" s="2"/>
      <c r="X2791" s="2"/>
      <c r="Y2791" s="2"/>
      <c r="Z2791" s="2"/>
      <c r="AA2791" s="2"/>
      <c r="AB2791" s="2"/>
      <c r="AC2791" s="2"/>
      <c r="AD2791" s="2"/>
      <c r="AE2791" s="2"/>
      <c r="AF2791" s="2"/>
      <c r="AG2791" s="2"/>
      <c r="AH2791" s="2"/>
      <c r="AI2791" s="2"/>
      <c r="AJ2791" s="2" t="str">
        <f>IFERROR(__xludf.DUMMYFUNCTION("""COMPUTED_VALUE"""),"")</f>
        <v/>
      </c>
      <c r="AK2791" s="2" t="str">
        <f>IFERROR(__xludf.DUMMYFUNCTION("""COMPUTED_VALUE"""),"")</f>
        <v/>
      </c>
      <c r="AL2791" s="2" t="str">
        <f>IFERROR(__xludf.DUMMYFUNCTION("""COMPUTED_VALUE"""),"")</f>
        <v/>
      </c>
      <c r="AM2791" s="2" t="str">
        <f>IFERROR(__xludf.DUMMYFUNCTION("""COMPUTED_VALUE"""),"")</f>
        <v/>
      </c>
      <c r="AN2791" s="2" t="str">
        <f>IFERROR(__xludf.DUMMYFUNCTION("""COMPUTED_VALUE""")," ")</f>
        <v> </v>
      </c>
      <c r="AO2791" s="2" t="str">
        <f>IFERROR(__xludf.DUMMYFUNCTION("""COMPUTED_VALUE""")," ")</f>
        <v> </v>
      </c>
      <c r="AP2791" s="2" t="str">
        <f>IFERROR(__xludf.DUMMYFUNCTION("""COMPUTED_VALUE"""),"")</f>
        <v/>
      </c>
      <c r="AQ2791" s="2"/>
      <c r="AR2791" s="2"/>
      <c r="AS2791" s="2"/>
      <c r="AT2791" s="2"/>
      <c r="AU2791" s="2"/>
      <c r="AV2791" s="2"/>
      <c r="AW2791" s="2"/>
      <c r="AX2791" s="2"/>
      <c r="AY2791" s="2"/>
      <c r="AZ2791" s="2"/>
      <c r="BA2791" s="2"/>
      <c r="BB2791" s="2"/>
    </row>
    <row r="2792">
      <c r="A2792" s="2"/>
      <c r="B2792" s="2" t="str">
        <f>IFERROR(__xludf.DUMMYFUNCTION("""COMPUTED_VALUE"""),"")</f>
        <v/>
      </c>
      <c r="C2792" s="2"/>
      <c r="D2792" s="71"/>
      <c r="E2792" s="71" t="str">
        <f>IFERROR(__xludf.DUMMYFUNCTION("""COMPUTED_VALUE""")," ")</f>
        <v> </v>
      </c>
      <c r="F2792" s="2"/>
      <c r="G2792" s="2"/>
      <c r="H2792" s="2"/>
      <c r="I2792" s="72"/>
      <c r="J2792" s="72"/>
      <c r="K2792" s="72"/>
      <c r="L2792" s="72"/>
      <c r="M2792" s="2"/>
      <c r="N2792" s="2"/>
      <c r="O2792" s="2"/>
      <c r="P2792" s="2"/>
      <c r="Q2792" s="2"/>
      <c r="R2792" s="2"/>
      <c r="S2792" s="2"/>
      <c r="T2792" s="2"/>
      <c r="U2792" s="2"/>
      <c r="V2792" s="2"/>
      <c r="W2792" s="2"/>
      <c r="X2792" s="2"/>
      <c r="Y2792" s="2"/>
      <c r="Z2792" s="2"/>
      <c r="AA2792" s="2"/>
      <c r="AB2792" s="2"/>
      <c r="AC2792" s="2"/>
      <c r="AD2792" s="2"/>
      <c r="AE2792" s="2"/>
      <c r="AF2792" s="2"/>
      <c r="AG2792" s="2"/>
      <c r="AH2792" s="2"/>
      <c r="AI2792" s="2"/>
      <c r="AJ2792" s="2" t="str">
        <f>IFERROR(__xludf.DUMMYFUNCTION("""COMPUTED_VALUE"""),"")</f>
        <v/>
      </c>
      <c r="AK2792" s="2" t="str">
        <f>IFERROR(__xludf.DUMMYFUNCTION("""COMPUTED_VALUE"""),"")</f>
        <v/>
      </c>
      <c r="AL2792" s="2" t="str">
        <f>IFERROR(__xludf.DUMMYFUNCTION("""COMPUTED_VALUE"""),"")</f>
        <v/>
      </c>
      <c r="AM2792" s="2" t="str">
        <f>IFERROR(__xludf.DUMMYFUNCTION("""COMPUTED_VALUE"""),"")</f>
        <v/>
      </c>
      <c r="AN2792" s="2" t="str">
        <f>IFERROR(__xludf.DUMMYFUNCTION("""COMPUTED_VALUE""")," ")</f>
        <v> </v>
      </c>
      <c r="AO2792" s="2" t="str">
        <f>IFERROR(__xludf.DUMMYFUNCTION("""COMPUTED_VALUE""")," ")</f>
        <v> </v>
      </c>
      <c r="AP2792" s="2" t="str">
        <f>IFERROR(__xludf.DUMMYFUNCTION("""COMPUTED_VALUE"""),"")</f>
        <v/>
      </c>
      <c r="AQ2792" s="2"/>
      <c r="AR2792" s="2"/>
      <c r="AS2792" s="2"/>
      <c r="AT2792" s="2"/>
      <c r="AU2792" s="2"/>
      <c r="AV2792" s="2"/>
      <c r="AW2792" s="2"/>
      <c r="AX2792" s="2"/>
      <c r="AY2792" s="2"/>
      <c r="AZ2792" s="2"/>
      <c r="BA2792" s="2"/>
      <c r="BB2792" s="2"/>
    </row>
    <row r="2793">
      <c r="A2793" s="2"/>
      <c r="B2793" s="2" t="str">
        <f>IFERROR(__xludf.DUMMYFUNCTION("""COMPUTED_VALUE"""),"")</f>
        <v/>
      </c>
      <c r="C2793" s="2"/>
      <c r="D2793" s="71"/>
      <c r="E2793" s="71" t="str">
        <f>IFERROR(__xludf.DUMMYFUNCTION("""COMPUTED_VALUE""")," ")</f>
        <v> </v>
      </c>
      <c r="F2793" s="2"/>
      <c r="G2793" s="2"/>
      <c r="H2793" s="2"/>
      <c r="I2793" s="72"/>
      <c r="J2793" s="72"/>
      <c r="K2793" s="72"/>
      <c r="L2793" s="72"/>
      <c r="M2793" s="2"/>
      <c r="N2793" s="2"/>
      <c r="O2793" s="2"/>
      <c r="P2793" s="2"/>
      <c r="Q2793" s="2"/>
      <c r="R2793" s="2"/>
      <c r="S2793" s="2"/>
      <c r="T2793" s="2"/>
      <c r="U2793" s="2"/>
      <c r="V2793" s="2"/>
      <c r="W2793" s="2"/>
      <c r="X2793" s="2"/>
      <c r="Y2793" s="2"/>
      <c r="Z2793" s="2"/>
      <c r="AA2793" s="2"/>
      <c r="AB2793" s="2"/>
      <c r="AC2793" s="2"/>
      <c r="AD2793" s="2"/>
      <c r="AE2793" s="2"/>
      <c r="AF2793" s="2"/>
      <c r="AG2793" s="2"/>
      <c r="AH2793" s="2"/>
      <c r="AI2793" s="2"/>
      <c r="AJ2793" s="2" t="str">
        <f>IFERROR(__xludf.DUMMYFUNCTION("""COMPUTED_VALUE"""),"")</f>
        <v/>
      </c>
      <c r="AK2793" s="2" t="str">
        <f>IFERROR(__xludf.DUMMYFUNCTION("""COMPUTED_VALUE"""),"")</f>
        <v/>
      </c>
      <c r="AL2793" s="2" t="str">
        <f>IFERROR(__xludf.DUMMYFUNCTION("""COMPUTED_VALUE"""),"")</f>
        <v/>
      </c>
      <c r="AM2793" s="2" t="str">
        <f>IFERROR(__xludf.DUMMYFUNCTION("""COMPUTED_VALUE"""),"")</f>
        <v/>
      </c>
      <c r="AN2793" s="2" t="str">
        <f>IFERROR(__xludf.DUMMYFUNCTION("""COMPUTED_VALUE""")," ")</f>
        <v> </v>
      </c>
      <c r="AO2793" s="2" t="str">
        <f>IFERROR(__xludf.DUMMYFUNCTION("""COMPUTED_VALUE""")," ")</f>
        <v> </v>
      </c>
      <c r="AP2793" s="2" t="str">
        <f>IFERROR(__xludf.DUMMYFUNCTION("""COMPUTED_VALUE"""),"")</f>
        <v/>
      </c>
      <c r="AQ2793" s="2"/>
      <c r="AR2793" s="2"/>
      <c r="AS2793" s="2"/>
      <c r="AT2793" s="2"/>
      <c r="AU2793" s="2"/>
      <c r="AV2793" s="2"/>
      <c r="AW2793" s="2"/>
      <c r="AX2793" s="2"/>
      <c r="AY2793" s="2"/>
      <c r="AZ2793" s="2"/>
      <c r="BA2793" s="2"/>
      <c r="BB2793" s="2"/>
    </row>
    <row r="2794">
      <c r="A2794" s="2"/>
      <c r="B2794" s="2" t="str">
        <f>IFERROR(__xludf.DUMMYFUNCTION("""COMPUTED_VALUE"""),"")</f>
        <v/>
      </c>
      <c r="C2794" s="2"/>
      <c r="D2794" s="71"/>
      <c r="E2794" s="71" t="str">
        <f>IFERROR(__xludf.DUMMYFUNCTION("""COMPUTED_VALUE""")," ")</f>
        <v> </v>
      </c>
      <c r="F2794" s="2"/>
      <c r="G2794" s="2"/>
      <c r="H2794" s="2"/>
      <c r="I2794" s="72"/>
      <c r="J2794" s="72"/>
      <c r="K2794" s="72"/>
      <c r="L2794" s="72"/>
      <c r="M2794" s="2"/>
      <c r="N2794" s="2"/>
      <c r="O2794" s="2"/>
      <c r="P2794" s="2"/>
      <c r="Q2794" s="2"/>
      <c r="R2794" s="2"/>
      <c r="S2794" s="2"/>
      <c r="T2794" s="2"/>
      <c r="U2794" s="2"/>
      <c r="V2794" s="2"/>
      <c r="W2794" s="2"/>
      <c r="X2794" s="2"/>
      <c r="Y2794" s="2"/>
      <c r="Z2794" s="2"/>
      <c r="AA2794" s="2"/>
      <c r="AB2794" s="2"/>
      <c r="AC2794" s="2"/>
      <c r="AD2794" s="2"/>
      <c r="AE2794" s="2"/>
      <c r="AF2794" s="2"/>
      <c r="AG2794" s="2"/>
      <c r="AH2794" s="2"/>
      <c r="AI2794" s="2"/>
      <c r="AJ2794" s="2" t="str">
        <f>IFERROR(__xludf.DUMMYFUNCTION("""COMPUTED_VALUE"""),"")</f>
        <v/>
      </c>
      <c r="AK2794" s="2" t="str">
        <f>IFERROR(__xludf.DUMMYFUNCTION("""COMPUTED_VALUE"""),"")</f>
        <v/>
      </c>
      <c r="AL2794" s="2" t="str">
        <f>IFERROR(__xludf.DUMMYFUNCTION("""COMPUTED_VALUE"""),"")</f>
        <v/>
      </c>
      <c r="AM2794" s="2" t="str">
        <f>IFERROR(__xludf.DUMMYFUNCTION("""COMPUTED_VALUE"""),"")</f>
        <v/>
      </c>
      <c r="AN2794" s="2" t="str">
        <f>IFERROR(__xludf.DUMMYFUNCTION("""COMPUTED_VALUE""")," ")</f>
        <v> </v>
      </c>
      <c r="AO2794" s="2" t="str">
        <f>IFERROR(__xludf.DUMMYFUNCTION("""COMPUTED_VALUE""")," ")</f>
        <v> </v>
      </c>
      <c r="AP2794" s="2" t="str">
        <f>IFERROR(__xludf.DUMMYFUNCTION("""COMPUTED_VALUE"""),"")</f>
        <v/>
      </c>
      <c r="AQ2794" s="2"/>
      <c r="AR2794" s="2"/>
      <c r="AS2794" s="2"/>
      <c r="AT2794" s="2"/>
      <c r="AU2794" s="2"/>
      <c r="AV2794" s="2"/>
      <c r="AW2794" s="2"/>
      <c r="AX2794" s="2"/>
      <c r="AY2794" s="2"/>
      <c r="AZ2794" s="2"/>
      <c r="BA2794" s="2"/>
      <c r="BB2794" s="2"/>
    </row>
    <row r="2795">
      <c r="A2795" s="2"/>
      <c r="B2795" s="2" t="str">
        <f>IFERROR(__xludf.DUMMYFUNCTION("""COMPUTED_VALUE"""),"")</f>
        <v/>
      </c>
      <c r="C2795" s="2"/>
      <c r="D2795" s="71"/>
      <c r="E2795" s="71" t="str">
        <f>IFERROR(__xludf.DUMMYFUNCTION("""COMPUTED_VALUE""")," ")</f>
        <v> </v>
      </c>
      <c r="F2795" s="2"/>
      <c r="G2795" s="2"/>
      <c r="H2795" s="2"/>
      <c r="I2795" s="72"/>
      <c r="J2795" s="72"/>
      <c r="K2795" s="72"/>
      <c r="L2795" s="72"/>
      <c r="M2795" s="2"/>
      <c r="N2795" s="2"/>
      <c r="O2795" s="2"/>
      <c r="P2795" s="2"/>
      <c r="Q2795" s="2"/>
      <c r="R2795" s="2"/>
      <c r="S2795" s="2"/>
      <c r="T2795" s="2"/>
      <c r="U2795" s="2"/>
      <c r="V2795" s="2"/>
      <c r="W2795" s="2"/>
      <c r="X2795" s="2"/>
      <c r="Y2795" s="2"/>
      <c r="Z2795" s="2"/>
      <c r="AA2795" s="2"/>
      <c r="AB2795" s="2"/>
      <c r="AC2795" s="2"/>
      <c r="AD2795" s="2"/>
      <c r="AE2795" s="2"/>
      <c r="AF2795" s="2"/>
      <c r="AG2795" s="2"/>
      <c r="AH2795" s="2"/>
      <c r="AI2795" s="2"/>
      <c r="AJ2795" s="2" t="str">
        <f>IFERROR(__xludf.DUMMYFUNCTION("""COMPUTED_VALUE"""),"")</f>
        <v/>
      </c>
      <c r="AK2795" s="2" t="str">
        <f>IFERROR(__xludf.DUMMYFUNCTION("""COMPUTED_VALUE"""),"")</f>
        <v/>
      </c>
      <c r="AL2795" s="2" t="str">
        <f>IFERROR(__xludf.DUMMYFUNCTION("""COMPUTED_VALUE"""),"")</f>
        <v/>
      </c>
      <c r="AM2795" s="2" t="str">
        <f>IFERROR(__xludf.DUMMYFUNCTION("""COMPUTED_VALUE"""),"")</f>
        <v/>
      </c>
      <c r="AN2795" s="2" t="str">
        <f>IFERROR(__xludf.DUMMYFUNCTION("""COMPUTED_VALUE""")," ")</f>
        <v> </v>
      </c>
      <c r="AO2795" s="2" t="str">
        <f>IFERROR(__xludf.DUMMYFUNCTION("""COMPUTED_VALUE""")," ")</f>
        <v> </v>
      </c>
      <c r="AP2795" s="2" t="str">
        <f>IFERROR(__xludf.DUMMYFUNCTION("""COMPUTED_VALUE"""),"")</f>
        <v/>
      </c>
      <c r="AQ2795" s="2"/>
      <c r="AR2795" s="2"/>
      <c r="AS2795" s="2"/>
      <c r="AT2795" s="2"/>
      <c r="AU2795" s="2"/>
      <c r="AV2795" s="2"/>
      <c r="AW2795" s="2"/>
      <c r="AX2795" s="2"/>
      <c r="AY2795" s="2"/>
      <c r="AZ2795" s="2"/>
      <c r="BA2795" s="2"/>
      <c r="BB2795" s="2"/>
    </row>
    <row r="2796">
      <c r="A2796" s="2"/>
      <c r="B2796" s="2" t="str">
        <f>IFERROR(__xludf.DUMMYFUNCTION("""COMPUTED_VALUE"""),"")</f>
        <v/>
      </c>
      <c r="C2796" s="2"/>
      <c r="D2796" s="71"/>
      <c r="E2796" s="71" t="str">
        <f>IFERROR(__xludf.DUMMYFUNCTION("""COMPUTED_VALUE""")," ")</f>
        <v> </v>
      </c>
      <c r="F2796" s="2"/>
      <c r="G2796" s="2"/>
      <c r="H2796" s="2"/>
      <c r="I2796" s="72"/>
      <c r="J2796" s="72"/>
      <c r="K2796" s="72"/>
      <c r="L2796" s="72"/>
      <c r="M2796" s="2"/>
      <c r="N2796" s="2"/>
      <c r="O2796" s="2"/>
      <c r="P2796" s="2"/>
      <c r="Q2796" s="2"/>
      <c r="R2796" s="2"/>
      <c r="S2796" s="2"/>
      <c r="T2796" s="2"/>
      <c r="U2796" s="2"/>
      <c r="V2796" s="2"/>
      <c r="W2796" s="2"/>
      <c r="X2796" s="2"/>
      <c r="Y2796" s="2"/>
      <c r="Z2796" s="2"/>
      <c r="AA2796" s="2"/>
      <c r="AB2796" s="2"/>
      <c r="AC2796" s="2"/>
      <c r="AD2796" s="2"/>
      <c r="AE2796" s="2"/>
      <c r="AF2796" s="2"/>
      <c r="AG2796" s="2"/>
      <c r="AH2796" s="2"/>
      <c r="AI2796" s="2"/>
      <c r="AJ2796" s="2" t="str">
        <f>IFERROR(__xludf.DUMMYFUNCTION("""COMPUTED_VALUE"""),"")</f>
        <v/>
      </c>
      <c r="AK2796" s="2" t="str">
        <f>IFERROR(__xludf.DUMMYFUNCTION("""COMPUTED_VALUE"""),"")</f>
        <v/>
      </c>
      <c r="AL2796" s="2" t="str">
        <f>IFERROR(__xludf.DUMMYFUNCTION("""COMPUTED_VALUE"""),"")</f>
        <v/>
      </c>
      <c r="AM2796" s="2" t="str">
        <f>IFERROR(__xludf.DUMMYFUNCTION("""COMPUTED_VALUE"""),"")</f>
        <v/>
      </c>
      <c r="AN2796" s="2" t="str">
        <f>IFERROR(__xludf.DUMMYFUNCTION("""COMPUTED_VALUE""")," ")</f>
        <v> </v>
      </c>
      <c r="AO2796" s="2" t="str">
        <f>IFERROR(__xludf.DUMMYFUNCTION("""COMPUTED_VALUE""")," ")</f>
        <v> </v>
      </c>
      <c r="AP2796" s="2" t="str">
        <f>IFERROR(__xludf.DUMMYFUNCTION("""COMPUTED_VALUE"""),"")</f>
        <v/>
      </c>
      <c r="AQ2796" s="2"/>
      <c r="AR2796" s="2"/>
      <c r="AS2796" s="2"/>
      <c r="AT2796" s="2"/>
      <c r="AU2796" s="2"/>
      <c r="AV2796" s="2"/>
      <c r="AW2796" s="2"/>
      <c r="AX2796" s="2"/>
      <c r="AY2796" s="2"/>
      <c r="AZ2796" s="2"/>
      <c r="BA2796" s="2"/>
      <c r="BB2796" s="2"/>
    </row>
    <row r="2797">
      <c r="A2797" s="2"/>
      <c r="B2797" s="2" t="str">
        <f>IFERROR(__xludf.DUMMYFUNCTION("""COMPUTED_VALUE"""),"")</f>
        <v/>
      </c>
      <c r="C2797" s="2"/>
      <c r="D2797" s="71"/>
      <c r="E2797" s="71" t="str">
        <f>IFERROR(__xludf.DUMMYFUNCTION("""COMPUTED_VALUE""")," ")</f>
        <v> </v>
      </c>
      <c r="F2797" s="2"/>
      <c r="G2797" s="2"/>
      <c r="H2797" s="2"/>
      <c r="I2797" s="72"/>
      <c r="J2797" s="72"/>
      <c r="K2797" s="72"/>
      <c r="L2797" s="72"/>
      <c r="M2797" s="2"/>
      <c r="N2797" s="2"/>
      <c r="O2797" s="2"/>
      <c r="P2797" s="2"/>
      <c r="Q2797" s="2"/>
      <c r="R2797" s="2"/>
      <c r="S2797" s="2"/>
      <c r="T2797" s="2"/>
      <c r="U2797" s="2"/>
      <c r="V2797" s="2"/>
      <c r="W2797" s="2"/>
      <c r="X2797" s="2"/>
      <c r="Y2797" s="2"/>
      <c r="Z2797" s="2"/>
      <c r="AA2797" s="2"/>
      <c r="AB2797" s="2"/>
      <c r="AC2797" s="2"/>
      <c r="AD2797" s="2"/>
      <c r="AE2797" s="2"/>
      <c r="AF2797" s="2"/>
      <c r="AG2797" s="2"/>
      <c r="AH2797" s="2"/>
      <c r="AI2797" s="2"/>
      <c r="AJ2797" s="2" t="str">
        <f>IFERROR(__xludf.DUMMYFUNCTION("""COMPUTED_VALUE"""),"")</f>
        <v/>
      </c>
      <c r="AK2797" s="2" t="str">
        <f>IFERROR(__xludf.DUMMYFUNCTION("""COMPUTED_VALUE"""),"")</f>
        <v/>
      </c>
      <c r="AL2797" s="2" t="str">
        <f>IFERROR(__xludf.DUMMYFUNCTION("""COMPUTED_VALUE"""),"")</f>
        <v/>
      </c>
      <c r="AM2797" s="2" t="str">
        <f>IFERROR(__xludf.DUMMYFUNCTION("""COMPUTED_VALUE"""),"")</f>
        <v/>
      </c>
      <c r="AN2797" s="2" t="str">
        <f>IFERROR(__xludf.DUMMYFUNCTION("""COMPUTED_VALUE""")," ")</f>
        <v> </v>
      </c>
      <c r="AO2797" s="2" t="str">
        <f>IFERROR(__xludf.DUMMYFUNCTION("""COMPUTED_VALUE""")," ")</f>
        <v> </v>
      </c>
      <c r="AP2797" s="2" t="str">
        <f>IFERROR(__xludf.DUMMYFUNCTION("""COMPUTED_VALUE"""),"")</f>
        <v/>
      </c>
      <c r="AQ2797" s="2"/>
      <c r="AR2797" s="2"/>
      <c r="AS2797" s="2"/>
      <c r="AT2797" s="2"/>
      <c r="AU2797" s="2"/>
      <c r="AV2797" s="2"/>
      <c r="AW2797" s="2"/>
      <c r="AX2797" s="2"/>
      <c r="AY2797" s="2"/>
      <c r="AZ2797" s="2"/>
      <c r="BA2797" s="2"/>
      <c r="BB2797" s="2"/>
    </row>
    <row r="2798">
      <c r="A2798" s="2"/>
      <c r="B2798" s="2" t="str">
        <f>IFERROR(__xludf.DUMMYFUNCTION("""COMPUTED_VALUE"""),"")</f>
        <v/>
      </c>
      <c r="C2798" s="2"/>
      <c r="D2798" s="71"/>
      <c r="E2798" s="71" t="str">
        <f>IFERROR(__xludf.DUMMYFUNCTION("""COMPUTED_VALUE""")," ")</f>
        <v> </v>
      </c>
      <c r="F2798" s="2"/>
      <c r="G2798" s="2"/>
      <c r="H2798" s="2"/>
      <c r="I2798" s="72"/>
      <c r="J2798" s="72"/>
      <c r="K2798" s="72"/>
      <c r="L2798" s="72"/>
      <c r="M2798" s="2"/>
      <c r="N2798" s="2"/>
      <c r="O2798" s="2"/>
      <c r="P2798" s="2"/>
      <c r="Q2798" s="2"/>
      <c r="R2798" s="2"/>
      <c r="S2798" s="2"/>
      <c r="T2798" s="2"/>
      <c r="U2798" s="2"/>
      <c r="V2798" s="2"/>
      <c r="W2798" s="2"/>
      <c r="X2798" s="2"/>
      <c r="Y2798" s="2"/>
      <c r="Z2798" s="2"/>
      <c r="AA2798" s="2"/>
      <c r="AB2798" s="2"/>
      <c r="AC2798" s="2"/>
      <c r="AD2798" s="2"/>
      <c r="AE2798" s="2"/>
      <c r="AF2798" s="2"/>
      <c r="AG2798" s="2"/>
      <c r="AH2798" s="2"/>
      <c r="AI2798" s="2"/>
      <c r="AJ2798" s="2" t="str">
        <f>IFERROR(__xludf.DUMMYFUNCTION("""COMPUTED_VALUE"""),"")</f>
        <v/>
      </c>
      <c r="AK2798" s="2" t="str">
        <f>IFERROR(__xludf.DUMMYFUNCTION("""COMPUTED_VALUE"""),"")</f>
        <v/>
      </c>
      <c r="AL2798" s="2" t="str">
        <f>IFERROR(__xludf.DUMMYFUNCTION("""COMPUTED_VALUE"""),"")</f>
        <v/>
      </c>
      <c r="AM2798" s="2" t="str">
        <f>IFERROR(__xludf.DUMMYFUNCTION("""COMPUTED_VALUE"""),"")</f>
        <v/>
      </c>
      <c r="AN2798" s="2" t="str">
        <f>IFERROR(__xludf.DUMMYFUNCTION("""COMPUTED_VALUE""")," ")</f>
        <v> </v>
      </c>
      <c r="AO2798" s="2" t="str">
        <f>IFERROR(__xludf.DUMMYFUNCTION("""COMPUTED_VALUE""")," ")</f>
        <v> </v>
      </c>
      <c r="AP2798" s="2" t="str">
        <f>IFERROR(__xludf.DUMMYFUNCTION("""COMPUTED_VALUE"""),"")</f>
        <v/>
      </c>
      <c r="AQ2798" s="2"/>
      <c r="AR2798" s="2"/>
      <c r="AS2798" s="2"/>
      <c r="AT2798" s="2"/>
      <c r="AU2798" s="2"/>
      <c r="AV2798" s="2"/>
      <c r="AW2798" s="2"/>
      <c r="AX2798" s="2"/>
      <c r="AY2798" s="2"/>
      <c r="AZ2798" s="2"/>
      <c r="BA2798" s="2"/>
      <c r="BB2798" s="2"/>
    </row>
    <row r="2799">
      <c r="A2799" s="2"/>
      <c r="B2799" s="2" t="str">
        <f>IFERROR(__xludf.DUMMYFUNCTION("""COMPUTED_VALUE"""),"")</f>
        <v/>
      </c>
      <c r="C2799" s="2"/>
      <c r="D2799" s="71"/>
      <c r="E2799" s="71" t="str">
        <f>IFERROR(__xludf.DUMMYFUNCTION("""COMPUTED_VALUE""")," ")</f>
        <v> </v>
      </c>
      <c r="F2799" s="2"/>
      <c r="G2799" s="2"/>
      <c r="H2799" s="2"/>
      <c r="I2799" s="72"/>
      <c r="J2799" s="72"/>
      <c r="K2799" s="72"/>
      <c r="L2799" s="72"/>
      <c r="M2799" s="2"/>
      <c r="N2799" s="2"/>
      <c r="O2799" s="2"/>
      <c r="P2799" s="2"/>
      <c r="Q2799" s="2"/>
      <c r="R2799" s="2"/>
      <c r="S2799" s="2"/>
      <c r="T2799" s="2"/>
      <c r="U2799" s="2"/>
      <c r="V2799" s="2"/>
      <c r="W2799" s="2"/>
      <c r="X2799" s="2"/>
      <c r="Y2799" s="2"/>
      <c r="Z2799" s="2"/>
      <c r="AA2799" s="2"/>
      <c r="AB2799" s="2"/>
      <c r="AC2799" s="2"/>
      <c r="AD2799" s="2"/>
      <c r="AE2799" s="2"/>
      <c r="AF2799" s="2"/>
      <c r="AG2799" s="2"/>
      <c r="AH2799" s="2"/>
      <c r="AI2799" s="2"/>
      <c r="AJ2799" s="2" t="str">
        <f>IFERROR(__xludf.DUMMYFUNCTION("""COMPUTED_VALUE"""),"")</f>
        <v/>
      </c>
      <c r="AK2799" s="2" t="str">
        <f>IFERROR(__xludf.DUMMYFUNCTION("""COMPUTED_VALUE"""),"")</f>
        <v/>
      </c>
      <c r="AL2799" s="2" t="str">
        <f>IFERROR(__xludf.DUMMYFUNCTION("""COMPUTED_VALUE"""),"")</f>
        <v/>
      </c>
      <c r="AM2799" s="2" t="str">
        <f>IFERROR(__xludf.DUMMYFUNCTION("""COMPUTED_VALUE"""),"")</f>
        <v/>
      </c>
      <c r="AN2799" s="2" t="str">
        <f>IFERROR(__xludf.DUMMYFUNCTION("""COMPUTED_VALUE""")," ")</f>
        <v> </v>
      </c>
      <c r="AO2799" s="2" t="str">
        <f>IFERROR(__xludf.DUMMYFUNCTION("""COMPUTED_VALUE""")," ")</f>
        <v> </v>
      </c>
      <c r="AP2799" s="2" t="str">
        <f>IFERROR(__xludf.DUMMYFUNCTION("""COMPUTED_VALUE"""),"")</f>
        <v/>
      </c>
      <c r="AQ2799" s="2"/>
      <c r="AR2799" s="2"/>
      <c r="AS2799" s="2"/>
      <c r="AT2799" s="2"/>
      <c r="AU2799" s="2"/>
      <c r="AV2799" s="2"/>
      <c r="AW2799" s="2"/>
      <c r="AX2799" s="2"/>
      <c r="AY2799" s="2"/>
      <c r="AZ2799" s="2"/>
      <c r="BA2799" s="2"/>
      <c r="BB2799" s="2"/>
    </row>
    <row r="2800">
      <c r="A2800" s="2"/>
      <c r="B2800" s="2" t="str">
        <f>IFERROR(__xludf.DUMMYFUNCTION("""COMPUTED_VALUE"""),"")</f>
        <v/>
      </c>
      <c r="C2800" s="2"/>
      <c r="D2800" s="71"/>
      <c r="E2800" s="71" t="str">
        <f>IFERROR(__xludf.DUMMYFUNCTION("""COMPUTED_VALUE""")," ")</f>
        <v> </v>
      </c>
      <c r="F2800" s="2"/>
      <c r="G2800" s="2"/>
      <c r="H2800" s="2"/>
      <c r="I2800" s="72"/>
      <c r="J2800" s="72"/>
      <c r="K2800" s="72"/>
      <c r="L2800" s="72"/>
      <c r="M2800" s="2"/>
      <c r="N2800" s="2"/>
      <c r="O2800" s="2"/>
      <c r="P2800" s="2"/>
      <c r="Q2800" s="2"/>
      <c r="R2800" s="2"/>
      <c r="S2800" s="2"/>
      <c r="T2800" s="2"/>
      <c r="U2800" s="2"/>
      <c r="V2800" s="2"/>
      <c r="W2800" s="2"/>
      <c r="X2800" s="2"/>
      <c r="Y2800" s="2"/>
      <c r="Z2800" s="2"/>
      <c r="AA2800" s="2"/>
      <c r="AB2800" s="2"/>
      <c r="AC2800" s="2"/>
      <c r="AD2800" s="2"/>
      <c r="AE2800" s="2"/>
      <c r="AF2800" s="2"/>
      <c r="AG2800" s="2"/>
      <c r="AH2800" s="2"/>
      <c r="AI2800" s="2"/>
      <c r="AJ2800" s="2" t="str">
        <f>IFERROR(__xludf.DUMMYFUNCTION("""COMPUTED_VALUE"""),"")</f>
        <v/>
      </c>
      <c r="AK2800" s="2" t="str">
        <f>IFERROR(__xludf.DUMMYFUNCTION("""COMPUTED_VALUE"""),"")</f>
        <v/>
      </c>
      <c r="AL2800" s="2" t="str">
        <f>IFERROR(__xludf.DUMMYFUNCTION("""COMPUTED_VALUE"""),"")</f>
        <v/>
      </c>
      <c r="AM2800" s="2" t="str">
        <f>IFERROR(__xludf.DUMMYFUNCTION("""COMPUTED_VALUE"""),"")</f>
        <v/>
      </c>
      <c r="AN2800" s="2" t="str">
        <f>IFERROR(__xludf.DUMMYFUNCTION("""COMPUTED_VALUE""")," ")</f>
        <v> </v>
      </c>
      <c r="AO2800" s="2" t="str">
        <f>IFERROR(__xludf.DUMMYFUNCTION("""COMPUTED_VALUE""")," ")</f>
        <v> </v>
      </c>
      <c r="AP2800" s="2" t="str">
        <f>IFERROR(__xludf.DUMMYFUNCTION("""COMPUTED_VALUE"""),"")</f>
        <v/>
      </c>
      <c r="AQ2800" s="2"/>
      <c r="AR2800" s="2"/>
      <c r="AS2800" s="2"/>
      <c r="AT2800" s="2"/>
      <c r="AU2800" s="2"/>
      <c r="AV2800" s="2"/>
      <c r="AW2800" s="2"/>
      <c r="AX2800" s="2"/>
      <c r="AY2800" s="2"/>
      <c r="AZ2800" s="2"/>
      <c r="BA2800" s="2"/>
      <c r="BB2800" s="2"/>
    </row>
    <row r="2801">
      <c r="A2801" s="2"/>
      <c r="B2801" s="2" t="str">
        <f>IFERROR(__xludf.DUMMYFUNCTION("""COMPUTED_VALUE"""),"")</f>
        <v/>
      </c>
      <c r="C2801" s="2"/>
      <c r="D2801" s="71"/>
      <c r="E2801" s="71" t="str">
        <f>IFERROR(__xludf.DUMMYFUNCTION("""COMPUTED_VALUE""")," ")</f>
        <v> </v>
      </c>
      <c r="F2801" s="2"/>
      <c r="G2801" s="2"/>
      <c r="H2801" s="2"/>
      <c r="I2801" s="72"/>
      <c r="J2801" s="72"/>
      <c r="K2801" s="72"/>
      <c r="L2801" s="72"/>
      <c r="M2801" s="2"/>
      <c r="N2801" s="2"/>
      <c r="O2801" s="2"/>
      <c r="P2801" s="2"/>
      <c r="Q2801" s="2"/>
      <c r="R2801" s="2"/>
      <c r="S2801" s="2"/>
      <c r="T2801" s="2"/>
      <c r="U2801" s="2"/>
      <c r="V2801" s="2"/>
      <c r="W2801" s="2"/>
      <c r="X2801" s="2"/>
      <c r="Y2801" s="2"/>
      <c r="Z2801" s="2"/>
      <c r="AA2801" s="2"/>
      <c r="AB2801" s="2"/>
      <c r="AC2801" s="2"/>
      <c r="AD2801" s="2"/>
      <c r="AE2801" s="2"/>
      <c r="AF2801" s="2"/>
      <c r="AG2801" s="2"/>
      <c r="AH2801" s="2"/>
      <c r="AI2801" s="2"/>
      <c r="AJ2801" s="2" t="str">
        <f>IFERROR(__xludf.DUMMYFUNCTION("""COMPUTED_VALUE"""),"")</f>
        <v/>
      </c>
      <c r="AK2801" s="2" t="str">
        <f>IFERROR(__xludf.DUMMYFUNCTION("""COMPUTED_VALUE"""),"")</f>
        <v/>
      </c>
      <c r="AL2801" s="2" t="str">
        <f>IFERROR(__xludf.DUMMYFUNCTION("""COMPUTED_VALUE"""),"")</f>
        <v/>
      </c>
      <c r="AM2801" s="2" t="str">
        <f>IFERROR(__xludf.DUMMYFUNCTION("""COMPUTED_VALUE"""),"")</f>
        <v/>
      </c>
      <c r="AN2801" s="2" t="str">
        <f>IFERROR(__xludf.DUMMYFUNCTION("""COMPUTED_VALUE""")," ")</f>
        <v> </v>
      </c>
      <c r="AO2801" s="2" t="str">
        <f>IFERROR(__xludf.DUMMYFUNCTION("""COMPUTED_VALUE""")," ")</f>
        <v> </v>
      </c>
      <c r="AP2801" s="2" t="str">
        <f>IFERROR(__xludf.DUMMYFUNCTION("""COMPUTED_VALUE"""),"")</f>
        <v/>
      </c>
      <c r="AQ2801" s="2"/>
      <c r="AR2801" s="2"/>
      <c r="AS2801" s="2"/>
      <c r="AT2801" s="2"/>
      <c r="AU2801" s="2"/>
      <c r="AV2801" s="2"/>
      <c r="AW2801" s="2"/>
      <c r="AX2801" s="2"/>
      <c r="AY2801" s="2"/>
      <c r="AZ2801" s="2"/>
      <c r="BA2801" s="2"/>
      <c r="BB2801" s="2"/>
    </row>
    <row r="2802">
      <c r="A2802" s="2"/>
      <c r="B2802" s="2" t="str">
        <f>IFERROR(__xludf.DUMMYFUNCTION("""COMPUTED_VALUE"""),"")</f>
        <v/>
      </c>
      <c r="C2802" s="2"/>
      <c r="D2802" s="71"/>
      <c r="E2802" s="71" t="str">
        <f>IFERROR(__xludf.DUMMYFUNCTION("""COMPUTED_VALUE""")," ")</f>
        <v> </v>
      </c>
      <c r="F2802" s="2"/>
      <c r="G2802" s="2"/>
      <c r="H2802" s="2"/>
      <c r="I2802" s="72"/>
      <c r="J2802" s="72"/>
      <c r="K2802" s="72"/>
      <c r="L2802" s="72"/>
      <c r="M2802" s="2"/>
      <c r="N2802" s="2"/>
      <c r="O2802" s="2"/>
      <c r="P2802" s="2"/>
      <c r="Q2802" s="2"/>
      <c r="R2802" s="2"/>
      <c r="S2802" s="2"/>
      <c r="T2802" s="2"/>
      <c r="U2802" s="2"/>
      <c r="V2802" s="2"/>
      <c r="W2802" s="2"/>
      <c r="X2802" s="2"/>
      <c r="Y2802" s="2"/>
      <c r="Z2802" s="2"/>
      <c r="AA2802" s="2"/>
      <c r="AB2802" s="2"/>
      <c r="AC2802" s="2"/>
      <c r="AD2802" s="2"/>
      <c r="AE2802" s="2"/>
      <c r="AF2802" s="2"/>
      <c r="AG2802" s="2"/>
      <c r="AH2802" s="2"/>
      <c r="AI2802" s="2"/>
      <c r="AJ2802" s="2" t="str">
        <f>IFERROR(__xludf.DUMMYFUNCTION("""COMPUTED_VALUE"""),"")</f>
        <v/>
      </c>
      <c r="AK2802" s="2" t="str">
        <f>IFERROR(__xludf.DUMMYFUNCTION("""COMPUTED_VALUE"""),"")</f>
        <v/>
      </c>
      <c r="AL2802" s="2" t="str">
        <f>IFERROR(__xludf.DUMMYFUNCTION("""COMPUTED_VALUE"""),"")</f>
        <v/>
      </c>
      <c r="AM2802" s="2" t="str">
        <f>IFERROR(__xludf.DUMMYFUNCTION("""COMPUTED_VALUE"""),"")</f>
        <v/>
      </c>
      <c r="AN2802" s="2" t="str">
        <f>IFERROR(__xludf.DUMMYFUNCTION("""COMPUTED_VALUE""")," ")</f>
        <v> </v>
      </c>
      <c r="AO2802" s="2" t="str">
        <f>IFERROR(__xludf.DUMMYFUNCTION("""COMPUTED_VALUE""")," ")</f>
        <v> </v>
      </c>
      <c r="AP2802" s="2" t="str">
        <f>IFERROR(__xludf.DUMMYFUNCTION("""COMPUTED_VALUE"""),"")</f>
        <v/>
      </c>
      <c r="AQ2802" s="2"/>
      <c r="AR2802" s="2"/>
      <c r="AS2802" s="2"/>
      <c r="AT2802" s="2"/>
      <c r="AU2802" s="2"/>
      <c r="AV2802" s="2"/>
      <c r="AW2802" s="2"/>
      <c r="AX2802" s="2"/>
      <c r="AY2802" s="2"/>
      <c r="AZ2802" s="2"/>
      <c r="BA2802" s="2"/>
      <c r="BB2802" s="2"/>
    </row>
    <row r="2803">
      <c r="A2803" s="2"/>
      <c r="B2803" s="2" t="str">
        <f>IFERROR(__xludf.DUMMYFUNCTION("""COMPUTED_VALUE"""),"")</f>
        <v/>
      </c>
      <c r="C2803" s="2"/>
      <c r="D2803" s="71"/>
      <c r="E2803" s="71" t="str">
        <f>IFERROR(__xludf.DUMMYFUNCTION("""COMPUTED_VALUE""")," ")</f>
        <v> </v>
      </c>
      <c r="F2803" s="2"/>
      <c r="G2803" s="2"/>
      <c r="H2803" s="2"/>
      <c r="I2803" s="72"/>
      <c r="J2803" s="72"/>
      <c r="K2803" s="72"/>
      <c r="L2803" s="72"/>
      <c r="M2803" s="2"/>
      <c r="N2803" s="2"/>
      <c r="O2803" s="2"/>
      <c r="P2803" s="2"/>
      <c r="Q2803" s="2"/>
      <c r="R2803" s="2"/>
      <c r="S2803" s="2"/>
      <c r="T2803" s="2"/>
      <c r="U2803" s="2"/>
      <c r="V2803" s="2"/>
      <c r="W2803" s="2"/>
      <c r="X2803" s="2"/>
      <c r="Y2803" s="2"/>
      <c r="Z2803" s="2"/>
      <c r="AA2803" s="2"/>
      <c r="AB2803" s="2"/>
      <c r="AC2803" s="2"/>
      <c r="AD2803" s="2"/>
      <c r="AE2803" s="2"/>
      <c r="AF2803" s="2"/>
      <c r="AG2803" s="2"/>
      <c r="AH2803" s="2"/>
      <c r="AI2803" s="2"/>
      <c r="AJ2803" s="2" t="str">
        <f>IFERROR(__xludf.DUMMYFUNCTION("""COMPUTED_VALUE"""),"")</f>
        <v/>
      </c>
      <c r="AK2803" s="2" t="str">
        <f>IFERROR(__xludf.DUMMYFUNCTION("""COMPUTED_VALUE"""),"")</f>
        <v/>
      </c>
      <c r="AL2803" s="2" t="str">
        <f>IFERROR(__xludf.DUMMYFUNCTION("""COMPUTED_VALUE"""),"")</f>
        <v/>
      </c>
      <c r="AM2803" s="2" t="str">
        <f>IFERROR(__xludf.DUMMYFUNCTION("""COMPUTED_VALUE"""),"")</f>
        <v/>
      </c>
      <c r="AN2803" s="2" t="str">
        <f>IFERROR(__xludf.DUMMYFUNCTION("""COMPUTED_VALUE""")," ")</f>
        <v> </v>
      </c>
      <c r="AO2803" s="2" t="str">
        <f>IFERROR(__xludf.DUMMYFUNCTION("""COMPUTED_VALUE""")," ")</f>
        <v> </v>
      </c>
      <c r="AP2803" s="2" t="str">
        <f>IFERROR(__xludf.DUMMYFUNCTION("""COMPUTED_VALUE"""),"")</f>
        <v/>
      </c>
      <c r="AQ2803" s="2"/>
      <c r="AR2803" s="2"/>
      <c r="AS2803" s="2"/>
      <c r="AT2803" s="2"/>
      <c r="AU2803" s="2"/>
      <c r="AV2803" s="2"/>
      <c r="AW2803" s="2"/>
      <c r="AX2803" s="2"/>
      <c r="AY2803" s="2"/>
      <c r="AZ2803" s="2"/>
      <c r="BA2803" s="2"/>
      <c r="BB2803" s="2"/>
    </row>
    <row r="2804">
      <c r="A2804" s="2"/>
      <c r="B2804" s="2" t="str">
        <f>IFERROR(__xludf.DUMMYFUNCTION("""COMPUTED_VALUE"""),"")</f>
        <v/>
      </c>
      <c r="C2804" s="2"/>
      <c r="D2804" s="71"/>
      <c r="E2804" s="71" t="str">
        <f>IFERROR(__xludf.DUMMYFUNCTION("""COMPUTED_VALUE""")," ")</f>
        <v> </v>
      </c>
      <c r="F2804" s="2"/>
      <c r="G2804" s="2"/>
      <c r="H2804" s="2"/>
      <c r="I2804" s="72"/>
      <c r="J2804" s="72"/>
      <c r="K2804" s="72"/>
      <c r="L2804" s="72"/>
      <c r="M2804" s="2"/>
      <c r="N2804" s="2"/>
      <c r="O2804" s="2"/>
      <c r="P2804" s="2"/>
      <c r="Q2804" s="2"/>
      <c r="R2804" s="2"/>
      <c r="S2804" s="2"/>
      <c r="T2804" s="2"/>
      <c r="U2804" s="2"/>
      <c r="V2804" s="2"/>
      <c r="W2804" s="2"/>
      <c r="X2804" s="2"/>
      <c r="Y2804" s="2"/>
      <c r="Z2804" s="2"/>
      <c r="AA2804" s="2"/>
      <c r="AB2804" s="2"/>
      <c r="AC2804" s="2"/>
      <c r="AD2804" s="2"/>
      <c r="AE2804" s="2"/>
      <c r="AF2804" s="2"/>
      <c r="AG2804" s="2"/>
      <c r="AH2804" s="2"/>
      <c r="AI2804" s="2"/>
      <c r="AJ2804" s="2" t="str">
        <f>IFERROR(__xludf.DUMMYFUNCTION("""COMPUTED_VALUE"""),"")</f>
        <v/>
      </c>
      <c r="AK2804" s="2" t="str">
        <f>IFERROR(__xludf.DUMMYFUNCTION("""COMPUTED_VALUE"""),"")</f>
        <v/>
      </c>
      <c r="AL2804" s="2" t="str">
        <f>IFERROR(__xludf.DUMMYFUNCTION("""COMPUTED_VALUE"""),"")</f>
        <v/>
      </c>
      <c r="AM2804" s="2" t="str">
        <f>IFERROR(__xludf.DUMMYFUNCTION("""COMPUTED_VALUE"""),"")</f>
        <v/>
      </c>
      <c r="AN2804" s="2" t="str">
        <f>IFERROR(__xludf.DUMMYFUNCTION("""COMPUTED_VALUE""")," ")</f>
        <v> </v>
      </c>
      <c r="AO2804" s="2" t="str">
        <f>IFERROR(__xludf.DUMMYFUNCTION("""COMPUTED_VALUE""")," ")</f>
        <v> </v>
      </c>
      <c r="AP2804" s="2" t="str">
        <f>IFERROR(__xludf.DUMMYFUNCTION("""COMPUTED_VALUE"""),"")</f>
        <v/>
      </c>
      <c r="AQ2804" s="2"/>
      <c r="AR2804" s="2"/>
      <c r="AS2804" s="2"/>
      <c r="AT2804" s="2"/>
      <c r="AU2804" s="2"/>
      <c r="AV2804" s="2"/>
      <c r="AW2804" s="2"/>
      <c r="AX2804" s="2"/>
      <c r="AY2804" s="2"/>
      <c r="AZ2804" s="2"/>
      <c r="BA2804" s="2"/>
      <c r="BB2804" s="2"/>
    </row>
    <row r="2805">
      <c r="A2805" s="2"/>
      <c r="B2805" s="2" t="str">
        <f>IFERROR(__xludf.DUMMYFUNCTION("""COMPUTED_VALUE"""),"")</f>
        <v/>
      </c>
      <c r="C2805" s="2"/>
      <c r="D2805" s="71"/>
      <c r="E2805" s="71" t="str">
        <f>IFERROR(__xludf.DUMMYFUNCTION("""COMPUTED_VALUE""")," ")</f>
        <v> </v>
      </c>
      <c r="F2805" s="2"/>
      <c r="G2805" s="2"/>
      <c r="H2805" s="2"/>
      <c r="I2805" s="72"/>
      <c r="J2805" s="72"/>
      <c r="K2805" s="72"/>
      <c r="L2805" s="72"/>
      <c r="M2805" s="2"/>
      <c r="N2805" s="2"/>
      <c r="O2805" s="2"/>
      <c r="P2805" s="2"/>
      <c r="Q2805" s="2"/>
      <c r="R2805" s="2"/>
      <c r="S2805" s="2"/>
      <c r="T2805" s="2"/>
      <c r="U2805" s="2"/>
      <c r="V2805" s="2"/>
      <c r="W2805" s="2"/>
      <c r="X2805" s="2"/>
      <c r="Y2805" s="2"/>
      <c r="Z2805" s="2"/>
      <c r="AA2805" s="2"/>
      <c r="AB2805" s="2"/>
      <c r="AC2805" s="2"/>
      <c r="AD2805" s="2"/>
      <c r="AE2805" s="2"/>
      <c r="AF2805" s="2"/>
      <c r="AG2805" s="2"/>
      <c r="AH2805" s="2"/>
      <c r="AI2805" s="2"/>
      <c r="AJ2805" s="2" t="str">
        <f>IFERROR(__xludf.DUMMYFUNCTION("""COMPUTED_VALUE"""),"")</f>
        <v/>
      </c>
      <c r="AK2805" s="2" t="str">
        <f>IFERROR(__xludf.DUMMYFUNCTION("""COMPUTED_VALUE"""),"")</f>
        <v/>
      </c>
      <c r="AL2805" s="2" t="str">
        <f>IFERROR(__xludf.DUMMYFUNCTION("""COMPUTED_VALUE"""),"")</f>
        <v/>
      </c>
      <c r="AM2805" s="2" t="str">
        <f>IFERROR(__xludf.DUMMYFUNCTION("""COMPUTED_VALUE"""),"")</f>
        <v/>
      </c>
      <c r="AN2805" s="2" t="str">
        <f>IFERROR(__xludf.DUMMYFUNCTION("""COMPUTED_VALUE""")," ")</f>
        <v> </v>
      </c>
      <c r="AO2805" s="2" t="str">
        <f>IFERROR(__xludf.DUMMYFUNCTION("""COMPUTED_VALUE""")," ")</f>
        <v> </v>
      </c>
      <c r="AP2805" s="2" t="str">
        <f>IFERROR(__xludf.DUMMYFUNCTION("""COMPUTED_VALUE"""),"")</f>
        <v/>
      </c>
      <c r="AQ2805" s="2"/>
      <c r="AR2805" s="2"/>
      <c r="AS2805" s="2"/>
      <c r="AT2805" s="2"/>
      <c r="AU2805" s="2"/>
      <c r="AV2805" s="2"/>
      <c r="AW2805" s="2"/>
      <c r="AX2805" s="2"/>
      <c r="AY2805" s="2"/>
      <c r="AZ2805" s="2"/>
      <c r="BA2805" s="2"/>
      <c r="BB2805" s="2"/>
    </row>
    <row r="2806">
      <c r="A2806" s="2"/>
      <c r="B2806" s="2" t="str">
        <f>IFERROR(__xludf.DUMMYFUNCTION("""COMPUTED_VALUE"""),"")</f>
        <v/>
      </c>
      <c r="C2806" s="2"/>
      <c r="D2806" s="71"/>
      <c r="E2806" s="71" t="str">
        <f>IFERROR(__xludf.DUMMYFUNCTION("""COMPUTED_VALUE""")," ")</f>
        <v> </v>
      </c>
      <c r="F2806" s="2"/>
      <c r="G2806" s="2"/>
      <c r="H2806" s="2"/>
      <c r="I2806" s="72"/>
      <c r="J2806" s="72"/>
      <c r="K2806" s="72"/>
      <c r="L2806" s="72"/>
      <c r="M2806" s="2"/>
      <c r="N2806" s="2"/>
      <c r="O2806" s="2"/>
      <c r="P2806" s="2"/>
      <c r="Q2806" s="2"/>
      <c r="R2806" s="2"/>
      <c r="S2806" s="2"/>
      <c r="T2806" s="2"/>
      <c r="U2806" s="2"/>
      <c r="V2806" s="2"/>
      <c r="W2806" s="2"/>
      <c r="X2806" s="2"/>
      <c r="Y2806" s="2"/>
      <c r="Z2806" s="2"/>
      <c r="AA2806" s="2"/>
      <c r="AB2806" s="2"/>
      <c r="AC2806" s="2"/>
      <c r="AD2806" s="2"/>
      <c r="AE2806" s="2"/>
      <c r="AF2806" s="2"/>
      <c r="AG2806" s="2"/>
      <c r="AH2806" s="2"/>
      <c r="AI2806" s="2"/>
      <c r="AJ2806" s="2" t="str">
        <f>IFERROR(__xludf.DUMMYFUNCTION("""COMPUTED_VALUE"""),"")</f>
        <v/>
      </c>
      <c r="AK2806" s="2" t="str">
        <f>IFERROR(__xludf.DUMMYFUNCTION("""COMPUTED_VALUE"""),"")</f>
        <v/>
      </c>
      <c r="AL2806" s="2" t="str">
        <f>IFERROR(__xludf.DUMMYFUNCTION("""COMPUTED_VALUE"""),"")</f>
        <v/>
      </c>
      <c r="AM2806" s="2" t="str">
        <f>IFERROR(__xludf.DUMMYFUNCTION("""COMPUTED_VALUE"""),"")</f>
        <v/>
      </c>
      <c r="AN2806" s="2" t="str">
        <f>IFERROR(__xludf.DUMMYFUNCTION("""COMPUTED_VALUE""")," ")</f>
        <v> </v>
      </c>
      <c r="AO2806" s="2" t="str">
        <f>IFERROR(__xludf.DUMMYFUNCTION("""COMPUTED_VALUE""")," ")</f>
        <v> </v>
      </c>
      <c r="AP2806" s="2" t="str">
        <f>IFERROR(__xludf.DUMMYFUNCTION("""COMPUTED_VALUE"""),"")</f>
        <v/>
      </c>
      <c r="AQ2806" s="2"/>
      <c r="AR2806" s="2"/>
      <c r="AS2806" s="2"/>
      <c r="AT2806" s="2"/>
      <c r="AU2806" s="2"/>
      <c r="AV2806" s="2"/>
      <c r="AW2806" s="2"/>
      <c r="AX2806" s="2"/>
      <c r="AY2806" s="2"/>
      <c r="AZ2806" s="2"/>
      <c r="BA2806" s="2"/>
      <c r="BB2806" s="2"/>
    </row>
    <row r="2807">
      <c r="A2807" s="2"/>
      <c r="B2807" s="2" t="str">
        <f>IFERROR(__xludf.DUMMYFUNCTION("""COMPUTED_VALUE"""),"")</f>
        <v/>
      </c>
      <c r="C2807" s="2"/>
      <c r="D2807" s="71"/>
      <c r="E2807" s="71" t="str">
        <f>IFERROR(__xludf.DUMMYFUNCTION("""COMPUTED_VALUE""")," ")</f>
        <v> </v>
      </c>
      <c r="F2807" s="2"/>
      <c r="G2807" s="2"/>
      <c r="H2807" s="2"/>
      <c r="I2807" s="72"/>
      <c r="J2807" s="72"/>
      <c r="K2807" s="72"/>
      <c r="L2807" s="72"/>
      <c r="M2807" s="2"/>
      <c r="N2807" s="2"/>
      <c r="O2807" s="2"/>
      <c r="P2807" s="2"/>
      <c r="Q2807" s="2"/>
      <c r="R2807" s="2"/>
      <c r="S2807" s="2"/>
      <c r="T2807" s="2"/>
      <c r="U2807" s="2"/>
      <c r="V2807" s="2"/>
      <c r="W2807" s="2"/>
      <c r="X2807" s="2"/>
      <c r="Y2807" s="2"/>
      <c r="Z2807" s="2"/>
      <c r="AA2807" s="2"/>
      <c r="AB2807" s="2"/>
      <c r="AC2807" s="2"/>
      <c r="AD2807" s="2"/>
      <c r="AE2807" s="2"/>
      <c r="AF2807" s="2"/>
      <c r="AG2807" s="2"/>
      <c r="AH2807" s="2"/>
      <c r="AI2807" s="2"/>
      <c r="AJ2807" s="2" t="str">
        <f>IFERROR(__xludf.DUMMYFUNCTION("""COMPUTED_VALUE"""),"")</f>
        <v/>
      </c>
      <c r="AK2807" s="2" t="str">
        <f>IFERROR(__xludf.DUMMYFUNCTION("""COMPUTED_VALUE"""),"")</f>
        <v/>
      </c>
      <c r="AL2807" s="2" t="str">
        <f>IFERROR(__xludf.DUMMYFUNCTION("""COMPUTED_VALUE"""),"")</f>
        <v/>
      </c>
      <c r="AM2807" s="2" t="str">
        <f>IFERROR(__xludf.DUMMYFUNCTION("""COMPUTED_VALUE"""),"")</f>
        <v/>
      </c>
      <c r="AN2807" s="2" t="str">
        <f>IFERROR(__xludf.DUMMYFUNCTION("""COMPUTED_VALUE""")," ")</f>
        <v> </v>
      </c>
      <c r="AO2807" s="2" t="str">
        <f>IFERROR(__xludf.DUMMYFUNCTION("""COMPUTED_VALUE""")," ")</f>
        <v> </v>
      </c>
      <c r="AP2807" s="2" t="str">
        <f>IFERROR(__xludf.DUMMYFUNCTION("""COMPUTED_VALUE"""),"")</f>
        <v/>
      </c>
      <c r="AQ2807" s="2"/>
      <c r="AR2807" s="2"/>
      <c r="AS2807" s="2"/>
      <c r="AT2807" s="2"/>
      <c r="AU2807" s="2"/>
      <c r="AV2807" s="2"/>
      <c r="AW2807" s="2"/>
      <c r="AX2807" s="2"/>
      <c r="AY2807" s="2"/>
      <c r="AZ2807" s="2"/>
      <c r="BA2807" s="2"/>
      <c r="BB2807" s="2"/>
    </row>
    <row r="2808">
      <c r="A2808" s="2"/>
      <c r="B2808" s="2" t="str">
        <f>IFERROR(__xludf.DUMMYFUNCTION("""COMPUTED_VALUE"""),"")</f>
        <v/>
      </c>
      <c r="C2808" s="2"/>
      <c r="D2808" s="71"/>
      <c r="E2808" s="71" t="str">
        <f>IFERROR(__xludf.DUMMYFUNCTION("""COMPUTED_VALUE""")," ")</f>
        <v> </v>
      </c>
      <c r="F2808" s="2"/>
      <c r="G2808" s="2"/>
      <c r="H2808" s="2"/>
      <c r="I2808" s="72"/>
      <c r="J2808" s="72"/>
      <c r="K2808" s="72"/>
      <c r="L2808" s="72"/>
      <c r="M2808" s="2"/>
      <c r="N2808" s="2"/>
      <c r="O2808" s="2"/>
      <c r="P2808" s="2"/>
      <c r="Q2808" s="2"/>
      <c r="R2808" s="2"/>
      <c r="S2808" s="2"/>
      <c r="T2808" s="2"/>
      <c r="U2808" s="2"/>
      <c r="V2808" s="2"/>
      <c r="W2808" s="2"/>
      <c r="X2808" s="2"/>
      <c r="Y2808" s="2"/>
      <c r="Z2808" s="2"/>
      <c r="AA2808" s="2"/>
      <c r="AB2808" s="2"/>
      <c r="AC2808" s="2"/>
      <c r="AD2808" s="2"/>
      <c r="AE2808" s="2"/>
      <c r="AF2808" s="2"/>
      <c r="AG2808" s="2"/>
      <c r="AH2808" s="2"/>
      <c r="AI2808" s="2"/>
      <c r="AJ2808" s="2" t="str">
        <f>IFERROR(__xludf.DUMMYFUNCTION("""COMPUTED_VALUE"""),"")</f>
        <v/>
      </c>
      <c r="AK2808" s="2" t="str">
        <f>IFERROR(__xludf.DUMMYFUNCTION("""COMPUTED_VALUE"""),"")</f>
        <v/>
      </c>
      <c r="AL2808" s="2" t="str">
        <f>IFERROR(__xludf.DUMMYFUNCTION("""COMPUTED_VALUE"""),"")</f>
        <v/>
      </c>
      <c r="AM2808" s="2" t="str">
        <f>IFERROR(__xludf.DUMMYFUNCTION("""COMPUTED_VALUE"""),"")</f>
        <v/>
      </c>
      <c r="AN2808" s="2" t="str">
        <f>IFERROR(__xludf.DUMMYFUNCTION("""COMPUTED_VALUE""")," ")</f>
        <v> </v>
      </c>
      <c r="AO2808" s="2" t="str">
        <f>IFERROR(__xludf.DUMMYFUNCTION("""COMPUTED_VALUE""")," ")</f>
        <v> </v>
      </c>
      <c r="AP2808" s="2" t="str">
        <f>IFERROR(__xludf.DUMMYFUNCTION("""COMPUTED_VALUE"""),"")</f>
        <v/>
      </c>
      <c r="AQ2808" s="2"/>
      <c r="AR2808" s="2"/>
      <c r="AS2808" s="2"/>
      <c r="AT2808" s="2"/>
      <c r="AU2808" s="2"/>
      <c r="AV2808" s="2"/>
      <c r="AW2808" s="2"/>
      <c r="AX2808" s="2"/>
      <c r="AY2808" s="2"/>
      <c r="AZ2808" s="2"/>
      <c r="BA2808" s="2"/>
      <c r="BB2808" s="2"/>
    </row>
    <row r="2809">
      <c r="A2809" s="2"/>
      <c r="B2809" s="2" t="str">
        <f>IFERROR(__xludf.DUMMYFUNCTION("""COMPUTED_VALUE"""),"")</f>
        <v/>
      </c>
      <c r="C2809" s="2"/>
      <c r="D2809" s="71"/>
      <c r="E2809" s="71" t="str">
        <f>IFERROR(__xludf.DUMMYFUNCTION("""COMPUTED_VALUE""")," ")</f>
        <v> </v>
      </c>
      <c r="F2809" s="2"/>
      <c r="G2809" s="2"/>
      <c r="H2809" s="2"/>
      <c r="I2809" s="72"/>
      <c r="J2809" s="72"/>
      <c r="K2809" s="72"/>
      <c r="L2809" s="72"/>
      <c r="M2809" s="2"/>
      <c r="N2809" s="2"/>
      <c r="O2809" s="2"/>
      <c r="P2809" s="2"/>
      <c r="Q2809" s="2"/>
      <c r="R2809" s="2"/>
      <c r="S2809" s="2"/>
      <c r="T2809" s="2"/>
      <c r="U2809" s="2"/>
      <c r="V2809" s="2"/>
      <c r="W2809" s="2"/>
      <c r="X2809" s="2"/>
      <c r="Y2809" s="2"/>
      <c r="Z2809" s="2"/>
      <c r="AA2809" s="2"/>
      <c r="AB2809" s="2"/>
      <c r="AC2809" s="2"/>
      <c r="AD2809" s="2"/>
      <c r="AE2809" s="2"/>
      <c r="AF2809" s="2"/>
      <c r="AG2809" s="2"/>
      <c r="AH2809" s="2"/>
      <c r="AI2809" s="2"/>
      <c r="AJ2809" s="2" t="str">
        <f>IFERROR(__xludf.DUMMYFUNCTION("""COMPUTED_VALUE"""),"")</f>
        <v/>
      </c>
      <c r="AK2809" s="2" t="str">
        <f>IFERROR(__xludf.DUMMYFUNCTION("""COMPUTED_VALUE"""),"")</f>
        <v/>
      </c>
      <c r="AL2809" s="2" t="str">
        <f>IFERROR(__xludf.DUMMYFUNCTION("""COMPUTED_VALUE"""),"")</f>
        <v/>
      </c>
      <c r="AM2809" s="2" t="str">
        <f>IFERROR(__xludf.DUMMYFUNCTION("""COMPUTED_VALUE"""),"")</f>
        <v/>
      </c>
      <c r="AN2809" s="2" t="str">
        <f>IFERROR(__xludf.DUMMYFUNCTION("""COMPUTED_VALUE""")," ")</f>
        <v> </v>
      </c>
      <c r="AO2809" s="2" t="str">
        <f>IFERROR(__xludf.DUMMYFUNCTION("""COMPUTED_VALUE""")," ")</f>
        <v> </v>
      </c>
      <c r="AP2809" s="2" t="str">
        <f>IFERROR(__xludf.DUMMYFUNCTION("""COMPUTED_VALUE"""),"")</f>
        <v/>
      </c>
      <c r="AQ2809" s="2"/>
      <c r="AR2809" s="2"/>
      <c r="AS2809" s="2"/>
      <c r="AT2809" s="2"/>
      <c r="AU2809" s="2"/>
      <c r="AV2809" s="2"/>
      <c r="AW2809" s="2"/>
      <c r="AX2809" s="2"/>
      <c r="AY2809" s="2"/>
      <c r="AZ2809" s="2"/>
      <c r="BA2809" s="2"/>
      <c r="BB2809" s="2"/>
    </row>
    <row r="2810">
      <c r="A2810" s="2"/>
      <c r="B2810" s="2" t="str">
        <f>IFERROR(__xludf.DUMMYFUNCTION("""COMPUTED_VALUE"""),"")</f>
        <v/>
      </c>
      <c r="C2810" s="2"/>
      <c r="D2810" s="71"/>
      <c r="E2810" s="71" t="str">
        <f>IFERROR(__xludf.DUMMYFUNCTION("""COMPUTED_VALUE""")," ")</f>
        <v> </v>
      </c>
      <c r="F2810" s="2"/>
      <c r="G2810" s="2"/>
      <c r="H2810" s="2"/>
      <c r="I2810" s="72"/>
      <c r="J2810" s="72"/>
      <c r="K2810" s="72"/>
      <c r="L2810" s="72"/>
      <c r="M2810" s="2"/>
      <c r="N2810" s="2"/>
      <c r="O2810" s="2"/>
      <c r="P2810" s="2"/>
      <c r="Q2810" s="2"/>
      <c r="R2810" s="2"/>
      <c r="S2810" s="2"/>
      <c r="T2810" s="2"/>
      <c r="U2810" s="2"/>
      <c r="V2810" s="2"/>
      <c r="W2810" s="2"/>
      <c r="X2810" s="2"/>
      <c r="Y2810" s="2"/>
      <c r="Z2810" s="2"/>
      <c r="AA2810" s="2"/>
      <c r="AB2810" s="2"/>
      <c r="AC2810" s="2"/>
      <c r="AD2810" s="2"/>
      <c r="AE2810" s="2"/>
      <c r="AF2810" s="2"/>
      <c r="AG2810" s="2"/>
      <c r="AH2810" s="2"/>
      <c r="AI2810" s="2"/>
      <c r="AJ2810" s="2" t="str">
        <f>IFERROR(__xludf.DUMMYFUNCTION("""COMPUTED_VALUE"""),"")</f>
        <v/>
      </c>
      <c r="AK2810" s="2" t="str">
        <f>IFERROR(__xludf.DUMMYFUNCTION("""COMPUTED_VALUE"""),"")</f>
        <v/>
      </c>
      <c r="AL2810" s="2" t="str">
        <f>IFERROR(__xludf.DUMMYFUNCTION("""COMPUTED_VALUE"""),"")</f>
        <v/>
      </c>
      <c r="AM2810" s="2" t="str">
        <f>IFERROR(__xludf.DUMMYFUNCTION("""COMPUTED_VALUE"""),"")</f>
        <v/>
      </c>
      <c r="AN2810" s="2" t="str">
        <f>IFERROR(__xludf.DUMMYFUNCTION("""COMPUTED_VALUE""")," ")</f>
        <v> </v>
      </c>
      <c r="AO2810" s="2" t="str">
        <f>IFERROR(__xludf.DUMMYFUNCTION("""COMPUTED_VALUE""")," ")</f>
        <v> </v>
      </c>
      <c r="AP2810" s="2" t="str">
        <f>IFERROR(__xludf.DUMMYFUNCTION("""COMPUTED_VALUE"""),"")</f>
        <v/>
      </c>
      <c r="AQ2810" s="2"/>
      <c r="AR2810" s="2"/>
      <c r="AS2810" s="2"/>
      <c r="AT2810" s="2"/>
      <c r="AU2810" s="2"/>
      <c r="AV2810" s="2"/>
      <c r="AW2810" s="2"/>
      <c r="AX2810" s="2"/>
      <c r="AY2810" s="2"/>
      <c r="AZ2810" s="2"/>
      <c r="BA2810" s="2"/>
      <c r="BB2810" s="2"/>
    </row>
    <row r="2811">
      <c r="A2811" s="2"/>
      <c r="B2811" s="2" t="str">
        <f>IFERROR(__xludf.DUMMYFUNCTION("""COMPUTED_VALUE"""),"")</f>
        <v/>
      </c>
      <c r="C2811" s="2"/>
      <c r="D2811" s="71"/>
      <c r="E2811" s="71" t="str">
        <f>IFERROR(__xludf.DUMMYFUNCTION("""COMPUTED_VALUE""")," ")</f>
        <v> </v>
      </c>
      <c r="F2811" s="2"/>
      <c r="G2811" s="2"/>
      <c r="H2811" s="2"/>
      <c r="I2811" s="72"/>
      <c r="J2811" s="72"/>
      <c r="K2811" s="72"/>
      <c r="L2811" s="72"/>
      <c r="M2811" s="2"/>
      <c r="N2811" s="2"/>
      <c r="O2811" s="2"/>
      <c r="P2811" s="2"/>
      <c r="Q2811" s="2"/>
      <c r="R2811" s="2"/>
      <c r="S2811" s="2"/>
      <c r="T2811" s="2"/>
      <c r="U2811" s="2"/>
      <c r="V2811" s="2"/>
      <c r="W2811" s="2"/>
      <c r="X2811" s="2"/>
      <c r="Y2811" s="2"/>
      <c r="Z2811" s="2"/>
      <c r="AA2811" s="2"/>
      <c r="AB2811" s="2"/>
      <c r="AC2811" s="2"/>
      <c r="AD2811" s="2"/>
      <c r="AE2811" s="2"/>
      <c r="AF2811" s="2"/>
      <c r="AG2811" s="2"/>
      <c r="AH2811" s="2"/>
      <c r="AI2811" s="2"/>
      <c r="AJ2811" s="2" t="str">
        <f>IFERROR(__xludf.DUMMYFUNCTION("""COMPUTED_VALUE"""),"")</f>
        <v/>
      </c>
      <c r="AK2811" s="2" t="str">
        <f>IFERROR(__xludf.DUMMYFUNCTION("""COMPUTED_VALUE"""),"")</f>
        <v/>
      </c>
      <c r="AL2811" s="2" t="str">
        <f>IFERROR(__xludf.DUMMYFUNCTION("""COMPUTED_VALUE"""),"")</f>
        <v/>
      </c>
      <c r="AM2811" s="2" t="str">
        <f>IFERROR(__xludf.DUMMYFUNCTION("""COMPUTED_VALUE"""),"")</f>
        <v/>
      </c>
      <c r="AN2811" s="2" t="str">
        <f>IFERROR(__xludf.DUMMYFUNCTION("""COMPUTED_VALUE""")," ")</f>
        <v> </v>
      </c>
      <c r="AO2811" s="2" t="str">
        <f>IFERROR(__xludf.DUMMYFUNCTION("""COMPUTED_VALUE""")," ")</f>
        <v> </v>
      </c>
      <c r="AP2811" s="2" t="str">
        <f>IFERROR(__xludf.DUMMYFUNCTION("""COMPUTED_VALUE"""),"")</f>
        <v/>
      </c>
      <c r="AQ2811" s="2"/>
      <c r="AR2811" s="2"/>
      <c r="AS2811" s="2"/>
      <c r="AT2811" s="2"/>
      <c r="AU2811" s="2"/>
      <c r="AV2811" s="2"/>
      <c r="AW2811" s="2"/>
      <c r="AX2811" s="2"/>
      <c r="AY2811" s="2"/>
      <c r="AZ2811" s="2"/>
      <c r="BA2811" s="2"/>
      <c r="BB2811" s="2"/>
    </row>
    <row r="2812">
      <c r="A2812" s="2"/>
      <c r="B2812" s="2" t="str">
        <f>IFERROR(__xludf.DUMMYFUNCTION("""COMPUTED_VALUE"""),"")</f>
        <v/>
      </c>
      <c r="C2812" s="2"/>
      <c r="D2812" s="71"/>
      <c r="E2812" s="71" t="str">
        <f>IFERROR(__xludf.DUMMYFUNCTION("""COMPUTED_VALUE""")," ")</f>
        <v> </v>
      </c>
      <c r="F2812" s="2"/>
      <c r="G2812" s="2"/>
      <c r="H2812" s="2"/>
      <c r="I2812" s="72"/>
      <c r="J2812" s="72"/>
      <c r="K2812" s="72"/>
      <c r="L2812" s="72"/>
      <c r="M2812" s="2"/>
      <c r="N2812" s="2"/>
      <c r="O2812" s="2"/>
      <c r="P2812" s="2"/>
      <c r="Q2812" s="2"/>
      <c r="R2812" s="2"/>
      <c r="S2812" s="2"/>
      <c r="T2812" s="2"/>
      <c r="U2812" s="2"/>
      <c r="V2812" s="2"/>
      <c r="W2812" s="2"/>
      <c r="X2812" s="2"/>
      <c r="Y2812" s="2"/>
      <c r="Z2812" s="2"/>
      <c r="AA2812" s="2"/>
      <c r="AB2812" s="2"/>
      <c r="AC2812" s="2"/>
      <c r="AD2812" s="2"/>
      <c r="AE2812" s="2"/>
      <c r="AF2812" s="2"/>
      <c r="AG2812" s="2"/>
      <c r="AH2812" s="2"/>
      <c r="AI2812" s="2"/>
      <c r="AJ2812" s="2" t="str">
        <f>IFERROR(__xludf.DUMMYFUNCTION("""COMPUTED_VALUE"""),"")</f>
        <v/>
      </c>
      <c r="AK2812" s="2" t="str">
        <f>IFERROR(__xludf.DUMMYFUNCTION("""COMPUTED_VALUE"""),"")</f>
        <v/>
      </c>
      <c r="AL2812" s="2" t="str">
        <f>IFERROR(__xludf.DUMMYFUNCTION("""COMPUTED_VALUE"""),"")</f>
        <v/>
      </c>
      <c r="AM2812" s="2" t="str">
        <f>IFERROR(__xludf.DUMMYFUNCTION("""COMPUTED_VALUE"""),"")</f>
        <v/>
      </c>
      <c r="AN2812" s="2" t="str">
        <f>IFERROR(__xludf.DUMMYFUNCTION("""COMPUTED_VALUE""")," ")</f>
        <v> </v>
      </c>
      <c r="AO2812" s="2" t="str">
        <f>IFERROR(__xludf.DUMMYFUNCTION("""COMPUTED_VALUE""")," ")</f>
        <v> </v>
      </c>
      <c r="AP2812" s="2" t="str">
        <f>IFERROR(__xludf.DUMMYFUNCTION("""COMPUTED_VALUE"""),"")</f>
        <v/>
      </c>
      <c r="AQ2812" s="2"/>
      <c r="AR2812" s="2"/>
      <c r="AS2812" s="2"/>
      <c r="AT2812" s="2"/>
      <c r="AU2812" s="2"/>
      <c r="AV2812" s="2"/>
      <c r="AW2812" s="2"/>
      <c r="AX2812" s="2"/>
      <c r="AY2812" s="2"/>
      <c r="AZ2812" s="2"/>
      <c r="BA2812" s="2"/>
      <c r="BB2812" s="2"/>
    </row>
    <row r="2813">
      <c r="A2813" s="2"/>
      <c r="B2813" s="2" t="str">
        <f>IFERROR(__xludf.DUMMYFUNCTION("""COMPUTED_VALUE"""),"")</f>
        <v/>
      </c>
      <c r="C2813" s="2"/>
      <c r="D2813" s="71"/>
      <c r="E2813" s="71" t="str">
        <f>IFERROR(__xludf.DUMMYFUNCTION("""COMPUTED_VALUE""")," ")</f>
        <v> </v>
      </c>
      <c r="F2813" s="2"/>
      <c r="G2813" s="2"/>
      <c r="H2813" s="2"/>
      <c r="I2813" s="72"/>
      <c r="J2813" s="72"/>
      <c r="K2813" s="72"/>
      <c r="L2813" s="72"/>
      <c r="M2813" s="2"/>
      <c r="N2813" s="2"/>
      <c r="O2813" s="2"/>
      <c r="P2813" s="2"/>
      <c r="Q2813" s="2"/>
      <c r="R2813" s="2"/>
      <c r="S2813" s="2"/>
      <c r="T2813" s="2"/>
      <c r="U2813" s="2"/>
      <c r="V2813" s="2"/>
      <c r="W2813" s="2"/>
      <c r="X2813" s="2"/>
      <c r="Y2813" s="2"/>
      <c r="Z2813" s="2"/>
      <c r="AA2813" s="2"/>
      <c r="AB2813" s="2"/>
      <c r="AC2813" s="2"/>
      <c r="AD2813" s="2"/>
      <c r="AE2813" s="2"/>
      <c r="AF2813" s="2"/>
      <c r="AG2813" s="2"/>
      <c r="AH2813" s="2"/>
      <c r="AI2813" s="2"/>
      <c r="AJ2813" s="2" t="str">
        <f>IFERROR(__xludf.DUMMYFUNCTION("""COMPUTED_VALUE"""),"")</f>
        <v/>
      </c>
      <c r="AK2813" s="2" t="str">
        <f>IFERROR(__xludf.DUMMYFUNCTION("""COMPUTED_VALUE"""),"")</f>
        <v/>
      </c>
      <c r="AL2813" s="2" t="str">
        <f>IFERROR(__xludf.DUMMYFUNCTION("""COMPUTED_VALUE"""),"")</f>
        <v/>
      </c>
      <c r="AM2813" s="2" t="str">
        <f>IFERROR(__xludf.DUMMYFUNCTION("""COMPUTED_VALUE"""),"")</f>
        <v/>
      </c>
      <c r="AN2813" s="2" t="str">
        <f>IFERROR(__xludf.DUMMYFUNCTION("""COMPUTED_VALUE""")," ")</f>
        <v> </v>
      </c>
      <c r="AO2813" s="2" t="str">
        <f>IFERROR(__xludf.DUMMYFUNCTION("""COMPUTED_VALUE""")," ")</f>
        <v> </v>
      </c>
      <c r="AP2813" s="2" t="str">
        <f>IFERROR(__xludf.DUMMYFUNCTION("""COMPUTED_VALUE"""),"")</f>
        <v/>
      </c>
      <c r="AQ2813" s="2"/>
      <c r="AR2813" s="2"/>
      <c r="AS2813" s="2"/>
      <c r="AT2813" s="2"/>
      <c r="AU2813" s="2"/>
      <c r="AV2813" s="2"/>
      <c r="AW2813" s="2"/>
      <c r="AX2813" s="2"/>
      <c r="AY2813" s="2"/>
      <c r="AZ2813" s="2"/>
      <c r="BA2813" s="2"/>
      <c r="BB2813" s="2"/>
    </row>
    <row r="2814">
      <c r="A2814" s="2"/>
      <c r="B2814" s="2" t="str">
        <f>IFERROR(__xludf.DUMMYFUNCTION("""COMPUTED_VALUE"""),"")</f>
        <v/>
      </c>
      <c r="C2814" s="2"/>
      <c r="D2814" s="71"/>
      <c r="E2814" s="71" t="str">
        <f>IFERROR(__xludf.DUMMYFUNCTION("""COMPUTED_VALUE""")," ")</f>
        <v> </v>
      </c>
      <c r="F2814" s="2"/>
      <c r="G2814" s="2"/>
      <c r="H2814" s="2"/>
      <c r="I2814" s="72"/>
      <c r="J2814" s="72"/>
      <c r="K2814" s="72"/>
      <c r="L2814" s="72"/>
      <c r="M2814" s="2"/>
      <c r="N2814" s="2"/>
      <c r="O2814" s="2"/>
      <c r="P2814" s="2"/>
      <c r="Q2814" s="2"/>
      <c r="R2814" s="2"/>
      <c r="S2814" s="2"/>
      <c r="T2814" s="2"/>
      <c r="U2814" s="2"/>
      <c r="V2814" s="2"/>
      <c r="W2814" s="2"/>
      <c r="X2814" s="2"/>
      <c r="Y2814" s="2"/>
      <c r="Z2814" s="2"/>
      <c r="AA2814" s="2"/>
      <c r="AB2814" s="2"/>
      <c r="AC2814" s="2"/>
      <c r="AD2814" s="2"/>
      <c r="AE2814" s="2"/>
      <c r="AF2814" s="2"/>
      <c r="AG2814" s="2"/>
      <c r="AH2814" s="2"/>
      <c r="AI2814" s="2"/>
      <c r="AJ2814" s="2" t="str">
        <f>IFERROR(__xludf.DUMMYFUNCTION("""COMPUTED_VALUE"""),"")</f>
        <v/>
      </c>
      <c r="AK2814" s="2" t="str">
        <f>IFERROR(__xludf.DUMMYFUNCTION("""COMPUTED_VALUE"""),"")</f>
        <v/>
      </c>
      <c r="AL2814" s="2" t="str">
        <f>IFERROR(__xludf.DUMMYFUNCTION("""COMPUTED_VALUE"""),"")</f>
        <v/>
      </c>
      <c r="AM2814" s="2" t="str">
        <f>IFERROR(__xludf.DUMMYFUNCTION("""COMPUTED_VALUE"""),"")</f>
        <v/>
      </c>
      <c r="AN2814" s="2" t="str">
        <f>IFERROR(__xludf.DUMMYFUNCTION("""COMPUTED_VALUE""")," ")</f>
        <v> </v>
      </c>
      <c r="AO2814" s="2" t="str">
        <f>IFERROR(__xludf.DUMMYFUNCTION("""COMPUTED_VALUE""")," ")</f>
        <v> </v>
      </c>
      <c r="AP2814" s="2" t="str">
        <f>IFERROR(__xludf.DUMMYFUNCTION("""COMPUTED_VALUE"""),"")</f>
        <v/>
      </c>
      <c r="AQ2814" s="2"/>
      <c r="AR2814" s="2"/>
      <c r="AS2814" s="2"/>
      <c r="AT2814" s="2"/>
      <c r="AU2814" s="2"/>
      <c r="AV2814" s="2"/>
      <c r="AW2814" s="2"/>
      <c r="AX2814" s="2"/>
      <c r="AY2814" s="2"/>
      <c r="AZ2814" s="2"/>
      <c r="BA2814" s="2"/>
      <c r="BB2814" s="2"/>
    </row>
    <row r="2815">
      <c r="A2815" s="2"/>
      <c r="B2815" s="2" t="str">
        <f>IFERROR(__xludf.DUMMYFUNCTION("""COMPUTED_VALUE"""),"")</f>
        <v/>
      </c>
      <c r="C2815" s="2"/>
      <c r="D2815" s="71"/>
      <c r="E2815" s="71" t="str">
        <f>IFERROR(__xludf.DUMMYFUNCTION("""COMPUTED_VALUE""")," ")</f>
        <v> </v>
      </c>
      <c r="F2815" s="2"/>
      <c r="G2815" s="2"/>
      <c r="H2815" s="2"/>
      <c r="I2815" s="72"/>
      <c r="J2815" s="72"/>
      <c r="K2815" s="72"/>
      <c r="L2815" s="72"/>
      <c r="M2815" s="2"/>
      <c r="N2815" s="2"/>
      <c r="O2815" s="2"/>
      <c r="P2815" s="2"/>
      <c r="Q2815" s="2"/>
      <c r="R2815" s="2"/>
      <c r="S2815" s="2"/>
      <c r="T2815" s="2"/>
      <c r="U2815" s="2"/>
      <c r="V2815" s="2"/>
      <c r="W2815" s="2"/>
      <c r="X2815" s="2"/>
      <c r="Y2815" s="2"/>
      <c r="Z2815" s="2"/>
      <c r="AA2815" s="2"/>
      <c r="AB2815" s="2"/>
      <c r="AC2815" s="2"/>
      <c r="AD2815" s="2"/>
      <c r="AE2815" s="2"/>
      <c r="AF2815" s="2"/>
      <c r="AG2815" s="2"/>
      <c r="AH2815" s="2"/>
      <c r="AI2815" s="2"/>
      <c r="AJ2815" s="2" t="str">
        <f>IFERROR(__xludf.DUMMYFUNCTION("""COMPUTED_VALUE"""),"")</f>
        <v/>
      </c>
      <c r="AK2815" s="2" t="str">
        <f>IFERROR(__xludf.DUMMYFUNCTION("""COMPUTED_VALUE"""),"")</f>
        <v/>
      </c>
      <c r="AL2815" s="2" t="str">
        <f>IFERROR(__xludf.DUMMYFUNCTION("""COMPUTED_VALUE"""),"")</f>
        <v/>
      </c>
      <c r="AM2815" s="2" t="str">
        <f>IFERROR(__xludf.DUMMYFUNCTION("""COMPUTED_VALUE"""),"")</f>
        <v/>
      </c>
      <c r="AN2815" s="2" t="str">
        <f>IFERROR(__xludf.DUMMYFUNCTION("""COMPUTED_VALUE""")," ")</f>
        <v> </v>
      </c>
      <c r="AO2815" s="2" t="str">
        <f>IFERROR(__xludf.DUMMYFUNCTION("""COMPUTED_VALUE""")," ")</f>
        <v> </v>
      </c>
      <c r="AP2815" s="2" t="str">
        <f>IFERROR(__xludf.DUMMYFUNCTION("""COMPUTED_VALUE"""),"")</f>
        <v/>
      </c>
      <c r="AQ2815" s="2"/>
      <c r="AR2815" s="2"/>
      <c r="AS2815" s="2"/>
      <c r="AT2815" s="2"/>
      <c r="AU2815" s="2"/>
      <c r="AV2815" s="2"/>
      <c r="AW2815" s="2"/>
      <c r="AX2815" s="2"/>
      <c r="AY2815" s="2"/>
      <c r="AZ2815" s="2"/>
      <c r="BA2815" s="2"/>
      <c r="BB2815" s="2"/>
    </row>
    <row r="2816">
      <c r="A2816" s="2"/>
      <c r="B2816" s="2" t="str">
        <f>IFERROR(__xludf.DUMMYFUNCTION("""COMPUTED_VALUE"""),"")</f>
        <v/>
      </c>
      <c r="C2816" s="2"/>
      <c r="D2816" s="71"/>
      <c r="E2816" s="71" t="str">
        <f>IFERROR(__xludf.DUMMYFUNCTION("""COMPUTED_VALUE""")," ")</f>
        <v> </v>
      </c>
      <c r="F2816" s="2"/>
      <c r="G2816" s="2"/>
      <c r="H2816" s="2"/>
      <c r="I2816" s="72"/>
      <c r="J2816" s="72"/>
      <c r="K2816" s="72"/>
      <c r="L2816" s="72"/>
      <c r="M2816" s="2"/>
      <c r="N2816" s="2"/>
      <c r="O2816" s="2"/>
      <c r="P2816" s="2"/>
      <c r="Q2816" s="2"/>
      <c r="R2816" s="2"/>
      <c r="S2816" s="2"/>
      <c r="T2816" s="2"/>
      <c r="U2816" s="2"/>
      <c r="V2816" s="2"/>
      <c r="W2816" s="2"/>
      <c r="X2816" s="2"/>
      <c r="Y2816" s="2"/>
      <c r="Z2816" s="2"/>
      <c r="AA2816" s="2"/>
      <c r="AB2816" s="2"/>
      <c r="AC2816" s="2"/>
      <c r="AD2816" s="2"/>
      <c r="AE2816" s="2"/>
      <c r="AF2816" s="2"/>
      <c r="AG2816" s="2"/>
      <c r="AH2816" s="2"/>
      <c r="AI2816" s="2"/>
      <c r="AJ2816" s="2" t="str">
        <f>IFERROR(__xludf.DUMMYFUNCTION("""COMPUTED_VALUE"""),"")</f>
        <v/>
      </c>
      <c r="AK2816" s="2" t="str">
        <f>IFERROR(__xludf.DUMMYFUNCTION("""COMPUTED_VALUE"""),"")</f>
        <v/>
      </c>
      <c r="AL2816" s="2" t="str">
        <f>IFERROR(__xludf.DUMMYFUNCTION("""COMPUTED_VALUE"""),"")</f>
        <v/>
      </c>
      <c r="AM2816" s="2" t="str">
        <f>IFERROR(__xludf.DUMMYFUNCTION("""COMPUTED_VALUE"""),"")</f>
        <v/>
      </c>
      <c r="AN2816" s="2" t="str">
        <f>IFERROR(__xludf.DUMMYFUNCTION("""COMPUTED_VALUE""")," ")</f>
        <v> </v>
      </c>
      <c r="AO2816" s="2" t="str">
        <f>IFERROR(__xludf.DUMMYFUNCTION("""COMPUTED_VALUE""")," ")</f>
        <v> </v>
      </c>
      <c r="AP2816" s="2" t="str">
        <f>IFERROR(__xludf.DUMMYFUNCTION("""COMPUTED_VALUE"""),"")</f>
        <v/>
      </c>
      <c r="AQ2816" s="2"/>
      <c r="AR2816" s="2"/>
      <c r="AS2816" s="2"/>
      <c r="AT2816" s="2"/>
      <c r="AU2816" s="2"/>
      <c r="AV2816" s="2"/>
      <c r="AW2816" s="2"/>
      <c r="AX2816" s="2"/>
      <c r="AY2816" s="2"/>
      <c r="AZ2816" s="2"/>
      <c r="BA2816" s="2"/>
      <c r="BB2816" s="2"/>
    </row>
    <row r="2817">
      <c r="A2817" s="2"/>
      <c r="B2817" s="2" t="str">
        <f>IFERROR(__xludf.DUMMYFUNCTION("""COMPUTED_VALUE"""),"")</f>
        <v/>
      </c>
      <c r="C2817" s="2"/>
      <c r="D2817" s="71"/>
      <c r="E2817" s="71" t="str">
        <f>IFERROR(__xludf.DUMMYFUNCTION("""COMPUTED_VALUE""")," ")</f>
        <v> </v>
      </c>
      <c r="F2817" s="2"/>
      <c r="G2817" s="2"/>
      <c r="H2817" s="2"/>
      <c r="I2817" s="72"/>
      <c r="J2817" s="72"/>
      <c r="K2817" s="72"/>
      <c r="L2817" s="72"/>
      <c r="M2817" s="2"/>
      <c r="N2817" s="2"/>
      <c r="O2817" s="2"/>
      <c r="P2817" s="2"/>
      <c r="Q2817" s="2"/>
      <c r="R2817" s="2"/>
      <c r="S2817" s="2"/>
      <c r="T2817" s="2"/>
      <c r="U2817" s="2"/>
      <c r="V2817" s="2"/>
      <c r="W2817" s="2"/>
      <c r="X2817" s="2"/>
      <c r="Y2817" s="2"/>
      <c r="Z2817" s="2"/>
      <c r="AA2817" s="2"/>
      <c r="AB2817" s="2"/>
      <c r="AC2817" s="2"/>
      <c r="AD2817" s="2"/>
      <c r="AE2817" s="2"/>
      <c r="AF2817" s="2"/>
      <c r="AG2817" s="2"/>
      <c r="AH2817" s="2"/>
      <c r="AI2817" s="2"/>
      <c r="AJ2817" s="2" t="str">
        <f>IFERROR(__xludf.DUMMYFUNCTION("""COMPUTED_VALUE"""),"")</f>
        <v/>
      </c>
      <c r="AK2817" s="2" t="str">
        <f>IFERROR(__xludf.DUMMYFUNCTION("""COMPUTED_VALUE"""),"")</f>
        <v/>
      </c>
      <c r="AL2817" s="2" t="str">
        <f>IFERROR(__xludf.DUMMYFUNCTION("""COMPUTED_VALUE"""),"")</f>
        <v/>
      </c>
      <c r="AM2817" s="2" t="str">
        <f>IFERROR(__xludf.DUMMYFUNCTION("""COMPUTED_VALUE"""),"")</f>
        <v/>
      </c>
      <c r="AN2817" s="2" t="str">
        <f>IFERROR(__xludf.DUMMYFUNCTION("""COMPUTED_VALUE""")," ")</f>
        <v> </v>
      </c>
      <c r="AO2817" s="2" t="str">
        <f>IFERROR(__xludf.DUMMYFUNCTION("""COMPUTED_VALUE""")," ")</f>
        <v> </v>
      </c>
      <c r="AP2817" s="2" t="str">
        <f>IFERROR(__xludf.DUMMYFUNCTION("""COMPUTED_VALUE"""),"")</f>
        <v/>
      </c>
      <c r="AQ2817" s="2"/>
      <c r="AR2817" s="2"/>
      <c r="AS2817" s="2"/>
      <c r="AT2817" s="2"/>
      <c r="AU2817" s="2"/>
      <c r="AV2817" s="2"/>
      <c r="AW2817" s="2"/>
      <c r="AX2817" s="2"/>
      <c r="AY2817" s="2"/>
      <c r="AZ2817" s="2"/>
      <c r="BA2817" s="2"/>
      <c r="BB2817" s="2"/>
    </row>
    <row r="2818">
      <c r="A2818" s="2"/>
      <c r="B2818" s="2" t="str">
        <f>IFERROR(__xludf.DUMMYFUNCTION("""COMPUTED_VALUE"""),"")</f>
        <v/>
      </c>
      <c r="C2818" s="2"/>
      <c r="D2818" s="71"/>
      <c r="E2818" s="71" t="str">
        <f>IFERROR(__xludf.DUMMYFUNCTION("""COMPUTED_VALUE""")," ")</f>
        <v> </v>
      </c>
      <c r="F2818" s="2"/>
      <c r="G2818" s="2"/>
      <c r="H2818" s="2"/>
      <c r="I2818" s="72"/>
      <c r="J2818" s="72"/>
      <c r="K2818" s="72"/>
      <c r="L2818" s="72"/>
      <c r="M2818" s="2"/>
      <c r="N2818" s="2"/>
      <c r="O2818" s="2"/>
      <c r="P2818" s="2"/>
      <c r="Q2818" s="2"/>
      <c r="R2818" s="2"/>
      <c r="S2818" s="2"/>
      <c r="T2818" s="2"/>
      <c r="U2818" s="2"/>
      <c r="V2818" s="2"/>
      <c r="W2818" s="2"/>
      <c r="X2818" s="2"/>
      <c r="Y2818" s="2"/>
      <c r="Z2818" s="2"/>
      <c r="AA2818" s="2"/>
      <c r="AB2818" s="2"/>
      <c r="AC2818" s="2"/>
      <c r="AD2818" s="2"/>
      <c r="AE2818" s="2"/>
      <c r="AF2818" s="2"/>
      <c r="AG2818" s="2"/>
      <c r="AH2818" s="2"/>
      <c r="AI2818" s="2"/>
      <c r="AJ2818" s="2" t="str">
        <f>IFERROR(__xludf.DUMMYFUNCTION("""COMPUTED_VALUE"""),"")</f>
        <v/>
      </c>
      <c r="AK2818" s="2" t="str">
        <f>IFERROR(__xludf.DUMMYFUNCTION("""COMPUTED_VALUE"""),"")</f>
        <v/>
      </c>
      <c r="AL2818" s="2" t="str">
        <f>IFERROR(__xludf.DUMMYFUNCTION("""COMPUTED_VALUE"""),"")</f>
        <v/>
      </c>
      <c r="AM2818" s="2" t="str">
        <f>IFERROR(__xludf.DUMMYFUNCTION("""COMPUTED_VALUE"""),"")</f>
        <v/>
      </c>
      <c r="AN2818" s="2" t="str">
        <f>IFERROR(__xludf.DUMMYFUNCTION("""COMPUTED_VALUE""")," ")</f>
        <v> </v>
      </c>
      <c r="AO2818" s="2" t="str">
        <f>IFERROR(__xludf.DUMMYFUNCTION("""COMPUTED_VALUE""")," ")</f>
        <v> </v>
      </c>
      <c r="AP2818" s="2" t="str">
        <f>IFERROR(__xludf.DUMMYFUNCTION("""COMPUTED_VALUE"""),"")</f>
        <v/>
      </c>
      <c r="AQ2818" s="2"/>
      <c r="AR2818" s="2"/>
      <c r="AS2818" s="2"/>
      <c r="AT2818" s="2"/>
      <c r="AU2818" s="2"/>
      <c r="AV2818" s="2"/>
      <c r="AW2818" s="2"/>
      <c r="AX2818" s="2"/>
      <c r="AY2818" s="2"/>
      <c r="AZ2818" s="2"/>
      <c r="BA2818" s="2"/>
      <c r="BB2818" s="2"/>
    </row>
    <row r="2819">
      <c r="A2819" s="2"/>
      <c r="B2819" s="2" t="str">
        <f>IFERROR(__xludf.DUMMYFUNCTION("""COMPUTED_VALUE"""),"")</f>
        <v/>
      </c>
      <c r="C2819" s="2"/>
      <c r="D2819" s="71"/>
      <c r="E2819" s="71" t="str">
        <f>IFERROR(__xludf.DUMMYFUNCTION("""COMPUTED_VALUE""")," ")</f>
        <v> </v>
      </c>
      <c r="F2819" s="2"/>
      <c r="G2819" s="2"/>
      <c r="H2819" s="2"/>
      <c r="I2819" s="72"/>
      <c r="J2819" s="72"/>
      <c r="K2819" s="72"/>
      <c r="L2819" s="72"/>
      <c r="M2819" s="2"/>
      <c r="N2819" s="2"/>
      <c r="O2819" s="2"/>
      <c r="P2819" s="2"/>
      <c r="Q2819" s="2"/>
      <c r="R2819" s="2"/>
      <c r="S2819" s="2"/>
      <c r="T2819" s="2"/>
      <c r="U2819" s="2"/>
      <c r="V2819" s="2"/>
      <c r="W2819" s="2"/>
      <c r="X2819" s="2"/>
      <c r="Y2819" s="2"/>
      <c r="Z2819" s="2"/>
      <c r="AA2819" s="2"/>
      <c r="AB2819" s="2"/>
      <c r="AC2819" s="2"/>
      <c r="AD2819" s="2"/>
      <c r="AE2819" s="2"/>
      <c r="AF2819" s="2"/>
      <c r="AG2819" s="2"/>
      <c r="AH2819" s="2"/>
      <c r="AI2819" s="2"/>
      <c r="AJ2819" s="2" t="str">
        <f>IFERROR(__xludf.DUMMYFUNCTION("""COMPUTED_VALUE"""),"")</f>
        <v/>
      </c>
      <c r="AK2819" s="2" t="str">
        <f>IFERROR(__xludf.DUMMYFUNCTION("""COMPUTED_VALUE"""),"")</f>
        <v/>
      </c>
      <c r="AL2819" s="2" t="str">
        <f>IFERROR(__xludf.DUMMYFUNCTION("""COMPUTED_VALUE"""),"")</f>
        <v/>
      </c>
      <c r="AM2819" s="2" t="str">
        <f>IFERROR(__xludf.DUMMYFUNCTION("""COMPUTED_VALUE"""),"")</f>
        <v/>
      </c>
      <c r="AN2819" s="2" t="str">
        <f>IFERROR(__xludf.DUMMYFUNCTION("""COMPUTED_VALUE""")," ")</f>
        <v> </v>
      </c>
      <c r="AO2819" s="2" t="str">
        <f>IFERROR(__xludf.DUMMYFUNCTION("""COMPUTED_VALUE""")," ")</f>
        <v> </v>
      </c>
      <c r="AP2819" s="2" t="str">
        <f>IFERROR(__xludf.DUMMYFUNCTION("""COMPUTED_VALUE"""),"")</f>
        <v/>
      </c>
      <c r="AQ2819" s="2"/>
      <c r="AR2819" s="2"/>
      <c r="AS2819" s="2"/>
      <c r="AT2819" s="2"/>
      <c r="AU2819" s="2"/>
      <c r="AV2819" s="2"/>
      <c r="AW2819" s="2"/>
      <c r="AX2819" s="2"/>
      <c r="AY2819" s="2"/>
      <c r="AZ2819" s="2"/>
      <c r="BA2819" s="2"/>
      <c r="BB2819" s="2"/>
    </row>
    <row r="2820">
      <c r="A2820" s="2"/>
      <c r="B2820" s="2" t="str">
        <f>IFERROR(__xludf.DUMMYFUNCTION("""COMPUTED_VALUE"""),"")</f>
        <v/>
      </c>
      <c r="C2820" s="2"/>
      <c r="D2820" s="71"/>
      <c r="E2820" s="71" t="str">
        <f>IFERROR(__xludf.DUMMYFUNCTION("""COMPUTED_VALUE""")," ")</f>
        <v> </v>
      </c>
      <c r="F2820" s="2"/>
      <c r="G2820" s="2"/>
      <c r="H2820" s="2"/>
      <c r="I2820" s="72"/>
      <c r="J2820" s="72"/>
      <c r="K2820" s="72"/>
      <c r="L2820" s="72"/>
      <c r="M2820" s="2"/>
      <c r="N2820" s="2"/>
      <c r="O2820" s="2"/>
      <c r="P2820" s="2"/>
      <c r="Q2820" s="2"/>
      <c r="R2820" s="2"/>
      <c r="S2820" s="2"/>
      <c r="T2820" s="2"/>
      <c r="U2820" s="2"/>
      <c r="V2820" s="2"/>
      <c r="W2820" s="2"/>
      <c r="X2820" s="2"/>
      <c r="Y2820" s="2"/>
      <c r="Z2820" s="2"/>
      <c r="AA2820" s="2"/>
      <c r="AB2820" s="2"/>
      <c r="AC2820" s="2"/>
      <c r="AD2820" s="2"/>
      <c r="AE2820" s="2"/>
      <c r="AF2820" s="2"/>
      <c r="AG2820" s="2"/>
      <c r="AH2820" s="2"/>
      <c r="AI2820" s="2"/>
      <c r="AJ2820" s="2" t="str">
        <f>IFERROR(__xludf.DUMMYFUNCTION("""COMPUTED_VALUE"""),"")</f>
        <v/>
      </c>
      <c r="AK2820" s="2" t="str">
        <f>IFERROR(__xludf.DUMMYFUNCTION("""COMPUTED_VALUE"""),"")</f>
        <v/>
      </c>
      <c r="AL2820" s="2" t="str">
        <f>IFERROR(__xludf.DUMMYFUNCTION("""COMPUTED_VALUE"""),"")</f>
        <v/>
      </c>
      <c r="AM2820" s="2" t="str">
        <f>IFERROR(__xludf.DUMMYFUNCTION("""COMPUTED_VALUE"""),"")</f>
        <v/>
      </c>
      <c r="AN2820" s="2" t="str">
        <f>IFERROR(__xludf.DUMMYFUNCTION("""COMPUTED_VALUE""")," ")</f>
        <v> </v>
      </c>
      <c r="AO2820" s="2" t="str">
        <f>IFERROR(__xludf.DUMMYFUNCTION("""COMPUTED_VALUE""")," ")</f>
        <v> </v>
      </c>
      <c r="AP2820" s="2" t="str">
        <f>IFERROR(__xludf.DUMMYFUNCTION("""COMPUTED_VALUE"""),"")</f>
        <v/>
      </c>
      <c r="AQ2820" s="2"/>
      <c r="AR2820" s="2"/>
      <c r="AS2820" s="2"/>
      <c r="AT2820" s="2"/>
      <c r="AU2820" s="2"/>
      <c r="AV2820" s="2"/>
      <c r="AW2820" s="2"/>
      <c r="AX2820" s="2"/>
      <c r="AY2820" s="2"/>
      <c r="AZ2820" s="2"/>
      <c r="BA2820" s="2"/>
      <c r="BB2820" s="2"/>
    </row>
    <row r="2821">
      <c r="A2821" s="2"/>
      <c r="B2821" s="2" t="str">
        <f>IFERROR(__xludf.DUMMYFUNCTION("""COMPUTED_VALUE"""),"")</f>
        <v/>
      </c>
      <c r="C2821" s="2"/>
      <c r="D2821" s="71"/>
      <c r="E2821" s="71" t="str">
        <f>IFERROR(__xludf.DUMMYFUNCTION("""COMPUTED_VALUE""")," ")</f>
        <v> </v>
      </c>
      <c r="F2821" s="2"/>
      <c r="G2821" s="2"/>
      <c r="H2821" s="2"/>
      <c r="I2821" s="72"/>
      <c r="J2821" s="72"/>
      <c r="K2821" s="72"/>
      <c r="L2821" s="72"/>
      <c r="M2821" s="2"/>
      <c r="N2821" s="2"/>
      <c r="O2821" s="2"/>
      <c r="P2821" s="2"/>
      <c r="Q2821" s="2"/>
      <c r="R2821" s="2"/>
      <c r="S2821" s="2"/>
      <c r="T2821" s="2"/>
      <c r="U2821" s="2"/>
      <c r="V2821" s="2"/>
      <c r="W2821" s="2"/>
      <c r="X2821" s="2"/>
      <c r="Y2821" s="2"/>
      <c r="Z2821" s="2"/>
      <c r="AA2821" s="2"/>
      <c r="AB2821" s="2"/>
      <c r="AC2821" s="2"/>
      <c r="AD2821" s="2"/>
      <c r="AE2821" s="2"/>
      <c r="AF2821" s="2"/>
      <c r="AG2821" s="2"/>
      <c r="AH2821" s="2"/>
      <c r="AI2821" s="2"/>
      <c r="AJ2821" s="2" t="str">
        <f>IFERROR(__xludf.DUMMYFUNCTION("""COMPUTED_VALUE"""),"")</f>
        <v/>
      </c>
      <c r="AK2821" s="2" t="str">
        <f>IFERROR(__xludf.DUMMYFUNCTION("""COMPUTED_VALUE"""),"")</f>
        <v/>
      </c>
      <c r="AL2821" s="2" t="str">
        <f>IFERROR(__xludf.DUMMYFUNCTION("""COMPUTED_VALUE"""),"")</f>
        <v/>
      </c>
      <c r="AM2821" s="2" t="str">
        <f>IFERROR(__xludf.DUMMYFUNCTION("""COMPUTED_VALUE"""),"")</f>
        <v/>
      </c>
      <c r="AN2821" s="2" t="str">
        <f>IFERROR(__xludf.DUMMYFUNCTION("""COMPUTED_VALUE""")," ")</f>
        <v> </v>
      </c>
      <c r="AO2821" s="2" t="str">
        <f>IFERROR(__xludf.DUMMYFUNCTION("""COMPUTED_VALUE""")," ")</f>
        <v> </v>
      </c>
      <c r="AP2821" s="2" t="str">
        <f>IFERROR(__xludf.DUMMYFUNCTION("""COMPUTED_VALUE"""),"")</f>
        <v/>
      </c>
      <c r="AQ2821" s="2"/>
      <c r="AR2821" s="2"/>
      <c r="AS2821" s="2"/>
      <c r="AT2821" s="2"/>
      <c r="AU2821" s="2"/>
      <c r="AV2821" s="2"/>
      <c r="AW2821" s="2"/>
      <c r="AX2821" s="2"/>
      <c r="AY2821" s="2"/>
      <c r="AZ2821" s="2"/>
      <c r="BA2821" s="2"/>
      <c r="BB2821" s="2"/>
    </row>
    <row r="2822">
      <c r="A2822" s="2"/>
      <c r="B2822" s="2" t="str">
        <f>IFERROR(__xludf.DUMMYFUNCTION("""COMPUTED_VALUE"""),"")</f>
        <v/>
      </c>
      <c r="C2822" s="2"/>
      <c r="D2822" s="71"/>
      <c r="E2822" s="71" t="str">
        <f>IFERROR(__xludf.DUMMYFUNCTION("""COMPUTED_VALUE""")," ")</f>
        <v> </v>
      </c>
      <c r="F2822" s="2"/>
      <c r="G2822" s="2"/>
      <c r="H2822" s="2"/>
      <c r="I2822" s="72"/>
      <c r="J2822" s="72"/>
      <c r="K2822" s="72"/>
      <c r="L2822" s="72"/>
      <c r="M2822" s="2"/>
      <c r="N2822" s="2"/>
      <c r="O2822" s="2"/>
      <c r="P2822" s="2"/>
      <c r="Q2822" s="2"/>
      <c r="R2822" s="2"/>
      <c r="S2822" s="2"/>
      <c r="T2822" s="2"/>
      <c r="U2822" s="2"/>
      <c r="V2822" s="2"/>
      <c r="W2822" s="2"/>
      <c r="X2822" s="2"/>
      <c r="Y2822" s="2"/>
      <c r="Z2822" s="2"/>
      <c r="AA2822" s="2"/>
      <c r="AB2822" s="2"/>
      <c r="AC2822" s="2"/>
      <c r="AD2822" s="2"/>
      <c r="AE2822" s="2"/>
      <c r="AF2822" s="2"/>
      <c r="AG2822" s="2"/>
      <c r="AH2822" s="2"/>
      <c r="AI2822" s="2"/>
      <c r="AJ2822" s="2" t="str">
        <f>IFERROR(__xludf.DUMMYFUNCTION("""COMPUTED_VALUE"""),"")</f>
        <v/>
      </c>
      <c r="AK2822" s="2" t="str">
        <f>IFERROR(__xludf.DUMMYFUNCTION("""COMPUTED_VALUE"""),"")</f>
        <v/>
      </c>
      <c r="AL2822" s="2" t="str">
        <f>IFERROR(__xludf.DUMMYFUNCTION("""COMPUTED_VALUE"""),"")</f>
        <v/>
      </c>
      <c r="AM2822" s="2" t="str">
        <f>IFERROR(__xludf.DUMMYFUNCTION("""COMPUTED_VALUE"""),"")</f>
        <v/>
      </c>
      <c r="AN2822" s="2" t="str">
        <f>IFERROR(__xludf.DUMMYFUNCTION("""COMPUTED_VALUE""")," ")</f>
        <v> </v>
      </c>
      <c r="AO2822" s="2" t="str">
        <f>IFERROR(__xludf.DUMMYFUNCTION("""COMPUTED_VALUE""")," ")</f>
        <v> </v>
      </c>
      <c r="AP2822" s="2" t="str">
        <f>IFERROR(__xludf.DUMMYFUNCTION("""COMPUTED_VALUE"""),"")</f>
        <v/>
      </c>
      <c r="AQ2822" s="2"/>
      <c r="AR2822" s="2"/>
      <c r="AS2822" s="2"/>
      <c r="AT2822" s="2"/>
      <c r="AU2822" s="2"/>
      <c r="AV2822" s="2"/>
      <c r="AW2822" s="2"/>
      <c r="AX2822" s="2"/>
      <c r="AY2822" s="2"/>
      <c r="AZ2822" s="2"/>
      <c r="BA2822" s="2"/>
      <c r="BB2822" s="2"/>
    </row>
    <row r="2823">
      <c r="A2823" s="2"/>
      <c r="B2823" s="2" t="str">
        <f>IFERROR(__xludf.DUMMYFUNCTION("""COMPUTED_VALUE"""),"")</f>
        <v/>
      </c>
      <c r="C2823" s="2"/>
      <c r="D2823" s="71"/>
      <c r="E2823" s="71" t="str">
        <f>IFERROR(__xludf.DUMMYFUNCTION("""COMPUTED_VALUE""")," ")</f>
        <v> </v>
      </c>
      <c r="F2823" s="2"/>
      <c r="G2823" s="2"/>
      <c r="H2823" s="2"/>
      <c r="I2823" s="72"/>
      <c r="J2823" s="72"/>
      <c r="K2823" s="72"/>
      <c r="L2823" s="72"/>
      <c r="M2823" s="2"/>
      <c r="N2823" s="2"/>
      <c r="O2823" s="2"/>
      <c r="P2823" s="2"/>
      <c r="Q2823" s="2"/>
      <c r="R2823" s="2"/>
      <c r="S2823" s="2"/>
      <c r="T2823" s="2"/>
      <c r="U2823" s="2"/>
      <c r="V2823" s="2"/>
      <c r="W2823" s="2"/>
      <c r="X2823" s="2"/>
      <c r="Y2823" s="2"/>
      <c r="Z2823" s="2"/>
      <c r="AA2823" s="2"/>
      <c r="AB2823" s="2"/>
      <c r="AC2823" s="2"/>
      <c r="AD2823" s="2"/>
      <c r="AE2823" s="2"/>
      <c r="AF2823" s="2"/>
      <c r="AG2823" s="2"/>
      <c r="AH2823" s="2"/>
      <c r="AI2823" s="2"/>
      <c r="AJ2823" s="2" t="str">
        <f>IFERROR(__xludf.DUMMYFUNCTION("""COMPUTED_VALUE"""),"")</f>
        <v/>
      </c>
      <c r="AK2823" s="2" t="str">
        <f>IFERROR(__xludf.DUMMYFUNCTION("""COMPUTED_VALUE"""),"")</f>
        <v/>
      </c>
      <c r="AL2823" s="2" t="str">
        <f>IFERROR(__xludf.DUMMYFUNCTION("""COMPUTED_VALUE"""),"")</f>
        <v/>
      </c>
      <c r="AM2823" s="2" t="str">
        <f>IFERROR(__xludf.DUMMYFUNCTION("""COMPUTED_VALUE"""),"")</f>
        <v/>
      </c>
      <c r="AN2823" s="2" t="str">
        <f>IFERROR(__xludf.DUMMYFUNCTION("""COMPUTED_VALUE""")," ")</f>
        <v> </v>
      </c>
      <c r="AO2823" s="2" t="str">
        <f>IFERROR(__xludf.DUMMYFUNCTION("""COMPUTED_VALUE""")," ")</f>
        <v> </v>
      </c>
      <c r="AP2823" s="2" t="str">
        <f>IFERROR(__xludf.DUMMYFUNCTION("""COMPUTED_VALUE"""),"")</f>
        <v/>
      </c>
      <c r="AQ2823" s="2"/>
      <c r="AR2823" s="2"/>
      <c r="AS2823" s="2"/>
      <c r="AT2823" s="2"/>
      <c r="AU2823" s="2"/>
      <c r="AV2823" s="2"/>
      <c r="AW2823" s="2"/>
      <c r="AX2823" s="2"/>
      <c r="AY2823" s="2"/>
      <c r="AZ2823" s="2"/>
      <c r="BA2823" s="2"/>
      <c r="BB2823" s="2"/>
    </row>
    <row r="2824">
      <c r="A2824" s="2"/>
      <c r="B2824" s="2" t="str">
        <f>IFERROR(__xludf.DUMMYFUNCTION("""COMPUTED_VALUE"""),"")</f>
        <v/>
      </c>
      <c r="C2824" s="2"/>
      <c r="D2824" s="71"/>
      <c r="E2824" s="71" t="str">
        <f>IFERROR(__xludf.DUMMYFUNCTION("""COMPUTED_VALUE""")," ")</f>
        <v> </v>
      </c>
      <c r="F2824" s="2"/>
      <c r="G2824" s="2"/>
      <c r="H2824" s="2"/>
      <c r="I2824" s="72"/>
      <c r="J2824" s="72"/>
      <c r="K2824" s="72"/>
      <c r="L2824" s="72"/>
      <c r="M2824" s="2"/>
      <c r="N2824" s="2"/>
      <c r="O2824" s="2"/>
      <c r="P2824" s="2"/>
      <c r="Q2824" s="2"/>
      <c r="R2824" s="2"/>
      <c r="S2824" s="2"/>
      <c r="T2824" s="2"/>
      <c r="U2824" s="2"/>
      <c r="V2824" s="2"/>
      <c r="W2824" s="2"/>
      <c r="X2824" s="2"/>
      <c r="Y2824" s="2"/>
      <c r="Z2824" s="2"/>
      <c r="AA2824" s="2"/>
      <c r="AB2824" s="2"/>
      <c r="AC2824" s="2"/>
      <c r="AD2824" s="2"/>
      <c r="AE2824" s="2"/>
      <c r="AF2824" s="2"/>
      <c r="AG2824" s="2"/>
      <c r="AH2824" s="2"/>
      <c r="AI2824" s="2"/>
      <c r="AJ2824" s="2" t="str">
        <f>IFERROR(__xludf.DUMMYFUNCTION("""COMPUTED_VALUE"""),"")</f>
        <v/>
      </c>
      <c r="AK2824" s="2" t="str">
        <f>IFERROR(__xludf.DUMMYFUNCTION("""COMPUTED_VALUE"""),"")</f>
        <v/>
      </c>
      <c r="AL2824" s="2" t="str">
        <f>IFERROR(__xludf.DUMMYFUNCTION("""COMPUTED_VALUE"""),"")</f>
        <v/>
      </c>
      <c r="AM2824" s="2" t="str">
        <f>IFERROR(__xludf.DUMMYFUNCTION("""COMPUTED_VALUE"""),"")</f>
        <v/>
      </c>
      <c r="AN2824" s="2" t="str">
        <f>IFERROR(__xludf.DUMMYFUNCTION("""COMPUTED_VALUE""")," ")</f>
        <v> </v>
      </c>
      <c r="AO2824" s="2" t="str">
        <f>IFERROR(__xludf.DUMMYFUNCTION("""COMPUTED_VALUE""")," ")</f>
        <v> </v>
      </c>
      <c r="AP2824" s="2" t="str">
        <f>IFERROR(__xludf.DUMMYFUNCTION("""COMPUTED_VALUE"""),"")</f>
        <v/>
      </c>
      <c r="AQ2824" s="2"/>
      <c r="AR2824" s="2"/>
      <c r="AS2824" s="2"/>
      <c r="AT2824" s="2"/>
      <c r="AU2824" s="2"/>
      <c r="AV2824" s="2"/>
      <c r="AW2824" s="2"/>
      <c r="AX2824" s="2"/>
      <c r="AY2824" s="2"/>
      <c r="AZ2824" s="2"/>
      <c r="BA2824" s="2"/>
      <c r="BB2824" s="2"/>
    </row>
    <row r="2825">
      <c r="A2825" s="2"/>
      <c r="B2825" s="2" t="str">
        <f>IFERROR(__xludf.DUMMYFUNCTION("""COMPUTED_VALUE"""),"")</f>
        <v/>
      </c>
      <c r="C2825" s="2"/>
      <c r="D2825" s="71"/>
      <c r="E2825" s="71" t="str">
        <f>IFERROR(__xludf.DUMMYFUNCTION("""COMPUTED_VALUE""")," ")</f>
        <v> </v>
      </c>
      <c r="F2825" s="2"/>
      <c r="G2825" s="2"/>
      <c r="H2825" s="2"/>
      <c r="I2825" s="72"/>
      <c r="J2825" s="72"/>
      <c r="K2825" s="72"/>
      <c r="L2825" s="72"/>
      <c r="M2825" s="2"/>
      <c r="N2825" s="2"/>
      <c r="O2825" s="2"/>
      <c r="P2825" s="2"/>
      <c r="Q2825" s="2"/>
      <c r="R2825" s="2"/>
      <c r="S2825" s="2"/>
      <c r="T2825" s="2"/>
      <c r="U2825" s="2"/>
      <c r="V2825" s="2"/>
      <c r="W2825" s="2"/>
      <c r="X2825" s="2"/>
      <c r="Y2825" s="2"/>
      <c r="Z2825" s="2"/>
      <c r="AA2825" s="2"/>
      <c r="AB2825" s="2"/>
      <c r="AC2825" s="2"/>
      <c r="AD2825" s="2"/>
      <c r="AE2825" s="2"/>
      <c r="AF2825" s="2"/>
      <c r="AG2825" s="2"/>
      <c r="AH2825" s="2"/>
      <c r="AI2825" s="2"/>
      <c r="AJ2825" s="2" t="str">
        <f>IFERROR(__xludf.DUMMYFUNCTION("""COMPUTED_VALUE"""),"")</f>
        <v/>
      </c>
      <c r="AK2825" s="2" t="str">
        <f>IFERROR(__xludf.DUMMYFUNCTION("""COMPUTED_VALUE"""),"")</f>
        <v/>
      </c>
      <c r="AL2825" s="2" t="str">
        <f>IFERROR(__xludf.DUMMYFUNCTION("""COMPUTED_VALUE"""),"")</f>
        <v/>
      </c>
      <c r="AM2825" s="2" t="str">
        <f>IFERROR(__xludf.DUMMYFUNCTION("""COMPUTED_VALUE"""),"")</f>
        <v/>
      </c>
      <c r="AN2825" s="2" t="str">
        <f>IFERROR(__xludf.DUMMYFUNCTION("""COMPUTED_VALUE""")," ")</f>
        <v> </v>
      </c>
      <c r="AO2825" s="2" t="str">
        <f>IFERROR(__xludf.DUMMYFUNCTION("""COMPUTED_VALUE""")," ")</f>
        <v> </v>
      </c>
      <c r="AP2825" s="2" t="str">
        <f>IFERROR(__xludf.DUMMYFUNCTION("""COMPUTED_VALUE"""),"")</f>
        <v/>
      </c>
      <c r="AQ2825" s="2"/>
      <c r="AR2825" s="2"/>
      <c r="AS2825" s="2"/>
      <c r="AT2825" s="2"/>
      <c r="AU2825" s="2"/>
      <c r="AV2825" s="2"/>
      <c r="AW2825" s="2"/>
      <c r="AX2825" s="2"/>
      <c r="AY2825" s="2"/>
      <c r="AZ2825" s="2"/>
      <c r="BA2825" s="2"/>
      <c r="BB2825" s="2"/>
    </row>
    <row r="2826">
      <c r="A2826" s="2"/>
      <c r="B2826" s="2" t="str">
        <f>IFERROR(__xludf.DUMMYFUNCTION("""COMPUTED_VALUE"""),"")</f>
        <v/>
      </c>
      <c r="C2826" s="2"/>
      <c r="D2826" s="71"/>
      <c r="E2826" s="71" t="str">
        <f>IFERROR(__xludf.DUMMYFUNCTION("""COMPUTED_VALUE""")," ")</f>
        <v> </v>
      </c>
      <c r="F2826" s="2"/>
      <c r="G2826" s="2"/>
      <c r="H2826" s="2"/>
      <c r="I2826" s="72"/>
      <c r="J2826" s="72"/>
      <c r="K2826" s="72"/>
      <c r="L2826" s="72"/>
      <c r="M2826" s="2"/>
      <c r="N2826" s="2"/>
      <c r="O2826" s="2"/>
      <c r="P2826" s="2"/>
      <c r="Q2826" s="2"/>
      <c r="R2826" s="2"/>
      <c r="S2826" s="2"/>
      <c r="T2826" s="2"/>
      <c r="U2826" s="2"/>
      <c r="V2826" s="2"/>
      <c r="W2826" s="2"/>
      <c r="X2826" s="2"/>
      <c r="Y2826" s="2"/>
      <c r="Z2826" s="2"/>
      <c r="AA2826" s="2"/>
      <c r="AB2826" s="2"/>
      <c r="AC2826" s="2"/>
      <c r="AD2826" s="2"/>
      <c r="AE2826" s="2"/>
      <c r="AF2826" s="2"/>
      <c r="AG2826" s="2"/>
      <c r="AH2826" s="2"/>
      <c r="AI2826" s="2"/>
      <c r="AJ2826" s="2" t="str">
        <f>IFERROR(__xludf.DUMMYFUNCTION("""COMPUTED_VALUE"""),"")</f>
        <v/>
      </c>
      <c r="AK2826" s="2" t="str">
        <f>IFERROR(__xludf.DUMMYFUNCTION("""COMPUTED_VALUE"""),"")</f>
        <v/>
      </c>
      <c r="AL2826" s="2" t="str">
        <f>IFERROR(__xludf.DUMMYFUNCTION("""COMPUTED_VALUE"""),"")</f>
        <v/>
      </c>
      <c r="AM2826" s="2" t="str">
        <f>IFERROR(__xludf.DUMMYFUNCTION("""COMPUTED_VALUE"""),"")</f>
        <v/>
      </c>
      <c r="AN2826" s="2" t="str">
        <f>IFERROR(__xludf.DUMMYFUNCTION("""COMPUTED_VALUE""")," ")</f>
        <v> </v>
      </c>
      <c r="AO2826" s="2" t="str">
        <f>IFERROR(__xludf.DUMMYFUNCTION("""COMPUTED_VALUE""")," ")</f>
        <v> </v>
      </c>
      <c r="AP2826" s="2" t="str">
        <f>IFERROR(__xludf.DUMMYFUNCTION("""COMPUTED_VALUE"""),"")</f>
        <v/>
      </c>
      <c r="AQ2826" s="2"/>
      <c r="AR2826" s="2"/>
      <c r="AS2826" s="2"/>
      <c r="AT2826" s="2"/>
      <c r="AU2826" s="2"/>
      <c r="AV2826" s="2"/>
      <c r="AW2826" s="2"/>
      <c r="AX2826" s="2"/>
      <c r="AY2826" s="2"/>
      <c r="AZ2826" s="2"/>
      <c r="BA2826" s="2"/>
      <c r="BB2826" s="2"/>
    </row>
    <row r="2827">
      <c r="A2827" s="2"/>
      <c r="B2827" s="2" t="str">
        <f>IFERROR(__xludf.DUMMYFUNCTION("""COMPUTED_VALUE"""),"")</f>
        <v/>
      </c>
      <c r="C2827" s="2"/>
      <c r="D2827" s="71"/>
      <c r="E2827" s="71" t="str">
        <f>IFERROR(__xludf.DUMMYFUNCTION("""COMPUTED_VALUE""")," ")</f>
        <v> </v>
      </c>
      <c r="F2827" s="2"/>
      <c r="G2827" s="2"/>
      <c r="H2827" s="2"/>
      <c r="I2827" s="72"/>
      <c r="J2827" s="72"/>
      <c r="K2827" s="72"/>
      <c r="L2827" s="72"/>
      <c r="M2827" s="2"/>
      <c r="N2827" s="2"/>
      <c r="O2827" s="2"/>
      <c r="P2827" s="2"/>
      <c r="Q2827" s="2"/>
      <c r="R2827" s="2"/>
      <c r="S2827" s="2"/>
      <c r="T2827" s="2"/>
      <c r="U2827" s="2"/>
      <c r="V2827" s="2"/>
      <c r="W2827" s="2"/>
      <c r="X2827" s="2"/>
      <c r="Y2827" s="2"/>
      <c r="Z2827" s="2"/>
      <c r="AA2827" s="2"/>
      <c r="AB2827" s="2"/>
      <c r="AC2827" s="2"/>
      <c r="AD2827" s="2"/>
      <c r="AE2827" s="2"/>
      <c r="AF2827" s="2"/>
      <c r="AG2827" s="2"/>
      <c r="AH2827" s="2"/>
      <c r="AI2827" s="2"/>
      <c r="AJ2827" s="2" t="str">
        <f>IFERROR(__xludf.DUMMYFUNCTION("""COMPUTED_VALUE"""),"")</f>
        <v/>
      </c>
      <c r="AK2827" s="2" t="str">
        <f>IFERROR(__xludf.DUMMYFUNCTION("""COMPUTED_VALUE"""),"")</f>
        <v/>
      </c>
      <c r="AL2827" s="2" t="str">
        <f>IFERROR(__xludf.DUMMYFUNCTION("""COMPUTED_VALUE"""),"")</f>
        <v/>
      </c>
      <c r="AM2827" s="2" t="str">
        <f>IFERROR(__xludf.DUMMYFUNCTION("""COMPUTED_VALUE"""),"")</f>
        <v/>
      </c>
      <c r="AN2827" s="2" t="str">
        <f>IFERROR(__xludf.DUMMYFUNCTION("""COMPUTED_VALUE""")," ")</f>
        <v> </v>
      </c>
      <c r="AO2827" s="2" t="str">
        <f>IFERROR(__xludf.DUMMYFUNCTION("""COMPUTED_VALUE""")," ")</f>
        <v> </v>
      </c>
      <c r="AP2827" s="2" t="str">
        <f>IFERROR(__xludf.DUMMYFUNCTION("""COMPUTED_VALUE"""),"")</f>
        <v/>
      </c>
      <c r="AQ2827" s="2"/>
      <c r="AR2827" s="2"/>
      <c r="AS2827" s="2"/>
      <c r="AT2827" s="2"/>
      <c r="AU2827" s="2"/>
      <c r="AV2827" s="2"/>
      <c r="AW2827" s="2"/>
      <c r="AX2827" s="2"/>
      <c r="AY2827" s="2"/>
      <c r="AZ2827" s="2"/>
      <c r="BA2827" s="2"/>
      <c r="BB2827" s="2"/>
    </row>
    <row r="2828">
      <c r="A2828" s="2"/>
      <c r="B2828" s="2" t="str">
        <f>IFERROR(__xludf.DUMMYFUNCTION("""COMPUTED_VALUE"""),"")</f>
        <v/>
      </c>
      <c r="C2828" s="2"/>
      <c r="D2828" s="71"/>
      <c r="E2828" s="71" t="str">
        <f>IFERROR(__xludf.DUMMYFUNCTION("""COMPUTED_VALUE""")," ")</f>
        <v> </v>
      </c>
      <c r="F2828" s="2"/>
      <c r="G2828" s="2"/>
      <c r="H2828" s="2"/>
      <c r="I2828" s="72"/>
      <c r="J2828" s="72"/>
      <c r="K2828" s="72"/>
      <c r="L2828" s="72"/>
      <c r="M2828" s="2"/>
      <c r="N2828" s="2"/>
      <c r="O2828" s="2"/>
      <c r="P2828" s="2"/>
      <c r="Q2828" s="2"/>
      <c r="R2828" s="2"/>
      <c r="S2828" s="2"/>
      <c r="T2828" s="2"/>
      <c r="U2828" s="2"/>
      <c r="V2828" s="2"/>
      <c r="W2828" s="2"/>
      <c r="X2828" s="2"/>
      <c r="Y2828" s="2"/>
      <c r="Z2828" s="2"/>
      <c r="AA2828" s="2"/>
      <c r="AB2828" s="2"/>
      <c r="AC2828" s="2"/>
      <c r="AD2828" s="2"/>
      <c r="AE2828" s="2"/>
      <c r="AF2828" s="2"/>
      <c r="AG2828" s="2"/>
      <c r="AH2828" s="2"/>
      <c r="AI2828" s="2"/>
      <c r="AJ2828" s="2" t="str">
        <f>IFERROR(__xludf.DUMMYFUNCTION("""COMPUTED_VALUE"""),"")</f>
        <v/>
      </c>
      <c r="AK2828" s="2" t="str">
        <f>IFERROR(__xludf.DUMMYFUNCTION("""COMPUTED_VALUE"""),"")</f>
        <v/>
      </c>
      <c r="AL2828" s="2" t="str">
        <f>IFERROR(__xludf.DUMMYFUNCTION("""COMPUTED_VALUE"""),"")</f>
        <v/>
      </c>
      <c r="AM2828" s="2" t="str">
        <f>IFERROR(__xludf.DUMMYFUNCTION("""COMPUTED_VALUE"""),"")</f>
        <v/>
      </c>
      <c r="AN2828" s="2" t="str">
        <f>IFERROR(__xludf.DUMMYFUNCTION("""COMPUTED_VALUE""")," ")</f>
        <v> </v>
      </c>
      <c r="AO2828" s="2" t="str">
        <f>IFERROR(__xludf.DUMMYFUNCTION("""COMPUTED_VALUE""")," ")</f>
        <v> </v>
      </c>
      <c r="AP2828" s="2" t="str">
        <f>IFERROR(__xludf.DUMMYFUNCTION("""COMPUTED_VALUE"""),"")</f>
        <v/>
      </c>
      <c r="AQ2828" s="2"/>
      <c r="AR2828" s="2"/>
      <c r="AS2828" s="2"/>
      <c r="AT2828" s="2"/>
      <c r="AU2828" s="2"/>
      <c r="AV2828" s="2"/>
      <c r="AW2828" s="2"/>
      <c r="AX2828" s="2"/>
      <c r="AY2828" s="2"/>
      <c r="AZ2828" s="2"/>
      <c r="BA2828" s="2"/>
      <c r="BB2828" s="2"/>
    </row>
    <row r="2829">
      <c r="A2829" s="2"/>
      <c r="B2829" s="2" t="str">
        <f>IFERROR(__xludf.DUMMYFUNCTION("""COMPUTED_VALUE"""),"")</f>
        <v/>
      </c>
      <c r="C2829" s="2"/>
      <c r="D2829" s="71"/>
      <c r="E2829" s="71" t="str">
        <f>IFERROR(__xludf.DUMMYFUNCTION("""COMPUTED_VALUE""")," ")</f>
        <v> </v>
      </c>
      <c r="F2829" s="2"/>
      <c r="G2829" s="2"/>
      <c r="H2829" s="2"/>
      <c r="I2829" s="72"/>
      <c r="J2829" s="72"/>
      <c r="K2829" s="72"/>
      <c r="L2829" s="72"/>
      <c r="M2829" s="2"/>
      <c r="N2829" s="2"/>
      <c r="O2829" s="2"/>
      <c r="P2829" s="2"/>
      <c r="Q2829" s="2"/>
      <c r="R2829" s="2"/>
      <c r="S2829" s="2"/>
      <c r="T2829" s="2"/>
      <c r="U2829" s="2"/>
      <c r="V2829" s="2"/>
      <c r="W2829" s="2"/>
      <c r="X2829" s="2"/>
      <c r="Y2829" s="2"/>
      <c r="Z2829" s="2"/>
      <c r="AA2829" s="2"/>
      <c r="AB2829" s="2"/>
      <c r="AC2829" s="2"/>
      <c r="AD2829" s="2"/>
      <c r="AE2829" s="2"/>
      <c r="AF2829" s="2"/>
      <c r="AG2829" s="2"/>
      <c r="AH2829" s="2"/>
      <c r="AI2829" s="2"/>
      <c r="AJ2829" s="2" t="str">
        <f>IFERROR(__xludf.DUMMYFUNCTION("""COMPUTED_VALUE"""),"")</f>
        <v/>
      </c>
      <c r="AK2829" s="2" t="str">
        <f>IFERROR(__xludf.DUMMYFUNCTION("""COMPUTED_VALUE"""),"")</f>
        <v/>
      </c>
      <c r="AL2829" s="2" t="str">
        <f>IFERROR(__xludf.DUMMYFUNCTION("""COMPUTED_VALUE"""),"")</f>
        <v/>
      </c>
      <c r="AM2829" s="2" t="str">
        <f>IFERROR(__xludf.DUMMYFUNCTION("""COMPUTED_VALUE"""),"")</f>
        <v/>
      </c>
      <c r="AN2829" s="2" t="str">
        <f>IFERROR(__xludf.DUMMYFUNCTION("""COMPUTED_VALUE""")," ")</f>
        <v> </v>
      </c>
      <c r="AO2829" s="2" t="str">
        <f>IFERROR(__xludf.DUMMYFUNCTION("""COMPUTED_VALUE""")," ")</f>
        <v> </v>
      </c>
      <c r="AP2829" s="2" t="str">
        <f>IFERROR(__xludf.DUMMYFUNCTION("""COMPUTED_VALUE"""),"")</f>
        <v/>
      </c>
      <c r="AQ2829" s="2"/>
      <c r="AR2829" s="2"/>
      <c r="AS2829" s="2"/>
      <c r="AT2829" s="2"/>
      <c r="AU2829" s="2"/>
      <c r="AV2829" s="2"/>
      <c r="AW2829" s="2"/>
      <c r="AX2829" s="2"/>
      <c r="AY2829" s="2"/>
      <c r="AZ2829" s="2"/>
      <c r="BA2829" s="2"/>
      <c r="BB2829" s="2"/>
    </row>
    <row r="2830">
      <c r="A2830" s="2"/>
      <c r="B2830" s="2" t="str">
        <f>IFERROR(__xludf.DUMMYFUNCTION("""COMPUTED_VALUE"""),"")</f>
        <v/>
      </c>
      <c r="C2830" s="2"/>
      <c r="D2830" s="71"/>
      <c r="E2830" s="71" t="str">
        <f>IFERROR(__xludf.DUMMYFUNCTION("""COMPUTED_VALUE""")," ")</f>
        <v> </v>
      </c>
      <c r="F2830" s="2"/>
      <c r="G2830" s="2"/>
      <c r="H2830" s="2"/>
      <c r="I2830" s="72"/>
      <c r="J2830" s="72"/>
      <c r="K2830" s="72"/>
      <c r="L2830" s="72"/>
      <c r="M2830" s="2"/>
      <c r="N2830" s="2"/>
      <c r="O2830" s="2"/>
      <c r="P2830" s="2"/>
      <c r="Q2830" s="2"/>
      <c r="R2830" s="2"/>
      <c r="S2830" s="2"/>
      <c r="T2830" s="2"/>
      <c r="U2830" s="2"/>
      <c r="V2830" s="2"/>
      <c r="W2830" s="2"/>
      <c r="X2830" s="2"/>
      <c r="Y2830" s="2"/>
      <c r="Z2830" s="2"/>
      <c r="AA2830" s="2"/>
      <c r="AB2830" s="2"/>
      <c r="AC2830" s="2"/>
      <c r="AD2830" s="2"/>
      <c r="AE2830" s="2"/>
      <c r="AF2830" s="2"/>
      <c r="AG2830" s="2"/>
      <c r="AH2830" s="2"/>
      <c r="AI2830" s="2"/>
      <c r="AJ2830" s="2" t="str">
        <f>IFERROR(__xludf.DUMMYFUNCTION("""COMPUTED_VALUE"""),"")</f>
        <v/>
      </c>
      <c r="AK2830" s="2" t="str">
        <f>IFERROR(__xludf.DUMMYFUNCTION("""COMPUTED_VALUE"""),"")</f>
        <v/>
      </c>
      <c r="AL2830" s="2" t="str">
        <f>IFERROR(__xludf.DUMMYFUNCTION("""COMPUTED_VALUE"""),"")</f>
        <v/>
      </c>
      <c r="AM2830" s="2" t="str">
        <f>IFERROR(__xludf.DUMMYFUNCTION("""COMPUTED_VALUE"""),"")</f>
        <v/>
      </c>
      <c r="AN2830" s="2" t="str">
        <f>IFERROR(__xludf.DUMMYFUNCTION("""COMPUTED_VALUE""")," ")</f>
        <v> </v>
      </c>
      <c r="AO2830" s="2" t="str">
        <f>IFERROR(__xludf.DUMMYFUNCTION("""COMPUTED_VALUE""")," ")</f>
        <v> </v>
      </c>
      <c r="AP2830" s="2" t="str">
        <f>IFERROR(__xludf.DUMMYFUNCTION("""COMPUTED_VALUE"""),"")</f>
        <v/>
      </c>
      <c r="AQ2830" s="2"/>
      <c r="AR2830" s="2"/>
      <c r="AS2830" s="2"/>
      <c r="AT2830" s="2"/>
      <c r="AU2830" s="2"/>
      <c r="AV2830" s="2"/>
      <c r="AW2830" s="2"/>
      <c r="AX2830" s="2"/>
      <c r="AY2830" s="2"/>
      <c r="AZ2830" s="2"/>
      <c r="BA2830" s="2"/>
      <c r="BB2830" s="2"/>
    </row>
    <row r="2831">
      <c r="A2831" s="2"/>
      <c r="B2831" s="2" t="str">
        <f>IFERROR(__xludf.DUMMYFUNCTION("""COMPUTED_VALUE"""),"")</f>
        <v/>
      </c>
      <c r="C2831" s="2"/>
      <c r="D2831" s="71"/>
      <c r="E2831" s="71" t="str">
        <f>IFERROR(__xludf.DUMMYFUNCTION("""COMPUTED_VALUE""")," ")</f>
        <v> </v>
      </c>
      <c r="F2831" s="2"/>
      <c r="G2831" s="2"/>
      <c r="H2831" s="2"/>
      <c r="I2831" s="72"/>
      <c r="J2831" s="72"/>
      <c r="K2831" s="72"/>
      <c r="L2831" s="72"/>
      <c r="M2831" s="2"/>
      <c r="N2831" s="2"/>
      <c r="O2831" s="2"/>
      <c r="P2831" s="2"/>
      <c r="Q2831" s="2"/>
      <c r="R2831" s="2"/>
      <c r="S2831" s="2"/>
      <c r="T2831" s="2"/>
      <c r="U2831" s="2"/>
      <c r="V2831" s="2"/>
      <c r="W2831" s="2"/>
      <c r="X2831" s="2"/>
      <c r="Y2831" s="2"/>
      <c r="Z2831" s="2"/>
      <c r="AA2831" s="2"/>
      <c r="AB2831" s="2"/>
      <c r="AC2831" s="2"/>
      <c r="AD2831" s="2"/>
      <c r="AE2831" s="2"/>
      <c r="AF2831" s="2"/>
      <c r="AG2831" s="2"/>
      <c r="AH2831" s="2"/>
      <c r="AI2831" s="2"/>
      <c r="AJ2831" s="2" t="str">
        <f>IFERROR(__xludf.DUMMYFUNCTION("""COMPUTED_VALUE"""),"")</f>
        <v/>
      </c>
      <c r="AK2831" s="2" t="str">
        <f>IFERROR(__xludf.DUMMYFUNCTION("""COMPUTED_VALUE"""),"")</f>
        <v/>
      </c>
      <c r="AL2831" s="2" t="str">
        <f>IFERROR(__xludf.DUMMYFUNCTION("""COMPUTED_VALUE"""),"")</f>
        <v/>
      </c>
      <c r="AM2831" s="2" t="str">
        <f>IFERROR(__xludf.DUMMYFUNCTION("""COMPUTED_VALUE"""),"")</f>
        <v/>
      </c>
      <c r="AN2831" s="2" t="str">
        <f>IFERROR(__xludf.DUMMYFUNCTION("""COMPUTED_VALUE""")," ")</f>
        <v> </v>
      </c>
      <c r="AO2831" s="2" t="str">
        <f>IFERROR(__xludf.DUMMYFUNCTION("""COMPUTED_VALUE""")," ")</f>
        <v> </v>
      </c>
      <c r="AP2831" s="2" t="str">
        <f>IFERROR(__xludf.DUMMYFUNCTION("""COMPUTED_VALUE"""),"")</f>
        <v/>
      </c>
      <c r="AQ2831" s="2"/>
      <c r="AR2831" s="2"/>
      <c r="AS2831" s="2"/>
      <c r="AT2831" s="2"/>
      <c r="AU2831" s="2"/>
      <c r="AV2831" s="2"/>
      <c r="AW2831" s="2"/>
      <c r="AX2831" s="2"/>
      <c r="AY2831" s="2"/>
      <c r="AZ2831" s="2"/>
      <c r="BA2831" s="2"/>
      <c r="BB2831" s="2"/>
    </row>
    <row r="2832">
      <c r="A2832" s="2"/>
      <c r="B2832" s="2" t="str">
        <f>IFERROR(__xludf.DUMMYFUNCTION("""COMPUTED_VALUE"""),"")</f>
        <v/>
      </c>
      <c r="C2832" s="2"/>
      <c r="D2832" s="71"/>
      <c r="E2832" s="71" t="str">
        <f>IFERROR(__xludf.DUMMYFUNCTION("""COMPUTED_VALUE""")," ")</f>
        <v> </v>
      </c>
      <c r="F2832" s="2"/>
      <c r="G2832" s="2"/>
      <c r="H2832" s="2"/>
      <c r="I2832" s="72"/>
      <c r="J2832" s="72"/>
      <c r="K2832" s="72"/>
      <c r="L2832" s="72"/>
      <c r="M2832" s="2"/>
      <c r="N2832" s="2"/>
      <c r="O2832" s="2"/>
      <c r="P2832" s="2"/>
      <c r="Q2832" s="2"/>
      <c r="R2832" s="2"/>
      <c r="S2832" s="2"/>
      <c r="T2832" s="2"/>
      <c r="U2832" s="2"/>
      <c r="V2832" s="2"/>
      <c r="W2832" s="2"/>
      <c r="X2832" s="2"/>
      <c r="Y2832" s="2"/>
      <c r="Z2832" s="2"/>
      <c r="AA2832" s="2"/>
      <c r="AB2832" s="2"/>
      <c r="AC2832" s="2"/>
      <c r="AD2832" s="2"/>
      <c r="AE2832" s="2"/>
      <c r="AF2832" s="2"/>
      <c r="AG2832" s="2"/>
      <c r="AH2832" s="2"/>
      <c r="AI2832" s="2"/>
      <c r="AJ2832" s="2" t="str">
        <f>IFERROR(__xludf.DUMMYFUNCTION("""COMPUTED_VALUE"""),"")</f>
        <v/>
      </c>
      <c r="AK2832" s="2" t="str">
        <f>IFERROR(__xludf.DUMMYFUNCTION("""COMPUTED_VALUE"""),"")</f>
        <v/>
      </c>
      <c r="AL2832" s="2" t="str">
        <f>IFERROR(__xludf.DUMMYFUNCTION("""COMPUTED_VALUE"""),"")</f>
        <v/>
      </c>
      <c r="AM2832" s="2" t="str">
        <f>IFERROR(__xludf.DUMMYFUNCTION("""COMPUTED_VALUE"""),"")</f>
        <v/>
      </c>
      <c r="AN2832" s="2" t="str">
        <f>IFERROR(__xludf.DUMMYFUNCTION("""COMPUTED_VALUE""")," ")</f>
        <v> </v>
      </c>
      <c r="AO2832" s="2" t="str">
        <f>IFERROR(__xludf.DUMMYFUNCTION("""COMPUTED_VALUE""")," ")</f>
        <v> </v>
      </c>
      <c r="AP2832" s="2" t="str">
        <f>IFERROR(__xludf.DUMMYFUNCTION("""COMPUTED_VALUE"""),"")</f>
        <v/>
      </c>
      <c r="AQ2832" s="2"/>
      <c r="AR2832" s="2"/>
      <c r="AS2832" s="2"/>
      <c r="AT2832" s="2"/>
      <c r="AU2832" s="2"/>
      <c r="AV2832" s="2"/>
      <c r="AW2832" s="2"/>
      <c r="AX2832" s="2"/>
      <c r="AY2832" s="2"/>
      <c r="AZ2832" s="2"/>
      <c r="BA2832" s="2"/>
      <c r="BB2832" s="2"/>
    </row>
    <row r="2833">
      <c r="A2833" s="2"/>
      <c r="B2833" s="2" t="str">
        <f>IFERROR(__xludf.DUMMYFUNCTION("""COMPUTED_VALUE"""),"")</f>
        <v/>
      </c>
      <c r="C2833" s="2"/>
      <c r="D2833" s="71"/>
      <c r="E2833" s="71" t="str">
        <f>IFERROR(__xludf.DUMMYFUNCTION("""COMPUTED_VALUE""")," ")</f>
        <v> </v>
      </c>
      <c r="F2833" s="2"/>
      <c r="G2833" s="2"/>
      <c r="H2833" s="2"/>
      <c r="I2833" s="72"/>
      <c r="J2833" s="72"/>
      <c r="K2833" s="72"/>
      <c r="L2833" s="72"/>
      <c r="M2833" s="2"/>
      <c r="N2833" s="2"/>
      <c r="O2833" s="2"/>
      <c r="P2833" s="2"/>
      <c r="Q2833" s="2"/>
      <c r="R2833" s="2"/>
      <c r="S2833" s="2"/>
      <c r="T2833" s="2"/>
      <c r="U2833" s="2"/>
      <c r="V2833" s="2"/>
      <c r="W2833" s="2"/>
      <c r="X2833" s="2"/>
      <c r="Y2833" s="2"/>
      <c r="Z2833" s="2"/>
      <c r="AA2833" s="2"/>
      <c r="AB2833" s="2"/>
      <c r="AC2833" s="2"/>
      <c r="AD2833" s="2"/>
      <c r="AE2833" s="2"/>
      <c r="AF2833" s="2"/>
      <c r="AG2833" s="2"/>
      <c r="AH2833" s="2"/>
      <c r="AI2833" s="2"/>
      <c r="AJ2833" s="2" t="str">
        <f>IFERROR(__xludf.DUMMYFUNCTION("""COMPUTED_VALUE"""),"")</f>
        <v/>
      </c>
      <c r="AK2833" s="2" t="str">
        <f>IFERROR(__xludf.DUMMYFUNCTION("""COMPUTED_VALUE"""),"")</f>
        <v/>
      </c>
      <c r="AL2833" s="2" t="str">
        <f>IFERROR(__xludf.DUMMYFUNCTION("""COMPUTED_VALUE"""),"")</f>
        <v/>
      </c>
      <c r="AM2833" s="2" t="str">
        <f>IFERROR(__xludf.DUMMYFUNCTION("""COMPUTED_VALUE"""),"")</f>
        <v/>
      </c>
      <c r="AN2833" s="2" t="str">
        <f>IFERROR(__xludf.DUMMYFUNCTION("""COMPUTED_VALUE""")," ")</f>
        <v> </v>
      </c>
      <c r="AO2833" s="2" t="str">
        <f>IFERROR(__xludf.DUMMYFUNCTION("""COMPUTED_VALUE""")," ")</f>
        <v> </v>
      </c>
      <c r="AP2833" s="2" t="str">
        <f>IFERROR(__xludf.DUMMYFUNCTION("""COMPUTED_VALUE"""),"")</f>
        <v/>
      </c>
      <c r="AQ2833" s="2"/>
      <c r="AR2833" s="2"/>
      <c r="AS2833" s="2"/>
      <c r="AT2833" s="2"/>
      <c r="AU2833" s="2"/>
      <c r="AV2833" s="2"/>
      <c r="AW2833" s="2"/>
      <c r="AX2833" s="2"/>
      <c r="AY2833" s="2"/>
      <c r="AZ2833" s="2"/>
      <c r="BA2833" s="2"/>
      <c r="BB2833" s="2"/>
    </row>
    <row r="2834">
      <c r="A2834" s="2"/>
      <c r="B2834" s="2" t="str">
        <f>IFERROR(__xludf.DUMMYFUNCTION("""COMPUTED_VALUE"""),"")</f>
        <v/>
      </c>
      <c r="C2834" s="2"/>
      <c r="D2834" s="71"/>
      <c r="E2834" s="71" t="str">
        <f>IFERROR(__xludf.DUMMYFUNCTION("""COMPUTED_VALUE""")," ")</f>
        <v> </v>
      </c>
      <c r="F2834" s="2"/>
      <c r="G2834" s="2"/>
      <c r="H2834" s="2"/>
      <c r="I2834" s="72"/>
      <c r="J2834" s="72"/>
      <c r="K2834" s="72"/>
      <c r="L2834" s="72"/>
      <c r="M2834" s="2"/>
      <c r="N2834" s="2"/>
      <c r="O2834" s="2"/>
      <c r="P2834" s="2"/>
      <c r="Q2834" s="2"/>
      <c r="R2834" s="2"/>
      <c r="S2834" s="2"/>
      <c r="T2834" s="2"/>
      <c r="U2834" s="2"/>
      <c r="V2834" s="2"/>
      <c r="W2834" s="2"/>
      <c r="X2834" s="2"/>
      <c r="Y2834" s="2"/>
      <c r="Z2834" s="2"/>
      <c r="AA2834" s="2"/>
      <c r="AB2834" s="2"/>
      <c r="AC2834" s="2"/>
      <c r="AD2834" s="2"/>
      <c r="AE2834" s="2"/>
      <c r="AF2834" s="2"/>
      <c r="AG2834" s="2"/>
      <c r="AH2834" s="2"/>
      <c r="AI2834" s="2"/>
      <c r="AJ2834" s="2" t="str">
        <f>IFERROR(__xludf.DUMMYFUNCTION("""COMPUTED_VALUE"""),"")</f>
        <v/>
      </c>
      <c r="AK2834" s="2" t="str">
        <f>IFERROR(__xludf.DUMMYFUNCTION("""COMPUTED_VALUE"""),"")</f>
        <v/>
      </c>
      <c r="AL2834" s="2" t="str">
        <f>IFERROR(__xludf.DUMMYFUNCTION("""COMPUTED_VALUE"""),"")</f>
        <v/>
      </c>
      <c r="AM2834" s="2" t="str">
        <f>IFERROR(__xludf.DUMMYFUNCTION("""COMPUTED_VALUE"""),"")</f>
        <v/>
      </c>
      <c r="AN2834" s="2" t="str">
        <f>IFERROR(__xludf.DUMMYFUNCTION("""COMPUTED_VALUE""")," ")</f>
        <v> </v>
      </c>
      <c r="AO2834" s="2" t="str">
        <f>IFERROR(__xludf.DUMMYFUNCTION("""COMPUTED_VALUE""")," ")</f>
        <v> </v>
      </c>
      <c r="AP2834" s="2" t="str">
        <f>IFERROR(__xludf.DUMMYFUNCTION("""COMPUTED_VALUE"""),"")</f>
        <v/>
      </c>
      <c r="AQ2834" s="2"/>
      <c r="AR2834" s="2"/>
      <c r="AS2834" s="2"/>
      <c r="AT2834" s="2"/>
      <c r="AU2834" s="2"/>
      <c r="AV2834" s="2"/>
      <c r="AW2834" s="2"/>
      <c r="AX2834" s="2"/>
      <c r="AY2834" s="2"/>
      <c r="AZ2834" s="2"/>
      <c r="BA2834" s="2"/>
      <c r="BB2834" s="2"/>
    </row>
    <row r="2835">
      <c r="A2835" s="2"/>
      <c r="B2835" s="2" t="str">
        <f>IFERROR(__xludf.DUMMYFUNCTION("""COMPUTED_VALUE"""),"")</f>
        <v/>
      </c>
      <c r="C2835" s="2"/>
      <c r="D2835" s="71"/>
      <c r="E2835" s="71" t="str">
        <f>IFERROR(__xludf.DUMMYFUNCTION("""COMPUTED_VALUE""")," ")</f>
        <v> </v>
      </c>
      <c r="F2835" s="2"/>
      <c r="G2835" s="2"/>
      <c r="H2835" s="2"/>
      <c r="I2835" s="72"/>
      <c r="J2835" s="72"/>
      <c r="K2835" s="72"/>
      <c r="L2835" s="72"/>
      <c r="M2835" s="2"/>
      <c r="N2835" s="2"/>
      <c r="O2835" s="2"/>
      <c r="P2835" s="2"/>
      <c r="Q2835" s="2"/>
      <c r="R2835" s="2"/>
      <c r="S2835" s="2"/>
      <c r="T2835" s="2"/>
      <c r="U2835" s="2"/>
      <c r="V2835" s="2"/>
      <c r="W2835" s="2"/>
      <c r="X2835" s="2"/>
      <c r="Y2835" s="2"/>
      <c r="Z2835" s="2"/>
      <c r="AA2835" s="2"/>
      <c r="AB2835" s="2"/>
      <c r="AC2835" s="2"/>
      <c r="AD2835" s="2"/>
      <c r="AE2835" s="2"/>
      <c r="AF2835" s="2"/>
      <c r="AG2835" s="2"/>
      <c r="AH2835" s="2"/>
      <c r="AI2835" s="2"/>
      <c r="AJ2835" s="2" t="str">
        <f>IFERROR(__xludf.DUMMYFUNCTION("""COMPUTED_VALUE"""),"")</f>
        <v/>
      </c>
      <c r="AK2835" s="2" t="str">
        <f>IFERROR(__xludf.DUMMYFUNCTION("""COMPUTED_VALUE"""),"")</f>
        <v/>
      </c>
      <c r="AL2835" s="2" t="str">
        <f>IFERROR(__xludf.DUMMYFUNCTION("""COMPUTED_VALUE"""),"")</f>
        <v/>
      </c>
      <c r="AM2835" s="2" t="str">
        <f>IFERROR(__xludf.DUMMYFUNCTION("""COMPUTED_VALUE"""),"")</f>
        <v/>
      </c>
      <c r="AN2835" s="2" t="str">
        <f>IFERROR(__xludf.DUMMYFUNCTION("""COMPUTED_VALUE""")," ")</f>
        <v> </v>
      </c>
      <c r="AO2835" s="2" t="str">
        <f>IFERROR(__xludf.DUMMYFUNCTION("""COMPUTED_VALUE""")," ")</f>
        <v> </v>
      </c>
      <c r="AP2835" s="2" t="str">
        <f>IFERROR(__xludf.DUMMYFUNCTION("""COMPUTED_VALUE"""),"")</f>
        <v/>
      </c>
      <c r="AQ2835" s="2"/>
      <c r="AR2835" s="2"/>
      <c r="AS2835" s="2"/>
      <c r="AT2835" s="2"/>
      <c r="AU2835" s="2"/>
      <c r="AV2835" s="2"/>
      <c r="AW2835" s="2"/>
      <c r="AX2835" s="2"/>
      <c r="AY2835" s="2"/>
      <c r="AZ2835" s="2"/>
      <c r="BA2835" s="2"/>
      <c r="BB2835" s="2"/>
    </row>
    <row r="2836">
      <c r="A2836" s="2"/>
      <c r="B2836" s="2" t="str">
        <f>IFERROR(__xludf.DUMMYFUNCTION("""COMPUTED_VALUE"""),"")</f>
        <v/>
      </c>
      <c r="C2836" s="2"/>
      <c r="D2836" s="71"/>
      <c r="E2836" s="71" t="str">
        <f>IFERROR(__xludf.DUMMYFUNCTION("""COMPUTED_VALUE""")," ")</f>
        <v> </v>
      </c>
      <c r="F2836" s="2"/>
      <c r="G2836" s="2"/>
      <c r="H2836" s="2"/>
      <c r="I2836" s="72"/>
      <c r="J2836" s="72"/>
      <c r="K2836" s="72"/>
      <c r="L2836" s="72"/>
      <c r="M2836" s="2"/>
      <c r="N2836" s="2"/>
      <c r="O2836" s="2"/>
      <c r="P2836" s="2"/>
      <c r="Q2836" s="2"/>
      <c r="R2836" s="2"/>
      <c r="S2836" s="2"/>
      <c r="T2836" s="2"/>
      <c r="U2836" s="2"/>
      <c r="V2836" s="2"/>
      <c r="W2836" s="2"/>
      <c r="X2836" s="2"/>
      <c r="Y2836" s="2"/>
      <c r="Z2836" s="2"/>
      <c r="AA2836" s="2"/>
      <c r="AB2836" s="2"/>
      <c r="AC2836" s="2"/>
      <c r="AD2836" s="2"/>
      <c r="AE2836" s="2"/>
      <c r="AF2836" s="2"/>
      <c r="AG2836" s="2"/>
      <c r="AH2836" s="2"/>
      <c r="AI2836" s="2"/>
      <c r="AJ2836" s="2" t="str">
        <f>IFERROR(__xludf.DUMMYFUNCTION("""COMPUTED_VALUE"""),"")</f>
        <v/>
      </c>
      <c r="AK2836" s="2" t="str">
        <f>IFERROR(__xludf.DUMMYFUNCTION("""COMPUTED_VALUE"""),"")</f>
        <v/>
      </c>
      <c r="AL2836" s="2" t="str">
        <f>IFERROR(__xludf.DUMMYFUNCTION("""COMPUTED_VALUE"""),"")</f>
        <v/>
      </c>
      <c r="AM2836" s="2" t="str">
        <f>IFERROR(__xludf.DUMMYFUNCTION("""COMPUTED_VALUE"""),"")</f>
        <v/>
      </c>
      <c r="AN2836" s="2" t="str">
        <f>IFERROR(__xludf.DUMMYFUNCTION("""COMPUTED_VALUE""")," ")</f>
        <v> </v>
      </c>
      <c r="AO2836" s="2" t="str">
        <f>IFERROR(__xludf.DUMMYFUNCTION("""COMPUTED_VALUE""")," ")</f>
        <v> </v>
      </c>
      <c r="AP2836" s="2" t="str">
        <f>IFERROR(__xludf.DUMMYFUNCTION("""COMPUTED_VALUE"""),"")</f>
        <v/>
      </c>
      <c r="AQ2836" s="2"/>
      <c r="AR2836" s="2"/>
      <c r="AS2836" s="2"/>
      <c r="AT2836" s="2"/>
      <c r="AU2836" s="2"/>
      <c r="AV2836" s="2"/>
      <c r="AW2836" s="2"/>
      <c r="AX2836" s="2"/>
      <c r="AY2836" s="2"/>
      <c r="AZ2836" s="2"/>
      <c r="BA2836" s="2"/>
      <c r="BB2836" s="2"/>
    </row>
    <row r="2837">
      <c r="A2837" s="2"/>
      <c r="B2837" s="2" t="str">
        <f>IFERROR(__xludf.DUMMYFUNCTION("""COMPUTED_VALUE"""),"")</f>
        <v/>
      </c>
      <c r="C2837" s="2"/>
      <c r="D2837" s="71"/>
      <c r="E2837" s="71" t="str">
        <f>IFERROR(__xludf.DUMMYFUNCTION("""COMPUTED_VALUE""")," ")</f>
        <v> </v>
      </c>
      <c r="F2837" s="2"/>
      <c r="G2837" s="2"/>
      <c r="H2837" s="2"/>
      <c r="I2837" s="72"/>
      <c r="J2837" s="72"/>
      <c r="K2837" s="72"/>
      <c r="L2837" s="72"/>
      <c r="M2837" s="2"/>
      <c r="N2837" s="2"/>
      <c r="O2837" s="2"/>
      <c r="P2837" s="2"/>
      <c r="Q2837" s="2"/>
      <c r="R2837" s="2"/>
      <c r="S2837" s="2"/>
      <c r="T2837" s="2"/>
      <c r="U2837" s="2"/>
      <c r="V2837" s="2"/>
      <c r="W2837" s="2"/>
      <c r="X2837" s="2"/>
      <c r="Y2837" s="2"/>
      <c r="Z2837" s="2"/>
      <c r="AA2837" s="2"/>
      <c r="AB2837" s="2"/>
      <c r="AC2837" s="2"/>
      <c r="AD2837" s="2"/>
      <c r="AE2837" s="2"/>
      <c r="AF2837" s="2"/>
      <c r="AG2837" s="2"/>
      <c r="AH2837" s="2"/>
      <c r="AI2837" s="2"/>
      <c r="AJ2837" s="2" t="str">
        <f>IFERROR(__xludf.DUMMYFUNCTION("""COMPUTED_VALUE"""),"")</f>
        <v/>
      </c>
      <c r="AK2837" s="2" t="str">
        <f>IFERROR(__xludf.DUMMYFUNCTION("""COMPUTED_VALUE"""),"")</f>
        <v/>
      </c>
      <c r="AL2837" s="2" t="str">
        <f>IFERROR(__xludf.DUMMYFUNCTION("""COMPUTED_VALUE"""),"")</f>
        <v/>
      </c>
      <c r="AM2837" s="2" t="str">
        <f>IFERROR(__xludf.DUMMYFUNCTION("""COMPUTED_VALUE"""),"")</f>
        <v/>
      </c>
      <c r="AN2837" s="2" t="str">
        <f>IFERROR(__xludf.DUMMYFUNCTION("""COMPUTED_VALUE""")," ")</f>
        <v> </v>
      </c>
      <c r="AO2837" s="2" t="str">
        <f>IFERROR(__xludf.DUMMYFUNCTION("""COMPUTED_VALUE""")," ")</f>
        <v> </v>
      </c>
      <c r="AP2837" s="2" t="str">
        <f>IFERROR(__xludf.DUMMYFUNCTION("""COMPUTED_VALUE"""),"")</f>
        <v/>
      </c>
      <c r="AQ2837" s="2"/>
      <c r="AR2837" s="2"/>
      <c r="AS2837" s="2"/>
      <c r="AT2837" s="2"/>
      <c r="AU2837" s="2"/>
      <c r="AV2837" s="2"/>
      <c r="AW2837" s="2"/>
      <c r="AX2837" s="2"/>
      <c r="AY2837" s="2"/>
      <c r="AZ2837" s="2"/>
      <c r="BA2837" s="2"/>
      <c r="BB2837" s="2"/>
    </row>
    <row r="2838">
      <c r="A2838" s="2"/>
      <c r="B2838" s="2" t="str">
        <f>IFERROR(__xludf.DUMMYFUNCTION("""COMPUTED_VALUE"""),"")</f>
        <v/>
      </c>
      <c r="C2838" s="2"/>
      <c r="D2838" s="71"/>
      <c r="E2838" s="71" t="str">
        <f>IFERROR(__xludf.DUMMYFUNCTION("""COMPUTED_VALUE""")," ")</f>
        <v> </v>
      </c>
      <c r="F2838" s="2"/>
      <c r="G2838" s="2"/>
      <c r="H2838" s="2"/>
      <c r="I2838" s="72"/>
      <c r="J2838" s="72"/>
      <c r="K2838" s="72"/>
      <c r="L2838" s="72"/>
      <c r="M2838" s="2"/>
      <c r="N2838" s="2"/>
      <c r="O2838" s="2"/>
      <c r="P2838" s="2"/>
      <c r="Q2838" s="2"/>
      <c r="R2838" s="2"/>
      <c r="S2838" s="2"/>
      <c r="T2838" s="2"/>
      <c r="U2838" s="2"/>
      <c r="V2838" s="2"/>
      <c r="W2838" s="2"/>
      <c r="X2838" s="2"/>
      <c r="Y2838" s="2"/>
      <c r="Z2838" s="2"/>
      <c r="AA2838" s="2"/>
      <c r="AB2838" s="2"/>
      <c r="AC2838" s="2"/>
      <c r="AD2838" s="2"/>
      <c r="AE2838" s="2"/>
      <c r="AF2838" s="2"/>
      <c r="AG2838" s="2"/>
      <c r="AH2838" s="2"/>
      <c r="AI2838" s="2"/>
      <c r="AJ2838" s="2" t="str">
        <f>IFERROR(__xludf.DUMMYFUNCTION("""COMPUTED_VALUE"""),"")</f>
        <v/>
      </c>
      <c r="AK2838" s="2" t="str">
        <f>IFERROR(__xludf.DUMMYFUNCTION("""COMPUTED_VALUE"""),"")</f>
        <v/>
      </c>
      <c r="AL2838" s="2" t="str">
        <f>IFERROR(__xludf.DUMMYFUNCTION("""COMPUTED_VALUE"""),"")</f>
        <v/>
      </c>
      <c r="AM2838" s="2" t="str">
        <f>IFERROR(__xludf.DUMMYFUNCTION("""COMPUTED_VALUE"""),"")</f>
        <v/>
      </c>
      <c r="AN2838" s="2" t="str">
        <f>IFERROR(__xludf.DUMMYFUNCTION("""COMPUTED_VALUE""")," ")</f>
        <v> </v>
      </c>
      <c r="AO2838" s="2" t="str">
        <f>IFERROR(__xludf.DUMMYFUNCTION("""COMPUTED_VALUE""")," ")</f>
        <v> </v>
      </c>
      <c r="AP2838" s="2" t="str">
        <f>IFERROR(__xludf.DUMMYFUNCTION("""COMPUTED_VALUE"""),"")</f>
        <v/>
      </c>
      <c r="AQ2838" s="2"/>
      <c r="AR2838" s="2"/>
      <c r="AS2838" s="2"/>
      <c r="AT2838" s="2"/>
      <c r="AU2838" s="2"/>
      <c r="AV2838" s="2"/>
      <c r="AW2838" s="2"/>
      <c r="AX2838" s="2"/>
      <c r="AY2838" s="2"/>
      <c r="AZ2838" s="2"/>
      <c r="BA2838" s="2"/>
      <c r="BB2838" s="2"/>
    </row>
    <row r="2839">
      <c r="A2839" s="2"/>
      <c r="B2839" s="2" t="str">
        <f>IFERROR(__xludf.DUMMYFUNCTION("""COMPUTED_VALUE"""),"")</f>
        <v/>
      </c>
      <c r="C2839" s="2"/>
      <c r="D2839" s="71"/>
      <c r="E2839" s="71" t="str">
        <f>IFERROR(__xludf.DUMMYFUNCTION("""COMPUTED_VALUE""")," ")</f>
        <v> </v>
      </c>
      <c r="F2839" s="2"/>
      <c r="G2839" s="2"/>
      <c r="H2839" s="2"/>
      <c r="I2839" s="72"/>
      <c r="J2839" s="72"/>
      <c r="K2839" s="72"/>
      <c r="L2839" s="72"/>
      <c r="M2839" s="2"/>
      <c r="N2839" s="2"/>
      <c r="O2839" s="2"/>
      <c r="P2839" s="2"/>
      <c r="Q2839" s="2"/>
      <c r="R2839" s="2"/>
      <c r="S2839" s="2"/>
      <c r="T2839" s="2"/>
      <c r="U2839" s="2"/>
      <c r="V2839" s="2"/>
      <c r="W2839" s="2"/>
      <c r="X2839" s="2"/>
      <c r="Y2839" s="2"/>
      <c r="Z2839" s="2"/>
      <c r="AA2839" s="2"/>
      <c r="AB2839" s="2"/>
      <c r="AC2839" s="2"/>
      <c r="AD2839" s="2"/>
      <c r="AE2839" s="2"/>
      <c r="AF2839" s="2"/>
      <c r="AG2839" s="2"/>
      <c r="AH2839" s="2"/>
      <c r="AI2839" s="2"/>
      <c r="AJ2839" s="2" t="str">
        <f>IFERROR(__xludf.DUMMYFUNCTION("""COMPUTED_VALUE"""),"")</f>
        <v/>
      </c>
      <c r="AK2839" s="2" t="str">
        <f>IFERROR(__xludf.DUMMYFUNCTION("""COMPUTED_VALUE"""),"")</f>
        <v/>
      </c>
      <c r="AL2839" s="2" t="str">
        <f>IFERROR(__xludf.DUMMYFUNCTION("""COMPUTED_VALUE"""),"")</f>
        <v/>
      </c>
      <c r="AM2839" s="2" t="str">
        <f>IFERROR(__xludf.DUMMYFUNCTION("""COMPUTED_VALUE"""),"")</f>
        <v/>
      </c>
      <c r="AN2839" s="2" t="str">
        <f>IFERROR(__xludf.DUMMYFUNCTION("""COMPUTED_VALUE""")," ")</f>
        <v> </v>
      </c>
      <c r="AO2839" s="2" t="str">
        <f>IFERROR(__xludf.DUMMYFUNCTION("""COMPUTED_VALUE""")," ")</f>
        <v> </v>
      </c>
      <c r="AP2839" s="2" t="str">
        <f>IFERROR(__xludf.DUMMYFUNCTION("""COMPUTED_VALUE"""),"")</f>
        <v/>
      </c>
      <c r="AQ2839" s="2"/>
      <c r="AR2839" s="2"/>
      <c r="AS2839" s="2"/>
      <c r="AT2839" s="2"/>
      <c r="AU2839" s="2"/>
      <c r="AV2839" s="2"/>
      <c r="AW2839" s="2"/>
      <c r="AX2839" s="2"/>
      <c r="AY2839" s="2"/>
      <c r="AZ2839" s="2"/>
      <c r="BA2839" s="2"/>
      <c r="BB2839" s="2"/>
    </row>
    <row r="2840">
      <c r="A2840" s="2"/>
      <c r="B2840" s="2" t="str">
        <f>IFERROR(__xludf.DUMMYFUNCTION("""COMPUTED_VALUE"""),"")</f>
        <v/>
      </c>
      <c r="C2840" s="2"/>
      <c r="D2840" s="71"/>
      <c r="E2840" s="71" t="str">
        <f>IFERROR(__xludf.DUMMYFUNCTION("""COMPUTED_VALUE""")," ")</f>
        <v> </v>
      </c>
      <c r="F2840" s="2"/>
      <c r="G2840" s="2"/>
      <c r="H2840" s="2"/>
      <c r="I2840" s="72"/>
      <c r="J2840" s="72"/>
      <c r="K2840" s="72"/>
      <c r="L2840" s="72"/>
      <c r="M2840" s="2"/>
      <c r="N2840" s="2"/>
      <c r="O2840" s="2"/>
      <c r="P2840" s="2"/>
      <c r="Q2840" s="2"/>
      <c r="R2840" s="2"/>
      <c r="S2840" s="2"/>
      <c r="T2840" s="2"/>
      <c r="U2840" s="2"/>
      <c r="V2840" s="2"/>
      <c r="W2840" s="2"/>
      <c r="X2840" s="2"/>
      <c r="Y2840" s="2"/>
      <c r="Z2840" s="2"/>
      <c r="AA2840" s="2"/>
      <c r="AB2840" s="2"/>
      <c r="AC2840" s="2"/>
      <c r="AD2840" s="2"/>
      <c r="AE2840" s="2"/>
      <c r="AF2840" s="2"/>
      <c r="AG2840" s="2"/>
      <c r="AH2840" s="2"/>
      <c r="AI2840" s="2"/>
      <c r="AJ2840" s="2" t="str">
        <f>IFERROR(__xludf.DUMMYFUNCTION("""COMPUTED_VALUE"""),"")</f>
        <v/>
      </c>
      <c r="AK2840" s="2" t="str">
        <f>IFERROR(__xludf.DUMMYFUNCTION("""COMPUTED_VALUE"""),"")</f>
        <v/>
      </c>
      <c r="AL2840" s="2" t="str">
        <f>IFERROR(__xludf.DUMMYFUNCTION("""COMPUTED_VALUE"""),"")</f>
        <v/>
      </c>
      <c r="AM2840" s="2" t="str">
        <f>IFERROR(__xludf.DUMMYFUNCTION("""COMPUTED_VALUE"""),"")</f>
        <v/>
      </c>
      <c r="AN2840" s="2" t="str">
        <f>IFERROR(__xludf.DUMMYFUNCTION("""COMPUTED_VALUE""")," ")</f>
        <v> </v>
      </c>
      <c r="AO2840" s="2" t="str">
        <f>IFERROR(__xludf.DUMMYFUNCTION("""COMPUTED_VALUE""")," ")</f>
        <v> </v>
      </c>
      <c r="AP2840" s="2" t="str">
        <f>IFERROR(__xludf.DUMMYFUNCTION("""COMPUTED_VALUE"""),"")</f>
        <v/>
      </c>
      <c r="AQ2840" s="2"/>
      <c r="AR2840" s="2"/>
      <c r="AS2840" s="2"/>
      <c r="AT2840" s="2"/>
      <c r="AU2840" s="2"/>
      <c r="AV2840" s="2"/>
      <c r="AW2840" s="2"/>
      <c r="AX2840" s="2"/>
      <c r="AY2840" s="2"/>
      <c r="AZ2840" s="2"/>
      <c r="BA2840" s="2"/>
      <c r="BB2840" s="2"/>
    </row>
    <row r="2841">
      <c r="A2841" s="2"/>
      <c r="B2841" s="2" t="str">
        <f>IFERROR(__xludf.DUMMYFUNCTION("""COMPUTED_VALUE"""),"")</f>
        <v/>
      </c>
      <c r="C2841" s="2"/>
      <c r="D2841" s="71"/>
      <c r="E2841" s="71" t="str">
        <f>IFERROR(__xludf.DUMMYFUNCTION("""COMPUTED_VALUE""")," ")</f>
        <v> </v>
      </c>
      <c r="F2841" s="2"/>
      <c r="G2841" s="2"/>
      <c r="H2841" s="2"/>
      <c r="I2841" s="72"/>
      <c r="J2841" s="72"/>
      <c r="K2841" s="72"/>
      <c r="L2841" s="72"/>
      <c r="M2841" s="2"/>
      <c r="N2841" s="2"/>
      <c r="O2841" s="2"/>
      <c r="P2841" s="2"/>
      <c r="Q2841" s="2"/>
      <c r="R2841" s="2"/>
      <c r="S2841" s="2"/>
      <c r="T2841" s="2"/>
      <c r="U2841" s="2"/>
      <c r="V2841" s="2"/>
      <c r="W2841" s="2"/>
      <c r="X2841" s="2"/>
      <c r="Y2841" s="2"/>
      <c r="Z2841" s="2"/>
      <c r="AA2841" s="2"/>
      <c r="AB2841" s="2"/>
      <c r="AC2841" s="2"/>
      <c r="AD2841" s="2"/>
      <c r="AE2841" s="2"/>
      <c r="AF2841" s="2"/>
      <c r="AG2841" s="2"/>
      <c r="AH2841" s="2"/>
      <c r="AI2841" s="2"/>
      <c r="AJ2841" s="2" t="str">
        <f>IFERROR(__xludf.DUMMYFUNCTION("""COMPUTED_VALUE"""),"")</f>
        <v/>
      </c>
      <c r="AK2841" s="2" t="str">
        <f>IFERROR(__xludf.DUMMYFUNCTION("""COMPUTED_VALUE"""),"")</f>
        <v/>
      </c>
      <c r="AL2841" s="2" t="str">
        <f>IFERROR(__xludf.DUMMYFUNCTION("""COMPUTED_VALUE"""),"")</f>
        <v/>
      </c>
      <c r="AM2841" s="2" t="str">
        <f>IFERROR(__xludf.DUMMYFUNCTION("""COMPUTED_VALUE"""),"")</f>
        <v/>
      </c>
      <c r="AN2841" s="2" t="str">
        <f>IFERROR(__xludf.DUMMYFUNCTION("""COMPUTED_VALUE""")," ")</f>
        <v> </v>
      </c>
      <c r="AO2841" s="2" t="str">
        <f>IFERROR(__xludf.DUMMYFUNCTION("""COMPUTED_VALUE""")," ")</f>
        <v> </v>
      </c>
      <c r="AP2841" s="2" t="str">
        <f>IFERROR(__xludf.DUMMYFUNCTION("""COMPUTED_VALUE"""),"")</f>
        <v/>
      </c>
      <c r="AQ2841" s="2"/>
      <c r="AR2841" s="2"/>
      <c r="AS2841" s="2"/>
      <c r="AT2841" s="2"/>
      <c r="AU2841" s="2"/>
      <c r="AV2841" s="2"/>
      <c r="AW2841" s="2"/>
      <c r="AX2841" s="2"/>
      <c r="AY2841" s="2"/>
      <c r="AZ2841" s="2"/>
      <c r="BA2841" s="2"/>
      <c r="BB2841" s="2"/>
    </row>
    <row r="2842">
      <c r="A2842" s="2"/>
      <c r="B2842" s="2" t="str">
        <f>IFERROR(__xludf.DUMMYFUNCTION("""COMPUTED_VALUE"""),"")</f>
        <v/>
      </c>
      <c r="C2842" s="2"/>
      <c r="D2842" s="71"/>
      <c r="E2842" s="71" t="str">
        <f>IFERROR(__xludf.DUMMYFUNCTION("""COMPUTED_VALUE""")," ")</f>
        <v> </v>
      </c>
      <c r="F2842" s="2"/>
      <c r="G2842" s="2"/>
      <c r="H2842" s="2"/>
      <c r="I2842" s="72"/>
      <c r="J2842" s="72"/>
      <c r="K2842" s="72"/>
      <c r="L2842" s="72"/>
      <c r="M2842" s="2"/>
      <c r="N2842" s="2"/>
      <c r="O2842" s="2"/>
      <c r="P2842" s="2"/>
      <c r="Q2842" s="2"/>
      <c r="R2842" s="2"/>
      <c r="S2842" s="2"/>
      <c r="T2842" s="2"/>
      <c r="U2842" s="2"/>
      <c r="V2842" s="2"/>
      <c r="W2842" s="2"/>
      <c r="X2842" s="2"/>
      <c r="Y2842" s="2"/>
      <c r="Z2842" s="2"/>
      <c r="AA2842" s="2"/>
      <c r="AB2842" s="2"/>
      <c r="AC2842" s="2"/>
      <c r="AD2842" s="2"/>
      <c r="AE2842" s="2"/>
      <c r="AF2842" s="2"/>
      <c r="AG2842" s="2"/>
      <c r="AH2842" s="2"/>
      <c r="AI2842" s="2"/>
      <c r="AJ2842" s="2" t="str">
        <f>IFERROR(__xludf.DUMMYFUNCTION("""COMPUTED_VALUE"""),"")</f>
        <v/>
      </c>
      <c r="AK2842" s="2" t="str">
        <f>IFERROR(__xludf.DUMMYFUNCTION("""COMPUTED_VALUE"""),"")</f>
        <v/>
      </c>
      <c r="AL2842" s="2" t="str">
        <f>IFERROR(__xludf.DUMMYFUNCTION("""COMPUTED_VALUE"""),"")</f>
        <v/>
      </c>
      <c r="AM2842" s="2" t="str">
        <f>IFERROR(__xludf.DUMMYFUNCTION("""COMPUTED_VALUE"""),"")</f>
        <v/>
      </c>
      <c r="AN2842" s="2" t="str">
        <f>IFERROR(__xludf.DUMMYFUNCTION("""COMPUTED_VALUE""")," ")</f>
        <v> </v>
      </c>
      <c r="AO2842" s="2" t="str">
        <f>IFERROR(__xludf.DUMMYFUNCTION("""COMPUTED_VALUE""")," ")</f>
        <v> </v>
      </c>
      <c r="AP2842" s="2" t="str">
        <f>IFERROR(__xludf.DUMMYFUNCTION("""COMPUTED_VALUE"""),"")</f>
        <v/>
      </c>
      <c r="AQ2842" s="2"/>
      <c r="AR2842" s="2"/>
      <c r="AS2842" s="2"/>
      <c r="AT2842" s="2"/>
      <c r="AU2842" s="2"/>
      <c r="AV2842" s="2"/>
      <c r="AW2842" s="2"/>
      <c r="AX2842" s="2"/>
      <c r="AY2842" s="2"/>
      <c r="AZ2842" s="2"/>
      <c r="BA2842" s="2"/>
      <c r="BB2842" s="2"/>
    </row>
    <row r="2843">
      <c r="A2843" s="2"/>
      <c r="B2843" s="2" t="str">
        <f>IFERROR(__xludf.DUMMYFUNCTION("""COMPUTED_VALUE"""),"")</f>
        <v/>
      </c>
      <c r="C2843" s="2"/>
      <c r="D2843" s="71"/>
      <c r="E2843" s="71" t="str">
        <f>IFERROR(__xludf.DUMMYFUNCTION("""COMPUTED_VALUE""")," ")</f>
        <v> </v>
      </c>
      <c r="F2843" s="2"/>
      <c r="G2843" s="2"/>
      <c r="H2843" s="2"/>
      <c r="I2843" s="72"/>
      <c r="J2843" s="72"/>
      <c r="K2843" s="72"/>
      <c r="L2843" s="72"/>
      <c r="M2843" s="2"/>
      <c r="N2843" s="2"/>
      <c r="O2843" s="2"/>
      <c r="P2843" s="2"/>
      <c r="Q2843" s="2"/>
      <c r="R2843" s="2"/>
      <c r="S2843" s="2"/>
      <c r="T2843" s="2"/>
      <c r="U2843" s="2"/>
      <c r="V2843" s="2"/>
      <c r="W2843" s="2"/>
      <c r="X2843" s="2"/>
      <c r="Y2843" s="2"/>
      <c r="Z2843" s="2"/>
      <c r="AA2843" s="2"/>
      <c r="AB2843" s="2"/>
      <c r="AC2843" s="2"/>
      <c r="AD2843" s="2"/>
      <c r="AE2843" s="2"/>
      <c r="AF2843" s="2"/>
      <c r="AG2843" s="2"/>
      <c r="AH2843" s="2"/>
      <c r="AI2843" s="2"/>
      <c r="AJ2843" s="2" t="str">
        <f>IFERROR(__xludf.DUMMYFUNCTION("""COMPUTED_VALUE"""),"")</f>
        <v/>
      </c>
      <c r="AK2843" s="2" t="str">
        <f>IFERROR(__xludf.DUMMYFUNCTION("""COMPUTED_VALUE"""),"")</f>
        <v/>
      </c>
      <c r="AL2843" s="2" t="str">
        <f>IFERROR(__xludf.DUMMYFUNCTION("""COMPUTED_VALUE"""),"")</f>
        <v/>
      </c>
      <c r="AM2843" s="2" t="str">
        <f>IFERROR(__xludf.DUMMYFUNCTION("""COMPUTED_VALUE"""),"")</f>
        <v/>
      </c>
      <c r="AN2843" s="2" t="str">
        <f>IFERROR(__xludf.DUMMYFUNCTION("""COMPUTED_VALUE""")," ")</f>
        <v> </v>
      </c>
      <c r="AO2843" s="2" t="str">
        <f>IFERROR(__xludf.DUMMYFUNCTION("""COMPUTED_VALUE""")," ")</f>
        <v> </v>
      </c>
      <c r="AP2843" s="2" t="str">
        <f>IFERROR(__xludf.DUMMYFUNCTION("""COMPUTED_VALUE"""),"")</f>
        <v/>
      </c>
      <c r="AQ2843" s="2"/>
      <c r="AR2843" s="2"/>
      <c r="AS2843" s="2"/>
      <c r="AT2843" s="2"/>
      <c r="AU2843" s="2"/>
      <c r="AV2843" s="2"/>
      <c r="AW2843" s="2"/>
      <c r="AX2843" s="2"/>
      <c r="AY2843" s="2"/>
      <c r="AZ2843" s="2"/>
      <c r="BA2843" s="2"/>
      <c r="BB2843" s="2"/>
    </row>
    <row r="2844">
      <c r="A2844" s="2"/>
      <c r="B2844" s="2" t="str">
        <f>IFERROR(__xludf.DUMMYFUNCTION("""COMPUTED_VALUE"""),"")</f>
        <v/>
      </c>
      <c r="C2844" s="2"/>
      <c r="D2844" s="71"/>
      <c r="E2844" s="71" t="str">
        <f>IFERROR(__xludf.DUMMYFUNCTION("""COMPUTED_VALUE""")," ")</f>
        <v> </v>
      </c>
      <c r="F2844" s="2"/>
      <c r="G2844" s="2"/>
      <c r="H2844" s="2"/>
      <c r="I2844" s="72"/>
      <c r="J2844" s="72"/>
      <c r="K2844" s="72"/>
      <c r="L2844" s="72"/>
      <c r="M2844" s="2"/>
      <c r="N2844" s="2"/>
      <c r="O2844" s="2"/>
      <c r="P2844" s="2"/>
      <c r="Q2844" s="2"/>
      <c r="R2844" s="2"/>
      <c r="S2844" s="2"/>
      <c r="T2844" s="2"/>
      <c r="U2844" s="2"/>
      <c r="V2844" s="2"/>
      <c r="W2844" s="2"/>
      <c r="X2844" s="2"/>
      <c r="Y2844" s="2"/>
      <c r="Z2844" s="2"/>
      <c r="AA2844" s="2"/>
      <c r="AB2844" s="2"/>
      <c r="AC2844" s="2"/>
      <c r="AD2844" s="2"/>
      <c r="AE2844" s="2"/>
      <c r="AF2844" s="2"/>
      <c r="AG2844" s="2"/>
      <c r="AH2844" s="2"/>
      <c r="AI2844" s="2"/>
      <c r="AJ2844" s="2" t="str">
        <f>IFERROR(__xludf.DUMMYFUNCTION("""COMPUTED_VALUE"""),"")</f>
        <v/>
      </c>
      <c r="AK2844" s="2" t="str">
        <f>IFERROR(__xludf.DUMMYFUNCTION("""COMPUTED_VALUE"""),"")</f>
        <v/>
      </c>
      <c r="AL2844" s="2" t="str">
        <f>IFERROR(__xludf.DUMMYFUNCTION("""COMPUTED_VALUE"""),"")</f>
        <v/>
      </c>
      <c r="AM2844" s="2" t="str">
        <f>IFERROR(__xludf.DUMMYFUNCTION("""COMPUTED_VALUE"""),"")</f>
        <v/>
      </c>
      <c r="AN2844" s="2" t="str">
        <f>IFERROR(__xludf.DUMMYFUNCTION("""COMPUTED_VALUE""")," ")</f>
        <v> </v>
      </c>
      <c r="AO2844" s="2" t="str">
        <f>IFERROR(__xludf.DUMMYFUNCTION("""COMPUTED_VALUE""")," ")</f>
        <v> </v>
      </c>
      <c r="AP2844" s="2" t="str">
        <f>IFERROR(__xludf.DUMMYFUNCTION("""COMPUTED_VALUE"""),"")</f>
        <v/>
      </c>
      <c r="AQ2844" s="2"/>
      <c r="AR2844" s="2"/>
      <c r="AS2844" s="2"/>
      <c r="AT2844" s="2"/>
      <c r="AU2844" s="2"/>
      <c r="AV2844" s="2"/>
      <c r="AW2844" s="2"/>
      <c r="AX2844" s="2"/>
      <c r="AY2844" s="2"/>
      <c r="AZ2844" s="2"/>
      <c r="BA2844" s="2"/>
      <c r="BB2844" s="2"/>
    </row>
    <row r="2845">
      <c r="A2845" s="2"/>
      <c r="B2845" s="2" t="str">
        <f>IFERROR(__xludf.DUMMYFUNCTION("""COMPUTED_VALUE"""),"")</f>
        <v/>
      </c>
      <c r="C2845" s="2"/>
      <c r="D2845" s="71"/>
      <c r="E2845" s="71" t="str">
        <f>IFERROR(__xludf.DUMMYFUNCTION("""COMPUTED_VALUE""")," ")</f>
        <v> </v>
      </c>
      <c r="F2845" s="2"/>
      <c r="G2845" s="2"/>
      <c r="H2845" s="2"/>
      <c r="I2845" s="72"/>
      <c r="J2845" s="72"/>
      <c r="K2845" s="72"/>
      <c r="L2845" s="72"/>
      <c r="M2845" s="2"/>
      <c r="N2845" s="2"/>
      <c r="O2845" s="2"/>
      <c r="P2845" s="2"/>
      <c r="Q2845" s="2"/>
      <c r="R2845" s="2"/>
      <c r="S2845" s="2"/>
      <c r="T2845" s="2"/>
      <c r="U2845" s="2"/>
      <c r="V2845" s="2"/>
      <c r="W2845" s="2"/>
      <c r="X2845" s="2"/>
      <c r="Y2845" s="2"/>
      <c r="Z2845" s="2"/>
      <c r="AA2845" s="2"/>
      <c r="AB2845" s="2"/>
      <c r="AC2845" s="2"/>
      <c r="AD2845" s="2"/>
      <c r="AE2845" s="2"/>
      <c r="AF2845" s="2"/>
      <c r="AG2845" s="2"/>
      <c r="AH2845" s="2"/>
      <c r="AI2845" s="2"/>
      <c r="AJ2845" s="2" t="str">
        <f>IFERROR(__xludf.DUMMYFUNCTION("""COMPUTED_VALUE"""),"")</f>
        <v/>
      </c>
      <c r="AK2845" s="2" t="str">
        <f>IFERROR(__xludf.DUMMYFUNCTION("""COMPUTED_VALUE"""),"")</f>
        <v/>
      </c>
      <c r="AL2845" s="2" t="str">
        <f>IFERROR(__xludf.DUMMYFUNCTION("""COMPUTED_VALUE"""),"")</f>
        <v/>
      </c>
      <c r="AM2845" s="2" t="str">
        <f>IFERROR(__xludf.DUMMYFUNCTION("""COMPUTED_VALUE"""),"")</f>
        <v/>
      </c>
      <c r="AN2845" s="2" t="str">
        <f>IFERROR(__xludf.DUMMYFUNCTION("""COMPUTED_VALUE""")," ")</f>
        <v> </v>
      </c>
      <c r="AO2845" s="2" t="str">
        <f>IFERROR(__xludf.DUMMYFUNCTION("""COMPUTED_VALUE""")," ")</f>
        <v> </v>
      </c>
      <c r="AP2845" s="2" t="str">
        <f>IFERROR(__xludf.DUMMYFUNCTION("""COMPUTED_VALUE"""),"")</f>
        <v/>
      </c>
      <c r="AQ2845" s="2"/>
      <c r="AR2845" s="2"/>
      <c r="AS2845" s="2"/>
      <c r="AT2845" s="2"/>
      <c r="AU2845" s="2"/>
      <c r="AV2845" s="2"/>
      <c r="AW2845" s="2"/>
      <c r="AX2845" s="2"/>
      <c r="AY2845" s="2"/>
      <c r="AZ2845" s="2"/>
      <c r="BA2845" s="2"/>
      <c r="BB2845" s="2"/>
    </row>
    <row r="2846">
      <c r="A2846" s="2"/>
      <c r="B2846" s="2" t="str">
        <f>IFERROR(__xludf.DUMMYFUNCTION("""COMPUTED_VALUE"""),"")</f>
        <v/>
      </c>
      <c r="C2846" s="2"/>
      <c r="D2846" s="71"/>
      <c r="E2846" s="71" t="str">
        <f>IFERROR(__xludf.DUMMYFUNCTION("""COMPUTED_VALUE""")," ")</f>
        <v> </v>
      </c>
      <c r="F2846" s="2"/>
      <c r="G2846" s="2"/>
      <c r="H2846" s="2"/>
      <c r="I2846" s="72"/>
      <c r="J2846" s="72"/>
      <c r="K2846" s="72"/>
      <c r="L2846" s="72"/>
      <c r="M2846" s="2"/>
      <c r="N2846" s="2"/>
      <c r="O2846" s="2"/>
      <c r="P2846" s="2"/>
      <c r="Q2846" s="2"/>
      <c r="R2846" s="2"/>
      <c r="S2846" s="2"/>
      <c r="T2846" s="2"/>
      <c r="U2846" s="2"/>
      <c r="V2846" s="2"/>
      <c r="W2846" s="2"/>
      <c r="X2846" s="2"/>
      <c r="Y2846" s="2"/>
      <c r="Z2846" s="2"/>
      <c r="AA2846" s="2"/>
      <c r="AB2846" s="2"/>
      <c r="AC2846" s="2"/>
      <c r="AD2846" s="2"/>
      <c r="AE2846" s="2"/>
      <c r="AF2846" s="2"/>
      <c r="AG2846" s="2"/>
      <c r="AH2846" s="2"/>
      <c r="AI2846" s="2"/>
      <c r="AJ2846" s="2" t="str">
        <f>IFERROR(__xludf.DUMMYFUNCTION("""COMPUTED_VALUE"""),"")</f>
        <v/>
      </c>
      <c r="AK2846" s="2" t="str">
        <f>IFERROR(__xludf.DUMMYFUNCTION("""COMPUTED_VALUE"""),"")</f>
        <v/>
      </c>
      <c r="AL2846" s="2" t="str">
        <f>IFERROR(__xludf.DUMMYFUNCTION("""COMPUTED_VALUE"""),"")</f>
        <v/>
      </c>
      <c r="AM2846" s="2" t="str">
        <f>IFERROR(__xludf.DUMMYFUNCTION("""COMPUTED_VALUE"""),"")</f>
        <v/>
      </c>
      <c r="AN2846" s="2" t="str">
        <f>IFERROR(__xludf.DUMMYFUNCTION("""COMPUTED_VALUE""")," ")</f>
        <v> </v>
      </c>
      <c r="AO2846" s="2" t="str">
        <f>IFERROR(__xludf.DUMMYFUNCTION("""COMPUTED_VALUE""")," ")</f>
        <v> </v>
      </c>
      <c r="AP2846" s="2" t="str">
        <f>IFERROR(__xludf.DUMMYFUNCTION("""COMPUTED_VALUE"""),"")</f>
        <v/>
      </c>
      <c r="AQ2846" s="2"/>
      <c r="AR2846" s="2"/>
      <c r="AS2846" s="2"/>
      <c r="AT2846" s="2"/>
      <c r="AU2846" s="2"/>
      <c r="AV2846" s="2"/>
      <c r="AW2846" s="2"/>
      <c r="AX2846" s="2"/>
      <c r="AY2846" s="2"/>
      <c r="AZ2846" s="2"/>
      <c r="BA2846" s="2"/>
      <c r="BB2846" s="2"/>
    </row>
    <row r="2847">
      <c r="A2847" s="2"/>
      <c r="B2847" s="2" t="str">
        <f>IFERROR(__xludf.DUMMYFUNCTION("""COMPUTED_VALUE"""),"")</f>
        <v/>
      </c>
      <c r="C2847" s="2"/>
      <c r="D2847" s="71"/>
      <c r="E2847" s="71" t="str">
        <f>IFERROR(__xludf.DUMMYFUNCTION("""COMPUTED_VALUE""")," ")</f>
        <v> </v>
      </c>
      <c r="F2847" s="2"/>
      <c r="G2847" s="2"/>
      <c r="H2847" s="2"/>
      <c r="I2847" s="72"/>
      <c r="J2847" s="72"/>
      <c r="K2847" s="72"/>
      <c r="L2847" s="72"/>
      <c r="M2847" s="2"/>
      <c r="N2847" s="2"/>
      <c r="O2847" s="2"/>
      <c r="P2847" s="2"/>
      <c r="Q2847" s="2"/>
      <c r="R2847" s="2"/>
      <c r="S2847" s="2"/>
      <c r="T2847" s="2"/>
      <c r="U2847" s="2"/>
      <c r="V2847" s="2"/>
      <c r="W2847" s="2"/>
      <c r="X2847" s="2"/>
      <c r="Y2847" s="2"/>
      <c r="Z2847" s="2"/>
      <c r="AA2847" s="2"/>
      <c r="AB2847" s="2"/>
      <c r="AC2847" s="2"/>
      <c r="AD2847" s="2"/>
      <c r="AE2847" s="2"/>
      <c r="AF2847" s="2"/>
      <c r="AG2847" s="2"/>
      <c r="AH2847" s="2"/>
      <c r="AI2847" s="2"/>
      <c r="AJ2847" s="2" t="str">
        <f>IFERROR(__xludf.DUMMYFUNCTION("""COMPUTED_VALUE"""),"")</f>
        <v/>
      </c>
      <c r="AK2847" s="2" t="str">
        <f>IFERROR(__xludf.DUMMYFUNCTION("""COMPUTED_VALUE"""),"")</f>
        <v/>
      </c>
      <c r="AL2847" s="2" t="str">
        <f>IFERROR(__xludf.DUMMYFUNCTION("""COMPUTED_VALUE"""),"")</f>
        <v/>
      </c>
      <c r="AM2847" s="2" t="str">
        <f>IFERROR(__xludf.DUMMYFUNCTION("""COMPUTED_VALUE"""),"")</f>
        <v/>
      </c>
      <c r="AN2847" s="2" t="str">
        <f>IFERROR(__xludf.DUMMYFUNCTION("""COMPUTED_VALUE""")," ")</f>
        <v> </v>
      </c>
      <c r="AO2847" s="2" t="str">
        <f>IFERROR(__xludf.DUMMYFUNCTION("""COMPUTED_VALUE""")," ")</f>
        <v> </v>
      </c>
      <c r="AP2847" s="2" t="str">
        <f>IFERROR(__xludf.DUMMYFUNCTION("""COMPUTED_VALUE"""),"")</f>
        <v/>
      </c>
      <c r="AQ2847" s="2"/>
      <c r="AR2847" s="2"/>
      <c r="AS2847" s="2"/>
      <c r="AT2847" s="2"/>
      <c r="AU2847" s="2"/>
      <c r="AV2847" s="2"/>
      <c r="AW2847" s="2"/>
      <c r="AX2847" s="2"/>
      <c r="AY2847" s="2"/>
      <c r="AZ2847" s="2"/>
      <c r="BA2847" s="2"/>
      <c r="BB2847" s="2"/>
    </row>
    <row r="2848">
      <c r="A2848" s="2"/>
      <c r="B2848" s="2" t="str">
        <f>IFERROR(__xludf.DUMMYFUNCTION("""COMPUTED_VALUE"""),"")</f>
        <v/>
      </c>
      <c r="C2848" s="2"/>
      <c r="D2848" s="71"/>
      <c r="E2848" s="71" t="str">
        <f>IFERROR(__xludf.DUMMYFUNCTION("""COMPUTED_VALUE""")," ")</f>
        <v> </v>
      </c>
      <c r="F2848" s="2"/>
      <c r="G2848" s="2"/>
      <c r="H2848" s="2"/>
      <c r="I2848" s="72"/>
      <c r="J2848" s="72"/>
      <c r="K2848" s="72"/>
      <c r="L2848" s="72"/>
      <c r="M2848" s="2"/>
      <c r="N2848" s="2"/>
      <c r="O2848" s="2"/>
      <c r="P2848" s="2"/>
      <c r="Q2848" s="2"/>
      <c r="R2848" s="2"/>
      <c r="S2848" s="2"/>
      <c r="T2848" s="2"/>
      <c r="U2848" s="2"/>
      <c r="V2848" s="2"/>
      <c r="W2848" s="2"/>
      <c r="X2848" s="2"/>
      <c r="Y2848" s="2"/>
      <c r="Z2848" s="2"/>
      <c r="AA2848" s="2"/>
      <c r="AB2848" s="2"/>
      <c r="AC2848" s="2"/>
      <c r="AD2848" s="2"/>
      <c r="AE2848" s="2"/>
      <c r="AF2848" s="2"/>
      <c r="AG2848" s="2"/>
      <c r="AH2848" s="2"/>
      <c r="AI2848" s="2"/>
      <c r="AJ2848" s="2" t="str">
        <f>IFERROR(__xludf.DUMMYFUNCTION("""COMPUTED_VALUE"""),"")</f>
        <v/>
      </c>
      <c r="AK2848" s="2" t="str">
        <f>IFERROR(__xludf.DUMMYFUNCTION("""COMPUTED_VALUE"""),"")</f>
        <v/>
      </c>
      <c r="AL2848" s="2" t="str">
        <f>IFERROR(__xludf.DUMMYFUNCTION("""COMPUTED_VALUE"""),"")</f>
        <v/>
      </c>
      <c r="AM2848" s="2" t="str">
        <f>IFERROR(__xludf.DUMMYFUNCTION("""COMPUTED_VALUE"""),"")</f>
        <v/>
      </c>
      <c r="AN2848" s="2" t="str">
        <f>IFERROR(__xludf.DUMMYFUNCTION("""COMPUTED_VALUE""")," ")</f>
        <v> </v>
      </c>
      <c r="AO2848" s="2" t="str">
        <f>IFERROR(__xludf.DUMMYFUNCTION("""COMPUTED_VALUE""")," ")</f>
        <v> </v>
      </c>
      <c r="AP2848" s="2" t="str">
        <f>IFERROR(__xludf.DUMMYFUNCTION("""COMPUTED_VALUE"""),"")</f>
        <v/>
      </c>
      <c r="AQ2848" s="2"/>
      <c r="AR2848" s="2"/>
      <c r="AS2848" s="2"/>
      <c r="AT2848" s="2"/>
      <c r="AU2848" s="2"/>
      <c r="AV2848" s="2"/>
      <c r="AW2848" s="2"/>
      <c r="AX2848" s="2"/>
      <c r="AY2848" s="2"/>
      <c r="AZ2848" s="2"/>
      <c r="BA2848" s="2"/>
      <c r="BB2848" s="2"/>
    </row>
    <row r="2849">
      <c r="A2849" s="2"/>
      <c r="B2849" s="2" t="str">
        <f>IFERROR(__xludf.DUMMYFUNCTION("""COMPUTED_VALUE"""),"")</f>
        <v/>
      </c>
      <c r="C2849" s="2"/>
      <c r="D2849" s="71"/>
      <c r="E2849" s="71" t="str">
        <f>IFERROR(__xludf.DUMMYFUNCTION("""COMPUTED_VALUE""")," ")</f>
        <v> </v>
      </c>
      <c r="F2849" s="2"/>
      <c r="G2849" s="2"/>
      <c r="H2849" s="2"/>
      <c r="I2849" s="72"/>
      <c r="J2849" s="72"/>
      <c r="K2849" s="72"/>
      <c r="L2849" s="72"/>
      <c r="M2849" s="2"/>
      <c r="N2849" s="2"/>
      <c r="O2849" s="2"/>
      <c r="P2849" s="2"/>
      <c r="Q2849" s="2"/>
      <c r="R2849" s="2"/>
      <c r="S2849" s="2"/>
      <c r="T2849" s="2"/>
      <c r="U2849" s="2"/>
      <c r="V2849" s="2"/>
      <c r="W2849" s="2"/>
      <c r="X2849" s="2"/>
      <c r="Y2849" s="2"/>
      <c r="Z2849" s="2"/>
      <c r="AA2849" s="2"/>
      <c r="AB2849" s="2"/>
      <c r="AC2849" s="2"/>
      <c r="AD2849" s="2"/>
      <c r="AE2849" s="2"/>
      <c r="AF2849" s="2"/>
      <c r="AG2849" s="2"/>
      <c r="AH2849" s="2"/>
      <c r="AI2849" s="2"/>
      <c r="AJ2849" s="2" t="str">
        <f>IFERROR(__xludf.DUMMYFUNCTION("""COMPUTED_VALUE"""),"")</f>
        <v/>
      </c>
      <c r="AK2849" s="2" t="str">
        <f>IFERROR(__xludf.DUMMYFUNCTION("""COMPUTED_VALUE"""),"")</f>
        <v/>
      </c>
      <c r="AL2849" s="2" t="str">
        <f>IFERROR(__xludf.DUMMYFUNCTION("""COMPUTED_VALUE"""),"")</f>
        <v/>
      </c>
      <c r="AM2849" s="2" t="str">
        <f>IFERROR(__xludf.DUMMYFUNCTION("""COMPUTED_VALUE"""),"")</f>
        <v/>
      </c>
      <c r="AN2849" s="2" t="str">
        <f>IFERROR(__xludf.DUMMYFUNCTION("""COMPUTED_VALUE""")," ")</f>
        <v> </v>
      </c>
      <c r="AO2849" s="2" t="str">
        <f>IFERROR(__xludf.DUMMYFUNCTION("""COMPUTED_VALUE""")," ")</f>
        <v> </v>
      </c>
      <c r="AP2849" s="2" t="str">
        <f>IFERROR(__xludf.DUMMYFUNCTION("""COMPUTED_VALUE"""),"")</f>
        <v/>
      </c>
      <c r="AQ2849" s="2"/>
      <c r="AR2849" s="2"/>
      <c r="AS2849" s="2"/>
      <c r="AT2849" s="2"/>
      <c r="AU2849" s="2"/>
      <c r="AV2849" s="2"/>
      <c r="AW2849" s="2"/>
      <c r="AX2849" s="2"/>
      <c r="AY2849" s="2"/>
      <c r="AZ2849" s="2"/>
      <c r="BA2849" s="2"/>
      <c r="BB2849" s="2"/>
    </row>
    <row r="2850">
      <c r="A2850" s="2"/>
      <c r="B2850" s="2" t="str">
        <f>IFERROR(__xludf.DUMMYFUNCTION("""COMPUTED_VALUE"""),"")</f>
        <v/>
      </c>
      <c r="C2850" s="2"/>
      <c r="D2850" s="71"/>
      <c r="E2850" s="71" t="str">
        <f>IFERROR(__xludf.DUMMYFUNCTION("""COMPUTED_VALUE""")," ")</f>
        <v> </v>
      </c>
      <c r="F2850" s="2"/>
      <c r="G2850" s="2"/>
      <c r="H2850" s="2"/>
      <c r="I2850" s="72"/>
      <c r="J2850" s="72"/>
      <c r="K2850" s="72"/>
      <c r="L2850" s="72"/>
      <c r="M2850" s="2"/>
      <c r="N2850" s="2"/>
      <c r="O2850" s="2"/>
      <c r="P2850" s="2"/>
      <c r="Q2850" s="2"/>
      <c r="R2850" s="2"/>
      <c r="S2850" s="2"/>
      <c r="T2850" s="2"/>
      <c r="U2850" s="2"/>
      <c r="V2850" s="2"/>
      <c r="W2850" s="2"/>
      <c r="X2850" s="2"/>
      <c r="Y2850" s="2"/>
      <c r="Z2850" s="2"/>
      <c r="AA2850" s="2"/>
      <c r="AB2850" s="2"/>
      <c r="AC2850" s="2"/>
      <c r="AD2850" s="2"/>
      <c r="AE2850" s="2"/>
      <c r="AF2850" s="2"/>
      <c r="AG2850" s="2"/>
      <c r="AH2850" s="2"/>
      <c r="AI2850" s="2"/>
      <c r="AJ2850" s="2" t="str">
        <f>IFERROR(__xludf.DUMMYFUNCTION("""COMPUTED_VALUE"""),"")</f>
        <v/>
      </c>
      <c r="AK2850" s="2" t="str">
        <f>IFERROR(__xludf.DUMMYFUNCTION("""COMPUTED_VALUE"""),"")</f>
        <v/>
      </c>
      <c r="AL2850" s="2" t="str">
        <f>IFERROR(__xludf.DUMMYFUNCTION("""COMPUTED_VALUE"""),"")</f>
        <v/>
      </c>
      <c r="AM2850" s="2" t="str">
        <f>IFERROR(__xludf.DUMMYFUNCTION("""COMPUTED_VALUE"""),"")</f>
        <v/>
      </c>
      <c r="AN2850" s="2" t="str">
        <f>IFERROR(__xludf.DUMMYFUNCTION("""COMPUTED_VALUE""")," ")</f>
        <v> </v>
      </c>
      <c r="AO2850" s="2" t="str">
        <f>IFERROR(__xludf.DUMMYFUNCTION("""COMPUTED_VALUE""")," ")</f>
        <v> </v>
      </c>
      <c r="AP2850" s="2" t="str">
        <f>IFERROR(__xludf.DUMMYFUNCTION("""COMPUTED_VALUE"""),"")</f>
        <v/>
      </c>
      <c r="AQ2850" s="2"/>
      <c r="AR2850" s="2"/>
      <c r="AS2850" s="2"/>
      <c r="AT2850" s="2"/>
      <c r="AU2850" s="2"/>
      <c r="AV2850" s="2"/>
      <c r="AW2850" s="2"/>
      <c r="AX2850" s="2"/>
      <c r="AY2850" s="2"/>
      <c r="AZ2850" s="2"/>
      <c r="BA2850" s="2"/>
      <c r="BB2850" s="2"/>
    </row>
    <row r="2851">
      <c r="A2851" s="2"/>
      <c r="B2851" s="2" t="str">
        <f>IFERROR(__xludf.DUMMYFUNCTION("""COMPUTED_VALUE"""),"")</f>
        <v/>
      </c>
      <c r="C2851" s="2"/>
      <c r="D2851" s="71"/>
      <c r="E2851" s="71" t="str">
        <f>IFERROR(__xludf.DUMMYFUNCTION("""COMPUTED_VALUE""")," ")</f>
        <v> </v>
      </c>
      <c r="F2851" s="2"/>
      <c r="G2851" s="2"/>
      <c r="H2851" s="2"/>
      <c r="I2851" s="72"/>
      <c r="J2851" s="72"/>
      <c r="K2851" s="72"/>
      <c r="L2851" s="72"/>
      <c r="M2851" s="2"/>
      <c r="N2851" s="2"/>
      <c r="O2851" s="2"/>
      <c r="P2851" s="2"/>
      <c r="Q2851" s="2"/>
      <c r="R2851" s="2"/>
      <c r="S2851" s="2"/>
      <c r="T2851" s="2"/>
      <c r="U2851" s="2"/>
      <c r="V2851" s="2"/>
      <c r="W2851" s="2"/>
      <c r="X2851" s="2"/>
      <c r="Y2851" s="2"/>
      <c r="Z2851" s="2"/>
      <c r="AA2851" s="2"/>
      <c r="AB2851" s="2"/>
      <c r="AC2851" s="2"/>
      <c r="AD2851" s="2"/>
      <c r="AE2851" s="2"/>
      <c r="AF2851" s="2"/>
      <c r="AG2851" s="2"/>
      <c r="AH2851" s="2"/>
      <c r="AI2851" s="2"/>
      <c r="AJ2851" s="2" t="str">
        <f>IFERROR(__xludf.DUMMYFUNCTION("""COMPUTED_VALUE"""),"")</f>
        <v/>
      </c>
      <c r="AK2851" s="2" t="str">
        <f>IFERROR(__xludf.DUMMYFUNCTION("""COMPUTED_VALUE"""),"")</f>
        <v/>
      </c>
      <c r="AL2851" s="2" t="str">
        <f>IFERROR(__xludf.DUMMYFUNCTION("""COMPUTED_VALUE"""),"")</f>
        <v/>
      </c>
      <c r="AM2851" s="2" t="str">
        <f>IFERROR(__xludf.DUMMYFUNCTION("""COMPUTED_VALUE"""),"")</f>
        <v/>
      </c>
      <c r="AN2851" s="2" t="str">
        <f>IFERROR(__xludf.DUMMYFUNCTION("""COMPUTED_VALUE""")," ")</f>
        <v> </v>
      </c>
      <c r="AO2851" s="2" t="str">
        <f>IFERROR(__xludf.DUMMYFUNCTION("""COMPUTED_VALUE""")," ")</f>
        <v> </v>
      </c>
      <c r="AP2851" s="2" t="str">
        <f>IFERROR(__xludf.DUMMYFUNCTION("""COMPUTED_VALUE"""),"")</f>
        <v/>
      </c>
      <c r="AQ2851" s="2"/>
      <c r="AR2851" s="2"/>
      <c r="AS2851" s="2"/>
      <c r="AT2851" s="2"/>
      <c r="AU2851" s="2"/>
      <c r="AV2851" s="2"/>
      <c r="AW2851" s="2"/>
      <c r="AX2851" s="2"/>
      <c r="AY2851" s="2"/>
      <c r="AZ2851" s="2"/>
      <c r="BA2851" s="2"/>
      <c r="BB2851" s="2"/>
    </row>
    <row r="2852">
      <c r="A2852" s="2"/>
      <c r="B2852" s="2" t="str">
        <f>IFERROR(__xludf.DUMMYFUNCTION("""COMPUTED_VALUE"""),"")</f>
        <v/>
      </c>
      <c r="C2852" s="2"/>
      <c r="D2852" s="71"/>
      <c r="E2852" s="71" t="str">
        <f>IFERROR(__xludf.DUMMYFUNCTION("""COMPUTED_VALUE""")," ")</f>
        <v> </v>
      </c>
      <c r="F2852" s="2"/>
      <c r="G2852" s="2"/>
      <c r="H2852" s="2"/>
      <c r="I2852" s="72"/>
      <c r="J2852" s="72"/>
      <c r="K2852" s="72"/>
      <c r="L2852" s="72"/>
      <c r="M2852" s="2"/>
      <c r="N2852" s="2"/>
      <c r="O2852" s="2"/>
      <c r="P2852" s="2"/>
      <c r="Q2852" s="2"/>
      <c r="R2852" s="2"/>
      <c r="S2852" s="2"/>
      <c r="T2852" s="2"/>
      <c r="U2852" s="2"/>
      <c r="V2852" s="2"/>
      <c r="W2852" s="2"/>
      <c r="X2852" s="2"/>
      <c r="Y2852" s="2"/>
      <c r="Z2852" s="2"/>
      <c r="AA2852" s="2"/>
      <c r="AB2852" s="2"/>
      <c r="AC2852" s="2"/>
      <c r="AD2852" s="2"/>
      <c r="AE2852" s="2"/>
      <c r="AF2852" s="2"/>
      <c r="AG2852" s="2"/>
      <c r="AH2852" s="2"/>
      <c r="AI2852" s="2"/>
      <c r="AJ2852" s="2" t="str">
        <f>IFERROR(__xludf.DUMMYFUNCTION("""COMPUTED_VALUE"""),"")</f>
        <v/>
      </c>
      <c r="AK2852" s="2" t="str">
        <f>IFERROR(__xludf.DUMMYFUNCTION("""COMPUTED_VALUE"""),"")</f>
        <v/>
      </c>
      <c r="AL2852" s="2" t="str">
        <f>IFERROR(__xludf.DUMMYFUNCTION("""COMPUTED_VALUE"""),"")</f>
        <v/>
      </c>
      <c r="AM2852" s="2" t="str">
        <f>IFERROR(__xludf.DUMMYFUNCTION("""COMPUTED_VALUE"""),"")</f>
        <v/>
      </c>
      <c r="AN2852" s="2" t="str">
        <f>IFERROR(__xludf.DUMMYFUNCTION("""COMPUTED_VALUE""")," ")</f>
        <v> </v>
      </c>
      <c r="AO2852" s="2" t="str">
        <f>IFERROR(__xludf.DUMMYFUNCTION("""COMPUTED_VALUE""")," ")</f>
        <v> </v>
      </c>
      <c r="AP2852" s="2" t="str">
        <f>IFERROR(__xludf.DUMMYFUNCTION("""COMPUTED_VALUE"""),"")</f>
        <v/>
      </c>
      <c r="AQ2852" s="2"/>
      <c r="AR2852" s="2"/>
      <c r="AS2852" s="2"/>
      <c r="AT2852" s="2"/>
      <c r="AU2852" s="2"/>
      <c r="AV2852" s="2"/>
      <c r="AW2852" s="2"/>
      <c r="AX2852" s="2"/>
      <c r="AY2852" s="2"/>
      <c r="AZ2852" s="2"/>
      <c r="BA2852" s="2"/>
      <c r="BB2852" s="2"/>
    </row>
    <row r="2853">
      <c r="A2853" s="2"/>
      <c r="B2853" s="2" t="str">
        <f>IFERROR(__xludf.DUMMYFUNCTION("""COMPUTED_VALUE"""),"")</f>
        <v/>
      </c>
      <c r="C2853" s="2"/>
      <c r="D2853" s="71"/>
      <c r="E2853" s="71" t="str">
        <f>IFERROR(__xludf.DUMMYFUNCTION("""COMPUTED_VALUE""")," ")</f>
        <v> </v>
      </c>
      <c r="F2853" s="2"/>
      <c r="G2853" s="2"/>
      <c r="H2853" s="2"/>
      <c r="I2853" s="72"/>
      <c r="J2853" s="72"/>
      <c r="K2853" s="72"/>
      <c r="L2853" s="72"/>
      <c r="M2853" s="2"/>
      <c r="N2853" s="2"/>
      <c r="O2853" s="2"/>
      <c r="P2853" s="2"/>
      <c r="Q2853" s="2"/>
      <c r="R2853" s="2"/>
      <c r="S2853" s="2"/>
      <c r="T2853" s="2"/>
      <c r="U2853" s="2"/>
      <c r="V2853" s="2"/>
      <c r="W2853" s="2"/>
      <c r="X2853" s="2"/>
      <c r="Y2853" s="2"/>
      <c r="Z2853" s="2"/>
      <c r="AA2853" s="2"/>
      <c r="AB2853" s="2"/>
      <c r="AC2853" s="2"/>
      <c r="AD2853" s="2"/>
      <c r="AE2853" s="2"/>
      <c r="AF2853" s="2"/>
      <c r="AG2853" s="2"/>
      <c r="AH2853" s="2"/>
      <c r="AI2853" s="2"/>
      <c r="AJ2853" s="2" t="str">
        <f>IFERROR(__xludf.DUMMYFUNCTION("""COMPUTED_VALUE"""),"")</f>
        <v/>
      </c>
      <c r="AK2853" s="2" t="str">
        <f>IFERROR(__xludf.DUMMYFUNCTION("""COMPUTED_VALUE"""),"")</f>
        <v/>
      </c>
      <c r="AL2853" s="2" t="str">
        <f>IFERROR(__xludf.DUMMYFUNCTION("""COMPUTED_VALUE"""),"")</f>
        <v/>
      </c>
      <c r="AM2853" s="2" t="str">
        <f>IFERROR(__xludf.DUMMYFUNCTION("""COMPUTED_VALUE"""),"")</f>
        <v/>
      </c>
      <c r="AN2853" s="2" t="str">
        <f>IFERROR(__xludf.DUMMYFUNCTION("""COMPUTED_VALUE""")," ")</f>
        <v> </v>
      </c>
      <c r="AO2853" s="2" t="str">
        <f>IFERROR(__xludf.DUMMYFUNCTION("""COMPUTED_VALUE""")," ")</f>
        <v> </v>
      </c>
      <c r="AP2853" s="2" t="str">
        <f>IFERROR(__xludf.DUMMYFUNCTION("""COMPUTED_VALUE"""),"")</f>
        <v/>
      </c>
      <c r="AQ2853" s="2"/>
      <c r="AR2853" s="2"/>
      <c r="AS2853" s="2"/>
      <c r="AT2853" s="2"/>
      <c r="AU2853" s="2"/>
      <c r="AV2853" s="2"/>
      <c r="AW2853" s="2"/>
      <c r="AX2853" s="2"/>
      <c r="AY2853" s="2"/>
      <c r="AZ2853" s="2"/>
      <c r="BA2853" s="2"/>
      <c r="BB2853" s="2"/>
    </row>
    <row r="2854">
      <c r="A2854" s="2"/>
      <c r="B2854" s="2" t="str">
        <f>IFERROR(__xludf.DUMMYFUNCTION("""COMPUTED_VALUE"""),"")</f>
        <v/>
      </c>
      <c r="C2854" s="2"/>
      <c r="D2854" s="71"/>
      <c r="E2854" s="71" t="str">
        <f>IFERROR(__xludf.DUMMYFUNCTION("""COMPUTED_VALUE""")," ")</f>
        <v> </v>
      </c>
      <c r="F2854" s="2"/>
      <c r="G2854" s="2"/>
      <c r="H2854" s="2"/>
      <c r="I2854" s="72"/>
      <c r="J2854" s="72"/>
      <c r="K2854" s="72"/>
      <c r="L2854" s="72"/>
      <c r="M2854" s="2"/>
      <c r="N2854" s="2"/>
      <c r="O2854" s="2"/>
      <c r="P2854" s="2"/>
      <c r="Q2854" s="2"/>
      <c r="R2854" s="2"/>
      <c r="S2854" s="2"/>
      <c r="T2854" s="2"/>
      <c r="U2854" s="2"/>
      <c r="V2854" s="2"/>
      <c r="W2854" s="2"/>
      <c r="X2854" s="2"/>
      <c r="Y2854" s="2"/>
      <c r="Z2854" s="2"/>
      <c r="AA2854" s="2"/>
      <c r="AB2854" s="2"/>
      <c r="AC2854" s="2"/>
      <c r="AD2854" s="2"/>
      <c r="AE2854" s="2"/>
      <c r="AF2854" s="2"/>
      <c r="AG2854" s="2"/>
      <c r="AH2854" s="2"/>
      <c r="AI2854" s="2"/>
      <c r="AJ2854" s="2" t="str">
        <f>IFERROR(__xludf.DUMMYFUNCTION("""COMPUTED_VALUE"""),"")</f>
        <v/>
      </c>
      <c r="AK2854" s="2" t="str">
        <f>IFERROR(__xludf.DUMMYFUNCTION("""COMPUTED_VALUE"""),"")</f>
        <v/>
      </c>
      <c r="AL2854" s="2" t="str">
        <f>IFERROR(__xludf.DUMMYFUNCTION("""COMPUTED_VALUE"""),"")</f>
        <v/>
      </c>
      <c r="AM2854" s="2" t="str">
        <f>IFERROR(__xludf.DUMMYFUNCTION("""COMPUTED_VALUE"""),"")</f>
        <v/>
      </c>
      <c r="AN2854" s="2" t="str">
        <f>IFERROR(__xludf.DUMMYFUNCTION("""COMPUTED_VALUE""")," ")</f>
        <v> </v>
      </c>
      <c r="AO2854" s="2" t="str">
        <f>IFERROR(__xludf.DUMMYFUNCTION("""COMPUTED_VALUE""")," ")</f>
        <v> </v>
      </c>
      <c r="AP2854" s="2" t="str">
        <f>IFERROR(__xludf.DUMMYFUNCTION("""COMPUTED_VALUE"""),"")</f>
        <v/>
      </c>
      <c r="AQ2854" s="2"/>
      <c r="AR2854" s="2"/>
      <c r="AS2854" s="2"/>
      <c r="AT2854" s="2"/>
      <c r="AU2854" s="2"/>
      <c r="AV2854" s="2"/>
      <c r="AW2854" s="2"/>
      <c r="AX2854" s="2"/>
      <c r="AY2854" s="2"/>
      <c r="AZ2854" s="2"/>
      <c r="BA2854" s="2"/>
      <c r="BB2854" s="2"/>
    </row>
    <row r="2855">
      <c r="A2855" s="2"/>
      <c r="B2855" s="2" t="str">
        <f>IFERROR(__xludf.DUMMYFUNCTION("""COMPUTED_VALUE"""),"")</f>
        <v/>
      </c>
      <c r="C2855" s="2"/>
      <c r="D2855" s="71"/>
      <c r="E2855" s="71" t="str">
        <f>IFERROR(__xludf.DUMMYFUNCTION("""COMPUTED_VALUE""")," ")</f>
        <v> </v>
      </c>
      <c r="F2855" s="2"/>
      <c r="G2855" s="2"/>
      <c r="H2855" s="2"/>
      <c r="I2855" s="72"/>
      <c r="J2855" s="72"/>
      <c r="K2855" s="72"/>
      <c r="L2855" s="72"/>
      <c r="M2855" s="2"/>
      <c r="N2855" s="2"/>
      <c r="O2855" s="2"/>
      <c r="P2855" s="2"/>
      <c r="Q2855" s="2"/>
      <c r="R2855" s="2"/>
      <c r="S2855" s="2"/>
      <c r="T2855" s="2"/>
      <c r="U2855" s="2"/>
      <c r="V2855" s="2"/>
      <c r="W2855" s="2"/>
      <c r="X2855" s="2"/>
      <c r="Y2855" s="2"/>
      <c r="Z2855" s="2"/>
      <c r="AA2855" s="2"/>
      <c r="AB2855" s="2"/>
      <c r="AC2855" s="2"/>
      <c r="AD2855" s="2"/>
      <c r="AE2855" s="2"/>
      <c r="AF2855" s="2"/>
      <c r="AG2855" s="2"/>
      <c r="AH2855" s="2"/>
      <c r="AI2855" s="2"/>
      <c r="AJ2855" s="2" t="str">
        <f>IFERROR(__xludf.DUMMYFUNCTION("""COMPUTED_VALUE"""),"")</f>
        <v/>
      </c>
      <c r="AK2855" s="2" t="str">
        <f>IFERROR(__xludf.DUMMYFUNCTION("""COMPUTED_VALUE"""),"")</f>
        <v/>
      </c>
      <c r="AL2855" s="2" t="str">
        <f>IFERROR(__xludf.DUMMYFUNCTION("""COMPUTED_VALUE"""),"")</f>
        <v/>
      </c>
      <c r="AM2855" s="2" t="str">
        <f>IFERROR(__xludf.DUMMYFUNCTION("""COMPUTED_VALUE"""),"")</f>
        <v/>
      </c>
      <c r="AN2855" s="2" t="str">
        <f>IFERROR(__xludf.DUMMYFUNCTION("""COMPUTED_VALUE""")," ")</f>
        <v> </v>
      </c>
      <c r="AO2855" s="2" t="str">
        <f>IFERROR(__xludf.DUMMYFUNCTION("""COMPUTED_VALUE""")," ")</f>
        <v> </v>
      </c>
      <c r="AP2855" s="2" t="str">
        <f>IFERROR(__xludf.DUMMYFUNCTION("""COMPUTED_VALUE"""),"")</f>
        <v/>
      </c>
      <c r="AQ2855" s="2"/>
      <c r="AR2855" s="2"/>
      <c r="AS2855" s="2"/>
      <c r="AT2855" s="2"/>
      <c r="AU2855" s="2"/>
      <c r="AV2855" s="2"/>
      <c r="AW2855" s="2"/>
      <c r="AX2855" s="2"/>
      <c r="AY2855" s="2"/>
      <c r="AZ2855" s="2"/>
      <c r="BA2855" s="2"/>
      <c r="BB2855" s="2"/>
    </row>
    <row r="2856">
      <c r="A2856" s="2"/>
      <c r="B2856" s="2" t="str">
        <f>IFERROR(__xludf.DUMMYFUNCTION("""COMPUTED_VALUE"""),"")</f>
        <v/>
      </c>
      <c r="C2856" s="2"/>
      <c r="D2856" s="71"/>
      <c r="E2856" s="71" t="str">
        <f>IFERROR(__xludf.DUMMYFUNCTION("""COMPUTED_VALUE""")," ")</f>
        <v> </v>
      </c>
      <c r="F2856" s="2"/>
      <c r="G2856" s="2"/>
      <c r="H2856" s="2"/>
      <c r="I2856" s="72"/>
      <c r="J2856" s="72"/>
      <c r="K2856" s="72"/>
      <c r="L2856" s="72"/>
      <c r="M2856" s="2"/>
      <c r="N2856" s="2"/>
      <c r="O2856" s="2"/>
      <c r="P2856" s="2"/>
      <c r="Q2856" s="2"/>
      <c r="R2856" s="2"/>
      <c r="S2856" s="2"/>
      <c r="T2856" s="2"/>
      <c r="U2856" s="2"/>
      <c r="V2856" s="2"/>
      <c r="W2856" s="2"/>
      <c r="X2856" s="2"/>
      <c r="Y2856" s="2"/>
      <c r="Z2856" s="2"/>
      <c r="AA2856" s="2"/>
      <c r="AB2856" s="2"/>
      <c r="AC2856" s="2"/>
      <c r="AD2856" s="2"/>
      <c r="AE2856" s="2"/>
      <c r="AF2856" s="2"/>
      <c r="AG2856" s="2"/>
      <c r="AH2856" s="2"/>
      <c r="AI2856" s="2"/>
      <c r="AJ2856" s="2" t="str">
        <f>IFERROR(__xludf.DUMMYFUNCTION("""COMPUTED_VALUE"""),"")</f>
        <v/>
      </c>
      <c r="AK2856" s="2" t="str">
        <f>IFERROR(__xludf.DUMMYFUNCTION("""COMPUTED_VALUE"""),"")</f>
        <v/>
      </c>
      <c r="AL2856" s="2" t="str">
        <f>IFERROR(__xludf.DUMMYFUNCTION("""COMPUTED_VALUE"""),"")</f>
        <v/>
      </c>
      <c r="AM2856" s="2" t="str">
        <f>IFERROR(__xludf.DUMMYFUNCTION("""COMPUTED_VALUE"""),"")</f>
        <v/>
      </c>
      <c r="AN2856" s="2" t="str">
        <f>IFERROR(__xludf.DUMMYFUNCTION("""COMPUTED_VALUE""")," ")</f>
        <v> </v>
      </c>
      <c r="AO2856" s="2" t="str">
        <f>IFERROR(__xludf.DUMMYFUNCTION("""COMPUTED_VALUE""")," ")</f>
        <v> </v>
      </c>
      <c r="AP2856" s="2" t="str">
        <f>IFERROR(__xludf.DUMMYFUNCTION("""COMPUTED_VALUE"""),"")</f>
        <v/>
      </c>
      <c r="AQ2856" s="2"/>
      <c r="AR2856" s="2"/>
      <c r="AS2856" s="2"/>
      <c r="AT2856" s="2"/>
      <c r="AU2856" s="2"/>
      <c r="AV2856" s="2"/>
      <c r="AW2856" s="2"/>
      <c r="AX2856" s="2"/>
      <c r="AY2856" s="2"/>
      <c r="AZ2856" s="2"/>
      <c r="BA2856" s="2"/>
      <c r="BB2856" s="2"/>
    </row>
    <row r="2857">
      <c r="A2857" s="2"/>
      <c r="B2857" s="2" t="str">
        <f>IFERROR(__xludf.DUMMYFUNCTION("""COMPUTED_VALUE"""),"")</f>
        <v/>
      </c>
      <c r="C2857" s="2"/>
      <c r="D2857" s="71"/>
      <c r="E2857" s="71" t="str">
        <f>IFERROR(__xludf.DUMMYFUNCTION("""COMPUTED_VALUE""")," ")</f>
        <v> </v>
      </c>
      <c r="F2857" s="2"/>
      <c r="G2857" s="2"/>
      <c r="H2857" s="2"/>
      <c r="I2857" s="72"/>
      <c r="J2857" s="72"/>
      <c r="K2857" s="72"/>
      <c r="L2857" s="72"/>
      <c r="M2857" s="2"/>
      <c r="N2857" s="2"/>
      <c r="O2857" s="2"/>
      <c r="P2857" s="2"/>
      <c r="Q2857" s="2"/>
      <c r="R2857" s="2"/>
      <c r="S2857" s="2"/>
      <c r="T2857" s="2"/>
      <c r="U2857" s="2"/>
      <c r="V2857" s="2"/>
      <c r="W2857" s="2"/>
      <c r="X2857" s="2"/>
      <c r="Y2857" s="2"/>
      <c r="Z2857" s="2"/>
      <c r="AA2857" s="2"/>
      <c r="AB2857" s="2"/>
      <c r="AC2857" s="2"/>
      <c r="AD2857" s="2"/>
      <c r="AE2857" s="2"/>
      <c r="AF2857" s="2"/>
      <c r="AG2857" s="2"/>
      <c r="AH2857" s="2"/>
      <c r="AI2857" s="2"/>
      <c r="AJ2857" s="2" t="str">
        <f>IFERROR(__xludf.DUMMYFUNCTION("""COMPUTED_VALUE"""),"")</f>
        <v/>
      </c>
      <c r="AK2857" s="2" t="str">
        <f>IFERROR(__xludf.DUMMYFUNCTION("""COMPUTED_VALUE"""),"")</f>
        <v/>
      </c>
      <c r="AL2857" s="2" t="str">
        <f>IFERROR(__xludf.DUMMYFUNCTION("""COMPUTED_VALUE"""),"")</f>
        <v/>
      </c>
      <c r="AM2857" s="2" t="str">
        <f>IFERROR(__xludf.DUMMYFUNCTION("""COMPUTED_VALUE"""),"")</f>
        <v/>
      </c>
      <c r="AN2857" s="2" t="str">
        <f>IFERROR(__xludf.DUMMYFUNCTION("""COMPUTED_VALUE""")," ")</f>
        <v> </v>
      </c>
      <c r="AO2857" s="2" t="str">
        <f>IFERROR(__xludf.DUMMYFUNCTION("""COMPUTED_VALUE""")," ")</f>
        <v> </v>
      </c>
      <c r="AP2857" s="2" t="str">
        <f>IFERROR(__xludf.DUMMYFUNCTION("""COMPUTED_VALUE"""),"")</f>
        <v/>
      </c>
      <c r="AQ2857" s="2"/>
      <c r="AR2857" s="2"/>
      <c r="AS2857" s="2"/>
      <c r="AT2857" s="2"/>
      <c r="AU2857" s="2"/>
      <c r="AV2857" s="2"/>
      <c r="AW2857" s="2"/>
      <c r="AX2857" s="2"/>
      <c r="AY2857" s="2"/>
      <c r="AZ2857" s="2"/>
      <c r="BA2857" s="2"/>
      <c r="BB2857" s="2"/>
    </row>
    <row r="2858">
      <c r="A2858" s="2"/>
      <c r="B2858" s="2" t="str">
        <f>IFERROR(__xludf.DUMMYFUNCTION("""COMPUTED_VALUE"""),"")</f>
        <v/>
      </c>
      <c r="C2858" s="2"/>
      <c r="D2858" s="71"/>
      <c r="E2858" s="71" t="str">
        <f>IFERROR(__xludf.DUMMYFUNCTION("""COMPUTED_VALUE""")," ")</f>
        <v> </v>
      </c>
      <c r="F2858" s="2"/>
      <c r="G2858" s="2"/>
      <c r="H2858" s="2"/>
      <c r="I2858" s="72"/>
      <c r="J2858" s="72"/>
      <c r="K2858" s="72"/>
      <c r="L2858" s="72"/>
      <c r="M2858" s="2"/>
      <c r="N2858" s="2"/>
      <c r="O2858" s="2"/>
      <c r="P2858" s="2"/>
      <c r="Q2858" s="2"/>
      <c r="R2858" s="2"/>
      <c r="S2858" s="2"/>
      <c r="T2858" s="2"/>
      <c r="U2858" s="2"/>
      <c r="V2858" s="2"/>
      <c r="W2858" s="2"/>
      <c r="X2858" s="2"/>
      <c r="Y2858" s="2"/>
      <c r="Z2858" s="2"/>
      <c r="AA2858" s="2"/>
      <c r="AB2858" s="2"/>
      <c r="AC2858" s="2"/>
      <c r="AD2858" s="2"/>
      <c r="AE2858" s="2"/>
      <c r="AF2858" s="2"/>
      <c r="AG2858" s="2"/>
      <c r="AH2858" s="2"/>
      <c r="AI2858" s="2"/>
      <c r="AJ2858" s="2" t="str">
        <f>IFERROR(__xludf.DUMMYFUNCTION("""COMPUTED_VALUE"""),"")</f>
        <v/>
      </c>
      <c r="AK2858" s="2" t="str">
        <f>IFERROR(__xludf.DUMMYFUNCTION("""COMPUTED_VALUE"""),"")</f>
        <v/>
      </c>
      <c r="AL2858" s="2" t="str">
        <f>IFERROR(__xludf.DUMMYFUNCTION("""COMPUTED_VALUE"""),"")</f>
        <v/>
      </c>
      <c r="AM2858" s="2" t="str">
        <f>IFERROR(__xludf.DUMMYFUNCTION("""COMPUTED_VALUE"""),"")</f>
        <v/>
      </c>
      <c r="AN2858" s="2" t="str">
        <f>IFERROR(__xludf.DUMMYFUNCTION("""COMPUTED_VALUE""")," ")</f>
        <v> </v>
      </c>
      <c r="AO2858" s="2" t="str">
        <f>IFERROR(__xludf.DUMMYFUNCTION("""COMPUTED_VALUE""")," ")</f>
        <v> </v>
      </c>
      <c r="AP2858" s="2" t="str">
        <f>IFERROR(__xludf.DUMMYFUNCTION("""COMPUTED_VALUE"""),"")</f>
        <v/>
      </c>
      <c r="AQ2858" s="2"/>
      <c r="AR2858" s="2"/>
      <c r="AS2858" s="2"/>
      <c r="AT2858" s="2"/>
      <c r="AU2858" s="2"/>
      <c r="AV2858" s="2"/>
      <c r="AW2858" s="2"/>
      <c r="AX2858" s="2"/>
      <c r="AY2858" s="2"/>
      <c r="AZ2858" s="2"/>
      <c r="BA2858" s="2"/>
      <c r="BB2858" s="2"/>
    </row>
    <row r="2859">
      <c r="A2859" s="2"/>
      <c r="B2859" s="2"/>
      <c r="C2859" s="2"/>
      <c r="D2859" s="71"/>
      <c r="E2859" s="71"/>
      <c r="F2859" s="2"/>
      <c r="G2859" s="2"/>
      <c r="H2859" s="2"/>
      <c r="I2859" s="72"/>
      <c r="J2859" s="72"/>
      <c r="K2859" s="72"/>
      <c r="L2859" s="72"/>
      <c r="M2859" s="2"/>
      <c r="N2859" s="2"/>
      <c r="O2859" s="2"/>
      <c r="P2859" s="2"/>
      <c r="Q2859" s="2"/>
      <c r="R2859" s="2"/>
      <c r="S2859" s="2"/>
      <c r="T2859" s="2"/>
      <c r="U2859" s="2"/>
      <c r="V2859" s="2"/>
      <c r="W2859" s="2"/>
      <c r="X2859" s="2"/>
      <c r="Y2859" s="2"/>
      <c r="Z2859" s="2"/>
      <c r="AA2859" s="2"/>
      <c r="AB2859" s="2"/>
      <c r="AC2859" s="2"/>
      <c r="AD2859" s="2"/>
      <c r="AE2859" s="2"/>
      <c r="AF2859" s="2"/>
      <c r="AG2859" s="2"/>
      <c r="AH2859" s="2"/>
      <c r="AI2859" s="2"/>
      <c r="AJ2859" s="2" t="str">
        <f>IFERROR(__xludf.DUMMYFUNCTION("""COMPUTED_VALUE"""),"")</f>
        <v/>
      </c>
      <c r="AK2859" s="2" t="str">
        <f>IFERROR(__xludf.DUMMYFUNCTION("""COMPUTED_VALUE"""),"")</f>
        <v/>
      </c>
      <c r="AL2859" s="2" t="str">
        <f>IFERROR(__xludf.DUMMYFUNCTION("""COMPUTED_VALUE"""),"")</f>
        <v/>
      </c>
      <c r="AM2859" s="2" t="str">
        <f>IFERROR(__xludf.DUMMYFUNCTION("""COMPUTED_VALUE"""),"")</f>
        <v/>
      </c>
      <c r="AN2859" s="2" t="str">
        <f>IFERROR(__xludf.DUMMYFUNCTION("""COMPUTED_VALUE""")," ")</f>
        <v> </v>
      </c>
      <c r="AO2859" s="2" t="str">
        <f>IFERROR(__xludf.DUMMYFUNCTION("""COMPUTED_VALUE""")," ")</f>
        <v> </v>
      </c>
      <c r="AP2859" s="2" t="str">
        <f>IFERROR(__xludf.DUMMYFUNCTION("""COMPUTED_VALUE"""),"")</f>
        <v/>
      </c>
      <c r="AQ2859" s="2"/>
      <c r="AR2859" s="2"/>
      <c r="AS2859" s="2"/>
      <c r="AT2859" s="2"/>
      <c r="AU2859" s="2"/>
      <c r="AV2859" s="2"/>
      <c r="AW2859" s="2"/>
      <c r="AX2859" s="2"/>
      <c r="AY2859" s="2"/>
      <c r="AZ2859" s="2"/>
      <c r="BA2859" s="2"/>
      <c r="BB2859" s="2"/>
    </row>
    <row r="2860">
      <c r="A2860" s="2"/>
      <c r="B2860" s="2"/>
      <c r="C2860" s="2"/>
      <c r="D2860" s="71"/>
      <c r="E2860" s="71"/>
      <c r="F2860" s="2"/>
      <c r="G2860" s="2"/>
      <c r="H2860" s="2"/>
      <c r="I2860" s="72"/>
      <c r="J2860" s="72"/>
      <c r="K2860" s="72"/>
      <c r="L2860" s="72"/>
      <c r="M2860" s="2"/>
      <c r="N2860" s="2"/>
      <c r="O2860" s="2"/>
      <c r="P2860" s="2"/>
      <c r="Q2860" s="2"/>
      <c r="R2860" s="2"/>
      <c r="S2860" s="2"/>
      <c r="T2860" s="2"/>
      <c r="U2860" s="2"/>
      <c r="V2860" s="2"/>
      <c r="W2860" s="2"/>
      <c r="X2860" s="2"/>
      <c r="Y2860" s="2"/>
      <c r="Z2860" s="2"/>
      <c r="AA2860" s="2"/>
      <c r="AB2860" s="2"/>
      <c r="AC2860" s="2"/>
      <c r="AD2860" s="2"/>
      <c r="AE2860" s="2"/>
      <c r="AF2860" s="2"/>
      <c r="AG2860" s="2"/>
      <c r="AH2860" s="2"/>
      <c r="AI2860" s="2"/>
      <c r="AJ2860" s="2" t="str">
        <f>IFERROR(__xludf.DUMMYFUNCTION("""COMPUTED_VALUE"""),"")</f>
        <v/>
      </c>
      <c r="AK2860" s="2" t="str">
        <f>IFERROR(__xludf.DUMMYFUNCTION("""COMPUTED_VALUE"""),"")</f>
        <v/>
      </c>
      <c r="AL2860" s="2" t="str">
        <f>IFERROR(__xludf.DUMMYFUNCTION("""COMPUTED_VALUE"""),"")</f>
        <v/>
      </c>
      <c r="AM2860" s="2" t="str">
        <f>IFERROR(__xludf.DUMMYFUNCTION("""COMPUTED_VALUE"""),"")</f>
        <v/>
      </c>
      <c r="AN2860" s="2" t="str">
        <f>IFERROR(__xludf.DUMMYFUNCTION("""COMPUTED_VALUE""")," ")</f>
        <v> </v>
      </c>
      <c r="AO2860" s="2" t="str">
        <f>IFERROR(__xludf.DUMMYFUNCTION("""COMPUTED_VALUE""")," ")</f>
        <v> </v>
      </c>
      <c r="AP2860" s="2" t="str">
        <f>IFERROR(__xludf.DUMMYFUNCTION("""COMPUTED_VALUE"""),"")</f>
        <v/>
      </c>
      <c r="AQ2860" s="2"/>
      <c r="AR2860" s="2"/>
      <c r="AS2860" s="2"/>
      <c r="AT2860" s="2"/>
      <c r="AU2860" s="2"/>
      <c r="AV2860" s="2"/>
      <c r="AW2860" s="2"/>
      <c r="AX2860" s="2"/>
      <c r="AY2860" s="2"/>
      <c r="AZ2860" s="2"/>
      <c r="BA2860" s="2"/>
      <c r="BB2860" s="2"/>
    </row>
    <row r="2861">
      <c r="A2861" s="2"/>
      <c r="B2861" s="2" t="str">
        <f>IFERROR(__xludf.DUMMYFUNCTION("""COMPUTED_VALUE"""),"")</f>
        <v/>
      </c>
      <c r="C2861" s="2"/>
      <c r="D2861" s="71"/>
      <c r="E2861" s="71" t="str">
        <f>IFERROR(__xludf.DUMMYFUNCTION("""COMPUTED_VALUE""")," ")</f>
        <v> </v>
      </c>
      <c r="F2861" s="2"/>
      <c r="G2861" s="2"/>
      <c r="H2861" s="2"/>
      <c r="I2861" s="72"/>
      <c r="J2861" s="72"/>
      <c r="K2861" s="72"/>
      <c r="L2861" s="72"/>
      <c r="M2861" s="2"/>
      <c r="N2861" s="2"/>
      <c r="O2861" s="2"/>
      <c r="P2861" s="2"/>
      <c r="Q2861" s="2"/>
      <c r="R2861" s="2"/>
      <c r="S2861" s="2"/>
      <c r="T2861" s="2"/>
      <c r="U2861" s="2"/>
      <c r="V2861" s="2"/>
      <c r="W2861" s="2"/>
      <c r="X2861" s="2"/>
      <c r="Y2861" s="2"/>
      <c r="Z2861" s="2"/>
      <c r="AA2861" s="2"/>
      <c r="AB2861" s="2"/>
      <c r="AC2861" s="2"/>
      <c r="AD2861" s="2"/>
      <c r="AE2861" s="2"/>
      <c r="AF2861" s="2"/>
      <c r="AG2861" s="2"/>
      <c r="AH2861" s="2"/>
      <c r="AI2861" s="2"/>
      <c r="AJ2861" s="2" t="str">
        <f>IFERROR(__xludf.DUMMYFUNCTION("""COMPUTED_VALUE"""),"")</f>
        <v/>
      </c>
      <c r="AK2861" s="2" t="str">
        <f>IFERROR(__xludf.DUMMYFUNCTION("""COMPUTED_VALUE"""),"")</f>
        <v/>
      </c>
      <c r="AL2861" s="2" t="str">
        <f>IFERROR(__xludf.DUMMYFUNCTION("""COMPUTED_VALUE"""),"")</f>
        <v/>
      </c>
      <c r="AM2861" s="2" t="str">
        <f>IFERROR(__xludf.DUMMYFUNCTION("""COMPUTED_VALUE"""),"")</f>
        <v/>
      </c>
      <c r="AN2861" s="2" t="str">
        <f>IFERROR(__xludf.DUMMYFUNCTION("""COMPUTED_VALUE""")," ")</f>
        <v> </v>
      </c>
      <c r="AO2861" s="2" t="str">
        <f>IFERROR(__xludf.DUMMYFUNCTION("""COMPUTED_VALUE""")," ")</f>
        <v> </v>
      </c>
      <c r="AP2861" s="2" t="str">
        <f>IFERROR(__xludf.DUMMYFUNCTION("""COMPUTED_VALUE"""),"")</f>
        <v/>
      </c>
      <c r="AQ2861" s="2"/>
      <c r="AR2861" s="2"/>
      <c r="AS2861" s="2"/>
      <c r="AT2861" s="2"/>
      <c r="AU2861" s="2"/>
      <c r="AV2861" s="2"/>
      <c r="AW2861" s="2"/>
      <c r="AX2861" s="2"/>
      <c r="AY2861" s="2"/>
      <c r="AZ2861" s="2"/>
      <c r="BA2861" s="2"/>
      <c r="BB2861" s="2"/>
    </row>
    <row r="2862">
      <c r="A2862" s="2"/>
      <c r="B2862" s="2" t="str">
        <f>IFERROR(__xludf.DUMMYFUNCTION("""COMPUTED_VALUE"""),"")</f>
        <v/>
      </c>
      <c r="C2862" s="2"/>
      <c r="D2862" s="71"/>
      <c r="E2862" s="71" t="str">
        <f>IFERROR(__xludf.DUMMYFUNCTION("""COMPUTED_VALUE""")," ")</f>
        <v> </v>
      </c>
      <c r="F2862" s="2"/>
      <c r="G2862" s="2"/>
      <c r="H2862" s="2"/>
      <c r="I2862" s="72"/>
      <c r="J2862" s="72"/>
      <c r="K2862" s="72"/>
      <c r="L2862" s="72"/>
      <c r="M2862" s="2"/>
      <c r="N2862" s="2"/>
      <c r="O2862" s="2"/>
      <c r="P2862" s="2"/>
      <c r="Q2862" s="2"/>
      <c r="R2862" s="2"/>
      <c r="S2862" s="2"/>
      <c r="T2862" s="2"/>
      <c r="U2862" s="2"/>
      <c r="V2862" s="2"/>
      <c r="W2862" s="2"/>
      <c r="X2862" s="2"/>
      <c r="Y2862" s="2"/>
      <c r="Z2862" s="2"/>
      <c r="AA2862" s="2"/>
      <c r="AB2862" s="2"/>
      <c r="AC2862" s="2"/>
      <c r="AD2862" s="2"/>
      <c r="AE2862" s="2"/>
      <c r="AF2862" s="2"/>
      <c r="AG2862" s="2"/>
      <c r="AH2862" s="2"/>
      <c r="AI2862" s="2"/>
      <c r="AJ2862" s="2" t="str">
        <f>IFERROR(__xludf.DUMMYFUNCTION("""COMPUTED_VALUE"""),"")</f>
        <v/>
      </c>
      <c r="AK2862" s="2" t="str">
        <f>IFERROR(__xludf.DUMMYFUNCTION("""COMPUTED_VALUE"""),"")</f>
        <v/>
      </c>
      <c r="AL2862" s="2" t="str">
        <f>IFERROR(__xludf.DUMMYFUNCTION("""COMPUTED_VALUE"""),"")</f>
        <v/>
      </c>
      <c r="AM2862" s="2" t="str">
        <f>IFERROR(__xludf.DUMMYFUNCTION("""COMPUTED_VALUE"""),"")</f>
        <v/>
      </c>
      <c r="AN2862" s="2" t="str">
        <f>IFERROR(__xludf.DUMMYFUNCTION("""COMPUTED_VALUE""")," ")</f>
        <v> </v>
      </c>
      <c r="AO2862" s="2" t="str">
        <f>IFERROR(__xludf.DUMMYFUNCTION("""COMPUTED_VALUE""")," ")</f>
        <v> </v>
      </c>
      <c r="AP2862" s="2" t="str">
        <f>IFERROR(__xludf.DUMMYFUNCTION("""COMPUTED_VALUE"""),"")</f>
        <v/>
      </c>
      <c r="AQ2862" s="2"/>
      <c r="AR2862" s="2"/>
      <c r="AS2862" s="2"/>
      <c r="AT2862" s="2"/>
      <c r="AU2862" s="2"/>
      <c r="AV2862" s="2"/>
      <c r="AW2862" s="2"/>
      <c r="AX2862" s="2"/>
      <c r="AY2862" s="2"/>
      <c r="AZ2862" s="2"/>
      <c r="BA2862" s="2"/>
      <c r="BB2862" s="2"/>
    </row>
    <row r="2863">
      <c r="A2863" s="2"/>
      <c r="B2863" s="2" t="str">
        <f>IFERROR(__xludf.DUMMYFUNCTION("""COMPUTED_VALUE"""),"")</f>
        <v/>
      </c>
      <c r="C2863" s="2"/>
      <c r="D2863" s="71"/>
      <c r="E2863" s="71" t="str">
        <f>IFERROR(__xludf.DUMMYFUNCTION("""COMPUTED_VALUE""")," ")</f>
        <v> </v>
      </c>
      <c r="F2863" s="2"/>
      <c r="G2863" s="2"/>
      <c r="H2863" s="2"/>
      <c r="I2863" s="72"/>
      <c r="J2863" s="72"/>
      <c r="K2863" s="72"/>
      <c r="L2863" s="72"/>
      <c r="M2863" s="2"/>
      <c r="N2863" s="2"/>
      <c r="O2863" s="2"/>
      <c r="P2863" s="2"/>
      <c r="Q2863" s="2"/>
      <c r="R2863" s="2"/>
      <c r="S2863" s="2"/>
      <c r="T2863" s="2"/>
      <c r="U2863" s="2"/>
      <c r="V2863" s="2"/>
      <c r="W2863" s="2"/>
      <c r="X2863" s="2"/>
      <c r="Y2863" s="2"/>
      <c r="Z2863" s="2"/>
      <c r="AA2863" s="2"/>
      <c r="AB2863" s="2"/>
      <c r="AC2863" s="2"/>
      <c r="AD2863" s="2"/>
      <c r="AE2863" s="2"/>
      <c r="AF2863" s="2"/>
      <c r="AG2863" s="2"/>
      <c r="AH2863" s="2"/>
      <c r="AI2863" s="2"/>
      <c r="AJ2863" s="2" t="str">
        <f>IFERROR(__xludf.DUMMYFUNCTION("""COMPUTED_VALUE"""),"")</f>
        <v/>
      </c>
      <c r="AK2863" s="2" t="str">
        <f>IFERROR(__xludf.DUMMYFUNCTION("""COMPUTED_VALUE"""),"")</f>
        <v/>
      </c>
      <c r="AL2863" s="2" t="str">
        <f>IFERROR(__xludf.DUMMYFUNCTION("""COMPUTED_VALUE"""),"")</f>
        <v/>
      </c>
      <c r="AM2863" s="2" t="str">
        <f>IFERROR(__xludf.DUMMYFUNCTION("""COMPUTED_VALUE"""),"")</f>
        <v/>
      </c>
      <c r="AN2863" s="2" t="str">
        <f>IFERROR(__xludf.DUMMYFUNCTION("""COMPUTED_VALUE""")," ")</f>
        <v> </v>
      </c>
      <c r="AO2863" s="2" t="str">
        <f>IFERROR(__xludf.DUMMYFUNCTION("""COMPUTED_VALUE""")," ")</f>
        <v> </v>
      </c>
      <c r="AP2863" s="2" t="str">
        <f>IFERROR(__xludf.DUMMYFUNCTION("""COMPUTED_VALUE"""),"")</f>
        <v/>
      </c>
      <c r="AQ2863" s="2"/>
      <c r="AR2863" s="2"/>
      <c r="AS2863" s="2"/>
      <c r="AT2863" s="2"/>
      <c r="AU2863" s="2"/>
      <c r="AV2863" s="2"/>
      <c r="AW2863" s="2"/>
      <c r="AX2863" s="2"/>
      <c r="AY2863" s="2"/>
      <c r="AZ2863" s="2"/>
      <c r="BA2863" s="2"/>
      <c r="BB2863" s="2"/>
    </row>
    <row r="2864">
      <c r="A2864" s="2"/>
      <c r="B2864" s="2" t="str">
        <f>IFERROR(__xludf.DUMMYFUNCTION("""COMPUTED_VALUE"""),"")</f>
        <v/>
      </c>
      <c r="C2864" s="2"/>
      <c r="D2864" s="71"/>
      <c r="E2864" s="71" t="str">
        <f>IFERROR(__xludf.DUMMYFUNCTION("""COMPUTED_VALUE""")," ")</f>
        <v> </v>
      </c>
      <c r="F2864" s="2"/>
      <c r="G2864" s="2"/>
      <c r="H2864" s="2"/>
      <c r="I2864" s="72"/>
      <c r="J2864" s="72"/>
      <c r="K2864" s="72"/>
      <c r="L2864" s="72"/>
      <c r="M2864" s="2"/>
      <c r="N2864" s="2"/>
      <c r="O2864" s="2"/>
      <c r="P2864" s="2"/>
      <c r="Q2864" s="2"/>
      <c r="R2864" s="2"/>
      <c r="S2864" s="2"/>
      <c r="T2864" s="2"/>
      <c r="U2864" s="2"/>
      <c r="V2864" s="2"/>
      <c r="W2864" s="2"/>
      <c r="X2864" s="2"/>
      <c r="Y2864" s="2"/>
      <c r="Z2864" s="2"/>
      <c r="AA2864" s="2"/>
      <c r="AB2864" s="2"/>
      <c r="AC2864" s="2"/>
      <c r="AD2864" s="2"/>
      <c r="AE2864" s="2"/>
      <c r="AF2864" s="2"/>
      <c r="AG2864" s="2"/>
      <c r="AH2864" s="2"/>
      <c r="AI2864" s="2"/>
      <c r="AJ2864" s="2" t="str">
        <f>IFERROR(__xludf.DUMMYFUNCTION("""COMPUTED_VALUE"""),"")</f>
        <v/>
      </c>
      <c r="AK2864" s="2" t="str">
        <f>IFERROR(__xludf.DUMMYFUNCTION("""COMPUTED_VALUE"""),"")</f>
        <v/>
      </c>
      <c r="AL2864" s="2" t="str">
        <f>IFERROR(__xludf.DUMMYFUNCTION("""COMPUTED_VALUE"""),"")</f>
        <v/>
      </c>
      <c r="AM2864" s="2" t="str">
        <f>IFERROR(__xludf.DUMMYFUNCTION("""COMPUTED_VALUE"""),"")</f>
        <v/>
      </c>
      <c r="AN2864" s="2" t="str">
        <f>IFERROR(__xludf.DUMMYFUNCTION("""COMPUTED_VALUE""")," ")</f>
        <v> </v>
      </c>
      <c r="AO2864" s="2" t="str">
        <f>IFERROR(__xludf.DUMMYFUNCTION("""COMPUTED_VALUE""")," ")</f>
        <v> </v>
      </c>
      <c r="AP2864" s="2" t="str">
        <f>IFERROR(__xludf.DUMMYFUNCTION("""COMPUTED_VALUE"""),"")</f>
        <v/>
      </c>
      <c r="AQ2864" s="2"/>
      <c r="AR2864" s="2"/>
      <c r="AS2864" s="2"/>
      <c r="AT2864" s="2"/>
      <c r="AU2864" s="2"/>
      <c r="AV2864" s="2"/>
      <c r="AW2864" s="2"/>
      <c r="AX2864" s="2"/>
      <c r="AY2864" s="2"/>
      <c r="AZ2864" s="2"/>
      <c r="BA2864" s="2"/>
      <c r="BB2864" s="2"/>
    </row>
    <row r="2865">
      <c r="A2865" s="2"/>
      <c r="B2865" s="2" t="str">
        <f>IFERROR(__xludf.DUMMYFUNCTION("""COMPUTED_VALUE"""),"")</f>
        <v/>
      </c>
      <c r="C2865" s="2"/>
      <c r="D2865" s="71"/>
      <c r="E2865" s="71" t="str">
        <f>IFERROR(__xludf.DUMMYFUNCTION("""COMPUTED_VALUE""")," ")</f>
        <v> </v>
      </c>
      <c r="F2865" s="2"/>
      <c r="G2865" s="2"/>
      <c r="H2865" s="2"/>
      <c r="I2865" s="72"/>
      <c r="J2865" s="72"/>
      <c r="K2865" s="72"/>
      <c r="L2865" s="72"/>
      <c r="M2865" s="2"/>
      <c r="N2865" s="2"/>
      <c r="O2865" s="2"/>
      <c r="P2865" s="2"/>
      <c r="Q2865" s="2"/>
      <c r="R2865" s="2"/>
      <c r="S2865" s="2"/>
      <c r="T2865" s="2"/>
      <c r="U2865" s="2"/>
      <c r="V2865" s="2"/>
      <c r="W2865" s="2"/>
      <c r="X2865" s="2"/>
      <c r="Y2865" s="2"/>
      <c r="Z2865" s="2"/>
      <c r="AA2865" s="2"/>
      <c r="AB2865" s="2"/>
      <c r="AC2865" s="2"/>
      <c r="AD2865" s="2"/>
      <c r="AE2865" s="2"/>
      <c r="AF2865" s="2"/>
      <c r="AG2865" s="2"/>
      <c r="AH2865" s="2"/>
      <c r="AI2865" s="2"/>
      <c r="AJ2865" s="2" t="str">
        <f>IFERROR(__xludf.DUMMYFUNCTION("""COMPUTED_VALUE"""),"")</f>
        <v/>
      </c>
      <c r="AK2865" s="2" t="str">
        <f>IFERROR(__xludf.DUMMYFUNCTION("""COMPUTED_VALUE"""),"")</f>
        <v/>
      </c>
      <c r="AL2865" s="2" t="str">
        <f>IFERROR(__xludf.DUMMYFUNCTION("""COMPUTED_VALUE"""),"")</f>
        <v/>
      </c>
      <c r="AM2865" s="2" t="str">
        <f>IFERROR(__xludf.DUMMYFUNCTION("""COMPUTED_VALUE"""),"")</f>
        <v/>
      </c>
      <c r="AN2865" s="2" t="str">
        <f>IFERROR(__xludf.DUMMYFUNCTION("""COMPUTED_VALUE""")," ")</f>
        <v> </v>
      </c>
      <c r="AO2865" s="2" t="str">
        <f>IFERROR(__xludf.DUMMYFUNCTION("""COMPUTED_VALUE""")," ")</f>
        <v> </v>
      </c>
      <c r="AP2865" s="2" t="str">
        <f>IFERROR(__xludf.DUMMYFUNCTION("""COMPUTED_VALUE"""),"")</f>
        <v/>
      </c>
      <c r="AQ2865" s="2"/>
      <c r="AR2865" s="2"/>
      <c r="AS2865" s="2"/>
      <c r="AT2865" s="2"/>
      <c r="AU2865" s="2"/>
      <c r="AV2865" s="2"/>
      <c r="AW2865" s="2"/>
      <c r="AX2865" s="2"/>
      <c r="AY2865" s="2"/>
      <c r="AZ2865" s="2"/>
      <c r="BA2865" s="2"/>
      <c r="BB2865" s="2"/>
    </row>
    <row r="2866">
      <c r="A2866" s="2"/>
      <c r="B2866" s="2"/>
      <c r="C2866" s="2"/>
      <c r="D2866" s="71"/>
      <c r="E2866" s="71"/>
      <c r="F2866" s="2"/>
      <c r="G2866" s="2"/>
      <c r="H2866" s="2"/>
      <c r="I2866" s="72"/>
      <c r="J2866" s="72"/>
      <c r="K2866" s="72"/>
      <c r="L2866" s="72"/>
      <c r="M2866" s="2"/>
      <c r="N2866" s="2"/>
      <c r="O2866" s="2"/>
      <c r="P2866" s="2"/>
      <c r="Q2866" s="2"/>
      <c r="R2866" s="2"/>
      <c r="S2866" s="2"/>
      <c r="T2866" s="2"/>
      <c r="U2866" s="2"/>
      <c r="V2866" s="2"/>
      <c r="W2866" s="2"/>
      <c r="X2866" s="2"/>
      <c r="Y2866" s="2"/>
      <c r="Z2866" s="2"/>
      <c r="AA2866" s="2"/>
      <c r="AB2866" s="2"/>
      <c r="AC2866" s="2"/>
      <c r="AD2866" s="2"/>
      <c r="AE2866" s="2"/>
      <c r="AF2866" s="2"/>
      <c r="AG2866" s="2"/>
      <c r="AH2866" s="2"/>
      <c r="AI2866" s="2"/>
      <c r="AJ2866" s="2"/>
      <c r="AK2866" s="2"/>
      <c r="AL2866" s="2"/>
      <c r="AM2866" s="2"/>
      <c r="AN2866" s="2"/>
      <c r="AO2866" s="2"/>
      <c r="AP2866" s="2"/>
      <c r="AQ2866" s="2"/>
      <c r="AR2866" s="2"/>
      <c r="AS2866" s="2"/>
      <c r="AT2866" s="2"/>
      <c r="AU2866" s="2"/>
      <c r="AV2866" s="2"/>
      <c r="AW2866" s="2"/>
      <c r="AX2866" s="2"/>
      <c r="AY2866" s="2"/>
      <c r="AZ2866" s="2"/>
      <c r="BA2866" s="2"/>
      <c r="BB2866" s="2"/>
    </row>
    <row r="2867">
      <c r="A2867" s="2"/>
      <c r="B2867" s="2" t="str">
        <f>IFERROR(__xludf.DUMMYFUNCTION("""COMPUTED_VALUE"""),"")</f>
        <v/>
      </c>
      <c r="C2867" s="2"/>
      <c r="D2867" s="71"/>
      <c r="E2867" s="71" t="str">
        <f>IFERROR(__xludf.DUMMYFUNCTION("""COMPUTED_VALUE""")," ")</f>
        <v> </v>
      </c>
      <c r="F2867" s="2"/>
      <c r="G2867" s="2"/>
      <c r="H2867" s="2"/>
      <c r="I2867" s="72"/>
      <c r="J2867" s="72"/>
      <c r="K2867" s="72"/>
      <c r="L2867" s="72"/>
      <c r="M2867" s="2"/>
      <c r="N2867" s="2"/>
      <c r="O2867" s="2"/>
      <c r="P2867" s="2"/>
      <c r="Q2867" s="2"/>
      <c r="R2867" s="2"/>
      <c r="S2867" s="2"/>
      <c r="T2867" s="2"/>
      <c r="U2867" s="2"/>
      <c r="V2867" s="2"/>
      <c r="W2867" s="2"/>
      <c r="X2867" s="2"/>
      <c r="Y2867" s="2"/>
      <c r="Z2867" s="2"/>
      <c r="AA2867" s="2"/>
      <c r="AB2867" s="2"/>
      <c r="AC2867" s="2"/>
      <c r="AD2867" s="2"/>
      <c r="AE2867" s="2"/>
      <c r="AF2867" s="2"/>
      <c r="AG2867" s="2"/>
      <c r="AH2867" s="2"/>
      <c r="AI2867" s="2"/>
      <c r="AJ2867" s="2" t="str">
        <f>IFERROR(__xludf.DUMMYFUNCTION("""COMPUTED_VALUE"""),"")</f>
        <v/>
      </c>
      <c r="AK2867" s="2" t="str">
        <f>IFERROR(__xludf.DUMMYFUNCTION("""COMPUTED_VALUE"""),"")</f>
        <v/>
      </c>
      <c r="AL2867" s="2" t="str">
        <f>IFERROR(__xludf.DUMMYFUNCTION("""COMPUTED_VALUE"""),"")</f>
        <v/>
      </c>
      <c r="AM2867" s="2" t="str">
        <f>IFERROR(__xludf.DUMMYFUNCTION("""COMPUTED_VALUE"""),"")</f>
        <v/>
      </c>
      <c r="AN2867" s="2" t="str">
        <f>IFERROR(__xludf.DUMMYFUNCTION("""COMPUTED_VALUE""")," ")</f>
        <v> </v>
      </c>
      <c r="AO2867" s="2" t="str">
        <f>IFERROR(__xludf.DUMMYFUNCTION("""COMPUTED_VALUE""")," ")</f>
        <v> </v>
      </c>
      <c r="AP2867" s="2" t="str">
        <f>IFERROR(__xludf.DUMMYFUNCTION("""COMPUTED_VALUE"""),"")</f>
        <v/>
      </c>
      <c r="AQ2867" s="2"/>
      <c r="AR2867" s="2"/>
      <c r="AS2867" s="2"/>
      <c r="AT2867" s="2"/>
      <c r="AU2867" s="2"/>
      <c r="AV2867" s="2"/>
      <c r="AW2867" s="2"/>
      <c r="AX2867" s="2"/>
      <c r="AY2867" s="2"/>
      <c r="AZ2867" s="2"/>
      <c r="BA2867" s="2"/>
      <c r="BB2867" s="2"/>
    </row>
    <row r="2868">
      <c r="A2868" s="2"/>
      <c r="B2868" s="2" t="str">
        <f>IFERROR(__xludf.DUMMYFUNCTION("""COMPUTED_VALUE"""),"")</f>
        <v/>
      </c>
      <c r="C2868" s="2"/>
      <c r="D2868" s="71"/>
      <c r="E2868" s="71" t="str">
        <f>IFERROR(__xludf.DUMMYFUNCTION("""COMPUTED_VALUE""")," ")</f>
        <v> </v>
      </c>
      <c r="F2868" s="2"/>
      <c r="G2868" s="2"/>
      <c r="H2868" s="2"/>
      <c r="I2868" s="72"/>
      <c r="J2868" s="72"/>
      <c r="K2868" s="72"/>
      <c r="L2868" s="72"/>
      <c r="M2868" s="2"/>
      <c r="N2868" s="2"/>
      <c r="O2868" s="2"/>
      <c r="P2868" s="2"/>
      <c r="Q2868" s="2"/>
      <c r="R2868" s="2"/>
      <c r="S2868" s="2"/>
      <c r="T2868" s="2"/>
      <c r="U2868" s="2"/>
      <c r="V2868" s="2"/>
      <c r="W2868" s="2"/>
      <c r="X2868" s="2"/>
      <c r="Y2868" s="2"/>
      <c r="Z2868" s="2"/>
      <c r="AA2868" s="2"/>
      <c r="AB2868" s="2"/>
      <c r="AC2868" s="2"/>
      <c r="AD2868" s="2"/>
      <c r="AE2868" s="2"/>
      <c r="AF2868" s="2"/>
      <c r="AG2868" s="2"/>
      <c r="AH2868" s="2"/>
      <c r="AI2868" s="2"/>
      <c r="AJ2868" s="2" t="str">
        <f>IFERROR(__xludf.DUMMYFUNCTION("""COMPUTED_VALUE"""),"")</f>
        <v/>
      </c>
      <c r="AK2868" s="2" t="str">
        <f>IFERROR(__xludf.DUMMYFUNCTION("""COMPUTED_VALUE"""),"")</f>
        <v/>
      </c>
      <c r="AL2868" s="2" t="str">
        <f>IFERROR(__xludf.DUMMYFUNCTION("""COMPUTED_VALUE"""),"")</f>
        <v/>
      </c>
      <c r="AM2868" s="2" t="str">
        <f>IFERROR(__xludf.DUMMYFUNCTION("""COMPUTED_VALUE"""),"")</f>
        <v/>
      </c>
      <c r="AN2868" s="2" t="str">
        <f>IFERROR(__xludf.DUMMYFUNCTION("""COMPUTED_VALUE""")," ")</f>
        <v> </v>
      </c>
      <c r="AO2868" s="2" t="str">
        <f>IFERROR(__xludf.DUMMYFUNCTION("""COMPUTED_VALUE""")," ")</f>
        <v> </v>
      </c>
      <c r="AP2868" s="2" t="str">
        <f>IFERROR(__xludf.DUMMYFUNCTION("""COMPUTED_VALUE"""),"")</f>
        <v/>
      </c>
      <c r="AQ2868" s="2"/>
      <c r="AR2868" s="2"/>
      <c r="AS2868" s="2"/>
      <c r="AT2868" s="2"/>
      <c r="AU2868" s="2"/>
      <c r="AV2868" s="2"/>
      <c r="AW2868" s="2"/>
      <c r="AX2868" s="2"/>
      <c r="AY2868" s="2"/>
      <c r="AZ2868" s="2"/>
      <c r="BA2868" s="2"/>
      <c r="BB2868" s="2"/>
    </row>
    <row r="2869">
      <c r="A2869" s="2"/>
      <c r="B2869" s="2"/>
      <c r="C2869" s="2"/>
      <c r="D2869" s="71"/>
      <c r="E2869" s="71"/>
      <c r="F2869" s="2"/>
      <c r="G2869" s="2"/>
      <c r="H2869" s="2"/>
      <c r="I2869" s="72"/>
      <c r="J2869" s="72"/>
      <c r="K2869" s="72"/>
      <c r="L2869" s="72"/>
      <c r="M2869" s="2"/>
      <c r="N2869" s="2"/>
      <c r="O2869" s="2"/>
      <c r="P2869" s="2"/>
      <c r="Q2869" s="2"/>
      <c r="R2869" s="2"/>
      <c r="S2869" s="2"/>
      <c r="T2869" s="2"/>
      <c r="U2869" s="2"/>
      <c r="V2869" s="2"/>
      <c r="W2869" s="2"/>
      <c r="X2869" s="2"/>
      <c r="Y2869" s="2"/>
      <c r="Z2869" s="2"/>
      <c r="AA2869" s="2"/>
      <c r="AB2869" s="2"/>
      <c r="AC2869" s="2"/>
      <c r="AD2869" s="2"/>
      <c r="AE2869" s="2"/>
      <c r="AF2869" s="2"/>
      <c r="AG2869" s="2"/>
      <c r="AH2869" s="2"/>
      <c r="AI2869" s="2"/>
      <c r="AJ2869" s="2" t="str">
        <f>IFERROR(__xludf.DUMMYFUNCTION("""COMPUTED_VALUE"""),"")</f>
        <v/>
      </c>
      <c r="AK2869" s="2" t="str">
        <f>IFERROR(__xludf.DUMMYFUNCTION("""COMPUTED_VALUE"""),"")</f>
        <v/>
      </c>
      <c r="AL2869" s="2" t="str">
        <f>IFERROR(__xludf.DUMMYFUNCTION("""COMPUTED_VALUE"""),"")</f>
        <v/>
      </c>
      <c r="AM2869" s="2" t="str">
        <f>IFERROR(__xludf.DUMMYFUNCTION("""COMPUTED_VALUE"""),"")</f>
        <v/>
      </c>
      <c r="AN2869" s="2" t="str">
        <f>IFERROR(__xludf.DUMMYFUNCTION("""COMPUTED_VALUE""")," ")</f>
        <v> </v>
      </c>
      <c r="AO2869" s="2" t="str">
        <f>IFERROR(__xludf.DUMMYFUNCTION("""COMPUTED_VALUE""")," ")</f>
        <v> </v>
      </c>
      <c r="AP2869" s="2" t="str">
        <f>IFERROR(__xludf.DUMMYFUNCTION("""COMPUTED_VALUE"""),"")</f>
        <v/>
      </c>
      <c r="AQ2869" s="2"/>
      <c r="AR2869" s="2"/>
      <c r="AS2869" s="2"/>
      <c r="AT2869" s="2"/>
      <c r="AU2869" s="2"/>
      <c r="AV2869" s="2"/>
      <c r="AW2869" s="2"/>
      <c r="AX2869" s="2"/>
      <c r="AY2869" s="2"/>
      <c r="AZ2869" s="2"/>
      <c r="BA2869" s="2"/>
      <c r="BB2869" s="2"/>
    </row>
    <row r="2870">
      <c r="A2870" s="2"/>
      <c r="B2870" s="2" t="str">
        <f>IFERROR(__xludf.DUMMYFUNCTION("""COMPUTED_VALUE"""),"")</f>
        <v/>
      </c>
      <c r="C2870" s="2"/>
      <c r="D2870" s="71"/>
      <c r="E2870" s="71" t="str">
        <f>IFERROR(__xludf.DUMMYFUNCTION("""COMPUTED_VALUE""")," ")</f>
        <v> </v>
      </c>
      <c r="F2870" s="2"/>
      <c r="G2870" s="2"/>
      <c r="H2870" s="2"/>
      <c r="I2870" s="72"/>
      <c r="J2870" s="72"/>
      <c r="K2870" s="72"/>
      <c r="L2870" s="72"/>
      <c r="M2870" s="2"/>
      <c r="N2870" s="2"/>
      <c r="O2870" s="2"/>
      <c r="P2870" s="2"/>
      <c r="Q2870" s="2"/>
      <c r="R2870" s="2"/>
      <c r="S2870" s="2"/>
      <c r="T2870" s="2"/>
      <c r="U2870" s="2"/>
      <c r="V2870" s="2"/>
      <c r="W2870" s="2"/>
      <c r="X2870" s="2"/>
      <c r="Y2870" s="2"/>
      <c r="Z2870" s="2"/>
      <c r="AA2870" s="2"/>
      <c r="AB2870" s="2"/>
      <c r="AC2870" s="2"/>
      <c r="AD2870" s="2"/>
      <c r="AE2870" s="2"/>
      <c r="AF2870" s="2"/>
      <c r="AG2870" s="2"/>
      <c r="AH2870" s="2"/>
      <c r="AI2870" s="2"/>
      <c r="AJ2870" s="2" t="str">
        <f>IFERROR(__xludf.DUMMYFUNCTION("""COMPUTED_VALUE"""),"")</f>
        <v/>
      </c>
      <c r="AK2870" s="2" t="str">
        <f>IFERROR(__xludf.DUMMYFUNCTION("""COMPUTED_VALUE"""),"")</f>
        <v/>
      </c>
      <c r="AL2870" s="2" t="str">
        <f>IFERROR(__xludf.DUMMYFUNCTION("""COMPUTED_VALUE"""),"")</f>
        <v/>
      </c>
      <c r="AM2870" s="2" t="str">
        <f>IFERROR(__xludf.DUMMYFUNCTION("""COMPUTED_VALUE"""),"")</f>
        <v/>
      </c>
      <c r="AN2870" s="2" t="str">
        <f>IFERROR(__xludf.DUMMYFUNCTION("""COMPUTED_VALUE""")," ")</f>
        <v> </v>
      </c>
      <c r="AO2870" s="2" t="str">
        <f>IFERROR(__xludf.DUMMYFUNCTION("""COMPUTED_VALUE""")," ")</f>
        <v> </v>
      </c>
      <c r="AP2870" s="2" t="str">
        <f>IFERROR(__xludf.DUMMYFUNCTION("""COMPUTED_VALUE"""),"")</f>
        <v/>
      </c>
      <c r="AQ2870" s="2"/>
      <c r="AR2870" s="2"/>
      <c r="AS2870" s="2"/>
      <c r="AT2870" s="2"/>
      <c r="AU2870" s="2"/>
      <c r="AV2870" s="2"/>
      <c r="AW2870" s="2"/>
      <c r="AX2870" s="2"/>
      <c r="AY2870" s="2"/>
      <c r="AZ2870" s="2"/>
      <c r="BA2870" s="2"/>
      <c r="BB2870" s="2"/>
    </row>
    <row r="2871">
      <c r="D2871" s="71"/>
      <c r="E2871" s="71"/>
      <c r="I2871" s="72"/>
      <c r="J2871" s="72"/>
      <c r="K2871" s="72"/>
      <c r="L2871" s="72"/>
    </row>
    <row r="2872">
      <c r="D2872" s="71"/>
      <c r="E2872" s="71"/>
      <c r="I2872" s="72"/>
      <c r="J2872" s="72"/>
      <c r="K2872" s="72"/>
      <c r="L2872" s="72"/>
    </row>
    <row r="2873">
      <c r="D2873" s="71"/>
      <c r="E2873" s="71"/>
      <c r="I2873" s="72"/>
      <c r="J2873" s="72"/>
      <c r="K2873" s="72"/>
      <c r="L2873" s="72"/>
    </row>
    <row r="2874">
      <c r="D2874" s="71"/>
      <c r="E2874" s="71"/>
      <c r="I2874" s="72"/>
      <c r="J2874" s="72"/>
      <c r="K2874" s="72"/>
      <c r="L2874" s="72"/>
    </row>
    <row r="2875">
      <c r="D2875" s="71"/>
      <c r="E2875" s="71"/>
      <c r="I2875" s="72"/>
      <c r="J2875" s="72"/>
      <c r="K2875" s="72"/>
      <c r="L2875" s="72"/>
    </row>
    <row r="2876">
      <c r="D2876" s="71"/>
      <c r="E2876" s="71"/>
      <c r="I2876" s="72"/>
      <c r="J2876" s="72"/>
      <c r="K2876" s="72"/>
      <c r="L2876" s="72"/>
    </row>
    <row r="2877">
      <c r="D2877" s="71"/>
      <c r="E2877" s="71"/>
      <c r="I2877" s="72"/>
      <c r="J2877" s="72"/>
      <c r="K2877" s="72"/>
      <c r="L2877" s="72"/>
    </row>
    <row r="2878">
      <c r="D2878" s="71"/>
      <c r="E2878" s="71"/>
      <c r="I2878" s="72"/>
      <c r="J2878" s="72"/>
      <c r="K2878" s="72"/>
      <c r="L2878" s="72"/>
    </row>
    <row r="2879">
      <c r="D2879" s="71"/>
      <c r="E2879" s="71"/>
      <c r="I2879" s="72"/>
      <c r="J2879" s="72"/>
      <c r="K2879" s="72"/>
      <c r="L2879" s="72"/>
    </row>
    <row r="2880">
      <c r="D2880" s="71"/>
      <c r="E2880" s="71"/>
      <c r="I2880" s="72"/>
      <c r="J2880" s="72"/>
      <c r="K2880" s="72"/>
      <c r="L2880" s="72"/>
    </row>
    <row r="2881">
      <c r="D2881" s="71"/>
      <c r="E2881" s="71"/>
      <c r="I2881" s="72"/>
      <c r="J2881" s="72"/>
      <c r="K2881" s="72"/>
      <c r="L2881" s="72"/>
    </row>
    <row r="2882">
      <c r="D2882" s="71"/>
      <c r="E2882" s="71"/>
      <c r="I2882" s="72"/>
      <c r="J2882" s="72"/>
      <c r="K2882" s="72"/>
      <c r="L2882" s="72"/>
    </row>
    <row r="2883">
      <c r="D2883" s="71"/>
      <c r="E2883" s="71"/>
      <c r="I2883" s="72"/>
      <c r="J2883" s="72"/>
      <c r="K2883" s="72"/>
      <c r="L2883" s="72"/>
    </row>
    <row r="2884">
      <c r="D2884" s="71"/>
      <c r="E2884" s="71"/>
      <c r="I2884" s="72"/>
      <c r="J2884" s="72"/>
      <c r="K2884" s="72"/>
      <c r="L2884" s="72"/>
    </row>
    <row r="2885">
      <c r="D2885" s="71"/>
      <c r="E2885" s="71"/>
      <c r="I2885" s="72"/>
      <c r="J2885" s="72"/>
      <c r="K2885" s="72"/>
      <c r="L2885" s="72"/>
    </row>
    <row r="2886">
      <c r="D2886" s="71"/>
      <c r="E2886" s="71"/>
      <c r="I2886" s="72"/>
      <c r="J2886" s="72"/>
      <c r="K2886" s="72"/>
      <c r="L2886" s="72"/>
    </row>
    <row r="2887">
      <c r="D2887" s="71"/>
      <c r="E2887" s="71"/>
      <c r="I2887" s="72"/>
      <c r="J2887" s="72"/>
      <c r="K2887" s="72"/>
      <c r="L2887" s="72"/>
    </row>
    <row r="2888">
      <c r="D2888" s="71"/>
      <c r="E2888" s="71"/>
      <c r="I2888" s="72"/>
      <c r="J2888" s="72"/>
      <c r="K2888" s="72"/>
      <c r="L2888" s="72"/>
    </row>
    <row r="2889">
      <c r="D2889" s="71"/>
      <c r="E2889" s="71"/>
      <c r="I2889" s="72"/>
      <c r="J2889" s="72"/>
      <c r="K2889" s="72"/>
      <c r="L2889" s="72"/>
    </row>
    <row r="2890">
      <c r="D2890" s="71"/>
      <c r="E2890" s="71"/>
      <c r="I2890" s="72"/>
      <c r="J2890" s="72"/>
      <c r="K2890" s="72"/>
      <c r="L2890" s="72"/>
    </row>
    <row r="2891">
      <c r="D2891" s="71"/>
      <c r="E2891" s="71"/>
      <c r="I2891" s="72"/>
      <c r="J2891" s="72"/>
      <c r="K2891" s="72"/>
      <c r="L2891" s="72"/>
    </row>
    <row r="2892">
      <c r="D2892" s="71"/>
      <c r="E2892" s="71"/>
      <c r="I2892" s="72"/>
      <c r="J2892" s="72"/>
      <c r="K2892" s="72"/>
      <c r="L2892" s="72"/>
    </row>
    <row r="2893">
      <c r="D2893" s="71"/>
      <c r="E2893" s="71"/>
      <c r="I2893" s="72"/>
      <c r="J2893" s="72"/>
      <c r="K2893" s="72"/>
      <c r="L2893" s="72"/>
    </row>
    <row r="2894">
      <c r="D2894" s="71"/>
      <c r="E2894" s="71"/>
      <c r="I2894" s="72"/>
      <c r="J2894" s="72"/>
      <c r="K2894" s="72"/>
      <c r="L2894" s="72"/>
    </row>
    <row r="2895">
      <c r="D2895" s="71"/>
      <c r="E2895" s="71"/>
      <c r="I2895" s="72"/>
      <c r="J2895" s="72"/>
      <c r="K2895" s="72"/>
      <c r="L2895" s="72"/>
    </row>
    <row r="2896">
      <c r="D2896" s="71"/>
      <c r="E2896" s="71"/>
      <c r="I2896" s="72"/>
      <c r="J2896" s="72"/>
      <c r="K2896" s="72"/>
      <c r="L2896" s="72"/>
    </row>
    <row r="2897">
      <c r="D2897" s="71"/>
      <c r="E2897" s="71"/>
      <c r="I2897" s="72"/>
      <c r="J2897" s="72"/>
      <c r="K2897" s="72"/>
      <c r="L2897" s="72"/>
    </row>
    <row r="2898">
      <c r="D2898" s="71"/>
      <c r="E2898" s="71"/>
      <c r="I2898" s="72"/>
      <c r="J2898" s="72"/>
      <c r="K2898" s="72"/>
      <c r="L2898" s="72"/>
    </row>
    <row r="2899">
      <c r="D2899" s="71"/>
      <c r="E2899" s="71"/>
      <c r="I2899" s="72"/>
      <c r="J2899" s="72"/>
      <c r="K2899" s="72"/>
      <c r="L2899" s="72"/>
    </row>
    <row r="2900">
      <c r="D2900" s="71"/>
      <c r="E2900" s="71"/>
      <c r="I2900" s="72"/>
      <c r="J2900" s="72"/>
      <c r="K2900" s="72"/>
      <c r="L2900" s="72"/>
    </row>
    <row r="2901">
      <c r="D2901" s="71"/>
      <c r="E2901" s="71"/>
      <c r="I2901" s="72"/>
      <c r="J2901" s="72"/>
      <c r="K2901" s="72"/>
      <c r="L2901" s="72"/>
    </row>
    <row r="2902">
      <c r="D2902" s="71"/>
      <c r="E2902" s="71"/>
      <c r="I2902" s="72"/>
      <c r="J2902" s="72"/>
      <c r="K2902" s="72"/>
      <c r="L2902" s="72"/>
    </row>
    <row r="2903">
      <c r="D2903" s="71"/>
      <c r="E2903" s="71"/>
      <c r="I2903" s="72"/>
      <c r="J2903" s="72"/>
      <c r="K2903" s="72"/>
      <c r="L2903" s="72"/>
    </row>
    <row r="2904">
      <c r="D2904" s="71"/>
      <c r="E2904" s="71"/>
      <c r="I2904" s="72"/>
      <c r="J2904" s="72"/>
      <c r="K2904" s="72"/>
      <c r="L2904" s="72"/>
    </row>
    <row r="2905">
      <c r="D2905" s="71"/>
      <c r="E2905" s="71"/>
      <c r="I2905" s="72"/>
      <c r="J2905" s="72"/>
      <c r="K2905" s="72"/>
      <c r="L2905" s="72"/>
    </row>
    <row r="2906">
      <c r="D2906" s="71"/>
      <c r="E2906" s="71"/>
      <c r="I2906" s="72"/>
      <c r="J2906" s="72"/>
      <c r="K2906" s="72"/>
      <c r="L2906" s="72"/>
    </row>
    <row r="2907">
      <c r="D2907" s="71"/>
      <c r="E2907" s="71"/>
      <c r="I2907" s="72"/>
      <c r="J2907" s="72"/>
      <c r="K2907" s="72"/>
      <c r="L2907" s="72"/>
    </row>
    <row r="2908">
      <c r="D2908" s="71"/>
      <c r="E2908" s="71"/>
      <c r="I2908" s="72"/>
      <c r="J2908" s="72"/>
      <c r="K2908" s="72"/>
      <c r="L2908" s="72"/>
    </row>
    <row r="2909">
      <c r="D2909" s="71"/>
      <c r="E2909" s="71"/>
      <c r="I2909" s="72"/>
      <c r="J2909" s="72"/>
      <c r="K2909" s="72"/>
      <c r="L2909" s="72"/>
    </row>
    <row r="2910">
      <c r="D2910" s="71"/>
      <c r="E2910" s="71"/>
      <c r="I2910" s="72"/>
      <c r="J2910" s="72"/>
      <c r="K2910" s="72"/>
      <c r="L2910" s="72"/>
    </row>
    <row r="2911">
      <c r="D2911" s="71"/>
      <c r="E2911" s="71"/>
      <c r="I2911" s="72"/>
      <c r="J2911" s="72"/>
      <c r="K2911" s="72"/>
      <c r="L2911" s="72"/>
    </row>
    <row r="2912">
      <c r="D2912" s="71"/>
      <c r="E2912" s="71"/>
      <c r="I2912" s="72"/>
      <c r="J2912" s="72"/>
      <c r="K2912" s="72"/>
      <c r="L2912" s="72"/>
    </row>
    <row r="2913">
      <c r="D2913" s="71"/>
      <c r="E2913" s="71"/>
      <c r="I2913" s="72"/>
      <c r="J2913" s="72"/>
      <c r="K2913" s="72"/>
      <c r="L2913" s="72"/>
    </row>
    <row r="2914">
      <c r="D2914" s="71"/>
      <c r="E2914" s="71"/>
      <c r="I2914" s="72"/>
      <c r="J2914" s="72"/>
      <c r="K2914" s="72"/>
      <c r="L2914" s="72"/>
    </row>
    <row r="2915">
      <c r="D2915" s="71"/>
      <c r="E2915" s="71"/>
      <c r="I2915" s="72"/>
      <c r="J2915" s="72"/>
      <c r="K2915" s="72"/>
      <c r="L2915" s="72"/>
    </row>
    <row r="2916">
      <c r="D2916" s="71"/>
      <c r="E2916" s="71"/>
      <c r="I2916" s="72"/>
      <c r="J2916" s="72"/>
      <c r="K2916" s="72"/>
      <c r="L2916" s="72"/>
    </row>
    <row r="2917">
      <c r="D2917" s="71"/>
      <c r="E2917" s="71"/>
      <c r="I2917" s="72"/>
      <c r="J2917" s="72"/>
      <c r="K2917" s="72"/>
      <c r="L2917" s="72"/>
    </row>
    <row r="2918">
      <c r="D2918" s="71"/>
      <c r="E2918" s="71"/>
      <c r="I2918" s="72"/>
      <c r="J2918" s="72"/>
      <c r="K2918" s="72"/>
      <c r="L2918" s="72"/>
    </row>
    <row r="2919">
      <c r="D2919" s="71"/>
      <c r="E2919" s="71"/>
      <c r="I2919" s="72"/>
      <c r="J2919" s="72"/>
      <c r="K2919" s="72"/>
      <c r="L2919" s="72"/>
    </row>
    <row r="2920">
      <c r="D2920" s="71"/>
      <c r="E2920" s="71"/>
      <c r="I2920" s="72"/>
      <c r="J2920" s="72"/>
      <c r="K2920" s="72"/>
      <c r="L2920" s="72"/>
    </row>
    <row r="2921">
      <c r="D2921" s="71"/>
      <c r="E2921" s="71"/>
      <c r="I2921" s="72"/>
      <c r="J2921" s="72"/>
      <c r="K2921" s="72"/>
      <c r="L2921" s="72"/>
    </row>
    <row r="2922">
      <c r="D2922" s="71"/>
      <c r="E2922" s="71"/>
      <c r="I2922" s="72"/>
      <c r="J2922" s="72"/>
      <c r="K2922" s="72"/>
      <c r="L2922" s="72"/>
    </row>
    <row r="2923">
      <c r="D2923" s="71"/>
      <c r="E2923" s="71"/>
      <c r="I2923" s="72"/>
      <c r="J2923" s="72"/>
      <c r="K2923" s="72"/>
      <c r="L2923" s="72"/>
    </row>
    <row r="2924">
      <c r="D2924" s="71"/>
      <c r="E2924" s="71"/>
      <c r="I2924" s="72"/>
      <c r="J2924" s="72"/>
      <c r="K2924" s="72"/>
      <c r="L2924" s="72"/>
    </row>
    <row r="2925">
      <c r="D2925" s="71"/>
      <c r="E2925" s="71"/>
      <c r="I2925" s="72"/>
      <c r="J2925" s="72"/>
      <c r="K2925" s="72"/>
      <c r="L2925" s="72"/>
    </row>
    <row r="2926">
      <c r="D2926" s="71"/>
      <c r="E2926" s="71"/>
      <c r="I2926" s="72"/>
      <c r="J2926" s="72"/>
      <c r="K2926" s="72"/>
      <c r="L2926" s="72"/>
    </row>
    <row r="2927">
      <c r="D2927" s="71"/>
      <c r="E2927" s="71"/>
      <c r="I2927" s="72"/>
      <c r="J2927" s="72"/>
      <c r="K2927" s="72"/>
      <c r="L2927" s="72"/>
    </row>
    <row r="2928">
      <c r="D2928" s="71"/>
      <c r="E2928" s="71"/>
      <c r="I2928" s="72"/>
      <c r="J2928" s="72"/>
      <c r="K2928" s="72"/>
      <c r="L2928" s="72"/>
    </row>
    <row r="2929">
      <c r="D2929" s="71"/>
      <c r="E2929" s="71"/>
      <c r="I2929" s="72"/>
      <c r="J2929" s="72"/>
      <c r="K2929" s="72"/>
      <c r="L2929" s="72"/>
    </row>
    <row r="2930">
      <c r="D2930" s="71"/>
      <c r="E2930" s="71"/>
      <c r="I2930" s="72"/>
      <c r="J2930" s="72"/>
      <c r="K2930" s="72"/>
      <c r="L2930" s="72"/>
    </row>
    <row r="2931">
      <c r="D2931" s="71"/>
      <c r="E2931" s="71"/>
      <c r="I2931" s="72"/>
      <c r="J2931" s="72"/>
      <c r="K2931" s="72"/>
      <c r="L2931" s="72"/>
    </row>
    <row r="2932">
      <c r="D2932" s="71"/>
      <c r="E2932" s="71"/>
      <c r="I2932" s="72"/>
      <c r="J2932" s="72"/>
      <c r="K2932" s="72"/>
      <c r="L2932" s="72"/>
    </row>
    <row r="2933">
      <c r="D2933" s="71"/>
      <c r="E2933" s="71"/>
      <c r="I2933" s="72"/>
      <c r="J2933" s="72"/>
      <c r="K2933" s="72"/>
      <c r="L2933" s="72"/>
    </row>
    <row r="2934">
      <c r="D2934" s="71"/>
      <c r="E2934" s="71"/>
      <c r="I2934" s="72"/>
      <c r="J2934" s="72"/>
      <c r="K2934" s="72"/>
      <c r="L2934" s="72"/>
    </row>
    <row r="2935">
      <c r="D2935" s="71"/>
      <c r="E2935" s="71"/>
      <c r="I2935" s="72"/>
      <c r="J2935" s="72"/>
      <c r="K2935" s="72"/>
      <c r="L2935" s="72"/>
    </row>
    <row r="2936">
      <c r="D2936" s="71"/>
      <c r="E2936" s="71"/>
      <c r="I2936" s="72"/>
      <c r="J2936" s="72"/>
      <c r="K2936" s="72"/>
      <c r="L2936" s="72"/>
    </row>
    <row r="2937">
      <c r="D2937" s="71"/>
      <c r="E2937" s="71"/>
      <c r="I2937" s="72"/>
      <c r="J2937" s="72"/>
      <c r="K2937" s="72"/>
      <c r="L2937" s="72"/>
    </row>
    <row r="2938">
      <c r="D2938" s="71"/>
      <c r="E2938" s="71"/>
      <c r="I2938" s="72"/>
      <c r="J2938" s="72"/>
      <c r="K2938" s="72"/>
      <c r="L2938" s="72"/>
    </row>
    <row r="2939">
      <c r="D2939" s="71"/>
      <c r="E2939" s="71"/>
      <c r="I2939" s="72"/>
      <c r="J2939" s="72"/>
      <c r="K2939" s="72"/>
      <c r="L2939" s="72"/>
    </row>
    <row r="2940">
      <c r="D2940" s="71"/>
      <c r="E2940" s="71"/>
      <c r="I2940" s="72"/>
      <c r="J2940" s="72"/>
      <c r="K2940" s="72"/>
      <c r="L2940" s="72"/>
    </row>
    <row r="2941">
      <c r="D2941" s="71"/>
      <c r="E2941" s="71"/>
      <c r="I2941" s="72"/>
      <c r="J2941" s="72"/>
      <c r="K2941" s="72"/>
      <c r="L2941" s="72"/>
    </row>
    <row r="2942">
      <c r="D2942" s="71"/>
      <c r="E2942" s="71"/>
      <c r="I2942" s="72"/>
      <c r="J2942" s="72"/>
      <c r="K2942" s="72"/>
      <c r="L2942" s="72"/>
    </row>
    <row r="2943">
      <c r="D2943" s="71"/>
      <c r="E2943" s="71"/>
      <c r="I2943" s="72"/>
      <c r="J2943" s="72"/>
      <c r="K2943" s="72"/>
      <c r="L2943" s="72"/>
    </row>
    <row r="2944">
      <c r="D2944" s="71"/>
      <c r="E2944" s="71"/>
      <c r="I2944" s="72"/>
      <c r="J2944" s="72"/>
      <c r="K2944" s="72"/>
      <c r="L2944" s="72"/>
    </row>
    <row r="2945">
      <c r="D2945" s="71"/>
      <c r="E2945" s="71"/>
      <c r="I2945" s="72"/>
      <c r="J2945" s="72"/>
      <c r="K2945" s="72"/>
      <c r="L2945" s="72"/>
    </row>
    <row r="2946">
      <c r="D2946" s="71"/>
      <c r="E2946" s="71"/>
      <c r="I2946" s="72"/>
      <c r="J2946" s="72"/>
      <c r="K2946" s="72"/>
      <c r="L2946" s="72"/>
    </row>
    <row r="2947">
      <c r="D2947" s="71"/>
      <c r="E2947" s="71"/>
      <c r="I2947" s="72"/>
      <c r="J2947" s="72"/>
      <c r="K2947" s="72"/>
      <c r="L2947" s="72"/>
    </row>
    <row r="2948">
      <c r="D2948" s="71"/>
      <c r="E2948" s="71"/>
      <c r="I2948" s="72"/>
      <c r="J2948" s="72"/>
      <c r="K2948" s="72"/>
      <c r="L2948" s="72"/>
    </row>
    <row r="2949">
      <c r="D2949" s="71"/>
      <c r="E2949" s="71"/>
      <c r="I2949" s="72"/>
      <c r="J2949" s="72"/>
      <c r="K2949" s="72"/>
      <c r="L2949" s="72"/>
    </row>
    <row r="2950">
      <c r="D2950" s="71"/>
      <c r="E2950" s="71"/>
      <c r="I2950" s="72"/>
      <c r="J2950" s="72"/>
      <c r="K2950" s="72"/>
      <c r="L2950" s="72"/>
    </row>
    <row r="2951">
      <c r="D2951" s="71"/>
      <c r="E2951" s="71"/>
      <c r="I2951" s="72"/>
      <c r="J2951" s="72"/>
      <c r="K2951" s="72"/>
      <c r="L2951" s="72"/>
    </row>
    <row r="2952">
      <c r="D2952" s="71"/>
      <c r="E2952" s="71"/>
      <c r="I2952" s="72"/>
      <c r="J2952" s="72"/>
      <c r="K2952" s="72"/>
      <c r="L2952" s="72"/>
    </row>
    <row r="2953">
      <c r="D2953" s="71"/>
      <c r="E2953" s="71"/>
      <c r="I2953" s="72"/>
      <c r="J2953" s="72"/>
      <c r="K2953" s="72"/>
      <c r="L2953" s="72"/>
    </row>
    <row r="2954">
      <c r="D2954" s="71"/>
      <c r="E2954" s="71"/>
      <c r="I2954" s="72"/>
      <c r="J2954" s="72"/>
      <c r="K2954" s="72"/>
      <c r="L2954" s="72"/>
    </row>
    <row r="2955">
      <c r="D2955" s="71"/>
      <c r="E2955" s="71"/>
      <c r="I2955" s="72"/>
      <c r="J2955" s="72"/>
      <c r="K2955" s="72"/>
      <c r="L2955" s="72"/>
    </row>
    <row r="2956">
      <c r="D2956" s="71"/>
      <c r="E2956" s="71"/>
      <c r="I2956" s="72"/>
      <c r="J2956" s="72"/>
      <c r="K2956" s="72"/>
      <c r="L2956" s="72"/>
    </row>
    <row r="2957">
      <c r="D2957" s="71"/>
      <c r="E2957" s="71"/>
      <c r="I2957" s="72"/>
      <c r="J2957" s="72"/>
      <c r="K2957" s="72"/>
      <c r="L2957" s="72"/>
    </row>
    <row r="2958">
      <c r="D2958" s="71"/>
      <c r="E2958" s="71"/>
      <c r="I2958" s="72"/>
      <c r="J2958" s="72"/>
      <c r="K2958" s="72"/>
      <c r="L2958" s="72"/>
    </row>
    <row r="2959">
      <c r="D2959" s="71"/>
      <c r="E2959" s="71"/>
      <c r="I2959" s="72"/>
      <c r="J2959" s="72"/>
      <c r="K2959" s="72"/>
      <c r="L2959" s="72"/>
    </row>
    <row r="2960">
      <c r="D2960" s="71"/>
      <c r="E2960" s="71"/>
      <c r="I2960" s="72"/>
      <c r="J2960" s="72"/>
      <c r="K2960" s="72"/>
      <c r="L2960" s="72"/>
    </row>
    <row r="2961">
      <c r="D2961" s="71"/>
      <c r="E2961" s="71"/>
      <c r="I2961" s="72"/>
      <c r="J2961" s="72"/>
      <c r="K2961" s="72"/>
      <c r="L2961" s="72"/>
    </row>
    <row r="2962">
      <c r="D2962" s="71"/>
      <c r="E2962" s="71"/>
      <c r="I2962" s="72"/>
      <c r="J2962" s="72"/>
      <c r="K2962" s="72"/>
      <c r="L2962" s="72"/>
    </row>
    <row r="2963">
      <c r="D2963" s="71"/>
      <c r="E2963" s="71"/>
      <c r="I2963" s="72"/>
      <c r="J2963" s="72"/>
      <c r="K2963" s="72"/>
      <c r="L2963" s="72"/>
    </row>
    <row r="2964">
      <c r="D2964" s="71"/>
      <c r="E2964" s="71"/>
      <c r="I2964" s="72"/>
      <c r="J2964" s="72"/>
      <c r="K2964" s="72"/>
      <c r="L2964" s="72"/>
    </row>
    <row r="2965">
      <c r="D2965" s="71"/>
      <c r="E2965" s="71"/>
      <c r="I2965" s="72"/>
      <c r="J2965" s="72"/>
      <c r="K2965" s="72"/>
      <c r="L2965" s="72"/>
    </row>
    <row r="2966">
      <c r="D2966" s="71"/>
      <c r="E2966" s="71"/>
      <c r="I2966" s="72"/>
      <c r="J2966" s="72"/>
      <c r="K2966" s="72"/>
      <c r="L2966" s="72"/>
    </row>
    <row r="2967">
      <c r="D2967" s="71"/>
      <c r="E2967" s="71"/>
      <c r="I2967" s="72"/>
      <c r="J2967" s="72"/>
      <c r="K2967" s="72"/>
      <c r="L2967" s="72"/>
    </row>
    <row r="2968">
      <c r="D2968" s="71"/>
      <c r="E2968" s="71"/>
      <c r="I2968" s="72"/>
      <c r="J2968" s="72"/>
      <c r="K2968" s="72"/>
      <c r="L2968" s="72"/>
    </row>
    <row r="2969">
      <c r="D2969" s="71"/>
      <c r="E2969" s="71"/>
      <c r="I2969" s="72"/>
      <c r="J2969" s="72"/>
      <c r="K2969" s="72"/>
      <c r="L2969" s="72"/>
    </row>
    <row r="2970">
      <c r="D2970" s="71"/>
      <c r="E2970" s="71"/>
      <c r="I2970" s="72"/>
      <c r="J2970" s="72"/>
      <c r="K2970" s="72"/>
      <c r="L2970" s="72"/>
    </row>
    <row r="2971">
      <c r="D2971" s="71"/>
      <c r="E2971" s="71"/>
      <c r="I2971" s="72"/>
      <c r="J2971" s="72"/>
      <c r="K2971" s="72"/>
      <c r="L2971" s="72"/>
    </row>
    <row r="2972">
      <c r="D2972" s="71"/>
      <c r="E2972" s="71"/>
      <c r="I2972" s="72"/>
      <c r="J2972" s="72"/>
      <c r="K2972" s="72"/>
      <c r="L2972" s="72"/>
    </row>
    <row r="2973">
      <c r="D2973" s="71"/>
      <c r="E2973" s="71"/>
      <c r="I2973" s="72"/>
      <c r="J2973" s="72"/>
      <c r="K2973" s="72"/>
      <c r="L2973" s="72"/>
    </row>
    <row r="2974">
      <c r="D2974" s="71"/>
      <c r="E2974" s="71"/>
      <c r="I2974" s="72"/>
      <c r="J2974" s="72"/>
      <c r="K2974" s="72"/>
      <c r="L2974" s="72"/>
    </row>
    <row r="2975">
      <c r="D2975" s="71"/>
      <c r="E2975" s="71"/>
      <c r="I2975" s="72"/>
      <c r="J2975" s="72"/>
      <c r="K2975" s="72"/>
      <c r="L2975" s="72"/>
    </row>
    <row r="2976">
      <c r="D2976" s="71"/>
      <c r="E2976" s="71"/>
      <c r="I2976" s="72"/>
      <c r="J2976" s="72"/>
      <c r="K2976" s="72"/>
      <c r="L2976" s="72"/>
    </row>
    <row r="2977">
      <c r="D2977" s="71"/>
      <c r="E2977" s="71"/>
      <c r="I2977" s="72"/>
      <c r="J2977" s="72"/>
      <c r="K2977" s="72"/>
      <c r="L2977" s="72"/>
    </row>
    <row r="2978">
      <c r="D2978" s="71"/>
      <c r="E2978" s="71"/>
      <c r="I2978" s="72"/>
      <c r="J2978" s="72"/>
      <c r="K2978" s="72"/>
      <c r="L2978" s="72"/>
    </row>
    <row r="2979">
      <c r="D2979" s="71"/>
      <c r="E2979" s="71"/>
      <c r="I2979" s="72"/>
      <c r="J2979" s="72"/>
      <c r="K2979" s="72"/>
      <c r="L2979" s="72"/>
    </row>
    <row r="2980">
      <c r="D2980" s="71"/>
      <c r="E2980" s="71"/>
      <c r="I2980" s="72"/>
      <c r="J2980" s="72"/>
      <c r="K2980" s="72"/>
      <c r="L2980" s="72"/>
    </row>
    <row r="2981">
      <c r="D2981" s="71"/>
      <c r="E2981" s="71"/>
      <c r="I2981" s="72"/>
      <c r="J2981" s="72"/>
      <c r="K2981" s="72"/>
      <c r="L2981" s="72"/>
    </row>
    <row r="2982">
      <c r="D2982" s="71"/>
      <c r="E2982" s="71"/>
      <c r="I2982" s="72"/>
      <c r="J2982" s="72"/>
      <c r="K2982" s="72"/>
      <c r="L2982" s="72"/>
    </row>
    <row r="2983">
      <c r="D2983" s="71"/>
      <c r="E2983" s="71"/>
      <c r="I2983" s="72"/>
      <c r="J2983" s="72"/>
      <c r="K2983" s="72"/>
      <c r="L2983" s="72"/>
    </row>
    <row r="2984">
      <c r="D2984" s="71"/>
      <c r="E2984" s="71"/>
      <c r="I2984" s="72"/>
      <c r="J2984" s="72"/>
      <c r="K2984" s="72"/>
      <c r="L2984" s="72"/>
    </row>
    <row r="2985">
      <c r="D2985" s="71"/>
      <c r="E2985" s="71"/>
      <c r="I2985" s="72"/>
      <c r="J2985" s="72"/>
      <c r="K2985" s="72"/>
      <c r="L2985" s="72"/>
    </row>
    <row r="2986">
      <c r="D2986" s="71"/>
      <c r="E2986" s="71"/>
      <c r="I2986" s="72"/>
      <c r="J2986" s="72"/>
      <c r="K2986" s="72"/>
      <c r="L2986" s="72"/>
    </row>
    <row r="2987">
      <c r="D2987" s="71"/>
      <c r="E2987" s="71"/>
      <c r="I2987" s="72"/>
      <c r="J2987" s="72"/>
      <c r="K2987" s="72"/>
      <c r="L2987" s="72"/>
    </row>
    <row r="2988">
      <c r="D2988" s="71"/>
      <c r="E2988" s="71"/>
      <c r="I2988" s="72"/>
      <c r="J2988" s="72"/>
      <c r="K2988" s="72"/>
      <c r="L2988" s="72"/>
    </row>
    <row r="2989">
      <c r="D2989" s="71"/>
      <c r="E2989" s="71"/>
      <c r="I2989" s="72"/>
      <c r="J2989" s="72"/>
      <c r="K2989" s="72"/>
      <c r="L2989" s="72"/>
    </row>
    <row r="2990">
      <c r="D2990" s="71"/>
      <c r="E2990" s="71"/>
      <c r="I2990" s="72"/>
      <c r="J2990" s="72"/>
      <c r="K2990" s="72"/>
      <c r="L2990" s="72"/>
    </row>
    <row r="2991">
      <c r="D2991" s="71"/>
      <c r="E2991" s="71"/>
      <c r="I2991" s="72"/>
      <c r="J2991" s="72"/>
      <c r="K2991" s="72"/>
      <c r="L2991" s="72"/>
    </row>
    <row r="2992">
      <c r="D2992" s="71"/>
      <c r="E2992" s="71"/>
      <c r="I2992" s="72"/>
      <c r="J2992" s="72"/>
      <c r="K2992" s="72"/>
      <c r="L2992" s="72"/>
    </row>
    <row r="2993">
      <c r="D2993" s="71"/>
      <c r="E2993" s="71"/>
      <c r="I2993" s="72"/>
      <c r="J2993" s="72"/>
      <c r="K2993" s="72"/>
      <c r="L2993" s="72"/>
    </row>
    <row r="2994">
      <c r="D2994" s="71"/>
      <c r="E2994" s="71"/>
      <c r="I2994" s="72"/>
      <c r="J2994" s="72"/>
      <c r="K2994" s="72"/>
      <c r="L2994" s="72"/>
    </row>
    <row r="2995">
      <c r="D2995" s="71"/>
      <c r="E2995" s="71"/>
      <c r="I2995" s="72"/>
      <c r="J2995" s="72"/>
      <c r="K2995" s="72"/>
      <c r="L2995" s="72"/>
    </row>
    <row r="2996">
      <c r="D2996" s="71"/>
      <c r="E2996" s="71"/>
      <c r="I2996" s="72"/>
      <c r="J2996" s="72"/>
      <c r="K2996" s="72"/>
      <c r="L2996" s="72"/>
    </row>
    <row r="2997">
      <c r="D2997" s="71"/>
      <c r="E2997" s="71"/>
      <c r="I2997" s="72"/>
      <c r="J2997" s="72"/>
      <c r="K2997" s="72"/>
      <c r="L2997" s="72"/>
    </row>
    <row r="2998">
      <c r="D2998" s="71"/>
      <c r="E2998" s="71"/>
      <c r="I2998" s="72"/>
      <c r="J2998" s="72"/>
      <c r="K2998" s="72"/>
      <c r="L2998" s="72"/>
    </row>
    <row r="2999">
      <c r="D2999" s="71"/>
      <c r="E2999" s="71"/>
      <c r="I2999" s="72"/>
      <c r="J2999" s="72"/>
      <c r="K2999" s="72"/>
      <c r="L2999" s="72"/>
    </row>
    <row r="3000">
      <c r="D3000" s="71"/>
      <c r="E3000" s="71"/>
      <c r="I3000" s="72"/>
      <c r="J3000" s="72"/>
      <c r="K3000" s="72"/>
      <c r="L3000" s="72"/>
    </row>
    <row r="3001">
      <c r="D3001" s="71"/>
      <c r="E3001" s="71"/>
      <c r="I3001" s="72"/>
      <c r="J3001" s="72"/>
      <c r="K3001" s="72"/>
      <c r="L3001" s="72"/>
    </row>
    <row r="3002">
      <c r="D3002" s="71"/>
      <c r="E3002" s="71"/>
      <c r="I3002" s="72"/>
      <c r="J3002" s="72"/>
      <c r="K3002" s="72"/>
      <c r="L3002" s="72"/>
    </row>
    <row r="3003">
      <c r="D3003" s="71"/>
      <c r="E3003" s="71"/>
      <c r="I3003" s="72"/>
      <c r="J3003" s="72"/>
      <c r="K3003" s="72"/>
      <c r="L3003" s="72"/>
    </row>
    <row r="3004">
      <c r="D3004" s="71"/>
      <c r="E3004" s="71"/>
      <c r="I3004" s="72"/>
      <c r="J3004" s="72"/>
      <c r="K3004" s="72"/>
      <c r="L3004" s="72"/>
    </row>
    <row r="3005">
      <c r="D3005" s="71"/>
      <c r="E3005" s="71"/>
      <c r="I3005" s="72"/>
      <c r="J3005" s="72"/>
      <c r="K3005" s="72"/>
      <c r="L3005" s="72"/>
    </row>
    <row r="3006">
      <c r="D3006" s="71"/>
      <c r="E3006" s="71"/>
      <c r="I3006" s="72"/>
      <c r="J3006" s="72"/>
      <c r="K3006" s="72"/>
      <c r="L3006" s="72"/>
    </row>
    <row r="3007">
      <c r="D3007" s="71"/>
      <c r="E3007" s="71"/>
      <c r="I3007" s="72"/>
      <c r="J3007" s="72"/>
      <c r="K3007" s="72"/>
      <c r="L3007" s="72"/>
    </row>
    <row r="3008">
      <c r="D3008" s="71"/>
      <c r="E3008" s="71"/>
      <c r="I3008" s="72"/>
      <c r="J3008" s="72"/>
      <c r="K3008" s="72"/>
      <c r="L3008" s="72"/>
    </row>
    <row r="3009">
      <c r="D3009" s="71"/>
      <c r="E3009" s="71"/>
      <c r="I3009" s="72"/>
      <c r="J3009" s="72"/>
      <c r="K3009" s="72"/>
      <c r="L3009" s="72"/>
    </row>
    <row r="3010">
      <c r="D3010" s="71"/>
      <c r="E3010" s="71"/>
      <c r="I3010" s="72"/>
      <c r="J3010" s="72"/>
      <c r="K3010" s="72"/>
      <c r="L3010" s="72"/>
    </row>
    <row r="3011">
      <c r="D3011" s="71"/>
      <c r="E3011" s="71"/>
      <c r="I3011" s="72"/>
      <c r="J3011" s="72"/>
      <c r="K3011" s="72"/>
      <c r="L3011" s="72"/>
    </row>
    <row r="3012">
      <c r="D3012" s="71"/>
      <c r="E3012" s="71"/>
      <c r="I3012" s="72"/>
      <c r="J3012" s="72"/>
      <c r="K3012" s="72"/>
      <c r="L3012" s="72"/>
    </row>
    <row r="3013">
      <c r="D3013" s="71"/>
      <c r="E3013" s="71"/>
      <c r="I3013" s="72"/>
      <c r="J3013" s="72"/>
      <c r="K3013" s="72"/>
      <c r="L3013" s="72"/>
    </row>
    <row r="3014">
      <c r="D3014" s="71"/>
      <c r="E3014" s="71"/>
      <c r="I3014" s="72"/>
      <c r="J3014" s="72"/>
      <c r="K3014" s="72"/>
      <c r="L3014" s="72"/>
    </row>
    <row r="3015">
      <c r="D3015" s="71"/>
      <c r="E3015" s="71"/>
      <c r="I3015" s="72"/>
      <c r="J3015" s="72"/>
      <c r="K3015" s="72"/>
      <c r="L3015" s="72"/>
    </row>
    <row r="3016">
      <c r="D3016" s="71"/>
      <c r="E3016" s="71"/>
      <c r="I3016" s="72"/>
      <c r="J3016" s="72"/>
      <c r="K3016" s="72"/>
      <c r="L3016" s="72"/>
    </row>
    <row r="3017">
      <c r="D3017" s="71"/>
      <c r="E3017" s="71"/>
      <c r="I3017" s="72"/>
      <c r="J3017" s="72"/>
      <c r="K3017" s="72"/>
      <c r="L3017" s="72"/>
    </row>
    <row r="3018">
      <c r="D3018" s="71"/>
      <c r="E3018" s="71"/>
      <c r="I3018" s="72"/>
      <c r="J3018" s="72"/>
      <c r="K3018" s="72"/>
      <c r="L3018" s="72"/>
    </row>
    <row r="3019">
      <c r="D3019" s="71"/>
      <c r="E3019" s="71"/>
      <c r="I3019" s="72"/>
      <c r="J3019" s="72"/>
      <c r="K3019" s="72"/>
      <c r="L3019" s="72"/>
    </row>
    <row r="3020">
      <c r="D3020" s="71"/>
      <c r="E3020" s="71"/>
      <c r="I3020" s="72"/>
      <c r="J3020" s="72"/>
      <c r="K3020" s="72"/>
      <c r="L3020" s="72"/>
    </row>
    <row r="3021">
      <c r="D3021" s="71"/>
      <c r="E3021" s="71"/>
      <c r="I3021" s="72"/>
      <c r="J3021" s="72"/>
      <c r="K3021" s="72"/>
      <c r="L3021" s="72"/>
    </row>
    <row r="3022">
      <c r="D3022" s="71"/>
      <c r="E3022" s="71"/>
      <c r="I3022" s="72"/>
      <c r="J3022" s="72"/>
      <c r="K3022" s="72"/>
      <c r="L3022" s="72"/>
    </row>
    <row r="3023">
      <c r="D3023" s="71"/>
      <c r="E3023" s="71"/>
      <c r="I3023" s="72"/>
      <c r="J3023" s="72"/>
      <c r="K3023" s="72"/>
      <c r="L3023" s="72"/>
    </row>
    <row r="3024">
      <c r="D3024" s="71"/>
      <c r="E3024" s="71"/>
      <c r="I3024" s="72"/>
      <c r="J3024" s="72"/>
      <c r="K3024" s="72"/>
      <c r="L3024" s="72"/>
    </row>
    <row r="3025">
      <c r="D3025" s="71"/>
      <c r="E3025" s="71"/>
      <c r="I3025" s="72"/>
      <c r="J3025" s="72"/>
      <c r="K3025" s="72"/>
      <c r="L3025" s="72"/>
    </row>
    <row r="3026">
      <c r="D3026" s="71"/>
      <c r="E3026" s="71"/>
      <c r="I3026" s="72"/>
      <c r="J3026" s="72"/>
      <c r="K3026" s="72"/>
      <c r="L3026" s="72"/>
    </row>
    <row r="3027">
      <c r="D3027" s="71"/>
      <c r="E3027" s="71"/>
      <c r="I3027" s="72"/>
      <c r="J3027" s="72"/>
      <c r="K3027" s="72"/>
      <c r="L3027" s="72"/>
    </row>
    <row r="3028">
      <c r="D3028" s="71"/>
      <c r="E3028" s="71"/>
      <c r="I3028" s="72"/>
      <c r="J3028" s="72"/>
      <c r="K3028" s="72"/>
      <c r="L3028" s="72"/>
    </row>
    <row r="3029">
      <c r="D3029" s="71"/>
      <c r="E3029" s="71"/>
      <c r="I3029" s="72"/>
      <c r="J3029" s="72"/>
      <c r="K3029" s="72"/>
      <c r="L3029" s="72"/>
    </row>
    <row r="3030">
      <c r="D3030" s="71"/>
      <c r="E3030" s="71"/>
      <c r="I3030" s="72"/>
      <c r="J3030" s="72"/>
      <c r="K3030" s="72"/>
      <c r="L3030" s="72"/>
    </row>
    <row r="3031">
      <c r="D3031" s="71"/>
      <c r="E3031" s="71"/>
      <c r="I3031" s="72"/>
      <c r="J3031" s="72"/>
      <c r="K3031" s="72"/>
      <c r="L3031" s="72"/>
    </row>
    <row r="3032">
      <c r="D3032" s="71"/>
      <c r="E3032" s="71"/>
      <c r="I3032" s="72"/>
      <c r="J3032" s="72"/>
      <c r="K3032" s="72"/>
      <c r="L3032" s="72"/>
    </row>
    <row r="3033">
      <c r="D3033" s="71"/>
      <c r="E3033" s="71"/>
      <c r="I3033" s="72"/>
      <c r="J3033" s="72"/>
      <c r="K3033" s="72"/>
      <c r="L3033" s="72"/>
    </row>
    <row r="3034">
      <c r="D3034" s="71"/>
      <c r="E3034" s="71"/>
      <c r="I3034" s="72"/>
      <c r="J3034" s="72"/>
      <c r="K3034" s="72"/>
      <c r="L3034" s="72"/>
    </row>
    <row r="3035">
      <c r="D3035" s="71"/>
      <c r="E3035" s="71"/>
      <c r="I3035" s="72"/>
      <c r="J3035" s="72"/>
      <c r="K3035" s="72"/>
      <c r="L3035" s="72"/>
    </row>
    <row r="3036">
      <c r="D3036" s="71"/>
      <c r="E3036" s="71"/>
      <c r="I3036" s="72"/>
      <c r="J3036" s="72"/>
      <c r="K3036" s="72"/>
      <c r="L3036" s="72"/>
    </row>
    <row r="3037">
      <c r="D3037" s="71"/>
      <c r="E3037" s="71"/>
      <c r="I3037" s="72"/>
      <c r="J3037" s="72"/>
      <c r="K3037" s="72"/>
      <c r="L3037" s="72"/>
    </row>
    <row r="3038">
      <c r="D3038" s="71"/>
      <c r="E3038" s="71"/>
      <c r="I3038" s="72"/>
      <c r="J3038" s="72"/>
      <c r="K3038" s="72"/>
      <c r="L3038" s="72"/>
    </row>
    <row r="3039">
      <c r="D3039" s="71"/>
      <c r="E3039" s="71"/>
      <c r="I3039" s="72"/>
      <c r="J3039" s="72"/>
      <c r="K3039" s="72"/>
      <c r="L3039" s="72"/>
    </row>
    <row r="3040">
      <c r="D3040" s="71"/>
      <c r="E3040" s="71"/>
      <c r="I3040" s="72"/>
      <c r="J3040" s="72"/>
      <c r="K3040" s="72"/>
      <c r="L3040" s="72"/>
    </row>
    <row r="3041">
      <c r="D3041" s="71"/>
      <c r="E3041" s="71"/>
      <c r="I3041" s="72"/>
      <c r="J3041" s="72"/>
      <c r="K3041" s="72"/>
      <c r="L3041" s="72"/>
    </row>
    <row r="3042">
      <c r="D3042" s="71"/>
      <c r="E3042" s="71"/>
      <c r="I3042" s="72"/>
      <c r="J3042" s="72"/>
      <c r="K3042" s="72"/>
      <c r="L3042" s="72"/>
    </row>
    <row r="3043">
      <c r="D3043" s="71"/>
      <c r="E3043" s="71"/>
      <c r="I3043" s="72"/>
      <c r="J3043" s="72"/>
      <c r="K3043" s="72"/>
      <c r="L3043" s="72"/>
    </row>
    <row r="3044">
      <c r="D3044" s="71"/>
      <c r="E3044" s="71"/>
      <c r="I3044" s="72"/>
      <c r="J3044" s="72"/>
      <c r="K3044" s="72"/>
      <c r="L3044" s="72"/>
    </row>
    <row r="3045">
      <c r="D3045" s="71"/>
      <c r="E3045" s="71"/>
      <c r="I3045" s="72"/>
      <c r="J3045" s="72"/>
      <c r="K3045" s="72"/>
      <c r="L3045" s="72"/>
    </row>
    <row r="3046">
      <c r="D3046" s="71"/>
      <c r="E3046" s="71"/>
      <c r="I3046" s="72"/>
      <c r="J3046" s="72"/>
      <c r="K3046" s="72"/>
      <c r="L3046" s="72"/>
    </row>
    <row r="3047">
      <c r="D3047" s="71"/>
      <c r="E3047" s="71"/>
      <c r="I3047" s="72"/>
      <c r="J3047" s="72"/>
      <c r="K3047" s="72"/>
      <c r="L3047" s="72"/>
    </row>
    <row r="3048">
      <c r="D3048" s="71"/>
      <c r="E3048" s="71"/>
      <c r="I3048" s="72"/>
      <c r="J3048" s="72"/>
      <c r="K3048" s="72"/>
      <c r="L3048" s="72"/>
    </row>
    <row r="3049">
      <c r="D3049" s="71"/>
      <c r="E3049" s="71"/>
      <c r="I3049" s="72"/>
      <c r="J3049" s="72"/>
      <c r="K3049" s="72"/>
      <c r="L3049" s="72"/>
    </row>
    <row r="3050">
      <c r="D3050" s="71"/>
      <c r="E3050" s="71"/>
      <c r="I3050" s="72"/>
      <c r="J3050" s="72"/>
      <c r="K3050" s="72"/>
      <c r="L3050" s="72"/>
    </row>
    <row r="3051">
      <c r="D3051" s="71"/>
      <c r="E3051" s="71"/>
      <c r="I3051" s="72"/>
      <c r="J3051" s="72"/>
      <c r="K3051" s="72"/>
      <c r="L3051" s="72"/>
    </row>
    <row r="3052">
      <c r="D3052" s="71"/>
      <c r="E3052" s="71"/>
      <c r="I3052" s="72"/>
      <c r="J3052" s="72"/>
      <c r="K3052" s="72"/>
      <c r="L3052" s="72"/>
    </row>
    <row r="3053">
      <c r="D3053" s="71"/>
      <c r="E3053" s="71"/>
      <c r="I3053" s="72"/>
      <c r="J3053" s="72"/>
      <c r="K3053" s="72"/>
      <c r="L3053" s="72"/>
    </row>
    <row r="3054">
      <c r="D3054" s="71"/>
      <c r="E3054" s="71"/>
      <c r="I3054" s="72"/>
      <c r="J3054" s="72"/>
      <c r="K3054" s="72"/>
      <c r="L3054" s="72"/>
    </row>
    <row r="3055">
      <c r="D3055" s="71"/>
      <c r="E3055" s="71"/>
      <c r="I3055" s="72"/>
      <c r="J3055" s="72"/>
      <c r="K3055" s="72"/>
      <c r="L3055" s="72"/>
    </row>
    <row r="3056">
      <c r="D3056" s="71"/>
      <c r="E3056" s="71"/>
      <c r="I3056" s="72"/>
      <c r="J3056" s="72"/>
      <c r="K3056" s="72"/>
      <c r="L3056" s="72"/>
    </row>
    <row r="3057">
      <c r="D3057" s="71"/>
      <c r="E3057" s="71"/>
      <c r="I3057" s="72"/>
      <c r="J3057" s="72"/>
      <c r="K3057" s="72"/>
      <c r="L3057" s="72"/>
    </row>
    <row r="3058">
      <c r="D3058" s="71"/>
      <c r="E3058" s="71"/>
      <c r="I3058" s="72"/>
      <c r="J3058" s="72"/>
      <c r="K3058" s="72"/>
      <c r="L3058" s="72"/>
    </row>
    <row r="3059">
      <c r="D3059" s="71"/>
      <c r="E3059" s="71"/>
      <c r="I3059" s="72"/>
      <c r="J3059" s="72"/>
      <c r="K3059" s="72"/>
      <c r="L3059" s="72"/>
    </row>
    <row r="3060">
      <c r="D3060" s="71"/>
      <c r="E3060" s="71"/>
      <c r="I3060" s="72"/>
      <c r="J3060" s="72"/>
      <c r="K3060" s="72"/>
      <c r="L3060" s="72"/>
    </row>
    <row r="3061">
      <c r="D3061" s="71"/>
      <c r="E3061" s="71"/>
      <c r="I3061" s="72"/>
      <c r="J3061" s="72"/>
      <c r="K3061" s="72"/>
      <c r="L3061" s="72"/>
    </row>
    <row r="3062">
      <c r="D3062" s="71"/>
      <c r="E3062" s="71"/>
      <c r="I3062" s="72"/>
      <c r="J3062" s="72"/>
      <c r="K3062" s="72"/>
      <c r="L3062" s="72"/>
    </row>
    <row r="3063">
      <c r="D3063" s="71"/>
      <c r="E3063" s="71"/>
      <c r="I3063" s="72"/>
      <c r="J3063" s="72"/>
      <c r="K3063" s="72"/>
      <c r="L3063" s="72"/>
    </row>
    <row r="3064">
      <c r="D3064" s="71"/>
      <c r="E3064" s="71"/>
      <c r="I3064" s="72"/>
      <c r="J3064" s="72"/>
      <c r="K3064" s="72"/>
      <c r="L3064" s="72"/>
    </row>
    <row r="3065">
      <c r="D3065" s="71"/>
      <c r="E3065" s="71"/>
      <c r="I3065" s="72"/>
      <c r="J3065" s="72"/>
      <c r="K3065" s="72"/>
      <c r="L3065" s="72"/>
    </row>
    <row r="3066">
      <c r="D3066" s="71"/>
      <c r="E3066" s="71"/>
      <c r="I3066" s="72"/>
      <c r="J3066" s="72"/>
      <c r="K3066" s="72"/>
      <c r="L3066" s="72"/>
    </row>
    <row r="3067">
      <c r="D3067" s="71"/>
      <c r="E3067" s="71"/>
      <c r="I3067" s="72"/>
      <c r="J3067" s="72"/>
      <c r="K3067" s="72"/>
      <c r="L3067" s="72"/>
    </row>
    <row r="3068">
      <c r="D3068" s="71"/>
      <c r="E3068" s="71"/>
      <c r="I3068" s="72"/>
      <c r="J3068" s="72"/>
      <c r="K3068" s="72"/>
      <c r="L3068" s="72"/>
    </row>
    <row r="3069">
      <c r="D3069" s="71"/>
      <c r="E3069" s="71"/>
      <c r="I3069" s="72"/>
      <c r="J3069" s="72"/>
      <c r="K3069" s="72"/>
      <c r="L3069" s="72"/>
    </row>
    <row r="3070">
      <c r="D3070" s="71"/>
      <c r="E3070" s="71"/>
      <c r="I3070" s="72"/>
      <c r="J3070" s="72"/>
      <c r="K3070" s="72"/>
      <c r="L3070" s="72"/>
    </row>
    <row r="3071">
      <c r="D3071" s="71"/>
      <c r="E3071" s="71"/>
      <c r="I3071" s="72"/>
      <c r="J3071" s="72"/>
      <c r="K3071" s="72"/>
      <c r="L3071" s="72"/>
    </row>
    <row r="3072">
      <c r="D3072" s="71"/>
      <c r="E3072" s="71"/>
      <c r="I3072" s="72"/>
      <c r="J3072" s="72"/>
      <c r="K3072" s="72"/>
      <c r="L3072" s="72"/>
    </row>
    <row r="3073">
      <c r="D3073" s="71"/>
      <c r="E3073" s="71"/>
      <c r="I3073" s="72"/>
      <c r="J3073" s="72"/>
      <c r="K3073" s="72"/>
      <c r="L3073" s="72"/>
    </row>
    <row r="3074">
      <c r="D3074" s="71"/>
      <c r="E3074" s="71"/>
      <c r="I3074" s="72"/>
      <c r="J3074" s="72"/>
      <c r="K3074" s="72"/>
      <c r="L3074" s="72"/>
    </row>
    <row r="3075">
      <c r="D3075" s="71"/>
      <c r="E3075" s="71"/>
      <c r="I3075" s="72"/>
      <c r="J3075" s="72"/>
      <c r="K3075" s="72"/>
      <c r="L3075" s="72"/>
    </row>
    <row r="3076">
      <c r="D3076" s="71"/>
      <c r="E3076" s="71"/>
      <c r="I3076" s="72"/>
      <c r="J3076" s="72"/>
      <c r="K3076" s="72"/>
      <c r="L3076" s="72"/>
    </row>
    <row r="3077">
      <c r="D3077" s="71"/>
      <c r="E3077" s="71"/>
      <c r="I3077" s="72"/>
      <c r="J3077" s="72"/>
      <c r="K3077" s="72"/>
      <c r="L3077" s="72"/>
    </row>
    <row r="3078">
      <c r="D3078" s="71"/>
      <c r="E3078" s="71"/>
      <c r="I3078" s="72"/>
      <c r="J3078" s="72"/>
      <c r="K3078" s="72"/>
      <c r="L3078" s="72"/>
    </row>
    <row r="3079">
      <c r="D3079" s="71"/>
      <c r="E3079" s="71"/>
      <c r="I3079" s="72"/>
      <c r="J3079" s="72"/>
      <c r="K3079" s="72"/>
      <c r="L3079" s="72"/>
    </row>
    <row r="3080">
      <c r="D3080" s="71"/>
      <c r="E3080" s="71"/>
      <c r="I3080" s="72"/>
      <c r="J3080" s="72"/>
      <c r="K3080" s="72"/>
      <c r="L3080" s="72"/>
    </row>
    <row r="3081">
      <c r="D3081" s="71"/>
      <c r="E3081" s="71"/>
      <c r="I3081" s="72"/>
      <c r="J3081" s="72"/>
      <c r="K3081" s="72"/>
      <c r="L3081" s="72"/>
    </row>
    <row r="3082">
      <c r="D3082" s="71"/>
      <c r="E3082" s="71"/>
      <c r="I3082" s="72"/>
      <c r="J3082" s="72"/>
      <c r="K3082" s="72"/>
      <c r="L3082" s="72"/>
    </row>
    <row r="3083">
      <c r="D3083" s="71"/>
      <c r="E3083" s="71"/>
      <c r="I3083" s="72"/>
      <c r="J3083" s="72"/>
      <c r="K3083" s="72"/>
      <c r="L3083" s="72"/>
    </row>
    <row r="3084">
      <c r="D3084" s="71"/>
      <c r="E3084" s="71"/>
      <c r="I3084" s="72"/>
      <c r="J3084" s="72"/>
      <c r="K3084" s="72"/>
      <c r="L3084" s="72"/>
    </row>
    <row r="3085">
      <c r="D3085" s="71"/>
      <c r="E3085" s="71"/>
      <c r="I3085" s="72"/>
      <c r="J3085" s="72"/>
      <c r="K3085" s="72"/>
      <c r="L3085" s="72"/>
    </row>
    <row r="3086">
      <c r="D3086" s="71"/>
      <c r="E3086" s="71"/>
      <c r="I3086" s="72"/>
      <c r="J3086" s="72"/>
      <c r="K3086" s="72"/>
      <c r="L3086" s="72"/>
    </row>
    <row r="3087">
      <c r="D3087" s="71"/>
      <c r="E3087" s="71"/>
      <c r="I3087" s="72"/>
      <c r="J3087" s="72"/>
      <c r="K3087" s="72"/>
      <c r="L3087" s="72"/>
    </row>
    <row r="3088">
      <c r="D3088" s="71"/>
      <c r="E3088" s="71"/>
      <c r="I3088" s="72"/>
      <c r="J3088" s="72"/>
      <c r="K3088" s="72"/>
      <c r="L3088" s="72"/>
    </row>
    <row r="3089">
      <c r="D3089" s="71"/>
      <c r="E3089" s="71"/>
      <c r="I3089" s="72"/>
      <c r="J3089" s="72"/>
      <c r="K3089" s="72"/>
      <c r="L3089" s="72"/>
    </row>
    <row r="3090">
      <c r="D3090" s="71"/>
      <c r="E3090" s="71"/>
      <c r="I3090" s="72"/>
      <c r="J3090" s="72"/>
      <c r="K3090" s="72"/>
      <c r="L3090" s="72"/>
    </row>
    <row r="3091">
      <c r="D3091" s="71"/>
      <c r="E3091" s="71"/>
      <c r="I3091" s="72"/>
      <c r="J3091" s="72"/>
      <c r="K3091" s="72"/>
      <c r="L3091" s="72"/>
    </row>
    <row r="3092">
      <c r="D3092" s="71"/>
      <c r="E3092" s="71"/>
      <c r="I3092" s="72"/>
      <c r="J3092" s="72"/>
      <c r="K3092" s="72"/>
      <c r="L3092" s="72"/>
    </row>
    <row r="3093">
      <c r="D3093" s="71"/>
      <c r="E3093" s="71"/>
      <c r="I3093" s="72"/>
      <c r="J3093" s="72"/>
      <c r="K3093" s="72"/>
      <c r="L3093" s="72"/>
    </row>
    <row r="3094">
      <c r="D3094" s="71"/>
      <c r="E3094" s="71"/>
      <c r="I3094" s="72"/>
      <c r="J3094" s="72"/>
      <c r="K3094" s="72"/>
      <c r="L3094" s="72"/>
    </row>
    <row r="3095">
      <c r="D3095" s="71"/>
      <c r="E3095" s="71"/>
      <c r="I3095" s="72"/>
      <c r="J3095" s="72"/>
      <c r="K3095" s="72"/>
      <c r="L3095" s="72"/>
    </row>
    <row r="3096">
      <c r="D3096" s="71"/>
      <c r="E3096" s="71"/>
      <c r="I3096" s="72"/>
      <c r="J3096" s="72"/>
      <c r="K3096" s="72"/>
      <c r="L3096" s="72"/>
    </row>
    <row r="3097">
      <c r="D3097" s="71"/>
      <c r="E3097" s="71"/>
      <c r="I3097" s="72"/>
      <c r="J3097" s="72"/>
      <c r="K3097" s="72"/>
      <c r="L3097" s="72"/>
    </row>
    <row r="3098">
      <c r="D3098" s="71"/>
      <c r="E3098" s="71"/>
      <c r="I3098" s="72"/>
      <c r="J3098" s="72"/>
      <c r="K3098" s="72"/>
      <c r="L3098" s="72"/>
    </row>
    <row r="3099">
      <c r="D3099" s="71"/>
      <c r="E3099" s="71"/>
      <c r="I3099" s="72"/>
      <c r="J3099" s="72"/>
      <c r="K3099" s="72"/>
      <c r="L3099" s="72"/>
    </row>
    <row r="3100">
      <c r="D3100" s="71"/>
      <c r="E3100" s="71"/>
      <c r="I3100" s="72"/>
      <c r="J3100" s="72"/>
      <c r="K3100" s="72"/>
      <c r="L3100" s="72"/>
    </row>
    <row r="3101">
      <c r="D3101" s="71"/>
      <c r="E3101" s="71"/>
      <c r="I3101" s="72"/>
      <c r="J3101" s="72"/>
      <c r="K3101" s="72"/>
      <c r="L3101" s="72"/>
    </row>
    <row r="3102">
      <c r="D3102" s="71"/>
      <c r="E3102" s="71"/>
      <c r="I3102" s="72"/>
      <c r="J3102" s="72"/>
      <c r="K3102" s="72"/>
      <c r="L3102" s="72"/>
    </row>
    <row r="3103">
      <c r="D3103" s="71"/>
      <c r="E3103" s="71"/>
      <c r="I3103" s="72"/>
      <c r="J3103" s="72"/>
      <c r="K3103" s="72"/>
      <c r="L3103" s="72"/>
    </row>
    <row r="3104">
      <c r="D3104" s="71"/>
      <c r="E3104" s="71"/>
      <c r="I3104" s="72"/>
      <c r="J3104" s="72"/>
      <c r="K3104" s="72"/>
      <c r="L3104" s="72"/>
    </row>
    <row r="3105">
      <c r="D3105" s="71"/>
      <c r="E3105" s="71"/>
      <c r="I3105" s="72"/>
      <c r="J3105" s="72"/>
      <c r="K3105" s="72"/>
      <c r="L3105" s="72"/>
    </row>
    <row r="3106">
      <c r="D3106" s="71"/>
      <c r="E3106" s="71"/>
      <c r="I3106" s="72"/>
      <c r="J3106" s="72"/>
      <c r="K3106" s="72"/>
      <c r="L3106" s="72"/>
    </row>
    <row r="3107">
      <c r="D3107" s="71"/>
      <c r="E3107" s="71"/>
      <c r="I3107" s="72"/>
      <c r="J3107" s="72"/>
      <c r="K3107" s="72"/>
      <c r="L3107" s="72"/>
    </row>
    <row r="3108">
      <c r="D3108" s="71"/>
      <c r="E3108" s="71"/>
      <c r="I3108" s="72"/>
      <c r="J3108" s="72"/>
      <c r="K3108" s="72"/>
      <c r="L3108" s="72"/>
    </row>
    <row r="3109">
      <c r="D3109" s="71"/>
      <c r="E3109" s="71"/>
      <c r="I3109" s="72"/>
      <c r="J3109" s="72"/>
      <c r="K3109" s="72"/>
      <c r="L3109" s="72"/>
    </row>
    <row r="3110">
      <c r="D3110" s="71"/>
      <c r="E3110" s="71"/>
      <c r="I3110" s="72"/>
      <c r="J3110" s="72"/>
      <c r="K3110" s="72"/>
      <c r="L3110" s="72"/>
    </row>
    <row r="3111">
      <c r="D3111" s="71"/>
      <c r="E3111" s="71"/>
      <c r="I3111" s="72"/>
      <c r="J3111" s="72"/>
      <c r="K3111" s="72"/>
      <c r="L3111" s="72"/>
    </row>
    <row r="3112">
      <c r="D3112" s="71"/>
      <c r="E3112" s="71"/>
      <c r="I3112" s="72"/>
      <c r="J3112" s="72"/>
      <c r="K3112" s="72"/>
      <c r="L3112" s="72"/>
    </row>
    <row r="3113">
      <c r="D3113" s="71"/>
      <c r="E3113" s="71"/>
      <c r="I3113" s="72"/>
      <c r="J3113" s="72"/>
      <c r="K3113" s="72"/>
      <c r="L3113" s="72"/>
    </row>
    <row r="3114">
      <c r="D3114" s="71"/>
      <c r="E3114" s="71"/>
      <c r="I3114" s="72"/>
      <c r="J3114" s="72"/>
      <c r="K3114" s="72"/>
      <c r="L3114" s="72"/>
    </row>
    <row r="3115">
      <c r="D3115" s="71"/>
      <c r="E3115" s="71"/>
      <c r="I3115" s="72"/>
      <c r="J3115" s="72"/>
      <c r="K3115" s="72"/>
      <c r="L3115" s="72"/>
    </row>
    <row r="3116">
      <c r="D3116" s="71"/>
      <c r="E3116" s="71"/>
      <c r="I3116" s="72"/>
      <c r="J3116" s="72"/>
      <c r="K3116" s="72"/>
      <c r="L3116" s="72"/>
    </row>
    <row r="3117">
      <c r="D3117" s="71"/>
      <c r="E3117" s="71"/>
      <c r="I3117" s="72"/>
      <c r="J3117" s="72"/>
      <c r="K3117" s="72"/>
      <c r="L3117" s="72"/>
    </row>
    <row r="3118">
      <c r="D3118" s="71"/>
      <c r="E3118" s="71"/>
      <c r="I3118" s="72"/>
      <c r="J3118" s="72"/>
      <c r="K3118" s="72"/>
      <c r="L3118" s="72"/>
    </row>
    <row r="3119">
      <c r="D3119" s="71"/>
      <c r="E3119" s="71"/>
      <c r="I3119" s="72"/>
      <c r="J3119" s="72"/>
      <c r="K3119" s="72"/>
      <c r="L3119" s="72"/>
    </row>
    <row r="3120">
      <c r="D3120" s="71"/>
      <c r="E3120" s="71"/>
      <c r="I3120" s="72"/>
      <c r="J3120" s="72"/>
      <c r="K3120" s="72"/>
      <c r="L3120" s="72"/>
    </row>
    <row r="3121">
      <c r="D3121" s="71"/>
      <c r="E3121" s="71"/>
      <c r="I3121" s="72"/>
      <c r="J3121" s="72"/>
      <c r="K3121" s="72"/>
      <c r="L3121" s="72"/>
    </row>
    <row r="3122">
      <c r="D3122" s="71"/>
      <c r="E3122" s="71"/>
      <c r="I3122" s="72"/>
      <c r="J3122" s="72"/>
      <c r="K3122" s="72"/>
      <c r="L3122" s="72"/>
    </row>
    <row r="3123">
      <c r="D3123" s="71"/>
      <c r="E3123" s="71"/>
      <c r="I3123" s="72"/>
      <c r="J3123" s="72"/>
      <c r="K3123" s="72"/>
      <c r="L3123" s="72"/>
    </row>
    <row r="3124">
      <c r="D3124" s="71"/>
      <c r="E3124" s="71"/>
      <c r="I3124" s="72"/>
      <c r="J3124" s="72"/>
      <c r="K3124" s="72"/>
      <c r="L3124" s="72"/>
    </row>
    <row r="3125">
      <c r="D3125" s="71"/>
      <c r="E3125" s="71"/>
      <c r="I3125" s="72"/>
      <c r="J3125" s="72"/>
      <c r="K3125" s="72"/>
      <c r="L3125" s="72"/>
    </row>
    <row r="3126">
      <c r="D3126" s="71"/>
      <c r="E3126" s="71"/>
      <c r="I3126" s="72"/>
      <c r="J3126" s="72"/>
      <c r="K3126" s="72"/>
      <c r="L3126" s="72"/>
    </row>
    <row r="3127">
      <c r="D3127" s="71"/>
      <c r="E3127" s="71"/>
      <c r="I3127" s="72"/>
      <c r="J3127" s="72"/>
      <c r="K3127" s="72"/>
      <c r="L3127" s="72"/>
    </row>
    <row r="3128">
      <c r="D3128" s="71"/>
      <c r="E3128" s="71"/>
      <c r="I3128" s="72"/>
      <c r="J3128" s="72"/>
      <c r="K3128" s="72"/>
      <c r="L3128" s="72"/>
    </row>
    <row r="3129">
      <c r="D3129" s="71"/>
      <c r="E3129" s="71"/>
      <c r="I3129" s="72"/>
      <c r="J3129" s="72"/>
      <c r="K3129" s="72"/>
      <c r="L3129" s="72"/>
    </row>
    <row r="3130">
      <c r="D3130" s="71"/>
      <c r="E3130" s="71"/>
      <c r="I3130" s="72"/>
      <c r="J3130" s="72"/>
      <c r="K3130" s="72"/>
      <c r="L3130" s="72"/>
    </row>
    <row r="3131">
      <c r="D3131" s="71"/>
      <c r="E3131" s="71"/>
      <c r="I3131" s="72"/>
      <c r="J3131" s="72"/>
      <c r="K3131" s="72"/>
      <c r="L3131" s="72"/>
    </row>
    <row r="3132">
      <c r="D3132" s="71"/>
      <c r="E3132" s="71"/>
      <c r="I3132" s="72"/>
      <c r="J3132" s="72"/>
      <c r="K3132" s="72"/>
      <c r="L3132" s="72"/>
    </row>
    <row r="3133">
      <c r="D3133" s="71"/>
      <c r="E3133" s="71"/>
      <c r="I3133" s="72"/>
      <c r="J3133" s="72"/>
      <c r="K3133" s="72"/>
      <c r="L3133" s="72"/>
    </row>
    <row r="3134">
      <c r="D3134" s="71"/>
      <c r="E3134" s="71"/>
      <c r="I3134" s="72"/>
      <c r="J3134" s="72"/>
      <c r="K3134" s="72"/>
      <c r="L3134" s="72"/>
    </row>
    <row r="3135">
      <c r="D3135" s="71"/>
      <c r="E3135" s="71"/>
      <c r="I3135" s="72"/>
      <c r="J3135" s="72"/>
      <c r="K3135" s="72"/>
      <c r="L3135" s="72"/>
    </row>
    <row r="3136">
      <c r="D3136" s="71"/>
      <c r="E3136" s="71"/>
      <c r="I3136" s="72"/>
      <c r="J3136" s="72"/>
      <c r="K3136" s="72"/>
      <c r="L3136" s="72"/>
    </row>
    <row r="3137">
      <c r="D3137" s="71"/>
      <c r="E3137" s="71"/>
      <c r="I3137" s="72"/>
      <c r="J3137" s="72"/>
      <c r="K3137" s="72"/>
      <c r="L3137" s="72"/>
    </row>
    <row r="3138">
      <c r="D3138" s="71"/>
      <c r="E3138" s="71"/>
      <c r="I3138" s="72"/>
      <c r="J3138" s="72"/>
      <c r="K3138" s="72"/>
      <c r="L3138" s="72"/>
    </row>
    <row r="3139">
      <c r="D3139" s="71"/>
      <c r="E3139" s="71"/>
      <c r="I3139" s="72"/>
      <c r="J3139" s="72"/>
      <c r="K3139" s="72"/>
      <c r="L3139" s="72"/>
    </row>
    <row r="3140">
      <c r="D3140" s="71"/>
      <c r="E3140" s="71"/>
      <c r="I3140" s="72"/>
      <c r="J3140" s="72"/>
      <c r="K3140" s="72"/>
      <c r="L3140" s="72"/>
    </row>
    <row r="3141">
      <c r="D3141" s="71"/>
      <c r="E3141" s="71"/>
      <c r="I3141" s="72"/>
      <c r="J3141" s="72"/>
      <c r="K3141" s="72"/>
      <c r="L3141" s="72"/>
    </row>
    <row r="3142">
      <c r="D3142" s="71"/>
      <c r="E3142" s="71"/>
      <c r="I3142" s="72"/>
      <c r="J3142" s="72"/>
      <c r="K3142" s="72"/>
      <c r="L3142" s="72"/>
    </row>
    <row r="3143">
      <c r="D3143" s="71"/>
      <c r="E3143" s="71"/>
      <c r="I3143" s="72"/>
      <c r="J3143" s="72"/>
      <c r="K3143" s="72"/>
      <c r="L3143" s="72"/>
    </row>
    <row r="3144">
      <c r="D3144" s="71"/>
      <c r="E3144" s="71"/>
      <c r="I3144" s="72"/>
      <c r="J3144" s="72"/>
      <c r="K3144" s="72"/>
      <c r="L3144" s="72"/>
    </row>
    <row r="3145">
      <c r="D3145" s="71"/>
      <c r="E3145" s="71"/>
      <c r="I3145" s="72"/>
      <c r="J3145" s="72"/>
      <c r="K3145" s="72"/>
      <c r="L3145" s="72"/>
    </row>
    <row r="3146">
      <c r="D3146" s="71"/>
      <c r="E3146" s="71"/>
      <c r="I3146" s="72"/>
      <c r="J3146" s="72"/>
      <c r="K3146" s="72"/>
      <c r="L3146" s="72"/>
    </row>
    <row r="3147">
      <c r="D3147" s="71"/>
      <c r="E3147" s="71"/>
      <c r="I3147" s="72"/>
      <c r="J3147" s="72"/>
      <c r="K3147" s="72"/>
      <c r="L3147" s="72"/>
    </row>
    <row r="3148">
      <c r="D3148" s="71"/>
      <c r="E3148" s="71"/>
      <c r="I3148" s="72"/>
      <c r="J3148" s="72"/>
      <c r="K3148" s="72"/>
      <c r="L3148" s="72"/>
    </row>
    <row r="3149">
      <c r="D3149" s="71"/>
      <c r="E3149" s="71"/>
      <c r="I3149" s="72"/>
      <c r="J3149" s="72"/>
      <c r="K3149" s="72"/>
      <c r="L3149" s="72"/>
    </row>
    <row r="3150">
      <c r="D3150" s="71"/>
      <c r="E3150" s="71"/>
      <c r="I3150" s="72"/>
      <c r="J3150" s="72"/>
      <c r="K3150" s="72"/>
      <c r="L3150" s="72"/>
    </row>
    <row r="3151">
      <c r="D3151" s="71"/>
      <c r="E3151" s="71"/>
      <c r="I3151" s="72"/>
      <c r="J3151" s="72"/>
      <c r="K3151" s="72"/>
      <c r="L3151" s="72"/>
    </row>
    <row r="3152">
      <c r="D3152" s="71"/>
      <c r="E3152" s="71"/>
      <c r="I3152" s="72"/>
      <c r="J3152" s="72"/>
      <c r="K3152" s="72"/>
      <c r="L3152" s="72"/>
    </row>
    <row r="3153">
      <c r="D3153" s="71"/>
      <c r="E3153" s="71"/>
      <c r="I3153" s="72"/>
      <c r="J3153" s="72"/>
      <c r="K3153" s="72"/>
      <c r="L3153" s="72"/>
    </row>
    <row r="3154">
      <c r="D3154" s="71"/>
      <c r="E3154" s="71"/>
      <c r="I3154" s="72"/>
      <c r="J3154" s="72"/>
      <c r="K3154" s="72"/>
      <c r="L3154" s="72"/>
    </row>
    <row r="3155">
      <c r="D3155" s="71"/>
      <c r="E3155" s="71"/>
      <c r="I3155" s="72"/>
      <c r="J3155" s="72"/>
      <c r="K3155" s="72"/>
      <c r="L3155" s="72"/>
    </row>
    <row r="3156">
      <c r="D3156" s="71"/>
      <c r="E3156" s="71"/>
      <c r="I3156" s="72"/>
      <c r="J3156" s="72"/>
      <c r="K3156" s="72"/>
      <c r="L3156" s="72"/>
    </row>
    <row r="3157">
      <c r="D3157" s="71"/>
      <c r="E3157" s="71"/>
      <c r="I3157" s="72"/>
      <c r="J3157" s="72"/>
      <c r="K3157" s="72"/>
      <c r="L3157" s="72"/>
    </row>
    <row r="3158">
      <c r="D3158" s="71"/>
      <c r="E3158" s="71"/>
      <c r="I3158" s="72"/>
      <c r="J3158" s="72"/>
      <c r="K3158" s="72"/>
      <c r="L3158" s="72"/>
    </row>
    <row r="3159">
      <c r="D3159" s="71"/>
      <c r="E3159" s="71"/>
      <c r="I3159" s="72"/>
      <c r="J3159" s="72"/>
      <c r="K3159" s="72"/>
      <c r="L3159" s="72"/>
    </row>
    <row r="3160">
      <c r="D3160" s="71"/>
      <c r="E3160" s="71"/>
      <c r="I3160" s="72"/>
      <c r="J3160" s="72"/>
      <c r="K3160" s="72"/>
      <c r="L3160" s="72"/>
    </row>
    <row r="3161">
      <c r="D3161" s="71"/>
      <c r="E3161" s="71"/>
      <c r="I3161" s="72"/>
      <c r="J3161" s="72"/>
      <c r="K3161" s="72"/>
      <c r="L3161" s="72"/>
    </row>
    <row r="3162">
      <c r="D3162" s="71"/>
      <c r="E3162" s="71"/>
      <c r="I3162" s="72"/>
      <c r="J3162" s="72"/>
      <c r="K3162" s="72"/>
      <c r="L3162" s="72"/>
    </row>
    <row r="3163">
      <c r="D3163" s="71"/>
      <c r="E3163" s="71"/>
      <c r="I3163" s="72"/>
      <c r="J3163" s="72"/>
      <c r="K3163" s="72"/>
      <c r="L3163" s="72"/>
    </row>
    <row r="3164">
      <c r="D3164" s="71"/>
      <c r="E3164" s="71"/>
      <c r="I3164" s="72"/>
      <c r="J3164" s="72"/>
      <c r="K3164" s="72"/>
      <c r="L3164" s="72"/>
    </row>
    <row r="3165">
      <c r="D3165" s="71"/>
      <c r="E3165" s="71"/>
      <c r="I3165" s="72"/>
      <c r="J3165" s="72"/>
      <c r="K3165" s="72"/>
      <c r="L3165" s="72"/>
    </row>
    <row r="3166">
      <c r="D3166" s="71"/>
      <c r="E3166" s="71"/>
      <c r="I3166" s="72"/>
      <c r="J3166" s="72"/>
      <c r="K3166" s="72"/>
      <c r="L3166" s="72"/>
    </row>
    <row r="3167">
      <c r="D3167" s="71"/>
      <c r="E3167" s="71"/>
      <c r="I3167" s="72"/>
      <c r="J3167" s="72"/>
      <c r="K3167" s="72"/>
      <c r="L3167" s="72"/>
    </row>
    <row r="3168">
      <c r="D3168" s="71"/>
      <c r="E3168" s="71"/>
      <c r="I3168" s="72"/>
      <c r="J3168" s="72"/>
      <c r="K3168" s="72"/>
      <c r="L3168" s="72"/>
    </row>
    <row r="3169">
      <c r="D3169" s="71"/>
      <c r="E3169" s="71"/>
      <c r="I3169" s="72"/>
      <c r="J3169" s="72"/>
      <c r="K3169" s="72"/>
      <c r="L3169" s="72"/>
    </row>
    <row r="3170">
      <c r="D3170" s="71"/>
      <c r="E3170" s="71"/>
      <c r="I3170" s="72"/>
      <c r="J3170" s="72"/>
      <c r="K3170" s="72"/>
      <c r="L3170" s="72"/>
    </row>
    <row r="3171">
      <c r="D3171" s="71"/>
      <c r="E3171" s="71"/>
      <c r="I3171" s="72"/>
      <c r="J3171" s="72"/>
      <c r="K3171" s="72"/>
      <c r="L3171" s="72"/>
    </row>
    <row r="3172">
      <c r="D3172" s="71"/>
      <c r="E3172" s="71"/>
      <c r="I3172" s="72"/>
      <c r="J3172" s="72"/>
      <c r="K3172" s="72"/>
      <c r="L3172" s="72"/>
    </row>
    <row r="3173">
      <c r="D3173" s="71"/>
      <c r="E3173" s="71"/>
      <c r="I3173" s="72"/>
      <c r="J3173" s="72"/>
      <c r="K3173" s="72"/>
      <c r="L3173" s="72"/>
    </row>
    <row r="3174">
      <c r="D3174" s="71"/>
      <c r="E3174" s="71"/>
      <c r="I3174" s="72"/>
      <c r="J3174" s="72"/>
      <c r="K3174" s="72"/>
      <c r="L3174" s="72"/>
    </row>
    <row r="3175">
      <c r="D3175" s="71"/>
      <c r="E3175" s="71"/>
      <c r="I3175" s="72"/>
      <c r="J3175" s="72"/>
      <c r="K3175" s="72"/>
      <c r="L3175" s="72"/>
    </row>
    <row r="3176">
      <c r="D3176" s="71"/>
      <c r="E3176" s="71"/>
      <c r="I3176" s="72"/>
      <c r="J3176" s="72"/>
      <c r="K3176" s="72"/>
      <c r="L3176" s="72"/>
    </row>
    <row r="3177">
      <c r="D3177" s="71"/>
      <c r="E3177" s="71"/>
      <c r="I3177" s="72"/>
      <c r="J3177" s="72"/>
      <c r="K3177" s="72"/>
      <c r="L3177" s="72"/>
    </row>
    <row r="3178">
      <c r="D3178" s="71"/>
      <c r="E3178" s="71"/>
      <c r="I3178" s="72"/>
      <c r="J3178" s="72"/>
      <c r="K3178" s="72"/>
      <c r="L3178" s="72"/>
    </row>
    <row r="3179">
      <c r="D3179" s="71"/>
      <c r="E3179" s="71"/>
      <c r="I3179" s="72"/>
      <c r="J3179" s="72"/>
      <c r="K3179" s="72"/>
      <c r="L3179" s="72"/>
    </row>
    <row r="3180">
      <c r="D3180" s="71"/>
      <c r="E3180" s="71"/>
      <c r="I3180" s="72"/>
      <c r="J3180" s="72"/>
      <c r="K3180" s="72"/>
      <c r="L3180" s="72"/>
    </row>
    <row r="3181">
      <c r="D3181" s="71"/>
      <c r="E3181" s="71"/>
      <c r="I3181" s="72"/>
      <c r="J3181" s="72"/>
      <c r="K3181" s="72"/>
      <c r="L3181" s="72"/>
    </row>
    <row r="3182">
      <c r="D3182" s="71"/>
      <c r="E3182" s="71"/>
      <c r="I3182" s="72"/>
      <c r="J3182" s="72"/>
      <c r="K3182" s="72"/>
      <c r="L3182" s="72"/>
    </row>
    <row r="3183">
      <c r="D3183" s="71"/>
      <c r="E3183" s="71"/>
      <c r="I3183" s="72"/>
      <c r="J3183" s="72"/>
      <c r="K3183" s="72"/>
      <c r="L3183" s="72"/>
    </row>
    <row r="3184">
      <c r="D3184" s="71"/>
      <c r="E3184" s="71"/>
      <c r="I3184" s="72"/>
      <c r="J3184" s="72"/>
      <c r="K3184" s="72"/>
      <c r="L3184" s="72"/>
    </row>
    <row r="3185">
      <c r="D3185" s="71"/>
      <c r="E3185" s="71"/>
      <c r="I3185" s="72"/>
      <c r="J3185" s="72"/>
      <c r="K3185" s="72"/>
      <c r="L3185" s="72"/>
    </row>
    <row r="3186">
      <c r="D3186" s="71"/>
      <c r="E3186" s="71"/>
      <c r="I3186" s="72"/>
      <c r="J3186" s="72"/>
      <c r="K3186" s="72"/>
      <c r="L3186" s="72"/>
    </row>
    <row r="3187">
      <c r="D3187" s="71"/>
      <c r="E3187" s="71"/>
      <c r="I3187" s="72"/>
      <c r="J3187" s="72"/>
      <c r="K3187" s="72"/>
      <c r="L3187" s="72"/>
    </row>
    <row r="3188">
      <c r="D3188" s="71"/>
      <c r="E3188" s="71"/>
      <c r="I3188" s="72"/>
      <c r="J3188" s="72"/>
      <c r="K3188" s="72"/>
      <c r="L3188" s="72"/>
    </row>
    <row r="3189">
      <c r="D3189" s="71"/>
      <c r="E3189" s="71"/>
      <c r="I3189" s="72"/>
      <c r="J3189" s="72"/>
      <c r="K3189" s="72"/>
      <c r="L3189" s="72"/>
    </row>
    <row r="3190">
      <c r="D3190" s="71"/>
      <c r="E3190" s="71"/>
      <c r="I3190" s="72"/>
      <c r="J3190" s="72"/>
      <c r="K3190" s="72"/>
      <c r="L3190" s="72"/>
    </row>
    <row r="3191">
      <c r="D3191" s="71"/>
      <c r="E3191" s="71"/>
      <c r="I3191" s="72"/>
      <c r="J3191" s="72"/>
      <c r="K3191" s="72"/>
      <c r="L3191" s="72"/>
    </row>
    <row r="3192">
      <c r="D3192" s="71"/>
      <c r="E3192" s="71"/>
      <c r="I3192" s="72"/>
      <c r="J3192" s="72"/>
      <c r="K3192" s="72"/>
      <c r="L3192" s="72"/>
    </row>
    <row r="3193">
      <c r="D3193" s="71"/>
      <c r="E3193" s="71"/>
      <c r="I3193" s="72"/>
      <c r="J3193" s="72"/>
      <c r="K3193" s="72"/>
      <c r="L3193" s="72"/>
    </row>
    <row r="3194">
      <c r="D3194" s="71"/>
      <c r="E3194" s="71"/>
      <c r="I3194" s="72"/>
      <c r="J3194" s="72"/>
      <c r="K3194" s="72"/>
      <c r="L3194" s="72"/>
    </row>
    <row r="3195">
      <c r="D3195" s="71"/>
      <c r="E3195" s="71"/>
      <c r="I3195" s="72"/>
      <c r="J3195" s="72"/>
      <c r="K3195" s="72"/>
      <c r="L3195" s="72"/>
    </row>
    <row r="3196">
      <c r="D3196" s="71"/>
      <c r="E3196" s="71"/>
      <c r="I3196" s="72"/>
      <c r="J3196" s="72"/>
      <c r="K3196" s="72"/>
      <c r="L3196" s="72"/>
    </row>
    <row r="3197">
      <c r="D3197" s="71"/>
      <c r="E3197" s="71"/>
      <c r="I3197" s="72"/>
      <c r="J3197" s="72"/>
      <c r="K3197" s="72"/>
      <c r="L3197" s="72"/>
    </row>
    <row r="3198">
      <c r="D3198" s="71"/>
      <c r="E3198" s="71"/>
      <c r="I3198" s="72"/>
      <c r="J3198" s="72"/>
      <c r="K3198" s="72"/>
      <c r="L3198" s="72"/>
    </row>
    <row r="3199">
      <c r="D3199" s="71"/>
      <c r="E3199" s="71"/>
      <c r="I3199" s="72"/>
      <c r="J3199" s="72"/>
      <c r="K3199" s="72"/>
      <c r="L3199" s="72"/>
    </row>
    <row r="3200">
      <c r="D3200" s="71"/>
      <c r="E3200" s="71"/>
      <c r="I3200" s="72"/>
      <c r="J3200" s="72"/>
      <c r="K3200" s="72"/>
      <c r="L3200" s="72"/>
    </row>
    <row r="3201">
      <c r="D3201" s="71"/>
      <c r="E3201" s="71"/>
      <c r="I3201" s="72"/>
      <c r="J3201" s="72"/>
      <c r="K3201" s="72"/>
      <c r="L3201" s="72"/>
    </row>
    <row r="3202">
      <c r="D3202" s="71"/>
      <c r="E3202" s="71"/>
      <c r="I3202" s="72"/>
      <c r="J3202" s="72"/>
      <c r="K3202" s="72"/>
      <c r="L3202" s="72"/>
    </row>
    <row r="3203">
      <c r="D3203" s="71"/>
      <c r="E3203" s="71"/>
      <c r="I3203" s="72"/>
      <c r="J3203" s="72"/>
      <c r="K3203" s="72"/>
      <c r="L3203" s="72"/>
    </row>
    <row r="3204">
      <c r="D3204" s="71"/>
      <c r="E3204" s="71"/>
      <c r="I3204" s="72"/>
      <c r="J3204" s="72"/>
      <c r="K3204" s="72"/>
      <c r="L3204" s="72"/>
    </row>
    <row r="3205">
      <c r="D3205" s="71"/>
      <c r="E3205" s="71"/>
      <c r="I3205" s="72"/>
      <c r="J3205" s="72"/>
      <c r="K3205" s="72"/>
      <c r="L3205" s="72"/>
    </row>
    <row r="3206">
      <c r="D3206" s="71"/>
      <c r="E3206" s="71"/>
      <c r="I3206" s="72"/>
      <c r="J3206" s="72"/>
      <c r="K3206" s="72"/>
      <c r="L3206" s="72"/>
    </row>
    <row r="3207">
      <c r="D3207" s="71"/>
      <c r="E3207" s="71"/>
      <c r="I3207" s="72"/>
      <c r="J3207" s="72"/>
      <c r="K3207" s="72"/>
      <c r="L3207" s="72"/>
    </row>
    <row r="3208">
      <c r="D3208" s="71"/>
      <c r="E3208" s="71"/>
      <c r="I3208" s="72"/>
      <c r="J3208" s="72"/>
      <c r="K3208" s="72"/>
      <c r="L3208" s="72"/>
    </row>
    <row r="3209">
      <c r="D3209" s="71"/>
      <c r="E3209" s="71"/>
      <c r="I3209" s="72"/>
      <c r="J3209" s="72"/>
      <c r="K3209" s="72"/>
      <c r="L3209" s="72"/>
    </row>
    <row r="3210">
      <c r="D3210" s="71"/>
      <c r="E3210" s="71"/>
      <c r="I3210" s="72"/>
      <c r="J3210" s="72"/>
      <c r="K3210" s="72"/>
      <c r="L3210" s="72"/>
    </row>
    <row r="3211">
      <c r="D3211" s="71"/>
      <c r="E3211" s="71"/>
      <c r="I3211" s="72"/>
      <c r="J3211" s="72"/>
      <c r="K3211" s="72"/>
      <c r="L3211" s="72"/>
    </row>
    <row r="3212">
      <c r="D3212" s="71"/>
      <c r="E3212" s="71"/>
      <c r="I3212" s="72"/>
      <c r="J3212" s="72"/>
      <c r="K3212" s="72"/>
      <c r="L3212" s="72"/>
    </row>
    <row r="3213">
      <c r="D3213" s="71"/>
      <c r="E3213" s="71"/>
      <c r="I3213" s="72"/>
      <c r="J3213" s="72"/>
      <c r="K3213" s="72"/>
      <c r="L3213" s="72"/>
    </row>
    <row r="3214">
      <c r="D3214" s="71"/>
      <c r="E3214" s="71"/>
      <c r="I3214" s="72"/>
      <c r="J3214" s="72"/>
      <c r="K3214" s="72"/>
      <c r="L3214" s="72"/>
    </row>
    <row r="3215">
      <c r="D3215" s="71"/>
      <c r="E3215" s="71"/>
      <c r="I3215" s="72"/>
      <c r="J3215" s="72"/>
      <c r="K3215" s="72"/>
      <c r="L3215" s="72"/>
    </row>
    <row r="3216">
      <c r="D3216" s="71"/>
      <c r="E3216" s="71"/>
      <c r="I3216" s="72"/>
      <c r="J3216" s="72"/>
      <c r="K3216" s="72"/>
      <c r="L3216" s="72"/>
    </row>
    <row r="3217">
      <c r="D3217" s="71"/>
      <c r="E3217" s="71"/>
      <c r="I3217" s="72"/>
      <c r="J3217" s="72"/>
      <c r="K3217" s="72"/>
      <c r="L3217" s="72"/>
    </row>
    <row r="3218">
      <c r="D3218" s="71"/>
      <c r="E3218" s="71"/>
      <c r="I3218" s="72"/>
      <c r="J3218" s="72"/>
      <c r="K3218" s="72"/>
      <c r="L3218" s="72"/>
    </row>
    <row r="3219">
      <c r="D3219" s="71"/>
      <c r="E3219" s="71"/>
      <c r="I3219" s="72"/>
      <c r="J3219" s="72"/>
      <c r="K3219" s="72"/>
      <c r="L3219" s="72"/>
    </row>
    <row r="3220">
      <c r="D3220" s="71"/>
      <c r="E3220" s="71"/>
      <c r="I3220" s="72"/>
      <c r="J3220" s="72"/>
      <c r="K3220" s="72"/>
      <c r="L3220" s="72"/>
    </row>
    <row r="3221">
      <c r="D3221" s="71"/>
      <c r="E3221" s="71"/>
      <c r="I3221" s="72"/>
      <c r="J3221" s="72"/>
      <c r="K3221" s="72"/>
      <c r="L3221" s="72"/>
    </row>
    <row r="3222">
      <c r="D3222" s="71"/>
      <c r="E3222" s="71"/>
      <c r="I3222" s="72"/>
      <c r="J3222" s="72"/>
      <c r="K3222" s="72"/>
      <c r="L3222" s="72"/>
    </row>
    <row r="3223">
      <c r="D3223" s="71"/>
      <c r="E3223" s="71"/>
      <c r="I3223" s="72"/>
      <c r="J3223" s="72"/>
      <c r="K3223" s="72"/>
      <c r="L3223" s="72"/>
    </row>
    <row r="3224">
      <c r="D3224" s="71"/>
      <c r="E3224" s="71"/>
      <c r="I3224" s="72"/>
      <c r="J3224" s="72"/>
      <c r="K3224" s="72"/>
      <c r="L3224" s="72"/>
    </row>
    <row r="3225">
      <c r="D3225" s="71"/>
      <c r="E3225" s="71"/>
      <c r="I3225" s="72"/>
      <c r="J3225" s="72"/>
      <c r="K3225" s="72"/>
      <c r="L3225" s="72"/>
    </row>
    <row r="3226">
      <c r="D3226" s="71"/>
      <c r="E3226" s="71"/>
      <c r="I3226" s="72"/>
      <c r="J3226" s="72"/>
      <c r="K3226" s="72"/>
      <c r="L3226" s="72"/>
    </row>
    <row r="3227">
      <c r="D3227" s="71"/>
      <c r="E3227" s="71"/>
      <c r="I3227" s="72"/>
      <c r="J3227" s="72"/>
      <c r="K3227" s="72"/>
      <c r="L3227" s="72"/>
    </row>
    <row r="3228">
      <c r="D3228" s="71"/>
      <c r="E3228" s="71"/>
      <c r="I3228" s="72"/>
      <c r="J3228" s="72"/>
      <c r="K3228" s="72"/>
      <c r="L3228" s="72"/>
    </row>
    <row r="3229">
      <c r="D3229" s="71"/>
      <c r="E3229" s="71"/>
      <c r="I3229" s="72"/>
      <c r="J3229" s="72"/>
      <c r="K3229" s="72"/>
      <c r="L3229" s="72"/>
    </row>
    <row r="3230">
      <c r="D3230" s="71"/>
      <c r="E3230" s="71"/>
      <c r="I3230" s="72"/>
      <c r="J3230" s="72"/>
      <c r="K3230" s="72"/>
      <c r="L3230" s="72"/>
    </row>
    <row r="3231">
      <c r="D3231" s="71"/>
      <c r="E3231" s="71"/>
      <c r="I3231" s="72"/>
      <c r="J3231" s="72"/>
      <c r="K3231" s="72"/>
      <c r="L3231" s="72"/>
    </row>
    <row r="3232">
      <c r="D3232" s="71"/>
      <c r="E3232" s="71"/>
      <c r="I3232" s="72"/>
      <c r="J3232" s="72"/>
      <c r="K3232" s="72"/>
      <c r="L3232" s="72"/>
    </row>
    <row r="3233">
      <c r="D3233" s="71"/>
      <c r="E3233" s="71"/>
      <c r="I3233" s="72"/>
      <c r="J3233" s="72"/>
      <c r="K3233" s="72"/>
      <c r="L3233" s="72"/>
    </row>
    <row r="3234">
      <c r="D3234" s="71"/>
      <c r="E3234" s="71"/>
      <c r="I3234" s="72"/>
      <c r="J3234" s="72"/>
      <c r="K3234" s="72"/>
      <c r="L3234" s="72"/>
    </row>
    <row r="3235">
      <c r="D3235" s="71"/>
      <c r="E3235" s="71"/>
      <c r="I3235" s="72"/>
      <c r="J3235" s="72"/>
      <c r="K3235" s="72"/>
      <c r="L3235" s="72"/>
    </row>
    <row r="3236">
      <c r="D3236" s="71"/>
      <c r="E3236" s="71"/>
      <c r="I3236" s="72"/>
      <c r="J3236" s="72"/>
      <c r="K3236" s="72"/>
      <c r="L3236" s="72"/>
    </row>
    <row r="3237">
      <c r="D3237" s="71"/>
      <c r="E3237" s="71"/>
      <c r="I3237" s="72"/>
      <c r="J3237" s="72"/>
      <c r="K3237" s="72"/>
      <c r="L3237" s="72"/>
    </row>
    <row r="3238">
      <c r="D3238" s="71"/>
      <c r="E3238" s="71"/>
      <c r="I3238" s="72"/>
      <c r="J3238" s="72"/>
      <c r="K3238" s="72"/>
      <c r="L3238" s="72"/>
    </row>
    <row r="3239">
      <c r="D3239" s="71"/>
      <c r="E3239" s="71"/>
      <c r="I3239" s="72"/>
      <c r="J3239" s="72"/>
      <c r="K3239" s="72"/>
      <c r="L3239" s="72"/>
    </row>
    <row r="3240">
      <c r="D3240" s="71"/>
      <c r="E3240" s="71"/>
      <c r="I3240" s="72"/>
      <c r="J3240" s="72"/>
      <c r="K3240" s="72"/>
      <c r="L3240" s="72"/>
    </row>
    <row r="3241">
      <c r="D3241" s="71"/>
      <c r="E3241" s="71"/>
      <c r="I3241" s="72"/>
      <c r="J3241" s="72"/>
      <c r="K3241" s="72"/>
      <c r="L3241" s="72"/>
    </row>
    <row r="3242">
      <c r="D3242" s="71"/>
      <c r="E3242" s="71"/>
      <c r="I3242" s="72"/>
      <c r="J3242" s="72"/>
      <c r="K3242" s="72"/>
      <c r="L3242" s="72"/>
    </row>
    <row r="3243">
      <c r="D3243" s="71"/>
      <c r="E3243" s="71"/>
      <c r="I3243" s="72"/>
      <c r="J3243" s="72"/>
      <c r="K3243" s="72"/>
      <c r="L3243" s="72"/>
    </row>
    <row r="3244">
      <c r="D3244" s="71"/>
      <c r="E3244" s="71"/>
      <c r="I3244" s="72"/>
      <c r="J3244" s="72"/>
      <c r="K3244" s="72"/>
      <c r="L3244" s="72"/>
    </row>
    <row r="3245">
      <c r="D3245" s="71"/>
      <c r="E3245" s="71"/>
      <c r="I3245" s="72"/>
      <c r="J3245" s="72"/>
      <c r="K3245" s="72"/>
      <c r="L3245" s="72"/>
    </row>
    <row r="3246">
      <c r="D3246" s="71"/>
      <c r="E3246" s="71"/>
      <c r="I3246" s="72"/>
      <c r="J3246" s="72"/>
      <c r="K3246" s="72"/>
      <c r="L3246" s="72"/>
    </row>
    <row r="3247">
      <c r="D3247" s="71"/>
      <c r="E3247" s="71"/>
      <c r="I3247" s="72"/>
      <c r="J3247" s="72"/>
      <c r="K3247" s="72"/>
      <c r="L3247" s="72"/>
    </row>
    <row r="3248">
      <c r="D3248" s="71"/>
      <c r="E3248" s="71"/>
      <c r="I3248" s="72"/>
      <c r="J3248" s="72"/>
      <c r="K3248" s="72"/>
      <c r="L3248" s="72"/>
    </row>
    <row r="3249">
      <c r="D3249" s="71"/>
      <c r="E3249" s="71"/>
      <c r="I3249" s="72"/>
      <c r="J3249" s="72"/>
      <c r="K3249" s="72"/>
      <c r="L3249" s="72"/>
    </row>
    <row r="3250">
      <c r="D3250" s="71"/>
      <c r="E3250" s="71"/>
      <c r="I3250" s="72"/>
      <c r="J3250" s="72"/>
      <c r="K3250" s="72"/>
      <c r="L3250" s="72"/>
    </row>
    <row r="3251">
      <c r="D3251" s="71"/>
      <c r="E3251" s="71"/>
      <c r="I3251" s="72"/>
      <c r="J3251" s="72"/>
      <c r="K3251" s="72"/>
      <c r="L3251" s="72"/>
    </row>
    <row r="3252">
      <c r="D3252" s="71"/>
      <c r="E3252" s="71"/>
      <c r="I3252" s="72"/>
      <c r="J3252" s="72"/>
      <c r="K3252" s="72"/>
      <c r="L3252" s="72"/>
    </row>
    <row r="3253">
      <c r="D3253" s="71"/>
      <c r="E3253" s="71"/>
      <c r="I3253" s="72"/>
      <c r="J3253" s="72"/>
      <c r="K3253" s="72"/>
      <c r="L3253" s="72"/>
    </row>
    <row r="3254">
      <c r="D3254" s="71"/>
      <c r="E3254" s="71"/>
      <c r="I3254" s="72"/>
      <c r="J3254" s="72"/>
      <c r="K3254" s="72"/>
      <c r="L3254" s="72"/>
    </row>
    <row r="3255">
      <c r="D3255" s="71"/>
      <c r="E3255" s="71"/>
      <c r="I3255" s="72"/>
      <c r="J3255" s="72"/>
      <c r="K3255" s="72"/>
      <c r="L3255" s="72"/>
    </row>
    <row r="3256">
      <c r="D3256" s="71"/>
      <c r="E3256" s="71"/>
      <c r="I3256" s="72"/>
      <c r="J3256" s="72"/>
      <c r="K3256" s="72"/>
      <c r="L3256" s="72"/>
    </row>
    <row r="3257">
      <c r="D3257" s="71"/>
      <c r="E3257" s="71"/>
      <c r="I3257" s="72"/>
      <c r="J3257" s="72"/>
      <c r="K3257" s="72"/>
      <c r="L3257" s="72"/>
    </row>
    <row r="3258">
      <c r="D3258" s="71"/>
      <c r="E3258" s="71"/>
      <c r="I3258" s="72"/>
      <c r="J3258" s="72"/>
      <c r="K3258" s="72"/>
      <c r="L3258" s="72"/>
    </row>
    <row r="3259">
      <c r="D3259" s="71"/>
      <c r="E3259" s="71"/>
      <c r="I3259" s="72"/>
      <c r="J3259" s="72"/>
      <c r="K3259" s="72"/>
      <c r="L3259" s="72"/>
    </row>
    <row r="3260">
      <c r="D3260" s="71"/>
      <c r="E3260" s="71"/>
      <c r="I3260" s="72"/>
      <c r="J3260" s="72"/>
      <c r="K3260" s="72"/>
      <c r="L3260" s="72"/>
    </row>
    <row r="3261">
      <c r="D3261" s="71"/>
      <c r="E3261" s="71"/>
      <c r="I3261" s="72"/>
      <c r="J3261" s="72"/>
      <c r="K3261" s="72"/>
      <c r="L3261" s="72"/>
    </row>
    <row r="3262">
      <c r="D3262" s="71"/>
      <c r="E3262" s="71"/>
      <c r="I3262" s="72"/>
      <c r="J3262" s="72"/>
      <c r="K3262" s="72"/>
      <c r="L3262" s="72"/>
    </row>
    <row r="3263">
      <c r="D3263" s="71"/>
      <c r="E3263" s="71"/>
      <c r="I3263" s="72"/>
      <c r="J3263" s="72"/>
      <c r="K3263" s="72"/>
      <c r="L3263" s="72"/>
    </row>
    <row r="3264">
      <c r="D3264" s="71"/>
      <c r="E3264" s="71"/>
      <c r="I3264" s="72"/>
      <c r="J3264" s="72"/>
      <c r="K3264" s="72"/>
      <c r="L3264" s="72"/>
    </row>
    <row r="3265">
      <c r="D3265" s="71"/>
      <c r="E3265" s="71"/>
      <c r="I3265" s="72"/>
      <c r="J3265" s="72"/>
      <c r="K3265" s="72"/>
      <c r="L3265" s="72"/>
    </row>
    <row r="3266">
      <c r="D3266" s="71"/>
      <c r="E3266" s="71"/>
      <c r="I3266" s="72"/>
      <c r="J3266" s="72"/>
      <c r="K3266" s="72"/>
      <c r="L3266" s="72"/>
    </row>
    <row r="3267">
      <c r="D3267" s="71"/>
      <c r="E3267" s="71"/>
      <c r="I3267" s="72"/>
      <c r="J3267" s="72"/>
      <c r="K3267" s="72"/>
      <c r="L3267" s="72"/>
    </row>
    <row r="3268">
      <c r="D3268" s="71"/>
      <c r="E3268" s="71"/>
      <c r="I3268" s="72"/>
      <c r="J3268" s="72"/>
      <c r="K3268" s="72"/>
      <c r="L3268" s="72"/>
    </row>
    <row r="3269">
      <c r="D3269" s="71"/>
      <c r="E3269" s="71"/>
      <c r="I3269" s="72"/>
      <c r="J3269" s="72"/>
      <c r="K3269" s="72"/>
      <c r="L3269" s="72"/>
    </row>
    <row r="3270">
      <c r="D3270" s="71"/>
      <c r="E3270" s="71"/>
      <c r="I3270" s="72"/>
      <c r="J3270" s="72"/>
      <c r="K3270" s="72"/>
      <c r="L3270" s="72"/>
    </row>
    <row r="3271">
      <c r="D3271" s="71"/>
      <c r="E3271" s="71"/>
      <c r="I3271" s="72"/>
      <c r="J3271" s="72"/>
      <c r="K3271" s="72"/>
      <c r="L3271" s="72"/>
    </row>
    <row r="3272">
      <c r="D3272" s="71"/>
      <c r="E3272" s="71"/>
      <c r="I3272" s="72"/>
      <c r="J3272" s="72"/>
      <c r="K3272" s="72"/>
      <c r="L3272" s="72"/>
    </row>
    <row r="3273">
      <c r="D3273" s="71"/>
      <c r="E3273" s="71"/>
      <c r="I3273" s="72"/>
      <c r="J3273" s="72"/>
      <c r="K3273" s="72"/>
      <c r="L3273" s="72"/>
    </row>
    <row r="3274">
      <c r="D3274" s="71"/>
      <c r="E3274" s="71"/>
      <c r="I3274" s="72"/>
      <c r="J3274" s="72"/>
      <c r="K3274" s="72"/>
      <c r="L3274" s="72"/>
    </row>
    <row r="3275">
      <c r="D3275" s="71"/>
      <c r="E3275" s="71"/>
      <c r="I3275" s="72"/>
      <c r="J3275" s="72"/>
      <c r="K3275" s="72"/>
      <c r="L3275" s="72"/>
    </row>
    <row r="3276">
      <c r="D3276" s="71"/>
      <c r="E3276" s="71"/>
      <c r="I3276" s="72"/>
      <c r="J3276" s="72"/>
      <c r="K3276" s="72"/>
      <c r="L3276" s="72"/>
    </row>
    <row r="3277">
      <c r="D3277" s="71"/>
      <c r="E3277" s="71"/>
      <c r="I3277" s="72"/>
      <c r="J3277" s="72"/>
      <c r="K3277" s="72"/>
      <c r="L3277" s="72"/>
    </row>
    <row r="3278">
      <c r="D3278" s="71"/>
      <c r="E3278" s="71"/>
      <c r="I3278" s="72"/>
      <c r="J3278" s="72"/>
      <c r="K3278" s="72"/>
      <c r="L3278" s="72"/>
    </row>
    <row r="3279">
      <c r="D3279" s="71"/>
      <c r="E3279" s="71"/>
      <c r="I3279" s="72"/>
      <c r="J3279" s="72"/>
      <c r="K3279" s="72"/>
      <c r="L3279" s="72"/>
    </row>
    <row r="3280">
      <c r="D3280" s="71"/>
      <c r="E3280" s="71"/>
      <c r="I3280" s="72"/>
      <c r="J3280" s="72"/>
      <c r="K3280" s="72"/>
      <c r="L3280" s="72"/>
    </row>
    <row r="3281">
      <c r="D3281" s="71"/>
      <c r="E3281" s="71"/>
      <c r="I3281" s="72"/>
      <c r="J3281" s="72"/>
      <c r="K3281" s="72"/>
      <c r="L3281" s="72"/>
    </row>
    <row r="3282">
      <c r="D3282" s="71"/>
      <c r="E3282" s="71"/>
      <c r="I3282" s="72"/>
      <c r="J3282" s="72"/>
      <c r="K3282" s="72"/>
      <c r="L3282" s="72"/>
    </row>
    <row r="3283">
      <c r="D3283" s="71"/>
      <c r="E3283" s="71"/>
      <c r="I3283" s="72"/>
      <c r="J3283" s="72"/>
      <c r="K3283" s="72"/>
      <c r="L3283" s="72"/>
    </row>
    <row r="3284">
      <c r="D3284" s="71"/>
      <c r="E3284" s="71"/>
      <c r="I3284" s="72"/>
      <c r="J3284" s="72"/>
      <c r="K3284" s="72"/>
      <c r="L3284" s="72"/>
    </row>
    <row r="3285">
      <c r="D3285" s="71"/>
      <c r="E3285" s="71"/>
      <c r="I3285" s="72"/>
      <c r="J3285" s="72"/>
      <c r="K3285" s="72"/>
      <c r="L3285" s="72"/>
    </row>
    <row r="3286">
      <c r="D3286" s="71"/>
      <c r="E3286" s="71"/>
      <c r="I3286" s="72"/>
      <c r="J3286" s="72"/>
      <c r="K3286" s="72"/>
      <c r="L3286" s="72"/>
    </row>
    <row r="3287">
      <c r="D3287" s="71"/>
      <c r="E3287" s="71"/>
      <c r="I3287" s="72"/>
      <c r="J3287" s="72"/>
      <c r="K3287" s="72"/>
      <c r="L3287" s="72"/>
    </row>
    <row r="3288">
      <c r="D3288" s="71"/>
      <c r="E3288" s="71"/>
      <c r="I3288" s="72"/>
      <c r="J3288" s="72"/>
      <c r="K3288" s="72"/>
      <c r="L3288" s="72"/>
    </row>
    <row r="3289">
      <c r="D3289" s="71"/>
      <c r="E3289" s="71"/>
      <c r="I3289" s="72"/>
      <c r="J3289" s="72"/>
      <c r="K3289" s="72"/>
      <c r="L3289" s="72"/>
    </row>
    <row r="3290">
      <c r="D3290" s="71"/>
      <c r="E3290" s="71"/>
      <c r="I3290" s="72"/>
      <c r="J3290" s="72"/>
      <c r="K3290" s="72"/>
      <c r="L3290" s="72"/>
    </row>
    <row r="3291">
      <c r="D3291" s="71"/>
      <c r="E3291" s="71"/>
      <c r="I3291" s="72"/>
      <c r="J3291" s="72"/>
      <c r="K3291" s="72"/>
      <c r="L3291" s="72"/>
    </row>
    <row r="3292">
      <c r="D3292" s="71"/>
      <c r="E3292" s="71"/>
      <c r="I3292" s="72"/>
      <c r="J3292" s="72"/>
      <c r="K3292" s="72"/>
      <c r="L3292" s="72"/>
    </row>
    <row r="3293">
      <c r="D3293" s="71"/>
      <c r="E3293" s="71"/>
      <c r="I3293" s="72"/>
      <c r="J3293" s="72"/>
      <c r="K3293" s="72"/>
      <c r="L3293" s="72"/>
    </row>
    <row r="3294">
      <c r="D3294" s="71"/>
      <c r="E3294" s="71"/>
      <c r="I3294" s="72"/>
      <c r="J3294" s="72"/>
      <c r="K3294" s="72"/>
      <c r="L3294" s="72"/>
    </row>
    <row r="3295">
      <c r="D3295" s="71"/>
      <c r="E3295" s="71"/>
      <c r="I3295" s="72"/>
      <c r="J3295" s="72"/>
      <c r="K3295" s="72"/>
      <c r="L3295" s="72"/>
    </row>
    <row r="3296">
      <c r="D3296" s="71"/>
      <c r="E3296" s="71"/>
      <c r="I3296" s="72"/>
      <c r="J3296" s="72"/>
      <c r="K3296" s="72"/>
      <c r="L3296" s="72"/>
    </row>
    <row r="3297">
      <c r="D3297" s="71"/>
      <c r="E3297" s="71"/>
      <c r="I3297" s="72"/>
      <c r="J3297" s="72"/>
      <c r="K3297" s="72"/>
      <c r="L3297" s="72"/>
    </row>
    <row r="3298">
      <c r="D3298" s="71"/>
      <c r="E3298" s="71"/>
      <c r="I3298" s="72"/>
      <c r="J3298" s="72"/>
      <c r="K3298" s="72"/>
      <c r="L3298" s="72"/>
    </row>
    <row r="3299">
      <c r="D3299" s="71"/>
      <c r="E3299" s="71"/>
      <c r="I3299" s="72"/>
      <c r="J3299" s="72"/>
      <c r="K3299" s="72"/>
      <c r="L3299" s="72"/>
    </row>
    <row r="3300">
      <c r="D3300" s="71"/>
      <c r="E3300" s="71"/>
      <c r="I3300" s="72"/>
      <c r="J3300" s="72"/>
      <c r="K3300" s="72"/>
      <c r="L3300" s="72"/>
    </row>
    <row r="3301">
      <c r="D3301" s="71"/>
      <c r="E3301" s="71"/>
      <c r="I3301" s="72"/>
      <c r="J3301" s="72"/>
      <c r="K3301" s="72"/>
      <c r="L3301" s="72"/>
    </row>
    <row r="3302">
      <c r="D3302" s="71"/>
      <c r="E3302" s="71"/>
      <c r="I3302" s="72"/>
      <c r="J3302" s="72"/>
      <c r="K3302" s="72"/>
      <c r="L3302" s="72"/>
    </row>
    <row r="3303">
      <c r="D3303" s="71"/>
      <c r="E3303" s="71"/>
      <c r="I3303" s="72"/>
      <c r="J3303" s="72"/>
      <c r="K3303" s="72"/>
      <c r="L3303" s="72"/>
    </row>
    <row r="3304">
      <c r="D3304" s="71"/>
      <c r="E3304" s="71"/>
      <c r="I3304" s="72"/>
      <c r="J3304" s="72"/>
      <c r="K3304" s="72"/>
      <c r="L3304" s="72"/>
    </row>
    <row r="3305">
      <c r="D3305" s="71"/>
      <c r="E3305" s="71"/>
      <c r="I3305" s="72"/>
      <c r="J3305" s="72"/>
      <c r="K3305" s="72"/>
      <c r="L3305" s="72"/>
    </row>
    <row r="3306">
      <c r="D3306" s="71"/>
      <c r="E3306" s="71"/>
      <c r="I3306" s="72"/>
      <c r="J3306" s="72"/>
      <c r="K3306" s="72"/>
      <c r="L3306" s="72"/>
    </row>
    <row r="3307">
      <c r="D3307" s="71"/>
      <c r="E3307" s="71"/>
      <c r="I3307" s="72"/>
      <c r="J3307" s="72"/>
      <c r="K3307" s="72"/>
      <c r="L3307" s="72"/>
    </row>
    <row r="3308">
      <c r="D3308" s="71"/>
      <c r="E3308" s="71"/>
      <c r="I3308" s="72"/>
      <c r="J3308" s="72"/>
      <c r="K3308" s="72"/>
      <c r="L3308" s="72"/>
    </row>
    <row r="3309">
      <c r="D3309" s="71"/>
      <c r="E3309" s="71"/>
      <c r="I3309" s="72"/>
      <c r="J3309" s="72"/>
      <c r="K3309" s="72"/>
      <c r="L3309" s="72"/>
    </row>
    <row r="3310">
      <c r="D3310" s="71"/>
      <c r="E3310" s="71"/>
      <c r="I3310" s="72"/>
      <c r="J3310" s="72"/>
      <c r="K3310" s="72"/>
      <c r="L3310" s="72"/>
    </row>
    <row r="3311">
      <c r="D3311" s="71"/>
      <c r="E3311" s="71"/>
      <c r="I3311" s="72"/>
      <c r="J3311" s="72"/>
      <c r="K3311" s="72"/>
      <c r="L3311" s="72"/>
    </row>
    <row r="3312">
      <c r="D3312" s="71"/>
      <c r="E3312" s="71"/>
      <c r="I3312" s="72"/>
      <c r="J3312" s="72"/>
      <c r="K3312" s="72"/>
      <c r="L3312" s="72"/>
    </row>
    <row r="3313">
      <c r="D3313" s="71"/>
      <c r="E3313" s="71"/>
      <c r="I3313" s="72"/>
      <c r="J3313" s="72"/>
      <c r="K3313" s="72"/>
      <c r="L3313" s="72"/>
    </row>
    <row r="3314">
      <c r="D3314" s="71"/>
      <c r="E3314" s="71"/>
      <c r="I3314" s="72"/>
      <c r="J3314" s="72"/>
      <c r="K3314" s="72"/>
      <c r="L3314" s="72"/>
    </row>
    <row r="3315">
      <c r="D3315" s="71"/>
      <c r="E3315" s="71"/>
      <c r="I3315" s="72"/>
      <c r="J3315" s="72"/>
      <c r="K3315" s="72"/>
      <c r="L3315" s="72"/>
    </row>
    <row r="3316">
      <c r="D3316" s="71"/>
      <c r="E3316" s="71"/>
      <c r="I3316" s="72"/>
      <c r="J3316" s="72"/>
      <c r="K3316" s="72"/>
      <c r="L3316" s="72"/>
    </row>
    <row r="3317">
      <c r="D3317" s="71"/>
      <c r="E3317" s="71"/>
      <c r="I3317" s="72"/>
      <c r="J3317" s="72"/>
      <c r="K3317" s="72"/>
      <c r="L3317" s="72"/>
    </row>
    <row r="3318">
      <c r="D3318" s="71"/>
      <c r="E3318" s="71"/>
      <c r="I3318" s="72"/>
      <c r="J3318" s="72"/>
      <c r="K3318" s="72"/>
      <c r="L3318" s="72"/>
    </row>
    <row r="3319">
      <c r="D3319" s="71"/>
      <c r="E3319" s="71"/>
      <c r="I3319" s="72"/>
      <c r="J3319" s="72"/>
      <c r="K3319" s="72"/>
      <c r="L3319" s="72"/>
    </row>
    <row r="3320">
      <c r="D3320" s="71"/>
      <c r="E3320" s="71"/>
      <c r="I3320" s="72"/>
      <c r="J3320" s="72"/>
      <c r="K3320" s="72"/>
      <c r="L3320" s="72"/>
    </row>
    <row r="3321">
      <c r="D3321" s="71"/>
      <c r="E3321" s="71"/>
      <c r="I3321" s="72"/>
      <c r="J3321" s="72"/>
      <c r="K3321" s="72"/>
      <c r="L3321" s="72"/>
    </row>
    <row r="3322">
      <c r="D3322" s="71"/>
      <c r="E3322" s="71"/>
      <c r="I3322" s="72"/>
      <c r="J3322" s="72"/>
      <c r="K3322" s="72"/>
      <c r="L3322" s="72"/>
    </row>
    <row r="3323">
      <c r="D3323" s="71"/>
      <c r="E3323" s="71"/>
      <c r="I3323" s="72"/>
      <c r="J3323" s="72"/>
      <c r="K3323" s="72"/>
      <c r="L3323" s="72"/>
    </row>
    <row r="3324">
      <c r="D3324" s="71"/>
      <c r="E3324" s="71"/>
      <c r="I3324" s="72"/>
      <c r="J3324" s="72"/>
      <c r="K3324" s="72"/>
      <c r="L3324" s="72"/>
    </row>
    <row r="3325">
      <c r="D3325" s="71"/>
      <c r="E3325" s="71"/>
      <c r="I3325" s="72"/>
      <c r="J3325" s="72"/>
      <c r="K3325" s="72"/>
      <c r="L3325" s="72"/>
    </row>
    <row r="3326">
      <c r="D3326" s="71"/>
      <c r="E3326" s="71"/>
      <c r="I3326" s="72"/>
      <c r="J3326" s="72"/>
      <c r="K3326" s="72"/>
      <c r="L3326" s="72"/>
    </row>
    <row r="3327">
      <c r="D3327" s="71"/>
      <c r="E3327" s="71"/>
      <c r="I3327" s="72"/>
      <c r="J3327" s="72"/>
      <c r="K3327" s="72"/>
      <c r="L3327" s="72"/>
    </row>
    <row r="3328">
      <c r="D3328" s="71"/>
      <c r="E3328" s="71"/>
      <c r="I3328" s="72"/>
      <c r="J3328" s="72"/>
      <c r="K3328" s="72"/>
      <c r="L3328" s="72"/>
    </row>
    <row r="3329">
      <c r="D3329" s="71"/>
      <c r="E3329" s="71"/>
      <c r="I3329" s="72"/>
      <c r="J3329" s="72"/>
      <c r="K3329" s="72"/>
      <c r="L3329" s="72"/>
    </row>
    <row r="3330">
      <c r="D3330" s="71"/>
      <c r="E3330" s="71"/>
      <c r="I3330" s="72"/>
      <c r="J3330" s="72"/>
      <c r="K3330" s="72"/>
      <c r="L3330" s="72"/>
    </row>
    <row r="3331">
      <c r="D3331" s="71"/>
      <c r="E3331" s="71"/>
      <c r="I3331" s="72"/>
      <c r="J3331" s="72"/>
      <c r="K3331" s="72"/>
      <c r="L3331" s="72"/>
    </row>
    <row r="3332">
      <c r="D3332" s="71"/>
      <c r="E3332" s="71"/>
      <c r="I3332" s="72"/>
      <c r="J3332" s="72"/>
      <c r="K3332" s="72"/>
      <c r="L3332" s="72"/>
    </row>
    <row r="3333">
      <c r="D3333" s="71"/>
      <c r="E3333" s="71"/>
      <c r="I3333" s="72"/>
      <c r="J3333" s="72"/>
      <c r="K3333" s="72"/>
      <c r="L3333" s="72"/>
    </row>
    <row r="3334">
      <c r="D3334" s="71"/>
      <c r="E3334" s="71"/>
      <c r="I3334" s="72"/>
      <c r="J3334" s="72"/>
      <c r="K3334" s="72"/>
      <c r="L3334" s="72"/>
    </row>
    <row r="3335">
      <c r="D3335" s="71"/>
      <c r="E3335" s="71"/>
      <c r="I3335" s="72"/>
      <c r="J3335" s="72"/>
      <c r="K3335" s="72"/>
      <c r="L3335" s="72"/>
    </row>
    <row r="3336">
      <c r="D3336" s="71"/>
      <c r="E3336" s="71"/>
      <c r="I3336" s="72"/>
      <c r="J3336" s="72"/>
      <c r="K3336" s="72"/>
      <c r="L3336" s="72"/>
    </row>
    <row r="3337">
      <c r="D3337" s="71"/>
      <c r="E3337" s="71"/>
      <c r="I3337" s="72"/>
      <c r="J3337" s="72"/>
      <c r="K3337" s="72"/>
      <c r="L3337" s="72"/>
    </row>
    <row r="3338">
      <c r="D3338" s="71"/>
      <c r="E3338" s="71"/>
      <c r="I3338" s="72"/>
      <c r="J3338" s="72"/>
      <c r="K3338" s="72"/>
      <c r="L3338" s="72"/>
    </row>
    <row r="3339">
      <c r="D3339" s="71"/>
      <c r="E3339" s="71"/>
      <c r="I3339" s="72"/>
      <c r="J3339" s="72"/>
      <c r="K3339" s="72"/>
      <c r="L3339" s="72"/>
    </row>
    <row r="3340">
      <c r="D3340" s="71"/>
      <c r="E3340" s="71"/>
      <c r="I3340" s="72"/>
      <c r="J3340" s="72"/>
      <c r="K3340" s="72"/>
      <c r="L3340" s="72"/>
    </row>
    <row r="3341">
      <c r="D3341" s="71"/>
      <c r="E3341" s="71"/>
      <c r="I3341" s="72"/>
      <c r="J3341" s="72"/>
      <c r="K3341" s="72"/>
      <c r="L3341" s="72"/>
    </row>
    <row r="3342">
      <c r="D3342" s="71"/>
      <c r="E3342" s="71"/>
      <c r="I3342" s="72"/>
      <c r="J3342" s="72"/>
      <c r="K3342" s="72"/>
      <c r="L3342" s="72"/>
    </row>
    <row r="3343">
      <c r="D3343" s="71"/>
      <c r="E3343" s="71"/>
      <c r="I3343" s="72"/>
      <c r="J3343" s="72"/>
      <c r="K3343" s="72"/>
      <c r="L3343" s="72"/>
    </row>
    <row r="3344">
      <c r="D3344" s="71"/>
      <c r="E3344" s="71"/>
      <c r="I3344" s="72"/>
      <c r="J3344" s="72"/>
      <c r="K3344" s="72"/>
      <c r="L3344" s="72"/>
    </row>
    <row r="3345">
      <c r="D3345" s="71"/>
      <c r="E3345" s="71"/>
      <c r="I3345" s="72"/>
      <c r="J3345" s="72"/>
      <c r="K3345" s="72"/>
      <c r="L3345" s="72"/>
    </row>
    <row r="3346">
      <c r="D3346" s="71"/>
      <c r="E3346" s="71"/>
      <c r="I3346" s="72"/>
      <c r="J3346" s="72"/>
      <c r="K3346" s="72"/>
      <c r="L3346" s="72"/>
    </row>
    <row r="3347">
      <c r="D3347" s="71"/>
      <c r="E3347" s="71"/>
      <c r="I3347" s="72"/>
      <c r="J3347" s="72"/>
      <c r="K3347" s="72"/>
      <c r="L3347" s="72"/>
    </row>
    <row r="3348">
      <c r="D3348" s="71"/>
      <c r="E3348" s="71"/>
      <c r="I3348" s="72"/>
      <c r="J3348" s="72"/>
      <c r="K3348" s="72"/>
      <c r="L3348" s="72"/>
    </row>
    <row r="3349">
      <c r="D3349" s="71"/>
      <c r="E3349" s="71"/>
      <c r="I3349" s="72"/>
      <c r="J3349" s="72"/>
      <c r="K3349" s="72"/>
      <c r="L3349" s="72"/>
    </row>
    <row r="3350">
      <c r="D3350" s="71"/>
      <c r="E3350" s="71"/>
      <c r="I3350" s="72"/>
      <c r="J3350" s="72"/>
      <c r="K3350" s="72"/>
      <c r="L3350" s="72"/>
    </row>
    <row r="3351">
      <c r="D3351" s="71"/>
      <c r="E3351" s="71"/>
      <c r="I3351" s="72"/>
      <c r="J3351" s="72"/>
      <c r="K3351" s="72"/>
      <c r="L3351" s="72"/>
    </row>
    <row r="3352">
      <c r="D3352" s="71"/>
      <c r="E3352" s="71"/>
      <c r="I3352" s="72"/>
      <c r="J3352" s="72"/>
      <c r="K3352" s="72"/>
      <c r="L3352" s="72"/>
    </row>
    <row r="3353">
      <c r="D3353" s="71"/>
      <c r="E3353" s="71"/>
      <c r="I3353" s="72"/>
      <c r="J3353" s="72"/>
      <c r="K3353" s="72"/>
      <c r="L3353" s="72"/>
    </row>
    <row r="3354">
      <c r="D3354" s="71"/>
      <c r="E3354" s="71"/>
      <c r="I3354" s="72"/>
      <c r="J3354" s="72"/>
      <c r="K3354" s="72"/>
      <c r="L3354" s="72"/>
    </row>
    <row r="3355">
      <c r="D3355" s="71"/>
      <c r="E3355" s="71"/>
      <c r="I3355" s="72"/>
      <c r="J3355" s="72"/>
      <c r="K3355" s="72"/>
      <c r="L3355" s="72"/>
    </row>
    <row r="3356">
      <c r="D3356" s="71"/>
      <c r="E3356" s="71"/>
      <c r="I3356" s="72"/>
      <c r="J3356" s="72"/>
      <c r="K3356" s="72"/>
      <c r="L3356" s="72"/>
    </row>
    <row r="3357">
      <c r="D3357" s="71"/>
      <c r="E3357" s="71"/>
      <c r="I3357" s="72"/>
      <c r="J3357" s="72"/>
      <c r="K3357" s="72"/>
      <c r="L3357" s="72"/>
    </row>
    <row r="3358">
      <c r="D3358" s="71"/>
      <c r="E3358" s="71"/>
      <c r="I3358" s="72"/>
      <c r="J3358" s="72"/>
      <c r="K3358" s="72"/>
      <c r="L3358" s="72"/>
    </row>
    <row r="3359">
      <c r="D3359" s="71"/>
      <c r="E3359" s="71"/>
      <c r="I3359" s="72"/>
      <c r="J3359" s="72"/>
      <c r="K3359" s="72"/>
      <c r="L3359" s="72"/>
    </row>
    <row r="3360">
      <c r="D3360" s="71"/>
      <c r="E3360" s="71"/>
      <c r="I3360" s="72"/>
      <c r="J3360" s="72"/>
      <c r="K3360" s="72"/>
      <c r="L3360" s="72"/>
    </row>
    <row r="3361">
      <c r="D3361" s="71"/>
      <c r="E3361" s="71"/>
      <c r="I3361" s="72"/>
      <c r="J3361" s="72"/>
      <c r="K3361" s="72"/>
      <c r="L3361" s="72"/>
    </row>
    <row r="3362">
      <c r="D3362" s="71"/>
      <c r="E3362" s="71"/>
      <c r="I3362" s="72"/>
      <c r="J3362" s="72"/>
      <c r="K3362" s="72"/>
      <c r="L3362" s="72"/>
    </row>
    <row r="3363">
      <c r="D3363" s="71"/>
      <c r="E3363" s="71"/>
      <c r="I3363" s="72"/>
      <c r="J3363" s="72"/>
      <c r="K3363" s="72"/>
      <c r="L3363" s="72"/>
    </row>
    <row r="3364">
      <c r="D3364" s="71"/>
      <c r="E3364" s="71"/>
      <c r="I3364" s="72"/>
      <c r="J3364" s="72"/>
      <c r="K3364" s="72"/>
      <c r="L3364" s="72"/>
    </row>
    <row r="3365">
      <c r="D3365" s="71"/>
      <c r="E3365" s="71"/>
      <c r="I3365" s="72"/>
      <c r="J3365" s="72"/>
      <c r="K3365" s="72"/>
      <c r="L3365" s="72"/>
    </row>
    <row r="3366">
      <c r="D3366" s="71"/>
      <c r="E3366" s="71"/>
      <c r="I3366" s="72"/>
      <c r="J3366" s="72"/>
      <c r="K3366" s="72"/>
      <c r="L3366" s="72"/>
    </row>
    <row r="3367">
      <c r="D3367" s="71"/>
      <c r="E3367" s="71"/>
      <c r="I3367" s="72"/>
      <c r="J3367" s="72"/>
      <c r="K3367" s="72"/>
      <c r="L3367" s="72"/>
    </row>
    <row r="3368">
      <c r="D3368" s="71"/>
      <c r="E3368" s="71"/>
      <c r="I3368" s="72"/>
      <c r="J3368" s="72"/>
      <c r="K3368" s="72"/>
      <c r="L3368" s="72"/>
    </row>
    <row r="3369">
      <c r="D3369" s="71"/>
      <c r="E3369" s="71"/>
      <c r="I3369" s="72"/>
      <c r="J3369" s="72"/>
      <c r="K3369" s="72"/>
      <c r="L3369" s="72"/>
    </row>
    <row r="3370">
      <c r="D3370" s="71"/>
      <c r="E3370" s="71"/>
      <c r="I3370" s="72"/>
      <c r="J3370" s="72"/>
      <c r="K3370" s="72"/>
      <c r="L3370" s="72"/>
    </row>
    <row r="3371">
      <c r="D3371" s="71"/>
      <c r="E3371" s="71"/>
      <c r="I3371" s="72"/>
      <c r="J3371" s="72"/>
      <c r="K3371" s="72"/>
      <c r="L3371" s="72"/>
    </row>
    <row r="3372">
      <c r="D3372" s="71"/>
      <c r="E3372" s="71"/>
      <c r="I3372" s="72"/>
      <c r="J3372" s="72"/>
      <c r="K3372" s="72"/>
      <c r="L3372" s="72"/>
    </row>
    <row r="3373">
      <c r="D3373" s="71"/>
      <c r="E3373" s="71"/>
      <c r="I3373" s="72"/>
      <c r="J3373" s="72"/>
      <c r="K3373" s="72"/>
      <c r="L3373" s="7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IFERROR(__xludf.DUMMYFUNCTION("IMPORTRANGE(""https://docs.google.com/spreadsheets/d/1NAdqkepluEyXt67utkp6x8ulEbXHbiEPZ-FXmT0MsGQ/edit?gid=0#gid=0"",""Tractor Monitoring!A:AB"")"),"")</f>
        <v/>
      </c>
      <c r="B1" s="2"/>
      <c r="C1" s="2"/>
      <c r="D1" s="2"/>
      <c r="E1" s="2"/>
      <c r="F1" s="2"/>
      <c r="G1" s="2"/>
      <c r="H1" s="2"/>
      <c r="I1" s="2"/>
      <c r="J1" s="2"/>
      <c r="K1" s="2"/>
      <c r="L1" s="2"/>
      <c r="M1" s="2"/>
      <c r="N1" s="2"/>
      <c r="O1" s="2"/>
      <c r="P1" s="2"/>
      <c r="Q1" s="2" t="str">
        <f>IFERROR(__xludf.DUMMYFUNCTION("""COMPUTED_VALUE"""),"`")</f>
        <v>`</v>
      </c>
      <c r="R1" s="2"/>
      <c r="S1" s="2" t="str">
        <f>IFERROR(__xludf.DUMMYFUNCTION("""COMPUTED_VALUE"""),"Front Loader")</f>
        <v>Front Loader</v>
      </c>
      <c r="T1" s="2" t="str">
        <f>IFERROR(__xludf.DUMMYFUNCTION("""COMPUTED_VALUE"""),"Rotary Tiller")</f>
        <v>Rotary Tiller</v>
      </c>
      <c r="U1" s="2" t="str">
        <f>IFERROR(__xludf.DUMMYFUNCTION("""COMPUTED_VALUE"""),"Rotating Disc Plow")</f>
        <v>Rotating Disc Plow</v>
      </c>
      <c r="V1" s="2"/>
      <c r="W1" s="2"/>
      <c r="X1" s="2" t="str">
        <f>IFERROR(__xludf.DUMMYFUNCTION("""COMPUTED_VALUE"""),"TANOD TRACKTOR DETAILS")</f>
        <v>TANOD TRACKTOR DETAILS</v>
      </c>
      <c r="Y1" s="2"/>
      <c r="Z1" s="2"/>
      <c r="AA1" s="2"/>
      <c r="AB1" s="2"/>
    </row>
    <row r="2">
      <c r="A2" s="2" t="str">
        <f>IFERROR(__xludf.DUMMYFUNCTION("""COMPUTED_VALUE"""),"ID")</f>
        <v>ID</v>
      </c>
      <c r="B2" s="2" t="str">
        <f>IFERROR(__xludf.DUMMYFUNCTION("""COMPUTED_VALUE"""),"Status")</f>
        <v>Status</v>
      </c>
      <c r="C2" s="2"/>
      <c r="D2" s="2" t="str">
        <f>IFERROR(__xludf.DUMMYFUNCTION("""COMPUTED_VALUE"""),"Recipient")</f>
        <v>Recipient</v>
      </c>
      <c r="E2" s="2" t="str">
        <f>IFERROR(__xludf.DUMMYFUNCTION("""COMPUTED_VALUE"""),"Address")</f>
        <v>Address</v>
      </c>
      <c r="F2" s="2" t="str">
        <f>IFERROR(__xludf.DUMMYFUNCTION("""COMPUTED_VALUE"""),"Contact Person")</f>
        <v>Contact Person</v>
      </c>
      <c r="G2" s="2" t="str">
        <f>IFERROR(__xludf.DUMMYFUNCTION("""COMPUTED_VALUE"""),"Contact Number")</f>
        <v>Contact Number</v>
      </c>
      <c r="H2" s="2" t="str">
        <f>IFERROR(__xludf.DUMMYFUNCTION("""COMPUTED_VALUE"""),"Email address")</f>
        <v>Email address</v>
      </c>
      <c r="I2" s="2"/>
      <c r="J2" s="2" t="str">
        <f>IFERROR(__xludf.DUMMYFUNCTION("""COMPUTED_VALUE"""),"PENDINGS")</f>
        <v>PENDINGS</v>
      </c>
      <c r="K2" s="2" t="str">
        <f>IFERROR(__xludf.DUMMYFUNCTION("""COMPUTED_VALUE"""),"Project")</f>
        <v>Project</v>
      </c>
      <c r="L2" s="2" t="str">
        <f>IFERROR(__xludf.DUMMYFUNCTION("""COMPUTED_VALUE"""),"Lot no.")</f>
        <v>Lot no.</v>
      </c>
      <c r="M2" s="2" t="str">
        <f>IFERROR(__xludf.DUMMYFUNCTION("""COMPUTED_VALUE"""),"Region")</f>
        <v>Region</v>
      </c>
      <c r="N2" s="74" t="str">
        <f>IFERROR(__xludf.DUMMYFUNCTION("""COMPUTED_VALUE"""),"DR Date")</f>
        <v>DR Date</v>
      </c>
      <c r="O2" s="74" t="str">
        <f>IFERROR(__xludf.DUMMYFUNCTION("""COMPUTED_VALUE"""),"Actual Delivery Date")</f>
        <v>Actual Delivery Date</v>
      </c>
      <c r="P2" s="2" t="str">
        <f>IFERROR(__xludf.DUMMYFUNCTION("""COMPUTED_VALUE"""),"DR NO.")</f>
        <v>DR NO.</v>
      </c>
      <c r="Q2" s="2" t="str">
        <f>IFERROR(__xludf.DUMMYFUNCTION("""COMPUTED_VALUE"""),"Number Plate")</f>
        <v>Number Plate</v>
      </c>
      <c r="R2" s="2" t="str">
        <f>IFERROR(__xludf.DUMMYFUNCTION("""COMPUTED_VALUE"""),"Engine Number")</f>
        <v>Engine Number</v>
      </c>
      <c r="S2" s="2" t="str">
        <f>IFERROR(__xludf.DUMMYFUNCTION("""COMPUTED_VALUE"""),"Serial Number")</f>
        <v>Serial Number</v>
      </c>
      <c r="T2" s="2" t="str">
        <f>IFERROR(__xludf.DUMMYFUNCTION("""COMPUTED_VALUE"""),"Serial Number")</f>
        <v>Serial Number</v>
      </c>
      <c r="U2" s="2" t="str">
        <f>IFERROR(__xludf.DUMMYFUNCTION("""COMPUTED_VALUE"""),"Serial Number")</f>
        <v>Serial Number</v>
      </c>
      <c r="V2" s="2" t="str">
        <f>IFERROR(__xludf.DUMMYFUNCTION("""COMPUTED_VALUE"""),"GPS STATUS")</f>
        <v>GPS STATUS</v>
      </c>
      <c r="W2" s="2" t="str">
        <f>IFERROR(__xludf.DUMMYFUNCTION("""COMPUTED_VALUE"""),"DEVICE MODEL")</f>
        <v>DEVICE MODEL</v>
      </c>
      <c r="X2" s="2" t="str">
        <f>IFERROR(__xludf.DUMMYFUNCTION("""COMPUTED_VALUE"""),"IMEI")</f>
        <v>IMEI</v>
      </c>
      <c r="Y2" s="2" t="str">
        <f>IFERROR(__xludf.DUMMYFUNCTION("""COMPUTED_VALUE"""),"Sim Card Number")</f>
        <v>Sim Card Number</v>
      </c>
      <c r="Z2" s="3" t="str">
        <f>IFERROR(__xludf.DUMMYFUNCTION("""COMPUTED_VALUE"""),"Sim Card ICCID")</f>
        <v>Sim Card ICCID</v>
      </c>
      <c r="AA2" s="3" t="str">
        <f>IFERROR(__xludf.DUMMYFUNCTION("""COMPUTED_VALUE"""),"Sim Registration Code")</f>
        <v>Sim Registration Code</v>
      </c>
      <c r="AB2" s="2" t="str">
        <f>IFERROR(__xludf.DUMMYFUNCTION("""COMPUTED_VALUE"""),"TSP login")</f>
        <v>TSP login</v>
      </c>
    </row>
    <row r="3">
      <c r="A3" s="2" t="str">
        <f>IFERROR(__xludf.DUMMYFUNCTION("""COMPUTED_VALUE"""),"TT00001")</f>
        <v>TT00001</v>
      </c>
      <c r="B3" s="2" t="str">
        <f>IFERROR(__xludf.DUMMYFUNCTION("""COMPUTED_VALUE"""),"Completed")</f>
        <v>Completed</v>
      </c>
      <c r="C3" s="2" t="str">
        <f>IFERROR(__xludf.DUMMYFUNCTION("""COMPUTED_VALUE"""),"Billed L1")</f>
        <v>Billed L1</v>
      </c>
      <c r="D3" s="2" t="str">
        <f>IFERROR(__xludf.DUMMYFUNCTION("""COMPUTED_VALUE"""),"TUBUAN-TANZA IRRIGATORS ASSOCIATION, INC.")</f>
        <v>TUBUAN-TANZA IRRIGATORS ASSOCIATION, INC.</v>
      </c>
      <c r="E3" s="2" t="str">
        <f>IFERROR(__xludf.DUMMYFUNCTION("""COMPUTED_VALUE"""),"TUBUAN, PILA, LAGUNA")</f>
        <v>TUBUAN, PILA, LAGUNA</v>
      </c>
      <c r="F3" s="2" t="str">
        <f>IFERROR(__xludf.DUMMYFUNCTION("""COMPUTED_VALUE"""),"Virgilio Cortes")</f>
        <v>Virgilio Cortes</v>
      </c>
      <c r="G3" s="2" t="str">
        <f>IFERROR(__xludf.DUMMYFUNCTION("""COMPUTED_VALUE"""),"0935 4386 214")</f>
        <v>0935 4386 214</v>
      </c>
      <c r="H3" s="2" t="str">
        <f>IFERROR(__xludf.DUMMYFUNCTION("""COMPUTED_VALUE"""),"tubuantanza_laguna@tutamail.com")</f>
        <v>tubuantanza_laguna@tutamail.com</v>
      </c>
      <c r="I3" s="2"/>
      <c r="J3" s="2"/>
      <c r="K3" s="2" t="str">
        <f>IFERROR(__xludf.DUMMYFUNCTION("""COMPUTED_VALUE"""),"RCEF 23-08-20 Rebidding")</f>
        <v>RCEF 23-08-20 Rebidding</v>
      </c>
      <c r="L3" s="2">
        <f>IFERROR(__xludf.DUMMYFUNCTION("""COMPUTED_VALUE"""),1.0)</f>
        <v>1</v>
      </c>
      <c r="M3" s="2" t="str">
        <f>IFERROR(__xludf.DUMMYFUNCTION("""COMPUTED_VALUE"""),"4A")</f>
        <v>4A</v>
      </c>
      <c r="N3" s="74">
        <f>IFERROR(__xludf.DUMMYFUNCTION("""COMPUTED_VALUE"""),45226.0)</f>
        <v>45226</v>
      </c>
      <c r="O3" s="74">
        <f>IFERROR(__xludf.DUMMYFUNCTION("""COMPUTED_VALUE"""),45234.0)</f>
        <v>45234</v>
      </c>
      <c r="P3" s="2">
        <f>IFERROR(__xludf.DUMMYFUNCTION("""COMPUTED_VALUE"""),16766.0)</f>
        <v>16766</v>
      </c>
      <c r="Q3" s="2" t="str">
        <f>IFERROR(__xludf.DUMMYFUNCTION("""COMPUTED_VALUE"""),"KMC5825AAPFPV0036")</f>
        <v>KMC5825AAPFPV0036</v>
      </c>
      <c r="R3" s="2" t="str">
        <f>IFERROR(__xludf.DUMMYFUNCTION("""COMPUTED_VALUE"""),"PTS100033")</f>
        <v>PTS100033</v>
      </c>
      <c r="S3" s="2" t="str">
        <f>IFERROR(__xludf.DUMMYFUNCTION("""COMPUTED_VALUE"""),"R-SERIES 001 PH")</f>
        <v>R-SERIES 001 PH</v>
      </c>
      <c r="T3" s="2" t="str">
        <f>IFERROR(__xludf.DUMMYFUNCTION("""COMPUTED_VALUE"""),"WR LSGW 0001")</f>
        <v>WR LSGW 0001</v>
      </c>
      <c r="U3" s="2" t="str">
        <f>IFERROR(__xludf.DUMMYFUNCTION("""COMPUTED_VALUE"""),"WR WDP 0001")</f>
        <v>WR WDP 0001</v>
      </c>
      <c r="V3" s="2" t="str">
        <f>IFERROR(__xludf.DUMMYFUNCTION("""COMPUTED_VALUE"""),"good")</f>
        <v>good</v>
      </c>
      <c r="W3" s="2" t="str">
        <f>IFERROR(__xludf.DUMMYFUNCTION("""COMPUTED_VALUE"""),"VL103D")</f>
        <v>VL103D</v>
      </c>
      <c r="X3" s="2" t="str">
        <f>IFERROR(__xludf.DUMMYFUNCTION("""COMPUTED_VALUE"""),"8690660600245363")</f>
        <v>8690660600245363</v>
      </c>
      <c r="Y3" s="2">
        <f>IFERROR(__xludf.DUMMYFUNCTION("""COMPUTED_VALUE"""),9.624244958E9)</f>
        <v>9624244958</v>
      </c>
      <c r="Z3" s="3" t="str">
        <f>IFERROR(__xludf.DUMMYFUNCTION("""COMPUTED_VALUE"""),"0323202006930804")</f>
        <v>0323202006930804</v>
      </c>
      <c r="AA3" s="2"/>
      <c r="AB3" s="2" t="str">
        <f>IFERROR(__xludf.DUMMYFUNCTION("""COMPUTED_VALUE"""),"ttanzapila")</f>
        <v>ttanzapila</v>
      </c>
    </row>
    <row r="4">
      <c r="A4" s="2" t="str">
        <f>IFERROR(__xludf.DUMMYFUNCTION("""COMPUTED_VALUE"""),"TT00002")</f>
        <v>TT00002</v>
      </c>
      <c r="B4" s="2" t="str">
        <f>IFERROR(__xludf.DUMMYFUNCTION("""COMPUTED_VALUE"""),"Completed")</f>
        <v>Completed</v>
      </c>
      <c r="C4" s="2" t="str">
        <f>IFERROR(__xludf.DUMMYFUNCTION("""COMPUTED_VALUE"""),"Billed L1")</f>
        <v>Billed L1</v>
      </c>
      <c r="D4" s="2" t="str">
        <f>IFERROR(__xludf.DUMMYFUNCTION("""COMPUTED_VALUE"""),"STO. DOMINGO-MAITIM IRRIGATORS ASSOCIATION, INC.")</f>
        <v>STO. DOMINGO-MAITIM IRRIGATORS ASSOCIATION, INC.</v>
      </c>
      <c r="E4" s="2" t="str">
        <f>IFERROR(__xludf.DUMMYFUNCTION("""COMPUTED_VALUE"""),"MAITIM, BAY, LAGUNA")</f>
        <v>MAITIM, BAY, LAGUNA</v>
      </c>
      <c r="F4" s="2" t="str">
        <f>IFERROR(__xludf.DUMMYFUNCTION("""COMPUTED_VALUE"""),"Andres Batitis")</f>
        <v>Andres Batitis</v>
      </c>
      <c r="G4" s="2" t="str">
        <f>IFERROR(__xludf.DUMMYFUNCTION("""COMPUTED_VALUE"""),"0938 017 9333")</f>
        <v>0938 017 9333</v>
      </c>
      <c r="H4" s="2" t="str">
        <f>IFERROR(__xludf.DUMMYFUNCTION("""COMPUTED_VALUE"""),"stodomingo_laguna@tutamail.com")</f>
        <v>stodomingo_laguna@tutamail.com</v>
      </c>
      <c r="I4" s="2"/>
      <c r="J4" s="2"/>
      <c r="K4" s="2" t="str">
        <f>IFERROR(__xludf.DUMMYFUNCTION("""COMPUTED_VALUE"""),"RCEF 23-08-20 Rebidding")</f>
        <v>RCEF 23-08-20 Rebidding</v>
      </c>
      <c r="L4" s="2">
        <f>IFERROR(__xludf.DUMMYFUNCTION("""COMPUTED_VALUE"""),1.0)</f>
        <v>1</v>
      </c>
      <c r="M4" s="2" t="str">
        <f>IFERROR(__xludf.DUMMYFUNCTION("""COMPUTED_VALUE"""),"4A")</f>
        <v>4A</v>
      </c>
      <c r="N4" s="74">
        <f>IFERROR(__xludf.DUMMYFUNCTION("""COMPUTED_VALUE"""),45226.0)</f>
        <v>45226</v>
      </c>
      <c r="O4" s="74">
        <f>IFERROR(__xludf.DUMMYFUNCTION("""COMPUTED_VALUE"""),45234.0)</f>
        <v>45234</v>
      </c>
      <c r="P4" s="2">
        <f>IFERROR(__xludf.DUMMYFUNCTION("""COMPUTED_VALUE"""),16768.0)</f>
        <v>16768</v>
      </c>
      <c r="Q4" s="2" t="str">
        <f>IFERROR(__xludf.DUMMYFUNCTION("""COMPUTED_VALUE"""),"KMC5825AEPFPV0039")</f>
        <v>KMC5825AEPFPV0039</v>
      </c>
      <c r="R4" s="2" t="str">
        <f>IFERROR(__xludf.DUMMYFUNCTION("""COMPUTED_VALUE"""),"PTS100001")</f>
        <v>PTS100001</v>
      </c>
      <c r="S4" s="2" t="str">
        <f>IFERROR(__xludf.DUMMYFUNCTION("""COMPUTED_VALUE"""),"R-SERIES 019 PH")</f>
        <v>R-SERIES 019 PH</v>
      </c>
      <c r="T4" s="2" t="str">
        <f>IFERROR(__xludf.DUMMYFUNCTION("""COMPUTED_VALUE"""),"WR LSGW 0002")</f>
        <v>WR LSGW 0002</v>
      </c>
      <c r="U4" s="2" t="str">
        <f>IFERROR(__xludf.DUMMYFUNCTION("""COMPUTED_VALUE"""),"WR WDP 0002")</f>
        <v>WR WDP 0002</v>
      </c>
      <c r="V4" s="2" t="str">
        <f>IFERROR(__xludf.DUMMYFUNCTION("""COMPUTED_VALUE"""),"good")</f>
        <v>good</v>
      </c>
      <c r="W4" s="2" t="str">
        <f>IFERROR(__xludf.DUMMYFUNCTION("""COMPUTED_VALUE"""),"VL103D")</f>
        <v>VL103D</v>
      </c>
      <c r="X4" s="2" t="str">
        <f>IFERROR(__xludf.DUMMYFUNCTION("""COMPUTED_VALUE"""),"8690660600239416")</f>
        <v>8690660600239416</v>
      </c>
      <c r="Y4" s="2">
        <f>IFERROR(__xludf.DUMMYFUNCTION("""COMPUTED_VALUE"""),9.624247286E9)</f>
        <v>9624247286</v>
      </c>
      <c r="Z4" s="3" t="str">
        <f>IFERROR(__xludf.DUMMYFUNCTION("""COMPUTED_VALUE"""),"0323202006931554")</f>
        <v>0323202006931554</v>
      </c>
      <c r="AA4" s="2"/>
      <c r="AB4" s="2" t="str">
        <f>IFERROR(__xludf.DUMMYFUNCTION("""COMPUTED_VALUE"""),"stodom")</f>
        <v>stodom</v>
      </c>
    </row>
    <row r="5">
      <c r="A5" s="2" t="str">
        <f>IFERROR(__xludf.DUMMYFUNCTION("""COMPUTED_VALUE"""),"TT00003")</f>
        <v>TT00003</v>
      </c>
      <c r="B5" s="2" t="str">
        <f>IFERROR(__xludf.DUMMYFUNCTION("""COMPUTED_VALUE"""),"Completed")</f>
        <v>Completed</v>
      </c>
      <c r="C5" s="2" t="str">
        <f>IFERROR(__xludf.DUMMYFUNCTION("""COMPUTED_VALUE"""),"Billed L1")</f>
        <v>Billed L1</v>
      </c>
      <c r="D5" s="2" t="str">
        <f>IFERROR(__xludf.DUMMYFUNCTION("""COMPUTED_VALUE"""),"Pila Laguna Agriculture Cooperative (PILAC)")</f>
        <v>Pila Laguna Agriculture Cooperative (PILAC)</v>
      </c>
      <c r="E5" s="2" t="str">
        <f>IFERROR(__xludf.DUMMYFUNCTION("""COMPUTED_VALUE"""),"PANSOL, PILA LAGUNA")</f>
        <v>PANSOL, PILA LAGUNA</v>
      </c>
      <c r="F5" s="2" t="str">
        <f>IFERROR(__xludf.DUMMYFUNCTION("""COMPUTED_VALUE"""),"Benjamin Manual")</f>
        <v>Benjamin Manual</v>
      </c>
      <c r="G5" s="2" t="str">
        <f>IFERROR(__xludf.DUMMYFUNCTION("""COMPUTED_VALUE"""),"0975 088 4823")</f>
        <v>0975 088 4823</v>
      </c>
      <c r="H5" s="2"/>
      <c r="I5" s="2"/>
      <c r="J5" s="2"/>
      <c r="K5" s="2" t="str">
        <f>IFERROR(__xludf.DUMMYFUNCTION("""COMPUTED_VALUE"""),"RCEF 23-08-20 Rebidding")</f>
        <v>RCEF 23-08-20 Rebidding</v>
      </c>
      <c r="L5" s="2">
        <f>IFERROR(__xludf.DUMMYFUNCTION("""COMPUTED_VALUE"""),1.0)</f>
        <v>1</v>
      </c>
      <c r="M5" s="2" t="str">
        <f>IFERROR(__xludf.DUMMYFUNCTION("""COMPUTED_VALUE"""),"4A")</f>
        <v>4A</v>
      </c>
      <c r="N5" s="74">
        <f>IFERROR(__xludf.DUMMYFUNCTION("""COMPUTED_VALUE"""),45226.0)</f>
        <v>45226</v>
      </c>
      <c r="O5" s="74">
        <f>IFERROR(__xludf.DUMMYFUNCTION("""COMPUTED_VALUE"""),45234.0)</f>
        <v>45234</v>
      </c>
      <c r="P5" s="2">
        <f>IFERROR(__xludf.DUMMYFUNCTION("""COMPUTED_VALUE"""),16767.0)</f>
        <v>16767</v>
      </c>
      <c r="Q5" s="2" t="str">
        <f>IFERROR(__xludf.DUMMYFUNCTION("""COMPUTED_VALUE"""),"KMC5825ALPFPV0037")</f>
        <v>KMC5825ALPFPV0037</v>
      </c>
      <c r="R5" s="2" t="str">
        <f>IFERROR(__xludf.DUMMYFUNCTION("""COMPUTED_VALUE"""),"PTS100030")</f>
        <v>PTS100030</v>
      </c>
      <c r="S5" s="2" t="str">
        <f>IFERROR(__xludf.DUMMYFUNCTION("""COMPUTED_VALUE"""),"R-SERIES 005 PH")</f>
        <v>R-SERIES 005 PH</v>
      </c>
      <c r="T5" s="2" t="str">
        <f>IFERROR(__xludf.DUMMYFUNCTION("""COMPUTED_VALUE"""),"WR LSGW 0003")</f>
        <v>WR LSGW 0003</v>
      </c>
      <c r="U5" s="2" t="str">
        <f>IFERROR(__xludf.DUMMYFUNCTION("""COMPUTED_VALUE"""),"WR WDP 0003")</f>
        <v>WR WDP 0003</v>
      </c>
      <c r="V5" s="2" t="str">
        <f>IFERROR(__xludf.DUMMYFUNCTION("""COMPUTED_VALUE"""),"good")</f>
        <v>good</v>
      </c>
      <c r="W5" s="2" t="str">
        <f>IFERROR(__xludf.DUMMYFUNCTION("""COMPUTED_VALUE"""),"VL103D")</f>
        <v>VL103D</v>
      </c>
      <c r="X5" s="2" t="str">
        <f>IFERROR(__xludf.DUMMYFUNCTION("""COMPUTED_VALUE"""),"8690660600236685")</f>
        <v>8690660600236685</v>
      </c>
      <c r="Y5" s="2">
        <f>IFERROR(__xludf.DUMMYFUNCTION("""COMPUTED_VALUE"""),9.627247288E9)</f>
        <v>9627247288</v>
      </c>
      <c r="Z5" s="3" t="str">
        <f>IFERROR(__xludf.DUMMYFUNCTION("""COMPUTED_VALUE"""),"0323202006931562")</f>
        <v>0323202006931562</v>
      </c>
      <c r="AA5" s="2"/>
      <c r="AB5" s="2" t="str">
        <f>IFERROR(__xludf.DUMMYFUNCTION("""COMPUTED_VALUE"""),"pilac")</f>
        <v>pilac</v>
      </c>
    </row>
    <row r="6">
      <c r="A6" s="2" t="str">
        <f>IFERROR(__xludf.DUMMYFUNCTION("""COMPUTED_VALUE"""),"TT00004")</f>
        <v>TT00004</v>
      </c>
      <c r="B6" s="2" t="str">
        <f>IFERROR(__xludf.DUMMYFUNCTION("""COMPUTED_VALUE"""),"Completed")</f>
        <v>Completed</v>
      </c>
      <c r="C6" s="2" t="str">
        <f>IFERROR(__xludf.DUMMYFUNCTION("""COMPUTED_VALUE"""),"Billed L1")</f>
        <v>Billed L1</v>
      </c>
      <c r="D6" s="2" t="str">
        <f>IFERROR(__xludf.DUMMYFUNCTION("""COMPUTED_VALUE"""),"BAGONG SAMAHAN NG MAGSASAKA NG PILA, LAGUNA, INC.")</f>
        <v>BAGONG SAMAHAN NG MAGSASAKA NG PILA, LAGUNA, INC.</v>
      </c>
      <c r="E6" s="2" t="str">
        <f>IFERROR(__xludf.DUMMYFUNCTION("""COMPUTED_VALUE"""),"PILA, LAGUNA")</f>
        <v>PILA, LAGUNA</v>
      </c>
      <c r="F6" s="2" t="str">
        <f>IFERROR(__xludf.DUMMYFUNCTION("""COMPUTED_VALUE"""),"Ernesto S. Napao")</f>
        <v>Ernesto S. Napao</v>
      </c>
      <c r="G6" s="2" t="str">
        <f>IFERROR(__xludf.DUMMYFUNCTION("""COMPUTED_VALUE"""),"0933 812 4621")</f>
        <v>0933 812 4621</v>
      </c>
      <c r="H6" s="2"/>
      <c r="I6" s="2"/>
      <c r="J6" s="2"/>
      <c r="K6" s="2" t="str">
        <f>IFERROR(__xludf.DUMMYFUNCTION("""COMPUTED_VALUE"""),"RCEF 23-08-20 Rebidding")</f>
        <v>RCEF 23-08-20 Rebidding</v>
      </c>
      <c r="L6" s="2">
        <f>IFERROR(__xludf.DUMMYFUNCTION("""COMPUTED_VALUE"""),1.0)</f>
        <v>1</v>
      </c>
      <c r="M6" s="2" t="str">
        <f>IFERROR(__xludf.DUMMYFUNCTION("""COMPUTED_VALUE"""),"4A")</f>
        <v>4A</v>
      </c>
      <c r="N6" s="74">
        <f>IFERROR(__xludf.DUMMYFUNCTION("""COMPUTED_VALUE"""),45226.0)</f>
        <v>45226</v>
      </c>
      <c r="O6" s="74">
        <f>IFERROR(__xludf.DUMMYFUNCTION("""COMPUTED_VALUE"""),45234.0)</f>
        <v>45234</v>
      </c>
      <c r="P6" s="2">
        <f>IFERROR(__xludf.DUMMYFUNCTION("""COMPUTED_VALUE"""),16769.0)</f>
        <v>16769</v>
      </c>
      <c r="Q6" s="2" t="str">
        <f>IFERROR(__xludf.DUMMYFUNCTION("""COMPUTED_VALUE"""),"KMC5825AJPFPV0016")</f>
        <v>KMC5825AJPFPV0016</v>
      </c>
      <c r="R6" s="2" t="str">
        <f>IFERROR(__xludf.DUMMYFUNCTION("""COMPUTED_VALUE"""),"PTS100028")</f>
        <v>PTS100028</v>
      </c>
      <c r="S6" s="2" t="str">
        <f>IFERROR(__xludf.DUMMYFUNCTION("""COMPUTED_VALUE"""),"R-SERIES 010 PH")</f>
        <v>R-SERIES 010 PH</v>
      </c>
      <c r="T6" s="2" t="str">
        <f>IFERROR(__xludf.DUMMYFUNCTION("""COMPUTED_VALUE"""),"WR LSGW 0004")</f>
        <v>WR LSGW 0004</v>
      </c>
      <c r="U6" s="2" t="str">
        <f>IFERROR(__xludf.DUMMYFUNCTION("""COMPUTED_VALUE"""),"WR WDP 0004")</f>
        <v>WR WDP 0004</v>
      </c>
      <c r="V6" s="2" t="str">
        <f>IFERROR(__xludf.DUMMYFUNCTION("""COMPUTED_VALUE"""),"good")</f>
        <v>good</v>
      </c>
      <c r="W6" s="2" t="str">
        <f>IFERROR(__xludf.DUMMYFUNCTION("""COMPUTED_VALUE"""),"VL103D")</f>
        <v>VL103D</v>
      </c>
      <c r="X6" s="2" t="str">
        <f>IFERROR(__xludf.DUMMYFUNCTION("""COMPUTED_VALUE"""),"8690660600241453")</f>
        <v>8690660600241453</v>
      </c>
      <c r="Y6" s="2">
        <f>IFERROR(__xludf.DUMMYFUNCTION("""COMPUTED_VALUE"""),9.62424541E9)</f>
        <v>9624245410</v>
      </c>
      <c r="Z6" s="3" t="str">
        <f>IFERROR(__xludf.DUMMYFUNCTION("""COMPUTED_VALUE"""),"0323202006930903")</f>
        <v>0323202006930903</v>
      </c>
      <c r="AA6" s="2"/>
      <c r="AB6" s="2" t="str">
        <f>IFERROR(__xludf.DUMMYFUNCTION("""COMPUTED_VALUE"""),"bspila")</f>
        <v>bspila</v>
      </c>
    </row>
    <row r="7">
      <c r="A7" s="2" t="str">
        <f>IFERROR(__xludf.DUMMYFUNCTION("""COMPUTED_VALUE"""),"TT00005")</f>
        <v>TT00005</v>
      </c>
      <c r="B7" s="2" t="str">
        <f>IFERROR(__xludf.DUMMYFUNCTION("""COMPUTED_VALUE"""),"Completed")</f>
        <v>Completed</v>
      </c>
      <c r="C7" s="2" t="str">
        <f>IFERROR(__xludf.DUMMYFUNCTION("""COMPUTED_VALUE"""),"Billed L1")</f>
        <v>Billed L1</v>
      </c>
      <c r="D7" s="2" t="str">
        <f>IFERROR(__xludf.DUMMYFUNCTION("""COMPUTED_VALUE"""),"BANCA-BANCA, SAN FRANCISCO, SAN FELIX, SAN ROQUE IRRIGATORS ASSOCIATION, INC.")</f>
        <v>BANCA-BANCA, SAN FRANCISCO, SAN FELIX, SAN ROQUE IRRIGATORS ASSOCIATION, INC.</v>
      </c>
      <c r="E7" s="2" t="str">
        <f>IFERROR(__xludf.DUMMYFUNCTION("""COMPUTED_VALUE"""),"SAN FRANCISCO, VICTORIA, LAGUNA")</f>
        <v>SAN FRANCISCO, VICTORIA, LAGUNA</v>
      </c>
      <c r="F7" s="2" t="str">
        <f>IFERROR(__xludf.DUMMYFUNCTION("""COMPUTED_VALUE"""),"Francisco Gonzales")</f>
        <v>Francisco Gonzales</v>
      </c>
      <c r="G7" s="2" t="str">
        <f>IFERROR(__xludf.DUMMYFUNCTION("""COMPUTED_VALUE"""),"0968 664 7688")</f>
        <v>0968 664 7688</v>
      </c>
      <c r="H7" s="2"/>
      <c r="I7" s="2"/>
      <c r="J7" s="2"/>
      <c r="K7" s="2" t="str">
        <f>IFERROR(__xludf.DUMMYFUNCTION("""COMPUTED_VALUE"""),"RCEF 23-08-20 Rebidding")</f>
        <v>RCEF 23-08-20 Rebidding</v>
      </c>
      <c r="L7" s="2">
        <f>IFERROR(__xludf.DUMMYFUNCTION("""COMPUTED_VALUE"""),1.0)</f>
        <v>1</v>
      </c>
      <c r="M7" s="2" t="str">
        <f>IFERROR(__xludf.DUMMYFUNCTION("""COMPUTED_VALUE"""),"4A")</f>
        <v>4A</v>
      </c>
      <c r="N7" s="74">
        <f>IFERROR(__xludf.DUMMYFUNCTION("""COMPUTED_VALUE"""),45226.0)</f>
        <v>45226</v>
      </c>
      <c r="O7" s="74">
        <f>IFERROR(__xludf.DUMMYFUNCTION("""COMPUTED_VALUE"""),45234.0)</f>
        <v>45234</v>
      </c>
      <c r="P7" s="2">
        <f>IFERROR(__xludf.DUMMYFUNCTION("""COMPUTED_VALUE"""),16770.0)</f>
        <v>16770</v>
      </c>
      <c r="Q7" s="2" t="str">
        <f>IFERROR(__xludf.DUMMYFUNCTION("""COMPUTED_VALUE"""),"KMC5825AHPFPV0010")</f>
        <v>KMC5825AHPFPV0010</v>
      </c>
      <c r="R7" s="2" t="str">
        <f>IFERROR(__xludf.DUMMYFUNCTION("""COMPUTED_VALUE"""),"PTS100002")</f>
        <v>PTS100002</v>
      </c>
      <c r="S7" s="2" t="str">
        <f>IFERROR(__xludf.DUMMYFUNCTION("""COMPUTED_VALUE"""),"R-SERIES 008 PH")</f>
        <v>R-SERIES 008 PH</v>
      </c>
      <c r="T7" s="2" t="str">
        <f>IFERROR(__xludf.DUMMYFUNCTION("""COMPUTED_VALUE"""),"WR LSGW 0005")</f>
        <v>WR LSGW 0005</v>
      </c>
      <c r="U7" s="2" t="str">
        <f>IFERROR(__xludf.DUMMYFUNCTION("""COMPUTED_VALUE"""),"WR WDP 0005")</f>
        <v>WR WDP 0005</v>
      </c>
      <c r="V7" s="2" t="str">
        <f>IFERROR(__xludf.DUMMYFUNCTION("""COMPUTED_VALUE"""),"good")</f>
        <v>good</v>
      </c>
      <c r="W7" s="2" t="str">
        <f>IFERROR(__xludf.DUMMYFUNCTION("""COMPUTED_VALUE"""),"VL103D")</f>
        <v>VL103D</v>
      </c>
      <c r="X7" s="2" t="str">
        <f>IFERROR(__xludf.DUMMYFUNCTION("""COMPUTED_VALUE"""),"8690660600241461")</f>
        <v>8690660600241461</v>
      </c>
      <c r="Y7" s="2">
        <f>IFERROR(__xludf.DUMMYFUNCTION("""COMPUTED_VALUE"""),9.624243404E9)</f>
        <v>9624243404</v>
      </c>
      <c r="Z7" s="3" t="str">
        <f>IFERROR(__xludf.DUMMYFUNCTION("""COMPUTED_VALUE"""),"0323202006930879")</f>
        <v>0323202006930879</v>
      </c>
      <c r="AA7" s="2"/>
      <c r="AB7" s="2" t="str">
        <f>IFERROR(__xludf.DUMMYFUNCTION("""COMPUTED_VALUE"""),"bancabanca")</f>
        <v>bancabanca</v>
      </c>
    </row>
    <row r="8">
      <c r="A8" s="2" t="str">
        <f>IFERROR(__xludf.DUMMYFUNCTION("""COMPUTED_VALUE"""),"TT00006")</f>
        <v>TT00006</v>
      </c>
      <c r="B8" s="2" t="str">
        <f>IFERROR(__xludf.DUMMYFUNCTION("""COMPUTED_VALUE"""),"Completed")</f>
        <v>Completed</v>
      </c>
      <c r="C8" s="2" t="str">
        <f>IFERROR(__xludf.DUMMYFUNCTION("""COMPUTED_VALUE"""),"Billed L1")</f>
        <v>Billed L1</v>
      </c>
      <c r="D8" s="79" t="str">
        <f>IFERROR(__xludf.DUMMYFUNCTION("""COMPUTED_VALUE"""),"POBLACION-NEW DAGUPAN FARMER-IRRIGATORS' ASSOCIATION (PONDAFIA) INC.")</f>
        <v>POBLACION-NEW DAGUPAN FARMER-IRRIGATORS' ASSOCIATION (PONDAFIA) INC.</v>
      </c>
      <c r="E8" s="2" t="str">
        <f>IFERROR(__xludf.DUMMYFUNCTION("""COMPUTED_VALUE"""),"POBLACION, CALinTAAN, OCCIDENTAL MINDORO")</f>
        <v>POBLACION, CALinTAAN, OCCIDENTAL MINDORO</v>
      </c>
      <c r="F8" s="2" t="str">
        <f>IFERROR(__xludf.DUMMYFUNCTION("""COMPUTED_VALUE"""),"Manuel A. Francisco")</f>
        <v>Manuel A. Francisco</v>
      </c>
      <c r="G8" s="2" t="str">
        <f>IFERROR(__xludf.DUMMYFUNCTION("""COMPUTED_VALUE"""),"0935 417 5163")</f>
        <v>0935 417 5163</v>
      </c>
      <c r="H8" s="2"/>
      <c r="I8" s="2"/>
      <c r="J8" s="2"/>
      <c r="K8" s="2" t="str">
        <f>IFERROR(__xludf.DUMMYFUNCTION("""COMPUTED_VALUE"""),"RCEF 23-08-20 Rebidding")</f>
        <v>RCEF 23-08-20 Rebidding</v>
      </c>
      <c r="L8" s="2">
        <f>IFERROR(__xludf.DUMMYFUNCTION("""COMPUTED_VALUE"""),1.0)</f>
        <v>1</v>
      </c>
      <c r="M8" s="2" t="str">
        <f>IFERROR(__xludf.DUMMYFUNCTION("""COMPUTED_VALUE"""),"4B")</f>
        <v>4B</v>
      </c>
      <c r="N8" s="74">
        <f>IFERROR(__xludf.DUMMYFUNCTION("""COMPUTED_VALUE"""),45237.0)</f>
        <v>45237</v>
      </c>
      <c r="O8" s="74">
        <f>IFERROR(__xludf.DUMMYFUNCTION("""COMPUTED_VALUE"""),45245.0)</f>
        <v>45245</v>
      </c>
      <c r="P8" s="2">
        <f>IFERROR(__xludf.DUMMYFUNCTION("""COMPUTED_VALUE"""),16771.0)</f>
        <v>16771</v>
      </c>
      <c r="Q8" s="2" t="str">
        <f>IFERROR(__xludf.DUMMYFUNCTION("""COMPUTED_VALUE"""),"KMC 5825 ACPFPV0003")</f>
        <v>KMC 5825 ACPFPV0003</v>
      </c>
      <c r="R8" s="2" t="str">
        <f>IFERROR(__xludf.DUMMYFUNCTION("""COMPUTED_VALUE"""),"PTS100013")</f>
        <v>PTS100013</v>
      </c>
      <c r="S8" s="2" t="str">
        <f>IFERROR(__xludf.DUMMYFUNCTION("""COMPUTED_VALUE"""),"R-SERIES 009 PH")</f>
        <v>R-SERIES 009 PH</v>
      </c>
      <c r="T8" s="2" t="str">
        <f>IFERROR(__xludf.DUMMYFUNCTION("""COMPUTED_VALUE"""),"WR LSGW 0006")</f>
        <v>WR LSGW 0006</v>
      </c>
      <c r="U8" s="2" t="str">
        <f>IFERROR(__xludf.DUMMYFUNCTION("""COMPUTED_VALUE"""),"WR WDP 0006")</f>
        <v>WR WDP 0006</v>
      </c>
      <c r="V8" s="2" t="str">
        <f>IFERROR(__xludf.DUMMYFUNCTION("""COMPUTED_VALUE"""),"good")</f>
        <v>good</v>
      </c>
      <c r="W8" s="2" t="str">
        <f>IFERROR(__xludf.DUMMYFUNCTION("""COMPUTED_VALUE"""),"VL103D")</f>
        <v>VL103D</v>
      </c>
      <c r="X8" s="2">
        <f>IFERROR(__xludf.DUMMYFUNCTION("""COMPUTED_VALUE"""),8.69066060236876E14)</f>
        <v>869066060236876</v>
      </c>
      <c r="Y8" s="2">
        <f>IFERROR(__xludf.DUMMYFUNCTION("""COMPUTED_VALUE"""),9.690457895E9)</f>
        <v>9690457895</v>
      </c>
      <c r="Z8" s="3" t="str">
        <f>IFERROR(__xludf.DUMMYFUNCTION("""COMPUTED_VALUE"""),"0323202005168513")</f>
        <v>0323202005168513</v>
      </c>
      <c r="AA8" s="2" t="str">
        <f>IFERROR(__xludf.DUMMYFUNCTION("""COMPUTED_VALUE"""),"20231113P058063526")</f>
        <v>20231113P058063526</v>
      </c>
      <c r="AB8" s="2" t="str">
        <f>IFERROR(__xludf.DUMMYFUNCTION("""COMPUTED_VALUE"""),"pondafiacalintaan")</f>
        <v>pondafiacalintaan</v>
      </c>
    </row>
    <row r="9">
      <c r="A9" s="2" t="str">
        <f>IFERROR(__xludf.DUMMYFUNCTION("""COMPUTED_VALUE"""),"TT00007")</f>
        <v>TT00007</v>
      </c>
      <c r="B9" s="2" t="str">
        <f>IFERROR(__xludf.DUMMYFUNCTION("""COMPUTED_VALUE"""),"Completed")</f>
        <v>Completed</v>
      </c>
      <c r="C9" s="2" t="str">
        <f>IFERROR(__xludf.DUMMYFUNCTION("""COMPUTED_VALUE"""),"Billed L1")</f>
        <v>Billed L1</v>
      </c>
      <c r="D9" s="79" t="str">
        <f>IFERROR(__xludf.DUMMYFUNCTION("""COMPUTED_VALUE"""),"BUGTONG BURI FARMERS ASSOCIATION, INC.")</f>
        <v>BUGTONG BURI FARMERS ASSOCIATION, INC.</v>
      </c>
      <c r="E9" s="2" t="str">
        <f>IFERROR(__xludf.DUMMYFUNCTION("""COMPUTED_VALUE"""),"POBLACION, MAGSAYSAY, OCCIDENTAL MINDORO")</f>
        <v>POBLACION, MAGSAYSAY, OCCIDENTAL MINDORO</v>
      </c>
      <c r="F9" s="2" t="str">
        <f>IFERROR(__xludf.DUMMYFUNCTION("""COMPUTED_VALUE"""),"Gloria G. Operio")</f>
        <v>Gloria G. Operio</v>
      </c>
      <c r="G9" s="2" t="str">
        <f>IFERROR(__xludf.DUMMYFUNCTION("""COMPUTED_VALUE"""),"0930 925 4686")</f>
        <v>0930 925 4686</v>
      </c>
      <c r="H9" s="2"/>
      <c r="I9" s="2"/>
      <c r="J9" s="2"/>
      <c r="K9" s="2" t="str">
        <f>IFERROR(__xludf.DUMMYFUNCTION("""COMPUTED_VALUE"""),"RCEF 23-08-20 Rebidding")</f>
        <v>RCEF 23-08-20 Rebidding</v>
      </c>
      <c r="L9" s="2">
        <f>IFERROR(__xludf.DUMMYFUNCTION("""COMPUTED_VALUE"""),1.0)</f>
        <v>1</v>
      </c>
      <c r="M9" s="2" t="str">
        <f>IFERROR(__xludf.DUMMYFUNCTION("""COMPUTED_VALUE"""),"4B")</f>
        <v>4B</v>
      </c>
      <c r="N9" s="74">
        <f>IFERROR(__xludf.DUMMYFUNCTION("""COMPUTED_VALUE"""),45237.0)</f>
        <v>45237</v>
      </c>
      <c r="O9" s="74">
        <f>IFERROR(__xludf.DUMMYFUNCTION("""COMPUTED_VALUE"""),45245.0)</f>
        <v>45245</v>
      </c>
      <c r="P9" s="2">
        <f>IFERROR(__xludf.DUMMYFUNCTION("""COMPUTED_VALUE"""),16772.0)</f>
        <v>16772</v>
      </c>
      <c r="Q9" s="2" t="str">
        <f>IFERROR(__xludf.DUMMYFUNCTION("""COMPUTED_VALUE"""),"KMC 5825 APPFPV0014")</f>
        <v>KMC 5825 APPFPV0014</v>
      </c>
      <c r="R9" s="2" t="str">
        <f>IFERROR(__xludf.DUMMYFUNCTION("""COMPUTED_VALUE"""),"PTS100016")</f>
        <v>PTS100016</v>
      </c>
      <c r="S9" s="2" t="str">
        <f>IFERROR(__xludf.DUMMYFUNCTION("""COMPUTED_VALUE"""),"R-SERIES 006 PH")</f>
        <v>R-SERIES 006 PH</v>
      </c>
      <c r="T9" s="2" t="str">
        <f>IFERROR(__xludf.DUMMYFUNCTION("""COMPUTED_VALUE"""),"WR LSGW 0007")</f>
        <v>WR LSGW 0007</v>
      </c>
      <c r="U9" s="2" t="str">
        <f>IFERROR(__xludf.DUMMYFUNCTION("""COMPUTED_VALUE"""),"WR WDP 0007")</f>
        <v>WR WDP 0007</v>
      </c>
      <c r="V9" s="2" t="str">
        <f>IFERROR(__xludf.DUMMYFUNCTION("""COMPUTED_VALUE"""),"good")</f>
        <v>good</v>
      </c>
      <c r="W9" s="2" t="str">
        <f>IFERROR(__xludf.DUMMYFUNCTION("""COMPUTED_VALUE"""),"VL103D")</f>
        <v>VL103D</v>
      </c>
      <c r="X9" s="2">
        <f>IFERROR(__xludf.DUMMYFUNCTION("""COMPUTED_VALUE"""),8.69066060237154E14)</f>
        <v>869066060237154</v>
      </c>
      <c r="Y9" s="2">
        <f>IFERROR(__xludf.DUMMYFUNCTION("""COMPUTED_VALUE"""),9.691048516E9)</f>
        <v>9691048516</v>
      </c>
      <c r="Z9" s="3" t="str">
        <f>IFERROR(__xludf.DUMMYFUNCTION("""COMPUTED_VALUE"""),"0323202005168646")</f>
        <v>0323202005168646</v>
      </c>
      <c r="AA9" s="2" t="str">
        <f>IFERROR(__xludf.DUMMYFUNCTION("""COMPUTED_VALUE"""),"20231115P058130556")</f>
        <v>20231115P058130556</v>
      </c>
      <c r="AB9" s="2" t="str">
        <f>IFERROR(__xludf.DUMMYFUNCTION("""COMPUTED_VALUE"""),"bugtongburi")</f>
        <v>bugtongburi</v>
      </c>
    </row>
    <row r="10">
      <c r="A10" s="2" t="str">
        <f>IFERROR(__xludf.DUMMYFUNCTION("""COMPUTED_VALUE"""),"TT00008")</f>
        <v>TT00008</v>
      </c>
      <c r="B10" s="2" t="str">
        <f>IFERROR(__xludf.DUMMYFUNCTION("""COMPUTED_VALUE"""),"Completed")</f>
        <v>Completed</v>
      </c>
      <c r="C10" s="2" t="str">
        <f>IFERROR(__xludf.DUMMYFUNCTION("""COMPUTED_VALUE"""),"Billed L1")</f>
        <v>Billed L1</v>
      </c>
      <c r="D10" s="79" t="str">
        <f>IFERROR(__xludf.DUMMYFUNCTION("""COMPUTED_VALUE"""),"MUNICIPAL LOCAL GOVERNMENT UNIT OF RIZAL")</f>
        <v>MUNICIPAL LOCAL GOVERNMENT UNIT OF RIZAL</v>
      </c>
      <c r="E10" s="2" t="str">
        <f>IFERROR(__xludf.DUMMYFUNCTION("""COMPUTED_VALUE"""),"RUMBANG, RIZAL, OCCIDENTAL MINDORO")</f>
        <v>RUMBANG, RIZAL, OCCIDENTAL MINDORO</v>
      </c>
      <c r="F10" s="2" t="str">
        <f>IFERROR(__xludf.DUMMYFUNCTION("""COMPUTED_VALUE"""),"Hon. Ernesto C. Pablo, Jr.")</f>
        <v>Hon. Ernesto C. Pablo, Jr.</v>
      </c>
      <c r="G10" s="2"/>
      <c r="H10" s="2"/>
      <c r="I10" s="2"/>
      <c r="J10" s="2"/>
      <c r="K10" s="2" t="str">
        <f>IFERROR(__xludf.DUMMYFUNCTION("""COMPUTED_VALUE"""),"RCEF 23-08-20 Rebidding")</f>
        <v>RCEF 23-08-20 Rebidding</v>
      </c>
      <c r="L10" s="2">
        <f>IFERROR(__xludf.DUMMYFUNCTION("""COMPUTED_VALUE"""),1.0)</f>
        <v>1</v>
      </c>
      <c r="M10" s="2" t="str">
        <f>IFERROR(__xludf.DUMMYFUNCTION("""COMPUTED_VALUE"""),"4B")</f>
        <v>4B</v>
      </c>
      <c r="N10" s="74">
        <f>IFERROR(__xludf.DUMMYFUNCTION("""COMPUTED_VALUE"""),45237.0)</f>
        <v>45237</v>
      </c>
      <c r="O10" s="74">
        <f>IFERROR(__xludf.DUMMYFUNCTION("""COMPUTED_VALUE"""),45245.0)</f>
        <v>45245</v>
      </c>
      <c r="P10" s="2">
        <f>IFERROR(__xludf.DUMMYFUNCTION("""COMPUTED_VALUE"""),16786.0)</f>
        <v>16786</v>
      </c>
      <c r="Q10" s="2" t="str">
        <f>IFERROR(__xludf.DUMMYFUNCTION("""COMPUTED_VALUE"""),"KMC 5825 AJPFPV0002")</f>
        <v>KMC 5825 AJPFPV0002</v>
      </c>
      <c r="R10" s="2" t="str">
        <f>IFERROR(__xludf.DUMMYFUNCTION("""COMPUTED_VALUE"""),"PTS100018")</f>
        <v>PTS100018</v>
      </c>
      <c r="S10" s="2" t="str">
        <f>IFERROR(__xludf.DUMMYFUNCTION("""COMPUTED_VALUE"""),"R-SERIES 003 PH")</f>
        <v>R-SERIES 003 PH</v>
      </c>
      <c r="T10" s="2" t="str">
        <f>IFERROR(__xludf.DUMMYFUNCTION("""COMPUTED_VALUE"""),"WR LSGW 0008")</f>
        <v>WR LSGW 0008</v>
      </c>
      <c r="U10" s="2" t="str">
        <f>IFERROR(__xludf.DUMMYFUNCTION("""COMPUTED_VALUE"""),"WR WDP 0008")</f>
        <v>WR WDP 0008</v>
      </c>
      <c r="V10" s="2" t="str">
        <f>IFERROR(__xludf.DUMMYFUNCTION("""COMPUTED_VALUE"""),"INACTIVE - WIRINGS")</f>
        <v>INACTIVE - WIRINGS</v>
      </c>
      <c r="W10" s="2" t="str">
        <f>IFERROR(__xludf.DUMMYFUNCTION("""COMPUTED_VALUE"""),"VL103D")</f>
        <v>VL103D</v>
      </c>
      <c r="X10" s="2">
        <f>IFERROR(__xludf.DUMMYFUNCTION("""COMPUTED_VALUE"""),8.69066060239739E14)</f>
        <v>869066060239739</v>
      </c>
      <c r="Y10" s="2">
        <f>IFERROR(__xludf.DUMMYFUNCTION("""COMPUTED_VALUE"""),9.69031884E9)</f>
        <v>9690318840</v>
      </c>
      <c r="Z10" s="3" t="str">
        <f>IFERROR(__xludf.DUMMYFUNCTION("""COMPUTED_VALUE"""),"0323202005168661")</f>
        <v>0323202005168661</v>
      </c>
      <c r="AA10" s="2" t="str">
        <f>IFERROR(__xludf.DUMMYFUNCTION("""COMPUTED_VALUE"""),"20231115P058130324")</f>
        <v>20231115P058130324</v>
      </c>
      <c r="AB10" s="2" t="str">
        <f>IFERROR(__xludf.DUMMYFUNCTION("""COMPUTED_VALUE"""),"mlgurizal")</f>
        <v>mlgurizal</v>
      </c>
    </row>
    <row r="11">
      <c r="A11" s="2" t="str">
        <f>IFERROR(__xludf.DUMMYFUNCTION("""COMPUTED_VALUE"""),"TT00009")</f>
        <v>TT00009</v>
      </c>
      <c r="B11" s="2" t="str">
        <f>IFERROR(__xludf.DUMMYFUNCTION("""COMPUTED_VALUE"""),"Completed")</f>
        <v>Completed</v>
      </c>
      <c r="C11" s="2" t="str">
        <f>IFERROR(__xludf.DUMMYFUNCTION("""COMPUTED_VALUE"""),"Billed L1")</f>
        <v>Billed L1</v>
      </c>
      <c r="D11" s="79" t="str">
        <f>IFERROR(__xludf.DUMMYFUNCTION("""COMPUTED_VALUE"""),"SAMARICA OCCIDENTAL MINDORO FARMERS ASSOCIATION INC.")</f>
        <v>SAMARICA OCCIDENTAL MINDORO FARMERS ASSOCIATION INC.</v>
      </c>
      <c r="E11" s="2" t="str">
        <f>IFERROR(__xludf.DUMMYFUNCTION("""COMPUTED_VALUE"""),"ADELA, RIZAL, OCCIDENTAL MINDORO")</f>
        <v>ADELA, RIZAL, OCCIDENTAL MINDORO</v>
      </c>
      <c r="F11" s="2" t="str">
        <f>IFERROR(__xludf.DUMMYFUNCTION("""COMPUTED_VALUE"""),"Josie M. Maramot")</f>
        <v>Josie M. Maramot</v>
      </c>
      <c r="G11" s="2" t="str">
        <f>IFERROR(__xludf.DUMMYFUNCTION("""COMPUTED_VALUE"""),"0949 933 1443")</f>
        <v>0949 933 1443</v>
      </c>
      <c r="H11" s="2"/>
      <c r="I11" s="2"/>
      <c r="J11" s="2"/>
      <c r="K11" s="2" t="str">
        <f>IFERROR(__xludf.DUMMYFUNCTION("""COMPUTED_VALUE"""),"RCEF 23-08-20 Rebidding")</f>
        <v>RCEF 23-08-20 Rebidding</v>
      </c>
      <c r="L11" s="2">
        <f>IFERROR(__xludf.DUMMYFUNCTION("""COMPUTED_VALUE"""),1.0)</f>
        <v>1</v>
      </c>
      <c r="M11" s="2" t="str">
        <f>IFERROR(__xludf.DUMMYFUNCTION("""COMPUTED_VALUE"""),"4B")</f>
        <v>4B</v>
      </c>
      <c r="N11" s="74">
        <f>IFERROR(__xludf.DUMMYFUNCTION("""COMPUTED_VALUE"""),45237.0)</f>
        <v>45237</v>
      </c>
      <c r="O11" s="74">
        <f>IFERROR(__xludf.DUMMYFUNCTION("""COMPUTED_VALUE"""),45245.0)</f>
        <v>45245</v>
      </c>
      <c r="P11" s="2">
        <f>IFERROR(__xludf.DUMMYFUNCTION("""COMPUTED_VALUE"""),16774.0)</f>
        <v>16774</v>
      </c>
      <c r="Q11" s="2" t="str">
        <f>IFERROR(__xludf.DUMMYFUNCTION("""COMPUTED_VALUE"""),"KMC 5825 AVPFPV0004")</f>
        <v>KMC 5825 AVPFPV0004</v>
      </c>
      <c r="R11" s="2" t="str">
        <f>IFERROR(__xludf.DUMMYFUNCTION("""COMPUTED_VALUE"""),"PTS100020")</f>
        <v>PTS100020</v>
      </c>
      <c r="S11" s="2" t="str">
        <f>IFERROR(__xludf.DUMMYFUNCTION("""COMPUTED_VALUE"""),"R-SERIES 018 PH")</f>
        <v>R-SERIES 018 PH</v>
      </c>
      <c r="T11" s="2" t="str">
        <f>IFERROR(__xludf.DUMMYFUNCTION("""COMPUTED_VALUE"""),"WR LSGW 0009")</f>
        <v>WR LSGW 0009</v>
      </c>
      <c r="U11" s="2" t="str">
        <f>IFERROR(__xludf.DUMMYFUNCTION("""COMPUTED_VALUE"""),"WR WDP 0009")</f>
        <v>WR WDP 0009</v>
      </c>
      <c r="V11" s="2" t="str">
        <f>IFERROR(__xludf.DUMMYFUNCTION("""COMPUTED_VALUE"""),"good")</f>
        <v>good</v>
      </c>
      <c r="W11" s="2" t="str">
        <f>IFERROR(__xludf.DUMMYFUNCTION("""COMPUTED_VALUE"""),"VL103D")</f>
        <v>VL103D</v>
      </c>
      <c r="X11" s="2">
        <f>IFERROR(__xludf.DUMMYFUNCTION("""COMPUTED_VALUE"""),8.69066060239457E14)</f>
        <v>869066060239457</v>
      </c>
      <c r="Y11" s="2">
        <f>IFERROR(__xludf.DUMMYFUNCTION("""COMPUTED_VALUE"""),9.690318859E9)</f>
        <v>9690318859</v>
      </c>
      <c r="Z11" s="3" t="str">
        <f>IFERROR(__xludf.DUMMYFUNCTION("""COMPUTED_VALUE"""),"0323202005168653")</f>
        <v>0323202005168653</v>
      </c>
      <c r="AA11" s="2" t="str">
        <f>IFERROR(__xludf.DUMMYFUNCTION("""COMPUTED_VALUE"""),"20231115P058129858")</f>
        <v>20231115P058129858</v>
      </c>
      <c r="AB11" s="2" t="str">
        <f>IFERROR(__xludf.DUMMYFUNCTION("""COMPUTED_VALUE"""),"samarica")</f>
        <v>samarica</v>
      </c>
    </row>
    <row r="12">
      <c r="A12" s="2" t="str">
        <f>IFERROR(__xludf.DUMMYFUNCTION("""COMPUTED_VALUE"""),"TT00010")</f>
        <v>TT00010</v>
      </c>
      <c r="B12" s="2" t="str">
        <f>IFERROR(__xludf.DUMMYFUNCTION("""COMPUTED_VALUE"""),"Completed")</f>
        <v>Completed</v>
      </c>
      <c r="C12" s="2" t="str">
        <f>IFERROR(__xludf.DUMMYFUNCTION("""COMPUTED_VALUE"""),"Billed L1")</f>
        <v>Billed L1</v>
      </c>
      <c r="D12" s="79" t="str">
        <f>IFERROR(__xludf.DUMMYFUNCTION("""COMPUTED_VALUE"""),"SALVACION UNITED FARMERS MULTI-PURPOSE COOPERATIVE")</f>
        <v>SALVACION UNITED FARMERS MULTI-PURPOSE COOPERATIVE</v>
      </c>
      <c r="E12" s="2" t="str">
        <f>IFERROR(__xludf.DUMMYFUNCTION("""COMPUTED_VALUE"""),"SALVACION, RIZAL, OCCIDENTAL MINDORO")</f>
        <v>SALVACION, RIZAL, OCCIDENTAL MINDORO</v>
      </c>
      <c r="F12" s="2" t="str">
        <f>IFERROR(__xludf.DUMMYFUNCTION("""COMPUTED_VALUE"""),"Birtsan A. Montales")</f>
        <v>Birtsan A. Montales</v>
      </c>
      <c r="G12" s="2" t="str">
        <f>IFERROR(__xludf.DUMMYFUNCTION("""COMPUTED_VALUE"""),"0930 838 7003")</f>
        <v>0930 838 7003</v>
      </c>
      <c r="H12" s="2"/>
      <c r="I12" s="2"/>
      <c r="J12" s="2"/>
      <c r="K12" s="2" t="str">
        <f>IFERROR(__xludf.DUMMYFUNCTION("""COMPUTED_VALUE"""),"RCEF 23-08-20 Rebidding")</f>
        <v>RCEF 23-08-20 Rebidding</v>
      </c>
      <c r="L12" s="2">
        <f>IFERROR(__xludf.DUMMYFUNCTION("""COMPUTED_VALUE"""),1.0)</f>
        <v>1</v>
      </c>
      <c r="M12" s="2" t="str">
        <f>IFERROR(__xludf.DUMMYFUNCTION("""COMPUTED_VALUE"""),"4B")</f>
        <v>4B</v>
      </c>
      <c r="N12" s="74">
        <f>IFERROR(__xludf.DUMMYFUNCTION("""COMPUTED_VALUE"""),45237.0)</f>
        <v>45237</v>
      </c>
      <c r="O12" s="74">
        <f>IFERROR(__xludf.DUMMYFUNCTION("""COMPUTED_VALUE"""),45245.0)</f>
        <v>45245</v>
      </c>
      <c r="P12" s="2">
        <f>IFERROR(__xludf.DUMMYFUNCTION("""COMPUTED_VALUE"""),16775.0)</f>
        <v>16775</v>
      </c>
      <c r="Q12" s="2" t="str">
        <f>IFERROR(__xludf.DUMMYFUNCTION("""COMPUTED_VALUE"""),"KMC 5825 AJPFPV0033")</f>
        <v>KMC 5825 AJPFPV0033</v>
      </c>
      <c r="R12" s="2" t="str">
        <f>IFERROR(__xludf.DUMMYFUNCTION("""COMPUTED_VALUE"""),"PTS100031")</f>
        <v>PTS100031</v>
      </c>
      <c r="S12" s="2" t="str">
        <f>IFERROR(__xludf.DUMMYFUNCTION("""COMPUTED_VALUE"""),"R-SERIES 023 PH")</f>
        <v>R-SERIES 023 PH</v>
      </c>
      <c r="T12" s="2" t="str">
        <f>IFERROR(__xludf.DUMMYFUNCTION("""COMPUTED_VALUE"""),"WR LSGW 0010")</f>
        <v>WR LSGW 0010</v>
      </c>
      <c r="U12" s="2" t="str">
        <f>IFERROR(__xludf.DUMMYFUNCTION("""COMPUTED_VALUE"""),"WR WDP 0010")</f>
        <v>WR WDP 0010</v>
      </c>
      <c r="V12" s="2" t="str">
        <f>IFERROR(__xludf.DUMMYFUNCTION("""COMPUTED_VALUE"""),"good")</f>
        <v>good</v>
      </c>
      <c r="W12" s="2" t="str">
        <f>IFERROR(__xludf.DUMMYFUNCTION("""COMPUTED_VALUE"""),"VL103D")</f>
        <v>VL103D</v>
      </c>
      <c r="X12" s="2">
        <f>IFERROR(__xludf.DUMMYFUNCTION("""COMPUTED_VALUE"""),8.69066060245538E14)</f>
        <v>869066060245538</v>
      </c>
      <c r="Y12" s="2">
        <f>IFERROR(__xludf.DUMMYFUNCTION("""COMPUTED_VALUE"""),9.690318909E9)</f>
        <v>9690318909</v>
      </c>
      <c r="Z12" s="3" t="str">
        <f>IFERROR(__xludf.DUMMYFUNCTION("""COMPUTED_VALUE"""),"0323202005168554")</f>
        <v>0323202005168554</v>
      </c>
      <c r="AA12" s="2" t="str">
        <f>IFERROR(__xludf.DUMMYFUNCTION("""COMPUTED_VALUE"""),"20231113P058065001")</f>
        <v>20231113P058065001</v>
      </c>
      <c r="AB12" s="2" t="str">
        <f>IFERROR(__xludf.DUMMYFUNCTION("""COMPUTED_VALUE"""),"salvacionunited")</f>
        <v>salvacionunited</v>
      </c>
    </row>
    <row r="13">
      <c r="A13" s="2" t="str">
        <f>IFERROR(__xludf.DUMMYFUNCTION("""COMPUTED_VALUE"""),"TT00011")</f>
        <v>TT00011</v>
      </c>
      <c r="B13" s="2" t="str">
        <f>IFERROR(__xludf.DUMMYFUNCTION("""COMPUTED_VALUE"""),"Completed")</f>
        <v>Completed</v>
      </c>
      <c r="C13" s="2" t="str">
        <f>IFERROR(__xludf.DUMMYFUNCTION("""COMPUTED_VALUE"""),"Billed L1")</f>
        <v>Billed L1</v>
      </c>
      <c r="D13" s="2" t="str">
        <f>IFERROR(__xludf.DUMMYFUNCTION("""COMPUTED_VALUE"""),"Matabiaga Malawaan Irrigators Association, Inc.")</f>
        <v>Matabiaga Malawaan Irrigators Association, Inc.</v>
      </c>
      <c r="E13" s="2" t="str">
        <f>IFERROR(__xludf.DUMMYFUNCTION("""COMPUTED_VALUE"""),"MALAWAAN, RIZAL, OCCIDENTAL MINDORO")</f>
        <v>MALAWAAN, RIZAL, OCCIDENTAL MINDORO</v>
      </c>
      <c r="F13" s="2" t="str">
        <f>IFERROR(__xludf.DUMMYFUNCTION("""COMPUTED_VALUE"""),"Ernie Urbina")</f>
        <v>Ernie Urbina</v>
      </c>
      <c r="G13" s="2" t="str">
        <f>IFERROR(__xludf.DUMMYFUNCTION("""COMPUTED_VALUE"""),"0909 354 0587")</f>
        <v>0909 354 0587</v>
      </c>
      <c r="H13" s="2"/>
      <c r="I13" s="2"/>
      <c r="J13" s="2"/>
      <c r="K13" s="2" t="str">
        <f>IFERROR(__xludf.DUMMYFUNCTION("""COMPUTED_VALUE"""),"RCEF 23-08-20 Rebidding")</f>
        <v>RCEF 23-08-20 Rebidding</v>
      </c>
      <c r="L13" s="2">
        <f>IFERROR(__xludf.DUMMYFUNCTION("""COMPUTED_VALUE"""),1.0)</f>
        <v>1</v>
      </c>
      <c r="M13" s="2" t="str">
        <f>IFERROR(__xludf.DUMMYFUNCTION("""COMPUTED_VALUE"""),"4B")</f>
        <v>4B</v>
      </c>
      <c r="N13" s="74">
        <f>IFERROR(__xludf.DUMMYFUNCTION("""COMPUTED_VALUE"""),45237.0)</f>
        <v>45237</v>
      </c>
      <c r="O13" s="74">
        <f>IFERROR(__xludf.DUMMYFUNCTION("""COMPUTED_VALUE"""),45245.0)</f>
        <v>45245</v>
      </c>
      <c r="P13" s="2">
        <f>IFERROR(__xludf.DUMMYFUNCTION("""COMPUTED_VALUE"""),16776.0)</f>
        <v>16776</v>
      </c>
      <c r="Q13" s="2" t="str">
        <f>IFERROR(__xludf.DUMMYFUNCTION("""COMPUTED_VALUE"""),"KMC 5825 AEPFPV0008")</f>
        <v>KMC 5825 AEPFPV0008</v>
      </c>
      <c r="R13" s="2" t="str">
        <f>IFERROR(__xludf.DUMMYFUNCTION("""COMPUTED_VALUE"""),"PTS100005")</f>
        <v>PTS100005</v>
      </c>
      <c r="S13" s="2" t="str">
        <f>IFERROR(__xludf.DUMMYFUNCTION("""COMPUTED_VALUE"""),"R-SERIES 015 PH")</f>
        <v>R-SERIES 015 PH</v>
      </c>
      <c r="T13" s="2" t="str">
        <f>IFERROR(__xludf.DUMMYFUNCTION("""COMPUTED_VALUE"""),"WR LSGW 0011")</f>
        <v>WR LSGW 0011</v>
      </c>
      <c r="U13" s="2" t="str">
        <f>IFERROR(__xludf.DUMMYFUNCTION("""COMPUTED_VALUE"""),"WR WDP 0011")</f>
        <v>WR WDP 0011</v>
      </c>
      <c r="V13" s="2" t="str">
        <f>IFERROR(__xludf.DUMMYFUNCTION("""COMPUTED_VALUE"""),"good")</f>
        <v>good</v>
      </c>
      <c r="W13" s="2" t="str">
        <f>IFERROR(__xludf.DUMMYFUNCTION("""COMPUTED_VALUE"""),"VL103D")</f>
        <v>VL103D</v>
      </c>
      <c r="X13" s="2">
        <f>IFERROR(__xludf.DUMMYFUNCTION("""COMPUTED_VALUE"""),8.69066060244937E14)</f>
        <v>869066060244937</v>
      </c>
      <c r="Y13" s="2">
        <f>IFERROR(__xludf.DUMMYFUNCTION("""COMPUTED_VALUE"""),9.690451896E9)</f>
        <v>9690451896</v>
      </c>
      <c r="Z13" s="3" t="str">
        <f>IFERROR(__xludf.DUMMYFUNCTION("""COMPUTED_VALUE"""),"0323202005168562")</f>
        <v>0323202005168562</v>
      </c>
      <c r="AA13" s="2" t="str">
        <f>IFERROR(__xludf.DUMMYFUNCTION("""COMPUTED_VALUE"""),"20231113P058066081")</f>
        <v>20231113P058066081</v>
      </c>
      <c r="AB13" s="2" t="str">
        <f>IFERROR(__xludf.DUMMYFUNCTION("""COMPUTED_VALUE"""),"matabiaga")</f>
        <v>matabiaga</v>
      </c>
    </row>
    <row r="14">
      <c r="A14" s="2" t="str">
        <f>IFERROR(__xludf.DUMMYFUNCTION("""COMPUTED_VALUE"""),"TT00012")</f>
        <v>TT00012</v>
      </c>
      <c r="B14" s="2" t="str">
        <f>IFERROR(__xludf.DUMMYFUNCTION("""COMPUTED_VALUE"""),"Completed")</f>
        <v>Completed</v>
      </c>
      <c r="C14" s="2" t="str">
        <f>IFERROR(__xludf.DUMMYFUNCTION("""COMPUTED_VALUE"""),"Billed L1")</f>
        <v>Billed L1</v>
      </c>
      <c r="D14" s="79" t="str">
        <f>IFERROR(__xludf.DUMMYFUNCTION("""COMPUTED_VALUE"""),"BARANGAY BATONG  BUHAY FARMER'S ASSOCIATION")</f>
        <v>BARANGAY BATONG  BUHAY FARMER'S ASSOCIATION</v>
      </c>
      <c r="E14" s="2" t="str">
        <f>IFERROR(__xludf.DUMMYFUNCTION("""COMPUTED_VALUE"""),"BATONG BUHAY, SABLAYAN, OCCIDENTAL MINDORO")</f>
        <v>BATONG BUHAY, SABLAYAN, OCCIDENTAL MINDORO</v>
      </c>
      <c r="F14" s="2" t="str">
        <f>IFERROR(__xludf.DUMMYFUNCTION("""COMPUTED_VALUE"""),"Mark Anthony Silao")</f>
        <v>Mark Anthony Silao</v>
      </c>
      <c r="G14" s="2" t="str">
        <f>IFERROR(__xludf.DUMMYFUNCTION("""COMPUTED_VALUE"""),"0966 359 5285")</f>
        <v>0966 359 5285</v>
      </c>
      <c r="H14" s="2"/>
      <c r="I14" s="2"/>
      <c r="J14" s="2"/>
      <c r="K14" s="2" t="str">
        <f>IFERROR(__xludf.DUMMYFUNCTION("""COMPUTED_VALUE"""),"RCEF 23-08-20 Rebidding")</f>
        <v>RCEF 23-08-20 Rebidding</v>
      </c>
      <c r="L14" s="2">
        <f>IFERROR(__xludf.DUMMYFUNCTION("""COMPUTED_VALUE"""),1.0)</f>
        <v>1</v>
      </c>
      <c r="M14" s="2" t="str">
        <f>IFERROR(__xludf.DUMMYFUNCTION("""COMPUTED_VALUE"""),"4B")</f>
        <v>4B</v>
      </c>
      <c r="N14" s="74">
        <f>IFERROR(__xludf.DUMMYFUNCTION("""COMPUTED_VALUE"""),45237.0)</f>
        <v>45237</v>
      </c>
      <c r="O14" s="74">
        <f>IFERROR(__xludf.DUMMYFUNCTION("""COMPUTED_VALUE"""),45245.0)</f>
        <v>45245</v>
      </c>
      <c r="P14" s="2">
        <f>IFERROR(__xludf.DUMMYFUNCTION("""COMPUTED_VALUE"""),16777.0)</f>
        <v>16777</v>
      </c>
      <c r="Q14" s="2" t="str">
        <f>IFERROR(__xludf.DUMMYFUNCTION("""COMPUTED_VALUE"""),"KMC 5825 ATPFPV0013")</f>
        <v>KMC 5825 ATPFPV0013</v>
      </c>
      <c r="R14" s="2" t="str">
        <f>IFERROR(__xludf.DUMMYFUNCTION("""COMPUTED_VALUE"""),"PTS100027")</f>
        <v>PTS100027</v>
      </c>
      <c r="S14" s="2" t="str">
        <f>IFERROR(__xludf.DUMMYFUNCTION("""COMPUTED_VALUE"""),"R-SERIES 022 PH")</f>
        <v>R-SERIES 022 PH</v>
      </c>
      <c r="T14" s="2" t="str">
        <f>IFERROR(__xludf.DUMMYFUNCTION("""COMPUTED_VALUE"""),"WR LSGW 0012")</f>
        <v>WR LSGW 0012</v>
      </c>
      <c r="U14" s="2" t="str">
        <f>IFERROR(__xludf.DUMMYFUNCTION("""COMPUTED_VALUE"""),"WR WDP 0012")</f>
        <v>WR WDP 0012</v>
      </c>
      <c r="V14" s="2" t="str">
        <f>IFERROR(__xludf.DUMMYFUNCTION("""COMPUTED_VALUE"""),"good")</f>
        <v>good</v>
      </c>
      <c r="W14" s="2" t="str">
        <f>IFERROR(__xludf.DUMMYFUNCTION("""COMPUTED_VALUE"""),"VL103D")</f>
        <v>VL103D</v>
      </c>
      <c r="X14" s="2">
        <f>IFERROR(__xludf.DUMMYFUNCTION("""COMPUTED_VALUE"""),8.69066060244408E14)</f>
        <v>869066060244408</v>
      </c>
      <c r="Y14" s="2">
        <f>IFERROR(__xludf.DUMMYFUNCTION("""COMPUTED_VALUE"""),9.690384475E9)</f>
        <v>9690384475</v>
      </c>
      <c r="Z14" s="3" t="str">
        <f>IFERROR(__xludf.DUMMYFUNCTION("""COMPUTED_VALUE"""),"0323202005168570")</f>
        <v>0323202005168570</v>
      </c>
      <c r="AA14" s="2" t="str">
        <f>IFERROR(__xludf.DUMMYFUNCTION("""COMPUTED_VALUE"""),"20231115P058131943")</f>
        <v>20231115P058131943</v>
      </c>
      <c r="AB14" s="2" t="str">
        <f>IFERROR(__xludf.DUMMYFUNCTION("""COMPUTED_VALUE"""),"batongbuhay")</f>
        <v>batongbuhay</v>
      </c>
    </row>
    <row r="15">
      <c r="A15" s="2" t="str">
        <f>IFERROR(__xludf.DUMMYFUNCTION("""COMPUTED_VALUE"""),"TT00013")</f>
        <v>TT00013</v>
      </c>
      <c r="B15" s="2" t="str">
        <f>IFERROR(__xludf.DUMMYFUNCTION("""COMPUTED_VALUE"""),"Completed")</f>
        <v>Completed</v>
      </c>
      <c r="C15" s="2" t="str">
        <f>IFERROR(__xludf.DUMMYFUNCTION("""COMPUTED_VALUE"""),"Billed L1")</f>
        <v>Billed L1</v>
      </c>
      <c r="D15" s="79" t="str">
        <f>IFERROR(__xludf.DUMMYFUNCTION("""COMPUTED_VALUE"""),"KAINGIN TAGUMPAY FARMERS AND IRRIGATORS ASSOCIATION (KATFAIA)")</f>
        <v>KAINGIN TAGUMPAY FARMERS AND IRRIGATORS ASSOCIATION (KATFAIA)</v>
      </c>
      <c r="E15" s="2" t="str">
        <f>IFERROR(__xludf.DUMMYFUNCTION("""COMPUTED_VALUE"""),"TAGUMPAY, SABLAYAN, OCCIDENTAL MINDORO")</f>
        <v>TAGUMPAY, SABLAYAN, OCCIDENTAL MINDORO</v>
      </c>
      <c r="F15" s="2" t="str">
        <f>IFERROR(__xludf.DUMMYFUNCTION("""COMPUTED_VALUE"""),"Robert Navalta")</f>
        <v>Robert Navalta</v>
      </c>
      <c r="G15" s="2" t="str">
        <f>IFERROR(__xludf.DUMMYFUNCTION("""COMPUTED_VALUE"""),"0975 537 0138")</f>
        <v>0975 537 0138</v>
      </c>
      <c r="H15" s="2"/>
      <c r="I15" s="2"/>
      <c r="J15" s="2"/>
      <c r="K15" s="2" t="str">
        <f>IFERROR(__xludf.DUMMYFUNCTION("""COMPUTED_VALUE"""),"RCEF 23-08-20 Rebidding")</f>
        <v>RCEF 23-08-20 Rebidding</v>
      </c>
      <c r="L15" s="2">
        <f>IFERROR(__xludf.DUMMYFUNCTION("""COMPUTED_VALUE"""),1.0)</f>
        <v>1</v>
      </c>
      <c r="M15" s="2" t="str">
        <f>IFERROR(__xludf.DUMMYFUNCTION("""COMPUTED_VALUE"""),"4B")</f>
        <v>4B</v>
      </c>
      <c r="N15" s="74">
        <f>IFERROR(__xludf.DUMMYFUNCTION("""COMPUTED_VALUE"""),45237.0)</f>
        <v>45237</v>
      </c>
      <c r="O15" s="74">
        <f>IFERROR(__xludf.DUMMYFUNCTION("""COMPUTED_VALUE"""),45245.0)</f>
        <v>45245</v>
      </c>
      <c r="P15" s="2">
        <f>IFERROR(__xludf.DUMMYFUNCTION("""COMPUTED_VALUE"""),16778.0)</f>
        <v>16778</v>
      </c>
      <c r="Q15" s="2" t="str">
        <f>IFERROR(__xludf.DUMMYFUNCTION("""COMPUTED_VALUE"""),"KMC 5825 AVPFPV0021")</f>
        <v>KMC 5825 AVPFPV0021</v>
      </c>
      <c r="R15" s="2" t="str">
        <f>IFERROR(__xludf.DUMMYFUNCTION("""COMPUTED_VALUE"""),"PTS100025")</f>
        <v>PTS100025</v>
      </c>
      <c r="S15" s="2" t="str">
        <f>IFERROR(__xludf.DUMMYFUNCTION("""COMPUTED_VALUE"""),"R-SERIES016 PH")</f>
        <v>R-SERIES016 PH</v>
      </c>
      <c r="T15" s="2" t="str">
        <f>IFERROR(__xludf.DUMMYFUNCTION("""COMPUTED_VALUE"""),"WR LSGW 0013")</f>
        <v>WR LSGW 0013</v>
      </c>
      <c r="U15" s="2" t="str">
        <f>IFERROR(__xludf.DUMMYFUNCTION("""COMPUTED_VALUE"""),"WR WDP 0013")</f>
        <v>WR WDP 0013</v>
      </c>
      <c r="V15" s="2" t="str">
        <f>IFERROR(__xludf.DUMMYFUNCTION("""COMPUTED_VALUE"""),"good")</f>
        <v>good</v>
      </c>
      <c r="W15" s="2" t="str">
        <f>IFERROR(__xludf.DUMMYFUNCTION("""COMPUTED_VALUE"""),"VL103D")</f>
        <v>VL103D</v>
      </c>
      <c r="X15" s="2">
        <f>IFERROR(__xludf.DUMMYFUNCTION("""COMPUTED_VALUE"""),8.69066060242816E14)</f>
        <v>869066060242816</v>
      </c>
      <c r="Y15" s="2">
        <f>IFERROR(__xludf.DUMMYFUNCTION("""COMPUTED_VALUE"""),9.690384471E9)</f>
        <v>9690384471</v>
      </c>
      <c r="Z15" s="3" t="str">
        <f>IFERROR(__xludf.DUMMYFUNCTION("""COMPUTED_VALUE"""),"0323202005168588")</f>
        <v>0323202005168588</v>
      </c>
      <c r="AA15" s="2" t="str">
        <f>IFERROR(__xludf.DUMMYFUNCTION("""COMPUTED_VALUE"""),"20231113P058064194")</f>
        <v>20231113P058064194</v>
      </c>
      <c r="AB15" s="2" t="str">
        <f>IFERROR(__xludf.DUMMYFUNCTION("""COMPUTED_VALUE"""),"katfaia")</f>
        <v>katfaia</v>
      </c>
    </row>
    <row r="16">
      <c r="A16" s="2" t="str">
        <f>IFERROR(__xludf.DUMMYFUNCTION("""COMPUTED_VALUE"""),"TT00014")</f>
        <v>TT00014</v>
      </c>
      <c r="B16" s="2" t="str">
        <f>IFERROR(__xludf.DUMMYFUNCTION("""COMPUTED_VALUE"""),"Completed")</f>
        <v>Completed</v>
      </c>
      <c r="C16" s="2" t="str">
        <f>IFERROR(__xludf.DUMMYFUNCTION("""COMPUTED_VALUE"""),"Billed L1")</f>
        <v>Billed L1</v>
      </c>
      <c r="D16" s="79" t="str">
        <f>IFERROR(__xludf.DUMMYFUNCTION("""COMPUTED_VALUE"""),"SITIO ESPERANZA SAN ISIDRO FARMERS ASSOCIATION")</f>
        <v>SITIO ESPERANZA SAN ISIDRO FARMERS ASSOCIATION</v>
      </c>
      <c r="E16" s="2" t="str">
        <f>IFERROR(__xludf.DUMMYFUNCTION("""COMPUTED_VALUE"""),"SAN ISIDRO, SAN JOSE, OCCIDENTAL MINDORO")</f>
        <v>SAN ISIDRO, SAN JOSE, OCCIDENTAL MINDORO</v>
      </c>
      <c r="F16" s="2" t="str">
        <f>IFERROR(__xludf.DUMMYFUNCTION("""COMPUTED_VALUE"""),"Catalina Monterola")</f>
        <v>Catalina Monterola</v>
      </c>
      <c r="G16" s="2" t="str">
        <f>IFERROR(__xludf.DUMMYFUNCTION("""COMPUTED_VALUE"""),"0929 367 9563")</f>
        <v>0929 367 9563</v>
      </c>
      <c r="H16" s="2"/>
      <c r="I16" s="2"/>
      <c r="J16" s="2"/>
      <c r="K16" s="2" t="str">
        <f>IFERROR(__xludf.DUMMYFUNCTION("""COMPUTED_VALUE"""),"RCEF 23-08-20 Rebidding")</f>
        <v>RCEF 23-08-20 Rebidding</v>
      </c>
      <c r="L16" s="2">
        <f>IFERROR(__xludf.DUMMYFUNCTION("""COMPUTED_VALUE"""),1.0)</f>
        <v>1</v>
      </c>
      <c r="M16" s="2" t="str">
        <f>IFERROR(__xludf.DUMMYFUNCTION("""COMPUTED_VALUE"""),"4B")</f>
        <v>4B</v>
      </c>
      <c r="N16" s="74">
        <f>IFERROR(__xludf.DUMMYFUNCTION("""COMPUTED_VALUE"""),45237.0)</f>
        <v>45237</v>
      </c>
      <c r="O16" s="74">
        <f>IFERROR(__xludf.DUMMYFUNCTION("""COMPUTED_VALUE"""),45245.0)</f>
        <v>45245</v>
      </c>
      <c r="P16" s="2">
        <f>IFERROR(__xludf.DUMMYFUNCTION("""COMPUTED_VALUE"""),16779.0)</f>
        <v>16779</v>
      </c>
      <c r="Q16" s="2" t="str">
        <f>IFERROR(__xludf.DUMMYFUNCTION("""COMPUTED_VALUE"""),"KMC 5825 ALPFPV0023")</f>
        <v>KMC 5825 ALPFPV0023</v>
      </c>
      <c r="R16" s="2" t="str">
        <f>IFERROR(__xludf.DUMMYFUNCTION("""COMPUTED_VALUE"""),"PTS100010")</f>
        <v>PTS100010</v>
      </c>
      <c r="S16" s="2" t="str">
        <f>IFERROR(__xludf.DUMMYFUNCTION("""COMPUTED_VALUE"""),"R-SERIES 013 PH")</f>
        <v>R-SERIES 013 PH</v>
      </c>
      <c r="T16" s="2" t="str">
        <f>IFERROR(__xludf.DUMMYFUNCTION("""COMPUTED_VALUE"""),"WR LSGW 0014")</f>
        <v>WR LSGW 0014</v>
      </c>
      <c r="U16" s="2" t="str">
        <f>IFERROR(__xludf.DUMMYFUNCTION("""COMPUTED_VALUE"""),"WR WDP 0014")</f>
        <v>WR WDP 0014</v>
      </c>
      <c r="V16" s="2" t="str">
        <f>IFERROR(__xludf.DUMMYFUNCTION("""COMPUTED_VALUE"""),"good")</f>
        <v>good</v>
      </c>
      <c r="W16" s="2" t="str">
        <f>IFERROR(__xludf.DUMMYFUNCTION("""COMPUTED_VALUE"""),"VL103D")</f>
        <v>VL103D</v>
      </c>
      <c r="X16" s="2">
        <f>IFERROR(__xludf.DUMMYFUNCTION("""COMPUTED_VALUE"""),8.69066060244994E14)</f>
        <v>869066060244994</v>
      </c>
      <c r="Y16" s="2">
        <f>IFERROR(__xludf.DUMMYFUNCTION("""COMPUTED_VALUE"""),9.690147148E9)</f>
        <v>9690147148</v>
      </c>
      <c r="Z16" s="3" t="str">
        <f>IFERROR(__xludf.DUMMYFUNCTION("""COMPUTED_VALUE"""),"0323202005168596")</f>
        <v>0323202005168596</v>
      </c>
      <c r="AA16" s="2" t="str">
        <f>IFERROR(__xludf.DUMMYFUNCTION("""COMPUTED_VALUE"""),"20231113P058065292")</f>
        <v>20231113P058065292</v>
      </c>
      <c r="AB16" s="2" t="str">
        <f>IFERROR(__xludf.DUMMYFUNCTION("""COMPUTED_VALUE"""),"sitioezperanza")</f>
        <v>sitioezperanza</v>
      </c>
    </row>
    <row r="17">
      <c r="A17" s="2" t="str">
        <f>IFERROR(__xludf.DUMMYFUNCTION("""COMPUTED_VALUE"""),"TT00015")</f>
        <v>TT00015</v>
      </c>
      <c r="B17" s="2" t="str">
        <f>IFERROR(__xludf.DUMMYFUNCTION("""COMPUTED_VALUE"""),"Completed")</f>
        <v>Completed</v>
      </c>
      <c r="C17" s="2" t="str">
        <f>IFERROR(__xludf.DUMMYFUNCTION("""COMPUTED_VALUE"""),"Billed L1")</f>
        <v>Billed L1</v>
      </c>
      <c r="D17" s="79" t="str">
        <f>IFERROR(__xludf.DUMMYFUNCTION("""COMPUTED_VALUE"""),"CAMANDANG IRRIGATORS ASSOCIATION")</f>
        <v>CAMANDANG IRRIGATORS ASSOCIATION</v>
      </c>
      <c r="E17" s="2" t="str">
        <f>IFERROR(__xludf.DUMMYFUNCTION("""COMPUTED_VALUE"""),"MONTECLARO, SAN JOSE, OCCIDENTAL MINDORO")</f>
        <v>MONTECLARO, SAN JOSE, OCCIDENTAL MINDORO</v>
      </c>
      <c r="F17" s="2" t="str">
        <f>IFERROR(__xludf.DUMMYFUNCTION("""COMPUTED_VALUE"""),"Eduardo Toquero Jr.")</f>
        <v>Eduardo Toquero Jr.</v>
      </c>
      <c r="G17" s="2" t="str">
        <f>IFERROR(__xludf.DUMMYFUNCTION("""COMPUTED_VALUE"""),"0965 897 7577")</f>
        <v>0965 897 7577</v>
      </c>
      <c r="H17" s="2"/>
      <c r="I17" s="2"/>
      <c r="J17" s="2"/>
      <c r="K17" s="2" t="str">
        <f>IFERROR(__xludf.DUMMYFUNCTION("""COMPUTED_VALUE"""),"RCEF 23-08-20 Rebidding")</f>
        <v>RCEF 23-08-20 Rebidding</v>
      </c>
      <c r="L17" s="2">
        <f>IFERROR(__xludf.DUMMYFUNCTION("""COMPUTED_VALUE"""),1.0)</f>
        <v>1</v>
      </c>
      <c r="M17" s="2" t="str">
        <f>IFERROR(__xludf.DUMMYFUNCTION("""COMPUTED_VALUE"""),"4B")</f>
        <v>4B</v>
      </c>
      <c r="N17" s="74">
        <f>IFERROR(__xludf.DUMMYFUNCTION("""COMPUTED_VALUE"""),45237.0)</f>
        <v>45237</v>
      </c>
      <c r="O17" s="74">
        <f>IFERROR(__xludf.DUMMYFUNCTION("""COMPUTED_VALUE"""),45245.0)</f>
        <v>45245</v>
      </c>
      <c r="P17" s="2">
        <f>IFERROR(__xludf.DUMMYFUNCTION("""COMPUTED_VALUE"""),16780.0)</f>
        <v>16780</v>
      </c>
      <c r="Q17" s="2" t="str">
        <f>IFERROR(__xludf.DUMMYFUNCTION("""COMPUTED_VALUE"""),"KMC 5825 ATPFPV0030")</f>
        <v>KMC 5825 ATPFPV0030</v>
      </c>
      <c r="R17" s="2" t="str">
        <f>IFERROR(__xludf.DUMMYFUNCTION("""COMPUTED_VALUE"""),"PTS100014")</f>
        <v>PTS100014</v>
      </c>
      <c r="S17" s="2" t="str">
        <f>IFERROR(__xludf.DUMMYFUNCTION("""COMPUTED_VALUE"""),"R-SERIES 024 PH")</f>
        <v>R-SERIES 024 PH</v>
      </c>
      <c r="T17" s="2" t="str">
        <f>IFERROR(__xludf.DUMMYFUNCTION("""COMPUTED_VALUE"""),"WR LSGW 0015")</f>
        <v>WR LSGW 0015</v>
      </c>
      <c r="U17" s="2" t="str">
        <f>IFERROR(__xludf.DUMMYFUNCTION("""COMPUTED_VALUE"""),"WR WDP 0015")</f>
        <v>WR WDP 0015</v>
      </c>
      <c r="V17" s="2" t="str">
        <f>IFERROR(__xludf.DUMMYFUNCTION("""COMPUTED_VALUE"""),"INACTIVE - WIRINGS")</f>
        <v>INACTIVE - WIRINGS</v>
      </c>
      <c r="W17" s="2" t="str">
        <f>IFERROR(__xludf.DUMMYFUNCTION("""COMPUTED_VALUE"""),"VL103D")</f>
        <v>VL103D</v>
      </c>
      <c r="X17" s="2">
        <f>IFERROR(__xludf.DUMMYFUNCTION("""COMPUTED_VALUE"""),8.69066060244598E14)</f>
        <v>869066060244598</v>
      </c>
      <c r="Y17" s="2">
        <f>IFERROR(__xludf.DUMMYFUNCTION("""COMPUTED_VALUE"""),9.690123176E9)</f>
        <v>9690123176</v>
      </c>
      <c r="Z17" s="3" t="str">
        <f>IFERROR(__xludf.DUMMYFUNCTION("""COMPUTED_VALUE"""),"0323202005168604")</f>
        <v>0323202005168604</v>
      </c>
      <c r="AA17" s="2" t="str">
        <f>IFERROR(__xludf.DUMMYFUNCTION("""COMPUTED_VALUE"""),"20231113P058065558")</f>
        <v>20231113P058065558</v>
      </c>
      <c r="AB17" s="2" t="str">
        <f>IFERROR(__xludf.DUMMYFUNCTION("""COMPUTED_VALUE"""),"camandang")</f>
        <v>camandang</v>
      </c>
    </row>
    <row r="18">
      <c r="A18" s="2" t="str">
        <f>IFERROR(__xludf.DUMMYFUNCTION("""COMPUTED_VALUE"""),"TT00016")</f>
        <v>TT00016</v>
      </c>
      <c r="B18" s="2" t="str">
        <f>IFERROR(__xludf.DUMMYFUNCTION("""COMPUTED_VALUE"""),"Completed")</f>
        <v>Completed</v>
      </c>
      <c r="C18" s="2" t="str">
        <f>IFERROR(__xludf.DUMMYFUNCTION("""COMPUTED_VALUE"""),"Billed L1")</f>
        <v>Billed L1</v>
      </c>
      <c r="D18" s="79" t="str">
        <f>IFERROR(__xludf.DUMMYFUNCTION("""COMPUTED_VALUE"""),"SAMAHAN NG MAGSASAKA SA PALANGHIRAN")</f>
        <v>SAMAHAN NG MAGSASAKA SA PALANGHIRAN</v>
      </c>
      <c r="E18" s="2" t="str">
        <f>IFERROR(__xludf.DUMMYFUNCTION("""COMPUTED_VALUE"""),"MAPAYA, SAN JOSE, OCCIDENTAL MINDORO")</f>
        <v>MAPAYA, SAN JOSE, OCCIDENTAL MINDORO</v>
      </c>
      <c r="F18" s="2" t="str">
        <f>IFERROR(__xludf.DUMMYFUNCTION("""COMPUTED_VALUE"""),"Ricardo E. Dela Cruz")</f>
        <v>Ricardo E. Dela Cruz</v>
      </c>
      <c r="G18" s="2" t="str">
        <f>IFERROR(__xludf.DUMMYFUNCTION("""COMPUTED_VALUE"""),"0912 631 8700")</f>
        <v>0912 631 8700</v>
      </c>
      <c r="H18" s="2"/>
      <c r="I18" s="2"/>
      <c r="J18" s="2"/>
      <c r="K18" s="2" t="str">
        <f>IFERROR(__xludf.DUMMYFUNCTION("""COMPUTED_VALUE"""),"RCEF 23-08-20 Rebidding")</f>
        <v>RCEF 23-08-20 Rebidding</v>
      </c>
      <c r="L18" s="2">
        <f>IFERROR(__xludf.DUMMYFUNCTION("""COMPUTED_VALUE"""),1.0)</f>
        <v>1</v>
      </c>
      <c r="M18" s="2" t="str">
        <f>IFERROR(__xludf.DUMMYFUNCTION("""COMPUTED_VALUE"""),"4B")</f>
        <v>4B</v>
      </c>
      <c r="N18" s="74">
        <f>IFERROR(__xludf.DUMMYFUNCTION("""COMPUTED_VALUE"""),45237.0)</f>
        <v>45237</v>
      </c>
      <c r="O18" s="74">
        <f>IFERROR(__xludf.DUMMYFUNCTION("""COMPUTED_VALUE"""),45245.0)</f>
        <v>45245</v>
      </c>
      <c r="P18" s="2">
        <f>IFERROR(__xludf.DUMMYFUNCTION("""COMPUTED_VALUE"""),16781.0)</f>
        <v>16781</v>
      </c>
      <c r="Q18" s="2" t="str">
        <f>IFERROR(__xludf.DUMMYFUNCTION("""COMPUTED_VALUE"""),"KMC 5825 AKPFPV0032")</f>
        <v>KMC 5825 AKPFPV0032</v>
      </c>
      <c r="R18" s="2" t="str">
        <f>IFERROR(__xludf.DUMMYFUNCTION("""COMPUTED_VALUE"""),"PTS100039")</f>
        <v>PTS100039</v>
      </c>
      <c r="S18" s="2" t="str">
        <f>IFERROR(__xludf.DUMMYFUNCTION("""COMPUTED_VALUE"""),"R-SERIES 007 PH")</f>
        <v>R-SERIES 007 PH</v>
      </c>
      <c r="T18" s="2" t="str">
        <f>IFERROR(__xludf.DUMMYFUNCTION("""COMPUTED_VALUE"""),"WR LSGW 0016")</f>
        <v>WR LSGW 0016</v>
      </c>
      <c r="U18" s="2" t="str">
        <f>IFERROR(__xludf.DUMMYFUNCTION("""COMPUTED_VALUE"""),"WR WDP 0016")</f>
        <v>WR WDP 0016</v>
      </c>
      <c r="V18" s="2" t="str">
        <f>IFERROR(__xludf.DUMMYFUNCTION("""COMPUTED_VALUE"""),"good")</f>
        <v>good</v>
      </c>
      <c r="W18" s="2" t="str">
        <f>IFERROR(__xludf.DUMMYFUNCTION("""COMPUTED_VALUE"""),"VL103D")</f>
        <v>VL103D</v>
      </c>
      <c r="X18" s="2">
        <f>IFERROR(__xludf.DUMMYFUNCTION("""COMPUTED_VALUE"""),8.69066060242766E14)</f>
        <v>869066060242766</v>
      </c>
      <c r="Y18" s="2">
        <f>IFERROR(__xludf.DUMMYFUNCTION("""COMPUTED_VALUE"""),9.690123172E9)</f>
        <v>9690123172</v>
      </c>
      <c r="Z18" s="3" t="str">
        <f>IFERROR(__xludf.DUMMYFUNCTION("""COMPUTED_VALUE"""),"0323202005168612")</f>
        <v>0323202005168612</v>
      </c>
      <c r="AA18" s="2" t="str">
        <f>IFERROR(__xludf.DUMMYFUNCTION("""COMPUTED_VALUE"""),"20231115P058130727")</f>
        <v>20231115P058130727</v>
      </c>
      <c r="AB18" s="2" t="str">
        <f>IFERROR(__xludf.DUMMYFUNCTION("""COMPUTED_VALUE"""),"palanghiran")</f>
        <v>palanghiran</v>
      </c>
    </row>
    <row r="19">
      <c r="A19" s="2" t="str">
        <f>IFERROR(__xludf.DUMMYFUNCTION("""COMPUTED_VALUE"""),"TT00017")</f>
        <v>TT00017</v>
      </c>
      <c r="B19" s="2" t="str">
        <f>IFERROR(__xludf.DUMMYFUNCTION("""COMPUTED_VALUE"""),"Completed")</f>
        <v>Completed</v>
      </c>
      <c r="C19" s="2" t="str">
        <f>IFERROR(__xludf.DUMMYFUNCTION("""COMPUTED_VALUE"""),"Billed L1")</f>
        <v>Billed L1</v>
      </c>
      <c r="D19" s="79" t="str">
        <f>IFERROR(__xludf.DUMMYFUNCTION("""COMPUTED_VALUE"""),"NAGKAKAISANG LAKAS MULTI-PURPOSE COOPERATIVE")</f>
        <v>NAGKAKAISANG LAKAS MULTI-PURPOSE COOPERATIVE</v>
      </c>
      <c r="E19" s="2" t="str">
        <f>IFERROR(__xludf.DUMMYFUNCTION("""COMPUTED_VALUE"""),"LABANGAN POBLACION, SAN JOSE, OCCIDENTAL MINDORO")</f>
        <v>LABANGAN POBLACION, SAN JOSE, OCCIDENTAL MINDORO</v>
      </c>
      <c r="F19" s="2" t="str">
        <f>IFERROR(__xludf.DUMMYFUNCTION("""COMPUTED_VALUE"""),"Josephine Mallari")</f>
        <v>Josephine Mallari</v>
      </c>
      <c r="G19" s="2" t="str">
        <f>IFERROR(__xludf.DUMMYFUNCTION("""COMPUTED_VALUE"""),"0917 839 4280")</f>
        <v>0917 839 4280</v>
      </c>
      <c r="H19" s="2"/>
      <c r="I19" s="2"/>
      <c r="J19" s="2"/>
      <c r="K19" s="2" t="str">
        <f>IFERROR(__xludf.DUMMYFUNCTION("""COMPUTED_VALUE"""),"RCEF 23-08-20 Rebidding")</f>
        <v>RCEF 23-08-20 Rebidding</v>
      </c>
      <c r="L19" s="2">
        <f>IFERROR(__xludf.DUMMYFUNCTION("""COMPUTED_VALUE"""),1.0)</f>
        <v>1</v>
      </c>
      <c r="M19" s="2" t="str">
        <f>IFERROR(__xludf.DUMMYFUNCTION("""COMPUTED_VALUE"""),"4B")</f>
        <v>4B</v>
      </c>
      <c r="N19" s="74">
        <f>IFERROR(__xludf.DUMMYFUNCTION("""COMPUTED_VALUE"""),45237.0)</f>
        <v>45237</v>
      </c>
      <c r="O19" s="74">
        <f>IFERROR(__xludf.DUMMYFUNCTION("""COMPUTED_VALUE"""),45245.0)</f>
        <v>45245</v>
      </c>
      <c r="P19" s="2">
        <f>IFERROR(__xludf.DUMMYFUNCTION("""COMPUTED_VALUE"""),16782.0)</f>
        <v>16782</v>
      </c>
      <c r="Q19" s="2" t="str">
        <f>IFERROR(__xludf.DUMMYFUNCTION("""COMPUTED_VALUE"""),"KMC 5825 AKPFPV0029")</f>
        <v>KMC 5825 AKPFPV0029</v>
      </c>
      <c r="R19" s="2" t="str">
        <f>IFERROR(__xludf.DUMMYFUNCTION("""COMPUTED_VALUE"""),"PTS100022")</f>
        <v>PTS100022</v>
      </c>
      <c r="S19" s="2" t="str">
        <f>IFERROR(__xludf.DUMMYFUNCTION("""COMPUTED_VALUE"""),"R-SERIES 025 PH")</f>
        <v>R-SERIES 025 PH</v>
      </c>
      <c r="T19" s="2" t="str">
        <f>IFERROR(__xludf.DUMMYFUNCTION("""COMPUTED_VALUE"""),"WR LSGW 0017")</f>
        <v>WR LSGW 0017</v>
      </c>
      <c r="U19" s="2" t="str">
        <f>IFERROR(__xludf.DUMMYFUNCTION("""COMPUTED_VALUE"""),"WR WDP 0017")</f>
        <v>WR WDP 0017</v>
      </c>
      <c r="V19" s="2" t="str">
        <f>IFERROR(__xludf.DUMMYFUNCTION("""COMPUTED_VALUE"""),"good")</f>
        <v>good</v>
      </c>
      <c r="W19" s="2" t="str">
        <f>IFERROR(__xludf.DUMMYFUNCTION("""COMPUTED_VALUE"""),"VL103D")</f>
        <v>VL103D</v>
      </c>
      <c r="X19" s="2">
        <f>IFERROR(__xludf.DUMMYFUNCTION("""COMPUTED_VALUE"""),8.69066060244903E14)</f>
        <v>869066060244903</v>
      </c>
      <c r="Y19" s="2">
        <f>IFERROR(__xludf.DUMMYFUNCTION("""COMPUTED_VALUE"""),9.690147139E9)</f>
        <v>9690147139</v>
      </c>
      <c r="Z19" s="3" t="str">
        <f>IFERROR(__xludf.DUMMYFUNCTION("""COMPUTED_VALUE"""),"0323202005168620")</f>
        <v>0323202005168620</v>
      </c>
      <c r="AA19" s="2" t="str">
        <f>IFERROR(__xludf.DUMMYFUNCTION("""COMPUTED_VALUE"""),"20231113P058064659")</f>
        <v>20231113P058064659</v>
      </c>
      <c r="AB19" s="2" t="str">
        <f>IFERROR(__xludf.DUMMYFUNCTION("""COMPUTED_VALUE"""),"nagkakaisanglakas")</f>
        <v>nagkakaisanglakas</v>
      </c>
    </row>
    <row r="20">
      <c r="A20" s="2" t="str">
        <f>IFERROR(__xludf.DUMMYFUNCTION("""COMPUTED_VALUE"""),"TT00018")</f>
        <v>TT00018</v>
      </c>
      <c r="B20" s="2" t="str">
        <f>IFERROR(__xludf.DUMMYFUNCTION("""COMPUTED_VALUE"""),"Completed")</f>
        <v>Completed</v>
      </c>
      <c r="C20" s="2" t="str">
        <f>IFERROR(__xludf.DUMMYFUNCTION("""COMPUTED_VALUE"""),"Billed L1")</f>
        <v>Billed L1</v>
      </c>
      <c r="D20" s="79" t="str">
        <f>IFERROR(__xludf.DUMMYFUNCTION("""COMPUTED_VALUE"""),"GINTONG BUTIL FARMERS ASSOCIATION")</f>
        <v>GINTONG BUTIL FARMERS ASSOCIATION</v>
      </c>
      <c r="E20" s="2" t="str">
        <f>IFERROR(__xludf.DUMMYFUNCTION("""COMPUTED_VALUE"""),"PINAGTURIHAN, SANTA CRUZ, OCCIDENTAL MINDORO")</f>
        <v>PINAGTURIHAN, SANTA CRUZ, OCCIDENTAL MINDORO</v>
      </c>
      <c r="F20" s="2" t="str">
        <f>IFERROR(__xludf.DUMMYFUNCTION("""COMPUTED_VALUE"""),"Rodolfo Patal, Jr.")</f>
        <v>Rodolfo Patal, Jr.</v>
      </c>
      <c r="G20" s="2" t="str">
        <f>IFERROR(__xludf.DUMMYFUNCTION("""COMPUTED_VALUE"""),"0935 879 0354")</f>
        <v>0935 879 0354</v>
      </c>
      <c r="H20" s="2"/>
      <c r="I20" s="2"/>
      <c r="J20" s="2"/>
      <c r="K20" s="2" t="str">
        <f>IFERROR(__xludf.DUMMYFUNCTION("""COMPUTED_VALUE"""),"RCEF 23-08-20 Rebidding")</f>
        <v>RCEF 23-08-20 Rebidding</v>
      </c>
      <c r="L20" s="2">
        <f>IFERROR(__xludf.DUMMYFUNCTION("""COMPUTED_VALUE"""),1.0)</f>
        <v>1</v>
      </c>
      <c r="M20" s="2" t="str">
        <f>IFERROR(__xludf.DUMMYFUNCTION("""COMPUTED_VALUE"""),"4B")</f>
        <v>4B</v>
      </c>
      <c r="N20" s="74">
        <f>IFERROR(__xludf.DUMMYFUNCTION("""COMPUTED_VALUE"""),45237.0)</f>
        <v>45237</v>
      </c>
      <c r="O20" s="74">
        <f>IFERROR(__xludf.DUMMYFUNCTION("""COMPUTED_VALUE"""),45245.0)</f>
        <v>45245</v>
      </c>
      <c r="P20" s="2">
        <f>IFERROR(__xludf.DUMMYFUNCTION("""COMPUTED_VALUE"""),16783.0)</f>
        <v>16783</v>
      </c>
      <c r="Q20" s="2" t="str">
        <f>IFERROR(__xludf.DUMMYFUNCTION("""COMPUTED_VALUE"""),"KMC 5825 AEPFPV0019")</f>
        <v>KMC 5825 AEPFPV0019</v>
      </c>
      <c r="R20" s="2" t="str">
        <f>IFERROR(__xludf.DUMMYFUNCTION("""COMPUTED_VALUE"""),"PTS100040")</f>
        <v>PTS100040</v>
      </c>
      <c r="S20" s="2" t="str">
        <f>IFERROR(__xludf.DUMMYFUNCTION("""COMPUTED_VALUE"""),"R-SERIES 011 PH")</f>
        <v>R-SERIES 011 PH</v>
      </c>
      <c r="T20" s="2" t="str">
        <f>IFERROR(__xludf.DUMMYFUNCTION("""COMPUTED_VALUE"""),"WR LSGW 0018")</f>
        <v>WR LSGW 0018</v>
      </c>
      <c r="U20" s="2" t="str">
        <f>IFERROR(__xludf.DUMMYFUNCTION("""COMPUTED_VALUE"""),"WR WDP 0018")</f>
        <v>WR WDP 0018</v>
      </c>
      <c r="V20" s="2" t="str">
        <f>IFERROR(__xludf.DUMMYFUNCTION("""COMPUTED_VALUE"""),"INACTIVE - WIRINGS")</f>
        <v>INACTIVE - WIRINGS</v>
      </c>
      <c r="W20" s="2" t="str">
        <f>IFERROR(__xludf.DUMMYFUNCTION("""COMPUTED_VALUE"""),"VL103D")</f>
        <v>VL103D</v>
      </c>
      <c r="X20" s="2">
        <f>IFERROR(__xludf.DUMMYFUNCTION("""COMPUTED_VALUE"""),8.69066060236958E14)</f>
        <v>869066060236958</v>
      </c>
      <c r="Y20" s="2">
        <f>IFERROR(__xludf.DUMMYFUNCTION("""COMPUTED_VALUE"""),9.690163512E9)</f>
        <v>9690163512</v>
      </c>
      <c r="Z20" s="3" t="str">
        <f>IFERROR(__xludf.DUMMYFUNCTION("""COMPUTED_VALUE"""),"0323202005168638")</f>
        <v>0323202005168638</v>
      </c>
      <c r="AA20" s="2" t="str">
        <f>IFERROR(__xludf.DUMMYFUNCTION("""COMPUTED_VALUE"""),"20231115P058130043")</f>
        <v>20231115P058130043</v>
      </c>
      <c r="AB20" s="2" t="str">
        <f>IFERROR(__xludf.DUMMYFUNCTION("""COMPUTED_VALUE"""),"gintongbutil")</f>
        <v>gintongbutil</v>
      </c>
    </row>
    <row r="21">
      <c r="A21" s="2" t="str">
        <f>IFERROR(__xludf.DUMMYFUNCTION("""COMPUTED_VALUE"""),"TT00019")</f>
        <v>TT00019</v>
      </c>
      <c r="B21" s="2"/>
      <c r="C21" s="2" t="str">
        <f>IFERROR(__xludf.DUMMYFUNCTION("""COMPUTED_VALUE"""),"FOR BILLING L1")</f>
        <v>FOR BILLING L1</v>
      </c>
      <c r="D21" s="79" t="str">
        <f>IFERROR(__xludf.DUMMYFUNCTION("""COMPUTED_VALUE"""),"MUNICIPAL LOCAL GOVERNMENT UNIT OF LOOC")</f>
        <v>MUNICIPAL LOCAL GOVERNMENT UNIT OF LOOC</v>
      </c>
      <c r="E21" s="2" t="str">
        <f>IFERROR(__xludf.DUMMYFUNCTION("""COMPUTED_VALUE"""),"POBLACION GUITNA, LOOC, OCCIDENTAL MINDORO")</f>
        <v>POBLACION GUITNA, LOOC, OCCIDENTAL MINDORO</v>
      </c>
      <c r="F21" s="2" t="str">
        <f>IFERROR(__xludf.DUMMYFUNCTION("""COMPUTED_VALUE"""),"Hon. Marlon Dela Torre")</f>
        <v>Hon. Marlon Dela Torre</v>
      </c>
      <c r="G21" s="2" t="str">
        <f>IFERROR(__xludf.DUMMYFUNCTION("""COMPUTED_VALUE"""),"0999 758 7240")</f>
        <v>0999 758 7240</v>
      </c>
      <c r="H21" s="2"/>
      <c r="I21" s="2"/>
      <c r="J21" s="2" t="str">
        <f>IFERROR(__xludf.DUMMYFUNCTION("""COMPUTED_VALUE"""),"w/ pending")</f>
        <v>w/ pending</v>
      </c>
      <c r="K21" s="2" t="str">
        <f>IFERROR(__xludf.DUMMYFUNCTION("""COMPUTED_VALUE"""),"RCEF 23-08-20 Rebidding")</f>
        <v>RCEF 23-08-20 Rebidding</v>
      </c>
      <c r="L21" s="2">
        <f>IFERROR(__xludf.DUMMYFUNCTION("""COMPUTED_VALUE"""),1.0)</f>
        <v>1</v>
      </c>
      <c r="M21" s="2" t="str">
        <f>IFERROR(__xludf.DUMMYFUNCTION("""COMPUTED_VALUE"""),"4B")</f>
        <v>4B</v>
      </c>
      <c r="N21" s="2"/>
      <c r="O21" s="2"/>
      <c r="P21" s="2"/>
      <c r="Q21" s="2"/>
      <c r="R21" s="2"/>
      <c r="S21" s="2"/>
      <c r="T21" s="2"/>
      <c r="U21" s="2"/>
      <c r="V21" s="2"/>
      <c r="W21" s="2" t="str">
        <f>IFERROR(__xludf.DUMMYFUNCTION("""COMPUTED_VALUE"""),"VL103D")</f>
        <v>VL103D</v>
      </c>
      <c r="X21" s="2"/>
      <c r="Y21" s="2"/>
      <c r="Z21" s="2"/>
      <c r="AA21" s="2"/>
      <c r="AB21" s="2" t="str">
        <f>IFERROR(__xludf.DUMMYFUNCTION("""COMPUTED_VALUE"""),"mlgulooc")</f>
        <v>mlgulooc</v>
      </c>
    </row>
    <row r="22">
      <c r="A22" s="2" t="str">
        <f>IFERROR(__xludf.DUMMYFUNCTION("""COMPUTED_VALUE"""),"TT00020")</f>
        <v>TT00020</v>
      </c>
      <c r="B22" s="2"/>
      <c r="C22" s="2" t="str">
        <f>IFERROR(__xludf.DUMMYFUNCTION("""COMPUTED_VALUE"""),"FOR BILLING L1")</f>
        <v>FOR BILLING L1</v>
      </c>
      <c r="D22" s="79" t="str">
        <f>IFERROR(__xludf.DUMMYFUNCTION("""COMPUTED_VALUE"""),"BRGY. VIGO-DANGAY FARMERS IRRIGATORS ASSOCIATION INC.")</f>
        <v>BRGY. VIGO-DANGAY FARMERS IRRIGATORS ASSOCIATION INC.</v>
      </c>
      <c r="E22" s="2" t="str">
        <f>IFERROR(__xludf.DUMMYFUNCTION("""COMPUTED_VALUE"""),"VIGO, LUBANG, OCCIDENTAL MINDORO")</f>
        <v>VIGO, LUBANG, OCCIDENTAL MINDORO</v>
      </c>
      <c r="F22" s="2" t="str">
        <f>IFERROR(__xludf.DUMMYFUNCTION("""COMPUTED_VALUE"""),"Abelardo P. De Lemos, Jr.")</f>
        <v>Abelardo P. De Lemos, Jr.</v>
      </c>
      <c r="G22" s="2" t="str">
        <f>IFERROR(__xludf.DUMMYFUNCTION("""COMPUTED_VALUE"""),"0999 423 2211")</f>
        <v>0999 423 2211</v>
      </c>
      <c r="H22" s="2"/>
      <c r="I22" s="2"/>
      <c r="J22" s="2" t="str">
        <f>IFERROR(__xludf.DUMMYFUNCTION("""COMPUTED_VALUE"""),"w/ pending")</f>
        <v>w/ pending</v>
      </c>
      <c r="K22" s="2" t="str">
        <f>IFERROR(__xludf.DUMMYFUNCTION("""COMPUTED_VALUE"""),"RCEF 23-08-20 Rebidding")</f>
        <v>RCEF 23-08-20 Rebidding</v>
      </c>
      <c r="L22" s="2">
        <f>IFERROR(__xludf.DUMMYFUNCTION("""COMPUTED_VALUE"""),1.0)</f>
        <v>1</v>
      </c>
      <c r="M22" s="2" t="str">
        <f>IFERROR(__xludf.DUMMYFUNCTION("""COMPUTED_VALUE"""),"4B")</f>
        <v>4B</v>
      </c>
      <c r="N22" s="2"/>
      <c r="O22" s="2"/>
      <c r="P22" s="2"/>
      <c r="Q22" s="2"/>
      <c r="R22" s="2"/>
      <c r="S22" s="2"/>
      <c r="T22" s="2"/>
      <c r="U22" s="2"/>
      <c r="V22" s="2"/>
      <c r="W22" s="2" t="str">
        <f>IFERROR(__xludf.DUMMYFUNCTION("""COMPUTED_VALUE"""),"VL103D")</f>
        <v>VL103D</v>
      </c>
      <c r="X22" s="2"/>
      <c r="Y22" s="2"/>
      <c r="Z22" s="2"/>
      <c r="AA22" s="2"/>
      <c r="AB22" s="2" t="str">
        <f>IFERROR(__xludf.DUMMYFUNCTION("""COMPUTED_VALUE"""),"vigo-dangay")</f>
        <v>vigo-dangay</v>
      </c>
    </row>
    <row r="23">
      <c r="A23" s="2" t="str">
        <f>IFERROR(__xludf.DUMMYFUNCTION("""COMPUTED_VALUE"""),"TT00021")</f>
        <v>TT00021</v>
      </c>
      <c r="B23" s="2" t="str">
        <f>IFERROR(__xludf.DUMMYFUNCTION("""COMPUTED_VALUE"""),"Completed")</f>
        <v>Completed</v>
      </c>
      <c r="C23" s="2" t="str">
        <f>IFERROR(__xludf.DUMMYFUNCTION("""COMPUTED_VALUE"""),"Billed L1")</f>
        <v>Billed L1</v>
      </c>
      <c r="D23" s="2" t="str">
        <f>IFERROR(__xludf.DUMMYFUNCTION("""COMPUTED_VALUE"""),"MALAPAD FARMERS ASSOCIATION")</f>
        <v>MALAPAD FARMERS ASSOCIATION</v>
      </c>
      <c r="E23" s="2" t="str">
        <f>IFERROR(__xludf.DUMMYFUNCTION("""COMPUTED_VALUE"""),"Malapad, Baco, Oriental Mindoro")</f>
        <v>Malapad, Baco, Oriental Mindoro</v>
      </c>
      <c r="F23" s="2" t="str">
        <f>IFERROR(__xludf.DUMMYFUNCTION("""COMPUTED_VALUE"""),"ROLANDO MANDITA")</f>
        <v>ROLANDO MANDITA</v>
      </c>
      <c r="G23" s="2" t="str">
        <f>IFERROR(__xludf.DUMMYFUNCTION("""COMPUTED_VALUE"""),"0955 378 7221")</f>
        <v>0955 378 7221</v>
      </c>
      <c r="H23" s="2"/>
      <c r="I23" s="2"/>
      <c r="J23" s="2"/>
      <c r="K23" s="2" t="str">
        <f>IFERROR(__xludf.DUMMYFUNCTION("""COMPUTED_VALUE"""),"RCEF 23-08-20 Rebidding")</f>
        <v>RCEF 23-08-20 Rebidding</v>
      </c>
      <c r="L23" s="2">
        <f>IFERROR(__xludf.DUMMYFUNCTION("""COMPUTED_VALUE"""),1.0)</f>
        <v>1</v>
      </c>
      <c r="M23" s="2" t="str">
        <f>IFERROR(__xludf.DUMMYFUNCTION("""COMPUTED_VALUE"""),"4B")</f>
        <v>4B</v>
      </c>
      <c r="N23" s="80">
        <f>IFERROR(__xludf.DUMMYFUNCTION("""COMPUTED_VALUE"""),45252.0)</f>
        <v>45252</v>
      </c>
      <c r="O23" s="74">
        <f>IFERROR(__xludf.DUMMYFUNCTION("""COMPUTED_VALUE"""),45257.0)</f>
        <v>45257</v>
      </c>
      <c r="P23" s="2">
        <f>IFERROR(__xludf.DUMMYFUNCTION("""COMPUTED_VALUE"""),17379.0)</f>
        <v>17379</v>
      </c>
      <c r="Q23" s="2" t="str">
        <f>IFERROR(__xludf.DUMMYFUNCTION("""COMPUTED_VALUE"""),"KMC 5825 AAPFPV0005")</f>
        <v>KMC 5825 AAPFPV0005</v>
      </c>
      <c r="R23" s="2" t="str">
        <f>IFERROR(__xludf.DUMMYFUNCTION("""COMPUTED_VALUE"""),"PTS100012")</f>
        <v>PTS100012</v>
      </c>
      <c r="S23" s="2" t="str">
        <f>IFERROR(__xludf.DUMMYFUNCTION("""COMPUTED_VALUE"""),"R-SERIES 028 PH")</f>
        <v>R-SERIES 028 PH</v>
      </c>
      <c r="T23" s="2" t="str">
        <f>IFERROR(__xludf.DUMMYFUNCTION("""COMPUTED_VALUE"""),"LSGW1750-RMP-2312036")</f>
        <v>LSGW1750-RMP-2312036</v>
      </c>
      <c r="U23" s="2" t="str">
        <f>IFERROR(__xludf.DUMMYFUNCTION("""COMPUTED_VALUE"""),"WDP40-RMP-2312069")</f>
        <v>WDP40-RMP-2312069</v>
      </c>
      <c r="V23" s="2" t="str">
        <f>IFERROR(__xludf.DUMMYFUNCTION("""COMPUTED_VALUE"""),"INACTIVE - WIRINGS")</f>
        <v>INACTIVE - WIRINGS</v>
      </c>
      <c r="W23" s="2" t="str">
        <f>IFERROR(__xludf.DUMMYFUNCTION("""COMPUTED_VALUE"""),"VL103D")</f>
        <v>VL103D</v>
      </c>
      <c r="X23" s="2">
        <f>IFERROR(__xludf.DUMMYFUNCTION("""COMPUTED_VALUE"""),8.69066060239697E14)</f>
        <v>869066060239697</v>
      </c>
      <c r="Y23" s="2">
        <f>IFERROR(__xludf.DUMMYFUNCTION("""COMPUTED_VALUE"""),9.690408964E9)</f>
        <v>9690408964</v>
      </c>
      <c r="Z23" s="3" t="str">
        <f>IFERROR(__xludf.DUMMYFUNCTION("""COMPUTED_VALUE"""),"0323202005168679")</f>
        <v>0323202005168679</v>
      </c>
      <c r="AA23" s="2" t="str">
        <f>IFERROR(__xludf.DUMMYFUNCTION("""COMPUTED_VALUE"""),"20231121P058381389")</f>
        <v>20231121P058381389</v>
      </c>
      <c r="AB23" s="2" t="str">
        <f>IFERROR(__xludf.DUMMYFUNCTION("""COMPUTED_VALUE"""),"malapadfa")</f>
        <v>malapadfa</v>
      </c>
    </row>
    <row r="24">
      <c r="A24" s="2" t="str">
        <f>IFERROR(__xludf.DUMMYFUNCTION("""COMPUTED_VALUE"""),"TT00022")</f>
        <v>TT00022</v>
      </c>
      <c r="B24" s="2" t="str">
        <f>IFERROR(__xludf.DUMMYFUNCTION("""COMPUTED_VALUE"""),"Completed")</f>
        <v>Completed</v>
      </c>
      <c r="C24" s="2" t="str">
        <f>IFERROR(__xludf.DUMMYFUNCTION("""COMPUTED_VALUE"""),"Billed L1")</f>
        <v>Billed L1</v>
      </c>
      <c r="D24" s="2" t="str">
        <f>IFERROR(__xludf.DUMMYFUNCTION("""COMPUTED_VALUE"""),"SAMAHAN NG MGA MAGSASAKA NG BARANGAY BAYANAN II")</f>
        <v>SAMAHAN NG MGA MAGSASAKA NG BARANGAY BAYANAN II</v>
      </c>
      <c r="E24" s="2" t="str">
        <f>IFERROR(__xludf.DUMMYFUNCTION("""COMPUTED_VALUE"""),"Bayanan II, Calapan City, Oriental Mindoro")</f>
        <v>Bayanan II, Calapan City, Oriental Mindoro</v>
      </c>
      <c r="F24" s="2" t="str">
        <f>IFERROR(__xludf.DUMMYFUNCTION("""COMPUTED_VALUE"""),"EDGAR C. BALMES")</f>
        <v>EDGAR C. BALMES</v>
      </c>
      <c r="G24" s="2" t="str">
        <f>IFERROR(__xludf.DUMMYFUNCTION("""COMPUTED_VALUE"""),"0936 940 1320")</f>
        <v>0936 940 1320</v>
      </c>
      <c r="H24" s="2"/>
      <c r="I24" s="2"/>
      <c r="J24" s="2"/>
      <c r="K24" s="2" t="str">
        <f>IFERROR(__xludf.DUMMYFUNCTION("""COMPUTED_VALUE"""),"RCEF 23-08-20 Rebidding")</f>
        <v>RCEF 23-08-20 Rebidding</v>
      </c>
      <c r="L24" s="2">
        <f>IFERROR(__xludf.DUMMYFUNCTION("""COMPUTED_VALUE"""),1.0)</f>
        <v>1</v>
      </c>
      <c r="M24" s="2" t="str">
        <f>IFERROR(__xludf.DUMMYFUNCTION("""COMPUTED_VALUE"""),"4B")</f>
        <v>4B</v>
      </c>
      <c r="N24" s="80">
        <f>IFERROR(__xludf.DUMMYFUNCTION("""COMPUTED_VALUE"""),45252.0)</f>
        <v>45252</v>
      </c>
      <c r="O24" s="74">
        <f>IFERROR(__xludf.DUMMYFUNCTION("""COMPUTED_VALUE"""),45257.0)</f>
        <v>45257</v>
      </c>
      <c r="P24" s="2">
        <f>IFERROR(__xludf.DUMMYFUNCTION("""COMPUTED_VALUE"""),17380.0)</f>
        <v>17380</v>
      </c>
      <c r="Q24" s="2" t="str">
        <f>IFERROR(__xludf.DUMMYFUNCTION("""COMPUTED_VALUE"""),"KMC 5825 AVPFPV0035")</f>
        <v>KMC 5825 AVPFPV0035</v>
      </c>
      <c r="R24" s="2" t="str">
        <f>IFERROR(__xludf.DUMMYFUNCTION("""COMPUTED_VALUE"""),"PTS100034")</f>
        <v>PTS100034</v>
      </c>
      <c r="S24" s="2" t="str">
        <f>IFERROR(__xludf.DUMMYFUNCTION("""COMPUTED_VALUE"""),"R-SERIES 013 PH")</f>
        <v>R-SERIES 013 PH</v>
      </c>
      <c r="T24" s="2" t="str">
        <f>IFERROR(__xludf.DUMMYFUNCTION("""COMPUTED_VALUE"""),"LSGW1750-RMP-2312024")</f>
        <v>LSGW1750-RMP-2312024</v>
      </c>
      <c r="U24" s="2" t="str">
        <f>IFERROR(__xludf.DUMMYFUNCTION("""COMPUTED_VALUE"""),"WDP40-RMP-2312072")</f>
        <v>WDP40-RMP-2312072</v>
      </c>
      <c r="V24" s="2" t="str">
        <f>IFERROR(__xludf.DUMMYFUNCTION("""COMPUTED_VALUE"""),"good")</f>
        <v>good</v>
      </c>
      <c r="W24" s="2" t="str">
        <f>IFERROR(__xludf.DUMMYFUNCTION("""COMPUTED_VALUE"""),"VL103D")</f>
        <v>VL103D</v>
      </c>
      <c r="X24" s="2">
        <f>IFERROR(__xludf.DUMMYFUNCTION("""COMPUTED_VALUE"""),8.69066060239853E14)</f>
        <v>869066060239853</v>
      </c>
      <c r="Y24" s="2">
        <f>IFERROR(__xludf.DUMMYFUNCTION("""COMPUTED_VALUE"""),9.690349831E9)</f>
        <v>9690349831</v>
      </c>
      <c r="Z24" s="3" t="str">
        <f>IFERROR(__xludf.DUMMYFUNCTION("""COMPUTED_VALUE"""),"0323202005168687")</f>
        <v>0323202005168687</v>
      </c>
      <c r="AA24" s="2" t="str">
        <f>IFERROR(__xludf.DUMMYFUNCTION("""COMPUTED_VALUE"""),"20231121P058381726")</f>
        <v>20231121P058381726</v>
      </c>
      <c r="AB24" s="2" t="str">
        <f>IFERROR(__xludf.DUMMYFUNCTION("""COMPUTED_VALUE"""),"bayananii")</f>
        <v>bayananii</v>
      </c>
    </row>
    <row r="25">
      <c r="A25" s="2" t="str">
        <f>IFERROR(__xludf.DUMMYFUNCTION("""COMPUTED_VALUE"""),"TT00023")</f>
        <v>TT00023</v>
      </c>
      <c r="B25" s="2" t="str">
        <f>IFERROR(__xludf.DUMMYFUNCTION("""COMPUTED_VALUE"""),"Completed")</f>
        <v>Completed</v>
      </c>
      <c r="C25" s="2" t="str">
        <f>IFERROR(__xludf.DUMMYFUNCTION("""COMPUTED_VALUE"""),"Billed L1")</f>
        <v>Billed L1</v>
      </c>
      <c r="D25" s="2" t="str">
        <f>IFERROR(__xludf.DUMMYFUNCTION("""COMPUTED_VALUE"""),"GULOD FARMERS ASSOCIATION")</f>
        <v>GULOD FARMERS ASSOCIATION</v>
      </c>
      <c r="E25" s="2" t="str">
        <f>IFERROR(__xludf.DUMMYFUNCTION("""COMPUTED_VALUE"""),"Gulod, Calapan City, Oriental Mindoro")</f>
        <v>Gulod, Calapan City, Oriental Mindoro</v>
      </c>
      <c r="F25" s="2" t="str">
        <f>IFERROR(__xludf.DUMMYFUNCTION("""COMPUTED_VALUE"""),"CELEDONIO GONZALES")</f>
        <v>CELEDONIO GONZALES</v>
      </c>
      <c r="G25" s="2" t="str">
        <f>IFERROR(__xludf.DUMMYFUNCTION("""COMPUTED_VALUE"""),"0960 919 4546
 0915 389 7698")</f>
        <v>0960 919 4546
 0915 389 7698</v>
      </c>
      <c r="H25" s="2"/>
      <c r="I25" s="2"/>
      <c r="J25" s="2"/>
      <c r="K25" s="2" t="str">
        <f>IFERROR(__xludf.DUMMYFUNCTION("""COMPUTED_VALUE"""),"RCEF 23-08-20 Rebidding")</f>
        <v>RCEF 23-08-20 Rebidding</v>
      </c>
      <c r="L25" s="2">
        <f>IFERROR(__xludf.DUMMYFUNCTION("""COMPUTED_VALUE"""),1.0)</f>
        <v>1</v>
      </c>
      <c r="M25" s="2" t="str">
        <f>IFERROR(__xludf.DUMMYFUNCTION("""COMPUTED_VALUE"""),"4B")</f>
        <v>4B</v>
      </c>
      <c r="N25" s="80">
        <f>IFERROR(__xludf.DUMMYFUNCTION("""COMPUTED_VALUE"""),45252.0)</f>
        <v>45252</v>
      </c>
      <c r="O25" s="74">
        <f>IFERROR(__xludf.DUMMYFUNCTION("""COMPUTED_VALUE"""),45257.0)</f>
        <v>45257</v>
      </c>
      <c r="P25" s="2">
        <f>IFERROR(__xludf.DUMMYFUNCTION("""COMPUTED_VALUE"""),17381.0)</f>
        <v>17381</v>
      </c>
      <c r="Q25" s="2" t="str">
        <f>IFERROR(__xludf.DUMMYFUNCTION("""COMPUTED_VALUE"""),"KMC 5825 ACPFPV0009")</f>
        <v>KMC 5825 ACPFPV0009</v>
      </c>
      <c r="R25" s="2" t="str">
        <f>IFERROR(__xludf.DUMMYFUNCTION("""COMPUTED_VALUE"""),"PTS100006")</f>
        <v>PTS100006</v>
      </c>
      <c r="S25" s="2" t="str">
        <f>IFERROR(__xludf.DUMMYFUNCTION("""COMPUTED_VALUE"""),"R-SERIES 042 PH")</f>
        <v>R-SERIES 042 PH</v>
      </c>
      <c r="T25" s="2" t="str">
        <f>IFERROR(__xludf.DUMMYFUNCTION("""COMPUTED_VALUE"""),"LSGW1750-RMP-2312016")</f>
        <v>LSGW1750-RMP-2312016</v>
      </c>
      <c r="U25" s="2" t="str">
        <f>IFERROR(__xludf.DUMMYFUNCTION("""COMPUTED_VALUE"""),"WDP40-RMP-2312053")</f>
        <v>WDP40-RMP-2312053</v>
      </c>
      <c r="V25" s="2" t="str">
        <f>IFERROR(__xludf.DUMMYFUNCTION("""COMPUTED_VALUE"""),"good")</f>
        <v>good</v>
      </c>
      <c r="W25" s="2" t="str">
        <f>IFERROR(__xludf.DUMMYFUNCTION("""COMPUTED_VALUE"""),"VL103D")</f>
        <v>VL103D</v>
      </c>
      <c r="X25" s="2">
        <f>IFERROR(__xludf.DUMMYFUNCTION("""COMPUTED_VALUE"""),8.69066060239481E14)</f>
        <v>869066060239481</v>
      </c>
      <c r="Y25" s="2">
        <f>IFERROR(__xludf.DUMMYFUNCTION("""COMPUTED_VALUE"""),9.690266981E9)</f>
        <v>9690266981</v>
      </c>
      <c r="Z25" s="3" t="str">
        <f>IFERROR(__xludf.DUMMYFUNCTION("""COMPUTED_VALUE"""),"0323202005168695")</f>
        <v>0323202005168695</v>
      </c>
      <c r="AA25" s="2" t="str">
        <f>IFERROR(__xludf.DUMMYFUNCTION("""COMPUTED_VALUE"""),"20231121P058389073")</f>
        <v>20231121P058389073</v>
      </c>
      <c r="AB25" s="2" t="str">
        <f>IFERROR(__xludf.DUMMYFUNCTION("""COMPUTED_VALUE"""),"gulodfa")</f>
        <v>gulodfa</v>
      </c>
    </row>
    <row r="26">
      <c r="A26" s="2" t="str">
        <f>IFERROR(__xludf.DUMMYFUNCTION("""COMPUTED_VALUE"""),"TT00024")</f>
        <v>TT00024</v>
      </c>
      <c r="B26" s="2" t="str">
        <f>IFERROR(__xludf.DUMMYFUNCTION("""COMPUTED_VALUE"""),"Completed")</f>
        <v>Completed</v>
      </c>
      <c r="C26" s="2" t="str">
        <f>IFERROR(__xludf.DUMMYFUNCTION("""COMPUTED_VALUE"""),"Billed L1")</f>
        <v>Billed L1</v>
      </c>
      <c r="D26" s="2" t="str">
        <f>IFERROR(__xludf.DUMMYFUNCTION("""COMPUTED_VALUE"""),"BALINGAYAN FARMERS ASSOCIATION")</f>
        <v>BALINGAYAN FARMERS ASSOCIATION</v>
      </c>
      <c r="E26" s="2" t="str">
        <f>IFERROR(__xludf.DUMMYFUNCTION("""COMPUTED_VALUE"""),"Balingayan, Calapan City, Oriental Mindoro")</f>
        <v>Balingayan, Calapan City, Oriental Mindoro</v>
      </c>
      <c r="F26" s="2" t="str">
        <f>IFERROR(__xludf.DUMMYFUNCTION("""COMPUTED_VALUE"""),"C ROBERTO S. BRUCAL")</f>
        <v>C ROBERTO S. BRUCAL</v>
      </c>
      <c r="G26" s="2" t="str">
        <f>IFERROR(__xludf.DUMMYFUNCTION("""COMPUTED_VALUE"""),"0917 270 7772
 0968 622 4404")</f>
        <v>0917 270 7772
 0968 622 4404</v>
      </c>
      <c r="H26" s="2"/>
      <c r="I26" s="2"/>
      <c r="J26" s="2"/>
      <c r="K26" s="2" t="str">
        <f>IFERROR(__xludf.DUMMYFUNCTION("""COMPUTED_VALUE"""),"RCEF 23-08-20 Rebidding")</f>
        <v>RCEF 23-08-20 Rebidding</v>
      </c>
      <c r="L26" s="2">
        <f>IFERROR(__xludf.DUMMYFUNCTION("""COMPUTED_VALUE"""),1.0)</f>
        <v>1</v>
      </c>
      <c r="M26" s="2" t="str">
        <f>IFERROR(__xludf.DUMMYFUNCTION("""COMPUTED_VALUE"""),"4B")</f>
        <v>4B</v>
      </c>
      <c r="N26" s="80">
        <f>IFERROR(__xludf.DUMMYFUNCTION("""COMPUTED_VALUE"""),45252.0)</f>
        <v>45252</v>
      </c>
      <c r="O26" s="74">
        <f>IFERROR(__xludf.DUMMYFUNCTION("""COMPUTED_VALUE"""),45257.0)</f>
        <v>45257</v>
      </c>
      <c r="P26" s="2">
        <f>IFERROR(__xludf.DUMMYFUNCTION("""COMPUTED_VALUE"""),17382.0)</f>
        <v>17382</v>
      </c>
      <c r="Q26" s="2" t="str">
        <f>IFERROR(__xludf.DUMMYFUNCTION("""COMPUTED_VALUE"""),"KMC 5825 AHPFPV0007")</f>
        <v>KMC 5825 AHPFPV0007</v>
      </c>
      <c r="R26" s="2" t="str">
        <f>IFERROR(__xludf.DUMMYFUNCTION("""COMPUTED_VALUE"""),"PTS100008")</f>
        <v>PTS100008</v>
      </c>
      <c r="S26" s="2" t="str">
        <f>IFERROR(__xludf.DUMMYFUNCTION("""COMPUTED_VALUE"""),"R-SERIES 021 PH")</f>
        <v>R-SERIES 021 PH</v>
      </c>
      <c r="T26" s="2" t="str">
        <f>IFERROR(__xludf.DUMMYFUNCTION("""COMPUTED_VALUE"""),"LSGW1750-RMP-2312014")</f>
        <v>LSGW1750-RMP-2312014</v>
      </c>
      <c r="U26" s="2" t="str">
        <f>IFERROR(__xludf.DUMMYFUNCTION("""COMPUTED_VALUE"""),"WDP40-RMP-2312056")</f>
        <v>WDP40-RMP-2312056</v>
      </c>
      <c r="V26" s="2" t="str">
        <f>IFERROR(__xludf.DUMMYFUNCTION("""COMPUTED_VALUE"""),"good")</f>
        <v>good</v>
      </c>
      <c r="W26" s="2" t="str">
        <f>IFERROR(__xludf.DUMMYFUNCTION("""COMPUTED_VALUE"""),"VL103D")</f>
        <v>VL103D</v>
      </c>
      <c r="X26" s="2">
        <f>IFERROR(__xludf.DUMMYFUNCTION("""COMPUTED_VALUE"""),8.69066060239028E14)</f>
        <v>869066060239028</v>
      </c>
      <c r="Y26" s="2">
        <f>IFERROR(__xludf.DUMMYFUNCTION("""COMPUTED_VALUE"""),9.690217386E9)</f>
        <v>9690217386</v>
      </c>
      <c r="Z26" s="3" t="str">
        <f>IFERROR(__xludf.DUMMYFUNCTION("""COMPUTED_VALUE"""),"0323202005168703")</f>
        <v>0323202005168703</v>
      </c>
      <c r="AA26" s="2" t="str">
        <f>IFERROR(__xludf.DUMMYFUNCTION("""COMPUTED_VALUE"""),"20231121P058382241")</f>
        <v>20231121P058382241</v>
      </c>
      <c r="AB26" s="2" t="str">
        <f>IFERROR(__xludf.DUMMYFUNCTION("""COMPUTED_VALUE"""),"balingayanfa")</f>
        <v>balingayanfa</v>
      </c>
    </row>
    <row r="27">
      <c r="A27" s="2" t="str">
        <f>IFERROR(__xludf.DUMMYFUNCTION("""COMPUTED_VALUE"""),"TT00025")</f>
        <v>TT00025</v>
      </c>
      <c r="B27" s="2" t="str">
        <f>IFERROR(__xludf.DUMMYFUNCTION("""COMPUTED_VALUE"""),"Completed")</f>
        <v>Completed</v>
      </c>
      <c r="C27" s="2" t="str">
        <f>IFERROR(__xludf.DUMMYFUNCTION("""COMPUTED_VALUE"""),"Billed L1")</f>
        <v>Billed L1</v>
      </c>
      <c r="D27" s="2" t="str">
        <f>IFERROR(__xludf.DUMMYFUNCTION("""COMPUTED_VALUE"""),"BARANGAY MALINAO FARMERS' ASSOCIATION")</f>
        <v>BARANGAY MALINAO FARMERS' ASSOCIATION</v>
      </c>
      <c r="E27" s="2" t="str">
        <f>IFERROR(__xludf.DUMMYFUNCTION("""COMPUTED_VALUE"""),"Malinao, Naujan, Oriental Mindoro")</f>
        <v>Malinao, Naujan, Oriental Mindoro</v>
      </c>
      <c r="F27" s="2" t="str">
        <f>IFERROR(__xludf.DUMMYFUNCTION("""COMPUTED_VALUE"""),"ERVIN D. GARILLO")</f>
        <v>ERVIN D. GARILLO</v>
      </c>
      <c r="G27" s="2" t="str">
        <f>IFERROR(__xludf.DUMMYFUNCTION("""COMPUTED_VALUE"""),"0956 911 1213")</f>
        <v>0956 911 1213</v>
      </c>
      <c r="H27" s="2"/>
      <c r="I27" s="2"/>
      <c r="J27" s="2"/>
      <c r="K27" s="2" t="str">
        <f>IFERROR(__xludf.DUMMYFUNCTION("""COMPUTED_VALUE"""),"RCEF 23-08-20 Rebidding")</f>
        <v>RCEF 23-08-20 Rebidding</v>
      </c>
      <c r="L27" s="2">
        <f>IFERROR(__xludf.DUMMYFUNCTION("""COMPUTED_VALUE"""),1.0)</f>
        <v>1</v>
      </c>
      <c r="M27" s="2" t="str">
        <f>IFERROR(__xludf.DUMMYFUNCTION("""COMPUTED_VALUE"""),"4B")</f>
        <v>4B</v>
      </c>
      <c r="N27" s="80">
        <f>IFERROR(__xludf.DUMMYFUNCTION("""COMPUTED_VALUE"""),45252.0)</f>
        <v>45252</v>
      </c>
      <c r="O27" s="74">
        <f>IFERROR(__xludf.DUMMYFUNCTION("""COMPUTED_VALUE"""),45257.0)</f>
        <v>45257</v>
      </c>
      <c r="P27" s="2">
        <f>IFERROR(__xludf.DUMMYFUNCTION("""COMPUTED_VALUE"""),17383.0)</f>
        <v>17383</v>
      </c>
      <c r="Q27" s="2" t="str">
        <f>IFERROR(__xludf.DUMMYFUNCTION("""COMPUTED_VALUE"""),"KMC 5825 ACPFPV0012")</f>
        <v>KMC 5825 ACPFPV0012</v>
      </c>
      <c r="R27" s="2" t="str">
        <f>IFERROR(__xludf.DUMMYFUNCTION("""COMPUTED_VALUE"""),"PTS100019")</f>
        <v>PTS100019</v>
      </c>
      <c r="S27" s="2" t="str">
        <f>IFERROR(__xludf.DUMMYFUNCTION("""COMPUTED_VALUE"""),"R-SERIES 049 PH")</f>
        <v>R-SERIES 049 PH</v>
      </c>
      <c r="T27" s="2" t="str">
        <f>IFERROR(__xludf.DUMMYFUNCTION("""COMPUTED_VALUE"""),"LSGW1750-RMP-2312003")</f>
        <v>LSGW1750-RMP-2312003</v>
      </c>
      <c r="U27" s="2" t="str">
        <f>IFERROR(__xludf.DUMMYFUNCTION("""COMPUTED_VALUE"""),"WDP40-RMP-2312063")</f>
        <v>WDP40-RMP-2312063</v>
      </c>
      <c r="V27" s="2" t="str">
        <f>IFERROR(__xludf.DUMMYFUNCTION("""COMPUTED_VALUE"""),"good")</f>
        <v>good</v>
      </c>
      <c r="W27" s="2" t="str">
        <f>IFERROR(__xludf.DUMMYFUNCTION("""COMPUTED_VALUE"""),"VL103D")</f>
        <v>VL103D</v>
      </c>
      <c r="X27" s="2">
        <f>IFERROR(__xludf.DUMMYFUNCTION("""COMPUTED_VALUE"""),8.69066060243749E14)</f>
        <v>869066060243749</v>
      </c>
      <c r="Y27" s="2">
        <f>IFERROR(__xludf.DUMMYFUNCTION("""COMPUTED_VALUE"""),9.086899321E9)</f>
        <v>9086899321</v>
      </c>
      <c r="Z27" s="3" t="str">
        <f>IFERROR(__xludf.DUMMYFUNCTION("""COMPUTED_VALUE"""),"0323202005168711")</f>
        <v>0323202005168711</v>
      </c>
      <c r="AA27" s="2" t="str">
        <f>IFERROR(__xludf.DUMMYFUNCTION("""COMPUTED_VALUE"""),"20231121P058382875")</f>
        <v>20231121P058382875</v>
      </c>
      <c r="AB27" s="2" t="str">
        <f>IFERROR(__xludf.DUMMYFUNCTION("""COMPUTED_VALUE"""),"malinaofa")</f>
        <v>malinaofa</v>
      </c>
    </row>
    <row r="28">
      <c r="A28" s="2" t="str">
        <f>IFERROR(__xludf.DUMMYFUNCTION("""COMPUTED_VALUE"""),"TT00026")</f>
        <v>TT00026</v>
      </c>
      <c r="B28" s="2" t="str">
        <f>IFERROR(__xludf.DUMMYFUNCTION("""COMPUTED_VALUE"""),"Completed")</f>
        <v>Completed</v>
      </c>
      <c r="C28" s="2" t="str">
        <f>IFERROR(__xludf.DUMMYFUNCTION("""COMPUTED_VALUE"""),"Billed L1")</f>
        <v>Billed L1</v>
      </c>
      <c r="D28" s="2" t="str">
        <f>IFERROR(__xludf.DUMMYFUNCTION("""COMPUTED_VALUE"""),"BAGONG BUHAY FARMERS ASSOCIATION")</f>
        <v>BAGONG BUHAY FARMERS ASSOCIATION</v>
      </c>
      <c r="E28" s="2" t="str">
        <f>IFERROR(__xludf.DUMMYFUNCTION("""COMPUTED_VALUE"""),"Bagong Buhay, naujan, Oriental Mindoro")</f>
        <v>Bagong Buhay, naujan, Oriental Mindoro</v>
      </c>
      <c r="F28" s="2" t="str">
        <f>IFERROR(__xludf.DUMMYFUNCTION("""COMPUTED_VALUE"""),"ERLIN G. PARAY")</f>
        <v>ERLIN G. PARAY</v>
      </c>
      <c r="G28" s="2" t="str">
        <f>IFERROR(__xludf.DUMMYFUNCTION("""COMPUTED_VALUE"""),"0907 645 9942")</f>
        <v>0907 645 9942</v>
      </c>
      <c r="H28" s="2"/>
      <c r="I28" s="2"/>
      <c r="J28" s="2"/>
      <c r="K28" s="2" t="str">
        <f>IFERROR(__xludf.DUMMYFUNCTION("""COMPUTED_VALUE"""),"RCEF 23-08-20 Rebidding")</f>
        <v>RCEF 23-08-20 Rebidding</v>
      </c>
      <c r="L28" s="2">
        <f>IFERROR(__xludf.DUMMYFUNCTION("""COMPUTED_VALUE"""),1.0)</f>
        <v>1</v>
      </c>
      <c r="M28" s="2" t="str">
        <f>IFERROR(__xludf.DUMMYFUNCTION("""COMPUTED_VALUE"""),"4B")</f>
        <v>4B</v>
      </c>
      <c r="N28" s="80">
        <f>IFERROR(__xludf.DUMMYFUNCTION("""COMPUTED_VALUE"""),45252.0)</f>
        <v>45252</v>
      </c>
      <c r="O28" s="74">
        <f>IFERROR(__xludf.DUMMYFUNCTION("""COMPUTED_VALUE"""),45257.0)</f>
        <v>45257</v>
      </c>
      <c r="P28" s="2">
        <f>IFERROR(__xludf.DUMMYFUNCTION("""COMPUTED_VALUE"""),17384.0)</f>
        <v>17384</v>
      </c>
      <c r="Q28" s="2" t="str">
        <f>IFERROR(__xludf.DUMMYFUNCTION("""COMPUTED_VALUE"""),"KMC 5825 AHPFPV0038")</f>
        <v>KMC 5825 AHPFPV0038</v>
      </c>
      <c r="R28" s="2" t="str">
        <f>IFERROR(__xludf.DUMMYFUNCTION("""COMPUTED_VALUE"""),"PTS100003")</f>
        <v>PTS100003</v>
      </c>
      <c r="S28" s="2" t="str">
        <f>IFERROR(__xludf.DUMMYFUNCTION("""COMPUTED_VALUE"""),"R-SERIES 034 PH")</f>
        <v>R-SERIES 034 PH</v>
      </c>
      <c r="T28" s="2" t="str">
        <f>IFERROR(__xludf.DUMMYFUNCTION("""COMPUTED_VALUE"""),"LSGW1750-RMP-2312034")</f>
        <v>LSGW1750-RMP-2312034</v>
      </c>
      <c r="U28" s="2" t="str">
        <f>IFERROR(__xludf.DUMMYFUNCTION("""COMPUTED_VALUE"""),"WDP40-RMP-2312062")</f>
        <v>WDP40-RMP-2312062</v>
      </c>
      <c r="V28" s="2" t="str">
        <f>IFERROR(__xludf.DUMMYFUNCTION("""COMPUTED_VALUE"""),"good")</f>
        <v>good</v>
      </c>
      <c r="W28" s="2" t="str">
        <f>IFERROR(__xludf.DUMMYFUNCTION("""COMPUTED_VALUE"""),"VL103D")</f>
        <v>VL103D</v>
      </c>
      <c r="X28" s="2">
        <f>IFERROR(__xludf.DUMMYFUNCTION("""COMPUTED_VALUE"""),8.69066060245967E14)</f>
        <v>869066060245967</v>
      </c>
      <c r="Y28" s="2">
        <f>IFERROR(__xludf.DUMMYFUNCTION("""COMPUTED_VALUE"""),9.626237592E9)</f>
        <v>9626237592</v>
      </c>
      <c r="Z28" s="3" t="str">
        <f>IFERROR(__xludf.DUMMYFUNCTION("""COMPUTED_VALUE"""),"0323202005168729")</f>
        <v>0323202005168729</v>
      </c>
      <c r="AA28" s="2" t="str">
        <f>IFERROR(__xludf.DUMMYFUNCTION("""COMPUTED_VALUE"""),"20231121P058384412")</f>
        <v>20231121P058384412</v>
      </c>
      <c r="AB28" s="2" t="str">
        <f>IFERROR(__xludf.DUMMYFUNCTION("""COMPUTED_VALUE"""),"bagongbuhayfa")</f>
        <v>bagongbuhayfa</v>
      </c>
    </row>
    <row r="29">
      <c r="A29" s="2" t="str">
        <f>IFERROR(__xludf.DUMMYFUNCTION("""COMPUTED_VALUE"""),"TT00027")</f>
        <v>TT00027</v>
      </c>
      <c r="B29" s="2" t="str">
        <f>IFERROR(__xludf.DUMMYFUNCTION("""COMPUTED_VALUE"""),"Completed")</f>
        <v>Completed</v>
      </c>
      <c r="C29" s="2" t="str">
        <f>IFERROR(__xludf.DUMMYFUNCTION("""COMPUTED_VALUE"""),"Billed L1")</f>
        <v>Billed L1</v>
      </c>
      <c r="D29" s="2" t="str">
        <f>IFERROR(__xludf.DUMMYFUNCTION("""COMPUTED_VALUE"""),"SANDIGAN NG MGA MANGGAGAWA SA AGRIKULTURA SA KANAYUNAN (SAMAKA)")</f>
        <v>SANDIGAN NG MGA MANGGAGAWA SA AGRIKULTURA SA KANAYUNAN (SAMAKA)</v>
      </c>
      <c r="E29" s="2" t="str">
        <f>IFERROR(__xludf.DUMMYFUNCTION("""COMPUTED_VALUE"""),"Bagong Buhay, naujan, Oriental Mindoro")</f>
        <v>Bagong Buhay, naujan, Oriental Mindoro</v>
      </c>
      <c r="F29" s="2" t="str">
        <f>IFERROR(__xludf.DUMMYFUNCTION("""COMPUTED_VALUE"""),"Edilberto Saez")</f>
        <v>Edilberto Saez</v>
      </c>
      <c r="G29" s="2" t="str">
        <f>IFERROR(__xludf.DUMMYFUNCTION("""COMPUTED_VALUE"""),"0948 412 7045")</f>
        <v>0948 412 7045</v>
      </c>
      <c r="H29" s="2"/>
      <c r="I29" s="2"/>
      <c r="J29" s="2"/>
      <c r="K29" s="2" t="str">
        <f>IFERROR(__xludf.DUMMYFUNCTION("""COMPUTED_VALUE"""),"RCEF 23-08-20 Rebidding")</f>
        <v>RCEF 23-08-20 Rebidding</v>
      </c>
      <c r="L29" s="2">
        <f>IFERROR(__xludf.DUMMYFUNCTION("""COMPUTED_VALUE"""),1.0)</f>
        <v>1</v>
      </c>
      <c r="M29" s="2" t="str">
        <f>IFERROR(__xludf.DUMMYFUNCTION("""COMPUTED_VALUE"""),"4B")</f>
        <v>4B</v>
      </c>
      <c r="N29" s="80">
        <f>IFERROR(__xludf.DUMMYFUNCTION("""COMPUTED_VALUE"""),45252.0)</f>
        <v>45252</v>
      </c>
      <c r="O29" s="74">
        <f>IFERROR(__xludf.DUMMYFUNCTION("""COMPUTED_VALUE"""),45257.0)</f>
        <v>45257</v>
      </c>
      <c r="P29" s="2">
        <f>IFERROR(__xludf.DUMMYFUNCTION("""COMPUTED_VALUE"""),17385.0)</f>
        <v>17385</v>
      </c>
      <c r="Q29" s="2" t="str">
        <f>IFERROR(__xludf.DUMMYFUNCTION("""COMPUTED_VALUE"""),"KMC 5825 AVPFPV0018")</f>
        <v>KMC 5825 AVPFPV0018</v>
      </c>
      <c r="R29" s="2" t="str">
        <f>IFERROR(__xludf.DUMMYFUNCTION("""COMPUTED_VALUE"""),"PTS100037")</f>
        <v>PTS100037</v>
      </c>
      <c r="S29" s="2" t="str">
        <f>IFERROR(__xludf.DUMMYFUNCTION("""COMPUTED_VALUE"""),"R-SERIES 005 PH")</f>
        <v>R-SERIES 005 PH</v>
      </c>
      <c r="T29" s="2" t="str">
        <f>IFERROR(__xludf.DUMMYFUNCTION("""COMPUTED_VALUE"""),"LSGW1750-RMP-2312012")</f>
        <v>LSGW1750-RMP-2312012</v>
      </c>
      <c r="U29" s="2" t="str">
        <f>IFERROR(__xludf.DUMMYFUNCTION("""COMPUTED_VALUE"""),"WDP40-RMP-2312057")</f>
        <v>WDP40-RMP-2312057</v>
      </c>
      <c r="V29" s="2" t="str">
        <f>IFERROR(__xludf.DUMMYFUNCTION("""COMPUTED_VALUE"""),"good")</f>
        <v>good</v>
      </c>
      <c r="W29" s="2" t="str">
        <f>IFERROR(__xludf.DUMMYFUNCTION("""COMPUTED_VALUE"""),"VL103D")</f>
        <v>VL103D</v>
      </c>
      <c r="X29" s="2">
        <f>IFERROR(__xludf.DUMMYFUNCTION("""COMPUTED_VALUE"""),8.69066060237055E14)</f>
        <v>869066060237055</v>
      </c>
      <c r="Y29" s="2">
        <f>IFERROR(__xludf.DUMMYFUNCTION("""COMPUTED_VALUE"""),9.690482048E9)</f>
        <v>9690482048</v>
      </c>
      <c r="Z29" s="3" t="str">
        <f>IFERROR(__xludf.DUMMYFUNCTION("""COMPUTED_VALUE"""),"0323202005168737")</f>
        <v>0323202005168737</v>
      </c>
      <c r="AA29" s="2" t="str">
        <f>IFERROR(__xludf.DUMMYFUNCTION("""COMPUTED_VALUE"""),"20231121P058384950")</f>
        <v>20231121P058384950</v>
      </c>
      <c r="AB29" s="2" t="str">
        <f>IFERROR(__xludf.DUMMYFUNCTION("""COMPUTED_VALUE"""),"samaka")</f>
        <v>samaka</v>
      </c>
    </row>
    <row r="30">
      <c r="A30" s="2" t="str">
        <f>IFERROR(__xludf.DUMMYFUNCTION("""COMPUTED_VALUE"""),"TT00028")</f>
        <v>TT00028</v>
      </c>
      <c r="B30" s="2" t="str">
        <f>IFERROR(__xludf.DUMMYFUNCTION("""COMPUTED_VALUE"""),"Completed")</f>
        <v>Completed</v>
      </c>
      <c r="C30" s="2" t="str">
        <f>IFERROR(__xludf.DUMMYFUNCTION("""COMPUTED_VALUE"""),"Billed L1")</f>
        <v>Billed L1</v>
      </c>
      <c r="D30" s="2" t="str">
        <f>IFERROR(__xludf.DUMMYFUNCTION("""COMPUTED_VALUE"""),"MACATOC FARMERS ASSOCIATION")</f>
        <v>MACATOC FARMERS ASSOCIATION</v>
      </c>
      <c r="E30" s="2" t="str">
        <f>IFERROR(__xludf.DUMMYFUNCTION("""COMPUTED_VALUE"""),"Macatoc, Victoria, Oriental Mindoro")</f>
        <v>Macatoc, Victoria, Oriental Mindoro</v>
      </c>
      <c r="F30" s="2" t="str">
        <f>IFERROR(__xludf.DUMMYFUNCTION("""COMPUTED_VALUE"""),"DENVER J. PERICO")</f>
        <v>DENVER J. PERICO</v>
      </c>
      <c r="G30" s="2" t="str">
        <f>IFERROR(__xludf.DUMMYFUNCTION("""COMPUTED_VALUE"""),"0909 489 2967")</f>
        <v>0909 489 2967</v>
      </c>
      <c r="H30" s="2"/>
      <c r="I30" s="2"/>
      <c r="J30" s="2"/>
      <c r="K30" s="2" t="str">
        <f>IFERROR(__xludf.DUMMYFUNCTION("""COMPUTED_VALUE"""),"RCEF 23-08-20 Rebidding")</f>
        <v>RCEF 23-08-20 Rebidding</v>
      </c>
      <c r="L30" s="2">
        <f>IFERROR(__xludf.DUMMYFUNCTION("""COMPUTED_VALUE"""),1.0)</f>
        <v>1</v>
      </c>
      <c r="M30" s="2" t="str">
        <f>IFERROR(__xludf.DUMMYFUNCTION("""COMPUTED_VALUE"""),"4B")</f>
        <v>4B</v>
      </c>
      <c r="N30" s="80">
        <f>IFERROR(__xludf.DUMMYFUNCTION("""COMPUTED_VALUE"""),45252.0)</f>
        <v>45252</v>
      </c>
      <c r="O30" s="74">
        <f>IFERROR(__xludf.DUMMYFUNCTION("""COMPUTED_VALUE"""),45257.0)</f>
        <v>45257</v>
      </c>
      <c r="P30" s="2">
        <f>IFERROR(__xludf.DUMMYFUNCTION("""COMPUTED_VALUE"""),17386.0)</f>
        <v>17386</v>
      </c>
      <c r="Q30" s="2" t="str">
        <f>IFERROR(__xludf.DUMMYFUNCTION("""COMPUTED_VALUE"""),"KMC 5825 ALPFPV0040")</f>
        <v>KMC 5825 ALPFPV0040</v>
      </c>
      <c r="R30" s="2" t="str">
        <f>IFERROR(__xludf.DUMMYFUNCTION("""COMPUTED_VALUE"""),"PTS100011")</f>
        <v>PTS100011</v>
      </c>
      <c r="S30" s="2" t="str">
        <f>IFERROR(__xludf.DUMMYFUNCTION("""COMPUTED_VALUE"""),"R-SERIES 018 PH")</f>
        <v>R-SERIES 018 PH</v>
      </c>
      <c r="T30" s="2" t="str">
        <f>IFERROR(__xludf.DUMMYFUNCTION("""COMPUTED_VALUE"""),"LSGW1750-RMP-2312002")</f>
        <v>LSGW1750-RMP-2312002</v>
      </c>
      <c r="U30" s="2" t="str">
        <f>IFERROR(__xludf.DUMMYFUNCTION("""COMPUTED_VALUE"""),"WDP40-RMP-2312058")</f>
        <v>WDP40-RMP-2312058</v>
      </c>
      <c r="V30" s="2" t="str">
        <f>IFERROR(__xludf.DUMMYFUNCTION("""COMPUTED_VALUE"""),"INACTIVE - WIRINGS")</f>
        <v>INACTIVE - WIRINGS</v>
      </c>
      <c r="W30" s="2" t="str">
        <f>IFERROR(__xludf.DUMMYFUNCTION("""COMPUTED_VALUE"""),"VL103D")</f>
        <v>VL103D</v>
      </c>
      <c r="X30" s="2">
        <f>IFERROR(__xludf.DUMMYFUNCTION("""COMPUTED_VALUE"""),8.69066060241875E14)</f>
        <v>869066060241875</v>
      </c>
      <c r="Y30" s="2">
        <f>IFERROR(__xludf.DUMMYFUNCTION("""COMPUTED_VALUE"""),9.690103472E9)</f>
        <v>9690103472</v>
      </c>
      <c r="Z30" s="3" t="str">
        <f>IFERROR(__xludf.DUMMYFUNCTION("""COMPUTED_VALUE"""),"0323202005168745")</f>
        <v>0323202005168745</v>
      </c>
      <c r="AA30" s="2" t="str">
        <f>IFERROR(__xludf.DUMMYFUNCTION("""COMPUTED_VALUE"""),"20231121P058385423")</f>
        <v>20231121P058385423</v>
      </c>
      <c r="AB30" s="2" t="str">
        <f>IFERROR(__xludf.DUMMYFUNCTION("""COMPUTED_VALUE"""),"macatocfa")</f>
        <v>macatocfa</v>
      </c>
    </row>
    <row r="31">
      <c r="A31" s="2" t="str">
        <f>IFERROR(__xludf.DUMMYFUNCTION("""COMPUTED_VALUE"""),"TT00029")</f>
        <v>TT00029</v>
      </c>
      <c r="B31" s="2" t="str">
        <f>IFERROR(__xludf.DUMMYFUNCTION("""COMPUTED_VALUE"""),"Completed")</f>
        <v>Completed</v>
      </c>
      <c r="C31" s="2" t="str">
        <f>IFERROR(__xludf.DUMMYFUNCTION("""COMPUTED_VALUE"""),"Billed L1")</f>
        <v>Billed L1</v>
      </c>
      <c r="D31" s="2" t="str">
        <f>IFERROR(__xludf.DUMMYFUNCTION("""COMPUTED_VALUE"""),"SAN NICOLAS SMALL WATER IRRIGATION SYSTEM ASSOCIATION")</f>
        <v>SAN NICOLAS SMALL WATER IRRIGATION SYSTEM ASSOCIATION</v>
      </c>
      <c r="E31" s="2" t="str">
        <f>IFERROR(__xludf.DUMMYFUNCTION("""COMPUTED_VALUE"""),"Rosacara, Bansud, Oriental Mindoro")</f>
        <v>Rosacara, Bansud, Oriental Mindoro</v>
      </c>
      <c r="F31" s="2" t="str">
        <f>IFERROR(__xludf.DUMMYFUNCTION("""COMPUTED_VALUE"""),"EDGARDO M. CASAPAO")</f>
        <v>EDGARDO M. CASAPAO</v>
      </c>
      <c r="G31" s="2">
        <f>IFERROR(__xludf.DUMMYFUNCTION("""COMPUTED_VALUE"""),9.071476723E9)</f>
        <v>9071476723</v>
      </c>
      <c r="H31" s="2"/>
      <c r="I31" s="2"/>
      <c r="J31" s="2"/>
      <c r="K31" s="2" t="str">
        <f>IFERROR(__xludf.DUMMYFUNCTION("""COMPUTED_VALUE"""),"RCEF 23-08-20 Rebidding")</f>
        <v>RCEF 23-08-20 Rebidding</v>
      </c>
      <c r="L31" s="2">
        <f>IFERROR(__xludf.DUMMYFUNCTION("""COMPUTED_VALUE"""),1.0)</f>
        <v>1</v>
      </c>
      <c r="M31" s="2" t="str">
        <f>IFERROR(__xludf.DUMMYFUNCTION("""COMPUTED_VALUE"""),"4B")</f>
        <v>4B</v>
      </c>
      <c r="N31" s="80">
        <f>IFERROR(__xludf.DUMMYFUNCTION("""COMPUTED_VALUE"""),45252.0)</f>
        <v>45252</v>
      </c>
      <c r="O31" s="74">
        <f>IFERROR(__xludf.DUMMYFUNCTION("""COMPUTED_VALUE"""),45257.0)</f>
        <v>45257</v>
      </c>
      <c r="P31" s="2">
        <f>IFERROR(__xludf.DUMMYFUNCTION("""COMPUTED_VALUE"""),17387.0)</f>
        <v>17387</v>
      </c>
      <c r="Q31" s="2" t="str">
        <f>IFERROR(__xludf.DUMMYFUNCTION("""COMPUTED_VALUE"""),"KMC 5825 APPFPV0028")</f>
        <v>KMC 5825 APPFPV0028</v>
      </c>
      <c r="R31" s="2" t="str">
        <f>IFERROR(__xludf.DUMMYFUNCTION("""COMPUTED_VALUE"""),"PTS100021")</f>
        <v>PTS100021</v>
      </c>
      <c r="S31" s="2" t="str">
        <f>IFERROR(__xludf.DUMMYFUNCTION("""COMPUTED_VALUE"""),"R-SERIES 025 PH")</f>
        <v>R-SERIES 025 PH</v>
      </c>
      <c r="T31" s="2" t="str">
        <f>IFERROR(__xludf.DUMMYFUNCTION("""COMPUTED_VALUE"""),"LSGW1750-RMP-2312027")</f>
        <v>LSGW1750-RMP-2312027</v>
      </c>
      <c r="U31" s="2" t="str">
        <f>IFERROR(__xludf.DUMMYFUNCTION("""COMPUTED_VALUE"""),"WDP40-RMP-2312038")</f>
        <v>WDP40-RMP-2312038</v>
      </c>
      <c r="V31" s="2" t="str">
        <f>IFERROR(__xludf.DUMMYFUNCTION("""COMPUTED_VALUE"""),"good")</f>
        <v>good</v>
      </c>
      <c r="W31" s="2" t="str">
        <f>IFERROR(__xludf.DUMMYFUNCTION("""COMPUTED_VALUE"""),"VL103D")</f>
        <v>VL103D</v>
      </c>
      <c r="X31" s="2">
        <f>IFERROR(__xludf.DUMMYFUNCTION("""COMPUTED_VALUE"""),8.6906606023944E14)</f>
        <v>869066060239440</v>
      </c>
      <c r="Y31" s="2">
        <f>IFERROR(__xludf.DUMMYFUNCTION("""COMPUTED_VALUE"""),9.690178125E9)</f>
        <v>9690178125</v>
      </c>
      <c r="Z31" s="3" t="str">
        <f>IFERROR(__xludf.DUMMYFUNCTION("""COMPUTED_VALUE"""),"0323202005168752")</f>
        <v>0323202005168752</v>
      </c>
      <c r="AA31" s="2" t="str">
        <f>IFERROR(__xludf.DUMMYFUNCTION("""COMPUTED_VALUE"""),"20231121P058385879")</f>
        <v>20231121P058385879</v>
      </c>
      <c r="AB31" s="2" t="str">
        <f>IFERROR(__xludf.DUMMYFUNCTION("""COMPUTED_VALUE"""),"sannicolas")</f>
        <v>sannicolas</v>
      </c>
    </row>
    <row r="32">
      <c r="A32" s="2" t="str">
        <f>IFERROR(__xludf.DUMMYFUNCTION("""COMPUTED_VALUE"""),"TT00030")</f>
        <v>TT00030</v>
      </c>
      <c r="B32" s="2" t="str">
        <f>IFERROR(__xludf.DUMMYFUNCTION("""COMPUTED_VALUE"""),"Completed")</f>
        <v>Completed</v>
      </c>
      <c r="C32" s="2" t="str">
        <f>IFERROR(__xludf.DUMMYFUNCTION("""COMPUTED_VALUE"""),"Billed L1")</f>
        <v>Billed L1</v>
      </c>
      <c r="D32" s="2" t="str">
        <f>IFERROR(__xludf.DUMMYFUNCTION("""COMPUTED_VALUE"""),"ALCADESMA GROUP OF FARMERS ASSOCIATION(AGFA)")</f>
        <v>ALCADESMA GROUP OF FARMERS ASSOCIATION(AGFA)</v>
      </c>
      <c r="E32" s="2" t="str">
        <f>IFERROR(__xludf.DUMMYFUNCTION("""COMPUTED_VALUE"""),"Alcadesma, Bansud, Oriental Mindoro")</f>
        <v>Alcadesma, Bansud, Oriental Mindoro</v>
      </c>
      <c r="F32" s="2" t="str">
        <f>IFERROR(__xludf.DUMMYFUNCTION("""COMPUTED_VALUE"""),"ROMEO R. YAP")</f>
        <v>ROMEO R. YAP</v>
      </c>
      <c r="G32" s="2" t="str">
        <f>IFERROR(__xludf.DUMMYFUNCTION("""COMPUTED_VALUE"""),"0920 540 2742")</f>
        <v>0920 540 2742</v>
      </c>
      <c r="H32" s="2"/>
      <c r="I32" s="2"/>
      <c r="J32" s="2"/>
      <c r="K32" s="2" t="str">
        <f>IFERROR(__xludf.DUMMYFUNCTION("""COMPUTED_VALUE"""),"RCEF 23-08-20 Rebidding")</f>
        <v>RCEF 23-08-20 Rebidding</v>
      </c>
      <c r="L32" s="2">
        <f>IFERROR(__xludf.DUMMYFUNCTION("""COMPUTED_VALUE"""),1.0)</f>
        <v>1</v>
      </c>
      <c r="M32" s="2" t="str">
        <f>IFERROR(__xludf.DUMMYFUNCTION("""COMPUTED_VALUE"""),"4B")</f>
        <v>4B</v>
      </c>
      <c r="N32" s="80">
        <f>IFERROR(__xludf.DUMMYFUNCTION("""COMPUTED_VALUE"""),45252.0)</f>
        <v>45252</v>
      </c>
      <c r="O32" s="74">
        <f>IFERROR(__xludf.DUMMYFUNCTION("""COMPUTED_VALUE"""),45257.0)</f>
        <v>45257</v>
      </c>
      <c r="P32" s="2">
        <f>IFERROR(__xludf.DUMMYFUNCTION("""COMPUTED_VALUE"""),17388.0)</f>
        <v>17388</v>
      </c>
      <c r="Q32" s="2" t="str">
        <f>IFERROR(__xludf.DUMMYFUNCTION("""COMPUTED_VALUE"""),"KMC 5825 ACPFPV0020")</f>
        <v>KMC 5825 ACPFPV0020</v>
      </c>
      <c r="R32" s="2" t="str">
        <f>IFERROR(__xludf.DUMMYFUNCTION("""COMPUTED_VALUE"""),"PTS100036")</f>
        <v>PTS100036</v>
      </c>
      <c r="S32" s="2" t="str">
        <f>IFERROR(__xludf.DUMMYFUNCTION("""COMPUTED_VALUE"""),"R-SERIES 012 PH")</f>
        <v>R-SERIES 012 PH</v>
      </c>
      <c r="T32" s="2" t="str">
        <f>IFERROR(__xludf.DUMMYFUNCTION("""COMPUTED_VALUE"""),"LSGW1750-RMP-2312013")</f>
        <v>LSGW1750-RMP-2312013</v>
      </c>
      <c r="U32" s="2" t="str">
        <f>IFERROR(__xludf.DUMMYFUNCTION("""COMPUTED_VALUE"""),"WDP40-RMP-2312049")</f>
        <v>WDP40-RMP-2312049</v>
      </c>
      <c r="V32" s="2"/>
      <c r="W32" s="2" t="str">
        <f>IFERROR(__xludf.DUMMYFUNCTION("""COMPUTED_VALUE"""),"VL103D")</f>
        <v>VL103D</v>
      </c>
      <c r="X32" s="2">
        <f>IFERROR(__xludf.DUMMYFUNCTION("""COMPUTED_VALUE"""),8.69066060236883E14)</f>
        <v>869066060236883</v>
      </c>
      <c r="Y32" s="2">
        <f>IFERROR(__xludf.DUMMYFUNCTION("""COMPUTED_VALUE"""),9.690433762E9)</f>
        <v>9690433762</v>
      </c>
      <c r="Z32" s="3" t="str">
        <f>IFERROR(__xludf.DUMMYFUNCTION("""COMPUTED_VALUE"""),"0323202005168760")</f>
        <v>0323202005168760</v>
      </c>
      <c r="AA32" s="2" t="str">
        <f>IFERROR(__xludf.DUMMYFUNCTION("""COMPUTED_VALUE"""),"20231121P058386715")</f>
        <v>20231121P058386715</v>
      </c>
      <c r="AB32" s="2" t="str">
        <f>IFERROR(__xludf.DUMMYFUNCTION("""COMPUTED_VALUE"""),"agfa")</f>
        <v>agfa</v>
      </c>
    </row>
    <row r="33">
      <c r="A33" s="2" t="str">
        <f>IFERROR(__xludf.DUMMYFUNCTION("""COMPUTED_VALUE"""),"TT00031")</f>
        <v>TT00031</v>
      </c>
      <c r="B33" s="2" t="str">
        <f>IFERROR(__xludf.DUMMYFUNCTION("""COMPUTED_VALUE"""),"w/ pending")</f>
        <v>w/ pending</v>
      </c>
      <c r="C33" s="2" t="str">
        <f>IFERROR(__xludf.DUMMYFUNCTION("""COMPUTED_VALUE"""),"Billed L1")</f>
        <v>Billed L1</v>
      </c>
      <c r="D33" s="2" t="str">
        <f>IFERROR(__xludf.DUMMYFUNCTION("""COMPUTED_VALUE"""),"ALLIANCE OF FARMERS ASSOCIATION OF ORCONUMA (AFAO)")</f>
        <v>ALLIANCE OF FARMERS ASSOCIATION OF ORCONUMA (AFAO)</v>
      </c>
      <c r="E33" s="2" t="str">
        <f>IFERROR(__xludf.DUMMYFUNCTION("""COMPUTED_VALUE"""),"Orconuma, Bongabong, Oriental Mindoro")</f>
        <v>Orconuma, Bongabong, Oriental Mindoro</v>
      </c>
      <c r="F33" s="2" t="str">
        <f>IFERROR(__xludf.DUMMYFUNCTION("""COMPUTED_VALUE"""),"MAJELINE F. ARENILLO")</f>
        <v>MAJELINE F. ARENILLO</v>
      </c>
      <c r="G33" s="2" t="str">
        <f>IFERROR(__xludf.DUMMYFUNCTION("""COMPUTED_VALUE"""),"0905 141 0014")</f>
        <v>0905 141 0014</v>
      </c>
      <c r="H33" s="2"/>
      <c r="I33" s="2"/>
      <c r="J33" s="2" t="str">
        <f>IFERROR(__xludf.DUMMYFUNCTION("""COMPUTED_VALUE"""),"- GPS sim")</f>
        <v>- GPS sim</v>
      </c>
      <c r="K33" s="2" t="str">
        <f>IFERROR(__xludf.DUMMYFUNCTION("""COMPUTED_VALUE"""),"RCEF 23-08-20 Rebidding")</f>
        <v>RCEF 23-08-20 Rebidding</v>
      </c>
      <c r="L33" s="2">
        <f>IFERROR(__xludf.DUMMYFUNCTION("""COMPUTED_VALUE"""),1.0)</f>
        <v>1</v>
      </c>
      <c r="M33" s="2" t="str">
        <f>IFERROR(__xludf.DUMMYFUNCTION("""COMPUTED_VALUE"""),"4B")</f>
        <v>4B</v>
      </c>
      <c r="N33" s="74" t="str">
        <f>IFERROR(__xludf.DUMMYFUNCTION("""COMPUTED_VALUE"""),"Jan.9,2024")</f>
        <v>Jan.9,2024</v>
      </c>
      <c r="O33" s="74" t="str">
        <f>IFERROR(__xludf.DUMMYFUNCTION("""COMPUTED_VALUE"""),"Jan.18,2024")</f>
        <v>Jan.18,2024</v>
      </c>
      <c r="P33" s="2">
        <f>IFERROR(__xludf.DUMMYFUNCTION("""COMPUTED_VALUE"""),17779.0)</f>
        <v>17779</v>
      </c>
      <c r="Q33" s="2" t="str">
        <f>IFERROR(__xludf.DUMMYFUNCTION("""COMPUTED_VALUE"""),"KMC 5825 APPFPV0093")</f>
        <v>KMC 5825 APPFPV0093</v>
      </c>
      <c r="R33" s="2" t="str">
        <f>IFERROR(__xludf.DUMMYFUNCTION("""COMPUTED_VALUE"""),"PTS100080")</f>
        <v>PTS100080</v>
      </c>
      <c r="S33" s="2" t="str">
        <f>IFERROR(__xludf.DUMMYFUNCTION("""COMPUTED_VALUE"""),"R-SERIES 087 PH")</f>
        <v>R-SERIES 087 PH</v>
      </c>
      <c r="T33" s="2" t="str">
        <f>IFERROR(__xludf.DUMMYFUNCTION("""COMPUTED_VALUE"""),"LSGW1750-RMP-2312126")</f>
        <v>LSGW1750-RMP-2312126</v>
      </c>
      <c r="U33" s="2" t="str">
        <f>IFERROR(__xludf.DUMMYFUNCTION("""COMPUTED_VALUE"""),"WDP40-RMP-2312032")</f>
        <v>WDP40-RMP-2312032</v>
      </c>
      <c r="V33" s="2" t="str">
        <f>IFERROR(__xludf.DUMMYFUNCTION("""COMPUTED_VALUE"""),"INACTIVE - SIM")</f>
        <v>INACTIVE - SIM</v>
      </c>
      <c r="W33" s="2" t="str">
        <f>IFERROR(__xludf.DUMMYFUNCTION("""COMPUTED_VALUE"""),"VL103D")</f>
        <v>VL103D</v>
      </c>
      <c r="X33" s="2">
        <f>IFERROR(__xludf.DUMMYFUNCTION("""COMPUTED_VALUE"""),8.69066060241073E14)</f>
        <v>869066060241073</v>
      </c>
      <c r="Y33" s="2">
        <f>IFERROR(__xludf.DUMMYFUNCTION("""COMPUTED_VALUE"""),9.691452243E9)</f>
        <v>9691452243</v>
      </c>
      <c r="Z33" s="3" t="str">
        <f>IFERROR(__xludf.DUMMYFUNCTION("""COMPUTED_VALUE"""),"0323202005167135")</f>
        <v>0323202005167135</v>
      </c>
      <c r="AA33" s="2"/>
      <c r="AB33" s="2" t="str">
        <f>IFERROR(__xludf.DUMMYFUNCTION("""COMPUTED_VALUE"""),"afao")</f>
        <v>afao</v>
      </c>
    </row>
    <row r="34">
      <c r="A34" s="2" t="str">
        <f>IFERROR(__xludf.DUMMYFUNCTION("""COMPUTED_VALUE"""),"TT00032")</f>
        <v>TT00032</v>
      </c>
      <c r="B34" s="2" t="str">
        <f>IFERROR(__xludf.DUMMYFUNCTION("""COMPUTED_VALUE"""),"w/ pending")</f>
        <v>w/ pending</v>
      </c>
      <c r="C34" s="2" t="str">
        <f>IFERROR(__xludf.DUMMYFUNCTION("""COMPUTED_VALUE"""),"Billed L1")</f>
        <v>Billed L1</v>
      </c>
      <c r="D34" s="2" t="str">
        <f>IFERROR(__xludf.DUMMYFUNCTION("""COMPUTED_VALUE"""),"NAGKAKAISANG SAMAHAN NG MAGPAPATUBIG NG CAMBUNANG, INC.")</f>
        <v>NAGKAKAISANG SAMAHAN NG MAGPAPATUBIG NG CAMBUNANG, INC.</v>
      </c>
      <c r="E34" s="2" t="str">
        <f>IFERROR(__xludf.DUMMYFUNCTION("""COMPUTED_VALUE"""),"Cambunang, Bulalacao, Oriental Mindoro")</f>
        <v>Cambunang, Bulalacao, Oriental Mindoro</v>
      </c>
      <c r="F34" s="2" t="str">
        <f>IFERROR(__xludf.DUMMYFUNCTION("""COMPUTED_VALUE"""),"RICHARD D. FABILA")</f>
        <v>RICHARD D. FABILA</v>
      </c>
      <c r="G34" s="2" t="str">
        <f>IFERROR(__xludf.DUMMYFUNCTION("""COMPUTED_VALUE"""),"0948 028 7733")</f>
        <v>0948 028 7733</v>
      </c>
      <c r="H34" s="2"/>
      <c r="I34" s="2"/>
      <c r="J34" s="2" t="str">
        <f>IFERROR(__xludf.DUMMYFUNCTION("""COMPUTED_VALUE"""),"- GPS sim")</f>
        <v>- GPS sim</v>
      </c>
      <c r="K34" s="2" t="str">
        <f>IFERROR(__xludf.DUMMYFUNCTION("""COMPUTED_VALUE"""),"RCEF 23-08-20 Rebidding")</f>
        <v>RCEF 23-08-20 Rebidding</v>
      </c>
      <c r="L34" s="2">
        <f>IFERROR(__xludf.DUMMYFUNCTION("""COMPUTED_VALUE"""),1.0)</f>
        <v>1</v>
      </c>
      <c r="M34" s="2" t="str">
        <f>IFERROR(__xludf.DUMMYFUNCTION("""COMPUTED_VALUE"""),"4B")</f>
        <v>4B</v>
      </c>
      <c r="N34" s="74" t="str">
        <f>IFERROR(__xludf.DUMMYFUNCTION("""COMPUTED_VALUE"""),"Jan.9,2024")</f>
        <v>Jan.9,2024</v>
      </c>
      <c r="O34" s="74">
        <f>IFERROR(__xludf.DUMMYFUNCTION("""COMPUTED_VALUE"""),45309.0)</f>
        <v>45309</v>
      </c>
      <c r="P34" s="2">
        <f>IFERROR(__xludf.DUMMYFUNCTION("""COMPUTED_VALUE"""),17780.0)</f>
        <v>17780</v>
      </c>
      <c r="Q34" s="2" t="str">
        <f>IFERROR(__xludf.DUMMYFUNCTION("""COMPUTED_VALUE"""),"KMC 5825 ATPFPV0092")</f>
        <v>KMC 5825 ATPFPV0092</v>
      </c>
      <c r="R34" s="2" t="str">
        <f>IFERROR(__xludf.DUMMYFUNCTION("""COMPUTED_VALUE"""),"PTS100120")</f>
        <v>PTS100120</v>
      </c>
      <c r="S34" s="2" t="str">
        <f>IFERROR(__xludf.DUMMYFUNCTION("""COMPUTED_VALUE"""),"R-SERIES 106 PH")</f>
        <v>R-SERIES 106 PH</v>
      </c>
      <c r="T34" s="2" t="str">
        <f>IFERROR(__xludf.DUMMYFUNCTION("""COMPUTED_VALUE"""),"LSGW1750-RMP-2312121")</f>
        <v>LSGW1750-RMP-2312121</v>
      </c>
      <c r="U34" s="2" t="str">
        <f>IFERROR(__xludf.DUMMYFUNCTION("""COMPUTED_VALUE"""),"WDP40-RMP-2312001")</f>
        <v>WDP40-RMP-2312001</v>
      </c>
      <c r="V34" s="2" t="str">
        <f>IFERROR(__xludf.DUMMYFUNCTION("""COMPUTED_VALUE"""),"INACTIVE - SIM")</f>
        <v>INACTIVE - SIM</v>
      </c>
      <c r="W34" s="2" t="str">
        <f>IFERROR(__xludf.DUMMYFUNCTION("""COMPUTED_VALUE"""),"VL103D")</f>
        <v>VL103D</v>
      </c>
      <c r="X34" s="2">
        <f>IFERROR(__xludf.DUMMYFUNCTION("""COMPUTED_VALUE"""),8.69066060242691E14)</f>
        <v>869066060242691</v>
      </c>
      <c r="Y34" s="2">
        <f>IFERROR(__xludf.DUMMYFUNCTION("""COMPUTED_VALUE"""),9.691319054E9)</f>
        <v>9691319054</v>
      </c>
      <c r="Z34" s="3" t="str">
        <f>IFERROR(__xludf.DUMMYFUNCTION("""COMPUTED_VALUE"""),"0323202005167127")</f>
        <v>0323202005167127</v>
      </c>
      <c r="AA34" s="2"/>
      <c r="AB34" s="2" t="str">
        <f>IFERROR(__xludf.DUMMYFUNCTION("""COMPUTED_VALUE"""),"cambunang")</f>
        <v>cambunang</v>
      </c>
    </row>
    <row r="35">
      <c r="A35" s="2" t="str">
        <f>IFERROR(__xludf.DUMMYFUNCTION("""COMPUTED_VALUE"""),"TT00033")</f>
        <v>TT00033</v>
      </c>
      <c r="B35" s="2" t="str">
        <f>IFERROR(__xludf.DUMMYFUNCTION("""COMPUTED_VALUE"""),"Completed")</f>
        <v>Completed</v>
      </c>
      <c r="C35" s="2" t="str">
        <f>IFERROR(__xludf.DUMMYFUNCTION("""COMPUTED_VALUE"""),"Billed L1")</f>
        <v>Billed L1</v>
      </c>
      <c r="D35" s="2" t="str">
        <f>IFERROR(__xludf.DUMMYFUNCTION("""COMPUTED_VALUE"""),"A. BONIFACIO FARMERS ASSOCIATION")</f>
        <v>A. BONIFACIO FARMERS ASSOCIATION</v>
      </c>
      <c r="E35" s="2" t="str">
        <f>IFERROR(__xludf.DUMMYFUNCTION("""COMPUTED_VALUE"""),"A. Bonifacio, Gloria, Oriental Mindoro")</f>
        <v>A. Bonifacio, Gloria, Oriental Mindoro</v>
      </c>
      <c r="F35" s="2" t="str">
        <f>IFERROR(__xludf.DUMMYFUNCTION("""COMPUTED_VALUE"""),"GILBERT R. MALANOG")</f>
        <v>GILBERT R. MALANOG</v>
      </c>
      <c r="G35" s="2" t="str">
        <f>IFERROR(__xludf.DUMMYFUNCTION("""COMPUTED_VALUE"""),"0912 838 9639")</f>
        <v>0912 838 9639</v>
      </c>
      <c r="H35" s="2"/>
      <c r="I35" s="2"/>
      <c r="J35" s="2" t="str">
        <f>IFERROR(__xludf.DUMMYFUNCTION("""COMPUTED_VALUE"""),"- GPS sim")</f>
        <v>- GPS sim</v>
      </c>
      <c r="K35" s="2" t="str">
        <f>IFERROR(__xludf.DUMMYFUNCTION("""COMPUTED_VALUE"""),"RCEF 23-08-20 Rebidding")</f>
        <v>RCEF 23-08-20 Rebidding</v>
      </c>
      <c r="L35" s="2">
        <f>IFERROR(__xludf.DUMMYFUNCTION("""COMPUTED_VALUE"""),1.0)</f>
        <v>1</v>
      </c>
      <c r="M35" s="2" t="str">
        <f>IFERROR(__xludf.DUMMYFUNCTION("""COMPUTED_VALUE"""),"4B")</f>
        <v>4B</v>
      </c>
      <c r="N35" s="2"/>
      <c r="O35" s="74">
        <f>IFERROR(__xludf.DUMMYFUNCTION("""COMPUTED_VALUE"""),45257.0)</f>
        <v>45257</v>
      </c>
      <c r="P35" s="2">
        <f>IFERROR(__xludf.DUMMYFUNCTION("""COMPUTED_VALUE"""),17389.0)</f>
        <v>17389</v>
      </c>
      <c r="Q35" s="2" t="str">
        <f>IFERROR(__xludf.DUMMYFUNCTION("""COMPUTED_VALUE"""),"KMC 5825 ACPFPV0079")</f>
        <v>KMC 5825 ACPFPV0079</v>
      </c>
      <c r="R35" s="2" t="str">
        <f>IFERROR(__xludf.DUMMYFUNCTION("""COMPUTED_VALUE"""),"PTS100081")</f>
        <v>PTS100081</v>
      </c>
      <c r="S35" s="2" t="str">
        <f>IFERROR(__xludf.DUMMYFUNCTION("""COMPUTED_VALUE"""),"R-SERIES 020 PH")</f>
        <v>R-SERIES 020 PH</v>
      </c>
      <c r="T35" s="2" t="str">
        <f>IFERROR(__xludf.DUMMYFUNCTION("""COMPUTED_VALUE"""),"LSGW1750-RMP-2312001")</f>
        <v>LSGW1750-RMP-2312001</v>
      </c>
      <c r="U35" s="2" t="str">
        <f>IFERROR(__xludf.DUMMYFUNCTION("""COMPUTED_VALUE"""),"WDP40-RMP-2312065")</f>
        <v>WDP40-RMP-2312065</v>
      </c>
      <c r="V35" s="2" t="str">
        <f>IFERROR(__xludf.DUMMYFUNCTION("""COMPUTED_VALUE"""),"INACTIVE - SIM")</f>
        <v>INACTIVE - SIM</v>
      </c>
      <c r="W35" s="2" t="str">
        <f>IFERROR(__xludf.DUMMYFUNCTION("""COMPUTED_VALUE"""),"VL103D")</f>
        <v>VL103D</v>
      </c>
      <c r="X35" s="2">
        <f>IFERROR(__xludf.DUMMYFUNCTION("""COMPUTED_VALUE"""),8.69066060242501E14)</f>
        <v>869066060242501</v>
      </c>
      <c r="Y35" s="2">
        <f>IFERROR(__xludf.DUMMYFUNCTION("""COMPUTED_VALUE"""),9.691070856E9)</f>
        <v>9691070856</v>
      </c>
      <c r="Z35" s="3" t="str">
        <f>IFERROR(__xludf.DUMMYFUNCTION("""COMPUTED_VALUE"""),"0323202005167291")</f>
        <v>0323202005167291</v>
      </c>
      <c r="AA35" s="2"/>
      <c r="AB35" s="2" t="str">
        <f>IFERROR(__xludf.DUMMYFUNCTION("""COMPUTED_VALUE"""),"abonifaciofa")</f>
        <v>abonifaciofa</v>
      </c>
    </row>
    <row r="36">
      <c r="A36" s="2" t="str">
        <f>IFERROR(__xludf.DUMMYFUNCTION("""COMPUTED_VALUE"""),"TT00034")</f>
        <v>TT00034</v>
      </c>
      <c r="B36" s="2" t="str">
        <f>IFERROR(__xludf.DUMMYFUNCTION("""COMPUTED_VALUE"""),"w/ pending")</f>
        <v>w/ pending</v>
      </c>
      <c r="C36" s="2" t="str">
        <f>IFERROR(__xludf.DUMMYFUNCTION("""COMPUTED_VALUE"""),"Billed L1")</f>
        <v>Billed L1</v>
      </c>
      <c r="D36" s="2" t="str">
        <f>IFERROR(__xludf.DUMMYFUNCTION("""COMPUTED_VALUE"""),"SAMAHANG MAGPAPATUBIG NG BALUGO STA. MARIA AT VILLA CELESTIAL INC.")</f>
        <v>SAMAHANG MAGPAPATUBIG NG BALUGO STA. MARIA AT VILLA CELESTIAL INC.</v>
      </c>
      <c r="E36" s="2" t="str">
        <f>IFERROR(__xludf.DUMMYFUNCTION("""COMPUTED_VALUE"""),"Balugo, Mansalay, Oriental Mindoro")</f>
        <v>Balugo, Mansalay, Oriental Mindoro</v>
      </c>
      <c r="F36" s="2" t="str">
        <f>IFERROR(__xludf.DUMMYFUNCTION("""COMPUTED_VALUE"""),"MARIVIC V. DIONISIO")</f>
        <v>MARIVIC V. DIONISIO</v>
      </c>
      <c r="G36" s="2" t="str">
        <f>IFERROR(__xludf.DUMMYFUNCTION("""COMPUTED_VALUE"""),"0975 658 0836")</f>
        <v>0975 658 0836</v>
      </c>
      <c r="H36" s="2"/>
      <c r="I36" s="2"/>
      <c r="J36" s="2" t="str">
        <f>IFERROR(__xludf.DUMMYFUNCTION("""COMPUTED_VALUE"""),"- GPS sim")</f>
        <v>- GPS sim</v>
      </c>
      <c r="K36" s="2" t="str">
        <f>IFERROR(__xludf.DUMMYFUNCTION("""COMPUTED_VALUE"""),"RCEF 23-08-20 Rebidding")</f>
        <v>RCEF 23-08-20 Rebidding</v>
      </c>
      <c r="L36" s="2">
        <f>IFERROR(__xludf.DUMMYFUNCTION("""COMPUTED_VALUE"""),1.0)</f>
        <v>1</v>
      </c>
      <c r="M36" s="2" t="str">
        <f>IFERROR(__xludf.DUMMYFUNCTION("""COMPUTED_VALUE"""),"4B")</f>
        <v>4B</v>
      </c>
      <c r="N36" s="74" t="str">
        <f>IFERROR(__xludf.DUMMYFUNCTION("""COMPUTED_VALUE"""),"Jan.9,2024")</f>
        <v>Jan.9,2024</v>
      </c>
      <c r="O36" s="74" t="str">
        <f>IFERROR(__xludf.DUMMYFUNCTION("""COMPUTED_VALUE"""),"Jan.18,2024")</f>
        <v>Jan.18,2024</v>
      </c>
      <c r="P36" s="2">
        <f>IFERROR(__xludf.DUMMYFUNCTION("""COMPUTED_VALUE"""),17781.0)</f>
        <v>17781</v>
      </c>
      <c r="Q36" s="2" t="str">
        <f>IFERROR(__xludf.DUMMYFUNCTION("""COMPUTED_VALUE"""),"KMC 5825 AJPFPV0159")</f>
        <v>KMC 5825 AJPFPV0159</v>
      </c>
      <c r="R36" s="2" t="str">
        <f>IFERROR(__xludf.DUMMYFUNCTION("""COMPUTED_VALUE"""),"PTS100136")</f>
        <v>PTS100136</v>
      </c>
      <c r="S36" s="2" t="str">
        <f>IFERROR(__xludf.DUMMYFUNCTION("""COMPUTED_VALUE"""),"R-SERIES 095 PH")</f>
        <v>R-SERIES 095 PH</v>
      </c>
      <c r="T36" s="2" t="str">
        <f>IFERROR(__xludf.DUMMYFUNCTION("""COMPUTED_VALUE"""),"LSGW1750-RMP-2312095")</f>
        <v>LSGW1750-RMP-2312095</v>
      </c>
      <c r="U36" s="2" t="str">
        <f>IFERROR(__xludf.DUMMYFUNCTION("""COMPUTED_VALUE"""),"WDP40-RMP-2312002")</f>
        <v>WDP40-RMP-2312002</v>
      </c>
      <c r="V36" s="2" t="str">
        <f>IFERROR(__xludf.DUMMYFUNCTION("""COMPUTED_VALUE"""),"INACTIVE - SIM")</f>
        <v>INACTIVE - SIM</v>
      </c>
      <c r="W36" s="2" t="str">
        <f>IFERROR(__xludf.DUMMYFUNCTION("""COMPUTED_VALUE"""),"VL103D")</f>
        <v>VL103D</v>
      </c>
      <c r="X36" s="2">
        <f>IFERROR(__xludf.DUMMYFUNCTION("""COMPUTED_VALUE"""),8.69066060240463E14)</f>
        <v>869066060240463</v>
      </c>
      <c r="Y36" s="2">
        <f>IFERROR(__xludf.DUMMYFUNCTION("""COMPUTED_VALUE"""),9.692356523E9)</f>
        <v>9692356523</v>
      </c>
      <c r="Z36" s="3" t="str">
        <f>IFERROR(__xludf.DUMMYFUNCTION("""COMPUTED_VALUE"""),"0323202005167119")</f>
        <v>0323202005167119</v>
      </c>
      <c r="AA36" s="2"/>
      <c r="AB36" s="2" t="str">
        <f>IFERROR(__xludf.DUMMYFUNCTION("""COMPUTED_VALUE"""),"balugo")</f>
        <v>balugo</v>
      </c>
    </row>
    <row r="37">
      <c r="A37" s="2" t="str">
        <f>IFERROR(__xludf.DUMMYFUNCTION("""COMPUTED_VALUE"""),"TT00035")</f>
        <v>TT00035</v>
      </c>
      <c r="B37" s="2" t="str">
        <f>IFERROR(__xludf.DUMMYFUNCTION("""COMPUTED_VALUE"""),"Completed")</f>
        <v>Completed</v>
      </c>
      <c r="C37" s="2" t="str">
        <f>IFERROR(__xludf.DUMMYFUNCTION("""COMPUTED_VALUE"""),"Billed L1")</f>
        <v>Billed L1</v>
      </c>
      <c r="D37" s="2" t="str">
        <f>IFERROR(__xludf.DUMMYFUNCTION("""COMPUTED_VALUE"""),"BARANGAY NABUSLOT PINAMALAYAN FARMERS ASSOCIATION INC.")</f>
        <v>BARANGAY NABUSLOT PINAMALAYAN FARMERS ASSOCIATION INC.</v>
      </c>
      <c r="E37" s="2" t="str">
        <f>IFERROR(__xludf.DUMMYFUNCTION("""COMPUTED_VALUE"""),"Nabuslot, Pinamalayan, Oriental Mindoro")</f>
        <v>Nabuslot, Pinamalayan, Oriental Mindoro</v>
      </c>
      <c r="F37" s="2" t="str">
        <f>IFERROR(__xludf.DUMMYFUNCTION("""COMPUTED_VALUE"""),"NICANOR J. LUMALANG")</f>
        <v>NICANOR J. LUMALANG</v>
      </c>
      <c r="G37" s="2" t="str">
        <f>IFERROR(__xludf.DUMMYFUNCTION("""COMPUTED_VALUE"""),"0917 563 3431")</f>
        <v>0917 563 3431</v>
      </c>
      <c r="H37" s="2"/>
      <c r="I37" s="2"/>
      <c r="J37" s="2"/>
      <c r="K37" s="2" t="str">
        <f>IFERROR(__xludf.DUMMYFUNCTION("""COMPUTED_VALUE"""),"RCEF 23-08-20 Rebidding")</f>
        <v>RCEF 23-08-20 Rebidding</v>
      </c>
      <c r="L37" s="2">
        <f>IFERROR(__xludf.DUMMYFUNCTION("""COMPUTED_VALUE"""),1.0)</f>
        <v>1</v>
      </c>
      <c r="M37" s="2" t="str">
        <f>IFERROR(__xludf.DUMMYFUNCTION("""COMPUTED_VALUE"""),"4B")</f>
        <v>4B</v>
      </c>
      <c r="N37" s="2"/>
      <c r="O37" s="74">
        <f>IFERROR(__xludf.DUMMYFUNCTION("""COMPUTED_VALUE"""),45257.0)</f>
        <v>45257</v>
      </c>
      <c r="P37" s="2">
        <f>IFERROR(__xludf.DUMMYFUNCTION("""COMPUTED_VALUE"""),17390.0)</f>
        <v>17390</v>
      </c>
      <c r="Q37" s="2" t="str">
        <f>IFERROR(__xludf.DUMMYFUNCTION("""COMPUTED_VALUE"""),"KMC 5825 AHPFPV0024")</f>
        <v>KMC 5825 AHPFPV0024</v>
      </c>
      <c r="R37" s="2" t="str">
        <f>IFERROR(__xludf.DUMMYFUNCTION("""COMPUTED_VALUE"""),"PTS100035")</f>
        <v>PTS100035</v>
      </c>
      <c r="S37" s="2" t="str">
        <f>IFERROR(__xludf.DUMMYFUNCTION("""COMPUTED_VALUE"""),"R-SERIES 017 PH")</f>
        <v>R-SERIES 017 PH</v>
      </c>
      <c r="T37" s="2" t="str">
        <f>IFERROR(__xludf.DUMMYFUNCTION("""COMPUTED_VALUE"""),"LSGW1750-RMP-2312026")</f>
        <v>LSGW1750-RMP-2312026</v>
      </c>
      <c r="U37" s="2" t="str">
        <f>IFERROR(__xludf.DUMMYFUNCTION("""COMPUTED_VALUE"""),"WDP40-RMP-2312061")</f>
        <v>WDP40-RMP-2312061</v>
      </c>
      <c r="V37" s="2" t="str">
        <f>IFERROR(__xludf.DUMMYFUNCTION("""COMPUTED_VALUE"""),"good")</f>
        <v>good</v>
      </c>
      <c r="W37" s="2" t="str">
        <f>IFERROR(__xludf.DUMMYFUNCTION("""COMPUTED_VALUE"""),"VL103D")</f>
        <v>VL103D</v>
      </c>
      <c r="X37" s="2">
        <f>IFERROR(__xludf.DUMMYFUNCTION("""COMPUTED_VALUE"""),8.69066060244457E14)</f>
        <v>869066060244457</v>
      </c>
      <c r="Y37" s="2">
        <f>IFERROR(__xludf.DUMMYFUNCTION("""COMPUTED_VALUE"""),9.690236146E9)</f>
        <v>9690236146</v>
      </c>
      <c r="Z37" s="3" t="str">
        <f>IFERROR(__xludf.DUMMYFUNCTION("""COMPUTED_VALUE"""),"0323202005168786")</f>
        <v>0323202005168786</v>
      </c>
      <c r="AA37" s="2" t="str">
        <f>IFERROR(__xludf.DUMMYFUNCTION("""COMPUTED_VALUE"""),"20231121P058387336")</f>
        <v>20231121P058387336</v>
      </c>
      <c r="AB37" s="2" t="str">
        <f>IFERROR(__xludf.DUMMYFUNCTION("""COMPUTED_VALUE"""),"pinamalayanfa")</f>
        <v>pinamalayanfa</v>
      </c>
    </row>
    <row r="38">
      <c r="A38" s="2" t="str">
        <f>IFERROR(__xludf.DUMMYFUNCTION("""COMPUTED_VALUE"""),"TT00036")</f>
        <v>TT00036</v>
      </c>
      <c r="B38" s="2" t="str">
        <f>IFERROR(__xludf.DUMMYFUNCTION("""COMPUTED_VALUE"""),"Completed")</f>
        <v>Completed</v>
      </c>
      <c r="C38" s="2" t="str">
        <f>IFERROR(__xludf.DUMMYFUNCTION("""COMPUTED_VALUE"""),"Billed L1")</f>
        <v>Billed L1</v>
      </c>
      <c r="D38" s="2" t="str">
        <f>IFERROR(__xludf.DUMMYFUNCTION("""COMPUTED_VALUE"""),"CANTIL FARMERS ASSOCIATION")</f>
        <v>CANTIL FARMERS ASSOCIATION</v>
      </c>
      <c r="E38" s="2" t="str">
        <f>IFERROR(__xludf.DUMMYFUNCTION("""COMPUTED_VALUE"""),"Cantil, Roxas, Oriental Mindoro")</f>
        <v>Cantil, Roxas, Oriental Mindoro</v>
      </c>
      <c r="F38" s="2" t="str">
        <f>IFERROR(__xludf.DUMMYFUNCTION("""COMPUTED_VALUE"""),"ANGELO S. ANDRES")</f>
        <v>ANGELO S. ANDRES</v>
      </c>
      <c r="G38" s="2" t="str">
        <f>IFERROR(__xludf.DUMMYFUNCTION("""COMPUTED_VALUE"""),"0938 348 2989")</f>
        <v>0938 348 2989</v>
      </c>
      <c r="H38" s="2"/>
      <c r="I38" s="2"/>
      <c r="J38" s="2"/>
      <c r="K38" s="2" t="str">
        <f>IFERROR(__xludf.DUMMYFUNCTION("""COMPUTED_VALUE"""),"RCEF 23-08-20 Rebidding")</f>
        <v>RCEF 23-08-20 Rebidding</v>
      </c>
      <c r="L38" s="2">
        <f>IFERROR(__xludf.DUMMYFUNCTION("""COMPUTED_VALUE"""),1.0)</f>
        <v>1</v>
      </c>
      <c r="M38" s="2" t="str">
        <f>IFERROR(__xludf.DUMMYFUNCTION("""COMPUTED_VALUE"""),"4B")</f>
        <v>4B</v>
      </c>
      <c r="N38" s="2"/>
      <c r="O38" s="74">
        <f>IFERROR(__xludf.DUMMYFUNCTION("""COMPUTED_VALUE"""),45257.0)</f>
        <v>45257</v>
      </c>
      <c r="P38" s="2">
        <f>IFERROR(__xludf.DUMMYFUNCTION("""COMPUTED_VALUE"""),17391.0)</f>
        <v>17391</v>
      </c>
      <c r="Q38" s="2" t="str">
        <f>IFERROR(__xludf.DUMMYFUNCTION("""COMPUTED_VALUE"""),"KMC 5825 AAPFPV0022")</f>
        <v>KMC 5825 AAPFPV0022</v>
      </c>
      <c r="R38" s="2" t="str">
        <f>IFERROR(__xludf.DUMMYFUNCTION("""COMPUTED_VALUE"""),"PTS100026")</f>
        <v>PTS100026</v>
      </c>
      <c r="S38" s="2" t="str">
        <f>IFERROR(__xludf.DUMMYFUNCTION("""COMPUTED_VALUE"""),"R-SERIES 024 PH")</f>
        <v>R-SERIES 024 PH</v>
      </c>
      <c r="T38" s="2" t="str">
        <f>IFERROR(__xludf.DUMMYFUNCTION("""COMPUTED_VALUE"""),"LSGW1750-RMP-2312025")</f>
        <v>LSGW1750-RMP-2312025</v>
      </c>
      <c r="U38" s="2" t="str">
        <f>IFERROR(__xludf.DUMMYFUNCTION("""COMPUTED_VALUE"""),"WDP40-RMP-2312066")</f>
        <v>WDP40-RMP-2312066</v>
      </c>
      <c r="V38" s="2" t="str">
        <f>IFERROR(__xludf.DUMMYFUNCTION("""COMPUTED_VALUE"""),"good")</f>
        <v>good</v>
      </c>
      <c r="W38" s="2" t="str">
        <f>IFERROR(__xludf.DUMMYFUNCTION("""COMPUTED_VALUE"""),"VL103D")</f>
        <v>VL103D</v>
      </c>
      <c r="X38" s="2">
        <f>IFERROR(__xludf.DUMMYFUNCTION("""COMPUTED_VALUE"""),8.69066060242022E14)</f>
        <v>869066060242022</v>
      </c>
      <c r="Y38" s="2">
        <f>IFERROR(__xludf.DUMMYFUNCTION("""COMPUTED_VALUE"""),9.690374163E9)</f>
        <v>9690374163</v>
      </c>
      <c r="Z38" s="3" t="str">
        <f>IFERROR(__xludf.DUMMYFUNCTION("""COMPUTED_VALUE"""),"0323202005168794")</f>
        <v>0323202005168794</v>
      </c>
      <c r="AA38" s="2" t="str">
        <f>IFERROR(__xludf.DUMMYFUNCTION("""COMPUTED_VALUE"""),"20231121P058388172")</f>
        <v>20231121P058388172</v>
      </c>
      <c r="AB38" s="2" t="str">
        <f>IFERROR(__xludf.DUMMYFUNCTION("""COMPUTED_VALUE"""),"cantilfa")</f>
        <v>cantilfa</v>
      </c>
    </row>
    <row r="39">
      <c r="A39" s="2" t="str">
        <f>IFERROR(__xludf.DUMMYFUNCTION("""COMPUTED_VALUE"""),"TT00037")</f>
        <v>TT00037</v>
      </c>
      <c r="B39" s="2" t="str">
        <f>IFERROR(__xludf.DUMMYFUNCTION("""COMPUTED_VALUE"""),"Completed")</f>
        <v>Completed</v>
      </c>
      <c r="C39" s="2" t="str">
        <f>IFERROR(__xludf.DUMMYFUNCTION("""COMPUTED_VALUE"""),"FOR BILLING L1")</f>
        <v>FOR BILLING L1</v>
      </c>
      <c r="D39" s="2" t="str">
        <f>IFERROR(__xludf.DUMMYFUNCTION("""COMPUTED_VALUE"""),"BAGUMBAYAN ROXAS ORIENTAL MINDORO FARMERS ASSOCIATION")</f>
        <v>BAGUMBAYAN ROXAS ORIENTAL MINDORO FARMERS ASSOCIATION</v>
      </c>
      <c r="E39" s="2" t="str">
        <f>IFERROR(__xludf.DUMMYFUNCTION("""COMPUTED_VALUE"""),"Bagumbayan, Roxas, Oriental Mindoro")</f>
        <v>Bagumbayan, Roxas, Oriental Mindoro</v>
      </c>
      <c r="F39" s="2" t="str">
        <f>IFERROR(__xludf.DUMMYFUNCTION("""COMPUTED_VALUE"""),"GIOVANI A. GAA")</f>
        <v>GIOVANI A. GAA</v>
      </c>
      <c r="G39" s="2" t="str">
        <f>IFERROR(__xludf.DUMMYFUNCTION("""COMPUTED_VALUE"""),"0930 479 0163")</f>
        <v>0930 479 0163</v>
      </c>
      <c r="H39" s="2"/>
      <c r="I39" s="2"/>
      <c r="J39" s="2"/>
      <c r="K39" s="2" t="str">
        <f>IFERROR(__xludf.DUMMYFUNCTION("""COMPUTED_VALUE"""),"RCEF 23-08-20 Rebidding")</f>
        <v>RCEF 23-08-20 Rebidding</v>
      </c>
      <c r="L39" s="2">
        <f>IFERROR(__xludf.DUMMYFUNCTION("""COMPUTED_VALUE"""),1.0)</f>
        <v>1</v>
      </c>
      <c r="M39" s="2" t="str">
        <f>IFERROR(__xludf.DUMMYFUNCTION("""COMPUTED_VALUE"""),"4B")</f>
        <v>4B</v>
      </c>
      <c r="N39" s="2"/>
      <c r="O39" s="74">
        <f>IFERROR(__xludf.DUMMYFUNCTION("""COMPUTED_VALUE"""),45257.0)</f>
        <v>45257</v>
      </c>
      <c r="P39" s="2">
        <f>IFERROR(__xludf.DUMMYFUNCTION("""COMPUTED_VALUE"""),17392.0)</f>
        <v>17392</v>
      </c>
      <c r="Q39" s="2" t="str">
        <f>IFERROR(__xludf.DUMMYFUNCTION("""COMPUTED_VALUE"""),"KMC 5825 ACPFPV0017")</f>
        <v>KMC 5825 ACPFPV0017</v>
      </c>
      <c r="R39" s="2" t="str">
        <f>IFERROR(__xludf.DUMMYFUNCTION("""COMPUTED_VALUE"""),"PTS100032")</f>
        <v>PTS100032</v>
      </c>
      <c r="S39" s="2" t="str">
        <f>IFERROR(__xludf.DUMMYFUNCTION("""COMPUTED_VALUE"""),"R-SERIES 001 PH")</f>
        <v>R-SERIES 001 PH</v>
      </c>
      <c r="T39" s="2" t="str">
        <f>IFERROR(__xludf.DUMMYFUNCTION("""COMPUTED_VALUE"""),"LSGW1750-RMP-2312015")</f>
        <v>LSGW1750-RMP-2312015</v>
      </c>
      <c r="U39" s="2" t="str">
        <f>IFERROR(__xludf.DUMMYFUNCTION("""COMPUTED_VALUE"""),"WDP40-RMP-2312059")</f>
        <v>WDP40-RMP-2312059</v>
      </c>
      <c r="V39" s="2" t="str">
        <f>IFERROR(__xludf.DUMMYFUNCTION("""COMPUTED_VALUE"""),"good")</f>
        <v>good</v>
      </c>
      <c r="W39" s="2" t="str">
        <f>IFERROR(__xludf.DUMMYFUNCTION("""COMPUTED_VALUE"""),"VL103D")</f>
        <v>VL103D</v>
      </c>
      <c r="X39" s="2">
        <f>IFERROR(__xludf.DUMMYFUNCTION("""COMPUTED_VALUE"""),8.69066060239432E14)</f>
        <v>869066060239432</v>
      </c>
      <c r="Y39" s="2">
        <f>IFERROR(__xludf.DUMMYFUNCTION("""COMPUTED_VALUE"""),9.69037416E9)</f>
        <v>9690374160</v>
      </c>
      <c r="Z39" s="3" t="str">
        <f>IFERROR(__xludf.DUMMYFUNCTION("""COMPUTED_VALUE"""),"0323202005168802")</f>
        <v>0323202005168802</v>
      </c>
      <c r="AA39" s="2" t="str">
        <f>IFERROR(__xludf.DUMMYFUNCTION("""COMPUTED_VALUE"""),"20231121P058388709")</f>
        <v>20231121P058388709</v>
      </c>
      <c r="AB39" s="2" t="str">
        <f>IFERROR(__xludf.DUMMYFUNCTION("""COMPUTED_VALUE"""),"bagumbayanfa")</f>
        <v>bagumbayanfa</v>
      </c>
    </row>
    <row r="40">
      <c r="A40" s="2" t="str">
        <f>IFERROR(__xludf.DUMMYFUNCTION("""COMPUTED_VALUE"""),"TT00038")</f>
        <v>TT00038</v>
      </c>
      <c r="B40" s="2" t="str">
        <f>IFERROR(__xludf.DUMMYFUNCTION("""COMPUTED_VALUE"""),"Completed")</f>
        <v>Completed</v>
      </c>
      <c r="C40" s="2" t="str">
        <f>IFERROR(__xludf.DUMMYFUNCTION("""COMPUTED_VALUE"""),"Billed L1")</f>
        <v>Billed L1</v>
      </c>
      <c r="D40" s="2" t="str">
        <f>IFERROR(__xludf.DUMMYFUNCTION("""COMPUTED_VALUE"""),"Municipal Local Government Unit of Cavinti")</f>
        <v>Municipal Local Government Unit of Cavinti</v>
      </c>
      <c r="E40" s="2" t="str">
        <f>IFERROR(__xludf.DUMMYFUNCTION("""COMPUTED_VALUE"""),"Poblacion, Cavinti, Laguna")</f>
        <v>Poblacion, Cavinti, Laguna</v>
      </c>
      <c r="F40" s="2" t="str">
        <f>IFERROR(__xludf.DUMMYFUNCTION("""COMPUTED_VALUE"""),"Hon. Milbert L. Olivares")</f>
        <v>Hon. Milbert L. Olivares</v>
      </c>
      <c r="G40" s="2" t="str">
        <f>IFERROR(__xludf.DUMMYFUNCTION("""COMPUTED_VALUE"""),"0919 002 7529")</f>
        <v>0919 002 7529</v>
      </c>
      <c r="H40" s="2"/>
      <c r="I40" s="2"/>
      <c r="J40" s="2" t="str">
        <f>IFERROR(__xludf.DUMMYFUNCTION("""COMPUTED_VALUE"""),"- gps installation")</f>
        <v>- gps installation</v>
      </c>
      <c r="K40" s="2" t="str">
        <f>IFERROR(__xludf.DUMMYFUNCTION("""COMPUTED_VALUE"""),"RCEF 23-08-20 Rebidding")</f>
        <v>RCEF 23-08-20 Rebidding</v>
      </c>
      <c r="L40" s="2">
        <f>IFERROR(__xludf.DUMMYFUNCTION("""COMPUTED_VALUE"""),1.0)</f>
        <v>1</v>
      </c>
      <c r="M40" s="2" t="str">
        <f>IFERROR(__xludf.DUMMYFUNCTION("""COMPUTED_VALUE"""),"4A")</f>
        <v>4A</v>
      </c>
      <c r="N40" s="74" t="str">
        <f>IFERROR(__xludf.DUMMYFUNCTION("""COMPUTED_VALUE"""),"Dec.22,2023")</f>
        <v>Dec.22,2023</v>
      </c>
      <c r="O40" s="74" t="str">
        <f>IFERROR(__xludf.DUMMYFUNCTION("""COMPUTED_VALUE"""),"Jan.30,2024")</f>
        <v>Jan.30,2024</v>
      </c>
      <c r="P40" s="2">
        <f>IFERROR(__xludf.DUMMYFUNCTION("""COMPUTED_VALUE"""),17706.0)</f>
        <v>17706</v>
      </c>
      <c r="Q40" s="2" t="str">
        <f>IFERROR(__xludf.DUMMYFUNCTION("""COMPUTED_VALUE"""),"KMC 5825 ACPFPV0141")</f>
        <v>KMC 5825 ACPFPV0141</v>
      </c>
      <c r="R40" s="2" t="str">
        <f>IFERROR(__xludf.DUMMYFUNCTION("""COMPUTED_VALUE"""),"PTS100076")</f>
        <v>PTS100076</v>
      </c>
      <c r="S40" s="2" t="str">
        <f>IFERROR(__xludf.DUMMYFUNCTION("""COMPUTED_VALUE"""),"R-SERIES 002 PH")</f>
        <v>R-SERIES 002 PH</v>
      </c>
      <c r="T40" s="2" t="str">
        <f>IFERROR(__xludf.DUMMYFUNCTION("""COMPUTED_VALUE"""),"LSGW1750-RMP-2312177")</f>
        <v>LSGW1750-RMP-2312177</v>
      </c>
      <c r="U40" s="2" t="str">
        <f>IFERROR(__xludf.DUMMYFUNCTION("""COMPUTED_VALUE"""),"WDP40-RMP-2312113")</f>
        <v>WDP40-RMP-2312113</v>
      </c>
      <c r="V40" s="2" t="str">
        <f>IFERROR(__xludf.DUMMYFUNCTION("""COMPUTED_VALUE"""),"no load")</f>
        <v>no load</v>
      </c>
      <c r="W40" s="2" t="str">
        <f>IFERROR(__xludf.DUMMYFUNCTION("""COMPUTED_VALUE"""),"VL103D")</f>
        <v>VL103D</v>
      </c>
      <c r="X40" s="2">
        <f>IFERROR(__xludf.DUMMYFUNCTION("""COMPUTED_VALUE"""),8.69066060241057E14)</f>
        <v>869066060241057</v>
      </c>
      <c r="Y40" s="2">
        <f>IFERROR(__xludf.DUMMYFUNCTION("""COMPUTED_VALUE"""),9.081501004E9)</f>
        <v>9081501004</v>
      </c>
      <c r="Z40" s="2"/>
      <c r="AA40" s="2"/>
      <c r="AB40" s="2" t="str">
        <f>IFERROR(__xludf.DUMMYFUNCTION("""COMPUTED_VALUE"""),"mlgucavinti")</f>
        <v>mlgucavinti</v>
      </c>
    </row>
    <row r="41">
      <c r="A41" s="2" t="str">
        <f>IFERROR(__xludf.DUMMYFUNCTION("""COMPUTED_VALUE"""),"TT00039")</f>
        <v>TT00039</v>
      </c>
      <c r="B41" s="2" t="str">
        <f>IFERROR(__xludf.DUMMYFUNCTION("""COMPUTED_VALUE"""),"Completed")</f>
        <v>Completed</v>
      </c>
      <c r="C41" s="2" t="str">
        <f>IFERROR(__xludf.DUMMYFUNCTION("""COMPUTED_VALUE"""),"Billed L1")</f>
        <v>Billed L1</v>
      </c>
      <c r="D41" s="2" t="str">
        <f>IFERROR(__xludf.DUMMYFUNCTION("""COMPUTED_VALUE"""),"Municipal Local Government Unit of Kalayaan")</f>
        <v>Municipal Local Government Unit of Kalayaan</v>
      </c>
      <c r="E41" s="2" t="str">
        <f>IFERROR(__xludf.DUMMYFUNCTION("""COMPUTED_VALUE"""),"San Juan, Kalayaan, Laguna")</f>
        <v>San Juan, Kalayaan, Laguna</v>
      </c>
      <c r="F41" s="2" t="str">
        <f>IFERROR(__xludf.DUMMYFUNCTION("""COMPUTED_VALUE"""),"Hon. Sandy P. Laganapan")</f>
        <v>Hon. Sandy P. Laganapan</v>
      </c>
      <c r="G41" s="2" t="str">
        <f>IFERROR(__xludf.DUMMYFUNCTION("""COMPUTED_VALUE"""),"0926 242 9624")</f>
        <v>0926 242 9624</v>
      </c>
      <c r="H41" s="2"/>
      <c r="I41" s="2"/>
      <c r="J41" s="2" t="str">
        <f>IFERROR(__xludf.DUMMYFUNCTION("""COMPUTED_VALUE"""),"- gps installation")</f>
        <v>- gps installation</v>
      </c>
      <c r="K41" s="2" t="str">
        <f>IFERROR(__xludf.DUMMYFUNCTION("""COMPUTED_VALUE"""),"RCEF 23-08-20 Rebidding")</f>
        <v>RCEF 23-08-20 Rebidding</v>
      </c>
      <c r="L41" s="2">
        <f>IFERROR(__xludf.DUMMYFUNCTION("""COMPUTED_VALUE"""),1.0)</f>
        <v>1</v>
      </c>
      <c r="M41" s="2" t="str">
        <f>IFERROR(__xludf.DUMMYFUNCTION("""COMPUTED_VALUE"""),"4A")</f>
        <v>4A</v>
      </c>
      <c r="N41" s="74" t="str">
        <f>IFERROR(__xludf.DUMMYFUNCTION("""COMPUTED_VALUE"""),"Dec.22,2023")</f>
        <v>Dec.22,2023</v>
      </c>
      <c r="O41" s="74" t="str">
        <f>IFERROR(__xludf.DUMMYFUNCTION("""COMPUTED_VALUE"""),"Jan.2,2024")</f>
        <v>Jan.2,2024</v>
      </c>
      <c r="P41" s="2">
        <f>IFERROR(__xludf.DUMMYFUNCTION("""COMPUTED_VALUE"""),17707.0)</f>
        <v>17707</v>
      </c>
      <c r="Q41" s="2" t="str">
        <f>IFERROR(__xludf.DUMMYFUNCTION("""COMPUTED_VALUE"""),"KMC 5825 AAPFPV0067")</f>
        <v>KMC 5825 AAPFPV0067</v>
      </c>
      <c r="R41" s="2" t="str">
        <f>IFERROR(__xludf.DUMMYFUNCTION("""COMPUTED_VALUE"""),"PTS100150")</f>
        <v>PTS100150</v>
      </c>
      <c r="S41" s="2" t="str">
        <f>IFERROR(__xludf.DUMMYFUNCTION("""COMPUTED_VALUE"""),"R-SERIES 008 PH")</f>
        <v>R-SERIES 008 PH</v>
      </c>
      <c r="T41" s="2" t="str">
        <f>IFERROR(__xludf.DUMMYFUNCTION("""COMPUTED_VALUE"""),"LSGW1750-RMP-2312079")</f>
        <v>LSGW1750-RMP-2312079</v>
      </c>
      <c r="U41" s="2" t="str">
        <f>IFERROR(__xludf.DUMMYFUNCTION("""COMPUTED_VALUE"""),"WDP40-RMP-2312074")</f>
        <v>WDP40-RMP-2312074</v>
      </c>
      <c r="V41" s="2" t="str">
        <f>IFERROR(__xludf.DUMMYFUNCTION("""COMPUTED_VALUE"""),"no load")</f>
        <v>no load</v>
      </c>
      <c r="W41" s="2" t="str">
        <f>IFERROR(__xludf.DUMMYFUNCTION("""COMPUTED_VALUE"""),"VL103D")</f>
        <v>VL103D</v>
      </c>
      <c r="X41" s="2">
        <f>IFERROR(__xludf.DUMMYFUNCTION("""COMPUTED_VALUE"""),8.69066060245892E14)</f>
        <v>869066060245892</v>
      </c>
      <c r="Y41" s="2">
        <f>IFERROR(__xludf.DUMMYFUNCTION("""COMPUTED_VALUE"""),9.087563512E9)</f>
        <v>9087563512</v>
      </c>
      <c r="Z41" s="2"/>
      <c r="AA41" s="2"/>
      <c r="AB41" s="2" t="str">
        <f>IFERROR(__xludf.DUMMYFUNCTION("""COMPUTED_VALUE"""),"mlgukalayaan")</f>
        <v>mlgukalayaan</v>
      </c>
    </row>
    <row r="42">
      <c r="A42" s="2" t="str">
        <f>IFERROR(__xludf.DUMMYFUNCTION("""COMPUTED_VALUE"""),"TT00040")</f>
        <v>TT00040</v>
      </c>
      <c r="B42" s="2" t="str">
        <f>IFERROR(__xludf.DUMMYFUNCTION("""COMPUTED_VALUE"""),"Completed")</f>
        <v>Completed</v>
      </c>
      <c r="C42" s="2" t="str">
        <f>IFERROR(__xludf.DUMMYFUNCTION("""COMPUTED_VALUE"""),"Billed L1")</f>
        <v>Billed L1</v>
      </c>
      <c r="D42" s="2" t="str">
        <f>IFERROR(__xludf.DUMMYFUNCTION("""COMPUTED_VALUE"""),"SAMAHAN NG MAGSASAKA NG BARANGAY NANGUMA (SAMABANA)")</f>
        <v>SAMAHAN NG MAGSASAKA NG BARANGAY NANGUMA (SAMABANA)</v>
      </c>
      <c r="E42" s="2" t="str">
        <f>IFERROR(__xludf.DUMMYFUNCTION("""COMPUTED_VALUE"""),"Nanguma, Mabitac, Laguna")</f>
        <v>Nanguma, Mabitac, Laguna</v>
      </c>
      <c r="F42" s="2" t="str">
        <f>IFERROR(__xludf.DUMMYFUNCTION("""COMPUTED_VALUE"""),"LORETO D. PEREZ")</f>
        <v>LORETO D. PEREZ</v>
      </c>
      <c r="G42" s="2" t="str">
        <f>IFERROR(__xludf.DUMMYFUNCTION("""COMPUTED_VALUE"""),"0927-910-0483")</f>
        <v>0927-910-0483</v>
      </c>
      <c r="H42" s="2"/>
      <c r="I42" s="2"/>
      <c r="J42" s="2" t="str">
        <f>IFERROR(__xludf.DUMMYFUNCTION("""COMPUTED_VALUE"""),"- gps installation")</f>
        <v>- gps installation</v>
      </c>
      <c r="K42" s="2" t="str">
        <f>IFERROR(__xludf.DUMMYFUNCTION("""COMPUTED_VALUE"""),"RCEF 23-08-20 Rebidding")</f>
        <v>RCEF 23-08-20 Rebidding</v>
      </c>
      <c r="L42" s="2">
        <f>IFERROR(__xludf.DUMMYFUNCTION("""COMPUTED_VALUE"""),1.0)</f>
        <v>1</v>
      </c>
      <c r="M42" s="2" t="str">
        <f>IFERROR(__xludf.DUMMYFUNCTION("""COMPUTED_VALUE"""),"4A")</f>
        <v>4A</v>
      </c>
      <c r="N42" s="74" t="str">
        <f>IFERROR(__xludf.DUMMYFUNCTION("""COMPUTED_VALUE"""),"Dec.22,2023")</f>
        <v>Dec.22,2023</v>
      </c>
      <c r="O42" s="74" t="str">
        <f>IFERROR(__xludf.DUMMYFUNCTION("""COMPUTED_VALUE"""),"Jan.31,2024")</f>
        <v>Jan.31,2024</v>
      </c>
      <c r="P42" s="2">
        <f>IFERROR(__xludf.DUMMYFUNCTION("""COMPUTED_VALUE"""),17708.0)</f>
        <v>17708</v>
      </c>
      <c r="Q42" s="2" t="str">
        <f>IFERROR(__xludf.DUMMYFUNCTION("""COMPUTED_VALUE"""),"KMC 5825 ATPFPV0111")</f>
        <v>KMC 5825 ATPFPV0111</v>
      </c>
      <c r="R42" s="2" t="str">
        <f>IFERROR(__xludf.DUMMYFUNCTION("""COMPUTED_VALUE"""),"PTS100093")</f>
        <v>PTS100093</v>
      </c>
      <c r="S42" s="2" t="str">
        <f>IFERROR(__xludf.DUMMYFUNCTION("""COMPUTED_VALUE"""),"R-SERIES 017 PH")</f>
        <v>R-SERIES 017 PH</v>
      </c>
      <c r="T42" s="2" t="str">
        <f>IFERROR(__xludf.DUMMYFUNCTION("""COMPUTED_VALUE"""),"LSGW1750-RMP-2312161")</f>
        <v>LSGW1750-RMP-2312161</v>
      </c>
      <c r="U42" s="2" t="str">
        <f>IFERROR(__xludf.DUMMYFUNCTION("""COMPUTED_VALUE"""),"WDP40-RMP-2401005")</f>
        <v>WDP40-RMP-2401005</v>
      </c>
      <c r="V42" s="2" t="str">
        <f>IFERROR(__xludf.DUMMYFUNCTION("""COMPUTED_VALUE"""),"no load")</f>
        <v>no load</v>
      </c>
      <c r="W42" s="2" t="str">
        <f>IFERROR(__xludf.DUMMYFUNCTION("""COMPUTED_VALUE"""),"VL103D")</f>
        <v>VL103D</v>
      </c>
      <c r="X42" s="2">
        <f>IFERROR(__xludf.DUMMYFUNCTION("""COMPUTED_VALUE"""),8.69066060237428E14)</f>
        <v>869066060237428</v>
      </c>
      <c r="Y42" s="2">
        <f>IFERROR(__xludf.DUMMYFUNCTION("""COMPUTED_VALUE"""),9.08302334E9)</f>
        <v>9083023340</v>
      </c>
      <c r="Z42" s="2"/>
      <c r="AA42" s="2"/>
      <c r="AB42" s="2" t="str">
        <f>IFERROR(__xludf.DUMMYFUNCTION("""COMPUTED_VALUE"""),"samabana")</f>
        <v>samabana</v>
      </c>
    </row>
    <row r="43">
      <c r="A43" s="2" t="str">
        <f>IFERROR(__xludf.DUMMYFUNCTION("""COMPUTED_VALUE"""),"TT00041")</f>
        <v>TT00041</v>
      </c>
      <c r="B43" s="2" t="str">
        <f>IFERROR(__xludf.DUMMYFUNCTION("""COMPUTED_VALUE"""),"Completed")</f>
        <v>Completed</v>
      </c>
      <c r="C43" s="2" t="str">
        <f>IFERROR(__xludf.DUMMYFUNCTION("""COMPUTED_VALUE"""),"Billed L1")</f>
        <v>Billed L1</v>
      </c>
      <c r="D43" s="2" t="str">
        <f>IFERROR(__xludf.DUMMYFUNCTION("""COMPUTED_VALUE"""),"SAMAHANG MAGPAPATUBIG NG DAMBO-ASUFRE PANGIL, LAGUNA INC.")</f>
        <v>SAMAHANG MAGPAPATUBIG NG DAMBO-ASUFRE PANGIL, LAGUNA INC.</v>
      </c>
      <c r="E43" s="2" t="str">
        <f>IFERROR(__xludf.DUMMYFUNCTION("""COMPUTED_VALUE"""),"Dambo, Pangil, Laguna")</f>
        <v>Dambo, Pangil, Laguna</v>
      </c>
      <c r="F43" s="2" t="str">
        <f>IFERROR(__xludf.DUMMYFUNCTION("""COMPUTED_VALUE"""),"Jonathan B. De Guia")</f>
        <v>Jonathan B. De Guia</v>
      </c>
      <c r="G43" s="2" t="str">
        <f>IFERROR(__xludf.DUMMYFUNCTION("""COMPUTED_VALUE"""),"0935-519-1312")</f>
        <v>0935-519-1312</v>
      </c>
      <c r="H43" s="2"/>
      <c r="I43" s="2"/>
      <c r="J43" s="2" t="str">
        <f>IFERROR(__xludf.DUMMYFUNCTION("""COMPUTED_VALUE"""),"- gps installation")</f>
        <v>- gps installation</v>
      </c>
      <c r="K43" s="2" t="str">
        <f>IFERROR(__xludf.DUMMYFUNCTION("""COMPUTED_VALUE"""),"RCEF 23-08-20 Rebidding")</f>
        <v>RCEF 23-08-20 Rebidding</v>
      </c>
      <c r="L43" s="2">
        <f>IFERROR(__xludf.DUMMYFUNCTION("""COMPUTED_VALUE"""),1.0)</f>
        <v>1</v>
      </c>
      <c r="M43" s="2" t="str">
        <f>IFERROR(__xludf.DUMMYFUNCTION("""COMPUTED_VALUE"""),"4A")</f>
        <v>4A</v>
      </c>
      <c r="N43" s="74" t="str">
        <f>IFERROR(__xludf.DUMMYFUNCTION("""COMPUTED_VALUE"""),"Dec.22,2023")</f>
        <v>Dec.22,2023</v>
      </c>
      <c r="O43" s="74" t="str">
        <f>IFERROR(__xludf.DUMMYFUNCTION("""COMPUTED_VALUE"""),"Jan.30,2024")</f>
        <v>Jan.30,2024</v>
      </c>
      <c r="P43" s="2">
        <f>IFERROR(__xludf.DUMMYFUNCTION("""COMPUTED_VALUE"""),17709.0)</f>
        <v>17709</v>
      </c>
      <c r="Q43" s="2" t="str">
        <f>IFERROR(__xludf.DUMMYFUNCTION("""COMPUTED_VALUE"""),"KMC 5825 ALRFPV0011")</f>
        <v>KMC 5825 ALRFPV0011</v>
      </c>
      <c r="R43" s="2" t="str">
        <f>IFERROR(__xludf.DUMMYFUNCTION("""COMPUTED_VALUE"""),"PTS100182")</f>
        <v>PTS100182</v>
      </c>
      <c r="S43" s="2" t="str">
        <f>IFERROR(__xludf.DUMMYFUNCTION("""COMPUTED_VALUE"""),"R-SERIES 038 PH")</f>
        <v>R-SERIES 038 PH</v>
      </c>
      <c r="T43" s="2" t="str">
        <f>IFERROR(__xludf.DUMMYFUNCTION("""COMPUTED_VALUE"""),"LSGW1750-RMP-2312074")</f>
        <v>LSGW1750-RMP-2312074</v>
      </c>
      <c r="U43" s="2" t="str">
        <f>IFERROR(__xludf.DUMMYFUNCTION("""COMPUTED_VALUE"""),"WDP40-RMP-2312077")</f>
        <v>WDP40-RMP-2312077</v>
      </c>
      <c r="V43" s="2" t="str">
        <f>IFERROR(__xludf.DUMMYFUNCTION("""COMPUTED_VALUE"""),"no load")</f>
        <v>no load</v>
      </c>
      <c r="W43" s="2" t="str">
        <f>IFERROR(__xludf.DUMMYFUNCTION("""COMPUTED_VALUE"""),"VL103D")</f>
        <v>VL103D</v>
      </c>
      <c r="X43" s="2">
        <f>IFERROR(__xludf.DUMMYFUNCTION("""COMPUTED_VALUE"""),8.69066060244606E14)</f>
        <v>869066060244606</v>
      </c>
      <c r="Y43" s="2">
        <f>IFERROR(__xludf.DUMMYFUNCTION("""COMPUTED_VALUE"""),9.083959063E9)</f>
        <v>9083959063</v>
      </c>
      <c r="Z43" s="2"/>
      <c r="AA43" s="2"/>
      <c r="AB43" s="2" t="str">
        <f>IFERROR(__xludf.DUMMYFUNCTION("""COMPUTED_VALUE"""),"dambo-asufre")</f>
        <v>dambo-asufre</v>
      </c>
    </row>
    <row r="44">
      <c r="A44" s="2" t="str">
        <f>IFERROR(__xludf.DUMMYFUNCTION("""COMPUTED_VALUE"""),"TT00042")</f>
        <v>TT00042</v>
      </c>
      <c r="B44" s="2" t="str">
        <f>IFERROR(__xludf.DUMMYFUNCTION("""COMPUTED_VALUE"""),"Completed")</f>
        <v>Completed</v>
      </c>
      <c r="C44" s="2" t="str">
        <f>IFERROR(__xludf.DUMMYFUNCTION("""COMPUTED_VALUE"""),"Billed L1")</f>
        <v>Billed L1</v>
      </c>
      <c r="D44" s="2" t="str">
        <f>IFERROR(__xludf.DUMMYFUNCTION("""COMPUTED_VALUE"""),"STA. CRUZ RIVER IRRIGATION SYSTEM IRRIGATORS ASSOCIATION, INC.")</f>
        <v>STA. CRUZ RIVER IRRIGATION SYSTEM IRRIGATORS ASSOCIATION, INC.</v>
      </c>
      <c r="E44" s="2" t="str">
        <f>IFERROR(__xludf.DUMMYFUNCTION("""COMPUTED_VALUE"""),"Gatid, Santa Cruz, Laguna")</f>
        <v>Gatid, Santa Cruz, Laguna</v>
      </c>
      <c r="F44" s="2" t="str">
        <f>IFERROR(__xludf.DUMMYFUNCTION("""COMPUTED_VALUE"""),"Roberto Ramos")</f>
        <v>Roberto Ramos</v>
      </c>
      <c r="G44" s="2" t="str">
        <f>IFERROR(__xludf.DUMMYFUNCTION("""COMPUTED_VALUE"""),"0968 606 0896")</f>
        <v>0968 606 0896</v>
      </c>
      <c r="H44" s="2"/>
      <c r="I44" s="2"/>
      <c r="J44" s="2" t="str">
        <f>IFERROR(__xludf.DUMMYFUNCTION("""COMPUTED_VALUE"""),"- gps installation")</f>
        <v>- gps installation</v>
      </c>
      <c r="K44" s="2" t="str">
        <f>IFERROR(__xludf.DUMMYFUNCTION("""COMPUTED_VALUE"""),"RCEF 23-08-20 Rebidding")</f>
        <v>RCEF 23-08-20 Rebidding</v>
      </c>
      <c r="L44" s="2">
        <f>IFERROR(__xludf.DUMMYFUNCTION("""COMPUTED_VALUE"""),1.0)</f>
        <v>1</v>
      </c>
      <c r="M44" s="2" t="str">
        <f>IFERROR(__xludf.DUMMYFUNCTION("""COMPUTED_VALUE"""),"4A")</f>
        <v>4A</v>
      </c>
      <c r="N44" s="74" t="str">
        <f>IFERROR(__xludf.DUMMYFUNCTION("""COMPUTED_VALUE"""),"Dec.22,2023")</f>
        <v>Dec.22,2023</v>
      </c>
      <c r="O44" s="74" t="str">
        <f>IFERROR(__xludf.DUMMYFUNCTION("""COMPUTED_VALUE"""),"Jan.2,2023")</f>
        <v>Jan.2,2023</v>
      </c>
      <c r="P44" s="2">
        <f>IFERROR(__xludf.DUMMYFUNCTION("""COMPUTED_VALUE"""),17710.0)</f>
        <v>17710</v>
      </c>
      <c r="Q44" s="2" t="str">
        <f>IFERROR(__xludf.DUMMYFUNCTION("""COMPUTED_VALUE"""),"KMC 5825 AHPFPV0012")</f>
        <v>KMC 5825 AHPFPV0012</v>
      </c>
      <c r="R44" s="2" t="str">
        <f>IFERROR(__xludf.DUMMYFUNCTION("""COMPUTED_VALUE"""),"PTS100169")</f>
        <v>PTS100169</v>
      </c>
      <c r="S44" s="2" t="str">
        <f>IFERROR(__xludf.DUMMYFUNCTION("""COMPUTED_VALUE"""),"R-SERIES 147 PH")</f>
        <v>R-SERIES 147 PH</v>
      </c>
      <c r="T44" s="2" t="str">
        <f>IFERROR(__xludf.DUMMYFUNCTION("""COMPUTED_VALUE"""),"LSGW1750-RMP-2312162")</f>
        <v>LSGW1750-RMP-2312162</v>
      </c>
      <c r="U44" s="2" t="str">
        <f>IFERROR(__xludf.DUMMYFUNCTION("""COMPUTED_VALUE"""),"WDP40-RMP-2312108")</f>
        <v>WDP40-RMP-2312108</v>
      </c>
      <c r="V44" s="2" t="str">
        <f>IFERROR(__xludf.DUMMYFUNCTION("""COMPUTED_VALUE"""),"no load")</f>
        <v>no load</v>
      </c>
      <c r="W44" s="2" t="str">
        <f>IFERROR(__xludf.DUMMYFUNCTION("""COMPUTED_VALUE"""),"VL103D")</f>
        <v>VL103D</v>
      </c>
      <c r="X44" s="2">
        <f>IFERROR(__xludf.DUMMYFUNCTION("""COMPUTED_VALUE"""),8.69066060238285E14)</f>
        <v>869066060238285</v>
      </c>
      <c r="Y44" s="2">
        <f>IFERROR(__xludf.DUMMYFUNCTION("""COMPUTED_VALUE"""),9.085385091E9)</f>
        <v>9085385091</v>
      </c>
      <c r="Z44" s="2"/>
      <c r="AA44" s="2"/>
      <c r="AB44" s="2" t="str">
        <f>IFERROR(__xludf.DUMMYFUNCTION("""COMPUTED_VALUE"""),"stacruzirrig")</f>
        <v>stacruzirrig</v>
      </c>
    </row>
    <row r="45">
      <c r="A45" s="2" t="str">
        <f>IFERROR(__xludf.DUMMYFUNCTION("""COMPUTED_VALUE"""),"TT00043")</f>
        <v>TT00043</v>
      </c>
      <c r="B45" s="2" t="str">
        <f>IFERROR(__xludf.DUMMYFUNCTION("""COMPUTED_VALUE"""),"Completed")</f>
        <v>Completed</v>
      </c>
      <c r="C45" s="2" t="str">
        <f>IFERROR(__xludf.DUMMYFUNCTION("""COMPUTED_VALUE"""),"Billed L1")</f>
        <v>Billed L1</v>
      </c>
      <c r="D45" s="2" t="str">
        <f>IFERROR(__xludf.DUMMYFUNCTION("""COMPUTED_VALUE"""),"BAGUMBAYAN ORGANIC FARMER’S ASSOCIATION")</f>
        <v>BAGUMBAYAN ORGANIC FARMER’S ASSOCIATION</v>
      </c>
      <c r="E45" s="2" t="str">
        <f>IFERROR(__xludf.DUMMYFUNCTION("""COMPUTED_VALUE"""),"Bagumbayan, Santa Maria, Laguna")</f>
        <v>Bagumbayan, Santa Maria, Laguna</v>
      </c>
      <c r="F45" s="2" t="str">
        <f>IFERROR(__xludf.DUMMYFUNCTION("""COMPUTED_VALUE"""),"LORENZO V. MACASAET")</f>
        <v>LORENZO V. MACASAET</v>
      </c>
      <c r="G45" s="2">
        <f>IFERROR(__xludf.DUMMYFUNCTION("""COMPUTED_VALUE"""),9.672085261E9)</f>
        <v>9672085261</v>
      </c>
      <c r="H45" s="2"/>
      <c r="I45" s="2"/>
      <c r="J45" s="2" t="str">
        <f>IFERROR(__xludf.DUMMYFUNCTION("""COMPUTED_VALUE"""),"- gps installation")</f>
        <v>- gps installation</v>
      </c>
      <c r="K45" s="2" t="str">
        <f>IFERROR(__xludf.DUMMYFUNCTION("""COMPUTED_VALUE"""),"RCEF 23-08-20 Rebidding")</f>
        <v>RCEF 23-08-20 Rebidding</v>
      </c>
      <c r="L45" s="2">
        <f>IFERROR(__xludf.DUMMYFUNCTION("""COMPUTED_VALUE"""),1.0)</f>
        <v>1</v>
      </c>
      <c r="M45" s="2" t="str">
        <f>IFERROR(__xludf.DUMMYFUNCTION("""COMPUTED_VALUE"""),"4A")</f>
        <v>4A</v>
      </c>
      <c r="N45" s="74" t="str">
        <f>IFERROR(__xludf.DUMMYFUNCTION("""COMPUTED_VALUE"""),"Dec.22,2023")</f>
        <v>Dec.22,2023</v>
      </c>
      <c r="O45" s="74" t="str">
        <f>IFERROR(__xludf.DUMMYFUNCTION("""COMPUTED_VALUE"""),"Jan.31,2024")</f>
        <v>Jan.31,2024</v>
      </c>
      <c r="P45" s="2">
        <f>IFERROR(__xludf.DUMMYFUNCTION("""COMPUTED_VALUE"""),17711.0)</f>
        <v>17711</v>
      </c>
      <c r="Q45" s="2" t="str">
        <f>IFERROR(__xludf.DUMMYFUNCTION("""COMPUTED_VALUE"""),"KMC 5825 AAKFPV0007")</f>
        <v>KMC 5825 AAKFPV0007</v>
      </c>
      <c r="R45" s="2" t="str">
        <f>IFERROR(__xludf.DUMMYFUNCTION("""COMPUTED_VALUE"""),"PTS100274")</f>
        <v>PTS100274</v>
      </c>
      <c r="S45" s="2" t="str">
        <f>IFERROR(__xludf.DUMMYFUNCTION("""COMPUTED_VALUE"""),"R-SERIES 013 PH")</f>
        <v>R-SERIES 013 PH</v>
      </c>
      <c r="T45" s="2" t="str">
        <f>IFERROR(__xludf.DUMMYFUNCTION("""COMPUTED_VALUE"""),"LSGW1750-RMP-2312175")</f>
        <v>LSGW1750-RMP-2312175</v>
      </c>
      <c r="U45" s="2" t="str">
        <f>IFERROR(__xludf.DUMMYFUNCTION("""COMPUTED_VALUE"""),"WDP40-RMP-2312136")</f>
        <v>WDP40-RMP-2312136</v>
      </c>
      <c r="V45" s="2" t="str">
        <f>IFERROR(__xludf.DUMMYFUNCTION("""COMPUTED_VALUE"""),"no load")</f>
        <v>no load</v>
      </c>
      <c r="W45" s="2" t="str">
        <f>IFERROR(__xludf.DUMMYFUNCTION("""COMPUTED_VALUE"""),"VL103D")</f>
        <v>VL103D</v>
      </c>
      <c r="X45" s="2">
        <f>IFERROR(__xludf.DUMMYFUNCTION("""COMPUTED_VALUE"""),8.69066060243541E14)</f>
        <v>869066060243541</v>
      </c>
      <c r="Y45" s="2">
        <f>IFERROR(__xludf.DUMMYFUNCTION("""COMPUTED_VALUE"""),9.087671028E9)</f>
        <v>9087671028</v>
      </c>
      <c r="Z45" s="2"/>
      <c r="AA45" s="2"/>
      <c r="AB45" s="2" t="str">
        <f>IFERROR(__xludf.DUMMYFUNCTION("""COMPUTED_VALUE"""),"bagumbayanfa")</f>
        <v>bagumbayanfa</v>
      </c>
    </row>
    <row r="46">
      <c r="A46" s="2" t="str">
        <f>IFERROR(__xludf.DUMMYFUNCTION("""COMPUTED_VALUE"""),"TT00044")</f>
        <v>TT00044</v>
      </c>
      <c r="B46" s="2"/>
      <c r="C46" s="2" t="str">
        <f>IFERROR(__xludf.DUMMYFUNCTION("""COMPUTED_VALUE"""),"FOR BILLING L1")</f>
        <v>FOR BILLING L1</v>
      </c>
      <c r="D46" s="2" t="str">
        <f>IFERROR(__xludf.DUMMYFUNCTION("""COMPUTED_VALUE"""),"BARANGAY BANUGAO FARMERS ASSOCIATION")</f>
        <v>BARANGAY BANUGAO FARMERS ASSOCIATION</v>
      </c>
      <c r="E46" s="2" t="str">
        <f>IFERROR(__xludf.DUMMYFUNCTION("""COMPUTED_VALUE"""),"Banugao, Infanta, Quezon")</f>
        <v>Banugao, Infanta, Quezon</v>
      </c>
      <c r="F46" s="2" t="str">
        <f>IFERROR(__xludf.DUMMYFUNCTION("""COMPUTED_VALUE"""),"Catalino Mostoles")</f>
        <v>Catalino Mostoles</v>
      </c>
      <c r="G46" s="2" t="str">
        <f>IFERROR(__xludf.DUMMYFUNCTION("""COMPUTED_VALUE"""),"0920 733 8911")</f>
        <v>0920 733 8911</v>
      </c>
      <c r="H46" s="2"/>
      <c r="I46" s="2"/>
      <c r="J46" s="2"/>
      <c r="K46" s="2" t="str">
        <f>IFERROR(__xludf.DUMMYFUNCTION("""COMPUTED_VALUE"""),"RCEF 23-08-20 Rebidding")</f>
        <v>RCEF 23-08-20 Rebidding</v>
      </c>
      <c r="L46" s="2">
        <f>IFERROR(__xludf.DUMMYFUNCTION("""COMPUTED_VALUE"""),1.0)</f>
        <v>1</v>
      </c>
      <c r="M46" s="2" t="str">
        <f>IFERROR(__xludf.DUMMYFUNCTION("""COMPUTED_VALUE"""),"4A")</f>
        <v>4A</v>
      </c>
      <c r="N46" s="2" t="str">
        <f>IFERROR(__xludf.DUMMYFUNCTION("""COMPUTED_VALUE"""),"Dec.22,2023")</f>
        <v>Dec.22,2023</v>
      </c>
      <c r="O46" s="74">
        <f>IFERROR(__xludf.DUMMYFUNCTION("""COMPUTED_VALUE"""),45411.0)</f>
        <v>45411</v>
      </c>
      <c r="P46" s="2">
        <f>IFERROR(__xludf.DUMMYFUNCTION("""COMPUTED_VALUE"""),17712.0)</f>
        <v>17712</v>
      </c>
      <c r="Q46" s="2" t="str">
        <f>IFERROR(__xludf.DUMMYFUNCTION("""COMPUTED_VALUE"""),"KMC5825 ACRFPV0392")</f>
        <v>KMC5825 ACRFPV0392</v>
      </c>
      <c r="R46" s="2" t="str">
        <f>IFERROR(__xludf.DUMMYFUNCTION("""COMPUTED_VALUE"""),"RTS100157")</f>
        <v>RTS100157</v>
      </c>
      <c r="S46" s="2" t="str">
        <f>IFERROR(__xludf.DUMMYFUNCTION("""COMPUTED_VALUE"""),"R-SERIES 132 PH")</f>
        <v>R-SERIES 132 PH</v>
      </c>
      <c r="T46" s="2" t="str">
        <f>IFERROR(__xludf.DUMMYFUNCTION("""COMPUTED_VALUE"""),"LSGW1750 RMP 2312149")</f>
        <v>LSGW1750 RMP 2312149</v>
      </c>
      <c r="U46" s="2" t="str">
        <f>IFERROR(__xludf.DUMMYFUNCTION("""COMPUTED_VALUE"""),"WDP40 RMP 24020188")</f>
        <v>WDP40 RMP 24020188</v>
      </c>
      <c r="V46" s="2"/>
      <c r="W46" s="2" t="str">
        <f>IFERROR(__xludf.DUMMYFUNCTION("""COMPUTED_VALUE"""),"VL103D")</f>
        <v>VL103D</v>
      </c>
      <c r="X46" s="2"/>
      <c r="Y46" s="2"/>
      <c r="Z46" s="2"/>
      <c r="AA46" s="2"/>
      <c r="AB46" s="2" t="str">
        <f>IFERROR(__xludf.DUMMYFUNCTION("""COMPUTED_VALUE"""),"banugaofa")</f>
        <v>banugaofa</v>
      </c>
    </row>
    <row r="47">
      <c r="A47" s="2" t="str">
        <f>IFERROR(__xludf.DUMMYFUNCTION("""COMPUTED_VALUE"""),"TT00045")</f>
        <v>TT00045</v>
      </c>
      <c r="B47" s="2" t="str">
        <f>IFERROR(__xludf.DUMMYFUNCTION("""COMPUTED_VALUE"""),"Completed")</f>
        <v>Completed</v>
      </c>
      <c r="C47" s="2" t="str">
        <f>IFERROR(__xludf.DUMMYFUNCTION("""COMPUTED_VALUE"""),"Billed L1")</f>
        <v>Billed L1</v>
      </c>
      <c r="D47" s="2" t="str">
        <f>IFERROR(__xludf.DUMMYFUNCTION("""COMPUTED_VALUE"""),"MAUBAN FARMERS ASSOCIATION")</f>
        <v>MAUBAN FARMERS ASSOCIATION</v>
      </c>
      <c r="E47" s="2" t="str">
        <f>IFERROR(__xludf.DUMMYFUNCTION("""COMPUTED_VALUE"""),"Rizaliana, Mauban, Quezon")</f>
        <v>Rizaliana, Mauban, Quezon</v>
      </c>
      <c r="F47" s="2" t="str">
        <f>IFERROR(__xludf.DUMMYFUNCTION("""COMPUTED_VALUE"""),"Sergio D. Conchada Jr.")</f>
        <v>Sergio D. Conchada Jr.</v>
      </c>
      <c r="G47" s="2" t="str">
        <f>IFERROR(__xludf.DUMMYFUNCTION("""COMPUTED_VALUE"""),"0908-872-9939")</f>
        <v>0908-872-9939</v>
      </c>
      <c r="H47" s="2"/>
      <c r="I47" s="2"/>
      <c r="J47" s="2"/>
      <c r="K47" s="2" t="str">
        <f>IFERROR(__xludf.DUMMYFUNCTION("""COMPUTED_VALUE"""),"RCEF 23-08-20 Rebidding")</f>
        <v>RCEF 23-08-20 Rebidding</v>
      </c>
      <c r="L47" s="2">
        <f>IFERROR(__xludf.DUMMYFUNCTION("""COMPUTED_VALUE"""),1.0)</f>
        <v>1</v>
      </c>
      <c r="M47" s="2" t="str">
        <f>IFERROR(__xludf.DUMMYFUNCTION("""COMPUTED_VALUE"""),"4A")</f>
        <v>4A</v>
      </c>
      <c r="N47" s="74" t="str">
        <f>IFERROR(__xludf.DUMMYFUNCTION("""COMPUTED_VALUE"""),"Dec.22,2023")</f>
        <v>Dec.22,2023</v>
      </c>
      <c r="O47" s="74">
        <f>IFERROR(__xludf.DUMMYFUNCTION("""COMPUTED_VALUE"""),45309.0)</f>
        <v>45309</v>
      </c>
      <c r="P47" s="2">
        <f>IFERROR(__xludf.DUMMYFUNCTION("""COMPUTED_VALUE"""),17713.0)</f>
        <v>17713</v>
      </c>
      <c r="Q47" s="2" t="str">
        <f>IFERROR(__xludf.DUMMYFUNCTION("""COMPUTED_VALUE"""),"KMC 5825 ACPFPV0129")</f>
        <v>KMC 5825 ACPFPV0129</v>
      </c>
      <c r="R47" s="2" t="str">
        <f>IFERROR(__xludf.DUMMYFUNCTION("""COMPUTED_VALUE"""),"PTS100117")</f>
        <v>PTS100117</v>
      </c>
      <c r="S47" s="2" t="str">
        <f>IFERROR(__xludf.DUMMYFUNCTION("""COMPUTED_VALUE"""),"R-SERIES 110 PH")</f>
        <v>R-SERIES 110 PH</v>
      </c>
      <c r="T47" s="2" t="str">
        <f>IFERROR(__xludf.DUMMYFUNCTION("""COMPUTED_VALUE"""),"LSGW1750-RMP-2312135")</f>
        <v>LSGW1750-RMP-2312135</v>
      </c>
      <c r="U47" s="2" t="str">
        <f>IFERROR(__xludf.DUMMYFUNCTION("""COMPUTED_VALUE"""),"WDP40-RMP-2312012")</f>
        <v>WDP40-RMP-2312012</v>
      </c>
      <c r="V47" s="2" t="str">
        <f>IFERROR(__xludf.DUMMYFUNCTION("""COMPUTED_VALUE"""),"good")</f>
        <v>good</v>
      </c>
      <c r="W47" s="2" t="str">
        <f>IFERROR(__xludf.DUMMYFUNCTION("""COMPUTED_VALUE"""),"VL103D")</f>
        <v>VL103D</v>
      </c>
      <c r="X47" s="2">
        <f>IFERROR(__xludf.DUMMYFUNCTION("""COMPUTED_VALUE"""),8.69066060244713E14)</f>
        <v>869066060244713</v>
      </c>
      <c r="Y47" s="2"/>
      <c r="Z47" s="2"/>
      <c r="AA47" s="2"/>
      <c r="AB47" s="2" t="str">
        <f>IFERROR(__xludf.DUMMYFUNCTION("""COMPUTED_VALUE"""),"maubanfa")</f>
        <v>maubanfa</v>
      </c>
    </row>
    <row r="48">
      <c r="A48" s="2" t="str">
        <f>IFERROR(__xludf.DUMMYFUNCTION("""COMPUTED_VALUE"""),"TT00046")</f>
        <v>TT00046</v>
      </c>
      <c r="B48" s="2" t="str">
        <f>IFERROR(__xludf.DUMMYFUNCTION("""COMPUTED_VALUE"""),"Completed")</f>
        <v>Completed</v>
      </c>
      <c r="C48" s="2" t="str">
        <f>IFERROR(__xludf.DUMMYFUNCTION("""COMPUTED_VALUE"""),"Billed L1")</f>
        <v>Billed L1</v>
      </c>
      <c r="D48" s="2" t="str">
        <f>IFERROR(__xludf.DUMMYFUNCTION("""COMPUTED_VALUE"""),"NAGKAKAISANG MAGSASAKA NG BANTIGUE IRRIGATORS ASSN., INC.")</f>
        <v>NAGKAKAISANG MAGSASAKA NG BANTIGUE IRRIGATORS ASSN., INC.</v>
      </c>
      <c r="E48" s="2" t="str">
        <f>IFERROR(__xludf.DUMMYFUNCTION("""COMPUTED_VALUE"""),"Bantigue, Pagbilao, Quezon")</f>
        <v>Bantigue, Pagbilao, Quezon</v>
      </c>
      <c r="F48" s="2" t="str">
        <f>IFERROR(__xludf.DUMMYFUNCTION("""COMPUTED_VALUE"""),"Juanito L. Gutierrez")</f>
        <v>Juanito L. Gutierrez</v>
      </c>
      <c r="G48" s="2" t="str">
        <f>IFERROR(__xludf.DUMMYFUNCTION("""COMPUTED_VALUE"""),"0951 235 8285")</f>
        <v>0951 235 8285</v>
      </c>
      <c r="H48" s="2"/>
      <c r="I48" s="2"/>
      <c r="J48" s="2" t="str">
        <f>IFERROR(__xludf.DUMMYFUNCTION("""COMPUTED_VALUE"""),"- sim registration")</f>
        <v>- sim registration</v>
      </c>
      <c r="K48" s="2" t="str">
        <f>IFERROR(__xludf.DUMMYFUNCTION("""COMPUTED_VALUE"""),"RCEF 23-08-20 Rebidding")</f>
        <v>RCEF 23-08-20 Rebidding</v>
      </c>
      <c r="L48" s="2">
        <f>IFERROR(__xludf.DUMMYFUNCTION("""COMPUTED_VALUE"""),1.0)</f>
        <v>1</v>
      </c>
      <c r="M48" s="2" t="str">
        <f>IFERROR(__xludf.DUMMYFUNCTION("""COMPUTED_VALUE"""),"4A")</f>
        <v>4A</v>
      </c>
      <c r="N48" s="74" t="str">
        <f>IFERROR(__xludf.DUMMYFUNCTION("""COMPUTED_VALUE"""),"Dec.22,2023")</f>
        <v>Dec.22,2023</v>
      </c>
      <c r="O48" s="74">
        <f>IFERROR(__xludf.DUMMYFUNCTION("""COMPUTED_VALUE"""),45309.0)</f>
        <v>45309</v>
      </c>
      <c r="P48" s="2">
        <f>IFERROR(__xludf.DUMMYFUNCTION("""COMPUTED_VALUE"""),17714.0)</f>
        <v>17714</v>
      </c>
      <c r="Q48" s="2" t="str">
        <f>IFERROR(__xludf.DUMMYFUNCTION("""COMPUTED_VALUE"""),"KMC 5825 ACPFPV0043")</f>
        <v>KMC 5825 ACPFPV0043</v>
      </c>
      <c r="R48" s="2" t="str">
        <f>IFERROR(__xludf.DUMMYFUNCTION("""COMPUTED_VALUE"""),"PTS100126")</f>
        <v>PTS100126</v>
      </c>
      <c r="S48" s="2" t="str">
        <f>IFERROR(__xludf.DUMMYFUNCTION("""COMPUTED_VALUE"""),"R-SERIES 109 PH")</f>
        <v>R-SERIES 109 PH</v>
      </c>
      <c r="T48" s="2" t="str">
        <f>IFERROR(__xludf.DUMMYFUNCTION("""COMPUTED_VALUE"""),"LSGW1750-RMP-2312127")</f>
        <v>LSGW1750-RMP-2312127</v>
      </c>
      <c r="U48" s="2" t="str">
        <f>IFERROR(__xludf.DUMMYFUNCTION("""COMPUTED_VALUE"""),"WDP40-RMP-2312021")</f>
        <v>WDP40-RMP-2312021</v>
      </c>
      <c r="V48" s="2" t="str">
        <f>IFERROR(__xludf.DUMMYFUNCTION("""COMPUTED_VALUE"""),"good")</f>
        <v>good</v>
      </c>
      <c r="W48" s="2" t="str">
        <f>IFERROR(__xludf.DUMMYFUNCTION("""COMPUTED_VALUE"""),"VL103D")</f>
        <v>VL103D</v>
      </c>
      <c r="X48" s="2">
        <f>IFERROR(__xludf.DUMMYFUNCTION("""COMPUTED_VALUE"""),8.69066060241024E14)</f>
        <v>869066060241024</v>
      </c>
      <c r="Y48" s="2"/>
      <c r="Z48" s="2"/>
      <c r="AA48" s="2"/>
      <c r="AB48" s="2" t="str">
        <f>IFERROR(__xludf.DUMMYFUNCTION("""COMPUTED_VALUE"""),"bantigueirrig")</f>
        <v>bantigueirrig</v>
      </c>
    </row>
    <row r="49">
      <c r="A49" s="2" t="str">
        <f>IFERROR(__xludf.DUMMYFUNCTION("""COMPUTED_VALUE"""),"TT00047")</f>
        <v>TT00047</v>
      </c>
      <c r="B49" s="2" t="str">
        <f>IFERROR(__xludf.DUMMYFUNCTION("""COMPUTED_VALUE"""),"w/ pending")</f>
        <v>w/ pending</v>
      </c>
      <c r="C49" s="2" t="str">
        <f>IFERROR(__xludf.DUMMYFUNCTION("""COMPUTED_VALUE"""),"Billed L1")</f>
        <v>Billed L1</v>
      </c>
      <c r="D49" s="2" t="str">
        <f>IFERROR(__xludf.DUMMYFUNCTION("""COMPUTED_VALUE"""),"Alupaye Farmers Central Irrigators Association, Inc.")</f>
        <v>Alupaye Farmers Central Irrigators Association, Inc.</v>
      </c>
      <c r="E49" s="2" t="str">
        <f>IFERROR(__xludf.DUMMYFUNCTION("""COMPUTED_VALUE"""),"Alupaye, Pagbilao, Quezon")</f>
        <v>Alupaye, Pagbilao, Quezon</v>
      </c>
      <c r="F49" s="2" t="str">
        <f>IFERROR(__xludf.DUMMYFUNCTION("""COMPUTED_VALUE"""),"Clarence Gatus")</f>
        <v>Clarence Gatus</v>
      </c>
      <c r="G49" s="2" t="str">
        <f>IFERROR(__xludf.DUMMYFUNCTION("""COMPUTED_VALUE"""),"0939 763 5038")</f>
        <v>0939 763 5038</v>
      </c>
      <c r="H49" s="2"/>
      <c r="I49" s="2"/>
      <c r="J49" s="2" t="str">
        <f>IFERROR(__xludf.DUMMYFUNCTION("""COMPUTED_VALUE"""),"- sim registration")</f>
        <v>- sim registration</v>
      </c>
      <c r="K49" s="2" t="str">
        <f>IFERROR(__xludf.DUMMYFUNCTION("""COMPUTED_VALUE"""),"RCEF 23-08-20 Rebidding")</f>
        <v>RCEF 23-08-20 Rebidding</v>
      </c>
      <c r="L49" s="2">
        <f>IFERROR(__xludf.DUMMYFUNCTION("""COMPUTED_VALUE"""),1.0)</f>
        <v>1</v>
      </c>
      <c r="M49" s="2" t="str">
        <f>IFERROR(__xludf.DUMMYFUNCTION("""COMPUTED_VALUE"""),"4A")</f>
        <v>4A</v>
      </c>
      <c r="N49" s="74" t="str">
        <f>IFERROR(__xludf.DUMMYFUNCTION("""COMPUTED_VALUE"""),"Dec.22,2023")</f>
        <v>Dec.22,2023</v>
      </c>
      <c r="O49" s="74">
        <f>IFERROR(__xludf.DUMMYFUNCTION("""COMPUTED_VALUE"""),45309.0)</f>
        <v>45309</v>
      </c>
      <c r="P49" s="2">
        <f>IFERROR(__xludf.DUMMYFUNCTION("""COMPUTED_VALUE"""),17715.0)</f>
        <v>17715</v>
      </c>
      <c r="Q49" s="2" t="str">
        <f>IFERROR(__xludf.DUMMYFUNCTION("""COMPUTED_VALUE"""),"KMC 5825 ATPFPV0058")</f>
        <v>KMC 5825 ATPFPV0058</v>
      </c>
      <c r="R49" s="2" t="str">
        <f>IFERROR(__xludf.DUMMYFUNCTION("""COMPUTED_VALUE"""),"PTS100137")</f>
        <v>PTS100137</v>
      </c>
      <c r="S49" s="2" t="str">
        <f>IFERROR(__xludf.DUMMYFUNCTION("""COMPUTED_VALUE"""),"R-SERIES 023 PH")</f>
        <v>R-SERIES 023 PH</v>
      </c>
      <c r="T49" s="2" t="str">
        <f>IFERROR(__xludf.DUMMYFUNCTION("""COMPUTED_VALUE"""),"LSGW1750-RMP-2312131")</f>
        <v>LSGW1750-RMP-2312131</v>
      </c>
      <c r="U49" s="2" t="str">
        <f>IFERROR(__xludf.DUMMYFUNCTION("""COMPUTED_VALUE"""),"WDP40-RMP-2312033")</f>
        <v>WDP40-RMP-2312033</v>
      </c>
      <c r="V49" s="2" t="str">
        <f>IFERROR(__xludf.DUMMYFUNCTION("""COMPUTED_VALUE"""),"INACTIVE - SIM")</f>
        <v>INACTIVE - SIM</v>
      </c>
      <c r="W49" s="2" t="str">
        <f>IFERROR(__xludf.DUMMYFUNCTION("""COMPUTED_VALUE"""),"VL103D")</f>
        <v>VL103D</v>
      </c>
      <c r="X49" s="2"/>
      <c r="Y49" s="2"/>
      <c r="Z49" s="2"/>
      <c r="AA49" s="2"/>
      <c r="AB49" s="2" t="str">
        <f>IFERROR(__xludf.DUMMYFUNCTION("""COMPUTED_VALUE"""),"alupayeirrig")</f>
        <v>alupayeirrig</v>
      </c>
    </row>
    <row r="50">
      <c r="A50" s="2" t="str">
        <f>IFERROR(__xludf.DUMMYFUNCTION("""COMPUTED_VALUE"""),"TT00048")</f>
        <v>TT00048</v>
      </c>
      <c r="B50" s="2" t="str">
        <f>IFERROR(__xludf.DUMMYFUNCTION("""COMPUTED_VALUE"""),"w/ pending")</f>
        <v>w/ pending</v>
      </c>
      <c r="C50" s="2" t="str">
        <f>IFERROR(__xludf.DUMMYFUNCTION("""COMPUTED_VALUE"""),"Billed L1")</f>
        <v>Billed L1</v>
      </c>
      <c r="D50" s="2" t="str">
        <f>IFERROR(__xludf.DUMMYFUNCTION("""COMPUTED_VALUE"""),"MAPAGONG FARMERS IRRIGATORS ASSN. INC.")</f>
        <v>MAPAGONG FARMERS IRRIGATORS ASSN. INC.</v>
      </c>
      <c r="E50" s="2" t="str">
        <f>IFERROR(__xludf.DUMMYFUNCTION("""COMPUTED_VALUE"""),"Mapagong, Pagbilao, Quezon")</f>
        <v>Mapagong, Pagbilao, Quezon</v>
      </c>
      <c r="F50" s="2" t="str">
        <f>IFERROR(__xludf.DUMMYFUNCTION("""COMPUTED_VALUE"""),"Renato D. De Rama")</f>
        <v>Renato D. De Rama</v>
      </c>
      <c r="G50" s="2" t="str">
        <f>IFERROR(__xludf.DUMMYFUNCTION("""COMPUTED_VALUE"""),"0912 525 4000")</f>
        <v>0912 525 4000</v>
      </c>
      <c r="H50" s="2"/>
      <c r="I50" s="2"/>
      <c r="J50" s="2" t="str">
        <f>IFERROR(__xludf.DUMMYFUNCTION("""COMPUTED_VALUE"""),"- sim registration")</f>
        <v>- sim registration</v>
      </c>
      <c r="K50" s="2" t="str">
        <f>IFERROR(__xludf.DUMMYFUNCTION("""COMPUTED_VALUE"""),"RCEF 23-08-20 Rebidding")</f>
        <v>RCEF 23-08-20 Rebidding</v>
      </c>
      <c r="L50" s="2">
        <f>IFERROR(__xludf.DUMMYFUNCTION("""COMPUTED_VALUE"""),1.0)</f>
        <v>1</v>
      </c>
      <c r="M50" s="2" t="str">
        <f>IFERROR(__xludf.DUMMYFUNCTION("""COMPUTED_VALUE"""),"4A")</f>
        <v>4A</v>
      </c>
      <c r="N50" s="74" t="str">
        <f>IFERROR(__xludf.DUMMYFUNCTION("""COMPUTED_VALUE"""),"Dec.22,2023")</f>
        <v>Dec.22,2023</v>
      </c>
      <c r="O50" s="74">
        <f>IFERROR(__xludf.DUMMYFUNCTION("""COMPUTED_VALUE"""),45309.0)</f>
        <v>45309</v>
      </c>
      <c r="P50" s="2">
        <f>IFERROR(__xludf.DUMMYFUNCTION("""COMPUTED_VALUE"""),17716.0)</f>
        <v>17716</v>
      </c>
      <c r="Q50" s="2" t="str">
        <f>IFERROR(__xludf.DUMMYFUNCTION("""COMPUTED_VALUE"""),"KMC 5825 AHPFPV0069")</f>
        <v>KMC 5825 AHPFPV0069</v>
      </c>
      <c r="R50" s="2" t="str">
        <f>IFERROR(__xludf.DUMMYFUNCTION("""COMPUTED_VALUE"""),"PTS100159")</f>
        <v>PTS100159</v>
      </c>
      <c r="S50" s="2" t="str">
        <f>IFERROR(__xludf.DUMMYFUNCTION("""COMPUTED_VALUE"""),"R-SERIES 113 PH")</f>
        <v>R-SERIES 113 PH</v>
      </c>
      <c r="T50" s="2" t="str">
        <f>IFERROR(__xludf.DUMMYFUNCTION("""COMPUTED_VALUE"""),"LSGW1750-RMP-2312118")</f>
        <v>LSGW1750-RMP-2312118</v>
      </c>
      <c r="U50" s="2" t="str">
        <f>IFERROR(__xludf.DUMMYFUNCTION("""COMPUTED_VALUE"""),"WDP40-RMP-2312019")</f>
        <v>WDP40-RMP-2312019</v>
      </c>
      <c r="V50" s="2" t="str">
        <f>IFERROR(__xludf.DUMMYFUNCTION("""COMPUTED_VALUE"""),"INACTIVE - SIM")</f>
        <v>INACTIVE - SIM</v>
      </c>
      <c r="W50" s="2" t="str">
        <f>IFERROR(__xludf.DUMMYFUNCTION("""COMPUTED_VALUE"""),"VL103D")</f>
        <v>VL103D</v>
      </c>
      <c r="X50" s="2"/>
      <c r="Y50" s="2"/>
      <c r="Z50" s="2"/>
      <c r="AA50" s="2"/>
      <c r="AB50" s="2" t="str">
        <f>IFERROR(__xludf.DUMMYFUNCTION("""COMPUTED_VALUE"""),"mapagongirrig")</f>
        <v>mapagongirrig</v>
      </c>
    </row>
    <row r="51">
      <c r="A51" s="2" t="str">
        <f>IFERROR(__xludf.DUMMYFUNCTION("""COMPUTED_VALUE"""),"TT00049")</f>
        <v>TT00049</v>
      </c>
      <c r="B51" s="2" t="str">
        <f>IFERROR(__xludf.DUMMYFUNCTION("""COMPUTED_VALUE"""),"Completed")</f>
        <v>Completed</v>
      </c>
      <c r="C51" s="2" t="str">
        <f>IFERROR(__xludf.DUMMYFUNCTION("""COMPUTED_VALUE"""),"Billed L1")</f>
        <v>Billed L1</v>
      </c>
      <c r="D51" s="2" t="str">
        <f>IFERROR(__xludf.DUMMYFUNCTION("""COMPUTED_VALUE"""),"TUBIG BIYAYA IRRIGATORS' ASSOCIATION, INC.")</f>
        <v>TUBIG BIYAYA IRRIGATORS' ASSOCIATION, INC.</v>
      </c>
      <c r="E51" s="2" t="str">
        <f>IFERROR(__xludf.DUMMYFUNCTION("""COMPUTED_VALUE"""),"Binahaan, Pagbilao, Quezon")</f>
        <v>Binahaan, Pagbilao, Quezon</v>
      </c>
      <c r="F51" s="2" t="str">
        <f>IFERROR(__xludf.DUMMYFUNCTION("""COMPUTED_VALUE"""),"Primitiva C. Memorando")</f>
        <v>Primitiva C. Memorando</v>
      </c>
      <c r="G51" s="2" t="str">
        <f>IFERROR(__xludf.DUMMYFUNCTION("""COMPUTED_VALUE"""),"0998-881-3869")</f>
        <v>0998-881-3869</v>
      </c>
      <c r="H51" s="2"/>
      <c r="I51" s="2"/>
      <c r="J51" s="2" t="str">
        <f>IFERROR(__xludf.DUMMYFUNCTION("""COMPUTED_VALUE"""),"- sim registration")</f>
        <v>- sim registration</v>
      </c>
      <c r="K51" s="2" t="str">
        <f>IFERROR(__xludf.DUMMYFUNCTION("""COMPUTED_VALUE"""),"RCEF 23-08-20 Rebidding")</f>
        <v>RCEF 23-08-20 Rebidding</v>
      </c>
      <c r="L51" s="2">
        <f>IFERROR(__xludf.DUMMYFUNCTION("""COMPUTED_VALUE"""),1.0)</f>
        <v>1</v>
      </c>
      <c r="M51" s="2" t="str">
        <f>IFERROR(__xludf.DUMMYFUNCTION("""COMPUTED_VALUE"""),"4A")</f>
        <v>4A</v>
      </c>
      <c r="N51" s="74" t="str">
        <f>IFERROR(__xludf.DUMMYFUNCTION("""COMPUTED_VALUE"""),"Dec.22,2023")</f>
        <v>Dec.22,2023</v>
      </c>
      <c r="O51" s="74">
        <f>IFERROR(__xludf.DUMMYFUNCTION("""COMPUTED_VALUE"""),45309.0)</f>
        <v>45309</v>
      </c>
      <c r="P51" s="2">
        <f>IFERROR(__xludf.DUMMYFUNCTION("""COMPUTED_VALUE"""),17717.0)</f>
        <v>17717</v>
      </c>
      <c r="Q51" s="2" t="str">
        <f>IFERROR(__xludf.DUMMYFUNCTION("""COMPUTED_VALUE"""),"KMC 5825 ATPFPV0108")</f>
        <v>KMC 5825 ATPFPV0108</v>
      </c>
      <c r="R51" s="2" t="str">
        <f>IFERROR(__xludf.DUMMYFUNCTION("""COMPUTED_VALUE"""),"PTS100086")</f>
        <v>PTS100086</v>
      </c>
      <c r="S51" s="2" t="str">
        <f>IFERROR(__xludf.DUMMYFUNCTION("""COMPUTED_VALUE"""),"R-SERIES 085 PH")</f>
        <v>R-SERIES 085 PH</v>
      </c>
      <c r="T51" s="2" t="str">
        <f>IFERROR(__xludf.DUMMYFUNCTION("""COMPUTED_VALUE"""),"LSGW1750-RMP-2312134")</f>
        <v>LSGW1750-RMP-2312134</v>
      </c>
      <c r="U51" s="2" t="str">
        <f>IFERROR(__xludf.DUMMYFUNCTION("""COMPUTED_VALUE"""),"WDP40-RMP-2312029")</f>
        <v>WDP40-RMP-2312029</v>
      </c>
      <c r="V51" s="2" t="str">
        <f>IFERROR(__xludf.DUMMYFUNCTION("""COMPUTED_VALUE"""),"good")</f>
        <v>good</v>
      </c>
      <c r="W51" s="2" t="str">
        <f>IFERROR(__xludf.DUMMYFUNCTION("""COMPUTED_VALUE"""),"VL103D")</f>
        <v>VL103D</v>
      </c>
      <c r="X51" s="2">
        <f>IFERROR(__xludf.DUMMYFUNCTION("""COMPUTED_VALUE"""),8.69066060242907E14)</f>
        <v>869066060242907</v>
      </c>
      <c r="Y51" s="2"/>
      <c r="Z51" s="2"/>
      <c r="AA51" s="2"/>
      <c r="AB51" s="2" t="str">
        <f>IFERROR(__xludf.DUMMYFUNCTION("""COMPUTED_VALUE"""),"tubigbiyaya")</f>
        <v>tubigbiyaya</v>
      </c>
    </row>
    <row r="52">
      <c r="A52" s="2" t="str">
        <f>IFERROR(__xludf.DUMMYFUNCTION("""COMPUTED_VALUE"""),"TT00050")</f>
        <v>TT00050</v>
      </c>
      <c r="B52" s="2"/>
      <c r="C52" s="2" t="str">
        <f>IFERROR(__xludf.DUMMYFUNCTION("""COMPUTED_VALUE"""),"FOR BILLING L1")</f>
        <v>FOR BILLING L1</v>
      </c>
      <c r="D52" s="2" t="str">
        <f>IFERROR(__xludf.DUMMYFUNCTION("""COMPUTED_VALUE"""),"Taluong -Quedanom Irrigators Association")</f>
        <v>Taluong -Quedanom Irrigators Association</v>
      </c>
      <c r="E52" s="2" t="str">
        <f>IFERROR(__xludf.DUMMYFUNCTION("""COMPUTED_VALUE"""),"Taluong. Polillo, Quezon")</f>
        <v>Taluong. Polillo, Quezon</v>
      </c>
      <c r="F52" s="2" t="str">
        <f>IFERROR(__xludf.DUMMYFUNCTION("""COMPUTED_VALUE"""),"Joanamel G. Azarias")</f>
        <v>Joanamel G. Azarias</v>
      </c>
      <c r="G52" s="2" t="str">
        <f>IFERROR(__xludf.DUMMYFUNCTION("""COMPUTED_VALUE"""),"0908 538 6020")</f>
        <v>0908 538 6020</v>
      </c>
      <c r="H52" s="2"/>
      <c r="I52" s="2"/>
      <c r="J52" s="2"/>
      <c r="K52" s="2" t="str">
        <f>IFERROR(__xludf.DUMMYFUNCTION("""COMPUTED_VALUE"""),"RCEF 23-08-20 Rebidding")</f>
        <v>RCEF 23-08-20 Rebidding</v>
      </c>
      <c r="L52" s="2">
        <f>IFERROR(__xludf.DUMMYFUNCTION("""COMPUTED_VALUE"""),1.0)</f>
        <v>1</v>
      </c>
      <c r="M52" s="2" t="str">
        <f>IFERROR(__xludf.DUMMYFUNCTION("""COMPUTED_VALUE"""),"4A")</f>
        <v>4A</v>
      </c>
      <c r="N52" s="2" t="str">
        <f>IFERROR(__xludf.DUMMYFUNCTION("""COMPUTED_VALUE"""),"Dec.22,2023")</f>
        <v>Dec.22,2023</v>
      </c>
      <c r="O52" s="74">
        <f>IFERROR(__xludf.DUMMYFUNCTION("""COMPUTED_VALUE"""),45412.0)</f>
        <v>45412</v>
      </c>
      <c r="P52" s="2">
        <f>IFERROR(__xludf.DUMMYFUNCTION("""COMPUTED_VALUE"""),17718.0)</f>
        <v>17718</v>
      </c>
      <c r="Q52" s="2" t="str">
        <f>IFERROR(__xludf.DUMMYFUNCTION("""COMPUTED_VALUE"""),"KMC5825 AVRFPV0412")</f>
        <v>KMC5825 AVRFPV0412</v>
      </c>
      <c r="R52" s="2" t="str">
        <f>IFERROR(__xludf.DUMMYFUNCTION("""COMPUTED_VALUE"""),"RTS100292")</f>
        <v>RTS100292</v>
      </c>
      <c r="S52" s="2" t="str">
        <f>IFERROR(__xludf.DUMMYFUNCTION("""COMPUTED_VALUE"""),"R-SERIES 047 PH")</f>
        <v>R-SERIES 047 PH</v>
      </c>
      <c r="T52" s="2" t="str">
        <f>IFERROR(__xludf.DUMMYFUNCTION("""COMPUTED_VALUE"""),"LSGW1750 RMP 2312168 ")</f>
        <v>LSGW1750 RMP 2312168 </v>
      </c>
      <c r="U52" s="2" t="str">
        <f>IFERROR(__xludf.DUMMYFUNCTION("""COMPUTED_VALUE"""),"EDP40 RMP 24020202")</f>
        <v>EDP40 RMP 24020202</v>
      </c>
      <c r="V52" s="2"/>
      <c r="W52" s="2" t="str">
        <f>IFERROR(__xludf.DUMMYFUNCTION("""COMPUTED_VALUE"""),"VL103D")</f>
        <v>VL103D</v>
      </c>
      <c r="X52" s="2"/>
      <c r="Y52" s="2"/>
      <c r="Z52" s="2"/>
      <c r="AA52" s="2"/>
      <c r="AB52" s="2" t="str">
        <f>IFERROR(__xludf.DUMMYFUNCTION("""COMPUTED_VALUE"""),"taluong-quedanom")</f>
        <v>taluong-quedanom</v>
      </c>
    </row>
    <row r="53">
      <c r="A53" s="2" t="str">
        <f>IFERROR(__xludf.DUMMYFUNCTION("""COMPUTED_VALUE"""),"TT00051")</f>
        <v>TT00051</v>
      </c>
      <c r="B53" s="2"/>
      <c r="C53" s="2" t="str">
        <f>IFERROR(__xludf.DUMMYFUNCTION("""COMPUTED_VALUE"""),"FOR BILLING L1")</f>
        <v>FOR BILLING L1</v>
      </c>
      <c r="D53" s="2" t="str">
        <f>IFERROR(__xludf.DUMMYFUNCTION("""COMPUTED_VALUE"""),"SAMAHAN NG MGA MAGSASAKA NG PAHINGA NORTE")</f>
        <v>SAMAHAN NG MGA MAGSASAKA NG PAHINGA NORTE</v>
      </c>
      <c r="E53" s="2" t="str">
        <f>IFERROR(__xludf.DUMMYFUNCTION("""COMPUTED_VALUE"""),"Pahinga Norte, Candelaria, Quezon")</f>
        <v>Pahinga Norte, Candelaria, Quezon</v>
      </c>
      <c r="F53" s="2" t="str">
        <f>IFERROR(__xludf.DUMMYFUNCTION("""COMPUTED_VALUE"""),"Roberto Ebora")</f>
        <v>Roberto Ebora</v>
      </c>
      <c r="G53" s="2" t="str">
        <f>IFERROR(__xludf.DUMMYFUNCTION("""COMPUTED_VALUE"""),"0936-915-6875")</f>
        <v>0936-915-6875</v>
      </c>
      <c r="H53" s="2"/>
      <c r="I53" s="2"/>
      <c r="J53" s="2"/>
      <c r="K53" s="2" t="str">
        <f>IFERROR(__xludf.DUMMYFUNCTION("""COMPUTED_VALUE"""),"RCEF 23-08-20 Rebidding")</f>
        <v>RCEF 23-08-20 Rebidding</v>
      </c>
      <c r="L53" s="2">
        <f>IFERROR(__xludf.DUMMYFUNCTION("""COMPUTED_VALUE"""),1.0)</f>
        <v>1</v>
      </c>
      <c r="M53" s="2" t="str">
        <f>IFERROR(__xludf.DUMMYFUNCTION("""COMPUTED_VALUE"""),"4A")</f>
        <v>4A</v>
      </c>
      <c r="N53" s="74">
        <f>IFERROR(__xludf.DUMMYFUNCTION("""COMPUTED_VALUE"""),45649.0)</f>
        <v>45649</v>
      </c>
      <c r="O53" s="74">
        <f>IFERROR(__xludf.DUMMYFUNCTION("""COMPUTED_VALUE"""),45412.0)</f>
        <v>45412</v>
      </c>
      <c r="P53" s="2">
        <f>IFERROR(__xludf.DUMMYFUNCTION("""COMPUTED_VALUE"""),17719.0)</f>
        <v>17719</v>
      </c>
      <c r="Q53" s="2" t="str">
        <f>IFERROR(__xludf.DUMMYFUNCTION("""COMPUTED_VALUE"""),"KMC5825 AKRFPV0390")</f>
        <v>KMC5825 AKRFPV0390</v>
      </c>
      <c r="R53" s="2" t="str">
        <f>IFERROR(__xludf.DUMMYFUNCTION("""COMPUTED_VALUE"""),"RTS100257")</f>
        <v>RTS100257</v>
      </c>
      <c r="S53" s="2" t="str">
        <f>IFERROR(__xludf.DUMMYFUNCTION("""COMPUTED_VALUE"""),"R-SERIES 439 PH")</f>
        <v>R-SERIES 439 PH</v>
      </c>
      <c r="T53" s="2" t="str">
        <f>IFERROR(__xludf.DUMMYFUNCTION("""COMPUTED_VALUE"""),"LSGW1750 RMP 24020456")</f>
        <v>LSGW1750 RMP 24020456</v>
      </c>
      <c r="U53" s="2" t="str">
        <f>IFERROR(__xludf.DUMMYFUNCTION("""COMPUTED_VALUE"""),"WDP40 RMP 24020239")</f>
        <v>WDP40 RMP 24020239</v>
      </c>
      <c r="V53" s="2"/>
      <c r="W53" s="2" t="str">
        <f>IFERROR(__xludf.DUMMYFUNCTION("""COMPUTED_VALUE"""),"VL103D")</f>
        <v>VL103D</v>
      </c>
      <c r="X53" s="2"/>
      <c r="Y53" s="2"/>
      <c r="Z53" s="2"/>
      <c r="AA53" s="2"/>
      <c r="AB53" s="2" t="str">
        <f>IFERROR(__xludf.DUMMYFUNCTION("""COMPUTED_VALUE"""),"pahinganorte")</f>
        <v>pahinganorte</v>
      </c>
    </row>
    <row r="54">
      <c r="A54" s="2" t="str">
        <f>IFERROR(__xludf.DUMMYFUNCTION("""COMPUTED_VALUE"""),"TT00052")</f>
        <v>TT00052</v>
      </c>
      <c r="B54" s="2"/>
      <c r="C54" s="2" t="str">
        <f>IFERROR(__xludf.DUMMYFUNCTION("""COMPUTED_VALUE"""),"FOR BILLING L1")</f>
        <v>FOR BILLING L1</v>
      </c>
      <c r="D54" s="2" t="str">
        <f>IFERROR(__xludf.DUMMYFUNCTION("""COMPUTED_VALUE"""),"SAN ISIDRO-CANDELARIA FARMERS ASSOCIATION")</f>
        <v>SAN ISIDRO-CANDELARIA FARMERS ASSOCIATION</v>
      </c>
      <c r="E54" s="2" t="str">
        <f>IFERROR(__xludf.DUMMYFUNCTION("""COMPUTED_VALUE"""),"San Isidro, Candelaria, Quezon")</f>
        <v>San Isidro, Candelaria, Quezon</v>
      </c>
      <c r="F54" s="2" t="str">
        <f>IFERROR(__xludf.DUMMYFUNCTION("""COMPUTED_VALUE"""),"Dante D. Florante")</f>
        <v>Dante D. Florante</v>
      </c>
      <c r="G54" s="2" t="str">
        <f>IFERROR(__xludf.DUMMYFUNCTION("""COMPUTED_VALUE"""),"0912 127 6601")</f>
        <v>0912 127 6601</v>
      </c>
      <c r="H54" s="2"/>
      <c r="I54" s="2"/>
      <c r="J54" s="2"/>
      <c r="K54" s="2" t="str">
        <f>IFERROR(__xludf.DUMMYFUNCTION("""COMPUTED_VALUE"""),"RCEF 23-08-20 Rebidding")</f>
        <v>RCEF 23-08-20 Rebidding</v>
      </c>
      <c r="L54" s="2">
        <f>IFERROR(__xludf.DUMMYFUNCTION("""COMPUTED_VALUE"""),1.0)</f>
        <v>1</v>
      </c>
      <c r="M54" s="2" t="str">
        <f>IFERROR(__xludf.DUMMYFUNCTION("""COMPUTED_VALUE"""),"4A")</f>
        <v>4A</v>
      </c>
      <c r="N54" s="74">
        <f>IFERROR(__xludf.DUMMYFUNCTION("""COMPUTED_VALUE"""),45283.0)</f>
        <v>45283</v>
      </c>
      <c r="O54" s="74">
        <f>IFERROR(__xludf.DUMMYFUNCTION("""COMPUTED_VALUE"""),45412.0)</f>
        <v>45412</v>
      </c>
      <c r="P54" s="2">
        <f>IFERROR(__xludf.DUMMYFUNCTION("""COMPUTED_VALUE"""),17720.0)</f>
        <v>17720</v>
      </c>
      <c r="Q54" s="2" t="str">
        <f>IFERROR(__xludf.DUMMYFUNCTION("""COMPUTED_VALUE"""),"KMC5825 APRFPV0307")</f>
        <v>KMC5825 APRFPV0307</v>
      </c>
      <c r="R54" s="2" t="str">
        <f>IFERROR(__xludf.DUMMYFUNCTION("""COMPUTED_VALUE"""),"RTS100205")</f>
        <v>RTS100205</v>
      </c>
      <c r="S54" s="2" t="str">
        <f>IFERROR(__xludf.DUMMYFUNCTION("""COMPUTED_VALUE"""),"R-SERIES 405 PH")</f>
        <v>R-SERIES 405 PH</v>
      </c>
      <c r="T54" s="2" t="str">
        <f>IFERROR(__xludf.DUMMYFUNCTION("""COMPUTED_VALUE"""),"LSGW1750 RMP 24020450")</f>
        <v>LSGW1750 RMP 24020450</v>
      </c>
      <c r="U54" s="2" t="str">
        <f>IFERROR(__xludf.DUMMYFUNCTION("""COMPUTED_VALUE"""),"WDP40 RMP 24020218")</f>
        <v>WDP40 RMP 24020218</v>
      </c>
      <c r="V54" s="2"/>
      <c r="W54" s="2" t="str">
        <f>IFERROR(__xludf.DUMMYFUNCTION("""COMPUTED_VALUE"""),"VL103D")</f>
        <v>VL103D</v>
      </c>
      <c r="X54" s="2"/>
      <c r="Y54" s="2"/>
      <c r="Z54" s="2"/>
      <c r="AA54" s="2"/>
      <c r="AB54" s="2" t="str">
        <f>IFERROR(__xludf.DUMMYFUNCTION("""COMPUTED_VALUE"""),"sanisidro-candelariafa")</f>
        <v>sanisidro-candelariafa</v>
      </c>
    </row>
    <row r="55">
      <c r="A55" s="2" t="str">
        <f>IFERROR(__xludf.DUMMYFUNCTION("""COMPUTED_VALUE"""),"TT00053")</f>
        <v>TT00053</v>
      </c>
      <c r="B55" s="2"/>
      <c r="C55" s="2" t="str">
        <f>IFERROR(__xludf.DUMMYFUNCTION("""COMPUTED_VALUE"""),"FOR BILLING L1")</f>
        <v>FOR BILLING L1</v>
      </c>
      <c r="D55" s="2" t="str">
        <f>IFERROR(__xludf.DUMMYFUNCTION("""COMPUTED_VALUE"""),"KULTIHAN-KAMPUKLO-TUBUHAN-POOK (KTTP) FARMERS ASSOCIATION")</f>
        <v>KULTIHAN-KAMPUKLO-TUBUHAN-POOK (KTTP) FARMERS ASSOCIATION</v>
      </c>
      <c r="E55" s="2" t="str">
        <f>IFERROR(__xludf.DUMMYFUNCTION("""COMPUTED_VALUE"""),"Buenavista West, Candelaria, Quezon")</f>
        <v>Buenavista West, Candelaria, Quezon</v>
      </c>
      <c r="F55" s="2" t="str">
        <f>IFERROR(__xludf.DUMMYFUNCTION("""COMPUTED_VALUE"""),"Eladio C. Mercado")</f>
        <v>Eladio C. Mercado</v>
      </c>
      <c r="G55" s="2" t="str">
        <f>IFERROR(__xludf.DUMMYFUNCTION("""COMPUTED_VALUE"""),"0951 731 5092")</f>
        <v>0951 731 5092</v>
      </c>
      <c r="H55" s="2"/>
      <c r="I55" s="2"/>
      <c r="J55" s="2"/>
      <c r="K55" s="2" t="str">
        <f>IFERROR(__xludf.DUMMYFUNCTION("""COMPUTED_VALUE"""),"RCEF 23-08-20 Rebidding")</f>
        <v>RCEF 23-08-20 Rebidding</v>
      </c>
      <c r="L55" s="2">
        <f>IFERROR(__xludf.DUMMYFUNCTION("""COMPUTED_VALUE"""),1.0)</f>
        <v>1</v>
      </c>
      <c r="M55" s="2" t="str">
        <f>IFERROR(__xludf.DUMMYFUNCTION("""COMPUTED_VALUE"""),"4A")</f>
        <v>4A</v>
      </c>
      <c r="N55" s="2"/>
      <c r="O55" s="2"/>
      <c r="P55" s="2"/>
      <c r="Q55" s="2"/>
      <c r="R55" s="2"/>
      <c r="S55" s="2"/>
      <c r="T55" s="2"/>
      <c r="U55" s="2"/>
      <c r="V55" s="2"/>
      <c r="W55" s="2" t="str">
        <f>IFERROR(__xludf.DUMMYFUNCTION("""COMPUTED_VALUE"""),"VL103D")</f>
        <v>VL103D</v>
      </c>
      <c r="X55" s="2"/>
      <c r="Y55" s="2"/>
      <c r="Z55" s="2"/>
      <c r="AA55" s="2"/>
      <c r="AB55" s="2" t="str">
        <f>IFERROR(__xludf.DUMMYFUNCTION("""COMPUTED_VALUE"""),"kttpfa")</f>
        <v>kttpfa</v>
      </c>
    </row>
    <row r="56">
      <c r="A56" s="2" t="str">
        <f>IFERROR(__xludf.DUMMYFUNCTION("""COMPUTED_VALUE"""),"TT00054")</f>
        <v>TT00054</v>
      </c>
      <c r="B56" s="2"/>
      <c r="C56" s="2" t="str">
        <f>IFERROR(__xludf.DUMMYFUNCTION("""COMPUTED_VALUE"""),"FOR BILLING L1")</f>
        <v>FOR BILLING L1</v>
      </c>
      <c r="D56" s="2" t="str">
        <f>IFERROR(__xludf.DUMMYFUNCTION("""COMPUTED_VALUE"""),"Yakap at Halik Multi-Purpose Cooperative Quezon 1 (YHMPCQ1)")</f>
        <v>Yakap at Halik Multi-Purpose Cooperative Quezon 1 (YHMPCQ1)</v>
      </c>
      <c r="E56" s="2" t="str">
        <f>IFERROR(__xludf.DUMMYFUNCTION("""COMPUTED_VALUE"""),"Poblacion, Candelaria, Quezon")</f>
        <v>Poblacion, Candelaria, Quezon</v>
      </c>
      <c r="F56" s="2" t="str">
        <f>IFERROR(__xludf.DUMMYFUNCTION("""COMPUTED_VALUE"""),"Robert Diala")</f>
        <v>Robert Diala</v>
      </c>
      <c r="G56" s="2" t="str">
        <f>IFERROR(__xludf.DUMMYFUNCTION("""COMPUTED_VALUE"""),"0923 027 0837")</f>
        <v>0923 027 0837</v>
      </c>
      <c r="H56" s="2"/>
      <c r="I56" s="2"/>
      <c r="J56" s="2"/>
      <c r="K56" s="2" t="str">
        <f>IFERROR(__xludf.DUMMYFUNCTION("""COMPUTED_VALUE"""),"RCEF 23-08-20 Rebidding")</f>
        <v>RCEF 23-08-20 Rebidding</v>
      </c>
      <c r="L56" s="2">
        <f>IFERROR(__xludf.DUMMYFUNCTION("""COMPUTED_VALUE"""),1.0)</f>
        <v>1</v>
      </c>
      <c r="M56" s="2" t="str">
        <f>IFERROR(__xludf.DUMMYFUNCTION("""COMPUTED_VALUE"""),"4A")</f>
        <v>4A</v>
      </c>
      <c r="N56" s="74">
        <f>IFERROR(__xludf.DUMMYFUNCTION("""COMPUTED_VALUE"""),45283.0)</f>
        <v>45283</v>
      </c>
      <c r="O56" s="74">
        <f>IFERROR(__xludf.DUMMYFUNCTION("""COMPUTED_VALUE"""),45412.0)</f>
        <v>45412</v>
      </c>
      <c r="P56" s="2">
        <f>IFERROR(__xludf.DUMMYFUNCTION("""COMPUTED_VALUE"""),17722.0)</f>
        <v>17722</v>
      </c>
      <c r="Q56" s="2" t="str">
        <f>IFERROR(__xludf.DUMMYFUNCTION("""COMPUTED_VALUE"""),"KMC5825 ACRFPV0389")</f>
        <v>KMC5825 ACRFPV0389</v>
      </c>
      <c r="R56" s="2" t="str">
        <f>IFERROR(__xludf.DUMMYFUNCTION("""COMPUTED_VALUE"""),"RTS100272")</f>
        <v>RTS100272</v>
      </c>
      <c r="S56" s="2" t="str">
        <f>IFERROR(__xludf.DUMMYFUNCTION("""COMPUTED_VALUE"""),"R-SERIES 411 PH")</f>
        <v>R-SERIES 411 PH</v>
      </c>
      <c r="T56" s="2" t="str">
        <f>IFERROR(__xludf.DUMMYFUNCTION("""COMPUTED_VALUE"""),"LSGW1750 RMP 24020454")</f>
        <v>LSGW1750 RMP 24020454</v>
      </c>
      <c r="U56" s="2" t="str">
        <f>IFERROR(__xludf.DUMMYFUNCTION("""COMPUTED_VALUE"""),"WDP40 RMP 24020244")</f>
        <v>WDP40 RMP 24020244</v>
      </c>
      <c r="V56" s="2"/>
      <c r="W56" s="2" t="str">
        <f>IFERROR(__xludf.DUMMYFUNCTION("""COMPUTED_VALUE"""),"VL103D")</f>
        <v>VL103D</v>
      </c>
      <c r="X56" s="2"/>
      <c r="Y56" s="2"/>
      <c r="Z56" s="2"/>
      <c r="AA56" s="2"/>
      <c r="AB56" s="2" t="str">
        <f>IFERROR(__xludf.DUMMYFUNCTION("""COMPUTED_VALUE"""),"yhmpcq1")</f>
        <v>yhmpcq1</v>
      </c>
    </row>
    <row r="57">
      <c r="A57" s="2" t="str">
        <f>IFERROR(__xludf.DUMMYFUNCTION("""COMPUTED_VALUE"""),"TT00055")</f>
        <v>TT00055</v>
      </c>
      <c r="B57" s="2"/>
      <c r="C57" s="2" t="str">
        <f>IFERROR(__xludf.DUMMYFUNCTION("""COMPUTED_VALUE"""),"FOR BILLING L1")</f>
        <v>FOR BILLING L1</v>
      </c>
      <c r="D57" s="2" t="str">
        <f>IFERROR(__xludf.DUMMYFUNCTION("""COMPUTED_VALUE"""),"DAKILANG SULOK FARMERS' ASSOCIATION, INC.")</f>
        <v>DAKILANG SULOK FARMERS' ASSOCIATION, INC.</v>
      </c>
      <c r="E57" s="2" t="str">
        <f>IFERROR(__xludf.DUMMYFUNCTION("""COMPUTED_VALUE"""),"Mayao Castillo, Lucena City, Quezon")</f>
        <v>Mayao Castillo, Lucena City, Quezon</v>
      </c>
      <c r="F57" s="2" t="str">
        <f>IFERROR(__xludf.DUMMYFUNCTION("""COMPUTED_VALUE"""),"Dominador Pornasdoro")</f>
        <v>Dominador Pornasdoro</v>
      </c>
      <c r="G57" s="2" t="str">
        <f>IFERROR(__xludf.DUMMYFUNCTION("""COMPUTED_VALUE"""),"0933 869 5027")</f>
        <v>0933 869 5027</v>
      </c>
      <c r="H57" s="2"/>
      <c r="I57" s="2"/>
      <c r="J57" s="2"/>
      <c r="K57" s="2" t="str">
        <f>IFERROR(__xludf.DUMMYFUNCTION("""COMPUTED_VALUE"""),"RCEF 23-08-20 Rebidding")</f>
        <v>RCEF 23-08-20 Rebidding</v>
      </c>
      <c r="L57" s="2">
        <f>IFERROR(__xludf.DUMMYFUNCTION("""COMPUTED_VALUE"""),1.0)</f>
        <v>1</v>
      </c>
      <c r="M57" s="2" t="str">
        <f>IFERROR(__xludf.DUMMYFUNCTION("""COMPUTED_VALUE"""),"4A")</f>
        <v>4A</v>
      </c>
      <c r="N57" s="74">
        <f>IFERROR(__xludf.DUMMYFUNCTION("""COMPUTED_VALUE"""),45283.0)</f>
        <v>45283</v>
      </c>
      <c r="O57" s="74">
        <f>IFERROR(__xludf.DUMMYFUNCTION("""COMPUTED_VALUE"""),45412.0)</f>
        <v>45412</v>
      </c>
      <c r="P57" s="2">
        <f>IFERROR(__xludf.DUMMYFUNCTION("""COMPUTED_VALUE"""),17723.0)</f>
        <v>17723</v>
      </c>
      <c r="Q57" s="2" t="str">
        <f>IFERROR(__xludf.DUMMYFUNCTION("""COMPUTED_VALUE"""),"KMC5825 AERDV0321")</f>
        <v>KMC5825 AERDV0321</v>
      </c>
      <c r="R57" s="2" t="str">
        <f>IFERROR(__xludf.DUMMYFUNCTION("""COMPUTED_VALUE"""),"RTS100197")</f>
        <v>RTS100197</v>
      </c>
      <c r="S57" s="2" t="str">
        <f>IFERROR(__xludf.DUMMYFUNCTION("""COMPUTED_VALUE"""),"R-SERIES 412 PH")</f>
        <v>R-SERIES 412 PH</v>
      </c>
      <c r="T57" s="2" t="str">
        <f>IFERROR(__xludf.DUMMYFUNCTION("""COMPUTED_VALUE"""),"LSGW1750 RMP 24020427")</f>
        <v>LSGW1750 RMP 24020427</v>
      </c>
      <c r="U57" s="2" t="str">
        <f>IFERROR(__xludf.DUMMYFUNCTION("""COMPUTED_VALUE"""),"WDP40 RMP 24020227")</f>
        <v>WDP40 RMP 24020227</v>
      </c>
      <c r="V57" s="2"/>
      <c r="W57" s="2" t="str">
        <f>IFERROR(__xludf.DUMMYFUNCTION("""COMPUTED_VALUE"""),"VL103D")</f>
        <v>VL103D</v>
      </c>
      <c r="X57" s="2"/>
      <c r="Y57" s="2"/>
      <c r="Z57" s="2"/>
      <c r="AA57" s="2"/>
      <c r="AB57" s="2" t="str">
        <f>IFERROR(__xludf.DUMMYFUNCTION("""COMPUTED_VALUE"""),"dakilangsulokfa")</f>
        <v>dakilangsulokfa</v>
      </c>
    </row>
    <row r="58">
      <c r="A58" s="2" t="str">
        <f>IFERROR(__xludf.DUMMYFUNCTION("""COMPUTED_VALUE"""),"TT00056")</f>
        <v>TT00056</v>
      </c>
      <c r="B58" s="2"/>
      <c r="C58" s="2" t="str">
        <f>IFERROR(__xludf.DUMMYFUNCTION("""COMPUTED_VALUE"""),"FOR BILLING L1")</f>
        <v>FOR BILLING L1</v>
      </c>
      <c r="D58" s="2" t="str">
        <f>IFERROR(__xludf.DUMMYFUNCTION("""COMPUTED_VALUE"""),"Lucena City Farmers Federation Multi-Purpose Cooperative")</f>
        <v>Lucena City Farmers Federation Multi-Purpose Cooperative</v>
      </c>
      <c r="E58" s="2" t="str">
        <f>IFERROR(__xludf.DUMMYFUNCTION("""COMPUTED_VALUE"""),"Salinas, Lucena City, Quezon")</f>
        <v>Salinas, Lucena City, Quezon</v>
      </c>
      <c r="F58" s="2" t="str">
        <f>IFERROR(__xludf.DUMMYFUNCTION("""COMPUTED_VALUE"""),"Gregorio S. Vecinal")</f>
        <v>Gregorio S. Vecinal</v>
      </c>
      <c r="G58" s="2" t="str">
        <f>IFERROR(__xludf.DUMMYFUNCTION("""COMPUTED_VALUE"""),"0998 322 8339")</f>
        <v>0998 322 8339</v>
      </c>
      <c r="H58" s="2"/>
      <c r="I58" s="2"/>
      <c r="J58" s="2"/>
      <c r="K58" s="2" t="str">
        <f>IFERROR(__xludf.DUMMYFUNCTION("""COMPUTED_VALUE"""),"RCEF 23-08-20 Rebidding")</f>
        <v>RCEF 23-08-20 Rebidding</v>
      </c>
      <c r="L58" s="2">
        <f>IFERROR(__xludf.DUMMYFUNCTION("""COMPUTED_VALUE"""),1.0)</f>
        <v>1</v>
      </c>
      <c r="M58" s="2" t="str">
        <f>IFERROR(__xludf.DUMMYFUNCTION("""COMPUTED_VALUE"""),"4A")</f>
        <v>4A</v>
      </c>
      <c r="N58" s="74">
        <f>IFERROR(__xludf.DUMMYFUNCTION("""COMPUTED_VALUE"""),45283.0)</f>
        <v>45283</v>
      </c>
      <c r="O58" s="74">
        <f>IFERROR(__xludf.DUMMYFUNCTION("""COMPUTED_VALUE"""),45412.0)</f>
        <v>45412</v>
      </c>
      <c r="P58" s="2">
        <f>IFERROR(__xludf.DUMMYFUNCTION("""COMPUTED_VALUE"""),17724.0)</f>
        <v>17724</v>
      </c>
      <c r="Q58" s="2" t="str">
        <f>IFERROR(__xludf.DUMMYFUNCTION("""COMPUTED_VALUE"""),"KMC5825 AARFPV0329")</f>
        <v>KMC5825 AARFPV0329</v>
      </c>
      <c r="R58" s="2" t="str">
        <f>IFERROR(__xludf.DUMMYFUNCTION("""COMPUTED_VALUE"""),"RTS100179")</f>
        <v>RTS100179</v>
      </c>
      <c r="S58" s="2" t="str">
        <f>IFERROR(__xludf.DUMMYFUNCTION("""COMPUTED_VALUE"""),"R-SERIES 154 PH")</f>
        <v>R-SERIES 154 PH</v>
      </c>
      <c r="T58" s="2" t="str">
        <f>IFERROR(__xludf.DUMMYFUNCTION("""COMPUTED_VALUE"""),"LSGW1750 RMP 24020415")</f>
        <v>LSGW1750 RMP 24020415</v>
      </c>
      <c r="U58" s="2" t="str">
        <f>IFERROR(__xludf.DUMMYFUNCTION("""COMPUTED_VALUE"""),"WDP40 RMP 24020217")</f>
        <v>WDP40 RMP 24020217</v>
      </c>
      <c r="V58" s="2"/>
      <c r="W58" s="2" t="str">
        <f>IFERROR(__xludf.DUMMYFUNCTION("""COMPUTED_VALUE"""),"VL103D")</f>
        <v>VL103D</v>
      </c>
      <c r="X58" s="2"/>
      <c r="Y58" s="2"/>
      <c r="Z58" s="2"/>
      <c r="AA58" s="2"/>
      <c r="AB58" s="2" t="str">
        <f>IFERROR(__xludf.DUMMYFUNCTION("""COMPUTED_VALUE"""),"lucenampc")</f>
        <v>lucenampc</v>
      </c>
    </row>
    <row r="59">
      <c r="A59" s="2" t="str">
        <f>IFERROR(__xludf.DUMMYFUNCTION("""COMPUTED_VALUE"""),"TT00057")</f>
        <v>TT00057</v>
      </c>
      <c r="B59" s="2"/>
      <c r="C59" s="2" t="str">
        <f>IFERROR(__xludf.DUMMYFUNCTION("""COMPUTED_VALUE"""),"FOR BILLING L1")</f>
        <v>FOR BILLING L1</v>
      </c>
      <c r="D59" s="2" t="str">
        <f>IFERROR(__xludf.DUMMYFUNCTION("""COMPUTED_VALUE"""),"TUMBAGA I BUCAL IRRIGATORS ASSOCIATION, INC.")</f>
        <v>TUMBAGA I BUCAL IRRIGATORS ASSOCIATION, INC.</v>
      </c>
      <c r="E59" s="2" t="str">
        <f>IFERROR(__xludf.DUMMYFUNCTION("""COMPUTED_VALUE"""),"Tumbaga I, Sariaya, Quezon")</f>
        <v>Tumbaga I, Sariaya, Quezon</v>
      </c>
      <c r="F59" s="2" t="str">
        <f>IFERROR(__xludf.DUMMYFUNCTION("""COMPUTED_VALUE"""),"Rogelio D. Mendoza")</f>
        <v>Rogelio D. Mendoza</v>
      </c>
      <c r="G59" s="2" t="str">
        <f>IFERROR(__xludf.DUMMYFUNCTION("""COMPUTED_VALUE"""),"0917 597 5537")</f>
        <v>0917 597 5537</v>
      </c>
      <c r="H59" s="2"/>
      <c r="I59" s="2"/>
      <c r="J59" s="2"/>
      <c r="K59" s="2" t="str">
        <f>IFERROR(__xludf.DUMMYFUNCTION("""COMPUTED_VALUE"""),"RCEF 23-08-20 Rebidding")</f>
        <v>RCEF 23-08-20 Rebidding</v>
      </c>
      <c r="L59" s="2">
        <f>IFERROR(__xludf.DUMMYFUNCTION("""COMPUTED_VALUE"""),1.0)</f>
        <v>1</v>
      </c>
      <c r="M59" s="2" t="str">
        <f>IFERROR(__xludf.DUMMYFUNCTION("""COMPUTED_VALUE"""),"4A")</f>
        <v>4A</v>
      </c>
      <c r="N59" s="74">
        <f>IFERROR(__xludf.DUMMYFUNCTION("""COMPUTED_VALUE"""),45283.0)</f>
        <v>45283</v>
      </c>
      <c r="O59" s="74">
        <f>IFERROR(__xludf.DUMMYFUNCTION("""COMPUTED_VALUE"""),45412.0)</f>
        <v>45412</v>
      </c>
      <c r="P59" s="2">
        <f>IFERROR(__xludf.DUMMYFUNCTION("""COMPUTED_VALUE"""),17725.0)</f>
        <v>17725</v>
      </c>
      <c r="Q59" s="2" t="str">
        <f>IFERROR(__xludf.DUMMYFUNCTION("""COMPUTED_VALUE"""),"KMC5825 ACRFPV0448")</f>
        <v>KMC5825 ACRFPV0448</v>
      </c>
      <c r="R59" s="2" t="str">
        <f>IFERROR(__xludf.DUMMYFUNCTION("""COMPUTED_VALUE"""),"RTS100364")</f>
        <v>RTS100364</v>
      </c>
      <c r="S59" s="2" t="str">
        <f>IFERROR(__xludf.DUMMYFUNCTION("""COMPUTED_VALUE"""),"R-SERIES 415 PH")</f>
        <v>R-SERIES 415 PH</v>
      </c>
      <c r="T59" s="2" t="str">
        <f>IFERROR(__xludf.DUMMYFUNCTION("""COMPUTED_VALUE"""),"LSGW1750 RMP 24020457")</f>
        <v>LSGW1750 RMP 24020457</v>
      </c>
      <c r="U59" s="2" t="str">
        <f>IFERROR(__xludf.DUMMYFUNCTION("""COMPUTED_VALUE"""),"WDP40 RMP 24020142")</f>
        <v>WDP40 RMP 24020142</v>
      </c>
      <c r="V59" s="2"/>
      <c r="W59" s="2" t="str">
        <f>IFERROR(__xludf.DUMMYFUNCTION("""COMPUTED_VALUE"""),"VL103D")</f>
        <v>VL103D</v>
      </c>
      <c r="X59" s="2"/>
      <c r="Y59" s="2"/>
      <c r="Z59" s="2"/>
      <c r="AA59" s="2"/>
      <c r="AB59" s="2" t="str">
        <f>IFERROR(__xludf.DUMMYFUNCTION("""COMPUTED_VALUE"""),"tumbagairrig")</f>
        <v>tumbagairrig</v>
      </c>
    </row>
    <row r="60">
      <c r="A60" s="2" t="str">
        <f>IFERROR(__xludf.DUMMYFUNCTION("""COMPUTED_VALUE"""),"TT00058")</f>
        <v>TT00058</v>
      </c>
      <c r="B60" s="2"/>
      <c r="C60" s="2" t="str">
        <f>IFERROR(__xludf.DUMMYFUNCTION("""COMPUTED_VALUE"""),"FOR BILLING L1")</f>
        <v>FOR BILLING L1</v>
      </c>
      <c r="D60" s="2" t="str">
        <f>IFERROR(__xludf.DUMMYFUNCTION("""COMPUTED_VALUE"""),"SAN ISIDRO FARMER'S ASSOCIATION")</f>
        <v>SAN ISIDRO FARMER'S ASSOCIATION</v>
      </c>
      <c r="E60" s="2" t="str">
        <f>IFERROR(__xludf.DUMMYFUNCTION("""COMPUTED_VALUE"""),"San Isidro, Tiaong, Quezon")</f>
        <v>San Isidro, Tiaong, Quezon</v>
      </c>
      <c r="F60" s="2" t="str">
        <f>IFERROR(__xludf.DUMMYFUNCTION("""COMPUTED_VALUE"""),"Eusebio I. Silang Sr.")</f>
        <v>Eusebio I. Silang Sr.</v>
      </c>
      <c r="G60" s="2" t="str">
        <f>IFERROR(__xludf.DUMMYFUNCTION("""COMPUTED_VALUE"""),"0946 230 0989 (AT)")</f>
        <v>0946 230 0989 (AT)</v>
      </c>
      <c r="H60" s="2"/>
      <c r="I60" s="2"/>
      <c r="J60" s="2"/>
      <c r="K60" s="2" t="str">
        <f>IFERROR(__xludf.DUMMYFUNCTION("""COMPUTED_VALUE"""),"RCEF 23-08-20 Rebidding")</f>
        <v>RCEF 23-08-20 Rebidding</v>
      </c>
      <c r="L60" s="2">
        <f>IFERROR(__xludf.DUMMYFUNCTION("""COMPUTED_VALUE"""),1.0)</f>
        <v>1</v>
      </c>
      <c r="M60" s="2" t="str">
        <f>IFERROR(__xludf.DUMMYFUNCTION("""COMPUTED_VALUE"""),"4A")</f>
        <v>4A</v>
      </c>
      <c r="N60" s="74">
        <f>IFERROR(__xludf.DUMMYFUNCTION("""COMPUTED_VALUE"""),45283.0)</f>
        <v>45283</v>
      </c>
      <c r="O60" s="2"/>
      <c r="P60" s="2">
        <f>IFERROR(__xludf.DUMMYFUNCTION("""COMPUTED_VALUE"""),17726.0)</f>
        <v>17726</v>
      </c>
      <c r="Q60" s="2" t="str">
        <f>IFERROR(__xludf.DUMMYFUNCTION("""COMPUTED_VALUE"""),"KMC5825 ATRFPV0323")</f>
        <v>KMC5825 ATRFPV0323</v>
      </c>
      <c r="R60" s="2" t="str">
        <f>IFERROR(__xludf.DUMMYFUNCTION("""COMPUTED_VALUE"""),"RTS100191")</f>
        <v>RTS100191</v>
      </c>
      <c r="S60" s="2" t="str">
        <f>IFERROR(__xludf.DUMMYFUNCTION("""COMPUTED_VALUE"""),"R-SERIES 414 PH")</f>
        <v>R-SERIES 414 PH</v>
      </c>
      <c r="T60" s="2" t="str">
        <f>IFERROR(__xludf.DUMMYFUNCTION("""COMPUTED_VALUE"""),"LSGW1750 RMP 24020413")</f>
        <v>LSGW1750 RMP 24020413</v>
      </c>
      <c r="U60" s="2" t="str">
        <f>IFERROR(__xludf.DUMMYFUNCTION("""COMPUTED_VALUE"""),"WDP40 RMP 24020237")</f>
        <v>WDP40 RMP 24020237</v>
      </c>
      <c r="V60" s="2"/>
      <c r="W60" s="2" t="str">
        <f>IFERROR(__xludf.DUMMYFUNCTION("""COMPUTED_VALUE"""),"VL103D")</f>
        <v>VL103D</v>
      </c>
      <c r="X60" s="2"/>
      <c r="Y60" s="2"/>
      <c r="Z60" s="2"/>
      <c r="AA60" s="2"/>
      <c r="AB60" s="2" t="str">
        <f>IFERROR(__xludf.DUMMYFUNCTION("""COMPUTED_VALUE"""),"sanisidrofa")</f>
        <v>sanisidrofa</v>
      </c>
    </row>
    <row r="61">
      <c r="A61" s="2" t="str">
        <f>IFERROR(__xludf.DUMMYFUNCTION("""COMPUTED_VALUE"""),"TT00059")</f>
        <v>TT00059</v>
      </c>
      <c r="B61" s="2"/>
      <c r="C61" s="2" t="str">
        <f>IFERROR(__xludf.DUMMYFUNCTION("""COMPUTED_VALUE"""),"FOR BILLING L1")</f>
        <v>FOR BILLING L1</v>
      </c>
      <c r="D61" s="2" t="str">
        <f>IFERROR(__xludf.DUMMYFUNCTION("""COMPUTED_VALUE"""),"LALIG FARMERS ASSOCIATION")</f>
        <v>LALIG FARMERS ASSOCIATION</v>
      </c>
      <c r="E61" s="2" t="str">
        <f>IFERROR(__xludf.DUMMYFUNCTION("""COMPUTED_VALUE"""),"Lalig, Tiaong, Quezon")</f>
        <v>Lalig, Tiaong, Quezon</v>
      </c>
      <c r="F61" s="2" t="str">
        <f>IFERROR(__xludf.DUMMYFUNCTION("""COMPUTED_VALUE"""),"Danilo L. Guevara")</f>
        <v>Danilo L. Guevara</v>
      </c>
      <c r="G61" s="2" t="str">
        <f>IFERROR(__xludf.DUMMYFUNCTION("""COMPUTED_VALUE"""),"0928 255 9507")</f>
        <v>0928 255 9507</v>
      </c>
      <c r="H61" s="2"/>
      <c r="I61" s="2"/>
      <c r="J61" s="2"/>
      <c r="K61" s="2" t="str">
        <f>IFERROR(__xludf.DUMMYFUNCTION("""COMPUTED_VALUE"""),"RCEF 23-08-20 Rebidding")</f>
        <v>RCEF 23-08-20 Rebidding</v>
      </c>
      <c r="L61" s="2">
        <f>IFERROR(__xludf.DUMMYFUNCTION("""COMPUTED_VALUE"""),1.0)</f>
        <v>1</v>
      </c>
      <c r="M61" s="2" t="str">
        <f>IFERROR(__xludf.DUMMYFUNCTION("""COMPUTED_VALUE"""),"4A")</f>
        <v>4A</v>
      </c>
      <c r="N61" s="74">
        <f>IFERROR(__xludf.DUMMYFUNCTION("""COMPUTED_VALUE"""),45283.0)</f>
        <v>45283</v>
      </c>
      <c r="O61" s="74">
        <f>IFERROR(__xludf.DUMMYFUNCTION("""COMPUTED_VALUE"""),45411.0)</f>
        <v>45411</v>
      </c>
      <c r="P61" s="2">
        <f>IFERROR(__xludf.DUMMYFUNCTION("""COMPUTED_VALUE"""),17727.0)</f>
        <v>17727</v>
      </c>
      <c r="Q61" s="2" t="str">
        <f>IFERROR(__xludf.DUMMYFUNCTION("""COMPUTED_VALUE"""),"KMC5825 ACRFPV0353")</f>
        <v>KMC5825 ACRFPV0353</v>
      </c>
      <c r="R61" s="2" t="str">
        <f>IFERROR(__xludf.DUMMYFUNCTION("""COMPUTED_VALUE"""),"RTS100245")</f>
        <v>RTS100245</v>
      </c>
      <c r="S61" s="2" t="str">
        <f>IFERROR(__xludf.DUMMYFUNCTION("""COMPUTED_VALUE"""),"R-SERIES 417 PH")</f>
        <v>R-SERIES 417 PH</v>
      </c>
      <c r="T61" s="2" t="str">
        <f>IFERROR(__xludf.DUMMYFUNCTION("""COMPUTED_VALUE"""),"LSGW1750 RMP 24020510")</f>
        <v>LSGW1750 RMP 24020510</v>
      </c>
      <c r="U61" s="2" t="str">
        <f>IFERROR(__xludf.DUMMYFUNCTION("""COMPUTED_VALUE"""),"WDP40 RMP 24020190")</f>
        <v>WDP40 RMP 24020190</v>
      </c>
      <c r="V61" s="2"/>
      <c r="W61" s="2" t="str">
        <f>IFERROR(__xludf.DUMMYFUNCTION("""COMPUTED_VALUE"""),"VL103D")</f>
        <v>VL103D</v>
      </c>
      <c r="X61" s="2"/>
      <c r="Y61" s="2"/>
      <c r="Z61" s="2"/>
      <c r="AA61" s="2"/>
      <c r="AB61" s="2" t="str">
        <f>IFERROR(__xludf.DUMMYFUNCTION("""COMPUTED_VALUE"""),"laligfa")</f>
        <v>laligfa</v>
      </c>
    </row>
    <row r="62">
      <c r="A62" s="2" t="str">
        <f>IFERROR(__xludf.DUMMYFUNCTION("""COMPUTED_VALUE"""),"TT00060")</f>
        <v>TT00060</v>
      </c>
      <c r="B62" s="2"/>
      <c r="C62" s="2" t="str">
        <f>IFERROR(__xludf.DUMMYFUNCTION("""COMPUTED_VALUE"""),"FOR BILLING L1")</f>
        <v>FOR BILLING L1</v>
      </c>
      <c r="D62" s="2" t="str">
        <f>IFERROR(__xludf.DUMMYFUNCTION("""COMPUTED_VALUE"""),"PEDERASYON NG MGA SAMAHAN NG MAGSASAKA NG TIAONG, QUEZON")</f>
        <v>PEDERASYON NG MGA SAMAHAN NG MAGSASAKA NG TIAONG, QUEZON</v>
      </c>
      <c r="E62" s="2" t="str">
        <f>IFERROR(__xludf.DUMMYFUNCTION("""COMPUTED_VALUE"""),"Poblacion 3, Tiaong, Quezon")</f>
        <v>Poblacion 3, Tiaong, Quezon</v>
      </c>
      <c r="F62" s="2" t="str">
        <f>IFERROR(__xludf.DUMMYFUNCTION("""COMPUTED_VALUE"""),"Danilo l. Guevarra")</f>
        <v>Danilo l. Guevarra</v>
      </c>
      <c r="G62" s="2" t="str">
        <f>IFERROR(__xludf.DUMMYFUNCTION("""COMPUTED_VALUE"""),"00908 889 1622 (MA)")</f>
        <v>00908 889 1622 (MA)</v>
      </c>
      <c r="H62" s="2"/>
      <c r="I62" s="2"/>
      <c r="J62" s="2"/>
      <c r="K62" s="2" t="str">
        <f>IFERROR(__xludf.DUMMYFUNCTION("""COMPUTED_VALUE"""),"RCEF 23-08-20 Rebidding")</f>
        <v>RCEF 23-08-20 Rebidding</v>
      </c>
      <c r="L62" s="2">
        <f>IFERROR(__xludf.DUMMYFUNCTION("""COMPUTED_VALUE"""),1.0)</f>
        <v>1</v>
      </c>
      <c r="M62" s="2" t="str">
        <f>IFERROR(__xludf.DUMMYFUNCTION("""COMPUTED_VALUE"""),"4A")</f>
        <v>4A</v>
      </c>
      <c r="N62" s="74">
        <f>IFERROR(__xludf.DUMMYFUNCTION("""COMPUTED_VALUE"""),45283.0)</f>
        <v>45283</v>
      </c>
      <c r="O62" s="74">
        <f>IFERROR(__xludf.DUMMYFUNCTION("""COMPUTED_VALUE"""),45411.0)</f>
        <v>45411</v>
      </c>
      <c r="P62" s="2">
        <f>IFERROR(__xludf.DUMMYFUNCTION("""COMPUTED_VALUE"""),17728.0)</f>
        <v>17728</v>
      </c>
      <c r="Q62" s="2" t="str">
        <f>IFERROR(__xludf.DUMMYFUNCTION("""COMPUTED_VALUE"""),"KMC5825 AHRFPV0432")</f>
        <v>KMC5825 AHRFPV0432</v>
      </c>
      <c r="R62" s="2" t="str">
        <f>IFERROR(__xludf.DUMMYFUNCTION("""COMPUTED_VALUE"""),"RTS100334")</f>
        <v>RTS100334</v>
      </c>
      <c r="S62" s="2" t="str">
        <f>IFERROR(__xludf.DUMMYFUNCTION("""COMPUTED_VALUE"""),"R-SERIES 419 PH")</f>
        <v>R-SERIES 419 PH</v>
      </c>
      <c r="T62" s="2" t="str">
        <f>IFERROR(__xludf.DUMMYFUNCTION("""COMPUTED_VALUE"""),"LSGW1750 RMP 24020420")</f>
        <v>LSGW1750 RMP 24020420</v>
      </c>
      <c r="U62" s="2" t="str">
        <f>IFERROR(__xludf.DUMMYFUNCTION("""COMPUTED_VALUE"""),"WDP40 RMP 24020220")</f>
        <v>WDP40 RMP 24020220</v>
      </c>
      <c r="V62" s="2"/>
      <c r="W62" s="2" t="str">
        <f>IFERROR(__xludf.DUMMYFUNCTION("""COMPUTED_VALUE"""),"VL103D")</f>
        <v>VL103D</v>
      </c>
      <c r="X62" s="2"/>
      <c r="Y62" s="2"/>
      <c r="Z62" s="2"/>
      <c r="AA62" s="2"/>
      <c r="AB62" s="2" t="str">
        <f>IFERROR(__xludf.DUMMYFUNCTION("""COMPUTED_VALUE"""),"pederasyontiaong")</f>
        <v>pederasyontiaong</v>
      </c>
    </row>
    <row r="63">
      <c r="A63" s="2" t="str">
        <f>IFERROR(__xludf.DUMMYFUNCTION("""COMPUTED_VALUE"""),"TT00061")</f>
        <v>TT00061</v>
      </c>
      <c r="B63" s="2"/>
      <c r="C63" s="2" t="str">
        <f>IFERROR(__xludf.DUMMYFUNCTION("""COMPUTED_VALUE"""),"FOR BILLING L1")</f>
        <v>FOR BILLING L1</v>
      </c>
      <c r="D63" s="2" t="str">
        <f>IFERROR(__xludf.DUMMYFUNCTION("""COMPUTED_VALUE"""),"MULANAY RICE FARMERS FEDERATION")</f>
        <v>MULANAY RICE FARMERS FEDERATION</v>
      </c>
      <c r="E63" s="2" t="str">
        <f>IFERROR(__xludf.DUMMYFUNCTION("""COMPUTED_VALUE"""),"Barangay 1, Malunay, Quezon")</f>
        <v>Barangay 1, Malunay, Quezon</v>
      </c>
      <c r="F63" s="2" t="str">
        <f>IFERROR(__xludf.DUMMYFUNCTION("""COMPUTED_VALUE"""),"Anacleto G. Palmero")</f>
        <v>Anacleto G. Palmero</v>
      </c>
      <c r="G63" s="2" t="str">
        <f>IFERROR(__xludf.DUMMYFUNCTION("""COMPUTED_VALUE"""),"0930 990 4933")</f>
        <v>0930 990 4933</v>
      </c>
      <c r="H63" s="2"/>
      <c r="I63" s="2"/>
      <c r="J63" s="2"/>
      <c r="K63" s="2" t="str">
        <f>IFERROR(__xludf.DUMMYFUNCTION("""COMPUTED_VALUE"""),"RCEF 23-08-20 Rebidding")</f>
        <v>RCEF 23-08-20 Rebidding</v>
      </c>
      <c r="L63" s="2">
        <f>IFERROR(__xludf.DUMMYFUNCTION("""COMPUTED_VALUE"""),1.0)</f>
        <v>1</v>
      </c>
      <c r="M63" s="2" t="str">
        <f>IFERROR(__xludf.DUMMYFUNCTION("""COMPUTED_VALUE"""),"4A")</f>
        <v>4A</v>
      </c>
      <c r="N63" s="74">
        <f>IFERROR(__xludf.DUMMYFUNCTION("""COMPUTED_VALUE"""),45283.0)</f>
        <v>45283</v>
      </c>
      <c r="O63" s="74">
        <f>IFERROR(__xludf.DUMMYFUNCTION("""COMPUTED_VALUE"""),45414.0)</f>
        <v>45414</v>
      </c>
      <c r="P63" s="2">
        <f>IFERROR(__xludf.DUMMYFUNCTION("""COMPUTED_VALUE"""),17729.0)</f>
        <v>17729</v>
      </c>
      <c r="Q63" s="2" t="str">
        <f>IFERROR(__xludf.DUMMYFUNCTION("""COMPUTED_VALUE"""),"KMC5825 AVRFPV0023")</f>
        <v>KMC5825 AVRFPV0023</v>
      </c>
      <c r="R63" s="2" t="str">
        <f>IFERROR(__xludf.DUMMYFUNCTION("""COMPUTED_VALUE"""),"PTS100263")</f>
        <v>PTS100263</v>
      </c>
      <c r="S63" s="2" t="str">
        <f>IFERROR(__xludf.DUMMYFUNCTION("""COMPUTED_VALUE"""),"R-SERIES 242 PH")</f>
        <v>R-SERIES 242 PH</v>
      </c>
      <c r="T63" s="2" t="str">
        <f>IFERROR(__xludf.DUMMYFUNCTION("""COMPUTED_VALUE"""),"LSGW1750 RMP 24020429")</f>
        <v>LSGW1750 RMP 24020429</v>
      </c>
      <c r="U63" s="2" t="str">
        <f>IFERROR(__xludf.DUMMYFUNCTION("""COMPUTED_VALUE"""),"WDP40 RMP 24020250")</f>
        <v>WDP40 RMP 24020250</v>
      </c>
      <c r="V63" s="2"/>
      <c r="W63" s="2" t="str">
        <f>IFERROR(__xludf.DUMMYFUNCTION("""COMPUTED_VALUE"""),"VL103D")</f>
        <v>VL103D</v>
      </c>
      <c r="X63" s="2"/>
      <c r="Y63" s="2"/>
      <c r="Z63" s="2"/>
      <c r="AA63" s="2"/>
      <c r="AB63" s="2" t="str">
        <f>IFERROR(__xludf.DUMMYFUNCTION("""COMPUTED_VALUE"""),"mulanayff")</f>
        <v>mulanayff</v>
      </c>
    </row>
    <row r="64">
      <c r="A64" s="2" t="str">
        <f>IFERROR(__xludf.DUMMYFUNCTION("""COMPUTED_VALUE"""),"TT00062")</f>
        <v>TT00062</v>
      </c>
      <c r="B64" s="2"/>
      <c r="C64" s="2" t="str">
        <f>IFERROR(__xludf.DUMMYFUNCTION("""COMPUTED_VALUE"""),"FOR BILLING L1")</f>
        <v>FOR BILLING L1</v>
      </c>
      <c r="D64" s="2" t="str">
        <f>IFERROR(__xludf.DUMMYFUNCTION("""COMPUTED_VALUE"""),"BARANGAY SAN LUIS 1 HEALTHY FARMING ASSOCIATION")</f>
        <v>BARANGAY SAN LUIS 1 HEALTHY FARMING ASSOCIATION</v>
      </c>
      <c r="E64" s="2" t="str">
        <f>IFERROR(__xludf.DUMMYFUNCTION("""COMPUTED_VALUE"""),"San Luis 1, Guinayangan, Quezon")</f>
        <v>San Luis 1, Guinayangan, Quezon</v>
      </c>
      <c r="F64" s="2" t="str">
        <f>IFERROR(__xludf.DUMMYFUNCTION("""COMPUTED_VALUE"""),"Avelino A. Tolentino")</f>
        <v>Avelino A. Tolentino</v>
      </c>
      <c r="G64" s="2" t="str">
        <f>IFERROR(__xludf.DUMMYFUNCTION("""COMPUTED_VALUE"""),"0930 704 3885")</f>
        <v>0930 704 3885</v>
      </c>
      <c r="H64" s="2"/>
      <c r="I64" s="2"/>
      <c r="J64" s="2"/>
      <c r="K64" s="2" t="str">
        <f>IFERROR(__xludf.DUMMYFUNCTION("""COMPUTED_VALUE"""),"RCEF 23-08-20 Rebidding")</f>
        <v>RCEF 23-08-20 Rebidding</v>
      </c>
      <c r="L64" s="2">
        <f>IFERROR(__xludf.DUMMYFUNCTION("""COMPUTED_VALUE"""),1.0)</f>
        <v>1</v>
      </c>
      <c r="M64" s="2" t="str">
        <f>IFERROR(__xludf.DUMMYFUNCTION("""COMPUTED_VALUE"""),"4A")</f>
        <v>4A</v>
      </c>
      <c r="N64" s="74">
        <f>IFERROR(__xludf.DUMMYFUNCTION("""COMPUTED_VALUE"""),45283.0)</f>
        <v>45283</v>
      </c>
      <c r="O64" s="74">
        <f>IFERROR(__xludf.DUMMYFUNCTION("""COMPUTED_VALUE"""),45414.0)</f>
        <v>45414</v>
      </c>
      <c r="P64" s="2">
        <f>IFERROR(__xludf.DUMMYFUNCTION("""COMPUTED_VALUE"""),17730.0)</f>
        <v>17730</v>
      </c>
      <c r="Q64" s="2" t="str">
        <f>IFERROR(__xludf.DUMMYFUNCTION("""COMPUTED_VALUE"""),"KMC5825 AKRFPV0308")</f>
        <v>KMC5825 AKRFPV0308</v>
      </c>
      <c r="R64" s="2" t="str">
        <f>IFERROR(__xludf.DUMMYFUNCTION("""COMPUTED_VALUE"""),"RTS100206")</f>
        <v>RTS100206</v>
      </c>
      <c r="S64" s="2" t="str">
        <f>IFERROR(__xludf.DUMMYFUNCTION("""COMPUTED_VALUE"""),"R-SERIES 153 PH")</f>
        <v>R-SERIES 153 PH</v>
      </c>
      <c r="T64" s="2" t="str">
        <f>IFERROR(__xludf.DUMMYFUNCTION("""COMPUTED_VALUE"""),"LSGW1750 RMP 24010188")</f>
        <v>LSGW1750 RMP 24010188</v>
      </c>
      <c r="U64" s="2" t="str">
        <f>IFERROR(__xludf.DUMMYFUNCTION("""COMPUTED_VALUE"""),"WDP40 RMP 24020247")</f>
        <v>WDP40 RMP 24020247</v>
      </c>
      <c r="V64" s="2"/>
      <c r="W64" s="2" t="str">
        <f>IFERROR(__xludf.DUMMYFUNCTION("""COMPUTED_VALUE"""),"VL103D")</f>
        <v>VL103D</v>
      </c>
      <c r="X64" s="2"/>
      <c r="Y64" s="2"/>
      <c r="Z64" s="2"/>
      <c r="AA64" s="2"/>
      <c r="AB64" s="2" t="str">
        <f>IFERROR(__xludf.DUMMYFUNCTION("""COMPUTED_VALUE"""),"sanluis1fa")</f>
        <v>sanluis1fa</v>
      </c>
    </row>
    <row r="65">
      <c r="A65" s="2" t="str">
        <f>IFERROR(__xludf.DUMMYFUNCTION("""COMPUTED_VALUE"""),"TT00063")</f>
        <v>TT00063</v>
      </c>
      <c r="B65" s="2"/>
      <c r="C65" s="2" t="str">
        <f>IFERROR(__xludf.DUMMYFUNCTION("""COMPUTED_VALUE"""),"FOR BILLING L1")</f>
        <v>FOR BILLING L1</v>
      </c>
      <c r="D65" s="2" t="str">
        <f>IFERROR(__xludf.DUMMYFUNCTION("""COMPUTED_VALUE"""),"BARANGAY BUENAVISTA FARMERS ASSOCIATION")</f>
        <v>BARANGAY BUENAVISTA FARMERS ASSOCIATION</v>
      </c>
      <c r="E65" s="2" t="str">
        <f>IFERROR(__xludf.DUMMYFUNCTION("""COMPUTED_VALUE"""),"Buenavista, Lopez, Quezon")</f>
        <v>Buenavista, Lopez, Quezon</v>
      </c>
      <c r="F65" s="2" t="str">
        <f>IFERROR(__xludf.DUMMYFUNCTION("""COMPUTED_VALUE"""),"Victor S. Pilarca")</f>
        <v>Victor S. Pilarca</v>
      </c>
      <c r="G65" s="2" t="str">
        <f>IFERROR(__xludf.DUMMYFUNCTION("""COMPUTED_VALUE"""),"0906 616 3414")</f>
        <v>0906 616 3414</v>
      </c>
      <c r="H65" s="2"/>
      <c r="I65" s="2"/>
      <c r="J65" s="2"/>
      <c r="K65" s="2" t="str">
        <f>IFERROR(__xludf.DUMMYFUNCTION("""COMPUTED_VALUE"""),"RCEF 23-08-20 Rebidding")</f>
        <v>RCEF 23-08-20 Rebidding</v>
      </c>
      <c r="L65" s="2">
        <f>IFERROR(__xludf.DUMMYFUNCTION("""COMPUTED_VALUE"""),1.0)</f>
        <v>1</v>
      </c>
      <c r="M65" s="2" t="str">
        <f>IFERROR(__xludf.DUMMYFUNCTION("""COMPUTED_VALUE"""),"4A")</f>
        <v>4A</v>
      </c>
      <c r="N65" s="74">
        <f>IFERROR(__xludf.DUMMYFUNCTION("""COMPUTED_VALUE"""),45283.0)</f>
        <v>45283</v>
      </c>
      <c r="O65" s="74">
        <f>IFERROR(__xludf.DUMMYFUNCTION("""COMPUTED_VALUE"""),45414.0)</f>
        <v>45414</v>
      </c>
      <c r="P65" s="2">
        <f>IFERROR(__xludf.DUMMYFUNCTION("""COMPUTED_VALUE"""),17731.0)</f>
        <v>17731</v>
      </c>
      <c r="Q65" s="2" t="str">
        <f>IFERROR(__xludf.DUMMYFUNCTION("""COMPUTED_VALUE"""),"KMC5825 AERFPV0271")</f>
        <v>KMC5825 AERFPV0271</v>
      </c>
      <c r="R65" s="2" t="str">
        <f>IFERROR(__xludf.DUMMYFUNCTION("""COMPUTED_VALUE"""),"RTS100110")</f>
        <v>RTS100110</v>
      </c>
      <c r="S65" s="2" t="str">
        <f>IFERROR(__xludf.DUMMYFUNCTION("""COMPUTED_VALUE"""),"R-SERIES 063 PH")</f>
        <v>R-SERIES 063 PH</v>
      </c>
      <c r="T65" s="2" t="str">
        <f>IFERROR(__xludf.DUMMYFUNCTION("""COMPUTED_VALUE"""),"LSGW1750 RMP 24010181")</f>
        <v>LSGW1750 RMP 24010181</v>
      </c>
      <c r="U65" s="2" t="str">
        <f>IFERROR(__xludf.DUMMYFUNCTION("""COMPUTED_VALUE"""),"WDP40 RMP 24010112")</f>
        <v>WDP40 RMP 24010112</v>
      </c>
      <c r="V65" s="2"/>
      <c r="W65" s="2" t="str">
        <f>IFERROR(__xludf.DUMMYFUNCTION("""COMPUTED_VALUE"""),"VL103D")</f>
        <v>VL103D</v>
      </c>
      <c r="X65" s="2"/>
      <c r="Y65" s="2"/>
      <c r="Z65" s="2"/>
      <c r="AA65" s="2"/>
      <c r="AB65" s="2" t="str">
        <f>IFERROR(__xludf.DUMMYFUNCTION("""COMPUTED_VALUE"""),"buenavistafa")</f>
        <v>buenavistafa</v>
      </c>
    </row>
    <row r="66">
      <c r="A66" s="2" t="str">
        <f>IFERROR(__xludf.DUMMYFUNCTION("""COMPUTED_VALUE"""),"TT00064")</f>
        <v>TT00064</v>
      </c>
      <c r="B66" s="2"/>
      <c r="C66" s="2" t="str">
        <f>IFERROR(__xludf.DUMMYFUNCTION("""COMPUTED_VALUE"""),"FOR BILLING L1")</f>
        <v>FOR BILLING L1</v>
      </c>
      <c r="D66" s="2" t="str">
        <f>IFERROR(__xludf.DUMMYFUNCTION("""COMPUTED_VALUE"""),"SAN ROQUE FARMERS ASSOCIATION")</f>
        <v>SAN ROQUE FARMERS ASSOCIATION</v>
      </c>
      <c r="E66" s="2" t="str">
        <f>IFERROR(__xludf.DUMMYFUNCTION("""COMPUTED_VALUE"""),"San Roque, Lopez, Quezon")</f>
        <v>San Roque, Lopez, Quezon</v>
      </c>
      <c r="F66" s="2" t="str">
        <f>IFERROR(__xludf.DUMMYFUNCTION("""COMPUTED_VALUE"""),"Rodelito I. Abella")</f>
        <v>Rodelito I. Abella</v>
      </c>
      <c r="G66" s="2" t="str">
        <f>IFERROR(__xludf.DUMMYFUNCTION("""COMPUTED_VALUE"""),"0948 038 7844")</f>
        <v>0948 038 7844</v>
      </c>
      <c r="H66" s="2"/>
      <c r="I66" s="2"/>
      <c r="J66" s="2"/>
      <c r="K66" s="2" t="str">
        <f>IFERROR(__xludf.DUMMYFUNCTION("""COMPUTED_VALUE"""),"RCEF 23-08-20 Rebidding")</f>
        <v>RCEF 23-08-20 Rebidding</v>
      </c>
      <c r="L66" s="2">
        <f>IFERROR(__xludf.DUMMYFUNCTION("""COMPUTED_VALUE"""),1.0)</f>
        <v>1</v>
      </c>
      <c r="M66" s="2" t="str">
        <f>IFERROR(__xludf.DUMMYFUNCTION("""COMPUTED_VALUE"""),"4A")</f>
        <v>4A</v>
      </c>
      <c r="N66" s="74">
        <f>IFERROR(__xludf.DUMMYFUNCTION("""COMPUTED_VALUE"""),45283.0)</f>
        <v>45283</v>
      </c>
      <c r="O66" s="74">
        <f>IFERROR(__xludf.DUMMYFUNCTION("""COMPUTED_VALUE"""),45414.0)</f>
        <v>45414</v>
      </c>
      <c r="P66" s="2">
        <f>IFERROR(__xludf.DUMMYFUNCTION("""COMPUTED_VALUE"""),17732.0)</f>
        <v>17732</v>
      </c>
      <c r="Q66" s="2" t="str">
        <f>IFERROR(__xludf.DUMMYFUNCTION("""COMPUTED_VALUE"""),"KMC5825 AARFPV0220")</f>
        <v>KMC5825 AARFPV0220</v>
      </c>
      <c r="R66" s="2" t="str">
        <f>IFERROR(__xludf.DUMMYFUNCTION("""COMPUTED_VALUE"""),"RTS100119")</f>
        <v>RTS100119</v>
      </c>
      <c r="S66" s="2" t="str">
        <f>IFERROR(__xludf.DUMMYFUNCTION("""COMPUTED_VALUE"""),"R-SERIES275 PH")</f>
        <v>R-SERIES275 PH</v>
      </c>
      <c r="T66" s="2" t="str">
        <f>IFERROR(__xludf.DUMMYFUNCTION("""COMPUTED_VALUE"""),"LSGW1750 RMP 24010183")</f>
        <v>LSGW1750 RMP 24010183</v>
      </c>
      <c r="U66" s="2" t="str">
        <f>IFERROR(__xludf.DUMMYFUNCTION("""COMPUTED_VALUE"""),"WDP40 RMP 24010109")</f>
        <v>WDP40 RMP 24010109</v>
      </c>
      <c r="V66" s="2"/>
      <c r="W66" s="2" t="str">
        <f>IFERROR(__xludf.DUMMYFUNCTION("""COMPUTED_VALUE"""),"VL103D")</f>
        <v>VL103D</v>
      </c>
      <c r="X66" s="2"/>
      <c r="Y66" s="2"/>
      <c r="Z66" s="2"/>
      <c r="AA66" s="2"/>
      <c r="AB66" s="2" t="str">
        <f>IFERROR(__xludf.DUMMYFUNCTION("""COMPUTED_VALUE"""),"sanroquefa")</f>
        <v>sanroquefa</v>
      </c>
    </row>
    <row r="67">
      <c r="A67" s="2" t="str">
        <f>IFERROR(__xludf.DUMMYFUNCTION("""COMPUTED_VALUE"""),"TT00065")</f>
        <v>TT00065</v>
      </c>
      <c r="B67" s="2"/>
      <c r="C67" s="2" t="str">
        <f>IFERROR(__xludf.DUMMYFUNCTION("""COMPUTED_VALUE"""),"FOR BILLING L1")</f>
        <v>FOR BILLING L1</v>
      </c>
      <c r="D67" s="2" t="str">
        <f>IFERROR(__xludf.DUMMYFUNCTION("""COMPUTED_VALUE"""),"RIMAPI Farmers Association")</f>
        <v>RIMAPI Farmers Association</v>
      </c>
      <c r="E67" s="2" t="str">
        <f>IFERROR(__xludf.DUMMYFUNCTION("""COMPUTED_VALUE"""),"Mainit Sur, Perez, Quezon")</f>
        <v>Mainit Sur, Perez, Quezon</v>
      </c>
      <c r="F67" s="2" t="str">
        <f>IFERROR(__xludf.DUMMYFUNCTION("""COMPUTED_VALUE"""),"Antonio S. Regodon")</f>
        <v>Antonio S. Regodon</v>
      </c>
      <c r="G67" s="2" t="str">
        <f>IFERROR(__xludf.DUMMYFUNCTION("""COMPUTED_VALUE"""),"0917 325 8937 (MAO)")</f>
        <v>0917 325 8937 (MAO)</v>
      </c>
      <c r="H67" s="2"/>
      <c r="I67" s="2"/>
      <c r="J67" s="2"/>
      <c r="K67" s="2" t="str">
        <f>IFERROR(__xludf.DUMMYFUNCTION("""COMPUTED_VALUE"""),"RCEF 23-08-20 Rebidding")</f>
        <v>RCEF 23-08-20 Rebidding</v>
      </c>
      <c r="L67" s="2">
        <f>IFERROR(__xludf.DUMMYFUNCTION("""COMPUTED_VALUE"""),1.0)</f>
        <v>1</v>
      </c>
      <c r="M67" s="2" t="str">
        <f>IFERROR(__xludf.DUMMYFUNCTION("""COMPUTED_VALUE"""),"4A")</f>
        <v>4A</v>
      </c>
      <c r="N67" s="74">
        <f>IFERROR(__xludf.DUMMYFUNCTION("""COMPUTED_VALUE"""),45283.0)</f>
        <v>45283</v>
      </c>
      <c r="O67" s="74">
        <f>IFERROR(__xludf.DUMMYFUNCTION("""COMPUTED_VALUE"""),45414.0)</f>
        <v>45414</v>
      </c>
      <c r="P67" s="2">
        <f>IFERROR(__xludf.DUMMYFUNCTION("""COMPUTED_VALUE"""),17733.0)</f>
        <v>17733</v>
      </c>
      <c r="Q67" s="2" t="str">
        <f>IFERROR(__xludf.DUMMYFUNCTION("""COMPUTED_VALUE"""),"KMC5825 ACRFPV0330")</f>
        <v>KMC5825 ACRFPV0330</v>
      </c>
      <c r="R67" s="2" t="str">
        <f>IFERROR(__xludf.DUMMYFUNCTION("""COMPUTED_VALUE"""),"RTS100176")</f>
        <v>RTS100176</v>
      </c>
      <c r="S67" s="2" t="str">
        <f>IFERROR(__xludf.DUMMYFUNCTION("""COMPUTED_VALUE"""),"R-SERIES 155 PH")</f>
        <v>R-SERIES 155 PH</v>
      </c>
      <c r="T67" s="2" t="str">
        <f>IFERROR(__xludf.DUMMYFUNCTION("""COMPUTED_VALUE"""),"LSGW1750 RMP 24020430")</f>
        <v>LSGW1750 RMP 24020430</v>
      </c>
      <c r="U67" s="2" t="str">
        <f>IFERROR(__xludf.DUMMYFUNCTION("""COMPUTED_VALUE"""),"WDP40 RMP 24020252")</f>
        <v>WDP40 RMP 24020252</v>
      </c>
      <c r="V67" s="2"/>
      <c r="W67" s="2" t="str">
        <f>IFERROR(__xludf.DUMMYFUNCTION("""COMPUTED_VALUE"""),"VL103D")</f>
        <v>VL103D</v>
      </c>
      <c r="X67" s="2"/>
      <c r="Y67" s="2"/>
      <c r="Z67" s="2"/>
      <c r="AA67" s="2"/>
      <c r="AB67" s="2" t="str">
        <f>IFERROR(__xludf.DUMMYFUNCTION("""COMPUTED_VALUE"""),"rimapi")</f>
        <v>rimapi</v>
      </c>
    </row>
    <row r="68">
      <c r="A68" s="2" t="str">
        <f>IFERROR(__xludf.DUMMYFUNCTION("""COMPUTED_VALUE"""),"TT00066")</f>
        <v>TT00066</v>
      </c>
      <c r="B68" s="2"/>
      <c r="C68" s="2" t="str">
        <f>IFERROR(__xludf.DUMMYFUNCTION("""COMPUTED_VALUE"""),"FOR BILLING L1")</f>
        <v>FOR BILLING L1</v>
      </c>
      <c r="D68" s="2" t="str">
        <f>IFERROR(__xludf.DUMMYFUNCTION("""COMPUTED_VALUE"""),"BUKAL FARMERS ASSOCIATION")</f>
        <v>BUKAL FARMERS ASSOCIATION</v>
      </c>
      <c r="E68" s="2" t="str">
        <f>IFERROR(__xludf.DUMMYFUNCTION("""COMPUTED_VALUE"""),"Bukal, Tagkawayan, Quezon")</f>
        <v>Bukal, Tagkawayan, Quezon</v>
      </c>
      <c r="F68" s="2" t="str">
        <f>IFERROR(__xludf.DUMMYFUNCTION("""COMPUTED_VALUE"""),"Sergio G. Macaraig Jr.")</f>
        <v>Sergio G. Macaraig Jr.</v>
      </c>
      <c r="G68" s="2" t="str">
        <f>IFERROR(__xludf.DUMMYFUNCTION("""COMPUTED_VALUE"""),"0909 050 0561")</f>
        <v>0909 050 0561</v>
      </c>
      <c r="H68" s="2"/>
      <c r="I68" s="2"/>
      <c r="J68" s="2"/>
      <c r="K68" s="2" t="str">
        <f>IFERROR(__xludf.DUMMYFUNCTION("""COMPUTED_VALUE"""),"RCEF 23-08-20 Rebidding")</f>
        <v>RCEF 23-08-20 Rebidding</v>
      </c>
      <c r="L68" s="2">
        <f>IFERROR(__xludf.DUMMYFUNCTION("""COMPUTED_VALUE"""),1.0)</f>
        <v>1</v>
      </c>
      <c r="M68" s="2" t="str">
        <f>IFERROR(__xludf.DUMMYFUNCTION("""COMPUTED_VALUE"""),"4A")</f>
        <v>4A</v>
      </c>
      <c r="N68" s="74">
        <f>IFERROR(__xludf.DUMMYFUNCTION("""COMPUTED_VALUE"""),45283.0)</f>
        <v>45283</v>
      </c>
      <c r="O68" s="74">
        <f>IFERROR(__xludf.DUMMYFUNCTION("""COMPUTED_VALUE"""),45414.0)</f>
        <v>45414</v>
      </c>
      <c r="P68" s="2">
        <f>IFERROR(__xludf.DUMMYFUNCTION("""COMPUTED_VALUE"""),17734.0)</f>
        <v>17734</v>
      </c>
      <c r="Q68" s="2" t="str">
        <f>IFERROR(__xludf.DUMMYFUNCTION("""COMPUTED_VALUE"""),"KMC5825 ATRFPV0337")</f>
        <v>KMC5825 ATRFPV0337</v>
      </c>
      <c r="R68" s="2" t="str">
        <f>IFERROR(__xludf.DUMMYFUNCTION("""COMPUTED_VALUE"""),"RTS100175")</f>
        <v>RTS100175</v>
      </c>
      <c r="S68" s="2" t="str">
        <f>IFERROR(__xludf.DUMMYFUNCTION("""COMPUTED_VALUE"""),"R-SERIES 273 PH")</f>
        <v>R-SERIES 273 PH</v>
      </c>
      <c r="T68" s="2" t="str">
        <f>IFERROR(__xludf.DUMMYFUNCTION("""COMPUTED_VALUE"""),"LSGW1750 RMP 24020417")</f>
        <v>LSGW1750 RMP 24020417</v>
      </c>
      <c r="U68" s="2" t="str">
        <f>IFERROR(__xludf.DUMMYFUNCTION("""COMPUTED_VALUE"""),"WDP40 RMP 24010135")</f>
        <v>WDP40 RMP 24010135</v>
      </c>
      <c r="V68" s="2"/>
      <c r="W68" s="2" t="str">
        <f>IFERROR(__xludf.DUMMYFUNCTION("""COMPUTED_VALUE"""),"VL103D")</f>
        <v>VL103D</v>
      </c>
      <c r="X68" s="2"/>
      <c r="Y68" s="2"/>
      <c r="Z68" s="2"/>
      <c r="AA68" s="2"/>
      <c r="AB68" s="2" t="str">
        <f>IFERROR(__xludf.DUMMYFUNCTION("""COMPUTED_VALUE"""),"bukalfa")</f>
        <v>bukalfa</v>
      </c>
    </row>
    <row r="69">
      <c r="A69" s="2" t="str">
        <f>IFERROR(__xludf.DUMMYFUNCTION("""COMPUTED_VALUE"""),"TT00067")</f>
        <v>TT00067</v>
      </c>
      <c r="B69" s="2"/>
      <c r="C69" s="2" t="str">
        <f>IFERROR(__xludf.DUMMYFUNCTION("""COMPUTED_VALUE"""),"FOR BILLING L1")</f>
        <v>FOR BILLING L1</v>
      </c>
      <c r="D69" s="2" t="str">
        <f>IFERROR(__xludf.DUMMYFUNCTION("""COMPUTED_VALUE"""),"AGOS NG PAG-ASA KATAKIAN IRRIGATORS' ASSOCIATION INCORPORATED")</f>
        <v>AGOS NG PAG-ASA KATAKIAN IRRIGATORS' ASSOCIATION INCORPORATED</v>
      </c>
      <c r="E69" s="2" t="str">
        <f>IFERROR(__xludf.DUMMYFUNCTION("""COMPUTED_VALUE"""),"Landing, Tagkawayan, Quezon")</f>
        <v>Landing, Tagkawayan, Quezon</v>
      </c>
      <c r="F69" s="2" t="str">
        <f>IFERROR(__xludf.DUMMYFUNCTION("""COMPUTED_VALUE"""),"Leonora T. Mangubat")</f>
        <v>Leonora T. Mangubat</v>
      </c>
      <c r="G69" s="2" t="str">
        <f>IFERROR(__xludf.DUMMYFUNCTION("""COMPUTED_VALUE"""),"0998 333 6165")</f>
        <v>0998 333 6165</v>
      </c>
      <c r="H69" s="2"/>
      <c r="I69" s="2"/>
      <c r="J69" s="2"/>
      <c r="K69" s="2" t="str">
        <f>IFERROR(__xludf.DUMMYFUNCTION("""COMPUTED_VALUE"""),"RCEF 23-08-20 Rebidding")</f>
        <v>RCEF 23-08-20 Rebidding</v>
      </c>
      <c r="L69" s="2">
        <f>IFERROR(__xludf.DUMMYFUNCTION("""COMPUTED_VALUE"""),1.0)</f>
        <v>1</v>
      </c>
      <c r="M69" s="2" t="str">
        <f>IFERROR(__xludf.DUMMYFUNCTION("""COMPUTED_VALUE"""),"4A")</f>
        <v>4A</v>
      </c>
      <c r="N69" s="74">
        <f>IFERROR(__xludf.DUMMYFUNCTION("""COMPUTED_VALUE"""),45283.0)</f>
        <v>45283</v>
      </c>
      <c r="O69" s="74">
        <f>IFERROR(__xludf.DUMMYFUNCTION("""COMPUTED_VALUE"""),45414.0)</f>
        <v>45414</v>
      </c>
      <c r="P69" s="2">
        <f>IFERROR(__xludf.DUMMYFUNCTION("""COMPUTED_VALUE"""),17735.0)</f>
        <v>17735</v>
      </c>
      <c r="Q69" s="2" t="str">
        <f>IFERROR(__xludf.DUMMYFUNCTION("""COMPUTED_VALUE"""),"KMC5825 ALRFPV0283")</f>
        <v>KMC5825 ALRFPV0283</v>
      </c>
      <c r="R69" s="2" t="str">
        <f>IFERROR(__xludf.DUMMYFUNCTION("""COMPUTED_VALUE"""),"RTS100130")</f>
        <v>RTS100130</v>
      </c>
      <c r="S69" s="2" t="str">
        <f>IFERROR(__xludf.DUMMYFUNCTION("""COMPUTED_VALUE"""),"R-SERIES 061 PH")</f>
        <v>R-SERIES 061 PH</v>
      </c>
      <c r="T69" s="2" t="str">
        <f>IFERROR(__xludf.DUMMYFUNCTION("""COMPUTED_VALUE"""),"LSGW1750 RMP 24010182")</f>
        <v>LSGW1750 RMP 24010182</v>
      </c>
      <c r="U69" s="2" t="str">
        <f>IFERROR(__xludf.DUMMYFUNCTION("""COMPUTED_VALUE"""),"WDP40 RMP 24030294")</f>
        <v>WDP40 RMP 24030294</v>
      </c>
      <c r="V69" s="2"/>
      <c r="W69" s="2" t="str">
        <f>IFERROR(__xludf.DUMMYFUNCTION("""COMPUTED_VALUE"""),"VL103D")</f>
        <v>VL103D</v>
      </c>
      <c r="X69" s="2"/>
      <c r="Y69" s="2"/>
      <c r="Z69" s="2"/>
      <c r="AA69" s="2"/>
      <c r="AB69" s="2" t="str">
        <f>IFERROR(__xludf.DUMMYFUNCTION("""COMPUTED_VALUE"""),"agosngpagasairrig")</f>
        <v>agosngpagasairrig</v>
      </c>
    </row>
    <row r="70">
      <c r="A70" s="2" t="str">
        <f>IFERROR(__xludf.DUMMYFUNCTION("""COMPUTED_VALUE"""),"TT00068")</f>
        <v>TT00068</v>
      </c>
      <c r="B70" s="2"/>
      <c r="C70" s="2" t="str">
        <f>IFERROR(__xludf.DUMMYFUNCTION("""COMPUTED_VALUE"""),"FOR BILLING L1")</f>
        <v>FOR BILLING L1</v>
      </c>
      <c r="D70" s="2" t="str">
        <f>IFERROR(__xludf.DUMMYFUNCTION("""COMPUTED_VALUE"""),"BARANGAY PAYAPA FARMERS ASSOCIATION")</f>
        <v>BARANGAY PAYAPA FARMERS ASSOCIATION</v>
      </c>
      <c r="E70" s="2" t="str">
        <f>IFERROR(__xludf.DUMMYFUNCTION("""COMPUTED_VALUE"""),"Payapa, Tagkawayan, Quezon")</f>
        <v>Payapa, Tagkawayan, Quezon</v>
      </c>
      <c r="F70" s="2" t="str">
        <f>IFERROR(__xludf.DUMMYFUNCTION("""COMPUTED_VALUE"""),"Ferdinand R. Aguda")</f>
        <v>Ferdinand R. Aguda</v>
      </c>
      <c r="G70" s="2" t="str">
        <f>IFERROR(__xludf.DUMMYFUNCTION("""COMPUTED_VALUE"""),"0939 140 1908
 0951 864 2466")</f>
        <v>0939 140 1908
 0951 864 2466</v>
      </c>
      <c r="H70" s="2"/>
      <c r="I70" s="2"/>
      <c r="J70" s="2"/>
      <c r="K70" s="2" t="str">
        <f>IFERROR(__xludf.DUMMYFUNCTION("""COMPUTED_VALUE"""),"RCEF 23-08-20 Rebidding")</f>
        <v>RCEF 23-08-20 Rebidding</v>
      </c>
      <c r="L70" s="2">
        <f>IFERROR(__xludf.DUMMYFUNCTION("""COMPUTED_VALUE"""),1.0)</f>
        <v>1</v>
      </c>
      <c r="M70" s="2" t="str">
        <f>IFERROR(__xludf.DUMMYFUNCTION("""COMPUTED_VALUE"""),"4A")</f>
        <v>4A</v>
      </c>
      <c r="N70" s="74">
        <f>IFERROR(__xludf.DUMMYFUNCTION("""COMPUTED_VALUE"""),45283.0)</f>
        <v>45283</v>
      </c>
      <c r="O70" s="74">
        <f>IFERROR(__xludf.DUMMYFUNCTION("""COMPUTED_VALUE"""),45414.0)</f>
        <v>45414</v>
      </c>
      <c r="P70" s="2">
        <f>IFERROR(__xludf.DUMMYFUNCTION("""COMPUTED_VALUE"""),17736.0)</f>
        <v>17736</v>
      </c>
      <c r="Q70" s="2" t="str">
        <f>IFERROR(__xludf.DUMMYFUNCTION("""COMPUTED_VALUE"""),"KMC5825 AHRFPV0205")</f>
        <v>KMC5825 AHRFPV0205</v>
      </c>
      <c r="R70" s="2" t="str">
        <f>IFERROR(__xludf.DUMMYFUNCTION("""COMPUTED_VALUE"""),"RTS100148")</f>
        <v>RTS100148</v>
      </c>
      <c r="S70" s="2" t="str">
        <f>IFERROR(__xludf.DUMMYFUNCTION("""COMPUTED_VALUE"""),"R-SERIES 171 PH")</f>
        <v>R-SERIES 171 PH</v>
      </c>
      <c r="T70" s="2" t="str">
        <f>IFERROR(__xludf.DUMMYFUNCTION("""COMPUTED_VALUE"""),"LSGW1750 RMP 24020414")</f>
        <v>LSGW1750 RMP 24020414</v>
      </c>
      <c r="U70" s="2" t="str">
        <f>IFERROR(__xludf.DUMMYFUNCTION("""COMPUTED_VALUE"""),"WDP40 RMP 24020243")</f>
        <v>WDP40 RMP 24020243</v>
      </c>
      <c r="V70" s="2"/>
      <c r="W70" s="2" t="str">
        <f>IFERROR(__xludf.DUMMYFUNCTION("""COMPUTED_VALUE"""),"VL103D")</f>
        <v>VL103D</v>
      </c>
      <c r="X70" s="2"/>
      <c r="Y70" s="2"/>
      <c r="Z70" s="2"/>
      <c r="AA70" s="2"/>
      <c r="AB70" s="2" t="str">
        <f>IFERROR(__xludf.DUMMYFUNCTION("""COMPUTED_VALUE"""),"payapafa")</f>
        <v>payapafa</v>
      </c>
    </row>
    <row r="71">
      <c r="A71" s="2" t="str">
        <f>IFERROR(__xludf.DUMMYFUNCTION("""COMPUTED_VALUE"""),"TT00069")</f>
        <v>TT00069</v>
      </c>
      <c r="B71" s="2"/>
      <c r="C71" s="2" t="str">
        <f>IFERROR(__xludf.DUMMYFUNCTION("""COMPUTED_VALUE"""),"FOR BILLING L1")</f>
        <v>FOR BILLING L1</v>
      </c>
      <c r="D71" s="2" t="str">
        <f>IFERROR(__xludf.DUMMYFUNCTION("""COMPUTED_VALUE"""),"CORON FARMER'S FEDERATION")</f>
        <v>CORON FARMER'S FEDERATION</v>
      </c>
      <c r="E71" s="2" t="str">
        <f>IFERROR(__xludf.DUMMYFUNCTION("""COMPUTED_VALUE"""),"Borac, Coron, Palawan")</f>
        <v>Borac, Coron, Palawan</v>
      </c>
      <c r="F71" s="2" t="str">
        <f>IFERROR(__xludf.DUMMYFUNCTION("""COMPUTED_VALUE"""),"Numeriano Echague")</f>
        <v>Numeriano Echague</v>
      </c>
      <c r="G71" s="2" t="str">
        <f>IFERROR(__xludf.DUMMYFUNCTION("""COMPUTED_VALUE"""),"0975 848 5785")</f>
        <v>0975 848 5785</v>
      </c>
      <c r="H71" s="2"/>
      <c r="I71" s="2"/>
      <c r="J71" s="2"/>
      <c r="K71" s="2" t="str">
        <f>IFERROR(__xludf.DUMMYFUNCTION("""COMPUTED_VALUE"""),"RCEF 23-08-20 Rebidding")</f>
        <v>RCEF 23-08-20 Rebidding</v>
      </c>
      <c r="L71" s="2">
        <f>IFERROR(__xludf.DUMMYFUNCTION("""COMPUTED_VALUE"""),1.0)</f>
        <v>1</v>
      </c>
      <c r="M71" s="2" t="str">
        <f>IFERROR(__xludf.DUMMYFUNCTION("""COMPUTED_VALUE"""),"4B")</f>
        <v>4B</v>
      </c>
      <c r="N71" s="74">
        <f>IFERROR(__xludf.DUMMYFUNCTION("""COMPUTED_VALUE"""),45388.0)</f>
        <v>45388</v>
      </c>
      <c r="O71" s="2"/>
      <c r="P71" s="2">
        <f>IFERROR(__xludf.DUMMYFUNCTION("""COMPUTED_VALUE"""),18890.0)</f>
        <v>18890</v>
      </c>
      <c r="Q71" s="2" t="str">
        <f>IFERROR(__xludf.DUMMYFUNCTION("""COMPUTED_VALUE"""),"KMC5825 AARFPY0394")</f>
        <v>KMC5825 AARFPY0394</v>
      </c>
      <c r="R71" s="2" t="str">
        <f>IFERROR(__xludf.DUMMYFUNCTION("""COMPUTED_VALUE"""),"RTS100299")</f>
        <v>RTS100299</v>
      </c>
      <c r="S71" s="2" t="str">
        <f>IFERROR(__xludf.DUMMYFUNCTION("""COMPUTED_VALUE"""),"R-SERIES 403 PH")</f>
        <v>R-SERIES 403 PH</v>
      </c>
      <c r="T71" s="2" t="str">
        <f>IFERROR(__xludf.DUMMYFUNCTION("""COMPUTED_VALUE"""),"LSGW 1750 RMP 24020531")</f>
        <v>LSGW 1750 RMP 24020531</v>
      </c>
      <c r="U71" s="2" t="str">
        <f>IFERROR(__xludf.DUMMYFUNCTION("""COMPUTED_VALUE"""),"WDP40 RMP 24020248")</f>
        <v>WDP40 RMP 24020248</v>
      </c>
      <c r="V71" s="2"/>
      <c r="W71" s="2" t="str">
        <f>IFERROR(__xludf.DUMMYFUNCTION("""COMPUTED_VALUE"""),"VL103D")</f>
        <v>VL103D</v>
      </c>
      <c r="X71" s="2"/>
      <c r="Y71" s="2"/>
      <c r="Z71" s="2"/>
      <c r="AA71" s="2"/>
      <c r="AB71" s="2" t="str">
        <f>IFERROR(__xludf.DUMMYFUNCTION("""COMPUTED_VALUE"""),"coronff")</f>
        <v>coronff</v>
      </c>
    </row>
    <row r="72">
      <c r="A72" s="2" t="str">
        <f>IFERROR(__xludf.DUMMYFUNCTION("""COMPUTED_VALUE"""),"TT00070")</f>
        <v>TT00070</v>
      </c>
      <c r="B72" s="2" t="str">
        <f>IFERROR(__xludf.DUMMYFUNCTION("""COMPUTED_VALUE"""),"Completed")</f>
        <v>Completed</v>
      </c>
      <c r="C72" s="2" t="str">
        <f>IFERROR(__xludf.DUMMYFUNCTION("""COMPUTED_VALUE"""),"FOR BILLING L1")</f>
        <v>FOR BILLING L1</v>
      </c>
      <c r="D72" s="2" t="str">
        <f>IFERROR(__xludf.DUMMYFUNCTION("""COMPUTED_VALUE"""),"TANATANAEN FARMERS IRRIGATOR'S ASSOCIATION, INC.")</f>
        <v>TANATANAEN FARMERS IRRIGATOR'S ASSOCIATION, INC.</v>
      </c>
      <c r="E72" s="2" t="str">
        <f>IFERROR(__xludf.DUMMYFUNCTION("""COMPUTED_VALUE"""),"Tanatanaon (Mainland), Dumaran, Palawan")</f>
        <v>Tanatanaon (Mainland), Dumaran, Palawan</v>
      </c>
      <c r="F72" s="2" t="str">
        <f>IFERROR(__xludf.DUMMYFUNCTION("""COMPUTED_VALUE"""),"Reden Mark S. Pineda")</f>
        <v>Reden Mark S. Pineda</v>
      </c>
      <c r="G72" s="2" t="str">
        <f>IFERROR(__xludf.DUMMYFUNCTION("""COMPUTED_VALUE"""),"0950 608 7527")</f>
        <v>0950 608 7527</v>
      </c>
      <c r="H72" s="2"/>
      <c r="I72" s="2"/>
      <c r="J72" s="2" t="str">
        <f>IFERROR(__xludf.DUMMYFUNCTION("""COMPUTED_VALUE"""),"- Toolbox
- GPS")</f>
        <v>- Toolbox
- GPS</v>
      </c>
      <c r="K72" s="2" t="str">
        <f>IFERROR(__xludf.DUMMYFUNCTION("""COMPUTED_VALUE"""),"RCEF 23-08-20 Rebidding")</f>
        <v>RCEF 23-08-20 Rebidding</v>
      </c>
      <c r="L72" s="2">
        <f>IFERROR(__xludf.DUMMYFUNCTION("""COMPUTED_VALUE"""),1.0)</f>
        <v>1</v>
      </c>
      <c r="M72" s="2" t="str">
        <f>IFERROR(__xludf.DUMMYFUNCTION("""COMPUTED_VALUE"""),"4B")</f>
        <v>4B</v>
      </c>
      <c r="N72" s="2" t="str">
        <f>IFERROR(__xludf.DUMMYFUNCTION("""COMPUTED_VALUE"""),"JAN.23,2024")</f>
        <v>JAN.23,2024</v>
      </c>
      <c r="O72" s="2" t="str">
        <f>IFERROR(__xludf.DUMMYFUNCTION("""COMPUTED_VALUE"""),"FEB.14,2024")</f>
        <v>FEB.14,2024</v>
      </c>
      <c r="P72" s="2">
        <f>IFERROR(__xludf.DUMMYFUNCTION("""COMPUTED_VALUE"""),17941.0)</f>
        <v>17941</v>
      </c>
      <c r="Q72" s="2" t="str">
        <f>IFERROR(__xludf.DUMMYFUNCTION("""COMPUTED_VALUE"""),"KMC 5825 ALPFPV0149")</f>
        <v>KMC 5825 ALPFPV0149</v>
      </c>
      <c r="R72" s="2" t="str">
        <f>IFERROR(__xludf.DUMMYFUNCTION("""COMPUTED_VALUE"""),"PTS 100146")</f>
        <v>PTS 100146</v>
      </c>
      <c r="S72" s="2" t="str">
        <f>IFERROR(__xludf.DUMMYFUNCTION("""COMPUTED_VALUE"""),"R-SERIES 136 PH")</f>
        <v>R-SERIES 136 PH</v>
      </c>
      <c r="T72" s="2" t="str">
        <f>IFERROR(__xludf.DUMMYFUNCTION("""COMPUTED_VALUE"""),"LSGW1750 RMP 2312054")</f>
        <v>LSGW1750 RMP 2312054</v>
      </c>
      <c r="U72" s="2" t="str">
        <f>IFERROR(__xludf.DUMMYFUNCTION("""COMPUTED_VALUE"""),"WDP40 RMP 2312084")</f>
        <v>WDP40 RMP 2312084</v>
      </c>
      <c r="V72" s="2" t="str">
        <f>IFERROR(__xludf.DUMMYFUNCTION("""COMPUTED_VALUE"""),"no load")</f>
        <v>no load</v>
      </c>
      <c r="W72" s="2" t="str">
        <f>IFERROR(__xludf.DUMMYFUNCTION("""COMPUTED_VALUE"""),"VL103D")</f>
        <v>VL103D</v>
      </c>
      <c r="X72" s="2">
        <f>IFERROR(__xludf.DUMMYFUNCTION("""COMPUTED_VALUE"""),8.69066060237774E14)</f>
        <v>869066060237774</v>
      </c>
      <c r="Y72" s="2">
        <f>IFERROR(__xludf.DUMMYFUNCTION("""COMPUTED_VALUE"""),9.691074388E9)</f>
        <v>9691074388</v>
      </c>
      <c r="Z72" s="3" t="str">
        <f>IFERROR(__xludf.DUMMYFUNCTION("""COMPUTED_VALUE"""),"0323202005167333")</f>
        <v>0323202005167333</v>
      </c>
      <c r="AA72" s="2"/>
      <c r="AB72" s="2" t="str">
        <f>IFERROR(__xludf.DUMMYFUNCTION("""COMPUTED_VALUE"""),"tanatanaenirrig")</f>
        <v>tanatanaenirrig</v>
      </c>
    </row>
    <row r="73">
      <c r="A73" s="2" t="str">
        <f>IFERROR(__xludf.DUMMYFUNCTION("""COMPUTED_VALUE"""),"TT00071")</f>
        <v>TT00071</v>
      </c>
      <c r="B73" s="2" t="str">
        <f>IFERROR(__xludf.DUMMYFUNCTION("""COMPUTED_VALUE"""),"Completed")</f>
        <v>Completed</v>
      </c>
      <c r="C73" s="2" t="str">
        <f>IFERROR(__xludf.DUMMYFUNCTION("""COMPUTED_VALUE"""),"FOR BILLING L1")</f>
        <v>FOR BILLING L1</v>
      </c>
      <c r="D73" s="2" t="str">
        <f>IFERROR(__xludf.DUMMYFUNCTION("""COMPUTED_VALUE"""),"PUROK CALAPARAN MAGSAYSAY FARMERS ASSOCIATION")</f>
        <v>PUROK CALAPARAN MAGSAYSAY FARMERS ASSOCIATION</v>
      </c>
      <c r="E73" s="2" t="str">
        <f>IFERROR(__xludf.DUMMYFUNCTION("""COMPUTED_VALUE"""),"Magsaysay, Dumaran, Palawan")</f>
        <v>Magsaysay, Dumaran, Palawan</v>
      </c>
      <c r="F73" s="2" t="str">
        <f>IFERROR(__xludf.DUMMYFUNCTION("""COMPUTED_VALUE"""),"Mecheil Mangalao")</f>
        <v>Mecheil Mangalao</v>
      </c>
      <c r="G73" s="2">
        <f>IFERROR(__xludf.DUMMYFUNCTION("""COMPUTED_VALUE"""),9.128337112E9)</f>
        <v>9128337112</v>
      </c>
      <c r="H73" s="2"/>
      <c r="I73" s="2"/>
      <c r="J73" s="2" t="str">
        <f>IFERROR(__xludf.DUMMYFUNCTION("""COMPUTED_VALUE"""),"- Toolbox
- GPS")</f>
        <v>- Toolbox
- GPS</v>
      </c>
      <c r="K73" s="2" t="str">
        <f>IFERROR(__xludf.DUMMYFUNCTION("""COMPUTED_VALUE"""),"RCEF 23-08-20 Rebidding")</f>
        <v>RCEF 23-08-20 Rebidding</v>
      </c>
      <c r="L73" s="2">
        <f>IFERROR(__xludf.DUMMYFUNCTION("""COMPUTED_VALUE"""),1.0)</f>
        <v>1</v>
      </c>
      <c r="M73" s="2" t="str">
        <f>IFERROR(__xludf.DUMMYFUNCTION("""COMPUTED_VALUE"""),"4B")</f>
        <v>4B</v>
      </c>
      <c r="N73" s="2" t="str">
        <f>IFERROR(__xludf.DUMMYFUNCTION("""COMPUTED_VALUE"""),"JAN.23,2024")</f>
        <v>JAN.23,2024</v>
      </c>
      <c r="O73" s="2" t="str">
        <f>IFERROR(__xludf.DUMMYFUNCTION("""COMPUTED_VALUE"""),"FEB.14,2024")</f>
        <v>FEB.14,2024</v>
      </c>
      <c r="P73" s="2">
        <f>IFERROR(__xludf.DUMMYFUNCTION("""COMPUTED_VALUE"""),17942.0)</f>
        <v>17942</v>
      </c>
      <c r="Q73" s="2" t="str">
        <f>IFERROR(__xludf.DUMMYFUNCTION("""COMPUTED_VALUE"""),"KMC 5825 AEPFPV0140")</f>
        <v>KMC 5825 AEPFPV0140</v>
      </c>
      <c r="R73" s="2" t="str">
        <f>IFERROR(__xludf.DUMMYFUNCTION("""COMPUTED_VALUE"""),"PTS 100118")</f>
        <v>PTS 100118</v>
      </c>
      <c r="S73" s="2" t="str">
        <f>IFERROR(__xludf.DUMMYFUNCTION("""COMPUTED_VALUE"""),"R-SERIES 141 PH")</f>
        <v>R-SERIES 141 PH</v>
      </c>
      <c r="T73" s="2" t="str">
        <f>IFERROR(__xludf.DUMMYFUNCTION("""COMPUTED_VALUE"""),"LSGW1750 RMP 2312057")</f>
        <v>LSGW1750 RMP 2312057</v>
      </c>
      <c r="U73" s="2" t="str">
        <f>IFERROR(__xludf.DUMMYFUNCTION("""COMPUTED_VALUE"""),"WDP40 RMP 2312093")</f>
        <v>WDP40 RMP 2312093</v>
      </c>
      <c r="V73" s="2" t="str">
        <f>IFERROR(__xludf.DUMMYFUNCTION("""COMPUTED_VALUE"""),"no signal in the area")</f>
        <v>no signal in the area</v>
      </c>
      <c r="W73" s="2" t="str">
        <f>IFERROR(__xludf.DUMMYFUNCTION("""COMPUTED_VALUE"""),"VL103D")</f>
        <v>VL103D</v>
      </c>
      <c r="X73" s="2">
        <f>IFERROR(__xludf.DUMMYFUNCTION("""COMPUTED_VALUE"""),8.69066060240273E14)</f>
        <v>869066060240273</v>
      </c>
      <c r="Y73" s="2">
        <f>IFERROR(__xludf.DUMMYFUNCTION("""COMPUTED_VALUE"""),9.690404833E9)</f>
        <v>9690404833</v>
      </c>
      <c r="Z73" s="3" t="str">
        <f>IFERROR(__xludf.DUMMYFUNCTION("""COMPUTED_VALUE"""),"0323202004028270")</f>
        <v>0323202004028270</v>
      </c>
      <c r="AA73" s="2"/>
      <c r="AB73" s="2" t="str">
        <f>IFERROR(__xludf.DUMMYFUNCTION("""COMPUTED_VALUE"""),"calaparanmagsaysayfa")</f>
        <v>calaparanmagsaysayfa</v>
      </c>
    </row>
    <row r="74">
      <c r="A74" s="2" t="str">
        <f>IFERROR(__xludf.DUMMYFUNCTION("""COMPUTED_VALUE"""),"TT00072")</f>
        <v>TT00072</v>
      </c>
      <c r="B74" s="2" t="str">
        <f>IFERROR(__xludf.DUMMYFUNCTION("""COMPUTED_VALUE"""),"Completed")</f>
        <v>Completed</v>
      </c>
      <c r="C74" s="2" t="str">
        <f>IFERROR(__xludf.DUMMYFUNCTION("""COMPUTED_VALUE"""),"FOR BILLING L1")</f>
        <v>FOR BILLING L1</v>
      </c>
      <c r="D74" s="2" t="str">
        <f>IFERROR(__xludf.DUMMYFUNCTION("""COMPUTED_VALUE"""),"ABERAWAN FARMER'S ASSOCIATION (AFA)")</f>
        <v>ABERAWAN FARMER'S ASSOCIATION (AFA)</v>
      </c>
      <c r="E74" s="2" t="str">
        <f>IFERROR(__xludf.DUMMYFUNCTION("""COMPUTED_VALUE"""),"Aberawan, El Nido, Palawan")</f>
        <v>Aberawan, El Nido, Palawan</v>
      </c>
      <c r="F74" s="2" t="str">
        <f>IFERROR(__xludf.DUMMYFUNCTION("""COMPUTED_VALUE"""),"Marlon R. Panoncio")</f>
        <v>Marlon R. Panoncio</v>
      </c>
      <c r="G74" s="2" t="str">
        <f>IFERROR(__xludf.DUMMYFUNCTION("""COMPUTED_VALUE"""),"0975 5570164")</f>
        <v>0975 5570164</v>
      </c>
      <c r="H74" s="2"/>
      <c r="I74" s="2"/>
      <c r="J74" s="2" t="str">
        <f>IFERROR(__xludf.DUMMYFUNCTION("""COMPUTED_VALUE"""),"- Toolbox
- GPS")</f>
        <v>- Toolbox
- GPS</v>
      </c>
      <c r="K74" s="2" t="str">
        <f>IFERROR(__xludf.DUMMYFUNCTION("""COMPUTED_VALUE"""),"RCEF 23-08-20 Rebidding")</f>
        <v>RCEF 23-08-20 Rebidding</v>
      </c>
      <c r="L74" s="2">
        <f>IFERROR(__xludf.DUMMYFUNCTION("""COMPUTED_VALUE"""),1.0)</f>
        <v>1</v>
      </c>
      <c r="M74" s="2" t="str">
        <f>IFERROR(__xludf.DUMMYFUNCTION("""COMPUTED_VALUE"""),"4B")</f>
        <v>4B</v>
      </c>
      <c r="N74" s="2" t="str">
        <f>IFERROR(__xludf.DUMMYFUNCTION("""COMPUTED_VALUE"""),"JAN.23,2024")</f>
        <v>JAN.23,2024</v>
      </c>
      <c r="O74" s="2" t="str">
        <f>IFERROR(__xludf.DUMMYFUNCTION("""COMPUTED_VALUE"""),"FEB.14,2024")</f>
        <v>FEB.14,2024</v>
      </c>
      <c r="P74" s="2">
        <f>IFERROR(__xludf.DUMMYFUNCTION("""COMPUTED_VALUE"""),17943.0)</f>
        <v>17943</v>
      </c>
      <c r="Q74" s="2" t="str">
        <f>IFERROR(__xludf.DUMMYFUNCTION("""COMPUTED_VALUE"""),"KMC 5825 AHPFPV00055")</f>
        <v>KMC 5825 AHPFPV00055</v>
      </c>
      <c r="R74" s="2" t="str">
        <f>IFERROR(__xludf.DUMMYFUNCTION("""COMPUTED_VALUE"""),"PTS 100133")</f>
        <v>PTS 100133</v>
      </c>
      <c r="S74" s="2" t="str">
        <f>IFERROR(__xludf.DUMMYFUNCTION("""COMPUTED_VALUE"""),"R-SERIES 150 PH")</f>
        <v>R-SERIES 150 PH</v>
      </c>
      <c r="T74" s="2" t="str">
        <f>IFERROR(__xludf.DUMMYFUNCTION("""COMPUTED_VALUE"""),"LSGW1750 RMP 2312087")</f>
        <v>LSGW1750 RMP 2312087</v>
      </c>
      <c r="U74" s="2" t="str">
        <f>IFERROR(__xludf.DUMMYFUNCTION("""COMPUTED_VALUE"""),"WDP40 RMP 2312094")</f>
        <v>WDP40 RMP 2312094</v>
      </c>
      <c r="V74" s="2" t="str">
        <f>IFERROR(__xludf.DUMMYFUNCTION("""COMPUTED_VALUE"""),"no load")</f>
        <v>no load</v>
      </c>
      <c r="W74" s="2" t="str">
        <f>IFERROR(__xludf.DUMMYFUNCTION("""COMPUTED_VALUE"""),"VL103D")</f>
        <v>VL103D</v>
      </c>
      <c r="X74" s="2">
        <f>IFERROR(__xludf.DUMMYFUNCTION("""COMPUTED_VALUE"""),8.69066060237816E14)</f>
        <v>869066060237816</v>
      </c>
      <c r="Y74" s="2">
        <f>IFERROR(__xludf.DUMMYFUNCTION("""COMPUTED_VALUE"""),9.690909206E9)</f>
        <v>9690909206</v>
      </c>
      <c r="Z74" s="3" t="str">
        <f>IFERROR(__xludf.DUMMYFUNCTION("""COMPUTED_VALUE"""),"0323202005167317")</f>
        <v>0323202005167317</v>
      </c>
      <c r="AA74" s="2"/>
      <c r="AB74" s="2" t="str">
        <f>IFERROR(__xludf.DUMMYFUNCTION("""COMPUTED_VALUE"""),"afa")</f>
        <v>afa</v>
      </c>
    </row>
    <row r="75">
      <c r="A75" s="2" t="str">
        <f>IFERROR(__xludf.DUMMYFUNCTION("""COMPUTED_VALUE"""),"TT00073")</f>
        <v>TT00073</v>
      </c>
      <c r="B75" s="2" t="str">
        <f>IFERROR(__xludf.DUMMYFUNCTION("""COMPUTED_VALUE"""),"Completed")</f>
        <v>Completed</v>
      </c>
      <c r="C75" s="2" t="str">
        <f>IFERROR(__xludf.DUMMYFUNCTION("""COMPUTED_VALUE"""),"FOR BILLING L1")</f>
        <v>FOR BILLING L1</v>
      </c>
      <c r="D75" s="2" t="str">
        <f>IFERROR(__xludf.DUMMYFUNCTION("""COMPUTED_VALUE"""),"SANDOVAL FARMERS ASSOCIATION")</f>
        <v>SANDOVAL FARMERS ASSOCIATION</v>
      </c>
      <c r="E75" s="2" t="str">
        <f>IFERROR(__xludf.DUMMYFUNCTION("""COMPUTED_VALUE"""),"Sandoval, Roxas, Palawan")</f>
        <v>Sandoval, Roxas, Palawan</v>
      </c>
      <c r="F75" s="2" t="str">
        <f>IFERROR(__xludf.DUMMYFUNCTION("""COMPUTED_VALUE"""),"Philip G. Flores")</f>
        <v>Philip G. Flores</v>
      </c>
      <c r="G75" s="2">
        <f>IFERROR(__xludf.DUMMYFUNCTION("""COMPUTED_VALUE"""),9.261966722E9)</f>
        <v>9261966722</v>
      </c>
      <c r="H75" s="2"/>
      <c r="I75" s="2"/>
      <c r="J75" s="2" t="str">
        <f>IFERROR(__xludf.DUMMYFUNCTION("""COMPUTED_VALUE"""),"- Toolbox
- GPS")</f>
        <v>- Toolbox
- GPS</v>
      </c>
      <c r="K75" s="2" t="str">
        <f>IFERROR(__xludf.DUMMYFUNCTION("""COMPUTED_VALUE"""),"RCEF 23-08-20 Rebidding")</f>
        <v>RCEF 23-08-20 Rebidding</v>
      </c>
      <c r="L75" s="2">
        <f>IFERROR(__xludf.DUMMYFUNCTION("""COMPUTED_VALUE"""),1.0)</f>
        <v>1</v>
      </c>
      <c r="M75" s="2" t="str">
        <f>IFERROR(__xludf.DUMMYFUNCTION("""COMPUTED_VALUE"""),"4B")</f>
        <v>4B</v>
      </c>
      <c r="N75" s="2" t="str">
        <f>IFERROR(__xludf.DUMMYFUNCTION("""COMPUTED_VALUE"""),"JAN.23,2024")</f>
        <v>JAN.23,2024</v>
      </c>
      <c r="O75" s="2" t="str">
        <f>IFERROR(__xludf.DUMMYFUNCTION("""COMPUTED_VALUE"""),"FEB.1,2024")</f>
        <v>FEB.1,2024</v>
      </c>
      <c r="P75" s="2">
        <f>IFERROR(__xludf.DUMMYFUNCTION("""COMPUTED_VALUE"""),17944.0)</f>
        <v>17944</v>
      </c>
      <c r="Q75" s="2" t="str">
        <f>IFERROR(__xludf.DUMMYFUNCTION("""COMPUTED_VALUE"""),"KMC 5825 AEPFPV0090")</f>
        <v>KMC 5825 AEPFPV0090</v>
      </c>
      <c r="R75" s="2" t="str">
        <f>IFERROR(__xludf.DUMMYFUNCTION("""COMPUTED_VALUE"""),"PTS 100122")</f>
        <v>PTS 100122</v>
      </c>
      <c r="S75" s="2" t="str">
        <f>IFERROR(__xludf.DUMMYFUNCTION("""COMPUTED_VALUE"""),"R-SERIES 135 PH")</f>
        <v>R-SERIES 135 PH</v>
      </c>
      <c r="T75" s="2" t="str">
        <f>IFERROR(__xludf.DUMMYFUNCTION("""COMPUTED_VALUE"""),"LSGW1750 RMP 2312065")</f>
        <v>LSGW1750 RMP 2312065</v>
      </c>
      <c r="U75" s="2" t="str">
        <f>IFERROR(__xludf.DUMMYFUNCTION("""COMPUTED_VALUE"""),"WDP40 RMP 2312098")</f>
        <v>WDP40 RMP 2312098</v>
      </c>
      <c r="V75" s="2" t="str">
        <f>IFERROR(__xludf.DUMMYFUNCTION("""COMPUTED_VALUE"""),"no load")</f>
        <v>no load</v>
      </c>
      <c r="W75" s="2" t="str">
        <f>IFERROR(__xludf.DUMMYFUNCTION("""COMPUTED_VALUE"""),"VL103D")</f>
        <v>VL103D</v>
      </c>
      <c r="X75" s="2">
        <f>IFERROR(__xludf.DUMMYFUNCTION("""COMPUTED_VALUE"""),8.69066060237782E14)</f>
        <v>869066060237782</v>
      </c>
      <c r="Y75" s="2">
        <f>IFERROR(__xludf.DUMMYFUNCTION("""COMPUTED_VALUE"""),9.691136907E9)</f>
        <v>9691136907</v>
      </c>
      <c r="Z75" s="3" t="str">
        <f>IFERROR(__xludf.DUMMYFUNCTION("""COMPUTED_VALUE"""),"0323202005167267")</f>
        <v>0323202005167267</v>
      </c>
      <c r="AA75" s="2"/>
      <c r="AB75" s="2" t="str">
        <f>IFERROR(__xludf.DUMMYFUNCTION("""COMPUTED_VALUE"""),"sandovalroxas")</f>
        <v>sandovalroxas</v>
      </c>
    </row>
    <row r="76">
      <c r="A76" s="2" t="str">
        <f>IFERROR(__xludf.DUMMYFUNCTION("""COMPUTED_VALUE"""),"TT00074")</f>
        <v>TT00074</v>
      </c>
      <c r="B76" s="2" t="str">
        <f>IFERROR(__xludf.DUMMYFUNCTION("""COMPUTED_VALUE"""),"Completed")</f>
        <v>Completed</v>
      </c>
      <c r="C76" s="2" t="str">
        <f>IFERROR(__xludf.DUMMYFUNCTION("""COMPUTED_VALUE"""),"FOR BILLING L1")</f>
        <v>FOR BILLING L1</v>
      </c>
      <c r="D76" s="2" t="str">
        <f>IFERROR(__xludf.DUMMYFUNCTION("""COMPUTED_VALUE"""),"PAMUAYAN FARMERS ASSOCIATION")</f>
        <v>PAMUAYAN FARMERS ASSOCIATION</v>
      </c>
      <c r="E76" s="2" t="str">
        <f>IFERROR(__xludf.DUMMYFUNCTION("""COMPUTED_VALUE"""),"Barton, San Vicente, Palawan")</f>
        <v>Barton, San Vicente, Palawan</v>
      </c>
      <c r="F76" s="2" t="str">
        <f>IFERROR(__xludf.DUMMYFUNCTION("""COMPUTED_VALUE"""),"Joel C. Capindo")</f>
        <v>Joel C. Capindo</v>
      </c>
      <c r="G76" s="2">
        <f>IFERROR(__xludf.DUMMYFUNCTION("""COMPUTED_VALUE"""),9.309127724E9)</f>
        <v>9309127724</v>
      </c>
      <c r="H76" s="2"/>
      <c r="I76" s="2"/>
      <c r="J76" s="2" t="str">
        <f>IFERROR(__xludf.DUMMYFUNCTION("""COMPUTED_VALUE"""),"- Toolbox
- GPS")</f>
        <v>- Toolbox
- GPS</v>
      </c>
      <c r="K76" s="2" t="str">
        <f>IFERROR(__xludf.DUMMYFUNCTION("""COMPUTED_VALUE"""),"RCEF 23-08-20 Rebidding")</f>
        <v>RCEF 23-08-20 Rebidding</v>
      </c>
      <c r="L76" s="2">
        <f>IFERROR(__xludf.DUMMYFUNCTION("""COMPUTED_VALUE"""),1.0)</f>
        <v>1</v>
      </c>
      <c r="M76" s="2" t="str">
        <f>IFERROR(__xludf.DUMMYFUNCTION("""COMPUTED_VALUE"""),"4B")</f>
        <v>4B</v>
      </c>
      <c r="N76" s="2" t="str">
        <f>IFERROR(__xludf.DUMMYFUNCTION("""COMPUTED_VALUE"""),"JAN.23,2024")</f>
        <v>JAN.23,2024</v>
      </c>
      <c r="O76" s="2" t="str">
        <f>IFERROR(__xludf.DUMMYFUNCTION("""COMPUTED_VALUE"""),"FEB.2,2024")</f>
        <v>FEB.2,2024</v>
      </c>
      <c r="P76" s="2">
        <f>IFERROR(__xludf.DUMMYFUNCTION("""COMPUTED_VALUE"""),17945.0)</f>
        <v>17945</v>
      </c>
      <c r="Q76" s="2" t="str">
        <f>IFERROR(__xludf.DUMMYFUNCTION("""COMPUTED_VALUE"""),"KMC 5825 ATPFPV0061")</f>
        <v>KMC 5825 ATPFPV0061</v>
      </c>
      <c r="R76" s="2" t="str">
        <f>IFERROR(__xludf.DUMMYFUNCTION("""COMPUTED_VALUE"""),"PTS 100149")</f>
        <v>PTS 100149</v>
      </c>
      <c r="S76" s="2" t="str">
        <f>IFERROR(__xludf.DUMMYFUNCTION("""COMPUTED_VALUE"""),"R-SERIES 129 PH")</f>
        <v>R-SERIES 129 PH</v>
      </c>
      <c r="T76" s="2" t="str">
        <f>IFERROR(__xludf.DUMMYFUNCTION("""COMPUTED_VALUE"""),"LSGW1750 RMP 2312069")</f>
        <v>LSGW1750 RMP 2312069</v>
      </c>
      <c r="U76" s="2" t="str">
        <f>IFERROR(__xludf.DUMMYFUNCTION("""COMPUTED_VALUE"""),"WDP40 RMP 2312104")</f>
        <v>WDP40 RMP 2312104</v>
      </c>
      <c r="V76" s="2" t="str">
        <f>IFERROR(__xludf.DUMMYFUNCTION("""COMPUTED_VALUE"""),"no load")</f>
        <v>no load</v>
      </c>
      <c r="W76" s="2" t="str">
        <f>IFERROR(__xludf.DUMMYFUNCTION("""COMPUTED_VALUE"""),"VL103D")</f>
        <v>VL103D</v>
      </c>
      <c r="X76" s="2">
        <f>IFERROR(__xludf.DUMMYFUNCTION("""COMPUTED_VALUE"""),8.69066060240356E14)</f>
        <v>869066060240356</v>
      </c>
      <c r="Y76" s="2">
        <f>IFERROR(__xludf.DUMMYFUNCTION("""COMPUTED_VALUE"""),9.086828602E9)</f>
        <v>9086828602</v>
      </c>
      <c r="Z76" s="3" t="str">
        <f>IFERROR(__xludf.DUMMYFUNCTION("""COMPUTED_VALUE"""),"0323250006122948")</f>
        <v>0323250006122948</v>
      </c>
      <c r="AA76" s="2"/>
      <c r="AB76" s="2" t="str">
        <f>IFERROR(__xludf.DUMMYFUNCTION("""COMPUTED_VALUE"""),"pamuayanfa")</f>
        <v>pamuayanfa</v>
      </c>
    </row>
    <row r="77">
      <c r="A77" s="2" t="str">
        <f>IFERROR(__xludf.DUMMYFUNCTION("""COMPUTED_VALUE"""),"TT00075")</f>
        <v>TT00075</v>
      </c>
      <c r="B77" s="2" t="str">
        <f>IFERROR(__xludf.DUMMYFUNCTION("""COMPUTED_VALUE"""),"Completed")</f>
        <v>Completed</v>
      </c>
      <c r="C77" s="2" t="str">
        <f>IFERROR(__xludf.DUMMYFUNCTION("""COMPUTED_VALUE"""),"FOR BILLING L1")</f>
        <v>FOR BILLING L1</v>
      </c>
      <c r="D77" s="2" t="str">
        <f>IFERROR(__xludf.DUMMYFUNCTION("""COMPUTED_VALUE"""),"SANDOVAL FARMERS ASSOCIATON")</f>
        <v>SANDOVAL FARMERS ASSOCIATON</v>
      </c>
      <c r="E77" s="2" t="str">
        <f>IFERROR(__xludf.DUMMYFUNCTION("""COMPUTED_VALUE"""),"Sandoval, Taytay, Palawan")</f>
        <v>Sandoval, Taytay, Palawan</v>
      </c>
      <c r="F77" s="2" t="str">
        <f>IFERROR(__xludf.DUMMYFUNCTION("""COMPUTED_VALUE"""),"Isagani L. Repe")</f>
        <v>Isagani L. Repe</v>
      </c>
      <c r="G77" s="2">
        <f>IFERROR(__xludf.DUMMYFUNCTION("""COMPUTED_VALUE"""),9.466248004E9)</f>
        <v>9466248004</v>
      </c>
      <c r="H77" s="2"/>
      <c r="I77" s="2"/>
      <c r="J77" s="2" t="str">
        <f>IFERROR(__xludf.DUMMYFUNCTION("""COMPUTED_VALUE"""),"- Toolbox
- GPS")</f>
        <v>- Toolbox
- GPS</v>
      </c>
      <c r="K77" s="2" t="str">
        <f>IFERROR(__xludf.DUMMYFUNCTION("""COMPUTED_VALUE"""),"RCEF 23-08-20 Rebidding")</f>
        <v>RCEF 23-08-20 Rebidding</v>
      </c>
      <c r="L77" s="2">
        <f>IFERROR(__xludf.DUMMYFUNCTION("""COMPUTED_VALUE"""),1.0)</f>
        <v>1</v>
      </c>
      <c r="M77" s="2" t="str">
        <f>IFERROR(__xludf.DUMMYFUNCTION("""COMPUTED_VALUE"""),"4B")</f>
        <v>4B</v>
      </c>
      <c r="N77" s="2" t="str">
        <f>IFERROR(__xludf.DUMMYFUNCTION("""COMPUTED_VALUE"""),"JAN.23,2024")</f>
        <v>JAN.23,2024</v>
      </c>
      <c r="O77" s="2" t="str">
        <f>IFERROR(__xludf.DUMMYFUNCTION("""COMPUTED_VALUE"""),"FEB.14,2024")</f>
        <v>FEB.14,2024</v>
      </c>
      <c r="P77" s="2">
        <f>IFERROR(__xludf.DUMMYFUNCTION("""COMPUTED_VALUE"""),17946.0)</f>
        <v>17946</v>
      </c>
      <c r="Q77" s="2" t="str">
        <f>IFERROR(__xludf.DUMMYFUNCTION("""COMPUTED_VALUE"""),"KMC 5825 APFPV0076")</f>
        <v>KMC 5825 APFPV0076</v>
      </c>
      <c r="R77" s="2" t="str">
        <f>IFERROR(__xludf.DUMMYFUNCTION("""COMPUTED_VALUE"""),"PTS 100060")</f>
        <v>PTS 100060</v>
      </c>
      <c r="S77" s="2" t="str">
        <f>IFERROR(__xludf.DUMMYFUNCTION("""COMPUTED_VALUE"""),"R-SERIES 130 PH")</f>
        <v>R-SERIES 130 PH</v>
      </c>
      <c r="T77" s="2" t="str">
        <f>IFERROR(__xludf.DUMMYFUNCTION("""COMPUTED_VALUE"""),"LSGW1750 RMP 2312052")</f>
        <v>LSGW1750 RMP 2312052</v>
      </c>
      <c r="U77" s="2" t="str">
        <f>IFERROR(__xludf.DUMMYFUNCTION("""COMPUTED_VALUE"""),"WDP40 RMP 2312081")</f>
        <v>WDP40 RMP 2312081</v>
      </c>
      <c r="V77" s="2" t="str">
        <f>IFERROR(__xludf.DUMMYFUNCTION("""COMPUTED_VALUE"""),"no load")</f>
        <v>no load</v>
      </c>
      <c r="W77" s="2" t="str">
        <f>IFERROR(__xludf.DUMMYFUNCTION("""COMPUTED_VALUE"""),"VL103D")</f>
        <v>VL103D</v>
      </c>
      <c r="X77" s="2">
        <f>IFERROR(__xludf.DUMMYFUNCTION("""COMPUTED_VALUE"""),8.69066060245306E14)</f>
        <v>869066060245306</v>
      </c>
      <c r="Y77" s="2">
        <f>IFERROR(__xludf.DUMMYFUNCTION("""COMPUTED_VALUE"""),9.086607649E9)</f>
        <v>9086607649</v>
      </c>
      <c r="Z77" s="3" t="str">
        <f>IFERROR(__xludf.DUMMYFUNCTION("""COMPUTED_VALUE"""),"0323250006122856")</f>
        <v>0323250006122856</v>
      </c>
      <c r="AA77" s="2"/>
      <c r="AB77" s="2" t="str">
        <f>IFERROR(__xludf.DUMMYFUNCTION("""COMPUTED_VALUE"""),"sandovaltaytay")</f>
        <v>sandovaltaytay</v>
      </c>
    </row>
    <row r="78">
      <c r="A78" s="2" t="str">
        <f>IFERROR(__xludf.DUMMYFUNCTION("""COMPUTED_VALUE"""),"TT00076")</f>
        <v>TT00076</v>
      </c>
      <c r="B78" s="2" t="str">
        <f>IFERROR(__xludf.DUMMYFUNCTION("""COMPUTED_VALUE"""),"Completed")</f>
        <v>Completed</v>
      </c>
      <c r="C78" s="2" t="str">
        <f>IFERROR(__xludf.DUMMYFUNCTION("""COMPUTED_VALUE"""),"FOR BILLING L1")</f>
        <v>FOR BILLING L1</v>
      </c>
      <c r="D78" s="2" t="str">
        <f>IFERROR(__xludf.DUMMYFUNCTION("""COMPUTED_VALUE"""),"TAYSAY MINAHAW FARMER IRRIGATORS ASSOCIATION, INC.")</f>
        <v>TAYSAY MINAHAW FARMER IRRIGATORS ASSOCIATION, INC.</v>
      </c>
      <c r="E78" s="2" t="str">
        <f>IFERROR(__xludf.DUMMYFUNCTION("""COMPUTED_VALUE"""),"Bono-Bono, Bataraza, Palawan")</f>
        <v>Bono-Bono, Bataraza, Palawan</v>
      </c>
      <c r="F78" s="2" t="str">
        <f>IFERROR(__xludf.DUMMYFUNCTION("""COMPUTED_VALUE"""),"Eddie N. Sagun")</f>
        <v>Eddie N. Sagun</v>
      </c>
      <c r="G78" s="2">
        <f>IFERROR(__xludf.DUMMYFUNCTION("""COMPUTED_VALUE"""),9.985315419E9)</f>
        <v>9985315419</v>
      </c>
      <c r="H78" s="2"/>
      <c r="I78" s="2"/>
      <c r="J78" s="2" t="str">
        <f>IFERROR(__xludf.DUMMYFUNCTION("""COMPUTED_VALUE"""),"- Toolbox
- GPS")</f>
        <v>- Toolbox
- GPS</v>
      </c>
      <c r="K78" s="2" t="str">
        <f>IFERROR(__xludf.DUMMYFUNCTION("""COMPUTED_VALUE"""),"RCEF 23-08-20 Rebidding")</f>
        <v>RCEF 23-08-20 Rebidding</v>
      </c>
      <c r="L78" s="2">
        <f>IFERROR(__xludf.DUMMYFUNCTION("""COMPUTED_VALUE"""),1.0)</f>
        <v>1</v>
      </c>
      <c r="M78" s="2" t="str">
        <f>IFERROR(__xludf.DUMMYFUNCTION("""COMPUTED_VALUE"""),"4B")</f>
        <v>4B</v>
      </c>
      <c r="N78" s="2" t="str">
        <f>IFERROR(__xludf.DUMMYFUNCTION("""COMPUTED_VALUE"""),"JAN.23,2024")</f>
        <v>JAN.23,2024</v>
      </c>
      <c r="O78" s="2" t="str">
        <f>IFERROR(__xludf.DUMMYFUNCTION("""COMPUTED_VALUE"""),"FEB.1,2024")</f>
        <v>FEB.1,2024</v>
      </c>
      <c r="P78" s="2">
        <f>IFERROR(__xludf.DUMMYFUNCTION("""COMPUTED_VALUE"""),17947.0)</f>
        <v>17947</v>
      </c>
      <c r="Q78" s="2" t="str">
        <f>IFERROR(__xludf.DUMMYFUNCTION("""COMPUTED_VALUE"""),"KKC 5825 ALPFPV0104")</f>
        <v>KKC 5825 ALPFPV0104</v>
      </c>
      <c r="R78" s="2" t="str">
        <f>IFERROR(__xludf.DUMMYFUNCTION("""COMPUTED_VALUE"""),"PTS 100072")</f>
        <v>PTS 100072</v>
      </c>
      <c r="S78" s="2" t="str">
        <f>IFERROR(__xludf.DUMMYFUNCTION("""COMPUTED_VALUE"""),"R-SERIES 146 PH")</f>
        <v>R-SERIES 146 PH</v>
      </c>
      <c r="T78" s="2" t="str">
        <f>IFERROR(__xludf.DUMMYFUNCTION("""COMPUTED_VALUE"""),"LSGW1750 RMP 2312063")</f>
        <v>LSGW1750 RMP 2312063</v>
      </c>
      <c r="U78" s="2" t="str">
        <f>IFERROR(__xludf.DUMMYFUNCTION("""COMPUTED_VALUE"""),"WDP40 RMP 2312086")</f>
        <v>WDP40 RMP 2312086</v>
      </c>
      <c r="V78" s="2" t="str">
        <f>IFERROR(__xludf.DUMMYFUNCTION("""COMPUTED_VALUE"""),"no load")</f>
        <v>no load</v>
      </c>
      <c r="W78" s="2" t="str">
        <f>IFERROR(__xludf.DUMMYFUNCTION("""COMPUTED_VALUE"""),"VL103D")</f>
        <v>VL103D</v>
      </c>
      <c r="X78" s="2">
        <f>IFERROR(__xludf.DUMMYFUNCTION("""COMPUTED_VALUE"""),8.69066060244705E14)</f>
        <v>869066060244705</v>
      </c>
      <c r="Y78" s="2">
        <f>IFERROR(__xludf.DUMMYFUNCTION("""COMPUTED_VALUE"""),9.081804171E9)</f>
        <v>9081804171</v>
      </c>
      <c r="Z78" s="3" t="str">
        <f>IFERROR(__xludf.DUMMYFUNCTION("""COMPUTED_VALUE"""),"0323250006122997")</f>
        <v>0323250006122997</v>
      </c>
      <c r="AA78" s="2"/>
      <c r="AB78" s="2" t="str">
        <f>IFERROR(__xludf.DUMMYFUNCTION("""COMPUTED_VALUE"""),"taysayminahawirrig")</f>
        <v>taysayminahawirrig</v>
      </c>
    </row>
    <row r="79">
      <c r="A79" s="2" t="str">
        <f>IFERROR(__xludf.DUMMYFUNCTION("""COMPUTED_VALUE"""),"TT00077")</f>
        <v>TT00077</v>
      </c>
      <c r="B79" s="2" t="str">
        <f>IFERROR(__xludf.DUMMYFUNCTION("""COMPUTED_VALUE"""),"Completed")</f>
        <v>Completed</v>
      </c>
      <c r="C79" s="2" t="str">
        <f>IFERROR(__xludf.DUMMYFUNCTION("""COMPUTED_VALUE"""),"FOR BILLING L1")</f>
        <v>FOR BILLING L1</v>
      </c>
      <c r="D79" s="2" t="str">
        <f>IFERROR(__xludf.DUMMYFUNCTION("""COMPUTED_VALUE"""),"CALASAGUEN DIVISION 4 RICE PRODUCER'S FARMERS ASSOCIATION")</f>
        <v>CALASAGUEN DIVISION 4 RICE PRODUCER'S FARMERS ASSOCIATION</v>
      </c>
      <c r="E79" s="2" t="str">
        <f>IFERROR(__xludf.DUMMYFUNCTION("""COMPUTED_VALUE"""),"Calasaguen, Brooke's Point, Palawan")</f>
        <v>Calasaguen, Brooke's Point, Palawan</v>
      </c>
      <c r="F79" s="2" t="str">
        <f>IFERROR(__xludf.DUMMYFUNCTION("""COMPUTED_VALUE"""),"Michael B. Buñag")</f>
        <v>Michael B. Buñag</v>
      </c>
      <c r="G79" s="2" t="str">
        <f>IFERROR(__xludf.DUMMYFUNCTION("""COMPUTED_VALUE"""),"0963-397-1345")</f>
        <v>0963-397-1345</v>
      </c>
      <c r="H79" s="2"/>
      <c r="I79" s="2"/>
      <c r="J79" s="2" t="str">
        <f>IFERROR(__xludf.DUMMYFUNCTION("""COMPUTED_VALUE"""),"- Toolbox
- GPS")</f>
        <v>- Toolbox
- GPS</v>
      </c>
      <c r="K79" s="2" t="str">
        <f>IFERROR(__xludf.DUMMYFUNCTION("""COMPUTED_VALUE"""),"RCEF 23-08-20 Rebidding")</f>
        <v>RCEF 23-08-20 Rebidding</v>
      </c>
      <c r="L79" s="2">
        <f>IFERROR(__xludf.DUMMYFUNCTION("""COMPUTED_VALUE"""),1.0)</f>
        <v>1</v>
      </c>
      <c r="M79" s="2" t="str">
        <f>IFERROR(__xludf.DUMMYFUNCTION("""COMPUTED_VALUE"""),"4B")</f>
        <v>4B</v>
      </c>
      <c r="N79" s="2" t="str">
        <f>IFERROR(__xludf.DUMMYFUNCTION("""COMPUTED_VALUE"""),"JAN.23,2024")</f>
        <v>JAN.23,2024</v>
      </c>
      <c r="O79" s="2" t="str">
        <f>IFERROR(__xludf.DUMMYFUNCTION("""COMPUTED_VALUE"""),"FEB.7,2024")</f>
        <v>FEB.7,2024</v>
      </c>
      <c r="P79" s="2">
        <f>IFERROR(__xludf.DUMMYFUNCTION("""COMPUTED_VALUE"""),17948.0)</f>
        <v>17948</v>
      </c>
      <c r="Q79" s="2" t="str">
        <f>IFERROR(__xludf.DUMMYFUNCTION("""COMPUTED_VALUE"""),"KMC 5825 ACPFPV0057")</f>
        <v>KMC 5825 ACPFPV0057</v>
      </c>
      <c r="R79" s="2" t="str">
        <f>IFERROR(__xludf.DUMMYFUNCTION("""COMPUTED_VALUE"""),"PTS 100139")</f>
        <v>PTS 100139</v>
      </c>
      <c r="S79" s="2" t="str">
        <f>IFERROR(__xludf.DUMMYFUNCTION("""COMPUTED_VALUE"""),"R-SERIES 117 PH")</f>
        <v>R-SERIES 117 PH</v>
      </c>
      <c r="T79" s="2" t="str">
        <f>IFERROR(__xludf.DUMMYFUNCTION("""COMPUTED_VALUE"""),"LSGW1750 RMP 2312068")</f>
        <v>LSGW1750 RMP 2312068</v>
      </c>
      <c r="U79" s="2" t="str">
        <f>IFERROR(__xludf.DUMMYFUNCTION("""COMPUTED_VALUE"""),"WDP40 RMP 2312073")</f>
        <v>WDP40 RMP 2312073</v>
      </c>
      <c r="V79" s="2" t="str">
        <f>IFERROR(__xludf.DUMMYFUNCTION("""COMPUTED_VALUE"""),"no load")</f>
        <v>no load</v>
      </c>
      <c r="W79" s="2" t="str">
        <f>IFERROR(__xludf.DUMMYFUNCTION("""COMPUTED_VALUE"""),"VL103D")</f>
        <v>VL103D</v>
      </c>
      <c r="X79" s="2">
        <f>IFERROR(__xludf.DUMMYFUNCTION("""COMPUTED_VALUE"""),8.69066060237626E14)</f>
        <v>869066060237626</v>
      </c>
      <c r="Y79" s="2">
        <f>IFERROR(__xludf.DUMMYFUNCTION("""COMPUTED_VALUE"""),9.087518015E9)</f>
        <v>9087518015</v>
      </c>
      <c r="Z79" s="3" t="str">
        <f>IFERROR(__xludf.DUMMYFUNCTION("""COMPUTED_VALUE"""),"0323250006122815")</f>
        <v>0323250006122815</v>
      </c>
      <c r="AA79" s="2"/>
      <c r="AB79" s="2" t="str">
        <f>IFERROR(__xludf.DUMMYFUNCTION("""COMPUTED_VALUE"""),"calasaguenfa")</f>
        <v>calasaguenfa</v>
      </c>
    </row>
    <row r="80">
      <c r="A80" s="2" t="str">
        <f>IFERROR(__xludf.DUMMYFUNCTION("""COMPUTED_VALUE"""),"TT00078")</f>
        <v>TT00078</v>
      </c>
      <c r="B80" s="2" t="str">
        <f>IFERROR(__xludf.DUMMYFUNCTION("""COMPUTED_VALUE"""),"Completed")</f>
        <v>Completed</v>
      </c>
      <c r="C80" s="2" t="str">
        <f>IFERROR(__xludf.DUMMYFUNCTION("""COMPUTED_VALUE"""),"FOR BILLING L1")</f>
        <v>FOR BILLING L1</v>
      </c>
      <c r="D80" s="2" t="str">
        <f>IFERROR(__xludf.DUMMYFUNCTION("""COMPUTED_VALUE"""),"MACAGUA FARMERS IRRIGATORS' ASSOCIATION INC.")</f>
        <v>MACAGUA FARMERS IRRIGATORS' ASSOCIATION INC.</v>
      </c>
      <c r="E80" s="2" t="str">
        <f>IFERROR(__xludf.DUMMYFUNCTION("""COMPUTED_VALUE"""),"Macagua, Brooke's Point, Palawan")</f>
        <v>Macagua, Brooke's Point, Palawan</v>
      </c>
      <c r="F80" s="2"/>
      <c r="G80" s="2"/>
      <c r="H80" s="2"/>
      <c r="I80" s="2"/>
      <c r="J80" s="2" t="str">
        <f>IFERROR(__xludf.DUMMYFUNCTION("""COMPUTED_VALUE"""),"- Toolbox
- GPS")</f>
        <v>- Toolbox
- GPS</v>
      </c>
      <c r="K80" s="2" t="str">
        <f>IFERROR(__xludf.DUMMYFUNCTION("""COMPUTED_VALUE"""),"RCEF 23-08-20 Rebidding")</f>
        <v>RCEF 23-08-20 Rebidding</v>
      </c>
      <c r="L80" s="2">
        <f>IFERROR(__xludf.DUMMYFUNCTION("""COMPUTED_VALUE"""),1.0)</f>
        <v>1</v>
      </c>
      <c r="M80" s="2" t="str">
        <f>IFERROR(__xludf.DUMMYFUNCTION("""COMPUTED_VALUE"""),"4B")</f>
        <v>4B</v>
      </c>
      <c r="N80" s="2" t="str">
        <f>IFERROR(__xludf.DUMMYFUNCTION("""COMPUTED_VALUE"""),"JAN.23,2024")</f>
        <v>JAN.23,2024</v>
      </c>
      <c r="O80" s="2" t="str">
        <f>IFERROR(__xludf.DUMMYFUNCTION("""COMPUTED_VALUE"""),"FEB.7,2024")</f>
        <v>FEB.7,2024</v>
      </c>
      <c r="P80" s="2">
        <f>IFERROR(__xludf.DUMMYFUNCTION("""COMPUTED_VALUE"""),17949.0)</f>
        <v>17949</v>
      </c>
      <c r="Q80" s="2" t="str">
        <f>IFERROR(__xludf.DUMMYFUNCTION("""COMPUTED_VALUE"""),"KMC 5825 AHPFPV0072")</f>
        <v>KMC 5825 AHPFPV0072</v>
      </c>
      <c r="R80" s="2" t="str">
        <f>IFERROR(__xludf.DUMMYFUNCTION("""COMPUTED_VALUE"""),"PTS 100084")</f>
        <v>PTS 100084</v>
      </c>
      <c r="S80" s="2" t="str">
        <f>IFERROR(__xludf.DUMMYFUNCTION("""COMPUTED_VALUE"""),"R-SERIES 120 PH ")</f>
        <v>R-SERIES 120 PH </v>
      </c>
      <c r="T80" s="2" t="str">
        <f>IFERROR(__xludf.DUMMYFUNCTION("""COMPUTED_VALUE"""),"LSGW1750 RMP 2312048")</f>
        <v>LSGW1750 RMP 2312048</v>
      </c>
      <c r="U80" s="2" t="str">
        <f>IFERROR(__xludf.DUMMYFUNCTION("""COMPUTED_VALUE"""),"WDP40 RMP 2312088")</f>
        <v>WDP40 RMP 2312088</v>
      </c>
      <c r="V80" s="2" t="str">
        <f>IFERROR(__xludf.DUMMYFUNCTION("""COMPUTED_VALUE"""),"no load")</f>
        <v>no load</v>
      </c>
      <c r="W80" s="2" t="str">
        <f>IFERROR(__xludf.DUMMYFUNCTION("""COMPUTED_VALUE"""),"VL103D")</f>
        <v>VL103D</v>
      </c>
      <c r="X80" s="2">
        <f>IFERROR(__xludf.DUMMYFUNCTION("""COMPUTED_VALUE"""),8.69066060245926E14)</f>
        <v>869066060245926</v>
      </c>
      <c r="Y80" s="2">
        <f>IFERROR(__xludf.DUMMYFUNCTION("""COMPUTED_VALUE"""),9.08352146E9)</f>
        <v>9083521460</v>
      </c>
      <c r="Z80" s="3" t="str">
        <f>IFERROR(__xludf.DUMMYFUNCTION("""COMPUTED_VALUE"""),"0323250006122823")</f>
        <v>0323250006122823</v>
      </c>
      <c r="AA80" s="2"/>
      <c r="AB80" s="2" t="str">
        <f>IFERROR(__xludf.DUMMYFUNCTION("""COMPUTED_VALUE"""),"macaguairrig")</f>
        <v>macaguairrig</v>
      </c>
    </row>
    <row r="81">
      <c r="A81" s="2" t="str">
        <f>IFERROR(__xludf.DUMMYFUNCTION("""COMPUTED_VALUE"""),"TT00079")</f>
        <v>TT00079</v>
      </c>
      <c r="B81" s="2" t="str">
        <f>IFERROR(__xludf.DUMMYFUNCTION("""COMPUTED_VALUE"""),"Completed")</f>
        <v>Completed</v>
      </c>
      <c r="C81" s="2" t="str">
        <f>IFERROR(__xludf.DUMMYFUNCTION("""COMPUTED_VALUE"""),"FOR BILLING L1")</f>
        <v>FOR BILLING L1</v>
      </c>
      <c r="D81" s="2" t="str">
        <f>IFERROR(__xludf.DUMMYFUNCTION("""COMPUTED_VALUE"""),"MALIGAYA MAY PAG-ASA IRRIGATORS ASSOCIATION INC.")</f>
        <v>MALIGAYA MAY PAG-ASA IRRIGATORS ASSOCIATION INC.</v>
      </c>
      <c r="E81" s="2" t="str">
        <f>IFERROR(__xludf.DUMMYFUNCTION("""COMPUTED_VALUE"""),"Sandoval, Narra, Palawan")</f>
        <v>Sandoval, Narra, Palawan</v>
      </c>
      <c r="F81" s="2" t="str">
        <f>IFERROR(__xludf.DUMMYFUNCTION("""COMPUTED_VALUE"""),"Ruel B. Padilla")</f>
        <v>Ruel B. Padilla</v>
      </c>
      <c r="G81" s="2" t="str">
        <f>IFERROR(__xludf.DUMMYFUNCTION("""COMPUTED_VALUE"""),"0938 555 4077")</f>
        <v>0938 555 4077</v>
      </c>
      <c r="H81" s="2"/>
      <c r="I81" s="2"/>
      <c r="J81" s="2" t="str">
        <f>IFERROR(__xludf.DUMMYFUNCTION("""COMPUTED_VALUE"""),"- Toolbox
- GPS")</f>
        <v>- Toolbox
- GPS</v>
      </c>
      <c r="K81" s="2" t="str">
        <f>IFERROR(__xludf.DUMMYFUNCTION("""COMPUTED_VALUE"""),"RCEF 23-08-20 Rebidding")</f>
        <v>RCEF 23-08-20 Rebidding</v>
      </c>
      <c r="L81" s="2">
        <f>IFERROR(__xludf.DUMMYFUNCTION("""COMPUTED_VALUE"""),1.0)</f>
        <v>1</v>
      </c>
      <c r="M81" s="2" t="str">
        <f>IFERROR(__xludf.DUMMYFUNCTION("""COMPUTED_VALUE"""),"4B")</f>
        <v>4B</v>
      </c>
      <c r="N81" s="2" t="str">
        <f>IFERROR(__xludf.DUMMYFUNCTION("""COMPUTED_VALUE"""),"JAN.23,2024")</f>
        <v>JAN.23,2024</v>
      </c>
      <c r="O81" s="2" t="str">
        <f>IFERROR(__xludf.DUMMYFUNCTION("""COMPUTED_VALUE"""),"FEB.7,2024")</f>
        <v>FEB.7,2024</v>
      </c>
      <c r="P81" s="2">
        <f>IFERROR(__xludf.DUMMYFUNCTION("""COMPUTED_VALUE"""),17950.0)</f>
        <v>17950</v>
      </c>
      <c r="Q81" s="2" t="str">
        <f>IFERROR(__xludf.DUMMYFUNCTION("""COMPUTED_VALUE"""),"KMC 5825 APPFPV0109")</f>
        <v>KMC 5825 APPFPV0109</v>
      </c>
      <c r="R81" s="2" t="str">
        <f>IFERROR(__xludf.DUMMYFUNCTION("""COMPUTED_VALUE"""),"PTS 100048")</f>
        <v>PTS 100048</v>
      </c>
      <c r="S81" s="2" t="str">
        <f>IFERROR(__xludf.DUMMYFUNCTION("""COMPUTED_VALUE"""),"R-SERIES 143 PH")</f>
        <v>R-SERIES 143 PH</v>
      </c>
      <c r="T81" s="2" t="str">
        <f>IFERROR(__xludf.DUMMYFUNCTION("""COMPUTED_VALUE"""),"LSGW1750 RMP 2312062")</f>
        <v>LSGW1750 RMP 2312062</v>
      </c>
      <c r="U81" s="2" t="str">
        <f>IFERROR(__xludf.DUMMYFUNCTION("""COMPUTED_VALUE"""),"WDP40 RMP 2312096")</f>
        <v>WDP40 RMP 2312096</v>
      </c>
      <c r="V81" s="2" t="str">
        <f>IFERROR(__xludf.DUMMYFUNCTION("""COMPUTED_VALUE"""),"no load")</f>
        <v>no load</v>
      </c>
      <c r="W81" s="2" t="str">
        <f>IFERROR(__xludf.DUMMYFUNCTION("""COMPUTED_VALUE"""),"VL103D")</f>
        <v>VL103D</v>
      </c>
      <c r="X81" s="2">
        <f>IFERROR(__xludf.DUMMYFUNCTION("""COMPUTED_VALUE"""),8.69066060240968E14)</f>
        <v>869066060240968</v>
      </c>
      <c r="Y81" s="2">
        <f>IFERROR(__xludf.DUMMYFUNCTION("""COMPUTED_VALUE"""),9.082503855E9)</f>
        <v>9082503855</v>
      </c>
      <c r="Z81" s="3" t="str">
        <f>IFERROR(__xludf.DUMMYFUNCTION("""COMPUTED_VALUE"""),"0323250006122807")</f>
        <v>0323250006122807</v>
      </c>
      <c r="AA81" s="2"/>
      <c r="AB81" s="2" t="str">
        <f>IFERROR(__xludf.DUMMYFUNCTION("""COMPUTED_VALUE"""),"maligayamaypagasa")</f>
        <v>maligayamaypagasa</v>
      </c>
    </row>
    <row r="82">
      <c r="A82" s="2" t="str">
        <f>IFERROR(__xludf.DUMMYFUNCTION("""COMPUTED_VALUE"""),"TT00080")</f>
        <v>TT00080</v>
      </c>
      <c r="B82" s="2" t="str">
        <f>IFERROR(__xludf.DUMMYFUNCTION("""COMPUTED_VALUE"""),"Completed")</f>
        <v>Completed</v>
      </c>
      <c r="C82" s="2" t="str">
        <f>IFERROR(__xludf.DUMMYFUNCTION("""COMPUTED_VALUE"""),"FOR BILLING L1")</f>
        <v>FOR BILLING L1</v>
      </c>
      <c r="D82" s="2" t="str">
        <f>IFERROR(__xludf.DUMMYFUNCTION("""COMPUTED_VALUE"""),"MALATGAO QUEZON FARMERS IRRIGATORS' ASSOCIATION, INC.")</f>
        <v>MALATGAO QUEZON FARMERS IRRIGATORS' ASSOCIATION, INC.</v>
      </c>
      <c r="E82" s="2" t="str">
        <f>IFERROR(__xludf.DUMMYFUNCTION("""COMPUTED_VALUE"""),"Malatgao, Quezon, Palawan")</f>
        <v>Malatgao, Quezon, Palawan</v>
      </c>
      <c r="F82" s="2" t="str">
        <f>IFERROR(__xludf.DUMMYFUNCTION("""COMPUTED_VALUE"""),"Adelan M. Peñalosa")</f>
        <v>Adelan M. Peñalosa</v>
      </c>
      <c r="G82" s="2">
        <f>IFERROR(__xludf.DUMMYFUNCTION("""COMPUTED_VALUE"""),9.978206354E9)</f>
        <v>9978206354</v>
      </c>
      <c r="H82" s="2"/>
      <c r="I82" s="2"/>
      <c r="J82" s="2" t="str">
        <f>IFERROR(__xludf.DUMMYFUNCTION("""COMPUTED_VALUE"""),"- Toolbox
- GPS")</f>
        <v>- Toolbox
- GPS</v>
      </c>
      <c r="K82" s="2" t="str">
        <f>IFERROR(__xludf.DUMMYFUNCTION("""COMPUTED_VALUE"""),"RCEF 23-08-20 Rebidding")</f>
        <v>RCEF 23-08-20 Rebidding</v>
      </c>
      <c r="L82" s="2">
        <f>IFERROR(__xludf.DUMMYFUNCTION("""COMPUTED_VALUE"""),1.0)</f>
        <v>1</v>
      </c>
      <c r="M82" s="2" t="str">
        <f>IFERROR(__xludf.DUMMYFUNCTION("""COMPUTED_VALUE"""),"4B")</f>
        <v>4B</v>
      </c>
      <c r="N82" s="2" t="str">
        <f>IFERROR(__xludf.DUMMYFUNCTION("""COMPUTED_VALUE"""),"JAN.23,2024")</f>
        <v>JAN.23,2024</v>
      </c>
      <c r="O82" s="2" t="str">
        <f>IFERROR(__xludf.DUMMYFUNCTION("""COMPUTED_VALUE"""),"FEB.7,2024")</f>
        <v>FEB.7,2024</v>
      </c>
      <c r="P82" s="2">
        <f>IFERROR(__xludf.DUMMYFUNCTION("""COMPUTED_VALUE"""),17951.0)</f>
        <v>17951</v>
      </c>
      <c r="Q82" s="2" t="str">
        <f>IFERROR(__xludf.DUMMYFUNCTION("""COMPUTED_VALUE"""),"KMC 5825 ACPFPV0115")</f>
        <v>KMC 5825 ACPFPV0115</v>
      </c>
      <c r="R82" s="2" t="str">
        <f>IFERROR(__xludf.DUMMYFUNCTION("""COMPUTED_VALUE"""),"PTS 100095")</f>
        <v>PTS 100095</v>
      </c>
      <c r="S82" s="2" t="str">
        <f>IFERROR(__xludf.DUMMYFUNCTION("""COMPUTED_VALUE"""),"R-SERIES 108 PH")</f>
        <v>R-SERIES 108 PH</v>
      </c>
      <c r="T82" s="2" t="str">
        <f>IFERROR(__xludf.DUMMYFUNCTION("""COMPUTED_VALUE"""),"LSGW1750 RMP 2312055")</f>
        <v>LSGW1750 RMP 2312055</v>
      </c>
      <c r="U82" s="2" t="str">
        <f>IFERROR(__xludf.DUMMYFUNCTION("""COMPUTED_VALUE"""),"WDP40 RMP 2312090")</f>
        <v>WDP40 RMP 2312090</v>
      </c>
      <c r="V82" s="2" t="str">
        <f>IFERROR(__xludf.DUMMYFUNCTION("""COMPUTED_VALUE"""),"no load")</f>
        <v>no load</v>
      </c>
      <c r="W82" s="2" t="str">
        <f>IFERROR(__xludf.DUMMYFUNCTION("""COMPUTED_VALUE"""),"VL103D")</f>
        <v>VL103D</v>
      </c>
      <c r="X82" s="2">
        <f>IFERROR(__xludf.DUMMYFUNCTION("""COMPUTED_VALUE"""),8.69066060245827E14)</f>
        <v>869066060245827</v>
      </c>
      <c r="Y82" s="2">
        <f>IFERROR(__xludf.DUMMYFUNCTION("""COMPUTED_VALUE"""),9.086606743E9)</f>
        <v>9086606743</v>
      </c>
      <c r="Z82" s="3" t="str">
        <f>IFERROR(__xludf.DUMMYFUNCTION("""COMPUTED_VALUE"""),"0323250006122930")</f>
        <v>0323250006122930</v>
      </c>
      <c r="AA82" s="2"/>
      <c r="AB82" s="2" t="str">
        <f>IFERROR(__xludf.DUMMYFUNCTION("""COMPUTED_VALUE"""),"malatgaoirrig")</f>
        <v>malatgaoirrig</v>
      </c>
    </row>
    <row r="83">
      <c r="A83" s="2" t="str">
        <f>IFERROR(__xludf.DUMMYFUNCTION("""COMPUTED_VALUE"""),"TT00081")</f>
        <v>TT00081</v>
      </c>
      <c r="B83" s="2" t="str">
        <f>IFERROR(__xludf.DUMMYFUNCTION("""COMPUTED_VALUE"""),"Completed")</f>
        <v>Completed</v>
      </c>
      <c r="C83" s="2" t="str">
        <f>IFERROR(__xludf.DUMMYFUNCTION("""COMPUTED_VALUE"""),"FOR BILLING L1")</f>
        <v>FOR BILLING L1</v>
      </c>
      <c r="D83" s="2" t="str">
        <f>IFERROR(__xludf.DUMMYFUNCTION("""COMPUTED_VALUE"""),"SOWANGAN FARMERS IRRIGATORS ' ASSOCIATION INC.")</f>
        <v>SOWANGAN FARMERS IRRIGATORS ' ASSOCIATION INC.</v>
      </c>
      <c r="E83" s="2" t="str">
        <f>IFERROR(__xludf.DUMMYFUNCTION("""COMPUTED_VALUE"""),"Sowangan, Quezon, Palawan")</f>
        <v>Sowangan, Quezon, Palawan</v>
      </c>
      <c r="F83" s="2" t="str">
        <f>IFERROR(__xludf.DUMMYFUNCTION("""COMPUTED_VALUE"""),"Danilo M. Cezar")</f>
        <v>Danilo M. Cezar</v>
      </c>
      <c r="G83" s="2" t="str">
        <f>IFERROR(__xludf.DUMMYFUNCTION("""COMPUTED_VALUE"""),"0910 242 6209/ 0912 225 2230")</f>
        <v>0910 242 6209/ 0912 225 2230</v>
      </c>
      <c r="H83" s="2"/>
      <c r="I83" s="2"/>
      <c r="J83" s="2" t="str">
        <f>IFERROR(__xludf.DUMMYFUNCTION("""COMPUTED_VALUE"""),"- Toolbox
- GPS")</f>
        <v>- Toolbox
- GPS</v>
      </c>
      <c r="K83" s="2" t="str">
        <f>IFERROR(__xludf.DUMMYFUNCTION("""COMPUTED_VALUE"""),"RCEF 23-08-20 Rebidding")</f>
        <v>RCEF 23-08-20 Rebidding</v>
      </c>
      <c r="L83" s="2">
        <f>IFERROR(__xludf.DUMMYFUNCTION("""COMPUTED_VALUE"""),1.0)</f>
        <v>1</v>
      </c>
      <c r="M83" s="2" t="str">
        <f>IFERROR(__xludf.DUMMYFUNCTION("""COMPUTED_VALUE"""),"4B")</f>
        <v>4B</v>
      </c>
      <c r="N83" s="2" t="str">
        <f>IFERROR(__xludf.DUMMYFUNCTION("""COMPUTED_VALUE"""),"JAN.23,2024")</f>
        <v>JAN.23,2024</v>
      </c>
      <c r="O83" s="2" t="str">
        <f>IFERROR(__xludf.DUMMYFUNCTION("""COMPUTED_VALUE"""),"FEB.7,2024")</f>
        <v>FEB.7,2024</v>
      </c>
      <c r="P83" s="2">
        <f>IFERROR(__xludf.DUMMYFUNCTION("""COMPUTED_VALUE"""),17952.0)</f>
        <v>17952</v>
      </c>
      <c r="Q83" s="2" t="str">
        <f>IFERROR(__xludf.DUMMYFUNCTION("""COMPUTED_VALUE"""),"KMC 5825 AJPFPV0114")</f>
        <v>KMC 5825 AJPFPV0114</v>
      </c>
      <c r="R83" s="2" t="str">
        <f>IFERROR(__xludf.DUMMYFUNCTION("""COMPUTED_VALUE"""),"PTS 100094")</f>
        <v>PTS 100094</v>
      </c>
      <c r="S83" s="2" t="str">
        <f>IFERROR(__xludf.DUMMYFUNCTION("""COMPUTED_VALUE"""),"R-SERIES 119 PH")</f>
        <v>R-SERIES 119 PH</v>
      </c>
      <c r="T83" s="2" t="str">
        <f>IFERROR(__xludf.DUMMYFUNCTION("""COMPUTED_VALUE"""),"LSGW1750 RMP 2312077")</f>
        <v>LSGW1750 RMP 2312077</v>
      </c>
      <c r="U83" s="2" t="str">
        <f>IFERROR(__xludf.DUMMYFUNCTION("""COMPUTED_VALUE"""),"WDP40 RMP 2312095")</f>
        <v>WDP40 RMP 2312095</v>
      </c>
      <c r="V83" s="2" t="str">
        <f>IFERROR(__xludf.DUMMYFUNCTION("""COMPUTED_VALUE"""),"no load")</f>
        <v>no load</v>
      </c>
      <c r="W83" s="2" t="str">
        <f>IFERROR(__xludf.DUMMYFUNCTION("""COMPUTED_VALUE"""),"VL103D")</f>
        <v>VL103D</v>
      </c>
      <c r="X83" s="2">
        <f>IFERROR(__xludf.DUMMYFUNCTION("""COMPUTED_VALUE"""),8.69066060240992E14)</f>
        <v>869066060240992</v>
      </c>
      <c r="Y83" s="2">
        <f>IFERROR(__xludf.DUMMYFUNCTION("""COMPUTED_VALUE"""),9.084609708E9)</f>
        <v>9084609708</v>
      </c>
      <c r="Z83" s="3" t="str">
        <f>IFERROR(__xludf.DUMMYFUNCTION("""COMPUTED_VALUE"""),"0323250006122922")</f>
        <v>0323250006122922</v>
      </c>
      <c r="AA83" s="2"/>
      <c r="AB83" s="2" t="str">
        <f>IFERROR(__xludf.DUMMYFUNCTION("""COMPUTED_VALUE"""),"sowanganirrig")</f>
        <v>sowanganirrig</v>
      </c>
    </row>
    <row r="84">
      <c r="A84" s="2" t="str">
        <f>IFERROR(__xludf.DUMMYFUNCTION("""COMPUTED_VALUE"""),"TT00082")</f>
        <v>TT00082</v>
      </c>
      <c r="B84" s="2" t="str">
        <f>IFERROR(__xludf.DUMMYFUNCTION("""COMPUTED_VALUE"""),"Completed")</f>
        <v>Completed</v>
      </c>
      <c r="C84" s="2" t="str">
        <f>IFERROR(__xludf.DUMMYFUNCTION("""COMPUTED_VALUE"""),"FOR BILLING L1")</f>
        <v>FOR BILLING L1</v>
      </c>
      <c r="D84" s="2" t="str">
        <f>IFERROR(__xludf.DUMMYFUNCTION("""COMPUTED_VALUE"""),"SICUD FARMERS ASSOCIATION")</f>
        <v>SICUD FARMERS ASSOCIATION</v>
      </c>
      <c r="E84" s="2" t="str">
        <f>IFERROR(__xludf.DUMMYFUNCTION("""COMPUTED_VALUE"""),"Candawaga, Rizal, Palawan")</f>
        <v>Candawaga, Rizal, Palawan</v>
      </c>
      <c r="F84" s="2" t="str">
        <f>IFERROR(__xludf.DUMMYFUNCTION("""COMPUTED_VALUE"""),"Rodrigo C. Quiocson")</f>
        <v>Rodrigo C. Quiocson</v>
      </c>
      <c r="G84" s="2" t="str">
        <f>IFERROR(__xludf.DUMMYFUNCTION("""COMPUTED_VALUE"""),"0975 202 7209")</f>
        <v>0975 202 7209</v>
      </c>
      <c r="H84" s="2"/>
      <c r="I84" s="2"/>
      <c r="J84" s="2" t="str">
        <f>IFERROR(__xludf.DUMMYFUNCTION("""COMPUTED_VALUE"""),"- Toolbox
- GPS")</f>
        <v>- Toolbox
- GPS</v>
      </c>
      <c r="K84" s="2" t="str">
        <f>IFERROR(__xludf.DUMMYFUNCTION("""COMPUTED_VALUE"""),"RCEF 23-08-20 Rebidding")</f>
        <v>RCEF 23-08-20 Rebidding</v>
      </c>
      <c r="L84" s="2">
        <f>IFERROR(__xludf.DUMMYFUNCTION("""COMPUTED_VALUE"""),1.0)</f>
        <v>1</v>
      </c>
      <c r="M84" s="2" t="str">
        <f>IFERROR(__xludf.DUMMYFUNCTION("""COMPUTED_VALUE"""),"4B")</f>
        <v>4B</v>
      </c>
      <c r="N84" s="2" t="str">
        <f>IFERROR(__xludf.DUMMYFUNCTION("""COMPUTED_VALUE"""),"JAN.23,2024")</f>
        <v>JAN.23,2024</v>
      </c>
      <c r="O84" s="2" t="str">
        <f>IFERROR(__xludf.DUMMYFUNCTION("""COMPUTED_VALUE"""),"FEB.7,2024")</f>
        <v>FEB.7,2024</v>
      </c>
      <c r="P84" s="2">
        <f>IFERROR(__xludf.DUMMYFUNCTION("""COMPUTED_VALUE"""),17953.0)</f>
        <v>17953</v>
      </c>
      <c r="Q84" s="2" t="str">
        <f>IFERROR(__xludf.DUMMYFUNCTION("""COMPUTED_VALUE"""),"KMC 5825 AHPFPV0105")</f>
        <v>KMC 5825 AHPFPV0105</v>
      </c>
      <c r="R84" s="2" t="str">
        <f>IFERROR(__xludf.DUMMYFUNCTION("""COMPUTED_VALUE"""),"PTS 100073")</f>
        <v>PTS 100073</v>
      </c>
      <c r="S84" s="2" t="str">
        <f>IFERROR(__xludf.DUMMYFUNCTION("""COMPUTED_VALUE"""),"R-SERIES 107 PH")</f>
        <v>R-SERIES 107 PH</v>
      </c>
      <c r="T84" s="2" t="str">
        <f>IFERROR(__xludf.DUMMYFUNCTION("""COMPUTED_VALUE"""),"LSGW1750 RMP 2312090")</f>
        <v>LSGW1750 RMP 2312090</v>
      </c>
      <c r="U84" s="2" t="str">
        <f>IFERROR(__xludf.DUMMYFUNCTION("""COMPUTED_VALUE"""),"WDP40 RMP 2312100")</f>
        <v>WDP40 RMP 2312100</v>
      </c>
      <c r="V84" s="2" t="str">
        <f>IFERROR(__xludf.DUMMYFUNCTION("""COMPUTED_VALUE"""),"no load")</f>
        <v>no load</v>
      </c>
      <c r="W84" s="2" t="str">
        <f>IFERROR(__xludf.DUMMYFUNCTION("""COMPUTED_VALUE"""),"VL103D")</f>
        <v>VL103D</v>
      </c>
      <c r="X84" s="2">
        <f>IFERROR(__xludf.DUMMYFUNCTION("""COMPUTED_VALUE"""),8.69066060237089E14)</f>
        <v>869066060237089</v>
      </c>
      <c r="Y84" s="2">
        <f>IFERROR(__xludf.DUMMYFUNCTION("""COMPUTED_VALUE"""),9.08544271E9)</f>
        <v>9085442710</v>
      </c>
      <c r="Z84" s="3" t="str">
        <f>IFERROR(__xludf.DUMMYFUNCTION("""COMPUTED_VALUE"""),"0323250006122914")</f>
        <v>0323250006122914</v>
      </c>
      <c r="AA84" s="2"/>
      <c r="AB84" s="2" t="str">
        <f>IFERROR(__xludf.DUMMYFUNCTION("""COMPUTED_VALUE"""),"sicudfa")</f>
        <v>sicudfa</v>
      </c>
    </row>
    <row r="85">
      <c r="A85" s="2" t="str">
        <f>IFERROR(__xludf.DUMMYFUNCTION("""COMPUTED_VALUE"""),"TT00083")</f>
        <v>TT00083</v>
      </c>
      <c r="B85" s="2" t="str">
        <f>IFERROR(__xludf.DUMMYFUNCTION("""COMPUTED_VALUE"""),"Completed")</f>
        <v>Completed</v>
      </c>
      <c r="C85" s="2" t="str">
        <f>IFERROR(__xludf.DUMMYFUNCTION("""COMPUTED_VALUE"""),"FOR BILLING L1")</f>
        <v>FOR BILLING L1</v>
      </c>
      <c r="D85" s="2" t="str">
        <f>IFERROR(__xludf.DUMMYFUNCTION("""COMPUTED_VALUE"""),"TAGLOP BULIKAWA FARMERS ASSOCIATION")</f>
        <v>TAGLOP BULIKAWA FARMERS ASSOCIATION</v>
      </c>
      <c r="E85" s="2" t="str">
        <f>IFERROR(__xludf.DUMMYFUNCTION("""COMPUTED_VALUE"""),"Canipaan, Rizal, Palawan")</f>
        <v>Canipaan, Rizal, Palawan</v>
      </c>
      <c r="F85" s="2" t="str">
        <f>IFERROR(__xludf.DUMMYFUNCTION("""COMPUTED_VALUE"""),"Elmer C. Abes")</f>
        <v>Elmer C. Abes</v>
      </c>
      <c r="G85" s="2" t="str">
        <f>IFERROR(__xludf.DUMMYFUNCTION("""COMPUTED_VALUE"""),"0965 355 1181 (Rey Blando)")</f>
        <v>0965 355 1181 (Rey Blando)</v>
      </c>
      <c r="H85" s="2"/>
      <c r="I85" s="2"/>
      <c r="J85" s="2" t="str">
        <f>IFERROR(__xludf.DUMMYFUNCTION("""COMPUTED_VALUE"""),"- Toolbox
- GPS")</f>
        <v>- Toolbox
- GPS</v>
      </c>
      <c r="K85" s="2" t="str">
        <f>IFERROR(__xludf.DUMMYFUNCTION("""COMPUTED_VALUE"""),"RCEF 23-08-20 Rebidding")</f>
        <v>RCEF 23-08-20 Rebidding</v>
      </c>
      <c r="L85" s="2">
        <f>IFERROR(__xludf.DUMMYFUNCTION("""COMPUTED_VALUE"""),1.0)</f>
        <v>1</v>
      </c>
      <c r="M85" s="2" t="str">
        <f>IFERROR(__xludf.DUMMYFUNCTION("""COMPUTED_VALUE"""),"4B")</f>
        <v>4B</v>
      </c>
      <c r="N85" s="2" t="str">
        <f>IFERROR(__xludf.DUMMYFUNCTION("""COMPUTED_VALUE"""),"JAN.23,2024")</f>
        <v>JAN.23,2024</v>
      </c>
      <c r="O85" s="2" t="str">
        <f>IFERROR(__xludf.DUMMYFUNCTION("""COMPUTED_VALUE"""),"FEB.13,2024")</f>
        <v>FEB.13,2024</v>
      </c>
      <c r="P85" s="2">
        <f>IFERROR(__xludf.DUMMYFUNCTION("""COMPUTED_VALUE"""),17954.0)</f>
        <v>17954</v>
      </c>
      <c r="Q85" s="2" t="str">
        <f>IFERROR(__xludf.DUMMYFUNCTION("""COMPUTED_VALUE"""),"KMC 5825 AAPFPV0148")</f>
        <v>KMC 5825 AAPFPV0148</v>
      </c>
      <c r="R85" s="2" t="str">
        <f>IFERROR(__xludf.DUMMYFUNCTION("""COMPUTED_VALUE"""),"PTS 100113")</f>
        <v>PTS 100113</v>
      </c>
      <c r="S85" s="2" t="str">
        <f>IFERROR(__xludf.DUMMYFUNCTION("""COMPUTED_VALUE"""),"R-SERIES 139 PH")</f>
        <v>R-SERIES 139 PH</v>
      </c>
      <c r="T85" s="2" t="str">
        <f>IFERROR(__xludf.DUMMYFUNCTION("""COMPUTED_VALUE"""),"LSGW1750 RMP 2312066")</f>
        <v>LSGW1750 RMP 2312066</v>
      </c>
      <c r="U85" s="2" t="str">
        <f>IFERROR(__xludf.DUMMYFUNCTION("""COMPUTED_VALUE"""),"WDP40 RMP 2312092")</f>
        <v>WDP40 RMP 2312092</v>
      </c>
      <c r="V85" s="2" t="str">
        <f>IFERROR(__xludf.DUMMYFUNCTION("""COMPUTED_VALUE"""),"no signal in the area")</f>
        <v>no signal in the area</v>
      </c>
      <c r="W85" s="2" t="str">
        <f>IFERROR(__xludf.DUMMYFUNCTION("""COMPUTED_VALUE"""),"VL103D")</f>
        <v>VL103D</v>
      </c>
      <c r="X85" s="2">
        <f>IFERROR(__xludf.DUMMYFUNCTION("""COMPUTED_VALUE"""),8.69066060240455E14)</f>
        <v>869066060240455</v>
      </c>
      <c r="Y85" s="2">
        <f>IFERROR(__xludf.DUMMYFUNCTION("""COMPUTED_VALUE"""),9.081775261E9)</f>
        <v>9081775261</v>
      </c>
      <c r="Z85" s="3" t="str">
        <f>IFERROR(__xludf.DUMMYFUNCTION("""COMPUTED_VALUE"""),"0323250006122955")</f>
        <v>0323250006122955</v>
      </c>
      <c r="AA85" s="2"/>
      <c r="AB85" s="2" t="str">
        <f>IFERROR(__xludf.DUMMYFUNCTION("""COMPUTED_VALUE"""),"taglopbulikawafa")</f>
        <v>taglopbulikawafa</v>
      </c>
    </row>
    <row r="86">
      <c r="A86" s="2" t="str">
        <f>IFERROR(__xludf.DUMMYFUNCTION("""COMPUTED_VALUE"""),"TT00084")</f>
        <v>TT00084</v>
      </c>
      <c r="B86" s="2" t="str">
        <f>IFERROR(__xludf.DUMMYFUNCTION("""COMPUTED_VALUE"""),"Completed")</f>
        <v>Completed</v>
      </c>
      <c r="C86" s="2" t="str">
        <f>IFERROR(__xludf.DUMMYFUNCTION("""COMPUTED_VALUE"""),"FOR BILLING L1")</f>
        <v>FOR BILLING L1</v>
      </c>
      <c r="D86" s="2" t="str">
        <f>IFERROR(__xludf.DUMMYFUNCTION("""COMPUTED_VALUE"""),"CABAYUGAN FARMERS ASSOCIATION")</f>
        <v>CABAYUGAN FARMERS ASSOCIATION</v>
      </c>
      <c r="E86" s="2" t="str">
        <f>IFERROR(__xludf.DUMMYFUNCTION("""COMPUTED_VALUE"""),"Cabayugan. Puerto Princesa City, Palawan")</f>
        <v>Cabayugan. Puerto Princesa City, Palawan</v>
      </c>
      <c r="F86" s="2" t="str">
        <f>IFERROR(__xludf.DUMMYFUNCTION("""COMPUTED_VALUE"""),"Louie Joy A. Aungon")</f>
        <v>Louie Joy A. Aungon</v>
      </c>
      <c r="G86" s="2" t="str">
        <f>IFERROR(__xludf.DUMMYFUNCTION("""COMPUTED_VALUE"""),"0905 096 0839")</f>
        <v>0905 096 0839</v>
      </c>
      <c r="H86" s="2"/>
      <c r="I86" s="2"/>
      <c r="J86" s="2" t="str">
        <f>IFERROR(__xludf.DUMMYFUNCTION("""COMPUTED_VALUE"""),"- Toolbox
- GPS")</f>
        <v>- Toolbox
- GPS</v>
      </c>
      <c r="K86" s="2" t="str">
        <f>IFERROR(__xludf.DUMMYFUNCTION("""COMPUTED_VALUE"""),"RCEF 23-08-20 Rebidding")</f>
        <v>RCEF 23-08-20 Rebidding</v>
      </c>
      <c r="L86" s="2">
        <f>IFERROR(__xludf.DUMMYFUNCTION("""COMPUTED_VALUE"""),1.0)</f>
        <v>1</v>
      </c>
      <c r="M86" s="2" t="str">
        <f>IFERROR(__xludf.DUMMYFUNCTION("""COMPUTED_VALUE"""),"4B")</f>
        <v>4B</v>
      </c>
      <c r="N86" s="2" t="str">
        <f>IFERROR(__xludf.DUMMYFUNCTION("""COMPUTED_VALUE"""),"JAN.23,2024")</f>
        <v>JAN.23,2024</v>
      </c>
      <c r="O86" s="2" t="str">
        <f>IFERROR(__xludf.DUMMYFUNCTION("""COMPUTED_VALUE"""),"FEB.1,2024")</f>
        <v>FEB.1,2024</v>
      </c>
      <c r="P86" s="2">
        <f>IFERROR(__xludf.DUMMYFUNCTION("""COMPUTED_VALUE"""),17955.0)</f>
        <v>17955</v>
      </c>
      <c r="Q86" s="2" t="str">
        <f>IFERROR(__xludf.DUMMYFUNCTION("""COMPUTED_VALUE"""),"KMC 5825 ACPFPV0110")</f>
        <v>KMC 5825 ACPFPV0110</v>
      </c>
      <c r="R86" s="2" t="str">
        <f>IFERROR(__xludf.DUMMYFUNCTION("""COMPUTED_VALUE"""),"PTS 100090")</f>
        <v>PTS 100090</v>
      </c>
      <c r="S86" s="2" t="str">
        <f>IFERROR(__xludf.DUMMYFUNCTION("""COMPUTED_VALUE"""),"R-SERIES 142 PH")</f>
        <v>R-SERIES 142 PH</v>
      </c>
      <c r="T86" s="2" t="str">
        <f>IFERROR(__xludf.DUMMYFUNCTION("""COMPUTED_VALUE"""),"LSGW1750 RMP 2312036")</f>
        <v>LSGW1750 RMP 2312036</v>
      </c>
      <c r="U86" s="2" t="str">
        <f>IFERROR(__xludf.DUMMYFUNCTION("""COMPUTED_VALUE"""),"WDP40 RMP 2312091")</f>
        <v>WDP40 RMP 2312091</v>
      </c>
      <c r="V86" s="2" t="str">
        <f>IFERROR(__xludf.DUMMYFUNCTION("""COMPUTED_VALUE"""),"good")</f>
        <v>good</v>
      </c>
      <c r="W86" s="2" t="str">
        <f>IFERROR(__xludf.DUMMYFUNCTION("""COMPUTED_VALUE"""),"VL103D")</f>
        <v>VL103D</v>
      </c>
      <c r="X86" s="2">
        <f>IFERROR(__xludf.DUMMYFUNCTION("""COMPUTED_VALUE"""),8.6906606024038E14)</f>
        <v>869066060240380</v>
      </c>
      <c r="Y86" s="2">
        <f>IFERROR(__xludf.DUMMYFUNCTION("""COMPUTED_VALUE"""),9.082234572E9)</f>
        <v>9082234572</v>
      </c>
      <c r="Z86" s="3" t="str">
        <f>IFERROR(__xludf.DUMMYFUNCTION("""COMPUTED_VALUE"""),"0323250006122963")</f>
        <v>0323250006122963</v>
      </c>
      <c r="AA86" s="2"/>
      <c r="AB86" s="2" t="str">
        <f>IFERROR(__xludf.DUMMYFUNCTION("""COMPUTED_VALUE"""),"cabayuganfa")</f>
        <v>cabayuganfa</v>
      </c>
    </row>
    <row r="87">
      <c r="A87" s="2" t="str">
        <f>IFERROR(__xludf.DUMMYFUNCTION("""COMPUTED_VALUE"""),"TT00085")</f>
        <v>TT00085</v>
      </c>
      <c r="B87" s="2" t="str">
        <f>IFERROR(__xludf.DUMMYFUNCTION("""COMPUTED_VALUE"""),"Completed")</f>
        <v>Completed</v>
      </c>
      <c r="C87" s="2" t="str">
        <f>IFERROR(__xludf.DUMMYFUNCTION("""COMPUTED_VALUE"""),"FOR BILLING L1")</f>
        <v>FOR BILLING L1</v>
      </c>
      <c r="D87" s="2" t="str">
        <f>IFERROR(__xludf.DUMMYFUNCTION("""COMPUTED_VALUE"""),"SAMAHANG MANUNUBIG NG CULANDANUM FARMERS, ABORLAN, PALAWAN, INC.")</f>
        <v>SAMAHANG MANUNUBIG NG CULANDANUM FARMERS, ABORLAN, PALAWAN, INC.</v>
      </c>
      <c r="E87" s="2" t="str">
        <f>IFERROR(__xludf.DUMMYFUNCTION("""COMPUTED_VALUE"""),"Culandanum, Aborlan, Palawan")</f>
        <v>Culandanum, Aborlan, Palawan</v>
      </c>
      <c r="F87" s="2" t="str">
        <f>IFERROR(__xludf.DUMMYFUNCTION("""COMPUTED_VALUE"""),"Nestor C. Valmoria")</f>
        <v>Nestor C. Valmoria</v>
      </c>
      <c r="G87" s="2" t="str">
        <f>IFERROR(__xludf.DUMMYFUNCTION("""COMPUTED_VALUE"""),"0912 145 7225")</f>
        <v>0912 145 7225</v>
      </c>
      <c r="H87" s="2"/>
      <c r="I87" s="2"/>
      <c r="J87" s="2" t="str">
        <f>IFERROR(__xludf.DUMMYFUNCTION("""COMPUTED_VALUE"""),"- Toolbox
- GPS")</f>
        <v>- Toolbox
- GPS</v>
      </c>
      <c r="K87" s="2" t="str">
        <f>IFERROR(__xludf.DUMMYFUNCTION("""COMPUTED_VALUE"""),"RCEF 23-08-20 Rebidding")</f>
        <v>RCEF 23-08-20 Rebidding</v>
      </c>
      <c r="L87" s="2">
        <f>IFERROR(__xludf.DUMMYFUNCTION("""COMPUTED_VALUE"""),1.0)</f>
        <v>1</v>
      </c>
      <c r="M87" s="2" t="str">
        <f>IFERROR(__xludf.DUMMYFUNCTION("""COMPUTED_VALUE"""),"4B")</f>
        <v>4B</v>
      </c>
      <c r="N87" s="2" t="str">
        <f>IFERROR(__xludf.DUMMYFUNCTION("""COMPUTED_VALUE"""),"JAN.23,2024")</f>
        <v>JAN.23,2024</v>
      </c>
      <c r="O87" s="2" t="str">
        <f>IFERROR(__xludf.DUMMYFUNCTION("""COMPUTED_VALUE"""),"FEB.7,2024")</f>
        <v>FEB.7,2024</v>
      </c>
      <c r="P87" s="2">
        <f>IFERROR(__xludf.DUMMYFUNCTION("""COMPUTED_VALUE"""),17956.0)</f>
        <v>17956</v>
      </c>
      <c r="Q87" s="2" t="str">
        <f>IFERROR(__xludf.DUMMYFUNCTION("""COMPUTED_VALUE"""),"KMC 5825 APPFPV00112")</f>
        <v>KMC 5825 APPFPV00112</v>
      </c>
      <c r="R87" s="2" t="str">
        <f>IFERROR(__xludf.DUMMYFUNCTION("""COMPUTED_VALUE"""),"PTS 100055")</f>
        <v>PTS 100055</v>
      </c>
      <c r="S87" s="2" t="str">
        <f>IFERROR(__xludf.DUMMYFUNCTION("""COMPUTED_VALUE"""),"R-SERIES 118 PH")</f>
        <v>R-SERIES 118 PH</v>
      </c>
      <c r="T87" s="2" t="str">
        <f>IFERROR(__xludf.DUMMYFUNCTION("""COMPUTED_VALUE"""),"LSGW1750 RMP 2312070")</f>
        <v>LSGW1750 RMP 2312070</v>
      </c>
      <c r="U87" s="2" t="str">
        <f>IFERROR(__xludf.DUMMYFUNCTION("""COMPUTED_VALUE"""),"WDP40 RMP 2312073")</f>
        <v>WDP40 RMP 2312073</v>
      </c>
      <c r="V87" s="2" t="str">
        <f>IFERROR(__xludf.DUMMYFUNCTION("""COMPUTED_VALUE"""),"no load")</f>
        <v>no load</v>
      </c>
      <c r="W87" s="2" t="str">
        <f>IFERROR(__xludf.DUMMYFUNCTION("""COMPUTED_VALUE"""),"VL103D")</f>
        <v>VL103D</v>
      </c>
      <c r="X87" s="2">
        <f>IFERROR(__xludf.DUMMYFUNCTION("""COMPUTED_VALUE"""),8.69066060244788E14)</f>
        <v>869066060244788</v>
      </c>
      <c r="Y87" s="2">
        <f>IFERROR(__xludf.DUMMYFUNCTION("""COMPUTED_VALUE"""),9.081595004E9)</f>
        <v>9081595004</v>
      </c>
      <c r="Z87" s="3" t="str">
        <f>IFERROR(__xludf.DUMMYFUNCTION("""COMPUTED_VALUE"""),"0323250006122989")</f>
        <v>0323250006122989</v>
      </c>
      <c r="AA87" s="2"/>
      <c r="AB87" s="2" t="str">
        <f>IFERROR(__xludf.DUMMYFUNCTION("""COMPUTED_VALUE"""),"culandumirrig")</f>
        <v>culandumirrig</v>
      </c>
    </row>
    <row r="88">
      <c r="A88" s="2" t="str">
        <f>IFERROR(__xludf.DUMMYFUNCTION("""COMPUTED_VALUE"""),"TT00086")</f>
        <v>TT00086</v>
      </c>
      <c r="B88" s="2" t="str">
        <f>IFERROR(__xludf.DUMMYFUNCTION("""COMPUTED_VALUE"""),"Completed")</f>
        <v>Completed</v>
      </c>
      <c r="C88" s="2" t="str">
        <f>IFERROR(__xludf.DUMMYFUNCTION("""COMPUTED_VALUE"""),"FOR BILLING L1")</f>
        <v>FOR BILLING L1</v>
      </c>
      <c r="D88" s="2" t="str">
        <f>IFERROR(__xludf.DUMMYFUNCTION("""COMPUTED_VALUE"""),"AGKAKARUBA IRRIGATORS ASSOCIATION, INC.")</f>
        <v>AGKAKARUBA IRRIGATORS ASSOCIATION, INC.</v>
      </c>
      <c r="E88" s="2" t="str">
        <f>IFERROR(__xludf.DUMMYFUNCTION("""COMPUTED_VALUE"""),"Plaridel, Aborlan, Palawan")</f>
        <v>Plaridel, Aborlan, Palawan</v>
      </c>
      <c r="F88" s="2" t="str">
        <f>IFERROR(__xludf.DUMMYFUNCTION("""COMPUTED_VALUE"""),"Buenaventura L. Rosario")</f>
        <v>Buenaventura L. Rosario</v>
      </c>
      <c r="G88" s="2" t="str">
        <f>IFERROR(__xludf.DUMMYFUNCTION("""COMPUTED_VALUE"""),"0910 764 9489")</f>
        <v>0910 764 9489</v>
      </c>
      <c r="H88" s="2"/>
      <c r="I88" s="2"/>
      <c r="J88" s="2" t="str">
        <f>IFERROR(__xludf.DUMMYFUNCTION("""COMPUTED_VALUE"""),"- Toolbox
- GPS")</f>
        <v>- Toolbox
- GPS</v>
      </c>
      <c r="K88" s="2" t="str">
        <f>IFERROR(__xludf.DUMMYFUNCTION("""COMPUTED_VALUE"""),"RCEF 23-08-20 Rebidding")</f>
        <v>RCEF 23-08-20 Rebidding</v>
      </c>
      <c r="L88" s="2">
        <f>IFERROR(__xludf.DUMMYFUNCTION("""COMPUTED_VALUE"""),1.0)</f>
        <v>1</v>
      </c>
      <c r="M88" s="2" t="str">
        <f>IFERROR(__xludf.DUMMYFUNCTION("""COMPUTED_VALUE"""),"4B")</f>
        <v>4B</v>
      </c>
      <c r="N88" s="2" t="str">
        <f>IFERROR(__xludf.DUMMYFUNCTION("""COMPUTED_VALUE"""),"JAN.23,2024")</f>
        <v>JAN.23,2024</v>
      </c>
      <c r="O88" s="2" t="str">
        <f>IFERROR(__xludf.DUMMYFUNCTION("""COMPUTED_VALUE"""),"FEB.7,2024")</f>
        <v>FEB.7,2024</v>
      </c>
      <c r="P88" s="2">
        <f>IFERROR(__xludf.DUMMYFUNCTION("""COMPUTED_VALUE"""),17957.0)</f>
        <v>17957</v>
      </c>
      <c r="Q88" s="2" t="str">
        <f>IFERROR(__xludf.DUMMYFUNCTION("""COMPUTED_VALUE"""),"KMC 5825 ALPFPV0118")</f>
        <v>KMC 5825 ALPFPV0118</v>
      </c>
      <c r="R88" s="2" t="str">
        <f>IFERROR(__xludf.DUMMYFUNCTION("""COMPUTED_VALUE"""),"PTS 100103")</f>
        <v>PTS 100103</v>
      </c>
      <c r="S88" s="2" t="str">
        <f>IFERROR(__xludf.DUMMYFUNCTION("""COMPUTED_VALUE"""),"R-SERIES 149 PH")</f>
        <v>R-SERIES 149 PH</v>
      </c>
      <c r="T88" s="2" t="str">
        <f>IFERROR(__xludf.DUMMYFUNCTION("""COMPUTED_VALUE"""),"LSGW1750 RMP 2312089")</f>
        <v>LSGW1750 RMP 2312089</v>
      </c>
      <c r="U88" s="2" t="str">
        <f>IFERROR(__xludf.DUMMYFUNCTION("""COMPUTED_VALUE"""),"WDP40 RMP 2312082")</f>
        <v>WDP40 RMP 2312082</v>
      </c>
      <c r="V88" s="2" t="str">
        <f>IFERROR(__xludf.DUMMYFUNCTION("""COMPUTED_VALUE"""),"no load")</f>
        <v>no load</v>
      </c>
      <c r="W88" s="2" t="str">
        <f>IFERROR(__xludf.DUMMYFUNCTION("""COMPUTED_VALUE"""),"VL103D")</f>
        <v>VL103D</v>
      </c>
      <c r="X88" s="2">
        <f>IFERROR(__xludf.DUMMYFUNCTION("""COMPUTED_VALUE"""),8.69066060238087E14)</f>
        <v>869066060238087</v>
      </c>
      <c r="Y88" s="2">
        <f>IFERROR(__xludf.DUMMYFUNCTION("""COMPUTED_VALUE"""),9.082253596E9)</f>
        <v>9082253596</v>
      </c>
      <c r="Z88" s="3" t="str">
        <f>IFERROR(__xludf.DUMMYFUNCTION("""COMPUTED_VALUE"""),"0323250006122971")</f>
        <v>0323250006122971</v>
      </c>
      <c r="AA88" s="2"/>
      <c r="AB88" s="2" t="str">
        <f>IFERROR(__xludf.DUMMYFUNCTION("""COMPUTED_VALUE"""),"agkakarubairrig")</f>
        <v>agkakarubairrig</v>
      </c>
    </row>
    <row r="89">
      <c r="A89" s="2" t="str">
        <f>IFERROR(__xludf.DUMMYFUNCTION("""COMPUTED_VALUE"""),"TT00087")</f>
        <v>TT00087</v>
      </c>
      <c r="B89" s="2" t="str">
        <f>IFERROR(__xludf.DUMMYFUNCTION("""COMPUTED_VALUE"""),"Completed")</f>
        <v>Completed</v>
      </c>
      <c r="C89" s="2" t="str">
        <f>IFERROR(__xludf.DUMMYFUNCTION("""COMPUTED_VALUE"""),"FOR BILLING L1")</f>
        <v>FOR BILLING L1</v>
      </c>
      <c r="D89" s="2" t="str">
        <f>IFERROR(__xludf.DUMMYFUNCTION("""COMPUTED_VALUE"""),"IBATO-IRAAN FARMER'S IRRIGATORS ASSOCIATION, INC.")</f>
        <v>IBATO-IRAAN FARMER'S IRRIGATORS ASSOCIATION, INC.</v>
      </c>
      <c r="E89" s="2" t="str">
        <f>IFERROR(__xludf.DUMMYFUNCTION("""COMPUTED_VALUE"""),"Sagpangan, Aborlan, Palawan")</f>
        <v>Sagpangan, Aborlan, Palawan</v>
      </c>
      <c r="F89" s="2" t="str">
        <f>IFERROR(__xludf.DUMMYFUNCTION("""COMPUTED_VALUE"""),"Ronie G Baron")</f>
        <v>Ronie G Baron</v>
      </c>
      <c r="G89" s="2" t="str">
        <f>IFERROR(__xludf.DUMMYFUNCTION("""COMPUTED_VALUE"""),"0930-902-8777")</f>
        <v>0930-902-8777</v>
      </c>
      <c r="H89" s="2"/>
      <c r="I89" s="2"/>
      <c r="J89" s="2" t="str">
        <f>IFERROR(__xludf.DUMMYFUNCTION("""COMPUTED_VALUE"""),"- Toolbox
- GPS")</f>
        <v>- Toolbox
- GPS</v>
      </c>
      <c r="K89" s="2" t="str">
        <f>IFERROR(__xludf.DUMMYFUNCTION("""COMPUTED_VALUE"""),"RCEF 23-08-20 Rebidding")</f>
        <v>RCEF 23-08-20 Rebidding</v>
      </c>
      <c r="L89" s="2">
        <f>IFERROR(__xludf.DUMMYFUNCTION("""COMPUTED_VALUE"""),1.0)</f>
        <v>1</v>
      </c>
      <c r="M89" s="2" t="str">
        <f>IFERROR(__xludf.DUMMYFUNCTION("""COMPUTED_VALUE"""),"4B")</f>
        <v>4B</v>
      </c>
      <c r="N89" s="2" t="str">
        <f>IFERROR(__xludf.DUMMYFUNCTION("""COMPUTED_VALUE"""),"JAN.23,2024")</f>
        <v>JAN.23,2024</v>
      </c>
      <c r="O89" s="2" t="str">
        <f>IFERROR(__xludf.DUMMYFUNCTION("""COMPUTED_VALUE"""),"FEB.7,2024")</f>
        <v>FEB.7,2024</v>
      </c>
      <c r="P89" s="2">
        <f>IFERROR(__xludf.DUMMYFUNCTION("""COMPUTED_VALUE"""),17958.0)</f>
        <v>17958</v>
      </c>
      <c r="Q89" s="2" t="str">
        <f>IFERROR(__xludf.DUMMYFUNCTION("""COMPUTED_VALUE"""),"KMC 5825 AHPFPV0086")</f>
        <v>KMC 5825 AHPFPV0086</v>
      </c>
      <c r="R89" s="2" t="str">
        <f>IFERROR(__xludf.DUMMYFUNCTION("""COMPUTED_VALUE"""),"PTS 100075")</f>
        <v>PTS 100075</v>
      </c>
      <c r="S89" s="2" t="str">
        <f>IFERROR(__xludf.DUMMYFUNCTION("""COMPUTED_VALUE"""),"R-SERIES 144 PH")</f>
        <v>R-SERIES 144 PH</v>
      </c>
      <c r="T89" s="2" t="str">
        <f>IFERROR(__xludf.DUMMYFUNCTION("""COMPUTED_VALUE"""),"LSGW1750 RMP 2312067")</f>
        <v>LSGW1750 RMP 2312067</v>
      </c>
      <c r="U89" s="2" t="str">
        <f>IFERROR(__xludf.DUMMYFUNCTION("""COMPUTED_VALUE"""),"WDP40 RMP 2312085")</f>
        <v>WDP40 RMP 2312085</v>
      </c>
      <c r="V89" s="2" t="str">
        <f>IFERROR(__xludf.DUMMYFUNCTION("""COMPUTED_VALUE"""),"no load")</f>
        <v>no load</v>
      </c>
      <c r="W89" s="2" t="str">
        <f>IFERROR(__xludf.DUMMYFUNCTION("""COMPUTED_VALUE"""),"VL103D")</f>
        <v>VL103D</v>
      </c>
      <c r="X89" s="2">
        <f>IFERROR(__xludf.DUMMYFUNCTION("""COMPUTED_VALUE"""),8.69066060241115E14)</f>
        <v>869066060241115</v>
      </c>
      <c r="Y89" s="2">
        <f>IFERROR(__xludf.DUMMYFUNCTION("""COMPUTED_VALUE"""),9.087909277E9)</f>
        <v>9087909277</v>
      </c>
      <c r="Z89" s="3" t="str">
        <f>IFERROR(__xludf.DUMMYFUNCTION("""COMPUTED_VALUE"""),"0323250006122849")</f>
        <v>0323250006122849</v>
      </c>
      <c r="AA89" s="2"/>
      <c r="AB89" s="2" t="str">
        <f>IFERROR(__xludf.DUMMYFUNCTION("""COMPUTED_VALUE"""),"ibato-iraanirrig")</f>
        <v>ibato-iraanirrig</v>
      </c>
    </row>
    <row r="90">
      <c r="A90" s="2" t="str">
        <f>IFERROR(__xludf.DUMMYFUNCTION("""COMPUTED_VALUE"""),"TT00088")</f>
        <v>TT00088</v>
      </c>
      <c r="B90" s="2" t="str">
        <f>IFERROR(__xludf.DUMMYFUNCTION("""COMPUTED_VALUE"""),"Completed")</f>
        <v>Completed</v>
      </c>
      <c r="C90" s="2" t="str">
        <f>IFERROR(__xludf.DUMMYFUNCTION("""COMPUTED_VALUE"""),"FOR BILLING L1")</f>
        <v>FOR BILLING L1</v>
      </c>
      <c r="D90" s="2" t="str">
        <f>IFERROR(__xludf.DUMMYFUNCTION("""COMPUTED_VALUE"""),"PARADISE TELENG FARMERS IRRIGATORS ASSOCIATION INC")</f>
        <v>PARADISE TELENG FARMERS IRRIGATORS ASSOCIATION INC</v>
      </c>
      <c r="E90" s="2" t="str">
        <f>IFERROR(__xludf.DUMMYFUNCTION("""COMPUTED_VALUE"""),"Tigman, Aborlan, Palawan")</f>
        <v>Tigman, Aborlan, Palawan</v>
      </c>
      <c r="F90" s="2" t="str">
        <f>IFERROR(__xludf.DUMMYFUNCTION("""COMPUTED_VALUE"""),"Lourdez C. Paduga")</f>
        <v>Lourdez C. Paduga</v>
      </c>
      <c r="G90" s="2">
        <f>IFERROR(__xludf.DUMMYFUNCTION("""COMPUTED_VALUE"""),9.750285877E9)</f>
        <v>9750285877</v>
      </c>
      <c r="H90" s="2"/>
      <c r="I90" s="2"/>
      <c r="J90" s="2" t="str">
        <f>IFERROR(__xludf.DUMMYFUNCTION("""COMPUTED_VALUE"""),"- Toolbox
- GPS")</f>
        <v>- Toolbox
- GPS</v>
      </c>
      <c r="K90" s="2" t="str">
        <f>IFERROR(__xludf.DUMMYFUNCTION("""COMPUTED_VALUE"""),"RCEF 23-08-20 Rebidding")</f>
        <v>RCEF 23-08-20 Rebidding</v>
      </c>
      <c r="L90" s="2">
        <f>IFERROR(__xludf.DUMMYFUNCTION("""COMPUTED_VALUE"""),1.0)</f>
        <v>1</v>
      </c>
      <c r="M90" s="2" t="str">
        <f>IFERROR(__xludf.DUMMYFUNCTION("""COMPUTED_VALUE"""),"4B")</f>
        <v>4B</v>
      </c>
      <c r="N90" s="2" t="str">
        <f>IFERROR(__xludf.DUMMYFUNCTION("""COMPUTED_VALUE"""),"JAN.23,2024")</f>
        <v>JAN.23,2024</v>
      </c>
      <c r="O90" s="2" t="str">
        <f>IFERROR(__xludf.DUMMYFUNCTION("""COMPUTED_VALUE"""),"FEB.7,2024")</f>
        <v>FEB.7,2024</v>
      </c>
      <c r="P90" s="2">
        <f>IFERROR(__xludf.DUMMYFUNCTION("""COMPUTED_VALUE"""),17959.0)</f>
        <v>17959</v>
      </c>
      <c r="Q90" s="2" t="str">
        <f>IFERROR(__xludf.DUMMYFUNCTION("""COMPUTED_VALUE"""),"KMC 5825 ATPFPV0156")</f>
        <v>KMC 5825 ATPFPV0156</v>
      </c>
      <c r="R90" s="2" t="str">
        <f>IFERROR(__xludf.DUMMYFUNCTION("""COMPUTED_VALUE"""),"PTS 100142")</f>
        <v>PTS 100142</v>
      </c>
      <c r="S90" s="2" t="str">
        <f>IFERROR(__xludf.DUMMYFUNCTION("""COMPUTED_VALUE"""),"R-SERIES 140 PH")</f>
        <v>R-SERIES 140 PH</v>
      </c>
      <c r="T90" s="2" t="str">
        <f>IFERROR(__xludf.DUMMYFUNCTION("""COMPUTED_VALUE"""),"LSGW1750 RMP 2312083")</f>
        <v>LSGW1750 RMP 2312083</v>
      </c>
      <c r="U90" s="2" t="str">
        <f>IFERROR(__xludf.DUMMYFUNCTION("""COMPUTED_VALUE"""),"WDP40 RMP 2312083")</f>
        <v>WDP40 RMP 2312083</v>
      </c>
      <c r="V90" s="2" t="str">
        <f>IFERROR(__xludf.DUMMYFUNCTION("""COMPUTED_VALUE"""),"no load")</f>
        <v>no load</v>
      </c>
      <c r="W90" s="2" t="str">
        <f>IFERROR(__xludf.DUMMYFUNCTION("""COMPUTED_VALUE"""),"VL103D")</f>
        <v>VL103D</v>
      </c>
      <c r="X90" s="2">
        <f>IFERROR(__xludf.DUMMYFUNCTION("""COMPUTED_VALUE"""),8.6906606024509E14)</f>
        <v>869066060245090</v>
      </c>
      <c r="Y90" s="2">
        <f>IFERROR(__xludf.DUMMYFUNCTION("""COMPUTED_VALUE"""),9.08751593E9)</f>
        <v>9087515930</v>
      </c>
      <c r="Z90" s="3" t="str">
        <f>IFERROR(__xludf.DUMMYFUNCTION("""COMPUTED_VALUE"""),"0323250006122831")</f>
        <v>0323250006122831</v>
      </c>
      <c r="AA90" s="2"/>
      <c r="AB90" s="2" t="str">
        <f>IFERROR(__xludf.DUMMYFUNCTION("""COMPUTED_VALUE"""),"paradisetelengirrig")</f>
        <v>paradisetelengirrig</v>
      </c>
    </row>
    <row r="91">
      <c r="A91" s="2" t="str">
        <f>IFERROR(__xludf.DUMMYFUNCTION("""COMPUTED_VALUE"""),"TT00089")</f>
        <v>TT00089</v>
      </c>
      <c r="B91" s="2" t="str">
        <f>IFERROR(__xludf.DUMMYFUNCTION("""COMPUTED_VALUE"""),"Completed")</f>
        <v>Completed</v>
      </c>
      <c r="C91" s="2" t="str">
        <f>IFERROR(__xludf.DUMMYFUNCTION("""COMPUTED_VALUE"""),"FOR BILLING L1")</f>
        <v>FOR BILLING L1</v>
      </c>
      <c r="D91" s="2" t="str">
        <f>IFERROR(__xludf.DUMMYFUNCTION("""COMPUTED_VALUE"""),"SAMAHANG MAGSASAKA NG APORAWAN AT PARADAHAN INC")</f>
        <v>SAMAHANG MAGSASAKA NG APORAWAN AT PARADAHAN INC</v>
      </c>
      <c r="E91" s="2" t="str">
        <f>IFERROR(__xludf.DUMMYFUNCTION("""COMPUTED_VALUE"""),"Apo Aporawan, Aborlan, Palawan")</f>
        <v>Apo Aporawan, Aborlan, Palawan</v>
      </c>
      <c r="F91" s="2" t="str">
        <f>IFERROR(__xludf.DUMMYFUNCTION("""COMPUTED_VALUE"""),"Renato T. Lopez")</f>
        <v>Renato T. Lopez</v>
      </c>
      <c r="G91" s="2">
        <f>IFERROR(__xludf.DUMMYFUNCTION("""COMPUTED_VALUE"""),9.051981527E9)</f>
        <v>9051981527</v>
      </c>
      <c r="H91" s="2"/>
      <c r="I91" s="2"/>
      <c r="J91" s="2" t="str">
        <f>IFERROR(__xludf.DUMMYFUNCTION("""COMPUTED_VALUE"""),"- Toolbox
- GPS")</f>
        <v>- Toolbox
- GPS</v>
      </c>
      <c r="K91" s="2" t="str">
        <f>IFERROR(__xludf.DUMMYFUNCTION("""COMPUTED_VALUE"""),"RCEF 23-08-20 Rebidding")</f>
        <v>RCEF 23-08-20 Rebidding</v>
      </c>
      <c r="L91" s="2">
        <f>IFERROR(__xludf.DUMMYFUNCTION("""COMPUTED_VALUE"""),1.0)</f>
        <v>1</v>
      </c>
      <c r="M91" s="2" t="str">
        <f>IFERROR(__xludf.DUMMYFUNCTION("""COMPUTED_VALUE"""),"4B")</f>
        <v>4B</v>
      </c>
      <c r="N91" s="2" t="str">
        <f>IFERROR(__xludf.DUMMYFUNCTION("""COMPUTED_VALUE"""),"JAN.23,2024")</f>
        <v>JAN.23,2024</v>
      </c>
      <c r="O91" s="2" t="str">
        <f>IFERROR(__xludf.DUMMYFUNCTION("""COMPUTED_VALUE"""),"FEB.7,2024")</f>
        <v>FEB.7,2024</v>
      </c>
      <c r="P91" s="2">
        <f>IFERROR(__xludf.DUMMYFUNCTION("""COMPUTED_VALUE"""),17960.0)</f>
        <v>17960</v>
      </c>
      <c r="Q91" s="2" t="str">
        <f>IFERROR(__xludf.DUMMYFUNCTION("""COMPUTED_VALUE"""),"KMC 5825 ATPFPV0041")</f>
        <v>KMC 5825 ATPFPV0041</v>
      </c>
      <c r="R91" s="2" t="str">
        <f>IFERROR(__xludf.DUMMYFUNCTION("""COMPUTED_VALUE"""),"PTS 100064")</f>
        <v>PTS 100064</v>
      </c>
      <c r="S91" s="2" t="str">
        <f>IFERROR(__xludf.DUMMYFUNCTION("""COMPUTED_VALUE"""),"R-SERIES 145 PH")</f>
        <v>R-SERIES 145 PH</v>
      </c>
      <c r="T91" s="2" t="str">
        <f>IFERROR(__xludf.DUMMYFUNCTION("""COMPUTED_VALUE"""),"LSGW1750 RMP 2312049")</f>
        <v>LSGW1750 RMP 2312049</v>
      </c>
      <c r="U91" s="2" t="str">
        <f>IFERROR(__xludf.DUMMYFUNCTION("""COMPUTED_VALUE"""),"WDP40 RMP 2312080")</f>
        <v>WDP40 RMP 2312080</v>
      </c>
      <c r="V91" s="2" t="str">
        <f>IFERROR(__xludf.DUMMYFUNCTION("""COMPUTED_VALUE"""),"no load")</f>
        <v>no load</v>
      </c>
      <c r="W91" s="2" t="str">
        <f>IFERROR(__xludf.DUMMYFUNCTION("""COMPUTED_VALUE"""),"VL103D")</f>
        <v>VL103D</v>
      </c>
      <c r="X91" s="2">
        <f>IFERROR(__xludf.DUMMYFUNCTION("""COMPUTED_VALUE"""),8.69066060237766E14)</f>
        <v>869066060237766</v>
      </c>
      <c r="Y91" s="2">
        <f>IFERROR(__xludf.DUMMYFUNCTION("""COMPUTED_VALUE"""),9.083230739E9)</f>
        <v>9083230739</v>
      </c>
      <c r="Z91" s="3" t="str">
        <f>IFERROR(__xludf.DUMMYFUNCTION("""COMPUTED_VALUE"""),"0323250006122799")</f>
        <v>0323250006122799</v>
      </c>
      <c r="AA91" s="2"/>
      <c r="AB91" s="2" t="str">
        <f>IFERROR(__xludf.DUMMYFUNCTION("""COMPUTED_VALUE"""),"aporawanfa")</f>
        <v>aporawanfa</v>
      </c>
    </row>
    <row r="92">
      <c r="A92" s="2" t="str">
        <f>IFERROR(__xludf.DUMMYFUNCTION("""COMPUTED_VALUE"""),"TT00090")</f>
        <v>TT00090</v>
      </c>
      <c r="B92" s="2" t="str">
        <f>IFERROR(__xludf.DUMMYFUNCTION("""COMPUTED_VALUE"""),"w/ pending")</f>
        <v>w/ pending</v>
      </c>
      <c r="C92" s="2"/>
      <c r="D92" s="2" t="str">
        <f>IFERROR(__xludf.DUMMYFUNCTION("""COMPUTED_VALUE"""),"THE FARMERS OF LUNA AGRICULTURE COOPERATIVE")</f>
        <v>THE FARMERS OF LUNA AGRICULTURE COOPERATIVE</v>
      </c>
      <c r="E92" s="2" t="str">
        <f>IFERROR(__xludf.DUMMYFUNCTION("""COMPUTED_VALUE"""),"Centro 2, Luna, Isabela")</f>
        <v>Centro 2, Luna, Isabela</v>
      </c>
      <c r="F92" s="2" t="str">
        <f>IFERROR(__xludf.DUMMYFUNCTION("""COMPUTED_VALUE"""),"Edgar Abon Diniega")</f>
        <v>Edgar Abon Diniega</v>
      </c>
      <c r="G92" s="2"/>
      <c r="H92" s="2"/>
      <c r="I92" s="2"/>
      <c r="J92" s="2" t="str">
        <f>IFERROR(__xludf.DUMMYFUNCTION("""COMPUTED_VALUE"""),"for inspection disc plow")</f>
        <v>for inspection disc plow</v>
      </c>
      <c r="K92" s="2" t="str">
        <f>IFERROR(__xludf.DUMMYFUNCTION("""COMPUTED_VALUE"""),"RCEF 23-09-21 Rebidding")</f>
        <v>RCEF 23-09-21 Rebidding</v>
      </c>
      <c r="L92" s="2">
        <f>IFERROR(__xludf.DUMMYFUNCTION("""COMPUTED_VALUE"""),9.0)</f>
        <v>9</v>
      </c>
      <c r="M92" s="2">
        <f>IFERROR(__xludf.DUMMYFUNCTION("""COMPUTED_VALUE"""),2.0)</f>
        <v>2</v>
      </c>
      <c r="N92" s="2" t="str">
        <f>IFERROR(__xludf.DUMMYFUNCTION("""COMPUTED_VALUE"""),"NOV.22,2023")</f>
        <v>NOV.22,2023</v>
      </c>
      <c r="O92" s="2" t="str">
        <f>IFERROR(__xludf.DUMMYFUNCTION("""COMPUTED_VALUE"""),"NOV.24,2023")</f>
        <v>NOV.24,2023</v>
      </c>
      <c r="P92" s="2">
        <f>IFERROR(__xludf.DUMMYFUNCTION("""COMPUTED_VALUE"""),17369.0)</f>
        <v>17369</v>
      </c>
      <c r="Q92" s="2" t="str">
        <f>IFERROR(__xludf.DUMMYFUNCTION("""COMPUTED_VALUE"""),"KMC 5825 ACPFPV0034")</f>
        <v>KMC 5825 ACPFPV0034</v>
      </c>
      <c r="R92" s="2" t="str">
        <f>IFERROR(__xludf.DUMMYFUNCTION("""COMPUTED_VALUE"""),"PTS100004")</f>
        <v>PTS100004</v>
      </c>
      <c r="S92" s="2" t="str">
        <f>IFERROR(__xludf.DUMMYFUNCTION("""COMPUTED_VALUE"""),"HL 22R005")</f>
        <v>HL 22R005</v>
      </c>
      <c r="T92" s="2" t="str">
        <f>IFERROR(__xludf.DUMMYFUNCTION("""COMPUTED_VALUE"""),"WR LSGW 0019")</f>
        <v>WR LSGW 0019</v>
      </c>
      <c r="U92" s="2" t="str">
        <f>IFERROR(__xludf.DUMMYFUNCTION("""COMPUTED_VALUE"""),"WDP40 RMP 24010055")</f>
        <v>WDP40 RMP 24010055</v>
      </c>
      <c r="V92" s="2" t="str">
        <f>IFERROR(__xludf.DUMMYFUNCTION("""COMPUTED_VALUE"""),"good")</f>
        <v>good</v>
      </c>
      <c r="W92" s="2" t="str">
        <f>IFERROR(__xludf.DUMMYFUNCTION("""COMPUTED_VALUE"""),"VL103D")</f>
        <v>VL103D</v>
      </c>
      <c r="X92" s="2">
        <f>IFERROR(__xludf.DUMMYFUNCTION("""COMPUTED_VALUE"""),8.69066060245181E14)</f>
        <v>869066060245181</v>
      </c>
      <c r="Y92" s="2">
        <f>IFERROR(__xludf.DUMMYFUNCTION("""COMPUTED_VALUE"""),9.690110443E9)</f>
        <v>9690110443</v>
      </c>
      <c r="Z92" s="3" t="str">
        <f>IFERROR(__xludf.DUMMYFUNCTION("""COMPUTED_VALUE"""),"0323202005168810")</f>
        <v>0323202005168810</v>
      </c>
      <c r="AA92" s="2" t="str">
        <f>IFERROR(__xludf.DUMMYFUNCTION("""COMPUTED_VALUE"""),"20231124P058514881")</f>
        <v>20231124P058514881</v>
      </c>
      <c r="AB92" s="2" t="str">
        <f>IFERROR(__xludf.DUMMYFUNCTION("""COMPUTED_VALUE"""),"farmersofluna")</f>
        <v>farmersofluna</v>
      </c>
    </row>
    <row r="93">
      <c r="A93" s="2" t="str">
        <f>IFERROR(__xludf.DUMMYFUNCTION("""COMPUTED_VALUE"""),"TT00091")</f>
        <v>TT00091</v>
      </c>
      <c r="B93" s="2" t="str">
        <f>IFERROR(__xludf.DUMMYFUNCTION("""COMPUTED_VALUE"""),"w/ pending")</f>
        <v>w/ pending</v>
      </c>
      <c r="C93" s="2"/>
      <c r="D93" s="2" t="str">
        <f>IFERROR(__xludf.DUMMYFUNCTION("""COMPUTED_VALUE"""),"BARANGAY CABANNUNGAN FARMERS ASSOCIATION")</f>
        <v>BARANGAY CABANNUNGAN FARMERS ASSOCIATION</v>
      </c>
      <c r="E93" s="2" t="str">
        <f>IFERROR(__xludf.DUMMYFUNCTION("""COMPUTED_VALUE"""),"Cabannungan 2nd, City of Ilagan, Isabela")</f>
        <v>Cabannungan 2nd, City of Ilagan, Isabela</v>
      </c>
      <c r="F93" s="2" t="str">
        <f>IFERROR(__xludf.DUMMYFUNCTION("""COMPUTED_VALUE"""),"Christopher M. Sirriban")</f>
        <v>Christopher M. Sirriban</v>
      </c>
      <c r="G93" s="2"/>
      <c r="H93" s="2"/>
      <c r="I93" s="2"/>
      <c r="J93" s="2" t="str">
        <f>IFERROR(__xludf.DUMMYFUNCTION("""COMPUTED_VALUE"""),"for inspection disc plow")</f>
        <v>for inspection disc plow</v>
      </c>
      <c r="K93" s="2" t="str">
        <f>IFERROR(__xludf.DUMMYFUNCTION("""COMPUTED_VALUE"""),"RCEF 23-09-21 Rebidding")</f>
        <v>RCEF 23-09-21 Rebidding</v>
      </c>
      <c r="L93" s="2">
        <f>IFERROR(__xludf.DUMMYFUNCTION("""COMPUTED_VALUE"""),9.0)</f>
        <v>9</v>
      </c>
      <c r="M93" s="2">
        <f>IFERROR(__xludf.DUMMYFUNCTION("""COMPUTED_VALUE"""),2.0)</f>
        <v>2</v>
      </c>
      <c r="N93" s="74">
        <f>IFERROR(__xludf.DUMMYFUNCTION("""COMPUTED_VALUE"""),45252.0)</f>
        <v>45252</v>
      </c>
      <c r="O93" s="74">
        <f>IFERROR(__xludf.DUMMYFUNCTION("""COMPUTED_VALUE"""),45254.0)</f>
        <v>45254</v>
      </c>
      <c r="P93" s="2">
        <f>IFERROR(__xludf.DUMMYFUNCTION("""COMPUTED_VALUE"""),17370.0)</f>
        <v>17370</v>
      </c>
      <c r="Q93" s="2" t="str">
        <f>IFERROR(__xludf.DUMMYFUNCTION("""COMPUTED_VALUE"""),"KMC 5825 AEPFPV0025")</f>
        <v>KMC 5825 AEPFPV0025</v>
      </c>
      <c r="R93" s="2" t="str">
        <f>IFERROR(__xludf.DUMMYFUNCTION("""COMPUTED_VALUE"""),"PTS100038")</f>
        <v>PTS100038</v>
      </c>
      <c r="S93" s="2" t="str">
        <f>IFERROR(__xludf.DUMMYFUNCTION("""COMPUTED_VALUE"""),"HL 22R010")</f>
        <v>HL 22R010</v>
      </c>
      <c r="T93" s="2" t="str">
        <f>IFERROR(__xludf.DUMMYFUNCTION("""COMPUTED_VALUE"""),"WR LSGW 0020")</f>
        <v>WR LSGW 0020</v>
      </c>
      <c r="U93" s="2" t="str">
        <f>IFERROR(__xludf.DUMMYFUNCTION("""COMPUTED_VALUE"""),"WDP40 RMP 24010050")</f>
        <v>WDP40 RMP 24010050</v>
      </c>
      <c r="V93" s="2" t="str">
        <f>IFERROR(__xludf.DUMMYFUNCTION("""COMPUTED_VALUE"""),"good")</f>
        <v>good</v>
      </c>
      <c r="W93" s="2" t="str">
        <f>IFERROR(__xludf.DUMMYFUNCTION("""COMPUTED_VALUE"""),"VL103D")</f>
        <v>VL103D</v>
      </c>
      <c r="X93" s="2">
        <f>IFERROR(__xludf.DUMMYFUNCTION("""COMPUTED_VALUE"""),8.6906606024024E14)</f>
        <v>869066060240240</v>
      </c>
      <c r="Y93" s="2">
        <f>IFERROR(__xludf.DUMMYFUNCTION("""COMPUTED_VALUE"""),9.690374168E9)</f>
        <v>9690374168</v>
      </c>
      <c r="Z93" s="3" t="str">
        <f>IFERROR(__xludf.DUMMYFUNCTION("""COMPUTED_VALUE"""),"0323202005168828")</f>
        <v>0323202005168828</v>
      </c>
      <c r="AA93" s="2" t="str">
        <f>IFERROR(__xludf.DUMMYFUNCTION("""COMPUTED_VALUE"""),"20231124P058514721")</f>
        <v>20231124P058514721</v>
      </c>
      <c r="AB93" s="2" t="str">
        <f>IFERROR(__xludf.DUMMYFUNCTION("""COMPUTED_VALUE"""),"cabannunganfa")</f>
        <v>cabannunganfa</v>
      </c>
    </row>
    <row r="94">
      <c r="A94" s="2" t="str">
        <f>IFERROR(__xludf.DUMMYFUNCTION("""COMPUTED_VALUE"""),"TT00092")</f>
        <v>TT00092</v>
      </c>
      <c r="B94" s="2" t="str">
        <f>IFERROR(__xludf.DUMMYFUNCTION("""COMPUTED_VALUE"""),"w/ pending")</f>
        <v>w/ pending</v>
      </c>
      <c r="C94" s="2"/>
      <c r="D94" s="2" t="str">
        <f>IFERROR(__xludf.DUMMYFUNCTION("""COMPUTED_VALUE"""),"NGABANGAB RESOURCES FARMERS ASSOCIATION Inc.")</f>
        <v>NGABANGAB RESOURCES FARMERS ASSOCIATION Inc.</v>
      </c>
      <c r="E94" s="2" t="str">
        <f>IFERROR(__xludf.DUMMYFUNCTION("""COMPUTED_VALUE"""),"Ngabangab, Pasuquin, Ilocos Norte")</f>
        <v>Ngabangab, Pasuquin, Ilocos Norte</v>
      </c>
      <c r="F94" s="2" t="str">
        <f>IFERROR(__xludf.DUMMYFUNCTION("""COMPUTED_VALUE"""),"Belie A Gervacio")</f>
        <v>Belie A Gervacio</v>
      </c>
      <c r="G94" s="2" t="str">
        <f>IFERROR(__xludf.DUMMYFUNCTION("""COMPUTED_VALUE"""),"9475356520 / 9107421530")</f>
        <v>9475356520 / 9107421530</v>
      </c>
      <c r="H94" s="2"/>
      <c r="I94" s="2"/>
      <c r="J94" s="2" t="str">
        <f>IFERROR(__xludf.DUMMYFUNCTION("""COMPUTED_VALUE"""),"- Rotavator
- Manuals")</f>
        <v>- Rotavator
- Manuals</v>
      </c>
      <c r="K94" s="2" t="str">
        <f>IFERROR(__xludf.DUMMYFUNCTION("""COMPUTED_VALUE"""),"RCEF 23-09-21 Rebidding")</f>
        <v>RCEF 23-09-21 Rebidding</v>
      </c>
      <c r="L94" s="2">
        <f>IFERROR(__xludf.DUMMYFUNCTION("""COMPUTED_VALUE"""),2.0)</f>
        <v>2</v>
      </c>
      <c r="M94" s="2">
        <f>IFERROR(__xludf.DUMMYFUNCTION("""COMPUTED_VALUE"""),1.0)</f>
        <v>1</v>
      </c>
      <c r="N94" s="2"/>
      <c r="O94" s="2"/>
      <c r="P94" s="2"/>
      <c r="Q94" s="2" t="str">
        <f>IFERROR(__xludf.DUMMYFUNCTION("""COMPUTED_VALUE"""),"KMC 5825 APPFPV0031")</f>
        <v>KMC 5825 APPFPV0031</v>
      </c>
      <c r="R94" s="2" t="str">
        <f>IFERROR(__xludf.DUMMYFUNCTION("""COMPUTED_VALUE"""),"PTS100015")</f>
        <v>PTS100015</v>
      </c>
      <c r="S94" s="2" t="str">
        <f>IFERROR(__xludf.DUMMYFUNCTION("""COMPUTED_VALUE"""),"R-SERIES 012PH")</f>
        <v>R-SERIES 012PH</v>
      </c>
      <c r="T94" s="2"/>
      <c r="U94" s="2" t="str">
        <f>IFERROR(__xludf.DUMMYFUNCTION("""COMPUTED_VALUE"""),"WR WDP 0019")</f>
        <v>WR WDP 0019</v>
      </c>
      <c r="V94" s="2" t="str">
        <f>IFERROR(__xludf.DUMMYFUNCTION("""COMPUTED_VALUE"""),"good")</f>
        <v>good</v>
      </c>
      <c r="W94" s="2" t="str">
        <f>IFERROR(__xludf.DUMMYFUNCTION("""COMPUTED_VALUE"""),"VL103D")</f>
        <v>VL103D</v>
      </c>
      <c r="X94" s="2">
        <f>IFERROR(__xludf.DUMMYFUNCTION("""COMPUTED_VALUE"""),8.69066060244747E14)</f>
        <v>869066060244747</v>
      </c>
      <c r="Y94" s="2">
        <f>IFERROR(__xludf.DUMMYFUNCTION("""COMPUTED_VALUE"""),9.690177962E9)</f>
        <v>9690177962</v>
      </c>
      <c r="Z94" s="3" t="str">
        <f>IFERROR(__xludf.DUMMYFUNCTION("""COMPUTED_VALUE"""),"0323202005168851")</f>
        <v>0323202005168851</v>
      </c>
      <c r="AA94" s="2" t="str">
        <f>IFERROR(__xludf.DUMMYFUNCTION("""COMPUTED_VALUE"""),"20231128P058697123")</f>
        <v>20231128P058697123</v>
      </c>
      <c r="AB94" s="2" t="str">
        <f>IFERROR(__xludf.DUMMYFUNCTION("""COMPUTED_VALUE"""),"ngabangapfa")</f>
        <v>ngabangapfa</v>
      </c>
    </row>
    <row r="95">
      <c r="A95" s="2" t="str">
        <f>IFERROR(__xludf.DUMMYFUNCTION("""COMPUTED_VALUE"""),"TT00093")</f>
        <v>TT00093</v>
      </c>
      <c r="B95" s="2" t="str">
        <f>IFERROR(__xludf.DUMMYFUNCTION("""COMPUTED_VALUE"""),"w/ pending")</f>
        <v>w/ pending</v>
      </c>
      <c r="C95" s="2"/>
      <c r="D95" s="2" t="str">
        <f>IFERROR(__xludf.DUMMYFUNCTION("""COMPUTED_VALUE"""),"PANINAAN-DAYA FARMERS ASSOCIATION INC.")</f>
        <v>PANINAAN-DAYA FARMERS ASSOCIATION INC.</v>
      </c>
      <c r="E95" s="2" t="str">
        <f>IFERROR(__xludf.DUMMYFUNCTION("""COMPUTED_VALUE"""),"Paninaan, Bacarra, Ilocos Norte")</f>
        <v>Paninaan, Bacarra, Ilocos Norte</v>
      </c>
      <c r="F95" s="2" t="str">
        <f>IFERROR(__xludf.DUMMYFUNCTION("""COMPUTED_VALUE"""),"Antonio T. Lomotan")</f>
        <v>Antonio T. Lomotan</v>
      </c>
      <c r="G95" s="2" t="str">
        <f>IFERROR(__xludf.DUMMYFUNCTION("""COMPUTED_VALUE"""),"0927-933-7043")</f>
        <v>0927-933-7043</v>
      </c>
      <c r="H95" s="2"/>
      <c r="I95" s="2"/>
      <c r="J95" s="2" t="str">
        <f>IFERROR(__xludf.DUMMYFUNCTION("""COMPUTED_VALUE"""),"- Rotavator
- Manuals")</f>
        <v>- Rotavator
- Manuals</v>
      </c>
      <c r="K95" s="2" t="str">
        <f>IFERROR(__xludf.DUMMYFUNCTION("""COMPUTED_VALUE"""),"RCEF 23-09-21 Rebidding")</f>
        <v>RCEF 23-09-21 Rebidding</v>
      </c>
      <c r="L95" s="2">
        <f>IFERROR(__xludf.DUMMYFUNCTION("""COMPUTED_VALUE"""),2.0)</f>
        <v>2</v>
      </c>
      <c r="M95" s="2">
        <f>IFERROR(__xludf.DUMMYFUNCTION("""COMPUTED_VALUE"""),1.0)</f>
        <v>1</v>
      </c>
      <c r="N95" s="2"/>
      <c r="O95" s="2"/>
      <c r="P95" s="2"/>
      <c r="Q95" s="2" t="str">
        <f>IFERROR(__xludf.DUMMYFUNCTION("""COMPUTED_VALUE"""),"KMC 5825 AKPFPV0015")</f>
        <v>KMC 5825 AKPFPV0015</v>
      </c>
      <c r="R95" s="2" t="str">
        <f>IFERROR(__xludf.DUMMYFUNCTION("""COMPUTED_VALUE"""),"PTS100017")</f>
        <v>PTS100017</v>
      </c>
      <c r="S95" s="2" t="str">
        <f>IFERROR(__xludf.DUMMYFUNCTION("""COMPUTED_VALUE"""),"R-SERIES 014PH")</f>
        <v>R-SERIES 014PH</v>
      </c>
      <c r="T95" s="2"/>
      <c r="U95" s="2" t="str">
        <f>IFERROR(__xludf.DUMMYFUNCTION("""COMPUTED_VALUE"""),"WR WDP 0020")</f>
        <v>WR WDP 0020</v>
      </c>
      <c r="V95" s="2" t="str">
        <f>IFERROR(__xludf.DUMMYFUNCTION("""COMPUTED_VALUE"""),"good")</f>
        <v>good</v>
      </c>
      <c r="W95" s="2" t="str">
        <f>IFERROR(__xludf.DUMMYFUNCTION("""COMPUTED_VALUE"""),"VL103D")</f>
        <v>VL103D</v>
      </c>
      <c r="X95" s="2">
        <f>IFERROR(__xludf.DUMMYFUNCTION("""COMPUTED_VALUE"""),8.69066060242634E14)</f>
        <v>869066060242634</v>
      </c>
      <c r="Y95" s="2">
        <f>IFERROR(__xludf.DUMMYFUNCTION("""COMPUTED_VALUE"""),9.690177986E9)</f>
        <v>9690177986</v>
      </c>
      <c r="Z95" s="3" t="str">
        <f>IFERROR(__xludf.DUMMYFUNCTION("""COMPUTED_VALUE"""),"03232022005168844")</f>
        <v>03232022005168844</v>
      </c>
      <c r="AA95" s="2" t="str">
        <f>IFERROR(__xludf.DUMMYFUNCTION("""COMPUTED_VALUE"""),"20231128P058697663")</f>
        <v>20231128P058697663</v>
      </c>
      <c r="AB95" s="2" t="str">
        <f>IFERROR(__xludf.DUMMYFUNCTION("""COMPUTED_VALUE"""),"paninaan-dayafa")</f>
        <v>paninaan-dayafa</v>
      </c>
    </row>
    <row r="96">
      <c r="A96" s="2" t="str">
        <f>IFERROR(__xludf.DUMMYFUNCTION("""COMPUTED_VALUE"""),"TT00094")</f>
        <v>TT00094</v>
      </c>
      <c r="B96" s="2" t="str">
        <f>IFERROR(__xludf.DUMMYFUNCTION("""COMPUTED_VALUE"""),"w/ pending")</f>
        <v>w/ pending</v>
      </c>
      <c r="C96" s="2"/>
      <c r="D96" s="2" t="str">
        <f>IFERROR(__xludf.DUMMYFUNCTION("""COMPUTED_VALUE"""),"62-A NAVOTAS FARMERS ASSOCIATION, INCORPORATED")</f>
        <v>62-A NAVOTAS FARMERS ASSOCIATION, INCORPORATED</v>
      </c>
      <c r="E96" s="2" t="str">
        <f>IFERROR(__xludf.DUMMYFUNCTION("""COMPUTED_VALUE"""),"Bgy. No. 62-A Navotas North"", Laoag City, ILOCOS NORTE")</f>
        <v>Bgy. No. 62-A Navotas North", Laoag City, ILOCOS NORTE</v>
      </c>
      <c r="F96" s="2" t="str">
        <f>IFERROR(__xludf.DUMMYFUNCTION("""COMPUTED_VALUE"""),"Robert J. Caday")</f>
        <v>Robert J. Caday</v>
      </c>
      <c r="G96" s="2" t="str">
        <f>IFERROR(__xludf.DUMMYFUNCTION("""COMPUTED_VALUE"""),"0961-366-9058/
0927-232-9218")</f>
        <v>0961-366-9058/
0927-232-9218</v>
      </c>
      <c r="H96" s="2"/>
      <c r="I96" s="2"/>
      <c r="J96" s="2" t="str">
        <f>IFERROR(__xludf.DUMMYFUNCTION("""COMPUTED_VALUE"""),"- Rotavator
- Manuals")</f>
        <v>- Rotavator
- Manuals</v>
      </c>
      <c r="K96" s="2" t="str">
        <f>IFERROR(__xludf.DUMMYFUNCTION("""COMPUTED_VALUE"""),"RCEF 23-09-21 Rebidding")</f>
        <v>RCEF 23-09-21 Rebidding</v>
      </c>
      <c r="L96" s="2">
        <f>IFERROR(__xludf.DUMMYFUNCTION("""COMPUTED_VALUE"""),2.0)</f>
        <v>2</v>
      </c>
      <c r="M96" s="2">
        <f>IFERROR(__xludf.DUMMYFUNCTION("""COMPUTED_VALUE"""),1.0)</f>
        <v>1</v>
      </c>
      <c r="N96" s="2"/>
      <c r="O96" s="2"/>
      <c r="P96" s="2"/>
      <c r="Q96" s="2" t="str">
        <f>IFERROR(__xludf.DUMMYFUNCTION("""COMPUTED_VALUE"""),"KMC 5825 ALPFPV0006")</f>
        <v>KMC 5825 ALPFPV0006</v>
      </c>
      <c r="R96" s="2" t="str">
        <f>IFERROR(__xludf.DUMMYFUNCTION("""COMPUTED_VALUE"""),"PTS100007")</f>
        <v>PTS100007</v>
      </c>
      <c r="S96" s="2" t="str">
        <f>IFERROR(__xludf.DUMMYFUNCTION("""COMPUTED_VALUE"""),"HL 22R009")</f>
        <v>HL 22R009</v>
      </c>
      <c r="T96" s="2"/>
      <c r="U96" s="2" t="str">
        <f>IFERROR(__xludf.DUMMYFUNCTION("""COMPUTED_VALUE"""),"WR WDP 0021")</f>
        <v>WR WDP 0021</v>
      </c>
      <c r="V96" s="2" t="str">
        <f>IFERROR(__xludf.DUMMYFUNCTION("""COMPUTED_VALUE"""),"good")</f>
        <v>good</v>
      </c>
      <c r="W96" s="2" t="str">
        <f>IFERROR(__xludf.DUMMYFUNCTION("""COMPUTED_VALUE"""),"VL103D")</f>
        <v>VL103D</v>
      </c>
      <c r="X96" s="2">
        <f>IFERROR(__xludf.DUMMYFUNCTION("""COMPUTED_VALUE"""),8.69066060239879E14)</f>
        <v>869066060239879</v>
      </c>
      <c r="Y96" s="2">
        <f>IFERROR(__xludf.DUMMYFUNCTION("""COMPUTED_VALUE"""),9.690177975E9)</f>
        <v>9690177975</v>
      </c>
      <c r="Z96" s="3" t="str">
        <f>IFERROR(__xludf.DUMMYFUNCTION("""COMPUTED_VALUE"""),"0323202005168836")</f>
        <v>0323202005168836</v>
      </c>
      <c r="AA96" s="2" t="str">
        <f>IFERROR(__xludf.DUMMYFUNCTION("""COMPUTED_VALUE"""),"20231128P058698871")</f>
        <v>20231128P058698871</v>
      </c>
      <c r="AB96" s="2" t="str">
        <f>IFERROR(__xludf.DUMMYFUNCTION("""COMPUTED_VALUE"""),"62Anovotasfa")</f>
        <v>62Anovotasfa</v>
      </c>
    </row>
    <row r="97">
      <c r="A97" s="2" t="str">
        <f>IFERROR(__xludf.DUMMYFUNCTION("""COMPUTED_VALUE"""),"TT00095")</f>
        <v>TT00095</v>
      </c>
      <c r="B97" s="2" t="str">
        <f>IFERROR(__xludf.DUMMYFUNCTION("""COMPUTED_VALUE"""),"Completed")</f>
        <v>Completed</v>
      </c>
      <c r="C97" s="2" t="str">
        <f>IFERROR(__xludf.DUMMYFUNCTION("""COMPUTED_VALUE"""),"billed L3")</f>
        <v>billed L3</v>
      </c>
      <c r="D97" s="2" t="str">
        <f>IFERROR(__xludf.DUMMYFUNCTION("""COMPUTED_VALUE"""),"MAKALIGAYA IRRIGATORS ASSOCIATION INC.")</f>
        <v>MAKALIGAYA IRRIGATORS ASSOCIATION INC.</v>
      </c>
      <c r="E97" s="2" t="str">
        <f>IFERROR(__xludf.DUMMYFUNCTION("""COMPUTED_VALUE"""),"Maligaya, Science City of Munoz, Nueva Ecija")</f>
        <v>Maligaya, Science City of Munoz, Nueva Ecija</v>
      </c>
      <c r="F97" s="2" t="str">
        <f>IFERROR(__xludf.DUMMYFUNCTION("""COMPUTED_VALUE"""),"Ben Gagelonia")</f>
        <v>Ben Gagelonia</v>
      </c>
      <c r="G97" s="2" t="str">
        <f>IFERROR(__xludf.DUMMYFUNCTION("""COMPUTED_VALUE"""),"0995-945-0742")</f>
        <v>0995-945-0742</v>
      </c>
      <c r="H97" s="2"/>
      <c r="I97" s="2"/>
      <c r="J97" s="2"/>
      <c r="K97" s="2" t="str">
        <f>IFERROR(__xludf.DUMMYFUNCTION("""COMPUTED_VALUE"""),"RCEF 23-09-21 Rebidding")</f>
        <v>RCEF 23-09-21 Rebidding</v>
      </c>
      <c r="L97" s="2">
        <f>IFERROR(__xludf.DUMMYFUNCTION("""COMPUTED_VALUE"""),3.0)</f>
        <v>3</v>
      </c>
      <c r="M97" s="2">
        <f>IFERROR(__xludf.DUMMYFUNCTION("""COMPUTED_VALUE"""),3.0)</f>
        <v>3</v>
      </c>
      <c r="N97" s="2"/>
      <c r="O97" s="2"/>
      <c r="P97" s="2"/>
      <c r="Q97" s="2" t="str">
        <f>IFERROR(__xludf.DUMMYFUNCTION("""COMPUTED_VALUE"""),"KMC 5825 AKPFPV0001")</f>
        <v>KMC 5825 AKPFPV0001</v>
      </c>
      <c r="R97" s="2" t="str">
        <f>IFERROR(__xludf.DUMMYFUNCTION("""COMPUTED_VALUE"""),"PTS100001")</f>
        <v>PTS100001</v>
      </c>
      <c r="S97" s="2" t="str">
        <f>IFERROR(__xludf.DUMMYFUNCTION("""COMPUTED_VALUE"""),"R-SERIES 002PH")</f>
        <v>R-SERIES 002PH</v>
      </c>
      <c r="T97" s="2"/>
      <c r="U97" s="2"/>
      <c r="V97" s="2" t="str">
        <f>IFERROR(__xludf.DUMMYFUNCTION("""COMPUTED_VALUE"""),"good")</f>
        <v>good</v>
      </c>
      <c r="W97" s="2" t="str">
        <f>IFERROR(__xludf.DUMMYFUNCTION("""COMPUTED_VALUE"""),"VL103D")</f>
        <v>VL103D</v>
      </c>
      <c r="X97" s="2">
        <f>IFERROR(__xludf.DUMMYFUNCTION("""COMPUTED_VALUE"""),8.69066060244655E14)</f>
        <v>869066060244655</v>
      </c>
      <c r="Y97" s="2">
        <f>IFERROR(__xludf.DUMMYFUNCTION("""COMPUTED_VALUE"""),9.690217481E9)</f>
        <v>9690217481</v>
      </c>
      <c r="Z97" s="3" t="str">
        <f>IFERROR(__xludf.DUMMYFUNCTION("""COMPUTED_VALUE"""),"0323202005168877")</f>
        <v>0323202005168877</v>
      </c>
      <c r="AA97" s="2" t="str">
        <f>IFERROR(__xludf.DUMMYFUNCTION("""COMPUTED_VALUE"""),"20231205P059022570")</f>
        <v>20231205P059022570</v>
      </c>
      <c r="AB97" s="2" t="str">
        <f>IFERROR(__xludf.DUMMYFUNCTION("""COMPUTED_VALUE"""),"makaligayairrig")</f>
        <v>makaligayairrig</v>
      </c>
    </row>
    <row r="98">
      <c r="A98" s="2" t="str">
        <f>IFERROR(__xludf.DUMMYFUNCTION("""COMPUTED_VALUE"""),"TT00096")</f>
        <v>TT00096</v>
      </c>
      <c r="B98" s="2" t="str">
        <f>IFERROR(__xludf.DUMMYFUNCTION("""COMPUTED_VALUE"""),"w/ pending")</f>
        <v>w/ pending</v>
      </c>
      <c r="C98" s="2" t="str">
        <f>IFERROR(__xludf.DUMMYFUNCTION("""COMPUTED_VALUE"""),"FOR BILLING L3")</f>
        <v>FOR BILLING L3</v>
      </c>
      <c r="D98" s="2" t="str">
        <f>IFERROR(__xludf.DUMMYFUNCTION("""COMPUTED_VALUE"""),"MARAGOL IRRIGATORS ASSOCIATION INC.")</f>
        <v>MARAGOL IRRIGATORS ASSOCIATION INC.</v>
      </c>
      <c r="E98" s="2" t="str">
        <f>IFERROR(__xludf.DUMMYFUNCTION("""COMPUTED_VALUE"""),"Maragol, Science City of Munoz, Nueva Ecija")</f>
        <v>Maragol, Science City of Munoz, Nueva Ecija</v>
      </c>
      <c r="F98" s="2" t="str">
        <f>IFERROR(__xludf.DUMMYFUNCTION("""COMPUTED_VALUE"""),"Romulo Bautista")</f>
        <v>Romulo Bautista</v>
      </c>
      <c r="G98" s="2" t="str">
        <f>IFERROR(__xludf.DUMMYFUNCTION("""COMPUTED_VALUE"""),"0929-468-5455")</f>
        <v>0929-468-5455</v>
      </c>
      <c r="H98" s="2"/>
      <c r="I98" s="2"/>
      <c r="J98" s="2" t="str">
        <f>IFERROR(__xludf.DUMMYFUNCTION("""COMPUTED_VALUE"""),"- Rotavator
- Disc plow
- Manuals")</f>
        <v>- Rotavator
- Disc plow
- Manuals</v>
      </c>
      <c r="K98" s="2" t="str">
        <f>IFERROR(__xludf.DUMMYFUNCTION("""COMPUTED_VALUE"""),"RCEF 23-09-21 Rebidding")</f>
        <v>RCEF 23-09-21 Rebidding</v>
      </c>
      <c r="L98" s="2">
        <f>IFERROR(__xludf.DUMMYFUNCTION("""COMPUTED_VALUE"""),3.0)</f>
        <v>3</v>
      </c>
      <c r="M98" s="2">
        <f>IFERROR(__xludf.DUMMYFUNCTION("""COMPUTED_VALUE"""),3.0)</f>
        <v>3</v>
      </c>
      <c r="N98" s="74">
        <f>IFERROR(__xludf.DUMMYFUNCTION("""COMPUTED_VALUE"""),45265.0)</f>
        <v>45265</v>
      </c>
      <c r="O98" s="74">
        <f>IFERROR(__xludf.DUMMYFUNCTION("""COMPUTED_VALUE"""),45267.0)</f>
        <v>45267</v>
      </c>
      <c r="P98" s="2">
        <f>IFERROR(__xludf.DUMMYFUNCTION("""COMPUTED_VALUE"""),17525.0)</f>
        <v>17525</v>
      </c>
      <c r="Q98" s="2" t="str">
        <f>IFERROR(__xludf.DUMMYFUNCTION("""COMPUTED_VALUE"""),"KMC 5825 AEPFPV0011")</f>
        <v>KMC 5825 AEPFPV0011</v>
      </c>
      <c r="R98" s="2" t="str">
        <f>IFERROR(__xludf.DUMMYFUNCTION("""COMPUTED_VALUE"""),"PTS100029")</f>
        <v>PTS100029</v>
      </c>
      <c r="S98" s="2" t="str">
        <f>IFERROR(__xludf.DUMMYFUNCTION("""COMPUTED_VALUE"""),"R-SERIES 021PH")</f>
        <v>R-SERIES 021PH</v>
      </c>
      <c r="T98" s="2" t="str">
        <f>IFERROR(__xludf.DUMMYFUNCTION("""COMPUTED_VALUE"""),"LSGW1750 RMP 24010225")</f>
        <v>LSGW1750 RMP 24010225</v>
      </c>
      <c r="U98" s="2" t="str">
        <f>IFERROR(__xludf.DUMMYFUNCTION("""COMPUTED_VALUE"""),"WDP40 RMP 24050626")</f>
        <v>WDP40 RMP 24050626</v>
      </c>
      <c r="V98" s="2" t="str">
        <f>IFERROR(__xludf.DUMMYFUNCTION("""COMPUTED_VALUE"""),"good")</f>
        <v>good</v>
      </c>
      <c r="W98" s="2" t="str">
        <f>IFERROR(__xludf.DUMMYFUNCTION("""COMPUTED_VALUE"""),"VL103D")</f>
        <v>VL103D</v>
      </c>
      <c r="X98" s="2">
        <f>IFERROR(__xludf.DUMMYFUNCTION("""COMPUTED_VALUE"""),8.69066060238541E14)</f>
        <v>869066060238541</v>
      </c>
      <c r="Y98" s="2">
        <f>IFERROR(__xludf.DUMMYFUNCTION("""COMPUTED_VALUE"""),9.690315944E9)</f>
        <v>9690315944</v>
      </c>
      <c r="Z98" s="3" t="str">
        <f>IFERROR(__xludf.DUMMYFUNCTION("""COMPUTED_VALUE"""),"0323202005168885")</f>
        <v>0323202005168885</v>
      </c>
      <c r="AA98" s="2" t="str">
        <f>IFERROR(__xludf.DUMMYFUNCTION("""COMPUTED_VALUE"""),"20231205P059023045")</f>
        <v>20231205P059023045</v>
      </c>
      <c r="AB98" s="2" t="str">
        <f>IFERROR(__xludf.DUMMYFUNCTION("""COMPUTED_VALUE"""),"maragolirrig")</f>
        <v>maragolirrig</v>
      </c>
    </row>
    <row r="99">
      <c r="A99" s="2" t="str">
        <f>IFERROR(__xludf.DUMMYFUNCTION("""COMPUTED_VALUE"""),"TT00097")</f>
        <v>TT00097</v>
      </c>
      <c r="B99" s="2" t="str">
        <f>IFERROR(__xludf.DUMMYFUNCTION("""COMPUTED_VALUE"""),"w/ pending")</f>
        <v>w/ pending</v>
      </c>
      <c r="C99" s="2" t="str">
        <f>IFERROR(__xludf.DUMMYFUNCTION("""COMPUTED_VALUE"""),"FOR BILLING L3")</f>
        <v>FOR BILLING L3</v>
      </c>
      <c r="D99" s="2" t="str">
        <f>IFERROR(__xludf.DUMMYFUNCTION("""COMPUTED_VALUE"""),"TRY ME AGRICULTURE COOPERATIVE (TMAC)")</f>
        <v>TRY ME AGRICULTURE COOPERATIVE (TMAC)</v>
      </c>
      <c r="E99" s="2" t="str">
        <f>IFERROR(__xludf.DUMMYFUNCTION("""COMPUTED_VALUE"""),"Poblacion West, Science City of Munoz, Nueva Ecija")</f>
        <v>Poblacion West, Science City of Munoz, Nueva Ecija</v>
      </c>
      <c r="F99" s="2" t="str">
        <f>IFERROR(__xludf.DUMMYFUNCTION("""COMPUTED_VALUE"""),"Sofronio G Padua")</f>
        <v>Sofronio G Padua</v>
      </c>
      <c r="G99" s="2" t="str">
        <f>IFERROR(__xludf.DUMMYFUNCTION("""COMPUTED_VALUE"""),"0917-988-2079")</f>
        <v>0917-988-2079</v>
      </c>
      <c r="H99" s="2"/>
      <c r="I99" s="2"/>
      <c r="J99" s="2" t="str">
        <f>IFERROR(__xludf.DUMMYFUNCTION("""COMPUTED_VALUE"""),"- Rotavator
- Disc plow
- Manuals")</f>
        <v>- Rotavator
- Disc plow
- Manuals</v>
      </c>
      <c r="K99" s="2" t="str">
        <f>IFERROR(__xludf.DUMMYFUNCTION("""COMPUTED_VALUE"""),"RCEF 23-09-21 Rebidding")</f>
        <v>RCEF 23-09-21 Rebidding</v>
      </c>
      <c r="L99" s="2">
        <f>IFERROR(__xludf.DUMMYFUNCTION("""COMPUTED_VALUE"""),3.0)</f>
        <v>3</v>
      </c>
      <c r="M99" s="2">
        <f>IFERROR(__xludf.DUMMYFUNCTION("""COMPUTED_VALUE"""),3.0)</f>
        <v>3</v>
      </c>
      <c r="N99" s="74">
        <f>IFERROR(__xludf.DUMMYFUNCTION("""COMPUTED_VALUE"""),45265.0)</f>
        <v>45265</v>
      </c>
      <c r="O99" s="74">
        <f>IFERROR(__xludf.DUMMYFUNCTION("""COMPUTED_VALUE"""),45267.0)</f>
        <v>45267</v>
      </c>
      <c r="P99" s="2">
        <f>IFERROR(__xludf.DUMMYFUNCTION("""COMPUTED_VALUE"""),17526.0)</f>
        <v>17526</v>
      </c>
      <c r="Q99" s="2" t="str">
        <f>IFERROR(__xludf.DUMMYFUNCTION("""COMPUTED_VALUE"""),"KMC 5825 ATPFPV0027")</f>
        <v>KMC 5825 ATPFPV0027</v>
      </c>
      <c r="R99" s="2" t="str">
        <f>IFERROR(__xludf.DUMMYFUNCTION("""COMPUTED_VALUE"""),"PTS100024")</f>
        <v>PTS100024</v>
      </c>
      <c r="S99" s="2" t="str">
        <f>IFERROR(__xludf.DUMMYFUNCTION("""COMPUTED_VALUE"""),"R-SERIES 004PH")</f>
        <v>R-SERIES 004PH</v>
      </c>
      <c r="T99" s="2" t="str">
        <f>IFERROR(__xludf.DUMMYFUNCTION("""COMPUTED_VALUE"""),"LSGW1750 RMP 24020416")</f>
        <v>LSGW1750 RMP 24020416</v>
      </c>
      <c r="U99" s="2" t="str">
        <f>IFERROR(__xludf.DUMMYFUNCTION("""COMPUTED_VALUE"""),"WDP40 RMP 24050633")</f>
        <v>WDP40 RMP 24050633</v>
      </c>
      <c r="V99" s="2" t="str">
        <f>IFERROR(__xludf.DUMMYFUNCTION("""COMPUTED_VALUE"""),"good")</f>
        <v>good</v>
      </c>
      <c r="W99" s="2" t="str">
        <f>IFERROR(__xludf.DUMMYFUNCTION("""COMPUTED_VALUE"""),"VL103D")</f>
        <v>VL103D</v>
      </c>
      <c r="X99" s="2">
        <f>IFERROR(__xludf.DUMMYFUNCTION("""COMPUTED_VALUE"""),8.69066060242915E14)</f>
        <v>869066060242915</v>
      </c>
      <c r="Y99" s="2">
        <f>IFERROR(__xludf.DUMMYFUNCTION("""COMPUTED_VALUE"""),9.690177938E9)</f>
        <v>9690177938</v>
      </c>
      <c r="Z99" s="3" t="str">
        <f>IFERROR(__xludf.DUMMYFUNCTION("""COMPUTED_VALUE"""),"0323202005168869")</f>
        <v>0323202005168869</v>
      </c>
      <c r="AA99" s="2" t="str">
        <f>IFERROR(__xludf.DUMMYFUNCTION("""COMPUTED_VALUE"""),"20231205P059023492")</f>
        <v>20231205P059023492</v>
      </c>
      <c r="AB99" s="2" t="str">
        <f>IFERROR(__xludf.DUMMYFUNCTION("""COMPUTED_VALUE"""),"tmac")</f>
        <v>tmac</v>
      </c>
    </row>
    <row r="100">
      <c r="A100" s="2" t="str">
        <f>IFERROR(__xludf.DUMMYFUNCTION("""COMPUTED_VALUE"""),"TT00098")</f>
        <v>TT00098</v>
      </c>
      <c r="B100" s="2" t="str">
        <f>IFERROR(__xludf.DUMMYFUNCTION("""COMPUTED_VALUE"""),"Completed")</f>
        <v>Completed</v>
      </c>
      <c r="C100" s="2" t="str">
        <f>IFERROR(__xludf.DUMMYFUNCTION("""COMPUTED_VALUE"""),"billed L3")</f>
        <v>billed L3</v>
      </c>
      <c r="D100" s="2" t="str">
        <f>IFERROR(__xludf.DUMMYFUNCTION("""COMPUTED_VALUE"""),"LA PAZ FARMERS ASSOCIATION")</f>
        <v>LA PAZ FARMERS ASSOCIATION</v>
      </c>
      <c r="E100" s="2" t="str">
        <f>IFERROR(__xludf.DUMMYFUNCTION("""COMPUTED_VALUE"""),"La Paz, Magalang, PAMPANGA")</f>
        <v>La Paz, Magalang, PAMPANGA</v>
      </c>
      <c r="F100" s="2" t="str">
        <f>IFERROR(__xludf.DUMMYFUNCTION("""COMPUTED_VALUE"""),"ROLANDO P. BARTOLO")</f>
        <v>ROLANDO P. BARTOLO</v>
      </c>
      <c r="G100" s="2" t="str">
        <f>IFERROR(__xludf.DUMMYFUNCTION("""COMPUTED_VALUE"""),"0926-188-3530")</f>
        <v>0926-188-3530</v>
      </c>
      <c r="H100" s="2"/>
      <c r="I100" s="2"/>
      <c r="J100" s="2"/>
      <c r="K100" s="2" t="str">
        <f>IFERROR(__xludf.DUMMYFUNCTION("""COMPUTED_VALUE"""),"RCEF 23-09-21 Rebidding")</f>
        <v>RCEF 23-09-21 Rebidding</v>
      </c>
      <c r="L100" s="2">
        <f>IFERROR(__xludf.DUMMYFUNCTION("""COMPUTED_VALUE"""),3.0)</f>
        <v>3</v>
      </c>
      <c r="M100" s="2">
        <f>IFERROR(__xludf.DUMMYFUNCTION("""COMPUTED_VALUE"""),3.0)</f>
        <v>3</v>
      </c>
      <c r="N100" s="74">
        <f>IFERROR(__xludf.DUMMYFUNCTION("""COMPUTED_VALUE"""),45302.0)</f>
        <v>45302</v>
      </c>
      <c r="O100" s="74">
        <f>IFERROR(__xludf.DUMMYFUNCTION("""COMPUTED_VALUE"""),45299.0)</f>
        <v>45299</v>
      </c>
      <c r="P100" s="2">
        <f>IFERROR(__xludf.DUMMYFUNCTION("""COMPUTED_VALUE"""),17782.0)</f>
        <v>17782</v>
      </c>
      <c r="Q100" s="2" t="str">
        <f>IFERROR(__xludf.DUMMYFUNCTION("""COMPUTED_VALUE"""),"KMC5825 AAPFPV0151")</f>
        <v>KMC5825 AAPFPV0151</v>
      </c>
      <c r="R100" s="2" t="str">
        <f>IFERROR(__xludf.DUMMYFUNCTION("""COMPUTED_VALUE"""),"PTS100089")</f>
        <v>PTS100089</v>
      </c>
      <c r="S100" s="2" t="str">
        <f>IFERROR(__xludf.DUMMYFUNCTION("""COMPUTED_VALUE"""),"R-SERIES 090PH")</f>
        <v>R-SERIES 090PH</v>
      </c>
      <c r="T100" s="2" t="str">
        <f>IFERROR(__xludf.DUMMYFUNCTION("""COMPUTED_VALUE"""),"LSGW1750-RMP-2312030")</f>
        <v>LSGW1750-RMP-2312030</v>
      </c>
      <c r="U100" s="2" t="str">
        <f>IFERROR(__xludf.DUMMYFUNCTION("""COMPUTED_VALUE"""),"WDP40-RMP-2312013")</f>
        <v>WDP40-RMP-2312013</v>
      </c>
      <c r="V100" s="2" t="str">
        <f>IFERROR(__xludf.DUMMYFUNCTION("""COMPUTED_VALUE"""),"good")</f>
        <v>good</v>
      </c>
      <c r="W100" s="2" t="str">
        <f>IFERROR(__xludf.DUMMYFUNCTION("""COMPUTED_VALUE"""),"VL103D")</f>
        <v>VL103D</v>
      </c>
      <c r="X100" s="2">
        <f>IFERROR(__xludf.DUMMYFUNCTION("""COMPUTED_VALUE"""),8.69066060244838E14)</f>
        <v>869066060244838</v>
      </c>
      <c r="Y100" s="2" t="str">
        <f>IFERROR(__xludf.DUMMYFUNCTION("""COMPUTED_VALUE"""),"09690232778")</f>
        <v>09690232778</v>
      </c>
      <c r="Z100" s="3" t="str">
        <f>IFERROR(__xludf.DUMMYFUNCTION("""COMPUTED_VALUE"""),"0323202005168984")</f>
        <v>0323202005168984</v>
      </c>
      <c r="AA100" s="2"/>
      <c r="AB100" s="2" t="str">
        <f>IFERROR(__xludf.DUMMYFUNCTION("""COMPUTED_VALUE"""),"lapazfa")</f>
        <v>lapazfa</v>
      </c>
    </row>
    <row r="101">
      <c r="A101" s="2" t="str">
        <f>IFERROR(__xludf.DUMMYFUNCTION("""COMPUTED_VALUE"""),"TT00099")</f>
        <v>TT00099</v>
      </c>
      <c r="B101" s="2" t="str">
        <f>IFERROR(__xludf.DUMMYFUNCTION("""COMPUTED_VALUE"""),"Completed")</f>
        <v>Completed</v>
      </c>
      <c r="C101" s="2" t="str">
        <f>IFERROR(__xludf.DUMMYFUNCTION("""COMPUTED_VALUE"""),"billed L3")</f>
        <v>billed L3</v>
      </c>
      <c r="D101" s="2" t="str">
        <f>IFERROR(__xludf.DUMMYFUNCTION("""COMPUTED_VALUE"""),"FARMERS ASSOCIATION OF SAN JOSE MABANGKUANG INC.")</f>
        <v>FARMERS ASSOCIATION OF SAN JOSE MABANGKUANG INC.</v>
      </c>
      <c r="E101" s="2" t="str">
        <f>IFERROR(__xludf.DUMMYFUNCTION("""COMPUTED_VALUE"""),"San Jose, Floridablanca, PAMPANGA")</f>
        <v>San Jose, Floridablanca, PAMPANGA</v>
      </c>
      <c r="F101" s="2" t="str">
        <f>IFERROR(__xludf.DUMMYFUNCTION("""COMPUTED_VALUE"""),"REMIGIO S. ICBAN")</f>
        <v>REMIGIO S. ICBAN</v>
      </c>
      <c r="G101" s="2" t="str">
        <f>IFERROR(__xludf.DUMMYFUNCTION("""COMPUTED_VALUE"""),"0910-659-5825")</f>
        <v>0910-659-5825</v>
      </c>
      <c r="H101" s="2"/>
      <c r="I101" s="2"/>
      <c r="J101" s="2"/>
      <c r="K101" s="2" t="str">
        <f>IFERROR(__xludf.DUMMYFUNCTION("""COMPUTED_VALUE"""),"RCEF 23-09-21 Rebidding")</f>
        <v>RCEF 23-09-21 Rebidding</v>
      </c>
      <c r="L101" s="2">
        <f>IFERROR(__xludf.DUMMYFUNCTION("""COMPUTED_VALUE"""),3.0)</f>
        <v>3</v>
      </c>
      <c r="M101" s="2">
        <f>IFERROR(__xludf.DUMMYFUNCTION("""COMPUTED_VALUE"""),3.0)</f>
        <v>3</v>
      </c>
      <c r="N101" s="74">
        <f>IFERROR(__xludf.DUMMYFUNCTION("""COMPUTED_VALUE"""),45302.0)</f>
        <v>45302</v>
      </c>
      <c r="O101" s="74">
        <f>IFERROR(__xludf.DUMMYFUNCTION("""COMPUTED_VALUE"""),45299.0)</f>
        <v>45299</v>
      </c>
      <c r="P101" s="2">
        <f>IFERROR(__xludf.DUMMYFUNCTION("""COMPUTED_VALUE"""),17783.0)</f>
        <v>17783</v>
      </c>
      <c r="Q101" s="2" t="str">
        <f>IFERROR(__xludf.DUMMYFUNCTION("""COMPUTED_VALUE"""),"KMC5825 ALPFPV0071")</f>
        <v>KMC5825 ALPFPV0071</v>
      </c>
      <c r="R101" s="2" t="str">
        <f>IFERROR(__xludf.DUMMYFUNCTION("""COMPUTED_VALUE"""),"PTS100082")</f>
        <v>PTS100082</v>
      </c>
      <c r="S101" s="2" t="str">
        <f>IFERROR(__xludf.DUMMYFUNCTION("""COMPUTED_VALUE"""),"R-SERIES 097PH")</f>
        <v>R-SERIES 097PH</v>
      </c>
      <c r="T101" s="2" t="str">
        <f>IFERROR(__xludf.DUMMYFUNCTION("""COMPUTED_VALUE"""),"LSGW1750-RMP-2312029")</f>
        <v>LSGW1750-RMP-2312029</v>
      </c>
      <c r="U101" s="2" t="str">
        <f>IFERROR(__xludf.DUMMYFUNCTION("""COMPUTED_VALUE"""),"WDP40-RMP-2312014")</f>
        <v>WDP40-RMP-2312014</v>
      </c>
      <c r="V101" s="2" t="str">
        <f>IFERROR(__xludf.DUMMYFUNCTION("""COMPUTED_VALUE"""),"INACTIVE - SIM")</f>
        <v>INACTIVE - SIM</v>
      </c>
      <c r="W101" s="2" t="str">
        <f>IFERROR(__xludf.DUMMYFUNCTION("""COMPUTED_VALUE"""),"VL103D")</f>
        <v>VL103D</v>
      </c>
      <c r="X101" s="2">
        <f>IFERROR(__xludf.DUMMYFUNCTION("""COMPUTED_VALUE"""),8.69066060243384E14)</f>
        <v>869066060243384</v>
      </c>
      <c r="Y101" s="2" t="str">
        <f>IFERROR(__xludf.DUMMYFUNCTION("""COMPUTED_VALUE"""),"09690294643")</f>
        <v>09690294643</v>
      </c>
      <c r="Z101" s="3" t="str">
        <f>IFERROR(__xludf.DUMMYFUNCTION("""COMPUTED_VALUE"""),"0323202005168976")</f>
        <v>0323202005168976</v>
      </c>
      <c r="AA101" s="2"/>
      <c r="AB101" s="2" t="str">
        <f>IFERROR(__xludf.DUMMYFUNCTION("""COMPUTED_VALUE"""),"fasanjose")</f>
        <v>fasanjose</v>
      </c>
    </row>
    <row r="102">
      <c r="A102" s="2" t="str">
        <f>IFERROR(__xludf.DUMMYFUNCTION("""COMPUTED_VALUE"""),"TT00100")</f>
        <v>TT00100</v>
      </c>
      <c r="B102" s="2" t="str">
        <f>IFERROR(__xludf.DUMMYFUNCTION("""COMPUTED_VALUE"""),"Completed")</f>
        <v>Completed</v>
      </c>
      <c r="C102" s="2" t="str">
        <f>IFERROR(__xludf.DUMMYFUNCTION("""COMPUTED_VALUE"""),"billed L3")</f>
        <v>billed L3</v>
      </c>
      <c r="D102" s="2" t="str">
        <f>IFERROR(__xludf.DUMMYFUNCTION("""COMPUTED_VALUE"""),"PRADO SIONGCO RICE &amp; CORN FARMERS ASSOCIATION")</f>
        <v>PRADO SIONGCO RICE &amp; CORN FARMERS ASSOCIATION</v>
      </c>
      <c r="E102" s="2" t="str">
        <f>IFERROR(__xludf.DUMMYFUNCTION("""COMPUTED_VALUE"""),"Prado Siongco, Lubao, PAMPANGA")</f>
        <v>Prado Siongco, Lubao, PAMPANGA</v>
      </c>
      <c r="F102" s="2" t="str">
        <f>IFERROR(__xludf.DUMMYFUNCTION("""COMPUTED_VALUE"""),"EDGAR M. ROQUE")</f>
        <v>EDGAR M. ROQUE</v>
      </c>
      <c r="G102" s="2" t="str">
        <f>IFERROR(__xludf.DUMMYFUNCTION("""COMPUTED_VALUE"""),"0950-939-3306/ 0946-838-3228")</f>
        <v>0950-939-3306/ 0946-838-3228</v>
      </c>
      <c r="H102" s="2"/>
      <c r="I102" s="2"/>
      <c r="J102" s="2"/>
      <c r="K102" s="2" t="str">
        <f>IFERROR(__xludf.DUMMYFUNCTION("""COMPUTED_VALUE"""),"RCEF 23-09-21 Rebidding")</f>
        <v>RCEF 23-09-21 Rebidding</v>
      </c>
      <c r="L102" s="2">
        <f>IFERROR(__xludf.DUMMYFUNCTION("""COMPUTED_VALUE"""),3.0)</f>
        <v>3</v>
      </c>
      <c r="M102" s="2">
        <f>IFERROR(__xludf.DUMMYFUNCTION("""COMPUTED_VALUE"""),3.0)</f>
        <v>3</v>
      </c>
      <c r="N102" s="74">
        <f>IFERROR(__xludf.DUMMYFUNCTION("""COMPUTED_VALUE"""),45302.0)</f>
        <v>45302</v>
      </c>
      <c r="O102" s="74">
        <f>IFERROR(__xludf.DUMMYFUNCTION("""COMPUTED_VALUE"""),45299.0)</f>
        <v>45299</v>
      </c>
      <c r="P102" s="2">
        <f>IFERROR(__xludf.DUMMYFUNCTION("""COMPUTED_VALUE"""),17784.0)</f>
        <v>17784</v>
      </c>
      <c r="Q102" s="2" t="str">
        <f>IFERROR(__xludf.DUMMYFUNCTION("""COMPUTED_VALUE"""),"KMC5825 ATPFPV0075")</f>
        <v>KMC5825 ATPFPV0075</v>
      </c>
      <c r="R102" s="2" t="str">
        <f>IFERROR(__xludf.DUMMYFUNCTION("""COMPUTED_VALUE"""),"PTS100058")</f>
        <v>PTS100058</v>
      </c>
      <c r="S102" s="2" t="str">
        <f>IFERROR(__xludf.DUMMYFUNCTION("""COMPUTED_VALUE"""),"R-SERIES 101PH")</f>
        <v>R-SERIES 101PH</v>
      </c>
      <c r="T102" s="2" t="str">
        <f>IFERROR(__xludf.DUMMYFUNCTION("""COMPUTED_VALUE"""),"LSGW1750-RMP-2312031")</f>
        <v>LSGW1750-RMP-2312031</v>
      </c>
      <c r="U102" s="2" t="str">
        <f>IFERROR(__xludf.DUMMYFUNCTION("""COMPUTED_VALUE"""),"WDP40-RMP-2312010")</f>
        <v>WDP40-RMP-2312010</v>
      </c>
      <c r="V102" s="2" t="str">
        <f>IFERROR(__xludf.DUMMYFUNCTION("""COMPUTED_VALUE"""),"good")</f>
        <v>good</v>
      </c>
      <c r="W102" s="2" t="str">
        <f>IFERROR(__xludf.DUMMYFUNCTION("""COMPUTED_VALUE"""),"VL103D")</f>
        <v>VL103D</v>
      </c>
      <c r="X102" s="2">
        <f>IFERROR(__xludf.DUMMYFUNCTION("""COMPUTED_VALUE"""),8.69066060243467E14)</f>
        <v>869066060243467</v>
      </c>
      <c r="Y102" s="2" t="str">
        <f>IFERROR(__xludf.DUMMYFUNCTION("""COMPUTED_VALUE"""),"09690461595")</f>
        <v>09690461595</v>
      </c>
      <c r="Z102" s="3" t="str">
        <f>IFERROR(__xludf.DUMMYFUNCTION("""COMPUTED_VALUE"""),"0323202005168968")</f>
        <v>0323202005168968</v>
      </c>
      <c r="AA102" s="2" t="str">
        <f>IFERROR(__xludf.DUMMYFUNCTION("""COMPUTED_VALUE"""),"20240110P060847074")</f>
        <v>20240110P060847074</v>
      </c>
      <c r="AB102" s="2" t="str">
        <f>IFERROR(__xludf.DUMMYFUNCTION("""COMPUTED_VALUE"""),"prodosiongcofa")</f>
        <v>prodosiongcofa</v>
      </c>
    </row>
    <row r="103">
      <c r="A103" s="2" t="str">
        <f>IFERROR(__xludf.DUMMYFUNCTION("""COMPUTED_VALUE"""),"TT00101")</f>
        <v>TT00101</v>
      </c>
      <c r="B103" s="2" t="str">
        <f>IFERROR(__xludf.DUMMYFUNCTION("""COMPUTED_VALUE"""),"Completed")</f>
        <v>Completed</v>
      </c>
      <c r="C103" s="2" t="str">
        <f>IFERROR(__xludf.DUMMYFUNCTION("""COMPUTED_VALUE"""),"billed L3")</f>
        <v>billed L3</v>
      </c>
      <c r="D103" s="2" t="str">
        <f>IFERROR(__xludf.DUMMYFUNCTION("""COMPUTED_VALUE"""),"San Roque Farmers Agriculture Cooperative")</f>
        <v>San Roque Farmers Agriculture Cooperative</v>
      </c>
      <c r="E103" s="2" t="str">
        <f>IFERROR(__xludf.DUMMYFUNCTION("""COMPUTED_VALUE"""),"Sepung Bulaun, Porac, PAMPANGA")</f>
        <v>Sepung Bulaun, Porac, PAMPANGA</v>
      </c>
      <c r="F103" s="2" t="str">
        <f>IFERROR(__xludf.DUMMYFUNCTION("""COMPUTED_VALUE"""),"GLEN OCAMPO")</f>
        <v>GLEN OCAMPO</v>
      </c>
      <c r="G103" s="2" t="str">
        <f>IFERROR(__xludf.DUMMYFUNCTION("""COMPUTED_VALUE"""),"0908-226-1441")</f>
        <v>0908-226-1441</v>
      </c>
      <c r="H103" s="2"/>
      <c r="I103" s="2"/>
      <c r="J103" s="2"/>
      <c r="K103" s="2" t="str">
        <f>IFERROR(__xludf.DUMMYFUNCTION("""COMPUTED_VALUE"""),"RCEF 23-09-21 Rebidding")</f>
        <v>RCEF 23-09-21 Rebidding</v>
      </c>
      <c r="L103" s="2">
        <f>IFERROR(__xludf.DUMMYFUNCTION("""COMPUTED_VALUE"""),3.0)</f>
        <v>3</v>
      </c>
      <c r="M103" s="2">
        <f>IFERROR(__xludf.DUMMYFUNCTION("""COMPUTED_VALUE"""),3.0)</f>
        <v>3</v>
      </c>
      <c r="N103" s="74">
        <f>IFERROR(__xludf.DUMMYFUNCTION("""COMPUTED_VALUE"""),45302.0)</f>
        <v>45302</v>
      </c>
      <c r="O103" s="74">
        <f>IFERROR(__xludf.DUMMYFUNCTION("""COMPUTED_VALUE"""),45299.0)</f>
        <v>45299</v>
      </c>
      <c r="P103" s="2">
        <f>IFERROR(__xludf.DUMMYFUNCTION("""COMPUTED_VALUE"""),17785.0)</f>
        <v>17785</v>
      </c>
      <c r="Q103" s="2" t="str">
        <f>IFERROR(__xludf.DUMMYFUNCTION("""COMPUTED_VALUE"""),"KMC5825 APPFPV0059")</f>
        <v>KMC5825 APPFPV0059</v>
      </c>
      <c r="R103" s="2" t="str">
        <f>IFERROR(__xludf.DUMMYFUNCTION("""COMPUTED_VALUE"""),"PTS100109")</f>
        <v>PTS100109</v>
      </c>
      <c r="S103" s="2" t="str">
        <f>IFERROR(__xludf.DUMMYFUNCTION("""COMPUTED_VALUE"""),"R-SERIES 093PH")</f>
        <v>R-SERIES 093PH</v>
      </c>
      <c r="T103" s="2" t="str">
        <f>IFERROR(__xludf.DUMMYFUNCTION("""COMPUTED_VALUE"""),"LSGW1750-RMP-2312035")</f>
        <v>LSGW1750-RMP-2312035</v>
      </c>
      <c r="U103" s="2" t="str">
        <f>IFERROR(__xludf.DUMMYFUNCTION("""COMPUTED_VALUE"""),"WDP40-RMP-2312022")</f>
        <v>WDP40-RMP-2312022</v>
      </c>
      <c r="V103" s="2" t="str">
        <f>IFERROR(__xludf.DUMMYFUNCTION("""COMPUTED_VALUE"""),"good")</f>
        <v>good</v>
      </c>
      <c r="W103" s="2" t="str">
        <f>IFERROR(__xludf.DUMMYFUNCTION("""COMPUTED_VALUE"""),"VL103D")</f>
        <v>VL103D</v>
      </c>
      <c r="X103" s="2">
        <f>IFERROR(__xludf.DUMMYFUNCTION("""COMPUTED_VALUE"""),8.69066060243434E14)</f>
        <v>869066060243434</v>
      </c>
      <c r="Y103" s="2" t="str">
        <f>IFERROR(__xludf.DUMMYFUNCTION("""COMPUTED_VALUE"""),"09690461594")</f>
        <v>09690461594</v>
      </c>
      <c r="Z103" s="3" t="str">
        <f>IFERROR(__xludf.DUMMYFUNCTION("""COMPUTED_VALUE"""),"0323202005168950")</f>
        <v>0323202005168950</v>
      </c>
      <c r="AA103" s="2"/>
      <c r="AB103" s="2" t="str">
        <f>IFERROR(__xludf.DUMMYFUNCTION("""COMPUTED_VALUE"""),"sanroquefac")</f>
        <v>sanroquefac</v>
      </c>
    </row>
    <row r="104">
      <c r="A104" s="2" t="str">
        <f>IFERROR(__xludf.DUMMYFUNCTION("""COMPUTED_VALUE"""),"TT00102")</f>
        <v>TT00102</v>
      </c>
      <c r="B104" s="2" t="str">
        <f>IFERROR(__xludf.DUMMYFUNCTION("""COMPUTED_VALUE"""),"Completed")</f>
        <v>Completed</v>
      </c>
      <c r="C104" s="2" t="str">
        <f>IFERROR(__xludf.DUMMYFUNCTION("""COMPUTED_VALUE"""),"billed L3")</f>
        <v>billed L3</v>
      </c>
      <c r="D104" s="2" t="str">
        <f>IFERROR(__xludf.DUMMYFUNCTION("""COMPUTED_VALUE"""),"ARENAS GRAIN FARMERS ASSOCIATION")</f>
        <v>ARENAS GRAIN FARMERS ASSOCIATION</v>
      </c>
      <c r="E104" s="2" t="str">
        <f>IFERROR(__xludf.DUMMYFUNCTION("""COMPUTED_VALUE"""),"Arenas, Arayat, PAMPANGA")</f>
        <v>Arenas, Arayat, PAMPANGA</v>
      </c>
      <c r="F104" s="2" t="str">
        <f>IFERROR(__xludf.DUMMYFUNCTION("""COMPUTED_VALUE"""),"DIOSDADO G. QUIZON")</f>
        <v>DIOSDADO G. QUIZON</v>
      </c>
      <c r="G104" s="2" t="str">
        <f>IFERROR(__xludf.DUMMYFUNCTION("""COMPUTED_VALUE"""),"0921-713-7513/ 0936-072-0513")</f>
        <v>0921-713-7513/ 0936-072-0513</v>
      </c>
      <c r="H104" s="2"/>
      <c r="I104" s="2"/>
      <c r="J104" s="2"/>
      <c r="K104" s="2" t="str">
        <f>IFERROR(__xludf.DUMMYFUNCTION("""COMPUTED_VALUE"""),"RCEF 23-09-21 Rebidding")</f>
        <v>RCEF 23-09-21 Rebidding</v>
      </c>
      <c r="L104" s="2">
        <f>IFERROR(__xludf.DUMMYFUNCTION("""COMPUTED_VALUE"""),3.0)</f>
        <v>3</v>
      </c>
      <c r="M104" s="2">
        <f>IFERROR(__xludf.DUMMYFUNCTION("""COMPUTED_VALUE"""),3.0)</f>
        <v>3</v>
      </c>
      <c r="N104" s="74">
        <f>IFERROR(__xludf.DUMMYFUNCTION("""COMPUTED_VALUE"""),45302.0)</f>
        <v>45302</v>
      </c>
      <c r="O104" s="74">
        <f>IFERROR(__xludf.DUMMYFUNCTION("""COMPUTED_VALUE"""),45299.0)</f>
        <v>45299</v>
      </c>
      <c r="P104" s="2">
        <f>IFERROR(__xludf.DUMMYFUNCTION("""COMPUTED_VALUE"""),17786.0)</f>
        <v>17786</v>
      </c>
      <c r="Q104" s="2" t="str">
        <f>IFERROR(__xludf.DUMMYFUNCTION("""COMPUTED_VALUE"""),"KMC5825 ALPFPV0085")</f>
        <v>KMC5825 ALPFPV0085</v>
      </c>
      <c r="R104" s="2" t="str">
        <f>IFERROR(__xludf.DUMMYFUNCTION("""COMPUTED_VALUE"""),"PTS100158")</f>
        <v>PTS100158</v>
      </c>
      <c r="S104" s="2" t="str">
        <f>IFERROR(__xludf.DUMMYFUNCTION("""COMPUTED_VALUE"""),"R-SERIES 094PH")</f>
        <v>R-SERIES 094PH</v>
      </c>
      <c r="T104" s="2" t="str">
        <f>IFERROR(__xludf.DUMMYFUNCTION("""COMPUTED_VALUE"""),"LSGW1750-RMP-2312007")</f>
        <v>LSGW1750-RMP-2312007</v>
      </c>
      <c r="U104" s="2" t="str">
        <f>IFERROR(__xludf.DUMMYFUNCTION("""COMPUTED_VALUE"""),"WDP40-RMP-2312034")</f>
        <v>WDP40-RMP-2312034</v>
      </c>
      <c r="V104" s="2" t="str">
        <f>IFERROR(__xludf.DUMMYFUNCTION("""COMPUTED_VALUE"""),"INACTIVE - SIM")</f>
        <v>INACTIVE - SIM</v>
      </c>
      <c r="W104" s="2" t="str">
        <f>IFERROR(__xludf.DUMMYFUNCTION("""COMPUTED_VALUE"""),"VL103D")</f>
        <v>VL103D</v>
      </c>
      <c r="X104" s="2">
        <f>IFERROR(__xludf.DUMMYFUNCTION("""COMPUTED_VALUE"""),8.69066060244796E14)</f>
        <v>869066060244796</v>
      </c>
      <c r="Y104" s="2" t="str">
        <f>IFERROR(__xludf.DUMMYFUNCTION("""COMPUTED_VALUE"""),"0969461592")</f>
        <v>0969461592</v>
      </c>
      <c r="Z104" s="3" t="str">
        <f>IFERROR(__xludf.DUMMYFUNCTION("""COMPUTED_VALUE"""),"0323202005168943")</f>
        <v>0323202005168943</v>
      </c>
      <c r="AA104" s="2"/>
      <c r="AB104" s="2" t="str">
        <f>IFERROR(__xludf.DUMMYFUNCTION("""COMPUTED_VALUE"""),"arenasgrainfa")</f>
        <v>arenasgrainfa</v>
      </c>
    </row>
    <row r="105">
      <c r="A105" s="2" t="str">
        <f>IFERROR(__xludf.DUMMYFUNCTION("""COMPUTED_VALUE"""),"TT00103")</f>
        <v>TT00103</v>
      </c>
      <c r="B105" s="2" t="str">
        <f>IFERROR(__xludf.DUMMYFUNCTION("""COMPUTED_VALUE"""),"Completed")</f>
        <v>Completed</v>
      </c>
      <c r="C105" s="2" t="str">
        <f>IFERROR(__xludf.DUMMYFUNCTION("""COMPUTED_VALUE"""),"billed L3")</f>
        <v>billed L3</v>
      </c>
      <c r="D105" s="2" t="str">
        <f>IFERROR(__xludf.DUMMYFUNCTION("""COMPUTED_VALUE"""),"ASUSASYON NG MASISIPAG NA MAGSASAKA NG BARANGAY CAMBA INC.")</f>
        <v>ASUSASYON NG MASISIPAG NA MAGSASAKA NG BARANGAY CAMBA INC.</v>
      </c>
      <c r="E105" s="2" t="str">
        <f>IFERROR(__xludf.DUMMYFUNCTION("""COMPUTED_VALUE"""),"Kaledian (Camba), Arayat, PAMPANGA")</f>
        <v>Kaledian (Camba), Arayat, PAMPANGA</v>
      </c>
      <c r="F105" s="2" t="str">
        <f>IFERROR(__xludf.DUMMYFUNCTION("""COMPUTED_VALUE"""),"MONICA E. BESCUER")</f>
        <v>MONICA E. BESCUER</v>
      </c>
      <c r="G105" s="2" t="str">
        <f>IFERROR(__xludf.DUMMYFUNCTION("""COMPUTED_VALUE"""),"0965 138 9204")</f>
        <v>0965 138 9204</v>
      </c>
      <c r="H105" s="2"/>
      <c r="I105" s="2"/>
      <c r="J105" s="2" t="str">
        <f>IFERROR(__xludf.DUMMYFUNCTION("""COMPUTED_VALUE"""),"- sim registration")</f>
        <v>- sim registration</v>
      </c>
      <c r="K105" s="2" t="str">
        <f>IFERROR(__xludf.DUMMYFUNCTION("""COMPUTED_VALUE"""),"RCEF 23-09-21 Rebidding")</f>
        <v>RCEF 23-09-21 Rebidding</v>
      </c>
      <c r="L105" s="2">
        <f>IFERROR(__xludf.DUMMYFUNCTION("""COMPUTED_VALUE"""),3.0)</f>
        <v>3</v>
      </c>
      <c r="M105" s="2">
        <f>IFERROR(__xludf.DUMMYFUNCTION("""COMPUTED_VALUE"""),3.0)</f>
        <v>3</v>
      </c>
      <c r="N105" s="74">
        <f>IFERROR(__xludf.DUMMYFUNCTION("""COMPUTED_VALUE"""),45302.0)</f>
        <v>45302</v>
      </c>
      <c r="O105" s="74">
        <f>IFERROR(__xludf.DUMMYFUNCTION("""COMPUTED_VALUE"""),45299.0)</f>
        <v>45299</v>
      </c>
      <c r="P105" s="2">
        <f>IFERROR(__xludf.DUMMYFUNCTION("""COMPUTED_VALUE"""),17787.0)</f>
        <v>17787</v>
      </c>
      <c r="Q105" s="2" t="str">
        <f>IFERROR(__xludf.DUMMYFUNCTION("""COMPUTED_VALUE"""),"KMC5825 ATPFPV0044")</f>
        <v>KMC5825 ATPFPV0044</v>
      </c>
      <c r="R105" s="2" t="str">
        <f>IFERROR(__xludf.DUMMYFUNCTION("""COMPUTED_VALUE"""),"PTS100130")</f>
        <v>PTS100130</v>
      </c>
      <c r="S105" s="2" t="str">
        <f>IFERROR(__xludf.DUMMYFUNCTION("""COMPUTED_VALUE"""),"R-SERIES 088PH")</f>
        <v>R-SERIES 088PH</v>
      </c>
      <c r="T105" s="2" t="str">
        <f>IFERROR(__xludf.DUMMYFUNCTION("""COMPUTED_VALUE"""),"LSGW1750-RMP-2312032")</f>
        <v>LSGW1750-RMP-2312032</v>
      </c>
      <c r="U105" s="2" t="str">
        <f>IFERROR(__xludf.DUMMYFUNCTION("""COMPUTED_VALUE"""),"WDP40-RMP-2312020")</f>
        <v>WDP40-RMP-2312020</v>
      </c>
      <c r="V105" s="2" t="str">
        <f>IFERROR(__xludf.DUMMYFUNCTION("""COMPUTED_VALUE"""),"good")</f>
        <v>good</v>
      </c>
      <c r="W105" s="2" t="str">
        <f>IFERROR(__xludf.DUMMYFUNCTION("""COMPUTED_VALUE"""),"VL103D")</f>
        <v>VL103D</v>
      </c>
      <c r="X105" s="2">
        <f>IFERROR(__xludf.DUMMYFUNCTION("""COMPUTED_VALUE"""),8.69066060242667E14)</f>
        <v>869066060242667</v>
      </c>
      <c r="Y105" s="2" t="str">
        <f>IFERROR(__xludf.DUMMYFUNCTION("""COMPUTED_VALUE"""),"09690310967")</f>
        <v>09690310967</v>
      </c>
      <c r="Z105" s="3" t="str">
        <f>IFERROR(__xludf.DUMMYFUNCTION("""COMPUTED_VALUE"""),"0323202005168935")</f>
        <v>0323202005168935</v>
      </c>
      <c r="AA105" s="2"/>
      <c r="AB105" s="2" t="str">
        <f>IFERROR(__xludf.DUMMYFUNCTION("""COMPUTED_VALUE"""),"cambafa")</f>
        <v>cambafa</v>
      </c>
    </row>
    <row r="106">
      <c r="A106" s="2" t="str">
        <f>IFERROR(__xludf.DUMMYFUNCTION("""COMPUTED_VALUE"""),"TT00104")</f>
        <v>TT00104</v>
      </c>
      <c r="B106" s="2" t="str">
        <f>IFERROR(__xludf.DUMMYFUNCTION("""COMPUTED_VALUE"""),"Completed")</f>
        <v>Completed</v>
      </c>
      <c r="C106" s="2" t="str">
        <f>IFERROR(__xludf.DUMMYFUNCTION("""COMPUTED_VALUE"""),"billed L3")</f>
        <v>billed L3</v>
      </c>
      <c r="D106" s="2" t="str">
        <f>IFERROR(__xludf.DUMMYFUNCTION("""COMPUTED_VALUE"""),"GILAS BITAS FARMERS ASSOCIATION")</f>
        <v>GILAS BITAS FARMERS ASSOCIATION</v>
      </c>
      <c r="E106" s="2" t="str">
        <f>IFERROR(__xludf.DUMMYFUNCTION("""COMPUTED_VALUE"""),"San Roque Bitas, Arayat, PAMPANGA")</f>
        <v>San Roque Bitas, Arayat, PAMPANGA</v>
      </c>
      <c r="F106" s="2" t="str">
        <f>IFERROR(__xludf.DUMMYFUNCTION("""COMPUTED_VALUE"""),"MANUEL M. PARAS")</f>
        <v>MANUEL M. PARAS</v>
      </c>
      <c r="G106" s="2" t="str">
        <f>IFERROR(__xludf.DUMMYFUNCTION("""COMPUTED_VALUE"""),"0905-302-2814")</f>
        <v>0905-302-2814</v>
      </c>
      <c r="H106" s="2"/>
      <c r="I106" s="2"/>
      <c r="J106" s="2"/>
      <c r="K106" s="2" t="str">
        <f>IFERROR(__xludf.DUMMYFUNCTION("""COMPUTED_VALUE"""),"RCEF 23-09-21 Rebidding")</f>
        <v>RCEF 23-09-21 Rebidding</v>
      </c>
      <c r="L106" s="2">
        <f>IFERROR(__xludf.DUMMYFUNCTION("""COMPUTED_VALUE"""),3.0)</f>
        <v>3</v>
      </c>
      <c r="M106" s="2">
        <f>IFERROR(__xludf.DUMMYFUNCTION("""COMPUTED_VALUE"""),3.0)</f>
        <v>3</v>
      </c>
      <c r="N106" s="74">
        <f>IFERROR(__xludf.DUMMYFUNCTION("""COMPUTED_VALUE"""),45302.0)</f>
        <v>45302</v>
      </c>
      <c r="O106" s="74">
        <f>IFERROR(__xludf.DUMMYFUNCTION("""COMPUTED_VALUE"""),45299.0)</f>
        <v>45299</v>
      </c>
      <c r="P106" s="2">
        <f>IFERROR(__xludf.DUMMYFUNCTION("""COMPUTED_VALUE"""),17788.0)</f>
        <v>17788</v>
      </c>
      <c r="Q106" s="2" t="str">
        <f>IFERROR(__xludf.DUMMYFUNCTION("""COMPUTED_VALUE"""),"KMC5825 ATPFPV0089")</f>
        <v>KMC5825 ATPFPV0089</v>
      </c>
      <c r="R106" s="2" t="str">
        <f>IFERROR(__xludf.DUMMYFUNCTION("""COMPUTED_VALUE"""),"PTS100121")</f>
        <v>PTS100121</v>
      </c>
      <c r="S106" s="2" t="str">
        <f>IFERROR(__xludf.DUMMYFUNCTION("""COMPUTED_VALUE"""),"R-SERIES 029PH")</f>
        <v>R-SERIES 029PH</v>
      </c>
      <c r="T106" s="2" t="str">
        <f>IFERROR(__xludf.DUMMYFUNCTION("""COMPUTED_VALUE"""),"LSGW1750-RMP-2312028")</f>
        <v>LSGW1750-RMP-2312028</v>
      </c>
      <c r="U106" s="2" t="str">
        <f>IFERROR(__xludf.DUMMYFUNCTION("""COMPUTED_VALUE"""),"WDP40-RMP-2312015")</f>
        <v>WDP40-RMP-2312015</v>
      </c>
      <c r="V106" s="2" t="str">
        <f>IFERROR(__xludf.DUMMYFUNCTION("""COMPUTED_VALUE"""),"good")</f>
        <v>good</v>
      </c>
      <c r="W106" s="2" t="str">
        <f>IFERROR(__xludf.DUMMYFUNCTION("""COMPUTED_VALUE"""),"VL103D")</f>
        <v>VL103D</v>
      </c>
      <c r="X106" s="2">
        <f>IFERROR(__xludf.DUMMYFUNCTION("""COMPUTED_VALUE"""),8.6906606024043E14)</f>
        <v>869066060240430</v>
      </c>
      <c r="Y106" s="2" t="str">
        <f>IFERROR(__xludf.DUMMYFUNCTION("""COMPUTED_VALUE"""),"09690319302")</f>
        <v>09690319302</v>
      </c>
      <c r="Z106" s="3" t="str">
        <f>IFERROR(__xludf.DUMMYFUNCTION("""COMPUTED_VALUE"""),"0323202005168927")</f>
        <v>0323202005168927</v>
      </c>
      <c r="AA106" s="2"/>
      <c r="AB106" s="2" t="str">
        <f>IFERROR(__xludf.DUMMYFUNCTION("""COMPUTED_VALUE"""),"gilasbitasfa")</f>
        <v>gilasbitasfa</v>
      </c>
    </row>
    <row r="107">
      <c r="A107" s="2" t="str">
        <f>IFERROR(__xludf.DUMMYFUNCTION("""COMPUTED_VALUE"""),"TT00105")</f>
        <v>TT00105</v>
      </c>
      <c r="B107" s="2" t="str">
        <f>IFERROR(__xludf.DUMMYFUNCTION("""COMPUTED_VALUE"""),"Completed")</f>
        <v>Completed</v>
      </c>
      <c r="C107" s="2" t="str">
        <f>IFERROR(__xludf.DUMMYFUNCTION("""COMPUTED_VALUE"""),"billed L3")</f>
        <v>billed L3</v>
      </c>
      <c r="D107" s="2" t="str">
        <f>IFERROR(__xludf.DUMMYFUNCTION("""COMPUTED_VALUE"""),"ABE-ABE ORTELANU BARANGAY TINAJERO ASSOCIATION INC.")</f>
        <v>ABE-ABE ORTELANU BARANGAY TINAJERO ASSOCIATION INC.</v>
      </c>
      <c r="E107" s="2" t="str">
        <f>IFERROR(__xludf.DUMMYFUNCTION("""COMPUTED_VALUE"""),"Tinajero, Bacolor, PAMPANGA")</f>
        <v>Tinajero, Bacolor, PAMPANGA</v>
      </c>
      <c r="F107" s="2" t="str">
        <f>IFERROR(__xludf.DUMMYFUNCTION("""COMPUTED_VALUE"""),"RUBILYN ALFONSO")</f>
        <v>RUBILYN ALFONSO</v>
      </c>
      <c r="G107" s="2" t="str">
        <f>IFERROR(__xludf.DUMMYFUNCTION("""COMPUTED_VALUE"""),"0951-641-4583")</f>
        <v>0951-641-4583</v>
      </c>
      <c r="H107" s="2"/>
      <c r="I107" s="2"/>
      <c r="J107" s="2"/>
      <c r="K107" s="2" t="str">
        <f>IFERROR(__xludf.DUMMYFUNCTION("""COMPUTED_VALUE"""),"RCEF 23-09-21 Rebidding")</f>
        <v>RCEF 23-09-21 Rebidding</v>
      </c>
      <c r="L107" s="2">
        <f>IFERROR(__xludf.DUMMYFUNCTION("""COMPUTED_VALUE"""),3.0)</f>
        <v>3</v>
      </c>
      <c r="M107" s="2">
        <f>IFERROR(__xludf.DUMMYFUNCTION("""COMPUTED_VALUE"""),3.0)</f>
        <v>3</v>
      </c>
      <c r="N107" s="74">
        <f>IFERROR(__xludf.DUMMYFUNCTION("""COMPUTED_VALUE"""),45302.0)</f>
        <v>45302</v>
      </c>
      <c r="O107" s="74">
        <f>IFERROR(__xludf.DUMMYFUNCTION("""COMPUTED_VALUE"""),45299.0)</f>
        <v>45299</v>
      </c>
      <c r="P107" s="2">
        <f>IFERROR(__xludf.DUMMYFUNCTION("""COMPUTED_VALUE"""),17789.0)</f>
        <v>17789</v>
      </c>
      <c r="Q107" s="2" t="str">
        <f>IFERROR(__xludf.DUMMYFUNCTION("""COMPUTED_VALUE"""),"KMC5825 AEPFPV0087")</f>
        <v>KMC5825 AEPFPV0087</v>
      </c>
      <c r="R107" s="2" t="str">
        <f>IFERROR(__xludf.DUMMYFUNCTION("""COMPUTED_VALUE"""),"PTS100123")</f>
        <v>PTS100123</v>
      </c>
      <c r="S107" s="2" t="str">
        <f>IFERROR(__xludf.DUMMYFUNCTION("""COMPUTED_VALUE"""),"R-SERIES 104PH")</f>
        <v>R-SERIES 104PH</v>
      </c>
      <c r="T107" s="2" t="str">
        <f>IFERROR(__xludf.DUMMYFUNCTION("""COMPUTED_VALUE"""),"LSGW1750-RMP-2312038")</f>
        <v>LSGW1750-RMP-2312038</v>
      </c>
      <c r="U107" s="2" t="str">
        <f>IFERROR(__xludf.DUMMYFUNCTION("""COMPUTED_VALUE"""),"WDP40-RMP-2312008")</f>
        <v>WDP40-RMP-2312008</v>
      </c>
      <c r="V107" s="2" t="str">
        <f>IFERROR(__xludf.DUMMYFUNCTION("""COMPUTED_VALUE"""),"good")</f>
        <v>good</v>
      </c>
      <c r="W107" s="2" t="str">
        <f>IFERROR(__xludf.DUMMYFUNCTION("""COMPUTED_VALUE"""),"VL103D")</f>
        <v>VL103D</v>
      </c>
      <c r="X107" s="2">
        <f>IFERROR(__xludf.DUMMYFUNCTION("""COMPUTED_VALUE"""),8.69066060241065E14)</f>
        <v>869066060241065</v>
      </c>
      <c r="Y107" s="2" t="str">
        <f>IFERROR(__xludf.DUMMYFUNCTION("""COMPUTED_VALUE"""),"09690319303")</f>
        <v>09690319303</v>
      </c>
      <c r="Z107" s="3" t="str">
        <f>IFERROR(__xludf.DUMMYFUNCTION("""COMPUTED_VALUE"""),"0323202005168919")</f>
        <v>0323202005168919</v>
      </c>
      <c r="AA107" s="2"/>
      <c r="AB107" s="2" t="str">
        <f>IFERROR(__xludf.DUMMYFUNCTION("""COMPUTED_VALUE"""),"abeabe")</f>
        <v>abeabe</v>
      </c>
    </row>
    <row r="108">
      <c r="A108" s="2" t="str">
        <f>IFERROR(__xludf.DUMMYFUNCTION("""COMPUTED_VALUE"""),"TT00106")</f>
        <v>TT00106</v>
      </c>
      <c r="B108" s="2" t="str">
        <f>IFERROR(__xludf.DUMMYFUNCTION("""COMPUTED_VALUE"""),"Completed")</f>
        <v>Completed</v>
      </c>
      <c r="C108" s="2" t="str">
        <f>IFERROR(__xludf.DUMMYFUNCTION("""COMPUTED_VALUE"""),"billed L3")</f>
        <v>billed L3</v>
      </c>
      <c r="D108" s="2" t="str">
        <f>IFERROR(__xludf.DUMMYFUNCTION("""COMPUTED_VALUE"""),"SVMEX Farmers Association Inc.")</f>
        <v>SVMEX Farmers Association Inc.</v>
      </c>
      <c r="E108" s="2" t="str">
        <f>IFERROR(__xludf.DUMMYFUNCTION("""COMPUTED_VALUE"""),"San Vicente, Mexico, PAMPANGA")</f>
        <v>San Vicente, Mexico, PAMPANGA</v>
      </c>
      <c r="F108" s="2" t="str">
        <f>IFERROR(__xludf.DUMMYFUNCTION("""COMPUTED_VALUE"""),"VALENTINO E. ALLAS")</f>
        <v>VALENTINO E. ALLAS</v>
      </c>
      <c r="G108" s="2" t="str">
        <f>IFERROR(__xludf.DUMMYFUNCTION("""COMPUTED_VALUE"""),"0927-872-9371")</f>
        <v>0927-872-9371</v>
      </c>
      <c r="H108" s="2"/>
      <c r="I108" s="2"/>
      <c r="J108" s="2"/>
      <c r="K108" s="2" t="str">
        <f>IFERROR(__xludf.DUMMYFUNCTION("""COMPUTED_VALUE"""),"RCEF 23-09-21 Rebidding")</f>
        <v>RCEF 23-09-21 Rebidding</v>
      </c>
      <c r="L108" s="2">
        <f>IFERROR(__xludf.DUMMYFUNCTION("""COMPUTED_VALUE"""),3.0)</f>
        <v>3</v>
      </c>
      <c r="M108" s="2">
        <f>IFERROR(__xludf.DUMMYFUNCTION("""COMPUTED_VALUE"""),3.0)</f>
        <v>3</v>
      </c>
      <c r="N108" s="74">
        <f>IFERROR(__xludf.DUMMYFUNCTION("""COMPUTED_VALUE"""),45302.0)</f>
        <v>45302</v>
      </c>
      <c r="O108" s="74">
        <f>IFERROR(__xludf.DUMMYFUNCTION("""COMPUTED_VALUE"""),45299.0)</f>
        <v>45299</v>
      </c>
      <c r="P108" s="2">
        <f>IFERROR(__xludf.DUMMYFUNCTION("""COMPUTED_VALUE"""),17790.0)</f>
        <v>17790</v>
      </c>
      <c r="Q108" s="2" t="str">
        <f>IFERROR(__xludf.DUMMYFUNCTION("""COMPUTED_VALUE"""),"KMC5825 AEPFPV0056")</f>
        <v>KMC5825 AEPFPV0056</v>
      </c>
      <c r="R108" s="2" t="str">
        <f>IFERROR(__xludf.DUMMYFUNCTION("""COMPUTED_VALUE"""),"PTS100131")</f>
        <v>PTS100131</v>
      </c>
      <c r="S108" s="2" t="str">
        <f>IFERROR(__xludf.DUMMYFUNCTION("""COMPUTED_VALUE"""),"R-SERIES 098PH")</f>
        <v>R-SERIES 098PH</v>
      </c>
      <c r="T108" s="2" t="str">
        <f>IFERROR(__xludf.DUMMYFUNCTION("""COMPUTED_VALUE"""),"LSGW1750-RMP-2312009")</f>
        <v>LSGW1750-RMP-2312009</v>
      </c>
      <c r="U108" s="2" t="str">
        <f>IFERROR(__xludf.DUMMYFUNCTION("""COMPUTED_VALUE"""),"WDP40-RMP-2312030")</f>
        <v>WDP40-RMP-2312030</v>
      </c>
      <c r="V108" s="2" t="str">
        <f>IFERROR(__xludf.DUMMYFUNCTION("""COMPUTED_VALUE"""),"INACTIVE - SIM")</f>
        <v>INACTIVE - SIM</v>
      </c>
      <c r="W108" s="2" t="str">
        <f>IFERROR(__xludf.DUMMYFUNCTION("""COMPUTED_VALUE"""),"VL103D")</f>
        <v>VL103D</v>
      </c>
      <c r="X108" s="2">
        <f>IFERROR(__xludf.DUMMYFUNCTION("""COMPUTED_VALUE"""),8.69066060240422E14)</f>
        <v>869066060240422</v>
      </c>
      <c r="Y108" s="2" t="str">
        <f>IFERROR(__xludf.DUMMYFUNCTION("""COMPUTED_VALUE"""),"09690315931")</f>
        <v>09690315931</v>
      </c>
      <c r="Z108" s="3" t="str">
        <f>IFERROR(__xludf.DUMMYFUNCTION("""COMPUTED_VALUE"""),"0323202005168901")</f>
        <v>0323202005168901</v>
      </c>
      <c r="AA108" s="2"/>
      <c r="AB108" s="2" t="str">
        <f>IFERROR(__xludf.DUMMYFUNCTION("""COMPUTED_VALUE"""),"svmexfa")</f>
        <v>svmexfa</v>
      </c>
    </row>
    <row r="109">
      <c r="A109" s="2" t="str">
        <f>IFERROR(__xludf.DUMMYFUNCTION("""COMPUTED_VALUE"""),"TT00107")</f>
        <v>TT00107</v>
      </c>
      <c r="B109" s="2" t="str">
        <f>IFERROR(__xludf.DUMMYFUNCTION("""COMPUTED_VALUE"""),"Completed")</f>
        <v>Completed</v>
      </c>
      <c r="C109" s="2" t="str">
        <f>IFERROR(__xludf.DUMMYFUNCTION("""COMPUTED_VALUE"""),"billed L3")</f>
        <v>billed L3</v>
      </c>
      <c r="D109" s="2" t="str">
        <f>IFERROR(__xludf.DUMMYFUNCTION("""COMPUTED_VALUE"""),"Provincial Local Government Unit of Pampanga")</f>
        <v>Provincial Local Government Unit of Pampanga</v>
      </c>
      <c r="E109" s="2" t="str">
        <f>IFERROR(__xludf.DUMMYFUNCTION("""COMPUTED_VALUE"""),"Santo Rosario (Pob.), San Fernando City, PAMPANGA")</f>
        <v>Santo Rosario (Pob.), San Fernando City, PAMPANGA</v>
      </c>
      <c r="F109" s="2" t="str">
        <f>IFERROR(__xludf.DUMMYFUNCTION("""COMPUTED_VALUE"""),"DENNIS G. PINEDA")</f>
        <v>DENNIS G. PINEDA</v>
      </c>
      <c r="G109" s="2" t="str">
        <f>IFERROR(__xludf.DUMMYFUNCTION("""COMPUTED_VALUE"""),"0919-424-4737")</f>
        <v>0919-424-4737</v>
      </c>
      <c r="H109" s="2"/>
      <c r="I109" s="2"/>
      <c r="J109" s="2"/>
      <c r="K109" s="2" t="str">
        <f>IFERROR(__xludf.DUMMYFUNCTION("""COMPUTED_VALUE"""),"RCEF 23-09-21 Rebidding")</f>
        <v>RCEF 23-09-21 Rebidding</v>
      </c>
      <c r="L109" s="2">
        <f>IFERROR(__xludf.DUMMYFUNCTION("""COMPUTED_VALUE"""),3.0)</f>
        <v>3</v>
      </c>
      <c r="M109" s="2">
        <f>IFERROR(__xludf.DUMMYFUNCTION("""COMPUTED_VALUE"""),3.0)</f>
        <v>3</v>
      </c>
      <c r="N109" s="74">
        <f>IFERROR(__xludf.DUMMYFUNCTION("""COMPUTED_VALUE"""),45302.0)</f>
        <v>45302</v>
      </c>
      <c r="O109" s="74">
        <f>IFERROR(__xludf.DUMMYFUNCTION("""COMPUTED_VALUE"""),45299.0)</f>
        <v>45299</v>
      </c>
      <c r="P109" s="2">
        <f>IFERROR(__xludf.DUMMYFUNCTION("""COMPUTED_VALUE"""),17791.0)</f>
        <v>17791</v>
      </c>
      <c r="Q109" s="2" t="str">
        <f>IFERROR(__xludf.DUMMYFUNCTION("""COMPUTED_VALUE"""),"KMC5825 AAPFPV0070")</f>
        <v>KMC5825 AAPFPV0070</v>
      </c>
      <c r="R109" s="2" t="str">
        <f>IFERROR(__xludf.DUMMYFUNCTION("""COMPUTED_VALUE"""),"PTS100151")</f>
        <v>PTS100151</v>
      </c>
      <c r="S109" s="2" t="str">
        <f>IFERROR(__xludf.DUMMYFUNCTION("""COMPUTED_VALUE"""),"R-SERIES 102PH")</f>
        <v>R-SERIES 102PH</v>
      </c>
      <c r="T109" s="2" t="str">
        <f>IFERROR(__xludf.DUMMYFUNCTION("""COMPUTED_VALUE"""),"LSGW1750-RMP-2312018")</f>
        <v>LSGW1750-RMP-2312018</v>
      </c>
      <c r="U109" s="2" t="str">
        <f>IFERROR(__xludf.DUMMYFUNCTION("""COMPUTED_VALUE"""),"WDP40-RMP-2312011")</f>
        <v>WDP40-RMP-2312011</v>
      </c>
      <c r="V109" s="2" t="str">
        <f>IFERROR(__xludf.DUMMYFUNCTION("""COMPUTED_VALUE"""),"INACTIVE - SIM")</f>
        <v>INACTIVE - SIM</v>
      </c>
      <c r="W109" s="2" t="str">
        <f>IFERROR(__xludf.DUMMYFUNCTION("""COMPUTED_VALUE"""),"VL103D")</f>
        <v>VL103D</v>
      </c>
      <c r="X109" s="2">
        <f>IFERROR(__xludf.DUMMYFUNCTION("""COMPUTED_VALUE"""),8.69066060241198E14)</f>
        <v>869066060241198</v>
      </c>
      <c r="Y109" s="2" t="str">
        <f>IFERROR(__xludf.DUMMYFUNCTION("""COMPUTED_VALUE"""),"09690315942")</f>
        <v>09690315942</v>
      </c>
      <c r="Z109" s="3" t="str">
        <f>IFERROR(__xludf.DUMMYFUNCTION("""COMPUTED_VALUE"""),"0323005168893")</f>
        <v>0323005168893</v>
      </c>
      <c r="AA109" s="2"/>
      <c r="AB109" s="2" t="str">
        <f>IFERROR(__xludf.DUMMYFUNCTION("""COMPUTED_VALUE"""),"plgustorosario1")</f>
        <v>plgustorosario1</v>
      </c>
    </row>
    <row r="110">
      <c r="A110" s="2" t="str">
        <f>IFERROR(__xludf.DUMMYFUNCTION("""COMPUTED_VALUE"""),"TT00108")</f>
        <v>TT00108</v>
      </c>
      <c r="B110" s="2" t="str">
        <f>IFERROR(__xludf.DUMMYFUNCTION("""COMPUTED_VALUE"""),"Completed")</f>
        <v>Completed</v>
      </c>
      <c r="C110" s="2" t="str">
        <f>IFERROR(__xludf.DUMMYFUNCTION("""COMPUTED_VALUE"""),"billed L3")</f>
        <v>billed L3</v>
      </c>
      <c r="D110" s="2" t="str">
        <f>IFERROR(__xludf.DUMMYFUNCTION("""COMPUTED_VALUE"""),"Provincial Local Government Unit of Pampanga")</f>
        <v>Provincial Local Government Unit of Pampanga</v>
      </c>
      <c r="E110" s="2" t="str">
        <f>IFERROR(__xludf.DUMMYFUNCTION("""COMPUTED_VALUE"""),"Santo Rosario (Pob.), San Fernando City, PAMPANGA")</f>
        <v>Santo Rosario (Pob.), San Fernando City, PAMPANGA</v>
      </c>
      <c r="F110" s="2" t="str">
        <f>IFERROR(__xludf.DUMMYFUNCTION("""COMPUTED_VALUE"""),"DENNIS G. PINEDA")</f>
        <v>DENNIS G. PINEDA</v>
      </c>
      <c r="G110" s="2" t="str">
        <f>IFERROR(__xludf.DUMMYFUNCTION("""COMPUTED_VALUE"""),"0919-424-4737")</f>
        <v>0919-424-4737</v>
      </c>
      <c r="H110" s="2"/>
      <c r="I110" s="2"/>
      <c r="J110" s="2"/>
      <c r="K110" s="2" t="str">
        <f>IFERROR(__xludf.DUMMYFUNCTION("""COMPUTED_VALUE"""),"RCEF 23-09-21 Rebidding")</f>
        <v>RCEF 23-09-21 Rebidding</v>
      </c>
      <c r="L110" s="2">
        <f>IFERROR(__xludf.DUMMYFUNCTION("""COMPUTED_VALUE"""),3.0)</f>
        <v>3</v>
      </c>
      <c r="M110" s="2">
        <f>IFERROR(__xludf.DUMMYFUNCTION("""COMPUTED_VALUE"""),3.0)</f>
        <v>3</v>
      </c>
      <c r="N110" s="74">
        <f>IFERROR(__xludf.DUMMYFUNCTION("""COMPUTED_VALUE"""),45302.0)</f>
        <v>45302</v>
      </c>
      <c r="O110" s="74">
        <f>IFERROR(__xludf.DUMMYFUNCTION("""COMPUTED_VALUE"""),45299.0)</f>
        <v>45299</v>
      </c>
      <c r="P110" s="2">
        <f>IFERROR(__xludf.DUMMYFUNCTION("""COMPUTED_VALUE"""),17792.0)</f>
        <v>17792</v>
      </c>
      <c r="Q110" s="2" t="str">
        <f>IFERROR(__xludf.DUMMYFUNCTION("""COMPUTED_VALUE"""),"KMC5825 AVPFPV0147")</f>
        <v>KMC5825 AVPFPV0147</v>
      </c>
      <c r="R110" s="2" t="str">
        <f>IFERROR(__xludf.DUMMYFUNCTION("""COMPUTED_VALUE"""),"PTS100046")</f>
        <v>PTS100046</v>
      </c>
      <c r="S110" s="2" t="str">
        <f>IFERROR(__xludf.DUMMYFUNCTION("""COMPUTED_VALUE"""),"R-SERIES 055PH")</f>
        <v>R-SERIES 055PH</v>
      </c>
      <c r="T110" s="2" t="str">
        <f>IFERROR(__xludf.DUMMYFUNCTION("""COMPUTED_VALUE"""),"LSGW1750-RMP-2312033")</f>
        <v>LSGW1750-RMP-2312033</v>
      </c>
      <c r="U110" s="2" t="str">
        <f>IFERROR(__xludf.DUMMYFUNCTION("""COMPUTED_VALUE"""),"WDP40-RMP-2312037")</f>
        <v>WDP40-RMP-2312037</v>
      </c>
      <c r="V110" s="2" t="str">
        <f>IFERROR(__xludf.DUMMYFUNCTION("""COMPUTED_VALUE"""),"INACTIVE - SIM")</f>
        <v>INACTIVE - SIM</v>
      </c>
      <c r="W110" s="2" t="str">
        <f>IFERROR(__xludf.DUMMYFUNCTION("""COMPUTED_VALUE"""),"VL103D")</f>
        <v>VL103D</v>
      </c>
      <c r="X110" s="2">
        <f>IFERROR(__xludf.DUMMYFUNCTION("""COMPUTED_VALUE"""),8.69066060241206E14)</f>
        <v>869066060241206</v>
      </c>
      <c r="Y110" s="2" t="str">
        <f>IFERROR(__xludf.DUMMYFUNCTION("""COMPUTED_VALUE"""),"09690232788")</f>
        <v>09690232788</v>
      </c>
      <c r="Z110" s="3" t="str">
        <f>IFERROR(__xludf.DUMMYFUNCTION("""COMPUTED_VALUE"""),"0323202005168992")</f>
        <v>0323202005168992</v>
      </c>
      <c r="AA110" s="2"/>
      <c r="AB110" s="2" t="str">
        <f>IFERROR(__xludf.DUMMYFUNCTION("""COMPUTED_VALUE"""),"plgustorosario2")</f>
        <v>plgustorosario2</v>
      </c>
    </row>
    <row r="111">
      <c r="A111" s="2" t="str">
        <f>IFERROR(__xludf.DUMMYFUNCTION("""COMPUTED_VALUE"""),"TT00109")</f>
        <v>TT00109</v>
      </c>
      <c r="B111" s="2" t="str">
        <f>IFERROR(__xludf.DUMMYFUNCTION("""COMPUTED_VALUE"""),"Completed")</f>
        <v>Completed</v>
      </c>
      <c r="C111" s="2" t="str">
        <f>IFERROR(__xludf.DUMMYFUNCTION("""COMPUTED_VALUE"""),"billed L3")</f>
        <v>billed L3</v>
      </c>
      <c r="D111" s="2" t="str">
        <f>IFERROR(__xludf.DUMMYFUNCTION("""COMPUTED_VALUE"""),"Provincial Local Government Unit of Pampanga")</f>
        <v>Provincial Local Government Unit of Pampanga</v>
      </c>
      <c r="E111" s="2" t="str">
        <f>IFERROR(__xludf.DUMMYFUNCTION("""COMPUTED_VALUE"""),"Santo Rosario (Pob.), San Fernando City, PAMPANGA")</f>
        <v>Santo Rosario (Pob.), San Fernando City, PAMPANGA</v>
      </c>
      <c r="F111" s="2" t="str">
        <f>IFERROR(__xludf.DUMMYFUNCTION("""COMPUTED_VALUE"""),"DENNIS G. PINEDA")</f>
        <v>DENNIS G. PINEDA</v>
      </c>
      <c r="G111" s="2" t="str">
        <f>IFERROR(__xludf.DUMMYFUNCTION("""COMPUTED_VALUE"""),"0919-424-4737")</f>
        <v>0919-424-4737</v>
      </c>
      <c r="H111" s="2"/>
      <c r="I111" s="2"/>
      <c r="J111" s="2"/>
      <c r="K111" s="2" t="str">
        <f>IFERROR(__xludf.DUMMYFUNCTION("""COMPUTED_VALUE"""),"RCEF 23-09-21 Rebidding")</f>
        <v>RCEF 23-09-21 Rebidding</v>
      </c>
      <c r="L111" s="2">
        <f>IFERROR(__xludf.DUMMYFUNCTION("""COMPUTED_VALUE"""),3.0)</f>
        <v>3</v>
      </c>
      <c r="M111" s="2">
        <f>IFERROR(__xludf.DUMMYFUNCTION("""COMPUTED_VALUE"""),3.0)</f>
        <v>3</v>
      </c>
      <c r="N111" s="74">
        <f>IFERROR(__xludf.DUMMYFUNCTION("""COMPUTED_VALUE"""),45302.0)</f>
        <v>45302</v>
      </c>
      <c r="O111" s="74">
        <f>IFERROR(__xludf.DUMMYFUNCTION("""COMPUTED_VALUE"""),45299.0)</f>
        <v>45299</v>
      </c>
      <c r="P111" s="2">
        <f>IFERROR(__xludf.DUMMYFUNCTION("""COMPUTED_VALUE"""),17793.0)</f>
        <v>17793</v>
      </c>
      <c r="Q111" s="2" t="str">
        <f>IFERROR(__xludf.DUMMYFUNCTION("""COMPUTED_VALUE"""),"KMC5825 AVPFPV0052")</f>
        <v>KMC5825 AVPFPV0052</v>
      </c>
      <c r="R111" s="2" t="str">
        <f>IFERROR(__xludf.DUMMYFUNCTION("""COMPUTED_VALUE"""),"PTS100134")</f>
        <v>PTS100134</v>
      </c>
      <c r="S111" s="2" t="str">
        <f>IFERROR(__xludf.DUMMYFUNCTION("""COMPUTED_VALUE"""),"R-SERIES 046PH")</f>
        <v>R-SERIES 046PH</v>
      </c>
      <c r="T111" s="2" t="str">
        <f>IFERROR(__xludf.DUMMYFUNCTION("""COMPUTED_VALUE"""),"LSGW1750-RMP-2312010")</f>
        <v>LSGW1750-RMP-2312010</v>
      </c>
      <c r="U111" s="2" t="str">
        <f>IFERROR(__xludf.DUMMYFUNCTION("""COMPUTED_VALUE"""),"WDP40-RMP-2312064")</f>
        <v>WDP40-RMP-2312064</v>
      </c>
      <c r="V111" s="2" t="str">
        <f>IFERROR(__xludf.DUMMYFUNCTION("""COMPUTED_VALUE"""),"INACTIVE - SIM")</f>
        <v>INACTIVE - SIM</v>
      </c>
      <c r="W111" s="2" t="str">
        <f>IFERROR(__xludf.DUMMYFUNCTION("""COMPUTED_VALUE"""),"VL103D")</f>
        <v>VL103D</v>
      </c>
      <c r="X111" s="2">
        <f>IFERROR(__xludf.DUMMYFUNCTION("""COMPUTED_VALUE"""),8.69066060243343E14)</f>
        <v>869066060243343</v>
      </c>
      <c r="Y111" s="2" t="str">
        <f>IFERROR(__xludf.DUMMYFUNCTION("""COMPUTED_VALUE"""),"09690475864")</f>
        <v>09690475864</v>
      </c>
      <c r="Z111" s="3" t="str">
        <f>IFERROR(__xludf.DUMMYFUNCTION("""COMPUTED_VALUE"""),"0323202005169008")</f>
        <v>0323202005169008</v>
      </c>
      <c r="AA111" s="2"/>
      <c r="AB111" s="2" t="str">
        <f>IFERROR(__xludf.DUMMYFUNCTION("""COMPUTED_VALUE"""),"plgustorosario3")</f>
        <v>plgustorosario3</v>
      </c>
    </row>
    <row r="112">
      <c r="A112" s="2" t="str">
        <f>IFERROR(__xludf.DUMMYFUNCTION("""COMPUTED_VALUE"""),"TT00110")</f>
        <v>TT00110</v>
      </c>
      <c r="B112" s="2" t="str">
        <f>IFERROR(__xludf.DUMMYFUNCTION("""COMPUTED_VALUE"""),"Completed")</f>
        <v>Completed</v>
      </c>
      <c r="C112" s="2" t="str">
        <f>IFERROR(__xludf.DUMMYFUNCTION("""COMPUTED_VALUE"""),"billed L3")</f>
        <v>billed L3</v>
      </c>
      <c r="D112" s="2" t="str">
        <f>IFERROR(__xludf.DUMMYFUNCTION("""COMPUTED_VALUE"""),"Provincial Local Government Unit of Pampanga")</f>
        <v>Provincial Local Government Unit of Pampanga</v>
      </c>
      <c r="E112" s="2" t="str">
        <f>IFERROR(__xludf.DUMMYFUNCTION("""COMPUTED_VALUE"""),"Santo Rosario (Pob.), San Fernando City, PAMPANGA")</f>
        <v>Santo Rosario (Pob.), San Fernando City, PAMPANGA</v>
      </c>
      <c r="F112" s="2" t="str">
        <f>IFERROR(__xludf.DUMMYFUNCTION("""COMPUTED_VALUE"""),"DENNIS G. PINEDA")</f>
        <v>DENNIS G. PINEDA</v>
      </c>
      <c r="G112" s="2" t="str">
        <f>IFERROR(__xludf.DUMMYFUNCTION("""COMPUTED_VALUE"""),"0919-424-4737")</f>
        <v>0919-424-4737</v>
      </c>
      <c r="H112" s="2"/>
      <c r="I112" s="2"/>
      <c r="J112" s="2"/>
      <c r="K112" s="2" t="str">
        <f>IFERROR(__xludf.DUMMYFUNCTION("""COMPUTED_VALUE"""),"RCEF 23-09-21 Rebidding")</f>
        <v>RCEF 23-09-21 Rebidding</v>
      </c>
      <c r="L112" s="2">
        <f>IFERROR(__xludf.DUMMYFUNCTION("""COMPUTED_VALUE"""),3.0)</f>
        <v>3</v>
      </c>
      <c r="M112" s="2">
        <f>IFERROR(__xludf.DUMMYFUNCTION("""COMPUTED_VALUE"""),3.0)</f>
        <v>3</v>
      </c>
      <c r="N112" s="74">
        <f>IFERROR(__xludf.DUMMYFUNCTION("""COMPUTED_VALUE"""),45302.0)</f>
        <v>45302</v>
      </c>
      <c r="O112" s="74">
        <f>IFERROR(__xludf.DUMMYFUNCTION("""COMPUTED_VALUE"""),45299.0)</f>
        <v>45299</v>
      </c>
      <c r="P112" s="2">
        <f>IFERROR(__xludf.DUMMYFUNCTION("""COMPUTED_VALUE"""),17794.0)</f>
        <v>17794</v>
      </c>
      <c r="Q112" s="2" t="str">
        <f>IFERROR(__xludf.DUMMYFUNCTION("""COMPUTED_VALUE"""),"KMC5825 APPFPV0160")</f>
        <v>KMC5825 APPFPV0160</v>
      </c>
      <c r="R112" s="2" t="str">
        <f>IFERROR(__xludf.DUMMYFUNCTION("""COMPUTED_VALUE"""),"PTS100138")</f>
        <v>PTS100138</v>
      </c>
      <c r="S112" s="2" t="str">
        <f>IFERROR(__xludf.DUMMYFUNCTION("""COMPUTED_VALUE"""),"R-SERIES 084PH")</f>
        <v>R-SERIES 084PH</v>
      </c>
      <c r="T112" s="2" t="str">
        <f>IFERROR(__xludf.DUMMYFUNCTION("""COMPUTED_VALUE"""),"LSGW1750-RMP-2312008")</f>
        <v>LSGW1750-RMP-2312008</v>
      </c>
      <c r="U112" s="2" t="str">
        <f>IFERROR(__xludf.DUMMYFUNCTION("""COMPUTED_VALUE"""),"WDP40-RMP-2312046")</f>
        <v>WDP40-RMP-2312046</v>
      </c>
      <c r="V112" s="2" t="str">
        <f>IFERROR(__xludf.DUMMYFUNCTION("""COMPUTED_VALUE"""),"INACTIVE - SIM")</f>
        <v>INACTIVE - SIM</v>
      </c>
      <c r="W112" s="2" t="str">
        <f>IFERROR(__xludf.DUMMYFUNCTION("""COMPUTED_VALUE"""),"VL103D")</f>
        <v>VL103D</v>
      </c>
      <c r="X112" s="2">
        <f>IFERROR(__xludf.DUMMYFUNCTION("""COMPUTED_VALUE"""),8.69066060242527E14)</f>
        <v>869066060242527</v>
      </c>
      <c r="Y112" s="2" t="str">
        <f>IFERROR(__xludf.DUMMYFUNCTION("""COMPUTED_VALUE"""),"09691465836")</f>
        <v>09691465836</v>
      </c>
      <c r="Z112" s="3" t="str">
        <f>IFERROR(__xludf.DUMMYFUNCTION("""COMPUTED_VALUE"""),"0323202005167507")</f>
        <v>0323202005167507</v>
      </c>
      <c r="AA112" s="2"/>
      <c r="AB112" s="2" t="str">
        <f>IFERROR(__xludf.DUMMYFUNCTION("""COMPUTED_VALUE"""),"plgustorosario4")</f>
        <v>plgustorosario4</v>
      </c>
    </row>
    <row r="113">
      <c r="A113" s="2" t="str">
        <f>IFERROR(__xludf.DUMMYFUNCTION("""COMPUTED_VALUE"""),"TT00111")</f>
        <v>TT00111</v>
      </c>
      <c r="B113" s="2" t="str">
        <f>IFERROR(__xludf.DUMMYFUNCTION("""COMPUTED_VALUE"""),"Completed")</f>
        <v>Completed</v>
      </c>
      <c r="C113" s="2" t="str">
        <f>IFERROR(__xludf.DUMMYFUNCTION("""COMPUTED_VALUE"""),"billed L3")</f>
        <v>billed L3</v>
      </c>
      <c r="D113" s="2" t="str">
        <f>IFERROR(__xludf.DUMMYFUNCTION("""COMPUTED_VALUE"""),"BARANGAY SEPUNG ILOG FARMERS IRRIGATORS ASSOCOATION INC.")</f>
        <v>BARANGAY SEPUNG ILOG FARMERS IRRIGATORS ASSOCOATION INC.</v>
      </c>
      <c r="E113" s="2" t="str">
        <f>IFERROR(__xludf.DUMMYFUNCTION("""COMPUTED_VALUE"""),"San Nicolas, Santa Ana, PAMPANGA")</f>
        <v>San Nicolas, Santa Ana, PAMPANGA</v>
      </c>
      <c r="F113" s="2" t="str">
        <f>IFERROR(__xludf.DUMMYFUNCTION("""COMPUTED_VALUE"""),"LODAVICO T. MANIAGO")</f>
        <v>LODAVICO T. MANIAGO</v>
      </c>
      <c r="G113" s="2" t="str">
        <f>IFERROR(__xludf.DUMMYFUNCTION("""COMPUTED_VALUE"""),"0997-370-4756")</f>
        <v>0997-370-4756</v>
      </c>
      <c r="H113" s="2"/>
      <c r="I113" s="2"/>
      <c r="J113" s="2"/>
      <c r="K113" s="2" t="str">
        <f>IFERROR(__xludf.DUMMYFUNCTION("""COMPUTED_VALUE"""),"RCEF 23-09-21 Rebidding")</f>
        <v>RCEF 23-09-21 Rebidding</v>
      </c>
      <c r="L113" s="2">
        <f>IFERROR(__xludf.DUMMYFUNCTION("""COMPUTED_VALUE"""),3.0)</f>
        <v>3</v>
      </c>
      <c r="M113" s="2">
        <f>IFERROR(__xludf.DUMMYFUNCTION("""COMPUTED_VALUE"""),3.0)</f>
        <v>3</v>
      </c>
      <c r="N113" s="74">
        <f>IFERROR(__xludf.DUMMYFUNCTION("""COMPUTED_VALUE"""),45302.0)</f>
        <v>45302</v>
      </c>
      <c r="O113" s="74">
        <f>IFERROR(__xludf.DUMMYFUNCTION("""COMPUTED_VALUE"""),45299.0)</f>
        <v>45299</v>
      </c>
      <c r="P113" s="2">
        <f>IFERROR(__xludf.DUMMYFUNCTION("""COMPUTED_VALUE"""),17795.0)</f>
        <v>17795</v>
      </c>
      <c r="Q113" s="2" t="str">
        <f>IFERROR(__xludf.DUMMYFUNCTION("""COMPUTED_VALUE"""),"KMC5825 ACPFPV0082")</f>
        <v>KMC5825 ACPFPV0082</v>
      </c>
      <c r="R113" s="2" t="str">
        <f>IFERROR(__xludf.DUMMYFUNCTION("""COMPUTED_VALUE"""),"PTS100083")</f>
        <v>PTS100083</v>
      </c>
      <c r="S113" s="2" t="str">
        <f>IFERROR(__xludf.DUMMYFUNCTION("""COMPUTED_VALUE"""),"R-SERIES 096PH")</f>
        <v>R-SERIES 096PH</v>
      </c>
      <c r="T113" s="2" t="str">
        <f>IFERROR(__xludf.DUMMYFUNCTION("""COMPUTED_VALUE"""),"LSGW1750-RMP-2312006")</f>
        <v>LSGW1750-RMP-2312006</v>
      </c>
      <c r="U113" s="2" t="str">
        <f>IFERROR(__xludf.DUMMYFUNCTION("""COMPUTED_VALUE"""),"WDP40-RMP-2312054")</f>
        <v>WDP40-RMP-2312054</v>
      </c>
      <c r="V113" s="2" t="str">
        <f>IFERROR(__xludf.DUMMYFUNCTION("""COMPUTED_VALUE"""),"good")</f>
        <v>good</v>
      </c>
      <c r="W113" s="2" t="str">
        <f>IFERROR(__xludf.DUMMYFUNCTION("""COMPUTED_VALUE"""),"VL103D")</f>
        <v>VL103D</v>
      </c>
      <c r="X113" s="2">
        <f>IFERROR(__xludf.DUMMYFUNCTION("""COMPUTED_VALUE"""),8.69066060242824E14)</f>
        <v>869066060242824</v>
      </c>
      <c r="Y113" s="2" t="str">
        <f>IFERROR(__xludf.DUMMYFUNCTION("""COMPUTED_VALUE"""),"09692405852")</f>
        <v>09692405852</v>
      </c>
      <c r="Z113" s="3" t="str">
        <f>IFERROR(__xludf.DUMMYFUNCTION("""COMPUTED_VALUE"""),"0323202005167499")</f>
        <v>0323202005167499</v>
      </c>
      <c r="AA113" s="2"/>
      <c r="AB113" s="2" t="str">
        <f>IFERROR(__xludf.DUMMYFUNCTION("""COMPUTED_VALUE"""),"sepungilogirrig")</f>
        <v>sepungilogirrig</v>
      </c>
    </row>
    <row r="114">
      <c r="A114" s="2" t="str">
        <f>IFERROR(__xludf.DUMMYFUNCTION("""COMPUTED_VALUE"""),"TT00112")</f>
        <v>TT00112</v>
      </c>
      <c r="B114" s="2" t="str">
        <f>IFERROR(__xludf.DUMMYFUNCTION("""COMPUTED_VALUE"""),"Completed")</f>
        <v>Completed</v>
      </c>
      <c r="C114" s="2" t="str">
        <f>IFERROR(__xludf.DUMMYFUNCTION("""COMPUTED_VALUE"""),"billed L3")</f>
        <v>billed L3</v>
      </c>
      <c r="D114" s="2" t="str">
        <f>IFERROR(__xludf.DUMMYFUNCTION("""COMPUTED_VALUE"""),"Santo Rosario Farmer's and Irrigators Association Inc.")</f>
        <v>Santo Rosario Farmer's and Irrigators Association Inc.</v>
      </c>
      <c r="E114" s="2" t="str">
        <f>IFERROR(__xludf.DUMMYFUNCTION("""COMPUTED_VALUE"""),"Tabuyuc (Santo Rosario), Apalit, PAMPANGA")</f>
        <v>Tabuyuc (Santo Rosario), Apalit, PAMPANGA</v>
      </c>
      <c r="F114" s="2" t="str">
        <f>IFERROR(__xludf.DUMMYFUNCTION("""COMPUTED_VALUE"""),"JAIME M. MANLAPAZ")</f>
        <v>JAIME M. MANLAPAZ</v>
      </c>
      <c r="G114" s="2" t="str">
        <f>IFERROR(__xludf.DUMMYFUNCTION("""COMPUTED_VALUE"""),"0917-179-9224")</f>
        <v>0917-179-9224</v>
      </c>
      <c r="H114" s="2"/>
      <c r="I114" s="2"/>
      <c r="J114" s="2"/>
      <c r="K114" s="2" t="str">
        <f>IFERROR(__xludf.DUMMYFUNCTION("""COMPUTED_VALUE"""),"RCEF 23-09-21 Rebidding")</f>
        <v>RCEF 23-09-21 Rebidding</v>
      </c>
      <c r="L114" s="2">
        <f>IFERROR(__xludf.DUMMYFUNCTION("""COMPUTED_VALUE"""),3.0)</f>
        <v>3</v>
      </c>
      <c r="M114" s="2">
        <f>IFERROR(__xludf.DUMMYFUNCTION("""COMPUTED_VALUE"""),3.0)</f>
        <v>3</v>
      </c>
      <c r="N114" s="74">
        <f>IFERROR(__xludf.DUMMYFUNCTION("""COMPUTED_VALUE"""),45302.0)</f>
        <v>45302</v>
      </c>
      <c r="O114" s="74">
        <f>IFERROR(__xludf.DUMMYFUNCTION("""COMPUTED_VALUE"""),45299.0)</f>
        <v>45299</v>
      </c>
      <c r="P114" s="2">
        <f>IFERROR(__xludf.DUMMYFUNCTION("""COMPUTED_VALUE"""),17796.0)</f>
        <v>17796</v>
      </c>
      <c r="Q114" s="2" t="str">
        <f>IFERROR(__xludf.DUMMYFUNCTION("""COMPUTED_VALUE"""),"KMC5825 AAPFPV0053")</f>
        <v>KMC5825 AAPFPV0053</v>
      </c>
      <c r="R114" s="2" t="str">
        <f>IFERROR(__xludf.DUMMYFUNCTION("""COMPUTED_VALUE"""),"PTS100129")</f>
        <v>PTS100129</v>
      </c>
      <c r="S114" s="2" t="str">
        <f>IFERROR(__xludf.DUMMYFUNCTION("""COMPUTED_VALUE"""),"R-SERIES 065PH")</f>
        <v>R-SERIES 065PH</v>
      </c>
      <c r="T114" s="2" t="str">
        <f>IFERROR(__xludf.DUMMYFUNCTION("""COMPUTED_VALUE"""),"LSGW1750-RMP-2312011")</f>
        <v>LSGW1750-RMP-2312011</v>
      </c>
      <c r="U114" s="2" t="str">
        <f>IFERROR(__xludf.DUMMYFUNCTION("""COMPUTED_VALUE"""),"WDP40-RMP-2312055")</f>
        <v>WDP40-RMP-2312055</v>
      </c>
      <c r="V114" s="2" t="str">
        <f>IFERROR(__xludf.DUMMYFUNCTION("""COMPUTED_VALUE"""),"good")</f>
        <v>good</v>
      </c>
      <c r="W114" s="2" t="str">
        <f>IFERROR(__xludf.DUMMYFUNCTION("""COMPUTED_VALUE"""),"VL103D")</f>
        <v>VL103D</v>
      </c>
      <c r="X114" s="2">
        <f>IFERROR(__xludf.DUMMYFUNCTION("""COMPUTED_VALUE"""),8.69066060243558E14)</f>
        <v>869066060243558</v>
      </c>
      <c r="Y114" s="2" t="str">
        <f>IFERROR(__xludf.DUMMYFUNCTION("""COMPUTED_VALUE"""),"09694081235")</f>
        <v>09694081235</v>
      </c>
      <c r="Z114" s="3" t="str">
        <f>IFERROR(__xludf.DUMMYFUNCTION("""COMPUTED_VALUE"""),"0323202005167481")</f>
        <v>0323202005167481</v>
      </c>
      <c r="AA114" s="2"/>
      <c r="AB114" s="2" t="str">
        <f>IFERROR(__xludf.DUMMYFUNCTION("""COMPUTED_VALUE"""),"santorosarioirrig")</f>
        <v>santorosarioirrig</v>
      </c>
    </row>
    <row r="115">
      <c r="A115" s="2" t="str">
        <f>IFERROR(__xludf.DUMMYFUNCTION("""COMPUTED_VALUE"""),"TT00113")</f>
        <v>TT00113</v>
      </c>
      <c r="B115" s="2" t="str">
        <f>IFERROR(__xludf.DUMMYFUNCTION("""COMPUTED_VALUE"""),"Completed")</f>
        <v>Completed</v>
      </c>
      <c r="C115" s="2" t="str">
        <f>IFERROR(__xludf.DUMMYFUNCTION("""COMPUTED_VALUE"""),"billed L3")</f>
        <v>billed L3</v>
      </c>
      <c r="D115" s="2" t="str">
        <f>IFERROR(__xludf.DUMMYFUNCTION("""COMPUTED_VALUE"""),"KADENA IRRIGATORS ASSOCIATION, INC.")</f>
        <v>KADENA IRRIGATORS ASSOCIATION, INC.</v>
      </c>
      <c r="E115" s="2" t="str">
        <f>IFERROR(__xludf.DUMMYFUNCTION("""COMPUTED_VALUE"""),"Paligui, Candaba, PAMPANGA")</f>
        <v>Paligui, Candaba, PAMPANGA</v>
      </c>
      <c r="F115" s="2" t="str">
        <f>IFERROR(__xludf.DUMMYFUNCTION("""COMPUTED_VALUE"""),"GRACIANO R. MANIO")</f>
        <v>GRACIANO R. MANIO</v>
      </c>
      <c r="G115" s="2" t="str">
        <f>IFERROR(__xludf.DUMMYFUNCTION("""COMPUTED_VALUE"""),"0942-558-7043")</f>
        <v>0942-558-7043</v>
      </c>
      <c r="H115" s="2"/>
      <c r="I115" s="2"/>
      <c r="J115" s="2"/>
      <c r="K115" s="2" t="str">
        <f>IFERROR(__xludf.DUMMYFUNCTION("""COMPUTED_VALUE"""),"RCEF 23-09-21 Rebidding")</f>
        <v>RCEF 23-09-21 Rebidding</v>
      </c>
      <c r="L115" s="2">
        <f>IFERROR(__xludf.DUMMYFUNCTION("""COMPUTED_VALUE"""),3.0)</f>
        <v>3</v>
      </c>
      <c r="M115" s="2">
        <f>IFERROR(__xludf.DUMMYFUNCTION("""COMPUTED_VALUE"""),3.0)</f>
        <v>3</v>
      </c>
      <c r="N115" s="74">
        <f>IFERROR(__xludf.DUMMYFUNCTION("""COMPUTED_VALUE"""),45302.0)</f>
        <v>45302</v>
      </c>
      <c r="O115" s="74">
        <f>IFERROR(__xludf.DUMMYFUNCTION("""COMPUTED_VALUE"""),45299.0)</f>
        <v>45299</v>
      </c>
      <c r="P115" s="2">
        <f>IFERROR(__xludf.DUMMYFUNCTION("""COMPUTED_VALUE"""),17797.0)</f>
        <v>17797</v>
      </c>
      <c r="Q115" s="2" t="str">
        <f>IFERROR(__xludf.DUMMYFUNCTION("""COMPUTED_VALUE"""),"KMC5825 ALPFPV0068")</f>
        <v>KMC5825 ALPFPV0068</v>
      </c>
      <c r="R115" s="2" t="str">
        <f>IFERROR(__xludf.DUMMYFUNCTION("""COMPUTED_VALUE"""),"PTS100160")</f>
        <v>PTS100160</v>
      </c>
      <c r="S115" s="2" t="str">
        <f>IFERROR(__xludf.DUMMYFUNCTION("""COMPUTED_VALUE"""),"R-SERIES 032PH")</f>
        <v>R-SERIES 032PH</v>
      </c>
      <c r="T115" s="2" t="str">
        <f>IFERROR(__xludf.DUMMYFUNCTION("""COMPUTED_VALUE"""),"LSGW1750-RMP-2312043")</f>
        <v>LSGW1750-RMP-2312043</v>
      </c>
      <c r="U115" s="2" t="str">
        <f>IFERROR(__xludf.DUMMYFUNCTION("""COMPUTED_VALUE"""),"WDP40-RMP-2312047")</f>
        <v>WDP40-RMP-2312047</v>
      </c>
      <c r="V115" s="2" t="str">
        <f>IFERROR(__xludf.DUMMYFUNCTION("""COMPUTED_VALUE"""),"good")</f>
        <v>good</v>
      </c>
      <c r="W115" s="2" t="str">
        <f>IFERROR(__xludf.DUMMYFUNCTION("""COMPUTED_VALUE"""),"VL103D")</f>
        <v>VL103D</v>
      </c>
      <c r="X115" s="2">
        <f>IFERROR(__xludf.DUMMYFUNCTION("""COMPUTED_VALUE"""),8.69066060240414E14)</f>
        <v>869066060240414</v>
      </c>
      <c r="Y115" s="2" t="str">
        <f>IFERROR(__xludf.DUMMYFUNCTION("""COMPUTED_VALUE"""),"09694730729")</f>
        <v>09694730729</v>
      </c>
      <c r="Z115" s="3" t="str">
        <f>IFERROR(__xludf.DUMMYFUNCTION("""COMPUTED_VALUE"""),"0323202005167473")</f>
        <v>0323202005167473</v>
      </c>
      <c r="AA115" s="2"/>
      <c r="AB115" s="2" t="str">
        <f>IFERROR(__xludf.DUMMYFUNCTION("""COMPUTED_VALUE"""),"kadenairrig")</f>
        <v>kadenairrig</v>
      </c>
    </row>
    <row r="116">
      <c r="A116" s="2" t="str">
        <f>IFERROR(__xludf.DUMMYFUNCTION("""COMPUTED_VALUE"""),"TT00114")</f>
        <v>TT00114</v>
      </c>
      <c r="B116" s="2" t="str">
        <f>IFERROR(__xludf.DUMMYFUNCTION("""COMPUTED_VALUE"""),"Completed")</f>
        <v>Completed</v>
      </c>
      <c r="C116" s="2" t="str">
        <f>IFERROR(__xludf.DUMMYFUNCTION("""COMPUTED_VALUE"""),"billed L3")</f>
        <v>billed L3</v>
      </c>
      <c r="D116" s="2" t="str">
        <f>IFERROR(__xludf.DUMMYFUNCTION("""COMPUTED_VALUE"""),"GOLDEN HARVEST FARMERS ASSOCIATION")</f>
        <v>GOLDEN HARVEST FARMERS ASSOCIATION</v>
      </c>
      <c r="E116" s="2" t="str">
        <f>IFERROR(__xludf.DUMMYFUNCTION("""COMPUTED_VALUE"""),"San Jose, San Luis, PAMPANGA")</f>
        <v>San Jose, San Luis, PAMPANGA</v>
      </c>
      <c r="F116" s="2" t="str">
        <f>IFERROR(__xludf.DUMMYFUNCTION("""COMPUTED_VALUE"""),"DIOSDADO R. CRUZ")</f>
        <v>DIOSDADO R. CRUZ</v>
      </c>
      <c r="G116" s="2" t="str">
        <f>IFERROR(__xludf.DUMMYFUNCTION("""COMPUTED_VALUE"""),"0917-924-7663")</f>
        <v>0917-924-7663</v>
      </c>
      <c r="H116" s="2"/>
      <c r="I116" s="2"/>
      <c r="J116" s="2"/>
      <c r="K116" s="2" t="str">
        <f>IFERROR(__xludf.DUMMYFUNCTION("""COMPUTED_VALUE"""),"RCEF 23-09-21 Rebidding")</f>
        <v>RCEF 23-09-21 Rebidding</v>
      </c>
      <c r="L116" s="2">
        <f>IFERROR(__xludf.DUMMYFUNCTION("""COMPUTED_VALUE"""),3.0)</f>
        <v>3</v>
      </c>
      <c r="M116" s="2">
        <f>IFERROR(__xludf.DUMMYFUNCTION("""COMPUTED_VALUE"""),3.0)</f>
        <v>3</v>
      </c>
      <c r="N116" s="74">
        <f>IFERROR(__xludf.DUMMYFUNCTION("""COMPUTED_VALUE"""),45302.0)</f>
        <v>45302</v>
      </c>
      <c r="O116" s="74">
        <f>IFERROR(__xludf.DUMMYFUNCTION("""COMPUTED_VALUE"""),45299.0)</f>
        <v>45299</v>
      </c>
      <c r="P116" s="2">
        <f>IFERROR(__xludf.DUMMYFUNCTION("""COMPUTED_VALUE"""),17798.0)</f>
        <v>17798</v>
      </c>
      <c r="Q116" s="2" t="str">
        <f>IFERROR(__xludf.DUMMYFUNCTION("""COMPUTED_VALUE"""),"KMC5825 ACPFPV0060")</f>
        <v>KMC5825 ACPFPV0060</v>
      </c>
      <c r="R116" s="2" t="str">
        <f>IFERROR(__xludf.DUMMYFUNCTION("""COMPUTED_VALUE"""),"PTS100144")</f>
        <v>PTS100144</v>
      </c>
      <c r="S116" s="2" t="str">
        <f>IFERROR(__xludf.DUMMYFUNCTION("""COMPUTED_VALUE"""),"R-SERIES 056PH")</f>
        <v>R-SERIES 056PH</v>
      </c>
      <c r="T116" s="2" t="str">
        <f>IFERROR(__xludf.DUMMYFUNCTION("""COMPUTED_VALUE"""),"LSGW1750-RMP-2312042")</f>
        <v>LSGW1750-RMP-2312042</v>
      </c>
      <c r="U116" s="2" t="str">
        <f>IFERROR(__xludf.DUMMYFUNCTION("""COMPUTED_VALUE"""),"WDP40-RMP-2312068")</f>
        <v>WDP40-RMP-2312068</v>
      </c>
      <c r="V116" s="2" t="str">
        <f>IFERROR(__xludf.DUMMYFUNCTION("""COMPUTED_VALUE"""),"good")</f>
        <v>good</v>
      </c>
      <c r="W116" s="2" t="str">
        <f>IFERROR(__xludf.DUMMYFUNCTION("""COMPUTED_VALUE"""),"VL103D")</f>
        <v>VL103D</v>
      </c>
      <c r="X116" s="2">
        <f>IFERROR(__xludf.DUMMYFUNCTION("""COMPUTED_VALUE"""),8.690660602434E14)</f>
        <v>869066060243400</v>
      </c>
      <c r="Y116" s="2" t="str">
        <f>IFERROR(__xludf.DUMMYFUNCTION("""COMPUTED_VALUE"""),"09691918006")</f>
        <v>09691918006</v>
      </c>
      <c r="Z116" s="3" t="str">
        <f>IFERROR(__xludf.DUMMYFUNCTION("""COMPUTED_VALUE"""),"0323202005167465")</f>
        <v>0323202005167465</v>
      </c>
      <c r="AA116" s="2"/>
      <c r="AB116" s="2" t="str">
        <f>IFERROR(__xludf.DUMMYFUNCTION("""COMPUTED_VALUE"""),"goldenharvestfa")</f>
        <v>goldenharvestfa</v>
      </c>
    </row>
    <row r="117">
      <c r="A117" s="2" t="str">
        <f>IFERROR(__xludf.DUMMYFUNCTION("""COMPUTED_VALUE"""),"TT00115")</f>
        <v>TT00115</v>
      </c>
      <c r="B117" s="2" t="str">
        <f>IFERROR(__xludf.DUMMYFUNCTION("""COMPUTED_VALUE"""),"Completed")</f>
        <v>Completed</v>
      </c>
      <c r="C117" s="2" t="str">
        <f>IFERROR(__xludf.DUMMYFUNCTION("""COMPUTED_VALUE"""),"billed L3")</f>
        <v>billed L3</v>
      </c>
      <c r="D117" s="2" t="str">
        <f>IFERROR(__xludf.DUMMYFUNCTION("""COMPUTED_VALUE"""),"BAGONG BUHAY, FARMERS ASSOCIATION, INC.")</f>
        <v>BAGONG BUHAY, FARMERS ASSOCIATION, INC.</v>
      </c>
      <c r="E117" s="2" t="str">
        <f>IFERROR(__xludf.DUMMYFUNCTION("""COMPUTED_VALUE"""),"Concepcion, San Simon, PAMPANGA")</f>
        <v>Concepcion, San Simon, PAMPANGA</v>
      </c>
      <c r="F117" s="2" t="str">
        <f>IFERROR(__xludf.DUMMYFUNCTION("""COMPUTED_VALUE"""),"TEODOLO P. MIRANDA")</f>
        <v>TEODOLO P. MIRANDA</v>
      </c>
      <c r="G117" s="2" t="str">
        <f>IFERROR(__xludf.DUMMYFUNCTION("""COMPUTED_VALUE"""),"0928-357-0208")</f>
        <v>0928-357-0208</v>
      </c>
      <c r="H117" s="2"/>
      <c r="I117" s="2"/>
      <c r="J117" s="2"/>
      <c r="K117" s="2" t="str">
        <f>IFERROR(__xludf.DUMMYFUNCTION("""COMPUTED_VALUE"""),"RCEF 23-09-21 Rebidding")</f>
        <v>RCEF 23-09-21 Rebidding</v>
      </c>
      <c r="L117" s="2">
        <f>IFERROR(__xludf.DUMMYFUNCTION("""COMPUTED_VALUE"""),3.0)</f>
        <v>3</v>
      </c>
      <c r="M117" s="2">
        <f>IFERROR(__xludf.DUMMYFUNCTION("""COMPUTED_VALUE"""),3.0)</f>
        <v>3</v>
      </c>
      <c r="N117" s="74">
        <f>IFERROR(__xludf.DUMMYFUNCTION("""COMPUTED_VALUE"""),45302.0)</f>
        <v>45302</v>
      </c>
      <c r="O117" s="74">
        <f>IFERROR(__xludf.DUMMYFUNCTION("""COMPUTED_VALUE"""),45299.0)</f>
        <v>45299</v>
      </c>
      <c r="P117" s="2">
        <f>IFERROR(__xludf.DUMMYFUNCTION("""COMPUTED_VALUE"""),17799.0)</f>
        <v>17799</v>
      </c>
      <c r="Q117" s="2" t="str">
        <f>IFERROR(__xludf.DUMMYFUNCTION("""COMPUTED_VALUE"""),"KMC5825 ATPFPV0125")</f>
        <v>KMC5825 ATPFPV0125</v>
      </c>
      <c r="R117" s="2" t="str">
        <f>IFERROR(__xludf.DUMMYFUNCTION("""COMPUTED_VALUE"""),"PTS100050")</f>
        <v>PTS100050</v>
      </c>
      <c r="S117" s="2" t="str">
        <f>IFERROR(__xludf.DUMMYFUNCTION("""COMPUTED_VALUE"""),"R-SERIES 074PH")</f>
        <v>R-SERIES 074PH</v>
      </c>
      <c r="T117" s="2" t="str">
        <f>IFERROR(__xludf.DUMMYFUNCTION("""COMPUTED_VALUE"""),"LSGW1750-RMP-2312041")</f>
        <v>LSGW1750-RMP-2312041</v>
      </c>
      <c r="U117" s="2" t="str">
        <f>IFERROR(__xludf.DUMMYFUNCTION("""COMPUTED_VALUE"""),"WDP40-RMP-2312070")</f>
        <v>WDP40-RMP-2312070</v>
      </c>
      <c r="V117" s="2" t="str">
        <f>IFERROR(__xludf.DUMMYFUNCTION("""COMPUTED_VALUE"""),"good")</f>
        <v>good</v>
      </c>
      <c r="W117" s="2" t="str">
        <f>IFERROR(__xludf.DUMMYFUNCTION("""COMPUTED_VALUE"""),"VL103D")</f>
        <v>VL103D</v>
      </c>
      <c r="X117" s="2">
        <f>IFERROR(__xludf.DUMMYFUNCTION("""COMPUTED_VALUE"""),8.69066060244846E14)</f>
        <v>869066060244846</v>
      </c>
      <c r="Y117" s="2" t="str">
        <f>IFERROR(__xludf.DUMMYFUNCTION("""COMPUTED_VALUE"""),"09691191299")</f>
        <v>09691191299</v>
      </c>
      <c r="Z117" s="3" t="str">
        <f>IFERROR(__xludf.DUMMYFUNCTION("""COMPUTED_VALUE"""),"0323202005167457")</f>
        <v>0323202005167457</v>
      </c>
      <c r="AA117" s="2"/>
      <c r="AB117" s="2" t="str">
        <f>IFERROR(__xludf.DUMMYFUNCTION("""COMPUTED_VALUE"""),"bagongbuhayfai")</f>
        <v>bagongbuhayfai</v>
      </c>
    </row>
    <row r="118">
      <c r="A118" s="2" t="str">
        <f>IFERROR(__xludf.DUMMYFUNCTION("""COMPUTED_VALUE"""),"TT00116")</f>
        <v>TT00116</v>
      </c>
      <c r="B118" s="2" t="str">
        <f>IFERROR(__xludf.DUMMYFUNCTION("""COMPUTED_VALUE"""),"Completed")</f>
        <v>Completed</v>
      </c>
      <c r="C118" s="2" t="str">
        <f>IFERROR(__xludf.DUMMYFUNCTION("""COMPUTED_VALUE"""),"billed L3")</f>
        <v>billed L3</v>
      </c>
      <c r="D118" s="2" t="str">
        <f>IFERROR(__xludf.DUMMYFUNCTION("""COMPUTED_VALUE"""),"SAINT JOSEPH THE WORKER FARMERS ASSOCIATION INC.")</f>
        <v>SAINT JOSEPH THE WORKER FARMERS ASSOCIATION INC.</v>
      </c>
      <c r="E118" s="2" t="str">
        <f>IFERROR(__xludf.DUMMYFUNCTION("""COMPUTED_VALUE"""),"San Jose North, Anao, TARLAC")</f>
        <v>San Jose North, Anao, TARLAC</v>
      </c>
      <c r="F118" s="2" t="str">
        <f>IFERROR(__xludf.DUMMYFUNCTION("""COMPUTED_VALUE"""),"Jesus F. Bartolome Jr.")</f>
        <v>Jesus F. Bartolome Jr.</v>
      </c>
      <c r="G118" s="2" t="str">
        <f>IFERROR(__xludf.DUMMYFUNCTION("""COMPUTED_VALUE"""),"0917-136-2169")</f>
        <v>0917-136-2169</v>
      </c>
      <c r="H118" s="2"/>
      <c r="I118" s="2"/>
      <c r="J118" s="2" t="str">
        <f>IFERROR(__xludf.DUMMYFUNCTION("""COMPUTED_VALUE"""),"- sim registration")</f>
        <v>- sim registration</v>
      </c>
      <c r="K118" s="2" t="str">
        <f>IFERROR(__xludf.DUMMYFUNCTION("""COMPUTED_VALUE"""),"RCEF 23-09-21 Rebidding")</f>
        <v>RCEF 23-09-21 Rebidding</v>
      </c>
      <c r="L118" s="2">
        <f>IFERROR(__xludf.DUMMYFUNCTION("""COMPUTED_VALUE"""),3.0)</f>
        <v>3</v>
      </c>
      <c r="M118" s="2">
        <f>IFERROR(__xludf.DUMMYFUNCTION("""COMPUTED_VALUE"""),3.0)</f>
        <v>3</v>
      </c>
      <c r="N118" s="74">
        <f>IFERROR(__xludf.DUMMYFUNCTION("""COMPUTED_VALUE"""),45302.0)</f>
        <v>45302</v>
      </c>
      <c r="O118" s="74">
        <f>IFERROR(__xludf.DUMMYFUNCTION("""COMPUTED_VALUE"""),45299.0)</f>
        <v>45299</v>
      </c>
      <c r="P118" s="2">
        <f>IFERROR(__xludf.DUMMYFUNCTION("""COMPUTED_VALUE"""),17800.0)</f>
        <v>17800</v>
      </c>
      <c r="Q118" s="2" t="str">
        <f>IFERROR(__xludf.DUMMYFUNCTION("""COMPUTED_VALUE"""),"KMC5825 APPFPV0157")</f>
        <v>KMC5825 APPFPV0157</v>
      </c>
      <c r="R118" s="2" t="str">
        <f>IFERROR(__xludf.DUMMYFUNCTION("""COMPUTED_VALUE"""),"PTS100052")</f>
        <v>PTS100052</v>
      </c>
      <c r="S118" s="2" t="str">
        <f>IFERROR(__xludf.DUMMYFUNCTION("""COMPUTED_VALUE"""),"R-SERIES 052PH")</f>
        <v>R-SERIES 052PH</v>
      </c>
      <c r="T118" s="2" t="str">
        <f>IFERROR(__xludf.DUMMYFUNCTION("""COMPUTED_VALUE"""),"LSGW1750-RMP-2312022")</f>
        <v>LSGW1750-RMP-2312022</v>
      </c>
      <c r="U118" s="2" t="str">
        <f>IFERROR(__xludf.DUMMYFUNCTION("""COMPUTED_VALUE"""),"WDP40-RMP-2312048")</f>
        <v>WDP40-RMP-2312048</v>
      </c>
      <c r="V118" s="2" t="str">
        <f>IFERROR(__xludf.DUMMYFUNCTION("""COMPUTED_VALUE"""),"good")</f>
        <v>good</v>
      </c>
      <c r="W118" s="2" t="str">
        <f>IFERROR(__xludf.DUMMYFUNCTION("""COMPUTED_VALUE"""),"VL103D")</f>
        <v>VL103D</v>
      </c>
      <c r="X118" s="2">
        <f>IFERROR(__xludf.DUMMYFUNCTION("""COMPUTED_VALUE"""),8.69066060237279E14)</f>
        <v>869066060237279</v>
      </c>
      <c r="Y118" s="2">
        <f>IFERROR(__xludf.DUMMYFUNCTION("""COMPUTED_VALUE"""),9.690404836E9)</f>
        <v>9690404836</v>
      </c>
      <c r="Z118" s="3" t="str">
        <f>IFERROR(__xludf.DUMMYFUNCTION("""COMPUTED_VALUE"""),"0323202005167358")</f>
        <v>0323202005167358</v>
      </c>
      <c r="AA118" s="2"/>
      <c r="AB118" s="2" t="str">
        <f>IFERROR(__xludf.DUMMYFUNCTION("""COMPUTED_VALUE"""),"stjosephfai")</f>
        <v>stjosephfai</v>
      </c>
    </row>
    <row r="119">
      <c r="A119" s="2" t="str">
        <f>IFERROR(__xludf.DUMMYFUNCTION("""COMPUTED_VALUE"""),"TT00117")</f>
        <v>TT00117</v>
      </c>
      <c r="B119" s="2" t="str">
        <f>IFERROR(__xludf.DUMMYFUNCTION("""COMPUTED_VALUE"""),"Completed")</f>
        <v>Completed</v>
      </c>
      <c r="C119" s="2" t="str">
        <f>IFERROR(__xludf.DUMMYFUNCTION("""COMPUTED_VALUE"""),"billed L3")</f>
        <v>billed L3</v>
      </c>
      <c r="D119" s="2" t="str">
        <f>IFERROR(__xludf.DUMMYFUNCTION("""COMPUTED_VALUE"""),"TAMBUGAN FARMERS ASSOCIATION")</f>
        <v>TAMBUGAN FARMERS ASSOCIATION</v>
      </c>
      <c r="E119" s="2" t="str">
        <f>IFERROR(__xludf.DUMMYFUNCTION("""COMPUTED_VALUE"""),"Tambugan, Camiling, TARLAC")</f>
        <v>Tambugan, Camiling, TARLAC</v>
      </c>
      <c r="F119" s="2" t="str">
        <f>IFERROR(__xludf.DUMMYFUNCTION("""COMPUTED_VALUE"""),"Reynaldo L. Datuin")</f>
        <v>Reynaldo L. Datuin</v>
      </c>
      <c r="G119" s="2" t="str">
        <f>IFERROR(__xludf.DUMMYFUNCTION("""COMPUTED_VALUE"""),"0946-053-7727")</f>
        <v>0946-053-7727</v>
      </c>
      <c r="H119" s="2"/>
      <c r="I119" s="2"/>
      <c r="J119" s="2"/>
      <c r="K119" s="2" t="str">
        <f>IFERROR(__xludf.DUMMYFUNCTION("""COMPUTED_VALUE"""),"RCEF 23-09-21 Rebidding")</f>
        <v>RCEF 23-09-21 Rebidding</v>
      </c>
      <c r="L119" s="2">
        <f>IFERROR(__xludf.DUMMYFUNCTION("""COMPUTED_VALUE"""),3.0)</f>
        <v>3</v>
      </c>
      <c r="M119" s="2">
        <f>IFERROR(__xludf.DUMMYFUNCTION("""COMPUTED_VALUE"""),3.0)</f>
        <v>3</v>
      </c>
      <c r="N119" s="74">
        <f>IFERROR(__xludf.DUMMYFUNCTION("""COMPUTED_VALUE"""),45302.0)</f>
        <v>45302</v>
      </c>
      <c r="O119" s="74">
        <f>IFERROR(__xludf.DUMMYFUNCTION("""COMPUTED_VALUE"""),45299.0)</f>
        <v>45299</v>
      </c>
      <c r="P119" s="2">
        <f>IFERROR(__xludf.DUMMYFUNCTION("""COMPUTED_VALUE"""),17801.0)</f>
        <v>17801</v>
      </c>
      <c r="Q119" s="2" t="str">
        <f>IFERROR(__xludf.DUMMYFUNCTION("""COMPUTED_VALUE"""),"KMC5825 ACPFPV0051")</f>
        <v>KMC5825 ACPFPV0051</v>
      </c>
      <c r="R119" s="2" t="str">
        <f>IFERROR(__xludf.DUMMYFUNCTION("""COMPUTED_VALUE"""),"PTS100062")</f>
        <v>PTS100062</v>
      </c>
      <c r="S119" s="2" t="str">
        <f>IFERROR(__xludf.DUMMYFUNCTION("""COMPUTED_VALUE"""),"R-SERIES 048PH")</f>
        <v>R-SERIES 048PH</v>
      </c>
      <c r="T119" s="2" t="str">
        <f>IFERROR(__xludf.DUMMYFUNCTION("""COMPUTED_VALUE"""),"LSGW1750-RMP-2312020")</f>
        <v>LSGW1750-RMP-2312020</v>
      </c>
      <c r="U119" s="2" t="str">
        <f>IFERROR(__xludf.DUMMYFUNCTION("""COMPUTED_VALUE"""),"WDP40-RMP-2312044")</f>
        <v>WDP40-RMP-2312044</v>
      </c>
      <c r="V119" s="2" t="str">
        <f>IFERROR(__xludf.DUMMYFUNCTION("""COMPUTED_VALUE"""),"INACTIVE - SIM")</f>
        <v>INACTIVE - SIM</v>
      </c>
      <c r="W119" s="2" t="str">
        <f>IFERROR(__xludf.DUMMYFUNCTION("""COMPUTED_VALUE"""),"VL103D")</f>
        <v>VL103D</v>
      </c>
      <c r="X119" s="2">
        <f>IFERROR(__xludf.DUMMYFUNCTION("""COMPUTED_VALUE"""),8.69066060244895E14)</f>
        <v>869066060244895</v>
      </c>
      <c r="Y119" s="2">
        <f>IFERROR(__xludf.DUMMYFUNCTION("""COMPUTED_VALUE"""),9.691894971E9)</f>
        <v>9691894971</v>
      </c>
      <c r="Z119" s="3" t="str">
        <f>IFERROR(__xludf.DUMMYFUNCTION("""COMPUTED_VALUE"""),"0323202005167077")</f>
        <v>0323202005167077</v>
      </c>
      <c r="AA119" s="2"/>
      <c r="AB119" s="2" t="str">
        <f>IFERROR(__xludf.DUMMYFUNCTION("""COMPUTED_VALUE"""),"tambuganfa")</f>
        <v>tambuganfa</v>
      </c>
    </row>
    <row r="120">
      <c r="A120" s="2" t="str">
        <f>IFERROR(__xludf.DUMMYFUNCTION("""COMPUTED_VALUE"""),"TT00118")</f>
        <v>TT00118</v>
      </c>
      <c r="B120" s="2" t="str">
        <f>IFERROR(__xludf.DUMMYFUNCTION("""COMPUTED_VALUE"""),"Completed")</f>
        <v>Completed</v>
      </c>
      <c r="C120" s="2" t="str">
        <f>IFERROR(__xludf.DUMMYFUNCTION("""COMPUTED_VALUE"""),"billed L3")</f>
        <v>billed L3</v>
      </c>
      <c r="D120" s="2" t="str">
        <f>IFERROR(__xludf.DUMMYFUNCTION("""COMPUTED_VALUE"""),"CAMANGAAN WEST LANDOWNERS AND FARMERS IRRIGATORS ASSOCIATION INC.")</f>
        <v>CAMANGAAN WEST LANDOWNERS AND FARMERS IRRIGATORS ASSOCIATION INC.</v>
      </c>
      <c r="E120" s="2" t="str">
        <f>IFERROR(__xludf.DUMMYFUNCTION("""COMPUTED_VALUE"""),"Camangaan West, Moncada, TARLAC")</f>
        <v>Camangaan West, Moncada, TARLAC</v>
      </c>
      <c r="F120" s="2" t="str">
        <f>IFERROR(__xludf.DUMMYFUNCTION("""COMPUTED_VALUE"""),"Nestor M. Portuguez")</f>
        <v>Nestor M. Portuguez</v>
      </c>
      <c r="G120" s="2" t="str">
        <f>IFERROR(__xludf.DUMMYFUNCTION("""COMPUTED_VALUE"""),"0928-562-8422")</f>
        <v>0928-562-8422</v>
      </c>
      <c r="H120" s="2"/>
      <c r="I120" s="2"/>
      <c r="J120" s="2" t="str">
        <f>IFERROR(__xludf.DUMMYFUNCTION("""COMPUTED_VALUE"""),"- sim registration")</f>
        <v>- sim registration</v>
      </c>
      <c r="K120" s="2" t="str">
        <f>IFERROR(__xludf.DUMMYFUNCTION("""COMPUTED_VALUE"""),"RCEF 23-09-21 Rebidding")</f>
        <v>RCEF 23-09-21 Rebidding</v>
      </c>
      <c r="L120" s="2">
        <f>IFERROR(__xludf.DUMMYFUNCTION("""COMPUTED_VALUE"""),3.0)</f>
        <v>3</v>
      </c>
      <c r="M120" s="2">
        <f>IFERROR(__xludf.DUMMYFUNCTION("""COMPUTED_VALUE"""),3.0)</f>
        <v>3</v>
      </c>
      <c r="N120" s="74">
        <f>IFERROR(__xludf.DUMMYFUNCTION("""COMPUTED_VALUE"""),45302.0)</f>
        <v>45302</v>
      </c>
      <c r="O120" s="74">
        <f>IFERROR(__xludf.DUMMYFUNCTION("""COMPUTED_VALUE"""),45299.0)</f>
        <v>45299</v>
      </c>
      <c r="P120" s="2">
        <f>IFERROR(__xludf.DUMMYFUNCTION("""COMPUTED_VALUE"""),17802.0)</f>
        <v>17802</v>
      </c>
      <c r="Q120" s="2" t="str">
        <f>IFERROR(__xludf.DUMMYFUNCTION("""COMPUTED_VALUE"""),"KMC5825 AEPFPV0042")</f>
        <v>KMC5825 AEPFPV0042</v>
      </c>
      <c r="R120" s="2" t="str">
        <f>IFERROR(__xludf.DUMMYFUNCTION("""COMPUTED_VALUE"""),"PTS100125")</f>
        <v>PTS100125</v>
      </c>
      <c r="S120" s="2" t="str">
        <f>IFERROR(__xludf.DUMMYFUNCTION("""COMPUTED_VALUE"""),"R-SERIES 063PH")</f>
        <v>R-SERIES 063PH</v>
      </c>
      <c r="T120" s="2" t="str">
        <f>IFERROR(__xludf.DUMMYFUNCTION("""COMPUTED_VALUE"""),"LSGW1750-RMP-2312019")</f>
        <v>LSGW1750-RMP-2312019</v>
      </c>
      <c r="U120" s="2" t="str">
        <f>IFERROR(__xludf.DUMMYFUNCTION("""COMPUTED_VALUE"""),"WDP40-RMP-2312009")</f>
        <v>WDP40-RMP-2312009</v>
      </c>
      <c r="V120" s="2" t="str">
        <f>IFERROR(__xludf.DUMMYFUNCTION("""COMPUTED_VALUE"""),"good")</f>
        <v>good</v>
      </c>
      <c r="W120" s="2" t="str">
        <f>IFERROR(__xludf.DUMMYFUNCTION("""COMPUTED_VALUE"""),"VL103D")</f>
        <v>VL103D</v>
      </c>
      <c r="X120" s="2">
        <f>IFERROR(__xludf.DUMMYFUNCTION("""COMPUTED_VALUE"""),8.69066060244481E14)</f>
        <v>869066060244481</v>
      </c>
      <c r="Y120" s="2">
        <f>IFERROR(__xludf.DUMMYFUNCTION("""COMPUTED_VALUE"""),9.690404843E9)</f>
        <v>9690404843</v>
      </c>
      <c r="Z120" s="3" t="str">
        <f>IFERROR(__xludf.DUMMYFUNCTION("""COMPUTED_VALUE"""),"0323202005167085")</f>
        <v>0323202005167085</v>
      </c>
      <c r="AA120" s="2"/>
      <c r="AB120" s="2" t="str">
        <f>IFERROR(__xludf.DUMMYFUNCTION("""COMPUTED_VALUE"""),"camanganirrig")</f>
        <v>camanganirrig</v>
      </c>
    </row>
    <row r="121">
      <c r="A121" s="2" t="str">
        <f>IFERROR(__xludf.DUMMYFUNCTION("""COMPUTED_VALUE"""),"TT00119")</f>
        <v>TT00119</v>
      </c>
      <c r="B121" s="2" t="str">
        <f>IFERROR(__xludf.DUMMYFUNCTION("""COMPUTED_VALUE"""),"Completed")</f>
        <v>Completed</v>
      </c>
      <c r="C121" s="2" t="str">
        <f>IFERROR(__xludf.DUMMYFUNCTION("""COMPUTED_VALUE"""),"billed L3")</f>
        <v>billed L3</v>
      </c>
      <c r="D121" s="2" t="str">
        <f>IFERROR(__xludf.DUMMYFUNCTION("""COMPUTED_VALUE"""),"ACOCOLAO AGRI-FARMER'S ASSOCIATION")</f>
        <v>ACOCOLAO AGRI-FARMER'S ASSOCIATION</v>
      </c>
      <c r="E121" s="2" t="str">
        <f>IFERROR(__xludf.DUMMYFUNCTION("""COMPUTED_VALUE"""),"Acocolao, Paniqui, TARLAC")</f>
        <v>Acocolao, Paniqui, TARLAC</v>
      </c>
      <c r="F121" s="2" t="str">
        <f>IFERROR(__xludf.DUMMYFUNCTION("""COMPUTED_VALUE"""),"Reynando N. Sunio")</f>
        <v>Reynando N. Sunio</v>
      </c>
      <c r="G121" s="2" t="str">
        <f>IFERROR(__xludf.DUMMYFUNCTION("""COMPUTED_VALUE"""),"0995-016-6527")</f>
        <v>0995-016-6527</v>
      </c>
      <c r="H121" s="2"/>
      <c r="I121" s="2"/>
      <c r="J121" s="2"/>
      <c r="K121" s="2" t="str">
        <f>IFERROR(__xludf.DUMMYFUNCTION("""COMPUTED_VALUE"""),"RCEF 23-09-21 Rebidding")</f>
        <v>RCEF 23-09-21 Rebidding</v>
      </c>
      <c r="L121" s="2">
        <f>IFERROR(__xludf.DUMMYFUNCTION("""COMPUTED_VALUE"""),3.0)</f>
        <v>3</v>
      </c>
      <c r="M121" s="2">
        <f>IFERROR(__xludf.DUMMYFUNCTION("""COMPUTED_VALUE"""),3.0)</f>
        <v>3</v>
      </c>
      <c r="N121" s="74">
        <f>IFERROR(__xludf.DUMMYFUNCTION("""COMPUTED_VALUE"""),45302.0)</f>
        <v>45302</v>
      </c>
      <c r="O121" s="74">
        <f>IFERROR(__xludf.DUMMYFUNCTION("""COMPUTED_VALUE"""),45299.0)</f>
        <v>45299</v>
      </c>
      <c r="P121" s="2">
        <f>IFERROR(__xludf.DUMMYFUNCTION("""COMPUTED_VALUE"""),17803.0)</f>
        <v>17803</v>
      </c>
      <c r="Q121" s="2" t="str">
        <f>IFERROR(__xludf.DUMMYFUNCTION("""COMPUTED_VALUE"""),"KMC5825 APPFPV0126")</f>
        <v>KMC5825 APPFPV0126</v>
      </c>
      <c r="R121" s="2" t="str">
        <f>IFERROR(__xludf.DUMMYFUNCTION("""COMPUTED_VALUE"""),"PTS100053")</f>
        <v>PTS100053</v>
      </c>
      <c r="S121" s="2" t="str">
        <f>IFERROR(__xludf.DUMMYFUNCTION("""COMPUTED_VALUE"""),"R-SERIES 103PH")</f>
        <v>R-SERIES 103PH</v>
      </c>
      <c r="T121" s="2" t="str">
        <f>IFERROR(__xludf.DUMMYFUNCTION("""COMPUTED_VALUE"""),"LSGW1750-RMP-2312045")</f>
        <v>LSGW1750-RMP-2312045</v>
      </c>
      <c r="U121" s="2" t="str">
        <f>IFERROR(__xludf.DUMMYFUNCTION("""COMPUTED_VALUE"""),"WDP40-RMP-2312050")</f>
        <v>WDP40-RMP-2312050</v>
      </c>
      <c r="V121" s="2" t="str">
        <f>IFERROR(__xludf.DUMMYFUNCTION("""COMPUTED_VALUE"""),"good")</f>
        <v>good</v>
      </c>
      <c r="W121" s="2" t="str">
        <f>IFERROR(__xludf.DUMMYFUNCTION("""COMPUTED_VALUE"""),"VL103D")</f>
        <v>VL103D</v>
      </c>
      <c r="X121" s="2">
        <f>IFERROR(__xludf.DUMMYFUNCTION("""COMPUTED_VALUE"""),8.69066060240562E14)</f>
        <v>869066060240562</v>
      </c>
      <c r="Y121" s="2">
        <f>IFERROR(__xludf.DUMMYFUNCTION("""COMPUTED_VALUE"""),9.692853455E9)</f>
        <v>9692853455</v>
      </c>
      <c r="Z121" s="3" t="str">
        <f>IFERROR(__xludf.DUMMYFUNCTION("""COMPUTED_VALUE"""),"0323202005167093")</f>
        <v>0323202005167093</v>
      </c>
      <c r="AA121" s="2"/>
      <c r="AB121" s="2" t="str">
        <f>IFERROR(__xludf.DUMMYFUNCTION("""COMPUTED_VALUE"""),"acocolaofa")</f>
        <v>acocolaofa</v>
      </c>
    </row>
    <row r="122">
      <c r="A122" s="2" t="str">
        <f>IFERROR(__xludf.DUMMYFUNCTION("""COMPUTED_VALUE"""),"TT00120")</f>
        <v>TT00120</v>
      </c>
      <c r="B122" s="2" t="str">
        <f>IFERROR(__xludf.DUMMYFUNCTION("""COMPUTED_VALUE"""),"Completed")</f>
        <v>Completed</v>
      </c>
      <c r="C122" s="2" t="str">
        <f>IFERROR(__xludf.DUMMYFUNCTION("""COMPUTED_VALUE"""),"billed L3")</f>
        <v>billed L3</v>
      </c>
      <c r="D122" s="2" t="str">
        <f>IFERROR(__xludf.DUMMYFUNCTION("""COMPUTED_VALUE"""),"Samput Farmers Association Inc.")</f>
        <v>Samput Farmers Association Inc.</v>
      </c>
      <c r="E122" s="2" t="str">
        <f>IFERROR(__xludf.DUMMYFUNCTION("""COMPUTED_VALUE"""),"Samput, Paniqui, TARLAC")</f>
        <v>Samput, Paniqui, TARLAC</v>
      </c>
      <c r="F122" s="2" t="str">
        <f>IFERROR(__xludf.DUMMYFUNCTION("""COMPUTED_VALUE"""),"Herolimo S. Vergara")</f>
        <v>Herolimo S. Vergara</v>
      </c>
      <c r="G122" s="2" t="str">
        <f>IFERROR(__xludf.DUMMYFUNCTION("""COMPUTED_VALUE"""),"0909-509-8491")</f>
        <v>0909-509-8491</v>
      </c>
      <c r="H122" s="2"/>
      <c r="I122" s="2"/>
      <c r="J122" s="2" t="str">
        <f>IFERROR(__xludf.DUMMYFUNCTION("""COMPUTED_VALUE"""),"- sim registration")</f>
        <v>- sim registration</v>
      </c>
      <c r="K122" s="2" t="str">
        <f>IFERROR(__xludf.DUMMYFUNCTION("""COMPUTED_VALUE"""),"RCEF 23-09-21 Rebidding")</f>
        <v>RCEF 23-09-21 Rebidding</v>
      </c>
      <c r="L122" s="2">
        <f>IFERROR(__xludf.DUMMYFUNCTION("""COMPUTED_VALUE"""),3.0)</f>
        <v>3</v>
      </c>
      <c r="M122" s="2">
        <f>IFERROR(__xludf.DUMMYFUNCTION("""COMPUTED_VALUE"""),3.0)</f>
        <v>3</v>
      </c>
      <c r="N122" s="74">
        <f>IFERROR(__xludf.DUMMYFUNCTION("""COMPUTED_VALUE"""),45302.0)</f>
        <v>45302</v>
      </c>
      <c r="O122" s="74">
        <f>IFERROR(__xludf.DUMMYFUNCTION("""COMPUTED_VALUE"""),45299.0)</f>
        <v>45299</v>
      </c>
      <c r="P122" s="2">
        <f>IFERROR(__xludf.DUMMYFUNCTION("""COMPUTED_VALUE"""),17804.0)</f>
        <v>17804</v>
      </c>
      <c r="Q122" s="2" t="str">
        <f>IFERROR(__xludf.DUMMYFUNCTION("""COMPUTED_VALUE"""),"KMC5825 AEPFPV0106")</f>
        <v>KMC5825 AEPFPV0106</v>
      </c>
      <c r="R122" s="2" t="str">
        <f>IFERROR(__xludf.DUMMYFUNCTION("""COMPUTED_VALUE"""),"PTS100100")</f>
        <v>PTS100100</v>
      </c>
      <c r="S122" s="2" t="str">
        <f>IFERROR(__xludf.DUMMYFUNCTION("""COMPUTED_VALUE"""),"R-SERIES 067PH")</f>
        <v>R-SERIES 067PH</v>
      </c>
      <c r="T122" s="2" t="str">
        <f>IFERROR(__xludf.DUMMYFUNCTION("""COMPUTED_VALUE"""),"LSGW1750-RMP-2312039")</f>
        <v>LSGW1750-RMP-2312039</v>
      </c>
      <c r="U122" s="2" t="str">
        <f>IFERROR(__xludf.DUMMYFUNCTION("""COMPUTED_VALUE"""),"WDP40-RMP-2312042")</f>
        <v>WDP40-RMP-2312042</v>
      </c>
      <c r="V122" s="2" t="str">
        <f>IFERROR(__xludf.DUMMYFUNCTION("""COMPUTED_VALUE"""),"good")</f>
        <v>good</v>
      </c>
      <c r="W122" s="2" t="str">
        <f>IFERROR(__xludf.DUMMYFUNCTION("""COMPUTED_VALUE"""),"VL103D")</f>
        <v>VL103D</v>
      </c>
      <c r="X122" s="2">
        <f>IFERROR(__xludf.DUMMYFUNCTION("""COMPUTED_VALUE"""),8.69066060244507E14)</f>
        <v>869066060244507</v>
      </c>
      <c r="Y122" s="2">
        <f>IFERROR(__xludf.DUMMYFUNCTION("""COMPUTED_VALUE"""),9.08690063E9)</f>
        <v>9086900630</v>
      </c>
      <c r="Z122" s="3" t="str">
        <f>IFERROR(__xludf.DUMMYFUNCTION("""COMPUTED_VALUE"""),"0323202005167101")</f>
        <v>0323202005167101</v>
      </c>
      <c r="AA122" s="2"/>
      <c r="AB122" s="2" t="str">
        <f>IFERROR(__xludf.DUMMYFUNCTION("""COMPUTED_VALUE"""),"samputfai")</f>
        <v>samputfai</v>
      </c>
    </row>
    <row r="123">
      <c r="A123" s="2" t="str">
        <f>IFERROR(__xludf.DUMMYFUNCTION("""COMPUTED_VALUE"""),"TT00121")</f>
        <v>TT00121</v>
      </c>
      <c r="B123" s="2" t="str">
        <f>IFERROR(__xludf.DUMMYFUNCTION("""COMPUTED_VALUE"""),"Completed")</f>
        <v>Completed</v>
      </c>
      <c r="C123" s="2" t="str">
        <f>IFERROR(__xludf.DUMMYFUNCTION("""COMPUTED_VALUE"""),"billed L3")</f>
        <v>billed L3</v>
      </c>
      <c r="D123" s="2" t="str">
        <f>IFERROR(__xludf.DUMMYFUNCTION("""COMPUTED_VALUE"""),"FARMERS IRRIGATORS ASSOCATION POB. 2 PURA TARLAC, INC.")</f>
        <v>FARMERS IRRIGATORS ASSOCATION POB. 2 PURA TARLAC, INC.</v>
      </c>
      <c r="E123" s="2" t="str">
        <f>IFERROR(__xludf.DUMMYFUNCTION("""COMPUTED_VALUE"""),"Poblacion 2, Pura, TARLAC")</f>
        <v>Poblacion 2, Pura, TARLAC</v>
      </c>
      <c r="F123" s="2" t="str">
        <f>IFERROR(__xludf.DUMMYFUNCTION("""COMPUTED_VALUE"""),"Dionisio A. Javier")</f>
        <v>Dionisio A. Javier</v>
      </c>
      <c r="G123" s="2" t="str">
        <f>IFERROR(__xludf.DUMMYFUNCTION("""COMPUTED_VALUE"""),"0948-776-6537")</f>
        <v>0948-776-6537</v>
      </c>
      <c r="H123" s="2"/>
      <c r="I123" s="2"/>
      <c r="J123" s="2" t="str">
        <f>IFERROR(__xludf.DUMMYFUNCTION("""COMPUTED_VALUE"""),"- sim registration")</f>
        <v>- sim registration</v>
      </c>
      <c r="K123" s="2" t="str">
        <f>IFERROR(__xludf.DUMMYFUNCTION("""COMPUTED_VALUE"""),"RCEF 23-09-21 Rebidding")</f>
        <v>RCEF 23-09-21 Rebidding</v>
      </c>
      <c r="L123" s="2">
        <f>IFERROR(__xludf.DUMMYFUNCTION("""COMPUTED_VALUE"""),3.0)</f>
        <v>3</v>
      </c>
      <c r="M123" s="2">
        <f>IFERROR(__xludf.DUMMYFUNCTION("""COMPUTED_VALUE"""),3.0)</f>
        <v>3</v>
      </c>
      <c r="N123" s="74">
        <f>IFERROR(__xludf.DUMMYFUNCTION("""COMPUTED_VALUE"""),45302.0)</f>
        <v>45302</v>
      </c>
      <c r="O123" s="74">
        <f>IFERROR(__xludf.DUMMYFUNCTION("""COMPUTED_VALUE"""),45299.0)</f>
        <v>45299</v>
      </c>
      <c r="P123" s="2">
        <f>IFERROR(__xludf.DUMMYFUNCTION("""COMPUTED_VALUE"""),17805.0)</f>
        <v>17805</v>
      </c>
      <c r="Q123" s="2" t="str">
        <f>IFERROR(__xludf.DUMMYFUNCTION("""COMPUTED_VALUE"""),"KMC5825 ALPFPV0121")</f>
        <v>KMC5825 ALPFPV0121</v>
      </c>
      <c r="R123" s="2" t="str">
        <f>IFERROR(__xludf.DUMMYFUNCTION("""COMPUTED_VALUE"""),"PTS100102")</f>
        <v>PTS100102</v>
      </c>
      <c r="S123" s="2" t="str">
        <f>IFERROR(__xludf.DUMMYFUNCTION("""COMPUTED_VALUE"""),"R-SERIES 036PH")</f>
        <v>R-SERIES 036PH</v>
      </c>
      <c r="T123" s="2" t="str">
        <f>IFERROR(__xludf.DUMMYFUNCTION("""COMPUTED_VALUE"""),"LSGW1750-RMP-2312017")</f>
        <v>LSGW1750-RMP-2312017</v>
      </c>
      <c r="U123" s="2" t="str">
        <f>IFERROR(__xludf.DUMMYFUNCTION("""COMPUTED_VALUE"""),"WDP40-RMP-2312003")</f>
        <v>WDP40-RMP-2312003</v>
      </c>
      <c r="V123" s="2" t="str">
        <f>IFERROR(__xludf.DUMMYFUNCTION("""COMPUTED_VALUE"""),"no load")</f>
        <v>no load</v>
      </c>
      <c r="W123" s="2" t="str">
        <f>IFERROR(__xludf.DUMMYFUNCTION("""COMPUTED_VALUE"""),"VL103D")</f>
        <v>VL103D</v>
      </c>
      <c r="X123" s="2">
        <f>IFERROR(__xludf.DUMMYFUNCTION("""COMPUTED_VALUE"""),8.69066060244499E14)</f>
        <v>869066060244499</v>
      </c>
      <c r="Y123" s="2">
        <f>IFERROR(__xludf.DUMMYFUNCTION("""COMPUTED_VALUE"""),9.083805977E9)</f>
        <v>9083805977</v>
      </c>
      <c r="Z123" s="3" t="str">
        <f>IFERROR(__xludf.DUMMYFUNCTION("""COMPUTED_VALUE"""),"03232020051670287028")</f>
        <v>03232020051670287028</v>
      </c>
      <c r="AA123" s="2"/>
      <c r="AB123" s="2" t="str">
        <f>IFERROR(__xludf.DUMMYFUNCTION("""COMPUTED_VALUE"""),"pob2purairrig")</f>
        <v>pob2purairrig</v>
      </c>
    </row>
    <row r="124">
      <c r="A124" s="2" t="str">
        <f>IFERROR(__xludf.DUMMYFUNCTION("""COMPUTED_VALUE"""),"TT00122")</f>
        <v>TT00122</v>
      </c>
      <c r="B124" s="2" t="str">
        <f>IFERROR(__xludf.DUMMYFUNCTION("""COMPUTED_VALUE"""),"Completed")</f>
        <v>Completed</v>
      </c>
      <c r="C124" s="2" t="str">
        <f>IFERROR(__xludf.DUMMYFUNCTION("""COMPUTED_VALUE"""),"billed L3")</f>
        <v>billed L3</v>
      </c>
      <c r="D124" s="2" t="str">
        <f>IFERROR(__xludf.DUMMYFUNCTION("""COMPUTED_VALUE"""),"MANNALON NGA NAURNOS TI PURA FARMERS ASSOCIATION Inc.")</f>
        <v>MANNALON NGA NAURNOS TI PURA FARMERS ASSOCIATION Inc.</v>
      </c>
      <c r="E124" s="2" t="str">
        <f>IFERROR(__xludf.DUMMYFUNCTION("""COMPUTED_VALUE"""),"Estipona, Pura, TARLAC")</f>
        <v>Estipona, Pura, TARLAC</v>
      </c>
      <c r="F124" s="2" t="str">
        <f>IFERROR(__xludf.DUMMYFUNCTION("""COMPUTED_VALUE"""),"Ceferina G. Pascua")</f>
        <v>Ceferina G. Pascua</v>
      </c>
      <c r="G124" s="2" t="str">
        <f>IFERROR(__xludf.DUMMYFUNCTION("""COMPUTED_VALUE"""),"0927-529-3448")</f>
        <v>0927-529-3448</v>
      </c>
      <c r="H124" s="2"/>
      <c r="I124" s="2"/>
      <c r="J124" s="2" t="str">
        <f>IFERROR(__xludf.DUMMYFUNCTION("""COMPUTED_VALUE"""),"- sim registration")</f>
        <v>- sim registration</v>
      </c>
      <c r="K124" s="2" t="str">
        <f>IFERROR(__xludf.DUMMYFUNCTION("""COMPUTED_VALUE"""),"RCEF 23-09-21 Rebidding")</f>
        <v>RCEF 23-09-21 Rebidding</v>
      </c>
      <c r="L124" s="2">
        <f>IFERROR(__xludf.DUMMYFUNCTION("""COMPUTED_VALUE"""),3.0)</f>
        <v>3</v>
      </c>
      <c r="M124" s="2">
        <f>IFERROR(__xludf.DUMMYFUNCTION("""COMPUTED_VALUE"""),3.0)</f>
        <v>3</v>
      </c>
      <c r="N124" s="74">
        <f>IFERROR(__xludf.DUMMYFUNCTION("""COMPUTED_VALUE"""),45302.0)</f>
        <v>45302</v>
      </c>
      <c r="O124" s="74">
        <f>IFERROR(__xludf.DUMMYFUNCTION("""COMPUTED_VALUE"""),45299.0)</f>
        <v>45299</v>
      </c>
      <c r="P124" s="2">
        <f>IFERROR(__xludf.DUMMYFUNCTION("""COMPUTED_VALUE"""),17806.0)</f>
        <v>17806</v>
      </c>
      <c r="Q124" s="2" t="str">
        <f>IFERROR(__xludf.DUMMYFUNCTION("""COMPUTED_VALUE"""),"KMC5825 AHPFPV0119")</f>
        <v>KMC5825 AHPFPV0119</v>
      </c>
      <c r="R124" s="2" t="str">
        <f>IFERROR(__xludf.DUMMYFUNCTION("""COMPUTED_VALUE"""),"PTS100101")</f>
        <v>PTS100101</v>
      </c>
      <c r="S124" s="2" t="str">
        <f>IFERROR(__xludf.DUMMYFUNCTION("""COMPUTED_VALUE"""),"R-SERIES 091PH")</f>
        <v>R-SERIES 091PH</v>
      </c>
      <c r="T124" s="2" t="str">
        <f>IFERROR(__xludf.DUMMYFUNCTION("""COMPUTED_VALUE"""),"LSGW1750-RMP-2312021")</f>
        <v>LSGW1750-RMP-2312021</v>
      </c>
      <c r="U124" s="2" t="str">
        <f>IFERROR(__xludf.DUMMYFUNCTION("""COMPUTED_VALUE"""),"WDP40-RMP-2312024")</f>
        <v>WDP40-RMP-2312024</v>
      </c>
      <c r="V124" s="2" t="str">
        <f>IFERROR(__xludf.DUMMYFUNCTION("""COMPUTED_VALUE"""),"good")</f>
        <v>good</v>
      </c>
      <c r="W124" s="2" t="str">
        <f>IFERROR(__xludf.DUMMYFUNCTION("""COMPUTED_VALUE"""),"VL103D")</f>
        <v>VL103D</v>
      </c>
      <c r="X124" s="2">
        <f>IFERROR(__xludf.DUMMYFUNCTION("""COMPUTED_VALUE"""),8.69066060242998E14)</f>
        <v>869066060242998</v>
      </c>
      <c r="Y124" s="2">
        <f>IFERROR(__xludf.DUMMYFUNCTION("""COMPUTED_VALUE"""),9.693311923E9)</f>
        <v>9693311923</v>
      </c>
      <c r="Z124" s="3" t="str">
        <f>IFERROR(__xludf.DUMMYFUNCTION("""COMPUTED_VALUE"""),"0323202005167036")</f>
        <v>0323202005167036</v>
      </c>
      <c r="AA124" s="2"/>
      <c r="AB124" s="2" t="str">
        <f>IFERROR(__xludf.DUMMYFUNCTION("""COMPUTED_VALUE"""),"mannalonfa")</f>
        <v>mannalonfa</v>
      </c>
    </row>
    <row r="125">
      <c r="A125" s="2" t="str">
        <f>IFERROR(__xludf.DUMMYFUNCTION("""COMPUTED_VALUE"""),"TT00123")</f>
        <v>TT00123</v>
      </c>
      <c r="B125" s="2" t="str">
        <f>IFERROR(__xludf.DUMMYFUNCTION("""COMPUTED_VALUE"""),"Completed")</f>
        <v>Completed</v>
      </c>
      <c r="C125" s="2" t="str">
        <f>IFERROR(__xludf.DUMMYFUNCTION("""COMPUTED_VALUE"""),"billed L3")</f>
        <v>billed L3</v>
      </c>
      <c r="D125" s="2" t="str">
        <f>IFERROR(__xludf.DUMMYFUNCTION("""COMPUTED_VALUE"""),"Pura Farmers Agriculture Cooperative (PFAC)")</f>
        <v>Pura Farmers Agriculture Cooperative (PFAC)</v>
      </c>
      <c r="E125" s="2" t="str">
        <f>IFERROR(__xludf.DUMMYFUNCTION("""COMPUTED_VALUE"""),"Poblacion 2, Pura, TARLAC")</f>
        <v>Poblacion 2, Pura, TARLAC</v>
      </c>
      <c r="F125" s="2" t="str">
        <f>IFERROR(__xludf.DUMMYFUNCTION("""COMPUTED_VALUE"""),"Severino P. Mendoza Jr.")</f>
        <v>Severino P. Mendoza Jr.</v>
      </c>
      <c r="G125" s="2" t="str">
        <f>IFERROR(__xludf.DUMMYFUNCTION("""COMPUTED_VALUE"""),"0917-709-5703")</f>
        <v>0917-709-5703</v>
      </c>
      <c r="H125" s="2"/>
      <c r="I125" s="2"/>
      <c r="J125" s="2" t="str">
        <f>IFERROR(__xludf.DUMMYFUNCTION("""COMPUTED_VALUE"""),"- sim registration")</f>
        <v>- sim registration</v>
      </c>
      <c r="K125" s="2" t="str">
        <f>IFERROR(__xludf.DUMMYFUNCTION("""COMPUTED_VALUE"""),"RCEF 23-09-21 Rebidding")</f>
        <v>RCEF 23-09-21 Rebidding</v>
      </c>
      <c r="L125" s="2">
        <f>IFERROR(__xludf.DUMMYFUNCTION("""COMPUTED_VALUE"""),3.0)</f>
        <v>3</v>
      </c>
      <c r="M125" s="2">
        <f>IFERROR(__xludf.DUMMYFUNCTION("""COMPUTED_VALUE"""),3.0)</f>
        <v>3</v>
      </c>
      <c r="N125" s="74">
        <f>IFERROR(__xludf.DUMMYFUNCTION("""COMPUTED_VALUE"""),45302.0)</f>
        <v>45302</v>
      </c>
      <c r="O125" s="74">
        <f>IFERROR(__xludf.DUMMYFUNCTION("""COMPUTED_VALUE"""),45299.0)</f>
        <v>45299</v>
      </c>
      <c r="P125" s="2">
        <f>IFERROR(__xludf.DUMMYFUNCTION("""COMPUTED_VALUE"""),17807.0)</f>
        <v>17807</v>
      </c>
      <c r="Q125" s="2" t="str">
        <f>IFERROR(__xludf.DUMMYFUNCTION("""COMPUTED_VALUE"""),"KMC5825 AJPFPV0081")</f>
        <v>KMC5825 AJPFPV0081</v>
      </c>
      <c r="R125" s="2" t="str">
        <f>IFERROR(__xludf.DUMMYFUNCTION("""COMPUTED_VALUE"""),"PTS100110")</f>
        <v>PTS100110</v>
      </c>
      <c r="S125" s="2" t="str">
        <f>IFERROR(__xludf.DUMMYFUNCTION("""COMPUTED_VALUE"""),"R-SERIES 037PH")</f>
        <v>R-SERIES 037PH</v>
      </c>
      <c r="T125" s="2" t="str">
        <f>IFERROR(__xludf.DUMMYFUNCTION("""COMPUTED_VALUE"""),"LSGW1750-RMP-2312040")</f>
        <v>LSGW1750-RMP-2312040</v>
      </c>
      <c r="U125" s="2" t="str">
        <f>IFERROR(__xludf.DUMMYFUNCTION("""COMPUTED_VALUE"""),"WDP40-RMP-2312071")</f>
        <v>WDP40-RMP-2312071</v>
      </c>
      <c r="V125" s="2" t="str">
        <f>IFERROR(__xludf.DUMMYFUNCTION("""COMPUTED_VALUE"""),"good")</f>
        <v>good</v>
      </c>
      <c r="W125" s="2" t="str">
        <f>IFERROR(__xludf.DUMMYFUNCTION("""COMPUTED_VALUE"""),"VL103D")</f>
        <v>VL103D</v>
      </c>
      <c r="X125" s="2">
        <f>IFERROR(__xludf.DUMMYFUNCTION("""COMPUTED_VALUE"""),8.690660602418E14)</f>
        <v>869066060241800</v>
      </c>
      <c r="Y125" s="2">
        <f>IFERROR(__xludf.DUMMYFUNCTION("""COMPUTED_VALUE"""),9.087870942E9)</f>
        <v>9087870942</v>
      </c>
      <c r="Z125" s="3" t="str">
        <f>IFERROR(__xludf.DUMMYFUNCTION("""COMPUTED_VALUE"""),"0323202005167044")</f>
        <v>0323202005167044</v>
      </c>
      <c r="AA125" s="2"/>
      <c r="AB125" s="2" t="str">
        <f>IFERROR(__xludf.DUMMYFUNCTION("""COMPUTED_VALUE"""),"pfac")</f>
        <v>pfac</v>
      </c>
    </row>
    <row r="126">
      <c r="A126" s="2" t="str">
        <f>IFERROR(__xludf.DUMMYFUNCTION("""COMPUTED_VALUE"""),"TT00124")</f>
        <v>TT00124</v>
      </c>
      <c r="B126" s="2" t="str">
        <f>IFERROR(__xludf.DUMMYFUNCTION("""COMPUTED_VALUE"""),"Completed")</f>
        <v>Completed</v>
      </c>
      <c r="C126" s="2" t="str">
        <f>IFERROR(__xludf.DUMMYFUNCTION("""COMPUTED_VALUE"""),"billed L3")</f>
        <v>billed L3</v>
      </c>
      <c r="D126" s="2" t="str">
        <f>IFERROR(__xludf.DUMMYFUNCTION("""COMPUTED_VALUE"""),"Bakara Farmers Agriculture Cooperative (BFAC)")</f>
        <v>Bakara Farmers Agriculture Cooperative (BFAC)</v>
      </c>
      <c r="E126" s="2" t="str">
        <f>IFERROR(__xludf.DUMMYFUNCTION("""COMPUTED_VALUE"""),"Toledo, Ramos, TARLAC")</f>
        <v>Toledo, Ramos, TARLAC</v>
      </c>
      <c r="F126" s="2" t="str">
        <f>IFERROR(__xludf.DUMMYFUNCTION("""COMPUTED_VALUE"""),"Oliver R. Mandapat")</f>
        <v>Oliver R. Mandapat</v>
      </c>
      <c r="G126" s="2" t="str">
        <f>IFERROR(__xludf.DUMMYFUNCTION("""COMPUTED_VALUE"""),"0939-512-2970")</f>
        <v>0939-512-2970</v>
      </c>
      <c r="H126" s="2"/>
      <c r="I126" s="2"/>
      <c r="J126" s="2"/>
      <c r="K126" s="2" t="str">
        <f>IFERROR(__xludf.DUMMYFUNCTION("""COMPUTED_VALUE"""),"RCEF 23-09-21 Rebidding")</f>
        <v>RCEF 23-09-21 Rebidding</v>
      </c>
      <c r="L126" s="2">
        <f>IFERROR(__xludf.DUMMYFUNCTION("""COMPUTED_VALUE"""),3.0)</f>
        <v>3</v>
      </c>
      <c r="M126" s="2">
        <f>IFERROR(__xludf.DUMMYFUNCTION("""COMPUTED_VALUE"""),3.0)</f>
        <v>3</v>
      </c>
      <c r="N126" s="74">
        <f>IFERROR(__xludf.DUMMYFUNCTION("""COMPUTED_VALUE"""),45302.0)</f>
        <v>45302</v>
      </c>
      <c r="O126" s="74">
        <f>IFERROR(__xludf.DUMMYFUNCTION("""COMPUTED_VALUE"""),45299.0)</f>
        <v>45299</v>
      </c>
      <c r="P126" s="2">
        <f>IFERROR(__xludf.DUMMYFUNCTION("""COMPUTED_VALUE"""),17808.0)</f>
        <v>17808</v>
      </c>
      <c r="Q126" s="2" t="str">
        <f>IFERROR(__xludf.DUMMYFUNCTION("""COMPUTED_VALUE"""),"KMC5825 ACPFPV0074")</f>
        <v>KMC5825 ACPFPV0074</v>
      </c>
      <c r="R126" s="2" t="str">
        <f>IFERROR(__xludf.DUMMYFUNCTION("""COMPUTED_VALUE"""),"PTS100059")</f>
        <v>PTS100059</v>
      </c>
      <c r="S126" s="2" t="str">
        <f>IFERROR(__xludf.DUMMYFUNCTION("""COMPUTED_VALUE"""),"R-SERIES 078PH")</f>
        <v>R-SERIES 078PH</v>
      </c>
      <c r="T126" s="2" t="str">
        <f>IFERROR(__xludf.DUMMYFUNCTION("""COMPUTED_VALUE"""),"LSGW1750-RMP-2312044")</f>
        <v>LSGW1750-RMP-2312044</v>
      </c>
      <c r="U126" s="2" t="str">
        <f>IFERROR(__xludf.DUMMYFUNCTION("""COMPUTED_VALUE"""),"WDP40-RMP-2312067")</f>
        <v>WDP40-RMP-2312067</v>
      </c>
      <c r="V126" s="2" t="str">
        <f>IFERROR(__xludf.DUMMYFUNCTION("""COMPUTED_VALUE"""),"good")</f>
        <v>good</v>
      </c>
      <c r="W126" s="2" t="str">
        <f>IFERROR(__xludf.DUMMYFUNCTION("""COMPUTED_VALUE"""),"VL103D")</f>
        <v>VL103D</v>
      </c>
      <c r="X126" s="2">
        <f>IFERROR(__xludf.DUMMYFUNCTION("""COMPUTED_VALUE"""),8.69066060242378E14)</f>
        <v>869066060242378</v>
      </c>
      <c r="Y126" s="2">
        <f>IFERROR(__xludf.DUMMYFUNCTION("""COMPUTED_VALUE"""),9.692723534E9)</f>
        <v>9692723534</v>
      </c>
      <c r="Z126" s="3" t="str">
        <f>IFERROR(__xludf.DUMMYFUNCTION("""COMPUTED_VALUE"""),"0323202005167051")</f>
        <v>0323202005167051</v>
      </c>
      <c r="AA126" s="2"/>
      <c r="AB126" s="2" t="str">
        <f>IFERROR(__xludf.DUMMYFUNCTION("""COMPUTED_VALUE"""),"bfac")</f>
        <v>bfac</v>
      </c>
    </row>
    <row r="127">
      <c r="A127" s="2" t="str">
        <f>IFERROR(__xludf.DUMMYFUNCTION("""COMPUTED_VALUE"""),"TT00125")</f>
        <v>TT00125</v>
      </c>
      <c r="B127" s="2" t="str">
        <f>IFERROR(__xludf.DUMMYFUNCTION("""COMPUTED_VALUE"""),"Completed")</f>
        <v>Completed</v>
      </c>
      <c r="C127" s="2" t="str">
        <f>IFERROR(__xludf.DUMMYFUNCTION("""COMPUTED_VALUE"""),"billed L3")</f>
        <v>billed L3</v>
      </c>
      <c r="D127" s="2" t="str">
        <f>IFERROR(__xludf.DUMMYFUNCTION("""COMPUTED_VALUE"""),"BAMBAN FARMERS AND LIVESTOCK ASSOCIATION")</f>
        <v>BAMBAN FARMERS AND LIVESTOCK ASSOCIATION</v>
      </c>
      <c r="E127" s="2" t="str">
        <f>IFERROR(__xludf.DUMMYFUNCTION("""COMPUTED_VALUE"""),"Bamban, San Clemente, TARLAC")</f>
        <v>Bamban, San Clemente, TARLAC</v>
      </c>
      <c r="F127" s="2" t="str">
        <f>IFERROR(__xludf.DUMMYFUNCTION("""COMPUTED_VALUE"""),"Modesto Alcala Jr.")</f>
        <v>Modesto Alcala Jr.</v>
      </c>
      <c r="G127" s="2" t="str">
        <f>IFERROR(__xludf.DUMMYFUNCTION("""COMPUTED_VALUE"""),"0910-140-0813")</f>
        <v>0910-140-0813</v>
      </c>
      <c r="H127" s="2"/>
      <c r="I127" s="2"/>
      <c r="J127" s="2"/>
      <c r="K127" s="2" t="str">
        <f>IFERROR(__xludf.DUMMYFUNCTION("""COMPUTED_VALUE"""),"RCEF 23-09-21 Rebidding")</f>
        <v>RCEF 23-09-21 Rebidding</v>
      </c>
      <c r="L127" s="2">
        <f>IFERROR(__xludf.DUMMYFUNCTION("""COMPUTED_VALUE"""),3.0)</f>
        <v>3</v>
      </c>
      <c r="M127" s="2">
        <f>IFERROR(__xludf.DUMMYFUNCTION("""COMPUTED_VALUE"""),3.0)</f>
        <v>3</v>
      </c>
      <c r="N127" s="74">
        <f>IFERROR(__xludf.DUMMYFUNCTION("""COMPUTED_VALUE"""),45302.0)</f>
        <v>45302</v>
      </c>
      <c r="O127" s="74">
        <f>IFERROR(__xludf.DUMMYFUNCTION("""COMPUTED_VALUE"""),45299.0)</f>
        <v>45299</v>
      </c>
      <c r="P127" s="2">
        <f>IFERROR(__xludf.DUMMYFUNCTION("""COMPUTED_VALUE"""),17809.0)</f>
        <v>17809</v>
      </c>
      <c r="Q127" s="2" t="str">
        <f>IFERROR(__xludf.DUMMYFUNCTION("""COMPUTED_VALUE"""),"KMC5825 ACPFPV0065")</f>
        <v>KMC5825 ACPFPV0065</v>
      </c>
      <c r="R127" s="2" t="str">
        <f>IFERROR(__xludf.DUMMYFUNCTION("""COMPUTED_VALUE"""),"PTS100135")</f>
        <v>PTS100135</v>
      </c>
      <c r="S127" s="2" t="str">
        <f>IFERROR(__xludf.DUMMYFUNCTION("""COMPUTED_VALUE"""),"R-SERIES 081PH")</f>
        <v>R-SERIES 081PH</v>
      </c>
      <c r="T127" s="2" t="str">
        <f>IFERROR(__xludf.DUMMYFUNCTION("""COMPUTED_VALUE"""),"LSGW1750-RMP-2312037")</f>
        <v>LSGW1750-RMP-2312037</v>
      </c>
      <c r="U127" s="2" t="str">
        <f>IFERROR(__xludf.DUMMYFUNCTION("""COMPUTED_VALUE"""),"WDP40-RMP-2312075")</f>
        <v>WDP40-RMP-2312075</v>
      </c>
      <c r="V127" s="2" t="str">
        <f>IFERROR(__xludf.DUMMYFUNCTION("""COMPUTED_VALUE"""),"INACTIVE - SIM")</f>
        <v>INACTIVE - SIM</v>
      </c>
      <c r="W127" s="2" t="str">
        <f>IFERROR(__xludf.DUMMYFUNCTION("""COMPUTED_VALUE"""),"VL103D")</f>
        <v>VL103D</v>
      </c>
      <c r="X127" s="2">
        <f>IFERROR(__xludf.DUMMYFUNCTION("""COMPUTED_VALUE"""),8.69066060242378E14)</f>
        <v>869066060242378</v>
      </c>
      <c r="Y127" s="2">
        <f>IFERROR(__xludf.DUMMYFUNCTION("""COMPUTED_VALUE"""),9.692394501E9)</f>
        <v>9692394501</v>
      </c>
      <c r="Z127" s="3" t="str">
        <f>IFERROR(__xludf.DUMMYFUNCTION("""COMPUTED_VALUE"""),"0323202005167069")</f>
        <v>0323202005167069</v>
      </c>
      <c r="AA127" s="2"/>
      <c r="AB127" s="2" t="str">
        <f>IFERROR(__xludf.DUMMYFUNCTION("""COMPUTED_VALUE"""),"bambanfa")</f>
        <v>bambanfa</v>
      </c>
    </row>
    <row r="128">
      <c r="A128" s="2" t="str">
        <f>IFERROR(__xludf.DUMMYFUNCTION("""COMPUTED_VALUE"""),"TT00126")</f>
        <v>TT00126</v>
      </c>
      <c r="B128" s="2" t="str">
        <f>IFERROR(__xludf.DUMMYFUNCTION("""COMPUTED_VALUE"""),"Completed")</f>
        <v>Completed</v>
      </c>
      <c r="C128" s="2" t="str">
        <f>IFERROR(__xludf.DUMMYFUNCTION("""COMPUTED_VALUE"""),"billed L3")</f>
        <v>billed L3</v>
      </c>
      <c r="D128" s="2" t="str">
        <f>IFERROR(__xludf.DUMMYFUNCTION("""COMPUTED_VALUE"""),"Santiago Nagkakaisa Agriculture Cooperative")</f>
        <v>Santiago Nagkakaisa Agriculture Cooperative</v>
      </c>
      <c r="E128" s="2" t="str">
        <f>IFERROR(__xludf.DUMMYFUNCTION("""COMPUTED_VALUE"""),"Santiago, Gerona, TARLAC")</f>
        <v>Santiago, Gerona, TARLAC</v>
      </c>
      <c r="F128" s="2" t="str">
        <f>IFERROR(__xludf.DUMMYFUNCTION("""COMPUTED_VALUE"""),"Edwin L. Benitez")</f>
        <v>Edwin L. Benitez</v>
      </c>
      <c r="G128" s="2" t="str">
        <f>IFERROR(__xludf.DUMMYFUNCTION("""COMPUTED_VALUE"""),"0910-527-1046")</f>
        <v>0910-527-1046</v>
      </c>
      <c r="H128" s="2"/>
      <c r="I128" s="2"/>
      <c r="J128" s="2" t="str">
        <f>IFERROR(__xludf.DUMMYFUNCTION("""COMPUTED_VALUE"""),"- sim registration")</f>
        <v>- sim registration</v>
      </c>
      <c r="K128" s="2" t="str">
        <f>IFERROR(__xludf.DUMMYFUNCTION("""COMPUTED_VALUE"""),"RCEF 23-09-21 Rebidding")</f>
        <v>RCEF 23-09-21 Rebidding</v>
      </c>
      <c r="L128" s="2">
        <f>IFERROR(__xludf.DUMMYFUNCTION("""COMPUTED_VALUE"""),3.0)</f>
        <v>3</v>
      </c>
      <c r="M128" s="2">
        <f>IFERROR(__xludf.DUMMYFUNCTION("""COMPUTED_VALUE"""),3.0)</f>
        <v>3</v>
      </c>
      <c r="N128" s="74">
        <f>IFERROR(__xludf.DUMMYFUNCTION("""COMPUTED_VALUE"""),45302.0)</f>
        <v>45302</v>
      </c>
      <c r="O128" s="74">
        <f>IFERROR(__xludf.DUMMYFUNCTION("""COMPUTED_VALUE"""),45299.0)</f>
        <v>45299</v>
      </c>
      <c r="P128" s="2">
        <f>IFERROR(__xludf.DUMMYFUNCTION("""COMPUTED_VALUE"""),17810.0)</f>
        <v>17810</v>
      </c>
      <c r="Q128" s="2" t="str">
        <f>IFERROR(__xludf.DUMMYFUNCTION("""COMPUTED_VALUE"""),"KMC5825 AVPFPV0116")</f>
        <v>KMC5825 AVPFPV0116</v>
      </c>
      <c r="R128" s="2" t="str">
        <f>IFERROR(__xludf.DUMMYFUNCTION("""COMPUTED_VALUE"""),"PTS100043")</f>
        <v>PTS100043</v>
      </c>
      <c r="S128" s="2" t="str">
        <f>IFERROR(__xludf.DUMMYFUNCTION("""COMPUTED_VALUE"""),"R-SERIES 043PH")</f>
        <v>R-SERIES 043PH</v>
      </c>
      <c r="T128" s="2" t="str">
        <f>IFERROR(__xludf.DUMMYFUNCTION("""COMPUTED_VALUE"""),"LSGW1750-RMP-2312095")</f>
        <v>LSGW1750-RMP-2312095</v>
      </c>
      <c r="U128" s="2" t="str">
        <f>IFERROR(__xludf.DUMMYFUNCTION("""COMPUTED_VALUE"""),"WDP40-RMP-2312041")</f>
        <v>WDP40-RMP-2312041</v>
      </c>
      <c r="V128" s="2" t="str">
        <f>IFERROR(__xludf.DUMMYFUNCTION("""COMPUTED_VALUE"""),"good")</f>
        <v>good</v>
      </c>
      <c r="W128" s="2" t="str">
        <f>IFERROR(__xludf.DUMMYFUNCTION("""COMPUTED_VALUE"""),"VL103D")</f>
        <v>VL103D</v>
      </c>
      <c r="X128" s="2">
        <f>IFERROR(__xludf.DUMMYFUNCTION("""COMPUTED_VALUE"""),8.69066060244978E14)</f>
        <v>869066060244978</v>
      </c>
      <c r="Y128" s="2">
        <f>IFERROR(__xludf.DUMMYFUNCTION("""COMPUTED_VALUE"""),9.628651594E9)</f>
        <v>9628651594</v>
      </c>
      <c r="Z128" s="3" t="str">
        <f>IFERROR(__xludf.DUMMYFUNCTION("""COMPUTED_VALUE"""),"0323202005167010")</f>
        <v>0323202005167010</v>
      </c>
      <c r="AA128" s="2"/>
      <c r="AB128" s="2" t="str">
        <f>IFERROR(__xludf.DUMMYFUNCTION("""COMPUTED_VALUE"""),"santiagonagkakaisa")</f>
        <v>santiagonagkakaisa</v>
      </c>
    </row>
    <row r="129">
      <c r="A129" s="2" t="str">
        <f>IFERROR(__xludf.DUMMYFUNCTION("""COMPUTED_VALUE"""),"TT00127")</f>
        <v>TT00127</v>
      </c>
      <c r="B129" s="2" t="str">
        <f>IFERROR(__xludf.DUMMYFUNCTION("""COMPUTED_VALUE"""),"Completed")</f>
        <v>Completed</v>
      </c>
      <c r="C129" s="2" t="str">
        <f>IFERROR(__xludf.DUMMYFUNCTION("""COMPUTED_VALUE"""),"billed L3")</f>
        <v>billed L3</v>
      </c>
      <c r="D129" s="2" t="str">
        <f>IFERROR(__xludf.DUMMYFUNCTION("""COMPUTED_VALUE"""),"ASSOCIATION OF HARDWORKING FARMERS OF SAN JOSE")</f>
        <v>ASSOCIATION OF HARDWORKING FARMERS OF SAN JOSE</v>
      </c>
      <c r="E129" s="2" t="str">
        <f>IFERROR(__xludf.DUMMYFUNCTION("""COMPUTED_VALUE"""),"Mababanaba, San Jose, TARLAC")</f>
        <v>Mababanaba, San Jose, TARLAC</v>
      </c>
      <c r="F129" s="2" t="str">
        <f>IFERROR(__xludf.DUMMYFUNCTION("""COMPUTED_VALUE"""),"Rey P. Rombaoa")</f>
        <v>Rey P. Rombaoa</v>
      </c>
      <c r="G129" s="2" t="str">
        <f>IFERROR(__xludf.DUMMYFUNCTION("""COMPUTED_VALUE"""),"0963-680-5444")</f>
        <v>0963-680-5444</v>
      </c>
      <c r="H129" s="2"/>
      <c r="I129" s="2"/>
      <c r="J129" s="2"/>
      <c r="K129" s="2" t="str">
        <f>IFERROR(__xludf.DUMMYFUNCTION("""COMPUTED_VALUE"""),"RCEF 23-09-21 Rebidding")</f>
        <v>RCEF 23-09-21 Rebidding</v>
      </c>
      <c r="L129" s="2">
        <f>IFERROR(__xludf.DUMMYFUNCTION("""COMPUTED_VALUE"""),3.0)</f>
        <v>3</v>
      </c>
      <c r="M129" s="2">
        <f>IFERROR(__xludf.DUMMYFUNCTION("""COMPUTED_VALUE"""),3.0)</f>
        <v>3</v>
      </c>
      <c r="N129" s="74">
        <f>IFERROR(__xludf.DUMMYFUNCTION("""COMPUTED_VALUE"""),45302.0)</f>
        <v>45302</v>
      </c>
      <c r="O129" s="74">
        <f>IFERROR(__xludf.DUMMYFUNCTION("""COMPUTED_VALUE"""),45299.0)</f>
        <v>45299</v>
      </c>
      <c r="P129" s="2">
        <f>IFERROR(__xludf.DUMMYFUNCTION("""COMPUTED_VALUE"""),17811.0)</f>
        <v>17811</v>
      </c>
      <c r="Q129" s="2" t="str">
        <f>IFERROR(__xludf.DUMMYFUNCTION("""COMPUTED_VALUE"""),"KMC5825 AKPFPV0113")</f>
        <v>KMC5825 AKPFPV0113</v>
      </c>
      <c r="R129" s="2" t="str">
        <f>IFERROR(__xludf.DUMMYFUNCTION("""COMPUTED_VALUE"""),"PTS100099")</f>
        <v>PTS100099</v>
      </c>
      <c r="S129" s="2" t="str">
        <f>IFERROR(__xludf.DUMMYFUNCTION("""COMPUTED_VALUE"""),"R-SERIES 058PH")</f>
        <v>R-SERIES 058PH</v>
      </c>
      <c r="T129" s="2" t="str">
        <f>IFERROR(__xludf.DUMMYFUNCTION("""COMPUTED_VALUE"""),"LSGW1750-RMP-2312113")</f>
        <v>LSGW1750-RMP-2312113</v>
      </c>
      <c r="U129" s="2" t="str">
        <f>IFERROR(__xludf.DUMMYFUNCTION("""COMPUTED_VALUE"""),"WDP40-RMP-2312043")</f>
        <v>WDP40-RMP-2312043</v>
      </c>
      <c r="V129" s="2" t="str">
        <f>IFERROR(__xludf.DUMMYFUNCTION("""COMPUTED_VALUE"""),"INACTIVE - SIM")</f>
        <v>INACTIVE - SIM</v>
      </c>
      <c r="W129" s="2" t="str">
        <f>IFERROR(__xludf.DUMMYFUNCTION("""COMPUTED_VALUE"""),"VL103D")</f>
        <v>VL103D</v>
      </c>
      <c r="X129" s="2">
        <f>IFERROR(__xludf.DUMMYFUNCTION("""COMPUTED_VALUE"""),8.6906606024057E14)</f>
        <v>869066060240570</v>
      </c>
      <c r="Y129" s="2">
        <f>IFERROR(__xludf.DUMMYFUNCTION("""COMPUTED_VALUE"""),9.69479929E9)</f>
        <v>9694799290</v>
      </c>
      <c r="Z129" s="3" t="str">
        <f>IFERROR(__xludf.DUMMYFUNCTION("""COMPUTED_VALUE"""),"0323202005167440")</f>
        <v>0323202005167440</v>
      </c>
      <c r="AA129" s="2"/>
      <c r="AB129" s="2" t="str">
        <f>IFERROR(__xludf.DUMMYFUNCTION("""COMPUTED_VALUE"""),"hardworkingfarmers")</f>
        <v>hardworkingfarmers</v>
      </c>
    </row>
    <row r="130">
      <c r="A130" s="2" t="str">
        <f>IFERROR(__xludf.DUMMYFUNCTION("""COMPUTED_VALUE"""),"TT00128")</f>
        <v>TT00128</v>
      </c>
      <c r="B130" s="2" t="str">
        <f>IFERROR(__xludf.DUMMYFUNCTION("""COMPUTED_VALUE"""),"Completed")</f>
        <v>Completed</v>
      </c>
      <c r="C130" s="2" t="str">
        <f>IFERROR(__xludf.DUMMYFUNCTION("""COMPUTED_VALUE"""),"billed L3")</f>
        <v>billed L3</v>
      </c>
      <c r="D130" s="2" t="str">
        <f>IFERROR(__xludf.DUMMYFUNCTION("""COMPUTED_VALUE"""),"David Communal Irrigators Association Incorporated")</f>
        <v>David Communal Irrigators Association Incorporated</v>
      </c>
      <c r="E130" s="2" t="str">
        <f>IFERROR(__xludf.DUMMYFUNCTION("""COMPUTED_VALUE"""),"David, San Jose, TARLAC")</f>
        <v>David, San Jose, TARLAC</v>
      </c>
      <c r="F130" s="2" t="str">
        <f>IFERROR(__xludf.DUMMYFUNCTION("""COMPUTED_VALUE"""),"Bernabe F. Macadangdang Jr.")</f>
        <v>Bernabe F. Macadangdang Jr.</v>
      </c>
      <c r="G130" s="2" t="str">
        <f>IFERROR(__xludf.DUMMYFUNCTION("""COMPUTED_VALUE"""),"0938-415-6295")</f>
        <v>0938-415-6295</v>
      </c>
      <c r="H130" s="2"/>
      <c r="I130" s="2"/>
      <c r="J130" s="2"/>
      <c r="K130" s="2" t="str">
        <f>IFERROR(__xludf.DUMMYFUNCTION("""COMPUTED_VALUE"""),"RCEF 23-09-21 Rebidding")</f>
        <v>RCEF 23-09-21 Rebidding</v>
      </c>
      <c r="L130" s="2">
        <f>IFERROR(__xludf.DUMMYFUNCTION("""COMPUTED_VALUE"""),3.0)</f>
        <v>3</v>
      </c>
      <c r="M130" s="2">
        <f>IFERROR(__xludf.DUMMYFUNCTION("""COMPUTED_VALUE"""),3.0)</f>
        <v>3</v>
      </c>
      <c r="N130" s="74">
        <f>IFERROR(__xludf.DUMMYFUNCTION("""COMPUTED_VALUE"""),45302.0)</f>
        <v>45302</v>
      </c>
      <c r="O130" s="74">
        <f>IFERROR(__xludf.DUMMYFUNCTION("""COMPUTED_VALUE"""),45299.0)</f>
        <v>45299</v>
      </c>
      <c r="P130" s="2">
        <f>IFERROR(__xludf.DUMMYFUNCTION("""COMPUTED_VALUE"""),17812.0)</f>
        <v>17812</v>
      </c>
      <c r="Q130" s="2" t="str">
        <f>IFERROR(__xludf.DUMMYFUNCTION("""COMPUTED_VALUE"""),"KMC5825 AHPFPV0122")</f>
        <v>KMC5825 AHPFPV0122</v>
      </c>
      <c r="R130" s="2" t="str">
        <f>IFERROR(__xludf.DUMMYFUNCTION("""COMPUTED_VALUE"""),"PTS100157")</f>
        <v>PTS100157</v>
      </c>
      <c r="S130" s="2" t="str">
        <f>IFERROR(__xludf.DUMMYFUNCTION("""COMPUTED_VALUE"""),"R-SERIES 019PH")</f>
        <v>R-SERIES 019PH</v>
      </c>
      <c r="T130" s="2" t="str">
        <f>IFERROR(__xludf.DUMMYFUNCTION("""COMPUTED_VALUE"""),"LSGW1750-RMP-2312023")</f>
        <v>LSGW1750-RMP-2312023</v>
      </c>
      <c r="U130" s="2" t="str">
        <f>IFERROR(__xludf.DUMMYFUNCTION("""COMPUTED_VALUE"""),"WDP40-RMP-2312035")</f>
        <v>WDP40-RMP-2312035</v>
      </c>
      <c r="V130" s="2" t="str">
        <f>IFERROR(__xludf.DUMMYFUNCTION("""COMPUTED_VALUE"""),"INACTIVE - SIM")</f>
        <v>INACTIVE - SIM</v>
      </c>
      <c r="W130" s="2" t="str">
        <f>IFERROR(__xludf.DUMMYFUNCTION("""COMPUTED_VALUE"""),"VL103D")</f>
        <v>VL103D</v>
      </c>
      <c r="X130" s="2">
        <f>IFERROR(__xludf.DUMMYFUNCTION("""COMPUTED_VALUE"""),8.69066060241792E14)</f>
        <v>869066060241792</v>
      </c>
      <c r="Y130" s="2">
        <f>IFERROR(__xludf.DUMMYFUNCTION("""COMPUTED_VALUE"""),9.69478477E9)</f>
        <v>9694784770</v>
      </c>
      <c r="Z130" s="3" t="str">
        <f>IFERROR(__xludf.DUMMYFUNCTION("""COMPUTED_VALUE"""),"0323202005167432")</f>
        <v>0323202005167432</v>
      </c>
      <c r="AA130" s="2"/>
      <c r="AB130" s="2" t="str">
        <f>IFERROR(__xludf.DUMMYFUNCTION("""COMPUTED_VALUE"""),"davidcommunalirrig")</f>
        <v>davidcommunalirrig</v>
      </c>
    </row>
    <row r="131">
      <c r="A131" s="2" t="str">
        <f>IFERROR(__xludf.DUMMYFUNCTION("""COMPUTED_VALUE"""),"TT00129")</f>
        <v>TT00129</v>
      </c>
      <c r="B131" s="2" t="str">
        <f>IFERROR(__xludf.DUMMYFUNCTION("""COMPUTED_VALUE"""),"Completed")</f>
        <v>Completed</v>
      </c>
      <c r="C131" s="2" t="str">
        <f>IFERROR(__xludf.DUMMYFUNCTION("""COMPUTED_VALUE"""),"billed L3")</f>
        <v>billed L3</v>
      </c>
      <c r="D131" s="2" t="str">
        <f>IFERROR(__xludf.DUMMYFUNCTION("""COMPUTED_VALUE"""),"TRICUL FARMER IRRIGATORS ASSOCIATION, INC.")</f>
        <v>TRICUL FARMER IRRIGATORS ASSOCIATION, INC.</v>
      </c>
      <c r="E131" s="2" t="str">
        <f>IFERROR(__xludf.DUMMYFUNCTION("""COMPUTED_VALUE"""),"Culipat, Tarlac City, TARLAC")</f>
        <v>Culipat, Tarlac City, TARLAC</v>
      </c>
      <c r="F131" s="2" t="str">
        <f>IFERROR(__xludf.DUMMYFUNCTION("""COMPUTED_VALUE"""),"Gregorio S. Gualdad")</f>
        <v>Gregorio S. Gualdad</v>
      </c>
      <c r="G131" s="2" t="str">
        <f>IFERROR(__xludf.DUMMYFUNCTION("""COMPUTED_VALUE"""),"0912-697-6900")</f>
        <v>0912-697-6900</v>
      </c>
      <c r="H131" s="2"/>
      <c r="I131" s="2"/>
      <c r="J131" s="2"/>
      <c r="K131" s="2" t="str">
        <f>IFERROR(__xludf.DUMMYFUNCTION("""COMPUTED_VALUE"""),"RCEF 23-09-21 Rebidding")</f>
        <v>RCEF 23-09-21 Rebidding</v>
      </c>
      <c r="L131" s="2">
        <f>IFERROR(__xludf.DUMMYFUNCTION("""COMPUTED_VALUE"""),3.0)</f>
        <v>3</v>
      </c>
      <c r="M131" s="2">
        <f>IFERROR(__xludf.DUMMYFUNCTION("""COMPUTED_VALUE"""),3.0)</f>
        <v>3</v>
      </c>
      <c r="N131" s="74">
        <f>IFERROR(__xludf.DUMMYFUNCTION("""COMPUTED_VALUE"""),45302.0)</f>
        <v>45302</v>
      </c>
      <c r="O131" s="74">
        <f>IFERROR(__xludf.DUMMYFUNCTION("""COMPUTED_VALUE"""),45299.0)</f>
        <v>45299</v>
      </c>
      <c r="P131" s="2">
        <f>IFERROR(__xludf.DUMMYFUNCTION("""COMPUTED_VALUE"""),17813.0)</f>
        <v>17813</v>
      </c>
      <c r="Q131" s="2" t="str">
        <f>IFERROR(__xludf.DUMMYFUNCTION("""COMPUTED_VALUE"""),"KMC5825 AVPFPV0049")</f>
        <v>KMC5825 AVPFPV0049</v>
      </c>
      <c r="R131" s="2" t="str">
        <f>IFERROR(__xludf.DUMMYFUNCTION("""COMPUTED_VALUE"""),"PTS100127")</f>
        <v>PTS100127</v>
      </c>
      <c r="S131" s="2" t="str">
        <f>IFERROR(__xludf.DUMMYFUNCTION("""COMPUTED_VALUE"""),"R-SERIES 071PH")</f>
        <v>R-SERIES 071PH</v>
      </c>
      <c r="T131" s="2" t="str">
        <f>IFERROR(__xludf.DUMMYFUNCTION("""COMPUTED_VALUE"""),"LSGW1750-RMP-2312111")</f>
        <v>LSGW1750-RMP-2312111</v>
      </c>
      <c r="U131" s="2" t="str">
        <f>IFERROR(__xludf.DUMMYFUNCTION("""COMPUTED_VALUE"""),"WDP40-RMP-2312060")</f>
        <v>WDP40-RMP-2312060</v>
      </c>
      <c r="V131" s="2" t="str">
        <f>IFERROR(__xludf.DUMMYFUNCTION("""COMPUTED_VALUE"""),"INACTIVE - SIM")</f>
        <v>INACTIVE - SIM</v>
      </c>
      <c r="W131" s="2" t="str">
        <f>IFERROR(__xludf.DUMMYFUNCTION("""COMPUTED_VALUE"""),"VL103D")</f>
        <v>VL103D</v>
      </c>
      <c r="X131" s="2">
        <f>IFERROR(__xludf.DUMMYFUNCTION("""COMPUTED_VALUE"""),8.6906606023452E13)</f>
        <v>86906606023452</v>
      </c>
      <c r="Y131" s="2">
        <f>IFERROR(__xludf.DUMMYFUNCTION("""COMPUTED_VALUE"""),9.695073234E9)</f>
        <v>9695073234</v>
      </c>
      <c r="Z131" s="3" t="str">
        <f>IFERROR(__xludf.DUMMYFUNCTION("""COMPUTED_VALUE"""),"0323202005167424")</f>
        <v>0323202005167424</v>
      </c>
      <c r="AA131" s="2"/>
      <c r="AB131" s="2" t="str">
        <f>IFERROR(__xludf.DUMMYFUNCTION("""COMPUTED_VALUE"""),"triculirrig")</f>
        <v>triculirrig</v>
      </c>
    </row>
    <row r="132">
      <c r="A132" s="2" t="str">
        <f>IFERROR(__xludf.DUMMYFUNCTION("""COMPUTED_VALUE"""),"TT00130")</f>
        <v>TT00130</v>
      </c>
      <c r="B132" s="2" t="str">
        <f>IFERROR(__xludf.DUMMYFUNCTION("""COMPUTED_VALUE"""),"Completed")</f>
        <v>Completed</v>
      </c>
      <c r="C132" s="2" t="str">
        <f>IFERROR(__xludf.DUMMYFUNCTION("""COMPUTED_VALUE"""),"billed L3")</f>
        <v>billed L3</v>
      </c>
      <c r="D132" s="2" t="str">
        <f>IFERROR(__xludf.DUMMYFUNCTION("""COMPUTED_VALUE"""),"TARLAC GROUNDWATER 66 MANGOLAGO FARMERS ASSOCIATIONS INC.")</f>
        <v>TARLAC GROUNDWATER 66 MANGOLAGO FARMERS ASSOCIATIONS INC.</v>
      </c>
      <c r="E132" s="2" t="str">
        <f>IFERROR(__xludf.DUMMYFUNCTION("""COMPUTED_VALUE"""),"Mangolago, Victoria, TARLAC")</f>
        <v>Mangolago, Victoria, TARLAC</v>
      </c>
      <c r="F132" s="2" t="str">
        <f>IFERROR(__xludf.DUMMYFUNCTION("""COMPUTED_VALUE"""),"Emma V. Tolentino")</f>
        <v>Emma V. Tolentino</v>
      </c>
      <c r="G132" s="2" t="str">
        <f>IFERROR(__xludf.DUMMYFUNCTION("""COMPUTED_VALUE"""),"0942-041-9939")</f>
        <v>0942-041-9939</v>
      </c>
      <c r="H132" s="2"/>
      <c r="I132" s="2"/>
      <c r="J132" s="2"/>
      <c r="K132" s="2" t="str">
        <f>IFERROR(__xludf.DUMMYFUNCTION("""COMPUTED_VALUE"""),"RCEF 23-09-21 Rebidding")</f>
        <v>RCEF 23-09-21 Rebidding</v>
      </c>
      <c r="L132" s="2">
        <f>IFERROR(__xludf.DUMMYFUNCTION("""COMPUTED_VALUE"""),3.0)</f>
        <v>3</v>
      </c>
      <c r="M132" s="2">
        <f>IFERROR(__xludf.DUMMYFUNCTION("""COMPUTED_VALUE"""),3.0)</f>
        <v>3</v>
      </c>
      <c r="N132" s="2"/>
      <c r="O132" s="74">
        <f>IFERROR(__xludf.DUMMYFUNCTION("""COMPUTED_VALUE"""),45299.0)</f>
        <v>45299</v>
      </c>
      <c r="P132" s="2">
        <f>IFERROR(__xludf.DUMMYFUNCTION("""COMPUTED_VALUE"""),17814.0)</f>
        <v>17814</v>
      </c>
      <c r="Q132" s="2" t="str">
        <f>IFERROR(__xludf.DUMMYFUNCTION("""COMPUTED_VALUE"""),"KMC5825 AJPFPV0064")</f>
        <v>KMC5825 AJPFPV0064</v>
      </c>
      <c r="R132" s="2" t="str">
        <f>IFERROR(__xludf.DUMMYFUNCTION("""COMPUTED_VALUE"""),"PTS100114")</f>
        <v>PTS100114</v>
      </c>
      <c r="S132" s="2" t="str">
        <f>IFERROR(__xludf.DUMMYFUNCTION("""COMPUTED_VALUE"""),"R-SERIES 051PH")</f>
        <v>R-SERIES 051PH</v>
      </c>
      <c r="T132" s="2" t="str">
        <f>IFERROR(__xludf.DUMMYFUNCTION("""COMPUTED_VALUE"""),"LSGW1750-RMP-2312004")</f>
        <v>LSGW1750-RMP-2312004</v>
      </c>
      <c r="U132" s="2" t="str">
        <f>IFERROR(__xludf.DUMMYFUNCTION("""COMPUTED_VALUE"""),"WDP40-RMP-2312052")</f>
        <v>WDP40-RMP-2312052</v>
      </c>
      <c r="V132" s="2" t="str">
        <f>IFERROR(__xludf.DUMMYFUNCTION("""COMPUTED_VALUE"""),"good")</f>
        <v>good</v>
      </c>
      <c r="W132" s="2" t="str">
        <f>IFERROR(__xludf.DUMMYFUNCTION("""COMPUTED_VALUE"""),"VL103D")</f>
        <v>VL103D</v>
      </c>
      <c r="X132" s="2">
        <f>IFERROR(__xludf.DUMMYFUNCTION("""COMPUTED_VALUE"""),8.69066060242493E14)</f>
        <v>869066060242493</v>
      </c>
      <c r="Y132" s="2">
        <f>IFERROR(__xludf.DUMMYFUNCTION("""COMPUTED_VALUE"""),9.694624962E9)</f>
        <v>9694624962</v>
      </c>
      <c r="Z132" s="3" t="str">
        <f>IFERROR(__xludf.DUMMYFUNCTION("""COMPUTED_VALUE"""),"0323202005167416")</f>
        <v>0323202005167416</v>
      </c>
      <c r="AA132" s="2"/>
      <c r="AB132" s="2" t="str">
        <f>IFERROR(__xludf.DUMMYFUNCTION("""COMPUTED_VALUE"""),"mangolagofai")</f>
        <v>mangolagofai</v>
      </c>
    </row>
    <row r="133">
      <c r="A133" s="2" t="str">
        <f>IFERROR(__xludf.DUMMYFUNCTION("""COMPUTED_VALUE"""),"TT00131")</f>
        <v>TT00131</v>
      </c>
      <c r="B133" s="2" t="str">
        <f>IFERROR(__xludf.DUMMYFUNCTION("""COMPUTED_VALUE"""),"Completed")</f>
        <v>Completed</v>
      </c>
      <c r="C133" s="2" t="str">
        <f>IFERROR(__xludf.DUMMYFUNCTION("""COMPUTED_VALUE"""),"billed L3")</f>
        <v>billed L3</v>
      </c>
      <c r="D133" s="2" t="str">
        <f>IFERROR(__xludf.DUMMYFUNCTION("""COMPUTED_VALUE"""),"BAMBAN AGRICULTURAL FARMERS ASSOCIATION")</f>
        <v>BAMBAN AGRICULTURAL FARMERS ASSOCIATION</v>
      </c>
      <c r="E133" s="2" t="str">
        <f>IFERROR(__xludf.DUMMYFUNCTION("""COMPUTED_VALUE"""),"Anupul, Bamban, TARLAC")</f>
        <v>Anupul, Bamban, TARLAC</v>
      </c>
      <c r="F133" s="2" t="str">
        <f>IFERROR(__xludf.DUMMYFUNCTION("""COMPUTED_VALUE"""),"Yolanda S. Eduarte")</f>
        <v>Yolanda S. Eduarte</v>
      </c>
      <c r="G133" s="2" t="str">
        <f>IFERROR(__xludf.DUMMYFUNCTION("""COMPUTED_VALUE"""),"0949-991-7900 / 0961-284-4792")</f>
        <v>0949-991-7900 / 0961-284-4792</v>
      </c>
      <c r="H133" s="2"/>
      <c r="I133" s="2"/>
      <c r="J133" s="2"/>
      <c r="K133" s="2" t="str">
        <f>IFERROR(__xludf.DUMMYFUNCTION("""COMPUTED_VALUE"""),"RCEF 23-09-21 Rebidding")</f>
        <v>RCEF 23-09-21 Rebidding</v>
      </c>
      <c r="L133" s="2">
        <f>IFERROR(__xludf.DUMMYFUNCTION("""COMPUTED_VALUE"""),3.0)</f>
        <v>3</v>
      </c>
      <c r="M133" s="2">
        <f>IFERROR(__xludf.DUMMYFUNCTION("""COMPUTED_VALUE"""),3.0)</f>
        <v>3</v>
      </c>
      <c r="N133" s="74">
        <f>IFERROR(__xludf.DUMMYFUNCTION("""COMPUTED_VALUE"""),45302.0)</f>
        <v>45302</v>
      </c>
      <c r="O133" s="74">
        <f>IFERROR(__xludf.DUMMYFUNCTION("""COMPUTED_VALUE"""),45299.0)</f>
        <v>45299</v>
      </c>
      <c r="P133" s="2">
        <f>IFERROR(__xludf.DUMMYFUNCTION("""COMPUTED_VALUE"""),17815.0)</f>
        <v>17815</v>
      </c>
      <c r="Q133" s="2" t="str">
        <f>IFERROR(__xludf.DUMMYFUNCTION("""COMPUTED_VALUE"""),"KMC5825 AJPFPV0078")</f>
        <v>KMC5825 AJPFPV0078</v>
      </c>
      <c r="R133" s="2" t="str">
        <f>IFERROR(__xludf.DUMMYFUNCTION("""COMPUTED_VALUE"""),"PTS100153")</f>
        <v>PTS100153</v>
      </c>
      <c r="S133" s="2" t="str">
        <f>IFERROR(__xludf.DUMMYFUNCTION("""COMPUTED_VALUE"""),"R-SERIES 092PH")</f>
        <v>R-SERIES 092PH</v>
      </c>
      <c r="T133" s="2" t="str">
        <f>IFERROR(__xludf.DUMMYFUNCTION("""COMPUTED_VALUE"""),"LSGW1750-RMP-2312097")</f>
        <v>LSGW1750-RMP-2312097</v>
      </c>
      <c r="U133" s="2" t="str">
        <f>IFERROR(__xludf.DUMMYFUNCTION("""COMPUTED_VALUE"""),"WDP40-RMP-2312051")</f>
        <v>WDP40-RMP-2312051</v>
      </c>
      <c r="V133" s="2" t="str">
        <f>IFERROR(__xludf.DUMMYFUNCTION("""COMPUTED_VALUE"""),"INACTIVE - SIM")</f>
        <v>INACTIVE - SIM</v>
      </c>
      <c r="W133" s="2" t="str">
        <f>IFERROR(__xludf.DUMMYFUNCTION("""COMPUTED_VALUE"""),"VL103D")</f>
        <v>VL103D</v>
      </c>
      <c r="X133" s="2">
        <f>IFERROR(__xludf.DUMMYFUNCTION("""COMPUTED_VALUE"""),8.6906606024062E14)</f>
        <v>869066060240620</v>
      </c>
      <c r="Y133" s="2">
        <f>IFERROR(__xludf.DUMMYFUNCTION("""COMPUTED_VALUE"""),9.695079355E9)</f>
        <v>9695079355</v>
      </c>
      <c r="Z133" s="3" t="str">
        <f>IFERROR(__xludf.DUMMYFUNCTION("""COMPUTED_VALUE"""),"0323202005167408")</f>
        <v>0323202005167408</v>
      </c>
      <c r="AA133" s="2"/>
      <c r="AB133" s="2" t="str">
        <f>IFERROR(__xludf.DUMMYFUNCTION("""COMPUTED_VALUE"""),"bambanagrifa")</f>
        <v>bambanagrifa</v>
      </c>
    </row>
    <row r="134">
      <c r="A134" s="2" t="str">
        <f>IFERROR(__xludf.DUMMYFUNCTION("""COMPUTED_VALUE"""),"TT00132")</f>
        <v>TT00132</v>
      </c>
      <c r="B134" s="2" t="str">
        <f>IFERROR(__xludf.DUMMYFUNCTION("""COMPUTED_VALUE"""),"Completed")</f>
        <v>Completed</v>
      </c>
      <c r="C134" s="2" t="str">
        <f>IFERROR(__xludf.DUMMYFUNCTION("""COMPUTED_VALUE"""),"billed L3")</f>
        <v>billed L3</v>
      </c>
      <c r="D134" s="2" t="str">
        <f>IFERROR(__xludf.DUMMYFUNCTION("""COMPUTED_VALUE"""),"Lucky 9 Farmers Agriculture Cooperative")</f>
        <v>Lucky 9 Farmers Agriculture Cooperative</v>
      </c>
      <c r="E134" s="2" t="str">
        <f>IFERROR(__xludf.DUMMYFUNCTION("""COMPUTED_VALUE"""),"Dolores, Capas, TARLAC")</f>
        <v>Dolores, Capas, TARLAC</v>
      </c>
      <c r="F134" s="2" t="str">
        <f>IFERROR(__xludf.DUMMYFUNCTION("""COMPUTED_VALUE"""),"Gerardo S. Garcia")</f>
        <v>Gerardo S. Garcia</v>
      </c>
      <c r="G134" s="2" t="str">
        <f>IFERROR(__xludf.DUMMYFUNCTION("""COMPUTED_VALUE"""),"0907-964-6260")</f>
        <v>0907-964-6260</v>
      </c>
      <c r="H134" s="2"/>
      <c r="I134" s="2"/>
      <c r="J134" s="2"/>
      <c r="K134" s="2" t="str">
        <f>IFERROR(__xludf.DUMMYFUNCTION("""COMPUTED_VALUE"""),"RCEF 23-09-21 Rebidding")</f>
        <v>RCEF 23-09-21 Rebidding</v>
      </c>
      <c r="L134" s="2">
        <f>IFERROR(__xludf.DUMMYFUNCTION("""COMPUTED_VALUE"""),3.0)</f>
        <v>3</v>
      </c>
      <c r="M134" s="2">
        <f>IFERROR(__xludf.DUMMYFUNCTION("""COMPUTED_VALUE"""),3.0)</f>
        <v>3</v>
      </c>
      <c r="N134" s="74">
        <f>IFERROR(__xludf.DUMMYFUNCTION("""COMPUTED_VALUE"""),45302.0)</f>
        <v>45302</v>
      </c>
      <c r="O134" s="74">
        <f>IFERROR(__xludf.DUMMYFUNCTION("""COMPUTED_VALUE"""),45299.0)</f>
        <v>45299</v>
      </c>
      <c r="P134" s="2">
        <f>IFERROR(__xludf.DUMMYFUNCTION("""COMPUTED_VALUE"""),17816.0)</f>
        <v>17816</v>
      </c>
      <c r="Q134" s="2" t="str">
        <f>IFERROR(__xludf.DUMMYFUNCTION("""COMPUTED_VALUE"""),"KMC5825 AAPFPV0084")</f>
        <v>KMC5825 AAPFPV0084</v>
      </c>
      <c r="R134" s="2" t="str">
        <f>IFERROR(__xludf.DUMMYFUNCTION("""COMPUTED_VALUE"""),"PTS100156")</f>
        <v>PTS100156</v>
      </c>
      <c r="S134" s="2" t="str">
        <f>IFERROR(__xludf.DUMMYFUNCTION("""COMPUTED_VALUE"""),"R-SERIES 040PH")</f>
        <v>R-SERIES 040PH</v>
      </c>
      <c r="T134" s="2" t="str">
        <f>IFERROR(__xludf.DUMMYFUNCTION("""COMPUTED_VALUE"""),"LSGW1750-RMP-2312096")</f>
        <v>LSGW1750-RMP-2312096</v>
      </c>
      <c r="U134" s="2" t="str">
        <f>IFERROR(__xludf.DUMMYFUNCTION("""COMPUTED_VALUE"""),"WDP40-RMP-2312016")</f>
        <v>WDP40-RMP-2312016</v>
      </c>
      <c r="V134" s="2" t="str">
        <f>IFERROR(__xludf.DUMMYFUNCTION("""COMPUTED_VALUE"""),"good")</f>
        <v>good</v>
      </c>
      <c r="W134" s="2" t="str">
        <f>IFERROR(__xludf.DUMMYFUNCTION("""COMPUTED_VALUE"""),"VL103D")</f>
        <v>VL103D</v>
      </c>
      <c r="X134" s="2">
        <f>IFERROR(__xludf.DUMMYFUNCTION("""COMPUTED_VALUE"""),8.69066060242469E14)</f>
        <v>869066060242469</v>
      </c>
      <c r="Y134" s="2">
        <f>IFERROR(__xludf.DUMMYFUNCTION("""COMPUTED_VALUE"""),9.694612121E9)</f>
        <v>9694612121</v>
      </c>
      <c r="Z134" s="3" t="str">
        <f>IFERROR(__xludf.DUMMYFUNCTION("""COMPUTED_VALUE"""),"0323202005167390")</f>
        <v>0323202005167390</v>
      </c>
      <c r="AA134" s="2"/>
      <c r="AB134" s="2" t="str">
        <f>IFERROR(__xludf.DUMMYFUNCTION("""COMPUTED_VALUE"""),"lucky9fa")</f>
        <v>lucky9fa</v>
      </c>
    </row>
    <row r="135">
      <c r="A135" s="2" t="str">
        <f>IFERROR(__xludf.DUMMYFUNCTION("""COMPUTED_VALUE"""),"TT00133")</f>
        <v>TT00133</v>
      </c>
      <c r="B135" s="2" t="str">
        <f>IFERROR(__xludf.DUMMYFUNCTION("""COMPUTED_VALUE"""),"Completed")</f>
        <v>Completed</v>
      </c>
      <c r="C135" s="2" t="str">
        <f>IFERROR(__xludf.DUMMYFUNCTION("""COMPUTED_VALUE"""),"billed L3")</f>
        <v>billed L3</v>
      </c>
      <c r="D135" s="2" t="str">
        <f>IFERROR(__xludf.DUMMYFUNCTION("""COMPUTED_VALUE"""),"One Binyayan Farmers Agriculture Cooperative")</f>
        <v>One Binyayan Farmers Agriculture Cooperative</v>
      </c>
      <c r="E135" s="2" t="str">
        <f>IFERROR(__xludf.DUMMYFUNCTION("""COMPUTED_VALUE"""),"O'Donnell, Capas, TARLAC")</f>
        <v>O'Donnell, Capas, TARLAC</v>
      </c>
      <c r="F135" s="2" t="str">
        <f>IFERROR(__xludf.DUMMYFUNCTION("""COMPUTED_VALUE"""),"Aurelia M. Vistan")</f>
        <v>Aurelia M. Vistan</v>
      </c>
      <c r="G135" s="2" t="str">
        <f>IFERROR(__xludf.DUMMYFUNCTION("""COMPUTED_VALUE"""),"0908-716-5492")</f>
        <v>0908-716-5492</v>
      </c>
      <c r="H135" s="2"/>
      <c r="I135" s="2"/>
      <c r="J135" s="2"/>
      <c r="K135" s="2" t="str">
        <f>IFERROR(__xludf.DUMMYFUNCTION("""COMPUTED_VALUE"""),"RCEF 23-09-21 Rebidding")</f>
        <v>RCEF 23-09-21 Rebidding</v>
      </c>
      <c r="L135" s="2">
        <f>IFERROR(__xludf.DUMMYFUNCTION("""COMPUTED_VALUE"""),3.0)</f>
        <v>3</v>
      </c>
      <c r="M135" s="2">
        <f>IFERROR(__xludf.DUMMYFUNCTION("""COMPUTED_VALUE"""),3.0)</f>
        <v>3</v>
      </c>
      <c r="N135" s="74">
        <f>IFERROR(__xludf.DUMMYFUNCTION("""COMPUTED_VALUE"""),45302.0)</f>
        <v>45302</v>
      </c>
      <c r="O135" s="74">
        <f>IFERROR(__xludf.DUMMYFUNCTION("""COMPUTED_VALUE"""),45299.0)</f>
        <v>45299</v>
      </c>
      <c r="P135" s="2">
        <f>IFERROR(__xludf.DUMMYFUNCTION("""COMPUTED_VALUE"""),17817.0)</f>
        <v>17817</v>
      </c>
      <c r="Q135" s="2" t="str">
        <f>IFERROR(__xludf.DUMMYFUNCTION("""COMPUTED_VALUE"""),"KMC5825 AAPFPV0117")</f>
        <v>KMC5825 AAPFPV0117</v>
      </c>
      <c r="R135" s="2" t="str">
        <f>IFERROR(__xludf.DUMMYFUNCTION("""COMPUTED_VALUE"""),"PTS100044")</f>
        <v>PTS100044</v>
      </c>
      <c r="S135" s="2" t="str">
        <f>IFERROR(__xludf.DUMMYFUNCTION("""COMPUTED_VALUE"""),"R-SERIES 059PH")</f>
        <v>R-SERIES 059PH</v>
      </c>
      <c r="T135" s="2" t="str">
        <f>IFERROR(__xludf.DUMMYFUNCTION("""COMPUTED_VALUE"""),"LSGW1750-RMP-2312005")</f>
        <v>LSGW1750-RMP-2312005</v>
      </c>
      <c r="U135" s="2" t="str">
        <f>IFERROR(__xludf.DUMMYFUNCTION("""COMPUTED_VALUE"""),"WDP40-RMP-2312039")</f>
        <v>WDP40-RMP-2312039</v>
      </c>
      <c r="V135" s="2" t="str">
        <f>IFERROR(__xludf.DUMMYFUNCTION("""COMPUTED_VALUE"""),"INACTIVE - SIM")</f>
        <v>INACTIVE - SIM</v>
      </c>
      <c r="W135" s="2" t="str">
        <f>IFERROR(__xludf.DUMMYFUNCTION("""COMPUTED_VALUE"""),"VL103D")</f>
        <v>VL103D</v>
      </c>
      <c r="X135" s="2">
        <f>IFERROR(__xludf.DUMMYFUNCTION("""COMPUTED_VALUE"""),8.69066060242402E14)</f>
        <v>869066060242402</v>
      </c>
      <c r="Y135" s="2">
        <f>IFERROR(__xludf.DUMMYFUNCTION("""COMPUTED_VALUE"""),9.695130375E9)</f>
        <v>9695130375</v>
      </c>
      <c r="Z135" s="3" t="str">
        <f>IFERROR(__xludf.DUMMYFUNCTION("""COMPUTED_VALUE"""),"0323202005167382")</f>
        <v>0323202005167382</v>
      </c>
      <c r="AA135" s="2"/>
      <c r="AB135" s="2" t="str">
        <f>IFERROR(__xludf.DUMMYFUNCTION("""COMPUTED_VALUE"""),"onebinyayanfac")</f>
        <v>onebinyayanfac</v>
      </c>
    </row>
    <row r="136">
      <c r="A136" s="2" t="str">
        <f>IFERROR(__xludf.DUMMYFUNCTION("""COMPUTED_VALUE"""),"TT00134")</f>
        <v>TT00134</v>
      </c>
      <c r="B136" s="2" t="str">
        <f>IFERROR(__xludf.DUMMYFUNCTION("""COMPUTED_VALUE"""),"Completed")</f>
        <v>Completed</v>
      </c>
      <c r="C136" s="2" t="str">
        <f>IFERROR(__xludf.DUMMYFUNCTION("""COMPUTED_VALUE"""),"billed L3")</f>
        <v>billed L3</v>
      </c>
      <c r="D136" s="2" t="str">
        <f>IFERROR(__xludf.DUMMYFUNCTION("""COMPUTED_VALUE"""),"Sta. Rosa Concepcion Farmers Agriculture Cooperative")</f>
        <v>Sta. Rosa Concepcion Farmers Agriculture Cooperative</v>
      </c>
      <c r="E136" s="2" t="str">
        <f>IFERROR(__xludf.DUMMYFUNCTION("""COMPUTED_VALUE"""),"Santa Rosa, Concepcion, TARLAC")</f>
        <v>Santa Rosa, Concepcion, TARLAC</v>
      </c>
      <c r="F136" s="2" t="str">
        <f>IFERROR(__xludf.DUMMYFUNCTION("""COMPUTED_VALUE"""),"Jefferson B. Castro")</f>
        <v>Jefferson B. Castro</v>
      </c>
      <c r="G136" s="2" t="str">
        <f>IFERROR(__xludf.DUMMYFUNCTION("""COMPUTED_VALUE"""),"0906-488-8656 / 0919-517-2074")</f>
        <v>0906-488-8656 / 0919-517-2074</v>
      </c>
      <c r="H136" s="2"/>
      <c r="I136" s="2"/>
      <c r="J136" s="2"/>
      <c r="K136" s="2" t="str">
        <f>IFERROR(__xludf.DUMMYFUNCTION("""COMPUTED_VALUE"""),"RCEF 23-09-21 Rebidding")</f>
        <v>RCEF 23-09-21 Rebidding</v>
      </c>
      <c r="L136" s="2">
        <f>IFERROR(__xludf.DUMMYFUNCTION("""COMPUTED_VALUE"""),3.0)</f>
        <v>3</v>
      </c>
      <c r="M136" s="2">
        <f>IFERROR(__xludf.DUMMYFUNCTION("""COMPUTED_VALUE"""),3.0)</f>
        <v>3</v>
      </c>
      <c r="N136" s="74">
        <f>IFERROR(__xludf.DUMMYFUNCTION("""COMPUTED_VALUE"""),45302.0)</f>
        <v>45302</v>
      </c>
      <c r="O136" s="74">
        <f>IFERROR(__xludf.DUMMYFUNCTION("""COMPUTED_VALUE"""),45299.0)</f>
        <v>45299</v>
      </c>
      <c r="P136" s="2">
        <f>IFERROR(__xludf.DUMMYFUNCTION("""COMPUTED_VALUE"""),17818.0)</f>
        <v>17818</v>
      </c>
      <c r="Q136" s="2" t="str">
        <f>IFERROR(__xludf.DUMMYFUNCTION("""COMPUTED_VALUE"""),"KMC5825 ALPFPV0152")</f>
        <v>KMC5825 ALPFPV0152</v>
      </c>
      <c r="R136" s="2" t="str">
        <f>IFERROR(__xludf.DUMMYFUNCTION("""COMPUTED_VALUE"""),"PTS100147")</f>
        <v>PTS100147</v>
      </c>
      <c r="S136" s="2" t="str">
        <f>IFERROR(__xludf.DUMMYFUNCTION("""COMPUTED_VALUE"""),"R-SERIES 053PH")</f>
        <v>R-SERIES 053PH</v>
      </c>
      <c r="T136" s="2" t="str">
        <f>IFERROR(__xludf.DUMMYFUNCTION("""COMPUTED_VALUE"""),"LSGW1750-RMP-2312109")</f>
        <v>LSGW1750-RMP-2312109</v>
      </c>
      <c r="U136" s="2" t="str">
        <f>IFERROR(__xludf.DUMMYFUNCTION("""COMPUTED_VALUE"""),"WDP40-RMP-2312040")</f>
        <v>WDP40-RMP-2312040</v>
      </c>
      <c r="V136" s="2" t="str">
        <f>IFERROR(__xludf.DUMMYFUNCTION("""COMPUTED_VALUE"""),"good")</f>
        <v>good</v>
      </c>
      <c r="W136" s="2" t="str">
        <f>IFERROR(__xludf.DUMMYFUNCTION("""COMPUTED_VALUE"""),"VL103D")</f>
        <v>VL103D</v>
      </c>
      <c r="X136" s="2">
        <f>IFERROR(__xludf.DUMMYFUNCTION("""COMPUTED_VALUE"""),8.69066060244564E14)</f>
        <v>869066060244564</v>
      </c>
      <c r="Y136" s="2">
        <f>IFERROR(__xludf.DUMMYFUNCTION("""COMPUTED_VALUE"""),9.694547831E9)</f>
        <v>9694547831</v>
      </c>
      <c r="Z136" s="3" t="str">
        <f>IFERROR(__xludf.DUMMYFUNCTION("""COMPUTED_VALUE"""),"0323202005167374")</f>
        <v>0323202005167374</v>
      </c>
      <c r="AA136" s="2"/>
      <c r="AB136" s="2" t="str">
        <f>IFERROR(__xludf.DUMMYFUNCTION("""COMPUTED_VALUE"""),"concepcionfac")</f>
        <v>concepcionfac</v>
      </c>
    </row>
    <row r="137">
      <c r="A137" s="2" t="str">
        <f>IFERROR(__xludf.DUMMYFUNCTION("""COMPUTED_VALUE"""),"TT00135")</f>
        <v>TT00135</v>
      </c>
      <c r="B137" s="2" t="str">
        <f>IFERROR(__xludf.DUMMYFUNCTION("""COMPUTED_VALUE"""),"Completed")</f>
        <v>Completed</v>
      </c>
      <c r="C137" s="2" t="str">
        <f>IFERROR(__xludf.DUMMYFUNCTION("""COMPUTED_VALUE"""),"billed L3")</f>
        <v>billed L3</v>
      </c>
      <c r="D137" s="2" t="str">
        <f>IFERROR(__xludf.DUMMYFUNCTION("""COMPUTED_VALUE"""),"Mapalad Farmers Field School Agriculture Cooperative")</f>
        <v>Mapalad Farmers Field School Agriculture Cooperative</v>
      </c>
      <c r="E137" s="2" t="str">
        <f>IFERROR(__xludf.DUMMYFUNCTION("""COMPUTED_VALUE"""),"Lomboy, La Paz, TARLAC")</f>
        <v>Lomboy, La Paz, TARLAC</v>
      </c>
      <c r="F137" s="2" t="str">
        <f>IFERROR(__xludf.DUMMYFUNCTION("""COMPUTED_VALUE"""),"Nelylane B. Manzano")</f>
        <v>Nelylane B. Manzano</v>
      </c>
      <c r="G137" s="2" t="str">
        <f>IFERROR(__xludf.DUMMYFUNCTION("""COMPUTED_VALUE"""),"0907-795-2582")</f>
        <v>0907-795-2582</v>
      </c>
      <c r="H137" s="2"/>
      <c r="I137" s="2"/>
      <c r="J137" s="2"/>
      <c r="K137" s="2" t="str">
        <f>IFERROR(__xludf.DUMMYFUNCTION("""COMPUTED_VALUE"""),"RCEF 23-09-21 Rebidding")</f>
        <v>RCEF 23-09-21 Rebidding</v>
      </c>
      <c r="L137" s="2">
        <f>IFERROR(__xludf.DUMMYFUNCTION("""COMPUTED_VALUE"""),3.0)</f>
        <v>3</v>
      </c>
      <c r="M137" s="2">
        <f>IFERROR(__xludf.DUMMYFUNCTION("""COMPUTED_VALUE"""),3.0)</f>
        <v>3</v>
      </c>
      <c r="N137" s="74">
        <f>IFERROR(__xludf.DUMMYFUNCTION("""COMPUTED_VALUE"""),45302.0)</f>
        <v>45302</v>
      </c>
      <c r="O137" s="74">
        <f>IFERROR(__xludf.DUMMYFUNCTION("""COMPUTED_VALUE"""),45299.0)</f>
        <v>45299</v>
      </c>
      <c r="P137" s="2">
        <f>IFERROR(__xludf.DUMMYFUNCTION("""COMPUTED_VALUE"""),17819.0)</f>
        <v>17819</v>
      </c>
      <c r="Q137" s="2" t="str">
        <f>IFERROR(__xludf.DUMMYFUNCTION("""COMPUTED_VALUE"""),"KMC5825 AEPFPV0154")</f>
        <v>KMC5825 AEPFPV0154</v>
      </c>
      <c r="R137" s="2" t="str">
        <f>IFERROR(__xludf.DUMMYFUNCTION("""COMPUTED_VALUE"""),"PTS100145")</f>
        <v>PTS100145</v>
      </c>
      <c r="S137" s="2" t="str">
        <f>IFERROR(__xludf.DUMMYFUNCTION("""COMPUTED_VALUE"""),"R-SERIES 089PH")</f>
        <v>R-SERIES 089PH</v>
      </c>
      <c r="T137" s="2" t="str">
        <f>IFERROR(__xludf.DUMMYFUNCTION("""COMPUTED_VALUE"""),"LSGW1750-RMP-2312098")</f>
        <v>LSGW1750-RMP-2312098</v>
      </c>
      <c r="U137" s="2" t="str">
        <f>IFERROR(__xludf.DUMMYFUNCTION("""COMPUTED_VALUE"""),"WDP40-RMP-2312017")</f>
        <v>WDP40-RMP-2312017</v>
      </c>
      <c r="V137" s="2" t="str">
        <f>IFERROR(__xludf.DUMMYFUNCTION("""COMPUTED_VALUE"""),"INACTIVE - SIM")</f>
        <v>INACTIVE - SIM</v>
      </c>
      <c r="W137" s="2" t="str">
        <f>IFERROR(__xludf.DUMMYFUNCTION("""COMPUTED_VALUE"""),"VL103D")</f>
        <v>VL103D</v>
      </c>
      <c r="X137" s="2">
        <f>IFERROR(__xludf.DUMMYFUNCTION("""COMPUTED_VALUE"""),8.69066060241107E14)</f>
        <v>869066060241107</v>
      </c>
      <c r="Y137" s="2">
        <f>IFERROR(__xludf.DUMMYFUNCTION("""COMPUTED_VALUE"""),9.691027938E9)</f>
        <v>9691027938</v>
      </c>
      <c r="Z137" s="3" t="str">
        <f>IFERROR(__xludf.DUMMYFUNCTION("""COMPUTED_VALUE"""),"0323202005167366")</f>
        <v>0323202005167366</v>
      </c>
      <c r="AA137" s="2"/>
      <c r="AB137" s="2" t="str">
        <f>IFERROR(__xludf.DUMMYFUNCTION("""COMPUTED_VALUE"""),"mapaladfac")</f>
        <v>mapaladfac</v>
      </c>
    </row>
    <row r="138">
      <c r="A138" s="2" t="str">
        <f>IFERROR(__xludf.DUMMYFUNCTION("""COMPUTED_VALUE"""),"TT00136")</f>
        <v>TT00136</v>
      </c>
      <c r="B138" s="2" t="str">
        <f>IFERROR(__xludf.DUMMYFUNCTION("""COMPUTED_VALUE"""),"Completed")</f>
        <v>Completed</v>
      </c>
      <c r="C138" s="2" t="str">
        <f>IFERROR(__xludf.DUMMYFUNCTION("""COMPUTED_VALUE"""),"billed L3")</f>
        <v>billed L3</v>
      </c>
      <c r="D138" s="2" t="str">
        <f>IFERROR(__xludf.DUMMYFUNCTION("""COMPUTED_VALUE"""),"MUNICIPAL LOCAL GOVERNMENT UNIT OF ABUCAY")</f>
        <v>MUNICIPAL LOCAL GOVERNMENT UNIT OF ABUCAY</v>
      </c>
      <c r="E138" s="2" t="str">
        <f>IFERROR(__xludf.DUMMYFUNCTION("""COMPUTED_VALUE"""),"Calaylayan (Pob.), Abucay, BATAAN")</f>
        <v>Calaylayan (Pob.), Abucay, BATAAN</v>
      </c>
      <c r="F138" s="2" t="str">
        <f>IFERROR(__xludf.DUMMYFUNCTION("""COMPUTED_VALUE"""),"Mayor- Liberato P. Santiago Jr./ MA- Eraño Marabe")</f>
        <v>Mayor- Liberato P. Santiago Jr./ MA- Eraño Marabe</v>
      </c>
      <c r="G138" s="2" t="str">
        <f>IFERROR(__xludf.DUMMYFUNCTION("""COMPUTED_VALUE"""),"0918-587-3906")</f>
        <v>0918-587-3906</v>
      </c>
      <c r="H138" s="2"/>
      <c r="I138" s="2"/>
      <c r="J138" s="2"/>
      <c r="K138" s="2" t="str">
        <f>IFERROR(__xludf.DUMMYFUNCTION("""COMPUTED_VALUE"""),"RCEF 23-09-21 Rebidding")</f>
        <v>RCEF 23-09-21 Rebidding</v>
      </c>
      <c r="L138" s="2">
        <f>IFERROR(__xludf.DUMMYFUNCTION("""COMPUTED_VALUE"""),3.0)</f>
        <v>3</v>
      </c>
      <c r="M138" s="2">
        <f>IFERROR(__xludf.DUMMYFUNCTION("""COMPUTED_VALUE"""),3.0)</f>
        <v>3</v>
      </c>
      <c r="N138" s="74">
        <f>IFERROR(__xludf.DUMMYFUNCTION("""COMPUTED_VALUE"""),45307.0)</f>
        <v>45307</v>
      </c>
      <c r="O138" s="74">
        <f>IFERROR(__xludf.DUMMYFUNCTION("""COMPUTED_VALUE"""),45310.0)</f>
        <v>45310</v>
      </c>
      <c r="P138" s="2">
        <f>IFERROR(__xludf.DUMMYFUNCTION("""COMPUTED_VALUE"""),17872.0)</f>
        <v>17872</v>
      </c>
      <c r="Q138" s="2" t="str">
        <f>IFERROR(__xludf.DUMMYFUNCTION("""COMPUTED_VALUE"""),"KMC5825 ACPFPV0132")</f>
        <v>KMC5825 ACPFPV0132</v>
      </c>
      <c r="R138" s="2" t="str">
        <f>IFERROR(__xludf.DUMMYFUNCTION("""COMPUTED_VALUE"""),"PTS100042")</f>
        <v>PTS100042</v>
      </c>
      <c r="S138" s="2" t="str">
        <f>IFERROR(__xludf.DUMMYFUNCTION("""COMPUTED_VALUE"""),"R-SERIES 076PH")</f>
        <v>R-SERIES 076PH</v>
      </c>
      <c r="T138" s="2" t="str">
        <f>IFERROR(__xludf.DUMMYFUNCTION("""COMPUTED_VALUE"""),"LSGW1750 RMP 2312100")</f>
        <v>LSGW1750 RMP 2312100</v>
      </c>
      <c r="U138" s="2" t="str">
        <f>IFERROR(__xludf.DUMMYFUNCTION("""COMPUTED_VALUE"""),"WDP40-RMP-2312006")</f>
        <v>WDP40-RMP-2312006</v>
      </c>
      <c r="V138" s="2" t="str">
        <f>IFERROR(__xludf.DUMMYFUNCTION("""COMPUTED_VALUE"""),"no load")</f>
        <v>no load</v>
      </c>
      <c r="W138" s="2" t="str">
        <f>IFERROR(__xludf.DUMMYFUNCTION("""COMPUTED_VALUE"""),"VL103D")</f>
        <v>VL103D</v>
      </c>
      <c r="X138" s="2">
        <f>IFERROR(__xludf.DUMMYFUNCTION("""COMPUTED_VALUE"""),8.690660602459E14)</f>
        <v>869066060245900</v>
      </c>
      <c r="Y138" s="2">
        <f>IFERROR(__xludf.DUMMYFUNCTION("""COMPUTED_VALUE"""),9.690676762E9)</f>
        <v>9690676762</v>
      </c>
      <c r="Z138" s="2"/>
      <c r="AA138" s="2"/>
      <c r="AB138" s="2" t="str">
        <f>IFERROR(__xludf.DUMMYFUNCTION("""COMPUTED_VALUE"""),"mlguabucay")</f>
        <v>mlguabucay</v>
      </c>
    </row>
    <row r="139">
      <c r="A139" s="2" t="str">
        <f>IFERROR(__xludf.DUMMYFUNCTION("""COMPUTED_VALUE"""),"TT00137")</f>
        <v>TT00137</v>
      </c>
      <c r="B139" s="2" t="str">
        <f>IFERROR(__xludf.DUMMYFUNCTION("""COMPUTED_VALUE"""),"Completed")</f>
        <v>Completed</v>
      </c>
      <c r="C139" s="2" t="str">
        <f>IFERROR(__xludf.DUMMYFUNCTION("""COMPUTED_VALUE"""),"billed L3")</f>
        <v>billed L3</v>
      </c>
      <c r="D139" s="2" t="str">
        <f>IFERROR(__xludf.DUMMYFUNCTION("""COMPUTED_VALUE"""),"PARAPAL SMALL WATER IMPOUNDING SYSTEM ASSOCIATION")</f>
        <v>PARAPAL SMALL WATER IMPOUNDING SYSTEM ASSOCIATION</v>
      </c>
      <c r="E139" s="2" t="str">
        <f>IFERROR(__xludf.DUMMYFUNCTION("""COMPUTED_VALUE"""),"Mabiga, Hermosa, BATAAN")</f>
        <v>Mabiga, Hermosa, BATAAN</v>
      </c>
      <c r="F139" s="2" t="str">
        <f>IFERROR(__xludf.DUMMYFUNCTION("""COMPUTED_VALUE"""),"Leonardo Cruz")</f>
        <v>Leonardo Cruz</v>
      </c>
      <c r="G139" s="2" t="str">
        <f>IFERROR(__xludf.DUMMYFUNCTION("""COMPUTED_VALUE"""),"0948-976-1312")</f>
        <v>0948-976-1312</v>
      </c>
      <c r="H139" s="2"/>
      <c r="I139" s="2"/>
      <c r="J139" s="2"/>
      <c r="K139" s="2" t="str">
        <f>IFERROR(__xludf.DUMMYFUNCTION("""COMPUTED_VALUE"""),"RCEF 23-09-21 Rebidding")</f>
        <v>RCEF 23-09-21 Rebidding</v>
      </c>
      <c r="L139" s="2">
        <f>IFERROR(__xludf.DUMMYFUNCTION("""COMPUTED_VALUE"""),3.0)</f>
        <v>3</v>
      </c>
      <c r="M139" s="2">
        <f>IFERROR(__xludf.DUMMYFUNCTION("""COMPUTED_VALUE"""),3.0)</f>
        <v>3</v>
      </c>
      <c r="N139" s="74">
        <f>IFERROR(__xludf.DUMMYFUNCTION("""COMPUTED_VALUE"""),45307.0)</f>
        <v>45307</v>
      </c>
      <c r="O139" s="74">
        <f>IFERROR(__xludf.DUMMYFUNCTION("""COMPUTED_VALUE"""),45310.0)</f>
        <v>45310</v>
      </c>
      <c r="P139" s="2">
        <f>IFERROR(__xludf.DUMMYFUNCTION("""COMPUTED_VALUE"""),17873.0)</f>
        <v>17873</v>
      </c>
      <c r="Q139" s="2" t="str">
        <f>IFERROR(__xludf.DUMMYFUNCTION("""COMPUTED_VALUE"""),"KMC5825 APPFPV0045")</f>
        <v>KMC5825 APPFPV0045</v>
      </c>
      <c r="R139" s="2" t="str">
        <f>IFERROR(__xludf.DUMMYFUNCTION("""COMPUTED_VALUE"""),"PTS100062")</f>
        <v>PTS100062</v>
      </c>
      <c r="S139" s="2" t="str">
        <f>IFERROR(__xludf.DUMMYFUNCTION("""COMPUTED_VALUE"""),"R-SERIES 079PH")</f>
        <v>R-SERIES 079PH</v>
      </c>
      <c r="T139" s="2" t="str">
        <f>IFERROR(__xludf.DUMMYFUNCTION("""COMPUTED_VALUE"""),"LSGW1750 RMP 2312101")</f>
        <v>LSGW1750 RMP 2312101</v>
      </c>
      <c r="U139" s="2" t="str">
        <f>IFERROR(__xludf.DUMMYFUNCTION("""COMPUTED_VALUE"""),"WDP40 RMP 2312023")</f>
        <v>WDP40 RMP 2312023</v>
      </c>
      <c r="V139" s="2" t="str">
        <f>IFERROR(__xludf.DUMMYFUNCTION("""COMPUTED_VALUE"""),"no load")</f>
        <v>no load</v>
      </c>
      <c r="W139" s="2" t="str">
        <f>IFERROR(__xludf.DUMMYFUNCTION("""COMPUTED_VALUE"""),"VL103D")</f>
        <v>VL103D</v>
      </c>
      <c r="X139" s="2">
        <f>IFERROR(__xludf.DUMMYFUNCTION("""COMPUTED_VALUE"""),8.69066060239846E14)</f>
        <v>869066060239846</v>
      </c>
      <c r="Y139" s="2">
        <f>IFERROR(__xludf.DUMMYFUNCTION("""COMPUTED_VALUE"""),9.690900367E9)</f>
        <v>9690900367</v>
      </c>
      <c r="Z139" s="2"/>
      <c r="AA139" s="2"/>
      <c r="AB139" s="2" t="str">
        <f>IFERROR(__xludf.DUMMYFUNCTION("""COMPUTED_VALUE"""),"parapalsmallwater")</f>
        <v>parapalsmallwater</v>
      </c>
    </row>
    <row r="140">
      <c r="A140" s="2" t="str">
        <f>IFERROR(__xludf.DUMMYFUNCTION("""COMPUTED_VALUE"""),"TT00138")</f>
        <v>TT00138</v>
      </c>
      <c r="B140" s="2" t="str">
        <f>IFERROR(__xludf.DUMMYFUNCTION("""COMPUTED_VALUE"""),"Completed")</f>
        <v>Completed</v>
      </c>
      <c r="C140" s="2" t="str">
        <f>IFERROR(__xludf.DUMMYFUNCTION("""COMPUTED_VALUE"""),"billed L3")</f>
        <v>billed L3</v>
      </c>
      <c r="D140" s="2" t="str">
        <f>IFERROR(__xludf.DUMMYFUNCTION("""COMPUTED_VALUE"""),"SAN PEDRO FARMERS ASSOCIATION")</f>
        <v>SAN PEDRO FARMERS ASSOCIATION</v>
      </c>
      <c r="E140" s="2" t="str">
        <f>IFERROR(__xludf.DUMMYFUNCTION("""COMPUTED_VALUE"""),"San Pedro (Pob.), Hermosa, BATAAN")</f>
        <v>San Pedro (Pob.), Hermosa, BATAAN</v>
      </c>
      <c r="F140" s="2" t="str">
        <f>IFERROR(__xludf.DUMMYFUNCTION("""COMPUTED_VALUE"""),"ALEJANDRO B. MOJICA, JR.")</f>
        <v>ALEJANDRO B. MOJICA, JR.</v>
      </c>
      <c r="G140" s="2" t="str">
        <f>IFERROR(__xludf.DUMMYFUNCTION("""COMPUTED_VALUE"""),"0920-8017-267")</f>
        <v>0920-8017-267</v>
      </c>
      <c r="H140" s="2"/>
      <c r="I140" s="2"/>
      <c r="J140" s="2"/>
      <c r="K140" s="2" t="str">
        <f>IFERROR(__xludf.DUMMYFUNCTION("""COMPUTED_VALUE"""),"RCEF 23-09-21 Rebidding")</f>
        <v>RCEF 23-09-21 Rebidding</v>
      </c>
      <c r="L140" s="2">
        <f>IFERROR(__xludf.DUMMYFUNCTION("""COMPUTED_VALUE"""),3.0)</f>
        <v>3</v>
      </c>
      <c r="M140" s="2">
        <f>IFERROR(__xludf.DUMMYFUNCTION("""COMPUTED_VALUE"""),3.0)</f>
        <v>3</v>
      </c>
      <c r="N140" s="74">
        <f>IFERROR(__xludf.DUMMYFUNCTION("""COMPUTED_VALUE"""),45307.0)</f>
        <v>45307</v>
      </c>
      <c r="O140" s="74">
        <f>IFERROR(__xludf.DUMMYFUNCTION("""COMPUTED_VALUE"""),45310.0)</f>
        <v>45310</v>
      </c>
      <c r="P140" s="2">
        <f>IFERROR(__xludf.DUMMYFUNCTION("""COMPUTED_VALUE"""),17874.0)</f>
        <v>17874</v>
      </c>
      <c r="Q140" s="2" t="str">
        <f>IFERROR(__xludf.DUMMYFUNCTION("""COMPUTED_VALUE"""),"KMC5825 APPFPV0062")</f>
        <v>KMC5825 APPFPV0062</v>
      </c>
      <c r="R140" s="2" t="str">
        <f>IFERROR(__xludf.DUMMYFUNCTION("""COMPUTED_VALUE"""),"PTS 100107")</f>
        <v>PTS 100107</v>
      </c>
      <c r="S140" s="2" t="str">
        <f>IFERROR(__xludf.DUMMYFUNCTION("""COMPUTED_VALUE"""),"R-SERIES 082 PH")</f>
        <v>R-SERIES 082 PH</v>
      </c>
      <c r="T140" s="2" t="str">
        <f>IFERROR(__xludf.DUMMYFUNCTION("""COMPUTED_VALUE"""),"LSGW1750 RMP 2312103")</f>
        <v>LSGW1750 RMP 2312103</v>
      </c>
      <c r="U140" s="2" t="str">
        <f>IFERROR(__xludf.DUMMYFUNCTION("""COMPUTED_VALUE"""),"WDP40 RMP 2312007")</f>
        <v>WDP40 RMP 2312007</v>
      </c>
      <c r="V140" s="2" t="str">
        <f>IFERROR(__xludf.DUMMYFUNCTION("""COMPUTED_VALUE"""),"no load")</f>
        <v>no load</v>
      </c>
      <c r="W140" s="2" t="str">
        <f>IFERROR(__xludf.DUMMYFUNCTION("""COMPUTED_VALUE"""),"VL103D")</f>
        <v>VL103D</v>
      </c>
      <c r="X140" s="2">
        <f>IFERROR(__xludf.DUMMYFUNCTION("""COMPUTED_VALUE"""),8.69066060242626E14)</f>
        <v>869066060242626</v>
      </c>
      <c r="Y140" s="2">
        <f>IFERROR(__xludf.DUMMYFUNCTION("""COMPUTED_VALUE"""),9.086718706E9)</f>
        <v>9086718706</v>
      </c>
      <c r="Z140" s="2"/>
      <c r="AA140" s="2"/>
      <c r="AB140" s="2" t="str">
        <f>IFERROR(__xludf.DUMMYFUNCTION("""COMPUTED_VALUE"""),"sanpedrofa")</f>
        <v>sanpedrofa</v>
      </c>
    </row>
    <row r="141">
      <c r="A141" s="2" t="str">
        <f>IFERROR(__xludf.DUMMYFUNCTION("""COMPUTED_VALUE"""),"TT00139")</f>
        <v>TT00139</v>
      </c>
      <c r="B141" s="2" t="str">
        <f>IFERROR(__xludf.DUMMYFUNCTION("""COMPUTED_VALUE"""),"Completed")</f>
        <v>Completed</v>
      </c>
      <c r="C141" s="2" t="str">
        <f>IFERROR(__xludf.DUMMYFUNCTION("""COMPUTED_VALUE"""),"billed L3")</f>
        <v>billed L3</v>
      </c>
      <c r="D141" s="2"/>
      <c r="E141" s="2" t="str">
        <f>IFERROR(__xludf.DUMMYFUNCTION("""COMPUTED_VALUE"""),"Cataning, Balanga City, BATAAN")</f>
        <v>Cataning, Balanga City, BATAAN</v>
      </c>
      <c r="F141" s="2" t="str">
        <f>IFERROR(__xludf.DUMMYFUNCTION("""COMPUTED_VALUE"""),"Renato S. Carig")</f>
        <v>Renato S. Carig</v>
      </c>
      <c r="G141" s="2" t="str">
        <f>IFERROR(__xludf.DUMMYFUNCTION("""COMPUTED_VALUE"""),"0939-958-8174")</f>
        <v>0939-958-8174</v>
      </c>
      <c r="H141" s="2"/>
      <c r="I141" s="2"/>
      <c r="J141" s="2"/>
      <c r="K141" s="2" t="str">
        <f>IFERROR(__xludf.DUMMYFUNCTION("""COMPUTED_VALUE"""),"RCEF 23-09-21 Rebidding")</f>
        <v>RCEF 23-09-21 Rebidding</v>
      </c>
      <c r="L141" s="2" t="str">
        <f>IFERROR(__xludf.DUMMYFUNCTION("""COMPUTED_VALUE"""),"#N/A")</f>
        <v>#N/A</v>
      </c>
      <c r="M141" s="2">
        <f>IFERROR(__xludf.DUMMYFUNCTION("""COMPUTED_VALUE"""),3.0)</f>
        <v>3</v>
      </c>
      <c r="N141" s="74">
        <f>IFERROR(__xludf.DUMMYFUNCTION("""COMPUTED_VALUE"""),45307.0)</f>
        <v>45307</v>
      </c>
      <c r="O141" s="74">
        <f>IFERROR(__xludf.DUMMYFUNCTION("""COMPUTED_VALUE"""),45310.0)</f>
        <v>45310</v>
      </c>
      <c r="P141" s="2">
        <f>IFERROR(__xludf.DUMMYFUNCTION("""COMPUTED_VALUE"""),17875.0)</f>
        <v>17875</v>
      </c>
      <c r="Q141" s="2" t="str">
        <f>IFERROR(__xludf.DUMMYFUNCTION("""COMPUTED_VALUE"""),"KMC5825 AVPFPV0102")</f>
        <v>KMC5825 AVPFPV0102</v>
      </c>
      <c r="R141" s="2" t="str">
        <f>IFERROR(__xludf.DUMMYFUNCTION("""COMPUTED_VALUE"""),"PTS 100066")</f>
        <v>PTS 100066</v>
      </c>
      <c r="S141" s="2" t="str">
        <f>IFERROR(__xludf.DUMMYFUNCTION("""COMPUTED_VALUE"""),"R-SERIES 086 PH")</f>
        <v>R-SERIES 086 PH</v>
      </c>
      <c r="T141" s="2" t="str">
        <f>IFERROR(__xludf.DUMMYFUNCTION("""COMPUTED_VALUE"""),"LSGW1750 RMP 2312120")</f>
        <v>LSGW1750 RMP 2312120</v>
      </c>
      <c r="U141" s="2" t="str">
        <f>IFERROR(__xludf.DUMMYFUNCTION("""COMPUTED_VALUE"""),"WDP40 RMP 2312036")</f>
        <v>WDP40 RMP 2312036</v>
      </c>
      <c r="V141" s="2" t="str">
        <f>IFERROR(__xludf.DUMMYFUNCTION("""COMPUTED_VALUE"""),"good")</f>
        <v>good</v>
      </c>
      <c r="W141" s="2" t="str">
        <f>IFERROR(__xludf.DUMMYFUNCTION("""COMPUTED_VALUE"""),"VL103D")</f>
        <v>VL103D</v>
      </c>
      <c r="X141" s="2">
        <f>IFERROR(__xludf.DUMMYFUNCTION("""COMPUTED_VALUE"""),8.69066060243376E14)</f>
        <v>869066060243376</v>
      </c>
      <c r="Y141" s="2">
        <f>IFERROR(__xludf.DUMMYFUNCTION("""COMPUTED_VALUE"""),9.691480747E9)</f>
        <v>9691480747</v>
      </c>
      <c r="Z141" s="2"/>
      <c r="AA141" s="2"/>
      <c r="AB141" s="2" t="str">
        <f>IFERROR(__xludf.DUMMYFUNCTION("""COMPUTED_VALUE"""),"greatestmanimasfa")</f>
        <v>greatestmanimasfa</v>
      </c>
    </row>
    <row r="142">
      <c r="A142" s="2" t="str">
        <f>IFERROR(__xludf.DUMMYFUNCTION("""COMPUTED_VALUE"""),"TT00140")</f>
        <v>TT00140</v>
      </c>
      <c r="B142" s="2" t="str">
        <f>IFERROR(__xludf.DUMMYFUNCTION("""COMPUTED_VALUE"""),"Completed")</f>
        <v>Completed</v>
      </c>
      <c r="C142" s="2" t="str">
        <f>IFERROR(__xludf.DUMMYFUNCTION("""COMPUTED_VALUE"""),"billed L3")</f>
        <v>billed L3</v>
      </c>
      <c r="D142" s="2" t="str">
        <f>IFERROR(__xludf.DUMMYFUNCTION("""COMPUTED_VALUE"""),"COMMUNITY SAVERS AGRICULTURE COOPERATIVE")</f>
        <v>COMMUNITY SAVERS AGRICULTURE COOPERATIVE</v>
      </c>
      <c r="E142" s="2" t="str">
        <f>IFERROR(__xludf.DUMMYFUNCTION("""COMPUTED_VALUE"""),"Banawang, Bagac, BATAAN")</f>
        <v>Banawang, Bagac, BATAAN</v>
      </c>
      <c r="F142" s="2" t="str">
        <f>IFERROR(__xludf.DUMMYFUNCTION("""COMPUTED_VALUE"""),"Emelita T. Quiroz")</f>
        <v>Emelita T. Quiroz</v>
      </c>
      <c r="G142" s="2" t="str">
        <f>IFERROR(__xludf.DUMMYFUNCTION("""COMPUTED_VALUE"""),"0912-765-3885")</f>
        <v>0912-765-3885</v>
      </c>
      <c r="H142" s="2"/>
      <c r="I142" s="2"/>
      <c r="J142" s="2"/>
      <c r="K142" s="2" t="str">
        <f>IFERROR(__xludf.DUMMYFUNCTION("""COMPUTED_VALUE"""),"RCEF 23-09-21 Rebidding")</f>
        <v>RCEF 23-09-21 Rebidding</v>
      </c>
      <c r="L142" s="2">
        <f>IFERROR(__xludf.DUMMYFUNCTION("""COMPUTED_VALUE"""),3.0)</f>
        <v>3</v>
      </c>
      <c r="M142" s="2">
        <f>IFERROR(__xludf.DUMMYFUNCTION("""COMPUTED_VALUE"""),3.0)</f>
        <v>3</v>
      </c>
      <c r="N142" s="74">
        <f>IFERROR(__xludf.DUMMYFUNCTION("""COMPUTED_VALUE"""),45307.0)</f>
        <v>45307</v>
      </c>
      <c r="O142" s="74">
        <f>IFERROR(__xludf.DUMMYFUNCTION("""COMPUTED_VALUE"""),45310.0)</f>
        <v>45310</v>
      </c>
      <c r="P142" s="2">
        <f>IFERROR(__xludf.DUMMYFUNCTION("""COMPUTED_VALUE"""),17876.0)</f>
        <v>17876</v>
      </c>
      <c r="Q142" s="2" t="str">
        <f>IFERROR(__xludf.DUMMYFUNCTION("""COMPUTED_VALUE"""),"KMC5825 AHPFPV0136")</f>
        <v>KMC5825 AHPFPV0136</v>
      </c>
      <c r="R142" s="2" t="str">
        <f>IFERROR(__xludf.DUMMYFUNCTION("""COMPUTED_VALUE"""),"PTS 100069")</f>
        <v>PTS 100069</v>
      </c>
      <c r="S142" s="2" t="str">
        <f>IFERROR(__xludf.DUMMYFUNCTION("""COMPUTED_VALUE"""),"R-SERIES 100 PH")</f>
        <v>R-SERIES 100 PH</v>
      </c>
      <c r="T142" s="2" t="str">
        <f>IFERROR(__xludf.DUMMYFUNCTION("""COMPUTED_VALUE"""),"LSGW1750 RMP 2312133")</f>
        <v>LSGW1750 RMP 2312133</v>
      </c>
      <c r="U142" s="2" t="str">
        <f>IFERROR(__xludf.DUMMYFUNCTION("""COMPUTED_VALUE"""),"WDP40 RMP 2312018")</f>
        <v>WDP40 RMP 2312018</v>
      </c>
      <c r="V142" s="2" t="str">
        <f>IFERROR(__xludf.DUMMYFUNCTION("""COMPUTED_VALUE"""),"good")</f>
        <v>good</v>
      </c>
      <c r="W142" s="2" t="str">
        <f>IFERROR(__xludf.DUMMYFUNCTION("""COMPUTED_VALUE"""),"VL103D")</f>
        <v>VL103D</v>
      </c>
      <c r="X142" s="2">
        <f>IFERROR(__xludf.DUMMYFUNCTION("""COMPUTED_VALUE"""),8.69066060245074E14)</f>
        <v>869066060245074</v>
      </c>
      <c r="Y142" s="2">
        <f>IFERROR(__xludf.DUMMYFUNCTION("""COMPUTED_VALUE"""),9.692953372E9)</f>
        <v>9692953372</v>
      </c>
      <c r="Z142" s="2"/>
      <c r="AA142" s="2"/>
      <c r="AB142" s="2" t="str">
        <f>IFERROR(__xludf.DUMMYFUNCTION("""COMPUTED_VALUE"""),"conmmunitysaversac")</f>
        <v>conmmunitysaversac</v>
      </c>
    </row>
    <row r="143">
      <c r="A143" s="2" t="str">
        <f>IFERROR(__xludf.DUMMYFUNCTION("""COMPUTED_VALUE"""),"TT00141")</f>
        <v>TT00141</v>
      </c>
      <c r="B143" s="2" t="str">
        <f>IFERROR(__xludf.DUMMYFUNCTION("""COMPUTED_VALUE"""),"Completed")</f>
        <v>Completed</v>
      </c>
      <c r="C143" s="2" t="str">
        <f>IFERROR(__xludf.DUMMYFUNCTION("""COMPUTED_VALUE"""),"billed L3")</f>
        <v>billed L3</v>
      </c>
      <c r="D143" s="2" t="str">
        <f>IFERROR(__xludf.DUMMYFUNCTION("""COMPUTED_VALUE"""),"GINTONG SAMAHAN NG MAGSASAKA NG PAGALANGGANG")</f>
        <v>GINTONG SAMAHAN NG MAGSASAKA NG PAGALANGGANG</v>
      </c>
      <c r="E143" s="2" t="str">
        <f>IFERROR(__xludf.DUMMYFUNCTION("""COMPUTED_VALUE"""),"Pagalanggang, Dinalupihan, BATAAN")</f>
        <v>Pagalanggang, Dinalupihan, BATAAN</v>
      </c>
      <c r="F143" s="2" t="str">
        <f>IFERROR(__xludf.DUMMYFUNCTION("""COMPUTED_VALUE"""),"Edgardo M. De Guzman")</f>
        <v>Edgardo M. De Guzman</v>
      </c>
      <c r="G143" s="2" t="str">
        <f>IFERROR(__xludf.DUMMYFUNCTION("""COMPUTED_VALUE"""),"0999-429-7657/ 0948-984-8571")</f>
        <v>0999-429-7657/ 0948-984-8571</v>
      </c>
      <c r="H143" s="2"/>
      <c r="I143" s="2"/>
      <c r="J143" s="2"/>
      <c r="K143" s="2" t="str">
        <f>IFERROR(__xludf.DUMMYFUNCTION("""COMPUTED_VALUE"""),"RCEF 23-09-21 Rebidding")</f>
        <v>RCEF 23-09-21 Rebidding</v>
      </c>
      <c r="L143" s="2">
        <f>IFERROR(__xludf.DUMMYFUNCTION("""COMPUTED_VALUE"""),3.0)</f>
        <v>3</v>
      </c>
      <c r="M143" s="2">
        <f>IFERROR(__xludf.DUMMYFUNCTION("""COMPUTED_VALUE"""),3.0)</f>
        <v>3</v>
      </c>
      <c r="N143" s="74">
        <f>IFERROR(__xludf.DUMMYFUNCTION("""COMPUTED_VALUE"""),45307.0)</f>
        <v>45307</v>
      </c>
      <c r="O143" s="74">
        <f>IFERROR(__xludf.DUMMYFUNCTION("""COMPUTED_VALUE"""),45310.0)</f>
        <v>45310</v>
      </c>
      <c r="P143" s="2">
        <f>IFERROR(__xludf.DUMMYFUNCTION("""COMPUTED_VALUE"""),17877.0)</f>
        <v>17877</v>
      </c>
      <c r="Q143" s="2" t="str">
        <f>IFERROR(__xludf.DUMMYFUNCTION("""COMPUTED_VALUE"""),"KMC5825 ACPFPV0107")</f>
        <v>KMC5825 ACPFPV0107</v>
      </c>
      <c r="R143" s="2" t="str">
        <f>IFERROR(__xludf.DUMMYFUNCTION("""COMPUTED_VALUE"""),"PTS 100047")</f>
        <v>PTS 100047</v>
      </c>
      <c r="S143" s="2" t="str">
        <f>IFERROR(__xludf.DUMMYFUNCTION("""COMPUTED_VALUE"""),"R-SERIES 080 PH")</f>
        <v>R-SERIES 080 PH</v>
      </c>
      <c r="T143" s="2" t="str">
        <f>IFERROR(__xludf.DUMMYFUNCTION("""COMPUTED_VALUE"""),"LSGW1750 RMP 2312105")</f>
        <v>LSGW1750 RMP 2312105</v>
      </c>
      <c r="U143" s="2" t="str">
        <f>IFERROR(__xludf.DUMMYFUNCTION("""COMPUTED_VALUE"""),"WDP40 RMP 2312028")</f>
        <v>WDP40 RMP 2312028</v>
      </c>
      <c r="V143" s="2" t="str">
        <f>IFERROR(__xludf.DUMMYFUNCTION("""COMPUTED_VALUE"""),"good")</f>
        <v>good</v>
      </c>
      <c r="W143" s="2" t="str">
        <f>IFERROR(__xludf.DUMMYFUNCTION("""COMPUTED_VALUE"""),"VL103D")</f>
        <v>VL103D</v>
      </c>
      <c r="X143" s="2">
        <f>IFERROR(__xludf.DUMMYFUNCTION("""COMPUTED_VALUE"""),8.690660602426E14)</f>
        <v>869066060242600</v>
      </c>
      <c r="Y143" s="2">
        <f>IFERROR(__xludf.DUMMYFUNCTION("""COMPUTED_VALUE"""),9.690484192E9)</f>
        <v>9690484192</v>
      </c>
      <c r="Z143" s="2"/>
      <c r="AA143" s="2"/>
      <c r="AB143" s="2" t="str">
        <f>IFERROR(__xludf.DUMMYFUNCTION("""COMPUTED_VALUE"""),"gintongpagalanggang")</f>
        <v>gintongpagalanggang</v>
      </c>
    </row>
    <row r="144">
      <c r="A144" s="2" t="str">
        <f>IFERROR(__xludf.DUMMYFUNCTION("""COMPUTED_VALUE"""),"TT00142")</f>
        <v>TT00142</v>
      </c>
      <c r="B144" s="2" t="str">
        <f>IFERROR(__xludf.DUMMYFUNCTION("""COMPUTED_VALUE"""),"Completed")</f>
        <v>Completed</v>
      </c>
      <c r="C144" s="2" t="str">
        <f>IFERROR(__xludf.DUMMYFUNCTION("""COMPUTED_VALUE"""),"FOR BILLING L9")</f>
        <v>FOR BILLING L9</v>
      </c>
      <c r="D144" s="2" t="str">
        <f>IFERROR(__xludf.DUMMYFUNCTION("""COMPUTED_VALUE"""),"SAMAHAN NG MAGSASAKA NG JC PAYUMO JR. DINALUPIHAN BATAAN")</f>
        <v>SAMAHAN NG MAGSASAKA NG JC PAYUMO JR. DINALUPIHAN BATAAN</v>
      </c>
      <c r="E144" s="2" t="str">
        <f>IFERROR(__xludf.DUMMYFUNCTION("""COMPUTED_VALUE"""),"""Jose C. Payumo Jr."", Dinalupihan, BATAAN")</f>
        <v>"Jose C. Payumo Jr.", Dinalupihan, BATAAN</v>
      </c>
      <c r="F144" s="2" t="str">
        <f>IFERROR(__xludf.DUMMYFUNCTION("""COMPUTED_VALUE"""),"Oliver F. Tan")</f>
        <v>Oliver F. Tan</v>
      </c>
      <c r="G144" s="2" t="str">
        <f>IFERROR(__xludf.DUMMYFUNCTION("""COMPUTED_VALUE"""),"0910-799-0931")</f>
        <v>0910-799-0931</v>
      </c>
      <c r="H144" s="2"/>
      <c r="I144" s="2"/>
      <c r="J144" s="2"/>
      <c r="K144" s="2" t="str">
        <f>IFERROR(__xludf.DUMMYFUNCTION("""COMPUTED_VALUE"""),"RCEF 23-09-21 Rebidding")</f>
        <v>RCEF 23-09-21 Rebidding</v>
      </c>
      <c r="L144" s="2">
        <f>IFERROR(__xludf.DUMMYFUNCTION("""COMPUTED_VALUE"""),9.0)</f>
        <v>9</v>
      </c>
      <c r="M144" s="2">
        <f>IFERROR(__xludf.DUMMYFUNCTION("""COMPUTED_VALUE"""),3.0)</f>
        <v>3</v>
      </c>
      <c r="N144" s="74">
        <f>IFERROR(__xludf.DUMMYFUNCTION("""COMPUTED_VALUE"""),45307.0)</f>
        <v>45307</v>
      </c>
      <c r="O144" s="74">
        <f>IFERROR(__xludf.DUMMYFUNCTION("""COMPUTED_VALUE"""),45310.0)</f>
        <v>45310</v>
      </c>
      <c r="P144" s="2">
        <f>IFERROR(__xludf.DUMMYFUNCTION("""COMPUTED_VALUE"""),17878.0)</f>
        <v>17878</v>
      </c>
      <c r="Q144" s="2" t="str">
        <f>IFERROR(__xludf.DUMMYFUNCTION("""COMPUTED_VALUE"""),"KMC5825 ACPFPV0096")</f>
        <v>KMC5825 ACPFPV0096</v>
      </c>
      <c r="R144" s="2" t="str">
        <f>IFERROR(__xludf.DUMMYFUNCTION("""COMPUTED_VALUE"""),"PTS 100091")</f>
        <v>PTS 100091</v>
      </c>
      <c r="S144" s="2" t="str">
        <f>IFERROR(__xludf.DUMMYFUNCTION("""COMPUTED_VALUE"""),"R-SERIES 077 PH")</f>
        <v>R-SERIES 077 PH</v>
      </c>
      <c r="T144" s="2" t="str">
        <f>IFERROR(__xludf.DUMMYFUNCTION("""COMPUTED_VALUE"""),"LSGW1750 RMP 2312102")</f>
        <v>LSGW1750 RMP 2312102</v>
      </c>
      <c r="U144" s="2" t="str">
        <f>IFERROR(__xludf.DUMMYFUNCTION("""COMPUTED_VALUE"""),"WDP40 RMP 2312005")</f>
        <v>WDP40 RMP 2312005</v>
      </c>
      <c r="V144" s="2" t="str">
        <f>IFERROR(__xludf.DUMMYFUNCTION("""COMPUTED_VALUE"""),"good")</f>
        <v>good</v>
      </c>
      <c r="W144" s="2" t="str">
        <f>IFERROR(__xludf.DUMMYFUNCTION("""COMPUTED_VALUE"""),"VL103D")</f>
        <v>VL103D</v>
      </c>
      <c r="X144" s="2">
        <f>IFERROR(__xludf.DUMMYFUNCTION("""COMPUTED_VALUE"""),8.69066060244804E14)</f>
        <v>869066060244804</v>
      </c>
      <c r="Y144" s="2">
        <f>IFERROR(__xludf.DUMMYFUNCTION("""COMPUTED_VALUE"""),9.692485374E9)</f>
        <v>9692485374</v>
      </c>
      <c r="Z144" s="2"/>
      <c r="AA144" s="2"/>
      <c r="AB144" s="2" t="str">
        <f>IFERROR(__xludf.DUMMYFUNCTION("""COMPUTED_VALUE"""),"jcpayumodinalupihan")</f>
        <v>jcpayumodinalupihan</v>
      </c>
    </row>
    <row r="145">
      <c r="A145" s="2" t="str">
        <f>IFERROR(__xludf.DUMMYFUNCTION("""COMPUTED_VALUE"""),"TT00143")</f>
        <v>TT00143</v>
      </c>
      <c r="B145" s="2" t="str">
        <f>IFERROR(__xludf.DUMMYFUNCTION("""COMPUTED_VALUE"""),"Completed")</f>
        <v>Completed</v>
      </c>
      <c r="C145" s="2" t="str">
        <f>IFERROR(__xludf.DUMMYFUNCTION("""COMPUTED_VALUE"""),"billed L3")</f>
        <v>billed L3</v>
      </c>
      <c r="D145" s="2" t="str">
        <f>IFERROR(__xludf.DUMMYFUNCTION("""COMPUTED_VALUE"""),"GOOD FARMERS AGRICULTURE COOPERATIVE")</f>
        <v>GOOD FARMERS AGRICULTURE COOPERATIVE</v>
      </c>
      <c r="E145" s="2" t="str">
        <f>IFERROR(__xludf.DUMMYFUNCTION("""COMPUTED_VALUE"""),"Santa Rita, Quezon, NUEVA ECIJA")</f>
        <v>Santa Rita, Quezon, NUEVA ECIJA</v>
      </c>
      <c r="F145" s="2" t="str">
        <f>IFERROR(__xludf.DUMMYFUNCTION("""COMPUTED_VALUE"""),"Narciso U. Julian")</f>
        <v>Narciso U. Julian</v>
      </c>
      <c r="G145" s="2" t="str">
        <f>IFERROR(__xludf.DUMMYFUNCTION("""COMPUTED_VALUE"""),"0907-114-2587")</f>
        <v>0907-114-2587</v>
      </c>
      <c r="H145" s="2"/>
      <c r="I145" s="2"/>
      <c r="J145" s="2"/>
      <c r="K145" s="2" t="str">
        <f>IFERROR(__xludf.DUMMYFUNCTION("""COMPUTED_VALUE"""),"RCEF 23-09-21 Rebidding")</f>
        <v>RCEF 23-09-21 Rebidding</v>
      </c>
      <c r="L145" s="2">
        <f>IFERROR(__xludf.DUMMYFUNCTION("""COMPUTED_VALUE"""),3.0)</f>
        <v>3</v>
      </c>
      <c r="M145" s="2">
        <f>IFERROR(__xludf.DUMMYFUNCTION("""COMPUTED_VALUE"""),3.0)</f>
        <v>3</v>
      </c>
      <c r="N145" s="74">
        <f>IFERROR(__xludf.DUMMYFUNCTION("""COMPUTED_VALUE"""),45307.0)</f>
        <v>45307</v>
      </c>
      <c r="O145" s="74">
        <f>IFERROR(__xludf.DUMMYFUNCTION("""COMPUTED_VALUE"""),45308.0)</f>
        <v>45308</v>
      </c>
      <c r="P145" s="2">
        <f>IFERROR(__xludf.DUMMYFUNCTION("""COMPUTED_VALUE"""),17879.0)</f>
        <v>17879</v>
      </c>
      <c r="Q145" s="2" t="str">
        <f>IFERROR(__xludf.DUMMYFUNCTION("""COMPUTED_VALUE"""),"KMC5825 AKPFPV0001")</f>
        <v>KMC5825 AKPFPV0001</v>
      </c>
      <c r="R145" s="2" t="str">
        <f>IFERROR(__xludf.DUMMYFUNCTION("""COMPUTED_VALUE"""),"PTS 100009")</f>
        <v>PTS 100009</v>
      </c>
      <c r="S145" s="2" t="str">
        <f>IFERROR(__xludf.DUMMYFUNCTION("""COMPUTED_VALUE"""),"R-SERIES 002 PH")</f>
        <v>R-SERIES 002 PH</v>
      </c>
      <c r="T145" s="2"/>
      <c r="U145" s="2"/>
      <c r="V145" s="2" t="str">
        <f>IFERROR(__xludf.DUMMYFUNCTION("""COMPUTED_VALUE"""),"good")</f>
        <v>good</v>
      </c>
      <c r="W145" s="2" t="str">
        <f>IFERROR(__xludf.DUMMYFUNCTION("""COMPUTED_VALUE"""),"VL103D")</f>
        <v>VL103D</v>
      </c>
      <c r="X145" s="2">
        <f>IFERROR(__xludf.DUMMYFUNCTION("""COMPUTED_VALUE"""),8.69066060244655E14)</f>
        <v>869066060244655</v>
      </c>
      <c r="Y145" s="2"/>
      <c r="Z145" s="2"/>
      <c r="AA145" s="2"/>
      <c r="AB145" s="2" t="str">
        <f>IFERROR(__xludf.DUMMYFUNCTION("""COMPUTED_VALUE"""),"goodfarmersac1")</f>
        <v>goodfarmersac1</v>
      </c>
    </row>
    <row r="146">
      <c r="A146" s="2" t="str">
        <f>IFERROR(__xludf.DUMMYFUNCTION("""COMPUTED_VALUE"""),"TT00144")</f>
        <v>TT00144</v>
      </c>
      <c r="B146" s="2" t="str">
        <f>IFERROR(__xludf.DUMMYFUNCTION("""COMPUTED_VALUE"""),"Completed")</f>
        <v>Completed</v>
      </c>
      <c r="C146" s="2" t="str">
        <f>IFERROR(__xludf.DUMMYFUNCTION("""COMPUTED_VALUE"""),"billed L3")</f>
        <v>billed L3</v>
      </c>
      <c r="D146" s="2" t="str">
        <f>IFERROR(__xludf.DUMMYFUNCTION("""COMPUTED_VALUE"""),"GOOD FARMERS AGRICULTURE COOPERATIVE")</f>
        <v>GOOD FARMERS AGRICULTURE COOPERATIVE</v>
      </c>
      <c r="E146" s="2" t="str">
        <f>IFERROR(__xludf.DUMMYFUNCTION("""COMPUTED_VALUE"""),"Santa Rita, Quezon, NUEVA ECIJA")</f>
        <v>Santa Rita, Quezon, NUEVA ECIJA</v>
      </c>
      <c r="F146" s="2" t="str">
        <f>IFERROR(__xludf.DUMMYFUNCTION("""COMPUTED_VALUE"""),"Narciso U. Julian")</f>
        <v>Narciso U. Julian</v>
      </c>
      <c r="G146" s="2" t="str">
        <f>IFERROR(__xludf.DUMMYFUNCTION("""COMPUTED_VALUE"""),"0907-114-2587")</f>
        <v>0907-114-2587</v>
      </c>
      <c r="H146" s="2"/>
      <c r="I146" s="2"/>
      <c r="J146" s="2"/>
      <c r="K146" s="2" t="str">
        <f>IFERROR(__xludf.DUMMYFUNCTION("""COMPUTED_VALUE"""),"RCEF 23-09-21 Rebidding")</f>
        <v>RCEF 23-09-21 Rebidding</v>
      </c>
      <c r="L146" s="2">
        <f>IFERROR(__xludf.DUMMYFUNCTION("""COMPUTED_VALUE"""),3.0)</f>
        <v>3</v>
      </c>
      <c r="M146" s="2">
        <f>IFERROR(__xludf.DUMMYFUNCTION("""COMPUTED_VALUE"""),3.0)</f>
        <v>3</v>
      </c>
      <c r="N146" s="74">
        <f>IFERROR(__xludf.DUMMYFUNCTION("""COMPUTED_VALUE"""),45307.0)</f>
        <v>45307</v>
      </c>
      <c r="O146" s="74">
        <f>IFERROR(__xludf.DUMMYFUNCTION("""COMPUTED_VALUE"""),45308.0)</f>
        <v>45308</v>
      </c>
      <c r="P146" s="2">
        <f>IFERROR(__xludf.DUMMYFUNCTION("""COMPUTED_VALUE"""),17880.0)</f>
        <v>17880</v>
      </c>
      <c r="Q146" s="2" t="str">
        <f>IFERROR(__xludf.DUMMYFUNCTION("""COMPUTED_VALUE"""),"KMC5825 AEPFPV0011")</f>
        <v>KMC5825 AEPFPV0011</v>
      </c>
      <c r="R146" s="2" t="str">
        <f>IFERROR(__xludf.DUMMYFUNCTION("""COMPUTED_VALUE"""),"PTS 100029")</f>
        <v>PTS 100029</v>
      </c>
      <c r="S146" s="2" t="str">
        <f>IFERROR(__xludf.DUMMYFUNCTION("""COMPUTED_VALUE"""),"R-SERIES 021 PH")</f>
        <v>R-SERIES 021 PH</v>
      </c>
      <c r="T146" s="2"/>
      <c r="U146" s="2"/>
      <c r="V146" s="2" t="str">
        <f>IFERROR(__xludf.DUMMYFUNCTION("""COMPUTED_VALUE"""),"good")</f>
        <v>good</v>
      </c>
      <c r="W146" s="2" t="str">
        <f>IFERROR(__xludf.DUMMYFUNCTION("""COMPUTED_VALUE"""),"VL103D")</f>
        <v>VL103D</v>
      </c>
      <c r="X146" s="2">
        <f>IFERROR(__xludf.DUMMYFUNCTION("""COMPUTED_VALUE"""),8.69066060238541E14)</f>
        <v>869066060238541</v>
      </c>
      <c r="Y146" s="2"/>
      <c r="Z146" s="2"/>
      <c r="AA146" s="2"/>
      <c r="AB146" s="2" t="str">
        <f>IFERROR(__xludf.DUMMYFUNCTION("""COMPUTED_VALUE"""),"goodfarmersac2")</f>
        <v>goodfarmersac2</v>
      </c>
    </row>
    <row r="147">
      <c r="A147" s="2" t="str">
        <f>IFERROR(__xludf.DUMMYFUNCTION("""COMPUTED_VALUE"""),"TT00145")</f>
        <v>TT00145</v>
      </c>
      <c r="B147" s="2" t="str">
        <f>IFERROR(__xludf.DUMMYFUNCTION("""COMPUTED_VALUE"""),"Completed")</f>
        <v>Completed</v>
      </c>
      <c r="C147" s="2" t="str">
        <f>IFERROR(__xludf.DUMMYFUNCTION("""COMPUTED_VALUE"""),"billed L3")</f>
        <v>billed L3</v>
      </c>
      <c r="D147" s="2" t="str">
        <f>IFERROR(__xludf.DUMMYFUNCTION("""COMPUTED_VALUE"""),"BARING SAN NICOLAS FARMERS ASSOCIATION")</f>
        <v>BARING SAN NICOLAS FARMERS ASSOCIATION</v>
      </c>
      <c r="E147" s="2" t="str">
        <f>IFERROR(__xludf.DUMMYFUNCTION("""COMPUTED_VALUE"""),"San Nicolas, Castillejos, ZAMBALES")</f>
        <v>San Nicolas, Castillejos, ZAMBALES</v>
      </c>
      <c r="F147" s="2" t="str">
        <f>IFERROR(__xludf.DUMMYFUNCTION("""COMPUTED_VALUE"""),"MILAGROS G. FREZADO")</f>
        <v>MILAGROS G. FREZADO</v>
      </c>
      <c r="G147" s="2" t="str">
        <f>IFERROR(__xludf.DUMMYFUNCTION("""COMPUTED_VALUE"""),"0909-968-7461")</f>
        <v>0909-968-7461</v>
      </c>
      <c r="H147" s="2"/>
      <c r="I147" s="2"/>
      <c r="J147" s="2"/>
      <c r="K147" s="2" t="str">
        <f>IFERROR(__xludf.DUMMYFUNCTION("""COMPUTED_VALUE"""),"RCEF 23-09-21 Rebidding")</f>
        <v>RCEF 23-09-21 Rebidding</v>
      </c>
      <c r="L147" s="2">
        <f>IFERROR(__xludf.DUMMYFUNCTION("""COMPUTED_VALUE"""),3.0)</f>
        <v>3</v>
      </c>
      <c r="M147" s="2">
        <f>IFERROR(__xludf.DUMMYFUNCTION("""COMPUTED_VALUE"""),3.0)</f>
        <v>3</v>
      </c>
      <c r="N147" s="74">
        <f>IFERROR(__xludf.DUMMYFUNCTION("""COMPUTED_VALUE"""),45313.0)</f>
        <v>45313</v>
      </c>
      <c r="O147" s="74">
        <f>IFERROR(__xludf.DUMMYFUNCTION("""COMPUTED_VALUE"""),45316.0)</f>
        <v>45316</v>
      </c>
      <c r="P147" s="2">
        <f>IFERROR(__xludf.DUMMYFUNCTION("""COMPUTED_VALUE"""),17962.0)</f>
        <v>17962</v>
      </c>
      <c r="Q147" s="2" t="str">
        <f>IFERROR(__xludf.DUMMYFUNCTION("""COMPUTED_VALUE"""),"KMC5825 AAPFPV0098")</f>
        <v>KMC5825 AAPFPV0098</v>
      </c>
      <c r="R147" s="2" t="str">
        <f>IFERROR(__xludf.DUMMYFUNCTION("""COMPUTED_VALUE"""),"PTS100074")</f>
        <v>PTS100074</v>
      </c>
      <c r="S147" s="2" t="str">
        <f>IFERROR(__xludf.DUMMYFUNCTION("""COMPUTED_VALUE"""),"R-SERIES 052 PH")</f>
        <v>R-SERIES 052 PH</v>
      </c>
      <c r="T147" s="2" t="str">
        <f>IFERROR(__xludf.DUMMYFUNCTION("""COMPUTED_VALUE"""),"LSGW1750 2312116")</f>
        <v>LSGW1750 2312116</v>
      </c>
      <c r="U147" s="2" t="str">
        <f>IFERROR(__xludf.DUMMYFUNCTION("""COMPUTED_VALUE"""),"WDP40 RMP 2312126")</f>
        <v>WDP40 RMP 2312126</v>
      </c>
      <c r="V147" s="2" t="str">
        <f>IFERROR(__xludf.DUMMYFUNCTION("""COMPUTED_VALUE"""),"no load")</f>
        <v>no load</v>
      </c>
      <c r="W147" s="2" t="str">
        <f>IFERROR(__xludf.DUMMYFUNCTION("""COMPUTED_VALUE"""),"VL103D")</f>
        <v>VL103D</v>
      </c>
      <c r="X147" s="2" t="str">
        <f>IFERROR(__xludf.DUMMYFUNCTION("""COMPUTED_VALUE"""),"869066060237303 (E)")</f>
        <v>869066060237303 (E)</v>
      </c>
      <c r="Y147" s="2">
        <f>IFERROR(__xludf.DUMMYFUNCTION("""COMPUTED_VALUE"""),9.08673495E9)</f>
        <v>9086734950</v>
      </c>
      <c r="Z147" s="3" t="str">
        <f>IFERROR(__xludf.DUMMYFUNCTION("""COMPUTED_VALUE"""),"0323250006120934")</f>
        <v>0323250006120934</v>
      </c>
      <c r="AA147" s="2"/>
      <c r="AB147" s="2" t="str">
        <f>IFERROR(__xludf.DUMMYFUNCTION("""COMPUTED_VALUE"""),"baringsannicolasfa")</f>
        <v>baringsannicolasfa</v>
      </c>
    </row>
    <row r="148">
      <c r="A148" s="2" t="str">
        <f>IFERROR(__xludf.DUMMYFUNCTION("""COMPUTED_VALUE"""),"TT00146")</f>
        <v>TT00146</v>
      </c>
      <c r="B148" s="2" t="str">
        <f>IFERROR(__xludf.DUMMYFUNCTION("""COMPUTED_VALUE"""),"Completed")</f>
        <v>Completed</v>
      </c>
      <c r="C148" s="2" t="str">
        <f>IFERROR(__xludf.DUMMYFUNCTION("""COMPUTED_VALUE"""),"billed L3")</f>
        <v>billed L3</v>
      </c>
      <c r="D148" s="2" t="str">
        <f>IFERROR(__xludf.DUMMYFUNCTION("""COMPUTED_VALUE"""),"LIOZON FISHERFOLKS AND FARMERS' ASSOCIATION")</f>
        <v>LIOZON FISHERFOLKS AND FARMERS' ASSOCIATION</v>
      </c>
      <c r="E148" s="2" t="str">
        <f>IFERROR(__xludf.DUMMYFUNCTION("""COMPUTED_VALUE"""),"Liozon, Palauig, ZAMBALES")</f>
        <v>Liozon, Palauig, ZAMBALES</v>
      </c>
      <c r="F148" s="2" t="str">
        <f>IFERROR(__xludf.DUMMYFUNCTION("""COMPUTED_VALUE"""),"Rene A. Alves")</f>
        <v>Rene A. Alves</v>
      </c>
      <c r="G148" s="2" t="str">
        <f>IFERROR(__xludf.DUMMYFUNCTION("""COMPUTED_VALUE"""),"0950-245-4865")</f>
        <v>0950-245-4865</v>
      </c>
      <c r="H148" s="2"/>
      <c r="I148" s="2"/>
      <c r="J148" s="2"/>
      <c r="K148" s="2" t="str">
        <f>IFERROR(__xludf.DUMMYFUNCTION("""COMPUTED_VALUE"""),"RCEF 23-09-21 Rebidding")</f>
        <v>RCEF 23-09-21 Rebidding</v>
      </c>
      <c r="L148" s="2">
        <f>IFERROR(__xludf.DUMMYFUNCTION("""COMPUTED_VALUE"""),3.0)</f>
        <v>3</v>
      </c>
      <c r="M148" s="2">
        <f>IFERROR(__xludf.DUMMYFUNCTION("""COMPUTED_VALUE"""),3.0)</f>
        <v>3</v>
      </c>
      <c r="N148" s="74">
        <f>IFERROR(__xludf.DUMMYFUNCTION("""COMPUTED_VALUE"""),45313.0)</f>
        <v>45313</v>
      </c>
      <c r="O148" s="74">
        <f>IFERROR(__xludf.DUMMYFUNCTION("""COMPUTED_VALUE"""),45316.0)</f>
        <v>45316</v>
      </c>
      <c r="P148" s="2">
        <f>IFERROR(__xludf.DUMMYFUNCTION("""COMPUTED_VALUE"""),17962.0)</f>
        <v>17962</v>
      </c>
      <c r="Q148" s="2" t="str">
        <f>IFERROR(__xludf.DUMMYFUNCTION("""COMPUTED_VALUE"""),"KMC5825 AVPFPV0150")</f>
        <v>KMC5825 AVPFPV0150</v>
      </c>
      <c r="R148" s="2" t="str">
        <f>IFERROR(__xludf.DUMMYFUNCTION("""COMPUTED_VALUE"""),"PTS 100143")</f>
        <v>PTS 100143</v>
      </c>
      <c r="S148" s="2" t="str">
        <f>IFERROR(__xludf.DUMMYFUNCTION("""COMPUTED_VALUE"""),"R-SERIES 064 PH")</f>
        <v>R-SERIES 064 PH</v>
      </c>
      <c r="T148" s="2" t="str">
        <f>IFERROR(__xludf.DUMMYFUNCTION("""COMPUTED_VALUE"""),"LSGW1750 2312129")</f>
        <v>LSGW1750 2312129</v>
      </c>
      <c r="U148" s="2" t="str">
        <f>IFERROR(__xludf.DUMMYFUNCTION("""COMPUTED_VALUE"""),"WDP40 RMP 2312143")</f>
        <v>WDP40 RMP 2312143</v>
      </c>
      <c r="V148" s="2" t="str">
        <f>IFERROR(__xludf.DUMMYFUNCTION("""COMPUTED_VALUE"""),"no load")</f>
        <v>no load</v>
      </c>
      <c r="W148" s="2" t="str">
        <f>IFERROR(__xludf.DUMMYFUNCTION("""COMPUTED_VALUE"""),"VL103D")</f>
        <v>VL103D</v>
      </c>
      <c r="X148" s="2" t="str">
        <f>IFERROR(__xludf.DUMMYFUNCTION("""COMPUTED_VALUE"""),"869066060243012 (E)")</f>
        <v>869066060243012 (E)</v>
      </c>
      <c r="Y148" s="2">
        <f>IFERROR(__xludf.DUMMYFUNCTION("""COMPUTED_VALUE"""),9.085671649E9)</f>
        <v>9085671649</v>
      </c>
      <c r="Z148" s="3" t="str">
        <f>IFERROR(__xludf.DUMMYFUNCTION("""COMPUTED_VALUE"""),"0323250006120918")</f>
        <v>0323250006120918</v>
      </c>
      <c r="AA148" s="2"/>
      <c r="AB148" s="2" t="str">
        <f>IFERROR(__xludf.DUMMYFUNCTION("""COMPUTED_VALUE"""),"liozonffa")</f>
        <v>liozonffa</v>
      </c>
    </row>
    <row r="149">
      <c r="A149" s="2" t="str">
        <f>IFERROR(__xludf.DUMMYFUNCTION("""COMPUTED_VALUE"""),"TT00147")</f>
        <v>TT00147</v>
      </c>
      <c r="B149" s="2" t="str">
        <f>IFERROR(__xludf.DUMMYFUNCTION("""COMPUTED_VALUE"""),"Completed")</f>
        <v>Completed</v>
      </c>
      <c r="C149" s="2" t="str">
        <f>IFERROR(__xludf.DUMMYFUNCTION("""COMPUTED_VALUE"""),"billed L3")</f>
        <v>billed L3</v>
      </c>
      <c r="D149" s="2" t="str">
        <f>IFERROR(__xludf.DUMMYFUNCTION("""COMPUTED_VALUE"""),"BURGOS, LUNA, SAN JUAN(BLSJ) IRRIGATORS ASSOCIATION INC.")</f>
        <v>BURGOS, LUNA, SAN JUAN(BLSJ) IRRIGATORS ASSOCIATION INC.</v>
      </c>
      <c r="E149" s="2" t="str">
        <f>IFERROR(__xludf.DUMMYFUNCTION("""COMPUTED_VALUE"""),"Luna (Pob.), San Antonio, ZAMBALES")</f>
        <v>Luna (Pob.), San Antonio, ZAMBALES</v>
      </c>
      <c r="F149" s="2" t="str">
        <f>IFERROR(__xludf.DUMMYFUNCTION("""COMPUTED_VALUE"""),"Juanito D. Reolizo")</f>
        <v>Juanito D. Reolizo</v>
      </c>
      <c r="G149" s="2" t="str">
        <f>IFERROR(__xludf.DUMMYFUNCTION("""COMPUTED_VALUE"""),"0919-312-3031")</f>
        <v>0919-312-3031</v>
      </c>
      <c r="H149" s="2"/>
      <c r="I149" s="2"/>
      <c r="J149" s="2"/>
      <c r="K149" s="2" t="str">
        <f>IFERROR(__xludf.DUMMYFUNCTION("""COMPUTED_VALUE"""),"RCEF 23-09-21 Rebidding")</f>
        <v>RCEF 23-09-21 Rebidding</v>
      </c>
      <c r="L149" s="2">
        <f>IFERROR(__xludf.DUMMYFUNCTION("""COMPUTED_VALUE"""),3.0)</f>
        <v>3</v>
      </c>
      <c r="M149" s="2">
        <f>IFERROR(__xludf.DUMMYFUNCTION("""COMPUTED_VALUE"""),3.0)</f>
        <v>3</v>
      </c>
      <c r="N149" s="74">
        <f>IFERROR(__xludf.DUMMYFUNCTION("""COMPUTED_VALUE"""),45313.0)</f>
        <v>45313</v>
      </c>
      <c r="O149" s="74">
        <f>IFERROR(__xludf.DUMMYFUNCTION("""COMPUTED_VALUE"""),45316.0)</f>
        <v>45316</v>
      </c>
      <c r="P149" s="2">
        <f>IFERROR(__xludf.DUMMYFUNCTION("""COMPUTED_VALUE"""),17963.0)</f>
        <v>17963</v>
      </c>
      <c r="Q149" s="2" t="str">
        <f>IFERROR(__xludf.DUMMYFUNCTION("""COMPUTED_VALUE"""),"KMC5825 AVPFPV0083")</f>
        <v>KMC5825 AVPFPV0083</v>
      </c>
      <c r="R149" s="2" t="str">
        <f>IFERROR(__xludf.DUMMYFUNCTION("""COMPUTED_VALUE"""),"PTS 100085")</f>
        <v>PTS 100085</v>
      </c>
      <c r="S149" s="2" t="str">
        <f>IFERROR(__xludf.DUMMYFUNCTION("""COMPUTED_VALUE"""),"R-SERIES 050 PH")</f>
        <v>R-SERIES 050 PH</v>
      </c>
      <c r="T149" s="2" t="str">
        <f>IFERROR(__xludf.DUMMYFUNCTION("""COMPUTED_VALUE"""),"LSGW1750 2312132")</f>
        <v>LSGW1750 2312132</v>
      </c>
      <c r="U149" s="2" t="str">
        <f>IFERROR(__xludf.DUMMYFUNCTION("""COMPUTED_VALUE"""),"WDP40 RMP 2312140")</f>
        <v>WDP40 RMP 2312140</v>
      </c>
      <c r="V149" s="2" t="str">
        <f>IFERROR(__xludf.DUMMYFUNCTION("""COMPUTED_VALUE"""),"no load")</f>
        <v>no load</v>
      </c>
      <c r="W149" s="2" t="str">
        <f>IFERROR(__xludf.DUMMYFUNCTION("""COMPUTED_VALUE"""),"VL103D")</f>
        <v>VL103D</v>
      </c>
      <c r="X149" s="2" t="str">
        <f>IFERROR(__xludf.DUMMYFUNCTION("""COMPUTED_VALUE"""),"869066060243681 (E)")</f>
        <v>869066060243681 (E)</v>
      </c>
      <c r="Y149" s="2">
        <f>IFERROR(__xludf.DUMMYFUNCTION("""COMPUTED_VALUE"""),9.086798302E9)</f>
        <v>9086798302</v>
      </c>
      <c r="Z149" s="3" t="str">
        <f>IFERROR(__xludf.DUMMYFUNCTION("""COMPUTED_VALUE"""),"0323250006120942")</f>
        <v>0323250006120942</v>
      </c>
      <c r="AA149" s="2"/>
      <c r="AB149" s="2" t="str">
        <f>IFERROR(__xludf.DUMMYFUNCTION("""COMPUTED_VALUE"""),"blsjirrig")</f>
        <v>blsjirrig</v>
      </c>
    </row>
    <row r="150">
      <c r="A150" s="2" t="str">
        <f>IFERROR(__xludf.DUMMYFUNCTION("""COMPUTED_VALUE"""),"TT00148")</f>
        <v>TT00148</v>
      </c>
      <c r="B150" s="2" t="str">
        <f>IFERROR(__xludf.DUMMYFUNCTION("""COMPUTED_VALUE"""),"Completed")</f>
        <v>Completed</v>
      </c>
      <c r="C150" s="2" t="str">
        <f>IFERROR(__xludf.DUMMYFUNCTION("""COMPUTED_VALUE"""),"billed L3")</f>
        <v>billed L3</v>
      </c>
      <c r="D150" s="2" t="str">
        <f>IFERROR(__xludf.DUMMYFUNCTION("""COMPUTED_VALUE"""),"Guinabon Multipurpose Cooperative,Inc.")</f>
        <v>Guinabon Multipurpose Cooperative,Inc.</v>
      </c>
      <c r="E150" s="2" t="str">
        <f>IFERROR(__xludf.DUMMYFUNCTION("""COMPUTED_VALUE"""),"Guinabon, Santa Cruz, ZAMBALES")</f>
        <v>Guinabon, Santa Cruz, ZAMBALES</v>
      </c>
      <c r="F150" s="2" t="str">
        <f>IFERROR(__xludf.DUMMYFUNCTION("""COMPUTED_VALUE"""),"Margie M. Alota")</f>
        <v>Margie M. Alota</v>
      </c>
      <c r="G150" s="2" t="str">
        <f>IFERROR(__xludf.DUMMYFUNCTION("""COMPUTED_VALUE"""),"0910-693-3876")</f>
        <v>0910-693-3876</v>
      </c>
      <c r="H150" s="2"/>
      <c r="I150" s="2"/>
      <c r="J150" s="2"/>
      <c r="K150" s="2" t="str">
        <f>IFERROR(__xludf.DUMMYFUNCTION("""COMPUTED_VALUE"""),"RCEF 23-09-21 Rebidding")</f>
        <v>RCEF 23-09-21 Rebidding</v>
      </c>
      <c r="L150" s="2">
        <f>IFERROR(__xludf.DUMMYFUNCTION("""COMPUTED_VALUE"""),3.0)</f>
        <v>3</v>
      </c>
      <c r="M150" s="2">
        <f>IFERROR(__xludf.DUMMYFUNCTION("""COMPUTED_VALUE"""),3.0)</f>
        <v>3</v>
      </c>
      <c r="N150" s="74">
        <f>IFERROR(__xludf.DUMMYFUNCTION("""COMPUTED_VALUE"""),45313.0)</f>
        <v>45313</v>
      </c>
      <c r="O150" s="74">
        <f>IFERROR(__xludf.DUMMYFUNCTION("""COMPUTED_VALUE"""),45316.0)</f>
        <v>45316</v>
      </c>
      <c r="P150" s="2">
        <f>IFERROR(__xludf.DUMMYFUNCTION("""COMPUTED_VALUE"""),17964.0)</f>
        <v>17964</v>
      </c>
      <c r="Q150" s="2" t="str">
        <f>IFERROR(__xludf.DUMMYFUNCTION("""COMPUTED_VALUE"""),"KMC5825 AKPFPV0063")</f>
        <v>KMC5825 AKPFPV0063</v>
      </c>
      <c r="R150" s="2" t="str">
        <f>IFERROR(__xludf.DUMMYFUNCTION("""COMPUTED_VALUE"""),"PTS 100141")</f>
        <v>PTS 100141</v>
      </c>
      <c r="S150" s="2" t="str">
        <f>IFERROR(__xludf.DUMMYFUNCTION("""COMPUTED_VALUE"""),"R-SERIES 027 PH")</f>
        <v>R-SERIES 027 PH</v>
      </c>
      <c r="T150" s="2" t="str">
        <f>IFERROR(__xludf.DUMMYFUNCTION("""COMPUTED_VALUE"""),"LSGW1750 2312124")</f>
        <v>LSGW1750 2312124</v>
      </c>
      <c r="U150" s="2" t="str">
        <f>IFERROR(__xludf.DUMMYFUNCTION("""COMPUTED_VALUE"""),"WDP40 RMP 2312027")</f>
        <v>WDP40 RMP 2312027</v>
      </c>
      <c r="V150" s="2" t="str">
        <f>IFERROR(__xludf.DUMMYFUNCTION("""COMPUTED_VALUE"""),"no load")</f>
        <v>no load</v>
      </c>
      <c r="W150" s="2" t="str">
        <f>IFERROR(__xludf.DUMMYFUNCTION("""COMPUTED_VALUE"""),"VL103D")</f>
        <v>VL103D</v>
      </c>
      <c r="X150" s="2" t="str">
        <f>IFERROR(__xludf.DUMMYFUNCTION("""COMPUTED_VALUE"""),"869066060241784 (E)")</f>
        <v>869066060241784 (E)</v>
      </c>
      <c r="Y150" s="2">
        <f>IFERROR(__xludf.DUMMYFUNCTION("""COMPUTED_VALUE"""),9.083151604E9)</f>
        <v>9083151604</v>
      </c>
      <c r="Z150" s="3" t="str">
        <f>IFERROR(__xludf.DUMMYFUNCTION("""COMPUTED_VALUE"""),"0323250006122609")</f>
        <v>0323250006122609</v>
      </c>
      <c r="AA150" s="2"/>
      <c r="AB150" s="2" t="str">
        <f>IFERROR(__xludf.DUMMYFUNCTION("""COMPUTED_VALUE"""),"guinabonmpc")</f>
        <v>guinabonmpc</v>
      </c>
    </row>
    <row r="151">
      <c r="A151" s="2" t="str">
        <f>IFERROR(__xludf.DUMMYFUNCTION("""COMPUTED_VALUE"""),"TT00149")</f>
        <v>TT00149</v>
      </c>
      <c r="B151" s="2" t="str">
        <f>IFERROR(__xludf.DUMMYFUNCTION("""COMPUTED_VALUE"""),"Completed")</f>
        <v>Completed</v>
      </c>
      <c r="C151" s="2" t="str">
        <f>IFERROR(__xludf.DUMMYFUNCTION("""COMPUTED_VALUE"""),"FOR BILLING L9")</f>
        <v>FOR BILLING L9</v>
      </c>
      <c r="D151" s="2" t="str">
        <f>IFERROR(__xludf.DUMMYFUNCTION("""COMPUTED_VALUE"""),"MASAGANANG BUKIRIN FARMERS ASSOCIATION")</f>
        <v>MASAGANANG BUKIRIN FARMERS ASSOCIATION</v>
      </c>
      <c r="E151" s="2" t="str">
        <f>IFERROR(__xludf.DUMMYFUNCTION("""COMPUTED_VALUE"""),"La Paz (Pob.), San Marcelino, ZAMBALES")</f>
        <v>La Paz (Pob.), San Marcelino, ZAMBALES</v>
      </c>
      <c r="F151" s="2" t="str">
        <f>IFERROR(__xludf.DUMMYFUNCTION("""COMPUTED_VALUE"""),"Albert B. Mendoza")</f>
        <v>Albert B. Mendoza</v>
      </c>
      <c r="G151" s="2" t="str">
        <f>IFERROR(__xludf.DUMMYFUNCTION("""COMPUTED_VALUE"""),"0938-723-3680")</f>
        <v>0938-723-3680</v>
      </c>
      <c r="H151" s="2"/>
      <c r="I151" s="2"/>
      <c r="J151" s="2"/>
      <c r="K151" s="2" t="str">
        <f>IFERROR(__xludf.DUMMYFUNCTION("""COMPUTED_VALUE"""),"RCEF 23-09-21 Rebidding")</f>
        <v>RCEF 23-09-21 Rebidding</v>
      </c>
      <c r="L151" s="2">
        <f>IFERROR(__xludf.DUMMYFUNCTION("""COMPUTED_VALUE"""),9.0)</f>
        <v>9</v>
      </c>
      <c r="M151" s="2">
        <f>IFERROR(__xludf.DUMMYFUNCTION("""COMPUTED_VALUE"""),3.0)</f>
        <v>3</v>
      </c>
      <c r="N151" s="74">
        <f>IFERROR(__xludf.DUMMYFUNCTION("""COMPUTED_VALUE"""),45313.0)</f>
        <v>45313</v>
      </c>
      <c r="O151" s="74">
        <f>IFERROR(__xludf.DUMMYFUNCTION("""COMPUTED_VALUE"""),45317.0)</f>
        <v>45317</v>
      </c>
      <c r="P151" s="2">
        <f>IFERROR(__xludf.DUMMYFUNCTION("""COMPUTED_VALUE"""),17965.0)</f>
        <v>17965</v>
      </c>
      <c r="Q151" s="2" t="str">
        <f>IFERROR(__xludf.DUMMYFUNCTION("""COMPUTED_VALUE"""),"KMC5825 ACPFPV0048")</f>
        <v>KMC5825 ACPFPV0048</v>
      </c>
      <c r="R151" s="2" t="str">
        <f>IFERROR(__xludf.DUMMYFUNCTION("""COMPUTED_VALUE"""),"PTS 100128")</f>
        <v>PTS 100128</v>
      </c>
      <c r="S151" s="2" t="str">
        <f>IFERROR(__xludf.DUMMYFUNCTION("""COMPUTED_VALUE"""),"R-SERIES 073 PH")</f>
        <v>R-SERIES 073 PH</v>
      </c>
      <c r="T151" s="2" t="str">
        <f>IFERROR(__xludf.DUMMYFUNCTION("""COMPUTED_VALUE"""),"LSGW1750 2312115")</f>
        <v>LSGW1750 2312115</v>
      </c>
      <c r="U151" s="2" t="str">
        <f>IFERROR(__xludf.DUMMYFUNCTION("""COMPUTED_VALUE"""),"WDP40 RMP 2312025")</f>
        <v>WDP40 RMP 2312025</v>
      </c>
      <c r="V151" s="2" t="str">
        <f>IFERROR(__xludf.DUMMYFUNCTION("""COMPUTED_VALUE"""),"no load")</f>
        <v>no load</v>
      </c>
      <c r="W151" s="2" t="str">
        <f>IFERROR(__xludf.DUMMYFUNCTION("""COMPUTED_VALUE"""),"VL103D")</f>
        <v>VL103D</v>
      </c>
      <c r="X151" s="2" t="str">
        <f>IFERROR(__xludf.DUMMYFUNCTION("""COMPUTED_VALUE"""),"869066060243582 (E)")</f>
        <v>869066060243582 (E)</v>
      </c>
      <c r="Y151" s="2">
        <f>IFERROR(__xludf.DUMMYFUNCTION("""COMPUTED_VALUE"""),9.086634995E9)</f>
        <v>9086634995</v>
      </c>
      <c r="Z151" s="3" t="str">
        <f>IFERROR(__xludf.DUMMYFUNCTION("""COMPUTED_VALUE"""),"0323250006120959")</f>
        <v>0323250006120959</v>
      </c>
      <c r="AA151" s="2"/>
      <c r="AB151" s="2" t="str">
        <f>IFERROR(__xludf.DUMMYFUNCTION("""COMPUTED_VALUE"""),"masaganangbukirinfa")</f>
        <v>masaganangbukirinfa</v>
      </c>
    </row>
    <row r="152">
      <c r="A152" s="2" t="str">
        <f>IFERROR(__xludf.DUMMYFUNCTION("""COMPUTED_VALUE"""),"TT00150")</f>
        <v>TT00150</v>
      </c>
      <c r="B152" s="2" t="str">
        <f>IFERROR(__xludf.DUMMYFUNCTION("""COMPUTED_VALUE"""),"Completed")</f>
        <v>Completed</v>
      </c>
      <c r="C152" s="2" t="str">
        <f>IFERROR(__xludf.DUMMYFUNCTION("""COMPUTED_VALUE"""),"FOR BILLING L9")</f>
        <v>FOR BILLING L9</v>
      </c>
      <c r="D152" s="2" t="str">
        <f>IFERROR(__xludf.DUMMYFUNCTION("""COMPUTED_VALUE"""),"MAGSASAKA NG BAGONG HENERASYON NG BARANGAY SIMMINUBLAN (MBHBS)")</f>
        <v>MAGSASAKA NG BAGONG HENERASYON NG BARANGAY SIMMINUBLAN (MBHBS)</v>
      </c>
      <c r="E152" s="2" t="str">
        <f>IFERROR(__xludf.DUMMYFUNCTION("""COMPUTED_VALUE"""),"Siminublan, San Narciso, ZAMBALES")</f>
        <v>Siminublan, San Narciso, ZAMBALES</v>
      </c>
      <c r="F152" s="2" t="str">
        <f>IFERROR(__xludf.DUMMYFUNCTION("""COMPUTED_VALUE"""),"Wilfredo G. Aleta")</f>
        <v>Wilfredo G. Aleta</v>
      </c>
      <c r="G152" s="2" t="str">
        <f>IFERROR(__xludf.DUMMYFUNCTION("""COMPUTED_VALUE"""),"0910-072-4561")</f>
        <v>0910-072-4561</v>
      </c>
      <c r="H152" s="2"/>
      <c r="I152" s="2"/>
      <c r="J152" s="2"/>
      <c r="K152" s="2" t="str">
        <f>IFERROR(__xludf.DUMMYFUNCTION("""COMPUTED_VALUE"""),"RCEF 23-09-21 Rebidding")</f>
        <v>RCEF 23-09-21 Rebidding</v>
      </c>
      <c r="L152" s="2">
        <f>IFERROR(__xludf.DUMMYFUNCTION("""COMPUTED_VALUE"""),9.0)</f>
        <v>9</v>
      </c>
      <c r="M152" s="2">
        <f>IFERROR(__xludf.DUMMYFUNCTION("""COMPUTED_VALUE"""),3.0)</f>
        <v>3</v>
      </c>
      <c r="N152" s="74">
        <f>IFERROR(__xludf.DUMMYFUNCTION("""COMPUTED_VALUE"""),45313.0)</f>
        <v>45313</v>
      </c>
      <c r="O152" s="74">
        <f>IFERROR(__xludf.DUMMYFUNCTION("""COMPUTED_VALUE"""),45317.0)</f>
        <v>45317</v>
      </c>
      <c r="P152" s="2">
        <f>IFERROR(__xludf.DUMMYFUNCTION("""COMPUTED_VALUE"""),17966.0)</f>
        <v>17966</v>
      </c>
      <c r="Q152" s="2" t="str">
        <f>IFERROR(__xludf.DUMMYFUNCTION("""COMPUTED_VALUE"""),"KMC5825 ACPFPV0091")</f>
        <v>KMC5825 ACPFPV0091</v>
      </c>
      <c r="R152" s="2" t="str">
        <f>IFERROR(__xludf.DUMMYFUNCTION("""COMPUTED_VALUE"""),"PTS 100056")</f>
        <v>PTS 100056</v>
      </c>
      <c r="S152" s="2" t="str">
        <f>IFERROR(__xludf.DUMMYFUNCTION("""COMPUTED_VALUE"""),"R-SERIES 059 PH")</f>
        <v>R-SERIES 059 PH</v>
      </c>
      <c r="T152" s="2" t="str">
        <f>IFERROR(__xludf.DUMMYFUNCTION("""COMPUTED_VALUE"""),"LSGW1750 2312123")</f>
        <v>LSGW1750 2312123</v>
      </c>
      <c r="U152" s="2" t="str">
        <f>IFERROR(__xludf.DUMMYFUNCTION("""COMPUTED_VALUE"""),"WDP40 RMP 2312026")</f>
        <v>WDP40 RMP 2312026</v>
      </c>
      <c r="V152" s="2" t="str">
        <f>IFERROR(__xludf.DUMMYFUNCTION("""COMPUTED_VALUE"""),"no load")</f>
        <v>no load</v>
      </c>
      <c r="W152" s="2" t="str">
        <f>IFERROR(__xludf.DUMMYFUNCTION("""COMPUTED_VALUE"""),"VL103D")</f>
        <v>VL103D</v>
      </c>
      <c r="X152" s="2" t="str">
        <f>IFERROR(__xludf.DUMMYFUNCTION("""COMPUTED_VALUE"""),"869066060243905 (E)")</f>
        <v>869066060243905 (E)</v>
      </c>
      <c r="Y152" s="2">
        <f>IFERROR(__xludf.DUMMYFUNCTION("""COMPUTED_VALUE"""),9.082949354E9)</f>
        <v>9082949354</v>
      </c>
      <c r="Z152" s="3" t="str">
        <f>IFERROR(__xludf.DUMMYFUNCTION("""COMPUTED_VALUE"""),"0323250006122906")</f>
        <v>0323250006122906</v>
      </c>
      <c r="AA152" s="2"/>
      <c r="AB152" s="2" t="str">
        <f>IFERROR(__xludf.DUMMYFUNCTION("""COMPUTED_VALUE"""),"mbhbs")</f>
        <v>mbhbs</v>
      </c>
    </row>
    <row r="153">
      <c r="A153" s="2" t="str">
        <f>IFERROR(__xludf.DUMMYFUNCTION("""COMPUTED_VALUE"""),"TT00151")</f>
        <v>TT00151</v>
      </c>
      <c r="B153" s="2" t="str">
        <f>IFERROR(__xludf.DUMMYFUNCTION("""COMPUTED_VALUE"""),"Completed")</f>
        <v>Completed</v>
      </c>
      <c r="C153" s="2" t="str">
        <f>IFERROR(__xludf.DUMMYFUNCTION("""COMPUTED_VALUE"""),"FOR BILLING L9")</f>
        <v>FOR BILLING L9</v>
      </c>
      <c r="D153" s="2" t="str">
        <f>IFERROR(__xludf.DUMMYFUNCTION("""COMPUTED_VALUE"""),"Bangag Nanappatan Agriculture Cooperative")</f>
        <v>Bangag Nanappatan Agriculture Cooperative</v>
      </c>
      <c r="E153" s="2" t="str">
        <f>IFERROR(__xludf.DUMMYFUNCTION("""COMPUTED_VALUE"""),"Bangag, Aparri, CAGAYAN")</f>
        <v>Bangag, Aparri, CAGAYAN</v>
      </c>
      <c r="F153" s="2" t="str">
        <f>IFERROR(__xludf.DUMMYFUNCTION("""COMPUTED_VALUE"""),"Ofelia R. Garbin")</f>
        <v>Ofelia R. Garbin</v>
      </c>
      <c r="G153" s="2" t="str">
        <f>IFERROR(__xludf.DUMMYFUNCTION("""COMPUTED_VALUE"""),"09173973459/09616168190")</f>
        <v>09173973459/09616168190</v>
      </c>
      <c r="H153" s="2"/>
      <c r="I153" s="2"/>
      <c r="J153" s="2"/>
      <c r="K153" s="2" t="str">
        <f>IFERROR(__xludf.DUMMYFUNCTION("""COMPUTED_VALUE"""),"RCEF 23-09-21 Rebidding")</f>
        <v>RCEF 23-09-21 Rebidding</v>
      </c>
      <c r="L153" s="2">
        <f>IFERROR(__xludf.DUMMYFUNCTION("""COMPUTED_VALUE"""),9.0)</f>
        <v>9</v>
      </c>
      <c r="M153" s="2">
        <f>IFERROR(__xludf.DUMMYFUNCTION("""COMPUTED_VALUE"""),2.0)</f>
        <v>2</v>
      </c>
      <c r="N153" s="74" t="str">
        <f>IFERROR(__xludf.DUMMYFUNCTION("""COMPUTED_VALUE"""),"Jan.23,2024")</f>
        <v>Jan.23,2024</v>
      </c>
      <c r="O153" s="74" t="str">
        <f>IFERROR(__xludf.DUMMYFUNCTION("""COMPUTED_VALUE"""),"Feb.1,2024")</f>
        <v>Feb.1,2024</v>
      </c>
      <c r="P153" s="2">
        <f>IFERROR(__xludf.DUMMYFUNCTION("""COMPUTED_VALUE"""),17967.0)</f>
        <v>17967</v>
      </c>
      <c r="Q153" s="2" t="str">
        <f>IFERROR(__xludf.DUMMYFUNCTION("""COMPUTED_VALUE"""),"KMC5825 ATPFPV0142")</f>
        <v>KMC5825 ATPFPV0142</v>
      </c>
      <c r="R153" s="2" t="str">
        <f>IFERROR(__xludf.DUMMYFUNCTION("""COMPUTED_VALUE"""),"PTS 100068")</f>
        <v>PTS 100068</v>
      </c>
      <c r="S153" s="2" t="str">
        <f>IFERROR(__xludf.DUMMYFUNCTION("""COMPUTED_VALUE"""),"R-SERIES 061 PH")</f>
        <v>R-SERIES 061 PH</v>
      </c>
      <c r="T153" s="2" t="str">
        <f>IFERROR(__xludf.DUMMYFUNCTION("""COMPUTED_VALUE"""),"LSGW1750 2312058")</f>
        <v>LSGW1750 2312058</v>
      </c>
      <c r="U153" s="2" t="str">
        <f>IFERROR(__xludf.DUMMYFUNCTION("""COMPUTED_VALUE"""),"WDP40 RMP 2312101")</f>
        <v>WDP40 RMP 2312101</v>
      </c>
      <c r="V153" s="2" t="str">
        <f>IFERROR(__xludf.DUMMYFUNCTION("""COMPUTED_VALUE"""),"no load")</f>
        <v>no load</v>
      </c>
      <c r="W153" s="2" t="str">
        <f>IFERROR(__xludf.DUMMYFUNCTION("""COMPUTED_VALUE"""),"VL103D")</f>
        <v>VL103D</v>
      </c>
      <c r="X153" s="2">
        <f>IFERROR(__xludf.DUMMYFUNCTION("""COMPUTED_VALUE"""),8.69066060237824E14)</f>
        <v>869066060237824</v>
      </c>
      <c r="Y153" s="2">
        <f>IFERROR(__xludf.DUMMYFUNCTION("""COMPUTED_VALUE"""),9.086768499E9)</f>
        <v>9086768499</v>
      </c>
      <c r="Z153" s="3" t="str">
        <f>IFERROR(__xludf.DUMMYFUNCTION("""COMPUTED_VALUE"""),"0323250006120603")</f>
        <v>0323250006120603</v>
      </c>
      <c r="AA153" s="2"/>
      <c r="AB153" s="2" t="str">
        <f>IFERROR(__xludf.DUMMYFUNCTION("""COMPUTED_VALUE"""),"bangagnanappatanac")</f>
        <v>bangagnanappatanac</v>
      </c>
    </row>
    <row r="154">
      <c r="A154" s="2" t="str">
        <f>IFERROR(__xludf.DUMMYFUNCTION("""COMPUTED_VALUE"""),"TT00152")</f>
        <v>TT00152</v>
      </c>
      <c r="B154" s="2" t="str">
        <f>IFERROR(__xludf.DUMMYFUNCTION("""COMPUTED_VALUE"""),"Completed")</f>
        <v>Completed</v>
      </c>
      <c r="C154" s="2" t="str">
        <f>IFERROR(__xludf.DUMMYFUNCTION("""COMPUTED_VALUE"""),"FOR BILLING L9")</f>
        <v>FOR BILLING L9</v>
      </c>
      <c r="D154" s="2" t="str">
        <f>IFERROR(__xludf.DUMMYFUNCTION("""COMPUTED_VALUE"""),"SARANAY FARMERS ASSOCIATION")</f>
        <v>SARANAY FARMERS ASSOCIATION</v>
      </c>
      <c r="E154" s="2" t="str">
        <f>IFERROR(__xludf.DUMMYFUNCTION("""COMPUTED_VALUE"""),"Mabini, Baggao, CAGAYAN")</f>
        <v>Mabini, Baggao, CAGAYAN</v>
      </c>
      <c r="F154" s="2" t="str">
        <f>IFERROR(__xludf.DUMMYFUNCTION("""COMPUTED_VALUE"""),"Alexander B. Cesar")</f>
        <v>Alexander B. Cesar</v>
      </c>
      <c r="G154" s="2">
        <f>IFERROR(__xludf.DUMMYFUNCTION("""COMPUTED_VALUE"""),9.97211281E9)</f>
        <v>9972112810</v>
      </c>
      <c r="H154" s="2"/>
      <c r="I154" s="2"/>
      <c r="J154" s="2"/>
      <c r="K154" s="2" t="str">
        <f>IFERROR(__xludf.DUMMYFUNCTION("""COMPUTED_VALUE"""),"RCEF 23-09-21 Rebidding")</f>
        <v>RCEF 23-09-21 Rebidding</v>
      </c>
      <c r="L154" s="2">
        <f>IFERROR(__xludf.DUMMYFUNCTION("""COMPUTED_VALUE"""),9.0)</f>
        <v>9</v>
      </c>
      <c r="M154" s="2">
        <f>IFERROR(__xludf.DUMMYFUNCTION("""COMPUTED_VALUE"""),2.0)</f>
        <v>2</v>
      </c>
      <c r="N154" s="2" t="str">
        <f>IFERROR(__xludf.DUMMYFUNCTION("""COMPUTED_VALUE"""),"Jan.23,2024")</f>
        <v>Jan.23,2024</v>
      </c>
      <c r="O154" s="2" t="str">
        <f>IFERROR(__xludf.DUMMYFUNCTION("""COMPUTED_VALUE"""),"Feb.1,2024")</f>
        <v>Feb.1,2024</v>
      </c>
      <c r="P154" s="2">
        <f>IFERROR(__xludf.DUMMYFUNCTION("""COMPUTED_VALUE"""),17968.0)</f>
        <v>17968</v>
      </c>
      <c r="Q154" s="2" t="str">
        <f>IFERROR(__xludf.DUMMYFUNCTION("""COMPUTED_VALUE"""),"KMC5825 AAPFPVO134")</f>
        <v>KMC5825 AAPFPVO134</v>
      </c>
      <c r="R154" s="2" t="str">
        <f>IFERROR(__xludf.DUMMYFUNCTION("""COMPUTED_VALUE"""),"PTS100041")</f>
        <v>PTS100041</v>
      </c>
      <c r="S154" s="2" t="str">
        <f>IFERROR(__xludf.DUMMYFUNCTION("""COMPUTED_VALUE"""),"R-SERIES 022 PH")</f>
        <v>R-SERIES 022 PH</v>
      </c>
      <c r="T154" s="2" t="str">
        <f>IFERROR(__xludf.DUMMYFUNCTION("""COMPUTED_VALUE"""),"LSGW1750 2312053")</f>
        <v>LSGW1750 2312053</v>
      </c>
      <c r="U154" s="2" t="str">
        <f>IFERROR(__xludf.DUMMYFUNCTION("""COMPUTED_VALUE"""),"WDP40 RMP 2312105")</f>
        <v>WDP40 RMP 2312105</v>
      </c>
      <c r="V154" s="2" t="str">
        <f>IFERROR(__xludf.DUMMYFUNCTION("""COMPUTED_VALUE"""),"no load")</f>
        <v>no load</v>
      </c>
      <c r="W154" s="2" t="str">
        <f>IFERROR(__xludf.DUMMYFUNCTION("""COMPUTED_VALUE"""),"VL103D")</f>
        <v>VL103D</v>
      </c>
      <c r="X154" s="2">
        <f>IFERROR(__xludf.DUMMYFUNCTION("""COMPUTED_VALUE"""),8.69066060245355E14)</f>
        <v>869066060245355</v>
      </c>
      <c r="Y154" s="2">
        <f>IFERROR(__xludf.DUMMYFUNCTION("""COMPUTED_VALUE"""),9.084513576E9)</f>
        <v>9084513576</v>
      </c>
      <c r="Z154" s="3" t="str">
        <f>IFERROR(__xludf.DUMMYFUNCTION("""COMPUTED_VALUE"""),"0323250006122898")</f>
        <v>0323250006122898</v>
      </c>
      <c r="AA154" s="2"/>
      <c r="AB154" s="2" t="str">
        <f>IFERROR(__xludf.DUMMYFUNCTION("""COMPUTED_VALUE"""),"saranayfa")</f>
        <v>saranayfa</v>
      </c>
    </row>
    <row r="155">
      <c r="A155" s="2" t="str">
        <f>IFERROR(__xludf.DUMMYFUNCTION("""COMPUTED_VALUE"""),"TT00153")</f>
        <v>TT00153</v>
      </c>
      <c r="B155" s="2" t="str">
        <f>IFERROR(__xludf.DUMMYFUNCTION("""COMPUTED_VALUE"""),"Completed")</f>
        <v>Completed</v>
      </c>
      <c r="C155" s="2" t="str">
        <f>IFERROR(__xludf.DUMMYFUNCTION("""COMPUTED_VALUE"""),"FOR BILLING L9")</f>
        <v>FOR BILLING L9</v>
      </c>
      <c r="D155" s="2" t="str">
        <f>IFERROR(__xludf.DUMMYFUNCTION("""COMPUTED_VALUE"""),"CAPATAG FARMERS IRRIGATION ASSOCIATION INC.")</f>
        <v>CAPATAG FARMERS IRRIGATION ASSOCIATION INC.</v>
      </c>
      <c r="E155" s="2" t="str">
        <f>IFERROR(__xludf.DUMMYFUNCTION("""COMPUTED_VALUE"""),"Nabaccayan, Gattaran, CAGAYAN")</f>
        <v>Nabaccayan, Gattaran, CAGAYAN</v>
      </c>
      <c r="F155" s="2" t="str">
        <f>IFERROR(__xludf.DUMMYFUNCTION("""COMPUTED_VALUE"""),"Silverio P. Miguel")</f>
        <v>Silverio P. Miguel</v>
      </c>
      <c r="G155" s="2">
        <f>IFERROR(__xludf.DUMMYFUNCTION("""COMPUTED_VALUE"""),9.354126762E9)</f>
        <v>9354126762</v>
      </c>
      <c r="H155" s="2"/>
      <c r="I155" s="2"/>
      <c r="J155" s="2"/>
      <c r="K155" s="2" t="str">
        <f>IFERROR(__xludf.DUMMYFUNCTION("""COMPUTED_VALUE"""),"RCEF 23-09-21 Rebidding")</f>
        <v>RCEF 23-09-21 Rebidding</v>
      </c>
      <c r="L155" s="2">
        <f>IFERROR(__xludf.DUMMYFUNCTION("""COMPUTED_VALUE"""),9.0)</f>
        <v>9</v>
      </c>
      <c r="M155" s="2">
        <f>IFERROR(__xludf.DUMMYFUNCTION("""COMPUTED_VALUE"""),2.0)</f>
        <v>2</v>
      </c>
      <c r="N155" s="74" t="str">
        <f>IFERROR(__xludf.DUMMYFUNCTION("""COMPUTED_VALUE"""),"Jan.23,2024")</f>
        <v>Jan.23,2024</v>
      </c>
      <c r="O155" s="74" t="str">
        <f>IFERROR(__xludf.DUMMYFUNCTION("""COMPUTED_VALUE"""),"Jan.1,2024")</f>
        <v>Jan.1,2024</v>
      </c>
      <c r="P155" s="2">
        <f>IFERROR(__xludf.DUMMYFUNCTION("""COMPUTED_VALUE"""),17969.0)</f>
        <v>17969</v>
      </c>
      <c r="Q155" s="2" t="str">
        <f>IFERROR(__xludf.DUMMYFUNCTION("""COMPUTED_VALUE"""),"KMC5825 ALRFPVOO8")</f>
        <v>KMC5825 ALRFPVOO8</v>
      </c>
      <c r="R155" s="2" t="str">
        <f>IFERROR(__xludf.DUMMYFUNCTION("""COMPUTED_VALUE"""),"PTS 100287")</f>
        <v>PTS 100287</v>
      </c>
      <c r="S155" s="2" t="str">
        <f>IFERROR(__xludf.DUMMYFUNCTION("""COMPUTED_VALUE"""),"R-SERIES 002 PH")</f>
        <v>R-SERIES 002 PH</v>
      </c>
      <c r="T155" s="2" t="str">
        <f>IFERROR(__xludf.DUMMYFUNCTION("""COMPUTED_VALUE"""),"LSGW1750 2312088")</f>
        <v>LSGW1750 2312088</v>
      </c>
      <c r="U155" s="2" t="str">
        <f>IFERROR(__xludf.DUMMYFUNCTION("""COMPUTED_VALUE"""),"WDP40 RMP 2312131")</f>
        <v>WDP40 RMP 2312131</v>
      </c>
      <c r="V155" s="2" t="str">
        <f>IFERROR(__xludf.DUMMYFUNCTION("""COMPUTED_VALUE"""),"no load")</f>
        <v>no load</v>
      </c>
      <c r="W155" s="2" t="str">
        <f>IFERROR(__xludf.DUMMYFUNCTION("""COMPUTED_VALUE"""),"VL103D")</f>
        <v>VL103D</v>
      </c>
      <c r="X155" s="2">
        <f>IFERROR(__xludf.DUMMYFUNCTION("""COMPUTED_VALUE"""),8.69066060237162E14)</f>
        <v>869066060237162</v>
      </c>
      <c r="Y155" s="2">
        <f>IFERROR(__xludf.DUMMYFUNCTION("""COMPUTED_VALUE"""),9.086425373E9)</f>
        <v>9086425373</v>
      </c>
      <c r="Z155" s="3" t="str">
        <f>IFERROR(__xludf.DUMMYFUNCTION("""COMPUTED_VALUE"""),"0323250006122716")</f>
        <v>0323250006122716</v>
      </c>
      <c r="AA155" s="2"/>
      <c r="AB155" s="2" t="str">
        <f>IFERROR(__xludf.DUMMYFUNCTION("""COMPUTED_VALUE"""),"capatagirrig")</f>
        <v>capatagirrig</v>
      </c>
    </row>
    <row r="156">
      <c r="A156" s="2" t="str">
        <f>IFERROR(__xludf.DUMMYFUNCTION("""COMPUTED_VALUE"""),"TT00154")</f>
        <v>TT00154</v>
      </c>
      <c r="B156" s="2"/>
      <c r="C156" s="2"/>
      <c r="D156" s="2" t="str">
        <f>IFERROR(__xludf.DUMMYFUNCTION("""COMPUTED_VALUE"""),"Sarusar Ti San Pedro Farmers Irrigator's Association Inc.")</f>
        <v>Sarusar Ti San Pedro Farmers Irrigator's Association Inc.</v>
      </c>
      <c r="E156" s="2" t="str">
        <f>IFERROR(__xludf.DUMMYFUNCTION("""COMPUTED_VALUE"""),"Pateng, Gonzaga, CAGAYAN")</f>
        <v>Pateng, Gonzaga, CAGAYAN</v>
      </c>
      <c r="F156" s="2" t="str">
        <f>IFERROR(__xludf.DUMMYFUNCTION("""COMPUTED_VALUE"""),"Vincent T. Del Castillo")</f>
        <v>Vincent T. Del Castillo</v>
      </c>
      <c r="G156" s="2">
        <f>IFERROR(__xludf.DUMMYFUNCTION("""COMPUTED_VALUE"""),9.057922728E9)</f>
        <v>9057922728</v>
      </c>
      <c r="H156" s="2"/>
      <c r="I156" s="2"/>
      <c r="J156" s="2"/>
      <c r="K156" s="2" t="str">
        <f>IFERROR(__xludf.DUMMYFUNCTION("""COMPUTED_VALUE"""),"RCEF 23-09-21 Rebidding")</f>
        <v>RCEF 23-09-21 Rebidding</v>
      </c>
      <c r="L156" s="2">
        <f>IFERROR(__xludf.DUMMYFUNCTION("""COMPUTED_VALUE"""),9.0)</f>
        <v>9</v>
      </c>
      <c r="M156" s="2">
        <f>IFERROR(__xludf.DUMMYFUNCTION("""COMPUTED_VALUE"""),2.0)</f>
        <v>2</v>
      </c>
      <c r="N156" s="2" t="str">
        <f>IFERROR(__xludf.DUMMYFUNCTION("""COMPUTED_VALUE"""),"Jan.23,2024")</f>
        <v>Jan.23,2024</v>
      </c>
      <c r="O156" s="74">
        <f>IFERROR(__xludf.DUMMYFUNCTION("""COMPUTED_VALUE"""),45440.0)</f>
        <v>45440</v>
      </c>
      <c r="P156" s="2">
        <f>IFERROR(__xludf.DUMMYFUNCTION("""COMPUTED_VALUE"""),17970.0)</f>
        <v>17970</v>
      </c>
      <c r="Q156" s="2" t="str">
        <f>IFERROR(__xludf.DUMMYFUNCTION("""COMPUTED_VALUE"""),"KMC5825 AJRFPV0634")</f>
        <v>KMC5825 AJRFPV0634</v>
      </c>
      <c r="R156" s="2" t="str">
        <f>IFERROR(__xludf.DUMMYFUNCTION("""COMPUTED_VALUE"""),"RTS 100172")</f>
        <v>RTS 100172</v>
      </c>
      <c r="S156" s="2" t="str">
        <f>IFERROR(__xludf.DUMMYFUNCTION("""COMPUTED_VALUE"""),"WR-SERIES 861 PH")</f>
        <v>WR-SERIES 861 PH</v>
      </c>
      <c r="T156" s="2" t="str">
        <f>IFERROR(__xludf.DUMMYFUNCTION("""COMPUTED_VALUE"""),"LSGW1750 RMP 24020539")</f>
        <v>LSGW1750 RMP 24020539</v>
      </c>
      <c r="U156" s="2" t="str">
        <f>IFERROR(__xludf.DUMMYFUNCTION("""COMPUTED_VALUE"""),"WDP40 RMP 24050555")</f>
        <v>WDP40 RMP 24050555</v>
      </c>
      <c r="V156" s="2"/>
      <c r="W156" s="2" t="str">
        <f>IFERROR(__xludf.DUMMYFUNCTION("""COMPUTED_VALUE"""),"VL103D")</f>
        <v>VL103D</v>
      </c>
      <c r="X156" s="2"/>
      <c r="Y156" s="2"/>
      <c r="Z156" s="2"/>
      <c r="AA156" s="2"/>
      <c r="AB156" s="2" t="str">
        <f>IFERROR(__xludf.DUMMYFUNCTION("""COMPUTED_VALUE"""),"sarusartiirrig")</f>
        <v>sarusartiirrig</v>
      </c>
    </row>
    <row r="157">
      <c r="A157" s="2" t="str">
        <f>IFERROR(__xludf.DUMMYFUNCTION("""COMPUTED_VALUE"""),"TT00155")</f>
        <v>TT00155</v>
      </c>
      <c r="B157" s="2" t="str">
        <f>IFERROR(__xludf.DUMMYFUNCTION("""COMPUTED_VALUE"""),"Completed")</f>
        <v>Completed</v>
      </c>
      <c r="C157" s="2" t="str">
        <f>IFERROR(__xludf.DUMMYFUNCTION("""COMPUTED_VALUE"""),"FOR BILLING L9")</f>
        <v>FOR BILLING L9</v>
      </c>
      <c r="D157" s="2" t="str">
        <f>IFERROR(__xludf.DUMMYFUNCTION("""COMPUTED_VALUE"""),"NAGUILIAN IRRIGATORS' ASSOCIATION, INC.")</f>
        <v>NAGUILIAN IRRIGATORS' ASSOCIATION, INC.</v>
      </c>
      <c r="E157" s="2" t="str">
        <f>IFERROR(__xludf.DUMMYFUNCTION("""COMPUTED_VALUE"""),"Naguilian, Lal-lo, CAGAYAN")</f>
        <v>Naguilian, Lal-lo, CAGAYAN</v>
      </c>
      <c r="F157" s="2" t="str">
        <f>IFERROR(__xludf.DUMMYFUNCTION("""COMPUTED_VALUE"""),"Dario I. Costales")</f>
        <v>Dario I. Costales</v>
      </c>
      <c r="G157" s="2">
        <f>IFERROR(__xludf.DUMMYFUNCTION("""COMPUTED_VALUE"""),9.655815697E9)</f>
        <v>9655815697</v>
      </c>
      <c r="H157" s="2"/>
      <c r="I157" s="2"/>
      <c r="J157" s="2"/>
      <c r="K157" s="2" t="str">
        <f>IFERROR(__xludf.DUMMYFUNCTION("""COMPUTED_VALUE"""),"RCEF 23-09-21 Rebidding")</f>
        <v>RCEF 23-09-21 Rebidding</v>
      </c>
      <c r="L157" s="2">
        <f>IFERROR(__xludf.DUMMYFUNCTION("""COMPUTED_VALUE"""),9.0)</f>
        <v>9</v>
      </c>
      <c r="M157" s="2">
        <f>IFERROR(__xludf.DUMMYFUNCTION("""COMPUTED_VALUE"""),2.0)</f>
        <v>2</v>
      </c>
      <c r="N157" s="74" t="str">
        <f>IFERROR(__xludf.DUMMYFUNCTION("""COMPUTED_VALUE"""),"Jan.23,2024")</f>
        <v>Jan.23,2024</v>
      </c>
      <c r="O157" s="74" t="str">
        <f>IFERROR(__xludf.DUMMYFUNCTION("""COMPUTED_VALUE"""),"Feb.1,2024")</f>
        <v>Feb.1,2024</v>
      </c>
      <c r="P157" s="2">
        <f>IFERROR(__xludf.DUMMYFUNCTION("""COMPUTED_VALUE"""),17971.0)</f>
        <v>17971</v>
      </c>
      <c r="Q157" s="2" t="str">
        <f>IFERROR(__xludf.DUMMYFUNCTION("""COMPUTED_VALUE"""),"KMC5825 ACPFPV0101")</f>
        <v>KMC5825 ACPFPV0101</v>
      </c>
      <c r="R157" s="2" t="str">
        <f>IFERROR(__xludf.DUMMYFUNCTION("""COMPUTED_VALUE"""),"PTS 100154")</f>
        <v>PTS 100154</v>
      </c>
      <c r="S157" s="2" t="str">
        <f>IFERROR(__xludf.DUMMYFUNCTION("""COMPUTED_VALUE"""),"R-SERIES 006 PH")</f>
        <v>R-SERIES 006 PH</v>
      </c>
      <c r="T157" s="2" t="str">
        <f>IFERROR(__xludf.DUMMYFUNCTION("""COMPUTED_VALUE"""),"LSGW1750 2312085")</f>
        <v>LSGW1750 2312085</v>
      </c>
      <c r="U157" s="2" t="str">
        <f>IFERROR(__xludf.DUMMYFUNCTION("""COMPUTED_VALUE"""),"WDP40 RMP 2312109")</f>
        <v>WDP40 RMP 2312109</v>
      </c>
      <c r="V157" s="2" t="str">
        <f>IFERROR(__xludf.DUMMYFUNCTION("""COMPUTED_VALUE"""),"no load")</f>
        <v>no load</v>
      </c>
      <c r="W157" s="2" t="str">
        <f>IFERROR(__xludf.DUMMYFUNCTION("""COMPUTED_VALUE"""),"VL103D")</f>
        <v>VL103D</v>
      </c>
      <c r="X157" s="2">
        <f>IFERROR(__xludf.DUMMYFUNCTION("""COMPUTED_VALUE"""),8.69066060240091E14)</f>
        <v>869066060240091</v>
      </c>
      <c r="Y157" s="2">
        <f>IFERROR(__xludf.DUMMYFUNCTION("""COMPUTED_VALUE"""),9.087442367E9)</f>
        <v>9087442367</v>
      </c>
      <c r="Z157" s="3" t="str">
        <f>IFERROR(__xludf.DUMMYFUNCTION("""COMPUTED_VALUE"""),"0323250006122682")</f>
        <v>0323250006122682</v>
      </c>
      <c r="AA157" s="2"/>
      <c r="AB157" s="2" t="str">
        <f>IFERROR(__xludf.DUMMYFUNCTION("""COMPUTED_VALUE"""),"nagulianirrig")</f>
        <v>nagulianirrig</v>
      </c>
    </row>
    <row r="158">
      <c r="A158" s="2" t="str">
        <f>IFERROR(__xludf.DUMMYFUNCTION("""COMPUTED_VALUE"""),"TT00156")</f>
        <v>TT00156</v>
      </c>
      <c r="B158" s="2"/>
      <c r="C158" s="2"/>
      <c r="D158" s="2" t="str">
        <f>IFERROR(__xludf.DUMMYFUNCTION("""COMPUTED_VALUE"""),"DILIAN SANTA ANA FARMERS IRRIGATORS ASSOCIATION, INC.")</f>
        <v>DILIAN SANTA ANA FARMERS IRRIGATORS ASSOCIATION, INC.</v>
      </c>
      <c r="E158" s="2" t="str">
        <f>IFERROR(__xludf.DUMMYFUNCTION("""COMPUTED_VALUE"""),", Santa Ana, CAGAYAN")</f>
        <v>, Santa Ana, CAGAYAN</v>
      </c>
      <c r="F158" s="2" t="str">
        <f>IFERROR(__xludf.DUMMYFUNCTION("""COMPUTED_VALUE"""),"Faustino P. Tabilisima Jr.")</f>
        <v>Faustino P. Tabilisima Jr.</v>
      </c>
      <c r="G158" s="2">
        <f>IFERROR(__xludf.DUMMYFUNCTION("""COMPUTED_VALUE"""),9.359764336E9)</f>
        <v>9359764336</v>
      </c>
      <c r="H158" s="2"/>
      <c r="I158" s="2"/>
      <c r="J158" s="2"/>
      <c r="K158" s="2" t="str">
        <f>IFERROR(__xludf.DUMMYFUNCTION("""COMPUTED_VALUE"""),"RCEF 23-09-21 Rebidding")</f>
        <v>RCEF 23-09-21 Rebidding</v>
      </c>
      <c r="L158" s="2">
        <f>IFERROR(__xludf.DUMMYFUNCTION("""COMPUTED_VALUE"""),9.0)</f>
        <v>9</v>
      </c>
      <c r="M158" s="2">
        <f>IFERROR(__xludf.DUMMYFUNCTION("""COMPUTED_VALUE"""),2.0)</f>
        <v>2</v>
      </c>
      <c r="N158" s="2" t="str">
        <f>IFERROR(__xludf.DUMMYFUNCTION("""COMPUTED_VALUE"""),"Jan.23,2024")</f>
        <v>Jan.23,2024</v>
      </c>
      <c r="O158" s="74">
        <f>IFERROR(__xludf.DUMMYFUNCTION("""COMPUTED_VALUE"""),45440.0)</f>
        <v>45440</v>
      </c>
      <c r="P158" s="2">
        <f>IFERROR(__xludf.DUMMYFUNCTION("""COMPUTED_VALUE"""),17972.0)</f>
        <v>17972</v>
      </c>
      <c r="Q158" s="2" t="str">
        <f>IFERROR(__xludf.DUMMYFUNCTION("""COMPUTED_VALUE"""),"KMC5825 AERFPV0626")</f>
        <v>KMC5825 AERFPV0626</v>
      </c>
      <c r="R158" s="2" t="str">
        <f>IFERROR(__xludf.DUMMYFUNCTION("""COMPUTED_VALUE"""),"PTS100288")</f>
        <v>PTS100288</v>
      </c>
      <c r="S158" s="2" t="str">
        <f>IFERROR(__xludf.DUMMYFUNCTION("""COMPUTED_VALUE"""),"WR-SERIES 860 PH")</f>
        <v>WR-SERIES 860 PH</v>
      </c>
      <c r="T158" s="2" t="str">
        <f>IFERROR(__xludf.DUMMYFUNCTION("""COMPUTED_VALUE"""),"LSGW1750 RMP 24010124")</f>
        <v>LSGW1750 RMP 24010124</v>
      </c>
      <c r="U158" s="2" t="str">
        <f>IFERROR(__xludf.DUMMYFUNCTION("""COMPUTED_VALUE"""),"WDP40 RMP 24030345")</f>
        <v>WDP40 RMP 24030345</v>
      </c>
      <c r="V158" s="2"/>
      <c r="W158" s="2" t="str">
        <f>IFERROR(__xludf.DUMMYFUNCTION("""COMPUTED_VALUE"""),"VL103D")</f>
        <v>VL103D</v>
      </c>
      <c r="X158" s="2"/>
      <c r="Y158" s="2"/>
      <c r="Z158" s="2"/>
      <c r="AA158" s="2"/>
      <c r="AB158" s="2" t="str">
        <f>IFERROR(__xludf.DUMMYFUNCTION("""COMPUTED_VALUE"""),"diliansantaana")</f>
        <v>diliansantaana</v>
      </c>
    </row>
    <row r="159">
      <c r="A159" s="2" t="str">
        <f>IFERROR(__xludf.DUMMYFUNCTION("""COMPUTED_VALUE"""),"TT00157")</f>
        <v>TT00157</v>
      </c>
      <c r="B159" s="2" t="str">
        <f>IFERROR(__xludf.DUMMYFUNCTION("""COMPUTED_VALUE"""),"Completed")</f>
        <v>Completed</v>
      </c>
      <c r="C159" s="2" t="str">
        <f>IFERROR(__xludf.DUMMYFUNCTION("""COMPUTED_VALUE"""),"FOR BILLING L9")</f>
        <v>FOR BILLING L9</v>
      </c>
      <c r="D159" s="2" t="str">
        <f>IFERROR(__xludf.DUMMYFUNCTION("""COMPUTED_VALUE"""),"STO. TOMAS FARMERS' AND FISHERFOLKS ASSOCIATION")</f>
        <v>STO. TOMAS FARMERS' AND FISHERFOLKS ASSOCIATION</v>
      </c>
      <c r="E159" s="2" t="str">
        <f>IFERROR(__xludf.DUMMYFUNCTION("""COMPUTED_VALUE"""),"Santo Tomas, Abulug, CAGAYAN")</f>
        <v>Santo Tomas, Abulug, CAGAYAN</v>
      </c>
      <c r="F159" s="2" t="str">
        <f>IFERROR(__xludf.DUMMYFUNCTION("""COMPUTED_VALUE"""),"Jose A. Aquisay Sr.")</f>
        <v>Jose A. Aquisay Sr.</v>
      </c>
      <c r="G159" s="2" t="str">
        <f>IFERROR(__xludf.DUMMYFUNCTION("""COMPUTED_VALUE"""),"09774491996/ 09350356511")</f>
        <v>09774491996/ 09350356511</v>
      </c>
      <c r="H159" s="2"/>
      <c r="I159" s="2"/>
      <c r="J159" s="2"/>
      <c r="K159" s="2" t="str">
        <f>IFERROR(__xludf.DUMMYFUNCTION("""COMPUTED_VALUE"""),"RCEF 23-09-21 Rebidding")</f>
        <v>RCEF 23-09-21 Rebidding</v>
      </c>
      <c r="L159" s="2">
        <f>IFERROR(__xludf.DUMMYFUNCTION("""COMPUTED_VALUE"""),9.0)</f>
        <v>9</v>
      </c>
      <c r="M159" s="2">
        <f>IFERROR(__xludf.DUMMYFUNCTION("""COMPUTED_VALUE"""),2.0)</f>
        <v>2</v>
      </c>
      <c r="N159" s="74" t="str">
        <f>IFERROR(__xludf.DUMMYFUNCTION("""COMPUTED_VALUE"""),"Jan.23,2024")</f>
        <v>Jan.23,2024</v>
      </c>
      <c r="O159" s="74">
        <f>IFERROR(__xludf.DUMMYFUNCTION("""COMPUTED_VALUE"""),45323.0)</f>
        <v>45323</v>
      </c>
      <c r="P159" s="2">
        <f>IFERROR(__xludf.DUMMYFUNCTION("""COMPUTED_VALUE"""),17973.0)</f>
        <v>17973</v>
      </c>
      <c r="Q159" s="2" t="str">
        <f>IFERROR(__xludf.DUMMYFUNCTION("""COMPUTED_VALUE"""),"KMC5825 APRFPV0016")</f>
        <v>KMC5825 APRFPV0016</v>
      </c>
      <c r="R159" s="2" t="str">
        <f>IFERROR(__xludf.DUMMYFUNCTION("""COMPUTED_VALUE"""),"PTS 100270")</f>
        <v>PTS 100270</v>
      </c>
      <c r="S159" s="2" t="str">
        <f>IFERROR(__xludf.DUMMYFUNCTION("""COMPUTED_VALUE"""),"R-SERIES 021 PH")</f>
        <v>R-SERIES 021 PH</v>
      </c>
      <c r="T159" s="2" t="str">
        <f>IFERROR(__xludf.DUMMYFUNCTION("""COMPUTED_VALUE"""),"LSGW1750 2312071")</f>
        <v>LSGW1750 2312071</v>
      </c>
      <c r="U159" s="2" t="str">
        <f>IFERROR(__xludf.DUMMYFUNCTION("""COMPUTED_VALUE"""),"WDP40 RMP 2312116")</f>
        <v>WDP40 RMP 2312116</v>
      </c>
      <c r="V159" s="2" t="str">
        <f>IFERROR(__xludf.DUMMYFUNCTION("""COMPUTED_VALUE"""),"no load")</f>
        <v>no load</v>
      </c>
      <c r="W159" s="2" t="str">
        <f>IFERROR(__xludf.DUMMYFUNCTION("""COMPUTED_VALUE"""),"VL103D")</f>
        <v>VL103D</v>
      </c>
      <c r="X159" s="2">
        <f>IFERROR(__xludf.DUMMYFUNCTION("""COMPUTED_VALUE"""),8.69066060237733E14)</f>
        <v>869066060237733</v>
      </c>
      <c r="Y159" s="2">
        <f>IFERROR(__xludf.DUMMYFUNCTION("""COMPUTED_VALUE"""),9.087406769E9)</f>
        <v>9087406769</v>
      </c>
      <c r="Z159" s="3" t="str">
        <f>IFERROR(__xludf.DUMMYFUNCTION("""COMPUTED_VALUE"""),"0323250006122674")</f>
        <v>0323250006122674</v>
      </c>
      <c r="AA159" s="2"/>
      <c r="AB159" s="2" t="str">
        <f>IFERROR(__xludf.DUMMYFUNCTION("""COMPUTED_VALUE"""),"stotomasffa")</f>
        <v>stotomasffa</v>
      </c>
    </row>
    <row r="160">
      <c r="A160" s="2" t="str">
        <f>IFERROR(__xludf.DUMMYFUNCTION("""COMPUTED_VALUE"""),"TT00158")</f>
        <v>TT00158</v>
      </c>
      <c r="B160" s="2" t="str">
        <f>IFERROR(__xludf.DUMMYFUNCTION("""COMPUTED_VALUE"""),"Completed")</f>
        <v>Completed</v>
      </c>
      <c r="C160" s="2" t="str">
        <f>IFERROR(__xludf.DUMMYFUNCTION("""COMPUTED_VALUE"""),"FOR BILLING L9")</f>
        <v>FOR BILLING L9</v>
      </c>
      <c r="D160" s="2" t="str">
        <f>IFERROR(__xludf.DUMMYFUNCTION("""COMPUTED_VALUE"""),"TAYAK AGRI-FISHERY PRODUCERS ASSOCIATION")</f>
        <v>TAYAK AGRI-FISHERY PRODUCERS ASSOCIATION</v>
      </c>
      <c r="E160" s="2" t="str">
        <f>IFERROR(__xludf.DUMMYFUNCTION("""COMPUTED_VALUE"""),"Siguiran, Abulug, CAGAYAN")</f>
        <v>Siguiran, Abulug, CAGAYAN</v>
      </c>
      <c r="F160" s="2" t="str">
        <f>IFERROR(__xludf.DUMMYFUNCTION("""COMPUTED_VALUE"""),"Christoffer B. Bayani")</f>
        <v>Christoffer B. Bayani</v>
      </c>
      <c r="G160" s="2">
        <f>IFERROR(__xludf.DUMMYFUNCTION("""COMPUTED_VALUE"""),9.273062333E9)</f>
        <v>9273062333</v>
      </c>
      <c r="H160" s="2"/>
      <c r="I160" s="2"/>
      <c r="J160" s="2"/>
      <c r="K160" s="2" t="str">
        <f>IFERROR(__xludf.DUMMYFUNCTION("""COMPUTED_VALUE"""),"RCEF 23-09-21 Rebidding")</f>
        <v>RCEF 23-09-21 Rebidding</v>
      </c>
      <c r="L160" s="2">
        <f>IFERROR(__xludf.DUMMYFUNCTION("""COMPUTED_VALUE"""),9.0)</f>
        <v>9</v>
      </c>
      <c r="M160" s="2">
        <f>IFERROR(__xludf.DUMMYFUNCTION("""COMPUTED_VALUE"""),2.0)</f>
        <v>2</v>
      </c>
      <c r="N160" s="74" t="str">
        <f>IFERROR(__xludf.DUMMYFUNCTION("""COMPUTED_VALUE"""),"Jan.23,2024")</f>
        <v>Jan.23,2024</v>
      </c>
      <c r="O160" s="74">
        <f>IFERROR(__xludf.DUMMYFUNCTION("""COMPUTED_VALUE"""),45323.0)</f>
        <v>45323</v>
      </c>
      <c r="P160" s="2">
        <f>IFERROR(__xludf.DUMMYFUNCTION("""COMPUTED_VALUE"""),17974.0)</f>
        <v>17974</v>
      </c>
      <c r="Q160" s="2" t="str">
        <f>IFERROR(__xludf.DUMMYFUNCTION("""COMPUTED_VALUE"""),"KMC5825 AJPFPV0047")</f>
        <v>KMC5825 AJPFPV0047</v>
      </c>
      <c r="R160" s="2" t="str">
        <f>IFERROR(__xludf.DUMMYFUNCTION("""COMPUTED_VALUE"""),"PTS 100132")</f>
        <v>PTS 100132</v>
      </c>
      <c r="S160" s="2" t="str">
        <f>IFERROR(__xludf.DUMMYFUNCTION("""COMPUTED_VALUE"""),"R-SERIES 057 PH")</f>
        <v>R-SERIES 057 PH</v>
      </c>
      <c r="T160" s="2" t="str">
        <f>IFERROR(__xludf.DUMMYFUNCTION("""COMPUTED_VALUE"""),"LSGW1750 2312160")</f>
        <v>LSGW1750 2312160</v>
      </c>
      <c r="U160" s="2" t="str">
        <f>IFERROR(__xludf.DUMMYFUNCTION("""COMPUTED_VALUE"""),"WDP40 RMP 2312112")</f>
        <v>WDP40 RMP 2312112</v>
      </c>
      <c r="V160" s="2" t="str">
        <f>IFERROR(__xludf.DUMMYFUNCTION("""COMPUTED_VALUE"""),"no load")</f>
        <v>no load</v>
      </c>
      <c r="W160" s="2" t="str">
        <f>IFERROR(__xludf.DUMMYFUNCTION("""COMPUTED_VALUE"""),"VL103D")</f>
        <v>VL103D</v>
      </c>
      <c r="X160" s="2">
        <f>IFERROR(__xludf.DUMMYFUNCTION("""COMPUTED_VALUE"""),8.69066060236628E14)</f>
        <v>869066060236628</v>
      </c>
      <c r="Y160" s="2">
        <f>IFERROR(__xludf.DUMMYFUNCTION("""COMPUTED_VALUE"""),9.08676849E9)</f>
        <v>9086768490</v>
      </c>
      <c r="Z160" s="3" t="str">
        <f>IFERROR(__xludf.DUMMYFUNCTION("""COMPUTED_VALUE"""),"0323250006120595")</f>
        <v>0323250006120595</v>
      </c>
      <c r="AA160" s="2"/>
      <c r="AB160" s="2" t="str">
        <f>IFERROR(__xludf.DUMMYFUNCTION("""COMPUTED_VALUE"""),"tayakagrifishery")</f>
        <v>tayakagrifishery</v>
      </c>
    </row>
    <row r="161">
      <c r="A161" s="2" t="str">
        <f>IFERROR(__xludf.DUMMYFUNCTION("""COMPUTED_VALUE"""),"TT00159")</f>
        <v>TT00159</v>
      </c>
      <c r="B161" s="2" t="str">
        <f>IFERROR(__xludf.DUMMYFUNCTION("""COMPUTED_VALUE"""),"Completed")</f>
        <v>Completed</v>
      </c>
      <c r="C161" s="2" t="str">
        <f>IFERROR(__xludf.DUMMYFUNCTION("""COMPUTED_VALUE"""),"FOR BILLING L9")</f>
        <v>FOR BILLING L9</v>
      </c>
      <c r="D161" s="2" t="str">
        <f>IFERROR(__xludf.DUMMYFUNCTION("""COMPUTED_VALUE"""),"TAMBOLI FARMERS ASSOCIATION")</f>
        <v>TAMBOLI FARMERS ASSOCIATION</v>
      </c>
      <c r="E161" s="2" t="str">
        <f>IFERROR(__xludf.DUMMYFUNCTION("""COMPUTED_VALUE"""),"Tamboli, Allacapan, CAGAYAN")</f>
        <v>Tamboli, Allacapan, CAGAYAN</v>
      </c>
      <c r="F161" s="2" t="str">
        <f>IFERROR(__xludf.DUMMYFUNCTION("""COMPUTED_VALUE"""),"Patrocinio R. Cortez")</f>
        <v>Patrocinio R. Cortez</v>
      </c>
      <c r="G161" s="2" t="str">
        <f>IFERROR(__xludf.DUMMYFUNCTION("""COMPUTED_VALUE"""),"0927-312-9829")</f>
        <v>0927-312-9829</v>
      </c>
      <c r="H161" s="2"/>
      <c r="I161" s="2"/>
      <c r="J161" s="2"/>
      <c r="K161" s="2" t="str">
        <f>IFERROR(__xludf.DUMMYFUNCTION("""COMPUTED_VALUE"""),"RCEF 23-09-21 Rebidding")</f>
        <v>RCEF 23-09-21 Rebidding</v>
      </c>
      <c r="L161" s="2">
        <f>IFERROR(__xludf.DUMMYFUNCTION("""COMPUTED_VALUE"""),9.0)</f>
        <v>9</v>
      </c>
      <c r="M161" s="2">
        <f>IFERROR(__xludf.DUMMYFUNCTION("""COMPUTED_VALUE"""),2.0)</f>
        <v>2</v>
      </c>
      <c r="N161" s="74" t="str">
        <f>IFERROR(__xludf.DUMMYFUNCTION("""COMPUTED_VALUE"""),"Jan.23,2024")</f>
        <v>Jan.23,2024</v>
      </c>
      <c r="O161" s="74" t="str">
        <f>IFERROR(__xludf.DUMMYFUNCTION("""COMPUTED_VALUE"""),"Feb.1,2024")</f>
        <v>Feb.1,2024</v>
      </c>
      <c r="P161" s="2">
        <f>IFERROR(__xludf.DUMMYFUNCTION("""COMPUTED_VALUE"""),17975.0)</f>
        <v>17975</v>
      </c>
      <c r="Q161" s="2" t="str">
        <f>IFERROR(__xludf.DUMMYFUNCTION("""COMPUTED_VALUE"""),"KMC5825 ACRFPV0005")</f>
        <v>KMC5825 ACRFPV0005</v>
      </c>
      <c r="R161" s="2" t="str">
        <f>IFERROR(__xludf.DUMMYFUNCTION("""COMPUTED_VALUE"""),"PTS 100297")</f>
        <v>PTS 100297</v>
      </c>
      <c r="S161" s="2" t="str">
        <f>IFERROR(__xludf.DUMMYFUNCTION("""COMPUTED_VALUE"""),"R-SERIES 015 PH")</f>
        <v>R-SERIES 015 PH</v>
      </c>
      <c r="T161" s="2" t="str">
        <f>IFERROR(__xludf.DUMMYFUNCTION("""COMPUTED_VALUE"""),"LSGW1750 2312144")</f>
        <v>LSGW1750 2312144</v>
      </c>
      <c r="U161" s="2" t="str">
        <f>IFERROR(__xludf.DUMMYFUNCTION("""COMPUTED_VALUE"""),"WDP40 RMP 2312103")</f>
        <v>WDP40 RMP 2312103</v>
      </c>
      <c r="V161" s="2" t="str">
        <f>IFERROR(__xludf.DUMMYFUNCTION("""COMPUTED_VALUE"""),"good")</f>
        <v>good</v>
      </c>
      <c r="W161" s="2" t="str">
        <f>IFERROR(__xludf.DUMMYFUNCTION("""COMPUTED_VALUE"""),"VL103D")</f>
        <v>VL103D</v>
      </c>
      <c r="X161" s="2">
        <f>IFERROR(__xludf.DUMMYFUNCTION("""COMPUTED_VALUE"""),8.69066060236677E14)</f>
        <v>869066060236677</v>
      </c>
      <c r="Y161" s="2">
        <f>IFERROR(__xludf.DUMMYFUNCTION("""COMPUTED_VALUE"""),9.083392231E9)</f>
        <v>9083392231</v>
      </c>
      <c r="Z161" s="3" t="str">
        <f>IFERROR(__xludf.DUMMYFUNCTION("""COMPUTED_VALUE"""),"0323250006122617")</f>
        <v>0323250006122617</v>
      </c>
      <c r="AA161" s="2"/>
      <c r="AB161" s="2" t="str">
        <f>IFERROR(__xludf.DUMMYFUNCTION("""COMPUTED_VALUE"""),"tambolifa")</f>
        <v>tambolifa</v>
      </c>
    </row>
    <row r="162">
      <c r="A162" s="2" t="str">
        <f>IFERROR(__xludf.DUMMYFUNCTION("""COMPUTED_VALUE"""),"TT00160")</f>
        <v>TT00160</v>
      </c>
      <c r="B162" s="2" t="str">
        <f>IFERROR(__xludf.DUMMYFUNCTION("""COMPUTED_VALUE"""),"Completed")</f>
        <v>Completed</v>
      </c>
      <c r="C162" s="2" t="str">
        <f>IFERROR(__xludf.DUMMYFUNCTION("""COMPUTED_VALUE"""),"FOR BILLING L9")</f>
        <v>FOR BILLING L9</v>
      </c>
      <c r="D162" s="2" t="str">
        <f>IFERROR(__xludf.DUMMYFUNCTION("""COMPUTED_VALUE"""),"NARARAGAN CABAYU SAN JUAN VALLEY IRRIGATORS ASSOCIATION, INC.")</f>
        <v>NARARAGAN CABAYU SAN JUAN VALLEY IRRIGATORS ASSOCIATION, INC.</v>
      </c>
      <c r="E162" s="2" t="str">
        <f>IFERROR(__xludf.DUMMYFUNCTION("""COMPUTED_VALUE"""),"Cabayu, Ballesteros, CAGAYAN")</f>
        <v>Cabayu, Ballesteros, CAGAYAN</v>
      </c>
      <c r="F162" s="2" t="str">
        <f>IFERROR(__xludf.DUMMYFUNCTION("""COMPUTED_VALUE"""),"Manuel F. Ralleca")</f>
        <v>Manuel F. Ralleca</v>
      </c>
      <c r="G162" s="2">
        <f>IFERROR(__xludf.DUMMYFUNCTION("""COMPUTED_VALUE"""),9.264881045E9)</f>
        <v>9264881045</v>
      </c>
      <c r="H162" s="2"/>
      <c r="I162" s="2"/>
      <c r="J162" s="2"/>
      <c r="K162" s="2" t="str">
        <f>IFERROR(__xludf.DUMMYFUNCTION("""COMPUTED_VALUE"""),"RCEF 23-09-21 Rebidding")</f>
        <v>RCEF 23-09-21 Rebidding</v>
      </c>
      <c r="L162" s="2">
        <f>IFERROR(__xludf.DUMMYFUNCTION("""COMPUTED_VALUE"""),9.0)</f>
        <v>9</v>
      </c>
      <c r="M162" s="2">
        <f>IFERROR(__xludf.DUMMYFUNCTION("""COMPUTED_VALUE"""),2.0)</f>
        <v>2</v>
      </c>
      <c r="N162" s="74" t="str">
        <f>IFERROR(__xludf.DUMMYFUNCTION("""COMPUTED_VALUE"""),"Jan.23,2024")</f>
        <v>Jan.23,2024</v>
      </c>
      <c r="O162" s="74" t="str">
        <f>IFERROR(__xludf.DUMMYFUNCTION("""COMPUTED_VALUE"""),"Feb.1,2024")</f>
        <v>Feb.1,2024</v>
      </c>
      <c r="P162" s="2">
        <f>IFERROR(__xludf.DUMMYFUNCTION("""COMPUTED_VALUE"""),17976.0)</f>
        <v>17976</v>
      </c>
      <c r="Q162" s="2" t="str">
        <f>IFERROR(__xludf.DUMMYFUNCTION("""COMPUTED_VALUE"""),"KMC5825 ACRFPV0014")</f>
        <v>KMC5825 ACRFPV0014</v>
      </c>
      <c r="R162" s="2" t="str">
        <f>IFERROR(__xludf.DUMMYFUNCTION("""COMPUTED_VALUE"""),"PTS 100283")</f>
        <v>PTS 100283</v>
      </c>
      <c r="S162" s="2" t="str">
        <f>IFERROR(__xludf.DUMMYFUNCTION("""COMPUTED_VALUE"""),"R-SERIES 148 PH")</f>
        <v>R-SERIES 148 PH</v>
      </c>
      <c r="T162" s="2" t="str">
        <f>IFERROR(__xludf.DUMMYFUNCTION("""COMPUTED_VALUE"""),"LSGW1750 2312050")</f>
        <v>LSGW1750 2312050</v>
      </c>
      <c r="U162" s="2" t="str">
        <f>IFERROR(__xludf.DUMMYFUNCTION("""COMPUTED_VALUE"""),"WDP40 RMP 2312075")</f>
        <v>WDP40 RMP 2312075</v>
      </c>
      <c r="V162" s="2" t="str">
        <f>IFERROR(__xludf.DUMMYFUNCTION("""COMPUTED_VALUE"""),"no load")</f>
        <v>no load</v>
      </c>
      <c r="W162" s="2" t="str">
        <f>IFERROR(__xludf.DUMMYFUNCTION("""COMPUTED_VALUE"""),"VL103D")</f>
        <v>VL103D</v>
      </c>
      <c r="X162" s="2">
        <f>IFERROR(__xludf.DUMMYFUNCTION("""COMPUTED_VALUE"""),8.69066060240109E14)</f>
        <v>869066060240109</v>
      </c>
      <c r="Y162" s="2">
        <f>IFERROR(__xludf.DUMMYFUNCTION("""COMPUTED_VALUE"""),9.087601379E9)</f>
        <v>9087601379</v>
      </c>
      <c r="Z162" s="3" t="str">
        <f>IFERROR(__xludf.DUMMYFUNCTION("""COMPUTED_VALUE"""),"0323250006120744")</f>
        <v>0323250006120744</v>
      </c>
      <c r="AA162" s="2"/>
      <c r="AB162" s="2" t="str">
        <f>IFERROR(__xludf.DUMMYFUNCTION("""COMPUTED_VALUE"""),"nararagancabayu")</f>
        <v>nararagancabayu</v>
      </c>
    </row>
    <row r="163">
      <c r="A163" s="2" t="str">
        <f>IFERROR(__xludf.DUMMYFUNCTION("""COMPUTED_VALUE"""),"TT00161")</f>
        <v>TT00161</v>
      </c>
      <c r="B163" s="2" t="str">
        <f>IFERROR(__xludf.DUMMYFUNCTION("""COMPUTED_VALUE"""),"Completed")</f>
        <v>Completed</v>
      </c>
      <c r="C163" s="2" t="str">
        <f>IFERROR(__xludf.DUMMYFUNCTION("""COMPUTED_VALUE"""),"FOR BILLING L9")</f>
        <v>FOR BILLING L9</v>
      </c>
      <c r="D163" s="2" t="str">
        <f>IFERROR(__xludf.DUMMYFUNCTION("""COMPUTED_VALUE"""),"ZANJERA DAGOC-STO. TOMAS FARMERS ASSOCIATION, INC.")</f>
        <v>ZANJERA DAGOC-STO. TOMAS FARMERS ASSOCIATION, INC.</v>
      </c>
      <c r="E163" s="2" t="str">
        <f>IFERROR(__xludf.DUMMYFUNCTION("""COMPUTED_VALUE"""),"Santo Tomas, Claveria, CAGAYAN")</f>
        <v>Santo Tomas, Claveria, CAGAYAN</v>
      </c>
      <c r="F163" s="2" t="str">
        <f>IFERROR(__xludf.DUMMYFUNCTION("""COMPUTED_VALUE"""),"Roderick A. Agustin")</f>
        <v>Roderick A. Agustin</v>
      </c>
      <c r="G163" s="2">
        <f>IFERROR(__xludf.DUMMYFUNCTION("""COMPUTED_VALUE"""),9.232710227E9)</f>
        <v>9232710227</v>
      </c>
      <c r="H163" s="2"/>
      <c r="I163" s="2"/>
      <c r="J163" s="2"/>
      <c r="K163" s="2" t="str">
        <f>IFERROR(__xludf.DUMMYFUNCTION("""COMPUTED_VALUE"""),"RCEF 23-09-21 Rebidding")</f>
        <v>RCEF 23-09-21 Rebidding</v>
      </c>
      <c r="L163" s="2">
        <f>IFERROR(__xludf.DUMMYFUNCTION("""COMPUTED_VALUE"""),9.0)</f>
        <v>9</v>
      </c>
      <c r="M163" s="2">
        <f>IFERROR(__xludf.DUMMYFUNCTION("""COMPUTED_VALUE"""),2.0)</f>
        <v>2</v>
      </c>
      <c r="N163" s="74" t="str">
        <f>IFERROR(__xludf.DUMMYFUNCTION("""COMPUTED_VALUE"""),"Jan.23,2024")</f>
        <v>Jan.23,2024</v>
      </c>
      <c r="O163" s="74" t="str">
        <f>IFERROR(__xludf.DUMMYFUNCTION("""COMPUTED_VALUE"""),"Feb.1,2024")</f>
        <v>Feb.1,2024</v>
      </c>
      <c r="P163" s="2">
        <f>IFERROR(__xludf.DUMMYFUNCTION("""COMPUTED_VALUE"""),17977.0)</f>
        <v>17977</v>
      </c>
      <c r="Q163" s="2" t="str">
        <f>IFERROR(__xludf.DUMMYFUNCTION("""COMPUTED_VALUE"""),"KMC5825 ACPFPV0088")</f>
        <v>KMC5825 ACPFPV0088</v>
      </c>
      <c r="R163" s="2" t="str">
        <f>IFERROR(__xludf.DUMMYFUNCTION("""COMPUTED_VALUE"""),"PTS 003 PH")</f>
        <v>PTS 003 PH</v>
      </c>
      <c r="S163" s="2" t="str">
        <f>IFERROR(__xludf.DUMMYFUNCTION("""COMPUTED_VALUE"""),"R-SERIES 003 PH")</f>
        <v>R-SERIES 003 PH</v>
      </c>
      <c r="T163" s="2" t="str">
        <f>IFERROR(__xludf.DUMMYFUNCTION("""COMPUTED_VALUE"""),"LSGW1750 2312167")</f>
        <v>LSGW1750 2312167</v>
      </c>
      <c r="U163" s="2" t="str">
        <f>IFERROR(__xludf.DUMMYFUNCTION("""COMPUTED_VALUE"""),"WDP40 RMP 2312089")</f>
        <v>WDP40 RMP 2312089</v>
      </c>
      <c r="V163" s="2" t="str">
        <f>IFERROR(__xludf.DUMMYFUNCTION("""COMPUTED_VALUE"""),"no load")</f>
        <v>no load</v>
      </c>
      <c r="W163" s="2" t="str">
        <f>IFERROR(__xludf.DUMMYFUNCTION("""COMPUTED_VALUE"""),"VL103D")</f>
        <v>VL103D</v>
      </c>
      <c r="X163" s="2">
        <f>IFERROR(__xludf.DUMMYFUNCTION("""COMPUTED_VALUE"""),8.69066060245348E14)</f>
        <v>869066060245348</v>
      </c>
      <c r="Y163" s="2">
        <f>IFERROR(__xludf.DUMMYFUNCTION("""COMPUTED_VALUE"""),9.087391599E9)</f>
        <v>9087391599</v>
      </c>
      <c r="Z163" s="3" t="str">
        <f>IFERROR(__xludf.DUMMYFUNCTION("""COMPUTED_VALUE"""),"0323250006122690")</f>
        <v>0323250006122690</v>
      </c>
      <c r="AA163" s="2"/>
      <c r="AB163" s="2" t="str">
        <f>IFERROR(__xludf.DUMMYFUNCTION("""COMPUTED_VALUE"""),"zanjeradagoc")</f>
        <v>zanjeradagoc</v>
      </c>
    </row>
    <row r="164">
      <c r="A164" s="2" t="str">
        <f>IFERROR(__xludf.DUMMYFUNCTION("""COMPUTED_VALUE"""),"TT00162")</f>
        <v>TT00162</v>
      </c>
      <c r="B164" s="2" t="str">
        <f>IFERROR(__xludf.DUMMYFUNCTION("""COMPUTED_VALUE"""),"Completed")</f>
        <v>Completed</v>
      </c>
      <c r="C164" s="2" t="str">
        <f>IFERROR(__xludf.DUMMYFUNCTION("""COMPUTED_VALUE"""),"FOR BILLING L9")</f>
        <v>FOR BILLING L9</v>
      </c>
      <c r="D164" s="2" t="str">
        <f>IFERROR(__xludf.DUMMYFUNCTION("""COMPUTED_VALUE"""),"Panagkaykaysa ti Mannalon ti Viga Agriculture Cooperative (PMVAC)")</f>
        <v>Panagkaykaysa ti Mannalon ti Viga Agriculture Cooperative (PMVAC)</v>
      </c>
      <c r="E164" s="2" t="str">
        <f>IFERROR(__xludf.DUMMYFUNCTION("""COMPUTED_VALUE"""),"Viga, Lasam, CAGAYAN")</f>
        <v>Viga, Lasam, CAGAYAN</v>
      </c>
      <c r="F164" s="2" t="str">
        <f>IFERROR(__xludf.DUMMYFUNCTION("""COMPUTED_VALUE"""),"Rodolfo P. Mariñas")</f>
        <v>Rodolfo P. Mariñas</v>
      </c>
      <c r="G164" s="2">
        <f>IFERROR(__xludf.DUMMYFUNCTION("""COMPUTED_VALUE"""),9.355519837E9)</f>
        <v>9355519837</v>
      </c>
      <c r="H164" s="2"/>
      <c r="I164" s="2"/>
      <c r="J164" s="2"/>
      <c r="K164" s="2" t="str">
        <f>IFERROR(__xludf.DUMMYFUNCTION("""COMPUTED_VALUE"""),"RCEF 23-09-21 Rebidding")</f>
        <v>RCEF 23-09-21 Rebidding</v>
      </c>
      <c r="L164" s="2">
        <f>IFERROR(__xludf.DUMMYFUNCTION("""COMPUTED_VALUE"""),9.0)</f>
        <v>9</v>
      </c>
      <c r="M164" s="2">
        <f>IFERROR(__xludf.DUMMYFUNCTION("""COMPUTED_VALUE"""),2.0)</f>
        <v>2</v>
      </c>
      <c r="N164" s="74" t="str">
        <f>IFERROR(__xludf.DUMMYFUNCTION("""COMPUTED_VALUE"""),"Jan.23,2024")</f>
        <v>Jan.23,2024</v>
      </c>
      <c r="O164" s="74" t="str">
        <f>IFERROR(__xludf.DUMMYFUNCTION("""COMPUTED_VALUE"""),"Feb.1,2024")</f>
        <v>Feb.1,2024</v>
      </c>
      <c r="P164" s="2">
        <f>IFERROR(__xludf.DUMMYFUNCTION("""COMPUTED_VALUE"""),17978.0)</f>
        <v>17978</v>
      </c>
      <c r="Q164" s="2" t="str">
        <f>IFERROR(__xludf.DUMMYFUNCTION("""COMPUTED_VALUE"""),"KMC5825 AJPFPV0050")</f>
        <v>KMC5825 AJPFPV0050</v>
      </c>
      <c r="R164" s="2" t="str">
        <f>IFERROR(__xludf.DUMMYFUNCTION("""COMPUTED_VALUE"""),"PTS100063")</f>
        <v>PTS100063</v>
      </c>
      <c r="S164" s="2" t="str">
        <f>IFERROR(__xludf.DUMMYFUNCTION("""COMPUTED_VALUE"""),"R-SERIES 044 PH")</f>
        <v>R-SERIES 044 PH</v>
      </c>
      <c r="T164" s="2" t="str">
        <f>IFERROR(__xludf.DUMMYFUNCTION("""COMPUTED_VALUE"""),"LSGW1750 2312141")</f>
        <v>LSGW1750 2312141</v>
      </c>
      <c r="U164" s="2" t="str">
        <f>IFERROR(__xludf.DUMMYFUNCTION("""COMPUTED_VALUE"""),"WDP40 RMP 2312097")</f>
        <v>WDP40 RMP 2312097</v>
      </c>
      <c r="V164" s="2" t="str">
        <f>IFERROR(__xludf.DUMMYFUNCTION("""COMPUTED_VALUE"""),"no load")</f>
        <v>no load</v>
      </c>
      <c r="W164" s="2" t="str">
        <f>IFERROR(__xludf.DUMMYFUNCTION("""COMPUTED_VALUE"""),"VL103D")</f>
        <v>VL103D</v>
      </c>
      <c r="X164" s="2">
        <f>IFERROR(__xludf.DUMMYFUNCTION("""COMPUTED_VALUE"""),8.69066060245314E14)</f>
        <v>869066060245314</v>
      </c>
      <c r="Y164" s="2">
        <f>IFERROR(__xludf.DUMMYFUNCTION("""COMPUTED_VALUE"""),9.08685729E9)</f>
        <v>9086857290</v>
      </c>
      <c r="Z164" s="3" t="str">
        <f>IFERROR(__xludf.DUMMYFUNCTION("""COMPUTED_VALUE"""),"0323250006120751")</f>
        <v>0323250006120751</v>
      </c>
      <c r="AA164" s="2"/>
      <c r="AB164" s="2" t="str">
        <f>IFERROR(__xludf.DUMMYFUNCTION("""COMPUTED_VALUE"""),"pmvac")</f>
        <v>pmvac</v>
      </c>
    </row>
    <row r="165">
      <c r="A165" s="2" t="str">
        <f>IFERROR(__xludf.DUMMYFUNCTION("""COMPUTED_VALUE"""),"TT00163")</f>
        <v>TT00163</v>
      </c>
      <c r="B165" s="2" t="str">
        <f>IFERROR(__xludf.DUMMYFUNCTION("""COMPUTED_VALUE"""),"Completed")</f>
        <v>Completed</v>
      </c>
      <c r="C165" s="2" t="str">
        <f>IFERROR(__xludf.DUMMYFUNCTION("""COMPUTED_VALUE"""),"FOR BILLING L9")</f>
        <v>FOR BILLING L9</v>
      </c>
      <c r="D165" s="2" t="str">
        <f>IFERROR(__xludf.DUMMYFUNCTION("""COMPUTED_VALUE"""),"TARICUSTO FARMERS IRRIGATORS' ASSOCIATION INC.")</f>
        <v>TARICUSTO FARMERS IRRIGATORS' ASSOCIATION INC.</v>
      </c>
      <c r="E165" s="2" t="str">
        <f>IFERROR(__xludf.DUMMYFUNCTION("""COMPUTED_VALUE"""),"Taribubu, Tuao, CAGAYAN")</f>
        <v>Taribubu, Tuao, CAGAYAN</v>
      </c>
      <c r="F165" s="2" t="str">
        <f>IFERROR(__xludf.DUMMYFUNCTION("""COMPUTED_VALUE"""),"Fernando L Del Monte")</f>
        <v>Fernando L Del Monte</v>
      </c>
      <c r="G165" s="2">
        <f>IFERROR(__xludf.DUMMYFUNCTION("""COMPUTED_VALUE"""),9.978832047E9)</f>
        <v>9978832047</v>
      </c>
      <c r="H165" s="2"/>
      <c r="I165" s="2"/>
      <c r="J165" s="2"/>
      <c r="K165" s="2" t="str">
        <f>IFERROR(__xludf.DUMMYFUNCTION("""COMPUTED_VALUE"""),"RCEF 23-09-21 Rebidding")</f>
        <v>RCEF 23-09-21 Rebidding</v>
      </c>
      <c r="L165" s="2">
        <f>IFERROR(__xludf.DUMMYFUNCTION("""COMPUTED_VALUE"""),9.0)</f>
        <v>9</v>
      </c>
      <c r="M165" s="2">
        <f>IFERROR(__xludf.DUMMYFUNCTION("""COMPUTED_VALUE"""),2.0)</f>
        <v>2</v>
      </c>
      <c r="N165" s="74" t="str">
        <f>IFERROR(__xludf.DUMMYFUNCTION("""COMPUTED_VALUE"""),"Jan.23,2024")</f>
        <v>Jan.23,2024</v>
      </c>
      <c r="O165" s="74" t="str">
        <f>IFERROR(__xludf.DUMMYFUNCTION("""COMPUTED_VALUE"""),"Jan.2,2024")</f>
        <v>Jan.2,2024</v>
      </c>
      <c r="P165" s="2">
        <f>IFERROR(__xludf.DUMMYFUNCTION("""COMPUTED_VALUE"""),17979.0)</f>
        <v>17979</v>
      </c>
      <c r="Q165" s="2" t="str">
        <f>IFERROR(__xludf.DUMMYFUNCTION("""COMPUTED_VALUE"""),"KMC5825 ACPFPV0155")</f>
        <v>KMC5825 ACPFPV0155</v>
      </c>
      <c r="R165" s="2" t="str">
        <f>IFERROR(__xludf.DUMMYFUNCTION("""COMPUTED_VALUE"""),"PTS100112")</f>
        <v>PTS100112</v>
      </c>
      <c r="S165" s="2" t="str">
        <f>IFERROR(__xludf.DUMMYFUNCTION("""COMPUTED_VALUE"""),"R-SERIES 010 PH")</f>
        <v>R-SERIES 010 PH</v>
      </c>
      <c r="T165" s="2" t="str">
        <f>IFERROR(__xludf.DUMMYFUNCTION("""COMPUTED_VALUE"""),"LSGW1750 2312137")</f>
        <v>LSGW1750 2312137</v>
      </c>
      <c r="U165" s="2" t="str">
        <f>IFERROR(__xludf.DUMMYFUNCTION("""COMPUTED_VALUE"""),"WDP40 RMP 2312110")</f>
        <v>WDP40 RMP 2312110</v>
      </c>
      <c r="V165" s="2" t="str">
        <f>IFERROR(__xludf.DUMMYFUNCTION("""COMPUTED_VALUE"""),"no load")</f>
        <v>no load</v>
      </c>
      <c r="W165" s="2" t="str">
        <f>IFERROR(__xludf.DUMMYFUNCTION("""COMPUTED_VALUE"""),"VL103D")</f>
        <v>VL103D</v>
      </c>
      <c r="X165" s="2">
        <f>IFERROR(__xludf.DUMMYFUNCTION("""COMPUTED_VALUE"""),8.69066060237956E14)</f>
        <v>869066060237956</v>
      </c>
      <c r="Y165" s="2">
        <f>IFERROR(__xludf.DUMMYFUNCTION("""COMPUTED_VALUE"""),9.083789203E9)</f>
        <v>9083789203</v>
      </c>
      <c r="Z165" s="3" t="str">
        <f>IFERROR(__xludf.DUMMYFUNCTION("""COMPUTED_VALUE"""),"0323250006122633")</f>
        <v>0323250006122633</v>
      </c>
      <c r="AA165" s="2"/>
      <c r="AB165" s="2" t="str">
        <f>IFERROR(__xludf.DUMMYFUNCTION("""COMPUTED_VALUE"""),"taricustoirrig")</f>
        <v>taricustoirrig</v>
      </c>
    </row>
    <row r="166">
      <c r="A166" s="2" t="str">
        <f>IFERROR(__xludf.DUMMYFUNCTION("""COMPUTED_VALUE"""),"TT00164")</f>
        <v>TT00164</v>
      </c>
      <c r="B166" s="2"/>
      <c r="C166" s="2"/>
      <c r="D166" s="2" t="str">
        <f>IFERROR(__xludf.DUMMYFUNCTION("""COMPUTED_VALUE"""),"Southern BugueyAgrarian Reform Beneficiary Cooperative")</f>
        <v>Southern BugueyAgrarian Reform Beneficiary Cooperative</v>
      </c>
      <c r="E166" s="2" t="str">
        <f>IFERROR(__xludf.DUMMYFUNCTION("""COMPUTED_VALUE"""),"Santa Isabel, Buguey, CAGAYAN")</f>
        <v>Santa Isabel, Buguey, CAGAYAN</v>
      </c>
      <c r="F166" s="2" t="str">
        <f>IFERROR(__xludf.DUMMYFUNCTION("""COMPUTED_VALUE"""),"Geromino B.Fontiveros")</f>
        <v>Geromino B.Fontiveros</v>
      </c>
      <c r="G166" s="2">
        <f>IFERROR(__xludf.DUMMYFUNCTION("""COMPUTED_VALUE"""),9.363713303E9)</f>
        <v>9363713303</v>
      </c>
      <c r="H166" s="2"/>
      <c r="I166" s="2"/>
      <c r="J166" s="2"/>
      <c r="K166" s="2" t="str">
        <f>IFERROR(__xludf.DUMMYFUNCTION("""COMPUTED_VALUE"""),"RCEF 23-09-21 Rebidding")</f>
        <v>RCEF 23-09-21 Rebidding</v>
      </c>
      <c r="L166" s="2" t="str">
        <f>IFERROR(__xludf.DUMMYFUNCTION("""COMPUTED_VALUE"""),"1v2")</f>
        <v>1v2</v>
      </c>
      <c r="M166" s="2">
        <f>IFERROR(__xludf.DUMMYFUNCTION("""COMPUTED_VALUE"""),2.0)</f>
        <v>2</v>
      </c>
      <c r="N166" s="2" t="str">
        <f>IFERROR(__xludf.DUMMYFUNCTION("""COMPUTED_VALUE"""),"Jan.23,2024")</f>
        <v>Jan.23,2024</v>
      </c>
      <c r="O166" s="74">
        <f>IFERROR(__xludf.DUMMYFUNCTION("""COMPUTED_VALUE"""),45441.0)</f>
        <v>45441</v>
      </c>
      <c r="P166" s="2">
        <f>IFERROR(__xludf.DUMMYFUNCTION("""COMPUTED_VALUE"""),17980.0)</f>
        <v>17980</v>
      </c>
      <c r="Q166" s="2" t="str">
        <f>IFERROR(__xludf.DUMMYFUNCTION("""COMPUTED_VALUE"""),"KMC5825 AHRFPV0625")</f>
        <v>KMC5825 AHRFPV0625</v>
      </c>
      <c r="R166" s="2" t="str">
        <f>IFERROR(__xludf.DUMMYFUNCTION("""COMPUTED_VALUE"""),"RTS100524")</f>
        <v>RTS100524</v>
      </c>
      <c r="S166" s="2" t="str">
        <f>IFERROR(__xludf.DUMMYFUNCTION("""COMPUTED_VALUE"""),"WR-SERIES 872 PH")</f>
        <v>WR-SERIES 872 PH</v>
      </c>
      <c r="T166" s="2" t="str">
        <f>IFERROR(__xludf.DUMMYFUNCTION("""COMPUTED_VALUE"""),"LSGW1750 RMP 24020526")</f>
        <v>LSGW1750 RMP 24020526</v>
      </c>
      <c r="U166" s="2" t="str">
        <f>IFERROR(__xludf.DUMMYFUNCTION("""COMPUTED_VALUE"""),"WDP40 RMP 24050571")</f>
        <v>WDP40 RMP 24050571</v>
      </c>
      <c r="V166" s="2"/>
      <c r="W166" s="2" t="str">
        <f>IFERROR(__xludf.DUMMYFUNCTION("""COMPUTED_VALUE"""),"VL103D")</f>
        <v>VL103D</v>
      </c>
      <c r="X166" s="2"/>
      <c r="Y166" s="2"/>
      <c r="Z166" s="2"/>
      <c r="AA166" s="2"/>
      <c r="AB166" s="2" t="str">
        <f>IFERROR(__xludf.DUMMYFUNCTION("""COMPUTED_VALUE"""),"southernbuguey")</f>
        <v>southernbuguey</v>
      </c>
    </row>
    <row r="167">
      <c r="A167" s="2" t="str">
        <f>IFERROR(__xludf.DUMMYFUNCTION("""COMPUTED_VALUE"""),"TT00165")</f>
        <v>TT00165</v>
      </c>
      <c r="B167" s="2" t="str">
        <f>IFERROR(__xludf.DUMMYFUNCTION("""COMPUTED_VALUE"""),"Completed")</f>
        <v>Completed</v>
      </c>
      <c r="C167" s="2" t="str">
        <f>IFERROR(__xludf.DUMMYFUNCTION("""COMPUTED_VALUE"""),"FOR BILLING L1V2")</f>
        <v>FOR BILLING L1V2</v>
      </c>
      <c r="D167" s="2" t="str">
        <f>IFERROR(__xludf.DUMMYFUNCTION("""COMPUTED_VALUE"""),"BESSANG SMALL WATER IMPOUNDING SYSTEM ASSOCIATION (BESWISA)")</f>
        <v>BESSANG SMALL WATER IMPOUNDING SYSTEM ASSOCIATION (BESWISA)</v>
      </c>
      <c r="E167" s="2" t="str">
        <f>IFERROR(__xludf.DUMMYFUNCTION("""COMPUTED_VALUE"""),"Bessang, Allacapan, CAGAYAN")</f>
        <v>Bessang, Allacapan, CAGAYAN</v>
      </c>
      <c r="F167" s="2" t="str">
        <f>IFERROR(__xludf.DUMMYFUNCTION("""COMPUTED_VALUE"""),"Maximo T. Vicerra")</f>
        <v>Maximo T. Vicerra</v>
      </c>
      <c r="G167" s="2">
        <f>IFERROR(__xludf.DUMMYFUNCTION("""COMPUTED_VALUE"""),9.178227233E9)</f>
        <v>9178227233</v>
      </c>
      <c r="H167" s="2"/>
      <c r="I167" s="2"/>
      <c r="J167" s="2"/>
      <c r="K167" s="2" t="str">
        <f>IFERROR(__xludf.DUMMYFUNCTION("""COMPUTED_VALUE"""),"RCEF 23-09-21 Rebidding")</f>
        <v>RCEF 23-09-21 Rebidding</v>
      </c>
      <c r="L167" s="2" t="str">
        <f>IFERROR(__xludf.DUMMYFUNCTION("""COMPUTED_VALUE"""),"1v2")</f>
        <v>1v2</v>
      </c>
      <c r="M167" s="2">
        <f>IFERROR(__xludf.DUMMYFUNCTION("""COMPUTED_VALUE"""),2.0)</f>
        <v>2</v>
      </c>
      <c r="N167" s="74" t="str">
        <f>IFERROR(__xludf.DUMMYFUNCTION("""COMPUTED_VALUE"""),"Jan.23,2024")</f>
        <v>Jan.23,2024</v>
      </c>
      <c r="O167" s="74" t="str">
        <f>IFERROR(__xludf.DUMMYFUNCTION("""COMPUTED_VALUE"""),"Feb.1,2024")</f>
        <v>Feb.1,2024</v>
      </c>
      <c r="P167" s="2">
        <f>IFERROR(__xludf.DUMMYFUNCTION("""COMPUTED_VALUE"""),17981.0)</f>
        <v>17981</v>
      </c>
      <c r="Q167" s="2" t="str">
        <f>IFERROR(__xludf.DUMMYFUNCTION("""COMPUTED_VALUE"""),"KMC5825 AHRFPV0009")</f>
        <v>KMC5825 AHRFPV0009</v>
      </c>
      <c r="R167" s="2" t="str">
        <f>IFERROR(__xludf.DUMMYFUNCTION("""COMPUTED_VALUE"""),"PTS 100231")</f>
        <v>PTS 100231</v>
      </c>
      <c r="S167" s="2" t="str">
        <f>IFERROR(__xludf.DUMMYFUNCTION("""COMPUTED_VALUE"""),"R-SERIES 003 PH")</f>
        <v>R-SERIES 003 PH</v>
      </c>
      <c r="T167" s="2" t="str">
        <f>IFERROR(__xludf.DUMMYFUNCTION("""COMPUTED_VALUE"""),"LSGW1750 2312075")</f>
        <v>LSGW1750 2312075</v>
      </c>
      <c r="U167" s="2" t="str">
        <f>IFERROR(__xludf.DUMMYFUNCTION("""COMPUTED_VALUE"""),"WDP40 RMP 2312115")</f>
        <v>WDP40 RMP 2312115</v>
      </c>
      <c r="V167" s="2" t="str">
        <f>IFERROR(__xludf.DUMMYFUNCTION("""COMPUTED_VALUE"""),"no load")</f>
        <v>no load</v>
      </c>
      <c r="W167" s="2" t="str">
        <f>IFERROR(__xludf.DUMMYFUNCTION("""COMPUTED_VALUE"""),"VL103D")</f>
        <v>VL103D</v>
      </c>
      <c r="X167" s="2">
        <f>IFERROR(__xludf.DUMMYFUNCTION("""COMPUTED_VALUE"""),8.69066060237832E14)</f>
        <v>869066060237832</v>
      </c>
      <c r="Y167" s="2" t="str">
        <f>IFERROR(__xludf.DUMMYFUNCTION("""COMPUTED_VALUE"""),"03232500006122658")</f>
        <v>03232500006122658</v>
      </c>
      <c r="Z167" s="2"/>
      <c r="AA167" s="2"/>
      <c r="AB167" s="2" t="str">
        <f>IFERROR(__xludf.DUMMYFUNCTION("""COMPUTED_VALUE"""),"beswisa")</f>
        <v>beswisa</v>
      </c>
    </row>
    <row r="168">
      <c r="A168" s="2" t="str">
        <f>IFERROR(__xludf.DUMMYFUNCTION("""COMPUTED_VALUE"""),"TT00166")</f>
        <v>TT00166</v>
      </c>
      <c r="B168" s="2" t="str">
        <f>IFERROR(__xludf.DUMMYFUNCTION("""COMPUTED_VALUE"""),"Completed")</f>
        <v>Completed</v>
      </c>
      <c r="C168" s="2" t="str">
        <f>IFERROR(__xludf.DUMMYFUNCTION("""COMPUTED_VALUE"""),"FOR BILLING L1V2")</f>
        <v>FOR BILLING L1V2</v>
      </c>
      <c r="D168" s="2" t="str">
        <f>IFERROR(__xludf.DUMMYFUNCTION("""COMPUTED_VALUE"""),"ZANJERA BILIBIGAO FARMERS IRRIGATORS ASSOCIATION INC.")</f>
        <v>ZANJERA BILIBIGAO FARMERS IRRIGATORS ASSOCIATION INC.</v>
      </c>
      <c r="E168" s="2" t="str">
        <f>IFERROR(__xludf.DUMMYFUNCTION("""COMPUTED_VALUE"""),"Bilibigao, Claveria, CAGAYAN")</f>
        <v>Bilibigao, Claveria, CAGAYAN</v>
      </c>
      <c r="F168" s="2" t="str">
        <f>IFERROR(__xludf.DUMMYFUNCTION("""COMPUTED_VALUE"""),"Nixon A. Alipio")</f>
        <v>Nixon A. Alipio</v>
      </c>
      <c r="G168" s="2">
        <f>IFERROR(__xludf.DUMMYFUNCTION("""COMPUTED_VALUE"""),9.777372618E9)</f>
        <v>9777372618</v>
      </c>
      <c r="H168" s="2"/>
      <c r="I168" s="2"/>
      <c r="J168" s="2"/>
      <c r="K168" s="2" t="str">
        <f>IFERROR(__xludf.DUMMYFUNCTION("""COMPUTED_VALUE"""),"RCEF 23-09-21 Rebidding")</f>
        <v>RCEF 23-09-21 Rebidding</v>
      </c>
      <c r="L168" s="2" t="str">
        <f>IFERROR(__xludf.DUMMYFUNCTION("""COMPUTED_VALUE"""),"1v2")</f>
        <v>1v2</v>
      </c>
      <c r="M168" s="2">
        <f>IFERROR(__xludf.DUMMYFUNCTION("""COMPUTED_VALUE"""),2.0)</f>
        <v>2</v>
      </c>
      <c r="N168" s="74" t="str">
        <f>IFERROR(__xludf.DUMMYFUNCTION("""COMPUTED_VALUE"""),"Jan.23,2024")</f>
        <v>Jan.23,2024</v>
      </c>
      <c r="O168" s="74" t="str">
        <f>IFERROR(__xludf.DUMMYFUNCTION("""COMPUTED_VALUE"""),"Feb.1,2024")</f>
        <v>Feb.1,2024</v>
      </c>
      <c r="P168" s="2">
        <f>IFERROR(__xludf.DUMMYFUNCTION("""COMPUTED_VALUE"""),17982.0)</f>
        <v>17982</v>
      </c>
      <c r="Q168" s="2" t="str">
        <f>IFERROR(__xludf.DUMMYFUNCTION("""COMPUTED_VALUE"""),"KMC5825 ACPFPV0019")</f>
        <v>KMC5825 ACPFPV0019</v>
      </c>
      <c r="R168" s="2" t="str">
        <f>IFERROR(__xludf.DUMMYFUNCTION("""COMPUTED_VALUE"""),"PTS100165")</f>
        <v>PTS100165</v>
      </c>
      <c r="S168" s="2" t="str">
        <f>IFERROR(__xludf.DUMMYFUNCTION("""COMPUTED_VALUE"""),"R-SERIES 012 PH")</f>
        <v>R-SERIES 012 PH</v>
      </c>
      <c r="T168" s="2" t="str">
        <f>IFERROR(__xludf.DUMMYFUNCTION("""COMPUTED_VALUE"""),"LSGW1750 2312176")</f>
        <v>LSGW1750 2312176</v>
      </c>
      <c r="U168" s="2" t="str">
        <f>IFERROR(__xludf.DUMMYFUNCTION("""COMPUTED_VALUE"""),"WDP40 RMP 2312106")</f>
        <v>WDP40 RMP 2312106</v>
      </c>
      <c r="V168" s="2" t="str">
        <f>IFERROR(__xludf.DUMMYFUNCTION("""COMPUTED_VALUE"""),"no load")</f>
        <v>no load</v>
      </c>
      <c r="W168" s="2" t="str">
        <f>IFERROR(__xludf.DUMMYFUNCTION("""COMPUTED_VALUE"""),"VL103D")</f>
        <v>VL103D</v>
      </c>
      <c r="X168" s="2">
        <f>IFERROR(__xludf.DUMMYFUNCTION("""COMPUTED_VALUE"""),8.6906606023661E14)</f>
        <v>869066060236610</v>
      </c>
      <c r="Y168" s="2">
        <f>IFERROR(__xludf.DUMMYFUNCTION("""COMPUTED_VALUE"""),9.086506075E9)</f>
        <v>9086506075</v>
      </c>
      <c r="Z168" s="3" t="str">
        <f>IFERROR(__xludf.DUMMYFUNCTION("""COMPUTED_VALUE"""),"0323250006122732")</f>
        <v>0323250006122732</v>
      </c>
      <c r="AA168" s="2"/>
      <c r="AB168" s="2" t="str">
        <f>IFERROR(__xludf.DUMMYFUNCTION("""COMPUTED_VALUE"""),"zanjerabilibigao")</f>
        <v>zanjerabilibigao</v>
      </c>
    </row>
    <row r="169">
      <c r="A169" s="2" t="str">
        <f>IFERROR(__xludf.DUMMYFUNCTION("""COMPUTED_VALUE"""),"TT00167")</f>
        <v>TT00167</v>
      </c>
      <c r="B169" s="2"/>
      <c r="C169" s="2"/>
      <c r="D169" s="2" t="str">
        <f>IFERROR(__xludf.DUMMYFUNCTION("""COMPUTED_VALUE"""),"PCSC FARMERS IRRIGATORS' ASSOCIATION, INC.")</f>
        <v>PCSC FARMERS IRRIGATORS' ASSOCIATION, INC.</v>
      </c>
      <c r="E169" s="2" t="str">
        <f>IFERROR(__xludf.DUMMYFUNCTION("""COMPUTED_VALUE"""),"Curva, Pamplona, CAGAYAN")</f>
        <v>Curva, Pamplona, CAGAYAN</v>
      </c>
      <c r="F169" s="2" t="str">
        <f>IFERROR(__xludf.DUMMYFUNCTION("""COMPUTED_VALUE"""),"Pio I. Tabao")</f>
        <v>Pio I. Tabao</v>
      </c>
      <c r="G169" s="2">
        <f>IFERROR(__xludf.DUMMYFUNCTION("""COMPUTED_VALUE"""),9.261358387E9)</f>
        <v>9261358387</v>
      </c>
      <c r="H169" s="2"/>
      <c r="I169" s="2"/>
      <c r="J169" s="2"/>
      <c r="K169" s="2" t="str">
        <f>IFERROR(__xludf.DUMMYFUNCTION("""COMPUTED_VALUE"""),"RCEF 23-09-21 Rebidding")</f>
        <v>RCEF 23-09-21 Rebidding</v>
      </c>
      <c r="L169" s="2" t="str">
        <f>IFERROR(__xludf.DUMMYFUNCTION("""COMPUTED_VALUE"""),"1v2")</f>
        <v>1v2</v>
      </c>
      <c r="M169" s="2">
        <f>IFERROR(__xludf.DUMMYFUNCTION("""COMPUTED_VALUE"""),2.0)</f>
        <v>2</v>
      </c>
      <c r="N169" s="2" t="str">
        <f>IFERROR(__xludf.DUMMYFUNCTION("""COMPUTED_VALUE"""),"Jan.23,2024")</f>
        <v>Jan.23,2024</v>
      </c>
      <c r="O169" s="74">
        <f>IFERROR(__xludf.DUMMYFUNCTION("""COMPUTED_VALUE"""),45441.0)</f>
        <v>45441</v>
      </c>
      <c r="P169" s="2">
        <f>IFERROR(__xludf.DUMMYFUNCTION("""COMPUTED_VALUE"""),17983.0)</f>
        <v>17983</v>
      </c>
      <c r="Q169" s="2" t="str">
        <f>IFERROR(__xludf.DUMMYFUNCTION("""COMPUTED_VALUE"""),"kmc5825AJRFPV0519")</f>
        <v>kmc5825AJRFPV0519</v>
      </c>
      <c r="R169" s="2" t="str">
        <f>IFERROR(__xludf.DUMMYFUNCTION("""COMPUTED_VALUE"""),"RTS 100409")</f>
        <v>RTS 100409</v>
      </c>
      <c r="S169" s="2" t="str">
        <f>IFERROR(__xludf.DUMMYFUNCTION("""COMPUTED_VALUE"""),"WR SERIES 871 PH")</f>
        <v>WR SERIES 871 PH</v>
      </c>
      <c r="T169" s="2" t="str">
        <f>IFERROR(__xludf.DUMMYFUNCTION("""COMPUTED_VALUE"""),"LSGW1750 RMP 24020530")</f>
        <v>LSGW1750 RMP 24020530</v>
      </c>
      <c r="U169" s="2" t="str">
        <f>IFERROR(__xludf.DUMMYFUNCTION("""COMPUTED_VALUE"""),"WDP40 RMP 24050568")</f>
        <v>WDP40 RMP 24050568</v>
      </c>
      <c r="V169" s="2"/>
      <c r="W169" s="2" t="str">
        <f>IFERROR(__xludf.DUMMYFUNCTION("""COMPUTED_VALUE"""),"VL103D")</f>
        <v>VL103D</v>
      </c>
      <c r="X169" s="2"/>
      <c r="Y169" s="2"/>
      <c r="Z169" s="2"/>
      <c r="AA169" s="2"/>
      <c r="AB169" s="2" t="str">
        <f>IFERROR(__xludf.DUMMYFUNCTION("""COMPUTED_VALUE"""),"pcscirrig")</f>
        <v>pcscirrig</v>
      </c>
    </row>
    <row r="170">
      <c r="A170" s="2" t="str">
        <f>IFERROR(__xludf.DUMMYFUNCTION("""COMPUTED_VALUE"""),"TT00168")</f>
        <v>TT00168</v>
      </c>
      <c r="B170" s="2" t="str">
        <f>IFERROR(__xludf.DUMMYFUNCTION("""COMPUTED_VALUE"""),"Completed")</f>
        <v>Completed</v>
      </c>
      <c r="C170" s="2" t="str">
        <f>IFERROR(__xludf.DUMMYFUNCTION("""COMPUTED_VALUE"""),"FOR BILLING L1V2")</f>
        <v>FOR BILLING L1V2</v>
      </c>
      <c r="D170" s="2" t="str">
        <f>IFERROR(__xludf.DUMMYFUNCTION("""COMPUTED_VALUE"""),"PINUPUK SMALL WATER IRRIGATION SYSTEM ASSOCIATION INC.")</f>
        <v>PINUPUK SMALL WATER IRRIGATION SYSTEM ASSOCIATION INC.</v>
      </c>
      <c r="E170" s="2" t="str">
        <f>IFERROR(__xludf.DUMMYFUNCTION("""COMPUTED_VALUE"""),"Santiago, Iguig, CAGAYAN")</f>
        <v>Santiago, Iguig, CAGAYAN</v>
      </c>
      <c r="F170" s="2" t="str">
        <f>IFERROR(__xludf.DUMMYFUNCTION("""COMPUTED_VALUE"""),"Maylene R.Najorra")</f>
        <v>Maylene R.Najorra</v>
      </c>
      <c r="G170" s="2">
        <f>IFERROR(__xludf.DUMMYFUNCTION("""COMPUTED_VALUE"""),9.169272276E9)</f>
        <v>9169272276</v>
      </c>
      <c r="H170" s="2"/>
      <c r="I170" s="2"/>
      <c r="J170" s="2"/>
      <c r="K170" s="2" t="str">
        <f>IFERROR(__xludf.DUMMYFUNCTION("""COMPUTED_VALUE"""),"RCEF 23-09-21 Rebidding")</f>
        <v>RCEF 23-09-21 Rebidding</v>
      </c>
      <c r="L170" s="2" t="str">
        <f>IFERROR(__xludf.DUMMYFUNCTION("""COMPUTED_VALUE"""),"1v2")</f>
        <v>1v2</v>
      </c>
      <c r="M170" s="2">
        <f>IFERROR(__xludf.DUMMYFUNCTION("""COMPUTED_VALUE"""),2.0)</f>
        <v>2</v>
      </c>
      <c r="N170" s="74" t="str">
        <f>IFERROR(__xludf.DUMMYFUNCTION("""COMPUTED_VALUE"""),"Jan.23,2024")</f>
        <v>Jan.23,2024</v>
      </c>
      <c r="O170" s="74" t="str">
        <f>IFERROR(__xludf.DUMMYFUNCTION("""COMPUTED_VALUE"""),"Feb.1,2024")</f>
        <v>Feb.1,2024</v>
      </c>
      <c r="P170" s="2">
        <f>IFERROR(__xludf.DUMMYFUNCTION("""COMPUTED_VALUE"""),17984.0)</f>
        <v>17984</v>
      </c>
      <c r="Q170" s="2" t="str">
        <f>IFERROR(__xludf.DUMMYFUNCTION("""COMPUTED_VALUE"""),"KMC5825 ATRFPV0015")</f>
        <v>KMC5825 ATRFPV0015</v>
      </c>
      <c r="R170" s="2" t="str">
        <f>IFERROR(__xludf.DUMMYFUNCTION("""COMPUTED_VALUE"""),"PTS 100288")</f>
        <v>PTS 100288</v>
      </c>
      <c r="S170" s="2" t="str">
        <f>IFERROR(__xludf.DUMMYFUNCTION("""COMPUTED_VALUE"""),"R-SERIES 039 PH")</f>
        <v>R-SERIES 039 PH</v>
      </c>
      <c r="T170" s="2" t="str">
        <f>IFERROR(__xludf.DUMMYFUNCTION("""COMPUTED_VALUE"""),"LSGW1750 2312078")</f>
        <v>LSGW1750 2312078</v>
      </c>
      <c r="U170" s="2" t="str">
        <f>IFERROR(__xludf.DUMMYFUNCTION("""COMPUTED_VALUE"""),"WDP40 RMP 2312087")</f>
        <v>WDP40 RMP 2312087</v>
      </c>
      <c r="V170" s="2" t="str">
        <f>IFERROR(__xludf.DUMMYFUNCTION("""COMPUTED_VALUE"""),"no load")</f>
        <v>no load</v>
      </c>
      <c r="W170" s="2" t="str">
        <f>IFERROR(__xludf.DUMMYFUNCTION("""COMPUTED_VALUE"""),"VL103D")</f>
        <v>VL103D</v>
      </c>
      <c r="X170" s="2">
        <f>IFERROR(__xludf.DUMMYFUNCTION("""COMPUTED_VALUE"""),8.69066060237873E14)</f>
        <v>869066060237873</v>
      </c>
      <c r="Y170" s="2">
        <f>IFERROR(__xludf.DUMMYFUNCTION("""COMPUTED_VALUE"""),9.083264957E9)</f>
        <v>9083264957</v>
      </c>
      <c r="Z170" s="3" t="str">
        <f>IFERROR(__xludf.DUMMYFUNCTION("""COMPUTED_VALUE"""),"0323250006122625")</f>
        <v>0323250006122625</v>
      </c>
      <c r="AA170" s="2"/>
      <c r="AB170" s="2" t="str">
        <f>IFERROR(__xludf.DUMMYFUNCTION("""COMPUTED_VALUE"""),"pinupukswis")</f>
        <v>pinupukswis</v>
      </c>
    </row>
    <row r="171">
      <c r="A171" s="2" t="str">
        <f>IFERROR(__xludf.DUMMYFUNCTION("""COMPUTED_VALUE"""),"TT00169")</f>
        <v>TT00169</v>
      </c>
      <c r="B171" s="2" t="str">
        <f>IFERROR(__xludf.DUMMYFUNCTION("""COMPUTED_VALUE"""),"Completed")</f>
        <v>Completed</v>
      </c>
      <c r="C171" s="2" t="str">
        <f>IFERROR(__xludf.DUMMYFUNCTION("""COMPUTED_VALUE"""),"FOR BILLING L1V2")</f>
        <v>FOR BILLING L1V2</v>
      </c>
      <c r="D171" s="2" t="str">
        <f>IFERROR(__xludf.DUMMYFUNCTION("""COMPUTED_VALUE"""),"IRAGA Water Pump Irrigators Association Inc. (IWPIA)")</f>
        <v>IRAGA Water Pump Irrigators Association Inc. (IWPIA)</v>
      </c>
      <c r="E171" s="2" t="str">
        <f>IFERROR(__xludf.DUMMYFUNCTION("""COMPUTED_VALUE"""),"Iraga, Solana, CAGAYAN")</f>
        <v>Iraga, Solana, CAGAYAN</v>
      </c>
      <c r="F171" s="2" t="str">
        <f>IFERROR(__xludf.DUMMYFUNCTION("""COMPUTED_VALUE"""),"Elias I. Vicente Jr.")</f>
        <v>Elias I. Vicente Jr.</v>
      </c>
      <c r="G171" s="2" t="str">
        <f>IFERROR(__xludf.DUMMYFUNCTION("""COMPUTED_VALUE"""),"09656613666/ 09451886483")</f>
        <v>09656613666/ 09451886483</v>
      </c>
      <c r="H171" s="2"/>
      <c r="I171" s="2"/>
      <c r="J171" s="2"/>
      <c r="K171" s="2" t="str">
        <f>IFERROR(__xludf.DUMMYFUNCTION("""COMPUTED_VALUE"""),"RCEF 23-09-21 Rebidding")</f>
        <v>RCEF 23-09-21 Rebidding</v>
      </c>
      <c r="L171" s="2" t="str">
        <f>IFERROR(__xludf.DUMMYFUNCTION("""COMPUTED_VALUE"""),"1v2")</f>
        <v>1v2</v>
      </c>
      <c r="M171" s="2">
        <f>IFERROR(__xludf.DUMMYFUNCTION("""COMPUTED_VALUE"""),2.0)</f>
        <v>2</v>
      </c>
      <c r="N171" s="74" t="str">
        <f>IFERROR(__xludf.DUMMYFUNCTION("""COMPUTED_VALUE"""),"Jan.23,2024")</f>
        <v>Jan.23,2024</v>
      </c>
      <c r="O171" s="74" t="str">
        <f>IFERROR(__xludf.DUMMYFUNCTION("""COMPUTED_VALUE"""),"Feb.1,2024")</f>
        <v>Feb.1,2024</v>
      </c>
      <c r="P171" s="2">
        <f>IFERROR(__xludf.DUMMYFUNCTION("""COMPUTED_VALUE"""),17985.0)</f>
        <v>17985</v>
      </c>
      <c r="Q171" s="2" t="str">
        <f>IFERROR(__xludf.DUMMYFUNCTION("""COMPUTED_VALUE"""),"KMC5825 AKPFPV0127")</f>
        <v>KMC5825 AKPFPV0127</v>
      </c>
      <c r="R171" s="2" t="str">
        <f>IFERROR(__xludf.DUMMYFUNCTION("""COMPUTED_VALUE"""),"PTS100054")</f>
        <v>PTS100054</v>
      </c>
      <c r="S171" s="2" t="str">
        <f>IFERROR(__xludf.DUMMYFUNCTION("""COMPUTED_VALUE"""),"R-SERIES 014 PH")</f>
        <v>R-SERIES 014 PH</v>
      </c>
      <c r="T171" s="2" t="str">
        <f>IFERROR(__xludf.DUMMYFUNCTION("""COMPUTED_VALUE"""),"LSGW1750 2312136")</f>
        <v>LSGW1750 2312136</v>
      </c>
      <c r="U171" s="2" t="str">
        <f>IFERROR(__xludf.DUMMYFUNCTION("""COMPUTED_VALUE"""),"WDP40 RMP 2312099")</f>
        <v>WDP40 RMP 2312099</v>
      </c>
      <c r="V171" s="2" t="str">
        <f>IFERROR(__xludf.DUMMYFUNCTION("""COMPUTED_VALUE"""),"no load")</f>
        <v>no load</v>
      </c>
      <c r="W171" s="2" t="str">
        <f>IFERROR(__xludf.DUMMYFUNCTION("""COMPUTED_VALUE"""),"VL103D")</f>
        <v>VL103D</v>
      </c>
      <c r="X171" s="2">
        <f>IFERROR(__xludf.DUMMYFUNCTION("""COMPUTED_VALUE"""),8.69066060238434E14)</f>
        <v>869066060238434</v>
      </c>
      <c r="Y171" s="2">
        <f>IFERROR(__xludf.DUMMYFUNCTION("""COMPUTED_VALUE"""),9.08789724E9)</f>
        <v>9087897240</v>
      </c>
      <c r="Z171" s="3" t="str">
        <f>IFERROR(__xludf.DUMMYFUNCTION("""COMPUTED_VALUE"""),"0323250006122666")</f>
        <v>0323250006122666</v>
      </c>
      <c r="AA171" s="2"/>
      <c r="AB171" s="2" t="str">
        <f>IFERROR(__xludf.DUMMYFUNCTION("""COMPUTED_VALUE"""),"iwpia")</f>
        <v>iwpia</v>
      </c>
    </row>
    <row r="172">
      <c r="A172" s="2" t="str">
        <f>IFERROR(__xludf.DUMMYFUNCTION("""COMPUTED_VALUE"""),"TT00170")</f>
        <v>TT00170</v>
      </c>
      <c r="B172" s="2" t="str">
        <f>IFERROR(__xludf.DUMMYFUNCTION("""COMPUTED_VALUE"""),"Completed")</f>
        <v>Completed</v>
      </c>
      <c r="C172" s="2" t="str">
        <f>IFERROR(__xludf.DUMMYFUNCTION("""COMPUTED_VALUE"""),"billed L3")</f>
        <v>billed L3</v>
      </c>
      <c r="D172" s="2" t="str">
        <f>IFERROR(__xludf.DUMMYFUNCTION("""COMPUTED_VALUE"""),"MAMBOG TAAL LOOK IRRIGATORS ASSOCIATION INC.")</f>
        <v>MAMBOG TAAL LOOK IRRIGATORS ASSOCIATION INC.</v>
      </c>
      <c r="E172" s="2" t="str">
        <f>IFERROR(__xludf.DUMMYFUNCTION("""COMPUTED_VALUE"""),"Mambog, Malolos City, BULACAN")</f>
        <v>Mambog, Malolos City, BULACAN</v>
      </c>
      <c r="F172" s="2" t="str">
        <f>IFERROR(__xludf.DUMMYFUNCTION("""COMPUTED_VALUE"""),"Ramiro R. Dela Cruz")</f>
        <v>Ramiro R. Dela Cruz</v>
      </c>
      <c r="G172" s="2" t="str">
        <f>IFERROR(__xludf.DUMMYFUNCTION("""COMPUTED_VALUE"""),"0935-076-9919")</f>
        <v>0935-076-9919</v>
      </c>
      <c r="H172" s="2"/>
      <c r="I172" s="2"/>
      <c r="J172" s="2"/>
      <c r="K172" s="2" t="str">
        <f>IFERROR(__xludf.DUMMYFUNCTION("""COMPUTED_VALUE"""),"RCEF 23-09-21 Rebidding")</f>
        <v>RCEF 23-09-21 Rebidding</v>
      </c>
      <c r="L172" s="2">
        <f>IFERROR(__xludf.DUMMYFUNCTION("""COMPUTED_VALUE"""),3.0)</f>
        <v>3</v>
      </c>
      <c r="M172" s="2">
        <f>IFERROR(__xludf.DUMMYFUNCTION("""COMPUTED_VALUE"""),3.0)</f>
        <v>3</v>
      </c>
      <c r="N172" s="74">
        <f>IFERROR(__xludf.DUMMYFUNCTION("""COMPUTED_VALUE"""),45314.0)</f>
        <v>45314</v>
      </c>
      <c r="O172" s="74">
        <f>IFERROR(__xludf.DUMMYFUNCTION("""COMPUTED_VALUE"""),45321.0)</f>
        <v>45321</v>
      </c>
      <c r="P172" s="2">
        <f>IFERROR(__xludf.DUMMYFUNCTION("""COMPUTED_VALUE"""),17986.0)</f>
        <v>17986</v>
      </c>
      <c r="Q172" s="2" t="str">
        <f>IFERROR(__xludf.DUMMYFUNCTION("""COMPUTED_VALUE"""),"KMC5825 AVPFPV0066")</f>
        <v>KMC5825 AVPFPV0066</v>
      </c>
      <c r="R172" s="2" t="str">
        <f>IFERROR(__xludf.DUMMYFUNCTION("""COMPUTED_VALUE"""),"PTS 100148")</f>
        <v>PTS 100148</v>
      </c>
      <c r="S172" s="2" t="str">
        <f>IFERROR(__xludf.DUMMYFUNCTION("""COMPUTED_VALUE"""),"R-SERIES 045 PH")</f>
        <v>R-SERIES 045 PH</v>
      </c>
      <c r="T172" s="2" t="str">
        <f>IFERROR(__xludf.DUMMYFUNCTION("""COMPUTED_VALUE"""),"LSGW1750 RMP 2312086")</f>
        <v>LSGW1750 RMP 2312086</v>
      </c>
      <c r="U172" s="2" t="str">
        <f>IFERROR(__xludf.DUMMYFUNCTION("""COMPUTED_VALUE"""),"WDP40 RMP 2312118")</f>
        <v>WDP40 RMP 2312118</v>
      </c>
      <c r="V172" s="2" t="str">
        <f>IFERROR(__xludf.DUMMYFUNCTION("""COMPUTED_VALUE"""),"no load")</f>
        <v>no load</v>
      </c>
      <c r="W172" s="2" t="str">
        <f>IFERROR(__xludf.DUMMYFUNCTION("""COMPUTED_VALUE"""),"VL103D")</f>
        <v>VL103D</v>
      </c>
      <c r="X172" s="2">
        <f>IFERROR(__xludf.DUMMYFUNCTION("""COMPUTED_VALUE"""),8.6906606024397E14)</f>
        <v>869066060243970</v>
      </c>
      <c r="Y172" s="2">
        <f>IFERROR(__xludf.DUMMYFUNCTION("""COMPUTED_VALUE"""),9.086606605E9)</f>
        <v>9086606605</v>
      </c>
      <c r="Z172" s="2"/>
      <c r="AA172" s="2"/>
      <c r="AB172" s="2" t="str">
        <f>IFERROR(__xludf.DUMMYFUNCTION("""COMPUTED_VALUE"""),"mambogtaal")</f>
        <v>mambogtaal</v>
      </c>
    </row>
    <row r="173">
      <c r="A173" s="2" t="str">
        <f>IFERROR(__xludf.DUMMYFUNCTION("""COMPUTED_VALUE"""),"TT00171")</f>
        <v>TT00171</v>
      </c>
      <c r="B173" s="2" t="str">
        <f>IFERROR(__xludf.DUMMYFUNCTION("""COMPUTED_VALUE"""),"Completed")</f>
        <v>Completed</v>
      </c>
      <c r="C173" s="2" t="str">
        <f>IFERROR(__xludf.DUMMYFUNCTION("""COMPUTED_VALUE"""),"billed L3")</f>
        <v>billed L3</v>
      </c>
      <c r="D173" s="2" t="str">
        <f>IFERROR(__xludf.DUMMYFUNCTION("""COMPUTED_VALUE"""),"CAMLONGAN IRRIGATORS ASSOCIATION INC.")</f>
        <v>CAMLONGAN IRRIGATORS ASSOCIATION INC.</v>
      </c>
      <c r="E173" s="2" t="str">
        <f>IFERROR(__xludf.DUMMYFUNCTION("""COMPUTED_VALUE"""),"Kapitangan, Paombong, BULACAN")</f>
        <v>Kapitangan, Paombong, BULACAN</v>
      </c>
      <c r="F173" s="2" t="str">
        <f>IFERROR(__xludf.DUMMYFUNCTION("""COMPUTED_VALUE"""),"Desiderio R. Pablico")</f>
        <v>Desiderio R. Pablico</v>
      </c>
      <c r="G173" s="2" t="str">
        <f>IFERROR(__xludf.DUMMYFUNCTION("""COMPUTED_VALUE"""),"0921-260-6572")</f>
        <v>0921-260-6572</v>
      </c>
      <c r="H173" s="2"/>
      <c r="I173" s="2"/>
      <c r="J173" s="2"/>
      <c r="K173" s="2" t="str">
        <f>IFERROR(__xludf.DUMMYFUNCTION("""COMPUTED_VALUE"""),"RCEF 23-09-21 Rebidding")</f>
        <v>RCEF 23-09-21 Rebidding</v>
      </c>
      <c r="L173" s="2">
        <f>IFERROR(__xludf.DUMMYFUNCTION("""COMPUTED_VALUE"""),3.0)</f>
        <v>3</v>
      </c>
      <c r="M173" s="2">
        <f>IFERROR(__xludf.DUMMYFUNCTION("""COMPUTED_VALUE"""),3.0)</f>
        <v>3</v>
      </c>
      <c r="N173" s="74">
        <f>IFERROR(__xludf.DUMMYFUNCTION("""COMPUTED_VALUE"""),45314.0)</f>
        <v>45314</v>
      </c>
      <c r="O173" s="74">
        <f>IFERROR(__xludf.DUMMYFUNCTION("""COMPUTED_VALUE"""),45321.0)</f>
        <v>45321</v>
      </c>
      <c r="P173" s="2">
        <f>IFERROR(__xludf.DUMMYFUNCTION("""COMPUTED_VALUE"""),17987.0)</f>
        <v>17987</v>
      </c>
      <c r="Q173" s="2" t="str">
        <f>IFERROR(__xludf.DUMMYFUNCTION("""COMPUTED_VALUE"""),"KMC5825 AVPFPV0097")</f>
        <v>KMC5825 AVPFPV0097</v>
      </c>
      <c r="R173" s="2" t="str">
        <f>IFERROR(__xludf.DUMMYFUNCTION("""COMPUTED_VALUE"""),"PTS 100092")</f>
        <v>PTS 100092</v>
      </c>
      <c r="S173" s="2" t="str">
        <f>IFERROR(__xludf.DUMMYFUNCTION("""COMPUTED_VALUE"""),"R-SERIES 031 PH")</f>
        <v>R-SERIES 031 PH</v>
      </c>
      <c r="T173" s="2" t="str">
        <f>IFERROR(__xludf.DUMMYFUNCTION("""COMPUTED_VALUE"""),"LSGW1750 RMP 2312076")</f>
        <v>LSGW1750 RMP 2312076</v>
      </c>
      <c r="U173" s="2" t="str">
        <f>IFERROR(__xludf.DUMMYFUNCTION("""COMPUTED_VALUE"""),"WDP40 RMP 2312125")</f>
        <v>WDP40 RMP 2312125</v>
      </c>
      <c r="V173" s="2" t="str">
        <f>IFERROR(__xludf.DUMMYFUNCTION("""COMPUTED_VALUE"""),"good")</f>
        <v>good</v>
      </c>
      <c r="W173" s="2" t="str">
        <f>IFERROR(__xludf.DUMMYFUNCTION("""COMPUTED_VALUE"""),"VL103D")</f>
        <v>VL103D</v>
      </c>
      <c r="X173" s="2" t="str">
        <f>IFERROR(__xludf.DUMMYFUNCTION("""COMPUTED_VALUE"""),"869066060242949 (E)")</f>
        <v>869066060242949 (E)</v>
      </c>
      <c r="Y173" s="2">
        <f>IFERROR(__xludf.DUMMYFUNCTION("""COMPUTED_VALUE"""),9.086857239E9)</f>
        <v>9086857239</v>
      </c>
      <c r="Z173" s="3" t="str">
        <f>IFERROR(__xludf.DUMMYFUNCTION("""COMPUTED_VALUE"""),"0323250006121213")</f>
        <v>0323250006121213</v>
      </c>
      <c r="AA173" s="2"/>
      <c r="AB173" s="2" t="str">
        <f>IFERROR(__xludf.DUMMYFUNCTION("""COMPUTED_VALUE"""),"camlonganirrig")</f>
        <v>camlonganirrig</v>
      </c>
    </row>
    <row r="174">
      <c r="A174" s="2" t="str">
        <f>IFERROR(__xludf.DUMMYFUNCTION("""COMPUTED_VALUE"""),"TT00172")</f>
        <v>TT00172</v>
      </c>
      <c r="B174" s="2" t="str">
        <f>IFERROR(__xludf.DUMMYFUNCTION("""COMPUTED_VALUE"""),"Completed")</f>
        <v>Completed</v>
      </c>
      <c r="C174" s="2" t="str">
        <f>IFERROR(__xludf.DUMMYFUNCTION("""COMPUTED_VALUE"""),"billed L3")</f>
        <v>billed L3</v>
      </c>
      <c r="D174" s="2" t="str">
        <f>IFERROR(__xludf.DUMMYFUNCTION("""COMPUTED_VALUE"""),"Tenejero Pulilan Farmers Association")</f>
        <v>Tenejero Pulilan Farmers Association</v>
      </c>
      <c r="E174" s="2" t="str">
        <f>IFERROR(__xludf.DUMMYFUNCTION("""COMPUTED_VALUE"""),"Tinejero, Pulilan, BULACAN")</f>
        <v>Tinejero, Pulilan, BULACAN</v>
      </c>
      <c r="F174" s="2" t="str">
        <f>IFERROR(__xludf.DUMMYFUNCTION("""COMPUTED_VALUE"""),"Brigido C. Gonzales")</f>
        <v>Brigido C. Gonzales</v>
      </c>
      <c r="G174" s="2" t="str">
        <f>IFERROR(__xludf.DUMMYFUNCTION("""COMPUTED_VALUE"""),"0932-714-4046")</f>
        <v>0932-714-4046</v>
      </c>
      <c r="H174" s="2"/>
      <c r="I174" s="2"/>
      <c r="J174" s="2"/>
      <c r="K174" s="2" t="str">
        <f>IFERROR(__xludf.DUMMYFUNCTION("""COMPUTED_VALUE"""),"RCEF 23-09-21 Rebidding")</f>
        <v>RCEF 23-09-21 Rebidding</v>
      </c>
      <c r="L174" s="2">
        <f>IFERROR(__xludf.DUMMYFUNCTION("""COMPUTED_VALUE"""),3.0)</f>
        <v>3</v>
      </c>
      <c r="M174" s="2">
        <f>IFERROR(__xludf.DUMMYFUNCTION("""COMPUTED_VALUE"""),3.0)</f>
        <v>3</v>
      </c>
      <c r="N174" s="74">
        <f>IFERROR(__xludf.DUMMYFUNCTION("""COMPUTED_VALUE"""),45314.0)</f>
        <v>45314</v>
      </c>
      <c r="O174" s="74">
        <f>IFERROR(__xludf.DUMMYFUNCTION("""COMPUTED_VALUE"""),45321.0)</f>
        <v>45321</v>
      </c>
      <c r="P174" s="2">
        <f>IFERROR(__xludf.DUMMYFUNCTION("""COMPUTED_VALUE"""),17988.0)</f>
        <v>17988</v>
      </c>
      <c r="Q174" s="2" t="str">
        <f>IFERROR(__xludf.DUMMYFUNCTION("""COMPUTED_VALUE"""),"KMC5825 AEPFPV0073")</f>
        <v>KMC5825 AEPFPV0073</v>
      </c>
      <c r="R174" s="2" t="str">
        <f>IFERROR(__xludf.DUMMYFUNCTION("""COMPUTED_VALUE"""),"PTS 100152")</f>
        <v>PTS 100152</v>
      </c>
      <c r="S174" s="2" t="str">
        <f>IFERROR(__xludf.DUMMYFUNCTION("""COMPUTED_VALUE"""),"R-SERIES 016 PH")</f>
        <v>R-SERIES 016 PH</v>
      </c>
      <c r="T174" s="2" t="str">
        <f>IFERROR(__xludf.DUMMYFUNCTION("""COMPUTED_VALUE"""),"LSGW1750 RMP 2312081")</f>
        <v>LSGW1750 RMP 2312081</v>
      </c>
      <c r="U174" s="2" t="str">
        <f>IFERROR(__xludf.DUMMYFUNCTION("""COMPUTED_VALUE"""),"WDP40 RMP 2312079")</f>
        <v>WDP40 RMP 2312079</v>
      </c>
      <c r="V174" s="2" t="str">
        <f>IFERROR(__xludf.DUMMYFUNCTION("""COMPUTED_VALUE"""),"good")</f>
        <v>good</v>
      </c>
      <c r="W174" s="2" t="str">
        <f>IFERROR(__xludf.DUMMYFUNCTION("""COMPUTED_VALUE"""),"VL103D")</f>
        <v>VL103D</v>
      </c>
      <c r="X174" s="2">
        <f>IFERROR(__xludf.DUMMYFUNCTION("""COMPUTED_VALUE"""),8.69066060238798E14)</f>
        <v>869066060238798</v>
      </c>
      <c r="Y174" s="2">
        <f>IFERROR(__xludf.DUMMYFUNCTION("""COMPUTED_VALUE"""),9.085695608E9)</f>
        <v>9085695608</v>
      </c>
      <c r="Z174" s="2"/>
      <c r="AA174" s="2"/>
      <c r="AB174" s="2" t="str">
        <f>IFERROR(__xludf.DUMMYFUNCTION("""COMPUTED_VALUE"""),"tenejeropulilanfa")</f>
        <v>tenejeropulilanfa</v>
      </c>
    </row>
    <row r="175">
      <c r="A175" s="2" t="str">
        <f>IFERROR(__xludf.DUMMYFUNCTION("""COMPUTED_VALUE"""),"TT00173")</f>
        <v>TT00173</v>
      </c>
      <c r="B175" s="2" t="str">
        <f>IFERROR(__xludf.DUMMYFUNCTION("""COMPUTED_VALUE"""),"Completed")</f>
        <v>Completed</v>
      </c>
      <c r="C175" s="2" t="str">
        <f>IFERROR(__xludf.DUMMYFUNCTION("""COMPUTED_VALUE"""),"billed L3")</f>
        <v>billed L3</v>
      </c>
      <c r="D175" s="2" t="str">
        <f>IFERROR(__xludf.DUMMYFUNCTION("""COMPUTED_VALUE"""),"MULAWIN BATA IRRIGATORS ASSOCIATION, INC.")</f>
        <v>MULAWIN BATA IRRIGATORS ASSOCIATION, INC.</v>
      </c>
      <c r="E175" s="2" t="str">
        <f>IFERROR(__xludf.DUMMYFUNCTION("""COMPUTED_VALUE"""),"Tarcan, Baliuag, BULACAN")</f>
        <v>Tarcan, Baliuag, BULACAN</v>
      </c>
      <c r="F175" s="2" t="str">
        <f>IFERROR(__xludf.DUMMYFUNCTION("""COMPUTED_VALUE"""),"Rogelio P. Rodriguez")</f>
        <v>Rogelio P. Rodriguez</v>
      </c>
      <c r="G175" s="2" t="str">
        <f>IFERROR(__xludf.DUMMYFUNCTION("""COMPUTED_VALUE"""),"0923-745-1436")</f>
        <v>0923-745-1436</v>
      </c>
      <c r="H175" s="2"/>
      <c r="I175" s="2"/>
      <c r="J175" s="2"/>
      <c r="K175" s="2" t="str">
        <f>IFERROR(__xludf.DUMMYFUNCTION("""COMPUTED_VALUE"""),"RCEF 23-09-21 Rebidding")</f>
        <v>RCEF 23-09-21 Rebidding</v>
      </c>
      <c r="L175" s="2">
        <f>IFERROR(__xludf.DUMMYFUNCTION("""COMPUTED_VALUE"""),3.0)</f>
        <v>3</v>
      </c>
      <c r="M175" s="2">
        <f>IFERROR(__xludf.DUMMYFUNCTION("""COMPUTED_VALUE"""),3.0)</f>
        <v>3</v>
      </c>
      <c r="N175" s="74">
        <f>IFERROR(__xludf.DUMMYFUNCTION("""COMPUTED_VALUE"""),45314.0)</f>
        <v>45314</v>
      </c>
      <c r="O175" s="74">
        <f>IFERROR(__xludf.DUMMYFUNCTION("""COMPUTED_VALUE"""),45321.0)</f>
        <v>45321</v>
      </c>
      <c r="P175" s="2">
        <f>IFERROR(__xludf.DUMMYFUNCTION("""COMPUTED_VALUE"""),17989.0)</f>
        <v>17989</v>
      </c>
      <c r="Q175" s="2" t="str">
        <f>IFERROR(__xludf.DUMMYFUNCTION("""COMPUTED_VALUE"""),"KMC5825 AKPFPV0144")</f>
        <v>KMC5825 AKPFPV0144</v>
      </c>
      <c r="R175" s="2" t="str">
        <f>IFERROR(__xludf.DUMMYFUNCTION("""COMPUTED_VALUE"""),"PTS 100124")</f>
        <v>PTS 100124</v>
      </c>
      <c r="S175" s="2" t="str">
        <f>IFERROR(__xludf.DUMMYFUNCTION("""COMPUTED_VALUE"""),"R-SERIES 058 PH")</f>
        <v>R-SERIES 058 PH</v>
      </c>
      <c r="T175" s="2" t="str">
        <f>IFERROR(__xludf.DUMMYFUNCTION("""COMPUTED_VALUE"""),"LSGW1750 RMP 2312061")</f>
        <v>LSGW1750 RMP 2312061</v>
      </c>
      <c r="U175" s="2" t="str">
        <f>IFERROR(__xludf.DUMMYFUNCTION("""COMPUTED_VALUE"""),"WDP40 RMP 2312114")</f>
        <v>WDP40 RMP 2312114</v>
      </c>
      <c r="V175" s="2" t="str">
        <f>IFERROR(__xludf.DUMMYFUNCTION("""COMPUTED_VALUE"""),"good")</f>
        <v>good</v>
      </c>
      <c r="W175" s="2" t="str">
        <f>IFERROR(__xludf.DUMMYFUNCTION("""COMPUTED_VALUE"""),"VL103D")</f>
        <v>VL103D</v>
      </c>
      <c r="X175" s="2">
        <f>IFERROR(__xludf.DUMMYFUNCTION("""COMPUTED_VALUE"""),8.69066060243996E14)</f>
        <v>869066060243996</v>
      </c>
      <c r="Y175" s="2">
        <f>IFERROR(__xludf.DUMMYFUNCTION("""COMPUTED_VALUE"""),9.087601814E9)</f>
        <v>9087601814</v>
      </c>
      <c r="Z175" s="2"/>
      <c r="AA175" s="2"/>
      <c r="AB175" s="2" t="str">
        <f>IFERROR(__xludf.DUMMYFUNCTION("""COMPUTED_VALUE"""),"mulawinbata")</f>
        <v>mulawinbata</v>
      </c>
    </row>
    <row r="176">
      <c r="A176" s="2" t="str">
        <f>IFERROR(__xludf.DUMMYFUNCTION("""COMPUTED_VALUE"""),"TT00174")</f>
        <v>TT00174</v>
      </c>
      <c r="B176" s="2" t="str">
        <f>IFERROR(__xludf.DUMMYFUNCTION("""COMPUTED_VALUE"""),"Completed")</f>
        <v>Completed</v>
      </c>
      <c r="C176" s="2" t="str">
        <f>IFERROR(__xludf.DUMMYFUNCTION("""COMPUTED_VALUE"""),"billed L3")</f>
        <v>billed L3</v>
      </c>
      <c r="D176" s="2" t="str">
        <f>IFERROR(__xludf.DUMMYFUNCTION("""COMPUTED_VALUE"""),"STA. CATALINA MATANDA-BUBULONG MALAKI IRRIGATORS ASSOCIATION INC.")</f>
        <v>STA. CATALINA MATANDA-BUBULONG MALAKI IRRIGATORS ASSOCIATION INC.</v>
      </c>
      <c r="E176" s="2" t="str">
        <f>IFERROR(__xludf.DUMMYFUNCTION("""COMPUTED_VALUE"""),"Sta. Catalina, San Ildefonso, BULACAN")</f>
        <v>Sta. Catalina, San Ildefonso, BULACAN</v>
      </c>
      <c r="F176" s="2" t="str">
        <f>IFERROR(__xludf.DUMMYFUNCTION("""COMPUTED_VALUE"""),"Rodrigo P. Villacorta")</f>
        <v>Rodrigo P. Villacorta</v>
      </c>
      <c r="G176" s="2" t="str">
        <f>IFERROR(__xludf.DUMMYFUNCTION("""COMPUTED_VALUE"""),"0935-728-1261")</f>
        <v>0935-728-1261</v>
      </c>
      <c r="H176" s="2"/>
      <c r="I176" s="2"/>
      <c r="J176" s="2"/>
      <c r="K176" s="2" t="str">
        <f>IFERROR(__xludf.DUMMYFUNCTION("""COMPUTED_VALUE"""),"RCEF 23-09-21 Rebidding")</f>
        <v>RCEF 23-09-21 Rebidding</v>
      </c>
      <c r="L176" s="2">
        <f>IFERROR(__xludf.DUMMYFUNCTION("""COMPUTED_VALUE"""),3.0)</f>
        <v>3</v>
      </c>
      <c r="M176" s="2">
        <f>IFERROR(__xludf.DUMMYFUNCTION("""COMPUTED_VALUE"""),3.0)</f>
        <v>3</v>
      </c>
      <c r="N176" s="74">
        <f>IFERROR(__xludf.DUMMYFUNCTION("""COMPUTED_VALUE"""),45314.0)</f>
        <v>45314</v>
      </c>
      <c r="O176" s="74">
        <f>IFERROR(__xludf.DUMMYFUNCTION("""COMPUTED_VALUE"""),45321.0)</f>
        <v>45321</v>
      </c>
      <c r="P176" s="2">
        <f>IFERROR(__xludf.DUMMYFUNCTION("""COMPUTED_VALUE"""),17990.0)</f>
        <v>17990</v>
      </c>
      <c r="Q176" s="2" t="str">
        <f>IFERROR(__xludf.DUMMYFUNCTION("""COMPUTED_VALUE"""),"KMC5825 AAPFPV0103")</f>
        <v>KMC5825 AAPFPV0103</v>
      </c>
      <c r="R176" s="2" t="str">
        <f>IFERROR(__xludf.DUMMYFUNCTION("""COMPUTED_VALUE"""),"PTS 100111")</f>
        <v>PTS 100111</v>
      </c>
      <c r="S176" s="2" t="str">
        <f>IFERROR(__xludf.DUMMYFUNCTION("""COMPUTED_VALUE"""),"R-SERIES 054 PH")</f>
        <v>R-SERIES 054 PH</v>
      </c>
      <c r="T176" s="2" t="str">
        <f>IFERROR(__xludf.DUMMYFUNCTION("""COMPUTED_VALUE"""),"LSGW1750 RMP 2312047")</f>
        <v>LSGW1750 RMP 2312047</v>
      </c>
      <c r="U176" s="2" t="str">
        <f>IFERROR(__xludf.DUMMYFUNCTION("""COMPUTED_VALUE"""),"WDP40 RMP 2312122")</f>
        <v>WDP40 RMP 2312122</v>
      </c>
      <c r="V176" s="2" t="str">
        <f>IFERROR(__xludf.DUMMYFUNCTION("""COMPUTED_VALUE"""),"good")</f>
        <v>good</v>
      </c>
      <c r="W176" s="2" t="str">
        <f>IFERROR(__xludf.DUMMYFUNCTION("""COMPUTED_VALUE"""),"VL103D")</f>
        <v>VL103D</v>
      </c>
      <c r="X176" s="2" t="str">
        <f>IFERROR(__xludf.DUMMYFUNCTION("""COMPUTED_VALUE"""),"869066060242360 (E)")</f>
        <v>869066060242360 (E)</v>
      </c>
      <c r="Y176" s="2">
        <f>IFERROR(__xludf.DUMMYFUNCTION("""COMPUTED_VALUE"""),9.086899315E9)</f>
        <v>9086899315</v>
      </c>
      <c r="Z176" s="3" t="str">
        <f>IFERROR(__xludf.DUMMYFUNCTION("""COMPUTED_VALUE"""),"0323250006121114")</f>
        <v>0323250006121114</v>
      </c>
      <c r="AA176" s="2"/>
      <c r="AB176" s="2" t="str">
        <f>IFERROR(__xludf.DUMMYFUNCTION("""COMPUTED_VALUE"""),"stacatalinairrig")</f>
        <v>stacatalinairrig</v>
      </c>
    </row>
    <row r="177">
      <c r="A177" s="2" t="str">
        <f>IFERROR(__xludf.DUMMYFUNCTION("""COMPUTED_VALUE"""),"TT00175")</f>
        <v>TT00175</v>
      </c>
      <c r="B177" s="2" t="str">
        <f>IFERROR(__xludf.DUMMYFUNCTION("""COMPUTED_VALUE"""),"Completed")</f>
        <v>Completed</v>
      </c>
      <c r="C177" s="2" t="str">
        <f>IFERROR(__xludf.DUMMYFUNCTION("""COMPUTED_VALUE"""),"billed L3")</f>
        <v>billed L3</v>
      </c>
      <c r="D177" s="2" t="str">
        <f>IFERROR(__xludf.DUMMYFUNCTION("""COMPUTED_VALUE"""),"Masagana Producers Cooperative")</f>
        <v>Masagana Producers Cooperative</v>
      </c>
      <c r="E177" s="2" t="str">
        <f>IFERROR(__xludf.DUMMYFUNCTION("""COMPUTED_VALUE"""),"Alagao, San Ildefonso, BULACAN")</f>
        <v>Alagao, San Ildefonso, BULACAN</v>
      </c>
      <c r="F177" s="2" t="str">
        <f>IFERROR(__xludf.DUMMYFUNCTION("""COMPUTED_VALUE"""),"Suelo F. Vergara")</f>
        <v>Suelo F. Vergara</v>
      </c>
      <c r="G177" s="2" t="str">
        <f>IFERROR(__xludf.DUMMYFUNCTION("""COMPUTED_VALUE"""),"0935-140-4696")</f>
        <v>0935-140-4696</v>
      </c>
      <c r="H177" s="2"/>
      <c r="I177" s="2"/>
      <c r="J177" s="2"/>
      <c r="K177" s="2" t="str">
        <f>IFERROR(__xludf.DUMMYFUNCTION("""COMPUTED_VALUE"""),"RCEF 23-09-21 Rebidding")</f>
        <v>RCEF 23-09-21 Rebidding</v>
      </c>
      <c r="L177" s="2">
        <f>IFERROR(__xludf.DUMMYFUNCTION("""COMPUTED_VALUE"""),3.0)</f>
        <v>3</v>
      </c>
      <c r="M177" s="2">
        <f>IFERROR(__xludf.DUMMYFUNCTION("""COMPUTED_VALUE"""),3.0)</f>
        <v>3</v>
      </c>
      <c r="N177" s="74">
        <f>IFERROR(__xludf.DUMMYFUNCTION("""COMPUTED_VALUE"""),45314.0)</f>
        <v>45314</v>
      </c>
      <c r="O177" s="74">
        <f>IFERROR(__xludf.DUMMYFUNCTION("""COMPUTED_VALUE"""),45321.0)</f>
        <v>45321</v>
      </c>
      <c r="P177" s="2">
        <f>IFERROR(__xludf.DUMMYFUNCTION("""COMPUTED_VALUE"""),17991.0)</f>
        <v>17991</v>
      </c>
      <c r="Q177" s="2" t="str">
        <f>IFERROR(__xludf.DUMMYFUNCTION("""COMPUTED_VALUE"""),"KMC5825 AVPFPV0006")</f>
        <v>KMC5825 AVPFPV0006</v>
      </c>
      <c r="R177" s="2" t="str">
        <f>IFERROR(__xludf.DUMMYFUNCTION("""COMPUTED_VALUE"""),"PTS 100271")</f>
        <v>PTS 100271</v>
      </c>
      <c r="S177" s="2" t="str">
        <f>IFERROR(__xludf.DUMMYFUNCTION("""COMPUTED_VALUE"""),"R-SERIES 010 PH")</f>
        <v>R-SERIES 010 PH</v>
      </c>
      <c r="T177" s="2" t="str">
        <f>IFERROR(__xludf.DUMMYFUNCTION("""COMPUTED_VALUE"""),"LSGW1750 RMP 2312046")</f>
        <v>LSGW1750 RMP 2312046</v>
      </c>
      <c r="U177" s="2" t="str">
        <f>IFERROR(__xludf.DUMMYFUNCTION("""COMPUTED_VALUE"""),"WDP40 RMP 2312130")</f>
        <v>WDP40 RMP 2312130</v>
      </c>
      <c r="V177" s="2" t="str">
        <f>IFERROR(__xludf.DUMMYFUNCTION("""COMPUTED_VALUE"""),"good")</f>
        <v>good</v>
      </c>
      <c r="W177" s="2" t="str">
        <f>IFERROR(__xludf.DUMMYFUNCTION("""COMPUTED_VALUE"""),"VL103D")</f>
        <v>VL103D</v>
      </c>
      <c r="X177" s="2" t="str">
        <f>IFERROR(__xludf.DUMMYFUNCTION("""COMPUTED_VALUE"""),"869066060244515 (E)")</f>
        <v>869066060244515 (E)</v>
      </c>
      <c r="Y177" s="2">
        <f>IFERROR(__xludf.DUMMYFUNCTION("""COMPUTED_VALUE"""),9.087173211E9)</f>
        <v>9087173211</v>
      </c>
      <c r="Z177" s="3" t="str">
        <f>IFERROR(__xludf.DUMMYFUNCTION("""COMPUTED_VALUE"""),"0323250006123839")</f>
        <v>0323250006123839</v>
      </c>
      <c r="AA177" s="2"/>
      <c r="AB177" s="2" t="str">
        <f>IFERROR(__xludf.DUMMYFUNCTION("""COMPUTED_VALUE"""),"masaganaproducers")</f>
        <v>masaganaproducers</v>
      </c>
    </row>
    <row r="178">
      <c r="A178" s="2" t="str">
        <f>IFERROR(__xludf.DUMMYFUNCTION("""COMPUTED_VALUE"""),"TT00176")</f>
        <v>TT00176</v>
      </c>
      <c r="B178" s="2" t="str">
        <f>IFERROR(__xludf.DUMMYFUNCTION("""COMPUTED_VALUE"""),"Completed")</f>
        <v>Completed</v>
      </c>
      <c r="C178" s="2" t="str">
        <f>IFERROR(__xludf.DUMMYFUNCTION("""COMPUTED_VALUE"""),"billed L3")</f>
        <v>billed L3</v>
      </c>
      <c r="D178" s="2" t="str">
        <f>IFERROR(__xludf.DUMMYFUNCTION("""COMPUTED_VALUE"""),"Masalipit Small Water Irrigation System Association Inc.")</f>
        <v>Masalipit Small Water Irrigation System Association Inc.</v>
      </c>
      <c r="E178" s="2" t="str">
        <f>IFERROR(__xludf.DUMMYFUNCTION("""COMPUTED_VALUE"""),"Masalipit, San Miguel, BULACAN")</f>
        <v>Masalipit, San Miguel, BULACAN</v>
      </c>
      <c r="F178" s="2" t="str">
        <f>IFERROR(__xludf.DUMMYFUNCTION("""COMPUTED_VALUE"""),"Bernardo S. Lusano")</f>
        <v>Bernardo S. Lusano</v>
      </c>
      <c r="G178" s="2" t="str">
        <f>IFERROR(__xludf.DUMMYFUNCTION("""COMPUTED_VALUE"""),"0935-952-6857")</f>
        <v>0935-952-6857</v>
      </c>
      <c r="H178" s="2"/>
      <c r="I178" s="2"/>
      <c r="J178" s="2"/>
      <c r="K178" s="2" t="str">
        <f>IFERROR(__xludf.DUMMYFUNCTION("""COMPUTED_VALUE"""),"RCEF 23-09-21 Rebidding")</f>
        <v>RCEF 23-09-21 Rebidding</v>
      </c>
      <c r="L178" s="2">
        <f>IFERROR(__xludf.DUMMYFUNCTION("""COMPUTED_VALUE"""),3.0)</f>
        <v>3</v>
      </c>
      <c r="M178" s="2">
        <f>IFERROR(__xludf.DUMMYFUNCTION("""COMPUTED_VALUE"""),3.0)</f>
        <v>3</v>
      </c>
      <c r="N178" s="74">
        <f>IFERROR(__xludf.DUMMYFUNCTION("""COMPUTED_VALUE"""),45314.0)</f>
        <v>45314</v>
      </c>
      <c r="O178" s="74">
        <f>IFERROR(__xludf.DUMMYFUNCTION("""COMPUTED_VALUE"""),45321.0)</f>
        <v>45321</v>
      </c>
      <c r="P178" s="2">
        <f>IFERROR(__xludf.DUMMYFUNCTION("""COMPUTED_VALUE"""),17992.0)</f>
        <v>17992</v>
      </c>
      <c r="Q178" s="2" t="str">
        <f>IFERROR(__xludf.DUMMYFUNCTION("""COMPUTED_VALUE"""),"KMC5825 AEPFPV0123")</f>
        <v>KMC5825 AEPFPV0123</v>
      </c>
      <c r="R178" s="2" t="str">
        <f>IFERROR(__xludf.DUMMYFUNCTION("""COMPUTED_VALUE"""),"PTS 100105")</f>
        <v>PTS 100105</v>
      </c>
      <c r="S178" s="2" t="str">
        <f>IFERROR(__xludf.DUMMYFUNCTION("""COMPUTED_VALUE"""),"R-SERIES 072 PH")</f>
        <v>R-SERIES 072 PH</v>
      </c>
      <c r="T178" s="2" t="str">
        <f>IFERROR(__xludf.DUMMYFUNCTION("""COMPUTED_VALUE"""),"LSGW1750 RMP 2312072")</f>
        <v>LSGW1750 RMP 2312072</v>
      </c>
      <c r="U178" s="2" t="str">
        <f>IFERROR(__xludf.DUMMYFUNCTION("""COMPUTED_VALUE"""),"WDP40 RMP 2312120")</f>
        <v>WDP40 RMP 2312120</v>
      </c>
      <c r="V178" s="2" t="str">
        <f>IFERROR(__xludf.DUMMYFUNCTION("""COMPUTED_VALUE"""),"good")</f>
        <v>good</v>
      </c>
      <c r="W178" s="2" t="str">
        <f>IFERROR(__xludf.DUMMYFUNCTION("""COMPUTED_VALUE"""),"VL103D")</f>
        <v>VL103D</v>
      </c>
      <c r="X178" s="2" t="str">
        <f>IFERROR(__xludf.DUMMYFUNCTION("""COMPUTED_VALUE"""),"869066060243624 (E)")</f>
        <v>869066060243624 (E)</v>
      </c>
      <c r="Y178" s="2">
        <f>IFERROR(__xludf.DUMMYFUNCTION("""COMPUTED_VALUE"""),9.086899329E9)</f>
        <v>9086899329</v>
      </c>
      <c r="Z178" s="3" t="str">
        <f>IFERROR(__xludf.DUMMYFUNCTION("""COMPUTED_VALUE"""),"0323250006121122")</f>
        <v>0323250006121122</v>
      </c>
      <c r="AA178" s="2"/>
      <c r="AB178" s="2" t="str">
        <f>IFERROR(__xludf.DUMMYFUNCTION("""COMPUTED_VALUE"""),"masalipitswis")</f>
        <v>masalipitswis</v>
      </c>
    </row>
    <row r="179">
      <c r="A179" s="2" t="str">
        <f>IFERROR(__xludf.DUMMYFUNCTION("""COMPUTED_VALUE"""),"TT00177")</f>
        <v>TT00177</v>
      </c>
      <c r="B179" s="2" t="str">
        <f>IFERROR(__xludf.DUMMYFUNCTION("""COMPUTED_VALUE"""),"Completed")</f>
        <v>Completed</v>
      </c>
      <c r="C179" s="2" t="str">
        <f>IFERROR(__xludf.DUMMYFUNCTION("""COMPUTED_VALUE"""),"billed L3")</f>
        <v>billed L3</v>
      </c>
      <c r="D179" s="2" t="str">
        <f>IFERROR(__xludf.DUMMYFUNCTION("""COMPUTED_VALUE"""),"Agribusiness Farmworker's Livelihood and Agriculture Cooperative (AFLAC)")</f>
        <v>Agribusiness Farmworker's Livelihood and Agriculture Cooperative (AFLAC)</v>
      </c>
      <c r="E179" s="2" t="str">
        <f>IFERROR(__xludf.DUMMYFUNCTION("""COMPUTED_VALUE"""),"Capihan, San Rafael, BULACAN")</f>
        <v>Capihan, San Rafael, BULACAN</v>
      </c>
      <c r="F179" s="2" t="str">
        <f>IFERROR(__xludf.DUMMYFUNCTION("""COMPUTED_VALUE"""),"Angelito Verdillo")</f>
        <v>Angelito Verdillo</v>
      </c>
      <c r="G179" s="2" t="str">
        <f>IFERROR(__xludf.DUMMYFUNCTION("""COMPUTED_VALUE"""),"0932-567-4073/0922-893-8364")</f>
        <v>0932-567-4073/0922-893-8364</v>
      </c>
      <c r="H179" s="2"/>
      <c r="I179" s="2"/>
      <c r="J179" s="2"/>
      <c r="K179" s="2" t="str">
        <f>IFERROR(__xludf.DUMMYFUNCTION("""COMPUTED_VALUE"""),"RCEF 23-09-21 Rebidding")</f>
        <v>RCEF 23-09-21 Rebidding</v>
      </c>
      <c r="L179" s="2">
        <f>IFERROR(__xludf.DUMMYFUNCTION("""COMPUTED_VALUE"""),3.0)</f>
        <v>3</v>
      </c>
      <c r="M179" s="2">
        <f>IFERROR(__xludf.DUMMYFUNCTION("""COMPUTED_VALUE"""),3.0)</f>
        <v>3</v>
      </c>
      <c r="N179" s="74">
        <f>IFERROR(__xludf.DUMMYFUNCTION("""COMPUTED_VALUE"""),45314.0)</f>
        <v>45314</v>
      </c>
      <c r="O179" s="74">
        <f>IFERROR(__xludf.DUMMYFUNCTION("""COMPUTED_VALUE"""),45321.0)</f>
        <v>45321</v>
      </c>
      <c r="P179" s="2">
        <f>IFERROR(__xludf.DUMMYFUNCTION("""COMPUTED_VALUE"""),17993.0)</f>
        <v>17993</v>
      </c>
      <c r="Q179" s="2" t="str">
        <f>IFERROR(__xludf.DUMMYFUNCTION("""COMPUTED_VALUE"""),"KMC5825 AVPFPV0133")</f>
        <v>KMC5825 AVPFPV0133</v>
      </c>
      <c r="R179" s="2" t="str">
        <f>IFERROR(__xludf.DUMMYFUNCTION("""COMPUTED_VALUE"""),"PTS 100079")</f>
        <v>PTS 100079</v>
      </c>
      <c r="S179" s="2" t="str">
        <f>IFERROR(__xludf.DUMMYFUNCTION("""COMPUTED_VALUE"""),"R-SERIES 023 PH")</f>
        <v>R-SERIES 023 PH</v>
      </c>
      <c r="T179" s="2" t="str">
        <f>IFERROR(__xludf.DUMMYFUNCTION("""COMPUTED_VALUE"""),"LSGW1750 RMP 2312073")</f>
        <v>LSGW1750 RMP 2312073</v>
      </c>
      <c r="U179" s="2" t="str">
        <f>IFERROR(__xludf.DUMMYFUNCTION("""COMPUTED_VALUE"""),"WDP40 RMP 2312102")</f>
        <v>WDP40 RMP 2312102</v>
      </c>
      <c r="V179" s="2" t="str">
        <f>IFERROR(__xludf.DUMMYFUNCTION("""COMPUTED_VALUE"""),"good")</f>
        <v>good</v>
      </c>
      <c r="W179" s="2" t="str">
        <f>IFERROR(__xludf.DUMMYFUNCTION("""COMPUTED_VALUE"""),"VL103D")</f>
        <v>VL103D</v>
      </c>
      <c r="X179" s="2">
        <f>IFERROR(__xludf.DUMMYFUNCTION("""COMPUTED_VALUE"""),8.69066060243632E14)</f>
        <v>869066060243632</v>
      </c>
      <c r="Y179" s="2">
        <f>IFERROR(__xludf.DUMMYFUNCTION("""COMPUTED_VALUE"""),9.086620378E9)</f>
        <v>9086620378</v>
      </c>
      <c r="Z179" s="2"/>
      <c r="AA179" s="2"/>
      <c r="AB179" s="2" t="str">
        <f>IFERROR(__xludf.DUMMYFUNCTION("""COMPUTED_VALUE"""),"aflac")</f>
        <v>aflac</v>
      </c>
    </row>
    <row r="180">
      <c r="A180" s="2" t="str">
        <f>IFERROR(__xludf.DUMMYFUNCTION("""COMPUTED_VALUE"""),"TT00178")</f>
        <v>TT00178</v>
      </c>
      <c r="B180" s="2" t="str">
        <f>IFERROR(__xludf.DUMMYFUNCTION("""COMPUTED_VALUE"""),"Completed")</f>
        <v>Completed</v>
      </c>
      <c r="C180" s="2" t="str">
        <f>IFERROR(__xludf.DUMMYFUNCTION("""COMPUTED_VALUE"""),"billed L3")</f>
        <v>billed L3</v>
      </c>
      <c r="D180" s="2" t="str">
        <f>IFERROR(__xludf.DUMMYFUNCTION("""COMPUTED_VALUE"""),"GALAS MAASIM PALAY AND VEGETABLE PRODUCERS ASSOCIATION")</f>
        <v>GALAS MAASIM PALAY AND VEGETABLE PRODUCERS ASSOCIATION</v>
      </c>
      <c r="E180" s="2" t="str">
        <f>IFERROR(__xludf.DUMMYFUNCTION("""COMPUTED_VALUE"""),"Maasim, San Rafael, BULACAN")</f>
        <v>Maasim, San Rafael, BULACAN</v>
      </c>
      <c r="F180" s="2" t="str">
        <f>IFERROR(__xludf.DUMMYFUNCTION("""COMPUTED_VALUE"""),"Tarcila S. Dela Cruz")</f>
        <v>Tarcila S. Dela Cruz</v>
      </c>
      <c r="G180" s="2" t="str">
        <f>IFERROR(__xludf.DUMMYFUNCTION("""COMPUTED_VALUE"""),"0923-801-3149")</f>
        <v>0923-801-3149</v>
      </c>
      <c r="H180" s="2"/>
      <c r="I180" s="2"/>
      <c r="J180" s="2"/>
      <c r="K180" s="2" t="str">
        <f>IFERROR(__xludf.DUMMYFUNCTION("""COMPUTED_VALUE"""),"RCEF 23-09-21 Rebidding")</f>
        <v>RCEF 23-09-21 Rebidding</v>
      </c>
      <c r="L180" s="2">
        <f>IFERROR(__xludf.DUMMYFUNCTION("""COMPUTED_VALUE"""),3.0)</f>
        <v>3</v>
      </c>
      <c r="M180" s="2">
        <f>IFERROR(__xludf.DUMMYFUNCTION("""COMPUTED_VALUE"""),3.0)</f>
        <v>3</v>
      </c>
      <c r="N180" s="74">
        <f>IFERROR(__xludf.DUMMYFUNCTION("""COMPUTED_VALUE"""),45314.0)</f>
        <v>45314</v>
      </c>
      <c r="O180" s="74">
        <f>IFERROR(__xludf.DUMMYFUNCTION("""COMPUTED_VALUE"""),45321.0)</f>
        <v>45321</v>
      </c>
      <c r="P180" s="2">
        <f>IFERROR(__xludf.DUMMYFUNCTION("""COMPUTED_VALUE"""),17994.0)</f>
        <v>17994</v>
      </c>
      <c r="Q180" s="2" t="str">
        <f>IFERROR(__xludf.DUMMYFUNCTION("""COMPUTED_VALUE"""),"KMC5825 ALPFPV0099")</f>
        <v>KMC5825 ALPFPV0099</v>
      </c>
      <c r="R180" s="2" t="str">
        <f>IFERROR(__xludf.DUMMYFUNCTION("""COMPUTED_VALUE"""),"PTS 100071")</f>
        <v>PTS 100071</v>
      </c>
      <c r="S180" s="2" t="str">
        <f>IFERROR(__xludf.DUMMYFUNCTION("""COMPUTED_VALUE"""),"R-SERIES 034 PH")</f>
        <v>R-SERIES 034 PH</v>
      </c>
      <c r="T180" s="2" t="str">
        <f>IFERROR(__xludf.DUMMYFUNCTION("""COMPUTED_VALUE"""),"LSGW1750 RMP 2312069")</f>
        <v>LSGW1750 RMP 2312069</v>
      </c>
      <c r="U180" s="2" t="str">
        <f>IFERROR(__xludf.DUMMYFUNCTION("""COMPUTED_VALUE"""),"WDP40 RMP 2312123")</f>
        <v>WDP40 RMP 2312123</v>
      </c>
      <c r="V180" s="2" t="str">
        <f>IFERROR(__xludf.DUMMYFUNCTION("""COMPUTED_VALUE"""),"good")</f>
        <v>good</v>
      </c>
      <c r="W180" s="2" t="str">
        <f>IFERROR(__xludf.DUMMYFUNCTION("""COMPUTED_VALUE"""),"VL103D")</f>
        <v>VL103D</v>
      </c>
      <c r="X180" s="2">
        <f>IFERROR(__xludf.DUMMYFUNCTION("""COMPUTED_VALUE"""),8.6906606024364E14)</f>
        <v>869066060243640</v>
      </c>
      <c r="Y180" s="2">
        <f>IFERROR(__xludf.DUMMYFUNCTION("""COMPUTED_VALUE"""),9.08663499E9)</f>
        <v>9086634990</v>
      </c>
      <c r="Z180" s="2"/>
      <c r="AA180" s="2"/>
      <c r="AB180" s="2" t="str">
        <f>IFERROR(__xludf.DUMMYFUNCTION("""COMPUTED_VALUE"""),"galasmaasim")</f>
        <v>galasmaasim</v>
      </c>
    </row>
    <row r="181">
      <c r="A181" s="2" t="str">
        <f>IFERROR(__xludf.DUMMYFUNCTION("""COMPUTED_VALUE"""),"TT00179")</f>
        <v>TT00179</v>
      </c>
      <c r="B181" s="2" t="str">
        <f>IFERROR(__xludf.DUMMYFUNCTION("""COMPUTED_VALUE"""),"Completed")</f>
        <v>Completed</v>
      </c>
      <c r="C181" s="2" t="str">
        <f>IFERROR(__xludf.DUMMYFUNCTION("""COMPUTED_VALUE"""),"billed L3")</f>
        <v>billed L3</v>
      </c>
      <c r="D181" s="2" t="str">
        <f>IFERROR(__xludf.DUMMYFUNCTION("""COMPUTED_VALUE"""),"MUNICIPAL LOCAL GOVERNMENT UNIT OF ANGAT")</f>
        <v>MUNICIPAL LOCAL GOVERNMENT UNIT OF ANGAT</v>
      </c>
      <c r="E181" s="2" t="str">
        <f>IFERROR(__xludf.DUMMYFUNCTION("""COMPUTED_VALUE"""),"Poblacion, Angat, Bulacan")</f>
        <v>Poblacion, Angat, Bulacan</v>
      </c>
      <c r="F181" s="2" t="str">
        <f>IFERROR(__xludf.DUMMYFUNCTION("""COMPUTED_VALUE"""),"Luisito R. Roxas")</f>
        <v>Luisito R. Roxas</v>
      </c>
      <c r="G181" s="2" t="str">
        <f>IFERROR(__xludf.DUMMYFUNCTION("""COMPUTED_VALUE"""),"0932-973-6422")</f>
        <v>0932-973-6422</v>
      </c>
      <c r="H181" s="2"/>
      <c r="I181" s="2"/>
      <c r="J181" s="2"/>
      <c r="K181" s="2" t="str">
        <f>IFERROR(__xludf.DUMMYFUNCTION("""COMPUTED_VALUE"""),"RCEF 23-09-21 Rebidding")</f>
        <v>RCEF 23-09-21 Rebidding</v>
      </c>
      <c r="L181" s="2">
        <f>IFERROR(__xludf.DUMMYFUNCTION("""COMPUTED_VALUE"""),3.0)</f>
        <v>3</v>
      </c>
      <c r="M181" s="2">
        <f>IFERROR(__xludf.DUMMYFUNCTION("""COMPUTED_VALUE"""),3.0)</f>
        <v>3</v>
      </c>
      <c r="N181" s="74">
        <f>IFERROR(__xludf.DUMMYFUNCTION("""COMPUTED_VALUE"""),45314.0)</f>
        <v>45314</v>
      </c>
      <c r="O181" s="74">
        <f>IFERROR(__xludf.DUMMYFUNCTION("""COMPUTED_VALUE"""),45321.0)</f>
        <v>45321</v>
      </c>
      <c r="P181" s="2">
        <f>IFERROR(__xludf.DUMMYFUNCTION("""COMPUTED_VALUE"""),17995.0)</f>
        <v>17995</v>
      </c>
      <c r="Q181" s="2" t="str">
        <f>IFERROR(__xludf.DUMMYFUNCTION("""COMPUTED_VALUE"""),"KMC5825 APPFPV0143")</f>
        <v>KMC5825 APPFPV0143</v>
      </c>
      <c r="R181" s="2" t="str">
        <f>IFERROR(__xludf.DUMMYFUNCTION("""COMPUTED_VALUE"""),"PTS 100119")</f>
        <v>PTS 100119</v>
      </c>
      <c r="S181" s="2" t="str">
        <f>IFERROR(__xludf.DUMMYFUNCTION("""COMPUTED_VALUE"""),"R-SERIES 076 PH")</f>
        <v>R-SERIES 076 PH</v>
      </c>
      <c r="T181" s="2" t="str">
        <f>IFERROR(__xludf.DUMMYFUNCTION("""COMPUTED_VALUE"""),"LSGW1750 RMP 2312082")</f>
        <v>LSGW1750 RMP 2312082</v>
      </c>
      <c r="U181" s="2" t="str">
        <f>IFERROR(__xludf.DUMMYFUNCTION("""COMPUTED_VALUE"""),"WDP40 RMP 2312137")</f>
        <v>WDP40 RMP 2312137</v>
      </c>
      <c r="V181" s="2" t="str">
        <f>IFERROR(__xludf.DUMMYFUNCTION("""COMPUTED_VALUE"""),"good")</f>
        <v>good</v>
      </c>
      <c r="W181" s="2" t="str">
        <f>IFERROR(__xludf.DUMMYFUNCTION("""COMPUTED_VALUE"""),"VL103D")</f>
        <v>VL103D</v>
      </c>
      <c r="X181" s="2" t="str">
        <f>IFERROR(__xludf.DUMMYFUNCTION("""COMPUTED_VALUE"""),"869066060010213 (E)")</f>
        <v>869066060010213 (E)</v>
      </c>
      <c r="Y181" s="2">
        <f>IFERROR(__xludf.DUMMYFUNCTION("""COMPUTED_VALUE"""),9.086857236E9)</f>
        <v>9086857236</v>
      </c>
      <c r="Z181" s="3" t="str">
        <f>IFERROR(__xludf.DUMMYFUNCTION("""COMPUTED_VALUE"""),"0323250006121221")</f>
        <v>0323250006121221</v>
      </c>
      <c r="AA181" s="2"/>
      <c r="AB181" s="2" t="str">
        <f>IFERROR(__xludf.DUMMYFUNCTION("""COMPUTED_VALUE"""),"mlguangat")</f>
        <v>mlguangat</v>
      </c>
    </row>
    <row r="182">
      <c r="A182" s="2" t="str">
        <f>IFERROR(__xludf.DUMMYFUNCTION("""COMPUTED_VALUE"""),"TT00180")</f>
        <v>TT00180</v>
      </c>
      <c r="B182" s="2" t="str">
        <f>IFERROR(__xludf.DUMMYFUNCTION("""COMPUTED_VALUE"""),"Completed")</f>
        <v>Completed</v>
      </c>
      <c r="C182" s="2" t="str">
        <f>IFERROR(__xludf.DUMMYFUNCTION("""COMPUTED_VALUE"""),"billed L3")</f>
        <v>billed L3</v>
      </c>
      <c r="D182" s="2" t="str">
        <f>IFERROR(__xludf.DUMMYFUNCTION("""COMPUTED_VALUE"""),"Butil, Gulayan, at Paghahayupan ng Magsasaka ng Bagong Barrio")</f>
        <v>Butil, Gulayan, at Paghahayupan ng Magsasaka ng Bagong Barrio</v>
      </c>
      <c r="E182" s="2" t="str">
        <f>IFERROR(__xludf.DUMMYFUNCTION("""COMPUTED_VALUE"""),"Bagong Barrio, Pandi, BULACAN")</f>
        <v>Bagong Barrio, Pandi, BULACAN</v>
      </c>
      <c r="F182" s="2" t="str">
        <f>IFERROR(__xludf.DUMMYFUNCTION("""COMPUTED_VALUE"""),"Adriano R. Landayan Jr.")</f>
        <v>Adriano R. Landayan Jr.</v>
      </c>
      <c r="G182" s="2" t="str">
        <f>IFERROR(__xludf.DUMMYFUNCTION("""COMPUTED_VALUE"""),"0975-916-2663/0932-199-1058")</f>
        <v>0975-916-2663/0932-199-1058</v>
      </c>
      <c r="H182" s="2"/>
      <c r="I182" s="2"/>
      <c r="J182" s="2"/>
      <c r="K182" s="2" t="str">
        <f>IFERROR(__xludf.DUMMYFUNCTION("""COMPUTED_VALUE"""),"RCEF 23-09-21 Rebidding")</f>
        <v>RCEF 23-09-21 Rebidding</v>
      </c>
      <c r="L182" s="2">
        <f>IFERROR(__xludf.DUMMYFUNCTION("""COMPUTED_VALUE"""),3.0)</f>
        <v>3</v>
      </c>
      <c r="M182" s="2">
        <f>IFERROR(__xludf.DUMMYFUNCTION("""COMPUTED_VALUE"""),3.0)</f>
        <v>3</v>
      </c>
      <c r="N182" s="74">
        <f>IFERROR(__xludf.DUMMYFUNCTION("""COMPUTED_VALUE"""),45314.0)</f>
        <v>45314</v>
      </c>
      <c r="O182" s="74">
        <f>IFERROR(__xludf.DUMMYFUNCTION("""COMPUTED_VALUE"""),45321.0)</f>
        <v>45321</v>
      </c>
      <c r="P182" s="2">
        <f>IFERROR(__xludf.DUMMYFUNCTION("""COMPUTED_VALUE"""),17996.0)</f>
        <v>17996</v>
      </c>
      <c r="Q182" s="2" t="str">
        <f>IFERROR(__xludf.DUMMYFUNCTION("""COMPUTED_VALUE"""),"KMC5825 AJRFPV0004")</f>
        <v>KMC5825 AJRFPV0004</v>
      </c>
      <c r="R182" s="2" t="str">
        <f>IFERROR(__xludf.DUMMYFUNCTION("""COMPUTED_VALUE"""),"PTS 100295")</f>
        <v>PTS 100295</v>
      </c>
      <c r="S182" s="2" t="str">
        <f>IFERROR(__xludf.DUMMYFUNCTION("""COMPUTED_VALUE"""),"R-SERIES 020 PH")</f>
        <v>R-SERIES 020 PH</v>
      </c>
      <c r="T182" s="2" t="str">
        <f>IFERROR(__xludf.DUMMYFUNCTION("""COMPUTED_VALUE"""),"LSGW1750 RMP 2312084")</f>
        <v>LSGW1750 RMP 2312084</v>
      </c>
      <c r="U182" s="2" t="str">
        <f>IFERROR(__xludf.DUMMYFUNCTION("""COMPUTED_VALUE"""),"WDP40 RMP 2312076")</f>
        <v>WDP40 RMP 2312076</v>
      </c>
      <c r="V182" s="2" t="str">
        <f>IFERROR(__xludf.DUMMYFUNCTION("""COMPUTED_VALUE"""),"good")</f>
        <v>good</v>
      </c>
      <c r="W182" s="2" t="str">
        <f>IFERROR(__xludf.DUMMYFUNCTION("""COMPUTED_VALUE"""),"VL103D")</f>
        <v>VL103D</v>
      </c>
      <c r="X182" s="2" t="str">
        <f>IFERROR(__xludf.DUMMYFUNCTION("""COMPUTED_VALUE"""),"869066060012870 (E)")</f>
        <v>869066060012870 (E)</v>
      </c>
      <c r="Y182" s="2">
        <f>IFERROR(__xludf.DUMMYFUNCTION("""COMPUTED_VALUE"""),9.807860886E9)</f>
        <v>9807860886</v>
      </c>
      <c r="Z182" s="3" t="str">
        <f>IFERROR(__xludf.DUMMYFUNCTION("""COMPUTED_VALUE"""),"0323250006121239")</f>
        <v>0323250006121239</v>
      </c>
      <c r="AA182" s="2"/>
      <c r="AB182" s="2" t="str">
        <f>IFERROR(__xludf.DUMMYFUNCTION("""COMPUTED_VALUE"""),"butilgulayan")</f>
        <v>butilgulayan</v>
      </c>
    </row>
    <row r="183">
      <c r="A183" s="2" t="str">
        <f>IFERROR(__xludf.DUMMYFUNCTION("""COMPUTED_VALUE"""),"TT00181")</f>
        <v>TT00181</v>
      </c>
      <c r="B183" s="2" t="str">
        <f>IFERROR(__xludf.DUMMYFUNCTION("""COMPUTED_VALUE"""),"Completed")</f>
        <v>Completed</v>
      </c>
      <c r="C183" s="2" t="str">
        <f>IFERROR(__xludf.DUMMYFUNCTION("""COMPUTED_VALUE"""),"FOR BILLING L9")</f>
        <v>FOR BILLING L9</v>
      </c>
      <c r="D183" s="2" t="str">
        <f>IFERROR(__xludf.DUMMYFUNCTION("""COMPUTED_VALUE"""),"Bulusukan Farmers Palay and Vegetable Producers Cooperative")</f>
        <v>Bulusukan Farmers Palay and Vegetable Producers Cooperative</v>
      </c>
      <c r="E183" s="2" t="str">
        <f>IFERROR(__xludf.DUMMYFUNCTION("""COMPUTED_VALUE"""),"Bulusukan, San Ildefonso, BULACAN")</f>
        <v>Bulusukan, San Ildefonso, BULACAN</v>
      </c>
      <c r="F183" s="2" t="str">
        <f>IFERROR(__xludf.DUMMYFUNCTION("""COMPUTED_VALUE"""),"Naldy T. Nunez")</f>
        <v>Naldy T. Nunez</v>
      </c>
      <c r="G183" s="2" t="str">
        <f>IFERROR(__xludf.DUMMYFUNCTION("""COMPUTED_VALUE"""),"0955-307-1974")</f>
        <v>0955-307-1974</v>
      </c>
      <c r="H183" s="2"/>
      <c r="I183" s="2"/>
      <c r="J183" s="2"/>
      <c r="K183" s="2" t="str">
        <f>IFERROR(__xludf.DUMMYFUNCTION("""COMPUTED_VALUE"""),"RCEF 23-09-21 Rebidding")</f>
        <v>RCEF 23-09-21 Rebidding</v>
      </c>
      <c r="L183" s="2">
        <f>IFERROR(__xludf.DUMMYFUNCTION("""COMPUTED_VALUE"""),9.0)</f>
        <v>9</v>
      </c>
      <c r="M183" s="2">
        <f>IFERROR(__xludf.DUMMYFUNCTION("""COMPUTED_VALUE"""),3.0)</f>
        <v>3</v>
      </c>
      <c r="N183" s="74">
        <f>IFERROR(__xludf.DUMMYFUNCTION("""COMPUTED_VALUE"""),45314.0)</f>
        <v>45314</v>
      </c>
      <c r="O183" s="74">
        <f>IFERROR(__xludf.DUMMYFUNCTION("""COMPUTED_VALUE"""),45321.0)</f>
        <v>45321</v>
      </c>
      <c r="P183" s="2">
        <f>IFERROR(__xludf.DUMMYFUNCTION("""COMPUTED_VALUE"""),17997.0)</f>
        <v>17997</v>
      </c>
      <c r="Q183" s="2" t="str">
        <f>IFERROR(__xludf.DUMMYFUNCTION("""COMPUTED_VALUE"""),"KMC5825 AKPFPV0046")</f>
        <v>KMC5825 AKPFPV0046</v>
      </c>
      <c r="R183" s="2" t="str">
        <f>IFERROR(__xludf.DUMMYFUNCTION("""COMPUTED_VALUE"""),"PTS100065")</f>
        <v>PTS100065</v>
      </c>
      <c r="S183" s="2" t="str">
        <f>IFERROR(__xludf.DUMMYFUNCTION("""COMPUTED_VALUE"""),"R-SERIES 030 PH")</f>
        <v>R-SERIES 030 PH</v>
      </c>
      <c r="T183" s="2" t="str">
        <f>IFERROR(__xludf.DUMMYFUNCTION("""COMPUTED_VALUE"""),"LSGW1750 RMP 2312060")</f>
        <v>LSGW1750 RMP 2312060</v>
      </c>
      <c r="U183" s="2" t="str">
        <f>IFERROR(__xludf.DUMMYFUNCTION("""COMPUTED_VALUE"""),"WDP40 RMP 2312119")</f>
        <v>WDP40 RMP 2312119</v>
      </c>
      <c r="V183" s="2" t="str">
        <f>IFERROR(__xludf.DUMMYFUNCTION("""COMPUTED_VALUE"""),"good")</f>
        <v>good</v>
      </c>
      <c r="W183" s="2" t="str">
        <f>IFERROR(__xludf.DUMMYFUNCTION("""COMPUTED_VALUE"""),"VL103D")</f>
        <v>VL103D</v>
      </c>
      <c r="X183" s="2" t="str">
        <f>IFERROR(__xludf.DUMMYFUNCTION("""COMPUTED_VALUE"""),"869066060243020 (E)")</f>
        <v>869066060243020 (E)</v>
      </c>
      <c r="Y183" s="2">
        <f>IFERROR(__xludf.DUMMYFUNCTION("""COMPUTED_VALUE"""),9.085863965E9)</f>
        <v>9085863965</v>
      </c>
      <c r="Z183" s="3" t="str">
        <f>IFERROR(__xludf.DUMMYFUNCTION("""COMPUTED_VALUE"""),"0323250006123847")</f>
        <v>0323250006123847</v>
      </c>
      <c r="AA183" s="2"/>
      <c r="AB183" s="2" t="str">
        <f>IFERROR(__xludf.DUMMYFUNCTION("""COMPUTED_VALUE"""),"bulusukanfarmers")</f>
        <v>bulusukanfarmers</v>
      </c>
    </row>
    <row r="184">
      <c r="A184" s="2" t="str">
        <f>IFERROR(__xludf.DUMMYFUNCTION("""COMPUTED_VALUE"""),"TT00182")</f>
        <v>TT00182</v>
      </c>
      <c r="B184" s="2" t="str">
        <f>IFERROR(__xludf.DUMMYFUNCTION("""COMPUTED_VALUE"""),"Completed")</f>
        <v>Completed</v>
      </c>
      <c r="C184" s="2" t="str">
        <f>IFERROR(__xludf.DUMMYFUNCTION("""COMPUTED_VALUE"""),"FOR BILLING L9")</f>
        <v>FOR BILLING L9</v>
      </c>
      <c r="D184" s="2" t="str">
        <f>IFERROR(__xludf.DUMMYFUNCTION("""COMPUTED_VALUE"""),"Tukod Palay and Vegetables Farmers Association")</f>
        <v>Tukod Palay and Vegetables Farmers Association</v>
      </c>
      <c r="E184" s="2" t="str">
        <f>IFERROR(__xludf.DUMMYFUNCTION("""COMPUTED_VALUE"""),"Tukod, San Rafael, BULACAN")</f>
        <v>Tukod, San Rafael, BULACAN</v>
      </c>
      <c r="F184" s="2" t="str">
        <f>IFERROR(__xludf.DUMMYFUNCTION("""COMPUTED_VALUE"""),"Teofista Z. Basa")</f>
        <v>Teofista Z. Basa</v>
      </c>
      <c r="G184" s="2" t="str">
        <f>IFERROR(__xludf.DUMMYFUNCTION("""COMPUTED_VALUE"""),"0928-746-1730")</f>
        <v>0928-746-1730</v>
      </c>
      <c r="H184" s="2"/>
      <c r="I184" s="2"/>
      <c r="J184" s="2"/>
      <c r="K184" s="2" t="str">
        <f>IFERROR(__xludf.DUMMYFUNCTION("""COMPUTED_VALUE"""),"RCEF 23-09-21 Rebidding")</f>
        <v>RCEF 23-09-21 Rebidding</v>
      </c>
      <c r="L184" s="2">
        <f>IFERROR(__xludf.DUMMYFUNCTION("""COMPUTED_VALUE"""),9.0)</f>
        <v>9</v>
      </c>
      <c r="M184" s="2">
        <f>IFERROR(__xludf.DUMMYFUNCTION("""COMPUTED_VALUE"""),3.0)</f>
        <v>3</v>
      </c>
      <c r="N184" s="74">
        <f>IFERROR(__xludf.DUMMYFUNCTION("""COMPUTED_VALUE"""),45314.0)</f>
        <v>45314</v>
      </c>
      <c r="O184" s="74">
        <f>IFERROR(__xludf.DUMMYFUNCTION("""COMPUTED_VALUE"""),45321.0)</f>
        <v>45321</v>
      </c>
      <c r="P184" s="2">
        <f>IFERROR(__xludf.DUMMYFUNCTION("""COMPUTED_VALUE"""),17998.0)</f>
        <v>17998</v>
      </c>
      <c r="Q184" s="2" t="str">
        <f>IFERROR(__xludf.DUMMYFUNCTION("""COMPUTED_VALUE"""),"KMC5825 ACPFPV0124")</f>
        <v>KMC5825 ACPFPV0124</v>
      </c>
      <c r="R184" s="2" t="str">
        <f>IFERROR(__xludf.DUMMYFUNCTION("""COMPUTED_VALUE"""),"PTS 100049")</f>
        <v>PTS 100049</v>
      </c>
      <c r="S184" s="2" t="str">
        <f>IFERROR(__xludf.DUMMYFUNCTION("""COMPUTED_VALUE"""),"R-SERIES 100049 PH")</f>
        <v>R-SERIES 100049 PH</v>
      </c>
      <c r="T184" s="2" t="str">
        <f>IFERROR(__xludf.DUMMYFUNCTION("""COMPUTED_VALUE"""),"LSGW1750 RMP 2312059")</f>
        <v>LSGW1750 RMP 2312059</v>
      </c>
      <c r="U184" s="2" t="str">
        <f>IFERROR(__xludf.DUMMYFUNCTION("""COMPUTED_VALUE"""),"WDP40 RMP 2312107")</f>
        <v>WDP40 RMP 2312107</v>
      </c>
      <c r="V184" s="2" t="str">
        <f>IFERROR(__xludf.DUMMYFUNCTION("""COMPUTED_VALUE"""),"good")</f>
        <v>good</v>
      </c>
      <c r="W184" s="2" t="str">
        <f>IFERROR(__xludf.DUMMYFUNCTION("""COMPUTED_VALUE"""),"VL103D")</f>
        <v>VL103D</v>
      </c>
      <c r="X184" s="2" t="str">
        <f>IFERROR(__xludf.DUMMYFUNCTION("""COMPUTED_VALUE"""),"869066060243657 (E)")</f>
        <v>869066060243657 (E)</v>
      </c>
      <c r="Y184" s="2">
        <f>IFERROR(__xludf.DUMMYFUNCTION("""COMPUTED_VALUE"""),9.859651762E9)</f>
        <v>9859651762</v>
      </c>
      <c r="Z184" s="3" t="str">
        <f>IFERROR(__xludf.DUMMYFUNCTION("""COMPUTED_VALUE"""),"0323250006123813")</f>
        <v>0323250006123813</v>
      </c>
      <c r="AA184" s="2"/>
      <c r="AB184" s="2" t="str">
        <f>IFERROR(__xludf.DUMMYFUNCTION("""COMPUTED_VALUE"""),"tukodpalay")</f>
        <v>tukodpalay</v>
      </c>
    </row>
    <row r="185">
      <c r="A185" s="2" t="str">
        <f>IFERROR(__xludf.DUMMYFUNCTION("""COMPUTED_VALUE"""),"TT00183")</f>
        <v>TT00183</v>
      </c>
      <c r="B185" s="2" t="str">
        <f>IFERROR(__xludf.DUMMYFUNCTION("""COMPUTED_VALUE"""),"Completed")</f>
        <v>Completed</v>
      </c>
      <c r="C185" s="2" t="str">
        <f>IFERROR(__xludf.DUMMYFUNCTION("""COMPUTED_VALUE"""),"FOR BILLING L9")</f>
        <v>FOR BILLING L9</v>
      </c>
      <c r="D185" s="2" t="str">
        <f>IFERROR(__xludf.DUMMYFUNCTION("""COMPUTED_VALUE"""),"Plaridel-Malolos Irrigators Association Inc.")</f>
        <v>Plaridel-Malolos Irrigators Association Inc.</v>
      </c>
      <c r="E185" s="2" t="str">
        <f>IFERROR(__xludf.DUMMYFUNCTION("""COMPUTED_VALUE"""),"Barilan, Malolos, Bulacan")</f>
        <v>Barilan, Malolos, Bulacan</v>
      </c>
      <c r="F185" s="2" t="str">
        <f>IFERROR(__xludf.DUMMYFUNCTION("""COMPUTED_VALUE"""),"Maxima E. valentino")</f>
        <v>Maxima E. valentino</v>
      </c>
      <c r="G185" s="2" t="str">
        <f>IFERROR(__xludf.DUMMYFUNCTION("""COMPUTED_VALUE"""),"0936-137-0538/    0917-393-3929")</f>
        <v>0936-137-0538/    0917-393-3929</v>
      </c>
      <c r="H185" s="2"/>
      <c r="I185" s="2"/>
      <c r="J185" s="2"/>
      <c r="K185" s="2" t="str">
        <f>IFERROR(__xludf.DUMMYFUNCTION("""COMPUTED_VALUE"""),"RCEF 23-09-21 Rebidding")</f>
        <v>RCEF 23-09-21 Rebidding</v>
      </c>
      <c r="L185" s="2">
        <f>IFERROR(__xludf.DUMMYFUNCTION("""COMPUTED_VALUE"""),9.0)</f>
        <v>9</v>
      </c>
      <c r="M185" s="2">
        <f>IFERROR(__xludf.DUMMYFUNCTION("""COMPUTED_VALUE"""),3.0)</f>
        <v>3</v>
      </c>
      <c r="N185" s="74">
        <f>IFERROR(__xludf.DUMMYFUNCTION("""COMPUTED_VALUE"""),45314.0)</f>
        <v>45314</v>
      </c>
      <c r="O185" s="74">
        <f>IFERROR(__xludf.DUMMYFUNCTION("""COMPUTED_VALUE"""),45337.0)</f>
        <v>45337</v>
      </c>
      <c r="P185" s="2">
        <f>IFERROR(__xludf.DUMMYFUNCTION("""COMPUTED_VALUE"""),17999.0)</f>
        <v>17999</v>
      </c>
      <c r="Q185" s="2" t="str">
        <f>IFERROR(__xludf.DUMMYFUNCTION("""COMPUTED_VALUE"""),"KMC5825 AJPFPV0095")</f>
        <v>KMC5825 AJPFPV0095</v>
      </c>
      <c r="R185" s="2" t="str">
        <f>IFERROR(__xludf.DUMMYFUNCTION("""COMPUTED_VALUE"""),"PTS 100098")</f>
        <v>PTS 100098</v>
      </c>
      <c r="S185" s="2" t="str">
        <f>IFERROR(__xludf.DUMMYFUNCTION("""COMPUTED_VALUE"""),"R-SERIES 035 PH")</f>
        <v>R-SERIES 035 PH</v>
      </c>
      <c r="T185" s="2" t="str">
        <f>IFERROR(__xludf.DUMMYFUNCTION("""COMPUTED_VALUE"""),"LSGW1750 RMP 2312143")</f>
        <v>LSGW1750 RMP 2312143</v>
      </c>
      <c r="U185" s="2" t="str">
        <f>IFERROR(__xludf.DUMMYFUNCTION("""COMPUTED_VALUE"""),"WDP40 RMP 2312117")</f>
        <v>WDP40 RMP 2312117</v>
      </c>
      <c r="V185" s="2" t="str">
        <f>IFERROR(__xludf.DUMMYFUNCTION("""COMPUTED_VALUE"""),"good")</f>
        <v>good</v>
      </c>
      <c r="W185" s="2" t="str">
        <f>IFERROR(__xludf.DUMMYFUNCTION("""COMPUTED_VALUE"""),"VL103D")</f>
        <v>VL103D</v>
      </c>
      <c r="X185" s="2" t="str">
        <f>IFERROR(__xludf.DUMMYFUNCTION("""COMPUTED_VALUE"""),"869066060244556 (E)")</f>
        <v>869066060244556 (E)</v>
      </c>
      <c r="Y185" s="2">
        <f>IFERROR(__xludf.DUMMYFUNCTION("""COMPUTED_VALUE"""),9.08238799E9)</f>
        <v>9082387990</v>
      </c>
      <c r="Z185" s="3" t="str">
        <f>IFERROR(__xludf.DUMMYFUNCTION("""COMPUTED_VALUE"""),"0323250006123516")</f>
        <v>0323250006123516</v>
      </c>
      <c r="AA185" s="2"/>
      <c r="AB185" s="2" t="str">
        <f>IFERROR(__xludf.DUMMYFUNCTION("""COMPUTED_VALUE"""),"plaridelmalolosirrig")</f>
        <v>plaridelmalolosirrig</v>
      </c>
    </row>
    <row r="186">
      <c r="A186" s="2" t="str">
        <f>IFERROR(__xludf.DUMMYFUNCTION("""COMPUTED_VALUE"""),"TT00184")</f>
        <v>TT00184</v>
      </c>
      <c r="B186" s="2"/>
      <c r="C186" s="2"/>
      <c r="D186" s="2" t="str">
        <f>IFERROR(__xludf.DUMMYFUNCTION("""COMPUTED_VALUE"""),"SAN JUAN IA/FARMERS ASSOCIATION")</f>
        <v>SAN JUAN IA/FARMERS ASSOCIATION</v>
      </c>
      <c r="E186" s="2" t="str">
        <f>IFERROR(__xludf.DUMMYFUNCTION("""COMPUTED_VALUE"""),"San Juan, Alfonso Lista (Potia), IFUGAO")</f>
        <v>San Juan, Alfonso Lista (Potia), IFUGAO</v>
      </c>
      <c r="F186" s="2" t="str">
        <f>IFERROR(__xludf.DUMMYFUNCTION("""COMPUTED_VALUE"""),"Esmenia S. Borja")</f>
        <v>Esmenia S. Borja</v>
      </c>
      <c r="G186" s="2">
        <f>IFERROR(__xludf.DUMMYFUNCTION("""COMPUTED_VALUE"""),9.554952463E9)</f>
        <v>9554952463</v>
      </c>
      <c r="H186" s="2"/>
      <c r="I186" s="2"/>
      <c r="J186" s="2"/>
      <c r="K186" s="2" t="str">
        <f>IFERROR(__xludf.DUMMYFUNCTION("""COMPUTED_VALUE"""),"RCEF 23-09-21 Rebidding")</f>
        <v>RCEF 23-09-21 Rebidding</v>
      </c>
      <c r="L186" s="2" t="str">
        <f>IFERROR(__xludf.DUMMYFUNCTION("""COMPUTED_VALUE"""),"1v2")</f>
        <v>1v2</v>
      </c>
      <c r="M186" s="2"/>
      <c r="N186" s="74">
        <f>IFERROR(__xludf.DUMMYFUNCTION("""COMPUTED_VALUE"""),45323.0)</f>
        <v>45323</v>
      </c>
      <c r="O186" s="74">
        <f>IFERROR(__xludf.DUMMYFUNCTION("""COMPUTED_VALUE"""),45446.0)</f>
        <v>45446</v>
      </c>
      <c r="P186" s="2">
        <f>IFERROR(__xludf.DUMMYFUNCTION("""COMPUTED_VALUE"""),18348.0)</f>
        <v>18348</v>
      </c>
      <c r="Q186" s="2" t="str">
        <f>IFERROR(__xludf.DUMMYFUNCTION("""COMPUTED_VALUE"""),"KMC5825 APRFPV0517")</f>
        <v>KMC5825 APRFPV0517</v>
      </c>
      <c r="R186" s="2" t="str">
        <f>IFERROR(__xludf.DUMMYFUNCTION("""COMPUTED_VALUE"""),"RTS 100423")</f>
        <v>RTS 100423</v>
      </c>
      <c r="S186" s="2" t="str">
        <f>IFERROR(__xludf.DUMMYFUNCTION("""COMPUTED_VALUE"""),"WR-SERIES 812 PH")</f>
        <v>WR-SERIES 812 PH</v>
      </c>
      <c r="T186" s="2" t="str">
        <f>IFERROR(__xludf.DUMMYFUNCTION("""COMPUTED_VALUE"""),"LSGW1750 RMP 24010210")</f>
        <v>LSGW1750 RMP 24010210</v>
      </c>
      <c r="U186" s="2" t="str">
        <f>IFERROR(__xludf.DUMMYFUNCTION("""COMPUTED_VALUE"""),"WDP40 RMP 24050576")</f>
        <v>WDP40 RMP 24050576</v>
      </c>
      <c r="V186" s="2"/>
      <c r="W186" s="2" t="str">
        <f>IFERROR(__xludf.DUMMYFUNCTION("""COMPUTED_VALUE"""),"VL103D")</f>
        <v>VL103D</v>
      </c>
      <c r="X186" s="2"/>
      <c r="Y186" s="2"/>
      <c r="Z186" s="2"/>
      <c r="AA186" s="2"/>
      <c r="AB186" s="2" t="str">
        <f>IFERROR(__xludf.DUMMYFUNCTION("""COMPUTED_VALUE"""),"sanjuanfa")</f>
        <v>sanjuanfa</v>
      </c>
    </row>
    <row r="187">
      <c r="A187" s="2" t="str">
        <f>IFERROR(__xludf.DUMMYFUNCTION("""COMPUTED_VALUE"""),"TT00185")</f>
        <v>TT00185</v>
      </c>
      <c r="B187" s="2" t="str">
        <f>IFERROR(__xludf.DUMMYFUNCTION("""COMPUTED_VALUE"""),"Completed")</f>
        <v>Completed</v>
      </c>
      <c r="C187" s="2" t="str">
        <f>IFERROR(__xludf.DUMMYFUNCTION("""COMPUTED_VALUE"""),"FOR BILLING L1V2")</f>
        <v>FOR BILLING L1V2</v>
      </c>
      <c r="D187" s="2" t="str">
        <f>IFERROR(__xludf.DUMMYFUNCTION("""COMPUTED_VALUE"""),"SAN QUINTIN INTEGRATED FARMERS ASSOCIATION")</f>
        <v>SAN QUINTIN INTEGRATED FARMERS ASSOCIATION</v>
      </c>
      <c r="E187" s="2" t="str">
        <f>IFERROR(__xludf.DUMMYFUNCTION("""COMPUTED_VALUE"""),"San Quintin, Alfonso Lista (Potia), IFUGAO")</f>
        <v>San Quintin, Alfonso Lista (Potia), IFUGAO</v>
      </c>
      <c r="F187" s="2" t="str">
        <f>IFERROR(__xludf.DUMMYFUNCTION("""COMPUTED_VALUE"""),"Michael Johnson P. Mabalo")</f>
        <v>Michael Johnson P. Mabalo</v>
      </c>
      <c r="G187" s="2">
        <f>IFERROR(__xludf.DUMMYFUNCTION("""COMPUTED_VALUE"""),9.175053586E9)</f>
        <v>9175053586</v>
      </c>
      <c r="H187" s="2"/>
      <c r="I187" s="2"/>
      <c r="J187" s="2"/>
      <c r="K187" s="2" t="str">
        <f>IFERROR(__xludf.DUMMYFUNCTION("""COMPUTED_VALUE"""),"RCEF 23-09-21 Rebidding")</f>
        <v>RCEF 23-09-21 Rebidding</v>
      </c>
      <c r="L187" s="2" t="str">
        <f>IFERROR(__xludf.DUMMYFUNCTION("""COMPUTED_VALUE"""),"1v2")</f>
        <v>1v2</v>
      </c>
      <c r="M187" s="2"/>
      <c r="N187" s="2" t="str">
        <f>IFERROR(__xludf.DUMMYFUNCTION("""COMPUTED_VALUE"""),"FEB.1,2024")</f>
        <v>FEB.1,2024</v>
      </c>
      <c r="O187" s="2" t="str">
        <f>IFERROR(__xludf.DUMMYFUNCTION("""COMPUTED_VALUE"""),"FEB.6,2024")</f>
        <v>FEB.6,2024</v>
      </c>
      <c r="P187" s="2">
        <f>IFERROR(__xludf.DUMMYFUNCTION("""COMPUTED_VALUE"""),18349.0)</f>
        <v>18349</v>
      </c>
      <c r="Q187" s="2" t="str">
        <f>IFERROR(__xludf.DUMMYFUNCTION("""COMPUTED_VALUE"""),"KMC5825 APRFPV0047")</f>
        <v>KMC5825 APRFPV0047</v>
      </c>
      <c r="R187" s="2" t="str">
        <f>IFERROR(__xludf.DUMMYFUNCTION("""COMPUTED_VALUE"""),"PTS 100221")</f>
        <v>PTS 100221</v>
      </c>
      <c r="S187" s="2" t="str">
        <f>IFERROR(__xludf.DUMMYFUNCTION("""COMPUTED_VALUE"""),"R-SERIES 030 PH")</f>
        <v>R-SERIES 030 PH</v>
      </c>
      <c r="T187" s="2" t="str">
        <f>IFERROR(__xludf.DUMMYFUNCTION("""COMPUTED_VALUE"""),"LSGW1750 RMP 24010036")</f>
        <v>LSGW1750 RMP 24010036</v>
      </c>
      <c r="U187" s="2" t="str">
        <f>IFERROR(__xludf.DUMMYFUNCTION("""COMPUTED_VALUE"""),"WDP40 RMP 24010001")</f>
        <v>WDP40 RMP 24010001</v>
      </c>
      <c r="V187" s="2" t="str">
        <f>IFERROR(__xludf.DUMMYFUNCTION("""COMPUTED_VALUE"""),"no load")</f>
        <v>no load</v>
      </c>
      <c r="W187" s="2" t="str">
        <f>IFERROR(__xludf.DUMMYFUNCTION("""COMPUTED_VALUE"""),"VL103D")</f>
        <v>VL103D</v>
      </c>
      <c r="X187" s="2">
        <f>IFERROR(__xludf.DUMMYFUNCTION("""COMPUTED_VALUE"""),8.69066060236636E14)</f>
        <v>869066060236636</v>
      </c>
      <c r="Y187" s="2">
        <f>IFERROR(__xludf.DUMMYFUNCTION("""COMPUTED_VALUE"""),9.086606615E9)</f>
        <v>9086606615</v>
      </c>
      <c r="Z187" s="2"/>
      <c r="AA187" s="2"/>
      <c r="AB187" s="2" t="str">
        <f>IFERROR(__xludf.DUMMYFUNCTION("""COMPUTED_VALUE"""),"sanquintinfa")</f>
        <v>sanquintinfa</v>
      </c>
    </row>
    <row r="188">
      <c r="A188" s="2" t="str">
        <f>IFERROR(__xludf.DUMMYFUNCTION("""COMPUTED_VALUE"""),"TT00186")</f>
        <v>TT00186</v>
      </c>
      <c r="B188" s="2" t="str">
        <f>IFERROR(__xludf.DUMMYFUNCTION("""COMPUTED_VALUE"""),"Completed")</f>
        <v>Completed</v>
      </c>
      <c r="C188" s="2" t="str">
        <f>IFERROR(__xludf.DUMMYFUNCTION("""COMPUTED_VALUE"""),"FOR BILLING L1V2")</f>
        <v>FOR BILLING L1V2</v>
      </c>
      <c r="D188" s="2" t="str">
        <f>IFERROR(__xludf.DUMMYFUNCTION("""COMPUTED_VALUE"""),"Alfonso Lista Rice Cluster Farmers Federation Incorporated")</f>
        <v>Alfonso Lista Rice Cluster Farmers Federation Incorporated</v>
      </c>
      <c r="E188" s="2" t="str">
        <f>IFERROR(__xludf.DUMMYFUNCTION("""COMPUTED_VALUE"""),"Santa Maria, Alfonso Lista (Potia), IFUGAO")</f>
        <v>Santa Maria, Alfonso Lista (Potia), IFUGAO</v>
      </c>
      <c r="F188" s="2" t="str">
        <f>IFERROR(__xludf.DUMMYFUNCTION("""COMPUTED_VALUE"""),"Jeffrey S. Gaspar")</f>
        <v>Jeffrey S. Gaspar</v>
      </c>
      <c r="G188" s="2" t="str">
        <f>IFERROR(__xludf.DUMMYFUNCTION("""COMPUTED_VALUE"""),"0975-895-0983")</f>
        <v>0975-895-0983</v>
      </c>
      <c r="H188" s="2"/>
      <c r="I188" s="2"/>
      <c r="J188" s="2"/>
      <c r="K188" s="2" t="str">
        <f>IFERROR(__xludf.DUMMYFUNCTION("""COMPUTED_VALUE"""),"RCEF 23-09-21 Rebidding")</f>
        <v>RCEF 23-09-21 Rebidding</v>
      </c>
      <c r="L188" s="2" t="str">
        <f>IFERROR(__xludf.DUMMYFUNCTION("""COMPUTED_VALUE"""),"1v2")</f>
        <v>1v2</v>
      </c>
      <c r="M188" s="2"/>
      <c r="N188" s="2" t="str">
        <f>IFERROR(__xludf.DUMMYFUNCTION("""COMPUTED_VALUE"""),"FEB.1,2024")</f>
        <v>FEB.1,2024</v>
      </c>
      <c r="O188" s="2" t="str">
        <f>IFERROR(__xludf.DUMMYFUNCTION("""COMPUTED_VALUE"""),"FEB.6,2024")</f>
        <v>FEB.6,2024</v>
      </c>
      <c r="P188" s="2">
        <f>IFERROR(__xludf.DUMMYFUNCTION("""COMPUTED_VALUE"""),18350.0)</f>
        <v>18350</v>
      </c>
      <c r="Q188" s="2" t="str">
        <f>IFERROR(__xludf.DUMMYFUNCTION("""COMPUTED_VALUE"""),"KMC5825 ACRFPV0045")</f>
        <v>KMC5825 ACRFPV0045</v>
      </c>
      <c r="R188" s="2" t="str">
        <f>IFERROR(__xludf.DUMMYFUNCTION("""COMPUTED_VALUE"""),"PTS 100220")</f>
        <v>PTS 100220</v>
      </c>
      <c r="S188" s="2" t="str">
        <f>IFERROR(__xludf.DUMMYFUNCTION("""COMPUTED_VALUE"""),"R-SERIES 046 PH")</f>
        <v>R-SERIES 046 PH</v>
      </c>
      <c r="T188" s="2" t="str">
        <f>IFERROR(__xludf.DUMMYFUNCTION("""COMPUTED_VALUE"""),"LSGW1750 RMP 24010035")</f>
        <v>LSGW1750 RMP 24010035</v>
      </c>
      <c r="U188" s="2" t="str">
        <f>IFERROR(__xludf.DUMMYFUNCTION("""COMPUTED_VALUE"""),"WDP40 RMP 24010012")</f>
        <v>WDP40 RMP 24010012</v>
      </c>
      <c r="V188" s="2" t="str">
        <f>IFERROR(__xludf.DUMMYFUNCTION("""COMPUTED_VALUE"""),"no load")</f>
        <v>no load</v>
      </c>
      <c r="W188" s="2" t="str">
        <f>IFERROR(__xludf.DUMMYFUNCTION("""COMPUTED_VALUE"""),"VL103D")</f>
        <v>VL103D</v>
      </c>
      <c r="X188" s="2">
        <f>IFERROR(__xludf.DUMMYFUNCTION("""COMPUTED_VALUE"""),8.69066060240034E14)</f>
        <v>869066060240034</v>
      </c>
      <c r="Y188" s="2">
        <f>IFERROR(__xludf.DUMMYFUNCTION("""COMPUTED_VALUE"""),9.087468195E9)</f>
        <v>9087468195</v>
      </c>
      <c r="Z188" s="3" t="str">
        <f>IFERROR(__xludf.DUMMYFUNCTION("""COMPUTED_VALUE"""),"0323250006120736")</f>
        <v>0323250006120736</v>
      </c>
      <c r="AA188" s="2"/>
      <c r="AB188" s="2" t="str">
        <f>IFERROR(__xludf.DUMMYFUNCTION("""COMPUTED_VALUE"""),"alfonsolista")</f>
        <v>alfonsolista</v>
      </c>
    </row>
    <row r="189">
      <c r="A189" s="2" t="str">
        <f>IFERROR(__xludf.DUMMYFUNCTION("""COMPUTED_VALUE"""),"TT00187")</f>
        <v>TT00187</v>
      </c>
      <c r="B189" s="2" t="str">
        <f>IFERROR(__xludf.DUMMYFUNCTION("""COMPUTED_VALUE"""),"Completed")</f>
        <v>Completed</v>
      </c>
      <c r="C189" s="2" t="str">
        <f>IFERROR(__xludf.DUMMYFUNCTION("""COMPUTED_VALUE"""),"FOR BILLING L1V2")</f>
        <v>FOR BILLING L1V2</v>
      </c>
      <c r="D189" s="2" t="str">
        <f>IFERROR(__xludf.DUMMYFUNCTION("""COMPUTED_VALUE"""),"Alpip-Caba-San Irrigators Association Inc.")</f>
        <v>Alpip-Caba-San Irrigators Association Inc.</v>
      </c>
      <c r="E189" s="2" t="str">
        <f>IFERROR(__xludf.DUMMYFUNCTION("""COMPUTED_VALUE"""),"Santo Domingo (Cabicalan), Alfonso Lista (Potia), IFUGAO")</f>
        <v>Santo Domingo (Cabicalan), Alfonso Lista (Potia), IFUGAO</v>
      </c>
      <c r="F189" s="2" t="str">
        <f>IFERROR(__xludf.DUMMYFUNCTION("""COMPUTED_VALUE"""),"Bert P. Kimmayong")</f>
        <v>Bert P. Kimmayong</v>
      </c>
      <c r="G189" s="2" t="str">
        <f>IFERROR(__xludf.DUMMYFUNCTION("""COMPUTED_VALUE"""),"0945-6128-144/0955-4253-473")</f>
        <v>0945-6128-144/0955-4253-473</v>
      </c>
      <c r="H189" s="2"/>
      <c r="I189" s="2"/>
      <c r="J189" s="2"/>
      <c r="K189" s="2" t="str">
        <f>IFERROR(__xludf.DUMMYFUNCTION("""COMPUTED_VALUE"""),"RCEF 23-09-21 Rebidding")</f>
        <v>RCEF 23-09-21 Rebidding</v>
      </c>
      <c r="L189" s="2" t="str">
        <f>IFERROR(__xludf.DUMMYFUNCTION("""COMPUTED_VALUE"""),"1v2")</f>
        <v>1v2</v>
      </c>
      <c r="M189" s="2"/>
      <c r="N189" s="2" t="str">
        <f>IFERROR(__xludf.DUMMYFUNCTION("""COMPUTED_VALUE"""),"FEB.4,2024")</f>
        <v>FEB.4,2024</v>
      </c>
      <c r="O189" s="2" t="str">
        <f>IFERROR(__xludf.DUMMYFUNCTION("""COMPUTED_VALUE"""),"FEB.6,2024")</f>
        <v>FEB.6,2024</v>
      </c>
      <c r="P189" s="2">
        <f>IFERROR(__xludf.DUMMYFUNCTION("""COMPUTED_VALUE"""),18351.0)</f>
        <v>18351</v>
      </c>
      <c r="Q189" s="2" t="str">
        <f>IFERROR(__xludf.DUMMYFUNCTION("""COMPUTED_VALUE"""),"KMC5825 APRFPV0002")</f>
        <v>KMC5825 APRFPV0002</v>
      </c>
      <c r="R189" s="2" t="str">
        <f>IFERROR(__xludf.DUMMYFUNCTION("""COMPUTED_VALUE"""),"PTS 100273")</f>
        <v>PTS 100273</v>
      </c>
      <c r="S189" s="2" t="str">
        <f>IFERROR(__xludf.DUMMYFUNCTION("""COMPUTED_VALUE"""),"R-SERIES 045 PH")</f>
        <v>R-SERIES 045 PH</v>
      </c>
      <c r="T189" s="2" t="str">
        <f>IFERROR(__xludf.DUMMYFUNCTION("""COMPUTED_VALUE"""),"LSGW1750 RMP 24010034")</f>
        <v>LSGW1750 RMP 24010034</v>
      </c>
      <c r="U189" s="2" t="str">
        <f>IFERROR(__xludf.DUMMYFUNCTION("""COMPUTED_VALUE"""),"WDP40 RMP 24010024")</f>
        <v>WDP40 RMP 24010024</v>
      </c>
      <c r="V189" s="2" t="str">
        <f>IFERROR(__xludf.DUMMYFUNCTION("""COMPUTED_VALUE"""),"no load")</f>
        <v>no load</v>
      </c>
      <c r="W189" s="2" t="str">
        <f>IFERROR(__xludf.DUMMYFUNCTION("""COMPUTED_VALUE"""),"VL103D")</f>
        <v>VL103D</v>
      </c>
      <c r="X189" s="2">
        <f>IFERROR(__xludf.DUMMYFUNCTION("""COMPUTED_VALUE"""),8.6906606023964E13)</f>
        <v>86906606023964</v>
      </c>
      <c r="Y189" s="2">
        <f>IFERROR(__xludf.DUMMYFUNCTION("""COMPUTED_VALUE"""),9.086798381E9)</f>
        <v>9086798381</v>
      </c>
      <c r="Z189" s="3" t="str">
        <f>IFERROR(__xludf.DUMMYFUNCTION("""COMPUTED_VALUE"""),"0323250006120777")</f>
        <v>0323250006120777</v>
      </c>
      <c r="AA189" s="2"/>
      <c r="AB189" s="2" t="str">
        <f>IFERROR(__xludf.DUMMYFUNCTION("""COMPUTED_VALUE"""),"alpipcabairrig")</f>
        <v>alpipcabairrig</v>
      </c>
    </row>
    <row r="190">
      <c r="A190" s="2" t="str">
        <f>IFERROR(__xludf.DUMMYFUNCTION("""COMPUTED_VALUE"""),"TT00188")</f>
        <v>TT00188</v>
      </c>
      <c r="B190" s="2" t="str">
        <f>IFERROR(__xludf.DUMMYFUNCTION("""COMPUTED_VALUE"""),"Completed")</f>
        <v>Completed</v>
      </c>
      <c r="C190" s="2" t="str">
        <f>IFERROR(__xludf.DUMMYFUNCTION("""COMPUTED_VALUE"""),"FOR BILLING L1V2")</f>
        <v>FOR BILLING L1V2</v>
      </c>
      <c r="D190" s="2" t="str">
        <f>IFERROR(__xludf.DUMMYFUNCTION("""COMPUTED_VALUE"""),"Salukag Farmers Association")</f>
        <v>Salukag Farmers Association</v>
      </c>
      <c r="E190" s="2" t="str">
        <f>IFERROR(__xludf.DUMMYFUNCTION("""COMPUTED_VALUE"""),"Namnama, Alfonso Lista (Potia), IFUGAO")</f>
        <v>Namnama, Alfonso Lista (Potia), IFUGAO</v>
      </c>
      <c r="F190" s="2" t="str">
        <f>IFERROR(__xludf.DUMMYFUNCTION("""COMPUTED_VALUE"""),"Marites R. Tam-ao")</f>
        <v>Marites R. Tam-ao</v>
      </c>
      <c r="G190" s="2" t="str">
        <f>IFERROR(__xludf.DUMMYFUNCTION("""COMPUTED_VALUE"""),"0919-8716-238")</f>
        <v>0919-8716-238</v>
      </c>
      <c r="H190" s="2"/>
      <c r="I190" s="2"/>
      <c r="J190" s="2"/>
      <c r="K190" s="2" t="str">
        <f>IFERROR(__xludf.DUMMYFUNCTION("""COMPUTED_VALUE"""),"RCEF 23-09-21 Rebidding")</f>
        <v>RCEF 23-09-21 Rebidding</v>
      </c>
      <c r="L190" s="2" t="str">
        <f>IFERROR(__xludf.DUMMYFUNCTION("""COMPUTED_VALUE"""),"1v2")</f>
        <v>1v2</v>
      </c>
      <c r="M190" s="2"/>
      <c r="N190" s="2" t="str">
        <f>IFERROR(__xludf.DUMMYFUNCTION("""COMPUTED_VALUE"""),"FEB.1,2024")</f>
        <v>FEB.1,2024</v>
      </c>
      <c r="O190" s="2" t="str">
        <f>IFERROR(__xludf.DUMMYFUNCTION("""COMPUTED_VALUE"""),"FEB.6,2024")</f>
        <v>FEB.6,2024</v>
      </c>
      <c r="P190" s="2">
        <f>IFERROR(__xludf.DUMMYFUNCTION("""COMPUTED_VALUE"""),18352.0)</f>
        <v>18352</v>
      </c>
      <c r="Q190" s="2" t="str">
        <f>IFERROR(__xludf.DUMMYFUNCTION("""COMPUTED_VALUE"""),"KMC5825 AFRFPV0013")</f>
        <v>KMC5825 AFRFPV0013</v>
      </c>
      <c r="R190" s="2" t="str">
        <f>IFERROR(__xludf.DUMMYFUNCTION("""COMPUTED_VALUE"""),"PTS 100280")</f>
        <v>PTS 100280</v>
      </c>
      <c r="S190" s="2" t="str">
        <f>IFERROR(__xludf.DUMMYFUNCTION("""COMPUTED_VALUE"""),"R-SERIES 038 PH")</f>
        <v>R-SERIES 038 PH</v>
      </c>
      <c r="T190" s="2" t="str">
        <f>IFERROR(__xludf.DUMMYFUNCTION("""COMPUTED_VALUE"""),"LSGW1750 RMP 24010042")</f>
        <v>LSGW1750 RMP 24010042</v>
      </c>
      <c r="U190" s="2" t="str">
        <f>IFERROR(__xludf.DUMMYFUNCTION("""COMPUTED_VALUE"""),"WDP40 RMP 24010010")</f>
        <v>WDP40 RMP 24010010</v>
      </c>
      <c r="V190" s="2" t="str">
        <f>IFERROR(__xludf.DUMMYFUNCTION("""COMPUTED_VALUE"""),"no load")</f>
        <v>no load</v>
      </c>
      <c r="W190" s="2" t="str">
        <f>IFERROR(__xludf.DUMMYFUNCTION("""COMPUTED_VALUE"""),"VL103D")</f>
        <v>VL103D</v>
      </c>
      <c r="X190" s="2">
        <f>IFERROR(__xludf.DUMMYFUNCTION("""COMPUTED_VALUE"""),8.69066060245397E14)</f>
        <v>869066060245397</v>
      </c>
      <c r="Y190" s="2">
        <f>IFERROR(__xludf.DUMMYFUNCTION("""COMPUTED_VALUE"""),9.08645478E9)</f>
        <v>9086454780</v>
      </c>
      <c r="Z190" s="3" t="str">
        <f>IFERROR(__xludf.DUMMYFUNCTION("""COMPUTED_VALUE"""),"03232550006122708")</f>
        <v>03232550006122708</v>
      </c>
      <c r="AA190" s="2"/>
      <c r="AB190" s="2" t="str">
        <f>IFERROR(__xludf.DUMMYFUNCTION("""COMPUTED_VALUE"""),"salukagfa")</f>
        <v>salukagfa</v>
      </c>
    </row>
    <row r="191">
      <c r="A191" s="2" t="str">
        <f>IFERROR(__xludf.DUMMYFUNCTION("""COMPUTED_VALUE"""),"TT00189")</f>
        <v>TT00189</v>
      </c>
      <c r="B191" s="2"/>
      <c r="C191" s="2"/>
      <c r="D191" s="2" t="str">
        <f>IFERROR(__xludf.DUMMYFUNCTION("""COMPUTED_VALUE"""),"Lamut Grassroots Savings and Development Cooperative")</f>
        <v>Lamut Grassroots Savings and Development Cooperative</v>
      </c>
      <c r="E191" s="2" t="str">
        <f>IFERROR(__xludf.DUMMYFUNCTION("""COMPUTED_VALUE"""),"Poblacion East, Lamut, IFUGAO")</f>
        <v>Poblacion East, Lamut, IFUGAO</v>
      </c>
      <c r="F191" s="2" t="str">
        <f>IFERROR(__xludf.DUMMYFUNCTION("""COMPUTED_VALUE"""),"Ferdinand O. Bautista-Chairman/Danilo V. Sera-Manager")</f>
        <v>Ferdinand O. Bautista-Chairman/Danilo V. Sera-Manager</v>
      </c>
      <c r="G191" s="2" t="str">
        <f>IFERROR(__xludf.DUMMYFUNCTION("""COMPUTED_VALUE"""),"09171105531/09171887104")</f>
        <v>09171105531/09171887104</v>
      </c>
      <c r="H191" s="2"/>
      <c r="I191" s="2"/>
      <c r="J191" s="2"/>
      <c r="K191" s="2" t="str">
        <f>IFERROR(__xludf.DUMMYFUNCTION("""COMPUTED_VALUE"""),"RCEF 23-09-21 Rebidding")</f>
        <v>RCEF 23-09-21 Rebidding</v>
      </c>
      <c r="L191" s="2" t="str">
        <f>IFERROR(__xludf.DUMMYFUNCTION("""COMPUTED_VALUE"""),"1v2")</f>
        <v>1v2</v>
      </c>
      <c r="M191" s="2"/>
      <c r="N191" s="74">
        <f>IFERROR(__xludf.DUMMYFUNCTION("""COMPUTED_VALUE"""),45325.0)</f>
        <v>45325</v>
      </c>
      <c r="O191" s="74">
        <f>IFERROR(__xludf.DUMMYFUNCTION("""COMPUTED_VALUE"""),45449.0)</f>
        <v>45449</v>
      </c>
      <c r="P191" s="2">
        <f>IFERROR(__xludf.DUMMYFUNCTION("""COMPUTED_VALUE"""),18353.0)</f>
        <v>18353</v>
      </c>
      <c r="Q191" s="2" t="str">
        <f>IFERROR(__xludf.DUMMYFUNCTION("""COMPUTED_VALUE"""),"KMC5825 AVRFPV0555")</f>
        <v>KMC5825 AVRFPV0555</v>
      </c>
      <c r="R191" s="2" t="str">
        <f>IFERROR(__xludf.DUMMYFUNCTION("""COMPUTED_VALUE"""),"RTS 100443")</f>
        <v>RTS 100443</v>
      </c>
      <c r="S191" s="2" t="str">
        <f>IFERROR(__xludf.DUMMYFUNCTION("""COMPUTED_VALUE"""),"WR-SERIES 954 PH")</f>
        <v>WR-SERIES 954 PH</v>
      </c>
      <c r="T191" s="2" t="str">
        <f>IFERROR(__xludf.DUMMYFUNCTION("""COMPUTED_VALUE"""),"LSGW1750 RMP 24010221")</f>
        <v>LSGW1750 RMP 24010221</v>
      </c>
      <c r="U191" s="2" t="str">
        <f>IFERROR(__xludf.DUMMYFUNCTION("""COMPUTED_VALUE"""),"WDP40 RMP 24050566")</f>
        <v>WDP40 RMP 24050566</v>
      </c>
      <c r="V191" s="2"/>
      <c r="W191" s="2" t="str">
        <f>IFERROR(__xludf.DUMMYFUNCTION("""COMPUTED_VALUE"""),"VL103D")</f>
        <v>VL103D</v>
      </c>
      <c r="X191" s="2">
        <f>IFERROR(__xludf.DUMMYFUNCTION("""COMPUTED_VALUE"""),8.69066060238996E14)</f>
        <v>869066060238996</v>
      </c>
      <c r="Y191" s="2">
        <f>IFERROR(__xludf.DUMMYFUNCTION("""COMPUTED_VALUE"""),9.622800974E9)</f>
        <v>9622800974</v>
      </c>
      <c r="Z191" s="2"/>
      <c r="AA191" s="2"/>
      <c r="AB191" s="2" t="str">
        <f>IFERROR(__xludf.DUMMYFUNCTION("""COMPUTED_VALUE"""),"lamutgrassroot")</f>
        <v>lamutgrassroot</v>
      </c>
    </row>
    <row r="192">
      <c r="A192" s="2" t="str">
        <f>IFERROR(__xludf.DUMMYFUNCTION("""COMPUTED_VALUE"""),"TT00190")</f>
        <v>TT00190</v>
      </c>
      <c r="B192" s="2"/>
      <c r="C192" s="2"/>
      <c r="D192" s="2" t="str">
        <f>IFERROR(__xludf.DUMMYFUNCTION("""COMPUTED_VALUE"""),"MALLING PROGRESSIVE FARMERS ASSOCIATION")</f>
        <v>MALLING PROGRESSIVE FARMERS ASSOCIATION</v>
      </c>
      <c r="E192" s="2" t="str">
        <f>IFERROR(__xludf.DUMMYFUNCTION("""COMPUTED_VALUE"""),"Pugol (Ifugao Reservation), Lamut, IFUGAO")</f>
        <v>Pugol (Ifugao Reservation), Lamut, IFUGAO</v>
      </c>
      <c r="F192" s="2" t="str">
        <f>IFERROR(__xludf.DUMMYFUNCTION("""COMPUTED_VALUE"""),"Ramon P. Cabanayan")</f>
        <v>Ramon P. Cabanayan</v>
      </c>
      <c r="G192" s="2" t="str">
        <f>IFERROR(__xludf.DUMMYFUNCTION("""COMPUTED_VALUE"""),"09777823963/09151310699")</f>
        <v>09777823963/09151310699</v>
      </c>
      <c r="H192" s="2"/>
      <c r="I192" s="2"/>
      <c r="J192" s="2"/>
      <c r="K192" s="2" t="str">
        <f>IFERROR(__xludf.DUMMYFUNCTION("""COMPUTED_VALUE"""),"RCEF 23-09-21 Rebidding")</f>
        <v>RCEF 23-09-21 Rebidding</v>
      </c>
      <c r="L192" s="2" t="str">
        <f>IFERROR(__xludf.DUMMYFUNCTION("""COMPUTED_VALUE"""),"1v2")</f>
        <v>1v2</v>
      </c>
      <c r="M192" s="2"/>
      <c r="N192" s="74">
        <f>IFERROR(__xludf.DUMMYFUNCTION("""COMPUTED_VALUE"""),45323.0)</f>
        <v>45323</v>
      </c>
      <c r="O192" s="74">
        <f>IFERROR(__xludf.DUMMYFUNCTION("""COMPUTED_VALUE"""),45446.0)</f>
        <v>45446</v>
      </c>
      <c r="P192" s="2">
        <f>IFERROR(__xludf.DUMMYFUNCTION("""COMPUTED_VALUE"""),18355.0)</f>
        <v>18355</v>
      </c>
      <c r="Q192" s="2" t="str">
        <f>IFERROR(__xludf.DUMMYFUNCTION("""COMPUTED_VALUE"""),"KMC5825 AVRFPV0538")</f>
        <v>KMC5825 AVRFPV0538</v>
      </c>
      <c r="R192" s="2" t="str">
        <f>IFERROR(__xludf.DUMMYFUNCTION("""COMPUTED_VALUE"""),"RTS 100445")</f>
        <v>RTS 100445</v>
      </c>
      <c r="S192" s="2" t="str">
        <f>IFERROR(__xludf.DUMMYFUNCTION("""COMPUTED_VALUE"""),"WR-SERIES 965 PH")</f>
        <v>WR-SERIES 965 PH</v>
      </c>
      <c r="T192" s="2" t="str">
        <f>IFERROR(__xludf.DUMMYFUNCTION("""COMPUTED_VALUE"""),"LSGW1750 RMP 24010220")</f>
        <v>LSGW1750 RMP 24010220</v>
      </c>
      <c r="U192" s="2" t="str">
        <f>IFERROR(__xludf.DUMMYFUNCTION("""COMPUTED_VALUE"""),"WDP40 RMP 24050575")</f>
        <v>WDP40 RMP 24050575</v>
      </c>
      <c r="V192" s="2"/>
      <c r="W192" s="2" t="str">
        <f>IFERROR(__xludf.DUMMYFUNCTION("""COMPUTED_VALUE"""),"VL103D")</f>
        <v>VL103D</v>
      </c>
      <c r="X192" s="2">
        <f>IFERROR(__xludf.DUMMYFUNCTION("""COMPUTED_VALUE"""),8.69066060245231E14)</f>
        <v>869066060245231</v>
      </c>
      <c r="Y192" s="2">
        <f>IFERROR(__xludf.DUMMYFUNCTION("""COMPUTED_VALUE"""),9.622800973E9)</f>
        <v>9622800973</v>
      </c>
      <c r="Z192" s="2"/>
      <c r="AA192" s="2"/>
      <c r="AB192" s="2" t="str">
        <f>IFERROR(__xludf.DUMMYFUNCTION("""COMPUTED_VALUE"""),"mallingfa")</f>
        <v>mallingfa</v>
      </c>
    </row>
    <row r="193">
      <c r="A193" s="2" t="str">
        <f>IFERROR(__xludf.DUMMYFUNCTION("""COMPUTED_VALUE"""),"TT00191")</f>
        <v>TT00191</v>
      </c>
      <c r="B193" s="2"/>
      <c r="C193" s="2"/>
      <c r="D193" s="2" t="str">
        <f>IFERROR(__xludf.DUMMYFUNCTION("""COMPUTED_VALUE"""),"Ilucban Agrarian Reform Farmers and Community Organization")</f>
        <v>Ilucban Agrarian Reform Farmers and Community Organization</v>
      </c>
      <c r="E193" s="2" t="str">
        <f>IFERROR(__xludf.DUMMYFUNCTION("""COMPUTED_VALUE"""),"Lucban, Lamut, IFUGAO")</f>
        <v>Lucban, Lamut, IFUGAO</v>
      </c>
      <c r="F193" s="2" t="str">
        <f>IFERROR(__xludf.DUMMYFUNCTION("""COMPUTED_VALUE"""),"John P. Dulinayan")</f>
        <v>John P. Dulinayan</v>
      </c>
      <c r="G193" s="2" t="str">
        <f>IFERROR(__xludf.DUMMYFUNCTION("""COMPUTED_VALUE"""),"0927-9614-916")</f>
        <v>0927-9614-916</v>
      </c>
      <c r="H193" s="2"/>
      <c r="I193" s="2"/>
      <c r="J193" s="2"/>
      <c r="K193" s="2" t="str">
        <f>IFERROR(__xludf.DUMMYFUNCTION("""COMPUTED_VALUE"""),"RCEF 23-09-21 Rebidding")</f>
        <v>RCEF 23-09-21 Rebidding</v>
      </c>
      <c r="L193" s="2" t="str">
        <f>IFERROR(__xludf.DUMMYFUNCTION("""COMPUTED_VALUE"""),"1v2")</f>
        <v>1v2</v>
      </c>
      <c r="M193" s="2"/>
      <c r="N193" s="81">
        <f>IFERROR(__xludf.DUMMYFUNCTION("""COMPUTED_VALUE"""),45323.0)</f>
        <v>45323</v>
      </c>
      <c r="O193" s="74">
        <f>IFERROR(__xludf.DUMMYFUNCTION("""COMPUTED_VALUE"""),45446.0)</f>
        <v>45446</v>
      </c>
      <c r="P193" s="2">
        <f>IFERROR(__xludf.DUMMYFUNCTION("""COMPUTED_VALUE"""),18356.0)</f>
        <v>18356</v>
      </c>
      <c r="Q193" s="2" t="str">
        <f>IFERROR(__xludf.DUMMYFUNCTION("""COMPUTED_VALUE"""),"KMC5825 APRFPV0554")</f>
        <v>KMC5825 APRFPV0554</v>
      </c>
      <c r="R193" s="2" t="str">
        <f>IFERROR(__xludf.DUMMYFUNCTION("""COMPUTED_VALUE"""),"RTS 100450")</f>
        <v>RTS 100450</v>
      </c>
      <c r="S193" s="2" t="str">
        <f>IFERROR(__xludf.DUMMYFUNCTION("""COMPUTED_VALUE"""),"WR-SERIES 964 PH")</f>
        <v>WR-SERIES 964 PH</v>
      </c>
      <c r="T193" s="2" t="str">
        <f>IFERROR(__xludf.DUMMYFUNCTION("""COMPUTED_VALUE"""),"LSGW1750 RMP 24010215")</f>
        <v>LSGW1750 RMP 24010215</v>
      </c>
      <c r="U193" s="2" t="str">
        <f>IFERROR(__xludf.DUMMYFUNCTION("""COMPUTED_VALUE"""),"WDP40 RMP 24050559")</f>
        <v>WDP40 RMP 24050559</v>
      </c>
      <c r="V193" s="2"/>
      <c r="W193" s="2" t="str">
        <f>IFERROR(__xludf.DUMMYFUNCTION("""COMPUTED_VALUE"""),"VL103D")</f>
        <v>VL103D</v>
      </c>
      <c r="X193" s="2"/>
      <c r="Y193" s="2"/>
      <c r="Z193" s="2"/>
      <c r="AA193" s="2"/>
      <c r="AB193" s="2" t="str">
        <f>IFERROR(__xludf.DUMMYFUNCTION("""COMPUTED_VALUE"""),"ilucbanarfco")</f>
        <v>ilucbanarfco</v>
      </c>
    </row>
    <row r="194">
      <c r="A194" s="2" t="str">
        <f>IFERROR(__xludf.DUMMYFUNCTION("""COMPUTED_VALUE"""),"TT00192")</f>
        <v>TT00192</v>
      </c>
      <c r="B194" s="2"/>
      <c r="C194" s="2"/>
      <c r="D194" s="2" t="str">
        <f>IFERROR(__xludf.DUMMYFUNCTION("""COMPUTED_VALUE"""),"GUMAWISAN MAPACO FARMERS ASSOCIATION")</f>
        <v>GUMAWISAN MAPACO FARMERS ASSOCIATION</v>
      </c>
      <c r="E194" s="2" t="str">
        <f>IFERROR(__xludf.DUMMYFUNCTION("""COMPUTED_VALUE"""),"Mapaco, Pinukpuk, KALINGA")</f>
        <v>Mapaco, Pinukpuk, KALINGA</v>
      </c>
      <c r="F194" s="2" t="str">
        <f>IFERROR(__xludf.DUMMYFUNCTION("""COMPUTED_VALUE"""),"MELVIN-LEE R. MANGWAG")</f>
        <v>MELVIN-LEE R. MANGWAG</v>
      </c>
      <c r="G194" s="2">
        <f>IFERROR(__xludf.DUMMYFUNCTION("""COMPUTED_VALUE"""),9.069310401E9)</f>
        <v>9069310401</v>
      </c>
      <c r="H194" s="2"/>
      <c r="I194" s="2"/>
      <c r="J194" s="2"/>
      <c r="K194" s="2" t="str">
        <f>IFERROR(__xludf.DUMMYFUNCTION("""COMPUTED_VALUE"""),"RCEF 23-09-21 Rebidding")</f>
        <v>RCEF 23-09-21 Rebidding</v>
      </c>
      <c r="L194" s="2" t="str">
        <f>IFERROR(__xludf.DUMMYFUNCTION("""COMPUTED_VALUE"""),"1v2")</f>
        <v>1v2</v>
      </c>
      <c r="M194" s="2"/>
      <c r="N194" s="81">
        <f>IFERROR(__xludf.DUMMYFUNCTION("""COMPUTED_VALUE"""),45323.0)</f>
        <v>45323</v>
      </c>
      <c r="O194" s="74">
        <f>IFERROR(__xludf.DUMMYFUNCTION("""COMPUTED_VALUE"""),45442.0)</f>
        <v>45442</v>
      </c>
      <c r="P194" s="2">
        <f>IFERROR(__xludf.DUMMYFUNCTION("""COMPUTED_VALUE"""),18357.0)</f>
        <v>18357</v>
      </c>
      <c r="Q194" s="2" t="str">
        <f>IFERROR(__xludf.DUMMYFUNCTION("""COMPUTED_VALUE"""),"KMC5825 RMP ATRFPV0614")</f>
        <v>KMC5825 RMP ATRFPV0614</v>
      </c>
      <c r="R194" s="2" t="str">
        <f>IFERROR(__xludf.DUMMYFUNCTION("""COMPUTED_VALUE"""),"RTS 100580")</f>
        <v>RTS 100580</v>
      </c>
      <c r="S194" s="2" t="str">
        <f>IFERROR(__xludf.DUMMYFUNCTION("""COMPUTED_VALUE"""),"WR-SERIES 944 PH")</f>
        <v>WR-SERIES 944 PH</v>
      </c>
      <c r="T194" s="2" t="str">
        <f>IFERROR(__xludf.DUMMYFUNCTION("""COMPUTED_VALUE"""),"LSGW1750 RMP 24010207")</f>
        <v>LSGW1750 RMP 24010207</v>
      </c>
      <c r="U194" s="2" t="str">
        <f>IFERROR(__xludf.DUMMYFUNCTION("""COMPUTED_VALUE"""),"WDP40 RMP 24050551")</f>
        <v>WDP40 RMP 24050551</v>
      </c>
      <c r="V194" s="2"/>
      <c r="W194" s="2" t="str">
        <f>IFERROR(__xludf.DUMMYFUNCTION("""COMPUTED_VALUE"""),"VL103D")</f>
        <v>VL103D</v>
      </c>
      <c r="X194" s="2">
        <f>IFERROR(__xludf.DUMMYFUNCTION("""COMPUTED_VALUE"""),8.69066060237667E14)</f>
        <v>869066060237667</v>
      </c>
      <c r="Y194" s="2">
        <f>IFERROR(__xludf.DUMMYFUNCTION("""COMPUTED_VALUE"""),9.622800976E9)</f>
        <v>9622800976</v>
      </c>
      <c r="Z194" s="2"/>
      <c r="AA194" s="2"/>
      <c r="AB194" s="2" t="str">
        <f>IFERROR(__xludf.DUMMYFUNCTION("""COMPUTED_VALUE"""),"gumawisanfa")</f>
        <v>gumawisanfa</v>
      </c>
    </row>
    <row r="195">
      <c r="A195" s="2" t="str">
        <f>IFERROR(__xludf.DUMMYFUNCTION("""COMPUTED_VALUE"""),"TT00193")</f>
        <v>TT00193</v>
      </c>
      <c r="B195" s="2"/>
      <c r="C195" s="2"/>
      <c r="D195" s="2" t="str">
        <f>IFERROR(__xludf.DUMMYFUNCTION("""COMPUTED_VALUE"""),"Mannalon ti Babalag West Farmers Association")</f>
        <v>Mannalon ti Babalag West Farmers Association</v>
      </c>
      <c r="E195" s="2" t="str">
        <f>IFERROR(__xludf.DUMMYFUNCTION("""COMPUTED_VALUE"""),"Babalag West (Pob.), Rizal (Liwan), KALINGA")</f>
        <v>Babalag West (Pob.), Rizal (Liwan), KALINGA</v>
      </c>
      <c r="F195" s="2" t="str">
        <f>IFERROR(__xludf.DUMMYFUNCTION("""COMPUTED_VALUE"""),"Frederick L. Licupa")</f>
        <v>Frederick L. Licupa</v>
      </c>
      <c r="G195" s="2">
        <f>IFERROR(__xludf.DUMMYFUNCTION("""COMPUTED_VALUE"""),9.059734095E9)</f>
        <v>9059734095</v>
      </c>
      <c r="H195" s="2"/>
      <c r="I195" s="2"/>
      <c r="J195" s="2"/>
      <c r="K195" s="2" t="str">
        <f>IFERROR(__xludf.DUMMYFUNCTION("""COMPUTED_VALUE"""),"RCEF 23-09-21 Rebidding")</f>
        <v>RCEF 23-09-21 Rebidding</v>
      </c>
      <c r="L195" s="2" t="str">
        <f>IFERROR(__xludf.DUMMYFUNCTION("""COMPUTED_VALUE"""),"1v2")</f>
        <v>1v2</v>
      </c>
      <c r="M195" s="2"/>
      <c r="N195" s="2" t="str">
        <f>IFERROR(__xludf.DUMMYFUNCTION("""COMPUTED_VALUE"""),"Feb.1,2024")</f>
        <v>Feb.1,2024</v>
      </c>
      <c r="O195" s="74">
        <f>IFERROR(__xludf.DUMMYFUNCTION("""COMPUTED_VALUE"""),45442.0)</f>
        <v>45442</v>
      </c>
      <c r="P195" s="2">
        <f>IFERROR(__xludf.DUMMYFUNCTION("""COMPUTED_VALUE"""),18358.0)</f>
        <v>18358</v>
      </c>
      <c r="Q195" s="2" t="str">
        <f>IFERROR(__xludf.DUMMYFUNCTION("""COMPUTED_VALUE"""),"KMC5825 AHRFPV0592")</f>
        <v>KMC5825 AHRFPV0592</v>
      </c>
      <c r="R195" s="2" t="str">
        <f>IFERROR(__xludf.DUMMYFUNCTION("""COMPUTED_VALUE"""),"RTS 100548")</f>
        <v>RTS 100548</v>
      </c>
      <c r="S195" s="2" t="str">
        <f>IFERROR(__xludf.DUMMYFUNCTION("""COMPUTED_VALUE"""),"WR SERIES 800PH")</f>
        <v>WR SERIES 800PH</v>
      </c>
      <c r="T195" s="2" t="str">
        <f>IFERROR(__xludf.DUMMYFUNCTION("""COMPUTED_VALUE"""),"LSGW1750 RMP 24010218")</f>
        <v>LSGW1750 RMP 24010218</v>
      </c>
      <c r="U195" s="2" t="str">
        <f>IFERROR(__xludf.DUMMYFUNCTION("""COMPUTED_VALUE"""),"WDP40 RMP 24050547")</f>
        <v>WDP40 RMP 24050547</v>
      </c>
      <c r="V195" s="2"/>
      <c r="W195" s="2" t="str">
        <f>IFERROR(__xludf.DUMMYFUNCTION("""COMPUTED_VALUE"""),"VL103D")</f>
        <v>VL103D</v>
      </c>
      <c r="X195" s="2"/>
      <c r="Y195" s="2"/>
      <c r="Z195" s="2"/>
      <c r="AA195" s="2"/>
      <c r="AB195" s="2" t="str">
        <f>IFERROR(__xludf.DUMMYFUNCTION("""COMPUTED_VALUE"""),"mannalonti")</f>
        <v>mannalonti</v>
      </c>
    </row>
    <row r="196">
      <c r="A196" s="2" t="str">
        <f>IFERROR(__xludf.DUMMYFUNCTION("""COMPUTED_VALUE"""),"TT00194")</f>
        <v>TT00194</v>
      </c>
      <c r="B196" s="2"/>
      <c r="C196" s="2"/>
      <c r="D196" s="2" t="str">
        <f>IFERROR(__xludf.DUMMYFUNCTION("""COMPUTED_VALUE"""),"LIWAN EAST FARMERS ASSOCIATION")</f>
        <v>LIWAN EAST FARMERS ASSOCIATION</v>
      </c>
      <c r="E196" s="2" t="str">
        <f>IFERROR(__xludf.DUMMYFUNCTION("""COMPUTED_VALUE"""),"Liwan East, Rizal (Liwan), KALINGA")</f>
        <v>Liwan East, Rizal (Liwan), KALINGA</v>
      </c>
      <c r="F196" s="2" t="str">
        <f>IFERROR(__xludf.DUMMYFUNCTION("""COMPUTED_VALUE"""),"Carmen G. Coteng")</f>
        <v>Carmen G. Coteng</v>
      </c>
      <c r="G196" s="2">
        <f>IFERROR(__xludf.DUMMYFUNCTION("""COMPUTED_VALUE"""),9.566606933E9)</f>
        <v>9566606933</v>
      </c>
      <c r="H196" s="2"/>
      <c r="I196" s="2"/>
      <c r="J196" s="2"/>
      <c r="K196" s="2" t="str">
        <f>IFERROR(__xludf.DUMMYFUNCTION("""COMPUTED_VALUE"""),"RCEF 23-09-21 Rebidding")</f>
        <v>RCEF 23-09-21 Rebidding</v>
      </c>
      <c r="L196" s="2" t="str">
        <f>IFERROR(__xludf.DUMMYFUNCTION("""COMPUTED_VALUE"""),"1v2")</f>
        <v>1v2</v>
      </c>
      <c r="M196" s="2"/>
      <c r="N196" s="2" t="str">
        <f>IFERROR(__xludf.DUMMYFUNCTION("""COMPUTED_VALUE"""),"Feb.1,2024")</f>
        <v>Feb.1,2024</v>
      </c>
      <c r="O196" s="74">
        <f>IFERROR(__xludf.DUMMYFUNCTION("""COMPUTED_VALUE"""),45442.0)</f>
        <v>45442</v>
      </c>
      <c r="P196" s="2">
        <f>IFERROR(__xludf.DUMMYFUNCTION("""COMPUTED_VALUE"""),18359.0)</f>
        <v>18359</v>
      </c>
      <c r="Q196" s="2" t="str">
        <f>IFERROR(__xludf.DUMMYFUNCTION("""COMPUTED_VALUE"""),"KMC5825 AHRFPV0558")</f>
        <v>KMC5825 AHRFPV0558</v>
      </c>
      <c r="R196" s="2" t="str">
        <f>IFERROR(__xludf.DUMMYFUNCTION("""COMPUTED_VALUE"""),"RTS 100438")</f>
        <v>RTS 100438</v>
      </c>
      <c r="S196" s="2" t="str">
        <f>IFERROR(__xludf.DUMMYFUNCTION("""COMPUTED_VALUE"""),"WR SERIES 969 PH")</f>
        <v>WR SERIES 969 PH</v>
      </c>
      <c r="T196" s="2" t="str">
        <f>IFERROR(__xludf.DUMMYFUNCTION("""COMPUTED_VALUE"""),"LSGW1750 RMP 24010197")</f>
        <v>LSGW1750 RMP 24010197</v>
      </c>
      <c r="U196" s="2" t="str">
        <f>IFERROR(__xludf.DUMMYFUNCTION("""COMPUTED_VALUE"""),"WDP40 RMP 24050543")</f>
        <v>WDP40 RMP 24050543</v>
      </c>
      <c r="V196" s="2"/>
      <c r="W196" s="2" t="str">
        <f>IFERROR(__xludf.DUMMYFUNCTION("""COMPUTED_VALUE"""),"VL103D")</f>
        <v>VL103D</v>
      </c>
      <c r="X196" s="2"/>
      <c r="Y196" s="2"/>
      <c r="Z196" s="2"/>
      <c r="AA196" s="2"/>
      <c r="AB196" s="2" t="str">
        <f>IFERROR(__xludf.DUMMYFUNCTION("""COMPUTED_VALUE"""),"liwaneastfa")</f>
        <v>liwaneastfa</v>
      </c>
    </row>
    <row r="197">
      <c r="A197" s="2" t="str">
        <f>IFERROR(__xludf.DUMMYFUNCTION("""COMPUTED_VALUE"""),"TT00195")</f>
        <v>TT00195</v>
      </c>
      <c r="B197" s="2"/>
      <c r="C197" s="2"/>
      <c r="D197" s="2" t="str">
        <f>IFERROR(__xludf.DUMMYFUNCTION("""COMPUTED_VALUE"""),"Holy Trinity Cathedral Multipurpose Cooperative")</f>
        <v>Holy Trinity Cathedral Multipurpose Cooperative</v>
      </c>
      <c r="E197" s="2" t="str">
        <f>IFERROR(__xludf.DUMMYFUNCTION("""COMPUTED_VALUE"""),"Bulanao, Tabuk City, KALINGA")</f>
        <v>Bulanao, Tabuk City, KALINGA</v>
      </c>
      <c r="F197" s="2" t="str">
        <f>IFERROR(__xludf.DUMMYFUNCTION("""COMPUTED_VALUE"""),"Graciana D. Tombaga")</f>
        <v>Graciana D. Tombaga</v>
      </c>
      <c r="G197" s="2">
        <f>IFERROR(__xludf.DUMMYFUNCTION("""COMPUTED_VALUE"""),9.204818554E9)</f>
        <v>9204818554</v>
      </c>
      <c r="H197" s="2"/>
      <c r="I197" s="2"/>
      <c r="J197" s="2"/>
      <c r="K197" s="2" t="str">
        <f>IFERROR(__xludf.DUMMYFUNCTION("""COMPUTED_VALUE"""),"RCEF 23-09-21 Rebidding")</f>
        <v>RCEF 23-09-21 Rebidding</v>
      </c>
      <c r="L197" s="2" t="str">
        <f>IFERROR(__xludf.DUMMYFUNCTION("""COMPUTED_VALUE"""),"1v2")</f>
        <v>1v2</v>
      </c>
      <c r="M197" s="2"/>
      <c r="N197" s="2" t="str">
        <f>IFERROR(__xludf.DUMMYFUNCTION("""COMPUTED_VALUE"""),"Feb.1,2024")</f>
        <v>Feb.1,2024</v>
      </c>
      <c r="O197" s="74">
        <f>IFERROR(__xludf.DUMMYFUNCTION("""COMPUTED_VALUE"""),45413.0)</f>
        <v>45413</v>
      </c>
      <c r="P197" s="2">
        <f>IFERROR(__xludf.DUMMYFUNCTION("""COMPUTED_VALUE"""),18360.0)</f>
        <v>18360</v>
      </c>
      <c r="Q197" s="2" t="str">
        <f>IFERROR(__xludf.DUMMYFUNCTION("""COMPUTED_VALUE"""),"KMC5825 AJRFPV0570")</f>
        <v>KMC5825 AJRFPV0570</v>
      </c>
      <c r="R197" s="2" t="str">
        <f>IFERROR(__xludf.DUMMYFUNCTION("""COMPUTED_VALUE"""),"RTS 100487 ")</f>
        <v>RTS 100487 </v>
      </c>
      <c r="S197" s="2" t="str">
        <f>IFERROR(__xludf.DUMMYFUNCTION("""COMPUTED_VALUE"""),"WR-SERIES 962 PH")</f>
        <v>WR-SERIES 962 PH</v>
      </c>
      <c r="T197" s="2" t="str">
        <f>IFERROR(__xludf.DUMMYFUNCTION("""COMPUTED_VALUE"""),"LSGW1750 RMP 24010194")</f>
        <v>LSGW1750 RMP 24010194</v>
      </c>
      <c r="U197" s="2" t="str">
        <f>IFERROR(__xludf.DUMMYFUNCTION("""COMPUTED_VALUE"""),"WDP40 RMP 24050541")</f>
        <v>WDP40 RMP 24050541</v>
      </c>
      <c r="V197" s="2"/>
      <c r="W197" s="2" t="str">
        <f>IFERROR(__xludf.DUMMYFUNCTION("""COMPUTED_VALUE"""),"VL103D")</f>
        <v>VL103D</v>
      </c>
      <c r="X197" s="2"/>
      <c r="Y197" s="2"/>
      <c r="Z197" s="2"/>
      <c r="AA197" s="2"/>
      <c r="AB197" s="2" t="str">
        <f>IFERROR(__xludf.DUMMYFUNCTION("""COMPUTED_VALUE"""),"holytrinitympc")</f>
        <v>holytrinitympc</v>
      </c>
    </row>
    <row r="198">
      <c r="A198" s="2" t="str">
        <f>IFERROR(__xludf.DUMMYFUNCTION("""COMPUTED_VALUE"""),"TT00196")</f>
        <v>TT00196</v>
      </c>
      <c r="B198" s="2" t="str">
        <f>IFERROR(__xludf.DUMMYFUNCTION("""COMPUTED_VALUE"""),"Completed")</f>
        <v>Completed</v>
      </c>
      <c r="C198" s="2" t="str">
        <f>IFERROR(__xludf.DUMMYFUNCTION("""COMPUTED_VALUE"""),"FOR BILLING L1V2")</f>
        <v>FOR BILLING L1V2</v>
      </c>
      <c r="D198" s="2" t="str">
        <f>IFERROR(__xludf.DUMMYFUNCTION("""COMPUTED_VALUE"""),"Manggawa farmers Environmental Development Association")</f>
        <v>Manggawa farmers Environmental Development Association</v>
      </c>
      <c r="E198" s="2" t="str">
        <f>IFERROR(__xludf.DUMMYFUNCTION("""COMPUTED_VALUE"""),"New Tanglag, Tabuk City, KALINGA")</f>
        <v>New Tanglag, Tabuk City, KALINGA</v>
      </c>
      <c r="F198" s="2" t="str">
        <f>IFERROR(__xludf.DUMMYFUNCTION("""COMPUTED_VALUE"""),"Wilma C. Alvester")</f>
        <v>Wilma C. Alvester</v>
      </c>
      <c r="G198" s="2">
        <f>IFERROR(__xludf.DUMMYFUNCTION("""COMPUTED_VALUE"""),9.557995356E9)</f>
        <v>9557995356</v>
      </c>
      <c r="H198" s="2"/>
      <c r="I198" s="2"/>
      <c r="J198" s="2"/>
      <c r="K198" s="2" t="str">
        <f>IFERROR(__xludf.DUMMYFUNCTION("""COMPUTED_VALUE"""),"RCEF 23-09-21 Rebidding")</f>
        <v>RCEF 23-09-21 Rebidding</v>
      </c>
      <c r="L198" s="2" t="str">
        <f>IFERROR(__xludf.DUMMYFUNCTION("""COMPUTED_VALUE"""),"1v2")</f>
        <v>1v2</v>
      </c>
      <c r="M198" s="2"/>
      <c r="N198" s="74" t="str">
        <f>IFERROR(__xludf.DUMMYFUNCTION("""COMPUTED_VALUE"""),"Feb.1,2024")</f>
        <v>Feb.1,2024</v>
      </c>
      <c r="O198" s="74" t="str">
        <f>IFERROR(__xludf.DUMMYFUNCTION("""COMPUTED_VALUE"""),"Feb.7,2024")</f>
        <v>Feb.7,2024</v>
      </c>
      <c r="P198" s="2">
        <f>IFERROR(__xludf.DUMMYFUNCTION("""COMPUTED_VALUE"""),18361.0)</f>
        <v>18361</v>
      </c>
      <c r="Q198" s="2" t="str">
        <f>IFERROR(__xludf.DUMMYFUNCTION("""COMPUTED_VALUE"""),"KMC5825 AKRFPV0051")</f>
        <v>KMC5825 AKRFPV0051</v>
      </c>
      <c r="R198" s="2" t="str">
        <f>IFERROR(__xludf.DUMMYFUNCTION("""COMPUTED_VALUE"""),"PTS 100196")</f>
        <v>PTS 100196</v>
      </c>
      <c r="S198" s="2" t="str">
        <f>IFERROR(__xludf.DUMMYFUNCTION("""COMPUTED_VALUE"""),"R-SERIES 043 PH")</f>
        <v>R-SERIES 043 PH</v>
      </c>
      <c r="T198" s="2" t="str">
        <f>IFERROR(__xludf.DUMMYFUNCTION("""COMPUTED_VALUE"""),"LSGW1750 RMP 24010043")</f>
        <v>LSGW1750 RMP 24010043</v>
      </c>
      <c r="U198" s="2" t="str">
        <f>IFERROR(__xludf.DUMMYFUNCTION("""COMPUTED_VALUE"""),"WDP40 RMP 24010016")</f>
        <v>WDP40 RMP 24010016</v>
      </c>
      <c r="V198" s="2" t="str">
        <f>IFERROR(__xludf.DUMMYFUNCTION("""COMPUTED_VALUE"""),"no load")</f>
        <v>no load</v>
      </c>
      <c r="W198" s="2" t="str">
        <f>IFERROR(__xludf.DUMMYFUNCTION("""COMPUTED_VALUE"""),"VL103D")</f>
        <v>VL103D</v>
      </c>
      <c r="X198" s="2">
        <f>IFERROR(__xludf.DUMMYFUNCTION("""COMPUTED_VALUE"""),8.69066060236644E14)</f>
        <v>869066060236644</v>
      </c>
      <c r="Y198" s="2">
        <f>IFERROR(__xludf.DUMMYFUNCTION("""COMPUTED_VALUE"""),9.082337898E9)</f>
        <v>9082337898</v>
      </c>
      <c r="Z198" s="3" t="str">
        <f>IFERROR(__xludf.DUMMYFUNCTION("""COMPUTED_VALUE"""),"0323250006122724")</f>
        <v>0323250006122724</v>
      </c>
      <c r="AA198" s="2"/>
      <c r="AB198" s="2" t="str">
        <f>IFERROR(__xludf.DUMMYFUNCTION("""COMPUTED_VALUE"""),"manggawafeda")</f>
        <v>manggawafeda</v>
      </c>
    </row>
    <row r="199">
      <c r="A199" s="2" t="str">
        <f>IFERROR(__xludf.DUMMYFUNCTION("""COMPUTED_VALUE"""),"TT00197")</f>
        <v>TT00197</v>
      </c>
      <c r="B199" s="2" t="str">
        <f>IFERROR(__xludf.DUMMYFUNCTION("""COMPUTED_VALUE"""),"Completed")</f>
        <v>Completed</v>
      </c>
      <c r="C199" s="2" t="str">
        <f>IFERROR(__xludf.DUMMYFUNCTION("""COMPUTED_VALUE"""),"FOR BILLING L1V2")</f>
        <v>FOR BILLING L1V2</v>
      </c>
      <c r="D199" s="2" t="str">
        <f>IFERROR(__xludf.DUMMYFUNCTION("""COMPUTED_VALUE"""),"Marapi-Abaggoy Credit Cooperative")</f>
        <v>Marapi-Abaggoy Credit Cooperative</v>
      </c>
      <c r="E199" s="2" t="str">
        <f>IFERROR(__xludf.DUMMYFUNCTION("""COMPUTED_VALUE"""),"Bulo, Tabuk City, KALINGA")</f>
        <v>Bulo, Tabuk City, KALINGA</v>
      </c>
      <c r="F199" s="2" t="str">
        <f>IFERROR(__xludf.DUMMYFUNCTION("""COMPUTED_VALUE"""),"JOSEPH A. PAGA")</f>
        <v>JOSEPH A. PAGA</v>
      </c>
      <c r="G199" s="2">
        <f>IFERROR(__xludf.DUMMYFUNCTION("""COMPUTED_VALUE"""),9.46530713E9)</f>
        <v>9465307130</v>
      </c>
      <c r="H199" s="2"/>
      <c r="I199" s="2"/>
      <c r="J199" s="2"/>
      <c r="K199" s="2" t="str">
        <f>IFERROR(__xludf.DUMMYFUNCTION("""COMPUTED_VALUE"""),"RCEF 23-09-21 Rebidding")</f>
        <v>RCEF 23-09-21 Rebidding</v>
      </c>
      <c r="L199" s="2" t="str">
        <f>IFERROR(__xludf.DUMMYFUNCTION("""COMPUTED_VALUE"""),"1v2")</f>
        <v>1v2</v>
      </c>
      <c r="M199" s="2"/>
      <c r="N199" s="74" t="str">
        <f>IFERROR(__xludf.DUMMYFUNCTION("""COMPUTED_VALUE"""),"Feb.1,2024")</f>
        <v>Feb.1,2024</v>
      </c>
      <c r="O199" s="74" t="str">
        <f>IFERROR(__xludf.DUMMYFUNCTION("""COMPUTED_VALUE"""),"Feb.7,2024")</f>
        <v>Feb.7,2024</v>
      </c>
      <c r="P199" s="2">
        <f>IFERROR(__xludf.DUMMYFUNCTION("""COMPUTED_VALUE"""),18362.0)</f>
        <v>18362</v>
      </c>
      <c r="Q199" s="2" t="str">
        <f>IFERROR(__xludf.DUMMYFUNCTION("""COMPUTED_VALUE"""),"KMC5825 APRFPV0078")</f>
        <v>KMC5825 APRFPV0078</v>
      </c>
      <c r="R199" s="2" t="str">
        <f>IFERROR(__xludf.DUMMYFUNCTION("""COMPUTED_VALUE"""),"PTS 100164")</f>
        <v>PTS 100164</v>
      </c>
      <c r="S199" s="2" t="str">
        <f>IFERROR(__xludf.DUMMYFUNCTION("""COMPUTED_VALUE"""),"R-SERIES 039 PH")</f>
        <v>R-SERIES 039 PH</v>
      </c>
      <c r="T199" s="2" t="str">
        <f>IFERROR(__xludf.DUMMYFUNCTION("""COMPUTED_VALUE"""),"LSGW1750 RMP 24010045")</f>
        <v>LSGW1750 RMP 24010045</v>
      </c>
      <c r="U199" s="2" t="str">
        <f>IFERROR(__xludf.DUMMYFUNCTION("""COMPUTED_VALUE"""),"WDP40 RMP 24010035")</f>
        <v>WDP40 RMP 24010035</v>
      </c>
      <c r="V199" s="2" t="str">
        <f>IFERROR(__xludf.DUMMYFUNCTION("""COMPUTED_VALUE"""),"no load")</f>
        <v>no load</v>
      </c>
      <c r="W199" s="2" t="str">
        <f>IFERROR(__xludf.DUMMYFUNCTION("""COMPUTED_VALUE"""),"VL103D")</f>
        <v>VL103D</v>
      </c>
      <c r="X199" s="2">
        <f>IFERROR(__xludf.DUMMYFUNCTION("""COMPUTED_VALUE"""),8.69066060245918E14)</f>
        <v>869066060245918</v>
      </c>
      <c r="Y199" s="2">
        <f>IFERROR(__xludf.DUMMYFUNCTION("""COMPUTED_VALUE"""),9.086445563E9)</f>
        <v>9086445563</v>
      </c>
      <c r="Z199" s="3" t="str">
        <f>IFERROR(__xludf.DUMMYFUNCTION("""COMPUTED_VALUE"""),"0323250006122641")</f>
        <v>0323250006122641</v>
      </c>
      <c r="AA199" s="2"/>
      <c r="AB199" s="2" t="str">
        <f>IFERROR(__xludf.DUMMYFUNCTION("""COMPUTED_VALUE"""),"marapiabaggoy")</f>
        <v>marapiabaggoy</v>
      </c>
    </row>
    <row r="200">
      <c r="A200" s="2" t="str">
        <f>IFERROR(__xludf.DUMMYFUNCTION("""COMPUTED_VALUE"""),"TT00198")</f>
        <v>TT00198</v>
      </c>
      <c r="B200" s="2" t="str">
        <f>IFERROR(__xludf.DUMMYFUNCTION("""COMPUTED_VALUE"""),"Completed")</f>
        <v>Completed</v>
      </c>
      <c r="C200" s="2" t="str">
        <f>IFERROR(__xludf.DUMMYFUNCTION("""COMPUTED_VALUE"""),"FOR BILLING L1V2")</f>
        <v>FOR BILLING L1V2</v>
      </c>
      <c r="D200" s="2" t="str">
        <f>IFERROR(__xludf.DUMMYFUNCTION("""COMPUTED_VALUE"""),"PUR Credit Cooperative")</f>
        <v>PUR Credit Cooperative</v>
      </c>
      <c r="E200" s="2" t="str">
        <f>IFERROR(__xludf.DUMMYFUNCTION("""COMPUTED_VALUE"""),"Dilag, Tabuk City, KALINGA")</f>
        <v>Dilag, Tabuk City, KALINGA</v>
      </c>
      <c r="F200" s="2" t="str">
        <f>IFERROR(__xludf.DUMMYFUNCTION("""COMPUTED_VALUE"""),"FELIPE P. WASSIG")</f>
        <v>FELIPE P. WASSIG</v>
      </c>
      <c r="G200" s="2">
        <f>IFERROR(__xludf.DUMMYFUNCTION("""COMPUTED_VALUE"""),9.550278254E9)</f>
        <v>9550278254</v>
      </c>
      <c r="H200" s="2"/>
      <c r="I200" s="2"/>
      <c r="J200" s="2"/>
      <c r="K200" s="2" t="str">
        <f>IFERROR(__xludf.DUMMYFUNCTION("""COMPUTED_VALUE"""),"RCEF 23-09-21 Rebidding")</f>
        <v>RCEF 23-09-21 Rebidding</v>
      </c>
      <c r="L200" s="2" t="str">
        <f>IFERROR(__xludf.DUMMYFUNCTION("""COMPUTED_VALUE"""),"1v2")</f>
        <v>1v2</v>
      </c>
      <c r="M200" s="2"/>
      <c r="N200" s="74" t="str">
        <f>IFERROR(__xludf.DUMMYFUNCTION("""COMPUTED_VALUE"""),"Feb.1,2024")</f>
        <v>Feb.1,2024</v>
      </c>
      <c r="O200" s="74" t="str">
        <f>IFERROR(__xludf.DUMMYFUNCTION("""COMPUTED_VALUE"""),"Feb.7,2024")</f>
        <v>Feb.7,2024</v>
      </c>
      <c r="P200" s="2">
        <f>IFERROR(__xludf.DUMMYFUNCTION("""COMPUTED_VALUE"""),18363.0)</f>
        <v>18363</v>
      </c>
      <c r="Q200" s="2" t="str">
        <f>IFERROR(__xludf.DUMMYFUNCTION("""COMPUTED_VALUE"""),"KMC5825 ALRFPV0087")</f>
        <v>KMC5825 ALRFPV0087</v>
      </c>
      <c r="R200" s="2" t="str">
        <f>IFERROR(__xludf.DUMMYFUNCTION("""COMPUTED_VALUE"""),"PTS 100277")</f>
        <v>PTS 100277</v>
      </c>
      <c r="S200" s="2" t="str">
        <f>IFERROR(__xludf.DUMMYFUNCTION("""COMPUTED_VALUE"""),"R-SERIES 037 PH")</f>
        <v>R-SERIES 037 PH</v>
      </c>
      <c r="T200" s="2" t="str">
        <f>IFERROR(__xludf.DUMMYFUNCTION("""COMPUTED_VALUE"""),"LSGW1750 RMP 24010010")</f>
        <v>LSGW1750 RMP 24010010</v>
      </c>
      <c r="U200" s="2" t="str">
        <f>IFERROR(__xludf.DUMMYFUNCTION("""COMPUTED_VALUE"""),"WDP40 RMP 24010009")</f>
        <v>WDP40 RMP 24010009</v>
      </c>
      <c r="V200" s="2" t="str">
        <f>IFERROR(__xludf.DUMMYFUNCTION("""COMPUTED_VALUE"""),"no load")</f>
        <v>no load</v>
      </c>
      <c r="W200" s="2" t="str">
        <f>IFERROR(__xludf.DUMMYFUNCTION("""COMPUTED_VALUE"""),"VL103D")</f>
        <v>VL103D</v>
      </c>
      <c r="X200" s="2">
        <f>IFERROR(__xludf.DUMMYFUNCTION("""COMPUTED_VALUE"""),8.69066060236982E14)</f>
        <v>869066060236982</v>
      </c>
      <c r="Y200" s="2">
        <f>IFERROR(__xludf.DUMMYFUNCTION("""COMPUTED_VALUE"""),9.087889887E9)</f>
        <v>9087889887</v>
      </c>
      <c r="Z200" s="3" t="str">
        <f>IFERROR(__xludf.DUMMYFUNCTION("""COMPUTED_VALUE"""),"0323250006120710")</f>
        <v>0323250006120710</v>
      </c>
      <c r="AA200" s="2"/>
      <c r="AB200" s="2" t="str">
        <f>IFERROR(__xludf.DUMMYFUNCTION("""COMPUTED_VALUE"""),"purcredit")</f>
        <v>purcredit</v>
      </c>
    </row>
    <row r="201">
      <c r="A201" s="2" t="str">
        <f>IFERROR(__xludf.DUMMYFUNCTION("""COMPUTED_VALUE"""),"TT00199")</f>
        <v>TT00199</v>
      </c>
      <c r="B201" s="2" t="str">
        <f>IFERROR(__xludf.DUMMYFUNCTION("""COMPUTED_VALUE"""),"Completed")</f>
        <v>Completed</v>
      </c>
      <c r="C201" s="2" t="str">
        <f>IFERROR(__xludf.DUMMYFUNCTION("""COMPUTED_VALUE"""),"FOR BILLING L1V2")</f>
        <v>FOR BILLING L1V2</v>
      </c>
      <c r="D201" s="2" t="str">
        <f>IFERROR(__xludf.DUMMYFUNCTION("""COMPUTED_VALUE"""),"SAGPAT FARMERS ASSOCIATION")</f>
        <v>SAGPAT FARMERS ASSOCIATION</v>
      </c>
      <c r="E201" s="2" t="str">
        <f>IFERROR(__xludf.DUMMYFUNCTION("""COMPUTED_VALUE"""),"Appas, Tabuk City, KALINGA")</f>
        <v>Appas, Tabuk City, KALINGA</v>
      </c>
      <c r="F201" s="2" t="str">
        <f>IFERROR(__xludf.DUMMYFUNCTION("""COMPUTED_VALUE"""),"MARVIN B. APITA")</f>
        <v>MARVIN B. APITA</v>
      </c>
      <c r="G201" s="2">
        <f>IFERROR(__xludf.DUMMYFUNCTION("""COMPUTED_VALUE"""),9.293368533E9)</f>
        <v>9293368533</v>
      </c>
      <c r="H201" s="2"/>
      <c r="I201" s="2"/>
      <c r="J201" s="2"/>
      <c r="K201" s="2" t="str">
        <f>IFERROR(__xludf.DUMMYFUNCTION("""COMPUTED_VALUE"""),"RCEF 23-09-21 Rebidding")</f>
        <v>RCEF 23-09-21 Rebidding</v>
      </c>
      <c r="L201" s="2" t="str">
        <f>IFERROR(__xludf.DUMMYFUNCTION("""COMPUTED_VALUE"""),"1v2")</f>
        <v>1v2</v>
      </c>
      <c r="M201" s="2"/>
      <c r="N201" s="74" t="str">
        <f>IFERROR(__xludf.DUMMYFUNCTION("""COMPUTED_VALUE"""),"Feb.1,2024")</f>
        <v>Feb.1,2024</v>
      </c>
      <c r="O201" s="74" t="str">
        <f>IFERROR(__xludf.DUMMYFUNCTION("""COMPUTED_VALUE"""),"Feb.7,2024")</f>
        <v>Feb.7,2024</v>
      </c>
      <c r="P201" s="2">
        <f>IFERROR(__xludf.DUMMYFUNCTION("""COMPUTED_VALUE"""),18364.0)</f>
        <v>18364</v>
      </c>
      <c r="Q201" s="2" t="str">
        <f>IFERROR(__xludf.DUMMYFUNCTION("""COMPUTED_VALUE"""),"KMC5825 ACRFPV0084")</f>
        <v>KMC5825 ACRFPV0084</v>
      </c>
      <c r="R201" s="2" t="str">
        <f>IFERROR(__xludf.DUMMYFUNCTION("""COMPUTED_VALUE"""),"PTS 100185")</f>
        <v>PTS 100185</v>
      </c>
      <c r="S201" s="2" t="str">
        <f>IFERROR(__xludf.DUMMYFUNCTION("""COMPUTED_VALUE"""),"R-SERIES 050 PH")</f>
        <v>R-SERIES 050 PH</v>
      </c>
      <c r="T201" s="2" t="str">
        <f>IFERROR(__xludf.DUMMYFUNCTION("""COMPUTED_VALUE"""),"LSGW1750 RMP 24010044")</f>
        <v>LSGW1750 RMP 24010044</v>
      </c>
      <c r="U201" s="2" t="str">
        <f>IFERROR(__xludf.DUMMYFUNCTION("""COMPUTED_VALUE"""),"WDP40 RMP 24010008")</f>
        <v>WDP40 RMP 24010008</v>
      </c>
      <c r="V201" s="2" t="str">
        <f>IFERROR(__xludf.DUMMYFUNCTION("""COMPUTED_VALUE"""),"no load")</f>
        <v>no load</v>
      </c>
      <c r="W201" s="2" t="str">
        <f>IFERROR(__xludf.DUMMYFUNCTION("""COMPUTED_VALUE"""),"VL103D")</f>
        <v>VL103D</v>
      </c>
      <c r="X201" s="2">
        <f>IFERROR(__xludf.DUMMYFUNCTION("""COMPUTED_VALUE"""),8.69066060237857E14)</f>
        <v>869066060237857</v>
      </c>
      <c r="Y201" s="2">
        <f>IFERROR(__xludf.DUMMYFUNCTION("""COMPUTED_VALUE"""),9.087141125E9)</f>
        <v>9087141125</v>
      </c>
      <c r="Z201" s="3" t="str">
        <f>IFERROR(__xludf.DUMMYFUNCTION("""COMPUTED_VALUE"""),"0323250006120645")</f>
        <v>0323250006120645</v>
      </c>
      <c r="AA201" s="2"/>
      <c r="AB201" s="2" t="str">
        <f>IFERROR(__xludf.DUMMYFUNCTION("""COMPUTED_VALUE"""),"sagpatfa")</f>
        <v>sagpatfa</v>
      </c>
    </row>
    <row r="202">
      <c r="A202" s="2" t="str">
        <f>IFERROR(__xludf.DUMMYFUNCTION("""COMPUTED_VALUE"""),"TT00200")</f>
        <v>TT00200</v>
      </c>
      <c r="B202" s="2"/>
      <c r="C202" s="2"/>
      <c r="D202" s="2" t="str">
        <f>IFERROR(__xludf.DUMMYFUNCTION("""COMPUTED_VALUE"""),"Mabato Subdivision Farmers Association")</f>
        <v>Mabato Subdivision Farmers Association</v>
      </c>
      <c r="E202" s="2" t="str">
        <f>IFERROR(__xludf.DUMMYFUNCTION("""COMPUTED_VALUE"""),"Amlao, Tabuk City, KALINGA")</f>
        <v>Amlao, Tabuk City, KALINGA</v>
      </c>
      <c r="F202" s="2" t="str">
        <f>IFERROR(__xludf.DUMMYFUNCTION("""COMPUTED_VALUE"""),"Sidney M. Waggawag")</f>
        <v>Sidney M. Waggawag</v>
      </c>
      <c r="G202" s="2">
        <f>IFERROR(__xludf.DUMMYFUNCTION("""COMPUTED_VALUE"""),9.655577539E9)</f>
        <v>9655577539</v>
      </c>
      <c r="H202" s="2"/>
      <c r="I202" s="2"/>
      <c r="J202" s="2"/>
      <c r="K202" s="2" t="str">
        <f>IFERROR(__xludf.DUMMYFUNCTION("""COMPUTED_VALUE"""),"RCEF 23-09-21 Rebidding")</f>
        <v>RCEF 23-09-21 Rebidding</v>
      </c>
      <c r="L202" s="2" t="str">
        <f>IFERROR(__xludf.DUMMYFUNCTION("""COMPUTED_VALUE"""),"#N/A")</f>
        <v>#N/A</v>
      </c>
      <c r="M202" s="2"/>
      <c r="N202" s="2"/>
      <c r="O202" s="2"/>
      <c r="P202" s="2">
        <f>IFERROR(__xludf.DUMMYFUNCTION("""COMPUTED_VALUE"""),18365.0)</f>
        <v>18365</v>
      </c>
      <c r="Q202" s="2"/>
      <c r="R202" s="2"/>
      <c r="S202" s="2"/>
      <c r="T202" s="2"/>
      <c r="U202" s="2"/>
      <c r="V202" s="2"/>
      <c r="W202" s="2" t="str">
        <f>IFERROR(__xludf.DUMMYFUNCTION("""COMPUTED_VALUE"""),"VL103D")</f>
        <v>VL103D</v>
      </c>
      <c r="X202" s="2"/>
      <c r="Y202" s="2"/>
      <c r="Z202" s="2"/>
      <c r="AA202" s="2"/>
      <c r="AB202" s="2" t="str">
        <f>IFERROR(__xludf.DUMMYFUNCTION("""COMPUTED_VALUE"""),"mabatofa")</f>
        <v>mabatofa</v>
      </c>
    </row>
    <row r="203">
      <c r="A203" s="2" t="str">
        <f>IFERROR(__xludf.DUMMYFUNCTION("""COMPUTED_VALUE"""),"TT00201")</f>
        <v>TT00201</v>
      </c>
      <c r="B203" s="2" t="str">
        <f>IFERROR(__xludf.DUMMYFUNCTION("""COMPUTED_VALUE"""),"Completed")</f>
        <v>Completed</v>
      </c>
      <c r="C203" s="2" t="str">
        <f>IFERROR(__xludf.DUMMYFUNCTION("""COMPUTED_VALUE"""),"FOR BILLING L1V2")</f>
        <v>FOR BILLING L1V2</v>
      </c>
      <c r="D203" s="2" t="str">
        <f>IFERROR(__xludf.DUMMYFUNCTION("""COMPUTED_VALUE"""),"TABESUMA CHA ASSOCIATION")</f>
        <v>TABESUMA CHA ASSOCIATION</v>
      </c>
      <c r="E203" s="2" t="str">
        <f>IFERROR(__xludf.DUMMYFUNCTION("""COMPUTED_VALUE"""),"Lacnog West, Tabuk City, KALINGA")</f>
        <v>Lacnog West, Tabuk City, KALINGA</v>
      </c>
      <c r="F203" s="2" t="str">
        <f>IFERROR(__xludf.DUMMYFUNCTION("""COMPUTED_VALUE"""),"Antonio T. Angli")</f>
        <v>Antonio T. Angli</v>
      </c>
      <c r="G203" s="2">
        <f>IFERROR(__xludf.DUMMYFUNCTION("""COMPUTED_VALUE"""),9.06176799E9)</f>
        <v>9061767990</v>
      </c>
      <c r="H203" s="2"/>
      <c r="I203" s="2"/>
      <c r="J203" s="2"/>
      <c r="K203" s="2" t="str">
        <f>IFERROR(__xludf.DUMMYFUNCTION("""COMPUTED_VALUE"""),"RCEF 23-09-21 Rebidding")</f>
        <v>RCEF 23-09-21 Rebidding</v>
      </c>
      <c r="L203" s="2" t="str">
        <f>IFERROR(__xludf.DUMMYFUNCTION("""COMPUTED_VALUE"""),"1v2")</f>
        <v>1v2</v>
      </c>
      <c r="M203" s="2"/>
      <c r="N203" s="74" t="str">
        <f>IFERROR(__xludf.DUMMYFUNCTION("""COMPUTED_VALUE"""),"Feb.1,2024")</f>
        <v>Feb.1,2024</v>
      </c>
      <c r="O203" s="74" t="str">
        <f>IFERROR(__xludf.DUMMYFUNCTION("""COMPUTED_VALUE"""),"Feb.7,2024")</f>
        <v>Feb.7,2024</v>
      </c>
      <c r="P203" s="2">
        <f>IFERROR(__xludf.DUMMYFUNCTION("""COMPUTED_VALUE"""),18366.0)</f>
        <v>18366</v>
      </c>
      <c r="Q203" s="2" t="str">
        <f>IFERROR(__xludf.DUMMYFUNCTION("""COMPUTED_VALUE"""),"KMC5825 AKRFPV0129")</f>
        <v>KMC5825 AKRFPV0129</v>
      </c>
      <c r="R203" s="2" t="str">
        <f>IFERROR(__xludf.DUMMYFUNCTION("""COMPUTED_VALUE"""),"PTS 100261")</f>
        <v>PTS 100261</v>
      </c>
      <c r="S203" s="2" t="str">
        <f>IFERROR(__xludf.DUMMYFUNCTION("""COMPUTED_VALUE"""),"R-SERIES 041 PH")</f>
        <v>R-SERIES 041 PH</v>
      </c>
      <c r="T203" s="2" t="str">
        <f>IFERROR(__xludf.DUMMYFUNCTION("""COMPUTED_VALUE"""),"LSGW1750 RMP 24010041")</f>
        <v>LSGW1750 RMP 24010041</v>
      </c>
      <c r="U203" s="2" t="str">
        <f>IFERROR(__xludf.DUMMYFUNCTION("""COMPUTED_VALUE"""),"WDP40 RMP 24010017")</f>
        <v>WDP40 RMP 24010017</v>
      </c>
      <c r="V203" s="2" t="str">
        <f>IFERROR(__xludf.DUMMYFUNCTION("""COMPUTED_VALUE"""),"no load")</f>
        <v>no load</v>
      </c>
      <c r="W203" s="2" t="str">
        <f>IFERROR(__xludf.DUMMYFUNCTION("""COMPUTED_VALUE"""),"VL103D")</f>
        <v>VL103D</v>
      </c>
      <c r="X203" s="2">
        <f>IFERROR(__xludf.DUMMYFUNCTION("""COMPUTED_VALUE"""),8.69066060237808E14)</f>
        <v>869066060237808</v>
      </c>
      <c r="Y203" s="2">
        <f>IFERROR(__xludf.DUMMYFUNCTION("""COMPUTED_VALUE"""),9.08746813E9)</f>
        <v>9087468130</v>
      </c>
      <c r="Z203" s="3" t="str">
        <f>IFERROR(__xludf.DUMMYFUNCTION("""COMPUTED_VALUE"""),"0323250006120728")</f>
        <v>0323250006120728</v>
      </c>
      <c r="AA203" s="2"/>
      <c r="AB203" s="2" t="str">
        <f>IFERROR(__xludf.DUMMYFUNCTION("""COMPUTED_VALUE"""),"tabesumacha")</f>
        <v>tabesumacha</v>
      </c>
    </row>
    <row r="204">
      <c r="A204" s="2" t="str">
        <f>IFERROR(__xludf.DUMMYFUNCTION("""COMPUTED_VALUE"""),"TT00202")</f>
        <v>TT00202</v>
      </c>
      <c r="B204" s="2" t="str">
        <f>IFERROR(__xludf.DUMMYFUNCTION("""COMPUTED_VALUE"""),"Completed")</f>
        <v>Completed</v>
      </c>
      <c r="C204" s="2" t="str">
        <f>IFERROR(__xludf.DUMMYFUNCTION("""COMPUTED_VALUE"""),"FOR BILLING L1V2")</f>
        <v>FOR BILLING L1V2</v>
      </c>
      <c r="D204" s="2" t="str">
        <f>IFERROR(__xludf.DUMMYFUNCTION("""COMPUTED_VALUE"""),"Tabuk Farmers Multipurpose Cooperative")</f>
        <v>Tabuk Farmers Multipurpose Cooperative</v>
      </c>
      <c r="E204" s="2" t="str">
        <f>IFERROR(__xludf.DUMMYFUNCTION("""COMPUTED_VALUE"""),"Casigayan, Tabuk City, KALINGA")</f>
        <v>Casigayan, Tabuk City, KALINGA</v>
      </c>
      <c r="F204" s="2" t="str">
        <f>IFERROR(__xludf.DUMMYFUNCTION("""COMPUTED_VALUE"""),"Mary Jean Ella")</f>
        <v>Mary Jean Ella</v>
      </c>
      <c r="G204" s="2">
        <f>IFERROR(__xludf.DUMMYFUNCTION("""COMPUTED_VALUE"""),9.168978026E9)</f>
        <v>9168978026</v>
      </c>
      <c r="H204" s="2"/>
      <c r="I204" s="2"/>
      <c r="J204" s="2"/>
      <c r="K204" s="2" t="str">
        <f>IFERROR(__xludf.DUMMYFUNCTION("""COMPUTED_VALUE"""),"RCEF 23-09-21 Rebidding")</f>
        <v>RCEF 23-09-21 Rebidding</v>
      </c>
      <c r="L204" s="2" t="str">
        <f>IFERROR(__xludf.DUMMYFUNCTION("""COMPUTED_VALUE"""),"1v2")</f>
        <v>1v2</v>
      </c>
      <c r="M204" s="2"/>
      <c r="N204" s="74" t="str">
        <f>IFERROR(__xludf.DUMMYFUNCTION("""COMPUTED_VALUE"""),"Feb.1,2024")</f>
        <v>Feb.1,2024</v>
      </c>
      <c r="O204" s="74" t="str">
        <f>IFERROR(__xludf.DUMMYFUNCTION("""COMPUTED_VALUE"""),"Feb.7,2024")</f>
        <v>Feb.7,2024</v>
      </c>
      <c r="P204" s="2">
        <f>IFERROR(__xludf.DUMMYFUNCTION("""COMPUTED_VALUE"""),18367.0)</f>
        <v>18367</v>
      </c>
      <c r="Q204" s="2" t="str">
        <f>IFERROR(__xludf.DUMMYFUNCTION("""COMPUTED_VALUE"""),"KMC5825 ARRFPV0044")</f>
        <v>KMC5825 ARRFPV0044</v>
      </c>
      <c r="R204" s="2" t="str">
        <f>IFERROR(__xludf.DUMMYFUNCTION("""COMPUTED_VALUE"""),"PTS 100199")</f>
        <v>PTS 100199</v>
      </c>
      <c r="S204" s="2" t="str">
        <f>IFERROR(__xludf.DUMMYFUNCTION("""COMPUTED_VALUE"""),"R-SERIES 049 PH")</f>
        <v>R-SERIES 049 PH</v>
      </c>
      <c r="T204" s="2" t="str">
        <f>IFERROR(__xludf.DUMMYFUNCTION("""COMPUTED_VALUE"""),"LSGW1750 RMP 24010009")</f>
        <v>LSGW1750 RMP 24010009</v>
      </c>
      <c r="U204" s="2" t="str">
        <f>IFERROR(__xludf.DUMMYFUNCTION("""COMPUTED_VALUE"""),"WDP40 RMP 24010015")</f>
        <v>WDP40 RMP 24010015</v>
      </c>
      <c r="V204" s="2" t="str">
        <f>IFERROR(__xludf.DUMMYFUNCTION("""COMPUTED_VALUE"""),"no load")</f>
        <v>no load</v>
      </c>
      <c r="W204" s="2" t="str">
        <f>IFERROR(__xludf.DUMMYFUNCTION("""COMPUTED_VALUE"""),"VL103D")</f>
        <v>VL103D</v>
      </c>
      <c r="X204" s="2">
        <f>IFERROR(__xludf.DUMMYFUNCTION("""COMPUTED_VALUE"""),8.69066060237287E14)</f>
        <v>869066060237287</v>
      </c>
      <c r="Y204" s="2">
        <f>IFERROR(__xludf.DUMMYFUNCTION("""COMPUTED_VALUE"""),9.085761737E9)</f>
        <v>9085761737</v>
      </c>
      <c r="Z204" s="3" t="str">
        <f>IFERROR(__xludf.DUMMYFUNCTION("""COMPUTED_VALUE"""),"0323250006120652")</f>
        <v>0323250006120652</v>
      </c>
      <c r="AA204" s="2"/>
      <c r="AB204" s="2" t="str">
        <f>IFERROR(__xludf.DUMMYFUNCTION("""COMPUTED_VALUE"""),"tabukmpc")</f>
        <v>tabukmpc</v>
      </c>
    </row>
    <row r="205">
      <c r="A205" s="2" t="str">
        <f>IFERROR(__xludf.DUMMYFUNCTION("""COMPUTED_VALUE"""),"TT00203")</f>
        <v>TT00203</v>
      </c>
      <c r="B205" s="2" t="str">
        <f>IFERROR(__xludf.DUMMYFUNCTION("""COMPUTED_VALUE"""),"Completed")</f>
        <v>Completed</v>
      </c>
      <c r="C205" s="2" t="str">
        <f>IFERROR(__xludf.DUMMYFUNCTION("""COMPUTED_VALUE"""),"FOR BILLING L9")</f>
        <v>FOR BILLING L9</v>
      </c>
      <c r="D205" s="2" t="str">
        <f>IFERROR(__xludf.DUMMYFUNCTION("""COMPUTED_VALUE"""),"Saint Jerome's Parish Multi-purpose Cooperative")</f>
        <v>Saint Jerome's Parish Multi-purpose Cooperative</v>
      </c>
      <c r="E205" s="2" t="str">
        <f>IFERROR(__xludf.DUMMYFUNCTION("""COMPUTED_VALUE"""),"San Geronimo (Pob.), Bagabag, NUEVA VIZCAYA")</f>
        <v>San Geronimo (Pob.), Bagabag, NUEVA VIZCAYA</v>
      </c>
      <c r="F205" s="2" t="str">
        <f>IFERROR(__xludf.DUMMYFUNCTION("""COMPUTED_VALUE"""),"Benedicta D. Dela Peña")</f>
        <v>Benedicta D. Dela Peña</v>
      </c>
      <c r="G205" s="2">
        <f>IFERROR(__xludf.DUMMYFUNCTION("""COMPUTED_VALUE"""),9.171600264E9)</f>
        <v>9171600264</v>
      </c>
      <c r="H205" s="2"/>
      <c r="I205" s="2"/>
      <c r="J205" s="2"/>
      <c r="K205" s="2" t="str">
        <f>IFERROR(__xludf.DUMMYFUNCTION("""COMPUTED_VALUE"""),"RCEF 23-09-21 Rebidding")</f>
        <v>RCEF 23-09-21 Rebidding</v>
      </c>
      <c r="L205" s="2">
        <f>IFERROR(__xludf.DUMMYFUNCTION("""COMPUTED_VALUE"""),9.0)</f>
        <v>9</v>
      </c>
      <c r="M205" s="2"/>
      <c r="N205" s="74">
        <f>IFERROR(__xludf.DUMMYFUNCTION("""COMPUTED_VALUE"""),45350.0)</f>
        <v>45350</v>
      </c>
      <c r="O205" s="74">
        <f>IFERROR(__xludf.DUMMYFUNCTION("""COMPUTED_VALUE"""),45352.0)</f>
        <v>45352</v>
      </c>
      <c r="P205" s="2">
        <f>IFERROR(__xludf.DUMMYFUNCTION("""COMPUTED_VALUE"""),18504.0)</f>
        <v>18504</v>
      </c>
      <c r="Q205" s="2" t="str">
        <f>IFERROR(__xludf.DUMMYFUNCTION("""COMPUTED_VALUE"""),"KMC5825 AHRFPV0026")</f>
        <v>KMC5825 AHRFPV0026</v>
      </c>
      <c r="R205" s="2" t="str">
        <f>IFERROR(__xludf.DUMMYFUNCTION("""COMPUTED_VALUE"""),"PTS 100264")</f>
        <v>PTS 100264</v>
      </c>
      <c r="S205" s="2" t="str">
        <f>IFERROR(__xludf.DUMMYFUNCTION("""COMPUTED_VALUE"""),"R-SERIES 178 PH")</f>
        <v>R-SERIES 178 PH</v>
      </c>
      <c r="T205" s="2" t="str">
        <f>IFERROR(__xludf.DUMMYFUNCTION("""COMPUTED_VALUE"""),"LSGW1750 RMP 24010039")</f>
        <v>LSGW1750 RMP 24010039</v>
      </c>
      <c r="U205" s="2" t="str">
        <f>IFERROR(__xludf.DUMMYFUNCTION("""COMPUTED_VALUE"""),"WDP40 RMP 24010045")</f>
        <v>WDP40 RMP 24010045</v>
      </c>
      <c r="V205" s="2" t="str">
        <f>IFERROR(__xludf.DUMMYFUNCTION("""COMPUTED_VALUE"""),"good")</f>
        <v>good</v>
      </c>
      <c r="W205" s="2" t="str">
        <f>IFERROR(__xludf.DUMMYFUNCTION("""COMPUTED_VALUE"""),"VL103D")</f>
        <v>VL103D</v>
      </c>
      <c r="X205" s="2">
        <f>IFERROR(__xludf.DUMMYFUNCTION("""COMPUTED_VALUE"""),8.69066060010239E14)</f>
        <v>869066060010239</v>
      </c>
      <c r="Y205" s="2">
        <f>IFERROR(__xludf.DUMMYFUNCTION("""COMPUTED_VALUE"""),9.085848902E9)</f>
        <v>9085848902</v>
      </c>
      <c r="Z205" s="3" t="str">
        <f>IFERROR(__xludf.DUMMYFUNCTION("""COMPUTED_VALUE"""),"0323250006120694")</f>
        <v>0323250006120694</v>
      </c>
      <c r="AA205" s="2"/>
      <c r="AB205" s="2" t="str">
        <f>IFERROR(__xludf.DUMMYFUNCTION("""COMPUTED_VALUE"""),"saintjeromempc")</f>
        <v>saintjeromempc</v>
      </c>
    </row>
    <row r="206">
      <c r="A206" s="2" t="str">
        <f>IFERROR(__xludf.DUMMYFUNCTION("""COMPUTED_VALUE"""),"TT00204")</f>
        <v>TT00204</v>
      </c>
      <c r="B206" s="2" t="str">
        <f>IFERROR(__xludf.DUMMYFUNCTION("""COMPUTED_VALUE"""),"Completed")</f>
        <v>Completed</v>
      </c>
      <c r="C206" s="2" t="str">
        <f>IFERROR(__xludf.DUMMYFUNCTION("""COMPUTED_VALUE"""),"FOR BILLING L9")</f>
        <v>FOR BILLING L9</v>
      </c>
      <c r="D206" s="2" t="str">
        <f>IFERROR(__xludf.DUMMYFUNCTION("""COMPUTED_VALUE"""),"Lower Bangaan Solano Irrigators Association, Inc.")</f>
        <v>Lower Bangaan Solano Irrigators Association, Inc.</v>
      </c>
      <c r="E206" s="2" t="str">
        <f>IFERROR(__xludf.DUMMYFUNCTION("""COMPUTED_VALUE"""),"Bangaan, Solano, NUEVA VIZCAYA")</f>
        <v>Bangaan, Solano, NUEVA VIZCAYA</v>
      </c>
      <c r="F206" s="2" t="str">
        <f>IFERROR(__xludf.DUMMYFUNCTION("""COMPUTED_VALUE"""),"Freddie G. Bacud")</f>
        <v>Freddie G. Bacud</v>
      </c>
      <c r="G206" s="2">
        <f>IFERROR(__xludf.DUMMYFUNCTION("""COMPUTED_VALUE"""),9.650826661E9)</f>
        <v>9650826661</v>
      </c>
      <c r="H206" s="2"/>
      <c r="I206" s="2"/>
      <c r="J206" s="2"/>
      <c r="K206" s="2" t="str">
        <f>IFERROR(__xludf.DUMMYFUNCTION("""COMPUTED_VALUE"""),"RCEF 23-09-21 Rebidding")</f>
        <v>RCEF 23-09-21 Rebidding</v>
      </c>
      <c r="L206" s="2">
        <f>IFERROR(__xludf.DUMMYFUNCTION("""COMPUTED_VALUE"""),9.0)</f>
        <v>9</v>
      </c>
      <c r="M206" s="2"/>
      <c r="N206" s="80">
        <f>IFERROR(__xludf.DUMMYFUNCTION("""COMPUTED_VALUE"""),45350.0)</f>
        <v>45350</v>
      </c>
      <c r="O206" s="74">
        <f>IFERROR(__xludf.DUMMYFUNCTION("""COMPUTED_VALUE"""),45352.0)</f>
        <v>45352</v>
      </c>
      <c r="P206" s="2">
        <f>IFERROR(__xludf.DUMMYFUNCTION("""COMPUTED_VALUE"""),18505.0)</f>
        <v>18505</v>
      </c>
      <c r="Q206" s="2" t="str">
        <f>IFERROR(__xludf.DUMMYFUNCTION("""COMPUTED_VALUE"""),"KMC5825 ALRFPV0090")</f>
        <v>KMC5825 ALRFPV0090</v>
      </c>
      <c r="R206" s="2" t="str">
        <f>IFERROR(__xludf.DUMMYFUNCTION("""COMPUTED_VALUE"""),"PTS 100209")</f>
        <v>PTS 100209</v>
      </c>
      <c r="S206" s="2" t="str">
        <f>IFERROR(__xludf.DUMMYFUNCTION("""COMPUTED_VALUE"""),"R-SERIES 176 PH")</f>
        <v>R-SERIES 176 PH</v>
      </c>
      <c r="T206" s="2" t="str">
        <f>IFERROR(__xludf.DUMMYFUNCTION("""COMPUTED_VALUE"""),"LSGW1750 RMP 24010090")</f>
        <v>LSGW1750 RMP 24010090</v>
      </c>
      <c r="U206" s="2" t="str">
        <f>IFERROR(__xludf.DUMMYFUNCTION("""COMPUTED_VALUE"""),"WDP40 RMP 24010059")</f>
        <v>WDP40 RMP 24010059</v>
      </c>
      <c r="V206" s="2" t="str">
        <f>IFERROR(__xludf.DUMMYFUNCTION("""COMPUTED_VALUE"""),"no load")</f>
        <v>no load</v>
      </c>
      <c r="W206" s="2" t="str">
        <f>IFERROR(__xludf.DUMMYFUNCTION("""COMPUTED_VALUE"""),"VL103D")</f>
        <v>VL103D</v>
      </c>
      <c r="X206" s="2">
        <f>IFERROR(__xludf.DUMMYFUNCTION("""COMPUTED_VALUE"""),8.69066060243202E14)</f>
        <v>869066060243202</v>
      </c>
      <c r="Y206" s="2">
        <f>IFERROR(__xludf.DUMMYFUNCTION("""COMPUTED_VALUE"""),9.087537454E9)</f>
        <v>9087537454</v>
      </c>
      <c r="Z206" s="3" t="str">
        <f>IFERROR(__xludf.DUMMYFUNCTION("""COMPUTED_VALUE"""),"0323250006120850")</f>
        <v>0323250006120850</v>
      </c>
      <c r="AA206" s="2"/>
      <c r="AB206" s="2" t="str">
        <f>IFERROR(__xludf.DUMMYFUNCTION("""COMPUTED_VALUE"""),"lowerbangaanirrig")</f>
        <v>lowerbangaanirrig</v>
      </c>
    </row>
    <row r="207">
      <c r="A207" s="2" t="str">
        <f>IFERROR(__xludf.DUMMYFUNCTION("""COMPUTED_VALUE"""),"TT00205")</f>
        <v>TT00205</v>
      </c>
      <c r="B207" s="2" t="str">
        <f>IFERROR(__xludf.DUMMYFUNCTION("""COMPUTED_VALUE"""),"Completed")</f>
        <v>Completed</v>
      </c>
      <c r="C207" s="2" t="str">
        <f>IFERROR(__xludf.DUMMYFUNCTION("""COMPUTED_VALUE"""),"FOR BILLING L9")</f>
        <v>FOR BILLING L9</v>
      </c>
      <c r="D207" s="2" t="str">
        <f>IFERROR(__xludf.DUMMYFUNCTION("""COMPUTED_VALUE"""),"Magarang Bagahabag Lower Moton Irrigators Association Inc.")</f>
        <v>Magarang Bagahabag Lower Moton Irrigators Association Inc.</v>
      </c>
      <c r="E207" s="2" t="str">
        <f>IFERROR(__xludf.DUMMYFUNCTION("""COMPUTED_VALUE"""),"Bagahabag, Solano, NUEVA VIZCAYA")</f>
        <v>Bagahabag, Solano, NUEVA VIZCAYA</v>
      </c>
      <c r="F207" s="2" t="str">
        <f>IFERROR(__xludf.DUMMYFUNCTION("""COMPUTED_VALUE"""),"Nestor P. Nicolas")</f>
        <v>Nestor P. Nicolas</v>
      </c>
      <c r="G207" s="2">
        <f>IFERROR(__xludf.DUMMYFUNCTION("""COMPUTED_VALUE"""),9.062689966E9)</f>
        <v>9062689966</v>
      </c>
      <c r="H207" s="2"/>
      <c r="I207" s="2"/>
      <c r="J207" s="2"/>
      <c r="K207" s="2" t="str">
        <f>IFERROR(__xludf.DUMMYFUNCTION("""COMPUTED_VALUE"""),"RCEF 23-09-21 Rebidding")</f>
        <v>RCEF 23-09-21 Rebidding</v>
      </c>
      <c r="L207" s="2">
        <f>IFERROR(__xludf.DUMMYFUNCTION("""COMPUTED_VALUE"""),9.0)</f>
        <v>9</v>
      </c>
      <c r="M207" s="2"/>
      <c r="N207" s="74">
        <f>IFERROR(__xludf.DUMMYFUNCTION("""COMPUTED_VALUE"""),45350.0)</f>
        <v>45350</v>
      </c>
      <c r="O207" s="74">
        <f>IFERROR(__xludf.DUMMYFUNCTION("""COMPUTED_VALUE"""),45352.0)</f>
        <v>45352</v>
      </c>
      <c r="P207" s="2">
        <f>IFERROR(__xludf.DUMMYFUNCTION("""COMPUTED_VALUE"""),18506.0)</f>
        <v>18506</v>
      </c>
      <c r="Q207" s="2" t="str">
        <f>IFERROR(__xludf.DUMMYFUNCTION("""COMPUTED_VALUE"""),"KMC5825 ALRFPV0025")</f>
        <v>KMC5825 ALRFPV0025</v>
      </c>
      <c r="R207" s="2" t="str">
        <f>IFERROR(__xludf.DUMMYFUNCTION("""COMPUTED_VALUE"""),"PTS 100292")</f>
        <v>PTS 100292</v>
      </c>
      <c r="S207" s="2" t="str">
        <f>IFERROR(__xludf.DUMMYFUNCTION("""COMPUTED_VALUE"""),"R-SERIES 175 PH")</f>
        <v>R-SERIES 175 PH</v>
      </c>
      <c r="T207" s="2" t="str">
        <f>IFERROR(__xludf.DUMMYFUNCTION("""COMPUTED_VALUE"""),"LSGW1750 RMP 24010058")</f>
        <v>LSGW1750 RMP 24010058</v>
      </c>
      <c r="U207" s="2" t="str">
        <f>IFERROR(__xludf.DUMMYFUNCTION("""COMPUTED_VALUE"""),"WDP40 RMP 24010048")</f>
        <v>WDP40 RMP 24010048</v>
      </c>
      <c r="V207" s="2" t="str">
        <f>IFERROR(__xludf.DUMMYFUNCTION("""COMPUTED_VALUE"""),"no load")</f>
        <v>no load</v>
      </c>
      <c r="W207" s="2" t="str">
        <f>IFERROR(__xludf.DUMMYFUNCTION("""COMPUTED_VALUE"""),"VL103D")</f>
        <v>VL103D</v>
      </c>
      <c r="X207" s="2">
        <f>IFERROR(__xludf.DUMMYFUNCTION("""COMPUTED_VALUE"""),8.69066060010205E14)</f>
        <v>869066060010205</v>
      </c>
      <c r="Y207" s="2">
        <f>IFERROR(__xludf.DUMMYFUNCTION("""COMPUTED_VALUE"""),9.087601825E9)</f>
        <v>9087601825</v>
      </c>
      <c r="Z207" s="3" t="str">
        <f>IFERROR(__xludf.DUMMYFUNCTION("""COMPUTED_VALUE"""),"0323250006120676")</f>
        <v>0323250006120676</v>
      </c>
      <c r="AA207" s="2"/>
      <c r="AB207" s="2" t="str">
        <f>IFERROR(__xludf.DUMMYFUNCTION("""COMPUTED_VALUE"""),"magarangbagahabag")</f>
        <v>magarangbagahabag</v>
      </c>
    </row>
    <row r="208">
      <c r="A208" s="2" t="str">
        <f>IFERROR(__xludf.DUMMYFUNCTION("""COMPUTED_VALUE"""),"TT00206")</f>
        <v>TT00206</v>
      </c>
      <c r="B208" s="2" t="str">
        <f>IFERROR(__xludf.DUMMYFUNCTION("""COMPUTED_VALUE"""),"Completed")</f>
        <v>Completed</v>
      </c>
      <c r="C208" s="2" t="str">
        <f>IFERROR(__xludf.DUMMYFUNCTION("""COMPUTED_VALUE"""),"FOR BILLING L3")</f>
        <v>FOR BILLING L3</v>
      </c>
      <c r="D208" s="2" t="str">
        <f>IFERROR(__xludf.DUMMYFUNCTION("""COMPUTED_VALUE"""),"KAISAHAN IRRIGATOR'S ASSOCIATION INC.")</f>
        <v>KAISAHAN IRRIGATOR'S ASSOCIATION INC.</v>
      </c>
      <c r="E208" s="2" t="str">
        <f>IFERROR(__xludf.DUMMYFUNCTION("""COMPUTED_VALUE"""),"San Fabian, Santo Domingo, NUEVA ECIJA")</f>
        <v>San Fabian, Santo Domingo, NUEVA ECIJA</v>
      </c>
      <c r="F208" s="2" t="str">
        <f>IFERROR(__xludf.DUMMYFUNCTION("""COMPUTED_VALUE"""),"Darwin D. Cacal")</f>
        <v>Darwin D. Cacal</v>
      </c>
      <c r="G208" s="2" t="str">
        <f>IFERROR(__xludf.DUMMYFUNCTION("""COMPUTED_VALUE"""),"0975-721-2437")</f>
        <v>0975-721-2437</v>
      </c>
      <c r="H208" s="2"/>
      <c r="I208" s="2"/>
      <c r="J208" s="2"/>
      <c r="K208" s="2" t="str">
        <f>IFERROR(__xludf.DUMMYFUNCTION("""COMPUTED_VALUE"""),"RCEF 23-09-21 Rebidding")</f>
        <v>RCEF 23-09-21 Rebidding</v>
      </c>
      <c r="L208" s="2">
        <f>IFERROR(__xludf.DUMMYFUNCTION("""COMPUTED_VALUE"""),3.0)</f>
        <v>3</v>
      </c>
      <c r="M208" s="2"/>
      <c r="N208" s="74">
        <f>IFERROR(__xludf.DUMMYFUNCTION("""COMPUTED_VALUE"""),45372.0)</f>
        <v>45372</v>
      </c>
      <c r="O208" s="74">
        <f>IFERROR(__xludf.DUMMYFUNCTION("""COMPUTED_VALUE"""),45372.0)</f>
        <v>45372</v>
      </c>
      <c r="P208" s="2">
        <f>IFERROR(__xludf.DUMMYFUNCTION("""COMPUTED_VALUE"""),18662.0)</f>
        <v>18662</v>
      </c>
      <c r="Q208" s="2" t="str">
        <f>IFERROR(__xludf.DUMMYFUNCTION("""COMPUTED_VALUE"""),"KMC5825 AERFPV0092")</f>
        <v>KMC5825 AERFPV0092</v>
      </c>
      <c r="R208" s="2" t="str">
        <f>IFERROR(__xludf.DUMMYFUNCTION("""COMPUTED_VALUE"""),"PTS 100216")</f>
        <v>PTS 100216</v>
      </c>
      <c r="S208" s="2" t="str">
        <f>IFERROR(__xludf.DUMMYFUNCTION("""COMPUTED_VALUE"""),"R-SERIES 252 PH")</f>
        <v>R-SERIES 252 PH</v>
      </c>
      <c r="T208" s="2" t="str">
        <f>IFERROR(__xludf.DUMMYFUNCTION("""COMPUTED_VALUE"""),"LSGW1750 RMP 24010087")</f>
        <v>LSGW1750 RMP 24010087</v>
      </c>
      <c r="U208" s="2" t="str">
        <f>IFERROR(__xludf.DUMMYFUNCTION("""COMPUTED_VALUE"""),"WDP40 RMP 24010160")</f>
        <v>WDP40 RMP 24010160</v>
      </c>
      <c r="V208" s="2" t="str">
        <f>IFERROR(__xludf.DUMMYFUNCTION("""COMPUTED_VALUE"""),"no load")</f>
        <v>no load</v>
      </c>
      <c r="W208" s="2" t="str">
        <f>IFERROR(__xludf.DUMMYFUNCTION("""COMPUTED_VALUE"""),"VL103D")</f>
        <v>VL103D</v>
      </c>
      <c r="X208" s="2">
        <f>IFERROR(__xludf.DUMMYFUNCTION("""COMPUTED_VALUE"""),8.69066060237113E14)</f>
        <v>869066060237113</v>
      </c>
      <c r="Y208" s="2">
        <f>IFERROR(__xludf.DUMMYFUNCTION("""COMPUTED_VALUE"""),9.087671035E9)</f>
        <v>9087671035</v>
      </c>
      <c r="Z208" s="2"/>
      <c r="AA208" s="2"/>
      <c r="AB208" s="2" t="str">
        <f>IFERROR(__xludf.DUMMYFUNCTION("""COMPUTED_VALUE"""),"kaisahanirrig")</f>
        <v>kaisahanirrig</v>
      </c>
    </row>
    <row r="209">
      <c r="A209" s="2" t="str">
        <f>IFERROR(__xludf.DUMMYFUNCTION("""COMPUTED_VALUE"""),"TT00207")</f>
        <v>TT00207</v>
      </c>
      <c r="B209" s="2" t="str">
        <f>IFERROR(__xludf.DUMMYFUNCTION("""COMPUTED_VALUE"""),"Completed")</f>
        <v>Completed</v>
      </c>
      <c r="C209" s="2" t="str">
        <f>IFERROR(__xludf.DUMMYFUNCTION("""COMPUTED_VALUE"""),"FOR BILLING L9")</f>
        <v>FOR BILLING L9</v>
      </c>
      <c r="D209" s="2" t="str">
        <f>IFERROR(__xludf.DUMMYFUNCTION("""COMPUTED_VALUE"""),"SAN MACARIO FARMER'S ASSOCIATION")</f>
        <v>SAN MACARIO FARMER'S ASSOCIATION</v>
      </c>
      <c r="E209" s="2" t="str">
        <f>IFERROR(__xludf.DUMMYFUNCTION("""COMPUTED_VALUE"""),"San Macario, Delfin Albano, ISABELA")</f>
        <v>San Macario, Delfin Albano, ISABELA</v>
      </c>
      <c r="F209" s="2" t="str">
        <f>IFERROR(__xludf.DUMMYFUNCTION("""COMPUTED_VALUE"""),"ARIEL V. BIDES")</f>
        <v>ARIEL V. BIDES</v>
      </c>
      <c r="G209" s="2">
        <f>IFERROR(__xludf.DUMMYFUNCTION("""COMPUTED_VALUE"""),9.263610336E9)</f>
        <v>9263610336</v>
      </c>
      <c r="H209" s="2"/>
      <c r="I209" s="2"/>
      <c r="J209" s="2"/>
      <c r="K209" s="2" t="str">
        <f>IFERROR(__xludf.DUMMYFUNCTION("""COMPUTED_VALUE"""),"RCEF 23-09-21 Rebidding")</f>
        <v>RCEF 23-09-21 Rebidding</v>
      </c>
      <c r="L209" s="2">
        <f>IFERROR(__xludf.DUMMYFUNCTION("""COMPUTED_VALUE"""),9.0)</f>
        <v>9</v>
      </c>
      <c r="M209" s="2"/>
      <c r="N209" s="74">
        <f>IFERROR(__xludf.DUMMYFUNCTION("""COMPUTED_VALUE"""),45380.0)</f>
        <v>45380</v>
      </c>
      <c r="O209" s="74">
        <f>IFERROR(__xludf.DUMMYFUNCTION("""COMPUTED_VALUE"""),45385.0)</f>
        <v>45385</v>
      </c>
      <c r="P209" s="2">
        <f>IFERROR(__xludf.DUMMYFUNCTION("""COMPUTED_VALUE"""),18833.0)</f>
        <v>18833</v>
      </c>
      <c r="Q209" s="2" t="str">
        <f>IFERROR(__xludf.DUMMYFUNCTION("""COMPUTED_VALUE"""),"KMC5825 AARFPV0167")</f>
        <v>KMC5825 AARFPV0167</v>
      </c>
      <c r="R209" s="2" t="str">
        <f>IFERROR(__xludf.DUMMYFUNCTION("""COMPUTED_VALUE"""),"RTS100108")</f>
        <v>RTS100108</v>
      </c>
      <c r="S209" s="2" t="str">
        <f>IFERROR(__xludf.DUMMYFUNCTION("""COMPUTED_VALUE"""),"R-SERIES 134 PH")</f>
        <v>R-SERIES 134 PH</v>
      </c>
      <c r="T209" s="2" t="str">
        <f>IFERROR(__xludf.DUMMYFUNCTION("""COMPUTED_VALUE"""),"LSGW1750 RMP 24010134")</f>
        <v>LSGW1750 RMP 24010134</v>
      </c>
      <c r="U209" s="2" t="str">
        <f>IFERROR(__xludf.DUMMYFUNCTION("""COMPUTED_VALUE"""),"WDP40 RMP 24010122")</f>
        <v>WDP40 RMP 24010122</v>
      </c>
      <c r="V209" s="2"/>
      <c r="W209" s="2" t="str">
        <f>IFERROR(__xludf.DUMMYFUNCTION("""COMPUTED_VALUE"""),"VL103D")</f>
        <v>VL103D</v>
      </c>
      <c r="X209" s="2"/>
      <c r="Y209" s="2"/>
      <c r="Z209" s="2"/>
      <c r="AA209" s="2"/>
      <c r="AB209" s="2" t="str">
        <f>IFERROR(__xludf.DUMMYFUNCTION("""COMPUTED_VALUE"""),"sanmacariofa")</f>
        <v>sanmacariofa</v>
      </c>
    </row>
    <row r="210">
      <c r="A210" s="2" t="str">
        <f>IFERROR(__xludf.DUMMYFUNCTION("""COMPUTED_VALUE"""),"TT00208")</f>
        <v>TT00208</v>
      </c>
      <c r="B210" s="2" t="str">
        <f>IFERROR(__xludf.DUMMYFUNCTION("""COMPUTED_VALUE"""),"Completed")</f>
        <v>Completed</v>
      </c>
      <c r="C210" s="2" t="str">
        <f>IFERROR(__xludf.DUMMYFUNCTION("""COMPUTED_VALUE"""),"FOR BILLING L9")</f>
        <v>FOR BILLING L9</v>
      </c>
      <c r="D210" s="2" t="str">
        <f>IFERROR(__xludf.DUMMYFUNCTION("""COMPUTED_VALUE"""),"BARUMBONG IRRIGATORS ASSOCIATION INC.")</f>
        <v>BARUMBONG IRRIGATORS ASSOCIATION INC.</v>
      </c>
      <c r="E210" s="2" t="str">
        <f>IFERROR(__xludf.DUMMYFUNCTION("""COMPUTED_VALUE"""),"Barumbong, Santo Tomas, ISABELA")</f>
        <v>Barumbong, Santo Tomas, ISABELA</v>
      </c>
      <c r="F210" s="2" t="str">
        <f>IFERROR(__xludf.DUMMYFUNCTION("""COMPUTED_VALUE"""),"SONNY P. TALLION")</f>
        <v>SONNY P. TALLION</v>
      </c>
      <c r="G210" s="2">
        <f>IFERROR(__xludf.DUMMYFUNCTION("""COMPUTED_VALUE"""),9.758262334E9)</f>
        <v>9758262334</v>
      </c>
      <c r="H210" s="2"/>
      <c r="I210" s="2"/>
      <c r="J210" s="2"/>
      <c r="K210" s="2" t="str">
        <f>IFERROR(__xludf.DUMMYFUNCTION("""COMPUTED_VALUE"""),"RCEF 23-09-21 Rebidding")</f>
        <v>RCEF 23-09-21 Rebidding</v>
      </c>
      <c r="L210" s="2">
        <f>IFERROR(__xludf.DUMMYFUNCTION("""COMPUTED_VALUE"""),9.0)</f>
        <v>9</v>
      </c>
      <c r="M210" s="2"/>
      <c r="N210" s="74">
        <f>IFERROR(__xludf.DUMMYFUNCTION("""COMPUTED_VALUE"""),45380.0)</f>
        <v>45380</v>
      </c>
      <c r="O210" s="74">
        <f>IFERROR(__xludf.DUMMYFUNCTION("""COMPUTED_VALUE"""),45385.0)</f>
        <v>45385</v>
      </c>
      <c r="P210" s="2">
        <f>IFERROR(__xludf.DUMMYFUNCTION("""COMPUTED_VALUE"""),18834.0)</f>
        <v>18834</v>
      </c>
      <c r="Q210" s="2" t="str">
        <f>IFERROR(__xludf.DUMMYFUNCTION("""COMPUTED_VALUE"""),"kmc5825 ACRFPV0207 ")</f>
        <v>kmc5825 ACRFPV0207 </v>
      </c>
      <c r="R210" s="2" t="str">
        <f>IFERROR(__xludf.DUMMYFUNCTION("""COMPUTED_VALUE"""),"RTS100055")</f>
        <v>RTS100055</v>
      </c>
      <c r="S210" s="2" t="str">
        <f>IFERROR(__xludf.DUMMYFUNCTION("""COMPUTED_VALUE"""),"R-SERIES 159 PH")</f>
        <v>R-SERIES 159 PH</v>
      </c>
      <c r="T210" s="2" t="str">
        <f>IFERROR(__xludf.DUMMYFUNCTION("""COMPUTED_VALUE"""),"LSGW1750 RMP 24010116")</f>
        <v>LSGW1750 RMP 24010116</v>
      </c>
      <c r="U210" s="2" t="str">
        <f>IFERROR(__xludf.DUMMYFUNCTION("""COMPUTED_VALUE"""),"WDP40 RMP 24010143")</f>
        <v>WDP40 RMP 24010143</v>
      </c>
      <c r="V210" s="2"/>
      <c r="W210" s="2" t="str">
        <f>IFERROR(__xludf.DUMMYFUNCTION("""COMPUTED_VALUE"""),"VL103D")</f>
        <v>VL103D</v>
      </c>
      <c r="X210" s="2"/>
      <c r="Y210" s="2"/>
      <c r="Z210" s="2"/>
      <c r="AA210" s="2"/>
      <c r="AB210" s="2" t="str">
        <f>IFERROR(__xludf.DUMMYFUNCTION("""COMPUTED_VALUE"""),"barumbongirrig")</f>
        <v>barumbongirrig</v>
      </c>
    </row>
    <row r="211">
      <c r="A211" s="2" t="str">
        <f>IFERROR(__xludf.DUMMYFUNCTION("""COMPUTED_VALUE"""),"TT00209")</f>
        <v>TT00209</v>
      </c>
      <c r="B211" s="2" t="str">
        <f>IFERROR(__xludf.DUMMYFUNCTION("""COMPUTED_VALUE"""),"Completed")</f>
        <v>Completed</v>
      </c>
      <c r="C211" s="2" t="str">
        <f>IFERROR(__xludf.DUMMYFUNCTION("""COMPUTED_VALUE"""),"FOR BILLING L9")</f>
        <v>FOR BILLING L9</v>
      </c>
      <c r="D211" s="2" t="str">
        <f>IFERROR(__xludf.DUMMYFUNCTION("""COMPUTED_VALUE"""),"MALLALATANG GRANDE AND VILLADOR FARMERS ASSOCIATION")</f>
        <v>MALLALATANG GRANDE AND VILLADOR FARMERS ASSOCIATION</v>
      </c>
      <c r="E211" s="2" t="str">
        <f>IFERROR(__xludf.DUMMYFUNCTION("""COMPUTED_VALUE"""),"Villador, Reina Mercedes, ISABELA")</f>
        <v>Villador, Reina Mercedes, ISABELA</v>
      </c>
      <c r="F211" s="2" t="str">
        <f>IFERROR(__xludf.DUMMYFUNCTION("""COMPUTED_VALUE"""),"JONEL F. ACOB")</f>
        <v>JONEL F. ACOB</v>
      </c>
      <c r="G211" s="2">
        <f>IFERROR(__xludf.DUMMYFUNCTION("""COMPUTED_VALUE"""),9.654799576E9)</f>
        <v>9654799576</v>
      </c>
      <c r="H211" s="2"/>
      <c r="I211" s="2"/>
      <c r="J211" s="2"/>
      <c r="K211" s="2" t="str">
        <f>IFERROR(__xludf.DUMMYFUNCTION("""COMPUTED_VALUE"""),"RCEF 23-09-21 Rebidding")</f>
        <v>RCEF 23-09-21 Rebidding</v>
      </c>
      <c r="L211" s="2">
        <f>IFERROR(__xludf.DUMMYFUNCTION("""COMPUTED_VALUE"""),9.0)</f>
        <v>9</v>
      </c>
      <c r="M211" s="2"/>
      <c r="N211" s="74">
        <f>IFERROR(__xludf.DUMMYFUNCTION("""COMPUTED_VALUE"""),45380.0)</f>
        <v>45380</v>
      </c>
      <c r="O211" s="74">
        <f>IFERROR(__xludf.DUMMYFUNCTION("""COMPUTED_VALUE"""),45385.0)</f>
        <v>45385</v>
      </c>
      <c r="P211" s="2">
        <f>IFERROR(__xludf.DUMMYFUNCTION("""COMPUTED_VALUE"""),18835.0)</f>
        <v>18835</v>
      </c>
      <c r="Q211" s="2" t="str">
        <f>IFERROR(__xludf.DUMMYFUNCTION("""COMPUTED_VALUE"""),"KMC5825 ACRFPV0157")</f>
        <v>KMC5825 ACRFPV0157</v>
      </c>
      <c r="R211" s="2" t="str">
        <f>IFERROR(__xludf.DUMMYFUNCTION("""COMPUTED_VALUE"""),"RTS100077")</f>
        <v>RTS100077</v>
      </c>
      <c r="S211" s="2" t="str">
        <f>IFERROR(__xludf.DUMMYFUNCTION("""COMPUTED_VALUE"""),"R-SERIES 131PH")</f>
        <v>R-SERIES 131PH</v>
      </c>
      <c r="T211" s="2" t="str">
        <f>IFERROR(__xludf.DUMMYFUNCTION("""COMPUTED_VALUE"""),"LSGW1750 RMP 24010132")</f>
        <v>LSGW1750 RMP 24010132</v>
      </c>
      <c r="U211" s="2" t="str">
        <f>IFERROR(__xludf.DUMMYFUNCTION("""COMPUTED_VALUE"""),"WDP40 RMP 24010130")</f>
        <v>WDP40 RMP 24010130</v>
      </c>
      <c r="V211" s="2"/>
      <c r="W211" s="2" t="str">
        <f>IFERROR(__xludf.DUMMYFUNCTION("""COMPUTED_VALUE"""),"VL103D")</f>
        <v>VL103D</v>
      </c>
      <c r="X211" s="2"/>
      <c r="Y211" s="2"/>
      <c r="Z211" s="2"/>
      <c r="AA211" s="2"/>
      <c r="AB211" s="2" t="str">
        <f>IFERROR(__xludf.DUMMYFUNCTION("""COMPUTED_VALUE"""),"mallalatanggrande")</f>
        <v>mallalatanggrande</v>
      </c>
    </row>
    <row r="212">
      <c r="A212" s="2" t="str">
        <f>IFERROR(__xludf.DUMMYFUNCTION("""COMPUTED_VALUE"""),"TT00210")</f>
        <v>TT00210</v>
      </c>
      <c r="B212" s="2" t="str">
        <f>IFERROR(__xludf.DUMMYFUNCTION("""COMPUTED_VALUE"""),"Completed")</f>
        <v>Completed</v>
      </c>
      <c r="C212" s="2" t="str">
        <f>IFERROR(__xludf.DUMMYFUNCTION("""COMPUTED_VALUE"""),"FOR BILLING L9")</f>
        <v>FOR BILLING L9</v>
      </c>
      <c r="D212" s="2" t="str">
        <f>IFERROR(__xludf.DUMMYFUNCTION("""COMPUTED_VALUE"""),"Sto Tomas MMC Irrigators Association , Inc")</f>
        <v>Sto Tomas MMC Irrigators Association , Inc</v>
      </c>
      <c r="E212" s="2" t="str">
        <f>IFERROR(__xludf.DUMMYFUNCTION("""COMPUTED_VALUE"""),"Santo Tomas, Alicia, ISABELA")</f>
        <v>Santo Tomas, Alicia, ISABELA</v>
      </c>
      <c r="F212" s="2" t="str">
        <f>IFERROR(__xludf.DUMMYFUNCTION("""COMPUTED_VALUE"""),"Arleen T. Fernandez")</f>
        <v>Arleen T. Fernandez</v>
      </c>
      <c r="G212" s="2">
        <f>IFERROR(__xludf.DUMMYFUNCTION("""COMPUTED_VALUE"""),9.272907875E9)</f>
        <v>9272907875</v>
      </c>
      <c r="H212" s="2"/>
      <c r="I212" s="2"/>
      <c r="J212" s="2"/>
      <c r="K212" s="2" t="str">
        <f>IFERROR(__xludf.DUMMYFUNCTION("""COMPUTED_VALUE"""),"RCEF 23-09-21 Rebidding")</f>
        <v>RCEF 23-09-21 Rebidding</v>
      </c>
      <c r="L212" s="2">
        <f>IFERROR(__xludf.DUMMYFUNCTION("""COMPUTED_VALUE"""),9.0)</f>
        <v>9</v>
      </c>
      <c r="M212" s="2"/>
      <c r="N212" s="74">
        <f>IFERROR(__xludf.DUMMYFUNCTION("""COMPUTED_VALUE"""),45380.0)</f>
        <v>45380</v>
      </c>
      <c r="O212" s="74">
        <f>IFERROR(__xludf.DUMMYFUNCTION("""COMPUTED_VALUE"""),45385.0)</f>
        <v>45385</v>
      </c>
      <c r="P212" s="2">
        <f>IFERROR(__xludf.DUMMYFUNCTION("""COMPUTED_VALUE"""),18836.0)</f>
        <v>18836</v>
      </c>
      <c r="Q212" s="2" t="str">
        <f>IFERROR(__xludf.DUMMYFUNCTION("""COMPUTED_VALUE"""),"KMC5825 ACRFPV0224")</f>
        <v>KMC5825 ACRFPV0224</v>
      </c>
      <c r="R212" s="2" t="str">
        <f>IFERROR(__xludf.DUMMYFUNCTION("""COMPUTED_VALUE"""),"RTS100118")</f>
        <v>RTS100118</v>
      </c>
      <c r="S212" s="2" t="str">
        <f>IFERROR(__xludf.DUMMYFUNCTION("""COMPUTED_VALUE"""),"R-SERIES 244PH")</f>
        <v>R-SERIES 244PH</v>
      </c>
      <c r="T212" s="2" t="str">
        <f>IFERROR(__xludf.DUMMYFUNCTION("""COMPUTED_VALUE"""),"LSGW1750 RMP 24010135")</f>
        <v>LSGW1750 RMP 24010135</v>
      </c>
      <c r="U212" s="2" t="str">
        <f>IFERROR(__xludf.DUMMYFUNCTION("""COMPUTED_VALUE"""),"WDP40 RMP 24020211")</f>
        <v>WDP40 RMP 24020211</v>
      </c>
      <c r="V212" s="2"/>
      <c r="W212" s="2" t="str">
        <f>IFERROR(__xludf.DUMMYFUNCTION("""COMPUTED_VALUE"""),"VL103D")</f>
        <v>VL103D</v>
      </c>
      <c r="X212" s="2">
        <f>IFERROR(__xludf.DUMMYFUNCTION("""COMPUTED_VALUE"""),8.69066060246544E14)</f>
        <v>869066060246544</v>
      </c>
      <c r="Y212" s="2">
        <f>IFERROR(__xludf.DUMMYFUNCTION("""COMPUTED_VALUE"""),9.624426403E9)</f>
        <v>9624426403</v>
      </c>
      <c r="Z212" s="2"/>
      <c r="AA212" s="2"/>
      <c r="AB212" s="2" t="str">
        <f>IFERROR(__xludf.DUMMYFUNCTION("""COMPUTED_VALUE"""),"stotomasmmcirrig")</f>
        <v>stotomasmmcirrig</v>
      </c>
    </row>
    <row r="213">
      <c r="A213" s="2" t="str">
        <f>IFERROR(__xludf.DUMMYFUNCTION("""COMPUTED_VALUE"""),"TT00211")</f>
        <v>TT00211</v>
      </c>
      <c r="B213" s="2" t="str">
        <f>IFERROR(__xludf.DUMMYFUNCTION("""COMPUTED_VALUE"""),"Completed")</f>
        <v>Completed</v>
      </c>
      <c r="C213" s="2" t="str">
        <f>IFERROR(__xludf.DUMMYFUNCTION("""COMPUTED_VALUE"""),"FOR BILLING L9")</f>
        <v>FOR BILLING L9</v>
      </c>
      <c r="D213" s="2" t="str">
        <f>IFERROR(__xludf.DUMMYFUNCTION("""COMPUTED_VALUE"""),"STA. ISABEL FARMERS ASSOCIATION")</f>
        <v>STA. ISABEL FARMERS ASSOCIATION</v>
      </c>
      <c r="E213" s="2" t="str">
        <f>IFERROR(__xludf.DUMMYFUNCTION("""COMPUTED_VALUE"""),"Santa Isabel, Jones, ISABELA")</f>
        <v>Santa Isabel, Jones, ISABELA</v>
      </c>
      <c r="F213" s="2" t="str">
        <f>IFERROR(__xludf.DUMMYFUNCTION("""COMPUTED_VALUE"""),"Wilbert C. Villanueva")</f>
        <v>Wilbert C. Villanueva</v>
      </c>
      <c r="G213" s="2">
        <f>IFERROR(__xludf.DUMMYFUNCTION("""COMPUTED_VALUE"""),9.976617996E9)</f>
        <v>9976617996</v>
      </c>
      <c r="H213" s="2"/>
      <c r="I213" s="2"/>
      <c r="J213" s="2"/>
      <c r="K213" s="2" t="str">
        <f>IFERROR(__xludf.DUMMYFUNCTION("""COMPUTED_VALUE"""),"RCEF 23-09-21 Rebidding")</f>
        <v>RCEF 23-09-21 Rebidding</v>
      </c>
      <c r="L213" s="2">
        <f>IFERROR(__xludf.DUMMYFUNCTION("""COMPUTED_VALUE"""),9.0)</f>
        <v>9</v>
      </c>
      <c r="M213" s="2"/>
      <c r="N213" s="74">
        <f>IFERROR(__xludf.DUMMYFUNCTION("""COMPUTED_VALUE"""),45380.0)</f>
        <v>45380</v>
      </c>
      <c r="O213" s="74">
        <f>IFERROR(__xludf.DUMMYFUNCTION("""COMPUTED_VALUE"""),45385.0)</f>
        <v>45385</v>
      </c>
      <c r="P213" s="2">
        <f>IFERROR(__xludf.DUMMYFUNCTION("""COMPUTED_VALUE"""),18837.0)</f>
        <v>18837</v>
      </c>
      <c r="Q213" s="2" t="str">
        <f>IFERROR(__xludf.DUMMYFUNCTION("""COMPUTED_VALUE"""),"KMC5825 AVRFPV0202")</f>
        <v>KMC5825 AVRFPV0202</v>
      </c>
      <c r="R213" s="2" t="str">
        <f>IFERROR(__xludf.DUMMYFUNCTION("""COMPUTED_VALUE"""),"RTS100070")</f>
        <v>RTS100070</v>
      </c>
      <c r="S213" s="2" t="str">
        <f>IFERROR(__xludf.DUMMYFUNCTION("""COMPUTED_VALUE"""),"R-SERIES 271 PH")</f>
        <v>R-SERIES 271 PH</v>
      </c>
      <c r="T213" s="2" t="str">
        <f>IFERROR(__xludf.DUMMYFUNCTION("""COMPUTED_VALUE"""),"LSGW1750 RMP 24010115")</f>
        <v>LSGW1750 RMP 24010115</v>
      </c>
      <c r="U213" s="2" t="str">
        <f>IFERROR(__xludf.DUMMYFUNCTION("""COMPUTED_VALUE"""),"WDP40 RMP 24010139")</f>
        <v>WDP40 RMP 24010139</v>
      </c>
      <c r="V213" s="2"/>
      <c r="W213" s="2" t="str">
        <f>IFERROR(__xludf.DUMMYFUNCTION("""COMPUTED_VALUE"""),"VL103D")</f>
        <v>VL103D</v>
      </c>
      <c r="X213" s="2">
        <f>IFERROR(__xludf.DUMMYFUNCTION("""COMPUTED_VALUE"""),8.69066060246395E14)</f>
        <v>869066060246395</v>
      </c>
      <c r="Y213" s="2">
        <f>IFERROR(__xludf.DUMMYFUNCTION("""COMPUTED_VALUE"""),9.624245397E9)</f>
        <v>9624245397</v>
      </c>
      <c r="Z213" s="2"/>
      <c r="AA213" s="2"/>
      <c r="AB213" s="2" t="str">
        <f>IFERROR(__xludf.DUMMYFUNCTION("""COMPUTED_VALUE"""),"staisabelfa")</f>
        <v>staisabelfa</v>
      </c>
    </row>
    <row r="214">
      <c r="A214" s="2" t="str">
        <f>IFERROR(__xludf.DUMMYFUNCTION("""COMPUTED_VALUE"""),"TT00212")</f>
        <v>TT00212</v>
      </c>
      <c r="B214" s="2" t="str">
        <f>IFERROR(__xludf.DUMMYFUNCTION("""COMPUTED_VALUE"""),"Completed")</f>
        <v>Completed</v>
      </c>
      <c r="C214" s="2" t="str">
        <f>IFERROR(__xludf.DUMMYFUNCTION("""COMPUTED_VALUE"""),"FOR BILLING L9")</f>
        <v>FOR BILLING L9</v>
      </c>
      <c r="D214" s="2" t="str">
        <f>IFERROR(__xludf.DUMMYFUNCTION("""COMPUTED_VALUE"""),"Salay Farmers Association (SFA)")</f>
        <v>Salay Farmers Association (SFA)</v>
      </c>
      <c r="E214" s="2" t="str">
        <f>IFERROR(__xludf.DUMMYFUNCTION("""COMPUTED_VALUE"""),"Salay, San Agustin, ISABELA")</f>
        <v>Salay, San Agustin, ISABELA</v>
      </c>
      <c r="F214" s="2" t="str">
        <f>IFERROR(__xludf.DUMMYFUNCTION("""COMPUTED_VALUE"""),"Saturnino P. Daquioag")</f>
        <v>Saturnino P. Daquioag</v>
      </c>
      <c r="G214" s="2" t="str">
        <f>IFERROR(__xludf.DUMMYFUNCTION("""COMPUTED_VALUE"""),"09654799576/ 0926-5183287 (MA)")</f>
        <v>09654799576/ 0926-5183287 (MA)</v>
      </c>
      <c r="H214" s="2"/>
      <c r="I214" s="2"/>
      <c r="J214" s="2"/>
      <c r="K214" s="2" t="str">
        <f>IFERROR(__xludf.DUMMYFUNCTION("""COMPUTED_VALUE"""),"RCEF 23-09-21 Rebidding")</f>
        <v>RCEF 23-09-21 Rebidding</v>
      </c>
      <c r="L214" s="2">
        <f>IFERROR(__xludf.DUMMYFUNCTION("""COMPUTED_VALUE"""),9.0)</f>
        <v>9</v>
      </c>
      <c r="M214" s="2"/>
      <c r="N214" s="74">
        <f>IFERROR(__xludf.DUMMYFUNCTION("""COMPUTED_VALUE"""),45380.0)</f>
        <v>45380</v>
      </c>
      <c r="O214" s="74">
        <f>IFERROR(__xludf.DUMMYFUNCTION("""COMPUTED_VALUE"""),45385.0)</f>
        <v>45385</v>
      </c>
      <c r="P214" s="2">
        <f>IFERROR(__xludf.DUMMYFUNCTION("""COMPUTED_VALUE"""),18838.0)</f>
        <v>18838</v>
      </c>
      <c r="Q214" s="2" t="str">
        <f>IFERROR(__xludf.DUMMYFUNCTION("""COMPUTED_VALUE"""),"KMC5825 ACRFPV0286")</f>
        <v>KMC5825 ACRFPV0286</v>
      </c>
      <c r="R214" s="2" t="str">
        <f>IFERROR(__xludf.DUMMYFUNCTION("""COMPUTED_VALUE"""),"RTS100023")</f>
        <v>RTS100023</v>
      </c>
      <c r="S214" s="2" t="str">
        <f>IFERROR(__xludf.DUMMYFUNCTION("""COMPUTED_VALUE"""),"R-SERIES 278 PH")</f>
        <v>R-SERIES 278 PH</v>
      </c>
      <c r="T214" s="2" t="str">
        <f>IFERROR(__xludf.DUMMYFUNCTION("""COMPUTED_VALUE"""),"LSGW1750 RMP 24010100")</f>
        <v>LSGW1750 RMP 24010100</v>
      </c>
      <c r="U214" s="2" t="str">
        <f>IFERROR(__xludf.DUMMYFUNCTION("""COMPUTED_VALUE"""),"WDP40 RMP 24010138")</f>
        <v>WDP40 RMP 24010138</v>
      </c>
      <c r="V214" s="2"/>
      <c r="W214" s="2" t="str">
        <f>IFERROR(__xludf.DUMMYFUNCTION("""COMPUTED_VALUE"""),"VL103D")</f>
        <v>VL103D</v>
      </c>
      <c r="X214" s="2"/>
      <c r="Y214" s="2"/>
      <c r="Z214" s="2"/>
      <c r="AA214" s="2"/>
      <c r="AB214" s="2" t="str">
        <f>IFERROR(__xludf.DUMMYFUNCTION("""COMPUTED_VALUE"""),"sfa")</f>
        <v>sfa</v>
      </c>
    </row>
    <row r="215">
      <c r="A215" s="2" t="str">
        <f>IFERROR(__xludf.DUMMYFUNCTION("""COMPUTED_VALUE"""),"TT00213")</f>
        <v>TT00213</v>
      </c>
      <c r="B215" s="2" t="str">
        <f>IFERROR(__xludf.DUMMYFUNCTION("""COMPUTED_VALUE"""),"Completed")</f>
        <v>Completed</v>
      </c>
      <c r="C215" s="2" t="str">
        <f>IFERROR(__xludf.DUMMYFUNCTION("""COMPUTED_VALUE"""),"FOR BILLING L9")</f>
        <v>FOR BILLING L9</v>
      </c>
      <c r="D215" s="2" t="str">
        <f>IFERROR(__xludf.DUMMYFUNCTION("""COMPUTED_VALUE"""),"KALAUKAN IRRIGATORS ASSOCIATION, INC.")</f>
        <v>KALAUKAN IRRIGATORS ASSOCIATION, INC.</v>
      </c>
      <c r="E215" s="2" t="str">
        <f>IFERROR(__xludf.DUMMYFUNCTION("""COMPUTED_VALUE"""),"Cullalabo San Antonio, Burgos, ISABELA")</f>
        <v>Cullalabo San Antonio, Burgos, ISABELA</v>
      </c>
      <c r="F215" s="2" t="str">
        <f>IFERROR(__xludf.DUMMYFUNCTION("""COMPUTED_VALUE"""),"EDUARDO R. MARTINEZ")</f>
        <v>EDUARDO R. MARTINEZ</v>
      </c>
      <c r="G215" s="2">
        <f>IFERROR(__xludf.DUMMYFUNCTION("""COMPUTED_VALUE"""),9.059376961E9)</f>
        <v>9059376961</v>
      </c>
      <c r="H215" s="2"/>
      <c r="I215" s="2"/>
      <c r="J215" s="2"/>
      <c r="K215" s="2" t="str">
        <f>IFERROR(__xludf.DUMMYFUNCTION("""COMPUTED_VALUE"""),"RCEF 23-09-21 Rebidding")</f>
        <v>RCEF 23-09-21 Rebidding</v>
      </c>
      <c r="L215" s="2">
        <f>IFERROR(__xludf.DUMMYFUNCTION("""COMPUTED_VALUE"""),9.0)</f>
        <v>9</v>
      </c>
      <c r="M215" s="2"/>
      <c r="N215" s="74">
        <f>IFERROR(__xludf.DUMMYFUNCTION("""COMPUTED_VALUE"""),45380.0)</f>
        <v>45380</v>
      </c>
      <c r="O215" s="74">
        <f>IFERROR(__xludf.DUMMYFUNCTION("""COMPUTED_VALUE"""),45385.0)</f>
        <v>45385</v>
      </c>
      <c r="P215" s="2">
        <f>IFERROR(__xludf.DUMMYFUNCTION("""COMPUTED_VALUE"""),18839.0)</f>
        <v>18839</v>
      </c>
      <c r="Q215" s="2" t="str">
        <f>IFERROR(__xludf.DUMMYFUNCTION("""COMPUTED_VALUE"""),"KMC5825 AJRFPV0259")</f>
        <v>KMC5825 AJRFPV0259</v>
      </c>
      <c r="R215" s="2" t="str">
        <f>IFERROR(__xludf.DUMMYFUNCTION("""COMPUTED_VALUE"""),"RTS100151")</f>
        <v>RTS100151</v>
      </c>
      <c r="S215" s="2" t="str">
        <f>IFERROR(__xludf.DUMMYFUNCTION("""COMPUTED_VALUE"""),"R-SERIES 281 PH")</f>
        <v>R-SERIES 281 PH</v>
      </c>
      <c r="T215" s="2" t="str">
        <f>IFERROR(__xludf.DUMMYFUNCTION("""COMPUTED_VALUE"""),"LSGW1750 RMP 24010117")</f>
        <v>LSGW1750 RMP 24010117</v>
      </c>
      <c r="U215" s="2" t="str">
        <f>IFERROR(__xludf.DUMMYFUNCTION("""COMPUTED_VALUE"""),"WDP40 RMP 24010137")</f>
        <v>WDP40 RMP 24010137</v>
      </c>
      <c r="V215" s="2"/>
      <c r="W215" s="2" t="str">
        <f>IFERROR(__xludf.DUMMYFUNCTION("""COMPUTED_VALUE"""),"VL103D")</f>
        <v>VL103D</v>
      </c>
      <c r="X215" s="2">
        <f>IFERROR(__xludf.DUMMYFUNCTION("""COMPUTED_VALUE"""),8.69066060240059E14)</f>
        <v>869066060240059</v>
      </c>
      <c r="Y215" s="2">
        <f>IFERROR(__xludf.DUMMYFUNCTION("""COMPUTED_VALUE"""),9.624244943E9)</f>
        <v>9624244943</v>
      </c>
      <c r="Z215" s="2"/>
      <c r="AA215" s="2"/>
      <c r="AB215" s="2" t="str">
        <f>IFERROR(__xludf.DUMMYFUNCTION("""COMPUTED_VALUE"""),"kalaukanirrig")</f>
        <v>kalaukanirrig</v>
      </c>
    </row>
    <row r="216">
      <c r="A216" s="2" t="str">
        <f>IFERROR(__xludf.DUMMYFUNCTION("""COMPUTED_VALUE"""),"TT00214")</f>
        <v>TT00214</v>
      </c>
      <c r="B216" s="2" t="str">
        <f>IFERROR(__xludf.DUMMYFUNCTION("""COMPUTED_VALUE"""),"Completed")</f>
        <v>Completed</v>
      </c>
      <c r="C216" s="2" t="str">
        <f>IFERROR(__xludf.DUMMYFUNCTION("""COMPUTED_VALUE"""),"FOR BILLING L9")</f>
        <v>FOR BILLING L9</v>
      </c>
      <c r="D216" s="2" t="str">
        <f>IFERROR(__xludf.DUMMYFUNCTION("""COMPUTED_VALUE"""),"ORTIZ BUMA-A IRRIGATORS ASSOCIATION, INC.")</f>
        <v>ORTIZ BUMA-A IRRIGATORS ASSOCIATION, INC.</v>
      </c>
      <c r="E216" s="2" t="str">
        <f>IFERROR(__xludf.DUMMYFUNCTION("""COMPUTED_VALUE"""),"Samonte (Pob.), Quezon, ISABELA")</f>
        <v>Samonte (Pob.), Quezon, ISABELA</v>
      </c>
      <c r="F216" s="2" t="str">
        <f>IFERROR(__xludf.DUMMYFUNCTION("""COMPUTED_VALUE"""),"Andres A. Madarang")</f>
        <v>Andres A. Madarang</v>
      </c>
      <c r="G216" s="2">
        <f>IFERROR(__xludf.DUMMYFUNCTION("""COMPUTED_VALUE"""),9.756593894E9)</f>
        <v>9756593894</v>
      </c>
      <c r="H216" s="2"/>
      <c r="I216" s="2"/>
      <c r="J216" s="2"/>
      <c r="K216" s="2" t="str">
        <f>IFERROR(__xludf.DUMMYFUNCTION("""COMPUTED_VALUE"""),"RCEF 23-09-21 Rebidding")</f>
        <v>RCEF 23-09-21 Rebidding</v>
      </c>
      <c r="L216" s="2">
        <f>IFERROR(__xludf.DUMMYFUNCTION("""COMPUTED_VALUE"""),9.0)</f>
        <v>9</v>
      </c>
      <c r="M216" s="2"/>
      <c r="N216" s="74">
        <f>IFERROR(__xludf.DUMMYFUNCTION("""COMPUTED_VALUE"""),45380.0)</f>
        <v>45380</v>
      </c>
      <c r="O216" s="74">
        <f>IFERROR(__xludf.DUMMYFUNCTION("""COMPUTED_VALUE"""),45385.0)</f>
        <v>45385</v>
      </c>
      <c r="P216" s="2">
        <f>IFERROR(__xludf.DUMMYFUNCTION("""COMPUTED_VALUE"""),18840.0)</f>
        <v>18840</v>
      </c>
      <c r="Q216" s="2" t="str">
        <f>IFERROR(__xludf.DUMMYFUNCTION("""COMPUTED_VALUE"""),"KMC5825 AJRFPV0293")</f>
        <v>KMC5825 AJRFPV0293</v>
      </c>
      <c r="R216" s="2" t="str">
        <f>IFERROR(__xludf.DUMMYFUNCTION("""COMPUTED_VALUE"""),"RTS100026")</f>
        <v>RTS100026</v>
      </c>
      <c r="S216" s="2" t="str">
        <f>IFERROR(__xludf.DUMMYFUNCTION("""COMPUTED_VALUE"""),"R-SERIES 172 PH")</f>
        <v>R-SERIES 172 PH</v>
      </c>
      <c r="T216" s="2" t="str">
        <f>IFERROR(__xludf.DUMMYFUNCTION("""COMPUTED_VALUE"""),"LSGW1750 RMP 24010093")</f>
        <v>LSGW1750 RMP 24010093</v>
      </c>
      <c r="U216" s="2" t="str">
        <f>IFERROR(__xludf.DUMMYFUNCTION("""COMPUTED_VALUE"""),"WDP40 RMP 24020183")</f>
        <v>WDP40 RMP 24020183</v>
      </c>
      <c r="V216" s="2"/>
      <c r="W216" s="2" t="str">
        <f>IFERROR(__xludf.DUMMYFUNCTION("""COMPUTED_VALUE"""),"VL103D")</f>
        <v>VL103D</v>
      </c>
      <c r="X216" s="2">
        <f>IFERROR(__xludf.DUMMYFUNCTION("""COMPUTED_VALUE"""),8.69066060237519E14)</f>
        <v>869066060237519</v>
      </c>
      <c r="Y216" s="2">
        <f>IFERROR(__xludf.DUMMYFUNCTION("""COMPUTED_VALUE"""),9.624426839E9)</f>
        <v>9624426839</v>
      </c>
      <c r="Z216" s="2"/>
      <c r="AA216" s="2"/>
      <c r="AB216" s="2" t="str">
        <f>IFERROR(__xludf.DUMMYFUNCTION("""COMPUTED_VALUE"""),"ortizbumaairrig")</f>
        <v>ortizbumaairrig</v>
      </c>
    </row>
    <row r="217">
      <c r="A217" s="2" t="str">
        <f>IFERROR(__xludf.DUMMYFUNCTION("""COMPUTED_VALUE"""),"TT00215")</f>
        <v>TT00215</v>
      </c>
      <c r="B217" s="2" t="str">
        <f>IFERROR(__xludf.DUMMYFUNCTION("""COMPUTED_VALUE"""),"Completed")</f>
        <v>Completed</v>
      </c>
      <c r="C217" s="2" t="str">
        <f>IFERROR(__xludf.DUMMYFUNCTION("""COMPUTED_VALUE"""),"FOR BILLING L9")</f>
        <v>FOR BILLING L9</v>
      </c>
      <c r="D217" s="2" t="str">
        <f>IFERROR(__xludf.DUMMYFUNCTION("""COMPUTED_VALUE"""),"CARIZ IRRIGATORS ASSOCIATION, INC.")</f>
        <v>CARIZ IRRIGATORS ASSOCIATION, INC.</v>
      </c>
      <c r="E217" s="2" t="str">
        <f>IFERROR(__xludf.DUMMYFUNCTION("""COMPUTED_VALUE"""),"Camaal, Quirino, ISABELA")</f>
        <v>Camaal, Quirino, ISABELA</v>
      </c>
      <c r="F217" s="2" t="str">
        <f>IFERROR(__xludf.DUMMYFUNCTION("""COMPUTED_VALUE"""),"Ray S. Diampoc")</f>
        <v>Ray S. Diampoc</v>
      </c>
      <c r="G217" s="2">
        <f>IFERROR(__xludf.DUMMYFUNCTION("""COMPUTED_VALUE"""),9.676227404E9)</f>
        <v>9676227404</v>
      </c>
      <c r="H217" s="2"/>
      <c r="I217" s="2"/>
      <c r="J217" s="2"/>
      <c r="K217" s="2" t="str">
        <f>IFERROR(__xludf.DUMMYFUNCTION("""COMPUTED_VALUE"""),"RCEF 23-09-21 Rebidding")</f>
        <v>RCEF 23-09-21 Rebidding</v>
      </c>
      <c r="L217" s="2">
        <f>IFERROR(__xludf.DUMMYFUNCTION("""COMPUTED_VALUE"""),9.0)</f>
        <v>9</v>
      </c>
      <c r="M217" s="2"/>
      <c r="N217" s="74">
        <f>IFERROR(__xludf.DUMMYFUNCTION("""COMPUTED_VALUE"""),45380.0)</f>
        <v>45380</v>
      </c>
      <c r="O217" s="74">
        <f>IFERROR(__xludf.DUMMYFUNCTION("""COMPUTED_VALUE"""),45385.0)</f>
        <v>45385</v>
      </c>
      <c r="P217" s="2">
        <f>IFERROR(__xludf.DUMMYFUNCTION("""COMPUTED_VALUE"""),18841.0)</f>
        <v>18841</v>
      </c>
      <c r="Q217" s="2" t="str">
        <f>IFERROR(__xludf.DUMMYFUNCTION("""COMPUTED_VALUE"""),"KMC5825 ATRFPV0189")</f>
        <v>KMC5825 ATRFPV0189</v>
      </c>
      <c r="R217" s="2" t="str">
        <f>IFERROR(__xludf.DUMMYFUNCTION("""COMPUTED_VALUE"""),"RTS100082")</f>
        <v>RTS100082</v>
      </c>
      <c r="S217" s="2" t="str">
        <f>IFERROR(__xludf.DUMMYFUNCTION("""COMPUTED_VALUE"""),"R-SERIES 290 PH")</f>
        <v>R-SERIES 290 PH</v>
      </c>
      <c r="T217" s="2" t="str">
        <f>IFERROR(__xludf.DUMMYFUNCTION("""COMPUTED_VALUE"""),"LSGW1750 RMP 24010091")</f>
        <v>LSGW1750 RMP 24010091</v>
      </c>
      <c r="U217" s="2" t="str">
        <f>IFERROR(__xludf.DUMMYFUNCTION("""COMPUTED_VALUE"""),"WDP40 RMP 24020198")</f>
        <v>WDP40 RMP 24020198</v>
      </c>
      <c r="V217" s="2"/>
      <c r="W217" s="2" t="str">
        <f>IFERROR(__xludf.DUMMYFUNCTION("""COMPUTED_VALUE"""),"VL103D")</f>
        <v>VL103D</v>
      </c>
      <c r="X217" s="2">
        <f>IFERROR(__xludf.DUMMYFUNCTION("""COMPUTED_VALUE"""),8.69066060237899E14)</f>
        <v>869066060237899</v>
      </c>
      <c r="Y217" s="2">
        <f>IFERROR(__xludf.DUMMYFUNCTION("""COMPUTED_VALUE"""),9.62424494E9)</f>
        <v>9624244940</v>
      </c>
      <c r="Z217" s="2"/>
      <c r="AA217" s="2"/>
      <c r="AB217" s="2" t="str">
        <f>IFERROR(__xludf.DUMMYFUNCTION("""COMPUTED_VALUE"""),"carizirrig")</f>
        <v>carizirrig</v>
      </c>
    </row>
    <row r="218">
      <c r="A218" s="2" t="str">
        <f>IFERROR(__xludf.DUMMYFUNCTION("""COMPUTED_VALUE"""),"TT00216")</f>
        <v>TT00216</v>
      </c>
      <c r="B218" s="2" t="str">
        <f>IFERROR(__xludf.DUMMYFUNCTION("""COMPUTED_VALUE"""),"Completed")</f>
        <v>Completed</v>
      </c>
      <c r="C218" s="2" t="str">
        <f>IFERROR(__xludf.DUMMYFUNCTION("""COMPUTED_VALUE"""),"FOR BILLING L9")</f>
        <v>FOR BILLING L9</v>
      </c>
      <c r="D218" s="2" t="str">
        <f>IFERROR(__xludf.DUMMYFUNCTION("""COMPUTED_VALUE"""),"D4-SAGUDAY IRRIGATORS ASSOCIATION, INC.")</f>
        <v>D4-SAGUDAY IRRIGATORS ASSOCIATION, INC.</v>
      </c>
      <c r="E218" s="2" t="str">
        <f>IFERROR(__xludf.DUMMYFUNCTION("""COMPUTED_VALUE"""),"Pinoma, Cauayan City, ISABELA")</f>
        <v>Pinoma, Cauayan City, ISABELA</v>
      </c>
      <c r="F218" s="2" t="str">
        <f>IFERROR(__xludf.DUMMYFUNCTION("""COMPUTED_VALUE"""),"Isaias G. Cargo")</f>
        <v>Isaias G. Cargo</v>
      </c>
      <c r="G218" s="2">
        <f>IFERROR(__xludf.DUMMYFUNCTION("""COMPUTED_VALUE"""),9.278896046E9)</f>
        <v>9278896046</v>
      </c>
      <c r="H218" s="2"/>
      <c r="I218" s="2"/>
      <c r="J218" s="2"/>
      <c r="K218" s="2" t="str">
        <f>IFERROR(__xludf.DUMMYFUNCTION("""COMPUTED_VALUE"""),"RCEF 23-09-21 Rebidding")</f>
        <v>RCEF 23-09-21 Rebidding</v>
      </c>
      <c r="L218" s="2">
        <f>IFERROR(__xludf.DUMMYFUNCTION("""COMPUTED_VALUE"""),9.0)</f>
        <v>9</v>
      </c>
      <c r="M218" s="2"/>
      <c r="N218" s="74">
        <f>IFERROR(__xludf.DUMMYFUNCTION("""COMPUTED_VALUE"""),45380.0)</f>
        <v>45380</v>
      </c>
      <c r="O218" s="74">
        <f>IFERROR(__xludf.DUMMYFUNCTION("""COMPUTED_VALUE"""),45385.0)</f>
        <v>45385</v>
      </c>
      <c r="P218" s="2">
        <f>IFERROR(__xludf.DUMMYFUNCTION("""COMPUTED_VALUE"""),18842.0)</f>
        <v>18842</v>
      </c>
      <c r="Q218" s="2" t="str">
        <f>IFERROR(__xludf.DUMMYFUNCTION("""COMPUTED_VALUE"""),"KMC5825 AERFPV0206")</f>
        <v>KMC5825 AERFPV0206</v>
      </c>
      <c r="R218" s="2" t="str">
        <f>IFERROR(__xludf.DUMMYFUNCTION("""COMPUTED_VALUE"""),"RTS100136")</f>
        <v>RTS100136</v>
      </c>
      <c r="S218" s="2" t="str">
        <f>IFERROR(__xludf.DUMMYFUNCTION("""COMPUTED_VALUE"""),"R-SERIES 168 PH")</f>
        <v>R-SERIES 168 PH</v>
      </c>
      <c r="T218" s="2" t="str">
        <f>IFERROR(__xludf.DUMMYFUNCTION("""COMPUTED_VALUE"""),"LSGW1750 RMP 24010118")</f>
        <v>LSGW1750 RMP 24010118</v>
      </c>
      <c r="U218" s="2" t="str">
        <f>IFERROR(__xludf.DUMMYFUNCTION("""COMPUTED_VALUE"""),"WDP40 RMP 24020213")</f>
        <v>WDP40 RMP 24020213</v>
      </c>
      <c r="V218" s="2"/>
      <c r="W218" s="2" t="str">
        <f>IFERROR(__xludf.DUMMYFUNCTION("""COMPUTED_VALUE"""),"VL103D")</f>
        <v>VL103D</v>
      </c>
      <c r="X218" s="2">
        <f>IFERROR(__xludf.DUMMYFUNCTION("""COMPUTED_VALUE"""),8.69066060246486E14)</f>
        <v>869066060246486</v>
      </c>
      <c r="Y218" s="2">
        <f>IFERROR(__xludf.DUMMYFUNCTION("""COMPUTED_VALUE"""),9.624244955E9)</f>
        <v>9624244955</v>
      </c>
      <c r="Z218" s="2"/>
      <c r="AA218" s="2"/>
      <c r="AB218" s="2" t="str">
        <f>IFERROR(__xludf.DUMMYFUNCTION("""COMPUTED_VALUE"""),"d4saguday")</f>
        <v>d4saguday</v>
      </c>
    </row>
    <row r="219">
      <c r="A219" s="2" t="str">
        <f>IFERROR(__xludf.DUMMYFUNCTION("""COMPUTED_VALUE"""),"TT00217")</f>
        <v>TT00217</v>
      </c>
      <c r="B219" s="2" t="str">
        <f>IFERROR(__xludf.DUMMYFUNCTION("""COMPUTED_VALUE"""),"Completed")</f>
        <v>Completed</v>
      </c>
      <c r="C219" s="2" t="str">
        <f>IFERROR(__xludf.DUMMYFUNCTION("""COMPUTED_VALUE"""),"FOR BILLING L9")</f>
        <v>FOR BILLING L9</v>
      </c>
      <c r="D219" s="2" t="str">
        <f>IFERROR(__xludf.DUMMYFUNCTION("""COMPUTED_VALUE"""),"SADIRI IRRIGATORS ASSOCIATION, INC.")</f>
        <v>SADIRI IRRIGATORS ASSOCIATION, INC.</v>
      </c>
      <c r="E219" s="2" t="str">
        <f>IFERROR(__xludf.DUMMYFUNCTION("""COMPUTED_VALUE"""),"Santa Monica, Echague, ISABELA")</f>
        <v>Santa Monica, Echague, ISABELA</v>
      </c>
      <c r="F219" s="2" t="str">
        <f>IFERROR(__xludf.DUMMYFUNCTION("""COMPUTED_VALUE"""),"Junar M. Lagmay")</f>
        <v>Junar M. Lagmay</v>
      </c>
      <c r="G219" s="2" t="str">
        <f>IFERROR(__xludf.DUMMYFUNCTION("""COMPUTED_VALUE"""),"0949-370-8604")</f>
        <v>0949-370-8604</v>
      </c>
      <c r="H219" s="2"/>
      <c r="I219" s="2"/>
      <c r="J219" s="2"/>
      <c r="K219" s="2" t="str">
        <f>IFERROR(__xludf.DUMMYFUNCTION("""COMPUTED_VALUE"""),"RCEF 23-09-21 Rebidding")</f>
        <v>RCEF 23-09-21 Rebidding</v>
      </c>
      <c r="L219" s="2">
        <f>IFERROR(__xludf.DUMMYFUNCTION("""COMPUTED_VALUE"""),9.0)</f>
        <v>9</v>
      </c>
      <c r="M219" s="2"/>
      <c r="N219" s="74">
        <f>IFERROR(__xludf.DUMMYFUNCTION("""COMPUTED_VALUE"""),45380.0)</f>
        <v>45380</v>
      </c>
      <c r="O219" s="74">
        <f>IFERROR(__xludf.DUMMYFUNCTION("""COMPUTED_VALUE"""),45385.0)</f>
        <v>45385</v>
      </c>
      <c r="P219" s="2">
        <f>IFERROR(__xludf.DUMMYFUNCTION("""COMPUTED_VALUE"""),18843.0)</f>
        <v>18843</v>
      </c>
      <c r="Q219" s="2" t="str">
        <f>IFERROR(__xludf.DUMMYFUNCTION("""COMPUTED_VALUE"""),"KMC5825 AKRFPV0292")</f>
        <v>KMC5825 AKRFPV0292</v>
      </c>
      <c r="R219" s="2" t="str">
        <f>IFERROR(__xludf.DUMMYFUNCTION("""COMPUTED_VALUE"""),"RTS100011")</f>
        <v>RTS100011</v>
      </c>
      <c r="S219" s="2" t="str">
        <f>IFERROR(__xludf.DUMMYFUNCTION("""COMPUTED_VALUE"""),"R-SERIES 291 PH")</f>
        <v>R-SERIES 291 PH</v>
      </c>
      <c r="T219" s="2" t="str">
        <f>IFERROR(__xludf.DUMMYFUNCTION("""COMPUTED_VALUE"""),"LSGW1750 RMP 24010060")</f>
        <v>LSGW1750 RMP 24010060</v>
      </c>
      <c r="U219" s="2" t="str">
        <f>IFERROR(__xludf.DUMMYFUNCTION("""COMPUTED_VALUE"""),"WDP40 RMP 24020184")</f>
        <v>WDP40 RMP 24020184</v>
      </c>
      <c r="V219" s="2"/>
      <c r="W219" s="2" t="str">
        <f>IFERROR(__xludf.DUMMYFUNCTION("""COMPUTED_VALUE"""),"VL103D")</f>
        <v>VL103D</v>
      </c>
      <c r="X219" s="2"/>
      <c r="Y219" s="2"/>
      <c r="Z219" s="2"/>
      <c r="AA219" s="2"/>
      <c r="AB219" s="2" t="str">
        <f>IFERROR(__xludf.DUMMYFUNCTION("""COMPUTED_VALUE"""),"sadiriirrig")</f>
        <v>sadiriirrig</v>
      </c>
    </row>
    <row r="220">
      <c r="A220" s="2" t="str">
        <f>IFERROR(__xludf.DUMMYFUNCTION("""COMPUTED_VALUE"""),"TT00218")</f>
        <v>TT00218</v>
      </c>
      <c r="B220" s="2" t="str">
        <f>IFERROR(__xludf.DUMMYFUNCTION("""COMPUTED_VALUE"""),"Completed")</f>
        <v>Completed</v>
      </c>
      <c r="C220" s="2" t="str">
        <f>IFERROR(__xludf.DUMMYFUNCTION("""COMPUTED_VALUE"""),"FOR BILLING L1V2")</f>
        <v>FOR BILLING L1V2</v>
      </c>
      <c r="D220" s="2" t="str">
        <f>IFERROR(__xludf.DUMMYFUNCTION("""COMPUTED_VALUE"""),"CALANIGAN SUR FARMERS ASSOCIATION")</f>
        <v>CALANIGAN SUR FARMERS ASSOCIATION</v>
      </c>
      <c r="E220" s="2" t="str">
        <f>IFERROR(__xludf.DUMMYFUNCTION("""COMPUTED_VALUE"""),"Calanigan Sur, Santo Tomas, ISABELA")</f>
        <v>Calanigan Sur, Santo Tomas, ISABELA</v>
      </c>
      <c r="F220" s="2" t="str">
        <f>IFERROR(__xludf.DUMMYFUNCTION("""COMPUTED_VALUE"""),"Rodolfo A. Galasinao")</f>
        <v>Rodolfo A. Galasinao</v>
      </c>
      <c r="G220" s="2">
        <f>IFERROR(__xludf.DUMMYFUNCTION("""COMPUTED_VALUE"""),9.557994663E9)</f>
        <v>9557994663</v>
      </c>
      <c r="H220" s="2"/>
      <c r="I220" s="2"/>
      <c r="J220" s="2"/>
      <c r="K220" s="2" t="str">
        <f>IFERROR(__xludf.DUMMYFUNCTION("""COMPUTED_VALUE"""),"RCEF 23-09-21 Rebidding")</f>
        <v>RCEF 23-09-21 Rebidding</v>
      </c>
      <c r="L220" s="2" t="str">
        <f>IFERROR(__xludf.DUMMYFUNCTION("""COMPUTED_VALUE"""),"1v2")</f>
        <v>1v2</v>
      </c>
      <c r="M220" s="2"/>
      <c r="N220" s="74">
        <f>IFERROR(__xludf.DUMMYFUNCTION("""COMPUTED_VALUE"""),45380.0)</f>
        <v>45380</v>
      </c>
      <c r="O220" s="74">
        <f>IFERROR(__xludf.DUMMYFUNCTION("""COMPUTED_VALUE"""),45385.0)</f>
        <v>45385</v>
      </c>
      <c r="P220" s="2">
        <f>IFERROR(__xludf.DUMMYFUNCTION("""COMPUTED_VALUE"""),18844.0)</f>
        <v>18844</v>
      </c>
      <c r="Q220" s="2" t="str">
        <f>IFERROR(__xludf.DUMMYFUNCTION("""COMPUTED_VALUE"""),"KMC5825 AJRFPV0200")</f>
        <v>KMC5825 AJRFPV0200</v>
      </c>
      <c r="R220" s="2" t="str">
        <f>IFERROR(__xludf.DUMMYFUNCTION("""COMPUTED_VALUE"""),"RTS100143")</f>
        <v>RTS100143</v>
      </c>
      <c r="S220" s="2" t="str">
        <f>IFERROR(__xludf.DUMMYFUNCTION("""COMPUTED_VALUE"""),"R-SERIES 179 PH")</f>
        <v>R-SERIES 179 PH</v>
      </c>
      <c r="T220" s="2" t="str">
        <f>IFERROR(__xludf.DUMMYFUNCTION("""COMPUTED_VALUE"""),"LSGW1750 RMP 2401-0094")</f>
        <v>LSGW1750 RMP 2401-0094</v>
      </c>
      <c r="U220" s="2" t="str">
        <f>IFERROR(__xludf.DUMMYFUNCTION("""COMPUTED_VALUE"""),"WDP40 RMP 24010069")</f>
        <v>WDP40 RMP 24010069</v>
      </c>
      <c r="V220" s="2"/>
      <c r="W220" s="2" t="str">
        <f>IFERROR(__xludf.DUMMYFUNCTION("""COMPUTED_VALUE"""),"VL103D")</f>
        <v>VL103D</v>
      </c>
      <c r="X220" s="2">
        <f>IFERROR(__xludf.DUMMYFUNCTION("""COMPUTED_VALUE"""),8.69066060237584E14)</f>
        <v>869066060237584</v>
      </c>
      <c r="Y220" s="2">
        <f>IFERROR(__xludf.DUMMYFUNCTION("""COMPUTED_VALUE"""),9.624245414E9)</f>
        <v>9624245414</v>
      </c>
      <c r="Z220" s="2"/>
      <c r="AA220" s="2"/>
      <c r="AB220" s="2" t="str">
        <f>IFERROR(__xludf.DUMMYFUNCTION("""COMPUTED_VALUE"""),"calanigansurfa")</f>
        <v>calanigansurfa</v>
      </c>
    </row>
    <row r="221">
      <c r="A221" s="2" t="str">
        <f>IFERROR(__xludf.DUMMYFUNCTION("""COMPUTED_VALUE"""),"TT00219")</f>
        <v>TT00219</v>
      </c>
      <c r="B221" s="2" t="str">
        <f>IFERROR(__xludf.DUMMYFUNCTION("""COMPUTED_VALUE"""),"Completed")</f>
        <v>Completed</v>
      </c>
      <c r="C221" s="2" t="str">
        <f>IFERROR(__xludf.DUMMYFUNCTION("""COMPUTED_VALUE"""),"FOR BILLING L1V2")</f>
        <v>FOR BILLING L1V2</v>
      </c>
      <c r="D221" s="2" t="str">
        <f>IFERROR(__xludf.DUMMYFUNCTION("""COMPUTED_VALUE"""),"RANG-AY FARMERS IRRIGATORS' ASSOCIATION, INC.")</f>
        <v>RANG-AY FARMERS IRRIGATORS' ASSOCIATION, INC.</v>
      </c>
      <c r="E221" s="2" t="str">
        <f>IFERROR(__xludf.DUMMYFUNCTION("""COMPUTED_VALUE"""),"Arcon, Tumauini, ISABELA")</f>
        <v>Arcon, Tumauini, ISABELA</v>
      </c>
      <c r="F221" s="2" t="str">
        <f>IFERROR(__xludf.DUMMYFUNCTION("""COMPUTED_VALUE"""),"ARNEL B. LOZANO")</f>
        <v>ARNEL B. LOZANO</v>
      </c>
      <c r="G221" s="2">
        <f>IFERROR(__xludf.DUMMYFUNCTION("""COMPUTED_VALUE"""),9.368701007E9)</f>
        <v>9368701007</v>
      </c>
      <c r="H221" s="2"/>
      <c r="I221" s="2"/>
      <c r="J221" s="2"/>
      <c r="K221" s="2" t="str">
        <f>IFERROR(__xludf.DUMMYFUNCTION("""COMPUTED_VALUE"""),"RCEF 23-09-21 Rebidding")</f>
        <v>RCEF 23-09-21 Rebidding</v>
      </c>
      <c r="L221" s="2" t="str">
        <f>IFERROR(__xludf.DUMMYFUNCTION("""COMPUTED_VALUE"""),"1v2")</f>
        <v>1v2</v>
      </c>
      <c r="M221" s="2"/>
      <c r="N221" s="74">
        <f>IFERROR(__xludf.DUMMYFUNCTION("""COMPUTED_VALUE"""),45380.0)</f>
        <v>45380</v>
      </c>
      <c r="O221" s="74">
        <f>IFERROR(__xludf.DUMMYFUNCTION("""COMPUTED_VALUE"""),45386.0)</f>
        <v>45386</v>
      </c>
      <c r="P221" s="2">
        <f>IFERROR(__xludf.DUMMYFUNCTION("""COMPUTED_VALUE"""),18845.0)</f>
        <v>18845</v>
      </c>
      <c r="Q221" s="2" t="str">
        <f>IFERROR(__xludf.DUMMYFUNCTION("""COMPUTED_VALUE"""),"KMC5825AARFPV0198")</f>
        <v>KMC5825AARFPV0198</v>
      </c>
      <c r="R221" s="2" t="str">
        <f>IFERROR(__xludf.DUMMYFUNCTION("""COMPUTED_VALUE"""),"RTS100144")</f>
        <v>RTS100144</v>
      </c>
      <c r="S221" s="2" t="str">
        <f>IFERROR(__xludf.DUMMYFUNCTION("""COMPUTED_VALUE"""),"R-SERIES 157 PH")</f>
        <v>R-SERIES 157 PH</v>
      </c>
      <c r="T221" s="2" t="str">
        <f>IFERROR(__xludf.DUMMYFUNCTION("""COMPUTED_VALUE"""),"LSGW1750 RMP 24010101")</f>
        <v>LSGW1750 RMP 24010101</v>
      </c>
      <c r="U221" s="2" t="str">
        <f>IFERROR(__xludf.DUMMYFUNCTION("""COMPUTED_VALUE"""),"WDP40 RMP 24020216")</f>
        <v>WDP40 RMP 24020216</v>
      </c>
      <c r="V221" s="2"/>
      <c r="W221" s="2" t="str">
        <f>IFERROR(__xludf.DUMMYFUNCTION("""COMPUTED_VALUE"""),"VL103D")</f>
        <v>VL103D</v>
      </c>
      <c r="X221" s="2">
        <f>IFERROR(__xludf.DUMMYFUNCTION("""COMPUTED_VALUE"""),8.69066060246189E14)</f>
        <v>869066060246189</v>
      </c>
      <c r="Y221" s="2">
        <f>IFERROR(__xludf.DUMMYFUNCTION("""COMPUTED_VALUE"""),9.624245416E9)</f>
        <v>9624245416</v>
      </c>
      <c r="Z221" s="2"/>
      <c r="AA221" s="2"/>
      <c r="AB221" s="2" t="str">
        <f>IFERROR(__xludf.DUMMYFUNCTION("""COMPUTED_VALUE"""),"rangayirrig")</f>
        <v>rangayirrig</v>
      </c>
    </row>
    <row r="222">
      <c r="A222" s="2" t="str">
        <f>IFERROR(__xludf.DUMMYFUNCTION("""COMPUTED_VALUE"""),"TT00220")</f>
        <v>TT00220</v>
      </c>
      <c r="B222" s="2" t="str">
        <f>IFERROR(__xludf.DUMMYFUNCTION("""COMPUTED_VALUE"""),"Completed")</f>
        <v>Completed</v>
      </c>
      <c r="C222" s="2" t="str">
        <f>IFERROR(__xludf.DUMMYFUNCTION("""COMPUTED_VALUE"""),"FOR BILLING L1V2")</f>
        <v>FOR BILLING L1V2</v>
      </c>
      <c r="D222" s="2" t="str">
        <f>IFERROR(__xludf.DUMMYFUNCTION("""COMPUTED_VALUE"""),"UGAD-SAN MATEO FARMERS IRRIGATORS' ASSOCIATION, INC.")</f>
        <v>UGAD-SAN MATEO FARMERS IRRIGATORS' ASSOCIATION, INC.</v>
      </c>
      <c r="E222" s="2" t="str">
        <f>IFERROR(__xludf.DUMMYFUNCTION("""COMPUTED_VALUE"""),"Ugad, Tumauini, ISABELA")</f>
        <v>Ugad, Tumauini, ISABELA</v>
      </c>
      <c r="F222" s="2" t="str">
        <f>IFERROR(__xludf.DUMMYFUNCTION("""COMPUTED_VALUE"""),"NESTOR P. AMBRE")</f>
        <v>NESTOR P. AMBRE</v>
      </c>
      <c r="G222" s="2">
        <f>IFERROR(__xludf.DUMMYFUNCTION("""COMPUTED_VALUE"""),9.55419461E9)</f>
        <v>9554194610</v>
      </c>
      <c r="H222" s="2"/>
      <c r="I222" s="2"/>
      <c r="J222" s="2"/>
      <c r="K222" s="2" t="str">
        <f>IFERROR(__xludf.DUMMYFUNCTION("""COMPUTED_VALUE"""),"RCEF 23-09-21 Rebidding")</f>
        <v>RCEF 23-09-21 Rebidding</v>
      </c>
      <c r="L222" s="2" t="str">
        <f>IFERROR(__xludf.DUMMYFUNCTION("""COMPUTED_VALUE"""),"1v2")</f>
        <v>1v2</v>
      </c>
      <c r="M222" s="2"/>
      <c r="N222" s="74">
        <f>IFERROR(__xludf.DUMMYFUNCTION("""COMPUTED_VALUE"""),45380.0)</f>
        <v>45380</v>
      </c>
      <c r="O222" s="74">
        <f>IFERROR(__xludf.DUMMYFUNCTION("""COMPUTED_VALUE"""),45385.0)</f>
        <v>45385</v>
      </c>
      <c r="P222" s="2">
        <f>IFERROR(__xludf.DUMMYFUNCTION("""COMPUTED_VALUE"""),18846.0)</f>
        <v>18846</v>
      </c>
      <c r="Q222" s="2" t="str">
        <f>IFERROR(__xludf.DUMMYFUNCTION("""COMPUTED_VALUE"""),"KMC5825 ACRFPV0151")</f>
        <v>KMC5825 ACRFPV0151</v>
      </c>
      <c r="R222" s="2" t="str">
        <f>IFERROR(__xludf.DUMMYFUNCTION("""COMPUTED_VALUE"""),"RTS100095")</f>
        <v>RTS100095</v>
      </c>
      <c r="S222" s="2" t="str">
        <f>IFERROR(__xludf.DUMMYFUNCTION("""COMPUTED_VALUE"""),"R-SERIES 124PH")</f>
        <v>R-SERIES 124PH</v>
      </c>
      <c r="T222" s="2" t="str">
        <f>IFERROR(__xludf.DUMMYFUNCTION("""COMPUTED_VALUE"""),"LSGW1750 RMP 24010105")</f>
        <v>LSGW1750 RMP 24010105</v>
      </c>
      <c r="U222" s="2" t="str">
        <f>IFERROR(__xludf.DUMMYFUNCTION("""COMPUTED_VALUE"""),"WDP40 RMP 24010125")</f>
        <v>WDP40 RMP 24010125</v>
      </c>
      <c r="V222" s="2"/>
      <c r="W222" s="2" t="str">
        <f>IFERROR(__xludf.DUMMYFUNCTION("""COMPUTED_VALUE"""),"VL103D")</f>
        <v>VL103D</v>
      </c>
      <c r="X222" s="2"/>
      <c r="Y222" s="2"/>
      <c r="Z222" s="2"/>
      <c r="AA222" s="2"/>
      <c r="AB222" s="2" t="str">
        <f>IFERROR(__xludf.DUMMYFUNCTION("""COMPUTED_VALUE"""),"ugadsanmateoirrig")</f>
        <v>ugadsanmateoirrig</v>
      </c>
    </row>
    <row r="223">
      <c r="A223" s="2" t="str">
        <f>IFERROR(__xludf.DUMMYFUNCTION("""COMPUTED_VALUE"""),"TT00221")</f>
        <v>TT00221</v>
      </c>
      <c r="B223" s="2" t="str">
        <f>IFERROR(__xludf.DUMMYFUNCTION("""COMPUTED_VALUE"""),"Completed")</f>
        <v>Completed</v>
      </c>
      <c r="C223" s="2" t="str">
        <f>IFERROR(__xludf.DUMMYFUNCTION("""COMPUTED_VALUE"""),"FOR BILLING L1V2")</f>
        <v>FOR BILLING L1V2</v>
      </c>
      <c r="D223" s="2" t="str">
        <f>IFERROR(__xludf.DUMMYFUNCTION("""COMPUTED_VALUE"""),"UPI FARMERS IRRIGATORS ASSOCIATION, INC.")</f>
        <v>UPI FARMERS IRRIGATORS ASSOCIATION, INC.</v>
      </c>
      <c r="E223" s="2" t="str">
        <f>IFERROR(__xludf.DUMMYFUNCTION("""COMPUTED_VALUE"""),"Upi, Gamu, ISABELA")</f>
        <v>Upi, Gamu, ISABELA</v>
      </c>
      <c r="F223" s="2" t="str">
        <f>IFERROR(__xludf.DUMMYFUNCTION("""COMPUTED_VALUE"""),"Nowlin V. Rosiete")</f>
        <v>Nowlin V. Rosiete</v>
      </c>
      <c r="G223" s="2">
        <f>IFERROR(__xludf.DUMMYFUNCTION("""COMPUTED_VALUE"""),9.061565033E9)</f>
        <v>9061565033</v>
      </c>
      <c r="H223" s="2"/>
      <c r="I223" s="2"/>
      <c r="J223" s="2"/>
      <c r="K223" s="2" t="str">
        <f>IFERROR(__xludf.DUMMYFUNCTION("""COMPUTED_VALUE"""),"RCEF 23-09-21 Rebidding")</f>
        <v>RCEF 23-09-21 Rebidding</v>
      </c>
      <c r="L223" s="2" t="str">
        <f>IFERROR(__xludf.DUMMYFUNCTION("""COMPUTED_VALUE"""),"1v2")</f>
        <v>1v2</v>
      </c>
      <c r="M223" s="2"/>
      <c r="N223" s="74">
        <f>IFERROR(__xludf.DUMMYFUNCTION("""COMPUTED_VALUE"""),45380.0)</f>
        <v>45380</v>
      </c>
      <c r="O223" s="74">
        <f>IFERROR(__xludf.DUMMYFUNCTION("""COMPUTED_VALUE"""),45385.0)</f>
        <v>45385</v>
      </c>
      <c r="P223" s="2">
        <f>IFERROR(__xludf.DUMMYFUNCTION("""COMPUTED_VALUE"""),18847.0)</f>
        <v>18847</v>
      </c>
      <c r="Q223" s="2" t="str">
        <f>IFERROR(__xludf.DUMMYFUNCTION("""COMPUTED_VALUE"""),"KMC5825 AKRFPV0261")</f>
        <v>KMC5825 AKRFPV0261</v>
      </c>
      <c r="R223" s="2" t="str">
        <f>IFERROR(__xludf.DUMMYFUNCTION("""COMPUTED_VALUE"""),"RTS100013")</f>
        <v>RTS100013</v>
      </c>
      <c r="S223" s="2" t="str">
        <f>IFERROR(__xludf.DUMMYFUNCTION("""COMPUTED_VALUE"""),"R-SERIES 107 PH")</f>
        <v>R-SERIES 107 PH</v>
      </c>
      <c r="T223" s="2" t="str">
        <f>IFERROR(__xludf.DUMMYFUNCTION("""COMPUTED_VALUE"""),"LSGW1750 RMP 24020522")</f>
        <v>LSGW1750 RMP 24020522</v>
      </c>
      <c r="U223" s="2" t="str">
        <f>IFERROR(__xludf.DUMMYFUNCTION("""COMPUTED_VALUE"""),"WDP40 RMP 24010040")</f>
        <v>WDP40 RMP 24010040</v>
      </c>
      <c r="V223" s="2"/>
      <c r="W223" s="2" t="str">
        <f>IFERROR(__xludf.DUMMYFUNCTION("""COMPUTED_VALUE"""),"VL103D")</f>
        <v>VL103D</v>
      </c>
      <c r="X223" s="2"/>
      <c r="Y223" s="2"/>
      <c r="Z223" s="2"/>
      <c r="AA223" s="2"/>
      <c r="AB223" s="2" t="str">
        <f>IFERROR(__xludf.DUMMYFUNCTION("""COMPUTED_VALUE"""),"upiirrig")</f>
        <v>upiirrig</v>
      </c>
    </row>
    <row r="224">
      <c r="A224" s="2" t="str">
        <f>IFERROR(__xludf.DUMMYFUNCTION("""COMPUTED_VALUE"""),"TT00222")</f>
        <v>TT00222</v>
      </c>
      <c r="B224" s="2" t="str">
        <f>IFERROR(__xludf.DUMMYFUNCTION("""COMPUTED_VALUE"""),"Completed")</f>
        <v>Completed</v>
      </c>
      <c r="C224" s="2" t="str">
        <f>IFERROR(__xludf.DUMMYFUNCTION("""COMPUTED_VALUE"""),"FOR BILLING L1V2")</f>
        <v>FOR BILLING L1V2</v>
      </c>
      <c r="D224" s="2" t="str">
        <f>IFERROR(__xludf.DUMMYFUNCTION("""COMPUTED_VALUE"""),"PAYOGA/KAPATAGAN MULTI-PURPOSE COOPERATIVE")</f>
        <v>PAYOGA/KAPATAGAN MULTI-PURPOSE COOPERATIVE</v>
      </c>
      <c r="E224" s="2" t="str">
        <f>IFERROR(__xludf.DUMMYFUNCTION("""COMPUTED_VALUE"""),"Guibang, Gamu, ISABELA")</f>
        <v>Guibang, Gamu, ISABELA</v>
      </c>
      <c r="F224" s="2" t="str">
        <f>IFERROR(__xludf.DUMMYFUNCTION("""COMPUTED_VALUE"""),"Julie F. Madrid")</f>
        <v>Julie F. Madrid</v>
      </c>
      <c r="G224" s="2" t="str">
        <f>IFERROR(__xludf.DUMMYFUNCTION("""COMPUTED_VALUE"""),"0956-096-5954")</f>
        <v>0956-096-5954</v>
      </c>
      <c r="H224" s="2"/>
      <c r="I224" s="2"/>
      <c r="J224" s="2"/>
      <c r="K224" s="2" t="str">
        <f>IFERROR(__xludf.DUMMYFUNCTION("""COMPUTED_VALUE"""),"RCEF 23-09-21 Rebidding")</f>
        <v>RCEF 23-09-21 Rebidding</v>
      </c>
      <c r="L224" s="2" t="str">
        <f>IFERROR(__xludf.DUMMYFUNCTION("""COMPUTED_VALUE"""),"1v2")</f>
        <v>1v2</v>
      </c>
      <c r="M224" s="2"/>
      <c r="N224" s="74">
        <f>IFERROR(__xludf.DUMMYFUNCTION("""COMPUTED_VALUE"""),45380.0)</f>
        <v>45380</v>
      </c>
      <c r="O224" s="74">
        <f>IFERROR(__xludf.DUMMYFUNCTION("""COMPUTED_VALUE"""),45385.0)</f>
        <v>45385</v>
      </c>
      <c r="P224" s="2">
        <f>IFERROR(__xludf.DUMMYFUNCTION("""COMPUTED_VALUE"""),18848.0)</f>
        <v>18848</v>
      </c>
      <c r="Q224" s="2" t="str">
        <f>IFERROR(__xludf.DUMMYFUNCTION("""COMPUTED_VALUE"""),"KMC5825 ACRFPV0241")</f>
        <v>KMC5825 ACRFPV0241</v>
      </c>
      <c r="R224" s="2" t="str">
        <f>IFERROR(__xludf.DUMMYFUNCTION("""COMPUTED_VALUE"""),"RTS100005")</f>
        <v>RTS100005</v>
      </c>
      <c r="S224" s="2" t="str">
        <f>IFERROR(__xludf.DUMMYFUNCTION("""COMPUTED_VALUE"""),"R-SERIES 177 PH")</f>
        <v>R-SERIES 177 PH</v>
      </c>
      <c r="T224" s="2" t="str">
        <f>IFERROR(__xludf.DUMMYFUNCTION("""COMPUTED_VALUE"""),"LSGW1750 RMP 24020425")</f>
        <v>LSGW1750 RMP 24020425</v>
      </c>
      <c r="U224" s="2" t="str">
        <f>IFERROR(__xludf.DUMMYFUNCTION("""COMPUTED_VALUE"""),"WDP40 RMP 24010121")</f>
        <v>WDP40 RMP 24010121</v>
      </c>
      <c r="V224" s="2"/>
      <c r="W224" s="2" t="str">
        <f>IFERROR(__xludf.DUMMYFUNCTION("""COMPUTED_VALUE"""),"VL103D")</f>
        <v>VL103D</v>
      </c>
      <c r="X224" s="2"/>
      <c r="Y224" s="2"/>
      <c r="Z224" s="2"/>
      <c r="AA224" s="2"/>
      <c r="AB224" s="2"/>
    </row>
    <row r="225">
      <c r="A225" s="2" t="str">
        <f>IFERROR(__xludf.DUMMYFUNCTION("""COMPUTED_VALUE"""),"TT00223")</f>
        <v>TT00223</v>
      </c>
      <c r="B225" s="2" t="str">
        <f>IFERROR(__xludf.DUMMYFUNCTION("""COMPUTED_VALUE"""),"Completed")</f>
        <v>Completed</v>
      </c>
      <c r="C225" s="2" t="str">
        <f>IFERROR(__xludf.DUMMYFUNCTION("""COMPUTED_VALUE"""),"FOR BILLING L1V2")</f>
        <v>FOR BILLING L1V2</v>
      </c>
      <c r="D225" s="2" t="str">
        <f>IFERROR(__xludf.DUMMYFUNCTION("""COMPUTED_VALUE"""),"TANDUL PILOT IRRIGATORS ASSOCIATION, INC.")</f>
        <v>TANDUL PILOT IRRIGATORS ASSOCIATION, INC.</v>
      </c>
      <c r="E225" s="2" t="str">
        <f>IFERROR(__xludf.DUMMYFUNCTION("""COMPUTED_VALUE"""),"Tandul, Cabatuan, ISABELA")</f>
        <v>Tandul, Cabatuan, ISABELA</v>
      </c>
      <c r="F225" s="2" t="str">
        <f>IFERROR(__xludf.DUMMYFUNCTION("""COMPUTED_VALUE"""),"RONALD DORIA")</f>
        <v>RONALD DORIA</v>
      </c>
      <c r="G225" s="2">
        <f>IFERROR(__xludf.DUMMYFUNCTION("""COMPUTED_VALUE"""),9.650481496E9)</f>
        <v>9650481496</v>
      </c>
      <c r="H225" s="2"/>
      <c r="I225" s="2"/>
      <c r="J225" s="2"/>
      <c r="K225" s="2" t="str">
        <f>IFERROR(__xludf.DUMMYFUNCTION("""COMPUTED_VALUE"""),"RCEF 23-09-21 Rebidding")</f>
        <v>RCEF 23-09-21 Rebidding</v>
      </c>
      <c r="L225" s="2" t="str">
        <f>IFERROR(__xludf.DUMMYFUNCTION("""COMPUTED_VALUE"""),"1v2")</f>
        <v>1v2</v>
      </c>
      <c r="M225" s="2"/>
      <c r="N225" s="74">
        <f>IFERROR(__xludf.DUMMYFUNCTION("""COMPUTED_VALUE"""),45380.0)</f>
        <v>45380</v>
      </c>
      <c r="O225" s="74">
        <f>IFERROR(__xludf.DUMMYFUNCTION("""COMPUTED_VALUE"""),45385.0)</f>
        <v>45385</v>
      </c>
      <c r="P225" s="2">
        <f>IFERROR(__xludf.DUMMYFUNCTION("""COMPUTED_VALUE"""),18849.0)</f>
        <v>18849</v>
      </c>
      <c r="Q225" s="2" t="str">
        <f>IFERROR(__xludf.DUMMYFUNCTION("""COMPUTED_VALUE"""),"KMC5825 AERFPV0240")</f>
        <v>KMC5825 AERFPV0240</v>
      </c>
      <c r="R225" s="2" t="str">
        <f>IFERROR(__xludf.DUMMYFUNCTION("""COMPUTED_VALUE"""),"RTS100049")</f>
        <v>RTS100049</v>
      </c>
      <c r="S225" s="2" t="str">
        <f>IFERROR(__xludf.DUMMYFUNCTION("""COMPUTED_VALUE"""),"R-SERIES 294PH")</f>
        <v>R-SERIES 294PH</v>
      </c>
      <c r="T225" s="2" t="str">
        <f>IFERROR(__xludf.DUMMYFUNCTION("""COMPUTED_VALUE"""),"LSGW1750 RMP 24020423")</f>
        <v>LSGW1750 RMP 24020423</v>
      </c>
      <c r="U225" s="2" t="str">
        <f>IFERROR(__xludf.DUMMYFUNCTION("""COMPUTED_VALUE"""),"WDP40 RMP 24010116")</f>
        <v>WDP40 RMP 24010116</v>
      </c>
      <c r="V225" s="2"/>
      <c r="W225" s="2" t="str">
        <f>IFERROR(__xludf.DUMMYFUNCTION("""COMPUTED_VALUE"""),"VL103D")</f>
        <v>VL103D</v>
      </c>
      <c r="X225" s="2"/>
      <c r="Y225" s="2"/>
      <c r="Z225" s="2"/>
      <c r="AA225" s="2"/>
      <c r="AB225" s="2"/>
    </row>
    <row r="226">
      <c r="A226" s="2" t="str">
        <f>IFERROR(__xludf.DUMMYFUNCTION("""COMPUTED_VALUE"""),"TT00224")</f>
        <v>TT00224</v>
      </c>
      <c r="B226" s="2" t="str">
        <f>IFERROR(__xludf.DUMMYFUNCTION("""COMPUTED_VALUE"""),"Completed")</f>
        <v>Completed</v>
      </c>
      <c r="C226" s="2" t="str">
        <f>IFERROR(__xludf.DUMMYFUNCTION("""COMPUTED_VALUE"""),"FOR BILLING L1V2")</f>
        <v>FOR BILLING L1V2</v>
      </c>
      <c r="D226" s="2" t="str">
        <f>IFERROR(__xludf.DUMMYFUNCTION("""COMPUTED_VALUE"""),"KABALIKAT IRRIGATORS ASSOCIATION, INC.")</f>
        <v>KABALIKAT IRRIGATORS ASSOCIATION, INC.</v>
      </c>
      <c r="E226" s="2" t="str">
        <f>IFERROR(__xludf.DUMMYFUNCTION("""COMPUTED_VALUE"""),"Rizaluna (Rizaluna Oeste), Cordon, ISABELA")</f>
        <v>Rizaluna (Rizaluna Oeste), Cordon, ISABELA</v>
      </c>
      <c r="F226" s="2" t="str">
        <f>IFERROR(__xludf.DUMMYFUNCTION("""COMPUTED_VALUE"""),"Virgilio N. Retotal, Jr.")</f>
        <v>Virgilio N. Retotal, Jr.</v>
      </c>
      <c r="G226" s="2">
        <f>IFERROR(__xludf.DUMMYFUNCTION("""COMPUTED_VALUE"""),9.168462142E9)</f>
        <v>9168462142</v>
      </c>
      <c r="H226" s="2"/>
      <c r="I226" s="2"/>
      <c r="J226" s="2"/>
      <c r="K226" s="2" t="str">
        <f>IFERROR(__xludf.DUMMYFUNCTION("""COMPUTED_VALUE"""),"RCEF 23-09-21 Rebidding")</f>
        <v>RCEF 23-09-21 Rebidding</v>
      </c>
      <c r="L226" s="2" t="str">
        <f>IFERROR(__xludf.DUMMYFUNCTION("""COMPUTED_VALUE"""),"1v2")</f>
        <v>1v2</v>
      </c>
      <c r="M226" s="2"/>
      <c r="N226" s="74">
        <f>IFERROR(__xludf.DUMMYFUNCTION("""COMPUTED_VALUE"""),45380.0)</f>
        <v>45380</v>
      </c>
      <c r="O226" s="74">
        <f>IFERROR(__xludf.DUMMYFUNCTION("""COMPUTED_VALUE"""),45385.0)</f>
        <v>45385</v>
      </c>
      <c r="P226" s="2">
        <f>IFERROR(__xludf.DUMMYFUNCTION("""COMPUTED_VALUE"""),18850.0)</f>
        <v>18850</v>
      </c>
      <c r="Q226" s="2" t="str">
        <f>IFERROR(__xludf.DUMMYFUNCTION("""COMPUTED_VALUE"""),"KMC5825 ACRFPV02246")</f>
        <v>KMC5825 ACRFPV02246</v>
      </c>
      <c r="R226" s="2" t="str">
        <f>IFERROR(__xludf.DUMMYFUNCTION("""COMPUTED_VALUE"""),"RTS100006")</f>
        <v>RTS100006</v>
      </c>
      <c r="S226" s="2" t="str">
        <f>IFERROR(__xludf.DUMMYFUNCTION("""COMPUTED_VALUE"""),"R-SERIES 121 PH")</f>
        <v>R-SERIES 121 PH</v>
      </c>
      <c r="T226" s="2" t="str">
        <f>IFERROR(__xludf.DUMMYFUNCTION("""COMPUTED_VALUE"""),"LSGW1750 RMP 24020424")</f>
        <v>LSGW1750 RMP 24020424</v>
      </c>
      <c r="U226" s="2" t="str">
        <f>IFERROR(__xludf.DUMMYFUNCTION("""COMPUTED_VALUE"""),"WDP40 RMP 24010144")</f>
        <v>WDP40 RMP 24010144</v>
      </c>
      <c r="V226" s="2"/>
      <c r="W226" s="2" t="str">
        <f>IFERROR(__xludf.DUMMYFUNCTION("""COMPUTED_VALUE"""),"VL103D")</f>
        <v>VL103D</v>
      </c>
      <c r="X226" s="2"/>
      <c r="Y226" s="2"/>
      <c r="Z226" s="2"/>
      <c r="AA226" s="2"/>
      <c r="AB226" s="2"/>
    </row>
    <row r="227">
      <c r="A227" s="2" t="str">
        <f>IFERROR(__xludf.DUMMYFUNCTION("""COMPUTED_VALUE"""),"TT00225")</f>
        <v>TT00225</v>
      </c>
      <c r="B227" s="2" t="str">
        <f>IFERROR(__xludf.DUMMYFUNCTION("""COMPUTED_VALUE"""),"Completed")</f>
        <v>Completed</v>
      </c>
      <c r="C227" s="2" t="str">
        <f>IFERROR(__xludf.DUMMYFUNCTION("""COMPUTED_VALUE"""),"FOR BILLING L1V2")</f>
        <v>FOR BILLING L1V2</v>
      </c>
      <c r="D227" s="2" t="str">
        <f>IFERROR(__xludf.DUMMYFUNCTION("""COMPUTED_VALUE"""),"BANDUS IRRIGATORS ASSOCIATION, INC.")</f>
        <v>BANDUS IRRIGATORS ASSOCIATION, INC.</v>
      </c>
      <c r="E227" s="2" t="str">
        <f>IFERROR(__xludf.DUMMYFUNCTION("""COMPUTED_VALUE"""),"Divisoria, Santiago City, ISABELA")</f>
        <v>Divisoria, Santiago City, ISABELA</v>
      </c>
      <c r="F227" s="2" t="str">
        <f>IFERROR(__xludf.DUMMYFUNCTION("""COMPUTED_VALUE"""),"Celestino S. Soliven")</f>
        <v>Celestino S. Soliven</v>
      </c>
      <c r="G227" s="2">
        <f>IFERROR(__xludf.DUMMYFUNCTION("""COMPUTED_VALUE"""),9.352477197E9)</f>
        <v>9352477197</v>
      </c>
      <c r="H227" s="2"/>
      <c r="I227" s="2"/>
      <c r="J227" s="2"/>
      <c r="K227" s="2" t="str">
        <f>IFERROR(__xludf.DUMMYFUNCTION("""COMPUTED_VALUE"""),"RCEF 23-09-21 Rebidding")</f>
        <v>RCEF 23-09-21 Rebidding</v>
      </c>
      <c r="L227" s="2" t="str">
        <f>IFERROR(__xludf.DUMMYFUNCTION("""COMPUTED_VALUE"""),"1v2")</f>
        <v>1v2</v>
      </c>
      <c r="M227" s="2"/>
      <c r="N227" s="74">
        <f>IFERROR(__xludf.DUMMYFUNCTION("""COMPUTED_VALUE"""),45380.0)</f>
        <v>45380</v>
      </c>
      <c r="O227" s="74">
        <f>IFERROR(__xludf.DUMMYFUNCTION("""COMPUTED_VALUE"""),45385.0)</f>
        <v>45385</v>
      </c>
      <c r="P227" s="2">
        <f>IFERROR(__xludf.DUMMYFUNCTION("""COMPUTED_VALUE"""),18851.0)</f>
        <v>18851</v>
      </c>
      <c r="Q227" s="2" t="str">
        <f>IFERROR(__xludf.DUMMYFUNCTION("""COMPUTED_VALUE"""),"KMC5825 ALRFPV0218")</f>
        <v>KMC5825 ALRFPV0218</v>
      </c>
      <c r="R227" s="2" t="str">
        <f>IFERROR(__xludf.DUMMYFUNCTION("""COMPUTED_VALUE"""),"RTS100080")</f>
        <v>RTS100080</v>
      </c>
      <c r="S227" s="2" t="str">
        <f>IFERROR(__xludf.DUMMYFUNCTION("""COMPUTED_VALUE"""),"R-SERIES 174 PH")</f>
        <v>R-SERIES 174 PH</v>
      </c>
      <c r="T227" s="2" t="str">
        <f>IFERROR(__xludf.DUMMYFUNCTION("""COMPUTED_VALUE"""),"LSGW1750 RMP 24020520")</f>
        <v>LSGW1750 RMP 24020520</v>
      </c>
      <c r="U227" s="2" t="str">
        <f>IFERROR(__xludf.DUMMYFUNCTION("""COMPUTED_VALUE"""),"WDP40 RMP 24010142")</f>
        <v>WDP40 RMP 24010142</v>
      </c>
      <c r="V227" s="2"/>
      <c r="W227" s="2" t="str">
        <f>IFERROR(__xludf.DUMMYFUNCTION("""COMPUTED_VALUE"""),"VL103D")</f>
        <v>VL103D</v>
      </c>
      <c r="X227" s="2"/>
      <c r="Y227" s="2"/>
      <c r="Z227" s="2"/>
      <c r="AA227" s="2"/>
      <c r="AB227" s="2"/>
    </row>
    <row r="228">
      <c r="A228" s="2" t="str">
        <f>IFERROR(__xludf.DUMMYFUNCTION("""COMPUTED_VALUE"""),"TT00226")</f>
        <v>TT00226</v>
      </c>
      <c r="B228" s="2" t="str">
        <f>IFERROR(__xludf.DUMMYFUNCTION("""COMPUTED_VALUE"""),"Completed")</f>
        <v>Completed</v>
      </c>
      <c r="C228" s="2" t="str">
        <f>IFERROR(__xludf.DUMMYFUNCTION("""COMPUTED_VALUE"""),"FOR BILLING L1V2")</f>
        <v>FOR BILLING L1V2</v>
      </c>
      <c r="D228" s="2" t="str">
        <f>IFERROR(__xludf.DUMMYFUNCTION("""COMPUTED_VALUE"""),"SAN JOSE SUR FARMERS IRRIGATORS ASSOCIATION, INC.")</f>
        <v>SAN JOSE SUR FARMERS IRRIGATORS ASSOCIATION, INC.</v>
      </c>
      <c r="E228" s="2" t="str">
        <f>IFERROR(__xludf.DUMMYFUNCTION("""COMPUTED_VALUE"""),"San Jose Sur, Mallig, ISABELA")</f>
        <v>San Jose Sur, Mallig, ISABELA</v>
      </c>
      <c r="F228" s="2" t="str">
        <f>IFERROR(__xludf.DUMMYFUNCTION("""COMPUTED_VALUE"""),"Ambrocio S. Villanueva")</f>
        <v>Ambrocio S. Villanueva</v>
      </c>
      <c r="G228" s="2" t="str">
        <f>IFERROR(__xludf.DUMMYFUNCTION("""COMPUTED_VALUE"""),"0975-053-5117")</f>
        <v>0975-053-5117</v>
      </c>
      <c r="H228" s="2"/>
      <c r="I228" s="2"/>
      <c r="J228" s="2"/>
      <c r="K228" s="2" t="str">
        <f>IFERROR(__xludf.DUMMYFUNCTION("""COMPUTED_VALUE"""),"RCEF 23-09-21 Rebidding")</f>
        <v>RCEF 23-09-21 Rebidding</v>
      </c>
      <c r="L228" s="2" t="str">
        <f>IFERROR(__xludf.DUMMYFUNCTION("""COMPUTED_VALUE"""),"1v2")</f>
        <v>1v2</v>
      </c>
      <c r="M228" s="2"/>
      <c r="N228" s="2"/>
      <c r="O228" s="2"/>
      <c r="P228" s="2"/>
      <c r="Q228" s="2"/>
      <c r="R228" s="2"/>
      <c r="S228" s="2"/>
      <c r="T228" s="2"/>
      <c r="U228" s="2"/>
      <c r="V228" s="2"/>
      <c r="W228" s="2" t="str">
        <f>IFERROR(__xludf.DUMMYFUNCTION("""COMPUTED_VALUE"""),"VL103D")</f>
        <v>VL103D</v>
      </c>
      <c r="X228" s="2">
        <f>IFERROR(__xludf.DUMMYFUNCTION("""COMPUTED_VALUE"""),8.6906606024651E14)</f>
        <v>869066060246510</v>
      </c>
      <c r="Y228" s="2">
        <f>IFERROR(__xludf.DUMMYFUNCTION("""COMPUTED_VALUE"""),9.624247761E9)</f>
        <v>9624247761</v>
      </c>
      <c r="Z228" s="2"/>
      <c r="AA228" s="2"/>
      <c r="AB228" s="2"/>
    </row>
    <row r="229">
      <c r="A229" s="2" t="str">
        <f>IFERROR(__xludf.DUMMYFUNCTION("""COMPUTED_VALUE"""),"TT00227")</f>
        <v>TT00227</v>
      </c>
      <c r="B229" s="2" t="str">
        <f>IFERROR(__xludf.DUMMYFUNCTION("""COMPUTED_VALUE"""),"Completed")</f>
        <v>Completed</v>
      </c>
      <c r="C229" s="2" t="str">
        <f>IFERROR(__xludf.DUMMYFUNCTION("""COMPUTED_VALUE"""),"FOR BILLING L1V2")</f>
        <v>FOR BILLING L1V2</v>
      </c>
      <c r="D229" s="2" t="str">
        <f>IFERROR(__xludf.DUMMYFUNCTION("""COMPUTED_VALUE"""),"SOLID ALLIANCE OF NEIGHBORS FOR DEVELOPMENT THROUGH IRRIGATOS ASSOCIATION AND TECHNOLOGY (SANDIAT) COUNCIL OF IRRIGATORS ASSOCIATION, INC.")</f>
        <v>SOLID ALLIANCE OF NEIGHBORS FOR DEVELOPMENT THROUGH IRRIGATOS ASSOCIATION AND TECHNOLOGY (SANDIAT) COUNCIL OF IRRIGATORS ASSOCIATION, INC.</v>
      </c>
      <c r="E229" s="2" t="str">
        <f>IFERROR(__xludf.DUMMYFUNCTION("""COMPUTED_VALUE"""),"District 1 (Pob.), San Manuel (Callang), ISABELA")</f>
        <v>District 1 (Pob.), San Manuel (Callang), ISABELA</v>
      </c>
      <c r="F229" s="2" t="str">
        <f>IFERROR(__xludf.DUMMYFUNCTION("""COMPUTED_VALUE"""),"Guillermo P. Ignacio")</f>
        <v>Guillermo P. Ignacio</v>
      </c>
      <c r="G229" s="2">
        <f>IFERROR(__xludf.DUMMYFUNCTION("""COMPUTED_VALUE"""),9.156339108E9)</f>
        <v>9156339108</v>
      </c>
      <c r="H229" s="2"/>
      <c r="I229" s="2"/>
      <c r="J229" s="2"/>
      <c r="K229" s="2" t="str">
        <f>IFERROR(__xludf.DUMMYFUNCTION("""COMPUTED_VALUE"""),"RCEF 23-09-21 Rebidding")</f>
        <v>RCEF 23-09-21 Rebidding</v>
      </c>
      <c r="L229" s="2" t="str">
        <f>IFERROR(__xludf.DUMMYFUNCTION("""COMPUTED_VALUE"""),"1v2")</f>
        <v>1v2</v>
      </c>
      <c r="M229" s="2"/>
      <c r="N229" s="74">
        <f>IFERROR(__xludf.DUMMYFUNCTION("""COMPUTED_VALUE"""),45380.0)</f>
        <v>45380</v>
      </c>
      <c r="O229" s="74">
        <f>IFERROR(__xludf.DUMMYFUNCTION("""COMPUTED_VALUE"""),45385.0)</f>
        <v>45385</v>
      </c>
      <c r="P229" s="2">
        <f>IFERROR(__xludf.DUMMYFUNCTION("""COMPUTED_VALUE"""),18853.0)</f>
        <v>18853</v>
      </c>
      <c r="Q229" s="2" t="str">
        <f>IFERROR(__xludf.DUMMYFUNCTION("""COMPUTED_VALUE"""),"KMC5825 ALRFPV0168")</f>
        <v>KMC5825 ALRFPV0168</v>
      </c>
      <c r="R229" s="2" t="str">
        <f>IFERROR(__xludf.DUMMYFUNCTION("""COMPUTED_VALUE"""),"RTS100109")</f>
        <v>RTS100109</v>
      </c>
      <c r="S229" s="2" t="str">
        <f>IFERROR(__xludf.DUMMYFUNCTION("""COMPUTED_VALUE"""),"R-SERIES 279 PH")</f>
        <v>R-SERIES 279 PH</v>
      </c>
      <c r="T229" s="2" t="str">
        <f>IFERROR(__xludf.DUMMYFUNCTION("""COMPUTED_VALUE"""),"LSGW1750 RMP 24010129")</f>
        <v>LSGW1750 RMP 24010129</v>
      </c>
      <c r="U229" s="2" t="str">
        <f>IFERROR(__xludf.DUMMYFUNCTION("""COMPUTED_VALUE"""),"WDP40 RMP 24010149")</f>
        <v>WDP40 RMP 24010149</v>
      </c>
      <c r="V229" s="2"/>
      <c r="W229" s="2" t="str">
        <f>IFERROR(__xludf.DUMMYFUNCTION("""COMPUTED_VALUE"""),"VL103D")</f>
        <v>VL103D</v>
      </c>
      <c r="X229" s="2"/>
      <c r="Y229" s="2"/>
      <c r="Z229" s="2"/>
      <c r="AA229" s="2"/>
      <c r="AB229" s="2"/>
    </row>
    <row r="230">
      <c r="A230" s="2" t="str">
        <f>IFERROR(__xludf.DUMMYFUNCTION("""COMPUTED_VALUE"""),"TT00228")</f>
        <v>TT00228</v>
      </c>
      <c r="B230" s="2" t="str">
        <f>IFERROR(__xludf.DUMMYFUNCTION("""COMPUTED_VALUE"""),"Completed")</f>
        <v>Completed</v>
      </c>
      <c r="C230" s="2" t="str">
        <f>IFERROR(__xludf.DUMMYFUNCTION("""COMPUTED_VALUE"""),"FOR BILLING L1V2")</f>
        <v>FOR BILLING L1V2</v>
      </c>
      <c r="D230" s="2" t="str">
        <f>IFERROR(__xludf.DUMMYFUNCTION("""COMPUTED_VALUE"""),"VILLA DY IRRIGATORS ASSOCIATION, INC.")</f>
        <v>VILLA DY IRRIGATORS ASSOCIATION, INC.</v>
      </c>
      <c r="E230" s="2"/>
      <c r="F230" s="2" t="str">
        <f>IFERROR(__xludf.DUMMYFUNCTION("""COMPUTED_VALUE"""),"Antonio G. Ramos")</f>
        <v>Antonio G. Ramos</v>
      </c>
      <c r="G230" s="2">
        <f>IFERROR(__xludf.DUMMYFUNCTION("""COMPUTED_VALUE"""),9.752000043E9)</f>
        <v>9752000043</v>
      </c>
      <c r="H230" s="2"/>
      <c r="I230" s="2"/>
      <c r="J230" s="2"/>
      <c r="K230" s="2" t="str">
        <f>IFERROR(__xludf.DUMMYFUNCTION("""COMPUTED_VALUE"""),"RCEF 23-09-21 Rebidding")</f>
        <v>RCEF 23-09-21 Rebidding</v>
      </c>
      <c r="L230" s="2" t="str">
        <f>IFERROR(__xludf.DUMMYFUNCTION("""COMPUTED_VALUE"""),"1v2")</f>
        <v>1v2</v>
      </c>
      <c r="M230" s="2"/>
      <c r="N230" s="74">
        <f>IFERROR(__xludf.DUMMYFUNCTION("""COMPUTED_VALUE"""),45380.0)</f>
        <v>45380</v>
      </c>
      <c r="O230" s="74">
        <f>IFERROR(__xludf.DUMMYFUNCTION("""COMPUTED_VALUE"""),45385.0)</f>
        <v>45385</v>
      </c>
      <c r="P230" s="2">
        <f>IFERROR(__xludf.DUMMYFUNCTION("""COMPUTED_VALUE"""),18854.0)</f>
        <v>18854</v>
      </c>
      <c r="Q230" s="2" t="str">
        <f>IFERROR(__xludf.DUMMYFUNCTION("""COMPUTED_VALUE"""),"KMC5825 AARFPV0203")</f>
        <v>KMC5825 AARFPV0203</v>
      </c>
      <c r="R230" s="2" t="str">
        <f>IFERROR(__xludf.DUMMYFUNCTION("""COMPUTED_VALUE"""),"RTS100137")</f>
        <v>RTS100137</v>
      </c>
      <c r="S230" s="2" t="str">
        <f>IFERROR(__xludf.DUMMYFUNCTION("""COMPUTED_VALUE"""),"R-SERIES 290 PH")</f>
        <v>R-SERIES 290 PH</v>
      </c>
      <c r="T230" s="2" t="str">
        <f>IFERROR(__xludf.DUMMYFUNCTION("""COMPUTED_VALUE"""),"LSGW1750 RMP 240010102")</f>
        <v>LSGW1750 RMP 240010102</v>
      </c>
      <c r="U230" s="2" t="str">
        <f>IFERROR(__xludf.DUMMYFUNCTION("""COMPUTED_VALUE"""),"WDP40 RMP 24010111")</f>
        <v>WDP40 RMP 24010111</v>
      </c>
      <c r="V230" s="2"/>
      <c r="W230" s="2" t="str">
        <f>IFERROR(__xludf.DUMMYFUNCTION("""COMPUTED_VALUE"""),"VL103D")</f>
        <v>VL103D</v>
      </c>
      <c r="X230" s="2">
        <f>IFERROR(__xludf.DUMMYFUNCTION("""COMPUTED_VALUE"""),8.69066060246452E14)</f>
        <v>869066060246452</v>
      </c>
      <c r="Y230" s="2">
        <f>IFERROR(__xludf.DUMMYFUNCTION("""COMPUTED_VALUE"""),9.624245398E9)</f>
        <v>9624245398</v>
      </c>
      <c r="Z230" s="2"/>
      <c r="AA230" s="2"/>
      <c r="AB230" s="2"/>
    </row>
    <row r="231">
      <c r="A231" s="2" t="str">
        <f>IFERROR(__xludf.DUMMYFUNCTION("""COMPUTED_VALUE"""),"TT00229")</f>
        <v>TT00229</v>
      </c>
      <c r="B231" s="2" t="str">
        <f>IFERROR(__xludf.DUMMYFUNCTION("""COMPUTED_VALUE"""),"Completed")</f>
        <v>Completed</v>
      </c>
      <c r="C231" s="2" t="str">
        <f>IFERROR(__xludf.DUMMYFUNCTION("""COMPUTED_VALUE"""),"FOR BILLING L1V2")</f>
        <v>FOR BILLING L1V2</v>
      </c>
      <c r="D231" s="2" t="str">
        <f>IFERROR(__xludf.DUMMYFUNCTION("""COMPUTED_VALUE"""),"Echague Development Cooperative")</f>
        <v>Echague Development Cooperative</v>
      </c>
      <c r="E231" s="2" t="str">
        <f>IFERROR(__xludf.DUMMYFUNCTION("""COMPUTED_VALUE"""),"Silauan Norte (Pob.), Echague, ISABELA")</f>
        <v>Silauan Norte (Pob.), Echague, ISABELA</v>
      </c>
      <c r="F231" s="2" t="str">
        <f>IFERROR(__xludf.DUMMYFUNCTION("""COMPUTED_VALUE"""),"Lily B. Dumaliang")</f>
        <v>Lily B. Dumaliang</v>
      </c>
      <c r="G231" s="2">
        <f>IFERROR(__xludf.DUMMYFUNCTION("""COMPUTED_VALUE"""),9.178828339E9)</f>
        <v>9178828339</v>
      </c>
      <c r="H231" s="2"/>
      <c r="I231" s="2"/>
      <c r="J231" s="2"/>
      <c r="K231" s="2" t="str">
        <f>IFERROR(__xludf.DUMMYFUNCTION("""COMPUTED_VALUE"""),"RCEF 23-09-21 Rebidding")</f>
        <v>RCEF 23-09-21 Rebidding</v>
      </c>
      <c r="L231" s="2" t="str">
        <f>IFERROR(__xludf.DUMMYFUNCTION("""COMPUTED_VALUE"""),"1v2")</f>
        <v>1v2</v>
      </c>
      <c r="M231" s="2"/>
      <c r="N231" s="2"/>
      <c r="O231" s="2"/>
      <c r="P231" s="2"/>
      <c r="Q231" s="2"/>
      <c r="R231" s="2"/>
      <c r="S231" s="2"/>
      <c r="T231" s="2"/>
      <c r="U231" s="2"/>
      <c r="V231" s="2"/>
      <c r="W231" s="2" t="str">
        <f>IFERROR(__xludf.DUMMYFUNCTION("""COMPUTED_VALUE"""),"VL103D")</f>
        <v>VL103D</v>
      </c>
      <c r="X231" s="2"/>
      <c r="Y231" s="2"/>
      <c r="Z231" s="2"/>
      <c r="AA231" s="2"/>
      <c r="AB231" s="2"/>
    </row>
    <row r="232">
      <c r="A232" s="2" t="str">
        <f>IFERROR(__xludf.DUMMYFUNCTION("""COMPUTED_VALUE"""),"TT00230")</f>
        <v>TT00230</v>
      </c>
      <c r="B232" s="2" t="str">
        <f>IFERROR(__xludf.DUMMYFUNCTION("""COMPUTED_VALUE"""),"Completed")</f>
        <v>Completed</v>
      </c>
      <c r="C232" s="2" t="str">
        <f>IFERROR(__xludf.DUMMYFUNCTION("""COMPUTED_VALUE"""),"FOR BILLING L9")</f>
        <v>FOR BILLING L9</v>
      </c>
      <c r="D232" s="2" t="str">
        <f>IFERROR(__xludf.DUMMYFUNCTION("""COMPUTED_VALUE"""),"TAGA SAN MARCOS IRRIGATORS' ASSOCIATION, INC.")</f>
        <v>TAGA SAN MARCOS IRRIGATORS' ASSOCIATION, INC.</v>
      </c>
      <c r="E232" s="2" t="str">
        <f>IFERROR(__xludf.DUMMYFUNCTION("""COMPUTED_VALUE"""),"San Marcos, Cabarroguis, QUIRINO")</f>
        <v>San Marcos, Cabarroguis, QUIRINO</v>
      </c>
      <c r="F232" s="2" t="str">
        <f>IFERROR(__xludf.DUMMYFUNCTION("""COMPUTED_VALUE"""),"Rolando M. Pagarigan")</f>
        <v>Rolando M. Pagarigan</v>
      </c>
      <c r="G232" s="2">
        <f>IFERROR(__xludf.DUMMYFUNCTION("""COMPUTED_VALUE"""),9.16178501E9)</f>
        <v>9161785010</v>
      </c>
      <c r="H232" s="2"/>
      <c r="I232" s="2"/>
      <c r="J232" s="2"/>
      <c r="K232" s="2" t="str">
        <f>IFERROR(__xludf.DUMMYFUNCTION("""COMPUTED_VALUE"""),"RCEF 23-09-21 Rebidding")</f>
        <v>RCEF 23-09-21 Rebidding</v>
      </c>
      <c r="L232" s="2">
        <f>IFERROR(__xludf.DUMMYFUNCTION("""COMPUTED_VALUE"""),9.0)</f>
        <v>9</v>
      </c>
      <c r="M232" s="2"/>
      <c r="N232" s="74">
        <f>IFERROR(__xludf.DUMMYFUNCTION("""COMPUTED_VALUE"""),45380.0)</f>
        <v>45380</v>
      </c>
      <c r="O232" s="74">
        <f>IFERROR(__xludf.DUMMYFUNCTION("""COMPUTED_VALUE"""),45387.0)</f>
        <v>45387</v>
      </c>
      <c r="P232" s="2">
        <f>IFERROR(__xludf.DUMMYFUNCTION("""COMPUTED_VALUE"""),18822.0)</f>
        <v>18822</v>
      </c>
      <c r="Q232" s="2" t="str">
        <f>IFERROR(__xludf.DUMMYFUNCTION("""COMPUTED_VALUE"""),"KMC5825 ACRFPV0255")</f>
        <v>KMC5825 ACRFPV0255</v>
      </c>
      <c r="R232" s="2" t="str">
        <f>IFERROR(__xludf.DUMMYFUNCTION("""COMPUTED_VALUE"""),"RTS100023")</f>
        <v>RTS100023</v>
      </c>
      <c r="S232" s="2" t="str">
        <f>IFERROR(__xludf.DUMMYFUNCTION("""COMPUTED_VALUE"""),"R-SERIES 125 PH")</f>
        <v>R-SERIES 125 PH</v>
      </c>
      <c r="T232" s="2" t="str">
        <f>IFERROR(__xludf.DUMMYFUNCTION("""COMPUTED_VALUE"""),"LSGW1750 RMP 24010193")</f>
        <v>LSGW1750 RMP 24010193</v>
      </c>
      <c r="U232" s="2" t="str">
        <f>IFERROR(__xludf.DUMMYFUNCTION("""COMPUTED_VALUE"""),"WDP40 RMP 24010131")</f>
        <v>WDP40 RMP 24010131</v>
      </c>
      <c r="V232" s="2"/>
      <c r="W232" s="2" t="str">
        <f>IFERROR(__xludf.DUMMYFUNCTION("""COMPUTED_VALUE"""),"VL103D")</f>
        <v>VL103D</v>
      </c>
      <c r="X232" s="2">
        <f>IFERROR(__xludf.DUMMYFUNCTION("""COMPUTED_VALUE"""),8.69066060241818E14)</f>
        <v>869066060241818</v>
      </c>
      <c r="Y232" s="2">
        <f>IFERROR(__xludf.DUMMYFUNCTION("""COMPUTED_VALUE"""),9.081100685E9)</f>
        <v>9081100685</v>
      </c>
      <c r="Z232" s="2"/>
      <c r="AA232" s="2"/>
      <c r="AB232" s="2"/>
    </row>
    <row r="233">
      <c r="A233" s="2" t="str">
        <f>IFERROR(__xludf.DUMMYFUNCTION("""COMPUTED_VALUE"""),"TT00231")</f>
        <v>TT00231</v>
      </c>
      <c r="B233" s="2" t="str">
        <f>IFERROR(__xludf.DUMMYFUNCTION("""COMPUTED_VALUE"""),"Completed")</f>
        <v>Completed</v>
      </c>
      <c r="C233" s="2" t="str">
        <f>IFERROR(__xludf.DUMMYFUNCTION("""COMPUTED_VALUE"""),"FOR BILLING L9")</f>
        <v>FOR BILLING L9</v>
      </c>
      <c r="D233" s="2" t="str">
        <f>IFERROR(__xludf.DUMMYFUNCTION("""COMPUTED_VALUE"""),"VILLAGUNDA IRRIGATORS ASSOCIATION INC.")</f>
        <v>VILLAGUNDA IRRIGATORS ASSOCIATION INC.</v>
      </c>
      <c r="E233" s="2" t="str">
        <f>IFERROR(__xludf.DUMMYFUNCTION("""COMPUTED_VALUE"""),"Gundaway (Pob.), Cabarroguis, QUIRINO")</f>
        <v>Gundaway (Pob.), Cabarroguis, QUIRINO</v>
      </c>
      <c r="F233" s="2" t="str">
        <f>IFERROR(__xludf.DUMMYFUNCTION("""COMPUTED_VALUE"""),"Eduardo A. Abad Jr.")</f>
        <v>Eduardo A. Abad Jr.</v>
      </c>
      <c r="G233" s="2">
        <f>IFERROR(__xludf.DUMMYFUNCTION("""COMPUTED_VALUE"""),9.369684918E9)</f>
        <v>9369684918</v>
      </c>
      <c r="H233" s="2"/>
      <c r="I233" s="2"/>
      <c r="J233" s="2"/>
      <c r="K233" s="2" t="str">
        <f>IFERROR(__xludf.DUMMYFUNCTION("""COMPUTED_VALUE"""),"RCEF 23-09-21 Rebidding")</f>
        <v>RCEF 23-09-21 Rebidding</v>
      </c>
      <c r="L233" s="2">
        <f>IFERROR(__xludf.DUMMYFUNCTION("""COMPUTED_VALUE"""),9.0)</f>
        <v>9</v>
      </c>
      <c r="M233" s="2"/>
      <c r="N233" s="74">
        <f>IFERROR(__xludf.DUMMYFUNCTION("""COMPUTED_VALUE"""),45380.0)</f>
        <v>45380</v>
      </c>
      <c r="O233" s="74">
        <f>IFERROR(__xludf.DUMMYFUNCTION("""COMPUTED_VALUE"""),45387.0)</f>
        <v>45387</v>
      </c>
      <c r="P233" s="2">
        <f>IFERROR(__xludf.DUMMYFUNCTION("""COMPUTED_VALUE"""),18823.0)</f>
        <v>18823</v>
      </c>
      <c r="Q233" s="2" t="str">
        <f>IFERROR(__xludf.DUMMYFUNCTION("""COMPUTED_VALUE"""),"KMC5825 APRFPV0159")</f>
        <v>KMC5825 APRFPV0159</v>
      </c>
      <c r="R233" s="2" t="str">
        <f>IFERROR(__xludf.DUMMYFUNCTION("""COMPUTED_VALUE"""),"RTS100015")</f>
        <v>RTS100015</v>
      </c>
      <c r="S233" s="2" t="str">
        <f>IFERROR(__xludf.DUMMYFUNCTION("""COMPUTED_VALUE"""),"R-SERIES 272 PH")</f>
        <v>R-SERIES 272 PH</v>
      </c>
      <c r="T233" s="2" t="str">
        <f>IFERROR(__xludf.DUMMYFUNCTION("""COMPUTED_VALUE"""),"LSGW1750 RMP 24010112")</f>
        <v>LSGW1750 RMP 24010112</v>
      </c>
      <c r="U233" s="2" t="str">
        <f>IFERROR(__xludf.DUMMYFUNCTION("""COMPUTED_VALUE"""),"WDP40 RMP 24010169")</f>
        <v>WDP40 RMP 24010169</v>
      </c>
      <c r="V233" s="2"/>
      <c r="W233" s="2" t="str">
        <f>IFERROR(__xludf.DUMMYFUNCTION("""COMPUTED_VALUE"""),"VL103D")</f>
        <v>VL103D</v>
      </c>
      <c r="X233" s="2">
        <f>IFERROR(__xludf.DUMMYFUNCTION("""COMPUTED_VALUE"""),8.69066060236917E14)</f>
        <v>869066060236917</v>
      </c>
      <c r="Y233" s="2">
        <f>IFERROR(__xludf.DUMMYFUNCTION("""COMPUTED_VALUE"""),9.087198846E9)</f>
        <v>9087198846</v>
      </c>
      <c r="Z233" s="2"/>
      <c r="AA233" s="2"/>
      <c r="AB233" s="2"/>
    </row>
    <row r="234">
      <c r="A234" s="2" t="str">
        <f>IFERROR(__xludf.DUMMYFUNCTION("""COMPUTED_VALUE"""),"TT00232")</f>
        <v>TT00232</v>
      </c>
      <c r="B234" s="2" t="str">
        <f>IFERROR(__xludf.DUMMYFUNCTION("""COMPUTED_VALUE"""),"Completed")</f>
        <v>Completed</v>
      </c>
      <c r="C234" s="2" t="str">
        <f>IFERROR(__xludf.DUMMYFUNCTION("""COMPUTED_VALUE"""),"FOR BILLING L9")</f>
        <v>FOR BILLING L9</v>
      </c>
      <c r="D234" s="2" t="str">
        <f>IFERROR(__xludf.DUMMYFUNCTION("""COMPUTED_VALUE"""),"Balagbag Farmers Association")</f>
        <v>Balagbag Farmers Association</v>
      </c>
      <c r="E234" s="2" t="str">
        <f>IFERROR(__xludf.DUMMYFUNCTION("""COMPUTED_VALUE"""),"Balagbag, Diffun, QUIRINO")</f>
        <v>Balagbag, Diffun, QUIRINO</v>
      </c>
      <c r="F234" s="2" t="str">
        <f>IFERROR(__xludf.DUMMYFUNCTION("""COMPUTED_VALUE"""),"Richard G. Macapillar")</f>
        <v>Richard G. Macapillar</v>
      </c>
      <c r="G234" s="2">
        <f>IFERROR(__xludf.DUMMYFUNCTION("""COMPUTED_VALUE"""),9.75557218E9)</f>
        <v>9755572180</v>
      </c>
      <c r="H234" s="2"/>
      <c r="I234" s="2"/>
      <c r="J234" s="2"/>
      <c r="K234" s="2" t="str">
        <f>IFERROR(__xludf.DUMMYFUNCTION("""COMPUTED_VALUE"""),"RCEF 23-09-21 Rebidding")</f>
        <v>RCEF 23-09-21 Rebidding</v>
      </c>
      <c r="L234" s="2">
        <f>IFERROR(__xludf.DUMMYFUNCTION("""COMPUTED_VALUE"""),9.0)</f>
        <v>9</v>
      </c>
      <c r="M234" s="2"/>
      <c r="N234" s="74">
        <f>IFERROR(__xludf.DUMMYFUNCTION("""COMPUTED_VALUE"""),45380.0)</f>
        <v>45380</v>
      </c>
      <c r="O234" s="74">
        <f>IFERROR(__xludf.DUMMYFUNCTION("""COMPUTED_VALUE"""),45387.0)</f>
        <v>45387</v>
      </c>
      <c r="P234" s="2">
        <f>IFERROR(__xludf.DUMMYFUNCTION("""COMPUTED_VALUE"""),18824.0)</f>
        <v>18824</v>
      </c>
      <c r="Q234" s="2" t="str">
        <f>IFERROR(__xludf.DUMMYFUNCTION("""COMPUTED_VALUE"""),"KMC5825 ATRFPV0225")</f>
        <v>KMC5825 ATRFPV0225</v>
      </c>
      <c r="R234" s="2" t="str">
        <f>IFERROR(__xludf.DUMMYFUNCTION("""COMPUTED_VALUE"""),"RTS100042")</f>
        <v>RTS100042</v>
      </c>
      <c r="S234" s="2" t="str">
        <f>IFERROR(__xludf.DUMMYFUNCTION("""COMPUTED_VALUE"""),"R-SERIES 161 PH")</f>
        <v>R-SERIES 161 PH</v>
      </c>
      <c r="T234" s="2" t="str">
        <f>IFERROR(__xludf.DUMMYFUNCTION("""COMPUTED_VALUE"""),"LSGW1750 RMP 24010127")</f>
        <v>LSGW1750 RMP 24010127</v>
      </c>
      <c r="U234" s="2" t="str">
        <f>IFERROR(__xludf.DUMMYFUNCTION("""COMPUTED_VALUE"""),"WDP40 RMP 24010068")</f>
        <v>WDP40 RMP 24010068</v>
      </c>
      <c r="V234" s="2"/>
      <c r="W234" s="2" t="str">
        <f>IFERROR(__xludf.DUMMYFUNCTION("""COMPUTED_VALUE"""),"VL103D")</f>
        <v>VL103D</v>
      </c>
      <c r="X234" s="2">
        <f>IFERROR(__xludf.DUMMYFUNCTION("""COMPUTED_VALUE"""),8.69066060243475E14)</f>
        <v>869066060243475</v>
      </c>
      <c r="Y234" s="2">
        <f>IFERROR(__xludf.DUMMYFUNCTION("""COMPUTED_VALUE"""),9.087671025E9)</f>
        <v>9087671025</v>
      </c>
      <c r="Z234" s="2"/>
      <c r="AA234" s="2"/>
      <c r="AB234" s="2"/>
    </row>
    <row r="235">
      <c r="A235" s="2" t="str">
        <f>IFERROR(__xludf.DUMMYFUNCTION("""COMPUTED_VALUE"""),"TT00233")</f>
        <v>TT00233</v>
      </c>
      <c r="B235" s="2" t="str">
        <f>IFERROR(__xludf.DUMMYFUNCTION("""COMPUTED_VALUE"""),"Completed")</f>
        <v>Completed</v>
      </c>
      <c r="C235" s="2" t="str">
        <f>IFERROR(__xludf.DUMMYFUNCTION("""COMPUTED_VALUE"""),"FOR BILLING L9")</f>
        <v>FOR BILLING L9</v>
      </c>
      <c r="D235" s="2" t="str">
        <f>IFERROR(__xludf.DUMMYFUNCTION("""COMPUTED_VALUE"""),"LUCBAN-GABRIELA IRRIGATORS ASSOCIATION INC.")</f>
        <v>LUCBAN-GABRIELA IRRIGATORS ASSOCIATION INC.</v>
      </c>
      <c r="E235" s="2" t="str">
        <f>IFERROR(__xludf.DUMMYFUNCTION("""COMPUTED_VALUE"""),"Gabriela Silang, Diffun, QUIRINO")</f>
        <v>Gabriela Silang, Diffun, QUIRINO</v>
      </c>
      <c r="F235" s="2" t="str">
        <f>IFERROR(__xludf.DUMMYFUNCTION("""COMPUTED_VALUE"""),"Joseph F. Pascual")</f>
        <v>Joseph F. Pascual</v>
      </c>
      <c r="G235" s="2">
        <f>IFERROR(__xludf.DUMMYFUNCTION("""COMPUTED_VALUE"""),9.261079972E9)</f>
        <v>9261079972</v>
      </c>
      <c r="H235" s="2"/>
      <c r="I235" s="2"/>
      <c r="J235" s="2"/>
      <c r="K235" s="2" t="str">
        <f>IFERROR(__xludf.DUMMYFUNCTION("""COMPUTED_VALUE"""),"RCEF 23-09-21 Rebidding")</f>
        <v>RCEF 23-09-21 Rebidding</v>
      </c>
      <c r="L235" s="2">
        <f>IFERROR(__xludf.DUMMYFUNCTION("""COMPUTED_VALUE"""),9.0)</f>
        <v>9</v>
      </c>
      <c r="M235" s="2"/>
      <c r="N235" s="74">
        <f>IFERROR(__xludf.DUMMYFUNCTION("""COMPUTED_VALUE"""),45380.0)</f>
        <v>45380</v>
      </c>
      <c r="O235" s="74">
        <f>IFERROR(__xludf.DUMMYFUNCTION("""COMPUTED_VALUE"""),45387.0)</f>
        <v>45387</v>
      </c>
      <c r="P235" s="2">
        <f>IFERROR(__xludf.DUMMYFUNCTION("""COMPUTED_VALUE"""),18825.0)</f>
        <v>18825</v>
      </c>
      <c r="Q235" s="2" t="str">
        <f>IFERROR(__xludf.DUMMYFUNCTION("""COMPUTED_VALUE"""),"KMC5825 ACRFPV0215")</f>
        <v>KMC5825 ACRFPV0215</v>
      </c>
      <c r="R235" s="2" t="str">
        <f>IFERROR(__xludf.DUMMYFUNCTION("""COMPUTED_VALUE"""),"PTS100153")</f>
        <v>PTS100153</v>
      </c>
      <c r="S235" s="2" t="str">
        <f>IFERROR(__xludf.DUMMYFUNCTION("""COMPUTED_VALUE"""),"R-SERIES 297 PH")</f>
        <v>R-SERIES 297 PH</v>
      </c>
      <c r="T235" s="2" t="str">
        <f>IFERROR(__xludf.DUMMYFUNCTION("""COMPUTED_VALUE"""),"LSGW1750 RMP 24010130")</f>
        <v>LSGW1750 RMP 24010130</v>
      </c>
      <c r="U235" s="2" t="str">
        <f>IFERROR(__xludf.DUMMYFUNCTION("""COMPUTED_VALUE"""),"WDP40 RMP 24010157")</f>
        <v>WDP40 RMP 24010157</v>
      </c>
      <c r="V235" s="2"/>
      <c r="W235" s="2" t="str">
        <f>IFERROR(__xludf.DUMMYFUNCTION("""COMPUTED_VALUE"""),"VL103D")</f>
        <v>VL103D</v>
      </c>
      <c r="X235" s="2">
        <f>IFERROR(__xludf.DUMMYFUNCTION("""COMPUTED_VALUE"""),8.6906606023741E14)</f>
        <v>869066060237410</v>
      </c>
      <c r="Y235" s="2">
        <f>IFERROR(__xludf.DUMMYFUNCTION("""COMPUTED_VALUE"""),9.087601842E9)</f>
        <v>9087601842</v>
      </c>
      <c r="Z235" s="2"/>
      <c r="AA235" s="2"/>
      <c r="AB235" s="2"/>
    </row>
    <row r="236">
      <c r="A236" s="2" t="str">
        <f>IFERROR(__xludf.DUMMYFUNCTION("""COMPUTED_VALUE"""),"TT00234")</f>
        <v>TT00234</v>
      </c>
      <c r="B236" s="2" t="str">
        <f>IFERROR(__xludf.DUMMYFUNCTION("""COMPUTED_VALUE"""),"Completed")</f>
        <v>Completed</v>
      </c>
      <c r="C236" s="2" t="str">
        <f>IFERROR(__xludf.DUMMYFUNCTION("""COMPUTED_VALUE"""),"FOR BILLING L9")</f>
        <v>FOR BILLING L9</v>
      </c>
      <c r="D236" s="2" t="str">
        <f>IFERROR(__xludf.DUMMYFUNCTION("""COMPUTED_VALUE"""),"Villa Pascua Multi-Purpose Cooperative")</f>
        <v>Villa Pascua Multi-Purpose Cooperative</v>
      </c>
      <c r="E236" s="2" t="str">
        <f>IFERROR(__xludf.DUMMYFUNCTION("""COMPUTED_VALUE"""),"Villa Pascua, Diffun, QUIRINO")</f>
        <v>Villa Pascua, Diffun, QUIRINO</v>
      </c>
      <c r="F236" s="2" t="str">
        <f>IFERROR(__xludf.DUMMYFUNCTION("""COMPUTED_VALUE"""),"Winnie R. Baclig")</f>
        <v>Winnie R. Baclig</v>
      </c>
      <c r="G236" s="2">
        <f>IFERROR(__xludf.DUMMYFUNCTION("""COMPUTED_VALUE"""),9.263910536E9)</f>
        <v>9263910536</v>
      </c>
      <c r="H236" s="2"/>
      <c r="I236" s="2"/>
      <c r="J236" s="2"/>
      <c r="K236" s="2" t="str">
        <f>IFERROR(__xludf.DUMMYFUNCTION("""COMPUTED_VALUE"""),"RCEF 23-09-21 Rebidding")</f>
        <v>RCEF 23-09-21 Rebidding</v>
      </c>
      <c r="L236" s="2">
        <f>IFERROR(__xludf.DUMMYFUNCTION("""COMPUTED_VALUE"""),9.0)</f>
        <v>9</v>
      </c>
      <c r="M236" s="2"/>
      <c r="N236" s="74">
        <f>IFERROR(__xludf.DUMMYFUNCTION("""COMPUTED_VALUE"""),45380.0)</f>
        <v>45380</v>
      </c>
      <c r="O236" s="74">
        <f>IFERROR(__xludf.DUMMYFUNCTION("""COMPUTED_VALUE"""),45387.0)</f>
        <v>45387</v>
      </c>
      <c r="P236" s="2">
        <f>IFERROR(__xludf.DUMMYFUNCTION("""COMPUTED_VALUE"""),18826.0)</f>
        <v>18826</v>
      </c>
      <c r="Q236" s="2" t="str">
        <f>IFERROR(__xludf.DUMMYFUNCTION("""COMPUTED_VALUE"""),"KMC5825 AHRFPV0298")</f>
        <v>KMC5825 AHRFPV0298</v>
      </c>
      <c r="R236" s="2" t="str">
        <f>IFERROR(__xludf.DUMMYFUNCTION("""COMPUTED_VALUE"""),"RTS100043")</f>
        <v>RTS100043</v>
      </c>
      <c r="S236" s="2" t="str">
        <f>IFERROR(__xludf.DUMMYFUNCTION("""COMPUTED_VALUE"""),"R-SERIES 246 PH")</f>
        <v>R-SERIES 246 PH</v>
      </c>
      <c r="T236" s="2" t="str">
        <f>IFERROR(__xludf.DUMMYFUNCTION("""COMPUTED_VALUE"""),"LSGW1750 RMP 24010096")</f>
        <v>LSGW1750 RMP 24010096</v>
      </c>
      <c r="U236" s="2" t="str">
        <f>IFERROR(__xludf.DUMMYFUNCTION("""COMPUTED_VALUE"""),"WDP40 RMP 24010114")</f>
        <v>WDP40 RMP 24010114</v>
      </c>
      <c r="V236" s="2"/>
      <c r="W236" s="2" t="str">
        <f>IFERROR(__xludf.DUMMYFUNCTION("""COMPUTED_VALUE"""),"VL103D")</f>
        <v>VL103D</v>
      </c>
      <c r="X236" s="2">
        <f>IFERROR(__xludf.DUMMYFUNCTION("""COMPUTED_VALUE"""),8.69066060243517E14)</f>
        <v>869066060243517</v>
      </c>
      <c r="Y236" s="2">
        <f>IFERROR(__xludf.DUMMYFUNCTION("""COMPUTED_VALUE"""),9.086606612E9)</f>
        <v>9086606612</v>
      </c>
      <c r="Z236" s="2"/>
      <c r="AA236" s="2"/>
      <c r="AB236" s="2"/>
    </row>
    <row r="237">
      <c r="A237" s="2" t="str">
        <f>IFERROR(__xludf.DUMMYFUNCTION("""COMPUTED_VALUE"""),"TT00235")</f>
        <v>TT00235</v>
      </c>
      <c r="B237" s="2" t="str">
        <f>IFERROR(__xludf.DUMMYFUNCTION("""COMPUTED_VALUE"""),"Completed")</f>
        <v>Completed</v>
      </c>
      <c r="C237" s="2" t="str">
        <f>IFERROR(__xludf.DUMMYFUNCTION("""COMPUTED_VALUE"""),"FOR BILLING L9")</f>
        <v>FOR BILLING L9</v>
      </c>
      <c r="D237" s="2" t="str">
        <f>IFERROR(__xludf.DUMMYFUNCTION("""COMPUTED_VALUE"""),"Cabaruan Main Extension Irrigators Association, Inc.")</f>
        <v>Cabaruan Main Extension Irrigators Association, Inc.</v>
      </c>
      <c r="E237" s="2" t="str">
        <f>IFERROR(__xludf.DUMMYFUNCTION("""COMPUTED_VALUE"""),"Cabaruan, Maddela, QUIRINO")</f>
        <v>Cabaruan, Maddela, QUIRINO</v>
      </c>
      <c r="F237" s="2" t="str">
        <f>IFERROR(__xludf.DUMMYFUNCTION("""COMPUTED_VALUE"""),"Domingo O. Dangkeo")</f>
        <v>Domingo O. Dangkeo</v>
      </c>
      <c r="G237" s="2" t="str">
        <f>IFERROR(__xludf.DUMMYFUNCTION("""COMPUTED_VALUE"""),"0935-725-5563")</f>
        <v>0935-725-5563</v>
      </c>
      <c r="H237" s="2"/>
      <c r="I237" s="2"/>
      <c r="J237" s="2"/>
      <c r="K237" s="2" t="str">
        <f>IFERROR(__xludf.DUMMYFUNCTION("""COMPUTED_VALUE"""),"RCEF 23-09-21 Rebidding")</f>
        <v>RCEF 23-09-21 Rebidding</v>
      </c>
      <c r="L237" s="2">
        <f>IFERROR(__xludf.DUMMYFUNCTION("""COMPUTED_VALUE"""),9.0)</f>
        <v>9</v>
      </c>
      <c r="M237" s="2"/>
      <c r="N237" s="74">
        <f>IFERROR(__xludf.DUMMYFUNCTION("""COMPUTED_VALUE"""),45380.0)</f>
        <v>45380</v>
      </c>
      <c r="O237" s="74">
        <f>IFERROR(__xludf.DUMMYFUNCTION("""COMPUTED_VALUE"""),45387.0)</f>
        <v>45387</v>
      </c>
      <c r="P237" s="2">
        <f>IFERROR(__xludf.DUMMYFUNCTION("""COMPUTED_VALUE"""),18827.0)</f>
        <v>18827</v>
      </c>
      <c r="Q237" s="2" t="str">
        <f>IFERROR(__xludf.DUMMYFUNCTION("""COMPUTED_VALUE"""),"KMC5825 AKRFPV0289")</f>
        <v>KMC5825 AKRFPV0289</v>
      </c>
      <c r="R237" s="2" t="str">
        <f>IFERROR(__xludf.DUMMYFUNCTION("""COMPUTED_VALUE"""),"RTS100022")</f>
        <v>RTS100022</v>
      </c>
      <c r="S237" s="2" t="str">
        <f>IFERROR(__xludf.DUMMYFUNCTION("""COMPUTED_VALUE"""),"R-SERIES 280 PH")</f>
        <v>R-SERIES 280 PH</v>
      </c>
      <c r="T237" s="2" t="str">
        <f>IFERROR(__xludf.DUMMYFUNCTION("""COMPUTED_VALUE"""),"LSGW1750 RMP 24010125")</f>
        <v>LSGW1750 RMP 24010125</v>
      </c>
      <c r="U237" s="2" t="str">
        <f>IFERROR(__xludf.DUMMYFUNCTION("""COMPUTED_VALUE"""),"WDP40 RMP 24010127")</f>
        <v>WDP40 RMP 24010127</v>
      </c>
      <c r="V237" s="2"/>
      <c r="W237" s="2" t="str">
        <f>IFERROR(__xludf.DUMMYFUNCTION("""COMPUTED_VALUE"""),"VL103D")</f>
        <v>VL103D</v>
      </c>
      <c r="X237" s="2">
        <f>IFERROR(__xludf.DUMMYFUNCTION("""COMPUTED_VALUE"""),8.69066060241552E14)</f>
        <v>869066060241552</v>
      </c>
      <c r="Y237" s="2">
        <f>IFERROR(__xludf.DUMMYFUNCTION("""COMPUTED_VALUE"""),9.086634996E9)</f>
        <v>9086634996</v>
      </c>
      <c r="Z237" s="2"/>
      <c r="AA237" s="2"/>
      <c r="AB237" s="2"/>
    </row>
    <row r="238">
      <c r="A238" s="2" t="str">
        <f>IFERROR(__xludf.DUMMYFUNCTION("""COMPUTED_VALUE"""),"TT00236")</f>
        <v>TT00236</v>
      </c>
      <c r="B238" s="2" t="str">
        <f>IFERROR(__xludf.DUMMYFUNCTION("""COMPUTED_VALUE"""),"Completed")</f>
        <v>Completed</v>
      </c>
      <c r="C238" s="2" t="str">
        <f>IFERROR(__xludf.DUMMYFUNCTION("""COMPUTED_VALUE"""),"FOR BILLING L1V2")</f>
        <v>FOR BILLING L1V2</v>
      </c>
      <c r="D238" s="2" t="str">
        <f>IFERROR(__xludf.DUMMYFUNCTION("""COMPUTED_VALUE"""),"DINAIT CAPILLANGAN IRRIGATORS' ASSOCIATION, INC.")</f>
        <v>DINAIT CAPILLANGAN IRRIGATORS' ASSOCIATION, INC.</v>
      </c>
      <c r="E238" s="2" t="str">
        <f>IFERROR(__xludf.DUMMYFUNCTION("""COMPUTED_VALUE"""),"Villamor, Cabarroguis, QUIRINO")</f>
        <v>Villamor, Cabarroguis, QUIRINO</v>
      </c>
      <c r="F238" s="2" t="str">
        <f>IFERROR(__xludf.DUMMYFUNCTION("""COMPUTED_VALUE"""),"Rodrigo C. De Jesus")</f>
        <v>Rodrigo C. De Jesus</v>
      </c>
      <c r="G238" s="2">
        <f>IFERROR(__xludf.DUMMYFUNCTION("""COMPUTED_VALUE"""),9.161864604E9)</f>
        <v>9161864604</v>
      </c>
      <c r="H238" s="2"/>
      <c r="I238" s="2"/>
      <c r="J238" s="2"/>
      <c r="K238" s="2" t="str">
        <f>IFERROR(__xludf.DUMMYFUNCTION("""COMPUTED_VALUE"""),"RCEF 23-09-21 Rebidding")</f>
        <v>RCEF 23-09-21 Rebidding</v>
      </c>
      <c r="L238" s="2" t="str">
        <f>IFERROR(__xludf.DUMMYFUNCTION("""COMPUTED_VALUE"""),"1v2")</f>
        <v>1v2</v>
      </c>
      <c r="M238" s="2"/>
      <c r="N238" s="74">
        <f>IFERROR(__xludf.DUMMYFUNCTION("""COMPUTED_VALUE"""),45380.0)</f>
        <v>45380</v>
      </c>
      <c r="O238" s="74">
        <f>IFERROR(__xludf.DUMMYFUNCTION("""COMPUTED_VALUE"""),45387.0)</f>
        <v>45387</v>
      </c>
      <c r="P238" s="2">
        <f>IFERROR(__xludf.DUMMYFUNCTION("""COMPUTED_VALUE"""),18828.0)</f>
        <v>18828</v>
      </c>
      <c r="Q238" s="2" t="str">
        <f>IFERROR(__xludf.DUMMYFUNCTION("""COMPUTED_VALUE"""),"KMC5825 AKRFPV0096")</f>
        <v>KMC5825 AKRFPV0096</v>
      </c>
      <c r="R238" s="2" t="str">
        <f>IFERROR(__xludf.DUMMYFUNCTION("""COMPUTED_VALUE"""),"PTS100217")</f>
        <v>PTS100217</v>
      </c>
      <c r="S238" s="2" t="str">
        <f>IFERROR(__xludf.DUMMYFUNCTION("""COMPUTED_VALUE"""),"R-SERIES 245 PH")</f>
        <v>R-SERIES 245 PH</v>
      </c>
      <c r="T238" s="2" t="str">
        <f>IFERROR(__xludf.DUMMYFUNCTION("""COMPUTED_VALUE"""),"LSGW1750 RMP24010123")</f>
        <v>LSGW1750 RMP24010123</v>
      </c>
      <c r="U238" s="2" t="str">
        <f>IFERROR(__xludf.DUMMYFUNCTION("""COMPUTED_VALUE"""),"WDP40 RMP 24010039")</f>
        <v>WDP40 RMP 24010039</v>
      </c>
      <c r="V238" s="2"/>
      <c r="W238" s="2" t="str">
        <f>IFERROR(__xludf.DUMMYFUNCTION("""COMPUTED_VALUE"""),"VL103D")</f>
        <v>VL103D</v>
      </c>
      <c r="X238" s="2">
        <f>IFERROR(__xludf.DUMMYFUNCTION("""COMPUTED_VALUE"""),8.69066060237212E14)</f>
        <v>869066060237212</v>
      </c>
      <c r="Y238" s="2">
        <f>IFERROR(__xludf.DUMMYFUNCTION("""COMPUTED_VALUE"""),9.08767101E9)</f>
        <v>9087671010</v>
      </c>
      <c r="Z238" s="2"/>
      <c r="AA238" s="2"/>
      <c r="AB238" s="2"/>
    </row>
    <row r="239">
      <c r="A239" s="2" t="str">
        <f>IFERROR(__xludf.DUMMYFUNCTION("""COMPUTED_VALUE"""),"TT00237")</f>
        <v>TT00237</v>
      </c>
      <c r="B239" s="2" t="str">
        <f>IFERROR(__xludf.DUMMYFUNCTION("""COMPUTED_VALUE"""),"Completed")</f>
        <v>Completed</v>
      </c>
      <c r="C239" s="2" t="str">
        <f>IFERROR(__xludf.DUMMYFUNCTION("""COMPUTED_VALUE"""),"FOR BILLING L1V2")</f>
        <v>FOR BILLING L1V2</v>
      </c>
      <c r="D239" s="2" t="str">
        <f>IFERROR(__xludf.DUMMYFUNCTION("""COMPUTED_VALUE"""),"Diffun Saranay and Development Cooperative (DISADECO)")</f>
        <v>Diffun Saranay and Development Cooperative (DISADECO)</v>
      </c>
      <c r="E239" s="2" t="str">
        <f>IFERROR(__xludf.DUMMYFUNCTION("""COMPUTED_VALUE"""),"Andres Bonifacio (Pob.), Diffun, QUIRINO")</f>
        <v>Andres Bonifacio (Pob.), Diffun, QUIRINO</v>
      </c>
      <c r="F239" s="2" t="str">
        <f>IFERROR(__xludf.DUMMYFUNCTION("""COMPUTED_VALUE"""),"MARCIANA D. FORYASEN")</f>
        <v>MARCIANA D. FORYASEN</v>
      </c>
      <c r="G239" s="2" t="str">
        <f>IFERROR(__xludf.DUMMYFUNCTION("""COMPUTED_VALUE"""),"0927 987 7213 / 09778059766")</f>
        <v>0927 987 7213 / 09778059766</v>
      </c>
      <c r="H239" s="2"/>
      <c r="I239" s="2"/>
      <c r="J239" s="2"/>
      <c r="K239" s="2" t="str">
        <f>IFERROR(__xludf.DUMMYFUNCTION("""COMPUTED_VALUE"""),"RCEF 23-09-21 Rebidding")</f>
        <v>RCEF 23-09-21 Rebidding</v>
      </c>
      <c r="L239" s="2" t="str">
        <f>IFERROR(__xludf.DUMMYFUNCTION("""COMPUTED_VALUE"""),"1v2")</f>
        <v>1v2</v>
      </c>
      <c r="M239" s="2"/>
      <c r="N239" s="74">
        <f>IFERROR(__xludf.DUMMYFUNCTION("""COMPUTED_VALUE"""),45380.0)</f>
        <v>45380</v>
      </c>
      <c r="O239" s="74">
        <f>IFERROR(__xludf.DUMMYFUNCTION("""COMPUTED_VALUE"""),45387.0)</f>
        <v>45387</v>
      </c>
      <c r="P239" s="2">
        <f>IFERROR(__xludf.DUMMYFUNCTION("""COMPUTED_VALUE"""),18829.0)</f>
        <v>18829</v>
      </c>
      <c r="Q239" s="2" t="str">
        <f>IFERROR(__xludf.DUMMYFUNCTION("""COMPUTED_VALUE"""),"KMC5825 AERFPV0156")</f>
        <v>KMC5825 AERFPV0156</v>
      </c>
      <c r="R239" s="2" t="str">
        <f>IFERROR(__xludf.DUMMYFUNCTION("""COMPUTED_VALUE"""),"RTS100133")</f>
        <v>RTS100133</v>
      </c>
      <c r="S239" s="2" t="str">
        <f>IFERROR(__xludf.DUMMYFUNCTION("""COMPUTED_VALUE"""),"R-SERIES 151 PH")</f>
        <v>R-SERIES 151 PH</v>
      </c>
      <c r="T239" s="2" t="str">
        <f>IFERROR(__xludf.DUMMYFUNCTION("""COMPUTED_VALUE"""),"LSGW1750 RMP 24010195")</f>
        <v>LSGW1750 RMP 24010195</v>
      </c>
      <c r="U239" s="2" t="str">
        <f>IFERROR(__xludf.DUMMYFUNCTION("""COMPUTED_VALUE"""),"WDP40 RMP 24010164")</f>
        <v>WDP40 RMP 24010164</v>
      </c>
      <c r="V239" s="2"/>
      <c r="W239" s="2" t="str">
        <f>IFERROR(__xludf.DUMMYFUNCTION("""COMPUTED_VALUE"""),"VL103D")</f>
        <v>VL103D</v>
      </c>
      <c r="X239" s="2">
        <f>IFERROR(__xludf.DUMMYFUNCTION("""COMPUTED_VALUE"""),8.69066060240323E14)</f>
        <v>869066060240323</v>
      </c>
      <c r="Y239" s="2">
        <f>IFERROR(__xludf.DUMMYFUNCTION("""COMPUTED_VALUE"""),9.083021851E9)</f>
        <v>9083021851</v>
      </c>
      <c r="Z239" s="2"/>
      <c r="AA239" s="2"/>
      <c r="AB239" s="2"/>
    </row>
    <row r="240">
      <c r="A240" s="2" t="str">
        <f>IFERROR(__xludf.DUMMYFUNCTION("""COMPUTED_VALUE"""),"TT00238")</f>
        <v>TT00238</v>
      </c>
      <c r="B240" s="2" t="str">
        <f>IFERROR(__xludf.DUMMYFUNCTION("""COMPUTED_VALUE"""),"Completed")</f>
        <v>Completed</v>
      </c>
      <c r="C240" s="2" t="str">
        <f>IFERROR(__xludf.DUMMYFUNCTION("""COMPUTED_VALUE"""),"FOR BILLING L1V2")</f>
        <v>FOR BILLING L1V2</v>
      </c>
      <c r="D240" s="2" t="str">
        <f>IFERROR(__xludf.DUMMYFUNCTION("""COMPUTED_VALUE"""),"Maria Clara Irrigators Agriculture Cooperative")</f>
        <v>Maria Clara Irrigators Agriculture Cooperative</v>
      </c>
      <c r="E240" s="2" t="str">
        <f>IFERROR(__xludf.DUMMYFUNCTION("""COMPUTED_VALUE"""),"Maria Clara, Diffun, QUIRINO")</f>
        <v>Maria Clara, Diffun, QUIRINO</v>
      </c>
      <c r="F240" s="2" t="str">
        <f>IFERROR(__xludf.DUMMYFUNCTION("""COMPUTED_VALUE"""),"Lopito E. Draman")</f>
        <v>Lopito E. Draman</v>
      </c>
      <c r="G240" s="2">
        <f>IFERROR(__xludf.DUMMYFUNCTION("""COMPUTED_VALUE"""),9.177897744E9)</f>
        <v>9177897744</v>
      </c>
      <c r="H240" s="2"/>
      <c r="I240" s="2"/>
      <c r="J240" s="2"/>
      <c r="K240" s="2" t="str">
        <f>IFERROR(__xludf.DUMMYFUNCTION("""COMPUTED_VALUE"""),"RCEF 23-09-21 Rebidding")</f>
        <v>RCEF 23-09-21 Rebidding</v>
      </c>
      <c r="L240" s="2" t="str">
        <f>IFERROR(__xludf.DUMMYFUNCTION("""COMPUTED_VALUE"""),"1v2")</f>
        <v>1v2</v>
      </c>
      <c r="M240" s="2"/>
      <c r="N240" s="74">
        <f>IFERROR(__xludf.DUMMYFUNCTION("""COMPUTED_VALUE"""),45380.0)</f>
        <v>45380</v>
      </c>
      <c r="O240" s="74">
        <f>IFERROR(__xludf.DUMMYFUNCTION("""COMPUTED_VALUE"""),45387.0)</f>
        <v>45387</v>
      </c>
      <c r="P240" s="2">
        <f>IFERROR(__xludf.DUMMYFUNCTION("""COMPUTED_VALUE"""),18830.0)</f>
        <v>18830</v>
      </c>
      <c r="Q240" s="2" t="str">
        <f>IFERROR(__xludf.DUMMYFUNCTION("""COMPUTED_VALUE"""),"KMC5825 ACRFPV0191")</f>
        <v>KMC5825 ACRFPV0191</v>
      </c>
      <c r="R240" s="2" t="str">
        <f>IFERROR(__xludf.DUMMYFUNCTION("""COMPUTED_VALUE"""),"RTS100073")</f>
        <v>RTS100073</v>
      </c>
      <c r="S240" s="2" t="str">
        <f>IFERROR(__xludf.DUMMYFUNCTION("""COMPUTED_VALUE"""),"R-SERIES 277 PH")</f>
        <v>R-SERIES 277 PH</v>
      </c>
      <c r="T240" s="2" t="str">
        <f>IFERROR(__xludf.DUMMYFUNCTION("""COMPUTED_VALUE"""),"LSGW1750 RMP 24010196")</f>
        <v>LSGW1750 RMP 24010196</v>
      </c>
      <c r="U240" s="2" t="str">
        <f>IFERROR(__xludf.DUMMYFUNCTION("""COMPUTED_VALUE"""),"WDP40 RMP 24010124")</f>
        <v>WDP40 RMP 24010124</v>
      </c>
      <c r="V240" s="2"/>
      <c r="W240" s="2" t="str">
        <f>IFERROR(__xludf.DUMMYFUNCTION("""COMPUTED_VALUE"""),"VL103D")</f>
        <v>VL103D</v>
      </c>
      <c r="X240" s="2">
        <f>IFERROR(__xludf.DUMMYFUNCTION("""COMPUTED_VALUE"""),8.69066060238368E14)</f>
        <v>869066060238368</v>
      </c>
      <c r="Y240" s="2">
        <f>IFERROR(__xludf.DUMMYFUNCTION("""COMPUTED_VALUE"""),9.081607637E9)</f>
        <v>9081607637</v>
      </c>
      <c r="Z240" s="2"/>
      <c r="AA240" s="2"/>
      <c r="AB240" s="2"/>
    </row>
    <row r="241">
      <c r="A241" s="2" t="str">
        <f>IFERROR(__xludf.DUMMYFUNCTION("""COMPUTED_VALUE"""),"TT00239")</f>
        <v>TT00239</v>
      </c>
      <c r="B241" s="2" t="str">
        <f>IFERROR(__xludf.DUMMYFUNCTION("""COMPUTED_VALUE"""),"Completed")</f>
        <v>Completed</v>
      </c>
      <c r="C241" s="2" t="str">
        <f>IFERROR(__xludf.DUMMYFUNCTION("""COMPUTED_VALUE"""),"FOR BILLING L1V2")</f>
        <v>FOR BILLING L1V2</v>
      </c>
      <c r="D241" s="2" t="str">
        <f>IFERROR(__xludf.DUMMYFUNCTION("""COMPUTED_VALUE"""),"Pusuac Multi-Purpose Cooperative")</f>
        <v>Pusuac Multi-Purpose Cooperative</v>
      </c>
      <c r="E241" s="2" t="str">
        <f>IFERROR(__xludf.DUMMYFUNCTION("""COMPUTED_VALUE"""),"Andres Bonifacio (Pob.), Diffun, QUIRINO")</f>
        <v>Andres Bonifacio (Pob.), Diffun, QUIRINO</v>
      </c>
      <c r="F241" s="2" t="str">
        <f>IFERROR(__xludf.DUMMYFUNCTION("""COMPUTED_VALUE"""),"Ronald M. Abenoja")</f>
        <v>Ronald M. Abenoja</v>
      </c>
      <c r="G241" s="2" t="str">
        <f>IFERROR(__xludf.DUMMYFUNCTION("""COMPUTED_VALUE"""),"0917 830 8667")</f>
        <v>0917 830 8667</v>
      </c>
      <c r="H241" s="2"/>
      <c r="I241" s="2"/>
      <c r="J241" s="2"/>
      <c r="K241" s="2" t="str">
        <f>IFERROR(__xludf.DUMMYFUNCTION("""COMPUTED_VALUE"""),"RCEF 23-09-21 Rebidding")</f>
        <v>RCEF 23-09-21 Rebidding</v>
      </c>
      <c r="L241" s="2" t="str">
        <f>IFERROR(__xludf.DUMMYFUNCTION("""COMPUTED_VALUE"""),"1v2")</f>
        <v>1v2</v>
      </c>
      <c r="M241" s="2"/>
      <c r="N241" s="74">
        <f>IFERROR(__xludf.DUMMYFUNCTION("""COMPUTED_VALUE"""),45380.0)</f>
        <v>45380</v>
      </c>
      <c r="O241" s="74">
        <f>IFERROR(__xludf.DUMMYFUNCTION("""COMPUTED_VALUE"""),45387.0)</f>
        <v>45387</v>
      </c>
      <c r="P241" s="2">
        <f>IFERROR(__xludf.DUMMYFUNCTION("""COMPUTED_VALUE"""),18831.0)</f>
        <v>18831</v>
      </c>
      <c r="Q241" s="2" t="str">
        <f>IFERROR(__xludf.DUMMYFUNCTION("""COMPUTED_VALUE"""),"KMC5825 ACRFPV0196")</f>
        <v>KMC5825 ACRFPV0196</v>
      </c>
      <c r="R241" s="2" t="str">
        <f>IFERROR(__xludf.DUMMYFUNCTION("""COMPUTED_VALUE"""),"RTS100139")</f>
        <v>RTS100139</v>
      </c>
      <c r="S241" s="2" t="str">
        <f>IFERROR(__xludf.DUMMYFUNCTION("""COMPUTED_VALUE"""),"R-SERIES 282 PH")</f>
        <v>R-SERIES 282 PH</v>
      </c>
      <c r="T241" s="2" t="str">
        <f>IFERROR(__xludf.DUMMYFUNCTION("""COMPUTED_VALUE"""),"LSGW1750 RMP 24010187")</f>
        <v>LSGW1750 RMP 24010187</v>
      </c>
      <c r="U241" s="2" t="str">
        <f>IFERROR(__xludf.DUMMYFUNCTION("""COMPUTED_VALUE"""),"WDP40 RMP 24010056")</f>
        <v>WDP40 RMP 24010056</v>
      </c>
      <c r="V241" s="2"/>
      <c r="W241" s="2" t="str">
        <f>IFERROR(__xludf.DUMMYFUNCTION("""COMPUTED_VALUE"""),"VL103D")</f>
        <v>VL103D</v>
      </c>
      <c r="X241" s="2">
        <f>IFERROR(__xludf.DUMMYFUNCTION("""COMPUTED_VALUE"""),8.69066060244424E14)</f>
        <v>869066060244424</v>
      </c>
      <c r="Y241" s="2">
        <f>IFERROR(__xludf.DUMMYFUNCTION("""COMPUTED_VALUE"""),9.087870947E9)</f>
        <v>9087870947</v>
      </c>
      <c r="Z241" s="2"/>
      <c r="AA241" s="2"/>
      <c r="AB241" s="2"/>
    </row>
    <row r="242">
      <c r="A242" s="2" t="str">
        <f>IFERROR(__xludf.DUMMYFUNCTION("""COMPUTED_VALUE"""),"TT00240")</f>
        <v>TT00240</v>
      </c>
      <c r="B242" s="2" t="str">
        <f>IFERROR(__xludf.DUMMYFUNCTION("""COMPUTED_VALUE"""),"Completed")</f>
        <v>Completed</v>
      </c>
      <c r="C242" s="2" t="str">
        <f>IFERROR(__xludf.DUMMYFUNCTION("""COMPUTED_VALUE"""),"FOR BILLING L1V2")</f>
        <v>FOR BILLING L1V2</v>
      </c>
      <c r="D242" s="2" t="str">
        <f>IFERROR(__xludf.DUMMYFUNCTION("""COMPUTED_VALUE"""),"TAGAD - DIBUL IRRIGATORS' ASSOCIATION, INC.")</f>
        <v>TAGAD - DIBUL IRRIGATORS' ASSOCIATION, INC.</v>
      </c>
      <c r="E242" s="2" t="str">
        <f>IFERROR(__xludf.DUMMYFUNCTION("""COMPUTED_VALUE"""),"Dibul, Saguday, QUIRINO")</f>
        <v>Dibul, Saguday, QUIRINO</v>
      </c>
      <c r="F242" s="2" t="str">
        <f>IFERROR(__xludf.DUMMYFUNCTION("""COMPUTED_VALUE"""),"Ben Betriolo")</f>
        <v>Ben Betriolo</v>
      </c>
      <c r="G242" s="2">
        <f>IFERROR(__xludf.DUMMYFUNCTION("""COMPUTED_VALUE"""),9.557684078E9)</f>
        <v>9557684078</v>
      </c>
      <c r="H242" s="2"/>
      <c r="I242" s="2"/>
      <c r="J242" s="2"/>
      <c r="K242" s="2" t="str">
        <f>IFERROR(__xludf.DUMMYFUNCTION("""COMPUTED_VALUE"""),"RCEF 23-09-21 Rebidding")</f>
        <v>RCEF 23-09-21 Rebidding</v>
      </c>
      <c r="L242" s="2" t="str">
        <f>IFERROR(__xludf.DUMMYFUNCTION("""COMPUTED_VALUE"""),"1v2")</f>
        <v>1v2</v>
      </c>
      <c r="M242" s="2"/>
      <c r="N242" s="74">
        <f>IFERROR(__xludf.DUMMYFUNCTION("""COMPUTED_VALUE"""),45380.0)</f>
        <v>45380</v>
      </c>
      <c r="O242" s="74">
        <f>IFERROR(__xludf.DUMMYFUNCTION("""COMPUTED_VALUE"""),45387.0)</f>
        <v>45387</v>
      </c>
      <c r="P242" s="2">
        <f>IFERROR(__xludf.DUMMYFUNCTION("""COMPUTED_VALUE"""),18832.0)</f>
        <v>18832</v>
      </c>
      <c r="Q242" s="2" t="str">
        <f>IFERROR(__xludf.DUMMYFUNCTION("""COMPUTED_VALUE"""),"KMC5825 AVRFPV0149")</f>
        <v>KMC5825 AVRFPV0149</v>
      </c>
      <c r="R242" s="2" t="str">
        <f>IFERROR(__xludf.DUMMYFUNCTION("""COMPUTED_VALUE"""),"RTS100064")</f>
        <v>RTS100064</v>
      </c>
      <c r="S242" s="2" t="str">
        <f>IFERROR(__xludf.DUMMYFUNCTION("""COMPUTED_VALUE"""),"R-SERIES 285 PH")</f>
        <v>R-SERIES 285 PH</v>
      </c>
      <c r="T242" s="2" t="str">
        <f>IFERROR(__xludf.DUMMYFUNCTION("""COMPUTED_VALUE"""),"LSGW1750 RMP 24010191")</f>
        <v>LSGW1750 RMP 24010191</v>
      </c>
      <c r="U242" s="2" t="str">
        <f>IFERROR(__xludf.DUMMYFUNCTION("""COMPUTED_VALUE"""),"WDP40 RMP 24010140")</f>
        <v>WDP40 RMP 24010140</v>
      </c>
      <c r="V242" s="2"/>
      <c r="W242" s="2" t="str">
        <f>IFERROR(__xludf.DUMMYFUNCTION("""COMPUTED_VALUE"""),"VL103D")</f>
        <v>VL103D</v>
      </c>
      <c r="X242" s="2">
        <f>IFERROR(__xludf.DUMMYFUNCTION("""COMPUTED_VALUE"""),8.69066060238533E14)</f>
        <v>869066060238533</v>
      </c>
      <c r="Y242" s="2">
        <f>IFERROR(__xludf.DUMMYFUNCTION("""COMPUTED_VALUE"""),9.087573044E9)</f>
        <v>9087573044</v>
      </c>
      <c r="Z242" s="2"/>
      <c r="AA242" s="2"/>
      <c r="AB242" s="2"/>
    </row>
    <row r="243">
      <c r="A243" s="2" t="str">
        <f>IFERROR(__xludf.DUMMYFUNCTION("""COMPUTED_VALUE"""),"TT00241")</f>
        <v>TT00241</v>
      </c>
      <c r="B243" s="2" t="str">
        <f>IFERROR(__xludf.DUMMYFUNCTION("""COMPUTED_VALUE"""),"Completed")</f>
        <v>Completed</v>
      </c>
      <c r="C243" s="2" t="str">
        <f>IFERROR(__xludf.DUMMYFUNCTION("""COMPUTED_VALUE"""),"FOR BILLING L9")</f>
        <v>FOR BILLING L9</v>
      </c>
      <c r="D243" s="2" t="str">
        <f>IFERROR(__xludf.DUMMYFUNCTION("""COMPUTED_VALUE"""),"Farmers League Agriculture Cooperative")</f>
        <v>Farmers League Agriculture Cooperative</v>
      </c>
      <c r="E243" s="2" t="str">
        <f>IFERROR(__xludf.DUMMYFUNCTION("""COMPUTED_VALUE"""),"Nagmisahan, Cuyapo, NUEVA ECIJA")</f>
        <v>Nagmisahan, Cuyapo, NUEVA ECIJA</v>
      </c>
      <c r="F243" s="2" t="str">
        <f>IFERROR(__xludf.DUMMYFUNCTION("""COMPUTED_VALUE"""),"Crispin A. Carino")</f>
        <v>Crispin A. Carino</v>
      </c>
      <c r="G243" s="2" t="str">
        <f>IFERROR(__xludf.DUMMYFUNCTION("""COMPUTED_VALUE"""),"0917-717-1446/ 0955-675-6655")</f>
        <v>0917-717-1446/ 0955-675-6655</v>
      </c>
      <c r="H243" s="2"/>
      <c r="I243" s="2"/>
      <c r="J243" s="2"/>
      <c r="K243" s="2" t="str">
        <f>IFERROR(__xludf.DUMMYFUNCTION("""COMPUTED_VALUE"""),"RCEF 23-09-21 Rebidding")</f>
        <v>RCEF 23-09-21 Rebidding</v>
      </c>
      <c r="L243" s="2">
        <f>IFERROR(__xludf.DUMMYFUNCTION("""COMPUTED_VALUE"""),9.0)</f>
        <v>9</v>
      </c>
      <c r="M243" s="2"/>
      <c r="N243" s="74">
        <f>IFERROR(__xludf.DUMMYFUNCTION("""COMPUTED_VALUE"""),45380.0)</f>
        <v>45380</v>
      </c>
      <c r="O243" s="2"/>
      <c r="P243" s="2">
        <f>IFERROR(__xludf.DUMMYFUNCTION("""COMPUTED_VALUE"""),18759.0)</f>
        <v>18759</v>
      </c>
      <c r="Q243" s="2" t="str">
        <f>IFERROR(__xludf.DUMMYFUNCTION("""COMPUTED_VALUE"""),"KMC5825 AARFPV0461")</f>
        <v>KMC5825 AARFPV0461</v>
      </c>
      <c r="R243" s="2" t="str">
        <f>IFERROR(__xludf.DUMMYFUNCTION("""COMPUTED_VALUE"""),"RTS100377")</f>
        <v>RTS100377</v>
      </c>
      <c r="S243" s="2" t="str">
        <f>IFERROR(__xludf.DUMMYFUNCTION("""COMPUTED_VALUE"""),"R-SERIES 392 PH")</f>
        <v>R-SERIES 392 PH</v>
      </c>
      <c r="T243" s="2" t="str">
        <f>IFERROR(__xludf.DUMMYFUNCTION("""COMPUTED_VALUE"""),"LSGW1750 RMP 2312150")</f>
        <v>LSGW1750 RMP 2312150</v>
      </c>
      <c r="U243" s="2" t="str">
        <f>IFERROR(__xludf.DUMMYFUNCTION("""COMPUTED_VALUE"""),"WDP40 WR 24020185")</f>
        <v>WDP40 WR 24020185</v>
      </c>
      <c r="V243" s="2"/>
      <c r="W243" s="2" t="str">
        <f>IFERROR(__xludf.DUMMYFUNCTION("""COMPUTED_VALUE"""),"VL103D")</f>
        <v>VL103D</v>
      </c>
      <c r="X243" s="2">
        <f>IFERROR(__xludf.DUMMYFUNCTION("""COMPUTED_VALUE"""),8.69066060244366E14)</f>
        <v>869066060244366</v>
      </c>
      <c r="Y243" s="2">
        <f>IFERROR(__xludf.DUMMYFUNCTION("""COMPUTED_VALUE"""),9.624607592E9)</f>
        <v>9624607592</v>
      </c>
      <c r="Z243" s="2"/>
      <c r="AA243" s="2"/>
      <c r="AB243" s="2"/>
    </row>
    <row r="244">
      <c r="A244" s="2" t="str">
        <f>IFERROR(__xludf.DUMMYFUNCTION("""COMPUTED_VALUE"""),"TT00242")</f>
        <v>TT00242</v>
      </c>
      <c r="B244" s="2" t="str">
        <f>IFERROR(__xludf.DUMMYFUNCTION("""COMPUTED_VALUE"""),"Completed")</f>
        <v>Completed</v>
      </c>
      <c r="C244" s="2" t="str">
        <f>IFERROR(__xludf.DUMMYFUNCTION("""COMPUTED_VALUE"""),"FOR BILLING L9")</f>
        <v>FOR BILLING L9</v>
      </c>
      <c r="D244" s="2" t="str">
        <f>IFERROR(__xludf.DUMMYFUNCTION("""COMPUTED_VALUE"""),"SAMAHANG MAGSASAKA NG BARANGAY LENNEC")</f>
        <v>SAMAHANG MAGSASAKA NG BARANGAY LENNEC</v>
      </c>
      <c r="E244" s="2" t="str">
        <f>IFERROR(__xludf.DUMMYFUNCTION("""COMPUTED_VALUE"""),"Lennec, Guimba, NUEVA ECIJA")</f>
        <v>Lennec, Guimba, NUEVA ECIJA</v>
      </c>
      <c r="F244" s="2" t="str">
        <f>IFERROR(__xludf.DUMMYFUNCTION("""COMPUTED_VALUE"""),"Avelino T. Matamis")</f>
        <v>Avelino T. Matamis</v>
      </c>
      <c r="G244" s="2" t="str">
        <f>IFERROR(__xludf.DUMMYFUNCTION("""COMPUTED_VALUE"""),"0905-278-8533")</f>
        <v>0905-278-8533</v>
      </c>
      <c r="H244" s="2"/>
      <c r="I244" s="2"/>
      <c r="J244" s="2"/>
      <c r="K244" s="2" t="str">
        <f>IFERROR(__xludf.DUMMYFUNCTION("""COMPUTED_VALUE"""),"RCEF 23-09-21 Rebidding")</f>
        <v>RCEF 23-09-21 Rebidding</v>
      </c>
      <c r="L244" s="2">
        <f>IFERROR(__xludf.DUMMYFUNCTION("""COMPUTED_VALUE"""),9.0)</f>
        <v>9</v>
      </c>
      <c r="M244" s="2"/>
      <c r="N244" s="2"/>
      <c r="O244" s="2"/>
      <c r="P244" s="2">
        <f>IFERROR(__xludf.DUMMYFUNCTION("""COMPUTED_VALUE"""),18760.0)</f>
        <v>18760</v>
      </c>
      <c r="Q244" s="2" t="str">
        <f>IFERROR(__xludf.DUMMYFUNCTION("""COMPUTED_VALUE"""),"KMC5825 AVRFPV0488")</f>
        <v>KMC5825 AVRFPV0488</v>
      </c>
      <c r="R244" s="2" t="str">
        <f>IFERROR(__xludf.DUMMYFUNCTION("""COMPUTED_VALUE"""),"RTS 100389")</f>
        <v>RTS 100389</v>
      </c>
      <c r="S244" s="2" t="str">
        <f>IFERROR(__xludf.DUMMYFUNCTION("""COMPUTED_VALUE"""),"R SERIES 025 PH")</f>
        <v>R SERIES 025 PH</v>
      </c>
      <c r="T244" s="2" t="str">
        <f>IFERROR(__xludf.DUMMYFUNCTION("""COMPUTED_VALUE"""),"LSGW1750 RMP 2312163")</f>
        <v>LSGW1750 RMP 2312163</v>
      </c>
      <c r="U244" s="2" t="str">
        <f>IFERROR(__xludf.DUMMYFUNCTION("""COMPUTED_VALUE"""),"WDP 40 RMP 24020219")</f>
        <v>WDP 40 RMP 24020219</v>
      </c>
      <c r="V244" s="2"/>
      <c r="W244" s="2" t="str">
        <f>IFERROR(__xludf.DUMMYFUNCTION("""COMPUTED_VALUE"""),"VL103D")</f>
        <v>VL103D</v>
      </c>
      <c r="X244" s="2"/>
      <c r="Y244" s="2"/>
      <c r="Z244" s="2"/>
      <c r="AA244" s="2"/>
      <c r="AB244" s="2"/>
    </row>
    <row r="245">
      <c r="A245" s="2" t="str">
        <f>IFERROR(__xludf.DUMMYFUNCTION("""COMPUTED_VALUE"""),"TT00243")</f>
        <v>TT00243</v>
      </c>
      <c r="B245" s="2" t="str">
        <f>IFERROR(__xludf.DUMMYFUNCTION("""COMPUTED_VALUE"""),"Completed")</f>
        <v>Completed</v>
      </c>
      <c r="C245" s="2" t="str">
        <f>IFERROR(__xludf.DUMMYFUNCTION("""COMPUTED_VALUE"""),"FOR BILLING L9")</f>
        <v>FOR BILLING L9</v>
      </c>
      <c r="D245" s="2" t="str">
        <f>IFERROR(__xludf.DUMMYFUNCTION("""COMPUTED_VALUE"""),"YESHUA RICE AND VEGETABLES GROWERS ASSOCIATION OF STA. CRUZ")</f>
        <v>YESHUA RICE AND VEGETABLES GROWERS ASSOCIATION OF STA. CRUZ</v>
      </c>
      <c r="E245" s="2" t="str">
        <f>IFERROR(__xludf.DUMMYFUNCTION("""COMPUTED_VALUE"""),"Santa Cruz, Guimba, NUEVA ECIJA")</f>
        <v>Santa Cruz, Guimba, NUEVA ECIJA</v>
      </c>
      <c r="F245" s="2" t="str">
        <f>IFERROR(__xludf.DUMMYFUNCTION("""COMPUTED_VALUE"""),"Maura Ocampo")</f>
        <v>Maura Ocampo</v>
      </c>
      <c r="G245" s="2" t="str">
        <f>IFERROR(__xludf.DUMMYFUNCTION("""COMPUTED_VALUE"""),"0991-497-1562")</f>
        <v>0991-497-1562</v>
      </c>
      <c r="H245" s="2"/>
      <c r="I245" s="2"/>
      <c r="J245" s="2"/>
      <c r="K245" s="2" t="str">
        <f>IFERROR(__xludf.DUMMYFUNCTION("""COMPUTED_VALUE"""),"RCEF 23-09-21 Rebidding")</f>
        <v>RCEF 23-09-21 Rebidding</v>
      </c>
      <c r="L245" s="2">
        <f>IFERROR(__xludf.DUMMYFUNCTION("""COMPUTED_VALUE"""),9.0)</f>
        <v>9</v>
      </c>
      <c r="M245" s="2"/>
      <c r="N245" s="2"/>
      <c r="O245" s="2"/>
      <c r="P245" s="2"/>
      <c r="Q245" s="2" t="str">
        <f>IFERROR(__xludf.DUMMYFUNCTION("""COMPUTED_VALUE"""),"KMC5825 ACRFPV0501")</f>
        <v>KMC5825 ACRFPV0501</v>
      </c>
      <c r="R245" s="2" t="str">
        <f>IFERROR(__xludf.DUMMYFUNCTION("""COMPUTED_VALUE"""),"RTS 100422")</f>
        <v>RTS 100422</v>
      </c>
      <c r="S245" s="2" t="str">
        <f>IFERROR(__xludf.DUMMYFUNCTION("""COMPUTED_VALUE"""),"R SERIES 125 PH")</f>
        <v>R SERIES 125 PH</v>
      </c>
      <c r="T245" s="2" t="str">
        <f>IFERROR(__xludf.DUMMYFUNCTION("""COMPUTED_VALUE"""),"LSGW1750 RMP 2312179")</f>
        <v>LSGW1750 RMP 2312179</v>
      </c>
      <c r="U245" s="2" t="str">
        <f>IFERROR(__xludf.DUMMYFUNCTION("""COMPUTED_VALUE"""),"WDP 40 RMP 24020219")</f>
        <v>WDP 40 RMP 24020219</v>
      </c>
      <c r="V245" s="2"/>
      <c r="W245" s="2" t="str">
        <f>IFERROR(__xludf.DUMMYFUNCTION("""COMPUTED_VALUE"""),"VL103D")</f>
        <v>VL103D</v>
      </c>
      <c r="X245" s="2">
        <f>IFERROR(__xludf.DUMMYFUNCTION("""COMPUTED_VALUE"""),8.6906606024081E14)</f>
        <v>869066060240810</v>
      </c>
      <c r="Y245" s="2">
        <f>IFERROR(__xludf.DUMMYFUNCTION("""COMPUTED_VALUE"""),9.460153447E9)</f>
        <v>9460153447</v>
      </c>
      <c r="Z245" s="2"/>
      <c r="AA245" s="2"/>
      <c r="AB245" s="2"/>
    </row>
    <row r="246">
      <c r="A246" s="2" t="str">
        <f>IFERROR(__xludf.DUMMYFUNCTION("""COMPUTED_VALUE"""),"TT00244")</f>
        <v>TT00244</v>
      </c>
      <c r="B246" s="2" t="str">
        <f>IFERROR(__xludf.DUMMYFUNCTION("""COMPUTED_VALUE"""),"Completed")</f>
        <v>Completed</v>
      </c>
      <c r="C246" s="2" t="str">
        <f>IFERROR(__xludf.DUMMYFUNCTION("""COMPUTED_VALUE"""),"FOR BILLING L9")</f>
        <v>FOR BILLING L9</v>
      </c>
      <c r="D246" s="2" t="str">
        <f>IFERROR(__xludf.DUMMYFUNCTION("""COMPUTED_VALUE"""),"CASMINALUN IRRIGATORS' ASSOCIATION, INC.")</f>
        <v>CASMINALUN IRRIGATORS' ASSOCIATION, INC.</v>
      </c>
      <c r="E246" s="2" t="str">
        <f>IFERROR(__xludf.DUMMYFUNCTION("""COMPUTED_VALUE"""),"Casile, Llanera, NUEVA ECIJA")</f>
        <v>Casile, Llanera, NUEVA ECIJA</v>
      </c>
      <c r="F246" s="2" t="str">
        <f>IFERROR(__xludf.DUMMYFUNCTION("""COMPUTED_VALUE"""),"Leoncio Victoria")</f>
        <v>Leoncio Victoria</v>
      </c>
      <c r="G246" s="2" t="str">
        <f>IFERROR(__xludf.DUMMYFUNCTION("""COMPUTED_VALUE"""),"0933-951-2647")</f>
        <v>0933-951-2647</v>
      </c>
      <c r="H246" s="2"/>
      <c r="I246" s="2"/>
      <c r="J246" s="2"/>
      <c r="K246" s="2" t="str">
        <f>IFERROR(__xludf.DUMMYFUNCTION("""COMPUTED_VALUE"""),"RCEF 23-09-21 Rebidding")</f>
        <v>RCEF 23-09-21 Rebidding</v>
      </c>
      <c r="L246" s="2">
        <f>IFERROR(__xludf.DUMMYFUNCTION("""COMPUTED_VALUE"""),9.0)</f>
        <v>9</v>
      </c>
      <c r="M246" s="2"/>
      <c r="N246" s="74">
        <f>IFERROR(__xludf.DUMMYFUNCTION("""COMPUTED_VALUE"""),45380.0)</f>
        <v>45380</v>
      </c>
      <c r="O246" s="2"/>
      <c r="P246" s="2">
        <f>IFERROR(__xludf.DUMMYFUNCTION("""COMPUTED_VALUE"""),18762.0)</f>
        <v>18762</v>
      </c>
      <c r="Q246" s="2" t="str">
        <f>IFERROR(__xludf.DUMMYFUNCTION("""COMPUTED_VALUE"""),"KMC5825 AKRFPV0468")</f>
        <v>KMC5825 AKRFPV0468</v>
      </c>
      <c r="R246" s="2" t="str">
        <f>IFERROR(__xludf.DUMMYFUNCTION("""COMPUTED_VALUE"""),"RTS 100368")</f>
        <v>RTS 100368</v>
      </c>
      <c r="S246" s="2" t="str">
        <f>IFERROR(__xludf.DUMMYFUNCTION("""COMPUTED_VALUE"""),"R SERIES 396PH")</f>
        <v>R SERIES 396PH</v>
      </c>
      <c r="T246" s="2" t="str">
        <f>IFERROR(__xludf.DUMMYFUNCTION("""COMPUTED_VALUE"""),"LSGW1750 RMP 2312170")</f>
        <v>LSGW1750 RMP 2312170</v>
      </c>
      <c r="U246" s="2" t="str">
        <f>IFERROR(__xludf.DUMMYFUNCTION("""COMPUTED_VALUE"""),"WDP 40 RMP 24020201")</f>
        <v>WDP 40 RMP 24020201</v>
      </c>
      <c r="V246" s="2"/>
      <c r="W246" s="2" t="str">
        <f>IFERROR(__xludf.DUMMYFUNCTION("""COMPUTED_VALUE"""),"VL103D")</f>
        <v>VL103D</v>
      </c>
      <c r="X246" s="2"/>
      <c r="Y246" s="2"/>
      <c r="Z246" s="2"/>
      <c r="AA246" s="2"/>
      <c r="AB246" s="2"/>
    </row>
    <row r="247">
      <c r="A247" s="2" t="str">
        <f>IFERROR(__xludf.DUMMYFUNCTION("""COMPUTED_VALUE"""),"TT00245")</f>
        <v>TT00245</v>
      </c>
      <c r="B247" s="2" t="str">
        <f>IFERROR(__xludf.DUMMYFUNCTION("""COMPUTED_VALUE"""),"Completed")</f>
        <v>Completed</v>
      </c>
      <c r="C247" s="2" t="str">
        <f>IFERROR(__xludf.DUMMYFUNCTION("""COMPUTED_VALUE"""),"FOR BILLING L9")</f>
        <v>FOR BILLING L9</v>
      </c>
      <c r="D247" s="2" t="str">
        <f>IFERROR(__xludf.DUMMYFUNCTION("""COMPUTED_VALUE"""),"APO SENYONG FARMERS ASSOCIATION")</f>
        <v>APO SENYONG FARMERS ASSOCIATION</v>
      </c>
      <c r="E247" s="2" t="str">
        <f>IFERROR(__xludf.DUMMYFUNCTION("""COMPUTED_VALUE"""),"Vega, Bongabon, NUEVA ECIJA")</f>
        <v>Vega, Bongabon, NUEVA ECIJA</v>
      </c>
      <c r="F247" s="2" t="str">
        <f>IFERROR(__xludf.DUMMYFUNCTION("""COMPUTED_VALUE"""),"Rogelio G. Almera")</f>
        <v>Rogelio G. Almera</v>
      </c>
      <c r="G247" s="2" t="str">
        <f>IFERROR(__xludf.DUMMYFUNCTION("""COMPUTED_VALUE"""),"0997-531-0433")</f>
        <v>0997-531-0433</v>
      </c>
      <c r="H247" s="2"/>
      <c r="I247" s="2"/>
      <c r="J247" s="2"/>
      <c r="K247" s="2" t="str">
        <f>IFERROR(__xludf.DUMMYFUNCTION("""COMPUTED_VALUE"""),"RCEF 23-09-21 Rebidding")</f>
        <v>RCEF 23-09-21 Rebidding</v>
      </c>
      <c r="L247" s="2">
        <f>IFERROR(__xludf.DUMMYFUNCTION("""COMPUTED_VALUE"""),9.0)</f>
        <v>9</v>
      </c>
      <c r="M247" s="2"/>
      <c r="N247" s="2"/>
      <c r="O247" s="2"/>
      <c r="P247" s="2">
        <f>IFERROR(__xludf.DUMMYFUNCTION("""COMPUTED_VALUE"""),18763.0)</f>
        <v>18763</v>
      </c>
      <c r="Q247" s="2" t="str">
        <f>IFERROR(__xludf.DUMMYFUNCTION("""COMPUTED_VALUE"""),"KMC5825 ACRFPV0417")</f>
        <v>KMC5825 ACRFPV0417</v>
      </c>
      <c r="R247" s="2" t="str">
        <f>IFERROR(__xludf.DUMMYFUNCTION("""COMPUTED_VALUE"""),"RTS 100330")</f>
        <v>RTS 100330</v>
      </c>
      <c r="S247" s="2" t="str">
        <f>IFERROR(__xludf.DUMMYFUNCTION("""COMPUTED_VALUE"""),"R SERIES 387 PH")</f>
        <v>R SERIES 387 PH</v>
      </c>
      <c r="T247" s="2" t="str">
        <f>IFERROR(__xludf.DUMMYFUNCTION("""COMPUTED_VALUE"""),"LSGW1750 RMP 2312148")</f>
        <v>LSGW1750 RMP 2312148</v>
      </c>
      <c r="U247" s="2" t="str">
        <f>IFERROR(__xludf.DUMMYFUNCTION("""COMPUTED_VALUE"""),"WDP 40 RMP 24020193")</f>
        <v>WDP 40 RMP 24020193</v>
      </c>
      <c r="V247" s="2"/>
      <c r="W247" s="2" t="str">
        <f>IFERROR(__xludf.DUMMYFUNCTION("""COMPUTED_VALUE"""),"VL103D")</f>
        <v>VL103D</v>
      </c>
      <c r="X247" s="2">
        <f>IFERROR(__xludf.DUMMYFUNCTION("""COMPUTED_VALUE"""),8.69066060241495E14)</f>
        <v>869066060241495</v>
      </c>
      <c r="Y247" s="2">
        <f>IFERROR(__xludf.DUMMYFUNCTION("""COMPUTED_VALUE"""),9.624531328E9)</f>
        <v>9624531328</v>
      </c>
      <c r="Z247" s="2"/>
      <c r="AA247" s="2"/>
      <c r="AB247" s="2"/>
    </row>
    <row r="248">
      <c r="A248" s="2" t="str">
        <f>IFERROR(__xludf.DUMMYFUNCTION("""COMPUTED_VALUE"""),"TT00246")</f>
        <v>TT00246</v>
      </c>
      <c r="B248" s="2" t="str">
        <f>IFERROR(__xludf.DUMMYFUNCTION("""COMPUTED_VALUE"""),"Completed")</f>
        <v>Completed</v>
      </c>
      <c r="C248" s="2" t="str">
        <f>IFERROR(__xludf.DUMMYFUNCTION("""COMPUTED_VALUE"""),"FOR BILLING L3")</f>
        <v>FOR BILLING L3</v>
      </c>
      <c r="D248" s="2" t="str">
        <f>IFERROR(__xludf.DUMMYFUNCTION("""COMPUTED_VALUE"""),"RAJAL-STO.TOMAS IRRIGATORS' ASSOCIATION, INC.")</f>
        <v>RAJAL-STO.TOMAS IRRIGATORS' ASSOCIATION, INC.</v>
      </c>
      <c r="E248" s="2" t="str">
        <f>IFERROR(__xludf.DUMMYFUNCTION("""COMPUTED_VALUE"""),"Santo Tomas, Aliaga, NUEVA ECIJA")</f>
        <v>Santo Tomas, Aliaga, NUEVA ECIJA</v>
      </c>
      <c r="F248" s="2" t="str">
        <f>IFERROR(__xludf.DUMMYFUNCTION("""COMPUTED_VALUE"""),"Mascardo Diaz")</f>
        <v>Mascardo Diaz</v>
      </c>
      <c r="G248" s="2" t="str">
        <f>IFERROR(__xludf.DUMMYFUNCTION("""COMPUTED_VALUE"""),"0922-901-2873")</f>
        <v>0922-901-2873</v>
      </c>
      <c r="H248" s="2"/>
      <c r="I248" s="2"/>
      <c r="J248" s="2"/>
      <c r="K248" s="2" t="str">
        <f>IFERROR(__xludf.DUMMYFUNCTION("""COMPUTED_VALUE"""),"RCEF 23-09-21 Rebidding")</f>
        <v>RCEF 23-09-21 Rebidding</v>
      </c>
      <c r="L248" s="2">
        <f>IFERROR(__xludf.DUMMYFUNCTION("""COMPUTED_VALUE"""),3.0)</f>
        <v>3</v>
      </c>
      <c r="M248" s="2"/>
      <c r="N248" s="74">
        <f>IFERROR(__xludf.DUMMYFUNCTION("""COMPUTED_VALUE"""),45380.0)</f>
        <v>45380</v>
      </c>
      <c r="O248" s="74">
        <f>IFERROR(__xludf.DUMMYFUNCTION("""COMPUTED_VALUE"""),45400.0)</f>
        <v>45400</v>
      </c>
      <c r="P248" s="2">
        <f>IFERROR(__xludf.DUMMYFUNCTION("""COMPUTED_VALUE"""),18764.0)</f>
        <v>18764</v>
      </c>
      <c r="Q248" s="2" t="str">
        <f>IFERROR(__xludf.DUMMYFUNCTION("""COMPUTED_VALUE"""),"KMC5825 AJRFPV0505")</f>
        <v>KMC5825 AJRFPV0505</v>
      </c>
      <c r="R248" s="2" t="str">
        <f>IFERROR(__xludf.DUMMYFUNCTION("""COMPUTED_VALUE"""),"RTS 100401")</f>
        <v>RTS 100401</v>
      </c>
      <c r="S248" s="2" t="str">
        <f>IFERROR(__xludf.DUMMYFUNCTION("""COMPUTED_VALUE"""),"R-SERIES 129 PH")</f>
        <v>R-SERIES 129 PH</v>
      </c>
      <c r="T248" s="2" t="str">
        <f>IFERROR(__xludf.DUMMYFUNCTION("""COMPUTED_VALUE"""),"LSGW1750 RMP 2312154")</f>
        <v>LSGW1750 RMP 2312154</v>
      </c>
      <c r="U248" s="2" t="str">
        <f>IFERROR(__xludf.DUMMYFUNCTION("""COMPUTED_VALUE"""),"WDP40 RMP 24020191")</f>
        <v>WDP40 RMP 24020191</v>
      </c>
      <c r="V248" s="2"/>
      <c r="W248" s="2" t="str">
        <f>IFERROR(__xludf.DUMMYFUNCTION("""COMPUTED_VALUE"""),"VL103D")</f>
        <v>VL103D</v>
      </c>
      <c r="X248" s="2">
        <f>IFERROR(__xludf.DUMMYFUNCTION("""COMPUTED_VALUE"""),8.69066060245009E14)</f>
        <v>869066060245009</v>
      </c>
      <c r="Y248" s="2">
        <f>IFERROR(__xludf.DUMMYFUNCTION("""COMPUTED_VALUE"""),9.623759856E9)</f>
        <v>9623759856</v>
      </c>
      <c r="Z248" s="2"/>
      <c r="AA248" s="2"/>
      <c r="AB248" s="2"/>
    </row>
    <row r="249">
      <c r="A249" s="2" t="str">
        <f>IFERROR(__xludf.DUMMYFUNCTION("""COMPUTED_VALUE"""),"TT00247")</f>
        <v>TT00247</v>
      </c>
      <c r="B249" s="2" t="str">
        <f>IFERROR(__xludf.DUMMYFUNCTION("""COMPUTED_VALUE"""),"Completed")</f>
        <v>Completed</v>
      </c>
      <c r="C249" s="2" t="str">
        <f>IFERROR(__xludf.DUMMYFUNCTION("""COMPUTED_VALUE"""),"FOR BILLING L3")</f>
        <v>FOR BILLING L3</v>
      </c>
      <c r="D249" s="2" t="str">
        <f>IFERROR(__xludf.DUMMYFUNCTION("""COMPUTED_VALUE"""),"NAGMISAHAN FARMERS ASSOCIATION")</f>
        <v>NAGMISAHAN FARMERS ASSOCIATION</v>
      </c>
      <c r="E249" s="2" t="str">
        <f>IFERROR(__xludf.DUMMYFUNCTION("""COMPUTED_VALUE"""),"Nagmisahan, Cuyapo, NUEVA ECIJA")</f>
        <v>Nagmisahan, Cuyapo, NUEVA ECIJA</v>
      </c>
      <c r="F249" s="2" t="str">
        <f>IFERROR(__xludf.DUMMYFUNCTION("""COMPUTED_VALUE"""),"Dyna F. Castillo")</f>
        <v>Dyna F. Castillo</v>
      </c>
      <c r="G249" s="2" t="str">
        <f>IFERROR(__xludf.DUMMYFUNCTION("""COMPUTED_VALUE"""),"0915 976 2051")</f>
        <v>0915 976 2051</v>
      </c>
      <c r="H249" s="2"/>
      <c r="I249" s="2"/>
      <c r="J249" s="2"/>
      <c r="K249" s="2" t="str">
        <f>IFERROR(__xludf.DUMMYFUNCTION("""COMPUTED_VALUE"""),"RCEF 23-09-21 Rebidding")</f>
        <v>RCEF 23-09-21 Rebidding</v>
      </c>
      <c r="L249" s="2">
        <f>IFERROR(__xludf.DUMMYFUNCTION("""COMPUTED_VALUE"""),3.0)</f>
        <v>3</v>
      </c>
      <c r="M249" s="2"/>
      <c r="N249" s="74">
        <f>IFERROR(__xludf.DUMMYFUNCTION("""COMPUTED_VALUE"""),45380.0)</f>
        <v>45380</v>
      </c>
      <c r="O249" s="74">
        <f>IFERROR(__xludf.DUMMYFUNCTION("""COMPUTED_VALUE"""),45400.0)</f>
        <v>45400</v>
      </c>
      <c r="P249" s="2">
        <f>IFERROR(__xludf.DUMMYFUNCTION("""COMPUTED_VALUE"""),18765.0)</f>
        <v>18765</v>
      </c>
      <c r="Q249" s="2" t="str">
        <f>IFERROR(__xludf.DUMMYFUNCTION("""COMPUTED_VALUE"""),"KMC5825 ACRFPV0411")</f>
        <v>KMC5825 ACRFPV0411</v>
      </c>
      <c r="R249" s="2" t="str">
        <f>IFERROR(__xludf.DUMMYFUNCTION("""COMPUTED_VALUE"""),"RTS 100312")</f>
        <v>RTS 100312</v>
      </c>
      <c r="S249" s="2" t="str">
        <f>IFERROR(__xludf.DUMMYFUNCTION("""COMPUTED_VALUE"""),"R-SERIES 044 PH")</f>
        <v>R-SERIES 044 PH</v>
      </c>
      <c r="T249" s="2" t="str">
        <f>IFERROR(__xludf.DUMMYFUNCTION("""COMPUTED_VALUE"""),"LSGW1750 RMP 2312147")</f>
        <v>LSGW1750 RMP 2312147</v>
      </c>
      <c r="U249" s="2" t="str">
        <f>IFERROR(__xludf.DUMMYFUNCTION("""COMPUTED_VALUE"""),"WDP40 WR 24020206")</f>
        <v>WDP40 WR 24020206</v>
      </c>
      <c r="V249" s="2"/>
      <c r="W249" s="2" t="str">
        <f>IFERROR(__xludf.DUMMYFUNCTION("""COMPUTED_VALUE"""),"VL103D")</f>
        <v>VL103D</v>
      </c>
      <c r="X249" s="2">
        <f>IFERROR(__xludf.DUMMYFUNCTION("""COMPUTED_VALUE"""),8.69066060243699E14)</f>
        <v>869066060243699</v>
      </c>
      <c r="Y249" s="2">
        <f>IFERROR(__xludf.DUMMYFUNCTION("""COMPUTED_VALUE"""),9.62358391E9)</f>
        <v>9623583910</v>
      </c>
      <c r="Z249" s="2"/>
      <c r="AA249" s="2"/>
      <c r="AB249" s="2"/>
    </row>
    <row r="250">
      <c r="A250" s="2" t="str">
        <f>IFERROR(__xludf.DUMMYFUNCTION("""COMPUTED_VALUE"""),"TT00248")</f>
        <v>TT00248</v>
      </c>
      <c r="B250" s="2" t="str">
        <f>IFERROR(__xludf.DUMMYFUNCTION("""COMPUTED_VALUE"""),"Completed")</f>
        <v>Completed</v>
      </c>
      <c r="C250" s="2" t="str">
        <f>IFERROR(__xludf.DUMMYFUNCTION("""COMPUTED_VALUE"""),"FOR BILLING L3")</f>
        <v>FOR BILLING L3</v>
      </c>
      <c r="D250" s="2" t="str">
        <f>IFERROR(__xludf.DUMMYFUNCTION("""COMPUTED_VALUE"""),"Sabit Agricultural Cooperative (SACO)")</f>
        <v>Sabit Agricultural Cooperative (SACO)</v>
      </c>
      <c r="E250" s="2" t="str">
        <f>IFERROR(__xludf.DUMMYFUNCTION("""COMPUTED_VALUE"""),"Cuyapo, NUEVA ECIJA")</f>
        <v>Cuyapo, NUEVA ECIJA</v>
      </c>
      <c r="F250" s="2" t="str">
        <f>IFERROR(__xludf.DUMMYFUNCTION("""COMPUTED_VALUE"""),"Antonio M. Esteban")</f>
        <v>Antonio M. Esteban</v>
      </c>
      <c r="G250" s="2" t="str">
        <f>IFERROR(__xludf.DUMMYFUNCTION("""COMPUTED_VALUE"""),"0925-552-8584")</f>
        <v>0925-552-8584</v>
      </c>
      <c r="H250" s="2"/>
      <c r="I250" s="2"/>
      <c r="J250" s="2"/>
      <c r="K250" s="2" t="str">
        <f>IFERROR(__xludf.DUMMYFUNCTION("""COMPUTED_VALUE"""),"RCEF 23-09-21 Rebidding")</f>
        <v>RCEF 23-09-21 Rebidding</v>
      </c>
      <c r="L250" s="2">
        <f>IFERROR(__xludf.DUMMYFUNCTION("""COMPUTED_VALUE"""),3.0)</f>
        <v>3</v>
      </c>
      <c r="M250" s="2"/>
      <c r="N250" s="74">
        <f>IFERROR(__xludf.DUMMYFUNCTION("""COMPUTED_VALUE"""),45380.0)</f>
        <v>45380</v>
      </c>
      <c r="O250" s="74">
        <f>IFERROR(__xludf.DUMMYFUNCTION("""COMPUTED_VALUE"""),45400.0)</f>
        <v>45400</v>
      </c>
      <c r="P250" s="2">
        <f>IFERROR(__xludf.DUMMYFUNCTION("""COMPUTED_VALUE"""),18766.0)</f>
        <v>18766</v>
      </c>
      <c r="Q250" s="2" t="str">
        <f>IFERROR(__xludf.DUMMYFUNCTION("""COMPUTED_VALUE"""),"KMC5825 AKRFPV0504")</f>
        <v>KMC5825 AKRFPV0504</v>
      </c>
      <c r="R250" s="2" t="str">
        <f>IFERROR(__xludf.DUMMYFUNCTION("""COMPUTED_VALUE"""),"RTS 100421")</f>
        <v>RTS 100421</v>
      </c>
      <c r="S250" s="2" t="str">
        <f>IFERROR(__xludf.DUMMYFUNCTION("""COMPUTED_VALUE"""),"R-SERIES 014 PH")</f>
        <v>R-SERIES 014 PH</v>
      </c>
      <c r="T250" s="2" t="str">
        <f>IFERROR(__xludf.DUMMYFUNCTION("""COMPUTED_VALUE"""),"LSGW1750 RMP 2321 055")</f>
        <v>LSGW1750 RMP 2321 055</v>
      </c>
      <c r="U250" s="2" t="str">
        <f>IFERROR(__xludf.DUMMYFUNCTION("""COMPUTED_VALUE"""),"WDP40 RMP 24020224")</f>
        <v>WDP40 RMP 24020224</v>
      </c>
      <c r="V250" s="2"/>
      <c r="W250" s="2" t="str">
        <f>IFERROR(__xludf.DUMMYFUNCTION("""COMPUTED_VALUE"""),"VL103D")</f>
        <v>VL103D</v>
      </c>
      <c r="X250" s="2">
        <f>IFERROR(__xludf.DUMMYFUNCTION("""COMPUTED_VALUE"""),8.69066060244465E14)</f>
        <v>869066060244465</v>
      </c>
      <c r="Y250" s="2">
        <f>IFERROR(__xludf.DUMMYFUNCTION("""COMPUTED_VALUE"""),9.624607594E9)</f>
        <v>9624607594</v>
      </c>
      <c r="Z250" s="2"/>
      <c r="AA250" s="2"/>
      <c r="AB250" s="2"/>
    </row>
    <row r="251">
      <c r="A251" s="2" t="str">
        <f>IFERROR(__xludf.DUMMYFUNCTION("""COMPUTED_VALUE"""),"TT00249")</f>
        <v>TT00249</v>
      </c>
      <c r="B251" s="2" t="str">
        <f>IFERROR(__xludf.DUMMYFUNCTION("""COMPUTED_VALUE"""),"Completed")</f>
        <v>Completed</v>
      </c>
      <c r="C251" s="2" t="str">
        <f>IFERROR(__xludf.DUMMYFUNCTION("""COMPUTED_VALUE"""),"FOR BILLING L3")</f>
        <v>FOR BILLING L3</v>
      </c>
      <c r="D251" s="2" t="str">
        <f>IFERROR(__xludf.DUMMYFUNCTION("""COMPUTED_VALUE"""),"BARAGAY SAN MIGUEL FARMERS ASSOCIATION")</f>
        <v>BARAGAY SAN MIGUEL FARMERS ASSOCIATION</v>
      </c>
      <c r="E251" s="2" t="str">
        <f>IFERROR(__xludf.DUMMYFUNCTION("""COMPUTED_VALUE"""),"San Miguel, Guimba, NUEVA ECIJA")</f>
        <v>San Miguel, Guimba, NUEVA ECIJA</v>
      </c>
      <c r="F251" s="2" t="str">
        <f>IFERROR(__xludf.DUMMYFUNCTION("""COMPUTED_VALUE"""),"Teresito G. Aguinaldo")</f>
        <v>Teresito G. Aguinaldo</v>
      </c>
      <c r="G251" s="2" t="str">
        <f>IFERROR(__xludf.DUMMYFUNCTION("""COMPUTED_VALUE"""),"0918-918-6750")</f>
        <v>0918-918-6750</v>
      </c>
      <c r="H251" s="2"/>
      <c r="I251" s="2"/>
      <c r="J251" s="2"/>
      <c r="K251" s="2" t="str">
        <f>IFERROR(__xludf.DUMMYFUNCTION("""COMPUTED_VALUE"""),"RCEF 23-09-21 Rebidding")</f>
        <v>RCEF 23-09-21 Rebidding</v>
      </c>
      <c r="L251" s="2">
        <f>IFERROR(__xludf.DUMMYFUNCTION("""COMPUTED_VALUE"""),3.0)</f>
        <v>3</v>
      </c>
      <c r="M251" s="2"/>
      <c r="N251" s="74">
        <f>IFERROR(__xludf.DUMMYFUNCTION("""COMPUTED_VALUE"""),45379.0)</f>
        <v>45379</v>
      </c>
      <c r="O251" s="74">
        <f>IFERROR(__xludf.DUMMYFUNCTION("""COMPUTED_VALUE"""),45400.0)</f>
        <v>45400</v>
      </c>
      <c r="P251" s="2">
        <f>IFERROR(__xludf.DUMMYFUNCTION("""COMPUTED_VALUE"""),18767.0)</f>
        <v>18767</v>
      </c>
      <c r="Q251" s="2" t="str">
        <f>IFERROR(__xludf.DUMMYFUNCTION("""COMPUTED_VALUE"""),"KMC5825 APRFPV0498")</f>
        <v>KMC5825 APRFPV0498</v>
      </c>
      <c r="R251" s="2" t="str">
        <f>IFERROR(__xludf.DUMMYFUNCTION("""COMPUTED_VALUE"""),"RTS 100323")</f>
        <v>RTS 100323</v>
      </c>
      <c r="S251" s="2" t="str">
        <f>IFERROR(__xludf.DUMMYFUNCTION("""COMPUTED_VALUE"""),"R-SERIES 137 PH")</f>
        <v>R-SERIES 137 PH</v>
      </c>
      <c r="T251" s="2" t="str">
        <f>IFERROR(__xludf.DUMMYFUNCTION("""COMPUTED_VALUE"""),"LSGW1750 WR 2312156")</f>
        <v>LSGW1750 WR 2312156</v>
      </c>
      <c r="U251" s="2" t="str">
        <f>IFERROR(__xludf.DUMMYFUNCTION("""COMPUTED_VALUE"""),"WDP40 WR 24020196")</f>
        <v>WDP40 WR 24020196</v>
      </c>
      <c r="V251" s="2"/>
      <c r="W251" s="2" t="str">
        <f>IFERROR(__xludf.DUMMYFUNCTION("""COMPUTED_VALUE"""),"VL103D")</f>
        <v>VL103D</v>
      </c>
      <c r="X251" s="2">
        <f>IFERROR(__xludf.DUMMYFUNCTION("""COMPUTED_VALUE"""),8.69066060241834E14)</f>
        <v>869066060241834</v>
      </c>
      <c r="Y251" s="2">
        <f>IFERROR(__xludf.DUMMYFUNCTION("""COMPUTED_VALUE"""),9.623759858E9)</f>
        <v>9623759858</v>
      </c>
      <c r="Z251" s="2"/>
      <c r="AA251" s="2"/>
      <c r="AB251" s="2"/>
    </row>
    <row r="252">
      <c r="A252" s="2" t="str">
        <f>IFERROR(__xludf.DUMMYFUNCTION("""COMPUTED_VALUE"""),"TT00250")</f>
        <v>TT00250</v>
      </c>
      <c r="B252" s="2" t="str">
        <f>IFERROR(__xludf.DUMMYFUNCTION("""COMPUTED_VALUE"""),"Completed")</f>
        <v>Completed</v>
      </c>
      <c r="C252" s="2" t="str">
        <f>IFERROR(__xludf.DUMMYFUNCTION("""COMPUTED_VALUE"""),"FOR BILLING L3")</f>
        <v>FOR BILLING L3</v>
      </c>
      <c r="D252" s="2" t="str">
        <f>IFERROR(__xludf.DUMMYFUNCTION("""COMPUTED_VALUE"""),"SAN CRISTOBAL FARMERS IRRIGATORS' ASSOCIATION, INC.")</f>
        <v>SAN CRISTOBAL FARMERS IRRIGATORS' ASSOCIATION, INC.</v>
      </c>
      <c r="E252" s="2" t="str">
        <f>IFERROR(__xludf.DUMMYFUNCTION("""COMPUTED_VALUE"""),"San Cristobal, Licab, NUEVA ECIJA")</f>
        <v>San Cristobal, Licab, NUEVA ECIJA</v>
      </c>
      <c r="F252" s="2" t="str">
        <f>IFERROR(__xludf.DUMMYFUNCTION("""COMPUTED_VALUE"""),"Alfredo M. Lozano")</f>
        <v>Alfredo M. Lozano</v>
      </c>
      <c r="G252" s="2" t="str">
        <f>IFERROR(__xludf.DUMMYFUNCTION("""COMPUTED_VALUE"""),"0906-733-2025")</f>
        <v>0906-733-2025</v>
      </c>
      <c r="H252" s="2"/>
      <c r="I252" s="2"/>
      <c r="J252" s="2"/>
      <c r="K252" s="2" t="str">
        <f>IFERROR(__xludf.DUMMYFUNCTION("""COMPUTED_VALUE"""),"RCEF 23-09-21 Rebidding")</f>
        <v>RCEF 23-09-21 Rebidding</v>
      </c>
      <c r="L252" s="2">
        <f>IFERROR(__xludf.DUMMYFUNCTION("""COMPUTED_VALUE"""),3.0)</f>
        <v>3</v>
      </c>
      <c r="M252" s="2"/>
      <c r="N252" s="74">
        <f>IFERROR(__xludf.DUMMYFUNCTION("""COMPUTED_VALUE"""),45379.0)</f>
        <v>45379</v>
      </c>
      <c r="O252" s="74">
        <f>IFERROR(__xludf.DUMMYFUNCTION("""COMPUTED_VALUE"""),45400.0)</f>
        <v>45400</v>
      </c>
      <c r="P252" s="2">
        <f>IFERROR(__xludf.DUMMYFUNCTION("""COMPUTED_VALUE"""),18768.0)</f>
        <v>18768</v>
      </c>
      <c r="Q252" s="2" t="str">
        <f>IFERROR(__xludf.DUMMYFUNCTION("""COMPUTED_VALUE"""),"KMC5825 ATRPFV0404")</f>
        <v>KMC5825 ATRPFV0404</v>
      </c>
      <c r="R252" s="2" t="str">
        <f>IFERROR(__xludf.DUMMYFUNCTION("""COMPUTED_VALUE"""),"RTS 100318")</f>
        <v>RTS 100318</v>
      </c>
      <c r="S252" s="2" t="str">
        <f>IFERROR(__xludf.DUMMYFUNCTION("""COMPUTED_VALUE"""),"R-SERIES 048 PH")</f>
        <v>R-SERIES 048 PH</v>
      </c>
      <c r="T252" s="2" t="str">
        <f>IFERROR(__xludf.DUMMYFUNCTION("""COMPUTED_VALUE"""),"LSGW1750 WR 2312138")</f>
        <v>LSGW1750 WR 2312138</v>
      </c>
      <c r="U252" s="2" t="str">
        <f>IFERROR(__xludf.DUMMYFUNCTION("""COMPUTED_VALUE"""),"WDP40 WR 2402094")</f>
        <v>WDP40 WR 2402094</v>
      </c>
      <c r="V252" s="2"/>
      <c r="W252" s="2" t="str">
        <f>IFERROR(__xludf.DUMMYFUNCTION("""COMPUTED_VALUE"""),"VL103D")</f>
        <v>VL103D</v>
      </c>
      <c r="X252" s="2"/>
      <c r="Y252" s="2"/>
      <c r="Z252" s="2"/>
      <c r="AA252" s="2"/>
      <c r="AB252" s="2"/>
    </row>
    <row r="253">
      <c r="A253" s="2" t="str">
        <f>IFERROR(__xludf.DUMMYFUNCTION("""COMPUTED_VALUE"""),"TT00251")</f>
        <v>TT00251</v>
      </c>
      <c r="B253" s="2" t="str">
        <f>IFERROR(__xludf.DUMMYFUNCTION("""COMPUTED_VALUE"""),"Completed")</f>
        <v>Completed</v>
      </c>
      <c r="C253" s="2" t="str">
        <f>IFERROR(__xludf.DUMMYFUNCTION("""COMPUTED_VALUE"""),"FOR BILLING L3")</f>
        <v>FOR BILLING L3</v>
      </c>
      <c r="D253" s="2" t="str">
        <f>IFERROR(__xludf.DUMMYFUNCTION("""COMPUTED_VALUE"""),"Municipal Local Government Unit of Nampicuan")</f>
        <v>Municipal Local Government Unit of Nampicuan</v>
      </c>
      <c r="E253" s="2" t="str">
        <f>IFERROR(__xludf.DUMMYFUNCTION("""COMPUTED_VALUE"""),"North Poblacion, Nampicuan, NUEVA ECIJA")</f>
        <v>North Poblacion, Nampicuan, NUEVA ECIJA</v>
      </c>
      <c r="F253" s="2" t="str">
        <f>IFERROR(__xludf.DUMMYFUNCTION("""COMPUTED_VALUE"""),"Hon. Victor M. Badar")</f>
        <v>Hon. Victor M. Badar</v>
      </c>
      <c r="G253" s="2" t="str">
        <f>IFERROR(__xludf.DUMMYFUNCTION("""COMPUTED_VALUE"""),"0919-792-2884")</f>
        <v>0919-792-2884</v>
      </c>
      <c r="H253" s="2"/>
      <c r="I253" s="2"/>
      <c r="J253" s="2"/>
      <c r="K253" s="2" t="str">
        <f>IFERROR(__xludf.DUMMYFUNCTION("""COMPUTED_VALUE"""),"RCEF 23-09-21 Rebidding")</f>
        <v>RCEF 23-09-21 Rebidding</v>
      </c>
      <c r="L253" s="2">
        <f>IFERROR(__xludf.DUMMYFUNCTION("""COMPUTED_VALUE"""),3.0)</f>
        <v>3</v>
      </c>
      <c r="M253" s="2"/>
      <c r="N253" s="74">
        <f>IFERROR(__xludf.DUMMYFUNCTION("""COMPUTED_VALUE"""),45379.0)</f>
        <v>45379</v>
      </c>
      <c r="O253" s="74">
        <f>IFERROR(__xludf.DUMMYFUNCTION("""COMPUTED_VALUE"""),45400.0)</f>
        <v>45400</v>
      </c>
      <c r="P253" s="2">
        <f>IFERROR(__xludf.DUMMYFUNCTION("""COMPUTED_VALUE"""),18769.0)</f>
        <v>18769</v>
      </c>
      <c r="Q253" s="2" t="str">
        <f>IFERROR(__xludf.DUMMYFUNCTION("""COMPUTED_VALUE"""),"KMC5825 AHRFPV0477")</f>
        <v>KMC5825 AHRFPV0477</v>
      </c>
      <c r="R253" s="2" t="str">
        <f>IFERROR(__xludf.DUMMYFUNCTION("""COMPUTED_VALUE"""),"RTS 100392")</f>
        <v>RTS 100392</v>
      </c>
      <c r="S253" s="2" t="str">
        <f>IFERROR(__xludf.DUMMYFUNCTION("""COMPUTED_VALUE"""),"R-SERIES 394 PH")</f>
        <v>R-SERIES 394 PH</v>
      </c>
      <c r="T253" s="2" t="str">
        <f>IFERROR(__xludf.DUMMYFUNCTION("""COMPUTED_VALUE"""),"LSGW1750 RMP 2312172")</f>
        <v>LSGW1750 RMP 2312172</v>
      </c>
      <c r="U253" s="2" t="str">
        <f>IFERROR(__xludf.DUMMYFUNCTION("""COMPUTED_VALUE"""),"WDP40 RMP 24020246")</f>
        <v>WDP40 RMP 24020246</v>
      </c>
      <c r="V253" s="2"/>
      <c r="W253" s="2" t="str">
        <f>IFERROR(__xludf.DUMMYFUNCTION("""COMPUTED_VALUE"""),"VL103D")</f>
        <v>VL103D</v>
      </c>
      <c r="X253" s="2"/>
      <c r="Y253" s="2"/>
      <c r="Z253" s="2"/>
      <c r="AA253" s="2"/>
      <c r="AB253" s="2"/>
    </row>
    <row r="254">
      <c r="A254" s="2" t="str">
        <f>IFERROR(__xludf.DUMMYFUNCTION("""COMPUTED_VALUE"""),"TT00252")</f>
        <v>TT00252</v>
      </c>
      <c r="B254" s="2"/>
      <c r="C254" s="2" t="str">
        <f>IFERROR(__xludf.DUMMYFUNCTION("""COMPUTED_VALUE"""),"L3, Cancel DR, Change Recipient")</f>
        <v>L3, Cancel DR, Change Recipient</v>
      </c>
      <c r="D254" s="2" t="str">
        <f>IFERROR(__xludf.DUMMYFUNCTION("""COMPUTED_VALUE"""),"Quezon Malasakit Agriculture Cooperative")</f>
        <v>Quezon Malasakit Agriculture Cooperative</v>
      </c>
      <c r="E254" s="2" t="str">
        <f>IFERROR(__xludf.DUMMYFUNCTION("""COMPUTED_VALUE"""),"Dulong Bayan, Quezon, NUEVA ECIJA")</f>
        <v>Dulong Bayan, Quezon, NUEVA ECIJA</v>
      </c>
      <c r="F254" s="2" t="str">
        <f>IFERROR(__xludf.DUMMYFUNCTION("""COMPUTED_VALUE"""),"Delmer Q. Mercado")</f>
        <v>Delmer Q. Mercado</v>
      </c>
      <c r="G254" s="2" t="str">
        <f>IFERROR(__xludf.DUMMYFUNCTION("""COMPUTED_VALUE"""),"0975-725-4733")</f>
        <v>0975-725-4733</v>
      </c>
      <c r="H254" s="2"/>
      <c r="I254" s="2"/>
      <c r="J254" s="2"/>
      <c r="K254" s="2" t="str">
        <f>IFERROR(__xludf.DUMMYFUNCTION("""COMPUTED_VALUE"""),"RCEF 23-09-21 Rebidding")</f>
        <v>RCEF 23-09-21 Rebidding</v>
      </c>
      <c r="L254" s="2" t="str">
        <f>IFERROR(__xludf.DUMMYFUNCTION("""COMPUTED_VALUE"""),"#N/A")</f>
        <v>#N/A</v>
      </c>
      <c r="M254" s="2"/>
      <c r="N254" s="2"/>
      <c r="O254" s="2"/>
      <c r="P254" s="2"/>
      <c r="Q254" s="2"/>
      <c r="R254" s="2"/>
      <c r="S254" s="2"/>
      <c r="T254" s="2"/>
      <c r="U254" s="2"/>
      <c r="V254" s="2"/>
      <c r="W254" s="2" t="str">
        <f>IFERROR(__xludf.DUMMYFUNCTION("""COMPUTED_VALUE"""),"VL103D")</f>
        <v>VL103D</v>
      </c>
      <c r="X254" s="2"/>
      <c r="Y254" s="2"/>
      <c r="Z254" s="2"/>
      <c r="AA254" s="2"/>
      <c r="AB254" s="2"/>
    </row>
    <row r="255">
      <c r="A255" s="2" t="str">
        <f>IFERROR(__xludf.DUMMYFUNCTION("""COMPUTED_VALUE"""),"TT00253")</f>
        <v>TT00253</v>
      </c>
      <c r="B255" s="2" t="str">
        <f>IFERROR(__xludf.DUMMYFUNCTION("""COMPUTED_VALUE"""),"Completed")</f>
        <v>Completed</v>
      </c>
      <c r="C255" s="2" t="str">
        <f>IFERROR(__xludf.DUMMYFUNCTION("""COMPUTED_VALUE"""),"FOR BILLING L3")</f>
        <v>FOR BILLING L3</v>
      </c>
      <c r="D255" s="2" t="str">
        <f>IFERROR(__xludf.DUMMYFUNCTION("""COMPUTED_VALUE"""),"SIASON FARMERS IRRIGATOR'S ASSOCIATION, INC.")</f>
        <v>SIASON FARMERS IRRIGATOR'S ASSOCIATION, INC.</v>
      </c>
      <c r="E255" s="2" t="str">
        <f>IFERROR(__xludf.DUMMYFUNCTION("""COMPUTED_VALUE"""),"Santa Rita, Quezon, NUEVA ECIJA")</f>
        <v>Santa Rita, Quezon, NUEVA ECIJA</v>
      </c>
      <c r="F255" s="2" t="str">
        <f>IFERROR(__xludf.DUMMYFUNCTION("""COMPUTED_VALUE"""),"Feliciano C. Doronio")</f>
        <v>Feliciano C. Doronio</v>
      </c>
      <c r="G255" s="2" t="str">
        <f>IFERROR(__xludf.DUMMYFUNCTION("""COMPUTED_VALUE"""),"0938-564-2182")</f>
        <v>0938-564-2182</v>
      </c>
      <c r="H255" s="2"/>
      <c r="I255" s="2"/>
      <c r="J255" s="2"/>
      <c r="K255" s="2" t="str">
        <f>IFERROR(__xludf.DUMMYFUNCTION("""COMPUTED_VALUE"""),"RCEF 23-09-21 Rebidding")</f>
        <v>RCEF 23-09-21 Rebidding</v>
      </c>
      <c r="L255" s="2">
        <f>IFERROR(__xludf.DUMMYFUNCTION("""COMPUTED_VALUE"""),3.0)</f>
        <v>3</v>
      </c>
      <c r="M255" s="2"/>
      <c r="N255" s="74">
        <f>IFERROR(__xludf.DUMMYFUNCTION("""COMPUTED_VALUE"""),45379.0)</f>
        <v>45379</v>
      </c>
      <c r="O255" s="74">
        <f>IFERROR(__xludf.DUMMYFUNCTION("""COMPUTED_VALUE"""),45400.0)</f>
        <v>45400</v>
      </c>
      <c r="P255" s="2">
        <f>IFERROR(__xludf.DUMMYFUNCTION("""COMPUTED_VALUE"""),18771.0)</f>
        <v>18771</v>
      </c>
      <c r="Q255" s="2" t="str">
        <f>IFERROR(__xludf.DUMMYFUNCTION("""COMPUTED_VALUE"""),"KMC5825 AJRFPV0391")</f>
        <v>KMC5825 AJRFPV0391</v>
      </c>
      <c r="R255" s="2" t="str">
        <f>IFERROR(__xludf.DUMMYFUNCTION("""COMPUTED_VALUE"""),"RTS 100258")</f>
        <v>RTS 100258</v>
      </c>
      <c r="S255" s="2" t="str">
        <f>IFERROR(__xludf.DUMMYFUNCTION("""COMPUTED_VALUE"""),"R-SERIES 138 PH")</f>
        <v>R-SERIES 138 PH</v>
      </c>
      <c r="T255" s="2" t="str">
        <f>IFERROR(__xludf.DUMMYFUNCTION("""COMPUTED_VALUE"""),"LSGW1750 WR 2312080")</f>
        <v>LSGW1750 WR 2312080</v>
      </c>
      <c r="U255" s="2" t="str">
        <f>IFERROR(__xludf.DUMMYFUNCTION("""COMPUTED_VALUE"""),"WDP40 WR 24020200")</f>
        <v>WDP40 WR 24020200</v>
      </c>
      <c r="V255" s="2"/>
      <c r="W255" s="2" t="str">
        <f>IFERROR(__xludf.DUMMYFUNCTION("""COMPUTED_VALUE"""),"VL103D")</f>
        <v>VL103D</v>
      </c>
      <c r="X255" s="2"/>
      <c r="Y255" s="2"/>
      <c r="Z255" s="2"/>
      <c r="AA255" s="2"/>
      <c r="AB255" s="2"/>
    </row>
    <row r="256">
      <c r="A256" s="2" t="str">
        <f>IFERROR(__xludf.DUMMYFUNCTION("""COMPUTED_VALUE"""),"TT00254")</f>
        <v>TT00254</v>
      </c>
      <c r="B256" s="2" t="str">
        <f>IFERROR(__xludf.DUMMYFUNCTION("""COMPUTED_VALUE"""),"Completed")</f>
        <v>Completed</v>
      </c>
      <c r="C256" s="2" t="str">
        <f>IFERROR(__xludf.DUMMYFUNCTION("""COMPUTED_VALUE"""),"FOR BILLING L3")</f>
        <v>FOR BILLING L3</v>
      </c>
      <c r="D256" s="2" t="str">
        <f>IFERROR(__xludf.DUMMYFUNCTION("""COMPUTED_VALUE"""),"COLLADO IRRIGATORS' ASSOCIATION, INC.")</f>
        <v>COLLADO IRRIGATORS' ASSOCIATION, INC.</v>
      </c>
      <c r="E256" s="2" t="str">
        <f>IFERROR(__xludf.DUMMYFUNCTION("""COMPUTED_VALUE"""),"Collado, Talavera, NUEVA ECIJA")</f>
        <v>Collado, Talavera, NUEVA ECIJA</v>
      </c>
      <c r="F256" s="2" t="str">
        <f>IFERROR(__xludf.DUMMYFUNCTION("""COMPUTED_VALUE"""),"Godofredo M. Sabate")</f>
        <v>Godofredo M. Sabate</v>
      </c>
      <c r="G256" s="2" t="str">
        <f>IFERROR(__xludf.DUMMYFUNCTION("""COMPUTED_VALUE"""),"0907-617-6814")</f>
        <v>0907-617-6814</v>
      </c>
      <c r="H256" s="2"/>
      <c r="I256" s="2"/>
      <c r="J256" s="2"/>
      <c r="K256" s="2" t="str">
        <f>IFERROR(__xludf.DUMMYFUNCTION("""COMPUTED_VALUE"""),"RCEF 23-09-21 Rebidding")</f>
        <v>RCEF 23-09-21 Rebidding</v>
      </c>
      <c r="L256" s="2">
        <f>IFERROR(__xludf.DUMMYFUNCTION("""COMPUTED_VALUE"""),3.0)</f>
        <v>3</v>
      </c>
      <c r="M256" s="2"/>
      <c r="N256" s="74">
        <f>IFERROR(__xludf.DUMMYFUNCTION("""COMPUTED_VALUE"""),45379.0)</f>
        <v>45379</v>
      </c>
      <c r="O256" s="74">
        <f>IFERROR(__xludf.DUMMYFUNCTION("""COMPUTED_VALUE"""),45400.0)</f>
        <v>45400</v>
      </c>
      <c r="P256" s="2">
        <f>IFERROR(__xludf.DUMMYFUNCTION("""COMPUTED_VALUE"""),18772.0)</f>
        <v>18772</v>
      </c>
      <c r="Q256" s="2" t="str">
        <f>IFERROR(__xludf.DUMMYFUNCTION("""COMPUTED_VALUE"""),"KMC5825 APRFPV0405")</f>
        <v>KMC5825 APRFPV0405</v>
      </c>
      <c r="R256" s="2" t="str">
        <f>IFERROR(__xludf.DUMMYFUNCTION("""COMPUTED_VALUE"""),"RTS 100316")</f>
        <v>RTS 100316</v>
      </c>
      <c r="S256" s="2" t="str">
        <f>IFERROR(__xludf.DUMMYFUNCTION("""COMPUTED_VALUE"""),"R-SERIES 393 PH")</f>
        <v>R-SERIES 393 PH</v>
      </c>
      <c r="T256" s="2" t="str">
        <f>IFERROR(__xludf.DUMMYFUNCTION("""COMPUTED_VALUE"""),"LSGW1750 RMP 2312173")</f>
        <v>LSGW1750 RMP 2312173</v>
      </c>
      <c r="U256" s="2" t="str">
        <f>IFERROR(__xludf.DUMMYFUNCTION("""COMPUTED_VALUE"""),"WDP40 RMP 24020199")</f>
        <v>WDP40 RMP 24020199</v>
      </c>
      <c r="V256" s="2"/>
      <c r="W256" s="2" t="str">
        <f>IFERROR(__xludf.DUMMYFUNCTION("""COMPUTED_VALUE"""),"VL103D")</f>
        <v>VL103D</v>
      </c>
      <c r="X256" s="2"/>
      <c r="Y256" s="2"/>
      <c r="Z256" s="2"/>
      <c r="AA256" s="2"/>
      <c r="AB256" s="2"/>
    </row>
    <row r="257">
      <c r="A257" s="2" t="str">
        <f>IFERROR(__xludf.DUMMYFUNCTION("""COMPUTED_VALUE"""),"TT00255")</f>
        <v>TT00255</v>
      </c>
      <c r="B257" s="2" t="str">
        <f>IFERROR(__xludf.DUMMYFUNCTION("""COMPUTED_VALUE"""),"Completed")</f>
        <v>Completed</v>
      </c>
      <c r="C257" s="2" t="str">
        <f>IFERROR(__xludf.DUMMYFUNCTION("""COMPUTED_VALUE"""),"FOR BILLING L3")</f>
        <v>FOR BILLING L3</v>
      </c>
      <c r="D257" s="2" t="str">
        <f>IFERROR(__xludf.DUMMYFUNCTION("""COMPUTED_VALUE"""),"TAGABASA IRRIGATORS' ASSOCIATION, INC.")</f>
        <v>TAGABASA IRRIGATORS' ASSOCIATION, INC.</v>
      </c>
      <c r="E257" s="2" t="str">
        <f>IFERROR(__xludf.DUMMYFUNCTION("""COMPUTED_VALUE"""),"Tagaytay, Talavera, NUEVA ECIJA")</f>
        <v>Tagaytay, Talavera, NUEVA ECIJA</v>
      </c>
      <c r="F257" s="2" t="str">
        <f>IFERROR(__xludf.DUMMYFUNCTION("""COMPUTED_VALUE"""),"Rogelio C. Laugo")</f>
        <v>Rogelio C. Laugo</v>
      </c>
      <c r="G257" s="2" t="str">
        <f>IFERROR(__xludf.DUMMYFUNCTION("""COMPUTED_VALUE"""),"0951-099-0098")</f>
        <v>0951-099-0098</v>
      </c>
      <c r="H257" s="2"/>
      <c r="I257" s="2"/>
      <c r="J257" s="2"/>
      <c r="K257" s="2" t="str">
        <f>IFERROR(__xludf.DUMMYFUNCTION("""COMPUTED_VALUE"""),"RCEF 23-09-21 Rebidding")</f>
        <v>RCEF 23-09-21 Rebidding</v>
      </c>
      <c r="L257" s="2">
        <f>IFERROR(__xludf.DUMMYFUNCTION("""COMPUTED_VALUE"""),3.0)</f>
        <v>3</v>
      </c>
      <c r="M257" s="2"/>
      <c r="N257" s="74">
        <f>IFERROR(__xludf.DUMMYFUNCTION("""COMPUTED_VALUE"""),45380.0)</f>
        <v>45380</v>
      </c>
      <c r="O257" s="74">
        <f>IFERROR(__xludf.DUMMYFUNCTION("""COMPUTED_VALUE"""),45400.0)</f>
        <v>45400</v>
      </c>
      <c r="P257" s="2">
        <f>IFERROR(__xludf.DUMMYFUNCTION("""COMPUTED_VALUE"""),18773.0)</f>
        <v>18773</v>
      </c>
      <c r="Q257" s="2" t="str">
        <f>IFERROR(__xludf.DUMMYFUNCTION("""COMPUTED_VALUE"""),"KMC5825 AHRFPV0222")</f>
        <v>KMC5825 AHRFPV0222</v>
      </c>
      <c r="R257" s="2" t="str">
        <f>IFERROR(__xludf.DUMMYFUNCTION("""COMPUTED_VALUE"""),"RTS100102")</f>
        <v>RTS100102</v>
      </c>
      <c r="S257" s="2" t="str">
        <f>IFERROR(__xludf.DUMMYFUNCTION("""COMPUTED_VALUE"""),"R-SERIES 032 PH")</f>
        <v>R-SERIES 032 PH</v>
      </c>
      <c r="T257" s="2" t="str">
        <f>IFERROR(__xludf.DUMMYFUNCTION("""COMPUTED_VALUE"""),"LSGW1750 RMP 2312173")</f>
        <v>LSGW1750 RMP 2312173</v>
      </c>
      <c r="U257" s="2" t="str">
        <f>IFERROR(__xludf.DUMMYFUNCTION("""COMPUTED_VALUE"""),"WDP40 RMP 24020203")</f>
        <v>WDP40 RMP 24020203</v>
      </c>
      <c r="V257" s="2"/>
      <c r="W257" s="2" t="str">
        <f>IFERROR(__xludf.DUMMYFUNCTION("""COMPUTED_VALUE"""),"VL103D")</f>
        <v>VL103D</v>
      </c>
      <c r="X257" s="2"/>
      <c r="Y257" s="2"/>
      <c r="Z257" s="2"/>
      <c r="AA257" s="2"/>
      <c r="AB257" s="2"/>
    </row>
    <row r="258">
      <c r="A258" s="2" t="str">
        <f>IFERROR(__xludf.DUMMYFUNCTION("""COMPUTED_VALUE"""),"TT00256")</f>
        <v>TT00256</v>
      </c>
      <c r="B258" s="2" t="str">
        <f>IFERROR(__xludf.DUMMYFUNCTION("""COMPUTED_VALUE"""),"Completed")</f>
        <v>Completed</v>
      </c>
      <c r="C258" s="2" t="str">
        <f>IFERROR(__xludf.DUMMYFUNCTION("""COMPUTED_VALUE"""),"FOR BILLING L3")</f>
        <v>FOR BILLING L3</v>
      </c>
      <c r="D258" s="2" t="str">
        <f>IFERROR(__xludf.DUMMYFUNCTION("""COMPUTED_VALUE"""),"BRGY. STA. LUCIA OLD ZARAGOZA FARMERS IRRIGATORS' ASSN. INC.")</f>
        <v>BRGY. STA. LUCIA OLD ZARAGOZA FARMERS IRRIGATORS' ASSN. INC.</v>
      </c>
      <c r="E258" s="2" t="str">
        <f>IFERROR(__xludf.DUMMYFUNCTION("""COMPUTED_VALUE"""),"Santa Lucia Young, Zaragosa, NUEVA ECIJA")</f>
        <v>Santa Lucia Young, Zaragosa, NUEVA ECIJA</v>
      </c>
      <c r="F258" s="2" t="str">
        <f>IFERROR(__xludf.DUMMYFUNCTION("""COMPUTED_VALUE"""),"Norberto F. Paladan")</f>
        <v>Norberto F. Paladan</v>
      </c>
      <c r="G258" s="2" t="str">
        <f>IFERROR(__xludf.DUMMYFUNCTION("""COMPUTED_VALUE"""),"0920-432-8685")</f>
        <v>0920-432-8685</v>
      </c>
      <c r="H258" s="2"/>
      <c r="I258" s="2"/>
      <c r="J258" s="2"/>
      <c r="K258" s="2" t="str">
        <f>IFERROR(__xludf.DUMMYFUNCTION("""COMPUTED_VALUE"""),"RCEF 23-09-21 Rebidding")</f>
        <v>RCEF 23-09-21 Rebidding</v>
      </c>
      <c r="L258" s="2">
        <f>IFERROR(__xludf.DUMMYFUNCTION("""COMPUTED_VALUE"""),3.0)</f>
        <v>3</v>
      </c>
      <c r="M258" s="2"/>
      <c r="N258" s="74">
        <f>IFERROR(__xludf.DUMMYFUNCTION("""COMPUTED_VALUE"""),45380.0)</f>
        <v>45380</v>
      </c>
      <c r="O258" s="74">
        <f>IFERROR(__xludf.DUMMYFUNCTION("""COMPUTED_VALUE"""),45400.0)</f>
        <v>45400</v>
      </c>
      <c r="P258" s="2">
        <f>IFERROR(__xludf.DUMMYFUNCTION("""COMPUTED_VALUE"""),18774.0)</f>
        <v>18774</v>
      </c>
      <c r="Q258" s="2" t="str">
        <f>IFERROR(__xludf.DUMMYFUNCTION("""COMPUTED_VALUE"""),"KMC5825 AERFPV0500")</f>
        <v>KMC5825 AERFPV0500</v>
      </c>
      <c r="R258" s="2" t="str">
        <f>IFERROR(__xludf.DUMMYFUNCTION("""COMPUTED_VALUE"""),"RTS100419")</f>
        <v>RTS100419</v>
      </c>
      <c r="S258" s="2" t="str">
        <f>IFERROR(__xludf.DUMMYFUNCTION("""COMPUTED_VALUE"""),"R-SERIES 395 PH")</f>
        <v>R-SERIES 395 PH</v>
      </c>
      <c r="T258" s="2" t="str">
        <f>IFERROR(__xludf.DUMMYFUNCTION("""COMPUTED_VALUE"""),"LSGW1750 RMP 2312140")</f>
        <v>LSGW1750 RMP 2312140</v>
      </c>
      <c r="U258" s="2" t="str">
        <f>IFERROR(__xludf.DUMMYFUNCTION("""COMPUTED_VALUE"""),"WDP40 RMP 24020233")</f>
        <v>WDP40 RMP 24020233</v>
      </c>
      <c r="V258" s="2"/>
      <c r="W258" s="2" t="str">
        <f>IFERROR(__xludf.DUMMYFUNCTION("""COMPUTED_VALUE"""),"VL103D")</f>
        <v>VL103D</v>
      </c>
      <c r="X258" s="2"/>
      <c r="Y258" s="2"/>
      <c r="Z258" s="2"/>
      <c r="AA258" s="2"/>
      <c r="AB258" s="2"/>
    </row>
    <row r="259">
      <c r="A259" s="2" t="str">
        <f>IFERROR(__xludf.DUMMYFUNCTION("""COMPUTED_VALUE"""),"TT00257")</f>
        <v>TT00257</v>
      </c>
      <c r="B259" s="2" t="str">
        <f>IFERROR(__xludf.DUMMYFUNCTION("""COMPUTED_VALUE"""),"Completed")</f>
        <v>Completed</v>
      </c>
      <c r="C259" s="2" t="str">
        <f>IFERROR(__xludf.DUMMYFUNCTION("""COMPUTED_VALUE"""),"FOR BILLING L3")</f>
        <v>FOR BILLING L3</v>
      </c>
      <c r="D259" s="2" t="str">
        <f>IFERROR(__xludf.DUMMYFUNCTION("""COMPUTED_VALUE"""),"SAGINGAN EAST AND WEST FARMERS ASSOCIATION")</f>
        <v>SAGINGAN EAST AND WEST FARMERS ASSOCIATION</v>
      </c>
      <c r="E259" s="2" t="str">
        <f>IFERROR(__xludf.DUMMYFUNCTION("""COMPUTED_VALUE"""),"Concepcion, Zaragosa, NUEVA ECIJA")</f>
        <v>Concepcion, Zaragosa, NUEVA ECIJA</v>
      </c>
      <c r="F259" s="2" t="str">
        <f>IFERROR(__xludf.DUMMYFUNCTION("""COMPUTED_VALUE"""),"Eddie S. Ramos")</f>
        <v>Eddie S. Ramos</v>
      </c>
      <c r="G259" s="2" t="str">
        <f>IFERROR(__xludf.DUMMYFUNCTION("""COMPUTED_VALUE"""),"0977-824-1191")</f>
        <v>0977-824-1191</v>
      </c>
      <c r="H259" s="2"/>
      <c r="I259" s="2"/>
      <c r="J259" s="2"/>
      <c r="K259" s="2" t="str">
        <f>IFERROR(__xludf.DUMMYFUNCTION("""COMPUTED_VALUE"""),"RCEF 23-09-21 Rebidding")</f>
        <v>RCEF 23-09-21 Rebidding</v>
      </c>
      <c r="L259" s="2">
        <f>IFERROR(__xludf.DUMMYFUNCTION("""COMPUTED_VALUE"""),3.0)</f>
        <v>3</v>
      </c>
      <c r="M259" s="2"/>
      <c r="N259" s="74">
        <f>IFERROR(__xludf.DUMMYFUNCTION("""COMPUTED_VALUE"""),45380.0)</f>
        <v>45380</v>
      </c>
      <c r="O259" s="74">
        <f>IFERROR(__xludf.DUMMYFUNCTION("""COMPUTED_VALUE"""),45400.0)</f>
        <v>45400</v>
      </c>
      <c r="P259" s="2">
        <f>IFERROR(__xludf.DUMMYFUNCTION("""COMPUTED_VALUE"""),18775.0)</f>
        <v>18775</v>
      </c>
      <c r="Q259" s="2" t="str">
        <f>IFERROR(__xludf.DUMMYFUNCTION("""COMPUTED_VALUE"""),"KMC5825 ALRFPV0476")</f>
        <v>KMC5825 ALRFPV0476</v>
      </c>
      <c r="R259" s="2" t="str">
        <f>IFERROR(__xludf.DUMMYFUNCTION("""COMPUTED_VALUE"""),"RTS 100385")</f>
        <v>RTS 100385</v>
      </c>
      <c r="S259" s="2" t="str">
        <f>IFERROR(__xludf.DUMMYFUNCTION("""COMPUTED_VALUE"""),"R-SERIES 096 PH")</f>
        <v>R-SERIES 096 PH</v>
      </c>
      <c r="T259" s="2" t="str">
        <f>IFERROR(__xludf.DUMMYFUNCTION("""COMPUTED_VALUE"""),"LSGW1750 RMP 2312180")</f>
        <v>LSGW1750 RMP 2312180</v>
      </c>
      <c r="U259" s="2" t="str">
        <f>IFERROR(__xludf.DUMMYFUNCTION("""COMPUTED_VALUE"""),"WDP40 RMP 24020181")</f>
        <v>WDP40 RMP 24020181</v>
      </c>
      <c r="V259" s="2"/>
      <c r="W259" s="2" t="str">
        <f>IFERROR(__xludf.DUMMYFUNCTION("""COMPUTED_VALUE"""),"VL103D")</f>
        <v>VL103D</v>
      </c>
      <c r="X259" s="2"/>
      <c r="Y259" s="2"/>
      <c r="Z259" s="2"/>
      <c r="AA259" s="2"/>
      <c r="AB259" s="2"/>
    </row>
    <row r="260">
      <c r="A260" s="2" t="str">
        <f>IFERROR(__xludf.DUMMYFUNCTION("""COMPUTED_VALUE"""),"TT00258")</f>
        <v>TT00258</v>
      </c>
      <c r="B260" s="2" t="str">
        <f>IFERROR(__xludf.DUMMYFUNCTION("""COMPUTED_VALUE"""),"Completed")</f>
        <v>Completed</v>
      </c>
      <c r="C260" s="2" t="str">
        <f>IFERROR(__xludf.DUMMYFUNCTION("""COMPUTED_VALUE"""),"FOR BILLING L3")</f>
        <v>FOR BILLING L3</v>
      </c>
      <c r="D260" s="2" t="str">
        <f>IFERROR(__xludf.DUMMYFUNCTION("""COMPUTED_VALUE"""),"SITIO TUBONG UPLAND FARMERS ASSOCIATION INC.")</f>
        <v>SITIO TUBONG UPLAND FARMERS ASSOCIATION INC.</v>
      </c>
      <c r="E260" s="2" t="str">
        <f>IFERROR(__xludf.DUMMYFUNCTION("""COMPUTED_VALUE"""),"Bunga, Carranglan, NUEVA ECIJA")</f>
        <v>Bunga, Carranglan, NUEVA ECIJA</v>
      </c>
      <c r="F260" s="2" t="str">
        <f>IFERROR(__xludf.DUMMYFUNCTION("""COMPUTED_VALUE"""),"Nenildo C. Nantes")</f>
        <v>Nenildo C. Nantes</v>
      </c>
      <c r="G260" s="2" t="str">
        <f>IFERROR(__xludf.DUMMYFUNCTION("""COMPUTED_VALUE"""),"0965-274-6082")</f>
        <v>0965-274-6082</v>
      </c>
      <c r="H260" s="2"/>
      <c r="I260" s="2"/>
      <c r="J260" s="2"/>
      <c r="K260" s="2" t="str">
        <f>IFERROR(__xludf.DUMMYFUNCTION("""COMPUTED_VALUE"""),"RCEF 23-09-21 Rebidding")</f>
        <v>RCEF 23-09-21 Rebidding</v>
      </c>
      <c r="L260" s="2">
        <f>IFERROR(__xludf.DUMMYFUNCTION("""COMPUTED_VALUE"""),3.0)</f>
        <v>3</v>
      </c>
      <c r="M260" s="2"/>
      <c r="N260" s="74">
        <f>IFERROR(__xludf.DUMMYFUNCTION("""COMPUTED_VALUE"""),45380.0)</f>
        <v>45380</v>
      </c>
      <c r="O260" s="74">
        <f>IFERROR(__xludf.DUMMYFUNCTION("""COMPUTED_VALUE"""),45400.0)</f>
        <v>45400</v>
      </c>
      <c r="P260" s="2">
        <f>IFERROR(__xludf.DUMMYFUNCTION("""COMPUTED_VALUE"""),18776.0)</f>
        <v>18776</v>
      </c>
      <c r="Q260" s="2" t="str">
        <f>IFERROR(__xludf.DUMMYFUNCTION("""COMPUTED_VALUE"""),"KMC 5825 AARFPV0346")</f>
        <v>KMC 5825 AARFPV0346</v>
      </c>
      <c r="R260" s="2" t="str">
        <f>IFERROR(__xludf.DUMMYFUNCTION("""COMPUTED_VALUE"""),"RTS 100244")</f>
        <v>RTS 100244</v>
      </c>
      <c r="S260" s="2" t="str">
        <f>IFERROR(__xludf.DUMMYFUNCTION("""COMPUTED_VALUE"""),"R SERIES 028 PH")</f>
        <v>R SERIES 028 PH</v>
      </c>
      <c r="T260" s="2" t="str">
        <f>IFERROR(__xludf.DUMMYFUNCTION("""COMPUTED_VALUE"""),"LSGW1750 RMP  24020451")</f>
        <v>LSGW1750 RMP  24020451</v>
      </c>
      <c r="U260" s="2" t="str">
        <f>IFERROR(__xludf.DUMMYFUNCTION("""COMPUTED_VALUE"""),"WDP40 RMP 24020228")</f>
        <v>WDP40 RMP 24020228</v>
      </c>
      <c r="V260" s="2"/>
      <c r="W260" s="2" t="str">
        <f>IFERROR(__xludf.DUMMYFUNCTION("""COMPUTED_VALUE"""),"VL103D")</f>
        <v>VL103D</v>
      </c>
      <c r="X260" s="2">
        <f>IFERROR(__xludf.DUMMYFUNCTION("""COMPUTED_VALUE"""),8.69066060244754E14)</f>
        <v>869066060244754</v>
      </c>
      <c r="Y260" s="2">
        <f>IFERROR(__xludf.DUMMYFUNCTION("""COMPUTED_VALUE"""),9.62439694E9)</f>
        <v>9624396940</v>
      </c>
      <c r="Z260" s="2"/>
      <c r="AA260" s="2"/>
      <c r="AB260" s="2"/>
    </row>
    <row r="261">
      <c r="A261" s="2" t="str">
        <f>IFERROR(__xludf.DUMMYFUNCTION("""COMPUTED_VALUE"""),"TT00259")</f>
        <v>TT00259</v>
      </c>
      <c r="B261" s="2" t="str">
        <f>IFERROR(__xludf.DUMMYFUNCTION("""COMPUTED_VALUE"""),"Completed")</f>
        <v>Completed</v>
      </c>
      <c r="C261" s="2" t="str">
        <f>IFERROR(__xludf.DUMMYFUNCTION("""COMPUTED_VALUE"""),"FOR BILLING L3")</f>
        <v>FOR BILLING L3</v>
      </c>
      <c r="D261" s="2" t="str">
        <f>IFERROR(__xludf.DUMMYFUNCTION("""COMPUTED_VALUE"""),"LURIMADEL IRRIGATORS' ASSOCIATION, INC.")</f>
        <v>LURIMADEL IRRIGATORS' ASSOCIATION, INC.</v>
      </c>
      <c r="E261" s="2" t="str">
        <f>IFERROR(__xludf.DUMMYFUNCTION("""COMPUTED_VALUE"""),"General Ricarte, Llanera, NUEVA ECIJA")</f>
        <v>General Ricarte, Llanera, NUEVA ECIJA</v>
      </c>
      <c r="F261" s="2" t="str">
        <f>IFERROR(__xludf.DUMMYFUNCTION("""COMPUTED_VALUE"""),"Nick M. Cara")</f>
        <v>Nick M. Cara</v>
      </c>
      <c r="G261" s="2" t="str">
        <f>IFERROR(__xludf.DUMMYFUNCTION("""COMPUTED_VALUE"""),"0926-811-5331")</f>
        <v>0926-811-5331</v>
      </c>
      <c r="H261" s="2"/>
      <c r="I261" s="2"/>
      <c r="J261" s="2"/>
      <c r="K261" s="2" t="str">
        <f>IFERROR(__xludf.DUMMYFUNCTION("""COMPUTED_VALUE"""),"RCEF 23-09-21 Rebidding")</f>
        <v>RCEF 23-09-21 Rebidding</v>
      </c>
      <c r="L261" s="2">
        <f>IFERROR(__xludf.DUMMYFUNCTION("""COMPUTED_VALUE"""),3.0)</f>
        <v>3</v>
      </c>
      <c r="M261" s="2"/>
      <c r="N261" s="74">
        <f>IFERROR(__xludf.DUMMYFUNCTION("""COMPUTED_VALUE"""),45380.0)</f>
        <v>45380</v>
      </c>
      <c r="O261" s="74">
        <f>IFERROR(__xludf.DUMMYFUNCTION("""COMPUTED_VALUE"""),45400.0)</f>
        <v>45400</v>
      </c>
      <c r="P261" s="2">
        <f>IFERROR(__xludf.DUMMYFUNCTION("""COMPUTED_VALUE"""),18777.0)</f>
        <v>18777</v>
      </c>
      <c r="Q261" s="2" t="str">
        <f>IFERROR(__xludf.DUMMYFUNCTION("""COMPUTED_VALUE"""),"KMC 5825ACRFPV0336")</f>
        <v>KMC 5825ACRFPV0336</v>
      </c>
      <c r="R261" s="2" t="str">
        <f>IFERROR(__xludf.DUMMYFUNCTION("""COMPUTED_VALUE"""),"RTS 100234")</f>
        <v>RTS 100234</v>
      </c>
      <c r="S261" s="2" t="str">
        <f>IFERROR(__xludf.DUMMYFUNCTION("""COMPUTED_VALUE"""),"R SERIES 143 PH")</f>
        <v>R SERIES 143 PH</v>
      </c>
      <c r="T261" s="2" t="str">
        <f>IFERROR(__xludf.DUMMYFUNCTION("""COMPUTED_VALUE"""),"LSGW1750 RMP 24020494")</f>
        <v>LSGW1750 RMP 24020494</v>
      </c>
      <c r="U261" s="2" t="str">
        <f>IFERROR(__xludf.DUMMYFUNCTION("""COMPUTED_VALUE"""),"WDP40 RMP 24020240")</f>
        <v>WDP40 RMP 24020240</v>
      </c>
      <c r="V261" s="2"/>
      <c r="W261" s="2" t="str">
        <f>IFERROR(__xludf.DUMMYFUNCTION("""COMPUTED_VALUE"""),"VL103D")</f>
        <v>VL103D</v>
      </c>
      <c r="X261" s="2">
        <f>IFERROR(__xludf.DUMMYFUNCTION("""COMPUTED_VALUE"""),8.69066060245017E14)</f>
        <v>869066060245017</v>
      </c>
      <c r="Y261" s="2">
        <f>IFERROR(__xludf.DUMMYFUNCTION("""COMPUTED_VALUE"""),9.624396944E9)</f>
        <v>9624396944</v>
      </c>
      <c r="Z261" s="2"/>
      <c r="AA261" s="2"/>
      <c r="AB261" s="2"/>
    </row>
    <row r="262">
      <c r="A262" s="2" t="str">
        <f>IFERROR(__xludf.DUMMYFUNCTION("""COMPUTED_VALUE"""),"TT00260")</f>
        <v>TT00260</v>
      </c>
      <c r="B262" s="2" t="str">
        <f>IFERROR(__xludf.DUMMYFUNCTION("""COMPUTED_VALUE"""),"Completed")</f>
        <v>Completed</v>
      </c>
      <c r="C262" s="2" t="str">
        <f>IFERROR(__xludf.DUMMYFUNCTION("""COMPUTED_VALUE"""),"FOR BILLING L3")</f>
        <v>FOR BILLING L3</v>
      </c>
      <c r="D262" s="2" t="str">
        <f>IFERROR(__xludf.DUMMYFUNCTION("""COMPUTED_VALUE"""),"Municipal Local Government Unit of Llanera")</f>
        <v>Municipal Local Government Unit of Llanera</v>
      </c>
      <c r="E262" s="2" t="str">
        <f>IFERROR(__xludf.DUMMYFUNCTION("""COMPUTED_VALUE"""),"Victoria, Llanera, NUEVA ECIJA")</f>
        <v>Victoria, Llanera, NUEVA ECIJA</v>
      </c>
      <c r="F262" s="2" t="str">
        <f>IFERROR(__xludf.DUMMYFUNCTION("""COMPUTED_VALUE"""),"Hon. Ronnie Roy G. Pascual")</f>
        <v>Hon. Ronnie Roy G. Pascual</v>
      </c>
      <c r="G262" s="2" t="str">
        <f>IFERROR(__xludf.DUMMYFUNCTION("""COMPUTED_VALUE"""),"0920-563-6206")</f>
        <v>0920-563-6206</v>
      </c>
      <c r="H262" s="2"/>
      <c r="I262" s="2"/>
      <c r="J262" s="2"/>
      <c r="K262" s="2" t="str">
        <f>IFERROR(__xludf.DUMMYFUNCTION("""COMPUTED_VALUE"""),"RCEF 23-09-21 Rebidding")</f>
        <v>RCEF 23-09-21 Rebidding</v>
      </c>
      <c r="L262" s="2">
        <f>IFERROR(__xludf.DUMMYFUNCTION("""COMPUTED_VALUE"""),3.0)</f>
        <v>3</v>
      </c>
      <c r="M262" s="2"/>
      <c r="N262" s="74">
        <f>IFERROR(__xludf.DUMMYFUNCTION("""COMPUTED_VALUE"""),45380.0)</f>
        <v>45380</v>
      </c>
      <c r="O262" s="2"/>
      <c r="P262" s="2">
        <f>IFERROR(__xludf.DUMMYFUNCTION("""COMPUTED_VALUE"""),18778.0)</f>
        <v>18778</v>
      </c>
      <c r="Q262" s="2" t="str">
        <f>IFERROR(__xludf.DUMMYFUNCTION("""COMPUTED_VALUE"""),"KMC5825 AVRFPV0250")</f>
        <v>KMC5825 AVRFPV0250</v>
      </c>
      <c r="R262" s="2" t="str">
        <f>IFERROR(__xludf.DUMMYFUNCTION("""COMPUTED_VALUE"""),"RTS 100052")</f>
        <v>RTS 100052</v>
      </c>
      <c r="S262" s="2" t="str">
        <f>IFERROR(__xludf.DUMMYFUNCTION("""COMPUTED_VALUE"""),"R SERIES 067")</f>
        <v>R SERIES 067</v>
      </c>
      <c r="T262" s="2" t="str">
        <f>IFERROR(__xludf.DUMMYFUNCTION("""COMPUTED_VALUE"""),"LSGW1750 RMP 24020493")</f>
        <v>LSGW1750 RMP 24020493</v>
      </c>
      <c r="U262" s="2" t="str">
        <f>IFERROR(__xludf.DUMMYFUNCTION("""COMPUTED_VALUE"""),"WDP40 RMP 24020229")</f>
        <v>WDP40 RMP 24020229</v>
      </c>
      <c r="V262" s="2"/>
      <c r="W262" s="2" t="str">
        <f>IFERROR(__xludf.DUMMYFUNCTION("""COMPUTED_VALUE"""),"VL103D")</f>
        <v>VL103D</v>
      </c>
      <c r="X262" s="2">
        <f>IFERROR(__xludf.DUMMYFUNCTION("""COMPUTED_VALUE"""),8.69066060242238E14)</f>
        <v>869066060242238</v>
      </c>
      <c r="Y262" s="2">
        <f>IFERROR(__xludf.DUMMYFUNCTION("""COMPUTED_VALUE"""),9.624396956E9)</f>
        <v>9624396956</v>
      </c>
      <c r="Z262" s="2"/>
      <c r="AA262" s="2"/>
      <c r="AB262" s="2"/>
    </row>
    <row r="263">
      <c r="A263" s="2" t="str">
        <f>IFERROR(__xludf.DUMMYFUNCTION("""COMPUTED_VALUE"""),"TT00261")</f>
        <v>TT00261</v>
      </c>
      <c r="B263" s="2" t="str">
        <f>IFERROR(__xludf.DUMMYFUNCTION("""COMPUTED_VALUE"""),"Completed")</f>
        <v>Completed</v>
      </c>
      <c r="C263" s="2" t="str">
        <f>IFERROR(__xludf.DUMMYFUNCTION("""COMPUTED_VALUE"""),"FOR BILLING L3")</f>
        <v>FOR BILLING L3</v>
      </c>
      <c r="D263" s="2" t="str">
        <f>IFERROR(__xludf.DUMMYFUNCTION("""COMPUTED_VALUE"""),"SANFELBIAG IRRIGATORS ASSOCIATION, INC.")</f>
        <v>SANFELBIAG IRRIGATORS ASSOCIATION, INC.</v>
      </c>
      <c r="E263" s="2" t="str">
        <f>IFERROR(__xludf.DUMMYFUNCTION("""COMPUTED_VALUE"""),"Bagumbayan (Pob.), Llanera, NUEVA ECIJA")</f>
        <v>Bagumbayan (Pob.), Llanera, NUEVA ECIJA</v>
      </c>
      <c r="F263" s="2" t="str">
        <f>IFERROR(__xludf.DUMMYFUNCTION("""COMPUTED_VALUE"""),"Reynaldo M. Bustamante")</f>
        <v>Reynaldo M. Bustamante</v>
      </c>
      <c r="G263" s="2" t="str">
        <f>IFERROR(__xludf.DUMMYFUNCTION("""COMPUTED_VALUE"""),"0909-998-8557")</f>
        <v>0909-998-8557</v>
      </c>
      <c r="H263" s="2"/>
      <c r="I263" s="2"/>
      <c r="J263" s="2"/>
      <c r="K263" s="2" t="str">
        <f>IFERROR(__xludf.DUMMYFUNCTION("""COMPUTED_VALUE"""),"RCEF 23-09-21 Rebidding")</f>
        <v>RCEF 23-09-21 Rebidding</v>
      </c>
      <c r="L263" s="2">
        <f>IFERROR(__xludf.DUMMYFUNCTION("""COMPUTED_VALUE"""),3.0)</f>
        <v>3</v>
      </c>
      <c r="M263" s="2"/>
      <c r="N263" s="74">
        <f>IFERROR(__xludf.DUMMYFUNCTION("""COMPUTED_VALUE"""),45380.0)</f>
        <v>45380</v>
      </c>
      <c r="O263" s="74">
        <f>IFERROR(__xludf.DUMMYFUNCTION("""COMPUTED_VALUE"""),45400.0)</f>
        <v>45400</v>
      </c>
      <c r="P263" s="2">
        <f>IFERROR(__xludf.DUMMYFUNCTION("""COMPUTED_VALUE"""),18779.0)</f>
        <v>18779</v>
      </c>
      <c r="Q263" s="2" t="str">
        <f>IFERROR(__xludf.DUMMYFUNCTION("""COMPUTED_VALUE"""),"KMC 5825 ATRFPV0273")</f>
        <v>KMC 5825 ATRFPV0273</v>
      </c>
      <c r="R263" s="2" t="str">
        <f>IFERROR(__xludf.DUMMYFUNCTION("""COMPUTED_VALUE"""),"RTS 100115")</f>
        <v>RTS 100115</v>
      </c>
      <c r="S263" s="2" t="str">
        <f>IFERROR(__xludf.DUMMYFUNCTION("""COMPUTED_VALUE"""),"R SERIES 089 PH")</f>
        <v>R SERIES 089 PH</v>
      </c>
      <c r="T263" s="2" t="str">
        <f>IFERROR(__xludf.DUMMYFUNCTION("""COMPUTED_VALUE"""),"LSGW1750 RMP 24020488")</f>
        <v>LSGW1750 RMP 24020488</v>
      </c>
      <c r="U263" s="2" t="str">
        <f>IFERROR(__xludf.DUMMYFUNCTION("""COMPUTED_VALUE"""),"WDP40 RMP 24020221")</f>
        <v>WDP40 RMP 24020221</v>
      </c>
      <c r="V263" s="2"/>
      <c r="W263" s="2" t="str">
        <f>IFERROR(__xludf.DUMMYFUNCTION("""COMPUTED_VALUE"""),"VL103D")</f>
        <v>VL103D</v>
      </c>
      <c r="X263" s="2">
        <f>IFERROR(__xludf.DUMMYFUNCTION("""COMPUTED_VALUE"""),8.69066060242519E14)</f>
        <v>869066060242519</v>
      </c>
      <c r="Y263" s="2">
        <f>IFERROR(__xludf.DUMMYFUNCTION("""COMPUTED_VALUE"""),9.624396954E9)</f>
        <v>9624396954</v>
      </c>
      <c r="Z263" s="2"/>
      <c r="AA263" s="2"/>
      <c r="AB263" s="2"/>
    </row>
    <row r="264">
      <c r="A264" s="2" t="str">
        <f>IFERROR(__xludf.DUMMYFUNCTION("""COMPUTED_VALUE"""),"TT00262")</f>
        <v>TT00262</v>
      </c>
      <c r="B264" s="2" t="str">
        <f>IFERROR(__xludf.DUMMYFUNCTION("""COMPUTED_VALUE"""),"Completed")</f>
        <v>Completed</v>
      </c>
      <c r="C264" s="2" t="str">
        <f>IFERROR(__xludf.DUMMYFUNCTION("""COMPUTED_VALUE"""),"FOR BILLING L3")</f>
        <v>FOR BILLING L3</v>
      </c>
      <c r="D264" s="2" t="str">
        <f>IFERROR(__xludf.DUMMYFUNCTION("""COMPUTED_VALUE"""),"ALALAY GRANDE FARMERS IRRIGATOR ASSOCIATION INC.")</f>
        <v>ALALAY GRANDE FARMERS IRRIGATOR ASSOCIATION INC.</v>
      </c>
      <c r="E264" s="2" t="str">
        <f>IFERROR(__xludf.DUMMYFUNCTION("""COMPUTED_VALUE"""),"Alalay Grande, Lupao, NUEVA ECIJA")</f>
        <v>Alalay Grande, Lupao, NUEVA ECIJA</v>
      </c>
      <c r="F264" s="2" t="str">
        <f>IFERROR(__xludf.DUMMYFUNCTION("""COMPUTED_VALUE"""),"Celso C. Aduca")</f>
        <v>Celso C. Aduca</v>
      </c>
      <c r="G264" s="2" t="str">
        <f>IFERROR(__xludf.DUMMYFUNCTION("""COMPUTED_VALUE"""),"0906-224-9292/ 0927-968-0232")</f>
        <v>0906-224-9292/ 0927-968-0232</v>
      </c>
      <c r="H264" s="2"/>
      <c r="I264" s="2"/>
      <c r="J264" s="2"/>
      <c r="K264" s="2" t="str">
        <f>IFERROR(__xludf.DUMMYFUNCTION("""COMPUTED_VALUE"""),"RCEF 23-09-21 Rebidding")</f>
        <v>RCEF 23-09-21 Rebidding</v>
      </c>
      <c r="L264" s="2">
        <f>IFERROR(__xludf.DUMMYFUNCTION("""COMPUTED_VALUE"""),3.0)</f>
        <v>3</v>
      </c>
      <c r="M264" s="2"/>
      <c r="N264" s="74">
        <f>IFERROR(__xludf.DUMMYFUNCTION("""COMPUTED_VALUE"""),45380.0)</f>
        <v>45380</v>
      </c>
      <c r="O264" s="74">
        <f>IFERROR(__xludf.DUMMYFUNCTION("""COMPUTED_VALUE"""),45400.0)</f>
        <v>45400</v>
      </c>
      <c r="P264" s="2">
        <f>IFERROR(__xludf.DUMMYFUNCTION("""COMPUTED_VALUE"""),18780.0)</f>
        <v>18780</v>
      </c>
      <c r="Q264" s="2" t="str">
        <f>IFERROR(__xludf.DUMMYFUNCTION("""COMPUTED_VALUE"""),"KMC 5825 AKRFPV0454")</f>
        <v>KMC 5825 AKRFPV0454</v>
      </c>
      <c r="R264" s="2" t="str">
        <f>IFERROR(__xludf.DUMMYFUNCTION("""COMPUTED_VALUE"""),"RTS 100356")</f>
        <v>RTS 100356</v>
      </c>
      <c r="S264" s="2" t="str">
        <f>IFERROR(__xludf.DUMMYFUNCTION("""COMPUTED_VALUE"""),"R SERIES 141 PH")</f>
        <v>R SERIES 141 PH</v>
      </c>
      <c r="T264" s="2" t="str">
        <f>IFERROR(__xludf.DUMMYFUNCTION("""COMPUTED_VALUE"""),"LSGW1750 RMP 2312169")</f>
        <v>LSGW1750 RMP 2312169</v>
      </c>
      <c r="U264" s="2" t="str">
        <f>IFERROR(__xludf.DUMMYFUNCTION("""COMPUTED_VALUE"""),"WDP40 RMP 24020238")</f>
        <v>WDP40 RMP 24020238</v>
      </c>
      <c r="V264" s="2"/>
      <c r="W264" s="2" t="str">
        <f>IFERROR(__xludf.DUMMYFUNCTION("""COMPUTED_VALUE"""),"VL103D")</f>
        <v>VL103D</v>
      </c>
      <c r="X264" s="2">
        <f>IFERROR(__xludf.DUMMYFUNCTION("""COMPUTED_VALUE"""),8.69066060242584E14)</f>
        <v>869066060242584</v>
      </c>
      <c r="Y264" s="2">
        <f>IFERROR(__xludf.DUMMYFUNCTION("""COMPUTED_VALUE"""),9.624396935E9)</f>
        <v>9624396935</v>
      </c>
      <c r="Z264" s="2"/>
      <c r="AA264" s="2"/>
      <c r="AB264" s="2"/>
    </row>
    <row r="265">
      <c r="A265" s="2" t="str">
        <f>IFERROR(__xludf.DUMMYFUNCTION("""COMPUTED_VALUE"""),"TT00263")</f>
        <v>TT00263</v>
      </c>
      <c r="B265" s="2" t="str">
        <f>IFERROR(__xludf.DUMMYFUNCTION("""COMPUTED_VALUE"""),"Completed")</f>
        <v>Completed</v>
      </c>
      <c r="C265" s="2" t="str">
        <f>IFERROR(__xludf.DUMMYFUNCTION("""COMPUTED_VALUE"""),"FOR BILLING L3")</f>
        <v>FOR BILLING L3</v>
      </c>
      <c r="D265" s="2" t="str">
        <f>IFERROR(__xludf.DUMMYFUNCTION("""COMPUTED_VALUE"""),"DILAKAY IRRIGATORS ASSOCIATION INC.")</f>
        <v>DILAKAY IRRIGATORS ASSOCIATION INC.</v>
      </c>
      <c r="E265" s="2" t="str">
        <f>IFERROR(__xludf.DUMMYFUNCTION("""COMPUTED_VALUE"""),"Cadaclan, Pantabangan, NUEVA ECIJA")</f>
        <v>Cadaclan, Pantabangan, NUEVA ECIJA</v>
      </c>
      <c r="F265" s="2" t="str">
        <f>IFERROR(__xludf.DUMMYFUNCTION("""COMPUTED_VALUE"""),"Dante DM. Ormilon")</f>
        <v>Dante DM. Ormilon</v>
      </c>
      <c r="G265" s="2" t="str">
        <f>IFERROR(__xludf.DUMMYFUNCTION("""COMPUTED_VALUE"""),"0997-733-1755")</f>
        <v>0997-733-1755</v>
      </c>
      <c r="H265" s="2"/>
      <c r="I265" s="2"/>
      <c r="J265" s="2"/>
      <c r="K265" s="2" t="str">
        <f>IFERROR(__xludf.DUMMYFUNCTION("""COMPUTED_VALUE"""),"RCEF 23-09-21 Rebidding")</f>
        <v>RCEF 23-09-21 Rebidding</v>
      </c>
      <c r="L265" s="2">
        <f>IFERROR(__xludf.DUMMYFUNCTION("""COMPUTED_VALUE"""),3.0)</f>
        <v>3</v>
      </c>
      <c r="M265" s="2"/>
      <c r="N265" s="74">
        <f>IFERROR(__xludf.DUMMYFUNCTION("""COMPUTED_VALUE"""),45380.0)</f>
        <v>45380</v>
      </c>
      <c r="O265" s="74">
        <f>IFERROR(__xludf.DUMMYFUNCTION("""COMPUTED_VALUE"""),45400.0)</f>
        <v>45400</v>
      </c>
      <c r="P265" s="2">
        <f>IFERROR(__xludf.DUMMYFUNCTION("""COMPUTED_VALUE"""),18781.0)</f>
        <v>18781</v>
      </c>
      <c r="Q265" s="2" t="str">
        <f>IFERROR(__xludf.DUMMYFUNCTION("""COMPUTED_VALUE"""),"KMC 5825 ALRFPV0171")</f>
        <v>KMC 5825 ALRFPV0171</v>
      </c>
      <c r="R265" s="2" t="str">
        <f>IFERROR(__xludf.DUMMYFUNCTION("""COMPUTED_VALUE"""),"RTS 100016")</f>
        <v>RTS 100016</v>
      </c>
      <c r="S265" s="2" t="str">
        <f>IFERROR(__xludf.DUMMYFUNCTION("""COMPUTED_VALUE"""),"R SERIES 026")</f>
        <v>R SERIES 026</v>
      </c>
      <c r="T265" s="2" t="str">
        <f>IFERROR(__xludf.DUMMYFUNCTION("""COMPUTED_VALUE"""),"LSGW1750 RMP 24020490")</f>
        <v>LSGW1750 RMP 24020490</v>
      </c>
      <c r="U265" s="2" t="str">
        <f>IFERROR(__xludf.DUMMYFUNCTION("""COMPUTED_VALUE"""),"WDP40 RMP 24020251")</f>
        <v>WDP40 RMP 24020251</v>
      </c>
      <c r="V265" s="2"/>
      <c r="W265" s="2" t="str">
        <f>IFERROR(__xludf.DUMMYFUNCTION("""COMPUTED_VALUE"""),"VL103D")</f>
        <v>VL103D</v>
      </c>
      <c r="X265" s="2">
        <f>IFERROR(__xludf.DUMMYFUNCTION("""COMPUTED_VALUE"""),6.89066060241081E14)</f>
        <v>689066060241081</v>
      </c>
      <c r="Y265" s="2">
        <f>IFERROR(__xludf.DUMMYFUNCTION("""COMPUTED_VALUE"""),9.62644188E9)</f>
        <v>9626441880</v>
      </c>
      <c r="Z265" s="2"/>
      <c r="AA265" s="2"/>
      <c r="AB265" s="2"/>
    </row>
    <row r="266">
      <c r="A266" s="2" t="str">
        <f>IFERROR(__xludf.DUMMYFUNCTION("""COMPUTED_VALUE"""),"TT00264")</f>
        <v>TT00264</v>
      </c>
      <c r="B266" s="2" t="str">
        <f>IFERROR(__xludf.DUMMYFUNCTION("""COMPUTED_VALUE"""),"Completed")</f>
        <v>Completed</v>
      </c>
      <c r="C266" s="2" t="str">
        <f>IFERROR(__xludf.DUMMYFUNCTION("""COMPUTED_VALUE"""),"FOR BILLING L3")</f>
        <v>FOR BILLING L3</v>
      </c>
      <c r="D266" s="2" t="str">
        <f>IFERROR(__xludf.DUMMYFUNCTION("""COMPUTED_VALUE"""),"SARANAY GANDUZ FARMERS ASSOCIATION")</f>
        <v>SARANAY GANDUZ FARMERS ASSOCIATION</v>
      </c>
      <c r="E266" s="2" t="str">
        <f>IFERROR(__xludf.DUMMYFUNCTION("""COMPUTED_VALUE"""),"Ganduz, Pantabangan, NUEVA ECIJA")</f>
        <v>Ganduz, Pantabangan, NUEVA ECIJA</v>
      </c>
      <c r="F266" s="2" t="str">
        <f>IFERROR(__xludf.DUMMYFUNCTION("""COMPUTED_VALUE"""),"Francisco N. Tangca, Sr.")</f>
        <v>Francisco N. Tangca, Sr.</v>
      </c>
      <c r="G266" s="2" t="str">
        <f>IFERROR(__xludf.DUMMYFUNCTION("""COMPUTED_VALUE"""),"0927-551-8449")</f>
        <v>0927-551-8449</v>
      </c>
      <c r="H266" s="2"/>
      <c r="I266" s="2"/>
      <c r="J266" s="2"/>
      <c r="K266" s="2" t="str">
        <f>IFERROR(__xludf.DUMMYFUNCTION("""COMPUTED_VALUE"""),"RCEF 23-09-21 Rebidding")</f>
        <v>RCEF 23-09-21 Rebidding</v>
      </c>
      <c r="L266" s="2">
        <f>IFERROR(__xludf.DUMMYFUNCTION("""COMPUTED_VALUE"""),3.0)</f>
        <v>3</v>
      </c>
      <c r="M266" s="2"/>
      <c r="N266" s="74">
        <f>IFERROR(__xludf.DUMMYFUNCTION("""COMPUTED_VALUE"""),45380.0)</f>
        <v>45380</v>
      </c>
      <c r="O266" s="74">
        <f>IFERROR(__xludf.DUMMYFUNCTION("""COMPUTED_VALUE"""),45400.0)</f>
        <v>45400</v>
      </c>
      <c r="P266" s="2">
        <f>IFERROR(__xludf.DUMMYFUNCTION("""COMPUTED_VALUE"""),18782.0)</f>
        <v>18782</v>
      </c>
      <c r="Q266" s="2" t="str">
        <f>IFERROR(__xludf.DUMMYFUNCTION("""COMPUTED_VALUE"""),"KMC 5825 APRFPV0260")</f>
        <v>KMC 5825 APRFPV0260</v>
      </c>
      <c r="R266" s="2" t="str">
        <f>IFERROR(__xludf.DUMMYFUNCTION("""COMPUTED_VALUE"""),"RTS 10004")</f>
        <v>RTS 10004</v>
      </c>
      <c r="S266" s="2" t="str">
        <f>IFERROR(__xludf.DUMMYFUNCTION("""COMPUTED_VALUE"""),"R SERIES 292 PH")</f>
        <v>R SERIES 292 PH</v>
      </c>
      <c r="T266" s="2" t="str">
        <f>IFERROR(__xludf.DUMMYFUNCTION("""COMPUTED_VALUE"""),"LSGW1750 RMP 24020480")</f>
        <v>LSGW1750 RMP 24020480</v>
      </c>
      <c r="U266" s="2" t="str">
        <f>IFERROR(__xludf.DUMMYFUNCTION("""COMPUTED_VALUE"""),"WDP40 RMP24020231")</f>
        <v>WDP40 RMP24020231</v>
      </c>
      <c r="V266" s="2"/>
      <c r="W266" s="2" t="str">
        <f>IFERROR(__xludf.DUMMYFUNCTION("""COMPUTED_VALUE"""),"VL103D")</f>
        <v>VL103D</v>
      </c>
      <c r="X266" s="2">
        <f>IFERROR(__xludf.DUMMYFUNCTION("""COMPUTED_VALUE"""),8.69066060241156E14)</f>
        <v>869066060241156</v>
      </c>
      <c r="Y266" s="2"/>
      <c r="Z266" s="2"/>
      <c r="AA266" s="2"/>
      <c r="AB266" s="2"/>
    </row>
    <row r="267">
      <c r="A267" s="2" t="str">
        <f>IFERROR(__xludf.DUMMYFUNCTION("""COMPUTED_VALUE"""),"TT00265")</f>
        <v>TT00265</v>
      </c>
      <c r="B267" s="2" t="str">
        <f>IFERROR(__xludf.DUMMYFUNCTION("""COMPUTED_VALUE"""),"Completed")</f>
        <v>Completed</v>
      </c>
      <c r="C267" s="2" t="str">
        <f>IFERROR(__xludf.DUMMYFUNCTION("""COMPUTED_VALUE"""),"FOR BILLING L3")</f>
        <v>FOR BILLING L3</v>
      </c>
      <c r="D267" s="2" t="str">
        <f>IFERROR(__xludf.DUMMYFUNCTION("""COMPUTED_VALUE"""),"CRISTAMAKITA FARMERS IRRIGATORS' ASSOCIATION, INC")</f>
        <v>CRISTAMAKITA FARMERS IRRIGATORS' ASSOCIATION, INC</v>
      </c>
      <c r="E267" s="2" t="str">
        <f>IFERROR(__xludf.DUMMYFUNCTION("""COMPUTED_VALUE"""),"Malasin, San Jose City, NUEVA ECIJA")</f>
        <v>Malasin, San Jose City, NUEVA ECIJA</v>
      </c>
      <c r="F267" s="2" t="str">
        <f>IFERROR(__xludf.DUMMYFUNCTION("""COMPUTED_VALUE"""),"Danilo R. Salvador")</f>
        <v>Danilo R. Salvador</v>
      </c>
      <c r="G267" s="2" t="str">
        <f>IFERROR(__xludf.DUMMYFUNCTION("""COMPUTED_VALUE"""),"0926-485-1014")</f>
        <v>0926-485-1014</v>
      </c>
      <c r="H267" s="2"/>
      <c r="I267" s="2"/>
      <c r="J267" s="2"/>
      <c r="K267" s="2" t="str">
        <f>IFERROR(__xludf.DUMMYFUNCTION("""COMPUTED_VALUE"""),"RCEF 23-09-21 Rebidding")</f>
        <v>RCEF 23-09-21 Rebidding</v>
      </c>
      <c r="L267" s="2">
        <f>IFERROR(__xludf.DUMMYFUNCTION("""COMPUTED_VALUE"""),3.0)</f>
        <v>3</v>
      </c>
      <c r="M267" s="2"/>
      <c r="N267" s="74">
        <f>IFERROR(__xludf.DUMMYFUNCTION("""COMPUTED_VALUE"""),45380.0)</f>
        <v>45380</v>
      </c>
      <c r="O267" s="74">
        <f>IFERROR(__xludf.DUMMYFUNCTION("""COMPUTED_VALUE"""),45400.0)</f>
        <v>45400</v>
      </c>
      <c r="P267" s="2">
        <f>IFERROR(__xludf.DUMMYFUNCTION("""COMPUTED_VALUE"""),18783.0)</f>
        <v>18783</v>
      </c>
      <c r="Q267" s="2" t="str">
        <f>IFERROR(__xludf.DUMMYFUNCTION("""COMPUTED_VALUE"""),"KMC 5825 AKRFPV0342")</f>
        <v>KMC 5825 AKRFPV0342</v>
      </c>
      <c r="R267" s="2" t="str">
        <f>IFERROR(__xludf.DUMMYFUNCTION("""COMPUTED_VALUE"""),"RTS 100228")</f>
        <v>RTS 100228</v>
      </c>
      <c r="S267" s="2" t="str">
        <f>IFERROR(__xludf.DUMMYFUNCTION("""COMPUTED_VALUE"""),"R SERIES 123 PH")</f>
        <v>R SERIES 123 PH</v>
      </c>
      <c r="T267" s="2" t="str">
        <f>IFERROR(__xludf.DUMMYFUNCTION("""COMPUTED_VALUE"""),"LSGW1750 RMP 2312152")</f>
        <v>LSGW1750 RMP 2312152</v>
      </c>
      <c r="U267" s="2" t="str">
        <f>IFERROR(__xludf.DUMMYFUNCTION("""COMPUTED_VALUE"""),"WDP40 RMP 24020230")</f>
        <v>WDP40 RMP 24020230</v>
      </c>
      <c r="V267" s="2"/>
      <c r="W267" s="2" t="str">
        <f>IFERROR(__xludf.DUMMYFUNCTION("""COMPUTED_VALUE"""),"VL103D")</f>
        <v>VL103D</v>
      </c>
      <c r="X267" s="2">
        <f>IFERROR(__xludf.DUMMYFUNCTION("""COMPUTED_VALUE"""),8.69066060242246E14)</f>
        <v>869066060242246</v>
      </c>
      <c r="Y267" s="2">
        <f>IFERROR(__xludf.DUMMYFUNCTION("""COMPUTED_VALUE"""),9.624635438E9)</f>
        <v>9624635438</v>
      </c>
      <c r="Z267" s="2"/>
      <c r="AA267" s="2"/>
      <c r="AB267" s="2"/>
    </row>
    <row r="268">
      <c r="A268" s="2" t="str">
        <f>IFERROR(__xludf.DUMMYFUNCTION("""COMPUTED_VALUE"""),"TT00266")</f>
        <v>TT00266</v>
      </c>
      <c r="B268" s="2" t="str">
        <f>IFERROR(__xludf.DUMMYFUNCTION("""COMPUTED_VALUE"""),"Completed")</f>
        <v>Completed</v>
      </c>
      <c r="C268" s="2" t="str">
        <f>IFERROR(__xludf.DUMMYFUNCTION("""COMPUTED_VALUE"""),"FOR BILLING L3")</f>
        <v>FOR BILLING L3</v>
      </c>
      <c r="D268" s="2" t="str">
        <f>IFERROR(__xludf.DUMMYFUNCTION("""COMPUTED_VALUE"""),"SAMAHANG NG LEHITIMONG MAGSASAKA")</f>
        <v>SAMAHANG NG LEHITIMONG MAGSASAKA</v>
      </c>
      <c r="E268" s="2" t="str">
        <f>IFERROR(__xludf.DUMMYFUNCTION("""COMPUTED_VALUE"""),"Santo Niño 3rd, San Jose City, NUEVA ECIJA")</f>
        <v>Santo Niño 3rd, San Jose City, NUEVA ECIJA</v>
      </c>
      <c r="F268" s="2" t="str">
        <f>IFERROR(__xludf.DUMMYFUNCTION("""COMPUTED_VALUE"""),"Apolinario C. Aguilar")</f>
        <v>Apolinario C. Aguilar</v>
      </c>
      <c r="G268" s="2" t="str">
        <f>IFERROR(__xludf.DUMMYFUNCTION("""COMPUTED_VALUE"""),"0935-261-9291")</f>
        <v>0935-261-9291</v>
      </c>
      <c r="H268" s="2"/>
      <c r="I268" s="2"/>
      <c r="J268" s="2"/>
      <c r="K268" s="2" t="str">
        <f>IFERROR(__xludf.DUMMYFUNCTION("""COMPUTED_VALUE"""),"RCEF 23-09-21 Rebidding")</f>
        <v>RCEF 23-09-21 Rebidding</v>
      </c>
      <c r="L268" s="2">
        <f>IFERROR(__xludf.DUMMYFUNCTION("""COMPUTED_VALUE"""),3.0)</f>
        <v>3</v>
      </c>
      <c r="M268" s="2"/>
      <c r="N268" s="74">
        <f>IFERROR(__xludf.DUMMYFUNCTION("""COMPUTED_VALUE"""),45380.0)</f>
        <v>45380</v>
      </c>
      <c r="O268" s="74">
        <f>IFERROR(__xludf.DUMMYFUNCTION("""COMPUTED_VALUE"""),45400.0)</f>
        <v>45400</v>
      </c>
      <c r="P268" s="2">
        <f>IFERROR(__xludf.DUMMYFUNCTION("""COMPUTED_VALUE"""),18784.0)</f>
        <v>18784</v>
      </c>
      <c r="Q268" s="2" t="str">
        <f>IFERROR(__xludf.DUMMYFUNCTION("""COMPUTED_VALUE"""),"KMC 5825 AJRFPV0455")</f>
        <v>KMC 5825 AJRFPV0455</v>
      </c>
      <c r="R268" s="2" t="str">
        <f>IFERROR(__xludf.DUMMYFUNCTION("""COMPUTED_VALUE"""),"RTS 100358")</f>
        <v>RTS 100358</v>
      </c>
      <c r="S268" s="2" t="str">
        <f>IFERROR(__xludf.DUMMYFUNCTION("""COMPUTED_VALUE"""),"R SERIES 163 PH")</f>
        <v>R SERIES 163 PH</v>
      </c>
      <c r="T268" s="2" t="str">
        <f>IFERROR(__xludf.DUMMYFUNCTION("""COMPUTED_VALUE"""),"LSGW1750 RMP 24020540")</f>
        <v>LSGW1750 RMP 24020540</v>
      </c>
      <c r="U268" s="2" t="str">
        <f>IFERROR(__xludf.DUMMYFUNCTION("""COMPUTED_VALUE"""),"WDP40 RMP 24020225")</f>
        <v>WDP40 RMP 24020225</v>
      </c>
      <c r="V268" s="2"/>
      <c r="W268" s="2" t="str">
        <f>IFERROR(__xludf.DUMMYFUNCTION("""COMPUTED_VALUE"""),"VL103D")</f>
        <v>VL103D</v>
      </c>
      <c r="X268" s="2">
        <f>IFERROR(__xludf.DUMMYFUNCTION("""COMPUTED_VALUE"""),8.69066060244812E14)</f>
        <v>869066060244812</v>
      </c>
      <c r="Y268" s="2">
        <f>IFERROR(__xludf.DUMMYFUNCTION("""COMPUTED_VALUE"""),9.626441873E9)</f>
        <v>9626441873</v>
      </c>
      <c r="Z268" s="2"/>
      <c r="AA268" s="2"/>
      <c r="AB268" s="2"/>
    </row>
    <row r="269">
      <c r="A269" s="2" t="str">
        <f>IFERROR(__xludf.DUMMYFUNCTION("""COMPUTED_VALUE"""),"TT00267")</f>
        <v>TT00267</v>
      </c>
      <c r="B269" s="2" t="str">
        <f>IFERROR(__xludf.DUMMYFUNCTION("""COMPUTED_VALUE"""),"Completed")</f>
        <v>Completed</v>
      </c>
      <c r="C269" s="2" t="str">
        <f>IFERROR(__xludf.DUMMYFUNCTION("""COMPUTED_VALUE"""),"FOR BILLING L3")</f>
        <v>FOR BILLING L3</v>
      </c>
      <c r="D269" s="2" t="str">
        <f>IFERROR(__xludf.DUMMYFUNCTION("""COMPUTED_VALUE"""),"Farmers Joint Venture Agriculture Cooperative")</f>
        <v>Farmers Joint Venture Agriculture Cooperative</v>
      </c>
      <c r="E269" s="2" t="str">
        <f>IFERROR(__xludf.DUMMYFUNCTION("""COMPUTED_VALUE"""),"Linglingay, Science City of Munoz, NUEVA ECIJA")</f>
        <v>Linglingay, Science City of Munoz, NUEVA ECIJA</v>
      </c>
      <c r="F269" s="2" t="str">
        <f>IFERROR(__xludf.DUMMYFUNCTION("""COMPUTED_VALUE"""),"Avelino De Guzman")</f>
        <v>Avelino De Guzman</v>
      </c>
      <c r="G269" s="2" t="str">
        <f>IFERROR(__xludf.DUMMYFUNCTION("""COMPUTED_VALUE"""),"0965-522-0202")</f>
        <v>0965-522-0202</v>
      </c>
      <c r="H269" s="2"/>
      <c r="I269" s="2"/>
      <c r="J269" s="2"/>
      <c r="K269" s="2" t="str">
        <f>IFERROR(__xludf.DUMMYFUNCTION("""COMPUTED_VALUE"""),"RCEF 23-09-21 Rebidding")</f>
        <v>RCEF 23-09-21 Rebidding</v>
      </c>
      <c r="L269" s="2">
        <f>IFERROR(__xludf.DUMMYFUNCTION("""COMPUTED_VALUE"""),3.0)</f>
        <v>3</v>
      </c>
      <c r="M269" s="2"/>
      <c r="N269" s="74">
        <f>IFERROR(__xludf.DUMMYFUNCTION("""COMPUTED_VALUE"""),45380.0)</f>
        <v>45380</v>
      </c>
      <c r="O269" s="74">
        <f>IFERROR(__xludf.DUMMYFUNCTION("""COMPUTED_VALUE"""),45400.0)</f>
        <v>45400</v>
      </c>
      <c r="P269" s="2">
        <f>IFERROR(__xludf.DUMMYFUNCTION("""COMPUTED_VALUE"""),18785.0)</f>
        <v>18785</v>
      </c>
      <c r="Q269" s="2" t="str">
        <f>IFERROR(__xludf.DUMMYFUNCTION("""COMPUTED_VALUE"""),"KMC 5825 AHRFDV0401")</f>
        <v>KMC 5825 AHRFDV0401</v>
      </c>
      <c r="R269" s="2" t="str">
        <f>IFERROR(__xludf.DUMMYFUNCTION("""COMPUTED_VALUE"""),"RTS 100296")</f>
        <v>RTS 100296</v>
      </c>
      <c r="S269" s="2" t="str">
        <f>IFERROR(__xludf.DUMMYFUNCTION("""COMPUTED_VALUE"""),"R SERIES 027 PH")</f>
        <v>R SERIES 027 PH</v>
      </c>
      <c r="T269" s="2" t="str">
        <f>IFERROR(__xludf.DUMMYFUNCTION("""COMPUTED_VALUE"""),"LSGW1750 RMP 2312165")</f>
        <v>LSGW1750 RMP 2312165</v>
      </c>
      <c r="U269" s="2" t="str">
        <f>IFERROR(__xludf.DUMMYFUNCTION("""COMPUTED_VALUE"""),"WDP40 RMP 24020187")</f>
        <v>WDP40 RMP 24020187</v>
      </c>
      <c r="V269" s="2"/>
      <c r="W269" s="2" t="str">
        <f>IFERROR(__xludf.DUMMYFUNCTION("""COMPUTED_VALUE"""),"VL103D")</f>
        <v>VL103D</v>
      </c>
      <c r="X269" s="2">
        <f>IFERROR(__xludf.DUMMYFUNCTION("""COMPUTED_VALUE"""),8.69066060244762E14)</f>
        <v>869066060244762</v>
      </c>
      <c r="Y269" s="2">
        <f>IFERROR(__xludf.DUMMYFUNCTION("""COMPUTED_VALUE"""),9.624396925E9)</f>
        <v>9624396925</v>
      </c>
      <c r="Z269" s="2"/>
      <c r="AA269" s="2"/>
      <c r="AB269" s="2"/>
    </row>
    <row r="270">
      <c r="A270" s="2" t="str">
        <f>IFERROR(__xludf.DUMMYFUNCTION("""COMPUTED_VALUE"""),"TT00268")</f>
        <v>TT00268</v>
      </c>
      <c r="B270" s="2" t="str">
        <f>IFERROR(__xludf.DUMMYFUNCTION("""COMPUTED_VALUE"""),"Completed")</f>
        <v>Completed</v>
      </c>
      <c r="C270" s="2" t="str">
        <f>IFERROR(__xludf.DUMMYFUNCTION("""COMPUTED_VALUE"""),"FOR BILLING L3")</f>
        <v>FOR BILLING L3</v>
      </c>
      <c r="D270" s="2" t="str">
        <f>IFERROR(__xludf.DUMMYFUNCTION("""COMPUTED_VALUE"""),"Municipal Local Government unit of Talugtug")</f>
        <v>Municipal Local Government unit of Talugtug</v>
      </c>
      <c r="E270" s="2" t="str">
        <f>IFERROR(__xludf.DUMMYFUNCTION("""COMPUTED_VALUE"""),", Talugtug, NUEVA ECIJA")</f>
        <v>, Talugtug, NUEVA ECIJA</v>
      </c>
      <c r="F270" s="2" t="str">
        <f>IFERROR(__xludf.DUMMYFUNCTION("""COMPUTED_VALUE"""),"Pacifico B. Monta")</f>
        <v>Pacifico B. Monta</v>
      </c>
      <c r="G270" s="2" t="str">
        <f>IFERROR(__xludf.DUMMYFUNCTION("""COMPUTED_VALUE"""),"0917-565-3351")</f>
        <v>0917-565-3351</v>
      </c>
      <c r="H270" s="2"/>
      <c r="I270" s="2"/>
      <c r="J270" s="2"/>
      <c r="K270" s="2" t="str">
        <f>IFERROR(__xludf.DUMMYFUNCTION("""COMPUTED_VALUE"""),"RCEF 23-09-21 Rebidding")</f>
        <v>RCEF 23-09-21 Rebidding</v>
      </c>
      <c r="L270" s="2">
        <f>IFERROR(__xludf.DUMMYFUNCTION("""COMPUTED_VALUE"""),3.0)</f>
        <v>3</v>
      </c>
      <c r="M270" s="2"/>
      <c r="N270" s="74">
        <f>IFERROR(__xludf.DUMMYFUNCTION("""COMPUTED_VALUE"""),45380.0)</f>
        <v>45380</v>
      </c>
      <c r="O270" s="74">
        <f>IFERROR(__xludf.DUMMYFUNCTION("""COMPUTED_VALUE"""),45400.0)</f>
        <v>45400</v>
      </c>
      <c r="P270" s="2">
        <f>IFERROR(__xludf.DUMMYFUNCTION("""COMPUTED_VALUE"""),18786.0)</f>
        <v>18786</v>
      </c>
      <c r="Q270" s="2" t="str">
        <f>IFERROR(__xludf.DUMMYFUNCTION("""COMPUTED_VALUE"""),"KMC 5825 APRFPV0274")</f>
        <v>KMC 5825 APRFPV0274</v>
      </c>
      <c r="R270" s="2" t="str">
        <f>IFERROR(__xludf.DUMMYFUNCTION("""COMPUTED_VALUE"""),"RTS 100065")</f>
        <v>RTS 100065</v>
      </c>
      <c r="S270" s="2" t="str">
        <f>IFERROR(__xludf.DUMMYFUNCTION("""COMPUTED_VALUE"""),"R SERIES 162")</f>
        <v>R SERIES 162</v>
      </c>
      <c r="T270" s="2" t="str">
        <f>IFERROR(__xludf.DUMMYFUNCTION("""COMPUTED_VALUE"""),"LSGW1750 RMP 2312153")</f>
        <v>LSGW1750 RMP 2312153</v>
      </c>
      <c r="U270" s="2" t="str">
        <f>IFERROR(__xludf.DUMMYFUNCTION("""COMPUTED_VALUE"""),"WDP40 RMP 24020249")</f>
        <v>WDP40 RMP 24020249</v>
      </c>
      <c r="V270" s="2"/>
      <c r="W270" s="2" t="str">
        <f>IFERROR(__xludf.DUMMYFUNCTION("""COMPUTED_VALUE"""),"VL103D")</f>
        <v>VL103D</v>
      </c>
      <c r="X270" s="2">
        <f>IFERROR(__xludf.DUMMYFUNCTION("""COMPUTED_VALUE"""),8.6906606024222E14)</f>
        <v>869066060242220</v>
      </c>
      <c r="Y270" s="2">
        <f>IFERROR(__xludf.DUMMYFUNCTION("""COMPUTED_VALUE"""),9.624396931E9)</f>
        <v>9624396931</v>
      </c>
      <c r="Z270" s="2"/>
      <c r="AA270" s="2"/>
      <c r="AB270" s="2"/>
    </row>
    <row r="271">
      <c r="A271" s="2" t="str">
        <f>IFERROR(__xludf.DUMMYFUNCTION("""COMPUTED_VALUE"""),"TT00269")</f>
        <v>TT00269</v>
      </c>
      <c r="B271" s="2" t="str">
        <f>IFERROR(__xludf.DUMMYFUNCTION("""COMPUTED_VALUE"""),"Completed")</f>
        <v>Completed</v>
      </c>
      <c r="C271" s="2" t="str">
        <f>IFERROR(__xludf.DUMMYFUNCTION("""COMPUTED_VALUE"""),"FOR BILLING L3")</f>
        <v>FOR BILLING L3</v>
      </c>
      <c r="D271" s="2" t="str">
        <f>IFERROR(__xludf.DUMMYFUNCTION("""COMPUTED_VALUE"""),"SAVERS FARMERS ASSOCIATION, INC.")</f>
        <v>SAVERS FARMERS ASSOCIATION, INC.</v>
      </c>
      <c r="E271" s="2" t="str">
        <f>IFERROR(__xludf.DUMMYFUNCTION("""COMPUTED_VALUE"""),"Saverona, Talugtug, NUEVA ECIJA")</f>
        <v>Saverona, Talugtug, NUEVA ECIJA</v>
      </c>
      <c r="F271" s="2" t="str">
        <f>IFERROR(__xludf.DUMMYFUNCTION("""COMPUTED_VALUE"""),"Rudy M. Boado")</f>
        <v>Rudy M. Boado</v>
      </c>
      <c r="G271" s="2" t="str">
        <f>IFERROR(__xludf.DUMMYFUNCTION("""COMPUTED_VALUE"""),"0936-239-0565")</f>
        <v>0936-239-0565</v>
      </c>
      <c r="H271" s="2"/>
      <c r="I271" s="2"/>
      <c r="J271" s="2"/>
      <c r="K271" s="2" t="str">
        <f>IFERROR(__xludf.DUMMYFUNCTION("""COMPUTED_VALUE"""),"RCEF 23-09-21 Rebidding")</f>
        <v>RCEF 23-09-21 Rebidding</v>
      </c>
      <c r="L271" s="2">
        <f>IFERROR(__xludf.DUMMYFUNCTION("""COMPUTED_VALUE"""),3.0)</f>
        <v>3</v>
      </c>
      <c r="M271" s="2"/>
      <c r="N271" s="74">
        <f>IFERROR(__xludf.DUMMYFUNCTION("""COMPUTED_VALUE"""),45380.0)</f>
        <v>45380</v>
      </c>
      <c r="O271" s="2"/>
      <c r="P271" s="2">
        <f>IFERROR(__xludf.DUMMYFUNCTION("""COMPUTED_VALUE"""),18787.0)</f>
        <v>18787</v>
      </c>
      <c r="Q271" s="2" t="str">
        <f>IFERROR(__xludf.DUMMYFUNCTION("""COMPUTED_VALUE"""),"KMC 5825 ACRFDV0434")</f>
        <v>KMC 5825 ACRFDV0434</v>
      </c>
      <c r="R271" s="2" t="str">
        <f>IFERROR(__xludf.DUMMYFUNCTION("""COMPUTED_VALUE"""),"RTS 100295")</f>
        <v>RTS 100295</v>
      </c>
      <c r="S271" s="2" t="str">
        <f>IFERROR(__xludf.DUMMYFUNCTION("""COMPUTED_VALUE"""),"R SERIES 122 PH")</f>
        <v>R SERIES 122 PH</v>
      </c>
      <c r="T271" s="2" t="str">
        <f>IFERROR(__xludf.DUMMYFUNCTION("""COMPUTED_VALUE"""),"LSGW1750 RMP 24020491")</f>
        <v>LSGW1750 RMP 24020491</v>
      </c>
      <c r="U271" s="2" t="str">
        <f>IFERROR(__xludf.DUMMYFUNCTION("""COMPUTED_VALUE"""),"WDP40 RMP 24020232")</f>
        <v>WDP40 RMP 24020232</v>
      </c>
      <c r="V271" s="2"/>
      <c r="W271" s="2" t="str">
        <f>IFERROR(__xludf.DUMMYFUNCTION("""COMPUTED_VALUE"""),"VL103D")</f>
        <v>VL103D</v>
      </c>
      <c r="X271" s="2">
        <f>IFERROR(__xludf.DUMMYFUNCTION("""COMPUTED_VALUE"""),8.69066060242535E14)</f>
        <v>869066060242535</v>
      </c>
      <c r="Y271" s="2">
        <f>IFERROR(__xludf.DUMMYFUNCTION("""COMPUTED_VALUE"""),9.624396923E9)</f>
        <v>9624396923</v>
      </c>
      <c r="Z271" s="2"/>
      <c r="AA271" s="2"/>
      <c r="AB271" s="2"/>
    </row>
    <row r="272">
      <c r="A272" s="2" t="str">
        <f>IFERROR(__xludf.DUMMYFUNCTION("""COMPUTED_VALUE"""),"TT00270")</f>
        <v>TT00270</v>
      </c>
      <c r="B272" s="2" t="str">
        <f>IFERROR(__xludf.DUMMYFUNCTION("""COMPUTED_VALUE"""),"Completed")</f>
        <v>Completed</v>
      </c>
      <c r="C272" s="2" t="str">
        <f>IFERROR(__xludf.DUMMYFUNCTION("""COMPUTED_VALUE"""),"FOR BILLING L3")</f>
        <v>FOR BILLING L3</v>
      </c>
      <c r="D272" s="2" t="str">
        <f>IFERROR(__xludf.DUMMYFUNCTION("""COMPUTED_VALUE"""),"Bagong Pag-asa Larcon Farmers Association")</f>
        <v>Bagong Pag-asa Larcon Farmers Association</v>
      </c>
      <c r="E272" s="2" t="str">
        <f>IFERROR(__xludf.DUMMYFUNCTION("""COMPUTED_VALUE"""),"Larcon, Bongabon, NUEVA ECIJA")</f>
        <v>Larcon, Bongabon, NUEVA ECIJA</v>
      </c>
      <c r="F272" s="2" t="str">
        <f>IFERROR(__xludf.DUMMYFUNCTION("""COMPUTED_VALUE"""),"Marlon T. Lorenzo")</f>
        <v>Marlon T. Lorenzo</v>
      </c>
      <c r="G272" s="2" t="str">
        <f>IFERROR(__xludf.DUMMYFUNCTION("""COMPUTED_VALUE"""),"0936-180-2825")</f>
        <v>0936-180-2825</v>
      </c>
      <c r="H272" s="2"/>
      <c r="I272" s="2"/>
      <c r="J272" s="2"/>
      <c r="K272" s="2" t="str">
        <f>IFERROR(__xludf.DUMMYFUNCTION("""COMPUTED_VALUE"""),"RCEF 23-09-21 Rebidding")</f>
        <v>RCEF 23-09-21 Rebidding</v>
      </c>
      <c r="L272" s="2">
        <f>IFERROR(__xludf.DUMMYFUNCTION("""COMPUTED_VALUE"""),3.0)</f>
        <v>3</v>
      </c>
      <c r="M272" s="2"/>
      <c r="N272" s="74">
        <f>IFERROR(__xludf.DUMMYFUNCTION("""COMPUTED_VALUE"""),45380.0)</f>
        <v>45380</v>
      </c>
      <c r="O272" s="74">
        <f>IFERROR(__xludf.DUMMYFUNCTION("""COMPUTED_VALUE"""),45401.0)</f>
        <v>45401</v>
      </c>
      <c r="P272" s="2"/>
      <c r="Q272" s="2" t="str">
        <f>IFERROR(__xludf.DUMMYFUNCTION("""COMPUTED_VALUE"""),"KMC 5825 AAR FPV0380")</f>
        <v>KMC 5825 AAR FPV0380</v>
      </c>
      <c r="R272" s="2" t="str">
        <f>IFERROR(__xludf.DUMMYFUNCTION("""COMPUTED_VALUE"""),"RTS 100264")</f>
        <v>RTS 100264</v>
      </c>
      <c r="S272" s="2" t="str">
        <f>IFERROR(__xludf.DUMMYFUNCTION("""COMPUTED_VALUE"""),"R SERIES 024 PH")</f>
        <v>R SERIES 024 PH</v>
      </c>
      <c r="T272" s="2" t="str">
        <f>IFERROR(__xludf.DUMMYFUNCTION("""COMPUTED_VALUE"""),"LSGW1750 RMP 24020462")</f>
        <v>LSGW1750 RMP 24020462</v>
      </c>
      <c r="U272" s="2" t="str">
        <f>IFERROR(__xludf.DUMMYFUNCTION("""COMPUTED_VALUE"""),"WDP40 RMP 24020212")</f>
        <v>WDP40 RMP 24020212</v>
      </c>
      <c r="V272" s="2"/>
      <c r="W272" s="2" t="str">
        <f>IFERROR(__xludf.DUMMYFUNCTION("""COMPUTED_VALUE"""),"VL103D")</f>
        <v>VL103D</v>
      </c>
      <c r="X272" s="2">
        <f>IFERROR(__xludf.DUMMYFUNCTION("""COMPUTED_VALUE"""),8.69066060239556E14)</f>
        <v>869066060239556</v>
      </c>
      <c r="Y272" s="2">
        <f>IFERROR(__xludf.DUMMYFUNCTION("""COMPUTED_VALUE"""),9.624531329E9)</f>
        <v>9624531329</v>
      </c>
      <c r="Z272" s="2"/>
      <c r="AA272" s="2"/>
      <c r="AB272" s="2"/>
    </row>
    <row r="273">
      <c r="A273" s="2" t="str">
        <f>IFERROR(__xludf.DUMMYFUNCTION("""COMPUTED_VALUE"""),"TT00271")</f>
        <v>TT00271</v>
      </c>
      <c r="B273" s="2" t="str">
        <f>IFERROR(__xludf.DUMMYFUNCTION("""COMPUTED_VALUE"""),"Completed")</f>
        <v>Completed</v>
      </c>
      <c r="C273" s="2" t="str">
        <f>IFERROR(__xludf.DUMMYFUNCTION("""COMPUTED_VALUE"""),"FOR BILLING L3")</f>
        <v>FOR BILLING L3</v>
      </c>
      <c r="D273" s="2" t="str">
        <f>IFERROR(__xludf.DUMMYFUNCTION("""COMPUTED_VALUE"""),"MAGSASAKA NG BRGY. SANTOR IRRIGATORS ASSOCIATION INC")</f>
        <v>MAGSASAKA NG BRGY. SANTOR IRRIGATORS ASSOCIATION INC</v>
      </c>
      <c r="E273" s="2" t="str">
        <f>IFERROR(__xludf.DUMMYFUNCTION("""COMPUTED_VALUE"""),"Santor, Bongabon, NUEVA ECIJA")</f>
        <v>Santor, Bongabon, NUEVA ECIJA</v>
      </c>
      <c r="F273" s="2">
        <f>IFERROR(__xludf.DUMMYFUNCTION("""COMPUTED_VALUE"""),0.0)</f>
        <v>0</v>
      </c>
      <c r="G273" s="2" t="str">
        <f>IFERROR(__xludf.DUMMYFUNCTION("""COMPUTED_VALUE"""),"0997-543-7006 / 0919-970-8070")</f>
        <v>0997-543-7006 / 0919-970-8070</v>
      </c>
      <c r="H273" s="2"/>
      <c r="I273" s="2"/>
      <c r="J273" s="2"/>
      <c r="K273" s="2" t="str">
        <f>IFERROR(__xludf.DUMMYFUNCTION("""COMPUTED_VALUE"""),"RCEF 23-09-21 Rebidding")</f>
        <v>RCEF 23-09-21 Rebidding</v>
      </c>
      <c r="L273" s="2">
        <f>IFERROR(__xludf.DUMMYFUNCTION("""COMPUTED_VALUE"""),3.0)</f>
        <v>3</v>
      </c>
      <c r="M273" s="2"/>
      <c r="N273" s="74">
        <f>IFERROR(__xludf.DUMMYFUNCTION("""COMPUTED_VALUE"""),45380.0)</f>
        <v>45380</v>
      </c>
      <c r="O273" s="74">
        <f>IFERROR(__xludf.DUMMYFUNCTION("""COMPUTED_VALUE"""),45401.0)</f>
        <v>45401</v>
      </c>
      <c r="P273" s="2">
        <f>IFERROR(__xludf.DUMMYFUNCTION("""COMPUTED_VALUE"""),18789.0)</f>
        <v>18789</v>
      </c>
      <c r="Q273" s="2" t="str">
        <f>IFERROR(__xludf.DUMMYFUNCTION("""COMPUTED_VALUE"""),"KMC 5825 AFRFPV0402")</f>
        <v>KMC 5825 AFRFPV0402</v>
      </c>
      <c r="R273" s="2" t="str">
        <f>IFERROR(__xludf.DUMMYFUNCTION("""COMPUTED_VALUE"""),"RTS100309")</f>
        <v>RTS100309</v>
      </c>
      <c r="S273" s="2" t="str">
        <f>IFERROR(__xludf.DUMMYFUNCTION("""COMPUTED_VALUE"""),"R SERIES 388 PH")</f>
        <v>R SERIES 388 PH</v>
      </c>
      <c r="T273" s="2" t="str">
        <f>IFERROR(__xludf.DUMMYFUNCTION("""COMPUTED_VALUE"""),"LSGW1750 RMP 24020487")</f>
        <v>LSGW1750 RMP 24020487</v>
      </c>
      <c r="U273" s="2" t="str">
        <f>IFERROR(__xludf.DUMMYFUNCTION("""COMPUTED_VALUE"""),"WDP40 RMP 24020214")</f>
        <v>WDP40 RMP 24020214</v>
      </c>
      <c r="V273" s="2"/>
      <c r="W273" s="2" t="str">
        <f>IFERROR(__xludf.DUMMYFUNCTION("""COMPUTED_VALUE"""),"VL103D")</f>
        <v>VL103D</v>
      </c>
      <c r="X273" s="2">
        <f>IFERROR(__xludf.DUMMYFUNCTION("""COMPUTED_VALUE"""),8.69066060241312E14)</f>
        <v>869066060241312</v>
      </c>
      <c r="Y273" s="2">
        <f>IFERROR(__xludf.DUMMYFUNCTION("""COMPUTED_VALUE"""),9.62623759E9)</f>
        <v>9626237590</v>
      </c>
      <c r="Z273" s="2"/>
      <c r="AA273" s="2"/>
      <c r="AB273" s="2"/>
    </row>
    <row r="274">
      <c r="A274" s="2" t="str">
        <f>IFERROR(__xludf.DUMMYFUNCTION("""COMPUTED_VALUE"""),"TT00272")</f>
        <v>TT00272</v>
      </c>
      <c r="B274" s="2" t="str">
        <f>IFERROR(__xludf.DUMMYFUNCTION("""COMPUTED_VALUE"""),"Completed")</f>
        <v>Completed</v>
      </c>
      <c r="C274" s="2" t="str">
        <f>IFERROR(__xludf.DUMMYFUNCTION("""COMPUTED_VALUE"""),"FOR BILLING L3")</f>
        <v>FOR BILLING L3</v>
      </c>
      <c r="D274" s="2" t="str">
        <f>IFERROR(__xludf.DUMMYFUNCTION("""COMPUTED_VALUE"""),"BARANGAY BAGONG SIKAT FARMERS ASSOCIATION")</f>
        <v>BARANGAY BAGONG SIKAT FARMERS ASSOCIATION</v>
      </c>
      <c r="E274" s="2" t="str">
        <f>IFERROR(__xludf.DUMMYFUNCTION("""COMPUTED_VALUE"""),"Bagong Sikat, Cabanatuan City, NUEVA ECIJA")</f>
        <v>Bagong Sikat, Cabanatuan City, NUEVA ECIJA</v>
      </c>
      <c r="F274" s="2" t="str">
        <f>IFERROR(__xludf.DUMMYFUNCTION("""COMPUTED_VALUE"""),"Manolito P. Delos Reyes")</f>
        <v>Manolito P. Delos Reyes</v>
      </c>
      <c r="G274" s="2" t="str">
        <f>IFERROR(__xludf.DUMMYFUNCTION("""COMPUTED_VALUE"""),"0970-711-0096")</f>
        <v>0970-711-0096</v>
      </c>
      <c r="H274" s="2"/>
      <c r="I274" s="2"/>
      <c r="J274" s="2"/>
      <c r="K274" s="2" t="str">
        <f>IFERROR(__xludf.DUMMYFUNCTION("""COMPUTED_VALUE"""),"RCEF 23-09-21 Rebidding")</f>
        <v>RCEF 23-09-21 Rebidding</v>
      </c>
      <c r="L274" s="2">
        <f>IFERROR(__xludf.DUMMYFUNCTION("""COMPUTED_VALUE"""),3.0)</f>
        <v>3</v>
      </c>
      <c r="M274" s="2"/>
      <c r="N274" s="74">
        <f>IFERROR(__xludf.DUMMYFUNCTION("""COMPUTED_VALUE"""),45380.0)</f>
        <v>45380</v>
      </c>
      <c r="O274" s="74">
        <f>IFERROR(__xludf.DUMMYFUNCTION("""COMPUTED_VALUE"""),45401.0)</f>
        <v>45401</v>
      </c>
      <c r="P274" s="2">
        <f>IFERROR(__xludf.DUMMYFUNCTION("""COMPUTED_VALUE"""),18790.0)</f>
        <v>18790</v>
      </c>
      <c r="Q274" s="2" t="str">
        <f>IFERROR(__xludf.DUMMYFUNCTION("""COMPUTED_VALUE"""),"KMC 5825 AIR FPV 0502")</f>
        <v>KMC 5825 AIR FPV 0502</v>
      </c>
      <c r="R274" s="2" t="str">
        <f>IFERROR(__xludf.DUMMYFUNCTION("""COMPUTED_VALUE"""),"RTS 100420")</f>
        <v>RTS 100420</v>
      </c>
      <c r="S274" s="2" t="str">
        <f>IFERROR(__xludf.DUMMYFUNCTION("""COMPUTED_VALUE"""),"R SERIES 031 PH")</f>
        <v>R SERIES 031 PH</v>
      </c>
      <c r="T274" s="2" t="str">
        <f>IFERROR(__xludf.DUMMYFUNCTION("""COMPUTED_VALUE"""),"LSGW1750 RMP 2312159")</f>
        <v>LSGW1750 RMP 2312159</v>
      </c>
      <c r="U274" s="2" t="str">
        <f>IFERROR(__xludf.DUMMYFUNCTION("""COMPUTED_VALUE"""),"WDP40 RMP 24020204")</f>
        <v>WDP40 RMP 24020204</v>
      </c>
      <c r="V274" s="2"/>
      <c r="W274" s="2" t="str">
        <f>IFERROR(__xludf.DUMMYFUNCTION("""COMPUTED_VALUE"""),"VL103D")</f>
        <v>VL103D</v>
      </c>
      <c r="X274" s="2">
        <f>IFERROR(__xludf.DUMMYFUNCTION("""COMPUTED_VALUE"""),8.69066060243707E14)</f>
        <v>869066060243707</v>
      </c>
      <c r="Y274" s="2">
        <f>IFERROR(__xludf.DUMMYFUNCTION("""COMPUTED_VALUE"""),9.624531327E9)</f>
        <v>9624531327</v>
      </c>
      <c r="Z274" s="2"/>
      <c r="AA274" s="2"/>
      <c r="AB274" s="2"/>
    </row>
    <row r="275">
      <c r="A275" s="2" t="str">
        <f>IFERROR(__xludf.DUMMYFUNCTION("""COMPUTED_VALUE"""),"TT00273")</f>
        <v>TT00273</v>
      </c>
      <c r="B275" s="2" t="str">
        <f>IFERROR(__xludf.DUMMYFUNCTION("""COMPUTED_VALUE"""),"Completed")</f>
        <v>Completed</v>
      </c>
      <c r="C275" s="2" t="str">
        <f>IFERROR(__xludf.DUMMYFUNCTION("""COMPUTED_VALUE"""),"FOR BILLING L3")</f>
        <v>FOR BILLING L3</v>
      </c>
      <c r="D275" s="2" t="str">
        <f>IFERROR(__xludf.DUMMYFUNCTION("""COMPUTED_VALUE"""),"BAGONG BUHAY, FARMERS ASSOCIATION, INC.")</f>
        <v>BAGONG BUHAY, FARMERS ASSOCIATION, INC.</v>
      </c>
      <c r="E275" s="2" t="str">
        <f>IFERROR(__xludf.DUMMYFUNCTION("""COMPUTED_VALUE"""),"BAGONG BUHAY, CABANATUAN CITY, NUEVA ECIJA")</f>
        <v>BAGONG BUHAY, CABANATUAN CITY, NUEVA ECIJA</v>
      </c>
      <c r="F275" s="2" t="str">
        <f>IFERROR(__xludf.DUMMYFUNCTION("""COMPUTED_VALUE"""),"LITO P. PADANON")</f>
        <v>LITO P. PADANON</v>
      </c>
      <c r="G275" s="2">
        <f>IFERROR(__xludf.DUMMYFUNCTION("""COMPUTED_VALUE"""),9.776048249E9)</f>
        <v>9776048249</v>
      </c>
      <c r="H275" s="2"/>
      <c r="I275" s="2"/>
      <c r="J275" s="2"/>
      <c r="K275" s="2" t="str">
        <f>IFERROR(__xludf.DUMMYFUNCTION("""COMPUTED_VALUE"""),"RCEF 23-09-21 Rebidding")</f>
        <v>RCEF 23-09-21 Rebidding</v>
      </c>
      <c r="L275" s="2">
        <f>IFERROR(__xludf.DUMMYFUNCTION("""COMPUTED_VALUE"""),3.0)</f>
        <v>3</v>
      </c>
      <c r="M275" s="2"/>
      <c r="N275" s="74">
        <f>IFERROR(__xludf.DUMMYFUNCTION("""COMPUTED_VALUE"""),45380.0)</f>
        <v>45380</v>
      </c>
      <c r="O275" s="74">
        <f>IFERROR(__xludf.DUMMYFUNCTION("""COMPUTED_VALUE"""),45401.0)</f>
        <v>45401</v>
      </c>
      <c r="P275" s="2">
        <f>IFERROR(__xludf.DUMMYFUNCTION("""COMPUTED_VALUE"""),18791.0)</f>
        <v>18791</v>
      </c>
      <c r="Q275" s="2" t="str">
        <f>IFERROR(__xludf.DUMMYFUNCTION("""COMPUTED_VALUE"""),"KMC 5825 ALRFPV 0400")</f>
        <v>KMC 5825 ALRFPV 0400</v>
      </c>
      <c r="R275" s="2" t="str">
        <f>IFERROR(__xludf.DUMMYFUNCTION("""COMPUTED_VALUE"""),"RTS 100298")</f>
        <v>RTS 100298</v>
      </c>
      <c r="S275" s="2" t="str">
        <f>IFERROR(__xludf.DUMMYFUNCTION("""COMPUTED_VALUE"""),"R SERIES 018 PH")</f>
        <v>R SERIES 018 PH</v>
      </c>
      <c r="T275" s="2" t="str">
        <f>IFERROR(__xludf.DUMMYFUNCTION("""COMPUTED_VALUE"""),"LSGW1750 RMP 2312051")</f>
        <v>LSGW1750 RMP 2312051</v>
      </c>
      <c r="U275" s="2" t="str">
        <f>IFERROR(__xludf.DUMMYFUNCTION("""COMPUTED_VALUE"""),"WDP40 RMP 24020195")</f>
        <v>WDP40 RMP 24020195</v>
      </c>
      <c r="V275" s="2"/>
      <c r="W275" s="2" t="str">
        <f>IFERROR(__xludf.DUMMYFUNCTION("""COMPUTED_VALUE"""),"VL103D")</f>
        <v>VL103D</v>
      </c>
      <c r="X275" s="2"/>
      <c r="Y275" s="2"/>
      <c r="Z275" s="2"/>
      <c r="AA275" s="2"/>
      <c r="AB275" s="2"/>
    </row>
    <row r="276">
      <c r="A276" s="2" t="str">
        <f>IFERROR(__xludf.DUMMYFUNCTION("""COMPUTED_VALUE"""),"TT00274")</f>
        <v>TT00274</v>
      </c>
      <c r="B276" s="2" t="str">
        <f>IFERROR(__xludf.DUMMYFUNCTION("""COMPUTED_VALUE"""),"Completed")</f>
        <v>Completed</v>
      </c>
      <c r="C276" s="2" t="str">
        <f>IFERROR(__xludf.DUMMYFUNCTION("""COMPUTED_VALUE"""),"FOR BILLING L3")</f>
        <v>FOR BILLING L3</v>
      </c>
      <c r="D276" s="2" t="str">
        <f>IFERROR(__xludf.DUMMYFUNCTION("""COMPUTED_VALUE"""),"PANTOC FARMER'S ASSOCIATION")</f>
        <v>PANTOC FARMER'S ASSOCIATION</v>
      </c>
      <c r="E276" s="2" t="str">
        <f>IFERROR(__xludf.DUMMYFUNCTION("""COMPUTED_VALUE"""),"Pantoc, Gabaldon, NUEVA ECIJA")</f>
        <v>Pantoc, Gabaldon, NUEVA ECIJA</v>
      </c>
      <c r="F276" s="2" t="str">
        <f>IFERROR(__xludf.DUMMYFUNCTION("""COMPUTED_VALUE"""),"Victor D. Dacumos")</f>
        <v>Victor D. Dacumos</v>
      </c>
      <c r="G276" s="2" t="str">
        <f>IFERROR(__xludf.DUMMYFUNCTION("""COMPUTED_VALUE"""),"0956-968-8856")</f>
        <v>0956-968-8856</v>
      </c>
      <c r="H276" s="2"/>
      <c r="I276" s="2"/>
      <c r="J276" s="2"/>
      <c r="K276" s="2" t="str">
        <f>IFERROR(__xludf.DUMMYFUNCTION("""COMPUTED_VALUE"""),"RCEF 23-09-21 Rebidding")</f>
        <v>RCEF 23-09-21 Rebidding</v>
      </c>
      <c r="L276" s="2">
        <f>IFERROR(__xludf.DUMMYFUNCTION("""COMPUTED_VALUE"""),3.0)</f>
        <v>3</v>
      </c>
      <c r="M276" s="2"/>
      <c r="N276" s="2"/>
      <c r="O276" s="2"/>
      <c r="P276" s="2"/>
      <c r="Q276" s="2" t="str">
        <f>IFERROR(__xludf.DUMMYFUNCTION("""COMPUTED_VALUE"""),"KMC 5825 AIRFPV0418")</f>
        <v>KMC 5825 AIRFPV0418</v>
      </c>
      <c r="R276" s="2" t="str">
        <f>IFERROR(__xludf.DUMMYFUNCTION("""COMPUTED_VALUE"""),"RTS 100326")</f>
        <v>RTS 100326</v>
      </c>
      <c r="S276" s="2" t="str">
        <f>IFERROR(__xludf.DUMMYFUNCTION("""COMPUTED_VALUE"""),"R SERIES 425 PH")</f>
        <v>R SERIES 425 PH</v>
      </c>
      <c r="T276" s="2" t="str">
        <f>IFERROR(__xludf.DUMMYFUNCTION("""COMPUTED_VALUE"""),"LSGW1750 RMP 24020484")</f>
        <v>LSGW1750 RMP 24020484</v>
      </c>
      <c r="U276" s="2" t="str">
        <f>IFERROR(__xludf.DUMMYFUNCTION("""COMPUTED_VALUE"""),"WDP40 RMP 22020189")</f>
        <v>WDP40 RMP 22020189</v>
      </c>
      <c r="V276" s="2"/>
      <c r="W276" s="2" t="str">
        <f>IFERROR(__xludf.DUMMYFUNCTION("""COMPUTED_VALUE"""),"VL103D")</f>
        <v>VL103D</v>
      </c>
      <c r="X276" s="2">
        <f>IFERROR(__xludf.DUMMYFUNCTION("""COMPUTED_VALUE"""),8.69066060237592E14)</f>
        <v>869066060237592</v>
      </c>
      <c r="Y276" s="2">
        <f>IFERROR(__xludf.DUMMYFUNCTION("""COMPUTED_VALUE"""),9.624607595E9)</f>
        <v>9624607595</v>
      </c>
      <c r="Z276" s="2"/>
      <c r="AA276" s="2"/>
      <c r="AB276" s="2"/>
    </row>
    <row r="277">
      <c r="A277" s="2" t="str">
        <f>IFERROR(__xludf.DUMMYFUNCTION("""COMPUTED_VALUE"""),"TT00275")</f>
        <v>TT00275</v>
      </c>
      <c r="B277" s="2" t="str">
        <f>IFERROR(__xludf.DUMMYFUNCTION("""COMPUTED_VALUE"""),"Completed")</f>
        <v>Completed</v>
      </c>
      <c r="C277" s="2" t="str">
        <f>IFERROR(__xludf.DUMMYFUNCTION("""COMPUTED_VALUE"""),"FOR BILLING L3")</f>
        <v>FOR BILLING L3</v>
      </c>
      <c r="D277" s="2" t="str">
        <f>IFERROR(__xludf.DUMMYFUNCTION("""COMPUTED_VALUE"""),"SAMAHANG MAGSASAKA NA MAY IISANG LAYUNIN AT ADHIKAIN")</f>
        <v>SAMAHANG MAGSASAKA NA MAY IISANG LAYUNIN AT ADHIKAIN</v>
      </c>
      <c r="E277" s="2" t="str">
        <f>IFERROR(__xludf.DUMMYFUNCTION("""COMPUTED_VALUE"""),"Bugnan, Gabaldon, NUEVA ECIJA")</f>
        <v>Bugnan, Gabaldon, NUEVA ECIJA</v>
      </c>
      <c r="F277" s="2" t="str">
        <f>IFERROR(__xludf.DUMMYFUNCTION("""COMPUTED_VALUE"""),"Joselyn R. Anuran")</f>
        <v>Joselyn R. Anuran</v>
      </c>
      <c r="G277" s="2" t="str">
        <f>IFERROR(__xludf.DUMMYFUNCTION("""COMPUTED_VALUE"""),"Joselyn R. Anuran")</f>
        <v>Joselyn R. Anuran</v>
      </c>
      <c r="H277" s="2"/>
      <c r="I277" s="2"/>
      <c r="J277" s="2"/>
      <c r="K277" s="2" t="str">
        <f>IFERROR(__xludf.DUMMYFUNCTION("""COMPUTED_VALUE"""),"RCEF 23-09-21 Rebidding")</f>
        <v>RCEF 23-09-21 Rebidding</v>
      </c>
      <c r="L277" s="2">
        <f>IFERROR(__xludf.DUMMYFUNCTION("""COMPUTED_VALUE"""),3.0)</f>
        <v>3</v>
      </c>
      <c r="M277" s="2"/>
      <c r="N277" s="74">
        <f>IFERROR(__xludf.DUMMYFUNCTION("""COMPUTED_VALUE"""),45380.0)</f>
        <v>45380</v>
      </c>
      <c r="O277" s="74">
        <f>IFERROR(__xludf.DUMMYFUNCTION("""COMPUTED_VALUE"""),45401.0)</f>
        <v>45401</v>
      </c>
      <c r="P277" s="2">
        <f>IFERROR(__xludf.DUMMYFUNCTION("""COMPUTED_VALUE"""),18793.0)</f>
        <v>18793</v>
      </c>
      <c r="Q277" s="2" t="str">
        <f>IFERROR(__xludf.DUMMYFUNCTION("""COMPUTED_VALUE"""),"KMC 5825 ALRFPV0459")</f>
        <v>KMC 5825 ALRFPV0459</v>
      </c>
      <c r="R277" s="2" t="str">
        <f>IFERROR(__xludf.DUMMYFUNCTION("""COMPUTED_VALUE"""),"RTS 100365")</f>
        <v>RTS 100365</v>
      </c>
      <c r="S277" s="2" t="str">
        <f>IFERROR(__xludf.DUMMYFUNCTION("""COMPUTED_VALUE"""),"R SERIES 389 PH")</f>
        <v>R SERIES 389 PH</v>
      </c>
      <c r="T277" s="2" t="str">
        <f>IFERROR(__xludf.DUMMYFUNCTION("""COMPUTED_VALUE"""),"LSGW1750 RMP 24020485")</f>
        <v>LSGW1750 RMP 24020485</v>
      </c>
      <c r="U277" s="2" t="str">
        <f>IFERROR(__xludf.DUMMYFUNCTION("""COMPUTED_VALUE"""),"WDP40 RMP 24020186")</f>
        <v>WDP40 RMP 24020186</v>
      </c>
      <c r="V277" s="2"/>
      <c r="W277" s="2" t="str">
        <f>IFERROR(__xludf.DUMMYFUNCTION("""COMPUTED_VALUE"""),"VL103D")</f>
        <v>VL103D</v>
      </c>
      <c r="X277" s="2">
        <f>IFERROR(__xludf.DUMMYFUNCTION("""COMPUTED_VALUE"""),8.69066060244382E14)</f>
        <v>869066060244382</v>
      </c>
      <c r="Y277" s="2">
        <f>IFERROR(__xludf.DUMMYFUNCTION("""COMPUTED_VALUE"""),9.62623759E9)</f>
        <v>9626237590</v>
      </c>
      <c r="Z277" s="2"/>
      <c r="AA277" s="2"/>
      <c r="AB277" s="2"/>
    </row>
    <row r="278">
      <c r="A278" s="2" t="str">
        <f>IFERROR(__xludf.DUMMYFUNCTION("""COMPUTED_VALUE"""),"TT00276")</f>
        <v>TT00276</v>
      </c>
      <c r="B278" s="2" t="str">
        <f>IFERROR(__xludf.DUMMYFUNCTION("""COMPUTED_VALUE"""),"Completed")</f>
        <v>Completed</v>
      </c>
      <c r="C278" s="2" t="str">
        <f>IFERROR(__xludf.DUMMYFUNCTION("""COMPUTED_VALUE"""),"FOR BILLING L3")</f>
        <v>FOR BILLING L3</v>
      </c>
      <c r="D278" s="2" t="str">
        <f>IFERROR(__xludf.DUMMYFUNCTION("""COMPUTED_VALUE"""),"Nag-iisang Masikap Primary Multipurpose Cooperative")</f>
        <v>Nag-iisang Masikap Primary Multipurpose Cooperative</v>
      </c>
      <c r="E278" s="2" t="str">
        <f>IFERROR(__xludf.DUMMYFUNCTION("""COMPUTED_VALUE"""),"Balangkare Sur, General Mamerto Natividad, NUEVA ECIJA")</f>
        <v>Balangkare Sur, General Mamerto Natividad, NUEVA ECIJA</v>
      </c>
      <c r="F278" s="2" t="str">
        <f>IFERROR(__xludf.DUMMYFUNCTION("""COMPUTED_VALUE"""),"Crispin T. Barcancel")</f>
        <v>Crispin T. Barcancel</v>
      </c>
      <c r="G278" s="2" t="str">
        <f>IFERROR(__xludf.DUMMYFUNCTION("""COMPUTED_VALUE"""),"0932-4789-927")</f>
        <v>0932-4789-927</v>
      </c>
      <c r="H278" s="2"/>
      <c r="I278" s="2"/>
      <c r="J278" s="2"/>
      <c r="K278" s="2" t="str">
        <f>IFERROR(__xludf.DUMMYFUNCTION("""COMPUTED_VALUE"""),"RCEF 23-09-21 Rebidding")</f>
        <v>RCEF 23-09-21 Rebidding</v>
      </c>
      <c r="L278" s="2">
        <f>IFERROR(__xludf.DUMMYFUNCTION("""COMPUTED_VALUE"""),3.0)</f>
        <v>3</v>
      </c>
      <c r="M278" s="2"/>
      <c r="N278" s="74">
        <f>IFERROR(__xludf.DUMMYFUNCTION("""COMPUTED_VALUE"""),45380.0)</f>
        <v>45380</v>
      </c>
      <c r="O278" s="74">
        <f>IFERROR(__xludf.DUMMYFUNCTION("""COMPUTED_VALUE"""),45401.0)</f>
        <v>45401</v>
      </c>
      <c r="P278" s="2">
        <f>IFERROR(__xludf.DUMMYFUNCTION("""COMPUTED_VALUE"""),18794.0)</f>
        <v>18794</v>
      </c>
      <c r="Q278" s="2" t="str">
        <f>IFERROR(__xludf.DUMMYFUNCTION("""COMPUTED_VALUE"""),"KMC 5825 ACRFPV0465")</f>
        <v>KMC 5825 ACRFPV0465</v>
      </c>
      <c r="R278" s="2" t="str">
        <f>IFERROR(__xludf.DUMMYFUNCTION("""COMPUTED_VALUE"""),"RTS100374")</f>
        <v>RTS100374</v>
      </c>
      <c r="S278" s="2" t="str">
        <f>IFERROR(__xludf.DUMMYFUNCTION("""COMPUTED_VALUE"""),"R SERIES 035")</f>
        <v>R SERIES 035</v>
      </c>
      <c r="T278" s="2" t="str">
        <f>IFERROR(__xludf.DUMMYFUNCTION("""COMPUTED_VALUE"""),"LSGW1750 RMP 2312139")</f>
        <v>LSGW1750 RMP 2312139</v>
      </c>
      <c r="U278" s="2" t="str">
        <f>IFERROR(__xludf.DUMMYFUNCTION("""COMPUTED_VALUE"""),"WDP40 RMP 24020245")</f>
        <v>WDP40 RMP 24020245</v>
      </c>
      <c r="V278" s="2"/>
      <c r="W278" s="2" t="str">
        <f>IFERROR(__xludf.DUMMYFUNCTION("""COMPUTED_VALUE"""),"VL103D")</f>
        <v>VL103D</v>
      </c>
      <c r="X278" s="2">
        <f>IFERROR(__xludf.DUMMYFUNCTION("""COMPUTED_VALUE"""),8.69066060237725E14)</f>
        <v>869066060237725</v>
      </c>
      <c r="Y278" s="2">
        <f>IFERROR(__xludf.DUMMYFUNCTION("""COMPUTED_VALUE"""),9.626463702E9)</f>
        <v>9626463702</v>
      </c>
      <c r="Z278" s="2"/>
      <c r="AA278" s="2"/>
      <c r="AB278" s="2"/>
    </row>
    <row r="279">
      <c r="A279" s="2" t="str">
        <f>IFERROR(__xludf.DUMMYFUNCTION("""COMPUTED_VALUE"""),"TT00277")</f>
        <v>TT00277</v>
      </c>
      <c r="B279" s="2" t="str">
        <f>IFERROR(__xludf.DUMMYFUNCTION("""COMPUTED_VALUE"""),"Completed")</f>
        <v>Completed</v>
      </c>
      <c r="C279" s="2" t="str">
        <f>IFERROR(__xludf.DUMMYFUNCTION("""COMPUTED_VALUE"""),"FOR BILLING L3")</f>
        <v>FOR BILLING L3</v>
      </c>
      <c r="D279" s="2" t="str">
        <f>IFERROR(__xludf.DUMMYFUNCTION("""COMPUTED_VALUE"""),"PITANOR FARMERS IRRIGATORS ASSOCIATION, INC.")</f>
        <v>PITANOR FARMERS IRRIGATORS ASSOCIATION, INC.</v>
      </c>
      <c r="E279" s="2" t="str">
        <f>IFERROR(__xludf.DUMMYFUNCTION("""COMPUTED_VALUE"""),"Poblacion, General Mamerto Natividad, NUEVA ECIJA")</f>
        <v>Poblacion, General Mamerto Natividad, NUEVA ECIJA</v>
      </c>
      <c r="F279" s="2" t="str">
        <f>IFERROR(__xludf.DUMMYFUNCTION("""COMPUTED_VALUE"""),"Eliseo G. Carlos")</f>
        <v>Eliseo G. Carlos</v>
      </c>
      <c r="G279" s="2" t="str">
        <f>IFERROR(__xludf.DUMMYFUNCTION("""COMPUTED_VALUE"""),"0926-506-4144")</f>
        <v>0926-506-4144</v>
      </c>
      <c r="H279" s="2"/>
      <c r="I279" s="2"/>
      <c r="J279" s="2"/>
      <c r="K279" s="2" t="str">
        <f>IFERROR(__xludf.DUMMYFUNCTION("""COMPUTED_VALUE"""),"RCEF 23-09-21 Rebidding")</f>
        <v>RCEF 23-09-21 Rebidding</v>
      </c>
      <c r="L279" s="2">
        <f>IFERROR(__xludf.DUMMYFUNCTION("""COMPUTED_VALUE"""),3.0)</f>
        <v>3</v>
      </c>
      <c r="M279" s="2"/>
      <c r="N279" s="74">
        <f>IFERROR(__xludf.DUMMYFUNCTION("""COMPUTED_VALUE"""),45380.0)</f>
        <v>45380</v>
      </c>
      <c r="O279" s="74">
        <f>IFERROR(__xludf.DUMMYFUNCTION("""COMPUTED_VALUE"""),45401.0)</f>
        <v>45401</v>
      </c>
      <c r="P279" s="2">
        <f>IFERROR(__xludf.DUMMYFUNCTION("""COMPUTED_VALUE"""),18795.0)</f>
        <v>18795</v>
      </c>
      <c r="Q279" s="2" t="str">
        <f>IFERROR(__xludf.DUMMYFUNCTION("""COMPUTED_VALUE"""),"KMC 5825 AARFPV0301")</f>
        <v>KMC 5825 AARFPV0301</v>
      </c>
      <c r="R279" s="2" t="str">
        <f>IFERROR(__xludf.DUMMYFUNCTION("""COMPUTED_VALUE"""),"RTS 100170")</f>
        <v>RTS 100170</v>
      </c>
      <c r="S279" s="2" t="str">
        <f>IFERROR(__xludf.DUMMYFUNCTION("""COMPUTED_VALUE"""),"R SERIES 128 PH")</f>
        <v>R SERIES 128 PH</v>
      </c>
      <c r="T279" s="2" t="str">
        <f>IFERROR(__xludf.DUMMYFUNCTION("""COMPUTED_VALUE"""),"LSGW1750 RMP 2312158")</f>
        <v>LSGW1750 RMP 2312158</v>
      </c>
      <c r="U279" s="2" t="str">
        <f>IFERROR(__xludf.DUMMYFUNCTION("""COMPUTED_VALUE"""),"WDP40 RMP 2402010")</f>
        <v>WDP40 RMP 2402010</v>
      </c>
      <c r="V279" s="2"/>
      <c r="W279" s="2" t="str">
        <f>IFERROR(__xludf.DUMMYFUNCTION("""COMPUTED_VALUE"""),"VL103D")</f>
        <v>VL103D</v>
      </c>
      <c r="X279" s="2">
        <f>IFERROR(__xludf.DUMMYFUNCTION("""COMPUTED_VALUE"""),8.69066060241982E14)</f>
        <v>869066060241982</v>
      </c>
      <c r="Y279" s="2">
        <f>IFERROR(__xludf.DUMMYFUNCTION("""COMPUTED_VALUE"""),9.624530859E9)</f>
        <v>9624530859</v>
      </c>
      <c r="Z279" s="2"/>
      <c r="AA279" s="2"/>
      <c r="AB279" s="2"/>
    </row>
    <row r="280">
      <c r="A280" s="2" t="str">
        <f>IFERROR(__xludf.DUMMYFUNCTION("""COMPUTED_VALUE"""),"TT00278")</f>
        <v>TT00278</v>
      </c>
      <c r="B280" s="2" t="str">
        <f>IFERROR(__xludf.DUMMYFUNCTION("""COMPUTED_VALUE"""),"Completed")</f>
        <v>Completed</v>
      </c>
      <c r="C280" s="2" t="str">
        <f>IFERROR(__xludf.DUMMYFUNCTION("""COMPUTED_VALUE"""),"FOR BILLING L3")</f>
        <v>FOR BILLING L3</v>
      </c>
      <c r="D280" s="2" t="str">
        <f>IFERROR(__xludf.DUMMYFUNCTION("""COMPUTED_VALUE"""),"MUNICIPAL LOCAL GOVERNMENT UNIT OF GENERAL MAMERTO NATIVIDAD")</f>
        <v>MUNICIPAL LOCAL GOVERNMENT UNIT OF GENERAL MAMERTO NATIVIDAD</v>
      </c>
      <c r="E280" s="2" t="str">
        <f>IFERROR(__xludf.DUMMYFUNCTION("""COMPUTED_VALUE"""),"POBLACION, GENERAL MAMERTO NATIVIDAD, NUEVA ECIJA")</f>
        <v>POBLACION, GENERAL MAMERTO NATIVIDAD, NUEVA ECIJA</v>
      </c>
      <c r="F280" s="2" t="str">
        <f>IFERROR(__xludf.DUMMYFUNCTION("""COMPUTED_VALUE"""),"HON. ANITA M. AROCENA")</f>
        <v>HON. ANITA M. AROCENA</v>
      </c>
      <c r="G280" s="2" t="str">
        <f>IFERROR(__xludf.DUMMYFUNCTION("""COMPUTED_VALUE"""),"0917-1561074")</f>
        <v>0917-1561074</v>
      </c>
      <c r="H280" s="2"/>
      <c r="I280" s="2"/>
      <c r="J280" s="2"/>
      <c r="K280" s="2" t="str">
        <f>IFERROR(__xludf.DUMMYFUNCTION("""COMPUTED_VALUE"""),"RCEF 23-09-21 Rebidding")</f>
        <v>RCEF 23-09-21 Rebidding</v>
      </c>
      <c r="L280" s="2">
        <f>IFERROR(__xludf.DUMMYFUNCTION("""COMPUTED_VALUE"""),3.0)</f>
        <v>3</v>
      </c>
      <c r="M280" s="2"/>
      <c r="N280" s="74">
        <f>IFERROR(__xludf.DUMMYFUNCTION("""COMPUTED_VALUE"""),45380.0)</f>
        <v>45380</v>
      </c>
      <c r="O280" s="74">
        <f>IFERROR(__xludf.DUMMYFUNCTION("""COMPUTED_VALUE"""),45401.0)</f>
        <v>45401</v>
      </c>
      <c r="P280" s="2">
        <f>IFERROR(__xludf.DUMMYFUNCTION("""COMPUTED_VALUE"""),18796.0)</f>
        <v>18796</v>
      </c>
      <c r="Q280" s="2" t="str">
        <f>IFERROR(__xludf.DUMMYFUNCTION("""COMPUTED_VALUE"""),"KMC 5825 ALRFPV0462")</f>
        <v>KMC 5825 ALRFPV0462</v>
      </c>
      <c r="R280" s="2" t="str">
        <f>IFERROR(__xludf.DUMMYFUNCTION("""COMPUTED_VALUE"""),"RTS 100366")</f>
        <v>RTS 100366</v>
      </c>
      <c r="S280" s="2" t="str">
        <f>IFERROR(__xludf.DUMMYFUNCTION("""COMPUTED_VALUE"""),"R SERIES 166 PH")</f>
        <v>R SERIES 166 PH</v>
      </c>
      <c r="T280" s="2" t="str">
        <f>IFERROR(__xludf.DUMMYFUNCTION("""COMPUTED_VALUE"""),"LSGW1750 RMP 2312159")</f>
        <v>LSGW1750 RMP 2312159</v>
      </c>
      <c r="U280" s="2" t="str">
        <f>IFERROR(__xludf.DUMMYFUNCTION("""COMPUTED_VALUE"""),"WDP40 RMP 24020209")</f>
        <v>WDP40 RMP 24020209</v>
      </c>
      <c r="V280" s="2"/>
      <c r="W280" s="2" t="str">
        <f>IFERROR(__xludf.DUMMYFUNCTION("""COMPUTED_VALUE"""),"VL103D")</f>
        <v>VL103D</v>
      </c>
      <c r="X280" s="2">
        <f>IFERROR(__xludf.DUMMYFUNCTION("""COMPUTED_VALUE"""),8.69066060241933E14)</f>
        <v>869066060241933</v>
      </c>
      <c r="Y280" s="2">
        <f>IFERROR(__xludf.DUMMYFUNCTION("""COMPUTED_VALUE"""),9.624530863E9)</f>
        <v>9624530863</v>
      </c>
      <c r="Z280" s="2"/>
      <c r="AA280" s="2"/>
      <c r="AB280" s="2"/>
    </row>
    <row r="281">
      <c r="A281" s="2" t="str">
        <f>IFERROR(__xludf.DUMMYFUNCTION("""COMPUTED_VALUE"""),"TT00279")</f>
        <v>TT00279</v>
      </c>
      <c r="B281" s="2" t="str">
        <f>IFERROR(__xludf.DUMMYFUNCTION("""COMPUTED_VALUE"""),"Completed")</f>
        <v>Completed</v>
      </c>
      <c r="C281" s="2" t="str">
        <f>IFERROR(__xludf.DUMMYFUNCTION("""COMPUTED_VALUE"""),"L3, Cancel DR")</f>
        <v>L3, Cancel DR</v>
      </c>
      <c r="D281" s="2" t="str">
        <f>IFERROR(__xludf.DUMMYFUNCTION("""COMPUTED_VALUE"""),"MUNICIPAL LOCAL GOVERNMENT UNIT OF GENERAL MAMERTO NATIVIDAD")</f>
        <v>MUNICIPAL LOCAL GOVERNMENT UNIT OF GENERAL MAMERTO NATIVIDAD</v>
      </c>
      <c r="E281" s="2" t="str">
        <f>IFERROR(__xludf.DUMMYFUNCTION("""COMPUTED_VALUE"""),"POBLACION, GENERAL MAMERTO NATIVIDAD, NUEVA ECIJA")</f>
        <v>POBLACION, GENERAL MAMERTO NATIVIDAD, NUEVA ECIJA</v>
      </c>
      <c r="F281" s="2" t="str">
        <f>IFERROR(__xludf.DUMMYFUNCTION("""COMPUTED_VALUE"""),"HON. ANITA M. AROCENA")</f>
        <v>HON. ANITA M. AROCENA</v>
      </c>
      <c r="G281" s="2" t="str">
        <f>IFERROR(__xludf.DUMMYFUNCTION("""COMPUTED_VALUE"""),"0917-1561074")</f>
        <v>0917-1561074</v>
      </c>
      <c r="H281" s="2"/>
      <c r="I281" s="2"/>
      <c r="J281" s="2"/>
      <c r="K281" s="2" t="str">
        <f>IFERROR(__xludf.DUMMYFUNCTION("""COMPUTED_VALUE"""),"RCEF 23-09-21 Rebidding")</f>
        <v>RCEF 23-09-21 Rebidding</v>
      </c>
      <c r="L281" s="2">
        <f>IFERROR(__xludf.DUMMYFUNCTION("""COMPUTED_VALUE"""),3.0)</f>
        <v>3</v>
      </c>
      <c r="M281" s="2"/>
      <c r="N281" s="2"/>
      <c r="O281" s="2"/>
      <c r="P281" s="2"/>
      <c r="Q281" s="2"/>
      <c r="R281" s="2"/>
      <c r="S281" s="2"/>
      <c r="T281" s="2"/>
      <c r="U281" s="2"/>
      <c r="V281" s="2"/>
      <c r="W281" s="2" t="str">
        <f>IFERROR(__xludf.DUMMYFUNCTION("""COMPUTED_VALUE"""),"VL103D")</f>
        <v>VL103D</v>
      </c>
      <c r="X281" s="2"/>
      <c r="Y281" s="2"/>
      <c r="Z281" s="2"/>
      <c r="AA281" s="2"/>
      <c r="AB281" s="2"/>
    </row>
    <row r="282">
      <c r="A282" s="2" t="str">
        <f>IFERROR(__xludf.DUMMYFUNCTION("""COMPUTED_VALUE"""),"TT00280")</f>
        <v>TT00280</v>
      </c>
      <c r="B282" s="2" t="str">
        <f>IFERROR(__xludf.DUMMYFUNCTION("""COMPUTED_VALUE"""),"Completed")</f>
        <v>Completed</v>
      </c>
      <c r="C282" s="2" t="str">
        <f>IFERROR(__xludf.DUMMYFUNCTION("""COMPUTED_VALUE"""),"FOR BILLING L3")</f>
        <v>FOR BILLING L3</v>
      </c>
      <c r="D282" s="2" t="str">
        <f>IFERROR(__xludf.DUMMYFUNCTION("""COMPUTED_VALUE"""),"Casa Real Primary Multipurpose Cooperative")</f>
        <v>Casa Real Primary Multipurpose Cooperative</v>
      </c>
      <c r="E282" s="2" t="str">
        <f>IFERROR(__xludf.DUMMYFUNCTION("""COMPUTED_VALUE"""),"San Isidro, Laur, NUEVA ECIJA")</f>
        <v>San Isidro, Laur, NUEVA ECIJA</v>
      </c>
      <c r="F282" s="2" t="str">
        <f>IFERROR(__xludf.DUMMYFUNCTION("""COMPUTED_VALUE"""),"Romeo Ambag")</f>
        <v>Romeo Ambag</v>
      </c>
      <c r="G282" s="2" t="str">
        <f>IFERROR(__xludf.DUMMYFUNCTION("""COMPUTED_VALUE"""),"0918-412-7469")</f>
        <v>0918-412-7469</v>
      </c>
      <c r="H282" s="2"/>
      <c r="I282" s="2"/>
      <c r="J282" s="2"/>
      <c r="K282" s="2" t="str">
        <f>IFERROR(__xludf.DUMMYFUNCTION("""COMPUTED_VALUE"""),"RCEF 23-09-21 Rebidding")</f>
        <v>RCEF 23-09-21 Rebidding</v>
      </c>
      <c r="L282" s="2">
        <f>IFERROR(__xludf.DUMMYFUNCTION("""COMPUTED_VALUE"""),3.0)</f>
        <v>3</v>
      </c>
      <c r="M282" s="2"/>
      <c r="N282" s="74">
        <f>IFERROR(__xludf.DUMMYFUNCTION("""COMPUTED_VALUE"""),45380.0)</f>
        <v>45380</v>
      </c>
      <c r="O282" s="74">
        <f>IFERROR(__xludf.DUMMYFUNCTION("""COMPUTED_VALUE"""),45401.0)</f>
        <v>45401</v>
      </c>
      <c r="P282" s="2">
        <f>IFERROR(__xludf.DUMMYFUNCTION("""COMPUTED_VALUE"""),18798.0)</f>
        <v>18798</v>
      </c>
      <c r="Q282" s="2" t="str">
        <f>IFERROR(__xludf.DUMMYFUNCTION("""COMPUTED_VALUE"""),"KMC 5825 APR FPV0386")</f>
        <v>KMC 5825 APR FPV0386</v>
      </c>
      <c r="R282" s="2" t="str">
        <f>IFERROR(__xludf.DUMMYFUNCTION("""COMPUTED_VALUE"""),"RTS 100281")</f>
        <v>RTS 100281</v>
      </c>
      <c r="S282" s="2" t="str">
        <f>IFERROR(__xludf.DUMMYFUNCTION("""COMPUTED_VALUE"""),"R SERIES 001PH")</f>
        <v>R SERIES 001PH</v>
      </c>
      <c r="T282" s="2" t="str">
        <f>IFERROR(__xludf.DUMMYFUNCTION("""COMPUTED_VALUE"""),"LSGW1750 RMP 2312157")</f>
        <v>LSGW1750 RMP 2312157</v>
      </c>
      <c r="U282" s="2" t="str">
        <f>IFERROR(__xludf.DUMMYFUNCTION("""COMPUTED_VALUE"""),"WDP40 RMP 24020208")</f>
        <v>WDP40 RMP 24020208</v>
      </c>
      <c r="V282" s="2"/>
      <c r="W282" s="2" t="str">
        <f>IFERROR(__xludf.DUMMYFUNCTION("""COMPUTED_VALUE"""),"VL103D")</f>
        <v>VL103D</v>
      </c>
      <c r="X282" s="2">
        <f>IFERROR(__xludf.DUMMYFUNCTION("""COMPUTED_VALUE"""),8.69066060239507E14)</f>
        <v>869066060239507</v>
      </c>
      <c r="Y282" s="2">
        <f>IFERROR(__xludf.DUMMYFUNCTION("""COMPUTED_VALUE"""),9.624530866E9)</f>
        <v>9624530866</v>
      </c>
      <c r="Z282" s="2"/>
      <c r="AA282" s="2"/>
      <c r="AB282" s="2"/>
    </row>
    <row r="283">
      <c r="A283" s="2" t="str">
        <f>IFERROR(__xludf.DUMMYFUNCTION("""COMPUTED_VALUE"""),"TT00281")</f>
        <v>TT00281</v>
      </c>
      <c r="B283" s="2" t="str">
        <f>IFERROR(__xludf.DUMMYFUNCTION("""COMPUTED_VALUE"""),"Completed")</f>
        <v>Completed</v>
      </c>
      <c r="C283" s="2" t="str">
        <f>IFERROR(__xludf.DUMMYFUNCTION("""COMPUTED_VALUE"""),"FOR BILLING L3")</f>
        <v>FOR BILLING L3</v>
      </c>
      <c r="D283" s="2" t="str">
        <f>IFERROR(__xludf.DUMMYFUNCTION("""COMPUTED_VALUE"""),"SAN VICENTE-ALINTUTUAN IRRIGATORS ASSOCIATION INC.")</f>
        <v>SAN VICENTE-ALINTUTUAN IRRIGATORS ASSOCIATION INC.</v>
      </c>
      <c r="E283" s="2" t="str">
        <f>IFERROR(__xludf.DUMMYFUNCTION("""COMPUTED_VALUE"""),"San Vicente, Laur, NUEVA ECIJA")</f>
        <v>San Vicente, Laur, NUEVA ECIJA</v>
      </c>
      <c r="F283" s="2" t="str">
        <f>IFERROR(__xludf.DUMMYFUNCTION("""COMPUTED_VALUE"""),"Erwin De Guzman")</f>
        <v>Erwin De Guzman</v>
      </c>
      <c r="G283" s="2" t="str">
        <f>IFERROR(__xludf.DUMMYFUNCTION("""COMPUTED_VALUE"""),"0929-318-5220 / 0920-837-6120")</f>
        <v>0929-318-5220 / 0920-837-6120</v>
      </c>
      <c r="H283" s="2"/>
      <c r="I283" s="2"/>
      <c r="J283" s="2"/>
      <c r="K283" s="2" t="str">
        <f>IFERROR(__xludf.DUMMYFUNCTION("""COMPUTED_VALUE"""),"RCEF 23-09-21 Rebidding")</f>
        <v>RCEF 23-09-21 Rebidding</v>
      </c>
      <c r="L283" s="2">
        <f>IFERROR(__xludf.DUMMYFUNCTION("""COMPUTED_VALUE"""),3.0)</f>
        <v>3</v>
      </c>
      <c r="M283" s="2"/>
      <c r="N283" s="74">
        <f>IFERROR(__xludf.DUMMYFUNCTION("""COMPUTED_VALUE"""),45380.0)</f>
        <v>45380</v>
      </c>
      <c r="O283" s="74">
        <f>IFERROR(__xludf.DUMMYFUNCTION("""COMPUTED_VALUE"""),45401.0)</f>
        <v>45401</v>
      </c>
      <c r="P283" s="2">
        <f>IFERROR(__xludf.DUMMYFUNCTION("""COMPUTED_VALUE"""),18799.0)</f>
        <v>18799</v>
      </c>
      <c r="Q283" s="2" t="str">
        <f>IFERROR(__xludf.DUMMYFUNCTION("""COMPUTED_VALUE"""),"KMC 5825 AARFPV0539")</f>
        <v>KMC 5825 AARFPV0539</v>
      </c>
      <c r="R283" s="2" t="str">
        <f>IFERROR(__xludf.DUMMYFUNCTION("""COMPUTED_VALUE"""),"RTS 100448")</f>
        <v>RTS 100448</v>
      </c>
      <c r="S283" s="2" t="str">
        <f>IFERROR(__xludf.DUMMYFUNCTION("""COMPUTED_VALUE"""),"R SERIES 386")</f>
        <v>R SERIES 386</v>
      </c>
      <c r="T283" s="2" t="str">
        <f>IFERROR(__xludf.DUMMYFUNCTION("""COMPUTED_VALUE"""),"LSGW1750 RMP 2312166")</f>
        <v>LSGW1750 RMP 2312166</v>
      </c>
      <c r="U283" s="2" t="str">
        <f>IFERROR(__xludf.DUMMYFUNCTION("""COMPUTED_VALUE"""),"WDP40 RMP 24020205")</f>
        <v>WDP40 RMP 24020205</v>
      </c>
      <c r="V283" s="2"/>
      <c r="W283" s="2" t="str">
        <f>IFERROR(__xludf.DUMMYFUNCTION("""COMPUTED_VALUE"""),"VL103D")</f>
        <v>VL103D</v>
      </c>
      <c r="X283" s="2">
        <f>IFERROR(__xludf.DUMMYFUNCTION("""COMPUTED_VALUE"""),8.69066060241123E14)</f>
        <v>869066060241123</v>
      </c>
      <c r="Y283" s="2">
        <f>IFERROR(__xludf.DUMMYFUNCTION("""COMPUTED_VALUE"""),9.624530864E9)</f>
        <v>9624530864</v>
      </c>
      <c r="Z283" s="2"/>
      <c r="AA283" s="2"/>
      <c r="AB283" s="2"/>
    </row>
    <row r="284">
      <c r="A284" s="2" t="str">
        <f>IFERROR(__xludf.DUMMYFUNCTION("""COMPUTED_VALUE"""),"TT00282")</f>
        <v>TT00282</v>
      </c>
      <c r="B284" s="2" t="str">
        <f>IFERROR(__xludf.DUMMYFUNCTION("""COMPUTED_VALUE"""),"Completed")</f>
        <v>Completed</v>
      </c>
      <c r="C284" s="2" t="str">
        <f>IFERROR(__xludf.DUMMYFUNCTION("""COMPUTED_VALUE"""),"FOR BILLING L3")</f>
        <v>FOR BILLING L3</v>
      </c>
      <c r="D284" s="2" t="str">
        <f>IFERROR(__xludf.DUMMYFUNCTION("""COMPUTED_VALUE"""),"POPOLON FARMERS ASSOCIATION, PALAYAN CITY")</f>
        <v>POPOLON FARMERS ASSOCIATION, PALAYAN CITY</v>
      </c>
      <c r="E284" s="2" t="str">
        <f>IFERROR(__xludf.DUMMYFUNCTION("""COMPUTED_VALUE"""),"Popolon Pagas, Palayan City, NUEVA ECIJA")</f>
        <v>Popolon Pagas, Palayan City, NUEVA ECIJA</v>
      </c>
      <c r="F284" s="2" t="str">
        <f>IFERROR(__xludf.DUMMYFUNCTION("""COMPUTED_VALUE"""),"Maria Theresa Bernabe")</f>
        <v>Maria Theresa Bernabe</v>
      </c>
      <c r="G284" s="2" t="str">
        <f>IFERROR(__xludf.DUMMYFUNCTION("""COMPUTED_VALUE"""),"0946-426-3647")</f>
        <v>0946-426-3647</v>
      </c>
      <c r="H284" s="2"/>
      <c r="I284" s="2"/>
      <c r="J284" s="2"/>
      <c r="K284" s="2" t="str">
        <f>IFERROR(__xludf.DUMMYFUNCTION("""COMPUTED_VALUE"""),"RCEF 23-09-21 Rebidding")</f>
        <v>RCEF 23-09-21 Rebidding</v>
      </c>
      <c r="L284" s="2">
        <f>IFERROR(__xludf.DUMMYFUNCTION("""COMPUTED_VALUE"""),3.0)</f>
        <v>3</v>
      </c>
      <c r="M284" s="2"/>
      <c r="N284" s="74">
        <f>IFERROR(__xludf.DUMMYFUNCTION("""COMPUTED_VALUE"""),45380.0)</f>
        <v>45380</v>
      </c>
      <c r="O284" s="74">
        <f>IFERROR(__xludf.DUMMYFUNCTION("""COMPUTED_VALUE"""),45401.0)</f>
        <v>45401</v>
      </c>
      <c r="P284" s="2">
        <f>IFERROR(__xludf.DUMMYFUNCTION("""COMPUTED_VALUE"""),18800.0)</f>
        <v>18800</v>
      </c>
      <c r="Q284" s="2" t="str">
        <f>IFERROR(__xludf.DUMMYFUNCTION("""COMPUTED_VALUE"""),"KMC 5825 AIRFPVV0399")</f>
        <v>KMC 5825 AIRFPVV0399</v>
      </c>
      <c r="R284" s="2" t="str">
        <f>IFERROR(__xludf.DUMMYFUNCTION("""COMPUTED_VALUE"""),"RTS 100297")</f>
        <v>RTS 100297</v>
      </c>
      <c r="S284" s="2" t="str">
        <f>IFERROR(__xludf.DUMMYFUNCTION("""COMPUTED_VALUE"""),"R SERIES 020 PH")</f>
        <v>R SERIES 020 PH</v>
      </c>
      <c r="T284" s="2" t="str">
        <f>IFERROR(__xludf.DUMMYFUNCTION("""COMPUTED_VALUE"""),"LSGW1750 RMP 2312145")</f>
        <v>LSGW1750 RMP 2312145</v>
      </c>
      <c r="U284" s="2" t="str">
        <f>IFERROR(__xludf.DUMMYFUNCTION("""COMPUTED_VALUE"""),"WDP40 RMP 24020197")</f>
        <v>WDP40 RMP 24020197</v>
      </c>
      <c r="V284" s="2"/>
      <c r="W284" s="2" t="str">
        <f>IFERROR(__xludf.DUMMYFUNCTION("""COMPUTED_VALUE"""),"VL103D")</f>
        <v>VL103D</v>
      </c>
      <c r="X284" s="2">
        <f>IFERROR(__xludf.DUMMYFUNCTION("""COMPUTED_VALUE"""),8.69066060241503E14)</f>
        <v>869066060241503</v>
      </c>
      <c r="Y284" s="2">
        <f>IFERROR(__xludf.DUMMYFUNCTION("""COMPUTED_VALUE"""),9.624531335E9)</f>
        <v>9624531335</v>
      </c>
      <c r="Z284" s="2"/>
      <c r="AA284" s="2"/>
      <c r="AB284" s="2"/>
    </row>
    <row r="285">
      <c r="A285" s="2" t="str">
        <f>IFERROR(__xludf.DUMMYFUNCTION("""COMPUTED_VALUE"""),"TT00283")</f>
        <v>TT00283</v>
      </c>
      <c r="B285" s="2" t="str">
        <f>IFERROR(__xludf.DUMMYFUNCTION("""COMPUTED_VALUE"""),"Completed")</f>
        <v>Completed</v>
      </c>
      <c r="C285" s="2" t="str">
        <f>IFERROR(__xludf.DUMMYFUNCTION("""COMPUTED_VALUE"""),"FOR BILLING L3")</f>
        <v>FOR BILLING L3</v>
      </c>
      <c r="D285" s="2" t="str">
        <f>IFERROR(__xludf.DUMMYFUNCTION("""COMPUTED_VALUE"""),"Provincial Local Government Unit of Nueva Ecija")</f>
        <v>Provincial Local Government Unit of Nueva Ecija</v>
      </c>
      <c r="E285" s="2" t="str">
        <f>IFERROR(__xludf.DUMMYFUNCTION("""COMPUTED_VALUE"""),"Singalat, Palayan City, NUEVA ECIJA")</f>
        <v>Singalat, Palayan City, NUEVA ECIJA</v>
      </c>
      <c r="F285" s="2" t="str">
        <f>IFERROR(__xludf.DUMMYFUNCTION("""COMPUTED_VALUE"""),"Hon. Aurelio M. Umali")</f>
        <v>Hon. Aurelio M. Umali</v>
      </c>
      <c r="G285" s="2" t="str">
        <f>IFERROR(__xludf.DUMMYFUNCTION("""COMPUTED_VALUE"""),"63 917 826 4814")</f>
        <v>63 917 826 4814</v>
      </c>
      <c r="H285" s="2"/>
      <c r="I285" s="2"/>
      <c r="J285" s="2"/>
      <c r="K285" s="2" t="str">
        <f>IFERROR(__xludf.DUMMYFUNCTION("""COMPUTED_VALUE"""),"RCEF 23-09-21 Rebidding")</f>
        <v>RCEF 23-09-21 Rebidding</v>
      </c>
      <c r="L285" s="2">
        <f>IFERROR(__xludf.DUMMYFUNCTION("""COMPUTED_VALUE"""),3.0)</f>
        <v>3</v>
      </c>
      <c r="M285" s="2"/>
      <c r="N285" s="2"/>
      <c r="O285" s="2"/>
      <c r="P285" s="2"/>
      <c r="Q285" s="2" t="str">
        <f>IFERROR(__xludf.DUMMYFUNCTION("""COMPUTED_VALUE"""),"KMC 5825 ")</f>
        <v>KMC 5825 </v>
      </c>
      <c r="R285" s="2" t="str">
        <f>IFERROR(__xludf.DUMMYFUNCTION("""COMPUTED_VALUE"""),"RTS")</f>
        <v>RTS</v>
      </c>
      <c r="S285" s="2" t="str">
        <f>IFERROR(__xludf.DUMMYFUNCTION("""COMPUTED_VALUE"""),"R SERIES ")</f>
        <v>R SERIES </v>
      </c>
      <c r="T285" s="2" t="str">
        <f>IFERROR(__xludf.DUMMYFUNCTION("""COMPUTED_VALUE"""),"LSGW1750 RMP ")</f>
        <v>LSGW1750 RMP </v>
      </c>
      <c r="U285" s="2" t="str">
        <f>IFERROR(__xludf.DUMMYFUNCTION("""COMPUTED_VALUE"""),"WDP40 RMP")</f>
        <v>WDP40 RMP</v>
      </c>
      <c r="V285" s="2"/>
      <c r="W285" s="2" t="str">
        <f>IFERROR(__xludf.DUMMYFUNCTION("""COMPUTED_VALUE"""),"VL103D")</f>
        <v>VL103D</v>
      </c>
      <c r="X285" s="2"/>
      <c r="Y285" s="2"/>
      <c r="Z285" s="2"/>
      <c r="AA285" s="2"/>
      <c r="AB285" s="2"/>
    </row>
    <row r="286">
      <c r="A286" s="2" t="str">
        <f>IFERROR(__xludf.DUMMYFUNCTION("""COMPUTED_VALUE"""),"TT00284")</f>
        <v>TT00284</v>
      </c>
      <c r="B286" s="2" t="str">
        <f>IFERROR(__xludf.DUMMYFUNCTION("""COMPUTED_VALUE"""),"Completed")</f>
        <v>Completed</v>
      </c>
      <c r="C286" s="2" t="str">
        <f>IFERROR(__xludf.DUMMYFUNCTION("""COMPUTED_VALUE"""),"FOR BILLING L3")</f>
        <v>FOR BILLING L3</v>
      </c>
      <c r="D286" s="2" t="str">
        <f>IFERROR(__xludf.DUMMYFUNCTION("""COMPUTED_VALUE"""),"Provincial Local Government Unit of Nueva Ecija")</f>
        <v>Provincial Local Government Unit of Nueva Ecija</v>
      </c>
      <c r="E286" s="2" t="str">
        <f>IFERROR(__xludf.DUMMYFUNCTION("""COMPUTED_VALUE"""),"Singalat, Palayan City, NUEVA ECIJA")</f>
        <v>Singalat, Palayan City, NUEVA ECIJA</v>
      </c>
      <c r="F286" s="2" t="str">
        <f>IFERROR(__xludf.DUMMYFUNCTION("""COMPUTED_VALUE"""),"Hon. Aurelio M. Umali")</f>
        <v>Hon. Aurelio M. Umali</v>
      </c>
      <c r="G286" s="2" t="str">
        <f>IFERROR(__xludf.DUMMYFUNCTION("""COMPUTED_VALUE"""),"63 917 826 4814")</f>
        <v>63 917 826 4814</v>
      </c>
      <c r="H286" s="2"/>
      <c r="I286" s="2"/>
      <c r="J286" s="2"/>
      <c r="K286" s="2" t="str">
        <f>IFERROR(__xludf.DUMMYFUNCTION("""COMPUTED_VALUE"""),"RCEF 23-09-21 Rebidding")</f>
        <v>RCEF 23-09-21 Rebidding</v>
      </c>
      <c r="L286" s="2">
        <f>IFERROR(__xludf.DUMMYFUNCTION("""COMPUTED_VALUE"""),3.0)</f>
        <v>3</v>
      </c>
      <c r="M286" s="2"/>
      <c r="N286" s="2"/>
      <c r="O286" s="2"/>
      <c r="P286" s="2"/>
      <c r="Q286" s="2" t="str">
        <f>IFERROR(__xludf.DUMMYFUNCTION("""COMPUTED_VALUE"""),"KMC 5825 ")</f>
        <v>KMC 5825 </v>
      </c>
      <c r="R286" s="2" t="str">
        <f>IFERROR(__xludf.DUMMYFUNCTION("""COMPUTED_VALUE"""),"RTS")</f>
        <v>RTS</v>
      </c>
      <c r="S286" s="2" t="str">
        <f>IFERROR(__xludf.DUMMYFUNCTION("""COMPUTED_VALUE"""),"R SERIES ")</f>
        <v>R SERIES </v>
      </c>
      <c r="T286" s="2" t="str">
        <f>IFERROR(__xludf.DUMMYFUNCTION("""COMPUTED_VALUE"""),"LSGW1750 RMP ")</f>
        <v>LSGW1750 RMP </v>
      </c>
      <c r="U286" s="2" t="str">
        <f>IFERROR(__xludf.DUMMYFUNCTION("""COMPUTED_VALUE"""),"WDP40 RMP")</f>
        <v>WDP40 RMP</v>
      </c>
      <c r="V286" s="2"/>
      <c r="W286" s="2" t="str">
        <f>IFERROR(__xludf.DUMMYFUNCTION("""COMPUTED_VALUE"""),"VL103D")</f>
        <v>VL103D</v>
      </c>
      <c r="X286" s="2"/>
      <c r="Y286" s="2"/>
      <c r="Z286" s="2"/>
      <c r="AA286" s="2"/>
      <c r="AB286" s="2"/>
    </row>
    <row r="287">
      <c r="A287" s="2" t="str">
        <f>IFERROR(__xludf.DUMMYFUNCTION("""COMPUTED_VALUE"""),"TT00285")</f>
        <v>TT00285</v>
      </c>
      <c r="B287" s="2" t="str">
        <f>IFERROR(__xludf.DUMMYFUNCTION("""COMPUTED_VALUE"""),"Completed")</f>
        <v>Completed</v>
      </c>
      <c r="C287" s="2" t="str">
        <f>IFERROR(__xludf.DUMMYFUNCTION("""COMPUTED_VALUE"""),"FOR BILLING L3, NEED DR")</f>
        <v>FOR BILLING L3, NEED DR</v>
      </c>
      <c r="D287" s="2" t="str">
        <f>IFERROR(__xludf.DUMMYFUNCTION("""COMPUTED_VALUE"""),"MUNTING NAYON AGRICULTURAL PRODUCERS ASSOCIATION (MNAPA))")</f>
        <v>MUNTING NAYON AGRICULTURAL PRODUCERS ASSOCIATION (MNAPA))</v>
      </c>
      <c r="E287" s="2" t="str">
        <f>IFERROR(__xludf.DUMMYFUNCTION("""COMPUTED_VALUE"""),"Penaranda, NUEVA ECIJA")</f>
        <v>Penaranda, NUEVA ECIJA</v>
      </c>
      <c r="F287" s="2"/>
      <c r="G287" s="2"/>
      <c r="H287" s="2"/>
      <c r="I287" s="2"/>
      <c r="J287" s="2" t="str">
        <f>IFERROR(__xludf.DUMMYFUNCTION("""COMPUTED_VALUE"""),"tarp, DR")</f>
        <v>tarp, DR</v>
      </c>
      <c r="K287" s="2" t="str">
        <f>IFERROR(__xludf.DUMMYFUNCTION("""COMPUTED_VALUE"""),"RCEF 23-09-21 Rebidding")</f>
        <v>RCEF 23-09-21 Rebidding</v>
      </c>
      <c r="L287" s="2">
        <f>IFERROR(__xludf.DUMMYFUNCTION("""COMPUTED_VALUE"""),3.0)</f>
        <v>3</v>
      </c>
      <c r="M287" s="2"/>
      <c r="N287" s="2"/>
      <c r="O287" s="2"/>
      <c r="P287" s="2"/>
      <c r="Q287" s="2" t="str">
        <f>IFERROR(__xludf.DUMMYFUNCTION("""COMPUTED_VALUE"""),"KMC 5825 ")</f>
        <v>KMC 5825 </v>
      </c>
      <c r="R287" s="2" t="str">
        <f>IFERROR(__xludf.DUMMYFUNCTION("""COMPUTED_VALUE"""),"RTS")</f>
        <v>RTS</v>
      </c>
      <c r="S287" s="2" t="str">
        <f>IFERROR(__xludf.DUMMYFUNCTION("""COMPUTED_VALUE"""),"R SERIES ")</f>
        <v>R SERIES </v>
      </c>
      <c r="T287" s="2" t="str">
        <f>IFERROR(__xludf.DUMMYFUNCTION("""COMPUTED_VALUE"""),"LSGW1750 RMP ")</f>
        <v>LSGW1750 RMP </v>
      </c>
      <c r="U287" s="2" t="str">
        <f>IFERROR(__xludf.DUMMYFUNCTION("""COMPUTED_VALUE"""),"WDP40 RMP")</f>
        <v>WDP40 RMP</v>
      </c>
      <c r="V287" s="2"/>
      <c r="W287" s="2" t="str">
        <f>IFERROR(__xludf.DUMMYFUNCTION("""COMPUTED_VALUE"""),"VL103D")</f>
        <v>VL103D</v>
      </c>
      <c r="X287" s="2"/>
      <c r="Y287" s="2"/>
      <c r="Z287" s="2"/>
      <c r="AA287" s="2"/>
      <c r="AB287" s="2"/>
    </row>
    <row r="288">
      <c r="A288" s="2" t="str">
        <f>IFERROR(__xludf.DUMMYFUNCTION("""COMPUTED_VALUE"""),"TT00286")</f>
        <v>TT00286</v>
      </c>
      <c r="B288" s="2" t="str">
        <f>IFERROR(__xludf.DUMMYFUNCTION("""COMPUTED_VALUE"""),"Completed")</f>
        <v>Completed</v>
      </c>
      <c r="C288" s="2" t="str">
        <f>IFERROR(__xludf.DUMMYFUNCTION("""COMPUTED_VALUE"""),"FOR BILLING L3, NEED DR")</f>
        <v>FOR BILLING L3, NEED DR</v>
      </c>
      <c r="D288" s="2" t="str">
        <f>IFERROR(__xludf.DUMMYFUNCTION("""COMPUTED_VALUE"""),"BINHING BUTIL AGRICULTURAL MAKER ASSOCIATION (BBAMA)")</f>
        <v>BINHING BUTIL AGRICULTURAL MAKER ASSOCIATION (BBAMA)</v>
      </c>
      <c r="E288" s="2" t="str">
        <f>IFERROR(__xludf.DUMMYFUNCTION("""COMPUTED_VALUE"""),"Penaranda, NUEVA ECIJA")</f>
        <v>Penaranda, NUEVA ECIJA</v>
      </c>
      <c r="F288" s="2"/>
      <c r="G288" s="2"/>
      <c r="H288" s="2"/>
      <c r="I288" s="2"/>
      <c r="J288" s="2" t="str">
        <f>IFERROR(__xludf.DUMMYFUNCTION("""COMPUTED_VALUE"""),"tarp, DR")</f>
        <v>tarp, DR</v>
      </c>
      <c r="K288" s="2" t="str">
        <f>IFERROR(__xludf.DUMMYFUNCTION("""COMPUTED_VALUE"""),"RCEF 23-09-21 Rebidding")</f>
        <v>RCEF 23-09-21 Rebidding</v>
      </c>
      <c r="L288" s="2">
        <f>IFERROR(__xludf.DUMMYFUNCTION("""COMPUTED_VALUE"""),3.0)</f>
        <v>3</v>
      </c>
      <c r="M288" s="2"/>
      <c r="N288" s="2"/>
      <c r="O288" s="2"/>
      <c r="P288" s="2"/>
      <c r="Q288" s="2" t="str">
        <f>IFERROR(__xludf.DUMMYFUNCTION("""COMPUTED_VALUE"""),"KMC 5825 APRFPV0341")</f>
        <v>KMC 5825 APRFPV0341</v>
      </c>
      <c r="R288" s="2" t="str">
        <f>IFERROR(__xludf.DUMMYFUNCTION("""COMPUTED_VALUE"""),"RTS")</f>
        <v>RTS</v>
      </c>
      <c r="S288" s="2" t="str">
        <f>IFERROR(__xludf.DUMMYFUNCTION("""COMPUTED_VALUE"""),"R SERIES ")</f>
        <v>R SERIES </v>
      </c>
      <c r="T288" s="2" t="str">
        <f>IFERROR(__xludf.DUMMYFUNCTION("""COMPUTED_VALUE"""),"LSGW1750 RMP ")</f>
        <v>LSGW1750 RMP </v>
      </c>
      <c r="U288" s="2" t="str">
        <f>IFERROR(__xludf.DUMMYFUNCTION("""COMPUTED_VALUE"""),"WDP40 RMP")</f>
        <v>WDP40 RMP</v>
      </c>
      <c r="V288" s="2"/>
      <c r="W288" s="2" t="str">
        <f>IFERROR(__xludf.DUMMYFUNCTION("""COMPUTED_VALUE"""),"VL103D")</f>
        <v>VL103D</v>
      </c>
      <c r="X288" s="2">
        <f>IFERROR(__xludf.DUMMYFUNCTION("""COMPUTED_VALUE"""),8.69066060237972E14)</f>
        <v>869066060237972</v>
      </c>
      <c r="Y288" s="2">
        <f>IFERROR(__xludf.DUMMYFUNCTION("""COMPUTED_VALUE"""),9.624247764E9)</f>
        <v>9624247764</v>
      </c>
      <c r="Z288" s="2"/>
      <c r="AA288" s="2"/>
      <c r="AB288" s="2"/>
    </row>
    <row r="289">
      <c r="A289" s="2" t="str">
        <f>IFERROR(__xludf.DUMMYFUNCTION("""COMPUTED_VALUE"""),"TT00287")</f>
        <v>TT00287</v>
      </c>
      <c r="B289" s="2" t="str">
        <f>IFERROR(__xludf.DUMMYFUNCTION("""COMPUTED_VALUE"""),"Completed")</f>
        <v>Completed</v>
      </c>
      <c r="C289" s="2" t="str">
        <f>IFERROR(__xludf.DUMMYFUNCTION("""COMPUTED_VALUE"""),"FOR BILLING L3")</f>
        <v>FOR BILLING L3</v>
      </c>
      <c r="D289" s="2" t="str">
        <f>IFERROR(__xludf.DUMMYFUNCTION("""COMPUTED_VALUE"""),"RAJAL CENTRO IRRIGATORS ASSOCIATION, INC.")</f>
        <v>RAJAL CENTRO IRRIGATORS ASSOCIATION, INC.</v>
      </c>
      <c r="E289" s="2" t="str">
        <f>IFERROR(__xludf.DUMMYFUNCTION("""COMPUTED_VALUE"""),"Rajal Centro, Santa Rosa, NUEVA ECIJA")</f>
        <v>Rajal Centro, Santa Rosa, NUEVA ECIJA</v>
      </c>
      <c r="F289" s="2" t="str">
        <f>IFERROR(__xludf.DUMMYFUNCTION("""COMPUTED_VALUE"""),"Victor Hernandez")</f>
        <v>Victor Hernandez</v>
      </c>
      <c r="G289" s="2" t="str">
        <f>IFERROR(__xludf.DUMMYFUNCTION("""COMPUTED_VALUE"""),"0927-470-8816")</f>
        <v>0927-470-8816</v>
      </c>
      <c r="H289" s="2"/>
      <c r="I289" s="2"/>
      <c r="J289" s="2"/>
      <c r="K289" s="2" t="str">
        <f>IFERROR(__xludf.DUMMYFUNCTION("""COMPUTED_VALUE"""),"RCEF 23-09-21 Rebidding")</f>
        <v>RCEF 23-09-21 Rebidding</v>
      </c>
      <c r="L289" s="2">
        <f>IFERROR(__xludf.DUMMYFUNCTION("""COMPUTED_VALUE"""),3.0)</f>
        <v>3</v>
      </c>
      <c r="M289" s="2"/>
      <c r="N289" s="80">
        <f>IFERROR(__xludf.DUMMYFUNCTION("""COMPUTED_VALUE"""),45380.0)</f>
        <v>45380</v>
      </c>
      <c r="O289" s="74">
        <f>IFERROR(__xludf.DUMMYFUNCTION("""COMPUTED_VALUE"""),45401.0)</f>
        <v>45401</v>
      </c>
      <c r="P289" s="2">
        <f>IFERROR(__xludf.DUMMYFUNCTION("""COMPUTED_VALUE"""),18805.0)</f>
        <v>18805</v>
      </c>
      <c r="Q289" s="2" t="str">
        <f>IFERROR(__xludf.DUMMYFUNCTION("""COMPUTED_VALUE"""),"KMC 5825 AJRFPV0536")</f>
        <v>KMC 5825 AJRFPV0536</v>
      </c>
      <c r="R289" s="2" t="str">
        <f>IFERROR(__xludf.DUMMYFUNCTION("""COMPUTED_VALUE"""),"RTS 100202")</f>
        <v>RTS 100202</v>
      </c>
      <c r="S289" s="2" t="str">
        <f>IFERROR(__xludf.DUMMYFUNCTION("""COMPUTED_VALUE"""),"R SERIES 390 PH")</f>
        <v>R SERIES 390 PH</v>
      </c>
      <c r="T289" s="2" t="str">
        <f>IFERROR(__xludf.DUMMYFUNCTION("""COMPUTED_VALUE"""),"LSGW1750 RMP 24020461")</f>
        <v>LSGW1750 RMP 24020461</v>
      </c>
      <c r="U289" s="2" t="str">
        <f>IFERROR(__xludf.DUMMYFUNCTION("""COMPUTED_VALUE"""),"WDP40 RMP 24020182")</f>
        <v>WDP40 RMP 24020182</v>
      </c>
      <c r="V289" s="2"/>
      <c r="W289" s="2" t="str">
        <f>IFERROR(__xludf.DUMMYFUNCTION("""COMPUTED_VALUE"""),"VL103D")</f>
        <v>VL103D</v>
      </c>
      <c r="X289" s="2">
        <f>IFERROR(__xludf.DUMMYFUNCTION("""COMPUTED_VALUE"""),8.69066060244473E14)</f>
        <v>869066060244473</v>
      </c>
      <c r="Y289" s="2">
        <f>IFERROR(__xludf.DUMMYFUNCTION("""COMPUTED_VALUE"""),9.62453133E9)</f>
        <v>9624531330</v>
      </c>
      <c r="Z289" s="2"/>
      <c r="AA289" s="2"/>
      <c r="AB289" s="2"/>
    </row>
    <row r="290">
      <c r="A290" s="2" t="str">
        <f>IFERROR(__xludf.DUMMYFUNCTION("""COMPUTED_VALUE"""),"TT00288")</f>
        <v>TT00288</v>
      </c>
      <c r="B290" s="2" t="str">
        <f>IFERROR(__xludf.DUMMYFUNCTION("""COMPUTED_VALUE"""),"Completed")</f>
        <v>Completed</v>
      </c>
      <c r="C290" s="2" t="str">
        <f>IFERROR(__xludf.DUMMYFUNCTION("""COMPUTED_VALUE"""),"FOR BILLING L3")</f>
        <v>FOR BILLING L3</v>
      </c>
      <c r="D290" s="2" t="str">
        <f>IFERROR(__xludf.DUMMYFUNCTION("""COMPUTED_VALUE"""),"Sapang Buhay Agriculture Cooperative")</f>
        <v>Sapang Buhay Agriculture Cooperative</v>
      </c>
      <c r="E290" s="2" t="str">
        <f>IFERROR(__xludf.DUMMYFUNCTION("""COMPUTED_VALUE"""),"Tagpos, Santa Rosa, NUEVA ECIJA")</f>
        <v>Tagpos, Santa Rosa, NUEVA ECIJA</v>
      </c>
      <c r="F290" s="2" t="str">
        <f>IFERROR(__xludf.DUMMYFUNCTION("""COMPUTED_VALUE"""),"Heraclio Roberto T. Diaz Jr. Turn on screen reader support")</f>
        <v>Heraclio Roberto T. Diaz Jr. Turn on screen reader support</v>
      </c>
      <c r="G290" s="2" t="str">
        <f>IFERROR(__xludf.DUMMYFUNCTION("""COMPUTED_VALUE"""),"0995-291-9405")</f>
        <v>0995-291-9405</v>
      </c>
      <c r="H290" s="2"/>
      <c r="I290" s="2"/>
      <c r="J290" s="2"/>
      <c r="K290" s="2" t="str">
        <f>IFERROR(__xludf.DUMMYFUNCTION("""COMPUTED_VALUE"""),"RCEF 23-09-21 Rebidding")</f>
        <v>RCEF 23-09-21 Rebidding</v>
      </c>
      <c r="L290" s="2">
        <f>IFERROR(__xludf.DUMMYFUNCTION("""COMPUTED_VALUE"""),3.0)</f>
        <v>3</v>
      </c>
      <c r="M290" s="2"/>
      <c r="N290" s="74">
        <f>IFERROR(__xludf.DUMMYFUNCTION("""COMPUTED_VALUE"""),45380.0)</f>
        <v>45380</v>
      </c>
      <c r="O290" s="74">
        <f>IFERROR(__xludf.DUMMYFUNCTION("""COMPUTED_VALUE"""),45401.0)</f>
        <v>45401</v>
      </c>
      <c r="P290" s="2">
        <f>IFERROR(__xludf.DUMMYFUNCTION("""COMPUTED_VALUE"""),18820.0)</f>
        <v>18820</v>
      </c>
      <c r="Q290" s="2" t="str">
        <f>IFERROR(__xludf.DUMMYFUNCTION("""COMPUTED_VALUE"""),"KMC 5825 AARFPV0458")</f>
        <v>KMC 5825 AARFPV0458</v>
      </c>
      <c r="R290" s="2" t="str">
        <f>IFERROR(__xludf.DUMMYFUNCTION("""COMPUTED_VALUE"""),"RTS 100290")</f>
        <v>RTS 100290</v>
      </c>
      <c r="S290" s="2" t="str">
        <f>IFERROR(__xludf.DUMMYFUNCTION("""COMPUTED_VALUE"""),"R SERIES 385")</f>
        <v>R SERIES 385</v>
      </c>
      <c r="T290" s="2" t="str">
        <f>IFERROR(__xludf.DUMMYFUNCTION("""COMPUTED_VALUE"""),"LSGW1750 RMP 2312146")</f>
        <v>LSGW1750 RMP 2312146</v>
      </c>
      <c r="U290" s="2" t="str">
        <f>IFERROR(__xludf.DUMMYFUNCTION("""COMPUTED_VALUE"""),"WDP40 RMP 24020207")</f>
        <v>WDP40 RMP 24020207</v>
      </c>
      <c r="V290" s="2"/>
      <c r="W290" s="2" t="str">
        <f>IFERROR(__xludf.DUMMYFUNCTION("""COMPUTED_VALUE"""),"VL103D")</f>
        <v>VL103D</v>
      </c>
      <c r="X290" s="2">
        <f>IFERROR(__xludf.DUMMYFUNCTION("""COMPUTED_VALUE"""),8.69066060243673E14)</f>
        <v>869066060243673</v>
      </c>
      <c r="Y290" s="2">
        <f>IFERROR(__xludf.DUMMYFUNCTION("""COMPUTED_VALUE"""),9.624531326E9)</f>
        <v>9624531326</v>
      </c>
      <c r="Z290" s="2"/>
      <c r="AA290" s="2"/>
      <c r="AB290" s="2"/>
    </row>
    <row r="291">
      <c r="A291" s="2" t="str">
        <f>IFERROR(__xludf.DUMMYFUNCTION("""COMPUTED_VALUE"""),"TT00289")</f>
        <v>TT00289</v>
      </c>
      <c r="B291" s="2" t="str">
        <f>IFERROR(__xludf.DUMMYFUNCTION("""COMPUTED_VALUE"""),"Completed")</f>
        <v>Completed</v>
      </c>
      <c r="C291" s="2" t="str">
        <f>IFERROR(__xludf.DUMMYFUNCTION("""COMPUTED_VALUE"""),"FOR BILLING L3")</f>
        <v>FOR BILLING L3</v>
      </c>
      <c r="D291" s="2" t="str">
        <f>IFERROR(__xludf.DUMMYFUNCTION("""COMPUTED_VALUE"""),"KANDAMPOL FARMERS IRRIGATORS ASSOCIATION, INC.")</f>
        <v>KANDAMPOL FARMERS IRRIGATORS ASSOCIATION, INC.</v>
      </c>
      <c r="E291" s="2" t="str">
        <f>IFERROR(__xludf.DUMMYFUNCTION("""COMPUTED_VALUE"""),"Santa Isabel, Cabiao, NUEVA ECIJA")</f>
        <v>Santa Isabel, Cabiao, NUEVA ECIJA</v>
      </c>
      <c r="F291" s="2" t="str">
        <f>IFERROR(__xludf.DUMMYFUNCTION("""COMPUTED_VALUE"""),"Alejandro Q. Mangilit")</f>
        <v>Alejandro Q. Mangilit</v>
      </c>
      <c r="G291" s="2" t="str">
        <f>IFERROR(__xludf.DUMMYFUNCTION("""COMPUTED_VALUE"""),"0936-271-5143")</f>
        <v>0936-271-5143</v>
      </c>
      <c r="H291" s="2"/>
      <c r="I291" s="2"/>
      <c r="J291" s="2" t="str">
        <f>IFERROR(__xludf.DUMMYFUNCTION("""COMPUTED_VALUE"""),"disc plow")</f>
        <v>disc plow</v>
      </c>
      <c r="K291" s="2" t="str">
        <f>IFERROR(__xludf.DUMMYFUNCTION("""COMPUTED_VALUE"""),"RCEF 23-09-21 Rebidding")</f>
        <v>RCEF 23-09-21 Rebidding</v>
      </c>
      <c r="L291" s="2">
        <f>IFERROR(__xludf.DUMMYFUNCTION("""COMPUTED_VALUE"""),3.0)</f>
        <v>3</v>
      </c>
      <c r="M291" s="2"/>
      <c r="N291" s="74">
        <f>IFERROR(__xludf.DUMMYFUNCTION("""COMPUTED_VALUE"""),45380.0)</f>
        <v>45380</v>
      </c>
      <c r="O291" s="2"/>
      <c r="P291" s="2">
        <f>IFERROR(__xludf.DUMMYFUNCTION("""COMPUTED_VALUE"""),18807.0)</f>
        <v>18807</v>
      </c>
      <c r="Q291" s="2" t="str">
        <f>IFERROR(__xludf.DUMMYFUNCTION("""COMPUTED_VALUE"""),"KMC5825 ACRFPV0398")</f>
        <v>KMC5825 ACRFPV0398</v>
      </c>
      <c r="R291" s="2" t="str">
        <f>IFERROR(__xludf.DUMMYFUNCTION("""COMPUTED_VALUE"""),"RTS100288")</f>
        <v>RTS100288</v>
      </c>
      <c r="S291" s="2" t="str">
        <f>IFERROR(__xludf.DUMMYFUNCTION("""COMPUTED_VALUE"""),"R-SERIES 160 PH")</f>
        <v>R-SERIES 160 PH</v>
      </c>
      <c r="T291" s="2" t="str">
        <f>IFERROR(__xludf.DUMMYFUNCTION("""COMPUTED_VALUE"""),"LSGW1750 RMP 24020498")</f>
        <v>LSGW1750 RMP 24020498</v>
      </c>
      <c r="U291" s="2" t="str">
        <f>IFERROR(__xludf.DUMMYFUNCTION("""COMPUTED_VALUE"""),"WDP40 RMP 24050622")</f>
        <v>WDP40 RMP 24050622</v>
      </c>
      <c r="V291" s="2"/>
      <c r="W291" s="2" t="str">
        <f>IFERROR(__xludf.DUMMYFUNCTION("""COMPUTED_VALUE"""),"VL103D")</f>
        <v>VL103D</v>
      </c>
      <c r="X291" s="2">
        <f>IFERROR(__xludf.DUMMYFUNCTION("""COMPUTED_VALUE"""),8.69066060244739E14)</f>
        <v>869066060244739</v>
      </c>
      <c r="Y291" s="2">
        <f>IFERROR(__xludf.DUMMYFUNCTION("""COMPUTED_VALUE"""),9.624635424E9)</f>
        <v>9624635424</v>
      </c>
      <c r="Z291" s="2"/>
      <c r="AA291" s="2"/>
      <c r="AB291" s="2"/>
    </row>
    <row r="292">
      <c r="A292" s="2" t="str">
        <f>IFERROR(__xludf.DUMMYFUNCTION("""COMPUTED_VALUE"""),"TT00290")</f>
        <v>TT00290</v>
      </c>
      <c r="B292" s="2" t="str">
        <f>IFERROR(__xludf.DUMMYFUNCTION("""COMPUTED_VALUE"""),"Completed")</f>
        <v>Completed</v>
      </c>
      <c r="C292" s="2" t="str">
        <f>IFERROR(__xludf.DUMMYFUNCTION("""COMPUTED_VALUE"""),"FOR BILLING L3")</f>
        <v>FOR BILLING L3</v>
      </c>
      <c r="D292" s="2" t="str">
        <f>IFERROR(__xludf.DUMMYFUNCTION("""COMPUTED_VALUE"""),"PINAGPALA IRRIGATORS' ASSOCIATION, INC.")</f>
        <v>PINAGPALA IRRIGATORS' ASSOCIATION, INC.</v>
      </c>
      <c r="E292" s="2" t="str">
        <f>IFERROR(__xludf.DUMMYFUNCTION("""COMPUTED_VALUE"""),"San Fernando Norte, Cabiao, NUEVA ECIJA")</f>
        <v>San Fernando Norte, Cabiao, NUEVA ECIJA</v>
      </c>
      <c r="F292" s="2" t="str">
        <f>IFERROR(__xludf.DUMMYFUNCTION("""COMPUTED_VALUE"""),"Bonifacio Cunanan Sr.")</f>
        <v>Bonifacio Cunanan Sr.</v>
      </c>
      <c r="G292" s="2" t="str">
        <f>IFERROR(__xludf.DUMMYFUNCTION("""COMPUTED_VALUE"""),"0923-367-1053")</f>
        <v>0923-367-1053</v>
      </c>
      <c r="H292" s="2"/>
      <c r="I292" s="2"/>
      <c r="J292" s="2" t="str">
        <f>IFERROR(__xludf.DUMMYFUNCTION("""COMPUTED_VALUE"""),"disc plow")</f>
        <v>disc plow</v>
      </c>
      <c r="K292" s="2" t="str">
        <f>IFERROR(__xludf.DUMMYFUNCTION("""COMPUTED_VALUE"""),"RCEF 23-09-21 Rebidding")</f>
        <v>RCEF 23-09-21 Rebidding</v>
      </c>
      <c r="L292" s="2">
        <f>IFERROR(__xludf.DUMMYFUNCTION("""COMPUTED_VALUE"""),3.0)</f>
        <v>3</v>
      </c>
      <c r="M292" s="2"/>
      <c r="N292" s="74">
        <f>IFERROR(__xludf.DUMMYFUNCTION("""COMPUTED_VALUE"""),45380.0)</f>
        <v>45380</v>
      </c>
      <c r="O292" s="2"/>
      <c r="P292" s="2">
        <f>IFERROR(__xludf.DUMMYFUNCTION("""COMPUTED_VALUE"""),18809.0)</f>
        <v>18809</v>
      </c>
      <c r="Q292" s="2" t="str">
        <f>IFERROR(__xludf.DUMMYFUNCTION("""COMPUTED_VALUE"""),"KMC5825 ATRFPV0497")</f>
        <v>KMC5825 ATRFPV0497</v>
      </c>
      <c r="R292" s="2" t="str">
        <f>IFERROR(__xludf.DUMMYFUNCTION("""COMPUTED_VALUE"""),"RTS100411")</f>
        <v>RTS100411</v>
      </c>
      <c r="S292" s="2" t="str">
        <f>IFERROR(__xludf.DUMMYFUNCTION("""COMPUTED_VALUE"""),"R-SERIES 416 PH")</f>
        <v>R-SERIES 416 PH</v>
      </c>
      <c r="T292" s="2" t="str">
        <f>IFERROR(__xludf.DUMMYFUNCTION("""COMPUTED_VALUE"""),"LSGW1750 RMP 24020453")</f>
        <v>LSGW1750 RMP 24020453</v>
      </c>
      <c r="U292" s="2" t="str">
        <f>IFERROR(__xludf.DUMMYFUNCTION("""COMPUTED_VALUE"""),"WDP40 RMP 24050624")</f>
        <v>WDP40 RMP 24050624</v>
      </c>
      <c r="V292" s="2"/>
      <c r="W292" s="2" t="str">
        <f>IFERROR(__xludf.DUMMYFUNCTION("""COMPUTED_VALUE"""),"VL103D")</f>
        <v>VL103D</v>
      </c>
      <c r="X292" s="2">
        <f>IFERROR(__xludf.DUMMYFUNCTION("""COMPUTED_VALUE"""),8.69066060241172E14)</f>
        <v>869066060241172</v>
      </c>
      <c r="Y292" s="2">
        <f>IFERROR(__xludf.DUMMYFUNCTION("""COMPUTED_VALUE"""),9.087214096E9)</f>
        <v>9087214096</v>
      </c>
      <c r="Z292" s="2"/>
      <c r="AA292" s="2"/>
      <c r="AB292" s="2"/>
    </row>
    <row r="293">
      <c r="A293" s="2" t="str">
        <f>IFERROR(__xludf.DUMMYFUNCTION("""COMPUTED_VALUE"""),"TT00291")</f>
        <v>TT00291</v>
      </c>
      <c r="B293" s="2" t="str">
        <f>IFERROR(__xludf.DUMMYFUNCTION("""COMPUTED_VALUE"""),"Completed")</f>
        <v>Completed</v>
      </c>
      <c r="C293" s="2" t="str">
        <f>IFERROR(__xludf.DUMMYFUNCTION("""COMPUTED_VALUE"""),"FOR BILLING L3")</f>
        <v>FOR BILLING L3</v>
      </c>
      <c r="D293" s="2" t="str">
        <f>IFERROR(__xludf.DUMMYFUNCTION("""COMPUTED_VALUE"""),"MARELO FARMERS IRRIGATORS ASSOCIATION INC.")</f>
        <v>MARELO FARMERS IRRIGATORS ASSOCIATION INC.</v>
      </c>
      <c r="E293" s="2" t="str">
        <f>IFERROR(__xludf.DUMMYFUNCTION("""COMPUTED_VALUE"""),"Marelo, Gapan City, NUEVA ECIJA")</f>
        <v>Marelo, Gapan City, NUEVA ECIJA</v>
      </c>
      <c r="F293" s="2" t="str">
        <f>IFERROR(__xludf.DUMMYFUNCTION("""COMPUTED_VALUE"""),"Leoncio DG. Dela Cruz")</f>
        <v>Leoncio DG. Dela Cruz</v>
      </c>
      <c r="G293" s="2" t="str">
        <f>IFERROR(__xludf.DUMMYFUNCTION("""COMPUTED_VALUE"""),"0997-833-9241")</f>
        <v>0997-833-9241</v>
      </c>
      <c r="H293" s="2"/>
      <c r="I293" s="2"/>
      <c r="J293" s="2" t="str">
        <f>IFERROR(__xludf.DUMMYFUNCTION("""COMPUTED_VALUE"""),"disc plow")</f>
        <v>disc plow</v>
      </c>
      <c r="K293" s="2" t="str">
        <f>IFERROR(__xludf.DUMMYFUNCTION("""COMPUTED_VALUE"""),"RCEF 23-09-21 Rebidding")</f>
        <v>RCEF 23-09-21 Rebidding</v>
      </c>
      <c r="L293" s="2">
        <f>IFERROR(__xludf.DUMMYFUNCTION("""COMPUTED_VALUE"""),3.0)</f>
        <v>3</v>
      </c>
      <c r="M293" s="2"/>
      <c r="N293" s="74">
        <f>IFERROR(__xludf.DUMMYFUNCTION("""COMPUTED_VALUE"""),45380.0)</f>
        <v>45380</v>
      </c>
      <c r="O293" s="2"/>
      <c r="P293" s="2">
        <f>IFERROR(__xludf.DUMMYFUNCTION("""COMPUTED_VALUE"""),18808.0)</f>
        <v>18808</v>
      </c>
      <c r="Q293" s="2" t="str">
        <f>IFERROR(__xludf.DUMMYFUNCTION("""COMPUTED_VALUE"""),"KMC5825 APRFPV0503")</f>
        <v>KMC5825 APRFPV0503</v>
      </c>
      <c r="R293" s="2" t="str">
        <f>IFERROR(__xludf.DUMMYFUNCTION("""COMPUTED_VALUE"""),"RTS100418")</f>
        <v>RTS100418</v>
      </c>
      <c r="S293" s="2" t="str">
        <f>IFERROR(__xludf.DUMMYFUNCTION("""COMPUTED_VALUE"""),"R-SERIES 418 PH")</f>
        <v>R-SERIES 418 PH</v>
      </c>
      <c r="T293" s="2" t="str">
        <f>IFERROR(__xludf.DUMMYFUNCTION("""COMPUTED_VALUE"""),"LSGW1750 RMP 24020482")</f>
        <v>LSGW1750 RMP 24020482</v>
      </c>
      <c r="U293" s="2" t="str">
        <f>IFERROR(__xludf.DUMMYFUNCTION("""COMPUTED_VALUE"""),"WDP40 RMP 24050617")</f>
        <v>WDP40 RMP 24050617</v>
      </c>
      <c r="V293" s="2"/>
      <c r="W293" s="2" t="str">
        <f>IFERROR(__xludf.DUMMYFUNCTION("""COMPUTED_VALUE"""),"VL103D")</f>
        <v>VL103D</v>
      </c>
      <c r="X293" s="2">
        <f>IFERROR(__xludf.DUMMYFUNCTION("""COMPUTED_VALUE"""),8.69066060244721E14)</f>
        <v>869066060244721</v>
      </c>
      <c r="Y293" s="2">
        <f>IFERROR(__xludf.DUMMYFUNCTION("""COMPUTED_VALUE"""),9.626441885E9)</f>
        <v>9626441885</v>
      </c>
      <c r="Z293" s="2"/>
      <c r="AA293" s="2"/>
      <c r="AB293" s="2"/>
    </row>
    <row r="294">
      <c r="A294" s="2" t="str">
        <f>IFERROR(__xludf.DUMMYFUNCTION("""COMPUTED_VALUE"""),"TT00292")</f>
        <v>TT00292</v>
      </c>
      <c r="B294" s="2" t="str">
        <f>IFERROR(__xludf.DUMMYFUNCTION("""COMPUTED_VALUE"""),"Completed")</f>
        <v>Completed</v>
      </c>
      <c r="C294" s="2" t="str">
        <f>IFERROR(__xludf.DUMMYFUNCTION("""COMPUTED_VALUE"""),"FOR BILLING L3")</f>
        <v>FOR BILLING L3</v>
      </c>
      <c r="D294" s="2" t="str">
        <f>IFERROR(__xludf.DUMMYFUNCTION("""COMPUTED_VALUE"""),"SANTUYO WATER PUMP IRRIGATORS ASSOCIATION INC.")</f>
        <v>SANTUYO WATER PUMP IRRIGATORS ASSOCIATION INC.</v>
      </c>
      <c r="E294" s="2" t="str">
        <f>IFERROR(__xludf.DUMMYFUNCTION("""COMPUTED_VALUE"""),"Rio Chico, General Tinio, NUEVA ECIJA")</f>
        <v>Rio Chico, General Tinio, NUEVA ECIJA</v>
      </c>
      <c r="F294" s="2" t="str">
        <f>IFERROR(__xludf.DUMMYFUNCTION("""COMPUTED_VALUE"""),"Eddie C. Corpuz")</f>
        <v>Eddie C. Corpuz</v>
      </c>
      <c r="G294" s="2" t="str">
        <f>IFERROR(__xludf.DUMMYFUNCTION("""COMPUTED_VALUE"""),"0967-849-4299")</f>
        <v>0967-849-4299</v>
      </c>
      <c r="H294" s="2"/>
      <c r="I294" s="2"/>
      <c r="J294" s="2" t="str">
        <f>IFERROR(__xludf.DUMMYFUNCTION("""COMPUTED_VALUE"""),"disc plow")</f>
        <v>disc plow</v>
      </c>
      <c r="K294" s="2" t="str">
        <f>IFERROR(__xludf.DUMMYFUNCTION("""COMPUTED_VALUE"""),"RCEF 23-09-21 Rebidding")</f>
        <v>RCEF 23-09-21 Rebidding</v>
      </c>
      <c r="L294" s="2">
        <f>IFERROR(__xludf.DUMMYFUNCTION("""COMPUTED_VALUE"""),3.0)</f>
        <v>3</v>
      </c>
      <c r="M294" s="2"/>
      <c r="N294" s="74">
        <f>IFERROR(__xludf.DUMMYFUNCTION("""COMPUTED_VALUE"""),45380.0)</f>
        <v>45380</v>
      </c>
      <c r="O294" s="2"/>
      <c r="P294" s="2">
        <f>IFERROR(__xludf.DUMMYFUNCTION("""COMPUTED_VALUE"""),18810.0)</f>
        <v>18810</v>
      </c>
      <c r="Q294" s="2" t="str">
        <f>IFERROR(__xludf.DUMMYFUNCTION("""COMPUTED_VALUE"""),"KMC5825 AHRFPV0320")</f>
        <v>KMC5825 AHRFPV0320</v>
      </c>
      <c r="R294" s="2" t="str">
        <f>IFERROR(__xludf.DUMMYFUNCTION("""COMPUTED_VALUE"""),"RTS100204")</f>
        <v>RTS100204</v>
      </c>
      <c r="S294" s="2" t="str">
        <f>IFERROR(__xludf.DUMMYFUNCTION("""COMPUTED_VALUE"""),"R-SERIES 420 PH")</f>
        <v>R-SERIES 420 PH</v>
      </c>
      <c r="T294" s="2" t="str">
        <f>IFERROR(__xludf.DUMMYFUNCTION("""COMPUTED_VALUE"""),"LSGW1750 RMP 24020452")</f>
        <v>LSGW1750 RMP 24020452</v>
      </c>
      <c r="U294" s="2" t="str">
        <f>IFERROR(__xludf.DUMMYFUNCTION("""COMPUTED_VALUE"""),"WDP40 RMP 24030348")</f>
        <v>WDP40 RMP 24030348</v>
      </c>
      <c r="V294" s="2"/>
      <c r="W294" s="2" t="str">
        <f>IFERROR(__xludf.DUMMYFUNCTION("""COMPUTED_VALUE"""),"VL103D")</f>
        <v>VL103D</v>
      </c>
      <c r="X294" s="2">
        <f>IFERROR(__xludf.DUMMYFUNCTION("""COMPUTED_VALUE"""),8.69066060240349E14)</f>
        <v>869066060240349</v>
      </c>
      <c r="Y294" s="2">
        <f>IFERROR(__xludf.DUMMYFUNCTION("""COMPUTED_VALUE"""),9.626441875E9)</f>
        <v>9626441875</v>
      </c>
      <c r="Z294" s="2"/>
      <c r="AA294" s="2"/>
      <c r="AB294" s="2"/>
    </row>
    <row r="295">
      <c r="A295" s="2" t="str">
        <f>IFERROR(__xludf.DUMMYFUNCTION("""COMPUTED_VALUE"""),"TT00293")</f>
        <v>TT00293</v>
      </c>
      <c r="B295" s="2" t="str">
        <f>IFERROR(__xludf.DUMMYFUNCTION("""COMPUTED_VALUE"""),"Completed")</f>
        <v>Completed</v>
      </c>
      <c r="C295" s="2" t="str">
        <f>IFERROR(__xludf.DUMMYFUNCTION("""COMPUTED_VALUE"""),"FOR BILLING L3")</f>
        <v>FOR BILLING L3</v>
      </c>
      <c r="D295" s="2" t="str">
        <f>IFERROR(__xludf.DUMMYFUNCTION("""COMPUTED_VALUE"""),"IMPAMACOR IRRIGATORS' ASSOCIATION, INC.")</f>
        <v>IMPAMACOR IRRIGATORS' ASSOCIATION, INC.</v>
      </c>
      <c r="E295" s="2" t="str">
        <f>IFERROR(__xludf.DUMMYFUNCTION("""COMPUTED_VALUE"""),"Imbunia, Jaen, NUEVA ECIJA")</f>
        <v>Imbunia, Jaen, NUEVA ECIJA</v>
      </c>
      <c r="F295" s="2" t="str">
        <f>IFERROR(__xludf.DUMMYFUNCTION("""COMPUTED_VALUE"""),"Cornelio Pradez")</f>
        <v>Cornelio Pradez</v>
      </c>
      <c r="G295" s="2" t="str">
        <f>IFERROR(__xludf.DUMMYFUNCTION("""COMPUTED_VALUE"""),"0936-675-7196")</f>
        <v>0936-675-7196</v>
      </c>
      <c r="H295" s="2"/>
      <c r="I295" s="2"/>
      <c r="J295" s="2" t="str">
        <f>IFERROR(__xludf.DUMMYFUNCTION("""COMPUTED_VALUE"""),"disc plow")</f>
        <v>disc plow</v>
      </c>
      <c r="K295" s="2" t="str">
        <f>IFERROR(__xludf.DUMMYFUNCTION("""COMPUTED_VALUE"""),"RCEF 23-09-21 Rebidding")</f>
        <v>RCEF 23-09-21 Rebidding</v>
      </c>
      <c r="L295" s="2">
        <f>IFERROR(__xludf.DUMMYFUNCTION("""COMPUTED_VALUE"""),3.0)</f>
        <v>3</v>
      </c>
      <c r="M295" s="2"/>
      <c r="N295" s="74">
        <f>IFERROR(__xludf.DUMMYFUNCTION("""COMPUTED_VALUE"""),45380.0)</f>
        <v>45380</v>
      </c>
      <c r="O295" s="2"/>
      <c r="P295" s="2">
        <f>IFERROR(__xludf.DUMMYFUNCTION("""COMPUTED_VALUE"""),18811.0)</f>
        <v>18811</v>
      </c>
      <c r="Q295" s="2" t="str">
        <f>IFERROR(__xludf.DUMMYFUNCTION("""COMPUTED_VALUE"""),"KMC5825 AERFPV0433")</f>
        <v>KMC5825 AERFPV0433</v>
      </c>
      <c r="R295" s="2" t="str">
        <f>IFERROR(__xludf.DUMMYFUNCTION("""COMPUTED_VALUE"""),"RTS100335")</f>
        <v>RTS100335</v>
      </c>
      <c r="S295" s="2" t="str">
        <f>IFERROR(__xludf.DUMMYFUNCTION("""COMPUTED_VALUE"""),"R-SERIES 159 PH")</f>
        <v>R-SERIES 159 PH</v>
      </c>
      <c r="T295" s="2" t="str">
        <f>IFERROR(__xludf.DUMMYFUNCTION("""COMPUTED_VALUE"""),"LSGW1750 RMP 24020447")</f>
        <v>LSGW1750 RMP 24020447</v>
      </c>
      <c r="U295" s="2" t="str">
        <f>IFERROR(__xludf.DUMMYFUNCTION("""COMPUTED_VALUE"""),"WDP40 RMP 24050598")</f>
        <v>WDP40 RMP 24050598</v>
      </c>
      <c r="V295" s="2"/>
      <c r="W295" s="2" t="str">
        <f>IFERROR(__xludf.DUMMYFUNCTION("""COMPUTED_VALUE"""),"VL103D")</f>
        <v>VL103D</v>
      </c>
      <c r="X295" s="2">
        <f>IFERROR(__xludf.DUMMYFUNCTION("""COMPUTED_VALUE"""),8.6906606024095E14)</f>
        <v>869066060240950</v>
      </c>
      <c r="Y295" s="2">
        <f>IFERROR(__xludf.DUMMYFUNCTION("""COMPUTED_VALUE"""),9.624396959E9)</f>
        <v>9624396959</v>
      </c>
      <c r="Z295" s="2"/>
      <c r="AA295" s="2"/>
      <c r="AB295" s="2"/>
    </row>
    <row r="296">
      <c r="A296" s="2" t="str">
        <f>IFERROR(__xludf.DUMMYFUNCTION("""COMPUTED_VALUE"""),"TT00294")</f>
        <v>TT00294</v>
      </c>
      <c r="B296" s="2" t="str">
        <f>IFERROR(__xludf.DUMMYFUNCTION("""COMPUTED_VALUE"""),"Completed")</f>
        <v>Completed</v>
      </c>
      <c r="C296" s="2" t="str">
        <f>IFERROR(__xludf.DUMMYFUNCTION("""COMPUTED_VALUE"""),"FOR BILLING L3")</f>
        <v>FOR BILLING L3</v>
      </c>
      <c r="D296" s="2" t="str">
        <f>IFERROR(__xludf.DUMMYFUNCTION("""COMPUTED_VALUE"""),"KALAMBA IRRIGATORS ASSOCIATION, INC.")</f>
        <v>KALAMBA IRRIGATORS ASSOCIATION, INC.</v>
      </c>
      <c r="E296" s="2" t="str">
        <f>IFERROR(__xludf.DUMMYFUNCTION("""COMPUTED_VALUE"""),"Calabasa, Jaen, NUEVA ECIJA")</f>
        <v>Calabasa, Jaen, NUEVA ECIJA</v>
      </c>
      <c r="F296" s="2" t="str">
        <f>IFERROR(__xludf.DUMMYFUNCTION("""COMPUTED_VALUE"""),"Leonides G. Esguerra")</f>
        <v>Leonides G. Esguerra</v>
      </c>
      <c r="G296" s="2" t="str">
        <f>IFERROR(__xludf.DUMMYFUNCTION("""COMPUTED_VALUE"""),"0936-675-7196")</f>
        <v>0936-675-7196</v>
      </c>
      <c r="H296" s="2"/>
      <c r="I296" s="2"/>
      <c r="J296" s="2" t="str">
        <f>IFERROR(__xludf.DUMMYFUNCTION("""COMPUTED_VALUE"""),"disc plow")</f>
        <v>disc plow</v>
      </c>
      <c r="K296" s="2" t="str">
        <f>IFERROR(__xludf.DUMMYFUNCTION("""COMPUTED_VALUE"""),"RCEF 23-09-21 Rebidding")</f>
        <v>RCEF 23-09-21 Rebidding</v>
      </c>
      <c r="L296" s="2">
        <f>IFERROR(__xludf.DUMMYFUNCTION("""COMPUTED_VALUE"""),3.0)</f>
        <v>3</v>
      </c>
      <c r="M296" s="2"/>
      <c r="N296" s="74">
        <f>IFERROR(__xludf.DUMMYFUNCTION("""COMPUTED_VALUE"""),45380.0)</f>
        <v>45380</v>
      </c>
      <c r="O296" s="2"/>
      <c r="P296" s="2">
        <f>IFERROR(__xludf.DUMMYFUNCTION("""COMPUTED_VALUE"""),18812.0)</f>
        <v>18812</v>
      </c>
      <c r="Q296" s="2" t="str">
        <f>IFERROR(__xludf.DUMMYFUNCTION("""COMPUTED_VALUE"""),"KMC5825 ATRFPV0435")</f>
        <v>KMC5825 ATRFPV0435</v>
      </c>
      <c r="R296" s="2" t="str">
        <f>IFERROR(__xludf.DUMMYFUNCTION("""COMPUTED_VALUE"""),"RTS100346")</f>
        <v>RTS100346</v>
      </c>
      <c r="S296" s="2" t="str">
        <f>IFERROR(__xludf.DUMMYFUNCTION("""COMPUTED_VALUE"""),"R-SERIES 409 PH")</f>
        <v>R-SERIES 409 PH</v>
      </c>
      <c r="T296" s="2" t="str">
        <f>IFERROR(__xludf.DUMMYFUNCTION("""COMPUTED_VALUE"""),"LSGW1750 RMP 24020458")</f>
        <v>LSGW1750 RMP 24020458</v>
      </c>
      <c r="U296" s="2" t="str">
        <f>IFERROR(__xludf.DUMMYFUNCTION("""COMPUTED_VALUE"""),"WDP40 RMP 24050623")</f>
        <v>WDP40 RMP 24050623</v>
      </c>
      <c r="V296" s="2"/>
      <c r="W296" s="2" t="str">
        <f>IFERROR(__xludf.DUMMYFUNCTION("""COMPUTED_VALUE"""),"VL103D")</f>
        <v>VL103D</v>
      </c>
      <c r="X296" s="2">
        <f>IFERROR(__xludf.DUMMYFUNCTION("""COMPUTED_VALUE"""),8.69066060241354E14)</f>
        <v>869066060241354</v>
      </c>
      <c r="Y296" s="2">
        <f>IFERROR(__xludf.DUMMYFUNCTION("""COMPUTED_VALUE"""),9.62439692E9)</f>
        <v>9624396920</v>
      </c>
      <c r="Z296" s="2"/>
      <c r="AA296" s="2"/>
      <c r="AB296" s="2"/>
    </row>
    <row r="297">
      <c r="A297" s="2" t="str">
        <f>IFERROR(__xludf.DUMMYFUNCTION("""COMPUTED_VALUE"""),"TT00295")</f>
        <v>TT00295</v>
      </c>
      <c r="B297" s="2" t="str">
        <f>IFERROR(__xludf.DUMMYFUNCTION("""COMPUTED_VALUE"""),"Completed")</f>
        <v>Completed</v>
      </c>
      <c r="C297" s="2" t="str">
        <f>IFERROR(__xludf.DUMMYFUNCTION("""COMPUTED_VALUE"""),"FOR BILLING L3")</f>
        <v>FOR BILLING L3</v>
      </c>
      <c r="D297" s="2" t="str">
        <f>IFERROR(__xludf.DUMMYFUNCTION("""COMPUTED_VALUE"""),"MATALADTAD FARMERS IRRIGATORS ASSOCIATION INC.")</f>
        <v>MATALADTAD FARMERS IRRIGATORS ASSOCIATION INC.</v>
      </c>
      <c r="E297" s="2" t="str">
        <f>IFERROR(__xludf.DUMMYFUNCTION("""COMPUTED_VALUE"""),"Papaya, San Antonio, NUEVA ECIJA")</f>
        <v>Papaya, San Antonio, NUEVA ECIJA</v>
      </c>
      <c r="F297" s="2" t="str">
        <f>IFERROR(__xludf.DUMMYFUNCTION("""COMPUTED_VALUE"""),"Raymundo S. Sulit")</f>
        <v>Raymundo S. Sulit</v>
      </c>
      <c r="G297" s="2" t="str">
        <f>IFERROR(__xludf.DUMMYFUNCTION("""COMPUTED_VALUE"""),"0965-716-9673")</f>
        <v>0965-716-9673</v>
      </c>
      <c r="H297" s="2"/>
      <c r="I297" s="2"/>
      <c r="J297" s="2" t="str">
        <f>IFERROR(__xludf.DUMMYFUNCTION("""COMPUTED_VALUE"""),"disc plow")</f>
        <v>disc plow</v>
      </c>
      <c r="K297" s="2" t="str">
        <f>IFERROR(__xludf.DUMMYFUNCTION("""COMPUTED_VALUE"""),"RCEF 23-09-21 Rebidding")</f>
        <v>RCEF 23-09-21 Rebidding</v>
      </c>
      <c r="L297" s="2">
        <f>IFERROR(__xludf.DUMMYFUNCTION("""COMPUTED_VALUE"""),3.0)</f>
        <v>3</v>
      </c>
      <c r="M297" s="2"/>
      <c r="N297" s="74">
        <f>IFERROR(__xludf.DUMMYFUNCTION("""COMPUTED_VALUE"""),45380.0)</f>
        <v>45380</v>
      </c>
      <c r="O297" s="2"/>
      <c r="P297" s="2">
        <f>IFERROR(__xludf.DUMMYFUNCTION("""COMPUTED_VALUE"""),18813.0)</f>
        <v>18813</v>
      </c>
      <c r="Q297" s="2" t="str">
        <f>IFERROR(__xludf.DUMMYFUNCTION("""COMPUTED_VALUE"""),"KMC5825 AKRFPV0423")</f>
        <v>KMC5825 AKRFPV0423</v>
      </c>
      <c r="R297" s="2" t="str">
        <f>IFERROR(__xludf.DUMMYFUNCTION("""COMPUTED_VALUE"""),"RTS100324")</f>
        <v>RTS100324</v>
      </c>
      <c r="S297" s="2" t="str">
        <f>IFERROR(__xludf.DUMMYFUNCTION("""COMPUTED_VALUE"""),"R-SERIES 173 PH")</f>
        <v>R-SERIES 173 PH</v>
      </c>
      <c r="T297" s="2" t="str">
        <f>IFERROR(__xludf.DUMMYFUNCTION("""COMPUTED_VALUE"""),"LSGW1750 RMP 24020492")</f>
        <v>LSGW1750 RMP 24020492</v>
      </c>
      <c r="U297" s="2" t="str">
        <f>IFERROR(__xludf.DUMMYFUNCTION("""COMPUTED_VALUE"""),"WDP40 RMP 24050628")</f>
        <v>WDP40 RMP 24050628</v>
      </c>
      <c r="V297" s="2"/>
      <c r="W297" s="2" t="str">
        <f>IFERROR(__xludf.DUMMYFUNCTION("""COMPUTED_VALUE"""),"VL103D")</f>
        <v>VL103D</v>
      </c>
      <c r="X297" s="2">
        <f>IFERROR(__xludf.DUMMYFUNCTION("""COMPUTED_VALUE"""),8.69066060242618E14)</f>
        <v>869066060242618</v>
      </c>
      <c r="Y297" s="2">
        <f>IFERROR(__xludf.DUMMYFUNCTION("""COMPUTED_VALUE"""),9.087860878E9)</f>
        <v>9087860878</v>
      </c>
      <c r="Z297" s="2"/>
      <c r="AA297" s="2"/>
      <c r="AB297" s="2"/>
    </row>
    <row r="298">
      <c r="A298" s="2" t="str">
        <f>IFERROR(__xludf.DUMMYFUNCTION("""COMPUTED_VALUE"""),"TT00296")</f>
        <v>TT00296</v>
      </c>
      <c r="B298" s="2" t="str">
        <f>IFERROR(__xludf.DUMMYFUNCTION("""COMPUTED_VALUE"""),"Completed")</f>
        <v>Completed</v>
      </c>
      <c r="C298" s="2" t="str">
        <f>IFERROR(__xludf.DUMMYFUNCTION("""COMPUTED_VALUE"""),"L3, Cancel DR")</f>
        <v>L3, Cancel DR</v>
      </c>
      <c r="D298" s="2" t="str">
        <f>IFERROR(__xludf.DUMMYFUNCTION("""COMPUTED_VALUE"""),"LEOFERLAR IRRIGATOR'S ASSOCIATION INC.")</f>
        <v>LEOFERLAR IRRIGATOR'S ASSOCIATION INC.</v>
      </c>
      <c r="E298" s="2" t="str">
        <f>IFERROR(__xludf.DUMMYFUNCTION("""COMPUTED_VALUE"""),"Luyos, San Antonio, Nueva Ecija")</f>
        <v>Luyos, San Antonio, Nueva Ecija</v>
      </c>
      <c r="F298" s="2" t="str">
        <f>IFERROR(__xludf.DUMMYFUNCTION("""COMPUTED_VALUE"""),"Larry renia")</f>
        <v>Larry renia</v>
      </c>
      <c r="G298" s="2">
        <f>IFERROR(__xludf.DUMMYFUNCTION("""COMPUTED_VALUE"""),9.169788445E9)</f>
        <v>9169788445</v>
      </c>
      <c r="H298" s="2"/>
      <c r="I298" s="2"/>
      <c r="J298" s="2"/>
      <c r="K298" s="2" t="str">
        <f>IFERROR(__xludf.DUMMYFUNCTION("""COMPUTED_VALUE"""),"RCEF 23-09-21 Rebidding")</f>
        <v>RCEF 23-09-21 Rebidding</v>
      </c>
      <c r="L298" s="2" t="str">
        <f>IFERROR(__xludf.DUMMYFUNCTION("""COMPUTED_VALUE"""),"#N/A")</f>
        <v>#N/A</v>
      </c>
      <c r="M298" s="2"/>
      <c r="N298" s="2"/>
      <c r="O298" s="2"/>
      <c r="P298" s="2"/>
      <c r="Q298" s="2"/>
      <c r="R298" s="2"/>
      <c r="S298" s="2"/>
      <c r="T298" s="2"/>
      <c r="U298" s="2"/>
      <c r="V298" s="2"/>
      <c r="W298" s="2" t="str">
        <f>IFERROR(__xludf.DUMMYFUNCTION("""COMPUTED_VALUE"""),"VL103D")</f>
        <v>VL103D</v>
      </c>
      <c r="X298" s="2"/>
      <c r="Y298" s="2"/>
      <c r="Z298" s="2"/>
      <c r="AA298" s="2"/>
      <c r="AB298" s="2"/>
    </row>
    <row r="299">
      <c r="A299" s="2" t="str">
        <f>IFERROR(__xludf.DUMMYFUNCTION("""COMPUTED_VALUE"""),"TT00297")</f>
        <v>TT00297</v>
      </c>
      <c r="B299" s="2" t="str">
        <f>IFERROR(__xludf.DUMMYFUNCTION("""COMPUTED_VALUE"""),"Completed")</f>
        <v>Completed</v>
      </c>
      <c r="C299" s="2" t="str">
        <f>IFERROR(__xludf.DUMMYFUNCTION("""COMPUTED_VALUE"""),"FOR BILLING L3")</f>
        <v>FOR BILLING L3</v>
      </c>
      <c r="D299" s="2" t="str">
        <f>IFERROR(__xludf.DUMMYFUNCTION("""COMPUTED_VALUE"""),"TALAHEBEN IRRIGATORS ASSN. INC.")</f>
        <v>TALAHEBEN IRRIGATORS ASSN. INC.</v>
      </c>
      <c r="E299" s="2" t="str">
        <f>IFERROR(__xludf.DUMMYFUNCTION("""COMPUTED_VALUE"""),"San Francisco, San Antonio, NUEVA ECIJA")</f>
        <v>San Francisco, San Antonio, NUEVA ECIJA</v>
      </c>
      <c r="F299" s="2" t="str">
        <f>IFERROR(__xludf.DUMMYFUNCTION("""COMPUTED_VALUE"""),"Normeniano E. Rivera")</f>
        <v>Normeniano E. Rivera</v>
      </c>
      <c r="G299" s="2" t="str">
        <f>IFERROR(__xludf.DUMMYFUNCTION("""COMPUTED_VALUE"""),"0916-196-7526")</f>
        <v>0916-196-7526</v>
      </c>
      <c r="H299" s="2"/>
      <c r="I299" s="2"/>
      <c r="J299" s="2" t="str">
        <f>IFERROR(__xludf.DUMMYFUNCTION("""COMPUTED_VALUE"""),"disc plow")</f>
        <v>disc plow</v>
      </c>
      <c r="K299" s="2" t="str">
        <f>IFERROR(__xludf.DUMMYFUNCTION("""COMPUTED_VALUE"""),"RCEF 23-09-21 Rebidding")</f>
        <v>RCEF 23-09-21 Rebidding</v>
      </c>
      <c r="L299" s="2">
        <f>IFERROR(__xludf.DUMMYFUNCTION("""COMPUTED_VALUE"""),3.0)</f>
        <v>3</v>
      </c>
      <c r="M299" s="2"/>
      <c r="N299" s="74">
        <f>IFERROR(__xludf.DUMMYFUNCTION("""COMPUTED_VALUE"""),45380.0)</f>
        <v>45380</v>
      </c>
      <c r="O299" s="2"/>
      <c r="P299" s="2">
        <f>IFERROR(__xludf.DUMMYFUNCTION("""COMPUTED_VALUE"""),18815.0)</f>
        <v>18815</v>
      </c>
      <c r="Q299" s="2" t="str">
        <f>IFERROR(__xludf.DUMMYFUNCTION("""COMPUTED_VALUE"""),"KMC5825 AKRFPV0339")</f>
        <v>KMC5825 AKRFPV0339</v>
      </c>
      <c r="R299" s="2" t="str">
        <f>IFERROR(__xludf.DUMMYFUNCTION("""COMPUTED_VALUE"""),"RTS100233")</f>
        <v>RTS100233</v>
      </c>
      <c r="S299" s="2" t="str">
        <f>IFERROR(__xludf.DUMMYFUNCTION("""COMPUTED_VALUE"""),"R-SERIES 243 PH")</f>
        <v>R-SERIES 243 PH</v>
      </c>
      <c r="T299" s="2" t="str">
        <f>IFERROR(__xludf.DUMMYFUNCTION("""COMPUTED_VALUE"""),"LSGW1750 RMP 24020412")</f>
        <v>LSGW1750 RMP 24020412</v>
      </c>
      <c r="U299" s="2" t="str">
        <f>IFERROR(__xludf.DUMMYFUNCTION("""COMPUTED_VALUE"""),"WDP40 RMP 24050632")</f>
        <v>WDP40 RMP 24050632</v>
      </c>
      <c r="V299" s="2"/>
      <c r="W299" s="2" t="str">
        <f>IFERROR(__xludf.DUMMYFUNCTION("""COMPUTED_VALUE"""),"VL103D")</f>
        <v>VL103D</v>
      </c>
      <c r="X299" s="2"/>
      <c r="Y299" s="2"/>
      <c r="Z299" s="2"/>
      <c r="AA299" s="2"/>
      <c r="AB299" s="2"/>
    </row>
    <row r="300">
      <c r="A300" s="2" t="str">
        <f>IFERROR(__xludf.DUMMYFUNCTION("""COMPUTED_VALUE"""),"TT00298")</f>
        <v>TT00298</v>
      </c>
      <c r="B300" s="2" t="str">
        <f>IFERROR(__xludf.DUMMYFUNCTION("""COMPUTED_VALUE"""),"Completed")</f>
        <v>Completed</v>
      </c>
      <c r="C300" s="2" t="str">
        <f>IFERROR(__xludf.DUMMYFUNCTION("""COMPUTED_VALUE"""),"FOR BILLING L3")</f>
        <v>FOR BILLING L3</v>
      </c>
      <c r="D300" s="2" t="str">
        <f>IFERROR(__xludf.DUMMYFUNCTION("""COMPUTED_VALUE"""),"BIGAYAN SA PAGPAPATUBIG IRRIGATORS' ASSOCIATION, INC.")</f>
        <v>BIGAYAN SA PAGPAPATUBIG IRRIGATORS' ASSOCIATION, INC.</v>
      </c>
      <c r="E300" s="2" t="str">
        <f>IFERROR(__xludf.DUMMYFUNCTION("""COMPUTED_VALUE"""),"Pulo, San Isidro, NUEVA ECIJA")</f>
        <v>Pulo, San Isidro, NUEVA ECIJA</v>
      </c>
      <c r="F300" s="2" t="str">
        <f>IFERROR(__xludf.DUMMYFUNCTION("""COMPUTED_VALUE"""),"Joselito Lopez")</f>
        <v>Joselito Lopez</v>
      </c>
      <c r="G300" s="2" t="str">
        <f>IFERROR(__xludf.DUMMYFUNCTION("""COMPUTED_VALUE"""),"0939-421-0958")</f>
        <v>0939-421-0958</v>
      </c>
      <c r="H300" s="2"/>
      <c r="I300" s="2"/>
      <c r="J300" s="2" t="str">
        <f>IFERROR(__xludf.DUMMYFUNCTION("""COMPUTED_VALUE"""),"disc plow")</f>
        <v>disc plow</v>
      </c>
      <c r="K300" s="2" t="str">
        <f>IFERROR(__xludf.DUMMYFUNCTION("""COMPUTED_VALUE"""),"RCEF 23-09-21 Rebidding")</f>
        <v>RCEF 23-09-21 Rebidding</v>
      </c>
      <c r="L300" s="2">
        <f>IFERROR(__xludf.DUMMYFUNCTION("""COMPUTED_VALUE"""),3.0)</f>
        <v>3</v>
      </c>
      <c r="M300" s="2"/>
      <c r="N300" s="74">
        <f>IFERROR(__xludf.DUMMYFUNCTION("""COMPUTED_VALUE"""),45380.0)</f>
        <v>45380</v>
      </c>
      <c r="O300" s="2"/>
      <c r="P300" s="2">
        <f>IFERROR(__xludf.DUMMYFUNCTION("""COMPUTED_VALUE"""),18816.0)</f>
        <v>18816</v>
      </c>
      <c r="Q300" s="2" t="str">
        <f>IFERROR(__xludf.DUMMYFUNCTION("""COMPUTED_VALUE"""),"KMC5825 ALRFPV0204")</f>
        <v>KMC5825 ALRFPV0204</v>
      </c>
      <c r="R300" s="2" t="str">
        <f>IFERROR(__xludf.DUMMYFUNCTION("""COMPUTED_VALUE"""),"RTS100051")</f>
        <v>RTS100051</v>
      </c>
      <c r="S300" s="2" t="str">
        <f>IFERROR(__xludf.DUMMYFUNCTION("""COMPUTED_VALUE"""),"R-SERIES 122 PH")</f>
        <v>R-SERIES 122 PH</v>
      </c>
      <c r="T300" s="2" t="str">
        <f>IFERROR(__xludf.DUMMYFUNCTION("""COMPUTED_VALUE"""),"LSGW1750 RMP 24020455")</f>
        <v>LSGW1750 RMP 24020455</v>
      </c>
      <c r="U300" s="2" t="str">
        <f>IFERROR(__xludf.DUMMYFUNCTION("""COMPUTED_VALUE"""),"WDP40 RMP 24050625")</f>
        <v>WDP40 RMP 24050625</v>
      </c>
      <c r="V300" s="2"/>
      <c r="W300" s="2" t="str">
        <f>IFERROR(__xludf.DUMMYFUNCTION("""COMPUTED_VALUE"""),"VL103D")</f>
        <v>VL103D</v>
      </c>
      <c r="X300" s="2">
        <f>IFERROR(__xludf.DUMMYFUNCTION("""COMPUTED_VALUE"""),8.69066060241404E14)</f>
        <v>869066060241404</v>
      </c>
      <c r="Y300" s="2">
        <f>IFERROR(__xludf.DUMMYFUNCTION("""COMPUTED_VALUE"""),9.622460296E9)</f>
        <v>9622460296</v>
      </c>
      <c r="Z300" s="2"/>
      <c r="AA300" s="2"/>
      <c r="AB300" s="2"/>
    </row>
    <row r="301">
      <c r="A301" s="2" t="str">
        <f>IFERROR(__xludf.DUMMYFUNCTION("""COMPUTED_VALUE"""),"TT00299")</f>
        <v>TT00299</v>
      </c>
      <c r="B301" s="2" t="str">
        <f>IFERROR(__xludf.DUMMYFUNCTION("""COMPUTED_VALUE"""),"Completed")</f>
        <v>Completed</v>
      </c>
      <c r="C301" s="2" t="str">
        <f>IFERROR(__xludf.DUMMYFUNCTION("""COMPUTED_VALUE"""),"FOR BILLING L3")</f>
        <v>FOR BILLING L3</v>
      </c>
      <c r="D301" s="2" t="str">
        <f>IFERROR(__xludf.DUMMYFUNCTION("""COMPUTED_VALUE"""),"SAMPALUCAN IRRIGATORS ASSOCIATION INC.")</f>
        <v>SAMPALUCAN IRRIGATORS ASSOCIATION INC.</v>
      </c>
      <c r="E301" s="2" t="str">
        <f>IFERROR(__xludf.DUMMYFUNCTION("""COMPUTED_VALUE"""),"Pulo, San Isidro, NUEVA ECIJA")</f>
        <v>Pulo, San Isidro, NUEVA ECIJA</v>
      </c>
      <c r="F301" s="2" t="str">
        <f>IFERROR(__xludf.DUMMYFUNCTION("""COMPUTED_VALUE"""),"Fernando Magbitang")</f>
        <v>Fernando Magbitang</v>
      </c>
      <c r="G301" s="2" t="str">
        <f>IFERROR(__xludf.DUMMYFUNCTION("""COMPUTED_VALUE"""),"0997-502-5628")</f>
        <v>0997-502-5628</v>
      </c>
      <c r="H301" s="2"/>
      <c r="I301" s="2"/>
      <c r="J301" s="2" t="str">
        <f>IFERROR(__xludf.DUMMYFUNCTION("""COMPUTED_VALUE"""),"disc plow")</f>
        <v>disc plow</v>
      </c>
      <c r="K301" s="2" t="str">
        <f>IFERROR(__xludf.DUMMYFUNCTION("""COMPUTED_VALUE"""),"RCEF 23-09-21 Rebidding")</f>
        <v>RCEF 23-09-21 Rebidding</v>
      </c>
      <c r="L301" s="2">
        <f>IFERROR(__xludf.DUMMYFUNCTION("""COMPUTED_VALUE"""),3.0)</f>
        <v>3</v>
      </c>
      <c r="M301" s="2"/>
      <c r="N301" s="74">
        <f>IFERROR(__xludf.DUMMYFUNCTION("""COMPUTED_VALUE"""),45380.0)</f>
        <v>45380</v>
      </c>
      <c r="O301" s="2"/>
      <c r="P301" s="2">
        <f>IFERROR(__xludf.DUMMYFUNCTION("""COMPUTED_VALUE"""),18817.0)</f>
        <v>18817</v>
      </c>
      <c r="Q301" s="2" t="str">
        <f>IFERROR(__xludf.DUMMYFUNCTION("""COMPUTED_VALUE"""),"KMC5825 AARFPV0430")</f>
        <v>KMC5825 AARFPV0430</v>
      </c>
      <c r="R301" s="2" t="str">
        <f>IFERROR(__xludf.DUMMYFUNCTION("""COMPUTED_VALUE"""),"RTS100332")</f>
        <v>RTS100332</v>
      </c>
      <c r="S301" s="2" t="str">
        <f>IFERROR(__xludf.DUMMYFUNCTION("""COMPUTED_VALUE"""),"R-SERIES 147 PH")</f>
        <v>R-SERIES 147 PH</v>
      </c>
      <c r="T301" s="2" t="str">
        <f>IFERROR(__xludf.DUMMYFUNCTION("""COMPUTED_VALUE"""),"LSGW1750 RMP 24020449")</f>
        <v>LSGW1750 RMP 24020449</v>
      </c>
      <c r="U301" s="2" t="str">
        <f>IFERROR(__xludf.DUMMYFUNCTION("""COMPUTED_VALUE"""),"WDP40 RMP 24050620")</f>
        <v>WDP40 RMP 24050620</v>
      </c>
      <c r="V301" s="2"/>
      <c r="W301" s="2" t="str">
        <f>IFERROR(__xludf.DUMMYFUNCTION("""COMPUTED_VALUE"""),"VL103D")</f>
        <v>VL103D</v>
      </c>
      <c r="X301" s="2">
        <f>IFERROR(__xludf.DUMMYFUNCTION("""COMPUTED_VALUE"""),8.69066060239283E14)</f>
        <v>869066060239283</v>
      </c>
      <c r="Y301" s="2">
        <f>IFERROR(__xludf.DUMMYFUNCTION("""COMPUTED_VALUE"""),9.624396927E9)</f>
        <v>9624396927</v>
      </c>
      <c r="Z301" s="2"/>
      <c r="AA301" s="2"/>
      <c r="AB301" s="2"/>
    </row>
    <row r="302">
      <c r="A302" s="2" t="str">
        <f>IFERROR(__xludf.DUMMYFUNCTION("""COMPUTED_VALUE"""),"TT00300")</f>
        <v>TT00300</v>
      </c>
      <c r="B302" s="2" t="str">
        <f>IFERROR(__xludf.DUMMYFUNCTION("""COMPUTED_VALUE"""),"Completed")</f>
        <v>Completed</v>
      </c>
      <c r="C302" s="2" t="str">
        <f>IFERROR(__xludf.DUMMYFUNCTION("""COMPUTED_VALUE"""),"FOR BILLING L3")</f>
        <v>FOR BILLING L3</v>
      </c>
      <c r="D302" s="2" t="str">
        <f>IFERROR(__xludf.DUMMYFUNCTION("""COMPUTED_VALUE"""),"South Nueva Ecija Seed Growers Multipurpose Cooperative")</f>
        <v>South Nueva Ecija Seed Growers Multipurpose Cooperative</v>
      </c>
      <c r="E302" s="2" t="str">
        <f>IFERROR(__xludf.DUMMYFUNCTION("""COMPUTED_VALUE"""),"Poblacion, San Isidro, NUEVA ECIJA")</f>
        <v>Poblacion, San Isidro, NUEVA ECIJA</v>
      </c>
      <c r="F302" s="2" t="str">
        <f>IFERROR(__xludf.DUMMYFUNCTION("""COMPUTED_VALUE"""),"Leonardo DJ. Guinto")</f>
        <v>Leonardo DJ. Guinto</v>
      </c>
      <c r="G302" s="2" t="str">
        <f>IFERROR(__xludf.DUMMYFUNCTION("""COMPUTED_VALUE"""),"0916-464-8758")</f>
        <v>0916-464-8758</v>
      </c>
      <c r="H302" s="2"/>
      <c r="I302" s="2"/>
      <c r="J302" s="2" t="str">
        <f>IFERROR(__xludf.DUMMYFUNCTION("""COMPUTED_VALUE"""),"disc plow")</f>
        <v>disc plow</v>
      </c>
      <c r="K302" s="2" t="str">
        <f>IFERROR(__xludf.DUMMYFUNCTION("""COMPUTED_VALUE"""),"RCEF 23-09-21 Rebidding")</f>
        <v>RCEF 23-09-21 Rebidding</v>
      </c>
      <c r="L302" s="2">
        <f>IFERROR(__xludf.DUMMYFUNCTION("""COMPUTED_VALUE"""),3.0)</f>
        <v>3</v>
      </c>
      <c r="M302" s="2"/>
      <c r="N302" s="74">
        <f>IFERROR(__xludf.DUMMYFUNCTION("""COMPUTED_VALUE"""),45380.0)</f>
        <v>45380</v>
      </c>
      <c r="O302" s="2"/>
      <c r="P302" s="2">
        <f>IFERROR(__xludf.DUMMYFUNCTION("""COMPUTED_VALUE"""),18818.0)</f>
        <v>18818</v>
      </c>
      <c r="Q302" s="2" t="str">
        <f>IFERROR(__xludf.DUMMYFUNCTION("""COMPUTED_VALUE"""),"KMC5825 AJRFPV0309")</f>
        <v>KMC5825 AJRFPV0309</v>
      </c>
      <c r="R302" s="2" t="str">
        <f>IFERROR(__xludf.DUMMYFUNCTION("""COMPUTED_VALUE"""),"RTS100199")</f>
        <v>RTS100199</v>
      </c>
      <c r="S302" s="2" t="str">
        <f>IFERROR(__xludf.DUMMYFUNCTION("""COMPUTED_VALUE"""),"R-SERIES 165 PH")</f>
        <v>R-SERIES 165 PH</v>
      </c>
      <c r="T302" s="2" t="str">
        <f>IFERROR(__xludf.DUMMYFUNCTION("""COMPUTED_VALUE"""),"LSGW1750 RMP 24020496")</f>
        <v>LSGW1750 RMP 24020496</v>
      </c>
      <c r="U302" s="2" t="str">
        <f>IFERROR(__xludf.DUMMYFUNCTION("""COMPUTED_VALUE"""),"WDP40 RMP 24050618")</f>
        <v>WDP40 RMP 24050618</v>
      </c>
      <c r="V302" s="2"/>
      <c r="W302" s="2" t="str">
        <f>IFERROR(__xludf.DUMMYFUNCTION("""COMPUTED_VALUE"""),"VL103D")</f>
        <v>VL103D</v>
      </c>
      <c r="X302" s="2">
        <f>IFERROR(__xludf.DUMMYFUNCTION("""COMPUTED_VALUE"""),8.69066060241222E14)</f>
        <v>869066060241222</v>
      </c>
      <c r="Y302" s="2">
        <f>IFERROR(__xludf.DUMMYFUNCTION("""COMPUTED_VALUE"""),9.624396953E9)</f>
        <v>9624396953</v>
      </c>
      <c r="Z302" s="2"/>
      <c r="AA302" s="2"/>
      <c r="AB302" s="2"/>
    </row>
    <row r="303">
      <c r="A303" s="2" t="str">
        <f>IFERROR(__xludf.DUMMYFUNCTION("""COMPUTED_VALUE"""),"TT00301")</f>
        <v>TT00301</v>
      </c>
      <c r="B303" s="2" t="str">
        <f>IFERROR(__xludf.DUMMYFUNCTION("""COMPUTED_VALUE"""),"Completed")</f>
        <v>Completed</v>
      </c>
      <c r="C303" s="2" t="str">
        <f>IFERROR(__xludf.DUMMYFUNCTION("""COMPUTED_VALUE"""),"FOR BILLING L3")</f>
        <v>FOR BILLING L3</v>
      </c>
      <c r="D303" s="2" t="str">
        <f>IFERROR(__xludf.DUMMYFUNCTION("""COMPUTED_VALUE"""),"PANGBIYERNES IRRIGATORS ASSOCIATION, INC.")</f>
        <v>PANGBIYERNES IRRIGATORS ASSOCIATION, INC.</v>
      </c>
      <c r="E303" s="2" t="str">
        <f>IFERROR(__xludf.DUMMYFUNCTION("""COMPUTED_VALUE"""),"Tabuating, San Leonardo, NUEVA ECIJA")</f>
        <v>Tabuating, San Leonardo, NUEVA ECIJA</v>
      </c>
      <c r="F303" s="2" t="str">
        <f>IFERROR(__xludf.DUMMYFUNCTION("""COMPUTED_VALUE"""),"Roy Domingo")</f>
        <v>Roy Domingo</v>
      </c>
      <c r="G303" s="2" t="str">
        <f>IFERROR(__xludf.DUMMYFUNCTION("""COMPUTED_VALUE"""),"0906-865-0612")</f>
        <v>0906-865-0612</v>
      </c>
      <c r="H303" s="2"/>
      <c r="I303" s="2"/>
      <c r="J303" s="2" t="str">
        <f>IFERROR(__xludf.DUMMYFUNCTION("""COMPUTED_VALUE"""),"disc plow")</f>
        <v>disc plow</v>
      </c>
      <c r="K303" s="2" t="str">
        <f>IFERROR(__xludf.DUMMYFUNCTION("""COMPUTED_VALUE"""),"RCEF 23-09-21 Rebidding")</f>
        <v>RCEF 23-09-21 Rebidding</v>
      </c>
      <c r="L303" s="2">
        <f>IFERROR(__xludf.DUMMYFUNCTION("""COMPUTED_VALUE"""),3.0)</f>
        <v>3</v>
      </c>
      <c r="M303" s="2"/>
      <c r="N303" s="74">
        <f>IFERROR(__xludf.DUMMYFUNCTION("""COMPUTED_VALUE"""),45380.0)</f>
        <v>45380</v>
      </c>
      <c r="O303" s="2"/>
      <c r="P303" s="2">
        <f>IFERROR(__xludf.DUMMYFUNCTION("""COMPUTED_VALUE"""),18819.0)</f>
        <v>18819</v>
      </c>
      <c r="Q303" s="2" t="str">
        <f>IFERROR(__xludf.DUMMYFUNCTION("""COMPUTED_VALUE"""),"KMC5825 APRFPV0355")</f>
        <v>KMC5825 APRFPV0355</v>
      </c>
      <c r="R303" s="2" t="str">
        <f>IFERROR(__xludf.DUMMYFUNCTION("""COMPUTED_VALUE"""),"RTS100260")</f>
        <v>RTS100260</v>
      </c>
      <c r="S303" s="2" t="str">
        <f>IFERROR(__xludf.DUMMYFUNCTION("""COMPUTED_VALUE"""),"R-SERIES 156 PH")</f>
        <v>R-SERIES 156 PH</v>
      </c>
      <c r="T303" s="2" t="str">
        <f>IFERROR(__xludf.DUMMYFUNCTION("""COMPUTED_VALUE"""),"LSGW1750 RMP 24020444")</f>
        <v>LSGW1750 RMP 24020444</v>
      </c>
      <c r="U303" s="2" t="str">
        <f>IFERROR(__xludf.DUMMYFUNCTION("""COMPUTED_VALUE"""),"WDP40 RMP 24050601")</f>
        <v>WDP40 RMP 24050601</v>
      </c>
      <c r="V303" s="2"/>
      <c r="W303" s="2" t="str">
        <f>IFERROR(__xludf.DUMMYFUNCTION("""COMPUTED_VALUE"""),"VL103D")</f>
        <v>VL103D</v>
      </c>
      <c r="X303" s="2">
        <f>IFERROR(__xludf.DUMMYFUNCTION("""COMPUTED_VALUE"""),8.69066060241289E14)</f>
        <v>869066060241289</v>
      </c>
      <c r="Y303" s="2">
        <f>IFERROR(__xludf.DUMMYFUNCTION("""COMPUTED_VALUE"""),9.624635421E9)</f>
        <v>9624635421</v>
      </c>
      <c r="Z303" s="2"/>
      <c r="AA303" s="2"/>
      <c r="AB303" s="2"/>
    </row>
    <row r="304">
      <c r="A304" s="2" t="str">
        <f>IFERROR(__xludf.DUMMYFUNCTION("""COMPUTED_VALUE"""),"TT00302")</f>
        <v>TT00302</v>
      </c>
      <c r="B304" s="2" t="str">
        <f>IFERROR(__xludf.DUMMYFUNCTION("""COMPUTED_VALUE"""),"Completed")</f>
        <v>Completed</v>
      </c>
      <c r="C304" s="2" t="str">
        <f>IFERROR(__xludf.DUMMYFUNCTION("""COMPUTED_VALUE"""),"FOR BILLING L9")</f>
        <v>FOR BILLING L9</v>
      </c>
      <c r="D304" s="2" t="str">
        <f>IFERROR(__xludf.DUMMYFUNCTION("""COMPUTED_VALUE"""),"Lang-ayan Agrarian Reform Farmers Association Inc.")</f>
        <v>Lang-ayan Agrarian Reform Farmers Association Inc.</v>
      </c>
      <c r="E304" s="2" t="str">
        <f>IFERROR(__xludf.DUMMYFUNCTION("""COMPUTED_VALUE"""),"Lang-ayan-Baramban, Currimao, ILOCOS NORTE")</f>
        <v>Lang-ayan-Baramban, Currimao, ILOCOS NORTE</v>
      </c>
      <c r="F304" s="2" t="str">
        <f>IFERROR(__xludf.DUMMYFUNCTION("""COMPUTED_VALUE"""),"Edison S. Yamongan")</f>
        <v>Edison S. Yamongan</v>
      </c>
      <c r="G304" s="2" t="str">
        <f>IFERROR(__xludf.DUMMYFUNCTION("""COMPUTED_VALUE"""),"0930-894-4463")</f>
        <v>0930-894-4463</v>
      </c>
      <c r="H304" s="2"/>
      <c r="I304" s="2"/>
      <c r="J304" s="2"/>
      <c r="K304" s="2" t="str">
        <f>IFERROR(__xludf.DUMMYFUNCTION("""COMPUTED_VALUE"""),"RCEF 23-09-21 Rebidding")</f>
        <v>RCEF 23-09-21 Rebidding</v>
      </c>
      <c r="L304" s="2">
        <f>IFERROR(__xludf.DUMMYFUNCTION("""COMPUTED_VALUE"""),9.0)</f>
        <v>9</v>
      </c>
      <c r="M304" s="2"/>
      <c r="N304" s="2"/>
      <c r="O304" s="2"/>
      <c r="P304" s="2">
        <f>IFERROR(__xludf.DUMMYFUNCTION("""COMPUTED_VALUE"""),18944.0)</f>
        <v>18944</v>
      </c>
      <c r="Q304" s="2" t="str">
        <f>IFERROR(__xludf.DUMMYFUNCTION("""COMPUTED_VALUE"""),"KMC5825 AVRFPV0152")</f>
        <v>KMC5825 AVRFPV0152</v>
      </c>
      <c r="R304" s="2" t="str">
        <f>IFERROR(__xludf.DUMMYFUNCTION("""COMPUTED_VALUE"""),"RTS 100079")</f>
        <v>RTS 100079</v>
      </c>
      <c r="S304" s="2" t="str">
        <f>IFERROR(__xludf.DUMMYFUNCTION("""COMPUTED_VALUE"""),"R SERIES 712 PH")</f>
        <v>R SERIES 712 PH</v>
      </c>
      <c r="T304" s="2" t="str">
        <f>IFERROR(__xludf.DUMMYFUNCTION("""COMPUTED_VALUE"""),"LSGW1750 RMP 24010199")</f>
        <v>LSGW1750 RMP 24010199</v>
      </c>
      <c r="U304" s="2" t="str">
        <f>IFERROR(__xludf.DUMMYFUNCTION("""COMPUTED_VALUE"""),"WDP 40 RMP 24010049")</f>
        <v>WDP 40 RMP 24010049</v>
      </c>
      <c r="V304" s="2"/>
      <c r="W304" s="2" t="str">
        <f>IFERROR(__xludf.DUMMYFUNCTION("""COMPUTED_VALUE"""),"VL103D")</f>
        <v>VL103D</v>
      </c>
      <c r="X304" s="2">
        <f>IFERROR(__xludf.DUMMYFUNCTION("""COMPUTED_VALUE"""),8.6906606024585E14)</f>
        <v>869066060245850</v>
      </c>
      <c r="Y304" s="2">
        <f>IFERROR(__xludf.DUMMYFUNCTION("""COMPUTED_VALUE"""),9.624248219E9)</f>
        <v>9624248219</v>
      </c>
      <c r="Z304" s="2"/>
      <c r="AA304" s="2"/>
      <c r="AB304" s="2"/>
    </row>
    <row r="305">
      <c r="A305" s="2" t="str">
        <f>IFERROR(__xludf.DUMMYFUNCTION("""COMPUTED_VALUE"""),"TT00303")</f>
        <v>TT00303</v>
      </c>
      <c r="B305" s="2" t="str">
        <f>IFERROR(__xludf.DUMMYFUNCTION("""COMPUTED_VALUE"""),"Completed")</f>
        <v>Completed</v>
      </c>
      <c r="C305" s="2" t="str">
        <f>IFERROR(__xludf.DUMMYFUNCTION("""COMPUTED_VALUE"""),"FOR BILLING L9")</f>
        <v>FOR BILLING L9</v>
      </c>
      <c r="D305" s="2" t="str">
        <f>IFERROR(__xludf.DUMMYFUNCTION("""COMPUTED_VALUE"""),"NUEVA ERA PAPA NORTH IRRIGATORS ASSOCIATION INC.")</f>
        <v>NUEVA ERA PAPA NORTH IRRIGATORS ASSOCIATION INC.</v>
      </c>
      <c r="E305" s="2" t="str">
        <f>IFERROR(__xludf.DUMMYFUNCTION("""COMPUTED_VALUE"""),"Poblacion, Nueva Era, ILOCOS NORTE")</f>
        <v>Poblacion, Nueva Era, ILOCOS NORTE</v>
      </c>
      <c r="F305" s="2" t="str">
        <f>IFERROR(__xludf.DUMMYFUNCTION("""COMPUTED_VALUE"""),"Rufino D. Corpuz")</f>
        <v>Rufino D. Corpuz</v>
      </c>
      <c r="G305" s="2" t="str">
        <f>IFERROR(__xludf.DUMMYFUNCTION("""COMPUTED_VALUE"""),"0930-137-0534")</f>
        <v>0930-137-0534</v>
      </c>
      <c r="H305" s="2"/>
      <c r="I305" s="2"/>
      <c r="J305" s="2"/>
      <c r="K305" s="2" t="str">
        <f>IFERROR(__xludf.DUMMYFUNCTION("""COMPUTED_VALUE"""),"RCEF 23-09-21 Rebidding")</f>
        <v>RCEF 23-09-21 Rebidding</v>
      </c>
      <c r="L305" s="2">
        <f>IFERROR(__xludf.DUMMYFUNCTION("""COMPUTED_VALUE"""),9.0)</f>
        <v>9</v>
      </c>
      <c r="M305" s="2"/>
      <c r="N305" s="2" t="str">
        <f>IFERROR(__xludf.DUMMYFUNCTION("""COMPUTED_VALUE"""),"4/16/2024")</f>
        <v>4/16/2024</v>
      </c>
      <c r="O305" s="2"/>
      <c r="P305" s="2">
        <f>IFERROR(__xludf.DUMMYFUNCTION("""COMPUTED_VALUE"""),188945.0)</f>
        <v>188945</v>
      </c>
      <c r="Q305" s="2" t="str">
        <f>IFERROR(__xludf.DUMMYFUNCTION("""COMPUTED_VALUE"""),"KMC5825 AHRFPV038")</f>
        <v>KMC5825 AHRFPV038</v>
      </c>
      <c r="R305" s="2" t="str">
        <f>IFERROR(__xludf.DUMMYFUNCTION("""COMPUTED_VALUE"""),"RTS 100239")</f>
        <v>RTS 100239</v>
      </c>
      <c r="S305" s="2" t="str">
        <f>IFERROR(__xludf.DUMMYFUNCTION("""COMPUTED_VALUE"""),"R SERIES 708 PH")</f>
        <v>R SERIES 708 PH</v>
      </c>
      <c r="T305" s="2" t="str">
        <f>IFERROR(__xludf.DUMMYFUNCTION("""COMPUTED_VALUE"""),"LSGW1750 RMP 24010202")</f>
        <v>LSGW1750 RMP 24010202</v>
      </c>
      <c r="U305" s="2" t="str">
        <f>IFERROR(__xludf.DUMMYFUNCTION("""COMPUTED_VALUE"""),"WDP 40 RMP 24010053")</f>
        <v>WDP 40 RMP 24010053</v>
      </c>
      <c r="V305" s="2"/>
      <c r="W305" s="2" t="str">
        <f>IFERROR(__xludf.DUMMYFUNCTION("""COMPUTED_VALUE"""),"VL103D")</f>
        <v>VL103D</v>
      </c>
      <c r="X305" s="2">
        <f>IFERROR(__xludf.DUMMYFUNCTION("""COMPUTED_VALUE"""),8.69066060244226E14)</f>
        <v>869066060244226</v>
      </c>
      <c r="Y305" s="2">
        <f>IFERROR(__xludf.DUMMYFUNCTION("""COMPUTED_VALUE"""),9.624247749E9)</f>
        <v>9624247749</v>
      </c>
      <c r="Z305" s="2"/>
      <c r="AA305" s="2"/>
      <c r="AB305" s="2"/>
    </row>
    <row r="306">
      <c r="A306" s="2" t="str">
        <f>IFERROR(__xludf.DUMMYFUNCTION("""COMPUTED_VALUE"""),"TT00304")</f>
        <v>TT00304</v>
      </c>
      <c r="B306" s="2"/>
      <c r="C306" s="2" t="str">
        <f>IFERROR(__xludf.DUMMYFUNCTION("""COMPUTED_VALUE"""),"L2 DUPLICATE DR, CANCEL DR")</f>
        <v>L2 DUPLICATE DR, CANCEL DR</v>
      </c>
      <c r="D306" s="2" t="str">
        <f>IFERROR(__xludf.DUMMYFUNCTION("""COMPUTED_VALUE"""),"PANINAAN-DAYA FARMERS ASSOCIATION INC.")</f>
        <v>PANINAAN-DAYA FARMERS ASSOCIATION INC.</v>
      </c>
      <c r="E306" s="2" t="str">
        <f>IFERROR(__xludf.DUMMYFUNCTION("""COMPUTED_VALUE"""),"Paninaan, Bacarra, ILOCOS NORTE")</f>
        <v>Paninaan, Bacarra, ILOCOS NORTE</v>
      </c>
      <c r="F306" s="2" t="str">
        <f>IFERROR(__xludf.DUMMYFUNCTION("""COMPUTED_VALUE"""),"Antonio T. Lomotan")</f>
        <v>Antonio T. Lomotan</v>
      </c>
      <c r="G306" s="2" t="str">
        <f>IFERROR(__xludf.DUMMYFUNCTION("""COMPUTED_VALUE"""),"0927-933-7043")</f>
        <v>0927-933-7043</v>
      </c>
      <c r="H306" s="2"/>
      <c r="I306" s="2"/>
      <c r="J306" s="2"/>
      <c r="K306" s="2" t="str">
        <f>IFERROR(__xludf.DUMMYFUNCTION("""COMPUTED_VALUE"""),"RCEF 23-09-21 Rebidding")</f>
        <v>RCEF 23-09-21 Rebidding</v>
      </c>
      <c r="L306" s="2">
        <f>IFERROR(__xludf.DUMMYFUNCTION("""COMPUTED_VALUE"""),2.0)</f>
        <v>2</v>
      </c>
      <c r="M306" s="2"/>
      <c r="N306" s="74">
        <f>IFERROR(__xludf.DUMMYFUNCTION("""COMPUTED_VALUE"""),45253.0)</f>
        <v>45253</v>
      </c>
      <c r="O306" s="74">
        <f>IFERROR(__xludf.DUMMYFUNCTION("""COMPUTED_VALUE"""),45260.0)</f>
        <v>45260</v>
      </c>
      <c r="P306" s="2">
        <f>IFERROR(__xludf.DUMMYFUNCTION("""COMPUTED_VALUE"""),17405.0)</f>
        <v>17405</v>
      </c>
      <c r="Q306" s="2" t="str">
        <f>IFERROR(__xludf.DUMMYFUNCTION("""COMPUTED_VALUE"""),"KMC5825 AKRFPV0015")</f>
        <v>KMC5825 AKRFPV0015</v>
      </c>
      <c r="R306" s="2" t="str">
        <f>IFERROR(__xludf.DUMMYFUNCTION("""COMPUTED_VALUE"""),"PTS 100017")</f>
        <v>PTS 100017</v>
      </c>
      <c r="S306" s="2" t="str">
        <f>IFERROR(__xludf.DUMMYFUNCTION("""COMPUTED_VALUE"""),"R-SERIES 014 PH")</f>
        <v>R-SERIES 014 PH</v>
      </c>
      <c r="T306" s="2"/>
      <c r="U306" s="2"/>
      <c r="V306" s="2"/>
      <c r="W306" s="2" t="str">
        <f>IFERROR(__xludf.DUMMYFUNCTION("""COMPUTED_VALUE"""),"VL103D")</f>
        <v>VL103D</v>
      </c>
      <c r="X306" s="2"/>
      <c r="Y306" s="2"/>
      <c r="Z306" s="2"/>
      <c r="AA306" s="2"/>
      <c r="AB306" s="2"/>
    </row>
    <row r="307">
      <c r="A307" s="2" t="str">
        <f>IFERROR(__xludf.DUMMYFUNCTION("""COMPUTED_VALUE"""),"TT00305")</f>
        <v>TT00305</v>
      </c>
      <c r="B307" s="2"/>
      <c r="C307" s="2" t="str">
        <f>IFERROR(__xludf.DUMMYFUNCTION("""COMPUTED_VALUE"""),"L2 DUPLICATE DR, CANCEL DR")</f>
        <v>L2 DUPLICATE DR, CANCEL DR</v>
      </c>
      <c r="D307" s="2" t="str">
        <f>IFERROR(__xludf.DUMMYFUNCTION("""COMPUTED_VALUE"""),"62-A NAVOTAS FARMERS ASSOCIATION, INCORPORATED")</f>
        <v>62-A NAVOTAS FARMERS ASSOCIATION, INCORPORATED</v>
      </c>
      <c r="E307" s="2" t="str">
        <f>IFERROR(__xludf.DUMMYFUNCTION("""COMPUTED_VALUE"""),"""Bgy. No. 62-A Navotas North"", Laoag City, ILOCOS NORTE")</f>
        <v>"Bgy. No. 62-A Navotas North", Laoag City, ILOCOS NORTE</v>
      </c>
      <c r="F307" s="2" t="str">
        <f>IFERROR(__xludf.DUMMYFUNCTION("""COMPUTED_VALUE"""),"Robert J. Caday")</f>
        <v>Robert J. Caday</v>
      </c>
      <c r="G307" s="2" t="str">
        <f>IFERROR(__xludf.DUMMYFUNCTION("""COMPUTED_VALUE"""),"0961-366-9058/0927-232-9218")</f>
        <v>0961-366-9058/0927-232-9218</v>
      </c>
      <c r="H307" s="2"/>
      <c r="I307" s="2"/>
      <c r="J307" s="2"/>
      <c r="K307" s="2" t="str">
        <f>IFERROR(__xludf.DUMMYFUNCTION("""COMPUTED_VALUE"""),"RCEF 23-09-21 Rebidding")</f>
        <v>RCEF 23-09-21 Rebidding</v>
      </c>
      <c r="L307" s="2">
        <f>IFERROR(__xludf.DUMMYFUNCTION("""COMPUTED_VALUE"""),2.0)</f>
        <v>2</v>
      </c>
      <c r="M307" s="2"/>
      <c r="N307" s="74">
        <f>IFERROR(__xludf.DUMMYFUNCTION("""COMPUTED_VALUE"""),45253.0)</f>
        <v>45253</v>
      </c>
      <c r="O307" s="74">
        <f>IFERROR(__xludf.DUMMYFUNCTION("""COMPUTED_VALUE"""),45260.0)</f>
        <v>45260</v>
      </c>
      <c r="P307" s="2">
        <f>IFERROR(__xludf.DUMMYFUNCTION("""COMPUTED_VALUE"""),17406.0)</f>
        <v>17406</v>
      </c>
      <c r="Q307" s="2" t="str">
        <f>IFERROR(__xludf.DUMMYFUNCTION("""COMPUTED_VALUE"""),"KMC5825 ALPFPV0006")</f>
        <v>KMC5825 ALPFPV0006</v>
      </c>
      <c r="R307" s="2" t="str">
        <f>IFERROR(__xludf.DUMMYFUNCTION("""COMPUTED_VALUE"""),"PTS 1000007")</f>
        <v>PTS 1000007</v>
      </c>
      <c r="S307" s="2" t="str">
        <f>IFERROR(__xludf.DUMMYFUNCTION("""COMPUTED_VALUE"""),"R-SERIES 009 PH")</f>
        <v>R-SERIES 009 PH</v>
      </c>
      <c r="T307" s="2"/>
      <c r="U307" s="2" t="str">
        <f>IFERROR(__xludf.DUMMYFUNCTION("""COMPUTED_VALUE"""),"WDP40 RMP 0021")</f>
        <v>WDP40 RMP 0021</v>
      </c>
      <c r="V307" s="2"/>
      <c r="W307" s="2" t="str">
        <f>IFERROR(__xludf.DUMMYFUNCTION("""COMPUTED_VALUE"""),"VL103D")</f>
        <v>VL103D</v>
      </c>
      <c r="X307" s="2"/>
      <c r="Y307" s="2"/>
      <c r="Z307" s="2"/>
      <c r="AA307" s="2"/>
      <c r="AB307" s="2"/>
    </row>
    <row r="308">
      <c r="A308" s="2" t="str">
        <f>IFERROR(__xludf.DUMMYFUNCTION("""COMPUTED_VALUE"""),"TT00306")</f>
        <v>TT00306</v>
      </c>
      <c r="B308" s="2" t="str">
        <f>IFERROR(__xludf.DUMMYFUNCTION("""COMPUTED_VALUE"""),"Completed")</f>
        <v>Completed</v>
      </c>
      <c r="C308" s="2" t="str">
        <f>IFERROR(__xludf.DUMMYFUNCTION("""COMPUTED_VALUE"""),"FOR BILLING L2")</f>
        <v>FOR BILLING L2</v>
      </c>
      <c r="D308" s="2" t="str">
        <f>IFERROR(__xludf.DUMMYFUNCTION("""COMPUTED_VALUE"""),"BURAYOC LINGLINGAY FARMERS ASSOCIATION INC.")</f>
        <v>BURAYOC LINGLINGAY FARMERS ASSOCIATION INC.</v>
      </c>
      <c r="E308" s="2" t="str">
        <f>IFERROR(__xludf.DUMMYFUNCTION("""COMPUTED_VALUE"""),"Burayoc, Pagudpud, ILOCOS NORTE")</f>
        <v>Burayoc, Pagudpud, ILOCOS NORTE</v>
      </c>
      <c r="F308" s="2" t="str">
        <f>IFERROR(__xludf.DUMMYFUNCTION("""COMPUTED_VALUE"""),"Alejandro Aviles")</f>
        <v>Alejandro Aviles</v>
      </c>
      <c r="G308" s="2" t="str">
        <f>IFERROR(__xludf.DUMMYFUNCTION("""COMPUTED_VALUE"""),"0929-824-3865")</f>
        <v>0929-824-3865</v>
      </c>
      <c r="H308" s="2"/>
      <c r="I308" s="2"/>
      <c r="J308" s="2"/>
      <c r="K308" s="2" t="str">
        <f>IFERROR(__xludf.DUMMYFUNCTION("""COMPUTED_VALUE"""),"RCEF 23-09-21 Rebidding")</f>
        <v>RCEF 23-09-21 Rebidding</v>
      </c>
      <c r="L308" s="2">
        <f>IFERROR(__xludf.DUMMYFUNCTION("""COMPUTED_VALUE"""),2.0)</f>
        <v>2</v>
      </c>
      <c r="M308" s="2"/>
      <c r="N308" s="74">
        <f>IFERROR(__xludf.DUMMYFUNCTION("""COMPUTED_VALUE"""),45398.0)</f>
        <v>45398</v>
      </c>
      <c r="O308" s="74">
        <f>IFERROR(__xludf.DUMMYFUNCTION("""COMPUTED_VALUE"""),45412.0)</f>
        <v>45412</v>
      </c>
      <c r="P308" s="2">
        <f>IFERROR(__xludf.DUMMYFUNCTION("""COMPUTED_VALUE"""),18948.0)</f>
        <v>18948</v>
      </c>
      <c r="Q308" s="2" t="str">
        <f>IFERROR(__xludf.DUMMYFUNCTION("""COMPUTED_VALUE"""),"KMC5825 AHRFPV0219")</f>
        <v>KMC5825 AHRFPV0219</v>
      </c>
      <c r="R308" s="2" t="str">
        <f>IFERROR(__xludf.DUMMYFUNCTION("""COMPUTED_VALUE"""),"RTS 100038")</f>
        <v>RTS 100038</v>
      </c>
      <c r="S308" s="2" t="str">
        <f>IFERROR(__xludf.DUMMYFUNCTION("""COMPUTED_VALUE"""),"WR SERIES 727 PH")</f>
        <v>WR SERIES 727 PH</v>
      </c>
      <c r="T308" s="2" t="str">
        <f>IFERROR(__xludf.DUMMYFUNCTION("""COMPUTED_VALUE"""),"LSGW1750 RMP 24010212")</f>
        <v>LSGW1750 RMP 24010212</v>
      </c>
      <c r="U308" s="2" t="str">
        <f>IFERROR(__xludf.DUMMYFUNCTION("""COMPUTED_VALUE"""),"WDP40 RMP 24010067")</f>
        <v>WDP40 RMP 24010067</v>
      </c>
      <c r="V308" s="2"/>
      <c r="W308" s="2" t="str">
        <f>IFERROR(__xludf.DUMMYFUNCTION("""COMPUTED_VALUE"""),"VL103D")</f>
        <v>VL103D</v>
      </c>
      <c r="X308" s="2">
        <f>IFERROR(__xludf.DUMMYFUNCTION("""COMPUTED_VALUE"""),8.69066060244234E14)</f>
        <v>869066060244234</v>
      </c>
      <c r="Y308" s="2">
        <f>IFERROR(__xludf.DUMMYFUNCTION("""COMPUTED_VALUE"""),9.624247751E9)</f>
        <v>9624247751</v>
      </c>
      <c r="Z308" s="2"/>
      <c r="AA308" s="2"/>
      <c r="AB308" s="2"/>
    </row>
    <row r="309">
      <c r="A309" s="2" t="str">
        <f>IFERROR(__xludf.DUMMYFUNCTION("""COMPUTED_VALUE"""),"TT00307")</f>
        <v>TT00307</v>
      </c>
      <c r="B309" s="2"/>
      <c r="C309" s="2" t="str">
        <f>IFERROR(__xludf.DUMMYFUNCTION("""COMPUTED_VALUE"""),"L2 DUPLICATE DR, CANCEL DR")</f>
        <v>L2 DUPLICATE DR, CANCEL DR</v>
      </c>
      <c r="D309" s="2" t="str">
        <f>IFERROR(__xludf.DUMMYFUNCTION("""COMPUTED_VALUE"""),"NGABANGAB RESOURCES FARMERS ASSOCIATION Inc.")</f>
        <v>NGABANGAB RESOURCES FARMERS ASSOCIATION Inc.</v>
      </c>
      <c r="E309" s="2" t="str">
        <f>IFERROR(__xludf.DUMMYFUNCTION("""COMPUTED_VALUE"""),"Ngabangab, Pasuquin, ILOCOS NORTE")</f>
        <v>Ngabangab, Pasuquin, ILOCOS NORTE</v>
      </c>
      <c r="F309" s="2" t="str">
        <f>IFERROR(__xludf.DUMMYFUNCTION("""COMPUTED_VALUE"""),"BELIE A. GERVACIO")</f>
        <v>BELIE A. GERVACIO</v>
      </c>
      <c r="G309" s="2" t="str">
        <f>IFERROR(__xludf.DUMMYFUNCTION("""COMPUTED_VALUE"""),"0947-535-6520/0945-593-8239")</f>
        <v>0947-535-6520/0945-593-8239</v>
      </c>
      <c r="H309" s="2"/>
      <c r="I309" s="2"/>
      <c r="J309" s="2"/>
      <c r="K309" s="2" t="str">
        <f>IFERROR(__xludf.DUMMYFUNCTION("""COMPUTED_VALUE"""),"RCEF 23-09-21 Rebidding")</f>
        <v>RCEF 23-09-21 Rebidding</v>
      </c>
      <c r="L309" s="2">
        <f>IFERROR(__xludf.DUMMYFUNCTION("""COMPUTED_VALUE"""),2.0)</f>
        <v>2</v>
      </c>
      <c r="M309" s="2"/>
      <c r="N309" s="74">
        <f>IFERROR(__xludf.DUMMYFUNCTION("""COMPUTED_VALUE"""),45253.0)</f>
        <v>45253</v>
      </c>
      <c r="O309" s="74">
        <f>IFERROR(__xludf.DUMMYFUNCTION("""COMPUTED_VALUE"""),45259.0)</f>
        <v>45259</v>
      </c>
      <c r="P309" s="2">
        <f>IFERROR(__xludf.DUMMYFUNCTION("""COMPUTED_VALUE"""),17404.0)</f>
        <v>17404</v>
      </c>
      <c r="Q309" s="2" t="str">
        <f>IFERROR(__xludf.DUMMYFUNCTION("""COMPUTED_VALUE"""),"KMC5825 APPFPV0031")</f>
        <v>KMC5825 APPFPV0031</v>
      </c>
      <c r="R309" s="2" t="str">
        <f>IFERROR(__xludf.DUMMYFUNCTION("""COMPUTED_VALUE"""),"PTS 100016")</f>
        <v>PTS 100016</v>
      </c>
      <c r="S309" s="2" t="str">
        <f>IFERROR(__xludf.DUMMYFUNCTION("""COMPUTED_VALUE"""),"R-SERIES 012 PH")</f>
        <v>R-SERIES 012 PH</v>
      </c>
      <c r="T309" s="2"/>
      <c r="U309" s="2" t="str">
        <f>IFERROR(__xludf.DUMMYFUNCTION("""COMPUTED_VALUE"""),"WDP40 RMP 0019")</f>
        <v>WDP40 RMP 0019</v>
      </c>
      <c r="V309" s="2"/>
      <c r="W309" s="2" t="str">
        <f>IFERROR(__xludf.DUMMYFUNCTION("""COMPUTED_VALUE"""),"VL103D")</f>
        <v>VL103D</v>
      </c>
      <c r="X309" s="2"/>
      <c r="Y309" s="2"/>
      <c r="Z309" s="2"/>
      <c r="AA309" s="2"/>
      <c r="AB309" s="2"/>
    </row>
    <row r="310">
      <c r="A310" s="2" t="str">
        <f>IFERROR(__xludf.DUMMYFUNCTION("""COMPUTED_VALUE"""),"TT00308")</f>
        <v>TT00308</v>
      </c>
      <c r="B310" s="2" t="str">
        <f>IFERROR(__xludf.DUMMYFUNCTION("""COMPUTED_VALUE"""),"Completed")</f>
        <v>Completed</v>
      </c>
      <c r="C310" s="2" t="str">
        <f>IFERROR(__xludf.DUMMYFUNCTION("""COMPUTED_VALUE"""),"FOR BILLING L2")</f>
        <v>FOR BILLING L2</v>
      </c>
      <c r="D310" s="2" t="str">
        <f>IFERROR(__xludf.DUMMYFUNCTION("""COMPUTED_VALUE"""),"BRGY. MAAB-ABACA IRRIGATORS ASSOCIATION INC.")</f>
        <v>BRGY. MAAB-ABACA IRRIGATORS ASSOCIATION INC.</v>
      </c>
      <c r="E310" s="2" t="str">
        <f>IFERROR(__xludf.DUMMYFUNCTION("""COMPUTED_VALUE"""),"Maab-abaca, Piddig, ILOCOS NORTE")</f>
        <v>Maab-abaca, Piddig, ILOCOS NORTE</v>
      </c>
      <c r="F310" s="2" t="str">
        <f>IFERROR(__xludf.DUMMYFUNCTION("""COMPUTED_VALUE"""),"Florentino Soriano Jr.")</f>
        <v>Florentino Soriano Jr.</v>
      </c>
      <c r="G310" s="2" t="str">
        <f>IFERROR(__xludf.DUMMYFUNCTION("""COMPUTED_VALUE"""),"0945-459-1334/0963-993-4898")</f>
        <v>0945-459-1334/0963-993-4898</v>
      </c>
      <c r="H310" s="2"/>
      <c r="I310" s="2"/>
      <c r="J310" s="2"/>
      <c r="K310" s="2" t="str">
        <f>IFERROR(__xludf.DUMMYFUNCTION("""COMPUTED_VALUE"""),"RCEF 23-09-21 Rebidding")</f>
        <v>RCEF 23-09-21 Rebidding</v>
      </c>
      <c r="L310" s="2">
        <f>IFERROR(__xludf.DUMMYFUNCTION("""COMPUTED_VALUE"""),2.0)</f>
        <v>2</v>
      </c>
      <c r="M310" s="2"/>
      <c r="N310" s="74">
        <f>IFERROR(__xludf.DUMMYFUNCTION("""COMPUTED_VALUE"""),45398.0)</f>
        <v>45398</v>
      </c>
      <c r="O310" s="2"/>
      <c r="P310" s="2">
        <f>IFERROR(__xludf.DUMMYFUNCTION("""COMPUTED_VALUE"""),18950.0)</f>
        <v>18950</v>
      </c>
      <c r="Q310" s="2" t="str">
        <f>IFERROR(__xludf.DUMMYFUNCTION("""COMPUTED_VALUE"""),"KMC5825 APRFPV0243")</f>
        <v>KMC5825 APRFPV0243</v>
      </c>
      <c r="R310" s="2" t="str">
        <f>IFERROR(__xludf.DUMMYFUNCTION("""COMPUTED_VALUE"""),"PTS 100152")</f>
        <v>PTS 100152</v>
      </c>
      <c r="S310" s="2" t="str">
        <f>IFERROR(__xludf.DUMMYFUNCTION("""COMPUTED_VALUE"""),"WR SERIES 729 PH")</f>
        <v>WR SERIES 729 PH</v>
      </c>
      <c r="T310" s="2" t="str">
        <f>IFERROR(__xludf.DUMMYFUNCTION("""COMPUTED_VALUE"""),"LSGW1750 RMP 24010200")</f>
        <v>LSGW1750 RMP 24010200</v>
      </c>
      <c r="U310" s="2" t="str">
        <f>IFERROR(__xludf.DUMMYFUNCTION("""COMPUTED_VALUE"""),"WDP40 RMP 24010065")</f>
        <v>WDP40 RMP 24010065</v>
      </c>
      <c r="V310" s="2"/>
      <c r="W310" s="2" t="str">
        <f>IFERROR(__xludf.DUMMYFUNCTION("""COMPUTED_VALUE"""),"VL103D")</f>
        <v>VL103D</v>
      </c>
      <c r="X310" s="2">
        <f>IFERROR(__xludf.DUMMYFUNCTION("""COMPUTED_VALUE"""),8.6906606024566E14)</f>
        <v>869066060245660</v>
      </c>
      <c r="Y310" s="2">
        <f>IFERROR(__xludf.DUMMYFUNCTION("""COMPUTED_VALUE"""),9.2624247745E10)</f>
        <v>92624247745</v>
      </c>
      <c r="Z310" s="2"/>
      <c r="AA310" s="2"/>
      <c r="AB310" s="2"/>
    </row>
    <row r="311">
      <c r="A311" s="2" t="str">
        <f>IFERROR(__xludf.DUMMYFUNCTION("""COMPUTED_VALUE"""),"TT00309")</f>
        <v>TT00309</v>
      </c>
      <c r="B311" s="2" t="str">
        <f>IFERROR(__xludf.DUMMYFUNCTION("""COMPUTED_VALUE"""),"Completed")</f>
        <v>Completed</v>
      </c>
      <c r="C311" s="2" t="str">
        <f>IFERROR(__xludf.DUMMYFUNCTION("""COMPUTED_VALUE"""),"FOR BILLING L2")</f>
        <v>FOR BILLING L2</v>
      </c>
      <c r="D311" s="2" t="str">
        <f>IFERROR(__xludf.DUMMYFUNCTION("""COMPUTED_VALUE"""),"Baro A RIMAT FARMERS ASSOCIATION INC ")</f>
        <v>Baro A RIMAT FARMERS ASSOCIATION INC </v>
      </c>
      <c r="E311" s="2" t="str">
        <f>IFERROR(__xludf.DUMMYFUNCTION("""COMPUTED_VALUE"""),"Pagsanahan Sur, Badoc, ILOCOS NORTE")</f>
        <v>Pagsanahan Sur, Badoc, ILOCOS NORTE</v>
      </c>
      <c r="F311" s="2" t="str">
        <f>IFERROR(__xludf.DUMMYFUNCTION("""COMPUTED_VALUE"""),"Rolando V. Antonio")</f>
        <v>Rolando V. Antonio</v>
      </c>
      <c r="G311" s="2" t="str">
        <f>IFERROR(__xludf.DUMMYFUNCTION("""COMPUTED_VALUE"""),"0946-171-9897")</f>
        <v>0946-171-9897</v>
      </c>
      <c r="H311" s="2"/>
      <c r="I311" s="2"/>
      <c r="J311" s="2"/>
      <c r="K311" s="2" t="str">
        <f>IFERROR(__xludf.DUMMYFUNCTION("""COMPUTED_VALUE"""),"RCEF 23-09-21 Rebidding")</f>
        <v>RCEF 23-09-21 Rebidding</v>
      </c>
      <c r="L311" s="2" t="str">
        <f>IFERROR(__xludf.DUMMYFUNCTION("""COMPUTED_VALUE"""),"#N/A")</f>
        <v>#N/A</v>
      </c>
      <c r="M311" s="2"/>
      <c r="N311" s="74">
        <f>IFERROR(__xludf.DUMMYFUNCTION("""COMPUTED_VALUE"""),45398.0)</f>
        <v>45398</v>
      </c>
      <c r="O311" s="74">
        <f>IFERROR(__xludf.DUMMYFUNCTION("""COMPUTED_VALUE"""),45412.0)</f>
        <v>45412</v>
      </c>
      <c r="P311" s="2">
        <f>IFERROR(__xludf.DUMMYFUNCTION("""COMPUTED_VALUE"""),18951.0)</f>
        <v>18951</v>
      </c>
      <c r="Q311" s="2" t="str">
        <f>IFERROR(__xludf.DUMMYFUNCTION("""COMPUTED_VALUE"""),"KMC5825 ALRFPV0333")</f>
        <v>KMC5825 ALRFPV0333</v>
      </c>
      <c r="R311" s="2" t="str">
        <f>IFERROR(__xludf.DUMMYFUNCTION("""COMPUTED_VALUE"""),"RTS 100162")</f>
        <v>RTS 100162</v>
      </c>
      <c r="S311" s="2" t="str">
        <f>IFERROR(__xludf.DUMMYFUNCTION("""COMPUTED_VALUE"""),"WR SERIES 710 PH")</f>
        <v>WR SERIES 710 PH</v>
      </c>
      <c r="T311" s="2" t="str">
        <f>IFERROR(__xludf.DUMMYFUNCTION("""COMPUTED_VALUE"""),"LSGW1750 RMP 24010206")</f>
        <v>LSGW1750 RMP 24010206</v>
      </c>
      <c r="U311" s="2" t="str">
        <f>IFERROR(__xludf.DUMMYFUNCTION("""COMPUTED_VALUE"""),"WDP40 RMP 24010119")</f>
        <v>WDP40 RMP 24010119</v>
      </c>
      <c r="V311" s="2"/>
      <c r="W311" s="2" t="str">
        <f>IFERROR(__xludf.DUMMYFUNCTION("""COMPUTED_VALUE"""),"VL103D")</f>
        <v>VL103D</v>
      </c>
      <c r="X311" s="2">
        <f>IFERROR(__xludf.DUMMYFUNCTION("""COMPUTED_VALUE"""),8.69066060243236E14)</f>
        <v>869066060243236</v>
      </c>
      <c r="Y311" s="2">
        <f>IFERROR(__xludf.DUMMYFUNCTION("""COMPUTED_VALUE"""),9.624248212E9)</f>
        <v>9624248212</v>
      </c>
      <c r="Z311" s="2"/>
      <c r="AA311" s="2"/>
      <c r="AB311" s="2"/>
    </row>
    <row r="312">
      <c r="A312" s="2" t="str">
        <f>IFERROR(__xludf.DUMMYFUNCTION("""COMPUTED_VALUE"""),"TT00310")</f>
        <v>TT00310</v>
      </c>
      <c r="B312" s="2" t="str">
        <f>IFERROR(__xludf.DUMMYFUNCTION("""COMPUTED_VALUE"""),"Completed")</f>
        <v>Completed</v>
      </c>
      <c r="C312" s="2" t="str">
        <f>IFERROR(__xludf.DUMMYFUNCTION("""COMPUTED_VALUE"""),"FOR BILLING L2")</f>
        <v>FOR BILLING L2</v>
      </c>
      <c r="D312" s="2" t="str">
        <f>IFERROR(__xludf.DUMMYFUNCTION("""COMPUTED_VALUE"""),"MANGAPIT MABUTI FARMERS ASSOCIATION INC.")</f>
        <v>MANGAPIT MABUTI FARMERS ASSOCIATION INC.</v>
      </c>
      <c r="E312" s="2" t="str">
        <f>IFERROR(__xludf.DUMMYFUNCTION("""COMPUTED_VALUE"""),"Mabuti, Marcos, ILOCOS NORTE")</f>
        <v>Mabuti, Marcos, ILOCOS NORTE</v>
      </c>
      <c r="F312" s="2" t="str">
        <f>IFERROR(__xludf.DUMMYFUNCTION("""COMPUTED_VALUE"""),"Desiderio M. Valencia")</f>
        <v>Desiderio M. Valencia</v>
      </c>
      <c r="G312" s="2" t="str">
        <f>IFERROR(__xludf.DUMMYFUNCTION("""COMPUTED_VALUE"""),"0966-820-3277")</f>
        <v>0966-820-3277</v>
      </c>
      <c r="H312" s="2"/>
      <c r="I312" s="2"/>
      <c r="J312" s="2"/>
      <c r="K312" s="2" t="str">
        <f>IFERROR(__xludf.DUMMYFUNCTION("""COMPUTED_VALUE"""),"RCEF 23-09-21 Rebidding")</f>
        <v>RCEF 23-09-21 Rebidding</v>
      </c>
      <c r="L312" s="2">
        <f>IFERROR(__xludf.DUMMYFUNCTION("""COMPUTED_VALUE"""),2.0)</f>
        <v>2</v>
      </c>
      <c r="M312" s="2"/>
      <c r="N312" s="74">
        <f>IFERROR(__xludf.DUMMYFUNCTION("""COMPUTED_VALUE"""),45612.0)</f>
        <v>45612</v>
      </c>
      <c r="O312" s="74">
        <f>IFERROR(__xludf.DUMMYFUNCTION("""COMPUTED_VALUE"""),45412.0)</f>
        <v>45412</v>
      </c>
      <c r="P312" s="2">
        <f>IFERROR(__xludf.DUMMYFUNCTION("""COMPUTED_VALUE"""),18952.0)</f>
        <v>18952</v>
      </c>
      <c r="Q312" s="2" t="str">
        <f>IFERROR(__xludf.DUMMYFUNCTION("""COMPUTED_VALUE"""),"KMC5825 ALRFPV0316")</f>
        <v>KMC5825 ALRFPV0316</v>
      </c>
      <c r="R312" s="2" t="str">
        <f>IFERROR(__xludf.DUMMYFUNCTION("""COMPUTED_VALUE"""),"PTS 100208")</f>
        <v>PTS 100208</v>
      </c>
      <c r="S312" s="2" t="str">
        <f>IFERROR(__xludf.DUMMYFUNCTION("""COMPUTED_VALUE"""),"R-SERIES 728 PH")</f>
        <v>R-SERIES 728 PH</v>
      </c>
      <c r="T312" s="2" t="str">
        <f>IFERROR(__xludf.DUMMYFUNCTION("""COMPUTED_VALUE"""),"LSGW1750 RMP 24010204")</f>
        <v>LSGW1750 RMP 24010204</v>
      </c>
      <c r="U312" s="2" t="str">
        <f>IFERROR(__xludf.DUMMYFUNCTION("""COMPUTED_VALUE"""),"WDP40 RMP 24010047")</f>
        <v>WDP40 RMP 24010047</v>
      </c>
      <c r="V312" s="2"/>
      <c r="W312" s="2" t="str">
        <f>IFERROR(__xludf.DUMMYFUNCTION("""COMPUTED_VALUE"""),"VL103D")</f>
        <v>VL103D</v>
      </c>
      <c r="X312" s="2">
        <f>IFERROR(__xludf.DUMMYFUNCTION("""COMPUTED_VALUE"""),8.69066060241826E14)</f>
        <v>869066060241826</v>
      </c>
      <c r="Y312" s="2">
        <f>IFERROR(__xludf.DUMMYFUNCTION("""COMPUTED_VALUE"""),9.624248234E9)</f>
        <v>9624248234</v>
      </c>
      <c r="Z312" s="2"/>
      <c r="AA312" s="2"/>
      <c r="AB312" s="2"/>
    </row>
    <row r="313">
      <c r="A313" s="2" t="str">
        <f>IFERROR(__xludf.DUMMYFUNCTION("""COMPUTED_VALUE"""),"TT00311")</f>
        <v>TT00311</v>
      </c>
      <c r="B313" s="2" t="str">
        <f>IFERROR(__xludf.DUMMYFUNCTION("""COMPUTED_VALUE"""),"Completed")</f>
        <v>Completed</v>
      </c>
      <c r="C313" s="2" t="str">
        <f>IFERROR(__xludf.DUMMYFUNCTION("""COMPUTED_VALUE"""),"FOR BILLING L2")</f>
        <v>FOR BILLING L2</v>
      </c>
      <c r="D313" s="2" t="str">
        <f>IFERROR(__xludf.DUMMYFUNCTION("""COMPUTED_VALUE"""),"SALANGSANG STO. NIÑO FARMERS ASSOCIATION INC.")</f>
        <v>SALANGSANG STO. NIÑO FARMERS ASSOCIATION INC.</v>
      </c>
      <c r="E313" s="2" t="str">
        <f>IFERROR(__xludf.DUMMYFUNCTION("""COMPUTED_VALUE"""),"Santo Niño, Nueva Era, ILOCOS NORTE")</f>
        <v>Santo Niño, Nueva Era, ILOCOS NORTE</v>
      </c>
      <c r="F313" s="2" t="str">
        <f>IFERROR(__xludf.DUMMYFUNCTION("""COMPUTED_VALUE"""),"Marcos Aguilar")</f>
        <v>Marcos Aguilar</v>
      </c>
      <c r="G313" s="2" t="str">
        <f>IFERROR(__xludf.DUMMYFUNCTION("""COMPUTED_VALUE"""),"0966-640-0469")</f>
        <v>0966-640-0469</v>
      </c>
      <c r="H313" s="2"/>
      <c r="I313" s="2"/>
      <c r="J313" s="2"/>
      <c r="K313" s="2" t="str">
        <f>IFERROR(__xludf.DUMMYFUNCTION("""COMPUTED_VALUE"""),"RCEF 23-09-21 Rebidding")</f>
        <v>RCEF 23-09-21 Rebidding</v>
      </c>
      <c r="L313" s="2">
        <f>IFERROR(__xludf.DUMMYFUNCTION("""COMPUTED_VALUE"""),2.0)</f>
        <v>2</v>
      </c>
      <c r="M313" s="2"/>
      <c r="N313" s="74">
        <f>IFERROR(__xludf.DUMMYFUNCTION("""COMPUTED_VALUE"""),45398.0)</f>
        <v>45398</v>
      </c>
      <c r="O313" s="74">
        <f>IFERROR(__xludf.DUMMYFUNCTION("""COMPUTED_VALUE"""),45412.0)</f>
        <v>45412</v>
      </c>
      <c r="P313" s="2">
        <f>IFERROR(__xludf.DUMMYFUNCTION("""COMPUTED_VALUE"""),18953.0)</f>
        <v>18953</v>
      </c>
      <c r="Q313" s="2" t="str">
        <f>IFERROR(__xludf.DUMMYFUNCTION("""COMPUTED_VALUE"""),"KMC5825 ATRFPV0290")</f>
        <v>KMC5825 ATRFPV0290</v>
      </c>
      <c r="R313" s="2" t="str">
        <f>IFERROR(__xludf.DUMMYFUNCTION("""COMPUTED_VALUE"""),"RTS 100113")</f>
        <v>RTS 100113</v>
      </c>
      <c r="S313" s="2" t="str">
        <f>IFERROR(__xludf.DUMMYFUNCTION("""COMPUTED_VALUE"""),"WR SERIES 722 PH")</f>
        <v>WR SERIES 722 PH</v>
      </c>
      <c r="T313" s="2" t="str">
        <f>IFERROR(__xludf.DUMMYFUNCTION("""COMPUTED_VALUE"""),"LSGW1750 RMP 2401017")</f>
        <v>LSGW1750 RMP 2401017</v>
      </c>
      <c r="U313" s="2" t="str">
        <f>IFERROR(__xludf.DUMMYFUNCTION("""COMPUTED_VALUE"""),"WDP40 RMP 24010152")</f>
        <v>WDP40 RMP 24010152</v>
      </c>
      <c r="V313" s="2"/>
      <c r="W313" s="2" t="str">
        <f>IFERROR(__xludf.DUMMYFUNCTION("""COMPUTED_VALUE"""),"VL103D")</f>
        <v>VL103D</v>
      </c>
      <c r="X313" s="2">
        <f>IFERROR(__xludf.DUMMYFUNCTION("""COMPUTED_VALUE"""),8.69066060245108E14)</f>
        <v>869066060245108</v>
      </c>
      <c r="Y313" s="2">
        <f>IFERROR(__xludf.DUMMYFUNCTION("""COMPUTED_VALUE"""),9.624248232E9)</f>
        <v>9624248232</v>
      </c>
      <c r="Z313" s="2"/>
      <c r="AA313" s="2"/>
      <c r="AB313" s="2"/>
    </row>
    <row r="314">
      <c r="A314" s="2" t="str">
        <f>IFERROR(__xludf.DUMMYFUNCTION("""COMPUTED_VALUE"""),"TT00312")</f>
        <v>TT00312</v>
      </c>
      <c r="B314" s="2" t="str">
        <f>IFERROR(__xludf.DUMMYFUNCTION("""COMPUTED_VALUE"""),"Completed")</f>
        <v>Completed</v>
      </c>
      <c r="C314" s="2" t="str">
        <f>IFERROR(__xludf.DUMMYFUNCTION("""COMPUTED_VALUE"""),"FOR BILLING L2")</f>
        <v>FOR BILLING L2</v>
      </c>
      <c r="D314" s="2"/>
      <c r="E314" s="2" t="str">
        <f>IFERROR(__xludf.DUMMYFUNCTION("""COMPUTED_VALUE"""),"Cabagoan, Paoay, ILOCOS NORTE")</f>
        <v>Cabagoan, Paoay, ILOCOS NORTE</v>
      </c>
      <c r="F314" s="2" t="str">
        <f>IFERROR(__xludf.DUMMYFUNCTION("""COMPUTED_VALUE"""),"Ronald Lutap")</f>
        <v>Ronald Lutap</v>
      </c>
      <c r="G314" s="2" t="str">
        <f>IFERROR(__xludf.DUMMYFUNCTION("""COMPUTED_VALUE"""),"0906-286-9495")</f>
        <v>0906-286-9495</v>
      </c>
      <c r="H314" s="2"/>
      <c r="I314" s="2"/>
      <c r="J314" s="2"/>
      <c r="K314" s="2" t="str">
        <f>IFERROR(__xludf.DUMMYFUNCTION("""COMPUTED_VALUE"""),"RCEF 23-09-21 Rebidding")</f>
        <v>RCEF 23-09-21 Rebidding</v>
      </c>
      <c r="L314" s="2" t="str">
        <f>IFERROR(__xludf.DUMMYFUNCTION("""COMPUTED_VALUE"""),"#N/A")</f>
        <v>#N/A</v>
      </c>
      <c r="M314" s="2"/>
      <c r="N314" s="74">
        <f>IFERROR(__xludf.DUMMYFUNCTION("""COMPUTED_VALUE"""),45398.0)</f>
        <v>45398</v>
      </c>
      <c r="O314" s="74">
        <f>IFERROR(__xludf.DUMMYFUNCTION("""COMPUTED_VALUE"""),45412.0)</f>
        <v>45412</v>
      </c>
      <c r="P314" s="2">
        <f>IFERROR(__xludf.DUMMYFUNCTION("""COMPUTED_VALUE"""),18954.0)</f>
        <v>18954</v>
      </c>
      <c r="Q314" s="2" t="str">
        <f>IFERROR(__xludf.DUMMYFUNCTION("""COMPUTED_VALUE"""),"KMC5825 APRFPV0128")</f>
        <v>KMC5825 APRFPV0128</v>
      </c>
      <c r="R314" s="2" t="str">
        <f>IFERROR(__xludf.DUMMYFUNCTION("""COMPUTED_VALUE"""),"PTS 100260")</f>
        <v>PTS 100260</v>
      </c>
      <c r="S314" s="2" t="str">
        <f>IFERROR(__xludf.DUMMYFUNCTION("""COMPUTED_VALUE"""),"WR SERIES 721 PH")</f>
        <v>WR SERIES 721 PH</v>
      </c>
      <c r="T314" s="2" t="str">
        <f>IFERROR(__xludf.DUMMYFUNCTION("""COMPUTED_VALUE"""),"LSGW1750 RMP 24010201")</f>
        <v>LSGW1750 RMP 24010201</v>
      </c>
      <c r="U314" s="2" t="str">
        <f>IFERROR(__xludf.DUMMYFUNCTION("""COMPUTED_VALUE"""),"WDP40 RMP 24010064")</f>
        <v>WDP40 RMP 24010064</v>
      </c>
      <c r="V314" s="2"/>
      <c r="W314" s="2" t="str">
        <f>IFERROR(__xludf.DUMMYFUNCTION("""COMPUTED_VALUE"""),"VL103D")</f>
        <v>VL103D</v>
      </c>
      <c r="X314" s="2">
        <f>IFERROR(__xludf.DUMMYFUNCTION("""COMPUTED_VALUE"""),8.69066060240927E14)</f>
        <v>869066060240927</v>
      </c>
      <c r="Y314" s="2">
        <f>IFERROR(__xludf.DUMMYFUNCTION("""COMPUTED_VALUE"""),9.622425109E10)</f>
        <v>96224251090</v>
      </c>
      <c r="Z314" s="2"/>
      <c r="AA314" s="2"/>
      <c r="AB314" s="2"/>
    </row>
    <row r="315">
      <c r="A315" s="2" t="str">
        <f>IFERROR(__xludf.DUMMYFUNCTION("""COMPUTED_VALUE"""),"TT00313")</f>
        <v>TT00313</v>
      </c>
      <c r="B315" s="2" t="str">
        <f>IFERROR(__xludf.DUMMYFUNCTION("""COMPUTED_VALUE"""),"Completed")</f>
        <v>Completed</v>
      </c>
      <c r="C315" s="2" t="str">
        <f>IFERROR(__xludf.DUMMYFUNCTION("""COMPUTED_VALUE"""),"FOR BILLING L9")</f>
        <v>FOR BILLING L9</v>
      </c>
      <c r="D315" s="2" t="str">
        <f>IFERROR(__xludf.DUMMYFUNCTION("""COMPUTED_VALUE"""),"METRO DALIGAN IRRIGATORS ASSOCIATION")</f>
        <v>METRO DALIGAN IRRIGATORS ASSOCIATION</v>
      </c>
      <c r="E315" s="2" t="str">
        <f>IFERROR(__xludf.DUMMYFUNCTION("""COMPUTED_VALUE"""),"Daligan, Santa Cruz, ILOCOS SUR")</f>
        <v>Daligan, Santa Cruz, ILOCOS SUR</v>
      </c>
      <c r="F315" s="2" t="str">
        <f>IFERROR(__xludf.DUMMYFUNCTION("""COMPUTED_VALUE"""),"EDWIN JANDOC")</f>
        <v>EDWIN JANDOC</v>
      </c>
      <c r="G315" s="2" t="str">
        <f>IFERROR(__xludf.DUMMYFUNCTION("""COMPUTED_VALUE"""),"0956-052-4008")</f>
        <v>0956-052-4008</v>
      </c>
      <c r="H315" s="2"/>
      <c r="I315" s="2"/>
      <c r="J315" s="2"/>
      <c r="K315" s="2" t="str">
        <f>IFERROR(__xludf.DUMMYFUNCTION("""COMPUTED_VALUE"""),"RCEF 23-09-21 Rebidding")</f>
        <v>RCEF 23-09-21 Rebidding</v>
      </c>
      <c r="L315" s="2">
        <f>IFERROR(__xludf.DUMMYFUNCTION("""COMPUTED_VALUE"""),9.0)</f>
        <v>9</v>
      </c>
      <c r="M315" s="2"/>
      <c r="N315" s="74">
        <f>IFERROR(__xludf.DUMMYFUNCTION("""COMPUTED_VALUE"""),45398.0)</f>
        <v>45398</v>
      </c>
      <c r="O315" s="74">
        <f>IFERROR(__xludf.DUMMYFUNCTION("""COMPUTED_VALUE"""),45406.0)</f>
        <v>45406</v>
      </c>
      <c r="P315" s="2">
        <f>IFERROR(__xludf.DUMMYFUNCTION("""COMPUTED_VALUE"""),18955.0)</f>
        <v>18955</v>
      </c>
      <c r="Q315" s="2" t="str">
        <f>IFERROR(__xludf.DUMMYFUNCTION("""COMPUTED_VALUE"""),"KMC5825 ACRFPV0403")</f>
        <v>KMC5825 ACRFPV0403</v>
      </c>
      <c r="R315" s="2" t="str">
        <f>IFERROR(__xludf.DUMMYFUNCTION("""COMPUTED_VALUE"""),"RTS100317")</f>
        <v>RTS100317</v>
      </c>
      <c r="S315" s="2" t="str">
        <f>IFERROR(__xludf.DUMMYFUNCTION("""COMPUTED_VALUE"""),"R-SERIES 366 PH")</f>
        <v>R-SERIES 366 PH</v>
      </c>
      <c r="T315" s="2" t="str">
        <f>IFERROR(__xludf.DUMMYFUNCTION("""COMPUTED_VALUE"""),"LSGW1750 RMP 24020440")</f>
        <v>LSGW1750 RMP 24020440</v>
      </c>
      <c r="U315" s="2" t="str">
        <f>IFERROR(__xludf.DUMMYFUNCTION("""COMPUTED_VALUE"""),"WDP40 RMP 24030368")</f>
        <v>WDP40 RMP 24030368</v>
      </c>
      <c r="V315" s="2"/>
      <c r="W315" s="2" t="str">
        <f>IFERROR(__xludf.DUMMYFUNCTION("""COMPUTED_VALUE"""),"VL103D")</f>
        <v>VL103D</v>
      </c>
      <c r="X315" s="2"/>
      <c r="Y315" s="2"/>
      <c r="Z315" s="2"/>
      <c r="AA315" s="2"/>
      <c r="AB315" s="2"/>
    </row>
    <row r="316">
      <c r="A316" s="2" t="str">
        <f>IFERROR(__xludf.DUMMYFUNCTION("""COMPUTED_VALUE"""),"TT00314")</f>
        <v>TT00314</v>
      </c>
      <c r="B316" s="2" t="str">
        <f>IFERROR(__xludf.DUMMYFUNCTION("""COMPUTED_VALUE"""),"Completed")</f>
        <v>Completed</v>
      </c>
      <c r="C316" s="2" t="str">
        <f>IFERROR(__xludf.DUMMYFUNCTION("""COMPUTED_VALUE"""),"FOR BILLING L9")</f>
        <v>FOR BILLING L9</v>
      </c>
      <c r="D316" s="2" t="str">
        <f>IFERROR(__xludf.DUMMYFUNCTION("""COMPUTED_VALUE"""),"SUYO STA. CRUZ FARMERS ASSOCIATION INC.")</f>
        <v>SUYO STA. CRUZ FARMERS ASSOCIATION INC.</v>
      </c>
      <c r="E316" s="2" t="str">
        <f>IFERROR(__xludf.DUMMYFUNCTION("""COMPUTED_VALUE"""),"Suyo, Santa Cruz, ILOCOS SUR")</f>
        <v>Suyo, Santa Cruz, ILOCOS SUR</v>
      </c>
      <c r="F316" s="2" t="str">
        <f>IFERROR(__xludf.DUMMYFUNCTION("""COMPUTED_VALUE"""),"JAMES TEJADA")</f>
        <v>JAMES TEJADA</v>
      </c>
      <c r="G316" s="2" t="str">
        <f>IFERROR(__xludf.DUMMYFUNCTION("""COMPUTED_VALUE"""),"0950-952-3742")</f>
        <v>0950-952-3742</v>
      </c>
      <c r="H316" s="2"/>
      <c r="I316" s="2"/>
      <c r="J316" s="2"/>
      <c r="K316" s="2" t="str">
        <f>IFERROR(__xludf.DUMMYFUNCTION("""COMPUTED_VALUE"""),"RCEF 23-09-21 Rebidding")</f>
        <v>RCEF 23-09-21 Rebidding</v>
      </c>
      <c r="L316" s="2">
        <f>IFERROR(__xludf.DUMMYFUNCTION("""COMPUTED_VALUE"""),9.0)</f>
        <v>9</v>
      </c>
      <c r="M316" s="2"/>
      <c r="N316" s="74">
        <f>IFERROR(__xludf.DUMMYFUNCTION("""COMPUTED_VALUE"""),45398.0)</f>
        <v>45398</v>
      </c>
      <c r="O316" s="74">
        <f>IFERROR(__xludf.DUMMYFUNCTION("""COMPUTED_VALUE"""),45406.0)</f>
        <v>45406</v>
      </c>
      <c r="P316" s="2">
        <f>IFERROR(__xludf.DUMMYFUNCTION("""COMPUTED_VALUE"""),18956.0)</f>
        <v>18956</v>
      </c>
      <c r="Q316" s="2" t="str">
        <f>IFERROR(__xludf.DUMMYFUNCTION("""COMPUTED_VALUE"""),"KMC5825 AHRFPV0513")</f>
        <v>KMC5825 AHRFPV0513</v>
      </c>
      <c r="R316" s="2" t="str">
        <f>IFERROR(__xludf.DUMMYFUNCTION("""COMPUTED_VALUE"""),"RTS100426")</f>
        <v>RTS100426</v>
      </c>
      <c r="S316" s="2" t="str">
        <f>IFERROR(__xludf.DUMMYFUNCTION("""COMPUTED_VALUE"""),"R-SERIES 364 PH")</f>
        <v>R-SERIES 364 PH</v>
      </c>
      <c r="T316" s="2" t="str">
        <f>IFERROR(__xludf.DUMMYFUNCTION("""COMPUTED_VALUE"""),"LSGW1750 RMP 24020408")</f>
        <v>LSGW1750 RMP 24020408</v>
      </c>
      <c r="U316" s="2" t="str">
        <f>IFERROR(__xludf.DUMMYFUNCTION("""COMPUTED_VALUE"""),"WDP40 RMP 24010066")</f>
        <v>WDP40 RMP 24010066</v>
      </c>
      <c r="V316" s="2"/>
      <c r="W316" s="2" t="str">
        <f>IFERROR(__xludf.DUMMYFUNCTION("""COMPUTED_VALUE"""),"VL103D")</f>
        <v>VL103D</v>
      </c>
      <c r="X316" s="2"/>
      <c r="Y316" s="2"/>
      <c r="Z316" s="2"/>
      <c r="AA316" s="2"/>
      <c r="AB316" s="2"/>
    </row>
    <row r="317">
      <c r="A317" s="2" t="str">
        <f>IFERROR(__xludf.DUMMYFUNCTION("""COMPUTED_VALUE"""),"TT00315")</f>
        <v>TT00315</v>
      </c>
      <c r="B317" s="2"/>
      <c r="C317" s="2"/>
      <c r="D317" s="2" t="str">
        <f>IFERROR(__xludf.DUMMYFUNCTION("""COMPUTED_VALUE"""),"CUANTACLA FARMERS ASSOCIATION INC.")</f>
        <v>CUANTACLA FARMERS ASSOCIATION INC.</v>
      </c>
      <c r="E317" s="2" t="str">
        <f>IFERROR(__xludf.DUMMYFUNCTION("""COMPUTED_VALUE"""),"Cuantacla, Cabugao, ILOCOS SUR")</f>
        <v>Cuantacla, Cabugao, ILOCOS SUR</v>
      </c>
      <c r="F317" s="2" t="str">
        <f>IFERROR(__xludf.DUMMYFUNCTION("""COMPUTED_VALUE"""),"Rusvel J. Palpal-latoc")</f>
        <v>Rusvel J. Palpal-latoc</v>
      </c>
      <c r="G317" s="2" t="str">
        <f>IFERROR(__xludf.DUMMYFUNCTION("""COMPUTED_VALUE"""),"0995-464-6517")</f>
        <v>0995-464-6517</v>
      </c>
      <c r="H317" s="2"/>
      <c r="I317" s="2"/>
      <c r="J317" s="2"/>
      <c r="K317" s="2" t="str">
        <f>IFERROR(__xludf.DUMMYFUNCTION("""COMPUTED_VALUE"""),"RCEF 23-09-21 Rebidding")</f>
        <v>RCEF 23-09-21 Rebidding</v>
      </c>
      <c r="L317" s="2">
        <f>IFERROR(__xludf.DUMMYFUNCTION("""COMPUTED_VALUE"""),2.0)</f>
        <v>2</v>
      </c>
      <c r="M317" s="2"/>
      <c r="N317" s="2"/>
      <c r="O317" s="2"/>
      <c r="P317" s="2"/>
      <c r="Q317" s="2"/>
      <c r="R317" s="2"/>
      <c r="S317" s="2"/>
      <c r="T317" s="2"/>
      <c r="U317" s="2"/>
      <c r="V317" s="2"/>
      <c r="W317" s="2" t="str">
        <f>IFERROR(__xludf.DUMMYFUNCTION("""COMPUTED_VALUE"""),"VL103D")</f>
        <v>VL103D</v>
      </c>
      <c r="X317" s="2"/>
      <c r="Y317" s="2"/>
      <c r="Z317" s="2"/>
      <c r="AA317" s="2"/>
      <c r="AB317" s="2"/>
    </row>
    <row r="318">
      <c r="A318" s="2" t="str">
        <f>IFERROR(__xludf.DUMMYFUNCTION("""COMPUTED_VALUE"""),"TT00316")</f>
        <v>TT00316</v>
      </c>
      <c r="B318" s="2"/>
      <c r="C318" s="2"/>
      <c r="D318" s="2" t="str">
        <f>IFERROR(__xludf.DUMMYFUNCTION("""COMPUTED_VALUE"""),"Free Farmers Multi Purpose Cooperative")</f>
        <v>Free Farmers Multi Purpose Cooperative</v>
      </c>
      <c r="E318" s="2" t="str">
        <f>IFERROR(__xludf.DUMMYFUNCTION("""COMPUTED_VALUE"""),"Sagayaden, Cabugao, ILOCOS SUR")</f>
        <v>Sagayaden, Cabugao, ILOCOS SUR</v>
      </c>
      <c r="F318" s="2" t="str">
        <f>IFERROR(__xludf.DUMMYFUNCTION("""COMPUTED_VALUE"""),"Benedicto Satumba")</f>
        <v>Benedicto Satumba</v>
      </c>
      <c r="G318" s="2" t="str">
        <f>IFERROR(__xludf.DUMMYFUNCTION("""COMPUTED_VALUE"""),"0997 780 8595")</f>
        <v>0997 780 8595</v>
      </c>
      <c r="H318" s="2"/>
      <c r="I318" s="2"/>
      <c r="J318" s="2"/>
      <c r="K318" s="2" t="str">
        <f>IFERROR(__xludf.DUMMYFUNCTION("""COMPUTED_VALUE"""),"RCEF 23-09-21 Rebidding")</f>
        <v>RCEF 23-09-21 Rebidding</v>
      </c>
      <c r="L318" s="2">
        <f>IFERROR(__xludf.DUMMYFUNCTION("""COMPUTED_VALUE"""),2.0)</f>
        <v>2</v>
      </c>
      <c r="M318" s="2"/>
      <c r="N318" s="2"/>
      <c r="O318" s="2"/>
      <c r="P318" s="2"/>
      <c r="Q318" s="2"/>
      <c r="R318" s="2"/>
      <c r="S318" s="2"/>
      <c r="T318" s="2"/>
      <c r="U318" s="2"/>
      <c r="V318" s="2"/>
      <c r="W318" s="2" t="str">
        <f>IFERROR(__xludf.DUMMYFUNCTION("""COMPUTED_VALUE"""),"VL103D")</f>
        <v>VL103D</v>
      </c>
      <c r="X318" s="2"/>
      <c r="Y318" s="2"/>
      <c r="Z318" s="2"/>
      <c r="AA318" s="2"/>
      <c r="AB318" s="2"/>
    </row>
    <row r="319">
      <c r="A319" s="2" t="str">
        <f>IFERROR(__xludf.DUMMYFUNCTION("""COMPUTED_VALUE"""),"TT00317")</f>
        <v>TT00317</v>
      </c>
      <c r="B319" s="2"/>
      <c r="C319" s="2"/>
      <c r="D319" s="2" t="str">
        <f>IFERROR(__xludf.DUMMYFUNCTION("""COMPUTED_VALUE"""),"Brgy. Caraisan Farmers Association Incorporated")</f>
        <v>Brgy. Caraisan Farmers Association Incorporated</v>
      </c>
      <c r="E319" s="2" t="str">
        <f>IFERROR(__xludf.DUMMYFUNCTION("""COMPUTED_VALUE"""),"Caraisan, Magsingal, ILOCOS SUR")</f>
        <v>Caraisan, Magsingal, ILOCOS SUR</v>
      </c>
      <c r="F319" s="2" t="str">
        <f>IFERROR(__xludf.DUMMYFUNCTION("""COMPUTED_VALUE"""),"Felipe Urata")</f>
        <v>Felipe Urata</v>
      </c>
      <c r="G319" s="2" t="str">
        <f>IFERROR(__xludf.DUMMYFUNCTION("""COMPUTED_VALUE"""),"0945-457-5019")</f>
        <v>0945-457-5019</v>
      </c>
      <c r="H319" s="2"/>
      <c r="I319" s="2"/>
      <c r="J319" s="2"/>
      <c r="K319" s="2" t="str">
        <f>IFERROR(__xludf.DUMMYFUNCTION("""COMPUTED_VALUE"""),"RCEF 23-09-21 Rebidding")</f>
        <v>RCEF 23-09-21 Rebidding</v>
      </c>
      <c r="L319" s="2">
        <f>IFERROR(__xludf.DUMMYFUNCTION("""COMPUTED_VALUE"""),2.0)</f>
        <v>2</v>
      </c>
      <c r="M319" s="2"/>
      <c r="N319" s="2"/>
      <c r="O319" s="2"/>
      <c r="P319" s="2"/>
      <c r="Q319" s="2"/>
      <c r="R319" s="2"/>
      <c r="S319" s="2"/>
      <c r="T319" s="2"/>
      <c r="U319" s="2"/>
      <c r="V319" s="2"/>
      <c r="W319" s="2" t="str">
        <f>IFERROR(__xludf.DUMMYFUNCTION("""COMPUTED_VALUE"""),"VL103D")</f>
        <v>VL103D</v>
      </c>
      <c r="X319" s="2"/>
      <c r="Y319" s="2"/>
      <c r="Z319" s="2"/>
      <c r="AA319" s="2"/>
      <c r="AB319" s="2"/>
    </row>
    <row r="320">
      <c r="A320" s="2" t="str">
        <f>IFERROR(__xludf.DUMMYFUNCTION("""COMPUTED_VALUE"""),"TT00318")</f>
        <v>TT00318</v>
      </c>
      <c r="B320" s="2"/>
      <c r="C320" s="2"/>
      <c r="D320" s="2" t="str">
        <f>IFERROR(__xludf.DUMMYFUNCTION("""COMPUTED_VALUE"""),"Municipal Local Government Unit of Sto. Domingo")</f>
        <v>Municipal Local Government Unit of Sto. Domingo</v>
      </c>
      <c r="E320" s="2" t="str">
        <f>IFERROR(__xludf.DUMMYFUNCTION("""COMPUTED_VALUE"""),"Poblacion, Santo Domingo, ILOCOS SUR")</f>
        <v>Poblacion, Santo Domingo, ILOCOS SUR</v>
      </c>
      <c r="F320" s="2" t="str">
        <f>IFERROR(__xludf.DUMMYFUNCTION("""COMPUTED_VALUE"""),"Bryan Dexter V. Tadena")</f>
        <v>Bryan Dexter V. Tadena</v>
      </c>
      <c r="G320" s="2" t="str">
        <f>IFERROR(__xludf.DUMMYFUNCTION("""COMPUTED_VALUE"""),"0927-431-5144 (MA - Randy Reburon)")</f>
        <v>0927-431-5144 (MA - Randy Reburon)</v>
      </c>
      <c r="H320" s="2"/>
      <c r="I320" s="2"/>
      <c r="J320" s="2"/>
      <c r="K320" s="2" t="str">
        <f>IFERROR(__xludf.DUMMYFUNCTION("""COMPUTED_VALUE"""),"RCEF 23-09-21 Rebidding")</f>
        <v>RCEF 23-09-21 Rebidding</v>
      </c>
      <c r="L320" s="2">
        <f>IFERROR(__xludf.DUMMYFUNCTION("""COMPUTED_VALUE"""),2.0)</f>
        <v>2</v>
      </c>
      <c r="M320" s="2"/>
      <c r="N320" s="2"/>
      <c r="O320" s="2"/>
      <c r="P320" s="2"/>
      <c r="Q320" s="2"/>
      <c r="R320" s="2"/>
      <c r="S320" s="2"/>
      <c r="T320" s="2"/>
      <c r="U320" s="2"/>
      <c r="V320" s="2"/>
      <c r="W320" s="2" t="str">
        <f>IFERROR(__xludf.DUMMYFUNCTION("""COMPUTED_VALUE"""),"VL103D")</f>
        <v>VL103D</v>
      </c>
      <c r="X320" s="2"/>
      <c r="Y320" s="2"/>
      <c r="Z320" s="2"/>
      <c r="AA320" s="2"/>
      <c r="AB320" s="2"/>
    </row>
    <row r="321">
      <c r="A321" s="2" t="str">
        <f>IFERROR(__xludf.DUMMYFUNCTION("""COMPUTED_VALUE"""),"TT00319")</f>
        <v>TT00319</v>
      </c>
      <c r="B321" s="2"/>
      <c r="C321" s="2"/>
      <c r="D321" s="2" t="str">
        <f>IFERROR(__xludf.DUMMYFUNCTION("""COMPUTED_VALUE"""),"Municipal Local Government Unit of Gregorio Del Pilar")</f>
        <v>Municipal Local Government Unit of Gregorio Del Pilar</v>
      </c>
      <c r="E321" s="2" t="str">
        <f>IFERROR(__xludf.DUMMYFUNCTION("""COMPUTED_VALUE"""),"Poblacion Sur, Gregorio del Pilar, ILOCOS SUR")</f>
        <v>Poblacion Sur, Gregorio del Pilar, ILOCOS SUR</v>
      </c>
      <c r="F321" s="2" t="str">
        <f>IFERROR(__xludf.DUMMYFUNCTION("""COMPUTED_VALUE"""),"Henry S. Gallardo")</f>
        <v>Henry S. Gallardo</v>
      </c>
      <c r="G321" s="2" t="str">
        <f>IFERROR(__xludf.DUMMYFUNCTION("""COMPUTED_VALUE"""),"0926-163-9175")</f>
        <v>0926-163-9175</v>
      </c>
      <c r="H321" s="2"/>
      <c r="I321" s="2"/>
      <c r="J321" s="2"/>
      <c r="K321" s="2" t="str">
        <f>IFERROR(__xludf.DUMMYFUNCTION("""COMPUTED_VALUE"""),"RCEF 23-09-21 Rebidding")</f>
        <v>RCEF 23-09-21 Rebidding</v>
      </c>
      <c r="L321" s="2">
        <f>IFERROR(__xludf.DUMMYFUNCTION("""COMPUTED_VALUE"""),2.0)</f>
        <v>2</v>
      </c>
      <c r="M321" s="2"/>
      <c r="N321" s="2"/>
      <c r="O321" s="2"/>
      <c r="P321" s="2"/>
      <c r="Q321" s="2"/>
      <c r="R321" s="2"/>
      <c r="S321" s="2"/>
      <c r="T321" s="2"/>
      <c r="U321" s="2"/>
      <c r="V321" s="2"/>
      <c r="W321" s="2" t="str">
        <f>IFERROR(__xludf.DUMMYFUNCTION("""COMPUTED_VALUE"""),"VL103D")</f>
        <v>VL103D</v>
      </c>
      <c r="X321" s="2"/>
      <c r="Y321" s="2"/>
      <c r="Z321" s="2"/>
      <c r="AA321" s="2"/>
      <c r="AB321" s="2"/>
    </row>
    <row r="322">
      <c r="A322" s="2" t="str">
        <f>IFERROR(__xludf.DUMMYFUNCTION("""COMPUTED_VALUE"""),"TT00320")</f>
        <v>TT00320</v>
      </c>
      <c r="B322" s="2"/>
      <c r="C322" s="2"/>
      <c r="D322" s="2" t="str">
        <f>IFERROR(__xludf.DUMMYFUNCTION("""COMPUTED_VALUE"""),"MALIGCONG FARMERS ASSOCIATION")</f>
        <v>MALIGCONG FARMERS ASSOCIATION</v>
      </c>
      <c r="E322" s="2" t="str">
        <f>IFERROR(__xludf.DUMMYFUNCTION("""COMPUTED_VALUE"""),"Maligcong, Salcedo, ILOCOS SUR")</f>
        <v>Maligcong, Salcedo, ILOCOS SUR</v>
      </c>
      <c r="F322" s="2" t="str">
        <f>IFERROR(__xludf.DUMMYFUNCTION("""COMPUTED_VALUE"""),"Jerry Ruiz")</f>
        <v>Jerry Ruiz</v>
      </c>
      <c r="G322" s="2" t="str">
        <f>IFERROR(__xludf.DUMMYFUNCTION("""COMPUTED_VALUE"""),"0920-648-2518")</f>
        <v>0920-648-2518</v>
      </c>
      <c r="H322" s="2"/>
      <c r="I322" s="2"/>
      <c r="J322" s="2"/>
      <c r="K322" s="2" t="str">
        <f>IFERROR(__xludf.DUMMYFUNCTION("""COMPUTED_VALUE"""),"RCEF 23-09-21 Rebidding")</f>
        <v>RCEF 23-09-21 Rebidding</v>
      </c>
      <c r="L322" s="2">
        <f>IFERROR(__xludf.DUMMYFUNCTION("""COMPUTED_VALUE"""),2.0)</f>
        <v>2</v>
      </c>
      <c r="M322" s="2"/>
      <c r="N322" s="2"/>
      <c r="O322" s="2"/>
      <c r="P322" s="2"/>
      <c r="Q322" s="2"/>
      <c r="R322" s="2"/>
      <c r="S322" s="2"/>
      <c r="T322" s="2"/>
      <c r="U322" s="2"/>
      <c r="V322" s="2"/>
      <c r="W322" s="2" t="str">
        <f>IFERROR(__xludf.DUMMYFUNCTION("""COMPUTED_VALUE"""),"VL103D")</f>
        <v>VL103D</v>
      </c>
      <c r="X322" s="2"/>
      <c r="Y322" s="2"/>
      <c r="Z322" s="2"/>
      <c r="AA322" s="2"/>
      <c r="AB322" s="2"/>
    </row>
    <row r="323">
      <c r="A323" s="2" t="str">
        <f>IFERROR(__xludf.DUMMYFUNCTION("""COMPUTED_VALUE"""),"TT00321")</f>
        <v>TT00321</v>
      </c>
      <c r="B323" s="2" t="str">
        <f>IFERROR(__xludf.DUMMYFUNCTION("""COMPUTED_VALUE"""),"Completed")</f>
        <v>Completed</v>
      </c>
      <c r="C323" s="2" t="str">
        <f>IFERROR(__xludf.DUMMYFUNCTION("""COMPUTED_VALUE"""),"FOR BILLING L2")</f>
        <v>FOR BILLING L2</v>
      </c>
      <c r="D323" s="2" t="str">
        <f>IFERROR(__xludf.DUMMYFUNCTION("""COMPUTED_VALUE"""),"DALIGAN, STA. CRUZ, GREENFIELD FARMERS ASSOCIATION INC.")</f>
        <v>DALIGAN, STA. CRUZ, GREENFIELD FARMERS ASSOCIATION INC.</v>
      </c>
      <c r="E323" s="2" t="str">
        <f>IFERROR(__xludf.DUMMYFUNCTION("""COMPUTED_VALUE"""),"Daligan, Santa Cruz, ILOCOS SUR")</f>
        <v>Daligan, Santa Cruz, ILOCOS SUR</v>
      </c>
      <c r="F323" s="2" t="str">
        <f>IFERROR(__xludf.DUMMYFUNCTION("""COMPUTED_VALUE"""),"Alexander T. Solimen")</f>
        <v>Alexander T. Solimen</v>
      </c>
      <c r="G323" s="2" t="str">
        <f>IFERROR(__xludf.DUMMYFUNCTION("""COMPUTED_VALUE"""),"0995-926-3530")</f>
        <v>0995-926-3530</v>
      </c>
      <c r="H323" s="2"/>
      <c r="I323" s="2"/>
      <c r="J323" s="2"/>
      <c r="K323" s="2" t="str">
        <f>IFERROR(__xludf.DUMMYFUNCTION("""COMPUTED_VALUE"""),"RCEF 23-09-21 Rebidding")</f>
        <v>RCEF 23-09-21 Rebidding</v>
      </c>
      <c r="L323" s="2">
        <f>IFERROR(__xludf.DUMMYFUNCTION("""COMPUTED_VALUE"""),2.0)</f>
        <v>2</v>
      </c>
      <c r="M323" s="2"/>
      <c r="N323" s="74">
        <f>IFERROR(__xludf.DUMMYFUNCTION("""COMPUTED_VALUE"""),45398.0)</f>
        <v>45398</v>
      </c>
      <c r="O323" s="74">
        <f>IFERROR(__xludf.DUMMYFUNCTION("""COMPUTED_VALUE"""),45406.0)</f>
        <v>45406</v>
      </c>
      <c r="P323" s="2">
        <f>IFERROR(__xludf.DUMMYFUNCTION("""COMPUTED_VALUE"""),18963.0)</f>
        <v>18963</v>
      </c>
      <c r="Q323" s="2" t="str">
        <f>IFERROR(__xludf.DUMMYFUNCTION("""COMPUTED_VALUE"""),"KMC5825 ACRFPV0442")</f>
        <v>KMC5825 ACRFPV0442</v>
      </c>
      <c r="R323" s="2" t="str">
        <f>IFERROR(__xludf.DUMMYFUNCTION("""COMPUTED_VALUE"""),"RTS 100349")</f>
        <v>RTS 100349</v>
      </c>
      <c r="S323" s="2" t="str">
        <f>IFERROR(__xludf.DUMMYFUNCTION("""COMPUTED_VALUE"""),"R-SERIES 432 PH")</f>
        <v>R-SERIES 432 PH</v>
      </c>
      <c r="T323" s="2" t="str">
        <f>IFERROR(__xludf.DUMMYFUNCTION("""COMPUTED_VALUE"""),"LSGW1750 RMP 24020407")</f>
        <v>LSGW1750 RMP 24020407</v>
      </c>
      <c r="U323" s="2" t="str">
        <f>IFERROR(__xludf.DUMMYFUNCTION("""COMPUTED_VALUE"""),"WDP40 RMP 24010118")</f>
        <v>WDP40 RMP 24010118</v>
      </c>
      <c r="V323" s="2"/>
      <c r="W323" s="2" t="str">
        <f>IFERROR(__xludf.DUMMYFUNCTION("""COMPUTED_VALUE"""),"VL103D")</f>
        <v>VL103D</v>
      </c>
      <c r="X323" s="2"/>
      <c r="Y323" s="2"/>
      <c r="Z323" s="2"/>
      <c r="AA323" s="2"/>
      <c r="AB323" s="2"/>
    </row>
    <row r="324">
      <c r="A324" s="2" t="str">
        <f>IFERROR(__xludf.DUMMYFUNCTION("""COMPUTED_VALUE"""),"TT00322")</f>
        <v>TT00322</v>
      </c>
      <c r="B324" s="2" t="str">
        <f>IFERROR(__xludf.DUMMYFUNCTION("""COMPUTED_VALUE"""),"Completed")</f>
        <v>Completed</v>
      </c>
      <c r="C324" s="2" t="str">
        <f>IFERROR(__xludf.DUMMYFUNCTION("""COMPUTED_VALUE"""),"FOR BILLING L2")</f>
        <v>FOR BILLING L2</v>
      </c>
      <c r="D324" s="2" t="str">
        <f>IFERROR(__xludf.DUMMYFUNCTION("""COMPUTED_VALUE"""),"Conconig East Farmers Multi Purpose Cooperative")</f>
        <v>Conconig East Farmers Multi Purpose Cooperative</v>
      </c>
      <c r="E324" s="2" t="str">
        <f>IFERROR(__xludf.DUMMYFUNCTION("""COMPUTED_VALUE"""),"Conconig East, Santa Lucia, ILOCOS SUR")</f>
        <v>Conconig East, Santa Lucia, ILOCOS SUR</v>
      </c>
      <c r="F324" s="2" t="str">
        <f>IFERROR(__xludf.DUMMYFUNCTION("""COMPUTED_VALUE"""),"Emerlina Chan")</f>
        <v>Emerlina Chan</v>
      </c>
      <c r="G324" s="2" t="str">
        <f>IFERROR(__xludf.DUMMYFUNCTION("""COMPUTED_VALUE"""),"0919-938-0740")</f>
        <v>0919-938-0740</v>
      </c>
      <c r="H324" s="2"/>
      <c r="I324" s="2"/>
      <c r="J324" s="2"/>
      <c r="K324" s="2" t="str">
        <f>IFERROR(__xludf.DUMMYFUNCTION("""COMPUTED_VALUE"""),"RCEF 23-09-21 Rebidding")</f>
        <v>RCEF 23-09-21 Rebidding</v>
      </c>
      <c r="L324" s="2">
        <f>IFERROR(__xludf.DUMMYFUNCTION("""COMPUTED_VALUE"""),2.0)</f>
        <v>2</v>
      </c>
      <c r="M324" s="2"/>
      <c r="N324" s="74">
        <f>IFERROR(__xludf.DUMMYFUNCTION("""COMPUTED_VALUE"""),45398.0)</f>
        <v>45398</v>
      </c>
      <c r="O324" s="74">
        <f>IFERROR(__xludf.DUMMYFUNCTION("""COMPUTED_VALUE"""),45406.0)</f>
        <v>45406</v>
      </c>
      <c r="P324" s="2">
        <f>IFERROR(__xludf.DUMMYFUNCTION("""COMPUTED_VALUE"""),18964.0)</f>
        <v>18964</v>
      </c>
      <c r="Q324" s="2" t="str">
        <f>IFERROR(__xludf.DUMMYFUNCTION("""COMPUTED_VALUE"""),"KMC5825 AERFPV0514")</f>
        <v>KMC5825 AERFPV0514</v>
      </c>
      <c r="R324" s="2" t="str">
        <f>IFERROR(__xludf.DUMMYFUNCTION("""COMPUTED_VALUE"""),"RTS 100427")</f>
        <v>RTS 100427</v>
      </c>
      <c r="S324" s="2" t="str">
        <f>IFERROR(__xludf.DUMMYFUNCTION("""COMPUTED_VALUE"""),"R-SERIES 381 PH")</f>
        <v>R-SERIES 381 PH</v>
      </c>
      <c r="T324" s="2" t="str">
        <f>IFERROR(__xludf.DUMMYFUNCTION("""COMPUTED_VALUE"""),"LSGW1750 RMP 24020406")</f>
        <v>LSGW1750 RMP 24020406</v>
      </c>
      <c r="U324" s="2" t="str">
        <f>IFERROR(__xludf.DUMMYFUNCTION("""COMPUTED_VALUE"""),"WDP40 RMP 24030379")</f>
        <v>WDP40 RMP 24030379</v>
      </c>
      <c r="V324" s="2"/>
      <c r="W324" s="2" t="str">
        <f>IFERROR(__xludf.DUMMYFUNCTION("""COMPUTED_VALUE"""),"VL103D")</f>
        <v>VL103D</v>
      </c>
      <c r="X324" s="2"/>
      <c r="Y324" s="2"/>
      <c r="Z324" s="2"/>
      <c r="AA324" s="2"/>
      <c r="AB324" s="2"/>
    </row>
    <row r="325">
      <c r="A325" s="2" t="str">
        <f>IFERROR(__xludf.DUMMYFUNCTION("""COMPUTED_VALUE"""),"TT00323")</f>
        <v>TT00323</v>
      </c>
      <c r="B325" s="2"/>
      <c r="C325" s="2"/>
      <c r="D325" s="2" t="str">
        <f>IFERROR(__xludf.DUMMYFUNCTION("""COMPUTED_VALUE"""),"Lugarba Multi Purpose Cooperative")</f>
        <v>Lugarba Multi Purpose Cooperative</v>
      </c>
      <c r="E325" s="2" t="str">
        <f>IFERROR(__xludf.DUMMYFUNCTION("""COMPUTED_VALUE"""),"Bario-an, Tagudin, ILOCOS SUR")</f>
        <v>Bario-an, Tagudin, ILOCOS SUR</v>
      </c>
      <c r="F325" s="2" t="str">
        <f>IFERROR(__xludf.DUMMYFUNCTION("""COMPUTED_VALUE"""),"Marie Joy Cabatu")</f>
        <v>Marie Joy Cabatu</v>
      </c>
      <c r="G325" s="2" t="str">
        <f>IFERROR(__xludf.DUMMYFUNCTION("""COMPUTED_VALUE"""),"0930 907 561 / 0949 705 6448")</f>
        <v>0930 907 561 / 0949 705 6448</v>
      </c>
      <c r="H325" s="2"/>
      <c r="I325" s="2"/>
      <c r="J325" s="2"/>
      <c r="K325" s="2" t="str">
        <f>IFERROR(__xludf.DUMMYFUNCTION("""COMPUTED_VALUE"""),"RCEF 23-09-21 Rebidding")</f>
        <v>RCEF 23-09-21 Rebidding</v>
      </c>
      <c r="L325" s="2">
        <f>IFERROR(__xludf.DUMMYFUNCTION("""COMPUTED_VALUE"""),2.0)</f>
        <v>2</v>
      </c>
      <c r="M325" s="2"/>
      <c r="N325" s="2"/>
      <c r="O325" s="2"/>
      <c r="P325" s="2"/>
      <c r="Q325" s="2"/>
      <c r="R325" s="2"/>
      <c r="S325" s="2"/>
      <c r="T325" s="2"/>
      <c r="U325" s="2"/>
      <c r="V325" s="2"/>
      <c r="W325" s="2" t="str">
        <f>IFERROR(__xludf.DUMMYFUNCTION("""COMPUTED_VALUE"""),"VL103D")</f>
        <v>VL103D</v>
      </c>
      <c r="X325" s="2"/>
      <c r="Y325" s="2"/>
      <c r="Z325" s="2"/>
      <c r="AA325" s="2"/>
      <c r="AB325" s="2"/>
    </row>
    <row r="326">
      <c r="A326" s="2" t="str">
        <f>IFERROR(__xludf.DUMMYFUNCTION("""COMPUTED_VALUE"""),"TT00324")</f>
        <v>TT00324</v>
      </c>
      <c r="B326" s="2"/>
      <c r="C326" s="2"/>
      <c r="D326" s="2" t="str">
        <f>IFERROR(__xludf.DUMMYFUNCTION("""COMPUTED_VALUE"""),"Municipal Local Government Unit of Tagudin")</f>
        <v>Municipal Local Government Unit of Tagudin</v>
      </c>
      <c r="E326" s="2" t="str">
        <f>IFERROR(__xludf.DUMMYFUNCTION("""COMPUTED_VALUE"""),"Rizal (Pob.), Tagudin, ILOCOS SUR")</f>
        <v>Rizal (Pob.), Tagudin, ILOCOS SUR</v>
      </c>
      <c r="F326" s="2" t="str">
        <f>IFERROR(__xludf.DUMMYFUNCTION("""COMPUTED_VALUE"""),"Roque S. Verzosa Jr.")</f>
        <v>Roque S. Verzosa Jr.</v>
      </c>
      <c r="G326" s="2" t="str">
        <f>IFERROR(__xludf.DUMMYFUNCTION("""COMPUTED_VALUE"""),"0917 520 5579")</f>
        <v>0917 520 5579</v>
      </c>
      <c r="H326" s="2"/>
      <c r="I326" s="2"/>
      <c r="J326" s="2"/>
      <c r="K326" s="2" t="str">
        <f>IFERROR(__xludf.DUMMYFUNCTION("""COMPUTED_VALUE"""),"RCEF 23-09-21 Rebidding")</f>
        <v>RCEF 23-09-21 Rebidding</v>
      </c>
      <c r="L326" s="2">
        <f>IFERROR(__xludf.DUMMYFUNCTION("""COMPUTED_VALUE"""),2.0)</f>
        <v>2</v>
      </c>
      <c r="M326" s="2"/>
      <c r="N326" s="2"/>
      <c r="O326" s="2"/>
      <c r="P326" s="2"/>
      <c r="Q326" s="2"/>
      <c r="R326" s="2"/>
      <c r="S326" s="2"/>
      <c r="T326" s="2"/>
      <c r="U326" s="2"/>
      <c r="V326" s="2"/>
      <c r="W326" s="2" t="str">
        <f>IFERROR(__xludf.DUMMYFUNCTION("""COMPUTED_VALUE"""),"VL103D")</f>
        <v>VL103D</v>
      </c>
      <c r="X326" s="2"/>
      <c r="Y326" s="2"/>
      <c r="Z326" s="2"/>
      <c r="AA326" s="2"/>
      <c r="AB326" s="2"/>
    </row>
    <row r="327">
      <c r="A327" s="2" t="str">
        <f>IFERROR(__xludf.DUMMYFUNCTION("""COMPUTED_VALUE"""),"TT00325")</f>
        <v>TT00325</v>
      </c>
      <c r="B327" s="2" t="str">
        <f>IFERROR(__xludf.DUMMYFUNCTION("""COMPUTED_VALUE"""),"Completed")</f>
        <v>Completed</v>
      </c>
      <c r="C327" s="2" t="str">
        <f>IFERROR(__xludf.DUMMYFUNCTION("""COMPUTED_VALUE"""),"FOR BILLING L9")</f>
        <v>FOR BILLING L9</v>
      </c>
      <c r="D327" s="2" t="str">
        <f>IFERROR(__xludf.DUMMYFUNCTION("""COMPUTED_VALUE"""),"SUCOC SUR FARMERS AND FISHERFOLKS ASSOCIATION INC.")</f>
        <v>SUCOC SUR FARMERS AND FISHERFOLKS ASSOCIATION INC.</v>
      </c>
      <c r="E327" s="2" t="str">
        <f>IFERROR(__xludf.DUMMYFUNCTION("""COMPUTED_VALUE"""),"Sucoc Sur, Luna, LA UNION")</f>
        <v>Sucoc Sur, Luna, LA UNION</v>
      </c>
      <c r="F327" s="2" t="str">
        <f>IFERROR(__xludf.DUMMYFUNCTION("""COMPUTED_VALUE"""),"Amante S. Reyes")</f>
        <v>Amante S. Reyes</v>
      </c>
      <c r="G327" s="2" t="str">
        <f>IFERROR(__xludf.DUMMYFUNCTION("""COMPUTED_VALUE"""),"0948-591-0076")</f>
        <v>0948-591-0076</v>
      </c>
      <c r="H327" s="2"/>
      <c r="I327" s="2"/>
      <c r="J327" s="2"/>
      <c r="K327" s="2" t="str">
        <f>IFERROR(__xludf.DUMMYFUNCTION("""COMPUTED_VALUE"""),"RCEF 23-09-21 Rebidding")</f>
        <v>RCEF 23-09-21 Rebidding</v>
      </c>
      <c r="L327" s="2">
        <f>IFERROR(__xludf.DUMMYFUNCTION("""COMPUTED_VALUE"""),9.0)</f>
        <v>9</v>
      </c>
      <c r="M327" s="2"/>
      <c r="N327" s="74">
        <f>IFERROR(__xludf.DUMMYFUNCTION("""COMPUTED_VALUE"""),45398.0)</f>
        <v>45398</v>
      </c>
      <c r="O327" s="74">
        <f>IFERROR(__xludf.DUMMYFUNCTION("""COMPUTED_VALUE"""),45407.0)</f>
        <v>45407</v>
      </c>
      <c r="P327" s="2">
        <f>IFERROR(__xludf.DUMMYFUNCTION("""COMPUTED_VALUE"""),18967.0)</f>
        <v>18967</v>
      </c>
      <c r="Q327" s="2" t="str">
        <f>IFERROR(__xludf.DUMMYFUNCTION("""COMPUTED_VALUE"""),"KMC5825 AJ RFPV0052")</f>
        <v>KMC5825 AJ RFPV0052</v>
      </c>
      <c r="R327" s="2" t="str">
        <f>IFERROR(__xludf.DUMMYFUNCTION("""COMPUTED_VALUE"""),"RTS100173")</f>
        <v>RTS100173</v>
      </c>
      <c r="S327" s="2" t="str">
        <f>IFERROR(__xludf.DUMMYFUNCTION("""COMPUTED_VALUE"""),"WR R-SERIES 723 PH")</f>
        <v>WR R-SERIES 723 PH</v>
      </c>
      <c r="T327" s="2" t="str">
        <f>IFERROR(__xludf.DUMMYFUNCTION("""COMPUTED_VALUE"""),"LSGW1750 RMP 24020466")</f>
        <v>LSGW1750 RMP 24020466</v>
      </c>
      <c r="U327" s="2" t="str">
        <f>IFERROR(__xludf.DUMMYFUNCTION("""COMPUTED_VALUE"""),"WDP40 RMP 24030344")</f>
        <v>WDP40 RMP 24030344</v>
      </c>
      <c r="V327" s="2"/>
      <c r="W327" s="2" t="str">
        <f>IFERROR(__xludf.DUMMYFUNCTION("""COMPUTED_VALUE"""),"VL103D")</f>
        <v>VL103D</v>
      </c>
      <c r="X327" s="2"/>
      <c r="Y327" s="2"/>
      <c r="Z327" s="2"/>
      <c r="AA327" s="2"/>
      <c r="AB327" s="2"/>
    </row>
    <row r="328">
      <c r="A328" s="2" t="str">
        <f>IFERROR(__xludf.DUMMYFUNCTION("""COMPUTED_VALUE"""),"TT00326")</f>
        <v>TT00326</v>
      </c>
      <c r="B328" s="2" t="str">
        <f>IFERROR(__xludf.DUMMYFUNCTION("""COMPUTED_VALUE"""),"Completed")</f>
        <v>Completed</v>
      </c>
      <c r="C328" s="2" t="str">
        <f>IFERROR(__xludf.DUMMYFUNCTION("""COMPUTED_VALUE"""),"FOR BILLING L9")</f>
        <v>FOR BILLING L9</v>
      </c>
      <c r="D328" s="2" t="str">
        <f>IFERROR(__xludf.DUMMYFUNCTION("""COMPUTED_VALUE"""),"PANAGDUR-AS TI MANNALON KEN MANGANGALAP TI BARAOAS NORTE ASSOCIATION INC.")</f>
        <v>PANAGDUR-AS TI MANNALON KEN MANGANGALAP TI BARAOAS NORTE ASSOCIATION INC.</v>
      </c>
      <c r="E328" s="2" t="str">
        <f>IFERROR(__xludf.DUMMYFUNCTION("""COMPUTED_VALUE"""),"Lioac Sur, Naguilian, LA UNION")</f>
        <v>Lioac Sur, Naguilian, LA UNION</v>
      </c>
      <c r="F328" s="2" t="str">
        <f>IFERROR(__xludf.DUMMYFUNCTION("""COMPUTED_VALUE"""),"Marcial S. Florendo")</f>
        <v>Marcial S. Florendo</v>
      </c>
      <c r="G328" s="2" t="str">
        <f>IFERROR(__xludf.DUMMYFUNCTION("""COMPUTED_VALUE"""),"0929-965-7623")</f>
        <v>0929-965-7623</v>
      </c>
      <c r="H328" s="2"/>
      <c r="I328" s="2"/>
      <c r="J328" s="2"/>
      <c r="K328" s="2" t="str">
        <f>IFERROR(__xludf.DUMMYFUNCTION("""COMPUTED_VALUE"""),"RCEF 23-09-21 Rebidding")</f>
        <v>RCEF 23-09-21 Rebidding</v>
      </c>
      <c r="L328" s="2">
        <f>IFERROR(__xludf.DUMMYFUNCTION("""COMPUTED_VALUE"""),9.0)</f>
        <v>9</v>
      </c>
      <c r="M328" s="2"/>
      <c r="N328" s="74">
        <f>IFERROR(__xludf.DUMMYFUNCTION("""COMPUTED_VALUE"""),45398.0)</f>
        <v>45398</v>
      </c>
      <c r="O328" s="74">
        <f>IFERROR(__xludf.DUMMYFUNCTION("""COMPUTED_VALUE"""),45407.0)</f>
        <v>45407</v>
      </c>
      <c r="P328" s="2">
        <f>IFERROR(__xludf.DUMMYFUNCTION("""COMPUTED_VALUE"""),18968.0)</f>
        <v>18968</v>
      </c>
      <c r="Q328" s="2" t="str">
        <f>IFERROR(__xludf.DUMMYFUNCTION("""COMPUTED_VALUE"""),"KMC5825 AHRFPV0236")</f>
        <v>KMC5825 AHRFPV0236</v>
      </c>
      <c r="R328" s="2" t="str">
        <f>IFERROR(__xludf.DUMMYFUNCTION("""COMPUTED_VALUE"""),"RTS100141")</f>
        <v>RTS100141</v>
      </c>
      <c r="S328" s="2" t="str">
        <f>IFERROR(__xludf.DUMMYFUNCTION("""COMPUTED_VALUE"""),"WR R-SERIES 709 PH")</f>
        <v>WR R-SERIES 709 PH</v>
      </c>
      <c r="T328" s="2" t="str">
        <f>IFERROR(__xludf.DUMMYFUNCTION("""COMPUTED_VALUE"""),"LSGW1750 RMP 24010214")</f>
        <v>LSGW1750 RMP 24010214</v>
      </c>
      <c r="U328" s="2" t="str">
        <f>IFERROR(__xludf.DUMMYFUNCTION("""COMPUTED_VALUE"""),"WDP40 RMP 24030382")</f>
        <v>WDP40 RMP 24030382</v>
      </c>
      <c r="V328" s="2"/>
      <c r="W328" s="2" t="str">
        <f>IFERROR(__xludf.DUMMYFUNCTION("""COMPUTED_VALUE"""),"VL103D")</f>
        <v>VL103D</v>
      </c>
      <c r="X328" s="2"/>
      <c r="Y328" s="2"/>
      <c r="Z328" s="2"/>
      <c r="AA328" s="2"/>
      <c r="AB328" s="2"/>
    </row>
    <row r="329">
      <c r="A329" s="2" t="str">
        <f>IFERROR(__xludf.DUMMYFUNCTION("""COMPUTED_VALUE"""),"TT00327")</f>
        <v>TT00327</v>
      </c>
      <c r="B329" s="2" t="str">
        <f>IFERROR(__xludf.DUMMYFUNCTION("""COMPUTED_VALUE"""),"Completed")</f>
        <v>Completed</v>
      </c>
      <c r="C329" s="2" t="str">
        <f>IFERROR(__xludf.DUMMYFUNCTION("""COMPUTED_VALUE"""),"FOR BILLING L2")</f>
        <v>FOR BILLING L2</v>
      </c>
      <c r="D329" s="2" t="str">
        <f>IFERROR(__xludf.DUMMYFUNCTION("""COMPUTED_VALUE"""),"Cabaroan Agricultural Multi Purpose Cooperative")</f>
        <v>Cabaroan Agricultural Multi Purpose Cooperative</v>
      </c>
      <c r="E329" s="2" t="str">
        <f>IFERROR(__xludf.DUMMYFUNCTION("""COMPUTED_VALUE"""),"Cabaroan, Bacnotan, LA UNION")</f>
        <v>Cabaroan, Bacnotan, LA UNION</v>
      </c>
      <c r="F329" s="2" t="str">
        <f>IFERROR(__xludf.DUMMYFUNCTION("""COMPUTED_VALUE"""),"Cresencio B. Suriben")</f>
        <v>Cresencio B. Suriben</v>
      </c>
      <c r="G329" s="2" t="str">
        <f>IFERROR(__xludf.DUMMYFUNCTION("""COMPUTED_VALUE"""),"0939-415-9990")</f>
        <v>0939-415-9990</v>
      </c>
      <c r="H329" s="2"/>
      <c r="I329" s="2"/>
      <c r="J329" s="2"/>
      <c r="K329" s="2" t="str">
        <f>IFERROR(__xludf.DUMMYFUNCTION("""COMPUTED_VALUE"""),"RCEF 23-09-21 Rebidding")</f>
        <v>RCEF 23-09-21 Rebidding</v>
      </c>
      <c r="L329" s="2">
        <f>IFERROR(__xludf.DUMMYFUNCTION("""COMPUTED_VALUE"""),2.0)</f>
        <v>2</v>
      </c>
      <c r="M329" s="2"/>
      <c r="N329" s="74">
        <f>IFERROR(__xludf.DUMMYFUNCTION("""COMPUTED_VALUE"""),45398.0)</f>
        <v>45398</v>
      </c>
      <c r="O329" s="74">
        <f>IFERROR(__xludf.DUMMYFUNCTION("""COMPUTED_VALUE"""),45407.0)</f>
        <v>45407</v>
      </c>
      <c r="P329" s="2">
        <f>IFERROR(__xludf.DUMMYFUNCTION("""COMPUTED_VALUE"""),18969.0)</f>
        <v>18969</v>
      </c>
      <c r="Q329" s="2" t="str">
        <f>IFERROR(__xludf.DUMMYFUNCTION("""COMPUTED_VALUE"""),"KMC5825 ATRFPV0211")</f>
        <v>KMC5825 ATRFPV0211</v>
      </c>
      <c r="R329" s="2" t="str">
        <f>IFERROR(__xludf.DUMMYFUNCTION("""COMPUTED_VALUE"""),"RTS 100146")</f>
        <v>RTS 100146</v>
      </c>
      <c r="S329" s="2" t="str">
        <f>IFERROR(__xludf.DUMMYFUNCTION("""COMPUTED_VALUE"""),"WR SERIES 718 PH")</f>
        <v>WR SERIES 718 PH</v>
      </c>
      <c r="T329" s="2" t="str">
        <f>IFERROR(__xludf.DUMMYFUNCTION("""COMPUTED_VALUE"""),"LSGW1750 RMP 24020434")</f>
        <v>LSGW1750 RMP 24020434</v>
      </c>
      <c r="U329" s="2" t="str">
        <f>IFERROR(__xludf.DUMMYFUNCTION("""COMPUTED_VALUE"""),"WDP40 RMP 24030383")</f>
        <v>WDP40 RMP 24030383</v>
      </c>
      <c r="V329" s="2"/>
      <c r="W329" s="2" t="str">
        <f>IFERROR(__xludf.DUMMYFUNCTION("""COMPUTED_VALUE"""),"VL103D")</f>
        <v>VL103D</v>
      </c>
      <c r="X329" s="2"/>
      <c r="Y329" s="2"/>
      <c r="Z329" s="2"/>
      <c r="AA329" s="2"/>
      <c r="AB329" s="2"/>
    </row>
    <row r="330">
      <c r="A330" s="2" t="str">
        <f>IFERROR(__xludf.DUMMYFUNCTION("""COMPUTED_VALUE"""),"TT00328")</f>
        <v>TT00328</v>
      </c>
      <c r="B330" s="2" t="str">
        <f>IFERROR(__xludf.DUMMYFUNCTION("""COMPUTED_VALUE"""),"Completed")</f>
        <v>Completed</v>
      </c>
      <c r="C330" s="2" t="str">
        <f>IFERROR(__xludf.DUMMYFUNCTION("""COMPUTED_VALUE"""),"FOR BILLING L2")</f>
        <v>FOR BILLING L2</v>
      </c>
      <c r="D330" s="2" t="str">
        <f>IFERROR(__xludf.DUMMYFUNCTION("""COMPUTED_VALUE"""),"Nangalisan Multi Purpose Cooperative Inc.")</f>
        <v>Nangalisan Multi Purpose Cooperative Inc.</v>
      </c>
      <c r="E330" s="2" t="str">
        <f>IFERROR(__xludf.DUMMYFUNCTION("""COMPUTED_VALUE"""),"Nangalisan, Bacnotan, LA UNION")</f>
        <v>Nangalisan, Bacnotan, LA UNION</v>
      </c>
      <c r="F330" s="2" t="str">
        <f>IFERROR(__xludf.DUMMYFUNCTION("""COMPUTED_VALUE"""),"Rogelio R. Rinon")</f>
        <v>Rogelio R. Rinon</v>
      </c>
      <c r="G330" s="2" t="str">
        <f>IFERROR(__xludf.DUMMYFUNCTION("""COMPUTED_VALUE"""),"0910-977-9348")</f>
        <v>0910-977-9348</v>
      </c>
      <c r="H330" s="2"/>
      <c r="I330" s="2"/>
      <c r="J330" s="2"/>
      <c r="K330" s="2" t="str">
        <f>IFERROR(__xludf.DUMMYFUNCTION("""COMPUTED_VALUE"""),"RCEF 23-09-21 Rebidding")</f>
        <v>RCEF 23-09-21 Rebidding</v>
      </c>
      <c r="L330" s="2">
        <f>IFERROR(__xludf.DUMMYFUNCTION("""COMPUTED_VALUE"""),2.0)</f>
        <v>2</v>
      </c>
      <c r="M330" s="2"/>
      <c r="N330" s="74">
        <f>IFERROR(__xludf.DUMMYFUNCTION("""COMPUTED_VALUE"""),45398.0)</f>
        <v>45398</v>
      </c>
      <c r="O330" s="74">
        <f>IFERROR(__xludf.DUMMYFUNCTION("""COMPUTED_VALUE"""),45407.0)</f>
        <v>45407</v>
      </c>
      <c r="P330" s="2">
        <f>IFERROR(__xludf.DUMMYFUNCTION("""COMPUTED_VALUE"""),18970.0)</f>
        <v>18970</v>
      </c>
      <c r="Q330" s="2" t="str">
        <f>IFERROR(__xludf.DUMMYFUNCTION("""COMPUTED_VALUE"""),"KMC5825 AJRFPV0066")</f>
        <v>KMC5825 AJRFPV0066</v>
      </c>
      <c r="R330" s="2" t="str">
        <f>IFERROR(__xludf.DUMMYFUNCTION("""COMPUTED_VALUE"""),"PTS 100276")</f>
        <v>PTS 100276</v>
      </c>
      <c r="S330" s="2" t="str">
        <f>IFERROR(__xludf.DUMMYFUNCTION("""COMPUTED_VALUE"""),"WR SERIES 706 PH")</f>
        <v>WR SERIES 706 PH</v>
      </c>
      <c r="T330" s="2" t="str">
        <f>IFERROR(__xludf.DUMMYFUNCTION("""COMPUTED_VALUE"""),"LSGW1750 RMP 24020438")</f>
        <v>LSGW1750 RMP 24020438</v>
      </c>
      <c r="U330" s="2" t="str">
        <f>IFERROR(__xludf.DUMMYFUNCTION("""COMPUTED_VALUE"""),"WDP40 RMP 24030378")</f>
        <v>WDP40 RMP 24030378</v>
      </c>
      <c r="V330" s="2"/>
      <c r="W330" s="2" t="str">
        <f>IFERROR(__xludf.DUMMYFUNCTION("""COMPUTED_VALUE"""),"VL103D")</f>
        <v>VL103D</v>
      </c>
      <c r="X330" s="2"/>
      <c r="Y330" s="2"/>
      <c r="Z330" s="2"/>
      <c r="AA330" s="2"/>
      <c r="AB330" s="2"/>
    </row>
    <row r="331">
      <c r="A331" s="2" t="str">
        <f>IFERROR(__xludf.DUMMYFUNCTION("""COMPUTED_VALUE"""),"TT00329")</f>
        <v>TT00329</v>
      </c>
      <c r="B331" s="2" t="str">
        <f>IFERROR(__xludf.DUMMYFUNCTION("""COMPUTED_VALUE"""),"Completed")</f>
        <v>Completed</v>
      </c>
      <c r="C331" s="2" t="str">
        <f>IFERROR(__xludf.DUMMYFUNCTION("""COMPUTED_VALUE"""),"FOR BILLING L2")</f>
        <v>FOR BILLING L2</v>
      </c>
      <c r="D331" s="2" t="str">
        <f>IFERROR(__xludf.DUMMYFUNCTION("""COMPUTED_VALUE"""),"Pagbennecan Agriculture and Fisheries Association (PAFA)")</f>
        <v>Pagbennecan Agriculture and Fisheries Association (PAFA)</v>
      </c>
      <c r="E331" s="2" t="str">
        <f>IFERROR(__xludf.DUMMYFUNCTION("""COMPUTED_VALUE"""),"Pagbennecan, Balaoan, LA UNION")</f>
        <v>Pagbennecan, Balaoan, LA UNION</v>
      </c>
      <c r="F331" s="2" t="str">
        <f>IFERROR(__xludf.DUMMYFUNCTION("""COMPUTED_VALUE"""),"Joseph O. Tuvera")</f>
        <v>Joseph O. Tuvera</v>
      </c>
      <c r="G331" s="2" t="str">
        <f>IFERROR(__xludf.DUMMYFUNCTION("""COMPUTED_VALUE"""),"0910-945-5465/0945-530-8979")</f>
        <v>0910-945-5465/0945-530-8979</v>
      </c>
      <c r="H331" s="2"/>
      <c r="I331" s="2"/>
      <c r="J331" s="2"/>
      <c r="K331" s="2" t="str">
        <f>IFERROR(__xludf.DUMMYFUNCTION("""COMPUTED_VALUE"""),"RCEF 23-09-21 Rebidding")</f>
        <v>RCEF 23-09-21 Rebidding</v>
      </c>
      <c r="L331" s="2" t="str">
        <f>IFERROR(__xludf.DUMMYFUNCTION("""COMPUTED_VALUE"""),"#N/A")</f>
        <v>#N/A</v>
      </c>
      <c r="M331" s="2"/>
      <c r="N331" s="74">
        <f>IFERROR(__xludf.DUMMYFUNCTION("""COMPUTED_VALUE"""),45398.0)</f>
        <v>45398</v>
      </c>
      <c r="O331" s="2"/>
      <c r="P331" s="2">
        <f>IFERROR(__xludf.DUMMYFUNCTION("""COMPUTED_VALUE"""),18971.0)</f>
        <v>18971</v>
      </c>
      <c r="Q331" s="2" t="str">
        <f>IFERROR(__xludf.DUMMYFUNCTION("""COMPUTED_VALUE"""),"KMC5825 APRFPV0310")</f>
        <v>KMC5825 APRFPV0310</v>
      </c>
      <c r="R331" s="2" t="str">
        <f>IFERROR(__xludf.DUMMYFUNCTION("""COMPUTED_VALUE"""),"RTS 100196")</f>
        <v>RTS 100196</v>
      </c>
      <c r="S331" s="2" t="str">
        <f>IFERROR(__xludf.DUMMYFUNCTION("""COMPUTED_VALUE"""),"WR SERIES 702 PH")</f>
        <v>WR SERIES 702 PH</v>
      </c>
      <c r="T331" s="2" t="str">
        <f>IFERROR(__xludf.DUMMYFUNCTION("""COMPUTED_VALUE"""),"LSGW1750 RMP 24020470")</f>
        <v>LSGW1750 RMP 24020470</v>
      </c>
      <c r="U331" s="2" t="str">
        <f>IFERROR(__xludf.DUMMYFUNCTION("""COMPUTED_VALUE"""),"WDP40 RMP 24030386")</f>
        <v>WDP40 RMP 24030386</v>
      </c>
      <c r="V331" s="2"/>
      <c r="W331" s="2" t="str">
        <f>IFERROR(__xludf.DUMMYFUNCTION("""COMPUTED_VALUE"""),"VL103D")</f>
        <v>VL103D</v>
      </c>
      <c r="X331" s="2"/>
      <c r="Y331" s="2"/>
      <c r="Z331" s="2"/>
      <c r="AA331" s="2"/>
      <c r="AB331" s="2"/>
    </row>
    <row r="332">
      <c r="A332" s="2" t="str">
        <f>IFERROR(__xludf.DUMMYFUNCTION("""COMPUTED_VALUE"""),"TT00330")</f>
        <v>TT00330</v>
      </c>
      <c r="B332" s="2" t="str">
        <f>IFERROR(__xludf.DUMMYFUNCTION("""COMPUTED_VALUE"""),"Completed")</f>
        <v>Completed</v>
      </c>
      <c r="C332" s="2" t="str">
        <f>IFERROR(__xludf.DUMMYFUNCTION("""COMPUTED_VALUE"""),"FOR BILLING L2")</f>
        <v>FOR BILLING L2</v>
      </c>
      <c r="D332" s="2" t="str">
        <f>IFERROR(__xludf.DUMMYFUNCTION("""COMPUTED_VALUE"""),"SINAPANGAN FARMERS IRRIGATORS ASSOCIATION OF BALAOAN, LA UNION, INC.")</f>
        <v>SINAPANGAN FARMERS IRRIGATORS ASSOCIATION OF BALAOAN, LA UNION, INC.</v>
      </c>
      <c r="E332" s="2" t="str">
        <f>IFERROR(__xludf.DUMMYFUNCTION("""COMPUTED_VALUE"""),"Sinapangan Norte, Balaoan, LA UNION")</f>
        <v>Sinapangan Norte, Balaoan, LA UNION</v>
      </c>
      <c r="F332" s="2" t="str">
        <f>IFERROR(__xludf.DUMMYFUNCTION("""COMPUTED_VALUE"""),"Menardo O. Ordinario")</f>
        <v>Menardo O. Ordinario</v>
      </c>
      <c r="G332" s="2">
        <f>IFERROR(__xludf.DUMMYFUNCTION("""COMPUTED_VALUE"""),9.359992556E9)</f>
        <v>9359992556</v>
      </c>
      <c r="H332" s="2"/>
      <c r="I332" s="2"/>
      <c r="J332" s="2"/>
      <c r="K332" s="2" t="str">
        <f>IFERROR(__xludf.DUMMYFUNCTION("""COMPUTED_VALUE"""),"RCEF 23-09-21 Rebidding")</f>
        <v>RCEF 23-09-21 Rebidding</v>
      </c>
      <c r="L332" s="2">
        <f>IFERROR(__xludf.DUMMYFUNCTION("""COMPUTED_VALUE"""),2.0)</f>
        <v>2</v>
      </c>
      <c r="M332" s="2"/>
      <c r="N332" s="74">
        <f>IFERROR(__xludf.DUMMYFUNCTION("""COMPUTED_VALUE"""),45398.0)</f>
        <v>45398</v>
      </c>
      <c r="O332" s="74">
        <f>IFERROR(__xludf.DUMMYFUNCTION("""COMPUTED_VALUE"""),45407.0)</f>
        <v>45407</v>
      </c>
      <c r="P332" s="2">
        <f>IFERROR(__xludf.DUMMYFUNCTION("""COMPUTED_VALUE"""),18972.0)</f>
        <v>18972</v>
      </c>
      <c r="Q332" s="2" t="str">
        <f>IFERROR(__xludf.DUMMYFUNCTION("""COMPUTED_VALUE"""),"KMC5825 AKRFPV0311")</f>
        <v>KMC5825 AKRFPV0311</v>
      </c>
      <c r="R332" s="2" t="str">
        <f>IFERROR(__xludf.DUMMYFUNCTION("""COMPUTED_VALUE"""),"PTS 100192")</f>
        <v>PTS 100192</v>
      </c>
      <c r="S332" s="2" t="str">
        <f>IFERROR(__xludf.DUMMYFUNCTION("""COMPUTED_VALUE"""),"WR SERIES 705 PH")</f>
        <v>WR SERIES 705 PH</v>
      </c>
      <c r="T332" s="2" t="str">
        <f>IFERROR(__xludf.DUMMYFUNCTION("""COMPUTED_VALUE"""),"LSGW1750 RMP 24020439")</f>
        <v>LSGW1750 RMP 24020439</v>
      </c>
      <c r="U332" s="2" t="str">
        <f>IFERROR(__xludf.DUMMYFUNCTION("""COMPUTED_VALUE"""),"WDP40 RMP 24030384")</f>
        <v>WDP40 RMP 24030384</v>
      </c>
      <c r="V332" s="2"/>
      <c r="W332" s="2" t="str">
        <f>IFERROR(__xludf.DUMMYFUNCTION("""COMPUTED_VALUE"""),"VL103D")</f>
        <v>VL103D</v>
      </c>
      <c r="X332" s="2"/>
      <c r="Y332" s="2"/>
      <c r="Z332" s="2"/>
      <c r="AA332" s="2"/>
      <c r="AB332" s="2"/>
    </row>
    <row r="333">
      <c r="A333" s="2" t="str">
        <f>IFERROR(__xludf.DUMMYFUNCTION("""COMPUTED_VALUE"""),"TT00331")</f>
        <v>TT00331</v>
      </c>
      <c r="B333" s="2" t="str">
        <f>IFERROR(__xludf.DUMMYFUNCTION("""COMPUTED_VALUE"""),"Completed")</f>
        <v>Completed</v>
      </c>
      <c r="C333" s="2" t="str">
        <f>IFERROR(__xludf.DUMMYFUNCTION("""COMPUTED_VALUE"""),"FOR BILLING L2")</f>
        <v>FOR BILLING L2</v>
      </c>
      <c r="D333" s="2" t="str">
        <f>IFERROR(__xludf.DUMMYFUNCTION("""COMPUTED_VALUE"""),"LUZONG NORTE TOBACCO AND RICE FARMERS ASSOCIATION INC.")</f>
        <v>LUZONG NORTE TOBACCO AND RICE FARMERS ASSOCIATION INC.</v>
      </c>
      <c r="E333" s="2" t="str">
        <f>IFERROR(__xludf.DUMMYFUNCTION("""COMPUTED_VALUE"""),"Luzong Norte, Bangar, LA UNION")</f>
        <v>Luzong Norte, Bangar, LA UNION</v>
      </c>
      <c r="F333" s="2" t="str">
        <f>IFERROR(__xludf.DUMMYFUNCTION("""COMPUTED_VALUE"""),"Silvestre M. Merin Jr.")</f>
        <v>Silvestre M. Merin Jr.</v>
      </c>
      <c r="G333" s="2" t="str">
        <f>IFERROR(__xludf.DUMMYFUNCTION("""COMPUTED_VALUE"""),"0930-815-8489")</f>
        <v>0930-815-8489</v>
      </c>
      <c r="H333" s="2"/>
      <c r="I333" s="2"/>
      <c r="J333" s="2"/>
      <c r="K333" s="2" t="str">
        <f>IFERROR(__xludf.DUMMYFUNCTION("""COMPUTED_VALUE"""),"RCEF 23-09-21 Rebidding")</f>
        <v>RCEF 23-09-21 Rebidding</v>
      </c>
      <c r="L333" s="2">
        <f>IFERROR(__xludf.DUMMYFUNCTION("""COMPUTED_VALUE"""),2.0)</f>
        <v>2</v>
      </c>
      <c r="M333" s="2"/>
      <c r="N333" s="74">
        <f>IFERROR(__xludf.DUMMYFUNCTION("""COMPUTED_VALUE"""),45398.0)</f>
        <v>45398</v>
      </c>
      <c r="O333" s="2"/>
      <c r="P333" s="2">
        <f>IFERROR(__xludf.DUMMYFUNCTION("""COMPUTED_VALUE"""),18973.0)</f>
        <v>18973</v>
      </c>
      <c r="Q333" s="2" t="str">
        <f>IFERROR(__xludf.DUMMYFUNCTION("""COMPUTED_VALUE"""),"KMC5825 ACRFPV0280")</f>
        <v>KMC5825 ACRFPV0280</v>
      </c>
      <c r="R333" s="2" t="str">
        <f>IFERROR(__xludf.DUMMYFUNCTION("""COMPUTED_VALUE"""),"RTS 100032")</f>
        <v>RTS 100032</v>
      </c>
      <c r="S333" s="2" t="str">
        <f>IFERROR(__xludf.DUMMYFUNCTION("""COMPUTED_VALUE"""),"WR SERIES 717 PH")</f>
        <v>WR SERIES 717 PH</v>
      </c>
      <c r="T333" s="2" t="str">
        <f>IFERROR(__xludf.DUMMYFUNCTION("""COMPUTED_VALUE"""),"LSGW1750 RMP 24020463")</f>
        <v>LSGW1750 RMP 24020463</v>
      </c>
      <c r="U333" s="2" t="str">
        <f>IFERROR(__xludf.DUMMYFUNCTION("""COMPUTED_VALUE"""),"WDP40 RMP 24030347")</f>
        <v>WDP40 RMP 24030347</v>
      </c>
      <c r="V333" s="2"/>
      <c r="W333" s="2" t="str">
        <f>IFERROR(__xludf.DUMMYFUNCTION("""COMPUTED_VALUE"""),"VL103D")</f>
        <v>VL103D</v>
      </c>
      <c r="X333" s="2"/>
      <c r="Y333" s="2"/>
      <c r="Z333" s="2"/>
      <c r="AA333" s="2"/>
      <c r="AB333" s="2"/>
    </row>
    <row r="334">
      <c r="A334" s="2" t="str">
        <f>IFERROR(__xludf.DUMMYFUNCTION("""COMPUTED_VALUE"""),"TT00332")</f>
        <v>TT00332</v>
      </c>
      <c r="B334" s="2" t="str">
        <f>IFERROR(__xludf.DUMMYFUNCTION("""COMPUTED_VALUE"""),"Completed")</f>
        <v>Completed</v>
      </c>
      <c r="C334" s="2" t="str">
        <f>IFERROR(__xludf.DUMMYFUNCTION("""COMPUTED_VALUE"""),"FOR BILLING L2")</f>
        <v>FOR BILLING L2</v>
      </c>
      <c r="D334" s="2" t="str">
        <f>IFERROR(__xludf.DUMMYFUNCTION("""COMPUTED_VALUE"""),"BARANGAY BUSELBUSEL FARMERS ASSOCIATION INC.")</f>
        <v>BARANGAY BUSELBUSEL FARMERS ASSOCIATION INC.</v>
      </c>
      <c r="E334" s="2" t="str">
        <f>IFERROR(__xludf.DUMMYFUNCTION("""COMPUTED_VALUE"""),"Buselbusel, Luna, LA UNION")</f>
        <v>Buselbusel, Luna, LA UNION</v>
      </c>
      <c r="F334" s="2" t="str">
        <f>IFERROR(__xludf.DUMMYFUNCTION("""COMPUTED_VALUE"""),"Jaime N. Napeñas")</f>
        <v>Jaime N. Napeñas</v>
      </c>
      <c r="G334" s="2" t="str">
        <f>IFERROR(__xludf.DUMMYFUNCTION("""COMPUTED_VALUE"""),"0912-936-8814")</f>
        <v>0912-936-8814</v>
      </c>
      <c r="H334" s="2"/>
      <c r="I334" s="2"/>
      <c r="J334" s="2"/>
      <c r="K334" s="2" t="str">
        <f>IFERROR(__xludf.DUMMYFUNCTION("""COMPUTED_VALUE"""),"RCEF 23-09-21 Rebidding")</f>
        <v>RCEF 23-09-21 Rebidding</v>
      </c>
      <c r="L334" s="2">
        <f>IFERROR(__xludf.DUMMYFUNCTION("""COMPUTED_VALUE"""),2.0)</f>
        <v>2</v>
      </c>
      <c r="M334" s="2"/>
      <c r="N334" s="74">
        <f>IFERROR(__xludf.DUMMYFUNCTION("""COMPUTED_VALUE"""),45398.0)</f>
        <v>45398</v>
      </c>
      <c r="O334" s="74">
        <f>IFERROR(__xludf.DUMMYFUNCTION("""COMPUTED_VALUE"""),45407.0)</f>
        <v>45407</v>
      </c>
      <c r="P334" s="2">
        <f>IFERROR(__xludf.DUMMYFUNCTION("""COMPUTED_VALUE"""),18974.0)</f>
        <v>18974</v>
      </c>
      <c r="Q334" s="2" t="str">
        <f>IFERROR(__xludf.DUMMYFUNCTION("""COMPUTED_VALUE"""),"KMC5825 ALRFPV0235")</f>
        <v>KMC5825 ALRFPV0235</v>
      </c>
      <c r="R334" s="2" t="str">
        <f>IFERROR(__xludf.DUMMYFUNCTION("""COMPUTED_VALUE"""),"RTS 100087")</f>
        <v>RTS 100087</v>
      </c>
      <c r="S334" s="2" t="str">
        <f>IFERROR(__xludf.DUMMYFUNCTION("""COMPUTED_VALUE"""),"WR SERIES 704 PH")</f>
        <v>WR SERIES 704 PH</v>
      </c>
      <c r="T334" s="2" t="str">
        <f>IFERROR(__xludf.DUMMYFUNCTION("""COMPUTED_VALUE"""),"LSGW1750 RMP 24020468")</f>
        <v>LSGW1750 RMP 24020468</v>
      </c>
      <c r="U334" s="2" t="str">
        <f>IFERROR(__xludf.DUMMYFUNCTION("""COMPUTED_VALUE"""),"WDP40 RMP 24030389")</f>
        <v>WDP40 RMP 24030389</v>
      </c>
      <c r="V334" s="2"/>
      <c r="W334" s="2" t="str">
        <f>IFERROR(__xludf.DUMMYFUNCTION("""COMPUTED_VALUE"""),"VL103D")</f>
        <v>VL103D</v>
      </c>
      <c r="X334" s="2"/>
      <c r="Y334" s="2"/>
      <c r="Z334" s="2"/>
      <c r="AA334" s="2"/>
      <c r="AB334" s="2"/>
    </row>
    <row r="335">
      <c r="A335" s="2" t="str">
        <f>IFERROR(__xludf.DUMMYFUNCTION("""COMPUTED_VALUE"""),"TT00333")</f>
        <v>TT00333</v>
      </c>
      <c r="B335" s="2" t="str">
        <f>IFERROR(__xludf.DUMMYFUNCTION("""COMPUTED_VALUE"""),"Completed")</f>
        <v>Completed</v>
      </c>
      <c r="C335" s="2" t="str">
        <f>IFERROR(__xludf.DUMMYFUNCTION("""COMPUTED_VALUE"""),"FOR BILLING L2")</f>
        <v>FOR BILLING L2</v>
      </c>
      <c r="D335" s="2" t="str">
        <f>IFERROR(__xludf.DUMMYFUNCTION("""COMPUTED_VALUE"""),"BANCAGAN NAGUILIAN IRRIGATORS ASOCIATION INC.")</f>
        <v>BANCAGAN NAGUILIAN IRRIGATORS ASOCIATION INC.</v>
      </c>
      <c r="E335" s="2" t="str">
        <f>IFERROR(__xludf.DUMMYFUNCTION("""COMPUTED_VALUE"""),"Bancagan, Naguilian, LA UNION")</f>
        <v>Bancagan, Naguilian, LA UNION</v>
      </c>
      <c r="F335" s="2" t="str">
        <f>IFERROR(__xludf.DUMMYFUNCTION("""COMPUTED_VALUE"""),"Edgar G. Espinueva")</f>
        <v>Edgar G. Espinueva</v>
      </c>
      <c r="G335" s="2" t="str">
        <f>IFERROR(__xludf.DUMMYFUNCTION("""COMPUTED_VALUE"""),"0905-590-2082")</f>
        <v>0905-590-2082</v>
      </c>
      <c r="H335" s="2"/>
      <c r="I335" s="2"/>
      <c r="J335" s="2"/>
      <c r="K335" s="2" t="str">
        <f>IFERROR(__xludf.DUMMYFUNCTION("""COMPUTED_VALUE"""),"RCEF 23-09-21 Rebidding")</f>
        <v>RCEF 23-09-21 Rebidding</v>
      </c>
      <c r="L335" s="2">
        <f>IFERROR(__xludf.DUMMYFUNCTION("""COMPUTED_VALUE"""),2.0)</f>
        <v>2</v>
      </c>
      <c r="M335" s="2"/>
      <c r="N335" s="74">
        <f>IFERROR(__xludf.DUMMYFUNCTION("""COMPUTED_VALUE"""),45398.0)</f>
        <v>45398</v>
      </c>
      <c r="O335" s="74">
        <f>IFERROR(__xludf.DUMMYFUNCTION("""COMPUTED_VALUE"""),45407.0)</f>
        <v>45407</v>
      </c>
      <c r="P335" s="2">
        <f>IFERROR(__xludf.DUMMYFUNCTION("""COMPUTED_VALUE"""),18975.0)</f>
        <v>18975</v>
      </c>
      <c r="Q335" s="2" t="str">
        <f>IFERROR(__xludf.DUMMYFUNCTION("""COMPUTED_VALUE"""),"KMC5825 AVRFPV0135")</f>
        <v>KMC5825 AVRFPV0135</v>
      </c>
      <c r="R335" s="2" t="str">
        <f>IFERROR(__xludf.DUMMYFUNCTION("""COMPUTED_VALUE"""),"RTS 100218")</f>
        <v>RTS 100218</v>
      </c>
      <c r="S335" s="2" t="str">
        <f>IFERROR(__xludf.DUMMYFUNCTION("""COMPUTED_VALUE"""),"WR SERIES 701 PH")</f>
        <v>WR SERIES 701 PH</v>
      </c>
      <c r="T335" s="2" t="str">
        <f>IFERROR(__xludf.DUMMYFUNCTION("""COMPUTED_VALUE"""),"LSGW1750 RMP 24010211")</f>
        <v>LSGW1750 RMP 24010211</v>
      </c>
      <c r="U335" s="2" t="str">
        <f>IFERROR(__xludf.DUMMYFUNCTION("""COMPUTED_VALUE"""),"WDP40 RMP 24030381")</f>
        <v>WDP40 RMP 24030381</v>
      </c>
      <c r="V335" s="2"/>
      <c r="W335" s="2" t="str">
        <f>IFERROR(__xludf.DUMMYFUNCTION("""COMPUTED_VALUE"""),"VL103D")</f>
        <v>VL103D</v>
      </c>
      <c r="X335" s="2"/>
      <c r="Y335" s="2"/>
      <c r="Z335" s="2"/>
      <c r="AA335" s="2"/>
      <c r="AB335" s="2"/>
    </row>
    <row r="336">
      <c r="A336" s="2" t="str">
        <f>IFERROR(__xludf.DUMMYFUNCTION("""COMPUTED_VALUE"""),"TT00334")</f>
        <v>TT00334</v>
      </c>
      <c r="B336" s="2" t="str">
        <f>IFERROR(__xludf.DUMMYFUNCTION("""COMPUTED_VALUE"""),"Completed")</f>
        <v>Completed</v>
      </c>
      <c r="C336" s="2" t="str">
        <f>IFERROR(__xludf.DUMMYFUNCTION("""COMPUTED_VALUE"""),"FOR BILLING L2")</f>
        <v>FOR BILLING L2</v>
      </c>
      <c r="D336" s="2" t="str">
        <f>IFERROR(__xludf.DUMMYFUNCTION("""COMPUTED_VALUE"""),"CARUNOAN WEST ROSARIO LA UNION IRRIGATORS ASSOCIATION INC.")</f>
        <v>CARUNOAN WEST ROSARIO LA UNION IRRIGATORS ASSOCIATION INC.</v>
      </c>
      <c r="E336" s="2" t="str">
        <f>IFERROR(__xludf.DUMMYFUNCTION("""COMPUTED_VALUE"""),"Carunuan West, Rosario, LA UNION")</f>
        <v>Carunuan West, Rosario, LA UNION</v>
      </c>
      <c r="F336" s="2" t="str">
        <f>IFERROR(__xludf.DUMMYFUNCTION("""COMPUTED_VALUE"""),"Gregorio M. Laron")</f>
        <v>Gregorio M. Laron</v>
      </c>
      <c r="G336" s="2" t="str">
        <f>IFERROR(__xludf.DUMMYFUNCTION("""COMPUTED_VALUE"""),"0938-146-4570")</f>
        <v>0938-146-4570</v>
      </c>
      <c r="H336" s="2"/>
      <c r="I336" s="2"/>
      <c r="J336" s="2"/>
      <c r="K336" s="2" t="str">
        <f>IFERROR(__xludf.DUMMYFUNCTION("""COMPUTED_VALUE"""),"RCEF 23-09-21 Rebidding")</f>
        <v>RCEF 23-09-21 Rebidding</v>
      </c>
      <c r="L336" s="2">
        <f>IFERROR(__xludf.DUMMYFUNCTION("""COMPUTED_VALUE"""),2.0)</f>
        <v>2</v>
      </c>
      <c r="M336" s="2"/>
      <c r="N336" s="74">
        <f>IFERROR(__xludf.DUMMYFUNCTION("""COMPUTED_VALUE"""),45398.0)</f>
        <v>45398</v>
      </c>
      <c r="O336" s="74">
        <f>IFERROR(__xludf.DUMMYFUNCTION("""COMPUTED_VALUE"""),45407.0)</f>
        <v>45407</v>
      </c>
      <c r="P336" s="2">
        <f>IFERROR(__xludf.DUMMYFUNCTION("""COMPUTED_VALUE"""),18976.0)</f>
        <v>18976</v>
      </c>
      <c r="Q336" s="2" t="str">
        <f>IFERROR(__xludf.DUMMYFUNCTION("""COMPUTED_VALUE"""),"KMC5825 AKRFPV0244")</f>
        <v>KMC5825 AKRFPV0244</v>
      </c>
      <c r="R336" s="2" t="str">
        <f>IFERROR(__xludf.DUMMYFUNCTION("""COMPUTED_VALUE"""),"RTS 100128")</f>
        <v>RTS 100128</v>
      </c>
      <c r="S336" s="2" t="str">
        <f>IFERROR(__xludf.DUMMYFUNCTION("""COMPUTED_VALUE"""),"WR SERIES 726 PH")</f>
        <v>WR SERIES 726 PH</v>
      </c>
      <c r="T336" s="2" t="str">
        <f>IFERROR(__xludf.DUMMYFUNCTION("""COMPUTED_VALUE"""),"LSGW1750 RMP 24010213")</f>
        <v>LSGW1750 RMP 24010213</v>
      </c>
      <c r="U336" s="2" t="str">
        <f>IFERROR(__xludf.DUMMYFUNCTION("""COMPUTED_VALUE"""),"WDP40 RMP 24030888")</f>
        <v>WDP40 RMP 24030888</v>
      </c>
      <c r="V336" s="2"/>
      <c r="W336" s="2" t="str">
        <f>IFERROR(__xludf.DUMMYFUNCTION("""COMPUTED_VALUE"""),"VL103D")</f>
        <v>VL103D</v>
      </c>
      <c r="X336" s="2"/>
      <c r="Y336" s="2"/>
      <c r="Z336" s="2"/>
      <c r="AA336" s="2"/>
      <c r="AB336" s="2"/>
    </row>
    <row r="337">
      <c r="A337" s="2" t="str">
        <f>IFERROR(__xludf.DUMMYFUNCTION("""COMPUTED_VALUE"""),"TT00335")</f>
        <v>TT00335</v>
      </c>
      <c r="B337" s="2" t="str">
        <f>IFERROR(__xludf.DUMMYFUNCTION("""COMPUTED_VALUE"""),"Completed")</f>
        <v>Completed</v>
      </c>
      <c r="C337" s="2" t="str">
        <f>IFERROR(__xludf.DUMMYFUNCTION("""COMPUTED_VALUE"""),"FOR BILLING L2")</f>
        <v>FOR BILLING L2</v>
      </c>
      <c r="D337" s="2" t="str">
        <f>IFERROR(__xludf.DUMMYFUNCTION("""COMPUTED_VALUE"""),"SWISA VILA ROSARIO LA UNION INC.")</f>
        <v>SWISA VILA ROSARIO LA UNION INC.</v>
      </c>
      <c r="E337" s="2" t="str">
        <f>IFERROR(__xludf.DUMMYFUNCTION("""COMPUTED_VALUE"""),"Vila, Rosario, LA UNION")</f>
        <v>Vila, Rosario, LA UNION</v>
      </c>
      <c r="F337" s="2" t="str">
        <f>IFERROR(__xludf.DUMMYFUNCTION("""COMPUTED_VALUE"""),"Mario A. Paneda")</f>
        <v>Mario A. Paneda</v>
      </c>
      <c r="G337" s="2" t="str">
        <f>IFERROR(__xludf.DUMMYFUNCTION("""COMPUTED_VALUE"""),"0909-114-8840")</f>
        <v>0909-114-8840</v>
      </c>
      <c r="H337" s="2"/>
      <c r="I337" s="2"/>
      <c r="J337" s="2"/>
      <c r="K337" s="2" t="str">
        <f>IFERROR(__xludf.DUMMYFUNCTION("""COMPUTED_VALUE"""),"RCEF 23-09-21 Rebidding")</f>
        <v>RCEF 23-09-21 Rebidding</v>
      </c>
      <c r="L337" s="2">
        <f>IFERROR(__xludf.DUMMYFUNCTION("""COMPUTED_VALUE"""),2.0)</f>
        <v>2</v>
      </c>
      <c r="M337" s="2"/>
      <c r="N337" s="74">
        <f>IFERROR(__xludf.DUMMYFUNCTION("""COMPUTED_VALUE"""),45398.0)</f>
        <v>45398</v>
      </c>
      <c r="O337" s="74">
        <f>IFERROR(__xludf.DUMMYFUNCTION("""COMPUTED_VALUE"""),45407.0)</f>
        <v>45407</v>
      </c>
      <c r="P337" s="2">
        <f>IFERROR(__xludf.DUMMYFUNCTION("""COMPUTED_VALUE"""),18977.0)</f>
        <v>18977</v>
      </c>
      <c r="Q337" s="2" t="str">
        <f>IFERROR(__xludf.DUMMYFUNCTION("""COMPUTED_VALUE"""),"KMC5825 ACRFPV0238")</f>
        <v>KMC5825 ACRFPV0238</v>
      </c>
      <c r="R337" s="2" t="str">
        <f>IFERROR(__xludf.DUMMYFUNCTION("""COMPUTED_VALUE"""),"RTS 100086")</f>
        <v>RTS 100086</v>
      </c>
      <c r="S337" s="2" t="str">
        <f>IFERROR(__xludf.DUMMYFUNCTION("""COMPUTED_VALUE"""),"WR SERIES 707 PH")</f>
        <v>WR SERIES 707 PH</v>
      </c>
      <c r="T337" s="2" t="str">
        <f>IFERROR(__xludf.DUMMYFUNCTION("""COMPUTED_VALUE"""),"LSGW1750 RMP 24020465")</f>
        <v>LSGW1750 RMP 24020465</v>
      </c>
      <c r="U337" s="2" t="str">
        <f>IFERROR(__xludf.DUMMYFUNCTION("""COMPUTED_VALUE"""),"WDP40 RMP 24030392")</f>
        <v>WDP40 RMP 24030392</v>
      </c>
      <c r="V337" s="2"/>
      <c r="W337" s="2" t="str">
        <f>IFERROR(__xludf.DUMMYFUNCTION("""COMPUTED_VALUE"""),"VL103D")</f>
        <v>VL103D</v>
      </c>
      <c r="X337" s="2"/>
      <c r="Y337" s="2"/>
      <c r="Z337" s="2"/>
      <c r="AA337" s="2"/>
      <c r="AB337" s="2"/>
    </row>
    <row r="338">
      <c r="A338" s="2" t="str">
        <f>IFERROR(__xludf.DUMMYFUNCTION("""COMPUTED_VALUE"""),"TT00336")</f>
        <v>TT00336</v>
      </c>
      <c r="B338" s="2" t="str">
        <f>IFERROR(__xludf.DUMMYFUNCTION("""COMPUTED_VALUE"""),"Completed")</f>
        <v>Completed</v>
      </c>
      <c r="C338" s="2" t="str">
        <f>IFERROR(__xludf.DUMMYFUNCTION("""COMPUTED_VALUE"""),"FOR BILLING L2")</f>
        <v>FOR BILLING L2</v>
      </c>
      <c r="D338" s="2" t="str">
        <f>IFERROR(__xludf.DUMMYFUNCTION("""COMPUTED_VALUE"""),"Anduyan Multipurpose Cooperative")</f>
        <v>Anduyan Multipurpose Cooperative</v>
      </c>
      <c r="E338" s="2" t="str">
        <f>IFERROR(__xludf.DUMMYFUNCTION("""COMPUTED_VALUE"""),"Anduyan, Tubao, LA UNION")</f>
        <v>Anduyan, Tubao, LA UNION</v>
      </c>
      <c r="F338" s="2" t="str">
        <f>IFERROR(__xludf.DUMMYFUNCTION("""COMPUTED_VALUE"""),"Gina L. Boac")</f>
        <v>Gina L. Boac</v>
      </c>
      <c r="G338" s="2" t="str">
        <f>IFERROR(__xludf.DUMMYFUNCTION("""COMPUTED_VALUE"""),"0912-712-5735 / 0918-269-2147")</f>
        <v>0912-712-5735 / 0918-269-2147</v>
      </c>
      <c r="H338" s="2"/>
      <c r="I338" s="2"/>
      <c r="J338" s="2"/>
      <c r="K338" s="2" t="str">
        <f>IFERROR(__xludf.DUMMYFUNCTION("""COMPUTED_VALUE"""),"RCEF 23-09-21 Rebidding")</f>
        <v>RCEF 23-09-21 Rebidding</v>
      </c>
      <c r="L338" s="2">
        <f>IFERROR(__xludf.DUMMYFUNCTION("""COMPUTED_VALUE"""),2.0)</f>
        <v>2</v>
      </c>
      <c r="M338" s="2"/>
      <c r="N338" s="74">
        <f>IFERROR(__xludf.DUMMYFUNCTION("""COMPUTED_VALUE"""),45398.0)</f>
        <v>45398</v>
      </c>
      <c r="O338" s="74">
        <f>IFERROR(__xludf.DUMMYFUNCTION("""COMPUTED_VALUE"""),45407.0)</f>
        <v>45407</v>
      </c>
      <c r="P338" s="2">
        <f>IFERROR(__xludf.DUMMYFUNCTION("""COMPUTED_VALUE"""),18978.0)</f>
        <v>18978</v>
      </c>
      <c r="Q338" s="2" t="str">
        <f>IFERROR(__xludf.DUMMYFUNCTION("""COMPUTED_VALUE"""),"KMC5825 ACRFPV0294")</f>
        <v>KMC5825 ACRFPV0294</v>
      </c>
      <c r="R338" s="2" t="str">
        <f>IFERROR(__xludf.DUMMYFUNCTION("""COMPUTED_VALUE"""),"RTS100025")</f>
        <v>RTS100025</v>
      </c>
      <c r="S338" s="2" t="str">
        <f>IFERROR(__xludf.DUMMYFUNCTION("""COMPUTED_VALUE"""),"WR SERIES 716 PH")</f>
        <v>WR SERIES 716 PH</v>
      </c>
      <c r="T338" s="2" t="str">
        <f>IFERROR(__xludf.DUMMYFUNCTION("""COMPUTED_VALUE"""),"LSGW1750 RMP 24010186")</f>
        <v>LSGW1750 RMP 24010186</v>
      </c>
      <c r="U338" s="2" t="str">
        <f>IFERROR(__xludf.DUMMYFUNCTION("""COMPUTED_VALUE"""),"WDP40 RMP 24030395")</f>
        <v>WDP40 RMP 24030395</v>
      </c>
      <c r="V338" s="2"/>
      <c r="W338" s="2" t="str">
        <f>IFERROR(__xludf.DUMMYFUNCTION("""COMPUTED_VALUE"""),"VL103D")</f>
        <v>VL103D</v>
      </c>
      <c r="X338" s="2"/>
      <c r="Y338" s="2"/>
      <c r="Z338" s="2"/>
      <c r="AA338" s="2"/>
      <c r="AB338" s="2"/>
    </row>
    <row r="339">
      <c r="A339" s="2" t="str">
        <f>IFERROR(__xludf.DUMMYFUNCTION("""COMPUTED_VALUE"""),"TT00337")</f>
        <v>TT00337</v>
      </c>
      <c r="B339" s="2" t="str">
        <f>IFERROR(__xludf.DUMMYFUNCTION("""COMPUTED_VALUE"""),"w/ pending")</f>
        <v>w/ pending</v>
      </c>
      <c r="C339" s="2" t="str">
        <f>IFERROR(__xludf.DUMMYFUNCTION("""COMPUTED_VALUE"""),"For billing L9")</f>
        <v>For billing L9</v>
      </c>
      <c r="D339" s="2" t="str">
        <f>IFERROR(__xludf.DUMMYFUNCTION("""COMPUTED_VALUE"""),"ALAMINOS CITY AGRICULTURE COOPERATIVE")</f>
        <v>ALAMINOS CITY AGRICULTURE COOPERATIVE</v>
      </c>
      <c r="E339" s="2" t="str">
        <f>IFERROR(__xludf.DUMMYFUNCTION("""COMPUTED_VALUE"""),"San Antonio (R. Magsaysay), Alaminos City, PANGASINAN")</f>
        <v>San Antonio (R. Magsaysay), Alaminos City, PANGASINAN</v>
      </c>
      <c r="F339" s="2" t="str">
        <f>IFERROR(__xludf.DUMMYFUNCTION("""COMPUTED_VALUE"""),"Letecia T. Dela Cruz")</f>
        <v>Letecia T. Dela Cruz</v>
      </c>
      <c r="G339" s="2" t="str">
        <f>IFERROR(__xludf.DUMMYFUNCTION("""COMPUTED_VALUE"""),"0915-748-9034")</f>
        <v>0915-748-9034</v>
      </c>
      <c r="H339" s="2" t="str">
        <f>IFERROR(__xludf.DUMMYFUNCTION("""COMPUTED_VALUE"""),"/")</f>
        <v>/</v>
      </c>
      <c r="I339" s="2"/>
      <c r="J339" s="2"/>
      <c r="K339" s="2" t="str">
        <f>IFERROR(__xludf.DUMMYFUNCTION("""COMPUTED_VALUE"""),"RCEF 23-09-21 Rebidding")</f>
        <v>RCEF 23-09-21 Rebidding</v>
      </c>
      <c r="L339" s="2">
        <f>IFERROR(__xludf.DUMMYFUNCTION("""COMPUTED_VALUE"""),9.0)</f>
        <v>9</v>
      </c>
      <c r="M339" s="2"/>
      <c r="N339" s="74">
        <f>IFERROR(__xludf.DUMMYFUNCTION("""COMPUTED_VALUE"""),45398.0)</f>
        <v>45398</v>
      </c>
      <c r="O339" s="74">
        <f>IFERROR(__xludf.DUMMYFUNCTION("""COMPUTED_VALUE"""),45408.0)</f>
        <v>45408</v>
      </c>
      <c r="P339" s="2">
        <f>IFERROR(__xludf.DUMMYFUNCTION("""COMPUTED_VALUE"""),18979.0)</f>
        <v>18979</v>
      </c>
      <c r="Q339" s="2"/>
      <c r="R339" s="2" t="str">
        <f>IFERROR(__xludf.DUMMYFUNCTION("""COMPUTED_VALUE"""),"RTS100177")</f>
        <v>RTS100177</v>
      </c>
      <c r="S339" s="2" t="str">
        <f>IFERROR(__xludf.DUMMYFUNCTION("""COMPUTED_VALUE"""),"R-SERIES 375 PH")</f>
        <v>R-SERIES 375 PH</v>
      </c>
      <c r="T339" s="2" t="str">
        <f>IFERROR(__xludf.DUMMYFUNCTION("""COMPUTED_VALUE"""),"LSGW1750 RMP 24020422")</f>
        <v>LSGW1750 RMP 24020422</v>
      </c>
      <c r="U339" s="2" t="str">
        <f>IFERROR(__xludf.DUMMYFUNCTION("""COMPUTED_VALUE"""),"WDP-40-RMP24040509")</f>
        <v>WDP-40-RMP24040509</v>
      </c>
      <c r="V339" s="2"/>
      <c r="W339" s="2" t="str">
        <f>IFERROR(__xludf.DUMMYFUNCTION("""COMPUTED_VALUE"""),"VL103D")</f>
        <v>VL103D</v>
      </c>
      <c r="X339" s="2"/>
      <c r="Y339" s="2"/>
      <c r="Z339" s="2"/>
      <c r="AA339" s="2"/>
      <c r="AB339" s="2"/>
    </row>
    <row r="340">
      <c r="A340" s="2" t="str">
        <f>IFERROR(__xludf.DUMMYFUNCTION("""COMPUTED_VALUE"""),"TT00338")</f>
        <v>TT00338</v>
      </c>
      <c r="B340" s="2" t="str">
        <f>IFERROR(__xludf.DUMMYFUNCTION("""COMPUTED_VALUE"""),"w/ pending")</f>
        <v>w/ pending</v>
      </c>
      <c r="C340" s="2" t="str">
        <f>IFERROR(__xludf.DUMMYFUNCTION("""COMPUTED_VALUE"""),"For billing L9")</f>
        <v>For billing L9</v>
      </c>
      <c r="D340" s="2" t="str">
        <f>IFERROR(__xludf.DUMMYFUNCTION("""COMPUTED_VALUE"""),"SITANGLAB IRRIGATORS ASSOCIATION, INC")</f>
        <v>SITANGLAB IRRIGATORS ASSOCIATION, INC</v>
      </c>
      <c r="E340" s="2" t="str">
        <f>IFERROR(__xludf.DUMMYFUNCTION("""COMPUTED_VALUE"""),"Tanggal Sawang, Umingan, PANGASINAN")</f>
        <v>Tanggal Sawang, Umingan, PANGASINAN</v>
      </c>
      <c r="F340" s="2" t="str">
        <f>IFERROR(__xludf.DUMMYFUNCTION("""COMPUTED_VALUE"""),"Reynaldo M. Escobar")</f>
        <v>Reynaldo M. Escobar</v>
      </c>
      <c r="G340" s="2" t="str">
        <f>IFERROR(__xludf.DUMMYFUNCTION("""COMPUTED_VALUE"""),"0931-840-2147")</f>
        <v>0931-840-2147</v>
      </c>
      <c r="H340" s="2" t="str">
        <f>IFERROR(__xludf.DUMMYFUNCTION("""COMPUTED_VALUE"""),"X")</f>
        <v>X</v>
      </c>
      <c r="I340" s="2"/>
      <c r="J340" s="2"/>
      <c r="K340" s="2" t="str">
        <f>IFERROR(__xludf.DUMMYFUNCTION("""COMPUTED_VALUE"""),"RCEF 23-09-21 Rebidding")</f>
        <v>RCEF 23-09-21 Rebidding</v>
      </c>
      <c r="L340" s="2">
        <f>IFERROR(__xludf.DUMMYFUNCTION("""COMPUTED_VALUE"""),9.0)</f>
        <v>9</v>
      </c>
      <c r="M340" s="2"/>
      <c r="N340" s="74">
        <f>IFERROR(__xludf.DUMMYFUNCTION("""COMPUTED_VALUE"""),45398.0)</f>
        <v>45398</v>
      </c>
      <c r="O340" s="74">
        <f>IFERROR(__xludf.DUMMYFUNCTION("""COMPUTED_VALUE"""),45408.0)</f>
        <v>45408</v>
      </c>
      <c r="P340" s="2">
        <f>IFERROR(__xludf.DUMMYFUNCTION("""COMPUTED_VALUE"""),18980.0)</f>
        <v>18980</v>
      </c>
      <c r="Q340" s="2" t="str">
        <f>IFERROR(__xludf.DUMMYFUNCTION("""COMPUTED_VALUE"""),"KMC5825 APRFPV0372")</f>
        <v>KMC5825 APRFPV0372</v>
      </c>
      <c r="R340" s="2" t="str">
        <f>IFERROR(__xludf.DUMMYFUNCTION("""COMPUTED_VALUE"""),"RTS100282")</f>
        <v>RTS100282</v>
      </c>
      <c r="S340" s="2" t="str">
        <f>IFERROR(__xludf.DUMMYFUNCTION("""COMPUTED_VALUE"""),"R-SERIES 383 PH")</f>
        <v>R-SERIES 383 PH</v>
      </c>
      <c r="T340" s="2" t="str">
        <f>IFERROR(__xludf.DUMMYFUNCTION("""COMPUTED_VALUE"""),"LSGW1750 RMP 24020532")</f>
        <v>LSGW1750 RMP 24020532</v>
      </c>
      <c r="U340" s="2" t="str">
        <f>IFERROR(__xludf.DUMMYFUNCTION("""COMPUTED_VALUE"""),"WDP-40-RMP-24040540")</f>
        <v>WDP-40-RMP-24040540</v>
      </c>
      <c r="V340" s="2"/>
      <c r="W340" s="2" t="str">
        <f>IFERROR(__xludf.DUMMYFUNCTION("""COMPUTED_VALUE"""),"VL103D")</f>
        <v>VL103D</v>
      </c>
      <c r="X340" s="2"/>
      <c r="Y340" s="2"/>
      <c r="Z340" s="2"/>
      <c r="AA340" s="2"/>
      <c r="AB340" s="2"/>
    </row>
    <row r="341">
      <c r="A341" s="2" t="str">
        <f>IFERROR(__xludf.DUMMYFUNCTION("""COMPUTED_VALUE"""),"TT00339")</f>
        <v>TT00339</v>
      </c>
      <c r="B341" s="2" t="str">
        <f>IFERROR(__xludf.DUMMYFUNCTION("""COMPUTED_VALUE"""),"w/ pending")</f>
        <v>w/ pending</v>
      </c>
      <c r="C341" s="2" t="str">
        <f>IFERROR(__xludf.DUMMYFUNCTION("""COMPUTED_VALUE"""),"FOR BILLING L2, w/ pending")</f>
        <v>FOR BILLING L2, w/ pending</v>
      </c>
      <c r="D341" s="2" t="str">
        <f>IFERROR(__xludf.DUMMYFUNCTION("""COMPUTED_VALUE"""),"LAYUNIN NG MAPAYAPANG PAG-UNLAD ASSOCIATION, INCORPORATED")</f>
        <v>LAYUNIN NG MAPAYAPANG PAG-UNLAD ASSOCIATION, INCORPORATED</v>
      </c>
      <c r="E341" s="2" t="str">
        <f>IFERROR(__xludf.DUMMYFUNCTION("""COMPUTED_VALUE"""),"Boboy, Agno, PANGASINAN")</f>
        <v>Boboy, Agno, PANGASINAN</v>
      </c>
      <c r="F341" s="2" t="str">
        <f>IFERROR(__xludf.DUMMYFUNCTION("""COMPUTED_VALUE"""),"Noly V. Oiga")</f>
        <v>Noly V. Oiga</v>
      </c>
      <c r="G341" s="2" t="str">
        <f>IFERROR(__xludf.DUMMYFUNCTION("""COMPUTED_VALUE"""),"09978409821 / 09556935118")</f>
        <v>09978409821 / 09556935118</v>
      </c>
      <c r="H341" s="2" t="str">
        <f>IFERROR(__xludf.DUMMYFUNCTION("""COMPUTED_VALUE"""),"X")</f>
        <v>X</v>
      </c>
      <c r="I341" s="2"/>
      <c r="J341" s="2" t="str">
        <f>IFERROR(__xludf.DUMMYFUNCTION("""COMPUTED_VALUE"""),"Disc Plow")</f>
        <v>Disc Plow</v>
      </c>
      <c r="K341" s="2" t="str">
        <f>IFERROR(__xludf.DUMMYFUNCTION("""COMPUTED_VALUE"""),"RCEF 23-09-21 Rebidding")</f>
        <v>RCEF 23-09-21 Rebidding</v>
      </c>
      <c r="L341" s="2">
        <f>IFERROR(__xludf.DUMMYFUNCTION("""COMPUTED_VALUE"""),2.0)</f>
        <v>2</v>
      </c>
      <c r="M341" s="2"/>
      <c r="N341" s="74">
        <f>IFERROR(__xludf.DUMMYFUNCTION("""COMPUTED_VALUE"""),45398.0)</f>
        <v>45398</v>
      </c>
      <c r="O341" s="2"/>
      <c r="P341" s="2">
        <f>IFERROR(__xludf.DUMMYFUNCTION("""COMPUTED_VALUE"""),18981.0)</f>
        <v>18981</v>
      </c>
      <c r="Q341" s="2" t="str">
        <f>IFERROR(__xludf.DUMMYFUNCTION("""COMPUTED_VALUE"""),"KMC5825AVRFPVO376")</f>
        <v>KMC5825AVRFPVO376</v>
      </c>
      <c r="R341" s="2" t="str">
        <f>IFERROR(__xludf.DUMMYFUNCTION("""COMPUTED_VALUE"""),"RTS100267")</f>
        <v>RTS100267</v>
      </c>
      <c r="S341" s="2" t="str">
        <f>IFERROR(__xludf.DUMMYFUNCTION("""COMPUTED_VALUE"""),"R-SERIES 366 PH")</f>
        <v>R-SERIES 366 PH</v>
      </c>
      <c r="T341" s="2" t="str">
        <f>IFERROR(__xludf.DUMMYFUNCTION("""COMPUTED_VALUE"""),"LSGW1750 RMP 24020515")</f>
        <v>LSGW1750 RMP 24020515</v>
      </c>
      <c r="U341" s="2" t="str">
        <f>IFERROR(__xludf.DUMMYFUNCTION("""COMPUTED_VALUE"""),"WDP40-RMP-24030395")</f>
        <v>WDP40-RMP-24030395</v>
      </c>
      <c r="V341" s="2"/>
      <c r="W341" s="2" t="str">
        <f>IFERROR(__xludf.DUMMYFUNCTION("""COMPUTED_VALUE"""),"VL103D")</f>
        <v>VL103D</v>
      </c>
      <c r="X341" s="2"/>
      <c r="Y341" s="2"/>
      <c r="Z341" s="2"/>
      <c r="AA341" s="2"/>
      <c r="AB341" s="2"/>
    </row>
    <row r="342">
      <c r="A342" s="2" t="str">
        <f>IFERROR(__xludf.DUMMYFUNCTION("""COMPUTED_VALUE"""),"TT00340")</f>
        <v>TT00340</v>
      </c>
      <c r="B342" s="2" t="str">
        <f>IFERROR(__xludf.DUMMYFUNCTION("""COMPUTED_VALUE"""),"undelivered")</f>
        <v>undelivered</v>
      </c>
      <c r="C342" s="2"/>
      <c r="D342" s="2" t="str">
        <f>IFERROR(__xludf.DUMMYFUNCTION("""COMPUTED_VALUE"""),"Lambes Farmers Agriculture Cooperative")</f>
        <v>Lambes Farmers Agriculture Cooperative</v>
      </c>
      <c r="E342" s="2" t="str">
        <f>IFERROR(__xludf.DUMMYFUNCTION("""COMPUTED_VALUE"""),"Lambes (Lames), Bolinao, PANGASINAN")</f>
        <v>Lambes (Lames), Bolinao, PANGASINAN</v>
      </c>
      <c r="F342" s="2" t="str">
        <f>IFERROR(__xludf.DUMMYFUNCTION("""COMPUTED_VALUE"""),"Romeo G. Gabor")</f>
        <v>Romeo G. Gabor</v>
      </c>
      <c r="G342" s="2" t="str">
        <f>IFERROR(__xludf.DUMMYFUNCTION("""COMPUTED_VALUE"""),"0949 987 0897")</f>
        <v>0949 987 0897</v>
      </c>
      <c r="H342" s="2" t="str">
        <f>IFERROR(__xludf.DUMMYFUNCTION("""COMPUTED_VALUE"""),"X")</f>
        <v>X</v>
      </c>
      <c r="I342" s="2"/>
      <c r="J342" s="2" t="str">
        <f>IFERROR(__xludf.DUMMYFUNCTION("""COMPUTED_VALUE"""),"Disc Plow")</f>
        <v>Disc Plow</v>
      </c>
      <c r="K342" s="2" t="str">
        <f>IFERROR(__xludf.DUMMYFUNCTION("""COMPUTED_VALUE"""),"RCEF 23-09-21 Rebidding")</f>
        <v>RCEF 23-09-21 Rebidding</v>
      </c>
      <c r="L342" s="2">
        <f>IFERROR(__xludf.DUMMYFUNCTION("""COMPUTED_VALUE"""),2.0)</f>
        <v>2</v>
      </c>
      <c r="M342" s="2"/>
      <c r="N342" s="2"/>
      <c r="O342" s="2"/>
      <c r="P342" s="2">
        <f>IFERROR(__xludf.DUMMYFUNCTION("""COMPUTED_VALUE"""),18982.0)</f>
        <v>18982</v>
      </c>
      <c r="Q342" s="2" t="str">
        <f>IFERROR(__xludf.DUMMYFUNCTION("""COMPUTED_VALUE"""),"kmc5825AERFPV0545")</f>
        <v>kmc5825AERFPV0545</v>
      </c>
      <c r="R342" s="2" t="str">
        <f>IFERROR(__xludf.DUMMYFUNCTION("""COMPUTED_VALUE"""),"RTS100444")</f>
        <v>RTS100444</v>
      </c>
      <c r="S342" s="2" t="str">
        <f>IFERROR(__xludf.DUMMYFUNCTION("""COMPUTED_VALUE"""),"R-SERIES 869")</f>
        <v>R-SERIES 869</v>
      </c>
      <c r="T342" s="2"/>
      <c r="U342" s="2" t="str">
        <f>IFERROR(__xludf.DUMMYFUNCTION("""COMPUTED_VALUE"""),"WDP40-RMP-24050545")</f>
        <v>WDP40-RMP-24050545</v>
      </c>
      <c r="V342" s="2"/>
      <c r="W342" s="2" t="str">
        <f>IFERROR(__xludf.DUMMYFUNCTION("""COMPUTED_VALUE"""),"VL103D")</f>
        <v>VL103D</v>
      </c>
      <c r="X342" s="2">
        <f>IFERROR(__xludf.DUMMYFUNCTION("""COMPUTED_VALUE"""),8.69066060246593E14)</f>
        <v>869066060246593</v>
      </c>
      <c r="Y342" s="2">
        <f>IFERROR(__xludf.DUMMYFUNCTION("""COMPUTED_VALUE"""),9.624805242E9)</f>
        <v>9624805242</v>
      </c>
      <c r="Z342" s="2"/>
      <c r="AA342" s="2"/>
      <c r="AB342" s="2"/>
    </row>
    <row r="343">
      <c r="A343" s="2" t="str">
        <f>IFERROR(__xludf.DUMMYFUNCTION("""COMPUTED_VALUE"""),"TT00341")</f>
        <v>TT00341</v>
      </c>
      <c r="B343" s="2" t="str">
        <f>IFERROR(__xludf.DUMMYFUNCTION("""COMPUTED_VALUE"""),"undelivered")</f>
        <v>undelivered</v>
      </c>
      <c r="C343" s="2"/>
      <c r="D343" s="2" t="str">
        <f>IFERROR(__xludf.DUMMYFUNCTION("""COMPUTED_VALUE"""),"MALIMPIN P4MP INC.")</f>
        <v>MALIMPIN P4MP INC.</v>
      </c>
      <c r="E343" s="2" t="str">
        <f>IFERROR(__xludf.DUMMYFUNCTION("""COMPUTED_VALUE"""),"Malimpin, Dasol, PANGASINAN")</f>
        <v>Malimpin, Dasol, PANGASINAN</v>
      </c>
      <c r="F343" s="2" t="str">
        <f>IFERROR(__xludf.DUMMYFUNCTION("""COMPUTED_VALUE"""),"Joseph E. Dela Cruz")</f>
        <v>Joseph E. Dela Cruz</v>
      </c>
      <c r="G343" s="2" t="str">
        <f>IFERROR(__xludf.DUMMYFUNCTION("""COMPUTED_VALUE"""),"0935-071-2242")</f>
        <v>0935-071-2242</v>
      </c>
      <c r="H343" s="2" t="str">
        <f>IFERROR(__xludf.DUMMYFUNCTION("""COMPUTED_VALUE"""),"X")</f>
        <v>X</v>
      </c>
      <c r="I343" s="2"/>
      <c r="J343" s="2" t="str">
        <f>IFERROR(__xludf.DUMMYFUNCTION("""COMPUTED_VALUE"""),"Disc Plow")</f>
        <v>Disc Plow</v>
      </c>
      <c r="K343" s="2" t="str">
        <f>IFERROR(__xludf.DUMMYFUNCTION("""COMPUTED_VALUE"""),"RCEF 23-09-21 Rebidding")</f>
        <v>RCEF 23-09-21 Rebidding</v>
      </c>
      <c r="L343" s="2">
        <f>IFERROR(__xludf.DUMMYFUNCTION("""COMPUTED_VALUE"""),2.0)</f>
        <v>2</v>
      </c>
      <c r="M343" s="2"/>
      <c r="N343" s="2"/>
      <c r="O343" s="2"/>
      <c r="P343" s="2">
        <f>IFERROR(__xludf.DUMMYFUNCTION("""COMPUTED_VALUE"""),18983.0)</f>
        <v>18983</v>
      </c>
      <c r="Q343" s="2"/>
      <c r="R343" s="2"/>
      <c r="S343" s="2"/>
      <c r="T343" s="2"/>
      <c r="U343" s="2"/>
      <c r="V343" s="2"/>
      <c r="W343" s="2" t="str">
        <f>IFERROR(__xludf.DUMMYFUNCTION("""COMPUTED_VALUE"""),"VL103D")</f>
        <v>VL103D</v>
      </c>
      <c r="X343" s="2"/>
      <c r="Y343" s="2"/>
      <c r="Z343" s="2"/>
      <c r="AA343" s="2"/>
      <c r="AB343" s="2"/>
    </row>
    <row r="344">
      <c r="A344" s="2" t="str">
        <f>IFERROR(__xludf.DUMMYFUNCTION("""COMPUTED_VALUE"""),"TT00342")</f>
        <v>TT00342</v>
      </c>
      <c r="B344" s="2" t="str">
        <f>IFERROR(__xludf.DUMMYFUNCTION("""COMPUTED_VALUE"""),"w/ pending")</f>
        <v>w/ pending</v>
      </c>
      <c r="C344" s="2" t="str">
        <f>IFERROR(__xludf.DUMMYFUNCTION("""COMPUTED_VALUE"""),"FOR BILLING L2, w/ pending")</f>
        <v>FOR BILLING L2, w/ pending</v>
      </c>
      <c r="D344" s="2" t="str">
        <f>IFERROR(__xludf.DUMMYFUNCTION("""COMPUTED_VALUE"""),"MABILAY DANUM FARMERS IRRIGATORS ASSOCIATION")</f>
        <v>MABILAY DANUM FARMERS IRRIGATORS ASSOCIATION</v>
      </c>
      <c r="E344" s="2" t="str">
        <f>IFERROR(__xludf.DUMMYFUNCTION("""COMPUTED_VALUE"""),"Pangascasan, Sual, Pangasinan")</f>
        <v>Pangascasan, Sual, Pangasinan</v>
      </c>
      <c r="F344" s="2" t="str">
        <f>IFERROR(__xludf.DUMMYFUNCTION("""COMPUTED_VALUE"""),"Benjamin Reynaldo")</f>
        <v>Benjamin Reynaldo</v>
      </c>
      <c r="G344" s="2">
        <f>IFERROR(__xludf.DUMMYFUNCTION("""COMPUTED_VALUE"""),9.503925103E9)</f>
        <v>9503925103</v>
      </c>
      <c r="H344" s="2" t="str">
        <f>IFERROR(__xludf.DUMMYFUNCTION("""COMPUTED_VALUE"""),"/")</f>
        <v>/</v>
      </c>
      <c r="I344" s="2"/>
      <c r="J344" s="2" t="str">
        <f>IFERROR(__xludf.DUMMYFUNCTION("""COMPUTED_VALUE"""),"Disc Plow")</f>
        <v>Disc Plow</v>
      </c>
      <c r="K344" s="2" t="str">
        <f>IFERROR(__xludf.DUMMYFUNCTION("""COMPUTED_VALUE"""),"RCEF 23-09-21 Rebidding")</f>
        <v>RCEF 23-09-21 Rebidding</v>
      </c>
      <c r="L344" s="2">
        <f>IFERROR(__xludf.DUMMYFUNCTION("""COMPUTED_VALUE"""),2.0)</f>
        <v>2</v>
      </c>
      <c r="M344" s="2"/>
      <c r="N344" s="74">
        <f>IFERROR(__xludf.DUMMYFUNCTION("""COMPUTED_VALUE"""),45398.0)</f>
        <v>45398</v>
      </c>
      <c r="O344" s="2"/>
      <c r="P344" s="2">
        <f>IFERROR(__xludf.DUMMYFUNCTION("""COMPUTED_VALUE"""),18984.0)</f>
        <v>18984</v>
      </c>
      <c r="Q344" s="2" t="str">
        <f>IFERROR(__xludf.DUMMYFUNCTION("""COMPUTED_VALUE"""),"KMC5825ACRFPVO322")</f>
        <v>KMC5825ACRFPVO322</v>
      </c>
      <c r="R344" s="2" t="str">
        <f>IFERROR(__xludf.DUMMYFUNCTION("""COMPUTED_VALUE"""),"RTS100198")</f>
        <v>RTS100198</v>
      </c>
      <c r="S344" s="2" t="str">
        <f>IFERROR(__xludf.DUMMYFUNCTION("""COMPUTED_VALUE"""),"R-SERIES 434 PH")</f>
        <v>R-SERIES 434 PH</v>
      </c>
      <c r="T344" s="2" t="str">
        <f>IFERROR(__xludf.DUMMYFUNCTION("""COMPUTED_VALUE"""),"LSGW1750 RMP 24020503")</f>
        <v>LSGW1750 RMP 24020503</v>
      </c>
      <c r="U344" s="2" t="str">
        <f>IFERROR(__xludf.DUMMYFUNCTION("""COMPUTED_VALUE"""),"WDP-40-RMP-24040829")</f>
        <v>WDP-40-RMP-24040829</v>
      </c>
      <c r="V344" s="2"/>
      <c r="W344" s="2" t="str">
        <f>IFERROR(__xludf.DUMMYFUNCTION("""COMPUTED_VALUE"""),"VL103D")</f>
        <v>VL103D</v>
      </c>
      <c r="X344" s="2"/>
      <c r="Y344" s="2"/>
      <c r="Z344" s="2"/>
      <c r="AA344" s="2"/>
      <c r="AB344" s="2"/>
    </row>
    <row r="345">
      <c r="A345" s="2" t="str">
        <f>IFERROR(__xludf.DUMMYFUNCTION("""COMPUTED_VALUE"""),"TT00343")</f>
        <v>TT00343</v>
      </c>
      <c r="B345" s="2" t="str">
        <f>IFERROR(__xludf.DUMMYFUNCTION("""COMPUTED_VALUE"""),"w/ pending")</f>
        <v>w/ pending</v>
      </c>
      <c r="C345" s="2" t="str">
        <f>IFERROR(__xludf.DUMMYFUNCTION("""COMPUTED_VALUE"""),"FOR BILLING L2, w/ pending")</f>
        <v>FOR BILLING L2, w/ pending</v>
      </c>
      <c r="D345" s="2" t="str">
        <f>IFERROR(__xludf.DUMMYFUNCTION("""COMPUTED_VALUE"""),"BUGALLON CABIGAAN IRRIGATORS ASSOCIATION, INC.")</f>
        <v>BUGALLON CABIGAAN IRRIGATORS ASSOCIATION, INC.</v>
      </c>
      <c r="E345" s="2" t="str">
        <f>IFERROR(__xludf.DUMMYFUNCTION("""COMPUTED_VALUE"""),"Poblacion, Bugallon, PANGASINAN")</f>
        <v>Poblacion, Bugallon, PANGASINAN</v>
      </c>
      <c r="F345" s="2" t="str">
        <f>IFERROR(__xludf.DUMMYFUNCTION("""COMPUTED_VALUE"""),"Cesar B. Boquiren")</f>
        <v>Cesar B. Boquiren</v>
      </c>
      <c r="G345" s="2" t="str">
        <f>IFERROR(__xludf.DUMMYFUNCTION("""COMPUTED_VALUE"""),"0929-556-1116")</f>
        <v>0929-556-1116</v>
      </c>
      <c r="H345" s="2" t="str">
        <f>IFERROR(__xludf.DUMMYFUNCTION("""COMPUTED_VALUE"""),"/")</f>
        <v>/</v>
      </c>
      <c r="I345" s="2"/>
      <c r="J345" s="2" t="str">
        <f>IFERROR(__xludf.DUMMYFUNCTION("""COMPUTED_VALUE"""),"Disc Plow")</f>
        <v>Disc Plow</v>
      </c>
      <c r="K345" s="2" t="str">
        <f>IFERROR(__xludf.DUMMYFUNCTION("""COMPUTED_VALUE"""),"RCEF 23-09-21 Rebidding")</f>
        <v>RCEF 23-09-21 Rebidding</v>
      </c>
      <c r="L345" s="2">
        <f>IFERROR(__xludf.DUMMYFUNCTION("""COMPUTED_VALUE"""),2.0)</f>
        <v>2</v>
      </c>
      <c r="M345" s="2"/>
      <c r="N345" s="74">
        <f>IFERROR(__xludf.DUMMYFUNCTION("""COMPUTED_VALUE"""),45398.0)</f>
        <v>45398</v>
      </c>
      <c r="O345" s="2"/>
      <c r="P345" s="2">
        <f>IFERROR(__xludf.DUMMYFUNCTION("""COMPUTED_VALUE"""),18985.0)</f>
        <v>18985</v>
      </c>
      <c r="Q345" s="2" t="str">
        <f>IFERROR(__xludf.DUMMYFUNCTION("""COMPUTED_VALUE"""),"KMC5825AERFPVO383")</f>
        <v>KMC5825AERFPVO383</v>
      </c>
      <c r="R345" s="2" t="str">
        <f>IFERROR(__xludf.DUMMYFUNCTION("""COMPUTED_VALUE"""),"RTS100242")</f>
        <v>RTS100242</v>
      </c>
      <c r="S345" s="2" t="str">
        <f>IFERROR(__xludf.DUMMYFUNCTION("""COMPUTED_VALUE"""),"R-SERIES 398 PH")</f>
        <v>R-SERIES 398 PH</v>
      </c>
      <c r="T345" s="2" t="str">
        <f>IFERROR(__xludf.DUMMYFUNCTION("""COMPUTED_VALUE"""),"LSGW1750 RMP 24020442")</f>
        <v>LSGW1750 RMP 24020442</v>
      </c>
      <c r="U345" s="2" t="str">
        <f>IFERROR(__xludf.DUMMYFUNCTION("""COMPUTED_VALUE"""),"WDP40-RMP-24040533")</f>
        <v>WDP40-RMP-24040533</v>
      </c>
      <c r="V345" s="2"/>
      <c r="W345" s="2" t="str">
        <f>IFERROR(__xludf.DUMMYFUNCTION("""COMPUTED_VALUE"""),"VL103D")</f>
        <v>VL103D</v>
      </c>
      <c r="X345" s="2"/>
      <c r="Y345" s="2"/>
      <c r="Z345" s="2"/>
      <c r="AA345" s="2"/>
      <c r="AB345" s="2"/>
    </row>
    <row r="346">
      <c r="A346" s="2" t="str">
        <f>IFERROR(__xludf.DUMMYFUNCTION("""COMPUTED_VALUE"""),"TT00344")</f>
        <v>TT00344</v>
      </c>
      <c r="B346" s="2" t="str">
        <f>IFERROR(__xludf.DUMMYFUNCTION("""COMPUTED_VALUE"""),"w/ pending")</f>
        <v>w/ pending</v>
      </c>
      <c r="C346" s="2" t="str">
        <f>IFERROR(__xludf.DUMMYFUNCTION("""COMPUTED_VALUE"""),"FOR BILLING L2, w/ pending")</f>
        <v>FOR BILLING L2, w/ pending</v>
      </c>
      <c r="D346" s="2" t="str">
        <f>IFERROR(__xludf.DUMMYFUNCTION("""COMPUTED_VALUE"""),"TANDOC SILAG KALUNGKONG FARMERS IRRIGATORS ASSOCIATION")</f>
        <v>TANDOC SILAG KALUNGKONG FARMERS IRRIGATORS ASSOCIATION</v>
      </c>
      <c r="E346" s="2" t="str">
        <f>IFERROR(__xludf.DUMMYFUNCTION("""COMPUTED_VALUE"""),"Uyong, Labrador, PANGASINAN")</f>
        <v>Uyong, Labrador, PANGASINAN</v>
      </c>
      <c r="F346" s="2" t="str">
        <f>IFERROR(__xludf.DUMMYFUNCTION("""COMPUTED_VALUE"""),"Rogelio R. Doton")</f>
        <v>Rogelio R. Doton</v>
      </c>
      <c r="G346" s="2" t="str">
        <f>IFERROR(__xludf.DUMMYFUNCTION("""COMPUTED_VALUE"""),"0921-947-8838")</f>
        <v>0921-947-8838</v>
      </c>
      <c r="H346" s="2" t="str">
        <f>IFERROR(__xludf.DUMMYFUNCTION("""COMPUTED_VALUE"""),"/")</f>
        <v>/</v>
      </c>
      <c r="I346" s="2"/>
      <c r="J346" s="2" t="str">
        <f>IFERROR(__xludf.DUMMYFUNCTION("""COMPUTED_VALUE"""),"Disc Plow")</f>
        <v>Disc Plow</v>
      </c>
      <c r="K346" s="2" t="str">
        <f>IFERROR(__xludf.DUMMYFUNCTION("""COMPUTED_VALUE"""),"RCEF 23-09-21 Rebidding")</f>
        <v>RCEF 23-09-21 Rebidding</v>
      </c>
      <c r="L346" s="2">
        <f>IFERROR(__xludf.DUMMYFUNCTION("""COMPUTED_VALUE"""),2.0)</f>
        <v>2</v>
      </c>
      <c r="M346" s="2"/>
      <c r="N346" s="74">
        <f>IFERROR(__xludf.DUMMYFUNCTION("""COMPUTED_VALUE"""),45398.0)</f>
        <v>45398</v>
      </c>
      <c r="O346" s="2"/>
      <c r="P346" s="2">
        <f>IFERROR(__xludf.DUMMYFUNCTION("""COMPUTED_VALUE"""),18986.0)</f>
        <v>18986</v>
      </c>
      <c r="Q346" s="2" t="str">
        <f>IFERROR(__xludf.DUMMYFUNCTION("""COMPUTED_VALUE"""),"KMC5825AERFPVO424")</f>
        <v>KMC5825AERFPVO424</v>
      </c>
      <c r="R346" s="2" t="str">
        <f>IFERROR(__xludf.DUMMYFUNCTION("""COMPUTED_VALUE"""),"RTS100373")</f>
        <v>RTS100373</v>
      </c>
      <c r="S346" s="2" t="str">
        <f>IFERROR(__xludf.DUMMYFUNCTION("""COMPUTED_VALUE"""),"R-SERIES 363 PH")</f>
        <v>R-SERIES 363 PH</v>
      </c>
      <c r="T346" s="2" t="str">
        <f>IFERROR(__xludf.DUMMYFUNCTION("""COMPUTED_VALUE"""),"LSGW1750 RMP 24020437")</f>
        <v>LSGW1750 RMP 24020437</v>
      </c>
      <c r="U346" s="2" t="str">
        <f>IFERROR(__xludf.DUMMYFUNCTION("""COMPUTED_VALUE"""),"WDP40-RMP-24040517")</f>
        <v>WDP40-RMP-24040517</v>
      </c>
      <c r="V346" s="2"/>
      <c r="W346" s="2" t="str">
        <f>IFERROR(__xludf.DUMMYFUNCTION("""COMPUTED_VALUE"""),"VL103D")</f>
        <v>VL103D</v>
      </c>
      <c r="X346" s="2"/>
      <c r="Y346" s="2"/>
      <c r="Z346" s="2"/>
      <c r="AA346" s="2"/>
      <c r="AB346" s="2"/>
    </row>
    <row r="347">
      <c r="A347" s="2" t="str">
        <f>IFERROR(__xludf.DUMMYFUNCTION("""COMPUTED_VALUE"""),"TT00345")</f>
        <v>TT00345</v>
      </c>
      <c r="B347" s="2" t="str">
        <f>IFERROR(__xludf.DUMMYFUNCTION("""COMPUTED_VALUE"""),"w/ pending")</f>
        <v>w/ pending</v>
      </c>
      <c r="C347" s="2" t="str">
        <f>IFERROR(__xludf.DUMMYFUNCTION("""COMPUTED_VALUE"""),"FOR BILLING L2, w/ pending")</f>
        <v>FOR BILLING L2, w/ pending</v>
      </c>
      <c r="D347" s="2" t="str">
        <f>IFERROR(__xludf.DUMMYFUNCTION("""COMPUTED_VALUE"""),"Malabobo Farmers Association, Inc.")</f>
        <v>Malabobo Farmers Association, Inc.</v>
      </c>
      <c r="E347" s="2" t="str">
        <f>IFERROR(__xludf.DUMMYFUNCTION("""COMPUTED_VALUE"""),"Malabobo, Mangatarem, PANGASINAN")</f>
        <v>Malabobo, Mangatarem, PANGASINAN</v>
      </c>
      <c r="F347" s="2" t="str">
        <f>IFERROR(__xludf.DUMMYFUNCTION("""COMPUTED_VALUE"""),"Adriano B. Laruta")</f>
        <v>Adriano B. Laruta</v>
      </c>
      <c r="G347" s="2" t="str">
        <f>IFERROR(__xludf.DUMMYFUNCTION("""COMPUTED_VALUE"""),"0999-752-2510")</f>
        <v>0999-752-2510</v>
      </c>
      <c r="H347" s="2" t="str">
        <f>IFERROR(__xludf.DUMMYFUNCTION("""COMPUTED_VALUE"""),"/")</f>
        <v>/</v>
      </c>
      <c r="I347" s="2"/>
      <c r="J347" s="2" t="str">
        <f>IFERROR(__xludf.DUMMYFUNCTION("""COMPUTED_VALUE"""),"Disc Plow")</f>
        <v>Disc Plow</v>
      </c>
      <c r="K347" s="2" t="str">
        <f>IFERROR(__xludf.DUMMYFUNCTION("""COMPUTED_VALUE"""),"RCEF 23-09-21 Rebidding")</f>
        <v>RCEF 23-09-21 Rebidding</v>
      </c>
      <c r="L347" s="2">
        <f>IFERROR(__xludf.DUMMYFUNCTION("""COMPUTED_VALUE"""),2.0)</f>
        <v>2</v>
      </c>
      <c r="M347" s="2"/>
      <c r="N347" s="74">
        <f>IFERROR(__xludf.DUMMYFUNCTION("""COMPUTED_VALUE"""),45398.0)</f>
        <v>45398</v>
      </c>
      <c r="O347" s="2"/>
      <c r="P347" s="2">
        <f>IFERROR(__xludf.DUMMYFUNCTION("""COMPUTED_VALUE"""),18987.0)</f>
        <v>18987</v>
      </c>
      <c r="Q347" s="2" t="str">
        <f>IFERROR(__xludf.DUMMYFUNCTION("""COMPUTED_VALUE"""),"KMC5825AJREPV0388")</f>
        <v>KMC5825AJREPV0388</v>
      </c>
      <c r="R347" s="2" t="str">
        <f>IFERROR(__xludf.DUMMYFUNCTION("""COMPUTED_VALUE"""),"RTS100270")</f>
        <v>RTS100270</v>
      </c>
      <c r="S347" s="2" t="str">
        <f>IFERROR(__xludf.DUMMYFUNCTION("""COMPUTED_VALUE"""),"R-SERIES 4247 PH")</f>
        <v>R-SERIES 4247 PH</v>
      </c>
      <c r="T347" s="2" t="str">
        <f>IFERROR(__xludf.DUMMYFUNCTION("""COMPUTED_VALUE"""),"LSGW RMP 24020441")</f>
        <v>LSGW RMP 24020441</v>
      </c>
      <c r="U347" s="2" t="str">
        <f>IFERROR(__xludf.DUMMYFUNCTION("""COMPUTED_VALUE"""),"WDP40-RMP-24040510")</f>
        <v>WDP40-RMP-24040510</v>
      </c>
      <c r="V347" s="2"/>
      <c r="W347" s="2" t="str">
        <f>IFERROR(__xludf.DUMMYFUNCTION("""COMPUTED_VALUE"""),"VL103D")</f>
        <v>VL103D</v>
      </c>
      <c r="X347" s="2"/>
      <c r="Y347" s="2"/>
      <c r="Z347" s="2"/>
      <c r="AA347" s="2"/>
      <c r="AB347" s="2"/>
    </row>
    <row r="348">
      <c r="A348" s="2" t="str">
        <f>IFERROR(__xludf.DUMMYFUNCTION("""COMPUTED_VALUE"""),"TT00346")</f>
        <v>TT00346</v>
      </c>
      <c r="B348" s="2" t="str">
        <f>IFERROR(__xludf.DUMMYFUNCTION("""COMPUTED_VALUE"""),"w/ pending")</f>
        <v>w/ pending</v>
      </c>
      <c r="C348" s="2" t="str">
        <f>IFERROR(__xludf.DUMMYFUNCTION("""COMPUTED_VALUE"""),"FOR BILLING L2, w/ pending")</f>
        <v>FOR BILLING L2, w/ pending</v>
      </c>
      <c r="D348" s="2" t="str">
        <f>IFERROR(__xludf.DUMMYFUNCTION("""COMPUTED_VALUE"""),"BRGY. MALIMPEC, BAYAMBANG, PANGASINAN FARMERS ASSOCIATION")</f>
        <v>BRGY. MALIMPEC, BAYAMBANG, PANGASINAN FARMERS ASSOCIATION</v>
      </c>
      <c r="E348" s="2" t="str">
        <f>IFERROR(__xludf.DUMMYFUNCTION("""COMPUTED_VALUE"""),"Malimpec, Bayambang, PANGASINAN")</f>
        <v>Malimpec, Bayambang, PANGASINAN</v>
      </c>
      <c r="F348" s="2" t="str">
        <f>IFERROR(__xludf.DUMMYFUNCTION("""COMPUTED_VALUE"""),"Wally C. Saygo")</f>
        <v>Wally C. Saygo</v>
      </c>
      <c r="G348" s="2">
        <f>IFERROR(__xludf.DUMMYFUNCTION("""COMPUTED_VALUE"""),9.097159536E9)</f>
        <v>9097159536</v>
      </c>
      <c r="H348" s="2" t="str">
        <f>IFERROR(__xludf.DUMMYFUNCTION("""COMPUTED_VALUE"""),"/")</f>
        <v>/</v>
      </c>
      <c r="I348" s="2"/>
      <c r="J348" s="2" t="str">
        <f>IFERROR(__xludf.DUMMYFUNCTION("""COMPUTED_VALUE"""),"Disc Plow")</f>
        <v>Disc Plow</v>
      </c>
      <c r="K348" s="2" t="str">
        <f>IFERROR(__xludf.DUMMYFUNCTION("""COMPUTED_VALUE"""),"RCEF 23-09-21 Rebidding")</f>
        <v>RCEF 23-09-21 Rebidding</v>
      </c>
      <c r="L348" s="2">
        <f>IFERROR(__xludf.DUMMYFUNCTION("""COMPUTED_VALUE"""),2.0)</f>
        <v>2</v>
      </c>
      <c r="M348" s="2"/>
      <c r="N348" s="74">
        <f>IFERROR(__xludf.DUMMYFUNCTION("""COMPUTED_VALUE"""),45398.0)</f>
        <v>45398</v>
      </c>
      <c r="O348" s="2"/>
      <c r="P348" s="2">
        <f>IFERROR(__xludf.DUMMYFUNCTION("""COMPUTED_VALUE"""),18988.0)</f>
        <v>18988</v>
      </c>
      <c r="Q348" s="2" t="str">
        <f>IFERROR(__xludf.DUMMYFUNCTION("""COMPUTED_VALUE"""),"KMC5825AERPFU0349")</f>
        <v>KMC5825AERPFU0349</v>
      </c>
      <c r="R348" s="2" t="str">
        <f>IFERROR(__xludf.DUMMYFUNCTION("""COMPUTED_VALUE"""),"RTS100240")</f>
        <v>RTS100240</v>
      </c>
      <c r="S348" s="2" t="str">
        <f>IFERROR(__xludf.DUMMYFUNCTION("""COMPUTED_VALUE"""),"R-SERIES 364 PH")</f>
        <v>R-SERIES 364 PH</v>
      </c>
      <c r="T348" s="2" t="str">
        <f>IFERROR(__xludf.DUMMYFUNCTION("""COMPUTED_VALUE"""),"LSGW 1750 RMP 24020433")</f>
        <v>LSGW 1750 RMP 24020433</v>
      </c>
      <c r="U348" s="2" t="str">
        <f>IFERROR(__xludf.DUMMYFUNCTION("""COMPUTED_VALUE"""),"WDP40-RMP-24030341")</f>
        <v>WDP40-RMP-24030341</v>
      </c>
      <c r="V348" s="2"/>
      <c r="W348" s="2" t="str">
        <f>IFERROR(__xludf.DUMMYFUNCTION("""COMPUTED_VALUE"""),"VL103D")</f>
        <v>VL103D</v>
      </c>
      <c r="X348" s="2"/>
      <c r="Y348" s="2"/>
      <c r="Z348" s="2"/>
      <c r="AA348" s="2"/>
      <c r="AB348" s="2"/>
    </row>
    <row r="349">
      <c r="A349" s="2" t="str">
        <f>IFERROR(__xludf.DUMMYFUNCTION("""COMPUTED_VALUE"""),"TT00347")</f>
        <v>TT00347</v>
      </c>
      <c r="B349" s="2" t="str">
        <f>IFERROR(__xludf.DUMMYFUNCTION("""COMPUTED_VALUE"""),"w/ pending")</f>
        <v>w/ pending</v>
      </c>
      <c r="C349" s="2" t="str">
        <f>IFERROR(__xludf.DUMMYFUNCTION("""COMPUTED_VALUE"""),"FOR BILLING L2, w/ pending")</f>
        <v>FOR BILLING L2, w/ pending</v>
      </c>
      <c r="D349" s="2" t="str">
        <f>IFERROR(__xludf.DUMMYFUNCTION("""COMPUTED_VALUE"""),"PASIMA MULTI-PURPOSE COOPERATIVE")</f>
        <v>PASIMA MULTI-PURPOSE COOPERATIVE</v>
      </c>
      <c r="E349" s="2" t="str">
        <f>IFERROR(__xludf.DUMMYFUNCTION("""COMPUTED_VALUE"""),"Pasima, Malasiqui, PANGASINAN")</f>
        <v>Pasima, Malasiqui, PANGASINAN</v>
      </c>
      <c r="F349" s="2" t="str">
        <f>IFERROR(__xludf.DUMMYFUNCTION("""COMPUTED_VALUE"""),"Jonathan A. Rangel")</f>
        <v>Jonathan A. Rangel</v>
      </c>
      <c r="G349" s="2">
        <f>IFERROR(__xludf.DUMMYFUNCTION("""COMPUTED_VALUE"""),9.228842049E9)</f>
        <v>9228842049</v>
      </c>
      <c r="H349" s="2" t="str">
        <f>IFERROR(__xludf.DUMMYFUNCTION("""COMPUTED_VALUE"""),"/")</f>
        <v>/</v>
      </c>
      <c r="I349" s="2"/>
      <c r="J349" s="2" t="str">
        <f>IFERROR(__xludf.DUMMYFUNCTION("""COMPUTED_VALUE"""),"Disc Plow")</f>
        <v>Disc Plow</v>
      </c>
      <c r="K349" s="2" t="str">
        <f>IFERROR(__xludf.DUMMYFUNCTION("""COMPUTED_VALUE"""),"RCEF 23-09-21 Rebidding")</f>
        <v>RCEF 23-09-21 Rebidding</v>
      </c>
      <c r="L349" s="2">
        <f>IFERROR(__xludf.DUMMYFUNCTION("""COMPUTED_VALUE"""),2.0)</f>
        <v>2</v>
      </c>
      <c r="M349" s="2"/>
      <c r="N349" s="74">
        <f>IFERROR(__xludf.DUMMYFUNCTION("""COMPUTED_VALUE"""),45398.0)</f>
        <v>45398</v>
      </c>
      <c r="O349" s="2"/>
      <c r="P349" s="2">
        <f>IFERROR(__xludf.DUMMYFUNCTION("""COMPUTED_VALUE"""),18989.0)</f>
        <v>18989</v>
      </c>
      <c r="Q349" s="2" t="str">
        <f>IFERROR(__xludf.DUMMYFUNCTION("""COMPUTED_VALUE"""),"KMC825AKRFPVO387")</f>
        <v>KMC825AKRFPVO387</v>
      </c>
      <c r="R349" s="2" t="str">
        <f>IFERROR(__xludf.DUMMYFUNCTION("""COMPUTED_VALUE"""),"RTS100276")</f>
        <v>RTS100276</v>
      </c>
      <c r="S349" s="2" t="str">
        <f>IFERROR(__xludf.DUMMYFUNCTION("""COMPUTED_VALUE"""),"R-SERIES 406 PH")</f>
        <v>R-SERIES 406 PH</v>
      </c>
      <c r="T349" s="2" t="str">
        <f>IFERROR(__xludf.DUMMYFUNCTION("""COMPUTED_VALUE"""),"LSGW 1750 RMP 24020419")</f>
        <v>LSGW 1750 RMP 24020419</v>
      </c>
      <c r="U349" s="2" t="str">
        <f>IFERROR(__xludf.DUMMYFUNCTION("""COMPUTED_VALUE"""),"WDP40-RMP-24040512")</f>
        <v>WDP40-RMP-24040512</v>
      </c>
      <c r="V349" s="2"/>
      <c r="W349" s="2" t="str">
        <f>IFERROR(__xludf.DUMMYFUNCTION("""COMPUTED_VALUE"""),"VL103D")</f>
        <v>VL103D</v>
      </c>
      <c r="X349" s="2"/>
      <c r="Y349" s="2"/>
      <c r="Z349" s="2"/>
      <c r="AA349" s="2"/>
      <c r="AB349" s="2"/>
    </row>
    <row r="350">
      <c r="A350" s="2" t="str">
        <f>IFERROR(__xludf.DUMMYFUNCTION("""COMPUTED_VALUE"""),"TT00348")</f>
        <v>TT00348</v>
      </c>
      <c r="B350" s="2" t="str">
        <f>IFERROR(__xludf.DUMMYFUNCTION("""COMPUTED_VALUE"""),"w/ pending")</f>
        <v>w/ pending</v>
      </c>
      <c r="C350" s="2" t="str">
        <f>IFERROR(__xludf.DUMMYFUNCTION("""COMPUTED_VALUE"""),"FOR BILLING L2, w/ pending")</f>
        <v>FOR BILLING L2, w/ pending</v>
      </c>
      <c r="D350" s="2" t="str">
        <f>IFERROR(__xludf.DUMMYFUNCTION("""COMPUTED_VALUE"""),"PRIMICIAS MASIPAG FARMERS ASSOCIATION, INC.")</f>
        <v>PRIMICIAS MASIPAG FARMERS ASSOCIATION, INC.</v>
      </c>
      <c r="E350" s="2" t="str">
        <f>IFERROR(__xludf.DUMMYFUNCTION("""COMPUTED_VALUE"""),"Primicias, Mapandan, PANGASINAN")</f>
        <v>Primicias, Mapandan, PANGASINAN</v>
      </c>
      <c r="F350" s="2" t="str">
        <f>IFERROR(__xludf.DUMMYFUNCTION("""COMPUTED_VALUE"""),"German S. Valenzuela")</f>
        <v>German S. Valenzuela</v>
      </c>
      <c r="G350" s="2" t="str">
        <f>IFERROR(__xludf.DUMMYFUNCTION("""COMPUTED_VALUE"""),"0922-866-9364")</f>
        <v>0922-866-9364</v>
      </c>
      <c r="H350" s="2" t="str">
        <f>IFERROR(__xludf.DUMMYFUNCTION("""COMPUTED_VALUE"""),"/")</f>
        <v>/</v>
      </c>
      <c r="I350" s="2"/>
      <c r="J350" s="2" t="str">
        <f>IFERROR(__xludf.DUMMYFUNCTION("""COMPUTED_VALUE"""),"Disc Plow")</f>
        <v>Disc Plow</v>
      </c>
      <c r="K350" s="2" t="str">
        <f>IFERROR(__xludf.DUMMYFUNCTION("""COMPUTED_VALUE"""),"RCEF 23-09-21 Rebidding")</f>
        <v>RCEF 23-09-21 Rebidding</v>
      </c>
      <c r="L350" s="2">
        <f>IFERROR(__xludf.DUMMYFUNCTION("""COMPUTED_VALUE"""),2.0)</f>
        <v>2</v>
      </c>
      <c r="M350" s="2"/>
      <c r="N350" s="74">
        <f>IFERROR(__xludf.DUMMYFUNCTION("""COMPUTED_VALUE"""),45398.0)</f>
        <v>45398</v>
      </c>
      <c r="O350" s="2"/>
      <c r="P350" s="2">
        <f>IFERROR(__xludf.DUMMYFUNCTION("""COMPUTED_VALUE"""),18990.0)</f>
        <v>18990</v>
      </c>
      <c r="Q350" s="2" t="str">
        <f>IFERROR(__xludf.DUMMYFUNCTION("""COMPUTED_VALUE"""),"KMC5825ACRFVO420")</f>
        <v>KMC5825ACRFVO420</v>
      </c>
      <c r="R350" s="2" t="str">
        <f>IFERROR(__xludf.DUMMYFUNCTION("""COMPUTED_VALUE"""),"RTS100325")</f>
        <v>RTS100325</v>
      </c>
      <c r="S350" s="2" t="str">
        <f>IFERROR(__xludf.DUMMYFUNCTION("""COMPUTED_VALUE"""),"R-SERIES 369 PH")</f>
        <v>R-SERIES 369 PH</v>
      </c>
      <c r="T350" s="2" t="str">
        <f>IFERROR(__xludf.DUMMYFUNCTION("""COMPUTED_VALUE"""),"LSGW 1750 RMP 24020436")</f>
        <v>LSGW 1750 RMP 24020436</v>
      </c>
      <c r="U350" s="2" t="str">
        <f>IFERROR(__xludf.DUMMYFUNCTION("""COMPUTED_VALUE"""),"WDP-40-RMP-24040515")</f>
        <v>WDP-40-RMP-24040515</v>
      </c>
      <c r="V350" s="2"/>
      <c r="W350" s="2" t="str">
        <f>IFERROR(__xludf.DUMMYFUNCTION("""COMPUTED_VALUE"""),"VL103D")</f>
        <v>VL103D</v>
      </c>
      <c r="X350" s="2"/>
      <c r="Y350" s="2"/>
      <c r="Z350" s="2"/>
      <c r="AA350" s="2"/>
      <c r="AB350" s="2"/>
    </row>
    <row r="351">
      <c r="A351" s="2" t="str">
        <f>IFERROR(__xludf.DUMMYFUNCTION("""COMPUTED_VALUE"""),"TT00349")</f>
        <v>TT00349</v>
      </c>
      <c r="B351" s="2" t="str">
        <f>IFERROR(__xludf.DUMMYFUNCTION("""COMPUTED_VALUE"""),"w/ pending")</f>
        <v>w/ pending</v>
      </c>
      <c r="C351" s="2" t="str">
        <f>IFERROR(__xludf.DUMMYFUNCTION("""COMPUTED_VALUE"""),"FOR BILLING L2, w/ pending")</f>
        <v>FOR BILLING L2, w/ pending</v>
      </c>
      <c r="D351" s="2" t="str">
        <f>IFERROR(__xludf.DUMMYFUNCTION("""COMPUTED_VALUE"""),"MANINGDING KADARALUSAN FARMERS ASSOCIATION INCORPORATED")</f>
        <v>MANINGDING KADARALUSAN FARMERS ASSOCIATION INCORPORATED</v>
      </c>
      <c r="E351" s="2"/>
      <c r="F351" s="2" t="str">
        <f>IFERROR(__xludf.DUMMYFUNCTION("""COMPUTED_VALUE"""),"Cirila R. Capua")</f>
        <v>Cirila R. Capua</v>
      </c>
      <c r="G351" s="2" t="str">
        <f>IFERROR(__xludf.DUMMYFUNCTION("""COMPUTED_VALUE"""),"0917-960-2998/0928-107-7504")</f>
        <v>0917-960-2998/0928-107-7504</v>
      </c>
      <c r="H351" s="2" t="str">
        <f>IFERROR(__xludf.DUMMYFUNCTION("""COMPUTED_VALUE"""),"/")</f>
        <v>/</v>
      </c>
      <c r="I351" s="2"/>
      <c r="J351" s="2" t="str">
        <f>IFERROR(__xludf.DUMMYFUNCTION("""COMPUTED_VALUE"""),"Disc Plow")</f>
        <v>Disc Plow</v>
      </c>
      <c r="K351" s="2" t="str">
        <f>IFERROR(__xludf.DUMMYFUNCTION("""COMPUTED_VALUE"""),"RCEF 23-09-21 Rebidding")</f>
        <v>RCEF 23-09-21 Rebidding</v>
      </c>
      <c r="L351" s="2">
        <f>IFERROR(__xludf.DUMMYFUNCTION("""COMPUTED_VALUE"""),2.0)</f>
        <v>2</v>
      </c>
      <c r="M351" s="2"/>
      <c r="N351" s="74">
        <f>IFERROR(__xludf.DUMMYFUNCTION("""COMPUTED_VALUE"""),45398.0)</f>
        <v>45398</v>
      </c>
      <c r="O351" s="2"/>
      <c r="P351" s="2">
        <f>IFERROR(__xludf.DUMMYFUNCTION("""COMPUTED_VALUE"""),18991.0)</f>
        <v>18991</v>
      </c>
      <c r="Q351" s="2" t="str">
        <f>IFERROR(__xludf.DUMMYFUNCTION("""COMPUTED_VALUE"""),"KMC5825AARFPV0377")</f>
        <v>KMC5825AARFPV0377</v>
      </c>
      <c r="R351" s="2" t="str">
        <f>IFERROR(__xludf.DUMMYFUNCTION("""COMPUTED_VALUE"""),"RTS100268")</f>
        <v>RTS100268</v>
      </c>
      <c r="S351" s="2" t="str">
        <f>IFERROR(__xludf.DUMMYFUNCTION("""COMPUTED_VALUE"""),"R-SERIES 379 PH")</f>
        <v>R-SERIES 379 PH</v>
      </c>
      <c r="T351" s="2" t="str">
        <f>IFERROR(__xludf.DUMMYFUNCTION("""COMPUTED_VALUE"""),"LSGW 1750 RMP 24020426")</f>
        <v>LSGW 1750 RMP 24020426</v>
      </c>
      <c r="U351" s="2" t="str">
        <f>IFERROR(__xludf.DUMMYFUNCTION("""COMPUTED_VALUE"""),"WDP40-RMP-24040515")</f>
        <v>WDP40-RMP-24040515</v>
      </c>
      <c r="V351" s="2"/>
      <c r="W351" s="2" t="str">
        <f>IFERROR(__xludf.DUMMYFUNCTION("""COMPUTED_VALUE"""),"VL103D")</f>
        <v>VL103D</v>
      </c>
      <c r="X351" s="2"/>
      <c r="Y351" s="2"/>
      <c r="Z351" s="2"/>
      <c r="AA351" s="2"/>
      <c r="AB351" s="2"/>
    </row>
    <row r="352">
      <c r="A352" s="2" t="str">
        <f>IFERROR(__xludf.DUMMYFUNCTION("""COMPUTED_VALUE"""),"TT00350")</f>
        <v>TT00350</v>
      </c>
      <c r="B352" s="2" t="str">
        <f>IFERROR(__xludf.DUMMYFUNCTION("""COMPUTED_VALUE"""),"w/ pending")</f>
        <v>w/ pending</v>
      </c>
      <c r="C352" s="2" t="str">
        <f>IFERROR(__xludf.DUMMYFUNCTION("""COMPUTED_VALUE"""),"FOR BILLING L2, w/ pending")</f>
        <v>FOR BILLING L2, w/ pending</v>
      </c>
      <c r="D352" s="2" t="str">
        <f>IFERROR(__xludf.DUMMYFUNCTION("""COMPUTED_VALUE"""),"MAKABAGONG MAGSASAKA IRRIGATORS ASSOCIATION INC.")</f>
        <v>MAKABAGONG MAGSASAKA IRRIGATORS ASSOCIATION INC.</v>
      </c>
      <c r="E352" s="2" t="str">
        <f>IFERROR(__xludf.DUMMYFUNCTION("""COMPUTED_VALUE"""),"Angio, San Fabian, PANGASINAN")</f>
        <v>Angio, San Fabian, PANGASINAN</v>
      </c>
      <c r="F352" s="2" t="str">
        <f>IFERROR(__xludf.DUMMYFUNCTION("""COMPUTED_VALUE"""),"Bernie Dispo")</f>
        <v>Bernie Dispo</v>
      </c>
      <c r="G352" s="2" t="str">
        <f>IFERROR(__xludf.DUMMYFUNCTION("""COMPUTED_VALUE"""),"0932-769-0717")</f>
        <v>0932-769-0717</v>
      </c>
      <c r="H352" s="2" t="str">
        <f>IFERROR(__xludf.DUMMYFUNCTION("""COMPUTED_VALUE"""),"/")</f>
        <v>/</v>
      </c>
      <c r="I352" s="2"/>
      <c r="J352" s="2" t="str">
        <f>IFERROR(__xludf.DUMMYFUNCTION("""COMPUTED_VALUE"""),"Disc Plow")</f>
        <v>Disc Plow</v>
      </c>
      <c r="K352" s="2" t="str">
        <f>IFERROR(__xludf.DUMMYFUNCTION("""COMPUTED_VALUE"""),"RCEF 23-09-21 Rebidding")</f>
        <v>RCEF 23-09-21 Rebidding</v>
      </c>
      <c r="L352" s="2">
        <f>IFERROR(__xludf.DUMMYFUNCTION("""COMPUTED_VALUE"""),2.0)</f>
        <v>2</v>
      </c>
      <c r="M352" s="2"/>
      <c r="N352" s="74">
        <f>IFERROR(__xludf.DUMMYFUNCTION("""COMPUTED_VALUE"""),45398.0)</f>
        <v>45398</v>
      </c>
      <c r="O352" s="2"/>
      <c r="P352" s="2">
        <f>IFERROR(__xludf.DUMMYFUNCTION("""COMPUTED_VALUE"""),18992.0)</f>
        <v>18992</v>
      </c>
      <c r="Q352" s="2" t="str">
        <f>IFERROR(__xludf.DUMMYFUNCTION("""COMPUTED_VALUE"""),"KMC5825AKRFPV0373")</f>
        <v>KMC5825AKRFPV0373</v>
      </c>
      <c r="R352" s="2" t="str">
        <f>IFERROR(__xludf.DUMMYFUNCTION("""COMPUTED_VALUE"""),"RTS100274")</f>
        <v>RTS100274</v>
      </c>
      <c r="S352" s="2" t="str">
        <f>IFERROR(__xludf.DUMMYFUNCTION("""COMPUTED_VALUE"""),"R-SERIES 407 PH")</f>
        <v>R-SERIES 407 PH</v>
      </c>
      <c r="T352" s="2" t="str">
        <f>IFERROR(__xludf.DUMMYFUNCTION("""COMPUTED_VALUE"""),"LSGW 1750 RMP 24020410")</f>
        <v>LSGW 1750 RMP 24020410</v>
      </c>
      <c r="U352" s="2" t="str">
        <f>IFERROR(__xludf.DUMMYFUNCTION("""COMPUTED_VALUE"""),"WDP40-RMP-24040508")</f>
        <v>WDP40-RMP-24040508</v>
      </c>
      <c r="V352" s="2"/>
      <c r="W352" s="2" t="str">
        <f>IFERROR(__xludf.DUMMYFUNCTION("""COMPUTED_VALUE"""),"VL103D")</f>
        <v>VL103D</v>
      </c>
      <c r="X352" s="2"/>
      <c r="Y352" s="2"/>
      <c r="Z352" s="2"/>
      <c r="AA352" s="2"/>
      <c r="AB352" s="2"/>
    </row>
    <row r="353">
      <c r="A353" s="2" t="str">
        <f>IFERROR(__xludf.DUMMYFUNCTION("""COMPUTED_VALUE"""),"TT00351")</f>
        <v>TT00351</v>
      </c>
      <c r="B353" s="2" t="str">
        <f>IFERROR(__xludf.DUMMYFUNCTION("""COMPUTED_VALUE"""),"w/ pending")</f>
        <v>w/ pending</v>
      </c>
      <c r="C353" s="2" t="str">
        <f>IFERROR(__xludf.DUMMYFUNCTION("""COMPUTED_VALUE"""),"FOR BILLING L2, w/ pending")</f>
        <v>FOR BILLING L2, w/ pending</v>
      </c>
      <c r="D353" s="2" t="str">
        <f>IFERROR(__xludf.DUMMYFUNCTION("""COMPUTED_VALUE"""),"VILLANUEVA FARMERS ASSOCIATION")</f>
        <v>VILLANUEVA FARMERS ASSOCIATION</v>
      </c>
      <c r="E353" s="2" t="str">
        <f>IFERROR(__xludf.DUMMYFUNCTION("""COMPUTED_VALUE"""),"Villanueva, Bautista, PANGASINAN")</f>
        <v>Villanueva, Bautista, PANGASINAN</v>
      </c>
      <c r="F353" s="2" t="str">
        <f>IFERROR(__xludf.DUMMYFUNCTION("""COMPUTED_VALUE"""),"Marietes P. Maregmen")</f>
        <v>Marietes P. Maregmen</v>
      </c>
      <c r="G353" s="2" t="str">
        <f>IFERROR(__xludf.DUMMYFUNCTION("""COMPUTED_VALUE"""),"0926-261-8681")</f>
        <v>0926-261-8681</v>
      </c>
      <c r="H353" s="2" t="str">
        <f>IFERROR(__xludf.DUMMYFUNCTION("""COMPUTED_VALUE"""),"X")</f>
        <v>X</v>
      </c>
      <c r="I353" s="2"/>
      <c r="J353" s="2" t="str">
        <f>IFERROR(__xludf.DUMMYFUNCTION("""COMPUTED_VALUE"""),"Disc Plow")</f>
        <v>Disc Plow</v>
      </c>
      <c r="K353" s="2" t="str">
        <f>IFERROR(__xludf.DUMMYFUNCTION("""COMPUTED_VALUE"""),"RCEF 23-09-21 Rebidding")</f>
        <v>RCEF 23-09-21 Rebidding</v>
      </c>
      <c r="L353" s="2">
        <f>IFERROR(__xludf.DUMMYFUNCTION("""COMPUTED_VALUE"""),2.0)</f>
        <v>2</v>
      </c>
      <c r="M353" s="2"/>
      <c r="N353" s="74">
        <f>IFERROR(__xludf.DUMMYFUNCTION("""COMPUTED_VALUE"""),45398.0)</f>
        <v>45398</v>
      </c>
      <c r="O353" s="2"/>
      <c r="P353" s="2">
        <f>IFERROR(__xludf.DUMMYFUNCTION("""COMPUTED_VALUE"""),18993.0)</f>
        <v>18993</v>
      </c>
      <c r="Q353" s="2" t="str">
        <f>IFERROR(__xludf.DUMMYFUNCTION("""COMPUTED_VALUE"""),"KMC5825ACRFPV0375")</f>
        <v>KMC5825ACRFPV0375</v>
      </c>
      <c r="R353" s="2" t="str">
        <f>IFERROR(__xludf.DUMMYFUNCTION("""COMPUTED_VALUE"""),"RTS100269")</f>
        <v>RTS100269</v>
      </c>
      <c r="S353" s="2" t="str">
        <f>IFERROR(__xludf.DUMMYFUNCTION("""COMPUTED_VALUE"""),"R-SERIES 403 PH")</f>
        <v>R-SERIES 403 PH</v>
      </c>
      <c r="T353" s="2" t="str">
        <f>IFERROR(__xludf.DUMMYFUNCTION("""COMPUTED_VALUE"""),"LSGW1750 RMP 24020443")</f>
        <v>LSGW1750 RMP 24020443</v>
      </c>
      <c r="U353" s="2" t="str">
        <f>IFERROR(__xludf.DUMMYFUNCTION("""COMPUTED_VALUE"""),"WDP-40-RMP-24040535")</f>
        <v>WDP-40-RMP-24040535</v>
      </c>
      <c r="V353" s="2"/>
      <c r="W353" s="2" t="str">
        <f>IFERROR(__xludf.DUMMYFUNCTION("""COMPUTED_VALUE"""),"VL103D")</f>
        <v>VL103D</v>
      </c>
      <c r="X353" s="2"/>
      <c r="Y353" s="2"/>
      <c r="Z353" s="2"/>
      <c r="AA353" s="2"/>
      <c r="AB353" s="2"/>
    </row>
    <row r="354">
      <c r="A354" s="2" t="str">
        <f>IFERROR(__xludf.DUMMYFUNCTION("""COMPUTED_VALUE"""),"TT00352")</f>
        <v>TT00352</v>
      </c>
      <c r="B354" s="2" t="str">
        <f>IFERROR(__xludf.DUMMYFUNCTION("""COMPUTED_VALUE"""),"w/ pending")</f>
        <v>w/ pending</v>
      </c>
      <c r="C354" s="2" t="str">
        <f>IFERROR(__xludf.DUMMYFUNCTION("""COMPUTED_VALUE"""),"FOR BILLING L2, w/ pending")</f>
        <v>FOR BILLING L2, w/ pending</v>
      </c>
      <c r="D354" s="2" t="str">
        <f>IFERROR(__xludf.DUMMYFUNCTION("""COMPUTED_VALUE"""),"ALISTO STO. NINO FARMERS ASSOCIATION INC.")</f>
        <v>ALISTO STO. NINO FARMERS ASSOCIATION INC.</v>
      </c>
      <c r="E354" s="2" t="str">
        <f>IFERROR(__xludf.DUMMYFUNCTION("""COMPUTED_VALUE"""),"Santo Niño, Binalonan, PANGASINAN")</f>
        <v>Santo Niño, Binalonan, PANGASINAN</v>
      </c>
      <c r="F354" s="2" t="str">
        <f>IFERROR(__xludf.DUMMYFUNCTION("""COMPUTED_VALUE"""),"Jericho U. Gabot")</f>
        <v>Jericho U. Gabot</v>
      </c>
      <c r="G354" s="2" t="str">
        <f>IFERROR(__xludf.DUMMYFUNCTION("""COMPUTED_VALUE"""),"0919-447-8358")</f>
        <v>0919-447-8358</v>
      </c>
      <c r="H354" s="2" t="str">
        <f>IFERROR(__xludf.DUMMYFUNCTION("""COMPUTED_VALUE"""),"X")</f>
        <v>X</v>
      </c>
      <c r="I354" s="2"/>
      <c r="J354" s="2" t="str">
        <f>IFERROR(__xludf.DUMMYFUNCTION("""COMPUTED_VALUE"""),"Disc Plow")</f>
        <v>Disc Plow</v>
      </c>
      <c r="K354" s="2" t="str">
        <f>IFERROR(__xludf.DUMMYFUNCTION("""COMPUTED_VALUE"""),"RCEF 23-09-21 Rebidding")</f>
        <v>RCEF 23-09-21 Rebidding</v>
      </c>
      <c r="L354" s="2">
        <f>IFERROR(__xludf.DUMMYFUNCTION("""COMPUTED_VALUE"""),2.0)</f>
        <v>2</v>
      </c>
      <c r="M354" s="2"/>
      <c r="N354" s="74">
        <f>IFERROR(__xludf.DUMMYFUNCTION("""COMPUTED_VALUE"""),45398.0)</f>
        <v>45398</v>
      </c>
      <c r="O354" s="2"/>
      <c r="P354" s="2">
        <f>IFERROR(__xludf.DUMMYFUNCTION("""COMPUTED_VALUE"""),18994.0)</f>
        <v>18994</v>
      </c>
      <c r="Q354" s="2" t="str">
        <f>IFERROR(__xludf.DUMMYFUNCTION("""COMPUTED_VALUE"""),"KMC5825ALRFPVO428")</f>
        <v>KMC5825ALRFPVO428</v>
      </c>
      <c r="R354" s="2" t="str">
        <f>IFERROR(__xludf.DUMMYFUNCTION("""COMPUTED_VALUE"""),"RTS100339")</f>
        <v>RTS100339</v>
      </c>
      <c r="S354" s="2" t="str">
        <f>IFERROR(__xludf.DUMMYFUNCTION("""COMPUTED_VALUE"""),"R-SERIES 371 PH")</f>
        <v>R-SERIES 371 PH</v>
      </c>
      <c r="T354" s="2" t="str">
        <f>IFERROR(__xludf.DUMMYFUNCTION("""COMPUTED_VALUE"""),"LSGW1750 RMP 24020479")</f>
        <v>LSGW1750 RMP 24020479</v>
      </c>
      <c r="U354" s="2" t="str">
        <f>IFERROR(__xludf.DUMMYFUNCTION("""COMPUTED_VALUE"""),"WDP40-RMP-24040530")</f>
        <v>WDP40-RMP-24040530</v>
      </c>
      <c r="V354" s="2"/>
      <c r="W354" s="2" t="str">
        <f>IFERROR(__xludf.DUMMYFUNCTION("""COMPUTED_VALUE"""),"VL103D")</f>
        <v>VL103D</v>
      </c>
      <c r="X354" s="2"/>
      <c r="Y354" s="2"/>
      <c r="Z354" s="2"/>
      <c r="AA354" s="2"/>
      <c r="AB354" s="2"/>
    </row>
    <row r="355">
      <c r="A355" s="2" t="str">
        <f>IFERROR(__xludf.DUMMYFUNCTION("""COMPUTED_VALUE"""),"TT00353")</f>
        <v>TT00353</v>
      </c>
      <c r="B355" s="2" t="str">
        <f>IFERROR(__xludf.DUMMYFUNCTION("""COMPUTED_VALUE"""),"w/ pending")</f>
        <v>w/ pending</v>
      </c>
      <c r="C355" s="2" t="str">
        <f>IFERROR(__xludf.DUMMYFUNCTION("""COMPUTED_VALUE"""),"FOR BILLING L2, w/ pending")</f>
        <v>FOR BILLING L2, w/ pending</v>
      </c>
      <c r="D355" s="2" t="str">
        <f>IFERROR(__xludf.DUMMYFUNCTION("""COMPUTED_VALUE"""),"Pardas Lubas Binalonan Farmers Association Inc.")</f>
        <v>Pardas Lubas Binalonan Farmers Association Inc.</v>
      </c>
      <c r="E355" s="2" t="str">
        <f>IFERROR(__xludf.DUMMYFUNCTION("""COMPUTED_VALUE"""),"Santa Catalina, Binalonan, PANGASINAN")</f>
        <v>Santa Catalina, Binalonan, PANGASINAN</v>
      </c>
      <c r="F355" s="2" t="str">
        <f>IFERROR(__xludf.DUMMYFUNCTION("""COMPUTED_VALUE"""),"REYLY M. NAVARRO")</f>
        <v>REYLY M. NAVARRO</v>
      </c>
      <c r="G355" s="2" t="str">
        <f>IFERROR(__xludf.DUMMYFUNCTION("""COMPUTED_VALUE"""),"0915 431 3160")</f>
        <v>0915 431 3160</v>
      </c>
      <c r="H355" s="2" t="str">
        <f>IFERROR(__xludf.DUMMYFUNCTION("""COMPUTED_VALUE"""),"X")</f>
        <v>X</v>
      </c>
      <c r="I355" s="2"/>
      <c r="J355" s="2" t="str">
        <f>IFERROR(__xludf.DUMMYFUNCTION("""COMPUTED_VALUE"""),"Disc Plow")</f>
        <v>Disc Plow</v>
      </c>
      <c r="K355" s="2" t="str">
        <f>IFERROR(__xludf.DUMMYFUNCTION("""COMPUTED_VALUE"""),"RCEF 23-09-21 Rebidding")</f>
        <v>RCEF 23-09-21 Rebidding</v>
      </c>
      <c r="L355" s="2">
        <f>IFERROR(__xludf.DUMMYFUNCTION("""COMPUTED_VALUE"""),2.0)</f>
        <v>2</v>
      </c>
      <c r="M355" s="2"/>
      <c r="N355" s="74">
        <f>IFERROR(__xludf.DUMMYFUNCTION("""COMPUTED_VALUE"""),45398.0)</f>
        <v>45398</v>
      </c>
      <c r="O355" s="2"/>
      <c r="P355" s="2">
        <f>IFERROR(__xludf.DUMMYFUNCTION("""COMPUTED_VALUE"""),18995.0)</f>
        <v>18995</v>
      </c>
      <c r="Q355" s="2" t="str">
        <f>IFERROR(__xludf.DUMMYFUNCTION("""COMPUTED_VALUE"""),"KMC5825AJRFPV0424")</f>
        <v>KMC5825AJRFPV0424</v>
      </c>
      <c r="R355" s="2" t="str">
        <f>IFERROR(__xludf.DUMMYFUNCTION("""COMPUTED_VALUE"""),"RTS100322")</f>
        <v>RTS100322</v>
      </c>
      <c r="S355" s="2" t="str">
        <f>IFERROR(__xludf.DUMMYFUNCTION("""COMPUTED_VALUE"""),"R-SERIES 362 PH")</f>
        <v>R-SERIES 362 PH</v>
      </c>
      <c r="T355" s="2" t="str">
        <f>IFERROR(__xludf.DUMMYFUNCTION("""COMPUTED_VALUE"""),"LSGW1750 RMP 24020409")</f>
        <v>LSGW1750 RMP 24020409</v>
      </c>
      <c r="U355" s="2" t="str">
        <f>IFERROR(__xludf.DUMMYFUNCTION("""COMPUTED_VALUE"""),"WDP-40-RMP-24050554")</f>
        <v>WDP-40-RMP-24050554</v>
      </c>
      <c r="V355" s="2"/>
      <c r="W355" s="2" t="str">
        <f>IFERROR(__xludf.DUMMYFUNCTION("""COMPUTED_VALUE"""),"VL103D")</f>
        <v>VL103D</v>
      </c>
      <c r="X355" s="2"/>
      <c r="Y355" s="2"/>
      <c r="Z355" s="2"/>
      <c r="AA355" s="2"/>
      <c r="AB355" s="2"/>
    </row>
    <row r="356">
      <c r="A356" s="2" t="str">
        <f>IFERROR(__xludf.DUMMYFUNCTION("""COMPUTED_VALUE"""),"TT00354")</f>
        <v>TT00354</v>
      </c>
      <c r="B356" s="2" t="str">
        <f>IFERROR(__xludf.DUMMYFUNCTION("""COMPUTED_VALUE"""),"w/ pending")</f>
        <v>w/ pending</v>
      </c>
      <c r="C356" s="2" t="str">
        <f>IFERROR(__xludf.DUMMYFUNCTION("""COMPUTED_VALUE"""),"FOR BILLING L2, w/ pending")</f>
        <v>FOR BILLING L2, w/ pending</v>
      </c>
      <c r="D356" s="2" t="str">
        <f>IFERROR(__xludf.DUMMYFUNCTION("""COMPUTED_VALUE"""),"Rang-ay Dumayat Binalonan Farmers Association Inc.")</f>
        <v>Rang-ay Dumayat Binalonan Farmers Association Inc.</v>
      </c>
      <c r="E356" s="2" t="str">
        <f>IFERROR(__xludf.DUMMYFUNCTION("""COMPUTED_VALUE"""),"Dumayat, Binalonan, PANGASINAN")</f>
        <v>Dumayat, Binalonan, PANGASINAN</v>
      </c>
      <c r="F356" s="2" t="str">
        <f>IFERROR(__xludf.DUMMYFUNCTION("""COMPUTED_VALUE"""),"Arnel Alibuyog")</f>
        <v>Arnel Alibuyog</v>
      </c>
      <c r="G356" s="2" t="str">
        <f>IFERROR(__xludf.DUMMYFUNCTION("""COMPUTED_VALUE"""),"0935 864 6123")</f>
        <v>0935 864 6123</v>
      </c>
      <c r="H356" s="2" t="str">
        <f>IFERROR(__xludf.DUMMYFUNCTION("""COMPUTED_VALUE"""),"X")</f>
        <v>X</v>
      </c>
      <c r="I356" s="2"/>
      <c r="J356" s="2" t="str">
        <f>IFERROR(__xludf.DUMMYFUNCTION("""COMPUTED_VALUE"""),"Disc Plow")</f>
        <v>Disc Plow</v>
      </c>
      <c r="K356" s="2" t="str">
        <f>IFERROR(__xludf.DUMMYFUNCTION("""COMPUTED_VALUE"""),"RCEF 23-09-21 Rebidding")</f>
        <v>RCEF 23-09-21 Rebidding</v>
      </c>
      <c r="L356" s="2">
        <f>IFERROR(__xludf.DUMMYFUNCTION("""COMPUTED_VALUE"""),2.0)</f>
        <v>2</v>
      </c>
      <c r="M356" s="2"/>
      <c r="N356" s="74">
        <f>IFERROR(__xludf.DUMMYFUNCTION("""COMPUTED_VALUE"""),45398.0)</f>
        <v>45398</v>
      </c>
      <c r="O356" s="2"/>
      <c r="P356" s="2">
        <f>IFERROR(__xludf.DUMMYFUNCTION("""COMPUTED_VALUE"""),18996.0)</f>
        <v>18996</v>
      </c>
      <c r="Q356" s="2" t="str">
        <f>IFERROR(__xludf.DUMMYFUNCTION("""COMPUTED_VALUE"""),"KMC5825ACRFBVO305")</f>
        <v>KMC5825ACRFBVO305</v>
      </c>
      <c r="R356" s="2" t="str">
        <f>IFERROR(__xludf.DUMMYFUNCTION("""COMPUTED_VALUE"""),"RTS100187")</f>
        <v>RTS100187</v>
      </c>
      <c r="S356" s="2" t="str">
        <f>IFERROR(__xludf.DUMMYFUNCTION("""COMPUTED_VALUE"""),"R-SERIES 410 PH")</f>
        <v>R-SERIES 410 PH</v>
      </c>
      <c r="T356" s="2" t="str">
        <f>IFERROR(__xludf.DUMMYFUNCTION("""COMPUTED_VALUE"""),"LSGW1750 RMP 24020511")</f>
        <v>LSGW1750 RMP 24020511</v>
      </c>
      <c r="U356" s="2" t="str">
        <f>IFERROR(__xludf.DUMMYFUNCTION("""COMPUTED_VALUE"""),"WDP-40-RMP-24040518")</f>
        <v>WDP-40-RMP-24040518</v>
      </c>
      <c r="V356" s="2"/>
      <c r="W356" s="2" t="str">
        <f>IFERROR(__xludf.DUMMYFUNCTION("""COMPUTED_VALUE"""),"VL103D")</f>
        <v>VL103D</v>
      </c>
      <c r="X356" s="2"/>
      <c r="Y356" s="2"/>
      <c r="Z356" s="2"/>
      <c r="AA356" s="2"/>
      <c r="AB356" s="2"/>
    </row>
    <row r="357">
      <c r="A357" s="2" t="str">
        <f>IFERROR(__xludf.DUMMYFUNCTION("""COMPUTED_VALUE"""),"TT00355")</f>
        <v>TT00355</v>
      </c>
      <c r="B357" s="2" t="str">
        <f>IFERROR(__xludf.DUMMYFUNCTION("""COMPUTED_VALUE"""),"w/ pending")</f>
        <v>w/ pending</v>
      </c>
      <c r="C357" s="2" t="str">
        <f>IFERROR(__xludf.DUMMYFUNCTION("""COMPUTED_VALUE"""),"FOR BILLING L2, w/ pending")</f>
        <v>FOR BILLING L2, w/ pending</v>
      </c>
      <c r="D357" s="2" t="str">
        <f>IFERROR(__xludf.DUMMYFUNCTION("""COMPUTED_VALUE"""),"SOLID PANAGANIAN FARMERS ASSOCIATION INC.")</f>
        <v>SOLID PANAGANIAN FARMERS ASSOCIATION INC.</v>
      </c>
      <c r="E357" s="2" t="str">
        <f>IFERROR(__xludf.DUMMYFUNCTION("""COMPUTED_VALUE"""),"Panaga, Laoac, PANGASINAN")</f>
        <v>Panaga, Laoac, PANGASINAN</v>
      </c>
      <c r="F357" s="2" t="str">
        <f>IFERROR(__xludf.DUMMYFUNCTION("""COMPUTED_VALUE"""),"Mario B. Barlolong")</f>
        <v>Mario B. Barlolong</v>
      </c>
      <c r="G357" s="2" t="str">
        <f>IFERROR(__xludf.DUMMYFUNCTION("""COMPUTED_VALUE"""),"0945 328 4125")</f>
        <v>0945 328 4125</v>
      </c>
      <c r="H357" s="2" t="str">
        <f>IFERROR(__xludf.DUMMYFUNCTION("""COMPUTED_VALUE"""),"/")</f>
        <v>/</v>
      </c>
      <c r="I357" s="2"/>
      <c r="J357" s="2" t="str">
        <f>IFERROR(__xludf.DUMMYFUNCTION("""COMPUTED_VALUE"""),"Disc Plow")</f>
        <v>Disc Plow</v>
      </c>
      <c r="K357" s="2" t="str">
        <f>IFERROR(__xludf.DUMMYFUNCTION("""COMPUTED_VALUE"""),"RCEF 23-09-21 Rebidding")</f>
        <v>RCEF 23-09-21 Rebidding</v>
      </c>
      <c r="L357" s="2">
        <f>IFERROR(__xludf.DUMMYFUNCTION("""COMPUTED_VALUE"""),2.0)</f>
        <v>2</v>
      </c>
      <c r="M357" s="2"/>
      <c r="N357" s="74">
        <f>IFERROR(__xludf.DUMMYFUNCTION("""COMPUTED_VALUE"""),45398.0)</f>
        <v>45398</v>
      </c>
      <c r="O357" s="2"/>
      <c r="P357" s="2">
        <f>IFERROR(__xludf.DUMMYFUNCTION("""COMPUTED_VALUE"""),18997.0)</f>
        <v>18997</v>
      </c>
      <c r="Q357" s="2" t="str">
        <f>IFERROR(__xludf.DUMMYFUNCTION("""COMPUTED_VALUE"""),"KMC5825ACRFPV0319")</f>
        <v>KMC5825ACRFPV0319</v>
      </c>
      <c r="R357" s="2" t="str">
        <f>IFERROR(__xludf.DUMMYFUNCTION("""COMPUTED_VALUE"""),"RTS100203")</f>
        <v>RTS100203</v>
      </c>
      <c r="S357" s="2" t="str">
        <f>IFERROR(__xludf.DUMMYFUNCTION("""COMPUTED_VALUE"""),"R-SERIES 404")</f>
        <v>R-SERIES 404</v>
      </c>
      <c r="T357" s="2" t="str">
        <f>IFERROR(__xludf.DUMMYFUNCTION("""COMPUTED_VALUE"""),"LSGW1750-RMP-24020448")</f>
        <v>LSGW1750-RMP-24020448</v>
      </c>
      <c r="U357" s="2" t="str">
        <f>IFERROR(__xludf.DUMMYFUNCTION("""COMPUTED_VALUE"""),"WDP40-RMP-24040528")</f>
        <v>WDP40-RMP-24040528</v>
      </c>
      <c r="V357" s="2"/>
      <c r="W357" s="2" t="str">
        <f>IFERROR(__xludf.DUMMYFUNCTION("""COMPUTED_VALUE"""),"VL103D")</f>
        <v>VL103D</v>
      </c>
      <c r="X357" s="2"/>
      <c r="Y357" s="2"/>
      <c r="Z357" s="2"/>
      <c r="AA357" s="2"/>
      <c r="AB357" s="2"/>
    </row>
    <row r="358">
      <c r="A358" s="2" t="str">
        <f>IFERROR(__xludf.DUMMYFUNCTION("""COMPUTED_VALUE"""),"TT00356")</f>
        <v>TT00356</v>
      </c>
      <c r="B358" s="2" t="str">
        <f>IFERROR(__xludf.DUMMYFUNCTION("""COMPUTED_VALUE"""),"w/ pending")</f>
        <v>w/ pending</v>
      </c>
      <c r="C358" s="2" t="str">
        <f>IFERROR(__xludf.DUMMYFUNCTION("""COMPUTED_VALUE"""),"FOR BILLING L2, w/ pending")</f>
        <v>FOR BILLING L2, w/ pending</v>
      </c>
      <c r="D358" s="2" t="str">
        <f>IFERROR(__xludf.DUMMYFUNCTION("""COMPUTED_VALUE"""),"CAURINGAN ASAN FARMERS IRRIGATORS' ASSOCIATION, INC.")</f>
        <v>CAURINGAN ASAN FARMERS IRRIGATORS' ASSOCIATION, INC.</v>
      </c>
      <c r="E358" s="2" t="str">
        <f>IFERROR(__xludf.DUMMYFUNCTION("""COMPUTED_VALUE"""),"Poblacion Central, Sison, PANGASINAN")</f>
        <v>Poblacion Central, Sison, PANGASINAN</v>
      </c>
      <c r="F358" s="2" t="str">
        <f>IFERROR(__xludf.DUMMYFUNCTION("""COMPUTED_VALUE"""),"Johnny N. Ellana")</f>
        <v>Johnny N. Ellana</v>
      </c>
      <c r="G358" s="2" t="str">
        <f>IFERROR(__xludf.DUMMYFUNCTION("""COMPUTED_VALUE"""),"0912-621-2047")</f>
        <v>0912-621-2047</v>
      </c>
      <c r="H358" s="2" t="str">
        <f>IFERROR(__xludf.DUMMYFUNCTION("""COMPUTED_VALUE"""),"/")</f>
        <v>/</v>
      </c>
      <c r="I358" s="2"/>
      <c r="J358" s="2" t="str">
        <f>IFERROR(__xludf.DUMMYFUNCTION("""COMPUTED_VALUE"""),"Disc Plow")</f>
        <v>Disc Plow</v>
      </c>
      <c r="K358" s="2" t="str">
        <f>IFERROR(__xludf.DUMMYFUNCTION("""COMPUTED_VALUE"""),"RCEF 23-09-21 Rebidding")</f>
        <v>RCEF 23-09-21 Rebidding</v>
      </c>
      <c r="L358" s="2">
        <f>IFERROR(__xludf.DUMMYFUNCTION("""COMPUTED_VALUE"""),2.0)</f>
        <v>2</v>
      </c>
      <c r="M358" s="2"/>
      <c r="N358" s="74">
        <f>IFERROR(__xludf.DUMMYFUNCTION("""COMPUTED_VALUE"""),45398.0)</f>
        <v>45398</v>
      </c>
      <c r="O358" s="2"/>
      <c r="P358" s="2">
        <f>IFERROR(__xludf.DUMMYFUNCTION("""COMPUTED_VALUE"""),18998.0)</f>
        <v>18998</v>
      </c>
      <c r="Q358" s="2" t="str">
        <f>IFERROR(__xludf.DUMMYFUNCTION("""COMPUTED_VALUE"""),"KMC5825ACRFPV0319")</f>
        <v>KMC5825ACRFPV0319</v>
      </c>
      <c r="R358" s="2" t="str">
        <f>IFERROR(__xludf.DUMMYFUNCTION("""COMPUTED_VALUE"""),"RTS100203")</f>
        <v>RTS100203</v>
      </c>
      <c r="S358" s="2" t="str">
        <f>IFERROR(__xludf.DUMMYFUNCTION("""COMPUTED_VALUE"""),"R-SERIES 404")</f>
        <v>R-SERIES 404</v>
      </c>
      <c r="T358" s="2" t="str">
        <f>IFERROR(__xludf.DUMMYFUNCTION("""COMPUTED_VALUE"""),"LSGW1750-RMP-24020448")</f>
        <v>LSGW1750-RMP-24020448</v>
      </c>
      <c r="U358" s="2" t="str">
        <f>IFERROR(__xludf.DUMMYFUNCTION("""COMPUTED_VALUE"""),"WDP40-RMP-24040528")</f>
        <v>WDP40-RMP-24040528</v>
      </c>
      <c r="V358" s="2"/>
      <c r="W358" s="2" t="str">
        <f>IFERROR(__xludf.DUMMYFUNCTION("""COMPUTED_VALUE"""),"VL103D")</f>
        <v>VL103D</v>
      </c>
      <c r="X358" s="2"/>
      <c r="Y358" s="2"/>
      <c r="Z358" s="2"/>
      <c r="AA358" s="2"/>
      <c r="AB358" s="2"/>
    </row>
    <row r="359">
      <c r="A359" s="2" t="str">
        <f>IFERROR(__xludf.DUMMYFUNCTION("""COMPUTED_VALUE"""),"TT00357")</f>
        <v>TT00357</v>
      </c>
      <c r="B359" s="2" t="str">
        <f>IFERROR(__xludf.DUMMYFUNCTION("""COMPUTED_VALUE"""),"w/ pending")</f>
        <v>w/ pending</v>
      </c>
      <c r="C359" s="2" t="str">
        <f>IFERROR(__xludf.DUMMYFUNCTION("""COMPUTED_VALUE"""),"FOR BILLING L2, w/ pending")</f>
        <v>FOR BILLING L2, w/ pending</v>
      </c>
      <c r="D359" s="2" t="str">
        <f>IFERROR(__xludf.DUMMYFUNCTION("""COMPUTED_VALUE"""),"Nancamaliran West Biskeg Farmers Association")</f>
        <v>Nancamaliran West Biskeg Farmers Association</v>
      </c>
      <c r="E359" s="2" t="str">
        <f>IFERROR(__xludf.DUMMYFUNCTION("""COMPUTED_VALUE"""),"Nancamaliran West, Urdaneta City, PANGASINAN")</f>
        <v>Nancamaliran West, Urdaneta City, PANGASINAN</v>
      </c>
      <c r="F359" s="2" t="str">
        <f>IFERROR(__xludf.DUMMYFUNCTION("""COMPUTED_VALUE"""),"Felix M. Cudiamat")</f>
        <v>Felix M. Cudiamat</v>
      </c>
      <c r="G359" s="2" t="str">
        <f>IFERROR(__xludf.DUMMYFUNCTION("""COMPUTED_VALUE"""),"0909 034 0851")</f>
        <v>0909 034 0851</v>
      </c>
      <c r="H359" s="2" t="str">
        <f>IFERROR(__xludf.DUMMYFUNCTION("""COMPUTED_VALUE"""),"/")</f>
        <v>/</v>
      </c>
      <c r="I359" s="2"/>
      <c r="J359" s="2" t="str">
        <f>IFERROR(__xludf.DUMMYFUNCTION("""COMPUTED_VALUE"""),"Disc Plow")</f>
        <v>Disc Plow</v>
      </c>
      <c r="K359" s="2" t="str">
        <f>IFERROR(__xludf.DUMMYFUNCTION("""COMPUTED_VALUE"""),"RCEF 23-09-21 Rebidding")</f>
        <v>RCEF 23-09-21 Rebidding</v>
      </c>
      <c r="L359" s="2">
        <f>IFERROR(__xludf.DUMMYFUNCTION("""COMPUTED_VALUE"""),2.0)</f>
        <v>2</v>
      </c>
      <c r="M359" s="2"/>
      <c r="N359" s="74">
        <f>IFERROR(__xludf.DUMMYFUNCTION("""COMPUTED_VALUE"""),45398.0)</f>
        <v>45398</v>
      </c>
      <c r="O359" s="2"/>
      <c r="P359" s="2">
        <f>IFERROR(__xludf.DUMMYFUNCTION("""COMPUTED_VALUE"""),18999.0)</f>
        <v>18999</v>
      </c>
      <c r="Q359" s="2" t="str">
        <f>IFERROR(__xludf.DUMMYFUNCTION("""COMPUTED_VALUE"""),"KMC5825ATRFPV0368")</f>
        <v>KMC5825ATRFPV0368</v>
      </c>
      <c r="R359" s="2" t="str">
        <f>IFERROR(__xludf.DUMMYFUNCTION("""COMPUTED_VALUE"""),"RTS100273")</f>
        <v>RTS100273</v>
      </c>
      <c r="S359" s="2" t="str">
        <f>IFERROR(__xludf.DUMMYFUNCTION("""COMPUTED_VALUE"""),"R-SERIES 378")</f>
        <v>R-SERIES 378</v>
      </c>
      <c r="T359" s="2" t="str">
        <f>IFERROR(__xludf.DUMMYFUNCTION("""COMPUTED_VALUE"""),"LSGW1750-RMP-24020445")</f>
        <v>LSGW1750-RMP-24020445</v>
      </c>
      <c r="U359" s="2" t="str">
        <f>IFERROR(__xludf.DUMMYFUNCTION("""COMPUTED_VALUE"""),"WDP40-RMP-24040538")</f>
        <v>WDP40-RMP-24040538</v>
      </c>
      <c r="V359" s="2"/>
      <c r="W359" s="2" t="str">
        <f>IFERROR(__xludf.DUMMYFUNCTION("""COMPUTED_VALUE"""),"VL103D")</f>
        <v>VL103D</v>
      </c>
      <c r="X359" s="2"/>
      <c r="Y359" s="2"/>
      <c r="Z359" s="2"/>
      <c r="AA359" s="2"/>
      <c r="AB359" s="2"/>
    </row>
    <row r="360">
      <c r="A360" s="2" t="str">
        <f>IFERROR(__xludf.DUMMYFUNCTION("""COMPUTED_VALUE"""),"TT00358")</f>
        <v>TT00358</v>
      </c>
      <c r="B360" s="2" t="str">
        <f>IFERROR(__xludf.DUMMYFUNCTION("""COMPUTED_VALUE"""),"w/ pending")</f>
        <v>w/ pending</v>
      </c>
      <c r="C360" s="2" t="str">
        <f>IFERROR(__xludf.DUMMYFUNCTION("""COMPUTED_VALUE"""),"FOR BILLING L2, w/ pending")</f>
        <v>FOR BILLING L2, w/ pending</v>
      </c>
      <c r="D360" s="2" t="str">
        <f>IFERROR(__xludf.DUMMYFUNCTION("""COMPUTED_VALUE"""),"SANMIGUELUNA RICE AND CORN FARMERS ASSN. INC.")</f>
        <v>SANMIGUELUNA RICE AND CORN FARMERS ASSN. INC.</v>
      </c>
      <c r="E360" s="2" t="str">
        <f>IFERROR(__xludf.DUMMYFUNCTION("""COMPUTED_VALUE"""),"San Miguel, Natividad, PANGASINAN")</f>
        <v>San Miguel, Natividad, PANGASINAN</v>
      </c>
      <c r="F360" s="2" t="str">
        <f>IFERROR(__xludf.DUMMYFUNCTION("""COMPUTED_VALUE"""),"Pablo R. Estillore")</f>
        <v>Pablo R. Estillore</v>
      </c>
      <c r="G360" s="2">
        <f>IFERROR(__xludf.DUMMYFUNCTION("""COMPUTED_VALUE"""),1.0)</f>
        <v>1</v>
      </c>
      <c r="H360" s="2" t="str">
        <f>IFERROR(__xludf.DUMMYFUNCTION("""COMPUTED_VALUE"""),"X")</f>
        <v>X</v>
      </c>
      <c r="I360" s="2"/>
      <c r="J360" s="2" t="str">
        <f>IFERROR(__xludf.DUMMYFUNCTION("""COMPUTED_VALUE"""),"Disc Plow")</f>
        <v>Disc Plow</v>
      </c>
      <c r="K360" s="2" t="str">
        <f>IFERROR(__xludf.DUMMYFUNCTION("""COMPUTED_VALUE"""),"RCEF 23-09-21 Rebidding")</f>
        <v>RCEF 23-09-21 Rebidding</v>
      </c>
      <c r="L360" s="2">
        <f>IFERROR(__xludf.DUMMYFUNCTION("""COMPUTED_VALUE"""),2.0)</f>
        <v>2</v>
      </c>
      <c r="M360" s="2"/>
      <c r="N360" s="74">
        <f>IFERROR(__xludf.DUMMYFUNCTION("""COMPUTED_VALUE"""),45398.0)</f>
        <v>45398</v>
      </c>
      <c r="O360" s="2"/>
      <c r="P360" s="2">
        <f>IFERROR(__xludf.DUMMYFUNCTION("""COMPUTED_VALUE"""),19000.0)</f>
        <v>19000</v>
      </c>
      <c r="Q360" s="2" t="str">
        <f>IFERROR(__xludf.DUMMYFUNCTION("""COMPUTED_VALUE"""),"KMC5825ALRFPV0378")</f>
        <v>KMC5825ALRFPV0378</v>
      </c>
      <c r="R360" s="2" t="str">
        <f>IFERROR(__xludf.DUMMYFUNCTION("""COMPUTED_VALUE"""),"RTS100266")</f>
        <v>RTS100266</v>
      </c>
      <c r="S360" s="2" t="str">
        <f>IFERROR(__xludf.DUMMYFUNCTION("""COMPUTED_VALUE"""),"R-SERIES 402")</f>
        <v>R-SERIES 402</v>
      </c>
      <c r="T360" s="2" t="str">
        <f>IFERROR(__xludf.DUMMYFUNCTION("""COMPUTED_VALUE"""),"LSGW1750-RMP-24020527")</f>
        <v>LSGW1750-RMP-24020527</v>
      </c>
      <c r="U360" s="2" t="str">
        <f>IFERROR(__xludf.DUMMYFUNCTION("""COMPUTED_VALUE"""),"WDP40-RMP-24040520")</f>
        <v>WDP40-RMP-24040520</v>
      </c>
      <c r="V360" s="2"/>
      <c r="W360" s="2" t="str">
        <f>IFERROR(__xludf.DUMMYFUNCTION("""COMPUTED_VALUE"""),"VL103D")</f>
        <v>VL103D</v>
      </c>
      <c r="X360" s="2"/>
      <c r="Y360" s="2"/>
      <c r="Z360" s="2"/>
      <c r="AA360" s="2"/>
      <c r="AB360" s="2"/>
    </row>
    <row r="361">
      <c r="A361" s="2" t="str">
        <f>IFERROR(__xludf.DUMMYFUNCTION("""COMPUTED_VALUE"""),"TT00359")</f>
        <v>TT00359</v>
      </c>
      <c r="B361" s="2" t="str">
        <f>IFERROR(__xludf.DUMMYFUNCTION("""COMPUTED_VALUE"""),"w/ pending")</f>
        <v>w/ pending</v>
      </c>
      <c r="C361" s="2" t="str">
        <f>IFERROR(__xludf.DUMMYFUNCTION("""COMPUTED_VALUE"""),"FOR BILLING L2, w/ pending")</f>
        <v>FOR BILLING L2, w/ pending</v>
      </c>
      <c r="D361" s="2" t="str">
        <f>IFERROR(__xludf.DUMMYFUNCTION("""COMPUTED_VALUE"""),"TIMPUYOG TI MANNALON ITI ROSALES INC.")</f>
        <v>TIMPUYOG TI MANNALON ITI ROSALES INC.</v>
      </c>
      <c r="E361" s="2" t="str">
        <f>IFERROR(__xludf.DUMMYFUNCTION("""COMPUTED_VALUE"""),"Zone V (Pob.), Rosales Pangsinan")</f>
        <v>Zone V (Pob.), Rosales Pangsinan</v>
      </c>
      <c r="F361" s="2" t="str">
        <f>IFERROR(__xludf.DUMMYFUNCTION("""COMPUTED_VALUE"""),"Romeo L. Lilagan Sr.")</f>
        <v>Romeo L. Lilagan Sr.</v>
      </c>
      <c r="G361" s="2" t="str">
        <f>IFERROR(__xludf.DUMMYFUNCTION("""COMPUTED_VALUE"""),"0945-509-5214")</f>
        <v>0945-509-5214</v>
      </c>
      <c r="H361" s="2"/>
      <c r="I361" s="2"/>
      <c r="J361" s="2" t="str">
        <f>IFERROR(__xludf.DUMMYFUNCTION("""COMPUTED_VALUE"""),"Disc Plow")</f>
        <v>Disc Plow</v>
      </c>
      <c r="K361" s="2" t="str">
        <f>IFERROR(__xludf.DUMMYFUNCTION("""COMPUTED_VALUE"""),"RCEF 23-09-21 Rebidding")</f>
        <v>RCEF 23-09-21 Rebidding</v>
      </c>
      <c r="L361" s="2">
        <f>IFERROR(__xludf.DUMMYFUNCTION("""COMPUTED_VALUE"""),2.0)</f>
        <v>2</v>
      </c>
      <c r="M361" s="2"/>
      <c r="N361" s="74">
        <f>IFERROR(__xludf.DUMMYFUNCTION("""COMPUTED_VALUE"""),45398.0)</f>
        <v>45398</v>
      </c>
      <c r="O361" s="2"/>
      <c r="P361" s="2">
        <f>IFERROR(__xludf.DUMMYFUNCTION("""COMPUTED_VALUE"""),19001.0)</f>
        <v>19001</v>
      </c>
      <c r="Q361" s="2" t="str">
        <f>IFERROR(__xludf.DUMMYFUNCTION("""COMPUTED_VALUE"""),"BA")</f>
        <v>BA</v>
      </c>
      <c r="R361" s="2" t="str">
        <f>IFERROR(__xludf.DUMMYFUNCTION("""COMPUTED_VALUE"""),"RTS100259")</f>
        <v>RTS100259</v>
      </c>
      <c r="S361" s="2" t="str">
        <f>IFERROR(__xludf.DUMMYFUNCTION("""COMPUTED_VALUE"""),"R-SERIES 400")</f>
        <v>R-SERIES 400</v>
      </c>
      <c r="T361" s="2" t="str">
        <f>IFERROR(__xludf.DUMMYFUNCTION("""COMPUTED_VALUE"""),"LSGW1750 -RMP-24020521")</f>
        <v>LSGW1750 -RMP-24020521</v>
      </c>
      <c r="U361" s="2" t="str">
        <f>IFERROR(__xludf.DUMMYFUNCTION("""COMPUTED_VALUE"""),"WDP-40-RMP-24040524")</f>
        <v>WDP-40-RMP-24040524</v>
      </c>
      <c r="V361" s="2"/>
      <c r="W361" s="2" t="str">
        <f>IFERROR(__xludf.DUMMYFUNCTION("""COMPUTED_VALUE"""),"VL103D")</f>
        <v>VL103D</v>
      </c>
      <c r="X361" s="2"/>
      <c r="Y361" s="2"/>
      <c r="Z361" s="2"/>
      <c r="AA361" s="2"/>
      <c r="AB361" s="2"/>
    </row>
    <row r="362">
      <c r="A362" s="2" t="str">
        <f>IFERROR(__xludf.DUMMYFUNCTION("""COMPUTED_VALUE"""),"TT00360")</f>
        <v>TT00360</v>
      </c>
      <c r="B362" s="2" t="str">
        <f>IFERROR(__xludf.DUMMYFUNCTION("""COMPUTED_VALUE"""),"w/ pending")</f>
        <v>w/ pending</v>
      </c>
      <c r="C362" s="2" t="str">
        <f>IFERROR(__xludf.DUMMYFUNCTION("""COMPUTED_VALUE"""),"FOR BILLING L2, w/ pending")</f>
        <v>FOR BILLING L2, w/ pending</v>
      </c>
      <c r="D362" s="2" t="str">
        <f>IFERROR(__xludf.DUMMYFUNCTION("""COMPUTED_VALUE"""),"ALOLA SAN JOSE ROQUE IRRIGATORS ASSOCIATION INC.")</f>
        <v>ALOLA SAN JOSE ROQUE IRRIGATORS ASSOCIATION INC.</v>
      </c>
      <c r="E362" s="2" t="str">
        <f>IFERROR(__xludf.DUMMYFUNCTION("""COMPUTED_VALUE"""),"San Jose, San Nicolas, PANGASINAN")</f>
        <v>San Jose, San Nicolas, PANGASINAN</v>
      </c>
      <c r="F362" s="2" t="str">
        <f>IFERROR(__xludf.DUMMYFUNCTION("""COMPUTED_VALUE"""),"Gregorio L. Belmoro")</f>
        <v>Gregorio L. Belmoro</v>
      </c>
      <c r="G362" s="2" t="str">
        <f>IFERROR(__xludf.DUMMYFUNCTION("""COMPUTED_VALUE"""),"0999-332-5063")</f>
        <v>0999-332-5063</v>
      </c>
      <c r="H362" s="2" t="str">
        <f>IFERROR(__xludf.DUMMYFUNCTION("""COMPUTED_VALUE"""),"X")</f>
        <v>X</v>
      </c>
      <c r="I362" s="2"/>
      <c r="J362" s="2" t="str">
        <f>IFERROR(__xludf.DUMMYFUNCTION("""COMPUTED_VALUE"""),"Disc Plow")</f>
        <v>Disc Plow</v>
      </c>
      <c r="K362" s="2" t="str">
        <f>IFERROR(__xludf.DUMMYFUNCTION("""COMPUTED_VALUE"""),"RCEF 23-09-21 Rebidding")</f>
        <v>RCEF 23-09-21 Rebidding</v>
      </c>
      <c r="L362" s="2">
        <f>IFERROR(__xludf.DUMMYFUNCTION("""COMPUTED_VALUE"""),2.0)</f>
        <v>2</v>
      </c>
      <c r="M362" s="2"/>
      <c r="N362" s="74">
        <f>IFERROR(__xludf.DUMMYFUNCTION("""COMPUTED_VALUE"""),45398.0)</f>
        <v>45398</v>
      </c>
      <c r="O362" s="2"/>
      <c r="P362" s="2">
        <f>IFERROR(__xludf.DUMMYFUNCTION("""COMPUTED_VALUE"""),19002.0)</f>
        <v>19002</v>
      </c>
      <c r="Q362" s="2" t="str">
        <f>IFERROR(__xludf.DUMMYFUNCTION("""COMPUTED_VALUE"""),"KMC5825AJRFPV0374")</f>
        <v>KMC5825AJRFPV0374</v>
      </c>
      <c r="R362" s="2" t="str">
        <f>IFERROR(__xludf.DUMMYFUNCTION("""COMPUTED_VALUE"""),"RTS100271")</f>
        <v>RTS100271</v>
      </c>
      <c r="S362" s="2" t="str">
        <f>IFERROR(__xludf.DUMMYFUNCTION("""COMPUTED_VALUE"""),"R-SERIES 436")</f>
        <v>R-SERIES 436</v>
      </c>
      <c r="T362" s="2" t="str">
        <f>IFERROR(__xludf.DUMMYFUNCTION("""COMPUTED_VALUE"""),"LSGW1750-RMP-24020528")</f>
        <v>LSGW1750-RMP-24020528</v>
      </c>
      <c r="U362" s="2" t="str">
        <f>IFERROR(__xludf.DUMMYFUNCTION("""COMPUTED_VALUE"""),"WDP40-RMP-24040532")</f>
        <v>WDP40-RMP-24040532</v>
      </c>
      <c r="V362" s="2"/>
      <c r="W362" s="2" t="str">
        <f>IFERROR(__xludf.DUMMYFUNCTION("""COMPUTED_VALUE"""),"VL103D")</f>
        <v>VL103D</v>
      </c>
      <c r="X362" s="2"/>
      <c r="Y362" s="2"/>
      <c r="Z362" s="2"/>
      <c r="AA362" s="2"/>
      <c r="AB362" s="2"/>
    </row>
    <row r="363">
      <c r="A363" s="2" t="str">
        <f>IFERROR(__xludf.DUMMYFUNCTION("""COMPUTED_VALUE"""),"TT00361")</f>
        <v>TT00361</v>
      </c>
      <c r="B363" s="2" t="str">
        <f>IFERROR(__xludf.DUMMYFUNCTION("""COMPUTED_VALUE"""),"w/ pending")</f>
        <v>w/ pending</v>
      </c>
      <c r="C363" s="2" t="str">
        <f>IFERROR(__xludf.DUMMYFUNCTION("""COMPUTED_VALUE"""),"FOR BILLING L2, w/ pending")</f>
        <v>FOR BILLING L2, w/ pending</v>
      </c>
      <c r="D363" s="2" t="str">
        <f>IFERROR(__xludf.DUMMYFUNCTION("""COMPUTED_VALUE"""),"SALBEN FARMERS ASSOCIATION INC.")</f>
        <v>SALBEN FARMERS ASSOCIATION INC.</v>
      </c>
      <c r="E363" s="2" t="str">
        <f>IFERROR(__xludf.DUMMYFUNCTION("""COMPUTED_VALUE"""),"Bensican, San Nicolas, PANGASINAN")</f>
        <v>Bensican, San Nicolas, PANGASINAN</v>
      </c>
      <c r="F363" s="2" t="str">
        <f>IFERROR(__xludf.DUMMYFUNCTION("""COMPUTED_VALUE"""),"Lemuel P. Lampa")</f>
        <v>Lemuel P. Lampa</v>
      </c>
      <c r="G363" s="2" t="str">
        <f>IFERROR(__xludf.DUMMYFUNCTION("""COMPUTED_VALUE"""),"0927-587-4044")</f>
        <v>0927-587-4044</v>
      </c>
      <c r="H363" s="2" t="str">
        <f>IFERROR(__xludf.DUMMYFUNCTION("""COMPUTED_VALUE"""),"X")</f>
        <v>X</v>
      </c>
      <c r="I363" s="2"/>
      <c r="J363" s="2" t="str">
        <f>IFERROR(__xludf.DUMMYFUNCTION("""COMPUTED_VALUE"""),"Disc Plow")</f>
        <v>Disc Plow</v>
      </c>
      <c r="K363" s="2" t="str">
        <f>IFERROR(__xludf.DUMMYFUNCTION("""COMPUTED_VALUE"""),"RCEF 23-09-21 Rebidding")</f>
        <v>RCEF 23-09-21 Rebidding</v>
      </c>
      <c r="L363" s="2">
        <f>IFERROR(__xludf.DUMMYFUNCTION("""COMPUTED_VALUE"""),2.0)</f>
        <v>2</v>
      </c>
      <c r="M363" s="2"/>
      <c r="N363" s="74">
        <f>IFERROR(__xludf.DUMMYFUNCTION("""COMPUTED_VALUE"""),45398.0)</f>
        <v>45398</v>
      </c>
      <c r="O363" s="2"/>
      <c r="P363" s="2">
        <f>IFERROR(__xludf.DUMMYFUNCTION("""COMPUTED_VALUE"""),19003.0)</f>
        <v>19003</v>
      </c>
      <c r="Q363" s="2" t="str">
        <f>IFERROR(__xludf.DUMMYFUNCTION("""COMPUTED_VALUE"""),"KMC5825AGRFPV0456")</f>
        <v>KMC5825AGRFPV0456</v>
      </c>
      <c r="R363" s="2" t="str">
        <f>IFERROR(__xludf.DUMMYFUNCTION("""COMPUTED_VALUE"""),"RTS100354")</f>
        <v>RTS100354</v>
      </c>
      <c r="S363" s="2" t="str">
        <f>IFERROR(__xludf.DUMMYFUNCTION("""COMPUTED_VALUE"""),"R-SERIES 373")</f>
        <v>R-SERIES 373</v>
      </c>
      <c r="T363" s="2" t="str">
        <f>IFERROR(__xludf.DUMMYFUNCTION("""COMPUTED_VALUE"""),"LSGW1750-RMP-24020474")</f>
        <v>LSGW1750-RMP-24020474</v>
      </c>
      <c r="U363" s="2" t="str">
        <f>IFERROR(__xludf.DUMMYFUNCTION("""COMPUTED_VALUE"""),"WDP40-RMP-")</f>
        <v>WDP40-RMP-</v>
      </c>
      <c r="V363" s="2"/>
      <c r="W363" s="2" t="str">
        <f>IFERROR(__xludf.DUMMYFUNCTION("""COMPUTED_VALUE"""),"VL103D")</f>
        <v>VL103D</v>
      </c>
      <c r="X363" s="2"/>
      <c r="Y363" s="2"/>
      <c r="Z363" s="2"/>
      <c r="AA363" s="2"/>
      <c r="AB363" s="2"/>
    </row>
    <row r="364">
      <c r="A364" s="2" t="str">
        <f>IFERROR(__xludf.DUMMYFUNCTION("""COMPUTED_VALUE"""),"TT00362")</f>
        <v>TT00362</v>
      </c>
      <c r="B364" s="2" t="str">
        <f>IFERROR(__xludf.DUMMYFUNCTION("""COMPUTED_VALUE"""),"w/ pending")</f>
        <v>w/ pending</v>
      </c>
      <c r="C364" s="2" t="str">
        <f>IFERROR(__xludf.DUMMYFUNCTION("""COMPUTED_VALUE"""),"FOR BILLING L2, w/ pending")</f>
        <v>FOR BILLING L2, w/ pending</v>
      </c>
      <c r="D364" s="2" t="str">
        <f>IFERROR(__xludf.DUMMYFUNCTION("""COMPUTED_VALUE"""),"LCCC-Lagasit Irrigators Association")</f>
        <v>LCCC-Lagasit Irrigators Association</v>
      </c>
      <c r="E364" s="2" t="str">
        <f>IFERROR(__xludf.DUMMYFUNCTION("""COMPUTED_VALUE"""),"Lagasit, San Quintin, PANGASINAN")</f>
        <v>Lagasit, San Quintin, PANGASINAN</v>
      </c>
      <c r="F364" s="2" t="str">
        <f>IFERROR(__xludf.DUMMYFUNCTION("""COMPUTED_VALUE"""),"Benito H. Obra")</f>
        <v>Benito H. Obra</v>
      </c>
      <c r="G364" s="2" t="str">
        <f>IFERROR(__xludf.DUMMYFUNCTION("""COMPUTED_VALUE"""),"0930-779-4454")</f>
        <v>0930-779-4454</v>
      </c>
      <c r="H364" s="2" t="str">
        <f>IFERROR(__xludf.DUMMYFUNCTION("""COMPUTED_VALUE"""),"X")</f>
        <v>X</v>
      </c>
      <c r="I364" s="2"/>
      <c r="J364" s="2" t="str">
        <f>IFERROR(__xludf.DUMMYFUNCTION("""COMPUTED_VALUE"""),"Disc Plow")</f>
        <v>Disc Plow</v>
      </c>
      <c r="K364" s="2" t="str">
        <f>IFERROR(__xludf.DUMMYFUNCTION("""COMPUTED_VALUE"""),"RCEF 23-09-21 Rebidding")</f>
        <v>RCEF 23-09-21 Rebidding</v>
      </c>
      <c r="L364" s="2">
        <f>IFERROR(__xludf.DUMMYFUNCTION("""COMPUTED_VALUE"""),2.0)</f>
        <v>2</v>
      </c>
      <c r="M364" s="2"/>
      <c r="N364" s="82">
        <f>IFERROR(__xludf.DUMMYFUNCTION("""COMPUTED_VALUE"""),45398.0)</f>
        <v>45398</v>
      </c>
      <c r="O364" s="2"/>
      <c r="P364" s="2">
        <f>IFERROR(__xludf.DUMMYFUNCTION("""COMPUTED_VALUE"""),19004.0)</f>
        <v>19004</v>
      </c>
      <c r="Q364" s="2" t="str">
        <f>IFERROR(__xludf.DUMMYFUNCTION("""COMPUTED_VALUE"""),"KMC5825AVRFPV0328")</f>
        <v>KMC5825AVRFPV0328</v>
      </c>
      <c r="R364" s="2" t="str">
        <f>IFERROR(__xludf.DUMMYFUNCTION("""COMPUTED_VALUE"""),"RTS100178")</f>
        <v>RTS100178</v>
      </c>
      <c r="S364" s="2" t="str">
        <f>IFERROR(__xludf.DUMMYFUNCTION("""COMPUTED_VALUE"""),"R-SERIES 367")</f>
        <v>R-SERIES 367</v>
      </c>
      <c r="T364" s="2" t="str">
        <f>IFERROR(__xludf.DUMMYFUNCTION("""COMPUTED_VALUE"""),"LSGW1750-RMP-24020533")</f>
        <v>LSGW1750-RMP-24020533</v>
      </c>
      <c r="U364" s="2" t="str">
        <f>IFERROR(__xludf.DUMMYFUNCTION("""COMPUTED_VALUE"""),"WDP40-RMP-24040531")</f>
        <v>WDP40-RMP-24040531</v>
      </c>
      <c r="V364" s="2"/>
      <c r="W364" s="2" t="str">
        <f>IFERROR(__xludf.DUMMYFUNCTION("""COMPUTED_VALUE"""),"VL103D")</f>
        <v>VL103D</v>
      </c>
      <c r="X364" s="2"/>
      <c r="Y364" s="2"/>
      <c r="Z364" s="2"/>
      <c r="AA364" s="2"/>
      <c r="AB364" s="2"/>
    </row>
    <row r="365">
      <c r="A365" s="2" t="str">
        <f>IFERROR(__xludf.DUMMYFUNCTION("""COMPUTED_VALUE"""),"TT00363")</f>
        <v>TT00363</v>
      </c>
      <c r="B365" s="2" t="str">
        <f>IFERROR(__xludf.DUMMYFUNCTION("""COMPUTED_VALUE"""),"w/ pending")</f>
        <v>w/ pending</v>
      </c>
      <c r="C365" s="2" t="str">
        <f>IFERROR(__xludf.DUMMYFUNCTION("""COMPUTED_VALUE"""),"FOR BILLING L2, w/ pending")</f>
        <v>FOR BILLING L2, w/ pending</v>
      </c>
      <c r="D365" s="2" t="str">
        <f>IFERROR(__xludf.DUMMYFUNCTION("""COMPUTED_VALUE"""),"CPCL ALISTO IRRIGATORS ASSOCIATION INC.")</f>
        <v>CPCL ALISTO IRRIGATORS ASSOCIATION INC.</v>
      </c>
      <c r="E365" s="2" t="str">
        <f>IFERROR(__xludf.DUMMYFUNCTION("""COMPUTED_VALUE"""),"Pataquid, Santa Maria, PANGASINAN")</f>
        <v>Pataquid, Santa Maria, PANGASINAN</v>
      </c>
      <c r="F365" s="2" t="str">
        <f>IFERROR(__xludf.DUMMYFUNCTION("""COMPUTED_VALUE"""),"Jonathan E. Murla")</f>
        <v>Jonathan E. Murla</v>
      </c>
      <c r="G365" s="2" t="str">
        <f>IFERROR(__xludf.DUMMYFUNCTION("""COMPUTED_VALUE"""),"0929-785-4909")</f>
        <v>0929-785-4909</v>
      </c>
      <c r="H365" s="2" t="str">
        <f>IFERROR(__xludf.DUMMYFUNCTION("""COMPUTED_VALUE"""),"X")</f>
        <v>X</v>
      </c>
      <c r="I365" s="2"/>
      <c r="J365" s="2" t="str">
        <f>IFERROR(__xludf.DUMMYFUNCTION("""COMPUTED_VALUE"""),"Disc Plow")</f>
        <v>Disc Plow</v>
      </c>
      <c r="K365" s="2" t="str">
        <f>IFERROR(__xludf.DUMMYFUNCTION("""COMPUTED_VALUE"""),"RCEF 23-09-21 Rebidding")</f>
        <v>RCEF 23-09-21 Rebidding</v>
      </c>
      <c r="L365" s="2">
        <f>IFERROR(__xludf.DUMMYFUNCTION("""COMPUTED_VALUE"""),2.0)</f>
        <v>2</v>
      </c>
      <c r="M365" s="2"/>
      <c r="N365" s="82">
        <f>IFERROR(__xludf.DUMMYFUNCTION("""COMPUTED_VALUE"""),45398.0)</f>
        <v>45398</v>
      </c>
      <c r="O365" s="2"/>
      <c r="P365" s="2">
        <f>IFERROR(__xludf.DUMMYFUNCTION("""COMPUTED_VALUE"""),19005.0)</f>
        <v>19005</v>
      </c>
      <c r="Q365" s="2" t="str">
        <f>IFERROR(__xludf.DUMMYFUNCTION("""COMPUTED_VALUE"""),"KMC5825AERFPV0397")</f>
        <v>KMC5825AERFPV0397</v>
      </c>
      <c r="R365" s="2" t="str">
        <f>IFERROR(__xludf.DUMMYFUNCTION("""COMPUTED_VALUE"""),"RTS100300")</f>
        <v>RTS100300</v>
      </c>
      <c r="S365" s="2" t="str">
        <f>IFERROR(__xludf.DUMMYFUNCTION("""COMPUTED_VALUE"""),"R-SERIES 382")</f>
        <v>R-SERIES 382</v>
      </c>
      <c r="T365" s="2" t="str">
        <f>IFERROR(__xludf.DUMMYFUNCTION("""COMPUTED_VALUE""")," LSGW1750-RMP-24020471")</f>
        <v> LSGW1750-RMP-24020471</v>
      </c>
      <c r="U365" s="2" t="str">
        <f>IFERROR(__xludf.DUMMYFUNCTION("""COMPUTED_VALUE"""),"WDP40-RMP-24040525")</f>
        <v>WDP40-RMP-24040525</v>
      </c>
      <c r="V365" s="2"/>
      <c r="W365" s="2" t="str">
        <f>IFERROR(__xludf.DUMMYFUNCTION("""COMPUTED_VALUE"""),"VL103D")</f>
        <v>VL103D</v>
      </c>
      <c r="X365" s="2"/>
      <c r="Y365" s="2"/>
      <c r="Z365" s="2"/>
      <c r="AA365" s="2"/>
      <c r="AB365" s="2"/>
    </row>
    <row r="366">
      <c r="A366" s="2" t="str">
        <f>IFERROR(__xludf.DUMMYFUNCTION("""COMPUTED_VALUE"""),"TT00364")</f>
        <v>TT00364</v>
      </c>
      <c r="B366" s="2" t="str">
        <f>IFERROR(__xludf.DUMMYFUNCTION("""COMPUTED_VALUE"""),"w/ pending")</f>
        <v>w/ pending</v>
      </c>
      <c r="C366" s="2" t="str">
        <f>IFERROR(__xludf.DUMMYFUNCTION("""COMPUTED_VALUE"""),"FOR BILLING L2, w/ pending")</f>
        <v>FOR BILLING L2, w/ pending</v>
      </c>
      <c r="D366" s="2" t="str">
        <f>IFERROR(__xludf.DUMMYFUNCTION("""COMPUTED_VALUE"""),"Golden Rising Sun Irrigators Association")</f>
        <v>Golden Rising Sun Irrigators Association</v>
      </c>
      <c r="E366" s="2" t="str">
        <f>IFERROR(__xludf.DUMMYFUNCTION("""COMPUTED_VALUE"""),"Panganiban, Tayug, PANGASINAN")</f>
        <v>Panganiban, Tayug, PANGASINAN</v>
      </c>
      <c r="F366" s="2" t="str">
        <f>IFERROR(__xludf.DUMMYFUNCTION("""COMPUTED_VALUE"""),"Celedenio E. Lopez")</f>
        <v>Celedenio E. Lopez</v>
      </c>
      <c r="G366" s="2" t="str">
        <f>IFERROR(__xludf.DUMMYFUNCTION("""COMPUTED_VALUE"""),"0963-998-8853")</f>
        <v>0963-998-8853</v>
      </c>
      <c r="H366" s="2" t="str">
        <f>IFERROR(__xludf.DUMMYFUNCTION("""COMPUTED_VALUE"""),"X")</f>
        <v>X</v>
      </c>
      <c r="I366" s="2"/>
      <c r="J366" s="2" t="str">
        <f>IFERROR(__xludf.DUMMYFUNCTION("""COMPUTED_VALUE"""),"Disc Plow")</f>
        <v>Disc Plow</v>
      </c>
      <c r="K366" s="2" t="str">
        <f>IFERROR(__xludf.DUMMYFUNCTION("""COMPUTED_VALUE"""),"RCEF 23-09-21 Rebidding")</f>
        <v>RCEF 23-09-21 Rebidding</v>
      </c>
      <c r="L366" s="2">
        <f>IFERROR(__xludf.DUMMYFUNCTION("""COMPUTED_VALUE"""),2.0)</f>
        <v>2</v>
      </c>
      <c r="M366" s="2"/>
      <c r="N366" s="82">
        <f>IFERROR(__xludf.DUMMYFUNCTION("""COMPUTED_VALUE"""),45398.0)</f>
        <v>45398</v>
      </c>
      <c r="O366" s="2"/>
      <c r="P366" s="2">
        <f>IFERROR(__xludf.DUMMYFUNCTION("""COMPUTED_VALUE"""),19006.0)</f>
        <v>19006</v>
      </c>
      <c r="Q366" s="2" t="str">
        <f>IFERROR(__xludf.DUMMYFUNCTION("""COMPUTED_VALUE"""),"KMC5825ALRFPV0378")</f>
        <v>KMC5825ALRFPV0378</v>
      </c>
      <c r="R366" s="2" t="str">
        <f>IFERROR(__xludf.DUMMYFUNCTION("""COMPUTED_VALUE"""),"RTS100266")</f>
        <v>RTS100266</v>
      </c>
      <c r="S366" s="2" t="str">
        <f>IFERROR(__xludf.DUMMYFUNCTION("""COMPUTED_VALUE"""),"R-SERIES 402")</f>
        <v>R-SERIES 402</v>
      </c>
      <c r="T366" s="2" t="str">
        <f>IFERROR(__xludf.DUMMYFUNCTION("""COMPUTED_VALUE"""),"LSGW1750-RMP-24020527")</f>
        <v>LSGW1750-RMP-24020527</v>
      </c>
      <c r="U366" s="2" t="str">
        <f>IFERROR(__xludf.DUMMYFUNCTION("""COMPUTED_VALUE"""),"WDP40-RMP-24040511")</f>
        <v>WDP40-RMP-24040511</v>
      </c>
      <c r="V366" s="2"/>
      <c r="W366" s="2" t="str">
        <f>IFERROR(__xludf.DUMMYFUNCTION("""COMPUTED_VALUE"""),"VL103D")</f>
        <v>VL103D</v>
      </c>
      <c r="X366" s="2"/>
      <c r="Y366" s="2"/>
      <c r="Z366" s="2"/>
      <c r="AA366" s="2"/>
      <c r="AB366" s="2"/>
    </row>
    <row r="367">
      <c r="A367" s="2" t="str">
        <f>IFERROR(__xludf.DUMMYFUNCTION("""COMPUTED_VALUE"""),"TT00365")</f>
        <v>TT00365</v>
      </c>
      <c r="B367" s="2" t="str">
        <f>IFERROR(__xludf.DUMMYFUNCTION("""COMPUTED_VALUE"""),"w/ pending")</f>
        <v>w/ pending</v>
      </c>
      <c r="C367" s="2" t="str">
        <f>IFERROR(__xludf.DUMMYFUNCTION("""COMPUTED_VALUE"""),"FOR BILLING L2, w/ pending")</f>
        <v>FOR BILLING L2, w/ pending</v>
      </c>
      <c r="D367" s="2" t="str">
        <f>IFERROR(__xludf.DUMMYFUNCTION("""COMPUTED_VALUE"""),"GRUPO TI NAGAGAGET NGA MANNALON INC.")</f>
        <v>GRUPO TI NAGAGAGET NGA MANNALON INC.</v>
      </c>
      <c r="E367" s="2" t="str">
        <f>IFERROR(__xludf.DUMMYFUNCTION("""COMPUTED_VALUE"""),"Abot Molina, Umingan, PANGASINAN")</f>
        <v>Abot Molina, Umingan, PANGASINAN</v>
      </c>
      <c r="F367" s="2" t="str">
        <f>IFERROR(__xludf.DUMMYFUNCTION("""COMPUTED_VALUE"""),"Nicolas Sibayan")</f>
        <v>Nicolas Sibayan</v>
      </c>
      <c r="G367" s="2" t="str">
        <f>IFERROR(__xludf.DUMMYFUNCTION("""COMPUTED_VALUE"""),"0908-739-1087")</f>
        <v>0908-739-1087</v>
      </c>
      <c r="H367" s="2" t="str">
        <f>IFERROR(__xludf.DUMMYFUNCTION("""COMPUTED_VALUE"""),"X")</f>
        <v>X</v>
      </c>
      <c r="I367" s="2"/>
      <c r="J367" s="2" t="str">
        <f>IFERROR(__xludf.DUMMYFUNCTION("""COMPUTED_VALUE"""),"Disc Plow")</f>
        <v>Disc Plow</v>
      </c>
      <c r="K367" s="2" t="str">
        <f>IFERROR(__xludf.DUMMYFUNCTION("""COMPUTED_VALUE"""),"RCEF 23-09-21 Rebidding")</f>
        <v>RCEF 23-09-21 Rebidding</v>
      </c>
      <c r="L367" s="2" t="str">
        <f>IFERROR(__xludf.DUMMYFUNCTION("""COMPUTED_VALUE"""),"#N/A")</f>
        <v>#N/A</v>
      </c>
      <c r="M367" s="2"/>
      <c r="N367" s="82">
        <f>IFERROR(__xludf.DUMMYFUNCTION("""COMPUTED_VALUE"""),45398.0)</f>
        <v>45398</v>
      </c>
      <c r="O367" s="2"/>
      <c r="P367" s="2">
        <f>IFERROR(__xludf.DUMMYFUNCTION("""COMPUTED_VALUE"""),19007.0)</f>
        <v>19007</v>
      </c>
      <c r="Q367" s="2" t="str">
        <f>IFERROR(__xludf.DUMMYFUNCTION("""COMPUTED_VALUE"""),"KMC5825AVRFPV0457")</f>
        <v>KMC5825AVRFPV0457</v>
      </c>
      <c r="R367" s="2" t="str">
        <f>IFERROR(__xludf.DUMMYFUNCTION("""COMPUTED_VALUE"""),"RTS100355")</f>
        <v>RTS100355</v>
      </c>
      <c r="S367" s="2" t="str">
        <f>IFERROR(__xludf.DUMMYFUNCTION("""COMPUTED_VALUE"""),"R-SERIES 401")</f>
        <v>R-SERIES 401</v>
      </c>
      <c r="T367" s="2" t="str">
        <f>IFERROR(__xludf.DUMMYFUNCTION("""COMPUTED_VALUE"""),"LSGW1750-RMP-24020537")</f>
        <v>LSGW1750-RMP-24020537</v>
      </c>
      <c r="U367" s="2" t="str">
        <f>IFERROR(__xludf.DUMMYFUNCTION("""COMPUTED_VALUE"""),"WDP40-RMP-24040523")</f>
        <v>WDP40-RMP-24040523</v>
      </c>
      <c r="V367" s="2"/>
      <c r="W367" s="2" t="str">
        <f>IFERROR(__xludf.DUMMYFUNCTION("""COMPUTED_VALUE"""),"VL103D")</f>
        <v>VL103D</v>
      </c>
      <c r="X367" s="2"/>
      <c r="Y367" s="2"/>
      <c r="Z367" s="2"/>
      <c r="AA367" s="2"/>
      <c r="AB367" s="2"/>
    </row>
    <row r="368">
      <c r="A368" s="2" t="str">
        <f>IFERROR(__xludf.DUMMYFUNCTION("""COMPUTED_VALUE"""),"TT00366")</f>
        <v>TT00366</v>
      </c>
      <c r="B368" s="2" t="str">
        <f>IFERROR(__xludf.DUMMYFUNCTION("""COMPUTED_VALUE"""),"w/ pending")</f>
        <v>w/ pending</v>
      </c>
      <c r="C368" s="2" t="str">
        <f>IFERROR(__xludf.DUMMYFUNCTION("""COMPUTED_VALUE"""),"FOR BILLING L2, w/ pending")</f>
        <v>FOR BILLING L2, w/ pending</v>
      </c>
      <c r="D368" s="2" t="str">
        <f>IFERROR(__xludf.DUMMYFUNCTION("""COMPUTED_VALUE"""),"BARACBAC ARB AND FARMERS ASSOCIATION INC. ")</f>
        <v>BARACBAC ARB AND FARMERS ASSOCIATION INC. </v>
      </c>
      <c r="E368" s="2" t="str">
        <f>IFERROR(__xludf.DUMMYFUNCTION("""COMPUTED_VALUE"""),"BARACBAC, UMINGAN, PANGASINAN")</f>
        <v>BARACBAC, UMINGAN, PANGASINAN</v>
      </c>
      <c r="F368" s="2" t="str">
        <f>IFERROR(__xludf.DUMMYFUNCTION("""COMPUTED_VALUE"""),"Cruzaldo S. Balignasay")</f>
        <v>Cruzaldo S. Balignasay</v>
      </c>
      <c r="G368" s="2" t="str">
        <f>IFERROR(__xludf.DUMMYFUNCTION("""COMPUTED_VALUE"""),"0910-996-3307")</f>
        <v>0910-996-3307</v>
      </c>
      <c r="H368" s="2" t="str">
        <f>IFERROR(__xludf.DUMMYFUNCTION("""COMPUTED_VALUE"""),"X")</f>
        <v>X</v>
      </c>
      <c r="I368" s="2"/>
      <c r="J368" s="2" t="str">
        <f>IFERROR(__xludf.DUMMYFUNCTION("""COMPUTED_VALUE"""),"Disc Plow")</f>
        <v>Disc Plow</v>
      </c>
      <c r="K368" s="2" t="str">
        <f>IFERROR(__xludf.DUMMYFUNCTION("""COMPUTED_VALUE"""),"RCEF 23-09-21 Rebidding")</f>
        <v>RCEF 23-09-21 Rebidding</v>
      </c>
      <c r="L368" s="2">
        <f>IFERROR(__xludf.DUMMYFUNCTION("""COMPUTED_VALUE"""),2.0)</f>
        <v>2</v>
      </c>
      <c r="M368" s="2"/>
      <c r="N368" s="74">
        <f>IFERROR(__xludf.DUMMYFUNCTION("""COMPUTED_VALUE"""),45398.0)</f>
        <v>45398</v>
      </c>
      <c r="O368" s="2"/>
      <c r="P368" s="2">
        <f>IFERROR(__xludf.DUMMYFUNCTION("""COMPUTED_VALUE"""),19008.0)</f>
        <v>19008</v>
      </c>
      <c r="Q368" s="2" t="str">
        <f>IFERROR(__xludf.DUMMYFUNCTION("""COMPUTED_VALUE"""),"KMC5825ATRFPV0371")</f>
        <v>KMC5825ATRFPV0371</v>
      </c>
      <c r="R368" s="2" t="str">
        <f>IFERROR(__xludf.DUMMYFUNCTION("""COMPUTED_VALUE"""),"RTS100283")</f>
        <v>RTS100283</v>
      </c>
      <c r="S368" s="2" t="str">
        <f>IFERROR(__xludf.DUMMYFUNCTION("""COMPUTED_VALUE"""),"R-SERIES 370 PH")</f>
        <v>R-SERIES 370 PH</v>
      </c>
      <c r="T368" s="2" t="str">
        <f>IFERROR(__xludf.DUMMYFUNCTION("""COMPUTED_VALUE"""),"LSGW1750-RMP-24020505")</f>
        <v>LSGW1750-RMP-24020505</v>
      </c>
      <c r="U368" s="2" t="str">
        <f>IFERROR(__xludf.DUMMYFUNCTION("""COMPUTED_VALUE"""),"WDP-40-RMP-24040537")</f>
        <v>WDP-40-RMP-24040537</v>
      </c>
      <c r="V368" s="2"/>
      <c r="W368" s="2" t="str">
        <f>IFERROR(__xludf.DUMMYFUNCTION("""COMPUTED_VALUE"""),"VL103D")</f>
        <v>VL103D</v>
      </c>
      <c r="X368" s="2"/>
      <c r="Y368" s="2"/>
      <c r="Z368" s="2"/>
      <c r="AA368" s="2"/>
      <c r="AB368" s="2"/>
    </row>
    <row r="369">
      <c r="A369" s="2" t="str">
        <f>IFERROR(__xludf.DUMMYFUNCTION("""COMPUTED_VALUE"""),"TT00367")</f>
        <v>TT00367</v>
      </c>
      <c r="B369" s="2"/>
      <c r="C369" s="2"/>
      <c r="D369" s="2" t="str">
        <f>IFERROR(__xludf.DUMMYFUNCTION("""COMPUTED_VALUE"""),"Kirang Impounding Aritao Irrigators Association Inc.")</f>
        <v>Kirang Impounding Aritao Irrigators Association Inc.</v>
      </c>
      <c r="E369" s="2" t="str">
        <f>IFERROR(__xludf.DUMMYFUNCTION("""COMPUTED_VALUE"""),"Kirang, Aritao, NUEVA VIZCAYA")</f>
        <v>Kirang, Aritao, NUEVA VIZCAYA</v>
      </c>
      <c r="F369" s="2" t="str">
        <f>IFERROR(__xludf.DUMMYFUNCTION("""COMPUTED_VALUE"""),"Gil B. Cayme")</f>
        <v>Gil B. Cayme</v>
      </c>
      <c r="G369" s="2">
        <f>IFERROR(__xludf.DUMMYFUNCTION("""COMPUTED_VALUE"""),9.291895337E9)</f>
        <v>9291895337</v>
      </c>
      <c r="H369" s="2"/>
      <c r="I369" s="2"/>
      <c r="J369" s="2"/>
      <c r="K369" s="2" t="str">
        <f>IFERROR(__xludf.DUMMYFUNCTION("""COMPUTED_VALUE"""),"RCEF 23-09-21 Rebidding")</f>
        <v>RCEF 23-09-21 Rebidding</v>
      </c>
      <c r="L369" s="2">
        <f>IFERROR(__xludf.DUMMYFUNCTION("""COMPUTED_VALUE"""),9.0)</f>
        <v>9</v>
      </c>
      <c r="M369" s="2"/>
      <c r="N369" s="74">
        <f>IFERROR(__xludf.DUMMYFUNCTION("""COMPUTED_VALUE"""),45398.0)</f>
        <v>45398</v>
      </c>
      <c r="O369" s="74">
        <f>IFERROR(__xludf.DUMMYFUNCTION("""COMPUTED_VALUE"""),45449.0)</f>
        <v>45449</v>
      </c>
      <c r="P369" s="2">
        <f>IFERROR(__xludf.DUMMYFUNCTION("""COMPUTED_VALUE"""),19025.0)</f>
        <v>19025</v>
      </c>
      <c r="Q369" s="2" t="str">
        <f>IFERROR(__xludf.DUMMYFUNCTION("""COMPUTED_VALUE"""),"KMC5825 ATRFPV0550")</f>
        <v>KMC5825 ATRFPV0550</v>
      </c>
      <c r="R369" s="2" t="str">
        <f>IFERROR(__xludf.DUMMYFUNCTION("""COMPUTED_VALUE"""),"RTS 100454")</f>
        <v>RTS 100454</v>
      </c>
      <c r="S369" s="2" t="str">
        <f>IFERROR(__xludf.DUMMYFUNCTION("""COMPUTED_VALUE"""),"WR-SERIES 817 PH")</f>
        <v>WR-SERIES 817 PH</v>
      </c>
      <c r="T369" s="2" t="str">
        <f>IFERROR(__xludf.DUMMYFUNCTION("""COMPUTED_VALUE"""),"LSGW1750 RMP 24010208")</f>
        <v>LSGW1750 RMP 24010208</v>
      </c>
      <c r="U369" s="2" t="str">
        <f>IFERROR(__xludf.DUMMYFUNCTION("""COMPUTED_VALUE"""),"WDP40 RMP 24040519")</f>
        <v>WDP40 RMP 24040519</v>
      </c>
      <c r="V369" s="2"/>
      <c r="W369" s="2" t="str">
        <f>IFERROR(__xludf.DUMMYFUNCTION("""COMPUTED_VALUE"""),"VL103D")</f>
        <v>VL103D</v>
      </c>
      <c r="X369" s="2"/>
      <c r="Y369" s="2"/>
      <c r="Z369" s="2"/>
      <c r="AA369" s="2"/>
      <c r="AB369" s="2"/>
    </row>
    <row r="370">
      <c r="A370" s="2" t="str">
        <f>IFERROR(__xludf.DUMMYFUNCTION("""COMPUTED_VALUE"""),"TT00368")</f>
        <v>TT00368</v>
      </c>
      <c r="B370" s="2"/>
      <c r="C370" s="2"/>
      <c r="D370" s="2" t="str">
        <f>IFERROR(__xludf.DUMMYFUNCTION("""COMPUTED_VALUE"""),"West Dullao Farmers Association Inc.")</f>
        <v>West Dullao Farmers Association Inc.</v>
      </c>
      <c r="E370" s="2" t="str">
        <f>IFERROR(__xludf.DUMMYFUNCTION("""COMPUTED_VALUE"""),"Dullao, Bambang, NUEVA VIZCAYA")</f>
        <v>Dullao, Bambang, NUEVA VIZCAYA</v>
      </c>
      <c r="F370" s="2" t="str">
        <f>IFERROR(__xludf.DUMMYFUNCTION("""COMPUTED_VALUE"""),"Leonardo G. Cabical")</f>
        <v>Leonardo G. Cabical</v>
      </c>
      <c r="G370" s="2">
        <f>IFERROR(__xludf.DUMMYFUNCTION("""COMPUTED_VALUE"""),9.75224448E9)</f>
        <v>9752244480</v>
      </c>
      <c r="H370" s="2"/>
      <c r="I370" s="2"/>
      <c r="J370" s="2"/>
      <c r="K370" s="2" t="str">
        <f>IFERROR(__xludf.DUMMYFUNCTION("""COMPUTED_VALUE"""),"RCEF 23-09-21 Rebidding")</f>
        <v>RCEF 23-09-21 Rebidding</v>
      </c>
      <c r="L370" s="2">
        <f>IFERROR(__xludf.DUMMYFUNCTION("""COMPUTED_VALUE"""),9.0)</f>
        <v>9</v>
      </c>
      <c r="M370" s="2"/>
      <c r="N370" s="74">
        <f>IFERROR(__xludf.DUMMYFUNCTION("""COMPUTED_VALUE"""),45398.0)</f>
        <v>45398</v>
      </c>
      <c r="O370" s="74">
        <f>IFERROR(__xludf.DUMMYFUNCTION("""COMPUTED_VALUE"""),45449.0)</f>
        <v>45449</v>
      </c>
      <c r="P370" s="2">
        <f>IFERROR(__xludf.DUMMYFUNCTION("""COMPUTED_VALUE"""),19027.0)</f>
        <v>19027</v>
      </c>
      <c r="Q370" s="2" t="str">
        <f>IFERROR(__xludf.DUMMYFUNCTION("""COMPUTED_VALUE"""),"KMC5825 ACRFPV0563")</f>
        <v>KMC5825 ACRFPV0563</v>
      </c>
      <c r="R370" s="2" t="str">
        <f>IFERROR(__xludf.DUMMYFUNCTION("""COMPUTED_VALUE"""),"RTS 100462")</f>
        <v>RTS 100462</v>
      </c>
      <c r="S370" s="2" t="str">
        <f>IFERROR(__xludf.DUMMYFUNCTION("""COMPUTED_VALUE"""),"WR-SERIES 818 PH")</f>
        <v>WR-SERIES 818 PH</v>
      </c>
      <c r="T370" s="2" t="str">
        <f>IFERROR(__xludf.DUMMYFUNCTION("""COMPUTED_VALUE"""),"LSGW1750 RMP 24020504")</f>
        <v>LSGW1750 RMP 24020504</v>
      </c>
      <c r="U370" s="2" t="str">
        <f>IFERROR(__xludf.DUMMYFUNCTION("""COMPUTED_VALUE"""),"WDP40 RMP 24050561")</f>
        <v>WDP40 RMP 24050561</v>
      </c>
      <c r="V370" s="2"/>
      <c r="W370" s="2" t="str">
        <f>IFERROR(__xludf.DUMMYFUNCTION("""COMPUTED_VALUE"""),"VL103D")</f>
        <v>VL103D</v>
      </c>
      <c r="X370" s="2"/>
      <c r="Y370" s="2"/>
      <c r="Z370" s="2"/>
      <c r="AA370" s="2"/>
      <c r="AB370" s="2"/>
    </row>
    <row r="371">
      <c r="A371" s="2" t="str">
        <f>IFERROR(__xludf.DUMMYFUNCTION("""COMPUTED_VALUE"""),"TT00369")</f>
        <v>TT00369</v>
      </c>
      <c r="B371" s="2"/>
      <c r="C371" s="2"/>
      <c r="D371" s="2" t="str">
        <f>IFERROR(__xludf.DUMMYFUNCTION("""COMPUTED_VALUE"""),"Busilac Green Land Agro-Industrial Farmers and Irrigators Association Inc.")</f>
        <v>Busilac Green Land Agro-Industrial Farmers and Irrigators Association Inc.</v>
      </c>
      <c r="E371" s="2" t="str">
        <f>IFERROR(__xludf.DUMMYFUNCTION("""COMPUTED_VALUE"""),"Busilac, Bayombong, NUEVA VIZCAYA")</f>
        <v>Busilac, Bayombong, NUEVA VIZCAYA</v>
      </c>
      <c r="F371" s="2" t="str">
        <f>IFERROR(__xludf.DUMMYFUNCTION("""COMPUTED_VALUE"""),"Robert J. Lagmay")</f>
        <v>Robert J. Lagmay</v>
      </c>
      <c r="G371" s="2">
        <f>IFERROR(__xludf.DUMMYFUNCTION("""COMPUTED_VALUE"""),9.759569935E9)</f>
        <v>9759569935</v>
      </c>
      <c r="H371" s="2"/>
      <c r="I371" s="2"/>
      <c r="J371" s="2"/>
      <c r="K371" s="2" t="str">
        <f>IFERROR(__xludf.DUMMYFUNCTION("""COMPUTED_VALUE"""),"RCEF 23-09-21 Rebidding")</f>
        <v>RCEF 23-09-21 Rebidding</v>
      </c>
      <c r="L371" s="2">
        <f>IFERROR(__xludf.DUMMYFUNCTION("""COMPUTED_VALUE"""),9.0)</f>
        <v>9</v>
      </c>
      <c r="M371" s="2"/>
      <c r="N371" s="74">
        <f>IFERROR(__xludf.DUMMYFUNCTION("""COMPUTED_VALUE"""),45398.0)</f>
        <v>45398</v>
      </c>
      <c r="O371" s="74">
        <f>IFERROR(__xludf.DUMMYFUNCTION("""COMPUTED_VALUE"""),45447.0)</f>
        <v>45447</v>
      </c>
      <c r="P371" s="2">
        <f>IFERROR(__xludf.DUMMYFUNCTION("""COMPUTED_VALUE"""),19028.0)</f>
        <v>19028</v>
      </c>
      <c r="Q371" s="2" t="str">
        <f>IFERROR(__xludf.DUMMYFUNCTION("""COMPUTED_VALUE"""),"KMC5825 AARFPV0573")</f>
        <v>KMC5825 AARFPV0573</v>
      </c>
      <c r="R371" s="2" t="str">
        <f>IFERROR(__xludf.DUMMYFUNCTION("""COMPUTED_VALUE"""),"RTS 100474")</f>
        <v>RTS 100474</v>
      </c>
      <c r="S371" s="2" t="str">
        <f>IFERROR(__xludf.DUMMYFUNCTION("""COMPUTED_VALUE"""),"WR-SERIES 808 PH")</f>
        <v>WR-SERIES 808 PH</v>
      </c>
      <c r="T371" s="2" t="str">
        <f>IFERROR(__xludf.DUMMYFUNCTION("""COMPUTED_VALUE"""),"LSGW1750 RMP 24020502")</f>
        <v>LSGW1750 RMP 24020502</v>
      </c>
      <c r="U371" s="2" t="str">
        <f>IFERROR(__xludf.DUMMYFUNCTION("""COMPUTED_VALUE"""),"WDP40 RMP 24050546")</f>
        <v>WDP40 RMP 24050546</v>
      </c>
      <c r="V371" s="2"/>
      <c r="W371" s="2" t="str">
        <f>IFERROR(__xludf.DUMMYFUNCTION("""COMPUTED_VALUE"""),"VL103D")</f>
        <v>VL103D</v>
      </c>
      <c r="X371" s="2"/>
      <c r="Y371" s="2"/>
      <c r="Z371" s="2"/>
      <c r="AA371" s="2"/>
      <c r="AB371" s="2"/>
    </row>
    <row r="372">
      <c r="A372" s="2" t="str">
        <f>IFERROR(__xludf.DUMMYFUNCTION("""COMPUTED_VALUE"""),"TT00370")</f>
        <v>TT00370</v>
      </c>
      <c r="B372" s="2"/>
      <c r="C372" s="2"/>
      <c r="D372" s="2" t="str">
        <f>IFERROR(__xludf.DUMMYFUNCTION("""COMPUTED_VALUE"""),"Banila Dupax Sur Irrigators Inc.")</f>
        <v>Banila Dupax Sur Irrigators Inc.</v>
      </c>
      <c r="E372" s="2" t="str">
        <f>IFERROR(__xludf.DUMMYFUNCTION("""COMPUTED_VALUE"""),"Banila, Dupax del Sur, NUEVA VIZCAYA")</f>
        <v>Banila, Dupax del Sur, NUEVA VIZCAYA</v>
      </c>
      <c r="F372" s="2" t="str">
        <f>IFERROR(__xludf.DUMMYFUNCTION("""COMPUTED_VALUE"""),"Norma I. Salgado")</f>
        <v>Norma I. Salgado</v>
      </c>
      <c r="G372" s="2">
        <f>IFERROR(__xludf.DUMMYFUNCTION("""COMPUTED_VALUE"""),9.56873893E9)</f>
        <v>9568738930</v>
      </c>
      <c r="H372" s="2"/>
      <c r="I372" s="2"/>
      <c r="J372" s="2"/>
      <c r="K372" s="2" t="str">
        <f>IFERROR(__xludf.DUMMYFUNCTION("""COMPUTED_VALUE"""),"RCEF 23-09-21 Rebidding")</f>
        <v>RCEF 23-09-21 Rebidding</v>
      </c>
      <c r="L372" s="2">
        <f>IFERROR(__xludf.DUMMYFUNCTION("""COMPUTED_VALUE"""),9.0)</f>
        <v>9</v>
      </c>
      <c r="M372" s="2"/>
      <c r="N372" s="74">
        <f>IFERROR(__xludf.DUMMYFUNCTION("""COMPUTED_VALUE"""),45386.0)</f>
        <v>45386</v>
      </c>
      <c r="O372" s="74">
        <f>IFERROR(__xludf.DUMMYFUNCTION("""COMPUTED_VALUE"""),45448.0)</f>
        <v>45448</v>
      </c>
      <c r="P372" s="2">
        <f>IFERROR(__xludf.DUMMYFUNCTION("""COMPUTED_VALUE"""),19029.0)</f>
        <v>19029</v>
      </c>
      <c r="Q372" s="2" t="str">
        <f>IFERROR(__xludf.DUMMYFUNCTION("""COMPUTED_VALUE"""),"KMC5825 ACRFPV0613")</f>
        <v>KMC5825 ACRFPV0613</v>
      </c>
      <c r="R372" s="2" t="str">
        <f>IFERROR(__xludf.DUMMYFUNCTION("""COMPUTED_VALUE"""),"RTS 100588")</f>
        <v>RTS 100588</v>
      </c>
      <c r="S372" s="2" t="str">
        <f>IFERROR(__xludf.DUMMYFUNCTION("""COMPUTED_VALUE"""),"WR-SERIES 819 PH")</f>
        <v>WR-SERIES 819 PH</v>
      </c>
      <c r="T372" s="2" t="str">
        <f>IFERROR(__xludf.DUMMYFUNCTION("""COMPUTED_VALUE"""),"LSGW1750 RMP 24010216")</f>
        <v>LSGW1750 RMP 24010216</v>
      </c>
      <c r="U372" s="2" t="str">
        <f>IFERROR(__xludf.DUMMYFUNCTION("""COMPUTED_VALUE"""),"WDP40 RMP 24040526")</f>
        <v>WDP40 RMP 24040526</v>
      </c>
      <c r="V372" s="2"/>
      <c r="W372" s="2" t="str">
        <f>IFERROR(__xludf.DUMMYFUNCTION("""COMPUTED_VALUE"""),"VL103D")</f>
        <v>VL103D</v>
      </c>
      <c r="X372" s="2"/>
      <c r="Y372" s="2"/>
      <c r="Z372" s="2"/>
      <c r="AA372" s="2"/>
      <c r="AB372" s="2"/>
    </row>
    <row r="373">
      <c r="A373" s="2" t="str">
        <f>IFERROR(__xludf.DUMMYFUNCTION("""COMPUTED_VALUE"""),"TT00371")</f>
        <v>TT00371</v>
      </c>
      <c r="B373" s="2"/>
      <c r="C373" s="2"/>
      <c r="D373" s="2" t="str">
        <f>IFERROR(__xludf.DUMMYFUNCTION("""COMPUTED_VALUE"""),"Kasibu Farmers Development Cooperative")</f>
        <v>Kasibu Farmers Development Cooperative</v>
      </c>
      <c r="E373" s="2" t="str">
        <f>IFERROR(__xludf.DUMMYFUNCTION("""COMPUTED_VALUE"""),"Poblacion (Alloy), Kasibu, NUEVA VIZCAYA")</f>
        <v>Poblacion (Alloy), Kasibu, NUEVA VIZCAYA</v>
      </c>
      <c r="F373" s="2" t="str">
        <f>IFERROR(__xludf.DUMMYFUNCTION("""COMPUTED_VALUE"""),"Jomar E. Calibuso")</f>
        <v>Jomar E. Calibuso</v>
      </c>
      <c r="G373" s="2">
        <f>IFERROR(__xludf.DUMMYFUNCTION("""COMPUTED_VALUE"""),9.356838934E9)</f>
        <v>9356838934</v>
      </c>
      <c r="H373" s="2"/>
      <c r="I373" s="2"/>
      <c r="J373" s="2"/>
      <c r="K373" s="2" t="str">
        <f>IFERROR(__xludf.DUMMYFUNCTION("""COMPUTED_VALUE"""),"RCEF 23-09-21 Rebidding")</f>
        <v>RCEF 23-09-21 Rebidding</v>
      </c>
      <c r="L373" s="2">
        <f>IFERROR(__xludf.DUMMYFUNCTION("""COMPUTED_VALUE"""),9.0)</f>
        <v>9</v>
      </c>
      <c r="M373" s="2"/>
      <c r="N373" s="74">
        <f>IFERROR(__xludf.DUMMYFUNCTION("""COMPUTED_VALUE"""),45398.0)</f>
        <v>45398</v>
      </c>
      <c r="O373" s="74">
        <f>IFERROR(__xludf.DUMMYFUNCTION("""COMPUTED_VALUE"""),45449.0)</f>
        <v>45449</v>
      </c>
      <c r="P373" s="2">
        <f>IFERROR(__xludf.DUMMYFUNCTION("""COMPUTED_VALUE"""),19030.0)</f>
        <v>19030</v>
      </c>
      <c r="Q373" s="2" t="str">
        <f>IFERROR(__xludf.DUMMYFUNCTION("""COMPUTED_VALUE"""),"KMC5825 AKRFPV0616")</f>
        <v>KMC5825 AKRFPV0616</v>
      </c>
      <c r="R373" s="2" t="str">
        <f>IFERROR(__xludf.DUMMYFUNCTION("""COMPUTED_VALUE"""),"RTS 100585")</f>
        <v>RTS 100585</v>
      </c>
      <c r="S373" s="2" t="str">
        <f>IFERROR(__xludf.DUMMYFUNCTION("""COMPUTED_VALUE"""),"WR-SERIES 797 PH")</f>
        <v>WR-SERIES 797 PH</v>
      </c>
      <c r="T373" s="2" t="str">
        <f>IFERROR(__xludf.DUMMYFUNCTION("""COMPUTED_VALUE"""),"LSGW1750 RMP 24020518")</f>
        <v>LSGW1750 RMP 24020518</v>
      </c>
      <c r="U373" s="2" t="str">
        <f>IFERROR(__xludf.DUMMYFUNCTION("""COMPUTED_VALUE"""),"WDP40 RMP 24050553")</f>
        <v>WDP40 RMP 24050553</v>
      </c>
      <c r="V373" s="2"/>
      <c r="W373" s="2" t="str">
        <f>IFERROR(__xludf.DUMMYFUNCTION("""COMPUTED_VALUE"""),"VL103D")</f>
        <v>VL103D</v>
      </c>
      <c r="X373" s="2"/>
      <c r="Y373" s="2"/>
      <c r="Z373" s="2"/>
      <c r="AA373" s="2"/>
      <c r="AB373" s="2"/>
    </row>
    <row r="374">
      <c r="A374" s="2" t="str">
        <f>IFERROR(__xludf.DUMMYFUNCTION("""COMPUTED_VALUE"""),"TT00372")</f>
        <v>TT00372</v>
      </c>
      <c r="B374" s="2"/>
      <c r="C374" s="2"/>
      <c r="D374" s="2" t="str">
        <f>IFERROR(__xludf.DUMMYFUNCTION("""COMPUTED_VALUE"""),"Lumannap Aurora Irrigators Association Inc.")</f>
        <v>Lumannap Aurora Irrigators Association Inc.</v>
      </c>
      <c r="E374" s="2" t="str">
        <f>IFERROR(__xludf.DUMMYFUNCTION("""COMPUTED_VALUE"""),"Aurora, Quezon, NUEVA VIZCAYA")</f>
        <v>Aurora, Quezon, NUEVA VIZCAYA</v>
      </c>
      <c r="F374" s="2" t="str">
        <f>IFERROR(__xludf.DUMMYFUNCTION("""COMPUTED_VALUE"""),"Ernesto E. Lizada")</f>
        <v>Ernesto E. Lizada</v>
      </c>
      <c r="G374" s="2">
        <f>IFERROR(__xludf.DUMMYFUNCTION("""COMPUTED_VALUE"""),9.976870982E9)</f>
        <v>9976870982</v>
      </c>
      <c r="H374" s="2"/>
      <c r="I374" s="2"/>
      <c r="J374" s="2"/>
      <c r="K374" s="2" t="str">
        <f>IFERROR(__xludf.DUMMYFUNCTION("""COMPUTED_VALUE"""),"RCEF 23-09-21 Rebidding")</f>
        <v>RCEF 23-09-21 Rebidding</v>
      </c>
      <c r="L374" s="2">
        <f>IFERROR(__xludf.DUMMYFUNCTION("""COMPUTED_VALUE"""),9.0)</f>
        <v>9</v>
      </c>
      <c r="M374" s="2"/>
      <c r="N374" s="74">
        <f>IFERROR(__xludf.DUMMYFUNCTION("""COMPUTED_VALUE"""),45398.0)</f>
        <v>45398</v>
      </c>
      <c r="O374" s="74">
        <f>IFERROR(__xludf.DUMMYFUNCTION("""COMPUTED_VALUE"""),45447.0)</f>
        <v>45447</v>
      </c>
      <c r="P374" s="2">
        <f>IFERROR(__xludf.DUMMYFUNCTION("""COMPUTED_VALUE"""),19031.0)</f>
        <v>19031</v>
      </c>
      <c r="Q374" s="2" t="str">
        <f>IFERROR(__xludf.DUMMYFUNCTION("""COMPUTED_VALUE"""),"KMC5825 ACRFPV0568")</f>
        <v>KMC5825 ACRFPV0568</v>
      </c>
      <c r="R374" s="2" t="str">
        <f>IFERROR(__xludf.DUMMYFUNCTION("""COMPUTED_VALUE"""),"RTS 100472")</f>
        <v>RTS 100472</v>
      </c>
      <c r="S374" s="2" t="str">
        <f>IFERROR(__xludf.DUMMYFUNCTION("""COMPUTED_VALUE"""),"WR-SERIES967 PH")</f>
        <v>WR-SERIES967 PH</v>
      </c>
      <c r="T374" s="2" t="str">
        <f>IFERROR(__xludf.DUMMYFUNCTION("""COMPUTED_VALUE"""),"LSGW1750 RMP 24010223")</f>
        <v>LSGW1750 RMP 24010223</v>
      </c>
      <c r="U374" s="2" t="str">
        <f>IFERROR(__xludf.DUMMYFUNCTION("""COMPUTED_VALUE"""),"WDP40 RMP 24050562")</f>
        <v>WDP40 RMP 24050562</v>
      </c>
      <c r="V374" s="2"/>
      <c r="W374" s="2" t="str">
        <f>IFERROR(__xludf.DUMMYFUNCTION("""COMPUTED_VALUE"""),"VL103D")</f>
        <v>VL103D</v>
      </c>
      <c r="X374" s="2"/>
      <c r="Y374" s="2"/>
      <c r="Z374" s="2"/>
      <c r="AA374" s="2"/>
      <c r="AB374" s="2"/>
    </row>
    <row r="375">
      <c r="A375" s="2" t="str">
        <f>IFERROR(__xludf.DUMMYFUNCTION("""COMPUTED_VALUE"""),"TT00373")</f>
        <v>TT00373</v>
      </c>
      <c r="B375" s="2"/>
      <c r="C375" s="2"/>
      <c r="D375" s="2" t="str">
        <f>IFERROR(__xludf.DUMMYFUNCTION("""COMPUTED_VALUE"""),"Nalubbunan Communal Irrigators Association Inc.")</f>
        <v>Nalubbunan Communal Irrigators Association Inc.</v>
      </c>
      <c r="E375" s="2" t="str">
        <f>IFERROR(__xludf.DUMMYFUNCTION("""COMPUTED_VALUE"""),"Nalubbunan, Quezon, NUEVA VIZCAYA")</f>
        <v>Nalubbunan, Quezon, NUEVA VIZCAYA</v>
      </c>
      <c r="F375" s="2" t="str">
        <f>IFERROR(__xludf.DUMMYFUNCTION("""COMPUTED_VALUE"""),"Edyzer Viernes")</f>
        <v>Edyzer Viernes</v>
      </c>
      <c r="G375" s="2">
        <f>IFERROR(__xludf.DUMMYFUNCTION("""COMPUTED_VALUE"""),9.065719924E9)</f>
        <v>9065719924</v>
      </c>
      <c r="H375" s="2"/>
      <c r="I375" s="2"/>
      <c r="J375" s="2"/>
      <c r="K375" s="2" t="str">
        <f>IFERROR(__xludf.DUMMYFUNCTION("""COMPUTED_VALUE"""),"RCEF 23-09-21 Rebidding")</f>
        <v>RCEF 23-09-21 Rebidding</v>
      </c>
      <c r="L375" s="2">
        <f>IFERROR(__xludf.DUMMYFUNCTION("""COMPUTED_VALUE"""),9.0)</f>
        <v>9</v>
      </c>
      <c r="M375" s="2"/>
      <c r="N375" s="74">
        <f>IFERROR(__xludf.DUMMYFUNCTION("""COMPUTED_VALUE"""),45398.0)</f>
        <v>45398</v>
      </c>
      <c r="O375" s="74">
        <f>IFERROR(__xludf.DUMMYFUNCTION("""COMPUTED_VALUE"""),45447.0)</f>
        <v>45447</v>
      </c>
      <c r="P375" s="2">
        <f>IFERROR(__xludf.DUMMYFUNCTION("""COMPUTED_VALUE"""),19032.0)</f>
        <v>19032</v>
      </c>
      <c r="Q375" s="2" t="str">
        <f>IFERROR(__xludf.DUMMYFUNCTION("""COMPUTED_VALUE"""),"KMC5825 ACRFPV0635")</f>
        <v>KMC5825 ACRFPV0635</v>
      </c>
      <c r="R375" s="2" t="str">
        <f>IFERROR(__xludf.DUMMYFUNCTION("""COMPUTED_VALUE"""),"RTS 100507")</f>
        <v>RTS 100507</v>
      </c>
      <c r="S375" s="2" t="str">
        <f>IFERROR(__xludf.DUMMYFUNCTION("""COMPUTED_VALUE"""),"WR-SERIES 791 PH")</f>
        <v>WR-SERIES 791 PH</v>
      </c>
      <c r="T375" s="2" t="str">
        <f>IFERROR(__xludf.DUMMYFUNCTION("""COMPUTED_VALUE"""),"LSGW1750 RMP 24010222")</f>
        <v>LSGW1750 RMP 24010222</v>
      </c>
      <c r="U375" s="2" t="str">
        <f>IFERROR(__xludf.DUMMYFUNCTION("""COMPUTED_VALUE"""),"WDP40 RMP 24050570")</f>
        <v>WDP40 RMP 24050570</v>
      </c>
      <c r="V375" s="2"/>
      <c r="W375" s="2" t="str">
        <f>IFERROR(__xludf.DUMMYFUNCTION("""COMPUTED_VALUE"""),"VL103D")</f>
        <v>VL103D</v>
      </c>
      <c r="X375" s="2"/>
      <c r="Y375" s="2"/>
      <c r="Z375" s="2"/>
      <c r="AA375" s="2"/>
      <c r="AB375" s="2"/>
    </row>
    <row r="376">
      <c r="A376" s="2" t="str">
        <f>IFERROR(__xludf.DUMMYFUNCTION("""COMPUTED_VALUE"""),"TT00374")</f>
        <v>TT00374</v>
      </c>
      <c r="B376" s="2"/>
      <c r="C376" s="2"/>
      <c r="D376" s="2" t="str">
        <f>IFERROR(__xludf.DUMMYFUNCTION("""COMPUTED_VALUE"""),"Solano Camcam West Apad II Farmers Association Inc.")</f>
        <v>Solano Camcam West Apad II Farmers Association Inc.</v>
      </c>
      <c r="E376" s="2" t="str">
        <f>IFERROR(__xludf.DUMMYFUNCTION("""COMPUTED_VALUE"""),"San Luis, Solano, NUEVA VIZCAYA")</f>
        <v>San Luis, Solano, NUEVA VIZCAYA</v>
      </c>
      <c r="F376" s="2" t="str">
        <f>IFERROR(__xludf.DUMMYFUNCTION("""COMPUTED_VALUE"""),"Fernando F. Domingo")</f>
        <v>Fernando F. Domingo</v>
      </c>
      <c r="G376" s="2">
        <f>IFERROR(__xludf.DUMMYFUNCTION("""COMPUTED_VALUE"""),9.368088307E9)</f>
        <v>9368088307</v>
      </c>
      <c r="H376" s="2"/>
      <c r="I376" s="2"/>
      <c r="J376" s="2"/>
      <c r="K376" s="2" t="str">
        <f>IFERROR(__xludf.DUMMYFUNCTION("""COMPUTED_VALUE"""),"RCEF 23-09-21 Rebidding")</f>
        <v>RCEF 23-09-21 Rebidding</v>
      </c>
      <c r="L376" s="2">
        <f>IFERROR(__xludf.DUMMYFUNCTION("""COMPUTED_VALUE"""),9.0)</f>
        <v>9</v>
      </c>
      <c r="M376" s="2"/>
      <c r="N376" s="2"/>
      <c r="O376" s="2"/>
      <c r="P376" s="2"/>
      <c r="Q376" s="2" t="str">
        <f>IFERROR(__xludf.DUMMYFUNCTION("""COMPUTED_VALUE"""),"KMC5825")</f>
        <v>KMC5825</v>
      </c>
      <c r="R376" s="2" t="str">
        <f>IFERROR(__xludf.DUMMYFUNCTION("""COMPUTED_VALUE"""),"RTS")</f>
        <v>RTS</v>
      </c>
      <c r="S376" s="2" t="str">
        <f>IFERROR(__xludf.DUMMYFUNCTION("""COMPUTED_VALUE"""),"R SERIES")</f>
        <v>R SERIES</v>
      </c>
      <c r="T376" s="2" t="str">
        <f>IFERROR(__xludf.DUMMYFUNCTION("""COMPUTED_VALUE"""),"LSGW1750 RMP ")</f>
        <v>LSGW1750 RMP </v>
      </c>
      <c r="U376" s="2" t="str">
        <f>IFERROR(__xludf.DUMMYFUNCTION("""COMPUTED_VALUE"""),"WDP 40 RMP")</f>
        <v>WDP 40 RMP</v>
      </c>
      <c r="V376" s="2"/>
      <c r="W376" s="2" t="str">
        <f>IFERROR(__xludf.DUMMYFUNCTION("""COMPUTED_VALUE"""),"VL103D")</f>
        <v>VL103D</v>
      </c>
      <c r="X376" s="2"/>
      <c r="Y376" s="2"/>
      <c r="Z376" s="2"/>
      <c r="AA376" s="2"/>
      <c r="AB376" s="2"/>
    </row>
    <row r="377">
      <c r="A377" s="2" t="str">
        <f>IFERROR(__xludf.DUMMYFUNCTION("""COMPUTED_VALUE"""),"TT00375")</f>
        <v>TT00375</v>
      </c>
      <c r="B377" s="2"/>
      <c r="C377" s="2"/>
      <c r="D377" s="2" t="str">
        <f>IFERROR(__xludf.DUMMYFUNCTION("""COMPUTED_VALUE"""),"LA TORRE CASAT IRRIGATORS ASSOCIATION INC.")</f>
        <v>LA TORRE CASAT IRRIGATORS ASSOCIATION INC.</v>
      </c>
      <c r="E377" s="2" t="str">
        <f>IFERROR(__xludf.DUMMYFUNCTION("""COMPUTED_VALUE"""),"La Torre North, Bayombong, NUEVA VIZCAYA")</f>
        <v>La Torre North, Bayombong, NUEVA VIZCAYA</v>
      </c>
      <c r="F377" s="2" t="str">
        <f>IFERROR(__xludf.DUMMYFUNCTION("""COMPUTED_VALUE"""),"Albemar M. Mateo")</f>
        <v>Albemar M. Mateo</v>
      </c>
      <c r="G377" s="2">
        <f>IFERROR(__xludf.DUMMYFUNCTION("""COMPUTED_VALUE"""),9.175997233E9)</f>
        <v>9175997233</v>
      </c>
      <c r="H377" s="2"/>
      <c r="I377" s="2"/>
      <c r="J377" s="2"/>
      <c r="K377" s="2" t="str">
        <f>IFERROR(__xludf.DUMMYFUNCTION("""COMPUTED_VALUE"""),"RCEF 23-09-21 Rebidding")</f>
        <v>RCEF 23-09-21 Rebidding</v>
      </c>
      <c r="L377" s="2" t="str">
        <f>IFERROR(__xludf.DUMMYFUNCTION("""COMPUTED_VALUE"""),"#N/A")</f>
        <v>#N/A</v>
      </c>
      <c r="M377" s="2"/>
      <c r="N377" s="2"/>
      <c r="O377" s="2"/>
      <c r="P377" s="2"/>
      <c r="Q377" s="2"/>
      <c r="R377" s="2"/>
      <c r="S377" s="2"/>
      <c r="T377" s="2"/>
      <c r="U377" s="2"/>
      <c r="V377" s="2"/>
      <c r="W377" s="2" t="str">
        <f>IFERROR(__xludf.DUMMYFUNCTION("""COMPUTED_VALUE"""),"VL103D")</f>
        <v>VL103D</v>
      </c>
      <c r="X377" s="2"/>
      <c r="Y377" s="2"/>
      <c r="Z377" s="2"/>
      <c r="AA377" s="2"/>
      <c r="AB377" s="2"/>
    </row>
    <row r="378">
      <c r="A378" s="2" t="str">
        <f>IFERROR(__xludf.DUMMYFUNCTION("""COMPUTED_VALUE"""),"TT00376")</f>
        <v>TT00376</v>
      </c>
      <c r="B378" s="2"/>
      <c r="C378" s="2"/>
      <c r="D378" s="2" t="str">
        <f>IFERROR(__xludf.DUMMYFUNCTION("""COMPUTED_VALUE"""),"STA. RITA RICE, CORN, HVCC AND LIVESTOCK FARMERS ASSOCIATION")</f>
        <v>STA. RITA RICE, CORN, HVCC AND LIVESTOCK FARMERS ASSOCIATION</v>
      </c>
      <c r="E378" s="2" t="str">
        <f>IFERROR(__xludf.DUMMYFUNCTION("""COMPUTED_VALUE"""),"Santa Rita, Lubao, PAMPANGA")</f>
        <v>Santa Rita, Lubao, PAMPANGA</v>
      </c>
      <c r="F378" s="2" t="str">
        <f>IFERROR(__xludf.DUMMYFUNCTION("""COMPUTED_VALUE"""),"FLORENTINO I. CALAWAGAN JR.")</f>
        <v>FLORENTINO I. CALAWAGAN JR.</v>
      </c>
      <c r="G378" s="2" t="str">
        <f>IFERROR(__xludf.DUMMYFUNCTION("""COMPUTED_VALUE"""),"0946-278-5860")</f>
        <v>0946-278-5860</v>
      </c>
      <c r="H378" s="2"/>
      <c r="I378" s="2"/>
      <c r="J378" s="2"/>
      <c r="K378" s="2" t="str">
        <f>IFERROR(__xludf.DUMMYFUNCTION("""COMPUTED_VALUE"""),"RCEF 23-09-21 Rebidding")</f>
        <v>RCEF 23-09-21 Rebidding</v>
      </c>
      <c r="L378" s="2">
        <f>IFERROR(__xludf.DUMMYFUNCTION("""COMPUTED_VALUE"""),9.0)</f>
        <v>9</v>
      </c>
      <c r="M378" s="2"/>
      <c r="N378" s="2" t="str">
        <f>IFERROR(__xludf.DUMMYFUNCTION("""COMPUTED_VALUE"""),"4/16/2024")</f>
        <v>4/16/2024</v>
      </c>
      <c r="O378" s="2"/>
      <c r="P378" s="2">
        <f>IFERROR(__xludf.DUMMYFUNCTION("""COMPUTED_VALUE"""),19035.0)</f>
        <v>19035</v>
      </c>
      <c r="Q378" s="2" t="str">
        <f>IFERROR(__xludf.DUMMYFUNCTION("""COMPUTED_VALUE"""),"KMC 5835 APRFPV0615")</f>
        <v>KMC 5835 APRFPV0615</v>
      </c>
      <c r="R378" s="2" t="str">
        <f>IFERROR(__xludf.DUMMYFUNCTION("""COMPUTED_VALUE"""),"RTS")</f>
        <v>RTS</v>
      </c>
      <c r="S378" s="2" t="str">
        <f>IFERROR(__xludf.DUMMYFUNCTION("""COMPUTED_VALUE"""),"WR- SERIES 793 PH")</f>
        <v>WR- SERIES 793 PH</v>
      </c>
      <c r="T378" s="2" t="str">
        <f>IFERROR(__xludf.DUMMYFUNCTION("""COMPUTED_VALUE"""),"LSGW 1750 RMP 24020536")</f>
        <v>LSGW 1750 RMP 24020536</v>
      </c>
      <c r="U378" s="2" t="str">
        <f>IFERROR(__xludf.DUMMYFUNCTION("""COMPUTED_VALUE"""),"WDP40 RMP 24050569")</f>
        <v>WDP40 RMP 24050569</v>
      </c>
      <c r="V378" s="2"/>
      <c r="W378" s="2" t="str">
        <f>IFERROR(__xludf.DUMMYFUNCTION("""COMPUTED_VALUE"""),"VL103D")</f>
        <v>VL103D</v>
      </c>
      <c r="X378" s="2"/>
      <c r="Y378" s="2"/>
      <c r="Z378" s="2"/>
      <c r="AA378" s="2"/>
      <c r="AB378" s="2"/>
    </row>
    <row r="379">
      <c r="A379" s="2" t="str">
        <f>IFERROR(__xludf.DUMMYFUNCTION("""COMPUTED_VALUE"""),"TT00377")</f>
        <v>TT00377</v>
      </c>
      <c r="B379" s="2"/>
      <c r="C379" s="2"/>
      <c r="D379" s="2" t="str">
        <f>IFERROR(__xludf.DUMMYFUNCTION("""COMPUTED_VALUE"""),"New Planas Agriculture Cooperative")</f>
        <v>New Planas Agriculture Cooperative</v>
      </c>
      <c r="E379" s="2" t="str">
        <f>IFERROR(__xludf.DUMMYFUNCTION("""COMPUTED_VALUE"""),"Planas, Porac, PAMPANGA")</f>
        <v>Planas, Porac, PAMPANGA</v>
      </c>
      <c r="F379" s="2" t="str">
        <f>IFERROR(__xludf.DUMMYFUNCTION("""COMPUTED_VALUE"""),"AMOR MALLARI")</f>
        <v>AMOR MALLARI</v>
      </c>
      <c r="G379" s="2" t="str">
        <f>IFERROR(__xludf.DUMMYFUNCTION("""COMPUTED_VALUE"""),"0909-310-5708")</f>
        <v>0909-310-5708</v>
      </c>
      <c r="H379" s="2"/>
      <c r="I379" s="2"/>
      <c r="J379" s="2"/>
      <c r="K379" s="2" t="str">
        <f>IFERROR(__xludf.DUMMYFUNCTION("""COMPUTED_VALUE"""),"RCEF 23-09-21 Rebidding")</f>
        <v>RCEF 23-09-21 Rebidding</v>
      </c>
      <c r="L379" s="2">
        <f>IFERROR(__xludf.DUMMYFUNCTION("""COMPUTED_VALUE"""),9.0)</f>
        <v>9</v>
      </c>
      <c r="M379" s="2"/>
      <c r="N379" s="2"/>
      <c r="O379" s="2"/>
      <c r="P379" s="2">
        <f>IFERROR(__xludf.DUMMYFUNCTION("""COMPUTED_VALUE"""),19036.0)</f>
        <v>19036</v>
      </c>
      <c r="Q379" s="2" t="str">
        <f>IFERROR(__xludf.DUMMYFUNCTION("""COMPUTED_VALUE"""),"KMC5825 AJRFPV0620")</f>
        <v>KMC5825 AJRFPV0620</v>
      </c>
      <c r="R379" s="2" t="str">
        <f>IFERROR(__xludf.DUMMYFUNCTION("""COMPUTED_VALUE"""),"RTS")</f>
        <v>RTS</v>
      </c>
      <c r="S379" s="2" t="str">
        <f>IFERROR(__xludf.DUMMYFUNCTION("""COMPUTED_VALUE"""),"R SERIES ")</f>
        <v>R SERIES </v>
      </c>
      <c r="T379" s="2" t="str">
        <f>IFERROR(__xludf.DUMMYFUNCTION("""COMPUTED_VALUE"""),"LSGW1750 RMP ")</f>
        <v>LSGW1750 RMP </v>
      </c>
      <c r="U379" s="2" t="str">
        <f>IFERROR(__xludf.DUMMYFUNCTION("""COMPUTED_VALUE"""),"WDP 40 RMP")</f>
        <v>WDP 40 RMP</v>
      </c>
      <c r="V379" s="2"/>
      <c r="W379" s="2" t="str">
        <f>IFERROR(__xludf.DUMMYFUNCTION("""COMPUTED_VALUE"""),"VL103D")</f>
        <v>VL103D</v>
      </c>
      <c r="X379" s="2"/>
      <c r="Y379" s="2"/>
      <c r="Z379" s="2"/>
      <c r="AA379" s="2"/>
      <c r="AB379" s="2"/>
    </row>
    <row r="380">
      <c r="A380" s="2" t="str">
        <f>IFERROR(__xludf.DUMMYFUNCTION("""COMPUTED_VALUE"""),"TT00378")</f>
        <v>TT00378</v>
      </c>
      <c r="B380" s="2"/>
      <c r="C380" s="2"/>
      <c r="D380" s="2" t="str">
        <f>IFERROR(__xludf.DUMMYFUNCTION("""COMPUTED_VALUE"""),"DAPDAP PANIQUI FARMER IRRIGATORS ASSOCIATION INC.")</f>
        <v>DAPDAP PANIQUI FARMER IRRIGATORS ASSOCIATION INC.</v>
      </c>
      <c r="E380" s="2" t="str">
        <f>IFERROR(__xludf.DUMMYFUNCTION("""COMPUTED_VALUE"""),"Dapdap, Paniqui, TARLAC")</f>
        <v>Dapdap, Paniqui, TARLAC</v>
      </c>
      <c r="F380" s="2" t="str">
        <f>IFERROR(__xludf.DUMMYFUNCTION("""COMPUTED_VALUE"""),"Willie F. Asuncion")</f>
        <v>Willie F. Asuncion</v>
      </c>
      <c r="G380" s="2">
        <f>IFERROR(__xludf.DUMMYFUNCTION("""COMPUTED_VALUE"""),9.19696776E9)</f>
        <v>9196967760</v>
      </c>
      <c r="H380" s="2"/>
      <c r="I380" s="2"/>
      <c r="J380" s="2"/>
      <c r="K380" s="2" t="str">
        <f>IFERROR(__xludf.DUMMYFUNCTION("""COMPUTED_VALUE"""),"RCEF 23-09-21 Rebidding")</f>
        <v>RCEF 23-09-21 Rebidding</v>
      </c>
      <c r="L380" s="2">
        <f>IFERROR(__xludf.DUMMYFUNCTION("""COMPUTED_VALUE"""),9.0)</f>
        <v>9</v>
      </c>
      <c r="M380" s="2"/>
      <c r="N380" s="2"/>
      <c r="O380" s="2"/>
      <c r="P380" s="2"/>
      <c r="Q380" s="2" t="str">
        <f>IFERROR(__xludf.DUMMYFUNCTION("""COMPUTED_VALUE"""),"KMC5825")</f>
        <v>KMC5825</v>
      </c>
      <c r="R380" s="2" t="str">
        <f>IFERROR(__xludf.DUMMYFUNCTION("""COMPUTED_VALUE"""),"RTS")</f>
        <v>RTS</v>
      </c>
      <c r="S380" s="2" t="str">
        <f>IFERROR(__xludf.DUMMYFUNCTION("""COMPUTED_VALUE"""),"R SERIES")</f>
        <v>R SERIES</v>
      </c>
      <c r="T380" s="2" t="str">
        <f>IFERROR(__xludf.DUMMYFUNCTION("""COMPUTED_VALUE"""),"LSGW1750 RMP ")</f>
        <v>LSGW1750 RMP </v>
      </c>
      <c r="U380" s="2" t="str">
        <f>IFERROR(__xludf.DUMMYFUNCTION("""COMPUTED_VALUE"""),"WDP 40 RMP")</f>
        <v>WDP 40 RMP</v>
      </c>
      <c r="V380" s="2"/>
      <c r="W380" s="2" t="str">
        <f>IFERROR(__xludf.DUMMYFUNCTION("""COMPUTED_VALUE"""),"VL103D")</f>
        <v>VL103D</v>
      </c>
      <c r="X380" s="2"/>
      <c r="Y380" s="2"/>
      <c r="Z380" s="2"/>
      <c r="AA380" s="2"/>
      <c r="AB380" s="2"/>
    </row>
    <row r="381">
      <c r="A381" s="2" t="str">
        <f>IFERROR(__xludf.DUMMYFUNCTION("""COMPUTED_VALUE"""),"TT00379")</f>
        <v>TT00379</v>
      </c>
      <c r="B381" s="2"/>
      <c r="C381" s="2"/>
      <c r="D381" s="2" t="str">
        <f>IFERROR(__xludf.DUMMYFUNCTION("""COMPUTED_VALUE"""),"Macalong Farmers Agriculture Cooperative")</f>
        <v>Macalong Farmers Agriculture Cooperative</v>
      </c>
      <c r="E381" s="2" t="str">
        <f>IFERROR(__xludf.DUMMYFUNCTION("""COMPUTED_VALUE"""),"Macalong, La Paz, TARLAC")</f>
        <v>Macalong, La Paz, TARLAC</v>
      </c>
      <c r="F381" s="2" t="str">
        <f>IFERROR(__xludf.DUMMYFUNCTION("""COMPUTED_VALUE"""),"Edna M. Buyao")</f>
        <v>Edna M. Buyao</v>
      </c>
      <c r="G381" s="2">
        <f>IFERROR(__xludf.DUMMYFUNCTION("""COMPUTED_VALUE"""),9.212327254E9)</f>
        <v>9212327254</v>
      </c>
      <c r="H381" s="2"/>
      <c r="I381" s="2"/>
      <c r="J381" s="2"/>
      <c r="K381" s="2" t="str">
        <f>IFERROR(__xludf.DUMMYFUNCTION("""COMPUTED_VALUE"""),"RCEF 23-09-21 Rebidding")</f>
        <v>RCEF 23-09-21 Rebidding</v>
      </c>
      <c r="L381" s="2">
        <f>IFERROR(__xludf.DUMMYFUNCTION("""COMPUTED_VALUE"""),9.0)</f>
        <v>9</v>
      </c>
      <c r="M381" s="2"/>
      <c r="N381" s="2"/>
      <c r="O381" s="2"/>
      <c r="P381" s="2"/>
      <c r="Q381" s="2" t="str">
        <f>IFERROR(__xludf.DUMMYFUNCTION("""COMPUTED_VALUE"""),"KMC5825")</f>
        <v>KMC5825</v>
      </c>
      <c r="R381" s="2" t="str">
        <f>IFERROR(__xludf.DUMMYFUNCTION("""COMPUTED_VALUE"""),"RTS")</f>
        <v>RTS</v>
      </c>
      <c r="S381" s="2" t="str">
        <f>IFERROR(__xludf.DUMMYFUNCTION("""COMPUTED_VALUE"""),"R SERIES")</f>
        <v>R SERIES</v>
      </c>
      <c r="T381" s="2" t="str">
        <f>IFERROR(__xludf.DUMMYFUNCTION("""COMPUTED_VALUE"""),"LSGW1750 RMP ")</f>
        <v>LSGW1750 RMP </v>
      </c>
      <c r="U381" s="2" t="str">
        <f>IFERROR(__xludf.DUMMYFUNCTION("""COMPUTED_VALUE"""),"WDP 40 RMP")</f>
        <v>WDP 40 RMP</v>
      </c>
      <c r="V381" s="2"/>
      <c r="W381" s="2" t="str">
        <f>IFERROR(__xludf.DUMMYFUNCTION("""COMPUTED_VALUE"""),"VL103D")</f>
        <v>VL103D</v>
      </c>
      <c r="X381" s="2"/>
      <c r="Y381" s="2"/>
      <c r="Z381" s="2"/>
      <c r="AA381" s="2"/>
      <c r="AB381" s="2"/>
    </row>
    <row r="382">
      <c r="A382" s="2" t="str">
        <f>IFERROR(__xludf.DUMMYFUNCTION("""COMPUTED_VALUE"""),"TT00380")</f>
        <v>TT00380</v>
      </c>
      <c r="B382" s="2" t="str">
        <f>IFERROR(__xludf.DUMMYFUNCTION("""COMPUTED_VALUE"""),"For Completion")</f>
        <v>For Completion</v>
      </c>
      <c r="C382" s="2"/>
      <c r="D382" s="2" t="str">
        <f>IFERROR(__xludf.DUMMYFUNCTION("""COMPUTED_VALUE"""),"Dalipdip Integrated Farmers Association")</f>
        <v>Dalipdip Integrated Farmers Association</v>
      </c>
      <c r="E382" s="2" t="str">
        <f>IFERROR(__xludf.DUMMYFUNCTION("""COMPUTED_VALUE"""),"Dalipdip, Altavas, AKLAN")</f>
        <v>Dalipdip, Altavas, AKLAN</v>
      </c>
      <c r="F382" s="2" t="str">
        <f>IFERROR(__xludf.DUMMYFUNCTION("""COMPUTED_VALUE"""),"Reynaldo G. Gallo")</f>
        <v>Reynaldo G. Gallo</v>
      </c>
      <c r="G382" s="2" t="str">
        <f>IFERROR(__xludf.DUMMYFUNCTION("""COMPUTED_VALUE"""),"0921-882-9361")</f>
        <v>0921-882-9361</v>
      </c>
      <c r="H382" s="2"/>
      <c r="I382" s="2"/>
      <c r="J382" s="2"/>
      <c r="K382" s="2" t="str">
        <f>IFERROR(__xludf.DUMMYFUNCTION("""COMPUTED_VALUE"""),"RCEF 23-09-21 Rebidding")</f>
        <v>RCEF 23-09-21 Rebidding</v>
      </c>
      <c r="L382" s="2">
        <f>IFERROR(__xludf.DUMMYFUNCTION("""COMPUTED_VALUE"""),4.0)</f>
        <v>4</v>
      </c>
      <c r="M382" s="2"/>
      <c r="N382" s="74">
        <f>IFERROR(__xludf.DUMMYFUNCTION("""COMPUTED_VALUE"""),45398.0)</f>
        <v>45398</v>
      </c>
      <c r="O382" s="74">
        <f>IFERROR(__xludf.DUMMYFUNCTION("""COMPUTED_VALUE"""),45428.0)</f>
        <v>45428</v>
      </c>
      <c r="P382" s="2">
        <f>IFERROR(__xludf.DUMMYFUNCTION("""COMPUTED_VALUE"""),19040.0)</f>
        <v>19040</v>
      </c>
      <c r="Q382" s="2" t="str">
        <f>IFERROR(__xludf.DUMMYFUNCTION("""COMPUTED_VALUE"""),"KMC5825ALRFPV0543")</f>
        <v>KMC5825ALRFPV0543</v>
      </c>
      <c r="R382" s="2" t="str">
        <f>IFERROR(__xludf.DUMMYFUNCTION("""COMPUTED_VALUE"""),"RTS100446")</f>
        <v>RTS100446</v>
      </c>
      <c r="S382" s="2" t="str">
        <f>IFERROR(__xludf.DUMMYFUNCTION("""COMPUTED_VALUE"""),"WR-SERIES 766 PH")</f>
        <v>WR-SERIES 766 PH</v>
      </c>
      <c r="T382" s="2" t="str">
        <f>IFERROR(__xludf.DUMMYFUNCTION("""COMPUTED_VALUE"""),"LSGW1750 RMP 24040657")</f>
        <v>LSGW1750 RMP 24040657</v>
      </c>
      <c r="U382" s="2" t="str">
        <f>IFERROR(__xludf.DUMMYFUNCTION("""COMPUTED_VALUE"""),"WDP40 RMP 24040414")</f>
        <v>WDP40 RMP 24040414</v>
      </c>
      <c r="V382" s="2"/>
      <c r="W382" s="2" t="str">
        <f>IFERROR(__xludf.DUMMYFUNCTION("""COMPUTED_VALUE"""),"VL103D")</f>
        <v>VL103D</v>
      </c>
      <c r="X382" s="2">
        <f>IFERROR(__xludf.DUMMYFUNCTION("""COMPUTED_VALUE"""),8.69066060243228E14)</f>
        <v>869066060243228</v>
      </c>
      <c r="Y382" s="2">
        <f>IFERROR(__xludf.DUMMYFUNCTION("""COMPUTED_VALUE"""),9.083571281E9)</f>
        <v>9083571281</v>
      </c>
      <c r="Z382" s="2"/>
      <c r="AA382" s="2"/>
      <c r="AB382" s="2"/>
    </row>
    <row r="383">
      <c r="A383" s="2" t="str">
        <f>IFERROR(__xludf.DUMMYFUNCTION("""COMPUTED_VALUE"""),"TT00381")</f>
        <v>TT00381</v>
      </c>
      <c r="B383" s="2" t="str">
        <f>IFERROR(__xludf.DUMMYFUNCTION("""COMPUTED_VALUE"""),"For Completion")</f>
        <v>For Completion</v>
      </c>
      <c r="C383" s="2"/>
      <c r="D383" s="2" t="str">
        <f>IFERROR(__xludf.DUMMYFUNCTION("""COMPUTED_VALUE"""),"Mabais Tagaytay Bantayan Farmer’s Association")</f>
        <v>Mabais Tagaytay Bantayan Farmer’s Association</v>
      </c>
      <c r="E383" s="2" t="str">
        <f>IFERROR(__xludf.DUMMYFUNCTION("""COMPUTED_VALUE"""),"Feliciano, Balete, AKLAN")</f>
        <v>Feliciano, Balete, AKLAN</v>
      </c>
      <c r="F383" s="2" t="str">
        <f>IFERROR(__xludf.DUMMYFUNCTION("""COMPUTED_VALUE"""),"Raul Birol")</f>
        <v>Raul Birol</v>
      </c>
      <c r="G383" s="2" t="str">
        <f>IFERROR(__xludf.DUMMYFUNCTION("""COMPUTED_VALUE"""),"0909-855-9889")</f>
        <v>0909-855-9889</v>
      </c>
      <c r="H383" s="2"/>
      <c r="I383" s="2"/>
      <c r="J383" s="2"/>
      <c r="K383" s="2" t="str">
        <f>IFERROR(__xludf.DUMMYFUNCTION("""COMPUTED_VALUE"""),"RCEF 23-09-21 Rebidding")</f>
        <v>RCEF 23-09-21 Rebidding</v>
      </c>
      <c r="L383" s="2">
        <f>IFERROR(__xludf.DUMMYFUNCTION("""COMPUTED_VALUE"""),4.0)</f>
        <v>4</v>
      </c>
      <c r="M383" s="2"/>
      <c r="N383" s="74">
        <f>IFERROR(__xludf.DUMMYFUNCTION("""COMPUTED_VALUE"""),45398.0)</f>
        <v>45398</v>
      </c>
      <c r="O383" s="74">
        <f>IFERROR(__xludf.DUMMYFUNCTION("""COMPUTED_VALUE"""),45428.0)</f>
        <v>45428</v>
      </c>
      <c r="P383" s="2">
        <f>IFERROR(__xludf.DUMMYFUNCTION("""COMPUTED_VALUE"""),19041.0)</f>
        <v>19041</v>
      </c>
      <c r="Q383" s="2" t="str">
        <f>IFERROR(__xludf.DUMMYFUNCTION("""COMPUTED_VALUE"""),"KMC5825ALRFPV0644")</f>
        <v>KMC5825ALRFPV0644</v>
      </c>
      <c r="R383" s="2" t="str">
        <f>IFERROR(__xludf.DUMMYFUNCTION("""COMPUTED_VALUE"""),"RTS100210")</f>
        <v>RTS100210</v>
      </c>
      <c r="S383" s="2" t="str">
        <f>IFERROR(__xludf.DUMMYFUNCTION("""COMPUTED_VALUE"""),"WR-SERIES 796 PH")</f>
        <v>WR-SERIES 796 PH</v>
      </c>
      <c r="T383" s="2" t="str">
        <f>IFERROR(__xludf.DUMMYFUNCTION("""COMPUTED_VALUE"""),"LSGW1750 RMP 24040652")</f>
        <v>LSGW1750 RMP 24040652</v>
      </c>
      <c r="U383" s="2" t="str">
        <f>IFERROR(__xludf.DUMMYFUNCTION("""COMPUTED_VALUE"""),"WDP40 RMP 24040398")</f>
        <v>WDP40 RMP 24040398</v>
      </c>
      <c r="V383" s="2"/>
      <c r="W383" s="2" t="str">
        <f>IFERROR(__xludf.DUMMYFUNCTION("""COMPUTED_VALUE"""),"VL103D")</f>
        <v>VL103D</v>
      </c>
      <c r="X383" s="2">
        <f>IFERROR(__xludf.DUMMYFUNCTION("""COMPUTED_VALUE"""),8.69066060241339E14)</f>
        <v>869066060241339</v>
      </c>
      <c r="Y383" s="2">
        <f>IFERROR(__xludf.DUMMYFUNCTION("""COMPUTED_VALUE"""),9.08314712E9)</f>
        <v>9083147120</v>
      </c>
      <c r="Z383" s="2"/>
      <c r="AA383" s="2"/>
      <c r="AB383" s="2"/>
    </row>
    <row r="384">
      <c r="A384" s="2" t="str">
        <f>IFERROR(__xludf.DUMMYFUNCTION("""COMPUTED_VALUE"""),"TT00382")</f>
        <v>TT00382</v>
      </c>
      <c r="B384" s="2" t="str">
        <f>IFERROR(__xludf.DUMMYFUNCTION("""COMPUTED_VALUE"""),"For Completion")</f>
        <v>For Completion</v>
      </c>
      <c r="C384" s="2"/>
      <c r="D384" s="2" t="str">
        <f>IFERROR(__xludf.DUMMYFUNCTION("""COMPUTED_VALUE"""),"ESTANCIA FARMERS' ASSOCIATION")</f>
        <v>ESTANCIA FARMERS' ASSOCIATION</v>
      </c>
      <c r="E384" s="2" t="str">
        <f>IFERROR(__xludf.DUMMYFUNCTION("""COMPUTED_VALUE"""),"Estancia, Kalibo, AKLAN")</f>
        <v>Estancia, Kalibo, AKLAN</v>
      </c>
      <c r="F384" s="2" t="str">
        <f>IFERROR(__xludf.DUMMYFUNCTION("""COMPUTED_VALUE"""),"CEZAR F. ICABANDI")</f>
        <v>CEZAR F. ICABANDI</v>
      </c>
      <c r="G384" s="2" t="str">
        <f>IFERROR(__xludf.DUMMYFUNCTION("""COMPUTED_VALUE"""),"0950-272-6806")</f>
        <v>0950-272-6806</v>
      </c>
      <c r="H384" s="2"/>
      <c r="I384" s="2"/>
      <c r="J384" s="2"/>
      <c r="K384" s="2" t="str">
        <f>IFERROR(__xludf.DUMMYFUNCTION("""COMPUTED_VALUE"""),"RCEF 23-09-21 Rebidding")</f>
        <v>RCEF 23-09-21 Rebidding</v>
      </c>
      <c r="L384" s="2">
        <f>IFERROR(__xludf.DUMMYFUNCTION("""COMPUTED_VALUE"""),4.0)</f>
        <v>4</v>
      </c>
      <c r="M384" s="2"/>
      <c r="N384" s="74">
        <f>IFERROR(__xludf.DUMMYFUNCTION("""COMPUTED_VALUE"""),45398.0)</f>
        <v>45398</v>
      </c>
      <c r="O384" s="74">
        <f>IFERROR(__xludf.DUMMYFUNCTION("""COMPUTED_VALUE"""),45428.0)</f>
        <v>45428</v>
      </c>
      <c r="P384" s="2">
        <f>IFERROR(__xludf.DUMMYFUNCTION("""COMPUTED_VALUE"""),19042.0)</f>
        <v>19042</v>
      </c>
      <c r="Q384" s="2" t="str">
        <f>IFERROR(__xludf.DUMMYFUNCTION("""COMPUTED_VALUE"""),"KMC5825AKRFPV0566")</f>
        <v>KMC5825AKRFPV0566</v>
      </c>
      <c r="R384" s="2" t="str">
        <f>IFERROR(__xludf.DUMMYFUNCTION("""COMPUTED_VALUE"""),"RTS100229")</f>
        <v>RTS100229</v>
      </c>
      <c r="S384" s="2" t="str">
        <f>IFERROR(__xludf.DUMMYFUNCTION("""COMPUTED_VALUE"""),"WR-SERIES 767 PH")</f>
        <v>WR-SERIES 767 PH</v>
      </c>
      <c r="T384" s="2" t="str">
        <f>IFERROR(__xludf.DUMMYFUNCTION("""COMPUTED_VALUE"""),"LSGW1750 RMP 24040660")</f>
        <v>LSGW1750 RMP 24040660</v>
      </c>
      <c r="U384" s="2" t="str">
        <f>IFERROR(__xludf.DUMMYFUNCTION("""COMPUTED_VALUE"""),"WDP40 RMP 24040402")</f>
        <v>WDP40 RMP 24040402</v>
      </c>
      <c r="V384" s="2"/>
      <c r="W384" s="2" t="str">
        <f>IFERROR(__xludf.DUMMYFUNCTION("""COMPUTED_VALUE"""),"VL103D")</f>
        <v>VL103D</v>
      </c>
      <c r="X384" s="2">
        <f>IFERROR(__xludf.DUMMYFUNCTION("""COMPUTED_VALUE"""),8.69066060245983E14)</f>
        <v>869066060245983</v>
      </c>
      <c r="Y384" s="2">
        <f>IFERROR(__xludf.DUMMYFUNCTION("""COMPUTED_VALUE"""),9.084547669E9)</f>
        <v>9084547669</v>
      </c>
      <c r="Z384" s="2"/>
      <c r="AA384" s="2"/>
      <c r="AB384" s="2"/>
    </row>
    <row r="385">
      <c r="A385" s="2" t="str">
        <f>IFERROR(__xludf.DUMMYFUNCTION("""COMPUTED_VALUE"""),"TT00383")</f>
        <v>TT00383</v>
      </c>
      <c r="B385" s="2" t="str">
        <f>IFERROR(__xludf.DUMMYFUNCTION("""COMPUTED_VALUE"""),"For Completion")</f>
        <v>For Completion</v>
      </c>
      <c r="C385" s="2"/>
      <c r="D385" s="2" t="str">
        <f>IFERROR(__xludf.DUMMYFUNCTION("""COMPUTED_VALUE"""),"Nalook Farmers' Association")</f>
        <v>Nalook Farmers' Association</v>
      </c>
      <c r="E385" s="2" t="str">
        <f>IFERROR(__xludf.DUMMYFUNCTION("""COMPUTED_VALUE"""),"Nalook, Kalibo, AKLAN")</f>
        <v>Nalook, Kalibo, AKLAN</v>
      </c>
      <c r="F385" s="2" t="str">
        <f>IFERROR(__xludf.DUMMYFUNCTION("""COMPUTED_VALUE"""),"Evelyn Sioco")</f>
        <v>Evelyn Sioco</v>
      </c>
      <c r="G385" s="2" t="str">
        <f>IFERROR(__xludf.DUMMYFUNCTION("""COMPUTED_VALUE"""),"0999-945-1766")</f>
        <v>0999-945-1766</v>
      </c>
      <c r="H385" s="2"/>
      <c r="I385" s="2"/>
      <c r="J385" s="2"/>
      <c r="K385" s="2" t="str">
        <f>IFERROR(__xludf.DUMMYFUNCTION("""COMPUTED_VALUE"""),"RCEF 23-09-21 Rebidding")</f>
        <v>RCEF 23-09-21 Rebidding</v>
      </c>
      <c r="L385" s="2">
        <f>IFERROR(__xludf.DUMMYFUNCTION("""COMPUTED_VALUE"""),4.0)</f>
        <v>4</v>
      </c>
      <c r="M385" s="2"/>
      <c r="N385" s="74">
        <f>IFERROR(__xludf.DUMMYFUNCTION("""COMPUTED_VALUE"""),45398.0)</f>
        <v>45398</v>
      </c>
      <c r="O385" s="74">
        <f>IFERROR(__xludf.DUMMYFUNCTION("""COMPUTED_VALUE"""),45428.0)</f>
        <v>45428</v>
      </c>
      <c r="P385" s="2">
        <f>IFERROR(__xludf.DUMMYFUNCTION("""COMPUTED_VALUE"""),19043.0)</f>
        <v>19043</v>
      </c>
      <c r="Q385" s="2" t="str">
        <f>IFERROR(__xludf.DUMMYFUNCTION("""COMPUTED_VALUE"""),"KMC5825ATRFPV0631")</f>
        <v>KMC5825ATRFPV0631</v>
      </c>
      <c r="R385" s="2" t="str">
        <f>IFERROR(__xludf.DUMMYFUNCTION("""COMPUTED_VALUE"""),"RTS100512")</f>
        <v>RTS100512</v>
      </c>
      <c r="S385" s="2" t="str">
        <f>IFERROR(__xludf.DUMMYFUNCTION("""COMPUTED_VALUE"""),"WR-SERIES 810 PH")</f>
        <v>WR-SERIES 810 PH</v>
      </c>
      <c r="T385" s="2" t="str">
        <f>IFERROR(__xludf.DUMMYFUNCTION("""COMPUTED_VALUE"""),"LSGW1750 RMP 24040674")</f>
        <v>LSGW1750 RMP 24040674</v>
      </c>
      <c r="U385" s="2" t="str">
        <f>IFERROR(__xludf.DUMMYFUNCTION("""COMPUTED_VALUE"""),"WDP40 RMP 24040426")</f>
        <v>WDP40 RMP 24040426</v>
      </c>
      <c r="V385" s="2"/>
      <c r="W385" s="2" t="str">
        <f>IFERROR(__xludf.DUMMYFUNCTION("""COMPUTED_VALUE"""),"VL103D")</f>
        <v>VL103D</v>
      </c>
      <c r="X385" s="2">
        <f>IFERROR(__xludf.DUMMYFUNCTION("""COMPUTED_VALUE"""),8.69066060241438E14)</f>
        <v>869066060241438</v>
      </c>
      <c r="Y385" s="2">
        <f>IFERROR(__xludf.DUMMYFUNCTION("""COMPUTED_VALUE"""),9.086632468E9)</f>
        <v>9086632468</v>
      </c>
      <c r="Z385" s="2"/>
      <c r="AA385" s="2"/>
      <c r="AB385" s="2"/>
    </row>
    <row r="386">
      <c r="A386" s="2" t="str">
        <f>IFERROR(__xludf.DUMMYFUNCTION("""COMPUTED_VALUE"""),"TT00384")</f>
        <v>TT00384</v>
      </c>
      <c r="B386" s="2" t="str">
        <f>IFERROR(__xludf.DUMMYFUNCTION("""COMPUTED_VALUE"""),"For Completion")</f>
        <v>For Completion</v>
      </c>
      <c r="C386" s="2"/>
      <c r="D386" s="2" t="str">
        <f>IFERROR(__xludf.DUMMYFUNCTION("""COMPUTED_VALUE"""),"Puis Farmers Association")</f>
        <v>Puis Farmers Association</v>
      </c>
      <c r="E386" s="2" t="str">
        <f>IFERROR(__xludf.DUMMYFUNCTION("""COMPUTED_VALUE"""),"Puis, New Washington, AKLAN")</f>
        <v>Puis, New Washington, AKLAN</v>
      </c>
      <c r="F386" s="2" t="str">
        <f>IFERROR(__xludf.DUMMYFUNCTION("""COMPUTED_VALUE"""),"Emmanual Tolentino")</f>
        <v>Emmanual Tolentino</v>
      </c>
      <c r="G386" s="2" t="str">
        <f>IFERROR(__xludf.DUMMYFUNCTION("""COMPUTED_VALUE"""),"0919-284-9193")</f>
        <v>0919-284-9193</v>
      </c>
      <c r="H386" s="2"/>
      <c r="I386" s="2"/>
      <c r="J386" s="2"/>
      <c r="K386" s="2" t="str">
        <f>IFERROR(__xludf.DUMMYFUNCTION("""COMPUTED_VALUE"""),"RCEF 23-09-21 Rebidding")</f>
        <v>RCEF 23-09-21 Rebidding</v>
      </c>
      <c r="L386" s="2">
        <f>IFERROR(__xludf.DUMMYFUNCTION("""COMPUTED_VALUE"""),4.0)</f>
        <v>4</v>
      </c>
      <c r="M386" s="2"/>
      <c r="N386" s="74">
        <f>IFERROR(__xludf.DUMMYFUNCTION("""COMPUTED_VALUE"""),45398.0)</f>
        <v>45398</v>
      </c>
      <c r="O386" s="74">
        <f>IFERROR(__xludf.DUMMYFUNCTION("""COMPUTED_VALUE"""),45428.0)</f>
        <v>45428</v>
      </c>
      <c r="P386" s="2">
        <f>IFERROR(__xludf.DUMMYFUNCTION("""COMPUTED_VALUE"""),19044.0)</f>
        <v>19044</v>
      </c>
      <c r="Q386" s="2" t="str">
        <f>IFERROR(__xludf.DUMMYFUNCTION("""COMPUTED_VALUE"""),"KMC5825APRFPV0436")</f>
        <v>KMC5825APRFPV0436</v>
      </c>
      <c r="R386" s="2" t="str">
        <f>IFERROR(__xludf.DUMMYFUNCTION("""COMPUTED_VALUE"""),"RTS100350")</f>
        <v>RTS100350</v>
      </c>
      <c r="S386" s="2" t="str">
        <f>IFERROR(__xludf.DUMMYFUNCTION("""COMPUTED_VALUE"""),"WR-SERIES 873 PH")</f>
        <v>WR-SERIES 873 PH</v>
      </c>
      <c r="T386" s="2" t="str">
        <f>IFERROR(__xludf.DUMMYFUNCTION("""COMPUTED_VALUE"""),"LSGW1750 RMP 24040654")</f>
        <v>LSGW1750 RMP 24040654</v>
      </c>
      <c r="U386" s="2" t="str">
        <f>IFERROR(__xludf.DUMMYFUNCTION("""COMPUTED_VALUE"""),"WDP40 RMP 24040410")</f>
        <v>WDP40 RMP 24040410</v>
      </c>
      <c r="V386" s="2"/>
      <c r="W386" s="2" t="str">
        <f>IFERROR(__xludf.DUMMYFUNCTION("""COMPUTED_VALUE"""),"VL103D")</f>
        <v>VL103D</v>
      </c>
      <c r="X386" s="2"/>
      <c r="Y386" s="2"/>
      <c r="Z386" s="2"/>
      <c r="AA386" s="2"/>
      <c r="AB386" s="2"/>
    </row>
    <row r="387">
      <c r="A387" s="2" t="str">
        <f>IFERROR(__xludf.DUMMYFUNCTION("""COMPUTED_VALUE"""),"TT00385")</f>
        <v>TT00385</v>
      </c>
      <c r="B387" s="2" t="str">
        <f>IFERROR(__xludf.DUMMYFUNCTION("""COMPUTED_VALUE"""),"For Completion")</f>
        <v>For Completion</v>
      </c>
      <c r="C387" s="2"/>
      <c r="D387" s="2" t="str">
        <f>IFERROR(__xludf.DUMMYFUNCTION("""COMPUTED_VALUE"""),"(BBCM) BINANU-AN BINANGBANG CENTRO-CUBAY-MAGTULIS IRRIGATORS ASSOCIATION, INC.")</f>
        <v>(BBCM) BINANU-AN BINANGBANG CENTRO-CUBAY-MAGTULIS IRRIGATORS ASSOCIATION, INC.</v>
      </c>
      <c r="E387" s="2" t="str">
        <f>IFERROR(__xludf.DUMMYFUNCTION("""COMPUTED_VALUE"""),"Binanu-an, Barbaza, ANTIQUE")</f>
        <v>Binanu-an, Barbaza, ANTIQUE</v>
      </c>
      <c r="F387" s="2" t="str">
        <f>IFERROR(__xludf.DUMMYFUNCTION("""COMPUTED_VALUE"""),"Votaire B. Chavoso")</f>
        <v>Votaire B. Chavoso</v>
      </c>
      <c r="G387" s="2" t="str">
        <f>IFERROR(__xludf.DUMMYFUNCTION("""COMPUTED_VALUE"""),"0905-107-1789")</f>
        <v>0905-107-1789</v>
      </c>
      <c r="H387" s="2" t="str">
        <f>IFERROR(__xludf.DUMMYFUNCTION("""COMPUTED_VALUE"""),"/")</f>
        <v>/</v>
      </c>
      <c r="I387" s="2"/>
      <c r="J387" s="2"/>
      <c r="K387" s="2" t="str">
        <f>IFERROR(__xludf.DUMMYFUNCTION("""COMPUTED_VALUE"""),"RCEF 23-09-21 Rebidding")</f>
        <v>RCEF 23-09-21 Rebidding</v>
      </c>
      <c r="L387" s="2">
        <f>IFERROR(__xludf.DUMMYFUNCTION("""COMPUTED_VALUE"""),4.0)</f>
        <v>4</v>
      </c>
      <c r="M387" s="2"/>
      <c r="N387" s="74">
        <f>IFERROR(__xludf.DUMMYFUNCTION("""COMPUTED_VALUE"""),45398.0)</f>
        <v>45398</v>
      </c>
      <c r="O387" s="74">
        <f>IFERROR(__xludf.DUMMYFUNCTION("""COMPUTED_VALUE"""),45428.0)</f>
        <v>45428</v>
      </c>
      <c r="P387" s="2">
        <f>IFERROR(__xludf.DUMMYFUNCTION("""COMPUTED_VALUE"""),19045.0)</f>
        <v>19045</v>
      </c>
      <c r="Q387" s="2" t="str">
        <f>IFERROR(__xludf.DUMMYFUNCTION("""COMPUTED_VALUE"""),"KMC5825 APRFPV0596")</f>
        <v>KMC5825 APRFPV0596</v>
      </c>
      <c r="R387" s="2" t="str">
        <f>IFERROR(__xludf.DUMMYFUNCTION("""COMPUTED_VALUE"""),"RTS 100471")</f>
        <v>RTS 100471</v>
      </c>
      <c r="S387" s="2" t="str">
        <f>IFERROR(__xludf.DUMMYFUNCTION("""COMPUTED_VALUE"""),"WR-SERIES 943 PH")</f>
        <v>WR-SERIES 943 PH</v>
      </c>
      <c r="T387" s="2" t="str">
        <f>IFERROR(__xludf.DUMMYFUNCTION("""COMPUTED_VALUE"""),"LSGW1750 RMP 24040691")</f>
        <v>LSGW1750 RMP 24040691</v>
      </c>
      <c r="U387" s="2" t="str">
        <f>IFERROR(__xludf.DUMMYFUNCTION("""COMPUTED_VALUE"""),"WDP40 RMP 24040462")</f>
        <v>WDP40 RMP 24040462</v>
      </c>
      <c r="V387" s="2"/>
      <c r="W387" s="2" t="str">
        <f>IFERROR(__xludf.DUMMYFUNCTION("""COMPUTED_VALUE"""),"VL103D")</f>
        <v>VL103D</v>
      </c>
      <c r="X387" s="2">
        <f>IFERROR(__xludf.DUMMYFUNCTION("""COMPUTED_VALUE"""),8.69066060241149E14)</f>
        <v>869066060241149</v>
      </c>
      <c r="Y387" s="2">
        <f>IFERROR(__xludf.DUMMYFUNCTION("""COMPUTED_VALUE"""),9.084592748E9)</f>
        <v>9084592748</v>
      </c>
      <c r="Z387" s="2"/>
      <c r="AA387" s="2"/>
      <c r="AB387" s="2"/>
    </row>
    <row r="388">
      <c r="A388" s="2" t="str">
        <f>IFERROR(__xludf.DUMMYFUNCTION("""COMPUTED_VALUE"""),"TT00386")</f>
        <v>TT00386</v>
      </c>
      <c r="B388" s="2" t="str">
        <f>IFERROR(__xludf.DUMMYFUNCTION("""COMPUTED_VALUE"""),"For Completion")</f>
        <v>For Completion</v>
      </c>
      <c r="C388" s="2"/>
      <c r="D388" s="2" t="str">
        <f>IFERROR(__xludf.DUMMYFUNCTION("""COMPUTED_VALUE"""),"CAPOYUAN FARMERS ASSOCIATION")</f>
        <v>CAPOYUAN FARMERS ASSOCIATION</v>
      </c>
      <c r="E388" s="2" t="str">
        <f>IFERROR(__xludf.DUMMYFUNCTION("""COMPUTED_VALUE"""),"Capoyuan, Barbaza, ANTIQUE")</f>
        <v>Capoyuan, Barbaza, ANTIQUE</v>
      </c>
      <c r="F388" s="2" t="str">
        <f>IFERROR(__xludf.DUMMYFUNCTION("""COMPUTED_VALUE"""),"Rodulfo M. Remo")</f>
        <v>Rodulfo M. Remo</v>
      </c>
      <c r="G388" s="2">
        <f>IFERROR(__xludf.DUMMYFUNCTION("""COMPUTED_VALUE"""),9.477650687E9)</f>
        <v>9477650687</v>
      </c>
      <c r="H388" s="2"/>
      <c r="I388" s="2"/>
      <c r="J388" s="2"/>
      <c r="K388" s="2" t="str">
        <f>IFERROR(__xludf.DUMMYFUNCTION("""COMPUTED_VALUE"""),"RCEF 23-09-21 Rebidding")</f>
        <v>RCEF 23-09-21 Rebidding</v>
      </c>
      <c r="L388" s="2">
        <f>IFERROR(__xludf.DUMMYFUNCTION("""COMPUTED_VALUE"""),4.0)</f>
        <v>4</v>
      </c>
      <c r="M388" s="2"/>
      <c r="N388" s="74">
        <f>IFERROR(__xludf.DUMMYFUNCTION("""COMPUTED_VALUE"""),45398.0)</f>
        <v>45398</v>
      </c>
      <c r="O388" s="74">
        <f>IFERROR(__xludf.DUMMYFUNCTION("""COMPUTED_VALUE"""),45428.0)</f>
        <v>45428</v>
      </c>
      <c r="P388" s="2">
        <f>IFERROR(__xludf.DUMMYFUNCTION("""COMPUTED_VALUE"""),19046.0)</f>
        <v>19046</v>
      </c>
      <c r="Q388" s="2" t="str">
        <f>IFERROR(__xludf.DUMMYFUNCTION("""COMPUTED_VALUE"""),"KMC5825 ATRFPV0600")</f>
        <v>KMC5825 ATRFPV0600</v>
      </c>
      <c r="R388" s="2" t="str">
        <f>IFERROR(__xludf.DUMMYFUNCTION("""COMPUTED_VALUE"""),"RTS 100565")</f>
        <v>RTS 100565</v>
      </c>
      <c r="S388" s="2" t="str">
        <f>IFERROR(__xludf.DUMMYFUNCTION("""COMPUTED_VALUE"""),"WR-SERIES 853 PH")</f>
        <v>WR-SERIES 853 PH</v>
      </c>
      <c r="T388" s="2" t="str">
        <f>IFERROR(__xludf.DUMMYFUNCTION("""COMPUTED_VALUE"""),"LSGW1750 RMP 24040687")</f>
        <v>LSGW1750 RMP 24040687</v>
      </c>
      <c r="U388" s="2" t="str">
        <f>IFERROR(__xludf.DUMMYFUNCTION("""COMPUTED_VALUE"""),"WDP40 RMP 24040468")</f>
        <v>WDP40 RMP 24040468</v>
      </c>
      <c r="V388" s="2"/>
      <c r="W388" s="2" t="str">
        <f>IFERROR(__xludf.DUMMYFUNCTION("""COMPUTED_VALUE"""),"VL103D")</f>
        <v>VL103D</v>
      </c>
      <c r="X388" s="2">
        <f>IFERROR(__xludf.DUMMYFUNCTION("""COMPUTED_VALUE"""),8.69066060237618E14)</f>
        <v>869066060237618</v>
      </c>
      <c r="Y388" s="2">
        <f>IFERROR(__xludf.DUMMYFUNCTION("""COMPUTED_VALUE"""),9.084778709E9)</f>
        <v>9084778709</v>
      </c>
      <c r="Z388" s="2"/>
      <c r="AA388" s="2"/>
      <c r="AB388" s="2"/>
    </row>
    <row r="389">
      <c r="A389" s="2" t="str">
        <f>IFERROR(__xludf.DUMMYFUNCTION("""COMPUTED_VALUE"""),"TT00387")</f>
        <v>TT00387</v>
      </c>
      <c r="B389" s="2" t="str">
        <f>IFERROR(__xludf.DUMMYFUNCTION("""COMPUTED_VALUE"""),"For Completion")</f>
        <v>For Completion</v>
      </c>
      <c r="C389" s="2"/>
      <c r="D389" s="2" t="str">
        <f>IFERROR(__xludf.DUMMYFUNCTION("""COMPUTED_VALUE"""),"CARIT-AN - ANTIQUE FARMERS IRRIGATORS' ASSOCIATION, INC.")</f>
        <v>CARIT-AN - ANTIQUE FARMERS IRRIGATORS' ASSOCIATION, INC.</v>
      </c>
      <c r="E389" s="2" t="str">
        <f>IFERROR(__xludf.DUMMYFUNCTION("""COMPUTED_VALUE"""),"Carit-an, Culasi, ANTIQUE")</f>
        <v>Carit-an, Culasi, ANTIQUE</v>
      </c>
      <c r="F389" s="2" t="str">
        <f>IFERROR(__xludf.DUMMYFUNCTION("""COMPUTED_VALUE"""),"Amie I. Tibang")</f>
        <v>Amie I. Tibang</v>
      </c>
      <c r="G389" s="2" t="str">
        <f>IFERROR(__xludf.DUMMYFUNCTION("""COMPUTED_VALUE"""),"0909-3581044")</f>
        <v>0909-3581044</v>
      </c>
      <c r="H389" s="2" t="str">
        <f>IFERROR(__xludf.DUMMYFUNCTION("""COMPUTED_VALUE"""),"/")</f>
        <v>/</v>
      </c>
      <c r="I389" s="2"/>
      <c r="J389" s="2"/>
      <c r="K389" s="2" t="str">
        <f>IFERROR(__xludf.DUMMYFUNCTION("""COMPUTED_VALUE"""),"RCEF 23-09-21 Rebidding")</f>
        <v>RCEF 23-09-21 Rebidding</v>
      </c>
      <c r="L389" s="2">
        <f>IFERROR(__xludf.DUMMYFUNCTION("""COMPUTED_VALUE"""),4.0)</f>
        <v>4</v>
      </c>
      <c r="M389" s="2"/>
      <c r="N389" s="74">
        <f>IFERROR(__xludf.DUMMYFUNCTION("""COMPUTED_VALUE"""),45398.0)</f>
        <v>45398</v>
      </c>
      <c r="O389" s="74">
        <f>IFERROR(__xludf.DUMMYFUNCTION("""COMPUTED_VALUE"""),45428.0)</f>
        <v>45428</v>
      </c>
      <c r="P389" s="2">
        <f>IFERROR(__xludf.DUMMYFUNCTION("""COMPUTED_VALUE"""),19047.0)</f>
        <v>19047</v>
      </c>
      <c r="Q389" s="2" t="str">
        <f>IFERROR(__xludf.DUMMYFUNCTION("""COMPUTED_VALUE"""),"KMC5825 AARFPV0363")</f>
        <v>KMC5825 AARFPV0363</v>
      </c>
      <c r="R389" s="2" t="str">
        <f>IFERROR(__xludf.DUMMYFUNCTION("""COMPUTED_VALUE"""),"RTS 100218")</f>
        <v>RTS 100218</v>
      </c>
      <c r="S389" s="2" t="str">
        <f>IFERROR(__xludf.DUMMYFUNCTION("""COMPUTED_VALUE"""),"WR-SERIES 949 PH")</f>
        <v>WR-SERIES 949 PH</v>
      </c>
      <c r="T389" s="2" t="str">
        <f>IFERROR(__xludf.DUMMYFUNCTION("""COMPUTED_VALUE"""),"LSGW1750 RMP 24040684")</f>
        <v>LSGW1750 RMP 24040684</v>
      </c>
      <c r="U389" s="2" t="str">
        <f>IFERROR(__xludf.DUMMYFUNCTION("""COMPUTED_VALUE"""),"WDP40 RMP 24040430")</f>
        <v>WDP40 RMP 24040430</v>
      </c>
      <c r="V389" s="2"/>
      <c r="W389" s="2" t="str">
        <f>IFERROR(__xludf.DUMMYFUNCTION("""COMPUTED_VALUE"""),"VL103D")</f>
        <v>VL103D</v>
      </c>
      <c r="X389" s="2">
        <f>IFERROR(__xludf.DUMMYFUNCTION("""COMPUTED_VALUE"""),8.69066060241255E14)</f>
        <v>869066060241255</v>
      </c>
      <c r="Y389" s="2">
        <f>IFERROR(__xludf.DUMMYFUNCTION("""COMPUTED_VALUE"""),9.086598338E9)</f>
        <v>9086598338</v>
      </c>
      <c r="Z389" s="2"/>
      <c r="AA389" s="2"/>
      <c r="AB389" s="2"/>
    </row>
    <row r="390">
      <c r="A390" s="2" t="str">
        <f>IFERROR(__xludf.DUMMYFUNCTION("""COMPUTED_VALUE"""),"TT00388")</f>
        <v>TT00388</v>
      </c>
      <c r="B390" s="2" t="str">
        <f>IFERROR(__xludf.DUMMYFUNCTION("""COMPUTED_VALUE"""),"For Completion")</f>
        <v>For Completion</v>
      </c>
      <c r="C390" s="2"/>
      <c r="D390" s="2" t="str">
        <f>IFERROR(__xludf.DUMMYFUNCTION("""COMPUTED_VALUE"""),"SAN LUIS CONDEZ TIG-ANIT FARMERS IRRIGATORS ASSOCIATION")</f>
        <v>SAN LUIS CONDEZ TIG-ANIT FARMERS IRRIGATORS ASSOCIATION</v>
      </c>
      <c r="E390" s="2" t="str">
        <f>IFERROR(__xludf.DUMMYFUNCTION("""COMPUTED_VALUE"""),"San Luis, Culasi, ANTIQUE")</f>
        <v>San Luis, Culasi, ANTIQUE</v>
      </c>
      <c r="F390" s="2" t="str">
        <f>IFERROR(__xludf.DUMMYFUNCTION("""COMPUTED_VALUE"""),"RODOLFO ALORO")</f>
        <v>RODOLFO ALORO</v>
      </c>
      <c r="G390" s="2" t="str">
        <f>IFERROR(__xludf.DUMMYFUNCTION("""COMPUTED_VALUE"""),"0909-837-5026")</f>
        <v>0909-837-5026</v>
      </c>
      <c r="H390" s="2"/>
      <c r="I390" s="2"/>
      <c r="J390" s="2"/>
      <c r="K390" s="2" t="str">
        <f>IFERROR(__xludf.DUMMYFUNCTION("""COMPUTED_VALUE"""),"RCEF 23-09-21 Rebidding")</f>
        <v>RCEF 23-09-21 Rebidding</v>
      </c>
      <c r="L390" s="2">
        <f>IFERROR(__xludf.DUMMYFUNCTION("""COMPUTED_VALUE"""),4.0)</f>
        <v>4</v>
      </c>
      <c r="M390" s="2"/>
      <c r="N390" s="74">
        <f>IFERROR(__xludf.DUMMYFUNCTION("""COMPUTED_VALUE"""),45398.0)</f>
        <v>45398</v>
      </c>
      <c r="O390" s="74">
        <f>IFERROR(__xludf.DUMMYFUNCTION("""COMPUTED_VALUE"""),45428.0)</f>
        <v>45428</v>
      </c>
      <c r="P390" s="2">
        <f>IFERROR(__xludf.DUMMYFUNCTION("""COMPUTED_VALUE"""),19048.0)</f>
        <v>19048</v>
      </c>
      <c r="Q390" s="2" t="str">
        <f>IFERROR(__xludf.DUMMYFUNCTION("""COMPUTED_VALUE"""),"KMC5825 AVRFPV0586")</f>
        <v>KMC5825 AVRFPV0586</v>
      </c>
      <c r="R390" s="2" t="str">
        <f>IFERROR(__xludf.DUMMYFUNCTION("""COMPUTED_VALUE"""),"RTS 100563")</f>
        <v>RTS 100563</v>
      </c>
      <c r="S390" s="2" t="str">
        <f>IFERROR(__xludf.DUMMYFUNCTION("""COMPUTED_VALUE"""),"WR-SERIES 958 PH")</f>
        <v>WR-SERIES 958 PH</v>
      </c>
      <c r="T390" s="2" t="str">
        <f>IFERROR(__xludf.DUMMYFUNCTION("""COMPUTED_VALUE"""),"LSGW1750 RMP 24040637")</f>
        <v>LSGW1750 RMP 24040637</v>
      </c>
      <c r="U390" s="2" t="str">
        <f>IFERROR(__xludf.DUMMYFUNCTION("""COMPUTED_VALUE"""),"WDP40 RMP 24040465")</f>
        <v>WDP40 RMP 24040465</v>
      </c>
      <c r="V390" s="2"/>
      <c r="W390" s="2" t="str">
        <f>IFERROR(__xludf.DUMMYFUNCTION("""COMPUTED_VALUE"""),"VL103D")</f>
        <v>VL103D</v>
      </c>
      <c r="X390" s="2">
        <f>IFERROR(__xludf.DUMMYFUNCTION("""COMPUTED_VALUE"""),8.69066060246015E14)</f>
        <v>869066060246015</v>
      </c>
      <c r="Y390" s="2">
        <f>IFERROR(__xludf.DUMMYFUNCTION("""COMPUTED_VALUE"""),9.086491795E9)</f>
        <v>9086491795</v>
      </c>
      <c r="Z390" s="2"/>
      <c r="AA390" s="2"/>
      <c r="AB390" s="2"/>
    </row>
    <row r="391">
      <c r="A391" s="2" t="str">
        <f>IFERROR(__xludf.DUMMYFUNCTION("""COMPUTED_VALUE"""),"TT00389")</f>
        <v>TT00389</v>
      </c>
      <c r="B391" s="2" t="str">
        <f>IFERROR(__xludf.DUMMYFUNCTION("""COMPUTED_VALUE"""),"For Completion")</f>
        <v>For Completion</v>
      </c>
      <c r="C391" s="2"/>
      <c r="D391" s="2" t="str">
        <f>IFERROR(__xludf.DUMMYFUNCTION("""COMPUTED_VALUE"""),"BIA-AN FARMERS ASSOCIATION")</f>
        <v>BIA-AN FARMERS ASSOCIATION</v>
      </c>
      <c r="E391" s="2" t="str">
        <f>IFERROR(__xludf.DUMMYFUNCTION("""COMPUTED_VALUE"""),"Bia-an, Hamtic, ANTIQUE")</f>
        <v>Bia-an, Hamtic, ANTIQUE</v>
      </c>
      <c r="F391" s="2" t="str">
        <f>IFERROR(__xludf.DUMMYFUNCTION("""COMPUTED_VALUE"""),"RYAN SUMACULOB")</f>
        <v>RYAN SUMACULOB</v>
      </c>
      <c r="G391" s="2" t="str">
        <f>IFERROR(__xludf.DUMMYFUNCTION("""COMPUTED_VALUE"""),"0915-586-3799")</f>
        <v>0915-586-3799</v>
      </c>
      <c r="H391" s="2"/>
      <c r="I391" s="2"/>
      <c r="J391" s="2"/>
      <c r="K391" s="2" t="str">
        <f>IFERROR(__xludf.DUMMYFUNCTION("""COMPUTED_VALUE"""),"RCEF 23-09-21 Rebidding")</f>
        <v>RCEF 23-09-21 Rebidding</v>
      </c>
      <c r="L391" s="2">
        <f>IFERROR(__xludf.DUMMYFUNCTION("""COMPUTED_VALUE"""),4.0)</f>
        <v>4</v>
      </c>
      <c r="M391" s="2"/>
      <c r="N391" s="74">
        <f>IFERROR(__xludf.DUMMYFUNCTION("""COMPUTED_VALUE"""),45398.0)</f>
        <v>45398</v>
      </c>
      <c r="O391" s="74">
        <f>IFERROR(__xludf.DUMMYFUNCTION("""COMPUTED_VALUE"""),45428.0)</f>
        <v>45428</v>
      </c>
      <c r="P391" s="2">
        <f>IFERROR(__xludf.DUMMYFUNCTION("""COMPUTED_VALUE"""),19049.0)</f>
        <v>19049</v>
      </c>
      <c r="Q391" s="2" t="str">
        <f>IFERROR(__xludf.DUMMYFUNCTION("""COMPUTED_VALUE"""),"KMC5825 APRFPV0484")</f>
        <v>KMC5825 APRFPV0484</v>
      </c>
      <c r="R391" s="2" t="str">
        <f>IFERROR(__xludf.DUMMYFUNCTION("""COMPUTED_VALUE"""),"RTS 100398")</f>
        <v>RTS 100398</v>
      </c>
      <c r="S391" s="2" t="str">
        <f>IFERROR(__xludf.DUMMYFUNCTION("""COMPUTED_VALUE"""),"WR SERIES 948 PH")</f>
        <v>WR SERIES 948 PH</v>
      </c>
      <c r="T391" s="2" t="str">
        <f>IFERROR(__xludf.DUMMYFUNCTION("""COMPUTED_VALUE"""),"LSGW1750 RMP 24040692")</f>
        <v>LSGW1750 RMP 24040692</v>
      </c>
      <c r="U391" s="2" t="str">
        <f>IFERROR(__xludf.DUMMYFUNCTION("""COMPUTED_VALUE"""),"WDP40 RMP 24040444")</f>
        <v>WDP40 RMP 24040444</v>
      </c>
      <c r="V391" s="2"/>
      <c r="W391" s="2" t="str">
        <f>IFERROR(__xludf.DUMMYFUNCTION("""COMPUTED_VALUE"""),"VL103D")</f>
        <v>VL103D</v>
      </c>
      <c r="X391" s="2">
        <f>IFERROR(__xludf.DUMMYFUNCTION("""COMPUTED_VALUE"""),8.69066060242196E14)</f>
        <v>869066060242196</v>
      </c>
      <c r="Y391" s="2">
        <f>IFERROR(__xludf.DUMMYFUNCTION("""COMPUTED_VALUE"""),9.082952271E9)</f>
        <v>9082952271</v>
      </c>
      <c r="Z391" s="2"/>
      <c r="AA391" s="2"/>
      <c r="AB391" s="2"/>
    </row>
    <row r="392">
      <c r="A392" s="2" t="str">
        <f>IFERROR(__xludf.DUMMYFUNCTION("""COMPUTED_VALUE"""),"TT00390")</f>
        <v>TT00390</v>
      </c>
      <c r="B392" s="2" t="str">
        <f>IFERROR(__xludf.DUMMYFUNCTION("""COMPUTED_VALUE"""),"For Completion")</f>
        <v>For Completion</v>
      </c>
      <c r="C392" s="2"/>
      <c r="D392" s="2" t="str">
        <f>IFERROR(__xludf.DUMMYFUNCTION("""COMPUTED_VALUE"""),"La Rioja Farmers Association")</f>
        <v>La Rioja Farmers Association</v>
      </c>
      <c r="E392" s="2" t="str">
        <f>IFERROR(__xludf.DUMMYFUNCTION("""COMPUTED_VALUE"""),"La Rioja, Patnongon, ANTIQUE")</f>
        <v>La Rioja, Patnongon, ANTIQUE</v>
      </c>
      <c r="F392" s="2" t="str">
        <f>IFERROR(__xludf.DUMMYFUNCTION("""COMPUTED_VALUE"""),"Alipio E. Guzman")</f>
        <v>Alipio E. Guzman</v>
      </c>
      <c r="G392" s="2" t="str">
        <f>IFERROR(__xludf.DUMMYFUNCTION("""COMPUTED_VALUE"""),"0997-962-1463")</f>
        <v>0997-962-1463</v>
      </c>
      <c r="H392" s="2" t="str">
        <f>IFERROR(__xludf.DUMMYFUNCTION("""COMPUTED_VALUE"""),"/")</f>
        <v>/</v>
      </c>
      <c r="I392" s="2"/>
      <c r="J392" s="2"/>
      <c r="K392" s="2" t="str">
        <f>IFERROR(__xludf.DUMMYFUNCTION("""COMPUTED_VALUE"""),"RCEF 23-09-21 Rebidding")</f>
        <v>RCEF 23-09-21 Rebidding</v>
      </c>
      <c r="L392" s="2">
        <f>IFERROR(__xludf.DUMMYFUNCTION("""COMPUTED_VALUE"""),4.0)</f>
        <v>4</v>
      </c>
      <c r="M392" s="2"/>
      <c r="N392" s="74">
        <f>IFERROR(__xludf.DUMMYFUNCTION("""COMPUTED_VALUE"""),45398.0)</f>
        <v>45398</v>
      </c>
      <c r="O392" s="74">
        <f>IFERROR(__xludf.DUMMYFUNCTION("""COMPUTED_VALUE"""),45428.0)</f>
        <v>45428</v>
      </c>
      <c r="P392" s="2">
        <f>IFERROR(__xludf.DUMMYFUNCTION("""COMPUTED_VALUE"""),19050.0)</f>
        <v>19050</v>
      </c>
      <c r="Q392" s="2" t="str">
        <f>IFERROR(__xludf.DUMMYFUNCTION("""COMPUTED_VALUE"""),"KMC5825 AKRFPV0549")</f>
        <v>KMC5825 AKRFPV0549</v>
      </c>
      <c r="R392" s="2" t="str">
        <f>IFERROR(__xludf.DUMMYFUNCTION("""COMPUTED_VALUE"""),"RTS 100457")</f>
        <v>RTS 100457</v>
      </c>
      <c r="S392" s="2" t="str">
        <f>IFERROR(__xludf.DUMMYFUNCTION("""COMPUTED_VALUE"""),"WR-SERIES 959 PH")</f>
        <v>WR-SERIES 959 PH</v>
      </c>
      <c r="T392" s="2" t="str">
        <f>IFERROR(__xludf.DUMMYFUNCTION("""COMPUTED_VALUE"""),"LSGW1750 RMP 24040638")</f>
        <v>LSGW1750 RMP 24040638</v>
      </c>
      <c r="U392" s="2" t="str">
        <f>IFERROR(__xludf.DUMMYFUNCTION("""COMPUTED_VALUE"""),"WDP40 RMP 24040460")</f>
        <v>WDP40 RMP 24040460</v>
      </c>
      <c r="V392" s="2"/>
      <c r="W392" s="2" t="str">
        <f>IFERROR(__xludf.DUMMYFUNCTION("""COMPUTED_VALUE"""),"VL103D")</f>
        <v>VL103D</v>
      </c>
      <c r="X392" s="2">
        <f>IFERROR(__xludf.DUMMYFUNCTION("""COMPUTED_VALUE"""),8.69066060240554E14)</f>
        <v>869066060240554</v>
      </c>
      <c r="Y392" s="2">
        <f>IFERROR(__xludf.DUMMYFUNCTION("""COMPUTED_VALUE"""),9.081458172E9)</f>
        <v>9081458172</v>
      </c>
      <c r="Z392" s="2"/>
      <c r="AA392" s="2"/>
      <c r="AB392" s="2"/>
    </row>
    <row r="393">
      <c r="A393" s="2" t="str">
        <f>IFERROR(__xludf.DUMMYFUNCTION("""COMPUTED_VALUE"""),"TT00391")</f>
        <v>TT00391</v>
      </c>
      <c r="B393" s="2" t="str">
        <f>IFERROR(__xludf.DUMMYFUNCTION("""COMPUTED_VALUE"""),"For Completion")</f>
        <v>For Completion</v>
      </c>
      <c r="C393" s="2"/>
      <c r="D393" s="2" t="str">
        <f>IFERROR(__xludf.DUMMYFUNCTION("""COMPUTED_VALUE"""),"Magsaysay Farmer's Association")</f>
        <v>Magsaysay Farmer's Association</v>
      </c>
      <c r="E393" s="2" t="str">
        <f>IFERROR(__xludf.DUMMYFUNCTION("""COMPUTED_VALUE"""),"Magsaysay, Patnongon, ANTIQUE")</f>
        <v>Magsaysay, Patnongon, ANTIQUE</v>
      </c>
      <c r="F393" s="2" t="str">
        <f>IFERROR(__xludf.DUMMYFUNCTION("""COMPUTED_VALUE"""),"Felix C. Molining")</f>
        <v>Felix C. Molining</v>
      </c>
      <c r="G393" s="2" t="str">
        <f>IFERROR(__xludf.DUMMYFUNCTION("""COMPUTED_VALUE"""),"0906-919-3017")</f>
        <v>0906-919-3017</v>
      </c>
      <c r="H393" s="2" t="str">
        <f>IFERROR(__xludf.DUMMYFUNCTION("""COMPUTED_VALUE"""),"/")</f>
        <v>/</v>
      </c>
      <c r="I393" s="2"/>
      <c r="J393" s="2"/>
      <c r="K393" s="2" t="str">
        <f>IFERROR(__xludf.DUMMYFUNCTION("""COMPUTED_VALUE"""),"RCEF 23-09-21 Rebidding")</f>
        <v>RCEF 23-09-21 Rebidding</v>
      </c>
      <c r="L393" s="2">
        <f>IFERROR(__xludf.DUMMYFUNCTION("""COMPUTED_VALUE"""),4.0)</f>
        <v>4</v>
      </c>
      <c r="M393" s="2"/>
      <c r="N393" s="74">
        <f>IFERROR(__xludf.DUMMYFUNCTION("""COMPUTED_VALUE"""),45398.0)</f>
        <v>45398</v>
      </c>
      <c r="O393" s="74">
        <f>IFERROR(__xludf.DUMMYFUNCTION("""COMPUTED_VALUE"""),45428.0)</f>
        <v>45428</v>
      </c>
      <c r="P393" s="2">
        <f>IFERROR(__xludf.DUMMYFUNCTION("""COMPUTED_VALUE"""),19051.0)</f>
        <v>19051</v>
      </c>
      <c r="Q393" s="2" t="str">
        <f>IFERROR(__xludf.DUMMYFUNCTION("""COMPUTED_VALUE"""),"KMC5825 ATRFPV0452")</f>
        <v>KMC5825 ATRFPV0452</v>
      </c>
      <c r="R393" s="2" t="str">
        <f>IFERROR(__xludf.DUMMYFUNCTION("""COMPUTED_VALUE"""),"RTS 100360")</f>
        <v>RTS 100360</v>
      </c>
      <c r="S393" s="2" t="str">
        <f>IFERROR(__xludf.DUMMYFUNCTION("""COMPUTED_VALUE"""),"WR-SERIES 753 PH")</f>
        <v>WR-SERIES 753 PH</v>
      </c>
      <c r="T393" s="2" t="str">
        <f>IFERROR(__xludf.DUMMYFUNCTION("""COMPUTED_VALUE"""),"LSGW1750 RMP 24040659")</f>
        <v>LSGW1750 RMP 24040659</v>
      </c>
      <c r="U393" s="2" t="str">
        <f>IFERROR(__xludf.DUMMYFUNCTION("""COMPUTED_VALUE"""),"WDP40 RMP 24040450")</f>
        <v>WDP40 RMP 24040450</v>
      </c>
      <c r="V393" s="2"/>
      <c r="W393" s="2" t="str">
        <f>IFERROR(__xludf.DUMMYFUNCTION("""COMPUTED_VALUE"""),"VL103D")</f>
        <v>VL103D</v>
      </c>
      <c r="X393" s="2">
        <f>IFERROR(__xludf.DUMMYFUNCTION("""COMPUTED_VALUE"""),8.69066060240612E14)</f>
        <v>869066060240612</v>
      </c>
      <c r="Y393" s="2">
        <f>IFERROR(__xludf.DUMMYFUNCTION("""COMPUTED_VALUE"""),9.082700287E9)</f>
        <v>9082700287</v>
      </c>
      <c r="Z393" s="2"/>
      <c r="AA393" s="2"/>
      <c r="AB393" s="2"/>
    </row>
    <row r="394">
      <c r="A394" s="2" t="str">
        <f>IFERROR(__xludf.DUMMYFUNCTION("""COMPUTED_VALUE"""),"TT00392")</f>
        <v>TT00392</v>
      </c>
      <c r="B394" s="2" t="str">
        <f>IFERROR(__xludf.DUMMYFUNCTION("""COMPUTED_VALUE"""),"For Completion")</f>
        <v>For Completion</v>
      </c>
      <c r="C394" s="2"/>
      <c r="D394" s="2" t="str">
        <f>IFERROR(__xludf.DUMMYFUNCTION("""COMPUTED_VALUE"""),"Inabasan Small Farmers Association")</f>
        <v>Inabasan Small Farmers Association</v>
      </c>
      <c r="E394" s="2" t="str">
        <f>IFERROR(__xludf.DUMMYFUNCTION("""COMPUTED_VALUE"""),"Inabasan, San Jose, ANTIQUE")</f>
        <v>Inabasan, San Jose, ANTIQUE</v>
      </c>
      <c r="F394" s="2" t="str">
        <f>IFERROR(__xludf.DUMMYFUNCTION("""COMPUTED_VALUE"""),"Joebert E. Daniel")</f>
        <v>Joebert E. Daniel</v>
      </c>
      <c r="G394" s="2" t="str">
        <f>IFERROR(__xludf.DUMMYFUNCTION("""COMPUTED_VALUE"""),"0955-987-8800")</f>
        <v>0955-987-8800</v>
      </c>
      <c r="H394" s="2" t="str">
        <f>IFERROR(__xludf.DUMMYFUNCTION("""COMPUTED_VALUE"""),"/")</f>
        <v>/</v>
      </c>
      <c r="I394" s="2"/>
      <c r="J394" s="2"/>
      <c r="K394" s="2" t="str">
        <f>IFERROR(__xludf.DUMMYFUNCTION("""COMPUTED_VALUE"""),"RCEF 23-09-21 Rebidding")</f>
        <v>RCEF 23-09-21 Rebidding</v>
      </c>
      <c r="L394" s="2">
        <f>IFERROR(__xludf.DUMMYFUNCTION("""COMPUTED_VALUE"""),4.0)</f>
        <v>4</v>
      </c>
      <c r="M394" s="2"/>
      <c r="N394" s="74">
        <f>IFERROR(__xludf.DUMMYFUNCTION("""COMPUTED_VALUE"""),45398.0)</f>
        <v>45398</v>
      </c>
      <c r="O394" s="74">
        <f>IFERROR(__xludf.DUMMYFUNCTION("""COMPUTED_VALUE"""),45428.0)</f>
        <v>45428</v>
      </c>
      <c r="P394" s="2">
        <f>IFERROR(__xludf.DUMMYFUNCTION("""COMPUTED_VALUE"""),19052.0)</f>
        <v>19052</v>
      </c>
      <c r="Q394" s="2" t="str">
        <f>IFERROR(__xludf.DUMMYFUNCTION("""COMPUTED_VALUE"""),"KMC5825 ACRFPV0313")</f>
        <v>KMC5825 ACRFPV0313</v>
      </c>
      <c r="R394" s="2" t="str">
        <f>IFERROR(__xludf.DUMMYFUNCTION("""COMPUTED_VALUE"""),"RTS 100190")</f>
        <v>RTS 100190</v>
      </c>
      <c r="S394" s="2" t="str">
        <f>IFERROR(__xludf.DUMMYFUNCTION("""COMPUTED_VALUE"""),"WR SERIES 754 PH")</f>
        <v>WR SERIES 754 PH</v>
      </c>
      <c r="T394" s="2" t="str">
        <f>IFERROR(__xludf.DUMMYFUNCTION("""COMPUTED_VALUE"""),"LSGW1750 RMP 24040688")</f>
        <v>LSGW1750 RMP 24040688</v>
      </c>
      <c r="U394" s="2" t="str">
        <f>IFERROR(__xludf.DUMMYFUNCTION("""COMPUTED_VALUE"""),"WDP40 RMP 24040431")</f>
        <v>WDP40 RMP 24040431</v>
      </c>
      <c r="V394" s="2"/>
      <c r="W394" s="2" t="str">
        <f>IFERROR(__xludf.DUMMYFUNCTION("""COMPUTED_VALUE"""),"VL103D")</f>
        <v>VL103D</v>
      </c>
      <c r="X394" s="2">
        <f>IFERROR(__xludf.DUMMYFUNCTION("""COMPUTED_VALUE"""),8.69066060245421E14)</f>
        <v>869066060245421</v>
      </c>
      <c r="Y394" s="2">
        <f>IFERROR(__xludf.DUMMYFUNCTION("""COMPUTED_VALUE"""),9.082110383E9)</f>
        <v>9082110383</v>
      </c>
      <c r="Z394" s="2"/>
      <c r="AA394" s="2"/>
      <c r="AB394" s="2"/>
    </row>
    <row r="395">
      <c r="A395" s="2" t="str">
        <f>IFERROR(__xludf.DUMMYFUNCTION("""COMPUTED_VALUE"""),"TT00393")</f>
        <v>TT00393</v>
      </c>
      <c r="B395" s="2" t="str">
        <f>IFERROR(__xludf.DUMMYFUNCTION("""COMPUTED_VALUE"""),"For Completion")</f>
        <v>For Completion</v>
      </c>
      <c r="C395" s="2"/>
      <c r="D395" s="2" t="str">
        <f>IFERROR(__xludf.DUMMYFUNCTION("""COMPUTED_VALUE"""),"UNITED IGBONGLO FARMERS ASSOCIATION (UNIFA), INC.")</f>
        <v>UNITED IGBONGLO FARMERS ASSOCIATION (UNIFA), INC.</v>
      </c>
      <c r="E395" s="2" t="str">
        <f>IFERROR(__xludf.DUMMYFUNCTION("""COMPUTED_VALUE"""),"Igbonglo, San Jose, ANTIQUE")</f>
        <v>Igbonglo, San Jose, ANTIQUE</v>
      </c>
      <c r="F395" s="2" t="str">
        <f>IFERROR(__xludf.DUMMYFUNCTION("""COMPUTED_VALUE"""),"RENE A. SIBA")</f>
        <v>RENE A. SIBA</v>
      </c>
      <c r="G395" s="2">
        <f>IFERROR(__xludf.DUMMYFUNCTION("""COMPUTED_VALUE"""),9.653946886E9)</f>
        <v>9653946886</v>
      </c>
      <c r="H395" s="2"/>
      <c r="I395" s="2"/>
      <c r="J395" s="2"/>
      <c r="K395" s="2" t="str">
        <f>IFERROR(__xludf.DUMMYFUNCTION("""COMPUTED_VALUE"""),"RCEF 23-09-21 Rebidding")</f>
        <v>RCEF 23-09-21 Rebidding</v>
      </c>
      <c r="L395" s="2">
        <f>IFERROR(__xludf.DUMMYFUNCTION("""COMPUTED_VALUE"""),4.0)</f>
        <v>4</v>
      </c>
      <c r="M395" s="2"/>
      <c r="N395" s="74">
        <f>IFERROR(__xludf.DUMMYFUNCTION("""COMPUTED_VALUE"""),45398.0)</f>
        <v>45398</v>
      </c>
      <c r="O395" s="74">
        <f>IFERROR(__xludf.DUMMYFUNCTION("""COMPUTED_VALUE"""),45428.0)</f>
        <v>45428</v>
      </c>
      <c r="P395" s="2">
        <f>IFERROR(__xludf.DUMMYFUNCTION("""COMPUTED_VALUE"""),19053.0)</f>
        <v>19053</v>
      </c>
      <c r="Q395" s="2" t="str">
        <f>IFERROR(__xludf.DUMMYFUNCTION("""COMPUTED_VALUE"""),"KMC5825 ACRFPV0408")</f>
        <v>KMC5825 ACRFPV0408</v>
      </c>
      <c r="R395" s="2" t="str">
        <f>IFERROR(__xludf.DUMMYFUNCTION("""COMPUTED_VALUE"""),"RTS 100310")</f>
        <v>RTS 100310</v>
      </c>
      <c r="S395" s="2" t="str">
        <f>IFERROR(__xludf.DUMMYFUNCTION("""COMPUTED_VALUE"""),"WR-SERIES 780 PH")</f>
        <v>WR-SERIES 780 PH</v>
      </c>
      <c r="T395" s="2" t="str">
        <f>IFERROR(__xludf.DUMMYFUNCTION("""COMPUTED_VALUE"""),"LSGW1750 RMP 24040641")</f>
        <v>LSGW1750 RMP 24040641</v>
      </c>
      <c r="U395" s="2" t="str">
        <f>IFERROR(__xludf.DUMMYFUNCTION("""COMPUTED_VALUE"""),"WDP40 RMP 24040461")</f>
        <v>WDP40 RMP 24040461</v>
      </c>
      <c r="V395" s="2"/>
      <c r="W395" s="2" t="str">
        <f>IFERROR(__xludf.DUMMYFUNCTION("""COMPUTED_VALUE"""),"VL103D")</f>
        <v>VL103D</v>
      </c>
      <c r="X395" s="2">
        <f>IFERROR(__xludf.DUMMYFUNCTION("""COMPUTED_VALUE"""),8.69066060236693E14)</f>
        <v>869066060236693</v>
      </c>
      <c r="Y395" s="2">
        <f>IFERROR(__xludf.DUMMYFUNCTION("""COMPUTED_VALUE"""),9.086138694E9)</f>
        <v>9086138694</v>
      </c>
      <c r="Z395" s="2"/>
      <c r="AA395" s="2"/>
      <c r="AB395" s="2"/>
    </row>
    <row r="396">
      <c r="A396" s="2" t="str">
        <f>IFERROR(__xludf.DUMMYFUNCTION("""COMPUTED_VALUE"""),"TT00394")</f>
        <v>TT00394</v>
      </c>
      <c r="B396" s="2" t="str">
        <f>IFERROR(__xludf.DUMMYFUNCTION("""COMPUTED_VALUE"""),"For Completion")</f>
        <v>For Completion</v>
      </c>
      <c r="C396" s="2"/>
      <c r="D396" s="2" t="str">
        <f>IFERROR(__xludf.DUMMYFUNCTION("""COMPUTED_VALUE"""),"LACARON FARMERS ASSOCIATION")</f>
        <v>LACARON FARMERS ASSOCIATION</v>
      </c>
      <c r="E396" s="2" t="str">
        <f>IFERROR(__xludf.DUMMYFUNCTION("""COMPUTED_VALUE"""),"Lacaron, Sibalom, ANTIQUE")</f>
        <v>Lacaron, Sibalom, ANTIQUE</v>
      </c>
      <c r="F396" s="2" t="str">
        <f>IFERROR(__xludf.DUMMYFUNCTION("""COMPUTED_VALUE"""),"LORGIE ABAO")</f>
        <v>LORGIE ABAO</v>
      </c>
      <c r="G396" s="2" t="str">
        <f>IFERROR(__xludf.DUMMYFUNCTION("""COMPUTED_VALUE"""),"0955-433-3926")</f>
        <v>0955-433-3926</v>
      </c>
      <c r="H396" s="2" t="str">
        <f>IFERROR(__xludf.DUMMYFUNCTION("""COMPUTED_VALUE"""),"/")</f>
        <v>/</v>
      </c>
      <c r="I396" s="2"/>
      <c r="J396" s="2"/>
      <c r="K396" s="2" t="str">
        <f>IFERROR(__xludf.DUMMYFUNCTION("""COMPUTED_VALUE"""),"RCEF 23-09-21 Rebidding")</f>
        <v>RCEF 23-09-21 Rebidding</v>
      </c>
      <c r="L396" s="2">
        <f>IFERROR(__xludf.DUMMYFUNCTION("""COMPUTED_VALUE"""),4.0)</f>
        <v>4</v>
      </c>
      <c r="M396" s="2"/>
      <c r="N396" s="74">
        <f>IFERROR(__xludf.DUMMYFUNCTION("""COMPUTED_VALUE"""),45398.0)</f>
        <v>45398</v>
      </c>
      <c r="O396" s="74">
        <f>IFERROR(__xludf.DUMMYFUNCTION("""COMPUTED_VALUE"""),45428.0)</f>
        <v>45428</v>
      </c>
      <c r="P396" s="2">
        <f>IFERROR(__xludf.DUMMYFUNCTION("""COMPUTED_VALUE"""),19054.0)</f>
        <v>19054</v>
      </c>
      <c r="Q396" s="2" t="str">
        <f>IFERROR(__xludf.DUMMYFUNCTION("""COMPUTED_VALUE"""),"KMC5825 AJRFPV0472")</f>
        <v>KMC5825 AJRFPV0472</v>
      </c>
      <c r="R396" s="2" t="str">
        <f>IFERROR(__xludf.DUMMYFUNCTION("""COMPUTED_VALUE"""),"RTS 100215")</f>
        <v>RTS 100215</v>
      </c>
      <c r="S396" s="2" t="str">
        <f>IFERROR(__xludf.DUMMYFUNCTION("""COMPUTED_VALUE"""),"WR-SERIES 050 PH")</f>
        <v>WR-SERIES 050 PH</v>
      </c>
      <c r="T396" s="2" t="str">
        <f>IFERROR(__xludf.DUMMYFUNCTION("""COMPUTED_VALUE"""),"LSGW1750 RMP 24040658")</f>
        <v>LSGW1750 RMP 24040658</v>
      </c>
      <c r="U396" s="2" t="str">
        <f>IFERROR(__xludf.DUMMYFUNCTION("""COMPUTED_VALUE"""),"WDP40 RMP 24040443")</f>
        <v>WDP40 RMP 24040443</v>
      </c>
      <c r="V396" s="2"/>
      <c r="W396" s="2" t="str">
        <f>IFERROR(__xludf.DUMMYFUNCTION("""COMPUTED_VALUE"""),"VL103D")</f>
        <v>VL103D</v>
      </c>
      <c r="X396" s="2">
        <f>IFERROR(__xludf.DUMMYFUNCTION("""COMPUTED_VALUE"""),8.69066060240653E14)</f>
        <v>869066060240653</v>
      </c>
      <c r="Y396" s="2">
        <f>IFERROR(__xludf.DUMMYFUNCTION("""COMPUTED_VALUE"""),9.083823487E9)</f>
        <v>9083823487</v>
      </c>
      <c r="Z396" s="2"/>
      <c r="AA396" s="2"/>
      <c r="AB396" s="2"/>
    </row>
    <row r="397">
      <c r="A397" s="2" t="str">
        <f>IFERROR(__xludf.DUMMYFUNCTION("""COMPUTED_VALUE"""),"TT00395")</f>
        <v>TT00395</v>
      </c>
      <c r="B397" s="2" t="str">
        <f>IFERROR(__xludf.DUMMYFUNCTION("""COMPUTED_VALUE"""),"For Completion")</f>
        <v>For Completion</v>
      </c>
      <c r="C397" s="2"/>
      <c r="D397" s="2" t="str">
        <f>IFERROR(__xludf.DUMMYFUNCTION("""COMPUTED_VALUE"""),"BANDOJA SAN FRANCISCO SUR SAN FRANCISCO NORTE SAN ISIDRO IRRIGATORS ASSOCIATION (BASFICIA) INC.")</f>
        <v>BANDOJA SAN FRANCISCO SUR SAN FRANCISCO NORTE SAN ISIDRO IRRIGATORS ASSOCIATION (BASFICIA) INC.</v>
      </c>
      <c r="E397" s="2" t="str">
        <f>IFERROR(__xludf.DUMMYFUNCTION("""COMPUTED_VALUE"""),"San Francisco Sur, Tibiao, ANTIQUE")</f>
        <v>San Francisco Sur, Tibiao, ANTIQUE</v>
      </c>
      <c r="F397" s="2" t="str">
        <f>IFERROR(__xludf.DUMMYFUNCTION("""COMPUTED_VALUE"""),"JOEL ANDRES")</f>
        <v>JOEL ANDRES</v>
      </c>
      <c r="G397" s="2">
        <f>IFERROR(__xludf.DUMMYFUNCTION("""COMPUTED_VALUE"""),9.651166825E9)</f>
        <v>9651166825</v>
      </c>
      <c r="H397" s="2" t="str">
        <f>IFERROR(__xludf.DUMMYFUNCTION("""COMPUTED_VALUE"""),"/")</f>
        <v>/</v>
      </c>
      <c r="I397" s="2"/>
      <c r="J397" s="2"/>
      <c r="K397" s="2" t="str">
        <f>IFERROR(__xludf.DUMMYFUNCTION("""COMPUTED_VALUE"""),"RCEF 23-09-21 Rebidding")</f>
        <v>RCEF 23-09-21 Rebidding</v>
      </c>
      <c r="L397" s="2">
        <f>IFERROR(__xludf.DUMMYFUNCTION("""COMPUTED_VALUE"""),4.0)</f>
        <v>4</v>
      </c>
      <c r="M397" s="2"/>
      <c r="N397" s="74">
        <f>IFERROR(__xludf.DUMMYFUNCTION("""COMPUTED_VALUE"""),45398.0)</f>
        <v>45398</v>
      </c>
      <c r="O397" s="74">
        <f>IFERROR(__xludf.DUMMYFUNCTION("""COMPUTED_VALUE"""),45428.0)</f>
        <v>45428</v>
      </c>
      <c r="P397" s="2">
        <f>IFERROR(__xludf.DUMMYFUNCTION("""COMPUTED_VALUE"""),19055.0)</f>
        <v>19055</v>
      </c>
      <c r="Q397" s="2" t="str">
        <f>IFERROR(__xludf.DUMMYFUNCTION("""COMPUTED_VALUE"""),"KMC5825 AERFPV0478")</f>
        <v>KMC5825 AERFPV0478</v>
      </c>
      <c r="R397" s="2" t="str">
        <f>IFERROR(__xludf.DUMMYFUNCTION("""COMPUTED_VALUE"""),"RTS 100383")</f>
        <v>RTS 100383</v>
      </c>
      <c r="S397" s="2" t="str">
        <f>IFERROR(__xludf.DUMMYFUNCTION("""COMPUTED_VALUE"""),"WR-SERIES 940 PH")</f>
        <v>WR-SERIES 940 PH</v>
      </c>
      <c r="T397" s="2" t="str">
        <f>IFERROR(__xludf.DUMMYFUNCTION("""COMPUTED_VALUE"""),"LSGW1750 RMP 24040642")</f>
        <v>LSGW1750 RMP 24040642</v>
      </c>
      <c r="U397" s="2" t="str">
        <f>IFERROR(__xludf.DUMMYFUNCTION("""COMPUTED_VALUE"""),"WDP40 RMP 24040447")</f>
        <v>WDP40 RMP 24040447</v>
      </c>
      <c r="V397" s="2"/>
      <c r="W397" s="2" t="str">
        <f>IFERROR(__xludf.DUMMYFUNCTION("""COMPUTED_VALUE"""),"VL103D")</f>
        <v>VL103D</v>
      </c>
      <c r="X397" s="2">
        <f>IFERROR(__xludf.DUMMYFUNCTION("""COMPUTED_VALUE"""),8.69066060240943E14)</f>
        <v>869066060240943</v>
      </c>
      <c r="Y397" s="2">
        <f>IFERROR(__xludf.DUMMYFUNCTION("""COMPUTED_VALUE"""),9.08514112E8)</f>
        <v>908514112</v>
      </c>
      <c r="Z397" s="2"/>
      <c r="AA397" s="2"/>
      <c r="AB397" s="2"/>
    </row>
    <row r="398">
      <c r="A398" s="2" t="str">
        <f>IFERROR(__xludf.DUMMYFUNCTION("""COMPUTED_VALUE"""),"TT00396")</f>
        <v>TT00396</v>
      </c>
      <c r="B398" s="2" t="str">
        <f>IFERROR(__xludf.DUMMYFUNCTION("""COMPUTED_VALUE"""),"For Completion")</f>
        <v>For Completion</v>
      </c>
      <c r="C398" s="2"/>
      <c r="D398" s="2" t="str">
        <f>IFERROR(__xludf.DUMMYFUNCTION("""COMPUTED_VALUE"""),"TIBIAO-DALANAS RIVER IRRIGATORS' ASSOCIATION, INC.")</f>
        <v>TIBIAO-DALANAS RIVER IRRIGATORS' ASSOCIATION, INC.</v>
      </c>
      <c r="E398" s="2" t="str">
        <f>IFERROR(__xludf.DUMMYFUNCTION("""COMPUTED_VALUE"""),"Malabor, Tibiao, ANTIQUE")</f>
        <v>Malabor, Tibiao, ANTIQUE</v>
      </c>
      <c r="F398" s="2" t="str">
        <f>IFERROR(__xludf.DUMMYFUNCTION("""COMPUTED_VALUE"""),"Noel C. Songcayawon")</f>
        <v>Noel C. Songcayawon</v>
      </c>
      <c r="G398" s="2" t="str">
        <f>IFERROR(__xludf.DUMMYFUNCTION("""COMPUTED_VALUE"""),"0935-170-8943")</f>
        <v>0935-170-8943</v>
      </c>
      <c r="H398" s="2" t="str">
        <f>IFERROR(__xludf.DUMMYFUNCTION("""COMPUTED_VALUE"""),"/")</f>
        <v>/</v>
      </c>
      <c r="I398" s="2"/>
      <c r="J398" s="2"/>
      <c r="K398" s="2" t="str">
        <f>IFERROR(__xludf.DUMMYFUNCTION("""COMPUTED_VALUE"""),"RCEF 23-09-21 Rebidding")</f>
        <v>RCEF 23-09-21 Rebidding</v>
      </c>
      <c r="L398" s="2">
        <f>IFERROR(__xludf.DUMMYFUNCTION("""COMPUTED_VALUE"""),4.0)</f>
        <v>4</v>
      </c>
      <c r="M398" s="2"/>
      <c r="N398" s="74">
        <f>IFERROR(__xludf.DUMMYFUNCTION("""COMPUTED_VALUE"""),45398.0)</f>
        <v>45398</v>
      </c>
      <c r="O398" s="74">
        <f>IFERROR(__xludf.DUMMYFUNCTION("""COMPUTED_VALUE"""),45428.0)</f>
        <v>45428</v>
      </c>
      <c r="P398" s="2">
        <f>IFERROR(__xludf.DUMMYFUNCTION("""COMPUTED_VALUE"""),19056.0)</f>
        <v>19056</v>
      </c>
      <c r="Q398" s="2" t="str">
        <f>IFERROR(__xludf.DUMMYFUNCTION("""COMPUTED_VALUE"""),"KMC5825 ACRFPV0487")</f>
        <v>KMC5825 ACRFPV0487</v>
      </c>
      <c r="R398" s="2" t="str">
        <f>IFERROR(__xludf.DUMMYFUNCTION("""COMPUTED_VALUE"""),"RTS 100395")</f>
        <v>RTS 100395</v>
      </c>
      <c r="S398" s="2" t="str">
        <f>IFERROR(__xludf.DUMMYFUNCTION("""COMPUTED_VALUE"""),"WR-SERIES 955 PH")</f>
        <v>WR-SERIES 955 PH</v>
      </c>
      <c r="T398" s="2" t="str">
        <f>IFERROR(__xludf.DUMMYFUNCTION("""COMPUTED_VALUE"""),"LSGW1750 RMP 24040698")</f>
        <v>LSGW1750 RMP 24040698</v>
      </c>
      <c r="U398" s="2" t="str">
        <f>IFERROR(__xludf.DUMMYFUNCTION("""COMPUTED_VALUE"""),"WDP40 RMP 24040399")</f>
        <v>WDP40 RMP 24040399</v>
      </c>
      <c r="V398" s="2"/>
      <c r="W398" s="2" t="str">
        <f>IFERROR(__xludf.DUMMYFUNCTION("""COMPUTED_VALUE"""),"VL103D")</f>
        <v>VL103D</v>
      </c>
      <c r="X398" s="2">
        <f>IFERROR(__xludf.DUMMYFUNCTION("""COMPUTED_VALUE"""),8.69066060012987E14)</f>
        <v>869066060012987</v>
      </c>
      <c r="Y398" s="2">
        <f>IFERROR(__xludf.DUMMYFUNCTION("""COMPUTED_VALUE"""),9.08646506E9)</f>
        <v>9086465060</v>
      </c>
      <c r="Z398" s="2"/>
      <c r="AA398" s="2"/>
      <c r="AB398" s="2"/>
    </row>
    <row r="399">
      <c r="A399" s="2" t="str">
        <f>IFERROR(__xludf.DUMMYFUNCTION("""COMPUTED_VALUE"""),"TT00397")</f>
        <v>TT00397</v>
      </c>
      <c r="B399" s="2" t="str">
        <f>IFERROR(__xludf.DUMMYFUNCTION("""COMPUTED_VALUE"""),"For Completion")</f>
        <v>For Completion</v>
      </c>
      <c r="C399" s="2"/>
      <c r="D399" s="2" t="str">
        <f>IFERROR(__xludf.DUMMYFUNCTION("""COMPUTED_VALUE"""),"Barangay Indayagan Farmers Association")</f>
        <v>Barangay Indayagan Farmers Association</v>
      </c>
      <c r="E399" s="2" t="str">
        <f>IFERROR(__xludf.DUMMYFUNCTION("""COMPUTED_VALUE"""),"Indayagan, Ma-ayon, CAPIZ")</f>
        <v>Indayagan, Ma-ayon, CAPIZ</v>
      </c>
      <c r="F399" s="2" t="str">
        <f>IFERROR(__xludf.DUMMYFUNCTION("""COMPUTED_VALUE"""),"Merlinda D. Dumolong")</f>
        <v>Merlinda D. Dumolong</v>
      </c>
      <c r="G399" s="2" t="str">
        <f>IFERROR(__xludf.DUMMYFUNCTION("""COMPUTED_VALUE"""),"0929-968-6413")</f>
        <v>0929-968-6413</v>
      </c>
      <c r="H399" s="2"/>
      <c r="I399" s="2"/>
      <c r="J399" s="2"/>
      <c r="K399" s="2" t="str">
        <f>IFERROR(__xludf.DUMMYFUNCTION("""COMPUTED_VALUE"""),"RCEF 23-09-21 Rebidding")</f>
        <v>RCEF 23-09-21 Rebidding</v>
      </c>
      <c r="L399" s="2">
        <f>IFERROR(__xludf.DUMMYFUNCTION("""COMPUTED_VALUE"""),4.0)</f>
        <v>4</v>
      </c>
      <c r="M399" s="2"/>
      <c r="N399" s="74">
        <f>IFERROR(__xludf.DUMMYFUNCTION("""COMPUTED_VALUE"""),45398.0)</f>
        <v>45398</v>
      </c>
      <c r="O399" s="74">
        <f>IFERROR(__xludf.DUMMYFUNCTION("""COMPUTED_VALUE"""),45427.0)</f>
        <v>45427</v>
      </c>
      <c r="P399" s="2">
        <f>IFERROR(__xludf.DUMMYFUNCTION("""COMPUTED_VALUE"""),19057.0)</f>
        <v>19057</v>
      </c>
      <c r="Q399" s="2" t="str">
        <f>IFERROR(__xludf.DUMMYFUNCTION("""COMPUTED_VALUE"""),"KMC5825 AJRFPV0567")</f>
        <v>KMC5825 AJRFPV0567</v>
      </c>
      <c r="R399" s="2" t="str">
        <f>IFERROR(__xludf.DUMMYFUNCTION("""COMPUTED_VALUE"""),"RTS100459")</f>
        <v>RTS100459</v>
      </c>
      <c r="S399" s="2" t="str">
        <f>IFERROR(__xludf.DUMMYFUNCTION("""COMPUTED_VALUE"""),"WR-SERIES 851 PH")</f>
        <v>WR-SERIES 851 PH</v>
      </c>
      <c r="T399" s="2" t="str">
        <f>IFERROR(__xludf.DUMMYFUNCTION("""COMPUTED_VALUE"""),"LSGW1750 RMP 24040693")</f>
        <v>LSGW1750 RMP 24040693</v>
      </c>
      <c r="U399" s="2" t="str">
        <f>IFERROR(__xludf.DUMMYFUNCTION("""COMPUTED_VALUE"""),"WDP40 RMP 24010115")</f>
        <v>WDP40 RMP 24010115</v>
      </c>
      <c r="V399" s="2"/>
      <c r="W399" s="2" t="str">
        <f>IFERROR(__xludf.DUMMYFUNCTION("""COMPUTED_VALUE"""),"VL103D")</f>
        <v>VL103D</v>
      </c>
      <c r="X399" s="2">
        <f>IFERROR(__xludf.DUMMYFUNCTION("""COMPUTED_VALUE"""),8.69066060240885E14)</f>
        <v>869066060240885</v>
      </c>
      <c r="Y399" s="2">
        <f>IFERROR(__xludf.DUMMYFUNCTION("""COMPUTED_VALUE"""),9.087078137E9)</f>
        <v>9087078137</v>
      </c>
      <c r="Z399" s="2"/>
      <c r="AA399" s="2"/>
      <c r="AB399" s="2"/>
    </row>
    <row r="400">
      <c r="A400" s="2" t="str">
        <f>IFERROR(__xludf.DUMMYFUNCTION("""COMPUTED_VALUE"""),"TT00398")</f>
        <v>TT00398</v>
      </c>
      <c r="B400" s="2" t="str">
        <f>IFERROR(__xludf.DUMMYFUNCTION("""COMPUTED_VALUE"""),"For Completion")</f>
        <v>For Completion</v>
      </c>
      <c r="C400" s="2"/>
      <c r="D400" s="2" t="str">
        <f>IFERROR(__xludf.DUMMYFUNCTION("""COMPUTED_VALUE"""),"BANGBANG FARMERS ASSOCIATION")</f>
        <v>BANGBANG FARMERS ASSOCIATION</v>
      </c>
      <c r="E400" s="2" t="str">
        <f>IFERROR(__xludf.DUMMYFUNCTION("""COMPUTED_VALUE"""),"Daga, Panay, CAPIZ")</f>
        <v>Daga, Panay, CAPIZ</v>
      </c>
      <c r="F400" s="2" t="str">
        <f>IFERROR(__xludf.DUMMYFUNCTION("""COMPUTED_VALUE"""),"Ludovico B. Dipon")</f>
        <v>Ludovico B. Dipon</v>
      </c>
      <c r="G400" s="2">
        <f>IFERROR(__xludf.DUMMYFUNCTION("""COMPUTED_VALUE"""),9.462811455E9)</f>
        <v>9462811455</v>
      </c>
      <c r="H400" s="2"/>
      <c r="I400" s="2"/>
      <c r="J400" s="2"/>
      <c r="K400" s="2" t="str">
        <f>IFERROR(__xludf.DUMMYFUNCTION("""COMPUTED_VALUE"""),"RCEF 23-09-21 Rebidding")</f>
        <v>RCEF 23-09-21 Rebidding</v>
      </c>
      <c r="L400" s="2">
        <f>IFERROR(__xludf.DUMMYFUNCTION("""COMPUTED_VALUE"""),4.0)</f>
        <v>4</v>
      </c>
      <c r="M400" s="2"/>
      <c r="N400" s="74">
        <f>IFERROR(__xludf.DUMMYFUNCTION("""COMPUTED_VALUE"""),45398.0)</f>
        <v>45398</v>
      </c>
      <c r="O400" s="74">
        <f>IFERROR(__xludf.DUMMYFUNCTION("""COMPUTED_VALUE"""),45427.0)</f>
        <v>45427</v>
      </c>
      <c r="P400" s="2">
        <f>IFERROR(__xludf.DUMMYFUNCTION("""COMPUTED_VALUE"""),19058.0)</f>
        <v>19058</v>
      </c>
      <c r="Q400" s="2" t="str">
        <f>IFERROR(__xludf.DUMMYFUNCTION("""COMPUTED_VALUE"""),"KMC5825ACRFPV0358")</f>
        <v>KMC5825ACRFPV0358</v>
      </c>
      <c r="R400" s="2" t="str">
        <f>IFERROR(__xludf.DUMMYFUNCTION("""COMPUTED_VALUE"""),"RTS100248")</f>
        <v>RTS100248</v>
      </c>
      <c r="S400" s="2" t="str">
        <f>IFERROR(__xludf.DUMMYFUNCTION("""COMPUTED_VALUE"""),"WR-SERIES 790 PH")</f>
        <v>WR-SERIES 790 PH</v>
      </c>
      <c r="T400" s="2" t="str">
        <f>IFERROR(__xludf.DUMMYFUNCTION("""COMPUTED_VALUE"""),"LSGW1759 RMP 24040653")</f>
        <v>LSGW1759 RMP 24040653</v>
      </c>
      <c r="U400" s="2" t="str">
        <f>IFERROR(__xludf.DUMMYFUNCTION("""COMPUTED_VALUE"""),"WDP40 RMP 24040412")</f>
        <v>WDP40 RMP 24040412</v>
      </c>
      <c r="V400" s="2"/>
      <c r="W400" s="2" t="str">
        <f>IFERROR(__xludf.DUMMYFUNCTION("""COMPUTED_VALUE"""),"VL103D")</f>
        <v>VL103D</v>
      </c>
      <c r="X400" s="2"/>
      <c r="Y400" s="2"/>
      <c r="Z400" s="2"/>
      <c r="AA400" s="2"/>
      <c r="AB400" s="2"/>
    </row>
    <row r="401">
      <c r="A401" s="2" t="str">
        <f>IFERROR(__xludf.DUMMYFUNCTION("""COMPUTED_VALUE"""),"TT00399")</f>
        <v>TT00399</v>
      </c>
      <c r="B401" s="2" t="str">
        <f>IFERROR(__xludf.DUMMYFUNCTION("""COMPUTED_VALUE"""),"For Completion")</f>
        <v>For Completion</v>
      </c>
      <c r="C401" s="2"/>
      <c r="D401" s="2" t="str">
        <f>IFERROR(__xludf.DUMMYFUNCTION("""COMPUTED_VALUE"""),"Calapawan Farmers Association")</f>
        <v>Calapawan Farmers Association</v>
      </c>
      <c r="E401" s="2" t="str">
        <f>IFERROR(__xludf.DUMMYFUNCTION("""COMPUTED_VALUE"""),"Calapawan, Panay, CAPIZ")</f>
        <v>Calapawan, Panay, CAPIZ</v>
      </c>
      <c r="F401" s="2" t="str">
        <f>IFERROR(__xludf.DUMMYFUNCTION("""COMPUTED_VALUE"""),"Rodolfo Balgos")</f>
        <v>Rodolfo Balgos</v>
      </c>
      <c r="G401" s="2" t="str">
        <f>IFERROR(__xludf.DUMMYFUNCTION("""COMPUTED_VALUE"""),"0910-2135562")</f>
        <v>0910-2135562</v>
      </c>
      <c r="H401" s="2"/>
      <c r="I401" s="2"/>
      <c r="J401" s="2"/>
      <c r="K401" s="2" t="str">
        <f>IFERROR(__xludf.DUMMYFUNCTION("""COMPUTED_VALUE"""),"RCEF 23-09-21 Rebidding")</f>
        <v>RCEF 23-09-21 Rebidding</v>
      </c>
      <c r="L401" s="2">
        <f>IFERROR(__xludf.DUMMYFUNCTION("""COMPUTED_VALUE"""),4.0)</f>
        <v>4</v>
      </c>
      <c r="M401" s="2"/>
      <c r="N401" s="74">
        <f>IFERROR(__xludf.DUMMYFUNCTION("""COMPUTED_VALUE"""),45398.0)</f>
        <v>45398</v>
      </c>
      <c r="O401" s="74">
        <f>IFERROR(__xludf.DUMMYFUNCTION("""COMPUTED_VALUE"""),45427.0)</f>
        <v>45427</v>
      </c>
      <c r="P401" s="2">
        <f>IFERROR(__xludf.DUMMYFUNCTION("""COMPUTED_VALUE"""),19059.0)</f>
        <v>19059</v>
      </c>
      <c r="Q401" s="2" t="str">
        <f>IFERROR(__xludf.DUMMYFUNCTION("""COMPUTED_VALUE"""),"KMC5825ATRFPV0628")</f>
        <v>KMC5825ATRFPV0628</v>
      </c>
      <c r="R401" s="2" t="str">
        <f>IFERROR(__xludf.DUMMYFUNCTION("""COMPUTED_VALUE"""),"RTS100519")</f>
        <v>RTS100519</v>
      </c>
      <c r="S401" s="2" t="str">
        <f>IFERROR(__xludf.DUMMYFUNCTION("""COMPUTED_VALUE"""),"WR-SERIES 736 PH")</f>
        <v>WR-SERIES 736 PH</v>
      </c>
      <c r="T401" s="2" t="str">
        <f>IFERROR(__xludf.DUMMYFUNCTION("""COMPUTED_VALUE"""),"LSGW1750 RMP 24040650")</f>
        <v>LSGW1750 RMP 24040650</v>
      </c>
      <c r="U401" s="2" t="str">
        <f>IFERROR(__xludf.DUMMYFUNCTION("""COMPUTED_VALUE"""),"WDP40 RMP 24010117")</f>
        <v>WDP40 RMP 24010117</v>
      </c>
      <c r="V401" s="2"/>
      <c r="W401" s="2" t="str">
        <f>IFERROR(__xludf.DUMMYFUNCTION("""COMPUTED_VALUE"""),"VL103D")</f>
        <v>VL103D</v>
      </c>
      <c r="X401" s="2">
        <f>IFERROR(__xludf.DUMMYFUNCTION("""COMPUTED_VALUE"""),8.6906606024123E14)</f>
        <v>869066060241230</v>
      </c>
      <c r="Y401" s="2">
        <f>IFERROR(__xludf.DUMMYFUNCTION("""COMPUTED_VALUE"""),9.084642186E9)</f>
        <v>9084642186</v>
      </c>
      <c r="Z401" s="2"/>
      <c r="AA401" s="2"/>
      <c r="AB401" s="2"/>
    </row>
    <row r="402">
      <c r="A402" s="2" t="str">
        <f>IFERROR(__xludf.DUMMYFUNCTION("""COMPUTED_VALUE"""),"TT00400")</f>
        <v>TT00400</v>
      </c>
      <c r="B402" s="2" t="str">
        <f>IFERROR(__xludf.DUMMYFUNCTION("""COMPUTED_VALUE"""),"For Completion")</f>
        <v>For Completion</v>
      </c>
      <c r="C402" s="2"/>
      <c r="D402" s="2" t="str">
        <f>IFERROR(__xludf.DUMMYFUNCTION("""COMPUTED_VALUE"""),"Intampilan Farmers Association")</f>
        <v>Intampilan Farmers Association</v>
      </c>
      <c r="E402" s="2" t="str">
        <f>IFERROR(__xludf.DUMMYFUNCTION("""COMPUTED_VALUE"""),"Intampilan, Panitan, CAPIZ")</f>
        <v>Intampilan, Panitan, CAPIZ</v>
      </c>
      <c r="F402" s="2" t="str">
        <f>IFERROR(__xludf.DUMMYFUNCTION("""COMPUTED_VALUE"""),"MANUEL B. AGAPITO JR.")</f>
        <v>MANUEL B. AGAPITO JR.</v>
      </c>
      <c r="G402" s="2">
        <f>IFERROR(__xludf.DUMMYFUNCTION("""COMPUTED_VALUE"""),9.10923636E9)</f>
        <v>9109236360</v>
      </c>
      <c r="H402" s="2"/>
      <c r="I402" s="2"/>
      <c r="J402" s="2"/>
      <c r="K402" s="2" t="str">
        <f>IFERROR(__xludf.DUMMYFUNCTION("""COMPUTED_VALUE"""),"RCEF 23-09-21 Rebidding")</f>
        <v>RCEF 23-09-21 Rebidding</v>
      </c>
      <c r="L402" s="2">
        <f>IFERROR(__xludf.DUMMYFUNCTION("""COMPUTED_VALUE"""),4.0)</f>
        <v>4</v>
      </c>
      <c r="M402" s="2"/>
      <c r="N402" s="74">
        <f>IFERROR(__xludf.DUMMYFUNCTION("""COMPUTED_VALUE"""),45398.0)</f>
        <v>45398</v>
      </c>
      <c r="O402" s="74">
        <f>IFERROR(__xludf.DUMMYFUNCTION("""COMPUTED_VALUE"""),45427.0)</f>
        <v>45427</v>
      </c>
      <c r="P402" s="2">
        <f>IFERROR(__xludf.DUMMYFUNCTION("""COMPUTED_VALUE"""),19060.0)</f>
        <v>19060</v>
      </c>
      <c r="Q402" s="2" t="str">
        <f>IFERROR(__xludf.DUMMYFUNCTION("""COMPUTED_VALUE"""),"KMC5825ALRFPV0347")</f>
        <v>KMC5825ALRFPV0347</v>
      </c>
      <c r="R402" s="2" t="str">
        <f>IFERROR(__xludf.DUMMYFUNCTION("""COMPUTED_VALUE"""),"RTS100243")</f>
        <v>RTS100243</v>
      </c>
      <c r="S402" s="2" t="str">
        <f>IFERROR(__xludf.DUMMYFUNCTION("""COMPUTED_VALUE"""),"WR-SERIES 854 PH")</f>
        <v>WR-SERIES 854 PH</v>
      </c>
      <c r="T402" s="2" t="str">
        <f>IFERROR(__xludf.DUMMYFUNCTION("""COMPUTED_VALUE"""),"LSGW1750 RMP 24040705")</f>
        <v>LSGW1750 RMP 24040705</v>
      </c>
      <c r="U402" s="2" t="str">
        <f>IFERROR(__xludf.DUMMYFUNCTION("""COMPUTED_VALUE"""),"WDP40 RMP 24030362")</f>
        <v>WDP40 RMP 24030362</v>
      </c>
      <c r="V402" s="2"/>
      <c r="W402" s="2" t="str">
        <f>IFERROR(__xludf.DUMMYFUNCTION("""COMPUTED_VALUE"""),"VL103D")</f>
        <v>VL103D</v>
      </c>
      <c r="X402" s="2">
        <f>IFERROR(__xludf.DUMMYFUNCTION("""COMPUTED_VALUE"""),8.69066060239077E14)</f>
        <v>869066060239077</v>
      </c>
      <c r="Y402" s="2">
        <f>IFERROR(__xludf.DUMMYFUNCTION("""COMPUTED_VALUE"""),9.083875731E9)</f>
        <v>9083875731</v>
      </c>
      <c r="Z402" s="2"/>
      <c r="AA402" s="2"/>
      <c r="AB402" s="2"/>
    </row>
    <row r="403">
      <c r="A403" s="2" t="str">
        <f>IFERROR(__xludf.DUMMYFUNCTION("""COMPUTED_VALUE"""),"TT00401")</f>
        <v>TT00401</v>
      </c>
      <c r="B403" s="2" t="str">
        <f>IFERROR(__xludf.DUMMYFUNCTION("""COMPUTED_VALUE"""),"For Completion")</f>
        <v>For Completion</v>
      </c>
      <c r="C403" s="2"/>
      <c r="D403" s="2" t="str">
        <f>IFERROR(__xludf.DUMMYFUNCTION("""COMPUTED_VALUE"""),"PASUGUE COMMUNITY FARMERS ASSOCIATION (PACFA)")</f>
        <v>PASUGUE COMMUNITY FARMERS ASSOCIATION (PACFA)</v>
      </c>
      <c r="E403" s="2" t="str">
        <f>IFERROR(__xludf.DUMMYFUNCTION("""COMPUTED_VALUE"""),"Pasugue, Panitan, CAPIZ")</f>
        <v>Pasugue, Panitan, CAPIZ</v>
      </c>
      <c r="F403" s="2" t="str">
        <f>IFERROR(__xludf.DUMMYFUNCTION("""COMPUTED_VALUE"""),"Eugene B. Degollado")</f>
        <v>Eugene B. Degollado</v>
      </c>
      <c r="G403" s="2">
        <f>IFERROR(__xludf.DUMMYFUNCTION("""COMPUTED_VALUE"""),9.751847134E9)</f>
        <v>9751847134</v>
      </c>
      <c r="H403" s="2"/>
      <c r="I403" s="2"/>
      <c r="J403" s="2"/>
      <c r="K403" s="2" t="str">
        <f>IFERROR(__xludf.DUMMYFUNCTION("""COMPUTED_VALUE"""),"RCEF 23-09-21 Rebidding")</f>
        <v>RCEF 23-09-21 Rebidding</v>
      </c>
      <c r="L403" s="2">
        <f>IFERROR(__xludf.DUMMYFUNCTION("""COMPUTED_VALUE"""),4.0)</f>
        <v>4</v>
      </c>
      <c r="M403" s="2"/>
      <c r="N403" s="74">
        <f>IFERROR(__xludf.DUMMYFUNCTION("""COMPUTED_VALUE"""),45398.0)</f>
        <v>45398</v>
      </c>
      <c r="O403" s="74">
        <f>IFERROR(__xludf.DUMMYFUNCTION("""COMPUTED_VALUE"""),45427.0)</f>
        <v>45427</v>
      </c>
      <c r="P403" s="2">
        <f>IFERROR(__xludf.DUMMYFUNCTION("""COMPUTED_VALUE"""),19061.0)</f>
        <v>19061</v>
      </c>
      <c r="Q403" s="2" t="str">
        <f>IFERROR(__xludf.DUMMYFUNCTION("""COMPUTED_VALUE"""),"KMC5825ACRFPV0708")</f>
        <v>KMC5825ACRFPV0708</v>
      </c>
      <c r="R403" s="2" t="str">
        <f>IFERROR(__xludf.DUMMYFUNCTION("""COMPUTED_VALUE"""),"RTS100508")</f>
        <v>RTS100508</v>
      </c>
      <c r="S403" s="2" t="str">
        <f>IFERROR(__xludf.DUMMYFUNCTION("""COMPUTED_VALUE"""),"WR-SERIES 805 PH")</f>
        <v>WR-SERIES 805 PH</v>
      </c>
      <c r="T403" s="2" t="str">
        <f>IFERROR(__xludf.DUMMYFUNCTION("""COMPUTED_VALUE"""),"LSGW1750 RMP 24040649")</f>
        <v>LSGW1750 RMP 24040649</v>
      </c>
      <c r="U403" s="2" t="str">
        <f>IFERROR(__xludf.DUMMYFUNCTION("""COMPUTED_VALUE"""),"WDP40 RMP 24040420")</f>
        <v>WDP40 RMP 24040420</v>
      </c>
      <c r="V403" s="2"/>
      <c r="W403" s="2" t="str">
        <f>IFERROR(__xludf.DUMMYFUNCTION("""COMPUTED_VALUE"""),"VL103D")</f>
        <v>VL103D</v>
      </c>
      <c r="X403" s="2"/>
      <c r="Y403" s="2"/>
      <c r="Z403" s="2"/>
      <c r="AA403" s="2"/>
      <c r="AB403" s="2"/>
    </row>
    <row r="404">
      <c r="A404" s="2" t="str">
        <f>IFERROR(__xludf.DUMMYFUNCTION("""COMPUTED_VALUE"""),"TT00402")</f>
        <v>TT00402</v>
      </c>
      <c r="B404" s="2" t="str">
        <f>IFERROR(__xludf.DUMMYFUNCTION("""COMPUTED_VALUE"""),"For Completion")</f>
        <v>For Completion</v>
      </c>
      <c r="C404" s="2"/>
      <c r="D404" s="2" t="str">
        <f>IFERROR(__xludf.DUMMYFUNCTION("""COMPUTED_VALUE"""),"POBLACION ILAYA PANIT-AN FARMERS ASSOCIATION")</f>
        <v>POBLACION ILAYA PANIT-AN FARMERS ASSOCIATION</v>
      </c>
      <c r="E404" s="2" t="str">
        <f>IFERROR(__xludf.DUMMYFUNCTION("""COMPUTED_VALUE"""),"Poblacion Ilaya, Panitan, CAPIZ")</f>
        <v>Poblacion Ilaya, Panitan, CAPIZ</v>
      </c>
      <c r="F404" s="2" t="str">
        <f>IFERROR(__xludf.DUMMYFUNCTION("""COMPUTED_VALUE"""),"Bertito D. Dequina")</f>
        <v>Bertito D. Dequina</v>
      </c>
      <c r="G404" s="2" t="str">
        <f>IFERROR(__xludf.DUMMYFUNCTION("""COMPUTED_VALUE"""),"0998-289-9515")</f>
        <v>0998-289-9515</v>
      </c>
      <c r="H404" s="2"/>
      <c r="I404" s="2"/>
      <c r="J404" s="2"/>
      <c r="K404" s="2" t="str">
        <f>IFERROR(__xludf.DUMMYFUNCTION("""COMPUTED_VALUE"""),"RCEF 23-09-21 Rebidding")</f>
        <v>RCEF 23-09-21 Rebidding</v>
      </c>
      <c r="L404" s="2">
        <f>IFERROR(__xludf.DUMMYFUNCTION("""COMPUTED_VALUE"""),4.0)</f>
        <v>4</v>
      </c>
      <c r="M404" s="2"/>
      <c r="N404" s="74">
        <f>IFERROR(__xludf.DUMMYFUNCTION("""COMPUTED_VALUE"""),45398.0)</f>
        <v>45398</v>
      </c>
      <c r="O404" s="74">
        <f>IFERROR(__xludf.DUMMYFUNCTION("""COMPUTED_VALUE"""),45427.0)</f>
        <v>45427</v>
      </c>
      <c r="P404" s="2">
        <f>IFERROR(__xludf.DUMMYFUNCTION("""COMPUTED_VALUE"""),19062.0)</f>
        <v>19062</v>
      </c>
      <c r="Q404" s="2" t="str">
        <f>IFERROR(__xludf.DUMMYFUNCTION("""COMPUTED_VALUE"""),"KMC5825AKRFPV0633")</f>
        <v>KMC5825AKRFPV0633</v>
      </c>
      <c r="R404" s="2" t="str">
        <f>IFERROR(__xludf.DUMMYFUNCTION("""COMPUTED_VALUE"""),"RTS100510")</f>
        <v>RTS100510</v>
      </c>
      <c r="S404" s="2" t="str">
        <f>IFERROR(__xludf.DUMMYFUNCTION("""COMPUTED_VALUE"""),"WR-SERIES 857 PH")</f>
        <v>WR-SERIES 857 PH</v>
      </c>
      <c r="T404" s="2" t="str">
        <f>IFERROR(__xludf.DUMMYFUNCTION("""COMPUTED_VALUE"""),"LSGW1750 RMP 24040712")</f>
        <v>LSGW1750 RMP 24040712</v>
      </c>
      <c r="U404" s="2" t="str">
        <f>IFERROR(__xludf.DUMMYFUNCTION("""COMPUTED_VALUE"""),"WDP40 RMP 24040459")</f>
        <v>WDP40 RMP 24040459</v>
      </c>
      <c r="V404" s="2"/>
      <c r="W404" s="2" t="str">
        <f>IFERROR(__xludf.DUMMYFUNCTION("""COMPUTED_VALUE"""),"VL103D")</f>
        <v>VL103D</v>
      </c>
      <c r="X404" s="2">
        <f>IFERROR(__xludf.DUMMYFUNCTION("""COMPUTED_VALUE"""),8.69066060240869E14)</f>
        <v>869066060240869</v>
      </c>
      <c r="Y404" s="2">
        <f>IFERROR(__xludf.DUMMYFUNCTION("""COMPUTED_VALUE"""),9.083939128E9)</f>
        <v>9083939128</v>
      </c>
      <c r="Z404" s="2"/>
      <c r="AA404" s="2"/>
      <c r="AB404" s="2"/>
    </row>
    <row r="405">
      <c r="A405" s="2" t="str">
        <f>IFERROR(__xludf.DUMMYFUNCTION("""COMPUTED_VALUE"""),"TT00403")</f>
        <v>TT00403</v>
      </c>
      <c r="B405" s="2" t="str">
        <f>IFERROR(__xludf.DUMMYFUNCTION("""COMPUTED_VALUE"""),"For Completion")</f>
        <v>For Completion</v>
      </c>
      <c r="C405" s="2"/>
      <c r="D405" s="2" t="str">
        <f>IFERROR(__xludf.DUMMYFUNCTION("""COMPUTED_VALUE"""),"San Pedro United Farmers Association")</f>
        <v>San Pedro United Farmers Association</v>
      </c>
      <c r="E405" s="2" t="str">
        <f>IFERROR(__xludf.DUMMYFUNCTION("""COMPUTED_VALUE"""),"San Pedro, Pilar, CAPIZ")</f>
        <v>San Pedro, Pilar, CAPIZ</v>
      </c>
      <c r="F405" s="2" t="str">
        <f>IFERROR(__xludf.DUMMYFUNCTION("""COMPUTED_VALUE"""),"Nelia B. Bonzo")</f>
        <v>Nelia B. Bonzo</v>
      </c>
      <c r="G405" s="2" t="str">
        <f>IFERROR(__xludf.DUMMYFUNCTION("""COMPUTED_VALUE"""),"0936-714-6094")</f>
        <v>0936-714-6094</v>
      </c>
      <c r="H405" s="2"/>
      <c r="I405" s="2"/>
      <c r="J405" s="2"/>
      <c r="K405" s="2" t="str">
        <f>IFERROR(__xludf.DUMMYFUNCTION("""COMPUTED_VALUE"""),"RCEF 23-09-21 Rebidding")</f>
        <v>RCEF 23-09-21 Rebidding</v>
      </c>
      <c r="L405" s="2">
        <f>IFERROR(__xludf.DUMMYFUNCTION("""COMPUTED_VALUE"""),4.0)</f>
        <v>4</v>
      </c>
      <c r="M405" s="2"/>
      <c r="N405" s="74">
        <f>IFERROR(__xludf.DUMMYFUNCTION("""COMPUTED_VALUE"""),45398.0)</f>
        <v>45398</v>
      </c>
      <c r="O405" s="74">
        <f>IFERROR(__xludf.DUMMYFUNCTION("""COMPUTED_VALUE"""),45427.0)</f>
        <v>45427</v>
      </c>
      <c r="P405" s="2">
        <f>IFERROR(__xludf.DUMMYFUNCTION("""COMPUTED_VALUE"""),19063.0)</f>
        <v>19063</v>
      </c>
      <c r="Q405" s="2" t="str">
        <f>IFERROR(__xludf.DUMMYFUNCTION("""COMPUTED_VALUE"""),"KMC5825AKRFPV0647")</f>
        <v>KMC5825AKRFPV0647</v>
      </c>
      <c r="R405" s="2" t="str">
        <f>IFERROR(__xludf.DUMMYFUNCTION("""COMPUTED_VALUE"""),"RTS100539")</f>
        <v>RTS100539</v>
      </c>
      <c r="S405" s="2" t="str">
        <f>IFERROR(__xludf.DUMMYFUNCTION("""COMPUTED_VALUE"""),"WR-SERIES 858 PH")</f>
        <v>WR-SERIES 858 PH</v>
      </c>
      <c r="T405" s="2" t="str">
        <f>IFERROR(__xludf.DUMMYFUNCTION("""COMPUTED_VALUE"""),"LSGW1750 RMP 24040712")</f>
        <v>LSGW1750 RMP 24040712</v>
      </c>
      <c r="U405" s="2" t="str">
        <f>IFERROR(__xludf.DUMMYFUNCTION("""COMPUTED_VALUE"""),"WDP40 RMP 24040488")</f>
        <v>WDP40 RMP 24040488</v>
      </c>
      <c r="V405" s="2"/>
      <c r="W405" s="2" t="str">
        <f>IFERROR(__xludf.DUMMYFUNCTION("""COMPUTED_VALUE"""),"VL103D")</f>
        <v>VL103D</v>
      </c>
      <c r="X405" s="2">
        <f>IFERROR(__xludf.DUMMYFUNCTION("""COMPUTED_VALUE"""),8.69066060243244E14)</f>
        <v>869066060243244</v>
      </c>
      <c r="Y405" s="2">
        <f>IFERROR(__xludf.DUMMYFUNCTION("""COMPUTED_VALUE"""),9.086514657E9)</f>
        <v>9086514657</v>
      </c>
      <c r="Z405" s="2"/>
      <c r="AA405" s="2"/>
      <c r="AB405" s="2"/>
    </row>
    <row r="406">
      <c r="A406" s="2" t="str">
        <f>IFERROR(__xludf.DUMMYFUNCTION("""COMPUTED_VALUE"""),"TT00404")</f>
        <v>TT00404</v>
      </c>
      <c r="B406" s="2" t="str">
        <f>IFERROR(__xludf.DUMMYFUNCTION("""COMPUTED_VALUE"""),"For Completion")</f>
        <v>For Completion</v>
      </c>
      <c r="C406" s="2"/>
      <c r="D406" s="2" t="str">
        <f>IFERROR(__xludf.DUMMYFUNCTION("""COMPUTED_VALUE"""),"TABUC FARMERS ASSOCIATION")</f>
        <v>TABUC FARMERS ASSOCIATION</v>
      </c>
      <c r="E406" s="2" t="str">
        <f>IFERROR(__xludf.DUMMYFUNCTION("""COMPUTED_VALUE"""),"Tabuc, Pontevedra, CAPIZ")</f>
        <v>Tabuc, Pontevedra, CAPIZ</v>
      </c>
      <c r="F406" s="2" t="str">
        <f>IFERROR(__xludf.DUMMYFUNCTION("""COMPUTED_VALUE"""),"Virgilio Begas")</f>
        <v>Virgilio Begas</v>
      </c>
      <c r="G406" s="2" t="str">
        <f>IFERROR(__xludf.DUMMYFUNCTION("""COMPUTED_VALUE"""),"0921-371-8573")</f>
        <v>0921-371-8573</v>
      </c>
      <c r="H406" s="2"/>
      <c r="I406" s="2"/>
      <c r="J406" s="2"/>
      <c r="K406" s="2" t="str">
        <f>IFERROR(__xludf.DUMMYFUNCTION("""COMPUTED_VALUE"""),"RCEF 23-09-21 Rebidding")</f>
        <v>RCEF 23-09-21 Rebidding</v>
      </c>
      <c r="L406" s="2">
        <f>IFERROR(__xludf.DUMMYFUNCTION("""COMPUTED_VALUE"""),4.0)</f>
        <v>4</v>
      </c>
      <c r="M406" s="2"/>
      <c r="N406" s="74">
        <f>IFERROR(__xludf.DUMMYFUNCTION("""COMPUTED_VALUE"""),45398.0)</f>
        <v>45398</v>
      </c>
      <c r="O406" s="74">
        <f>IFERROR(__xludf.DUMMYFUNCTION("""COMPUTED_VALUE"""),45427.0)</f>
        <v>45427</v>
      </c>
      <c r="P406" s="2">
        <f>IFERROR(__xludf.DUMMYFUNCTION("""COMPUTED_VALUE"""),19064.0)</f>
        <v>19064</v>
      </c>
      <c r="Q406" s="2" t="str">
        <f>IFERROR(__xludf.DUMMYFUNCTION("""COMPUTED_VALUE"""),"KMC5825ATRFPV0581")</f>
        <v>KMC5825ATRFPV0581</v>
      </c>
      <c r="R406" s="2" t="str">
        <f>IFERROR(__xludf.DUMMYFUNCTION("""COMPUTED_VALUE"""),"RTS100490")</f>
        <v>RTS100490</v>
      </c>
      <c r="S406" s="2" t="str">
        <f>IFERROR(__xludf.DUMMYFUNCTION("""COMPUTED_VALUE"""),"WR-SERIES 875 PH")</f>
        <v>WR-SERIES 875 PH</v>
      </c>
      <c r="T406" s="2" t="str">
        <f>IFERROR(__xludf.DUMMYFUNCTION("""COMPUTED_VALUE"""),"LSGW1750 RMP 24040699")</f>
        <v>LSGW1750 RMP 24040699</v>
      </c>
      <c r="U406" s="2" t="str">
        <f>IFERROR(__xludf.DUMMYFUNCTION("""COMPUTED_VALUE"""),"WDP40 RMP 24040466")</f>
        <v>WDP40 RMP 24040466</v>
      </c>
      <c r="V406" s="2"/>
      <c r="W406" s="2" t="str">
        <f>IFERROR(__xludf.DUMMYFUNCTION("""COMPUTED_VALUE"""),"VL103D")</f>
        <v>VL103D</v>
      </c>
      <c r="X406" s="2">
        <f>IFERROR(__xludf.DUMMYFUNCTION("""COMPUTED_VALUE"""),8.69066060241891E14)</f>
        <v>869066060241891</v>
      </c>
      <c r="Y406" s="2">
        <f>IFERROR(__xludf.DUMMYFUNCTION("""COMPUTED_VALUE"""),9.08707151E9)</f>
        <v>9087071510</v>
      </c>
      <c r="Z406" s="2"/>
      <c r="AA406" s="2"/>
      <c r="AB406" s="2" t="str">
        <f>IFERROR(__xludf.DUMMYFUNCTION("""COMPUTED_VALUE"""),"pl")</f>
        <v>pl</v>
      </c>
    </row>
    <row r="407">
      <c r="A407" s="2" t="str">
        <f>IFERROR(__xludf.DUMMYFUNCTION("""COMPUTED_VALUE"""),"TT00405")</f>
        <v>TT00405</v>
      </c>
      <c r="B407" s="2" t="str">
        <f>IFERROR(__xludf.DUMMYFUNCTION("""COMPUTED_VALUE"""),"For Completion")</f>
        <v>For Completion</v>
      </c>
      <c r="C407" s="2"/>
      <c r="D407" s="2" t="str">
        <f>IFERROR(__xludf.DUMMYFUNCTION("""COMPUTED_VALUE"""),"Kasanag Pinaypayan Bolo Farmers Association")</f>
        <v>Kasanag Pinaypayan Bolo Farmers Association</v>
      </c>
      <c r="E407" s="2" t="str">
        <f>IFERROR(__xludf.DUMMYFUNCTION("""COMPUTED_VALUE"""),"Bolo, Roxas City, CAPIZ")</f>
        <v>Bolo, Roxas City, CAPIZ</v>
      </c>
      <c r="F407" s="2" t="str">
        <f>IFERROR(__xludf.DUMMYFUNCTION("""COMPUTED_VALUE"""),"SALVADOR V. MEDINA JR.")</f>
        <v>SALVADOR V. MEDINA JR.</v>
      </c>
      <c r="G407" s="2">
        <f>IFERROR(__xludf.DUMMYFUNCTION("""COMPUTED_VALUE"""),9.455117041E9)</f>
        <v>9455117041</v>
      </c>
      <c r="H407" s="2"/>
      <c r="I407" s="2"/>
      <c r="J407" s="2"/>
      <c r="K407" s="2" t="str">
        <f>IFERROR(__xludf.DUMMYFUNCTION("""COMPUTED_VALUE"""),"RCEF 23-09-21 Rebidding")</f>
        <v>RCEF 23-09-21 Rebidding</v>
      </c>
      <c r="L407" s="2">
        <f>IFERROR(__xludf.DUMMYFUNCTION("""COMPUTED_VALUE"""),4.0)</f>
        <v>4</v>
      </c>
      <c r="M407" s="2"/>
      <c r="N407" s="74">
        <f>IFERROR(__xludf.DUMMYFUNCTION("""COMPUTED_VALUE"""),45398.0)</f>
        <v>45398</v>
      </c>
      <c r="O407" s="74">
        <f>IFERROR(__xludf.DUMMYFUNCTION("""COMPUTED_VALUE"""),45427.0)</f>
        <v>45427</v>
      </c>
      <c r="P407" s="2">
        <f>IFERROR(__xludf.DUMMYFUNCTION("""COMPUTED_VALUE"""),19065.0)</f>
        <v>19065</v>
      </c>
      <c r="Q407" s="2" t="str">
        <f>IFERROR(__xludf.DUMMYFUNCTION("""COMPUTED_VALUE"""),"KMC5825AARFPV0489")</f>
        <v>KMC5825AARFPV0489</v>
      </c>
      <c r="R407" s="2" t="str">
        <f>IFERROR(__xludf.DUMMYFUNCTION("""COMPUTED_VALUE"""),"RTS100399")</f>
        <v>RTS100399</v>
      </c>
      <c r="S407" s="2" t="str">
        <f>IFERROR(__xludf.DUMMYFUNCTION("""COMPUTED_VALUE"""),"WR-SERIES 742 PH")</f>
        <v>WR-SERIES 742 PH</v>
      </c>
      <c r="T407" s="2" t="str">
        <f>IFERROR(__xludf.DUMMYFUNCTION("""COMPUTED_VALUE"""),"LSGW1750 RMP 24040651")</f>
        <v>LSGW1750 RMP 24040651</v>
      </c>
      <c r="U407" s="2" t="str">
        <f>IFERROR(__xludf.DUMMYFUNCTION("""COMPUTED_VALUE"""),"WDP40 RMP 24030338")</f>
        <v>WDP40 RMP 24030338</v>
      </c>
      <c r="V407" s="2"/>
      <c r="W407" s="2" t="str">
        <f>IFERROR(__xludf.DUMMYFUNCTION("""COMPUTED_VALUE"""),"VL103D")</f>
        <v>VL103D</v>
      </c>
      <c r="X407" s="2">
        <f>IFERROR(__xludf.DUMMYFUNCTION("""COMPUTED_VALUE"""),8.69066060242063E14)</f>
        <v>869066060242063</v>
      </c>
      <c r="Y407" s="2"/>
      <c r="Z407" s="2"/>
      <c r="AA407" s="2"/>
      <c r="AB407" s="2"/>
    </row>
    <row r="408">
      <c r="A408" s="2" t="str">
        <f>IFERROR(__xludf.DUMMYFUNCTION("""COMPUTED_VALUE"""),"TT00406")</f>
        <v>TT00406</v>
      </c>
      <c r="B408" s="2" t="str">
        <f>IFERROR(__xludf.DUMMYFUNCTION("""COMPUTED_VALUE"""),"For Completion")</f>
        <v>For Completion</v>
      </c>
      <c r="C408" s="2"/>
      <c r="D408" s="2" t="str">
        <f>IFERROR(__xludf.DUMMYFUNCTION("""COMPUTED_VALUE"""),"San Jose Farmers and Workers Association (SJFWA)")</f>
        <v>San Jose Farmers and Workers Association (SJFWA)</v>
      </c>
      <c r="E408" s="2" t="str">
        <f>IFERROR(__xludf.DUMMYFUNCTION("""COMPUTED_VALUE"""),"San Jose, Roxas City, CAPIZ")</f>
        <v>San Jose, Roxas City, CAPIZ</v>
      </c>
      <c r="F408" s="2" t="str">
        <f>IFERROR(__xludf.DUMMYFUNCTION("""COMPUTED_VALUE"""),"Rodulfo C. Capapas")</f>
        <v>Rodulfo C. Capapas</v>
      </c>
      <c r="G408" s="2">
        <f>IFERROR(__xludf.DUMMYFUNCTION("""COMPUTED_VALUE"""),9.072102733E9)</f>
        <v>9072102733</v>
      </c>
      <c r="H408" s="2"/>
      <c r="I408" s="2"/>
      <c r="J408" s="2"/>
      <c r="K408" s="2" t="str">
        <f>IFERROR(__xludf.DUMMYFUNCTION("""COMPUTED_VALUE"""),"RCEF 23-09-21 Rebidding")</f>
        <v>RCEF 23-09-21 Rebidding</v>
      </c>
      <c r="L408" s="2">
        <f>IFERROR(__xludf.DUMMYFUNCTION("""COMPUTED_VALUE"""),4.0)</f>
        <v>4</v>
      </c>
      <c r="M408" s="2"/>
      <c r="N408" s="74">
        <f>IFERROR(__xludf.DUMMYFUNCTION("""COMPUTED_VALUE"""),45398.0)</f>
        <v>45398</v>
      </c>
      <c r="O408" s="74">
        <f>IFERROR(__xludf.DUMMYFUNCTION("""COMPUTED_VALUE"""),45427.0)</f>
        <v>45427</v>
      </c>
      <c r="P408" s="2">
        <f>IFERROR(__xludf.DUMMYFUNCTION("""COMPUTED_VALUE"""),19066.0)</f>
        <v>19066</v>
      </c>
      <c r="Q408" s="2" t="str">
        <f>IFERROR(__xludf.DUMMYFUNCTION("""COMPUTED_VALUE"""),"KMC5825ACRFPV0451")</f>
        <v>KMC5825ACRFPV0451</v>
      </c>
      <c r="R408" s="2" t="str">
        <f>IFERROR(__xludf.DUMMYFUNCTION("""COMPUTED_VALUE"""),"RTS100362")</f>
        <v>RTS100362</v>
      </c>
      <c r="S408" s="2" t="str">
        <f>IFERROR(__xludf.DUMMYFUNCTION("""COMPUTED_VALUE"""),"WR-SERIES 856 PH")</f>
        <v>WR-SERIES 856 PH</v>
      </c>
      <c r="T408" s="2" t="str">
        <f>IFERROR(__xludf.DUMMYFUNCTION("""COMPUTED_VALUE"""),"LSGW1750 RMP 24040650")</f>
        <v>LSGW1750 RMP 24040650</v>
      </c>
      <c r="U408" s="2" t="str">
        <f>IFERROR(__xludf.DUMMYFUNCTION("""COMPUTED_VALUE"""),"WDP40 RMP 24040409")</f>
        <v>WDP40 RMP 24040409</v>
      </c>
      <c r="V408" s="2"/>
      <c r="W408" s="2" t="str">
        <f>IFERROR(__xludf.DUMMYFUNCTION("""COMPUTED_VALUE"""),"VL103D")</f>
        <v>VL103D</v>
      </c>
      <c r="X408" s="2">
        <f>IFERROR(__xludf.DUMMYFUNCTION("""COMPUTED_VALUE"""),8.69066060241248E14)</f>
        <v>869066060241248</v>
      </c>
      <c r="Y408" s="2">
        <f>IFERROR(__xludf.DUMMYFUNCTION("""COMPUTED_VALUE"""),9.086107395E9)</f>
        <v>9086107395</v>
      </c>
      <c r="Z408" s="2"/>
      <c r="AA408" s="2"/>
      <c r="AB408" s="2"/>
    </row>
    <row r="409">
      <c r="A409" s="2" t="str">
        <f>IFERROR(__xludf.DUMMYFUNCTION("""COMPUTED_VALUE"""),"TT00407")</f>
        <v>TT00407</v>
      </c>
      <c r="B409" s="2" t="str">
        <f>IFERROR(__xludf.DUMMYFUNCTION("""COMPUTED_VALUE"""),"For Completion")</f>
        <v>For Completion</v>
      </c>
      <c r="C409" s="2"/>
      <c r="D409" s="2" t="str">
        <f>IFERROR(__xludf.DUMMYFUNCTION("""COMPUTED_VALUE"""),"Barangay Angub Farmers Association")</f>
        <v>Barangay Angub Farmers Association</v>
      </c>
      <c r="E409" s="2" t="str">
        <f>IFERROR(__xludf.DUMMYFUNCTION("""COMPUTED_VALUE"""),"Angub, Cuartero, CAPIZ")</f>
        <v>Angub, Cuartero, CAPIZ</v>
      </c>
      <c r="F409" s="2" t="str">
        <f>IFERROR(__xludf.DUMMYFUNCTION("""COMPUTED_VALUE"""),"Raphaela F. Navarro")</f>
        <v>Raphaela F. Navarro</v>
      </c>
      <c r="G409" s="2" t="str">
        <f>IFERROR(__xludf.DUMMYFUNCTION("""COMPUTED_VALUE"""),"0938-160-8639")</f>
        <v>0938-160-8639</v>
      </c>
      <c r="H409" s="2"/>
      <c r="I409" s="2"/>
      <c r="J409" s="2"/>
      <c r="K409" s="2" t="str">
        <f>IFERROR(__xludf.DUMMYFUNCTION("""COMPUTED_VALUE"""),"RCEF 23-09-21 Rebidding")</f>
        <v>RCEF 23-09-21 Rebidding</v>
      </c>
      <c r="L409" s="2">
        <f>IFERROR(__xludf.DUMMYFUNCTION("""COMPUTED_VALUE"""),4.0)</f>
        <v>4</v>
      </c>
      <c r="M409" s="2"/>
      <c r="N409" s="74">
        <f>IFERROR(__xludf.DUMMYFUNCTION("""COMPUTED_VALUE"""),45398.0)</f>
        <v>45398</v>
      </c>
      <c r="O409" s="74">
        <f>IFERROR(__xludf.DUMMYFUNCTION("""COMPUTED_VALUE"""),45427.0)</f>
        <v>45427</v>
      </c>
      <c r="P409" s="2">
        <f>IFERROR(__xludf.DUMMYFUNCTION("""COMPUTED_VALUE"""),19067.0)</f>
        <v>19067</v>
      </c>
      <c r="Q409" s="2" t="str">
        <f>IFERROR(__xludf.DUMMYFUNCTION("""COMPUTED_VALUE"""),"KMC5825ACRFPV0618")</f>
        <v>KMC5825ACRFPV0618</v>
      </c>
      <c r="R409" s="2" t="str">
        <f>IFERROR(__xludf.DUMMYFUNCTION("""COMPUTED_VALUE"""),"RTS100442")</f>
        <v>RTS100442</v>
      </c>
      <c r="S409" s="2" t="str">
        <f>IFERROR(__xludf.DUMMYFUNCTION("""COMPUTED_VALUE"""),"WR-SERIES 877 PH")</f>
        <v>WR-SERIES 877 PH</v>
      </c>
      <c r="T409" s="2" t="str">
        <f>IFERROR(__xludf.DUMMYFUNCTION("""COMPUTED_VALUE"""),"LSGW1750 RMP 24040710")</f>
        <v>LSGW1750 RMP 24040710</v>
      </c>
      <c r="U409" s="2" t="str">
        <f>IFERROR(__xludf.DUMMYFUNCTION("""COMPUTED_VALUE"""),"WDP40 RMP 24040400")</f>
        <v>WDP40 RMP 24040400</v>
      </c>
      <c r="V409" s="2"/>
      <c r="W409" s="2" t="str">
        <f>IFERROR(__xludf.DUMMYFUNCTION("""COMPUTED_VALUE"""),"VL103D")</f>
        <v>VL103D</v>
      </c>
      <c r="X409" s="2"/>
      <c r="Y409" s="2"/>
      <c r="Z409" s="2"/>
      <c r="AA409" s="2"/>
      <c r="AB409" s="2"/>
    </row>
    <row r="410">
      <c r="A410" s="2" t="str">
        <f>IFERROR(__xludf.DUMMYFUNCTION("""COMPUTED_VALUE"""),"TT00408")</f>
        <v>TT00408</v>
      </c>
      <c r="B410" s="2" t="str">
        <f>IFERROR(__xludf.DUMMYFUNCTION("""COMPUTED_VALUE"""),"For Completion")</f>
        <v>For Completion</v>
      </c>
      <c r="C410" s="2"/>
      <c r="D410" s="2" t="str">
        <f>IFERROR(__xludf.DUMMYFUNCTION("""COMPUTED_VALUE"""),"Agtanguay Small Farmers Association")</f>
        <v>Agtanguay Small Farmers Association</v>
      </c>
      <c r="E410" s="2" t="str">
        <f>IFERROR(__xludf.DUMMYFUNCTION("""COMPUTED_VALUE"""),"Agtanguay, Dao, CAPIZ")</f>
        <v>Agtanguay, Dao, CAPIZ</v>
      </c>
      <c r="F410" s="2" t="str">
        <f>IFERROR(__xludf.DUMMYFUNCTION("""COMPUTED_VALUE"""),"Janet A. Beter")</f>
        <v>Janet A. Beter</v>
      </c>
      <c r="G410" s="2" t="str">
        <f>IFERROR(__xludf.DUMMYFUNCTION("""COMPUTED_VALUE"""),"0950-912-9065")</f>
        <v>0950-912-9065</v>
      </c>
      <c r="H410" s="2"/>
      <c r="I410" s="2"/>
      <c r="J410" s="2"/>
      <c r="K410" s="2" t="str">
        <f>IFERROR(__xludf.DUMMYFUNCTION("""COMPUTED_VALUE"""),"RCEF 23-09-21 Rebidding")</f>
        <v>RCEF 23-09-21 Rebidding</v>
      </c>
      <c r="L410" s="2">
        <f>IFERROR(__xludf.DUMMYFUNCTION("""COMPUTED_VALUE"""),4.0)</f>
        <v>4</v>
      </c>
      <c r="M410" s="2"/>
      <c r="N410" s="74">
        <f>IFERROR(__xludf.DUMMYFUNCTION("""COMPUTED_VALUE"""),45398.0)</f>
        <v>45398</v>
      </c>
      <c r="O410" s="74">
        <f>IFERROR(__xludf.DUMMYFUNCTION("""COMPUTED_VALUE"""),45427.0)</f>
        <v>45427</v>
      </c>
      <c r="P410" s="2">
        <f>IFERROR(__xludf.DUMMYFUNCTION("""COMPUTED_VALUE"""),19068.0)</f>
        <v>19068</v>
      </c>
      <c r="Q410" s="2" t="str">
        <f>IFERROR(__xludf.DUMMYFUNCTION("""COMPUTED_VALUE"""),"KMC5825AJRFPV0360")</f>
        <v>KMC5825AJRFPV0360</v>
      </c>
      <c r="R410" s="2" t="str">
        <f>IFERROR(__xludf.DUMMYFUNCTION("""COMPUTED_VALUE"""),"RTS100246")</f>
        <v>RTS100246</v>
      </c>
      <c r="S410" s="2" t="str">
        <f>IFERROR(__xludf.DUMMYFUNCTION("""COMPUTED_VALUE"""),"WR-SERIES 811 PH")</f>
        <v>WR-SERIES 811 PH</v>
      </c>
      <c r="T410" s="2" t="str">
        <f>IFERROR(__xludf.DUMMYFUNCTION("""COMPUTED_VALUE"""),"LSGW1750 RMP 24040689")</f>
        <v>LSGW1750 RMP 24040689</v>
      </c>
      <c r="U410" s="2" t="str">
        <f>IFERROR(__xludf.DUMMYFUNCTION("""COMPUTED_VALUE"""),"WDP40 RMP 24040416")</f>
        <v>WDP40 RMP 24040416</v>
      </c>
      <c r="V410" s="2"/>
      <c r="W410" s="2" t="str">
        <f>IFERROR(__xludf.DUMMYFUNCTION("""COMPUTED_VALUE"""),"VL103D")</f>
        <v>VL103D</v>
      </c>
      <c r="X410" s="2">
        <f>IFERROR(__xludf.DUMMYFUNCTION("""COMPUTED_VALUE"""),8.69066060240893E14)</f>
        <v>869066060240893</v>
      </c>
      <c r="Y410" s="2">
        <f>IFERROR(__xludf.DUMMYFUNCTION("""COMPUTED_VALUE"""),9.08771143E9)</f>
        <v>9087711430</v>
      </c>
      <c r="Z410" s="2"/>
      <c r="AA410" s="2"/>
      <c r="AB410" s="2"/>
    </row>
    <row r="411">
      <c r="A411" s="2" t="str">
        <f>IFERROR(__xludf.DUMMYFUNCTION("""COMPUTED_VALUE"""),"TT00409")</f>
        <v>TT00409</v>
      </c>
      <c r="B411" s="2" t="str">
        <f>IFERROR(__xludf.DUMMYFUNCTION("""COMPUTED_VALUE"""),"For Completion")</f>
        <v>For Completion</v>
      </c>
      <c r="C411" s="2"/>
      <c r="D411" s="2" t="str">
        <f>IFERROR(__xludf.DUMMYFUNCTION("""COMPUTED_VALUE"""),"Nasunogan Farmers Association")</f>
        <v>Nasunogan Farmers Association</v>
      </c>
      <c r="E411" s="2" t="str">
        <f>IFERROR(__xludf.DUMMYFUNCTION("""COMPUTED_VALUE"""),"Nasunogan, Dao, CAPIZ")</f>
        <v>Nasunogan, Dao, CAPIZ</v>
      </c>
      <c r="F411" s="2" t="str">
        <f>IFERROR(__xludf.DUMMYFUNCTION("""COMPUTED_VALUE"""),"Leonardo G. Venus")</f>
        <v>Leonardo G. Venus</v>
      </c>
      <c r="G411" s="2" t="str">
        <f>IFERROR(__xludf.DUMMYFUNCTION("""COMPUTED_VALUE"""),"0963-433-3468")</f>
        <v>0963-433-3468</v>
      </c>
      <c r="H411" s="2"/>
      <c r="I411" s="2"/>
      <c r="J411" s="2"/>
      <c r="K411" s="2" t="str">
        <f>IFERROR(__xludf.DUMMYFUNCTION("""COMPUTED_VALUE"""),"RCEF 23-09-21 Rebidding")</f>
        <v>RCEF 23-09-21 Rebidding</v>
      </c>
      <c r="L411" s="2">
        <f>IFERROR(__xludf.DUMMYFUNCTION("""COMPUTED_VALUE"""),4.0)</f>
        <v>4</v>
      </c>
      <c r="M411" s="2"/>
      <c r="N411" s="74">
        <f>IFERROR(__xludf.DUMMYFUNCTION("""COMPUTED_VALUE"""),45398.0)</f>
        <v>45398</v>
      </c>
      <c r="O411" s="74">
        <f>IFERROR(__xludf.DUMMYFUNCTION("""COMPUTED_VALUE"""),45427.0)</f>
        <v>45427</v>
      </c>
      <c r="P411" s="2">
        <f>IFERROR(__xludf.DUMMYFUNCTION("""COMPUTED_VALUE"""),19069.0)</f>
        <v>19069</v>
      </c>
      <c r="Q411" s="2" t="str">
        <f>IFERROR(__xludf.DUMMYFUNCTION("""COMPUTED_VALUE"""),"KMC5825AVRFPV0636")</f>
        <v>KMC5825AVRFPV0636</v>
      </c>
      <c r="R411" s="2" t="str">
        <f>IFERROR(__xludf.DUMMYFUNCTION("""COMPUTED_VALUE"""),"RTS100230")</f>
        <v>RTS100230</v>
      </c>
      <c r="S411" s="2" t="str">
        <f>IFERROR(__xludf.DUMMYFUNCTION("""COMPUTED_VALUE"""),"WR-SERIES 855 PH")</f>
        <v>WR-SERIES 855 PH</v>
      </c>
      <c r="T411" s="2" t="str">
        <f>IFERROR(__xludf.DUMMYFUNCTION("""COMPUTED_VALUE"""),"LSGW1750 RMP 24040719")</f>
        <v>LSGW1750 RMP 24040719</v>
      </c>
      <c r="U411" s="2" t="str">
        <f>IFERROR(__xludf.DUMMYFUNCTION("""COMPUTED_VALUE"""),"WDP40 RMP 24040467")</f>
        <v>WDP40 RMP 24040467</v>
      </c>
      <c r="V411" s="2"/>
      <c r="W411" s="2" t="str">
        <f>IFERROR(__xludf.DUMMYFUNCTION("""COMPUTED_VALUE"""),"VL103D")</f>
        <v>VL103D</v>
      </c>
      <c r="X411" s="2">
        <f>IFERROR(__xludf.DUMMYFUNCTION("""COMPUTED_VALUE"""),8.6906606024241E14)</f>
        <v>869066060242410</v>
      </c>
      <c r="Y411" s="2">
        <f>IFERROR(__xludf.DUMMYFUNCTION("""COMPUTED_VALUE"""),9.087078368E9)</f>
        <v>9087078368</v>
      </c>
      <c r="Z411" s="2"/>
      <c r="AA411" s="2"/>
      <c r="AB411" s="2"/>
    </row>
    <row r="412">
      <c r="A412" s="2" t="str">
        <f>IFERROR(__xludf.DUMMYFUNCTION("""COMPUTED_VALUE"""),"TT00410")</f>
        <v>TT00410</v>
      </c>
      <c r="B412" s="2" t="str">
        <f>IFERROR(__xludf.DUMMYFUNCTION("""COMPUTED_VALUE"""),"For Completion")</f>
        <v>For Completion</v>
      </c>
      <c r="C412" s="2"/>
      <c r="D412" s="2" t="str">
        <f>IFERROR(__xludf.DUMMYFUNCTION("""COMPUTED_VALUE"""),"STA. CARMEN FARMERS ASSOCIATION")</f>
        <v>STA. CARMEN FARMERS ASSOCIATION</v>
      </c>
      <c r="E412" s="2" t="str">
        <f>IFERROR(__xludf.DUMMYFUNCTION("""COMPUTED_VALUE"""),"Santa Carmen, Dumalag, CAPIZ")</f>
        <v>Santa Carmen, Dumalag, CAPIZ</v>
      </c>
      <c r="F412" s="2" t="str">
        <f>IFERROR(__xludf.DUMMYFUNCTION("""COMPUTED_VALUE"""),"RODRIGO F. FEDALGO")</f>
        <v>RODRIGO F. FEDALGO</v>
      </c>
      <c r="G412" s="2">
        <f>IFERROR(__xludf.DUMMYFUNCTION("""COMPUTED_VALUE"""),9.388468466E9)</f>
        <v>9388468466</v>
      </c>
      <c r="H412" s="2"/>
      <c r="I412" s="2"/>
      <c r="J412" s="2"/>
      <c r="K412" s="2" t="str">
        <f>IFERROR(__xludf.DUMMYFUNCTION("""COMPUTED_VALUE"""),"RCEF 23-09-21 Rebidding")</f>
        <v>RCEF 23-09-21 Rebidding</v>
      </c>
      <c r="L412" s="2">
        <f>IFERROR(__xludf.DUMMYFUNCTION("""COMPUTED_VALUE"""),4.0)</f>
        <v>4</v>
      </c>
      <c r="M412" s="2"/>
      <c r="N412" s="74">
        <f>IFERROR(__xludf.DUMMYFUNCTION("""COMPUTED_VALUE"""),45398.0)</f>
        <v>45398</v>
      </c>
      <c r="O412" s="74">
        <f>IFERROR(__xludf.DUMMYFUNCTION("""COMPUTED_VALUE"""),45427.0)</f>
        <v>45427</v>
      </c>
      <c r="P412" s="2">
        <f>IFERROR(__xludf.DUMMYFUNCTION("""COMPUTED_VALUE"""),19070.0)</f>
        <v>19070</v>
      </c>
      <c r="Q412" s="2" t="str">
        <f>IFERROR(__xludf.DUMMYFUNCTION("""COMPUTED_VALUE"""),"KMC5825APRFPV0646")</f>
        <v>KMC5825APRFPV0646</v>
      </c>
      <c r="R412" s="2" t="str">
        <f>IFERROR(__xludf.DUMMYFUNCTION("""COMPUTED_VALUE"""),"RTS100408")</f>
        <v>RTS100408</v>
      </c>
      <c r="S412" s="2" t="str">
        <f>IFERROR(__xludf.DUMMYFUNCTION("""COMPUTED_VALUE"""),"WR-SERIES 789 PH")</f>
        <v>WR-SERIES 789 PH</v>
      </c>
      <c r="T412" s="2" t="str">
        <f>IFERROR(__xludf.DUMMYFUNCTION("""COMPUTED_VALUE"""),"LSGW1750 RMP 24040701")</f>
        <v>LSGW1750 RMP 24040701</v>
      </c>
      <c r="U412" s="2" t="str">
        <f>IFERROR(__xludf.DUMMYFUNCTION("""COMPUTED_VALUE"""),"WDP40 RMP 24040432")</f>
        <v>WDP40 RMP 24040432</v>
      </c>
      <c r="V412" s="2"/>
      <c r="W412" s="2" t="str">
        <f>IFERROR(__xludf.DUMMYFUNCTION("""COMPUTED_VALUE"""),"VL103D")</f>
        <v>VL103D</v>
      </c>
      <c r="X412" s="2">
        <f>IFERROR(__xludf.DUMMYFUNCTION("""COMPUTED_VALUE"""),8.69066060241909E14)</f>
        <v>869066060241909</v>
      </c>
      <c r="Y412" s="2">
        <f>IFERROR(__xludf.DUMMYFUNCTION("""COMPUTED_VALUE"""),9.08353238E9)</f>
        <v>9083532380</v>
      </c>
      <c r="Z412" s="2"/>
      <c r="AA412" s="2"/>
      <c r="AB412" s="2"/>
    </row>
    <row r="413">
      <c r="A413" s="2" t="str">
        <f>IFERROR(__xludf.DUMMYFUNCTION("""COMPUTED_VALUE"""),"TT00411")</f>
        <v>TT00411</v>
      </c>
      <c r="B413" s="2" t="str">
        <f>IFERROR(__xludf.DUMMYFUNCTION("""COMPUTED_VALUE"""),"For Completion")</f>
        <v>For Completion</v>
      </c>
      <c r="C413" s="2"/>
      <c r="D413" s="2" t="str">
        <f>IFERROR(__xludf.DUMMYFUNCTION("""COMPUTED_VALUE"""),"Aglanot Pinoy Agri Farmers Association (APAFA)")</f>
        <v>Aglanot Pinoy Agri Farmers Association (APAFA)</v>
      </c>
      <c r="E413" s="2" t="str">
        <f>IFERROR(__xludf.DUMMYFUNCTION("""COMPUTED_VALUE"""),"Aglanot, Dumarao, CAPIZ")</f>
        <v>Aglanot, Dumarao, CAPIZ</v>
      </c>
      <c r="F413" s="2" t="str">
        <f>IFERROR(__xludf.DUMMYFUNCTION("""COMPUTED_VALUE"""),"MA. LINA A. ALVAREZ")</f>
        <v>MA. LINA A. ALVAREZ</v>
      </c>
      <c r="G413" s="2">
        <f>IFERROR(__xludf.DUMMYFUNCTION("""COMPUTED_VALUE"""),9.319369156E9)</f>
        <v>9319369156</v>
      </c>
      <c r="H413" s="2"/>
      <c r="I413" s="2"/>
      <c r="J413" s="2"/>
      <c r="K413" s="2" t="str">
        <f>IFERROR(__xludf.DUMMYFUNCTION("""COMPUTED_VALUE"""),"RCEF 23-09-21 Rebidding")</f>
        <v>RCEF 23-09-21 Rebidding</v>
      </c>
      <c r="L413" s="2">
        <f>IFERROR(__xludf.DUMMYFUNCTION("""COMPUTED_VALUE"""),4.0)</f>
        <v>4</v>
      </c>
      <c r="M413" s="2"/>
      <c r="N413" s="74">
        <f>IFERROR(__xludf.DUMMYFUNCTION("""COMPUTED_VALUE"""),45398.0)</f>
        <v>45398</v>
      </c>
      <c r="O413" s="74">
        <f>IFERROR(__xludf.DUMMYFUNCTION("""COMPUTED_VALUE"""),45427.0)</f>
        <v>45427</v>
      </c>
      <c r="P413" s="2">
        <f>IFERROR(__xludf.DUMMYFUNCTION("""COMPUTED_VALUE"""),19071.0)</f>
        <v>19071</v>
      </c>
      <c r="Q413" s="2" t="str">
        <f>IFERROR(__xludf.DUMMYFUNCTION("""COMPUTED_VALUE"""),"KMC5825ARRFPV0582")</f>
        <v>KMC5825ARRFPV0582</v>
      </c>
      <c r="R413" s="2" t="str">
        <f>IFERROR(__xludf.DUMMYFUNCTION("""COMPUTED_VALUE"""),"RTS100484")</f>
        <v>RTS100484</v>
      </c>
      <c r="S413" s="2" t="str">
        <f>IFERROR(__xludf.DUMMYFUNCTION("""COMPUTED_VALUE"""),"WR-SERIES 748 PH")</f>
        <v>WR-SERIES 748 PH</v>
      </c>
      <c r="T413" s="2" t="str">
        <f>IFERROR(__xludf.DUMMYFUNCTION("""COMPUTED_VALUE"""),"LSGW1750 RMP 24040695")</f>
        <v>LSGW1750 RMP 24040695</v>
      </c>
      <c r="U413" s="2" t="str">
        <f>IFERROR(__xludf.DUMMYFUNCTION("""COMPUTED_VALUE"""),"WDP40 RMP 24040421")</f>
        <v>WDP40 RMP 24040421</v>
      </c>
      <c r="V413" s="2"/>
      <c r="W413" s="2" t="str">
        <f>IFERROR(__xludf.DUMMYFUNCTION("""COMPUTED_VALUE"""),"VL103D")</f>
        <v>VL103D</v>
      </c>
      <c r="X413" s="2">
        <f>IFERROR(__xludf.DUMMYFUNCTION("""COMPUTED_VALUE"""),8.69066060240984E14)</f>
        <v>869066060240984</v>
      </c>
      <c r="Y413" s="2">
        <f>IFERROR(__xludf.DUMMYFUNCTION("""COMPUTED_VALUE"""),9.082963306E9)</f>
        <v>9082963306</v>
      </c>
      <c r="Z413" s="2"/>
      <c r="AA413" s="2"/>
      <c r="AB413" s="2"/>
    </row>
    <row r="414">
      <c r="A414" s="2" t="str">
        <f>IFERROR(__xludf.DUMMYFUNCTION("""COMPUTED_VALUE"""),"TT00412")</f>
        <v>TT00412</v>
      </c>
      <c r="B414" s="2" t="str">
        <f>IFERROR(__xludf.DUMMYFUNCTION("""COMPUTED_VALUE"""),"For Completion")</f>
        <v>For Completion</v>
      </c>
      <c r="C414" s="2"/>
      <c r="D414" s="2" t="str">
        <f>IFERROR(__xludf.DUMMYFUNCTION("""COMPUTED_VALUE"""),"Astorga Farmers Association")</f>
        <v>Astorga Farmers Association</v>
      </c>
      <c r="E414" s="2" t="str">
        <f>IFERROR(__xludf.DUMMYFUNCTION("""COMPUTED_VALUE"""),"Astorga, Dumarao, CAPIZ")</f>
        <v>Astorga, Dumarao, CAPIZ</v>
      </c>
      <c r="F414" s="2" t="str">
        <f>IFERROR(__xludf.DUMMYFUNCTION("""COMPUTED_VALUE"""),"Roberto E. Marcelino Sr.")</f>
        <v>Roberto E. Marcelino Sr.</v>
      </c>
      <c r="G414" s="2">
        <f>IFERROR(__xludf.DUMMYFUNCTION("""COMPUTED_VALUE"""),9.176888094E9)</f>
        <v>9176888094</v>
      </c>
      <c r="H414" s="2"/>
      <c r="I414" s="2"/>
      <c r="J414" s="2"/>
      <c r="K414" s="2" t="str">
        <f>IFERROR(__xludf.DUMMYFUNCTION("""COMPUTED_VALUE"""),"RCEF 23-09-21 Rebidding")</f>
        <v>RCEF 23-09-21 Rebidding</v>
      </c>
      <c r="L414" s="2">
        <f>IFERROR(__xludf.DUMMYFUNCTION("""COMPUTED_VALUE"""),4.0)</f>
        <v>4</v>
      </c>
      <c r="M414" s="2"/>
      <c r="N414" s="74">
        <f>IFERROR(__xludf.DUMMYFUNCTION("""COMPUTED_VALUE"""),45398.0)</f>
        <v>45398</v>
      </c>
      <c r="O414" s="74">
        <f>IFERROR(__xludf.DUMMYFUNCTION("""COMPUTED_VALUE"""),45427.0)</f>
        <v>45427</v>
      </c>
      <c r="P414" s="2">
        <f>IFERROR(__xludf.DUMMYFUNCTION("""COMPUTED_VALUE"""),19072.0)</f>
        <v>19072</v>
      </c>
      <c r="Q414" s="2" t="str">
        <f>IFERROR(__xludf.DUMMYFUNCTION("""COMPUTED_VALUE"""),"KMC5825AKRFPV0437")</f>
        <v>KMC5825AKRFPV0437</v>
      </c>
      <c r="R414" s="2" t="str">
        <f>IFERROR(__xludf.DUMMYFUNCTION("""COMPUTED_VALUE"""),"RTS100338")</f>
        <v>RTS100338</v>
      </c>
      <c r="S414" s="2" t="str">
        <f>IFERROR(__xludf.DUMMYFUNCTION("""COMPUTED_VALUE"""),"WR-SERIES 804 PH")</f>
        <v>WR-SERIES 804 PH</v>
      </c>
      <c r="T414" s="2" t="str">
        <f>IFERROR(__xludf.DUMMYFUNCTION("""COMPUTED_VALUE"""),"LSGW1750 RMP 24040685")</f>
        <v>LSGW1750 RMP 24040685</v>
      </c>
      <c r="U414" s="2" t="str">
        <f>IFERROR(__xludf.DUMMYFUNCTION("""COMPUTED_VALUE"""),"WDP40 RMP 24040429")</f>
        <v>WDP40 RMP 24040429</v>
      </c>
      <c r="V414" s="2"/>
      <c r="W414" s="2" t="str">
        <f>IFERROR(__xludf.DUMMYFUNCTION("""COMPUTED_VALUE"""),"VL103D")</f>
        <v>VL103D</v>
      </c>
      <c r="X414" s="2">
        <f>IFERROR(__xludf.DUMMYFUNCTION("""COMPUTED_VALUE"""),8.69066060245942E14)</f>
        <v>869066060245942</v>
      </c>
      <c r="Y414" s="2">
        <f>IFERROR(__xludf.DUMMYFUNCTION("""COMPUTED_VALUE"""),9.083758254E9)</f>
        <v>9083758254</v>
      </c>
      <c r="Z414" s="2"/>
      <c r="AA414" s="2"/>
      <c r="AB414" s="2"/>
    </row>
    <row r="415">
      <c r="A415" s="2" t="str">
        <f>IFERROR(__xludf.DUMMYFUNCTION("""COMPUTED_VALUE"""),"TT00413")</f>
        <v>TT00413</v>
      </c>
      <c r="B415" s="2" t="str">
        <f>IFERROR(__xludf.DUMMYFUNCTION("""COMPUTED_VALUE"""),"For Completion")</f>
        <v>For Completion</v>
      </c>
      <c r="C415" s="2"/>
      <c r="D415" s="2" t="str">
        <f>IFERROR(__xludf.DUMMYFUNCTION("""COMPUTED_VALUE"""),"Nagsulang Farmers Association")</f>
        <v>Nagsulang Farmers Association</v>
      </c>
      <c r="E415" s="2" t="str">
        <f>IFERROR(__xludf.DUMMYFUNCTION("""COMPUTED_VALUE"""),"Nagsulang, Dumarao, CAPIZ")</f>
        <v>Nagsulang, Dumarao, CAPIZ</v>
      </c>
      <c r="F415" s="2" t="str">
        <f>IFERROR(__xludf.DUMMYFUNCTION("""COMPUTED_VALUE"""),"Thelso V. Barrera")</f>
        <v>Thelso V. Barrera</v>
      </c>
      <c r="G415" s="2" t="str">
        <f>IFERROR(__xludf.DUMMYFUNCTION("""COMPUTED_VALUE"""),"0955-430-0391 / 0997-637-7468")</f>
        <v>0955-430-0391 / 0997-637-7468</v>
      </c>
      <c r="H415" s="2"/>
      <c r="I415" s="2"/>
      <c r="J415" s="2"/>
      <c r="K415" s="2" t="str">
        <f>IFERROR(__xludf.DUMMYFUNCTION("""COMPUTED_VALUE"""),"RCEF 23-09-21 Rebidding")</f>
        <v>RCEF 23-09-21 Rebidding</v>
      </c>
      <c r="L415" s="2">
        <f>IFERROR(__xludf.DUMMYFUNCTION("""COMPUTED_VALUE"""),4.0)</f>
        <v>4</v>
      </c>
      <c r="M415" s="2"/>
      <c r="N415" s="74">
        <f>IFERROR(__xludf.DUMMYFUNCTION("""COMPUTED_VALUE"""),45398.0)</f>
        <v>45398</v>
      </c>
      <c r="O415" s="74">
        <f>IFERROR(__xludf.DUMMYFUNCTION("""COMPUTED_VALUE"""),45427.0)</f>
        <v>45427</v>
      </c>
      <c r="P415" s="2">
        <f>IFERROR(__xludf.DUMMYFUNCTION("""COMPUTED_VALUE"""),19073.0)</f>
        <v>19073</v>
      </c>
      <c r="Q415" s="2" t="str">
        <f>IFERROR(__xludf.DUMMYFUNCTION("""COMPUTED_VALUE"""),"KMC5825AARFPV0475")</f>
        <v>KMC5825AARFPV0475</v>
      </c>
      <c r="R415" s="2" t="str">
        <f>IFERROR(__xludf.DUMMYFUNCTION("""COMPUTED_VALUE"""),"RTS100388")</f>
        <v>RTS100388</v>
      </c>
      <c r="S415" s="2" t="str">
        <f>IFERROR(__xludf.DUMMYFUNCTION("""COMPUTED_VALUE"""),"WR-SERIES 744 PH")</f>
        <v>WR-SERIES 744 PH</v>
      </c>
      <c r="T415" s="2" t="str">
        <f>IFERROR(__xludf.DUMMYFUNCTION("""COMPUTED_VALUE"""),"LSGW1750 RMP 24040716")</f>
        <v>LSGW1750 RMP 24040716</v>
      </c>
      <c r="U415" s="2" t="str">
        <f>IFERROR(__xludf.DUMMYFUNCTION("""COMPUTED_VALUE"""),"WDP40 RMP 24040427")</f>
        <v>WDP40 RMP 24040427</v>
      </c>
      <c r="V415" s="2"/>
      <c r="W415" s="2" t="str">
        <f>IFERROR(__xludf.DUMMYFUNCTION("""COMPUTED_VALUE"""),"VL103D")</f>
        <v>VL103D</v>
      </c>
      <c r="X415" s="2">
        <f>IFERROR(__xludf.DUMMYFUNCTION("""COMPUTED_VALUE"""),8.69066060238046E14)</f>
        <v>869066060238046</v>
      </c>
      <c r="Y415" s="2"/>
      <c r="Z415" s="2"/>
      <c r="AA415" s="2"/>
      <c r="AB415" s="2"/>
    </row>
    <row r="416">
      <c r="A416" s="2" t="str">
        <f>IFERROR(__xludf.DUMMYFUNCTION("""COMPUTED_VALUE"""),"TT00414")</f>
        <v>TT00414</v>
      </c>
      <c r="B416" s="2" t="str">
        <f>IFERROR(__xludf.DUMMYFUNCTION("""COMPUTED_VALUE"""),"For Completion")</f>
        <v>For Completion</v>
      </c>
      <c r="C416" s="2"/>
      <c r="D416" s="2" t="str">
        <f>IFERROR(__xludf.DUMMYFUNCTION("""COMPUTED_VALUE"""),"Cabalbat Irrigators’ Association, Inc.")</f>
        <v>Cabalbat Irrigators’ Association, Inc.</v>
      </c>
      <c r="E416" s="2" t="str">
        <f>IFERROR(__xludf.DUMMYFUNCTION("""COMPUTED_VALUE"""),"Cala-agus, Mambusao, CAPIZ")</f>
        <v>Cala-agus, Mambusao, CAPIZ</v>
      </c>
      <c r="F416" s="2" t="str">
        <f>IFERROR(__xludf.DUMMYFUNCTION("""COMPUTED_VALUE"""),"ANGELO G. PESTAÑO")</f>
        <v>ANGELO G. PESTAÑO</v>
      </c>
      <c r="G416" s="2">
        <f>IFERROR(__xludf.DUMMYFUNCTION("""COMPUTED_VALUE"""),9.483457091E9)</f>
        <v>9483457091</v>
      </c>
      <c r="H416" s="2"/>
      <c r="I416" s="2"/>
      <c r="J416" s="2"/>
      <c r="K416" s="2" t="str">
        <f>IFERROR(__xludf.DUMMYFUNCTION("""COMPUTED_VALUE"""),"RCEF 23-09-21 Rebidding")</f>
        <v>RCEF 23-09-21 Rebidding</v>
      </c>
      <c r="L416" s="2">
        <f>IFERROR(__xludf.DUMMYFUNCTION("""COMPUTED_VALUE"""),4.0)</f>
        <v>4</v>
      </c>
      <c r="M416" s="2"/>
      <c r="N416" s="74">
        <f>IFERROR(__xludf.DUMMYFUNCTION("""COMPUTED_VALUE"""),45398.0)</f>
        <v>45398</v>
      </c>
      <c r="O416" s="74">
        <f>IFERROR(__xludf.DUMMYFUNCTION("""COMPUTED_VALUE"""),45427.0)</f>
        <v>45427</v>
      </c>
      <c r="P416" s="2">
        <f>IFERROR(__xludf.DUMMYFUNCTION("""COMPUTED_VALUE"""),19074.0)</f>
        <v>19074</v>
      </c>
      <c r="Q416" s="2" t="str">
        <f>IFERROR(__xludf.DUMMYFUNCTION("""COMPUTED_VALUE"""),"KMC5825AVRFPV0619")</f>
        <v>KMC5825AVRFPV0619</v>
      </c>
      <c r="R416" s="2" t="str">
        <f>IFERROR(__xludf.DUMMYFUNCTION("""COMPUTED_VALUE"""),"RTS100584")</f>
        <v>RTS100584</v>
      </c>
      <c r="S416" s="2" t="str">
        <f>IFERROR(__xludf.DUMMYFUNCTION("""COMPUTED_VALUE"""),"WR-SERIES 874 PH")</f>
        <v>WR-SERIES 874 PH</v>
      </c>
      <c r="T416" s="2" t="str">
        <f>IFERROR(__xludf.DUMMYFUNCTION("""COMPUTED_VALUE"""),"LSGW1750 RMP 24040714")</f>
        <v>LSGW1750 RMP 24040714</v>
      </c>
      <c r="U416" s="2" t="str">
        <f>IFERROR(__xludf.DUMMYFUNCTION("""COMPUTED_VALUE"""),"WDP40 RMP 24040428")</f>
        <v>WDP40 RMP 24040428</v>
      </c>
      <c r="V416" s="2"/>
      <c r="W416" s="2" t="str">
        <f>IFERROR(__xludf.DUMMYFUNCTION("""COMPUTED_VALUE"""),"VL103D")</f>
        <v>VL103D</v>
      </c>
      <c r="X416" s="2">
        <f>IFERROR(__xludf.DUMMYFUNCTION("""COMPUTED_VALUE"""),8.69066060237758E14)</f>
        <v>869066060237758</v>
      </c>
      <c r="Y416" s="2">
        <f>IFERROR(__xludf.DUMMYFUNCTION("""COMPUTED_VALUE"""),9.086578227E9)</f>
        <v>9086578227</v>
      </c>
      <c r="Z416" s="2"/>
      <c r="AA416" s="2"/>
      <c r="AB416" s="2"/>
    </row>
    <row r="417">
      <c r="A417" s="2" t="str">
        <f>IFERROR(__xludf.DUMMYFUNCTION("""COMPUTED_VALUE"""),"TT00415")</f>
        <v>TT00415</v>
      </c>
      <c r="B417" s="2" t="str">
        <f>IFERROR(__xludf.DUMMYFUNCTION("""COMPUTED_VALUE"""),"For Completion")</f>
        <v>For Completion</v>
      </c>
      <c r="C417" s="2"/>
      <c r="D417" s="2" t="str">
        <f>IFERROR(__xludf.DUMMYFUNCTION("""COMPUTED_VALUE"""),"Balucuan Farmers Association")</f>
        <v>Balucuan Farmers Association</v>
      </c>
      <c r="E417" s="2" t="str">
        <f>IFERROR(__xludf.DUMMYFUNCTION("""COMPUTED_VALUE"""),"Balucuan, Sigma, CAPIZ")</f>
        <v>Balucuan, Sigma, CAPIZ</v>
      </c>
      <c r="F417" s="2" t="str">
        <f>IFERROR(__xludf.DUMMYFUNCTION("""COMPUTED_VALUE"""),"Josephine M. Jago")</f>
        <v>Josephine M. Jago</v>
      </c>
      <c r="G417" s="2">
        <f>IFERROR(__xludf.DUMMYFUNCTION("""COMPUTED_VALUE"""),9.083946493E9)</f>
        <v>9083946493</v>
      </c>
      <c r="H417" s="2"/>
      <c r="I417" s="2"/>
      <c r="J417" s="2"/>
      <c r="K417" s="2" t="str">
        <f>IFERROR(__xludf.DUMMYFUNCTION("""COMPUTED_VALUE"""),"RCEF 23-09-21 Rebidding")</f>
        <v>RCEF 23-09-21 Rebidding</v>
      </c>
      <c r="L417" s="2">
        <f>IFERROR(__xludf.DUMMYFUNCTION("""COMPUTED_VALUE"""),4.0)</f>
        <v>4</v>
      </c>
      <c r="M417" s="2"/>
      <c r="N417" s="74">
        <f>IFERROR(__xludf.DUMMYFUNCTION("""COMPUTED_VALUE"""),45398.0)</f>
        <v>45398</v>
      </c>
      <c r="O417" s="74">
        <f>IFERROR(__xludf.DUMMYFUNCTION("""COMPUTED_VALUE"""),45427.0)</f>
        <v>45427</v>
      </c>
      <c r="P417" s="2">
        <f>IFERROR(__xludf.DUMMYFUNCTION("""COMPUTED_VALUE"""),19075.0)</f>
        <v>19075</v>
      </c>
      <c r="Q417" s="2" t="str">
        <f>IFERROR(__xludf.DUMMYFUNCTION("""COMPUTED_VALUE"""),"KMC5825APRFPV0632")</f>
        <v>KMC5825APRFPV0632</v>
      </c>
      <c r="R417" s="2" t="str">
        <f>IFERROR(__xludf.DUMMYFUNCTION("""COMPUTED_VALUE"""),"RTS100513")</f>
        <v>RTS100513</v>
      </c>
      <c r="S417" s="2" t="str">
        <f>IFERROR(__xludf.DUMMYFUNCTION("""COMPUTED_VALUE"""),"WR-SERIES 859 PH")</f>
        <v>WR-SERIES 859 PH</v>
      </c>
      <c r="T417" s="2" t="str">
        <f>IFERROR(__xludf.DUMMYFUNCTION("""COMPUTED_VALUE"""),"LSGW1750 RMP 24040677")</f>
        <v>LSGW1750 RMP 24040677</v>
      </c>
      <c r="U417" s="2" t="str">
        <f>IFERROR(__xludf.DUMMYFUNCTION("""COMPUTED_VALUE"""),"WDP40 RMP 24040454")</f>
        <v>WDP40 RMP 24040454</v>
      </c>
      <c r="V417" s="2"/>
      <c r="W417" s="2" t="str">
        <f>IFERROR(__xludf.DUMMYFUNCTION("""COMPUTED_VALUE"""),"VL103D")</f>
        <v>VL103D</v>
      </c>
      <c r="X417" s="2">
        <f>IFERROR(__xludf.DUMMYFUNCTION("""COMPUTED_VALUE"""),8.69066060241099E14)</f>
        <v>869066060241099</v>
      </c>
      <c r="Y417" s="2">
        <f>IFERROR(__xludf.DUMMYFUNCTION("""COMPUTED_VALUE"""),9.084631591E9)</f>
        <v>9084631591</v>
      </c>
      <c r="Z417" s="2"/>
      <c r="AA417" s="2"/>
      <c r="AB417" s="2"/>
    </row>
    <row r="418">
      <c r="A418" s="2" t="str">
        <f>IFERROR(__xludf.DUMMYFUNCTION("""COMPUTED_VALUE"""),"TT00416")</f>
        <v>TT00416</v>
      </c>
      <c r="B418" s="2" t="str">
        <f>IFERROR(__xludf.DUMMYFUNCTION("""COMPUTED_VALUE"""),"For Completion")</f>
        <v>For Completion</v>
      </c>
      <c r="C418" s="2"/>
      <c r="D418" s="2" t="str">
        <f>IFERROR(__xludf.DUMMYFUNCTION("""COMPUTED_VALUE"""),"Oyungan Tacas Irrigators Association")</f>
        <v>Oyungan Tacas Irrigators Association</v>
      </c>
      <c r="E418" s="2" t="str">
        <f>IFERROR(__xludf.DUMMYFUNCTION("""COMPUTED_VALUE"""),"Oyungan, Miagao, ILOILO")</f>
        <v>Oyungan, Miagao, ILOILO</v>
      </c>
      <c r="F418" s="2" t="str">
        <f>IFERROR(__xludf.DUMMYFUNCTION("""COMPUTED_VALUE"""),"Jose N. Mollenido")</f>
        <v>Jose N. Mollenido</v>
      </c>
      <c r="G418" s="2">
        <f>IFERROR(__xludf.DUMMYFUNCTION("""COMPUTED_VALUE"""),9.093537879E9)</f>
        <v>9093537879</v>
      </c>
      <c r="H418" s="2"/>
      <c r="I418" s="2"/>
      <c r="J418" s="2"/>
      <c r="K418" s="2" t="str">
        <f>IFERROR(__xludf.DUMMYFUNCTION("""COMPUTED_VALUE"""),"RCEF 23-09-21 Rebidding")</f>
        <v>RCEF 23-09-21 Rebidding</v>
      </c>
      <c r="L418" s="2">
        <f>IFERROR(__xludf.DUMMYFUNCTION("""COMPUTED_VALUE"""),4.0)</f>
        <v>4</v>
      </c>
      <c r="M418" s="2"/>
      <c r="N418" s="74">
        <f>IFERROR(__xludf.DUMMYFUNCTION("""COMPUTED_VALUE"""),45398.0)</f>
        <v>45398</v>
      </c>
      <c r="O418" s="2"/>
      <c r="P418" s="2">
        <f>IFERROR(__xludf.DUMMYFUNCTION("""COMPUTED_VALUE"""),19076.0)</f>
        <v>19076</v>
      </c>
      <c r="Q418" s="2" t="str">
        <f>IFERROR(__xludf.DUMMYFUNCTION("""COMPUTED_VALUE"""),"KMC5825 ALRFPV0624")</f>
        <v>KMC5825 ALRFPV0624</v>
      </c>
      <c r="R418" s="2" t="str">
        <f>IFERROR(__xludf.DUMMYFUNCTION("""COMPUTED_VALUE"""),"RTS 100523")</f>
        <v>RTS 100523</v>
      </c>
      <c r="S418" s="2" t="str">
        <f>IFERROR(__xludf.DUMMYFUNCTION("""COMPUTED_VALUE"""),"R-SERIES 413 PH")</f>
        <v>R-SERIES 413 PH</v>
      </c>
      <c r="T418" s="2" t="str">
        <f>IFERROR(__xludf.DUMMYFUNCTION("""COMPUTED_VALUE"""),"LSGW1750 RMP 24020508")</f>
        <v>LSGW1750 RMP 24020508</v>
      </c>
      <c r="U418" s="2" t="str">
        <f>IFERROR(__xludf.DUMMYFUNCTION("""COMPUTED_VALUE"""),"WDP40 RMP 24030393")</f>
        <v>WDP40 RMP 24030393</v>
      </c>
      <c r="V418" s="2"/>
      <c r="W418" s="2" t="str">
        <f>IFERROR(__xludf.DUMMYFUNCTION("""COMPUTED_VALUE"""),"VL103D")</f>
        <v>VL103D</v>
      </c>
      <c r="X418" s="2"/>
      <c r="Y418" s="2"/>
      <c r="Z418" s="2"/>
      <c r="AA418" s="2"/>
      <c r="AB418" s="2"/>
    </row>
    <row r="419">
      <c r="A419" s="2" t="str">
        <f>IFERROR(__xludf.DUMMYFUNCTION("""COMPUTED_VALUE"""),"TT00417")</f>
        <v>TT00417</v>
      </c>
      <c r="B419" s="2" t="str">
        <f>IFERROR(__xludf.DUMMYFUNCTION("""COMPUTED_VALUE"""),"For Completion")</f>
        <v>For Completion</v>
      </c>
      <c r="C419" s="2"/>
      <c r="D419" s="2" t="str">
        <f>IFERROR(__xludf.DUMMYFUNCTION("""COMPUTED_VALUE"""),"STTAB IRRIGATORS' ASSOCIATION, INC.")</f>
        <v>STTAB IRRIGATORS' ASSOCIATION, INC.</v>
      </c>
      <c r="E419" s="2" t="str">
        <f>IFERROR(__xludf.DUMMYFUNCTION("""COMPUTED_VALUE"""),"Santa Monica, Oton, ILOILO")</f>
        <v>Santa Monica, Oton, ILOILO</v>
      </c>
      <c r="F419" s="2" t="str">
        <f>IFERROR(__xludf.DUMMYFUNCTION("""COMPUTED_VALUE"""),"Arcenio Salupon")</f>
        <v>Arcenio Salupon</v>
      </c>
      <c r="G419" s="2" t="str">
        <f>IFERROR(__xludf.DUMMYFUNCTION("""COMPUTED_VALUE"""),"0912 813 7331/ 0928 763 8023")</f>
        <v>0912 813 7331/ 0928 763 8023</v>
      </c>
      <c r="H419" s="2"/>
      <c r="I419" s="2"/>
      <c r="J419" s="2"/>
      <c r="K419" s="2" t="str">
        <f>IFERROR(__xludf.DUMMYFUNCTION("""COMPUTED_VALUE"""),"RCEF 23-09-21 Rebidding")</f>
        <v>RCEF 23-09-21 Rebidding</v>
      </c>
      <c r="L419" s="2">
        <f>IFERROR(__xludf.DUMMYFUNCTION("""COMPUTED_VALUE"""),4.0)</f>
        <v>4</v>
      </c>
      <c r="M419" s="2"/>
      <c r="N419" s="74">
        <f>IFERROR(__xludf.DUMMYFUNCTION("""COMPUTED_VALUE"""),45398.0)</f>
        <v>45398</v>
      </c>
      <c r="O419" s="2"/>
      <c r="P419" s="2">
        <f>IFERROR(__xludf.DUMMYFUNCTION("""COMPUTED_VALUE"""),19077.0)</f>
        <v>19077</v>
      </c>
      <c r="Q419" s="2" t="str">
        <f>IFERROR(__xludf.DUMMYFUNCTION("""COMPUTED_VALUE"""),"KMC5825 AHRFPV0317")</f>
        <v>KMC5825 AHRFPV0317</v>
      </c>
      <c r="R419" s="2" t="str">
        <f>IFERROR(__xludf.DUMMYFUNCTION("""COMPUTED_VALUE"""),"RTS 100213")</f>
        <v>RTS 100213</v>
      </c>
      <c r="S419" s="2" t="str">
        <f>IFERROR(__xludf.DUMMYFUNCTION("""COMPUTED_VALUE"""),"R-SERIES 433 PH")</f>
        <v>R-SERIES 433 PH</v>
      </c>
      <c r="T419" s="2" t="str">
        <f>IFERROR(__xludf.DUMMYFUNCTION("""COMPUTED_VALUE"""),"LSGW1750 RMP 24020506")</f>
        <v>LSGW1750 RMP 24020506</v>
      </c>
      <c r="U419" s="2" t="str">
        <f>IFERROR(__xludf.DUMMYFUNCTION("""COMPUTED_VALUE"""),"WDP40 RMP 24030337")</f>
        <v>WDP40 RMP 24030337</v>
      </c>
      <c r="V419" s="2"/>
      <c r="W419" s="2" t="str">
        <f>IFERROR(__xludf.DUMMYFUNCTION("""COMPUTED_VALUE"""),"VL103D")</f>
        <v>VL103D</v>
      </c>
      <c r="X419" s="2"/>
      <c r="Y419" s="2"/>
      <c r="Z419" s="2"/>
      <c r="AA419" s="2"/>
      <c r="AB419" s="2"/>
    </row>
    <row r="420">
      <c r="A420" s="2" t="str">
        <f>IFERROR(__xludf.DUMMYFUNCTION("""COMPUTED_VALUE"""),"TT00418")</f>
        <v>TT00418</v>
      </c>
      <c r="B420" s="2" t="str">
        <f>IFERROR(__xludf.DUMMYFUNCTION("""COMPUTED_VALUE"""),"For Completion")</f>
        <v>For Completion</v>
      </c>
      <c r="C420" s="2"/>
      <c r="D420" s="2" t="str">
        <f>IFERROR(__xludf.DUMMYFUNCTION("""COMPUTED_VALUE"""),"Cordova Sur Farmers Association")</f>
        <v>Cordova Sur Farmers Association</v>
      </c>
      <c r="E420" s="2" t="str">
        <f>IFERROR(__xludf.DUMMYFUNCTION("""COMPUTED_VALUE"""),"Cordova Sur, Tigbauan, ILOILO")</f>
        <v>Cordova Sur, Tigbauan, ILOILO</v>
      </c>
      <c r="F420" s="2" t="str">
        <f>IFERROR(__xludf.DUMMYFUNCTION("""COMPUTED_VALUE"""),"Reynaldo T. Cansancio")</f>
        <v>Reynaldo T. Cansancio</v>
      </c>
      <c r="G420" s="2" t="str">
        <f>IFERROR(__xludf.DUMMYFUNCTION("""COMPUTED_VALUE"""),"0956 661 3869")</f>
        <v>0956 661 3869</v>
      </c>
      <c r="H420" s="2"/>
      <c r="I420" s="2"/>
      <c r="J420" s="2"/>
      <c r="K420" s="2" t="str">
        <f>IFERROR(__xludf.DUMMYFUNCTION("""COMPUTED_VALUE"""),"RCEF 23-09-21 Rebidding")</f>
        <v>RCEF 23-09-21 Rebidding</v>
      </c>
      <c r="L420" s="2">
        <f>IFERROR(__xludf.DUMMYFUNCTION("""COMPUTED_VALUE"""),4.0)</f>
        <v>4</v>
      </c>
      <c r="M420" s="2"/>
      <c r="N420" s="74">
        <f>IFERROR(__xludf.DUMMYFUNCTION("""COMPUTED_VALUE"""),45398.0)</f>
        <v>45398</v>
      </c>
      <c r="O420" s="74">
        <f>IFERROR(__xludf.DUMMYFUNCTION("""COMPUTED_VALUE"""),45426.0)</f>
        <v>45426</v>
      </c>
      <c r="P420" s="2">
        <f>IFERROR(__xludf.DUMMYFUNCTION("""COMPUTED_VALUE"""),19078.0)</f>
        <v>19078</v>
      </c>
      <c r="Q420" s="2" t="str">
        <f>IFERROR(__xludf.DUMMYFUNCTION("""COMPUTED_VALUE"""),"KMC5825 AJRFPV0617")</f>
        <v>KMC5825 AJRFPV0617</v>
      </c>
      <c r="R420" s="2" t="str">
        <f>IFERROR(__xludf.DUMMYFUNCTION("""COMPUTED_VALUE"""),"RTS 100407")</f>
        <v>RTS 100407</v>
      </c>
      <c r="S420" s="2" t="str">
        <f>IFERROR(__xludf.DUMMYFUNCTION("""COMPUTED_VALUE"""),"R-SERIES 444 PH")</f>
        <v>R-SERIES 444 PH</v>
      </c>
      <c r="T420" s="2" t="str">
        <f>IFERROR(__xludf.DUMMYFUNCTION("""COMPUTED_VALUE"""),"LSGW1750 RMP 24020472")</f>
        <v>LSGW1750 RMP 24020472</v>
      </c>
      <c r="U420" s="2" t="str">
        <f>IFERROR(__xludf.DUMMYFUNCTION("""COMPUTED_VALUE"""),"WDP40 RMP 24030966")</f>
        <v>WDP40 RMP 24030966</v>
      </c>
      <c r="V420" s="2"/>
      <c r="W420" s="2" t="str">
        <f>IFERROR(__xludf.DUMMYFUNCTION("""COMPUTED_VALUE"""),"VL103D")</f>
        <v>VL103D</v>
      </c>
      <c r="X420" s="2"/>
      <c r="Y420" s="2"/>
      <c r="Z420" s="2"/>
      <c r="AA420" s="2"/>
      <c r="AB420" s="2"/>
    </row>
    <row r="421">
      <c r="A421" s="2" t="str">
        <f>IFERROR(__xludf.DUMMYFUNCTION("""COMPUTED_VALUE"""),"TT00419")</f>
        <v>TT00419</v>
      </c>
      <c r="B421" s="2" t="str">
        <f>IFERROR(__xludf.DUMMYFUNCTION("""COMPUTED_VALUE"""),"For Completion")</f>
        <v>For Completion</v>
      </c>
      <c r="C421" s="2"/>
      <c r="D421" s="2" t="str">
        <f>IFERROR(__xludf.DUMMYFUNCTION("""COMPUTED_VALUE"""),"Dalid Farmers Association")</f>
        <v>Dalid Farmers Association</v>
      </c>
      <c r="E421" s="2" t="str">
        <f>IFERROR(__xludf.DUMMYFUNCTION("""COMPUTED_VALUE"""),"Dalid, Alimodian, ILOILO")</f>
        <v>Dalid, Alimodian, ILOILO</v>
      </c>
      <c r="F421" s="2" t="str">
        <f>IFERROR(__xludf.DUMMYFUNCTION("""COMPUTED_VALUE"""),"Nida Andicoy")</f>
        <v>Nida Andicoy</v>
      </c>
      <c r="G421" s="2">
        <f>IFERROR(__xludf.DUMMYFUNCTION("""COMPUTED_VALUE"""),9.056654724E9)</f>
        <v>9056654724</v>
      </c>
      <c r="H421" s="2"/>
      <c r="I421" s="2"/>
      <c r="J421" s="2"/>
      <c r="K421" s="2" t="str">
        <f>IFERROR(__xludf.DUMMYFUNCTION("""COMPUTED_VALUE"""),"RCEF 23-09-21 Rebidding")</f>
        <v>RCEF 23-09-21 Rebidding</v>
      </c>
      <c r="L421" s="2">
        <f>IFERROR(__xludf.DUMMYFUNCTION("""COMPUTED_VALUE"""),4.0)</f>
        <v>4</v>
      </c>
      <c r="M421" s="2"/>
      <c r="N421" s="74">
        <f>IFERROR(__xludf.DUMMYFUNCTION("""COMPUTED_VALUE"""),45398.0)</f>
        <v>45398</v>
      </c>
      <c r="O421" s="74">
        <f>IFERROR(__xludf.DUMMYFUNCTION("""COMPUTED_VALUE"""),45426.0)</f>
        <v>45426</v>
      </c>
      <c r="P421" s="2">
        <f>IFERROR(__xludf.DUMMYFUNCTION("""COMPUTED_VALUE"""),19079.0)</f>
        <v>19079</v>
      </c>
      <c r="Q421" s="2" t="str">
        <f>IFERROR(__xludf.DUMMYFUNCTION("""COMPUTED_VALUE"""),"KMC5825 AERFPV0593")</f>
        <v>KMC5825 AERFPV0593</v>
      </c>
      <c r="R421" s="2" t="str">
        <f>IFERROR(__xludf.DUMMYFUNCTION("""COMPUTED_VALUE"""),"RTS 100503")</f>
        <v>RTS 100503</v>
      </c>
      <c r="S421" s="2" t="str">
        <f>IFERROR(__xludf.DUMMYFUNCTION("""COMPUTED_VALUE"""),"R-SERIES 447 PH")</f>
        <v>R-SERIES 447 PH</v>
      </c>
      <c r="T421" s="2" t="str">
        <f>IFERROR(__xludf.DUMMYFUNCTION("""COMPUTED_VALUE"""),"LSGW1750 RMP 24020464")</f>
        <v>LSGW1750 RMP 24020464</v>
      </c>
      <c r="U421" s="2" t="str">
        <f>IFERROR(__xludf.DUMMYFUNCTION("""COMPUTED_VALUE"""),"WDP40 RMP 24030343")</f>
        <v>WDP40 RMP 24030343</v>
      </c>
      <c r="V421" s="2"/>
      <c r="W421" s="2" t="str">
        <f>IFERROR(__xludf.DUMMYFUNCTION("""COMPUTED_VALUE"""),"VL103D")</f>
        <v>VL103D</v>
      </c>
      <c r="X421" s="2"/>
      <c r="Y421" s="2"/>
      <c r="Z421" s="2"/>
      <c r="AA421" s="2"/>
      <c r="AB421" s="2"/>
    </row>
    <row r="422">
      <c r="A422" s="2" t="str">
        <f>IFERROR(__xludf.DUMMYFUNCTION("""COMPUTED_VALUE"""),"TT00420")</f>
        <v>TT00420</v>
      </c>
      <c r="B422" s="2" t="str">
        <f>IFERROR(__xludf.DUMMYFUNCTION("""COMPUTED_VALUE"""),"For Completion")</f>
        <v>For Completion</v>
      </c>
      <c r="C422" s="2"/>
      <c r="D422" s="2" t="str">
        <f>IFERROR(__xludf.DUMMYFUNCTION("""COMPUTED_VALUE"""),"Buntatala Farmers &amp; Farm Worker Farmers Association")</f>
        <v>Buntatala Farmers &amp; Farm Worker Farmers Association</v>
      </c>
      <c r="E422" s="2" t="str">
        <f>IFERROR(__xludf.DUMMYFUNCTION("""COMPUTED_VALUE"""),"Buntatala, Leganes, ILOILO")</f>
        <v>Buntatala, Leganes, ILOILO</v>
      </c>
      <c r="F422" s="2" t="str">
        <f>IFERROR(__xludf.DUMMYFUNCTION("""COMPUTED_VALUE"""),"Nilo G. Jontarciego")</f>
        <v>Nilo G. Jontarciego</v>
      </c>
      <c r="G422" s="2" t="str">
        <f>IFERROR(__xludf.DUMMYFUNCTION("""COMPUTED_VALUE"""),"0929 102 9216")</f>
        <v>0929 102 9216</v>
      </c>
      <c r="H422" s="2"/>
      <c r="I422" s="2"/>
      <c r="J422" s="2"/>
      <c r="K422" s="2" t="str">
        <f>IFERROR(__xludf.DUMMYFUNCTION("""COMPUTED_VALUE"""),"RCEF 23-09-21 Rebidding")</f>
        <v>RCEF 23-09-21 Rebidding</v>
      </c>
      <c r="L422" s="2">
        <f>IFERROR(__xludf.DUMMYFUNCTION("""COMPUTED_VALUE"""),4.0)</f>
        <v>4</v>
      </c>
      <c r="M422" s="2"/>
      <c r="N422" s="74">
        <f>IFERROR(__xludf.DUMMYFUNCTION("""COMPUTED_VALUE"""),45398.0)</f>
        <v>45398</v>
      </c>
      <c r="O422" s="2"/>
      <c r="P422" s="2">
        <f>IFERROR(__xludf.DUMMYFUNCTION("""COMPUTED_VALUE"""),19080.0)</f>
        <v>19080</v>
      </c>
      <c r="Q422" s="2" t="str">
        <f>IFERROR(__xludf.DUMMYFUNCTION("""COMPUTED_VALUE"""),"KMC5825 AKRFPV0535")</f>
        <v>KMC5825 AKRFPV0535</v>
      </c>
      <c r="R422" s="2" t="str">
        <f>IFERROR(__xludf.DUMMYFUNCTION("""COMPUTED_VALUE"""),"RTS 100379")</f>
        <v>RTS 100379</v>
      </c>
      <c r="S422" s="2" t="str">
        <f>IFERROR(__xludf.DUMMYFUNCTION("""COMPUTED_VALUE"""),"R-SERIES 448 PH")</f>
        <v>R-SERIES 448 PH</v>
      </c>
      <c r="T422" s="2" t="str">
        <f>IFERROR(__xludf.DUMMYFUNCTION("""COMPUTED_VALUE"""),"LSGW1750 RMP 24020512")</f>
        <v>LSGW1750 RMP 24020512</v>
      </c>
      <c r="U422" s="2" t="str">
        <f>IFERROR(__xludf.DUMMYFUNCTION("""COMPUTED_VALUE"""),"WDP40 RMP 24030346")</f>
        <v>WDP40 RMP 24030346</v>
      </c>
      <c r="V422" s="2"/>
      <c r="W422" s="2" t="str">
        <f>IFERROR(__xludf.DUMMYFUNCTION("""COMPUTED_VALUE"""),"VL103D")</f>
        <v>VL103D</v>
      </c>
      <c r="X422" s="2"/>
      <c r="Y422" s="2"/>
      <c r="Z422" s="2"/>
      <c r="AA422" s="2"/>
      <c r="AB422" s="2"/>
    </row>
    <row r="423">
      <c r="A423" s="2" t="str">
        <f>IFERROR(__xludf.DUMMYFUNCTION("""COMPUTED_VALUE"""),"TT00421")</f>
        <v>TT00421</v>
      </c>
      <c r="B423" s="2" t="str">
        <f>IFERROR(__xludf.DUMMYFUNCTION("""COMPUTED_VALUE"""),"For Completion")</f>
        <v>For Completion</v>
      </c>
      <c r="C423" s="2"/>
      <c r="D423" s="2" t="str">
        <f>IFERROR(__xludf.DUMMYFUNCTION("""COMPUTED_VALUE"""),"Cabilauan Farmers Association")</f>
        <v>Cabilauan Farmers Association</v>
      </c>
      <c r="E423" s="2" t="str">
        <f>IFERROR(__xludf.DUMMYFUNCTION("""COMPUTED_VALUE"""),"Cabilauan, New Lucena, ILOILO")</f>
        <v>Cabilauan, New Lucena, ILOILO</v>
      </c>
      <c r="F423" s="2" t="str">
        <f>IFERROR(__xludf.DUMMYFUNCTION("""COMPUTED_VALUE"""),"Cecilio E. Niego")</f>
        <v>Cecilio E. Niego</v>
      </c>
      <c r="G423" s="2" t="str">
        <f>IFERROR(__xludf.DUMMYFUNCTION("""COMPUTED_VALUE"""),"0948 350 5906/ 0966 163 9562")</f>
        <v>0948 350 5906/ 0966 163 9562</v>
      </c>
      <c r="H423" s="2"/>
      <c r="I423" s="2"/>
      <c r="J423" s="2"/>
      <c r="K423" s="2" t="str">
        <f>IFERROR(__xludf.DUMMYFUNCTION("""COMPUTED_VALUE"""),"RCEF 23-09-21 Rebidding")</f>
        <v>RCEF 23-09-21 Rebidding</v>
      </c>
      <c r="L423" s="2">
        <f>IFERROR(__xludf.DUMMYFUNCTION("""COMPUTED_VALUE"""),4.0)</f>
        <v>4</v>
      </c>
      <c r="M423" s="2"/>
      <c r="N423" s="74">
        <f>IFERROR(__xludf.DUMMYFUNCTION("""COMPUTED_VALUE"""),45398.0)</f>
        <v>45398</v>
      </c>
      <c r="O423" s="2"/>
      <c r="P423" s="2">
        <f>IFERROR(__xludf.DUMMYFUNCTION("""COMPUTED_VALUE"""),19081.0)</f>
        <v>19081</v>
      </c>
      <c r="Q423" s="2" t="str">
        <f>IFERROR(__xludf.DUMMYFUNCTION("""COMPUTED_VALUE"""),"KMC5825 ALRFPV0610")</f>
        <v>KMC5825 ALRFPV0610</v>
      </c>
      <c r="R423" s="2" t="str">
        <f>IFERROR(__xludf.DUMMYFUNCTION("""COMPUTED_VALUE"""),"RTS 100587")</f>
        <v>RTS 100587</v>
      </c>
      <c r="S423" s="2" t="str">
        <f>IFERROR(__xludf.DUMMYFUNCTION("""COMPUTED_VALUE"""),"R-SERIES 421 PH")</f>
        <v>R-SERIES 421 PH</v>
      </c>
      <c r="T423" s="2" t="str">
        <f>IFERROR(__xludf.DUMMYFUNCTION("""COMPUTED_VALUE"""),"LSGW1750 RMP 24020467")</f>
        <v>LSGW1750 RMP 24020467</v>
      </c>
      <c r="U423" s="2" t="str">
        <f>IFERROR(__xludf.DUMMYFUNCTION("""COMPUTED_VALUE"""),"WDP40 RMP 24030377")</f>
        <v>WDP40 RMP 24030377</v>
      </c>
      <c r="V423" s="2"/>
      <c r="W423" s="2" t="str">
        <f>IFERROR(__xludf.DUMMYFUNCTION("""COMPUTED_VALUE"""),"VL103D")</f>
        <v>VL103D</v>
      </c>
      <c r="X423" s="2">
        <f>IFERROR(__xludf.DUMMYFUNCTION("""COMPUTED_VALUE"""),8.69066060241883E14)</f>
        <v>869066060241883</v>
      </c>
      <c r="Y423" s="2">
        <f>IFERROR(__xludf.DUMMYFUNCTION("""COMPUTED_VALUE"""),9.086528375E9)</f>
        <v>9086528375</v>
      </c>
      <c r="Z423" s="2"/>
      <c r="AA423" s="2"/>
      <c r="AB423" s="2"/>
    </row>
    <row r="424">
      <c r="A424" s="2" t="str">
        <f>IFERROR(__xludf.DUMMYFUNCTION("""COMPUTED_VALUE"""),"TT00422")</f>
        <v>TT00422</v>
      </c>
      <c r="B424" s="2" t="str">
        <f>IFERROR(__xludf.DUMMYFUNCTION("""COMPUTED_VALUE"""),"For Completion")</f>
        <v>For Completion</v>
      </c>
      <c r="C424" s="2"/>
      <c r="D424" s="2" t="str">
        <f>IFERROR(__xludf.DUMMYFUNCTION("""COMPUTED_VALUE"""),"San Miguel Farmer's Agriculture Cooperative")</f>
        <v>San Miguel Farmer's Agriculture Cooperative</v>
      </c>
      <c r="E424" s="2" t="str">
        <f>IFERROR(__xludf.DUMMYFUNCTION("""COMPUTED_VALUE"""),"Bgy. 8 Pob. (Montano - San Roque), San Miguel, ILOILO")</f>
        <v>Bgy. 8 Pob. (Montano - San Roque), San Miguel, ILOILO</v>
      </c>
      <c r="F424" s="2" t="str">
        <f>IFERROR(__xludf.DUMMYFUNCTION("""COMPUTED_VALUE"""),"Jose Pepe Caoyonan")</f>
        <v>Jose Pepe Caoyonan</v>
      </c>
      <c r="G424" s="2" t="str">
        <f>IFERROR(__xludf.DUMMYFUNCTION("""COMPUTED_VALUE"""),"9212472033/ 09077139009")</f>
        <v>9212472033/ 09077139009</v>
      </c>
      <c r="H424" s="2"/>
      <c r="I424" s="2"/>
      <c r="J424" s="2"/>
      <c r="K424" s="2" t="str">
        <f>IFERROR(__xludf.DUMMYFUNCTION("""COMPUTED_VALUE"""),"RCEF 23-09-21 Rebidding")</f>
        <v>RCEF 23-09-21 Rebidding</v>
      </c>
      <c r="L424" s="2">
        <f>IFERROR(__xludf.DUMMYFUNCTION("""COMPUTED_VALUE"""),4.0)</f>
        <v>4</v>
      </c>
      <c r="M424" s="2"/>
      <c r="N424" s="74">
        <f>IFERROR(__xludf.DUMMYFUNCTION("""COMPUTED_VALUE"""),45398.0)</f>
        <v>45398</v>
      </c>
      <c r="O424" s="74">
        <f>IFERROR(__xludf.DUMMYFUNCTION("""COMPUTED_VALUE"""),45426.0)</f>
        <v>45426</v>
      </c>
      <c r="P424" s="2">
        <f>IFERROR(__xludf.DUMMYFUNCTION("""COMPUTED_VALUE"""),19082.0)</f>
        <v>19082</v>
      </c>
      <c r="Q424" s="2" t="str">
        <f>IFERROR(__xludf.DUMMYFUNCTION("""COMPUTED_VALUE"""),"KMC5825 APRFPV0548")</f>
        <v>KMC5825 APRFPV0548</v>
      </c>
      <c r="R424" s="2" t="str">
        <f>IFERROR(__xludf.DUMMYFUNCTION("""COMPUTED_VALUE"""),"RTS 100455")</f>
        <v>RTS 100455</v>
      </c>
      <c r="S424" s="2" t="str">
        <f>IFERROR(__xludf.DUMMYFUNCTION("""COMPUTED_VALUE"""),"R-SERIES 428 PH")</f>
        <v>R-SERIES 428 PH</v>
      </c>
      <c r="T424" s="2" t="str">
        <f>IFERROR(__xludf.DUMMYFUNCTION("""COMPUTED_VALUE"""),"LSGW1750 RMP 24020473")</f>
        <v>LSGW1750 RMP 24020473</v>
      </c>
      <c r="U424" s="2" t="str">
        <f>IFERROR(__xludf.DUMMYFUNCTION("""COMPUTED_VALUE"""),"WDP40 RMP 24030391")</f>
        <v>WDP40 RMP 24030391</v>
      </c>
      <c r="V424" s="2"/>
      <c r="W424" s="2" t="str">
        <f>IFERROR(__xludf.DUMMYFUNCTION("""COMPUTED_VALUE"""),"VL103D")</f>
        <v>VL103D</v>
      </c>
      <c r="X424" s="2"/>
      <c r="Y424" s="2"/>
      <c r="Z424" s="2"/>
      <c r="AA424" s="2"/>
      <c r="AB424" s="2"/>
    </row>
    <row r="425">
      <c r="A425" s="2" t="str">
        <f>IFERROR(__xludf.DUMMYFUNCTION("""COMPUTED_VALUE"""),"TT00423")</f>
        <v>TT00423</v>
      </c>
      <c r="B425" s="2" t="str">
        <f>IFERROR(__xludf.DUMMYFUNCTION("""COMPUTED_VALUE"""),"For Completion")</f>
        <v>For Completion</v>
      </c>
      <c r="C425" s="2"/>
      <c r="D425" s="2" t="str">
        <f>IFERROR(__xludf.DUMMYFUNCTION("""COMPUTED_VALUE"""),"Balibagan Farmers Association")</f>
        <v>Balibagan Farmers Association</v>
      </c>
      <c r="E425" s="2" t="str">
        <f>IFERROR(__xludf.DUMMYFUNCTION("""COMPUTED_VALUE"""),"Balibagan Este, Santa Barbara, ILOILO")</f>
        <v>Balibagan Este, Santa Barbara, ILOILO</v>
      </c>
      <c r="F425" s="2" t="str">
        <f>IFERROR(__xludf.DUMMYFUNCTION("""COMPUTED_VALUE"""),"Flavio S. Somejo")</f>
        <v>Flavio S. Somejo</v>
      </c>
      <c r="G425" s="2">
        <f>IFERROR(__xludf.DUMMYFUNCTION("""COMPUTED_VALUE"""),9.073947899E9)</f>
        <v>9073947899</v>
      </c>
      <c r="H425" s="2"/>
      <c r="I425" s="2"/>
      <c r="J425" s="2"/>
      <c r="K425" s="2" t="str">
        <f>IFERROR(__xludf.DUMMYFUNCTION("""COMPUTED_VALUE"""),"RCEF 23-09-21 Rebidding")</f>
        <v>RCEF 23-09-21 Rebidding</v>
      </c>
      <c r="L425" s="2">
        <f>IFERROR(__xludf.DUMMYFUNCTION("""COMPUTED_VALUE"""),4.0)</f>
        <v>4</v>
      </c>
      <c r="M425" s="2"/>
      <c r="N425" s="74">
        <f>IFERROR(__xludf.DUMMYFUNCTION("""COMPUTED_VALUE"""),45398.0)</f>
        <v>45398</v>
      </c>
      <c r="O425" s="2"/>
      <c r="P425" s="2">
        <f>IFERROR(__xludf.DUMMYFUNCTION("""COMPUTED_VALUE"""),19083.0)</f>
        <v>19083</v>
      </c>
      <c r="Q425" s="2" t="str">
        <f>IFERROR(__xludf.DUMMYFUNCTION("""COMPUTED_VALUE"""),"KMC5825 ALRFPV0297")</f>
        <v>KMC5825 ALRFPV0297</v>
      </c>
      <c r="R425" s="2" t="str">
        <f>IFERROR(__xludf.DUMMYFUNCTION("""COMPUTED_VALUE"""),"RTS 100105")</f>
        <v>RTS 100105</v>
      </c>
      <c r="S425" s="2" t="str">
        <f>IFERROR(__xludf.DUMMYFUNCTION("""COMPUTED_VALUE"""),"WR-SERIES 725 PH")</f>
        <v>WR-SERIES 725 PH</v>
      </c>
      <c r="T425" s="2" t="str">
        <f>IFERROR(__xludf.DUMMYFUNCTION("""COMPUTED_VALUE"""),"LSGW1750 RMP 24020501")</f>
        <v>LSGW1750 RMP 24020501</v>
      </c>
      <c r="U425" s="2" t="str">
        <f>IFERROR(__xludf.DUMMYFUNCTION("""COMPUTED_VALUE"""),"WDP40 RMP 24030394")</f>
        <v>WDP40 RMP 24030394</v>
      </c>
      <c r="V425" s="2"/>
      <c r="W425" s="2" t="str">
        <f>IFERROR(__xludf.DUMMYFUNCTION("""COMPUTED_VALUE"""),"VL103D")</f>
        <v>VL103D</v>
      </c>
      <c r="X425" s="2"/>
      <c r="Y425" s="2"/>
      <c r="Z425" s="2"/>
      <c r="AA425" s="2"/>
      <c r="AB425" s="2"/>
    </row>
    <row r="426">
      <c r="A426" s="2" t="str">
        <f>IFERROR(__xludf.DUMMYFUNCTION("""COMPUTED_VALUE"""),"TT00424")</f>
        <v>TT00424</v>
      </c>
      <c r="B426" s="2" t="str">
        <f>IFERROR(__xludf.DUMMYFUNCTION("""COMPUTED_VALUE"""),"For Completion")</f>
        <v>For Completion</v>
      </c>
      <c r="C426" s="2"/>
      <c r="D426" s="2" t="str">
        <f>IFERROR(__xludf.DUMMYFUNCTION("""COMPUTED_VALUE"""),"Inagdangan Centro Farmers Association (ICFA)")</f>
        <v>Inagdangan Centro Farmers Association (ICFA)</v>
      </c>
      <c r="E426" s="2" t="str">
        <f>IFERROR(__xludf.DUMMYFUNCTION("""COMPUTED_VALUE"""),"Inagdangan Centro, Zarraga, ILOILO")</f>
        <v>Inagdangan Centro, Zarraga, ILOILO</v>
      </c>
      <c r="F426" s="2" t="str">
        <f>IFERROR(__xludf.DUMMYFUNCTION("""COMPUTED_VALUE"""),"Edwin S. Guino-o")</f>
        <v>Edwin S. Guino-o</v>
      </c>
      <c r="G426" s="2">
        <f>IFERROR(__xludf.DUMMYFUNCTION("""COMPUTED_VALUE"""),9.273584635E9)</f>
        <v>9273584635</v>
      </c>
      <c r="H426" s="2"/>
      <c r="I426" s="2"/>
      <c r="J426" s="2"/>
      <c r="K426" s="2" t="str">
        <f>IFERROR(__xludf.DUMMYFUNCTION("""COMPUTED_VALUE"""),"RCEF 23-09-21 Rebidding")</f>
        <v>RCEF 23-09-21 Rebidding</v>
      </c>
      <c r="L426" s="2">
        <f>IFERROR(__xludf.DUMMYFUNCTION("""COMPUTED_VALUE"""),4.0)</f>
        <v>4</v>
      </c>
      <c r="M426" s="2"/>
      <c r="N426" s="74">
        <f>IFERROR(__xludf.DUMMYFUNCTION("""COMPUTED_VALUE"""),45398.0)</f>
        <v>45398</v>
      </c>
      <c r="O426" s="2"/>
      <c r="P426" s="2">
        <f>IFERROR(__xludf.DUMMYFUNCTION("""COMPUTED_VALUE"""),19084.0)</f>
        <v>19084</v>
      </c>
      <c r="Q426" s="2" t="str">
        <f>IFERROR(__xludf.DUMMYFUNCTION("""COMPUTED_VALUE"""),"KMC5825 AHRFPV0351")</f>
        <v>KMC5825 AHRFPV0351</v>
      </c>
      <c r="R426" s="2" t="str">
        <f>IFERROR(__xludf.DUMMYFUNCTION("""COMPUTED_VALUE"""),"RTS 100235")</f>
        <v>RTS 100235</v>
      </c>
      <c r="S426" s="2" t="str">
        <f>IFERROR(__xludf.DUMMYFUNCTION("""COMPUTED_VALUE"""),"R-SERIES 427 PH")</f>
        <v>R-SERIES 427 PH</v>
      </c>
      <c r="T426" s="2" t="str">
        <f>IFERROR(__xludf.DUMMYFUNCTION("""COMPUTED_VALUE"""),"LSGW1750 RMP 24020514")</f>
        <v>LSGW1750 RMP 24020514</v>
      </c>
      <c r="U426" s="2" t="str">
        <f>IFERROR(__xludf.DUMMYFUNCTION("""COMPUTED_VALUE"""),"WDP40 RMP 24030390")</f>
        <v>WDP40 RMP 24030390</v>
      </c>
      <c r="V426" s="2"/>
      <c r="W426" s="2" t="str">
        <f>IFERROR(__xludf.DUMMYFUNCTION("""COMPUTED_VALUE"""),"VL103D")</f>
        <v>VL103D</v>
      </c>
      <c r="X426" s="2"/>
      <c r="Y426" s="2"/>
      <c r="Z426" s="2"/>
      <c r="AA426" s="2"/>
      <c r="AB426" s="2"/>
    </row>
    <row r="427">
      <c r="A427" s="2" t="str">
        <f>IFERROR(__xludf.DUMMYFUNCTION("""COMPUTED_VALUE"""),"TT00425")</f>
        <v>TT00425</v>
      </c>
      <c r="B427" s="2" t="str">
        <f>IFERROR(__xludf.DUMMYFUNCTION("""COMPUTED_VALUE"""),"For Completion")</f>
        <v>For Completion</v>
      </c>
      <c r="C427" s="2"/>
      <c r="D427" s="2" t="str">
        <f>IFERROR(__xludf.DUMMYFUNCTION("""COMPUTED_VALUE"""),"Tina Integrated Farmers Association")</f>
        <v>Tina Integrated Farmers Association</v>
      </c>
      <c r="E427" s="2" t="str">
        <f>IFERROR(__xludf.DUMMYFUNCTION("""COMPUTED_VALUE"""),"Tina, Badiangan, ILOILO")</f>
        <v>Tina, Badiangan, ILOILO</v>
      </c>
      <c r="F427" s="2" t="str">
        <f>IFERROR(__xludf.DUMMYFUNCTION("""COMPUTED_VALUE"""),"Gilbert P. Afinadad")</f>
        <v>Gilbert P. Afinadad</v>
      </c>
      <c r="G427" s="2" t="str">
        <f>IFERROR(__xludf.DUMMYFUNCTION("""COMPUTED_VALUE"""),"0909 528 5702")</f>
        <v>0909 528 5702</v>
      </c>
      <c r="H427" s="2"/>
      <c r="I427" s="2"/>
      <c r="J427" s="2"/>
      <c r="K427" s="2" t="str">
        <f>IFERROR(__xludf.DUMMYFUNCTION("""COMPUTED_VALUE"""),"RCEF 23-09-21 Rebidding")</f>
        <v>RCEF 23-09-21 Rebidding</v>
      </c>
      <c r="L427" s="2">
        <f>IFERROR(__xludf.DUMMYFUNCTION("""COMPUTED_VALUE"""),4.0)</f>
        <v>4</v>
      </c>
      <c r="M427" s="2"/>
      <c r="N427" s="74">
        <f>IFERROR(__xludf.DUMMYFUNCTION("""COMPUTED_VALUE"""),45398.0)</f>
        <v>45398</v>
      </c>
      <c r="O427" s="74">
        <f>IFERROR(__xludf.DUMMYFUNCTION("""COMPUTED_VALUE"""),45426.0)</f>
        <v>45426</v>
      </c>
      <c r="P427" s="2">
        <f>IFERROR(__xludf.DUMMYFUNCTION("""COMPUTED_VALUE"""),19085.0)</f>
        <v>19085</v>
      </c>
      <c r="Q427" s="2" t="str">
        <f>IFERROR(__xludf.DUMMYFUNCTION("""COMPUTED_VALUE"""),"KMC5825 ATRFPV0547")</f>
        <v>KMC5825 ATRFPV0547</v>
      </c>
      <c r="R427" s="2" t="str">
        <f>IFERROR(__xludf.DUMMYFUNCTION("""COMPUTED_VALUE"""),"RTS 100458")</f>
        <v>RTS 100458</v>
      </c>
      <c r="S427" s="2" t="str">
        <f>IFERROR(__xludf.DUMMYFUNCTION("""COMPUTED_VALUE"""),"R-SERIES 380 PH")</f>
        <v>R-SERIES 380 PH</v>
      </c>
      <c r="T427" s="2" t="str">
        <f>IFERROR(__xludf.DUMMYFUNCTION("""COMPUTED_VALUE"""),"LSGW1750 RMP 24020500")</f>
        <v>LSGW1750 RMP 24020500</v>
      </c>
      <c r="U427" s="2" t="str">
        <f>IFERROR(__xludf.DUMMYFUNCTION("""COMPUTED_VALUE"""),"WDP40 RMP 24030380")</f>
        <v>WDP40 RMP 24030380</v>
      </c>
      <c r="V427" s="2"/>
      <c r="W427" s="2" t="str">
        <f>IFERROR(__xludf.DUMMYFUNCTION("""COMPUTED_VALUE"""),"VL103D")</f>
        <v>VL103D</v>
      </c>
      <c r="X427" s="2"/>
      <c r="Y427" s="2"/>
      <c r="Z427" s="2"/>
      <c r="AA427" s="2"/>
      <c r="AB427" s="2"/>
    </row>
    <row r="428">
      <c r="A428" s="2" t="str">
        <f>IFERROR(__xludf.DUMMYFUNCTION("""COMPUTED_VALUE"""),"TT00426")</f>
        <v>TT00426</v>
      </c>
      <c r="B428" s="2" t="str">
        <f>IFERROR(__xludf.DUMMYFUNCTION("""COMPUTED_VALUE"""),"For Completion")</f>
        <v>For Completion</v>
      </c>
      <c r="C428" s="2"/>
      <c r="D428" s="2" t="str">
        <f>IFERROR(__xludf.DUMMYFUNCTION("""COMPUTED_VALUE"""),"Cubay Evangelical Farmers Association")</f>
        <v>Cubay Evangelical Farmers Association</v>
      </c>
      <c r="E428" s="2" t="str">
        <f>IFERROR(__xludf.DUMMYFUNCTION("""COMPUTED_VALUE"""),"Poblacion, Bingawan, ILOILO")</f>
        <v>Poblacion, Bingawan, ILOILO</v>
      </c>
      <c r="F428" s="2" t="str">
        <f>IFERROR(__xludf.DUMMYFUNCTION("""COMPUTED_VALUE"""),"Lemuel G. Magnifico")</f>
        <v>Lemuel G. Magnifico</v>
      </c>
      <c r="G428" s="2" t="str">
        <f>IFERROR(__xludf.DUMMYFUNCTION("""COMPUTED_VALUE"""),"0918 760 2724/0905 418 9162")</f>
        <v>0918 760 2724/0905 418 9162</v>
      </c>
      <c r="H428" s="2"/>
      <c r="I428" s="2"/>
      <c r="J428" s="2"/>
      <c r="K428" s="2" t="str">
        <f>IFERROR(__xludf.DUMMYFUNCTION("""COMPUTED_VALUE"""),"RCEF 23-09-21 Rebidding")</f>
        <v>RCEF 23-09-21 Rebidding</v>
      </c>
      <c r="L428" s="2">
        <f>IFERROR(__xludf.DUMMYFUNCTION("""COMPUTED_VALUE"""),4.0)</f>
        <v>4</v>
      </c>
      <c r="M428" s="2"/>
      <c r="N428" s="74">
        <f>IFERROR(__xludf.DUMMYFUNCTION("""COMPUTED_VALUE"""),45398.0)</f>
        <v>45398</v>
      </c>
      <c r="O428" s="2"/>
      <c r="P428" s="2">
        <f>IFERROR(__xludf.DUMMYFUNCTION("""COMPUTED_VALUE"""),19086.0)</f>
        <v>19086</v>
      </c>
      <c r="Q428" s="2" t="str">
        <f>IFERROR(__xludf.DUMMYFUNCTION("""COMPUTED_VALUE"""),"KMC5825 ACRFPV0580")</f>
        <v>KMC5825 ACRFPV0580</v>
      </c>
      <c r="R428" s="2" t="str">
        <f>IFERROR(__xludf.DUMMYFUNCTION("""COMPUTED_VALUE"""),"RTS 100496")</f>
        <v>RTS 100496</v>
      </c>
      <c r="S428" s="2" t="str">
        <f>IFERROR(__xludf.DUMMYFUNCTION("""COMPUTED_VALUE"""),"R-SERIES 443 PH")</f>
        <v>R-SERIES 443 PH</v>
      </c>
      <c r="T428" s="2" t="str">
        <f>IFERROR(__xludf.DUMMYFUNCTION("""COMPUTED_VALUE"""),"LSGW1750 RMP 24020509")</f>
        <v>LSGW1750 RMP 24020509</v>
      </c>
      <c r="U428" s="2" t="str">
        <f>IFERROR(__xludf.DUMMYFUNCTION("""COMPUTED_VALUE"""),"WDP40 RMP 24030361")</f>
        <v>WDP40 RMP 24030361</v>
      </c>
      <c r="V428" s="2"/>
      <c r="W428" s="2" t="str">
        <f>IFERROR(__xludf.DUMMYFUNCTION("""COMPUTED_VALUE"""),"VL103D")</f>
        <v>VL103D</v>
      </c>
      <c r="X428" s="2"/>
      <c r="Y428" s="2"/>
      <c r="Z428" s="2"/>
      <c r="AA428" s="2"/>
      <c r="AB428" s="2"/>
    </row>
    <row r="429">
      <c r="A429" s="2" t="str">
        <f>IFERROR(__xludf.DUMMYFUNCTION("""COMPUTED_VALUE"""),"TT00427")</f>
        <v>TT00427</v>
      </c>
      <c r="B429" s="2" t="str">
        <f>IFERROR(__xludf.DUMMYFUNCTION("""COMPUTED_VALUE"""),"For Completion")</f>
        <v>For Completion</v>
      </c>
      <c r="C429" s="2"/>
      <c r="D429" s="2" t="str">
        <f>IFERROR(__xludf.DUMMYFUNCTION("""COMPUTED_VALUE"""),"Guintapagin Agrarian Reform Beneficiaries Multi-Purpose Cooperative")</f>
        <v>Guintapagin Agrarian Reform Beneficiaries Multi-Purpose Cooperative</v>
      </c>
      <c r="E429" s="2" t="str">
        <f>IFERROR(__xludf.DUMMYFUNCTION("""COMPUTED_VALUE"""),"Tapacon, Bingawan, ILOILO")</f>
        <v>Tapacon, Bingawan, ILOILO</v>
      </c>
      <c r="F429" s="2" t="str">
        <f>IFERROR(__xludf.DUMMYFUNCTION("""COMPUTED_VALUE"""),"Mamerta P. Pelagio")</f>
        <v>Mamerta P. Pelagio</v>
      </c>
      <c r="G429" s="2">
        <f>IFERROR(__xludf.DUMMYFUNCTION("""COMPUTED_VALUE"""),9.636249645E9)</f>
        <v>9636249645</v>
      </c>
      <c r="H429" s="2"/>
      <c r="I429" s="2"/>
      <c r="J429" s="2"/>
      <c r="K429" s="2" t="str">
        <f>IFERROR(__xludf.DUMMYFUNCTION("""COMPUTED_VALUE"""),"RCEF 23-09-21 Rebidding")</f>
        <v>RCEF 23-09-21 Rebidding</v>
      </c>
      <c r="L429" s="2">
        <f>IFERROR(__xludf.DUMMYFUNCTION("""COMPUTED_VALUE"""),4.0)</f>
        <v>4</v>
      </c>
      <c r="M429" s="2"/>
      <c r="N429" s="74">
        <f>IFERROR(__xludf.DUMMYFUNCTION("""COMPUTED_VALUE"""),45398.0)</f>
        <v>45398</v>
      </c>
      <c r="O429" s="2"/>
      <c r="P429" s="2">
        <f>IFERROR(__xludf.DUMMYFUNCTION("""COMPUTED_VALUE"""),19087.0)</f>
        <v>19087</v>
      </c>
      <c r="Q429" s="2" t="str">
        <f>IFERROR(__xludf.DUMMYFUNCTION("""COMPUTED_VALUE"""),"KMC5825 AERFPV0691")</f>
        <v>KMC5825 AERFPV0691</v>
      </c>
      <c r="R429" s="2" t="str">
        <f>IFERROR(__xludf.DUMMYFUNCTION("""COMPUTED_VALUE"""),"RTS 100 600")</f>
        <v>RTS 100 600</v>
      </c>
      <c r="S429" s="2" t="str">
        <f>IFERROR(__xludf.DUMMYFUNCTION("""COMPUTED_VALUE"""),"R-SERIES 440 PH")</f>
        <v>R-SERIES 440 PH</v>
      </c>
      <c r="T429" s="2" t="str">
        <f>IFERROR(__xludf.DUMMYFUNCTION("""COMPUTED_VALUE"""),"LSGW1750 RMP 24020513")</f>
        <v>LSGW1750 RMP 24020513</v>
      </c>
      <c r="U429" s="2" t="str">
        <f>IFERROR(__xludf.DUMMYFUNCTION("""COMPUTED_VALUE"""),"WDP40 RMP 24030339")</f>
        <v>WDP40 RMP 24030339</v>
      </c>
      <c r="V429" s="2"/>
      <c r="W429" s="2" t="str">
        <f>IFERROR(__xludf.DUMMYFUNCTION("""COMPUTED_VALUE"""),"VL103D")</f>
        <v>VL103D</v>
      </c>
      <c r="X429" s="2"/>
      <c r="Y429" s="2"/>
      <c r="Z429" s="2"/>
      <c r="AA429" s="2"/>
      <c r="AB429" s="2"/>
    </row>
    <row r="430">
      <c r="A430" s="2" t="str">
        <f>IFERROR(__xludf.DUMMYFUNCTION("""COMPUTED_VALUE"""),"TT00428")</f>
        <v>TT00428</v>
      </c>
      <c r="B430" s="2" t="str">
        <f>IFERROR(__xludf.DUMMYFUNCTION("""COMPUTED_VALUE"""),"For Completion")</f>
        <v>For Completion</v>
      </c>
      <c r="C430" s="2"/>
      <c r="D430" s="2" t="str">
        <f>IFERROR(__xludf.DUMMYFUNCTION("""COMPUTED_VALUE"""),"Gaub Farmers Association")</f>
        <v>Gaub Farmers Association</v>
      </c>
      <c r="E430" s="2" t="str">
        <f>IFERROR(__xludf.DUMMYFUNCTION("""COMPUTED_VALUE"""),"Gaub, Cabatuan, ILOILO")</f>
        <v>Gaub, Cabatuan, ILOILO</v>
      </c>
      <c r="F430" s="2" t="str">
        <f>IFERROR(__xludf.DUMMYFUNCTION("""COMPUTED_VALUE"""),"Rosanne A. Paniagua")</f>
        <v>Rosanne A. Paniagua</v>
      </c>
      <c r="G430" s="2">
        <f>IFERROR(__xludf.DUMMYFUNCTION("""COMPUTED_VALUE"""),9.177914376E9)</f>
        <v>9177914376</v>
      </c>
      <c r="H430" s="2"/>
      <c r="I430" s="2"/>
      <c r="J430" s="2"/>
      <c r="K430" s="2" t="str">
        <f>IFERROR(__xludf.DUMMYFUNCTION("""COMPUTED_VALUE"""),"RCEF 23-09-21 Rebidding")</f>
        <v>RCEF 23-09-21 Rebidding</v>
      </c>
      <c r="L430" s="2">
        <f>IFERROR(__xludf.DUMMYFUNCTION("""COMPUTED_VALUE"""),4.0)</f>
        <v>4</v>
      </c>
      <c r="M430" s="2"/>
      <c r="N430" s="74">
        <f>IFERROR(__xludf.DUMMYFUNCTION("""COMPUTED_VALUE"""),45398.0)</f>
        <v>45398</v>
      </c>
      <c r="O430" s="2"/>
      <c r="P430" s="2">
        <f>IFERROR(__xludf.DUMMYFUNCTION("""COMPUTED_VALUE"""),19088.0)</f>
        <v>19088</v>
      </c>
      <c r="Q430" s="2" t="str">
        <f>IFERROR(__xludf.DUMMYFUNCTION("""COMPUTED_VALUE"""),"KMC5825 AERFPV0304")</f>
        <v>KMC5825 AERFPV0304</v>
      </c>
      <c r="R430" s="2" t="str">
        <f>IFERROR(__xludf.DUMMYFUNCTION("""COMPUTED_VALUE"""),"RTS 100188")</f>
        <v>RTS 100188</v>
      </c>
      <c r="S430" s="2" t="str">
        <f>IFERROR(__xludf.DUMMYFUNCTION("""COMPUTED_VALUE"""),"R-SERIES 426 PH")</f>
        <v>R-SERIES 426 PH</v>
      </c>
      <c r="T430" s="2" t="str">
        <f>IFERROR(__xludf.DUMMYFUNCTION("""COMPUTED_VALUE"""),"LSGW1750 RMP 24040706")</f>
        <v>LSGW1750 RMP 24040706</v>
      </c>
      <c r="U430" s="2" t="str">
        <f>IFERROR(__xludf.DUMMYFUNCTION("""COMPUTED_VALUE"""),"WDP40 RMP 24040411")</f>
        <v>WDP40 RMP 24040411</v>
      </c>
      <c r="V430" s="2"/>
      <c r="W430" s="2" t="str">
        <f>IFERROR(__xludf.DUMMYFUNCTION("""COMPUTED_VALUE"""),"VL103D")</f>
        <v>VL103D</v>
      </c>
      <c r="X430" s="2">
        <f>IFERROR(__xludf.DUMMYFUNCTION("""COMPUTED_VALUE"""),8.69066060242675E14)</f>
        <v>869066060242675</v>
      </c>
      <c r="Y430" s="2">
        <f>IFERROR(__xludf.DUMMYFUNCTION("""COMPUTED_VALUE"""),9.082057048E9)</f>
        <v>9082057048</v>
      </c>
      <c r="Z430" s="2"/>
      <c r="AA430" s="2"/>
      <c r="AB430" s="2"/>
    </row>
    <row r="431">
      <c r="A431" s="2" t="str">
        <f>IFERROR(__xludf.DUMMYFUNCTION("""COMPUTED_VALUE"""),"TT00429")</f>
        <v>TT00429</v>
      </c>
      <c r="B431" s="2" t="str">
        <f>IFERROR(__xludf.DUMMYFUNCTION("""COMPUTED_VALUE"""),"For Completion")</f>
        <v>For Completion</v>
      </c>
      <c r="C431" s="2"/>
      <c r="D431" s="2" t="str">
        <f>IFERROR(__xludf.DUMMYFUNCTION("""COMPUTED_VALUE"""),"Talanghauan Farmers Association")</f>
        <v>Talanghauan Farmers Association</v>
      </c>
      <c r="E431" s="2" t="str">
        <f>IFERROR(__xludf.DUMMYFUNCTION("""COMPUTED_VALUE"""),"Talanghauan, Cabatuan, ILOILO")</f>
        <v>Talanghauan, Cabatuan, ILOILO</v>
      </c>
      <c r="F431" s="2" t="str">
        <f>IFERROR(__xludf.DUMMYFUNCTION("""COMPUTED_VALUE"""),"Mesalina B. Zaragoza")</f>
        <v>Mesalina B. Zaragoza</v>
      </c>
      <c r="G431" s="2" t="str">
        <f>IFERROR(__xludf.DUMMYFUNCTION("""COMPUTED_VALUE"""),"0905 544 8702/ 0995 602 6677")</f>
        <v>0905 544 8702/ 0995 602 6677</v>
      </c>
      <c r="H431" s="2"/>
      <c r="I431" s="2"/>
      <c r="J431" s="2"/>
      <c r="K431" s="2" t="str">
        <f>IFERROR(__xludf.DUMMYFUNCTION("""COMPUTED_VALUE"""),"RCEF 23-09-21 Rebidding")</f>
        <v>RCEF 23-09-21 Rebidding</v>
      </c>
      <c r="L431" s="2">
        <f>IFERROR(__xludf.DUMMYFUNCTION("""COMPUTED_VALUE"""),4.0)</f>
        <v>4</v>
      </c>
      <c r="M431" s="2"/>
      <c r="N431" s="74">
        <f>IFERROR(__xludf.DUMMYFUNCTION("""COMPUTED_VALUE"""),45398.0)</f>
        <v>45398</v>
      </c>
      <c r="O431" s="2"/>
      <c r="P431" s="2">
        <f>IFERROR(__xludf.DUMMYFUNCTION("""COMPUTED_VALUE"""),19089.0)</f>
        <v>19089</v>
      </c>
      <c r="Q431" s="2" t="str">
        <f>IFERROR(__xludf.DUMMYFUNCTION("""COMPUTED_VALUE"""),"KMC5825 AERFPV0559")</f>
        <v>KMC5825 AERFPV0559</v>
      </c>
      <c r="R431" s="2" t="str">
        <f>IFERROR(__xludf.DUMMYFUNCTION("""COMPUTED_VALUE"""),"RTS 100466")</f>
        <v>RTS 100466</v>
      </c>
      <c r="S431" s="2" t="str">
        <f>IFERROR(__xludf.DUMMYFUNCTION("""COMPUTED_VALUE"""),"R-SERIES 423 PH")</f>
        <v>R-SERIES 423 PH</v>
      </c>
      <c r="T431" s="2" t="str">
        <f>IFERROR(__xludf.DUMMYFUNCTION("""COMPUTED_VALUE"""),"LSGW1750 RMP 24040703")</f>
        <v>LSGW1750 RMP 24040703</v>
      </c>
      <c r="U431" s="2" t="str">
        <f>IFERROR(__xludf.DUMMYFUNCTION("""COMPUTED_VALUE"""),"WDP40 RMP 24040437")</f>
        <v>WDP40 RMP 24040437</v>
      </c>
      <c r="V431" s="2"/>
      <c r="W431" s="2" t="str">
        <f>IFERROR(__xludf.DUMMYFUNCTION("""COMPUTED_VALUE"""),"VL103D")</f>
        <v>VL103D</v>
      </c>
      <c r="X431" s="2"/>
      <c r="Y431" s="2"/>
      <c r="Z431" s="2"/>
      <c r="AA431" s="2"/>
      <c r="AB431" s="2"/>
    </row>
    <row r="432">
      <c r="A432" s="2" t="str">
        <f>IFERROR(__xludf.DUMMYFUNCTION("""COMPUTED_VALUE"""),"TT00430")</f>
        <v>TT00430</v>
      </c>
      <c r="B432" s="2" t="str">
        <f>IFERROR(__xludf.DUMMYFUNCTION("""COMPUTED_VALUE"""),"For Completion")</f>
        <v>For Completion</v>
      </c>
      <c r="C432" s="2"/>
      <c r="D432" s="2" t="str">
        <f>IFERROR(__xludf.DUMMYFUNCTION("""COMPUTED_VALUE"""),"Maspasan Farmers Association")</f>
        <v>Maspasan Farmers Association</v>
      </c>
      <c r="E432" s="2" t="str">
        <f>IFERROR(__xludf.DUMMYFUNCTION("""COMPUTED_VALUE"""),"Maspasan, Calinog, ILOILO")</f>
        <v>Maspasan, Calinog, ILOILO</v>
      </c>
      <c r="F432" s="2" t="str">
        <f>IFERROR(__xludf.DUMMYFUNCTION("""COMPUTED_VALUE"""),"Gerome P. Latoza")</f>
        <v>Gerome P. Latoza</v>
      </c>
      <c r="G432" s="2" t="str">
        <f>IFERROR(__xludf.DUMMYFUNCTION("""COMPUTED_VALUE"""),"0907 156 1868")</f>
        <v>0907 156 1868</v>
      </c>
      <c r="H432" s="2"/>
      <c r="I432" s="2"/>
      <c r="J432" s="2"/>
      <c r="K432" s="2" t="str">
        <f>IFERROR(__xludf.DUMMYFUNCTION("""COMPUTED_VALUE"""),"RCEF 23-09-21 Rebidding")</f>
        <v>RCEF 23-09-21 Rebidding</v>
      </c>
      <c r="L432" s="2">
        <f>IFERROR(__xludf.DUMMYFUNCTION("""COMPUTED_VALUE"""),4.0)</f>
        <v>4</v>
      </c>
      <c r="M432" s="2"/>
      <c r="N432" s="74">
        <f>IFERROR(__xludf.DUMMYFUNCTION("""COMPUTED_VALUE"""),45398.0)</f>
        <v>45398</v>
      </c>
      <c r="O432" s="74">
        <f>IFERROR(__xludf.DUMMYFUNCTION("""COMPUTED_VALUE"""),45426.0)</f>
        <v>45426</v>
      </c>
      <c r="P432" s="2">
        <f>IFERROR(__xludf.DUMMYFUNCTION("""COMPUTED_VALUE"""),19090.0)</f>
        <v>19090</v>
      </c>
      <c r="Q432" s="2" t="str">
        <f>IFERROR(__xludf.DUMMYFUNCTION("""COMPUTED_VALUE"""),"KMC5825 APRFPV0520")</f>
        <v>KMC5825 APRFPV0520</v>
      </c>
      <c r="R432" s="2" t="str">
        <f>IFERROR(__xludf.DUMMYFUNCTION("""COMPUTED_VALUE"""),"RTS 100429")</f>
        <v>RTS 100429</v>
      </c>
      <c r="S432" s="2" t="str">
        <f>IFERROR(__xludf.DUMMYFUNCTION("""COMPUTED_VALUE"""),"R-SERIES 435 PH")</f>
        <v>R-SERIES 435 PH</v>
      </c>
      <c r="T432" s="2" t="str">
        <f>IFERROR(__xludf.DUMMYFUNCTION("""COMPUTED_VALUE"""),"LSGW17590 RMP 24040707")</f>
        <v>LSGW17590 RMP 24040707</v>
      </c>
      <c r="U432" s="2" t="str">
        <f>IFERROR(__xludf.DUMMYFUNCTION("""COMPUTED_VALUE"""),"WDP40 RMP 24040434")</f>
        <v>WDP40 RMP 24040434</v>
      </c>
      <c r="V432" s="2"/>
      <c r="W432" s="2" t="str">
        <f>IFERROR(__xludf.DUMMYFUNCTION("""COMPUTED_VALUE"""),"VL103D")</f>
        <v>VL103D</v>
      </c>
      <c r="X432" s="2">
        <f>IFERROR(__xludf.DUMMYFUNCTION("""COMPUTED_VALUE"""),8.69066060241768E14)</f>
        <v>869066060241768</v>
      </c>
      <c r="Y432" s="2">
        <f>IFERROR(__xludf.DUMMYFUNCTION("""COMPUTED_VALUE"""),9.083165353E9)</f>
        <v>9083165353</v>
      </c>
      <c r="Z432" s="2"/>
      <c r="AA432" s="2"/>
      <c r="AB432" s="2"/>
    </row>
    <row r="433">
      <c r="A433" s="2" t="str">
        <f>IFERROR(__xludf.DUMMYFUNCTION("""COMPUTED_VALUE"""),"TT00431")</f>
        <v>TT00431</v>
      </c>
      <c r="B433" s="2" t="str">
        <f>IFERROR(__xludf.DUMMYFUNCTION("""COMPUTED_VALUE"""),"For Completion")</f>
        <v>For Completion</v>
      </c>
      <c r="C433" s="2"/>
      <c r="D433" s="2" t="str">
        <f>IFERROR(__xludf.DUMMYFUNCTION("""COMPUTED_VALUE"""),"Brgy. Mañacabac Farmers Association")</f>
        <v>Brgy. Mañacabac Farmers Association</v>
      </c>
      <c r="E433" s="2" t="str">
        <f>IFERROR(__xludf.DUMMYFUNCTION("""COMPUTED_VALUE"""),"Manacabac, Janiuay, ILOILO")</f>
        <v>Manacabac, Janiuay, ILOILO</v>
      </c>
      <c r="F433" s="2" t="str">
        <f>IFERROR(__xludf.DUMMYFUNCTION("""COMPUTED_VALUE"""),"Rodolfo A. Palizada Jr.")</f>
        <v>Rodolfo A. Palizada Jr.</v>
      </c>
      <c r="G433" s="2">
        <f>IFERROR(__xludf.DUMMYFUNCTION("""COMPUTED_VALUE"""),9.073101243E9)</f>
        <v>9073101243</v>
      </c>
      <c r="H433" s="2"/>
      <c r="I433" s="2"/>
      <c r="J433" s="2"/>
      <c r="K433" s="2" t="str">
        <f>IFERROR(__xludf.DUMMYFUNCTION("""COMPUTED_VALUE"""),"RCEF 23-09-21 Rebidding")</f>
        <v>RCEF 23-09-21 Rebidding</v>
      </c>
      <c r="L433" s="2">
        <f>IFERROR(__xludf.DUMMYFUNCTION("""COMPUTED_VALUE"""),4.0)</f>
        <v>4</v>
      </c>
      <c r="M433" s="2"/>
      <c r="N433" s="74">
        <f>IFERROR(__xludf.DUMMYFUNCTION("""COMPUTED_VALUE"""),45398.0)</f>
        <v>45398</v>
      </c>
      <c r="O433" s="2"/>
      <c r="P433" s="2">
        <f>IFERROR(__xludf.DUMMYFUNCTION("""COMPUTED_VALUE"""),19091.0)</f>
        <v>19091</v>
      </c>
      <c r="Q433" s="2" t="str">
        <f>IFERROR(__xludf.DUMMYFUNCTION("""COMPUTED_VALUE"""),"KMC5825 AJRFPV0228")</f>
        <v>KMC5825 AJRFPV0228</v>
      </c>
      <c r="R433" s="2" t="str">
        <f>IFERROR(__xludf.DUMMYFUNCTION("""COMPUTED_VALUE"""),"RTS 100050")</f>
        <v>RTS 100050</v>
      </c>
      <c r="S433" s="2" t="str">
        <f>IFERROR(__xludf.DUMMYFUNCTION("""COMPUTED_VALUE"""),"WR-SERIES 211 PH")</f>
        <v>WR-SERIES 211 PH</v>
      </c>
      <c r="T433" s="2" t="str">
        <f>IFERROR(__xludf.DUMMYFUNCTION("""COMPUTED_VALUE"""),"LSGW1750 RMP 24040711")</f>
        <v>LSGW1750 RMP 24040711</v>
      </c>
      <c r="U433" s="2" t="str">
        <f>IFERROR(__xludf.DUMMYFUNCTION("""COMPUTED_VALUE"""),"WDP40 RMP 24040405")</f>
        <v>WDP40 RMP 24040405</v>
      </c>
      <c r="V433" s="2"/>
      <c r="W433" s="2" t="str">
        <f>IFERROR(__xludf.DUMMYFUNCTION("""COMPUTED_VALUE"""),"VL103D")</f>
        <v>VL103D</v>
      </c>
      <c r="X433" s="2">
        <f>IFERROR(__xludf.DUMMYFUNCTION("""COMPUTED_VALUE"""),8.69066060243566E14)</f>
        <v>869066060243566</v>
      </c>
      <c r="Y433" s="2">
        <f>IFERROR(__xludf.DUMMYFUNCTION("""COMPUTED_VALUE"""),9.195147702E9)</f>
        <v>9195147702</v>
      </c>
      <c r="Z433" s="2"/>
      <c r="AA433" s="2"/>
      <c r="AB433" s="2"/>
    </row>
    <row r="434">
      <c r="A434" s="2" t="str">
        <f>IFERROR(__xludf.DUMMYFUNCTION("""COMPUTED_VALUE"""),"TT00432")</f>
        <v>TT00432</v>
      </c>
      <c r="B434" s="2" t="str">
        <f>IFERROR(__xludf.DUMMYFUNCTION("""COMPUTED_VALUE"""),"For Completion")</f>
        <v>For Completion</v>
      </c>
      <c r="C434" s="2"/>
      <c r="D434" s="2" t="str">
        <f>IFERROR(__xludf.DUMMYFUNCTION("""COMPUTED_VALUE"""),"San Gregorio Farmers Association")</f>
        <v>San Gregorio Farmers Association</v>
      </c>
      <c r="E434" s="2" t="str">
        <f>IFERROR(__xludf.DUMMYFUNCTION("""COMPUTED_VALUE"""),"San Gregorio, Lambunao, ILOILO")</f>
        <v>San Gregorio, Lambunao, ILOILO</v>
      </c>
      <c r="F434" s="2" t="str">
        <f>IFERROR(__xludf.DUMMYFUNCTION("""COMPUTED_VALUE"""),"Jose Glenn Lasado")</f>
        <v>Jose Glenn Lasado</v>
      </c>
      <c r="G434" s="2" t="str">
        <f>IFERROR(__xludf.DUMMYFUNCTION("""COMPUTED_VALUE"""),"0909-537-9343")</f>
        <v>0909-537-9343</v>
      </c>
      <c r="H434" s="2"/>
      <c r="I434" s="2"/>
      <c r="J434" s="2"/>
      <c r="K434" s="2" t="str">
        <f>IFERROR(__xludf.DUMMYFUNCTION("""COMPUTED_VALUE"""),"RCEF 23-09-21 Rebidding")</f>
        <v>RCEF 23-09-21 Rebidding</v>
      </c>
      <c r="L434" s="2">
        <f>IFERROR(__xludf.DUMMYFUNCTION("""COMPUTED_VALUE"""),4.0)</f>
        <v>4</v>
      </c>
      <c r="M434" s="2"/>
      <c r="N434" s="74">
        <f>IFERROR(__xludf.DUMMYFUNCTION("""COMPUTED_VALUE"""),45398.0)</f>
        <v>45398</v>
      </c>
      <c r="O434" s="2"/>
      <c r="P434" s="2">
        <f>IFERROR(__xludf.DUMMYFUNCTION("""COMPUTED_VALUE"""),19092.0)</f>
        <v>19092</v>
      </c>
      <c r="Q434" s="2" t="str">
        <f>IFERROR(__xludf.DUMMYFUNCTION("""COMPUTED_VALUE"""),"KMC5825 APRFPV0551")</f>
        <v>KMC5825 APRFPV0551</v>
      </c>
      <c r="R434" s="2" t="str">
        <f>IFERROR(__xludf.DUMMYFUNCTION("""COMPUTED_VALUE"""),"RTS100451")</f>
        <v>RTS100451</v>
      </c>
      <c r="S434" s="2" t="str">
        <f>IFERROR(__xludf.DUMMYFUNCTION("""COMPUTED_VALUE"""),"HL22 R007 BRANSON 4625")</f>
        <v>HL22 R007 BRANSON 4625</v>
      </c>
      <c r="T434" s="2" t="str">
        <f>IFERROR(__xludf.DUMMYFUNCTION("""COMPUTED_VALUE"""),"LSGW1750 RMP 24040713")</f>
        <v>LSGW1750 RMP 24040713</v>
      </c>
      <c r="U434" s="2" t="str">
        <f>IFERROR(__xludf.DUMMYFUNCTION("""COMPUTED_VALUE"""),"WDP40 RMP 24040422")</f>
        <v>WDP40 RMP 24040422</v>
      </c>
      <c r="V434" s="2"/>
      <c r="W434" s="2" t="str">
        <f>IFERROR(__xludf.DUMMYFUNCTION("""COMPUTED_VALUE"""),"VL103D")</f>
        <v>VL103D</v>
      </c>
      <c r="X434" s="2">
        <f>IFERROR(__xludf.DUMMYFUNCTION("""COMPUTED_VALUE"""),8.6906606024458E14)</f>
        <v>869066060244580</v>
      </c>
      <c r="Y434" s="2">
        <f>IFERROR(__xludf.DUMMYFUNCTION("""COMPUTED_VALUE"""),9.086861208E9)</f>
        <v>9086861208</v>
      </c>
      <c r="Z434" s="2"/>
      <c r="AA434" s="2"/>
      <c r="AB434" s="2"/>
    </row>
    <row r="435">
      <c r="A435" s="2" t="str">
        <f>IFERROR(__xludf.DUMMYFUNCTION("""COMPUTED_VALUE"""),"TT00433")</f>
        <v>TT00433</v>
      </c>
      <c r="B435" s="2" t="str">
        <f>IFERROR(__xludf.DUMMYFUNCTION("""COMPUTED_VALUE"""),"For Completion")</f>
        <v>For Completion</v>
      </c>
      <c r="C435" s="2"/>
      <c r="D435" s="2" t="str">
        <f>IFERROR(__xludf.DUMMYFUNCTION("""COMPUTED_VALUE"""),"Mina East Farmers Association")</f>
        <v>Mina East Farmers Association</v>
      </c>
      <c r="E435" s="2" t="str">
        <f>IFERROR(__xludf.DUMMYFUNCTION("""COMPUTED_VALUE"""),"Mina East (Pob.), Mina, ILOILO")</f>
        <v>Mina East (Pob.), Mina, ILOILO</v>
      </c>
      <c r="F435" s="2" t="str">
        <f>IFERROR(__xludf.DUMMYFUNCTION("""COMPUTED_VALUE"""),"Nenita S. Defensor")</f>
        <v>Nenita S. Defensor</v>
      </c>
      <c r="G435" s="2" t="str">
        <f>IFERROR(__xludf.DUMMYFUNCTION("""COMPUTED_VALUE"""),"0918 445 6077")</f>
        <v>0918 445 6077</v>
      </c>
      <c r="H435" s="2"/>
      <c r="I435" s="2"/>
      <c r="J435" s="2"/>
      <c r="K435" s="2" t="str">
        <f>IFERROR(__xludf.DUMMYFUNCTION("""COMPUTED_VALUE"""),"RCEF 23-09-21 Rebidding")</f>
        <v>RCEF 23-09-21 Rebidding</v>
      </c>
      <c r="L435" s="2">
        <f>IFERROR(__xludf.DUMMYFUNCTION("""COMPUTED_VALUE"""),4.0)</f>
        <v>4</v>
      </c>
      <c r="M435" s="2"/>
      <c r="N435" s="74">
        <f>IFERROR(__xludf.DUMMYFUNCTION("""COMPUTED_VALUE"""),45398.0)</f>
        <v>45398</v>
      </c>
      <c r="O435" s="2"/>
      <c r="P435" s="2">
        <f>IFERROR(__xludf.DUMMYFUNCTION("""COMPUTED_VALUE"""),19092.0)</f>
        <v>19092</v>
      </c>
      <c r="Q435" s="2" t="str">
        <f>IFERROR(__xludf.DUMMYFUNCTION("""COMPUTED_VALUE"""),"KMC5825 AHRFPV0527")</f>
        <v>KMC5825 AHRFPV0527</v>
      </c>
      <c r="R435" s="2" t="str">
        <f>IFERROR(__xludf.DUMMYFUNCTION("""COMPUTED_VALUE"""),"RTS 100430")</f>
        <v>RTS 100430</v>
      </c>
      <c r="S435" s="2" t="str">
        <f>IFERROR(__xludf.DUMMYFUNCTION("""COMPUTED_VALUE"""),"R-SERIES 449 PH")</f>
        <v>R-SERIES 449 PH</v>
      </c>
      <c r="T435" s="2" t="str">
        <f>IFERROR(__xludf.DUMMYFUNCTION("""COMPUTED_VALUE"""),"LSGW1759 RMP 24040678")</f>
        <v>LSGW1759 RMP 24040678</v>
      </c>
      <c r="U435" s="2" t="str">
        <f>IFERROR(__xludf.DUMMYFUNCTION("""COMPUTED_VALUE"""),"WDP40 RMP 24040406")</f>
        <v>WDP40 RMP 24040406</v>
      </c>
      <c r="V435" s="2"/>
      <c r="W435" s="2" t="str">
        <f>IFERROR(__xludf.DUMMYFUNCTION("""COMPUTED_VALUE"""),"VL103D")</f>
        <v>VL103D</v>
      </c>
      <c r="X435" s="2">
        <f>IFERROR(__xludf.DUMMYFUNCTION("""COMPUTED_VALUE"""),8.69066060241396E14)</f>
        <v>869066060241396</v>
      </c>
      <c r="Y435" s="2">
        <f>IFERROR(__xludf.DUMMYFUNCTION("""COMPUTED_VALUE"""),9.087647297E9)</f>
        <v>9087647297</v>
      </c>
      <c r="Z435" s="2"/>
      <c r="AA435" s="2"/>
      <c r="AB435" s="2"/>
    </row>
    <row r="436">
      <c r="A436" s="2" t="str">
        <f>IFERROR(__xludf.DUMMYFUNCTION("""COMPUTED_VALUE"""),"TT00434")</f>
        <v>TT00434</v>
      </c>
      <c r="B436" s="2" t="str">
        <f>IFERROR(__xludf.DUMMYFUNCTION("""COMPUTED_VALUE"""),"For Completion")</f>
        <v>For Completion</v>
      </c>
      <c r="C436" s="2"/>
      <c r="D436" s="2" t="str">
        <f>IFERROR(__xludf.DUMMYFUNCTION("""COMPUTED_VALUE"""),"Danao Farmers Association")</f>
        <v>Danao Farmers Association</v>
      </c>
      <c r="E436" s="2" t="str">
        <f>IFERROR(__xludf.DUMMYFUNCTION("""COMPUTED_VALUE"""),"Danao, Pototan, ILOILO")</f>
        <v>Danao, Pototan, ILOILO</v>
      </c>
      <c r="F436" s="2" t="str">
        <f>IFERROR(__xludf.DUMMYFUNCTION("""COMPUTED_VALUE"""),"Jesus B. Potente")</f>
        <v>Jesus B. Potente</v>
      </c>
      <c r="G436" s="2" t="str">
        <f>IFERROR(__xludf.DUMMYFUNCTION("""COMPUTED_VALUE"""),"0921 268 5213")</f>
        <v>0921 268 5213</v>
      </c>
      <c r="H436" s="2"/>
      <c r="I436" s="2"/>
      <c r="J436" s="2"/>
      <c r="K436" s="2" t="str">
        <f>IFERROR(__xludf.DUMMYFUNCTION("""COMPUTED_VALUE"""),"RCEF 23-09-21 Rebidding")</f>
        <v>RCEF 23-09-21 Rebidding</v>
      </c>
      <c r="L436" s="2">
        <f>IFERROR(__xludf.DUMMYFUNCTION("""COMPUTED_VALUE"""),4.0)</f>
        <v>4</v>
      </c>
      <c r="M436" s="2"/>
      <c r="N436" s="74">
        <f>IFERROR(__xludf.DUMMYFUNCTION("""COMPUTED_VALUE"""),45398.0)</f>
        <v>45398</v>
      </c>
      <c r="O436" s="2"/>
      <c r="P436" s="2">
        <f>IFERROR(__xludf.DUMMYFUNCTION("""COMPUTED_VALUE"""),19094.0)</f>
        <v>19094</v>
      </c>
      <c r="Q436" s="2" t="str">
        <f>IFERROR(__xludf.DUMMYFUNCTION("""COMPUTED_VALUE"""),"KMC5825 AKRFPV0230")</f>
        <v>KMC5825 AKRFPV0230</v>
      </c>
      <c r="R436" s="2" t="str">
        <f>IFERROR(__xludf.DUMMYFUNCTION("""COMPUTED_VALUE"""),"RTS 10083")</f>
        <v>RTS 10083</v>
      </c>
      <c r="S436" s="2" t="str">
        <f>IFERROR(__xludf.DUMMYFUNCTION("""COMPUTED_VALUE"""),"WR-SERIES 703 PH")</f>
        <v>WR-SERIES 703 PH</v>
      </c>
      <c r="T436" s="2" t="str">
        <f>IFERROR(__xludf.DUMMYFUNCTION("""COMPUTED_VALUE"""),"LSGW1750 RMP 24040696")</f>
        <v>LSGW1750 RMP 24040696</v>
      </c>
      <c r="U436" s="2" t="str">
        <f>IFERROR(__xludf.DUMMYFUNCTION("""COMPUTED_VALUE"""),"WDP40 RMP 24040408")</f>
        <v>WDP40 RMP 24040408</v>
      </c>
      <c r="V436" s="2"/>
      <c r="W436" s="2" t="str">
        <f>IFERROR(__xludf.DUMMYFUNCTION("""COMPUTED_VALUE"""),"VL103D")</f>
        <v>VL103D</v>
      </c>
      <c r="X436" s="2">
        <f>IFERROR(__xludf.DUMMYFUNCTION("""COMPUTED_VALUE"""),8.69066060240901E14)</f>
        <v>869066060240901</v>
      </c>
      <c r="Y436" s="2">
        <f>IFERROR(__xludf.DUMMYFUNCTION("""COMPUTED_VALUE"""),9.086345295E9)</f>
        <v>9086345295</v>
      </c>
      <c r="Z436" s="2"/>
      <c r="AA436" s="2"/>
      <c r="AB436" s="2"/>
    </row>
    <row r="437">
      <c r="A437" s="2" t="str">
        <f>IFERROR(__xludf.DUMMYFUNCTION("""COMPUTED_VALUE"""),"TT00435")</f>
        <v>TT00435</v>
      </c>
      <c r="B437" s="2" t="str">
        <f>IFERROR(__xludf.DUMMYFUNCTION("""COMPUTED_VALUE"""),"For Completion")</f>
        <v>For Completion</v>
      </c>
      <c r="C437" s="2"/>
      <c r="D437" s="2" t="str">
        <f>IFERROR(__xludf.DUMMYFUNCTION("""COMPUTED_VALUE"""),"Mostro Farmers Association")</f>
        <v>Mostro Farmers Association</v>
      </c>
      <c r="E437" s="2" t="str">
        <f>IFERROR(__xludf.DUMMYFUNCTION("""COMPUTED_VALUE"""),"Mostro, Anilao, ILOILO")</f>
        <v>Mostro, Anilao, ILOILO</v>
      </c>
      <c r="F437" s="2" t="str">
        <f>IFERROR(__xludf.DUMMYFUNCTION("""COMPUTED_VALUE"""),"Wilhem G. Pauchano")</f>
        <v>Wilhem G. Pauchano</v>
      </c>
      <c r="G437" s="2" t="str">
        <f>IFERROR(__xludf.DUMMYFUNCTION("""COMPUTED_VALUE"""),"0930 977 0845")</f>
        <v>0930 977 0845</v>
      </c>
      <c r="H437" s="2"/>
      <c r="I437" s="2"/>
      <c r="J437" s="2"/>
      <c r="K437" s="2" t="str">
        <f>IFERROR(__xludf.DUMMYFUNCTION("""COMPUTED_VALUE"""),"RCEF 23-09-21 Rebidding")</f>
        <v>RCEF 23-09-21 Rebidding</v>
      </c>
      <c r="L437" s="2">
        <f>IFERROR(__xludf.DUMMYFUNCTION("""COMPUTED_VALUE"""),4.0)</f>
        <v>4</v>
      </c>
      <c r="M437" s="2"/>
      <c r="N437" s="74">
        <f>IFERROR(__xludf.DUMMYFUNCTION("""COMPUTED_VALUE"""),45398.0)</f>
        <v>45398</v>
      </c>
      <c r="O437" s="2"/>
      <c r="P437" s="2">
        <f>IFERROR(__xludf.DUMMYFUNCTION("""COMPUTED_VALUE"""),19095.0)</f>
        <v>19095</v>
      </c>
      <c r="Q437" s="2" t="str">
        <f>IFERROR(__xludf.DUMMYFUNCTION("""COMPUTED_VALUE"""),"KMC5825 AERFPV0531")</f>
        <v>KMC5825 AERFPV0531</v>
      </c>
      <c r="R437" s="2" t="str">
        <f>IFERROR(__xludf.DUMMYFUNCTION("""COMPUTED_VALUE"""),"RTS 100155")</f>
        <v>RTS 100155</v>
      </c>
      <c r="S437" s="2" t="str">
        <f>IFERROR(__xludf.DUMMYFUNCTION("""COMPUTED_VALUE"""),"R-SERIES 422 PH")</f>
        <v>R-SERIES 422 PH</v>
      </c>
      <c r="T437" s="2" t="str">
        <f>IFERROR(__xludf.DUMMYFUNCTION("""COMPUTED_VALUE"""),"LSGW1750 RMP 24040704")</f>
        <v>LSGW1750 RMP 24040704</v>
      </c>
      <c r="U437" s="2" t="str">
        <f>IFERROR(__xludf.DUMMYFUNCTION("""COMPUTED_VALUE"""),"WDP40 RMP 24040435")</f>
        <v>WDP40 RMP 24040435</v>
      </c>
      <c r="V437" s="2"/>
      <c r="W437" s="2" t="str">
        <f>IFERROR(__xludf.DUMMYFUNCTION("""COMPUTED_VALUE"""),"VL103D")</f>
        <v>VL103D</v>
      </c>
      <c r="X437" s="2">
        <f>IFERROR(__xludf.DUMMYFUNCTION("""COMPUTED_VALUE"""),8.69066060231537E14)</f>
        <v>869066060231537</v>
      </c>
      <c r="Y437" s="2">
        <f>IFERROR(__xludf.DUMMYFUNCTION("""COMPUTED_VALUE"""),9.084107231E9)</f>
        <v>9084107231</v>
      </c>
      <c r="Z437" s="2"/>
      <c r="AA437" s="2"/>
      <c r="AB437" s="2"/>
    </row>
    <row r="438">
      <c r="A438" s="2" t="str">
        <f>IFERROR(__xludf.DUMMYFUNCTION("""COMPUTED_VALUE"""),"TT00436")</f>
        <v>TT00436</v>
      </c>
      <c r="B438" s="2" t="str">
        <f>IFERROR(__xludf.DUMMYFUNCTION("""COMPUTED_VALUE"""),"For Completion")</f>
        <v>For Completion</v>
      </c>
      <c r="C438" s="2"/>
      <c r="D438" s="2" t="str">
        <f>IFERROR(__xludf.DUMMYFUNCTION("""COMPUTED_VALUE"""),"Cañapasan Banate Irrigators' Association Inc.")</f>
        <v>Cañapasan Banate Irrigators' Association Inc.</v>
      </c>
      <c r="E438" s="2" t="str">
        <f>IFERROR(__xludf.DUMMYFUNCTION("""COMPUTED_VALUE"""),"Managopaya, Banate, ILOILO")</f>
        <v>Managopaya, Banate, ILOILO</v>
      </c>
      <c r="F438" s="2" t="str">
        <f>IFERROR(__xludf.DUMMYFUNCTION("""COMPUTED_VALUE"""),"Gina B. Bayinela")</f>
        <v>Gina B. Bayinela</v>
      </c>
      <c r="G438" s="2" t="str">
        <f>IFERROR(__xludf.DUMMYFUNCTION("""COMPUTED_VALUE"""),"0915 460 3212")</f>
        <v>0915 460 3212</v>
      </c>
      <c r="H438" s="2"/>
      <c r="I438" s="2"/>
      <c r="J438" s="2"/>
      <c r="K438" s="2" t="str">
        <f>IFERROR(__xludf.DUMMYFUNCTION("""COMPUTED_VALUE"""),"RCEF 23-09-21 Rebidding")</f>
        <v>RCEF 23-09-21 Rebidding</v>
      </c>
      <c r="L438" s="2">
        <f>IFERROR(__xludf.DUMMYFUNCTION("""COMPUTED_VALUE"""),4.0)</f>
        <v>4</v>
      </c>
      <c r="M438" s="2"/>
      <c r="N438" s="74">
        <f>IFERROR(__xludf.DUMMYFUNCTION("""COMPUTED_VALUE"""),45398.0)</f>
        <v>45398</v>
      </c>
      <c r="O438" s="2"/>
      <c r="P438" s="2">
        <f>IFERROR(__xludf.DUMMYFUNCTION("""COMPUTED_VALUE"""),19096.0)</f>
        <v>19096</v>
      </c>
      <c r="Q438" s="2" t="str">
        <f>IFERROR(__xludf.DUMMYFUNCTION("""COMPUTED_VALUE"""),"KMC5825 ACRFPV0621")</f>
        <v>KMC5825 ACRFPV0621</v>
      </c>
      <c r="R438" s="2" t="str">
        <f>IFERROR(__xludf.DUMMYFUNCTION("""COMPUTED_VALUE"""),"RTS 100521")</f>
        <v>RTS 100521</v>
      </c>
      <c r="S438" s="2" t="str">
        <f>IFERROR(__xludf.DUMMYFUNCTION("""COMPUTED_VALUE"""),"R-SERIES 445 PH")</f>
        <v>R-SERIES 445 PH</v>
      </c>
      <c r="T438" s="2" t="str">
        <f>IFERROR(__xludf.DUMMYFUNCTION("""COMPUTED_VALUE"""),"LSGW1750 RMP 24040681")</f>
        <v>LSGW1750 RMP 24040681</v>
      </c>
      <c r="U438" s="2" t="str">
        <f>IFERROR(__xludf.DUMMYFUNCTION("""COMPUTED_VALUE"""),"WDP40 RMP 24040401")</f>
        <v>WDP40 RMP 24040401</v>
      </c>
      <c r="V438" s="2"/>
      <c r="W438" s="2" t="str">
        <f>IFERROR(__xludf.DUMMYFUNCTION("""COMPUTED_VALUE"""),"VL103D")</f>
        <v>VL103D</v>
      </c>
      <c r="X438" s="2">
        <f>IFERROR(__xludf.DUMMYFUNCTION("""COMPUTED_VALUE"""),8.69066060240406E14)</f>
        <v>869066060240406</v>
      </c>
      <c r="Y438" s="2">
        <f>IFERROR(__xludf.DUMMYFUNCTION("""COMPUTED_VALUE"""),9.085079827E9)</f>
        <v>9085079827</v>
      </c>
      <c r="Z438" s="2"/>
      <c r="AA438" s="2"/>
      <c r="AB438" s="2"/>
    </row>
    <row r="439">
      <c r="A439" s="2" t="str">
        <f>IFERROR(__xludf.DUMMYFUNCTION("""COMPUTED_VALUE"""),"TT00437")</f>
        <v>TT00437</v>
      </c>
      <c r="B439" s="2" t="str">
        <f>IFERROR(__xludf.DUMMYFUNCTION("""COMPUTED_VALUE"""),"For Completion")</f>
        <v>For Completion</v>
      </c>
      <c r="C439" s="2"/>
      <c r="D439" s="2" t="str">
        <f>IFERROR(__xludf.DUMMYFUNCTION("""COMPUTED_VALUE"""),"Dugwakan Farmers Association")</f>
        <v>Dugwakan Farmers Association</v>
      </c>
      <c r="E439" s="2" t="str">
        <f>IFERROR(__xludf.DUMMYFUNCTION("""COMPUTED_VALUE"""),"Dugwakan, Banate, ILOILO")</f>
        <v>Dugwakan, Banate, ILOILO</v>
      </c>
      <c r="F439" s="2" t="str">
        <f>IFERROR(__xludf.DUMMYFUNCTION("""COMPUTED_VALUE"""),"Moniza A. Marquez")</f>
        <v>Moniza A. Marquez</v>
      </c>
      <c r="G439" s="2">
        <f>IFERROR(__xludf.DUMMYFUNCTION("""COMPUTED_VALUE"""),9.63525839E9)</f>
        <v>9635258390</v>
      </c>
      <c r="H439" s="2"/>
      <c r="I439" s="2"/>
      <c r="J439" s="2"/>
      <c r="K439" s="2" t="str">
        <f>IFERROR(__xludf.DUMMYFUNCTION("""COMPUTED_VALUE"""),"RCEF 23-09-21 Rebidding")</f>
        <v>RCEF 23-09-21 Rebidding</v>
      </c>
      <c r="L439" s="2">
        <f>IFERROR(__xludf.DUMMYFUNCTION("""COMPUTED_VALUE"""),4.0)</f>
        <v>4</v>
      </c>
      <c r="M439" s="2"/>
      <c r="N439" s="74">
        <f>IFERROR(__xludf.DUMMYFUNCTION("""COMPUTED_VALUE"""),45398.0)</f>
        <v>45398</v>
      </c>
      <c r="O439" s="2"/>
      <c r="P439" s="2">
        <f>IFERROR(__xludf.DUMMYFUNCTION("""COMPUTED_VALUE"""),19097.0)</f>
        <v>19097</v>
      </c>
      <c r="Q439" s="2" t="str">
        <f>IFERROR(__xludf.DUMMYFUNCTION("""COMPUTED_VALUE"""),"KMC5825 AVRFPV0569")</f>
        <v>KMC5825 AVRFPV0569</v>
      </c>
      <c r="R439" s="2" t="str">
        <f>IFERROR(__xludf.DUMMYFUNCTION("""COMPUTED_VALUE"""),"RTS 100461")</f>
        <v>RTS 100461</v>
      </c>
      <c r="S439" s="2" t="str">
        <f>IFERROR(__xludf.DUMMYFUNCTION("""COMPUTED_VALUE"""),"R-SERIES 446 PH")</f>
        <v>R-SERIES 446 PH</v>
      </c>
      <c r="T439" s="2" t="str">
        <f>IFERROR(__xludf.DUMMYFUNCTION("""COMPUTED_VALUE"""),"LSGW1750 RMP 24040702")</f>
        <v>LSGW1750 RMP 24040702</v>
      </c>
      <c r="U439" s="2" t="str">
        <f>IFERROR(__xludf.DUMMYFUNCTION("""COMPUTED_VALUE"""),"WDP40 RMP 24040401")</f>
        <v>WDP40 RMP 24040401</v>
      </c>
      <c r="V439" s="2"/>
      <c r="W439" s="2" t="str">
        <f>IFERROR(__xludf.DUMMYFUNCTION("""COMPUTED_VALUE"""),"VL103D")</f>
        <v>VL103D</v>
      </c>
      <c r="X439" s="2">
        <f>IFERROR(__xludf.DUMMYFUNCTION("""COMPUTED_VALUE"""),8.69066060244416E14)</f>
        <v>869066060244416</v>
      </c>
      <c r="Y439" s="2">
        <f>IFERROR(__xludf.DUMMYFUNCTION("""COMPUTED_VALUE"""),9.086774626E9)</f>
        <v>9086774626</v>
      </c>
      <c r="Z439" s="2"/>
      <c r="AA439" s="2"/>
      <c r="AB439" s="2"/>
    </row>
    <row r="440">
      <c r="A440" s="2" t="str">
        <f>IFERROR(__xludf.DUMMYFUNCTION("""COMPUTED_VALUE"""),"TT00438")</f>
        <v>TT00438</v>
      </c>
      <c r="B440" s="2" t="str">
        <f>IFERROR(__xludf.DUMMYFUNCTION("""COMPUTED_VALUE"""),"For Completion")</f>
        <v>For Completion</v>
      </c>
      <c r="C440" s="2"/>
      <c r="D440" s="2" t="str">
        <f>IFERROR(__xludf.DUMMYFUNCTION("""COMPUTED_VALUE"""),"Baras Farmers Association")</f>
        <v>Baras Farmers Association</v>
      </c>
      <c r="E440" s="2" t="str">
        <f>IFERROR(__xludf.DUMMYFUNCTION("""COMPUTED_VALUE"""),"Baras, Barotac Nuevo, ILOILO")</f>
        <v>Baras, Barotac Nuevo, ILOILO</v>
      </c>
      <c r="F440" s="2" t="str">
        <f>IFERROR(__xludf.DUMMYFUNCTION("""COMPUTED_VALUE"""),"Mario B. Boglosa")</f>
        <v>Mario B. Boglosa</v>
      </c>
      <c r="G440" s="2">
        <f>IFERROR(__xludf.DUMMYFUNCTION("""COMPUTED_VALUE"""),9.951876513E9)</f>
        <v>9951876513</v>
      </c>
      <c r="H440" s="2"/>
      <c r="I440" s="2"/>
      <c r="J440" s="2"/>
      <c r="K440" s="2" t="str">
        <f>IFERROR(__xludf.DUMMYFUNCTION("""COMPUTED_VALUE"""),"RCEF 23-09-21 Rebidding")</f>
        <v>RCEF 23-09-21 Rebidding</v>
      </c>
      <c r="L440" s="2">
        <f>IFERROR(__xludf.DUMMYFUNCTION("""COMPUTED_VALUE"""),4.0)</f>
        <v>4</v>
      </c>
      <c r="M440" s="2"/>
      <c r="N440" s="74">
        <f>IFERROR(__xludf.DUMMYFUNCTION("""COMPUTED_VALUE"""),45398.0)</f>
        <v>45398</v>
      </c>
      <c r="O440" s="2"/>
      <c r="P440" s="2">
        <f>IFERROR(__xludf.DUMMYFUNCTION("""COMPUTED_VALUE"""),19098.0)</f>
        <v>19098</v>
      </c>
      <c r="Q440" s="2" t="str">
        <f>IFERROR(__xludf.DUMMYFUNCTION("""COMPUTED_VALUE"""),"KMC5825 AERFPV0612")</f>
        <v>KMC5825 AERFPV0612</v>
      </c>
      <c r="R440" s="2" t="str">
        <f>IFERROR(__xludf.DUMMYFUNCTION("""COMPUTED_VALUE"""),"RTS 100579")</f>
        <v>RTS 100579</v>
      </c>
      <c r="S440" s="2" t="str">
        <f>IFERROR(__xludf.DUMMYFUNCTION("""COMPUTED_VALUE"""),"R-SERIES 442 PH")</f>
        <v>R-SERIES 442 PH</v>
      </c>
      <c r="T440" s="2" t="str">
        <f>IFERROR(__xludf.DUMMYFUNCTION("""COMPUTED_VALUE"""),"LSGW1750 RMP 24040676")</f>
        <v>LSGW1750 RMP 24040676</v>
      </c>
      <c r="U440" s="2" t="str">
        <f>IFERROR(__xludf.DUMMYFUNCTION("""COMPUTED_VALUE"""),"WDP40 RMP 24040417")</f>
        <v>WDP40 RMP 24040417</v>
      </c>
      <c r="V440" s="2"/>
      <c r="W440" s="2" t="str">
        <f>IFERROR(__xludf.DUMMYFUNCTION("""COMPUTED_VALUE"""),"VL103D")</f>
        <v>VL103D</v>
      </c>
      <c r="X440" s="2">
        <f>IFERROR(__xludf.DUMMYFUNCTION("""COMPUTED_VALUE"""),8.69066060240604E14)</f>
        <v>869066060240604</v>
      </c>
      <c r="Y440" s="2">
        <f>IFERROR(__xludf.DUMMYFUNCTION("""COMPUTED_VALUE"""),9.08676457E9)</f>
        <v>9086764570</v>
      </c>
      <c r="Z440" s="2"/>
      <c r="AA440" s="2"/>
      <c r="AB440" s="2"/>
    </row>
    <row r="441">
      <c r="A441" s="2" t="str">
        <f>IFERROR(__xludf.DUMMYFUNCTION("""COMPUTED_VALUE"""),"TT00439")</f>
        <v>TT00439</v>
      </c>
      <c r="B441" s="2" t="str">
        <f>IFERROR(__xludf.DUMMYFUNCTION("""COMPUTED_VALUE"""),"For Completion")</f>
        <v>For Completion</v>
      </c>
      <c r="C441" s="2"/>
      <c r="D441" s="2" t="str">
        <f>IFERROR(__xludf.DUMMYFUNCTION("""COMPUTED_VALUE"""),"SOSABU IRRIGATORS' ASSOCIATION, INC.")</f>
        <v>SOSABU IRRIGATORS' ASSOCIATION, INC.</v>
      </c>
      <c r="E441" s="2" t="str">
        <f>IFERROR(__xludf.DUMMYFUNCTION("""COMPUTED_VALUE"""),"Bungca, Barotac Nuevo, ILOILO")</f>
        <v>Bungca, Barotac Nuevo, ILOILO</v>
      </c>
      <c r="F441" s="2" t="str">
        <f>IFERROR(__xludf.DUMMYFUNCTION("""COMPUTED_VALUE"""),"Nicasio Hernalion")</f>
        <v>Nicasio Hernalion</v>
      </c>
      <c r="G441" s="2">
        <f>IFERROR(__xludf.DUMMYFUNCTION("""COMPUTED_VALUE"""),9.127754295E9)</f>
        <v>9127754295</v>
      </c>
      <c r="H441" s="2"/>
      <c r="I441" s="2"/>
      <c r="J441" s="2"/>
      <c r="K441" s="2" t="str">
        <f>IFERROR(__xludf.DUMMYFUNCTION("""COMPUTED_VALUE"""),"RCEF 23-09-21 Rebidding")</f>
        <v>RCEF 23-09-21 Rebidding</v>
      </c>
      <c r="L441" s="2">
        <f>IFERROR(__xludf.DUMMYFUNCTION("""COMPUTED_VALUE"""),4.0)</f>
        <v>4</v>
      </c>
      <c r="M441" s="2"/>
      <c r="N441" s="74">
        <f>IFERROR(__xludf.DUMMYFUNCTION("""COMPUTED_VALUE"""),45398.0)</f>
        <v>45398</v>
      </c>
      <c r="O441" s="2"/>
      <c r="P441" s="2">
        <f>IFERROR(__xludf.DUMMYFUNCTION("""COMPUTED_VALUE"""),19099.0)</f>
        <v>19099</v>
      </c>
      <c r="Q441" s="2" t="str">
        <f>IFERROR(__xludf.DUMMYFUNCTION("""COMPUTED_VALUE"""),"KMC5825 AHRFPV0611")</f>
        <v>KMC5825 AHRFPV0611</v>
      </c>
      <c r="R441" s="2" t="str">
        <f>IFERROR(__xludf.DUMMYFUNCTION("""COMPUTED_VALUE"""),"RTS 100583")</f>
        <v>RTS 100583</v>
      </c>
      <c r="S441" s="2" t="str">
        <f>IFERROR(__xludf.DUMMYFUNCTION("""COMPUTED_VALUE"""),"R-SERIES 429 PH")</f>
        <v>R-SERIES 429 PH</v>
      </c>
      <c r="T441" s="2" t="str">
        <f>IFERROR(__xludf.DUMMYFUNCTION("""COMPUTED_VALUE"""),"LSGW1750 RMP 24040709")</f>
        <v>LSGW1750 RMP 24040709</v>
      </c>
      <c r="U441" s="2" t="str">
        <f>IFERROR(__xludf.DUMMYFUNCTION("""COMPUTED_VALUE"""),"WDP40 RMP 24040433")</f>
        <v>WDP40 RMP 24040433</v>
      </c>
      <c r="V441" s="2"/>
      <c r="W441" s="2" t="str">
        <f>IFERROR(__xludf.DUMMYFUNCTION("""COMPUTED_VALUE"""),"VL103D")</f>
        <v>VL103D</v>
      </c>
      <c r="X441" s="2">
        <f>IFERROR(__xludf.DUMMYFUNCTION("""COMPUTED_VALUE"""),8.69066060243186E14)</f>
        <v>869066060243186</v>
      </c>
      <c r="Y441" s="2">
        <f>IFERROR(__xludf.DUMMYFUNCTION("""COMPUTED_VALUE"""),9.087149368E9)</f>
        <v>9087149368</v>
      </c>
      <c r="Z441" s="2"/>
      <c r="AA441" s="2"/>
      <c r="AB441" s="2"/>
    </row>
    <row r="442">
      <c r="A442" s="2" t="str">
        <f>IFERROR(__xludf.DUMMYFUNCTION("""COMPUTED_VALUE"""),"TT00440")</f>
        <v>TT00440</v>
      </c>
      <c r="B442" s="2" t="str">
        <f>IFERROR(__xludf.DUMMYFUNCTION("""COMPUTED_VALUE"""),"For Completion")</f>
        <v>For Completion</v>
      </c>
      <c r="C442" s="2"/>
      <c r="D442" s="2" t="str">
        <f>IFERROR(__xludf.DUMMYFUNCTION("""COMPUTED_VALUE"""),"Bungloy Integrated Farmers Association")</f>
        <v>Bungloy Integrated Farmers Association</v>
      </c>
      <c r="E442" s="2" t="str">
        <f>IFERROR(__xludf.DUMMYFUNCTION("""COMPUTED_VALUE"""),"Bongloy, Dingle, ILOILO")</f>
        <v>Bongloy, Dingle, ILOILO</v>
      </c>
      <c r="F442" s="2" t="str">
        <f>IFERROR(__xludf.DUMMYFUNCTION("""COMPUTED_VALUE"""),"Martin P. Franciliso Jr.")</f>
        <v>Martin P. Franciliso Jr.</v>
      </c>
      <c r="G442" s="2" t="str">
        <f>IFERROR(__xludf.DUMMYFUNCTION("""COMPUTED_VALUE"""),"0961 652 9867")</f>
        <v>0961 652 9867</v>
      </c>
      <c r="H442" s="2"/>
      <c r="I442" s="2"/>
      <c r="J442" s="2"/>
      <c r="K442" s="2" t="str">
        <f>IFERROR(__xludf.DUMMYFUNCTION("""COMPUTED_VALUE"""),"RCEF 23-09-21 Rebidding")</f>
        <v>RCEF 23-09-21 Rebidding</v>
      </c>
      <c r="L442" s="2">
        <f>IFERROR(__xludf.DUMMYFUNCTION("""COMPUTED_VALUE"""),4.0)</f>
        <v>4</v>
      </c>
      <c r="M442" s="2"/>
      <c r="N442" s="74">
        <f>IFERROR(__xludf.DUMMYFUNCTION("""COMPUTED_VALUE"""),45398.0)</f>
        <v>45398</v>
      </c>
      <c r="O442" s="2"/>
      <c r="P442" s="2">
        <f>IFERROR(__xludf.DUMMYFUNCTION("""COMPUTED_VALUE"""),19100.0)</f>
        <v>19100</v>
      </c>
      <c r="Q442" s="2" t="str">
        <f>IFERROR(__xludf.DUMMYFUNCTION("""COMPUTED_VALUE"""),"KMC5825 AJRFPV0682")</f>
        <v>KMC5825 AJRFPV0682</v>
      </c>
      <c r="R442" s="2" t="str">
        <f>IFERROR(__xludf.DUMMYFUNCTION("""COMPUTED_VALUE"""),"RTS 100554")</f>
        <v>RTS 100554</v>
      </c>
      <c r="S442" s="2" t="str">
        <f>IFERROR(__xludf.DUMMYFUNCTION("""COMPUTED_VALUE"""),"R-SERIES 437 PH")</f>
        <v>R-SERIES 437 PH</v>
      </c>
      <c r="T442" s="2" t="str">
        <f>IFERROR(__xludf.DUMMYFUNCTION("""COMPUTED_VALUE"""),"LSGW1750 RMP 24040715")</f>
        <v>LSGW1750 RMP 24040715</v>
      </c>
      <c r="U442" s="2" t="str">
        <f>IFERROR(__xludf.DUMMYFUNCTION("""COMPUTED_VALUE"""),"WDP40 RMP 24040436")</f>
        <v>WDP40 RMP 24040436</v>
      </c>
      <c r="V442" s="2"/>
      <c r="W442" s="2" t="str">
        <f>IFERROR(__xludf.DUMMYFUNCTION("""COMPUTED_VALUE"""),"VL103D")</f>
        <v>VL103D</v>
      </c>
      <c r="X442" s="2">
        <f>IFERROR(__xludf.DUMMYFUNCTION("""COMPUTED_VALUE"""),8.69066060244945E14)</f>
        <v>869066060244945</v>
      </c>
      <c r="Y442" s="2">
        <f>IFERROR(__xludf.DUMMYFUNCTION("""COMPUTED_VALUE"""),9.084284757E9)</f>
        <v>9084284757</v>
      </c>
      <c r="Z442" s="2"/>
      <c r="AA442" s="2"/>
      <c r="AB442" s="2"/>
    </row>
    <row r="443">
      <c r="A443" s="2" t="str">
        <f>IFERROR(__xludf.DUMMYFUNCTION("""COMPUTED_VALUE"""),"TT00441")</f>
        <v>TT00441</v>
      </c>
      <c r="B443" s="2" t="str">
        <f>IFERROR(__xludf.DUMMYFUNCTION("""COMPUTED_VALUE"""),"For Completion")</f>
        <v>For Completion</v>
      </c>
      <c r="C443" s="2"/>
      <c r="D443" s="2" t="str">
        <f>IFERROR(__xludf.DUMMYFUNCTION("""COMPUTED_VALUE"""),"Tanghawan Farmers Association")</f>
        <v>Tanghawan Farmers Association</v>
      </c>
      <c r="E443" s="2" t="str">
        <f>IFERROR(__xludf.DUMMYFUNCTION("""COMPUTED_VALUE"""),"Tanghawan, Dingle, ILOILO")</f>
        <v>Tanghawan, Dingle, ILOILO</v>
      </c>
      <c r="F443" s="2" t="str">
        <f>IFERROR(__xludf.DUMMYFUNCTION("""COMPUTED_VALUE"""),"Michael D. Damasing")</f>
        <v>Michael D. Damasing</v>
      </c>
      <c r="G443" s="2">
        <f>IFERROR(__xludf.DUMMYFUNCTION("""COMPUTED_VALUE"""),9.150157766E9)</f>
        <v>9150157766</v>
      </c>
      <c r="H443" s="2"/>
      <c r="I443" s="2"/>
      <c r="J443" s="2"/>
      <c r="K443" s="2" t="str">
        <f>IFERROR(__xludf.DUMMYFUNCTION("""COMPUTED_VALUE"""),"RCEF 23-09-21 Rebidding")</f>
        <v>RCEF 23-09-21 Rebidding</v>
      </c>
      <c r="L443" s="2">
        <f>IFERROR(__xludf.DUMMYFUNCTION("""COMPUTED_VALUE"""),4.0)</f>
        <v>4</v>
      </c>
      <c r="M443" s="2"/>
      <c r="N443" s="74">
        <f>IFERROR(__xludf.DUMMYFUNCTION("""COMPUTED_VALUE"""),45398.0)</f>
        <v>45398</v>
      </c>
      <c r="O443" s="2"/>
      <c r="P443" s="2">
        <f>IFERROR(__xludf.DUMMYFUNCTION("""COMPUTED_VALUE"""),19101.0)</f>
        <v>19101</v>
      </c>
      <c r="Q443" s="2" t="str">
        <f>IFERROR(__xludf.DUMMYFUNCTION("""COMPUTED_VALUE"""),"KMC5825 AARFPV0511")</f>
        <v>KMC5825 AARFPV0511</v>
      </c>
      <c r="R443" s="2" t="str">
        <f>IFERROR(__xludf.DUMMYFUNCTION("""COMPUTED_VALUE"""),"RTS 100405")</f>
        <v>RTS 100405</v>
      </c>
      <c r="S443" s="2" t="str">
        <f>IFERROR(__xludf.DUMMYFUNCTION("""COMPUTED_VALUE"""),"R-SERIES 438 PH")</f>
        <v>R-SERIES 438 PH</v>
      </c>
      <c r="T443" s="2" t="str">
        <f>IFERROR(__xludf.DUMMYFUNCTION("""COMPUTED_VALUE"""),"LSGW1750 RMP 24040700")</f>
        <v>LSGW1750 RMP 24040700</v>
      </c>
      <c r="U443" s="2" t="str">
        <f>IFERROR(__xludf.DUMMYFUNCTION("""COMPUTED_VALUE"""),"WDP40 RMP 24040452")</f>
        <v>WDP40 RMP 24040452</v>
      </c>
      <c r="V443" s="2"/>
      <c r="W443" s="2" t="str">
        <f>IFERROR(__xludf.DUMMYFUNCTION("""COMPUTED_VALUE"""),"VL103D")</f>
        <v>VL103D</v>
      </c>
      <c r="X443" s="2">
        <f>IFERROR(__xludf.DUMMYFUNCTION("""COMPUTED_VALUE"""),8.69066060242642E14)</f>
        <v>869066060242642</v>
      </c>
      <c r="Y443" s="2">
        <f>IFERROR(__xludf.DUMMYFUNCTION("""COMPUTED_VALUE"""),9.08769569E9)</f>
        <v>9087695690</v>
      </c>
      <c r="Z443" s="2"/>
      <c r="AA443" s="2"/>
      <c r="AB443" s="2"/>
    </row>
    <row r="444">
      <c r="A444" s="2" t="str">
        <f>IFERROR(__xludf.DUMMYFUNCTION("""COMPUTED_VALUE"""),"TT00442")</f>
        <v>TT00442</v>
      </c>
      <c r="B444" s="2" t="str">
        <f>IFERROR(__xludf.DUMMYFUNCTION("""COMPUTED_VALUE"""),"For Completion")</f>
        <v>For Completion</v>
      </c>
      <c r="C444" s="2"/>
      <c r="D444" s="2" t="str">
        <f>IFERROR(__xludf.DUMMYFUNCTION("""COMPUTED_VALUE"""),"Bugtongan Farmers Association")</f>
        <v>Bugtongan Farmers Association</v>
      </c>
      <c r="E444" s="2" t="str">
        <f>IFERROR(__xludf.DUMMYFUNCTION("""COMPUTED_VALUE"""),"Bugtongan, Duenas, ILOILO")</f>
        <v>Bugtongan, Duenas, ILOILO</v>
      </c>
      <c r="F444" s="2" t="str">
        <f>IFERROR(__xludf.DUMMYFUNCTION("""COMPUTED_VALUE"""),"Narciso T. Sorongon")</f>
        <v>Narciso T. Sorongon</v>
      </c>
      <c r="G444" s="2" t="str">
        <f>IFERROR(__xludf.DUMMYFUNCTION("""COMPUTED_VALUE"""),"0921 318 8684")</f>
        <v>0921 318 8684</v>
      </c>
      <c r="H444" s="2"/>
      <c r="I444" s="2"/>
      <c r="J444" s="2"/>
      <c r="K444" s="2" t="str">
        <f>IFERROR(__xludf.DUMMYFUNCTION("""COMPUTED_VALUE"""),"RCEF 23-09-21 Rebidding")</f>
        <v>RCEF 23-09-21 Rebidding</v>
      </c>
      <c r="L444" s="2">
        <f>IFERROR(__xludf.DUMMYFUNCTION("""COMPUTED_VALUE"""),4.0)</f>
        <v>4</v>
      </c>
      <c r="M444" s="2"/>
      <c r="N444" s="74">
        <f>IFERROR(__xludf.DUMMYFUNCTION("""COMPUTED_VALUE"""),45398.0)</f>
        <v>45398</v>
      </c>
      <c r="O444" s="2"/>
      <c r="P444" s="2">
        <f>IFERROR(__xludf.DUMMYFUNCTION("""COMPUTED_VALUE"""),19102.0)</f>
        <v>19102</v>
      </c>
      <c r="Q444" s="2" t="str">
        <f>IFERROR(__xludf.DUMMYFUNCTION("""COMPUTED_VALUE"""),"KMC5825 APRFPV0209")</f>
        <v>KMC5825 APRFPV0209</v>
      </c>
      <c r="R444" s="2" t="str">
        <f>IFERROR(__xludf.DUMMYFUNCTION("""COMPUTED_VALUE"""),"RTS 100135")</f>
        <v>RTS 100135</v>
      </c>
      <c r="S444" s="2" t="str">
        <f>IFERROR(__xludf.DUMMYFUNCTION("""COMPUTED_VALUE"""),"WR-SERIES 724 PH")</f>
        <v>WR-SERIES 724 PH</v>
      </c>
      <c r="T444" s="2" t="str">
        <f>IFERROR(__xludf.DUMMYFUNCTION("""COMPUTED_VALUE"""),"LSGW1750 RMP 24040697")</f>
        <v>LSGW1750 RMP 24040697</v>
      </c>
      <c r="U444" s="2" t="str">
        <f>IFERROR(__xludf.DUMMYFUNCTION("""COMPUTED_VALUE"""),"WDP40 RMP 24040415")</f>
        <v>WDP40 RMP 24040415</v>
      </c>
      <c r="V444" s="2"/>
      <c r="W444" s="2" t="str">
        <f>IFERROR(__xludf.DUMMYFUNCTION("""COMPUTED_VALUE"""),"VL103D")</f>
        <v>VL103D</v>
      </c>
      <c r="X444" s="2">
        <f>IFERROR(__xludf.DUMMYFUNCTION("""COMPUTED_VALUE"""),8.69066060242659E14)</f>
        <v>869066060242659</v>
      </c>
      <c r="Y444" s="2">
        <f>IFERROR(__xludf.DUMMYFUNCTION("""COMPUTED_VALUE"""),9.086778259E9)</f>
        <v>9086778259</v>
      </c>
      <c r="Z444" s="2"/>
      <c r="AA444" s="2"/>
      <c r="AB444" s="2"/>
    </row>
    <row r="445">
      <c r="A445" s="2" t="str">
        <f>IFERROR(__xludf.DUMMYFUNCTION("""COMPUTED_VALUE"""),"TT00443")</f>
        <v>TT00443</v>
      </c>
      <c r="B445" s="2" t="str">
        <f>IFERROR(__xludf.DUMMYFUNCTION("""COMPUTED_VALUE"""),"For Completion")</f>
        <v>For Completion</v>
      </c>
      <c r="C445" s="2"/>
      <c r="D445" s="2" t="str">
        <f>IFERROR(__xludf.DUMMYFUNCTION("""COMPUTED_VALUE"""),"ILAGBATA IRRIGATORS' ASSOCIATION")</f>
        <v>ILAGBATA IRRIGATORS' ASSOCIATION</v>
      </c>
      <c r="E445" s="2" t="str">
        <f>IFERROR(__xludf.DUMMYFUNCTION("""COMPUTED_VALUE"""),"Bacong, Dumangas, ILOILO")</f>
        <v>Bacong, Dumangas, ILOILO</v>
      </c>
      <c r="F445" s="2" t="str">
        <f>IFERROR(__xludf.DUMMYFUNCTION("""COMPUTED_VALUE"""),"Rogelio D. Diamante")</f>
        <v>Rogelio D. Diamante</v>
      </c>
      <c r="G445" s="2">
        <f>IFERROR(__xludf.DUMMYFUNCTION("""COMPUTED_VALUE"""),9.617884936E9)</f>
        <v>9617884936</v>
      </c>
      <c r="H445" s="2"/>
      <c r="I445" s="2"/>
      <c r="J445" s="2"/>
      <c r="K445" s="2" t="str">
        <f>IFERROR(__xludf.DUMMYFUNCTION("""COMPUTED_VALUE"""),"RCEF 23-09-21 Rebidding")</f>
        <v>RCEF 23-09-21 Rebidding</v>
      </c>
      <c r="L445" s="2">
        <f>IFERROR(__xludf.DUMMYFUNCTION("""COMPUTED_VALUE"""),4.0)</f>
        <v>4</v>
      </c>
      <c r="M445" s="2"/>
      <c r="N445" s="74">
        <f>IFERROR(__xludf.DUMMYFUNCTION("""COMPUTED_VALUE"""),45398.0)</f>
        <v>45398</v>
      </c>
      <c r="O445" s="2"/>
      <c r="P445" s="2">
        <f>IFERROR(__xludf.DUMMYFUNCTION("""COMPUTED_VALUE"""),19103.0)</f>
        <v>19103</v>
      </c>
      <c r="Q445" s="2" t="str">
        <f>IFERROR(__xludf.DUMMYFUNCTION("""COMPUTED_VALUE"""),"KMC5825 ALRFPV0574")</f>
        <v>KMC5825 ALRFPV0574</v>
      </c>
      <c r="R445" s="2" t="str">
        <f>IFERROR(__xludf.DUMMYFUNCTION("""COMPUTED_VALUE"""),"RTS 100477")</f>
        <v>RTS 100477</v>
      </c>
      <c r="S445" s="2" t="str">
        <f>IFERROR(__xludf.DUMMYFUNCTION("""COMPUTED_VALUE"""),"WR-SERIES 441 PH")</f>
        <v>WR-SERIES 441 PH</v>
      </c>
      <c r="T445" s="2" t="str">
        <f>IFERROR(__xludf.DUMMYFUNCTION("""COMPUTED_VALUE"""),"LSGW1750 RMP 24040713")</f>
        <v>LSGW1750 RMP 24040713</v>
      </c>
      <c r="U445" s="2" t="str">
        <f>IFERROR(__xludf.DUMMYFUNCTION("""COMPUTED_VALUE"""),"WDP40 RMP 24040425")</f>
        <v>WDP40 RMP 24040425</v>
      </c>
      <c r="V445" s="2"/>
      <c r="W445" s="2" t="str">
        <f>IFERROR(__xludf.DUMMYFUNCTION("""COMPUTED_VALUE"""),"VL103D")</f>
        <v>VL103D</v>
      </c>
      <c r="X445" s="2">
        <f>IFERROR(__xludf.DUMMYFUNCTION("""COMPUTED_VALUE"""),8.69066060241917E14)</f>
        <v>869066060241917</v>
      </c>
      <c r="Y445" s="2">
        <f>IFERROR(__xludf.DUMMYFUNCTION("""COMPUTED_VALUE"""),9.087213179E9)</f>
        <v>9087213179</v>
      </c>
      <c r="Z445" s="2"/>
      <c r="AA445" s="2"/>
      <c r="AB445" s="2"/>
    </row>
    <row r="446">
      <c r="A446" s="2" t="str">
        <f>IFERROR(__xludf.DUMMYFUNCTION("""COMPUTED_VALUE"""),"TT00444")</f>
        <v>TT00444</v>
      </c>
      <c r="B446" s="2" t="str">
        <f>IFERROR(__xludf.DUMMYFUNCTION("""COMPUTED_VALUE"""),"For Completion")</f>
        <v>For Completion</v>
      </c>
      <c r="C446" s="2"/>
      <c r="D446" s="2" t="str">
        <f>IFERROR(__xludf.DUMMYFUNCTION("""COMPUTED_VALUE"""),"Cabugao Viejo Farmers Association")</f>
        <v>Cabugao Viejo Farmers Association</v>
      </c>
      <c r="E446" s="2" t="str">
        <f>IFERROR(__xludf.DUMMYFUNCTION("""COMPUTED_VALUE"""),"Cabugao Viejo, San Enrique, ILOILO")</f>
        <v>Cabugao Viejo, San Enrique, ILOILO</v>
      </c>
      <c r="F446" s="2" t="str">
        <f>IFERROR(__xludf.DUMMYFUNCTION("""COMPUTED_VALUE"""),"Rogelio P. Palermo")</f>
        <v>Rogelio P. Palermo</v>
      </c>
      <c r="G446" s="2" t="str">
        <f>IFERROR(__xludf.DUMMYFUNCTION("""COMPUTED_VALUE"""),"0907 177 4773")</f>
        <v>0907 177 4773</v>
      </c>
      <c r="H446" s="2"/>
      <c r="I446" s="2"/>
      <c r="J446" s="2"/>
      <c r="K446" s="2" t="str">
        <f>IFERROR(__xludf.DUMMYFUNCTION("""COMPUTED_VALUE"""),"RCEF 23-09-21 Rebidding")</f>
        <v>RCEF 23-09-21 Rebidding</v>
      </c>
      <c r="L446" s="2">
        <f>IFERROR(__xludf.DUMMYFUNCTION("""COMPUTED_VALUE"""),4.0)</f>
        <v>4</v>
      </c>
      <c r="M446" s="2"/>
      <c r="N446" s="74">
        <f>IFERROR(__xludf.DUMMYFUNCTION("""COMPUTED_VALUE"""),45398.0)</f>
        <v>45398</v>
      </c>
      <c r="O446" s="2"/>
      <c r="P446" s="2">
        <f>IFERROR(__xludf.DUMMYFUNCTION("""COMPUTED_VALUE"""),19104.0)</f>
        <v>19104</v>
      </c>
      <c r="Q446" s="2" t="str">
        <f>IFERROR(__xludf.DUMMYFUNCTION("""COMPUTED_VALUE"""),"KMC5825 ALRFPV0350")</f>
        <v>KMC5825 ALRFPV0350</v>
      </c>
      <c r="R446" s="2" t="str">
        <f>IFERROR(__xludf.DUMMYFUNCTION("""COMPUTED_VALUE"""),"RTS 100236")</f>
        <v>RTS 100236</v>
      </c>
      <c r="S446" s="2" t="str">
        <f>IFERROR(__xludf.DUMMYFUNCTION("""COMPUTED_VALUE"""),"R-SERIES 430 PH")</f>
        <v>R-SERIES 430 PH</v>
      </c>
      <c r="T446" s="2" t="str">
        <f>IFERROR(__xludf.DUMMYFUNCTION("""COMPUTED_VALUE"""),"LSGW1750 RMP 24040682")</f>
        <v>LSGW1750 RMP 24040682</v>
      </c>
      <c r="U446" s="2" t="str">
        <f>IFERROR(__xludf.DUMMYFUNCTION("""COMPUTED_VALUE"""),"WDP40 RMP 24040419")</f>
        <v>WDP40 RMP 24040419</v>
      </c>
      <c r="V446" s="2"/>
      <c r="W446" s="2" t="str">
        <f>IFERROR(__xludf.DUMMYFUNCTION("""COMPUTED_VALUE"""),"VL103D")</f>
        <v>VL103D</v>
      </c>
      <c r="X446" s="2">
        <f>IFERROR(__xludf.DUMMYFUNCTION("""COMPUTED_VALUE"""),8.6906606023279E14)</f>
        <v>869066060232790</v>
      </c>
      <c r="Y446" s="2">
        <f>IFERROR(__xludf.DUMMYFUNCTION("""COMPUTED_VALUE"""),9.087606039E9)</f>
        <v>9087606039</v>
      </c>
      <c r="Z446" s="2"/>
      <c r="AA446" s="2"/>
      <c r="AB446" s="2"/>
    </row>
    <row r="447">
      <c r="A447" s="2" t="str">
        <f>IFERROR(__xludf.DUMMYFUNCTION("""COMPUTED_VALUE"""),"TT00445")</f>
        <v>TT00445</v>
      </c>
      <c r="B447" s="2" t="str">
        <f>IFERROR(__xludf.DUMMYFUNCTION("""COMPUTED_VALUE"""),"For Completion")</f>
        <v>For Completion</v>
      </c>
      <c r="C447" s="2"/>
      <c r="D447" s="2" t="str">
        <f>IFERROR(__xludf.DUMMYFUNCTION("""COMPUTED_VALUE"""),"Madarag Farmers Association")</f>
        <v>Madarag Farmers Association</v>
      </c>
      <c r="E447" s="2" t="str">
        <f>IFERROR(__xludf.DUMMYFUNCTION("""COMPUTED_VALUE"""),"Madarag, San Enrique, ILOILO")</f>
        <v>Madarag, San Enrique, ILOILO</v>
      </c>
      <c r="F447" s="2" t="str">
        <f>IFERROR(__xludf.DUMMYFUNCTION("""COMPUTED_VALUE"""),"Fernando N. Agnes Jr.")</f>
        <v>Fernando N. Agnes Jr.</v>
      </c>
      <c r="G447" s="2" t="str">
        <f>IFERROR(__xludf.DUMMYFUNCTION("""COMPUTED_VALUE"""),"0912 443 2584")</f>
        <v>0912 443 2584</v>
      </c>
      <c r="H447" s="2"/>
      <c r="I447" s="2"/>
      <c r="J447" s="2"/>
      <c r="K447" s="2" t="str">
        <f>IFERROR(__xludf.DUMMYFUNCTION("""COMPUTED_VALUE"""),"RCEF 23-09-21 Rebidding")</f>
        <v>RCEF 23-09-21 Rebidding</v>
      </c>
      <c r="L447" s="2">
        <f>IFERROR(__xludf.DUMMYFUNCTION("""COMPUTED_VALUE"""),4.0)</f>
        <v>4</v>
      </c>
      <c r="M447" s="2"/>
      <c r="N447" s="74">
        <f>IFERROR(__xludf.DUMMYFUNCTION("""COMPUTED_VALUE"""),45398.0)</f>
        <v>45398</v>
      </c>
      <c r="O447" s="2"/>
      <c r="P447" s="2">
        <f>IFERROR(__xludf.DUMMYFUNCTION("""COMPUTED_VALUE"""),19105.0)</f>
        <v>19105</v>
      </c>
      <c r="Q447" s="2" t="str">
        <f>IFERROR(__xludf.DUMMYFUNCTION("""COMPUTED_VALUE"""),"KMC5825 ALRFPV0591")</f>
        <v>KMC5825 ALRFPV0591</v>
      </c>
      <c r="R447" s="2" t="str">
        <f>IFERROR(__xludf.DUMMYFUNCTION("""COMPUTED_VALUE"""),"RTS 100538 ")</f>
        <v>RTS 100538 </v>
      </c>
      <c r="S447" s="2" t="str">
        <f>IFERROR(__xludf.DUMMYFUNCTION("""COMPUTED_VALUE"""),"R-SERIES 434 PH")</f>
        <v>R-SERIES 434 PH</v>
      </c>
      <c r="T447" s="2" t="str">
        <f>IFERROR(__xludf.DUMMYFUNCTION("""COMPUTED_VALUE"""),"LSGW1750 RMP 24040686")</f>
        <v>LSGW1750 RMP 24040686</v>
      </c>
      <c r="U447" s="2" t="str">
        <f>IFERROR(__xludf.DUMMYFUNCTION("""COMPUTED_VALUE"""),"WDP40 RMP 24040424")</f>
        <v>WDP40 RMP 24040424</v>
      </c>
      <c r="V447" s="2"/>
      <c r="W447" s="2" t="str">
        <f>IFERROR(__xludf.DUMMYFUNCTION("""COMPUTED_VALUE"""),"VL103D")</f>
        <v>VL103D</v>
      </c>
      <c r="X447" s="2">
        <f>IFERROR(__xludf.DUMMYFUNCTION("""COMPUTED_VALUE"""),8.69066060242162E14)</f>
        <v>869066060242162</v>
      </c>
      <c r="Y447" s="2">
        <f>IFERROR(__xludf.DUMMYFUNCTION("""COMPUTED_VALUE"""),9.084510879E9)</f>
        <v>9084510879</v>
      </c>
      <c r="Z447" s="2"/>
      <c r="AA447" s="2"/>
      <c r="AB447" s="2"/>
    </row>
    <row r="448">
      <c r="A448" s="2" t="str">
        <f>IFERROR(__xludf.DUMMYFUNCTION("""COMPUTED_VALUE"""),"TT00446")</f>
        <v>TT00446</v>
      </c>
      <c r="B448" s="2" t="str">
        <f>IFERROR(__xludf.DUMMYFUNCTION("""COMPUTED_VALUE"""),"For Completion")</f>
        <v>For Completion</v>
      </c>
      <c r="C448" s="2"/>
      <c r="D448" s="2" t="str">
        <f>IFERROR(__xludf.DUMMYFUNCTION("""COMPUTED_VALUE"""),"Pili Farmers Association")</f>
        <v>Pili Farmers Association</v>
      </c>
      <c r="E448" s="2" t="str">
        <f>IFERROR(__xludf.DUMMYFUNCTION("""COMPUTED_VALUE"""),"Pili, Ajuy, ILOILO")</f>
        <v>Pili, Ajuy, ILOILO</v>
      </c>
      <c r="F448" s="2" t="str">
        <f>IFERROR(__xludf.DUMMYFUNCTION("""COMPUTED_VALUE"""),"Ariel J. Asong")</f>
        <v>Ariel J. Asong</v>
      </c>
      <c r="G448" s="2" t="str">
        <f>IFERROR(__xludf.DUMMYFUNCTION("""COMPUTED_VALUE"""),"0930 292 3044")</f>
        <v>0930 292 3044</v>
      </c>
      <c r="H448" s="2"/>
      <c r="I448" s="2"/>
      <c r="J448" s="2"/>
      <c r="K448" s="2" t="str">
        <f>IFERROR(__xludf.DUMMYFUNCTION("""COMPUTED_VALUE"""),"RCEF 23-09-21 Rebidding")</f>
        <v>RCEF 23-09-21 Rebidding</v>
      </c>
      <c r="L448" s="2">
        <f>IFERROR(__xludf.DUMMYFUNCTION("""COMPUTED_VALUE"""),4.0)</f>
        <v>4</v>
      </c>
      <c r="M448" s="2"/>
      <c r="N448" s="74">
        <f>IFERROR(__xludf.DUMMYFUNCTION("""COMPUTED_VALUE"""),45398.0)</f>
        <v>45398</v>
      </c>
      <c r="O448" s="2"/>
      <c r="P448" s="2">
        <f>IFERROR(__xludf.DUMMYFUNCTION("""COMPUTED_VALUE"""),19106.0)</f>
        <v>19106</v>
      </c>
      <c r="Q448" s="2" t="str">
        <f>IFERROR(__xludf.DUMMYFUNCTION("""COMPUTED_VALUE"""),"KMC5825 AARFPV0153")</f>
        <v>KMC5825 AARFPV0153</v>
      </c>
      <c r="R448" s="2" t="str">
        <f>IFERROR(__xludf.DUMMYFUNCTION("""COMPUTED_VALUE"""),"RTS 100101")</f>
        <v>RTS 100101</v>
      </c>
      <c r="S448" s="2" t="str">
        <f>IFERROR(__xludf.DUMMYFUNCTION("""COMPUTED_VALUE"""),"WR-SERIES 719 PH")</f>
        <v>WR-SERIES 719 PH</v>
      </c>
      <c r="T448" s="2" t="str">
        <f>IFERROR(__xludf.DUMMYFUNCTION("""COMPUTED_VALUE"""),"LSGW1750  RMP 24040694")</f>
        <v>LSGW1750  RMP 24040694</v>
      </c>
      <c r="U448" s="2" t="str">
        <f>IFERROR(__xludf.DUMMYFUNCTION("""COMPUTED_VALUE"""),"WDP40 RMP 24040453")</f>
        <v>WDP40 RMP 24040453</v>
      </c>
      <c r="V448" s="2"/>
      <c r="W448" s="2" t="str">
        <f>IFERROR(__xludf.DUMMYFUNCTION("""COMPUTED_VALUE"""),"VL103D")</f>
        <v>VL103D</v>
      </c>
      <c r="X448" s="2">
        <f>IFERROR(__xludf.DUMMYFUNCTION("""COMPUTED_VALUE"""),8.69066060244911E14)</f>
        <v>869066060244911</v>
      </c>
      <c r="Y448" s="2">
        <f>IFERROR(__xludf.DUMMYFUNCTION("""COMPUTED_VALUE"""),9.086802258E9)</f>
        <v>9086802258</v>
      </c>
      <c r="Z448" s="2"/>
      <c r="AA448" s="2"/>
      <c r="AB448" s="2"/>
    </row>
    <row r="449">
      <c r="A449" s="2" t="str">
        <f>IFERROR(__xludf.DUMMYFUNCTION("""COMPUTED_VALUE"""),"TT00447")</f>
        <v>TT00447</v>
      </c>
      <c r="B449" s="2" t="str">
        <f>IFERROR(__xludf.DUMMYFUNCTION("""COMPUTED_VALUE"""),"For Completion")</f>
        <v>For Completion</v>
      </c>
      <c r="C449" s="2"/>
      <c r="D449" s="2" t="str">
        <f>IFERROR(__xludf.DUMMYFUNCTION("""COMPUTED_VALUE"""),"Puente Bunglas Farmers Association")</f>
        <v>Puente Bunglas Farmers Association</v>
      </c>
      <c r="E449" s="2" t="str">
        <f>IFERROR(__xludf.DUMMYFUNCTION("""COMPUTED_VALUE"""),"Puente Bunglas, Ajuy, ILOILO")</f>
        <v>Puente Bunglas, Ajuy, ILOILO</v>
      </c>
      <c r="F449" s="2" t="str">
        <f>IFERROR(__xludf.DUMMYFUNCTION("""COMPUTED_VALUE"""),"Riza R. Eler")</f>
        <v>Riza R. Eler</v>
      </c>
      <c r="G449" s="2">
        <f>IFERROR(__xludf.DUMMYFUNCTION("""COMPUTED_VALUE"""),9.382247049E9)</f>
        <v>9382247049</v>
      </c>
      <c r="H449" s="2"/>
      <c r="I449" s="2"/>
      <c r="J449" s="2"/>
      <c r="K449" s="2" t="str">
        <f>IFERROR(__xludf.DUMMYFUNCTION("""COMPUTED_VALUE"""),"RCEF 23-09-21 Rebidding")</f>
        <v>RCEF 23-09-21 Rebidding</v>
      </c>
      <c r="L449" s="2">
        <f>IFERROR(__xludf.DUMMYFUNCTION("""COMPUTED_VALUE"""),4.0)</f>
        <v>4</v>
      </c>
      <c r="M449" s="2"/>
      <c r="N449" s="74">
        <f>IFERROR(__xludf.DUMMYFUNCTION("""COMPUTED_VALUE"""),45398.0)</f>
        <v>45398</v>
      </c>
      <c r="O449" s="2"/>
      <c r="P449" s="2">
        <f>IFERROR(__xludf.DUMMYFUNCTION("""COMPUTED_VALUE"""),19107.0)</f>
        <v>19107</v>
      </c>
      <c r="Q449" s="2" t="str">
        <f>IFERROR(__xludf.DUMMYFUNCTION("""COMPUTED_VALUE"""),"KMC5825 ATRFPV0306")</f>
        <v>KMC5825 ATRFPV0306</v>
      </c>
      <c r="R449" s="2" t="str">
        <f>IFERROR(__xludf.DUMMYFUNCTION("""COMPUTED_VALUE"""),"RTS 100181")</f>
        <v>RTS 100181</v>
      </c>
      <c r="S449" s="2" t="str">
        <f>IFERROR(__xludf.DUMMYFUNCTION("""COMPUTED_VALUE"""),"WR-SERIES 713 PH")</f>
        <v>WR-SERIES 713 PH</v>
      </c>
      <c r="T449" s="2" t="str">
        <f>IFERROR(__xludf.DUMMYFUNCTION("""COMPUTED_VALUE"""),"LSGW1750 RMP 24040708")</f>
        <v>LSGW1750 RMP 24040708</v>
      </c>
      <c r="U449" s="2" t="str">
        <f>IFERROR(__xludf.DUMMYFUNCTION("""COMPUTED_VALUE"""),"WDP40 RMP 24040407")</f>
        <v>WDP40 RMP 24040407</v>
      </c>
      <c r="V449" s="2"/>
      <c r="W449" s="2" t="str">
        <f>IFERROR(__xludf.DUMMYFUNCTION("""COMPUTED_VALUE"""),"VL103D")</f>
        <v>VL103D</v>
      </c>
      <c r="X449" s="2">
        <f>IFERROR(__xludf.DUMMYFUNCTION("""COMPUTED_VALUE"""),8.69066060239616E14)</f>
        <v>869066060239616</v>
      </c>
      <c r="Y449" s="2">
        <f>IFERROR(__xludf.DUMMYFUNCTION("""COMPUTED_VALUE"""),9.083443054E9)</f>
        <v>9083443054</v>
      </c>
      <c r="Z449" s="2"/>
      <c r="AA449" s="2"/>
      <c r="AB449" s="2"/>
    </row>
    <row r="450">
      <c r="A450" s="2" t="str">
        <f>IFERROR(__xludf.DUMMYFUNCTION("""COMPUTED_VALUE"""),"TT00448")</f>
        <v>TT00448</v>
      </c>
      <c r="B450" s="2" t="str">
        <f>IFERROR(__xludf.DUMMYFUNCTION("""COMPUTED_VALUE"""),"For Completion")</f>
        <v>For Completion</v>
      </c>
      <c r="C450" s="2"/>
      <c r="D450" s="2" t="str">
        <f>IFERROR(__xludf.DUMMYFUNCTION("""COMPUTED_VALUE"""),"TIMIPAL AGRARIAN REFORM BENEFICIARIES MULTI-PURPOSE COOPERATIVE")</f>
        <v>TIMIPAL AGRARIAN REFORM BENEFICIARIES MULTI-PURPOSE COOPERATIVE</v>
      </c>
      <c r="E450" s="2" t="str">
        <f>IFERROR(__xludf.DUMMYFUNCTION("""COMPUTED_VALUE"""),"Pani-an, Balasan, ILOILO")</f>
        <v>Pani-an, Balasan, ILOILO</v>
      </c>
      <c r="F450" s="2" t="str">
        <f>IFERROR(__xludf.DUMMYFUNCTION("""COMPUTED_VALUE"""),"Alberto C. Lamigo")</f>
        <v>Alberto C. Lamigo</v>
      </c>
      <c r="G450" s="2">
        <f>IFERROR(__xludf.DUMMYFUNCTION("""COMPUTED_VALUE"""),9.128453091E9)</f>
        <v>9128453091</v>
      </c>
      <c r="H450" s="2"/>
      <c r="I450" s="2"/>
      <c r="J450" s="2"/>
      <c r="K450" s="2" t="str">
        <f>IFERROR(__xludf.DUMMYFUNCTION("""COMPUTED_VALUE"""),"RCEF 23-09-21 Rebidding")</f>
        <v>RCEF 23-09-21 Rebidding</v>
      </c>
      <c r="L450" s="2">
        <f>IFERROR(__xludf.DUMMYFUNCTION("""COMPUTED_VALUE"""),4.0)</f>
        <v>4</v>
      </c>
      <c r="M450" s="2"/>
      <c r="N450" s="74">
        <f>IFERROR(__xludf.DUMMYFUNCTION("""COMPUTED_VALUE"""),45398.0)</f>
        <v>45398</v>
      </c>
      <c r="O450" s="2"/>
      <c r="P450" s="2">
        <f>IFERROR(__xludf.DUMMYFUNCTION("""COMPUTED_VALUE"""),19108.0)</f>
        <v>19108</v>
      </c>
      <c r="Q450" s="2" t="str">
        <f>IFERROR(__xludf.DUMMYFUNCTION("""COMPUTED_VALUE"""),"KMC5825 AKRFPV0583")</f>
        <v>KMC5825 AKRFPV0583</v>
      </c>
      <c r="R450" s="2" t="str">
        <f>IFERROR(__xludf.DUMMYFUNCTION("""COMPUTED_VALUE"""),"RTS 100401")</f>
        <v>RTS 100401</v>
      </c>
      <c r="S450" s="2" t="str">
        <f>IFERROR(__xludf.DUMMYFUNCTION("""COMPUTED_VALUE"""),"WH-SERIES 450 PH")</f>
        <v>WH-SERIES 450 PH</v>
      </c>
      <c r="T450" s="2" t="str">
        <f>IFERROR(__xludf.DUMMYFUNCTION("""COMPUTED_VALUE"""),"LSGW1750 RMP 24040680")</f>
        <v>LSGW1750 RMP 24040680</v>
      </c>
      <c r="U450" s="2" t="str">
        <f>IFERROR(__xludf.DUMMYFUNCTION("""COMPUTED_VALUE"""),"WDP40 RMP 24040451")</f>
        <v>WDP40 RMP 24040451</v>
      </c>
      <c r="V450" s="2"/>
      <c r="W450" s="2" t="str">
        <f>IFERROR(__xludf.DUMMYFUNCTION("""COMPUTED_VALUE"""),"VL103D")</f>
        <v>VL103D</v>
      </c>
      <c r="X450" s="2">
        <f>IFERROR(__xludf.DUMMYFUNCTION("""COMPUTED_VALUE"""),8.69066060244962E14)</f>
        <v>869066060244962</v>
      </c>
      <c r="Y450" s="2">
        <f>IFERROR(__xludf.DUMMYFUNCTION("""COMPUTED_VALUE"""),9.085147725E9)</f>
        <v>9085147725</v>
      </c>
      <c r="Z450" s="2"/>
      <c r="AA450" s="2"/>
      <c r="AB450" s="2"/>
    </row>
    <row r="451">
      <c r="A451" s="2" t="str">
        <f>IFERROR(__xludf.DUMMYFUNCTION("""COMPUTED_VALUE"""),"TT00449")</f>
        <v>TT00449</v>
      </c>
      <c r="B451" s="2" t="str">
        <f>IFERROR(__xludf.DUMMYFUNCTION("""COMPUTED_VALUE"""),"For Completion")</f>
        <v>For Completion</v>
      </c>
      <c r="C451" s="2"/>
      <c r="D451" s="2" t="str">
        <f>IFERROR(__xludf.DUMMYFUNCTION("""COMPUTED_VALUE"""),"Aglosong-Bachawan Norte Community Participatory Action Research")</f>
        <v>Aglosong-Bachawan Norte Community Participatory Action Research</v>
      </c>
      <c r="E451" s="2" t="str">
        <f>IFERROR(__xludf.DUMMYFUNCTION("""COMPUTED_VALUE"""),"Aglosong, Concepcion, ILOILO")</f>
        <v>Aglosong, Concepcion, ILOILO</v>
      </c>
      <c r="F451" s="2" t="str">
        <f>IFERROR(__xludf.DUMMYFUNCTION("""COMPUTED_VALUE"""),"Gilbert J. Balida")</f>
        <v>Gilbert J. Balida</v>
      </c>
      <c r="G451" s="2" t="str">
        <f>IFERROR(__xludf.DUMMYFUNCTION("""COMPUTED_VALUE"""),"0916 278 6205")</f>
        <v>0916 278 6205</v>
      </c>
      <c r="H451" s="2"/>
      <c r="I451" s="2"/>
      <c r="J451" s="2"/>
      <c r="K451" s="2" t="str">
        <f>IFERROR(__xludf.DUMMYFUNCTION("""COMPUTED_VALUE"""),"RCEF 23-09-21 Rebidding")</f>
        <v>RCEF 23-09-21 Rebidding</v>
      </c>
      <c r="L451" s="2">
        <f>IFERROR(__xludf.DUMMYFUNCTION("""COMPUTED_VALUE"""),4.0)</f>
        <v>4</v>
      </c>
      <c r="M451" s="2"/>
      <c r="N451" s="74">
        <f>IFERROR(__xludf.DUMMYFUNCTION("""COMPUTED_VALUE"""),45398.0)</f>
        <v>45398</v>
      </c>
      <c r="O451" s="2"/>
      <c r="P451" s="2">
        <f>IFERROR(__xludf.DUMMYFUNCTION("""COMPUTED_VALUE"""),19109.0)</f>
        <v>19109</v>
      </c>
      <c r="Q451" s="2" t="str">
        <f>IFERROR(__xludf.DUMMYFUNCTION("""COMPUTED_VALUE"""),"KMC5825 AKRFPV0406")</f>
        <v>KMC5825 AKRFPV0406</v>
      </c>
      <c r="R451" s="2" t="str">
        <f>IFERROR(__xludf.DUMMYFUNCTION("""COMPUTED_VALUE"""),"RTS 100313")</f>
        <v>RTS 100313</v>
      </c>
      <c r="S451" s="2" t="str">
        <f>IFERROR(__xludf.DUMMYFUNCTION("""COMPUTED_VALUE"""),"WH-SERIES 879 PH")</f>
        <v>WH-SERIES 879 PH</v>
      </c>
      <c r="T451" s="2" t="str">
        <f>IFERROR(__xludf.DUMMYFUNCTION("""COMPUTED_VALUE"""),"LSGW1750 RMP 24040690")</f>
        <v>LSGW1750 RMP 24040690</v>
      </c>
      <c r="U451" s="2" t="str">
        <f>IFERROR(__xludf.DUMMYFUNCTION("""COMPUTED_VALUE"""),"WDP40 RMP 24040404")</f>
        <v>WDP40 RMP 24040404</v>
      </c>
      <c r="V451" s="2"/>
      <c r="W451" s="2" t="str">
        <f>IFERROR(__xludf.DUMMYFUNCTION("""COMPUTED_VALUE"""),"VL103D")</f>
        <v>VL103D</v>
      </c>
      <c r="X451" s="2">
        <f>IFERROR(__xludf.DUMMYFUNCTION("""COMPUTED_VALUE"""),8.69066060239994E14)</f>
        <v>869066060239994</v>
      </c>
      <c r="Y451" s="2">
        <f>IFERROR(__xludf.DUMMYFUNCTION("""COMPUTED_VALUE"""),9.083122927E9)</f>
        <v>9083122927</v>
      </c>
      <c r="Z451" s="2"/>
      <c r="AA451" s="2"/>
      <c r="AB451" s="2"/>
    </row>
    <row r="452">
      <c r="A452" s="2" t="str">
        <f>IFERROR(__xludf.DUMMYFUNCTION("""COMPUTED_VALUE"""),"TT00450")</f>
        <v>TT00450</v>
      </c>
      <c r="B452" s="2" t="str">
        <f>IFERROR(__xludf.DUMMYFUNCTION("""COMPUTED_VALUE"""),"For Completion")</f>
        <v>For Completion</v>
      </c>
      <c r="C452" s="2"/>
      <c r="D452" s="2" t="str">
        <f>IFERROR(__xludf.DUMMYFUNCTION("""COMPUTED_VALUE"""),"Brgy. Bankal Farmers Association")</f>
        <v>Brgy. Bankal Farmers Association</v>
      </c>
      <c r="E452" s="2" t="str">
        <f>IFERROR(__xludf.DUMMYFUNCTION("""COMPUTED_VALUE"""),"Bankal, Lemery, ILOILO")</f>
        <v>Bankal, Lemery, ILOILO</v>
      </c>
      <c r="F452" s="2" t="str">
        <f>IFERROR(__xludf.DUMMYFUNCTION("""COMPUTED_VALUE"""),"Eugenio Dable")</f>
        <v>Eugenio Dable</v>
      </c>
      <c r="G452" s="2">
        <f>IFERROR(__xludf.DUMMYFUNCTION("""COMPUTED_VALUE"""),9.070819944E9)</f>
        <v>9070819944</v>
      </c>
      <c r="H452" s="2"/>
      <c r="I452" s="2"/>
      <c r="J452" s="2"/>
      <c r="K452" s="2" t="str">
        <f>IFERROR(__xludf.DUMMYFUNCTION("""COMPUTED_VALUE"""),"RCEF 23-09-21 Rebidding")</f>
        <v>RCEF 23-09-21 Rebidding</v>
      </c>
      <c r="L452" s="2">
        <f>IFERROR(__xludf.DUMMYFUNCTION("""COMPUTED_VALUE"""),4.0)</f>
        <v>4</v>
      </c>
      <c r="M452" s="2"/>
      <c r="N452" s="74">
        <f>IFERROR(__xludf.DUMMYFUNCTION("""COMPUTED_VALUE"""),45398.0)</f>
        <v>45398</v>
      </c>
      <c r="O452" s="2"/>
      <c r="P452" s="2">
        <f>IFERROR(__xludf.DUMMYFUNCTION("""COMPUTED_VALUE"""),19110.0)</f>
        <v>19110</v>
      </c>
      <c r="Q452" s="2" t="str">
        <f>IFERROR(__xludf.DUMMYFUNCTION("""COMPUTED_VALUE"""),"KMC5825 ACRFPV0675")</f>
        <v>KMC5825 ACRFPV0675</v>
      </c>
      <c r="R452" s="2" t="str">
        <f>IFERROR(__xludf.DUMMYFUNCTION("""COMPUTED_VALUE"""),"RTS 100568")</f>
        <v>RTS 100568</v>
      </c>
      <c r="S452" s="2" t="str">
        <f>IFERROR(__xludf.DUMMYFUNCTION("""COMPUTED_VALUE"""),"WR-SERIES 852 PH")</f>
        <v>WR-SERIES 852 PH</v>
      </c>
      <c r="T452" s="2" t="str">
        <f>IFERROR(__xludf.DUMMYFUNCTION("""COMPUTED_VALUE"""),"LSGW1750 RMP 24040683")</f>
        <v>LSGW1750 RMP 24040683</v>
      </c>
      <c r="U452" s="2" t="str">
        <f>IFERROR(__xludf.DUMMYFUNCTION("""COMPUTED_VALUE"""),"WDP40 RMP 24040403")</f>
        <v>WDP40 RMP 24040403</v>
      </c>
      <c r="V452" s="2"/>
      <c r="W452" s="2" t="str">
        <f>IFERROR(__xludf.DUMMYFUNCTION("""COMPUTED_VALUE"""),"VL103D")</f>
        <v>VL103D</v>
      </c>
      <c r="X452" s="2">
        <f>IFERROR(__xludf.DUMMYFUNCTION("""COMPUTED_VALUE"""),8.69066060239465E14)</f>
        <v>869066060239465</v>
      </c>
      <c r="Y452" s="2">
        <f>IFERROR(__xludf.DUMMYFUNCTION("""COMPUTED_VALUE"""),9.085964106E9)</f>
        <v>9085964106</v>
      </c>
      <c r="Z452" s="2"/>
      <c r="AA452" s="2"/>
      <c r="AB452" s="2"/>
    </row>
    <row r="453">
      <c r="A453" s="2" t="str">
        <f>IFERROR(__xludf.DUMMYFUNCTION("""COMPUTED_VALUE"""),"TT00451")</f>
        <v>TT00451</v>
      </c>
      <c r="B453" s="2" t="str">
        <f>IFERROR(__xludf.DUMMYFUNCTION("""COMPUTED_VALUE"""),"For Completion")</f>
        <v>For Completion</v>
      </c>
      <c r="C453" s="2"/>
      <c r="D453" s="2" t="str">
        <f>IFERROR(__xludf.DUMMYFUNCTION("""COMPUTED_VALUE"""),"Capisanan Agrarian Reform Cooperative")</f>
        <v>Capisanan Agrarian Reform Cooperative</v>
      </c>
      <c r="E453" s="2" t="str">
        <f>IFERROR(__xludf.DUMMYFUNCTION("""COMPUTED_VALUE"""),"Capinang, San Dionisio, ILOILO")</f>
        <v>Capinang, San Dionisio, ILOILO</v>
      </c>
      <c r="F453" s="2" t="str">
        <f>IFERROR(__xludf.DUMMYFUNCTION("""COMPUTED_VALUE"""),"Julius G. Bolivar")</f>
        <v>Julius G. Bolivar</v>
      </c>
      <c r="G453" s="2">
        <f>IFERROR(__xludf.DUMMYFUNCTION("""COMPUTED_VALUE"""),9.977287574E9)</f>
        <v>9977287574</v>
      </c>
      <c r="H453" s="2"/>
      <c r="I453" s="2"/>
      <c r="J453" s="2"/>
      <c r="K453" s="2" t="str">
        <f>IFERROR(__xludf.DUMMYFUNCTION("""COMPUTED_VALUE"""),"RCEF 23-09-21 Rebidding")</f>
        <v>RCEF 23-09-21 Rebidding</v>
      </c>
      <c r="L453" s="2">
        <f>IFERROR(__xludf.DUMMYFUNCTION("""COMPUTED_VALUE"""),4.0)</f>
        <v>4</v>
      </c>
      <c r="M453" s="2"/>
      <c r="N453" s="74">
        <f>IFERROR(__xludf.DUMMYFUNCTION("""COMPUTED_VALUE"""),45398.0)</f>
        <v>45398</v>
      </c>
      <c r="O453" s="2"/>
      <c r="P453" s="2">
        <f>IFERROR(__xludf.DUMMYFUNCTION("""COMPUTED_VALUE"""),19111.0)</f>
        <v>19111</v>
      </c>
      <c r="Q453" s="2" t="str">
        <f>IFERROR(__xludf.DUMMYFUNCTION("""COMPUTED_VALUE"""),"KMC5825 ACRFPV0630")</f>
        <v>KMC5825 ACRFPV0630</v>
      </c>
      <c r="R453" s="2" t="str">
        <f>IFERROR(__xludf.DUMMYFUNCTION("""COMPUTED_VALUE"""),"RTS 100517")</f>
        <v>RTS 100517</v>
      </c>
      <c r="S453" s="2" t="str">
        <f>IFERROR(__xludf.DUMMYFUNCTION("""COMPUTED_VALUE"""),"WR-SERIES 876 PH")</f>
        <v>WR-SERIES 876 PH</v>
      </c>
      <c r="T453" s="2" t="str">
        <f>IFERROR(__xludf.DUMMYFUNCTION("""COMPUTED_VALUE"""),"LSGW1750 RMP 24040717")</f>
        <v>LSGW1750 RMP 24040717</v>
      </c>
      <c r="U453" s="2" t="str">
        <f>IFERROR(__xludf.DUMMYFUNCTION("""COMPUTED_VALUE"""),"WDP40 RMP 24040413")</f>
        <v>WDP40 RMP 24040413</v>
      </c>
      <c r="V453" s="2"/>
      <c r="W453" s="2" t="str">
        <f>IFERROR(__xludf.DUMMYFUNCTION("""COMPUTED_VALUE"""),"VL103D")</f>
        <v>VL103D</v>
      </c>
      <c r="X453" s="2">
        <f>IFERROR(__xludf.DUMMYFUNCTION("""COMPUTED_VALUE"""),8.69066060242774E14)</f>
        <v>869066060242774</v>
      </c>
      <c r="Y453" s="2">
        <f>IFERROR(__xludf.DUMMYFUNCTION("""COMPUTED_VALUE"""),9.085163138E9)</f>
        <v>9085163138</v>
      </c>
      <c r="Z453" s="2"/>
      <c r="AA453" s="2"/>
      <c r="AB453" s="2"/>
    </row>
    <row r="454">
      <c r="A454" s="2" t="str">
        <f>IFERROR(__xludf.DUMMYFUNCTION("""COMPUTED_VALUE"""),"TT00452")</f>
        <v>TT00452</v>
      </c>
      <c r="B454" s="2" t="str">
        <f>IFERROR(__xludf.DUMMYFUNCTION("""COMPUTED_VALUE"""),"For Completion")</f>
        <v>For Completion</v>
      </c>
      <c r="C454" s="2"/>
      <c r="D454" s="2" t="str">
        <f>IFERROR(__xludf.DUMMYFUNCTION("""COMPUTED_VALUE"""),"SAN ANDRES FARMERS ASSOCIATION")</f>
        <v>SAN ANDRES FARMERS ASSOCIATION</v>
      </c>
      <c r="E454" s="2" t="str">
        <f>IFERROR(__xludf.DUMMYFUNCTION("""COMPUTED_VALUE"""),"San Andres, San Rafael, ILOILO")</f>
        <v>San Andres, San Rafael, ILOILO</v>
      </c>
      <c r="F454" s="2" t="str">
        <f>IFERROR(__xludf.DUMMYFUNCTION("""COMPUTED_VALUE"""),"Rodolfo A. Madrigal")</f>
        <v>Rodolfo A. Madrigal</v>
      </c>
      <c r="G454" s="2">
        <f>IFERROR(__xludf.DUMMYFUNCTION("""COMPUTED_VALUE"""),9.460210643E9)</f>
        <v>9460210643</v>
      </c>
      <c r="H454" s="2"/>
      <c r="I454" s="2"/>
      <c r="J454" s="2"/>
      <c r="K454" s="2" t="str">
        <f>IFERROR(__xludf.DUMMYFUNCTION("""COMPUTED_VALUE"""),"RCEF 23-09-21 Rebidding")</f>
        <v>RCEF 23-09-21 Rebidding</v>
      </c>
      <c r="L454" s="2">
        <f>IFERROR(__xludf.DUMMYFUNCTION("""COMPUTED_VALUE"""),4.0)</f>
        <v>4</v>
      </c>
      <c r="M454" s="2"/>
      <c r="N454" s="74">
        <f>IFERROR(__xludf.DUMMYFUNCTION("""COMPUTED_VALUE"""),45398.0)</f>
        <v>45398</v>
      </c>
      <c r="O454" s="2"/>
      <c r="P454" s="2">
        <f>IFERROR(__xludf.DUMMYFUNCTION("""COMPUTED_VALUE"""),19112.0)</f>
        <v>19112</v>
      </c>
      <c r="Q454" s="2" t="str">
        <f>IFERROR(__xludf.DUMMYFUNCTION("""COMPUTED_VALUE"""),"KMC5825 ACRFPV0473")</f>
        <v>KMC5825 ACRFPV0473</v>
      </c>
      <c r="R454" s="2" t="str">
        <f>IFERROR(__xludf.DUMMYFUNCTION("""COMPUTED_VALUE"""),"RTS 100391")</f>
        <v>RTS 100391</v>
      </c>
      <c r="S454" s="2" t="str">
        <f>IFERROR(__xludf.DUMMYFUNCTION("""COMPUTED_VALUE"""),"WR-SERIES 878 PH")</f>
        <v>WR-SERIES 878 PH</v>
      </c>
      <c r="T454" s="2" t="str">
        <f>IFERROR(__xludf.DUMMYFUNCTION("""COMPUTED_VALUE"""),"LSGW1750 RMP 24040679")</f>
        <v>LSGW1750 RMP 24040679</v>
      </c>
      <c r="U454" s="2" t="str">
        <f>IFERROR(__xludf.DUMMYFUNCTION("""COMPUTED_VALUE"""),"WDP40 RMP 24040418")</f>
        <v>WDP40 RMP 24040418</v>
      </c>
      <c r="V454" s="2"/>
      <c r="W454" s="2" t="str">
        <f>IFERROR(__xludf.DUMMYFUNCTION("""COMPUTED_VALUE"""),"VL103D")</f>
        <v>VL103D</v>
      </c>
      <c r="X454" s="2">
        <f>IFERROR(__xludf.DUMMYFUNCTION("""COMPUTED_VALUE"""),8.6906606024496E14)</f>
        <v>869066060244960</v>
      </c>
      <c r="Y454" s="2">
        <f>IFERROR(__xludf.DUMMYFUNCTION("""COMPUTED_VALUE"""),9.086861209E9)</f>
        <v>9086861209</v>
      </c>
      <c r="Z454" s="2"/>
      <c r="AA454" s="2"/>
      <c r="AB454" s="2"/>
    </row>
    <row r="455">
      <c r="A455" s="2" t="str">
        <f>IFERROR(__xludf.DUMMYFUNCTION("""COMPUTED_VALUE"""),"TT00453")</f>
        <v>TT00453</v>
      </c>
      <c r="B455" s="2" t="str">
        <f>IFERROR(__xludf.DUMMYFUNCTION("""COMPUTED_VALUE"""),"For Completion")</f>
        <v>For Completion</v>
      </c>
      <c r="C455" s="2"/>
      <c r="D455" s="2" t="str">
        <f>IFERROR(__xludf.DUMMYFUNCTION("""COMPUTED_VALUE"""),"HACIENDEROS AGRARIAN REFORM COOPERATIVE")</f>
        <v>HACIENDEROS AGRARIAN REFORM COOPERATIVE</v>
      </c>
      <c r="E455" s="2" t="str">
        <f>IFERROR(__xludf.DUMMYFUNCTION("""COMPUTED_VALUE"""),"Tabunan, Bago City, NEGROS OCCIDENTAL")</f>
        <v>Tabunan, Bago City, NEGROS OCCIDENTAL</v>
      </c>
      <c r="F455" s="2" t="str">
        <f>IFERROR(__xludf.DUMMYFUNCTION("""COMPUTED_VALUE"""),"NOEL L. BENJAMIN")</f>
        <v>NOEL L. BENJAMIN</v>
      </c>
      <c r="G455" s="2">
        <f>IFERROR(__xludf.DUMMYFUNCTION("""COMPUTED_VALUE"""),9.275748995E9)</f>
        <v>9275748995</v>
      </c>
      <c r="H455" s="2"/>
      <c r="I455" s="2"/>
      <c r="J455" s="2"/>
      <c r="K455" s="2" t="str">
        <f>IFERROR(__xludf.DUMMYFUNCTION("""COMPUTED_VALUE"""),"RCEF 23-09-21 Rebidding")</f>
        <v>RCEF 23-09-21 Rebidding</v>
      </c>
      <c r="L455" s="2">
        <f>IFERROR(__xludf.DUMMYFUNCTION("""COMPUTED_VALUE"""),4.0)</f>
        <v>4</v>
      </c>
      <c r="M455" s="2"/>
      <c r="N455" s="74">
        <f>IFERROR(__xludf.DUMMYFUNCTION("""COMPUTED_VALUE"""),45398.0)</f>
        <v>45398</v>
      </c>
      <c r="O455" s="74">
        <f>IFERROR(__xludf.DUMMYFUNCTION("""COMPUTED_VALUE"""),45480.0)</f>
        <v>45480</v>
      </c>
      <c r="P455" s="2">
        <f>IFERROR(__xludf.DUMMYFUNCTION("""COMPUTED_VALUE"""),19113.0)</f>
        <v>19113</v>
      </c>
      <c r="Q455" s="2" t="str">
        <f>IFERROR(__xludf.DUMMYFUNCTION("""COMPUTED_VALUE"""),"KMC5825 AARFPV0718")</f>
        <v>KMC5825 AARFPV0718</v>
      </c>
      <c r="R455" s="2" t="str">
        <f>IFERROR(__xludf.DUMMYFUNCTION("""COMPUTED_VALUE"""),"RTS 100302")</f>
        <v>RTS 100302</v>
      </c>
      <c r="S455" s="2" t="str">
        <f>IFERROR(__xludf.DUMMYFUNCTION("""COMPUTED_VALUE"""),"WR-SERIES 814 PH")</f>
        <v>WR-SERIES 814 PH</v>
      </c>
      <c r="T455" s="2" t="str">
        <f>IFERROR(__xludf.DUMMYFUNCTION("""COMPUTED_VALUE"""),"LSGW1750 RMP 24010107")</f>
        <v>LSGW1750 RMP 24010107</v>
      </c>
      <c r="U455" s="2" t="str">
        <f>IFERROR(__xludf.DUMMYFUNCTION("""COMPUTED_VALUE"""),"WDP40 RMP 24050583")</f>
        <v>WDP40 RMP 24050583</v>
      </c>
      <c r="V455" s="2"/>
      <c r="W455" s="2" t="str">
        <f>IFERROR(__xludf.DUMMYFUNCTION("""COMPUTED_VALUE"""),"VL103D")</f>
        <v>VL103D</v>
      </c>
      <c r="X455" s="2"/>
      <c r="Y455" s="2"/>
      <c r="Z455" s="2"/>
      <c r="AA455" s="2"/>
      <c r="AB455" s="2"/>
    </row>
    <row r="456">
      <c r="A456" s="2" t="str">
        <f>IFERROR(__xludf.DUMMYFUNCTION("""COMPUTED_VALUE"""),"TT00454")</f>
        <v>TT00454</v>
      </c>
      <c r="B456" s="2" t="str">
        <f>IFERROR(__xludf.DUMMYFUNCTION("""COMPUTED_VALUE"""),"For Completion")</f>
        <v>For Completion</v>
      </c>
      <c r="C456" s="2"/>
      <c r="D456" s="2" t="str">
        <f>IFERROR(__xludf.DUMMYFUNCTION("""COMPUTED_VALUE"""),"KATILINGBAN DULAO IRRIGATORS' ASSOCIATION, INC.")</f>
        <v>KATILINGBAN DULAO IRRIGATORS' ASSOCIATION, INC.</v>
      </c>
      <c r="E456" s="2" t="str">
        <f>IFERROR(__xludf.DUMMYFUNCTION("""COMPUTED_VALUE"""),"Dulao, Bago City, NEGROS OCCIDENTAL")</f>
        <v>Dulao, Bago City, NEGROS OCCIDENTAL</v>
      </c>
      <c r="F456" s="2" t="str">
        <f>IFERROR(__xludf.DUMMYFUNCTION("""COMPUTED_VALUE"""),"JIMMY S. GUZON")</f>
        <v>JIMMY S. GUZON</v>
      </c>
      <c r="G456" s="2">
        <f>IFERROR(__xludf.DUMMYFUNCTION("""COMPUTED_VALUE"""),9.096144575E9)</f>
        <v>9096144575</v>
      </c>
      <c r="H456" s="2"/>
      <c r="I456" s="2"/>
      <c r="J456" s="2"/>
      <c r="K456" s="2" t="str">
        <f>IFERROR(__xludf.DUMMYFUNCTION("""COMPUTED_VALUE"""),"RCEF 23-09-21 Rebidding")</f>
        <v>RCEF 23-09-21 Rebidding</v>
      </c>
      <c r="L456" s="2">
        <f>IFERROR(__xludf.DUMMYFUNCTION("""COMPUTED_VALUE"""),4.0)</f>
        <v>4</v>
      </c>
      <c r="M456" s="2"/>
      <c r="N456" s="74">
        <f>IFERROR(__xludf.DUMMYFUNCTION("""COMPUTED_VALUE"""),45398.0)</f>
        <v>45398</v>
      </c>
      <c r="O456" s="2"/>
      <c r="P456" s="2">
        <f>IFERROR(__xludf.DUMMYFUNCTION("""COMPUTED_VALUE"""),19114.0)</f>
        <v>19114</v>
      </c>
      <c r="Q456" s="2" t="str">
        <f>IFERROR(__xludf.DUMMYFUNCTION("""COMPUTED_VALUE"""),"KMC5825 AVRFPV0717")</f>
        <v>KMC5825 AVRFPV0717</v>
      </c>
      <c r="R456" s="2" t="str">
        <f>IFERROR(__xludf.DUMMYFUNCTION("""COMPUTED_VALUE"""),"RTS 100598")</f>
        <v>RTS 100598</v>
      </c>
      <c r="S456" s="2" t="str">
        <f>IFERROR(__xludf.DUMMYFUNCTION("""COMPUTED_VALUE"""),"WR-SERIES 994 PH")</f>
        <v>WR-SERIES 994 PH</v>
      </c>
      <c r="T456" s="2" t="str">
        <f>IFERROR(__xludf.DUMMYFUNCTION("""COMPUTED_VALUE"""),"LSGW1750 RMP 24010108")</f>
        <v>LSGW1750 RMP 24010108</v>
      </c>
      <c r="U456" s="2" t="str">
        <f>IFERROR(__xludf.DUMMYFUNCTION("""COMPUTED_VALUE"""),"WDP40 RMP 24050608")</f>
        <v>WDP40 RMP 24050608</v>
      </c>
      <c r="V456" s="2"/>
      <c r="W456" s="2" t="str">
        <f>IFERROR(__xludf.DUMMYFUNCTION("""COMPUTED_VALUE"""),"VL103D")</f>
        <v>VL103D</v>
      </c>
      <c r="X456" s="2"/>
      <c r="Y456" s="2"/>
      <c r="Z456" s="2"/>
      <c r="AA456" s="2"/>
      <c r="AB456" s="2"/>
    </row>
    <row r="457">
      <c r="A457" s="2" t="str">
        <f>IFERROR(__xludf.DUMMYFUNCTION("""COMPUTED_VALUE"""),"TT00455")</f>
        <v>TT00455</v>
      </c>
      <c r="B457" s="2" t="str">
        <f>IFERROR(__xludf.DUMMYFUNCTION("""COMPUTED_VALUE"""),"For Completion")</f>
        <v>For Completion</v>
      </c>
      <c r="C457" s="2"/>
      <c r="D457" s="2" t="str">
        <f>IFERROR(__xludf.DUMMYFUNCTION("""COMPUTED_VALUE"""),"MARCEL DEL PILAR FARMERS ASSOCIATION (MDPILFA)")</f>
        <v>MARCEL DEL PILAR FARMERS ASSOCIATION (MDPILFA)</v>
      </c>
      <c r="E457" s="2" t="str">
        <f>IFERROR(__xludf.DUMMYFUNCTION("""COMPUTED_VALUE"""),"M. H. Del Pilar, Pontevedra, NEGROS OCCIDENTAL")</f>
        <v>M. H. Del Pilar, Pontevedra, NEGROS OCCIDENTAL</v>
      </c>
      <c r="F457" s="2" t="str">
        <f>IFERROR(__xludf.DUMMYFUNCTION("""COMPUTED_VALUE"""),"JENNY E. SALIDARES")</f>
        <v>JENNY E. SALIDARES</v>
      </c>
      <c r="G457" s="2">
        <f>IFERROR(__xludf.DUMMYFUNCTION("""COMPUTED_VALUE"""),9.338192826E9)</f>
        <v>9338192826</v>
      </c>
      <c r="H457" s="2"/>
      <c r="I457" s="2"/>
      <c r="J457" s="2"/>
      <c r="K457" s="2" t="str">
        <f>IFERROR(__xludf.DUMMYFUNCTION("""COMPUTED_VALUE"""),"RCEF 23-09-21 Rebidding")</f>
        <v>RCEF 23-09-21 Rebidding</v>
      </c>
      <c r="L457" s="2">
        <f>IFERROR(__xludf.DUMMYFUNCTION("""COMPUTED_VALUE"""),4.0)</f>
        <v>4</v>
      </c>
      <c r="M457" s="2"/>
      <c r="N457" s="74">
        <f>IFERROR(__xludf.DUMMYFUNCTION("""COMPUTED_VALUE"""),45398.0)</f>
        <v>45398</v>
      </c>
      <c r="O457" s="2"/>
      <c r="P457" s="2">
        <f>IFERROR(__xludf.DUMMYFUNCTION("""COMPUTED_VALUE"""),19115.0)</f>
        <v>19115</v>
      </c>
      <c r="Q457" s="2" t="str">
        <f>IFERROR(__xludf.DUMMYFUNCTION("""COMPUTED_VALUE"""),"KMC5825 AHRFPV0771")</f>
        <v>KMC5825 AHRFPV0771</v>
      </c>
      <c r="R457" s="2" t="str">
        <f>IFERROR(__xludf.DUMMYFUNCTION("""COMPUTED_VALUE"""),"RTS 100627")</f>
        <v>RTS 100627</v>
      </c>
      <c r="S457" s="2" t="str">
        <f>IFERROR(__xludf.DUMMYFUNCTION("""COMPUTED_VALUE"""),"WR-SERIES 995 PH")</f>
        <v>WR-SERIES 995 PH</v>
      </c>
      <c r="T457" s="2" t="str">
        <f>IFERROR(__xludf.DUMMYFUNCTION("""COMPUTED_VALUE"""),"LSGW1750 RMP 24040667")</f>
        <v>LSGW1750 RMP 24040667</v>
      </c>
      <c r="U457" s="2" t="str">
        <f>IFERROR(__xludf.DUMMYFUNCTION("""COMPUTED_VALUE"""),"WP40 RMP 24050646")</f>
        <v>WP40 RMP 24050646</v>
      </c>
      <c r="V457" s="2"/>
      <c r="W457" s="2" t="str">
        <f>IFERROR(__xludf.DUMMYFUNCTION("""COMPUTED_VALUE"""),"VL103D")</f>
        <v>VL103D</v>
      </c>
      <c r="X457" s="2"/>
      <c r="Y457" s="2"/>
      <c r="Z457" s="2"/>
      <c r="AA457" s="2"/>
      <c r="AB457" s="2"/>
    </row>
    <row r="458">
      <c r="A458" s="2" t="str">
        <f>IFERROR(__xludf.DUMMYFUNCTION("""COMPUTED_VALUE"""),"TT00456")</f>
        <v>TT00456</v>
      </c>
      <c r="B458" s="2" t="str">
        <f>IFERROR(__xludf.DUMMYFUNCTION("""COMPUTED_VALUE"""),"For Completion")</f>
        <v>For Completion</v>
      </c>
      <c r="C458" s="2"/>
      <c r="D458" s="2" t="str">
        <f>IFERROR(__xludf.DUMMYFUNCTION("""COMPUTED_VALUE"""),"CALUBANG FARMERS CLUSTER ASSOCIATION")</f>
        <v>CALUBANG FARMERS CLUSTER ASSOCIATION</v>
      </c>
      <c r="E458" s="2" t="str">
        <f>IFERROR(__xludf.DUMMYFUNCTION("""COMPUTED_VALUE"""),"Calubang, Ilog, NEGROS OCCIDENTAL")</f>
        <v>Calubang, Ilog, NEGROS OCCIDENTAL</v>
      </c>
      <c r="F458" s="2" t="str">
        <f>IFERROR(__xludf.DUMMYFUNCTION("""COMPUTED_VALUE"""),"DANDY V. BALINAS, SR.")</f>
        <v>DANDY V. BALINAS, SR.</v>
      </c>
      <c r="G458" s="2">
        <f>IFERROR(__xludf.DUMMYFUNCTION("""COMPUTED_VALUE"""),9.484431137E9)</f>
        <v>9484431137</v>
      </c>
      <c r="H458" s="2"/>
      <c r="I458" s="2"/>
      <c r="J458" s="2"/>
      <c r="K458" s="2" t="str">
        <f>IFERROR(__xludf.DUMMYFUNCTION("""COMPUTED_VALUE"""),"RCEF 23-09-21 Rebidding")</f>
        <v>RCEF 23-09-21 Rebidding</v>
      </c>
      <c r="L458" s="2">
        <f>IFERROR(__xludf.DUMMYFUNCTION("""COMPUTED_VALUE"""),4.0)</f>
        <v>4</v>
      </c>
      <c r="M458" s="2"/>
      <c r="N458" s="74">
        <f>IFERROR(__xludf.DUMMYFUNCTION("""COMPUTED_VALUE"""),45398.0)</f>
        <v>45398</v>
      </c>
      <c r="O458" s="2"/>
      <c r="P458" s="2">
        <f>IFERROR(__xludf.DUMMYFUNCTION("""COMPUTED_VALUE"""),19116.0)</f>
        <v>19116</v>
      </c>
      <c r="Q458" s="2" t="str">
        <f>IFERROR(__xludf.DUMMYFUNCTION("""COMPUTED_VALUE"""),"KMC5825 ALRFPV0770")</f>
        <v>KMC5825 ALRFPV0770</v>
      </c>
      <c r="R458" s="2" t="str">
        <f>IFERROR(__xludf.DUMMYFUNCTION("""COMPUTED_VALUE"""),"RTS 100630")</f>
        <v>RTS 100630</v>
      </c>
      <c r="S458" s="2" t="str">
        <f>IFERROR(__xludf.DUMMYFUNCTION("""COMPUTED_VALUE"""),"WR-SERIES 778 PH")</f>
        <v>WR-SERIES 778 PH</v>
      </c>
      <c r="T458" s="2" t="str">
        <f>IFERROR(__xludf.DUMMYFUNCTION("""COMPUTED_VALUE"""),"LSGW1750 RMP 24010110")</f>
        <v>LSGW1750 RMP 24010110</v>
      </c>
      <c r="U458" s="2" t="str">
        <f>IFERROR(__xludf.DUMMYFUNCTION("""COMPUTED_VALUE"""),"WDP40 RMP 24050645")</f>
        <v>WDP40 RMP 24050645</v>
      </c>
      <c r="V458" s="2"/>
      <c r="W458" s="2" t="str">
        <f>IFERROR(__xludf.DUMMYFUNCTION("""COMPUTED_VALUE"""),"VL103D")</f>
        <v>VL103D</v>
      </c>
      <c r="X458" s="2"/>
      <c r="Y458" s="2"/>
      <c r="Z458" s="2"/>
      <c r="AA458" s="2"/>
      <c r="AB458" s="2"/>
    </row>
    <row r="459">
      <c r="A459" s="2" t="str">
        <f>IFERROR(__xludf.DUMMYFUNCTION("""COMPUTED_VALUE"""),"TT00457")</f>
        <v>TT00457</v>
      </c>
      <c r="B459" s="2" t="str">
        <f>IFERROR(__xludf.DUMMYFUNCTION("""COMPUTED_VALUE"""),"For Completion")</f>
        <v>For Completion</v>
      </c>
      <c r="C459" s="2"/>
      <c r="D459" s="2" t="str">
        <f>IFERROR(__xludf.DUMMYFUNCTION("""COMPUTED_VALUE"""),"KABANKALAN CITY, BRGY. LINAO FARMERS IRRIGATORS' ASSOCIATION, INC")</f>
        <v>KABANKALAN CITY, BRGY. LINAO FARMERS IRRIGATORS' ASSOCIATION, INC</v>
      </c>
      <c r="E459" s="2" t="str">
        <f>IFERROR(__xludf.DUMMYFUNCTION("""COMPUTED_VALUE"""),"Linao, Kabankalan City, NEGROS OCCIDENTAL")</f>
        <v>Linao, Kabankalan City, NEGROS OCCIDENTAL</v>
      </c>
      <c r="F459" s="2" t="str">
        <f>IFERROR(__xludf.DUMMYFUNCTION("""COMPUTED_VALUE"""),"JOSE S. SU-AY")</f>
        <v>JOSE S. SU-AY</v>
      </c>
      <c r="G459" s="2">
        <f>IFERROR(__xludf.DUMMYFUNCTION("""COMPUTED_VALUE"""),9.096800897E9)</f>
        <v>9096800897</v>
      </c>
      <c r="H459" s="2"/>
      <c r="I459" s="2"/>
      <c r="J459" s="2"/>
      <c r="K459" s="2" t="str">
        <f>IFERROR(__xludf.DUMMYFUNCTION("""COMPUTED_VALUE"""),"RCEF 23-09-21 Rebidding")</f>
        <v>RCEF 23-09-21 Rebidding</v>
      </c>
      <c r="L459" s="2">
        <f>IFERROR(__xludf.DUMMYFUNCTION("""COMPUTED_VALUE"""),4.0)</f>
        <v>4</v>
      </c>
      <c r="M459" s="2"/>
      <c r="N459" s="74">
        <f>IFERROR(__xludf.DUMMYFUNCTION("""COMPUTED_VALUE"""),45398.0)</f>
        <v>45398</v>
      </c>
      <c r="O459" s="2"/>
      <c r="P459" s="2">
        <f>IFERROR(__xludf.DUMMYFUNCTION("""COMPUTED_VALUE"""),19117.0)</f>
        <v>19117</v>
      </c>
      <c r="Q459" s="2" t="str">
        <f>IFERROR(__xludf.DUMMYFUNCTION("""COMPUTED_VALUE"""),"KMC5825 ACRFPV0725")</f>
        <v>KMC5825 ACRFPV0725</v>
      </c>
      <c r="R459" s="2" t="str">
        <f>IFERROR(__xludf.DUMMYFUNCTION("""COMPUTED_VALUE"""),"RTS 100607")</f>
        <v>RTS 100607</v>
      </c>
      <c r="S459" s="2" t="str">
        <f>IFERROR(__xludf.DUMMYFUNCTION("""COMPUTED_VALUE"""),"WR-SERIES 769 PH")</f>
        <v>WR-SERIES 769 PH</v>
      </c>
      <c r="T459" s="2" t="str">
        <f>IFERROR(__xludf.DUMMYFUNCTION("""COMPUTED_VALUE"""),"LSGW1750 RMP 24040669")</f>
        <v>LSGW1750 RMP 24040669</v>
      </c>
      <c r="U459" s="2" t="str">
        <f>IFERROR(__xludf.DUMMYFUNCTION("""COMPUTED_VALUE"""),"WDP40 RMP 24050594")</f>
        <v>WDP40 RMP 24050594</v>
      </c>
      <c r="V459" s="2"/>
      <c r="W459" s="2" t="str">
        <f>IFERROR(__xludf.DUMMYFUNCTION("""COMPUTED_VALUE"""),"VL103D")</f>
        <v>VL103D</v>
      </c>
      <c r="X459" s="2"/>
      <c r="Y459" s="2"/>
      <c r="Z459" s="2"/>
      <c r="AA459" s="2"/>
      <c r="AB459" s="2"/>
    </row>
    <row r="460">
      <c r="A460" s="2" t="str">
        <f>IFERROR(__xludf.DUMMYFUNCTION("""COMPUTED_VALUE"""),"TT00458")</f>
        <v>TT00458</v>
      </c>
      <c r="B460" s="2" t="str">
        <f>IFERROR(__xludf.DUMMYFUNCTION("""COMPUTED_VALUE"""),"for Completion")</f>
        <v>for Completion</v>
      </c>
      <c r="C460" s="2" t="str">
        <f>IFERROR(__xludf.DUMMYFUNCTION("""COMPUTED_VALUE"""),"FOR BILLING L9")</f>
        <v>FOR BILLING L9</v>
      </c>
      <c r="D460" s="2" t="str">
        <f>IFERROR(__xludf.DUMMYFUNCTION("""COMPUTED_VALUE"""),"DIAGYAN MULTI FARMERS ASSOCIATION")</f>
        <v>DIAGYAN MULTI FARMERS ASSOCIATION</v>
      </c>
      <c r="E460" s="2" t="str">
        <f>IFERROR(__xludf.DUMMYFUNCTION("""COMPUTED_VALUE"""),"Diagyan, Dilasag, AURORA")</f>
        <v>Diagyan, Dilasag, AURORA</v>
      </c>
      <c r="F460" s="2" t="str">
        <f>IFERROR(__xludf.DUMMYFUNCTION("""COMPUTED_VALUE"""),"Eduardo C. Prado")</f>
        <v>Eduardo C. Prado</v>
      </c>
      <c r="G460" s="2" t="str">
        <f>IFERROR(__xludf.DUMMYFUNCTION("""COMPUTED_VALUE"""),"0997-2311-013 / 0935-862-2888")</f>
        <v>0997-2311-013 / 0935-862-2888</v>
      </c>
      <c r="H460" s="2"/>
      <c r="I460" s="2"/>
      <c r="J460" s="2"/>
      <c r="K460" s="2" t="str">
        <f>IFERROR(__xludf.DUMMYFUNCTION("""COMPUTED_VALUE"""),"RCEF 23-09-21 Rebidding")</f>
        <v>RCEF 23-09-21 Rebidding</v>
      </c>
      <c r="L460" s="2">
        <f>IFERROR(__xludf.DUMMYFUNCTION("""COMPUTED_VALUE"""),9.0)</f>
        <v>9</v>
      </c>
      <c r="M460" s="2"/>
      <c r="N460" s="2" t="str">
        <f>IFERROR(__xludf.DUMMYFUNCTION("""COMPUTED_VALUE"""),"4/06/2024")</f>
        <v>4/06/2024</v>
      </c>
      <c r="O460" s="2"/>
      <c r="P460" s="2">
        <f>IFERROR(__xludf.DUMMYFUNCTION("""COMPUTED_VALUE"""),18893.0)</f>
        <v>18893</v>
      </c>
      <c r="Q460" s="2" t="str">
        <f>IFERROR(__xludf.DUMMYFUNCTION("""COMPUTED_VALUE"""),"KMC5825 ACRFPV0711")</f>
        <v>KMC5825 ACRFPV0711</v>
      </c>
      <c r="R460" s="2" t="str">
        <f>IFERROR(__xludf.DUMMYFUNCTION("""COMPUTED_VALUE"""),"RTS 100628")</f>
        <v>RTS 100628</v>
      </c>
      <c r="S460" s="2" t="str">
        <f>IFERROR(__xludf.DUMMYFUNCTION("""COMPUTED_VALUE"""),"R SERIES 923")</f>
        <v>R SERIES 923</v>
      </c>
      <c r="T460" s="2" t="str">
        <f>IFERROR(__xludf.DUMMYFUNCTION("""COMPUTED_VALUE"""),"LSGW1750 RMP 24010104")</f>
        <v>LSGW1750 RMP 24010104</v>
      </c>
      <c r="U460" s="2" t="str">
        <f>IFERROR(__xludf.DUMMYFUNCTION("""COMPUTED_VALUE"""),"WDP 40 RMP 24050638")</f>
        <v>WDP 40 RMP 24050638</v>
      </c>
      <c r="V460" s="2"/>
      <c r="W460" s="2" t="str">
        <f>IFERROR(__xludf.DUMMYFUNCTION("""COMPUTED_VALUE"""),"VL103D")</f>
        <v>VL103D</v>
      </c>
      <c r="X460" s="2">
        <f>IFERROR(__xludf.DUMMYFUNCTION("""COMPUTED_VALUE"""),8.6906660245496E13)</f>
        <v>86906660245496</v>
      </c>
      <c r="Y460" s="2">
        <f>IFERROR(__xludf.DUMMYFUNCTION("""COMPUTED_VALUE"""),9.624681445E9)</f>
        <v>9624681445</v>
      </c>
      <c r="Z460" s="2"/>
      <c r="AA460" s="2"/>
      <c r="AB460" s="2"/>
    </row>
    <row r="461">
      <c r="A461" s="2" t="str">
        <f>IFERROR(__xludf.DUMMYFUNCTION("""COMPUTED_VALUE"""),"TT00459")</f>
        <v>TT00459</v>
      </c>
      <c r="B461" s="2" t="str">
        <f>IFERROR(__xludf.DUMMYFUNCTION("""COMPUTED_VALUE"""),"for Completion")</f>
        <v>for Completion</v>
      </c>
      <c r="C461" s="2" t="str">
        <f>IFERROR(__xludf.DUMMYFUNCTION("""COMPUTED_VALUE"""),"FOR BILLING L9")</f>
        <v>FOR BILLING L9</v>
      </c>
      <c r="D461" s="2" t="str">
        <f>IFERROR(__xludf.DUMMYFUNCTION("""COMPUTED_VALUE"""),"KABALIKAT PANGSAKAHAN ASSOCIATION")</f>
        <v>KABALIKAT PANGSAKAHAN ASSOCIATION</v>
      </c>
      <c r="E461" s="2" t="str">
        <f>IFERROR(__xludf.DUMMYFUNCTION("""COMPUTED_VALUE"""),"Diniog, Dilasag, AURORA")</f>
        <v>Diniog, Dilasag, AURORA</v>
      </c>
      <c r="F461" s="2" t="str">
        <f>IFERROR(__xludf.DUMMYFUNCTION("""COMPUTED_VALUE"""),"Abuel S. Ancheta")</f>
        <v>Abuel S. Ancheta</v>
      </c>
      <c r="G461" s="2" t="str">
        <f>IFERROR(__xludf.DUMMYFUNCTION("""COMPUTED_VALUE"""),"0975-097-1775")</f>
        <v>0975-097-1775</v>
      </c>
      <c r="H461" s="2"/>
      <c r="I461" s="2"/>
      <c r="J461" s="2"/>
      <c r="K461" s="2" t="str">
        <f>IFERROR(__xludf.DUMMYFUNCTION("""COMPUTED_VALUE"""),"RCEF 23-09-21 Rebidding")</f>
        <v>RCEF 23-09-21 Rebidding</v>
      </c>
      <c r="L461" s="2">
        <f>IFERROR(__xludf.DUMMYFUNCTION("""COMPUTED_VALUE"""),9.0)</f>
        <v>9</v>
      </c>
      <c r="M461" s="2"/>
      <c r="N461" s="2"/>
      <c r="O461" s="2"/>
      <c r="P461" s="2">
        <f>IFERROR(__xludf.DUMMYFUNCTION("""COMPUTED_VALUE"""),18894.0)</f>
        <v>18894</v>
      </c>
      <c r="Q461" s="2" t="str">
        <f>IFERROR(__xludf.DUMMYFUNCTION("""COMPUTED_VALUE"""),"KMC5825 ATRFPV0712")</f>
        <v>KMC5825 ATRFPV0712</v>
      </c>
      <c r="R461" s="2" t="str">
        <f>IFERROR(__xludf.DUMMYFUNCTION("""COMPUTED_VALUE"""),"RTS 100622")</f>
        <v>RTS 100622</v>
      </c>
      <c r="S461" s="2" t="str">
        <f>IFERROR(__xludf.DUMMYFUNCTION("""COMPUTED_VALUE"""),"R SERIES 932 PH")</f>
        <v>R SERIES 932 PH</v>
      </c>
      <c r="T461" s="2" t="str">
        <f>IFERROR(__xludf.DUMMYFUNCTION("""COMPUTED_VALUE"""),"LSGW1750 RMP  24010095")</f>
        <v>LSGW1750 RMP  24010095</v>
      </c>
      <c r="U461" s="2" t="str">
        <f>IFERROR(__xludf.DUMMYFUNCTION("""COMPUTED_VALUE"""),"WDP 40 RMP 24050621")</f>
        <v>WDP 40 RMP 24050621</v>
      </c>
      <c r="V461" s="2"/>
      <c r="W461" s="2" t="str">
        <f>IFERROR(__xludf.DUMMYFUNCTION("""COMPUTED_VALUE"""),"VL103D")</f>
        <v>VL103D</v>
      </c>
      <c r="X461" s="2">
        <f>IFERROR(__xludf.DUMMYFUNCTION("""COMPUTED_VALUE"""),8.6906660242337E13)</f>
        <v>86906660242337</v>
      </c>
      <c r="Y461" s="2">
        <f>IFERROR(__xludf.DUMMYFUNCTION("""COMPUTED_VALUE"""),9.624681438E9)</f>
        <v>9624681438</v>
      </c>
      <c r="Z461" s="2"/>
      <c r="AA461" s="2"/>
      <c r="AB461" s="2"/>
    </row>
    <row r="462">
      <c r="A462" s="2" t="str">
        <f>IFERROR(__xludf.DUMMYFUNCTION("""COMPUTED_VALUE"""),"TT00460")</f>
        <v>TT00460</v>
      </c>
      <c r="B462" s="2" t="str">
        <f>IFERROR(__xludf.DUMMYFUNCTION("""COMPUTED_VALUE"""),"for Completion")</f>
        <v>for Completion</v>
      </c>
      <c r="C462" s="2" t="str">
        <f>IFERROR(__xludf.DUMMYFUNCTION("""COMPUTED_VALUE"""),"FOR BILLING L3")</f>
        <v>FOR BILLING L3</v>
      </c>
      <c r="D462" s="2" t="str">
        <f>IFERROR(__xludf.DUMMYFUNCTION("""COMPUTED_VALUE"""),"BAGTU-OBLIGACION IRRIGATORS ASSOCIATION")</f>
        <v>BAGTU-OBLIGACION IRRIGATORS ASSOCIATION</v>
      </c>
      <c r="E462" s="2" t="str">
        <f>IFERROR(__xludf.DUMMYFUNCTION("""COMPUTED_VALUE"""),"Obligacion, Baler, AURORA")</f>
        <v>Obligacion, Baler, AURORA</v>
      </c>
      <c r="F462" s="2" t="str">
        <f>IFERROR(__xludf.DUMMYFUNCTION("""COMPUTED_VALUE"""),"Anthony E. Bernalte")</f>
        <v>Anthony E. Bernalte</v>
      </c>
      <c r="G462" s="2" t="str">
        <f>IFERROR(__xludf.DUMMYFUNCTION("""COMPUTED_VALUE"""),"0947-966-1717")</f>
        <v>0947-966-1717</v>
      </c>
      <c r="H462" s="2"/>
      <c r="I462" s="2"/>
      <c r="J462" s="2"/>
      <c r="K462" s="2" t="str">
        <f>IFERROR(__xludf.DUMMYFUNCTION("""COMPUTED_VALUE"""),"RCEF 23-09-21 Rebidding")</f>
        <v>RCEF 23-09-21 Rebidding</v>
      </c>
      <c r="L462" s="2">
        <f>IFERROR(__xludf.DUMMYFUNCTION("""COMPUTED_VALUE"""),3.0)</f>
        <v>3</v>
      </c>
      <c r="M462" s="2"/>
      <c r="N462" s="2" t="str">
        <f>IFERROR(__xludf.DUMMYFUNCTION("""COMPUTED_VALUE"""),"4/06/2024")</f>
        <v>4/06/2024</v>
      </c>
      <c r="O462" s="2"/>
      <c r="P462" s="2">
        <f>IFERROR(__xludf.DUMMYFUNCTION("""COMPUTED_VALUE"""),18895.0)</f>
        <v>18895</v>
      </c>
      <c r="Q462" s="2" t="str">
        <f>IFERROR(__xludf.DUMMYFUNCTION("""COMPUTED_VALUE"""),"KMC 5825 AVRFPV0779")</f>
        <v>KMC 5825 AVRFPV0779</v>
      </c>
      <c r="R462" s="2" t="str">
        <f>IFERROR(__xludf.DUMMYFUNCTION("""COMPUTED_VALUE"""),"RTS 100611")</f>
        <v>RTS 100611</v>
      </c>
      <c r="S462" s="2" t="str">
        <f>IFERROR(__xludf.DUMMYFUNCTION("""COMPUTED_VALUE"""),"R SERIES 937 PH")</f>
        <v>R SERIES 937 PH</v>
      </c>
      <c r="T462" s="2" t="str">
        <f>IFERROR(__xludf.DUMMYFUNCTION("""COMPUTED_VALUE"""),"LSGW1750 RMP 24010128")</f>
        <v>LSGW1750 RMP 24010128</v>
      </c>
      <c r="U462" s="2" t="str">
        <f>IFERROR(__xludf.DUMMYFUNCTION("""COMPUTED_VALUE"""),"WDP40 RMP 24050639")</f>
        <v>WDP40 RMP 24050639</v>
      </c>
      <c r="V462" s="2"/>
      <c r="W462" s="2" t="str">
        <f>IFERROR(__xludf.DUMMYFUNCTION("""COMPUTED_VALUE"""),"VL103D")</f>
        <v>VL103D</v>
      </c>
      <c r="X462" s="2">
        <f>IFERROR(__xludf.DUMMYFUNCTION("""COMPUTED_VALUE"""),8.69066060239424E14)</f>
        <v>869066060239424</v>
      </c>
      <c r="Y462" s="2">
        <f>IFERROR(__xludf.DUMMYFUNCTION("""COMPUTED_VALUE"""),9.624681449E9)</f>
        <v>9624681449</v>
      </c>
      <c r="Z462" s="2"/>
      <c r="AA462" s="2"/>
      <c r="AB462" s="2"/>
    </row>
    <row r="463">
      <c r="A463" s="2" t="str">
        <f>IFERROR(__xludf.DUMMYFUNCTION("""COMPUTED_VALUE"""),"TT00461")</f>
        <v>TT00461</v>
      </c>
      <c r="B463" s="2" t="str">
        <f>IFERROR(__xludf.DUMMYFUNCTION("""COMPUTED_VALUE"""),"for Completion")</f>
        <v>for Completion</v>
      </c>
      <c r="C463" s="2" t="str">
        <f>IFERROR(__xludf.DUMMYFUNCTION("""COMPUTED_VALUE"""),"FOR BILLING L3")</f>
        <v>FOR BILLING L3</v>
      </c>
      <c r="D463" s="2" t="str">
        <f>IFERROR(__xludf.DUMMYFUNCTION("""COMPUTED_VALUE"""),"CULAT IRRIGATORS FARMERS ASSOCIATION.")</f>
        <v>CULAT IRRIGATORS FARMERS ASSOCIATION.</v>
      </c>
      <c r="E463" s="2" t="str">
        <f>IFERROR(__xludf.DUMMYFUNCTION("""COMPUTED_VALUE"""),"Culat, Casiguran, AURORA")</f>
        <v>Culat, Casiguran, AURORA</v>
      </c>
      <c r="F463" s="2" t="str">
        <f>IFERROR(__xludf.DUMMYFUNCTION("""COMPUTED_VALUE"""),"Reynaldo T. Torre")</f>
        <v>Reynaldo T. Torre</v>
      </c>
      <c r="G463" s="2" t="str">
        <f>IFERROR(__xludf.DUMMYFUNCTION("""COMPUTED_VALUE"""),"0920-706-5957")</f>
        <v>0920-706-5957</v>
      </c>
      <c r="H463" s="2"/>
      <c r="I463" s="2"/>
      <c r="J463" s="2"/>
      <c r="K463" s="2" t="str">
        <f>IFERROR(__xludf.DUMMYFUNCTION("""COMPUTED_VALUE"""),"RCEF 23-09-21 Rebidding")</f>
        <v>RCEF 23-09-21 Rebidding</v>
      </c>
      <c r="L463" s="2">
        <f>IFERROR(__xludf.DUMMYFUNCTION("""COMPUTED_VALUE"""),3.0)</f>
        <v>3</v>
      </c>
      <c r="M463" s="2"/>
      <c r="N463" s="2" t="str">
        <f>IFERROR(__xludf.DUMMYFUNCTION("""COMPUTED_VALUE"""),"4/06/2024")</f>
        <v>4/06/2024</v>
      </c>
      <c r="O463" s="2"/>
      <c r="P463" s="2">
        <f>IFERROR(__xludf.DUMMYFUNCTION("""COMPUTED_VALUE"""),18896.0)</f>
        <v>18896</v>
      </c>
      <c r="Q463" s="2" t="str">
        <f>IFERROR(__xludf.DUMMYFUNCTION("""COMPUTED_VALUE"""),"KMC 5825 AVRFPV0765")</f>
        <v>KMC 5825 AVRFPV0765</v>
      </c>
      <c r="R463" s="2" t="str">
        <f>IFERROR(__xludf.DUMMYFUNCTION("""COMPUTED_VALUE"""),"RTS 100527")</f>
        <v>RTS 100527</v>
      </c>
      <c r="S463" s="2" t="str">
        <f>IFERROR(__xludf.DUMMYFUNCTION("""COMPUTED_VALUE"""),"R SERIES 966 PH")</f>
        <v>R SERIES 966 PH</v>
      </c>
      <c r="T463" s="2" t="str">
        <f>IFERROR(__xludf.DUMMYFUNCTION("""COMPUTED_VALUE"""),"LSGW1750 RMP 24010099")</f>
        <v>LSGW1750 RMP 24010099</v>
      </c>
      <c r="U463" s="2" t="str">
        <f>IFERROR(__xludf.DUMMYFUNCTION("""COMPUTED_VALUE"""),"WDP40 RMP 24050630")</f>
        <v>WDP40 RMP 24050630</v>
      </c>
      <c r="V463" s="2"/>
      <c r="W463" s="2" t="str">
        <f>IFERROR(__xludf.DUMMYFUNCTION("""COMPUTED_VALUE"""),"VL103D")</f>
        <v>VL103D</v>
      </c>
      <c r="X463" s="2">
        <f>IFERROR(__xludf.DUMMYFUNCTION("""COMPUTED_VALUE"""),8.69066060238236E14)</f>
        <v>869066060238236</v>
      </c>
      <c r="Y463" s="2">
        <f>IFERROR(__xludf.DUMMYFUNCTION("""COMPUTED_VALUE"""),9.625154628E9)</f>
        <v>9625154628</v>
      </c>
      <c r="Z463" s="2"/>
      <c r="AA463" s="2"/>
      <c r="AB463" s="2"/>
    </row>
    <row r="464">
      <c r="A464" s="2" t="str">
        <f>IFERROR(__xludf.DUMMYFUNCTION("""COMPUTED_VALUE"""),"TT00462")</f>
        <v>TT00462</v>
      </c>
      <c r="B464" s="2" t="str">
        <f>IFERROR(__xludf.DUMMYFUNCTION("""COMPUTED_VALUE"""),"for Completion")</f>
        <v>for Completion</v>
      </c>
      <c r="C464" s="2" t="str">
        <f>IFERROR(__xludf.DUMMYFUNCTION("""COMPUTED_VALUE"""),"FOR BILLING L3")</f>
        <v>FOR BILLING L3</v>
      </c>
      <c r="D464" s="2" t="str">
        <f>IFERROR(__xludf.DUMMYFUNCTION("""COMPUTED_VALUE"""),"INDIGENOUS PEOPLES FARMERS ASSOCIATION")</f>
        <v>INDIGENOUS PEOPLES FARMERS ASSOCIATION</v>
      </c>
      <c r="E464" s="2" t="str">
        <f>IFERROR(__xludf.DUMMYFUNCTION("""COMPUTED_VALUE"""),"Manggitahan, Dilasag, AURORA")</f>
        <v>Manggitahan, Dilasag, AURORA</v>
      </c>
      <c r="F464" s="2" t="str">
        <f>IFERROR(__xludf.DUMMYFUNCTION("""COMPUTED_VALUE"""),"Deborah Valerozo")</f>
        <v>Deborah Valerozo</v>
      </c>
      <c r="G464" s="2" t="str">
        <f>IFERROR(__xludf.DUMMYFUNCTION("""COMPUTED_VALUE"""),"0975-299-769")</f>
        <v>0975-299-769</v>
      </c>
      <c r="H464" s="2"/>
      <c r="I464" s="2"/>
      <c r="J464" s="2"/>
      <c r="K464" s="2" t="str">
        <f>IFERROR(__xludf.DUMMYFUNCTION("""COMPUTED_VALUE"""),"RCEF 23-09-21 Rebidding")</f>
        <v>RCEF 23-09-21 Rebidding</v>
      </c>
      <c r="L464" s="2">
        <f>IFERROR(__xludf.DUMMYFUNCTION("""COMPUTED_VALUE"""),3.0)</f>
        <v>3</v>
      </c>
      <c r="M464" s="2"/>
      <c r="N464" s="2" t="str">
        <f>IFERROR(__xludf.DUMMYFUNCTION("""COMPUTED_VALUE"""),"4/06/2024")</f>
        <v>4/06/2024</v>
      </c>
      <c r="O464" s="2"/>
      <c r="P464" s="2">
        <f>IFERROR(__xludf.DUMMYFUNCTION("""COMPUTED_VALUE"""),18897.0)</f>
        <v>18897</v>
      </c>
      <c r="Q464" s="2" t="str">
        <f>IFERROR(__xludf.DUMMYFUNCTION("""COMPUTED_VALUE"""),"KMC 5825 AARFPV0654")</f>
        <v>KMC 5825 AARFPV0654</v>
      </c>
      <c r="R464" s="2" t="str">
        <f>IFERROR(__xludf.DUMMYFUNCTION("""COMPUTED_VALUE"""),"RTS 100541")</f>
        <v>RTS 100541</v>
      </c>
      <c r="S464" s="2" t="str">
        <f>IFERROR(__xludf.DUMMYFUNCTION("""COMPUTED_VALUE"""),"R SERIES 951 PH")</f>
        <v>R SERIES 951 PH</v>
      </c>
      <c r="T464" s="2" t="str">
        <f>IFERROR(__xludf.DUMMYFUNCTION("""COMPUTED_VALUE"""),"LSGW1750 RMP 24010103")</f>
        <v>LSGW1750 RMP 24010103</v>
      </c>
      <c r="U464" s="2" t="str">
        <f>IFERROR(__xludf.DUMMYFUNCTION("""COMPUTED_VALUE"""),"WDP40 RMP 24050643")</f>
        <v>WDP40 RMP 24050643</v>
      </c>
      <c r="V464" s="2"/>
      <c r="W464" s="2" t="str">
        <f>IFERROR(__xludf.DUMMYFUNCTION("""COMPUTED_VALUE"""),"VL103D")</f>
        <v>VL103D</v>
      </c>
      <c r="X464" s="2">
        <f>IFERROR(__xludf.DUMMYFUNCTION("""COMPUTED_VALUE"""),8.69066060245629E14)</f>
        <v>869066060245629</v>
      </c>
      <c r="Y464" s="2">
        <f>IFERROR(__xludf.DUMMYFUNCTION("""COMPUTED_VALUE"""),9.62468145E9)</f>
        <v>9624681450</v>
      </c>
      <c r="Z464" s="2"/>
      <c r="AA464" s="2"/>
      <c r="AB464" s="2"/>
    </row>
    <row r="465">
      <c r="A465" s="2" t="str">
        <f>IFERROR(__xludf.DUMMYFUNCTION("""COMPUTED_VALUE"""),"TT00463")</f>
        <v>TT00463</v>
      </c>
      <c r="B465" s="2" t="str">
        <f>IFERROR(__xludf.DUMMYFUNCTION("""COMPUTED_VALUE"""),"w/ Pending")</f>
        <v>w/ Pending</v>
      </c>
      <c r="C465" s="2"/>
      <c r="D465" s="2" t="str">
        <f>IFERROR(__xludf.DUMMYFUNCTION("""COMPUTED_VALUE"""),"Aquino Cluster Farmers Association")</f>
        <v>Aquino Cluster Farmers Association</v>
      </c>
      <c r="E465" s="2" t="str">
        <f>IFERROR(__xludf.DUMMYFUNCTION("""COMPUTED_VALUE"""),"Aquino, Ibajay, AKLAN")</f>
        <v>Aquino, Ibajay, AKLAN</v>
      </c>
      <c r="F465" s="2" t="str">
        <f>IFERROR(__xludf.DUMMYFUNCTION("""COMPUTED_VALUE"""),"Sermundo Conan")</f>
        <v>Sermundo Conan</v>
      </c>
      <c r="G465" s="2" t="str">
        <f>IFERROR(__xludf.DUMMYFUNCTION("""COMPUTED_VALUE"""),"0910-874-4791")</f>
        <v>0910-874-4791</v>
      </c>
      <c r="H465" s="2"/>
      <c r="I465" s="2"/>
      <c r="J465" s="2" t="str">
        <f>IFERROR(__xludf.DUMMYFUNCTION("""COMPUTED_VALUE"""),"disc plow")</f>
        <v>disc plow</v>
      </c>
      <c r="K465" s="2" t="str">
        <f>IFERROR(__xludf.DUMMYFUNCTION("""COMPUTED_VALUE"""),"RCEF 23-09-21 Rebidding")</f>
        <v>RCEF 23-09-21 Rebidding</v>
      </c>
      <c r="L465" s="2">
        <f>IFERROR(__xludf.DUMMYFUNCTION("""COMPUTED_VALUE"""),4.0)</f>
        <v>4</v>
      </c>
      <c r="M465" s="2"/>
      <c r="N465" s="74">
        <f>IFERROR(__xludf.DUMMYFUNCTION("""COMPUTED_VALUE"""),45386.0)</f>
        <v>45386</v>
      </c>
      <c r="O465" s="74">
        <f>IFERROR(__xludf.DUMMYFUNCTION("""COMPUTED_VALUE"""),45414.0)</f>
        <v>45414</v>
      </c>
      <c r="P465" s="2">
        <f>IFERROR(__xludf.DUMMYFUNCTION("""COMPUTED_VALUE"""),18898.0)</f>
        <v>18898</v>
      </c>
      <c r="Q465" s="2" t="str">
        <f>IFERROR(__xludf.DUMMYFUNCTION("""COMPUTED_VALUE"""),"KMC5825 AHRFPV0303")</f>
        <v>KMC5825 AHRFPV0303</v>
      </c>
      <c r="R465" s="2" t="str">
        <f>IFERROR(__xludf.DUMMYFUNCTION("""COMPUTED_VALUE"""),"RTS100189")</f>
        <v>RTS100189</v>
      </c>
      <c r="S465" s="2" t="str">
        <f>IFERROR(__xludf.DUMMYFUNCTION("""COMPUTED_VALUE"""),"R-SERIES 042 PH")</f>
        <v>R-SERIES 042 PH</v>
      </c>
      <c r="T465" s="2" t="str">
        <f>IFERROR(__xludf.DUMMYFUNCTION("""COMPUTED_VALUE"""),"LSGW1750 RMP 24020425")</f>
        <v>LSGW1750 RMP 24020425</v>
      </c>
      <c r="U465" s="2" t="str">
        <f>IFERROR(__xludf.DUMMYFUNCTION("""COMPUTED_VALUE"""),"WDP40 RMP 24030385")</f>
        <v>WDP40 RMP 24030385</v>
      </c>
      <c r="V465" s="2"/>
      <c r="W465" s="2" t="str">
        <f>IFERROR(__xludf.DUMMYFUNCTION("""COMPUTED_VALUE"""),"VL103D")</f>
        <v>VL103D</v>
      </c>
      <c r="X465" s="2"/>
      <c r="Y465" s="2"/>
      <c r="Z465" s="2"/>
      <c r="AA465" s="2"/>
      <c r="AB465" s="2"/>
    </row>
    <row r="466">
      <c r="A466" s="2" t="str">
        <f>IFERROR(__xludf.DUMMYFUNCTION("""COMPUTED_VALUE"""),"TT00464")</f>
        <v>TT00464</v>
      </c>
      <c r="B466" s="2" t="str">
        <f>IFERROR(__xludf.DUMMYFUNCTION("""COMPUTED_VALUE"""),"w/ Pending")</f>
        <v>w/ Pending</v>
      </c>
      <c r="C466" s="2"/>
      <c r="D466" s="2" t="str">
        <f>IFERROR(__xludf.DUMMYFUNCTION("""COMPUTED_VALUE"""),"Laguinbanua Integrated Farmers Association")</f>
        <v>Laguinbanua Integrated Farmers Association</v>
      </c>
      <c r="E466" s="2" t="str">
        <f>IFERROR(__xludf.DUMMYFUNCTION("""COMPUTED_VALUE"""),"Laguinbanua, Ibajay, AKLAN")</f>
        <v>Laguinbanua, Ibajay, AKLAN</v>
      </c>
      <c r="F466" s="2" t="str">
        <f>IFERROR(__xludf.DUMMYFUNCTION("""COMPUTED_VALUE"""),"Chevy Fernandez")</f>
        <v>Chevy Fernandez</v>
      </c>
      <c r="G466" s="2" t="str">
        <f>IFERROR(__xludf.DUMMYFUNCTION("""COMPUTED_VALUE"""),"0919-241-3021")</f>
        <v>0919-241-3021</v>
      </c>
      <c r="H466" s="2"/>
      <c r="I466" s="2"/>
      <c r="J466" s="2" t="str">
        <f>IFERROR(__xludf.DUMMYFUNCTION("""COMPUTED_VALUE"""),"disc plow")</f>
        <v>disc plow</v>
      </c>
      <c r="K466" s="2" t="str">
        <f>IFERROR(__xludf.DUMMYFUNCTION("""COMPUTED_VALUE"""),"RCEF 23-09-21 Rebidding")</f>
        <v>RCEF 23-09-21 Rebidding</v>
      </c>
      <c r="L466" s="2">
        <f>IFERROR(__xludf.DUMMYFUNCTION("""COMPUTED_VALUE"""),4.0)</f>
        <v>4</v>
      </c>
      <c r="M466" s="2"/>
      <c r="N466" s="74">
        <f>IFERROR(__xludf.DUMMYFUNCTION("""COMPUTED_VALUE"""),45386.0)</f>
        <v>45386</v>
      </c>
      <c r="O466" s="74">
        <f>IFERROR(__xludf.DUMMYFUNCTION("""COMPUTED_VALUE"""),45414.0)</f>
        <v>45414</v>
      </c>
      <c r="P466" s="2">
        <f>IFERROR(__xludf.DUMMYFUNCTION("""COMPUTED_VALUE"""),18899.0)</f>
        <v>18899</v>
      </c>
      <c r="Q466" s="2" t="str">
        <f>IFERROR(__xludf.DUMMYFUNCTION("""COMPUTED_VALUE"""),"KMC5825 ALRFPV0393")</f>
        <v>KMC5825 ALRFPV0393</v>
      </c>
      <c r="R466" s="2" t="str">
        <f>IFERROR(__xludf.DUMMYFUNCTION("""COMPUTED_VALUE"""),"RTS100304")</f>
        <v>RTS100304</v>
      </c>
      <c r="S466" s="2" t="str">
        <f>IFERROR(__xludf.DUMMYFUNCTION("""COMPUTED_VALUE"""),"R-SERIES 035 PH")</f>
        <v>R-SERIES 035 PH</v>
      </c>
      <c r="T466" s="2" t="str">
        <f>IFERROR(__xludf.DUMMYFUNCTION("""COMPUTED_VALUE"""),"LSGW1750 RMP 24020476")</f>
        <v>LSGW1750 RMP 24020476</v>
      </c>
      <c r="U466" s="2" t="str">
        <f>IFERROR(__xludf.DUMMYFUNCTION("""COMPUTED_VALUE"""),"WDP40 RMP 24010113")</f>
        <v>WDP40 RMP 24010113</v>
      </c>
      <c r="V466" s="2"/>
      <c r="W466" s="2" t="str">
        <f>IFERROR(__xludf.DUMMYFUNCTION("""COMPUTED_VALUE"""),"VL103D")</f>
        <v>VL103D</v>
      </c>
      <c r="X466" s="2"/>
      <c r="Y466" s="2"/>
      <c r="Z466" s="2"/>
      <c r="AA466" s="2"/>
      <c r="AB466" s="2"/>
    </row>
    <row r="467">
      <c r="A467" s="2" t="str">
        <f>IFERROR(__xludf.DUMMYFUNCTION("""COMPUTED_VALUE"""),"TT00465")</f>
        <v>TT00465</v>
      </c>
      <c r="B467" s="2" t="str">
        <f>IFERROR(__xludf.DUMMYFUNCTION("""COMPUTED_VALUE"""),"w/ Pending")</f>
        <v>w/ Pending</v>
      </c>
      <c r="C467" s="2"/>
      <c r="D467" s="2" t="str">
        <f>IFERROR(__xludf.DUMMYFUNCTION("""COMPUTED_VALUE"""),"AGCAWILAN-SILAKAT NONOK FARMERS CLUSTER ASSOCIATION")</f>
        <v>AGCAWILAN-SILAKAT NONOK FARMERS CLUSTER ASSOCIATION</v>
      </c>
      <c r="E467" s="2" t="str">
        <f>IFERROR(__xludf.DUMMYFUNCTION("""COMPUTED_VALUE"""),"Agcawilan, Lezo, AKLAN")</f>
        <v>Agcawilan, Lezo, AKLAN</v>
      </c>
      <c r="F467" s="2" t="str">
        <f>IFERROR(__xludf.DUMMYFUNCTION("""COMPUTED_VALUE"""),"MARIO Z. ZAULDA")</f>
        <v>MARIO Z. ZAULDA</v>
      </c>
      <c r="G467" s="2" t="str">
        <f>IFERROR(__xludf.DUMMYFUNCTION("""COMPUTED_VALUE"""),"0951-208-9996")</f>
        <v>0951-208-9996</v>
      </c>
      <c r="H467" s="2"/>
      <c r="I467" s="2"/>
      <c r="J467" s="2" t="str">
        <f>IFERROR(__xludf.DUMMYFUNCTION("""COMPUTED_VALUE"""),"disc plow")</f>
        <v>disc plow</v>
      </c>
      <c r="K467" s="2" t="str">
        <f>IFERROR(__xludf.DUMMYFUNCTION("""COMPUTED_VALUE"""),"RCEF 23-09-21 Rebidding")</f>
        <v>RCEF 23-09-21 Rebidding</v>
      </c>
      <c r="L467" s="2">
        <f>IFERROR(__xludf.DUMMYFUNCTION("""COMPUTED_VALUE"""),4.0)</f>
        <v>4</v>
      </c>
      <c r="M467" s="2"/>
      <c r="N467" s="74">
        <f>IFERROR(__xludf.DUMMYFUNCTION("""COMPUTED_VALUE"""),45386.0)</f>
        <v>45386</v>
      </c>
      <c r="O467" s="74">
        <f>IFERROR(__xludf.DUMMYFUNCTION("""COMPUTED_VALUE"""),45414.0)</f>
        <v>45414</v>
      </c>
      <c r="P467" s="2">
        <f>IFERROR(__xludf.DUMMYFUNCTION("""COMPUTED_VALUE"""),18900.0)</f>
        <v>18900</v>
      </c>
      <c r="Q467" s="2" t="str">
        <f>IFERROR(__xludf.DUMMYFUNCTION("""COMPUTED_VALUE"""),"KMC5825 ACRFPV0327")</f>
        <v>KMC5825 ACRFPV0327</v>
      </c>
      <c r="R467" s="2" t="str">
        <f>IFERROR(__xludf.DUMMYFUNCTION("""COMPUTED_VALUE"""),"RTS100167")</f>
        <v>RTS100167</v>
      </c>
      <c r="S467" s="2" t="str">
        <f>IFERROR(__xludf.DUMMYFUNCTION("""COMPUTED_VALUE"""),"R-SERIES 019 PH")</f>
        <v>R-SERIES 019 PH</v>
      </c>
      <c r="T467" s="2" t="str">
        <f>IFERROR(__xludf.DUMMYFUNCTION("""COMPUTED_VALUE"""),"LSGW1750 RMP 24020460")</f>
        <v>LSGW1750 RMP 24020460</v>
      </c>
      <c r="U467" s="2" t="str">
        <f>IFERROR(__xludf.DUMMYFUNCTION("""COMPUTED_VALUE"""),"WDP40 RMP 24030363")</f>
        <v>WDP40 RMP 24030363</v>
      </c>
      <c r="V467" s="2"/>
      <c r="W467" s="2" t="str">
        <f>IFERROR(__xludf.DUMMYFUNCTION("""COMPUTED_VALUE"""),"VL103D")</f>
        <v>VL103D</v>
      </c>
      <c r="X467" s="2"/>
      <c r="Y467" s="2"/>
      <c r="Z467" s="2"/>
      <c r="AA467" s="2"/>
      <c r="AB467" s="2"/>
    </row>
    <row r="468">
      <c r="A468" s="2" t="str">
        <f>IFERROR(__xludf.DUMMYFUNCTION("""COMPUTED_VALUE"""),"TT00466")</f>
        <v>TT00466</v>
      </c>
      <c r="B468" s="2" t="str">
        <f>IFERROR(__xludf.DUMMYFUNCTION("""COMPUTED_VALUE"""),"w/ Pending")</f>
        <v>w/ Pending</v>
      </c>
      <c r="C468" s="2"/>
      <c r="D468" s="2" t="str">
        <f>IFERROR(__xludf.DUMMYFUNCTION("""COMPUTED_VALUE"""),"Lezo Multi-purpose Cooperative")</f>
        <v>Lezo Multi-purpose Cooperative</v>
      </c>
      <c r="E468" s="2" t="str">
        <f>IFERROR(__xludf.DUMMYFUNCTION("""COMPUTED_VALUE"""),"Poblacion, Lezo, AKLAN")</f>
        <v>Poblacion, Lezo, AKLAN</v>
      </c>
      <c r="F468" s="2" t="str">
        <f>IFERROR(__xludf.DUMMYFUNCTION("""COMPUTED_VALUE"""),"Emelinda R. Dela Cruz")</f>
        <v>Emelinda R. Dela Cruz</v>
      </c>
      <c r="G468" s="2" t="str">
        <f>IFERROR(__xludf.DUMMYFUNCTION("""COMPUTED_VALUE"""),"0918-957-2998")</f>
        <v>0918-957-2998</v>
      </c>
      <c r="H468" s="2"/>
      <c r="I468" s="2"/>
      <c r="J468" s="2" t="str">
        <f>IFERROR(__xludf.DUMMYFUNCTION("""COMPUTED_VALUE"""),"disc plow")</f>
        <v>disc plow</v>
      </c>
      <c r="K468" s="2" t="str">
        <f>IFERROR(__xludf.DUMMYFUNCTION("""COMPUTED_VALUE"""),"RCEF 23-09-21 Rebidding")</f>
        <v>RCEF 23-09-21 Rebidding</v>
      </c>
      <c r="L468" s="2">
        <f>IFERROR(__xludf.DUMMYFUNCTION("""COMPUTED_VALUE"""),4.0)</f>
        <v>4</v>
      </c>
      <c r="M468" s="2"/>
      <c r="N468" s="74">
        <f>IFERROR(__xludf.DUMMYFUNCTION("""COMPUTED_VALUE"""),45386.0)</f>
        <v>45386</v>
      </c>
      <c r="O468" s="74">
        <f>IFERROR(__xludf.DUMMYFUNCTION("""COMPUTED_VALUE"""),45414.0)</f>
        <v>45414</v>
      </c>
      <c r="P468" s="2">
        <f>IFERROR(__xludf.DUMMYFUNCTION("""COMPUTED_VALUE"""),18901.0)</f>
        <v>18901</v>
      </c>
      <c r="Q468" s="2" t="str">
        <f>IFERROR(__xludf.DUMMYFUNCTION("""COMPUTED_VALUE"""),"KMC5825 ATRFPV0421")</f>
        <v>KMC5825 ATRFPV0421</v>
      </c>
      <c r="R468" s="2" t="str">
        <f>IFERROR(__xludf.DUMMYFUNCTION("""COMPUTED_VALUE"""),"RTS100327")</f>
        <v>RTS100327</v>
      </c>
      <c r="S468" s="2" t="str">
        <f>IFERROR(__xludf.DUMMYFUNCTION("""COMPUTED_VALUE"""),"R-SERIES 125 PH")</f>
        <v>R-SERIES 125 PH</v>
      </c>
      <c r="T468" s="2" t="str">
        <f>IFERROR(__xludf.DUMMYFUNCTION("""COMPUTED_VALUE"""),"LSGW1750 RMP 24020486")</f>
        <v>LSGW1750 RMP 24020486</v>
      </c>
      <c r="U468" s="2" t="str">
        <f>IFERROR(__xludf.DUMMYFUNCTION("""COMPUTED_VALUE"""),"WDP40 RMP 24030342")</f>
        <v>WDP40 RMP 24030342</v>
      </c>
      <c r="V468" s="2"/>
      <c r="W468" s="2" t="str">
        <f>IFERROR(__xludf.DUMMYFUNCTION("""COMPUTED_VALUE"""),"VL103D")</f>
        <v>VL103D</v>
      </c>
      <c r="X468" s="2"/>
      <c r="Y468" s="2"/>
      <c r="Z468" s="2"/>
      <c r="AA468" s="2"/>
      <c r="AB468" s="2"/>
    </row>
    <row r="469">
      <c r="A469" s="2" t="str">
        <f>IFERROR(__xludf.DUMMYFUNCTION("""COMPUTED_VALUE"""),"TT00467")</f>
        <v>TT00467</v>
      </c>
      <c r="B469" s="2" t="str">
        <f>IFERROR(__xludf.DUMMYFUNCTION("""COMPUTED_VALUE"""),"w/ Pending")</f>
        <v>w/ Pending</v>
      </c>
      <c r="C469" s="2"/>
      <c r="D469" s="2" t="str">
        <f>IFERROR(__xludf.DUMMYFUNCTION("""COMPUTED_VALUE"""),"DTC-PRO Farmers Irrigators' Association, Inc.")</f>
        <v>DTC-PRO Farmers Irrigators' Association, Inc.</v>
      </c>
      <c r="E469" s="2" t="str">
        <f>IFERROR(__xludf.DUMMYFUNCTION("""COMPUTED_VALUE"""),"Dumga, Makato, AKLAN")</f>
        <v>Dumga, Makato, AKLAN</v>
      </c>
      <c r="F469" s="2" t="str">
        <f>IFERROR(__xludf.DUMMYFUNCTION("""COMPUTED_VALUE"""),"Ramon Togoto")</f>
        <v>Ramon Togoto</v>
      </c>
      <c r="G469" s="2" t="str">
        <f>IFERROR(__xludf.DUMMYFUNCTION("""COMPUTED_VALUE"""),"0909-929-3299")</f>
        <v>0909-929-3299</v>
      </c>
      <c r="H469" s="2"/>
      <c r="I469" s="2"/>
      <c r="J469" s="2" t="str">
        <f>IFERROR(__xludf.DUMMYFUNCTION("""COMPUTED_VALUE"""),"disc plow")</f>
        <v>disc plow</v>
      </c>
      <c r="K469" s="2" t="str">
        <f>IFERROR(__xludf.DUMMYFUNCTION("""COMPUTED_VALUE"""),"RCEF 23-09-21 Rebidding")</f>
        <v>RCEF 23-09-21 Rebidding</v>
      </c>
      <c r="L469" s="2">
        <f>IFERROR(__xludf.DUMMYFUNCTION("""COMPUTED_VALUE"""),4.0)</f>
        <v>4</v>
      </c>
      <c r="M469" s="2"/>
      <c r="N469" s="74">
        <f>IFERROR(__xludf.DUMMYFUNCTION("""COMPUTED_VALUE"""),45386.0)</f>
        <v>45386</v>
      </c>
      <c r="O469" s="74">
        <f>IFERROR(__xludf.DUMMYFUNCTION("""COMPUTED_VALUE"""),45414.0)</f>
        <v>45414</v>
      </c>
      <c r="P469" s="2">
        <f>IFERROR(__xludf.DUMMYFUNCTION("""COMPUTED_VALUE"""),18902.0)</f>
        <v>18902</v>
      </c>
      <c r="Q469" s="2" t="str">
        <f>IFERROR(__xludf.DUMMYFUNCTION("""COMPUTED_VALUE"""),"KMC5825 AHRFPV0463")</f>
        <v>KMC5825 AHRFPV0463</v>
      </c>
      <c r="R469" s="2" t="str">
        <f>IFERROR(__xludf.DUMMYFUNCTION("""COMPUTED_VALUE"""),"RTS100376")</f>
        <v>RTS100376</v>
      </c>
      <c r="S469" s="2" t="str">
        <f>IFERROR(__xludf.DUMMYFUNCTION("""COMPUTED_VALUE"""),"R-SERIES 274 PH")</f>
        <v>R-SERIES 274 PH</v>
      </c>
      <c r="T469" s="2" t="str">
        <f>IFERROR(__xludf.DUMMYFUNCTION("""COMPUTED_VALUE"""),"LSGW1750 RMP 24020489")</f>
        <v>LSGW1750 RMP 24020489</v>
      </c>
      <c r="U469" s="2" t="str">
        <f>IFERROR(__xludf.DUMMYFUNCTION("""COMPUTED_VALUE"""),"WDP40 RMP 24040397")</f>
        <v>WDP40 RMP 24040397</v>
      </c>
      <c r="V469" s="2"/>
      <c r="W469" s="2" t="str">
        <f>IFERROR(__xludf.DUMMYFUNCTION("""COMPUTED_VALUE"""),"VL103D")</f>
        <v>VL103D</v>
      </c>
      <c r="X469" s="2"/>
      <c r="Y469" s="2"/>
      <c r="Z469" s="2"/>
      <c r="AA469" s="2"/>
      <c r="AB469" s="2"/>
    </row>
    <row r="470">
      <c r="A470" s="2" t="str">
        <f>IFERROR(__xludf.DUMMYFUNCTION("""COMPUTED_VALUE"""),"TT00468")</f>
        <v>TT00468</v>
      </c>
      <c r="B470" s="2" t="str">
        <f>IFERROR(__xludf.DUMMYFUNCTION("""COMPUTED_VALUE"""),"w/ Pending")</f>
        <v>w/ Pending</v>
      </c>
      <c r="C470" s="2"/>
      <c r="D470" s="2" t="str">
        <f>IFERROR(__xludf.DUMMYFUNCTION("""COMPUTED_VALUE"""),"Navitas Farmer's Association (NFA)")</f>
        <v>Navitas Farmer's Association (NFA)</v>
      </c>
      <c r="E470" s="2" t="str">
        <f>IFERROR(__xludf.DUMMYFUNCTION("""COMPUTED_VALUE"""),"Navitas, Malinao, AKLAN")</f>
        <v>Navitas, Malinao, AKLAN</v>
      </c>
      <c r="F470" s="2" t="str">
        <f>IFERROR(__xludf.DUMMYFUNCTION("""COMPUTED_VALUE"""),"Rose Melinda Odorita")</f>
        <v>Rose Melinda Odorita</v>
      </c>
      <c r="G470" s="2" t="str">
        <f>IFERROR(__xludf.DUMMYFUNCTION("""COMPUTED_VALUE"""),"0946-380-6871")</f>
        <v>0946-380-6871</v>
      </c>
      <c r="H470" s="2"/>
      <c r="I470" s="2"/>
      <c r="J470" s="2" t="str">
        <f>IFERROR(__xludf.DUMMYFUNCTION("""COMPUTED_VALUE"""),"disc plow")</f>
        <v>disc plow</v>
      </c>
      <c r="K470" s="2" t="str">
        <f>IFERROR(__xludf.DUMMYFUNCTION("""COMPUTED_VALUE"""),"RCEF 23-09-21 Rebidding")</f>
        <v>RCEF 23-09-21 Rebidding</v>
      </c>
      <c r="L470" s="2">
        <f>IFERROR(__xludf.DUMMYFUNCTION("""COMPUTED_VALUE"""),4.0)</f>
        <v>4</v>
      </c>
      <c r="M470" s="2"/>
      <c r="N470" s="74">
        <f>IFERROR(__xludf.DUMMYFUNCTION("""COMPUTED_VALUE"""),45386.0)</f>
        <v>45386</v>
      </c>
      <c r="O470" s="74">
        <f>IFERROR(__xludf.DUMMYFUNCTION("""COMPUTED_VALUE"""),45414.0)</f>
        <v>45414</v>
      </c>
      <c r="P470" s="2">
        <f>IFERROR(__xludf.DUMMYFUNCTION("""COMPUTED_VALUE"""),18903.0)</f>
        <v>18903</v>
      </c>
      <c r="Q470" s="2" t="str">
        <f>IFERROR(__xludf.DUMMYFUNCTION("""COMPUTED_VALUE"""),"KMC5825AHRFPV0379")</f>
        <v>KMC5825AHRFPV0379</v>
      </c>
      <c r="R470" s="2" t="str">
        <f>IFERROR(__xludf.DUMMYFUNCTION("""COMPUTED_VALUE"""),"RTS100263")</f>
        <v>RTS100263</v>
      </c>
      <c r="S470" s="2" t="str">
        <f>IFERROR(__xludf.DUMMYFUNCTION("""COMPUTED_VALUE"""),"R-SERIES 120 PH")</f>
        <v>R-SERIES 120 PH</v>
      </c>
      <c r="T470" s="2" t="str">
        <f>IFERROR(__xludf.DUMMYFUNCTION("""COMPUTED_VALUE"""),"LSGW1750 RMP 24020459")</f>
        <v>LSGW1750 RMP 24020459</v>
      </c>
      <c r="U470" s="2" t="str">
        <f>IFERROR(__xludf.DUMMYFUNCTION("""COMPUTED_VALUE"""),"WDP40 RMP 24010120")</f>
        <v>WDP40 RMP 24010120</v>
      </c>
      <c r="V470" s="2"/>
      <c r="W470" s="2" t="str">
        <f>IFERROR(__xludf.DUMMYFUNCTION("""COMPUTED_VALUE"""),"VL103D")</f>
        <v>VL103D</v>
      </c>
      <c r="X470" s="2"/>
      <c r="Y470" s="2"/>
      <c r="Z470" s="2"/>
      <c r="AA470" s="2"/>
      <c r="AB470" s="2"/>
    </row>
    <row r="471">
      <c r="A471" s="2" t="str">
        <f>IFERROR(__xludf.DUMMYFUNCTION("""COMPUTED_VALUE"""),"TT00469")</f>
        <v>TT00469</v>
      </c>
      <c r="B471" s="2" t="str">
        <f>IFERROR(__xludf.DUMMYFUNCTION("""COMPUTED_VALUE"""),"w/ Pending")</f>
        <v>w/ Pending</v>
      </c>
      <c r="C471" s="2"/>
      <c r="D471" s="2" t="str">
        <f>IFERROR(__xludf.DUMMYFUNCTION("""COMPUTED_VALUE"""),"Solido Cluster Farmers Association")</f>
        <v>Solido Cluster Farmers Association</v>
      </c>
      <c r="E471" s="2" t="str">
        <f>IFERROR(__xludf.DUMMYFUNCTION("""COMPUTED_VALUE"""),"Solido, Nabas, AKLAN")</f>
        <v>Solido, Nabas, AKLAN</v>
      </c>
      <c r="F471" s="2" t="str">
        <f>IFERROR(__xludf.DUMMYFUNCTION("""COMPUTED_VALUE"""),"Felix Dubrico")</f>
        <v>Felix Dubrico</v>
      </c>
      <c r="G471" s="2" t="str">
        <f>IFERROR(__xludf.DUMMYFUNCTION("""COMPUTED_VALUE"""),"0907-602-9968")</f>
        <v>0907-602-9968</v>
      </c>
      <c r="H471" s="2"/>
      <c r="I471" s="2"/>
      <c r="J471" s="2" t="str">
        <f>IFERROR(__xludf.DUMMYFUNCTION("""COMPUTED_VALUE"""),"disc plow")</f>
        <v>disc plow</v>
      </c>
      <c r="K471" s="2" t="str">
        <f>IFERROR(__xludf.DUMMYFUNCTION("""COMPUTED_VALUE"""),"RCEF 23-09-21 Rebidding")</f>
        <v>RCEF 23-09-21 Rebidding</v>
      </c>
      <c r="L471" s="2">
        <f>IFERROR(__xludf.DUMMYFUNCTION("""COMPUTED_VALUE"""),4.0)</f>
        <v>4</v>
      </c>
      <c r="M471" s="2"/>
      <c r="N471" s="74">
        <f>IFERROR(__xludf.DUMMYFUNCTION("""COMPUTED_VALUE"""),45386.0)</f>
        <v>45386</v>
      </c>
      <c r="O471" s="74">
        <f>IFERROR(__xludf.DUMMYFUNCTION("""COMPUTED_VALUE"""),45414.0)</f>
        <v>45414</v>
      </c>
      <c r="P471" s="2">
        <f>IFERROR(__xludf.DUMMYFUNCTION("""COMPUTED_VALUE"""),18904.0)</f>
        <v>18904</v>
      </c>
      <c r="Q471" s="2" t="str">
        <f>IFERROR(__xludf.DUMMYFUNCTION("""COMPUTED_VALUE"""),"KMC5825 AKRFPV0325")</f>
        <v>KMC5825 AKRFPV0325</v>
      </c>
      <c r="R471" s="2" t="str">
        <f>IFERROR(__xludf.DUMMYFUNCTION("""COMPUTED_VALUE"""),"RTS100168")</f>
        <v>RTS100168</v>
      </c>
      <c r="S471" s="2" t="str">
        <f>IFERROR(__xludf.DUMMYFUNCTION("""COMPUTED_VALUE"""),"R-SERIES 060 PH")</f>
        <v>R-SERIES 060 PH</v>
      </c>
      <c r="T471" s="2" t="str">
        <f>IFERROR(__xludf.DUMMYFUNCTION("""COMPUTED_VALUE"""),"LSGW1750 RMP 24020483")</f>
        <v>LSGW1750 RMP 24020483</v>
      </c>
      <c r="U471" s="2" t="str">
        <f>IFERROR(__xludf.DUMMYFUNCTION("""COMPUTED_VALUE"""),"WDP40 RMP 24040464")</f>
        <v>WDP40 RMP 24040464</v>
      </c>
      <c r="V471" s="2"/>
      <c r="W471" s="2" t="str">
        <f>IFERROR(__xludf.DUMMYFUNCTION("""COMPUTED_VALUE"""),"VL103D")</f>
        <v>VL103D</v>
      </c>
      <c r="X471" s="2"/>
      <c r="Y471" s="2"/>
      <c r="Z471" s="2"/>
      <c r="AA471" s="2"/>
      <c r="AB471" s="2"/>
    </row>
    <row r="472">
      <c r="A472" s="2" t="str">
        <f>IFERROR(__xludf.DUMMYFUNCTION("""COMPUTED_VALUE"""),"TT00470")</f>
        <v>TT00470</v>
      </c>
      <c r="B472" s="2" t="str">
        <f>IFERROR(__xludf.DUMMYFUNCTION("""COMPUTED_VALUE"""),"w/ Pending")</f>
        <v>w/ Pending</v>
      </c>
      <c r="C472" s="2"/>
      <c r="D472" s="2" t="str">
        <f>IFERROR(__xludf.DUMMYFUNCTION("""COMPUTED_VALUE"""),"INTEGRATED BARANGAYS OF NUMANCIA MULTI-PURPOSE COOPERATIVE (IBON MPC)")</f>
        <v>INTEGRATED BARANGAYS OF NUMANCIA MULTI-PURPOSE COOPERATIVE (IBON MPC)</v>
      </c>
      <c r="E472" s="2" t="str">
        <f>IFERROR(__xludf.DUMMYFUNCTION("""COMPUTED_VALUE"""),"Pusiw, Numancia, AKLAN")</f>
        <v>Pusiw, Numancia, AKLAN</v>
      </c>
      <c r="F472" s="2" t="str">
        <f>IFERROR(__xludf.DUMMYFUNCTION("""COMPUTED_VALUE"""),"Stineli F. Barrios")</f>
        <v>Stineli F. Barrios</v>
      </c>
      <c r="G472" s="2" t="str">
        <f>IFERROR(__xludf.DUMMYFUNCTION("""COMPUTED_VALUE"""),"0948-151-6655")</f>
        <v>0948-151-6655</v>
      </c>
      <c r="H472" s="2"/>
      <c r="I472" s="2"/>
      <c r="J472" s="2" t="str">
        <f>IFERROR(__xludf.DUMMYFUNCTION("""COMPUTED_VALUE"""),"disc plow")</f>
        <v>disc plow</v>
      </c>
      <c r="K472" s="2" t="str">
        <f>IFERROR(__xludf.DUMMYFUNCTION("""COMPUTED_VALUE"""),"RCEF 23-09-21 Rebidding")</f>
        <v>RCEF 23-09-21 Rebidding</v>
      </c>
      <c r="L472" s="2">
        <f>IFERROR(__xludf.DUMMYFUNCTION("""COMPUTED_VALUE"""),4.0)</f>
        <v>4</v>
      </c>
      <c r="M472" s="2"/>
      <c r="N472" s="74">
        <f>IFERROR(__xludf.DUMMYFUNCTION("""COMPUTED_VALUE"""),45386.0)</f>
        <v>45386</v>
      </c>
      <c r="O472" s="74">
        <f>IFERROR(__xludf.DUMMYFUNCTION("""COMPUTED_VALUE"""),45414.0)</f>
        <v>45414</v>
      </c>
      <c r="P472" s="2">
        <f>IFERROR(__xludf.DUMMYFUNCTION("""COMPUTED_VALUE"""),18905.0)</f>
        <v>18905</v>
      </c>
      <c r="Q472" s="2" t="str">
        <f>IFERROR(__xludf.DUMMYFUNCTION("""COMPUTED_VALUE"""),"KMC5825 AHRFPV0396")</f>
        <v>KMC5825 AHRFPV0396</v>
      </c>
      <c r="R472" s="2" t="str">
        <f>IFERROR(__xludf.DUMMYFUNCTION("""COMPUTED_VALUE"""),"RTS100291 ")</f>
        <v>RTS100291 </v>
      </c>
      <c r="S472" s="2" t="str">
        <f>IFERROR(__xludf.DUMMYFUNCTION("""COMPUTED_VALUE"""),"R-SERIES 016 PH")</f>
        <v>R-SERIES 016 PH</v>
      </c>
      <c r="T472" s="2" t="str">
        <f>IFERROR(__xludf.DUMMYFUNCTION("""COMPUTED_VALUE"""),"LSGW1750 RMP 24020478")</f>
        <v>LSGW1750 RMP 24020478</v>
      </c>
      <c r="U472" s="2" t="str">
        <f>IFERROR(__xludf.DUMMYFUNCTION("""COMPUTED_VALUE"""),"WDP40 RMP 24010123")</f>
        <v>WDP40 RMP 24010123</v>
      </c>
      <c r="V472" s="2"/>
      <c r="W472" s="2" t="str">
        <f>IFERROR(__xludf.DUMMYFUNCTION("""COMPUTED_VALUE"""),"VL103D")</f>
        <v>VL103D</v>
      </c>
      <c r="X472" s="2"/>
      <c r="Y472" s="2"/>
      <c r="Z472" s="2"/>
      <c r="AA472" s="2"/>
      <c r="AB472" s="2"/>
    </row>
    <row r="473">
      <c r="A473" s="2" t="str">
        <f>IFERROR(__xludf.DUMMYFUNCTION("""COMPUTED_VALUE"""),"TT00471")</f>
        <v>TT00471</v>
      </c>
      <c r="B473" s="2" t="str">
        <f>IFERROR(__xludf.DUMMYFUNCTION("""COMPUTED_VALUE"""),"w/ Pending")</f>
        <v>w/ Pending</v>
      </c>
      <c r="C473" s="2"/>
      <c r="D473" s="2" t="str">
        <f>IFERROR(__xludf.DUMMYFUNCTION("""COMPUTED_VALUE"""),"Laguinbanua West Farmers Association")</f>
        <v>Laguinbanua West Farmers Association</v>
      </c>
      <c r="E473" s="2" t="str">
        <f>IFERROR(__xludf.DUMMYFUNCTION("""COMPUTED_VALUE"""),"Laguinbanua West, Numancia, AKLAN")</f>
        <v>Laguinbanua West, Numancia, AKLAN</v>
      </c>
      <c r="F473" s="2" t="str">
        <f>IFERROR(__xludf.DUMMYFUNCTION("""COMPUTED_VALUE"""),"Leonarda B. De Miguel")</f>
        <v>Leonarda B. De Miguel</v>
      </c>
      <c r="G473" s="2" t="str">
        <f>IFERROR(__xludf.DUMMYFUNCTION("""COMPUTED_VALUE"""),"0918-448-2414")</f>
        <v>0918-448-2414</v>
      </c>
      <c r="H473" s="2"/>
      <c r="I473" s="2"/>
      <c r="J473" s="2" t="str">
        <f>IFERROR(__xludf.DUMMYFUNCTION("""COMPUTED_VALUE"""),"disc plow")</f>
        <v>disc plow</v>
      </c>
      <c r="K473" s="2" t="str">
        <f>IFERROR(__xludf.DUMMYFUNCTION("""COMPUTED_VALUE"""),"RCEF 23-09-21 Rebidding")</f>
        <v>RCEF 23-09-21 Rebidding</v>
      </c>
      <c r="L473" s="2">
        <f>IFERROR(__xludf.DUMMYFUNCTION("""COMPUTED_VALUE"""),4.0)</f>
        <v>4</v>
      </c>
      <c r="M473" s="2"/>
      <c r="N473" s="74">
        <f>IFERROR(__xludf.DUMMYFUNCTION("""COMPUTED_VALUE"""),45386.0)</f>
        <v>45386</v>
      </c>
      <c r="O473" s="74">
        <f>IFERROR(__xludf.DUMMYFUNCTION("""COMPUTED_VALUE"""),45414.0)</f>
        <v>45414</v>
      </c>
      <c r="P473" s="2">
        <f>IFERROR(__xludf.DUMMYFUNCTION("""COMPUTED_VALUE"""),18906.0)</f>
        <v>18906</v>
      </c>
      <c r="Q473" s="2" t="str">
        <f>IFERROR(__xludf.DUMMYFUNCTION("""COMPUTED_VALUE"""),"KMC5825 ALRFPV0381")</f>
        <v>KMC5825 ALRFPV0381</v>
      </c>
      <c r="R473" s="2" t="str">
        <f>IFERROR(__xludf.DUMMYFUNCTION("""COMPUTED_VALUE"""),"RTS100249")</f>
        <v>RTS100249</v>
      </c>
      <c r="S473" s="2" t="str">
        <f>IFERROR(__xludf.DUMMYFUNCTION("""COMPUTED_VALUE"""),"R-SERIES 007 PH")</f>
        <v>R-SERIES 007 PH</v>
      </c>
      <c r="T473" s="2" t="str">
        <f>IFERROR(__xludf.DUMMYFUNCTION("""COMPUTED_VALUE"""),"LSGW1750 RMP 24020476")</f>
        <v>LSGW1750 RMP 24020476</v>
      </c>
      <c r="U473" s="2" t="str">
        <f>IFERROR(__xludf.DUMMYFUNCTION("""COMPUTED_VALUE"""),"WDP40 RMP 24010113")</f>
        <v>WDP40 RMP 24010113</v>
      </c>
      <c r="V473" s="2"/>
      <c r="W473" s="2" t="str">
        <f>IFERROR(__xludf.DUMMYFUNCTION("""COMPUTED_VALUE"""),"VL103D")</f>
        <v>VL103D</v>
      </c>
      <c r="X473" s="2"/>
      <c r="Y473" s="2"/>
      <c r="Z473" s="2"/>
      <c r="AA473" s="2"/>
      <c r="AB473" s="2"/>
    </row>
    <row r="474">
      <c r="A474" s="2" t="str">
        <f>IFERROR(__xludf.DUMMYFUNCTION("""COMPUTED_VALUE"""),"TT00472")</f>
        <v>TT00472</v>
      </c>
      <c r="B474" s="2" t="str">
        <f>IFERROR(__xludf.DUMMYFUNCTION("""COMPUTED_VALUE"""),"Completed")</f>
        <v>Completed</v>
      </c>
      <c r="C474" s="2" t="str">
        <f>IFERROR(__xludf.DUMMYFUNCTION("""COMPUTED_VALUE"""),"FOR BILLING L3, ADDTL DR")</f>
        <v>FOR BILLING L3, ADDTL DR</v>
      </c>
      <c r="D474" s="2"/>
      <c r="E474" s="2" t="str">
        <f>IFERROR(__xludf.DUMMYFUNCTION("""COMPUTED_VALUE"""),"Victoria, Llanera, NUEVA ECIJA")</f>
        <v>Victoria, Llanera, NUEVA ECIJA</v>
      </c>
      <c r="F474" s="2" t="str">
        <f>IFERROR(__xludf.DUMMYFUNCTION("""COMPUTED_VALUE"""),"Hon. Ronnie Roy G. Pascual")</f>
        <v>Hon. Ronnie Roy G. Pascual</v>
      </c>
      <c r="G474" s="2" t="str">
        <f>IFERROR(__xludf.DUMMYFUNCTION("""COMPUTED_VALUE"""),"0920-563-6206")</f>
        <v>0920-563-6206</v>
      </c>
      <c r="H474" s="2"/>
      <c r="I474" s="2"/>
      <c r="J474" s="2"/>
      <c r="K474" s="2" t="str">
        <f>IFERROR(__xludf.DUMMYFUNCTION("""COMPUTED_VALUE"""),"RCEF 23-09-21 Rebidding")</f>
        <v>RCEF 23-09-21 Rebidding</v>
      </c>
      <c r="L474" s="2" t="str">
        <f>IFERROR(__xludf.DUMMYFUNCTION("""COMPUTED_VALUE"""),"#N/A")</f>
        <v>#N/A</v>
      </c>
      <c r="M474" s="2"/>
      <c r="N474" s="2"/>
      <c r="O474" s="2"/>
      <c r="P474" s="2">
        <f>IFERROR(__xludf.DUMMYFUNCTION("""COMPUTED_VALUE"""),19560.0)</f>
        <v>19560</v>
      </c>
      <c r="Q474" s="2" t="str">
        <f>IFERROR(__xludf.DUMMYFUNCTION("""COMPUTED_VALUE"""),"KMC 5825 AHRFPV0155")</f>
        <v>KMC 5825 AHRFPV0155</v>
      </c>
      <c r="R474" s="2" t="str">
        <f>IFERROR(__xludf.DUMMYFUNCTION("""COMPUTED_VALUE"""),"RTS 100120")</f>
        <v>RTS 100120</v>
      </c>
      <c r="S474" s="2" t="str">
        <f>IFERROR(__xludf.DUMMYFUNCTION("""COMPUTED_VALUE"""),"R SERIES 068 PH")</f>
        <v>R SERIES 068 PH</v>
      </c>
      <c r="T474" s="2" t="str">
        <f>IFERROR(__xludf.DUMMYFUNCTION("""COMPUTED_VALUE"""),"LSGW1750 RMP 231264")</f>
        <v>LSGW1750 RMP 231264</v>
      </c>
      <c r="U474" s="2" t="str">
        <f>IFERROR(__xludf.DUMMYFUNCTION("""COMPUTED_VALUE"""),"WDP40 RMP 24020241")</f>
        <v>WDP40 RMP 24020241</v>
      </c>
      <c r="V474" s="2"/>
      <c r="W474" s="2" t="str">
        <f>IFERROR(__xludf.DUMMYFUNCTION("""COMPUTED_VALUE"""),"VL103D")</f>
        <v>VL103D</v>
      </c>
      <c r="X474" s="2"/>
      <c r="Y474" s="2"/>
      <c r="Z474" s="2"/>
      <c r="AA474" s="2"/>
      <c r="AB474" s="2"/>
    </row>
    <row r="475">
      <c r="A475" s="2" t="str">
        <f>IFERROR(__xludf.DUMMYFUNCTION("""COMPUTED_VALUE"""),"TT00473")</f>
        <v>TT00473</v>
      </c>
      <c r="B475" s="2" t="str">
        <f>IFERROR(__xludf.DUMMYFUNCTION("""COMPUTED_VALUE"""),"w/ Pending")</f>
        <v>w/ Pending</v>
      </c>
      <c r="C475" s="2" t="str">
        <f>IFERROR(__xludf.DUMMYFUNCTION("""COMPUTED_VALUE"""),"FOR BILLING L2, w/ pending, for DR")</f>
        <v>FOR BILLING L2, w/ pending, for DR</v>
      </c>
      <c r="D475" s="2" t="str">
        <f>IFERROR(__xludf.DUMMYFUNCTION("""COMPUTED_VALUE"""),"BUED-CABILOCAAN IRRIGATORS ASSOCIATION, INC.")</f>
        <v>BUED-CABILOCAAN IRRIGATORS ASSOCIATION, INC.</v>
      </c>
      <c r="E475" s="2" t="str">
        <f>IFERROR(__xludf.DUMMYFUNCTION("""COMPUTED_VALUE"""),"Cabilocaan, Calasiao, PANGASINAN")</f>
        <v>Cabilocaan, Calasiao, PANGASINAN</v>
      </c>
      <c r="F475" s="2" t="str">
        <f>IFERROR(__xludf.DUMMYFUNCTION("""COMPUTED_VALUE"""),"Ronnie G. Gabrillo")</f>
        <v>Ronnie G. Gabrillo</v>
      </c>
      <c r="G475" s="2">
        <f>IFERROR(__xludf.DUMMYFUNCTION("""COMPUTED_VALUE"""),9.232175006E9)</f>
        <v>9232175006</v>
      </c>
      <c r="H475" s="2" t="str">
        <f>IFERROR(__xludf.DUMMYFUNCTION("""COMPUTED_VALUE"""),"/")</f>
        <v>/</v>
      </c>
      <c r="I475" s="2"/>
      <c r="J475" s="2" t="str">
        <f>IFERROR(__xludf.DUMMYFUNCTION("""COMPUTED_VALUE"""),"disc plow")</f>
        <v>disc plow</v>
      </c>
      <c r="K475" s="2" t="str">
        <f>IFERROR(__xludf.DUMMYFUNCTION("""COMPUTED_VALUE"""),"RCEF 23-09-21 Rebidding")</f>
        <v>RCEF 23-09-21 Rebidding</v>
      </c>
      <c r="L475" s="2">
        <f>IFERROR(__xludf.DUMMYFUNCTION("""COMPUTED_VALUE"""),2.0)</f>
        <v>2</v>
      </c>
      <c r="M475" s="2"/>
      <c r="N475" s="74">
        <f>IFERROR(__xludf.DUMMYFUNCTION("""COMPUTED_VALUE"""),45439.0)</f>
        <v>45439</v>
      </c>
      <c r="O475" s="2"/>
      <c r="P475" s="2">
        <f>IFERROR(__xludf.DUMMYFUNCTION("""COMPUTED_VALUE"""),19472.0)</f>
        <v>19472</v>
      </c>
      <c r="Q475" s="2" t="str">
        <f>IFERROR(__xludf.DUMMYFUNCTION("""COMPUTED_VALUE"""),"KMC5825AVRFPV0393")</f>
        <v>KMC5825AVRFPV0393</v>
      </c>
      <c r="R475" s="2" t="str">
        <f>IFERROR(__xludf.DUMMYFUNCTION("""COMPUTED_VALUE"""),"RTS100294")</f>
        <v>RTS100294</v>
      </c>
      <c r="S475" s="2" t="str">
        <f>IFERROR(__xludf.DUMMYFUNCTION("""COMPUTED_VALUE"""),"R-SERIES 376")</f>
        <v>R-SERIES 376</v>
      </c>
      <c r="T475" s="2" t="str">
        <f>IFERROR(__xludf.DUMMYFUNCTION("""COMPUTED_VALUE"""),"LSGW1750-RMP-24020435")</f>
        <v>LSGW1750-RMP-24020435</v>
      </c>
      <c r="U475" s="2" t="str">
        <f>IFERROR(__xludf.DUMMYFUNCTION("""COMPUTED_VALUE"""),"WDP40-RMP-24040505")</f>
        <v>WDP40-RMP-24040505</v>
      </c>
      <c r="V475" s="2"/>
      <c r="W475" s="2" t="str">
        <f>IFERROR(__xludf.DUMMYFUNCTION("""COMPUTED_VALUE"""),"VL103D")</f>
        <v>VL103D</v>
      </c>
      <c r="X475" s="2"/>
      <c r="Y475" s="2"/>
      <c r="Z475" s="2"/>
      <c r="AA475" s="2"/>
      <c r="AB475" s="2"/>
    </row>
    <row r="476">
      <c r="A476" s="2" t="str">
        <f>IFERROR(__xludf.DUMMYFUNCTION("""COMPUTED_VALUE"""),"TT00474")</f>
        <v>TT00474</v>
      </c>
      <c r="B476" s="2" t="str">
        <f>IFERROR(__xludf.DUMMYFUNCTION("""COMPUTED_VALUE"""),"w/ Pending")</f>
        <v>w/ Pending</v>
      </c>
      <c r="C476" s="2" t="str">
        <f>IFERROR(__xludf.DUMMYFUNCTION("""COMPUTED_VALUE"""),"FOR BILLING L2, w/ pending, for DR")</f>
        <v>FOR BILLING L2, w/ pending, for DR</v>
      </c>
      <c r="D476" s="2" t="str">
        <f>IFERROR(__xludf.DUMMYFUNCTION("""COMPUTED_VALUE"""),"BUYAN, CENTRO I-II LOBONG SAN JACINTO FARMERS ASSOCIATION INC")</f>
        <v>BUYAN, CENTRO I-II LOBONG SAN JACINTO FARMERS ASSOCIATION INC</v>
      </c>
      <c r="E476" s="2" t="str">
        <f>IFERROR(__xludf.DUMMYFUNCTION("""COMPUTED_VALUE"""),"Lobong, San Jacinto, PANGASINAN")</f>
        <v>Lobong, San Jacinto, PANGASINAN</v>
      </c>
      <c r="F476" s="2" t="str">
        <f>IFERROR(__xludf.DUMMYFUNCTION("""COMPUTED_VALUE"""),"Felicitas L. Quezon")</f>
        <v>Felicitas L. Quezon</v>
      </c>
      <c r="G476" s="2" t="str">
        <f>IFERROR(__xludf.DUMMYFUNCTION("""COMPUTED_VALUE"""),"0907-365-3620")</f>
        <v>0907-365-3620</v>
      </c>
      <c r="H476" s="2" t="str">
        <f>IFERROR(__xludf.DUMMYFUNCTION("""COMPUTED_VALUE"""),"/")</f>
        <v>/</v>
      </c>
      <c r="I476" s="2"/>
      <c r="J476" s="2" t="str">
        <f>IFERROR(__xludf.DUMMYFUNCTION("""COMPUTED_VALUE"""),"disc plow")</f>
        <v>disc plow</v>
      </c>
      <c r="K476" s="2" t="str">
        <f>IFERROR(__xludf.DUMMYFUNCTION("""COMPUTED_VALUE"""),"RCEF 23-09-21 Rebidding")</f>
        <v>RCEF 23-09-21 Rebidding</v>
      </c>
      <c r="L476" s="2">
        <f>IFERROR(__xludf.DUMMYFUNCTION("""COMPUTED_VALUE"""),2.0)</f>
        <v>2</v>
      </c>
      <c r="M476" s="2"/>
      <c r="N476" s="74">
        <f>IFERROR(__xludf.DUMMYFUNCTION("""COMPUTED_VALUE"""),46534.0)</f>
        <v>46534</v>
      </c>
      <c r="O476" s="2"/>
      <c r="P476" s="2">
        <f>IFERROR(__xludf.DUMMYFUNCTION("""COMPUTED_VALUE"""),19473.0)</f>
        <v>19473</v>
      </c>
      <c r="Q476" s="2" t="str">
        <f>IFERROR(__xludf.DUMMYFUNCTION("""COMPUTED_VALUE"""),"KMC5825AHRFPV0365")</f>
        <v>KMC5825AHRFPV0365</v>
      </c>
      <c r="R476" s="2" t="str">
        <f>IFERROR(__xludf.DUMMYFUNCTION("""COMPUTED_VALUE"""),"RTS100217")</f>
        <v>RTS100217</v>
      </c>
      <c r="S476" s="2" t="str">
        <f>IFERROR(__xludf.DUMMYFUNCTION("""COMPUTED_VALUE"""),"R-SERIES 399")</f>
        <v>R-SERIES 399</v>
      </c>
      <c r="T476" s="2" t="str">
        <f>IFERROR(__xludf.DUMMYFUNCTION("""COMPUTED_VALUE"""),"LSGW1750-RMP-24020418")</f>
        <v>LSGW1750-RMP-24020418</v>
      </c>
      <c r="U476" s="2" t="str">
        <f>IFERROR(__xludf.DUMMYFUNCTION("""COMPUTED_VALUE"""),"WDP40-RMP-24040537")</f>
        <v>WDP40-RMP-24040537</v>
      </c>
      <c r="V476" s="2"/>
      <c r="W476" s="2" t="str">
        <f>IFERROR(__xludf.DUMMYFUNCTION("""COMPUTED_VALUE"""),"VL103D")</f>
        <v>VL103D</v>
      </c>
      <c r="X476" s="2"/>
      <c r="Y476" s="2"/>
      <c r="Z476" s="2"/>
      <c r="AA476" s="2"/>
      <c r="AB476" s="2"/>
    </row>
    <row r="477">
      <c r="A477" s="2" t="str">
        <f>IFERROR(__xludf.DUMMYFUNCTION("""COMPUTED_VALUE"""),"TT00475")</f>
        <v>TT00475</v>
      </c>
      <c r="B477" s="2" t="str">
        <f>IFERROR(__xludf.DUMMYFUNCTION("""COMPUTED_VALUE"""),"w/ Pending")</f>
        <v>w/ Pending</v>
      </c>
      <c r="C477" s="2" t="str">
        <f>IFERROR(__xludf.DUMMYFUNCTION("""COMPUTED_VALUE"""),"FOR BILLING L2, w/ pending, for DR")</f>
        <v>FOR BILLING L2, w/ pending, for DR</v>
      </c>
      <c r="D477" s="2" t="str">
        <f>IFERROR(__xludf.DUMMYFUNCTION("""COMPUTED_VALUE"""),"ANOLID GUANTANG FARMERS ASSOCIATION INC")</f>
        <v>ANOLID GUANTANG FARMERS ASSOCIATION INC</v>
      </c>
      <c r="E477" s="2" t="str">
        <f>IFERROR(__xludf.DUMMYFUNCTION("""COMPUTED_VALUE"""),"Anolid, Mangaldan, PANGASINAN")</f>
        <v>Anolid, Mangaldan, PANGASINAN</v>
      </c>
      <c r="F477" s="2" t="str">
        <f>IFERROR(__xludf.DUMMYFUNCTION("""COMPUTED_VALUE"""),"Mario A. Flores")</f>
        <v>Mario A. Flores</v>
      </c>
      <c r="G477" s="2" t="str">
        <f>IFERROR(__xludf.DUMMYFUNCTION("""COMPUTED_VALUE"""),"0928 163 9958")</f>
        <v>0928 163 9958</v>
      </c>
      <c r="H477" s="2" t="str">
        <f>IFERROR(__xludf.DUMMYFUNCTION("""COMPUTED_VALUE"""),"/")</f>
        <v>/</v>
      </c>
      <c r="I477" s="2"/>
      <c r="J477" s="2" t="str">
        <f>IFERROR(__xludf.DUMMYFUNCTION("""COMPUTED_VALUE"""),"disc plow")</f>
        <v>disc plow</v>
      </c>
      <c r="K477" s="2" t="str">
        <f>IFERROR(__xludf.DUMMYFUNCTION("""COMPUTED_VALUE"""),"RCEF 23-09-21 Rebidding")</f>
        <v>RCEF 23-09-21 Rebidding</v>
      </c>
      <c r="L477" s="2">
        <f>IFERROR(__xludf.DUMMYFUNCTION("""COMPUTED_VALUE"""),2.0)</f>
        <v>2</v>
      </c>
      <c r="M477" s="2"/>
      <c r="N477" s="74">
        <f>IFERROR(__xludf.DUMMYFUNCTION("""COMPUTED_VALUE"""),45439.0)</f>
        <v>45439</v>
      </c>
      <c r="O477" s="2"/>
      <c r="P477" s="2">
        <f>IFERROR(__xludf.DUMMYFUNCTION("""COMPUTED_VALUE"""),19471.0)</f>
        <v>19471</v>
      </c>
      <c r="Q477" s="2" t="str">
        <f>IFERROR(__xludf.DUMMYFUNCTION("""COMPUTED_VALUE"""),"KMC5825ACRFPV0384")</f>
        <v>KMC5825ACRFPV0384</v>
      </c>
      <c r="R477" s="2" t="str">
        <f>IFERROR(__xludf.DUMMYFUNCTION("""COMPUTED_VALUE"""),"RTS100227")</f>
        <v>RTS100227</v>
      </c>
      <c r="S477" s="2" t="str">
        <f>IFERROR(__xludf.DUMMYFUNCTION("""COMPUTED_VALUE"""),"R-SERIES 397")</f>
        <v>R-SERIES 397</v>
      </c>
      <c r="T477" s="2" t="str">
        <f>IFERROR(__xludf.DUMMYFUNCTION("""COMPUTED_VALUE"""),"LSGW1750-RMP-24020499")</f>
        <v>LSGW1750-RMP-24020499</v>
      </c>
      <c r="U477" s="2" t="str">
        <f>IFERROR(__xludf.DUMMYFUNCTION("""COMPUTED_VALUE"""),"WDP40-RMP-24040521")</f>
        <v>WDP40-RMP-24040521</v>
      </c>
      <c r="V477" s="2"/>
      <c r="W477" s="2" t="str">
        <f>IFERROR(__xludf.DUMMYFUNCTION("""COMPUTED_VALUE"""),"VL103D")</f>
        <v>VL103D</v>
      </c>
      <c r="X477" s="2"/>
      <c r="Y477" s="2"/>
      <c r="Z477" s="2"/>
      <c r="AA477" s="2"/>
      <c r="AB477" s="2"/>
    </row>
    <row r="478">
      <c r="A478" s="2" t="str">
        <f>IFERROR(__xludf.DUMMYFUNCTION("""COMPUTED_VALUE"""),"TT00476")</f>
        <v>TT00476</v>
      </c>
      <c r="B478" s="2" t="str">
        <f>IFERROR(__xludf.DUMMYFUNCTION("""COMPUTED_VALUE"""),"w/ Pending")</f>
        <v>w/ Pending</v>
      </c>
      <c r="C478" s="2" t="str">
        <f>IFERROR(__xludf.DUMMYFUNCTION("""COMPUTED_VALUE"""),"FOR BILLING L2, w/ pending, for DR")</f>
        <v>FOR BILLING L2, w/ pending, for DR</v>
      </c>
      <c r="D478" s="2" t="str">
        <f>IFERROR(__xludf.DUMMYFUNCTION("""COMPUTED_VALUE"""),"MAAYOS FARMERS ASSOCIATION OF TAMAYO, SAN CARLOS CITY, PANGASINAN INC.")</f>
        <v>MAAYOS FARMERS ASSOCIATION OF TAMAYO, SAN CARLOS CITY, PANGASINAN INC.</v>
      </c>
      <c r="E478" s="2" t="str">
        <f>IFERROR(__xludf.DUMMYFUNCTION("""COMPUTED_VALUE"""),"Tamayo, San Carlos City, PANGASINAN")</f>
        <v>Tamayo, San Carlos City, PANGASINAN</v>
      </c>
      <c r="F478" s="2" t="str">
        <f>IFERROR(__xludf.DUMMYFUNCTION("""COMPUTED_VALUE"""),"Rodrigo Bulatao")</f>
        <v>Rodrigo Bulatao</v>
      </c>
      <c r="G478" s="2" t="str">
        <f>IFERROR(__xludf.DUMMYFUNCTION("""COMPUTED_VALUE"""),"0922-547-0429")</f>
        <v>0922-547-0429</v>
      </c>
      <c r="H478" s="2" t="str">
        <f>IFERROR(__xludf.DUMMYFUNCTION("""COMPUTED_VALUE"""),"/")</f>
        <v>/</v>
      </c>
      <c r="I478" s="2"/>
      <c r="J478" s="2" t="str">
        <f>IFERROR(__xludf.DUMMYFUNCTION("""COMPUTED_VALUE"""),"disc plow")</f>
        <v>disc plow</v>
      </c>
      <c r="K478" s="2" t="str">
        <f>IFERROR(__xludf.DUMMYFUNCTION("""COMPUTED_VALUE"""),"RCEF 23-09-21 Rebidding")</f>
        <v>RCEF 23-09-21 Rebidding</v>
      </c>
      <c r="L478" s="2">
        <f>IFERROR(__xludf.DUMMYFUNCTION("""COMPUTED_VALUE"""),2.0)</f>
        <v>2</v>
      </c>
      <c r="M478" s="2"/>
      <c r="N478" s="74">
        <f>IFERROR(__xludf.DUMMYFUNCTION("""COMPUTED_VALUE"""),45439.0)</f>
        <v>45439</v>
      </c>
      <c r="O478" s="2"/>
      <c r="P478" s="2">
        <f>IFERROR(__xludf.DUMMYFUNCTION("""COMPUTED_VALUE"""),19475.0)</f>
        <v>19475</v>
      </c>
      <c r="Q478" s="2" t="str">
        <f>IFERROR(__xludf.DUMMYFUNCTION("""COMPUTED_VALUE"""),"KMC5825ATRFPV0385")</f>
        <v>KMC5825ATRFPV0385</v>
      </c>
      <c r="R478" s="2" t="str">
        <f>IFERROR(__xludf.DUMMYFUNCTION("""COMPUTED_VALUE"""),"RTS100275")</f>
        <v>RTS100275</v>
      </c>
      <c r="S478" s="2" t="str">
        <f>IFERROR(__xludf.DUMMYFUNCTION("""COMPUTED_VALUE"""),"R-SERIES 377")</f>
        <v>R-SERIES 377</v>
      </c>
      <c r="T478" s="2" t="str">
        <f>IFERROR(__xludf.DUMMYFUNCTION("""COMPUTED_VALUE"""),"LSGW1750-RMP-24020497")</f>
        <v>LSGW1750-RMP-24020497</v>
      </c>
      <c r="U478" s="2" t="str">
        <f>IFERROR(__xludf.DUMMYFUNCTION("""COMPUTED_VALUE"""),"WDP40-RMP-24040506")</f>
        <v>WDP40-RMP-24040506</v>
      </c>
      <c r="V478" s="2"/>
      <c r="W478" s="2" t="str">
        <f>IFERROR(__xludf.DUMMYFUNCTION("""COMPUTED_VALUE"""),"VL103D")</f>
        <v>VL103D</v>
      </c>
      <c r="X478" s="2"/>
      <c r="Y478" s="2"/>
      <c r="Z478" s="2"/>
      <c r="AA478" s="2"/>
      <c r="AB478" s="2"/>
    </row>
    <row r="479">
      <c r="A479" s="2" t="str">
        <f>IFERROR(__xludf.DUMMYFUNCTION("""COMPUTED_VALUE"""),"TT00477")</f>
        <v>TT00477</v>
      </c>
      <c r="B479" s="2" t="str">
        <f>IFERROR(__xludf.DUMMYFUNCTION("""COMPUTED_VALUE"""),"w/ Pending")</f>
        <v>w/ Pending</v>
      </c>
      <c r="C479" s="2" t="str">
        <f>IFERROR(__xludf.DUMMYFUNCTION("""COMPUTED_VALUE"""),"FOR BILLING L2, w/ pending, for DR")</f>
        <v>FOR BILLING L2, w/ pending, for DR</v>
      </c>
      <c r="D479" s="2" t="str">
        <f>IFERROR(__xludf.DUMMYFUNCTION("""COMPUTED_VALUE"""),"LOMBOY FARMERS AND FARMWORKERS ASSOCIATION")</f>
        <v>LOMBOY FARMERS AND FARMWORKERS ASSOCIATION</v>
      </c>
      <c r="E479" s="2" t="str">
        <f>IFERROR(__xludf.DUMMYFUNCTION("""COMPUTED_VALUE"""),"Labit, Villasis, PANGASINAN")</f>
        <v>Labit, Villasis, PANGASINAN</v>
      </c>
      <c r="F479" s="2" t="str">
        <f>IFERROR(__xludf.DUMMYFUNCTION("""COMPUTED_VALUE"""),"Gregorio B. Nebres")</f>
        <v>Gregorio B. Nebres</v>
      </c>
      <c r="G479" s="2">
        <f>IFERROR(__xludf.DUMMYFUNCTION("""COMPUTED_VALUE"""),9.179187543E9)</f>
        <v>9179187543</v>
      </c>
      <c r="H479" s="2" t="str">
        <f>IFERROR(__xludf.DUMMYFUNCTION("""COMPUTED_VALUE"""),"X")</f>
        <v>X</v>
      </c>
      <c r="I479" s="2"/>
      <c r="J479" s="2" t="str">
        <f>IFERROR(__xludf.DUMMYFUNCTION("""COMPUTED_VALUE"""),"disc plow")</f>
        <v>disc plow</v>
      </c>
      <c r="K479" s="2" t="str">
        <f>IFERROR(__xludf.DUMMYFUNCTION("""COMPUTED_VALUE"""),"RCEF 23-09-21 Rebidding")</f>
        <v>RCEF 23-09-21 Rebidding</v>
      </c>
      <c r="L479" s="2">
        <f>IFERROR(__xludf.DUMMYFUNCTION("""COMPUTED_VALUE"""),2.0)</f>
        <v>2</v>
      </c>
      <c r="M479" s="2"/>
      <c r="N479" s="74">
        <f>IFERROR(__xludf.DUMMYFUNCTION("""COMPUTED_VALUE"""),45439.0)</f>
        <v>45439</v>
      </c>
      <c r="O479" s="2"/>
      <c r="P479" s="2">
        <f>IFERROR(__xludf.DUMMYFUNCTION("""COMPUTED_VALUE"""),19474.0)</f>
        <v>19474</v>
      </c>
      <c r="Q479" s="2" t="str">
        <f>IFERROR(__xludf.DUMMYFUNCTION("""COMPUTED_VALUE"""),"KMC5825APRFPV0369")</f>
        <v>KMC5825APRFPV0369</v>
      </c>
      <c r="R479" s="2" t="str">
        <f>IFERROR(__xludf.DUMMYFUNCTION("""COMPUTED_VALUE"""),"RTS100268")</f>
        <v>RTS100268</v>
      </c>
      <c r="S479" s="2" t="str">
        <f>IFERROR(__xludf.DUMMYFUNCTION("""COMPUTED_VALUE"""),"R-SERIES 365")</f>
        <v>R-SERIES 365</v>
      </c>
      <c r="T479" s="2" t="str">
        <f>IFERROR(__xludf.DUMMYFUNCTION("""COMPUTED_VALUE"""),"LSGW1750-RMP-24020428")</f>
        <v>LSGW1750-RMP-24020428</v>
      </c>
      <c r="U479" s="2" t="str">
        <f>IFERROR(__xludf.DUMMYFUNCTION("""COMPUTED_VALUE"""),"WDP40-RMP-24040513")</f>
        <v>WDP40-RMP-24040513</v>
      </c>
      <c r="V479" s="2"/>
      <c r="W479" s="2" t="str">
        <f>IFERROR(__xludf.DUMMYFUNCTION("""COMPUTED_VALUE"""),"VL103D")</f>
        <v>VL103D</v>
      </c>
      <c r="X479" s="2"/>
      <c r="Y479" s="2"/>
      <c r="Z479" s="2"/>
      <c r="AA479" s="2"/>
      <c r="AB479" s="2"/>
    </row>
    <row r="480">
      <c r="A480" s="2" t="str">
        <f>IFERROR(__xludf.DUMMYFUNCTION("""COMPUTED_VALUE"""),"TT00478")</f>
        <v>TT00478</v>
      </c>
      <c r="B480" s="2" t="str">
        <f>IFERROR(__xludf.DUMMYFUNCTION("""COMPUTED_VALUE"""),"Completed")</f>
        <v>Completed</v>
      </c>
      <c r="C480" s="2"/>
      <c r="D480" s="2" t="str">
        <f>IFERROR(__xludf.DUMMYFUNCTION("""COMPUTED_VALUE"""),"Municipal Local Government Unit of QUEZON")</f>
        <v>Municipal Local Government Unit of QUEZON</v>
      </c>
      <c r="E480" s="2" t="str">
        <f>IFERROR(__xludf.DUMMYFUNCTION("""COMPUTED_VALUE"""),"Dulong Bayan, Quezon, NUEVA ECIJA")</f>
        <v>Dulong Bayan, Quezon, NUEVA ECIJA</v>
      </c>
      <c r="F480" s="2"/>
      <c r="G480" s="2"/>
      <c r="H480" s="2"/>
      <c r="I480" s="2"/>
      <c r="J480" s="2" t="str">
        <f>IFERROR(__xludf.DUMMYFUNCTION("""COMPUTED_VALUE"""),"COMPLETE")</f>
        <v>COMPLETE</v>
      </c>
      <c r="K480" s="2" t="str">
        <f>IFERROR(__xludf.DUMMYFUNCTION("""COMPUTED_VALUE"""),"RCEF 23-09-21 Rebidding")</f>
        <v>RCEF 23-09-21 Rebidding</v>
      </c>
      <c r="L480" s="2">
        <f>IFERROR(__xludf.DUMMYFUNCTION("""COMPUTED_VALUE"""),2.0)</f>
        <v>2</v>
      </c>
      <c r="M480" s="2"/>
      <c r="N480" s="74">
        <f>IFERROR(__xludf.DUMMYFUNCTION("""COMPUTED_VALUE"""),45439.0)</f>
        <v>45439</v>
      </c>
      <c r="O480" s="2"/>
      <c r="P480" s="2">
        <f>IFERROR(__xludf.DUMMYFUNCTION("""COMPUTED_VALUE"""),19555.0)</f>
        <v>19555</v>
      </c>
      <c r="Q480" s="2" t="str">
        <f>IFERROR(__xludf.DUMMYFUNCTION("""COMPUTED_VALUE"""),"KMC5825 AVRFPV0541")</f>
        <v>KMC5825 AVRFPV0541</v>
      </c>
      <c r="R480" s="2" t="str">
        <f>IFERROR(__xludf.DUMMYFUNCTION("""COMPUTED_VALUE"""),"RTS100440")</f>
        <v>RTS100440</v>
      </c>
      <c r="S480" s="2" t="str">
        <f>IFERROR(__xludf.DUMMYFUNCTION("""COMPUTED_VALUE"""),"WR-SERIES 946 PH")</f>
        <v>WR-SERIES 946 PH</v>
      </c>
      <c r="T480" s="2" t="str">
        <f>IFERROR(__xludf.DUMMYFUNCTION("""COMPUTED_VALUE"""),"LSGW1750 RMP 24010189")</f>
        <v>LSGW1750 RMP 24010189</v>
      </c>
      <c r="U480" s="2" t="str">
        <f>IFERROR(__xludf.DUMMYFUNCTION("""COMPUTED_VALUE"""),"WDP40 RMP 24050548")</f>
        <v>WDP40 RMP 24050548</v>
      </c>
      <c r="V480" s="2"/>
      <c r="W480" s="2" t="str">
        <f>IFERROR(__xludf.DUMMYFUNCTION("""COMPUTED_VALUE"""),"VL103D")</f>
        <v>VL103D</v>
      </c>
      <c r="X480" s="2"/>
      <c r="Y480" s="2"/>
      <c r="Z480" s="2"/>
      <c r="AA480" s="2"/>
      <c r="AB480" s="2"/>
    </row>
    <row r="481">
      <c r="A481" s="2" t="str">
        <f>IFERROR(__xludf.DUMMYFUNCTION("""COMPUTED_VALUE"""),"TT00479")</f>
        <v>TT00479</v>
      </c>
      <c r="B481" s="2"/>
      <c r="C481" s="2"/>
      <c r="D481" s="2"/>
      <c r="E481" s="2"/>
      <c r="F481" s="2"/>
      <c r="G481" s="2"/>
      <c r="H481" s="2"/>
      <c r="I481" s="2"/>
      <c r="J481" s="2"/>
      <c r="K481" s="2"/>
      <c r="L481" s="2"/>
      <c r="M481" s="2"/>
      <c r="N481" s="2"/>
      <c r="O481" s="2"/>
      <c r="P481" s="2"/>
      <c r="Q481" s="2"/>
      <c r="R481" s="2"/>
      <c r="S481" s="2"/>
      <c r="T481" s="2"/>
      <c r="U481" s="2"/>
      <c r="V481" s="2"/>
      <c r="W481" s="2" t="str">
        <f>IFERROR(__xludf.DUMMYFUNCTION("""COMPUTED_VALUE"""),"VL103D")</f>
        <v>VL103D</v>
      </c>
      <c r="X481" s="2"/>
      <c r="Y481" s="2"/>
      <c r="Z481" s="2"/>
      <c r="AA481" s="2"/>
      <c r="AB481" s="2"/>
    </row>
    <row r="482">
      <c r="A482" s="2" t="str">
        <f>IFERROR(__xludf.DUMMYFUNCTION("""COMPUTED_VALUE"""),"TT00480")</f>
        <v>TT00480</v>
      </c>
      <c r="B482" s="2"/>
      <c r="C482" s="2"/>
      <c r="D482" s="2"/>
      <c r="E482" s="2"/>
      <c r="F482" s="2"/>
      <c r="G482" s="2"/>
      <c r="H482" s="2"/>
      <c r="I482" s="2"/>
      <c r="J482" s="2"/>
      <c r="K482" s="2"/>
      <c r="L482" s="2"/>
      <c r="M482" s="2"/>
      <c r="N482" s="2"/>
      <c r="O482" s="2"/>
      <c r="P482" s="2"/>
      <c r="Q482" s="2"/>
      <c r="R482" s="2"/>
      <c r="S482" s="2"/>
      <c r="T482" s="2"/>
      <c r="U482" s="2"/>
      <c r="V482" s="2"/>
      <c r="W482" s="2" t="str">
        <f>IFERROR(__xludf.DUMMYFUNCTION("""COMPUTED_VALUE"""),"VL103D")</f>
        <v>VL103D</v>
      </c>
      <c r="X482" s="2"/>
      <c r="Y482" s="2"/>
      <c r="Z482" s="2"/>
      <c r="AA482" s="2"/>
      <c r="AB482" s="2"/>
    </row>
    <row r="483">
      <c r="A483" s="2" t="str">
        <f>IFERROR(__xludf.DUMMYFUNCTION("""COMPUTED_VALUE"""),"TT00481")</f>
        <v>TT00481</v>
      </c>
      <c r="B483" s="2"/>
      <c r="C483" s="2"/>
      <c r="D483" s="2"/>
      <c r="E483" s="2"/>
      <c r="F483" s="2"/>
      <c r="G483" s="2"/>
      <c r="H483" s="2"/>
      <c r="I483" s="2"/>
      <c r="J483" s="2"/>
      <c r="K483" s="2"/>
      <c r="L483" s="2"/>
      <c r="M483" s="2"/>
      <c r="N483" s="2"/>
      <c r="O483" s="2"/>
      <c r="P483" s="2"/>
      <c r="Q483" s="2"/>
      <c r="R483" s="2"/>
      <c r="S483" s="2"/>
      <c r="T483" s="2"/>
      <c r="U483" s="2"/>
      <c r="V483" s="2"/>
      <c r="W483" s="2" t="str">
        <f>IFERROR(__xludf.DUMMYFUNCTION("""COMPUTED_VALUE"""),"VL103D")</f>
        <v>VL103D</v>
      </c>
      <c r="X483" s="2"/>
      <c r="Y483" s="2"/>
      <c r="Z483" s="2"/>
      <c r="AA483" s="2"/>
      <c r="AB483" s="2"/>
    </row>
    <row r="484">
      <c r="A484" s="2" t="str">
        <f>IFERROR(__xludf.DUMMYFUNCTION("""COMPUTED_VALUE"""),"TT00482")</f>
        <v>TT00482</v>
      </c>
      <c r="B484" s="2"/>
      <c r="C484" s="2"/>
      <c r="D484" s="2"/>
      <c r="E484" s="2"/>
      <c r="F484" s="2"/>
      <c r="G484" s="2"/>
      <c r="H484" s="2"/>
      <c r="I484" s="2"/>
      <c r="J484" s="2"/>
      <c r="K484" s="2"/>
      <c r="L484" s="2"/>
      <c r="M484" s="2"/>
      <c r="N484" s="2"/>
      <c r="O484" s="2"/>
      <c r="P484" s="2"/>
      <c r="Q484" s="2"/>
      <c r="R484" s="2"/>
      <c r="S484" s="2"/>
      <c r="T484" s="2"/>
      <c r="U484" s="2"/>
      <c r="V484" s="2"/>
      <c r="W484" s="2" t="str">
        <f>IFERROR(__xludf.DUMMYFUNCTION("""COMPUTED_VALUE"""),"VL103D")</f>
        <v>VL103D</v>
      </c>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t="str">
        <f>IFERROR(__xludf.DUMMYFUNCTION("""COMPUTED_VALUE"""),"VL103D")</f>
        <v>VL103D</v>
      </c>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t="str">
        <f>IFERROR(__xludf.DUMMYFUNCTION("""COMPUTED_VALUE"""),"VL103D")</f>
        <v>VL103D</v>
      </c>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t="str">
        <f>IFERROR(__xludf.DUMMYFUNCTION("""COMPUTED_VALUE"""),"VL103D")</f>
        <v>VL103D</v>
      </c>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t="str">
        <f>IFERROR(__xludf.DUMMYFUNCTION("""COMPUTED_VALUE"""),"VL103D")</f>
        <v>VL103D</v>
      </c>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t="str">
        <f>IFERROR(__xludf.DUMMYFUNCTION("""COMPUTED_VALUE"""),"VL103D")</f>
        <v>VL103D</v>
      </c>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t="str">
        <f>IFERROR(__xludf.DUMMYFUNCTION("""COMPUTED_VALUE"""),"VL103D")</f>
        <v>VL103D</v>
      </c>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t="str">
        <f>IFERROR(__xludf.DUMMYFUNCTION("""COMPUTED_VALUE"""),"VL103D")</f>
        <v>VL103D</v>
      </c>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t="str">
        <f>IFERROR(__xludf.DUMMYFUNCTION("""COMPUTED_VALUE"""),"VL103D")</f>
        <v>VL103D</v>
      </c>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t="str">
        <f>IFERROR(__xludf.DUMMYFUNCTION("""COMPUTED_VALUE"""),"VL103D")</f>
        <v>VL103D</v>
      </c>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t="str">
        <f>IFERROR(__xludf.DUMMYFUNCTION("""COMPUTED_VALUE"""),"VL103D")</f>
        <v>VL103D</v>
      </c>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t="str">
        <f>IFERROR(__xludf.DUMMYFUNCTION("""COMPUTED_VALUE"""),"VL103D")</f>
        <v>VL103D</v>
      </c>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t="str">
        <f>IFERROR(__xludf.DUMMYFUNCTION("""COMPUTED_VALUE"""),"VL103D")</f>
        <v>VL103D</v>
      </c>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t="str">
        <f>IFERROR(__xludf.DUMMYFUNCTION("""COMPUTED_VALUE"""),"VL103D")</f>
        <v>VL103D</v>
      </c>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t="str">
        <f>IFERROR(__xludf.DUMMYFUNCTION("""COMPUTED_VALUE"""),"VL103D")</f>
        <v>VL103D</v>
      </c>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t="str">
        <f>IFERROR(__xludf.DUMMYFUNCTION("""COMPUTED_VALUE"""),"VL103D")</f>
        <v>VL103D</v>
      </c>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t="str">
        <f>IFERROR(__xludf.DUMMYFUNCTION("""COMPUTED_VALUE"""),"VL103D")</f>
        <v>VL103D</v>
      </c>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t="str">
        <f>IFERROR(__xludf.DUMMYFUNCTION("""COMPUTED_VALUE"""),"VL103D")</f>
        <v>VL103D</v>
      </c>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t="str">
        <f>IFERROR(__xludf.DUMMYFUNCTION("""COMPUTED_VALUE"""),"VL103D")</f>
        <v>VL103D</v>
      </c>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t="str">
        <f>IFERROR(__xludf.DUMMYFUNCTION("""COMPUTED_VALUE"""),"VL103D")</f>
        <v>VL103D</v>
      </c>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t="str">
        <f>IFERROR(__xludf.DUMMYFUNCTION("""COMPUTED_VALUE"""),"VL103D")</f>
        <v>VL103D</v>
      </c>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t="str">
        <f>IFERROR(__xludf.DUMMYFUNCTION("""COMPUTED_VALUE"""),"VL103D")</f>
        <v>VL103D</v>
      </c>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t="str">
        <f>IFERROR(__xludf.DUMMYFUNCTION("""COMPUTED_VALUE"""),"VL103D")</f>
        <v>VL103D</v>
      </c>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t="str">
        <f>IFERROR(__xludf.DUMMYFUNCTION("""COMPUTED_VALUE"""),"VL103D")</f>
        <v>VL103D</v>
      </c>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t="str">
        <f>IFERROR(__xludf.DUMMYFUNCTION("""COMPUTED_VALUE"""),"VL103D")</f>
        <v>VL103D</v>
      </c>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t="str">
        <f>IFERROR(__xludf.DUMMYFUNCTION("""COMPUTED_VALUE"""),"VL103D")</f>
        <v>VL103D</v>
      </c>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t="str">
        <f>IFERROR(__xludf.DUMMYFUNCTION("""COMPUTED_VALUE"""),"VL103D")</f>
        <v>VL103D</v>
      </c>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t="str">
        <f>IFERROR(__xludf.DUMMYFUNCTION("""COMPUTED_VALUE"""),"VL103D")</f>
        <v>VL103D</v>
      </c>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t="str">
        <f>IFERROR(__xludf.DUMMYFUNCTION("""COMPUTED_VALUE"""),"VL103D")</f>
        <v>VL103D</v>
      </c>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t="str">
        <f>IFERROR(__xludf.DUMMYFUNCTION("""COMPUTED_VALUE"""),"VL103D")</f>
        <v>VL103D</v>
      </c>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t="str">
        <f>IFERROR(__xludf.DUMMYFUNCTION("""COMPUTED_VALUE"""),"VL103D")</f>
        <v>VL103D</v>
      </c>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t="str">
        <f>IFERROR(__xludf.DUMMYFUNCTION("""COMPUTED_VALUE"""),"VL103D")</f>
        <v>VL103D</v>
      </c>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t="str">
        <f>IFERROR(__xludf.DUMMYFUNCTION("""COMPUTED_VALUE"""),"VL103D")</f>
        <v>VL103D</v>
      </c>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t="str">
        <f>IFERROR(__xludf.DUMMYFUNCTION("""COMPUTED_VALUE"""),"VL103D")</f>
        <v>VL103D</v>
      </c>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t="str">
        <f>IFERROR(__xludf.DUMMYFUNCTION("""COMPUTED_VALUE"""),"VL103D")</f>
        <v>VL103D</v>
      </c>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t="str">
        <f>IFERROR(__xludf.DUMMYFUNCTION("""COMPUTED_VALUE"""),"VL103D")</f>
        <v>VL103D</v>
      </c>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t="str">
        <f>IFERROR(__xludf.DUMMYFUNCTION("""COMPUTED_VALUE"""),"VL103D")</f>
        <v>VL103D</v>
      </c>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t="str">
        <f>IFERROR(__xludf.DUMMYFUNCTION("""COMPUTED_VALUE"""),"VL103D")</f>
        <v>VL103D</v>
      </c>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t="str">
        <f>IFERROR(__xludf.DUMMYFUNCTION("""COMPUTED_VALUE"""),"VL103D")</f>
        <v>VL103D</v>
      </c>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t="str">
        <f>IFERROR(__xludf.DUMMYFUNCTION("""COMPUTED_VALUE"""),"VL103D")</f>
        <v>VL103D</v>
      </c>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t="str">
        <f>IFERROR(__xludf.DUMMYFUNCTION("""COMPUTED_VALUE"""),"VL103D")</f>
        <v>VL103D</v>
      </c>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t="str">
        <f>IFERROR(__xludf.DUMMYFUNCTION("""COMPUTED_VALUE"""),"VL103D")</f>
        <v>VL103D</v>
      </c>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t="str">
        <f>IFERROR(__xludf.DUMMYFUNCTION("""COMPUTED_VALUE"""),"VL103D")</f>
        <v>VL103D</v>
      </c>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t="str">
        <f>IFERROR(__xludf.DUMMYFUNCTION("""COMPUTED_VALUE"""),"VL103D")</f>
        <v>VL103D</v>
      </c>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t="str">
        <f>IFERROR(__xludf.DUMMYFUNCTION("""COMPUTED_VALUE"""),"VL103D")</f>
        <v>VL103D</v>
      </c>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t="str">
        <f>IFERROR(__xludf.DUMMYFUNCTION("""COMPUTED_VALUE"""),"VL103D")</f>
        <v>VL103D</v>
      </c>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t="str">
        <f>IFERROR(__xludf.DUMMYFUNCTION("""COMPUTED_VALUE"""),"VL103D")</f>
        <v>VL103D</v>
      </c>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t="str">
        <f>IFERROR(__xludf.DUMMYFUNCTION("""COMPUTED_VALUE"""),"VL103D")</f>
        <v>VL103D</v>
      </c>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t="str">
        <f>IFERROR(__xludf.DUMMYFUNCTION("""COMPUTED_VALUE"""),"VL103D")</f>
        <v>VL103D</v>
      </c>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t="str">
        <f>IFERROR(__xludf.DUMMYFUNCTION("""COMPUTED_VALUE"""),"VL103D")</f>
        <v>VL103D</v>
      </c>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t="str">
        <f>IFERROR(__xludf.DUMMYFUNCTION("""COMPUTED_VALUE"""),"VL103D")</f>
        <v>VL103D</v>
      </c>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t="str">
        <f>IFERROR(__xludf.DUMMYFUNCTION("""COMPUTED_VALUE"""),"VL103D")</f>
        <v>VL103D</v>
      </c>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t="str">
        <f>IFERROR(__xludf.DUMMYFUNCTION("""COMPUTED_VALUE"""),"VL103D")</f>
        <v>VL103D</v>
      </c>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t="str">
        <f>IFERROR(__xludf.DUMMYFUNCTION("""COMPUTED_VALUE"""),"VL103D")</f>
        <v>VL103D</v>
      </c>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t="str">
        <f>IFERROR(__xludf.DUMMYFUNCTION("""COMPUTED_VALUE"""),"VL103D")</f>
        <v>VL103D</v>
      </c>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t="str">
        <f>IFERROR(__xludf.DUMMYFUNCTION("""COMPUTED_VALUE"""),"VL103D")</f>
        <v>VL103D</v>
      </c>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t="str">
        <f>IFERROR(__xludf.DUMMYFUNCTION("""COMPUTED_VALUE"""),"VL103D")</f>
        <v>VL103D</v>
      </c>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t="str">
        <f>IFERROR(__xludf.DUMMYFUNCTION("""COMPUTED_VALUE"""),"VL103D")</f>
        <v>VL103D</v>
      </c>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t="str">
        <f>IFERROR(__xludf.DUMMYFUNCTION("""COMPUTED_VALUE"""),"VL103D")</f>
        <v>VL103D</v>
      </c>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t="str">
        <f>IFERROR(__xludf.DUMMYFUNCTION("""COMPUTED_VALUE"""),"VL103D")</f>
        <v>VL103D</v>
      </c>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t="str">
        <f>IFERROR(__xludf.DUMMYFUNCTION("""COMPUTED_VALUE"""),"VL103D")</f>
        <v>VL103D</v>
      </c>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t="str">
        <f>IFERROR(__xludf.DUMMYFUNCTION("""COMPUTED_VALUE"""),"VL103D")</f>
        <v>VL103D</v>
      </c>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t="str">
        <f>IFERROR(__xludf.DUMMYFUNCTION("""COMPUTED_VALUE"""),"VL103D")</f>
        <v>VL103D</v>
      </c>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t="str">
        <f>IFERROR(__xludf.DUMMYFUNCTION("""COMPUTED_VALUE"""),"VL103D")</f>
        <v>VL103D</v>
      </c>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t="str">
        <f>IFERROR(__xludf.DUMMYFUNCTION("""COMPUTED_VALUE"""),"VL103D")</f>
        <v>VL103D</v>
      </c>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t="str">
        <f>IFERROR(__xludf.DUMMYFUNCTION("""COMPUTED_VALUE"""),"VL103D")</f>
        <v>VL103D</v>
      </c>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t="str">
        <f>IFERROR(__xludf.DUMMYFUNCTION("""COMPUTED_VALUE"""),"VL103D")</f>
        <v>VL103D</v>
      </c>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t="str">
        <f>IFERROR(__xludf.DUMMYFUNCTION("""COMPUTED_VALUE"""),"VL103D")</f>
        <v>VL103D</v>
      </c>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t="str">
        <f>IFERROR(__xludf.DUMMYFUNCTION("""COMPUTED_VALUE"""),"VL103D")</f>
        <v>VL103D</v>
      </c>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t="str">
        <f>IFERROR(__xludf.DUMMYFUNCTION("""COMPUTED_VALUE"""),"VL103D")</f>
        <v>VL103D</v>
      </c>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t="str">
        <f>IFERROR(__xludf.DUMMYFUNCTION("""COMPUTED_VALUE"""),"VL103D")</f>
        <v>VL103D</v>
      </c>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t="str">
        <f>IFERROR(__xludf.DUMMYFUNCTION("""COMPUTED_VALUE"""),"VL103D")</f>
        <v>VL103D</v>
      </c>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t="str">
        <f>IFERROR(__xludf.DUMMYFUNCTION("""COMPUTED_VALUE"""),"VL103D")</f>
        <v>VL103D</v>
      </c>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t="str">
        <f>IFERROR(__xludf.DUMMYFUNCTION("""COMPUTED_VALUE"""),"VL103D")</f>
        <v>VL103D</v>
      </c>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t="str">
        <f>IFERROR(__xludf.DUMMYFUNCTION("""COMPUTED_VALUE"""),"VL103D")</f>
        <v>VL103D</v>
      </c>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t="str">
        <f>IFERROR(__xludf.DUMMYFUNCTION("""COMPUTED_VALUE"""),"VL103D")</f>
        <v>VL103D</v>
      </c>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t="str">
        <f>IFERROR(__xludf.DUMMYFUNCTION("""COMPUTED_VALUE"""),"VL103D")</f>
        <v>VL103D</v>
      </c>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t="str">
        <f>IFERROR(__xludf.DUMMYFUNCTION("""COMPUTED_VALUE"""),"VL103D")</f>
        <v>VL103D</v>
      </c>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t="str">
        <f>IFERROR(__xludf.DUMMYFUNCTION("""COMPUTED_VALUE"""),"VL103D")</f>
        <v>VL103D</v>
      </c>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t="str">
        <f>IFERROR(__xludf.DUMMYFUNCTION("""COMPUTED_VALUE"""),"VL103D")</f>
        <v>VL103D</v>
      </c>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t="str">
        <f>IFERROR(__xludf.DUMMYFUNCTION("""COMPUTED_VALUE"""),"VL103D")</f>
        <v>VL103D</v>
      </c>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t="str">
        <f>IFERROR(__xludf.DUMMYFUNCTION("""COMPUTED_VALUE"""),"VL103D")</f>
        <v>VL103D</v>
      </c>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t="str">
        <f>IFERROR(__xludf.DUMMYFUNCTION("""COMPUTED_VALUE"""),"VL103D")</f>
        <v>VL103D</v>
      </c>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t="str">
        <f>IFERROR(__xludf.DUMMYFUNCTION("""COMPUTED_VALUE"""),"VL103D")</f>
        <v>VL103D</v>
      </c>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t="str">
        <f>IFERROR(__xludf.DUMMYFUNCTION("""COMPUTED_VALUE"""),"VL103D")</f>
        <v>VL103D</v>
      </c>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t="str">
        <f>IFERROR(__xludf.DUMMYFUNCTION("""COMPUTED_VALUE"""),"VL103D")</f>
        <v>VL103D</v>
      </c>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t="str">
        <f>IFERROR(__xludf.DUMMYFUNCTION("""COMPUTED_VALUE"""),"VL103D")</f>
        <v>VL103D</v>
      </c>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t="str">
        <f>IFERROR(__xludf.DUMMYFUNCTION("""COMPUTED_VALUE"""),"VL103D")</f>
        <v>VL103D</v>
      </c>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t="str">
        <f>IFERROR(__xludf.DUMMYFUNCTION("""COMPUTED_VALUE"""),"VL103D")</f>
        <v>VL103D</v>
      </c>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t="str">
        <f>IFERROR(__xludf.DUMMYFUNCTION("""COMPUTED_VALUE"""),"VL103D")</f>
        <v>VL103D</v>
      </c>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t="str">
        <f>IFERROR(__xludf.DUMMYFUNCTION("""COMPUTED_VALUE"""),"VL103D")</f>
        <v>VL103D</v>
      </c>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t="str">
        <f>IFERROR(__xludf.DUMMYFUNCTION("""COMPUTED_VALUE"""),"VL103D")</f>
        <v>VL103D</v>
      </c>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t="str">
        <f>IFERROR(__xludf.DUMMYFUNCTION("""COMPUTED_VALUE"""),"VL103D")</f>
        <v>VL103D</v>
      </c>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t="str">
        <f>IFERROR(__xludf.DUMMYFUNCTION("""COMPUTED_VALUE"""),"VL103D")</f>
        <v>VL103D</v>
      </c>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t="str">
        <f>IFERROR(__xludf.DUMMYFUNCTION("""COMPUTED_VALUE"""),"VL103D")</f>
        <v>VL103D</v>
      </c>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t="str">
        <f>IFERROR(__xludf.DUMMYFUNCTION("""COMPUTED_VALUE"""),"VL103D")</f>
        <v>VL103D</v>
      </c>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t="str">
        <f>IFERROR(__xludf.DUMMYFUNCTION("""COMPUTED_VALUE"""),"VL103D")</f>
        <v>VL103D</v>
      </c>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t="str">
        <f>IFERROR(__xludf.DUMMYFUNCTION("""COMPUTED_VALUE"""),"VL103D")</f>
        <v>VL103D</v>
      </c>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t="str">
        <f>IFERROR(__xludf.DUMMYFUNCTION("""COMPUTED_VALUE"""),"VL103D")</f>
        <v>VL103D</v>
      </c>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t="str">
        <f>IFERROR(__xludf.DUMMYFUNCTION("""COMPUTED_VALUE"""),"VL103D")</f>
        <v>VL103D</v>
      </c>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t="str">
        <f>IFERROR(__xludf.DUMMYFUNCTION("""COMPUTED_VALUE"""),"VL103D")</f>
        <v>VL103D</v>
      </c>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t="str">
        <f>IFERROR(__xludf.DUMMYFUNCTION("""COMPUTED_VALUE"""),"VL103D")</f>
        <v>VL103D</v>
      </c>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t="str">
        <f>IFERROR(__xludf.DUMMYFUNCTION("""COMPUTED_VALUE"""),"VL103D")</f>
        <v>VL103D</v>
      </c>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t="str">
        <f>IFERROR(__xludf.DUMMYFUNCTION("""COMPUTED_VALUE"""),"VL103D")</f>
        <v>VL103D</v>
      </c>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t="str">
        <f>IFERROR(__xludf.DUMMYFUNCTION("""COMPUTED_VALUE"""),"VL103D")</f>
        <v>VL103D</v>
      </c>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t="str">
        <f>IFERROR(__xludf.DUMMYFUNCTION("""COMPUTED_VALUE"""),"VL103D")</f>
        <v>VL103D</v>
      </c>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t="str">
        <f>IFERROR(__xludf.DUMMYFUNCTION("""COMPUTED_VALUE"""),"VL103D")</f>
        <v>VL103D</v>
      </c>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t="str">
        <f>IFERROR(__xludf.DUMMYFUNCTION("""COMPUTED_VALUE"""),"VL103D")</f>
        <v>VL103D</v>
      </c>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t="str">
        <f>IFERROR(__xludf.DUMMYFUNCTION("""COMPUTED_VALUE"""),"VL103D")</f>
        <v>VL103D</v>
      </c>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t="str">
        <f>IFERROR(__xludf.DUMMYFUNCTION("""COMPUTED_VALUE"""),"VL103D")</f>
        <v>VL103D</v>
      </c>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t="str">
        <f>IFERROR(__xludf.DUMMYFUNCTION("""COMPUTED_VALUE"""),"VL103D")</f>
        <v>VL103D</v>
      </c>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t="str">
        <f>IFERROR(__xludf.DUMMYFUNCTION("""COMPUTED_VALUE"""),"VL103D")</f>
        <v>VL103D</v>
      </c>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t="str">
        <f>IFERROR(__xludf.DUMMYFUNCTION("""COMPUTED_VALUE"""),"VL103D")</f>
        <v>VL103D</v>
      </c>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t="str">
        <f>IFERROR(__xludf.DUMMYFUNCTION("""COMPUTED_VALUE"""),"VL103D")</f>
        <v>VL103D</v>
      </c>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t="str">
        <f>IFERROR(__xludf.DUMMYFUNCTION("""COMPUTED_VALUE"""),"VL103D")</f>
        <v>VL103D</v>
      </c>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t="str">
        <f>IFERROR(__xludf.DUMMYFUNCTION("""COMPUTED_VALUE"""),"VL103D")</f>
        <v>VL103D</v>
      </c>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t="str">
        <f>IFERROR(__xludf.DUMMYFUNCTION("""COMPUTED_VALUE"""),"VL103D")</f>
        <v>VL103D</v>
      </c>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t="str">
        <f>IFERROR(__xludf.DUMMYFUNCTION("""COMPUTED_VALUE"""),"VL103D")</f>
        <v>VL103D</v>
      </c>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t="str">
        <f>IFERROR(__xludf.DUMMYFUNCTION("""COMPUTED_VALUE"""),"VL103D")</f>
        <v>VL103D</v>
      </c>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t="str">
        <f>IFERROR(__xludf.DUMMYFUNCTION("""COMPUTED_VALUE"""),"VL103D")</f>
        <v>VL103D</v>
      </c>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t="str">
        <f>IFERROR(__xludf.DUMMYFUNCTION("""COMPUTED_VALUE"""),"VL103D")</f>
        <v>VL103D</v>
      </c>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t="str">
        <f>IFERROR(__xludf.DUMMYFUNCTION("""COMPUTED_VALUE"""),"VL103D")</f>
        <v>VL103D</v>
      </c>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t="str">
        <f>IFERROR(__xludf.DUMMYFUNCTION("""COMPUTED_VALUE"""),"VL103D")</f>
        <v>VL103D</v>
      </c>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t="str">
        <f>IFERROR(__xludf.DUMMYFUNCTION("""COMPUTED_VALUE"""),"VL103D")</f>
        <v>VL103D</v>
      </c>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t="str">
        <f>IFERROR(__xludf.DUMMYFUNCTION("""COMPUTED_VALUE"""),"VL103D")</f>
        <v>VL103D</v>
      </c>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t="str">
        <f>IFERROR(__xludf.DUMMYFUNCTION("""COMPUTED_VALUE"""),"VL103D")</f>
        <v>VL103D</v>
      </c>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t="str">
        <f>IFERROR(__xludf.DUMMYFUNCTION("""COMPUTED_VALUE"""),"VL103D")</f>
        <v>VL103D</v>
      </c>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t="str">
        <f>IFERROR(__xludf.DUMMYFUNCTION("""COMPUTED_VALUE"""),"VL103D")</f>
        <v>VL103D</v>
      </c>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t="str">
        <f>IFERROR(__xludf.DUMMYFUNCTION("""COMPUTED_VALUE"""),"VL103D")</f>
        <v>VL103D</v>
      </c>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t="str">
        <f>IFERROR(__xludf.DUMMYFUNCTION("""COMPUTED_VALUE"""),"VL103D")</f>
        <v>VL103D</v>
      </c>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t="str">
        <f>IFERROR(__xludf.DUMMYFUNCTION("""COMPUTED_VALUE"""),"VL103D")</f>
        <v>VL103D</v>
      </c>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t="str">
        <f>IFERROR(__xludf.DUMMYFUNCTION("""COMPUTED_VALUE"""),"VL103D")</f>
        <v>VL103D</v>
      </c>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t="str">
        <f>IFERROR(__xludf.DUMMYFUNCTION("""COMPUTED_VALUE"""),"VL103D")</f>
        <v>VL103D</v>
      </c>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t="str">
        <f>IFERROR(__xludf.DUMMYFUNCTION("""COMPUTED_VALUE"""),"VL103D")</f>
        <v>VL103D</v>
      </c>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t="str">
        <f>IFERROR(__xludf.DUMMYFUNCTION("""COMPUTED_VALUE"""),"VL103D")</f>
        <v>VL103D</v>
      </c>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t="str">
        <f>IFERROR(__xludf.DUMMYFUNCTION("""COMPUTED_VALUE"""),"VL103D")</f>
        <v>VL103D</v>
      </c>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t="str">
        <f>IFERROR(__xludf.DUMMYFUNCTION("""COMPUTED_VALUE"""),"VL103D")</f>
        <v>VL103D</v>
      </c>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t="str">
        <f>IFERROR(__xludf.DUMMYFUNCTION("""COMPUTED_VALUE"""),"VL103D")</f>
        <v>VL103D</v>
      </c>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t="str">
        <f>IFERROR(__xludf.DUMMYFUNCTION("""COMPUTED_VALUE"""),"VL103D")</f>
        <v>VL103D</v>
      </c>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t="str">
        <f>IFERROR(__xludf.DUMMYFUNCTION("""COMPUTED_VALUE"""),"VL103D")</f>
        <v>VL103D</v>
      </c>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t="str">
        <f>IFERROR(__xludf.DUMMYFUNCTION("""COMPUTED_VALUE"""),"VL103D")</f>
        <v>VL103D</v>
      </c>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t="str">
        <f>IFERROR(__xludf.DUMMYFUNCTION("""COMPUTED_VALUE"""),"VL103D")</f>
        <v>VL103D</v>
      </c>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t="str">
        <f>IFERROR(__xludf.DUMMYFUNCTION("""COMPUTED_VALUE"""),"VL103D")</f>
        <v>VL103D</v>
      </c>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t="str">
        <f>IFERROR(__xludf.DUMMYFUNCTION("""COMPUTED_VALUE"""),"VL103D")</f>
        <v>VL103D</v>
      </c>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t="str">
        <f>IFERROR(__xludf.DUMMYFUNCTION("""COMPUTED_VALUE"""),"VL103D")</f>
        <v>VL103D</v>
      </c>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t="str">
        <f>IFERROR(__xludf.DUMMYFUNCTION("""COMPUTED_VALUE"""),"VL103D")</f>
        <v>VL103D</v>
      </c>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t="str">
        <f>IFERROR(__xludf.DUMMYFUNCTION("""COMPUTED_VALUE"""),"VL103D")</f>
        <v>VL103D</v>
      </c>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t="str">
        <f>IFERROR(__xludf.DUMMYFUNCTION("""COMPUTED_VALUE"""),"VL103D")</f>
        <v>VL103D</v>
      </c>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t="str">
        <f>IFERROR(__xludf.DUMMYFUNCTION("""COMPUTED_VALUE"""),"VL103D")</f>
        <v>VL103D</v>
      </c>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t="str">
        <f>IFERROR(__xludf.DUMMYFUNCTION("""COMPUTED_VALUE"""),"VL103D")</f>
        <v>VL103D</v>
      </c>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t="str">
        <f>IFERROR(__xludf.DUMMYFUNCTION("""COMPUTED_VALUE"""),"VL103D")</f>
        <v>VL103D</v>
      </c>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t="str">
        <f>IFERROR(__xludf.DUMMYFUNCTION("""COMPUTED_VALUE"""),"VL103D")</f>
        <v>VL103D</v>
      </c>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t="str">
        <f>IFERROR(__xludf.DUMMYFUNCTION("""COMPUTED_VALUE"""),"VL103D")</f>
        <v>VL103D</v>
      </c>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t="str">
        <f>IFERROR(__xludf.DUMMYFUNCTION("""COMPUTED_VALUE"""),"VL103D")</f>
        <v>VL103D</v>
      </c>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t="str">
        <f>IFERROR(__xludf.DUMMYFUNCTION("""COMPUTED_VALUE"""),"VL103D")</f>
        <v>VL103D</v>
      </c>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t="str">
        <f>IFERROR(__xludf.DUMMYFUNCTION("""COMPUTED_VALUE"""),"VL103D")</f>
        <v>VL103D</v>
      </c>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t="str">
        <f>IFERROR(__xludf.DUMMYFUNCTION("""COMPUTED_VALUE"""),"VL103D")</f>
        <v>VL103D</v>
      </c>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t="str">
        <f>IFERROR(__xludf.DUMMYFUNCTION("""COMPUTED_VALUE"""),"VL103D")</f>
        <v>VL103D</v>
      </c>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t="str">
        <f>IFERROR(__xludf.DUMMYFUNCTION("""COMPUTED_VALUE"""),"VL103D")</f>
        <v>VL103D</v>
      </c>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t="str">
        <f>IFERROR(__xludf.DUMMYFUNCTION("""COMPUTED_VALUE"""),"VL103D")</f>
        <v>VL103D</v>
      </c>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t="str">
        <f>IFERROR(__xludf.DUMMYFUNCTION("""COMPUTED_VALUE"""),"VL103D")</f>
        <v>VL103D</v>
      </c>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t="str">
        <f>IFERROR(__xludf.DUMMYFUNCTION("""COMPUTED_VALUE"""),"VL103D")</f>
        <v>VL103D</v>
      </c>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t="str">
        <f>IFERROR(__xludf.DUMMYFUNCTION("""COMPUTED_VALUE"""),"VL103D")</f>
        <v>VL103D</v>
      </c>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t="str">
        <f>IFERROR(__xludf.DUMMYFUNCTION("""COMPUTED_VALUE"""),"VL103D")</f>
        <v>VL103D</v>
      </c>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t="str">
        <f>IFERROR(__xludf.DUMMYFUNCTION("""COMPUTED_VALUE"""),"VL103D")</f>
        <v>VL103D</v>
      </c>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t="str">
        <f>IFERROR(__xludf.DUMMYFUNCTION("""COMPUTED_VALUE"""),"VL103D")</f>
        <v>VL103D</v>
      </c>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t="str">
        <f>IFERROR(__xludf.DUMMYFUNCTION("""COMPUTED_VALUE"""),"VL103D")</f>
        <v>VL103D</v>
      </c>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t="str">
        <f>IFERROR(__xludf.DUMMYFUNCTION("""COMPUTED_VALUE"""),"VL103D")</f>
        <v>VL103D</v>
      </c>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t="str">
        <f>IFERROR(__xludf.DUMMYFUNCTION("""COMPUTED_VALUE"""),"VL103D")</f>
        <v>VL103D</v>
      </c>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t="str">
        <f>IFERROR(__xludf.DUMMYFUNCTION("""COMPUTED_VALUE"""),"VL103D")</f>
        <v>VL103D</v>
      </c>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t="str">
        <f>IFERROR(__xludf.DUMMYFUNCTION("""COMPUTED_VALUE"""),"VL103D")</f>
        <v>VL103D</v>
      </c>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t="str">
        <f>IFERROR(__xludf.DUMMYFUNCTION("""COMPUTED_VALUE"""),"VL103D")</f>
        <v>VL103D</v>
      </c>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t="str">
        <f>IFERROR(__xludf.DUMMYFUNCTION("""COMPUTED_VALUE"""),"VL103D")</f>
        <v>VL103D</v>
      </c>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t="str">
        <f>IFERROR(__xludf.DUMMYFUNCTION("""COMPUTED_VALUE"""),"VL103D")</f>
        <v>VL103D</v>
      </c>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t="str">
        <f>IFERROR(__xludf.DUMMYFUNCTION("""COMPUTED_VALUE"""),"VL103D")</f>
        <v>VL103D</v>
      </c>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t="str">
        <f>IFERROR(__xludf.DUMMYFUNCTION("""COMPUTED_VALUE"""),"VL103D")</f>
        <v>VL103D</v>
      </c>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t="str">
        <f>IFERROR(__xludf.DUMMYFUNCTION("""COMPUTED_VALUE"""),"VL103D")</f>
        <v>VL103D</v>
      </c>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t="str">
        <f>IFERROR(__xludf.DUMMYFUNCTION("""COMPUTED_VALUE"""),"VL103D")</f>
        <v>VL103D</v>
      </c>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t="str">
        <f>IFERROR(__xludf.DUMMYFUNCTION("""COMPUTED_VALUE"""),"VL103D")</f>
        <v>VL103D</v>
      </c>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t="str">
        <f>IFERROR(__xludf.DUMMYFUNCTION("""COMPUTED_VALUE"""),"VL103D")</f>
        <v>VL103D</v>
      </c>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t="str">
        <f>IFERROR(__xludf.DUMMYFUNCTION("""COMPUTED_VALUE"""),"VL103D")</f>
        <v>VL103D</v>
      </c>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t="str">
        <f>IFERROR(__xludf.DUMMYFUNCTION("""COMPUTED_VALUE"""),"VL103D")</f>
        <v>VL103D</v>
      </c>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t="str">
        <f>IFERROR(__xludf.DUMMYFUNCTION("""COMPUTED_VALUE"""),"VL103D")</f>
        <v>VL103D</v>
      </c>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t="str">
        <f>IFERROR(__xludf.DUMMYFUNCTION("""COMPUTED_VALUE"""),"VL103D")</f>
        <v>VL103D</v>
      </c>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t="str">
        <f>IFERROR(__xludf.DUMMYFUNCTION("""COMPUTED_VALUE"""),"VL103D")</f>
        <v>VL103D</v>
      </c>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t="str">
        <f>IFERROR(__xludf.DUMMYFUNCTION("""COMPUTED_VALUE"""),"VL103D")</f>
        <v>VL103D</v>
      </c>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t="str">
        <f>IFERROR(__xludf.DUMMYFUNCTION("""COMPUTED_VALUE"""),"VL103D")</f>
        <v>VL103D</v>
      </c>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t="str">
        <f>IFERROR(__xludf.DUMMYFUNCTION("""COMPUTED_VALUE"""),"VL103D")</f>
        <v>VL103D</v>
      </c>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t="str">
        <f>IFERROR(__xludf.DUMMYFUNCTION("""COMPUTED_VALUE"""),"VL103D")</f>
        <v>VL103D</v>
      </c>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t="str">
        <f>IFERROR(__xludf.DUMMYFUNCTION("""COMPUTED_VALUE"""),"VL103D")</f>
        <v>VL103D</v>
      </c>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t="str">
        <f>IFERROR(__xludf.DUMMYFUNCTION("""COMPUTED_VALUE"""),"VL103D")</f>
        <v>VL103D</v>
      </c>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t="str">
        <f>IFERROR(__xludf.DUMMYFUNCTION("""COMPUTED_VALUE"""),"VL103D")</f>
        <v>VL103D</v>
      </c>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t="str">
        <f>IFERROR(__xludf.DUMMYFUNCTION("""COMPUTED_VALUE"""),"VL103D")</f>
        <v>VL103D</v>
      </c>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t="str">
        <f>IFERROR(__xludf.DUMMYFUNCTION("""COMPUTED_VALUE"""),"VL103D")</f>
        <v>VL103D</v>
      </c>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t="str">
        <f>IFERROR(__xludf.DUMMYFUNCTION("""COMPUTED_VALUE"""),"VL103D")</f>
        <v>VL103D</v>
      </c>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t="str">
        <f>IFERROR(__xludf.DUMMYFUNCTION("""COMPUTED_VALUE"""),"VL103D")</f>
        <v>VL103D</v>
      </c>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t="str">
        <f>IFERROR(__xludf.DUMMYFUNCTION("""COMPUTED_VALUE"""),"VL103D")</f>
        <v>VL103D</v>
      </c>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t="str">
        <f>IFERROR(__xludf.DUMMYFUNCTION("""COMPUTED_VALUE"""),"VL103D")</f>
        <v>VL103D</v>
      </c>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t="str">
        <f>IFERROR(__xludf.DUMMYFUNCTION("""COMPUTED_VALUE"""),"VL103D")</f>
        <v>VL103D</v>
      </c>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t="str">
        <f>IFERROR(__xludf.DUMMYFUNCTION("""COMPUTED_VALUE"""),"VL103D")</f>
        <v>VL103D</v>
      </c>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t="str">
        <f>IFERROR(__xludf.DUMMYFUNCTION("""COMPUTED_VALUE"""),"VL103D")</f>
        <v>VL103D</v>
      </c>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t="str">
        <f>IFERROR(__xludf.DUMMYFUNCTION("""COMPUTED_VALUE"""),"VL103D")</f>
        <v>VL103D</v>
      </c>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t="str">
        <f>IFERROR(__xludf.DUMMYFUNCTION("""COMPUTED_VALUE"""),"VL103D")</f>
        <v>VL103D</v>
      </c>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t="str">
        <f>IFERROR(__xludf.DUMMYFUNCTION("""COMPUTED_VALUE"""),"VL103D")</f>
        <v>VL103D</v>
      </c>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t="str">
        <f>IFERROR(__xludf.DUMMYFUNCTION("""COMPUTED_VALUE"""),"VL103D")</f>
        <v>VL103D</v>
      </c>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t="str">
        <f>IFERROR(__xludf.DUMMYFUNCTION("""COMPUTED_VALUE"""),"VL103D")</f>
        <v>VL103D</v>
      </c>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t="str">
        <f>IFERROR(__xludf.DUMMYFUNCTION("""COMPUTED_VALUE"""),"VL103D")</f>
        <v>VL103D</v>
      </c>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t="str">
        <f>IFERROR(__xludf.DUMMYFUNCTION("""COMPUTED_VALUE"""),"VL103D")</f>
        <v>VL103D</v>
      </c>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t="str">
        <f>IFERROR(__xludf.DUMMYFUNCTION("""COMPUTED_VALUE"""),"VL103D")</f>
        <v>VL103D</v>
      </c>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t="str">
        <f>IFERROR(__xludf.DUMMYFUNCTION("""COMPUTED_VALUE"""),"VL103D")</f>
        <v>VL103D</v>
      </c>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t="str">
        <f>IFERROR(__xludf.DUMMYFUNCTION("""COMPUTED_VALUE"""),"VL103D")</f>
        <v>VL103D</v>
      </c>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t="str">
        <f>IFERROR(__xludf.DUMMYFUNCTION("""COMPUTED_VALUE"""),"VL103D")</f>
        <v>VL103D</v>
      </c>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t="str">
        <f>IFERROR(__xludf.DUMMYFUNCTION("""COMPUTED_VALUE"""),"VL103D")</f>
        <v>VL103D</v>
      </c>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t="str">
        <f>IFERROR(__xludf.DUMMYFUNCTION("""COMPUTED_VALUE"""),"VL103D")</f>
        <v>VL103D</v>
      </c>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t="str">
        <f>IFERROR(__xludf.DUMMYFUNCTION("""COMPUTED_VALUE"""),"VL103D")</f>
        <v>VL103D</v>
      </c>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t="str">
        <f>IFERROR(__xludf.DUMMYFUNCTION("""COMPUTED_VALUE"""),"VL103D")</f>
        <v>VL103D</v>
      </c>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t="str">
        <f>IFERROR(__xludf.DUMMYFUNCTION("""COMPUTED_VALUE"""),"VL103D")</f>
        <v>VL103D</v>
      </c>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t="str">
        <f>IFERROR(__xludf.DUMMYFUNCTION("""COMPUTED_VALUE"""),"VL103D")</f>
        <v>VL103D</v>
      </c>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t="str">
        <f>IFERROR(__xludf.DUMMYFUNCTION("""COMPUTED_VALUE"""),"VL103D")</f>
        <v>VL103D</v>
      </c>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t="str">
        <f>IFERROR(__xludf.DUMMYFUNCTION("""COMPUTED_VALUE"""),"VL103D")</f>
        <v>VL103D</v>
      </c>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t="str">
        <f>IFERROR(__xludf.DUMMYFUNCTION("""COMPUTED_VALUE"""),"VL103D")</f>
        <v>VL103D</v>
      </c>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t="str">
        <f>IFERROR(__xludf.DUMMYFUNCTION("""COMPUTED_VALUE"""),"VL103D")</f>
        <v>VL103D</v>
      </c>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t="str">
        <f>IFERROR(__xludf.DUMMYFUNCTION("""COMPUTED_VALUE"""),"VL103D")</f>
        <v>VL103D</v>
      </c>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t="str">
        <f>IFERROR(__xludf.DUMMYFUNCTION("""COMPUTED_VALUE"""),"VL103D")</f>
        <v>VL103D</v>
      </c>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t="str">
        <f>IFERROR(__xludf.DUMMYFUNCTION("""COMPUTED_VALUE"""),"VL103D")</f>
        <v>VL103D</v>
      </c>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t="str">
        <f>IFERROR(__xludf.DUMMYFUNCTION("""COMPUTED_VALUE"""),"VL103D")</f>
        <v>VL103D</v>
      </c>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t="str">
        <f>IFERROR(__xludf.DUMMYFUNCTION("""COMPUTED_VALUE"""),"VL103D")</f>
        <v>VL103D</v>
      </c>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t="str">
        <f>IFERROR(__xludf.DUMMYFUNCTION("""COMPUTED_VALUE"""),"VL103D")</f>
        <v>VL103D</v>
      </c>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t="str">
        <f>IFERROR(__xludf.DUMMYFUNCTION("""COMPUTED_VALUE"""),"VL103D")</f>
        <v>VL103D</v>
      </c>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t="str">
        <f>IFERROR(__xludf.DUMMYFUNCTION("""COMPUTED_VALUE"""),"VL103D")</f>
        <v>VL103D</v>
      </c>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t="str">
        <f>IFERROR(__xludf.DUMMYFUNCTION("""COMPUTED_VALUE"""),"VL103D")</f>
        <v>VL103D</v>
      </c>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t="str">
        <f>IFERROR(__xludf.DUMMYFUNCTION("""COMPUTED_VALUE"""),"VL103D")</f>
        <v>VL103D</v>
      </c>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t="str">
        <f>IFERROR(__xludf.DUMMYFUNCTION("""COMPUTED_VALUE"""),"VL103D")</f>
        <v>VL103D</v>
      </c>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t="str">
        <f>IFERROR(__xludf.DUMMYFUNCTION("""COMPUTED_VALUE"""),"VL103D")</f>
        <v>VL103D</v>
      </c>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t="str">
        <f>IFERROR(__xludf.DUMMYFUNCTION("""COMPUTED_VALUE"""),"VL103D")</f>
        <v>VL103D</v>
      </c>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t="str">
        <f>IFERROR(__xludf.DUMMYFUNCTION("""COMPUTED_VALUE"""),"VL103D")</f>
        <v>VL103D</v>
      </c>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t="str">
        <f>IFERROR(__xludf.DUMMYFUNCTION("""COMPUTED_VALUE"""),"VL103D")</f>
        <v>VL103D</v>
      </c>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t="str">
        <f>IFERROR(__xludf.DUMMYFUNCTION("""COMPUTED_VALUE"""),"VL103D")</f>
        <v>VL103D</v>
      </c>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t="str">
        <f>IFERROR(__xludf.DUMMYFUNCTION("""COMPUTED_VALUE"""),"VL103D")</f>
        <v>VL103D</v>
      </c>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t="str">
        <f>IFERROR(__xludf.DUMMYFUNCTION("""COMPUTED_VALUE"""),"VL103D")</f>
        <v>VL103D</v>
      </c>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t="str">
        <f>IFERROR(__xludf.DUMMYFUNCTION("""COMPUTED_VALUE"""),"VL103D")</f>
        <v>VL103D</v>
      </c>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t="str">
        <f>IFERROR(__xludf.DUMMYFUNCTION("""COMPUTED_VALUE"""),"VL103D")</f>
        <v>VL103D</v>
      </c>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t="str">
        <f>IFERROR(__xludf.DUMMYFUNCTION("""COMPUTED_VALUE"""),"VL103D")</f>
        <v>VL103D</v>
      </c>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t="str">
        <f>IFERROR(__xludf.DUMMYFUNCTION("""COMPUTED_VALUE"""),"VL103D")</f>
        <v>VL103D</v>
      </c>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t="str">
        <f>IFERROR(__xludf.DUMMYFUNCTION("""COMPUTED_VALUE"""),"VL103D")</f>
        <v>VL103D</v>
      </c>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t="str">
        <f>IFERROR(__xludf.DUMMYFUNCTION("""COMPUTED_VALUE"""),"VL103D")</f>
        <v>VL103D</v>
      </c>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t="str">
        <f>IFERROR(__xludf.DUMMYFUNCTION("""COMPUTED_VALUE"""),"VL103D")</f>
        <v>VL103D</v>
      </c>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t="str">
        <f>IFERROR(__xludf.DUMMYFUNCTION("""COMPUTED_VALUE"""),"VL103D")</f>
        <v>VL103D</v>
      </c>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t="str">
        <f>IFERROR(__xludf.DUMMYFUNCTION("""COMPUTED_VALUE"""),"VL103D")</f>
        <v>VL103D</v>
      </c>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t="str">
        <f>IFERROR(__xludf.DUMMYFUNCTION("""COMPUTED_VALUE"""),"VL103D")</f>
        <v>VL103D</v>
      </c>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t="str">
        <f>IFERROR(__xludf.DUMMYFUNCTION("""COMPUTED_VALUE"""),"VL103D")</f>
        <v>VL103D</v>
      </c>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t="str">
        <f>IFERROR(__xludf.DUMMYFUNCTION("""COMPUTED_VALUE"""),"VL103D")</f>
        <v>VL103D</v>
      </c>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t="str">
        <f>IFERROR(__xludf.DUMMYFUNCTION("""COMPUTED_VALUE"""),"VL103D")</f>
        <v>VL103D</v>
      </c>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t="str">
        <f>IFERROR(__xludf.DUMMYFUNCTION("""COMPUTED_VALUE"""),"VL103D")</f>
        <v>VL103D</v>
      </c>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t="str">
        <f>IFERROR(__xludf.DUMMYFUNCTION("""COMPUTED_VALUE"""),"VL103D")</f>
        <v>VL103D</v>
      </c>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t="str">
        <f>IFERROR(__xludf.DUMMYFUNCTION("""COMPUTED_VALUE"""),"VL103D")</f>
        <v>VL103D</v>
      </c>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t="str">
        <f>IFERROR(__xludf.DUMMYFUNCTION("""COMPUTED_VALUE"""),"VL103D")</f>
        <v>VL103D</v>
      </c>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t="str">
        <f>IFERROR(__xludf.DUMMYFUNCTION("""COMPUTED_VALUE"""),"VL103D")</f>
        <v>VL103D</v>
      </c>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t="str">
        <f>IFERROR(__xludf.DUMMYFUNCTION("""COMPUTED_VALUE"""),"VL103D")</f>
        <v>VL103D</v>
      </c>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t="str">
        <f>IFERROR(__xludf.DUMMYFUNCTION("""COMPUTED_VALUE"""),"VL103D")</f>
        <v>VL103D</v>
      </c>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t="str">
        <f>IFERROR(__xludf.DUMMYFUNCTION("""COMPUTED_VALUE"""),"VL103D")</f>
        <v>VL103D</v>
      </c>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t="str">
        <f>IFERROR(__xludf.DUMMYFUNCTION("""COMPUTED_VALUE"""),"VL103D")</f>
        <v>VL103D</v>
      </c>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t="str">
        <f>IFERROR(__xludf.DUMMYFUNCTION("""COMPUTED_VALUE"""),"VL103D")</f>
        <v>VL103D</v>
      </c>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t="str">
        <f>IFERROR(__xludf.DUMMYFUNCTION("""COMPUTED_VALUE"""),"VL103D")</f>
        <v>VL103D</v>
      </c>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t="str">
        <f>IFERROR(__xludf.DUMMYFUNCTION("""COMPUTED_VALUE"""),"VL103D")</f>
        <v>VL103D</v>
      </c>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t="str">
        <f>IFERROR(__xludf.DUMMYFUNCTION("""COMPUTED_VALUE"""),"VL103D")</f>
        <v>VL103D</v>
      </c>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t="str">
        <f>IFERROR(__xludf.DUMMYFUNCTION("""COMPUTED_VALUE"""),"VL103D")</f>
        <v>VL103D</v>
      </c>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t="str">
        <f>IFERROR(__xludf.DUMMYFUNCTION("""COMPUTED_VALUE"""),"VL103D")</f>
        <v>VL103D</v>
      </c>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t="str">
        <f>IFERROR(__xludf.DUMMYFUNCTION("""COMPUTED_VALUE"""),"VL103D")</f>
        <v>VL103D</v>
      </c>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t="str">
        <f>IFERROR(__xludf.DUMMYFUNCTION("""COMPUTED_VALUE"""),"VL103D")</f>
        <v>VL103D</v>
      </c>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t="str">
        <f>IFERROR(__xludf.DUMMYFUNCTION("""COMPUTED_VALUE"""),"VL103D")</f>
        <v>VL103D</v>
      </c>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t="str">
        <f>IFERROR(__xludf.DUMMYFUNCTION("""COMPUTED_VALUE"""),"VL103D")</f>
        <v>VL103D</v>
      </c>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t="str">
        <f>IFERROR(__xludf.DUMMYFUNCTION("""COMPUTED_VALUE"""),"VL103D")</f>
        <v>VL103D</v>
      </c>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t="str">
        <f>IFERROR(__xludf.DUMMYFUNCTION("""COMPUTED_VALUE"""),"VL103D")</f>
        <v>VL103D</v>
      </c>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t="str">
        <f>IFERROR(__xludf.DUMMYFUNCTION("""COMPUTED_VALUE"""),"VL103D")</f>
        <v>VL103D</v>
      </c>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t="str">
        <f>IFERROR(__xludf.DUMMYFUNCTION("""COMPUTED_VALUE"""),"VL103D")</f>
        <v>VL103D</v>
      </c>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t="str">
        <f>IFERROR(__xludf.DUMMYFUNCTION("""COMPUTED_VALUE"""),"VL103D")</f>
        <v>VL103D</v>
      </c>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t="str">
        <f>IFERROR(__xludf.DUMMYFUNCTION("""COMPUTED_VALUE"""),"VL103D")</f>
        <v>VL103D</v>
      </c>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t="str">
        <f>IFERROR(__xludf.DUMMYFUNCTION("""COMPUTED_VALUE"""),"VL103D")</f>
        <v>VL103D</v>
      </c>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t="str">
        <f>IFERROR(__xludf.DUMMYFUNCTION("""COMPUTED_VALUE"""),"VL103D")</f>
        <v>VL103D</v>
      </c>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t="str">
        <f>IFERROR(__xludf.DUMMYFUNCTION("""COMPUTED_VALUE"""),"VL103D")</f>
        <v>VL103D</v>
      </c>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t="str">
        <f>IFERROR(__xludf.DUMMYFUNCTION("""COMPUTED_VALUE"""),"VL103D")</f>
        <v>VL103D</v>
      </c>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t="str">
        <f>IFERROR(__xludf.DUMMYFUNCTION("""COMPUTED_VALUE"""),"VL103D")</f>
        <v>VL103D</v>
      </c>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t="str">
        <f>IFERROR(__xludf.DUMMYFUNCTION("""COMPUTED_VALUE"""),"VL103D")</f>
        <v>VL103D</v>
      </c>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t="str">
        <f>IFERROR(__xludf.DUMMYFUNCTION("""COMPUTED_VALUE"""),"VL103D")</f>
        <v>VL103D</v>
      </c>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t="str">
        <f>IFERROR(__xludf.DUMMYFUNCTION("""COMPUTED_VALUE"""),"VL103D")</f>
        <v>VL103D</v>
      </c>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t="str">
        <f>IFERROR(__xludf.DUMMYFUNCTION("""COMPUTED_VALUE"""),"VL103D")</f>
        <v>VL103D</v>
      </c>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t="str">
        <f>IFERROR(__xludf.DUMMYFUNCTION("""COMPUTED_VALUE"""),"VL103D")</f>
        <v>VL103D</v>
      </c>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t="str">
        <f>IFERROR(__xludf.DUMMYFUNCTION("""COMPUTED_VALUE"""),"VL103D")</f>
        <v>VL103D</v>
      </c>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t="str">
        <f>IFERROR(__xludf.DUMMYFUNCTION("""COMPUTED_VALUE"""),"VL103D")</f>
        <v>VL103D</v>
      </c>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t="str">
        <f>IFERROR(__xludf.DUMMYFUNCTION("""COMPUTED_VALUE"""),"VL103D")</f>
        <v>VL103D</v>
      </c>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t="str">
        <f>IFERROR(__xludf.DUMMYFUNCTION("""COMPUTED_VALUE"""),"VL103D")</f>
        <v>VL103D</v>
      </c>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t="str">
        <f>IFERROR(__xludf.DUMMYFUNCTION("""COMPUTED_VALUE"""),"VL103D")</f>
        <v>VL103D</v>
      </c>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t="str">
        <f>IFERROR(__xludf.DUMMYFUNCTION("""COMPUTED_VALUE"""),"VL103D")</f>
        <v>VL103D</v>
      </c>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t="str">
        <f>IFERROR(__xludf.DUMMYFUNCTION("""COMPUTED_VALUE"""),"VL103D")</f>
        <v>VL103D</v>
      </c>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t="str">
        <f>IFERROR(__xludf.DUMMYFUNCTION("""COMPUTED_VALUE"""),"VL103D")</f>
        <v>VL103D</v>
      </c>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t="str">
        <f>IFERROR(__xludf.DUMMYFUNCTION("""COMPUTED_VALUE"""),"VL103D")</f>
        <v>VL103D</v>
      </c>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t="str">
        <f>IFERROR(__xludf.DUMMYFUNCTION("""COMPUTED_VALUE"""),"VL103D")</f>
        <v>VL103D</v>
      </c>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t="str">
        <f>IFERROR(__xludf.DUMMYFUNCTION("""COMPUTED_VALUE"""),"VL103D")</f>
        <v>VL103D</v>
      </c>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t="str">
        <f>IFERROR(__xludf.DUMMYFUNCTION("""COMPUTED_VALUE"""),"VL103D")</f>
        <v>VL103D</v>
      </c>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t="str">
        <f>IFERROR(__xludf.DUMMYFUNCTION("""COMPUTED_VALUE"""),"VL103D")</f>
        <v>VL103D</v>
      </c>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t="str">
        <f>IFERROR(__xludf.DUMMYFUNCTION("""COMPUTED_VALUE"""),"VL103D")</f>
        <v>VL103D</v>
      </c>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t="str">
        <f>IFERROR(__xludf.DUMMYFUNCTION("""COMPUTED_VALUE"""),"VL103D")</f>
        <v>VL103D</v>
      </c>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t="str">
        <f>IFERROR(__xludf.DUMMYFUNCTION("""COMPUTED_VALUE"""),"VL103D")</f>
        <v>VL103D</v>
      </c>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t="str">
        <f>IFERROR(__xludf.DUMMYFUNCTION("""COMPUTED_VALUE"""),"VL103D")</f>
        <v>VL103D</v>
      </c>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t="str">
        <f>IFERROR(__xludf.DUMMYFUNCTION("""COMPUTED_VALUE"""),"VL103D")</f>
        <v>VL103D</v>
      </c>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t="str">
        <f>IFERROR(__xludf.DUMMYFUNCTION("""COMPUTED_VALUE"""),"VL103D")</f>
        <v>VL103D</v>
      </c>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t="str">
        <f>IFERROR(__xludf.DUMMYFUNCTION("""COMPUTED_VALUE"""),"VL103D")</f>
        <v>VL103D</v>
      </c>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t="str">
        <f>IFERROR(__xludf.DUMMYFUNCTION("""COMPUTED_VALUE"""),"VL103D")</f>
        <v>VL103D</v>
      </c>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t="str">
        <f>IFERROR(__xludf.DUMMYFUNCTION("""COMPUTED_VALUE"""),"VL103D")</f>
        <v>VL103D</v>
      </c>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t="str">
        <f>IFERROR(__xludf.DUMMYFUNCTION("""COMPUTED_VALUE"""),"VL103D")</f>
        <v>VL103D</v>
      </c>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t="str">
        <f>IFERROR(__xludf.DUMMYFUNCTION("""COMPUTED_VALUE"""),"VL103D")</f>
        <v>VL103D</v>
      </c>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t="str">
        <f>IFERROR(__xludf.DUMMYFUNCTION("""COMPUTED_VALUE"""),"VL103D")</f>
        <v>VL103D</v>
      </c>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t="str">
        <f>IFERROR(__xludf.DUMMYFUNCTION("""COMPUTED_VALUE"""),"VL103D")</f>
        <v>VL103D</v>
      </c>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t="str">
        <f>IFERROR(__xludf.DUMMYFUNCTION("""COMPUTED_VALUE"""),"VL103D")</f>
        <v>VL103D</v>
      </c>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t="str">
        <f>IFERROR(__xludf.DUMMYFUNCTION("""COMPUTED_VALUE"""),"VL103D")</f>
        <v>VL103D</v>
      </c>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t="str">
        <f>IFERROR(__xludf.DUMMYFUNCTION("""COMPUTED_VALUE"""),"VL103D")</f>
        <v>VL103D</v>
      </c>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t="str">
        <f>IFERROR(__xludf.DUMMYFUNCTION("""COMPUTED_VALUE"""),"VL103D")</f>
        <v>VL103D</v>
      </c>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t="str">
        <f>IFERROR(__xludf.DUMMYFUNCTION("""COMPUTED_VALUE"""),"VL103D")</f>
        <v>VL103D</v>
      </c>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t="str">
        <f>IFERROR(__xludf.DUMMYFUNCTION("""COMPUTED_VALUE"""),"VL103D")</f>
        <v>VL103D</v>
      </c>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t="str">
        <f>IFERROR(__xludf.DUMMYFUNCTION("""COMPUTED_VALUE"""),"VL103D")</f>
        <v>VL103D</v>
      </c>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t="str">
        <f>IFERROR(__xludf.DUMMYFUNCTION("""COMPUTED_VALUE"""),"VL103D")</f>
        <v>VL103D</v>
      </c>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t="str">
        <f>IFERROR(__xludf.DUMMYFUNCTION("""COMPUTED_VALUE"""),"VL103D")</f>
        <v>VL103D</v>
      </c>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t="str">
        <f>IFERROR(__xludf.DUMMYFUNCTION("""COMPUTED_VALUE"""),"VL103D")</f>
        <v>VL103D</v>
      </c>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t="str">
        <f>IFERROR(__xludf.DUMMYFUNCTION("""COMPUTED_VALUE"""),"VL103D")</f>
        <v>VL103D</v>
      </c>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t="str">
        <f>IFERROR(__xludf.DUMMYFUNCTION("""COMPUTED_VALUE"""),"VL103D")</f>
        <v>VL103D</v>
      </c>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t="str">
        <f>IFERROR(__xludf.DUMMYFUNCTION("""COMPUTED_VALUE"""),"VL103D")</f>
        <v>VL103D</v>
      </c>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t="str">
        <f>IFERROR(__xludf.DUMMYFUNCTION("""COMPUTED_VALUE"""),"VL103D")</f>
        <v>VL103D</v>
      </c>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t="str">
        <f>IFERROR(__xludf.DUMMYFUNCTION("""COMPUTED_VALUE"""),"VL103D")</f>
        <v>VL103D</v>
      </c>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t="str">
        <f>IFERROR(__xludf.DUMMYFUNCTION("""COMPUTED_VALUE"""),"VL103D")</f>
        <v>VL103D</v>
      </c>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t="str">
        <f>IFERROR(__xludf.DUMMYFUNCTION("""COMPUTED_VALUE"""),"VL103D")</f>
        <v>VL103D</v>
      </c>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t="str">
        <f>IFERROR(__xludf.DUMMYFUNCTION("""COMPUTED_VALUE"""),"VL103D")</f>
        <v>VL103D</v>
      </c>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t="str">
        <f>IFERROR(__xludf.DUMMYFUNCTION("""COMPUTED_VALUE"""),"VL103D")</f>
        <v>VL103D</v>
      </c>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t="str">
        <f>IFERROR(__xludf.DUMMYFUNCTION("""COMPUTED_VALUE"""),"VL103D")</f>
        <v>VL103D</v>
      </c>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t="str">
        <f>IFERROR(__xludf.DUMMYFUNCTION("""COMPUTED_VALUE"""),"VL103D")</f>
        <v>VL103D</v>
      </c>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t="str">
        <f>IFERROR(__xludf.DUMMYFUNCTION("""COMPUTED_VALUE"""),"VL103D")</f>
        <v>VL103D</v>
      </c>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t="str">
        <f>IFERROR(__xludf.DUMMYFUNCTION("""COMPUTED_VALUE"""),"VL103D")</f>
        <v>VL103D</v>
      </c>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t="str">
        <f>IFERROR(__xludf.DUMMYFUNCTION("""COMPUTED_VALUE"""),"VL103D")</f>
        <v>VL103D</v>
      </c>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t="str">
        <f>IFERROR(__xludf.DUMMYFUNCTION("""COMPUTED_VALUE"""),"VL103D")</f>
        <v>VL103D</v>
      </c>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t="str">
        <f>IFERROR(__xludf.DUMMYFUNCTION("""COMPUTED_VALUE"""),"VL103D")</f>
        <v>VL103D</v>
      </c>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t="str">
        <f>IFERROR(__xludf.DUMMYFUNCTION("""COMPUTED_VALUE"""),"VL103D")</f>
        <v>VL103D</v>
      </c>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t="str">
        <f>IFERROR(__xludf.DUMMYFUNCTION("""COMPUTED_VALUE"""),"VL103D")</f>
        <v>VL103D</v>
      </c>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t="str">
        <f>IFERROR(__xludf.DUMMYFUNCTION("""COMPUTED_VALUE"""),"VL103D")</f>
        <v>VL103D</v>
      </c>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t="str">
        <f>IFERROR(__xludf.DUMMYFUNCTION("""COMPUTED_VALUE"""),"VL103D")</f>
        <v>VL103D</v>
      </c>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t="str">
        <f>IFERROR(__xludf.DUMMYFUNCTION("""COMPUTED_VALUE"""),"VL103D")</f>
        <v>VL103D</v>
      </c>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t="str">
        <f>IFERROR(__xludf.DUMMYFUNCTION("""COMPUTED_VALUE"""),"VL103D")</f>
        <v>VL103D</v>
      </c>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t="str">
        <f>IFERROR(__xludf.DUMMYFUNCTION("""COMPUTED_VALUE"""),"VL103D")</f>
        <v>VL103D</v>
      </c>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t="str">
        <f>IFERROR(__xludf.DUMMYFUNCTION("""COMPUTED_VALUE"""),"VL103D")</f>
        <v>VL103D</v>
      </c>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t="str">
        <f>IFERROR(__xludf.DUMMYFUNCTION("""COMPUTED_VALUE"""),"VL103D")</f>
        <v>VL103D</v>
      </c>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t="str">
        <f>IFERROR(__xludf.DUMMYFUNCTION("""COMPUTED_VALUE"""),"VL103D")</f>
        <v>VL103D</v>
      </c>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t="str">
        <f>IFERROR(__xludf.DUMMYFUNCTION("""COMPUTED_VALUE"""),"VL103D")</f>
        <v>VL103D</v>
      </c>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t="str">
        <f>IFERROR(__xludf.DUMMYFUNCTION("""COMPUTED_VALUE"""),"VL103D")</f>
        <v>VL103D</v>
      </c>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t="str">
        <f>IFERROR(__xludf.DUMMYFUNCTION("""COMPUTED_VALUE"""),"VL103D")</f>
        <v>VL103D</v>
      </c>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t="str">
        <f>IFERROR(__xludf.DUMMYFUNCTION("""COMPUTED_VALUE"""),"VL103D")</f>
        <v>VL103D</v>
      </c>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t="str">
        <f>IFERROR(__xludf.DUMMYFUNCTION("""COMPUTED_VALUE"""),"VL103D")</f>
        <v>VL103D</v>
      </c>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t="str">
        <f>IFERROR(__xludf.DUMMYFUNCTION("""COMPUTED_VALUE"""),"VL103D")</f>
        <v>VL103D</v>
      </c>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t="str">
        <f>IFERROR(__xludf.DUMMYFUNCTION("""COMPUTED_VALUE"""),"VL103D")</f>
        <v>VL103D</v>
      </c>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t="str">
        <f>IFERROR(__xludf.DUMMYFUNCTION("""COMPUTED_VALUE"""),"VL103D")</f>
        <v>VL103D</v>
      </c>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t="str">
        <f>IFERROR(__xludf.DUMMYFUNCTION("""COMPUTED_VALUE"""),"VL103D")</f>
        <v>VL103D</v>
      </c>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t="str">
        <f>IFERROR(__xludf.DUMMYFUNCTION("""COMPUTED_VALUE"""),"VL103D")</f>
        <v>VL103D</v>
      </c>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t="str">
        <f>IFERROR(__xludf.DUMMYFUNCTION("""COMPUTED_VALUE"""),"VL103D")</f>
        <v>VL103D</v>
      </c>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t="str">
        <f>IFERROR(__xludf.DUMMYFUNCTION("""COMPUTED_VALUE"""),"VL103D")</f>
        <v>VL103D</v>
      </c>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t="str">
        <f>IFERROR(__xludf.DUMMYFUNCTION("""COMPUTED_VALUE"""),"VL103D")</f>
        <v>VL103D</v>
      </c>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t="str">
        <f>IFERROR(__xludf.DUMMYFUNCTION("""COMPUTED_VALUE"""),"VL103D")</f>
        <v>VL103D</v>
      </c>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t="str">
        <f>IFERROR(__xludf.DUMMYFUNCTION("""COMPUTED_VALUE"""),"VL103D")</f>
        <v>VL103D</v>
      </c>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t="str">
        <f>IFERROR(__xludf.DUMMYFUNCTION("""COMPUTED_VALUE"""),"VL103D")</f>
        <v>VL103D</v>
      </c>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t="str">
        <f>IFERROR(__xludf.DUMMYFUNCTION("""COMPUTED_VALUE"""),"VL103D")</f>
        <v>VL103D</v>
      </c>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t="str">
        <f>IFERROR(__xludf.DUMMYFUNCTION("""COMPUTED_VALUE"""),"VL103D")</f>
        <v>VL103D</v>
      </c>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t="str">
        <f>IFERROR(__xludf.DUMMYFUNCTION("""COMPUTED_VALUE"""),"VL103D")</f>
        <v>VL103D</v>
      </c>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t="str">
        <f>IFERROR(__xludf.DUMMYFUNCTION("""COMPUTED_VALUE"""),"VL103D")</f>
        <v>VL103D</v>
      </c>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t="str">
        <f>IFERROR(__xludf.DUMMYFUNCTION("""COMPUTED_VALUE"""),"VL103D")</f>
        <v>VL103D</v>
      </c>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t="str">
        <f>IFERROR(__xludf.DUMMYFUNCTION("""COMPUTED_VALUE"""),"VL103D")</f>
        <v>VL103D</v>
      </c>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t="str">
        <f>IFERROR(__xludf.DUMMYFUNCTION("""COMPUTED_VALUE"""),"VL103D")</f>
        <v>VL103D</v>
      </c>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t="str">
        <f>IFERROR(__xludf.DUMMYFUNCTION("""COMPUTED_VALUE"""),"VL103D")</f>
        <v>VL103D</v>
      </c>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t="str">
        <f>IFERROR(__xludf.DUMMYFUNCTION("""COMPUTED_VALUE"""),"VL103D")</f>
        <v>VL103D</v>
      </c>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t="str">
        <f>IFERROR(__xludf.DUMMYFUNCTION("""COMPUTED_VALUE"""),"VL103D")</f>
        <v>VL103D</v>
      </c>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t="str">
        <f>IFERROR(__xludf.DUMMYFUNCTION("""COMPUTED_VALUE"""),"VL103D")</f>
        <v>VL103D</v>
      </c>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t="str">
        <f>IFERROR(__xludf.DUMMYFUNCTION("""COMPUTED_VALUE"""),"VL103D")</f>
        <v>VL103D</v>
      </c>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t="str">
        <f>IFERROR(__xludf.DUMMYFUNCTION("""COMPUTED_VALUE"""),"VL103D")</f>
        <v>VL103D</v>
      </c>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t="str">
        <f>IFERROR(__xludf.DUMMYFUNCTION("""COMPUTED_VALUE"""),"VL103D")</f>
        <v>VL103D</v>
      </c>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t="str">
        <f>IFERROR(__xludf.DUMMYFUNCTION("""COMPUTED_VALUE"""),"VL103D")</f>
        <v>VL103D</v>
      </c>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t="str">
        <f>IFERROR(__xludf.DUMMYFUNCTION("""COMPUTED_VALUE"""),"VL103D")</f>
        <v>VL103D</v>
      </c>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t="str">
        <f>IFERROR(__xludf.DUMMYFUNCTION("""COMPUTED_VALUE"""),"VL103D")</f>
        <v>VL103D</v>
      </c>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t="str">
        <f>IFERROR(__xludf.DUMMYFUNCTION("""COMPUTED_VALUE"""),"VL103D")</f>
        <v>VL103D</v>
      </c>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t="str">
        <f>IFERROR(__xludf.DUMMYFUNCTION("""COMPUTED_VALUE"""),"VL103D")</f>
        <v>VL103D</v>
      </c>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t="str">
        <f>IFERROR(__xludf.DUMMYFUNCTION("""COMPUTED_VALUE"""),"VL103D")</f>
        <v>VL103D</v>
      </c>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t="str">
        <f>IFERROR(__xludf.DUMMYFUNCTION("""COMPUTED_VALUE"""),"VL103D")</f>
        <v>VL103D</v>
      </c>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t="str">
        <f>IFERROR(__xludf.DUMMYFUNCTION("""COMPUTED_VALUE"""),"VL103D")</f>
        <v>VL103D</v>
      </c>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t="str">
        <f>IFERROR(__xludf.DUMMYFUNCTION("""COMPUTED_VALUE"""),"VL103D")</f>
        <v>VL103D</v>
      </c>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t="str">
        <f>IFERROR(__xludf.DUMMYFUNCTION("""COMPUTED_VALUE"""),"VL103D")</f>
        <v>VL103D</v>
      </c>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t="str">
        <f>IFERROR(__xludf.DUMMYFUNCTION("""COMPUTED_VALUE"""),"VL103D")</f>
        <v>VL103D</v>
      </c>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t="str">
        <f>IFERROR(__xludf.DUMMYFUNCTION("""COMPUTED_VALUE"""),"VL103D")</f>
        <v>VL103D</v>
      </c>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t="str">
        <f>IFERROR(__xludf.DUMMYFUNCTION("""COMPUTED_VALUE"""),"VL103D")</f>
        <v>VL103D</v>
      </c>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t="str">
        <f>IFERROR(__xludf.DUMMYFUNCTION("""COMPUTED_VALUE"""),"VL103D")</f>
        <v>VL103D</v>
      </c>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t="str">
        <f>IFERROR(__xludf.DUMMYFUNCTION("""COMPUTED_VALUE"""),"VL103D")</f>
        <v>VL103D</v>
      </c>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t="str">
        <f>IFERROR(__xludf.DUMMYFUNCTION("""COMPUTED_VALUE"""),"VL103D")</f>
        <v>VL103D</v>
      </c>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t="str">
        <f>IFERROR(__xludf.DUMMYFUNCTION("""COMPUTED_VALUE"""),"VL103D")</f>
        <v>VL103D</v>
      </c>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t="str">
        <f>IFERROR(__xludf.DUMMYFUNCTION("""COMPUTED_VALUE"""),"VL103D")</f>
        <v>VL103D</v>
      </c>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t="str">
        <f>IFERROR(__xludf.DUMMYFUNCTION("""COMPUTED_VALUE"""),"VL103D")</f>
        <v>VL103D</v>
      </c>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t="str">
        <f>IFERROR(__xludf.DUMMYFUNCTION("""COMPUTED_VALUE"""),"VL103D")</f>
        <v>VL103D</v>
      </c>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t="str">
        <f>IFERROR(__xludf.DUMMYFUNCTION("""COMPUTED_VALUE"""),"VL103D")</f>
        <v>VL103D</v>
      </c>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t="str">
        <f>IFERROR(__xludf.DUMMYFUNCTION("""COMPUTED_VALUE"""),"VL103D")</f>
        <v>VL103D</v>
      </c>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t="str">
        <f>IFERROR(__xludf.DUMMYFUNCTION("""COMPUTED_VALUE"""),"VL103D")</f>
        <v>VL103D</v>
      </c>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t="str">
        <f>IFERROR(__xludf.DUMMYFUNCTION("""COMPUTED_VALUE"""),"VL103D")</f>
        <v>VL103D</v>
      </c>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t="str">
        <f>IFERROR(__xludf.DUMMYFUNCTION("""COMPUTED_VALUE"""),"VL103D")</f>
        <v>VL103D</v>
      </c>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t="str">
        <f>IFERROR(__xludf.DUMMYFUNCTION("""COMPUTED_VALUE"""),"VL103D")</f>
        <v>VL103D</v>
      </c>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t="str">
        <f>IFERROR(__xludf.DUMMYFUNCTION("""COMPUTED_VALUE"""),"VL103D")</f>
        <v>VL103D</v>
      </c>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t="str">
        <f>IFERROR(__xludf.DUMMYFUNCTION("""COMPUTED_VALUE"""),"VL103D")</f>
        <v>VL103D</v>
      </c>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t="str">
        <f>IFERROR(__xludf.DUMMYFUNCTION("""COMPUTED_VALUE"""),"VL103D")</f>
        <v>VL103D</v>
      </c>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t="str">
        <f>IFERROR(__xludf.DUMMYFUNCTION("""COMPUTED_VALUE"""),"VL103D")</f>
        <v>VL103D</v>
      </c>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t="str">
        <f>IFERROR(__xludf.DUMMYFUNCTION("""COMPUTED_VALUE"""),"VL103D")</f>
        <v>VL103D</v>
      </c>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t="str">
        <f>IFERROR(__xludf.DUMMYFUNCTION("""COMPUTED_VALUE"""),"VL103D")</f>
        <v>VL103D</v>
      </c>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t="str">
        <f>IFERROR(__xludf.DUMMYFUNCTION("""COMPUTED_VALUE"""),"VL103D")</f>
        <v>VL103D</v>
      </c>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t="str">
        <f>IFERROR(__xludf.DUMMYFUNCTION("""COMPUTED_VALUE"""),"VL103D")</f>
        <v>VL103D</v>
      </c>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t="str">
        <f>IFERROR(__xludf.DUMMYFUNCTION("""COMPUTED_VALUE"""),"VL103D")</f>
        <v>VL103D</v>
      </c>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t="str">
        <f>IFERROR(__xludf.DUMMYFUNCTION("""COMPUTED_VALUE"""),"VL103D")</f>
        <v>VL103D</v>
      </c>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t="str">
        <f>IFERROR(__xludf.DUMMYFUNCTION("""COMPUTED_VALUE"""),"VL103D")</f>
        <v>VL103D</v>
      </c>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t="str">
        <f>IFERROR(__xludf.DUMMYFUNCTION("""COMPUTED_VALUE"""),"VL103D")</f>
        <v>VL103D</v>
      </c>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t="str">
        <f>IFERROR(__xludf.DUMMYFUNCTION("""COMPUTED_VALUE"""),"VL103D")</f>
        <v>VL103D</v>
      </c>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t="str">
        <f>IFERROR(__xludf.DUMMYFUNCTION("""COMPUTED_VALUE"""),"VL103D")</f>
        <v>VL103D</v>
      </c>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t="str">
        <f>IFERROR(__xludf.DUMMYFUNCTION("""COMPUTED_VALUE"""),"VL103D")</f>
        <v>VL103D</v>
      </c>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t="str">
        <f>IFERROR(__xludf.DUMMYFUNCTION("""COMPUTED_VALUE"""),"VL103D")</f>
        <v>VL103D</v>
      </c>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t="str">
        <f>IFERROR(__xludf.DUMMYFUNCTION("""COMPUTED_VALUE"""),"VL103D")</f>
        <v>VL103D</v>
      </c>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t="str">
        <f>IFERROR(__xludf.DUMMYFUNCTION("""COMPUTED_VALUE"""),"VL103D")</f>
        <v>VL103D</v>
      </c>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t="str">
        <f>IFERROR(__xludf.DUMMYFUNCTION("""COMPUTED_VALUE"""),"VL103D")</f>
        <v>VL103D</v>
      </c>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t="str">
        <f>IFERROR(__xludf.DUMMYFUNCTION("""COMPUTED_VALUE"""),"VL103D")</f>
        <v>VL103D</v>
      </c>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t="str">
        <f>IFERROR(__xludf.DUMMYFUNCTION("""COMPUTED_VALUE"""),"VL103D")</f>
        <v>VL103D</v>
      </c>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t="str">
        <f>IFERROR(__xludf.DUMMYFUNCTION("""COMPUTED_VALUE"""),"VL103D")</f>
        <v>VL103D</v>
      </c>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t="str">
        <f>IFERROR(__xludf.DUMMYFUNCTION("""COMPUTED_VALUE"""),"VL103D")</f>
        <v>VL103D</v>
      </c>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t="str">
        <f>IFERROR(__xludf.DUMMYFUNCTION("""COMPUTED_VALUE"""),"VL103D")</f>
        <v>VL103D</v>
      </c>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t="str">
        <f>IFERROR(__xludf.DUMMYFUNCTION("""COMPUTED_VALUE"""),"VL103D")</f>
        <v>VL103D</v>
      </c>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t="str">
        <f>IFERROR(__xludf.DUMMYFUNCTION("""COMPUTED_VALUE"""),"VL103D")</f>
        <v>VL103D</v>
      </c>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t="str">
        <f>IFERROR(__xludf.DUMMYFUNCTION("""COMPUTED_VALUE"""),"VL103D")</f>
        <v>VL103D</v>
      </c>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t="str">
        <f>IFERROR(__xludf.DUMMYFUNCTION("""COMPUTED_VALUE"""),"VL103D")</f>
        <v>VL103D</v>
      </c>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t="str">
        <f>IFERROR(__xludf.DUMMYFUNCTION("""COMPUTED_VALUE"""),"VL103D")</f>
        <v>VL103D</v>
      </c>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t="str">
        <f>IFERROR(__xludf.DUMMYFUNCTION("""COMPUTED_VALUE"""),"VL103D")</f>
        <v>VL103D</v>
      </c>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t="str">
        <f>IFERROR(__xludf.DUMMYFUNCTION("""COMPUTED_VALUE"""),"VL103D")</f>
        <v>VL103D</v>
      </c>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t="str">
        <f>IFERROR(__xludf.DUMMYFUNCTION("""COMPUTED_VALUE"""),"VL103D")</f>
        <v>VL103D</v>
      </c>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t="str">
        <f>IFERROR(__xludf.DUMMYFUNCTION("""COMPUTED_VALUE"""),"VL103D")</f>
        <v>VL103D</v>
      </c>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t="str">
        <f>IFERROR(__xludf.DUMMYFUNCTION("""COMPUTED_VALUE"""),"VL103D")</f>
        <v>VL103D</v>
      </c>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t="str">
        <f>IFERROR(__xludf.DUMMYFUNCTION("""COMPUTED_VALUE"""),"VL103D")</f>
        <v>VL103D</v>
      </c>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t="str">
        <f>IFERROR(__xludf.DUMMYFUNCTION("""COMPUTED_VALUE"""),"VL103D")</f>
        <v>VL103D</v>
      </c>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t="str">
        <f>IFERROR(__xludf.DUMMYFUNCTION("""COMPUTED_VALUE"""),"VL103D")</f>
        <v>VL103D</v>
      </c>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t="str">
        <f>IFERROR(__xludf.DUMMYFUNCTION("""COMPUTED_VALUE"""),"VL103D")</f>
        <v>VL103D</v>
      </c>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t="str">
        <f>IFERROR(__xludf.DUMMYFUNCTION("""COMPUTED_VALUE"""),"VL103D")</f>
        <v>VL103D</v>
      </c>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t="str">
        <f>IFERROR(__xludf.DUMMYFUNCTION("""COMPUTED_VALUE"""),"VL103D")</f>
        <v>VL103D</v>
      </c>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t="str">
        <f>IFERROR(__xludf.DUMMYFUNCTION("""COMPUTED_VALUE"""),"VL103D")</f>
        <v>VL103D</v>
      </c>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t="str">
        <f>IFERROR(__xludf.DUMMYFUNCTION("""COMPUTED_VALUE"""),"VL103D")</f>
        <v>VL103D</v>
      </c>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t="str">
        <f>IFERROR(__xludf.DUMMYFUNCTION("""COMPUTED_VALUE"""),"VL103D")</f>
        <v>VL103D</v>
      </c>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t="str">
        <f>IFERROR(__xludf.DUMMYFUNCTION("""COMPUTED_VALUE"""),"VL103D")</f>
        <v>VL103D</v>
      </c>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t="str">
        <f>IFERROR(__xludf.DUMMYFUNCTION("""COMPUTED_VALUE"""),"VL103D")</f>
        <v>VL103D</v>
      </c>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t="str">
        <f>IFERROR(__xludf.DUMMYFUNCTION("""COMPUTED_VALUE"""),"VL103D")</f>
        <v>VL103D</v>
      </c>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t="str">
        <f>IFERROR(__xludf.DUMMYFUNCTION("""COMPUTED_VALUE"""),"VL103D")</f>
        <v>VL103D</v>
      </c>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t="str">
        <f>IFERROR(__xludf.DUMMYFUNCTION("""COMPUTED_VALUE"""),"VL103D")</f>
        <v>VL103D</v>
      </c>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t="str">
        <f>IFERROR(__xludf.DUMMYFUNCTION("""COMPUTED_VALUE"""),"VL103D")</f>
        <v>VL103D</v>
      </c>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t="str">
        <f>IFERROR(__xludf.DUMMYFUNCTION("""COMPUTED_VALUE"""),"VL103D")</f>
        <v>VL103D</v>
      </c>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t="str">
        <f>IFERROR(__xludf.DUMMYFUNCTION("""COMPUTED_VALUE"""),"VL103D")</f>
        <v>VL103D</v>
      </c>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t="str">
        <f>IFERROR(__xludf.DUMMYFUNCTION("""COMPUTED_VALUE"""),"VL103D")</f>
        <v>VL103D</v>
      </c>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t="str">
        <f>IFERROR(__xludf.DUMMYFUNCTION("""COMPUTED_VALUE"""),"VL103D")</f>
        <v>VL103D</v>
      </c>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t="str">
        <f>IFERROR(__xludf.DUMMYFUNCTION("""COMPUTED_VALUE"""),"VL103D")</f>
        <v>VL103D</v>
      </c>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t="str">
        <f>IFERROR(__xludf.DUMMYFUNCTION("""COMPUTED_VALUE"""),"VL103D")</f>
        <v>VL103D</v>
      </c>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t="str">
        <f>IFERROR(__xludf.DUMMYFUNCTION("""COMPUTED_VALUE"""),"VL103D")</f>
        <v>VL103D</v>
      </c>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t="str">
        <f>IFERROR(__xludf.DUMMYFUNCTION("""COMPUTED_VALUE"""),"VL103D")</f>
        <v>VL103D</v>
      </c>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t="str">
        <f>IFERROR(__xludf.DUMMYFUNCTION("""COMPUTED_VALUE"""),"VL103D")</f>
        <v>VL103D</v>
      </c>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t="str">
        <f>IFERROR(__xludf.DUMMYFUNCTION("""COMPUTED_VALUE"""),"VL103D")</f>
        <v>VL103D</v>
      </c>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t="str">
        <f>IFERROR(__xludf.DUMMYFUNCTION("""COMPUTED_VALUE"""),"VL103D")</f>
        <v>VL103D</v>
      </c>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t="str">
        <f>IFERROR(__xludf.DUMMYFUNCTION("""COMPUTED_VALUE"""),"VL103D")</f>
        <v>VL103D</v>
      </c>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t="str">
        <f>IFERROR(__xludf.DUMMYFUNCTION("""COMPUTED_VALUE"""),"VL103D")</f>
        <v>VL103D</v>
      </c>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t="str">
        <f>IFERROR(__xludf.DUMMYFUNCTION("""COMPUTED_VALUE"""),"VL103D")</f>
        <v>VL103D</v>
      </c>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t="str">
        <f>IFERROR(__xludf.DUMMYFUNCTION("""COMPUTED_VALUE"""),"VL103D")</f>
        <v>VL103D</v>
      </c>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t="str">
        <f>IFERROR(__xludf.DUMMYFUNCTION("""COMPUTED_VALUE"""),"VL103D")</f>
        <v>VL103D</v>
      </c>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t="str">
        <f>IFERROR(__xludf.DUMMYFUNCTION("""COMPUTED_VALUE"""),"VL103D")</f>
        <v>VL103D</v>
      </c>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t="str">
        <f>IFERROR(__xludf.DUMMYFUNCTION("""COMPUTED_VALUE"""),"VL103D")</f>
        <v>VL103D</v>
      </c>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t="str">
        <f>IFERROR(__xludf.DUMMYFUNCTION("""COMPUTED_VALUE"""),"VL103D")</f>
        <v>VL103D</v>
      </c>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t="str">
        <f>IFERROR(__xludf.DUMMYFUNCTION("""COMPUTED_VALUE"""),"VL103D")</f>
        <v>VL103D</v>
      </c>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t="str">
        <f>IFERROR(__xludf.DUMMYFUNCTION("""COMPUTED_VALUE"""),"VL103D")</f>
        <v>VL103D</v>
      </c>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t="str">
        <f>IFERROR(__xludf.DUMMYFUNCTION("""COMPUTED_VALUE"""),"VL103D")</f>
        <v>VL103D</v>
      </c>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t="str">
        <f>IFERROR(__xludf.DUMMYFUNCTION("""COMPUTED_VALUE"""),"VL103D")</f>
        <v>VL103D</v>
      </c>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t="str">
        <f>IFERROR(__xludf.DUMMYFUNCTION("""COMPUTED_VALUE"""),"VL103D")</f>
        <v>VL103D</v>
      </c>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t="str">
        <f>IFERROR(__xludf.DUMMYFUNCTION("""COMPUTED_VALUE"""),"VL103D")</f>
        <v>VL103D</v>
      </c>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t="str">
        <f>IFERROR(__xludf.DUMMYFUNCTION("""COMPUTED_VALUE"""),"VL103D")</f>
        <v>VL103D</v>
      </c>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t="str">
        <f>IFERROR(__xludf.DUMMYFUNCTION("""COMPUTED_VALUE"""),"VL103D")</f>
        <v>VL103D</v>
      </c>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t="str">
        <f>IFERROR(__xludf.DUMMYFUNCTION("""COMPUTED_VALUE"""),"VL103D")</f>
        <v>VL103D</v>
      </c>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t="str">
        <f>IFERROR(__xludf.DUMMYFUNCTION("""COMPUTED_VALUE"""),"VL103D")</f>
        <v>VL103D</v>
      </c>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t="str">
        <f>IFERROR(__xludf.DUMMYFUNCTION("""COMPUTED_VALUE"""),"VL103D")</f>
        <v>VL103D</v>
      </c>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t="str">
        <f>IFERROR(__xludf.DUMMYFUNCTION("""COMPUTED_VALUE"""),"VL103D")</f>
        <v>VL103D</v>
      </c>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t="str">
        <f>IFERROR(__xludf.DUMMYFUNCTION("""COMPUTED_VALUE"""),"VL103D")</f>
        <v>VL103D</v>
      </c>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t="str">
        <f>IFERROR(__xludf.DUMMYFUNCTION("""COMPUTED_VALUE"""),"VL103D")</f>
        <v>VL103D</v>
      </c>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t="str">
        <f>IFERROR(__xludf.DUMMYFUNCTION("""COMPUTED_VALUE"""),"VL103D")</f>
        <v>VL103D</v>
      </c>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t="str">
        <f>IFERROR(__xludf.DUMMYFUNCTION("""COMPUTED_VALUE"""),"VL103D")</f>
        <v>VL103D</v>
      </c>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t="str">
        <f>IFERROR(__xludf.DUMMYFUNCTION("""COMPUTED_VALUE"""),"VL103D")</f>
        <v>VL103D</v>
      </c>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t="str">
        <f>IFERROR(__xludf.DUMMYFUNCTION("""COMPUTED_VALUE"""),"VL103D")</f>
        <v>VL103D</v>
      </c>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t="str">
        <f>IFERROR(__xludf.DUMMYFUNCTION("""COMPUTED_VALUE"""),"VL103D")</f>
        <v>VL103D</v>
      </c>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t="str">
        <f>IFERROR(__xludf.DUMMYFUNCTION("""COMPUTED_VALUE"""),"VL103D")</f>
        <v>VL103D</v>
      </c>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t="str">
        <f>IFERROR(__xludf.DUMMYFUNCTION("""COMPUTED_VALUE"""),"VL103D")</f>
        <v>VL103D</v>
      </c>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t="str">
        <f>IFERROR(__xludf.DUMMYFUNCTION("""COMPUTED_VALUE"""),"VL103D")</f>
        <v>VL103D</v>
      </c>
      <c r="X979" s="2"/>
      <c r="Y979" s="2"/>
      <c r="Z979" s="2"/>
      <c r="AA979" s="2"/>
      <c r="AB979" s="2"/>
    </row>
    <row r="980">
      <c r="A980" s="2"/>
      <c r="B980" s="2"/>
      <c r="C980" s="2"/>
      <c r="D980" s="2"/>
      <c r="E980" s="2"/>
      <c r="F980" s="2"/>
      <c r="G980" s="2"/>
      <c r="H980" s="2"/>
      <c r="I980" s="2"/>
      <c r="J980" s="2"/>
      <c r="K980" s="2"/>
      <c r="L980" s="2"/>
      <c r="M980" s="2"/>
      <c r="N980" s="2"/>
      <c r="O980" s="2"/>
      <c r="P980" s="2"/>
      <c r="Q980" s="2"/>
      <c r="R980" s="2"/>
      <c r="S980" s="2"/>
      <c r="T980" s="2"/>
      <c r="U980" s="2"/>
      <c r="V980" s="2"/>
      <c r="W980" s="2" t="str">
        <f>IFERROR(__xludf.DUMMYFUNCTION("""COMPUTED_VALUE"""),"VL103D")</f>
        <v>VL103D</v>
      </c>
      <c r="X980" s="2"/>
      <c r="Y980" s="2"/>
      <c r="Z980" s="2"/>
      <c r="AA980" s="2"/>
      <c r="AB980" s="2"/>
    </row>
    <row r="981">
      <c r="A981" s="2"/>
      <c r="B981" s="2"/>
      <c r="C981" s="2"/>
      <c r="D981" s="2"/>
      <c r="E981" s="2"/>
      <c r="F981" s="2"/>
      <c r="G981" s="2"/>
      <c r="H981" s="2"/>
      <c r="I981" s="2"/>
      <c r="J981" s="2"/>
      <c r="K981" s="2"/>
      <c r="L981" s="2"/>
      <c r="M981" s="2"/>
      <c r="N981" s="2"/>
      <c r="O981" s="2"/>
      <c r="P981" s="2"/>
      <c r="Q981" s="2"/>
      <c r="R981" s="2"/>
      <c r="S981" s="2"/>
      <c r="T981" s="2"/>
      <c r="U981" s="2"/>
      <c r="V981" s="2"/>
      <c r="W981" s="2" t="str">
        <f>IFERROR(__xludf.DUMMYFUNCTION("""COMPUTED_VALUE"""),"VL103D")</f>
        <v>VL103D</v>
      </c>
      <c r="X981" s="2"/>
      <c r="Y981" s="2"/>
      <c r="Z981" s="2"/>
      <c r="AA981" s="2"/>
      <c r="AB981" s="2"/>
    </row>
    <row r="982">
      <c r="A982" s="2"/>
      <c r="B982" s="2"/>
      <c r="C982" s="2"/>
      <c r="D982" s="2"/>
      <c r="E982" s="2"/>
      <c r="F982" s="2"/>
      <c r="G982" s="2"/>
      <c r="H982" s="2"/>
      <c r="I982" s="2"/>
      <c r="J982" s="2"/>
      <c r="K982" s="2"/>
      <c r="L982" s="2"/>
      <c r="M982" s="2"/>
      <c r="N982" s="2"/>
      <c r="O982" s="2"/>
      <c r="P982" s="2"/>
      <c r="Q982" s="2"/>
      <c r="R982" s="2"/>
      <c r="S982" s="2"/>
      <c r="T982" s="2"/>
      <c r="U982" s="2"/>
      <c r="V982" s="2"/>
      <c r="W982" s="2" t="str">
        <f>IFERROR(__xludf.DUMMYFUNCTION("""COMPUTED_VALUE"""),"VL103D")</f>
        <v>VL103D</v>
      </c>
      <c r="X982" s="2"/>
      <c r="Y982" s="2"/>
      <c r="Z982" s="2"/>
      <c r="AA982" s="2"/>
      <c r="AB982" s="2"/>
    </row>
    <row r="983">
      <c r="A983" s="2"/>
      <c r="B983" s="2"/>
      <c r="C983" s="2"/>
      <c r="D983" s="2"/>
      <c r="E983" s="2"/>
      <c r="F983" s="2"/>
      <c r="G983" s="2"/>
      <c r="H983" s="2"/>
      <c r="I983" s="2"/>
      <c r="J983" s="2"/>
      <c r="K983" s="2"/>
      <c r="L983" s="2"/>
      <c r="M983" s="2"/>
      <c r="N983" s="2"/>
      <c r="O983" s="2"/>
      <c r="P983" s="2"/>
      <c r="Q983" s="2"/>
      <c r="R983" s="2"/>
      <c r="S983" s="2"/>
      <c r="T983" s="2"/>
      <c r="U983" s="2"/>
      <c r="V983" s="2"/>
      <c r="W983" s="2" t="str">
        <f>IFERROR(__xludf.DUMMYFUNCTION("""COMPUTED_VALUE"""),"VL103D")</f>
        <v>VL103D</v>
      </c>
      <c r="X983" s="2"/>
      <c r="Y983" s="2"/>
      <c r="Z983" s="2"/>
      <c r="AA983" s="2"/>
      <c r="AB983" s="2"/>
    </row>
    <row r="984">
      <c r="A984" s="2"/>
      <c r="B984" s="2"/>
      <c r="C984" s="2"/>
      <c r="D984" s="2"/>
      <c r="E984" s="2"/>
      <c r="F984" s="2"/>
      <c r="G984" s="2"/>
      <c r="H984" s="2"/>
      <c r="I984" s="2"/>
      <c r="J984" s="2"/>
      <c r="K984" s="2"/>
      <c r="L984" s="2"/>
      <c r="M984" s="2"/>
      <c r="N984" s="2"/>
      <c r="O984" s="2"/>
      <c r="P984" s="2"/>
      <c r="Q984" s="2"/>
      <c r="R984" s="2"/>
      <c r="S984" s="2"/>
      <c r="T984" s="2"/>
      <c r="U984" s="2"/>
      <c r="V984" s="2"/>
      <c r="W984" s="2" t="str">
        <f>IFERROR(__xludf.DUMMYFUNCTION("""COMPUTED_VALUE"""),"VL103D")</f>
        <v>VL103D</v>
      </c>
      <c r="X984" s="2"/>
      <c r="Y984" s="2"/>
      <c r="Z984" s="2"/>
      <c r="AA984" s="2"/>
      <c r="AB984" s="2"/>
    </row>
    <row r="985">
      <c r="A985" s="2"/>
      <c r="B985" s="2"/>
      <c r="C985" s="2"/>
      <c r="D985" s="2"/>
      <c r="E985" s="2"/>
      <c r="F985" s="2"/>
      <c r="G985" s="2"/>
      <c r="H985" s="2"/>
      <c r="I985" s="2"/>
      <c r="J985" s="2"/>
      <c r="K985" s="2"/>
      <c r="L985" s="2"/>
      <c r="M985" s="2"/>
      <c r="N985" s="2"/>
      <c r="O985" s="2"/>
      <c r="P985" s="2"/>
      <c r="Q985" s="2"/>
      <c r="R985" s="2"/>
      <c r="S985" s="2"/>
      <c r="T985" s="2"/>
      <c r="U985" s="2"/>
      <c r="V985" s="2"/>
      <c r="W985" s="2" t="str">
        <f>IFERROR(__xludf.DUMMYFUNCTION("""COMPUTED_VALUE"""),"VL103D")</f>
        <v>VL103D</v>
      </c>
      <c r="X985" s="2"/>
      <c r="Y985" s="2"/>
      <c r="Z985" s="2"/>
      <c r="AA985" s="2"/>
      <c r="AB985" s="2"/>
    </row>
    <row r="986">
      <c r="A986" s="2"/>
      <c r="B986" s="2"/>
      <c r="C986" s="2"/>
      <c r="D986" s="2"/>
      <c r="E986" s="2"/>
      <c r="F986" s="2"/>
      <c r="G986" s="2"/>
      <c r="H986" s="2"/>
      <c r="I986" s="2"/>
      <c r="J986" s="2"/>
      <c r="K986" s="2"/>
      <c r="L986" s="2"/>
      <c r="M986" s="2"/>
      <c r="N986" s="2"/>
      <c r="O986" s="2"/>
      <c r="P986" s="2"/>
      <c r="Q986" s="2"/>
      <c r="R986" s="2"/>
      <c r="S986" s="2"/>
      <c r="T986" s="2"/>
      <c r="U986" s="2"/>
      <c r="V986" s="2"/>
      <c r="W986" s="2" t="str">
        <f>IFERROR(__xludf.DUMMYFUNCTION("""COMPUTED_VALUE"""),"VL103D")</f>
        <v>VL103D</v>
      </c>
      <c r="X986" s="2"/>
      <c r="Y986" s="2"/>
      <c r="Z986" s="2"/>
      <c r="AA986" s="2"/>
      <c r="AB986" s="2"/>
    </row>
    <row r="987">
      <c r="A987" s="2"/>
      <c r="B987" s="2"/>
      <c r="C987" s="2"/>
      <c r="D987" s="2"/>
      <c r="E987" s="2"/>
      <c r="F987" s="2"/>
      <c r="G987" s="2"/>
      <c r="H987" s="2"/>
      <c r="I987" s="2"/>
      <c r="J987" s="2"/>
      <c r="K987" s="2"/>
      <c r="L987" s="2"/>
      <c r="M987" s="2"/>
      <c r="N987" s="2"/>
      <c r="O987" s="2"/>
      <c r="P987" s="2"/>
      <c r="Q987" s="2"/>
      <c r="R987" s="2"/>
      <c r="S987" s="2"/>
      <c r="T987" s="2"/>
      <c r="U987" s="2"/>
      <c r="V987" s="2"/>
      <c r="W987" s="2" t="str">
        <f>IFERROR(__xludf.DUMMYFUNCTION("""COMPUTED_VALUE"""),"VL103D")</f>
        <v>VL103D</v>
      </c>
      <c r="X987" s="2"/>
      <c r="Y987" s="2"/>
      <c r="Z987" s="2"/>
      <c r="AA987" s="2"/>
      <c r="AB987" s="2"/>
    </row>
    <row r="988">
      <c r="A988" s="2"/>
      <c r="B988" s="2"/>
      <c r="C988" s="2"/>
      <c r="D988" s="2"/>
      <c r="E988" s="2"/>
      <c r="F988" s="2"/>
      <c r="G988" s="2"/>
      <c r="H988" s="2"/>
      <c r="I988" s="2"/>
      <c r="J988" s="2"/>
      <c r="K988" s="2"/>
      <c r="L988" s="2"/>
      <c r="M988" s="2"/>
      <c r="N988" s="2"/>
      <c r="O988" s="2"/>
      <c r="P988" s="2"/>
      <c r="Q988" s="2"/>
      <c r="R988" s="2"/>
      <c r="S988" s="2"/>
      <c r="T988" s="2"/>
      <c r="U988" s="2"/>
      <c r="V988" s="2"/>
      <c r="W988" s="2" t="str">
        <f>IFERROR(__xludf.DUMMYFUNCTION("""COMPUTED_VALUE"""),"VL103D")</f>
        <v>VL103D</v>
      </c>
      <c r="X988" s="2"/>
      <c r="Y988" s="2"/>
      <c r="Z988" s="2"/>
      <c r="AA988" s="2"/>
      <c r="AB988" s="2"/>
    </row>
    <row r="989">
      <c r="A989" s="2"/>
      <c r="B989" s="2"/>
      <c r="C989" s="2"/>
      <c r="D989" s="2"/>
      <c r="E989" s="2"/>
      <c r="F989" s="2"/>
      <c r="G989" s="2"/>
      <c r="H989" s="2"/>
      <c r="I989" s="2"/>
      <c r="J989" s="2"/>
      <c r="K989" s="2"/>
      <c r="L989" s="2"/>
      <c r="M989" s="2"/>
      <c r="N989" s="2"/>
      <c r="O989" s="2"/>
      <c r="P989" s="2"/>
      <c r="Q989" s="2"/>
      <c r="R989" s="2"/>
      <c r="S989" s="2"/>
      <c r="T989" s="2"/>
      <c r="U989" s="2"/>
      <c r="V989" s="2"/>
      <c r="W989" s="2" t="str">
        <f>IFERROR(__xludf.DUMMYFUNCTION("""COMPUTED_VALUE"""),"VL103D")</f>
        <v>VL103D</v>
      </c>
      <c r="X989" s="2"/>
      <c r="Y989" s="2"/>
      <c r="Z989" s="2"/>
      <c r="AA989" s="2"/>
      <c r="AB989" s="2"/>
    </row>
    <row r="990">
      <c r="A990" s="2"/>
      <c r="B990" s="2"/>
      <c r="C990" s="2"/>
      <c r="D990" s="2"/>
      <c r="E990" s="2"/>
      <c r="F990" s="2"/>
      <c r="G990" s="2"/>
      <c r="H990" s="2"/>
      <c r="I990" s="2"/>
      <c r="J990" s="2"/>
      <c r="K990" s="2"/>
      <c r="L990" s="2"/>
      <c r="M990" s="2"/>
      <c r="N990" s="2"/>
      <c r="O990" s="2"/>
      <c r="P990" s="2"/>
      <c r="Q990" s="2"/>
      <c r="R990" s="2"/>
      <c r="S990" s="2"/>
      <c r="T990" s="2"/>
      <c r="U990" s="2"/>
      <c r="V990" s="2"/>
      <c r="W990" s="2" t="str">
        <f>IFERROR(__xludf.DUMMYFUNCTION("""COMPUTED_VALUE"""),"VL103D")</f>
        <v>VL103D</v>
      </c>
      <c r="X990" s="2"/>
      <c r="Y990" s="2"/>
      <c r="Z990" s="2"/>
      <c r="AA990" s="2"/>
      <c r="AB990" s="2"/>
    </row>
    <row r="991">
      <c r="A991" s="2"/>
      <c r="B991" s="2"/>
      <c r="C991" s="2"/>
      <c r="D991" s="2"/>
      <c r="E991" s="2"/>
      <c r="F991" s="2"/>
      <c r="G991" s="2"/>
      <c r="H991" s="2"/>
      <c r="I991" s="2"/>
      <c r="J991" s="2"/>
      <c r="K991" s="2"/>
      <c r="L991" s="2"/>
      <c r="M991" s="2"/>
      <c r="N991" s="2"/>
      <c r="O991" s="2"/>
      <c r="P991" s="2"/>
      <c r="Q991" s="2"/>
      <c r="R991" s="2"/>
      <c r="S991" s="2"/>
      <c r="T991" s="2"/>
      <c r="U991" s="2"/>
      <c r="V991" s="2"/>
      <c r="W991" s="2" t="str">
        <f>IFERROR(__xludf.DUMMYFUNCTION("""COMPUTED_VALUE"""),"VL103D")</f>
        <v>VL103D</v>
      </c>
      <c r="X991" s="2"/>
      <c r="Y991" s="2"/>
      <c r="Z991" s="2"/>
      <c r="AA991" s="2"/>
      <c r="AB991" s="2"/>
    </row>
    <row r="992">
      <c r="A992" s="2"/>
      <c r="B992" s="2"/>
      <c r="C992" s="2"/>
      <c r="D992" s="2"/>
      <c r="E992" s="2"/>
      <c r="F992" s="2"/>
      <c r="G992" s="2"/>
      <c r="H992" s="2"/>
      <c r="I992" s="2"/>
      <c r="J992" s="2"/>
      <c r="K992" s="2"/>
      <c r="L992" s="2"/>
      <c r="M992" s="2"/>
      <c r="N992" s="2"/>
      <c r="O992" s="2"/>
      <c r="P992" s="2"/>
      <c r="Q992" s="2"/>
      <c r="R992" s="2"/>
      <c r="S992" s="2"/>
      <c r="T992" s="2"/>
      <c r="U992" s="2"/>
      <c r="V992" s="2"/>
      <c r="W992" s="2" t="str">
        <f>IFERROR(__xludf.DUMMYFUNCTION("""COMPUTED_VALUE"""),"VL103D")</f>
        <v>VL103D</v>
      </c>
      <c r="X992" s="2"/>
      <c r="Y992" s="2"/>
      <c r="Z992" s="2"/>
      <c r="AA992" s="2"/>
      <c r="AB992" s="2"/>
    </row>
    <row r="993">
      <c r="A993" s="2"/>
      <c r="B993" s="2"/>
      <c r="C993" s="2"/>
      <c r="D993" s="2"/>
      <c r="E993" s="2"/>
      <c r="F993" s="2"/>
      <c r="G993" s="2"/>
      <c r="H993" s="2"/>
      <c r="I993" s="2"/>
      <c r="J993" s="2"/>
      <c r="K993" s="2"/>
      <c r="L993" s="2"/>
      <c r="M993" s="2"/>
      <c r="N993" s="2"/>
      <c r="O993" s="2"/>
      <c r="P993" s="2"/>
      <c r="Q993" s="2"/>
      <c r="R993" s="2"/>
      <c r="S993" s="2"/>
      <c r="T993" s="2"/>
      <c r="U993" s="2"/>
      <c r="V993" s="2"/>
      <c r="W993" s="2" t="str">
        <f>IFERROR(__xludf.DUMMYFUNCTION("""COMPUTED_VALUE"""),"VL103D")</f>
        <v>VL103D</v>
      </c>
      <c r="X993" s="2"/>
      <c r="Y993" s="2"/>
      <c r="Z993" s="2"/>
      <c r="AA993" s="2"/>
      <c r="AB993" s="2"/>
    </row>
    <row r="994">
      <c r="A994" s="2"/>
      <c r="B994" s="2"/>
      <c r="C994" s="2"/>
      <c r="D994" s="2"/>
      <c r="E994" s="2"/>
      <c r="F994" s="2"/>
      <c r="G994" s="2"/>
      <c r="H994" s="2"/>
      <c r="I994" s="2"/>
      <c r="J994" s="2"/>
      <c r="K994" s="2"/>
      <c r="L994" s="2"/>
      <c r="M994" s="2"/>
      <c r="N994" s="2"/>
      <c r="O994" s="2"/>
      <c r="P994" s="2"/>
      <c r="Q994" s="2"/>
      <c r="R994" s="2"/>
      <c r="S994" s="2"/>
      <c r="T994" s="2"/>
      <c r="U994" s="2"/>
      <c r="V994" s="2"/>
      <c r="W994" s="2" t="str">
        <f>IFERROR(__xludf.DUMMYFUNCTION("""COMPUTED_VALUE"""),"VL103D")</f>
        <v>VL103D</v>
      </c>
      <c r="X994" s="2"/>
      <c r="Y994" s="2"/>
      <c r="Z994" s="2"/>
      <c r="AA994" s="2"/>
      <c r="AB994" s="2"/>
    </row>
    <row r="995">
      <c r="A995" s="2"/>
      <c r="B995" s="2"/>
      <c r="C995" s="2"/>
      <c r="D995" s="2"/>
      <c r="E995" s="2"/>
      <c r="F995" s="2"/>
      <c r="G995" s="2"/>
      <c r="H995" s="2"/>
      <c r="I995" s="2"/>
      <c r="J995" s="2"/>
      <c r="K995" s="2"/>
      <c r="L995" s="2"/>
      <c r="M995" s="2"/>
      <c r="N995" s="2"/>
      <c r="O995" s="2"/>
      <c r="P995" s="2"/>
      <c r="Q995" s="2"/>
      <c r="R995" s="2"/>
      <c r="S995" s="2"/>
      <c r="T995" s="2"/>
      <c r="U995" s="2"/>
      <c r="V995" s="2"/>
      <c r="W995" s="2" t="str">
        <f>IFERROR(__xludf.DUMMYFUNCTION("""COMPUTED_VALUE"""),"VL103D")</f>
        <v>VL103D</v>
      </c>
      <c r="X995" s="2"/>
      <c r="Y995" s="2"/>
      <c r="Z995" s="2"/>
      <c r="AA995" s="2"/>
      <c r="AB995" s="2"/>
    </row>
    <row r="996">
      <c r="A996" s="2"/>
      <c r="B996" s="2"/>
      <c r="C996" s="2"/>
      <c r="D996" s="2"/>
      <c r="E996" s="2"/>
      <c r="F996" s="2"/>
      <c r="G996" s="2"/>
      <c r="H996" s="2"/>
      <c r="I996" s="2"/>
      <c r="J996" s="2"/>
      <c r="K996" s="2"/>
      <c r="L996" s="2"/>
      <c r="M996" s="2"/>
      <c r="N996" s="2"/>
      <c r="O996" s="2"/>
      <c r="P996" s="2"/>
      <c r="Q996" s="2"/>
      <c r="R996" s="2"/>
      <c r="S996" s="2"/>
      <c r="T996" s="2"/>
      <c r="U996" s="2"/>
      <c r="V996" s="2"/>
      <c r="W996" s="2" t="str">
        <f>IFERROR(__xludf.DUMMYFUNCTION("""COMPUTED_VALUE"""),"VL103D")</f>
        <v>VL103D</v>
      </c>
      <c r="X996" s="2"/>
      <c r="Y996" s="2"/>
      <c r="Z996" s="2"/>
      <c r="AA996" s="2"/>
      <c r="AB996" s="2"/>
    </row>
    <row r="997">
      <c r="A997" s="2"/>
      <c r="B997" s="2"/>
      <c r="C997" s="2"/>
      <c r="D997" s="2"/>
      <c r="E997" s="2"/>
      <c r="F997" s="2"/>
      <c r="G997" s="2"/>
      <c r="H997" s="2"/>
      <c r="I997" s="2"/>
      <c r="J997" s="2"/>
      <c r="K997" s="2"/>
      <c r="L997" s="2"/>
      <c r="M997" s="2"/>
      <c r="N997" s="2"/>
      <c r="O997" s="2"/>
      <c r="P997" s="2"/>
      <c r="Q997" s="2"/>
      <c r="R997" s="2"/>
      <c r="S997" s="2"/>
      <c r="T997" s="2"/>
      <c r="U997" s="2"/>
      <c r="V997" s="2"/>
      <c r="W997" s="2" t="str">
        <f>IFERROR(__xludf.DUMMYFUNCTION("""COMPUTED_VALUE"""),"VL103D")</f>
        <v>VL103D</v>
      </c>
      <c r="X997" s="2"/>
      <c r="Y997" s="2"/>
      <c r="Z997" s="2"/>
      <c r="AA997" s="2"/>
      <c r="AB997" s="2"/>
    </row>
    <row r="998">
      <c r="A998" s="2"/>
      <c r="B998" s="2"/>
      <c r="C998" s="2"/>
      <c r="D998" s="2"/>
      <c r="E998" s="2"/>
      <c r="F998" s="2"/>
      <c r="G998" s="2"/>
      <c r="H998" s="2"/>
      <c r="I998" s="2"/>
      <c r="J998" s="2"/>
      <c r="K998" s="2"/>
      <c r="L998" s="2"/>
      <c r="M998" s="2"/>
      <c r="N998" s="2"/>
      <c r="O998" s="2"/>
      <c r="P998" s="2"/>
      <c r="Q998" s="2"/>
      <c r="R998" s="2"/>
      <c r="S998" s="2"/>
      <c r="T998" s="2"/>
      <c r="U998" s="2"/>
      <c r="V998" s="2"/>
      <c r="W998" s="2" t="str">
        <f>IFERROR(__xludf.DUMMYFUNCTION("""COMPUTED_VALUE"""),"VL103D")</f>
        <v>VL103D</v>
      </c>
      <c r="X998" s="2"/>
      <c r="Y998" s="2"/>
      <c r="Z998" s="2"/>
      <c r="AA998" s="2"/>
      <c r="AB998" s="2"/>
    </row>
    <row r="999">
      <c r="A999" s="2"/>
      <c r="B999" s="2"/>
      <c r="C999" s="2"/>
      <c r="D999" s="2"/>
      <c r="E999" s="2"/>
      <c r="F999" s="2"/>
      <c r="G999" s="2"/>
      <c r="H999" s="2"/>
      <c r="I999" s="2"/>
      <c r="J999" s="2"/>
      <c r="K999" s="2"/>
      <c r="L999" s="2"/>
      <c r="M999" s="2"/>
      <c r="N999" s="2"/>
      <c r="O999" s="2"/>
      <c r="P999" s="2"/>
      <c r="Q999" s="2"/>
      <c r="R999" s="2"/>
      <c r="S999" s="2"/>
      <c r="T999" s="2"/>
      <c r="U999" s="2"/>
      <c r="V999" s="2"/>
      <c r="W999" s="2" t="str">
        <f>IFERROR(__xludf.DUMMYFUNCTION("""COMPUTED_VALUE"""),"VL103D")</f>
        <v>VL103D</v>
      </c>
      <c r="X999" s="2"/>
      <c r="Y999" s="2"/>
      <c r="Z999" s="2"/>
      <c r="AA999" s="2"/>
      <c r="AB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t="str">
        <f>IFERROR(__xludf.DUMMYFUNCTION("""COMPUTED_VALUE"""),"VL103D")</f>
        <v>VL103D</v>
      </c>
      <c r="X1000" s="2"/>
      <c r="Y1000" s="2"/>
      <c r="Z1000" s="2"/>
      <c r="AA1000" s="2"/>
      <c r="AB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t="str">
        <f>IFERROR(__xludf.DUMMYFUNCTION("""COMPUTED_VALUE"""),"VL103D")</f>
        <v>VL103D</v>
      </c>
      <c r="X1001" s="2"/>
      <c r="Y1001" s="2"/>
      <c r="Z1001" s="2"/>
      <c r="AA1001" s="2"/>
      <c r="AB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t="str">
        <f>IFERROR(__xludf.DUMMYFUNCTION("""COMPUTED_VALUE"""),"VL103D")</f>
        <v>VL103D</v>
      </c>
      <c r="X1002" s="2"/>
      <c r="Y1002" s="2"/>
      <c r="Z1002" s="2"/>
      <c r="AA1002" s="2"/>
      <c r="AB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t="str">
        <f>IFERROR(__xludf.DUMMYFUNCTION("""COMPUTED_VALUE"""),"VL103D")</f>
        <v>VL103D</v>
      </c>
      <c r="X1003" s="2"/>
      <c r="Y1003" s="2"/>
      <c r="Z1003" s="2"/>
      <c r="AA1003" s="2"/>
      <c r="AB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t="str">
        <f>IFERROR(__xludf.DUMMYFUNCTION("""COMPUTED_VALUE"""),"VL103D")</f>
        <v>VL103D</v>
      </c>
      <c r="X1004" s="2"/>
      <c r="Y1004" s="2"/>
      <c r="Z1004" s="2"/>
      <c r="AA1004" s="2"/>
      <c r="AB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t="str">
        <f>IFERROR(__xludf.DUMMYFUNCTION("""COMPUTED_VALUE"""),"VL103D")</f>
        <v>VL103D</v>
      </c>
      <c r="X1005" s="2"/>
      <c r="Y1005" s="2"/>
      <c r="Z1005" s="2"/>
      <c r="AA1005" s="2"/>
      <c r="AB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t="str">
        <f>IFERROR(__xludf.DUMMYFUNCTION("""COMPUTED_VALUE"""),"VL103D")</f>
        <v>VL103D</v>
      </c>
      <c r="X1006" s="2"/>
      <c r="Y1006" s="2"/>
      <c r="Z1006" s="2"/>
      <c r="AA1006" s="2"/>
      <c r="AB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t="str">
        <f>IFERROR(__xludf.DUMMYFUNCTION("""COMPUTED_VALUE"""),"VL103D")</f>
        <v>VL103D</v>
      </c>
      <c r="X1007" s="2"/>
      <c r="Y1007" s="2"/>
      <c r="Z1007" s="2"/>
      <c r="AA1007" s="2"/>
      <c r="AB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t="str">
        <f>IFERROR(__xludf.DUMMYFUNCTION("""COMPUTED_VALUE"""),"VL103D")</f>
        <v>VL103D</v>
      </c>
      <c r="X1008" s="2"/>
      <c r="Y1008" s="2"/>
      <c r="Z1008" s="2"/>
      <c r="AA1008" s="2"/>
      <c r="AB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t="str">
        <f>IFERROR(__xludf.DUMMYFUNCTION("""COMPUTED_VALUE"""),"VL103D")</f>
        <v>VL103D</v>
      </c>
      <c r="X1009" s="2"/>
      <c r="Y1009" s="2"/>
      <c r="Z1009" s="2"/>
      <c r="AA1009" s="2"/>
      <c r="AB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t="str">
        <f>IFERROR(__xludf.DUMMYFUNCTION("""COMPUTED_VALUE"""),"VL103D")</f>
        <v>VL103D</v>
      </c>
      <c r="X1010" s="2"/>
      <c r="Y1010" s="2"/>
      <c r="Z1010" s="2"/>
      <c r="AA1010" s="2"/>
      <c r="AB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t="str">
        <f>IFERROR(__xludf.DUMMYFUNCTION("""COMPUTED_VALUE"""),"VL103D")</f>
        <v>VL103D</v>
      </c>
      <c r="X1011" s="2"/>
      <c r="Y1011" s="2"/>
      <c r="Z1011" s="2"/>
      <c r="AA1011" s="2"/>
      <c r="AB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t="str">
        <f>IFERROR(__xludf.DUMMYFUNCTION("""COMPUTED_VALUE"""),"VL103D")</f>
        <v>VL103D</v>
      </c>
      <c r="X1012" s="2"/>
      <c r="Y1012" s="2"/>
      <c r="Z1012" s="2"/>
      <c r="AA1012" s="2"/>
      <c r="AB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t="str">
        <f>IFERROR(__xludf.DUMMYFUNCTION("""COMPUTED_VALUE"""),"VL103D")</f>
        <v>VL103D</v>
      </c>
      <c r="X1013" s="2"/>
      <c r="Y1013" s="2"/>
      <c r="Z1013" s="2"/>
      <c r="AA1013" s="2"/>
      <c r="AB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t="str">
        <f>IFERROR(__xludf.DUMMYFUNCTION("""COMPUTED_VALUE"""),"VL103D")</f>
        <v>VL103D</v>
      </c>
      <c r="X1014" s="2"/>
      <c r="Y1014" s="2"/>
      <c r="Z1014" s="2"/>
      <c r="AA1014" s="2"/>
      <c r="AB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t="str">
        <f>IFERROR(__xludf.DUMMYFUNCTION("""COMPUTED_VALUE"""),"VL103D")</f>
        <v>VL103D</v>
      </c>
      <c r="X1015" s="2"/>
      <c r="Y1015" s="2"/>
      <c r="Z1015" s="2"/>
      <c r="AA1015" s="2"/>
      <c r="AB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t="str">
        <f>IFERROR(__xludf.DUMMYFUNCTION("""COMPUTED_VALUE"""),"VL103D")</f>
        <v>VL103D</v>
      </c>
      <c r="X1016" s="2"/>
      <c r="Y1016" s="2"/>
      <c r="Z1016" s="2"/>
      <c r="AA1016" s="2"/>
      <c r="AB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t="str">
        <f>IFERROR(__xludf.DUMMYFUNCTION("""COMPUTED_VALUE"""),"VL103D")</f>
        <v>VL103D</v>
      </c>
      <c r="X1017" s="2"/>
      <c r="Y1017" s="2"/>
      <c r="Z1017" s="2"/>
      <c r="AA1017" s="2"/>
      <c r="AB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t="str">
        <f>IFERROR(__xludf.DUMMYFUNCTION("""COMPUTED_VALUE"""),"VL103D")</f>
        <v>VL103D</v>
      </c>
      <c r="X1018" s="2"/>
      <c r="Y1018" s="2"/>
      <c r="Z1018" s="2"/>
      <c r="AA1018" s="2"/>
      <c r="AB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t="str">
        <f>IFERROR(__xludf.DUMMYFUNCTION("""COMPUTED_VALUE"""),"VL103D")</f>
        <v>VL103D</v>
      </c>
      <c r="X1019" s="2"/>
      <c r="Y1019" s="2"/>
      <c r="Z1019" s="2"/>
      <c r="AA1019" s="2"/>
      <c r="AB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t="str">
        <f>IFERROR(__xludf.DUMMYFUNCTION("""COMPUTED_VALUE"""),"VL103D")</f>
        <v>VL103D</v>
      </c>
      <c r="X1020" s="2"/>
      <c r="Y1020" s="2"/>
      <c r="Z1020" s="2"/>
      <c r="AA1020" s="2"/>
      <c r="AB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t="str">
        <f>IFERROR(__xludf.DUMMYFUNCTION("""COMPUTED_VALUE"""),"VL103D")</f>
        <v>VL103D</v>
      </c>
      <c r="X1021" s="2"/>
      <c r="Y1021" s="2"/>
      <c r="Z1021" s="2"/>
      <c r="AA1021" s="2"/>
      <c r="AB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t="str">
        <f>IFERROR(__xludf.DUMMYFUNCTION("""COMPUTED_VALUE"""),"VL103D")</f>
        <v>VL103D</v>
      </c>
      <c r="X1022" s="2"/>
      <c r="Y1022" s="2"/>
      <c r="Z1022" s="2"/>
      <c r="AA1022" s="2"/>
      <c r="AB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t="str">
        <f>IFERROR(__xludf.DUMMYFUNCTION("""COMPUTED_VALUE"""),"VL103D")</f>
        <v>VL103D</v>
      </c>
      <c r="X1023" s="2"/>
      <c r="Y1023" s="2"/>
      <c r="Z1023" s="2"/>
      <c r="AA1023" s="2"/>
      <c r="AB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t="str">
        <f>IFERROR(__xludf.DUMMYFUNCTION("""COMPUTED_VALUE"""),"VL103D")</f>
        <v>VL103D</v>
      </c>
      <c r="X1024" s="2"/>
      <c r="Y1024" s="2"/>
      <c r="Z1024" s="2"/>
      <c r="AA1024" s="2"/>
      <c r="AB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t="str">
        <f>IFERROR(__xludf.DUMMYFUNCTION("""COMPUTED_VALUE"""),"VL103D")</f>
        <v>VL103D</v>
      </c>
      <c r="X1025" s="2"/>
      <c r="Y1025" s="2"/>
      <c r="Z1025" s="2"/>
      <c r="AA1025" s="2"/>
      <c r="AB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t="str">
        <f>IFERROR(__xludf.DUMMYFUNCTION("""COMPUTED_VALUE"""),"VL103D")</f>
        <v>VL103D</v>
      </c>
      <c r="X1026" s="2"/>
      <c r="Y1026" s="2"/>
      <c r="Z1026" s="2"/>
      <c r="AA1026" s="2"/>
      <c r="AB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t="str">
        <f>IFERROR(__xludf.DUMMYFUNCTION("""COMPUTED_VALUE"""),"VL103D")</f>
        <v>VL103D</v>
      </c>
      <c r="X1027" s="2"/>
      <c r="Y1027" s="2"/>
      <c r="Z1027" s="2"/>
      <c r="AA1027" s="2"/>
      <c r="AB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t="str">
        <f>IFERROR(__xludf.DUMMYFUNCTION("""COMPUTED_VALUE"""),"VL103D")</f>
        <v>VL103D</v>
      </c>
      <c r="X1028" s="2"/>
      <c r="Y1028" s="2"/>
      <c r="Z1028" s="2"/>
      <c r="AA1028" s="2"/>
      <c r="AB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t="str">
        <f>IFERROR(__xludf.DUMMYFUNCTION("""COMPUTED_VALUE"""),"VL103D")</f>
        <v>VL103D</v>
      </c>
      <c r="X1029" s="2"/>
      <c r="Y1029" s="2"/>
      <c r="Z1029" s="2"/>
      <c r="AA1029" s="2"/>
      <c r="AB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t="str">
        <f>IFERROR(__xludf.DUMMYFUNCTION("""COMPUTED_VALUE"""),"VL103D")</f>
        <v>VL103D</v>
      </c>
      <c r="X1030" s="2"/>
      <c r="Y1030" s="2"/>
      <c r="Z1030" s="2"/>
      <c r="AA1030" s="2"/>
      <c r="AB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t="str">
        <f>IFERROR(__xludf.DUMMYFUNCTION("""COMPUTED_VALUE"""),"VL103D")</f>
        <v>VL103D</v>
      </c>
      <c r="X1031" s="2"/>
      <c r="Y1031" s="2"/>
      <c r="Z1031" s="2"/>
      <c r="AA1031" s="2"/>
      <c r="AB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t="str">
        <f>IFERROR(__xludf.DUMMYFUNCTION("""COMPUTED_VALUE"""),"VL103D")</f>
        <v>VL103D</v>
      </c>
      <c r="X1032" s="2"/>
      <c r="Y1032" s="2"/>
      <c r="Z1032" s="2"/>
      <c r="AA1032" s="2"/>
      <c r="AB1032" s="2"/>
    </row>
    <row r="1033">
      <c r="A1033" s="2"/>
      <c r="B1033" s="2"/>
      <c r="C1033" s="2"/>
      <c r="D1033" s="2"/>
      <c r="E1033" s="2"/>
      <c r="F1033" s="2"/>
      <c r="G1033" s="2"/>
      <c r="H1033" s="2"/>
      <c r="I1033" s="2"/>
      <c r="J1033" s="2"/>
      <c r="K1033" s="2"/>
      <c r="L1033" s="2"/>
      <c r="M1033" s="2"/>
      <c r="N1033" s="2"/>
      <c r="O1033" s="2"/>
      <c r="P1033" s="2"/>
      <c r="Q1033" s="2"/>
      <c r="R1033" s="2"/>
      <c r="S1033" s="2"/>
      <c r="T1033" s="2"/>
      <c r="U1033" s="2"/>
      <c r="V1033" s="2"/>
      <c r="W1033" s="2" t="str">
        <f>IFERROR(__xludf.DUMMYFUNCTION("""COMPUTED_VALUE"""),"VL103D")</f>
        <v>VL103D</v>
      </c>
      <c r="X1033" s="2"/>
      <c r="Y1033" s="2"/>
      <c r="Z1033" s="2"/>
      <c r="AA1033" s="2"/>
      <c r="AB1033" s="2"/>
    </row>
    <row r="1034">
      <c r="A1034" s="2"/>
      <c r="B1034" s="2"/>
      <c r="C1034" s="2"/>
      <c r="D1034" s="2"/>
      <c r="E1034" s="2"/>
      <c r="F1034" s="2"/>
      <c r="G1034" s="2"/>
      <c r="H1034" s="2"/>
      <c r="I1034" s="2"/>
      <c r="J1034" s="2"/>
      <c r="K1034" s="2"/>
      <c r="L1034" s="2"/>
      <c r="M1034" s="2"/>
      <c r="N1034" s="2"/>
      <c r="O1034" s="2"/>
      <c r="P1034" s="2"/>
      <c r="Q1034" s="2"/>
      <c r="R1034" s="2"/>
      <c r="S1034" s="2"/>
      <c r="T1034" s="2"/>
      <c r="U1034" s="2"/>
      <c r="V1034" s="2"/>
      <c r="W1034" s="2" t="str">
        <f>IFERROR(__xludf.DUMMYFUNCTION("""COMPUTED_VALUE"""),"VL103D")</f>
        <v>VL103D</v>
      </c>
      <c r="X1034" s="2"/>
      <c r="Y1034" s="2"/>
      <c r="Z1034" s="2"/>
      <c r="AA1034" s="2"/>
      <c r="AB1034" s="2"/>
    </row>
    <row r="1035">
      <c r="A1035" s="2"/>
      <c r="B1035" s="2"/>
      <c r="C1035" s="2"/>
      <c r="D1035" s="2"/>
      <c r="E1035" s="2"/>
      <c r="F1035" s="2"/>
      <c r="G1035" s="2"/>
      <c r="H1035" s="2"/>
      <c r="I1035" s="2"/>
      <c r="J1035" s="2"/>
      <c r="K1035" s="2"/>
      <c r="L1035" s="2"/>
      <c r="M1035" s="2"/>
      <c r="N1035" s="2"/>
      <c r="O1035" s="2"/>
      <c r="P1035" s="2"/>
      <c r="Q1035" s="2"/>
      <c r="R1035" s="2"/>
      <c r="S1035" s="2"/>
      <c r="T1035" s="2"/>
      <c r="U1035" s="2"/>
      <c r="V1035" s="2"/>
      <c r="W1035" s="2" t="str">
        <f>IFERROR(__xludf.DUMMYFUNCTION("""COMPUTED_VALUE"""),"VL103D")</f>
        <v>VL103D</v>
      </c>
      <c r="X1035" s="2"/>
      <c r="Y1035" s="2"/>
      <c r="Z1035" s="2"/>
      <c r="AA1035" s="2"/>
      <c r="AB1035" s="2"/>
    </row>
    <row r="1036">
      <c r="A1036" s="2"/>
      <c r="B1036" s="2"/>
      <c r="C1036" s="2"/>
      <c r="D1036" s="2"/>
      <c r="E1036" s="2"/>
      <c r="F1036" s="2"/>
      <c r="G1036" s="2"/>
      <c r="H1036" s="2"/>
      <c r="I1036" s="2"/>
      <c r="J1036" s="2"/>
      <c r="K1036" s="2"/>
      <c r="L1036" s="2"/>
      <c r="M1036" s="2"/>
      <c r="N1036" s="2"/>
      <c r="O1036" s="2"/>
      <c r="P1036" s="2"/>
      <c r="Q1036" s="2"/>
      <c r="R1036" s="2"/>
      <c r="S1036" s="2"/>
      <c r="T1036" s="2"/>
      <c r="U1036" s="2"/>
      <c r="V1036" s="2"/>
      <c r="W1036" s="2" t="str">
        <f>IFERROR(__xludf.DUMMYFUNCTION("""COMPUTED_VALUE"""),"VL103D")</f>
        <v>VL103D</v>
      </c>
      <c r="X1036" s="2"/>
      <c r="Y1036" s="2"/>
      <c r="Z1036" s="2"/>
      <c r="AA1036" s="2"/>
      <c r="AB1036" s="2"/>
    </row>
    <row r="1037">
      <c r="A1037" s="2"/>
      <c r="B1037" s="2"/>
      <c r="C1037" s="2"/>
      <c r="D1037" s="2"/>
      <c r="E1037" s="2"/>
      <c r="F1037" s="2"/>
      <c r="G1037" s="2"/>
      <c r="H1037" s="2"/>
      <c r="I1037" s="2"/>
      <c r="J1037" s="2"/>
      <c r="K1037" s="2"/>
      <c r="L1037" s="2"/>
      <c r="M1037" s="2"/>
      <c r="N1037" s="2"/>
      <c r="O1037" s="2"/>
      <c r="P1037" s="2"/>
      <c r="Q1037" s="2"/>
      <c r="R1037" s="2"/>
      <c r="S1037" s="2"/>
      <c r="T1037" s="2"/>
      <c r="U1037" s="2"/>
      <c r="V1037" s="2"/>
      <c r="W1037" s="2" t="str">
        <f>IFERROR(__xludf.DUMMYFUNCTION("""COMPUTED_VALUE"""),"VL103D")</f>
        <v>VL103D</v>
      </c>
      <c r="X1037" s="2"/>
      <c r="Y1037" s="2"/>
      <c r="Z1037" s="2"/>
      <c r="AA1037" s="2"/>
      <c r="AB1037" s="2"/>
    </row>
    <row r="1038">
      <c r="A1038" s="2"/>
      <c r="B1038" s="2"/>
      <c r="C1038" s="2"/>
      <c r="D1038" s="2"/>
      <c r="E1038" s="2"/>
      <c r="F1038" s="2"/>
      <c r="G1038" s="2"/>
      <c r="H1038" s="2"/>
      <c r="I1038" s="2"/>
      <c r="J1038" s="2"/>
      <c r="K1038" s="2"/>
      <c r="L1038" s="2"/>
      <c r="M1038" s="2"/>
      <c r="N1038" s="2"/>
      <c r="O1038" s="2"/>
      <c r="P1038" s="2"/>
      <c r="Q1038" s="2"/>
      <c r="R1038" s="2"/>
      <c r="S1038" s="2"/>
      <c r="T1038" s="2"/>
      <c r="U1038" s="2"/>
      <c r="V1038" s="2"/>
      <c r="W1038" s="2" t="str">
        <f>IFERROR(__xludf.DUMMYFUNCTION("""COMPUTED_VALUE"""),"VL103D")</f>
        <v>VL103D</v>
      </c>
      <c r="X1038" s="2"/>
      <c r="Y1038" s="2"/>
      <c r="Z1038" s="2"/>
      <c r="AA1038" s="2"/>
      <c r="AB1038" s="2"/>
    </row>
    <row r="1039">
      <c r="A1039" s="2"/>
      <c r="B1039" s="2"/>
      <c r="C1039" s="2"/>
      <c r="D1039" s="2"/>
      <c r="E1039" s="2"/>
      <c r="F1039" s="2"/>
      <c r="G1039" s="2"/>
      <c r="H1039" s="2"/>
      <c r="I1039" s="2"/>
      <c r="J1039" s="2"/>
      <c r="K1039" s="2"/>
      <c r="L1039" s="2"/>
      <c r="M1039" s="2"/>
      <c r="N1039" s="2"/>
      <c r="O1039" s="2"/>
      <c r="P1039" s="2"/>
      <c r="Q1039" s="2"/>
      <c r="R1039" s="2"/>
      <c r="S1039" s="2"/>
      <c r="T1039" s="2"/>
      <c r="U1039" s="2"/>
      <c r="V1039" s="2"/>
      <c r="W1039" s="2" t="str">
        <f>IFERROR(__xludf.DUMMYFUNCTION("""COMPUTED_VALUE"""),"VL103D")</f>
        <v>VL103D</v>
      </c>
      <c r="X1039" s="2"/>
      <c r="Y1039" s="2"/>
      <c r="Z1039" s="2"/>
      <c r="AA1039" s="2"/>
      <c r="AB1039" s="2"/>
    </row>
    <row r="1040">
      <c r="A1040" s="2"/>
      <c r="B1040" s="2"/>
      <c r="C1040" s="2"/>
      <c r="D1040" s="2"/>
      <c r="E1040" s="2"/>
      <c r="F1040" s="2"/>
      <c r="G1040" s="2"/>
      <c r="H1040" s="2"/>
      <c r="I1040" s="2"/>
      <c r="J1040" s="2"/>
      <c r="K1040" s="2"/>
      <c r="L1040" s="2"/>
      <c r="M1040" s="2"/>
      <c r="N1040" s="2"/>
      <c r="O1040" s="2"/>
      <c r="P1040" s="2"/>
      <c r="Q1040" s="2"/>
      <c r="R1040" s="2"/>
      <c r="S1040" s="2"/>
      <c r="T1040" s="2"/>
      <c r="U1040" s="2"/>
      <c r="V1040" s="2"/>
      <c r="W1040" s="2" t="str">
        <f>IFERROR(__xludf.DUMMYFUNCTION("""COMPUTED_VALUE"""),"VL103D")</f>
        <v>VL103D</v>
      </c>
      <c r="X1040" s="2"/>
      <c r="Y1040" s="2"/>
      <c r="Z1040" s="2"/>
      <c r="AA1040" s="2"/>
      <c r="AB1040" s="2"/>
    </row>
    <row r="1041">
      <c r="A1041" s="2"/>
      <c r="B1041" s="2"/>
      <c r="C1041" s="2"/>
      <c r="D1041" s="2"/>
      <c r="E1041" s="2"/>
      <c r="F1041" s="2"/>
      <c r="G1041" s="2"/>
      <c r="H1041" s="2"/>
      <c r="I1041" s="2"/>
      <c r="J1041" s="2"/>
      <c r="K1041" s="2"/>
      <c r="L1041" s="2"/>
      <c r="M1041" s="2"/>
      <c r="N1041" s="2"/>
      <c r="O1041" s="2"/>
      <c r="P1041" s="2"/>
      <c r="Q1041" s="2"/>
      <c r="R1041" s="2"/>
      <c r="S1041" s="2"/>
      <c r="T1041" s="2"/>
      <c r="U1041" s="2"/>
      <c r="V1041" s="2"/>
      <c r="W1041" s="2" t="str">
        <f>IFERROR(__xludf.DUMMYFUNCTION("""COMPUTED_VALUE"""),"VL103D")</f>
        <v>VL103D</v>
      </c>
      <c r="X1041" s="2"/>
      <c r="Y1041" s="2"/>
      <c r="Z1041" s="2"/>
      <c r="AA1041" s="2"/>
      <c r="AB1041" s="2"/>
    </row>
    <row r="1042">
      <c r="A1042" s="2"/>
      <c r="B1042" s="2"/>
      <c r="C1042" s="2"/>
      <c r="D1042" s="2"/>
      <c r="E1042" s="2"/>
      <c r="F1042" s="2"/>
      <c r="G1042" s="2"/>
      <c r="H1042" s="2"/>
      <c r="I1042" s="2"/>
      <c r="J1042" s="2"/>
      <c r="K1042" s="2"/>
      <c r="L1042" s="2"/>
      <c r="M1042" s="2"/>
      <c r="N1042" s="2"/>
      <c r="O1042" s="2"/>
      <c r="P1042" s="2"/>
      <c r="Q1042" s="2"/>
      <c r="R1042" s="2"/>
      <c r="S1042" s="2"/>
      <c r="T1042" s="2"/>
      <c r="U1042" s="2"/>
      <c r="V1042" s="2"/>
      <c r="W1042" s="2" t="str">
        <f>IFERROR(__xludf.DUMMYFUNCTION("""COMPUTED_VALUE"""),"VL103D")</f>
        <v>VL103D</v>
      </c>
      <c r="X1042" s="2"/>
      <c r="Y1042" s="2"/>
      <c r="Z1042" s="2"/>
      <c r="AA1042" s="2"/>
      <c r="AB1042" s="2"/>
    </row>
    <row r="1043">
      <c r="A1043" s="2"/>
      <c r="B1043" s="2"/>
      <c r="C1043" s="2"/>
      <c r="D1043" s="2"/>
      <c r="E1043" s="2"/>
      <c r="F1043" s="2"/>
      <c r="G1043" s="2"/>
      <c r="H1043" s="2"/>
      <c r="I1043" s="2"/>
      <c r="J1043" s="2"/>
      <c r="K1043" s="2"/>
      <c r="L1043" s="2"/>
      <c r="M1043" s="2"/>
      <c r="N1043" s="2"/>
      <c r="O1043" s="2"/>
      <c r="P1043" s="2"/>
      <c r="Q1043" s="2"/>
      <c r="R1043" s="2"/>
      <c r="S1043" s="2"/>
      <c r="T1043" s="2"/>
      <c r="U1043" s="2"/>
      <c r="V1043" s="2"/>
      <c r="W1043" s="2" t="str">
        <f>IFERROR(__xludf.DUMMYFUNCTION("""COMPUTED_VALUE"""),"VL103D")</f>
        <v>VL103D</v>
      </c>
      <c r="X1043" s="2"/>
      <c r="Y1043" s="2"/>
      <c r="Z1043" s="2"/>
      <c r="AA1043" s="2"/>
      <c r="AB1043" s="2"/>
    </row>
    <row r="1044">
      <c r="A1044" s="2"/>
      <c r="B1044" s="2"/>
      <c r="C1044" s="2"/>
      <c r="D1044" s="2"/>
      <c r="E1044" s="2"/>
      <c r="F1044" s="2"/>
      <c r="G1044" s="2"/>
      <c r="H1044" s="2"/>
      <c r="I1044" s="2"/>
      <c r="J1044" s="2"/>
      <c r="K1044" s="2"/>
      <c r="L1044" s="2"/>
      <c r="M1044" s="2"/>
      <c r="N1044" s="2"/>
      <c r="O1044" s="2"/>
      <c r="P1044" s="2"/>
      <c r="Q1044" s="2"/>
      <c r="R1044" s="2"/>
      <c r="S1044" s="2"/>
      <c r="T1044" s="2"/>
      <c r="U1044" s="2"/>
      <c r="V1044" s="2"/>
      <c r="W1044" s="2" t="str">
        <f>IFERROR(__xludf.DUMMYFUNCTION("""COMPUTED_VALUE"""),"VL103D")</f>
        <v>VL103D</v>
      </c>
      <c r="X1044" s="2"/>
      <c r="Y1044" s="2"/>
      <c r="Z1044" s="2"/>
      <c r="AA1044" s="2"/>
      <c r="AB1044" s="2"/>
    </row>
    <row r="1045">
      <c r="A1045" s="2"/>
      <c r="B1045" s="2"/>
      <c r="C1045" s="2"/>
      <c r="D1045" s="2"/>
      <c r="E1045" s="2"/>
      <c r="F1045" s="2"/>
      <c r="G1045" s="2"/>
      <c r="H1045" s="2"/>
      <c r="I1045" s="2"/>
      <c r="J1045" s="2"/>
      <c r="K1045" s="2"/>
      <c r="L1045" s="2"/>
      <c r="M1045" s="2"/>
      <c r="N1045" s="2"/>
      <c r="O1045" s="2"/>
      <c r="P1045" s="2"/>
      <c r="Q1045" s="2"/>
      <c r="R1045" s="2"/>
      <c r="S1045" s="2"/>
      <c r="T1045" s="2"/>
      <c r="U1045" s="2"/>
      <c r="V1045" s="2"/>
      <c r="W1045" s="2" t="str">
        <f>IFERROR(__xludf.DUMMYFUNCTION("""COMPUTED_VALUE"""),"VL103D")</f>
        <v>VL103D</v>
      </c>
      <c r="X1045" s="2"/>
      <c r="Y1045" s="2"/>
      <c r="Z1045" s="2"/>
      <c r="AA1045" s="2"/>
      <c r="AB1045" s="2"/>
    </row>
    <row r="1046">
      <c r="A1046" s="2"/>
      <c r="B1046" s="2"/>
      <c r="C1046" s="2"/>
      <c r="D1046" s="2"/>
      <c r="E1046" s="2"/>
      <c r="F1046" s="2"/>
      <c r="G1046" s="2"/>
      <c r="H1046" s="2"/>
      <c r="I1046" s="2"/>
      <c r="J1046" s="2"/>
      <c r="K1046" s="2"/>
      <c r="L1046" s="2"/>
      <c r="M1046" s="2"/>
      <c r="N1046" s="2"/>
      <c r="O1046" s="2"/>
      <c r="P1046" s="2"/>
      <c r="Q1046" s="2"/>
      <c r="R1046" s="2"/>
      <c r="S1046" s="2"/>
      <c r="T1046" s="2"/>
      <c r="U1046" s="2"/>
      <c r="V1046" s="2"/>
      <c r="W1046" s="2" t="str">
        <f>IFERROR(__xludf.DUMMYFUNCTION("""COMPUTED_VALUE"""),"VL103D")</f>
        <v>VL103D</v>
      </c>
      <c r="X1046" s="2"/>
      <c r="Y1046" s="2"/>
      <c r="Z1046" s="2"/>
      <c r="AA1046" s="2"/>
      <c r="AB1046" s="2"/>
    </row>
    <row r="1047">
      <c r="A1047" s="2"/>
      <c r="B1047" s="2"/>
      <c r="C1047" s="2"/>
      <c r="D1047" s="2"/>
      <c r="E1047" s="2"/>
      <c r="F1047" s="2"/>
      <c r="G1047" s="2"/>
      <c r="H1047" s="2"/>
      <c r="I1047" s="2"/>
      <c r="J1047" s="2"/>
      <c r="K1047" s="2"/>
      <c r="L1047" s="2"/>
      <c r="M1047" s="2"/>
      <c r="N1047" s="2"/>
      <c r="O1047" s="2"/>
      <c r="P1047" s="2"/>
      <c r="Q1047" s="2"/>
      <c r="R1047" s="2"/>
      <c r="S1047" s="2"/>
      <c r="T1047" s="2"/>
      <c r="U1047" s="2"/>
      <c r="V1047" s="2"/>
      <c r="W1047" s="2" t="str">
        <f>IFERROR(__xludf.DUMMYFUNCTION("""COMPUTED_VALUE"""),"VL103D")</f>
        <v>VL103D</v>
      </c>
      <c r="X1047" s="2"/>
      <c r="Y1047" s="2"/>
      <c r="Z1047" s="2"/>
      <c r="AA1047" s="2"/>
      <c r="AB1047" s="2"/>
    </row>
    <row r="1048">
      <c r="A1048" s="2"/>
      <c r="B1048" s="2"/>
      <c r="C1048" s="2"/>
      <c r="D1048" s="2"/>
      <c r="E1048" s="2"/>
      <c r="F1048" s="2"/>
      <c r="G1048" s="2"/>
      <c r="H1048" s="2"/>
      <c r="I1048" s="2"/>
      <c r="J1048" s="2"/>
      <c r="K1048" s="2"/>
      <c r="L1048" s="2"/>
      <c r="M1048" s="2"/>
      <c r="N1048" s="2"/>
      <c r="O1048" s="2"/>
      <c r="P1048" s="2"/>
      <c r="Q1048" s="2"/>
      <c r="R1048" s="2"/>
      <c r="S1048" s="2"/>
      <c r="T1048" s="2"/>
      <c r="U1048" s="2"/>
      <c r="V1048" s="2"/>
      <c r="W1048" s="2" t="str">
        <f>IFERROR(__xludf.DUMMYFUNCTION("""COMPUTED_VALUE"""),"VL103D")</f>
        <v>VL103D</v>
      </c>
      <c r="X1048" s="2"/>
      <c r="Y1048" s="2"/>
      <c r="Z1048" s="2"/>
      <c r="AA1048" s="2"/>
      <c r="AB1048" s="2"/>
    </row>
    <row r="1049">
      <c r="A1049" s="2"/>
      <c r="B1049" s="2"/>
      <c r="C1049" s="2"/>
      <c r="D1049" s="2"/>
      <c r="E1049" s="2"/>
      <c r="F1049" s="2"/>
      <c r="G1049" s="2"/>
      <c r="H1049" s="2"/>
      <c r="I1049" s="2"/>
      <c r="J1049" s="2"/>
      <c r="K1049" s="2"/>
      <c r="L1049" s="2"/>
      <c r="M1049" s="2"/>
      <c r="N1049" s="2"/>
      <c r="O1049" s="2"/>
      <c r="P1049" s="2"/>
      <c r="Q1049" s="2"/>
      <c r="R1049" s="2"/>
      <c r="S1049" s="2"/>
      <c r="T1049" s="2"/>
      <c r="U1049" s="2"/>
      <c r="V1049" s="2"/>
      <c r="W1049" s="2" t="str">
        <f>IFERROR(__xludf.DUMMYFUNCTION("""COMPUTED_VALUE"""),"VL103D")</f>
        <v>VL103D</v>
      </c>
      <c r="X1049" s="2"/>
      <c r="Y1049" s="2"/>
      <c r="Z1049" s="2"/>
      <c r="AA1049" s="2"/>
      <c r="AB1049" s="2"/>
    </row>
    <row r="1050">
      <c r="A1050" s="2"/>
      <c r="B1050" s="2"/>
      <c r="C1050" s="2"/>
      <c r="D1050" s="2"/>
      <c r="E1050" s="2"/>
      <c r="F1050" s="2"/>
      <c r="G1050" s="2"/>
      <c r="H1050" s="2"/>
      <c r="I1050" s="2"/>
      <c r="J1050" s="2"/>
      <c r="K1050" s="2"/>
      <c r="L1050" s="2"/>
      <c r="M1050" s="2"/>
      <c r="N1050" s="2"/>
      <c r="O1050" s="2"/>
      <c r="P1050" s="2"/>
      <c r="Q1050" s="2"/>
      <c r="R1050" s="2"/>
      <c r="S1050" s="2"/>
      <c r="T1050" s="2"/>
      <c r="U1050" s="2"/>
      <c r="V1050" s="2"/>
      <c r="W1050" s="2" t="str">
        <f>IFERROR(__xludf.DUMMYFUNCTION("""COMPUTED_VALUE"""),"VL103D")</f>
        <v>VL103D</v>
      </c>
      <c r="X1050" s="2"/>
      <c r="Y1050" s="2"/>
      <c r="Z1050" s="2"/>
      <c r="AA1050" s="2"/>
      <c r="AB1050" s="2"/>
    </row>
    <row r="1051">
      <c r="A1051" s="2"/>
      <c r="B1051" s="2"/>
      <c r="C1051" s="2"/>
      <c r="D1051" s="2"/>
      <c r="E1051" s="2"/>
      <c r="F1051" s="2"/>
      <c r="G1051" s="2"/>
      <c r="H1051" s="2"/>
      <c r="I1051" s="2"/>
      <c r="J1051" s="2"/>
      <c r="K1051" s="2"/>
      <c r="L1051" s="2"/>
      <c r="M1051" s="2"/>
      <c r="N1051" s="2"/>
      <c r="O1051" s="2"/>
      <c r="P1051" s="2"/>
      <c r="Q1051" s="2"/>
      <c r="R1051" s="2"/>
      <c r="S1051" s="2"/>
      <c r="T1051" s="2"/>
      <c r="U1051" s="2"/>
      <c r="V1051" s="2"/>
      <c r="W1051" s="2" t="str">
        <f>IFERROR(__xludf.DUMMYFUNCTION("""COMPUTED_VALUE"""),"VL103D")</f>
        <v>VL103D</v>
      </c>
      <c r="X1051" s="2"/>
      <c r="Y1051" s="2"/>
      <c r="Z1051" s="2"/>
      <c r="AA1051" s="2"/>
      <c r="AB1051" s="2"/>
    </row>
    <row r="1052">
      <c r="A1052" s="2"/>
      <c r="B1052" s="2"/>
      <c r="C1052" s="2"/>
      <c r="D1052" s="2"/>
      <c r="E1052" s="2"/>
      <c r="F1052" s="2"/>
      <c r="G1052" s="2"/>
      <c r="H1052" s="2"/>
      <c r="I1052" s="2"/>
      <c r="J1052" s="2"/>
      <c r="K1052" s="2"/>
      <c r="L1052" s="2"/>
      <c r="M1052" s="2"/>
      <c r="N1052" s="2"/>
      <c r="O1052" s="2"/>
      <c r="P1052" s="2"/>
      <c r="Q1052" s="2"/>
      <c r="R1052" s="2"/>
      <c r="S1052" s="2"/>
      <c r="T1052" s="2"/>
      <c r="U1052" s="2"/>
      <c r="V1052" s="2"/>
      <c r="W1052" s="2" t="str">
        <f>IFERROR(__xludf.DUMMYFUNCTION("""COMPUTED_VALUE"""),"VL103D")</f>
        <v>VL103D</v>
      </c>
      <c r="X1052" s="2"/>
      <c r="Y1052" s="2"/>
      <c r="Z1052" s="2"/>
      <c r="AA1052" s="2"/>
      <c r="AB1052" s="2"/>
    </row>
    <row r="1053">
      <c r="A1053" s="2"/>
      <c r="B1053" s="2"/>
      <c r="C1053" s="2"/>
      <c r="D1053" s="2"/>
      <c r="E1053" s="2"/>
      <c r="F1053" s="2"/>
      <c r="G1053" s="2"/>
      <c r="H1053" s="2"/>
      <c r="I1053" s="2"/>
      <c r="J1053" s="2"/>
      <c r="K1053" s="2"/>
      <c r="L1053" s="2"/>
      <c r="M1053" s="2"/>
      <c r="N1053" s="2"/>
      <c r="O1053" s="2"/>
      <c r="P1053" s="2"/>
      <c r="Q1053" s="2"/>
      <c r="R1053" s="2"/>
      <c r="S1053" s="2"/>
      <c r="T1053" s="2"/>
      <c r="U1053" s="2"/>
      <c r="V1053" s="2"/>
      <c r="W1053" s="2" t="str">
        <f>IFERROR(__xludf.DUMMYFUNCTION("""COMPUTED_VALUE"""),"VL103D")</f>
        <v>VL103D</v>
      </c>
      <c r="X1053" s="2"/>
      <c r="Y1053" s="2"/>
      <c r="Z1053" s="2"/>
      <c r="AA1053" s="2"/>
      <c r="AB1053" s="2"/>
    </row>
    <row r="1054">
      <c r="A1054" s="2"/>
      <c r="B1054" s="2"/>
      <c r="C1054" s="2"/>
      <c r="D1054" s="2"/>
      <c r="E1054" s="2"/>
      <c r="F1054" s="2"/>
      <c r="G1054" s="2"/>
      <c r="H1054" s="2"/>
      <c r="I1054" s="2"/>
      <c r="J1054" s="2"/>
      <c r="K1054" s="2"/>
      <c r="L1054" s="2"/>
      <c r="M1054" s="2"/>
      <c r="N1054" s="2"/>
      <c r="O1054" s="2"/>
      <c r="P1054" s="2"/>
      <c r="Q1054" s="2"/>
      <c r="R1054" s="2"/>
      <c r="S1054" s="2"/>
      <c r="T1054" s="2"/>
      <c r="U1054" s="2"/>
      <c r="V1054" s="2"/>
      <c r="W1054" s="2" t="str">
        <f>IFERROR(__xludf.DUMMYFUNCTION("""COMPUTED_VALUE"""),"VL103D")</f>
        <v>VL103D</v>
      </c>
      <c r="X1054" s="2"/>
      <c r="Y1054" s="2"/>
      <c r="Z1054" s="2"/>
      <c r="AA1054" s="2"/>
      <c r="AB1054" s="2"/>
    </row>
    <row r="1055">
      <c r="A1055" s="2"/>
      <c r="B1055" s="2"/>
      <c r="C1055" s="2"/>
      <c r="D1055" s="2"/>
      <c r="E1055" s="2"/>
      <c r="F1055" s="2"/>
      <c r="G1055" s="2"/>
      <c r="H1055" s="2"/>
      <c r="I1055" s="2"/>
      <c r="J1055" s="2"/>
      <c r="K1055" s="2"/>
      <c r="L1055" s="2"/>
      <c r="M1055" s="2"/>
      <c r="N1055" s="2"/>
      <c r="O1055" s="2"/>
      <c r="P1055" s="2"/>
      <c r="Q1055" s="2"/>
      <c r="R1055" s="2"/>
      <c r="S1055" s="2"/>
      <c r="T1055" s="2"/>
      <c r="U1055" s="2"/>
      <c r="V1055" s="2"/>
      <c r="W1055" s="2" t="str">
        <f>IFERROR(__xludf.DUMMYFUNCTION("""COMPUTED_VALUE"""),"VL103D")</f>
        <v>VL103D</v>
      </c>
      <c r="X1055" s="2"/>
      <c r="Y1055" s="2"/>
      <c r="Z1055" s="2"/>
      <c r="AA1055" s="2"/>
      <c r="AB1055" s="2"/>
    </row>
    <row r="1056">
      <c r="A1056" s="2"/>
      <c r="B1056" s="2"/>
      <c r="C1056" s="2"/>
      <c r="D1056" s="2"/>
      <c r="E1056" s="2"/>
      <c r="F1056" s="2"/>
      <c r="G1056" s="2"/>
      <c r="H1056" s="2"/>
      <c r="I1056" s="2"/>
      <c r="J1056" s="2"/>
      <c r="K1056" s="2"/>
      <c r="L1056" s="2"/>
      <c r="M1056" s="2"/>
      <c r="N1056" s="2"/>
      <c r="O1056" s="2"/>
      <c r="P1056" s="2"/>
      <c r="Q1056" s="2"/>
      <c r="R1056" s="2"/>
      <c r="S1056" s="2"/>
      <c r="T1056" s="2"/>
      <c r="U1056" s="2"/>
      <c r="V1056" s="2"/>
      <c r="W1056" s="2" t="str">
        <f>IFERROR(__xludf.DUMMYFUNCTION("""COMPUTED_VALUE"""),"VL103D")</f>
        <v>VL103D</v>
      </c>
      <c r="X1056" s="2"/>
      <c r="Y1056" s="2"/>
      <c r="Z1056" s="2"/>
      <c r="AA1056" s="2"/>
      <c r="AB1056" s="2"/>
    </row>
    <row r="1057">
      <c r="A1057" s="2"/>
      <c r="B1057" s="2"/>
      <c r="C1057" s="2"/>
      <c r="D1057" s="2"/>
      <c r="E1057" s="2"/>
      <c r="F1057" s="2"/>
      <c r="G1057" s="2"/>
      <c r="H1057" s="2"/>
      <c r="I1057" s="2"/>
      <c r="J1057" s="2"/>
      <c r="K1057" s="2"/>
      <c r="L1057" s="2"/>
      <c r="M1057" s="2"/>
      <c r="N1057" s="2"/>
      <c r="O1057" s="2"/>
      <c r="P1057" s="2"/>
      <c r="Q1057" s="2"/>
      <c r="R1057" s="2"/>
      <c r="S1057" s="2"/>
      <c r="T1057" s="2"/>
      <c r="U1057" s="2"/>
      <c r="V1057" s="2"/>
      <c r="W1057" s="2" t="str">
        <f>IFERROR(__xludf.DUMMYFUNCTION("""COMPUTED_VALUE"""),"VL103D")</f>
        <v>VL103D</v>
      </c>
      <c r="X1057" s="2"/>
      <c r="Y1057" s="2"/>
      <c r="Z1057" s="2"/>
      <c r="AA1057" s="2"/>
      <c r="AB1057" s="2"/>
    </row>
    <row r="1058">
      <c r="A1058" s="2"/>
      <c r="B1058" s="2"/>
      <c r="C1058" s="2"/>
      <c r="D1058" s="2"/>
      <c r="E1058" s="2"/>
      <c r="F1058" s="2"/>
      <c r="G1058" s="2"/>
      <c r="H1058" s="2"/>
      <c r="I1058" s="2"/>
      <c r="J1058" s="2"/>
      <c r="K1058" s="2"/>
      <c r="L1058" s="2"/>
      <c r="M1058" s="2"/>
      <c r="N1058" s="2"/>
      <c r="O1058" s="2"/>
      <c r="P1058" s="2"/>
      <c r="Q1058" s="2"/>
      <c r="R1058" s="2"/>
      <c r="S1058" s="2"/>
      <c r="T1058" s="2"/>
      <c r="U1058" s="2"/>
      <c r="V1058" s="2"/>
      <c r="W1058" s="2" t="str">
        <f>IFERROR(__xludf.DUMMYFUNCTION("""COMPUTED_VALUE"""),"VL103D")</f>
        <v>VL103D</v>
      </c>
      <c r="X1058" s="2"/>
      <c r="Y1058" s="2"/>
      <c r="Z1058" s="2"/>
      <c r="AA1058" s="2"/>
      <c r="AB1058" s="2"/>
    </row>
    <row r="1059">
      <c r="A1059" s="2"/>
      <c r="B1059" s="2"/>
      <c r="C1059" s="2"/>
      <c r="D1059" s="2"/>
      <c r="E1059" s="2"/>
      <c r="F1059" s="2"/>
      <c r="G1059" s="2"/>
      <c r="H1059" s="2"/>
      <c r="I1059" s="2"/>
      <c r="J1059" s="2"/>
      <c r="K1059" s="2"/>
      <c r="L1059" s="2"/>
      <c r="M1059" s="2"/>
      <c r="N1059" s="2"/>
      <c r="O1059" s="2"/>
      <c r="P1059" s="2"/>
      <c r="Q1059" s="2"/>
      <c r="R1059" s="2"/>
      <c r="S1059" s="2"/>
      <c r="T1059" s="2"/>
      <c r="U1059" s="2"/>
      <c r="V1059" s="2"/>
      <c r="W1059" s="2" t="str">
        <f>IFERROR(__xludf.DUMMYFUNCTION("""COMPUTED_VALUE"""),"VL103D")</f>
        <v>VL103D</v>
      </c>
      <c r="X1059" s="2"/>
      <c r="Y1059" s="2"/>
      <c r="Z1059" s="2"/>
      <c r="AA1059" s="2"/>
      <c r="AB1059" s="2"/>
    </row>
    <row r="1060">
      <c r="A1060" s="2"/>
      <c r="B1060" s="2"/>
      <c r="C1060" s="2"/>
      <c r="D1060" s="2"/>
      <c r="E1060" s="2"/>
      <c r="F1060" s="2"/>
      <c r="G1060" s="2"/>
      <c r="H1060" s="2"/>
      <c r="I1060" s="2"/>
      <c r="J1060" s="2"/>
      <c r="K1060" s="2"/>
      <c r="L1060" s="2"/>
      <c r="M1060" s="2"/>
      <c r="N1060" s="2"/>
      <c r="O1060" s="2"/>
      <c r="P1060" s="2"/>
      <c r="Q1060" s="2"/>
      <c r="R1060" s="2"/>
      <c r="S1060" s="2"/>
      <c r="T1060" s="2"/>
      <c r="U1060" s="2"/>
      <c r="V1060" s="2"/>
      <c r="W1060" s="2" t="str">
        <f>IFERROR(__xludf.DUMMYFUNCTION("""COMPUTED_VALUE"""),"VL103D")</f>
        <v>VL103D</v>
      </c>
      <c r="X1060" s="2"/>
      <c r="Y1060" s="2"/>
      <c r="Z1060" s="2"/>
      <c r="AA1060" s="2"/>
      <c r="AB1060" s="2"/>
    </row>
    <row r="1061">
      <c r="A1061" s="2"/>
      <c r="B1061" s="2"/>
      <c r="C1061" s="2"/>
      <c r="D1061" s="2"/>
      <c r="E1061" s="2"/>
      <c r="F1061" s="2"/>
      <c r="G1061" s="2"/>
      <c r="H1061" s="2"/>
      <c r="I1061" s="2"/>
      <c r="J1061" s="2"/>
      <c r="K1061" s="2"/>
      <c r="L1061" s="2"/>
      <c r="M1061" s="2"/>
      <c r="N1061" s="2"/>
      <c r="O1061" s="2"/>
      <c r="P1061" s="2"/>
      <c r="Q1061" s="2"/>
      <c r="R1061" s="2"/>
      <c r="S1061" s="2"/>
      <c r="T1061" s="2"/>
      <c r="U1061" s="2"/>
      <c r="V1061" s="2"/>
      <c r="W1061" s="2" t="str">
        <f>IFERROR(__xludf.DUMMYFUNCTION("""COMPUTED_VALUE"""),"VL103D")</f>
        <v>VL103D</v>
      </c>
      <c r="X1061" s="2"/>
      <c r="Y1061" s="2"/>
      <c r="Z1061" s="2"/>
      <c r="AA1061" s="2"/>
      <c r="AB1061" s="2"/>
    </row>
    <row r="1062">
      <c r="A1062" s="2"/>
      <c r="B1062" s="2"/>
      <c r="C1062" s="2"/>
      <c r="D1062" s="2"/>
      <c r="E1062" s="2"/>
      <c r="F1062" s="2"/>
      <c r="G1062" s="2"/>
      <c r="H1062" s="2"/>
      <c r="I1062" s="2"/>
      <c r="J1062" s="2"/>
      <c r="K1062" s="2"/>
      <c r="L1062" s="2"/>
      <c r="M1062" s="2"/>
      <c r="N1062" s="2"/>
      <c r="O1062" s="2"/>
      <c r="P1062" s="2"/>
      <c r="Q1062" s="2"/>
      <c r="R1062" s="2"/>
      <c r="S1062" s="2"/>
      <c r="T1062" s="2"/>
      <c r="U1062" s="2"/>
      <c r="V1062" s="2"/>
      <c r="W1062" s="2" t="str">
        <f>IFERROR(__xludf.DUMMYFUNCTION("""COMPUTED_VALUE"""),"VL103D")</f>
        <v>VL103D</v>
      </c>
      <c r="X1062" s="2"/>
      <c r="Y1062" s="2"/>
      <c r="Z1062" s="2"/>
      <c r="AA1062" s="2"/>
      <c r="AB1062" s="2"/>
    </row>
    <row r="1063">
      <c r="A1063" s="2"/>
      <c r="B1063" s="2"/>
      <c r="C1063" s="2"/>
      <c r="D1063" s="2"/>
      <c r="E1063" s="2"/>
      <c r="F1063" s="2"/>
      <c r="G1063" s="2"/>
      <c r="H1063" s="2"/>
      <c r="I1063" s="2"/>
      <c r="J1063" s="2"/>
      <c r="K1063" s="2"/>
      <c r="L1063" s="2"/>
      <c r="M1063" s="2"/>
      <c r="N1063" s="2"/>
      <c r="O1063" s="2"/>
      <c r="P1063" s="2"/>
      <c r="Q1063" s="2"/>
      <c r="R1063" s="2"/>
      <c r="S1063" s="2"/>
      <c r="T1063" s="2"/>
      <c r="U1063" s="2"/>
      <c r="V1063" s="2"/>
      <c r="W1063" s="2" t="str">
        <f>IFERROR(__xludf.DUMMYFUNCTION("""COMPUTED_VALUE"""),"VL103D")</f>
        <v>VL103D</v>
      </c>
      <c r="X1063" s="2"/>
      <c r="Y1063" s="2"/>
      <c r="Z1063" s="2"/>
      <c r="AA1063" s="2"/>
      <c r="AB1063" s="2"/>
    </row>
    <row r="1064">
      <c r="A1064" s="2"/>
      <c r="B1064" s="2"/>
      <c r="C1064" s="2"/>
      <c r="D1064" s="2"/>
      <c r="E1064" s="2"/>
      <c r="F1064" s="2"/>
      <c r="G1064" s="2"/>
      <c r="H1064" s="2"/>
      <c r="I1064" s="2"/>
      <c r="J1064" s="2"/>
      <c r="K1064" s="2"/>
      <c r="L1064" s="2"/>
      <c r="M1064" s="2"/>
      <c r="N1064" s="2"/>
      <c r="O1064" s="2"/>
      <c r="P1064" s="2"/>
      <c r="Q1064" s="2"/>
      <c r="R1064" s="2"/>
      <c r="S1064" s="2"/>
      <c r="T1064" s="2"/>
      <c r="U1064" s="2"/>
      <c r="V1064" s="2"/>
      <c r="W1064" s="2" t="str">
        <f>IFERROR(__xludf.DUMMYFUNCTION("""COMPUTED_VALUE"""),"VL103D")</f>
        <v>VL103D</v>
      </c>
      <c r="X1064" s="2"/>
      <c r="Y1064" s="2"/>
      <c r="Z1064" s="2"/>
      <c r="AA1064" s="2"/>
      <c r="AB1064" s="2"/>
    </row>
    <row r="1065">
      <c r="A1065" s="2"/>
      <c r="B1065" s="2"/>
      <c r="C1065" s="2"/>
      <c r="D1065" s="2"/>
      <c r="E1065" s="2"/>
      <c r="F1065" s="2"/>
      <c r="G1065" s="2"/>
      <c r="H1065" s="2"/>
      <c r="I1065" s="2"/>
      <c r="J1065" s="2"/>
      <c r="K1065" s="2"/>
      <c r="L1065" s="2"/>
      <c r="M1065" s="2"/>
      <c r="N1065" s="2"/>
      <c r="O1065" s="2"/>
      <c r="P1065" s="2"/>
      <c r="Q1065" s="2"/>
      <c r="R1065" s="2"/>
      <c r="S1065" s="2"/>
      <c r="T1065" s="2"/>
      <c r="U1065" s="2"/>
      <c r="V1065" s="2"/>
      <c r="W1065" s="2" t="str">
        <f>IFERROR(__xludf.DUMMYFUNCTION("""COMPUTED_VALUE"""),"VL103D")</f>
        <v>VL103D</v>
      </c>
      <c r="X1065" s="2"/>
      <c r="Y1065" s="2"/>
      <c r="Z1065" s="2"/>
      <c r="AA1065" s="2"/>
      <c r="AB1065" s="2"/>
    </row>
    <row r="1066">
      <c r="A1066" s="2"/>
      <c r="B1066" s="2"/>
      <c r="C1066" s="2"/>
      <c r="D1066" s="2"/>
      <c r="E1066" s="2"/>
      <c r="F1066" s="2"/>
      <c r="G1066" s="2"/>
      <c r="H1066" s="2"/>
      <c r="I1066" s="2"/>
      <c r="J1066" s="2"/>
      <c r="K1066" s="2"/>
      <c r="L1066" s="2"/>
      <c r="M1066" s="2"/>
      <c r="N1066" s="2"/>
      <c r="O1066" s="2"/>
      <c r="P1066" s="2"/>
      <c r="Q1066" s="2"/>
      <c r="R1066" s="2"/>
      <c r="S1066" s="2"/>
      <c r="T1066" s="2"/>
      <c r="U1066" s="2"/>
      <c r="V1066" s="2"/>
      <c r="W1066" s="2" t="str">
        <f>IFERROR(__xludf.DUMMYFUNCTION("""COMPUTED_VALUE"""),"VL103D")</f>
        <v>VL103D</v>
      </c>
      <c r="X1066" s="2"/>
      <c r="Y1066" s="2"/>
      <c r="Z1066" s="2"/>
      <c r="AA1066" s="2"/>
      <c r="AB1066" s="2"/>
    </row>
    <row r="1067">
      <c r="A1067" s="2"/>
      <c r="B1067" s="2"/>
      <c r="C1067" s="2"/>
      <c r="D1067" s="2"/>
      <c r="E1067" s="2"/>
      <c r="F1067" s="2"/>
      <c r="G1067" s="2"/>
      <c r="H1067" s="2"/>
      <c r="I1067" s="2"/>
      <c r="J1067" s="2"/>
      <c r="K1067" s="2"/>
      <c r="L1067" s="2"/>
      <c r="M1067" s="2"/>
      <c r="N1067" s="2"/>
      <c r="O1067" s="2"/>
      <c r="P1067" s="2"/>
      <c r="Q1067" s="2"/>
      <c r="R1067" s="2"/>
      <c r="S1067" s="2"/>
      <c r="T1067" s="2"/>
      <c r="U1067" s="2"/>
      <c r="V1067" s="2"/>
      <c r="W1067" s="2" t="str">
        <f>IFERROR(__xludf.DUMMYFUNCTION("""COMPUTED_VALUE"""),"VL103D")</f>
        <v>VL103D</v>
      </c>
      <c r="X1067" s="2"/>
      <c r="Y1067" s="2"/>
      <c r="Z1067" s="2"/>
      <c r="AA1067" s="2"/>
      <c r="AB1067" s="2"/>
    </row>
    <row r="1068">
      <c r="A1068" s="2"/>
      <c r="B1068" s="2"/>
      <c r="C1068" s="2"/>
      <c r="D1068" s="2"/>
      <c r="E1068" s="2"/>
      <c r="F1068" s="2"/>
      <c r="G1068" s="2"/>
      <c r="H1068" s="2"/>
      <c r="I1068" s="2"/>
      <c r="J1068" s="2"/>
      <c r="K1068" s="2"/>
      <c r="L1068" s="2"/>
      <c r="M1068" s="2"/>
      <c r="N1068" s="2"/>
      <c r="O1068" s="2"/>
      <c r="P1068" s="2"/>
      <c r="Q1068" s="2"/>
      <c r="R1068" s="2"/>
      <c r="S1068" s="2"/>
      <c r="T1068" s="2"/>
      <c r="U1068" s="2"/>
      <c r="V1068" s="2"/>
      <c r="W1068" s="2" t="str">
        <f>IFERROR(__xludf.DUMMYFUNCTION("""COMPUTED_VALUE"""),"VL103D")</f>
        <v>VL103D</v>
      </c>
      <c r="X1068" s="2"/>
      <c r="Y1068" s="2"/>
      <c r="Z1068" s="2"/>
      <c r="AA1068" s="2"/>
      <c r="AB1068" s="2"/>
    </row>
    <row r="1069">
      <c r="A1069" s="2"/>
      <c r="B1069" s="2"/>
      <c r="C1069" s="2"/>
      <c r="D1069" s="2"/>
      <c r="E1069" s="2"/>
      <c r="F1069" s="2"/>
      <c r="G1069" s="2"/>
      <c r="H1069" s="2"/>
      <c r="I1069" s="2"/>
      <c r="J1069" s="2"/>
      <c r="K1069" s="2"/>
      <c r="L1069" s="2"/>
      <c r="M1069" s="2"/>
      <c r="N1069" s="2"/>
      <c r="O1069" s="2"/>
      <c r="P1069" s="2"/>
      <c r="Q1069" s="2"/>
      <c r="R1069" s="2"/>
      <c r="S1069" s="2"/>
      <c r="T1069" s="2"/>
      <c r="U1069" s="2"/>
      <c r="V1069" s="2"/>
      <c r="W1069" s="2" t="str">
        <f>IFERROR(__xludf.DUMMYFUNCTION("""COMPUTED_VALUE"""),"VL103D")</f>
        <v>VL103D</v>
      </c>
      <c r="X1069" s="2"/>
      <c r="Y1069" s="2"/>
      <c r="Z1069" s="2"/>
      <c r="AA1069" s="2"/>
      <c r="AB1069" s="2"/>
    </row>
    <row r="1070">
      <c r="A1070" s="2"/>
      <c r="B1070" s="2"/>
      <c r="C1070" s="2"/>
      <c r="D1070" s="2"/>
      <c r="E1070" s="2"/>
      <c r="F1070" s="2"/>
      <c r="G1070" s="2"/>
      <c r="H1070" s="2"/>
      <c r="I1070" s="2"/>
      <c r="J1070" s="2"/>
      <c r="K1070" s="2"/>
      <c r="L1070" s="2"/>
      <c r="M1070" s="2"/>
      <c r="N1070" s="2"/>
      <c r="O1070" s="2"/>
      <c r="P1070" s="2"/>
      <c r="Q1070" s="2"/>
      <c r="R1070" s="2"/>
      <c r="S1070" s="2"/>
      <c r="T1070" s="2"/>
      <c r="U1070" s="2"/>
      <c r="V1070" s="2"/>
      <c r="W1070" s="2" t="str">
        <f>IFERROR(__xludf.DUMMYFUNCTION("""COMPUTED_VALUE"""),"VL103D")</f>
        <v>VL103D</v>
      </c>
      <c r="X1070" s="2"/>
      <c r="Y1070" s="2"/>
      <c r="Z1070" s="2"/>
      <c r="AA1070" s="2"/>
      <c r="AB1070" s="2"/>
    </row>
    <row r="1071">
      <c r="A1071" s="2"/>
      <c r="B1071" s="2"/>
      <c r="C1071" s="2"/>
      <c r="D1071" s="2"/>
      <c r="E1071" s="2"/>
      <c r="F1071" s="2"/>
      <c r="G1071" s="2"/>
      <c r="H1071" s="2"/>
      <c r="I1071" s="2"/>
      <c r="J1071" s="2"/>
      <c r="K1071" s="2"/>
      <c r="L1071" s="2"/>
      <c r="M1071" s="2"/>
      <c r="N1071" s="2"/>
      <c r="O1071" s="2"/>
      <c r="P1071" s="2"/>
      <c r="Q1071" s="2"/>
      <c r="R1071" s="2"/>
      <c r="S1071" s="2"/>
      <c r="T1071" s="2"/>
      <c r="U1071" s="2"/>
      <c r="V1071" s="2"/>
      <c r="W1071" s="2" t="str">
        <f>IFERROR(__xludf.DUMMYFUNCTION("""COMPUTED_VALUE"""),"VL103D")</f>
        <v>VL103D</v>
      </c>
      <c r="X1071" s="2"/>
      <c r="Y1071" s="2"/>
      <c r="Z1071" s="2"/>
      <c r="AA1071" s="2"/>
      <c r="AB1071" s="2"/>
    </row>
    <row r="1072">
      <c r="A1072" s="2"/>
      <c r="B1072" s="2"/>
      <c r="C1072" s="2"/>
      <c r="D1072" s="2"/>
      <c r="E1072" s="2"/>
      <c r="F1072" s="2"/>
      <c r="G1072" s="2"/>
      <c r="H1072" s="2"/>
      <c r="I1072" s="2"/>
      <c r="J1072" s="2"/>
      <c r="K1072" s="2"/>
      <c r="L1072" s="2"/>
      <c r="M1072" s="2"/>
      <c r="N1072" s="2"/>
      <c r="O1072" s="2"/>
      <c r="P1072" s="2"/>
      <c r="Q1072" s="2"/>
      <c r="R1072" s="2"/>
      <c r="S1072" s="2"/>
      <c r="T1072" s="2"/>
      <c r="U1072" s="2"/>
      <c r="V1072" s="2"/>
      <c r="W1072" s="2" t="str">
        <f>IFERROR(__xludf.DUMMYFUNCTION("""COMPUTED_VALUE"""),"VL103D")</f>
        <v>VL103D</v>
      </c>
      <c r="X1072" s="2"/>
      <c r="Y1072" s="2"/>
      <c r="Z1072" s="2"/>
      <c r="AA1072" s="2"/>
      <c r="AB1072" s="2"/>
    </row>
    <row r="1073">
      <c r="A1073" s="2"/>
      <c r="B1073" s="2"/>
      <c r="C1073" s="2"/>
      <c r="D1073" s="2"/>
      <c r="E1073" s="2"/>
      <c r="F1073" s="2"/>
      <c r="G1073" s="2"/>
      <c r="H1073" s="2"/>
      <c r="I1073" s="2"/>
      <c r="J1073" s="2"/>
      <c r="K1073" s="2"/>
      <c r="L1073" s="2"/>
      <c r="M1073" s="2"/>
      <c r="N1073" s="2"/>
      <c r="O1073" s="2"/>
      <c r="P1073" s="2"/>
      <c r="Q1073" s="2"/>
      <c r="R1073" s="2"/>
      <c r="S1073" s="2"/>
      <c r="T1073" s="2"/>
      <c r="U1073" s="2"/>
      <c r="V1073" s="2"/>
      <c r="W1073" s="2" t="str">
        <f>IFERROR(__xludf.DUMMYFUNCTION("""COMPUTED_VALUE"""),"VL103D")</f>
        <v>VL103D</v>
      </c>
      <c r="X1073" s="2"/>
      <c r="Y1073" s="2"/>
      <c r="Z1073" s="2"/>
      <c r="AA1073" s="2"/>
      <c r="AB1073" s="2"/>
    </row>
    <row r="1074">
      <c r="A1074" s="2"/>
      <c r="B1074" s="2"/>
      <c r="C1074" s="2"/>
      <c r="D1074" s="2"/>
      <c r="E1074" s="2"/>
      <c r="F1074" s="2"/>
      <c r="G1074" s="2"/>
      <c r="H1074" s="2"/>
      <c r="I1074" s="2"/>
      <c r="J1074" s="2"/>
      <c r="K1074" s="2"/>
      <c r="L1074" s="2"/>
      <c r="M1074" s="2"/>
      <c r="N1074" s="2"/>
      <c r="O1074" s="2"/>
      <c r="P1074" s="2"/>
      <c r="Q1074" s="2"/>
      <c r="R1074" s="2"/>
      <c r="S1074" s="2"/>
      <c r="T1074" s="2"/>
      <c r="U1074" s="2"/>
      <c r="V1074" s="2"/>
      <c r="W1074" s="2" t="str">
        <f>IFERROR(__xludf.DUMMYFUNCTION("""COMPUTED_VALUE"""),"VL103D")</f>
        <v>VL103D</v>
      </c>
      <c r="X1074" s="2"/>
      <c r="Y1074" s="2"/>
      <c r="Z1074" s="2"/>
      <c r="AA1074" s="2"/>
      <c r="AB1074" s="2"/>
    </row>
    <row r="1075">
      <c r="A1075" s="2"/>
      <c r="B1075" s="2"/>
      <c r="C1075" s="2"/>
      <c r="D1075" s="2"/>
      <c r="E1075" s="2"/>
      <c r="F1075" s="2"/>
      <c r="G1075" s="2"/>
      <c r="H1075" s="2"/>
      <c r="I1075" s="2"/>
      <c r="J1075" s="2"/>
      <c r="K1075" s="2"/>
      <c r="L1075" s="2"/>
      <c r="M1075" s="2"/>
      <c r="N1075" s="2"/>
      <c r="O1075" s="2"/>
      <c r="P1075" s="2"/>
      <c r="Q1075" s="2"/>
      <c r="R1075" s="2"/>
      <c r="S1075" s="2"/>
      <c r="T1075" s="2"/>
      <c r="U1075" s="2"/>
      <c r="V1075" s="2"/>
      <c r="W1075" s="2" t="str">
        <f>IFERROR(__xludf.DUMMYFUNCTION("""COMPUTED_VALUE"""),"VL103D")</f>
        <v>VL103D</v>
      </c>
      <c r="X1075" s="2"/>
      <c r="Y1075" s="2"/>
      <c r="Z1075" s="2"/>
      <c r="AA1075" s="2"/>
      <c r="AB1075" s="2"/>
    </row>
    <row r="1076">
      <c r="A1076" s="2"/>
      <c r="B1076" s="2"/>
      <c r="C1076" s="2"/>
      <c r="D1076" s="2"/>
      <c r="E1076" s="2"/>
      <c r="F1076" s="2"/>
      <c r="G1076" s="2"/>
      <c r="H1076" s="2"/>
      <c r="I1076" s="2"/>
      <c r="J1076" s="2"/>
      <c r="K1076" s="2"/>
      <c r="L1076" s="2"/>
      <c r="M1076" s="2"/>
      <c r="N1076" s="2"/>
      <c r="O1076" s="2"/>
      <c r="P1076" s="2"/>
      <c r="Q1076" s="2"/>
      <c r="R1076" s="2"/>
      <c r="S1076" s="2"/>
      <c r="T1076" s="2"/>
      <c r="U1076" s="2"/>
      <c r="V1076" s="2"/>
      <c r="W1076" s="2" t="str">
        <f>IFERROR(__xludf.DUMMYFUNCTION("""COMPUTED_VALUE"""),"VL103D")</f>
        <v>VL103D</v>
      </c>
      <c r="X1076" s="2"/>
      <c r="Y1076" s="2"/>
      <c r="Z1076" s="2"/>
      <c r="AA1076" s="2"/>
      <c r="AB1076" s="2"/>
    </row>
    <row r="1077">
      <c r="A1077" s="2"/>
      <c r="B1077" s="2"/>
      <c r="C1077" s="2"/>
      <c r="D1077" s="2"/>
      <c r="E1077" s="2"/>
      <c r="F1077" s="2"/>
      <c r="G1077" s="2"/>
      <c r="H1077" s="2"/>
      <c r="I1077" s="2"/>
      <c r="J1077" s="2"/>
      <c r="K1077" s="2"/>
      <c r="L1077" s="2"/>
      <c r="M1077" s="2"/>
      <c r="N1077" s="2"/>
      <c r="O1077" s="2"/>
      <c r="P1077" s="2"/>
      <c r="Q1077" s="2"/>
      <c r="R1077" s="2"/>
      <c r="S1077" s="2"/>
      <c r="T1077" s="2"/>
      <c r="U1077" s="2"/>
      <c r="V1077" s="2"/>
      <c r="W1077" s="2" t="str">
        <f>IFERROR(__xludf.DUMMYFUNCTION("""COMPUTED_VALUE"""),"VL103D")</f>
        <v>VL103D</v>
      </c>
      <c r="X1077" s="2"/>
      <c r="Y1077" s="2"/>
      <c r="Z1077" s="2"/>
      <c r="AA1077" s="2"/>
      <c r="AB1077" s="2"/>
    </row>
    <row r="1078">
      <c r="A1078" s="2"/>
      <c r="B1078" s="2"/>
      <c r="C1078" s="2"/>
      <c r="D1078" s="2"/>
      <c r="E1078" s="2"/>
      <c r="F1078" s="2"/>
      <c r="G1078" s="2"/>
      <c r="H1078" s="2"/>
      <c r="I1078" s="2"/>
      <c r="J1078" s="2"/>
      <c r="K1078" s="2"/>
      <c r="L1078" s="2"/>
      <c r="M1078" s="2"/>
      <c r="N1078" s="2"/>
      <c r="O1078" s="2"/>
      <c r="P1078" s="2"/>
      <c r="Q1078" s="2"/>
      <c r="R1078" s="2"/>
      <c r="S1078" s="2"/>
      <c r="T1078" s="2"/>
      <c r="U1078" s="2"/>
      <c r="V1078" s="2"/>
      <c r="W1078" s="2" t="str">
        <f>IFERROR(__xludf.DUMMYFUNCTION("""COMPUTED_VALUE"""),"VL103D")</f>
        <v>VL103D</v>
      </c>
      <c r="X1078" s="2"/>
      <c r="Y1078" s="2"/>
      <c r="Z1078" s="2"/>
      <c r="AA1078" s="2"/>
      <c r="AB1078" s="2"/>
    </row>
    <row r="1079">
      <c r="A1079" s="2"/>
      <c r="B1079" s="2"/>
      <c r="C1079" s="2"/>
      <c r="D1079" s="2"/>
      <c r="E1079" s="2"/>
      <c r="F1079" s="2"/>
      <c r="G1079" s="2"/>
      <c r="H1079" s="2"/>
      <c r="I1079" s="2"/>
      <c r="J1079" s="2"/>
      <c r="K1079" s="2"/>
      <c r="L1079" s="2"/>
      <c r="M1079" s="2"/>
      <c r="N1079" s="2"/>
      <c r="O1079" s="2"/>
      <c r="P1079" s="2"/>
      <c r="Q1079" s="2"/>
      <c r="R1079" s="2"/>
      <c r="S1079" s="2"/>
      <c r="T1079" s="2"/>
      <c r="U1079" s="2"/>
      <c r="V1079" s="2"/>
      <c r="W1079" s="2" t="str">
        <f>IFERROR(__xludf.DUMMYFUNCTION("""COMPUTED_VALUE"""),"VL103D")</f>
        <v>VL103D</v>
      </c>
      <c r="X1079" s="2"/>
      <c r="Y1079" s="2"/>
      <c r="Z1079" s="2"/>
      <c r="AA1079" s="2"/>
      <c r="AB1079" s="2"/>
    </row>
    <row r="1080">
      <c r="A1080" s="2"/>
      <c r="B1080" s="2"/>
      <c r="C1080" s="2"/>
      <c r="D1080" s="2"/>
      <c r="E1080" s="2"/>
      <c r="F1080" s="2"/>
      <c r="G1080" s="2"/>
      <c r="H1080" s="2"/>
      <c r="I1080" s="2"/>
      <c r="J1080" s="2"/>
      <c r="K1080" s="2"/>
      <c r="L1080" s="2"/>
      <c r="M1080" s="2"/>
      <c r="N1080" s="2"/>
      <c r="O1080" s="2"/>
      <c r="P1080" s="2"/>
      <c r="Q1080" s="2"/>
      <c r="R1080" s="2"/>
      <c r="S1080" s="2"/>
      <c r="T1080" s="2"/>
      <c r="U1080" s="2"/>
      <c r="V1080" s="2"/>
      <c r="W1080" s="2" t="str">
        <f>IFERROR(__xludf.DUMMYFUNCTION("""COMPUTED_VALUE"""),"VL103D")</f>
        <v>VL103D</v>
      </c>
      <c r="X1080" s="2"/>
      <c r="Y1080" s="2"/>
      <c r="Z1080" s="2"/>
      <c r="AA1080" s="2"/>
      <c r="AB1080" s="2"/>
    </row>
    <row r="1081">
      <c r="A1081" s="2"/>
      <c r="B1081" s="2"/>
      <c r="C1081" s="2"/>
      <c r="D1081" s="2"/>
      <c r="E1081" s="2"/>
      <c r="F1081" s="2"/>
      <c r="G1081" s="2"/>
      <c r="H1081" s="2"/>
      <c r="I1081" s="2"/>
      <c r="J1081" s="2"/>
      <c r="K1081" s="2"/>
      <c r="L1081" s="2"/>
      <c r="M1081" s="2"/>
      <c r="N1081" s="2"/>
      <c r="O1081" s="2"/>
      <c r="P1081" s="2"/>
      <c r="Q1081" s="2"/>
      <c r="R1081" s="2"/>
      <c r="S1081" s="2"/>
      <c r="T1081" s="2"/>
      <c r="U1081" s="2"/>
      <c r="V1081" s="2"/>
      <c r="W1081" s="2" t="str">
        <f>IFERROR(__xludf.DUMMYFUNCTION("""COMPUTED_VALUE"""),"VL103D")</f>
        <v>VL103D</v>
      </c>
      <c r="X1081" s="2"/>
      <c r="Y1081" s="2"/>
      <c r="Z1081" s="2"/>
      <c r="AA1081" s="2"/>
      <c r="AB1081" s="2"/>
    </row>
    <row r="1082">
      <c r="A1082" s="2"/>
      <c r="B1082" s="2"/>
      <c r="C1082" s="2"/>
      <c r="D1082" s="2"/>
      <c r="E1082" s="2"/>
      <c r="F1082" s="2"/>
      <c r="G1082" s="2"/>
      <c r="H1082" s="2"/>
      <c r="I1082" s="2"/>
      <c r="J1082" s="2"/>
      <c r="K1082" s="2"/>
      <c r="L1082" s="2"/>
      <c r="M1082" s="2"/>
      <c r="N1082" s="2"/>
      <c r="O1082" s="2"/>
      <c r="P1082" s="2"/>
      <c r="Q1082" s="2"/>
      <c r="R1082" s="2"/>
      <c r="S1082" s="2"/>
      <c r="T1082" s="2"/>
      <c r="U1082" s="2"/>
      <c r="V1082" s="2"/>
      <c r="W1082" s="2" t="str">
        <f>IFERROR(__xludf.DUMMYFUNCTION("""COMPUTED_VALUE"""),"VL103D")</f>
        <v>VL103D</v>
      </c>
      <c r="X1082" s="2"/>
      <c r="Y1082" s="2"/>
      <c r="Z1082" s="2"/>
      <c r="AA1082" s="2"/>
      <c r="AB1082" s="2"/>
    </row>
    <row r="1083">
      <c r="A1083" s="2"/>
      <c r="B1083" s="2"/>
      <c r="C1083" s="2"/>
      <c r="D1083" s="2"/>
      <c r="E1083" s="2"/>
      <c r="F1083" s="2"/>
      <c r="G1083" s="2"/>
      <c r="H1083" s="2"/>
      <c r="I1083" s="2"/>
      <c r="J1083" s="2"/>
      <c r="K1083" s="2"/>
      <c r="L1083" s="2"/>
      <c r="M1083" s="2"/>
      <c r="N1083" s="2"/>
      <c r="O1083" s="2"/>
      <c r="P1083" s="2"/>
      <c r="Q1083" s="2"/>
      <c r="R1083" s="2"/>
      <c r="S1083" s="2"/>
      <c r="T1083" s="2"/>
      <c r="U1083" s="2"/>
      <c r="V1083" s="2"/>
      <c r="W1083" s="2" t="str">
        <f>IFERROR(__xludf.DUMMYFUNCTION("""COMPUTED_VALUE"""),"VL103D")</f>
        <v>VL103D</v>
      </c>
      <c r="X1083" s="2"/>
      <c r="Y1083" s="2"/>
      <c r="Z1083" s="2"/>
      <c r="AA1083" s="2"/>
      <c r="AB1083" s="2"/>
    </row>
    <row r="1084">
      <c r="A1084" s="2"/>
      <c r="B1084" s="2"/>
      <c r="C1084" s="2"/>
      <c r="D1084" s="2"/>
      <c r="E1084" s="2"/>
      <c r="F1084" s="2"/>
      <c r="G1084" s="2"/>
      <c r="H1084" s="2"/>
      <c r="I1084" s="2"/>
      <c r="J1084" s="2"/>
      <c r="K1084" s="2"/>
      <c r="L1084" s="2"/>
      <c r="M1084" s="2"/>
      <c r="N1084" s="2"/>
      <c r="O1084" s="2"/>
      <c r="P1084" s="2"/>
      <c r="Q1084" s="2"/>
      <c r="R1084" s="2"/>
      <c r="S1084" s="2"/>
      <c r="T1084" s="2"/>
      <c r="U1084" s="2"/>
      <c r="V1084" s="2"/>
      <c r="W1084" s="2" t="str">
        <f>IFERROR(__xludf.DUMMYFUNCTION("""COMPUTED_VALUE"""),"VL103D")</f>
        <v>VL103D</v>
      </c>
      <c r="X1084" s="2"/>
      <c r="Y1084" s="2"/>
      <c r="Z1084" s="2"/>
      <c r="AA1084" s="2"/>
      <c r="AB1084" s="2"/>
    </row>
    <row r="1085">
      <c r="A1085" s="2"/>
      <c r="B1085" s="2"/>
      <c r="C1085" s="2"/>
      <c r="D1085" s="2"/>
      <c r="E1085" s="2"/>
      <c r="F1085" s="2"/>
      <c r="G1085" s="2"/>
      <c r="H1085" s="2"/>
      <c r="I1085" s="2"/>
      <c r="J1085" s="2"/>
      <c r="K1085" s="2"/>
      <c r="L1085" s="2"/>
      <c r="M1085" s="2"/>
      <c r="N1085" s="2"/>
      <c r="O1085" s="2"/>
      <c r="P1085" s="2"/>
      <c r="Q1085" s="2"/>
      <c r="R1085" s="2"/>
      <c r="S1085" s="2"/>
      <c r="T1085" s="2"/>
      <c r="U1085" s="2"/>
      <c r="V1085" s="2"/>
      <c r="W1085" s="2" t="str">
        <f>IFERROR(__xludf.DUMMYFUNCTION("""COMPUTED_VALUE"""),"VL103D")</f>
        <v>VL103D</v>
      </c>
      <c r="X1085" s="2"/>
      <c r="Y1085" s="2"/>
      <c r="Z1085" s="2"/>
      <c r="AA1085" s="2"/>
      <c r="AB1085" s="2"/>
    </row>
    <row r="1086">
      <c r="A1086" s="2"/>
      <c r="B1086" s="2"/>
      <c r="C1086" s="2"/>
      <c r="D1086" s="2"/>
      <c r="E1086" s="2"/>
      <c r="F1086" s="2"/>
      <c r="G1086" s="2"/>
      <c r="H1086" s="2"/>
      <c r="I1086" s="2"/>
      <c r="J1086" s="2"/>
      <c r="K1086" s="2"/>
      <c r="L1086" s="2"/>
      <c r="M1086" s="2"/>
      <c r="N1086" s="2"/>
      <c r="O1086" s="2"/>
      <c r="P1086" s="2"/>
      <c r="Q1086" s="2"/>
      <c r="R1086" s="2"/>
      <c r="S1086" s="2"/>
      <c r="T1086" s="2"/>
      <c r="U1086" s="2"/>
      <c r="V1086" s="2"/>
      <c r="W1086" s="2" t="str">
        <f>IFERROR(__xludf.DUMMYFUNCTION("""COMPUTED_VALUE"""),"VL103D")</f>
        <v>VL103D</v>
      </c>
      <c r="X1086" s="2"/>
      <c r="Y1086" s="2"/>
      <c r="Z1086" s="2"/>
      <c r="AA1086" s="2"/>
      <c r="AB1086" s="2"/>
    </row>
    <row r="1087">
      <c r="A1087" s="2"/>
      <c r="B1087" s="2"/>
      <c r="C1087" s="2"/>
      <c r="D1087" s="2"/>
      <c r="E1087" s="2"/>
      <c r="F1087" s="2"/>
      <c r="G1087" s="2"/>
      <c r="H1087" s="2"/>
      <c r="I1087" s="2"/>
      <c r="J1087" s="2"/>
      <c r="K1087" s="2"/>
      <c r="L1087" s="2"/>
      <c r="M1087" s="2"/>
      <c r="N1087" s="2"/>
      <c r="O1087" s="2"/>
      <c r="P1087" s="2"/>
      <c r="Q1087" s="2"/>
      <c r="R1087" s="2"/>
      <c r="S1087" s="2"/>
      <c r="T1087" s="2"/>
      <c r="U1087" s="2"/>
      <c r="V1087" s="2"/>
      <c r="W1087" s="2" t="str">
        <f>IFERROR(__xludf.DUMMYFUNCTION("""COMPUTED_VALUE"""),"VL103D")</f>
        <v>VL103D</v>
      </c>
      <c r="X1087" s="2"/>
      <c r="Y1087" s="2"/>
      <c r="Z1087" s="2"/>
      <c r="AA1087" s="2"/>
      <c r="AB1087" s="2"/>
    </row>
    <row r="1088">
      <c r="A1088" s="2"/>
      <c r="B1088" s="2"/>
      <c r="C1088" s="2"/>
      <c r="D1088" s="2"/>
      <c r="E1088" s="2"/>
      <c r="F1088" s="2"/>
      <c r="G1088" s="2"/>
      <c r="H1088" s="2"/>
      <c r="I1088" s="2"/>
      <c r="J1088" s="2"/>
      <c r="K1088" s="2"/>
      <c r="L1088" s="2"/>
      <c r="M1088" s="2"/>
      <c r="N1088" s="2"/>
      <c r="O1088" s="2"/>
      <c r="P1088" s="2"/>
      <c r="Q1088" s="2"/>
      <c r="R1088" s="2"/>
      <c r="S1088" s="2"/>
      <c r="T1088" s="2"/>
      <c r="U1088" s="2"/>
      <c r="V1088" s="2"/>
      <c r="W1088" s="2" t="str">
        <f>IFERROR(__xludf.DUMMYFUNCTION("""COMPUTED_VALUE"""),"VL103D")</f>
        <v>VL103D</v>
      </c>
      <c r="X1088" s="2"/>
      <c r="Y1088" s="2"/>
      <c r="Z1088" s="2"/>
      <c r="AA1088" s="2"/>
      <c r="AB1088" s="2"/>
    </row>
    <row r="1089">
      <c r="A1089" s="2"/>
      <c r="B1089" s="2"/>
      <c r="C1089" s="2"/>
      <c r="D1089" s="2"/>
      <c r="E1089" s="2"/>
      <c r="F1089" s="2"/>
      <c r="G1089" s="2"/>
      <c r="H1089" s="2"/>
      <c r="I1089" s="2"/>
      <c r="J1089" s="2"/>
      <c r="K1089" s="2"/>
      <c r="L1089" s="2"/>
      <c r="M1089" s="2"/>
      <c r="N1089" s="2"/>
      <c r="O1089" s="2"/>
      <c r="P1089" s="2"/>
      <c r="Q1089" s="2"/>
      <c r="R1089" s="2"/>
      <c r="S1089" s="2"/>
      <c r="T1089" s="2"/>
      <c r="U1089" s="2"/>
      <c r="V1089" s="2"/>
      <c r="W1089" s="2" t="str">
        <f>IFERROR(__xludf.DUMMYFUNCTION("""COMPUTED_VALUE"""),"VL103D")</f>
        <v>VL103D</v>
      </c>
      <c r="X1089" s="2"/>
      <c r="Y1089" s="2"/>
      <c r="Z1089" s="2"/>
      <c r="AA1089" s="2"/>
      <c r="AB1089" s="2"/>
    </row>
    <row r="1090">
      <c r="A1090" s="2"/>
      <c r="B1090" s="2"/>
      <c r="C1090" s="2"/>
      <c r="D1090" s="2"/>
      <c r="E1090" s="2"/>
      <c r="F1090" s="2"/>
      <c r="G1090" s="2"/>
      <c r="H1090" s="2"/>
      <c r="I1090" s="2"/>
      <c r="J1090" s="2"/>
      <c r="K1090" s="2"/>
      <c r="L1090" s="2"/>
      <c r="M1090" s="2"/>
      <c r="N1090" s="2"/>
      <c r="O1090" s="2"/>
      <c r="P1090" s="2"/>
      <c r="Q1090" s="2"/>
      <c r="R1090" s="2"/>
      <c r="S1090" s="2"/>
      <c r="T1090" s="2"/>
      <c r="U1090" s="2"/>
      <c r="V1090" s="2"/>
      <c r="W1090" s="2" t="str">
        <f>IFERROR(__xludf.DUMMYFUNCTION("""COMPUTED_VALUE"""),"VL103D")</f>
        <v>VL103D</v>
      </c>
      <c r="X1090" s="2"/>
      <c r="Y1090" s="2"/>
      <c r="Z1090" s="2"/>
      <c r="AA1090" s="2"/>
      <c r="AB1090" s="2"/>
    </row>
    <row r="1091">
      <c r="A1091" s="2"/>
      <c r="B1091" s="2"/>
      <c r="C1091" s="2"/>
      <c r="D1091" s="2"/>
      <c r="E1091" s="2"/>
      <c r="F1091" s="2"/>
      <c r="G1091" s="2"/>
      <c r="H1091" s="2"/>
      <c r="I1091" s="2"/>
      <c r="J1091" s="2"/>
      <c r="K1091" s="2"/>
      <c r="L1091" s="2"/>
      <c r="M1091" s="2"/>
      <c r="N1091" s="2"/>
      <c r="O1091" s="2"/>
      <c r="P1091" s="2"/>
      <c r="Q1091" s="2"/>
      <c r="R1091" s="2"/>
      <c r="S1091" s="2"/>
      <c r="T1091" s="2"/>
      <c r="U1091" s="2"/>
      <c r="V1091" s="2"/>
      <c r="W1091" s="2" t="str">
        <f>IFERROR(__xludf.DUMMYFUNCTION("""COMPUTED_VALUE"""),"VL103D")</f>
        <v>VL103D</v>
      </c>
      <c r="X1091" s="2"/>
      <c r="Y1091" s="2"/>
      <c r="Z1091" s="2"/>
      <c r="AA1091" s="2"/>
      <c r="AB1091" s="2"/>
    </row>
    <row r="1092">
      <c r="A1092" s="2"/>
      <c r="B1092" s="2"/>
      <c r="C1092" s="2"/>
      <c r="D1092" s="2"/>
      <c r="E1092" s="2"/>
      <c r="F1092" s="2"/>
      <c r="G1092" s="2"/>
      <c r="H1092" s="2"/>
      <c r="I1092" s="2"/>
      <c r="J1092" s="2"/>
      <c r="K1092" s="2"/>
      <c r="L1092" s="2"/>
      <c r="M1092" s="2"/>
      <c r="N1092" s="2"/>
      <c r="O1092" s="2"/>
      <c r="P1092" s="2"/>
      <c r="Q1092" s="2"/>
      <c r="R1092" s="2"/>
      <c r="S1092" s="2"/>
      <c r="T1092" s="2"/>
      <c r="U1092" s="2"/>
      <c r="V1092" s="2"/>
      <c r="W1092" s="2" t="str">
        <f>IFERROR(__xludf.DUMMYFUNCTION("""COMPUTED_VALUE"""),"VL103D")</f>
        <v>VL103D</v>
      </c>
      <c r="X1092" s="2"/>
      <c r="Y1092" s="2"/>
      <c r="Z1092" s="2"/>
      <c r="AA1092" s="2"/>
      <c r="AB1092" s="2"/>
    </row>
    <row r="1093">
      <c r="A1093" s="2"/>
      <c r="B1093" s="2"/>
      <c r="C1093" s="2"/>
      <c r="D1093" s="2"/>
      <c r="E1093" s="2"/>
      <c r="F1093" s="2"/>
      <c r="G1093" s="2"/>
      <c r="H1093" s="2"/>
      <c r="I1093" s="2"/>
      <c r="J1093" s="2"/>
      <c r="K1093" s="2"/>
      <c r="L1093" s="2"/>
      <c r="M1093" s="2"/>
      <c r="N1093" s="2"/>
      <c r="O1093" s="2"/>
      <c r="P1093" s="2"/>
      <c r="Q1093" s="2"/>
      <c r="R1093" s="2"/>
      <c r="S1093" s="2"/>
      <c r="T1093" s="2"/>
      <c r="U1093" s="2"/>
      <c r="V1093" s="2"/>
      <c r="W1093" s="2" t="str">
        <f>IFERROR(__xludf.DUMMYFUNCTION("""COMPUTED_VALUE"""),"VL103D")</f>
        <v>VL103D</v>
      </c>
      <c r="X1093" s="2"/>
      <c r="Y1093" s="2"/>
      <c r="Z1093" s="2"/>
      <c r="AA1093" s="2"/>
      <c r="AB1093" s="2"/>
    </row>
    <row r="1094">
      <c r="A1094" s="2"/>
      <c r="B1094" s="2"/>
      <c r="C1094" s="2"/>
      <c r="D1094" s="2"/>
      <c r="E1094" s="2"/>
      <c r="F1094" s="2"/>
      <c r="G1094" s="2"/>
      <c r="H1094" s="2"/>
      <c r="I1094" s="2"/>
      <c r="J1094" s="2"/>
      <c r="K1094" s="2"/>
      <c r="L1094" s="2"/>
      <c r="M1094" s="2"/>
      <c r="N1094" s="2"/>
      <c r="O1094" s="2"/>
      <c r="P1094" s="2"/>
      <c r="Q1094" s="2"/>
      <c r="R1094" s="2"/>
      <c r="S1094" s="2"/>
      <c r="T1094" s="2"/>
      <c r="U1094" s="2"/>
      <c r="V1094" s="2"/>
      <c r="W1094" s="2" t="str">
        <f>IFERROR(__xludf.DUMMYFUNCTION("""COMPUTED_VALUE"""),"VL103D")</f>
        <v>VL103D</v>
      </c>
      <c r="X1094" s="2"/>
      <c r="Y1094" s="2"/>
      <c r="Z1094" s="2"/>
      <c r="AA1094" s="2"/>
      <c r="AB1094" s="2"/>
    </row>
    <row r="1095">
      <c r="A1095" s="2"/>
      <c r="B1095" s="2"/>
      <c r="C1095" s="2"/>
      <c r="D1095" s="2"/>
      <c r="E1095" s="2"/>
      <c r="F1095" s="2"/>
      <c r="G1095" s="2"/>
      <c r="H1095" s="2"/>
      <c r="I1095" s="2"/>
      <c r="J1095" s="2"/>
      <c r="K1095" s="2"/>
      <c r="L1095" s="2"/>
      <c r="M1095" s="2"/>
      <c r="N1095" s="2"/>
      <c r="O1095" s="2"/>
      <c r="P1095" s="2"/>
      <c r="Q1095" s="2"/>
      <c r="R1095" s="2"/>
      <c r="S1095" s="2"/>
      <c r="T1095" s="2"/>
      <c r="U1095" s="2"/>
      <c r="V1095" s="2"/>
      <c r="W1095" s="2" t="str">
        <f>IFERROR(__xludf.DUMMYFUNCTION("""COMPUTED_VALUE"""),"VL103D")</f>
        <v>VL103D</v>
      </c>
      <c r="X1095" s="2"/>
      <c r="Y1095" s="2"/>
      <c r="Z1095" s="2"/>
      <c r="AA1095" s="2"/>
      <c r="AB1095" s="2"/>
    </row>
    <row r="1096">
      <c r="A1096" s="2"/>
      <c r="B1096" s="2"/>
      <c r="C1096" s="2"/>
      <c r="D1096" s="2"/>
      <c r="E1096" s="2"/>
      <c r="F1096" s="2"/>
      <c r="G1096" s="2"/>
      <c r="H1096" s="2"/>
      <c r="I1096" s="2"/>
      <c r="J1096" s="2"/>
      <c r="K1096" s="2"/>
      <c r="L1096" s="2"/>
      <c r="M1096" s="2"/>
      <c r="N1096" s="2"/>
      <c r="O1096" s="2"/>
      <c r="P1096" s="2"/>
      <c r="Q1096" s="2"/>
      <c r="R1096" s="2"/>
      <c r="S1096" s="2"/>
      <c r="T1096" s="2"/>
      <c r="U1096" s="2"/>
      <c r="V1096" s="2"/>
      <c r="W1096" s="2" t="str">
        <f>IFERROR(__xludf.DUMMYFUNCTION("""COMPUTED_VALUE"""),"VL103D")</f>
        <v>VL103D</v>
      </c>
      <c r="X1096" s="2"/>
      <c r="Y1096" s="2"/>
      <c r="Z1096" s="2"/>
      <c r="AA1096" s="2"/>
      <c r="AB1096" s="2"/>
    </row>
    <row r="1097">
      <c r="A1097" s="2"/>
      <c r="B1097" s="2"/>
      <c r="C1097" s="2"/>
      <c r="D1097" s="2"/>
      <c r="E1097" s="2"/>
      <c r="F1097" s="2"/>
      <c r="G1097" s="2"/>
      <c r="H1097" s="2"/>
      <c r="I1097" s="2"/>
      <c r="J1097" s="2"/>
      <c r="K1097" s="2"/>
      <c r="L1097" s="2"/>
      <c r="M1097" s="2"/>
      <c r="N1097" s="2"/>
      <c r="O1097" s="2"/>
      <c r="P1097" s="2"/>
      <c r="Q1097" s="2"/>
      <c r="R1097" s="2"/>
      <c r="S1097" s="2"/>
      <c r="T1097" s="2"/>
      <c r="U1097" s="2"/>
      <c r="V1097" s="2"/>
      <c r="W1097" s="2" t="str">
        <f>IFERROR(__xludf.DUMMYFUNCTION("""COMPUTED_VALUE"""),"VL103D")</f>
        <v>VL103D</v>
      </c>
      <c r="X1097" s="2"/>
      <c r="Y1097" s="2"/>
      <c r="Z1097" s="2"/>
      <c r="AA1097" s="2"/>
      <c r="AB1097" s="2"/>
    </row>
    <row r="1098">
      <c r="A1098" s="2"/>
      <c r="B1098" s="2"/>
      <c r="C1098" s="2"/>
      <c r="D1098" s="2"/>
      <c r="E1098" s="2"/>
      <c r="F1098" s="2"/>
      <c r="G1098" s="2"/>
      <c r="H1098" s="2"/>
      <c r="I1098" s="2"/>
      <c r="J1098" s="2"/>
      <c r="K1098" s="2"/>
      <c r="L1098" s="2"/>
      <c r="M1098" s="2"/>
      <c r="N1098" s="2"/>
      <c r="O1098" s="2"/>
      <c r="P1098" s="2"/>
      <c r="Q1098" s="2"/>
      <c r="R1098" s="2"/>
      <c r="S1098" s="2"/>
      <c r="T1098" s="2"/>
      <c r="U1098" s="2"/>
      <c r="V1098" s="2"/>
      <c r="W1098" s="2" t="str">
        <f>IFERROR(__xludf.DUMMYFUNCTION("""COMPUTED_VALUE"""),"VL103D")</f>
        <v>VL103D</v>
      </c>
      <c r="X1098" s="2"/>
      <c r="Y1098" s="2"/>
      <c r="Z1098" s="2"/>
      <c r="AA1098" s="2"/>
      <c r="AB1098" s="2"/>
    </row>
    <row r="1099">
      <c r="A1099" s="2"/>
      <c r="B1099" s="2"/>
      <c r="C1099" s="2"/>
      <c r="D1099" s="2"/>
      <c r="E1099" s="2"/>
      <c r="F1099" s="2"/>
      <c r="G1099" s="2"/>
      <c r="H1099" s="2"/>
      <c r="I1099" s="2"/>
      <c r="J1099" s="2"/>
      <c r="K1099" s="2"/>
      <c r="L1099" s="2"/>
      <c r="M1099" s="2"/>
      <c r="N1099" s="2"/>
      <c r="O1099" s="2"/>
      <c r="P1099" s="2"/>
      <c r="Q1099" s="2"/>
      <c r="R1099" s="2"/>
      <c r="S1099" s="2"/>
      <c r="T1099" s="2"/>
      <c r="U1099" s="2"/>
      <c r="V1099" s="2"/>
      <c r="W1099" s="2" t="str">
        <f>IFERROR(__xludf.DUMMYFUNCTION("""COMPUTED_VALUE"""),"VL103D")</f>
        <v>VL103D</v>
      </c>
      <c r="X1099" s="2"/>
      <c r="Y1099" s="2"/>
      <c r="Z1099" s="2"/>
      <c r="AA1099" s="2"/>
      <c r="AB1099" s="2"/>
    </row>
    <row r="1100">
      <c r="A1100" s="2"/>
      <c r="B1100" s="2"/>
      <c r="C1100" s="2"/>
      <c r="D1100" s="2"/>
      <c r="E1100" s="2"/>
      <c r="F1100" s="2"/>
      <c r="G1100" s="2"/>
      <c r="H1100" s="2"/>
      <c r="I1100" s="2"/>
      <c r="J1100" s="2"/>
      <c r="K1100" s="2"/>
      <c r="L1100" s="2"/>
      <c r="M1100" s="2"/>
      <c r="N1100" s="2"/>
      <c r="O1100" s="2"/>
      <c r="P1100" s="2"/>
      <c r="Q1100" s="2"/>
      <c r="R1100" s="2"/>
      <c r="S1100" s="2"/>
      <c r="T1100" s="2"/>
      <c r="U1100" s="2"/>
      <c r="V1100" s="2"/>
      <c r="W1100" s="2" t="str">
        <f>IFERROR(__xludf.DUMMYFUNCTION("""COMPUTED_VALUE"""),"VL103D")</f>
        <v>VL103D</v>
      </c>
      <c r="X1100" s="2"/>
      <c r="Y1100" s="2"/>
      <c r="Z1100" s="2"/>
      <c r="AA1100" s="2"/>
      <c r="AB1100" s="2"/>
    </row>
    <row r="1101">
      <c r="A1101" s="2"/>
      <c r="B1101" s="2"/>
      <c r="C1101" s="2"/>
      <c r="D1101" s="2"/>
      <c r="E1101" s="2"/>
      <c r="F1101" s="2"/>
      <c r="G1101" s="2"/>
      <c r="H1101" s="2"/>
      <c r="I1101" s="2"/>
      <c r="J1101" s="2"/>
      <c r="K1101" s="2"/>
      <c r="L1101" s="2"/>
      <c r="M1101" s="2"/>
      <c r="N1101" s="2"/>
      <c r="O1101" s="2"/>
      <c r="P1101" s="2"/>
      <c r="Q1101" s="2"/>
      <c r="R1101" s="2"/>
      <c r="S1101" s="2"/>
      <c r="T1101" s="2"/>
      <c r="U1101" s="2"/>
      <c r="V1101" s="2"/>
      <c r="W1101" s="2" t="str">
        <f>IFERROR(__xludf.DUMMYFUNCTION("""COMPUTED_VALUE"""),"VL103D")</f>
        <v>VL103D</v>
      </c>
      <c r="X1101" s="2"/>
      <c r="Y1101" s="2"/>
      <c r="Z1101" s="2"/>
      <c r="AA1101" s="2"/>
      <c r="AB1101" s="2"/>
    </row>
    <row r="1102">
      <c r="A1102" s="2"/>
      <c r="B1102" s="2"/>
      <c r="C1102" s="2"/>
      <c r="D1102" s="2"/>
      <c r="E1102" s="2"/>
      <c r="F1102" s="2"/>
      <c r="G1102" s="2"/>
      <c r="H1102" s="2"/>
      <c r="I1102" s="2"/>
      <c r="J1102" s="2"/>
      <c r="K1102" s="2"/>
      <c r="L1102" s="2"/>
      <c r="M1102" s="2"/>
      <c r="N1102" s="2"/>
      <c r="O1102" s="2"/>
      <c r="P1102" s="2"/>
      <c r="Q1102" s="2"/>
      <c r="R1102" s="2"/>
      <c r="S1102" s="2"/>
      <c r="T1102" s="2"/>
      <c r="U1102" s="2"/>
      <c r="V1102" s="2"/>
      <c r="W1102" s="2" t="str">
        <f>IFERROR(__xludf.DUMMYFUNCTION("""COMPUTED_VALUE"""),"VL103D")</f>
        <v>VL103D</v>
      </c>
      <c r="X1102" s="2"/>
      <c r="Y1102" s="2"/>
      <c r="Z1102" s="2"/>
      <c r="AA1102" s="2"/>
      <c r="AB1102" s="2"/>
    </row>
    <row r="1103">
      <c r="A1103" s="2"/>
      <c r="B1103" s="2"/>
      <c r="C1103" s="2"/>
      <c r="D1103" s="2"/>
      <c r="E1103" s="2"/>
      <c r="F1103" s="2"/>
      <c r="G1103" s="2"/>
      <c r="H1103" s="2"/>
      <c r="I1103" s="2"/>
      <c r="J1103" s="2"/>
      <c r="K1103" s="2"/>
      <c r="L1103" s="2"/>
      <c r="M1103" s="2"/>
      <c r="N1103" s="2"/>
      <c r="O1103" s="2"/>
      <c r="P1103" s="2"/>
      <c r="Q1103" s="2"/>
      <c r="R1103" s="2"/>
      <c r="S1103" s="2"/>
      <c r="T1103" s="2"/>
      <c r="U1103" s="2"/>
      <c r="V1103" s="2"/>
      <c r="W1103" s="2" t="str">
        <f>IFERROR(__xludf.DUMMYFUNCTION("""COMPUTED_VALUE"""),"VL103D")</f>
        <v>VL103D</v>
      </c>
      <c r="X1103" s="2"/>
      <c r="Y1103" s="2"/>
      <c r="Z1103" s="2"/>
      <c r="AA1103" s="2"/>
      <c r="AB1103" s="2"/>
    </row>
    <row r="1104">
      <c r="A1104" s="2"/>
      <c r="B1104" s="2"/>
      <c r="C1104" s="2"/>
      <c r="D1104" s="2"/>
      <c r="E1104" s="2"/>
      <c r="F1104" s="2"/>
      <c r="G1104" s="2"/>
      <c r="H1104" s="2"/>
      <c r="I1104" s="2"/>
      <c r="J1104" s="2"/>
      <c r="K1104" s="2"/>
      <c r="L1104" s="2"/>
      <c r="M1104" s="2"/>
      <c r="N1104" s="2"/>
      <c r="O1104" s="2"/>
      <c r="P1104" s="2"/>
      <c r="Q1104" s="2"/>
      <c r="R1104" s="2"/>
      <c r="S1104" s="2"/>
      <c r="T1104" s="2"/>
      <c r="U1104" s="2"/>
      <c r="V1104" s="2"/>
      <c r="W1104" s="2" t="str">
        <f>IFERROR(__xludf.DUMMYFUNCTION("""COMPUTED_VALUE"""),"VL103D")</f>
        <v>VL103D</v>
      </c>
      <c r="X1104" s="2"/>
      <c r="Y1104" s="2"/>
      <c r="Z1104" s="2"/>
      <c r="AA1104" s="2"/>
      <c r="AB1104" s="2"/>
    </row>
    <row r="1105">
      <c r="A1105" s="2"/>
      <c r="B1105" s="2"/>
      <c r="C1105" s="2"/>
      <c r="D1105" s="2"/>
      <c r="E1105" s="2"/>
      <c r="F1105" s="2"/>
      <c r="G1105" s="2"/>
      <c r="H1105" s="2"/>
      <c r="I1105" s="2"/>
      <c r="J1105" s="2"/>
      <c r="K1105" s="2"/>
      <c r="L1105" s="2"/>
      <c r="M1105" s="2"/>
      <c r="N1105" s="2"/>
      <c r="O1105" s="2"/>
      <c r="P1105" s="2"/>
      <c r="Q1105" s="2"/>
      <c r="R1105" s="2"/>
      <c r="S1105" s="2"/>
      <c r="T1105" s="2"/>
      <c r="U1105" s="2"/>
      <c r="V1105" s="2"/>
      <c r="W1105" s="2" t="str">
        <f>IFERROR(__xludf.DUMMYFUNCTION("""COMPUTED_VALUE"""),"VL103D")</f>
        <v>VL103D</v>
      </c>
      <c r="X1105" s="2"/>
      <c r="Y1105" s="2"/>
      <c r="Z1105" s="2"/>
      <c r="AA1105" s="2"/>
      <c r="AB1105" s="2"/>
    </row>
    <row r="1106">
      <c r="A1106" s="2"/>
      <c r="B1106" s="2"/>
      <c r="C1106" s="2"/>
      <c r="D1106" s="2"/>
      <c r="E1106" s="2"/>
      <c r="F1106" s="2"/>
      <c r="G1106" s="2"/>
      <c r="H1106" s="2"/>
      <c r="I1106" s="2"/>
      <c r="J1106" s="2"/>
      <c r="K1106" s="2"/>
      <c r="L1106" s="2"/>
      <c r="M1106" s="2"/>
      <c r="N1106" s="2"/>
      <c r="O1106" s="2"/>
      <c r="P1106" s="2"/>
      <c r="Q1106" s="2"/>
      <c r="R1106" s="2"/>
      <c r="S1106" s="2"/>
      <c r="T1106" s="2"/>
      <c r="U1106" s="2"/>
      <c r="V1106" s="2"/>
      <c r="W1106" s="2" t="str">
        <f>IFERROR(__xludf.DUMMYFUNCTION("""COMPUTED_VALUE"""),"VL103D")</f>
        <v>VL103D</v>
      </c>
      <c r="X1106" s="2"/>
      <c r="Y1106" s="2"/>
      <c r="Z1106" s="2"/>
      <c r="AA1106" s="2"/>
      <c r="AB1106" s="2"/>
    </row>
    <row r="1107">
      <c r="A1107" s="2"/>
      <c r="B1107" s="2"/>
      <c r="C1107" s="2"/>
      <c r="D1107" s="2"/>
      <c r="E1107" s="2"/>
      <c r="F1107" s="2"/>
      <c r="G1107" s="2"/>
      <c r="H1107" s="2"/>
      <c r="I1107" s="2"/>
      <c r="J1107" s="2"/>
      <c r="K1107" s="2"/>
      <c r="L1107" s="2"/>
      <c r="M1107" s="2"/>
      <c r="N1107" s="2"/>
      <c r="O1107" s="2"/>
      <c r="P1107" s="2"/>
      <c r="Q1107" s="2"/>
      <c r="R1107" s="2"/>
      <c r="S1107" s="2"/>
      <c r="T1107" s="2"/>
      <c r="U1107" s="2"/>
      <c r="V1107" s="2"/>
      <c r="W1107" s="2" t="str">
        <f>IFERROR(__xludf.DUMMYFUNCTION("""COMPUTED_VALUE"""),"VL103D")</f>
        <v>VL103D</v>
      </c>
      <c r="X1107" s="2"/>
      <c r="Y1107" s="2"/>
      <c r="Z1107" s="2"/>
      <c r="AA1107" s="2"/>
      <c r="AB1107" s="2"/>
    </row>
    <row r="1108">
      <c r="A1108" s="2"/>
      <c r="B1108" s="2"/>
      <c r="C1108" s="2"/>
      <c r="D1108" s="2"/>
      <c r="E1108" s="2"/>
      <c r="F1108" s="2"/>
      <c r="G1108" s="2"/>
      <c r="H1108" s="2"/>
      <c r="I1108" s="2"/>
      <c r="J1108" s="2"/>
      <c r="K1108" s="2"/>
      <c r="L1108" s="2"/>
      <c r="M1108" s="2"/>
      <c r="N1108" s="2"/>
      <c r="O1108" s="2"/>
      <c r="P1108" s="2"/>
      <c r="Q1108" s="2"/>
      <c r="R1108" s="2"/>
      <c r="S1108" s="2"/>
      <c r="T1108" s="2"/>
      <c r="U1108" s="2"/>
      <c r="V1108" s="2"/>
      <c r="W1108" s="2" t="str">
        <f>IFERROR(__xludf.DUMMYFUNCTION("""COMPUTED_VALUE"""),"VL103D")</f>
        <v>VL103D</v>
      </c>
      <c r="X1108" s="2"/>
      <c r="Y1108" s="2"/>
      <c r="Z1108" s="2"/>
      <c r="AA1108" s="2"/>
      <c r="AB1108" s="2"/>
    </row>
    <row r="1109">
      <c r="A1109" s="2"/>
      <c r="B1109" s="2"/>
      <c r="C1109" s="2"/>
      <c r="D1109" s="2"/>
      <c r="E1109" s="2"/>
      <c r="F1109" s="2"/>
      <c r="G1109" s="2"/>
      <c r="H1109" s="2"/>
      <c r="I1109" s="2"/>
      <c r="J1109" s="2"/>
      <c r="K1109" s="2"/>
      <c r="L1109" s="2"/>
      <c r="M1109" s="2"/>
      <c r="N1109" s="2"/>
      <c r="O1109" s="2"/>
      <c r="P1109" s="2"/>
      <c r="Q1109" s="2"/>
      <c r="R1109" s="2"/>
      <c r="S1109" s="2"/>
      <c r="T1109" s="2"/>
      <c r="U1109" s="2"/>
      <c r="V1109" s="2"/>
      <c r="W1109" s="2" t="str">
        <f>IFERROR(__xludf.DUMMYFUNCTION("""COMPUTED_VALUE"""),"VL103D")</f>
        <v>VL103D</v>
      </c>
      <c r="X1109" s="2"/>
      <c r="Y1109" s="2"/>
      <c r="Z1109" s="2"/>
      <c r="AA1109" s="2"/>
      <c r="AB1109" s="2"/>
    </row>
    <row r="1110">
      <c r="A1110" s="2"/>
      <c r="B1110" s="2"/>
      <c r="C1110" s="2"/>
      <c r="D1110" s="2"/>
      <c r="E1110" s="2"/>
      <c r="F1110" s="2"/>
      <c r="G1110" s="2"/>
      <c r="H1110" s="2"/>
      <c r="I1110" s="2"/>
      <c r="J1110" s="2"/>
      <c r="K1110" s="2"/>
      <c r="L1110" s="2"/>
      <c r="M1110" s="2"/>
      <c r="N1110" s="2"/>
      <c r="O1110" s="2"/>
      <c r="P1110" s="2"/>
      <c r="Q1110" s="2"/>
      <c r="R1110" s="2"/>
      <c r="S1110" s="2"/>
      <c r="T1110" s="2"/>
      <c r="U1110" s="2"/>
      <c r="V1110" s="2"/>
      <c r="W1110" s="2" t="str">
        <f>IFERROR(__xludf.DUMMYFUNCTION("""COMPUTED_VALUE"""),"VL103D")</f>
        <v>VL103D</v>
      </c>
      <c r="X1110" s="2"/>
      <c r="Y1110" s="2"/>
      <c r="Z1110" s="2"/>
      <c r="AA1110" s="2"/>
      <c r="AB1110" s="2"/>
    </row>
    <row r="1111">
      <c r="A1111" s="2"/>
      <c r="B1111" s="2"/>
      <c r="C1111" s="2"/>
      <c r="D1111" s="2"/>
      <c r="E1111" s="2"/>
      <c r="F1111" s="2"/>
      <c r="G1111" s="2"/>
      <c r="H1111" s="2"/>
      <c r="I1111" s="2"/>
      <c r="J1111" s="2"/>
      <c r="K1111" s="2"/>
      <c r="L1111" s="2"/>
      <c r="M1111" s="2"/>
      <c r="N1111" s="2"/>
      <c r="O1111" s="2"/>
      <c r="P1111" s="2"/>
      <c r="Q1111" s="2"/>
      <c r="R1111" s="2"/>
      <c r="S1111" s="2"/>
      <c r="T1111" s="2"/>
      <c r="U1111" s="2"/>
      <c r="V1111" s="2"/>
      <c r="W1111" s="2" t="str">
        <f>IFERROR(__xludf.DUMMYFUNCTION("""COMPUTED_VALUE"""),"VL103D")</f>
        <v>VL103D</v>
      </c>
      <c r="X1111" s="2"/>
      <c r="Y1111" s="2"/>
      <c r="Z1111" s="2"/>
      <c r="AA1111" s="2"/>
      <c r="AB1111" s="2"/>
    </row>
    <row r="1112">
      <c r="A1112" s="2"/>
      <c r="B1112" s="2"/>
      <c r="C1112" s="2"/>
      <c r="D1112" s="2"/>
      <c r="E1112" s="2"/>
      <c r="F1112" s="2"/>
      <c r="G1112" s="2"/>
      <c r="H1112" s="2"/>
      <c r="I1112" s="2"/>
      <c r="J1112" s="2"/>
      <c r="K1112" s="2"/>
      <c r="L1112" s="2"/>
      <c r="M1112" s="2"/>
      <c r="N1112" s="2"/>
      <c r="O1112" s="2"/>
      <c r="P1112" s="2"/>
      <c r="Q1112" s="2"/>
      <c r="R1112" s="2"/>
      <c r="S1112" s="2"/>
      <c r="T1112" s="2"/>
      <c r="U1112" s="2"/>
      <c r="V1112" s="2"/>
      <c r="W1112" s="2" t="str">
        <f>IFERROR(__xludf.DUMMYFUNCTION("""COMPUTED_VALUE"""),"VL103D")</f>
        <v>VL103D</v>
      </c>
      <c r="X1112" s="2"/>
      <c r="Y1112" s="2"/>
      <c r="Z1112" s="2"/>
      <c r="AA1112" s="2"/>
      <c r="AB1112" s="2"/>
    </row>
    <row r="1113">
      <c r="A1113" s="2"/>
      <c r="B1113" s="2"/>
      <c r="C1113" s="2"/>
      <c r="D1113" s="2"/>
      <c r="E1113" s="2"/>
      <c r="F1113" s="2"/>
      <c r="G1113" s="2"/>
      <c r="H1113" s="2"/>
      <c r="I1113" s="2"/>
      <c r="J1113" s="2"/>
      <c r="K1113" s="2"/>
      <c r="L1113" s="2"/>
      <c r="M1113" s="2"/>
      <c r="N1113" s="2"/>
      <c r="O1113" s="2"/>
      <c r="P1113" s="2"/>
      <c r="Q1113" s="2"/>
      <c r="R1113" s="2"/>
      <c r="S1113" s="2"/>
      <c r="T1113" s="2"/>
      <c r="U1113" s="2"/>
      <c r="V1113" s="2"/>
      <c r="W1113" s="2" t="str">
        <f>IFERROR(__xludf.DUMMYFUNCTION("""COMPUTED_VALUE"""),"VL103D")</f>
        <v>VL103D</v>
      </c>
      <c r="X1113" s="2"/>
      <c r="Y1113" s="2"/>
      <c r="Z1113" s="2"/>
      <c r="AA1113" s="2"/>
      <c r="AB1113" s="2"/>
    </row>
    <row r="1114">
      <c r="A1114" s="2"/>
      <c r="B1114" s="2"/>
      <c r="C1114" s="2"/>
      <c r="D1114" s="2"/>
      <c r="E1114" s="2"/>
      <c r="F1114" s="2"/>
      <c r="G1114" s="2"/>
      <c r="H1114" s="2"/>
      <c r="I1114" s="2"/>
      <c r="J1114" s="2"/>
      <c r="K1114" s="2"/>
      <c r="L1114" s="2"/>
      <c r="M1114" s="2"/>
      <c r="N1114" s="2"/>
      <c r="O1114" s="2"/>
      <c r="P1114" s="2"/>
      <c r="Q1114" s="2"/>
      <c r="R1114" s="2"/>
      <c r="S1114" s="2"/>
      <c r="T1114" s="2"/>
      <c r="U1114" s="2"/>
      <c r="V1114" s="2"/>
      <c r="W1114" s="2" t="str">
        <f>IFERROR(__xludf.DUMMYFUNCTION("""COMPUTED_VALUE"""),"VL103D")</f>
        <v>VL103D</v>
      </c>
      <c r="X1114" s="2"/>
      <c r="Y1114" s="2"/>
      <c r="Z1114" s="2"/>
      <c r="AA1114" s="2"/>
      <c r="AB1114" s="2"/>
    </row>
    <row r="1115">
      <c r="A1115" s="2"/>
      <c r="B1115" s="2"/>
      <c r="C1115" s="2"/>
      <c r="D1115" s="2"/>
      <c r="E1115" s="2"/>
      <c r="F1115" s="2"/>
      <c r="G1115" s="2"/>
      <c r="H1115" s="2"/>
      <c r="I1115" s="2"/>
      <c r="J1115" s="2"/>
      <c r="K1115" s="2"/>
      <c r="L1115" s="2"/>
      <c r="M1115" s="2"/>
      <c r="N1115" s="2"/>
      <c r="O1115" s="2"/>
      <c r="P1115" s="2"/>
      <c r="Q1115" s="2"/>
      <c r="R1115" s="2"/>
      <c r="S1115" s="2"/>
      <c r="T1115" s="2"/>
      <c r="U1115" s="2"/>
      <c r="V1115" s="2"/>
      <c r="W1115" s="2" t="str">
        <f>IFERROR(__xludf.DUMMYFUNCTION("""COMPUTED_VALUE"""),"VL103D")</f>
        <v>VL103D</v>
      </c>
      <c r="X1115" s="2"/>
      <c r="Y1115" s="2"/>
      <c r="Z1115" s="2"/>
      <c r="AA1115" s="2"/>
      <c r="AB1115" s="2"/>
    </row>
    <row r="1116">
      <c r="A1116" s="2"/>
      <c r="B1116" s="2"/>
      <c r="C1116" s="2"/>
      <c r="D1116" s="2"/>
      <c r="E1116" s="2"/>
      <c r="F1116" s="2"/>
      <c r="G1116" s="2"/>
      <c r="H1116" s="2"/>
      <c r="I1116" s="2"/>
      <c r="J1116" s="2"/>
      <c r="K1116" s="2"/>
      <c r="L1116" s="2"/>
      <c r="M1116" s="2"/>
      <c r="N1116" s="2"/>
      <c r="O1116" s="2"/>
      <c r="P1116" s="2"/>
      <c r="Q1116" s="2"/>
      <c r="R1116" s="2"/>
      <c r="S1116" s="2"/>
      <c r="T1116" s="2"/>
      <c r="U1116" s="2"/>
      <c r="V1116" s="2"/>
      <c r="W1116" s="2" t="str">
        <f>IFERROR(__xludf.DUMMYFUNCTION("""COMPUTED_VALUE"""),"VL103D")</f>
        <v>VL103D</v>
      </c>
      <c r="X1116" s="2"/>
      <c r="Y1116" s="2"/>
      <c r="Z1116" s="2"/>
      <c r="AA1116" s="2"/>
      <c r="AB1116" s="2"/>
    </row>
    <row r="1117">
      <c r="A1117" s="2"/>
      <c r="B1117" s="2"/>
      <c r="C1117" s="2"/>
      <c r="D1117" s="2"/>
      <c r="E1117" s="2"/>
      <c r="F1117" s="2"/>
      <c r="G1117" s="2"/>
      <c r="H1117" s="2"/>
      <c r="I1117" s="2"/>
      <c r="J1117" s="2"/>
      <c r="K1117" s="2"/>
      <c r="L1117" s="2"/>
      <c r="M1117" s="2"/>
      <c r="N1117" s="2"/>
      <c r="O1117" s="2"/>
      <c r="P1117" s="2"/>
      <c r="Q1117" s="2"/>
      <c r="R1117" s="2"/>
      <c r="S1117" s="2"/>
      <c r="T1117" s="2"/>
      <c r="U1117" s="2"/>
      <c r="V1117" s="2"/>
      <c r="W1117" s="2" t="str">
        <f>IFERROR(__xludf.DUMMYFUNCTION("""COMPUTED_VALUE"""),"VL103D")</f>
        <v>VL103D</v>
      </c>
      <c r="X1117" s="2"/>
      <c r="Y1117" s="2"/>
      <c r="Z1117" s="2"/>
      <c r="AA1117" s="2"/>
      <c r="AB1117" s="2"/>
    </row>
    <row r="1118">
      <c r="A1118" s="2"/>
      <c r="B1118" s="2"/>
      <c r="C1118" s="2"/>
      <c r="D1118" s="2"/>
      <c r="E1118" s="2"/>
      <c r="F1118" s="2"/>
      <c r="G1118" s="2"/>
      <c r="H1118" s="2"/>
      <c r="I1118" s="2"/>
      <c r="J1118" s="2"/>
      <c r="K1118" s="2"/>
      <c r="L1118" s="2"/>
      <c r="M1118" s="2"/>
      <c r="N1118" s="2"/>
      <c r="O1118" s="2"/>
      <c r="P1118" s="2"/>
      <c r="Q1118" s="2"/>
      <c r="R1118" s="2"/>
      <c r="S1118" s="2"/>
      <c r="T1118" s="2"/>
      <c r="U1118" s="2"/>
      <c r="V1118" s="2"/>
      <c r="W1118" s="2" t="str">
        <f>IFERROR(__xludf.DUMMYFUNCTION("""COMPUTED_VALUE"""),"VL103D")</f>
        <v>VL103D</v>
      </c>
      <c r="X1118" s="2"/>
      <c r="Y1118" s="2"/>
      <c r="Z1118" s="2"/>
      <c r="AA1118" s="2"/>
      <c r="AB1118" s="2"/>
    </row>
    <row r="1119">
      <c r="A1119" s="2"/>
      <c r="B1119" s="2"/>
      <c r="C1119" s="2"/>
      <c r="D1119" s="2"/>
      <c r="E1119" s="2"/>
      <c r="F1119" s="2"/>
      <c r="G1119" s="2"/>
      <c r="H1119" s="2"/>
      <c r="I1119" s="2"/>
      <c r="J1119" s="2"/>
      <c r="K1119" s="2"/>
      <c r="L1119" s="2"/>
      <c r="M1119" s="2"/>
      <c r="N1119" s="2"/>
      <c r="O1119" s="2"/>
      <c r="P1119" s="2"/>
      <c r="Q1119" s="2"/>
      <c r="R1119" s="2"/>
      <c r="S1119" s="2"/>
      <c r="T1119" s="2"/>
      <c r="U1119" s="2"/>
      <c r="V1119" s="2"/>
      <c r="W1119" s="2" t="str">
        <f>IFERROR(__xludf.DUMMYFUNCTION("""COMPUTED_VALUE"""),"VL103D")</f>
        <v>VL103D</v>
      </c>
      <c r="X1119" s="2"/>
      <c r="Y1119" s="2"/>
      <c r="Z1119" s="2"/>
      <c r="AA1119" s="2"/>
      <c r="AB1119" s="2"/>
    </row>
    <row r="1120">
      <c r="A1120" s="2"/>
      <c r="B1120" s="2"/>
      <c r="C1120" s="2"/>
      <c r="D1120" s="2"/>
      <c r="E1120" s="2"/>
      <c r="F1120" s="2"/>
      <c r="G1120" s="2"/>
      <c r="H1120" s="2"/>
      <c r="I1120" s="2"/>
      <c r="J1120" s="2"/>
      <c r="K1120" s="2"/>
      <c r="L1120" s="2"/>
      <c r="M1120" s="2"/>
      <c r="N1120" s="2"/>
      <c r="O1120" s="2"/>
      <c r="P1120" s="2"/>
      <c r="Q1120" s="2"/>
      <c r="R1120" s="2"/>
      <c r="S1120" s="2"/>
      <c r="T1120" s="2"/>
      <c r="U1120" s="2"/>
      <c r="V1120" s="2"/>
      <c r="W1120" s="2" t="str">
        <f>IFERROR(__xludf.DUMMYFUNCTION("""COMPUTED_VALUE"""),"VL103D")</f>
        <v>VL103D</v>
      </c>
      <c r="X1120" s="2"/>
      <c r="Y1120" s="2"/>
      <c r="Z1120" s="2"/>
      <c r="AA1120" s="2"/>
      <c r="AB1120" s="2"/>
    </row>
    <row r="1121">
      <c r="A1121" s="2"/>
      <c r="B1121" s="2"/>
      <c r="C1121" s="2"/>
      <c r="D1121" s="2"/>
      <c r="E1121" s="2"/>
      <c r="F1121" s="2"/>
      <c r="G1121" s="2"/>
      <c r="H1121" s="2"/>
      <c r="I1121" s="2"/>
      <c r="J1121" s="2"/>
      <c r="K1121" s="2"/>
      <c r="L1121" s="2"/>
      <c r="M1121" s="2"/>
      <c r="N1121" s="2"/>
      <c r="O1121" s="2"/>
      <c r="P1121" s="2"/>
      <c r="Q1121" s="2"/>
      <c r="R1121" s="2"/>
      <c r="S1121" s="2"/>
      <c r="T1121" s="2"/>
      <c r="U1121" s="2"/>
      <c r="V1121" s="2"/>
      <c r="W1121" s="2" t="str">
        <f>IFERROR(__xludf.DUMMYFUNCTION("""COMPUTED_VALUE"""),"VL103D")</f>
        <v>VL103D</v>
      </c>
      <c r="X1121" s="2"/>
      <c r="Y1121" s="2"/>
      <c r="Z1121" s="2"/>
      <c r="AA1121" s="2"/>
      <c r="AB1121" s="2"/>
    </row>
    <row r="1122">
      <c r="A1122" s="2"/>
      <c r="B1122" s="2"/>
      <c r="C1122" s="2"/>
      <c r="D1122" s="2"/>
      <c r="E1122" s="2"/>
      <c r="F1122" s="2"/>
      <c r="G1122" s="2"/>
      <c r="H1122" s="2"/>
      <c r="I1122" s="2"/>
      <c r="J1122" s="2"/>
      <c r="K1122" s="2"/>
      <c r="L1122" s="2"/>
      <c r="M1122" s="2"/>
      <c r="N1122" s="2"/>
      <c r="O1122" s="2"/>
      <c r="P1122" s="2"/>
      <c r="Q1122" s="2"/>
      <c r="R1122" s="2"/>
      <c r="S1122" s="2"/>
      <c r="T1122" s="2"/>
      <c r="U1122" s="2"/>
      <c r="V1122" s="2"/>
      <c r="W1122" s="2" t="str">
        <f>IFERROR(__xludf.DUMMYFUNCTION("""COMPUTED_VALUE"""),"VL103D")</f>
        <v>VL103D</v>
      </c>
      <c r="X1122" s="2"/>
      <c r="Y1122" s="2"/>
      <c r="Z1122" s="2"/>
      <c r="AA1122" s="2"/>
      <c r="AB1122" s="2"/>
    </row>
    <row r="1123">
      <c r="A1123" s="2"/>
      <c r="B1123" s="2"/>
      <c r="C1123" s="2"/>
      <c r="D1123" s="2"/>
      <c r="E1123" s="2"/>
      <c r="F1123" s="2"/>
      <c r="G1123" s="2"/>
      <c r="H1123" s="2"/>
      <c r="I1123" s="2"/>
      <c r="J1123" s="2"/>
      <c r="K1123" s="2"/>
      <c r="L1123" s="2"/>
      <c r="M1123" s="2"/>
      <c r="N1123" s="2"/>
      <c r="O1123" s="2"/>
      <c r="P1123" s="2"/>
      <c r="Q1123" s="2"/>
      <c r="R1123" s="2"/>
      <c r="S1123" s="2"/>
      <c r="T1123" s="2"/>
      <c r="U1123" s="2"/>
      <c r="V1123" s="2"/>
      <c r="W1123" s="2" t="str">
        <f>IFERROR(__xludf.DUMMYFUNCTION("""COMPUTED_VALUE"""),"VL103D")</f>
        <v>VL103D</v>
      </c>
      <c r="X1123" s="2"/>
      <c r="Y1123" s="2"/>
      <c r="Z1123" s="2"/>
      <c r="AA1123" s="2"/>
      <c r="AB1123" s="2"/>
    </row>
    <row r="1124">
      <c r="A1124" s="2"/>
      <c r="B1124" s="2"/>
      <c r="C1124" s="2"/>
      <c r="D1124" s="2"/>
      <c r="E1124" s="2"/>
      <c r="F1124" s="2"/>
      <c r="G1124" s="2"/>
      <c r="H1124" s="2"/>
      <c r="I1124" s="2"/>
      <c r="J1124" s="2"/>
      <c r="K1124" s="2"/>
      <c r="L1124" s="2"/>
      <c r="M1124" s="2"/>
      <c r="N1124" s="2"/>
      <c r="O1124" s="2"/>
      <c r="P1124" s="2"/>
      <c r="Q1124" s="2"/>
      <c r="R1124" s="2"/>
      <c r="S1124" s="2"/>
      <c r="T1124" s="2"/>
      <c r="U1124" s="2"/>
      <c r="V1124" s="2"/>
      <c r="W1124" s="2" t="str">
        <f>IFERROR(__xludf.DUMMYFUNCTION("""COMPUTED_VALUE"""),"VL103D")</f>
        <v>VL103D</v>
      </c>
      <c r="X1124" s="2"/>
      <c r="Y1124" s="2"/>
      <c r="Z1124" s="2"/>
      <c r="AA1124" s="2"/>
      <c r="AB1124" s="2"/>
    </row>
    <row r="1125">
      <c r="A1125" s="2"/>
      <c r="B1125" s="2"/>
      <c r="C1125" s="2"/>
      <c r="D1125" s="2"/>
      <c r="E1125" s="2"/>
      <c r="F1125" s="2"/>
      <c r="G1125" s="2"/>
      <c r="H1125" s="2"/>
      <c r="I1125" s="2"/>
      <c r="J1125" s="2"/>
      <c r="K1125" s="2"/>
      <c r="L1125" s="2"/>
      <c r="M1125" s="2"/>
      <c r="N1125" s="2"/>
      <c r="O1125" s="2"/>
      <c r="P1125" s="2"/>
      <c r="Q1125" s="2"/>
      <c r="R1125" s="2"/>
      <c r="S1125" s="2"/>
      <c r="T1125" s="2"/>
      <c r="U1125" s="2"/>
      <c r="V1125" s="2"/>
      <c r="W1125" s="2" t="str">
        <f>IFERROR(__xludf.DUMMYFUNCTION("""COMPUTED_VALUE"""),"VL103D")</f>
        <v>VL103D</v>
      </c>
      <c r="X1125" s="2"/>
      <c r="Y1125" s="2"/>
      <c r="Z1125" s="2"/>
      <c r="AA1125" s="2"/>
      <c r="AB1125" s="2"/>
    </row>
    <row r="1126">
      <c r="A1126" s="2"/>
      <c r="B1126" s="2"/>
      <c r="C1126" s="2"/>
      <c r="D1126" s="2"/>
      <c r="E1126" s="2"/>
      <c r="F1126" s="2"/>
      <c r="G1126" s="2"/>
      <c r="H1126" s="2"/>
      <c r="I1126" s="2"/>
      <c r="J1126" s="2"/>
      <c r="K1126" s="2"/>
      <c r="L1126" s="2"/>
      <c r="M1126" s="2"/>
      <c r="N1126" s="2"/>
      <c r="O1126" s="2"/>
      <c r="P1126" s="2"/>
      <c r="Q1126" s="2"/>
      <c r="R1126" s="2"/>
      <c r="S1126" s="2"/>
      <c r="T1126" s="2"/>
      <c r="U1126" s="2"/>
      <c r="V1126" s="2"/>
      <c r="W1126" s="2" t="str">
        <f>IFERROR(__xludf.DUMMYFUNCTION("""COMPUTED_VALUE"""),"VL103D")</f>
        <v>VL103D</v>
      </c>
      <c r="X1126" s="2"/>
      <c r="Y1126" s="2"/>
      <c r="Z1126" s="2"/>
      <c r="AA1126" s="2"/>
      <c r="AB1126" s="2"/>
    </row>
    <row r="1127">
      <c r="A1127" s="2"/>
      <c r="B1127" s="2"/>
      <c r="C1127" s="2"/>
      <c r="D1127" s="2"/>
      <c r="E1127" s="2"/>
      <c r="F1127" s="2"/>
      <c r="G1127" s="2"/>
      <c r="H1127" s="2"/>
      <c r="I1127" s="2"/>
      <c r="J1127" s="2"/>
      <c r="K1127" s="2"/>
      <c r="L1127" s="2"/>
      <c r="M1127" s="2"/>
      <c r="N1127" s="2"/>
      <c r="O1127" s="2"/>
      <c r="P1127" s="2"/>
      <c r="Q1127" s="2"/>
      <c r="R1127" s="2"/>
      <c r="S1127" s="2"/>
      <c r="T1127" s="2"/>
      <c r="U1127" s="2"/>
      <c r="V1127" s="2"/>
      <c r="W1127" s="2" t="str">
        <f>IFERROR(__xludf.DUMMYFUNCTION("""COMPUTED_VALUE"""),"VL103D")</f>
        <v>VL103D</v>
      </c>
      <c r="X1127" s="2"/>
      <c r="Y1127" s="2"/>
      <c r="Z1127" s="2"/>
      <c r="AA1127" s="2"/>
      <c r="AB1127" s="2"/>
    </row>
    <row r="1128">
      <c r="A1128" s="2"/>
      <c r="B1128" s="2"/>
      <c r="C1128" s="2"/>
      <c r="D1128" s="2"/>
      <c r="E1128" s="2"/>
      <c r="F1128" s="2"/>
      <c r="G1128" s="2"/>
      <c r="H1128" s="2"/>
      <c r="I1128" s="2"/>
      <c r="J1128" s="2"/>
      <c r="K1128" s="2"/>
      <c r="L1128" s="2"/>
      <c r="M1128" s="2"/>
      <c r="N1128" s="2"/>
      <c r="O1128" s="2"/>
      <c r="P1128" s="2"/>
      <c r="Q1128" s="2"/>
      <c r="R1128" s="2"/>
      <c r="S1128" s="2"/>
      <c r="T1128" s="2"/>
      <c r="U1128" s="2"/>
      <c r="V1128" s="2"/>
      <c r="W1128" s="2" t="str">
        <f>IFERROR(__xludf.DUMMYFUNCTION("""COMPUTED_VALUE"""),"VL103D")</f>
        <v>VL103D</v>
      </c>
      <c r="X1128" s="2"/>
      <c r="Y1128" s="2"/>
      <c r="Z1128" s="2"/>
      <c r="AA1128" s="2"/>
      <c r="AB1128" s="2"/>
    </row>
    <row r="1129">
      <c r="A1129" s="2"/>
      <c r="B1129" s="2"/>
      <c r="C1129" s="2"/>
      <c r="D1129" s="2"/>
      <c r="E1129" s="2"/>
      <c r="F1129" s="2"/>
      <c r="G1129" s="2"/>
      <c r="H1129" s="2"/>
      <c r="I1129" s="2"/>
      <c r="J1129" s="2"/>
      <c r="K1129" s="2"/>
      <c r="L1129" s="2"/>
      <c r="M1129" s="2"/>
      <c r="N1129" s="2"/>
      <c r="O1129" s="2"/>
      <c r="P1129" s="2"/>
      <c r="Q1129" s="2"/>
      <c r="R1129" s="2"/>
      <c r="S1129" s="2"/>
      <c r="T1129" s="2"/>
      <c r="U1129" s="2"/>
      <c r="V1129" s="2"/>
      <c r="W1129" s="2" t="str">
        <f>IFERROR(__xludf.DUMMYFUNCTION("""COMPUTED_VALUE"""),"VL103D")</f>
        <v>VL103D</v>
      </c>
      <c r="X1129" s="2"/>
      <c r="Y1129" s="2"/>
      <c r="Z1129" s="2"/>
      <c r="AA1129" s="2"/>
      <c r="AB1129" s="2"/>
    </row>
    <row r="1130">
      <c r="A1130" s="2"/>
      <c r="B1130" s="2"/>
      <c r="C1130" s="2"/>
      <c r="D1130" s="2"/>
      <c r="E1130" s="2"/>
      <c r="F1130" s="2"/>
      <c r="G1130" s="2"/>
      <c r="H1130" s="2"/>
      <c r="I1130" s="2"/>
      <c r="J1130" s="2"/>
      <c r="K1130" s="2"/>
      <c r="L1130" s="2"/>
      <c r="M1130" s="2"/>
      <c r="N1130" s="2"/>
      <c r="O1130" s="2"/>
      <c r="P1130" s="2"/>
      <c r="Q1130" s="2"/>
      <c r="R1130" s="2"/>
      <c r="S1130" s="2"/>
      <c r="T1130" s="2"/>
      <c r="U1130" s="2"/>
      <c r="V1130" s="2"/>
      <c r="W1130" s="2" t="str">
        <f>IFERROR(__xludf.DUMMYFUNCTION("""COMPUTED_VALUE"""),"VL103D")</f>
        <v>VL103D</v>
      </c>
      <c r="X1130" s="2"/>
      <c r="Y1130" s="2"/>
      <c r="Z1130" s="2"/>
      <c r="AA1130" s="2"/>
      <c r="AB1130" s="2"/>
    </row>
    <row r="1131">
      <c r="A1131" s="2"/>
      <c r="B1131" s="2"/>
      <c r="C1131" s="2"/>
      <c r="D1131" s="2"/>
      <c r="E1131" s="2"/>
      <c r="F1131" s="2"/>
      <c r="G1131" s="2"/>
      <c r="H1131" s="2"/>
      <c r="I1131" s="2"/>
      <c r="J1131" s="2"/>
      <c r="K1131" s="2"/>
      <c r="L1131" s="2"/>
      <c r="M1131" s="2"/>
      <c r="N1131" s="2"/>
      <c r="O1131" s="2"/>
      <c r="P1131" s="2"/>
      <c r="Q1131" s="2"/>
      <c r="R1131" s="2"/>
      <c r="S1131" s="2"/>
      <c r="T1131" s="2"/>
      <c r="U1131" s="2"/>
      <c r="V1131" s="2"/>
      <c r="W1131" s="2" t="str">
        <f>IFERROR(__xludf.DUMMYFUNCTION("""COMPUTED_VALUE"""),"VL103D")</f>
        <v>VL103D</v>
      </c>
      <c r="X1131" s="2"/>
      <c r="Y1131" s="2"/>
      <c r="Z1131" s="2"/>
      <c r="AA1131" s="2"/>
      <c r="AB1131" s="2"/>
    </row>
    <row r="1132">
      <c r="A1132" s="2"/>
      <c r="B1132" s="2"/>
      <c r="C1132" s="2"/>
      <c r="D1132" s="2"/>
      <c r="E1132" s="2"/>
      <c r="F1132" s="2"/>
      <c r="G1132" s="2"/>
      <c r="H1132" s="2"/>
      <c r="I1132" s="2"/>
      <c r="J1132" s="2"/>
      <c r="K1132" s="2"/>
      <c r="L1132" s="2"/>
      <c r="M1132" s="2"/>
      <c r="N1132" s="2"/>
      <c r="O1132" s="2"/>
      <c r="P1132" s="2"/>
      <c r="Q1132" s="2"/>
      <c r="R1132" s="2"/>
      <c r="S1132" s="2"/>
      <c r="T1132" s="2"/>
      <c r="U1132" s="2"/>
      <c r="V1132" s="2"/>
      <c r="W1132" s="2" t="str">
        <f>IFERROR(__xludf.DUMMYFUNCTION("""COMPUTED_VALUE"""),"VL103D")</f>
        <v>VL103D</v>
      </c>
      <c r="X1132" s="2"/>
      <c r="Y1132" s="2"/>
      <c r="Z1132" s="2"/>
      <c r="AA1132" s="2"/>
      <c r="AB1132" s="2"/>
    </row>
    <row r="1133">
      <c r="A1133" s="2"/>
      <c r="B1133" s="2"/>
      <c r="C1133" s="2"/>
      <c r="D1133" s="2"/>
      <c r="E1133" s="2"/>
      <c r="F1133" s="2"/>
      <c r="G1133" s="2"/>
      <c r="H1133" s="2"/>
      <c r="I1133" s="2"/>
      <c r="J1133" s="2"/>
      <c r="K1133" s="2"/>
      <c r="L1133" s="2"/>
      <c r="M1133" s="2"/>
      <c r="N1133" s="2"/>
      <c r="O1133" s="2"/>
      <c r="P1133" s="2"/>
      <c r="Q1133" s="2"/>
      <c r="R1133" s="2"/>
      <c r="S1133" s="2"/>
      <c r="T1133" s="2"/>
      <c r="U1133" s="2"/>
      <c r="V1133" s="2"/>
      <c r="W1133" s="2" t="str">
        <f>IFERROR(__xludf.DUMMYFUNCTION("""COMPUTED_VALUE"""),"VL103D")</f>
        <v>VL103D</v>
      </c>
      <c r="X1133" s="2"/>
      <c r="Y1133" s="2"/>
      <c r="Z1133" s="2"/>
      <c r="AA1133" s="2"/>
      <c r="AB1133" s="2"/>
    </row>
    <row r="1134">
      <c r="A1134" s="2"/>
      <c r="B1134" s="2"/>
      <c r="C1134" s="2"/>
      <c r="D1134" s="2"/>
      <c r="E1134" s="2"/>
      <c r="F1134" s="2"/>
      <c r="G1134" s="2"/>
      <c r="H1134" s="2"/>
      <c r="I1134" s="2"/>
      <c r="J1134" s="2"/>
      <c r="K1134" s="2"/>
      <c r="L1134" s="2"/>
      <c r="M1134" s="2"/>
      <c r="N1134" s="2"/>
      <c r="O1134" s="2"/>
      <c r="P1134" s="2"/>
      <c r="Q1134" s="2"/>
      <c r="R1134" s="2"/>
      <c r="S1134" s="2"/>
      <c r="T1134" s="2"/>
      <c r="U1134" s="2"/>
      <c r="V1134" s="2"/>
      <c r="W1134" s="2" t="str">
        <f>IFERROR(__xludf.DUMMYFUNCTION("""COMPUTED_VALUE"""),"VL103D")</f>
        <v>VL103D</v>
      </c>
      <c r="X1134" s="2"/>
      <c r="Y1134" s="2"/>
      <c r="Z1134" s="2"/>
      <c r="AA1134" s="2"/>
      <c r="AB1134" s="2"/>
    </row>
    <row r="1135">
      <c r="A1135" s="2"/>
      <c r="B1135" s="2"/>
      <c r="C1135" s="2"/>
      <c r="D1135" s="2"/>
      <c r="E1135" s="2"/>
      <c r="F1135" s="2"/>
      <c r="G1135" s="2"/>
      <c r="H1135" s="2"/>
      <c r="I1135" s="2"/>
      <c r="J1135" s="2"/>
      <c r="K1135" s="2"/>
      <c r="L1135" s="2"/>
      <c r="M1135" s="2"/>
      <c r="N1135" s="2"/>
      <c r="O1135" s="2"/>
      <c r="P1135" s="2"/>
      <c r="Q1135" s="2"/>
      <c r="R1135" s="2"/>
      <c r="S1135" s="2"/>
      <c r="T1135" s="2"/>
      <c r="U1135" s="2"/>
      <c r="V1135" s="2"/>
      <c r="W1135" s="2" t="str">
        <f>IFERROR(__xludf.DUMMYFUNCTION("""COMPUTED_VALUE"""),"VL103D")</f>
        <v>VL103D</v>
      </c>
      <c r="X1135" s="2"/>
      <c r="Y1135" s="2"/>
      <c r="Z1135" s="2"/>
      <c r="AA1135" s="2"/>
      <c r="AB1135" s="2"/>
    </row>
    <row r="1136">
      <c r="A1136" s="2"/>
      <c r="B1136" s="2"/>
      <c r="C1136" s="2"/>
      <c r="D1136" s="2"/>
      <c r="E1136" s="2"/>
      <c r="F1136" s="2"/>
      <c r="G1136" s="2"/>
      <c r="H1136" s="2"/>
      <c r="I1136" s="2"/>
      <c r="J1136" s="2"/>
      <c r="K1136" s="2"/>
      <c r="L1136" s="2"/>
      <c r="M1136" s="2"/>
      <c r="N1136" s="2"/>
      <c r="O1136" s="2"/>
      <c r="P1136" s="2"/>
      <c r="Q1136" s="2"/>
      <c r="R1136" s="2"/>
      <c r="S1136" s="2"/>
      <c r="T1136" s="2"/>
      <c r="U1136" s="2"/>
      <c r="V1136" s="2"/>
      <c r="W1136" s="2" t="str">
        <f>IFERROR(__xludf.DUMMYFUNCTION("""COMPUTED_VALUE"""),"VL103D")</f>
        <v>VL103D</v>
      </c>
      <c r="X1136" s="2"/>
      <c r="Y1136" s="2"/>
      <c r="Z1136" s="2"/>
      <c r="AA1136" s="2"/>
      <c r="AB1136" s="2"/>
    </row>
    <row r="1137">
      <c r="A1137" s="2"/>
      <c r="B1137" s="2"/>
      <c r="C1137" s="2"/>
      <c r="D1137" s="2"/>
      <c r="E1137" s="2"/>
      <c r="F1137" s="2"/>
      <c r="G1137" s="2"/>
      <c r="H1137" s="2"/>
      <c r="I1137" s="2"/>
      <c r="J1137" s="2"/>
      <c r="K1137" s="2"/>
      <c r="L1137" s="2"/>
      <c r="M1137" s="2"/>
      <c r="N1137" s="2"/>
      <c r="O1137" s="2"/>
      <c r="P1137" s="2"/>
      <c r="Q1137" s="2"/>
      <c r="R1137" s="2"/>
      <c r="S1137" s="2"/>
      <c r="T1137" s="2"/>
      <c r="U1137" s="2"/>
      <c r="V1137" s="2"/>
      <c r="W1137" s="2" t="str">
        <f>IFERROR(__xludf.DUMMYFUNCTION("""COMPUTED_VALUE"""),"VL103D")</f>
        <v>VL103D</v>
      </c>
      <c r="X1137" s="2"/>
      <c r="Y1137" s="2"/>
      <c r="Z1137" s="2"/>
      <c r="AA1137" s="2"/>
      <c r="AB1137" s="2"/>
    </row>
    <row r="1138">
      <c r="A1138" s="2"/>
      <c r="B1138" s="2"/>
      <c r="C1138" s="2"/>
      <c r="D1138" s="2"/>
      <c r="E1138" s="2"/>
      <c r="F1138" s="2"/>
      <c r="G1138" s="2"/>
      <c r="H1138" s="2"/>
      <c r="I1138" s="2"/>
      <c r="J1138" s="2"/>
      <c r="K1138" s="2"/>
      <c r="L1138" s="2"/>
      <c r="M1138" s="2"/>
      <c r="N1138" s="2"/>
      <c r="O1138" s="2"/>
      <c r="P1138" s="2"/>
      <c r="Q1138" s="2"/>
      <c r="R1138" s="2"/>
      <c r="S1138" s="2"/>
      <c r="T1138" s="2"/>
      <c r="U1138" s="2"/>
      <c r="V1138" s="2"/>
      <c r="W1138" s="2" t="str">
        <f>IFERROR(__xludf.DUMMYFUNCTION("""COMPUTED_VALUE"""),"VL103D")</f>
        <v>VL103D</v>
      </c>
      <c r="X1138" s="2"/>
      <c r="Y1138" s="2"/>
      <c r="Z1138" s="2"/>
      <c r="AA1138" s="2"/>
      <c r="AB1138" s="2"/>
    </row>
    <row r="1139">
      <c r="A1139" s="2"/>
      <c r="B1139" s="2"/>
      <c r="C1139" s="2"/>
      <c r="D1139" s="2"/>
      <c r="E1139" s="2"/>
      <c r="F1139" s="2"/>
      <c r="G1139" s="2"/>
      <c r="H1139" s="2"/>
      <c r="I1139" s="2"/>
      <c r="J1139" s="2"/>
      <c r="K1139" s="2"/>
      <c r="L1139" s="2"/>
      <c r="M1139" s="2"/>
      <c r="N1139" s="2"/>
      <c r="O1139" s="2"/>
      <c r="P1139" s="2"/>
      <c r="Q1139" s="2"/>
      <c r="R1139" s="2"/>
      <c r="S1139" s="2"/>
      <c r="T1139" s="2"/>
      <c r="U1139" s="2"/>
      <c r="V1139" s="2"/>
      <c r="W1139" s="2" t="str">
        <f>IFERROR(__xludf.DUMMYFUNCTION("""COMPUTED_VALUE"""),"VL103D")</f>
        <v>VL103D</v>
      </c>
      <c r="X1139" s="2"/>
      <c r="Y1139" s="2"/>
      <c r="Z1139" s="2"/>
      <c r="AA1139" s="2"/>
      <c r="AB1139" s="2"/>
    </row>
    <row r="1140">
      <c r="A1140" s="2"/>
      <c r="B1140" s="2"/>
      <c r="C1140" s="2"/>
      <c r="D1140" s="2"/>
      <c r="E1140" s="2"/>
      <c r="F1140" s="2"/>
      <c r="G1140" s="2"/>
      <c r="H1140" s="2"/>
      <c r="I1140" s="2"/>
      <c r="J1140" s="2"/>
      <c r="K1140" s="2"/>
      <c r="L1140" s="2"/>
      <c r="M1140" s="2"/>
      <c r="N1140" s="2"/>
      <c r="O1140" s="2"/>
      <c r="P1140" s="2"/>
      <c r="Q1140" s="2"/>
      <c r="R1140" s="2"/>
      <c r="S1140" s="2"/>
      <c r="T1140" s="2"/>
      <c r="U1140" s="2"/>
      <c r="V1140" s="2"/>
      <c r="W1140" s="2" t="str">
        <f>IFERROR(__xludf.DUMMYFUNCTION("""COMPUTED_VALUE"""),"VL103D")</f>
        <v>VL103D</v>
      </c>
      <c r="X1140" s="2"/>
      <c r="Y1140" s="2"/>
      <c r="Z1140" s="2"/>
      <c r="AA1140" s="2"/>
      <c r="AB1140" s="2"/>
    </row>
    <row r="1141">
      <c r="A1141" s="2"/>
      <c r="B1141" s="2"/>
      <c r="C1141" s="2"/>
      <c r="D1141" s="2"/>
      <c r="E1141" s="2"/>
      <c r="F1141" s="2"/>
      <c r="G1141" s="2"/>
      <c r="H1141" s="2"/>
      <c r="I1141" s="2"/>
      <c r="J1141" s="2"/>
      <c r="K1141" s="2"/>
      <c r="L1141" s="2"/>
      <c r="M1141" s="2"/>
      <c r="N1141" s="2"/>
      <c r="O1141" s="2"/>
      <c r="P1141" s="2"/>
      <c r="Q1141" s="2"/>
      <c r="R1141" s="2"/>
      <c r="S1141" s="2"/>
      <c r="T1141" s="2"/>
      <c r="U1141" s="2"/>
      <c r="V1141" s="2"/>
      <c r="W1141" s="2" t="str">
        <f>IFERROR(__xludf.DUMMYFUNCTION("""COMPUTED_VALUE"""),"VL103D")</f>
        <v>VL103D</v>
      </c>
      <c r="X1141" s="2"/>
      <c r="Y1141" s="2"/>
      <c r="Z1141" s="2"/>
      <c r="AA1141" s="2"/>
      <c r="AB1141" s="2"/>
    </row>
    <row r="1142">
      <c r="A1142" s="2"/>
      <c r="B1142" s="2"/>
      <c r="C1142" s="2"/>
      <c r="D1142" s="2"/>
      <c r="E1142" s="2"/>
      <c r="F1142" s="2"/>
      <c r="G1142" s="2"/>
      <c r="H1142" s="2"/>
      <c r="I1142" s="2"/>
      <c r="J1142" s="2"/>
      <c r="K1142" s="2"/>
      <c r="L1142" s="2"/>
      <c r="M1142" s="2"/>
      <c r="N1142" s="2"/>
      <c r="O1142" s="2"/>
      <c r="P1142" s="2"/>
      <c r="Q1142" s="2"/>
      <c r="R1142" s="2"/>
      <c r="S1142" s="2"/>
      <c r="T1142" s="2"/>
      <c r="U1142" s="2"/>
      <c r="V1142" s="2"/>
      <c r="W1142" s="2" t="str">
        <f>IFERROR(__xludf.DUMMYFUNCTION("""COMPUTED_VALUE"""),"VL103D")</f>
        <v>VL103D</v>
      </c>
      <c r="X1142" s="2"/>
      <c r="Y1142" s="2"/>
      <c r="Z1142" s="2"/>
      <c r="AA1142" s="2"/>
      <c r="AB1142" s="2"/>
    </row>
    <row r="1143">
      <c r="A1143" s="2"/>
      <c r="B1143" s="2"/>
      <c r="C1143" s="2"/>
      <c r="D1143" s="2"/>
      <c r="E1143" s="2"/>
      <c r="F1143" s="2"/>
      <c r="G1143" s="2"/>
      <c r="H1143" s="2"/>
      <c r="I1143" s="2"/>
      <c r="J1143" s="2"/>
      <c r="K1143" s="2"/>
      <c r="L1143" s="2"/>
      <c r="M1143" s="2"/>
      <c r="N1143" s="2"/>
      <c r="O1143" s="2"/>
      <c r="P1143" s="2"/>
      <c r="Q1143" s="2"/>
      <c r="R1143" s="2"/>
      <c r="S1143" s="2"/>
      <c r="T1143" s="2"/>
      <c r="U1143" s="2"/>
      <c r="V1143" s="2"/>
      <c r="W1143" s="2" t="str">
        <f>IFERROR(__xludf.DUMMYFUNCTION("""COMPUTED_VALUE"""),"VL103D")</f>
        <v>VL103D</v>
      </c>
      <c r="X1143" s="2"/>
      <c r="Y1143" s="2"/>
      <c r="Z1143" s="2"/>
      <c r="AA1143" s="2"/>
      <c r="AB1143" s="2"/>
    </row>
    <row r="1144">
      <c r="A1144" s="2"/>
      <c r="B1144" s="2"/>
      <c r="C1144" s="2"/>
      <c r="D1144" s="2"/>
      <c r="E1144" s="2"/>
      <c r="F1144" s="2"/>
      <c r="G1144" s="2"/>
      <c r="H1144" s="2"/>
      <c r="I1144" s="2"/>
      <c r="J1144" s="2"/>
      <c r="K1144" s="2"/>
      <c r="L1144" s="2"/>
      <c r="M1144" s="2"/>
      <c r="N1144" s="2"/>
      <c r="O1144" s="2"/>
      <c r="P1144" s="2"/>
      <c r="Q1144" s="2"/>
      <c r="R1144" s="2"/>
      <c r="S1144" s="2"/>
      <c r="T1144" s="2"/>
      <c r="U1144" s="2"/>
      <c r="V1144" s="2"/>
      <c r="W1144" s="2" t="str">
        <f>IFERROR(__xludf.DUMMYFUNCTION("""COMPUTED_VALUE"""),"VL103D")</f>
        <v>VL103D</v>
      </c>
      <c r="X1144" s="2"/>
      <c r="Y1144" s="2"/>
      <c r="Z1144" s="2"/>
      <c r="AA1144" s="2"/>
      <c r="AB1144" s="2"/>
    </row>
    <row r="1145">
      <c r="A1145" s="2"/>
      <c r="B1145" s="2"/>
      <c r="C1145" s="2"/>
      <c r="D1145" s="2"/>
      <c r="E1145" s="2"/>
      <c r="F1145" s="2"/>
      <c r="G1145" s="2"/>
      <c r="H1145" s="2"/>
      <c r="I1145" s="2"/>
      <c r="J1145" s="2"/>
      <c r="K1145" s="2"/>
      <c r="L1145" s="2"/>
      <c r="M1145" s="2"/>
      <c r="N1145" s="2"/>
      <c r="O1145" s="2"/>
      <c r="P1145" s="2"/>
      <c r="Q1145" s="2"/>
      <c r="R1145" s="2"/>
      <c r="S1145" s="2"/>
      <c r="T1145" s="2"/>
      <c r="U1145" s="2"/>
      <c r="V1145" s="2"/>
      <c r="W1145" s="2" t="str">
        <f>IFERROR(__xludf.DUMMYFUNCTION("""COMPUTED_VALUE"""),"VL103D")</f>
        <v>VL103D</v>
      </c>
      <c r="X1145" s="2"/>
      <c r="Y1145" s="2"/>
      <c r="Z1145" s="2"/>
      <c r="AA1145" s="2"/>
      <c r="AB1145" s="2"/>
    </row>
    <row r="1146">
      <c r="A1146" s="2"/>
      <c r="B1146" s="2"/>
      <c r="C1146" s="2"/>
      <c r="D1146" s="2"/>
      <c r="E1146" s="2"/>
      <c r="F1146" s="2"/>
      <c r="G1146" s="2"/>
      <c r="H1146" s="2"/>
      <c r="I1146" s="2"/>
      <c r="J1146" s="2"/>
      <c r="K1146" s="2"/>
      <c r="L1146" s="2"/>
      <c r="M1146" s="2"/>
      <c r="N1146" s="2"/>
      <c r="O1146" s="2"/>
      <c r="P1146" s="2"/>
      <c r="Q1146" s="2"/>
      <c r="R1146" s="2"/>
      <c r="S1146" s="2"/>
      <c r="T1146" s="2"/>
      <c r="U1146" s="2"/>
      <c r="V1146" s="2"/>
      <c r="W1146" s="2" t="str">
        <f>IFERROR(__xludf.DUMMYFUNCTION("""COMPUTED_VALUE"""),"VL103D")</f>
        <v>VL103D</v>
      </c>
      <c r="X1146" s="2"/>
      <c r="Y1146" s="2"/>
      <c r="Z1146" s="2"/>
      <c r="AA1146" s="2"/>
      <c r="AB1146" s="2"/>
    </row>
    <row r="1147">
      <c r="A1147" s="2"/>
      <c r="B1147" s="2"/>
      <c r="C1147" s="2"/>
      <c r="D1147" s="2"/>
      <c r="E1147" s="2"/>
      <c r="F1147" s="2"/>
      <c r="G1147" s="2"/>
      <c r="H1147" s="2"/>
      <c r="I1147" s="2"/>
      <c r="J1147" s="2"/>
      <c r="K1147" s="2"/>
      <c r="L1147" s="2"/>
      <c r="M1147" s="2"/>
      <c r="N1147" s="2"/>
      <c r="O1147" s="2"/>
      <c r="P1147" s="2"/>
      <c r="Q1147" s="2"/>
      <c r="R1147" s="2"/>
      <c r="S1147" s="2"/>
      <c r="T1147" s="2"/>
      <c r="U1147" s="2"/>
      <c r="V1147" s="2"/>
      <c r="W1147" s="2" t="str">
        <f>IFERROR(__xludf.DUMMYFUNCTION("""COMPUTED_VALUE"""),"VL103D")</f>
        <v>VL103D</v>
      </c>
      <c r="X1147" s="2"/>
      <c r="Y1147" s="2"/>
      <c r="Z1147" s="2"/>
      <c r="AA1147" s="2"/>
      <c r="AB1147" s="2"/>
    </row>
    <row r="1148">
      <c r="A1148" s="2"/>
      <c r="B1148" s="2"/>
      <c r="C1148" s="2"/>
      <c r="D1148" s="2"/>
      <c r="E1148" s="2"/>
      <c r="F1148" s="2"/>
      <c r="G1148" s="2"/>
      <c r="H1148" s="2"/>
      <c r="I1148" s="2"/>
      <c r="J1148" s="2"/>
      <c r="K1148" s="2"/>
      <c r="L1148" s="2"/>
      <c r="M1148" s="2"/>
      <c r="N1148" s="2"/>
      <c r="O1148" s="2"/>
      <c r="P1148" s="2"/>
      <c r="Q1148" s="2"/>
      <c r="R1148" s="2"/>
      <c r="S1148" s="2"/>
      <c r="T1148" s="2"/>
      <c r="U1148" s="2"/>
      <c r="V1148" s="2"/>
      <c r="W1148" s="2" t="str">
        <f>IFERROR(__xludf.DUMMYFUNCTION("""COMPUTED_VALUE"""),"VL103D")</f>
        <v>VL103D</v>
      </c>
      <c r="X1148" s="2"/>
      <c r="Y1148" s="2"/>
      <c r="Z1148" s="2"/>
      <c r="AA1148" s="2"/>
      <c r="AB1148" s="2"/>
    </row>
    <row r="1149">
      <c r="A1149" s="2"/>
      <c r="B1149" s="2"/>
      <c r="C1149" s="2"/>
      <c r="D1149" s="2"/>
      <c r="E1149" s="2"/>
      <c r="F1149" s="2"/>
      <c r="G1149" s="2"/>
      <c r="H1149" s="2"/>
      <c r="I1149" s="2"/>
      <c r="J1149" s="2"/>
      <c r="K1149" s="2"/>
      <c r="L1149" s="2"/>
      <c r="M1149" s="2"/>
      <c r="N1149" s="2"/>
      <c r="O1149" s="2"/>
      <c r="P1149" s="2"/>
      <c r="Q1149" s="2"/>
      <c r="R1149" s="2"/>
      <c r="S1149" s="2"/>
      <c r="T1149" s="2"/>
      <c r="U1149" s="2"/>
      <c r="V1149" s="2"/>
      <c r="W1149" s="2" t="str">
        <f>IFERROR(__xludf.DUMMYFUNCTION("""COMPUTED_VALUE"""),"VL103D")</f>
        <v>VL103D</v>
      </c>
      <c r="X1149" s="2"/>
      <c r="Y1149" s="2"/>
      <c r="Z1149" s="2"/>
      <c r="AA1149" s="2"/>
      <c r="AB1149" s="2"/>
    </row>
    <row r="1150">
      <c r="A1150" s="2"/>
      <c r="B1150" s="2"/>
      <c r="C1150" s="2"/>
      <c r="D1150" s="2"/>
      <c r="E1150" s="2"/>
      <c r="F1150" s="2"/>
      <c r="G1150" s="2"/>
      <c r="H1150" s="2"/>
      <c r="I1150" s="2"/>
      <c r="J1150" s="2"/>
      <c r="K1150" s="2"/>
      <c r="L1150" s="2"/>
      <c r="M1150" s="2"/>
      <c r="N1150" s="2"/>
      <c r="O1150" s="2"/>
      <c r="P1150" s="2"/>
      <c r="Q1150" s="2"/>
      <c r="R1150" s="2"/>
      <c r="S1150" s="2"/>
      <c r="T1150" s="2"/>
      <c r="U1150" s="2"/>
      <c r="V1150" s="2"/>
      <c r="W1150" s="2" t="str">
        <f>IFERROR(__xludf.DUMMYFUNCTION("""COMPUTED_VALUE"""),"VL103D")</f>
        <v>VL103D</v>
      </c>
      <c r="X1150" s="2"/>
      <c r="Y1150" s="2"/>
      <c r="Z1150" s="2"/>
      <c r="AA1150" s="2"/>
      <c r="AB1150" s="2"/>
    </row>
    <row r="1151">
      <c r="A1151" s="2"/>
      <c r="B1151" s="2"/>
      <c r="C1151" s="2"/>
      <c r="D1151" s="2"/>
      <c r="E1151" s="2"/>
      <c r="F1151" s="2"/>
      <c r="G1151" s="2"/>
      <c r="H1151" s="2"/>
      <c r="I1151" s="2"/>
      <c r="J1151" s="2"/>
      <c r="K1151" s="2"/>
      <c r="L1151" s="2"/>
      <c r="M1151" s="2"/>
      <c r="N1151" s="2"/>
      <c r="O1151" s="2"/>
      <c r="P1151" s="2"/>
      <c r="Q1151" s="2"/>
      <c r="R1151" s="2"/>
      <c r="S1151" s="2"/>
      <c r="T1151" s="2"/>
      <c r="U1151" s="2"/>
      <c r="V1151" s="2"/>
      <c r="W1151" s="2" t="str">
        <f>IFERROR(__xludf.DUMMYFUNCTION("""COMPUTED_VALUE"""),"VL103D")</f>
        <v>VL103D</v>
      </c>
      <c r="X1151" s="2"/>
      <c r="Y1151" s="2"/>
      <c r="Z1151" s="2"/>
      <c r="AA1151" s="2"/>
      <c r="AB1151" s="2"/>
    </row>
    <row r="1152">
      <c r="A1152" s="2"/>
      <c r="B1152" s="2"/>
      <c r="C1152" s="2"/>
      <c r="D1152" s="2"/>
      <c r="E1152" s="2"/>
      <c r="F1152" s="2"/>
      <c r="G1152" s="2"/>
      <c r="H1152" s="2"/>
      <c r="I1152" s="2"/>
      <c r="J1152" s="2"/>
      <c r="K1152" s="2"/>
      <c r="L1152" s="2"/>
      <c r="M1152" s="2"/>
      <c r="N1152" s="2"/>
      <c r="O1152" s="2"/>
      <c r="P1152" s="2"/>
      <c r="Q1152" s="2"/>
      <c r="R1152" s="2"/>
      <c r="S1152" s="2"/>
      <c r="T1152" s="2"/>
      <c r="U1152" s="2"/>
      <c r="V1152" s="2"/>
      <c r="W1152" s="2" t="str">
        <f>IFERROR(__xludf.DUMMYFUNCTION("""COMPUTED_VALUE"""),"VL103D")</f>
        <v>VL103D</v>
      </c>
      <c r="X1152" s="2"/>
      <c r="Y1152" s="2"/>
      <c r="Z1152" s="2"/>
      <c r="AA1152" s="2"/>
      <c r="AB1152" s="2"/>
    </row>
    <row r="1153">
      <c r="A1153" s="2"/>
      <c r="B1153" s="2"/>
      <c r="C1153" s="2"/>
      <c r="D1153" s="2"/>
      <c r="E1153" s="2"/>
      <c r="F1153" s="2"/>
      <c r="G1153" s="2"/>
      <c r="H1153" s="2"/>
      <c r="I1153" s="2"/>
      <c r="J1153" s="2"/>
      <c r="K1153" s="2"/>
      <c r="L1153" s="2"/>
      <c r="M1153" s="2"/>
      <c r="N1153" s="2"/>
      <c r="O1153" s="2"/>
      <c r="P1153" s="2"/>
      <c r="Q1153" s="2"/>
      <c r="R1153" s="2"/>
      <c r="S1153" s="2"/>
      <c r="T1153" s="2"/>
      <c r="U1153" s="2"/>
      <c r="V1153" s="2"/>
      <c r="W1153" s="2" t="str">
        <f>IFERROR(__xludf.DUMMYFUNCTION("""COMPUTED_VALUE"""),"VL103D")</f>
        <v>VL103D</v>
      </c>
      <c r="X1153" s="2"/>
      <c r="Y1153" s="2"/>
      <c r="Z1153" s="2"/>
      <c r="AA1153" s="2"/>
      <c r="AB1153" s="2"/>
    </row>
    <row r="1154">
      <c r="A1154" s="2"/>
      <c r="B1154" s="2"/>
      <c r="C1154" s="2"/>
      <c r="D1154" s="2"/>
      <c r="E1154" s="2"/>
      <c r="F1154" s="2"/>
      <c r="G1154" s="2"/>
      <c r="H1154" s="2"/>
      <c r="I1154" s="2"/>
      <c r="J1154" s="2"/>
      <c r="K1154" s="2"/>
      <c r="L1154" s="2"/>
      <c r="M1154" s="2"/>
      <c r="N1154" s="2"/>
      <c r="O1154" s="2"/>
      <c r="P1154" s="2"/>
      <c r="Q1154" s="2"/>
      <c r="R1154" s="2"/>
      <c r="S1154" s="2"/>
      <c r="T1154" s="2"/>
      <c r="U1154" s="2"/>
      <c r="V1154" s="2"/>
      <c r="W1154" s="2" t="str">
        <f>IFERROR(__xludf.DUMMYFUNCTION("""COMPUTED_VALUE"""),"VL103D")</f>
        <v>VL103D</v>
      </c>
      <c r="X1154" s="2"/>
      <c r="Y1154" s="2"/>
      <c r="Z1154" s="2"/>
      <c r="AA1154" s="2"/>
      <c r="AB1154" s="2"/>
    </row>
    <row r="1155">
      <c r="A1155" s="2"/>
      <c r="B1155" s="2"/>
      <c r="C1155" s="2"/>
      <c r="D1155" s="2"/>
      <c r="E1155" s="2"/>
      <c r="F1155" s="2"/>
      <c r="G1155" s="2"/>
      <c r="H1155" s="2"/>
      <c r="I1155" s="2"/>
      <c r="J1155" s="2"/>
      <c r="K1155" s="2"/>
      <c r="L1155" s="2"/>
      <c r="M1155" s="2"/>
      <c r="N1155" s="2"/>
      <c r="O1155" s="2"/>
      <c r="P1155" s="2"/>
      <c r="Q1155" s="2"/>
      <c r="R1155" s="2"/>
      <c r="S1155" s="2"/>
      <c r="T1155" s="2"/>
      <c r="U1155" s="2"/>
      <c r="V1155" s="2"/>
      <c r="W1155" s="2" t="str">
        <f>IFERROR(__xludf.DUMMYFUNCTION("""COMPUTED_VALUE"""),"VL103D")</f>
        <v>VL103D</v>
      </c>
      <c r="X1155" s="2"/>
      <c r="Y1155" s="2"/>
      <c r="Z1155" s="2"/>
      <c r="AA1155" s="2"/>
      <c r="AB1155" s="2"/>
    </row>
    <row r="1156">
      <c r="A1156" s="2"/>
      <c r="B1156" s="2"/>
      <c r="C1156" s="2"/>
      <c r="D1156" s="2"/>
      <c r="E1156" s="2"/>
      <c r="F1156" s="2"/>
      <c r="G1156" s="2"/>
      <c r="H1156" s="2"/>
      <c r="I1156" s="2"/>
      <c r="J1156" s="2"/>
      <c r="K1156" s="2"/>
      <c r="L1156" s="2"/>
      <c r="M1156" s="2"/>
      <c r="N1156" s="2"/>
      <c r="O1156" s="2"/>
      <c r="P1156" s="2"/>
      <c r="Q1156" s="2"/>
      <c r="R1156" s="2"/>
      <c r="S1156" s="2"/>
      <c r="T1156" s="2"/>
      <c r="U1156" s="2"/>
      <c r="V1156" s="2"/>
      <c r="W1156" s="2" t="str">
        <f>IFERROR(__xludf.DUMMYFUNCTION("""COMPUTED_VALUE"""),"VL103D")</f>
        <v>VL103D</v>
      </c>
      <c r="X1156" s="2"/>
      <c r="Y1156" s="2"/>
      <c r="Z1156" s="2"/>
      <c r="AA1156" s="2"/>
      <c r="AB1156" s="2"/>
    </row>
    <row r="1157">
      <c r="A1157" s="2"/>
      <c r="B1157" s="2"/>
      <c r="C1157" s="2"/>
      <c r="D1157" s="2"/>
      <c r="E1157" s="2"/>
      <c r="F1157" s="2"/>
      <c r="G1157" s="2"/>
      <c r="H1157" s="2"/>
      <c r="I1157" s="2"/>
      <c r="J1157" s="2"/>
      <c r="K1157" s="2"/>
      <c r="L1157" s="2"/>
      <c r="M1157" s="2"/>
      <c r="N1157" s="2"/>
      <c r="O1157" s="2"/>
      <c r="P1157" s="2"/>
      <c r="Q1157" s="2"/>
      <c r="R1157" s="2"/>
      <c r="S1157" s="2"/>
      <c r="T1157" s="2"/>
      <c r="U1157" s="2"/>
      <c r="V1157" s="2"/>
      <c r="W1157" s="2" t="str">
        <f>IFERROR(__xludf.DUMMYFUNCTION("""COMPUTED_VALUE"""),"VL103D")</f>
        <v>VL103D</v>
      </c>
      <c r="X1157" s="2"/>
      <c r="Y1157" s="2"/>
      <c r="Z1157" s="2"/>
      <c r="AA1157" s="2"/>
      <c r="AB1157" s="2"/>
    </row>
    <row r="1158">
      <c r="A1158" s="2"/>
      <c r="B1158" s="2"/>
      <c r="C1158" s="2"/>
      <c r="D1158" s="2"/>
      <c r="E1158" s="2"/>
      <c r="F1158" s="2"/>
      <c r="G1158" s="2"/>
      <c r="H1158" s="2"/>
      <c r="I1158" s="2"/>
      <c r="J1158" s="2"/>
      <c r="K1158" s="2"/>
      <c r="L1158" s="2"/>
      <c r="M1158" s="2"/>
      <c r="N1158" s="2"/>
      <c r="O1158" s="2"/>
      <c r="P1158" s="2"/>
      <c r="Q1158" s="2"/>
      <c r="R1158" s="2"/>
      <c r="S1158" s="2"/>
      <c r="T1158" s="2"/>
      <c r="U1158" s="2"/>
      <c r="V1158" s="2"/>
      <c r="W1158" s="2" t="str">
        <f>IFERROR(__xludf.DUMMYFUNCTION("""COMPUTED_VALUE"""),"VL103D")</f>
        <v>VL103D</v>
      </c>
      <c r="X1158" s="2"/>
      <c r="Y1158" s="2"/>
      <c r="Z1158" s="2"/>
      <c r="AA1158" s="2"/>
      <c r="AB1158" s="2"/>
    </row>
    <row r="1159">
      <c r="A1159" s="2"/>
      <c r="B1159" s="2"/>
      <c r="C1159" s="2"/>
      <c r="D1159" s="2"/>
      <c r="E1159" s="2"/>
      <c r="F1159" s="2"/>
      <c r="G1159" s="2"/>
      <c r="H1159" s="2"/>
      <c r="I1159" s="2"/>
      <c r="J1159" s="2"/>
      <c r="K1159" s="2"/>
      <c r="L1159" s="2"/>
      <c r="M1159" s="2"/>
      <c r="N1159" s="2"/>
      <c r="O1159" s="2"/>
      <c r="P1159" s="2"/>
      <c r="Q1159" s="2"/>
      <c r="R1159" s="2"/>
      <c r="S1159" s="2"/>
      <c r="T1159" s="2"/>
      <c r="U1159" s="2"/>
      <c r="V1159" s="2"/>
      <c r="W1159" s="2" t="str">
        <f>IFERROR(__xludf.DUMMYFUNCTION("""COMPUTED_VALUE"""),"VL103D")</f>
        <v>VL103D</v>
      </c>
      <c r="X1159" s="2"/>
      <c r="Y1159" s="2"/>
      <c r="Z1159" s="2"/>
      <c r="AA1159" s="2"/>
      <c r="AB1159" s="2"/>
    </row>
    <row r="1160">
      <c r="A1160" s="2"/>
      <c r="B1160" s="2"/>
      <c r="C1160" s="2"/>
      <c r="D1160" s="2"/>
      <c r="E1160" s="2"/>
      <c r="F1160" s="2"/>
      <c r="G1160" s="2"/>
      <c r="H1160" s="2"/>
      <c r="I1160" s="2"/>
      <c r="J1160" s="2"/>
      <c r="K1160" s="2"/>
      <c r="L1160" s="2"/>
      <c r="M1160" s="2"/>
      <c r="N1160" s="2"/>
      <c r="O1160" s="2"/>
      <c r="P1160" s="2"/>
      <c r="Q1160" s="2"/>
      <c r="R1160" s="2"/>
      <c r="S1160" s="2"/>
      <c r="T1160" s="2"/>
      <c r="U1160" s="2"/>
      <c r="V1160" s="2"/>
      <c r="W1160" s="2" t="str">
        <f>IFERROR(__xludf.DUMMYFUNCTION("""COMPUTED_VALUE"""),"VL103D")</f>
        <v>VL103D</v>
      </c>
      <c r="X1160" s="2"/>
      <c r="Y1160" s="2"/>
      <c r="Z1160" s="2"/>
      <c r="AA1160" s="2"/>
      <c r="AB1160" s="2"/>
    </row>
    <row r="1161">
      <c r="A1161" s="2"/>
      <c r="B1161" s="2"/>
      <c r="C1161" s="2"/>
      <c r="D1161" s="2"/>
      <c r="E1161" s="2"/>
      <c r="F1161" s="2"/>
      <c r="G1161" s="2"/>
      <c r="H1161" s="2"/>
      <c r="I1161" s="2"/>
      <c r="J1161" s="2"/>
      <c r="K1161" s="2"/>
      <c r="L1161" s="2"/>
      <c r="M1161" s="2"/>
      <c r="N1161" s="2"/>
      <c r="O1161" s="2"/>
      <c r="P1161" s="2"/>
      <c r="Q1161" s="2"/>
      <c r="R1161" s="2"/>
      <c r="S1161" s="2"/>
      <c r="T1161" s="2"/>
      <c r="U1161" s="2"/>
      <c r="V1161" s="2"/>
      <c r="W1161" s="2" t="str">
        <f>IFERROR(__xludf.DUMMYFUNCTION("""COMPUTED_VALUE"""),"VL103D")</f>
        <v>VL103D</v>
      </c>
      <c r="X1161" s="2"/>
      <c r="Y1161" s="2"/>
      <c r="Z1161" s="2"/>
      <c r="AA1161" s="2"/>
      <c r="AB1161" s="2"/>
    </row>
    <row r="1162">
      <c r="A1162" s="2"/>
      <c r="B1162" s="2"/>
      <c r="C1162" s="2"/>
      <c r="D1162" s="2"/>
      <c r="E1162" s="2"/>
      <c r="F1162" s="2"/>
      <c r="G1162" s="2"/>
      <c r="H1162" s="2"/>
      <c r="I1162" s="2"/>
      <c r="J1162" s="2"/>
      <c r="K1162" s="2"/>
      <c r="L1162" s="2"/>
      <c r="M1162" s="2"/>
      <c r="N1162" s="2"/>
      <c r="O1162" s="2"/>
      <c r="P1162" s="2"/>
      <c r="Q1162" s="2"/>
      <c r="R1162" s="2"/>
      <c r="S1162" s="2"/>
      <c r="T1162" s="2"/>
      <c r="U1162" s="2"/>
      <c r="V1162" s="2"/>
      <c r="W1162" s="2" t="str">
        <f>IFERROR(__xludf.DUMMYFUNCTION("""COMPUTED_VALUE"""),"VL103D")</f>
        <v>VL103D</v>
      </c>
      <c r="X1162" s="2"/>
      <c r="Y1162" s="2"/>
      <c r="Z1162" s="2"/>
      <c r="AA1162" s="2"/>
      <c r="AB1162" s="2"/>
    </row>
    <row r="1163">
      <c r="A1163" s="2"/>
      <c r="B1163" s="2"/>
      <c r="C1163" s="2"/>
      <c r="D1163" s="2"/>
      <c r="E1163" s="2"/>
      <c r="F1163" s="2"/>
      <c r="G1163" s="2"/>
      <c r="H1163" s="2"/>
      <c r="I1163" s="2"/>
      <c r="J1163" s="2"/>
      <c r="K1163" s="2"/>
      <c r="L1163" s="2"/>
      <c r="M1163" s="2"/>
      <c r="N1163" s="2"/>
      <c r="O1163" s="2"/>
      <c r="P1163" s="2"/>
      <c r="Q1163" s="2"/>
      <c r="R1163" s="2"/>
      <c r="S1163" s="2"/>
      <c r="T1163" s="2"/>
      <c r="U1163" s="2"/>
      <c r="V1163" s="2"/>
      <c r="W1163" s="2" t="str">
        <f>IFERROR(__xludf.DUMMYFUNCTION("""COMPUTED_VALUE"""),"VL103D")</f>
        <v>VL103D</v>
      </c>
      <c r="X1163" s="2"/>
      <c r="Y1163" s="2"/>
      <c r="Z1163" s="2"/>
      <c r="AA1163" s="2"/>
      <c r="AB1163" s="2"/>
    </row>
    <row r="1164">
      <c r="A1164" s="2"/>
      <c r="B1164" s="2"/>
      <c r="C1164" s="2"/>
      <c r="D1164" s="2"/>
      <c r="E1164" s="2"/>
      <c r="F1164" s="2"/>
      <c r="G1164" s="2"/>
      <c r="H1164" s="2"/>
      <c r="I1164" s="2"/>
      <c r="J1164" s="2"/>
      <c r="K1164" s="2"/>
      <c r="L1164" s="2"/>
      <c r="M1164" s="2"/>
      <c r="N1164" s="2"/>
      <c r="O1164" s="2"/>
      <c r="P1164" s="2"/>
      <c r="Q1164" s="2"/>
      <c r="R1164" s="2"/>
      <c r="S1164" s="2"/>
      <c r="T1164" s="2"/>
      <c r="U1164" s="2"/>
      <c r="V1164" s="2"/>
      <c r="W1164" s="2" t="str">
        <f>IFERROR(__xludf.DUMMYFUNCTION("""COMPUTED_VALUE"""),"VL103D")</f>
        <v>VL103D</v>
      </c>
      <c r="X1164" s="2"/>
      <c r="Y1164" s="2"/>
      <c r="Z1164" s="2"/>
      <c r="AA1164" s="2"/>
      <c r="AB1164" s="2"/>
    </row>
    <row r="1165">
      <c r="A1165" s="2"/>
      <c r="B1165" s="2"/>
      <c r="C1165" s="2"/>
      <c r="D1165" s="2"/>
      <c r="E1165" s="2"/>
      <c r="F1165" s="2"/>
      <c r="G1165" s="2"/>
      <c r="H1165" s="2"/>
      <c r="I1165" s="2"/>
      <c r="J1165" s="2"/>
      <c r="K1165" s="2"/>
      <c r="L1165" s="2"/>
      <c r="M1165" s="2"/>
      <c r="N1165" s="2"/>
      <c r="O1165" s="2"/>
      <c r="P1165" s="2"/>
      <c r="Q1165" s="2"/>
      <c r="R1165" s="2"/>
      <c r="S1165" s="2"/>
      <c r="T1165" s="2"/>
      <c r="U1165" s="2"/>
      <c r="V1165" s="2"/>
      <c r="W1165" s="2" t="str">
        <f>IFERROR(__xludf.DUMMYFUNCTION("""COMPUTED_VALUE"""),"VL103D")</f>
        <v>VL103D</v>
      </c>
      <c r="X1165" s="2"/>
      <c r="Y1165" s="2"/>
      <c r="Z1165" s="2"/>
      <c r="AA1165" s="2"/>
      <c r="AB1165" s="2"/>
    </row>
    <row r="1166">
      <c r="A1166" s="2"/>
      <c r="B1166" s="2"/>
      <c r="C1166" s="2"/>
      <c r="D1166" s="2"/>
      <c r="E1166" s="2"/>
      <c r="F1166" s="2"/>
      <c r="G1166" s="2"/>
      <c r="H1166" s="2"/>
      <c r="I1166" s="2"/>
      <c r="J1166" s="2"/>
      <c r="K1166" s="2"/>
      <c r="L1166" s="2"/>
      <c r="M1166" s="2"/>
      <c r="N1166" s="2"/>
      <c r="O1166" s="2"/>
      <c r="P1166" s="2"/>
      <c r="Q1166" s="2"/>
      <c r="R1166" s="2"/>
      <c r="S1166" s="2"/>
      <c r="T1166" s="2"/>
      <c r="U1166" s="2"/>
      <c r="V1166" s="2"/>
      <c r="W1166" s="2" t="str">
        <f>IFERROR(__xludf.DUMMYFUNCTION("""COMPUTED_VALUE"""),"VL103D")</f>
        <v>VL103D</v>
      </c>
      <c r="X1166" s="2"/>
      <c r="Y1166" s="2"/>
      <c r="Z1166" s="2"/>
      <c r="AA1166" s="2"/>
      <c r="AB1166" s="2"/>
    </row>
    <row r="1167">
      <c r="A1167" s="2"/>
      <c r="B1167" s="2"/>
      <c r="C1167" s="2"/>
      <c r="D1167" s="2"/>
      <c r="E1167" s="2"/>
      <c r="F1167" s="2"/>
      <c r="G1167" s="2"/>
      <c r="H1167" s="2"/>
      <c r="I1167" s="2"/>
      <c r="J1167" s="2"/>
      <c r="K1167" s="2"/>
      <c r="L1167" s="2"/>
      <c r="M1167" s="2"/>
      <c r="N1167" s="2"/>
      <c r="O1167" s="2"/>
      <c r="P1167" s="2"/>
      <c r="Q1167" s="2"/>
      <c r="R1167" s="2"/>
      <c r="S1167" s="2"/>
      <c r="T1167" s="2"/>
      <c r="U1167" s="2"/>
      <c r="V1167" s="2"/>
      <c r="W1167" s="2" t="str">
        <f>IFERROR(__xludf.DUMMYFUNCTION("""COMPUTED_VALUE"""),"VL103D")</f>
        <v>VL103D</v>
      </c>
      <c r="X1167" s="2"/>
      <c r="Y1167" s="2"/>
      <c r="Z1167" s="2"/>
      <c r="AA1167" s="2"/>
      <c r="AB1167" s="2"/>
    </row>
    <row r="1168">
      <c r="A1168" s="2"/>
      <c r="B1168" s="2"/>
      <c r="C1168" s="2"/>
      <c r="D1168" s="2"/>
      <c r="E1168" s="2"/>
      <c r="F1168" s="2"/>
      <c r="G1168" s="2"/>
      <c r="H1168" s="2"/>
      <c r="I1168" s="2"/>
      <c r="J1168" s="2"/>
      <c r="K1168" s="2"/>
      <c r="L1168" s="2"/>
      <c r="M1168" s="2"/>
      <c r="N1168" s="2"/>
      <c r="O1168" s="2"/>
      <c r="P1168" s="2"/>
      <c r="Q1168" s="2"/>
      <c r="R1168" s="2"/>
      <c r="S1168" s="2"/>
      <c r="T1168" s="2"/>
      <c r="U1168" s="2"/>
      <c r="V1168" s="2"/>
      <c r="W1168" s="2" t="str">
        <f>IFERROR(__xludf.DUMMYFUNCTION("""COMPUTED_VALUE"""),"VL103D")</f>
        <v>VL103D</v>
      </c>
      <c r="X1168" s="2"/>
      <c r="Y1168" s="2"/>
      <c r="Z1168" s="2"/>
      <c r="AA1168" s="2"/>
      <c r="AB1168" s="2"/>
    </row>
    <row r="1169">
      <c r="A1169" s="2"/>
      <c r="B1169" s="2"/>
      <c r="C1169" s="2"/>
      <c r="D1169" s="2"/>
      <c r="E1169" s="2"/>
      <c r="F1169" s="2"/>
      <c r="G1169" s="2"/>
      <c r="H1169" s="2"/>
      <c r="I1169" s="2"/>
      <c r="J1169" s="2"/>
      <c r="K1169" s="2"/>
      <c r="L1169" s="2"/>
      <c r="M1169" s="2"/>
      <c r="N1169" s="2"/>
      <c r="O1169" s="2"/>
      <c r="P1169" s="2"/>
      <c r="Q1169" s="2"/>
      <c r="R1169" s="2"/>
      <c r="S1169" s="2"/>
      <c r="T1169" s="2"/>
      <c r="U1169" s="2"/>
      <c r="V1169" s="2"/>
      <c r="W1169" s="2" t="str">
        <f>IFERROR(__xludf.DUMMYFUNCTION("""COMPUTED_VALUE"""),"VL103D")</f>
        <v>VL103D</v>
      </c>
      <c r="X1169" s="2"/>
      <c r="Y1169" s="2"/>
      <c r="Z1169" s="2"/>
      <c r="AA1169" s="2"/>
      <c r="AB1169" s="2"/>
    </row>
    <row r="1170">
      <c r="A1170" s="2"/>
      <c r="B1170" s="2"/>
      <c r="C1170" s="2"/>
      <c r="D1170" s="2"/>
      <c r="E1170" s="2"/>
      <c r="F1170" s="2"/>
      <c r="G1170" s="2"/>
      <c r="H1170" s="2"/>
      <c r="I1170" s="2"/>
      <c r="J1170" s="2"/>
      <c r="K1170" s="2"/>
      <c r="L1170" s="2"/>
      <c r="M1170" s="2"/>
      <c r="N1170" s="2"/>
      <c r="O1170" s="2"/>
      <c r="P1170" s="2"/>
      <c r="Q1170" s="2"/>
      <c r="R1170" s="2"/>
      <c r="S1170" s="2"/>
      <c r="T1170" s="2"/>
      <c r="U1170" s="2"/>
      <c r="V1170" s="2"/>
      <c r="W1170" s="2" t="str">
        <f>IFERROR(__xludf.DUMMYFUNCTION("""COMPUTED_VALUE"""),"VL103D")</f>
        <v>VL103D</v>
      </c>
      <c r="X1170" s="2"/>
      <c r="Y1170" s="2"/>
      <c r="Z1170" s="2"/>
      <c r="AA1170" s="2"/>
      <c r="AB1170" s="2"/>
    </row>
    <row r="1171">
      <c r="A1171" s="2"/>
      <c r="B1171" s="2"/>
      <c r="C1171" s="2"/>
      <c r="D1171" s="2"/>
      <c r="E1171" s="2"/>
      <c r="F1171" s="2"/>
      <c r="G1171" s="2"/>
      <c r="H1171" s="2"/>
      <c r="I1171" s="2"/>
      <c r="J1171" s="2"/>
      <c r="K1171" s="2"/>
      <c r="L1171" s="2"/>
      <c r="M1171" s="2"/>
      <c r="N1171" s="2"/>
      <c r="O1171" s="2"/>
      <c r="P1171" s="2"/>
      <c r="Q1171" s="2"/>
      <c r="R1171" s="2"/>
      <c r="S1171" s="2"/>
      <c r="T1171" s="2"/>
      <c r="U1171" s="2"/>
      <c r="V1171" s="2"/>
      <c r="W1171" s="2" t="str">
        <f>IFERROR(__xludf.DUMMYFUNCTION("""COMPUTED_VALUE"""),"VL103D")</f>
        <v>VL103D</v>
      </c>
      <c r="X1171" s="2"/>
      <c r="Y1171" s="2"/>
      <c r="Z1171" s="2"/>
      <c r="AA1171" s="2"/>
      <c r="AB1171" s="2"/>
    </row>
    <row r="1172">
      <c r="A1172" s="2"/>
      <c r="B1172" s="2"/>
      <c r="C1172" s="2"/>
      <c r="D1172" s="2"/>
      <c r="E1172" s="2"/>
      <c r="F1172" s="2"/>
      <c r="G1172" s="2"/>
      <c r="H1172" s="2"/>
      <c r="I1172" s="2"/>
      <c r="J1172" s="2"/>
      <c r="K1172" s="2"/>
      <c r="L1172" s="2"/>
      <c r="M1172" s="2"/>
      <c r="N1172" s="2"/>
      <c r="O1172" s="2"/>
      <c r="P1172" s="2"/>
      <c r="Q1172" s="2"/>
      <c r="R1172" s="2"/>
      <c r="S1172" s="2"/>
      <c r="T1172" s="2"/>
      <c r="U1172" s="2"/>
      <c r="V1172" s="2"/>
      <c r="W1172" s="2" t="str">
        <f>IFERROR(__xludf.DUMMYFUNCTION("""COMPUTED_VALUE"""),"VL103D")</f>
        <v>VL103D</v>
      </c>
      <c r="X1172" s="2"/>
      <c r="Y1172" s="2"/>
      <c r="Z1172" s="2"/>
      <c r="AA1172" s="2"/>
      <c r="AB1172" s="2"/>
    </row>
    <row r="1173">
      <c r="A1173" s="2"/>
      <c r="B1173" s="2"/>
      <c r="C1173" s="2"/>
      <c r="D1173" s="2"/>
      <c r="E1173" s="2"/>
      <c r="F1173" s="2"/>
      <c r="G1173" s="2"/>
      <c r="H1173" s="2"/>
      <c r="I1173" s="2"/>
      <c r="J1173" s="2"/>
      <c r="K1173" s="2"/>
      <c r="L1173" s="2"/>
      <c r="M1173" s="2"/>
      <c r="N1173" s="2"/>
      <c r="O1173" s="2"/>
      <c r="P1173" s="2"/>
      <c r="Q1173" s="2"/>
      <c r="R1173" s="2"/>
      <c r="S1173" s="2"/>
      <c r="T1173" s="2"/>
      <c r="U1173" s="2"/>
      <c r="V1173" s="2"/>
      <c r="W1173" s="2" t="str">
        <f>IFERROR(__xludf.DUMMYFUNCTION("""COMPUTED_VALUE"""),"VL103D")</f>
        <v>VL103D</v>
      </c>
      <c r="X1173" s="2"/>
      <c r="Y1173" s="2"/>
      <c r="Z1173" s="2"/>
      <c r="AA1173" s="2"/>
      <c r="AB1173" s="2"/>
    </row>
    <row r="1174">
      <c r="A1174" s="2"/>
      <c r="B1174" s="2"/>
      <c r="C1174" s="2"/>
      <c r="D1174" s="2"/>
      <c r="E1174" s="2"/>
      <c r="F1174" s="2"/>
      <c r="G1174" s="2"/>
      <c r="H1174" s="2"/>
      <c r="I1174" s="2"/>
      <c r="J1174" s="2"/>
      <c r="K1174" s="2"/>
      <c r="L1174" s="2"/>
      <c r="M1174" s="2"/>
      <c r="N1174" s="2"/>
      <c r="O1174" s="2"/>
      <c r="P1174" s="2"/>
      <c r="Q1174" s="2"/>
      <c r="R1174" s="2"/>
      <c r="S1174" s="2"/>
      <c r="T1174" s="2"/>
      <c r="U1174" s="2"/>
      <c r="V1174" s="2"/>
      <c r="W1174" s="2" t="str">
        <f>IFERROR(__xludf.DUMMYFUNCTION("""COMPUTED_VALUE"""),"VL103D")</f>
        <v>VL103D</v>
      </c>
      <c r="X1174" s="2"/>
      <c r="Y1174" s="2"/>
      <c r="Z1174" s="2"/>
      <c r="AA1174" s="2"/>
      <c r="AB1174" s="2"/>
    </row>
    <row r="1175">
      <c r="A1175" s="2"/>
      <c r="B1175" s="2"/>
      <c r="C1175" s="2"/>
      <c r="D1175" s="2"/>
      <c r="E1175" s="2"/>
      <c r="F1175" s="2"/>
      <c r="G1175" s="2"/>
      <c r="H1175" s="2"/>
      <c r="I1175" s="2"/>
      <c r="J1175" s="2"/>
      <c r="K1175" s="2"/>
      <c r="L1175" s="2"/>
      <c r="M1175" s="2"/>
      <c r="N1175" s="2"/>
      <c r="O1175" s="2"/>
      <c r="P1175" s="2"/>
      <c r="Q1175" s="2"/>
      <c r="R1175" s="2"/>
      <c r="S1175" s="2"/>
      <c r="T1175" s="2"/>
      <c r="U1175" s="2"/>
      <c r="V1175" s="2"/>
      <c r="W1175" s="2" t="str">
        <f>IFERROR(__xludf.DUMMYFUNCTION("""COMPUTED_VALUE"""),"VL103D")</f>
        <v>VL103D</v>
      </c>
      <c r="X1175" s="2"/>
      <c r="Y1175" s="2"/>
      <c r="Z1175" s="2"/>
      <c r="AA1175" s="2"/>
      <c r="AB1175" s="2"/>
    </row>
    <row r="1176">
      <c r="A1176" s="2"/>
      <c r="B1176" s="2"/>
      <c r="C1176" s="2"/>
      <c r="D1176" s="2"/>
      <c r="E1176" s="2"/>
      <c r="F1176" s="2"/>
      <c r="G1176" s="2"/>
      <c r="H1176" s="2"/>
      <c r="I1176" s="2"/>
      <c r="J1176" s="2"/>
      <c r="K1176" s="2"/>
      <c r="L1176" s="2"/>
      <c r="M1176" s="2"/>
      <c r="N1176" s="2"/>
      <c r="O1176" s="2"/>
      <c r="P1176" s="2"/>
      <c r="Q1176" s="2"/>
      <c r="R1176" s="2"/>
      <c r="S1176" s="2"/>
      <c r="T1176" s="2"/>
      <c r="U1176" s="2"/>
      <c r="V1176" s="2"/>
      <c r="W1176" s="2" t="str">
        <f>IFERROR(__xludf.DUMMYFUNCTION("""COMPUTED_VALUE"""),"VL103D")</f>
        <v>VL103D</v>
      </c>
      <c r="X1176" s="2"/>
      <c r="Y1176" s="2"/>
      <c r="Z1176" s="2"/>
      <c r="AA1176" s="2"/>
      <c r="AB1176" s="2"/>
    </row>
    <row r="1177">
      <c r="A1177" s="2"/>
      <c r="B1177" s="2"/>
      <c r="C1177" s="2"/>
      <c r="D1177" s="2"/>
      <c r="E1177" s="2"/>
      <c r="F1177" s="2"/>
      <c r="G1177" s="2"/>
      <c r="H1177" s="2"/>
      <c r="I1177" s="2"/>
      <c r="J1177" s="2"/>
      <c r="K1177" s="2"/>
      <c r="L1177" s="2"/>
      <c r="M1177" s="2"/>
      <c r="N1177" s="2"/>
      <c r="O1177" s="2"/>
      <c r="P1177" s="2"/>
      <c r="Q1177" s="2"/>
      <c r="R1177" s="2"/>
      <c r="S1177" s="2"/>
      <c r="T1177" s="2"/>
      <c r="U1177" s="2"/>
      <c r="V1177" s="2"/>
      <c r="W1177" s="2" t="str">
        <f>IFERROR(__xludf.DUMMYFUNCTION("""COMPUTED_VALUE"""),"VL103D")</f>
        <v>VL103D</v>
      </c>
      <c r="X1177" s="2"/>
      <c r="Y1177" s="2"/>
      <c r="Z1177" s="2"/>
      <c r="AA1177" s="2"/>
      <c r="AB1177" s="2"/>
    </row>
    <row r="1178">
      <c r="A1178" s="2"/>
      <c r="B1178" s="2"/>
      <c r="C1178" s="2"/>
      <c r="D1178" s="2"/>
      <c r="E1178" s="2"/>
      <c r="F1178" s="2"/>
      <c r="G1178" s="2"/>
      <c r="H1178" s="2"/>
      <c r="I1178" s="2"/>
      <c r="J1178" s="2"/>
      <c r="K1178" s="2"/>
      <c r="L1178" s="2"/>
      <c r="M1178" s="2"/>
      <c r="N1178" s="2"/>
      <c r="O1178" s="2"/>
      <c r="P1178" s="2"/>
      <c r="Q1178" s="2"/>
      <c r="R1178" s="2"/>
      <c r="S1178" s="2"/>
      <c r="T1178" s="2"/>
      <c r="U1178" s="2"/>
      <c r="V1178" s="2"/>
      <c r="W1178" s="2" t="str">
        <f>IFERROR(__xludf.DUMMYFUNCTION("""COMPUTED_VALUE"""),"VL103D")</f>
        <v>VL103D</v>
      </c>
      <c r="X1178" s="2"/>
      <c r="Y1178" s="2"/>
      <c r="Z1178" s="2"/>
      <c r="AA1178" s="2"/>
      <c r="AB1178" s="2"/>
    </row>
    <row r="1179">
      <c r="A1179" s="2"/>
      <c r="B1179" s="2"/>
      <c r="C1179" s="2"/>
      <c r="D1179" s="2"/>
      <c r="E1179" s="2"/>
      <c r="F1179" s="2"/>
      <c r="G1179" s="2"/>
      <c r="H1179" s="2"/>
      <c r="I1179" s="2"/>
      <c r="J1179" s="2"/>
      <c r="K1179" s="2"/>
      <c r="L1179" s="2"/>
      <c r="M1179" s="2"/>
      <c r="N1179" s="2"/>
      <c r="O1179" s="2"/>
      <c r="P1179" s="2"/>
      <c r="Q1179" s="2"/>
      <c r="R1179" s="2"/>
      <c r="S1179" s="2"/>
      <c r="T1179" s="2"/>
      <c r="U1179" s="2"/>
      <c r="V1179" s="2"/>
      <c r="W1179" s="2" t="str">
        <f>IFERROR(__xludf.DUMMYFUNCTION("""COMPUTED_VALUE"""),"VL103D")</f>
        <v>VL103D</v>
      </c>
      <c r="X1179" s="2"/>
      <c r="Y1179" s="2"/>
      <c r="Z1179" s="2"/>
      <c r="AA1179" s="2"/>
      <c r="AB1179" s="2"/>
    </row>
    <row r="1180">
      <c r="A1180" s="2"/>
      <c r="B1180" s="2"/>
      <c r="C1180" s="2"/>
      <c r="D1180" s="2"/>
      <c r="E1180" s="2"/>
      <c r="F1180" s="2"/>
      <c r="G1180" s="2"/>
      <c r="H1180" s="2"/>
      <c r="I1180" s="2"/>
      <c r="J1180" s="2"/>
      <c r="K1180" s="2"/>
      <c r="L1180" s="2"/>
      <c r="M1180" s="2"/>
      <c r="N1180" s="2"/>
      <c r="O1180" s="2"/>
      <c r="P1180" s="2"/>
      <c r="Q1180" s="2"/>
      <c r="R1180" s="2"/>
      <c r="S1180" s="2"/>
      <c r="T1180" s="2"/>
      <c r="U1180" s="2"/>
      <c r="V1180" s="2"/>
      <c r="W1180" s="2" t="str">
        <f>IFERROR(__xludf.DUMMYFUNCTION("""COMPUTED_VALUE"""),"VL103D")</f>
        <v>VL103D</v>
      </c>
      <c r="X1180" s="2"/>
      <c r="Y1180" s="2"/>
      <c r="Z1180" s="2"/>
      <c r="AA1180" s="2"/>
      <c r="AB1180" s="2"/>
    </row>
    <row r="1181">
      <c r="A1181" s="2"/>
      <c r="B1181" s="2"/>
      <c r="C1181" s="2"/>
      <c r="D1181" s="2"/>
      <c r="E1181" s="2"/>
      <c r="F1181" s="2"/>
      <c r="G1181" s="2"/>
      <c r="H1181" s="2"/>
      <c r="I1181" s="2"/>
      <c r="J1181" s="2"/>
      <c r="K1181" s="2"/>
      <c r="L1181" s="2"/>
      <c r="M1181" s="2"/>
      <c r="N1181" s="2"/>
      <c r="O1181" s="2"/>
      <c r="P1181" s="2"/>
      <c r="Q1181" s="2"/>
      <c r="R1181" s="2"/>
      <c r="S1181" s="2"/>
      <c r="T1181" s="2"/>
      <c r="U1181" s="2"/>
      <c r="V1181" s="2"/>
      <c r="W1181" s="2" t="str">
        <f>IFERROR(__xludf.DUMMYFUNCTION("""COMPUTED_VALUE"""),"VL103D")</f>
        <v>VL103D</v>
      </c>
      <c r="X1181" s="2"/>
      <c r="Y1181" s="2"/>
      <c r="Z1181" s="2"/>
      <c r="AA1181" s="2"/>
      <c r="AB1181" s="2"/>
    </row>
    <row r="1182">
      <c r="A1182" s="2"/>
      <c r="B1182" s="2"/>
      <c r="C1182" s="2"/>
      <c r="D1182" s="2"/>
      <c r="E1182" s="2"/>
      <c r="F1182" s="2"/>
      <c r="G1182" s="2"/>
      <c r="H1182" s="2"/>
      <c r="I1182" s="2"/>
      <c r="J1182" s="2"/>
      <c r="K1182" s="2"/>
      <c r="L1182" s="2"/>
      <c r="M1182" s="2"/>
      <c r="N1182" s="2"/>
      <c r="O1182" s="2"/>
      <c r="P1182" s="2"/>
      <c r="Q1182" s="2"/>
      <c r="R1182" s="2"/>
      <c r="S1182" s="2"/>
      <c r="T1182" s="2"/>
      <c r="U1182" s="2"/>
      <c r="V1182" s="2"/>
      <c r="W1182" s="2" t="str">
        <f>IFERROR(__xludf.DUMMYFUNCTION("""COMPUTED_VALUE"""),"VL103D")</f>
        <v>VL103D</v>
      </c>
      <c r="X1182" s="2"/>
      <c r="Y1182" s="2"/>
      <c r="Z1182" s="2"/>
      <c r="AA1182" s="2"/>
      <c r="AB1182" s="2"/>
    </row>
    <row r="1183">
      <c r="A1183" s="2"/>
      <c r="B1183" s="2"/>
      <c r="C1183" s="2"/>
      <c r="D1183" s="2"/>
      <c r="E1183" s="2"/>
      <c r="F1183" s="2"/>
      <c r="G1183" s="2"/>
      <c r="H1183" s="2"/>
      <c r="I1183" s="2"/>
      <c r="J1183" s="2"/>
      <c r="K1183" s="2"/>
      <c r="L1183" s="2"/>
      <c r="M1183" s="2"/>
      <c r="N1183" s="2"/>
      <c r="O1183" s="2"/>
      <c r="P1183" s="2"/>
      <c r="Q1183" s="2"/>
      <c r="R1183" s="2"/>
      <c r="S1183" s="2"/>
      <c r="T1183" s="2"/>
      <c r="U1183" s="2"/>
      <c r="V1183" s="2"/>
      <c r="W1183" s="2" t="str">
        <f>IFERROR(__xludf.DUMMYFUNCTION("""COMPUTED_VALUE"""),"VL103D")</f>
        <v>VL103D</v>
      </c>
      <c r="X1183" s="2"/>
      <c r="Y1183" s="2"/>
      <c r="Z1183" s="2"/>
      <c r="AA1183" s="2"/>
      <c r="AB1183" s="2"/>
    </row>
    <row r="1184">
      <c r="A1184" s="2"/>
      <c r="B1184" s="2"/>
      <c r="C1184" s="2"/>
      <c r="D1184" s="2"/>
      <c r="E1184" s="2"/>
      <c r="F1184" s="2"/>
      <c r="G1184" s="2"/>
      <c r="H1184" s="2"/>
      <c r="I1184" s="2"/>
      <c r="J1184" s="2"/>
      <c r="K1184" s="2"/>
      <c r="L1184" s="2"/>
      <c r="M1184" s="2"/>
      <c r="N1184" s="2"/>
      <c r="O1184" s="2"/>
      <c r="P1184" s="2"/>
      <c r="Q1184" s="2"/>
      <c r="R1184" s="2"/>
      <c r="S1184" s="2"/>
      <c r="T1184" s="2"/>
      <c r="U1184" s="2"/>
      <c r="V1184" s="2"/>
      <c r="W1184" s="2" t="str">
        <f>IFERROR(__xludf.DUMMYFUNCTION("""COMPUTED_VALUE"""),"VL103D")</f>
        <v>VL103D</v>
      </c>
      <c r="X1184" s="2"/>
      <c r="Y1184" s="2"/>
      <c r="Z1184" s="2"/>
      <c r="AA1184" s="2"/>
      <c r="AB1184" s="2"/>
    </row>
    <row r="1185">
      <c r="A1185" s="2"/>
      <c r="B1185" s="2"/>
      <c r="C1185" s="2"/>
      <c r="D1185" s="2"/>
      <c r="E1185" s="2"/>
      <c r="F1185" s="2"/>
      <c r="G1185" s="2"/>
      <c r="H1185" s="2"/>
      <c r="I1185" s="2"/>
      <c r="J1185" s="2"/>
      <c r="K1185" s="2"/>
      <c r="L1185" s="2"/>
      <c r="M1185" s="2"/>
      <c r="N1185" s="2"/>
      <c r="O1185" s="2"/>
      <c r="P1185" s="2"/>
      <c r="Q1185" s="2"/>
      <c r="R1185" s="2"/>
      <c r="S1185" s="2"/>
      <c r="T1185" s="2"/>
      <c r="U1185" s="2"/>
      <c r="V1185" s="2"/>
      <c r="W1185" s="2" t="str">
        <f>IFERROR(__xludf.DUMMYFUNCTION("""COMPUTED_VALUE"""),"VL103D")</f>
        <v>VL103D</v>
      </c>
      <c r="X1185" s="2"/>
      <c r="Y1185" s="2"/>
      <c r="Z1185" s="2"/>
      <c r="AA1185" s="2"/>
      <c r="AB1185" s="2"/>
    </row>
    <row r="1186">
      <c r="A1186" s="2"/>
      <c r="B1186" s="2"/>
      <c r="C1186" s="2"/>
      <c r="D1186" s="2"/>
      <c r="E1186" s="2"/>
      <c r="F1186" s="2"/>
      <c r="G1186" s="2"/>
      <c r="H1186" s="2"/>
      <c r="I1186" s="2"/>
      <c r="J1186" s="2"/>
      <c r="K1186" s="2"/>
      <c r="L1186" s="2"/>
      <c r="M1186" s="2"/>
      <c r="N1186" s="2"/>
      <c r="O1186" s="2"/>
      <c r="P1186" s="2"/>
      <c r="Q1186" s="2"/>
      <c r="R1186" s="2"/>
      <c r="S1186" s="2"/>
      <c r="T1186" s="2"/>
      <c r="U1186" s="2"/>
      <c r="V1186" s="2"/>
      <c r="W1186" s="2" t="str">
        <f>IFERROR(__xludf.DUMMYFUNCTION("""COMPUTED_VALUE"""),"VL103D")</f>
        <v>VL103D</v>
      </c>
      <c r="X1186" s="2"/>
      <c r="Y1186" s="2"/>
      <c r="Z1186" s="2"/>
      <c r="AA1186" s="2"/>
      <c r="AB1186" s="2"/>
    </row>
    <row r="1187">
      <c r="A1187" s="2"/>
      <c r="B1187" s="2"/>
      <c r="C1187" s="2"/>
      <c r="D1187" s="2"/>
      <c r="E1187" s="2"/>
      <c r="F1187" s="2"/>
      <c r="G1187" s="2"/>
      <c r="H1187" s="2"/>
      <c r="I1187" s="2"/>
      <c r="J1187" s="2"/>
      <c r="K1187" s="2"/>
      <c r="L1187" s="2"/>
      <c r="M1187" s="2"/>
      <c r="N1187" s="2"/>
      <c r="O1187" s="2"/>
      <c r="P1187" s="2"/>
      <c r="Q1187" s="2"/>
      <c r="R1187" s="2"/>
      <c r="S1187" s="2"/>
      <c r="T1187" s="2"/>
      <c r="U1187" s="2"/>
      <c r="V1187" s="2"/>
      <c r="W1187" s="2" t="str">
        <f>IFERROR(__xludf.DUMMYFUNCTION("""COMPUTED_VALUE"""),"VL103D")</f>
        <v>VL103D</v>
      </c>
      <c r="X1187" s="2"/>
      <c r="Y1187" s="2"/>
      <c r="Z1187" s="2"/>
      <c r="AA1187" s="2"/>
      <c r="AB1187" s="2"/>
    </row>
    <row r="1188">
      <c r="A1188" s="2"/>
      <c r="B1188" s="2"/>
      <c r="C1188" s="2"/>
      <c r="D1188" s="2"/>
      <c r="E1188" s="2"/>
      <c r="F1188" s="2"/>
      <c r="G1188" s="2"/>
      <c r="H1188" s="2"/>
      <c r="I1188" s="2"/>
      <c r="J1188" s="2"/>
      <c r="K1188" s="2"/>
      <c r="L1188" s="2"/>
      <c r="M1188" s="2"/>
      <c r="N1188" s="2"/>
      <c r="O1188" s="2"/>
      <c r="P1188" s="2"/>
      <c r="Q1188" s="2"/>
      <c r="R1188" s="2"/>
      <c r="S1188" s="2"/>
      <c r="T1188" s="2"/>
      <c r="U1188" s="2"/>
      <c r="V1188" s="2"/>
      <c r="W1188" s="2" t="str">
        <f>IFERROR(__xludf.DUMMYFUNCTION("""COMPUTED_VALUE"""),"VL103D")</f>
        <v>VL103D</v>
      </c>
      <c r="X1188" s="2"/>
      <c r="Y1188" s="2"/>
      <c r="Z1188" s="2"/>
      <c r="AA1188" s="2"/>
      <c r="AB1188" s="2"/>
    </row>
    <row r="1189">
      <c r="A1189" s="2"/>
      <c r="B1189" s="2"/>
      <c r="C1189" s="2"/>
      <c r="D1189" s="2"/>
      <c r="E1189" s="2"/>
      <c r="F1189" s="2"/>
      <c r="G1189" s="2"/>
      <c r="H1189" s="2"/>
      <c r="I1189" s="2"/>
      <c r="J1189" s="2"/>
      <c r="K1189" s="2"/>
      <c r="L1189" s="2"/>
      <c r="M1189" s="2"/>
      <c r="N1189" s="2"/>
      <c r="O1189" s="2"/>
      <c r="P1189" s="2"/>
      <c r="Q1189" s="2"/>
      <c r="R1189" s="2"/>
      <c r="S1189" s="2"/>
      <c r="T1189" s="2"/>
      <c r="U1189" s="2"/>
      <c r="V1189" s="2"/>
      <c r="W1189" s="2" t="str">
        <f>IFERROR(__xludf.DUMMYFUNCTION("""COMPUTED_VALUE"""),"VL103D")</f>
        <v>VL103D</v>
      </c>
      <c r="X1189" s="2"/>
      <c r="Y1189" s="2"/>
      <c r="Z1189" s="2"/>
      <c r="AA1189" s="2"/>
      <c r="AB1189" s="2"/>
    </row>
    <row r="1190">
      <c r="A1190" s="2"/>
      <c r="B1190" s="2"/>
      <c r="C1190" s="2"/>
      <c r="D1190" s="2"/>
      <c r="E1190" s="2"/>
      <c r="F1190" s="2"/>
      <c r="G1190" s="2"/>
      <c r="H1190" s="2"/>
      <c r="I1190" s="2"/>
      <c r="J1190" s="2"/>
      <c r="K1190" s="2"/>
      <c r="L1190" s="2"/>
      <c r="M1190" s="2"/>
      <c r="N1190" s="2"/>
      <c r="O1190" s="2"/>
      <c r="P1190" s="2"/>
      <c r="Q1190" s="2"/>
      <c r="R1190" s="2"/>
      <c r="S1190" s="2"/>
      <c r="T1190" s="2"/>
      <c r="U1190" s="2"/>
      <c r="V1190" s="2"/>
      <c r="W1190" s="2" t="str">
        <f>IFERROR(__xludf.DUMMYFUNCTION("""COMPUTED_VALUE"""),"VL103D")</f>
        <v>VL103D</v>
      </c>
      <c r="X1190" s="2"/>
      <c r="Y1190" s="2"/>
      <c r="Z1190" s="2"/>
      <c r="AA1190" s="2"/>
      <c r="AB1190" s="2"/>
    </row>
    <row r="1191">
      <c r="A1191" s="2"/>
      <c r="B1191" s="2"/>
      <c r="C1191" s="2"/>
      <c r="D1191" s="2"/>
      <c r="E1191" s="2"/>
      <c r="F1191" s="2"/>
      <c r="G1191" s="2"/>
      <c r="H1191" s="2"/>
      <c r="I1191" s="2"/>
      <c r="J1191" s="2"/>
      <c r="K1191" s="2"/>
      <c r="L1191" s="2"/>
      <c r="M1191" s="2"/>
      <c r="N1191" s="2"/>
      <c r="O1191" s="2"/>
      <c r="P1191" s="2"/>
      <c r="Q1191" s="2"/>
      <c r="R1191" s="2"/>
      <c r="S1191" s="2"/>
      <c r="T1191" s="2"/>
      <c r="U1191" s="2"/>
      <c r="V1191" s="2"/>
      <c r="W1191" s="2" t="str">
        <f>IFERROR(__xludf.DUMMYFUNCTION("""COMPUTED_VALUE"""),"VL103D")</f>
        <v>VL103D</v>
      </c>
      <c r="X1191" s="2"/>
      <c r="Y1191" s="2"/>
      <c r="Z1191" s="2"/>
      <c r="AA1191" s="2"/>
      <c r="AB1191" s="2"/>
    </row>
    <row r="1192">
      <c r="A1192" s="2"/>
      <c r="B1192" s="2"/>
      <c r="C1192" s="2"/>
      <c r="D1192" s="2"/>
      <c r="E1192" s="2"/>
      <c r="F1192" s="2"/>
      <c r="G1192" s="2"/>
      <c r="H1192" s="2"/>
      <c r="I1192" s="2"/>
      <c r="J1192" s="2"/>
      <c r="K1192" s="2"/>
      <c r="L1192" s="2"/>
      <c r="M1192" s="2"/>
      <c r="N1192" s="2"/>
      <c r="O1192" s="2"/>
      <c r="P1192" s="2"/>
      <c r="Q1192" s="2"/>
      <c r="R1192" s="2"/>
      <c r="S1192" s="2"/>
      <c r="T1192" s="2"/>
      <c r="U1192" s="2"/>
      <c r="V1192" s="2"/>
      <c r="W1192" s="2" t="str">
        <f>IFERROR(__xludf.DUMMYFUNCTION("""COMPUTED_VALUE"""),"VL103D")</f>
        <v>VL103D</v>
      </c>
      <c r="X1192" s="2"/>
      <c r="Y1192" s="2"/>
      <c r="Z1192" s="2"/>
      <c r="AA1192" s="2"/>
      <c r="AB1192" s="2"/>
    </row>
    <row r="1193">
      <c r="A1193" s="2"/>
      <c r="B1193" s="2"/>
      <c r="C1193" s="2"/>
      <c r="D1193" s="2"/>
      <c r="E1193" s="2"/>
      <c r="F1193" s="2"/>
      <c r="G1193" s="2"/>
      <c r="H1193" s="2"/>
      <c r="I1193" s="2"/>
      <c r="J1193" s="2"/>
      <c r="K1193" s="2"/>
      <c r="L1193" s="2"/>
      <c r="M1193" s="2"/>
      <c r="N1193" s="2"/>
      <c r="O1193" s="2"/>
      <c r="P1193" s="2"/>
      <c r="Q1193" s="2"/>
      <c r="R1193" s="2"/>
      <c r="S1193" s="2"/>
      <c r="T1193" s="2"/>
      <c r="U1193" s="2"/>
      <c r="V1193" s="2"/>
      <c r="W1193" s="2" t="str">
        <f>IFERROR(__xludf.DUMMYFUNCTION("""COMPUTED_VALUE"""),"VL103D")</f>
        <v>VL103D</v>
      </c>
      <c r="X1193" s="2"/>
      <c r="Y1193" s="2"/>
      <c r="Z1193" s="2"/>
      <c r="AA1193" s="2"/>
      <c r="AB1193" s="2"/>
    </row>
    <row r="1194">
      <c r="A1194" s="2"/>
      <c r="B1194" s="2"/>
      <c r="C1194" s="2"/>
      <c r="D1194" s="2"/>
      <c r="E1194" s="2"/>
      <c r="F1194" s="2"/>
      <c r="G1194" s="2"/>
      <c r="H1194" s="2"/>
      <c r="I1194" s="2"/>
      <c r="J1194" s="2"/>
      <c r="K1194" s="2"/>
      <c r="L1194" s="2"/>
      <c r="M1194" s="2"/>
      <c r="N1194" s="2"/>
      <c r="O1194" s="2"/>
      <c r="P1194" s="2"/>
      <c r="Q1194" s="2"/>
      <c r="R1194" s="2"/>
      <c r="S1194" s="2"/>
      <c r="T1194" s="2"/>
      <c r="U1194" s="2"/>
      <c r="V1194" s="2"/>
      <c r="W1194" s="2" t="str">
        <f>IFERROR(__xludf.DUMMYFUNCTION("""COMPUTED_VALUE"""),"VL103D")</f>
        <v>VL103D</v>
      </c>
      <c r="X1194" s="2"/>
      <c r="Y1194" s="2"/>
      <c r="Z1194" s="2"/>
      <c r="AA1194" s="2"/>
      <c r="AB1194" s="2"/>
    </row>
    <row r="1195">
      <c r="A1195" s="2"/>
      <c r="B1195" s="2"/>
      <c r="C1195" s="2"/>
      <c r="D1195" s="2"/>
      <c r="E1195" s="2"/>
      <c r="F1195" s="2"/>
      <c r="G1195" s="2"/>
      <c r="H1195" s="2"/>
      <c r="I1195" s="2"/>
      <c r="J1195" s="2"/>
      <c r="K1195" s="2"/>
      <c r="L1195" s="2"/>
      <c r="M1195" s="2"/>
      <c r="N1195" s="2"/>
      <c r="O1195" s="2"/>
      <c r="P1195" s="2"/>
      <c r="Q1195" s="2"/>
      <c r="R1195" s="2"/>
      <c r="S1195" s="2"/>
      <c r="T1195" s="2"/>
      <c r="U1195" s="2"/>
      <c r="V1195" s="2"/>
      <c r="W1195" s="2" t="str">
        <f>IFERROR(__xludf.DUMMYFUNCTION("""COMPUTED_VALUE"""),"VL103D")</f>
        <v>VL103D</v>
      </c>
      <c r="X1195" s="2"/>
      <c r="Y1195" s="2"/>
      <c r="Z1195" s="2"/>
      <c r="AA1195" s="2"/>
      <c r="AB1195" s="2"/>
    </row>
    <row r="1196">
      <c r="A1196" s="2"/>
      <c r="B1196" s="2"/>
      <c r="C1196" s="2"/>
      <c r="D1196" s="2"/>
      <c r="E1196" s="2"/>
      <c r="F1196" s="2"/>
      <c r="G1196" s="2"/>
      <c r="H1196" s="2"/>
      <c r="I1196" s="2"/>
      <c r="J1196" s="2"/>
      <c r="K1196" s="2"/>
      <c r="L1196" s="2"/>
      <c r="M1196" s="2"/>
      <c r="N1196" s="2"/>
      <c r="O1196" s="2"/>
      <c r="P1196" s="2"/>
      <c r="Q1196" s="2"/>
      <c r="R1196" s="2"/>
      <c r="S1196" s="2"/>
      <c r="T1196" s="2"/>
      <c r="U1196" s="2"/>
      <c r="V1196" s="2"/>
      <c r="W1196" s="2" t="str">
        <f>IFERROR(__xludf.DUMMYFUNCTION("""COMPUTED_VALUE"""),"VL103D")</f>
        <v>VL103D</v>
      </c>
      <c r="X1196" s="2"/>
      <c r="Y1196" s="2"/>
      <c r="Z1196" s="2"/>
      <c r="AA1196" s="2"/>
      <c r="AB1196" s="2"/>
    </row>
    <row r="1197">
      <c r="A1197" s="2"/>
      <c r="B1197" s="2"/>
      <c r="C1197" s="2"/>
      <c r="D1197" s="2"/>
      <c r="E1197" s="2"/>
      <c r="F1197" s="2"/>
      <c r="G1197" s="2"/>
      <c r="H1197" s="2"/>
      <c r="I1197" s="2"/>
      <c r="J1197" s="2"/>
      <c r="K1197" s="2"/>
      <c r="L1197" s="2"/>
      <c r="M1197" s="2"/>
      <c r="N1197" s="2"/>
      <c r="O1197" s="2"/>
      <c r="P1197" s="2"/>
      <c r="Q1197" s="2"/>
      <c r="R1197" s="2"/>
      <c r="S1197" s="2"/>
      <c r="T1197" s="2"/>
      <c r="U1197" s="2"/>
      <c r="V1197" s="2"/>
      <c r="W1197" s="2" t="str">
        <f>IFERROR(__xludf.DUMMYFUNCTION("""COMPUTED_VALUE"""),"VL103D")</f>
        <v>VL103D</v>
      </c>
      <c r="X1197" s="2"/>
      <c r="Y1197" s="2"/>
      <c r="Z1197" s="2"/>
      <c r="AA1197" s="2"/>
      <c r="AB1197" s="2"/>
    </row>
    <row r="1198">
      <c r="A1198" s="2"/>
      <c r="B1198" s="2"/>
      <c r="C1198" s="2"/>
      <c r="D1198" s="2"/>
      <c r="E1198" s="2"/>
      <c r="F1198" s="2"/>
      <c r="G1198" s="2"/>
      <c r="H1198" s="2"/>
      <c r="I1198" s="2"/>
      <c r="J1198" s="2"/>
      <c r="K1198" s="2"/>
      <c r="L1198" s="2"/>
      <c r="M1198" s="2"/>
      <c r="N1198" s="2"/>
      <c r="O1198" s="2"/>
      <c r="P1198" s="2"/>
      <c r="Q1198" s="2"/>
      <c r="R1198" s="2"/>
      <c r="S1198" s="2"/>
      <c r="T1198" s="2"/>
      <c r="U1198" s="2"/>
      <c r="V1198" s="2"/>
      <c r="W1198" s="2" t="str">
        <f>IFERROR(__xludf.DUMMYFUNCTION("""COMPUTED_VALUE"""),"VL103D")</f>
        <v>VL103D</v>
      </c>
      <c r="X1198" s="2"/>
      <c r="Y1198" s="2"/>
      <c r="Z1198" s="2"/>
      <c r="AA1198" s="2"/>
      <c r="AB1198" s="2"/>
    </row>
    <row r="1199">
      <c r="A1199" s="2"/>
      <c r="B1199" s="2"/>
      <c r="C1199" s="2"/>
      <c r="D1199" s="2"/>
      <c r="E1199" s="2"/>
      <c r="F1199" s="2"/>
      <c r="G1199" s="2"/>
      <c r="H1199" s="2"/>
      <c r="I1199" s="2"/>
      <c r="J1199" s="2"/>
      <c r="K1199" s="2"/>
      <c r="L1199" s="2"/>
      <c r="M1199" s="2"/>
      <c r="N1199" s="2"/>
      <c r="O1199" s="2"/>
      <c r="P1199" s="2"/>
      <c r="Q1199" s="2"/>
      <c r="R1199" s="2"/>
      <c r="S1199" s="2"/>
      <c r="T1199" s="2"/>
      <c r="U1199" s="2"/>
      <c r="V1199" s="2"/>
      <c r="W1199" s="2" t="str">
        <f>IFERROR(__xludf.DUMMYFUNCTION("""COMPUTED_VALUE"""),"VL103D")</f>
        <v>VL103D</v>
      </c>
      <c r="X1199" s="2"/>
      <c r="Y1199" s="2"/>
      <c r="Z1199" s="2"/>
      <c r="AA1199" s="2"/>
      <c r="AB1199" s="2"/>
    </row>
    <row r="1200">
      <c r="A1200" s="2"/>
      <c r="B1200" s="2"/>
      <c r="C1200" s="2"/>
      <c r="D1200" s="2"/>
      <c r="E1200" s="2"/>
      <c r="F1200" s="2"/>
      <c r="G1200" s="2"/>
      <c r="H1200" s="2"/>
      <c r="I1200" s="2"/>
      <c r="J1200" s="2"/>
      <c r="K1200" s="2"/>
      <c r="L1200" s="2"/>
      <c r="M1200" s="2"/>
      <c r="N1200" s="2"/>
      <c r="O1200" s="2"/>
      <c r="P1200" s="2"/>
      <c r="Q1200" s="2"/>
      <c r="R1200" s="2"/>
      <c r="S1200" s="2"/>
      <c r="T1200" s="2"/>
      <c r="U1200" s="2"/>
      <c r="V1200" s="2"/>
      <c r="W1200" s="2" t="str">
        <f>IFERROR(__xludf.DUMMYFUNCTION("""COMPUTED_VALUE"""),"VL103D")</f>
        <v>VL103D</v>
      </c>
      <c r="X1200" s="2"/>
      <c r="Y1200" s="2"/>
      <c r="Z1200" s="2"/>
      <c r="AA1200" s="2"/>
      <c r="AB1200" s="2"/>
    </row>
    <row r="1201">
      <c r="A1201" s="2"/>
      <c r="B1201" s="2"/>
      <c r="C1201" s="2"/>
      <c r="D1201" s="2"/>
      <c r="E1201" s="2"/>
      <c r="F1201" s="2"/>
      <c r="G1201" s="2"/>
      <c r="H1201" s="2"/>
      <c r="I1201" s="2"/>
      <c r="J1201" s="2"/>
      <c r="K1201" s="2"/>
      <c r="L1201" s="2"/>
      <c r="M1201" s="2"/>
      <c r="N1201" s="2"/>
      <c r="O1201" s="2"/>
      <c r="P1201" s="2"/>
      <c r="Q1201" s="2"/>
      <c r="R1201" s="2"/>
      <c r="S1201" s="2"/>
      <c r="T1201" s="2"/>
      <c r="U1201" s="2"/>
      <c r="V1201" s="2"/>
      <c r="W1201" s="2" t="str">
        <f>IFERROR(__xludf.DUMMYFUNCTION("""COMPUTED_VALUE"""),"VL103D")</f>
        <v>VL103D</v>
      </c>
      <c r="X1201" s="2"/>
      <c r="Y1201" s="2"/>
      <c r="Z1201" s="2"/>
      <c r="AA1201" s="2"/>
      <c r="AB1201" s="2"/>
    </row>
    <row r="1202">
      <c r="A1202" s="2"/>
      <c r="B1202" s="2"/>
      <c r="C1202" s="2"/>
      <c r="D1202" s="2"/>
      <c r="E1202" s="2"/>
      <c r="F1202" s="2"/>
      <c r="G1202" s="2"/>
      <c r="H1202" s="2"/>
      <c r="I1202" s="2"/>
      <c r="J1202" s="2"/>
      <c r="K1202" s="2"/>
      <c r="L1202" s="2"/>
      <c r="M1202" s="2"/>
      <c r="N1202" s="2"/>
      <c r="O1202" s="2"/>
      <c r="P1202" s="2"/>
      <c r="Q1202" s="2"/>
      <c r="R1202" s="2"/>
      <c r="S1202" s="2"/>
      <c r="T1202" s="2"/>
      <c r="U1202" s="2"/>
      <c r="V1202" s="2"/>
      <c r="W1202" s="2" t="str">
        <f>IFERROR(__xludf.DUMMYFUNCTION("""COMPUTED_VALUE"""),"VL103D")</f>
        <v>VL103D</v>
      </c>
      <c r="X1202" s="2"/>
      <c r="Y1202" s="2"/>
      <c r="Z1202" s="2"/>
      <c r="AA1202" s="2"/>
      <c r="AB1202" s="2"/>
    </row>
    <row r="1203">
      <c r="A1203" s="2"/>
      <c r="B1203" s="2"/>
      <c r="C1203" s="2"/>
      <c r="D1203" s="2"/>
      <c r="E1203" s="2"/>
      <c r="F1203" s="2"/>
      <c r="G1203" s="2"/>
      <c r="H1203" s="2"/>
      <c r="I1203" s="2"/>
      <c r="J1203" s="2"/>
      <c r="K1203" s="2"/>
      <c r="L1203" s="2"/>
      <c r="M1203" s="2"/>
      <c r="N1203" s="2"/>
      <c r="O1203" s="2"/>
      <c r="P1203" s="2"/>
      <c r="Q1203" s="2"/>
      <c r="R1203" s="2"/>
      <c r="S1203" s="2"/>
      <c r="T1203" s="2"/>
      <c r="U1203" s="2"/>
      <c r="V1203" s="2"/>
      <c r="W1203" s="2" t="str">
        <f>IFERROR(__xludf.DUMMYFUNCTION("""COMPUTED_VALUE"""),"VL103D")</f>
        <v>VL103D</v>
      </c>
      <c r="X1203" s="2"/>
      <c r="Y1203" s="2"/>
      <c r="Z1203" s="2"/>
      <c r="AA1203" s="2"/>
      <c r="AB1203" s="2"/>
    </row>
    <row r="1204">
      <c r="A1204" s="2"/>
      <c r="B1204" s="2"/>
      <c r="C1204" s="2"/>
      <c r="D1204" s="2"/>
      <c r="E1204" s="2"/>
      <c r="F1204" s="2"/>
      <c r="G1204" s="2"/>
      <c r="H1204" s="2"/>
      <c r="I1204" s="2"/>
      <c r="J1204" s="2"/>
      <c r="K1204" s="2"/>
      <c r="L1204" s="2"/>
      <c r="M1204" s="2"/>
      <c r="N1204" s="2"/>
      <c r="O1204" s="2"/>
      <c r="P1204" s="2"/>
      <c r="Q1204" s="2"/>
      <c r="R1204" s="2"/>
      <c r="S1204" s="2"/>
      <c r="T1204" s="2"/>
      <c r="U1204" s="2"/>
      <c r="V1204" s="2"/>
      <c r="W1204" s="2" t="str">
        <f>IFERROR(__xludf.DUMMYFUNCTION("""COMPUTED_VALUE"""),"VL103D")</f>
        <v>VL103D</v>
      </c>
      <c r="X1204" s="2"/>
      <c r="Y1204" s="2"/>
      <c r="Z1204" s="2"/>
      <c r="AA1204" s="2"/>
      <c r="AB1204" s="2"/>
    </row>
    <row r="1205">
      <c r="A1205" s="2"/>
      <c r="B1205" s="2"/>
      <c r="C1205" s="2"/>
      <c r="D1205" s="2"/>
      <c r="E1205" s="2"/>
      <c r="F1205" s="2"/>
      <c r="G1205" s="2"/>
      <c r="H1205" s="2"/>
      <c r="I1205" s="2"/>
      <c r="J1205" s="2"/>
      <c r="K1205" s="2"/>
      <c r="L1205" s="2"/>
      <c r="M1205" s="2"/>
      <c r="N1205" s="2"/>
      <c r="O1205" s="2"/>
      <c r="P1205" s="2"/>
      <c r="Q1205" s="2"/>
      <c r="R1205" s="2"/>
      <c r="S1205" s="2"/>
      <c r="T1205" s="2"/>
      <c r="U1205" s="2"/>
      <c r="V1205" s="2"/>
      <c r="W1205" s="2" t="str">
        <f>IFERROR(__xludf.DUMMYFUNCTION("""COMPUTED_VALUE"""),"VL103D")</f>
        <v>VL103D</v>
      </c>
      <c r="X1205" s="2"/>
      <c r="Y1205" s="2"/>
      <c r="Z1205" s="2"/>
      <c r="AA1205" s="2"/>
      <c r="AB1205" s="2"/>
    </row>
    <row r="1206">
      <c r="A1206" s="2"/>
      <c r="B1206" s="2"/>
      <c r="C1206" s="2"/>
      <c r="D1206" s="2"/>
      <c r="E1206" s="2"/>
      <c r="F1206" s="2"/>
      <c r="G1206" s="2"/>
      <c r="H1206" s="2"/>
      <c r="I1206" s="2"/>
      <c r="J1206" s="2"/>
      <c r="K1206" s="2"/>
      <c r="L1206" s="2"/>
      <c r="M1206" s="2"/>
      <c r="N1206" s="2"/>
      <c r="O1206" s="2"/>
      <c r="P1206" s="2"/>
      <c r="Q1206" s="2"/>
      <c r="R1206" s="2"/>
      <c r="S1206" s="2"/>
      <c r="T1206" s="2"/>
      <c r="U1206" s="2"/>
      <c r="V1206" s="2"/>
      <c r="W1206" s="2" t="str">
        <f>IFERROR(__xludf.DUMMYFUNCTION("""COMPUTED_VALUE"""),"VL103D")</f>
        <v>VL103D</v>
      </c>
      <c r="X1206" s="2"/>
      <c r="Y1206" s="2"/>
      <c r="Z1206" s="2"/>
      <c r="AA1206" s="2"/>
      <c r="AB1206" s="2"/>
    </row>
    <row r="1207">
      <c r="A1207" s="2"/>
      <c r="B1207" s="2"/>
      <c r="C1207" s="2"/>
      <c r="D1207" s="2"/>
      <c r="E1207" s="2"/>
      <c r="F1207" s="2"/>
      <c r="G1207" s="2"/>
      <c r="H1207" s="2"/>
      <c r="I1207" s="2"/>
      <c r="J1207" s="2"/>
      <c r="K1207" s="2"/>
      <c r="L1207" s="2"/>
      <c r="M1207" s="2"/>
      <c r="N1207" s="2"/>
      <c r="O1207" s="2"/>
      <c r="P1207" s="2"/>
      <c r="Q1207" s="2"/>
      <c r="R1207" s="2"/>
      <c r="S1207" s="2"/>
      <c r="T1207" s="2"/>
      <c r="U1207" s="2"/>
      <c r="V1207" s="2"/>
      <c r="W1207" s="2" t="str">
        <f>IFERROR(__xludf.DUMMYFUNCTION("""COMPUTED_VALUE"""),"VL103D")</f>
        <v>VL103D</v>
      </c>
      <c r="X1207" s="2"/>
      <c r="Y1207" s="2"/>
      <c r="Z1207" s="2"/>
      <c r="AA1207" s="2"/>
      <c r="AB1207" s="2"/>
    </row>
    <row r="1208">
      <c r="A1208" s="2"/>
      <c r="B1208" s="2"/>
      <c r="C1208" s="2"/>
      <c r="D1208" s="2"/>
      <c r="E1208" s="2"/>
      <c r="F1208" s="2"/>
      <c r="G1208" s="2"/>
      <c r="H1208" s="2"/>
      <c r="I1208" s="2"/>
      <c r="J1208" s="2"/>
      <c r="K1208" s="2"/>
      <c r="L1208" s="2"/>
      <c r="M1208" s="2"/>
      <c r="N1208" s="2"/>
      <c r="O1208" s="2"/>
      <c r="P1208" s="2"/>
      <c r="Q1208" s="2"/>
      <c r="R1208" s="2"/>
      <c r="S1208" s="2"/>
      <c r="T1208" s="2"/>
      <c r="U1208" s="2"/>
      <c r="V1208" s="2"/>
      <c r="W1208" s="2" t="str">
        <f>IFERROR(__xludf.DUMMYFUNCTION("""COMPUTED_VALUE"""),"VL103D")</f>
        <v>VL103D</v>
      </c>
      <c r="X1208" s="2"/>
      <c r="Y1208" s="2"/>
      <c r="Z1208" s="2"/>
      <c r="AA1208" s="2"/>
      <c r="AB1208" s="2"/>
    </row>
    <row r="1209">
      <c r="A1209" s="2"/>
      <c r="B1209" s="2"/>
      <c r="C1209" s="2"/>
      <c r="D1209" s="2"/>
      <c r="E1209" s="2"/>
      <c r="F1209" s="2"/>
      <c r="G1209" s="2"/>
      <c r="H1209" s="2"/>
      <c r="I1209" s="2"/>
      <c r="J1209" s="2"/>
      <c r="K1209" s="2"/>
      <c r="L1209" s="2"/>
      <c r="M1209" s="2"/>
      <c r="N1209" s="2"/>
      <c r="O1209" s="2"/>
      <c r="P1209" s="2"/>
      <c r="Q1209" s="2"/>
      <c r="R1209" s="2"/>
      <c r="S1209" s="2"/>
      <c r="T1209" s="2"/>
      <c r="U1209" s="2"/>
      <c r="V1209" s="2"/>
      <c r="W1209" s="2" t="str">
        <f>IFERROR(__xludf.DUMMYFUNCTION("""COMPUTED_VALUE"""),"VL103D")</f>
        <v>VL103D</v>
      </c>
      <c r="X1209" s="2"/>
      <c r="Y1209" s="2"/>
      <c r="Z1209" s="2"/>
      <c r="AA1209" s="2"/>
      <c r="AB1209" s="2"/>
    </row>
    <row r="1210">
      <c r="A1210" s="2"/>
      <c r="B1210" s="2"/>
      <c r="C1210" s="2"/>
      <c r="D1210" s="2"/>
      <c r="E1210" s="2"/>
      <c r="F1210" s="2"/>
      <c r="G1210" s="2"/>
      <c r="H1210" s="2"/>
      <c r="I1210" s="2"/>
      <c r="J1210" s="2"/>
      <c r="K1210" s="2"/>
      <c r="L1210" s="2"/>
      <c r="M1210" s="2"/>
      <c r="N1210" s="2"/>
      <c r="O1210" s="2"/>
      <c r="P1210" s="2"/>
      <c r="Q1210" s="2"/>
      <c r="R1210" s="2"/>
      <c r="S1210" s="2"/>
      <c r="T1210" s="2"/>
      <c r="U1210" s="2"/>
      <c r="V1210" s="2"/>
      <c r="W1210" s="2" t="str">
        <f>IFERROR(__xludf.DUMMYFUNCTION("""COMPUTED_VALUE"""),"VL103D")</f>
        <v>VL103D</v>
      </c>
      <c r="X1210" s="2"/>
      <c r="Y1210" s="2"/>
      <c r="Z1210" s="2"/>
      <c r="AA1210" s="2"/>
      <c r="AB1210" s="2"/>
    </row>
    <row r="1211">
      <c r="A1211" s="2"/>
      <c r="B1211" s="2"/>
      <c r="C1211" s="2"/>
      <c r="D1211" s="2"/>
      <c r="E1211" s="2"/>
      <c r="F1211" s="2"/>
      <c r="G1211" s="2"/>
      <c r="H1211" s="2"/>
      <c r="I1211" s="2"/>
      <c r="J1211" s="2"/>
      <c r="K1211" s="2"/>
      <c r="L1211" s="2"/>
      <c r="M1211" s="2"/>
      <c r="N1211" s="2"/>
      <c r="O1211" s="2"/>
      <c r="P1211" s="2"/>
      <c r="Q1211" s="2"/>
      <c r="R1211" s="2"/>
      <c r="S1211" s="2"/>
      <c r="T1211" s="2"/>
      <c r="U1211" s="2"/>
      <c r="V1211" s="2"/>
      <c r="W1211" s="2" t="str">
        <f>IFERROR(__xludf.DUMMYFUNCTION("""COMPUTED_VALUE"""),"VL103D")</f>
        <v>VL103D</v>
      </c>
      <c r="X1211" s="2"/>
      <c r="Y1211" s="2"/>
      <c r="Z1211" s="2"/>
      <c r="AA1211" s="2"/>
      <c r="AB1211" s="2"/>
    </row>
    <row r="1212">
      <c r="A1212" s="2"/>
      <c r="B1212" s="2"/>
      <c r="C1212" s="2"/>
      <c r="D1212" s="2"/>
      <c r="E1212" s="2"/>
      <c r="F1212" s="2"/>
      <c r="G1212" s="2"/>
      <c r="H1212" s="2"/>
      <c r="I1212" s="2"/>
      <c r="J1212" s="2"/>
      <c r="K1212" s="2"/>
      <c r="L1212" s="2"/>
      <c r="M1212" s="2"/>
      <c r="N1212" s="2"/>
      <c r="O1212" s="2"/>
      <c r="P1212" s="2"/>
      <c r="Q1212" s="2"/>
      <c r="R1212" s="2"/>
      <c r="S1212" s="2"/>
      <c r="T1212" s="2"/>
      <c r="U1212" s="2"/>
      <c r="V1212" s="2"/>
      <c r="W1212" s="2" t="str">
        <f>IFERROR(__xludf.DUMMYFUNCTION("""COMPUTED_VALUE"""),"VL103D")</f>
        <v>VL103D</v>
      </c>
      <c r="X1212" s="2"/>
      <c r="Y1212" s="2"/>
      <c r="Z1212" s="2"/>
      <c r="AA1212" s="2"/>
      <c r="AB1212" s="2"/>
    </row>
    <row r="1213">
      <c r="A1213" s="2"/>
      <c r="B1213" s="2"/>
      <c r="C1213" s="2"/>
      <c r="D1213" s="2"/>
      <c r="E1213" s="2"/>
      <c r="F1213" s="2"/>
      <c r="G1213" s="2"/>
      <c r="H1213" s="2"/>
      <c r="I1213" s="2"/>
      <c r="J1213" s="2"/>
      <c r="K1213" s="2"/>
      <c r="L1213" s="2"/>
      <c r="M1213" s="2"/>
      <c r="N1213" s="2"/>
      <c r="O1213" s="2"/>
      <c r="P1213" s="2"/>
      <c r="Q1213" s="2"/>
      <c r="R1213" s="2"/>
      <c r="S1213" s="2"/>
      <c r="T1213" s="2"/>
      <c r="U1213" s="2"/>
      <c r="V1213" s="2"/>
      <c r="W1213" s="2" t="str">
        <f>IFERROR(__xludf.DUMMYFUNCTION("""COMPUTED_VALUE"""),"VL103D")</f>
        <v>VL103D</v>
      </c>
      <c r="X1213" s="2"/>
      <c r="Y1213" s="2"/>
      <c r="Z1213" s="2"/>
      <c r="AA1213" s="2"/>
      <c r="AB1213" s="2"/>
    </row>
    <row r="1214">
      <c r="A1214" s="2"/>
      <c r="B1214" s="2"/>
      <c r="C1214" s="2"/>
      <c r="D1214" s="2"/>
      <c r="E1214" s="2"/>
      <c r="F1214" s="2"/>
      <c r="G1214" s="2"/>
      <c r="H1214" s="2"/>
      <c r="I1214" s="2"/>
      <c r="J1214" s="2"/>
      <c r="K1214" s="2"/>
      <c r="L1214" s="2"/>
      <c r="M1214" s="2"/>
      <c r="N1214" s="2"/>
      <c r="O1214" s="2"/>
      <c r="P1214" s="2"/>
      <c r="Q1214" s="2"/>
      <c r="R1214" s="2"/>
      <c r="S1214" s="2"/>
      <c r="T1214" s="2"/>
      <c r="U1214" s="2"/>
      <c r="V1214" s="2"/>
      <c r="W1214" s="2" t="str">
        <f>IFERROR(__xludf.DUMMYFUNCTION("""COMPUTED_VALUE"""),"VL103D")</f>
        <v>VL103D</v>
      </c>
      <c r="X1214" s="2"/>
      <c r="Y1214" s="2"/>
      <c r="Z1214" s="2"/>
      <c r="AA1214" s="2"/>
      <c r="AB1214" s="2"/>
    </row>
    <row r="1215">
      <c r="A1215" s="2"/>
      <c r="B1215" s="2"/>
      <c r="C1215" s="2"/>
      <c r="D1215" s="2"/>
      <c r="E1215" s="2"/>
      <c r="F1215" s="2"/>
      <c r="G1215" s="2"/>
      <c r="H1215" s="2"/>
      <c r="I1215" s="2"/>
      <c r="J1215" s="2"/>
      <c r="K1215" s="2"/>
      <c r="L1215" s="2"/>
      <c r="M1215" s="2"/>
      <c r="N1215" s="2"/>
      <c r="O1215" s="2"/>
      <c r="P1215" s="2"/>
      <c r="Q1215" s="2"/>
      <c r="R1215" s="2"/>
      <c r="S1215" s="2"/>
      <c r="T1215" s="2"/>
      <c r="U1215" s="2"/>
      <c r="V1215" s="2"/>
      <c r="W1215" s="2" t="str">
        <f>IFERROR(__xludf.DUMMYFUNCTION("""COMPUTED_VALUE"""),"VL103D")</f>
        <v>VL103D</v>
      </c>
      <c r="X1215" s="2"/>
      <c r="Y1215" s="2"/>
      <c r="Z1215" s="2"/>
      <c r="AA1215" s="2"/>
      <c r="AB1215" s="2"/>
    </row>
    <row r="1216">
      <c r="A1216" s="2"/>
      <c r="B1216" s="2"/>
      <c r="C1216" s="2"/>
      <c r="D1216" s="2"/>
      <c r="E1216" s="2"/>
      <c r="F1216" s="2"/>
      <c r="G1216" s="2"/>
      <c r="H1216" s="2"/>
      <c r="I1216" s="2"/>
      <c r="J1216" s="2"/>
      <c r="K1216" s="2"/>
      <c r="L1216" s="2"/>
      <c r="M1216" s="2"/>
      <c r="N1216" s="2"/>
      <c r="O1216" s="2"/>
      <c r="P1216" s="2"/>
      <c r="Q1216" s="2"/>
      <c r="R1216" s="2"/>
      <c r="S1216" s="2"/>
      <c r="T1216" s="2"/>
      <c r="U1216" s="2"/>
      <c r="V1216" s="2"/>
      <c r="W1216" s="2" t="str">
        <f>IFERROR(__xludf.DUMMYFUNCTION("""COMPUTED_VALUE"""),"VL103D")</f>
        <v>VL103D</v>
      </c>
      <c r="X1216" s="2"/>
      <c r="Y1216" s="2"/>
      <c r="Z1216" s="2"/>
      <c r="AA1216" s="2"/>
      <c r="AB1216" s="2"/>
    </row>
    <row r="1217">
      <c r="A1217" s="2"/>
      <c r="B1217" s="2"/>
      <c r="C1217" s="2"/>
      <c r="D1217" s="2"/>
      <c r="E1217" s="2"/>
      <c r="F1217" s="2"/>
      <c r="G1217" s="2"/>
      <c r="H1217" s="2"/>
      <c r="I1217" s="2"/>
      <c r="J1217" s="2"/>
      <c r="K1217" s="2"/>
      <c r="L1217" s="2"/>
      <c r="M1217" s="2"/>
      <c r="N1217" s="2"/>
      <c r="O1217" s="2"/>
      <c r="P1217" s="2"/>
      <c r="Q1217" s="2"/>
      <c r="R1217" s="2"/>
      <c r="S1217" s="2"/>
      <c r="T1217" s="2"/>
      <c r="U1217" s="2"/>
      <c r="V1217" s="2"/>
      <c r="W1217" s="2" t="str">
        <f>IFERROR(__xludf.DUMMYFUNCTION("""COMPUTED_VALUE"""),"VL103D")</f>
        <v>VL103D</v>
      </c>
      <c r="X1217" s="2"/>
      <c r="Y1217" s="2"/>
      <c r="Z1217" s="2"/>
      <c r="AA1217" s="2"/>
      <c r="AB1217" s="2"/>
    </row>
    <row r="1218">
      <c r="A1218" s="2"/>
      <c r="B1218" s="2"/>
      <c r="C1218" s="2"/>
      <c r="D1218" s="2"/>
      <c r="E1218" s="2"/>
      <c r="F1218" s="2"/>
      <c r="G1218" s="2"/>
      <c r="H1218" s="2"/>
      <c r="I1218" s="2"/>
      <c r="J1218" s="2"/>
      <c r="K1218" s="2"/>
      <c r="L1218" s="2"/>
      <c r="M1218" s="2"/>
      <c r="N1218" s="2"/>
      <c r="O1218" s="2"/>
      <c r="P1218" s="2"/>
      <c r="Q1218" s="2"/>
      <c r="R1218" s="2"/>
      <c r="S1218" s="2"/>
      <c r="T1218" s="2"/>
      <c r="U1218" s="2"/>
      <c r="V1218" s="2"/>
      <c r="W1218" s="2" t="str">
        <f>IFERROR(__xludf.DUMMYFUNCTION("""COMPUTED_VALUE"""),"VL103D")</f>
        <v>VL103D</v>
      </c>
      <c r="X1218" s="2"/>
      <c r="Y1218" s="2"/>
      <c r="Z1218" s="2"/>
      <c r="AA1218" s="2"/>
      <c r="AB1218" s="2"/>
    </row>
    <row r="1219">
      <c r="A1219" s="2"/>
      <c r="B1219" s="2"/>
      <c r="C1219" s="2"/>
      <c r="D1219" s="2"/>
      <c r="E1219" s="2"/>
      <c r="F1219" s="2"/>
      <c r="G1219" s="2"/>
      <c r="H1219" s="2"/>
      <c r="I1219" s="2"/>
      <c r="J1219" s="2"/>
      <c r="K1219" s="2"/>
      <c r="L1219" s="2"/>
      <c r="M1219" s="2"/>
      <c r="N1219" s="2"/>
      <c r="O1219" s="2"/>
      <c r="P1219" s="2"/>
      <c r="Q1219" s="2"/>
      <c r="R1219" s="2"/>
      <c r="S1219" s="2"/>
      <c r="T1219" s="2"/>
      <c r="U1219" s="2"/>
      <c r="V1219" s="2"/>
      <c r="W1219" s="2" t="str">
        <f>IFERROR(__xludf.DUMMYFUNCTION("""COMPUTED_VALUE"""),"VL103D")</f>
        <v>VL103D</v>
      </c>
      <c r="X1219" s="2"/>
      <c r="Y1219" s="2"/>
      <c r="Z1219" s="2"/>
      <c r="AA1219" s="2"/>
      <c r="AB1219" s="2"/>
    </row>
    <row r="1220">
      <c r="A1220" s="2"/>
      <c r="B1220" s="2"/>
      <c r="C1220" s="2"/>
      <c r="D1220" s="2"/>
      <c r="E1220" s="2"/>
      <c r="F1220" s="2"/>
      <c r="G1220" s="2"/>
      <c r="H1220" s="2"/>
      <c r="I1220" s="2"/>
      <c r="J1220" s="2"/>
      <c r="K1220" s="2"/>
      <c r="L1220" s="2"/>
      <c r="M1220" s="2"/>
      <c r="N1220" s="2"/>
      <c r="O1220" s="2"/>
      <c r="P1220" s="2"/>
      <c r="Q1220" s="2"/>
      <c r="R1220" s="2"/>
      <c r="S1220" s="2"/>
      <c r="T1220" s="2"/>
      <c r="U1220" s="2"/>
      <c r="V1220" s="2"/>
      <c r="W1220" s="2" t="str">
        <f>IFERROR(__xludf.DUMMYFUNCTION("""COMPUTED_VALUE"""),"VL103D")</f>
        <v>VL103D</v>
      </c>
      <c r="X1220" s="2"/>
      <c r="Y1220" s="2"/>
      <c r="Z1220" s="2"/>
      <c r="AA1220" s="2"/>
      <c r="AB1220" s="2"/>
    </row>
    <row r="1221">
      <c r="A1221" s="2"/>
      <c r="B1221" s="2"/>
      <c r="C1221" s="2"/>
      <c r="D1221" s="2"/>
      <c r="E1221" s="2"/>
      <c r="F1221" s="2"/>
      <c r="G1221" s="2"/>
      <c r="H1221" s="2"/>
      <c r="I1221" s="2"/>
      <c r="J1221" s="2"/>
      <c r="K1221" s="2"/>
      <c r="L1221" s="2"/>
      <c r="M1221" s="2"/>
      <c r="N1221" s="2"/>
      <c r="O1221" s="2"/>
      <c r="P1221" s="2"/>
      <c r="Q1221" s="2"/>
      <c r="R1221" s="2"/>
      <c r="S1221" s="2"/>
      <c r="T1221" s="2"/>
      <c r="U1221" s="2"/>
      <c r="V1221" s="2"/>
      <c r="W1221" s="2" t="str">
        <f>IFERROR(__xludf.DUMMYFUNCTION("""COMPUTED_VALUE"""),"VL103D")</f>
        <v>VL103D</v>
      </c>
      <c r="X1221" s="2"/>
      <c r="Y1221" s="2"/>
      <c r="Z1221" s="2"/>
      <c r="AA1221" s="2"/>
      <c r="AB1221" s="2"/>
    </row>
    <row r="1222">
      <c r="A1222" s="2"/>
      <c r="B1222" s="2"/>
      <c r="C1222" s="2"/>
      <c r="D1222" s="2"/>
      <c r="E1222" s="2"/>
      <c r="F1222" s="2"/>
      <c r="G1222" s="2"/>
      <c r="H1222" s="2"/>
      <c r="I1222" s="2"/>
      <c r="J1222" s="2"/>
      <c r="K1222" s="2"/>
      <c r="L1222" s="2"/>
      <c r="M1222" s="2"/>
      <c r="N1222" s="2"/>
      <c r="O1222" s="2"/>
      <c r="P1222" s="2"/>
      <c r="Q1222" s="2"/>
      <c r="R1222" s="2"/>
      <c r="S1222" s="2"/>
      <c r="T1222" s="2"/>
      <c r="U1222" s="2"/>
      <c r="V1222" s="2"/>
      <c r="W1222" s="2" t="str">
        <f>IFERROR(__xludf.DUMMYFUNCTION("""COMPUTED_VALUE"""),"VL103D")</f>
        <v>VL103D</v>
      </c>
      <c r="X1222" s="2"/>
      <c r="Y1222" s="2"/>
      <c r="Z1222" s="2"/>
      <c r="AA1222" s="2"/>
      <c r="AB1222" s="2"/>
    </row>
    <row r="1223">
      <c r="A1223" s="2"/>
      <c r="B1223" s="2"/>
      <c r="C1223" s="2"/>
      <c r="D1223" s="2"/>
      <c r="E1223" s="2"/>
      <c r="F1223" s="2"/>
      <c r="G1223" s="2"/>
      <c r="H1223" s="2"/>
      <c r="I1223" s="2"/>
      <c r="J1223" s="2"/>
      <c r="K1223" s="2"/>
      <c r="L1223" s="2"/>
      <c r="M1223" s="2"/>
      <c r="N1223" s="2"/>
      <c r="O1223" s="2"/>
      <c r="P1223" s="2"/>
      <c r="Q1223" s="2"/>
      <c r="R1223" s="2"/>
      <c r="S1223" s="2"/>
      <c r="T1223" s="2"/>
      <c r="U1223" s="2"/>
      <c r="V1223" s="2"/>
      <c r="W1223" s="2" t="str">
        <f>IFERROR(__xludf.DUMMYFUNCTION("""COMPUTED_VALUE"""),"VL103D")</f>
        <v>VL103D</v>
      </c>
      <c r="X1223" s="2"/>
      <c r="Y1223" s="2"/>
      <c r="Z1223" s="2"/>
      <c r="AA1223" s="2"/>
      <c r="AB1223" s="2"/>
    </row>
    <row r="1224">
      <c r="A1224" s="2"/>
      <c r="B1224" s="2"/>
      <c r="C1224" s="2"/>
      <c r="D1224" s="2"/>
      <c r="E1224" s="2"/>
      <c r="F1224" s="2"/>
      <c r="G1224" s="2"/>
      <c r="H1224" s="2"/>
      <c r="I1224" s="2"/>
      <c r="J1224" s="2"/>
      <c r="K1224" s="2"/>
      <c r="L1224" s="2"/>
      <c r="M1224" s="2"/>
      <c r="N1224" s="2"/>
      <c r="O1224" s="2"/>
      <c r="P1224" s="2"/>
      <c r="Q1224" s="2"/>
      <c r="R1224" s="2"/>
      <c r="S1224" s="2"/>
      <c r="T1224" s="2"/>
      <c r="U1224" s="2"/>
      <c r="V1224" s="2"/>
      <c r="W1224" s="2" t="str">
        <f>IFERROR(__xludf.DUMMYFUNCTION("""COMPUTED_VALUE"""),"VL103D")</f>
        <v>VL103D</v>
      </c>
      <c r="X1224" s="2"/>
      <c r="Y1224" s="2"/>
      <c r="Z1224" s="2"/>
      <c r="AA1224" s="2"/>
      <c r="AB1224" s="2"/>
    </row>
    <row r="1225">
      <c r="A1225" s="2"/>
      <c r="B1225" s="2"/>
      <c r="C1225" s="2"/>
      <c r="D1225" s="2"/>
      <c r="E1225" s="2"/>
      <c r="F1225" s="2"/>
      <c r="G1225" s="2"/>
      <c r="H1225" s="2"/>
      <c r="I1225" s="2"/>
      <c r="J1225" s="2"/>
      <c r="K1225" s="2"/>
      <c r="L1225" s="2"/>
      <c r="M1225" s="2"/>
      <c r="N1225" s="2"/>
      <c r="O1225" s="2"/>
      <c r="P1225" s="2"/>
      <c r="Q1225" s="2"/>
      <c r="R1225" s="2"/>
      <c r="S1225" s="2"/>
      <c r="T1225" s="2"/>
      <c r="U1225" s="2"/>
      <c r="V1225" s="2"/>
      <c r="W1225" s="2" t="str">
        <f>IFERROR(__xludf.DUMMYFUNCTION("""COMPUTED_VALUE"""),"VL103D")</f>
        <v>VL103D</v>
      </c>
      <c r="X1225" s="2"/>
      <c r="Y1225" s="2"/>
      <c r="Z1225" s="2"/>
      <c r="AA1225" s="2"/>
      <c r="AB1225" s="2"/>
    </row>
    <row r="1226">
      <c r="A1226" s="2"/>
      <c r="B1226" s="2"/>
      <c r="C1226" s="2"/>
      <c r="D1226" s="2"/>
      <c r="E1226" s="2"/>
      <c r="F1226" s="2"/>
      <c r="G1226" s="2"/>
      <c r="H1226" s="2"/>
      <c r="I1226" s="2"/>
      <c r="J1226" s="2"/>
      <c r="K1226" s="2"/>
      <c r="L1226" s="2"/>
      <c r="M1226" s="2"/>
      <c r="N1226" s="2"/>
      <c r="O1226" s="2"/>
      <c r="P1226" s="2"/>
      <c r="Q1226" s="2"/>
      <c r="R1226" s="2"/>
      <c r="S1226" s="2"/>
      <c r="T1226" s="2"/>
      <c r="U1226" s="2"/>
      <c r="V1226" s="2"/>
      <c r="W1226" s="2" t="str">
        <f>IFERROR(__xludf.DUMMYFUNCTION("""COMPUTED_VALUE"""),"VL103D")</f>
        <v>VL103D</v>
      </c>
      <c r="X1226" s="2"/>
      <c r="Y1226" s="2"/>
      <c r="Z1226" s="2"/>
      <c r="AA1226" s="2"/>
      <c r="AB1226" s="2"/>
    </row>
    <row r="1227">
      <c r="A1227" s="2"/>
      <c r="B1227" s="2"/>
      <c r="C1227" s="2"/>
      <c r="D1227" s="2"/>
      <c r="E1227" s="2"/>
      <c r="F1227" s="2"/>
      <c r="G1227" s="2"/>
      <c r="H1227" s="2"/>
      <c r="I1227" s="2"/>
      <c r="J1227" s="2"/>
      <c r="K1227" s="2"/>
      <c r="L1227" s="2"/>
      <c r="M1227" s="2"/>
      <c r="N1227" s="2"/>
      <c r="O1227" s="2"/>
      <c r="P1227" s="2"/>
      <c r="Q1227" s="2"/>
      <c r="R1227" s="2"/>
      <c r="S1227" s="2"/>
      <c r="T1227" s="2"/>
      <c r="U1227" s="2"/>
      <c r="V1227" s="2"/>
      <c r="W1227" s="2" t="str">
        <f>IFERROR(__xludf.DUMMYFUNCTION("""COMPUTED_VALUE"""),"VL103D")</f>
        <v>VL103D</v>
      </c>
      <c r="X1227" s="2"/>
      <c r="Y1227" s="2"/>
      <c r="Z1227" s="2"/>
      <c r="AA1227" s="2"/>
      <c r="AB1227" s="2"/>
    </row>
    <row r="1228">
      <c r="A1228" s="2"/>
      <c r="B1228" s="2"/>
      <c r="C1228" s="2"/>
      <c r="D1228" s="2"/>
      <c r="E1228" s="2"/>
      <c r="F1228" s="2"/>
      <c r="G1228" s="2"/>
      <c r="H1228" s="2"/>
      <c r="I1228" s="2"/>
      <c r="J1228" s="2"/>
      <c r="K1228" s="2"/>
      <c r="L1228" s="2"/>
      <c r="M1228" s="2"/>
      <c r="N1228" s="2"/>
      <c r="O1228" s="2"/>
      <c r="P1228" s="2"/>
      <c r="Q1228" s="2"/>
      <c r="R1228" s="2"/>
      <c r="S1228" s="2"/>
      <c r="T1228" s="2"/>
      <c r="U1228" s="2"/>
      <c r="V1228" s="2"/>
      <c r="W1228" s="2" t="str">
        <f>IFERROR(__xludf.DUMMYFUNCTION("""COMPUTED_VALUE"""),"VL103D")</f>
        <v>VL103D</v>
      </c>
      <c r="X1228" s="2"/>
      <c r="Y1228" s="2"/>
      <c r="Z1228" s="2"/>
      <c r="AA1228" s="2"/>
      <c r="AB1228" s="2"/>
    </row>
    <row r="1229">
      <c r="A1229" s="2"/>
      <c r="B1229" s="2"/>
      <c r="C1229" s="2"/>
      <c r="D1229" s="2"/>
      <c r="E1229" s="2"/>
      <c r="F1229" s="2"/>
      <c r="G1229" s="2"/>
      <c r="H1229" s="2"/>
      <c r="I1229" s="2"/>
      <c r="J1229" s="2"/>
      <c r="K1229" s="2"/>
      <c r="L1229" s="2"/>
      <c r="M1229" s="2"/>
      <c r="N1229" s="2"/>
      <c r="O1229" s="2"/>
      <c r="P1229" s="2"/>
      <c r="Q1229" s="2"/>
      <c r="R1229" s="2"/>
      <c r="S1229" s="2"/>
      <c r="T1229" s="2"/>
      <c r="U1229" s="2"/>
      <c r="V1229" s="2"/>
      <c r="W1229" s="2" t="str">
        <f>IFERROR(__xludf.DUMMYFUNCTION("""COMPUTED_VALUE"""),"VL103D")</f>
        <v>VL103D</v>
      </c>
      <c r="X1229" s="2"/>
      <c r="Y1229" s="2"/>
      <c r="Z1229" s="2"/>
      <c r="AA1229" s="2"/>
      <c r="AB1229" s="2"/>
    </row>
    <row r="1230">
      <c r="A1230" s="2"/>
      <c r="B1230" s="2"/>
      <c r="C1230" s="2"/>
      <c r="D1230" s="2"/>
      <c r="E1230" s="2"/>
      <c r="F1230" s="2"/>
      <c r="G1230" s="2"/>
      <c r="H1230" s="2"/>
      <c r="I1230" s="2"/>
      <c r="J1230" s="2"/>
      <c r="K1230" s="2"/>
      <c r="L1230" s="2"/>
      <c r="M1230" s="2"/>
      <c r="N1230" s="2"/>
      <c r="O1230" s="2"/>
      <c r="P1230" s="2"/>
      <c r="Q1230" s="2"/>
      <c r="R1230" s="2"/>
      <c r="S1230" s="2"/>
      <c r="T1230" s="2"/>
      <c r="U1230" s="2"/>
      <c r="V1230" s="2"/>
      <c r="W1230" s="2" t="str">
        <f>IFERROR(__xludf.DUMMYFUNCTION("""COMPUTED_VALUE"""),"VL103D")</f>
        <v>VL103D</v>
      </c>
      <c r="X1230" s="2"/>
      <c r="Y1230" s="2"/>
      <c r="Z1230" s="2"/>
      <c r="AA1230" s="2"/>
      <c r="AB1230" s="2"/>
    </row>
    <row r="1231">
      <c r="A1231" s="2"/>
      <c r="B1231" s="2"/>
      <c r="C1231" s="2"/>
      <c r="D1231" s="2"/>
      <c r="E1231" s="2"/>
      <c r="F1231" s="2"/>
      <c r="G1231" s="2"/>
      <c r="H1231" s="2"/>
      <c r="I1231" s="2"/>
      <c r="J1231" s="2"/>
      <c r="K1231" s="2"/>
      <c r="L1231" s="2"/>
      <c r="M1231" s="2"/>
      <c r="N1231" s="2"/>
      <c r="O1231" s="2"/>
      <c r="P1231" s="2"/>
      <c r="Q1231" s="2"/>
      <c r="R1231" s="2"/>
      <c r="S1231" s="2"/>
      <c r="T1231" s="2"/>
      <c r="U1231" s="2"/>
      <c r="V1231" s="2"/>
      <c r="W1231" s="2" t="str">
        <f>IFERROR(__xludf.DUMMYFUNCTION("""COMPUTED_VALUE"""),"VL103D")</f>
        <v>VL103D</v>
      </c>
      <c r="X1231" s="2"/>
      <c r="Y1231" s="2"/>
      <c r="Z1231" s="2"/>
      <c r="AA1231" s="2"/>
      <c r="AB1231" s="2"/>
    </row>
    <row r="1232">
      <c r="A1232" s="2"/>
      <c r="B1232" s="2"/>
      <c r="C1232" s="2"/>
      <c r="D1232" s="2"/>
      <c r="E1232" s="2"/>
      <c r="F1232" s="2"/>
      <c r="G1232" s="2"/>
      <c r="H1232" s="2"/>
      <c r="I1232" s="2"/>
      <c r="J1232" s="2"/>
      <c r="K1232" s="2"/>
      <c r="L1232" s="2"/>
      <c r="M1232" s="2"/>
      <c r="N1232" s="2"/>
      <c r="O1232" s="2"/>
      <c r="P1232" s="2"/>
      <c r="Q1232" s="2"/>
      <c r="R1232" s="2"/>
      <c r="S1232" s="2"/>
      <c r="T1232" s="2"/>
      <c r="U1232" s="2"/>
      <c r="V1232" s="2"/>
      <c r="W1232" s="2" t="str">
        <f>IFERROR(__xludf.DUMMYFUNCTION("""COMPUTED_VALUE"""),"VL103D")</f>
        <v>VL103D</v>
      </c>
      <c r="X1232" s="2"/>
      <c r="Y1232" s="2"/>
      <c r="Z1232" s="2"/>
      <c r="AA1232" s="2"/>
      <c r="AB1232" s="2"/>
    </row>
    <row r="1233">
      <c r="A1233" s="2"/>
      <c r="B1233" s="2"/>
      <c r="C1233" s="2"/>
      <c r="D1233" s="2"/>
      <c r="E1233" s="2"/>
      <c r="F1233" s="2"/>
      <c r="G1233" s="2"/>
      <c r="H1233" s="2"/>
      <c r="I1233" s="2"/>
      <c r="J1233" s="2"/>
      <c r="K1233" s="2"/>
      <c r="L1233" s="2"/>
      <c r="M1233" s="2"/>
      <c r="N1233" s="2"/>
      <c r="O1233" s="2"/>
      <c r="P1233" s="2"/>
      <c r="Q1233" s="2"/>
      <c r="R1233" s="2"/>
      <c r="S1233" s="2"/>
      <c r="T1233" s="2"/>
      <c r="U1233" s="2"/>
      <c r="V1233" s="2"/>
      <c r="W1233" s="2" t="str">
        <f>IFERROR(__xludf.DUMMYFUNCTION("""COMPUTED_VALUE"""),"VL103D")</f>
        <v>VL103D</v>
      </c>
      <c r="X1233" s="2"/>
      <c r="Y1233" s="2"/>
      <c r="Z1233" s="2"/>
      <c r="AA1233" s="2"/>
      <c r="AB1233" s="2"/>
    </row>
    <row r="1234">
      <c r="A1234" s="2"/>
      <c r="B1234" s="2"/>
      <c r="C1234" s="2"/>
      <c r="D1234" s="2"/>
      <c r="E1234" s="2"/>
      <c r="F1234" s="2"/>
      <c r="G1234" s="2"/>
      <c r="H1234" s="2"/>
      <c r="I1234" s="2"/>
      <c r="J1234" s="2"/>
      <c r="K1234" s="2"/>
      <c r="L1234" s="2"/>
      <c r="M1234" s="2"/>
      <c r="N1234" s="2"/>
      <c r="O1234" s="2"/>
      <c r="P1234" s="2"/>
      <c r="Q1234" s="2"/>
      <c r="R1234" s="2"/>
      <c r="S1234" s="2"/>
      <c r="T1234" s="2"/>
      <c r="U1234" s="2"/>
      <c r="V1234" s="2"/>
      <c r="W1234" s="2" t="str">
        <f>IFERROR(__xludf.DUMMYFUNCTION("""COMPUTED_VALUE"""),"VL103D")</f>
        <v>VL103D</v>
      </c>
      <c r="X1234" s="2"/>
      <c r="Y1234" s="2"/>
      <c r="Z1234" s="2"/>
      <c r="AA1234" s="2"/>
      <c r="AB1234" s="2"/>
    </row>
    <row r="1235">
      <c r="A1235" s="2"/>
      <c r="B1235" s="2"/>
      <c r="C1235" s="2"/>
      <c r="D1235" s="2"/>
      <c r="E1235" s="2"/>
      <c r="F1235" s="2"/>
      <c r="G1235" s="2"/>
      <c r="H1235" s="2"/>
      <c r="I1235" s="2"/>
      <c r="J1235" s="2"/>
      <c r="K1235" s="2"/>
      <c r="L1235" s="2"/>
      <c r="M1235" s="2"/>
      <c r="N1235" s="2"/>
      <c r="O1235" s="2"/>
      <c r="P1235" s="2"/>
      <c r="Q1235" s="2"/>
      <c r="R1235" s="2"/>
      <c r="S1235" s="2"/>
      <c r="T1235" s="2"/>
      <c r="U1235" s="2"/>
      <c r="V1235" s="2"/>
      <c r="W1235" s="2" t="str">
        <f>IFERROR(__xludf.DUMMYFUNCTION("""COMPUTED_VALUE"""),"VL103D")</f>
        <v>VL103D</v>
      </c>
      <c r="X1235" s="2"/>
      <c r="Y1235" s="2"/>
      <c r="Z1235" s="2"/>
      <c r="AA1235" s="2"/>
      <c r="AB1235" s="2"/>
    </row>
    <row r="1236">
      <c r="A1236" s="2"/>
      <c r="B1236" s="2"/>
      <c r="C1236" s="2"/>
      <c r="D1236" s="2"/>
      <c r="E1236" s="2"/>
      <c r="F1236" s="2"/>
      <c r="G1236" s="2"/>
      <c r="H1236" s="2"/>
      <c r="I1236" s="2"/>
      <c r="J1236" s="2"/>
      <c r="K1236" s="2"/>
      <c r="L1236" s="2"/>
      <c r="M1236" s="2"/>
      <c r="N1236" s="2"/>
      <c r="O1236" s="2"/>
      <c r="P1236" s="2"/>
      <c r="Q1236" s="2"/>
      <c r="R1236" s="2"/>
      <c r="S1236" s="2"/>
      <c r="T1236" s="2"/>
      <c r="U1236" s="2"/>
      <c r="V1236" s="2"/>
      <c r="W1236" s="2" t="str">
        <f>IFERROR(__xludf.DUMMYFUNCTION("""COMPUTED_VALUE"""),"VL103D")</f>
        <v>VL103D</v>
      </c>
      <c r="X1236" s="2"/>
      <c r="Y1236" s="2"/>
      <c r="Z1236" s="2"/>
      <c r="AA1236" s="2"/>
      <c r="AB1236" s="2"/>
    </row>
    <row r="1237">
      <c r="A1237" s="2"/>
      <c r="B1237" s="2"/>
      <c r="C1237" s="2"/>
      <c r="D1237" s="2"/>
      <c r="E1237" s="2"/>
      <c r="F1237" s="2"/>
      <c r="G1237" s="2"/>
      <c r="H1237" s="2"/>
      <c r="I1237" s="2"/>
      <c r="J1237" s="2"/>
      <c r="K1237" s="2"/>
      <c r="L1237" s="2"/>
      <c r="M1237" s="2"/>
      <c r="N1237" s="2"/>
      <c r="O1237" s="2"/>
      <c r="P1237" s="2"/>
      <c r="Q1237" s="2"/>
      <c r="R1237" s="2"/>
      <c r="S1237" s="2"/>
      <c r="T1237" s="2"/>
      <c r="U1237" s="2"/>
      <c r="V1237" s="2"/>
      <c r="W1237" s="2" t="str">
        <f>IFERROR(__xludf.DUMMYFUNCTION("""COMPUTED_VALUE"""),"VL103D")</f>
        <v>VL103D</v>
      </c>
      <c r="X1237" s="2"/>
      <c r="Y1237" s="2"/>
      <c r="Z1237" s="2"/>
      <c r="AA1237" s="2"/>
      <c r="AB1237" s="2"/>
    </row>
    <row r="1238">
      <c r="A1238" s="2"/>
      <c r="B1238" s="2"/>
      <c r="C1238" s="2"/>
      <c r="D1238" s="2"/>
      <c r="E1238" s="2"/>
      <c r="F1238" s="2"/>
      <c r="G1238" s="2"/>
      <c r="H1238" s="2"/>
      <c r="I1238" s="2"/>
      <c r="J1238" s="2"/>
      <c r="K1238" s="2"/>
      <c r="L1238" s="2"/>
      <c r="M1238" s="2"/>
      <c r="N1238" s="2"/>
      <c r="O1238" s="2"/>
      <c r="P1238" s="2"/>
      <c r="Q1238" s="2"/>
      <c r="R1238" s="2"/>
      <c r="S1238" s="2"/>
      <c r="T1238" s="2"/>
      <c r="U1238" s="2"/>
      <c r="V1238" s="2"/>
      <c r="W1238" s="2" t="str">
        <f>IFERROR(__xludf.DUMMYFUNCTION("""COMPUTED_VALUE"""),"VL103D")</f>
        <v>VL103D</v>
      </c>
      <c r="X1238" s="2"/>
      <c r="Y1238" s="2"/>
      <c r="Z1238" s="2"/>
      <c r="AA1238" s="2"/>
      <c r="AB1238" s="2"/>
    </row>
    <row r="1239">
      <c r="A1239" s="2"/>
      <c r="B1239" s="2"/>
      <c r="C1239" s="2"/>
      <c r="D1239" s="2"/>
      <c r="E1239" s="2"/>
      <c r="F1239" s="2"/>
      <c r="G1239" s="2"/>
      <c r="H1239" s="2"/>
      <c r="I1239" s="2"/>
      <c r="J1239" s="2"/>
      <c r="K1239" s="2"/>
      <c r="L1239" s="2"/>
      <c r="M1239" s="2"/>
      <c r="N1239" s="2"/>
      <c r="O1239" s="2"/>
      <c r="P1239" s="2"/>
      <c r="Q1239" s="2"/>
      <c r="R1239" s="2"/>
      <c r="S1239" s="2"/>
      <c r="T1239" s="2"/>
      <c r="U1239" s="2"/>
      <c r="V1239" s="2"/>
      <c r="W1239" s="2" t="str">
        <f>IFERROR(__xludf.DUMMYFUNCTION("""COMPUTED_VALUE"""),"VL103D")</f>
        <v>VL103D</v>
      </c>
      <c r="X1239" s="2"/>
      <c r="Y1239" s="2"/>
      <c r="Z1239" s="2"/>
      <c r="AA1239" s="2"/>
      <c r="AB1239" s="2"/>
    </row>
    <row r="1240">
      <c r="A1240" s="2"/>
      <c r="B1240" s="2"/>
      <c r="C1240" s="2"/>
      <c r="D1240" s="2"/>
      <c r="E1240" s="2"/>
      <c r="F1240" s="2"/>
      <c r="G1240" s="2"/>
      <c r="H1240" s="2"/>
      <c r="I1240" s="2"/>
      <c r="J1240" s="2"/>
      <c r="K1240" s="2"/>
      <c r="L1240" s="2"/>
      <c r="M1240" s="2"/>
      <c r="N1240" s="2"/>
      <c r="O1240" s="2"/>
      <c r="P1240" s="2"/>
      <c r="Q1240" s="2"/>
      <c r="R1240" s="2"/>
      <c r="S1240" s="2"/>
      <c r="T1240" s="2"/>
      <c r="U1240" s="2"/>
      <c r="V1240" s="2"/>
      <c r="W1240" s="2" t="str">
        <f>IFERROR(__xludf.DUMMYFUNCTION("""COMPUTED_VALUE"""),"VL103D")</f>
        <v>VL103D</v>
      </c>
      <c r="X1240" s="2"/>
      <c r="Y1240" s="2"/>
      <c r="Z1240" s="2"/>
      <c r="AA1240" s="2"/>
      <c r="AB1240" s="2"/>
    </row>
    <row r="1241">
      <c r="A1241" s="2"/>
      <c r="B1241" s="2"/>
      <c r="C1241" s="2"/>
      <c r="D1241" s="2"/>
      <c r="E1241" s="2"/>
      <c r="F1241" s="2"/>
      <c r="G1241" s="2"/>
      <c r="H1241" s="2"/>
      <c r="I1241" s="2"/>
      <c r="J1241" s="2"/>
      <c r="K1241" s="2"/>
      <c r="L1241" s="2"/>
      <c r="M1241" s="2"/>
      <c r="N1241" s="2"/>
      <c r="O1241" s="2"/>
      <c r="P1241" s="2"/>
      <c r="Q1241" s="2"/>
      <c r="R1241" s="2"/>
      <c r="S1241" s="2"/>
      <c r="T1241" s="2"/>
      <c r="U1241" s="2"/>
      <c r="V1241" s="2"/>
      <c r="W1241" s="2" t="str">
        <f>IFERROR(__xludf.DUMMYFUNCTION("""COMPUTED_VALUE"""),"VL103D")</f>
        <v>VL103D</v>
      </c>
      <c r="X1241" s="2"/>
      <c r="Y1241" s="2"/>
      <c r="Z1241" s="2"/>
      <c r="AA1241" s="2"/>
      <c r="AB1241" s="2"/>
    </row>
    <row r="1242">
      <c r="A1242" s="2"/>
      <c r="B1242" s="2"/>
      <c r="C1242" s="2"/>
      <c r="D1242" s="2"/>
      <c r="E1242" s="2"/>
      <c r="F1242" s="2"/>
      <c r="G1242" s="2"/>
      <c r="H1242" s="2"/>
      <c r="I1242" s="2"/>
      <c r="J1242" s="2"/>
      <c r="K1242" s="2"/>
      <c r="L1242" s="2"/>
      <c r="M1242" s="2"/>
      <c r="N1242" s="2"/>
      <c r="O1242" s="2"/>
      <c r="P1242" s="2"/>
      <c r="Q1242" s="2"/>
      <c r="R1242" s="2"/>
      <c r="S1242" s="2"/>
      <c r="T1242" s="2"/>
      <c r="U1242" s="2"/>
      <c r="V1242" s="2"/>
      <c r="W1242" s="2" t="str">
        <f>IFERROR(__xludf.DUMMYFUNCTION("""COMPUTED_VALUE"""),"VL103D")</f>
        <v>VL103D</v>
      </c>
      <c r="X1242" s="2"/>
      <c r="Y1242" s="2"/>
      <c r="Z1242" s="2"/>
      <c r="AA1242" s="2"/>
      <c r="AB1242" s="2"/>
    </row>
    <row r="1243">
      <c r="A1243" s="2"/>
      <c r="B1243" s="2"/>
      <c r="C1243" s="2"/>
      <c r="D1243" s="2"/>
      <c r="E1243" s="2"/>
      <c r="F1243" s="2"/>
      <c r="G1243" s="2"/>
      <c r="H1243" s="2"/>
      <c r="I1243" s="2"/>
      <c r="J1243" s="2"/>
      <c r="K1243" s="2"/>
      <c r="L1243" s="2"/>
      <c r="M1243" s="2"/>
      <c r="N1243" s="2"/>
      <c r="O1243" s="2"/>
      <c r="P1243" s="2"/>
      <c r="Q1243" s="2"/>
      <c r="R1243" s="2"/>
      <c r="S1243" s="2"/>
      <c r="T1243" s="2"/>
      <c r="U1243" s="2"/>
      <c r="V1243" s="2"/>
      <c r="W1243" s="2" t="str">
        <f>IFERROR(__xludf.DUMMYFUNCTION("""COMPUTED_VALUE"""),"VL103D")</f>
        <v>VL103D</v>
      </c>
      <c r="X1243" s="2"/>
      <c r="Y1243" s="2"/>
      <c r="Z1243" s="2"/>
      <c r="AA1243" s="2"/>
      <c r="AB1243" s="2"/>
    </row>
    <row r="1244">
      <c r="A1244" s="2"/>
      <c r="B1244" s="2"/>
      <c r="C1244" s="2"/>
      <c r="D1244" s="2"/>
      <c r="E1244" s="2"/>
      <c r="F1244" s="2"/>
      <c r="G1244" s="2"/>
      <c r="H1244" s="2"/>
      <c r="I1244" s="2"/>
      <c r="J1244" s="2"/>
      <c r="K1244" s="2"/>
      <c r="L1244" s="2"/>
      <c r="M1244" s="2"/>
      <c r="N1244" s="2"/>
      <c r="O1244" s="2"/>
      <c r="P1244" s="2"/>
      <c r="Q1244" s="2"/>
      <c r="R1244" s="2"/>
      <c r="S1244" s="2"/>
      <c r="T1244" s="2"/>
      <c r="U1244" s="2"/>
      <c r="V1244" s="2"/>
      <c r="W1244" s="2" t="str">
        <f>IFERROR(__xludf.DUMMYFUNCTION("""COMPUTED_VALUE"""),"VL103D")</f>
        <v>VL103D</v>
      </c>
      <c r="X1244" s="2"/>
      <c r="Y1244" s="2"/>
      <c r="Z1244" s="2"/>
      <c r="AA1244" s="2"/>
      <c r="AB1244" s="2"/>
    </row>
    <row r="1245">
      <c r="A1245" s="2"/>
      <c r="B1245" s="2"/>
      <c r="C1245" s="2"/>
      <c r="D1245" s="2"/>
      <c r="E1245" s="2"/>
      <c r="F1245" s="2"/>
      <c r="G1245" s="2"/>
      <c r="H1245" s="2"/>
      <c r="I1245" s="2"/>
      <c r="J1245" s="2"/>
      <c r="K1245" s="2"/>
      <c r="L1245" s="2"/>
      <c r="M1245" s="2"/>
      <c r="N1245" s="2"/>
      <c r="O1245" s="2"/>
      <c r="P1245" s="2"/>
      <c r="Q1245" s="2"/>
      <c r="R1245" s="2"/>
      <c r="S1245" s="2"/>
      <c r="T1245" s="2"/>
      <c r="U1245" s="2"/>
      <c r="V1245" s="2"/>
      <c r="W1245" s="2" t="str">
        <f>IFERROR(__xludf.DUMMYFUNCTION("""COMPUTED_VALUE"""),"VL103D")</f>
        <v>VL103D</v>
      </c>
      <c r="X1245" s="2"/>
      <c r="Y1245" s="2"/>
      <c r="Z1245" s="2"/>
      <c r="AA1245" s="2"/>
      <c r="AB1245" s="2"/>
    </row>
    <row r="1246">
      <c r="A1246" s="2"/>
      <c r="B1246" s="2"/>
      <c r="C1246" s="2"/>
      <c r="D1246" s="2"/>
      <c r="E1246" s="2"/>
      <c r="F1246" s="2"/>
      <c r="G1246" s="2"/>
      <c r="H1246" s="2"/>
      <c r="I1246" s="2"/>
      <c r="J1246" s="2"/>
      <c r="K1246" s="2"/>
      <c r="L1246" s="2"/>
      <c r="M1246" s="2"/>
      <c r="N1246" s="2"/>
      <c r="O1246" s="2"/>
      <c r="P1246" s="2"/>
      <c r="Q1246" s="2"/>
      <c r="R1246" s="2"/>
      <c r="S1246" s="2"/>
      <c r="T1246" s="2"/>
      <c r="U1246" s="2"/>
      <c r="V1246" s="2"/>
      <c r="W1246" s="2" t="str">
        <f>IFERROR(__xludf.DUMMYFUNCTION("""COMPUTED_VALUE"""),"VL103D")</f>
        <v>VL103D</v>
      </c>
      <c r="X1246" s="2"/>
      <c r="Y1246" s="2"/>
      <c r="Z1246" s="2"/>
      <c r="AA1246" s="2"/>
      <c r="AB1246" s="2"/>
    </row>
    <row r="1247">
      <c r="A1247" s="2"/>
      <c r="B1247" s="2"/>
      <c r="C1247" s="2"/>
      <c r="D1247" s="2"/>
      <c r="E1247" s="2"/>
      <c r="F1247" s="2"/>
      <c r="G1247" s="2"/>
      <c r="H1247" s="2"/>
      <c r="I1247" s="2"/>
      <c r="J1247" s="2"/>
      <c r="K1247" s="2"/>
      <c r="L1247" s="2"/>
      <c r="M1247" s="2"/>
      <c r="N1247" s="2"/>
      <c r="O1247" s="2"/>
      <c r="P1247" s="2"/>
      <c r="Q1247" s="2"/>
      <c r="R1247" s="2"/>
      <c r="S1247" s="2"/>
      <c r="T1247" s="2"/>
      <c r="U1247" s="2"/>
      <c r="V1247" s="2"/>
      <c r="W1247" s="2" t="str">
        <f>IFERROR(__xludf.DUMMYFUNCTION("""COMPUTED_VALUE"""),"VL103D")</f>
        <v>VL103D</v>
      </c>
      <c r="X1247" s="2"/>
      <c r="Y1247" s="2"/>
      <c r="Z1247" s="2"/>
      <c r="AA1247" s="2"/>
      <c r="AB1247" s="2"/>
    </row>
    <row r="1248">
      <c r="A1248" s="2"/>
      <c r="B1248" s="2"/>
      <c r="C1248" s="2"/>
      <c r="D1248" s="2"/>
      <c r="E1248" s="2"/>
      <c r="F1248" s="2"/>
      <c r="G1248" s="2"/>
      <c r="H1248" s="2"/>
      <c r="I1248" s="2"/>
      <c r="J1248" s="2"/>
      <c r="K1248" s="2"/>
      <c r="L1248" s="2"/>
      <c r="M1248" s="2"/>
      <c r="N1248" s="2"/>
      <c r="O1248" s="2"/>
      <c r="P1248" s="2"/>
      <c r="Q1248" s="2"/>
      <c r="R1248" s="2"/>
      <c r="S1248" s="2"/>
      <c r="T1248" s="2"/>
      <c r="U1248" s="2"/>
      <c r="V1248" s="2"/>
      <c r="W1248" s="2" t="str">
        <f>IFERROR(__xludf.DUMMYFUNCTION("""COMPUTED_VALUE"""),"VL103D")</f>
        <v>VL103D</v>
      </c>
      <c r="X1248" s="2"/>
      <c r="Y1248" s="2"/>
      <c r="Z1248" s="2"/>
      <c r="AA1248" s="2"/>
      <c r="AB1248" s="2"/>
    </row>
    <row r="1249">
      <c r="A1249" s="2"/>
      <c r="B1249" s="2"/>
      <c r="C1249" s="2"/>
      <c r="D1249" s="2"/>
      <c r="E1249" s="2"/>
      <c r="F1249" s="2"/>
      <c r="G1249" s="2"/>
      <c r="H1249" s="2"/>
      <c r="I1249" s="2"/>
      <c r="J1249" s="2"/>
      <c r="K1249" s="2"/>
      <c r="L1249" s="2"/>
      <c r="M1249" s="2"/>
      <c r="N1249" s="2"/>
      <c r="O1249" s="2"/>
      <c r="P1249" s="2"/>
      <c r="Q1249" s="2"/>
      <c r="R1249" s="2"/>
      <c r="S1249" s="2"/>
      <c r="T1249" s="2"/>
      <c r="U1249" s="2"/>
      <c r="V1249" s="2"/>
      <c r="W1249" s="2" t="str">
        <f>IFERROR(__xludf.DUMMYFUNCTION("""COMPUTED_VALUE"""),"VL103D")</f>
        <v>VL103D</v>
      </c>
      <c r="X1249" s="2"/>
      <c r="Y1249" s="2"/>
      <c r="Z1249" s="2"/>
      <c r="AA1249" s="2"/>
      <c r="AB1249" s="2"/>
    </row>
    <row r="1250">
      <c r="A1250" s="2"/>
      <c r="B1250" s="2"/>
      <c r="C1250" s="2"/>
      <c r="D1250" s="2"/>
      <c r="E1250" s="2"/>
      <c r="F1250" s="2"/>
      <c r="G1250" s="2"/>
      <c r="H1250" s="2"/>
      <c r="I1250" s="2"/>
      <c r="J1250" s="2"/>
      <c r="K1250" s="2"/>
      <c r="L1250" s="2"/>
      <c r="M1250" s="2"/>
      <c r="N1250" s="2"/>
      <c r="O1250" s="2"/>
      <c r="P1250" s="2"/>
      <c r="Q1250" s="2"/>
      <c r="R1250" s="2"/>
      <c r="S1250" s="2"/>
      <c r="T1250" s="2"/>
      <c r="U1250" s="2"/>
      <c r="V1250" s="2"/>
      <c r="W1250" s="2" t="str">
        <f>IFERROR(__xludf.DUMMYFUNCTION("""COMPUTED_VALUE"""),"VL103D")</f>
        <v>VL103D</v>
      </c>
      <c r="X1250" s="2"/>
      <c r="Y1250" s="2"/>
      <c r="Z1250" s="2"/>
      <c r="AA1250" s="2"/>
      <c r="AB1250" s="2"/>
    </row>
    <row r="1251">
      <c r="A1251" s="2"/>
      <c r="B1251" s="2"/>
      <c r="C1251" s="2"/>
      <c r="D1251" s="2"/>
      <c r="E1251" s="2"/>
      <c r="F1251" s="2"/>
      <c r="G1251" s="2"/>
      <c r="H1251" s="2"/>
      <c r="I1251" s="2"/>
      <c r="J1251" s="2"/>
      <c r="K1251" s="2"/>
      <c r="L1251" s="2"/>
      <c r="M1251" s="2"/>
      <c r="N1251" s="2"/>
      <c r="O1251" s="2"/>
      <c r="P1251" s="2"/>
      <c r="Q1251" s="2"/>
      <c r="R1251" s="2"/>
      <c r="S1251" s="2"/>
      <c r="T1251" s="2"/>
      <c r="U1251" s="2"/>
      <c r="V1251" s="2"/>
      <c r="W1251" s="2" t="str">
        <f>IFERROR(__xludf.DUMMYFUNCTION("""COMPUTED_VALUE"""),"VL103D")</f>
        <v>VL103D</v>
      </c>
      <c r="X1251" s="2"/>
      <c r="Y1251" s="2"/>
      <c r="Z1251" s="2"/>
      <c r="AA1251" s="2"/>
      <c r="AB1251" s="2"/>
    </row>
    <row r="1252">
      <c r="A1252" s="2"/>
      <c r="B1252" s="2"/>
      <c r="C1252" s="2"/>
      <c r="D1252" s="2"/>
      <c r="E1252" s="2"/>
      <c r="F1252" s="2"/>
      <c r="G1252" s="2"/>
      <c r="H1252" s="2"/>
      <c r="I1252" s="2"/>
      <c r="J1252" s="2"/>
      <c r="K1252" s="2"/>
      <c r="L1252" s="2"/>
      <c r="M1252" s="2"/>
      <c r="N1252" s="2"/>
      <c r="O1252" s="2"/>
      <c r="P1252" s="2"/>
      <c r="Q1252" s="2"/>
      <c r="R1252" s="2"/>
      <c r="S1252" s="2"/>
      <c r="T1252" s="2"/>
      <c r="U1252" s="2"/>
      <c r="V1252" s="2"/>
      <c r="W1252" s="2" t="str">
        <f>IFERROR(__xludf.DUMMYFUNCTION("""COMPUTED_VALUE"""),"VL103D")</f>
        <v>VL103D</v>
      </c>
      <c r="X1252" s="2"/>
      <c r="Y1252" s="2"/>
      <c r="Z1252" s="2"/>
      <c r="AA1252" s="2"/>
      <c r="AB1252" s="2"/>
    </row>
    <row r="1253">
      <c r="A1253" s="2"/>
      <c r="B1253" s="2"/>
      <c r="C1253" s="2"/>
      <c r="D1253" s="2"/>
      <c r="E1253" s="2"/>
      <c r="F1253" s="2"/>
      <c r="G1253" s="2"/>
      <c r="H1253" s="2"/>
      <c r="I1253" s="2"/>
      <c r="J1253" s="2"/>
      <c r="K1253" s="2"/>
      <c r="L1253" s="2"/>
      <c r="M1253" s="2"/>
      <c r="N1253" s="2"/>
      <c r="O1253" s="2"/>
      <c r="P1253" s="2"/>
      <c r="Q1253" s="2"/>
      <c r="R1253" s="2"/>
      <c r="S1253" s="2"/>
      <c r="T1253" s="2"/>
      <c r="U1253" s="2"/>
      <c r="V1253" s="2"/>
      <c r="W1253" s="2" t="str">
        <f>IFERROR(__xludf.DUMMYFUNCTION("""COMPUTED_VALUE"""),"VL103D")</f>
        <v>VL103D</v>
      </c>
      <c r="X1253" s="2"/>
      <c r="Y1253" s="2"/>
      <c r="Z1253" s="2"/>
      <c r="AA1253" s="2"/>
      <c r="AB1253" s="2"/>
    </row>
    <row r="1254">
      <c r="A1254" s="2"/>
      <c r="B1254" s="2"/>
      <c r="C1254" s="2"/>
      <c r="D1254" s="2"/>
      <c r="E1254" s="2"/>
      <c r="F1254" s="2"/>
      <c r="G1254" s="2"/>
      <c r="H1254" s="2"/>
      <c r="I1254" s="2"/>
      <c r="J1254" s="2"/>
      <c r="K1254" s="2"/>
      <c r="L1254" s="2"/>
      <c r="M1254" s="2"/>
      <c r="N1254" s="2"/>
      <c r="O1254" s="2"/>
      <c r="P1254" s="2"/>
      <c r="Q1254" s="2"/>
      <c r="R1254" s="2"/>
      <c r="S1254" s="2"/>
      <c r="T1254" s="2"/>
      <c r="U1254" s="2"/>
      <c r="V1254" s="2"/>
      <c r="W1254" s="2" t="str">
        <f>IFERROR(__xludf.DUMMYFUNCTION("""COMPUTED_VALUE"""),"VL103D")</f>
        <v>VL103D</v>
      </c>
      <c r="X1254" s="2"/>
      <c r="Y1254" s="2"/>
      <c r="Z1254" s="2"/>
      <c r="AA1254" s="2"/>
      <c r="AB1254" s="2"/>
    </row>
    <row r="1255">
      <c r="A1255" s="2"/>
      <c r="B1255" s="2"/>
      <c r="C1255" s="2"/>
      <c r="D1255" s="2"/>
      <c r="E1255" s="2"/>
      <c r="F1255" s="2"/>
      <c r="G1255" s="2"/>
      <c r="H1255" s="2"/>
      <c r="I1255" s="2"/>
      <c r="J1255" s="2"/>
      <c r="K1255" s="2"/>
      <c r="L1255" s="2"/>
      <c r="M1255" s="2"/>
      <c r="N1255" s="2"/>
      <c r="O1255" s="2"/>
      <c r="P1255" s="2"/>
      <c r="Q1255" s="2"/>
      <c r="R1255" s="2"/>
      <c r="S1255" s="2"/>
      <c r="T1255" s="2"/>
      <c r="U1255" s="2"/>
      <c r="V1255" s="2"/>
      <c r="W1255" s="2" t="str">
        <f>IFERROR(__xludf.DUMMYFUNCTION("""COMPUTED_VALUE"""),"VL103D")</f>
        <v>VL103D</v>
      </c>
      <c r="X1255" s="2"/>
      <c r="Y1255" s="2"/>
      <c r="Z1255" s="2"/>
      <c r="AA1255" s="2"/>
      <c r="AB1255" s="2"/>
    </row>
    <row r="1256">
      <c r="A1256" s="2"/>
      <c r="B1256" s="2"/>
      <c r="C1256" s="2"/>
      <c r="D1256" s="2"/>
      <c r="E1256" s="2"/>
      <c r="F1256" s="2"/>
      <c r="G1256" s="2"/>
      <c r="H1256" s="2"/>
      <c r="I1256" s="2"/>
      <c r="J1256" s="2"/>
      <c r="K1256" s="2"/>
      <c r="L1256" s="2"/>
      <c r="M1256" s="2"/>
      <c r="N1256" s="2"/>
      <c r="O1256" s="2"/>
      <c r="P1256" s="2"/>
      <c r="Q1256" s="2"/>
      <c r="R1256" s="2"/>
      <c r="S1256" s="2"/>
      <c r="T1256" s="2"/>
      <c r="U1256" s="2"/>
      <c r="V1256" s="2"/>
      <c r="W1256" s="2" t="str">
        <f>IFERROR(__xludf.DUMMYFUNCTION("""COMPUTED_VALUE"""),"VL103D")</f>
        <v>VL103D</v>
      </c>
      <c r="X1256" s="2"/>
      <c r="Y1256" s="2"/>
      <c r="Z1256" s="2"/>
      <c r="AA1256" s="2"/>
      <c r="AB1256" s="2"/>
    </row>
    <row r="1257">
      <c r="A1257" s="2"/>
      <c r="B1257" s="2"/>
      <c r="C1257" s="2"/>
      <c r="D1257" s="2"/>
      <c r="E1257" s="2"/>
      <c r="F1257" s="2"/>
      <c r="G1257" s="2"/>
      <c r="H1257" s="2"/>
      <c r="I1257" s="2"/>
      <c r="J1257" s="2"/>
      <c r="K1257" s="2"/>
      <c r="L1257" s="2"/>
      <c r="M1257" s="2"/>
      <c r="N1257" s="2"/>
      <c r="O1257" s="2"/>
      <c r="P1257" s="2"/>
      <c r="Q1257" s="2"/>
      <c r="R1257" s="2"/>
      <c r="S1257" s="2"/>
      <c r="T1257" s="2"/>
      <c r="U1257" s="2"/>
      <c r="V1257" s="2"/>
      <c r="W1257" s="2" t="str">
        <f>IFERROR(__xludf.DUMMYFUNCTION("""COMPUTED_VALUE"""),"VL103D")</f>
        <v>VL103D</v>
      </c>
      <c r="X1257" s="2"/>
      <c r="Y1257" s="2"/>
      <c r="Z1257" s="2"/>
      <c r="AA1257" s="2"/>
      <c r="AB1257" s="2"/>
    </row>
    <row r="1258">
      <c r="A1258" s="2"/>
      <c r="B1258" s="2"/>
      <c r="C1258" s="2"/>
      <c r="D1258" s="2"/>
      <c r="E1258" s="2"/>
      <c r="F1258" s="2"/>
      <c r="G1258" s="2"/>
      <c r="H1258" s="2"/>
      <c r="I1258" s="2"/>
      <c r="J1258" s="2"/>
      <c r="K1258" s="2"/>
      <c r="L1258" s="2"/>
      <c r="M1258" s="2"/>
      <c r="N1258" s="2"/>
      <c r="O1258" s="2"/>
      <c r="P1258" s="2"/>
      <c r="Q1258" s="2"/>
      <c r="R1258" s="2"/>
      <c r="S1258" s="2"/>
      <c r="T1258" s="2"/>
      <c r="U1258" s="2"/>
      <c r="V1258" s="2"/>
      <c r="W1258" s="2" t="str">
        <f>IFERROR(__xludf.DUMMYFUNCTION("""COMPUTED_VALUE"""),"VL103D")</f>
        <v>VL103D</v>
      </c>
      <c r="X1258" s="2"/>
      <c r="Y1258" s="2"/>
      <c r="Z1258" s="2"/>
      <c r="AA1258" s="2"/>
      <c r="AB1258" s="2"/>
    </row>
    <row r="1259">
      <c r="A1259" s="2"/>
      <c r="B1259" s="2"/>
      <c r="C1259" s="2"/>
      <c r="D1259" s="2"/>
      <c r="E1259" s="2"/>
      <c r="F1259" s="2"/>
      <c r="G1259" s="2"/>
      <c r="H1259" s="2"/>
      <c r="I1259" s="2"/>
      <c r="J1259" s="2"/>
      <c r="K1259" s="2"/>
      <c r="L1259" s="2"/>
      <c r="M1259" s="2"/>
      <c r="N1259" s="2"/>
      <c r="O1259" s="2"/>
      <c r="P1259" s="2"/>
      <c r="Q1259" s="2"/>
      <c r="R1259" s="2"/>
      <c r="S1259" s="2"/>
      <c r="T1259" s="2"/>
      <c r="U1259" s="2"/>
      <c r="V1259" s="2"/>
      <c r="W1259" s="2" t="str">
        <f>IFERROR(__xludf.DUMMYFUNCTION("""COMPUTED_VALUE"""),"VL103D")</f>
        <v>VL103D</v>
      </c>
      <c r="X1259" s="2"/>
      <c r="Y1259" s="2"/>
      <c r="Z1259" s="2"/>
      <c r="AA1259" s="2"/>
      <c r="AB1259" s="2"/>
    </row>
    <row r="1260">
      <c r="A1260" s="2"/>
      <c r="B1260" s="2"/>
      <c r="C1260" s="2"/>
      <c r="D1260" s="2"/>
      <c r="E1260" s="2"/>
      <c r="F1260" s="2"/>
      <c r="G1260" s="2"/>
      <c r="H1260" s="2"/>
      <c r="I1260" s="2"/>
      <c r="J1260" s="2"/>
      <c r="K1260" s="2"/>
      <c r="L1260" s="2"/>
      <c r="M1260" s="2"/>
      <c r="N1260" s="2"/>
      <c r="O1260" s="2"/>
      <c r="P1260" s="2"/>
      <c r="Q1260" s="2"/>
      <c r="R1260" s="2"/>
      <c r="S1260" s="2"/>
      <c r="T1260" s="2"/>
      <c r="U1260" s="2"/>
      <c r="V1260" s="2"/>
      <c r="W1260" s="2" t="str">
        <f>IFERROR(__xludf.DUMMYFUNCTION("""COMPUTED_VALUE"""),"VL103D")</f>
        <v>VL103D</v>
      </c>
      <c r="X1260" s="2"/>
      <c r="Y1260" s="2"/>
      <c r="Z1260" s="2"/>
      <c r="AA1260" s="2"/>
      <c r="AB1260" s="2"/>
    </row>
    <row r="1261">
      <c r="A1261" s="2"/>
      <c r="B1261" s="2"/>
      <c r="C1261" s="2"/>
      <c r="D1261" s="2"/>
      <c r="E1261" s="2"/>
      <c r="F1261" s="2"/>
      <c r="G1261" s="2"/>
      <c r="H1261" s="2"/>
      <c r="I1261" s="2"/>
      <c r="J1261" s="2"/>
      <c r="K1261" s="2"/>
      <c r="L1261" s="2"/>
      <c r="M1261" s="2"/>
      <c r="N1261" s="2"/>
      <c r="O1261" s="2"/>
      <c r="P1261" s="2"/>
      <c r="Q1261" s="2"/>
      <c r="R1261" s="2"/>
      <c r="S1261" s="2"/>
      <c r="T1261" s="2"/>
      <c r="U1261" s="2"/>
      <c r="V1261" s="2"/>
      <c r="W1261" s="2" t="str">
        <f>IFERROR(__xludf.DUMMYFUNCTION("""COMPUTED_VALUE"""),"VL103D")</f>
        <v>VL103D</v>
      </c>
      <c r="X1261" s="2"/>
      <c r="Y1261" s="2"/>
      <c r="Z1261" s="2"/>
      <c r="AA1261" s="2"/>
      <c r="AB1261" s="2"/>
    </row>
    <row r="1262">
      <c r="A1262" s="2"/>
      <c r="B1262" s="2"/>
      <c r="C1262" s="2"/>
      <c r="D1262" s="2"/>
      <c r="E1262" s="2"/>
      <c r="F1262" s="2"/>
      <c r="G1262" s="2"/>
      <c r="H1262" s="2"/>
      <c r="I1262" s="2"/>
      <c r="J1262" s="2"/>
      <c r="K1262" s="2"/>
      <c r="L1262" s="2"/>
      <c r="M1262" s="2"/>
      <c r="N1262" s="2"/>
      <c r="O1262" s="2"/>
      <c r="P1262" s="2"/>
      <c r="Q1262" s="2"/>
      <c r="R1262" s="2"/>
      <c r="S1262" s="2"/>
      <c r="T1262" s="2"/>
      <c r="U1262" s="2"/>
      <c r="V1262" s="2"/>
      <c r="W1262" s="2" t="str">
        <f>IFERROR(__xludf.DUMMYFUNCTION("""COMPUTED_VALUE"""),"VL103D")</f>
        <v>VL103D</v>
      </c>
      <c r="X1262" s="2"/>
      <c r="Y1262" s="2"/>
      <c r="Z1262" s="2"/>
      <c r="AA1262" s="2"/>
      <c r="AB1262" s="2"/>
    </row>
    <row r="1263">
      <c r="A1263" s="2"/>
      <c r="B1263" s="2"/>
      <c r="C1263" s="2"/>
      <c r="D1263" s="2"/>
      <c r="E1263" s="2"/>
      <c r="F1263" s="2"/>
      <c r="G1263" s="2"/>
      <c r="H1263" s="2"/>
      <c r="I1263" s="2"/>
      <c r="J1263" s="2"/>
      <c r="K1263" s="2"/>
      <c r="L1263" s="2"/>
      <c r="M1263" s="2"/>
      <c r="N1263" s="2"/>
      <c r="O1263" s="2"/>
      <c r="P1263" s="2"/>
      <c r="Q1263" s="2"/>
      <c r="R1263" s="2"/>
      <c r="S1263" s="2"/>
      <c r="T1263" s="2"/>
      <c r="U1263" s="2"/>
      <c r="V1263" s="2"/>
      <c r="W1263" s="2" t="str">
        <f>IFERROR(__xludf.DUMMYFUNCTION("""COMPUTED_VALUE"""),"VL103D")</f>
        <v>VL103D</v>
      </c>
      <c r="X1263" s="2"/>
      <c r="Y1263" s="2"/>
      <c r="Z1263" s="2"/>
      <c r="AA1263" s="2"/>
      <c r="AB1263" s="2"/>
    </row>
    <row r="1264">
      <c r="A1264" s="2"/>
      <c r="B1264" s="2"/>
      <c r="C1264" s="2"/>
      <c r="D1264" s="2"/>
      <c r="E1264" s="2"/>
      <c r="F1264" s="2"/>
      <c r="G1264" s="2"/>
      <c r="H1264" s="2"/>
      <c r="I1264" s="2"/>
      <c r="J1264" s="2"/>
      <c r="K1264" s="2"/>
      <c r="L1264" s="2"/>
      <c r="M1264" s="2"/>
      <c r="N1264" s="2"/>
      <c r="O1264" s="2"/>
      <c r="P1264" s="2"/>
      <c r="Q1264" s="2"/>
      <c r="R1264" s="2"/>
      <c r="S1264" s="2"/>
      <c r="T1264" s="2"/>
      <c r="U1264" s="2"/>
      <c r="V1264" s="2"/>
      <c r="W1264" s="2" t="str">
        <f>IFERROR(__xludf.DUMMYFUNCTION("""COMPUTED_VALUE"""),"VL103D")</f>
        <v>VL103D</v>
      </c>
      <c r="X1264" s="2"/>
      <c r="Y1264" s="2"/>
      <c r="Z1264" s="2"/>
      <c r="AA1264" s="2"/>
      <c r="AB1264" s="2"/>
    </row>
    <row r="1265">
      <c r="A1265" s="2"/>
      <c r="B1265" s="2"/>
      <c r="C1265" s="2"/>
      <c r="D1265" s="2"/>
      <c r="E1265" s="2"/>
      <c r="F1265" s="2"/>
      <c r="G1265" s="2"/>
      <c r="H1265" s="2"/>
      <c r="I1265" s="2"/>
      <c r="J1265" s="2"/>
      <c r="K1265" s="2"/>
      <c r="L1265" s="2"/>
      <c r="M1265" s="2"/>
      <c r="N1265" s="2"/>
      <c r="O1265" s="2"/>
      <c r="P1265" s="2"/>
      <c r="Q1265" s="2"/>
      <c r="R1265" s="2"/>
      <c r="S1265" s="2"/>
      <c r="T1265" s="2"/>
      <c r="U1265" s="2"/>
      <c r="V1265" s="2"/>
      <c r="W1265" s="2" t="str">
        <f>IFERROR(__xludf.DUMMYFUNCTION("""COMPUTED_VALUE"""),"VL103D")</f>
        <v>VL103D</v>
      </c>
      <c r="X1265" s="2"/>
      <c r="Y1265" s="2"/>
      <c r="Z1265" s="2"/>
      <c r="AA1265" s="2"/>
      <c r="AB1265" s="2"/>
    </row>
    <row r="1266">
      <c r="A1266" s="2"/>
      <c r="B1266" s="2"/>
      <c r="C1266" s="2"/>
      <c r="D1266" s="2"/>
      <c r="E1266" s="2"/>
      <c r="F1266" s="2"/>
      <c r="G1266" s="2"/>
      <c r="H1266" s="2"/>
      <c r="I1266" s="2"/>
      <c r="J1266" s="2"/>
      <c r="K1266" s="2"/>
      <c r="L1266" s="2"/>
      <c r="M1266" s="2"/>
      <c r="N1266" s="2"/>
      <c r="O1266" s="2"/>
      <c r="P1266" s="2"/>
      <c r="Q1266" s="2"/>
      <c r="R1266" s="2"/>
      <c r="S1266" s="2"/>
      <c r="T1266" s="2"/>
      <c r="U1266" s="2"/>
      <c r="V1266" s="2"/>
      <c r="W1266" s="2" t="str">
        <f>IFERROR(__xludf.DUMMYFUNCTION("""COMPUTED_VALUE"""),"VL103D")</f>
        <v>VL103D</v>
      </c>
      <c r="X1266" s="2"/>
      <c r="Y1266" s="2"/>
      <c r="Z1266" s="2"/>
      <c r="AA1266" s="2"/>
      <c r="AB1266" s="2"/>
    </row>
    <row r="1267">
      <c r="A1267" s="2"/>
      <c r="B1267" s="2"/>
      <c r="C1267" s="2"/>
      <c r="D1267" s="2"/>
      <c r="E1267" s="2"/>
      <c r="F1267" s="2"/>
      <c r="G1267" s="2"/>
      <c r="H1267" s="2"/>
      <c r="I1267" s="2"/>
      <c r="J1267" s="2"/>
      <c r="K1267" s="2"/>
      <c r="L1267" s="2"/>
      <c r="M1267" s="2"/>
      <c r="N1267" s="2"/>
      <c r="O1267" s="2"/>
      <c r="P1267" s="2"/>
      <c r="Q1267" s="2"/>
      <c r="R1267" s="2"/>
      <c r="S1267" s="2"/>
      <c r="T1267" s="2"/>
      <c r="U1267" s="2"/>
      <c r="V1267" s="2"/>
      <c r="W1267" s="2" t="str">
        <f>IFERROR(__xludf.DUMMYFUNCTION("""COMPUTED_VALUE"""),"VL103D")</f>
        <v>VL103D</v>
      </c>
      <c r="X1267" s="2"/>
      <c r="Y1267" s="2"/>
      <c r="Z1267" s="2"/>
      <c r="AA1267" s="2"/>
      <c r="AB1267" s="2"/>
    </row>
    <row r="1268">
      <c r="A1268" s="2"/>
      <c r="B1268" s="2"/>
      <c r="C1268" s="2"/>
      <c r="D1268" s="2"/>
      <c r="E1268" s="2"/>
      <c r="F1268" s="2"/>
      <c r="G1268" s="2"/>
      <c r="H1268" s="2"/>
      <c r="I1268" s="2"/>
      <c r="J1268" s="2"/>
      <c r="K1268" s="2"/>
      <c r="L1268" s="2"/>
      <c r="M1268" s="2"/>
      <c r="N1268" s="2"/>
      <c r="O1268" s="2"/>
      <c r="P1268" s="2"/>
      <c r="Q1268" s="2"/>
      <c r="R1268" s="2"/>
      <c r="S1268" s="2"/>
      <c r="T1268" s="2"/>
      <c r="U1268" s="2"/>
      <c r="V1268" s="2"/>
      <c r="W1268" s="2" t="str">
        <f>IFERROR(__xludf.DUMMYFUNCTION("""COMPUTED_VALUE"""),"VL103D")</f>
        <v>VL103D</v>
      </c>
      <c r="X1268" s="2"/>
      <c r="Y1268" s="2"/>
      <c r="Z1268" s="2"/>
      <c r="AA1268" s="2"/>
      <c r="AB1268" s="2"/>
    </row>
    <row r="1269">
      <c r="A1269" s="2"/>
      <c r="B1269" s="2"/>
      <c r="C1269" s="2"/>
      <c r="D1269" s="2"/>
      <c r="E1269" s="2"/>
      <c r="F1269" s="2"/>
      <c r="G1269" s="2"/>
      <c r="H1269" s="2"/>
      <c r="I1269" s="2"/>
      <c r="J1269" s="2"/>
      <c r="K1269" s="2"/>
      <c r="L1269" s="2"/>
      <c r="M1269" s="2"/>
      <c r="N1269" s="2"/>
      <c r="O1269" s="2"/>
      <c r="P1269" s="2"/>
      <c r="Q1269" s="2"/>
      <c r="R1269" s="2"/>
      <c r="S1269" s="2"/>
      <c r="T1269" s="2"/>
      <c r="U1269" s="2"/>
      <c r="V1269" s="2"/>
      <c r="W1269" s="2" t="str">
        <f>IFERROR(__xludf.DUMMYFUNCTION("""COMPUTED_VALUE"""),"VL103D")</f>
        <v>VL103D</v>
      </c>
      <c r="X1269" s="2"/>
      <c r="Y1269" s="2"/>
      <c r="Z1269" s="2"/>
      <c r="AA1269" s="2"/>
      <c r="AB1269" s="2"/>
    </row>
    <row r="1270">
      <c r="A1270" s="2"/>
      <c r="B1270" s="2"/>
      <c r="C1270" s="2"/>
      <c r="D1270" s="2"/>
      <c r="E1270" s="2"/>
      <c r="F1270" s="2"/>
      <c r="G1270" s="2"/>
      <c r="H1270" s="2"/>
      <c r="I1270" s="2"/>
      <c r="J1270" s="2"/>
      <c r="K1270" s="2"/>
      <c r="L1270" s="2"/>
      <c r="M1270" s="2"/>
      <c r="N1270" s="2"/>
      <c r="O1270" s="2"/>
      <c r="P1270" s="2"/>
      <c r="Q1270" s="2"/>
      <c r="R1270" s="2"/>
      <c r="S1270" s="2"/>
      <c r="T1270" s="2"/>
      <c r="U1270" s="2"/>
      <c r="V1270" s="2"/>
      <c r="W1270" s="2" t="str">
        <f>IFERROR(__xludf.DUMMYFUNCTION("""COMPUTED_VALUE"""),"VL103D")</f>
        <v>VL103D</v>
      </c>
      <c r="X1270" s="2"/>
      <c r="Y1270" s="2"/>
      <c r="Z1270" s="2"/>
      <c r="AA1270" s="2"/>
      <c r="AB1270" s="2"/>
    </row>
    <row r="1271">
      <c r="A1271" s="2"/>
      <c r="B1271" s="2"/>
      <c r="C1271" s="2"/>
      <c r="D1271" s="2"/>
      <c r="E1271" s="2"/>
      <c r="F1271" s="2"/>
      <c r="G1271" s="2"/>
      <c r="H1271" s="2"/>
      <c r="I1271" s="2"/>
      <c r="J1271" s="2"/>
      <c r="K1271" s="2"/>
      <c r="L1271" s="2"/>
      <c r="M1271" s="2"/>
      <c r="N1271" s="2"/>
      <c r="O1271" s="2"/>
      <c r="P1271" s="2"/>
      <c r="Q1271" s="2"/>
      <c r="R1271" s="2"/>
      <c r="S1271" s="2"/>
      <c r="T1271" s="2"/>
      <c r="U1271" s="2"/>
      <c r="V1271" s="2"/>
      <c r="W1271" s="2" t="str">
        <f>IFERROR(__xludf.DUMMYFUNCTION("""COMPUTED_VALUE"""),"VL103D")</f>
        <v>VL103D</v>
      </c>
      <c r="X1271" s="2"/>
      <c r="Y1271" s="2"/>
      <c r="Z1271" s="2"/>
      <c r="AA1271" s="2"/>
      <c r="AB1271" s="2"/>
    </row>
    <row r="1272">
      <c r="A1272" s="2"/>
      <c r="B1272" s="2"/>
      <c r="C1272" s="2"/>
      <c r="D1272" s="2"/>
      <c r="E1272" s="2"/>
      <c r="F1272" s="2"/>
      <c r="G1272" s="2"/>
      <c r="H1272" s="2"/>
      <c r="I1272" s="2"/>
      <c r="J1272" s="2"/>
      <c r="K1272" s="2"/>
      <c r="L1272" s="2"/>
      <c r="M1272" s="2"/>
      <c r="N1272" s="2"/>
      <c r="O1272" s="2"/>
      <c r="P1272" s="2"/>
      <c r="Q1272" s="2"/>
      <c r="R1272" s="2"/>
      <c r="S1272" s="2"/>
      <c r="T1272" s="2"/>
      <c r="U1272" s="2"/>
      <c r="V1272" s="2"/>
      <c r="W1272" s="2" t="str">
        <f>IFERROR(__xludf.DUMMYFUNCTION("""COMPUTED_VALUE"""),"VL103D")</f>
        <v>VL103D</v>
      </c>
      <c r="X1272" s="2"/>
      <c r="Y1272" s="2"/>
      <c r="Z1272" s="2"/>
      <c r="AA1272" s="2"/>
      <c r="AB1272" s="2"/>
    </row>
    <row r="1273">
      <c r="A1273" s="2"/>
      <c r="B1273" s="2"/>
      <c r="C1273" s="2"/>
      <c r="D1273" s="2"/>
      <c r="E1273" s="2"/>
      <c r="F1273" s="2"/>
      <c r="G1273" s="2"/>
      <c r="H1273" s="2"/>
      <c r="I1273" s="2"/>
      <c r="J1273" s="2"/>
      <c r="K1273" s="2"/>
      <c r="L1273" s="2"/>
      <c r="M1273" s="2"/>
      <c r="N1273" s="2"/>
      <c r="O1273" s="2"/>
      <c r="P1273" s="2"/>
      <c r="Q1273" s="2"/>
      <c r="R1273" s="2"/>
      <c r="S1273" s="2"/>
      <c r="T1273" s="2"/>
      <c r="U1273" s="2"/>
      <c r="V1273" s="2"/>
      <c r="W1273" s="2" t="str">
        <f>IFERROR(__xludf.DUMMYFUNCTION("""COMPUTED_VALUE"""),"VL103D")</f>
        <v>VL103D</v>
      </c>
      <c r="X1273" s="2"/>
      <c r="Y1273" s="2"/>
      <c r="Z1273" s="2"/>
      <c r="AA1273" s="2"/>
      <c r="AB1273" s="2"/>
    </row>
    <row r="1274">
      <c r="A1274" s="2"/>
      <c r="B1274" s="2"/>
      <c r="C1274" s="2"/>
      <c r="D1274" s="2"/>
      <c r="E1274" s="2"/>
      <c r="F1274" s="2"/>
      <c r="G1274" s="2"/>
      <c r="H1274" s="2"/>
      <c r="I1274" s="2"/>
      <c r="J1274" s="2"/>
      <c r="K1274" s="2"/>
      <c r="L1274" s="2"/>
      <c r="M1274" s="2"/>
      <c r="N1274" s="2"/>
      <c r="O1274" s="2"/>
      <c r="P1274" s="2"/>
      <c r="Q1274" s="2"/>
      <c r="R1274" s="2"/>
      <c r="S1274" s="2"/>
      <c r="T1274" s="2"/>
      <c r="U1274" s="2"/>
      <c r="V1274" s="2"/>
      <c r="W1274" s="2" t="str">
        <f>IFERROR(__xludf.DUMMYFUNCTION("""COMPUTED_VALUE"""),"VL103D")</f>
        <v>VL103D</v>
      </c>
      <c r="X1274" s="2"/>
      <c r="Y1274" s="2"/>
      <c r="Z1274" s="2"/>
      <c r="AA1274" s="2"/>
      <c r="AB1274" s="2"/>
    </row>
    <row r="1275">
      <c r="A1275" s="2"/>
      <c r="B1275" s="2"/>
      <c r="C1275" s="2"/>
      <c r="D1275" s="2"/>
      <c r="E1275" s="2"/>
      <c r="F1275" s="2"/>
      <c r="G1275" s="2"/>
      <c r="H1275" s="2"/>
      <c r="I1275" s="2"/>
      <c r="J1275" s="2"/>
      <c r="K1275" s="2"/>
      <c r="L1275" s="2"/>
      <c r="M1275" s="2"/>
      <c r="N1275" s="2"/>
      <c r="O1275" s="2"/>
      <c r="P1275" s="2"/>
      <c r="Q1275" s="2"/>
      <c r="R1275" s="2"/>
      <c r="S1275" s="2"/>
      <c r="T1275" s="2"/>
      <c r="U1275" s="2"/>
      <c r="V1275" s="2"/>
      <c r="W1275" s="2" t="str">
        <f>IFERROR(__xludf.DUMMYFUNCTION("""COMPUTED_VALUE"""),"VL103D")</f>
        <v>VL103D</v>
      </c>
      <c r="X1275" s="2"/>
      <c r="Y1275" s="2"/>
      <c r="Z1275" s="2"/>
      <c r="AA1275" s="2"/>
      <c r="AB1275" s="2"/>
    </row>
    <row r="1276">
      <c r="A1276" s="2"/>
      <c r="B1276" s="2"/>
      <c r="C1276" s="2"/>
      <c r="D1276" s="2"/>
      <c r="E1276" s="2"/>
      <c r="F1276" s="2"/>
      <c r="G1276" s="2"/>
      <c r="H1276" s="2"/>
      <c r="I1276" s="2"/>
      <c r="J1276" s="2"/>
      <c r="K1276" s="2"/>
      <c r="L1276" s="2"/>
      <c r="M1276" s="2"/>
      <c r="N1276" s="2"/>
      <c r="O1276" s="2"/>
      <c r="P1276" s="2"/>
      <c r="Q1276" s="2"/>
      <c r="R1276" s="2"/>
      <c r="S1276" s="2"/>
      <c r="T1276" s="2"/>
      <c r="U1276" s="2"/>
      <c r="V1276" s="2"/>
      <c r="W1276" s="2" t="str">
        <f>IFERROR(__xludf.DUMMYFUNCTION("""COMPUTED_VALUE"""),"VL103D")</f>
        <v>VL103D</v>
      </c>
      <c r="X1276" s="2"/>
      <c r="Y1276" s="2"/>
      <c r="Z1276" s="2"/>
      <c r="AA1276" s="2"/>
      <c r="AB1276" s="2"/>
    </row>
    <row r="1277">
      <c r="A1277" s="2"/>
      <c r="B1277" s="2"/>
      <c r="C1277" s="2"/>
      <c r="D1277" s="2"/>
      <c r="E1277" s="2"/>
      <c r="F1277" s="2"/>
      <c r="G1277" s="2"/>
      <c r="H1277" s="2"/>
      <c r="I1277" s="2"/>
      <c r="J1277" s="2"/>
      <c r="K1277" s="2"/>
      <c r="L1277" s="2"/>
      <c r="M1277" s="2"/>
      <c r="N1277" s="2"/>
      <c r="O1277" s="2"/>
      <c r="P1277" s="2"/>
      <c r="Q1277" s="2"/>
      <c r="R1277" s="2"/>
      <c r="S1277" s="2"/>
      <c r="T1277" s="2"/>
      <c r="U1277" s="2"/>
      <c r="V1277" s="2"/>
      <c r="W1277" s="2" t="str">
        <f>IFERROR(__xludf.DUMMYFUNCTION("""COMPUTED_VALUE"""),"VL103D")</f>
        <v>VL103D</v>
      </c>
      <c r="X1277" s="2"/>
      <c r="Y1277" s="2"/>
      <c r="Z1277" s="2"/>
      <c r="AA1277" s="2"/>
      <c r="AB1277" s="2"/>
    </row>
    <row r="1278">
      <c r="A1278" s="2"/>
      <c r="B1278" s="2"/>
      <c r="C1278" s="2"/>
      <c r="D1278" s="2"/>
      <c r="E1278" s="2"/>
      <c r="F1278" s="2"/>
      <c r="G1278" s="2"/>
      <c r="H1278" s="2"/>
      <c r="I1278" s="2"/>
      <c r="J1278" s="2"/>
      <c r="K1278" s="2"/>
      <c r="L1278" s="2"/>
      <c r="M1278" s="2"/>
      <c r="N1278" s="2"/>
      <c r="O1278" s="2"/>
      <c r="P1278" s="2"/>
      <c r="Q1278" s="2"/>
      <c r="R1278" s="2"/>
      <c r="S1278" s="2"/>
      <c r="T1278" s="2"/>
      <c r="U1278" s="2"/>
      <c r="V1278" s="2"/>
      <c r="W1278" s="2" t="str">
        <f>IFERROR(__xludf.DUMMYFUNCTION("""COMPUTED_VALUE"""),"VL103D")</f>
        <v>VL103D</v>
      </c>
      <c r="X1278" s="2"/>
      <c r="Y1278" s="2"/>
      <c r="Z1278" s="2"/>
      <c r="AA1278" s="2"/>
      <c r="AB1278" s="2"/>
    </row>
    <row r="1279">
      <c r="A1279" s="2"/>
      <c r="B1279" s="2"/>
      <c r="C1279" s="2"/>
      <c r="D1279" s="2"/>
      <c r="E1279" s="2"/>
      <c r="F1279" s="2"/>
      <c r="G1279" s="2"/>
      <c r="H1279" s="2"/>
      <c r="I1279" s="2"/>
      <c r="J1279" s="2"/>
      <c r="K1279" s="2"/>
      <c r="L1279" s="2"/>
      <c r="M1279" s="2"/>
      <c r="N1279" s="2"/>
      <c r="O1279" s="2"/>
      <c r="P1279" s="2"/>
      <c r="Q1279" s="2"/>
      <c r="R1279" s="2"/>
      <c r="S1279" s="2"/>
      <c r="T1279" s="2"/>
      <c r="U1279" s="2"/>
      <c r="V1279" s="2"/>
      <c r="W1279" s="2" t="str">
        <f>IFERROR(__xludf.DUMMYFUNCTION("""COMPUTED_VALUE"""),"VL103D")</f>
        <v>VL103D</v>
      </c>
      <c r="X1279" s="2"/>
      <c r="Y1279" s="2"/>
      <c r="Z1279" s="2"/>
      <c r="AA1279" s="2"/>
      <c r="AB1279" s="2"/>
    </row>
    <row r="1280">
      <c r="A1280" s="2"/>
      <c r="B1280" s="2"/>
      <c r="C1280" s="2"/>
      <c r="D1280" s="2"/>
      <c r="E1280" s="2"/>
      <c r="F1280" s="2"/>
      <c r="G1280" s="2"/>
      <c r="H1280" s="2"/>
      <c r="I1280" s="2"/>
      <c r="J1280" s="2"/>
      <c r="K1280" s="2"/>
      <c r="L1280" s="2"/>
      <c r="M1280" s="2"/>
      <c r="N1280" s="2"/>
      <c r="O1280" s="2"/>
      <c r="P1280" s="2"/>
      <c r="Q1280" s="2"/>
      <c r="R1280" s="2"/>
      <c r="S1280" s="2"/>
      <c r="T1280" s="2"/>
      <c r="U1280" s="2"/>
      <c r="V1280" s="2"/>
      <c r="W1280" s="2" t="str">
        <f>IFERROR(__xludf.DUMMYFUNCTION("""COMPUTED_VALUE"""),"VL103D")</f>
        <v>VL103D</v>
      </c>
      <c r="X1280" s="2"/>
      <c r="Y1280" s="2"/>
      <c r="Z1280" s="2"/>
      <c r="AA1280" s="2"/>
      <c r="AB1280" s="2"/>
    </row>
    <row r="1281">
      <c r="A1281" s="2"/>
      <c r="B1281" s="2"/>
      <c r="C1281" s="2"/>
      <c r="D1281" s="2"/>
      <c r="E1281" s="2"/>
      <c r="F1281" s="2"/>
      <c r="G1281" s="2"/>
      <c r="H1281" s="2"/>
      <c r="I1281" s="2"/>
      <c r="J1281" s="2"/>
      <c r="K1281" s="2"/>
      <c r="L1281" s="2"/>
      <c r="M1281" s="2"/>
      <c r="N1281" s="2"/>
      <c r="O1281" s="2"/>
      <c r="P1281" s="2"/>
      <c r="Q1281" s="2"/>
      <c r="R1281" s="2"/>
      <c r="S1281" s="2"/>
      <c r="T1281" s="2"/>
      <c r="U1281" s="2"/>
      <c r="V1281" s="2"/>
      <c r="W1281" s="2" t="str">
        <f>IFERROR(__xludf.DUMMYFUNCTION("""COMPUTED_VALUE"""),"VL103D")</f>
        <v>VL103D</v>
      </c>
      <c r="X1281" s="2"/>
      <c r="Y1281" s="2"/>
      <c r="Z1281" s="2"/>
      <c r="AA1281" s="2"/>
      <c r="AB1281" s="2"/>
    </row>
    <row r="1282">
      <c r="A1282" s="2"/>
      <c r="B1282" s="2"/>
      <c r="C1282" s="2"/>
      <c r="D1282" s="2"/>
      <c r="E1282" s="2"/>
      <c r="F1282" s="2"/>
      <c r="G1282" s="2"/>
      <c r="H1282" s="2"/>
      <c r="I1282" s="2"/>
      <c r="J1282" s="2"/>
      <c r="K1282" s="2"/>
      <c r="L1282" s="2"/>
      <c r="M1282" s="2"/>
      <c r="N1282" s="2"/>
      <c r="O1282" s="2"/>
      <c r="P1282" s="2"/>
      <c r="Q1282" s="2"/>
      <c r="R1282" s="2"/>
      <c r="S1282" s="2"/>
      <c r="T1282" s="2"/>
      <c r="U1282" s="2"/>
      <c r="V1282" s="2"/>
      <c r="W1282" s="2" t="str">
        <f>IFERROR(__xludf.DUMMYFUNCTION("""COMPUTED_VALUE"""),"VL103D")</f>
        <v>VL103D</v>
      </c>
      <c r="X1282" s="2"/>
      <c r="Y1282" s="2"/>
      <c r="Z1282" s="2"/>
      <c r="AA1282" s="2"/>
      <c r="AB1282" s="2"/>
    </row>
    <row r="1283">
      <c r="A1283" s="2"/>
      <c r="B1283" s="2"/>
      <c r="C1283" s="2"/>
      <c r="D1283" s="2"/>
      <c r="E1283" s="2"/>
      <c r="F1283" s="2"/>
      <c r="G1283" s="2"/>
      <c r="H1283" s="2"/>
      <c r="I1283" s="2"/>
      <c r="J1283" s="2"/>
      <c r="K1283" s="2"/>
      <c r="L1283" s="2"/>
      <c r="M1283" s="2"/>
      <c r="N1283" s="2"/>
      <c r="O1283" s="2"/>
      <c r="P1283" s="2"/>
      <c r="Q1283" s="2"/>
      <c r="R1283" s="2"/>
      <c r="S1283" s="2"/>
      <c r="T1283" s="2"/>
      <c r="U1283" s="2"/>
      <c r="V1283" s="2"/>
      <c r="W1283" s="2" t="str">
        <f>IFERROR(__xludf.DUMMYFUNCTION("""COMPUTED_VALUE"""),"VL103D")</f>
        <v>VL103D</v>
      </c>
      <c r="X1283" s="2"/>
      <c r="Y1283" s="2"/>
      <c r="Z1283" s="2"/>
      <c r="AA1283" s="2"/>
      <c r="AB1283" s="2"/>
    </row>
    <row r="1284">
      <c r="A1284" s="2"/>
      <c r="B1284" s="2"/>
      <c r="C1284" s="2"/>
      <c r="D1284" s="2"/>
      <c r="E1284" s="2"/>
      <c r="F1284" s="2"/>
      <c r="G1284" s="2"/>
      <c r="H1284" s="2"/>
      <c r="I1284" s="2"/>
      <c r="J1284" s="2"/>
      <c r="K1284" s="2"/>
      <c r="L1284" s="2"/>
      <c r="M1284" s="2"/>
      <c r="N1284" s="2"/>
      <c r="O1284" s="2"/>
      <c r="P1284" s="2"/>
      <c r="Q1284" s="2"/>
      <c r="R1284" s="2"/>
      <c r="S1284" s="2"/>
      <c r="T1284" s="2"/>
      <c r="U1284" s="2"/>
      <c r="V1284" s="2"/>
      <c r="W1284" s="2" t="str">
        <f>IFERROR(__xludf.DUMMYFUNCTION("""COMPUTED_VALUE"""),"VL103D")</f>
        <v>VL103D</v>
      </c>
      <c r="X1284" s="2"/>
      <c r="Y1284" s="2"/>
      <c r="Z1284" s="2"/>
      <c r="AA1284" s="2"/>
      <c r="AB1284" s="2"/>
    </row>
    <row r="1285">
      <c r="A1285" s="2"/>
      <c r="B1285" s="2"/>
      <c r="C1285" s="2"/>
      <c r="D1285" s="2"/>
      <c r="E1285" s="2"/>
      <c r="F1285" s="2"/>
      <c r="G1285" s="2"/>
      <c r="H1285" s="2"/>
      <c r="I1285" s="2"/>
      <c r="J1285" s="2"/>
      <c r="K1285" s="2"/>
      <c r="L1285" s="2"/>
      <c r="M1285" s="2"/>
      <c r="N1285" s="2"/>
      <c r="O1285" s="2"/>
      <c r="P1285" s="2"/>
      <c r="Q1285" s="2"/>
      <c r="R1285" s="2"/>
      <c r="S1285" s="2"/>
      <c r="T1285" s="2"/>
      <c r="U1285" s="2"/>
      <c r="V1285" s="2"/>
      <c r="W1285" s="2" t="str">
        <f>IFERROR(__xludf.DUMMYFUNCTION("""COMPUTED_VALUE"""),"VL103D")</f>
        <v>VL103D</v>
      </c>
      <c r="X1285" s="2"/>
      <c r="Y1285" s="2"/>
      <c r="Z1285" s="2"/>
      <c r="AA1285" s="2"/>
      <c r="AB1285" s="2"/>
    </row>
    <row r="1286">
      <c r="A1286" s="2"/>
      <c r="B1286" s="2"/>
      <c r="C1286" s="2"/>
      <c r="D1286" s="2"/>
      <c r="E1286" s="2"/>
      <c r="F1286" s="2"/>
      <c r="G1286" s="2"/>
      <c r="H1286" s="2"/>
      <c r="I1286" s="2"/>
      <c r="J1286" s="2"/>
      <c r="K1286" s="2"/>
      <c r="L1286" s="2"/>
      <c r="M1286" s="2"/>
      <c r="N1286" s="2"/>
      <c r="O1286" s="2"/>
      <c r="P1286" s="2"/>
      <c r="Q1286" s="2"/>
      <c r="R1286" s="2"/>
      <c r="S1286" s="2"/>
      <c r="T1286" s="2"/>
      <c r="U1286" s="2"/>
      <c r="V1286" s="2"/>
      <c r="W1286" s="2" t="str">
        <f>IFERROR(__xludf.DUMMYFUNCTION("""COMPUTED_VALUE"""),"VL103D")</f>
        <v>VL103D</v>
      </c>
      <c r="X1286" s="2"/>
      <c r="Y1286" s="2"/>
      <c r="Z1286" s="2"/>
      <c r="AA1286" s="2"/>
      <c r="AB1286" s="2"/>
    </row>
    <row r="1287">
      <c r="A1287" s="2"/>
      <c r="B1287" s="2"/>
      <c r="C1287" s="2"/>
      <c r="D1287" s="2"/>
      <c r="E1287" s="2"/>
      <c r="F1287" s="2"/>
      <c r="G1287" s="2"/>
      <c r="H1287" s="2"/>
      <c r="I1287" s="2"/>
      <c r="J1287" s="2"/>
      <c r="K1287" s="2"/>
      <c r="L1287" s="2"/>
      <c r="M1287" s="2"/>
      <c r="N1287" s="2"/>
      <c r="O1287" s="2"/>
      <c r="P1287" s="2"/>
      <c r="Q1287" s="2"/>
      <c r="R1287" s="2"/>
      <c r="S1287" s="2"/>
      <c r="T1287" s="2"/>
      <c r="U1287" s="2"/>
      <c r="V1287" s="2"/>
      <c r="W1287" s="2" t="str">
        <f>IFERROR(__xludf.DUMMYFUNCTION("""COMPUTED_VALUE"""),"VL103D")</f>
        <v>VL103D</v>
      </c>
      <c r="X1287" s="2"/>
      <c r="Y1287" s="2"/>
      <c r="Z1287" s="2"/>
      <c r="AA1287" s="2"/>
      <c r="AB1287" s="2"/>
    </row>
    <row r="1288">
      <c r="A1288" s="2"/>
      <c r="B1288" s="2"/>
      <c r="C1288" s="2"/>
      <c r="D1288" s="2"/>
      <c r="E1288" s="2"/>
      <c r="F1288" s="2"/>
      <c r="G1288" s="2"/>
      <c r="H1288" s="2"/>
      <c r="I1288" s="2"/>
      <c r="J1288" s="2"/>
      <c r="K1288" s="2"/>
      <c r="L1288" s="2"/>
      <c r="M1288" s="2"/>
      <c r="N1288" s="2"/>
      <c r="O1288" s="2"/>
      <c r="P1288" s="2"/>
      <c r="Q1288" s="2"/>
      <c r="R1288" s="2"/>
      <c r="S1288" s="2"/>
      <c r="T1288" s="2"/>
      <c r="U1288" s="2"/>
      <c r="V1288" s="2"/>
      <c r="W1288" s="2" t="str">
        <f>IFERROR(__xludf.DUMMYFUNCTION("""COMPUTED_VALUE"""),"VL103D")</f>
        <v>VL103D</v>
      </c>
      <c r="X1288" s="2"/>
      <c r="Y1288" s="2"/>
      <c r="Z1288" s="2"/>
      <c r="AA1288" s="2"/>
      <c r="AB1288" s="2"/>
    </row>
    <row r="1289">
      <c r="A1289" s="2"/>
      <c r="B1289" s="2"/>
      <c r="C1289" s="2"/>
      <c r="D1289" s="2"/>
      <c r="E1289" s="2"/>
      <c r="F1289" s="2"/>
      <c r="G1289" s="2"/>
      <c r="H1289" s="2"/>
      <c r="I1289" s="2"/>
      <c r="J1289" s="2"/>
      <c r="K1289" s="2"/>
      <c r="L1289" s="2"/>
      <c r="M1289" s="2"/>
      <c r="N1289" s="2"/>
      <c r="O1289" s="2"/>
      <c r="P1289" s="2"/>
      <c r="Q1289" s="2"/>
      <c r="R1289" s="2"/>
      <c r="S1289" s="2"/>
      <c r="T1289" s="2"/>
      <c r="U1289" s="2"/>
      <c r="V1289" s="2"/>
      <c r="W1289" s="2" t="str">
        <f>IFERROR(__xludf.DUMMYFUNCTION("""COMPUTED_VALUE"""),"VL103D")</f>
        <v>VL103D</v>
      </c>
      <c r="X1289" s="2"/>
      <c r="Y1289" s="2"/>
      <c r="Z1289" s="2"/>
      <c r="AA1289" s="2"/>
      <c r="AB1289" s="2"/>
    </row>
    <row r="1290">
      <c r="A1290" s="2"/>
      <c r="B1290" s="2"/>
      <c r="C1290" s="2"/>
      <c r="D1290" s="2"/>
      <c r="E1290" s="2"/>
      <c r="F1290" s="2"/>
      <c r="G1290" s="2"/>
      <c r="H1290" s="2"/>
      <c r="I1290" s="2"/>
      <c r="J1290" s="2"/>
      <c r="K1290" s="2"/>
      <c r="L1290" s="2"/>
      <c r="M1290" s="2"/>
      <c r="N1290" s="2"/>
      <c r="O1290" s="2"/>
      <c r="P1290" s="2"/>
      <c r="Q1290" s="2"/>
      <c r="R1290" s="2"/>
      <c r="S1290" s="2"/>
      <c r="T1290" s="2"/>
      <c r="U1290" s="2"/>
      <c r="V1290" s="2"/>
      <c r="W1290" s="2" t="str">
        <f>IFERROR(__xludf.DUMMYFUNCTION("""COMPUTED_VALUE"""),"VL103D")</f>
        <v>VL103D</v>
      </c>
      <c r="X1290" s="2"/>
      <c r="Y1290" s="2"/>
      <c r="Z1290" s="2"/>
      <c r="AA1290" s="2"/>
      <c r="AB1290" s="2"/>
    </row>
    <row r="1291">
      <c r="A1291" s="2"/>
      <c r="B1291" s="2"/>
      <c r="C1291" s="2"/>
      <c r="D1291" s="2"/>
      <c r="E1291" s="2"/>
      <c r="F1291" s="2"/>
      <c r="G1291" s="2"/>
      <c r="H1291" s="2"/>
      <c r="I1291" s="2"/>
      <c r="J1291" s="2"/>
      <c r="K1291" s="2"/>
      <c r="L1291" s="2"/>
      <c r="M1291" s="2"/>
      <c r="N1291" s="2"/>
      <c r="O1291" s="2"/>
      <c r="P1291" s="2"/>
      <c r="Q1291" s="2"/>
      <c r="R1291" s="2"/>
      <c r="S1291" s="2"/>
      <c r="T1291" s="2"/>
      <c r="U1291" s="2"/>
      <c r="V1291" s="2"/>
      <c r="W1291" s="2" t="str">
        <f>IFERROR(__xludf.DUMMYFUNCTION("""COMPUTED_VALUE"""),"VL103D")</f>
        <v>VL103D</v>
      </c>
      <c r="X1291" s="2"/>
      <c r="Y1291" s="2"/>
      <c r="Z1291" s="2"/>
      <c r="AA1291" s="2"/>
      <c r="AB1291" s="2"/>
    </row>
    <row r="1292">
      <c r="A1292" s="2"/>
      <c r="B1292" s="2"/>
      <c r="C1292" s="2"/>
      <c r="D1292" s="2"/>
      <c r="E1292" s="2"/>
      <c r="F1292" s="2"/>
      <c r="G1292" s="2"/>
      <c r="H1292" s="2"/>
      <c r="I1292" s="2"/>
      <c r="J1292" s="2"/>
      <c r="K1292" s="2"/>
      <c r="L1292" s="2"/>
      <c r="M1292" s="2"/>
      <c r="N1292" s="2"/>
      <c r="O1292" s="2"/>
      <c r="P1292" s="2"/>
      <c r="Q1292" s="2"/>
      <c r="R1292" s="2"/>
      <c r="S1292" s="2"/>
      <c r="T1292" s="2"/>
      <c r="U1292" s="2"/>
      <c r="V1292" s="2"/>
      <c r="W1292" s="2" t="str">
        <f>IFERROR(__xludf.DUMMYFUNCTION("""COMPUTED_VALUE"""),"VL103D")</f>
        <v>VL103D</v>
      </c>
      <c r="X1292" s="2"/>
      <c r="Y1292" s="2"/>
      <c r="Z1292" s="2"/>
      <c r="AA1292" s="2"/>
      <c r="AB1292" s="2"/>
    </row>
    <row r="1293">
      <c r="A1293" s="2"/>
      <c r="B1293" s="2"/>
      <c r="C1293" s="2"/>
      <c r="D1293" s="2"/>
      <c r="E1293" s="2"/>
      <c r="F1293" s="2"/>
      <c r="G1293" s="2"/>
      <c r="H1293" s="2"/>
      <c r="I1293" s="2"/>
      <c r="J1293" s="2"/>
      <c r="K1293" s="2"/>
      <c r="L1293" s="2"/>
      <c r="M1293" s="2"/>
      <c r="N1293" s="2"/>
      <c r="O1293" s="2"/>
      <c r="P1293" s="2"/>
      <c r="Q1293" s="2"/>
      <c r="R1293" s="2"/>
      <c r="S1293" s="2"/>
      <c r="T1293" s="2"/>
      <c r="U1293" s="2"/>
      <c r="V1293" s="2"/>
      <c r="W1293" s="2" t="str">
        <f>IFERROR(__xludf.DUMMYFUNCTION("""COMPUTED_VALUE"""),"VL103D")</f>
        <v>VL103D</v>
      </c>
      <c r="X1293" s="2"/>
      <c r="Y1293" s="2"/>
      <c r="Z1293" s="2"/>
      <c r="AA1293" s="2"/>
      <c r="AB1293" s="2"/>
    </row>
    <row r="1294">
      <c r="A1294" s="2"/>
      <c r="B1294" s="2"/>
      <c r="C1294" s="2"/>
      <c r="D1294" s="2"/>
      <c r="E1294" s="2"/>
      <c r="F1294" s="2"/>
      <c r="G1294" s="2"/>
      <c r="H1294" s="2"/>
      <c r="I1294" s="2"/>
      <c r="J1294" s="2"/>
      <c r="K1294" s="2"/>
      <c r="L1294" s="2"/>
      <c r="M1294" s="2"/>
      <c r="N1294" s="2"/>
      <c r="O1294" s="2"/>
      <c r="P1294" s="2"/>
      <c r="Q1294" s="2"/>
      <c r="R1294" s="2"/>
      <c r="S1294" s="2"/>
      <c r="T1294" s="2"/>
      <c r="U1294" s="2"/>
      <c r="V1294" s="2"/>
      <c r="W1294" s="2" t="str">
        <f>IFERROR(__xludf.DUMMYFUNCTION("""COMPUTED_VALUE"""),"VL103D")</f>
        <v>VL103D</v>
      </c>
      <c r="X1294" s="2"/>
      <c r="Y1294" s="2"/>
      <c r="Z1294" s="2"/>
      <c r="AA1294" s="2"/>
      <c r="AB1294" s="2"/>
    </row>
    <row r="1295">
      <c r="A1295" s="2"/>
      <c r="B1295" s="2"/>
      <c r="C1295" s="2"/>
      <c r="D1295" s="2"/>
      <c r="E1295" s="2"/>
      <c r="F1295" s="2"/>
      <c r="G1295" s="2"/>
      <c r="H1295" s="2"/>
      <c r="I1295" s="2"/>
      <c r="J1295" s="2"/>
      <c r="K1295" s="2"/>
      <c r="L1295" s="2"/>
      <c r="M1295" s="2"/>
      <c r="N1295" s="2"/>
      <c r="O1295" s="2"/>
      <c r="P1295" s="2"/>
      <c r="Q1295" s="2"/>
      <c r="R1295" s="2"/>
      <c r="S1295" s="2"/>
      <c r="T1295" s="2"/>
      <c r="U1295" s="2"/>
      <c r="V1295" s="2"/>
      <c r="W1295" s="2" t="str">
        <f>IFERROR(__xludf.DUMMYFUNCTION("""COMPUTED_VALUE"""),"VL103D")</f>
        <v>VL103D</v>
      </c>
      <c r="X1295" s="2"/>
      <c r="Y1295" s="2"/>
      <c r="Z1295" s="2"/>
      <c r="AA1295" s="2"/>
      <c r="AB1295" s="2"/>
    </row>
    <row r="1296">
      <c r="A1296" s="2"/>
      <c r="B1296" s="2"/>
      <c r="C1296" s="2"/>
      <c r="D1296" s="2"/>
      <c r="E1296" s="2"/>
      <c r="F1296" s="2"/>
      <c r="G1296" s="2"/>
      <c r="H1296" s="2"/>
      <c r="I1296" s="2"/>
      <c r="J1296" s="2"/>
      <c r="K1296" s="2"/>
      <c r="L1296" s="2"/>
      <c r="M1296" s="2"/>
      <c r="N1296" s="2"/>
      <c r="O1296" s="2"/>
      <c r="P1296" s="2"/>
      <c r="Q1296" s="2"/>
      <c r="R1296" s="2"/>
      <c r="S1296" s="2"/>
      <c r="T1296" s="2"/>
      <c r="U1296" s="2"/>
      <c r="V1296" s="2"/>
      <c r="W1296" s="2" t="str">
        <f>IFERROR(__xludf.DUMMYFUNCTION("""COMPUTED_VALUE"""),"VL103D")</f>
        <v>VL103D</v>
      </c>
      <c r="X1296" s="2"/>
      <c r="Y1296" s="2"/>
      <c r="Z1296" s="2"/>
      <c r="AA1296" s="2"/>
      <c r="AB1296" s="2"/>
    </row>
    <row r="1297">
      <c r="A1297" s="2"/>
      <c r="B1297" s="2"/>
      <c r="C1297" s="2"/>
      <c r="D1297" s="2"/>
      <c r="E1297" s="2"/>
      <c r="F1297" s="2"/>
      <c r="G1297" s="2"/>
      <c r="H1297" s="2"/>
      <c r="I1297" s="2"/>
      <c r="J1297" s="2"/>
      <c r="K1297" s="2"/>
      <c r="L1297" s="2"/>
      <c r="M1297" s="2"/>
      <c r="N1297" s="2"/>
      <c r="O1297" s="2"/>
      <c r="P1297" s="2"/>
      <c r="Q1297" s="2"/>
      <c r="R1297" s="2"/>
      <c r="S1297" s="2"/>
      <c r="T1297" s="2"/>
      <c r="U1297" s="2"/>
      <c r="V1297" s="2"/>
      <c r="W1297" s="2" t="str">
        <f>IFERROR(__xludf.DUMMYFUNCTION("""COMPUTED_VALUE"""),"VL103D")</f>
        <v>VL103D</v>
      </c>
      <c r="X1297" s="2"/>
      <c r="Y1297" s="2"/>
      <c r="Z1297" s="2"/>
      <c r="AA1297" s="2"/>
      <c r="AB1297" s="2"/>
    </row>
    <row r="1298">
      <c r="A1298" s="2"/>
      <c r="B1298" s="2"/>
      <c r="C1298" s="2"/>
      <c r="D1298" s="2"/>
      <c r="E1298" s="2"/>
      <c r="F1298" s="2"/>
      <c r="G1298" s="2"/>
      <c r="H1298" s="2"/>
      <c r="I1298" s="2"/>
      <c r="J1298" s="2"/>
      <c r="K1298" s="2"/>
      <c r="L1298" s="2"/>
      <c r="M1298" s="2"/>
      <c r="N1298" s="2"/>
      <c r="O1298" s="2"/>
      <c r="P1298" s="2"/>
      <c r="Q1298" s="2"/>
      <c r="R1298" s="2"/>
      <c r="S1298" s="2"/>
      <c r="T1298" s="2"/>
      <c r="U1298" s="2"/>
      <c r="V1298" s="2"/>
      <c r="W1298" s="2" t="str">
        <f>IFERROR(__xludf.DUMMYFUNCTION("""COMPUTED_VALUE"""),"VL103D")</f>
        <v>VL103D</v>
      </c>
      <c r="X1298" s="2"/>
      <c r="Y1298" s="2"/>
      <c r="Z1298" s="2"/>
      <c r="AA1298" s="2"/>
      <c r="AB1298" s="2"/>
    </row>
    <row r="1299">
      <c r="A1299" s="2"/>
      <c r="B1299" s="2"/>
      <c r="C1299" s="2"/>
      <c r="D1299" s="2"/>
      <c r="E1299" s="2"/>
      <c r="F1299" s="2"/>
      <c r="G1299" s="2"/>
      <c r="H1299" s="2"/>
      <c r="I1299" s="2"/>
      <c r="J1299" s="2"/>
      <c r="K1299" s="2"/>
      <c r="L1299" s="2"/>
      <c r="M1299" s="2"/>
      <c r="N1299" s="2"/>
      <c r="O1299" s="2"/>
      <c r="P1299" s="2"/>
      <c r="Q1299" s="2"/>
      <c r="R1299" s="2"/>
      <c r="S1299" s="2"/>
      <c r="T1299" s="2"/>
      <c r="U1299" s="2"/>
      <c r="V1299" s="2"/>
      <c r="W1299" s="2" t="str">
        <f>IFERROR(__xludf.DUMMYFUNCTION("""COMPUTED_VALUE"""),"VL103D")</f>
        <v>VL103D</v>
      </c>
      <c r="X1299" s="2"/>
      <c r="Y1299" s="2"/>
      <c r="Z1299" s="2"/>
      <c r="AA1299" s="2"/>
      <c r="AB1299" s="2"/>
    </row>
    <row r="1300">
      <c r="A1300" s="2"/>
      <c r="B1300" s="2"/>
      <c r="C1300" s="2"/>
      <c r="D1300" s="2"/>
      <c r="E1300" s="2"/>
      <c r="F1300" s="2"/>
      <c r="G1300" s="2"/>
      <c r="H1300" s="2"/>
      <c r="I1300" s="2"/>
      <c r="J1300" s="2"/>
      <c r="K1300" s="2"/>
      <c r="L1300" s="2"/>
      <c r="M1300" s="2"/>
      <c r="N1300" s="2"/>
      <c r="O1300" s="2"/>
      <c r="P1300" s="2"/>
      <c r="Q1300" s="2"/>
      <c r="R1300" s="2"/>
      <c r="S1300" s="2"/>
      <c r="T1300" s="2"/>
      <c r="U1300" s="2"/>
      <c r="V1300" s="2"/>
      <c r="W1300" s="2" t="str">
        <f>IFERROR(__xludf.DUMMYFUNCTION("""COMPUTED_VALUE"""),"VL103D")</f>
        <v>VL103D</v>
      </c>
      <c r="X1300" s="2"/>
      <c r="Y1300" s="2"/>
      <c r="Z1300" s="2"/>
      <c r="AA1300" s="2"/>
      <c r="AB1300" s="2"/>
    </row>
    <row r="1301">
      <c r="A1301" s="2"/>
      <c r="B1301" s="2"/>
      <c r="C1301" s="2"/>
      <c r="D1301" s="2"/>
      <c r="E1301" s="2"/>
      <c r="F1301" s="2"/>
      <c r="G1301" s="2"/>
      <c r="H1301" s="2"/>
      <c r="I1301" s="2"/>
      <c r="J1301" s="2"/>
      <c r="K1301" s="2"/>
      <c r="L1301" s="2"/>
      <c r="M1301" s="2"/>
      <c r="N1301" s="2"/>
      <c r="O1301" s="2"/>
      <c r="P1301" s="2"/>
      <c r="Q1301" s="2"/>
      <c r="R1301" s="2"/>
      <c r="S1301" s="2"/>
      <c r="T1301" s="2"/>
      <c r="U1301" s="2"/>
      <c r="V1301" s="2"/>
      <c r="W1301" s="2" t="str">
        <f>IFERROR(__xludf.DUMMYFUNCTION("""COMPUTED_VALUE"""),"VL103D")</f>
        <v>VL103D</v>
      </c>
      <c r="X1301" s="2"/>
      <c r="Y1301" s="2"/>
      <c r="Z1301" s="2"/>
      <c r="AA1301" s="2"/>
      <c r="AB1301" s="2"/>
    </row>
    <row r="1302">
      <c r="A1302" s="2"/>
      <c r="B1302" s="2"/>
      <c r="C1302" s="2"/>
      <c r="D1302" s="2"/>
      <c r="E1302" s="2"/>
      <c r="F1302" s="2"/>
      <c r="G1302" s="2"/>
      <c r="H1302" s="2"/>
      <c r="I1302" s="2"/>
      <c r="J1302" s="2"/>
      <c r="K1302" s="2"/>
      <c r="L1302" s="2"/>
      <c r="M1302" s="2"/>
      <c r="N1302" s="2"/>
      <c r="O1302" s="2"/>
      <c r="P1302" s="2"/>
      <c r="Q1302" s="2"/>
      <c r="R1302" s="2"/>
      <c r="S1302" s="2"/>
      <c r="T1302" s="2"/>
      <c r="U1302" s="2"/>
      <c r="V1302" s="2"/>
      <c r="W1302" s="2" t="str">
        <f>IFERROR(__xludf.DUMMYFUNCTION("""COMPUTED_VALUE"""),"VL103D")</f>
        <v>VL103D</v>
      </c>
      <c r="X1302" s="2"/>
      <c r="Y1302" s="2"/>
      <c r="Z1302" s="2"/>
      <c r="AA1302" s="2"/>
      <c r="AB1302" s="2"/>
    </row>
    <row r="1303">
      <c r="A1303" s="2"/>
      <c r="B1303" s="2"/>
      <c r="C1303" s="2"/>
      <c r="D1303" s="2"/>
      <c r="E1303" s="2"/>
      <c r="F1303" s="2"/>
      <c r="G1303" s="2"/>
      <c r="H1303" s="2"/>
      <c r="I1303" s="2"/>
      <c r="J1303" s="2"/>
      <c r="K1303" s="2"/>
      <c r="L1303" s="2"/>
      <c r="M1303" s="2"/>
      <c r="N1303" s="2"/>
      <c r="O1303" s="2"/>
      <c r="P1303" s="2"/>
      <c r="Q1303" s="2"/>
      <c r="R1303" s="2"/>
      <c r="S1303" s="2"/>
      <c r="T1303" s="2"/>
      <c r="U1303" s="2"/>
      <c r="V1303" s="2"/>
      <c r="W1303" s="2" t="str">
        <f>IFERROR(__xludf.DUMMYFUNCTION("""COMPUTED_VALUE"""),"VL103D")</f>
        <v>VL103D</v>
      </c>
      <c r="X1303" s="2"/>
      <c r="Y1303" s="2"/>
      <c r="Z1303" s="2"/>
      <c r="AA1303" s="2"/>
      <c r="AB1303" s="2"/>
    </row>
    <row r="1304">
      <c r="A1304" s="2"/>
      <c r="B1304" s="2"/>
      <c r="C1304" s="2"/>
      <c r="D1304" s="2"/>
      <c r="E1304" s="2"/>
      <c r="F1304" s="2"/>
      <c r="G1304" s="2"/>
      <c r="H1304" s="2"/>
      <c r="I1304" s="2"/>
      <c r="J1304" s="2"/>
      <c r="K1304" s="2"/>
      <c r="L1304" s="2"/>
      <c r="M1304" s="2"/>
      <c r="N1304" s="2"/>
      <c r="O1304" s="2"/>
      <c r="P1304" s="2"/>
      <c r="Q1304" s="2"/>
      <c r="R1304" s="2"/>
      <c r="S1304" s="2"/>
      <c r="T1304" s="2"/>
      <c r="U1304" s="2"/>
      <c r="V1304" s="2"/>
      <c r="W1304" s="2" t="str">
        <f>IFERROR(__xludf.DUMMYFUNCTION("""COMPUTED_VALUE"""),"VL103D")</f>
        <v>VL103D</v>
      </c>
      <c r="X1304" s="2"/>
      <c r="Y1304" s="2"/>
      <c r="Z1304" s="2"/>
      <c r="AA1304" s="2"/>
      <c r="AB1304" s="2"/>
    </row>
    <row r="1305">
      <c r="A1305" s="2"/>
      <c r="B1305" s="2"/>
      <c r="C1305" s="2"/>
      <c r="D1305" s="2"/>
      <c r="E1305" s="2"/>
      <c r="F1305" s="2"/>
      <c r="G1305" s="2"/>
      <c r="H1305" s="2"/>
      <c r="I1305" s="2"/>
      <c r="J1305" s="2"/>
      <c r="K1305" s="2"/>
      <c r="L1305" s="2"/>
      <c r="M1305" s="2"/>
      <c r="N1305" s="2"/>
      <c r="O1305" s="2"/>
      <c r="P1305" s="2"/>
      <c r="Q1305" s="2"/>
      <c r="R1305" s="2"/>
      <c r="S1305" s="2"/>
      <c r="T1305" s="2"/>
      <c r="U1305" s="2"/>
      <c r="V1305" s="2"/>
      <c r="W1305" s="2" t="str">
        <f>IFERROR(__xludf.DUMMYFUNCTION("""COMPUTED_VALUE"""),"VL103D")</f>
        <v>VL103D</v>
      </c>
      <c r="X1305" s="2"/>
      <c r="Y1305" s="2"/>
      <c r="Z1305" s="2"/>
      <c r="AA1305" s="2"/>
      <c r="AB1305" s="2"/>
    </row>
    <row r="1306">
      <c r="A1306" s="2"/>
      <c r="B1306" s="2"/>
      <c r="C1306" s="2"/>
      <c r="D1306" s="2"/>
      <c r="E1306" s="2"/>
      <c r="F1306" s="2"/>
      <c r="G1306" s="2"/>
      <c r="H1306" s="2"/>
      <c r="I1306" s="2"/>
      <c r="J1306" s="2"/>
      <c r="K1306" s="2"/>
      <c r="L1306" s="2"/>
      <c r="M1306" s="2"/>
      <c r="N1306" s="2"/>
      <c r="O1306" s="2"/>
      <c r="P1306" s="2"/>
      <c r="Q1306" s="2"/>
      <c r="R1306" s="2"/>
      <c r="S1306" s="2"/>
      <c r="T1306" s="2"/>
      <c r="U1306" s="2"/>
      <c r="V1306" s="2"/>
      <c r="W1306" s="2" t="str">
        <f>IFERROR(__xludf.DUMMYFUNCTION("""COMPUTED_VALUE"""),"VL103D")</f>
        <v>VL103D</v>
      </c>
      <c r="X1306" s="2"/>
      <c r="Y1306" s="2"/>
      <c r="Z1306" s="2"/>
      <c r="AA1306" s="2"/>
      <c r="AB1306" s="2"/>
    </row>
    <row r="1307">
      <c r="A1307" s="2"/>
      <c r="B1307" s="2"/>
      <c r="C1307" s="2"/>
      <c r="D1307" s="2"/>
      <c r="E1307" s="2"/>
      <c r="F1307" s="2"/>
      <c r="G1307" s="2"/>
      <c r="H1307" s="2"/>
      <c r="I1307" s="2"/>
      <c r="J1307" s="2"/>
      <c r="K1307" s="2"/>
      <c r="L1307" s="2"/>
      <c r="M1307" s="2"/>
      <c r="N1307" s="2"/>
      <c r="O1307" s="2"/>
      <c r="P1307" s="2"/>
      <c r="Q1307" s="2"/>
      <c r="R1307" s="2"/>
      <c r="S1307" s="2"/>
      <c r="T1307" s="2"/>
      <c r="U1307" s="2"/>
      <c r="V1307" s="2"/>
      <c r="W1307" s="2" t="str">
        <f>IFERROR(__xludf.DUMMYFUNCTION("""COMPUTED_VALUE"""),"VL103D")</f>
        <v>VL103D</v>
      </c>
      <c r="X1307" s="2"/>
      <c r="Y1307" s="2"/>
      <c r="Z1307" s="2"/>
      <c r="AA1307" s="2"/>
      <c r="AB1307" s="2"/>
    </row>
    <row r="1308">
      <c r="A1308" s="2"/>
      <c r="B1308" s="2"/>
      <c r="C1308" s="2"/>
      <c r="D1308" s="2"/>
      <c r="E1308" s="2"/>
      <c r="F1308" s="2"/>
      <c r="G1308" s="2"/>
      <c r="H1308" s="2"/>
      <c r="I1308" s="2"/>
      <c r="J1308" s="2"/>
      <c r="K1308" s="2"/>
      <c r="L1308" s="2"/>
      <c r="M1308" s="2"/>
      <c r="N1308" s="2"/>
      <c r="O1308" s="2"/>
      <c r="P1308" s="2"/>
      <c r="Q1308" s="2"/>
      <c r="R1308" s="2"/>
      <c r="S1308" s="2"/>
      <c r="T1308" s="2"/>
      <c r="U1308" s="2"/>
      <c r="V1308" s="2"/>
      <c r="W1308" s="2" t="str">
        <f>IFERROR(__xludf.DUMMYFUNCTION("""COMPUTED_VALUE"""),"VL103D")</f>
        <v>VL103D</v>
      </c>
      <c r="X1308" s="2"/>
      <c r="Y1308" s="2"/>
      <c r="Z1308" s="2"/>
      <c r="AA1308" s="2"/>
      <c r="AB1308" s="2"/>
    </row>
    <row r="1309">
      <c r="A1309" s="2"/>
      <c r="B1309" s="2"/>
      <c r="C1309" s="2"/>
      <c r="D1309" s="2"/>
      <c r="E1309" s="2"/>
      <c r="F1309" s="2"/>
      <c r="G1309" s="2"/>
      <c r="H1309" s="2"/>
      <c r="I1309" s="2"/>
      <c r="J1309" s="2"/>
      <c r="K1309" s="2"/>
      <c r="L1309" s="2"/>
      <c r="M1309" s="2"/>
      <c r="N1309" s="2"/>
      <c r="O1309" s="2"/>
      <c r="P1309" s="2"/>
      <c r="Q1309" s="2"/>
      <c r="R1309" s="2"/>
      <c r="S1309" s="2"/>
      <c r="T1309" s="2"/>
      <c r="U1309" s="2"/>
      <c r="V1309" s="2"/>
      <c r="W1309" s="2" t="str">
        <f>IFERROR(__xludf.DUMMYFUNCTION("""COMPUTED_VALUE"""),"VL103D")</f>
        <v>VL103D</v>
      </c>
      <c r="X1309" s="2"/>
      <c r="Y1309" s="2"/>
      <c r="Z1309" s="2"/>
      <c r="AA1309" s="2"/>
      <c r="AB1309" s="2"/>
    </row>
    <row r="1310">
      <c r="A1310" s="2"/>
      <c r="B1310" s="2"/>
      <c r="C1310" s="2"/>
      <c r="D1310" s="2"/>
      <c r="E1310" s="2"/>
      <c r="F1310" s="2"/>
      <c r="G1310" s="2"/>
      <c r="H1310" s="2"/>
      <c r="I1310" s="2"/>
      <c r="J1310" s="2"/>
      <c r="K1310" s="2"/>
      <c r="L1310" s="2"/>
      <c r="M1310" s="2"/>
      <c r="N1310" s="2"/>
      <c r="O1310" s="2"/>
      <c r="P1310" s="2"/>
      <c r="Q1310" s="2"/>
      <c r="R1310" s="2"/>
      <c r="S1310" s="2"/>
      <c r="T1310" s="2"/>
      <c r="U1310" s="2"/>
      <c r="V1310" s="2"/>
      <c r="W1310" s="2" t="str">
        <f>IFERROR(__xludf.DUMMYFUNCTION("""COMPUTED_VALUE"""),"VL103D")</f>
        <v>VL103D</v>
      </c>
      <c r="X1310" s="2"/>
      <c r="Y1310" s="2"/>
      <c r="Z1310" s="2"/>
      <c r="AA1310" s="2"/>
      <c r="AB1310" s="2"/>
    </row>
    <row r="1311">
      <c r="A1311" s="2"/>
      <c r="B1311" s="2"/>
      <c r="C1311" s="2"/>
      <c r="D1311" s="2"/>
      <c r="E1311" s="2"/>
      <c r="F1311" s="2"/>
      <c r="G1311" s="2"/>
      <c r="H1311" s="2"/>
      <c r="I1311" s="2"/>
      <c r="J1311" s="2"/>
      <c r="K1311" s="2"/>
      <c r="L1311" s="2"/>
      <c r="M1311" s="2"/>
      <c r="N1311" s="2"/>
      <c r="O1311" s="2"/>
      <c r="P1311" s="2"/>
      <c r="Q1311" s="2"/>
      <c r="R1311" s="2"/>
      <c r="S1311" s="2"/>
      <c r="T1311" s="2"/>
      <c r="U1311" s="2"/>
      <c r="V1311" s="2"/>
      <c r="W1311" s="2" t="str">
        <f>IFERROR(__xludf.DUMMYFUNCTION("""COMPUTED_VALUE"""),"VL103D")</f>
        <v>VL103D</v>
      </c>
      <c r="X1311" s="2"/>
      <c r="Y1311" s="2"/>
      <c r="Z1311" s="2"/>
      <c r="AA1311" s="2"/>
      <c r="AB1311" s="2"/>
    </row>
    <row r="1312">
      <c r="A1312" s="2"/>
      <c r="B1312" s="2"/>
      <c r="C1312" s="2"/>
      <c r="D1312" s="2"/>
      <c r="E1312" s="2"/>
      <c r="F1312" s="2"/>
      <c r="G1312" s="2"/>
      <c r="H1312" s="2"/>
      <c r="I1312" s="2"/>
      <c r="J1312" s="2"/>
      <c r="K1312" s="2"/>
      <c r="L1312" s="2"/>
      <c r="M1312" s="2"/>
      <c r="N1312" s="2"/>
      <c r="O1312" s="2"/>
      <c r="P1312" s="2"/>
      <c r="Q1312" s="2"/>
      <c r="R1312" s="2"/>
      <c r="S1312" s="2"/>
      <c r="T1312" s="2"/>
      <c r="U1312" s="2"/>
      <c r="V1312" s="2"/>
      <c r="W1312" s="2" t="str">
        <f>IFERROR(__xludf.DUMMYFUNCTION("""COMPUTED_VALUE"""),"VL103D")</f>
        <v>VL103D</v>
      </c>
      <c r="X1312" s="2"/>
      <c r="Y1312" s="2"/>
      <c r="Z1312" s="2"/>
      <c r="AA1312" s="2"/>
      <c r="AB1312" s="2"/>
    </row>
    <row r="1313">
      <c r="A1313" s="2"/>
      <c r="B1313" s="2"/>
      <c r="C1313" s="2"/>
      <c r="D1313" s="2"/>
      <c r="E1313" s="2"/>
      <c r="F1313" s="2"/>
      <c r="G1313" s="2"/>
      <c r="H1313" s="2"/>
      <c r="I1313" s="2"/>
      <c r="J1313" s="2"/>
      <c r="K1313" s="2"/>
      <c r="L1313" s="2"/>
      <c r="M1313" s="2"/>
      <c r="N1313" s="2"/>
      <c r="O1313" s="2"/>
      <c r="P1313" s="2"/>
      <c r="Q1313" s="2"/>
      <c r="R1313" s="2"/>
      <c r="S1313" s="2"/>
      <c r="T1313" s="2"/>
      <c r="U1313" s="2"/>
      <c r="V1313" s="2"/>
      <c r="W1313" s="2" t="str">
        <f>IFERROR(__xludf.DUMMYFUNCTION("""COMPUTED_VALUE"""),"VL103D")</f>
        <v>VL103D</v>
      </c>
      <c r="X1313" s="2"/>
      <c r="Y1313" s="2"/>
      <c r="Z1313" s="2"/>
      <c r="AA1313" s="2"/>
      <c r="AB1313" s="2"/>
    </row>
    <row r="1314">
      <c r="A1314" s="2"/>
      <c r="B1314" s="2"/>
      <c r="C1314" s="2"/>
      <c r="D1314" s="2"/>
      <c r="E1314" s="2"/>
      <c r="F1314" s="2"/>
      <c r="G1314" s="2"/>
      <c r="H1314" s="2"/>
      <c r="I1314" s="2"/>
      <c r="J1314" s="2"/>
      <c r="K1314" s="2"/>
      <c r="L1314" s="2"/>
      <c r="M1314" s="2"/>
      <c r="N1314" s="2"/>
      <c r="O1314" s="2"/>
      <c r="P1314" s="2"/>
      <c r="Q1314" s="2"/>
      <c r="R1314" s="2"/>
      <c r="S1314" s="2"/>
      <c r="T1314" s="2"/>
      <c r="U1314" s="2"/>
      <c r="V1314" s="2"/>
      <c r="W1314" s="2" t="str">
        <f>IFERROR(__xludf.DUMMYFUNCTION("""COMPUTED_VALUE"""),"VL103D")</f>
        <v>VL103D</v>
      </c>
      <c r="X1314" s="2"/>
      <c r="Y1314" s="2"/>
      <c r="Z1314" s="2"/>
      <c r="AA1314" s="2"/>
      <c r="AB1314" s="2"/>
    </row>
    <row r="1315">
      <c r="A1315" s="2"/>
      <c r="B1315" s="2"/>
      <c r="C1315" s="2"/>
      <c r="D1315" s="2"/>
      <c r="E1315" s="2"/>
      <c r="F1315" s="2"/>
      <c r="G1315" s="2"/>
      <c r="H1315" s="2"/>
      <c r="I1315" s="2"/>
      <c r="J1315" s="2"/>
      <c r="K1315" s="2"/>
      <c r="L1315" s="2"/>
      <c r="M1315" s="2"/>
      <c r="N1315" s="2"/>
      <c r="O1315" s="2"/>
      <c r="P1315" s="2"/>
      <c r="Q1315" s="2"/>
      <c r="R1315" s="2"/>
      <c r="S1315" s="2"/>
      <c r="T1315" s="2"/>
      <c r="U1315" s="2"/>
      <c r="V1315" s="2"/>
      <c r="W1315" s="2" t="str">
        <f>IFERROR(__xludf.DUMMYFUNCTION("""COMPUTED_VALUE"""),"VL103D")</f>
        <v>VL103D</v>
      </c>
      <c r="X1315" s="2"/>
      <c r="Y1315" s="2"/>
      <c r="Z1315" s="2"/>
      <c r="AA1315" s="2"/>
      <c r="AB1315" s="2"/>
    </row>
    <row r="1316">
      <c r="A1316" s="2"/>
      <c r="B1316" s="2"/>
      <c r="C1316" s="2"/>
      <c r="D1316" s="2"/>
      <c r="E1316" s="2"/>
      <c r="F1316" s="2"/>
      <c r="G1316" s="2"/>
      <c r="H1316" s="2"/>
      <c r="I1316" s="2"/>
      <c r="J1316" s="2"/>
      <c r="K1316" s="2"/>
      <c r="L1316" s="2"/>
      <c r="M1316" s="2"/>
      <c r="N1316" s="2"/>
      <c r="O1316" s="2"/>
      <c r="P1316" s="2"/>
      <c r="Q1316" s="2"/>
      <c r="R1316" s="2"/>
      <c r="S1316" s="2"/>
      <c r="T1316" s="2"/>
      <c r="U1316" s="2"/>
      <c r="V1316" s="2"/>
      <c r="W1316" s="2" t="str">
        <f>IFERROR(__xludf.DUMMYFUNCTION("""COMPUTED_VALUE"""),"VL103D")</f>
        <v>VL103D</v>
      </c>
      <c r="X1316" s="2"/>
      <c r="Y1316" s="2"/>
      <c r="Z1316" s="2"/>
      <c r="AA1316" s="2"/>
      <c r="AB1316" s="2"/>
    </row>
    <row r="1317">
      <c r="A1317" s="2"/>
      <c r="B1317" s="2"/>
      <c r="C1317" s="2"/>
      <c r="D1317" s="2"/>
      <c r="E1317" s="2"/>
      <c r="F1317" s="2"/>
      <c r="G1317" s="2"/>
      <c r="H1317" s="2"/>
      <c r="I1317" s="2"/>
      <c r="J1317" s="2"/>
      <c r="K1317" s="2"/>
      <c r="L1317" s="2"/>
      <c r="M1317" s="2"/>
      <c r="N1317" s="2"/>
      <c r="O1317" s="2"/>
      <c r="P1317" s="2"/>
      <c r="Q1317" s="2"/>
      <c r="R1317" s="2"/>
      <c r="S1317" s="2"/>
      <c r="T1317" s="2"/>
      <c r="U1317" s="2"/>
      <c r="V1317" s="2"/>
      <c r="W1317" s="2" t="str">
        <f>IFERROR(__xludf.DUMMYFUNCTION("""COMPUTED_VALUE"""),"VL103D")</f>
        <v>VL103D</v>
      </c>
      <c r="X1317" s="2"/>
      <c r="Y1317" s="2"/>
      <c r="Z1317" s="2"/>
      <c r="AA1317" s="2"/>
      <c r="AB1317" s="2"/>
    </row>
    <row r="1318">
      <c r="A1318" s="2"/>
      <c r="B1318" s="2"/>
      <c r="C1318" s="2"/>
      <c r="D1318" s="2"/>
      <c r="E1318" s="2"/>
      <c r="F1318" s="2"/>
      <c r="G1318" s="2"/>
      <c r="H1318" s="2"/>
      <c r="I1318" s="2"/>
      <c r="J1318" s="2"/>
      <c r="K1318" s="2"/>
      <c r="L1318" s="2"/>
      <c r="M1318" s="2"/>
      <c r="N1318" s="2"/>
      <c r="O1318" s="2"/>
      <c r="P1318" s="2"/>
      <c r="Q1318" s="2"/>
      <c r="R1318" s="2"/>
      <c r="S1318" s="2"/>
      <c r="T1318" s="2"/>
      <c r="U1318" s="2"/>
      <c r="V1318" s="2"/>
      <c r="W1318" s="2" t="str">
        <f>IFERROR(__xludf.DUMMYFUNCTION("""COMPUTED_VALUE"""),"VL103D")</f>
        <v>VL103D</v>
      </c>
      <c r="X1318" s="2"/>
      <c r="Y1318" s="2"/>
      <c r="Z1318" s="2"/>
      <c r="AA1318" s="2"/>
      <c r="AB1318" s="2"/>
    </row>
    <row r="1319">
      <c r="A1319" s="2"/>
      <c r="B1319" s="2"/>
      <c r="C1319" s="2"/>
      <c r="D1319" s="2"/>
      <c r="E1319" s="2"/>
      <c r="F1319" s="2"/>
      <c r="G1319" s="2"/>
      <c r="H1319" s="2"/>
      <c r="I1319" s="2"/>
      <c r="J1319" s="2"/>
      <c r="K1319" s="2"/>
      <c r="L1319" s="2"/>
      <c r="M1319" s="2"/>
      <c r="N1319" s="2"/>
      <c r="O1319" s="2"/>
      <c r="P1319" s="2"/>
      <c r="Q1319" s="2"/>
      <c r="R1319" s="2"/>
      <c r="S1319" s="2"/>
      <c r="T1319" s="2"/>
      <c r="U1319" s="2"/>
      <c r="V1319" s="2"/>
      <c r="W1319" s="2" t="str">
        <f>IFERROR(__xludf.DUMMYFUNCTION("""COMPUTED_VALUE"""),"VL103D")</f>
        <v>VL103D</v>
      </c>
      <c r="X1319" s="2"/>
      <c r="Y1319" s="2"/>
      <c r="Z1319" s="2"/>
      <c r="AA1319" s="2"/>
      <c r="AB1319" s="2"/>
    </row>
    <row r="1320">
      <c r="A1320" s="2"/>
      <c r="B1320" s="2"/>
      <c r="C1320" s="2"/>
      <c r="D1320" s="2"/>
      <c r="E1320" s="2"/>
      <c r="F1320" s="2"/>
      <c r="G1320" s="2"/>
      <c r="H1320" s="2"/>
      <c r="I1320" s="2"/>
      <c r="J1320" s="2"/>
      <c r="K1320" s="2"/>
      <c r="L1320" s="2"/>
      <c r="M1320" s="2"/>
      <c r="N1320" s="2"/>
      <c r="O1320" s="2"/>
      <c r="P1320" s="2"/>
      <c r="Q1320" s="2"/>
      <c r="R1320" s="2"/>
      <c r="S1320" s="2"/>
      <c r="T1320" s="2"/>
      <c r="U1320" s="2"/>
      <c r="V1320" s="2"/>
      <c r="W1320" s="2" t="str">
        <f>IFERROR(__xludf.DUMMYFUNCTION("""COMPUTED_VALUE"""),"VL103D")</f>
        <v>VL103D</v>
      </c>
      <c r="X1320" s="2"/>
      <c r="Y1320" s="2"/>
      <c r="Z1320" s="2"/>
      <c r="AA1320" s="2"/>
      <c r="AB1320" s="2"/>
    </row>
    <row r="1321">
      <c r="A1321" s="2"/>
      <c r="B1321" s="2"/>
      <c r="C1321" s="2"/>
      <c r="D1321" s="2"/>
      <c r="E1321" s="2"/>
      <c r="F1321" s="2"/>
      <c r="G1321" s="2"/>
      <c r="H1321" s="2"/>
      <c r="I1321" s="2"/>
      <c r="J1321" s="2"/>
      <c r="K1321" s="2"/>
      <c r="L1321" s="2"/>
      <c r="M1321" s="2"/>
      <c r="N1321" s="2"/>
      <c r="O1321" s="2"/>
      <c r="P1321" s="2"/>
      <c r="Q1321" s="2"/>
      <c r="R1321" s="2"/>
      <c r="S1321" s="2"/>
      <c r="T1321" s="2"/>
      <c r="U1321" s="2"/>
      <c r="V1321" s="2"/>
      <c r="W1321" s="2" t="str">
        <f>IFERROR(__xludf.DUMMYFUNCTION("""COMPUTED_VALUE"""),"VL103D")</f>
        <v>VL103D</v>
      </c>
      <c r="X1321" s="2"/>
      <c r="Y1321" s="2"/>
      <c r="Z1321" s="2"/>
      <c r="AA1321" s="2"/>
      <c r="AB1321" s="2"/>
    </row>
    <row r="1322">
      <c r="A1322" s="2"/>
      <c r="B1322" s="2"/>
      <c r="C1322" s="2"/>
      <c r="D1322" s="2"/>
      <c r="E1322" s="2"/>
      <c r="F1322" s="2"/>
      <c r="G1322" s="2"/>
      <c r="H1322" s="2"/>
      <c r="I1322" s="2"/>
      <c r="J1322" s="2"/>
      <c r="K1322" s="2"/>
      <c r="L1322" s="2"/>
      <c r="M1322" s="2"/>
      <c r="N1322" s="2"/>
      <c r="O1322" s="2"/>
      <c r="P1322" s="2"/>
      <c r="Q1322" s="2"/>
      <c r="R1322" s="2"/>
      <c r="S1322" s="2"/>
      <c r="T1322" s="2"/>
      <c r="U1322" s="2"/>
      <c r="V1322" s="2"/>
      <c r="W1322" s="2" t="str">
        <f>IFERROR(__xludf.DUMMYFUNCTION("""COMPUTED_VALUE"""),"VL103D")</f>
        <v>VL103D</v>
      </c>
      <c r="X1322" s="2"/>
      <c r="Y1322" s="2"/>
      <c r="Z1322" s="2"/>
      <c r="AA1322" s="2"/>
      <c r="AB1322" s="2"/>
    </row>
    <row r="1323">
      <c r="A1323" s="2"/>
      <c r="B1323" s="2"/>
      <c r="C1323" s="2"/>
      <c r="D1323" s="2"/>
      <c r="E1323" s="2"/>
      <c r="F1323" s="2"/>
      <c r="G1323" s="2"/>
      <c r="H1323" s="2"/>
      <c r="I1323" s="2"/>
      <c r="J1323" s="2"/>
      <c r="K1323" s="2"/>
      <c r="L1323" s="2"/>
      <c r="M1323" s="2"/>
      <c r="N1323" s="2"/>
      <c r="O1323" s="2"/>
      <c r="P1323" s="2"/>
      <c r="Q1323" s="2"/>
      <c r="R1323" s="2"/>
      <c r="S1323" s="2"/>
      <c r="T1323" s="2"/>
      <c r="U1323" s="2"/>
      <c r="V1323" s="2"/>
      <c r="W1323" s="2" t="str">
        <f>IFERROR(__xludf.DUMMYFUNCTION("""COMPUTED_VALUE"""),"VL103D")</f>
        <v>VL103D</v>
      </c>
      <c r="X1323" s="2"/>
      <c r="Y1323" s="2"/>
      <c r="Z1323" s="2"/>
      <c r="AA1323" s="2"/>
      <c r="AB1323" s="2"/>
    </row>
    <row r="1324">
      <c r="A1324" s="2"/>
      <c r="B1324" s="2"/>
      <c r="C1324" s="2"/>
      <c r="D1324" s="2"/>
      <c r="E1324" s="2"/>
      <c r="F1324" s="2"/>
      <c r="G1324" s="2"/>
      <c r="H1324" s="2"/>
      <c r="I1324" s="2"/>
      <c r="J1324" s="2"/>
      <c r="K1324" s="2"/>
      <c r="L1324" s="2"/>
      <c r="M1324" s="2"/>
      <c r="N1324" s="2"/>
      <c r="O1324" s="2"/>
      <c r="P1324" s="2"/>
      <c r="Q1324" s="2"/>
      <c r="R1324" s="2"/>
      <c r="S1324" s="2"/>
      <c r="T1324" s="2"/>
      <c r="U1324" s="2"/>
      <c r="V1324" s="2"/>
      <c r="W1324" s="2" t="str">
        <f>IFERROR(__xludf.DUMMYFUNCTION("""COMPUTED_VALUE"""),"VL103D")</f>
        <v>VL103D</v>
      </c>
      <c r="X1324" s="2"/>
      <c r="Y1324" s="2"/>
      <c r="Z1324" s="2"/>
      <c r="AA1324" s="2"/>
      <c r="AB1324" s="2"/>
    </row>
    <row r="1325">
      <c r="A1325" s="2"/>
      <c r="B1325" s="2"/>
      <c r="C1325" s="2"/>
      <c r="D1325" s="2"/>
      <c r="E1325" s="2"/>
      <c r="F1325" s="2"/>
      <c r="G1325" s="2"/>
      <c r="H1325" s="2"/>
      <c r="I1325" s="2"/>
      <c r="J1325" s="2"/>
      <c r="K1325" s="2"/>
      <c r="L1325" s="2"/>
      <c r="M1325" s="2"/>
      <c r="N1325" s="2"/>
      <c r="O1325" s="2"/>
      <c r="P1325" s="2"/>
      <c r="Q1325" s="2"/>
      <c r="R1325" s="2"/>
      <c r="S1325" s="2"/>
      <c r="T1325" s="2"/>
      <c r="U1325" s="2"/>
      <c r="V1325" s="2"/>
      <c r="W1325" s="2" t="str">
        <f>IFERROR(__xludf.DUMMYFUNCTION("""COMPUTED_VALUE"""),"VL103D")</f>
        <v>VL103D</v>
      </c>
      <c r="X1325" s="2"/>
      <c r="Y1325" s="2"/>
      <c r="Z1325" s="2"/>
      <c r="AA1325" s="2"/>
      <c r="AB1325" s="2"/>
    </row>
    <row r="1326">
      <c r="A1326" s="2"/>
      <c r="B1326" s="2"/>
      <c r="C1326" s="2"/>
      <c r="D1326" s="2"/>
      <c r="E1326" s="2"/>
      <c r="F1326" s="2"/>
      <c r="G1326" s="2"/>
      <c r="H1326" s="2"/>
      <c r="I1326" s="2"/>
      <c r="J1326" s="2"/>
      <c r="K1326" s="2"/>
      <c r="L1326" s="2"/>
      <c r="M1326" s="2"/>
      <c r="N1326" s="2"/>
      <c r="O1326" s="2"/>
      <c r="P1326" s="2"/>
      <c r="Q1326" s="2"/>
      <c r="R1326" s="2"/>
      <c r="S1326" s="2"/>
      <c r="T1326" s="2"/>
      <c r="U1326" s="2"/>
      <c r="V1326" s="2"/>
      <c r="W1326" s="2" t="str">
        <f>IFERROR(__xludf.DUMMYFUNCTION("""COMPUTED_VALUE"""),"VL103D")</f>
        <v>VL103D</v>
      </c>
      <c r="X1326" s="2"/>
      <c r="Y1326" s="2"/>
      <c r="Z1326" s="2"/>
      <c r="AA1326" s="2"/>
      <c r="AB1326" s="2"/>
    </row>
    <row r="1327">
      <c r="A1327" s="2"/>
      <c r="B1327" s="2"/>
      <c r="C1327" s="2"/>
      <c r="D1327" s="2"/>
      <c r="E1327" s="2"/>
      <c r="F1327" s="2"/>
      <c r="G1327" s="2"/>
      <c r="H1327" s="2"/>
      <c r="I1327" s="2"/>
      <c r="J1327" s="2"/>
      <c r="K1327" s="2"/>
      <c r="L1327" s="2"/>
      <c r="M1327" s="2"/>
      <c r="N1327" s="2"/>
      <c r="O1327" s="2"/>
      <c r="P1327" s="2"/>
      <c r="Q1327" s="2"/>
      <c r="R1327" s="2"/>
      <c r="S1327" s="2"/>
      <c r="T1327" s="2"/>
      <c r="U1327" s="2"/>
      <c r="V1327" s="2"/>
      <c r="W1327" s="2" t="str">
        <f>IFERROR(__xludf.DUMMYFUNCTION("""COMPUTED_VALUE"""),"VL103D")</f>
        <v>VL103D</v>
      </c>
      <c r="X1327" s="2"/>
      <c r="Y1327" s="2"/>
      <c r="Z1327" s="2"/>
      <c r="AA1327" s="2"/>
      <c r="AB1327" s="2"/>
    </row>
    <row r="1328">
      <c r="A1328" s="2"/>
      <c r="B1328" s="2"/>
      <c r="C1328" s="2"/>
      <c r="D1328" s="2"/>
      <c r="E1328" s="2"/>
      <c r="F1328" s="2"/>
      <c r="G1328" s="2"/>
      <c r="H1328" s="2"/>
      <c r="I1328" s="2"/>
      <c r="J1328" s="2"/>
      <c r="K1328" s="2"/>
      <c r="L1328" s="2"/>
      <c r="M1328" s="2"/>
      <c r="N1328" s="2"/>
      <c r="O1328" s="2"/>
      <c r="P1328" s="2"/>
      <c r="Q1328" s="2"/>
      <c r="R1328" s="2"/>
      <c r="S1328" s="2"/>
      <c r="T1328" s="2"/>
      <c r="U1328" s="2"/>
      <c r="V1328" s="2"/>
      <c r="W1328" s="2" t="str">
        <f>IFERROR(__xludf.DUMMYFUNCTION("""COMPUTED_VALUE"""),"VL103D")</f>
        <v>VL103D</v>
      </c>
      <c r="X1328" s="2"/>
      <c r="Y1328" s="2"/>
      <c r="Z1328" s="2"/>
      <c r="AA1328" s="2"/>
      <c r="AB1328" s="2"/>
    </row>
    <row r="1329">
      <c r="A1329" s="2"/>
      <c r="B1329" s="2"/>
      <c r="C1329" s="2"/>
      <c r="D1329" s="2"/>
      <c r="E1329" s="2"/>
      <c r="F1329" s="2"/>
      <c r="G1329" s="2"/>
      <c r="H1329" s="2"/>
      <c r="I1329" s="2"/>
      <c r="J1329" s="2"/>
      <c r="K1329" s="2"/>
      <c r="L1329" s="2"/>
      <c r="M1329" s="2"/>
      <c r="N1329" s="2"/>
      <c r="O1329" s="2"/>
      <c r="P1329" s="2"/>
      <c r="Q1329" s="2"/>
      <c r="R1329" s="2"/>
      <c r="S1329" s="2"/>
      <c r="T1329" s="2"/>
      <c r="U1329" s="2"/>
      <c r="V1329" s="2"/>
      <c r="W1329" s="2" t="str">
        <f>IFERROR(__xludf.DUMMYFUNCTION("""COMPUTED_VALUE"""),"VL103D")</f>
        <v>VL103D</v>
      </c>
      <c r="X1329" s="2"/>
      <c r="Y1329" s="2"/>
      <c r="Z1329" s="2"/>
      <c r="AA1329" s="2"/>
      <c r="AB1329" s="2"/>
    </row>
    <row r="1330">
      <c r="A1330" s="2"/>
      <c r="B1330" s="2"/>
      <c r="C1330" s="2"/>
      <c r="D1330" s="2"/>
      <c r="E1330" s="2"/>
      <c r="F1330" s="2"/>
      <c r="G1330" s="2"/>
      <c r="H1330" s="2"/>
      <c r="I1330" s="2"/>
      <c r="J1330" s="2"/>
      <c r="K1330" s="2"/>
      <c r="L1330" s="2"/>
      <c r="M1330" s="2"/>
      <c r="N1330" s="2"/>
      <c r="O1330" s="2"/>
      <c r="P1330" s="2"/>
      <c r="Q1330" s="2"/>
      <c r="R1330" s="2"/>
      <c r="S1330" s="2"/>
      <c r="T1330" s="2"/>
      <c r="U1330" s="2"/>
      <c r="V1330" s="2"/>
      <c r="W1330" s="2" t="str">
        <f>IFERROR(__xludf.DUMMYFUNCTION("""COMPUTED_VALUE"""),"VL103D")</f>
        <v>VL103D</v>
      </c>
      <c r="X1330" s="2"/>
      <c r="Y1330" s="2"/>
      <c r="Z1330" s="2"/>
      <c r="AA1330" s="2"/>
      <c r="AB1330" s="2"/>
    </row>
    <row r="1331">
      <c r="A1331" s="2"/>
      <c r="B1331" s="2"/>
      <c r="C1331" s="2"/>
      <c r="D1331" s="2"/>
      <c r="E1331" s="2"/>
      <c r="F1331" s="2"/>
      <c r="G1331" s="2"/>
      <c r="H1331" s="2"/>
      <c r="I1331" s="2"/>
      <c r="J1331" s="2"/>
      <c r="K1331" s="2"/>
      <c r="L1331" s="2"/>
      <c r="M1331" s="2"/>
      <c r="N1331" s="2"/>
      <c r="O1331" s="2"/>
      <c r="P1331" s="2"/>
      <c r="Q1331" s="2"/>
      <c r="R1331" s="2"/>
      <c r="S1331" s="2"/>
      <c r="T1331" s="2"/>
      <c r="U1331" s="2"/>
      <c r="V1331" s="2"/>
      <c r="W1331" s="2" t="str">
        <f>IFERROR(__xludf.DUMMYFUNCTION("""COMPUTED_VALUE"""),"VL103D")</f>
        <v>VL103D</v>
      </c>
      <c r="X1331" s="2"/>
      <c r="Y1331" s="2"/>
      <c r="Z1331" s="2"/>
      <c r="AA1331" s="2"/>
      <c r="AB1331" s="2"/>
    </row>
    <row r="1332">
      <c r="A1332" s="2"/>
      <c r="B1332" s="2"/>
      <c r="C1332" s="2"/>
      <c r="D1332" s="2"/>
      <c r="E1332" s="2"/>
      <c r="F1332" s="2"/>
      <c r="G1332" s="2"/>
      <c r="H1332" s="2"/>
      <c r="I1332" s="2"/>
      <c r="J1332" s="2"/>
      <c r="K1332" s="2"/>
      <c r="L1332" s="2"/>
      <c r="M1332" s="2"/>
      <c r="N1332" s="2"/>
      <c r="O1332" s="2"/>
      <c r="P1332" s="2"/>
      <c r="Q1332" s="2"/>
      <c r="R1332" s="2"/>
      <c r="S1332" s="2"/>
      <c r="T1332" s="2"/>
      <c r="U1332" s="2"/>
      <c r="V1332" s="2"/>
      <c r="W1332" s="2" t="str">
        <f>IFERROR(__xludf.DUMMYFUNCTION("""COMPUTED_VALUE"""),"VL103D")</f>
        <v>VL103D</v>
      </c>
      <c r="X1332" s="2"/>
      <c r="Y1332" s="2"/>
      <c r="Z1332" s="2"/>
      <c r="AA1332" s="2"/>
      <c r="AB1332" s="2"/>
    </row>
    <row r="1333">
      <c r="A1333" s="2"/>
      <c r="B1333" s="2"/>
      <c r="C1333" s="2"/>
      <c r="D1333" s="2"/>
      <c r="E1333" s="2"/>
      <c r="F1333" s="2"/>
      <c r="G1333" s="2"/>
      <c r="H1333" s="2"/>
      <c r="I1333" s="2"/>
      <c r="J1333" s="2"/>
      <c r="K1333" s="2"/>
      <c r="L1333" s="2"/>
      <c r="M1333" s="2"/>
      <c r="N1333" s="2"/>
      <c r="O1333" s="2"/>
      <c r="P1333" s="2"/>
      <c r="Q1333" s="2"/>
      <c r="R1333" s="2"/>
      <c r="S1333" s="2"/>
      <c r="T1333" s="2"/>
      <c r="U1333" s="2"/>
      <c r="V1333" s="2"/>
      <c r="W1333" s="2" t="str">
        <f>IFERROR(__xludf.DUMMYFUNCTION("""COMPUTED_VALUE"""),"VL103D")</f>
        <v>VL103D</v>
      </c>
      <c r="X1333" s="2"/>
      <c r="Y1333" s="2"/>
      <c r="Z1333" s="2"/>
      <c r="AA1333" s="2"/>
      <c r="AB1333" s="2"/>
    </row>
    <row r="1334">
      <c r="A1334" s="2"/>
      <c r="B1334" s="2"/>
      <c r="C1334" s="2"/>
      <c r="D1334" s="2"/>
      <c r="E1334" s="2"/>
      <c r="F1334" s="2"/>
      <c r="G1334" s="2"/>
      <c r="H1334" s="2"/>
      <c r="I1334" s="2"/>
      <c r="J1334" s="2"/>
      <c r="K1334" s="2"/>
      <c r="L1334" s="2"/>
      <c r="M1334" s="2"/>
      <c r="N1334" s="2"/>
      <c r="O1334" s="2"/>
      <c r="P1334" s="2"/>
      <c r="Q1334" s="2"/>
      <c r="R1334" s="2"/>
      <c r="S1334" s="2"/>
      <c r="T1334" s="2"/>
      <c r="U1334" s="2"/>
      <c r="V1334" s="2"/>
      <c r="W1334" s="2" t="str">
        <f>IFERROR(__xludf.DUMMYFUNCTION("""COMPUTED_VALUE"""),"VL103D")</f>
        <v>VL103D</v>
      </c>
      <c r="X1334" s="2"/>
      <c r="Y1334" s="2"/>
      <c r="Z1334" s="2"/>
      <c r="AA1334" s="2"/>
      <c r="AB1334" s="2"/>
    </row>
    <row r="1335">
      <c r="A1335" s="2"/>
      <c r="B1335" s="2"/>
      <c r="C1335" s="2"/>
      <c r="D1335" s="2"/>
      <c r="E1335" s="2"/>
      <c r="F1335" s="2"/>
      <c r="G1335" s="2"/>
      <c r="H1335" s="2"/>
      <c r="I1335" s="2"/>
      <c r="J1335" s="2"/>
      <c r="K1335" s="2"/>
      <c r="L1335" s="2"/>
      <c r="M1335" s="2"/>
      <c r="N1335" s="2"/>
      <c r="O1335" s="2"/>
      <c r="P1335" s="2"/>
      <c r="Q1335" s="2"/>
      <c r="R1335" s="2"/>
      <c r="S1335" s="2"/>
      <c r="T1335" s="2"/>
      <c r="U1335" s="2"/>
      <c r="V1335" s="2"/>
      <c r="W1335" s="2" t="str">
        <f>IFERROR(__xludf.DUMMYFUNCTION("""COMPUTED_VALUE"""),"VL103D")</f>
        <v>VL103D</v>
      </c>
      <c r="X1335" s="2"/>
      <c r="Y1335" s="2"/>
      <c r="Z1335" s="2"/>
      <c r="AA1335" s="2"/>
      <c r="AB1335" s="2"/>
    </row>
    <row r="1336">
      <c r="A1336" s="2"/>
      <c r="B1336" s="2"/>
      <c r="C1336" s="2"/>
      <c r="D1336" s="2"/>
      <c r="E1336" s="2"/>
      <c r="F1336" s="2"/>
      <c r="G1336" s="2"/>
      <c r="H1336" s="2"/>
      <c r="I1336" s="2"/>
      <c r="J1336" s="2"/>
      <c r="K1336" s="2"/>
      <c r="L1336" s="2"/>
      <c r="M1336" s="2"/>
      <c r="N1336" s="2"/>
      <c r="O1336" s="2"/>
      <c r="P1336" s="2"/>
      <c r="Q1336" s="2"/>
      <c r="R1336" s="2"/>
      <c r="S1336" s="2"/>
      <c r="T1336" s="2"/>
      <c r="U1336" s="2"/>
      <c r="V1336" s="2"/>
      <c r="W1336" s="2" t="str">
        <f>IFERROR(__xludf.DUMMYFUNCTION("""COMPUTED_VALUE"""),"VL103D")</f>
        <v>VL103D</v>
      </c>
      <c r="X1336" s="2"/>
      <c r="Y1336" s="2"/>
      <c r="Z1336" s="2"/>
      <c r="AA1336" s="2"/>
      <c r="AB1336" s="2"/>
    </row>
    <row r="1337">
      <c r="A1337" s="2"/>
      <c r="B1337" s="2"/>
      <c r="C1337" s="2"/>
      <c r="D1337" s="2"/>
      <c r="E1337" s="2"/>
      <c r="F1337" s="2"/>
      <c r="G1337" s="2"/>
      <c r="H1337" s="2"/>
      <c r="I1337" s="2"/>
      <c r="J1337" s="2"/>
      <c r="K1337" s="2"/>
      <c r="L1337" s="2"/>
      <c r="M1337" s="2"/>
      <c r="N1337" s="2"/>
      <c r="O1337" s="2"/>
      <c r="P1337" s="2"/>
      <c r="Q1337" s="2"/>
      <c r="R1337" s="2"/>
      <c r="S1337" s="2"/>
      <c r="T1337" s="2"/>
      <c r="U1337" s="2"/>
      <c r="V1337" s="2"/>
      <c r="W1337" s="2" t="str">
        <f>IFERROR(__xludf.DUMMYFUNCTION("""COMPUTED_VALUE"""),"VL103D")</f>
        <v>VL103D</v>
      </c>
      <c r="X1337" s="2"/>
      <c r="Y1337" s="2"/>
      <c r="Z1337" s="2"/>
      <c r="AA1337" s="2"/>
      <c r="AB1337" s="2"/>
    </row>
    <row r="1338">
      <c r="A1338" s="2"/>
      <c r="B1338" s="2"/>
      <c r="C1338" s="2"/>
      <c r="D1338" s="2"/>
      <c r="E1338" s="2"/>
      <c r="F1338" s="2"/>
      <c r="G1338" s="2"/>
      <c r="H1338" s="2"/>
      <c r="I1338" s="2"/>
      <c r="J1338" s="2"/>
      <c r="K1338" s="2"/>
      <c r="L1338" s="2"/>
      <c r="M1338" s="2"/>
      <c r="N1338" s="2"/>
      <c r="O1338" s="2"/>
      <c r="P1338" s="2"/>
      <c r="Q1338" s="2"/>
      <c r="R1338" s="2"/>
      <c r="S1338" s="2"/>
      <c r="T1338" s="2"/>
      <c r="U1338" s="2"/>
      <c r="V1338" s="2"/>
      <c r="W1338" s="2" t="str">
        <f>IFERROR(__xludf.DUMMYFUNCTION("""COMPUTED_VALUE"""),"VL103D")</f>
        <v>VL103D</v>
      </c>
      <c r="X1338" s="2"/>
      <c r="Y1338" s="2"/>
      <c r="Z1338" s="2"/>
      <c r="AA1338" s="2"/>
      <c r="AB1338" s="2"/>
    </row>
    <row r="1339">
      <c r="A1339" s="2"/>
      <c r="B1339" s="2"/>
      <c r="C1339" s="2"/>
      <c r="D1339" s="2"/>
      <c r="E1339" s="2"/>
      <c r="F1339" s="2"/>
      <c r="G1339" s="2"/>
      <c r="H1339" s="2"/>
      <c r="I1339" s="2"/>
      <c r="J1339" s="2"/>
      <c r="K1339" s="2"/>
      <c r="L1339" s="2"/>
      <c r="M1339" s="2"/>
      <c r="N1339" s="2"/>
      <c r="O1339" s="2"/>
      <c r="P1339" s="2"/>
      <c r="Q1339" s="2"/>
      <c r="R1339" s="2"/>
      <c r="S1339" s="2"/>
      <c r="T1339" s="2"/>
      <c r="U1339" s="2"/>
      <c r="V1339" s="2"/>
      <c r="W1339" s="2" t="str">
        <f>IFERROR(__xludf.DUMMYFUNCTION("""COMPUTED_VALUE"""),"VL103D")</f>
        <v>VL103D</v>
      </c>
      <c r="X1339" s="2"/>
      <c r="Y1339" s="2"/>
      <c r="Z1339" s="2"/>
      <c r="AA1339" s="2"/>
      <c r="AB1339" s="2"/>
    </row>
    <row r="1340">
      <c r="A1340" s="2"/>
      <c r="B1340" s="2"/>
      <c r="C1340" s="2"/>
      <c r="D1340" s="2"/>
      <c r="E1340" s="2"/>
      <c r="F1340" s="2"/>
      <c r="G1340" s="2"/>
      <c r="H1340" s="2"/>
      <c r="I1340" s="2"/>
      <c r="J1340" s="2"/>
      <c r="K1340" s="2"/>
      <c r="L1340" s="2"/>
      <c r="M1340" s="2"/>
      <c r="N1340" s="2"/>
      <c r="O1340" s="2"/>
      <c r="P1340" s="2"/>
      <c r="Q1340" s="2"/>
      <c r="R1340" s="2"/>
      <c r="S1340" s="2"/>
      <c r="T1340" s="2"/>
      <c r="U1340" s="2"/>
      <c r="V1340" s="2"/>
      <c r="W1340" s="2" t="str">
        <f>IFERROR(__xludf.DUMMYFUNCTION("""COMPUTED_VALUE"""),"VL103D")</f>
        <v>VL103D</v>
      </c>
      <c r="X1340" s="2"/>
      <c r="Y1340" s="2"/>
      <c r="Z1340" s="2"/>
      <c r="AA1340" s="2"/>
      <c r="AB1340" s="2"/>
    </row>
    <row r="1341">
      <c r="A1341" s="2"/>
      <c r="B1341" s="2"/>
      <c r="C1341" s="2"/>
      <c r="D1341" s="2"/>
      <c r="E1341" s="2"/>
      <c r="F1341" s="2"/>
      <c r="G1341" s="2"/>
      <c r="H1341" s="2"/>
      <c r="I1341" s="2"/>
      <c r="J1341" s="2"/>
      <c r="K1341" s="2"/>
      <c r="L1341" s="2"/>
      <c r="M1341" s="2"/>
      <c r="N1341" s="2"/>
      <c r="O1341" s="2"/>
      <c r="P1341" s="2"/>
      <c r="Q1341" s="2"/>
      <c r="R1341" s="2"/>
      <c r="S1341" s="2"/>
      <c r="T1341" s="2"/>
      <c r="U1341" s="2"/>
      <c r="V1341" s="2"/>
      <c r="W1341" s="2" t="str">
        <f>IFERROR(__xludf.DUMMYFUNCTION("""COMPUTED_VALUE"""),"VL103D")</f>
        <v>VL103D</v>
      </c>
      <c r="X1341" s="2"/>
      <c r="Y1341" s="2"/>
      <c r="Z1341" s="2"/>
      <c r="AA1341" s="2"/>
      <c r="AB1341" s="2"/>
    </row>
    <row r="1342">
      <c r="A1342" s="2"/>
      <c r="B1342" s="2"/>
      <c r="C1342" s="2"/>
      <c r="D1342" s="2"/>
      <c r="E1342" s="2"/>
      <c r="F1342" s="2"/>
      <c r="G1342" s="2"/>
      <c r="H1342" s="2"/>
      <c r="I1342" s="2"/>
      <c r="J1342" s="2"/>
      <c r="K1342" s="2"/>
      <c r="L1342" s="2"/>
      <c r="M1342" s="2"/>
      <c r="N1342" s="2"/>
      <c r="O1342" s="2"/>
      <c r="P1342" s="2"/>
      <c r="Q1342" s="2"/>
      <c r="R1342" s="2"/>
      <c r="S1342" s="2"/>
      <c r="T1342" s="2"/>
      <c r="U1342" s="2"/>
      <c r="V1342" s="2"/>
      <c r="W1342" s="2" t="str">
        <f>IFERROR(__xludf.DUMMYFUNCTION("""COMPUTED_VALUE"""),"VL103D")</f>
        <v>VL103D</v>
      </c>
      <c r="X1342" s="2"/>
      <c r="Y1342" s="2"/>
      <c r="Z1342" s="2"/>
      <c r="AA1342" s="2"/>
      <c r="AB1342" s="2"/>
    </row>
    <row r="1343">
      <c r="A1343" s="2"/>
      <c r="B1343" s="2"/>
      <c r="C1343" s="2"/>
      <c r="D1343" s="2"/>
      <c r="E1343" s="2"/>
      <c r="F1343" s="2"/>
      <c r="G1343" s="2"/>
      <c r="H1343" s="2"/>
      <c r="I1343" s="2"/>
      <c r="J1343" s="2"/>
      <c r="K1343" s="2"/>
      <c r="L1343" s="2"/>
      <c r="M1343" s="2"/>
      <c r="N1343" s="2"/>
      <c r="O1343" s="2"/>
      <c r="P1343" s="2"/>
      <c r="Q1343" s="2"/>
      <c r="R1343" s="2"/>
      <c r="S1343" s="2"/>
      <c r="T1343" s="2"/>
      <c r="U1343" s="2"/>
      <c r="V1343" s="2"/>
      <c r="W1343" s="2" t="str">
        <f>IFERROR(__xludf.DUMMYFUNCTION("""COMPUTED_VALUE"""),"VL103D")</f>
        <v>VL103D</v>
      </c>
      <c r="X1343" s="2"/>
      <c r="Y1343" s="2"/>
      <c r="Z1343" s="2"/>
      <c r="AA1343" s="2"/>
      <c r="AB1343" s="2"/>
    </row>
    <row r="1344">
      <c r="A1344" s="2"/>
      <c r="B1344" s="2"/>
      <c r="C1344" s="2"/>
      <c r="D1344" s="2"/>
      <c r="E1344" s="2"/>
      <c r="F1344" s="2"/>
      <c r="G1344" s="2"/>
      <c r="H1344" s="2"/>
      <c r="I1344" s="2"/>
      <c r="J1344" s="2"/>
      <c r="K1344" s="2"/>
      <c r="L1344" s="2"/>
      <c r="M1344" s="2"/>
      <c r="N1344" s="2"/>
      <c r="O1344" s="2"/>
      <c r="P1344" s="2"/>
      <c r="Q1344" s="2"/>
      <c r="R1344" s="2"/>
      <c r="S1344" s="2"/>
      <c r="T1344" s="2"/>
      <c r="U1344" s="2"/>
      <c r="V1344" s="2"/>
      <c r="W1344" s="2" t="str">
        <f>IFERROR(__xludf.DUMMYFUNCTION("""COMPUTED_VALUE"""),"VL103D")</f>
        <v>VL103D</v>
      </c>
      <c r="X1344" s="2"/>
      <c r="Y1344" s="2"/>
      <c r="Z1344" s="2"/>
      <c r="AA1344" s="2"/>
      <c r="AB1344" s="2"/>
    </row>
    <row r="1345">
      <c r="A1345" s="2"/>
      <c r="B1345" s="2"/>
      <c r="C1345" s="2"/>
      <c r="D1345" s="2"/>
      <c r="E1345" s="2"/>
      <c r="F1345" s="2"/>
      <c r="G1345" s="2"/>
      <c r="H1345" s="2"/>
      <c r="I1345" s="2"/>
      <c r="J1345" s="2"/>
      <c r="K1345" s="2"/>
      <c r="L1345" s="2"/>
      <c r="M1345" s="2"/>
      <c r="N1345" s="2"/>
      <c r="O1345" s="2"/>
      <c r="P1345" s="2"/>
      <c r="Q1345" s="2"/>
      <c r="R1345" s="2"/>
      <c r="S1345" s="2"/>
      <c r="T1345" s="2"/>
      <c r="U1345" s="2"/>
      <c r="V1345" s="2"/>
      <c r="W1345" s="2" t="str">
        <f>IFERROR(__xludf.DUMMYFUNCTION("""COMPUTED_VALUE"""),"VL103D")</f>
        <v>VL103D</v>
      </c>
      <c r="X1345" s="2"/>
      <c r="Y1345" s="2"/>
      <c r="Z1345" s="2"/>
      <c r="AA1345" s="2"/>
      <c r="AB1345" s="2"/>
    </row>
    <row r="1346">
      <c r="A1346" s="2"/>
      <c r="B1346" s="2"/>
      <c r="C1346" s="2"/>
      <c r="D1346" s="2"/>
      <c r="E1346" s="2"/>
      <c r="F1346" s="2"/>
      <c r="G1346" s="2"/>
      <c r="H1346" s="2"/>
      <c r="I1346" s="2"/>
      <c r="J1346" s="2"/>
      <c r="K1346" s="2"/>
      <c r="L1346" s="2"/>
      <c r="M1346" s="2"/>
      <c r="N1346" s="2"/>
      <c r="O1346" s="2"/>
      <c r="P1346" s="2"/>
      <c r="Q1346" s="2"/>
      <c r="R1346" s="2"/>
      <c r="S1346" s="2"/>
      <c r="T1346" s="2"/>
      <c r="U1346" s="2"/>
      <c r="V1346" s="2"/>
      <c r="W1346" s="2" t="str">
        <f>IFERROR(__xludf.DUMMYFUNCTION("""COMPUTED_VALUE"""),"VL103D")</f>
        <v>VL103D</v>
      </c>
      <c r="X1346" s="2"/>
      <c r="Y1346" s="2"/>
      <c r="Z1346" s="2"/>
      <c r="AA1346" s="2"/>
      <c r="AB1346" s="2"/>
    </row>
    <row r="1347">
      <c r="A1347" s="2"/>
      <c r="B1347" s="2"/>
      <c r="C1347" s="2"/>
      <c r="D1347" s="2"/>
      <c r="E1347" s="2"/>
      <c r="F1347" s="2"/>
      <c r="G1347" s="2"/>
      <c r="H1347" s="2"/>
      <c r="I1347" s="2"/>
      <c r="J1347" s="2"/>
      <c r="K1347" s="2"/>
      <c r="L1347" s="2"/>
      <c r="M1347" s="2"/>
      <c r="N1347" s="2"/>
      <c r="O1347" s="2"/>
      <c r="P1347" s="2"/>
      <c r="Q1347" s="2"/>
      <c r="R1347" s="2"/>
      <c r="S1347" s="2"/>
      <c r="T1347" s="2"/>
      <c r="U1347" s="2"/>
      <c r="V1347" s="2"/>
      <c r="W1347" s="2" t="str">
        <f>IFERROR(__xludf.DUMMYFUNCTION("""COMPUTED_VALUE"""),"VL103D")</f>
        <v>VL103D</v>
      </c>
      <c r="X1347" s="2"/>
      <c r="Y1347" s="2"/>
      <c r="Z1347" s="2"/>
      <c r="AA1347" s="2"/>
      <c r="AB1347" s="2"/>
    </row>
    <row r="1348">
      <c r="A1348" s="2"/>
      <c r="B1348" s="2"/>
      <c r="C1348" s="2"/>
      <c r="D1348" s="2"/>
      <c r="E1348" s="2"/>
      <c r="F1348" s="2"/>
      <c r="G1348" s="2"/>
      <c r="H1348" s="2"/>
      <c r="I1348" s="2"/>
      <c r="J1348" s="2"/>
      <c r="K1348" s="2"/>
      <c r="L1348" s="2"/>
      <c r="M1348" s="2"/>
      <c r="N1348" s="2"/>
      <c r="O1348" s="2"/>
      <c r="P1348" s="2"/>
      <c r="Q1348" s="2"/>
      <c r="R1348" s="2"/>
      <c r="S1348" s="2"/>
      <c r="T1348" s="2"/>
      <c r="U1348" s="2"/>
      <c r="V1348" s="2"/>
      <c r="W1348" s="2" t="str">
        <f>IFERROR(__xludf.DUMMYFUNCTION("""COMPUTED_VALUE"""),"VL103D")</f>
        <v>VL103D</v>
      </c>
      <c r="X1348" s="2"/>
      <c r="Y1348" s="2"/>
      <c r="Z1348" s="2"/>
      <c r="AA1348" s="2"/>
      <c r="AB1348" s="2"/>
    </row>
    <row r="1349">
      <c r="A1349" s="2"/>
      <c r="B1349" s="2"/>
      <c r="C1349" s="2"/>
      <c r="D1349" s="2"/>
      <c r="E1349" s="2"/>
      <c r="F1349" s="2"/>
      <c r="G1349" s="2"/>
      <c r="H1349" s="2"/>
      <c r="I1349" s="2"/>
      <c r="J1349" s="2"/>
      <c r="K1349" s="2"/>
      <c r="L1349" s="2"/>
      <c r="M1349" s="2"/>
      <c r="N1349" s="2"/>
      <c r="O1349" s="2"/>
      <c r="P1349" s="2"/>
      <c r="Q1349" s="2"/>
      <c r="R1349" s="2"/>
      <c r="S1349" s="2"/>
      <c r="T1349" s="2"/>
      <c r="U1349" s="2"/>
      <c r="V1349" s="2"/>
      <c r="W1349" s="2" t="str">
        <f>IFERROR(__xludf.DUMMYFUNCTION("""COMPUTED_VALUE"""),"VL103D")</f>
        <v>VL103D</v>
      </c>
      <c r="X1349" s="2"/>
      <c r="Y1349" s="2"/>
      <c r="Z1349" s="2"/>
      <c r="AA1349" s="2"/>
      <c r="AB1349" s="2"/>
    </row>
    <row r="1350">
      <c r="A1350" s="2"/>
      <c r="B1350" s="2"/>
      <c r="C1350" s="2"/>
      <c r="D1350" s="2"/>
      <c r="E1350" s="2"/>
      <c r="F1350" s="2"/>
      <c r="G1350" s="2"/>
      <c r="H1350" s="2"/>
      <c r="I1350" s="2"/>
      <c r="J1350" s="2"/>
      <c r="K1350" s="2"/>
      <c r="L1350" s="2"/>
      <c r="M1350" s="2"/>
      <c r="N1350" s="2"/>
      <c r="O1350" s="2"/>
      <c r="P1350" s="2"/>
      <c r="Q1350" s="2"/>
      <c r="R1350" s="2"/>
      <c r="S1350" s="2"/>
      <c r="T1350" s="2"/>
      <c r="U1350" s="2"/>
      <c r="V1350" s="2"/>
      <c r="W1350" s="2" t="str">
        <f>IFERROR(__xludf.DUMMYFUNCTION("""COMPUTED_VALUE"""),"VL103D")</f>
        <v>VL103D</v>
      </c>
      <c r="X1350" s="2"/>
      <c r="Y1350" s="2"/>
      <c r="Z1350" s="2"/>
      <c r="AA1350" s="2"/>
      <c r="AB1350" s="2"/>
    </row>
    <row r="1351">
      <c r="A1351" s="2"/>
      <c r="B1351" s="2"/>
      <c r="C1351" s="2"/>
      <c r="D1351" s="2"/>
      <c r="E1351" s="2"/>
      <c r="F1351" s="2"/>
      <c r="G1351" s="2"/>
      <c r="H1351" s="2"/>
      <c r="I1351" s="2"/>
      <c r="J1351" s="2"/>
      <c r="K1351" s="2"/>
      <c r="L1351" s="2"/>
      <c r="M1351" s="2"/>
      <c r="N1351" s="2"/>
      <c r="O1351" s="2"/>
      <c r="P1351" s="2"/>
      <c r="Q1351" s="2"/>
      <c r="R1351" s="2"/>
      <c r="S1351" s="2"/>
      <c r="T1351" s="2"/>
      <c r="U1351" s="2"/>
      <c r="V1351" s="2"/>
      <c r="W1351" s="2" t="str">
        <f>IFERROR(__xludf.DUMMYFUNCTION("""COMPUTED_VALUE"""),"VL103D")</f>
        <v>VL103D</v>
      </c>
      <c r="X1351" s="2"/>
      <c r="Y1351" s="2"/>
      <c r="Z1351" s="2"/>
      <c r="AA1351" s="2"/>
      <c r="AB1351" s="2"/>
    </row>
    <row r="1352">
      <c r="A1352" s="2"/>
      <c r="B1352" s="2"/>
      <c r="C1352" s="2"/>
      <c r="D1352" s="2"/>
      <c r="E1352" s="2"/>
      <c r="F1352" s="2"/>
      <c r="G1352" s="2"/>
      <c r="H1352" s="2"/>
      <c r="I1352" s="2"/>
      <c r="J1352" s="2"/>
      <c r="K1352" s="2"/>
      <c r="L1352" s="2"/>
      <c r="M1352" s="2"/>
      <c r="N1352" s="2"/>
      <c r="O1352" s="2"/>
      <c r="P1352" s="2"/>
      <c r="Q1352" s="2"/>
      <c r="R1352" s="2"/>
      <c r="S1352" s="2"/>
      <c r="T1352" s="2"/>
      <c r="U1352" s="2"/>
      <c r="V1352" s="2"/>
      <c r="W1352" s="2" t="str">
        <f>IFERROR(__xludf.DUMMYFUNCTION("""COMPUTED_VALUE"""),"VL103D")</f>
        <v>VL103D</v>
      </c>
      <c r="X1352" s="2"/>
      <c r="Y1352" s="2"/>
      <c r="Z1352" s="2"/>
      <c r="AA1352" s="2"/>
      <c r="AB1352" s="2"/>
    </row>
    <row r="1353">
      <c r="A1353" s="2"/>
      <c r="B1353" s="2"/>
      <c r="C1353" s="2"/>
      <c r="D1353" s="2"/>
      <c r="E1353" s="2"/>
      <c r="F1353" s="2"/>
      <c r="G1353" s="2"/>
      <c r="H1353" s="2"/>
      <c r="I1353" s="2"/>
      <c r="J1353" s="2"/>
      <c r="K1353" s="2"/>
      <c r="L1353" s="2"/>
      <c r="M1353" s="2"/>
      <c r="N1353" s="2"/>
      <c r="O1353" s="2"/>
      <c r="P1353" s="2"/>
      <c r="Q1353" s="2"/>
      <c r="R1353" s="2"/>
      <c r="S1353" s="2"/>
      <c r="T1353" s="2"/>
      <c r="U1353" s="2"/>
      <c r="V1353" s="2"/>
      <c r="W1353" s="2" t="str">
        <f>IFERROR(__xludf.DUMMYFUNCTION("""COMPUTED_VALUE"""),"VL103D")</f>
        <v>VL103D</v>
      </c>
      <c r="X1353" s="2"/>
      <c r="Y1353" s="2"/>
      <c r="Z1353" s="2"/>
      <c r="AA1353" s="2"/>
      <c r="AB1353" s="2"/>
    </row>
    <row r="1354">
      <c r="A1354" s="2"/>
      <c r="B1354" s="2"/>
      <c r="C1354" s="2"/>
      <c r="D1354" s="2"/>
      <c r="E1354" s="2"/>
      <c r="F1354" s="2"/>
      <c r="G1354" s="2"/>
      <c r="H1354" s="2"/>
      <c r="I1354" s="2"/>
      <c r="J1354" s="2"/>
      <c r="K1354" s="2"/>
      <c r="L1354" s="2"/>
      <c r="M1354" s="2"/>
      <c r="N1354" s="2"/>
      <c r="O1354" s="2"/>
      <c r="P1354" s="2"/>
      <c r="Q1354" s="2"/>
      <c r="R1354" s="2"/>
      <c r="S1354" s="2"/>
      <c r="T1354" s="2"/>
      <c r="U1354" s="2"/>
      <c r="V1354" s="2"/>
      <c r="W1354" s="2" t="str">
        <f>IFERROR(__xludf.DUMMYFUNCTION("""COMPUTED_VALUE"""),"VL103D")</f>
        <v>VL103D</v>
      </c>
      <c r="X1354" s="2"/>
      <c r="Y1354" s="2"/>
      <c r="Z1354" s="2"/>
      <c r="AA1354" s="2"/>
      <c r="AB1354" s="2"/>
    </row>
    <row r="1355">
      <c r="A1355" s="2"/>
      <c r="B1355" s="2"/>
      <c r="C1355" s="2"/>
      <c r="D1355" s="2"/>
      <c r="E1355" s="2"/>
      <c r="F1355" s="2"/>
      <c r="G1355" s="2"/>
      <c r="H1355" s="2"/>
      <c r="I1355" s="2"/>
      <c r="J1355" s="2"/>
      <c r="K1355" s="2"/>
      <c r="L1355" s="2"/>
      <c r="M1355" s="2"/>
      <c r="N1355" s="2"/>
      <c r="O1355" s="2"/>
      <c r="P1355" s="2"/>
      <c r="Q1355" s="2"/>
      <c r="R1355" s="2"/>
      <c r="S1355" s="2"/>
      <c r="T1355" s="2"/>
      <c r="U1355" s="2"/>
      <c r="V1355" s="2"/>
      <c r="W1355" s="2" t="str">
        <f>IFERROR(__xludf.DUMMYFUNCTION("""COMPUTED_VALUE"""),"VL103D")</f>
        <v>VL103D</v>
      </c>
      <c r="X1355" s="2"/>
      <c r="Y1355" s="2"/>
      <c r="Z1355" s="2"/>
      <c r="AA1355" s="2"/>
      <c r="AB1355" s="2"/>
    </row>
    <row r="1356">
      <c r="A1356" s="2"/>
      <c r="B1356" s="2"/>
      <c r="C1356" s="2"/>
      <c r="D1356" s="2"/>
      <c r="E1356" s="2"/>
      <c r="F1356" s="2"/>
      <c r="G1356" s="2"/>
      <c r="H1356" s="2"/>
      <c r="I1356" s="2"/>
      <c r="J1356" s="2"/>
      <c r="K1356" s="2"/>
      <c r="L1356" s="2"/>
      <c r="M1356" s="2"/>
      <c r="N1356" s="2"/>
      <c r="O1356" s="2"/>
      <c r="P1356" s="2"/>
      <c r="Q1356" s="2"/>
      <c r="R1356" s="2"/>
      <c r="S1356" s="2"/>
      <c r="T1356" s="2"/>
      <c r="U1356" s="2"/>
      <c r="V1356" s="2"/>
      <c r="W1356" s="2" t="str">
        <f>IFERROR(__xludf.DUMMYFUNCTION("""COMPUTED_VALUE"""),"VL103D")</f>
        <v>VL103D</v>
      </c>
      <c r="X1356" s="2"/>
      <c r="Y1356" s="2"/>
      <c r="Z1356" s="2"/>
      <c r="AA1356" s="2"/>
      <c r="AB1356" s="2"/>
    </row>
    <row r="1357">
      <c r="A1357" s="2"/>
      <c r="B1357" s="2"/>
      <c r="C1357" s="2"/>
      <c r="D1357" s="2"/>
      <c r="E1357" s="2"/>
      <c r="F1357" s="2"/>
      <c r="G1357" s="2"/>
      <c r="H1357" s="2"/>
      <c r="I1357" s="2"/>
      <c r="J1357" s="2"/>
      <c r="K1357" s="2"/>
      <c r="L1357" s="2"/>
      <c r="M1357" s="2"/>
      <c r="N1357" s="2"/>
      <c r="O1357" s="2"/>
      <c r="P1357" s="2"/>
      <c r="Q1357" s="2"/>
      <c r="R1357" s="2"/>
      <c r="S1357" s="2"/>
      <c r="T1357" s="2"/>
      <c r="U1357" s="2"/>
      <c r="V1357" s="2"/>
      <c r="W1357" s="2" t="str">
        <f>IFERROR(__xludf.DUMMYFUNCTION("""COMPUTED_VALUE"""),"VL103D")</f>
        <v>VL103D</v>
      </c>
      <c r="X1357" s="2"/>
      <c r="Y1357" s="2"/>
      <c r="Z1357" s="2"/>
      <c r="AA1357" s="2"/>
      <c r="AB1357" s="2"/>
    </row>
    <row r="1358">
      <c r="A1358" s="2"/>
      <c r="B1358" s="2"/>
      <c r="C1358" s="2"/>
      <c r="D1358" s="2"/>
      <c r="E1358" s="2"/>
      <c r="F1358" s="2"/>
      <c r="G1358" s="2"/>
      <c r="H1358" s="2"/>
      <c r="I1358" s="2"/>
      <c r="J1358" s="2"/>
      <c r="K1358" s="2"/>
      <c r="L1358" s="2"/>
      <c r="M1358" s="2"/>
      <c r="N1358" s="2"/>
      <c r="O1358" s="2"/>
      <c r="P1358" s="2"/>
      <c r="Q1358" s="2"/>
      <c r="R1358" s="2"/>
      <c r="S1358" s="2"/>
      <c r="T1358" s="2"/>
      <c r="U1358" s="2"/>
      <c r="V1358" s="2"/>
      <c r="W1358" s="2" t="str">
        <f>IFERROR(__xludf.DUMMYFUNCTION("""COMPUTED_VALUE"""),"VL103D")</f>
        <v>VL103D</v>
      </c>
      <c r="X1358" s="2"/>
      <c r="Y1358" s="2"/>
      <c r="Z1358" s="2"/>
      <c r="AA1358" s="2"/>
      <c r="AB1358" s="2"/>
    </row>
    <row r="1359">
      <c r="A1359" s="2"/>
      <c r="B1359" s="2"/>
      <c r="C1359" s="2"/>
      <c r="D1359" s="2"/>
      <c r="E1359" s="2"/>
      <c r="F1359" s="2"/>
      <c r="G1359" s="2"/>
      <c r="H1359" s="2"/>
      <c r="I1359" s="2"/>
      <c r="J1359" s="2"/>
      <c r="K1359" s="2"/>
      <c r="L1359" s="2"/>
      <c r="M1359" s="2"/>
      <c r="N1359" s="2"/>
      <c r="O1359" s="2"/>
      <c r="P1359" s="2"/>
      <c r="Q1359" s="2"/>
      <c r="R1359" s="2"/>
      <c r="S1359" s="2"/>
      <c r="T1359" s="2"/>
      <c r="U1359" s="2"/>
      <c r="V1359" s="2"/>
      <c r="W1359" s="2" t="str">
        <f>IFERROR(__xludf.DUMMYFUNCTION("""COMPUTED_VALUE"""),"VL103D")</f>
        <v>VL103D</v>
      </c>
      <c r="X1359" s="2"/>
      <c r="Y1359" s="2"/>
      <c r="Z1359" s="2"/>
      <c r="AA1359" s="2"/>
      <c r="AB1359" s="2"/>
    </row>
    <row r="1360">
      <c r="A1360" s="2"/>
      <c r="B1360" s="2"/>
      <c r="C1360" s="2"/>
      <c r="D1360" s="2"/>
      <c r="E1360" s="2"/>
      <c r="F1360" s="2"/>
      <c r="G1360" s="2"/>
      <c r="H1360" s="2"/>
      <c r="I1360" s="2"/>
      <c r="J1360" s="2"/>
      <c r="K1360" s="2"/>
      <c r="L1360" s="2"/>
      <c r="M1360" s="2"/>
      <c r="N1360" s="2"/>
      <c r="O1360" s="2"/>
      <c r="P1360" s="2"/>
      <c r="Q1360" s="2"/>
      <c r="R1360" s="2"/>
      <c r="S1360" s="2"/>
      <c r="T1360" s="2"/>
      <c r="U1360" s="2"/>
      <c r="V1360" s="2"/>
      <c r="W1360" s="2" t="str">
        <f>IFERROR(__xludf.DUMMYFUNCTION("""COMPUTED_VALUE"""),"VL103D")</f>
        <v>VL103D</v>
      </c>
      <c r="X1360" s="2"/>
      <c r="Y1360" s="2"/>
      <c r="Z1360" s="2"/>
      <c r="AA1360" s="2"/>
      <c r="AB1360" s="2"/>
    </row>
    <row r="1361">
      <c r="A1361" s="2"/>
      <c r="B1361" s="2"/>
      <c r="C1361" s="2"/>
      <c r="D1361" s="2"/>
      <c r="E1361" s="2"/>
      <c r="F1361" s="2"/>
      <c r="G1361" s="2"/>
      <c r="H1361" s="2"/>
      <c r="I1361" s="2"/>
      <c r="J1361" s="2"/>
      <c r="K1361" s="2"/>
      <c r="L1361" s="2"/>
      <c r="M1361" s="2"/>
      <c r="N1361" s="2"/>
      <c r="O1361" s="2"/>
      <c r="P1361" s="2"/>
      <c r="Q1361" s="2"/>
      <c r="R1361" s="2"/>
      <c r="S1361" s="2"/>
      <c r="T1361" s="2"/>
      <c r="U1361" s="2"/>
      <c r="V1361" s="2"/>
      <c r="W1361" s="2" t="str">
        <f>IFERROR(__xludf.DUMMYFUNCTION("""COMPUTED_VALUE"""),"VL103D")</f>
        <v>VL103D</v>
      </c>
      <c r="X1361" s="2"/>
      <c r="Y1361" s="2"/>
      <c r="Z1361" s="2"/>
      <c r="AA1361" s="2"/>
      <c r="AB1361" s="2"/>
    </row>
    <row r="1362">
      <c r="A1362" s="2"/>
      <c r="B1362" s="2"/>
      <c r="C1362" s="2"/>
      <c r="D1362" s="2"/>
      <c r="E1362" s="2"/>
      <c r="F1362" s="2"/>
      <c r="G1362" s="2"/>
      <c r="H1362" s="2"/>
      <c r="I1362" s="2"/>
      <c r="J1362" s="2"/>
      <c r="K1362" s="2"/>
      <c r="L1362" s="2"/>
      <c r="M1362" s="2"/>
      <c r="N1362" s="2"/>
      <c r="O1362" s="2"/>
      <c r="P1362" s="2"/>
      <c r="Q1362" s="2"/>
      <c r="R1362" s="2"/>
      <c r="S1362" s="2"/>
      <c r="T1362" s="2"/>
      <c r="U1362" s="2"/>
      <c r="V1362" s="2"/>
      <c r="W1362" s="2" t="str">
        <f>IFERROR(__xludf.DUMMYFUNCTION("""COMPUTED_VALUE"""),"VL103D")</f>
        <v>VL103D</v>
      </c>
      <c r="X1362" s="2"/>
      <c r="Y1362" s="2"/>
      <c r="Z1362" s="2"/>
      <c r="AA1362" s="2"/>
      <c r="AB1362" s="2"/>
    </row>
    <row r="1363">
      <c r="A1363" s="2"/>
      <c r="B1363" s="2"/>
      <c r="C1363" s="2"/>
      <c r="D1363" s="2"/>
      <c r="E1363" s="2"/>
      <c r="F1363" s="2"/>
      <c r="G1363" s="2"/>
      <c r="H1363" s="2"/>
      <c r="I1363" s="2"/>
      <c r="J1363" s="2"/>
      <c r="K1363" s="2"/>
      <c r="L1363" s="2"/>
      <c r="M1363" s="2"/>
      <c r="N1363" s="2"/>
      <c r="O1363" s="2"/>
      <c r="P1363" s="2"/>
      <c r="Q1363" s="2"/>
      <c r="R1363" s="2"/>
      <c r="S1363" s="2"/>
      <c r="T1363" s="2"/>
      <c r="U1363" s="2"/>
      <c r="V1363" s="2"/>
      <c r="W1363" s="2" t="str">
        <f>IFERROR(__xludf.DUMMYFUNCTION("""COMPUTED_VALUE"""),"VL103D")</f>
        <v>VL103D</v>
      </c>
      <c r="X1363" s="2"/>
      <c r="Y1363" s="2"/>
      <c r="Z1363" s="2"/>
      <c r="AA1363" s="2"/>
      <c r="AB1363" s="2"/>
    </row>
    <row r="1364">
      <c r="A1364" s="2"/>
      <c r="B1364" s="2"/>
      <c r="C1364" s="2"/>
      <c r="D1364" s="2"/>
      <c r="E1364" s="2"/>
      <c r="F1364" s="2"/>
      <c r="G1364" s="2"/>
      <c r="H1364" s="2"/>
      <c r="I1364" s="2"/>
      <c r="J1364" s="2"/>
      <c r="K1364" s="2"/>
      <c r="L1364" s="2"/>
      <c r="M1364" s="2"/>
      <c r="N1364" s="2"/>
      <c r="O1364" s="2"/>
      <c r="P1364" s="2"/>
      <c r="Q1364" s="2"/>
      <c r="R1364" s="2"/>
      <c r="S1364" s="2"/>
      <c r="T1364" s="2"/>
      <c r="U1364" s="2"/>
      <c r="V1364" s="2"/>
      <c r="W1364" s="2" t="str">
        <f>IFERROR(__xludf.DUMMYFUNCTION("""COMPUTED_VALUE"""),"VL103D")</f>
        <v>VL103D</v>
      </c>
      <c r="X1364" s="2"/>
      <c r="Y1364" s="2"/>
      <c r="Z1364" s="2"/>
      <c r="AA1364" s="2"/>
      <c r="AB1364" s="2"/>
    </row>
    <row r="1365">
      <c r="A1365" s="2"/>
      <c r="B1365" s="2"/>
      <c r="C1365" s="2"/>
      <c r="D1365" s="2"/>
      <c r="E1365" s="2"/>
      <c r="F1365" s="2"/>
      <c r="G1365" s="2"/>
      <c r="H1365" s="2"/>
      <c r="I1365" s="2"/>
      <c r="J1365" s="2"/>
      <c r="K1365" s="2"/>
      <c r="L1365" s="2"/>
      <c r="M1365" s="2"/>
      <c r="N1365" s="2"/>
      <c r="O1365" s="2"/>
      <c r="P1365" s="2"/>
      <c r="Q1365" s="2"/>
      <c r="R1365" s="2"/>
      <c r="S1365" s="2"/>
      <c r="T1365" s="2"/>
      <c r="U1365" s="2"/>
      <c r="V1365" s="2"/>
      <c r="W1365" s="2" t="str">
        <f>IFERROR(__xludf.DUMMYFUNCTION("""COMPUTED_VALUE"""),"VL103D")</f>
        <v>VL103D</v>
      </c>
      <c r="X1365" s="2"/>
      <c r="Y1365" s="2"/>
      <c r="Z1365" s="2"/>
      <c r="AA1365" s="2"/>
      <c r="AB1365" s="2"/>
    </row>
    <row r="1366">
      <c r="A1366" s="2"/>
      <c r="B1366" s="2"/>
      <c r="C1366" s="2"/>
      <c r="D1366" s="2"/>
      <c r="E1366" s="2"/>
      <c r="F1366" s="2"/>
      <c r="G1366" s="2"/>
      <c r="H1366" s="2"/>
      <c r="I1366" s="2"/>
      <c r="J1366" s="2"/>
      <c r="K1366" s="2"/>
      <c r="L1366" s="2"/>
      <c r="M1366" s="2"/>
      <c r="N1366" s="2"/>
      <c r="O1366" s="2"/>
      <c r="P1366" s="2"/>
      <c r="Q1366" s="2"/>
      <c r="R1366" s="2"/>
      <c r="S1366" s="2"/>
      <c r="T1366" s="2"/>
      <c r="U1366" s="2"/>
      <c r="V1366" s="2"/>
      <c r="W1366" s="2" t="str">
        <f>IFERROR(__xludf.DUMMYFUNCTION("""COMPUTED_VALUE"""),"VL103D")</f>
        <v>VL103D</v>
      </c>
      <c r="X1366" s="2"/>
      <c r="Y1366" s="2"/>
      <c r="Z1366" s="2"/>
      <c r="AA1366" s="2"/>
      <c r="AB1366" s="2"/>
    </row>
    <row r="1367">
      <c r="A1367" s="2"/>
      <c r="B1367" s="2"/>
      <c r="C1367" s="2"/>
      <c r="D1367" s="2"/>
      <c r="E1367" s="2"/>
      <c r="F1367" s="2"/>
      <c r="G1367" s="2"/>
      <c r="H1367" s="2"/>
      <c r="I1367" s="2"/>
      <c r="J1367" s="2"/>
      <c r="K1367" s="2"/>
      <c r="L1367" s="2"/>
      <c r="M1367" s="2"/>
      <c r="N1367" s="2"/>
      <c r="O1367" s="2"/>
      <c r="P1367" s="2"/>
      <c r="Q1367" s="2"/>
      <c r="R1367" s="2"/>
      <c r="S1367" s="2"/>
      <c r="T1367" s="2"/>
      <c r="U1367" s="2"/>
      <c r="V1367" s="2"/>
      <c r="W1367" s="2" t="str">
        <f>IFERROR(__xludf.DUMMYFUNCTION("""COMPUTED_VALUE"""),"VL103D")</f>
        <v>VL103D</v>
      </c>
      <c r="X1367" s="2"/>
      <c r="Y1367" s="2"/>
      <c r="Z1367" s="2"/>
      <c r="AA1367" s="2"/>
      <c r="AB1367" s="2"/>
    </row>
    <row r="1368">
      <c r="A1368" s="2"/>
      <c r="B1368" s="2"/>
      <c r="C1368" s="2"/>
      <c r="D1368" s="2"/>
      <c r="E1368" s="2"/>
      <c r="F1368" s="2"/>
      <c r="G1368" s="2"/>
      <c r="H1368" s="2"/>
      <c r="I1368" s="2"/>
      <c r="J1368" s="2"/>
      <c r="K1368" s="2"/>
      <c r="L1368" s="2"/>
      <c r="M1368" s="2"/>
      <c r="N1368" s="2"/>
      <c r="O1368" s="2"/>
      <c r="P1368" s="2"/>
      <c r="Q1368" s="2"/>
      <c r="R1368" s="2"/>
      <c r="S1368" s="2"/>
      <c r="T1368" s="2"/>
      <c r="U1368" s="2"/>
      <c r="V1368" s="2"/>
      <c r="W1368" s="2" t="str">
        <f>IFERROR(__xludf.DUMMYFUNCTION("""COMPUTED_VALUE"""),"VL103D")</f>
        <v>VL103D</v>
      </c>
      <c r="X1368" s="2"/>
      <c r="Y1368" s="2"/>
      <c r="Z1368" s="2"/>
      <c r="AA1368" s="2"/>
      <c r="AB1368" s="2"/>
    </row>
    <row r="1369">
      <c r="A1369" s="2"/>
      <c r="B1369" s="2"/>
      <c r="C1369" s="2"/>
      <c r="D1369" s="2"/>
      <c r="E1369" s="2"/>
      <c r="F1369" s="2"/>
      <c r="G1369" s="2"/>
      <c r="H1369" s="2"/>
      <c r="I1369" s="2"/>
      <c r="J1369" s="2"/>
      <c r="K1369" s="2"/>
      <c r="L1369" s="2"/>
      <c r="M1369" s="2"/>
      <c r="N1369" s="2"/>
      <c r="O1369" s="2"/>
      <c r="P1369" s="2"/>
      <c r="Q1369" s="2"/>
      <c r="R1369" s="2"/>
      <c r="S1369" s="2"/>
      <c r="T1369" s="2"/>
      <c r="U1369" s="2"/>
      <c r="V1369" s="2"/>
      <c r="W1369" s="2" t="str">
        <f>IFERROR(__xludf.DUMMYFUNCTION("""COMPUTED_VALUE"""),"VL103D")</f>
        <v>VL103D</v>
      </c>
      <c r="X1369" s="2"/>
      <c r="Y1369" s="2"/>
      <c r="Z1369" s="2"/>
      <c r="AA1369" s="2"/>
      <c r="AB1369" s="2"/>
    </row>
    <row r="1370">
      <c r="A1370" s="2"/>
      <c r="B1370" s="2"/>
      <c r="C1370" s="2"/>
      <c r="D1370" s="2"/>
      <c r="E1370" s="2"/>
      <c r="F1370" s="2"/>
      <c r="G1370" s="2"/>
      <c r="H1370" s="2"/>
      <c r="I1370" s="2"/>
      <c r="J1370" s="2"/>
      <c r="K1370" s="2"/>
      <c r="L1370" s="2"/>
      <c r="M1370" s="2"/>
      <c r="N1370" s="2"/>
      <c r="O1370" s="2"/>
      <c r="P1370" s="2"/>
      <c r="Q1370" s="2"/>
      <c r="R1370" s="2"/>
      <c r="S1370" s="2"/>
      <c r="T1370" s="2"/>
      <c r="U1370" s="2"/>
      <c r="V1370" s="2"/>
      <c r="W1370" s="2" t="str">
        <f>IFERROR(__xludf.DUMMYFUNCTION("""COMPUTED_VALUE"""),"VL103D")</f>
        <v>VL103D</v>
      </c>
      <c r="X1370" s="2"/>
      <c r="Y1370" s="2"/>
      <c r="Z1370" s="2"/>
      <c r="AA1370" s="2"/>
      <c r="AB1370" s="2"/>
    </row>
    <row r="1371">
      <c r="A1371" s="2"/>
      <c r="B1371" s="2"/>
      <c r="C1371" s="2"/>
      <c r="D1371" s="2"/>
      <c r="E1371" s="2"/>
      <c r="F1371" s="2"/>
      <c r="G1371" s="2"/>
      <c r="H1371" s="2"/>
      <c r="I1371" s="2"/>
      <c r="J1371" s="2"/>
      <c r="K1371" s="2"/>
      <c r="L1371" s="2"/>
      <c r="M1371" s="2"/>
      <c r="N1371" s="2"/>
      <c r="O1371" s="2"/>
      <c r="P1371" s="2"/>
      <c r="Q1371" s="2"/>
      <c r="R1371" s="2"/>
      <c r="S1371" s="2"/>
      <c r="T1371" s="2"/>
      <c r="U1371" s="2"/>
      <c r="V1371" s="2"/>
      <c r="W1371" s="2" t="str">
        <f>IFERROR(__xludf.DUMMYFUNCTION("""COMPUTED_VALUE"""),"VL103D")</f>
        <v>VL103D</v>
      </c>
      <c r="X1371" s="2"/>
      <c r="Y1371" s="2"/>
      <c r="Z1371" s="2"/>
      <c r="AA1371" s="2"/>
      <c r="AB1371" s="2"/>
    </row>
    <row r="1372">
      <c r="A1372" s="2"/>
      <c r="B1372" s="2"/>
      <c r="C1372" s="2"/>
      <c r="D1372" s="2"/>
      <c r="E1372" s="2"/>
      <c r="F1372" s="2"/>
      <c r="G1372" s="2"/>
      <c r="H1372" s="2"/>
      <c r="I1372" s="2"/>
      <c r="J1372" s="2"/>
      <c r="K1372" s="2"/>
      <c r="L1372" s="2"/>
      <c r="M1372" s="2"/>
      <c r="N1372" s="2"/>
      <c r="O1372" s="2"/>
      <c r="P1372" s="2"/>
      <c r="Q1372" s="2"/>
      <c r="R1372" s="2"/>
      <c r="S1372" s="2"/>
      <c r="T1372" s="2"/>
      <c r="U1372" s="2"/>
      <c r="V1372" s="2"/>
      <c r="W1372" s="2" t="str">
        <f>IFERROR(__xludf.DUMMYFUNCTION("""COMPUTED_VALUE"""),"VL103D")</f>
        <v>VL103D</v>
      </c>
      <c r="X1372" s="2"/>
      <c r="Y1372" s="2"/>
      <c r="Z1372" s="2"/>
      <c r="AA1372" s="2"/>
      <c r="AB1372" s="2"/>
    </row>
    <row r="1373">
      <c r="A1373" s="2"/>
      <c r="B1373" s="2"/>
      <c r="C1373" s="2"/>
      <c r="D1373" s="2"/>
      <c r="E1373" s="2"/>
      <c r="F1373" s="2"/>
      <c r="G1373" s="2"/>
      <c r="H1373" s="2"/>
      <c r="I1373" s="2"/>
      <c r="J1373" s="2"/>
      <c r="K1373" s="2"/>
      <c r="L1373" s="2"/>
      <c r="M1373" s="2"/>
      <c r="N1373" s="2"/>
      <c r="O1373" s="2"/>
      <c r="P1373" s="2"/>
      <c r="Q1373" s="2"/>
      <c r="R1373" s="2"/>
      <c r="S1373" s="2"/>
      <c r="T1373" s="2"/>
      <c r="U1373" s="2"/>
      <c r="V1373" s="2"/>
      <c r="W1373" s="2" t="str">
        <f>IFERROR(__xludf.DUMMYFUNCTION("""COMPUTED_VALUE"""),"VL103D")</f>
        <v>VL103D</v>
      </c>
      <c r="X1373" s="2"/>
      <c r="Y1373" s="2"/>
      <c r="Z1373" s="2"/>
      <c r="AA1373" s="2"/>
      <c r="AB1373" s="2"/>
    </row>
    <row r="1374">
      <c r="A1374" s="2"/>
      <c r="B1374" s="2"/>
      <c r="C1374" s="2"/>
      <c r="D1374" s="2"/>
      <c r="E1374" s="2"/>
      <c r="F1374" s="2"/>
      <c r="G1374" s="2"/>
      <c r="H1374" s="2"/>
      <c r="I1374" s="2"/>
      <c r="J1374" s="2"/>
      <c r="K1374" s="2"/>
      <c r="L1374" s="2"/>
      <c r="M1374" s="2"/>
      <c r="N1374" s="2"/>
      <c r="O1374" s="2"/>
      <c r="P1374" s="2"/>
      <c r="Q1374" s="2"/>
      <c r="R1374" s="2"/>
      <c r="S1374" s="2"/>
      <c r="T1374" s="2"/>
      <c r="U1374" s="2"/>
      <c r="V1374" s="2"/>
      <c r="W1374" s="2" t="str">
        <f>IFERROR(__xludf.DUMMYFUNCTION("""COMPUTED_VALUE"""),"VL103D")</f>
        <v>VL103D</v>
      </c>
      <c r="X1374" s="2"/>
      <c r="Y1374" s="2"/>
      <c r="Z1374" s="2"/>
      <c r="AA1374" s="2"/>
      <c r="AB1374" s="2"/>
    </row>
    <row r="1375">
      <c r="A1375" s="2"/>
      <c r="B1375" s="2"/>
      <c r="C1375" s="2"/>
      <c r="D1375" s="2"/>
      <c r="E1375" s="2"/>
      <c r="F1375" s="2"/>
      <c r="G1375" s="2"/>
      <c r="H1375" s="2"/>
      <c r="I1375" s="2"/>
      <c r="J1375" s="2"/>
      <c r="K1375" s="2"/>
      <c r="L1375" s="2"/>
      <c r="M1375" s="2"/>
      <c r="N1375" s="2"/>
      <c r="O1375" s="2"/>
      <c r="P1375" s="2"/>
      <c r="Q1375" s="2"/>
      <c r="R1375" s="2"/>
      <c r="S1375" s="2"/>
      <c r="T1375" s="2"/>
      <c r="U1375" s="2"/>
      <c r="V1375" s="2"/>
      <c r="W1375" s="2" t="str">
        <f>IFERROR(__xludf.DUMMYFUNCTION("""COMPUTED_VALUE"""),"VL103D")</f>
        <v>VL103D</v>
      </c>
      <c r="X1375" s="2"/>
      <c r="Y1375" s="2"/>
      <c r="Z1375" s="2"/>
      <c r="AA1375" s="2"/>
      <c r="AB1375" s="2"/>
    </row>
    <row r="1376">
      <c r="A1376" s="2"/>
      <c r="B1376" s="2"/>
      <c r="C1376" s="2"/>
      <c r="D1376" s="2"/>
      <c r="E1376" s="2"/>
      <c r="F1376" s="2"/>
      <c r="G1376" s="2"/>
      <c r="H1376" s="2"/>
      <c r="I1376" s="2"/>
      <c r="J1376" s="2"/>
      <c r="K1376" s="2"/>
      <c r="L1376" s="2"/>
      <c r="M1376" s="2"/>
      <c r="N1376" s="2"/>
      <c r="O1376" s="2"/>
      <c r="P1376" s="2"/>
      <c r="Q1376" s="2"/>
      <c r="R1376" s="2"/>
      <c r="S1376" s="2"/>
      <c r="T1376" s="2"/>
      <c r="U1376" s="2"/>
      <c r="V1376" s="2"/>
      <c r="W1376" s="2" t="str">
        <f>IFERROR(__xludf.DUMMYFUNCTION("""COMPUTED_VALUE"""),"VL103D")</f>
        <v>VL103D</v>
      </c>
      <c r="X1376" s="2"/>
      <c r="Y1376" s="2"/>
      <c r="Z1376" s="2"/>
      <c r="AA1376" s="2"/>
      <c r="AB1376" s="2"/>
    </row>
    <row r="1377">
      <c r="A1377" s="2"/>
      <c r="B1377" s="2"/>
      <c r="C1377" s="2"/>
      <c r="D1377" s="2"/>
      <c r="E1377" s="2"/>
      <c r="F1377" s="2"/>
      <c r="G1377" s="2"/>
      <c r="H1377" s="2"/>
      <c r="I1377" s="2"/>
      <c r="J1377" s="2"/>
      <c r="K1377" s="2"/>
      <c r="L1377" s="2"/>
      <c r="M1377" s="2"/>
      <c r="N1377" s="2"/>
      <c r="O1377" s="2"/>
      <c r="P1377" s="2"/>
      <c r="Q1377" s="2"/>
      <c r="R1377" s="2"/>
      <c r="S1377" s="2"/>
      <c r="T1377" s="2"/>
      <c r="U1377" s="2"/>
      <c r="V1377" s="2"/>
      <c r="W1377" s="2" t="str">
        <f>IFERROR(__xludf.DUMMYFUNCTION("""COMPUTED_VALUE"""),"VL103D")</f>
        <v>VL103D</v>
      </c>
      <c r="X1377" s="2"/>
      <c r="Y1377" s="2"/>
      <c r="Z1377" s="2"/>
      <c r="AA1377" s="2"/>
      <c r="AB1377" s="2"/>
    </row>
    <row r="1378">
      <c r="A1378" s="2"/>
      <c r="B1378" s="2"/>
      <c r="C1378" s="2"/>
      <c r="D1378" s="2"/>
      <c r="E1378" s="2"/>
      <c r="F1378" s="2"/>
      <c r="G1378" s="2"/>
      <c r="H1378" s="2"/>
      <c r="I1378" s="2"/>
      <c r="J1378" s="2"/>
      <c r="K1378" s="2"/>
      <c r="L1378" s="2"/>
      <c r="M1378" s="2"/>
      <c r="N1378" s="2"/>
      <c r="O1378" s="2"/>
      <c r="P1378" s="2"/>
      <c r="Q1378" s="2"/>
      <c r="R1378" s="2"/>
      <c r="S1378" s="2"/>
      <c r="T1378" s="2"/>
      <c r="U1378" s="2"/>
      <c r="V1378" s="2"/>
      <c r="W1378" s="2" t="str">
        <f>IFERROR(__xludf.DUMMYFUNCTION("""COMPUTED_VALUE"""),"VL103D")</f>
        <v>VL103D</v>
      </c>
      <c r="X1378" s="2"/>
      <c r="Y1378" s="2"/>
      <c r="Z1378" s="2"/>
      <c r="AA1378" s="2"/>
      <c r="AB1378" s="2"/>
    </row>
    <row r="1379">
      <c r="A1379" s="2"/>
      <c r="B1379" s="2"/>
      <c r="C1379" s="2"/>
      <c r="D1379" s="2"/>
      <c r="E1379" s="2"/>
      <c r="F1379" s="2"/>
      <c r="G1379" s="2"/>
      <c r="H1379" s="2"/>
      <c r="I1379" s="2"/>
      <c r="J1379" s="2"/>
      <c r="K1379" s="2"/>
      <c r="L1379" s="2"/>
      <c r="M1379" s="2"/>
      <c r="N1379" s="2"/>
      <c r="O1379" s="2"/>
      <c r="P1379" s="2"/>
      <c r="Q1379" s="2"/>
      <c r="R1379" s="2"/>
      <c r="S1379" s="2"/>
      <c r="T1379" s="2"/>
      <c r="U1379" s="2"/>
      <c r="V1379" s="2"/>
      <c r="W1379" s="2" t="str">
        <f>IFERROR(__xludf.DUMMYFUNCTION("""COMPUTED_VALUE"""),"VL103D")</f>
        <v>VL103D</v>
      </c>
      <c r="X1379" s="2"/>
      <c r="Y1379" s="2"/>
      <c r="Z1379" s="2"/>
      <c r="AA1379" s="2"/>
      <c r="AB1379" s="2"/>
    </row>
    <row r="1380">
      <c r="A1380" s="2"/>
      <c r="B1380" s="2"/>
      <c r="C1380" s="2"/>
      <c r="D1380" s="2"/>
      <c r="E1380" s="2"/>
      <c r="F1380" s="2"/>
      <c r="G1380" s="2"/>
      <c r="H1380" s="2"/>
      <c r="I1380" s="2"/>
      <c r="J1380" s="2"/>
      <c r="K1380" s="2"/>
      <c r="L1380" s="2"/>
      <c r="M1380" s="2"/>
      <c r="N1380" s="2"/>
      <c r="O1380" s="2"/>
      <c r="P1380" s="2"/>
      <c r="Q1380" s="2"/>
      <c r="R1380" s="2"/>
      <c r="S1380" s="2"/>
      <c r="T1380" s="2"/>
      <c r="U1380" s="2"/>
      <c r="V1380" s="2"/>
      <c r="W1380" s="2" t="str">
        <f>IFERROR(__xludf.DUMMYFUNCTION("""COMPUTED_VALUE"""),"VL103D")</f>
        <v>VL103D</v>
      </c>
      <c r="X1380" s="2"/>
      <c r="Y1380" s="2"/>
      <c r="Z1380" s="2"/>
      <c r="AA1380" s="2"/>
      <c r="AB1380" s="2"/>
    </row>
    <row r="1381">
      <c r="A1381" s="2"/>
      <c r="B1381" s="2"/>
      <c r="C1381" s="2"/>
      <c r="D1381" s="2"/>
      <c r="E1381" s="2"/>
      <c r="F1381" s="2"/>
      <c r="G1381" s="2"/>
      <c r="H1381" s="2"/>
      <c r="I1381" s="2"/>
      <c r="J1381" s="2"/>
      <c r="K1381" s="2"/>
      <c r="L1381" s="2"/>
      <c r="M1381" s="2"/>
      <c r="N1381" s="2"/>
      <c r="O1381" s="2"/>
      <c r="P1381" s="2"/>
      <c r="Q1381" s="2"/>
      <c r="R1381" s="2"/>
      <c r="S1381" s="2"/>
      <c r="T1381" s="2"/>
      <c r="U1381" s="2"/>
      <c r="V1381" s="2"/>
      <c r="W1381" s="2" t="str">
        <f>IFERROR(__xludf.DUMMYFUNCTION("""COMPUTED_VALUE"""),"VL103D")</f>
        <v>VL103D</v>
      </c>
      <c r="X1381" s="2"/>
      <c r="Y1381" s="2"/>
      <c r="Z1381" s="2"/>
      <c r="AA1381" s="2"/>
      <c r="AB1381" s="2"/>
    </row>
    <row r="1382">
      <c r="A1382" s="2"/>
      <c r="B1382" s="2"/>
      <c r="C1382" s="2"/>
      <c r="D1382" s="2"/>
      <c r="E1382" s="2"/>
      <c r="F1382" s="2"/>
      <c r="G1382" s="2"/>
      <c r="H1382" s="2"/>
      <c r="I1382" s="2"/>
      <c r="J1382" s="2"/>
      <c r="K1382" s="2"/>
      <c r="L1382" s="2"/>
      <c r="M1382" s="2"/>
      <c r="N1382" s="2"/>
      <c r="O1382" s="2"/>
      <c r="P1382" s="2"/>
      <c r="Q1382" s="2"/>
      <c r="R1382" s="2"/>
      <c r="S1382" s="2"/>
      <c r="T1382" s="2"/>
      <c r="U1382" s="2"/>
      <c r="V1382" s="2"/>
      <c r="W1382" s="2" t="str">
        <f>IFERROR(__xludf.DUMMYFUNCTION("""COMPUTED_VALUE"""),"VL103D")</f>
        <v>VL103D</v>
      </c>
      <c r="X1382" s="2"/>
      <c r="Y1382" s="2"/>
      <c r="Z1382" s="2"/>
      <c r="AA1382" s="2"/>
      <c r="AB1382" s="2"/>
    </row>
    <row r="1383">
      <c r="A1383" s="2"/>
      <c r="B1383" s="2"/>
      <c r="C1383" s="2"/>
      <c r="D1383" s="2"/>
      <c r="E1383" s="2"/>
      <c r="F1383" s="2"/>
      <c r="G1383" s="2"/>
      <c r="H1383" s="2"/>
      <c r="I1383" s="2"/>
      <c r="J1383" s="2"/>
      <c r="K1383" s="2"/>
      <c r="L1383" s="2"/>
      <c r="M1383" s="2"/>
      <c r="N1383" s="2"/>
      <c r="O1383" s="2"/>
      <c r="P1383" s="2"/>
      <c r="Q1383" s="2"/>
      <c r="R1383" s="2"/>
      <c r="S1383" s="2"/>
      <c r="T1383" s="2"/>
      <c r="U1383" s="2"/>
      <c r="V1383" s="2"/>
      <c r="W1383" s="2" t="str">
        <f>IFERROR(__xludf.DUMMYFUNCTION("""COMPUTED_VALUE"""),"VL103D")</f>
        <v>VL103D</v>
      </c>
      <c r="X1383" s="2"/>
      <c r="Y1383" s="2"/>
      <c r="Z1383" s="2"/>
      <c r="AA1383" s="2"/>
      <c r="AB1383" s="2"/>
    </row>
    <row r="1384">
      <c r="A1384" s="2"/>
      <c r="B1384" s="2"/>
      <c r="C1384" s="2"/>
      <c r="D1384" s="2"/>
      <c r="E1384" s="2"/>
      <c r="F1384" s="2"/>
      <c r="G1384" s="2"/>
      <c r="H1384" s="2"/>
      <c r="I1384" s="2"/>
      <c r="J1384" s="2"/>
      <c r="K1384" s="2"/>
      <c r="L1384" s="2"/>
      <c r="M1384" s="2"/>
      <c r="N1384" s="2"/>
      <c r="O1384" s="2"/>
      <c r="P1384" s="2"/>
      <c r="Q1384" s="2"/>
      <c r="R1384" s="2"/>
      <c r="S1384" s="2"/>
      <c r="T1384" s="2"/>
      <c r="U1384" s="2"/>
      <c r="V1384" s="2"/>
      <c r="W1384" s="2" t="str">
        <f>IFERROR(__xludf.DUMMYFUNCTION("""COMPUTED_VALUE"""),"VL103D")</f>
        <v>VL103D</v>
      </c>
      <c r="X1384" s="2"/>
      <c r="Y1384" s="2"/>
      <c r="Z1384" s="2"/>
      <c r="AA1384" s="2"/>
      <c r="AB1384" s="2"/>
    </row>
    <row r="1385">
      <c r="A1385" s="2"/>
      <c r="B1385" s="2"/>
      <c r="C1385" s="2"/>
      <c r="D1385" s="2"/>
      <c r="E1385" s="2"/>
      <c r="F1385" s="2"/>
      <c r="G1385" s="2"/>
      <c r="H1385" s="2"/>
      <c r="I1385" s="2"/>
      <c r="J1385" s="2"/>
      <c r="K1385" s="2"/>
      <c r="L1385" s="2"/>
      <c r="M1385" s="2"/>
      <c r="N1385" s="2"/>
      <c r="O1385" s="2"/>
      <c r="P1385" s="2"/>
      <c r="Q1385" s="2"/>
      <c r="R1385" s="2"/>
      <c r="S1385" s="2"/>
      <c r="T1385" s="2"/>
      <c r="U1385" s="2"/>
      <c r="V1385" s="2"/>
      <c r="W1385" s="2" t="str">
        <f>IFERROR(__xludf.DUMMYFUNCTION("""COMPUTED_VALUE"""),"VL103D")</f>
        <v>VL103D</v>
      </c>
      <c r="X1385" s="2"/>
      <c r="Y1385" s="2"/>
      <c r="Z1385" s="2"/>
      <c r="AA1385" s="2"/>
      <c r="AB1385" s="2"/>
    </row>
    <row r="1386">
      <c r="A1386" s="2"/>
      <c r="B1386" s="2"/>
      <c r="C1386" s="2"/>
      <c r="D1386" s="2"/>
      <c r="E1386" s="2"/>
      <c r="F1386" s="2"/>
      <c r="G1386" s="2"/>
      <c r="H1386" s="2"/>
      <c r="I1386" s="2"/>
      <c r="J1386" s="2"/>
      <c r="K1386" s="2"/>
      <c r="L1386" s="2"/>
      <c r="M1386" s="2"/>
      <c r="N1386" s="2"/>
      <c r="O1386" s="2"/>
      <c r="P1386" s="2"/>
      <c r="Q1386" s="2"/>
      <c r="R1386" s="2"/>
      <c r="S1386" s="2"/>
      <c r="T1386" s="2"/>
      <c r="U1386" s="2"/>
      <c r="V1386" s="2"/>
      <c r="W1386" s="2" t="str">
        <f>IFERROR(__xludf.DUMMYFUNCTION("""COMPUTED_VALUE"""),"VL103D")</f>
        <v>VL103D</v>
      </c>
      <c r="X1386" s="2"/>
      <c r="Y1386" s="2"/>
      <c r="Z1386" s="2"/>
      <c r="AA1386" s="2"/>
      <c r="AB1386" s="2"/>
    </row>
    <row r="1387">
      <c r="A1387" s="2"/>
      <c r="B1387" s="2"/>
      <c r="C1387" s="2"/>
      <c r="D1387" s="2"/>
      <c r="E1387" s="2"/>
      <c r="F1387" s="2"/>
      <c r="G1387" s="2"/>
      <c r="H1387" s="2"/>
      <c r="I1387" s="2"/>
      <c r="J1387" s="2"/>
      <c r="K1387" s="2"/>
      <c r="L1387" s="2"/>
      <c r="M1387" s="2"/>
      <c r="N1387" s="2"/>
      <c r="O1387" s="2"/>
      <c r="P1387" s="2"/>
      <c r="Q1387" s="2"/>
      <c r="R1387" s="2"/>
      <c r="S1387" s="2"/>
      <c r="T1387" s="2"/>
      <c r="U1387" s="2"/>
      <c r="V1387" s="2"/>
      <c r="W1387" s="2" t="str">
        <f>IFERROR(__xludf.DUMMYFUNCTION("""COMPUTED_VALUE"""),"VL103D")</f>
        <v>VL103D</v>
      </c>
      <c r="X1387" s="2"/>
      <c r="Y1387" s="2"/>
      <c r="Z1387" s="2"/>
      <c r="AA1387" s="2"/>
      <c r="AB1387" s="2"/>
    </row>
    <row r="1388">
      <c r="A1388" s="2"/>
      <c r="B1388" s="2"/>
      <c r="C1388" s="2"/>
      <c r="D1388" s="2"/>
      <c r="E1388" s="2"/>
      <c r="F1388" s="2"/>
      <c r="G1388" s="2"/>
      <c r="H1388" s="2"/>
      <c r="I1388" s="2"/>
      <c r="J1388" s="2"/>
      <c r="K1388" s="2"/>
      <c r="L1388" s="2"/>
      <c r="M1388" s="2"/>
      <c r="N1388" s="2"/>
      <c r="O1388" s="2"/>
      <c r="P1388" s="2"/>
      <c r="Q1388" s="2"/>
      <c r="R1388" s="2"/>
      <c r="S1388" s="2"/>
      <c r="T1388" s="2"/>
      <c r="U1388" s="2"/>
      <c r="V1388" s="2"/>
      <c r="W1388" s="2" t="str">
        <f>IFERROR(__xludf.DUMMYFUNCTION("""COMPUTED_VALUE"""),"VL103D")</f>
        <v>VL103D</v>
      </c>
      <c r="X1388" s="2"/>
      <c r="Y1388" s="2"/>
      <c r="Z1388" s="2"/>
      <c r="AA1388" s="2"/>
      <c r="AB1388" s="2"/>
    </row>
    <row r="1389">
      <c r="A1389" s="2"/>
      <c r="B1389" s="2"/>
      <c r="C1389" s="2"/>
      <c r="D1389" s="2"/>
      <c r="E1389" s="2"/>
      <c r="F1389" s="2"/>
      <c r="G1389" s="2"/>
      <c r="H1389" s="2"/>
      <c r="I1389" s="2"/>
      <c r="J1389" s="2"/>
      <c r="K1389" s="2"/>
      <c r="L1389" s="2"/>
      <c r="M1389" s="2"/>
      <c r="N1389" s="2"/>
      <c r="O1389" s="2"/>
      <c r="P1389" s="2"/>
      <c r="Q1389" s="2"/>
      <c r="R1389" s="2"/>
      <c r="S1389" s="2"/>
      <c r="T1389" s="2"/>
      <c r="U1389" s="2"/>
      <c r="V1389" s="2"/>
      <c r="W1389" s="2" t="str">
        <f>IFERROR(__xludf.DUMMYFUNCTION("""COMPUTED_VALUE"""),"VL103D")</f>
        <v>VL103D</v>
      </c>
      <c r="X1389" s="2"/>
      <c r="Y1389" s="2"/>
      <c r="Z1389" s="2"/>
      <c r="AA1389" s="2"/>
      <c r="AB1389" s="2"/>
    </row>
    <row r="1390">
      <c r="A1390" s="2"/>
      <c r="B1390" s="2"/>
      <c r="C1390" s="2"/>
      <c r="D1390" s="2"/>
      <c r="E1390" s="2"/>
      <c r="F1390" s="2"/>
      <c r="G1390" s="2"/>
      <c r="H1390" s="2"/>
      <c r="I1390" s="2"/>
      <c r="J1390" s="2"/>
      <c r="K1390" s="2"/>
      <c r="L1390" s="2"/>
      <c r="M1390" s="2"/>
      <c r="N1390" s="2"/>
      <c r="O1390" s="2"/>
      <c r="P1390" s="2"/>
      <c r="Q1390" s="2"/>
      <c r="R1390" s="2"/>
      <c r="S1390" s="2"/>
      <c r="T1390" s="2"/>
      <c r="U1390" s="2"/>
      <c r="V1390" s="2"/>
      <c r="W1390" s="2" t="str">
        <f>IFERROR(__xludf.DUMMYFUNCTION("""COMPUTED_VALUE"""),"VL103D")</f>
        <v>VL103D</v>
      </c>
      <c r="X1390" s="2"/>
      <c r="Y1390" s="2"/>
      <c r="Z1390" s="2"/>
      <c r="AA1390" s="2"/>
      <c r="AB1390" s="2"/>
    </row>
    <row r="1391">
      <c r="A1391" s="2"/>
      <c r="B1391" s="2"/>
      <c r="C1391" s="2"/>
      <c r="D1391" s="2"/>
      <c r="E1391" s="2"/>
      <c r="F1391" s="2"/>
      <c r="G1391" s="2"/>
      <c r="H1391" s="2"/>
      <c r="I1391" s="2"/>
      <c r="J1391" s="2"/>
      <c r="K1391" s="2"/>
      <c r="L1391" s="2"/>
      <c r="M1391" s="2"/>
      <c r="N1391" s="2"/>
      <c r="O1391" s="2"/>
      <c r="P1391" s="2"/>
      <c r="Q1391" s="2"/>
      <c r="R1391" s="2"/>
      <c r="S1391" s="2"/>
      <c r="T1391" s="2"/>
      <c r="U1391" s="2"/>
      <c r="V1391" s="2"/>
      <c r="W1391" s="2" t="str">
        <f>IFERROR(__xludf.DUMMYFUNCTION("""COMPUTED_VALUE"""),"VL103D")</f>
        <v>VL103D</v>
      </c>
      <c r="X1391" s="2"/>
      <c r="Y1391" s="2"/>
      <c r="Z1391" s="2"/>
      <c r="AA1391" s="2"/>
      <c r="AB1391" s="2"/>
    </row>
    <row r="1392">
      <c r="A1392" s="2"/>
      <c r="B1392" s="2"/>
      <c r="C1392" s="2"/>
      <c r="D1392" s="2"/>
      <c r="E1392" s="2"/>
      <c r="F1392" s="2"/>
      <c r="G1392" s="2"/>
      <c r="H1392" s="2"/>
      <c r="I1392" s="2"/>
      <c r="J1392" s="2"/>
      <c r="K1392" s="2"/>
      <c r="L1392" s="2"/>
      <c r="M1392" s="2"/>
      <c r="N1392" s="2"/>
      <c r="O1392" s="2"/>
      <c r="P1392" s="2"/>
      <c r="Q1392" s="2"/>
      <c r="R1392" s="2"/>
      <c r="S1392" s="2"/>
      <c r="T1392" s="2"/>
      <c r="U1392" s="2"/>
      <c r="V1392" s="2"/>
      <c r="W1392" s="2" t="str">
        <f>IFERROR(__xludf.DUMMYFUNCTION("""COMPUTED_VALUE"""),"VL103D")</f>
        <v>VL103D</v>
      </c>
      <c r="X1392" s="2"/>
      <c r="Y1392" s="2"/>
      <c r="Z1392" s="2"/>
      <c r="AA1392" s="2"/>
      <c r="AB1392" s="2"/>
    </row>
    <row r="1393">
      <c r="A1393" s="2"/>
      <c r="B1393" s="2"/>
      <c r="C1393" s="2"/>
      <c r="D1393" s="2"/>
      <c r="E1393" s="2"/>
      <c r="F1393" s="2"/>
      <c r="G1393" s="2"/>
      <c r="H1393" s="2"/>
      <c r="I1393" s="2"/>
      <c r="J1393" s="2"/>
      <c r="K1393" s="2"/>
      <c r="L1393" s="2"/>
      <c r="M1393" s="2"/>
      <c r="N1393" s="2"/>
      <c r="O1393" s="2"/>
      <c r="P1393" s="2"/>
      <c r="Q1393" s="2"/>
      <c r="R1393" s="2"/>
      <c r="S1393" s="2"/>
      <c r="T1393" s="2"/>
      <c r="U1393" s="2"/>
      <c r="V1393" s="2"/>
      <c r="W1393" s="2" t="str">
        <f>IFERROR(__xludf.DUMMYFUNCTION("""COMPUTED_VALUE"""),"VL103D")</f>
        <v>VL103D</v>
      </c>
      <c r="X1393" s="2"/>
      <c r="Y1393" s="2"/>
      <c r="Z1393" s="2"/>
      <c r="AA1393" s="2"/>
      <c r="AB1393" s="2"/>
    </row>
    <row r="1394">
      <c r="A1394" s="2"/>
      <c r="B1394" s="2"/>
      <c r="C1394" s="2"/>
      <c r="D1394" s="2"/>
      <c r="E1394" s="2"/>
      <c r="F1394" s="2"/>
      <c r="G1394" s="2"/>
      <c r="H1394" s="2"/>
      <c r="I1394" s="2"/>
      <c r="J1394" s="2"/>
      <c r="K1394" s="2"/>
      <c r="L1394" s="2"/>
      <c r="M1394" s="2"/>
      <c r="N1394" s="2"/>
      <c r="O1394" s="2"/>
      <c r="P1394" s="2"/>
      <c r="Q1394" s="2"/>
      <c r="R1394" s="2"/>
      <c r="S1394" s="2"/>
      <c r="T1394" s="2"/>
      <c r="U1394" s="2"/>
      <c r="V1394" s="2"/>
      <c r="W1394" s="2" t="str">
        <f>IFERROR(__xludf.DUMMYFUNCTION("""COMPUTED_VALUE"""),"VL103D")</f>
        <v>VL103D</v>
      </c>
      <c r="X1394" s="2"/>
      <c r="Y1394" s="2"/>
      <c r="Z1394" s="2"/>
      <c r="AA1394" s="2"/>
      <c r="AB1394" s="2"/>
    </row>
    <row r="1395">
      <c r="A1395" s="2"/>
      <c r="B1395" s="2"/>
      <c r="C1395" s="2"/>
      <c r="D1395" s="2"/>
      <c r="E1395" s="2"/>
      <c r="F1395" s="2"/>
      <c r="G1395" s="2"/>
      <c r="H1395" s="2"/>
      <c r="I1395" s="2"/>
      <c r="J1395" s="2"/>
      <c r="K1395" s="2"/>
      <c r="L1395" s="2"/>
      <c r="M1395" s="2"/>
      <c r="N1395" s="2"/>
      <c r="O1395" s="2"/>
      <c r="P1395" s="2"/>
      <c r="Q1395" s="2"/>
      <c r="R1395" s="2"/>
      <c r="S1395" s="2"/>
      <c r="T1395" s="2"/>
      <c r="U1395" s="2"/>
      <c r="V1395" s="2"/>
      <c r="W1395" s="2" t="str">
        <f>IFERROR(__xludf.DUMMYFUNCTION("""COMPUTED_VALUE"""),"VL103D")</f>
        <v>VL103D</v>
      </c>
      <c r="X1395" s="2"/>
      <c r="Y1395" s="2"/>
      <c r="Z1395" s="2"/>
      <c r="AA1395" s="2"/>
      <c r="AB1395" s="2"/>
    </row>
    <row r="1396">
      <c r="A1396" s="2"/>
      <c r="B1396" s="2"/>
      <c r="C1396" s="2"/>
      <c r="D1396" s="2"/>
      <c r="E1396" s="2"/>
      <c r="F1396" s="2"/>
      <c r="G1396" s="2"/>
      <c r="H1396" s="2"/>
      <c r="I1396" s="2"/>
      <c r="J1396" s="2"/>
      <c r="K1396" s="2"/>
      <c r="L1396" s="2"/>
      <c r="M1396" s="2"/>
      <c r="N1396" s="2"/>
      <c r="O1396" s="2"/>
      <c r="P1396" s="2"/>
      <c r="Q1396" s="2"/>
      <c r="R1396" s="2"/>
      <c r="S1396" s="2"/>
      <c r="T1396" s="2"/>
      <c r="U1396" s="2"/>
      <c r="V1396" s="2"/>
      <c r="W1396" s="2" t="str">
        <f>IFERROR(__xludf.DUMMYFUNCTION("""COMPUTED_VALUE"""),"VL103D")</f>
        <v>VL103D</v>
      </c>
      <c r="X1396" s="2"/>
      <c r="Y1396" s="2"/>
      <c r="Z1396" s="2"/>
      <c r="AA1396" s="2"/>
      <c r="AB1396" s="2"/>
    </row>
    <row r="1397">
      <c r="A1397" s="2"/>
      <c r="B1397" s="2"/>
      <c r="C1397" s="2"/>
      <c r="D1397" s="2"/>
      <c r="E1397" s="2"/>
      <c r="F1397" s="2"/>
      <c r="G1397" s="2"/>
      <c r="H1397" s="2"/>
      <c r="I1397" s="2"/>
      <c r="J1397" s="2"/>
      <c r="K1397" s="2"/>
      <c r="L1397" s="2"/>
      <c r="M1397" s="2"/>
      <c r="N1397" s="2"/>
      <c r="O1397" s="2"/>
      <c r="P1397" s="2"/>
      <c r="Q1397" s="2"/>
      <c r="R1397" s="2"/>
      <c r="S1397" s="2"/>
      <c r="T1397" s="2"/>
      <c r="U1397" s="2"/>
      <c r="V1397" s="2"/>
      <c r="W1397" s="2" t="str">
        <f>IFERROR(__xludf.DUMMYFUNCTION("""COMPUTED_VALUE"""),"VL103D")</f>
        <v>VL103D</v>
      </c>
      <c r="X1397" s="2"/>
      <c r="Y1397" s="2"/>
      <c r="Z1397" s="2"/>
      <c r="AA1397" s="2"/>
      <c r="AB1397" s="2"/>
    </row>
    <row r="1398">
      <c r="A1398" s="2"/>
      <c r="B1398" s="2"/>
      <c r="C1398" s="2"/>
      <c r="D1398" s="2"/>
      <c r="E1398" s="2"/>
      <c r="F1398" s="2"/>
      <c r="G1398" s="2"/>
      <c r="H1398" s="2"/>
      <c r="I1398" s="2"/>
      <c r="J1398" s="2"/>
      <c r="K1398" s="2"/>
      <c r="L1398" s="2"/>
      <c r="M1398" s="2"/>
      <c r="N1398" s="2"/>
      <c r="O1398" s="2"/>
      <c r="P1398" s="2"/>
      <c r="Q1398" s="2"/>
      <c r="R1398" s="2"/>
      <c r="S1398" s="2"/>
      <c r="T1398" s="2"/>
      <c r="U1398" s="2"/>
      <c r="V1398" s="2"/>
      <c r="W1398" s="2" t="str">
        <f>IFERROR(__xludf.DUMMYFUNCTION("""COMPUTED_VALUE"""),"VL103D")</f>
        <v>VL103D</v>
      </c>
      <c r="X1398" s="2"/>
      <c r="Y1398" s="2"/>
      <c r="Z1398" s="2"/>
      <c r="AA1398" s="2"/>
      <c r="AB1398" s="2"/>
    </row>
    <row r="1399">
      <c r="A1399" s="2"/>
      <c r="B1399" s="2"/>
      <c r="C1399" s="2"/>
      <c r="D1399" s="2"/>
      <c r="E1399" s="2"/>
      <c r="F1399" s="2"/>
      <c r="G1399" s="2"/>
      <c r="H1399" s="2"/>
      <c r="I1399" s="2"/>
      <c r="J1399" s="2"/>
      <c r="K1399" s="2"/>
      <c r="L1399" s="2"/>
      <c r="M1399" s="2"/>
      <c r="N1399" s="2"/>
      <c r="O1399" s="2"/>
      <c r="P1399" s="2"/>
      <c r="Q1399" s="2"/>
      <c r="R1399" s="2"/>
      <c r="S1399" s="2"/>
      <c r="T1399" s="2"/>
      <c r="U1399" s="2"/>
      <c r="V1399" s="2"/>
      <c r="W1399" s="2" t="str">
        <f>IFERROR(__xludf.DUMMYFUNCTION("""COMPUTED_VALUE"""),"VL103D")</f>
        <v>VL103D</v>
      </c>
      <c r="X1399" s="2"/>
      <c r="Y1399" s="2"/>
      <c r="Z1399" s="2"/>
      <c r="AA1399" s="2"/>
      <c r="AB1399" s="2"/>
    </row>
    <row r="1400">
      <c r="A1400" s="2"/>
      <c r="B1400" s="2"/>
      <c r="C1400" s="2"/>
      <c r="D1400" s="2"/>
      <c r="E1400" s="2"/>
      <c r="F1400" s="2"/>
      <c r="G1400" s="2"/>
      <c r="H1400" s="2"/>
      <c r="I1400" s="2"/>
      <c r="J1400" s="2"/>
      <c r="K1400" s="2"/>
      <c r="L1400" s="2"/>
      <c r="M1400" s="2"/>
      <c r="N1400" s="2"/>
      <c r="O1400" s="2"/>
      <c r="P1400" s="2"/>
      <c r="Q1400" s="2"/>
      <c r="R1400" s="2"/>
      <c r="S1400" s="2"/>
      <c r="T1400" s="2"/>
      <c r="U1400" s="2"/>
      <c r="V1400" s="2"/>
      <c r="W1400" s="2" t="str">
        <f>IFERROR(__xludf.DUMMYFUNCTION("""COMPUTED_VALUE"""),"VL103D")</f>
        <v>VL103D</v>
      </c>
      <c r="X1400" s="2"/>
      <c r="Y1400" s="2"/>
      <c r="Z1400" s="2"/>
      <c r="AA1400" s="2"/>
      <c r="AB1400" s="2"/>
    </row>
    <row r="1401">
      <c r="A1401" s="2"/>
      <c r="B1401" s="2"/>
      <c r="C1401" s="2"/>
      <c r="D1401" s="2"/>
      <c r="E1401" s="2"/>
      <c r="F1401" s="2"/>
      <c r="G1401" s="2"/>
      <c r="H1401" s="2"/>
      <c r="I1401" s="2"/>
      <c r="J1401" s="2"/>
      <c r="K1401" s="2"/>
      <c r="L1401" s="2"/>
      <c r="M1401" s="2"/>
      <c r="N1401" s="2"/>
      <c r="O1401" s="2"/>
      <c r="P1401" s="2"/>
      <c r="Q1401" s="2"/>
      <c r="R1401" s="2"/>
      <c r="S1401" s="2"/>
      <c r="T1401" s="2"/>
      <c r="U1401" s="2"/>
      <c r="V1401" s="2"/>
      <c r="W1401" s="2" t="str">
        <f>IFERROR(__xludf.DUMMYFUNCTION("""COMPUTED_VALUE"""),"VL103D")</f>
        <v>VL103D</v>
      </c>
      <c r="X1401" s="2"/>
      <c r="Y1401" s="2"/>
      <c r="Z1401" s="2"/>
      <c r="AA1401" s="2"/>
      <c r="AB1401" s="2"/>
    </row>
    <row r="1402">
      <c r="A1402" s="2"/>
      <c r="B1402" s="2"/>
      <c r="C1402" s="2"/>
      <c r="D1402" s="2"/>
      <c r="E1402" s="2"/>
      <c r="F1402" s="2"/>
      <c r="G1402" s="2"/>
      <c r="H1402" s="2"/>
      <c r="I1402" s="2"/>
      <c r="J1402" s="2"/>
      <c r="K1402" s="2"/>
      <c r="L1402" s="2"/>
      <c r="M1402" s="2"/>
      <c r="N1402" s="2"/>
      <c r="O1402" s="2"/>
      <c r="P1402" s="2"/>
      <c r="Q1402" s="2"/>
      <c r="R1402" s="2"/>
      <c r="S1402" s="2"/>
      <c r="T1402" s="2"/>
      <c r="U1402" s="2"/>
      <c r="V1402" s="2"/>
      <c r="W1402" s="2" t="str">
        <f>IFERROR(__xludf.DUMMYFUNCTION("""COMPUTED_VALUE"""),"VL103D")</f>
        <v>VL103D</v>
      </c>
      <c r="X1402" s="2"/>
      <c r="Y1402" s="2"/>
      <c r="Z1402" s="2"/>
      <c r="AA1402" s="2"/>
      <c r="AB1402" s="2"/>
    </row>
    <row r="1403">
      <c r="A1403" s="2"/>
      <c r="B1403" s="2"/>
      <c r="C1403" s="2"/>
      <c r="D1403" s="2"/>
      <c r="E1403" s="2"/>
      <c r="F1403" s="2"/>
      <c r="G1403" s="2"/>
      <c r="H1403" s="2"/>
      <c r="I1403" s="2"/>
      <c r="J1403" s="2"/>
      <c r="K1403" s="2"/>
      <c r="L1403" s="2"/>
      <c r="M1403" s="2"/>
      <c r="N1403" s="2"/>
      <c r="O1403" s="2"/>
      <c r="P1403" s="2"/>
      <c r="Q1403" s="2"/>
      <c r="R1403" s="2"/>
      <c r="S1403" s="2"/>
      <c r="T1403" s="2"/>
      <c r="U1403" s="2"/>
      <c r="V1403" s="2"/>
      <c r="W1403" s="2" t="str">
        <f>IFERROR(__xludf.DUMMYFUNCTION("""COMPUTED_VALUE"""),"VL103D")</f>
        <v>VL103D</v>
      </c>
      <c r="X1403" s="2"/>
      <c r="Y1403" s="2"/>
      <c r="Z1403" s="2"/>
      <c r="AA1403" s="2"/>
      <c r="AB1403" s="2"/>
    </row>
    <row r="1404">
      <c r="A1404" s="2"/>
      <c r="B1404" s="2"/>
      <c r="C1404" s="2"/>
      <c r="D1404" s="2"/>
      <c r="E1404" s="2"/>
      <c r="F1404" s="2"/>
      <c r="G1404" s="2"/>
      <c r="H1404" s="2"/>
      <c r="I1404" s="2"/>
      <c r="J1404" s="2"/>
      <c r="K1404" s="2"/>
      <c r="L1404" s="2"/>
      <c r="M1404" s="2"/>
      <c r="N1404" s="2"/>
      <c r="O1404" s="2"/>
      <c r="P1404" s="2"/>
      <c r="Q1404" s="2"/>
      <c r="R1404" s="2"/>
      <c r="S1404" s="2"/>
      <c r="T1404" s="2"/>
      <c r="U1404" s="2"/>
      <c r="V1404" s="2"/>
      <c r="W1404" s="2" t="str">
        <f>IFERROR(__xludf.DUMMYFUNCTION("""COMPUTED_VALUE"""),"VL103D")</f>
        <v>VL103D</v>
      </c>
      <c r="X1404" s="2"/>
      <c r="Y1404" s="2"/>
      <c r="Z1404" s="2"/>
      <c r="AA1404" s="2"/>
      <c r="AB1404" s="2"/>
    </row>
    <row r="1405">
      <c r="A1405" s="2"/>
      <c r="B1405" s="2"/>
      <c r="C1405" s="2"/>
      <c r="D1405" s="2"/>
      <c r="E1405" s="2"/>
      <c r="F1405" s="2"/>
      <c r="G1405" s="2"/>
      <c r="H1405" s="2"/>
      <c r="I1405" s="2"/>
      <c r="J1405" s="2"/>
      <c r="K1405" s="2"/>
      <c r="L1405" s="2"/>
      <c r="M1405" s="2"/>
      <c r="N1405" s="2"/>
      <c r="O1405" s="2"/>
      <c r="P1405" s="2"/>
      <c r="Q1405" s="2"/>
      <c r="R1405" s="2"/>
      <c r="S1405" s="2"/>
      <c r="T1405" s="2"/>
      <c r="U1405" s="2"/>
      <c r="V1405" s="2"/>
      <c r="W1405" s="2" t="str">
        <f>IFERROR(__xludf.DUMMYFUNCTION("""COMPUTED_VALUE"""),"VL103D")</f>
        <v>VL103D</v>
      </c>
      <c r="X1405" s="2"/>
      <c r="Y1405" s="2"/>
      <c r="Z1405" s="2"/>
      <c r="AA1405" s="2"/>
      <c r="AB1405" s="2"/>
    </row>
    <row r="1406">
      <c r="A1406" s="2"/>
      <c r="B1406" s="2"/>
      <c r="C1406" s="2"/>
      <c r="D1406" s="2"/>
      <c r="E1406" s="2"/>
      <c r="F1406" s="2"/>
      <c r="G1406" s="2"/>
      <c r="H1406" s="2"/>
      <c r="I1406" s="2"/>
      <c r="J1406" s="2"/>
      <c r="K1406" s="2"/>
      <c r="L1406" s="2"/>
      <c r="M1406" s="2"/>
      <c r="N1406" s="2"/>
      <c r="O1406" s="2"/>
      <c r="P1406" s="2"/>
      <c r="Q1406" s="2"/>
      <c r="R1406" s="2"/>
      <c r="S1406" s="2"/>
      <c r="T1406" s="2"/>
      <c r="U1406" s="2"/>
      <c r="V1406" s="2"/>
      <c r="W1406" s="2" t="str">
        <f>IFERROR(__xludf.DUMMYFUNCTION("""COMPUTED_VALUE"""),"VL103D")</f>
        <v>VL103D</v>
      </c>
      <c r="X1406" s="2"/>
      <c r="Y1406" s="2"/>
      <c r="Z1406" s="2"/>
      <c r="AA1406" s="2"/>
      <c r="AB1406" s="2"/>
    </row>
    <row r="1407">
      <c r="A1407" s="2"/>
      <c r="B1407" s="2"/>
      <c r="C1407" s="2"/>
      <c r="D1407" s="2"/>
      <c r="E1407" s="2"/>
      <c r="F1407" s="2"/>
      <c r="G1407" s="2"/>
      <c r="H1407" s="2"/>
      <c r="I1407" s="2"/>
      <c r="J1407" s="2"/>
      <c r="K1407" s="2"/>
      <c r="L1407" s="2"/>
      <c r="M1407" s="2"/>
      <c r="N1407" s="2"/>
      <c r="O1407" s="2"/>
      <c r="P1407" s="2"/>
      <c r="Q1407" s="2"/>
      <c r="R1407" s="2"/>
      <c r="S1407" s="2"/>
      <c r="T1407" s="2"/>
      <c r="U1407" s="2"/>
      <c r="V1407" s="2"/>
      <c r="W1407" s="2" t="str">
        <f>IFERROR(__xludf.DUMMYFUNCTION("""COMPUTED_VALUE"""),"VL103D")</f>
        <v>VL103D</v>
      </c>
      <c r="X1407" s="2"/>
      <c r="Y1407" s="2"/>
      <c r="Z1407" s="2"/>
      <c r="AA1407" s="2"/>
      <c r="AB1407" s="2"/>
    </row>
    <row r="1408">
      <c r="A1408" s="2"/>
      <c r="B1408" s="2"/>
      <c r="C1408" s="2"/>
      <c r="D1408" s="2"/>
      <c r="E1408" s="2"/>
      <c r="F1408" s="2"/>
      <c r="G1408" s="2"/>
      <c r="H1408" s="2"/>
      <c r="I1408" s="2"/>
      <c r="J1408" s="2"/>
      <c r="K1408" s="2"/>
      <c r="L1408" s="2"/>
      <c r="M1408" s="2"/>
      <c r="N1408" s="2"/>
      <c r="O1408" s="2"/>
      <c r="P1408" s="2"/>
      <c r="Q1408" s="2"/>
      <c r="R1408" s="2"/>
      <c r="S1408" s="2"/>
      <c r="T1408" s="2"/>
      <c r="U1408" s="2"/>
      <c r="V1408" s="2"/>
      <c r="W1408" s="2" t="str">
        <f>IFERROR(__xludf.DUMMYFUNCTION("""COMPUTED_VALUE"""),"VL103D")</f>
        <v>VL103D</v>
      </c>
      <c r="X1408" s="2"/>
      <c r="Y1408" s="2"/>
      <c r="Z1408" s="2"/>
      <c r="AA1408" s="2"/>
      <c r="AB1408" s="2"/>
    </row>
    <row r="1409">
      <c r="A1409" s="2"/>
      <c r="B1409" s="2"/>
      <c r="C1409" s="2"/>
      <c r="D1409" s="2"/>
      <c r="E1409" s="2"/>
      <c r="F1409" s="2"/>
      <c r="G1409" s="2"/>
      <c r="H1409" s="2"/>
      <c r="I1409" s="2"/>
      <c r="J1409" s="2"/>
      <c r="K1409" s="2"/>
      <c r="L1409" s="2"/>
      <c r="M1409" s="2"/>
      <c r="N1409" s="2"/>
      <c r="O1409" s="2"/>
      <c r="P1409" s="2"/>
      <c r="Q1409" s="2"/>
      <c r="R1409" s="2"/>
      <c r="S1409" s="2"/>
      <c r="T1409" s="2"/>
      <c r="U1409" s="2"/>
      <c r="V1409" s="2"/>
      <c r="W1409" s="2" t="str">
        <f>IFERROR(__xludf.DUMMYFUNCTION("""COMPUTED_VALUE"""),"VL103D")</f>
        <v>VL103D</v>
      </c>
      <c r="X1409" s="2"/>
      <c r="Y1409" s="2"/>
      <c r="Z1409" s="2"/>
      <c r="AA1409" s="2"/>
      <c r="AB1409" s="2"/>
    </row>
    <row r="1410">
      <c r="A1410" s="2"/>
      <c r="B1410" s="2"/>
      <c r="C1410" s="2"/>
      <c r="D1410" s="2"/>
      <c r="E1410" s="2"/>
      <c r="F1410" s="2"/>
      <c r="G1410" s="2"/>
      <c r="H1410" s="2"/>
      <c r="I1410" s="2"/>
      <c r="J1410" s="2"/>
      <c r="K1410" s="2"/>
      <c r="L1410" s="2"/>
      <c r="M1410" s="2"/>
      <c r="N1410" s="2"/>
      <c r="O1410" s="2"/>
      <c r="P1410" s="2"/>
      <c r="Q1410" s="2"/>
      <c r="R1410" s="2"/>
      <c r="S1410" s="2"/>
      <c r="T1410" s="2"/>
      <c r="U1410" s="2"/>
      <c r="V1410" s="2"/>
      <c r="W1410" s="2" t="str">
        <f>IFERROR(__xludf.DUMMYFUNCTION("""COMPUTED_VALUE"""),"VL103D")</f>
        <v>VL103D</v>
      </c>
      <c r="X1410" s="2"/>
      <c r="Y1410" s="2"/>
      <c r="Z1410" s="2"/>
      <c r="AA1410" s="2"/>
      <c r="AB1410" s="2"/>
    </row>
    <row r="1411">
      <c r="A1411" s="2"/>
      <c r="B1411" s="2"/>
      <c r="C1411" s="2"/>
      <c r="D1411" s="2"/>
      <c r="E1411" s="2"/>
      <c r="F1411" s="2"/>
      <c r="G1411" s="2"/>
      <c r="H1411" s="2"/>
      <c r="I1411" s="2"/>
      <c r="J1411" s="2"/>
      <c r="K1411" s="2"/>
      <c r="L1411" s="2"/>
      <c r="M1411" s="2"/>
      <c r="N1411" s="2"/>
      <c r="O1411" s="2"/>
      <c r="P1411" s="2"/>
      <c r="Q1411" s="2"/>
      <c r="R1411" s="2"/>
      <c r="S1411" s="2"/>
      <c r="T1411" s="2"/>
      <c r="U1411" s="2"/>
      <c r="V1411" s="2"/>
      <c r="W1411" s="2" t="str">
        <f>IFERROR(__xludf.DUMMYFUNCTION("""COMPUTED_VALUE"""),"VL103D")</f>
        <v>VL103D</v>
      </c>
      <c r="X1411" s="2"/>
      <c r="Y1411" s="2"/>
      <c r="Z1411" s="2"/>
      <c r="AA1411" s="2"/>
      <c r="AB1411" s="2"/>
    </row>
    <row r="1412">
      <c r="A1412" s="2"/>
      <c r="B1412" s="2"/>
      <c r="C1412" s="2"/>
      <c r="D1412" s="2"/>
      <c r="E1412" s="2"/>
      <c r="F1412" s="2"/>
      <c r="G1412" s="2"/>
      <c r="H1412" s="2"/>
      <c r="I1412" s="2"/>
      <c r="J1412" s="2"/>
      <c r="K1412" s="2"/>
      <c r="L1412" s="2"/>
      <c r="M1412" s="2"/>
      <c r="N1412" s="2"/>
      <c r="O1412" s="2"/>
      <c r="P1412" s="2"/>
      <c r="Q1412" s="2"/>
      <c r="R1412" s="2"/>
      <c r="S1412" s="2"/>
      <c r="T1412" s="2"/>
      <c r="U1412" s="2"/>
      <c r="V1412" s="2"/>
      <c r="W1412" s="2" t="str">
        <f>IFERROR(__xludf.DUMMYFUNCTION("""COMPUTED_VALUE"""),"VL103D")</f>
        <v>VL103D</v>
      </c>
      <c r="X1412" s="2"/>
      <c r="Y1412" s="2"/>
      <c r="Z1412" s="2"/>
      <c r="AA1412" s="2"/>
      <c r="AB1412" s="2"/>
    </row>
    <row r="1413">
      <c r="A1413" s="2"/>
      <c r="B1413" s="2"/>
      <c r="C1413" s="2"/>
      <c r="D1413" s="2"/>
      <c r="E1413" s="2"/>
      <c r="F1413" s="2"/>
      <c r="G1413" s="2"/>
      <c r="H1413" s="2"/>
      <c r="I1413" s="2"/>
      <c r="J1413" s="2"/>
      <c r="K1413" s="2"/>
      <c r="L1413" s="2"/>
      <c r="M1413" s="2"/>
      <c r="N1413" s="2"/>
      <c r="O1413" s="2"/>
      <c r="P1413" s="2"/>
      <c r="Q1413" s="2"/>
      <c r="R1413" s="2"/>
      <c r="S1413" s="2"/>
      <c r="T1413" s="2"/>
      <c r="U1413" s="2"/>
      <c r="V1413" s="2"/>
      <c r="W1413" s="2" t="str">
        <f>IFERROR(__xludf.DUMMYFUNCTION("""COMPUTED_VALUE"""),"VL103D")</f>
        <v>VL103D</v>
      </c>
      <c r="X1413" s="2"/>
      <c r="Y1413" s="2"/>
      <c r="Z1413" s="2"/>
      <c r="AA1413" s="2"/>
      <c r="AB1413" s="2"/>
    </row>
    <row r="1414">
      <c r="A1414" s="2"/>
      <c r="B1414" s="2"/>
      <c r="C1414" s="2"/>
      <c r="D1414" s="2"/>
      <c r="E1414" s="2"/>
      <c r="F1414" s="2"/>
      <c r="G1414" s="2"/>
      <c r="H1414" s="2"/>
      <c r="I1414" s="2"/>
      <c r="J1414" s="2"/>
      <c r="K1414" s="2"/>
      <c r="L1414" s="2"/>
      <c r="M1414" s="2"/>
      <c r="N1414" s="2"/>
      <c r="O1414" s="2"/>
      <c r="P1414" s="2"/>
      <c r="Q1414" s="2"/>
      <c r="R1414" s="2"/>
      <c r="S1414" s="2"/>
      <c r="T1414" s="2"/>
      <c r="U1414" s="2"/>
      <c r="V1414" s="2"/>
      <c r="W1414" s="2" t="str">
        <f>IFERROR(__xludf.DUMMYFUNCTION("""COMPUTED_VALUE"""),"VL103D")</f>
        <v>VL103D</v>
      </c>
      <c r="X1414" s="2"/>
      <c r="Y1414" s="2"/>
      <c r="Z1414" s="2"/>
      <c r="AA1414" s="2"/>
      <c r="AB1414" s="2"/>
    </row>
    <row r="1415">
      <c r="A1415" s="2"/>
      <c r="B1415" s="2"/>
      <c r="C1415" s="2"/>
      <c r="D1415" s="2"/>
      <c r="E1415" s="2"/>
      <c r="F1415" s="2"/>
      <c r="G1415" s="2"/>
      <c r="H1415" s="2"/>
      <c r="I1415" s="2"/>
      <c r="J1415" s="2"/>
      <c r="K1415" s="2"/>
      <c r="L1415" s="2"/>
      <c r="M1415" s="2"/>
      <c r="N1415" s="2"/>
      <c r="O1415" s="2"/>
      <c r="P1415" s="2"/>
      <c r="Q1415" s="2"/>
      <c r="R1415" s="2"/>
      <c r="S1415" s="2"/>
      <c r="T1415" s="2"/>
      <c r="U1415" s="2"/>
      <c r="V1415" s="2"/>
      <c r="W1415" s="2" t="str">
        <f>IFERROR(__xludf.DUMMYFUNCTION("""COMPUTED_VALUE"""),"VL103D")</f>
        <v>VL103D</v>
      </c>
      <c r="X1415" s="2"/>
      <c r="Y1415" s="2"/>
      <c r="Z1415" s="2"/>
      <c r="AA1415" s="2"/>
      <c r="AB1415" s="2"/>
    </row>
    <row r="1416">
      <c r="A1416" s="2"/>
      <c r="B1416" s="2"/>
      <c r="C1416" s="2"/>
      <c r="D1416" s="2"/>
      <c r="E1416" s="2"/>
      <c r="F1416" s="2"/>
      <c r="G1416" s="2"/>
      <c r="H1416" s="2"/>
      <c r="I1416" s="2"/>
      <c r="J1416" s="2"/>
      <c r="K1416" s="2"/>
      <c r="L1416" s="2"/>
      <c r="M1416" s="2"/>
      <c r="N1416" s="2"/>
      <c r="O1416" s="2"/>
      <c r="P1416" s="2"/>
      <c r="Q1416" s="2"/>
      <c r="R1416" s="2"/>
      <c r="S1416" s="2"/>
      <c r="T1416" s="2"/>
      <c r="U1416" s="2"/>
      <c r="V1416" s="2"/>
      <c r="W1416" s="2" t="str">
        <f>IFERROR(__xludf.DUMMYFUNCTION("""COMPUTED_VALUE"""),"VL103D")</f>
        <v>VL103D</v>
      </c>
      <c r="X1416" s="2"/>
      <c r="Y1416" s="2"/>
      <c r="Z1416" s="2"/>
      <c r="AA1416" s="2"/>
      <c r="AB1416" s="2"/>
    </row>
    <row r="1417">
      <c r="A1417" s="2"/>
      <c r="B1417" s="2"/>
      <c r="C1417" s="2"/>
      <c r="D1417" s="2"/>
      <c r="E1417" s="2"/>
      <c r="F1417" s="2"/>
      <c r="G1417" s="2"/>
      <c r="H1417" s="2"/>
      <c r="I1417" s="2"/>
      <c r="J1417" s="2"/>
      <c r="K1417" s="2"/>
      <c r="L1417" s="2"/>
      <c r="M1417" s="2"/>
      <c r="N1417" s="2"/>
      <c r="O1417" s="2"/>
      <c r="P1417" s="2"/>
      <c r="Q1417" s="2"/>
      <c r="R1417" s="2"/>
      <c r="S1417" s="2"/>
      <c r="T1417" s="2"/>
      <c r="U1417" s="2"/>
      <c r="V1417" s="2"/>
      <c r="W1417" s="2" t="str">
        <f>IFERROR(__xludf.DUMMYFUNCTION("""COMPUTED_VALUE"""),"VL103D")</f>
        <v>VL103D</v>
      </c>
      <c r="X1417" s="2"/>
      <c r="Y1417" s="2"/>
      <c r="Z1417" s="2"/>
      <c r="AA1417" s="2"/>
      <c r="AB1417" s="2"/>
    </row>
    <row r="1418">
      <c r="A1418" s="2"/>
      <c r="B1418" s="2"/>
      <c r="C1418" s="2"/>
      <c r="D1418" s="2"/>
      <c r="E1418" s="2"/>
      <c r="F1418" s="2"/>
      <c r="G1418" s="2"/>
      <c r="H1418" s="2"/>
      <c r="I1418" s="2"/>
      <c r="J1418" s="2"/>
      <c r="K1418" s="2"/>
      <c r="L1418" s="2"/>
      <c r="M1418" s="2"/>
      <c r="N1418" s="2"/>
      <c r="O1418" s="2"/>
      <c r="P1418" s="2"/>
      <c r="Q1418" s="2"/>
      <c r="R1418" s="2"/>
      <c r="S1418" s="2"/>
      <c r="T1418" s="2"/>
      <c r="U1418" s="2"/>
      <c r="V1418" s="2"/>
      <c r="W1418" s="2" t="str">
        <f>IFERROR(__xludf.DUMMYFUNCTION("""COMPUTED_VALUE"""),"VL103D")</f>
        <v>VL103D</v>
      </c>
      <c r="X1418" s="2"/>
      <c r="Y1418" s="2"/>
      <c r="Z1418" s="2"/>
      <c r="AA1418" s="2"/>
      <c r="AB1418" s="2"/>
    </row>
    <row r="1419">
      <c r="A1419" s="2"/>
      <c r="B1419" s="2"/>
      <c r="C1419" s="2"/>
      <c r="D1419" s="2"/>
      <c r="E1419" s="2"/>
      <c r="F1419" s="2"/>
      <c r="G1419" s="2"/>
      <c r="H1419" s="2"/>
      <c r="I1419" s="2"/>
      <c r="J1419" s="2"/>
      <c r="K1419" s="2"/>
      <c r="L1419" s="2"/>
      <c r="M1419" s="2"/>
      <c r="N1419" s="2"/>
      <c r="O1419" s="2"/>
      <c r="P1419" s="2"/>
      <c r="Q1419" s="2"/>
      <c r="R1419" s="2"/>
      <c r="S1419" s="2"/>
      <c r="T1419" s="2"/>
      <c r="U1419" s="2"/>
      <c r="V1419" s="2"/>
      <c r="W1419" s="2" t="str">
        <f>IFERROR(__xludf.DUMMYFUNCTION("""COMPUTED_VALUE"""),"VL103D")</f>
        <v>VL103D</v>
      </c>
      <c r="X1419" s="2"/>
      <c r="Y1419" s="2"/>
      <c r="Z1419" s="2"/>
      <c r="AA1419" s="2"/>
      <c r="AB1419" s="2"/>
    </row>
    <row r="1420">
      <c r="A1420" s="2"/>
      <c r="B1420" s="2"/>
      <c r="C1420" s="2"/>
      <c r="D1420" s="2"/>
      <c r="E1420" s="2"/>
      <c r="F1420" s="2"/>
      <c r="G1420" s="2"/>
      <c r="H1420" s="2"/>
      <c r="I1420" s="2"/>
      <c r="J1420" s="2"/>
      <c r="K1420" s="2"/>
      <c r="L1420" s="2"/>
      <c r="M1420" s="2"/>
      <c r="N1420" s="2"/>
      <c r="O1420" s="2"/>
      <c r="P1420" s="2"/>
      <c r="Q1420" s="2"/>
      <c r="R1420" s="2"/>
      <c r="S1420" s="2"/>
      <c r="T1420" s="2"/>
      <c r="U1420" s="2"/>
      <c r="V1420" s="2"/>
      <c r="W1420" s="2" t="str">
        <f>IFERROR(__xludf.DUMMYFUNCTION("""COMPUTED_VALUE"""),"VL103D")</f>
        <v>VL103D</v>
      </c>
      <c r="X1420" s="2"/>
      <c r="Y1420" s="2"/>
      <c r="Z1420" s="2"/>
      <c r="AA1420" s="2"/>
      <c r="AB1420" s="2"/>
    </row>
    <row r="1421">
      <c r="A1421" s="2"/>
      <c r="B1421" s="2"/>
      <c r="C1421" s="2"/>
      <c r="D1421" s="2"/>
      <c r="E1421" s="2"/>
      <c r="F1421" s="2"/>
      <c r="G1421" s="2"/>
      <c r="H1421" s="2"/>
      <c r="I1421" s="2"/>
      <c r="J1421" s="2"/>
      <c r="K1421" s="2"/>
      <c r="L1421" s="2"/>
      <c r="M1421" s="2"/>
      <c r="N1421" s="2"/>
      <c r="O1421" s="2"/>
      <c r="P1421" s="2"/>
      <c r="Q1421" s="2"/>
      <c r="R1421" s="2"/>
      <c r="S1421" s="2"/>
      <c r="T1421" s="2"/>
      <c r="U1421" s="2"/>
      <c r="V1421" s="2"/>
      <c r="W1421" s="2" t="str">
        <f>IFERROR(__xludf.DUMMYFUNCTION("""COMPUTED_VALUE"""),"VL103D")</f>
        <v>VL103D</v>
      </c>
      <c r="X1421" s="2"/>
      <c r="Y1421" s="2"/>
      <c r="Z1421" s="2"/>
      <c r="AA1421" s="2"/>
      <c r="AB1421" s="2"/>
    </row>
    <row r="1422">
      <c r="A1422" s="2"/>
      <c r="B1422" s="2"/>
      <c r="C1422" s="2"/>
      <c r="D1422" s="2"/>
      <c r="E1422" s="2"/>
      <c r="F1422" s="2"/>
      <c r="G1422" s="2"/>
      <c r="H1422" s="2"/>
      <c r="I1422" s="2"/>
      <c r="J1422" s="2"/>
      <c r="K1422" s="2"/>
      <c r="L1422" s="2"/>
      <c r="M1422" s="2"/>
      <c r="N1422" s="2"/>
      <c r="O1422" s="2"/>
      <c r="P1422" s="2"/>
      <c r="Q1422" s="2"/>
      <c r="R1422" s="2"/>
      <c r="S1422" s="2"/>
      <c r="T1422" s="2"/>
      <c r="U1422" s="2"/>
      <c r="V1422" s="2"/>
      <c r="W1422" s="2" t="str">
        <f>IFERROR(__xludf.DUMMYFUNCTION("""COMPUTED_VALUE"""),"VL103D")</f>
        <v>VL103D</v>
      </c>
      <c r="X1422" s="2"/>
      <c r="Y1422" s="2"/>
      <c r="Z1422" s="2"/>
      <c r="AA1422" s="2"/>
      <c r="AB1422" s="2"/>
    </row>
    <row r="1423">
      <c r="A1423" s="2"/>
      <c r="B1423" s="2"/>
      <c r="C1423" s="2"/>
      <c r="D1423" s="2"/>
      <c r="E1423" s="2"/>
      <c r="F1423" s="2"/>
      <c r="G1423" s="2"/>
      <c r="H1423" s="2"/>
      <c r="I1423" s="2"/>
      <c r="J1423" s="2"/>
      <c r="K1423" s="2"/>
      <c r="L1423" s="2"/>
      <c r="M1423" s="2"/>
      <c r="N1423" s="2"/>
      <c r="O1423" s="2"/>
      <c r="P1423" s="2"/>
      <c r="Q1423" s="2"/>
      <c r="R1423" s="2"/>
      <c r="S1423" s="2"/>
      <c r="T1423" s="2"/>
      <c r="U1423" s="2"/>
      <c r="V1423" s="2"/>
      <c r="W1423" s="2" t="str">
        <f>IFERROR(__xludf.DUMMYFUNCTION("""COMPUTED_VALUE"""),"VL103D")</f>
        <v>VL103D</v>
      </c>
      <c r="X1423" s="2"/>
      <c r="Y1423" s="2"/>
      <c r="Z1423" s="2"/>
      <c r="AA1423" s="2"/>
      <c r="AB1423" s="2"/>
    </row>
    <row r="1424">
      <c r="A1424" s="2"/>
      <c r="B1424" s="2"/>
      <c r="C1424" s="2"/>
      <c r="D1424" s="2"/>
      <c r="E1424" s="2"/>
      <c r="F1424" s="2"/>
      <c r="G1424" s="2"/>
      <c r="H1424" s="2"/>
      <c r="I1424" s="2"/>
      <c r="J1424" s="2"/>
      <c r="K1424" s="2"/>
      <c r="L1424" s="2"/>
      <c r="M1424" s="2"/>
      <c r="N1424" s="2"/>
      <c r="O1424" s="2"/>
      <c r="P1424" s="2"/>
      <c r="Q1424" s="2"/>
      <c r="R1424" s="2"/>
      <c r="S1424" s="2"/>
      <c r="T1424" s="2"/>
      <c r="U1424" s="2"/>
      <c r="V1424" s="2"/>
      <c r="W1424" s="2" t="str">
        <f>IFERROR(__xludf.DUMMYFUNCTION("""COMPUTED_VALUE"""),"VL103D")</f>
        <v>VL103D</v>
      </c>
      <c r="X1424" s="2"/>
      <c r="Y1424" s="2"/>
      <c r="Z1424" s="2"/>
      <c r="AA1424" s="2"/>
      <c r="AB1424" s="2"/>
    </row>
    <row r="1425">
      <c r="A1425" s="2"/>
      <c r="B1425" s="2"/>
      <c r="C1425" s="2"/>
      <c r="D1425" s="2"/>
      <c r="E1425" s="2"/>
      <c r="F1425" s="2"/>
      <c r="G1425" s="2"/>
      <c r="H1425" s="2"/>
      <c r="I1425" s="2"/>
      <c r="J1425" s="2"/>
      <c r="K1425" s="2"/>
      <c r="L1425" s="2"/>
      <c r="M1425" s="2"/>
      <c r="N1425" s="2"/>
      <c r="O1425" s="2"/>
      <c r="P1425" s="2"/>
      <c r="Q1425" s="2"/>
      <c r="R1425" s="2"/>
      <c r="S1425" s="2"/>
      <c r="T1425" s="2"/>
      <c r="U1425" s="2"/>
      <c r="V1425" s="2"/>
      <c r="W1425" s="2" t="str">
        <f>IFERROR(__xludf.DUMMYFUNCTION("""COMPUTED_VALUE"""),"VL103D")</f>
        <v>VL103D</v>
      </c>
      <c r="X1425" s="2"/>
      <c r="Y1425" s="2"/>
      <c r="Z1425" s="2"/>
      <c r="AA1425" s="2"/>
      <c r="AB1425" s="2"/>
    </row>
    <row r="1426">
      <c r="A1426" s="2"/>
      <c r="B1426" s="2"/>
      <c r="C1426" s="2"/>
      <c r="D1426" s="2"/>
      <c r="E1426" s="2"/>
      <c r="F1426" s="2"/>
      <c r="G1426" s="2"/>
      <c r="H1426" s="2"/>
      <c r="I1426" s="2"/>
      <c r="J1426" s="2"/>
      <c r="K1426" s="2"/>
      <c r="L1426" s="2"/>
      <c r="M1426" s="2"/>
      <c r="N1426" s="2"/>
      <c r="O1426" s="2"/>
      <c r="P1426" s="2"/>
      <c r="Q1426" s="2"/>
      <c r="R1426" s="2"/>
      <c r="S1426" s="2"/>
      <c r="T1426" s="2"/>
      <c r="U1426" s="2"/>
      <c r="V1426" s="2"/>
      <c r="W1426" s="2" t="str">
        <f>IFERROR(__xludf.DUMMYFUNCTION("""COMPUTED_VALUE"""),"VL103D")</f>
        <v>VL103D</v>
      </c>
      <c r="X1426" s="2"/>
      <c r="Y1426" s="2"/>
      <c r="Z1426" s="2"/>
      <c r="AA1426" s="2"/>
      <c r="AB1426" s="2"/>
    </row>
    <row r="1427">
      <c r="A1427" s="2"/>
      <c r="B1427" s="2"/>
      <c r="C1427" s="2"/>
      <c r="D1427" s="2"/>
      <c r="E1427" s="2"/>
      <c r="F1427" s="2"/>
      <c r="G1427" s="2"/>
      <c r="H1427" s="2"/>
      <c r="I1427" s="2"/>
      <c r="J1427" s="2"/>
      <c r="K1427" s="2"/>
      <c r="L1427" s="2"/>
      <c r="M1427" s="2"/>
      <c r="N1427" s="2"/>
      <c r="O1427" s="2"/>
      <c r="P1427" s="2"/>
      <c r="Q1427" s="2"/>
      <c r="R1427" s="2"/>
      <c r="S1427" s="2"/>
      <c r="T1427" s="2"/>
      <c r="U1427" s="2"/>
      <c r="V1427" s="2"/>
      <c r="W1427" s="2" t="str">
        <f>IFERROR(__xludf.DUMMYFUNCTION("""COMPUTED_VALUE"""),"VL103D")</f>
        <v>VL103D</v>
      </c>
      <c r="X1427" s="2"/>
      <c r="Y1427" s="2"/>
      <c r="Z1427" s="2"/>
      <c r="AA1427" s="2"/>
      <c r="AB1427" s="2"/>
    </row>
    <row r="1428">
      <c r="A1428" s="2"/>
      <c r="B1428" s="2"/>
      <c r="C1428" s="2"/>
      <c r="D1428" s="2"/>
      <c r="E1428" s="2"/>
      <c r="F1428" s="2"/>
      <c r="G1428" s="2"/>
      <c r="H1428" s="2"/>
      <c r="I1428" s="2"/>
      <c r="J1428" s="2"/>
      <c r="K1428" s="2"/>
      <c r="L1428" s="2"/>
      <c r="M1428" s="2"/>
      <c r="N1428" s="2"/>
      <c r="O1428" s="2"/>
      <c r="P1428" s="2"/>
      <c r="Q1428" s="2"/>
      <c r="R1428" s="2"/>
      <c r="S1428" s="2"/>
      <c r="T1428" s="2"/>
      <c r="U1428" s="2"/>
      <c r="V1428" s="2"/>
      <c r="W1428" s="2" t="str">
        <f>IFERROR(__xludf.DUMMYFUNCTION("""COMPUTED_VALUE"""),"VL103D")</f>
        <v>VL103D</v>
      </c>
      <c r="X1428" s="2"/>
      <c r="Y1428" s="2"/>
      <c r="Z1428" s="2"/>
      <c r="AA1428" s="2"/>
      <c r="AB1428" s="2"/>
    </row>
    <row r="1429">
      <c r="A1429" s="2"/>
      <c r="B1429" s="2"/>
      <c r="C1429" s="2"/>
      <c r="D1429" s="2"/>
      <c r="E1429" s="2"/>
      <c r="F1429" s="2"/>
      <c r="G1429" s="2"/>
      <c r="H1429" s="2"/>
      <c r="I1429" s="2"/>
      <c r="J1429" s="2"/>
      <c r="K1429" s="2"/>
      <c r="L1429" s="2"/>
      <c r="M1429" s="2"/>
      <c r="N1429" s="2"/>
      <c r="O1429" s="2"/>
      <c r="P1429" s="2"/>
      <c r="Q1429" s="2"/>
      <c r="R1429" s="2"/>
      <c r="S1429" s="2"/>
      <c r="T1429" s="2"/>
      <c r="U1429" s="2"/>
      <c r="V1429" s="2"/>
      <c r="W1429" s="2" t="str">
        <f>IFERROR(__xludf.DUMMYFUNCTION("""COMPUTED_VALUE"""),"VL103D")</f>
        <v>VL103D</v>
      </c>
      <c r="X1429" s="2"/>
      <c r="Y1429" s="2"/>
      <c r="Z1429" s="2"/>
      <c r="AA1429" s="2"/>
      <c r="AB1429" s="2"/>
    </row>
    <row r="1430">
      <c r="A1430" s="2"/>
      <c r="B1430" s="2"/>
      <c r="C1430" s="2"/>
      <c r="D1430" s="2"/>
      <c r="E1430" s="2"/>
      <c r="F1430" s="2"/>
      <c r="G1430" s="2"/>
      <c r="H1430" s="2"/>
      <c r="I1430" s="2"/>
      <c r="J1430" s="2"/>
      <c r="K1430" s="2"/>
      <c r="L1430" s="2"/>
      <c r="M1430" s="2"/>
      <c r="N1430" s="2"/>
      <c r="O1430" s="2"/>
      <c r="P1430" s="2"/>
      <c r="Q1430" s="2"/>
      <c r="R1430" s="2"/>
      <c r="S1430" s="2"/>
      <c r="T1430" s="2"/>
      <c r="U1430" s="2"/>
      <c r="V1430" s="2"/>
      <c r="W1430" s="2" t="str">
        <f>IFERROR(__xludf.DUMMYFUNCTION("""COMPUTED_VALUE"""),"VL103D")</f>
        <v>VL103D</v>
      </c>
      <c r="X1430" s="2"/>
      <c r="Y1430" s="2"/>
      <c r="Z1430" s="2"/>
      <c r="AA1430" s="2"/>
      <c r="AB1430" s="2"/>
    </row>
    <row r="1431">
      <c r="A1431" s="2"/>
      <c r="B1431" s="2"/>
      <c r="C1431" s="2"/>
      <c r="D1431" s="2"/>
      <c r="E1431" s="2"/>
      <c r="F1431" s="2"/>
      <c r="G1431" s="2"/>
      <c r="H1431" s="2"/>
      <c r="I1431" s="2"/>
      <c r="J1431" s="2"/>
      <c r="K1431" s="2"/>
      <c r="L1431" s="2"/>
      <c r="M1431" s="2"/>
      <c r="N1431" s="2"/>
      <c r="O1431" s="2"/>
      <c r="P1431" s="2"/>
      <c r="Q1431" s="2"/>
      <c r="R1431" s="2"/>
      <c r="S1431" s="2"/>
      <c r="T1431" s="2"/>
      <c r="U1431" s="2"/>
      <c r="V1431" s="2"/>
      <c r="W1431" s="2" t="str">
        <f>IFERROR(__xludf.DUMMYFUNCTION("""COMPUTED_VALUE"""),"VL103D")</f>
        <v>VL103D</v>
      </c>
      <c r="X1431" s="2"/>
      <c r="Y1431" s="2"/>
      <c r="Z1431" s="2"/>
      <c r="AA1431" s="2"/>
      <c r="AB1431" s="2"/>
    </row>
    <row r="1432">
      <c r="A1432" s="2"/>
      <c r="B1432" s="2"/>
      <c r="C1432" s="2"/>
      <c r="D1432" s="2"/>
      <c r="E1432" s="2"/>
      <c r="F1432" s="2"/>
      <c r="G1432" s="2"/>
      <c r="H1432" s="2"/>
      <c r="I1432" s="2"/>
      <c r="J1432" s="2"/>
      <c r="K1432" s="2"/>
      <c r="L1432" s="2"/>
      <c r="M1432" s="2"/>
      <c r="N1432" s="2"/>
      <c r="O1432" s="2"/>
      <c r="P1432" s="2"/>
      <c r="Q1432" s="2"/>
      <c r="R1432" s="2"/>
      <c r="S1432" s="2"/>
      <c r="T1432" s="2"/>
      <c r="U1432" s="2"/>
      <c r="V1432" s="2"/>
      <c r="W1432" s="2" t="str">
        <f>IFERROR(__xludf.DUMMYFUNCTION("""COMPUTED_VALUE"""),"VL103D")</f>
        <v>VL103D</v>
      </c>
      <c r="X1432" s="2"/>
      <c r="Y1432" s="2"/>
      <c r="Z1432" s="2"/>
      <c r="AA1432" s="2"/>
      <c r="AB1432" s="2"/>
    </row>
    <row r="1433">
      <c r="A1433" s="2"/>
      <c r="B1433" s="2"/>
      <c r="C1433" s="2"/>
      <c r="D1433" s="2"/>
      <c r="E1433" s="2"/>
      <c r="F1433" s="2"/>
      <c r="G1433" s="2"/>
      <c r="H1433" s="2"/>
      <c r="I1433" s="2"/>
      <c r="J1433" s="2"/>
      <c r="K1433" s="2"/>
      <c r="L1433" s="2"/>
      <c r="M1433" s="2"/>
      <c r="N1433" s="2"/>
      <c r="O1433" s="2"/>
      <c r="P1433" s="2"/>
      <c r="Q1433" s="2"/>
      <c r="R1433" s="2"/>
      <c r="S1433" s="2"/>
      <c r="T1433" s="2"/>
      <c r="U1433" s="2"/>
      <c r="V1433" s="2"/>
      <c r="W1433" s="2" t="str">
        <f>IFERROR(__xludf.DUMMYFUNCTION("""COMPUTED_VALUE"""),"VL103D")</f>
        <v>VL103D</v>
      </c>
      <c r="X1433" s="2"/>
      <c r="Y1433" s="2"/>
      <c r="Z1433" s="2"/>
      <c r="AA1433" s="2"/>
      <c r="AB1433" s="2"/>
    </row>
    <row r="1434">
      <c r="A1434" s="2"/>
      <c r="B1434" s="2"/>
      <c r="C1434" s="2"/>
      <c r="D1434" s="2"/>
      <c r="E1434" s="2"/>
      <c r="F1434" s="2"/>
      <c r="G1434" s="2"/>
      <c r="H1434" s="2"/>
      <c r="I1434" s="2"/>
      <c r="J1434" s="2"/>
      <c r="K1434" s="2"/>
      <c r="L1434" s="2"/>
      <c r="M1434" s="2"/>
      <c r="N1434" s="2"/>
      <c r="O1434" s="2"/>
      <c r="P1434" s="2"/>
      <c r="Q1434" s="2"/>
      <c r="R1434" s="2"/>
      <c r="S1434" s="2"/>
      <c r="T1434" s="2"/>
      <c r="U1434" s="2"/>
      <c r="V1434" s="2"/>
      <c r="W1434" s="2" t="str">
        <f>IFERROR(__xludf.DUMMYFUNCTION("""COMPUTED_VALUE"""),"VL103D")</f>
        <v>VL103D</v>
      </c>
      <c r="X1434" s="2"/>
      <c r="Y1434" s="2"/>
      <c r="Z1434" s="2"/>
      <c r="AA1434" s="2"/>
      <c r="AB1434" s="2"/>
    </row>
    <row r="1435">
      <c r="A1435" s="2"/>
      <c r="B1435" s="2"/>
      <c r="C1435" s="2"/>
      <c r="D1435" s="2"/>
      <c r="E1435" s="2"/>
      <c r="F1435" s="2"/>
      <c r="G1435" s="2"/>
      <c r="H1435" s="2"/>
      <c r="I1435" s="2"/>
      <c r="J1435" s="2"/>
      <c r="K1435" s="2"/>
      <c r="L1435" s="2"/>
      <c r="M1435" s="2"/>
      <c r="N1435" s="2"/>
      <c r="O1435" s="2"/>
      <c r="P1435" s="2"/>
      <c r="Q1435" s="2"/>
      <c r="R1435" s="2"/>
      <c r="S1435" s="2"/>
      <c r="T1435" s="2"/>
      <c r="U1435" s="2"/>
      <c r="V1435" s="2"/>
      <c r="W1435" s="2" t="str">
        <f>IFERROR(__xludf.DUMMYFUNCTION("""COMPUTED_VALUE"""),"VL103D")</f>
        <v>VL103D</v>
      </c>
      <c r="X1435" s="2"/>
      <c r="Y1435" s="2"/>
      <c r="Z1435" s="2"/>
      <c r="AA1435" s="2"/>
      <c r="AB1435" s="2"/>
    </row>
    <row r="1436">
      <c r="A1436" s="2"/>
      <c r="B1436" s="2"/>
      <c r="C1436" s="2"/>
      <c r="D1436" s="2"/>
      <c r="E1436" s="2"/>
      <c r="F1436" s="2"/>
      <c r="G1436" s="2"/>
      <c r="H1436" s="2"/>
      <c r="I1436" s="2"/>
      <c r="J1436" s="2"/>
      <c r="K1436" s="2"/>
      <c r="L1436" s="2"/>
      <c r="M1436" s="2"/>
      <c r="N1436" s="2"/>
      <c r="O1436" s="2"/>
      <c r="P1436" s="2"/>
      <c r="Q1436" s="2"/>
      <c r="R1436" s="2"/>
      <c r="S1436" s="2"/>
      <c r="T1436" s="2"/>
      <c r="U1436" s="2"/>
      <c r="V1436" s="2"/>
      <c r="W1436" s="2" t="str">
        <f>IFERROR(__xludf.DUMMYFUNCTION("""COMPUTED_VALUE"""),"VL103D")</f>
        <v>VL103D</v>
      </c>
      <c r="X1436" s="2"/>
      <c r="Y1436" s="2"/>
      <c r="Z1436" s="2"/>
      <c r="AA1436" s="2"/>
      <c r="AB1436" s="2"/>
    </row>
    <row r="1437">
      <c r="A1437" s="2"/>
      <c r="B1437" s="2"/>
      <c r="C1437" s="2"/>
      <c r="D1437" s="2"/>
      <c r="E1437" s="2"/>
      <c r="F1437" s="2"/>
      <c r="G1437" s="2"/>
      <c r="H1437" s="2"/>
      <c r="I1437" s="2"/>
      <c r="J1437" s="2"/>
      <c r="K1437" s="2"/>
      <c r="L1437" s="2"/>
      <c r="M1437" s="2"/>
      <c r="N1437" s="2"/>
      <c r="O1437" s="2"/>
      <c r="P1437" s="2"/>
      <c r="Q1437" s="2"/>
      <c r="R1437" s="2"/>
      <c r="S1437" s="2"/>
      <c r="T1437" s="2"/>
      <c r="U1437" s="2"/>
      <c r="V1437" s="2"/>
      <c r="W1437" s="2" t="str">
        <f>IFERROR(__xludf.DUMMYFUNCTION("""COMPUTED_VALUE"""),"VL103D")</f>
        <v>VL103D</v>
      </c>
      <c r="X1437" s="2"/>
      <c r="Y1437" s="2"/>
      <c r="Z1437" s="2"/>
      <c r="AA1437" s="2"/>
      <c r="AB1437" s="2"/>
    </row>
    <row r="1438">
      <c r="A1438" s="2"/>
      <c r="B1438" s="2"/>
      <c r="C1438" s="2"/>
      <c r="D1438" s="2"/>
      <c r="E1438" s="2"/>
      <c r="F1438" s="2"/>
      <c r="G1438" s="2"/>
      <c r="H1438" s="2"/>
      <c r="I1438" s="2"/>
      <c r="J1438" s="2"/>
      <c r="K1438" s="2"/>
      <c r="L1438" s="2"/>
      <c r="M1438" s="2"/>
      <c r="N1438" s="2"/>
      <c r="O1438" s="2"/>
      <c r="P1438" s="2"/>
      <c r="Q1438" s="2"/>
      <c r="R1438" s="2"/>
      <c r="S1438" s="2"/>
      <c r="T1438" s="2"/>
      <c r="U1438" s="2"/>
      <c r="V1438" s="2"/>
      <c r="W1438" s="2" t="str">
        <f>IFERROR(__xludf.DUMMYFUNCTION("""COMPUTED_VALUE"""),"VL103D")</f>
        <v>VL103D</v>
      </c>
      <c r="X1438" s="2"/>
      <c r="Y1438" s="2"/>
      <c r="Z1438" s="2"/>
      <c r="AA1438" s="2"/>
      <c r="AB1438" s="2"/>
    </row>
    <row r="1439">
      <c r="A1439" s="2"/>
      <c r="B1439" s="2"/>
      <c r="C1439" s="2"/>
      <c r="D1439" s="2"/>
      <c r="E1439" s="2"/>
      <c r="F1439" s="2"/>
      <c r="G1439" s="2"/>
      <c r="H1439" s="2"/>
      <c r="I1439" s="2"/>
      <c r="J1439" s="2"/>
      <c r="K1439" s="2"/>
      <c r="L1439" s="2"/>
      <c r="M1439" s="2"/>
      <c r="N1439" s="2"/>
      <c r="O1439" s="2"/>
      <c r="P1439" s="2"/>
      <c r="Q1439" s="2"/>
      <c r="R1439" s="2"/>
      <c r="S1439" s="2"/>
      <c r="T1439" s="2"/>
      <c r="U1439" s="2"/>
      <c r="V1439" s="2"/>
      <c r="W1439" s="2" t="str">
        <f>IFERROR(__xludf.DUMMYFUNCTION("""COMPUTED_VALUE"""),"VL103D")</f>
        <v>VL103D</v>
      </c>
      <c r="X1439" s="2"/>
      <c r="Y1439" s="2"/>
      <c r="Z1439" s="2"/>
      <c r="AA1439" s="2"/>
      <c r="AB1439" s="2"/>
    </row>
    <row r="1440">
      <c r="A1440" s="2"/>
      <c r="B1440" s="2"/>
      <c r="C1440" s="2"/>
      <c r="D1440" s="2"/>
      <c r="E1440" s="2"/>
      <c r="F1440" s="2"/>
      <c r="G1440" s="2"/>
      <c r="H1440" s="2"/>
      <c r="I1440" s="2"/>
      <c r="J1440" s="2"/>
      <c r="K1440" s="2"/>
      <c r="L1440" s="2"/>
      <c r="M1440" s="2"/>
      <c r="N1440" s="2"/>
      <c r="O1440" s="2"/>
      <c r="P1440" s="2"/>
      <c r="Q1440" s="2"/>
      <c r="R1440" s="2"/>
      <c r="S1440" s="2"/>
      <c r="T1440" s="2"/>
      <c r="U1440" s="2"/>
      <c r="V1440" s="2"/>
      <c r="W1440" s="2" t="str">
        <f>IFERROR(__xludf.DUMMYFUNCTION("""COMPUTED_VALUE"""),"VL103D")</f>
        <v>VL103D</v>
      </c>
      <c r="X1440" s="2"/>
      <c r="Y1440" s="2"/>
      <c r="Z1440" s="2"/>
      <c r="AA1440" s="2"/>
      <c r="AB1440" s="2"/>
    </row>
    <row r="1441">
      <c r="A1441" s="2"/>
      <c r="B1441" s="2"/>
      <c r="C1441" s="2"/>
      <c r="D1441" s="2"/>
      <c r="E1441" s="2"/>
      <c r="F1441" s="2"/>
      <c r="G1441" s="2"/>
      <c r="H1441" s="2"/>
      <c r="I1441" s="2"/>
      <c r="J1441" s="2"/>
      <c r="K1441" s="2"/>
      <c r="L1441" s="2"/>
      <c r="M1441" s="2"/>
      <c r="N1441" s="2"/>
      <c r="O1441" s="2"/>
      <c r="P1441" s="2"/>
      <c r="Q1441" s="2"/>
      <c r="R1441" s="2"/>
      <c r="S1441" s="2"/>
      <c r="T1441" s="2"/>
      <c r="U1441" s="2"/>
      <c r="V1441" s="2"/>
      <c r="W1441" s="2" t="str">
        <f>IFERROR(__xludf.DUMMYFUNCTION("""COMPUTED_VALUE"""),"VL103D")</f>
        <v>VL103D</v>
      </c>
      <c r="X1441" s="2"/>
      <c r="Y1441" s="2"/>
      <c r="Z1441" s="2"/>
      <c r="AA1441" s="2"/>
      <c r="AB1441" s="2"/>
    </row>
    <row r="1442">
      <c r="A1442" s="2"/>
      <c r="B1442" s="2"/>
      <c r="C1442" s="2"/>
      <c r="D1442" s="2"/>
      <c r="E1442" s="2"/>
      <c r="F1442" s="2"/>
      <c r="G1442" s="2"/>
      <c r="H1442" s="2"/>
      <c r="I1442" s="2"/>
      <c r="J1442" s="2"/>
      <c r="K1442" s="2"/>
      <c r="L1442" s="2"/>
      <c r="M1442" s="2"/>
      <c r="N1442" s="2"/>
      <c r="O1442" s="2"/>
      <c r="P1442" s="2"/>
      <c r="Q1442" s="2"/>
      <c r="R1442" s="2"/>
      <c r="S1442" s="2"/>
      <c r="T1442" s="2"/>
      <c r="U1442" s="2"/>
      <c r="V1442" s="2"/>
      <c r="W1442" s="2" t="str">
        <f>IFERROR(__xludf.DUMMYFUNCTION("""COMPUTED_VALUE"""),"VL103D")</f>
        <v>VL103D</v>
      </c>
      <c r="X1442" s="2"/>
      <c r="Y1442" s="2"/>
      <c r="Z1442" s="2"/>
      <c r="AA1442" s="2"/>
      <c r="AB1442" s="2"/>
    </row>
    <row r="1443">
      <c r="A1443" s="2"/>
      <c r="B1443" s="2"/>
      <c r="C1443" s="2"/>
      <c r="D1443" s="2"/>
      <c r="E1443" s="2"/>
      <c r="F1443" s="2"/>
      <c r="G1443" s="2"/>
      <c r="H1443" s="2"/>
      <c r="I1443" s="2"/>
      <c r="J1443" s="2"/>
      <c r="K1443" s="2"/>
      <c r="L1443" s="2"/>
      <c r="M1443" s="2"/>
      <c r="N1443" s="2"/>
      <c r="O1443" s="2"/>
      <c r="P1443" s="2"/>
      <c r="Q1443" s="2"/>
      <c r="R1443" s="2"/>
      <c r="S1443" s="2"/>
      <c r="T1443" s="2"/>
      <c r="U1443" s="2"/>
      <c r="V1443" s="2"/>
      <c r="W1443" s="2" t="str">
        <f>IFERROR(__xludf.DUMMYFUNCTION("""COMPUTED_VALUE"""),"VL103D")</f>
        <v>VL103D</v>
      </c>
      <c r="X1443" s="2"/>
      <c r="Y1443" s="2"/>
      <c r="Z1443" s="2"/>
      <c r="AA1443" s="2"/>
      <c r="AB1443" s="2"/>
    </row>
    <row r="1444">
      <c r="A1444" s="2"/>
      <c r="B1444" s="2"/>
      <c r="C1444" s="2"/>
      <c r="D1444" s="2"/>
      <c r="E1444" s="2"/>
      <c r="F1444" s="2"/>
      <c r="G1444" s="2"/>
      <c r="H1444" s="2"/>
      <c r="I1444" s="2"/>
      <c r="J1444" s="2"/>
      <c r="K1444" s="2"/>
      <c r="L1444" s="2"/>
      <c r="M1444" s="2"/>
      <c r="N1444" s="2"/>
      <c r="O1444" s="2"/>
      <c r="P1444" s="2"/>
      <c r="Q1444" s="2"/>
      <c r="R1444" s="2"/>
      <c r="S1444" s="2"/>
      <c r="T1444" s="2"/>
      <c r="U1444" s="2"/>
      <c r="V1444" s="2"/>
      <c r="W1444" s="2" t="str">
        <f>IFERROR(__xludf.DUMMYFUNCTION("""COMPUTED_VALUE"""),"VL103D")</f>
        <v>VL103D</v>
      </c>
      <c r="X1444" s="2"/>
      <c r="Y1444" s="2"/>
      <c r="Z1444" s="2"/>
      <c r="AA1444" s="2"/>
      <c r="AB1444" s="2"/>
    </row>
    <row r="1445">
      <c r="A1445" s="2"/>
      <c r="B1445" s="2"/>
      <c r="C1445" s="2"/>
      <c r="D1445" s="2"/>
      <c r="E1445" s="2"/>
      <c r="F1445" s="2"/>
      <c r="G1445" s="2"/>
      <c r="H1445" s="2"/>
      <c r="I1445" s="2"/>
      <c r="J1445" s="2"/>
      <c r="K1445" s="2"/>
      <c r="L1445" s="2"/>
      <c r="M1445" s="2"/>
      <c r="N1445" s="2"/>
      <c r="O1445" s="2"/>
      <c r="P1445" s="2"/>
      <c r="Q1445" s="2"/>
      <c r="R1445" s="2"/>
      <c r="S1445" s="2"/>
      <c r="T1445" s="2"/>
      <c r="U1445" s="2"/>
      <c r="V1445" s="2"/>
      <c r="W1445" s="2" t="str">
        <f>IFERROR(__xludf.DUMMYFUNCTION("""COMPUTED_VALUE"""),"VL103D")</f>
        <v>VL103D</v>
      </c>
      <c r="X1445" s="2"/>
      <c r="Y1445" s="2"/>
      <c r="Z1445" s="2"/>
      <c r="AA1445" s="2"/>
      <c r="AB1445" s="2"/>
    </row>
    <row r="1446">
      <c r="A1446" s="2"/>
      <c r="B1446" s="2"/>
      <c r="C1446" s="2"/>
      <c r="D1446" s="2"/>
      <c r="E1446" s="2"/>
      <c r="F1446" s="2"/>
      <c r="G1446" s="2"/>
      <c r="H1446" s="2"/>
      <c r="I1446" s="2"/>
      <c r="J1446" s="2"/>
      <c r="K1446" s="2"/>
      <c r="L1446" s="2"/>
      <c r="M1446" s="2"/>
      <c r="N1446" s="2"/>
      <c r="O1446" s="2"/>
      <c r="P1446" s="2"/>
      <c r="Q1446" s="2"/>
      <c r="R1446" s="2"/>
      <c r="S1446" s="2"/>
      <c r="T1446" s="2"/>
      <c r="U1446" s="2"/>
      <c r="V1446" s="2"/>
      <c r="W1446" s="2" t="str">
        <f>IFERROR(__xludf.DUMMYFUNCTION("""COMPUTED_VALUE"""),"VL103D")</f>
        <v>VL103D</v>
      </c>
      <c r="X1446" s="2"/>
      <c r="Y1446" s="2"/>
      <c r="Z1446" s="2"/>
      <c r="AA1446" s="2"/>
      <c r="AB1446" s="2"/>
    </row>
    <row r="1447">
      <c r="A1447" s="2"/>
      <c r="B1447" s="2"/>
      <c r="C1447" s="2"/>
      <c r="D1447" s="2"/>
      <c r="E1447" s="2"/>
      <c r="F1447" s="2"/>
      <c r="G1447" s="2"/>
      <c r="H1447" s="2"/>
      <c r="I1447" s="2"/>
      <c r="J1447" s="2"/>
      <c r="K1447" s="2"/>
      <c r="L1447" s="2"/>
      <c r="M1447" s="2"/>
      <c r="N1447" s="2"/>
      <c r="O1447" s="2"/>
      <c r="P1447" s="2"/>
      <c r="Q1447" s="2"/>
      <c r="R1447" s="2"/>
      <c r="S1447" s="2"/>
      <c r="T1447" s="2"/>
      <c r="U1447" s="2"/>
      <c r="V1447" s="2"/>
      <c r="W1447" s="2" t="str">
        <f>IFERROR(__xludf.DUMMYFUNCTION("""COMPUTED_VALUE"""),"VL103D")</f>
        <v>VL103D</v>
      </c>
      <c r="X1447" s="2"/>
      <c r="Y1447" s="2"/>
      <c r="Z1447" s="2"/>
      <c r="AA1447" s="2"/>
      <c r="AB1447" s="2"/>
    </row>
    <row r="1448">
      <c r="A1448" s="2"/>
      <c r="B1448" s="2"/>
      <c r="C1448" s="2"/>
      <c r="D1448" s="2"/>
      <c r="E1448" s="2"/>
      <c r="F1448" s="2"/>
      <c r="G1448" s="2"/>
      <c r="H1448" s="2"/>
      <c r="I1448" s="2"/>
      <c r="J1448" s="2"/>
      <c r="K1448" s="2"/>
      <c r="L1448" s="2"/>
      <c r="M1448" s="2"/>
      <c r="N1448" s="2"/>
      <c r="O1448" s="2"/>
      <c r="P1448" s="2"/>
      <c r="Q1448" s="2"/>
      <c r="R1448" s="2"/>
      <c r="S1448" s="2"/>
      <c r="T1448" s="2"/>
      <c r="U1448" s="2"/>
      <c r="V1448" s="2"/>
      <c r="W1448" s="2" t="str">
        <f>IFERROR(__xludf.DUMMYFUNCTION("""COMPUTED_VALUE"""),"VL103D")</f>
        <v>VL103D</v>
      </c>
      <c r="X1448" s="2"/>
      <c r="Y1448" s="2"/>
      <c r="Z1448" s="2"/>
      <c r="AA1448" s="2"/>
      <c r="AB1448" s="2"/>
    </row>
    <row r="1449">
      <c r="A1449" s="2"/>
      <c r="B1449" s="2"/>
      <c r="C1449" s="2"/>
      <c r="D1449" s="2"/>
      <c r="E1449" s="2"/>
      <c r="F1449" s="2"/>
      <c r="G1449" s="2"/>
      <c r="H1449" s="2"/>
      <c r="I1449" s="2"/>
      <c r="J1449" s="2"/>
      <c r="K1449" s="2"/>
      <c r="L1449" s="2"/>
      <c r="M1449" s="2"/>
      <c r="N1449" s="2"/>
      <c r="O1449" s="2"/>
      <c r="P1449" s="2"/>
      <c r="Q1449" s="2"/>
      <c r="R1449" s="2"/>
      <c r="S1449" s="2"/>
      <c r="T1449" s="2"/>
      <c r="U1449" s="2"/>
      <c r="V1449" s="2"/>
      <c r="W1449" s="2" t="str">
        <f>IFERROR(__xludf.DUMMYFUNCTION("""COMPUTED_VALUE"""),"VL103D")</f>
        <v>VL103D</v>
      </c>
      <c r="X1449" s="2"/>
      <c r="Y1449" s="2"/>
      <c r="Z1449" s="2"/>
      <c r="AA1449" s="2"/>
      <c r="AB1449" s="2"/>
    </row>
    <row r="1450">
      <c r="A1450" s="2"/>
      <c r="B1450" s="2"/>
      <c r="C1450" s="2"/>
      <c r="D1450" s="2"/>
      <c r="E1450" s="2"/>
      <c r="F1450" s="2"/>
      <c r="G1450" s="2"/>
      <c r="H1450" s="2"/>
      <c r="I1450" s="2"/>
      <c r="J1450" s="2"/>
      <c r="K1450" s="2"/>
      <c r="L1450" s="2"/>
      <c r="M1450" s="2"/>
      <c r="N1450" s="2"/>
      <c r="O1450" s="2"/>
      <c r="P1450" s="2"/>
      <c r="Q1450" s="2"/>
      <c r="R1450" s="2"/>
      <c r="S1450" s="2"/>
      <c r="T1450" s="2"/>
      <c r="U1450" s="2"/>
      <c r="V1450" s="2"/>
      <c r="W1450" s="2" t="str">
        <f>IFERROR(__xludf.DUMMYFUNCTION("""COMPUTED_VALUE"""),"VL103D")</f>
        <v>VL103D</v>
      </c>
      <c r="X1450" s="2"/>
      <c r="Y1450" s="2"/>
      <c r="Z1450" s="2"/>
      <c r="AA1450" s="2"/>
      <c r="AB1450" s="2"/>
    </row>
    <row r="1451">
      <c r="A1451" s="2"/>
      <c r="B1451" s="2"/>
      <c r="C1451" s="2"/>
      <c r="D1451" s="2"/>
      <c r="E1451" s="2"/>
      <c r="F1451" s="2"/>
      <c r="G1451" s="2"/>
      <c r="H1451" s="2"/>
      <c r="I1451" s="2"/>
      <c r="J1451" s="2"/>
      <c r="K1451" s="2"/>
      <c r="L1451" s="2"/>
      <c r="M1451" s="2"/>
      <c r="N1451" s="2"/>
      <c r="O1451" s="2"/>
      <c r="P1451" s="2"/>
      <c r="Q1451" s="2"/>
      <c r="R1451" s="2"/>
      <c r="S1451" s="2"/>
      <c r="T1451" s="2"/>
      <c r="U1451" s="2"/>
      <c r="V1451" s="2"/>
      <c r="W1451" s="2" t="str">
        <f>IFERROR(__xludf.DUMMYFUNCTION("""COMPUTED_VALUE"""),"VL103D")</f>
        <v>VL103D</v>
      </c>
      <c r="X1451" s="2"/>
      <c r="Y1451" s="2"/>
      <c r="Z1451" s="2"/>
      <c r="AA1451" s="2"/>
      <c r="AB1451" s="2"/>
    </row>
    <row r="1452">
      <c r="A1452" s="2"/>
      <c r="B1452" s="2"/>
      <c r="C1452" s="2"/>
      <c r="D1452" s="2"/>
      <c r="E1452" s="2"/>
      <c r="F1452" s="2"/>
      <c r="G1452" s="2"/>
      <c r="H1452" s="2"/>
      <c r="I1452" s="2"/>
      <c r="J1452" s="2"/>
      <c r="K1452" s="2"/>
      <c r="L1452" s="2"/>
      <c r="M1452" s="2"/>
      <c r="N1452" s="2"/>
      <c r="O1452" s="2"/>
      <c r="P1452" s="2"/>
      <c r="Q1452" s="2"/>
      <c r="R1452" s="2"/>
      <c r="S1452" s="2"/>
      <c r="T1452" s="2"/>
      <c r="U1452" s="2"/>
      <c r="V1452" s="2"/>
      <c r="W1452" s="2" t="str">
        <f>IFERROR(__xludf.DUMMYFUNCTION("""COMPUTED_VALUE"""),"VL103D")</f>
        <v>VL103D</v>
      </c>
      <c r="X1452" s="2"/>
      <c r="Y1452" s="2"/>
      <c r="Z1452" s="2"/>
      <c r="AA1452" s="2"/>
      <c r="AB1452" s="2"/>
    </row>
    <row r="1453">
      <c r="A1453" s="2"/>
      <c r="B1453" s="2"/>
      <c r="C1453" s="2"/>
      <c r="D1453" s="2"/>
      <c r="E1453" s="2"/>
      <c r="F1453" s="2"/>
      <c r="G1453" s="2"/>
      <c r="H1453" s="2"/>
      <c r="I1453" s="2"/>
      <c r="J1453" s="2"/>
      <c r="K1453" s="2"/>
      <c r="L1453" s="2"/>
      <c r="M1453" s="2"/>
      <c r="N1453" s="2"/>
      <c r="O1453" s="2"/>
      <c r="P1453" s="2"/>
      <c r="Q1453" s="2"/>
      <c r="R1453" s="2"/>
      <c r="S1453" s="2"/>
      <c r="T1453" s="2"/>
      <c r="U1453" s="2"/>
      <c r="V1453" s="2"/>
      <c r="W1453" s="2" t="str">
        <f>IFERROR(__xludf.DUMMYFUNCTION("""COMPUTED_VALUE"""),"VL103D")</f>
        <v>VL103D</v>
      </c>
      <c r="X1453" s="2"/>
      <c r="Y1453" s="2"/>
      <c r="Z1453" s="2"/>
      <c r="AA1453" s="2"/>
      <c r="AB1453" s="2"/>
    </row>
    <row r="1454">
      <c r="A1454" s="2"/>
      <c r="B1454" s="2"/>
      <c r="C1454" s="2"/>
      <c r="D1454" s="2"/>
      <c r="E1454" s="2"/>
      <c r="F1454" s="2"/>
      <c r="G1454" s="2"/>
      <c r="H1454" s="2"/>
      <c r="I1454" s="2"/>
      <c r="J1454" s="2"/>
      <c r="K1454" s="2"/>
      <c r="L1454" s="2"/>
      <c r="M1454" s="2"/>
      <c r="N1454" s="2"/>
      <c r="O1454" s="2"/>
      <c r="P1454" s="2"/>
      <c r="Q1454" s="2"/>
      <c r="R1454" s="2"/>
      <c r="S1454" s="2"/>
      <c r="T1454" s="2"/>
      <c r="U1454" s="2"/>
      <c r="V1454" s="2"/>
      <c r="W1454" s="2" t="str">
        <f>IFERROR(__xludf.DUMMYFUNCTION("""COMPUTED_VALUE"""),"VL103D")</f>
        <v>VL103D</v>
      </c>
      <c r="X1454" s="2"/>
      <c r="Y1454" s="2"/>
      <c r="Z1454" s="2"/>
      <c r="AA1454" s="2"/>
      <c r="AB1454" s="2"/>
    </row>
    <row r="1455">
      <c r="A1455" s="2"/>
      <c r="B1455" s="2"/>
      <c r="C1455" s="2"/>
      <c r="D1455" s="2"/>
      <c r="E1455" s="2"/>
      <c r="F1455" s="2"/>
      <c r="G1455" s="2"/>
      <c r="H1455" s="2"/>
      <c r="I1455" s="2"/>
      <c r="J1455" s="2"/>
      <c r="K1455" s="2"/>
      <c r="L1455" s="2"/>
      <c r="M1455" s="2"/>
      <c r="N1455" s="2"/>
      <c r="O1455" s="2"/>
      <c r="P1455" s="2"/>
      <c r="Q1455" s="2"/>
      <c r="R1455" s="2"/>
      <c r="S1455" s="2"/>
      <c r="T1455" s="2"/>
      <c r="U1455" s="2"/>
      <c r="V1455" s="2"/>
      <c r="W1455" s="2" t="str">
        <f>IFERROR(__xludf.DUMMYFUNCTION("""COMPUTED_VALUE"""),"VL103D")</f>
        <v>VL103D</v>
      </c>
      <c r="X1455" s="2"/>
      <c r="Y1455" s="2"/>
      <c r="Z1455" s="2"/>
      <c r="AA1455" s="2"/>
      <c r="AB1455" s="2"/>
    </row>
    <row r="1456">
      <c r="A1456" s="2"/>
      <c r="B1456" s="2"/>
      <c r="C1456" s="2"/>
      <c r="D1456" s="2"/>
      <c r="E1456" s="2"/>
      <c r="F1456" s="2"/>
      <c r="G1456" s="2"/>
      <c r="H1456" s="2"/>
      <c r="I1456" s="2"/>
      <c r="J1456" s="2"/>
      <c r="K1456" s="2"/>
      <c r="L1456" s="2"/>
      <c r="M1456" s="2"/>
      <c r="N1456" s="2"/>
      <c r="O1456" s="2"/>
      <c r="P1456" s="2"/>
      <c r="Q1456" s="2"/>
      <c r="R1456" s="2"/>
      <c r="S1456" s="2"/>
      <c r="T1456" s="2"/>
      <c r="U1456" s="2"/>
      <c r="V1456" s="2"/>
      <c r="W1456" s="2" t="str">
        <f>IFERROR(__xludf.DUMMYFUNCTION("""COMPUTED_VALUE"""),"VL103D")</f>
        <v>VL103D</v>
      </c>
      <c r="X1456" s="2"/>
      <c r="Y1456" s="2"/>
      <c r="Z1456" s="2"/>
      <c r="AA1456" s="2"/>
      <c r="AB1456" s="2"/>
    </row>
    <row r="1457">
      <c r="A1457" s="2"/>
      <c r="B1457" s="2"/>
      <c r="C1457" s="2"/>
      <c r="D1457" s="2"/>
      <c r="E1457" s="2"/>
      <c r="F1457" s="2"/>
      <c r="G1457" s="2"/>
      <c r="H1457" s="2"/>
      <c r="I1457" s="2"/>
      <c r="J1457" s="2"/>
      <c r="K1457" s="2"/>
      <c r="L1457" s="2"/>
      <c r="M1457" s="2"/>
      <c r="N1457" s="2"/>
      <c r="O1457" s="2"/>
      <c r="P1457" s="2"/>
      <c r="Q1457" s="2"/>
      <c r="R1457" s="2"/>
      <c r="S1457" s="2"/>
      <c r="T1457" s="2"/>
      <c r="U1457" s="2"/>
      <c r="V1457" s="2"/>
      <c r="W1457" s="2" t="str">
        <f>IFERROR(__xludf.DUMMYFUNCTION("""COMPUTED_VALUE"""),"VL103D")</f>
        <v>VL103D</v>
      </c>
      <c r="X1457" s="2"/>
      <c r="Y1457" s="2"/>
      <c r="Z1457" s="2"/>
      <c r="AA1457" s="2"/>
      <c r="AB1457" s="2"/>
    </row>
    <row r="1458">
      <c r="A1458" s="2"/>
      <c r="B1458" s="2"/>
      <c r="C1458" s="2"/>
      <c r="D1458" s="2"/>
      <c r="E1458" s="2"/>
      <c r="F1458" s="2"/>
      <c r="G1458" s="2"/>
      <c r="H1458" s="2"/>
      <c r="I1458" s="2"/>
      <c r="J1458" s="2"/>
      <c r="K1458" s="2"/>
      <c r="L1458" s="2"/>
      <c r="M1458" s="2"/>
      <c r="N1458" s="2"/>
      <c r="O1458" s="2"/>
      <c r="P1458" s="2"/>
      <c r="Q1458" s="2"/>
      <c r="R1458" s="2"/>
      <c r="S1458" s="2"/>
      <c r="T1458" s="2"/>
      <c r="U1458" s="2"/>
      <c r="V1458" s="2"/>
      <c r="W1458" s="2" t="str">
        <f>IFERROR(__xludf.DUMMYFUNCTION("""COMPUTED_VALUE"""),"VL103D")</f>
        <v>VL103D</v>
      </c>
      <c r="X1458" s="2"/>
      <c r="Y1458" s="2"/>
      <c r="Z1458" s="2"/>
      <c r="AA1458" s="2"/>
      <c r="AB1458" s="2"/>
    </row>
    <row r="1459">
      <c r="A1459" s="2"/>
      <c r="B1459" s="2"/>
      <c r="C1459" s="2"/>
      <c r="D1459" s="2"/>
      <c r="E1459" s="2"/>
      <c r="F1459" s="2"/>
      <c r="G1459" s="2"/>
      <c r="H1459" s="2"/>
      <c r="I1459" s="2"/>
      <c r="J1459" s="2"/>
      <c r="K1459" s="2"/>
      <c r="L1459" s="2"/>
      <c r="M1459" s="2"/>
      <c r="N1459" s="2"/>
      <c r="O1459" s="2"/>
      <c r="P1459" s="2"/>
      <c r="Q1459" s="2"/>
      <c r="R1459" s="2"/>
      <c r="S1459" s="2"/>
      <c r="T1459" s="2"/>
      <c r="U1459" s="2"/>
      <c r="V1459" s="2"/>
      <c r="W1459" s="2" t="str">
        <f>IFERROR(__xludf.DUMMYFUNCTION("""COMPUTED_VALUE"""),"VL103D")</f>
        <v>VL103D</v>
      </c>
      <c r="X1459" s="2"/>
      <c r="Y1459" s="2"/>
      <c r="Z1459" s="2"/>
      <c r="AA1459" s="2"/>
      <c r="AB1459" s="2"/>
    </row>
    <row r="1460">
      <c r="A1460" s="2"/>
      <c r="B1460" s="2"/>
      <c r="C1460" s="2"/>
      <c r="D1460" s="2"/>
      <c r="E1460" s="2"/>
      <c r="F1460" s="2"/>
      <c r="G1460" s="2"/>
      <c r="H1460" s="2"/>
      <c r="I1460" s="2"/>
      <c r="J1460" s="2"/>
      <c r="K1460" s="2"/>
      <c r="L1460" s="2"/>
      <c r="M1460" s="2"/>
      <c r="N1460" s="2"/>
      <c r="O1460" s="2"/>
      <c r="P1460" s="2"/>
      <c r="Q1460" s="2"/>
      <c r="R1460" s="2"/>
      <c r="S1460" s="2"/>
      <c r="T1460" s="2"/>
      <c r="U1460" s="2"/>
      <c r="V1460" s="2"/>
      <c r="W1460" s="2" t="str">
        <f>IFERROR(__xludf.DUMMYFUNCTION("""COMPUTED_VALUE"""),"VL103D")</f>
        <v>VL103D</v>
      </c>
      <c r="X1460" s="2"/>
      <c r="Y1460" s="2"/>
      <c r="Z1460" s="2"/>
      <c r="AA1460" s="2"/>
      <c r="AB1460" s="2"/>
    </row>
    <row r="1461">
      <c r="A1461" s="2"/>
      <c r="B1461" s="2"/>
      <c r="C1461" s="2"/>
      <c r="D1461" s="2"/>
      <c r="E1461" s="2"/>
      <c r="F1461" s="2"/>
      <c r="G1461" s="2"/>
      <c r="H1461" s="2"/>
      <c r="I1461" s="2"/>
      <c r="J1461" s="2"/>
      <c r="K1461" s="2"/>
      <c r="L1461" s="2"/>
      <c r="M1461" s="2"/>
      <c r="N1461" s="2"/>
      <c r="O1461" s="2"/>
      <c r="P1461" s="2"/>
      <c r="Q1461" s="2"/>
      <c r="R1461" s="2"/>
      <c r="S1461" s="2"/>
      <c r="T1461" s="2"/>
      <c r="U1461" s="2"/>
      <c r="V1461" s="2"/>
      <c r="W1461" s="2" t="str">
        <f>IFERROR(__xludf.DUMMYFUNCTION("""COMPUTED_VALUE"""),"VL103D")</f>
        <v>VL103D</v>
      </c>
      <c r="X1461" s="2"/>
      <c r="Y1461" s="2"/>
      <c r="Z1461" s="2"/>
      <c r="AA1461" s="2"/>
      <c r="AB1461" s="2"/>
    </row>
    <row r="1462">
      <c r="A1462" s="2"/>
      <c r="B1462" s="2"/>
      <c r="C1462" s="2"/>
      <c r="D1462" s="2"/>
      <c r="E1462" s="2"/>
      <c r="F1462" s="2"/>
      <c r="G1462" s="2"/>
      <c r="H1462" s="2"/>
      <c r="I1462" s="2"/>
      <c r="J1462" s="2"/>
      <c r="K1462" s="2"/>
      <c r="L1462" s="2"/>
      <c r="M1462" s="2"/>
      <c r="N1462" s="2"/>
      <c r="O1462" s="2"/>
      <c r="P1462" s="2"/>
      <c r="Q1462" s="2"/>
      <c r="R1462" s="2"/>
      <c r="S1462" s="2"/>
      <c r="T1462" s="2"/>
      <c r="U1462" s="2"/>
      <c r="V1462" s="2"/>
      <c r="W1462" s="2" t="str">
        <f>IFERROR(__xludf.DUMMYFUNCTION("""COMPUTED_VALUE"""),"VL103D")</f>
        <v>VL103D</v>
      </c>
      <c r="X1462" s="2"/>
      <c r="Y1462" s="2"/>
      <c r="Z1462" s="2"/>
      <c r="AA1462" s="2"/>
      <c r="AB1462" s="2"/>
    </row>
    <row r="1463">
      <c r="A1463" s="2"/>
      <c r="B1463" s="2"/>
      <c r="C1463" s="2"/>
      <c r="D1463" s="2"/>
      <c r="E1463" s="2"/>
      <c r="F1463" s="2"/>
      <c r="G1463" s="2"/>
      <c r="H1463" s="2"/>
      <c r="I1463" s="2"/>
      <c r="J1463" s="2"/>
      <c r="K1463" s="2"/>
      <c r="L1463" s="2"/>
      <c r="M1463" s="2"/>
      <c r="N1463" s="2"/>
      <c r="O1463" s="2"/>
      <c r="P1463" s="2"/>
      <c r="Q1463" s="2"/>
      <c r="R1463" s="2"/>
      <c r="S1463" s="2"/>
      <c r="T1463" s="2"/>
      <c r="U1463" s="2"/>
      <c r="V1463" s="2"/>
      <c r="W1463" s="2" t="str">
        <f>IFERROR(__xludf.DUMMYFUNCTION("""COMPUTED_VALUE"""),"VL103D")</f>
        <v>VL103D</v>
      </c>
      <c r="X1463" s="2"/>
      <c r="Y1463" s="2"/>
      <c r="Z1463" s="2"/>
      <c r="AA1463" s="2"/>
      <c r="AB1463" s="2"/>
    </row>
    <row r="1464">
      <c r="A1464" s="2"/>
      <c r="B1464" s="2"/>
      <c r="C1464" s="2"/>
      <c r="D1464" s="2"/>
      <c r="E1464" s="2"/>
      <c r="F1464" s="2"/>
      <c r="G1464" s="2"/>
      <c r="H1464" s="2"/>
      <c r="I1464" s="2"/>
      <c r="J1464" s="2"/>
      <c r="K1464" s="2"/>
      <c r="L1464" s="2"/>
      <c r="M1464" s="2"/>
      <c r="N1464" s="2"/>
      <c r="O1464" s="2"/>
      <c r="P1464" s="2"/>
      <c r="Q1464" s="2"/>
      <c r="R1464" s="2"/>
      <c r="S1464" s="2"/>
      <c r="T1464" s="2"/>
      <c r="U1464" s="2"/>
      <c r="V1464" s="2"/>
      <c r="W1464" s="2" t="str">
        <f>IFERROR(__xludf.DUMMYFUNCTION("""COMPUTED_VALUE"""),"VL103D")</f>
        <v>VL103D</v>
      </c>
      <c r="X1464" s="2"/>
      <c r="Y1464" s="2"/>
      <c r="Z1464" s="2"/>
      <c r="AA1464" s="2"/>
      <c r="AB1464" s="2"/>
    </row>
    <row r="1465">
      <c r="A1465" s="2"/>
      <c r="B1465" s="2"/>
      <c r="C1465" s="2"/>
      <c r="D1465" s="2"/>
      <c r="E1465" s="2"/>
      <c r="F1465" s="2"/>
      <c r="G1465" s="2"/>
      <c r="H1465" s="2"/>
      <c r="I1465" s="2"/>
      <c r="J1465" s="2"/>
      <c r="K1465" s="2"/>
      <c r="L1465" s="2"/>
      <c r="M1465" s="2"/>
      <c r="N1465" s="2"/>
      <c r="O1465" s="2"/>
      <c r="P1465" s="2"/>
      <c r="Q1465" s="2"/>
      <c r="R1465" s="2"/>
      <c r="S1465" s="2"/>
      <c r="T1465" s="2"/>
      <c r="U1465" s="2"/>
      <c r="V1465" s="2"/>
      <c r="W1465" s="2" t="str">
        <f>IFERROR(__xludf.DUMMYFUNCTION("""COMPUTED_VALUE"""),"VL103D")</f>
        <v>VL103D</v>
      </c>
      <c r="X1465" s="2"/>
      <c r="Y1465" s="2"/>
      <c r="Z1465" s="2"/>
      <c r="AA1465" s="2"/>
      <c r="AB1465" s="2"/>
    </row>
    <row r="1466">
      <c r="A1466" s="2"/>
      <c r="B1466" s="2"/>
      <c r="C1466" s="2"/>
      <c r="D1466" s="2"/>
      <c r="E1466" s="2"/>
      <c r="F1466" s="2"/>
      <c r="G1466" s="2"/>
      <c r="H1466" s="2"/>
      <c r="I1466" s="2"/>
      <c r="J1466" s="2"/>
      <c r="K1466" s="2"/>
      <c r="L1466" s="2"/>
      <c r="M1466" s="2"/>
      <c r="N1466" s="2"/>
      <c r="O1466" s="2"/>
      <c r="P1466" s="2"/>
      <c r="Q1466" s="2"/>
      <c r="R1466" s="2"/>
      <c r="S1466" s="2"/>
      <c r="T1466" s="2"/>
      <c r="U1466" s="2"/>
      <c r="V1466" s="2"/>
      <c r="W1466" s="2" t="str">
        <f>IFERROR(__xludf.DUMMYFUNCTION("""COMPUTED_VALUE"""),"VL103D")</f>
        <v>VL103D</v>
      </c>
      <c r="X1466" s="2"/>
      <c r="Y1466" s="2"/>
      <c r="Z1466" s="2"/>
      <c r="AA1466" s="2"/>
      <c r="AB1466" s="2"/>
    </row>
    <row r="1467">
      <c r="A1467" s="2"/>
      <c r="B1467" s="2"/>
      <c r="C1467" s="2"/>
      <c r="D1467" s="2"/>
      <c r="E1467" s="2"/>
      <c r="F1467" s="2"/>
      <c r="G1467" s="2"/>
      <c r="H1467" s="2"/>
      <c r="I1467" s="2"/>
      <c r="J1467" s="2"/>
      <c r="K1467" s="2"/>
      <c r="L1467" s="2"/>
      <c r="M1467" s="2"/>
      <c r="N1467" s="2"/>
      <c r="O1467" s="2"/>
      <c r="P1467" s="2"/>
      <c r="Q1467" s="2"/>
      <c r="R1467" s="2"/>
      <c r="S1467" s="2"/>
      <c r="T1467" s="2"/>
      <c r="U1467" s="2"/>
      <c r="V1467" s="2"/>
      <c r="W1467" s="2" t="str">
        <f>IFERROR(__xludf.DUMMYFUNCTION("""COMPUTED_VALUE"""),"VL103D")</f>
        <v>VL103D</v>
      </c>
      <c r="X1467" s="2"/>
      <c r="Y1467" s="2"/>
      <c r="Z1467" s="2"/>
      <c r="AA1467" s="2"/>
      <c r="AB1467" s="2"/>
    </row>
    <row r="1468">
      <c r="A1468" s="2"/>
      <c r="B1468" s="2"/>
      <c r="C1468" s="2"/>
      <c r="D1468" s="2"/>
      <c r="E1468" s="2"/>
      <c r="F1468" s="2"/>
      <c r="G1468" s="2"/>
      <c r="H1468" s="2"/>
      <c r="I1468" s="2"/>
      <c r="J1468" s="2"/>
      <c r="K1468" s="2"/>
      <c r="L1468" s="2"/>
      <c r="M1468" s="2"/>
      <c r="N1468" s="2"/>
      <c r="O1468" s="2"/>
      <c r="P1468" s="2"/>
      <c r="Q1468" s="2"/>
      <c r="R1468" s="2"/>
      <c r="S1468" s="2"/>
      <c r="T1468" s="2"/>
      <c r="U1468" s="2"/>
      <c r="V1468" s="2"/>
      <c r="W1468" s="2" t="str">
        <f>IFERROR(__xludf.DUMMYFUNCTION("""COMPUTED_VALUE"""),"VL103D")</f>
        <v>VL103D</v>
      </c>
      <c r="X1468" s="2"/>
      <c r="Y1468" s="2"/>
      <c r="Z1468" s="2"/>
      <c r="AA1468" s="2"/>
      <c r="AB1468" s="2"/>
    </row>
    <row r="1469">
      <c r="A1469" s="2"/>
      <c r="B1469" s="2"/>
      <c r="C1469" s="2"/>
      <c r="D1469" s="2"/>
      <c r="E1469" s="2"/>
      <c r="F1469" s="2"/>
      <c r="G1469" s="2"/>
      <c r="H1469" s="2"/>
      <c r="I1469" s="2"/>
      <c r="J1469" s="2"/>
      <c r="K1469" s="2"/>
      <c r="L1469" s="2"/>
      <c r="M1469" s="2"/>
      <c r="N1469" s="2"/>
      <c r="O1469" s="2"/>
      <c r="P1469" s="2"/>
      <c r="Q1469" s="2"/>
      <c r="R1469" s="2"/>
      <c r="S1469" s="2"/>
      <c r="T1469" s="2"/>
      <c r="U1469" s="2"/>
      <c r="V1469" s="2"/>
      <c r="W1469" s="2" t="str">
        <f>IFERROR(__xludf.DUMMYFUNCTION("""COMPUTED_VALUE"""),"VL103D")</f>
        <v>VL103D</v>
      </c>
      <c r="X1469" s="2"/>
      <c r="Y1469" s="2"/>
      <c r="Z1469" s="2"/>
      <c r="AA1469" s="2"/>
      <c r="AB1469" s="2"/>
    </row>
    <row r="1470">
      <c r="A1470" s="2"/>
      <c r="B1470" s="2"/>
      <c r="C1470" s="2"/>
      <c r="D1470" s="2"/>
      <c r="E1470" s="2"/>
      <c r="F1470" s="2"/>
      <c r="G1470" s="2"/>
      <c r="H1470" s="2"/>
      <c r="I1470" s="2"/>
      <c r="J1470" s="2"/>
      <c r="K1470" s="2"/>
      <c r="L1470" s="2"/>
      <c r="M1470" s="2"/>
      <c r="N1470" s="2"/>
      <c r="O1470" s="2"/>
      <c r="P1470" s="2"/>
      <c r="Q1470" s="2"/>
      <c r="R1470" s="2"/>
      <c r="S1470" s="2"/>
      <c r="T1470" s="2"/>
      <c r="U1470" s="2"/>
      <c r="V1470" s="2"/>
      <c r="W1470" s="2" t="str">
        <f>IFERROR(__xludf.DUMMYFUNCTION("""COMPUTED_VALUE"""),"VL103D")</f>
        <v>VL103D</v>
      </c>
      <c r="X1470" s="2"/>
      <c r="Y1470" s="2"/>
      <c r="Z1470" s="2"/>
      <c r="AA1470" s="2"/>
      <c r="AB1470" s="2"/>
    </row>
    <row r="1471">
      <c r="A1471" s="2"/>
      <c r="B1471" s="2"/>
      <c r="C1471" s="2"/>
      <c r="D1471" s="2"/>
      <c r="E1471" s="2"/>
      <c r="F1471" s="2"/>
      <c r="G1471" s="2"/>
      <c r="H1471" s="2"/>
      <c r="I1471" s="2"/>
      <c r="J1471" s="2"/>
      <c r="K1471" s="2"/>
      <c r="L1471" s="2"/>
      <c r="M1471" s="2"/>
      <c r="N1471" s="2"/>
      <c r="O1471" s="2"/>
      <c r="P1471" s="2"/>
      <c r="Q1471" s="2"/>
      <c r="R1471" s="2"/>
      <c r="S1471" s="2"/>
      <c r="T1471" s="2"/>
      <c r="U1471" s="2"/>
      <c r="V1471" s="2"/>
      <c r="W1471" s="2" t="str">
        <f>IFERROR(__xludf.DUMMYFUNCTION("""COMPUTED_VALUE"""),"VL103D")</f>
        <v>VL103D</v>
      </c>
      <c r="X1471" s="2"/>
      <c r="Y1471" s="2"/>
      <c r="Z1471" s="2"/>
      <c r="AA1471" s="2"/>
      <c r="AB1471" s="2"/>
    </row>
    <row r="1472">
      <c r="A1472" s="2"/>
      <c r="B1472" s="2"/>
      <c r="C1472" s="2"/>
      <c r="D1472" s="2"/>
      <c r="E1472" s="2"/>
      <c r="F1472" s="2"/>
      <c r="G1472" s="2"/>
      <c r="H1472" s="2"/>
      <c r="I1472" s="2"/>
      <c r="J1472" s="2"/>
      <c r="K1472" s="2"/>
      <c r="L1472" s="2"/>
      <c r="M1472" s="2"/>
      <c r="N1472" s="2"/>
      <c r="O1472" s="2"/>
      <c r="P1472" s="2"/>
      <c r="Q1472" s="2"/>
      <c r="R1472" s="2"/>
      <c r="S1472" s="2"/>
      <c r="T1472" s="2"/>
      <c r="U1472" s="2"/>
      <c r="V1472" s="2"/>
      <c r="W1472" s="2" t="str">
        <f>IFERROR(__xludf.DUMMYFUNCTION("""COMPUTED_VALUE"""),"VL103D")</f>
        <v>VL103D</v>
      </c>
      <c r="X1472" s="2"/>
      <c r="Y1472" s="2"/>
      <c r="Z1472" s="2"/>
      <c r="AA1472" s="2"/>
      <c r="AB1472" s="2"/>
    </row>
    <row r="1473">
      <c r="A1473" s="2"/>
      <c r="B1473" s="2"/>
      <c r="C1473" s="2"/>
      <c r="D1473" s="2"/>
      <c r="E1473" s="2"/>
      <c r="F1473" s="2"/>
      <c r="G1473" s="2"/>
      <c r="H1473" s="2"/>
      <c r="I1473" s="2"/>
      <c r="J1473" s="2"/>
      <c r="K1473" s="2"/>
      <c r="L1473" s="2"/>
      <c r="M1473" s="2"/>
      <c r="N1473" s="2"/>
      <c r="O1473" s="2"/>
      <c r="P1473" s="2"/>
      <c r="Q1473" s="2"/>
      <c r="R1473" s="2"/>
      <c r="S1473" s="2"/>
      <c r="T1473" s="2"/>
      <c r="U1473" s="2"/>
      <c r="V1473" s="2"/>
      <c r="W1473" s="2" t="str">
        <f>IFERROR(__xludf.DUMMYFUNCTION("""COMPUTED_VALUE"""),"VL103D")</f>
        <v>VL103D</v>
      </c>
      <c r="X1473" s="2"/>
      <c r="Y1473" s="2"/>
      <c r="Z1473" s="2"/>
      <c r="AA1473" s="2"/>
      <c r="AB1473" s="2"/>
    </row>
    <row r="1474">
      <c r="A1474" s="2"/>
      <c r="B1474" s="2"/>
      <c r="C1474" s="2"/>
      <c r="D1474" s="2"/>
      <c r="E1474" s="2"/>
      <c r="F1474" s="2"/>
      <c r="G1474" s="2"/>
      <c r="H1474" s="2"/>
      <c r="I1474" s="2"/>
      <c r="J1474" s="2"/>
      <c r="K1474" s="2"/>
      <c r="L1474" s="2"/>
      <c r="M1474" s="2"/>
      <c r="N1474" s="2"/>
      <c r="O1474" s="2"/>
      <c r="P1474" s="2"/>
      <c r="Q1474" s="2"/>
      <c r="R1474" s="2"/>
      <c r="S1474" s="2"/>
      <c r="T1474" s="2"/>
      <c r="U1474" s="2"/>
      <c r="V1474" s="2"/>
      <c r="W1474" s="2" t="str">
        <f>IFERROR(__xludf.DUMMYFUNCTION("""COMPUTED_VALUE"""),"VL103D")</f>
        <v>VL103D</v>
      </c>
      <c r="X1474" s="2"/>
      <c r="Y1474" s="2"/>
      <c r="Z1474" s="2"/>
      <c r="AA1474" s="2"/>
      <c r="AB1474" s="2"/>
    </row>
    <row r="1475">
      <c r="A1475" s="2"/>
      <c r="B1475" s="2"/>
      <c r="C1475" s="2"/>
      <c r="D1475" s="2"/>
      <c r="E1475" s="2"/>
      <c r="F1475" s="2"/>
      <c r="G1475" s="2"/>
      <c r="H1475" s="2"/>
      <c r="I1475" s="2"/>
      <c r="J1475" s="2"/>
      <c r="K1475" s="2"/>
      <c r="L1475" s="2"/>
      <c r="M1475" s="2"/>
      <c r="N1475" s="2"/>
      <c r="O1475" s="2"/>
      <c r="P1475" s="2"/>
      <c r="Q1475" s="2"/>
      <c r="R1475" s="2"/>
      <c r="S1475" s="2"/>
      <c r="T1475" s="2"/>
      <c r="U1475" s="2"/>
      <c r="V1475" s="2"/>
      <c r="W1475" s="2" t="str">
        <f>IFERROR(__xludf.DUMMYFUNCTION("""COMPUTED_VALUE"""),"VL103D")</f>
        <v>VL103D</v>
      </c>
      <c r="X1475" s="2"/>
      <c r="Y1475" s="2"/>
      <c r="Z1475" s="2"/>
      <c r="AA1475" s="2"/>
      <c r="AB1475" s="2"/>
    </row>
    <row r="1476">
      <c r="A1476" s="2"/>
      <c r="B1476" s="2"/>
      <c r="C1476" s="2"/>
      <c r="D1476" s="2"/>
      <c r="E1476" s="2"/>
      <c r="F1476" s="2"/>
      <c r="G1476" s="2"/>
      <c r="H1476" s="2"/>
      <c r="I1476" s="2"/>
      <c r="J1476" s="2"/>
      <c r="K1476" s="2"/>
      <c r="L1476" s="2"/>
      <c r="M1476" s="2"/>
      <c r="N1476" s="2"/>
      <c r="O1476" s="2"/>
      <c r="P1476" s="2"/>
      <c r="Q1476" s="2"/>
      <c r="R1476" s="2"/>
      <c r="S1476" s="2"/>
      <c r="T1476" s="2"/>
      <c r="U1476" s="2"/>
      <c r="V1476" s="2"/>
      <c r="W1476" s="2" t="str">
        <f>IFERROR(__xludf.DUMMYFUNCTION("""COMPUTED_VALUE"""),"VL103D")</f>
        <v>VL103D</v>
      </c>
      <c r="X1476" s="2"/>
      <c r="Y1476" s="2"/>
      <c r="Z1476" s="2"/>
      <c r="AA1476" s="2"/>
      <c r="AB1476" s="2"/>
    </row>
    <row r="1477">
      <c r="A1477" s="2"/>
      <c r="B1477" s="2"/>
      <c r="C1477" s="2"/>
      <c r="D1477" s="2"/>
      <c r="E1477" s="2"/>
      <c r="F1477" s="2"/>
      <c r="G1477" s="2"/>
      <c r="H1477" s="2"/>
      <c r="I1477" s="2"/>
      <c r="J1477" s="2"/>
      <c r="K1477" s="2"/>
      <c r="L1477" s="2"/>
      <c r="M1477" s="2"/>
      <c r="N1477" s="2"/>
      <c r="O1477" s="2"/>
      <c r="P1477" s="2"/>
      <c r="Q1477" s="2"/>
      <c r="R1477" s="2"/>
      <c r="S1477" s="2"/>
      <c r="T1477" s="2"/>
      <c r="U1477" s="2"/>
      <c r="V1477" s="2"/>
      <c r="W1477" s="2" t="str">
        <f>IFERROR(__xludf.DUMMYFUNCTION("""COMPUTED_VALUE"""),"VL103D")</f>
        <v>VL103D</v>
      </c>
      <c r="X1477" s="2"/>
      <c r="Y1477" s="2"/>
      <c r="Z1477" s="2"/>
      <c r="AA1477" s="2"/>
      <c r="AB1477" s="2"/>
    </row>
    <row r="1478">
      <c r="A1478" s="2"/>
      <c r="B1478" s="2"/>
      <c r="C1478" s="2"/>
      <c r="D1478" s="2"/>
      <c r="E1478" s="2"/>
      <c r="F1478" s="2"/>
      <c r="G1478" s="2"/>
      <c r="H1478" s="2"/>
      <c r="I1478" s="2"/>
      <c r="J1478" s="2"/>
      <c r="K1478" s="2"/>
      <c r="L1478" s="2"/>
      <c r="M1478" s="2"/>
      <c r="N1478" s="2"/>
      <c r="O1478" s="2"/>
      <c r="P1478" s="2"/>
      <c r="Q1478" s="2"/>
      <c r="R1478" s="2"/>
      <c r="S1478" s="2"/>
      <c r="T1478" s="2"/>
      <c r="U1478" s="2"/>
      <c r="V1478" s="2"/>
      <c r="W1478" s="2" t="str">
        <f>IFERROR(__xludf.DUMMYFUNCTION("""COMPUTED_VALUE"""),"VL103D")</f>
        <v>VL103D</v>
      </c>
      <c r="X1478" s="2"/>
      <c r="Y1478" s="2"/>
      <c r="Z1478" s="2"/>
      <c r="AA1478" s="2"/>
      <c r="AB1478" s="2"/>
    </row>
    <row r="1479">
      <c r="A1479" s="2"/>
      <c r="B1479" s="2"/>
      <c r="C1479" s="2"/>
      <c r="D1479" s="2"/>
      <c r="E1479" s="2"/>
      <c r="F1479" s="2"/>
      <c r="G1479" s="2"/>
      <c r="H1479" s="2"/>
      <c r="I1479" s="2"/>
      <c r="J1479" s="2"/>
      <c r="K1479" s="2"/>
      <c r="L1479" s="2"/>
      <c r="M1479" s="2"/>
      <c r="N1479" s="2"/>
      <c r="O1479" s="2"/>
      <c r="P1479" s="2"/>
      <c r="Q1479" s="2"/>
      <c r="R1479" s="2"/>
      <c r="S1479" s="2"/>
      <c r="T1479" s="2"/>
      <c r="U1479" s="2"/>
      <c r="V1479" s="2"/>
      <c r="W1479" s="2" t="str">
        <f>IFERROR(__xludf.DUMMYFUNCTION("""COMPUTED_VALUE"""),"VL103D")</f>
        <v>VL103D</v>
      </c>
      <c r="X1479" s="2"/>
      <c r="Y1479" s="2"/>
      <c r="Z1479" s="2"/>
      <c r="AA1479" s="2"/>
      <c r="AB1479" s="2"/>
    </row>
    <row r="1480">
      <c r="A1480" s="2"/>
      <c r="B1480" s="2"/>
      <c r="C1480" s="2"/>
      <c r="D1480" s="2"/>
      <c r="E1480" s="2"/>
      <c r="F1480" s="2"/>
      <c r="G1480" s="2"/>
      <c r="H1480" s="2"/>
      <c r="I1480" s="2"/>
      <c r="J1480" s="2"/>
      <c r="K1480" s="2"/>
      <c r="L1480" s="2"/>
      <c r="M1480" s="2"/>
      <c r="N1480" s="2"/>
      <c r="O1480" s="2"/>
      <c r="P1480" s="2"/>
      <c r="Q1480" s="2"/>
      <c r="R1480" s="2"/>
      <c r="S1480" s="2"/>
      <c r="T1480" s="2"/>
      <c r="U1480" s="2"/>
      <c r="V1480" s="2"/>
      <c r="W1480" s="2" t="str">
        <f>IFERROR(__xludf.DUMMYFUNCTION("""COMPUTED_VALUE"""),"VL103D")</f>
        <v>VL103D</v>
      </c>
      <c r="X1480" s="2"/>
      <c r="Y1480" s="2"/>
      <c r="Z1480" s="2"/>
      <c r="AA1480" s="2"/>
      <c r="AB1480" s="2"/>
    </row>
    <row r="1481">
      <c r="A1481" s="2"/>
      <c r="B1481" s="2"/>
      <c r="C1481" s="2"/>
      <c r="D1481" s="2"/>
      <c r="E1481" s="2"/>
      <c r="F1481" s="2"/>
      <c r="G1481" s="2"/>
      <c r="H1481" s="2"/>
      <c r="I1481" s="2"/>
      <c r="J1481" s="2"/>
      <c r="K1481" s="2"/>
      <c r="L1481" s="2"/>
      <c r="M1481" s="2"/>
      <c r="N1481" s="2"/>
      <c r="O1481" s="2"/>
      <c r="P1481" s="2"/>
      <c r="Q1481" s="2"/>
      <c r="R1481" s="2"/>
      <c r="S1481" s="2"/>
      <c r="T1481" s="2"/>
      <c r="U1481" s="2"/>
      <c r="V1481" s="2"/>
      <c r="W1481" s="2" t="str">
        <f>IFERROR(__xludf.DUMMYFUNCTION("""COMPUTED_VALUE"""),"VL103D")</f>
        <v>VL103D</v>
      </c>
      <c r="X1481" s="2"/>
      <c r="Y1481" s="2"/>
      <c r="Z1481" s="2"/>
      <c r="AA1481" s="2"/>
      <c r="AB1481" s="2"/>
    </row>
    <row r="1482">
      <c r="A1482" s="2"/>
      <c r="B1482" s="2"/>
      <c r="C1482" s="2"/>
      <c r="D1482" s="2"/>
      <c r="E1482" s="2"/>
      <c r="F1482" s="2"/>
      <c r="G1482" s="2"/>
      <c r="H1482" s="2"/>
      <c r="I1482" s="2"/>
      <c r="J1482" s="2"/>
      <c r="K1482" s="2"/>
      <c r="L1482" s="2"/>
      <c r="M1482" s="2"/>
      <c r="N1482" s="2"/>
      <c r="O1482" s="2"/>
      <c r="P1482" s="2"/>
      <c r="Q1482" s="2"/>
      <c r="R1482" s="2"/>
      <c r="S1482" s="2"/>
      <c r="T1482" s="2"/>
      <c r="U1482" s="2"/>
      <c r="V1482" s="2"/>
      <c r="W1482" s="2" t="str">
        <f>IFERROR(__xludf.DUMMYFUNCTION("""COMPUTED_VALUE"""),"VL103D")</f>
        <v>VL103D</v>
      </c>
      <c r="X1482" s="2"/>
      <c r="Y1482" s="2"/>
      <c r="Z1482" s="2"/>
      <c r="AA1482" s="2"/>
      <c r="AB1482" s="2"/>
    </row>
    <row r="1483">
      <c r="A1483" s="2"/>
      <c r="B1483" s="2"/>
      <c r="C1483" s="2"/>
      <c r="D1483" s="2"/>
      <c r="E1483" s="2"/>
      <c r="F1483" s="2"/>
      <c r="G1483" s="2"/>
      <c r="H1483" s="2"/>
      <c r="I1483" s="2"/>
      <c r="J1483" s="2"/>
      <c r="K1483" s="2"/>
      <c r="L1483" s="2"/>
      <c r="M1483" s="2"/>
      <c r="N1483" s="2"/>
      <c r="O1483" s="2"/>
      <c r="P1483" s="2"/>
      <c r="Q1483" s="2"/>
      <c r="R1483" s="2"/>
      <c r="S1483" s="2"/>
      <c r="T1483" s="2"/>
      <c r="U1483" s="2"/>
      <c r="V1483" s="2"/>
      <c r="W1483" s="2" t="str">
        <f>IFERROR(__xludf.DUMMYFUNCTION("""COMPUTED_VALUE"""),"VL103D")</f>
        <v>VL103D</v>
      </c>
      <c r="X1483" s="2"/>
      <c r="Y1483" s="2"/>
      <c r="Z1483" s="2"/>
      <c r="AA1483" s="2"/>
      <c r="AB1483" s="2"/>
    </row>
    <row r="1484">
      <c r="A1484" s="2"/>
      <c r="B1484" s="2"/>
      <c r="C1484" s="2"/>
      <c r="D1484" s="2"/>
      <c r="E1484" s="2"/>
      <c r="F1484" s="2"/>
      <c r="G1484" s="2"/>
      <c r="H1484" s="2"/>
      <c r="I1484" s="2"/>
      <c r="J1484" s="2"/>
      <c r="K1484" s="2"/>
      <c r="L1484" s="2"/>
      <c r="M1484" s="2"/>
      <c r="N1484" s="2"/>
      <c r="O1484" s="2"/>
      <c r="P1484" s="2"/>
      <c r="Q1484" s="2"/>
      <c r="R1484" s="2"/>
      <c r="S1484" s="2"/>
      <c r="T1484" s="2"/>
      <c r="U1484" s="2"/>
      <c r="V1484" s="2"/>
      <c r="W1484" s="2" t="str">
        <f>IFERROR(__xludf.DUMMYFUNCTION("""COMPUTED_VALUE"""),"VL103D")</f>
        <v>VL103D</v>
      </c>
      <c r="X1484" s="2"/>
      <c r="Y1484" s="2"/>
      <c r="Z1484" s="2"/>
      <c r="AA1484" s="2"/>
      <c r="AB1484" s="2"/>
    </row>
    <row r="1485">
      <c r="A1485" s="2"/>
      <c r="B1485" s="2"/>
      <c r="C1485" s="2"/>
      <c r="D1485" s="2"/>
      <c r="E1485" s="2"/>
      <c r="F1485" s="2"/>
      <c r="G1485" s="2"/>
      <c r="H1485" s="2"/>
      <c r="I1485" s="2"/>
      <c r="J1485" s="2"/>
      <c r="K1485" s="2"/>
      <c r="L1485" s="2"/>
      <c r="M1485" s="2"/>
      <c r="N1485" s="2"/>
      <c r="O1485" s="2"/>
      <c r="P1485" s="2"/>
      <c r="Q1485" s="2"/>
      <c r="R1485" s="2"/>
      <c r="S1485" s="2"/>
      <c r="T1485" s="2"/>
      <c r="U1485" s="2"/>
      <c r="V1485" s="2"/>
      <c r="W1485" s="2" t="str">
        <f>IFERROR(__xludf.DUMMYFUNCTION("""COMPUTED_VALUE"""),"VL103D")</f>
        <v>VL103D</v>
      </c>
      <c r="X1485" s="2"/>
      <c r="Y1485" s="2"/>
      <c r="Z1485" s="2"/>
      <c r="AA1485" s="2"/>
      <c r="AB1485" s="2"/>
    </row>
    <row r="1486">
      <c r="A1486" s="2"/>
      <c r="B1486" s="2"/>
      <c r="C1486" s="2"/>
      <c r="D1486" s="2"/>
      <c r="E1486" s="2"/>
      <c r="F1486" s="2"/>
      <c r="G1486" s="2"/>
      <c r="H1486" s="2"/>
      <c r="I1486" s="2"/>
      <c r="J1486" s="2"/>
      <c r="K1486" s="2"/>
      <c r="L1486" s="2"/>
      <c r="M1486" s="2"/>
      <c r="N1486" s="2"/>
      <c r="O1486" s="2"/>
      <c r="P1486" s="2"/>
      <c r="Q1486" s="2"/>
      <c r="R1486" s="2"/>
      <c r="S1486" s="2"/>
      <c r="T1486" s="2"/>
      <c r="U1486" s="2"/>
      <c r="V1486" s="2"/>
      <c r="W1486" s="2" t="str">
        <f>IFERROR(__xludf.DUMMYFUNCTION("""COMPUTED_VALUE"""),"VL103D")</f>
        <v>VL103D</v>
      </c>
      <c r="X1486" s="2"/>
      <c r="Y1486" s="2"/>
      <c r="Z1486" s="2"/>
      <c r="AA1486" s="2"/>
      <c r="AB1486" s="2"/>
    </row>
    <row r="1487">
      <c r="A1487" s="2"/>
      <c r="B1487" s="2"/>
      <c r="C1487" s="2"/>
      <c r="D1487" s="2"/>
      <c r="E1487" s="2"/>
      <c r="F1487" s="2"/>
      <c r="G1487" s="2"/>
      <c r="H1487" s="2"/>
      <c r="I1487" s="2"/>
      <c r="J1487" s="2"/>
      <c r="K1487" s="2"/>
      <c r="L1487" s="2"/>
      <c r="M1487" s="2"/>
      <c r="N1487" s="2"/>
      <c r="O1487" s="2"/>
      <c r="P1487" s="2"/>
      <c r="Q1487" s="2"/>
      <c r="R1487" s="2"/>
      <c r="S1487" s="2"/>
      <c r="T1487" s="2"/>
      <c r="U1487" s="2"/>
      <c r="V1487" s="2"/>
      <c r="W1487" s="2" t="str">
        <f>IFERROR(__xludf.DUMMYFUNCTION("""COMPUTED_VALUE"""),"VL103D")</f>
        <v>VL103D</v>
      </c>
      <c r="X1487" s="2"/>
      <c r="Y1487" s="2"/>
      <c r="Z1487" s="2"/>
      <c r="AA1487" s="2"/>
      <c r="AB1487" s="2"/>
    </row>
    <row r="1488">
      <c r="A1488" s="2"/>
      <c r="B1488" s="2"/>
      <c r="C1488" s="2"/>
      <c r="D1488" s="2"/>
      <c r="E1488" s="2"/>
      <c r="F1488" s="2"/>
      <c r="G1488" s="2"/>
      <c r="H1488" s="2"/>
      <c r="I1488" s="2"/>
      <c r="J1488" s="2"/>
      <c r="K1488" s="2"/>
      <c r="L1488" s="2"/>
      <c r="M1488" s="2"/>
      <c r="N1488" s="2"/>
      <c r="O1488" s="2"/>
      <c r="P1488" s="2"/>
      <c r="Q1488" s="2"/>
      <c r="R1488" s="2"/>
      <c r="S1488" s="2"/>
      <c r="T1488" s="2"/>
      <c r="U1488" s="2"/>
      <c r="V1488" s="2"/>
      <c r="W1488" s="2" t="str">
        <f>IFERROR(__xludf.DUMMYFUNCTION("""COMPUTED_VALUE"""),"VL103D")</f>
        <v>VL103D</v>
      </c>
      <c r="X1488" s="2"/>
      <c r="Y1488" s="2"/>
      <c r="Z1488" s="2"/>
      <c r="AA1488" s="2"/>
      <c r="AB1488" s="2"/>
    </row>
    <row r="1489">
      <c r="A1489" s="2"/>
      <c r="B1489" s="2"/>
      <c r="C1489" s="2"/>
      <c r="D1489" s="2"/>
      <c r="E1489" s="2"/>
      <c r="F1489" s="2"/>
      <c r="G1489" s="2"/>
      <c r="H1489" s="2"/>
      <c r="I1489" s="2"/>
      <c r="J1489" s="2"/>
      <c r="K1489" s="2"/>
      <c r="L1489" s="2"/>
      <c r="M1489" s="2"/>
      <c r="N1489" s="2"/>
      <c r="O1489" s="2"/>
      <c r="P1489" s="2"/>
      <c r="Q1489" s="2"/>
      <c r="R1489" s="2"/>
      <c r="S1489" s="2"/>
      <c r="T1489" s="2"/>
      <c r="U1489" s="2"/>
      <c r="V1489" s="2"/>
      <c r="W1489" s="2" t="str">
        <f>IFERROR(__xludf.DUMMYFUNCTION("""COMPUTED_VALUE"""),"VL103D")</f>
        <v>VL103D</v>
      </c>
      <c r="X1489" s="2"/>
      <c r="Y1489" s="2"/>
      <c r="Z1489" s="2"/>
      <c r="AA1489" s="2"/>
      <c r="AB1489" s="2"/>
    </row>
    <row r="1490">
      <c r="A1490" s="2"/>
      <c r="B1490" s="2"/>
      <c r="C1490" s="2"/>
      <c r="D1490" s="2"/>
      <c r="E1490" s="2"/>
      <c r="F1490" s="2"/>
      <c r="G1490" s="2"/>
      <c r="H1490" s="2"/>
      <c r="I1490" s="2"/>
      <c r="J1490" s="2"/>
      <c r="K1490" s="2"/>
      <c r="L1490" s="2"/>
      <c r="M1490" s="2"/>
      <c r="N1490" s="2"/>
      <c r="O1490" s="2"/>
      <c r="P1490" s="2"/>
      <c r="Q1490" s="2"/>
      <c r="R1490" s="2"/>
      <c r="S1490" s="2"/>
      <c r="T1490" s="2"/>
      <c r="U1490" s="2"/>
      <c r="V1490" s="2"/>
      <c r="W1490" s="2" t="str">
        <f>IFERROR(__xludf.DUMMYFUNCTION("""COMPUTED_VALUE"""),"VL103D")</f>
        <v>VL103D</v>
      </c>
      <c r="X1490" s="2"/>
      <c r="Y1490" s="2"/>
      <c r="Z1490" s="2"/>
      <c r="AA1490" s="2"/>
      <c r="AB1490" s="2"/>
    </row>
    <row r="1491">
      <c r="A1491" s="2"/>
      <c r="B1491" s="2"/>
      <c r="C1491" s="2"/>
      <c r="D1491" s="2"/>
      <c r="E1491" s="2"/>
      <c r="F1491" s="2"/>
      <c r="G1491" s="2"/>
      <c r="H1491" s="2"/>
      <c r="I1491" s="2"/>
      <c r="J1491" s="2"/>
      <c r="K1491" s="2"/>
      <c r="L1491" s="2"/>
      <c r="M1491" s="2"/>
      <c r="N1491" s="2"/>
      <c r="O1491" s="2"/>
      <c r="P1491" s="2"/>
      <c r="Q1491" s="2"/>
      <c r="R1491" s="2"/>
      <c r="S1491" s="2"/>
      <c r="T1491" s="2"/>
      <c r="U1491" s="2"/>
      <c r="V1491" s="2"/>
      <c r="W1491" s="2" t="str">
        <f>IFERROR(__xludf.DUMMYFUNCTION("""COMPUTED_VALUE"""),"VL103D")</f>
        <v>VL103D</v>
      </c>
      <c r="X1491" s="2"/>
      <c r="Y1491" s="2"/>
      <c r="Z1491" s="2"/>
      <c r="AA1491" s="2"/>
      <c r="AB1491" s="2"/>
    </row>
    <row r="1492">
      <c r="A1492" s="2"/>
      <c r="B1492" s="2"/>
      <c r="C1492" s="2"/>
      <c r="D1492" s="2"/>
      <c r="E1492" s="2"/>
      <c r="F1492" s="2"/>
      <c r="G1492" s="2"/>
      <c r="H1492" s="2"/>
      <c r="I1492" s="2"/>
      <c r="J1492" s="2"/>
      <c r="K1492" s="2"/>
      <c r="L1492" s="2"/>
      <c r="M1492" s="2"/>
      <c r="N1492" s="2"/>
      <c r="O1492" s="2"/>
      <c r="P1492" s="2"/>
      <c r="Q1492" s="2"/>
      <c r="R1492" s="2"/>
      <c r="S1492" s="2"/>
      <c r="T1492" s="2"/>
      <c r="U1492" s="2"/>
      <c r="V1492" s="2"/>
      <c r="W1492" s="2" t="str">
        <f>IFERROR(__xludf.DUMMYFUNCTION("""COMPUTED_VALUE"""),"VL103D")</f>
        <v>VL103D</v>
      </c>
      <c r="X1492" s="2"/>
      <c r="Y1492" s="2"/>
      <c r="Z1492" s="2"/>
      <c r="AA1492" s="2"/>
      <c r="AB1492" s="2"/>
    </row>
    <row r="1493">
      <c r="A1493" s="2"/>
      <c r="B1493" s="2"/>
      <c r="C1493" s="2"/>
      <c r="D1493" s="2"/>
      <c r="E1493" s="2"/>
      <c r="F1493" s="2"/>
      <c r="G1493" s="2"/>
      <c r="H1493" s="2"/>
      <c r="I1493" s="2"/>
      <c r="J1493" s="2"/>
      <c r="K1493" s="2"/>
      <c r="L1493" s="2"/>
      <c r="M1493" s="2"/>
      <c r="N1493" s="2"/>
      <c r="O1493" s="2"/>
      <c r="P1493" s="2"/>
      <c r="Q1493" s="2"/>
      <c r="R1493" s="2"/>
      <c r="S1493" s="2"/>
      <c r="T1493" s="2"/>
      <c r="U1493" s="2"/>
      <c r="V1493" s="2"/>
      <c r="W1493" s="2" t="str">
        <f>IFERROR(__xludf.DUMMYFUNCTION("""COMPUTED_VALUE"""),"VL103D")</f>
        <v>VL103D</v>
      </c>
      <c r="X1493" s="2"/>
      <c r="Y1493" s="2"/>
      <c r="Z1493" s="2"/>
      <c r="AA1493" s="2"/>
      <c r="AB1493" s="2"/>
    </row>
    <row r="1494">
      <c r="A1494" s="2"/>
      <c r="B1494" s="2"/>
      <c r="C1494" s="2"/>
      <c r="D1494" s="2"/>
      <c r="E1494" s="2"/>
      <c r="F1494" s="2"/>
      <c r="G1494" s="2"/>
      <c r="H1494" s="2"/>
      <c r="I1494" s="2"/>
      <c r="J1494" s="2"/>
      <c r="K1494" s="2"/>
      <c r="L1494" s="2"/>
      <c r="M1494" s="2"/>
      <c r="N1494" s="2"/>
      <c r="O1494" s="2"/>
      <c r="P1494" s="2"/>
      <c r="Q1494" s="2"/>
      <c r="R1494" s="2"/>
      <c r="S1494" s="2"/>
      <c r="T1494" s="2"/>
      <c r="U1494" s="2"/>
      <c r="V1494" s="2"/>
      <c r="W1494" s="2" t="str">
        <f>IFERROR(__xludf.DUMMYFUNCTION("""COMPUTED_VALUE"""),"VL103D")</f>
        <v>VL103D</v>
      </c>
      <c r="X1494" s="2"/>
      <c r="Y1494" s="2"/>
      <c r="Z1494" s="2"/>
      <c r="AA1494" s="2"/>
      <c r="AB1494" s="2"/>
    </row>
    <row r="1495">
      <c r="A1495" s="2"/>
      <c r="B1495" s="2"/>
      <c r="C1495" s="2"/>
      <c r="D1495" s="2"/>
      <c r="E1495" s="2"/>
      <c r="F1495" s="2"/>
      <c r="G1495" s="2"/>
      <c r="H1495" s="2"/>
      <c r="I1495" s="2"/>
      <c r="J1495" s="2"/>
      <c r="K1495" s="2"/>
      <c r="L1495" s="2"/>
      <c r="M1495" s="2"/>
      <c r="N1495" s="2"/>
      <c r="O1495" s="2"/>
      <c r="P1495" s="2"/>
      <c r="Q1495" s="2"/>
      <c r="R1495" s="2"/>
      <c r="S1495" s="2"/>
      <c r="T1495" s="2"/>
      <c r="U1495" s="2"/>
      <c r="V1495" s="2"/>
      <c r="W1495" s="2" t="str">
        <f>IFERROR(__xludf.DUMMYFUNCTION("""COMPUTED_VALUE"""),"VL103D")</f>
        <v>VL103D</v>
      </c>
      <c r="X1495" s="2"/>
      <c r="Y1495" s="2"/>
      <c r="Z1495" s="2"/>
      <c r="AA1495" s="2"/>
      <c r="AB1495" s="2"/>
    </row>
    <row r="1496">
      <c r="A1496" s="2"/>
      <c r="B1496" s="2"/>
      <c r="C1496" s="2"/>
      <c r="D1496" s="2"/>
      <c r="E1496" s="2"/>
      <c r="F1496" s="2"/>
      <c r="G1496" s="2"/>
      <c r="H1496" s="2"/>
      <c r="I1496" s="2"/>
      <c r="J1496" s="2"/>
      <c r="K1496" s="2"/>
      <c r="L1496" s="2"/>
      <c r="M1496" s="2"/>
      <c r="N1496" s="2"/>
      <c r="O1496" s="2"/>
      <c r="P1496" s="2"/>
      <c r="Q1496" s="2"/>
      <c r="R1496" s="2"/>
      <c r="S1496" s="2"/>
      <c r="T1496" s="2"/>
      <c r="U1496" s="2"/>
      <c r="V1496" s="2"/>
      <c r="W1496" s="2" t="str">
        <f>IFERROR(__xludf.DUMMYFUNCTION("""COMPUTED_VALUE"""),"VL103D")</f>
        <v>VL103D</v>
      </c>
      <c r="X1496" s="2"/>
      <c r="Y1496" s="2"/>
      <c r="Z1496" s="2"/>
      <c r="AA1496" s="2"/>
      <c r="AB1496" s="2"/>
    </row>
    <row r="1497">
      <c r="A1497" s="2"/>
      <c r="B1497" s="2"/>
      <c r="C1497" s="2"/>
      <c r="D1497" s="2"/>
      <c r="E1497" s="2"/>
      <c r="F1497" s="2"/>
      <c r="G1497" s="2"/>
      <c r="H1497" s="2"/>
      <c r="I1497" s="2"/>
      <c r="J1497" s="2"/>
      <c r="K1497" s="2"/>
      <c r="L1497" s="2"/>
      <c r="M1497" s="2"/>
      <c r="N1497" s="2"/>
      <c r="O1497" s="2"/>
      <c r="P1497" s="2"/>
      <c r="Q1497" s="2"/>
      <c r="R1497" s="2"/>
      <c r="S1497" s="2"/>
      <c r="T1497" s="2"/>
      <c r="U1497" s="2"/>
      <c r="V1497" s="2"/>
      <c r="W1497" s="2" t="str">
        <f>IFERROR(__xludf.DUMMYFUNCTION("""COMPUTED_VALUE"""),"VL103D")</f>
        <v>VL103D</v>
      </c>
      <c r="X1497" s="2"/>
      <c r="Y1497" s="2"/>
      <c r="Z1497" s="2"/>
      <c r="AA1497" s="2"/>
      <c r="AB1497" s="2"/>
    </row>
    <row r="1498">
      <c r="A1498" s="2"/>
      <c r="B1498" s="2"/>
      <c r="C1498" s="2"/>
      <c r="D1498" s="2"/>
      <c r="E1498" s="2"/>
      <c r="F1498" s="2"/>
      <c r="G1498" s="2"/>
      <c r="H1498" s="2"/>
      <c r="I1498" s="2"/>
      <c r="J1498" s="2"/>
      <c r="K1498" s="2"/>
      <c r="L1498" s="2"/>
      <c r="M1498" s="2"/>
      <c r="N1498" s="2"/>
      <c r="O1498" s="2"/>
      <c r="P1498" s="2"/>
      <c r="Q1498" s="2"/>
      <c r="R1498" s="2"/>
      <c r="S1498" s="2"/>
      <c r="T1498" s="2"/>
      <c r="U1498" s="2"/>
      <c r="V1498" s="2"/>
      <c r="W1498" s="2" t="str">
        <f>IFERROR(__xludf.DUMMYFUNCTION("""COMPUTED_VALUE"""),"VL103D")</f>
        <v>VL103D</v>
      </c>
      <c r="X1498" s="2"/>
      <c r="Y1498" s="2"/>
      <c r="Z1498" s="2"/>
      <c r="AA1498" s="2"/>
      <c r="AB1498" s="2"/>
    </row>
    <row r="1499">
      <c r="A1499" s="2"/>
      <c r="B1499" s="2"/>
      <c r="C1499" s="2"/>
      <c r="D1499" s="2"/>
      <c r="E1499" s="2"/>
      <c r="F1499" s="2"/>
      <c r="G1499" s="2"/>
      <c r="H1499" s="2"/>
      <c r="I1499" s="2"/>
      <c r="J1499" s="2"/>
      <c r="K1499" s="2"/>
      <c r="L1499" s="2"/>
      <c r="M1499" s="2"/>
      <c r="N1499" s="2"/>
      <c r="O1499" s="2"/>
      <c r="P1499" s="2"/>
      <c r="Q1499" s="2"/>
      <c r="R1499" s="2"/>
      <c r="S1499" s="2"/>
      <c r="T1499" s="2"/>
      <c r="U1499" s="2"/>
      <c r="V1499" s="2"/>
      <c r="W1499" s="2" t="str">
        <f>IFERROR(__xludf.DUMMYFUNCTION("""COMPUTED_VALUE"""),"VL103D")</f>
        <v>VL103D</v>
      </c>
      <c r="X1499" s="2"/>
      <c r="Y1499" s="2"/>
      <c r="Z1499" s="2"/>
      <c r="AA1499" s="2"/>
      <c r="AB1499" s="2"/>
    </row>
    <row r="1500">
      <c r="A1500" s="2"/>
      <c r="B1500" s="2"/>
      <c r="C1500" s="2"/>
      <c r="D1500" s="2"/>
      <c r="E1500" s="2"/>
      <c r="F1500" s="2"/>
      <c r="G1500" s="2"/>
      <c r="H1500" s="2"/>
      <c r="I1500" s="2"/>
      <c r="J1500" s="2"/>
      <c r="K1500" s="2"/>
      <c r="L1500" s="2"/>
      <c r="M1500" s="2"/>
      <c r="N1500" s="2"/>
      <c r="O1500" s="2"/>
      <c r="P1500" s="2"/>
      <c r="Q1500" s="2"/>
      <c r="R1500" s="2"/>
      <c r="S1500" s="2"/>
      <c r="T1500" s="2"/>
      <c r="U1500" s="2"/>
      <c r="V1500" s="2"/>
      <c r="W1500" s="2" t="str">
        <f>IFERROR(__xludf.DUMMYFUNCTION("""COMPUTED_VALUE"""),"VL103D")</f>
        <v>VL103D</v>
      </c>
      <c r="X1500" s="2"/>
      <c r="Y1500" s="2"/>
      <c r="Z1500" s="2"/>
      <c r="AA1500" s="2"/>
      <c r="AB1500" s="2"/>
    </row>
    <row r="1501">
      <c r="A1501" s="2"/>
      <c r="B1501" s="2"/>
      <c r="C1501" s="2"/>
      <c r="D1501" s="2"/>
      <c r="E1501" s="2"/>
      <c r="F1501" s="2"/>
      <c r="G1501" s="2"/>
      <c r="H1501" s="2"/>
      <c r="I1501" s="2"/>
      <c r="J1501" s="2"/>
      <c r="K1501" s="2"/>
      <c r="L1501" s="2"/>
      <c r="M1501" s="2"/>
      <c r="N1501" s="2"/>
      <c r="O1501" s="2"/>
      <c r="P1501" s="2"/>
      <c r="Q1501" s="2"/>
      <c r="R1501" s="2"/>
      <c r="S1501" s="2"/>
      <c r="T1501" s="2"/>
      <c r="U1501" s="2"/>
      <c r="V1501" s="2"/>
      <c r="W1501" s="2" t="str">
        <f>IFERROR(__xludf.DUMMYFUNCTION("""COMPUTED_VALUE"""),"VL103D")</f>
        <v>VL103D</v>
      </c>
      <c r="X1501" s="2"/>
      <c r="Y1501" s="2"/>
      <c r="Z1501" s="2"/>
      <c r="AA1501" s="2"/>
      <c r="AB1501" s="2"/>
    </row>
    <row r="1502">
      <c r="A1502" s="2"/>
      <c r="B1502" s="2"/>
      <c r="C1502" s="2"/>
      <c r="D1502" s="2"/>
      <c r="E1502" s="2"/>
      <c r="F1502" s="2"/>
      <c r="G1502" s="2"/>
      <c r="H1502" s="2"/>
      <c r="I1502" s="2"/>
      <c r="J1502" s="2"/>
      <c r="K1502" s="2"/>
      <c r="L1502" s="2"/>
      <c r="M1502" s="2"/>
      <c r="N1502" s="2"/>
      <c r="O1502" s="2"/>
      <c r="P1502" s="2"/>
      <c r="Q1502" s="2"/>
      <c r="R1502" s="2"/>
      <c r="S1502" s="2"/>
      <c r="T1502" s="2"/>
      <c r="U1502" s="2"/>
      <c r="V1502" s="2"/>
      <c r="W1502" s="2" t="str">
        <f>IFERROR(__xludf.DUMMYFUNCTION("""COMPUTED_VALUE"""),"VL103D")</f>
        <v>VL103D</v>
      </c>
      <c r="X1502" s="2"/>
      <c r="Y1502" s="2"/>
      <c r="Z1502" s="2"/>
      <c r="AA1502" s="2"/>
      <c r="AB1502" s="2"/>
    </row>
    <row r="1503">
      <c r="A1503" s="2"/>
      <c r="B1503" s="2"/>
      <c r="C1503" s="2"/>
      <c r="D1503" s="2"/>
      <c r="E1503" s="2"/>
      <c r="F1503" s="2"/>
      <c r="G1503" s="2"/>
      <c r="H1503" s="2"/>
      <c r="I1503" s="2"/>
      <c r="J1503" s="2"/>
      <c r="K1503" s="2"/>
      <c r="L1503" s="2"/>
      <c r="M1503" s="2"/>
      <c r="N1503" s="2"/>
      <c r="O1503" s="2"/>
      <c r="P1503" s="2"/>
      <c r="Q1503" s="2"/>
      <c r="R1503" s="2"/>
      <c r="S1503" s="2"/>
      <c r="T1503" s="2"/>
      <c r="U1503" s="2"/>
      <c r="V1503" s="2"/>
      <c r="W1503" s="2" t="str">
        <f>IFERROR(__xludf.DUMMYFUNCTION("""COMPUTED_VALUE"""),"VL103D")</f>
        <v>VL103D</v>
      </c>
      <c r="X1503" s="2"/>
      <c r="Y1503" s="2"/>
      <c r="Z1503" s="2"/>
      <c r="AA1503" s="2"/>
      <c r="AB1503" s="2"/>
    </row>
    <row r="1504">
      <c r="A1504" s="2"/>
      <c r="B1504" s="2"/>
      <c r="C1504" s="2"/>
      <c r="D1504" s="2"/>
      <c r="E1504" s="2"/>
      <c r="F1504" s="2"/>
      <c r="G1504" s="2"/>
      <c r="H1504" s="2"/>
      <c r="I1504" s="2"/>
      <c r="J1504" s="2"/>
      <c r="K1504" s="2"/>
      <c r="L1504" s="2"/>
      <c r="M1504" s="2"/>
      <c r="N1504" s="2"/>
      <c r="O1504" s="2"/>
      <c r="P1504" s="2"/>
      <c r="Q1504" s="2"/>
      <c r="R1504" s="2"/>
      <c r="S1504" s="2"/>
      <c r="T1504" s="2"/>
      <c r="U1504" s="2"/>
      <c r="V1504" s="2"/>
      <c r="W1504" s="2" t="str">
        <f>IFERROR(__xludf.DUMMYFUNCTION("""COMPUTED_VALUE"""),"VL103D")</f>
        <v>VL103D</v>
      </c>
      <c r="X1504" s="2"/>
      <c r="Y1504" s="2"/>
      <c r="Z1504" s="2"/>
      <c r="AA1504" s="2"/>
      <c r="AB1504" s="2"/>
    </row>
    <row r="1505">
      <c r="A1505" s="2"/>
      <c r="B1505" s="2"/>
      <c r="C1505" s="2"/>
      <c r="D1505" s="2"/>
      <c r="E1505" s="2"/>
      <c r="F1505" s="2"/>
      <c r="G1505" s="2"/>
      <c r="H1505" s="2"/>
      <c r="I1505" s="2"/>
      <c r="J1505" s="2"/>
      <c r="K1505" s="2"/>
      <c r="L1505" s="2"/>
      <c r="M1505" s="2"/>
      <c r="N1505" s="2"/>
      <c r="O1505" s="2"/>
      <c r="P1505" s="2"/>
      <c r="Q1505" s="2"/>
      <c r="R1505" s="2"/>
      <c r="S1505" s="2"/>
      <c r="T1505" s="2"/>
      <c r="U1505" s="2"/>
      <c r="V1505" s="2"/>
      <c r="W1505" s="2" t="str">
        <f>IFERROR(__xludf.DUMMYFUNCTION("""COMPUTED_VALUE"""),"VL103D")</f>
        <v>VL103D</v>
      </c>
      <c r="X1505" s="2"/>
      <c r="Y1505" s="2"/>
      <c r="Z1505" s="2"/>
      <c r="AA1505" s="2"/>
      <c r="AB1505" s="2"/>
    </row>
    <row r="1506">
      <c r="A1506" s="2"/>
      <c r="B1506" s="2"/>
      <c r="C1506" s="2"/>
      <c r="D1506" s="2"/>
      <c r="E1506" s="2"/>
      <c r="F1506" s="2"/>
      <c r="G1506" s="2"/>
      <c r="H1506" s="2"/>
      <c r="I1506" s="2"/>
      <c r="J1506" s="2"/>
      <c r="K1506" s="2"/>
      <c r="L1506" s="2"/>
      <c r="M1506" s="2"/>
      <c r="N1506" s="2"/>
      <c r="O1506" s="2"/>
      <c r="P1506" s="2"/>
      <c r="Q1506" s="2"/>
      <c r="R1506" s="2"/>
      <c r="S1506" s="2"/>
      <c r="T1506" s="2"/>
      <c r="U1506" s="2"/>
      <c r="V1506" s="2"/>
      <c r="W1506" s="2" t="str">
        <f>IFERROR(__xludf.DUMMYFUNCTION("""COMPUTED_VALUE"""),"VL103D")</f>
        <v>VL103D</v>
      </c>
      <c r="X1506" s="2"/>
      <c r="Y1506" s="2"/>
      <c r="Z1506" s="2"/>
      <c r="AA1506" s="2"/>
      <c r="AB1506" s="2"/>
    </row>
    <row r="1507">
      <c r="A1507" s="2"/>
      <c r="B1507" s="2"/>
      <c r="C1507" s="2"/>
      <c r="D1507" s="2"/>
      <c r="E1507" s="2"/>
      <c r="F1507" s="2"/>
      <c r="G1507" s="2"/>
      <c r="H1507" s="2"/>
      <c r="I1507" s="2"/>
      <c r="J1507" s="2"/>
      <c r="K1507" s="2"/>
      <c r="L1507" s="2"/>
      <c r="M1507" s="2"/>
      <c r="N1507" s="2"/>
      <c r="O1507" s="2"/>
      <c r="P1507" s="2"/>
      <c r="Q1507" s="2"/>
      <c r="R1507" s="2"/>
      <c r="S1507" s="2"/>
      <c r="T1507" s="2"/>
      <c r="U1507" s="2"/>
      <c r="V1507" s="2"/>
      <c r="W1507" s="2" t="str">
        <f>IFERROR(__xludf.DUMMYFUNCTION("""COMPUTED_VALUE"""),"VL103D")</f>
        <v>VL103D</v>
      </c>
      <c r="X1507" s="2"/>
      <c r="Y1507" s="2"/>
      <c r="Z1507" s="2"/>
      <c r="AA1507" s="2"/>
      <c r="AB1507" s="2"/>
    </row>
    <row r="1508">
      <c r="A1508" s="2"/>
      <c r="B1508" s="2"/>
      <c r="C1508" s="2"/>
      <c r="D1508" s="2"/>
      <c r="E1508" s="2"/>
      <c r="F1508" s="2"/>
      <c r="G1508" s="2"/>
      <c r="H1508" s="2"/>
      <c r="I1508" s="2"/>
      <c r="J1508" s="2"/>
      <c r="K1508" s="2"/>
      <c r="L1508" s="2"/>
      <c r="M1508" s="2"/>
      <c r="N1508" s="2"/>
      <c r="O1508" s="2"/>
      <c r="P1508" s="2"/>
      <c r="Q1508" s="2"/>
      <c r="R1508" s="2"/>
      <c r="S1508" s="2"/>
      <c r="T1508" s="2"/>
      <c r="U1508" s="2"/>
      <c r="V1508" s="2"/>
      <c r="W1508" s="2" t="str">
        <f>IFERROR(__xludf.DUMMYFUNCTION("""COMPUTED_VALUE"""),"VL103D")</f>
        <v>VL103D</v>
      </c>
      <c r="X1508" s="2"/>
      <c r="Y1508" s="2"/>
      <c r="Z1508" s="2"/>
      <c r="AA1508" s="2"/>
      <c r="AB1508" s="2"/>
    </row>
    <row r="1509">
      <c r="A1509" s="2"/>
      <c r="B1509" s="2"/>
      <c r="C1509" s="2"/>
      <c r="D1509" s="2"/>
      <c r="E1509" s="2"/>
      <c r="F1509" s="2"/>
      <c r="G1509" s="2"/>
      <c r="H1509" s="2"/>
      <c r="I1509" s="2"/>
      <c r="J1509" s="2"/>
      <c r="K1509" s="2"/>
      <c r="L1509" s="2"/>
      <c r="M1509" s="2"/>
      <c r="N1509" s="2"/>
      <c r="O1509" s="2"/>
      <c r="P1509" s="2"/>
      <c r="Q1509" s="2"/>
      <c r="R1509" s="2"/>
      <c r="S1509" s="2"/>
      <c r="T1509" s="2"/>
      <c r="U1509" s="2"/>
      <c r="V1509" s="2"/>
      <c r="W1509" s="2" t="str">
        <f>IFERROR(__xludf.DUMMYFUNCTION("""COMPUTED_VALUE"""),"VL103D")</f>
        <v>VL103D</v>
      </c>
      <c r="X1509" s="2"/>
      <c r="Y1509" s="2"/>
      <c r="Z1509" s="2"/>
      <c r="AA1509" s="2"/>
      <c r="AB1509" s="2"/>
    </row>
    <row r="1510">
      <c r="A1510" s="2"/>
      <c r="B1510" s="2"/>
      <c r="C1510" s="2"/>
      <c r="D1510" s="2"/>
      <c r="E1510" s="2"/>
      <c r="F1510" s="2"/>
      <c r="G1510" s="2"/>
      <c r="H1510" s="2"/>
      <c r="I1510" s="2"/>
      <c r="J1510" s="2"/>
      <c r="K1510" s="2"/>
      <c r="L1510" s="2"/>
      <c r="M1510" s="2"/>
      <c r="N1510" s="2"/>
      <c r="O1510" s="2"/>
      <c r="P1510" s="2"/>
      <c r="Q1510" s="2"/>
      <c r="R1510" s="2"/>
      <c r="S1510" s="2"/>
      <c r="T1510" s="2"/>
      <c r="U1510" s="2"/>
      <c r="V1510" s="2"/>
      <c r="W1510" s="2" t="str">
        <f>IFERROR(__xludf.DUMMYFUNCTION("""COMPUTED_VALUE"""),"VL103D")</f>
        <v>VL103D</v>
      </c>
      <c r="X1510" s="2"/>
      <c r="Y1510" s="2"/>
      <c r="Z1510" s="2"/>
      <c r="AA1510" s="2"/>
      <c r="AB1510" s="2"/>
    </row>
    <row r="1511">
      <c r="A1511" s="2"/>
      <c r="B1511" s="2"/>
      <c r="C1511" s="2"/>
      <c r="D1511" s="2"/>
      <c r="E1511" s="2"/>
      <c r="F1511" s="2"/>
      <c r="G1511" s="2"/>
      <c r="H1511" s="2"/>
      <c r="I1511" s="2"/>
      <c r="J1511" s="2"/>
      <c r="K1511" s="2"/>
      <c r="L1511" s="2"/>
      <c r="M1511" s="2"/>
      <c r="N1511" s="2"/>
      <c r="O1511" s="2"/>
      <c r="P1511" s="2"/>
      <c r="Q1511" s="2"/>
      <c r="R1511" s="2"/>
      <c r="S1511" s="2"/>
      <c r="T1511" s="2"/>
      <c r="U1511" s="2"/>
      <c r="V1511" s="2"/>
      <c r="W1511" s="2" t="str">
        <f>IFERROR(__xludf.DUMMYFUNCTION("""COMPUTED_VALUE"""),"VL103D")</f>
        <v>VL103D</v>
      </c>
      <c r="X1511" s="2"/>
      <c r="Y1511" s="2"/>
      <c r="Z1511" s="2"/>
      <c r="AA1511" s="2"/>
      <c r="AB1511" s="2"/>
    </row>
    <row r="1512">
      <c r="A1512" s="2"/>
      <c r="B1512" s="2"/>
      <c r="C1512" s="2"/>
      <c r="D1512" s="2"/>
      <c r="E1512" s="2"/>
      <c r="F1512" s="2"/>
      <c r="G1512" s="2"/>
      <c r="H1512" s="2"/>
      <c r="I1512" s="2"/>
      <c r="J1512" s="2"/>
      <c r="K1512" s="2"/>
      <c r="L1512" s="2"/>
      <c r="M1512" s="2"/>
      <c r="N1512" s="2"/>
      <c r="O1512" s="2"/>
      <c r="P1512" s="2"/>
      <c r="Q1512" s="2"/>
      <c r="R1512" s="2"/>
      <c r="S1512" s="2"/>
      <c r="T1512" s="2"/>
      <c r="U1512" s="2"/>
      <c r="V1512" s="2"/>
      <c r="W1512" s="2" t="str">
        <f>IFERROR(__xludf.DUMMYFUNCTION("""COMPUTED_VALUE"""),"VL103D")</f>
        <v>VL103D</v>
      </c>
      <c r="X1512" s="2"/>
      <c r="Y1512" s="2"/>
      <c r="Z1512" s="2"/>
      <c r="AA1512" s="2"/>
      <c r="AB1512" s="2"/>
    </row>
    <row r="1513">
      <c r="A1513" s="2"/>
      <c r="B1513" s="2"/>
      <c r="C1513" s="2"/>
      <c r="D1513" s="2"/>
      <c r="E1513" s="2"/>
      <c r="F1513" s="2"/>
      <c r="G1513" s="2"/>
      <c r="H1513" s="2"/>
      <c r="I1513" s="2"/>
      <c r="J1513" s="2"/>
      <c r="K1513" s="2"/>
      <c r="L1513" s="2"/>
      <c r="M1513" s="2"/>
      <c r="N1513" s="2"/>
      <c r="O1513" s="2"/>
      <c r="P1513" s="2"/>
      <c r="Q1513" s="2"/>
      <c r="R1513" s="2"/>
      <c r="S1513" s="2"/>
      <c r="T1513" s="2"/>
      <c r="U1513" s="2"/>
      <c r="V1513" s="2"/>
      <c r="W1513" s="2" t="str">
        <f>IFERROR(__xludf.DUMMYFUNCTION("""COMPUTED_VALUE"""),"VL103D")</f>
        <v>VL103D</v>
      </c>
      <c r="X1513" s="2"/>
      <c r="Y1513" s="2"/>
      <c r="Z1513" s="2"/>
      <c r="AA1513" s="2"/>
      <c r="AB1513" s="2"/>
    </row>
    <row r="1514">
      <c r="A1514" s="2"/>
      <c r="B1514" s="2"/>
      <c r="C1514" s="2"/>
      <c r="D1514" s="2"/>
      <c r="E1514" s="2"/>
      <c r="F1514" s="2"/>
      <c r="G1514" s="2"/>
      <c r="H1514" s="2"/>
      <c r="I1514" s="2"/>
      <c r="J1514" s="2"/>
      <c r="K1514" s="2"/>
      <c r="L1514" s="2"/>
      <c r="M1514" s="2"/>
      <c r="N1514" s="2"/>
      <c r="O1514" s="2"/>
      <c r="P1514" s="2"/>
      <c r="Q1514" s="2"/>
      <c r="R1514" s="2"/>
      <c r="S1514" s="2"/>
      <c r="T1514" s="2"/>
      <c r="U1514" s="2"/>
      <c r="V1514" s="2"/>
      <c r="W1514" s="2" t="str">
        <f>IFERROR(__xludf.DUMMYFUNCTION("""COMPUTED_VALUE"""),"VL103D")</f>
        <v>VL103D</v>
      </c>
      <c r="X1514" s="2"/>
      <c r="Y1514" s="2"/>
      <c r="Z1514" s="2"/>
      <c r="AA1514" s="2"/>
      <c r="AB1514" s="2"/>
    </row>
    <row r="1515">
      <c r="A1515" s="2"/>
      <c r="B1515" s="2"/>
      <c r="C1515" s="2"/>
      <c r="D1515" s="2"/>
      <c r="E1515" s="2"/>
      <c r="F1515" s="2"/>
      <c r="G1515" s="2"/>
      <c r="H1515" s="2"/>
      <c r="I1515" s="2"/>
      <c r="J1515" s="2"/>
      <c r="K1515" s="2"/>
      <c r="L1515" s="2"/>
      <c r="M1515" s="2"/>
      <c r="N1515" s="2"/>
      <c r="O1515" s="2"/>
      <c r="P1515" s="2"/>
      <c r="Q1515" s="2"/>
      <c r="R1515" s="2"/>
      <c r="S1515" s="2"/>
      <c r="T1515" s="2"/>
      <c r="U1515" s="2"/>
      <c r="V1515" s="2"/>
      <c r="W1515" s="2" t="str">
        <f>IFERROR(__xludf.DUMMYFUNCTION("""COMPUTED_VALUE"""),"VL103D")</f>
        <v>VL103D</v>
      </c>
      <c r="X1515" s="2"/>
      <c r="Y1515" s="2"/>
      <c r="Z1515" s="2"/>
      <c r="AA1515" s="2"/>
      <c r="AB1515" s="2"/>
    </row>
    <row r="1516">
      <c r="A1516" s="2"/>
      <c r="B1516" s="2"/>
      <c r="C1516" s="2"/>
      <c r="D1516" s="2"/>
      <c r="E1516" s="2"/>
      <c r="F1516" s="2"/>
      <c r="G1516" s="2"/>
      <c r="H1516" s="2"/>
      <c r="I1516" s="2"/>
      <c r="J1516" s="2"/>
      <c r="K1516" s="2"/>
      <c r="L1516" s="2"/>
      <c r="M1516" s="2"/>
      <c r="N1516" s="2"/>
      <c r="O1516" s="2"/>
      <c r="P1516" s="2"/>
      <c r="Q1516" s="2"/>
      <c r="R1516" s="2"/>
      <c r="S1516" s="2"/>
      <c r="T1516" s="2"/>
      <c r="U1516" s="2"/>
      <c r="V1516" s="2"/>
      <c r="W1516" s="2" t="str">
        <f>IFERROR(__xludf.DUMMYFUNCTION("""COMPUTED_VALUE"""),"VL103D")</f>
        <v>VL103D</v>
      </c>
      <c r="X1516" s="2"/>
      <c r="Y1516" s="2"/>
      <c r="Z1516" s="2"/>
      <c r="AA1516" s="2"/>
      <c r="AB1516" s="2"/>
    </row>
    <row r="1517">
      <c r="A1517" s="2"/>
      <c r="B1517" s="2"/>
      <c r="C1517" s="2"/>
      <c r="D1517" s="2"/>
      <c r="E1517" s="2"/>
      <c r="F1517" s="2"/>
      <c r="G1517" s="2"/>
      <c r="H1517" s="2"/>
      <c r="I1517" s="2"/>
      <c r="J1517" s="2"/>
      <c r="K1517" s="2"/>
      <c r="L1517" s="2"/>
      <c r="M1517" s="2"/>
      <c r="N1517" s="2"/>
      <c r="O1517" s="2"/>
      <c r="P1517" s="2"/>
      <c r="Q1517" s="2"/>
      <c r="R1517" s="2"/>
      <c r="S1517" s="2"/>
      <c r="T1517" s="2"/>
      <c r="U1517" s="2"/>
      <c r="V1517" s="2"/>
      <c r="W1517" s="2" t="str">
        <f>IFERROR(__xludf.DUMMYFUNCTION("""COMPUTED_VALUE"""),"VL103D")</f>
        <v>VL103D</v>
      </c>
      <c r="X1517" s="2"/>
      <c r="Y1517" s="2"/>
      <c r="Z1517" s="2"/>
      <c r="AA1517" s="2"/>
      <c r="AB1517" s="2"/>
    </row>
    <row r="1518">
      <c r="A1518" s="2"/>
      <c r="B1518" s="2"/>
      <c r="C1518" s="2"/>
      <c r="D1518" s="2"/>
      <c r="E1518" s="2"/>
      <c r="F1518" s="2"/>
      <c r="G1518" s="2"/>
      <c r="H1518" s="2"/>
      <c r="I1518" s="2"/>
      <c r="J1518" s="2"/>
      <c r="K1518" s="2"/>
      <c r="L1518" s="2"/>
      <c r="M1518" s="2"/>
      <c r="N1518" s="2"/>
      <c r="O1518" s="2"/>
      <c r="P1518" s="2"/>
      <c r="Q1518" s="2"/>
      <c r="R1518" s="2"/>
      <c r="S1518" s="2"/>
      <c r="T1518" s="2"/>
      <c r="U1518" s="2"/>
      <c r="V1518" s="2"/>
      <c r="W1518" s="2" t="str">
        <f>IFERROR(__xludf.DUMMYFUNCTION("""COMPUTED_VALUE"""),"VL103D")</f>
        <v>VL103D</v>
      </c>
      <c r="X1518" s="2"/>
      <c r="Y1518" s="2"/>
      <c r="Z1518" s="2"/>
      <c r="AA1518" s="2"/>
      <c r="AB1518" s="2"/>
    </row>
    <row r="1519">
      <c r="A1519" s="2"/>
      <c r="B1519" s="2"/>
      <c r="C1519" s="2"/>
      <c r="D1519" s="2"/>
      <c r="E1519" s="2"/>
      <c r="F1519" s="2"/>
      <c r="G1519" s="2"/>
      <c r="H1519" s="2"/>
      <c r="I1519" s="2"/>
      <c r="J1519" s="2"/>
      <c r="K1519" s="2"/>
      <c r="L1519" s="2"/>
      <c r="M1519" s="2"/>
      <c r="N1519" s="2"/>
      <c r="O1519" s="2"/>
      <c r="P1519" s="2"/>
      <c r="Q1519" s="2"/>
      <c r="R1519" s="2"/>
      <c r="S1519" s="2"/>
      <c r="T1519" s="2"/>
      <c r="U1519" s="2"/>
      <c r="V1519" s="2"/>
      <c r="W1519" s="2" t="str">
        <f>IFERROR(__xludf.DUMMYFUNCTION("""COMPUTED_VALUE"""),"VL103D")</f>
        <v>VL103D</v>
      </c>
      <c r="X1519" s="2"/>
      <c r="Y1519" s="2"/>
      <c r="Z1519" s="2"/>
      <c r="AA1519" s="2"/>
      <c r="AB1519" s="2"/>
    </row>
    <row r="1520">
      <c r="A1520" s="2"/>
      <c r="B1520" s="2"/>
      <c r="C1520" s="2"/>
      <c r="D1520" s="2"/>
      <c r="E1520" s="2"/>
      <c r="F1520" s="2"/>
      <c r="G1520" s="2"/>
      <c r="H1520" s="2"/>
      <c r="I1520" s="2"/>
      <c r="J1520" s="2"/>
      <c r="K1520" s="2"/>
      <c r="L1520" s="2"/>
      <c r="M1520" s="2"/>
      <c r="N1520" s="2"/>
      <c r="O1520" s="2"/>
      <c r="P1520" s="2"/>
      <c r="Q1520" s="2"/>
      <c r="R1520" s="2"/>
      <c r="S1520" s="2"/>
      <c r="T1520" s="2"/>
      <c r="U1520" s="2"/>
      <c r="V1520" s="2"/>
      <c r="W1520" s="2" t="str">
        <f>IFERROR(__xludf.DUMMYFUNCTION("""COMPUTED_VALUE"""),"VL103D")</f>
        <v>VL103D</v>
      </c>
      <c r="X1520" s="2"/>
      <c r="Y1520" s="2"/>
      <c r="Z1520" s="2"/>
      <c r="AA1520" s="2"/>
      <c r="AB1520" s="2"/>
    </row>
    <row r="1521">
      <c r="A1521" s="2"/>
      <c r="B1521" s="2"/>
      <c r="C1521" s="2"/>
      <c r="D1521" s="2"/>
      <c r="E1521" s="2"/>
      <c r="F1521" s="2"/>
      <c r="G1521" s="2"/>
      <c r="H1521" s="2"/>
      <c r="I1521" s="2"/>
      <c r="J1521" s="2"/>
      <c r="K1521" s="2"/>
      <c r="L1521" s="2"/>
      <c r="M1521" s="2"/>
      <c r="N1521" s="2"/>
      <c r="O1521" s="2"/>
      <c r="P1521" s="2"/>
      <c r="Q1521" s="2"/>
      <c r="R1521" s="2"/>
      <c r="S1521" s="2"/>
      <c r="T1521" s="2"/>
      <c r="U1521" s="2"/>
      <c r="V1521" s="2"/>
      <c r="W1521" s="2" t="str">
        <f>IFERROR(__xludf.DUMMYFUNCTION("""COMPUTED_VALUE"""),"VL103D")</f>
        <v>VL103D</v>
      </c>
      <c r="X1521" s="2"/>
      <c r="Y1521" s="2"/>
      <c r="Z1521" s="2"/>
      <c r="AA1521" s="2"/>
      <c r="AB1521" s="2"/>
    </row>
    <row r="1522">
      <c r="A1522" s="2"/>
      <c r="B1522" s="2"/>
      <c r="C1522" s="2"/>
      <c r="D1522" s="2"/>
      <c r="E1522" s="2"/>
      <c r="F1522" s="2"/>
      <c r="G1522" s="2"/>
      <c r="H1522" s="2"/>
      <c r="I1522" s="2"/>
      <c r="J1522" s="2"/>
      <c r="K1522" s="2"/>
      <c r="L1522" s="2"/>
      <c r="M1522" s="2"/>
      <c r="N1522" s="2"/>
      <c r="O1522" s="2"/>
      <c r="P1522" s="2"/>
      <c r="Q1522" s="2"/>
      <c r="R1522" s="2"/>
      <c r="S1522" s="2"/>
      <c r="T1522" s="2"/>
      <c r="U1522" s="2"/>
      <c r="V1522" s="2"/>
      <c r="W1522" s="2" t="str">
        <f>IFERROR(__xludf.DUMMYFUNCTION("""COMPUTED_VALUE"""),"VL103D")</f>
        <v>VL103D</v>
      </c>
      <c r="X1522" s="2"/>
      <c r="Y1522" s="2"/>
      <c r="Z1522" s="2"/>
      <c r="AA1522" s="2"/>
      <c r="AB1522" s="2"/>
    </row>
    <row r="1523">
      <c r="A1523" s="2"/>
      <c r="B1523" s="2"/>
      <c r="C1523" s="2"/>
      <c r="D1523" s="2"/>
      <c r="E1523" s="2"/>
      <c r="F1523" s="2"/>
      <c r="G1523" s="2"/>
      <c r="H1523" s="2"/>
      <c r="I1523" s="2"/>
      <c r="J1523" s="2"/>
      <c r="K1523" s="2"/>
      <c r="L1523" s="2"/>
      <c r="M1523" s="2"/>
      <c r="N1523" s="2"/>
      <c r="O1523" s="2"/>
      <c r="P1523" s="2"/>
      <c r="Q1523" s="2"/>
      <c r="R1523" s="2"/>
      <c r="S1523" s="2"/>
      <c r="T1523" s="2"/>
      <c r="U1523" s="2"/>
      <c r="V1523" s="2"/>
      <c r="W1523" s="2" t="str">
        <f>IFERROR(__xludf.DUMMYFUNCTION("""COMPUTED_VALUE"""),"VL103D")</f>
        <v>VL103D</v>
      </c>
      <c r="X1523" s="2"/>
      <c r="Y1523" s="2"/>
      <c r="Z1523" s="2"/>
      <c r="AA1523" s="2"/>
      <c r="AB1523" s="2"/>
    </row>
    <row r="1524">
      <c r="A1524" s="2"/>
      <c r="B1524" s="2"/>
      <c r="C1524" s="2"/>
      <c r="D1524" s="2"/>
      <c r="E1524" s="2"/>
      <c r="F1524" s="2"/>
      <c r="G1524" s="2"/>
      <c r="H1524" s="2"/>
      <c r="I1524" s="2"/>
      <c r="J1524" s="2"/>
      <c r="K1524" s="2"/>
      <c r="L1524" s="2"/>
      <c r="M1524" s="2"/>
      <c r="N1524" s="2"/>
      <c r="O1524" s="2"/>
      <c r="P1524" s="2"/>
      <c r="Q1524" s="2"/>
      <c r="R1524" s="2"/>
      <c r="S1524" s="2"/>
      <c r="T1524" s="2"/>
      <c r="U1524" s="2"/>
      <c r="V1524" s="2"/>
      <c r="W1524" s="2" t="str">
        <f>IFERROR(__xludf.DUMMYFUNCTION("""COMPUTED_VALUE"""),"VL103D")</f>
        <v>VL103D</v>
      </c>
      <c r="X1524" s="2"/>
      <c r="Y1524" s="2"/>
      <c r="Z1524" s="2"/>
      <c r="AA1524" s="2"/>
      <c r="AB1524" s="2"/>
    </row>
    <row r="1525">
      <c r="A1525" s="2"/>
      <c r="B1525" s="2"/>
      <c r="C1525" s="2"/>
      <c r="D1525" s="2"/>
      <c r="E1525" s="2"/>
      <c r="F1525" s="2"/>
      <c r="G1525" s="2"/>
      <c r="H1525" s="2"/>
      <c r="I1525" s="2"/>
      <c r="J1525" s="2"/>
      <c r="K1525" s="2"/>
      <c r="L1525" s="2"/>
      <c r="M1525" s="2"/>
      <c r="N1525" s="2"/>
      <c r="O1525" s="2"/>
      <c r="P1525" s="2"/>
      <c r="Q1525" s="2"/>
      <c r="R1525" s="2"/>
      <c r="S1525" s="2"/>
      <c r="T1525" s="2"/>
      <c r="U1525" s="2"/>
      <c r="V1525" s="2"/>
      <c r="W1525" s="2" t="str">
        <f>IFERROR(__xludf.DUMMYFUNCTION("""COMPUTED_VALUE"""),"VL103D")</f>
        <v>VL103D</v>
      </c>
      <c r="X1525" s="2"/>
      <c r="Y1525" s="2"/>
      <c r="Z1525" s="2"/>
      <c r="AA1525" s="2"/>
      <c r="AB1525" s="2"/>
    </row>
    <row r="1526">
      <c r="A1526" s="2"/>
      <c r="B1526" s="2"/>
      <c r="C1526" s="2"/>
      <c r="D1526" s="2"/>
      <c r="E1526" s="2"/>
      <c r="F1526" s="2"/>
      <c r="G1526" s="2"/>
      <c r="H1526" s="2"/>
      <c r="I1526" s="2"/>
      <c r="J1526" s="2"/>
      <c r="K1526" s="2"/>
      <c r="L1526" s="2"/>
      <c r="M1526" s="2"/>
      <c r="N1526" s="2"/>
      <c r="O1526" s="2"/>
      <c r="P1526" s="2"/>
      <c r="Q1526" s="2"/>
      <c r="R1526" s="2"/>
      <c r="S1526" s="2"/>
      <c r="T1526" s="2"/>
      <c r="U1526" s="2"/>
      <c r="V1526" s="2"/>
      <c r="W1526" s="2" t="str">
        <f>IFERROR(__xludf.DUMMYFUNCTION("""COMPUTED_VALUE"""),"VL103D")</f>
        <v>VL103D</v>
      </c>
      <c r="X1526" s="2"/>
      <c r="Y1526" s="2"/>
      <c r="Z1526" s="2"/>
      <c r="AA1526" s="2"/>
      <c r="AB1526" s="2"/>
    </row>
    <row r="1527">
      <c r="A1527" s="2"/>
      <c r="B1527" s="2"/>
      <c r="C1527" s="2"/>
      <c r="D1527" s="2"/>
      <c r="E1527" s="2"/>
      <c r="F1527" s="2"/>
      <c r="G1527" s="2"/>
      <c r="H1527" s="2"/>
      <c r="I1527" s="2"/>
      <c r="J1527" s="2"/>
      <c r="K1527" s="2"/>
      <c r="L1527" s="2"/>
      <c r="M1527" s="2"/>
      <c r="N1527" s="2"/>
      <c r="O1527" s="2"/>
      <c r="P1527" s="2"/>
      <c r="Q1527" s="2"/>
      <c r="R1527" s="2"/>
      <c r="S1527" s="2"/>
      <c r="T1527" s="2"/>
      <c r="U1527" s="2"/>
      <c r="V1527" s="2"/>
      <c r="W1527" s="2" t="str">
        <f>IFERROR(__xludf.DUMMYFUNCTION("""COMPUTED_VALUE"""),"VL103D")</f>
        <v>VL103D</v>
      </c>
      <c r="X1527" s="2"/>
      <c r="Y1527" s="2"/>
      <c r="Z1527" s="2"/>
      <c r="AA1527" s="2"/>
      <c r="AB1527" s="2"/>
    </row>
    <row r="1528">
      <c r="A1528" s="2"/>
      <c r="B1528" s="2"/>
      <c r="C1528" s="2"/>
      <c r="D1528" s="2"/>
      <c r="E1528" s="2"/>
      <c r="F1528" s="2"/>
      <c r="G1528" s="2"/>
      <c r="H1528" s="2"/>
      <c r="I1528" s="2"/>
      <c r="J1528" s="2"/>
      <c r="K1528" s="2"/>
      <c r="L1528" s="2"/>
      <c r="M1528" s="2"/>
      <c r="N1528" s="2"/>
      <c r="O1528" s="2"/>
      <c r="P1528" s="2"/>
      <c r="Q1528" s="2"/>
      <c r="R1528" s="2"/>
      <c r="S1528" s="2"/>
      <c r="T1528" s="2"/>
      <c r="U1528" s="2"/>
      <c r="V1528" s="2"/>
      <c r="W1528" s="2" t="str">
        <f>IFERROR(__xludf.DUMMYFUNCTION("""COMPUTED_VALUE"""),"VL103D")</f>
        <v>VL103D</v>
      </c>
      <c r="X1528" s="2"/>
      <c r="Y1528" s="2"/>
      <c r="Z1528" s="2"/>
      <c r="AA1528" s="2"/>
      <c r="AB1528" s="2"/>
    </row>
    <row r="1529">
      <c r="A1529" s="2"/>
      <c r="B1529" s="2"/>
      <c r="C1529" s="2"/>
      <c r="D1529" s="2"/>
      <c r="E1529" s="2"/>
      <c r="F1529" s="2"/>
      <c r="G1529" s="2"/>
      <c r="H1529" s="2"/>
      <c r="I1529" s="2"/>
      <c r="J1529" s="2"/>
      <c r="K1529" s="2"/>
      <c r="L1529" s="2"/>
      <c r="M1529" s="2"/>
      <c r="N1529" s="2"/>
      <c r="O1529" s="2"/>
      <c r="P1529" s="2"/>
      <c r="Q1529" s="2"/>
      <c r="R1529" s="2"/>
      <c r="S1529" s="2"/>
      <c r="T1529" s="2"/>
      <c r="U1529" s="2"/>
      <c r="V1529" s="2"/>
      <c r="W1529" s="2" t="str">
        <f>IFERROR(__xludf.DUMMYFUNCTION("""COMPUTED_VALUE"""),"VL103D")</f>
        <v>VL103D</v>
      </c>
      <c r="X1529" s="2"/>
      <c r="Y1529" s="2"/>
      <c r="Z1529" s="2"/>
      <c r="AA1529" s="2"/>
      <c r="AB1529" s="2"/>
    </row>
    <row r="1530">
      <c r="A1530" s="2"/>
      <c r="B1530" s="2"/>
      <c r="C1530" s="2"/>
      <c r="D1530" s="2"/>
      <c r="E1530" s="2"/>
      <c r="F1530" s="2"/>
      <c r="G1530" s="2"/>
      <c r="H1530" s="2"/>
      <c r="I1530" s="2"/>
      <c r="J1530" s="2"/>
      <c r="K1530" s="2"/>
      <c r="L1530" s="2"/>
      <c r="M1530" s="2"/>
      <c r="N1530" s="2"/>
      <c r="O1530" s="2"/>
      <c r="P1530" s="2"/>
      <c r="Q1530" s="2"/>
      <c r="R1530" s="2"/>
      <c r="S1530" s="2"/>
      <c r="T1530" s="2"/>
      <c r="U1530" s="2"/>
      <c r="V1530" s="2"/>
      <c r="W1530" s="2" t="str">
        <f>IFERROR(__xludf.DUMMYFUNCTION("""COMPUTED_VALUE"""),"VL103D")</f>
        <v>VL103D</v>
      </c>
      <c r="X1530" s="2"/>
      <c r="Y1530" s="2"/>
      <c r="Z1530" s="2"/>
      <c r="AA1530" s="2"/>
      <c r="AB1530" s="2"/>
    </row>
    <row r="1531">
      <c r="A1531" s="2"/>
      <c r="B1531" s="2"/>
      <c r="C1531" s="2"/>
      <c r="D1531" s="2"/>
      <c r="E1531" s="2"/>
      <c r="F1531" s="2"/>
      <c r="G1531" s="2"/>
      <c r="H1531" s="2"/>
      <c r="I1531" s="2"/>
      <c r="J1531" s="2"/>
      <c r="K1531" s="2"/>
      <c r="L1531" s="2"/>
      <c r="M1531" s="2"/>
      <c r="N1531" s="2"/>
      <c r="O1531" s="2"/>
      <c r="P1531" s="2"/>
      <c r="Q1531" s="2"/>
      <c r="R1531" s="2"/>
      <c r="S1531" s="2"/>
      <c r="T1531" s="2"/>
      <c r="U1531" s="2"/>
      <c r="V1531" s="2"/>
      <c r="W1531" s="2" t="str">
        <f>IFERROR(__xludf.DUMMYFUNCTION("""COMPUTED_VALUE"""),"VL103D")</f>
        <v>VL103D</v>
      </c>
      <c r="X1531" s="2"/>
      <c r="Y1531" s="2"/>
      <c r="Z1531" s="2"/>
      <c r="AA1531" s="2"/>
      <c r="AB1531" s="2"/>
    </row>
    <row r="1532">
      <c r="A1532" s="2"/>
      <c r="B1532" s="2"/>
      <c r="C1532" s="2"/>
      <c r="D1532" s="2"/>
      <c r="E1532" s="2"/>
      <c r="F1532" s="2"/>
      <c r="G1532" s="2"/>
      <c r="H1532" s="2"/>
      <c r="I1532" s="2"/>
      <c r="J1532" s="2"/>
      <c r="K1532" s="2"/>
      <c r="L1532" s="2"/>
      <c r="M1532" s="2"/>
      <c r="N1532" s="2"/>
      <c r="O1532" s="2"/>
      <c r="P1532" s="2"/>
      <c r="Q1532" s="2"/>
      <c r="R1532" s="2"/>
      <c r="S1532" s="2"/>
      <c r="T1532" s="2"/>
      <c r="U1532" s="2"/>
      <c r="V1532" s="2"/>
      <c r="W1532" s="2" t="str">
        <f>IFERROR(__xludf.DUMMYFUNCTION("""COMPUTED_VALUE"""),"VL103D")</f>
        <v>VL103D</v>
      </c>
      <c r="X1532" s="2"/>
      <c r="Y1532" s="2"/>
      <c r="Z1532" s="2"/>
      <c r="AA1532" s="2"/>
      <c r="AB1532" s="2"/>
    </row>
    <row r="1533">
      <c r="A1533" s="2"/>
      <c r="B1533" s="2"/>
      <c r="C1533" s="2"/>
      <c r="D1533" s="2"/>
      <c r="E1533" s="2"/>
      <c r="F1533" s="2"/>
      <c r="G1533" s="2"/>
      <c r="H1533" s="2"/>
      <c r="I1533" s="2"/>
      <c r="J1533" s="2"/>
      <c r="K1533" s="2"/>
      <c r="L1533" s="2"/>
      <c r="M1533" s="2"/>
      <c r="N1533" s="2"/>
      <c r="O1533" s="2"/>
      <c r="P1533" s="2"/>
      <c r="Q1533" s="2"/>
      <c r="R1533" s="2"/>
      <c r="S1533" s="2"/>
      <c r="T1533" s="2"/>
      <c r="U1533" s="2"/>
      <c r="V1533" s="2"/>
      <c r="W1533" s="2" t="str">
        <f>IFERROR(__xludf.DUMMYFUNCTION("""COMPUTED_VALUE"""),"VL103D")</f>
        <v>VL103D</v>
      </c>
      <c r="X1533" s="2"/>
      <c r="Y1533" s="2"/>
      <c r="Z1533" s="2"/>
      <c r="AA1533" s="2"/>
      <c r="AB1533" s="2"/>
    </row>
    <row r="1534">
      <c r="A1534" s="2"/>
      <c r="B1534" s="2"/>
      <c r="C1534" s="2"/>
      <c r="D1534" s="2"/>
      <c r="E1534" s="2"/>
      <c r="F1534" s="2"/>
      <c r="G1534" s="2"/>
      <c r="H1534" s="2"/>
      <c r="I1534" s="2"/>
      <c r="J1534" s="2"/>
      <c r="K1534" s="2"/>
      <c r="L1534" s="2"/>
      <c r="M1534" s="2"/>
      <c r="N1534" s="2"/>
      <c r="O1534" s="2"/>
      <c r="P1534" s="2"/>
      <c r="Q1534" s="2"/>
      <c r="R1534" s="2"/>
      <c r="S1534" s="2"/>
      <c r="T1534" s="2"/>
      <c r="U1534" s="2"/>
      <c r="V1534" s="2"/>
      <c r="W1534" s="2" t="str">
        <f>IFERROR(__xludf.DUMMYFUNCTION("""COMPUTED_VALUE"""),"VL103D")</f>
        <v>VL103D</v>
      </c>
      <c r="X1534" s="2"/>
      <c r="Y1534" s="2"/>
      <c r="Z1534" s="2"/>
      <c r="AA1534" s="2"/>
      <c r="AB1534" s="2"/>
    </row>
    <row r="1535">
      <c r="A1535" s="2"/>
      <c r="B1535" s="2"/>
      <c r="C1535" s="2"/>
      <c r="D1535" s="2"/>
      <c r="E1535" s="2"/>
      <c r="F1535" s="2"/>
      <c r="G1535" s="2"/>
      <c r="H1535" s="2"/>
      <c r="I1535" s="2"/>
      <c r="J1535" s="2"/>
      <c r="K1535" s="2"/>
      <c r="L1535" s="2"/>
      <c r="M1535" s="2"/>
      <c r="N1535" s="2"/>
      <c r="O1535" s="2"/>
      <c r="P1535" s="2"/>
      <c r="Q1535" s="2"/>
      <c r="R1535" s="2"/>
      <c r="S1535" s="2"/>
      <c r="T1535" s="2"/>
      <c r="U1535" s="2"/>
      <c r="V1535" s="2"/>
      <c r="W1535" s="2" t="str">
        <f>IFERROR(__xludf.DUMMYFUNCTION("""COMPUTED_VALUE"""),"VL103D")</f>
        <v>VL103D</v>
      </c>
      <c r="X1535" s="2"/>
      <c r="Y1535" s="2"/>
      <c r="Z1535" s="2"/>
      <c r="AA1535" s="2"/>
      <c r="AB1535" s="2"/>
    </row>
    <row r="1536">
      <c r="A1536" s="2"/>
      <c r="B1536" s="2"/>
      <c r="C1536" s="2"/>
      <c r="D1536" s="2"/>
      <c r="E1536" s="2"/>
      <c r="F1536" s="2"/>
      <c r="G1536" s="2"/>
      <c r="H1536" s="2"/>
      <c r="I1536" s="2"/>
      <c r="J1536" s="2"/>
      <c r="K1536" s="2"/>
      <c r="L1536" s="2"/>
      <c r="M1536" s="2"/>
      <c r="N1536" s="2"/>
      <c r="O1536" s="2"/>
      <c r="P1536" s="2"/>
      <c r="Q1536" s="2"/>
      <c r="R1536" s="2"/>
      <c r="S1536" s="2"/>
      <c r="T1536" s="2"/>
      <c r="U1536" s="2"/>
      <c r="V1536" s="2"/>
      <c r="W1536" s="2" t="str">
        <f>IFERROR(__xludf.DUMMYFUNCTION("""COMPUTED_VALUE"""),"VL103D")</f>
        <v>VL103D</v>
      </c>
      <c r="X1536" s="2"/>
      <c r="Y1536" s="2"/>
      <c r="Z1536" s="2"/>
      <c r="AA1536" s="2"/>
      <c r="AB1536" s="2"/>
    </row>
    <row r="1537">
      <c r="A1537" s="2"/>
      <c r="B1537" s="2"/>
      <c r="C1537" s="2"/>
      <c r="D1537" s="2"/>
      <c r="E1537" s="2"/>
      <c r="F1537" s="2"/>
      <c r="G1537" s="2"/>
      <c r="H1537" s="2"/>
      <c r="I1537" s="2"/>
      <c r="J1537" s="2"/>
      <c r="K1537" s="2"/>
      <c r="L1537" s="2"/>
      <c r="M1537" s="2"/>
      <c r="N1537" s="2"/>
      <c r="O1537" s="2"/>
      <c r="P1537" s="2"/>
      <c r="Q1537" s="2"/>
      <c r="R1537" s="2"/>
      <c r="S1537" s="2"/>
      <c r="T1537" s="2"/>
      <c r="U1537" s="2"/>
      <c r="V1537" s="2"/>
      <c r="W1537" s="2" t="str">
        <f>IFERROR(__xludf.DUMMYFUNCTION("""COMPUTED_VALUE"""),"VL103D")</f>
        <v>VL103D</v>
      </c>
      <c r="X1537" s="2"/>
      <c r="Y1537" s="2"/>
      <c r="Z1537" s="2"/>
      <c r="AA1537" s="2"/>
      <c r="AB1537" s="2"/>
    </row>
    <row r="1538">
      <c r="A1538" s="2"/>
      <c r="B1538" s="2"/>
      <c r="C1538" s="2"/>
      <c r="D1538" s="2"/>
      <c r="E1538" s="2"/>
      <c r="F1538" s="2"/>
      <c r="G1538" s="2"/>
      <c r="H1538" s="2"/>
      <c r="I1538" s="2"/>
      <c r="J1538" s="2"/>
      <c r="K1538" s="2"/>
      <c r="L1538" s="2"/>
      <c r="M1538" s="2"/>
      <c r="N1538" s="2"/>
      <c r="O1538" s="2"/>
      <c r="P1538" s="2"/>
      <c r="Q1538" s="2"/>
      <c r="R1538" s="2"/>
      <c r="S1538" s="2"/>
      <c r="T1538" s="2"/>
      <c r="U1538" s="2"/>
      <c r="V1538" s="2"/>
      <c r="W1538" s="2" t="str">
        <f>IFERROR(__xludf.DUMMYFUNCTION("""COMPUTED_VALUE"""),"VL103D")</f>
        <v>VL103D</v>
      </c>
      <c r="X1538" s="2"/>
      <c r="Y1538" s="2"/>
      <c r="Z1538" s="2"/>
      <c r="AA1538" s="2"/>
      <c r="AB1538" s="2"/>
    </row>
    <row r="1539">
      <c r="A1539" s="2"/>
      <c r="B1539" s="2"/>
      <c r="C1539" s="2"/>
      <c r="D1539" s="2"/>
      <c r="E1539" s="2"/>
      <c r="F1539" s="2"/>
      <c r="G1539" s="2"/>
      <c r="H1539" s="2"/>
      <c r="I1539" s="2"/>
      <c r="J1539" s="2"/>
      <c r="K1539" s="2"/>
      <c r="L1539" s="2"/>
      <c r="M1539" s="2"/>
      <c r="N1539" s="2"/>
      <c r="O1539" s="2"/>
      <c r="P1539" s="2"/>
      <c r="Q1539" s="2"/>
      <c r="R1539" s="2"/>
      <c r="S1539" s="2"/>
      <c r="T1539" s="2"/>
      <c r="U1539" s="2"/>
      <c r="V1539" s="2"/>
      <c r="W1539" s="2" t="str">
        <f>IFERROR(__xludf.DUMMYFUNCTION("""COMPUTED_VALUE"""),"VL103D")</f>
        <v>VL103D</v>
      </c>
      <c r="X1539" s="2"/>
      <c r="Y1539" s="2"/>
      <c r="Z1539" s="2"/>
      <c r="AA1539" s="2"/>
      <c r="AB1539" s="2"/>
    </row>
    <row r="1540">
      <c r="A1540" s="2"/>
      <c r="B1540" s="2"/>
      <c r="C1540" s="2"/>
      <c r="D1540" s="2"/>
      <c r="E1540" s="2"/>
      <c r="F1540" s="2"/>
      <c r="G1540" s="2"/>
      <c r="H1540" s="2"/>
      <c r="I1540" s="2"/>
      <c r="J1540" s="2"/>
      <c r="K1540" s="2"/>
      <c r="L1540" s="2"/>
      <c r="M1540" s="2"/>
      <c r="N1540" s="2"/>
      <c r="O1540" s="2"/>
      <c r="P1540" s="2"/>
      <c r="Q1540" s="2"/>
      <c r="R1540" s="2"/>
      <c r="S1540" s="2"/>
      <c r="T1540" s="2"/>
      <c r="U1540" s="2"/>
      <c r="V1540" s="2"/>
      <c r="W1540" s="2" t="str">
        <f>IFERROR(__xludf.DUMMYFUNCTION("""COMPUTED_VALUE"""),"VL103D")</f>
        <v>VL103D</v>
      </c>
      <c r="X1540" s="2"/>
      <c r="Y1540" s="2"/>
      <c r="Z1540" s="2"/>
      <c r="AA1540" s="2"/>
      <c r="AB1540" s="2"/>
    </row>
    <row r="1541">
      <c r="A1541" s="2"/>
      <c r="B1541" s="2"/>
      <c r="C1541" s="2"/>
      <c r="D1541" s="2"/>
      <c r="E1541" s="2"/>
      <c r="F1541" s="2"/>
      <c r="G1541" s="2"/>
      <c r="H1541" s="2"/>
      <c r="I1541" s="2"/>
      <c r="J1541" s="2"/>
      <c r="K1541" s="2"/>
      <c r="L1541" s="2"/>
      <c r="M1541" s="2"/>
      <c r="N1541" s="2"/>
      <c r="O1541" s="2"/>
      <c r="P1541" s="2"/>
      <c r="Q1541" s="2"/>
      <c r="R1541" s="2"/>
      <c r="S1541" s="2"/>
      <c r="T1541" s="2"/>
      <c r="U1541" s="2"/>
      <c r="V1541" s="2"/>
      <c r="W1541" s="2" t="str">
        <f>IFERROR(__xludf.DUMMYFUNCTION("""COMPUTED_VALUE"""),"VL103D")</f>
        <v>VL103D</v>
      </c>
      <c r="X1541" s="2"/>
      <c r="Y1541" s="2"/>
      <c r="Z1541" s="2"/>
      <c r="AA1541" s="2"/>
      <c r="AB1541" s="2"/>
    </row>
    <row r="1542">
      <c r="A1542" s="2"/>
      <c r="B1542" s="2"/>
      <c r="C1542" s="2"/>
      <c r="D1542" s="2"/>
      <c r="E1542" s="2"/>
      <c r="F1542" s="2"/>
      <c r="G1542" s="2"/>
      <c r="H1542" s="2"/>
      <c r="I1542" s="2"/>
      <c r="J1542" s="2"/>
      <c r="K1542" s="2"/>
      <c r="L1542" s="2"/>
      <c r="M1542" s="2"/>
      <c r="N1542" s="2"/>
      <c r="O1542" s="2"/>
      <c r="P1542" s="2"/>
      <c r="Q1542" s="2"/>
      <c r="R1542" s="2"/>
      <c r="S1542" s="2"/>
      <c r="T1542" s="2"/>
      <c r="U1542" s="2"/>
      <c r="V1542" s="2"/>
      <c r="W1542" s="2" t="str">
        <f>IFERROR(__xludf.DUMMYFUNCTION("""COMPUTED_VALUE"""),"VL103D")</f>
        <v>VL103D</v>
      </c>
      <c r="X1542" s="2"/>
      <c r="Y1542" s="2"/>
      <c r="Z1542" s="2"/>
      <c r="AA1542" s="2"/>
      <c r="AB1542" s="2"/>
    </row>
    <row r="1543">
      <c r="A1543" s="2"/>
      <c r="B1543" s="2"/>
      <c r="C1543" s="2"/>
      <c r="D1543" s="2"/>
      <c r="E1543" s="2"/>
      <c r="F1543" s="2"/>
      <c r="G1543" s="2"/>
      <c r="H1543" s="2"/>
      <c r="I1543" s="2"/>
      <c r="J1543" s="2"/>
      <c r="K1543" s="2"/>
      <c r="L1543" s="2"/>
      <c r="M1543" s="2"/>
      <c r="N1543" s="2"/>
      <c r="O1543" s="2"/>
      <c r="P1543" s="2"/>
      <c r="Q1543" s="2"/>
      <c r="R1543" s="2"/>
      <c r="S1543" s="2"/>
      <c r="T1543" s="2"/>
      <c r="U1543" s="2"/>
      <c r="V1543" s="2"/>
      <c r="W1543" s="2" t="str">
        <f>IFERROR(__xludf.DUMMYFUNCTION("""COMPUTED_VALUE"""),"VL103D")</f>
        <v>VL103D</v>
      </c>
      <c r="X1543" s="2"/>
      <c r="Y1543" s="2"/>
      <c r="Z1543" s="2"/>
      <c r="AA1543" s="2"/>
      <c r="AB1543" s="2"/>
    </row>
    <row r="1544">
      <c r="A1544" s="2"/>
      <c r="B1544" s="2"/>
      <c r="C1544" s="2"/>
      <c r="D1544" s="2"/>
      <c r="E1544" s="2"/>
      <c r="F1544" s="2"/>
      <c r="G1544" s="2"/>
      <c r="H1544" s="2"/>
      <c r="I1544" s="2"/>
      <c r="J1544" s="2"/>
      <c r="K1544" s="2"/>
      <c r="L1544" s="2"/>
      <c r="M1544" s="2"/>
      <c r="N1544" s="2"/>
      <c r="O1544" s="2"/>
      <c r="P1544" s="2"/>
      <c r="Q1544" s="2"/>
      <c r="R1544" s="2"/>
      <c r="S1544" s="2"/>
      <c r="T1544" s="2"/>
      <c r="U1544" s="2"/>
      <c r="V1544" s="2"/>
      <c r="W1544" s="2" t="str">
        <f>IFERROR(__xludf.DUMMYFUNCTION("""COMPUTED_VALUE"""),"VL103D")</f>
        <v>VL103D</v>
      </c>
      <c r="X1544" s="2"/>
      <c r="Y1544" s="2"/>
      <c r="Z1544" s="2"/>
      <c r="AA1544" s="2"/>
      <c r="AB1544" s="2"/>
    </row>
    <row r="1545">
      <c r="A1545" s="2"/>
      <c r="B1545" s="2"/>
      <c r="C1545" s="2"/>
      <c r="D1545" s="2"/>
      <c r="E1545" s="2"/>
      <c r="F1545" s="2"/>
      <c r="G1545" s="2"/>
      <c r="H1545" s="2"/>
      <c r="I1545" s="2"/>
      <c r="J1545" s="2"/>
      <c r="K1545" s="2"/>
      <c r="L1545" s="2"/>
      <c r="M1545" s="2"/>
      <c r="N1545" s="2"/>
      <c r="O1545" s="2"/>
      <c r="P1545" s="2"/>
      <c r="Q1545" s="2"/>
      <c r="R1545" s="2"/>
      <c r="S1545" s="2"/>
      <c r="T1545" s="2"/>
      <c r="U1545" s="2"/>
      <c r="V1545" s="2"/>
      <c r="W1545" s="2" t="str">
        <f>IFERROR(__xludf.DUMMYFUNCTION("""COMPUTED_VALUE"""),"VL103D")</f>
        <v>VL103D</v>
      </c>
      <c r="X1545" s="2"/>
      <c r="Y1545" s="2"/>
      <c r="Z1545" s="2"/>
      <c r="AA1545" s="2"/>
      <c r="AB1545" s="2"/>
    </row>
    <row r="1546">
      <c r="A1546" s="2"/>
      <c r="B1546" s="2"/>
      <c r="C1546" s="2"/>
      <c r="D1546" s="2"/>
      <c r="E1546" s="2"/>
      <c r="F1546" s="2"/>
      <c r="G1546" s="2"/>
      <c r="H1546" s="2"/>
      <c r="I1546" s="2"/>
      <c r="J1546" s="2"/>
      <c r="K1546" s="2"/>
      <c r="L1546" s="2"/>
      <c r="M1546" s="2"/>
      <c r="N1546" s="2"/>
      <c r="O1546" s="2"/>
      <c r="P1546" s="2"/>
      <c r="Q1546" s="2"/>
      <c r="R1546" s="2"/>
      <c r="S1546" s="2"/>
      <c r="T1546" s="2"/>
      <c r="U1546" s="2"/>
      <c r="V1546" s="2"/>
      <c r="W1546" s="2" t="str">
        <f>IFERROR(__xludf.DUMMYFUNCTION("""COMPUTED_VALUE"""),"VL103D")</f>
        <v>VL103D</v>
      </c>
      <c r="X1546" s="2"/>
      <c r="Y1546" s="2"/>
      <c r="Z1546" s="2"/>
      <c r="AA1546" s="2"/>
      <c r="AB1546" s="2"/>
    </row>
    <row r="1547">
      <c r="A1547" s="2"/>
      <c r="B1547" s="2"/>
      <c r="C1547" s="2"/>
      <c r="D1547" s="2"/>
      <c r="E1547" s="2"/>
      <c r="F1547" s="2"/>
      <c r="G1547" s="2"/>
      <c r="H1547" s="2"/>
      <c r="I1547" s="2"/>
      <c r="J1547" s="2"/>
      <c r="K1547" s="2"/>
      <c r="L1547" s="2"/>
      <c r="M1547" s="2"/>
      <c r="N1547" s="2"/>
      <c r="O1547" s="2"/>
      <c r="P1547" s="2"/>
      <c r="Q1547" s="2"/>
      <c r="R1547" s="2"/>
      <c r="S1547" s="2"/>
      <c r="T1547" s="2"/>
      <c r="U1547" s="2"/>
      <c r="V1547" s="2"/>
      <c r="W1547" s="2" t="str">
        <f>IFERROR(__xludf.DUMMYFUNCTION("""COMPUTED_VALUE"""),"VL103D")</f>
        <v>VL103D</v>
      </c>
      <c r="X1547" s="2"/>
      <c r="Y1547" s="2"/>
      <c r="Z1547" s="2"/>
      <c r="AA1547" s="2"/>
      <c r="AB1547" s="2"/>
    </row>
    <row r="1548">
      <c r="A1548" s="2"/>
      <c r="B1548" s="2"/>
      <c r="C1548" s="2"/>
      <c r="D1548" s="2"/>
      <c r="E1548" s="2"/>
      <c r="F1548" s="2"/>
      <c r="G1548" s="2"/>
      <c r="H1548" s="2"/>
      <c r="I1548" s="2"/>
      <c r="J1548" s="2"/>
      <c r="K1548" s="2"/>
      <c r="L1548" s="2"/>
      <c r="M1548" s="2"/>
      <c r="N1548" s="2"/>
      <c r="O1548" s="2"/>
      <c r="P1548" s="2"/>
      <c r="Q1548" s="2"/>
      <c r="R1548" s="2"/>
      <c r="S1548" s="2"/>
      <c r="T1548" s="2"/>
      <c r="U1548" s="2"/>
      <c r="V1548" s="2"/>
      <c r="W1548" s="2" t="str">
        <f>IFERROR(__xludf.DUMMYFUNCTION("""COMPUTED_VALUE"""),"VL103D")</f>
        <v>VL103D</v>
      </c>
      <c r="X1548" s="2"/>
      <c r="Y1548" s="2"/>
      <c r="Z1548" s="2"/>
      <c r="AA1548" s="2"/>
      <c r="AB1548" s="2"/>
    </row>
    <row r="1549">
      <c r="A1549" s="2"/>
      <c r="B1549" s="2"/>
      <c r="C1549" s="2"/>
      <c r="D1549" s="2"/>
      <c r="E1549" s="2"/>
      <c r="F1549" s="2"/>
      <c r="G1549" s="2"/>
      <c r="H1549" s="2"/>
      <c r="I1549" s="2"/>
      <c r="J1549" s="2"/>
      <c r="K1549" s="2"/>
      <c r="L1549" s="2"/>
      <c r="M1549" s="2"/>
      <c r="N1549" s="2"/>
      <c r="O1549" s="2"/>
      <c r="P1549" s="2"/>
      <c r="Q1549" s="2"/>
      <c r="R1549" s="2"/>
      <c r="S1549" s="2"/>
      <c r="T1549" s="2"/>
      <c r="U1549" s="2"/>
      <c r="V1549" s="2"/>
      <c r="W1549" s="2" t="str">
        <f>IFERROR(__xludf.DUMMYFUNCTION("""COMPUTED_VALUE"""),"VL103D")</f>
        <v>VL103D</v>
      </c>
      <c r="X1549" s="2"/>
      <c r="Y1549" s="2"/>
      <c r="Z1549" s="2"/>
      <c r="AA1549" s="2"/>
      <c r="AB1549" s="2"/>
    </row>
    <row r="1550">
      <c r="A1550" s="2"/>
      <c r="B1550" s="2"/>
      <c r="C1550" s="2"/>
      <c r="D1550" s="2"/>
      <c r="E1550" s="2"/>
      <c r="F1550" s="2"/>
      <c r="G1550" s="2"/>
      <c r="H1550" s="2"/>
      <c r="I1550" s="2"/>
      <c r="J1550" s="2"/>
      <c r="K1550" s="2"/>
      <c r="L1550" s="2"/>
      <c r="M1550" s="2"/>
      <c r="N1550" s="2"/>
      <c r="O1550" s="2"/>
      <c r="P1550" s="2"/>
      <c r="Q1550" s="2"/>
      <c r="R1550" s="2"/>
      <c r="S1550" s="2"/>
      <c r="T1550" s="2"/>
      <c r="U1550" s="2"/>
      <c r="V1550" s="2"/>
      <c r="W1550" s="2" t="str">
        <f>IFERROR(__xludf.DUMMYFUNCTION("""COMPUTED_VALUE"""),"VL103D")</f>
        <v>VL103D</v>
      </c>
      <c r="X1550" s="2"/>
      <c r="Y1550" s="2"/>
      <c r="Z1550" s="2"/>
      <c r="AA1550" s="2"/>
      <c r="AB1550" s="2"/>
    </row>
    <row r="1551">
      <c r="A1551" s="2"/>
      <c r="B1551" s="2"/>
      <c r="C1551" s="2"/>
      <c r="D1551" s="2"/>
      <c r="E1551" s="2"/>
      <c r="F1551" s="2"/>
      <c r="G1551" s="2"/>
      <c r="H1551" s="2"/>
      <c r="I1551" s="2"/>
      <c r="J1551" s="2"/>
      <c r="K1551" s="2"/>
      <c r="L1551" s="2"/>
      <c r="M1551" s="2"/>
      <c r="N1551" s="2"/>
      <c r="O1551" s="2"/>
      <c r="P1551" s="2"/>
      <c r="Q1551" s="2"/>
      <c r="R1551" s="2"/>
      <c r="S1551" s="2"/>
      <c r="T1551" s="2"/>
      <c r="U1551" s="2"/>
      <c r="V1551" s="2"/>
      <c r="W1551" s="2" t="str">
        <f>IFERROR(__xludf.DUMMYFUNCTION("""COMPUTED_VALUE"""),"VL103D")</f>
        <v>VL103D</v>
      </c>
      <c r="X1551" s="2"/>
      <c r="Y1551" s="2"/>
      <c r="Z1551" s="2"/>
      <c r="AA1551" s="2"/>
      <c r="AB1551" s="2"/>
    </row>
    <row r="1552">
      <c r="A1552" s="2"/>
      <c r="B1552" s="2"/>
      <c r="C1552" s="2"/>
      <c r="D1552" s="2"/>
      <c r="E1552" s="2"/>
      <c r="F1552" s="2"/>
      <c r="G1552" s="2"/>
      <c r="H1552" s="2"/>
      <c r="I1552" s="2"/>
      <c r="J1552" s="2"/>
      <c r="K1552" s="2"/>
      <c r="L1552" s="2"/>
      <c r="M1552" s="2"/>
      <c r="N1552" s="2"/>
      <c r="O1552" s="2"/>
      <c r="P1552" s="2"/>
      <c r="Q1552" s="2"/>
      <c r="R1552" s="2"/>
      <c r="S1552" s="2"/>
      <c r="T1552" s="2"/>
      <c r="U1552" s="2"/>
      <c r="V1552" s="2"/>
      <c r="W1552" s="2" t="str">
        <f>IFERROR(__xludf.DUMMYFUNCTION("""COMPUTED_VALUE"""),"VL103D")</f>
        <v>VL103D</v>
      </c>
      <c r="X1552" s="2"/>
      <c r="Y1552" s="2"/>
      <c r="Z1552" s="2"/>
      <c r="AA1552" s="2"/>
      <c r="AB1552" s="2"/>
    </row>
    <row r="1553">
      <c r="A1553" s="2"/>
      <c r="B1553" s="2"/>
      <c r="C1553" s="2"/>
      <c r="D1553" s="2"/>
      <c r="E1553" s="2"/>
      <c r="F1553" s="2"/>
      <c r="G1553" s="2"/>
      <c r="H1553" s="2"/>
      <c r="I1553" s="2"/>
      <c r="J1553" s="2"/>
      <c r="K1553" s="2"/>
      <c r="L1553" s="2"/>
      <c r="M1553" s="2"/>
      <c r="N1553" s="2"/>
      <c r="O1553" s="2"/>
      <c r="P1553" s="2"/>
      <c r="Q1553" s="2"/>
      <c r="R1553" s="2"/>
      <c r="S1553" s="2"/>
      <c r="T1553" s="2"/>
      <c r="U1553" s="2"/>
      <c r="V1553" s="2"/>
      <c r="W1553" s="2" t="str">
        <f>IFERROR(__xludf.DUMMYFUNCTION("""COMPUTED_VALUE"""),"VL103D")</f>
        <v>VL103D</v>
      </c>
      <c r="X1553" s="2"/>
      <c r="Y1553" s="2"/>
      <c r="Z1553" s="2"/>
      <c r="AA1553" s="2"/>
      <c r="AB1553" s="2"/>
    </row>
    <row r="1554">
      <c r="A1554" s="2"/>
      <c r="B1554" s="2"/>
      <c r="C1554" s="2"/>
      <c r="D1554" s="2"/>
      <c r="E1554" s="2"/>
      <c r="F1554" s="2"/>
      <c r="G1554" s="2"/>
      <c r="H1554" s="2"/>
      <c r="I1554" s="2"/>
      <c r="J1554" s="2"/>
      <c r="K1554" s="2"/>
      <c r="L1554" s="2"/>
      <c r="M1554" s="2"/>
      <c r="N1554" s="2"/>
      <c r="O1554" s="2"/>
      <c r="P1554" s="2"/>
      <c r="Q1554" s="2"/>
      <c r="R1554" s="2"/>
      <c r="S1554" s="2"/>
      <c r="T1554" s="2"/>
      <c r="U1554" s="2"/>
      <c r="V1554" s="2"/>
      <c r="W1554" s="2" t="str">
        <f>IFERROR(__xludf.DUMMYFUNCTION("""COMPUTED_VALUE"""),"VL103D")</f>
        <v>VL103D</v>
      </c>
      <c r="X1554" s="2"/>
      <c r="Y1554" s="2"/>
      <c r="Z1554" s="2"/>
      <c r="AA1554" s="2"/>
      <c r="AB1554" s="2"/>
    </row>
    <row r="1555">
      <c r="A1555" s="2"/>
      <c r="B1555" s="2"/>
      <c r="C1555" s="2"/>
      <c r="D1555" s="2"/>
      <c r="E1555" s="2"/>
      <c r="F1555" s="2"/>
      <c r="G1555" s="2"/>
      <c r="H1555" s="2"/>
      <c r="I1555" s="2"/>
      <c r="J1555" s="2"/>
      <c r="K1555" s="2"/>
      <c r="L1555" s="2"/>
      <c r="M1555" s="2"/>
      <c r="N1555" s="2"/>
      <c r="O1555" s="2"/>
      <c r="P1555" s="2"/>
      <c r="Q1555" s="2"/>
      <c r="R1555" s="2"/>
      <c r="S1555" s="2"/>
      <c r="T1555" s="2"/>
      <c r="U1555" s="2"/>
      <c r="V1555" s="2"/>
      <c r="W1555" s="2" t="str">
        <f>IFERROR(__xludf.DUMMYFUNCTION("""COMPUTED_VALUE"""),"VL103D")</f>
        <v>VL103D</v>
      </c>
      <c r="X1555" s="2"/>
      <c r="Y1555" s="2"/>
      <c r="Z1555" s="2"/>
      <c r="AA1555" s="2"/>
      <c r="AB1555" s="2"/>
    </row>
    <row r="1556">
      <c r="A1556" s="2"/>
      <c r="B1556" s="2"/>
      <c r="C1556" s="2"/>
      <c r="D1556" s="2"/>
      <c r="E1556" s="2"/>
      <c r="F1556" s="2"/>
      <c r="G1556" s="2"/>
      <c r="H1556" s="2"/>
      <c r="I1556" s="2"/>
      <c r="J1556" s="2"/>
      <c r="K1556" s="2"/>
      <c r="L1556" s="2"/>
      <c r="M1556" s="2"/>
      <c r="N1556" s="2"/>
      <c r="O1556" s="2"/>
      <c r="P1556" s="2"/>
      <c r="Q1556" s="2"/>
      <c r="R1556" s="2"/>
      <c r="S1556" s="2"/>
      <c r="T1556" s="2"/>
      <c r="U1556" s="2"/>
      <c r="V1556" s="2"/>
      <c r="W1556" s="2" t="str">
        <f>IFERROR(__xludf.DUMMYFUNCTION("""COMPUTED_VALUE"""),"VL103D")</f>
        <v>VL103D</v>
      </c>
      <c r="X1556" s="2"/>
      <c r="Y1556" s="2"/>
      <c r="Z1556" s="2"/>
      <c r="AA1556" s="2"/>
      <c r="AB1556" s="2"/>
    </row>
    <row r="1557">
      <c r="A1557" s="2"/>
      <c r="B1557" s="2"/>
      <c r="C1557" s="2"/>
      <c r="D1557" s="2"/>
      <c r="E1557" s="2"/>
      <c r="F1557" s="2"/>
      <c r="G1557" s="2"/>
      <c r="H1557" s="2"/>
      <c r="I1557" s="2"/>
      <c r="J1557" s="2"/>
      <c r="K1557" s="2"/>
      <c r="L1557" s="2"/>
      <c r="M1557" s="2"/>
      <c r="N1557" s="2"/>
      <c r="O1557" s="2"/>
      <c r="P1557" s="2"/>
      <c r="Q1557" s="2"/>
      <c r="R1557" s="2"/>
      <c r="S1557" s="2"/>
      <c r="T1557" s="2"/>
      <c r="U1557" s="2"/>
      <c r="V1557" s="2"/>
      <c r="W1557" s="2" t="str">
        <f>IFERROR(__xludf.DUMMYFUNCTION("""COMPUTED_VALUE"""),"VL103D")</f>
        <v>VL103D</v>
      </c>
      <c r="X1557" s="2"/>
      <c r="Y1557" s="2"/>
      <c r="Z1557" s="2"/>
      <c r="AA1557" s="2"/>
      <c r="AB1557" s="2"/>
    </row>
    <row r="1558">
      <c r="A1558" s="2"/>
      <c r="B1558" s="2"/>
      <c r="C1558" s="2"/>
      <c r="D1558" s="2"/>
      <c r="E1558" s="2"/>
      <c r="F1558" s="2"/>
      <c r="G1558" s="2"/>
      <c r="H1558" s="2"/>
      <c r="I1558" s="2"/>
      <c r="J1558" s="2"/>
      <c r="K1558" s="2"/>
      <c r="L1558" s="2"/>
      <c r="M1558" s="2"/>
      <c r="N1558" s="2"/>
      <c r="O1558" s="2"/>
      <c r="P1558" s="2"/>
      <c r="Q1558" s="2"/>
      <c r="R1558" s="2"/>
      <c r="S1558" s="2"/>
      <c r="T1558" s="2"/>
      <c r="U1558" s="2"/>
      <c r="V1558" s="2"/>
      <c r="W1558" s="2" t="str">
        <f>IFERROR(__xludf.DUMMYFUNCTION("""COMPUTED_VALUE"""),"VL103D")</f>
        <v>VL103D</v>
      </c>
      <c r="X1558" s="2"/>
      <c r="Y1558" s="2"/>
      <c r="Z1558" s="2"/>
      <c r="AA1558" s="2"/>
      <c r="AB1558" s="2"/>
    </row>
    <row r="1559">
      <c r="A1559" s="2"/>
      <c r="B1559" s="2"/>
      <c r="C1559" s="2"/>
      <c r="D1559" s="2"/>
      <c r="E1559" s="2"/>
      <c r="F1559" s="2"/>
      <c r="G1559" s="2"/>
      <c r="H1559" s="2"/>
      <c r="I1559" s="2"/>
      <c r="J1559" s="2"/>
      <c r="K1559" s="2"/>
      <c r="L1559" s="2"/>
      <c r="M1559" s="2"/>
      <c r="N1559" s="2"/>
      <c r="O1559" s="2"/>
      <c r="P1559" s="2"/>
      <c r="Q1559" s="2"/>
      <c r="R1559" s="2"/>
      <c r="S1559" s="2"/>
      <c r="T1559" s="2"/>
      <c r="U1559" s="2"/>
      <c r="V1559" s="2"/>
      <c r="W1559" s="2" t="str">
        <f>IFERROR(__xludf.DUMMYFUNCTION("""COMPUTED_VALUE"""),"VL103D")</f>
        <v>VL103D</v>
      </c>
      <c r="X1559" s="2"/>
      <c r="Y1559" s="2"/>
      <c r="Z1559" s="2"/>
      <c r="AA1559" s="2"/>
      <c r="AB1559" s="2"/>
    </row>
    <row r="1560">
      <c r="A1560" s="2"/>
      <c r="B1560" s="2"/>
      <c r="C1560" s="2"/>
      <c r="D1560" s="2"/>
      <c r="E1560" s="2"/>
      <c r="F1560" s="2"/>
      <c r="G1560" s="2"/>
      <c r="H1560" s="2"/>
      <c r="I1560" s="2"/>
      <c r="J1560" s="2"/>
      <c r="K1560" s="2"/>
      <c r="L1560" s="2"/>
      <c r="M1560" s="2"/>
      <c r="N1560" s="2"/>
      <c r="O1560" s="2"/>
      <c r="P1560" s="2"/>
      <c r="Q1560" s="2"/>
      <c r="R1560" s="2"/>
      <c r="S1560" s="2"/>
      <c r="T1560" s="2"/>
      <c r="U1560" s="2"/>
      <c r="V1560" s="2"/>
      <c r="W1560" s="2" t="str">
        <f>IFERROR(__xludf.DUMMYFUNCTION("""COMPUTED_VALUE"""),"VL103D")</f>
        <v>VL103D</v>
      </c>
      <c r="X1560" s="2"/>
      <c r="Y1560" s="2"/>
      <c r="Z1560" s="2"/>
      <c r="AA1560" s="2"/>
      <c r="AB1560" s="2"/>
    </row>
    <row r="1561">
      <c r="A1561" s="2"/>
      <c r="B1561" s="2"/>
      <c r="C1561" s="2"/>
      <c r="D1561" s="2"/>
      <c r="E1561" s="2"/>
      <c r="F1561" s="2"/>
      <c r="G1561" s="2"/>
      <c r="H1561" s="2"/>
      <c r="I1561" s="2"/>
      <c r="J1561" s="2"/>
      <c r="K1561" s="2"/>
      <c r="L1561" s="2"/>
      <c r="M1561" s="2"/>
      <c r="N1561" s="2"/>
      <c r="O1561" s="2"/>
      <c r="P1561" s="2"/>
      <c r="Q1561" s="2"/>
      <c r="R1561" s="2"/>
      <c r="S1561" s="2"/>
      <c r="T1561" s="2"/>
      <c r="U1561" s="2"/>
      <c r="V1561" s="2"/>
      <c r="W1561" s="2" t="str">
        <f>IFERROR(__xludf.DUMMYFUNCTION("""COMPUTED_VALUE"""),"VL103D")</f>
        <v>VL103D</v>
      </c>
      <c r="X1561" s="2"/>
      <c r="Y1561" s="2"/>
      <c r="Z1561" s="2"/>
      <c r="AA1561" s="2"/>
      <c r="AB1561" s="2"/>
    </row>
    <row r="1562">
      <c r="A1562" s="2"/>
      <c r="B1562" s="2"/>
      <c r="C1562" s="2"/>
      <c r="D1562" s="2"/>
      <c r="E1562" s="2"/>
      <c r="F1562" s="2"/>
      <c r="G1562" s="2"/>
      <c r="H1562" s="2"/>
      <c r="I1562" s="2"/>
      <c r="J1562" s="2"/>
      <c r="K1562" s="2"/>
      <c r="L1562" s="2"/>
      <c r="M1562" s="2"/>
      <c r="N1562" s="2"/>
      <c r="O1562" s="2"/>
      <c r="P1562" s="2"/>
      <c r="Q1562" s="2"/>
      <c r="R1562" s="2"/>
      <c r="S1562" s="2"/>
      <c r="T1562" s="2"/>
      <c r="U1562" s="2"/>
      <c r="V1562" s="2"/>
      <c r="W1562" s="2" t="str">
        <f>IFERROR(__xludf.DUMMYFUNCTION("""COMPUTED_VALUE"""),"VL103D")</f>
        <v>VL103D</v>
      </c>
      <c r="X1562" s="2"/>
      <c r="Y1562" s="2"/>
      <c r="Z1562" s="2"/>
      <c r="AA1562" s="2"/>
      <c r="AB1562" s="2"/>
    </row>
    <row r="1563">
      <c r="A1563" s="2"/>
      <c r="B1563" s="2"/>
      <c r="C1563" s="2"/>
      <c r="D1563" s="2"/>
      <c r="E1563" s="2"/>
      <c r="F1563" s="2"/>
      <c r="G1563" s="2"/>
      <c r="H1563" s="2"/>
      <c r="I1563" s="2"/>
      <c r="J1563" s="2"/>
      <c r="K1563" s="2"/>
      <c r="L1563" s="2"/>
      <c r="M1563" s="2"/>
      <c r="N1563" s="2"/>
      <c r="O1563" s="2"/>
      <c r="P1563" s="2"/>
      <c r="Q1563" s="2"/>
      <c r="R1563" s="2"/>
      <c r="S1563" s="2"/>
      <c r="T1563" s="2"/>
      <c r="U1563" s="2"/>
      <c r="V1563" s="2"/>
      <c r="W1563" s="2" t="str">
        <f>IFERROR(__xludf.DUMMYFUNCTION("""COMPUTED_VALUE"""),"VL103D")</f>
        <v>VL103D</v>
      </c>
      <c r="X1563" s="2"/>
      <c r="Y1563" s="2"/>
      <c r="Z1563" s="2"/>
      <c r="AA1563" s="2"/>
      <c r="AB1563" s="2"/>
    </row>
    <row r="1564">
      <c r="A1564" s="2"/>
      <c r="B1564" s="2"/>
      <c r="C1564" s="2"/>
      <c r="D1564" s="2"/>
      <c r="E1564" s="2"/>
      <c r="F1564" s="2"/>
      <c r="G1564" s="2"/>
      <c r="H1564" s="2"/>
      <c r="I1564" s="2"/>
      <c r="J1564" s="2"/>
      <c r="K1564" s="2"/>
      <c r="L1564" s="2"/>
      <c r="M1564" s="2"/>
      <c r="N1564" s="2"/>
      <c r="O1564" s="2"/>
      <c r="P1564" s="2"/>
      <c r="Q1564" s="2"/>
      <c r="R1564" s="2"/>
      <c r="S1564" s="2"/>
      <c r="T1564" s="2"/>
      <c r="U1564" s="2"/>
      <c r="V1564" s="2"/>
      <c r="W1564" s="2" t="str">
        <f>IFERROR(__xludf.DUMMYFUNCTION("""COMPUTED_VALUE"""),"VL103D")</f>
        <v>VL103D</v>
      </c>
      <c r="X1564" s="2"/>
      <c r="Y1564" s="2"/>
      <c r="Z1564" s="2"/>
      <c r="AA1564" s="2"/>
      <c r="AB1564" s="2"/>
    </row>
    <row r="1565">
      <c r="A1565" s="2"/>
      <c r="B1565" s="2"/>
      <c r="C1565" s="2"/>
      <c r="D1565" s="2"/>
      <c r="E1565" s="2"/>
      <c r="F1565" s="2"/>
      <c r="G1565" s="2"/>
      <c r="H1565" s="2"/>
      <c r="I1565" s="2"/>
      <c r="J1565" s="2"/>
      <c r="K1565" s="2"/>
      <c r="L1565" s="2"/>
      <c r="M1565" s="2"/>
      <c r="N1565" s="2"/>
      <c r="O1565" s="2"/>
      <c r="P1565" s="2"/>
      <c r="Q1565" s="2"/>
      <c r="R1565" s="2"/>
      <c r="S1565" s="2"/>
      <c r="T1565" s="2"/>
      <c r="U1565" s="2"/>
      <c r="V1565" s="2"/>
      <c r="W1565" s="2" t="str">
        <f>IFERROR(__xludf.DUMMYFUNCTION("""COMPUTED_VALUE"""),"VL103D")</f>
        <v>VL103D</v>
      </c>
      <c r="X1565" s="2"/>
      <c r="Y1565" s="2"/>
      <c r="Z1565" s="2"/>
      <c r="AA1565" s="2"/>
      <c r="AB1565" s="2"/>
    </row>
    <row r="1566">
      <c r="A1566" s="2"/>
      <c r="B1566" s="2"/>
      <c r="C1566" s="2"/>
      <c r="D1566" s="2"/>
      <c r="E1566" s="2"/>
      <c r="F1566" s="2"/>
      <c r="G1566" s="2"/>
      <c r="H1566" s="2"/>
      <c r="I1566" s="2"/>
      <c r="J1566" s="2"/>
      <c r="K1566" s="2"/>
      <c r="L1566" s="2"/>
      <c r="M1566" s="2"/>
      <c r="N1566" s="2"/>
      <c r="O1566" s="2"/>
      <c r="P1566" s="2"/>
      <c r="Q1566" s="2"/>
      <c r="R1566" s="2"/>
      <c r="S1566" s="2"/>
      <c r="T1566" s="2"/>
      <c r="U1566" s="2"/>
      <c r="V1566" s="2"/>
      <c r="W1566" s="2" t="str">
        <f>IFERROR(__xludf.DUMMYFUNCTION("""COMPUTED_VALUE"""),"VL103D")</f>
        <v>VL103D</v>
      </c>
      <c r="X1566" s="2"/>
      <c r="Y1566" s="2"/>
      <c r="Z1566" s="2"/>
      <c r="AA1566" s="2"/>
      <c r="AB1566" s="2"/>
    </row>
    <row r="1567">
      <c r="A1567" s="2"/>
      <c r="B1567" s="2"/>
      <c r="C1567" s="2"/>
      <c r="D1567" s="2"/>
      <c r="E1567" s="2"/>
      <c r="F1567" s="2"/>
      <c r="G1567" s="2"/>
      <c r="H1567" s="2"/>
      <c r="I1567" s="2"/>
      <c r="J1567" s="2"/>
      <c r="K1567" s="2"/>
      <c r="L1567" s="2"/>
      <c r="M1567" s="2"/>
      <c r="N1567" s="2"/>
      <c r="O1567" s="2"/>
      <c r="P1567" s="2"/>
      <c r="Q1567" s="2"/>
      <c r="R1567" s="2"/>
      <c r="S1567" s="2"/>
      <c r="T1567" s="2"/>
      <c r="U1567" s="2"/>
      <c r="V1567" s="2"/>
      <c r="W1567" s="2" t="str">
        <f>IFERROR(__xludf.DUMMYFUNCTION("""COMPUTED_VALUE"""),"VL103D")</f>
        <v>VL103D</v>
      </c>
      <c r="X1567" s="2"/>
      <c r="Y1567" s="2"/>
      <c r="Z1567" s="2"/>
      <c r="AA1567" s="2"/>
      <c r="AB1567" s="2"/>
    </row>
    <row r="1568">
      <c r="A1568" s="2"/>
      <c r="B1568" s="2"/>
      <c r="C1568" s="2"/>
      <c r="D1568" s="2"/>
      <c r="E1568" s="2"/>
      <c r="F1568" s="2"/>
      <c r="G1568" s="2"/>
      <c r="H1568" s="2"/>
      <c r="I1568" s="2"/>
      <c r="J1568" s="2"/>
      <c r="K1568" s="2"/>
      <c r="L1568" s="2"/>
      <c r="M1568" s="2"/>
      <c r="N1568" s="2"/>
      <c r="O1568" s="2"/>
      <c r="P1568" s="2"/>
      <c r="Q1568" s="2"/>
      <c r="R1568" s="2"/>
      <c r="S1568" s="2"/>
      <c r="T1568" s="2"/>
      <c r="U1568" s="2"/>
      <c r="V1568" s="2"/>
      <c r="W1568" s="2" t="str">
        <f>IFERROR(__xludf.DUMMYFUNCTION("""COMPUTED_VALUE"""),"VL103D")</f>
        <v>VL103D</v>
      </c>
      <c r="X1568" s="2"/>
      <c r="Y1568" s="2"/>
      <c r="Z1568" s="2"/>
      <c r="AA1568" s="2"/>
      <c r="AB1568" s="2"/>
    </row>
    <row r="1569">
      <c r="A1569" s="2"/>
      <c r="B1569" s="2"/>
      <c r="C1569" s="2"/>
      <c r="D1569" s="2"/>
      <c r="E1569" s="2"/>
      <c r="F1569" s="2"/>
      <c r="G1569" s="2"/>
      <c r="H1569" s="2"/>
      <c r="I1569" s="2"/>
      <c r="J1569" s="2"/>
      <c r="K1569" s="2"/>
      <c r="L1569" s="2"/>
      <c r="M1569" s="2"/>
      <c r="N1569" s="2"/>
      <c r="O1569" s="2"/>
      <c r="P1569" s="2"/>
      <c r="Q1569" s="2"/>
      <c r="R1569" s="2"/>
      <c r="S1569" s="2"/>
      <c r="T1569" s="2"/>
      <c r="U1569" s="2"/>
      <c r="V1569" s="2"/>
      <c r="W1569" s="2" t="str">
        <f>IFERROR(__xludf.DUMMYFUNCTION("""COMPUTED_VALUE"""),"VL103D")</f>
        <v>VL103D</v>
      </c>
      <c r="X1569" s="2"/>
      <c r="Y1569" s="2"/>
      <c r="Z1569" s="2"/>
      <c r="AA1569" s="2"/>
      <c r="AB1569" s="2"/>
    </row>
    <row r="1570">
      <c r="A1570" s="2"/>
      <c r="B1570" s="2"/>
      <c r="C1570" s="2"/>
      <c r="D1570" s="2"/>
      <c r="E1570" s="2"/>
      <c r="F1570" s="2"/>
      <c r="G1570" s="2"/>
      <c r="H1570" s="2"/>
      <c r="I1570" s="2"/>
      <c r="J1570" s="2"/>
      <c r="K1570" s="2"/>
      <c r="L1570" s="2"/>
      <c r="M1570" s="2"/>
      <c r="N1570" s="2"/>
      <c r="O1570" s="2"/>
      <c r="P1570" s="2"/>
      <c r="Q1570" s="2"/>
      <c r="R1570" s="2"/>
      <c r="S1570" s="2"/>
      <c r="T1570" s="2"/>
      <c r="U1570" s="2"/>
      <c r="V1570" s="2"/>
      <c r="W1570" s="2" t="str">
        <f>IFERROR(__xludf.DUMMYFUNCTION("""COMPUTED_VALUE"""),"VL103D")</f>
        <v>VL103D</v>
      </c>
      <c r="X1570" s="2"/>
      <c r="Y1570" s="2"/>
      <c r="Z1570" s="2"/>
      <c r="AA1570" s="2"/>
      <c r="AB1570" s="2"/>
    </row>
    <row r="1571">
      <c r="A1571" s="2"/>
      <c r="B1571" s="2"/>
      <c r="C1571" s="2"/>
      <c r="D1571" s="2"/>
      <c r="E1571" s="2"/>
      <c r="F1571" s="2"/>
      <c r="G1571" s="2"/>
      <c r="H1571" s="2"/>
      <c r="I1571" s="2"/>
      <c r="J1571" s="2"/>
      <c r="K1571" s="2"/>
      <c r="L1571" s="2"/>
      <c r="M1571" s="2"/>
      <c r="N1571" s="2"/>
      <c r="O1571" s="2"/>
      <c r="P1571" s="2"/>
      <c r="Q1571" s="2"/>
      <c r="R1571" s="2"/>
      <c r="S1571" s="2"/>
      <c r="T1571" s="2"/>
      <c r="U1571" s="2"/>
      <c r="V1571" s="2"/>
      <c r="W1571" s="2" t="str">
        <f>IFERROR(__xludf.DUMMYFUNCTION("""COMPUTED_VALUE"""),"VL103D")</f>
        <v>VL103D</v>
      </c>
      <c r="X1571" s="2"/>
      <c r="Y1571" s="2"/>
      <c r="Z1571" s="2"/>
      <c r="AA1571" s="2"/>
      <c r="AB1571" s="2"/>
    </row>
    <row r="1572">
      <c r="A1572" s="2"/>
      <c r="B1572" s="2"/>
      <c r="C1572" s="2"/>
      <c r="D1572" s="2"/>
      <c r="E1572" s="2"/>
      <c r="F1572" s="2"/>
      <c r="G1572" s="2"/>
      <c r="H1572" s="2"/>
      <c r="I1572" s="2"/>
      <c r="J1572" s="2"/>
      <c r="K1572" s="2"/>
      <c r="L1572" s="2"/>
      <c r="M1572" s="2"/>
      <c r="N1572" s="2"/>
      <c r="O1572" s="2"/>
      <c r="P1572" s="2"/>
      <c r="Q1572" s="2"/>
      <c r="R1572" s="2"/>
      <c r="S1572" s="2"/>
      <c r="T1572" s="2"/>
      <c r="U1572" s="2"/>
      <c r="V1572" s="2"/>
      <c r="W1572" s="2" t="str">
        <f>IFERROR(__xludf.DUMMYFUNCTION("""COMPUTED_VALUE"""),"VL103D")</f>
        <v>VL103D</v>
      </c>
      <c r="X1572" s="2"/>
      <c r="Y1572" s="2"/>
      <c r="Z1572" s="2"/>
      <c r="AA1572" s="2"/>
      <c r="AB1572" s="2"/>
    </row>
    <row r="1573">
      <c r="A1573" s="2"/>
      <c r="B1573" s="2"/>
      <c r="C1573" s="2"/>
      <c r="D1573" s="2"/>
      <c r="E1573" s="2"/>
      <c r="F1573" s="2"/>
      <c r="G1573" s="2"/>
      <c r="H1573" s="2"/>
      <c r="I1573" s="2"/>
      <c r="J1573" s="2"/>
      <c r="K1573" s="2"/>
      <c r="L1573" s="2"/>
      <c r="M1573" s="2"/>
      <c r="N1573" s="2"/>
      <c r="O1573" s="2"/>
      <c r="P1573" s="2"/>
      <c r="Q1573" s="2"/>
      <c r="R1573" s="2"/>
      <c r="S1573" s="2"/>
      <c r="T1573" s="2"/>
      <c r="U1573" s="2"/>
      <c r="V1573" s="2"/>
      <c r="W1573" s="2" t="str">
        <f>IFERROR(__xludf.DUMMYFUNCTION("""COMPUTED_VALUE"""),"VL103D")</f>
        <v>VL103D</v>
      </c>
      <c r="X1573" s="2"/>
      <c r="Y1573" s="2"/>
      <c r="Z1573" s="2"/>
      <c r="AA1573" s="2"/>
      <c r="AB1573" s="2"/>
    </row>
    <row r="1574">
      <c r="A1574" s="2"/>
      <c r="B1574" s="2"/>
      <c r="C1574" s="2"/>
      <c r="D1574" s="2"/>
      <c r="E1574" s="2"/>
      <c r="F1574" s="2"/>
      <c r="G1574" s="2"/>
      <c r="H1574" s="2"/>
      <c r="I1574" s="2"/>
      <c r="J1574" s="2"/>
      <c r="K1574" s="2"/>
      <c r="L1574" s="2"/>
      <c r="M1574" s="2"/>
      <c r="N1574" s="2"/>
      <c r="O1574" s="2"/>
      <c r="P1574" s="2"/>
      <c r="Q1574" s="2"/>
      <c r="R1574" s="2"/>
      <c r="S1574" s="2"/>
      <c r="T1574" s="2"/>
      <c r="U1574" s="2"/>
      <c r="V1574" s="2"/>
      <c r="W1574" s="2" t="str">
        <f>IFERROR(__xludf.DUMMYFUNCTION("""COMPUTED_VALUE"""),"VL103D")</f>
        <v>VL103D</v>
      </c>
      <c r="X1574" s="2"/>
      <c r="Y1574" s="2"/>
      <c r="Z1574" s="2"/>
      <c r="AA1574" s="2"/>
      <c r="AB1574" s="2"/>
    </row>
    <row r="1575">
      <c r="A1575" s="2"/>
      <c r="B1575" s="2"/>
      <c r="C1575" s="2"/>
      <c r="D1575" s="2"/>
      <c r="E1575" s="2"/>
      <c r="F1575" s="2"/>
      <c r="G1575" s="2"/>
      <c r="H1575" s="2"/>
      <c r="I1575" s="2"/>
      <c r="J1575" s="2"/>
      <c r="K1575" s="2"/>
      <c r="L1575" s="2"/>
      <c r="M1575" s="2"/>
      <c r="N1575" s="2"/>
      <c r="O1575" s="2"/>
      <c r="P1575" s="2"/>
      <c r="Q1575" s="2"/>
      <c r="R1575" s="2"/>
      <c r="S1575" s="2"/>
      <c r="T1575" s="2"/>
      <c r="U1575" s="2"/>
      <c r="V1575" s="2"/>
      <c r="W1575" s="2" t="str">
        <f>IFERROR(__xludf.DUMMYFUNCTION("""COMPUTED_VALUE"""),"VL103D")</f>
        <v>VL103D</v>
      </c>
      <c r="X1575" s="2"/>
      <c r="Y1575" s="2"/>
      <c r="Z1575" s="2"/>
      <c r="AA1575" s="2"/>
      <c r="AB1575" s="2"/>
    </row>
    <row r="1576">
      <c r="A1576" s="2"/>
      <c r="B1576" s="2"/>
      <c r="C1576" s="2"/>
      <c r="D1576" s="2"/>
      <c r="E1576" s="2"/>
      <c r="F1576" s="2"/>
      <c r="G1576" s="2"/>
      <c r="H1576" s="2"/>
      <c r="I1576" s="2"/>
      <c r="J1576" s="2"/>
      <c r="K1576" s="2"/>
      <c r="L1576" s="2"/>
      <c r="M1576" s="2"/>
      <c r="N1576" s="2"/>
      <c r="O1576" s="2"/>
      <c r="P1576" s="2"/>
      <c r="Q1576" s="2"/>
      <c r="R1576" s="2"/>
      <c r="S1576" s="2"/>
      <c r="T1576" s="2"/>
      <c r="U1576" s="2"/>
      <c r="V1576" s="2"/>
      <c r="W1576" s="2" t="str">
        <f>IFERROR(__xludf.DUMMYFUNCTION("""COMPUTED_VALUE"""),"VL103D")</f>
        <v>VL103D</v>
      </c>
      <c r="X1576" s="2"/>
      <c r="Y1576" s="2"/>
      <c r="Z1576" s="2"/>
      <c r="AA1576" s="2"/>
      <c r="AB1576" s="2"/>
    </row>
    <row r="1577">
      <c r="A1577" s="2"/>
      <c r="B1577" s="2"/>
      <c r="C1577" s="2"/>
      <c r="D1577" s="2"/>
      <c r="E1577" s="2"/>
      <c r="F1577" s="2"/>
      <c r="G1577" s="2"/>
      <c r="H1577" s="2"/>
      <c r="I1577" s="2"/>
      <c r="J1577" s="2"/>
      <c r="K1577" s="2"/>
      <c r="L1577" s="2"/>
      <c r="M1577" s="2"/>
      <c r="N1577" s="2"/>
      <c r="O1577" s="2"/>
      <c r="P1577" s="2"/>
      <c r="Q1577" s="2"/>
      <c r="R1577" s="2"/>
      <c r="S1577" s="2"/>
      <c r="T1577" s="2"/>
      <c r="U1577" s="2"/>
      <c r="V1577" s="2"/>
      <c r="W1577" s="2" t="str">
        <f>IFERROR(__xludf.DUMMYFUNCTION("""COMPUTED_VALUE"""),"VL103D")</f>
        <v>VL103D</v>
      </c>
      <c r="X1577" s="2"/>
      <c r="Y1577" s="2"/>
      <c r="Z1577" s="2"/>
      <c r="AA1577" s="2"/>
      <c r="AB1577" s="2"/>
    </row>
    <row r="1578">
      <c r="A1578" s="2"/>
      <c r="B1578" s="2"/>
      <c r="C1578" s="2"/>
      <c r="D1578" s="2"/>
      <c r="E1578" s="2"/>
      <c r="F1578" s="2"/>
      <c r="G1578" s="2"/>
      <c r="H1578" s="2"/>
      <c r="I1578" s="2"/>
      <c r="J1578" s="2"/>
      <c r="K1578" s="2"/>
      <c r="L1578" s="2"/>
      <c r="M1578" s="2"/>
      <c r="N1578" s="2"/>
      <c r="O1578" s="2"/>
      <c r="P1578" s="2"/>
      <c r="Q1578" s="2"/>
      <c r="R1578" s="2"/>
      <c r="S1578" s="2"/>
      <c r="T1578" s="2"/>
      <c r="U1578" s="2"/>
      <c r="V1578" s="2"/>
      <c r="W1578" s="2" t="str">
        <f>IFERROR(__xludf.DUMMYFUNCTION("""COMPUTED_VALUE"""),"VL103D")</f>
        <v>VL103D</v>
      </c>
      <c r="X1578" s="2"/>
      <c r="Y1578" s="2"/>
      <c r="Z1578" s="2"/>
      <c r="AA1578" s="2"/>
      <c r="AB1578" s="2"/>
    </row>
    <row r="1579">
      <c r="A1579" s="2"/>
      <c r="B1579" s="2"/>
      <c r="C1579" s="2"/>
      <c r="D1579" s="2"/>
      <c r="E1579" s="2"/>
      <c r="F1579" s="2"/>
      <c r="G1579" s="2"/>
      <c r="H1579" s="2"/>
      <c r="I1579" s="2"/>
      <c r="J1579" s="2"/>
      <c r="K1579" s="2"/>
      <c r="L1579" s="2"/>
      <c r="M1579" s="2"/>
      <c r="N1579" s="2"/>
      <c r="O1579" s="2"/>
      <c r="P1579" s="2"/>
      <c r="Q1579" s="2"/>
      <c r="R1579" s="2"/>
      <c r="S1579" s="2"/>
      <c r="T1579" s="2"/>
      <c r="U1579" s="2"/>
      <c r="V1579" s="2"/>
      <c r="W1579" s="2" t="str">
        <f>IFERROR(__xludf.DUMMYFUNCTION("""COMPUTED_VALUE"""),"VL103D")</f>
        <v>VL103D</v>
      </c>
      <c r="X1579" s="2"/>
      <c r="Y1579" s="2"/>
      <c r="Z1579" s="2"/>
      <c r="AA1579" s="2"/>
      <c r="AB1579" s="2"/>
    </row>
    <row r="1580">
      <c r="A1580" s="2"/>
      <c r="B1580" s="2"/>
      <c r="C1580" s="2"/>
      <c r="D1580" s="2"/>
      <c r="E1580" s="2"/>
      <c r="F1580" s="2"/>
      <c r="G1580" s="2"/>
      <c r="H1580" s="2"/>
      <c r="I1580" s="2"/>
      <c r="J1580" s="2"/>
      <c r="K1580" s="2"/>
      <c r="L1580" s="2"/>
      <c r="M1580" s="2"/>
      <c r="N1580" s="2"/>
      <c r="O1580" s="2"/>
      <c r="P1580" s="2"/>
      <c r="Q1580" s="2"/>
      <c r="R1580" s="2"/>
      <c r="S1580" s="2"/>
      <c r="T1580" s="2"/>
      <c r="U1580" s="2"/>
      <c r="V1580" s="2"/>
      <c r="W1580" s="2" t="str">
        <f>IFERROR(__xludf.DUMMYFUNCTION("""COMPUTED_VALUE"""),"VL103D")</f>
        <v>VL103D</v>
      </c>
      <c r="X1580" s="2"/>
      <c r="Y1580" s="2"/>
      <c r="Z1580" s="2"/>
      <c r="AA1580" s="2"/>
      <c r="AB1580" s="2"/>
    </row>
    <row r="1581">
      <c r="A1581" s="2"/>
      <c r="B1581" s="2"/>
      <c r="C1581" s="2"/>
      <c r="D1581" s="2"/>
      <c r="E1581" s="2"/>
      <c r="F1581" s="2"/>
      <c r="G1581" s="2"/>
      <c r="H1581" s="2"/>
      <c r="I1581" s="2"/>
      <c r="J1581" s="2"/>
      <c r="K1581" s="2"/>
      <c r="L1581" s="2"/>
      <c r="M1581" s="2"/>
      <c r="N1581" s="2"/>
      <c r="O1581" s="2"/>
      <c r="P1581" s="2"/>
      <c r="Q1581" s="2"/>
      <c r="R1581" s="2"/>
      <c r="S1581" s="2"/>
      <c r="T1581" s="2"/>
      <c r="U1581" s="2"/>
      <c r="V1581" s="2"/>
      <c r="W1581" s="2" t="str">
        <f>IFERROR(__xludf.DUMMYFUNCTION("""COMPUTED_VALUE"""),"VL103D")</f>
        <v>VL103D</v>
      </c>
      <c r="X1581" s="2"/>
      <c r="Y1581" s="2"/>
      <c r="Z1581" s="2"/>
      <c r="AA1581" s="2"/>
      <c r="AB1581" s="2"/>
    </row>
    <row r="1582">
      <c r="A1582" s="2"/>
      <c r="B1582" s="2"/>
      <c r="C1582" s="2"/>
      <c r="D1582" s="2"/>
      <c r="E1582" s="2"/>
      <c r="F1582" s="2"/>
      <c r="G1582" s="2"/>
      <c r="H1582" s="2"/>
      <c r="I1582" s="2"/>
      <c r="J1582" s="2"/>
      <c r="K1582" s="2"/>
      <c r="L1582" s="2"/>
      <c r="M1582" s="2"/>
      <c r="N1582" s="2"/>
      <c r="O1582" s="2"/>
      <c r="P1582" s="2"/>
      <c r="Q1582" s="2"/>
      <c r="R1582" s="2"/>
      <c r="S1582" s="2"/>
      <c r="T1582" s="2"/>
      <c r="U1582" s="2"/>
      <c r="V1582" s="2"/>
      <c r="W1582" s="2" t="str">
        <f>IFERROR(__xludf.DUMMYFUNCTION("""COMPUTED_VALUE"""),"VL103D")</f>
        <v>VL103D</v>
      </c>
      <c r="X1582" s="2"/>
      <c r="Y1582" s="2"/>
      <c r="Z1582" s="2"/>
      <c r="AA1582" s="2"/>
      <c r="AB1582" s="2"/>
    </row>
    <row r="1583">
      <c r="A1583" s="2"/>
      <c r="B1583" s="2"/>
      <c r="C1583" s="2"/>
      <c r="D1583" s="2"/>
      <c r="E1583" s="2"/>
      <c r="F1583" s="2"/>
      <c r="G1583" s="2"/>
      <c r="H1583" s="2"/>
      <c r="I1583" s="2"/>
      <c r="J1583" s="2"/>
      <c r="K1583" s="2"/>
      <c r="L1583" s="2"/>
      <c r="M1583" s="2"/>
      <c r="N1583" s="2"/>
      <c r="O1583" s="2"/>
      <c r="P1583" s="2"/>
      <c r="Q1583" s="2"/>
      <c r="R1583" s="2"/>
      <c r="S1583" s="2"/>
      <c r="T1583" s="2"/>
      <c r="U1583" s="2"/>
      <c r="V1583" s="2"/>
      <c r="W1583" s="2" t="str">
        <f>IFERROR(__xludf.DUMMYFUNCTION("""COMPUTED_VALUE"""),"VL103D")</f>
        <v>VL103D</v>
      </c>
      <c r="X1583" s="2"/>
      <c r="Y1583" s="2"/>
      <c r="Z1583" s="2"/>
      <c r="AA1583" s="2"/>
      <c r="AB1583" s="2"/>
    </row>
    <row r="1584">
      <c r="A1584" s="2"/>
      <c r="B1584" s="2"/>
      <c r="C1584" s="2"/>
      <c r="D1584" s="2"/>
      <c r="E1584" s="2"/>
      <c r="F1584" s="2"/>
      <c r="G1584" s="2"/>
      <c r="H1584" s="2"/>
      <c r="I1584" s="2"/>
      <c r="J1584" s="2"/>
      <c r="K1584" s="2"/>
      <c r="L1584" s="2"/>
      <c r="M1584" s="2"/>
      <c r="N1584" s="2"/>
      <c r="O1584" s="2"/>
      <c r="P1584" s="2"/>
      <c r="Q1584" s="2"/>
      <c r="R1584" s="2"/>
      <c r="S1584" s="2"/>
      <c r="T1584" s="2"/>
      <c r="U1584" s="2"/>
      <c r="V1584" s="2"/>
      <c r="W1584" s="2" t="str">
        <f>IFERROR(__xludf.DUMMYFUNCTION("""COMPUTED_VALUE"""),"VL103D")</f>
        <v>VL103D</v>
      </c>
      <c r="X1584" s="2"/>
      <c r="Y1584" s="2"/>
      <c r="Z1584" s="2"/>
      <c r="AA1584" s="2"/>
      <c r="AB1584" s="2"/>
    </row>
    <row r="1585">
      <c r="A1585" s="2"/>
      <c r="B1585" s="2"/>
      <c r="C1585" s="2"/>
      <c r="D1585" s="2"/>
      <c r="E1585" s="2"/>
      <c r="F1585" s="2"/>
      <c r="G1585" s="2"/>
      <c r="H1585" s="2"/>
      <c r="I1585" s="2"/>
      <c r="J1585" s="2"/>
      <c r="K1585" s="2"/>
      <c r="L1585" s="2"/>
      <c r="M1585" s="2"/>
      <c r="N1585" s="2"/>
      <c r="O1585" s="2"/>
      <c r="P1585" s="2"/>
      <c r="Q1585" s="2"/>
      <c r="R1585" s="2"/>
      <c r="S1585" s="2"/>
      <c r="T1585" s="2"/>
      <c r="U1585" s="2"/>
      <c r="V1585" s="2"/>
      <c r="W1585" s="2" t="str">
        <f>IFERROR(__xludf.DUMMYFUNCTION("""COMPUTED_VALUE"""),"VL103D")</f>
        <v>VL103D</v>
      </c>
      <c r="X1585" s="2"/>
      <c r="Y1585" s="2"/>
      <c r="Z1585" s="2"/>
      <c r="AA1585" s="2"/>
      <c r="AB1585" s="2"/>
    </row>
    <row r="1586">
      <c r="A1586" s="2"/>
      <c r="B1586" s="2"/>
      <c r="C1586" s="2"/>
      <c r="D1586" s="2"/>
      <c r="E1586" s="2"/>
      <c r="F1586" s="2"/>
      <c r="G1586" s="2"/>
      <c r="H1586" s="2"/>
      <c r="I1586" s="2"/>
      <c r="J1586" s="2"/>
      <c r="K1586" s="2"/>
      <c r="L1586" s="2"/>
      <c r="M1586" s="2"/>
      <c r="N1586" s="2"/>
      <c r="O1586" s="2"/>
      <c r="P1586" s="2"/>
      <c r="Q1586" s="2"/>
      <c r="R1586" s="2"/>
      <c r="S1586" s="2"/>
      <c r="T1586" s="2"/>
      <c r="U1586" s="2"/>
      <c r="V1586" s="2"/>
      <c r="W1586" s="2" t="str">
        <f>IFERROR(__xludf.DUMMYFUNCTION("""COMPUTED_VALUE"""),"VL103D")</f>
        <v>VL103D</v>
      </c>
      <c r="X1586" s="2"/>
      <c r="Y1586" s="2"/>
      <c r="Z1586" s="2"/>
      <c r="AA1586" s="2"/>
      <c r="AB1586" s="2"/>
    </row>
    <row r="1587">
      <c r="A1587" s="2"/>
      <c r="B1587" s="2"/>
      <c r="C1587" s="2"/>
      <c r="D1587" s="2"/>
      <c r="E1587" s="2"/>
      <c r="F1587" s="2"/>
      <c r="G1587" s="2"/>
      <c r="H1587" s="2"/>
      <c r="I1587" s="2"/>
      <c r="J1587" s="2"/>
      <c r="K1587" s="2"/>
      <c r="L1587" s="2"/>
      <c r="M1587" s="2"/>
      <c r="N1587" s="2"/>
      <c r="O1587" s="2"/>
      <c r="P1587" s="2"/>
      <c r="Q1587" s="2"/>
      <c r="R1587" s="2"/>
      <c r="S1587" s="2"/>
      <c r="T1587" s="2"/>
      <c r="U1587" s="2"/>
      <c r="V1587" s="2"/>
      <c r="W1587" s="2" t="str">
        <f>IFERROR(__xludf.DUMMYFUNCTION("""COMPUTED_VALUE"""),"VL103D")</f>
        <v>VL103D</v>
      </c>
      <c r="X1587" s="2"/>
      <c r="Y1587" s="2"/>
      <c r="Z1587" s="2"/>
      <c r="AA1587" s="2"/>
      <c r="AB1587" s="2"/>
    </row>
    <row r="1588">
      <c r="A1588" s="2"/>
      <c r="B1588" s="2"/>
      <c r="C1588" s="2"/>
      <c r="D1588" s="2"/>
      <c r="E1588" s="2"/>
      <c r="F1588" s="2"/>
      <c r="G1588" s="2"/>
      <c r="H1588" s="2"/>
      <c r="I1588" s="2"/>
      <c r="J1588" s="2"/>
      <c r="K1588" s="2"/>
      <c r="L1588" s="2"/>
      <c r="M1588" s="2"/>
      <c r="N1588" s="2"/>
      <c r="O1588" s="2"/>
      <c r="P1588" s="2"/>
      <c r="Q1588" s="2"/>
      <c r="R1588" s="2"/>
      <c r="S1588" s="2"/>
      <c r="T1588" s="2"/>
      <c r="U1588" s="2"/>
      <c r="V1588" s="2"/>
      <c r="W1588" s="2" t="str">
        <f>IFERROR(__xludf.DUMMYFUNCTION("""COMPUTED_VALUE"""),"VL103D")</f>
        <v>VL103D</v>
      </c>
      <c r="X1588" s="2"/>
      <c r="Y1588" s="2"/>
      <c r="Z1588" s="2"/>
      <c r="AA1588" s="2"/>
      <c r="AB1588" s="2"/>
    </row>
    <row r="1589">
      <c r="A1589" s="2"/>
      <c r="B1589" s="2"/>
      <c r="C1589" s="2"/>
      <c r="D1589" s="2"/>
      <c r="E1589" s="2"/>
      <c r="F1589" s="2"/>
      <c r="G1589" s="2"/>
      <c r="H1589" s="2"/>
      <c r="I1589" s="2"/>
      <c r="J1589" s="2"/>
      <c r="K1589" s="2"/>
      <c r="L1589" s="2"/>
      <c r="M1589" s="2"/>
      <c r="N1589" s="2"/>
      <c r="O1589" s="2"/>
      <c r="P1589" s="2"/>
      <c r="Q1589" s="2"/>
      <c r="R1589" s="2"/>
      <c r="S1589" s="2"/>
      <c r="T1589" s="2"/>
      <c r="U1589" s="2"/>
      <c r="V1589" s="2"/>
      <c r="W1589" s="2" t="str">
        <f>IFERROR(__xludf.DUMMYFUNCTION("""COMPUTED_VALUE"""),"VL103D")</f>
        <v>VL103D</v>
      </c>
      <c r="X1589" s="2"/>
      <c r="Y1589" s="2"/>
      <c r="Z1589" s="2"/>
      <c r="AA1589" s="2"/>
      <c r="AB1589" s="2"/>
    </row>
    <row r="1590">
      <c r="A1590" s="2"/>
      <c r="B1590" s="2"/>
      <c r="C1590" s="2"/>
      <c r="D1590" s="2"/>
      <c r="E1590" s="2"/>
      <c r="F1590" s="2"/>
      <c r="G1590" s="2"/>
      <c r="H1590" s="2"/>
      <c r="I1590" s="2"/>
      <c r="J1590" s="2"/>
      <c r="K1590" s="2"/>
      <c r="L1590" s="2"/>
      <c r="M1590" s="2"/>
      <c r="N1590" s="2"/>
      <c r="O1590" s="2"/>
      <c r="P1590" s="2"/>
      <c r="Q1590" s="2"/>
      <c r="R1590" s="2"/>
      <c r="S1590" s="2"/>
      <c r="T1590" s="2"/>
      <c r="U1590" s="2"/>
      <c r="V1590" s="2"/>
      <c r="W1590" s="2" t="str">
        <f>IFERROR(__xludf.DUMMYFUNCTION("""COMPUTED_VALUE"""),"VL103D")</f>
        <v>VL103D</v>
      </c>
      <c r="X1590" s="2"/>
      <c r="Y1590" s="2"/>
      <c r="Z1590" s="2"/>
      <c r="AA1590" s="2"/>
      <c r="AB1590" s="2"/>
    </row>
    <row r="1591">
      <c r="A1591" s="2"/>
      <c r="B1591" s="2"/>
      <c r="C1591" s="2"/>
      <c r="D1591" s="2"/>
      <c r="E1591" s="2"/>
      <c r="F1591" s="2"/>
      <c r="G1591" s="2"/>
      <c r="H1591" s="2"/>
      <c r="I1591" s="2"/>
      <c r="J1591" s="2"/>
      <c r="K1591" s="2"/>
      <c r="L1591" s="2"/>
      <c r="M1591" s="2"/>
      <c r="N1591" s="2"/>
      <c r="O1591" s="2"/>
      <c r="P1591" s="2"/>
      <c r="Q1591" s="2"/>
      <c r="R1591" s="2"/>
      <c r="S1591" s="2"/>
      <c r="T1591" s="2"/>
      <c r="U1591" s="2"/>
      <c r="V1591" s="2"/>
      <c r="W1591" s="2" t="str">
        <f>IFERROR(__xludf.DUMMYFUNCTION("""COMPUTED_VALUE"""),"VL103D")</f>
        <v>VL103D</v>
      </c>
      <c r="X1591" s="2"/>
      <c r="Y1591" s="2"/>
      <c r="Z1591" s="2"/>
      <c r="AA1591" s="2"/>
      <c r="AB1591" s="2"/>
    </row>
    <row r="1592">
      <c r="A1592" s="2"/>
      <c r="B1592" s="2"/>
      <c r="C1592" s="2"/>
      <c r="D1592" s="2"/>
      <c r="E1592" s="2"/>
      <c r="F1592" s="2"/>
      <c r="G1592" s="2"/>
      <c r="H1592" s="2"/>
      <c r="I1592" s="2"/>
      <c r="J1592" s="2"/>
      <c r="K1592" s="2"/>
      <c r="L1592" s="2"/>
      <c r="M1592" s="2"/>
      <c r="N1592" s="2"/>
      <c r="O1592" s="2"/>
      <c r="P1592" s="2"/>
      <c r="Q1592" s="2"/>
      <c r="R1592" s="2"/>
      <c r="S1592" s="2"/>
      <c r="T1592" s="2"/>
      <c r="U1592" s="2"/>
      <c r="V1592" s="2"/>
      <c r="W1592" s="2" t="str">
        <f>IFERROR(__xludf.DUMMYFUNCTION("""COMPUTED_VALUE"""),"VL103D")</f>
        <v>VL103D</v>
      </c>
      <c r="X1592" s="2"/>
      <c r="Y1592" s="2"/>
      <c r="Z1592" s="2"/>
      <c r="AA1592" s="2"/>
      <c r="AB1592" s="2"/>
    </row>
    <row r="1593">
      <c r="A1593" s="2"/>
      <c r="B1593" s="2"/>
      <c r="C1593" s="2"/>
      <c r="D1593" s="2"/>
      <c r="E1593" s="2"/>
      <c r="F1593" s="2"/>
      <c r="G1593" s="2"/>
      <c r="H1593" s="2"/>
      <c r="I1593" s="2"/>
      <c r="J1593" s="2"/>
      <c r="K1593" s="2"/>
      <c r="L1593" s="2"/>
      <c r="M1593" s="2"/>
      <c r="N1593" s="2"/>
      <c r="O1593" s="2"/>
      <c r="P1593" s="2"/>
      <c r="Q1593" s="2"/>
      <c r="R1593" s="2"/>
      <c r="S1593" s="2"/>
      <c r="T1593" s="2"/>
      <c r="U1593" s="2"/>
      <c r="V1593" s="2"/>
      <c r="W1593" s="2" t="str">
        <f>IFERROR(__xludf.DUMMYFUNCTION("""COMPUTED_VALUE"""),"VL103D")</f>
        <v>VL103D</v>
      </c>
      <c r="X1593" s="2"/>
      <c r="Y1593" s="2"/>
      <c r="Z1593" s="2"/>
      <c r="AA1593" s="2"/>
      <c r="AB1593" s="2"/>
    </row>
    <row r="1594">
      <c r="A1594" s="2"/>
      <c r="B1594" s="2"/>
      <c r="C1594" s="2"/>
      <c r="D1594" s="2"/>
      <c r="E1594" s="2"/>
      <c r="F1594" s="2"/>
      <c r="G1594" s="2"/>
      <c r="H1594" s="2"/>
      <c r="I1594" s="2"/>
      <c r="J1594" s="2"/>
      <c r="K1594" s="2"/>
      <c r="L1594" s="2"/>
      <c r="M1594" s="2"/>
      <c r="N1594" s="2"/>
      <c r="O1594" s="2"/>
      <c r="P1594" s="2"/>
      <c r="Q1594" s="2"/>
      <c r="R1594" s="2"/>
      <c r="S1594" s="2"/>
      <c r="T1594" s="2"/>
      <c r="U1594" s="2"/>
      <c r="V1594" s="2"/>
      <c r="W1594" s="2" t="str">
        <f>IFERROR(__xludf.DUMMYFUNCTION("""COMPUTED_VALUE"""),"VL103D")</f>
        <v>VL103D</v>
      </c>
      <c r="X1594" s="2"/>
      <c r="Y1594" s="2"/>
      <c r="Z1594" s="2"/>
      <c r="AA1594" s="2"/>
      <c r="AB1594" s="2"/>
    </row>
    <row r="1595">
      <c r="A1595" s="2"/>
      <c r="B1595" s="2"/>
      <c r="C1595" s="2"/>
      <c r="D1595" s="2"/>
      <c r="E1595" s="2"/>
      <c r="F1595" s="2"/>
      <c r="G1595" s="2"/>
      <c r="H1595" s="2"/>
      <c r="I1595" s="2"/>
      <c r="J1595" s="2"/>
      <c r="K1595" s="2"/>
      <c r="L1595" s="2"/>
      <c r="M1595" s="2"/>
      <c r="N1595" s="2"/>
      <c r="O1595" s="2"/>
      <c r="P1595" s="2"/>
      <c r="Q1595" s="2"/>
      <c r="R1595" s="2"/>
      <c r="S1595" s="2"/>
      <c r="T1595" s="2"/>
      <c r="U1595" s="2"/>
      <c r="V1595" s="2"/>
      <c r="W1595" s="2" t="str">
        <f>IFERROR(__xludf.DUMMYFUNCTION("""COMPUTED_VALUE"""),"VL103D")</f>
        <v>VL103D</v>
      </c>
      <c r="X1595" s="2"/>
      <c r="Y1595" s="2"/>
      <c r="Z1595" s="2"/>
      <c r="AA1595" s="2"/>
      <c r="AB1595" s="2"/>
    </row>
    <row r="1596">
      <c r="A1596" s="2"/>
      <c r="B1596" s="2"/>
      <c r="C1596" s="2"/>
      <c r="D1596" s="2"/>
      <c r="E1596" s="2"/>
      <c r="F1596" s="2"/>
      <c r="G1596" s="2"/>
      <c r="H1596" s="2"/>
      <c r="I1596" s="2"/>
      <c r="J1596" s="2"/>
      <c r="K1596" s="2"/>
      <c r="L1596" s="2"/>
      <c r="M1596" s="2"/>
      <c r="N1596" s="2"/>
      <c r="O1596" s="2"/>
      <c r="P1596" s="2"/>
      <c r="Q1596" s="2"/>
      <c r="R1596" s="2"/>
      <c r="S1596" s="2"/>
      <c r="T1596" s="2"/>
      <c r="U1596" s="2"/>
      <c r="V1596" s="2"/>
      <c r="W1596" s="2" t="str">
        <f>IFERROR(__xludf.DUMMYFUNCTION("""COMPUTED_VALUE"""),"VL103D")</f>
        <v>VL103D</v>
      </c>
      <c r="X1596" s="2"/>
      <c r="Y1596" s="2"/>
      <c r="Z1596" s="2"/>
      <c r="AA1596" s="2"/>
      <c r="AB1596" s="2"/>
    </row>
    <row r="1597">
      <c r="A1597" s="2"/>
      <c r="B1597" s="2"/>
      <c r="C1597" s="2"/>
      <c r="D1597" s="2"/>
      <c r="E1597" s="2"/>
      <c r="F1597" s="2"/>
      <c r="G1597" s="2"/>
      <c r="H1597" s="2"/>
      <c r="I1597" s="2"/>
      <c r="J1597" s="2"/>
      <c r="K1597" s="2"/>
      <c r="L1597" s="2"/>
      <c r="M1597" s="2"/>
      <c r="N1597" s="2"/>
      <c r="O1597" s="2"/>
      <c r="P1597" s="2"/>
      <c r="Q1597" s="2"/>
      <c r="R1597" s="2"/>
      <c r="S1597" s="2"/>
      <c r="T1597" s="2"/>
      <c r="U1597" s="2"/>
      <c r="V1597" s="2"/>
      <c r="W1597" s="2" t="str">
        <f>IFERROR(__xludf.DUMMYFUNCTION("""COMPUTED_VALUE"""),"VL103D")</f>
        <v>VL103D</v>
      </c>
      <c r="X1597" s="2"/>
      <c r="Y1597" s="2"/>
      <c r="Z1597" s="2"/>
      <c r="AA1597" s="2"/>
      <c r="AB1597" s="2"/>
    </row>
    <row r="1598">
      <c r="A1598" s="2"/>
      <c r="B1598" s="2"/>
      <c r="C1598" s="2"/>
      <c r="D1598" s="2"/>
      <c r="E1598" s="2"/>
      <c r="F1598" s="2"/>
      <c r="G1598" s="2"/>
      <c r="H1598" s="2"/>
      <c r="I1598" s="2"/>
      <c r="J1598" s="2"/>
      <c r="K1598" s="2"/>
      <c r="L1598" s="2"/>
      <c r="M1598" s="2"/>
      <c r="N1598" s="2"/>
      <c r="O1598" s="2"/>
      <c r="P1598" s="2"/>
      <c r="Q1598" s="2"/>
      <c r="R1598" s="2"/>
      <c r="S1598" s="2"/>
      <c r="T1598" s="2"/>
      <c r="U1598" s="2"/>
      <c r="V1598" s="2"/>
      <c r="W1598" s="2" t="str">
        <f>IFERROR(__xludf.DUMMYFUNCTION("""COMPUTED_VALUE"""),"VL103D")</f>
        <v>VL103D</v>
      </c>
      <c r="X1598" s="2"/>
      <c r="Y1598" s="2"/>
      <c r="Z1598" s="2"/>
      <c r="AA1598" s="2"/>
      <c r="AB1598" s="2"/>
    </row>
    <row r="1599">
      <c r="A1599" s="2"/>
      <c r="B1599" s="2"/>
      <c r="C1599" s="2"/>
      <c r="D1599" s="2"/>
      <c r="E1599" s="2"/>
      <c r="F1599" s="2"/>
      <c r="G1599" s="2"/>
      <c r="H1599" s="2"/>
      <c r="I1599" s="2"/>
      <c r="J1599" s="2"/>
      <c r="K1599" s="2"/>
      <c r="L1599" s="2"/>
      <c r="M1599" s="2"/>
      <c r="N1599" s="2"/>
      <c r="O1599" s="2"/>
      <c r="P1599" s="2"/>
      <c r="Q1599" s="2"/>
      <c r="R1599" s="2"/>
      <c r="S1599" s="2"/>
      <c r="T1599" s="2"/>
      <c r="U1599" s="2"/>
      <c r="V1599" s="2"/>
      <c r="W1599" s="2" t="str">
        <f>IFERROR(__xludf.DUMMYFUNCTION("""COMPUTED_VALUE"""),"VL103D")</f>
        <v>VL103D</v>
      </c>
      <c r="X1599" s="2"/>
      <c r="Y1599" s="2"/>
      <c r="Z1599" s="2"/>
      <c r="AA1599" s="2"/>
      <c r="AB1599" s="2"/>
    </row>
    <row r="1600">
      <c r="A1600" s="2"/>
      <c r="B1600" s="2"/>
      <c r="C1600" s="2"/>
      <c r="D1600" s="2"/>
      <c r="E1600" s="2"/>
      <c r="F1600" s="2"/>
      <c r="G1600" s="2"/>
      <c r="H1600" s="2"/>
      <c r="I1600" s="2"/>
      <c r="J1600" s="2"/>
      <c r="K1600" s="2"/>
      <c r="L1600" s="2"/>
      <c r="M1600" s="2"/>
      <c r="N1600" s="2"/>
      <c r="O1600" s="2"/>
      <c r="P1600" s="2"/>
      <c r="Q1600" s="2"/>
      <c r="R1600" s="2"/>
      <c r="S1600" s="2"/>
      <c r="T1600" s="2"/>
      <c r="U1600" s="2"/>
      <c r="V1600" s="2"/>
      <c r="W1600" s="2" t="str">
        <f>IFERROR(__xludf.DUMMYFUNCTION("""COMPUTED_VALUE"""),"VL103D")</f>
        <v>VL103D</v>
      </c>
      <c r="X1600" s="2"/>
      <c r="Y1600" s="2"/>
      <c r="Z1600" s="2"/>
      <c r="AA1600" s="2"/>
      <c r="AB1600" s="2"/>
    </row>
    <row r="1601">
      <c r="A1601" s="2"/>
      <c r="B1601" s="2"/>
      <c r="C1601" s="2"/>
      <c r="D1601" s="2"/>
      <c r="E1601" s="2"/>
      <c r="F1601" s="2"/>
      <c r="G1601" s="2"/>
      <c r="H1601" s="2"/>
      <c r="I1601" s="2"/>
      <c r="J1601" s="2"/>
      <c r="K1601" s="2"/>
      <c r="L1601" s="2"/>
      <c r="M1601" s="2"/>
      <c r="N1601" s="2"/>
      <c r="O1601" s="2"/>
      <c r="P1601" s="2"/>
      <c r="Q1601" s="2"/>
      <c r="R1601" s="2"/>
      <c r="S1601" s="2"/>
      <c r="T1601" s="2"/>
      <c r="U1601" s="2"/>
      <c r="V1601" s="2"/>
      <c r="W1601" s="2" t="str">
        <f>IFERROR(__xludf.DUMMYFUNCTION("""COMPUTED_VALUE"""),"VL103D")</f>
        <v>VL103D</v>
      </c>
      <c r="X1601" s="2"/>
      <c r="Y1601" s="2"/>
      <c r="Z1601" s="2"/>
      <c r="AA1601" s="2"/>
      <c r="AB1601" s="2"/>
    </row>
    <row r="1602">
      <c r="A1602" s="2"/>
      <c r="B1602" s="2"/>
      <c r="C1602" s="2"/>
      <c r="D1602" s="2"/>
      <c r="E1602" s="2"/>
      <c r="F1602" s="2"/>
      <c r="G1602" s="2"/>
      <c r="H1602" s="2"/>
      <c r="I1602" s="2"/>
      <c r="J1602" s="2"/>
      <c r="K1602" s="2"/>
      <c r="L1602" s="2"/>
      <c r="M1602" s="2"/>
      <c r="N1602" s="2"/>
      <c r="O1602" s="2"/>
      <c r="P1602" s="2"/>
      <c r="Q1602" s="2"/>
      <c r="R1602" s="2"/>
      <c r="S1602" s="2"/>
      <c r="T1602" s="2"/>
      <c r="U1602" s="2"/>
      <c r="V1602" s="2"/>
      <c r="W1602" s="2" t="str">
        <f>IFERROR(__xludf.DUMMYFUNCTION("""COMPUTED_VALUE"""),"VL103D")</f>
        <v>VL103D</v>
      </c>
      <c r="X1602" s="2"/>
      <c r="Y1602" s="2"/>
      <c r="Z1602" s="2"/>
      <c r="AA1602" s="2"/>
      <c r="AB1602" s="2"/>
    </row>
    <row r="1603">
      <c r="A1603" s="2"/>
      <c r="B1603" s="2"/>
      <c r="C1603" s="2"/>
      <c r="D1603" s="2"/>
      <c r="E1603" s="2"/>
      <c r="F1603" s="2"/>
      <c r="G1603" s="2"/>
      <c r="H1603" s="2"/>
      <c r="I1603" s="2"/>
      <c r="J1603" s="2"/>
      <c r="K1603" s="2"/>
      <c r="L1603" s="2"/>
      <c r="M1603" s="2"/>
      <c r="N1603" s="2"/>
      <c r="O1603" s="2"/>
      <c r="P1603" s="2"/>
      <c r="Q1603" s="2"/>
      <c r="R1603" s="2"/>
      <c r="S1603" s="2"/>
      <c r="T1603" s="2"/>
      <c r="U1603" s="2"/>
      <c r="V1603" s="2"/>
      <c r="W1603" s="2" t="str">
        <f>IFERROR(__xludf.DUMMYFUNCTION("""COMPUTED_VALUE"""),"VL103D")</f>
        <v>VL103D</v>
      </c>
      <c r="X1603" s="2"/>
      <c r="Y1603" s="2"/>
      <c r="Z1603" s="2"/>
      <c r="AA1603" s="2"/>
      <c r="AB1603" s="2"/>
    </row>
    <row r="1604">
      <c r="A1604" s="2"/>
      <c r="B1604" s="2"/>
      <c r="C1604" s="2"/>
      <c r="D1604" s="2"/>
      <c r="E1604" s="2"/>
      <c r="F1604" s="2"/>
      <c r="G1604" s="2"/>
      <c r="H1604" s="2"/>
      <c r="I1604" s="2"/>
      <c r="J1604" s="2"/>
      <c r="K1604" s="2"/>
      <c r="L1604" s="2"/>
      <c r="M1604" s="2"/>
      <c r="N1604" s="2"/>
      <c r="O1604" s="2"/>
      <c r="P1604" s="2"/>
      <c r="Q1604" s="2"/>
      <c r="R1604" s="2"/>
      <c r="S1604" s="2"/>
      <c r="T1604" s="2"/>
      <c r="U1604" s="2"/>
      <c r="V1604" s="2"/>
      <c r="W1604" s="2" t="str">
        <f>IFERROR(__xludf.DUMMYFUNCTION("""COMPUTED_VALUE"""),"VL103D")</f>
        <v>VL103D</v>
      </c>
      <c r="X1604" s="2"/>
      <c r="Y1604" s="2"/>
      <c r="Z1604" s="2"/>
      <c r="AA1604" s="2"/>
      <c r="AB1604" s="2"/>
    </row>
    <row r="1605">
      <c r="A1605" s="2"/>
      <c r="B1605" s="2"/>
      <c r="C1605" s="2"/>
      <c r="D1605" s="2"/>
      <c r="E1605" s="2"/>
      <c r="F1605" s="2"/>
      <c r="G1605" s="2"/>
      <c r="H1605" s="2"/>
      <c r="I1605" s="2"/>
      <c r="J1605" s="2"/>
      <c r="K1605" s="2"/>
      <c r="L1605" s="2"/>
      <c r="M1605" s="2"/>
      <c r="N1605" s="2"/>
      <c r="O1605" s="2"/>
      <c r="P1605" s="2"/>
      <c r="Q1605" s="2"/>
      <c r="R1605" s="2"/>
      <c r="S1605" s="2"/>
      <c r="T1605" s="2"/>
      <c r="U1605" s="2"/>
      <c r="V1605" s="2"/>
      <c r="W1605" s="2" t="str">
        <f>IFERROR(__xludf.DUMMYFUNCTION("""COMPUTED_VALUE"""),"VL103D")</f>
        <v>VL103D</v>
      </c>
      <c r="X1605" s="2"/>
      <c r="Y1605" s="2"/>
      <c r="Z1605" s="2"/>
      <c r="AA1605" s="2"/>
      <c r="AB1605" s="2"/>
    </row>
    <row r="1606">
      <c r="A1606" s="2"/>
      <c r="B1606" s="2"/>
      <c r="C1606" s="2"/>
      <c r="D1606" s="2"/>
      <c r="E1606" s="2"/>
      <c r="F1606" s="2"/>
      <c r="G1606" s="2"/>
      <c r="H1606" s="2"/>
      <c r="I1606" s="2"/>
      <c r="J1606" s="2"/>
      <c r="K1606" s="2"/>
      <c r="L1606" s="2"/>
      <c r="M1606" s="2"/>
      <c r="N1606" s="2"/>
      <c r="O1606" s="2"/>
      <c r="P1606" s="2"/>
      <c r="Q1606" s="2"/>
      <c r="R1606" s="2"/>
      <c r="S1606" s="2"/>
      <c r="T1606" s="2"/>
      <c r="U1606" s="2"/>
      <c r="V1606" s="2"/>
      <c r="W1606" s="2" t="str">
        <f>IFERROR(__xludf.DUMMYFUNCTION("""COMPUTED_VALUE"""),"VL103D")</f>
        <v>VL103D</v>
      </c>
      <c r="X1606" s="2"/>
      <c r="Y1606" s="2"/>
      <c r="Z1606" s="2"/>
      <c r="AA1606" s="2"/>
      <c r="AB1606" s="2"/>
    </row>
    <row r="1607">
      <c r="A1607" s="2"/>
      <c r="B1607" s="2"/>
      <c r="C1607" s="2"/>
      <c r="D1607" s="2"/>
      <c r="E1607" s="2"/>
      <c r="F1607" s="2"/>
      <c r="G1607" s="2"/>
      <c r="H1607" s="2"/>
      <c r="I1607" s="2"/>
      <c r="J1607" s="2"/>
      <c r="K1607" s="2"/>
      <c r="L1607" s="2"/>
      <c r="M1607" s="2"/>
      <c r="N1607" s="2"/>
      <c r="O1607" s="2"/>
      <c r="P1607" s="2"/>
      <c r="Q1607" s="2"/>
      <c r="R1607" s="2"/>
      <c r="S1607" s="2"/>
      <c r="T1607" s="2"/>
      <c r="U1607" s="2"/>
      <c r="V1607" s="2"/>
      <c r="W1607" s="2" t="str">
        <f>IFERROR(__xludf.DUMMYFUNCTION("""COMPUTED_VALUE"""),"VL103D")</f>
        <v>VL103D</v>
      </c>
      <c r="X1607" s="2"/>
      <c r="Y1607" s="2"/>
      <c r="Z1607" s="2"/>
      <c r="AA1607" s="2"/>
      <c r="AB1607" s="2"/>
    </row>
    <row r="1608">
      <c r="A1608" s="2"/>
      <c r="B1608" s="2"/>
      <c r="C1608" s="2"/>
      <c r="D1608" s="2"/>
      <c r="E1608" s="2"/>
      <c r="F1608" s="2"/>
      <c r="G1608" s="2"/>
      <c r="H1608" s="2"/>
      <c r="I1608" s="2"/>
      <c r="J1608" s="2"/>
      <c r="K1608" s="2"/>
      <c r="L1608" s="2"/>
      <c r="M1608" s="2"/>
      <c r="N1608" s="2"/>
      <c r="O1608" s="2"/>
      <c r="P1608" s="2"/>
      <c r="Q1608" s="2"/>
      <c r="R1608" s="2"/>
      <c r="S1608" s="2"/>
      <c r="T1608" s="2"/>
      <c r="U1608" s="2"/>
      <c r="V1608" s="2"/>
      <c r="W1608" s="2" t="str">
        <f>IFERROR(__xludf.DUMMYFUNCTION("""COMPUTED_VALUE"""),"VL103D")</f>
        <v>VL103D</v>
      </c>
      <c r="X1608" s="2"/>
      <c r="Y1608" s="2"/>
      <c r="Z1608" s="2"/>
      <c r="AA1608" s="2"/>
      <c r="AB1608" s="2"/>
    </row>
    <row r="1609">
      <c r="A1609" s="2"/>
      <c r="B1609" s="2"/>
      <c r="C1609" s="2"/>
      <c r="D1609" s="2"/>
      <c r="E1609" s="2"/>
      <c r="F1609" s="2"/>
      <c r="G1609" s="2"/>
      <c r="H1609" s="2"/>
      <c r="I1609" s="2"/>
      <c r="J1609" s="2"/>
      <c r="K1609" s="2"/>
      <c r="L1609" s="2"/>
      <c r="M1609" s="2"/>
      <c r="N1609" s="2"/>
      <c r="O1609" s="2"/>
      <c r="P1609" s="2"/>
      <c r="Q1609" s="2"/>
      <c r="R1609" s="2"/>
      <c r="S1609" s="2"/>
      <c r="T1609" s="2"/>
      <c r="U1609" s="2"/>
      <c r="V1609" s="2"/>
      <c r="W1609" s="2" t="str">
        <f>IFERROR(__xludf.DUMMYFUNCTION("""COMPUTED_VALUE"""),"VL103D")</f>
        <v>VL103D</v>
      </c>
      <c r="X1609" s="2"/>
      <c r="Y1609" s="2"/>
      <c r="Z1609" s="2"/>
      <c r="AA1609" s="2"/>
      <c r="AB1609" s="2"/>
    </row>
    <row r="1610">
      <c r="A1610" s="2"/>
      <c r="B1610" s="2"/>
      <c r="C1610" s="2"/>
      <c r="D1610" s="2"/>
      <c r="E1610" s="2"/>
      <c r="F1610" s="2"/>
      <c r="G1610" s="2"/>
      <c r="H1610" s="2"/>
      <c r="I1610" s="2"/>
      <c r="J1610" s="2"/>
      <c r="K1610" s="2"/>
      <c r="L1610" s="2"/>
      <c r="M1610" s="2"/>
      <c r="N1610" s="2"/>
      <c r="O1610" s="2"/>
      <c r="P1610" s="2"/>
      <c r="Q1610" s="2"/>
      <c r="R1610" s="2"/>
      <c r="S1610" s="2"/>
      <c r="T1610" s="2"/>
      <c r="U1610" s="2"/>
      <c r="V1610" s="2"/>
      <c r="W1610" s="2" t="str">
        <f>IFERROR(__xludf.DUMMYFUNCTION("""COMPUTED_VALUE"""),"VL103D")</f>
        <v>VL103D</v>
      </c>
      <c r="X1610" s="2"/>
      <c r="Y1610" s="2"/>
      <c r="Z1610" s="2"/>
      <c r="AA1610" s="2"/>
      <c r="AB1610" s="2"/>
    </row>
    <row r="1611">
      <c r="A1611" s="2"/>
      <c r="B1611" s="2"/>
      <c r="C1611" s="2"/>
      <c r="D1611" s="2"/>
      <c r="E1611" s="2"/>
      <c r="F1611" s="2"/>
      <c r="G1611" s="2"/>
      <c r="H1611" s="2"/>
      <c r="I1611" s="2"/>
      <c r="J1611" s="2"/>
      <c r="K1611" s="2"/>
      <c r="L1611" s="2"/>
      <c r="M1611" s="2"/>
      <c r="N1611" s="2"/>
      <c r="O1611" s="2"/>
      <c r="P1611" s="2"/>
      <c r="Q1611" s="2"/>
      <c r="R1611" s="2"/>
      <c r="S1611" s="2"/>
      <c r="T1611" s="2"/>
      <c r="U1611" s="2"/>
      <c r="V1611" s="2"/>
      <c r="W1611" s="2" t="str">
        <f>IFERROR(__xludf.DUMMYFUNCTION("""COMPUTED_VALUE"""),"VL103D")</f>
        <v>VL103D</v>
      </c>
      <c r="X1611" s="2"/>
      <c r="Y1611" s="2"/>
      <c r="Z1611" s="2"/>
      <c r="AA1611" s="2"/>
      <c r="AB1611" s="2"/>
    </row>
    <row r="1612">
      <c r="A1612" s="2"/>
      <c r="B1612" s="2"/>
      <c r="C1612" s="2"/>
      <c r="D1612" s="2"/>
      <c r="E1612" s="2"/>
      <c r="F1612" s="2"/>
      <c r="G1612" s="2"/>
      <c r="H1612" s="2"/>
      <c r="I1612" s="2"/>
      <c r="J1612" s="2"/>
      <c r="K1612" s="2"/>
      <c r="L1612" s="2"/>
      <c r="M1612" s="2"/>
      <c r="N1612" s="2"/>
      <c r="O1612" s="2"/>
      <c r="P1612" s="2"/>
      <c r="Q1612" s="2"/>
      <c r="R1612" s="2"/>
      <c r="S1612" s="2"/>
      <c r="T1612" s="2"/>
      <c r="U1612" s="2"/>
      <c r="V1612" s="2"/>
      <c r="W1612" s="2" t="str">
        <f>IFERROR(__xludf.DUMMYFUNCTION("""COMPUTED_VALUE"""),"VL103D")</f>
        <v>VL103D</v>
      </c>
      <c r="X1612" s="2"/>
      <c r="Y1612" s="2"/>
      <c r="Z1612" s="2"/>
      <c r="AA1612" s="2"/>
      <c r="AB1612" s="2"/>
    </row>
    <row r="1613">
      <c r="A1613" s="2"/>
      <c r="B1613" s="2"/>
      <c r="C1613" s="2"/>
      <c r="D1613" s="2"/>
      <c r="E1613" s="2"/>
      <c r="F1613" s="2"/>
      <c r="G1613" s="2"/>
      <c r="H1613" s="2"/>
      <c r="I1613" s="2"/>
      <c r="J1613" s="2"/>
      <c r="K1613" s="2"/>
      <c r="L1613" s="2"/>
      <c r="M1613" s="2"/>
      <c r="N1613" s="2"/>
      <c r="O1613" s="2"/>
      <c r="P1613" s="2"/>
      <c r="Q1613" s="2"/>
      <c r="R1613" s="2"/>
      <c r="S1613" s="2"/>
      <c r="T1613" s="2"/>
      <c r="U1613" s="2"/>
      <c r="V1613" s="2"/>
      <c r="W1613" s="2" t="str">
        <f>IFERROR(__xludf.DUMMYFUNCTION("""COMPUTED_VALUE"""),"VL103D")</f>
        <v>VL103D</v>
      </c>
      <c r="X1613" s="2"/>
      <c r="Y1613" s="2"/>
      <c r="Z1613" s="2"/>
      <c r="AA1613" s="2"/>
      <c r="AB1613" s="2"/>
    </row>
    <row r="1614">
      <c r="A1614" s="2"/>
      <c r="B1614" s="2"/>
      <c r="C1614" s="2"/>
      <c r="D1614" s="2"/>
      <c r="E1614" s="2"/>
      <c r="F1614" s="2"/>
      <c r="G1614" s="2"/>
      <c r="H1614" s="2"/>
      <c r="I1614" s="2"/>
      <c r="J1614" s="2"/>
      <c r="K1614" s="2"/>
      <c r="L1614" s="2"/>
      <c r="M1614" s="2"/>
      <c r="N1614" s="2"/>
      <c r="O1614" s="2"/>
      <c r="P1614" s="2"/>
      <c r="Q1614" s="2"/>
      <c r="R1614" s="2"/>
      <c r="S1614" s="2"/>
      <c r="T1614" s="2"/>
      <c r="U1614" s="2"/>
      <c r="V1614" s="2"/>
      <c r="W1614" s="2" t="str">
        <f>IFERROR(__xludf.DUMMYFUNCTION("""COMPUTED_VALUE"""),"VL103D")</f>
        <v>VL103D</v>
      </c>
      <c r="X1614" s="2"/>
      <c r="Y1614" s="2"/>
      <c r="Z1614" s="2"/>
      <c r="AA1614" s="2"/>
      <c r="AB1614" s="2"/>
    </row>
    <row r="1615">
      <c r="A1615" s="2"/>
      <c r="B1615" s="2"/>
      <c r="C1615" s="2"/>
      <c r="D1615" s="2"/>
      <c r="E1615" s="2"/>
      <c r="F1615" s="2"/>
      <c r="G1615" s="2"/>
      <c r="H1615" s="2"/>
      <c r="I1615" s="2"/>
      <c r="J1615" s="2"/>
      <c r="K1615" s="2"/>
      <c r="L1615" s="2"/>
      <c r="M1615" s="2"/>
      <c r="N1615" s="2"/>
      <c r="O1615" s="2"/>
      <c r="P1615" s="2"/>
      <c r="Q1615" s="2"/>
      <c r="R1615" s="2"/>
      <c r="S1615" s="2"/>
      <c r="T1615" s="2"/>
      <c r="U1615" s="2"/>
      <c r="V1615" s="2"/>
      <c r="W1615" s="2" t="str">
        <f>IFERROR(__xludf.DUMMYFUNCTION("""COMPUTED_VALUE"""),"VL103D")</f>
        <v>VL103D</v>
      </c>
      <c r="X1615" s="2"/>
      <c r="Y1615" s="2"/>
      <c r="Z1615" s="2"/>
      <c r="AA1615" s="2"/>
      <c r="AB1615" s="2"/>
    </row>
    <row r="1616">
      <c r="A1616" s="2"/>
      <c r="B1616" s="2"/>
      <c r="C1616" s="2"/>
      <c r="D1616" s="2"/>
      <c r="E1616" s="2"/>
      <c r="F1616" s="2"/>
      <c r="G1616" s="2"/>
      <c r="H1616" s="2"/>
      <c r="I1616" s="2"/>
      <c r="J1616" s="2"/>
      <c r="K1616" s="2"/>
      <c r="L1616" s="2"/>
      <c r="M1616" s="2"/>
      <c r="N1616" s="2"/>
      <c r="O1616" s="2"/>
      <c r="P1616" s="2"/>
      <c r="Q1616" s="2"/>
      <c r="R1616" s="2"/>
      <c r="S1616" s="2"/>
      <c r="T1616" s="2"/>
      <c r="U1616" s="2"/>
      <c r="V1616" s="2"/>
      <c r="W1616" s="2" t="str">
        <f>IFERROR(__xludf.DUMMYFUNCTION("""COMPUTED_VALUE"""),"VL103D")</f>
        <v>VL103D</v>
      </c>
      <c r="X1616" s="2"/>
      <c r="Y1616" s="2"/>
      <c r="Z1616" s="2"/>
      <c r="AA1616" s="2"/>
      <c r="AB1616" s="2"/>
    </row>
    <row r="1617">
      <c r="A1617" s="2"/>
      <c r="B1617" s="2"/>
      <c r="C1617" s="2"/>
      <c r="D1617" s="2"/>
      <c r="E1617" s="2"/>
      <c r="F1617" s="2"/>
      <c r="G1617" s="2"/>
      <c r="H1617" s="2"/>
      <c r="I1617" s="2"/>
      <c r="J1617" s="2"/>
      <c r="K1617" s="2"/>
      <c r="L1617" s="2"/>
      <c r="M1617" s="2"/>
      <c r="N1617" s="2"/>
      <c r="O1617" s="2"/>
      <c r="P1617" s="2"/>
      <c r="Q1617" s="2"/>
      <c r="R1617" s="2"/>
      <c r="S1617" s="2"/>
      <c r="T1617" s="2"/>
      <c r="U1617" s="2"/>
      <c r="V1617" s="2"/>
      <c r="W1617" s="2" t="str">
        <f>IFERROR(__xludf.DUMMYFUNCTION("""COMPUTED_VALUE"""),"VL103D")</f>
        <v>VL103D</v>
      </c>
      <c r="X1617" s="2"/>
      <c r="Y1617" s="2"/>
      <c r="Z1617" s="2"/>
      <c r="AA1617" s="2"/>
      <c r="AB1617" s="2"/>
    </row>
    <row r="1618">
      <c r="A1618" s="2"/>
      <c r="B1618" s="2"/>
      <c r="C1618" s="2"/>
      <c r="D1618" s="2"/>
      <c r="E1618" s="2"/>
      <c r="F1618" s="2"/>
      <c r="G1618" s="2"/>
      <c r="H1618" s="2"/>
      <c r="I1618" s="2"/>
      <c r="J1618" s="2"/>
      <c r="K1618" s="2"/>
      <c r="L1618" s="2"/>
      <c r="M1618" s="2"/>
      <c r="N1618" s="2"/>
      <c r="O1618" s="2"/>
      <c r="P1618" s="2"/>
      <c r="Q1618" s="2"/>
      <c r="R1618" s="2"/>
      <c r="S1618" s="2"/>
      <c r="T1618" s="2"/>
      <c r="U1618" s="2"/>
      <c r="V1618" s="2"/>
      <c r="W1618" s="2" t="str">
        <f>IFERROR(__xludf.DUMMYFUNCTION("""COMPUTED_VALUE"""),"VL103D")</f>
        <v>VL103D</v>
      </c>
      <c r="X1618" s="2"/>
      <c r="Y1618" s="2"/>
      <c r="Z1618" s="2"/>
      <c r="AA1618" s="2"/>
      <c r="AB1618" s="2"/>
    </row>
    <row r="1619">
      <c r="A1619" s="2"/>
      <c r="B1619" s="2"/>
      <c r="C1619" s="2"/>
      <c r="D1619" s="2"/>
      <c r="E1619" s="2"/>
      <c r="F1619" s="2"/>
      <c r="G1619" s="2"/>
      <c r="H1619" s="2"/>
      <c r="I1619" s="2"/>
      <c r="J1619" s="2"/>
      <c r="K1619" s="2"/>
      <c r="L1619" s="2"/>
      <c r="M1619" s="2"/>
      <c r="N1619" s="2"/>
      <c r="O1619" s="2"/>
      <c r="P1619" s="2"/>
      <c r="Q1619" s="2"/>
      <c r="R1619" s="2"/>
      <c r="S1619" s="2"/>
      <c r="T1619" s="2"/>
      <c r="U1619" s="2"/>
      <c r="V1619" s="2"/>
      <c r="W1619" s="2" t="str">
        <f>IFERROR(__xludf.DUMMYFUNCTION("""COMPUTED_VALUE"""),"VL103D")</f>
        <v>VL103D</v>
      </c>
      <c r="X1619" s="2"/>
      <c r="Y1619" s="2"/>
      <c r="Z1619" s="2"/>
      <c r="AA1619" s="2"/>
      <c r="AB1619" s="2"/>
    </row>
    <row r="1620">
      <c r="A1620" s="2"/>
      <c r="B1620" s="2"/>
      <c r="C1620" s="2"/>
      <c r="D1620" s="2"/>
      <c r="E1620" s="2"/>
      <c r="F1620" s="2"/>
      <c r="G1620" s="2"/>
      <c r="H1620" s="2"/>
      <c r="I1620" s="2"/>
      <c r="J1620" s="2"/>
      <c r="K1620" s="2"/>
      <c r="L1620" s="2"/>
      <c r="M1620" s="2"/>
      <c r="N1620" s="2"/>
      <c r="O1620" s="2"/>
      <c r="P1620" s="2"/>
      <c r="Q1620" s="2"/>
      <c r="R1620" s="2"/>
      <c r="S1620" s="2"/>
      <c r="T1620" s="2"/>
      <c r="U1620" s="2"/>
      <c r="V1620" s="2"/>
      <c r="W1620" s="2" t="str">
        <f>IFERROR(__xludf.DUMMYFUNCTION("""COMPUTED_VALUE"""),"VL103D")</f>
        <v>VL103D</v>
      </c>
      <c r="X1620" s="2"/>
      <c r="Y1620" s="2"/>
      <c r="Z1620" s="2"/>
      <c r="AA1620" s="2"/>
      <c r="AB1620" s="2"/>
    </row>
    <row r="1621">
      <c r="A1621" s="2"/>
      <c r="B1621" s="2"/>
      <c r="C1621" s="2"/>
      <c r="D1621" s="2"/>
      <c r="E1621" s="2"/>
      <c r="F1621" s="2"/>
      <c r="G1621" s="2"/>
      <c r="H1621" s="2"/>
      <c r="I1621" s="2"/>
      <c r="J1621" s="2"/>
      <c r="K1621" s="2"/>
      <c r="L1621" s="2"/>
      <c r="M1621" s="2"/>
      <c r="N1621" s="2"/>
      <c r="O1621" s="2"/>
      <c r="P1621" s="2"/>
      <c r="Q1621" s="2"/>
      <c r="R1621" s="2"/>
      <c r="S1621" s="2"/>
      <c r="T1621" s="2"/>
      <c r="U1621" s="2"/>
      <c r="V1621" s="2"/>
      <c r="W1621" s="2" t="str">
        <f>IFERROR(__xludf.DUMMYFUNCTION("""COMPUTED_VALUE"""),"VL103D")</f>
        <v>VL103D</v>
      </c>
      <c r="X1621" s="2"/>
      <c r="Y1621" s="2"/>
      <c r="Z1621" s="2"/>
      <c r="AA1621" s="2"/>
      <c r="AB1621" s="2"/>
    </row>
    <row r="1622">
      <c r="A1622" s="2"/>
      <c r="B1622" s="2"/>
      <c r="C1622" s="2"/>
      <c r="D1622" s="2"/>
      <c r="E1622" s="2"/>
      <c r="F1622" s="2"/>
      <c r="G1622" s="2"/>
      <c r="H1622" s="2"/>
      <c r="I1622" s="2"/>
      <c r="J1622" s="2"/>
      <c r="K1622" s="2"/>
      <c r="L1622" s="2"/>
      <c r="M1622" s="2"/>
      <c r="N1622" s="2"/>
      <c r="O1622" s="2"/>
      <c r="P1622" s="2"/>
      <c r="Q1622" s="2"/>
      <c r="R1622" s="2"/>
      <c r="S1622" s="2"/>
      <c r="T1622" s="2"/>
      <c r="U1622" s="2"/>
      <c r="V1622" s="2"/>
      <c r="W1622" s="2" t="str">
        <f>IFERROR(__xludf.DUMMYFUNCTION("""COMPUTED_VALUE"""),"VL103D")</f>
        <v>VL103D</v>
      </c>
      <c r="X1622" s="2"/>
      <c r="Y1622" s="2"/>
      <c r="Z1622" s="2"/>
      <c r="AA1622" s="2"/>
      <c r="AB1622" s="2"/>
    </row>
    <row r="1623">
      <c r="A1623" s="2"/>
      <c r="B1623" s="2"/>
      <c r="C1623" s="2"/>
      <c r="D1623" s="2"/>
      <c r="E1623" s="2"/>
      <c r="F1623" s="2"/>
      <c r="G1623" s="2"/>
      <c r="H1623" s="2"/>
      <c r="I1623" s="2"/>
      <c r="J1623" s="2"/>
      <c r="K1623" s="2"/>
      <c r="L1623" s="2"/>
      <c r="M1623" s="2"/>
      <c r="N1623" s="2"/>
      <c r="O1623" s="2"/>
      <c r="P1623" s="2"/>
      <c r="Q1623" s="2"/>
      <c r="R1623" s="2"/>
      <c r="S1623" s="2"/>
      <c r="T1623" s="2"/>
      <c r="U1623" s="2"/>
      <c r="V1623" s="2"/>
      <c r="W1623" s="2" t="str">
        <f>IFERROR(__xludf.DUMMYFUNCTION("""COMPUTED_VALUE"""),"VL103D")</f>
        <v>VL103D</v>
      </c>
      <c r="X1623" s="2"/>
      <c r="Y1623" s="2"/>
      <c r="Z1623" s="2"/>
      <c r="AA1623" s="2"/>
      <c r="AB1623" s="2"/>
    </row>
    <row r="1624">
      <c r="A1624" s="2"/>
      <c r="B1624" s="2"/>
      <c r="C1624" s="2"/>
      <c r="D1624" s="2"/>
      <c r="E1624" s="2"/>
      <c r="F1624" s="2"/>
      <c r="G1624" s="2"/>
      <c r="H1624" s="2"/>
      <c r="I1624" s="2"/>
      <c r="J1624" s="2"/>
      <c r="K1624" s="2"/>
      <c r="L1624" s="2"/>
      <c r="M1624" s="2"/>
      <c r="N1624" s="2"/>
      <c r="O1624" s="2"/>
      <c r="P1624" s="2"/>
      <c r="Q1624" s="2"/>
      <c r="R1624" s="2"/>
      <c r="S1624" s="2"/>
      <c r="T1624" s="2"/>
      <c r="U1624" s="2"/>
      <c r="V1624" s="2"/>
      <c r="W1624" s="2" t="str">
        <f>IFERROR(__xludf.DUMMYFUNCTION("""COMPUTED_VALUE"""),"VL103D")</f>
        <v>VL103D</v>
      </c>
      <c r="X1624" s="2"/>
      <c r="Y1624" s="2"/>
      <c r="Z1624" s="2"/>
      <c r="AA1624" s="2"/>
      <c r="AB1624" s="2"/>
    </row>
    <row r="1625">
      <c r="A1625" s="2"/>
      <c r="B1625" s="2"/>
      <c r="C1625" s="2"/>
      <c r="D1625" s="2"/>
      <c r="E1625" s="2"/>
      <c r="F1625" s="2"/>
      <c r="G1625" s="2"/>
      <c r="H1625" s="2"/>
      <c r="I1625" s="2"/>
      <c r="J1625" s="2"/>
      <c r="K1625" s="2"/>
      <c r="L1625" s="2"/>
      <c r="M1625" s="2"/>
      <c r="N1625" s="2"/>
      <c r="O1625" s="2"/>
      <c r="P1625" s="2"/>
      <c r="Q1625" s="2"/>
      <c r="R1625" s="2"/>
      <c r="S1625" s="2"/>
      <c r="T1625" s="2"/>
      <c r="U1625" s="2"/>
      <c r="V1625" s="2"/>
      <c r="W1625" s="2" t="str">
        <f>IFERROR(__xludf.DUMMYFUNCTION("""COMPUTED_VALUE"""),"VL103D")</f>
        <v>VL103D</v>
      </c>
      <c r="X1625" s="2"/>
      <c r="Y1625" s="2"/>
      <c r="Z1625" s="2"/>
      <c r="AA1625" s="2"/>
      <c r="AB1625" s="2"/>
    </row>
    <row r="1626">
      <c r="A1626" s="2"/>
      <c r="B1626" s="2"/>
      <c r="C1626" s="2"/>
      <c r="D1626" s="2"/>
      <c r="E1626" s="2"/>
      <c r="F1626" s="2"/>
      <c r="G1626" s="2"/>
      <c r="H1626" s="2"/>
      <c r="I1626" s="2"/>
      <c r="J1626" s="2"/>
      <c r="K1626" s="2"/>
      <c r="L1626" s="2"/>
      <c r="M1626" s="2"/>
      <c r="N1626" s="2"/>
      <c r="O1626" s="2"/>
      <c r="P1626" s="2"/>
      <c r="Q1626" s="2"/>
      <c r="R1626" s="2"/>
      <c r="S1626" s="2"/>
      <c r="T1626" s="2"/>
      <c r="U1626" s="2"/>
      <c r="V1626" s="2"/>
      <c r="W1626" s="2" t="str">
        <f>IFERROR(__xludf.DUMMYFUNCTION("""COMPUTED_VALUE"""),"VL103D")</f>
        <v>VL103D</v>
      </c>
      <c r="X1626" s="2"/>
      <c r="Y1626" s="2"/>
      <c r="Z1626" s="2"/>
      <c r="AA1626" s="2"/>
      <c r="AB1626" s="2"/>
    </row>
    <row r="1627">
      <c r="A1627" s="2"/>
      <c r="B1627" s="2"/>
      <c r="C1627" s="2"/>
      <c r="D1627" s="2"/>
      <c r="E1627" s="2"/>
      <c r="F1627" s="2"/>
      <c r="G1627" s="2"/>
      <c r="H1627" s="2"/>
      <c r="I1627" s="2"/>
      <c r="J1627" s="2"/>
      <c r="K1627" s="2"/>
      <c r="L1627" s="2"/>
      <c r="M1627" s="2"/>
      <c r="N1627" s="2"/>
      <c r="O1627" s="2"/>
      <c r="P1627" s="2"/>
      <c r="Q1627" s="2"/>
      <c r="R1627" s="2"/>
      <c r="S1627" s="2"/>
      <c r="T1627" s="2"/>
      <c r="U1627" s="2"/>
      <c r="V1627" s="2"/>
      <c r="W1627" s="2" t="str">
        <f>IFERROR(__xludf.DUMMYFUNCTION("""COMPUTED_VALUE"""),"VL103D")</f>
        <v>VL103D</v>
      </c>
      <c r="X1627" s="2"/>
      <c r="Y1627" s="2"/>
      <c r="Z1627" s="2"/>
      <c r="AA1627" s="2"/>
      <c r="AB1627" s="2"/>
    </row>
    <row r="1628">
      <c r="A1628" s="2"/>
      <c r="B1628" s="2"/>
      <c r="C1628" s="2"/>
      <c r="D1628" s="2"/>
      <c r="E1628" s="2"/>
      <c r="F1628" s="2"/>
      <c r="G1628" s="2"/>
      <c r="H1628" s="2"/>
      <c r="I1628" s="2"/>
      <c r="J1628" s="2"/>
      <c r="K1628" s="2"/>
      <c r="L1628" s="2"/>
      <c r="M1628" s="2"/>
      <c r="N1628" s="2"/>
      <c r="O1628" s="2"/>
      <c r="P1628" s="2"/>
      <c r="Q1628" s="2"/>
      <c r="R1628" s="2"/>
      <c r="S1628" s="2"/>
      <c r="T1628" s="2"/>
      <c r="U1628" s="2"/>
      <c r="V1628" s="2"/>
      <c r="W1628" s="2" t="str">
        <f>IFERROR(__xludf.DUMMYFUNCTION("""COMPUTED_VALUE"""),"VL103D")</f>
        <v>VL103D</v>
      </c>
      <c r="X1628" s="2"/>
      <c r="Y1628" s="2"/>
      <c r="Z1628" s="2"/>
      <c r="AA1628" s="2"/>
      <c r="AB1628" s="2"/>
    </row>
    <row r="1629">
      <c r="A1629" s="2"/>
      <c r="B1629" s="2"/>
      <c r="C1629" s="2"/>
      <c r="D1629" s="2"/>
      <c r="E1629" s="2"/>
      <c r="F1629" s="2"/>
      <c r="G1629" s="2"/>
      <c r="H1629" s="2"/>
      <c r="I1629" s="2"/>
      <c r="J1629" s="2"/>
      <c r="K1629" s="2"/>
      <c r="L1629" s="2"/>
      <c r="M1629" s="2"/>
      <c r="N1629" s="2"/>
      <c r="O1629" s="2"/>
      <c r="P1629" s="2"/>
      <c r="Q1629" s="2"/>
      <c r="R1629" s="2"/>
      <c r="S1629" s="2"/>
      <c r="T1629" s="2"/>
      <c r="U1629" s="2"/>
      <c r="V1629" s="2"/>
      <c r="W1629" s="2" t="str">
        <f>IFERROR(__xludf.DUMMYFUNCTION("""COMPUTED_VALUE"""),"VL103D")</f>
        <v>VL103D</v>
      </c>
      <c r="X1629" s="2"/>
      <c r="Y1629" s="2"/>
      <c r="Z1629" s="2"/>
      <c r="AA1629" s="2"/>
      <c r="AB1629" s="2"/>
    </row>
    <row r="1630">
      <c r="A1630" s="2"/>
      <c r="B1630" s="2"/>
      <c r="C1630" s="2"/>
      <c r="D1630" s="2"/>
      <c r="E1630" s="2"/>
      <c r="F1630" s="2"/>
      <c r="G1630" s="2"/>
      <c r="H1630" s="2"/>
      <c r="I1630" s="2"/>
      <c r="J1630" s="2"/>
      <c r="K1630" s="2"/>
      <c r="L1630" s="2"/>
      <c r="M1630" s="2"/>
      <c r="N1630" s="2"/>
      <c r="O1630" s="2"/>
      <c r="P1630" s="2"/>
      <c r="Q1630" s="2"/>
      <c r="R1630" s="2"/>
      <c r="S1630" s="2"/>
      <c r="T1630" s="2"/>
      <c r="U1630" s="2"/>
      <c r="V1630" s="2"/>
      <c r="W1630" s="2" t="str">
        <f>IFERROR(__xludf.DUMMYFUNCTION("""COMPUTED_VALUE"""),"VL103D")</f>
        <v>VL103D</v>
      </c>
      <c r="X1630" s="2"/>
      <c r="Y1630" s="2"/>
      <c r="Z1630" s="2"/>
      <c r="AA1630" s="2"/>
      <c r="AB1630" s="2"/>
    </row>
    <row r="1631">
      <c r="A1631" s="2"/>
      <c r="B1631" s="2"/>
      <c r="C1631" s="2"/>
      <c r="D1631" s="2"/>
      <c r="E1631" s="2"/>
      <c r="F1631" s="2"/>
      <c r="G1631" s="2"/>
      <c r="H1631" s="2"/>
      <c r="I1631" s="2"/>
      <c r="J1631" s="2"/>
      <c r="K1631" s="2"/>
      <c r="L1631" s="2"/>
      <c r="M1631" s="2"/>
      <c r="N1631" s="2"/>
      <c r="O1631" s="2"/>
      <c r="P1631" s="2"/>
      <c r="Q1631" s="2"/>
      <c r="R1631" s="2"/>
      <c r="S1631" s="2"/>
      <c r="T1631" s="2"/>
      <c r="U1631" s="2"/>
      <c r="V1631" s="2"/>
      <c r="W1631" s="2" t="str">
        <f>IFERROR(__xludf.DUMMYFUNCTION("""COMPUTED_VALUE"""),"VL103D")</f>
        <v>VL103D</v>
      </c>
      <c r="X1631" s="2"/>
      <c r="Y1631" s="2"/>
      <c r="Z1631" s="2"/>
      <c r="AA1631" s="2"/>
      <c r="AB1631" s="2"/>
    </row>
    <row r="1632">
      <c r="A1632" s="2"/>
      <c r="B1632" s="2"/>
      <c r="C1632" s="2"/>
      <c r="D1632" s="2"/>
      <c r="E1632" s="2"/>
      <c r="F1632" s="2"/>
      <c r="G1632" s="2"/>
      <c r="H1632" s="2"/>
      <c r="I1632" s="2"/>
      <c r="J1632" s="2"/>
      <c r="K1632" s="2"/>
      <c r="L1632" s="2"/>
      <c r="M1632" s="2"/>
      <c r="N1632" s="2"/>
      <c r="O1632" s="2"/>
      <c r="P1632" s="2"/>
      <c r="Q1632" s="2"/>
      <c r="R1632" s="2"/>
      <c r="S1632" s="2"/>
      <c r="T1632" s="2"/>
      <c r="U1632" s="2"/>
      <c r="V1632" s="2"/>
      <c r="W1632" s="2" t="str">
        <f>IFERROR(__xludf.DUMMYFUNCTION("""COMPUTED_VALUE"""),"VL103D")</f>
        <v>VL103D</v>
      </c>
      <c r="X1632" s="2"/>
      <c r="Y1632" s="2"/>
      <c r="Z1632" s="2"/>
      <c r="AA1632" s="2"/>
      <c r="AB1632" s="2"/>
    </row>
    <row r="1633">
      <c r="A1633" s="2"/>
      <c r="B1633" s="2"/>
      <c r="C1633" s="2"/>
      <c r="D1633" s="2"/>
      <c r="E1633" s="2"/>
      <c r="F1633" s="2"/>
      <c r="G1633" s="2"/>
      <c r="H1633" s="2"/>
      <c r="I1633" s="2"/>
      <c r="J1633" s="2"/>
      <c r="K1633" s="2"/>
      <c r="L1633" s="2"/>
      <c r="M1633" s="2"/>
      <c r="N1633" s="2"/>
      <c r="O1633" s="2"/>
      <c r="P1633" s="2"/>
      <c r="Q1633" s="2"/>
      <c r="R1633" s="2"/>
      <c r="S1633" s="2"/>
      <c r="T1633" s="2"/>
      <c r="U1633" s="2"/>
      <c r="V1633" s="2"/>
      <c r="W1633" s="2" t="str">
        <f>IFERROR(__xludf.DUMMYFUNCTION("""COMPUTED_VALUE"""),"VL103D")</f>
        <v>VL103D</v>
      </c>
      <c r="X1633" s="2"/>
      <c r="Y1633" s="2"/>
      <c r="Z1633" s="2"/>
      <c r="AA1633" s="2"/>
      <c r="AB1633" s="2"/>
    </row>
    <row r="1634">
      <c r="A1634" s="2"/>
      <c r="B1634" s="2"/>
      <c r="C1634" s="2"/>
      <c r="D1634" s="2"/>
      <c r="E1634" s="2"/>
      <c r="F1634" s="2"/>
      <c r="G1634" s="2"/>
      <c r="H1634" s="2"/>
      <c r="I1634" s="2"/>
      <c r="J1634" s="2"/>
      <c r="K1634" s="2"/>
      <c r="L1634" s="2"/>
      <c r="M1634" s="2"/>
      <c r="N1634" s="2"/>
      <c r="O1634" s="2"/>
      <c r="P1634" s="2"/>
      <c r="Q1634" s="2"/>
      <c r="R1634" s="2"/>
      <c r="S1634" s="2"/>
      <c r="T1634" s="2"/>
      <c r="U1634" s="2"/>
      <c r="V1634" s="2"/>
      <c r="W1634" s="2" t="str">
        <f>IFERROR(__xludf.DUMMYFUNCTION("""COMPUTED_VALUE"""),"VL103D")</f>
        <v>VL103D</v>
      </c>
      <c r="X1634" s="2"/>
      <c r="Y1634" s="2"/>
      <c r="Z1634" s="2"/>
      <c r="AA1634" s="2"/>
      <c r="AB1634" s="2"/>
    </row>
    <row r="1635">
      <c r="A1635" s="2"/>
      <c r="B1635" s="2"/>
      <c r="C1635" s="2"/>
      <c r="D1635" s="2"/>
      <c r="E1635" s="2"/>
      <c r="F1635" s="2"/>
      <c r="G1635" s="2"/>
      <c r="H1635" s="2"/>
      <c r="I1635" s="2"/>
      <c r="J1635" s="2"/>
      <c r="K1635" s="2"/>
      <c r="L1635" s="2"/>
      <c r="M1635" s="2"/>
      <c r="N1635" s="2"/>
      <c r="O1635" s="2"/>
      <c r="P1635" s="2"/>
      <c r="Q1635" s="2"/>
      <c r="R1635" s="2"/>
      <c r="S1635" s="2"/>
      <c r="T1635" s="2"/>
      <c r="U1635" s="2"/>
      <c r="V1635" s="2"/>
      <c r="W1635" s="2" t="str">
        <f>IFERROR(__xludf.DUMMYFUNCTION("""COMPUTED_VALUE"""),"VL103D")</f>
        <v>VL103D</v>
      </c>
      <c r="X1635" s="2"/>
      <c r="Y1635" s="2"/>
      <c r="Z1635" s="2"/>
      <c r="AA1635" s="2"/>
      <c r="AB1635" s="2"/>
    </row>
    <row r="1636">
      <c r="A1636" s="2"/>
      <c r="B1636" s="2"/>
      <c r="C1636" s="2"/>
      <c r="D1636" s="2"/>
      <c r="E1636" s="2"/>
      <c r="F1636" s="2"/>
      <c r="G1636" s="2"/>
      <c r="H1636" s="2"/>
      <c r="I1636" s="2"/>
      <c r="J1636" s="2"/>
      <c r="K1636" s="2"/>
      <c r="L1636" s="2"/>
      <c r="M1636" s="2"/>
      <c r="N1636" s="2"/>
      <c r="O1636" s="2"/>
      <c r="P1636" s="2"/>
      <c r="Q1636" s="2"/>
      <c r="R1636" s="2"/>
      <c r="S1636" s="2"/>
      <c r="T1636" s="2"/>
      <c r="U1636" s="2"/>
      <c r="V1636" s="2"/>
      <c r="W1636" s="2" t="str">
        <f>IFERROR(__xludf.DUMMYFUNCTION("""COMPUTED_VALUE"""),"VL103D")</f>
        <v>VL103D</v>
      </c>
      <c r="X1636" s="2"/>
      <c r="Y1636" s="2"/>
      <c r="Z1636" s="2"/>
      <c r="AA1636" s="2"/>
      <c r="AB1636" s="2"/>
    </row>
    <row r="1637">
      <c r="A1637" s="2"/>
      <c r="B1637" s="2"/>
      <c r="C1637" s="2"/>
      <c r="D1637" s="2"/>
      <c r="E1637" s="2"/>
      <c r="F1637" s="2"/>
      <c r="G1637" s="2"/>
      <c r="H1637" s="2"/>
      <c r="I1637" s="2"/>
      <c r="J1637" s="2"/>
      <c r="K1637" s="2"/>
      <c r="L1637" s="2"/>
      <c r="M1637" s="2"/>
      <c r="N1637" s="2"/>
      <c r="O1637" s="2"/>
      <c r="P1637" s="2"/>
      <c r="Q1637" s="2"/>
      <c r="R1637" s="2"/>
      <c r="S1637" s="2"/>
      <c r="T1637" s="2"/>
      <c r="U1637" s="2"/>
      <c r="V1637" s="2"/>
      <c r="W1637" s="2" t="str">
        <f>IFERROR(__xludf.DUMMYFUNCTION("""COMPUTED_VALUE"""),"VL103D")</f>
        <v>VL103D</v>
      </c>
      <c r="X1637" s="2"/>
      <c r="Y1637" s="2"/>
      <c r="Z1637" s="2"/>
      <c r="AA1637" s="2"/>
      <c r="AB1637" s="2"/>
    </row>
    <row r="1638">
      <c r="A1638" s="2"/>
      <c r="B1638" s="2"/>
      <c r="C1638" s="2"/>
      <c r="D1638" s="2"/>
      <c r="E1638" s="2"/>
      <c r="F1638" s="2"/>
      <c r="G1638" s="2"/>
      <c r="H1638" s="2"/>
      <c r="I1638" s="2"/>
      <c r="J1638" s="2"/>
      <c r="K1638" s="2"/>
      <c r="L1638" s="2"/>
      <c r="M1638" s="2"/>
      <c r="N1638" s="2"/>
      <c r="O1638" s="2"/>
      <c r="P1638" s="2"/>
      <c r="Q1638" s="2"/>
      <c r="R1638" s="2"/>
      <c r="S1638" s="2"/>
      <c r="T1638" s="2"/>
      <c r="U1638" s="2"/>
      <c r="V1638" s="2"/>
      <c r="W1638" s="2" t="str">
        <f>IFERROR(__xludf.DUMMYFUNCTION("""COMPUTED_VALUE"""),"VL103D")</f>
        <v>VL103D</v>
      </c>
      <c r="X1638" s="2"/>
      <c r="Y1638" s="2"/>
      <c r="Z1638" s="2"/>
      <c r="AA1638" s="2"/>
      <c r="AB1638" s="2"/>
    </row>
    <row r="1639">
      <c r="A1639" s="2"/>
      <c r="B1639" s="2"/>
      <c r="C1639" s="2"/>
      <c r="D1639" s="2"/>
      <c r="E1639" s="2"/>
      <c r="F1639" s="2"/>
      <c r="G1639" s="2"/>
      <c r="H1639" s="2"/>
      <c r="I1639" s="2"/>
      <c r="J1639" s="2"/>
      <c r="K1639" s="2"/>
      <c r="L1639" s="2"/>
      <c r="M1639" s="2"/>
      <c r="N1639" s="2"/>
      <c r="O1639" s="2"/>
      <c r="P1639" s="2"/>
      <c r="Q1639" s="2"/>
      <c r="R1639" s="2"/>
      <c r="S1639" s="2"/>
      <c r="T1639" s="2"/>
      <c r="U1639" s="2"/>
      <c r="V1639" s="2"/>
      <c r="W1639" s="2" t="str">
        <f>IFERROR(__xludf.DUMMYFUNCTION("""COMPUTED_VALUE"""),"VL103D")</f>
        <v>VL103D</v>
      </c>
      <c r="X1639" s="2"/>
      <c r="Y1639" s="2"/>
      <c r="Z1639" s="2"/>
      <c r="AA1639" s="2"/>
      <c r="AB1639" s="2"/>
    </row>
    <row r="1640">
      <c r="A1640" s="2"/>
      <c r="B1640" s="2"/>
      <c r="C1640" s="2"/>
      <c r="D1640" s="2"/>
      <c r="E1640" s="2"/>
      <c r="F1640" s="2"/>
      <c r="G1640" s="2"/>
      <c r="H1640" s="2"/>
      <c r="I1640" s="2"/>
      <c r="J1640" s="2"/>
      <c r="K1640" s="2"/>
      <c r="L1640" s="2"/>
      <c r="M1640" s="2"/>
      <c r="N1640" s="2"/>
      <c r="O1640" s="2"/>
      <c r="P1640" s="2"/>
      <c r="Q1640" s="2"/>
      <c r="R1640" s="2"/>
      <c r="S1640" s="2"/>
      <c r="T1640" s="2"/>
      <c r="U1640" s="2"/>
      <c r="V1640" s="2"/>
      <c r="W1640" s="2" t="str">
        <f>IFERROR(__xludf.DUMMYFUNCTION("""COMPUTED_VALUE"""),"VL103D")</f>
        <v>VL103D</v>
      </c>
      <c r="X1640" s="2"/>
      <c r="Y1640" s="2"/>
      <c r="Z1640" s="2"/>
      <c r="AA1640" s="2"/>
      <c r="AB1640" s="2"/>
    </row>
    <row r="1641">
      <c r="A1641" s="2"/>
      <c r="B1641" s="2"/>
      <c r="C1641" s="2"/>
      <c r="D1641" s="2"/>
      <c r="E1641" s="2"/>
      <c r="F1641" s="2"/>
      <c r="G1641" s="2"/>
      <c r="H1641" s="2"/>
      <c r="I1641" s="2"/>
      <c r="J1641" s="2"/>
      <c r="K1641" s="2"/>
      <c r="L1641" s="2"/>
      <c r="M1641" s="2"/>
      <c r="N1641" s="2"/>
      <c r="O1641" s="2"/>
      <c r="P1641" s="2"/>
      <c r="Q1641" s="2"/>
      <c r="R1641" s="2"/>
      <c r="S1641" s="2"/>
      <c r="T1641" s="2"/>
      <c r="U1641" s="2"/>
      <c r="V1641" s="2"/>
      <c r="W1641" s="2" t="str">
        <f>IFERROR(__xludf.DUMMYFUNCTION("""COMPUTED_VALUE"""),"VL103D")</f>
        <v>VL103D</v>
      </c>
      <c r="X1641" s="2"/>
      <c r="Y1641" s="2"/>
      <c r="Z1641" s="2"/>
      <c r="AA1641" s="2"/>
      <c r="AB1641" s="2"/>
    </row>
    <row r="1642">
      <c r="A1642" s="2"/>
      <c r="B1642" s="2"/>
      <c r="C1642" s="2"/>
      <c r="D1642" s="2"/>
      <c r="E1642" s="2"/>
      <c r="F1642" s="2"/>
      <c r="G1642" s="2"/>
      <c r="H1642" s="2"/>
      <c r="I1642" s="2"/>
      <c r="J1642" s="2"/>
      <c r="K1642" s="2"/>
      <c r="L1642" s="2"/>
      <c r="M1642" s="2"/>
      <c r="N1642" s="2"/>
      <c r="O1642" s="2"/>
      <c r="P1642" s="2"/>
      <c r="Q1642" s="2"/>
      <c r="R1642" s="2"/>
      <c r="S1642" s="2"/>
      <c r="T1642" s="2"/>
      <c r="U1642" s="2"/>
      <c r="V1642" s="2"/>
      <c r="W1642" s="2" t="str">
        <f>IFERROR(__xludf.DUMMYFUNCTION("""COMPUTED_VALUE"""),"VL103D")</f>
        <v>VL103D</v>
      </c>
      <c r="X1642" s="2"/>
      <c r="Y1642" s="2"/>
      <c r="Z1642" s="2"/>
      <c r="AA1642" s="2"/>
      <c r="AB1642" s="2"/>
    </row>
    <row r="1643">
      <c r="A1643" s="2"/>
      <c r="B1643" s="2"/>
      <c r="C1643" s="2"/>
      <c r="D1643" s="2"/>
      <c r="E1643" s="2"/>
      <c r="F1643" s="2"/>
      <c r="G1643" s="2"/>
      <c r="H1643" s="2"/>
      <c r="I1643" s="2"/>
      <c r="J1643" s="2"/>
      <c r="K1643" s="2"/>
      <c r="L1643" s="2"/>
      <c r="M1643" s="2"/>
      <c r="N1643" s="2"/>
      <c r="O1643" s="2"/>
      <c r="P1643" s="2"/>
      <c r="Q1643" s="2"/>
      <c r="R1643" s="2"/>
      <c r="S1643" s="2"/>
      <c r="T1643" s="2"/>
      <c r="U1643" s="2"/>
      <c r="V1643" s="2"/>
      <c r="W1643" s="2" t="str">
        <f>IFERROR(__xludf.DUMMYFUNCTION("""COMPUTED_VALUE"""),"VL103D")</f>
        <v>VL103D</v>
      </c>
      <c r="X1643" s="2"/>
      <c r="Y1643" s="2"/>
      <c r="Z1643" s="2"/>
      <c r="AA1643" s="2"/>
      <c r="AB1643" s="2"/>
    </row>
    <row r="1644">
      <c r="A1644" s="2"/>
      <c r="B1644" s="2"/>
      <c r="C1644" s="2"/>
      <c r="D1644" s="2"/>
      <c r="E1644" s="2"/>
      <c r="F1644" s="2"/>
      <c r="G1644" s="2"/>
      <c r="H1644" s="2"/>
      <c r="I1644" s="2"/>
      <c r="J1644" s="2"/>
      <c r="K1644" s="2"/>
      <c r="L1644" s="2"/>
      <c r="M1644" s="2"/>
      <c r="N1644" s="2"/>
      <c r="O1644" s="2"/>
      <c r="P1644" s="2"/>
      <c r="Q1644" s="2"/>
      <c r="R1644" s="2"/>
      <c r="S1644" s="2"/>
      <c r="T1644" s="2"/>
      <c r="U1644" s="2"/>
      <c r="V1644" s="2"/>
      <c r="W1644" s="2" t="str">
        <f>IFERROR(__xludf.DUMMYFUNCTION("""COMPUTED_VALUE"""),"VL103D")</f>
        <v>VL103D</v>
      </c>
      <c r="X1644" s="2"/>
      <c r="Y1644" s="2"/>
      <c r="Z1644" s="2"/>
      <c r="AA1644" s="2"/>
      <c r="AB1644" s="2"/>
    </row>
    <row r="1645">
      <c r="A1645" s="2"/>
      <c r="B1645" s="2"/>
      <c r="C1645" s="2"/>
      <c r="D1645" s="2"/>
      <c r="E1645" s="2"/>
      <c r="F1645" s="2"/>
      <c r="G1645" s="2"/>
      <c r="H1645" s="2"/>
      <c r="I1645" s="2"/>
      <c r="J1645" s="2"/>
      <c r="K1645" s="2"/>
      <c r="L1645" s="2"/>
      <c r="M1645" s="2"/>
      <c r="N1645" s="2"/>
      <c r="O1645" s="2"/>
      <c r="P1645" s="2"/>
      <c r="Q1645" s="2"/>
      <c r="R1645" s="2"/>
      <c r="S1645" s="2"/>
      <c r="T1645" s="2"/>
      <c r="U1645" s="2"/>
      <c r="V1645" s="2"/>
      <c r="W1645" s="2" t="str">
        <f>IFERROR(__xludf.DUMMYFUNCTION("""COMPUTED_VALUE"""),"VL103D")</f>
        <v>VL103D</v>
      </c>
      <c r="X1645" s="2"/>
      <c r="Y1645" s="2"/>
      <c r="Z1645" s="2"/>
      <c r="AA1645" s="2"/>
      <c r="AB1645" s="2"/>
    </row>
    <row r="1646">
      <c r="A1646" s="2"/>
      <c r="B1646" s="2"/>
      <c r="C1646" s="2"/>
      <c r="D1646" s="2"/>
      <c r="E1646" s="2"/>
      <c r="F1646" s="2"/>
      <c r="G1646" s="2"/>
      <c r="H1646" s="2"/>
      <c r="I1646" s="2"/>
      <c r="J1646" s="2"/>
      <c r="K1646" s="2"/>
      <c r="L1646" s="2"/>
      <c r="M1646" s="2"/>
      <c r="N1646" s="2"/>
      <c r="O1646" s="2"/>
      <c r="P1646" s="2"/>
      <c r="Q1646" s="2"/>
      <c r="R1646" s="2"/>
      <c r="S1646" s="2"/>
      <c r="T1646" s="2"/>
      <c r="U1646" s="2"/>
      <c r="V1646" s="2"/>
      <c r="W1646" s="2" t="str">
        <f>IFERROR(__xludf.DUMMYFUNCTION("""COMPUTED_VALUE"""),"VL103D")</f>
        <v>VL103D</v>
      </c>
      <c r="X1646" s="2"/>
      <c r="Y1646" s="2"/>
      <c r="Z1646" s="2"/>
      <c r="AA1646" s="2"/>
      <c r="AB1646" s="2"/>
    </row>
    <row r="1647">
      <c r="A1647" s="2"/>
      <c r="B1647" s="2"/>
      <c r="C1647" s="2"/>
      <c r="D1647" s="2"/>
      <c r="E1647" s="2"/>
      <c r="F1647" s="2"/>
      <c r="G1647" s="2"/>
      <c r="H1647" s="2"/>
      <c r="I1647" s="2"/>
      <c r="J1647" s="2"/>
      <c r="K1647" s="2"/>
      <c r="L1647" s="2"/>
      <c r="M1647" s="2"/>
      <c r="N1647" s="2"/>
      <c r="O1647" s="2"/>
      <c r="P1647" s="2"/>
      <c r="Q1647" s="2"/>
      <c r="R1647" s="2"/>
      <c r="S1647" s="2"/>
      <c r="T1647" s="2"/>
      <c r="U1647" s="2"/>
      <c r="V1647" s="2"/>
      <c r="W1647" s="2" t="str">
        <f>IFERROR(__xludf.DUMMYFUNCTION("""COMPUTED_VALUE"""),"VL103D")</f>
        <v>VL103D</v>
      </c>
      <c r="X1647" s="2"/>
      <c r="Y1647" s="2"/>
      <c r="Z1647" s="2"/>
      <c r="AA1647" s="2"/>
      <c r="AB1647" s="2"/>
    </row>
    <row r="1648">
      <c r="A1648" s="2"/>
      <c r="B1648" s="2"/>
      <c r="C1648" s="2"/>
      <c r="D1648" s="2"/>
      <c r="E1648" s="2"/>
      <c r="F1648" s="2"/>
      <c r="G1648" s="2"/>
      <c r="H1648" s="2"/>
      <c r="I1648" s="2"/>
      <c r="J1648" s="2"/>
      <c r="K1648" s="2"/>
      <c r="L1648" s="2"/>
      <c r="M1648" s="2"/>
      <c r="N1648" s="2"/>
      <c r="O1648" s="2"/>
      <c r="P1648" s="2"/>
      <c r="Q1648" s="2"/>
      <c r="R1648" s="2"/>
      <c r="S1648" s="2"/>
      <c r="T1648" s="2"/>
      <c r="U1648" s="2"/>
      <c r="V1648" s="2"/>
      <c r="W1648" s="2" t="str">
        <f>IFERROR(__xludf.DUMMYFUNCTION("""COMPUTED_VALUE"""),"VL103D")</f>
        <v>VL103D</v>
      </c>
      <c r="X1648" s="2"/>
      <c r="Y1648" s="2"/>
      <c r="Z1648" s="2"/>
      <c r="AA1648" s="2"/>
      <c r="AB1648" s="2"/>
    </row>
    <row r="1649">
      <c r="A1649" s="2"/>
      <c r="B1649" s="2"/>
      <c r="C1649" s="2"/>
      <c r="D1649" s="2"/>
      <c r="E1649" s="2"/>
      <c r="F1649" s="2"/>
      <c r="G1649" s="2"/>
      <c r="H1649" s="2"/>
      <c r="I1649" s="2"/>
      <c r="J1649" s="2"/>
      <c r="K1649" s="2"/>
      <c r="L1649" s="2"/>
      <c r="M1649" s="2"/>
      <c r="N1649" s="2"/>
      <c r="O1649" s="2"/>
      <c r="P1649" s="2"/>
      <c r="Q1649" s="2"/>
      <c r="R1649" s="2"/>
      <c r="S1649" s="2"/>
      <c r="T1649" s="2"/>
      <c r="U1649" s="2"/>
      <c r="V1649" s="2"/>
      <c r="W1649" s="2" t="str">
        <f>IFERROR(__xludf.DUMMYFUNCTION("""COMPUTED_VALUE"""),"VL103D")</f>
        <v>VL103D</v>
      </c>
      <c r="X1649" s="2"/>
      <c r="Y1649" s="2"/>
      <c r="Z1649" s="2"/>
      <c r="AA1649" s="2"/>
      <c r="AB1649" s="2"/>
    </row>
    <row r="1650">
      <c r="A1650" s="2"/>
      <c r="B1650" s="2"/>
      <c r="C1650" s="2"/>
      <c r="D1650" s="2"/>
      <c r="E1650" s="2"/>
      <c r="F1650" s="2"/>
      <c r="G1650" s="2"/>
      <c r="H1650" s="2"/>
      <c r="I1650" s="2"/>
      <c r="J1650" s="2"/>
      <c r="K1650" s="2"/>
      <c r="L1650" s="2"/>
      <c r="M1650" s="2"/>
      <c r="N1650" s="2"/>
      <c r="O1650" s="2"/>
      <c r="P1650" s="2"/>
      <c r="Q1650" s="2"/>
      <c r="R1650" s="2"/>
      <c r="S1650" s="2"/>
      <c r="T1650" s="2"/>
      <c r="U1650" s="2"/>
      <c r="V1650" s="2"/>
      <c r="W1650" s="2" t="str">
        <f>IFERROR(__xludf.DUMMYFUNCTION("""COMPUTED_VALUE"""),"VL103D")</f>
        <v>VL103D</v>
      </c>
      <c r="X1650" s="2"/>
      <c r="Y1650" s="2"/>
      <c r="Z1650" s="2"/>
      <c r="AA1650" s="2"/>
      <c r="AB1650" s="2"/>
    </row>
    <row r="1651">
      <c r="A1651" s="2"/>
      <c r="B1651" s="2"/>
      <c r="C1651" s="2"/>
      <c r="D1651" s="2"/>
      <c r="E1651" s="2"/>
      <c r="F1651" s="2"/>
      <c r="G1651" s="2"/>
      <c r="H1651" s="2"/>
      <c r="I1651" s="2"/>
      <c r="J1651" s="2"/>
      <c r="K1651" s="2"/>
      <c r="L1651" s="2"/>
      <c r="M1651" s="2"/>
      <c r="N1651" s="2"/>
      <c r="O1651" s="2"/>
      <c r="P1651" s="2"/>
      <c r="Q1651" s="2"/>
      <c r="R1651" s="2"/>
      <c r="S1651" s="2"/>
      <c r="T1651" s="2"/>
      <c r="U1651" s="2"/>
      <c r="V1651" s="2"/>
      <c r="W1651" s="2" t="str">
        <f>IFERROR(__xludf.DUMMYFUNCTION("""COMPUTED_VALUE"""),"VL103D")</f>
        <v>VL103D</v>
      </c>
      <c r="X1651" s="2"/>
      <c r="Y1651" s="2"/>
      <c r="Z1651" s="2"/>
      <c r="AA1651" s="2"/>
      <c r="AB1651" s="2"/>
    </row>
    <row r="1652">
      <c r="A1652" s="2"/>
      <c r="B1652" s="2"/>
      <c r="C1652" s="2"/>
      <c r="D1652" s="2"/>
      <c r="E1652" s="2"/>
      <c r="F1652" s="2"/>
      <c r="G1652" s="2"/>
      <c r="H1652" s="2"/>
      <c r="I1652" s="2"/>
      <c r="J1652" s="2"/>
      <c r="K1652" s="2"/>
      <c r="L1652" s="2"/>
      <c r="M1652" s="2"/>
      <c r="N1652" s="2"/>
      <c r="O1652" s="2"/>
      <c r="P1652" s="2"/>
      <c r="Q1652" s="2"/>
      <c r="R1652" s="2"/>
      <c r="S1652" s="2"/>
      <c r="T1652" s="2"/>
      <c r="U1652" s="2"/>
      <c r="V1652" s="2"/>
      <c r="W1652" s="2" t="str">
        <f>IFERROR(__xludf.DUMMYFUNCTION("""COMPUTED_VALUE"""),"VL103D")</f>
        <v>VL103D</v>
      </c>
      <c r="X1652" s="2"/>
      <c r="Y1652" s="2"/>
      <c r="Z1652" s="2"/>
      <c r="AA1652" s="2"/>
      <c r="AB1652" s="2"/>
    </row>
    <row r="1653">
      <c r="A1653" s="2"/>
      <c r="B1653" s="2"/>
      <c r="C1653" s="2"/>
      <c r="D1653" s="2"/>
      <c r="E1653" s="2"/>
      <c r="F1653" s="2"/>
      <c r="G1653" s="2"/>
      <c r="H1653" s="2"/>
      <c r="I1653" s="2"/>
      <c r="J1653" s="2"/>
      <c r="K1653" s="2"/>
      <c r="L1653" s="2"/>
      <c r="M1653" s="2"/>
      <c r="N1653" s="2"/>
      <c r="O1653" s="2"/>
      <c r="P1653" s="2"/>
      <c r="Q1653" s="2"/>
      <c r="R1653" s="2"/>
      <c r="S1653" s="2"/>
      <c r="T1653" s="2"/>
      <c r="U1653" s="2"/>
      <c r="V1653" s="2"/>
      <c r="W1653" s="2" t="str">
        <f>IFERROR(__xludf.DUMMYFUNCTION("""COMPUTED_VALUE"""),"VL103D")</f>
        <v>VL103D</v>
      </c>
      <c r="X1653" s="2"/>
      <c r="Y1653" s="2"/>
      <c r="Z1653" s="2"/>
      <c r="AA1653" s="2"/>
      <c r="AB1653" s="2"/>
    </row>
    <row r="1654">
      <c r="A1654" s="2"/>
      <c r="B1654" s="2"/>
      <c r="C1654" s="2"/>
      <c r="D1654" s="2"/>
      <c r="E1654" s="2"/>
      <c r="F1654" s="2"/>
      <c r="G1654" s="2"/>
      <c r="H1654" s="2"/>
      <c r="I1654" s="2"/>
      <c r="J1654" s="2"/>
      <c r="K1654" s="2"/>
      <c r="L1654" s="2"/>
      <c r="M1654" s="2"/>
      <c r="N1654" s="2"/>
      <c r="O1654" s="2"/>
      <c r="P1654" s="2"/>
      <c r="Q1654" s="2"/>
      <c r="R1654" s="2"/>
      <c r="S1654" s="2"/>
      <c r="T1654" s="2"/>
      <c r="U1654" s="2"/>
      <c r="V1654" s="2"/>
      <c r="W1654" s="2" t="str">
        <f>IFERROR(__xludf.DUMMYFUNCTION("""COMPUTED_VALUE"""),"VL103D")</f>
        <v>VL103D</v>
      </c>
      <c r="X1654" s="2"/>
      <c r="Y1654" s="2"/>
      <c r="Z1654" s="2"/>
      <c r="AA1654" s="2"/>
      <c r="AB1654" s="2"/>
    </row>
    <row r="1655">
      <c r="A1655" s="2"/>
      <c r="B1655" s="2"/>
      <c r="C1655" s="2"/>
      <c r="D1655" s="2"/>
      <c r="E1655" s="2"/>
      <c r="F1655" s="2"/>
      <c r="G1655" s="2"/>
      <c r="H1655" s="2"/>
      <c r="I1655" s="2"/>
      <c r="J1655" s="2"/>
      <c r="K1655" s="2"/>
      <c r="L1655" s="2"/>
      <c r="M1655" s="2"/>
      <c r="N1655" s="2"/>
      <c r="O1655" s="2"/>
      <c r="P1655" s="2"/>
      <c r="Q1655" s="2"/>
      <c r="R1655" s="2"/>
      <c r="S1655" s="2"/>
      <c r="T1655" s="2"/>
      <c r="U1655" s="2"/>
      <c r="V1655" s="2"/>
      <c r="W1655" s="2" t="str">
        <f>IFERROR(__xludf.DUMMYFUNCTION("""COMPUTED_VALUE"""),"VL103D")</f>
        <v>VL103D</v>
      </c>
      <c r="X1655" s="2"/>
      <c r="Y1655" s="2"/>
      <c r="Z1655" s="2"/>
      <c r="AA1655" s="2"/>
      <c r="AB1655" s="2"/>
    </row>
    <row r="1656">
      <c r="A1656" s="2"/>
      <c r="B1656" s="2"/>
      <c r="C1656" s="2"/>
      <c r="D1656" s="2"/>
      <c r="E1656" s="2"/>
      <c r="F1656" s="2"/>
      <c r="G1656" s="2"/>
      <c r="H1656" s="2"/>
      <c r="I1656" s="2"/>
      <c r="J1656" s="2"/>
      <c r="K1656" s="2"/>
      <c r="L1656" s="2"/>
      <c r="M1656" s="2"/>
      <c r="N1656" s="2"/>
      <c r="O1656" s="2"/>
      <c r="P1656" s="2"/>
      <c r="Q1656" s="2"/>
      <c r="R1656" s="2"/>
      <c r="S1656" s="2"/>
      <c r="T1656" s="2"/>
      <c r="U1656" s="2"/>
      <c r="V1656" s="2"/>
      <c r="W1656" s="2" t="str">
        <f>IFERROR(__xludf.DUMMYFUNCTION("""COMPUTED_VALUE"""),"VL103D")</f>
        <v>VL103D</v>
      </c>
      <c r="X1656" s="2"/>
      <c r="Y1656" s="2"/>
      <c r="Z1656" s="2"/>
      <c r="AA1656" s="2"/>
      <c r="AB1656" s="2"/>
    </row>
    <row r="1657">
      <c r="A1657" s="2"/>
      <c r="B1657" s="2"/>
      <c r="C1657" s="2"/>
      <c r="D1657" s="2"/>
      <c r="E1657" s="2"/>
      <c r="F1657" s="2"/>
      <c r="G1657" s="2"/>
      <c r="H1657" s="2"/>
      <c r="I1657" s="2"/>
      <c r="J1657" s="2"/>
      <c r="K1657" s="2"/>
      <c r="L1657" s="2"/>
      <c r="M1657" s="2"/>
      <c r="N1657" s="2"/>
      <c r="O1657" s="2"/>
      <c r="P1657" s="2"/>
      <c r="Q1657" s="2"/>
      <c r="R1657" s="2"/>
      <c r="S1657" s="2"/>
      <c r="T1657" s="2"/>
      <c r="U1657" s="2"/>
      <c r="V1657" s="2"/>
      <c r="W1657" s="2" t="str">
        <f>IFERROR(__xludf.DUMMYFUNCTION("""COMPUTED_VALUE"""),"VL103D")</f>
        <v>VL103D</v>
      </c>
      <c r="X1657" s="2"/>
      <c r="Y1657" s="2"/>
      <c r="Z1657" s="2"/>
      <c r="AA1657" s="2"/>
      <c r="AB1657" s="2"/>
    </row>
    <row r="1658">
      <c r="A1658" s="2"/>
      <c r="B1658" s="2"/>
      <c r="C1658" s="2"/>
      <c r="D1658" s="2"/>
      <c r="E1658" s="2"/>
      <c r="F1658" s="2"/>
      <c r="G1658" s="2"/>
      <c r="H1658" s="2"/>
      <c r="I1658" s="2"/>
      <c r="J1658" s="2"/>
      <c r="K1658" s="2"/>
      <c r="L1658" s="2"/>
      <c r="M1658" s="2"/>
      <c r="N1658" s="2"/>
      <c r="O1658" s="2"/>
      <c r="P1658" s="2"/>
      <c r="Q1658" s="2"/>
      <c r="R1658" s="2"/>
      <c r="S1658" s="2"/>
      <c r="T1658" s="2"/>
      <c r="U1658" s="2"/>
      <c r="V1658" s="2"/>
      <c r="W1658" s="2" t="str">
        <f>IFERROR(__xludf.DUMMYFUNCTION("""COMPUTED_VALUE"""),"VL103D")</f>
        <v>VL103D</v>
      </c>
      <c r="X1658" s="2"/>
      <c r="Y1658" s="2"/>
      <c r="Z1658" s="2"/>
      <c r="AA1658" s="2"/>
      <c r="AB1658" s="2"/>
    </row>
    <row r="1659">
      <c r="A1659" s="2"/>
      <c r="B1659" s="2"/>
      <c r="C1659" s="2"/>
      <c r="D1659" s="2"/>
      <c r="E1659" s="2"/>
      <c r="F1659" s="2"/>
      <c r="G1659" s="2"/>
      <c r="H1659" s="2"/>
      <c r="I1659" s="2"/>
      <c r="J1659" s="2"/>
      <c r="K1659" s="2"/>
      <c r="L1659" s="2"/>
      <c r="M1659" s="2"/>
      <c r="N1659" s="2"/>
      <c r="O1659" s="2"/>
      <c r="P1659" s="2"/>
      <c r="Q1659" s="2"/>
      <c r="R1659" s="2"/>
      <c r="S1659" s="2"/>
      <c r="T1659" s="2"/>
      <c r="U1659" s="2"/>
      <c r="V1659" s="2"/>
      <c r="W1659" s="2" t="str">
        <f>IFERROR(__xludf.DUMMYFUNCTION("""COMPUTED_VALUE"""),"VL103D")</f>
        <v>VL103D</v>
      </c>
      <c r="X1659" s="2"/>
      <c r="Y1659" s="2"/>
      <c r="Z1659" s="2"/>
      <c r="AA1659" s="2"/>
      <c r="AB1659" s="2"/>
    </row>
    <row r="1660">
      <c r="A1660" s="2"/>
      <c r="B1660" s="2"/>
      <c r="C1660" s="2"/>
      <c r="D1660" s="2"/>
      <c r="E1660" s="2"/>
      <c r="F1660" s="2"/>
      <c r="G1660" s="2"/>
      <c r="H1660" s="2"/>
      <c r="I1660" s="2"/>
      <c r="J1660" s="2"/>
      <c r="K1660" s="2"/>
      <c r="L1660" s="2"/>
      <c r="M1660" s="2"/>
      <c r="N1660" s="2"/>
      <c r="O1660" s="2"/>
      <c r="P1660" s="2"/>
      <c r="Q1660" s="2"/>
      <c r="R1660" s="2"/>
      <c r="S1660" s="2"/>
      <c r="T1660" s="2"/>
      <c r="U1660" s="2"/>
      <c r="V1660" s="2"/>
      <c r="W1660" s="2" t="str">
        <f>IFERROR(__xludf.DUMMYFUNCTION("""COMPUTED_VALUE"""),"VL103D")</f>
        <v>VL103D</v>
      </c>
      <c r="X1660" s="2"/>
      <c r="Y1660" s="2"/>
      <c r="Z1660" s="2"/>
      <c r="AA1660" s="2"/>
      <c r="AB1660" s="2"/>
    </row>
    <row r="1661">
      <c r="A1661" s="2"/>
      <c r="B1661" s="2"/>
      <c r="C1661" s="2"/>
      <c r="D1661" s="2"/>
      <c r="E1661" s="2"/>
      <c r="F1661" s="2"/>
      <c r="G1661" s="2"/>
      <c r="H1661" s="2"/>
      <c r="I1661" s="2"/>
      <c r="J1661" s="2"/>
      <c r="K1661" s="2"/>
      <c r="L1661" s="2"/>
      <c r="M1661" s="2"/>
      <c r="N1661" s="2"/>
      <c r="O1661" s="2"/>
      <c r="P1661" s="2"/>
      <c r="Q1661" s="2"/>
      <c r="R1661" s="2"/>
      <c r="S1661" s="2"/>
      <c r="T1661" s="2"/>
      <c r="U1661" s="2"/>
      <c r="V1661" s="2"/>
      <c r="W1661" s="2" t="str">
        <f>IFERROR(__xludf.DUMMYFUNCTION("""COMPUTED_VALUE"""),"VL103D")</f>
        <v>VL103D</v>
      </c>
      <c r="X1661" s="2"/>
      <c r="Y1661" s="2"/>
      <c r="Z1661" s="2"/>
      <c r="AA1661" s="2"/>
      <c r="AB1661" s="2"/>
    </row>
    <row r="1662">
      <c r="A1662" s="2"/>
      <c r="B1662" s="2"/>
      <c r="C1662" s="2"/>
      <c r="D1662" s="2"/>
      <c r="E1662" s="2"/>
      <c r="F1662" s="2"/>
      <c r="G1662" s="2"/>
      <c r="H1662" s="2"/>
      <c r="I1662" s="2"/>
      <c r="J1662" s="2"/>
      <c r="K1662" s="2"/>
      <c r="L1662" s="2"/>
      <c r="M1662" s="2"/>
      <c r="N1662" s="2"/>
      <c r="O1662" s="2"/>
      <c r="P1662" s="2"/>
      <c r="Q1662" s="2"/>
      <c r="R1662" s="2"/>
      <c r="S1662" s="2"/>
      <c r="T1662" s="2"/>
      <c r="U1662" s="2"/>
      <c r="V1662" s="2"/>
      <c r="W1662" s="2" t="str">
        <f>IFERROR(__xludf.DUMMYFUNCTION("""COMPUTED_VALUE"""),"VL103D")</f>
        <v>VL103D</v>
      </c>
      <c r="X1662" s="2"/>
      <c r="Y1662" s="2"/>
      <c r="Z1662" s="2"/>
      <c r="AA1662" s="2"/>
      <c r="AB1662" s="2"/>
    </row>
    <row r="1663">
      <c r="A1663" s="2"/>
      <c r="B1663" s="2"/>
      <c r="C1663" s="2"/>
      <c r="D1663" s="2"/>
      <c r="E1663" s="2"/>
      <c r="F1663" s="2"/>
      <c r="G1663" s="2"/>
      <c r="H1663" s="2"/>
      <c r="I1663" s="2"/>
      <c r="J1663" s="2"/>
      <c r="K1663" s="2"/>
      <c r="L1663" s="2"/>
      <c r="M1663" s="2"/>
      <c r="N1663" s="2"/>
      <c r="O1663" s="2"/>
      <c r="P1663" s="2"/>
      <c r="Q1663" s="2"/>
      <c r="R1663" s="2"/>
      <c r="S1663" s="2"/>
      <c r="T1663" s="2"/>
      <c r="U1663" s="2"/>
      <c r="V1663" s="2"/>
      <c r="W1663" s="2" t="str">
        <f>IFERROR(__xludf.DUMMYFUNCTION("""COMPUTED_VALUE"""),"VL103D")</f>
        <v>VL103D</v>
      </c>
      <c r="X1663" s="2"/>
      <c r="Y1663" s="2"/>
      <c r="Z1663" s="2"/>
      <c r="AA1663" s="2"/>
      <c r="AB1663" s="2"/>
    </row>
    <row r="1664">
      <c r="A1664" s="2"/>
      <c r="B1664" s="2"/>
      <c r="C1664" s="2"/>
      <c r="D1664" s="2"/>
      <c r="E1664" s="2"/>
      <c r="F1664" s="2"/>
      <c r="G1664" s="2"/>
      <c r="H1664" s="2"/>
      <c r="I1664" s="2"/>
      <c r="J1664" s="2"/>
      <c r="K1664" s="2"/>
      <c r="L1664" s="2"/>
      <c r="M1664" s="2"/>
      <c r="N1664" s="2"/>
      <c r="O1664" s="2"/>
      <c r="P1664" s="2"/>
      <c r="Q1664" s="2"/>
      <c r="R1664" s="2"/>
      <c r="S1664" s="2"/>
      <c r="T1664" s="2"/>
      <c r="U1664" s="2"/>
      <c r="V1664" s="2"/>
      <c r="W1664" s="2" t="str">
        <f>IFERROR(__xludf.DUMMYFUNCTION("""COMPUTED_VALUE"""),"VL103D")</f>
        <v>VL103D</v>
      </c>
      <c r="X1664" s="2"/>
      <c r="Y1664" s="2"/>
      <c r="Z1664" s="2"/>
      <c r="AA1664" s="2"/>
      <c r="AB1664" s="2"/>
    </row>
    <row r="1665">
      <c r="A1665" s="2"/>
      <c r="B1665" s="2"/>
      <c r="C1665" s="2"/>
      <c r="D1665" s="2"/>
      <c r="E1665" s="2"/>
      <c r="F1665" s="2"/>
      <c r="G1665" s="2"/>
      <c r="H1665" s="2"/>
      <c r="I1665" s="2"/>
      <c r="J1665" s="2"/>
      <c r="K1665" s="2"/>
      <c r="L1665" s="2"/>
      <c r="M1665" s="2"/>
      <c r="N1665" s="2"/>
      <c r="O1665" s="2"/>
      <c r="P1665" s="2"/>
      <c r="Q1665" s="2"/>
      <c r="R1665" s="2"/>
      <c r="S1665" s="2"/>
      <c r="T1665" s="2"/>
      <c r="U1665" s="2"/>
      <c r="V1665" s="2"/>
      <c r="W1665" s="2" t="str">
        <f>IFERROR(__xludf.DUMMYFUNCTION("""COMPUTED_VALUE"""),"VL103D")</f>
        <v>VL103D</v>
      </c>
      <c r="X1665" s="2"/>
      <c r="Y1665" s="2"/>
      <c r="Z1665" s="2"/>
      <c r="AA1665" s="2"/>
      <c r="AB1665" s="2"/>
    </row>
    <row r="1666">
      <c r="A1666" s="2"/>
      <c r="B1666" s="2"/>
      <c r="C1666" s="2"/>
      <c r="D1666" s="2"/>
      <c r="E1666" s="2"/>
      <c r="F1666" s="2"/>
      <c r="G1666" s="2"/>
      <c r="H1666" s="2"/>
      <c r="I1666" s="2"/>
      <c r="J1666" s="2"/>
      <c r="K1666" s="2"/>
      <c r="L1666" s="2"/>
      <c r="M1666" s="2"/>
      <c r="N1666" s="2"/>
      <c r="O1666" s="2"/>
      <c r="P1666" s="2"/>
      <c r="Q1666" s="2"/>
      <c r="R1666" s="2"/>
      <c r="S1666" s="2"/>
      <c r="T1666" s="2"/>
      <c r="U1666" s="2"/>
      <c r="V1666" s="2"/>
      <c r="W1666" s="2" t="str">
        <f>IFERROR(__xludf.DUMMYFUNCTION("""COMPUTED_VALUE"""),"VL103D")</f>
        <v>VL103D</v>
      </c>
      <c r="X1666" s="2"/>
      <c r="Y1666" s="2"/>
      <c r="Z1666" s="2"/>
      <c r="AA1666" s="2"/>
      <c r="AB1666" s="2"/>
    </row>
    <row r="1667">
      <c r="A1667" s="2"/>
      <c r="B1667" s="2"/>
      <c r="C1667" s="2"/>
      <c r="D1667" s="2"/>
      <c r="E1667" s="2"/>
      <c r="F1667" s="2"/>
      <c r="G1667" s="2"/>
      <c r="H1667" s="2"/>
      <c r="I1667" s="2"/>
      <c r="J1667" s="2"/>
      <c r="K1667" s="2"/>
      <c r="L1667" s="2"/>
      <c r="M1667" s="2"/>
      <c r="N1667" s="2"/>
      <c r="O1667" s="2"/>
      <c r="P1667" s="2"/>
      <c r="Q1667" s="2"/>
      <c r="R1667" s="2"/>
      <c r="S1667" s="2"/>
      <c r="T1667" s="2"/>
      <c r="U1667" s="2"/>
      <c r="V1667" s="2"/>
      <c r="W1667" s="2" t="str">
        <f>IFERROR(__xludf.DUMMYFUNCTION("""COMPUTED_VALUE"""),"VL103D")</f>
        <v>VL103D</v>
      </c>
      <c r="X1667" s="2"/>
      <c r="Y1667" s="2"/>
      <c r="Z1667" s="2"/>
      <c r="AA1667" s="2"/>
      <c r="AB1667" s="2"/>
    </row>
    <row r="1668">
      <c r="A1668" s="2"/>
      <c r="B1668" s="2"/>
      <c r="C1668" s="2"/>
      <c r="D1668" s="2"/>
      <c r="E1668" s="2"/>
      <c r="F1668" s="2"/>
      <c r="G1668" s="2"/>
      <c r="H1668" s="2"/>
      <c r="I1668" s="2"/>
      <c r="J1668" s="2"/>
      <c r="K1668" s="2"/>
      <c r="L1668" s="2"/>
      <c r="M1668" s="2"/>
      <c r="N1668" s="2"/>
      <c r="O1668" s="2"/>
      <c r="P1668" s="2"/>
      <c r="Q1668" s="2"/>
      <c r="R1668" s="2"/>
      <c r="S1668" s="2"/>
      <c r="T1668" s="2"/>
      <c r="U1668" s="2"/>
      <c r="V1668" s="2"/>
      <c r="W1668" s="2" t="str">
        <f>IFERROR(__xludf.DUMMYFUNCTION("""COMPUTED_VALUE"""),"VL103D")</f>
        <v>VL103D</v>
      </c>
      <c r="X1668" s="2"/>
      <c r="Y1668" s="2"/>
      <c r="Z1668" s="2"/>
      <c r="AA1668" s="2"/>
      <c r="AB1668" s="2"/>
    </row>
    <row r="1669">
      <c r="A1669" s="2"/>
      <c r="B1669" s="2"/>
      <c r="C1669" s="2"/>
      <c r="D1669" s="2"/>
      <c r="E1669" s="2"/>
      <c r="F1669" s="2"/>
      <c r="G1669" s="2"/>
      <c r="H1669" s="2"/>
      <c r="I1669" s="2"/>
      <c r="J1669" s="2"/>
      <c r="K1669" s="2"/>
      <c r="L1669" s="2"/>
      <c r="M1669" s="2"/>
      <c r="N1669" s="2"/>
      <c r="O1669" s="2"/>
      <c r="P1669" s="2"/>
      <c r="Q1669" s="2"/>
      <c r="R1669" s="2"/>
      <c r="S1669" s="2"/>
      <c r="T1669" s="2"/>
      <c r="U1669" s="2"/>
      <c r="V1669" s="2"/>
      <c r="W1669" s="2" t="str">
        <f>IFERROR(__xludf.DUMMYFUNCTION("""COMPUTED_VALUE"""),"VL103D")</f>
        <v>VL103D</v>
      </c>
      <c r="X1669" s="2"/>
      <c r="Y1669" s="2"/>
      <c r="Z1669" s="2"/>
      <c r="AA1669" s="2"/>
      <c r="AB1669" s="2"/>
    </row>
    <row r="1670">
      <c r="A1670" s="2"/>
      <c r="B1670" s="2"/>
      <c r="C1670" s="2"/>
      <c r="D1670" s="2"/>
      <c r="E1670" s="2"/>
      <c r="F1670" s="2"/>
      <c r="G1670" s="2"/>
      <c r="H1670" s="2"/>
      <c r="I1670" s="2"/>
      <c r="J1670" s="2"/>
      <c r="K1670" s="2"/>
      <c r="L1670" s="2"/>
      <c r="M1670" s="2"/>
      <c r="N1670" s="2"/>
      <c r="O1670" s="2"/>
      <c r="P1670" s="2"/>
      <c r="Q1670" s="2"/>
      <c r="R1670" s="2"/>
      <c r="S1670" s="2"/>
      <c r="T1670" s="2"/>
      <c r="U1670" s="2"/>
      <c r="V1670" s="2"/>
      <c r="W1670" s="2" t="str">
        <f>IFERROR(__xludf.DUMMYFUNCTION("""COMPUTED_VALUE"""),"VL103D")</f>
        <v>VL103D</v>
      </c>
      <c r="X1670" s="2"/>
      <c r="Y1670" s="2"/>
      <c r="Z1670" s="2"/>
      <c r="AA1670" s="2"/>
      <c r="AB1670" s="2"/>
    </row>
    <row r="1671">
      <c r="A1671" s="2"/>
      <c r="B1671" s="2"/>
      <c r="C1671" s="2"/>
      <c r="D1671" s="2"/>
      <c r="E1671" s="2"/>
      <c r="F1671" s="2"/>
      <c r="G1671" s="2"/>
      <c r="H1671" s="2"/>
      <c r="I1671" s="2"/>
      <c r="J1671" s="2"/>
      <c r="K1671" s="2"/>
      <c r="L1671" s="2"/>
      <c r="M1671" s="2"/>
      <c r="N1671" s="2"/>
      <c r="O1671" s="2"/>
      <c r="P1671" s="2"/>
      <c r="Q1671" s="2"/>
      <c r="R1671" s="2"/>
      <c r="S1671" s="2"/>
      <c r="T1671" s="2"/>
      <c r="U1671" s="2"/>
      <c r="V1671" s="2"/>
      <c r="W1671" s="2" t="str">
        <f>IFERROR(__xludf.DUMMYFUNCTION("""COMPUTED_VALUE"""),"VL103D")</f>
        <v>VL103D</v>
      </c>
      <c r="X1671" s="2"/>
      <c r="Y1671" s="2"/>
      <c r="Z1671" s="2"/>
      <c r="AA1671" s="2"/>
      <c r="AB1671" s="2"/>
    </row>
    <row r="1672">
      <c r="A1672" s="2"/>
      <c r="B1672" s="2"/>
      <c r="C1672" s="2"/>
      <c r="D1672" s="2"/>
      <c r="E1672" s="2"/>
      <c r="F1672" s="2"/>
      <c r="G1672" s="2"/>
      <c r="H1672" s="2"/>
      <c r="I1672" s="2"/>
      <c r="J1672" s="2"/>
      <c r="K1672" s="2"/>
      <c r="L1672" s="2"/>
      <c r="M1672" s="2"/>
      <c r="N1672" s="2"/>
      <c r="O1672" s="2"/>
      <c r="P1672" s="2"/>
      <c r="Q1672" s="2"/>
      <c r="R1672" s="2"/>
      <c r="S1672" s="2"/>
      <c r="T1672" s="2"/>
      <c r="U1672" s="2"/>
      <c r="V1672" s="2"/>
      <c r="W1672" s="2" t="str">
        <f>IFERROR(__xludf.DUMMYFUNCTION("""COMPUTED_VALUE"""),"VL103D")</f>
        <v>VL103D</v>
      </c>
      <c r="X1672" s="2"/>
      <c r="Y1672" s="2"/>
      <c r="Z1672" s="2"/>
      <c r="AA1672" s="2"/>
      <c r="AB1672" s="2"/>
    </row>
    <row r="1673">
      <c r="A1673" s="2"/>
      <c r="B1673" s="2"/>
      <c r="C1673" s="2"/>
      <c r="D1673" s="2"/>
      <c r="E1673" s="2"/>
      <c r="F1673" s="2"/>
      <c r="G1673" s="2"/>
      <c r="H1673" s="2"/>
      <c r="I1673" s="2"/>
      <c r="J1673" s="2"/>
      <c r="K1673" s="2"/>
      <c r="L1673" s="2"/>
      <c r="M1673" s="2"/>
      <c r="N1673" s="2"/>
      <c r="O1673" s="2"/>
      <c r="P1673" s="2"/>
      <c r="Q1673" s="2"/>
      <c r="R1673" s="2"/>
      <c r="S1673" s="2"/>
      <c r="T1673" s="2"/>
      <c r="U1673" s="2"/>
      <c r="V1673" s="2"/>
      <c r="W1673" s="2" t="str">
        <f>IFERROR(__xludf.DUMMYFUNCTION("""COMPUTED_VALUE"""),"VL103D")</f>
        <v>VL103D</v>
      </c>
      <c r="X1673" s="2"/>
      <c r="Y1673" s="2"/>
      <c r="Z1673" s="2"/>
      <c r="AA1673" s="2"/>
      <c r="AB1673" s="2"/>
    </row>
    <row r="1674">
      <c r="A1674" s="2"/>
      <c r="B1674" s="2"/>
      <c r="C1674" s="2"/>
      <c r="D1674" s="2"/>
      <c r="E1674" s="2"/>
      <c r="F1674" s="2"/>
      <c r="G1674" s="2"/>
      <c r="H1674" s="2"/>
      <c r="I1674" s="2"/>
      <c r="J1674" s="2"/>
      <c r="K1674" s="2"/>
      <c r="L1674" s="2"/>
      <c r="M1674" s="2"/>
      <c r="N1674" s="2"/>
      <c r="O1674" s="2"/>
      <c r="P1674" s="2"/>
      <c r="Q1674" s="2"/>
      <c r="R1674" s="2"/>
      <c r="S1674" s="2"/>
      <c r="T1674" s="2"/>
      <c r="U1674" s="2"/>
      <c r="V1674" s="2"/>
      <c r="W1674" s="2" t="str">
        <f>IFERROR(__xludf.DUMMYFUNCTION("""COMPUTED_VALUE"""),"VL103D")</f>
        <v>VL103D</v>
      </c>
      <c r="X1674" s="2"/>
      <c r="Y1674" s="2"/>
      <c r="Z1674" s="2"/>
      <c r="AA1674" s="2"/>
      <c r="AB1674" s="2"/>
    </row>
    <row r="1675">
      <c r="A1675" s="2"/>
      <c r="B1675" s="2"/>
      <c r="C1675" s="2"/>
      <c r="D1675" s="2"/>
      <c r="E1675" s="2"/>
      <c r="F1675" s="2"/>
      <c r="G1675" s="2"/>
      <c r="H1675" s="2"/>
      <c r="I1675" s="2"/>
      <c r="J1675" s="2"/>
      <c r="K1675" s="2"/>
      <c r="L1675" s="2"/>
      <c r="M1675" s="2"/>
      <c r="N1675" s="2"/>
      <c r="O1675" s="2"/>
      <c r="P1675" s="2"/>
      <c r="Q1675" s="2"/>
      <c r="R1675" s="2"/>
      <c r="S1675" s="2"/>
      <c r="T1675" s="2"/>
      <c r="U1675" s="2"/>
      <c r="V1675" s="2"/>
      <c r="W1675" s="2" t="str">
        <f>IFERROR(__xludf.DUMMYFUNCTION("""COMPUTED_VALUE"""),"VL103D")</f>
        <v>VL103D</v>
      </c>
      <c r="X1675" s="2"/>
      <c r="Y1675" s="2"/>
      <c r="Z1675" s="2"/>
      <c r="AA1675" s="2"/>
      <c r="AB1675" s="2"/>
    </row>
    <row r="1676">
      <c r="A1676" s="2"/>
      <c r="B1676" s="2"/>
      <c r="C1676" s="2"/>
      <c r="D1676" s="2"/>
      <c r="E1676" s="2"/>
      <c r="F1676" s="2"/>
      <c r="G1676" s="2"/>
      <c r="H1676" s="2"/>
      <c r="I1676" s="2"/>
      <c r="J1676" s="2"/>
      <c r="K1676" s="2"/>
      <c r="L1676" s="2"/>
      <c r="M1676" s="2"/>
      <c r="N1676" s="2"/>
      <c r="O1676" s="2"/>
      <c r="P1676" s="2"/>
      <c r="Q1676" s="2"/>
      <c r="R1676" s="2"/>
      <c r="S1676" s="2"/>
      <c r="T1676" s="2"/>
      <c r="U1676" s="2"/>
      <c r="V1676" s="2"/>
      <c r="W1676" s="2" t="str">
        <f>IFERROR(__xludf.DUMMYFUNCTION("""COMPUTED_VALUE"""),"VL103D")</f>
        <v>VL103D</v>
      </c>
      <c r="X1676" s="2"/>
      <c r="Y1676" s="2"/>
      <c r="Z1676" s="2"/>
      <c r="AA1676" s="2"/>
      <c r="AB1676" s="2"/>
    </row>
    <row r="1677">
      <c r="A1677" s="2"/>
      <c r="B1677" s="2"/>
      <c r="C1677" s="2"/>
      <c r="D1677" s="2"/>
      <c r="E1677" s="2"/>
      <c r="F1677" s="2"/>
      <c r="G1677" s="2"/>
      <c r="H1677" s="2"/>
      <c r="I1677" s="2"/>
      <c r="J1677" s="2"/>
      <c r="K1677" s="2"/>
      <c r="L1677" s="2"/>
      <c r="M1677" s="2"/>
      <c r="N1677" s="2"/>
      <c r="O1677" s="2"/>
      <c r="P1677" s="2"/>
      <c r="Q1677" s="2"/>
      <c r="R1677" s="2"/>
      <c r="S1677" s="2"/>
      <c r="T1677" s="2"/>
      <c r="U1677" s="2"/>
      <c r="V1677" s="2"/>
      <c r="W1677" s="2" t="str">
        <f>IFERROR(__xludf.DUMMYFUNCTION("""COMPUTED_VALUE"""),"VL103D")</f>
        <v>VL103D</v>
      </c>
      <c r="X1677" s="2"/>
      <c r="Y1677" s="2"/>
      <c r="Z1677" s="2"/>
      <c r="AA1677" s="2"/>
      <c r="AB1677" s="2"/>
    </row>
    <row r="1678">
      <c r="A1678" s="2"/>
      <c r="B1678" s="2"/>
      <c r="C1678" s="2"/>
      <c r="D1678" s="2"/>
      <c r="E1678" s="2"/>
      <c r="F1678" s="2"/>
      <c r="G1678" s="2"/>
      <c r="H1678" s="2"/>
      <c r="I1678" s="2"/>
      <c r="J1678" s="2"/>
      <c r="K1678" s="2"/>
      <c r="L1678" s="2"/>
      <c r="M1678" s="2"/>
      <c r="N1678" s="2"/>
      <c r="O1678" s="2"/>
      <c r="P1678" s="2"/>
      <c r="Q1678" s="2"/>
      <c r="R1678" s="2"/>
      <c r="S1678" s="2"/>
      <c r="T1678" s="2"/>
      <c r="U1678" s="2"/>
      <c r="V1678" s="2"/>
      <c r="W1678" s="2" t="str">
        <f>IFERROR(__xludf.DUMMYFUNCTION("""COMPUTED_VALUE"""),"VL103D")</f>
        <v>VL103D</v>
      </c>
      <c r="X1678" s="2"/>
      <c r="Y1678" s="2"/>
      <c r="Z1678" s="2"/>
      <c r="AA1678" s="2"/>
      <c r="AB1678" s="2"/>
    </row>
    <row r="1679">
      <c r="A1679" s="2"/>
      <c r="B1679" s="2"/>
      <c r="C1679" s="2"/>
      <c r="D1679" s="2"/>
      <c r="E1679" s="2"/>
      <c r="F1679" s="2"/>
      <c r="G1679" s="2"/>
      <c r="H1679" s="2"/>
      <c r="I1679" s="2"/>
      <c r="J1679" s="2"/>
      <c r="K1679" s="2"/>
      <c r="L1679" s="2"/>
      <c r="M1679" s="2"/>
      <c r="N1679" s="2"/>
      <c r="O1679" s="2"/>
      <c r="P1679" s="2"/>
      <c r="Q1679" s="2"/>
      <c r="R1679" s="2"/>
      <c r="S1679" s="2"/>
      <c r="T1679" s="2"/>
      <c r="U1679" s="2"/>
      <c r="V1679" s="2"/>
      <c r="W1679" s="2" t="str">
        <f>IFERROR(__xludf.DUMMYFUNCTION("""COMPUTED_VALUE"""),"VL103D")</f>
        <v>VL103D</v>
      </c>
      <c r="X1679" s="2"/>
      <c r="Y1679" s="2"/>
      <c r="Z1679" s="2"/>
      <c r="AA1679" s="2"/>
      <c r="AB1679" s="2"/>
    </row>
    <row r="1680">
      <c r="A1680" s="2"/>
      <c r="B1680" s="2"/>
      <c r="C1680" s="2"/>
      <c r="D1680" s="2"/>
      <c r="E1680" s="2"/>
      <c r="F1680" s="2"/>
      <c r="G1680" s="2"/>
      <c r="H1680" s="2"/>
      <c r="I1680" s="2"/>
      <c r="J1680" s="2"/>
      <c r="K1680" s="2"/>
      <c r="L1680" s="2"/>
      <c r="M1680" s="2"/>
      <c r="N1680" s="2"/>
      <c r="O1680" s="2"/>
      <c r="P1680" s="2"/>
      <c r="Q1680" s="2"/>
      <c r="R1680" s="2"/>
      <c r="S1680" s="2"/>
      <c r="T1680" s="2"/>
      <c r="U1680" s="2"/>
      <c r="V1680" s="2"/>
      <c r="W1680" s="2" t="str">
        <f>IFERROR(__xludf.DUMMYFUNCTION("""COMPUTED_VALUE"""),"VL103D")</f>
        <v>VL103D</v>
      </c>
      <c r="X1680" s="2"/>
      <c r="Y1680" s="2"/>
      <c r="Z1680" s="2"/>
      <c r="AA1680" s="2"/>
      <c r="AB1680" s="2"/>
    </row>
    <row r="1681">
      <c r="A1681" s="2"/>
      <c r="B1681" s="2"/>
      <c r="C1681" s="2"/>
      <c r="D1681" s="2"/>
      <c r="E1681" s="2"/>
      <c r="F1681" s="2"/>
      <c r="G1681" s="2"/>
      <c r="H1681" s="2"/>
      <c r="I1681" s="2"/>
      <c r="J1681" s="2"/>
      <c r="K1681" s="2"/>
      <c r="L1681" s="2"/>
      <c r="M1681" s="2"/>
      <c r="N1681" s="2"/>
      <c r="O1681" s="2"/>
      <c r="P1681" s="2"/>
      <c r="Q1681" s="2"/>
      <c r="R1681" s="2"/>
      <c r="S1681" s="2"/>
      <c r="T1681" s="2"/>
      <c r="U1681" s="2"/>
      <c r="V1681" s="2"/>
      <c r="W1681" s="2" t="str">
        <f>IFERROR(__xludf.DUMMYFUNCTION("""COMPUTED_VALUE"""),"VL103D")</f>
        <v>VL103D</v>
      </c>
      <c r="X1681" s="2"/>
      <c r="Y1681" s="2"/>
      <c r="Z1681" s="2"/>
      <c r="AA1681" s="2"/>
      <c r="AB1681" s="2"/>
    </row>
    <row r="1682">
      <c r="A1682" s="2"/>
      <c r="B1682" s="2"/>
      <c r="C1682" s="2"/>
      <c r="D1682" s="2"/>
      <c r="E1682" s="2"/>
      <c r="F1682" s="2"/>
      <c r="G1682" s="2"/>
      <c r="H1682" s="2"/>
      <c r="I1682" s="2"/>
      <c r="J1682" s="2"/>
      <c r="K1682" s="2"/>
      <c r="L1682" s="2"/>
      <c r="M1682" s="2"/>
      <c r="N1682" s="2"/>
      <c r="O1682" s="2"/>
      <c r="P1682" s="2"/>
      <c r="Q1682" s="2"/>
      <c r="R1682" s="2"/>
      <c r="S1682" s="2"/>
      <c r="T1682" s="2"/>
      <c r="U1682" s="2"/>
      <c r="V1682" s="2"/>
      <c r="W1682" s="2" t="str">
        <f>IFERROR(__xludf.DUMMYFUNCTION("""COMPUTED_VALUE"""),"VL103D")</f>
        <v>VL103D</v>
      </c>
      <c r="X1682" s="2"/>
      <c r="Y1682" s="2"/>
      <c r="Z1682" s="2"/>
      <c r="AA1682" s="2"/>
      <c r="AB1682" s="2"/>
    </row>
    <row r="1683">
      <c r="A1683" s="2"/>
      <c r="B1683" s="2"/>
      <c r="C1683" s="2"/>
      <c r="D1683" s="2"/>
      <c r="E1683" s="2"/>
      <c r="F1683" s="2"/>
      <c r="G1683" s="2"/>
      <c r="H1683" s="2"/>
      <c r="I1683" s="2"/>
      <c r="J1683" s="2"/>
      <c r="K1683" s="2"/>
      <c r="L1683" s="2"/>
      <c r="M1683" s="2"/>
      <c r="N1683" s="2"/>
      <c r="O1683" s="2"/>
      <c r="P1683" s="2"/>
      <c r="Q1683" s="2"/>
      <c r="R1683" s="2"/>
      <c r="S1683" s="2"/>
      <c r="T1683" s="2"/>
      <c r="U1683" s="2"/>
      <c r="V1683" s="2"/>
      <c r="W1683" s="2" t="str">
        <f>IFERROR(__xludf.DUMMYFUNCTION("""COMPUTED_VALUE"""),"VL103D")</f>
        <v>VL103D</v>
      </c>
      <c r="X1683" s="2"/>
      <c r="Y1683" s="2"/>
      <c r="Z1683" s="2"/>
      <c r="AA1683" s="2"/>
      <c r="AB1683" s="2"/>
    </row>
    <row r="1684">
      <c r="A1684" s="2"/>
      <c r="B1684" s="2"/>
      <c r="C1684" s="2"/>
      <c r="D1684" s="2"/>
      <c r="E1684" s="2"/>
      <c r="F1684" s="2"/>
      <c r="G1684" s="2"/>
      <c r="H1684" s="2"/>
      <c r="I1684" s="2"/>
      <c r="J1684" s="2"/>
      <c r="K1684" s="2"/>
      <c r="L1684" s="2"/>
      <c r="M1684" s="2"/>
      <c r="N1684" s="2"/>
      <c r="O1684" s="2"/>
      <c r="P1684" s="2"/>
      <c r="Q1684" s="2"/>
      <c r="R1684" s="2"/>
      <c r="S1684" s="2"/>
      <c r="T1684" s="2"/>
      <c r="U1684" s="2"/>
      <c r="V1684" s="2"/>
      <c r="W1684" s="2" t="str">
        <f>IFERROR(__xludf.DUMMYFUNCTION("""COMPUTED_VALUE"""),"VL103D")</f>
        <v>VL103D</v>
      </c>
      <c r="X1684" s="2"/>
      <c r="Y1684" s="2"/>
      <c r="Z1684" s="2"/>
      <c r="AA1684" s="2"/>
      <c r="AB1684" s="2"/>
    </row>
    <row r="1685">
      <c r="A1685" s="2"/>
      <c r="B1685" s="2"/>
      <c r="C1685" s="2"/>
      <c r="D1685" s="2"/>
      <c r="E1685" s="2"/>
      <c r="F1685" s="2"/>
      <c r="G1685" s="2"/>
      <c r="H1685" s="2"/>
      <c r="I1685" s="2"/>
      <c r="J1685" s="2"/>
      <c r="K1685" s="2"/>
      <c r="L1685" s="2"/>
      <c r="M1685" s="2"/>
      <c r="N1685" s="2"/>
      <c r="O1685" s="2"/>
      <c r="P1685" s="2"/>
      <c r="Q1685" s="2"/>
      <c r="R1685" s="2"/>
      <c r="S1685" s="2"/>
      <c r="T1685" s="2"/>
      <c r="U1685" s="2"/>
      <c r="V1685" s="2"/>
      <c r="W1685" s="2" t="str">
        <f>IFERROR(__xludf.DUMMYFUNCTION("""COMPUTED_VALUE"""),"VL103D")</f>
        <v>VL103D</v>
      </c>
      <c r="X1685" s="2"/>
      <c r="Y1685" s="2"/>
      <c r="Z1685" s="2"/>
      <c r="AA1685" s="2"/>
      <c r="AB1685" s="2"/>
    </row>
    <row r="1686">
      <c r="A1686" s="2"/>
      <c r="B1686" s="2"/>
      <c r="C1686" s="2"/>
      <c r="D1686" s="2"/>
      <c r="E1686" s="2"/>
      <c r="F1686" s="2"/>
      <c r="G1686" s="2"/>
      <c r="H1686" s="2"/>
      <c r="I1686" s="2"/>
      <c r="J1686" s="2"/>
      <c r="K1686" s="2"/>
      <c r="L1686" s="2"/>
      <c r="M1686" s="2"/>
      <c r="N1686" s="2"/>
      <c r="O1686" s="2"/>
      <c r="P1686" s="2"/>
      <c r="Q1686" s="2"/>
      <c r="R1686" s="2"/>
      <c r="S1686" s="2"/>
      <c r="T1686" s="2"/>
      <c r="U1686" s="2"/>
      <c r="V1686" s="2"/>
      <c r="W1686" s="2" t="str">
        <f>IFERROR(__xludf.DUMMYFUNCTION("""COMPUTED_VALUE"""),"VL103D")</f>
        <v>VL103D</v>
      </c>
      <c r="X1686" s="2"/>
      <c r="Y1686" s="2"/>
      <c r="Z1686" s="2"/>
      <c r="AA1686" s="2"/>
      <c r="AB1686" s="2"/>
    </row>
    <row r="1687">
      <c r="A1687" s="2"/>
      <c r="B1687" s="2"/>
      <c r="C1687" s="2"/>
      <c r="D1687" s="2"/>
      <c r="E1687" s="2"/>
      <c r="F1687" s="2"/>
      <c r="G1687" s="2"/>
      <c r="H1687" s="2"/>
      <c r="I1687" s="2"/>
      <c r="J1687" s="2"/>
      <c r="K1687" s="2"/>
      <c r="L1687" s="2"/>
      <c r="M1687" s="2"/>
      <c r="N1687" s="2"/>
      <c r="O1687" s="2"/>
      <c r="P1687" s="2"/>
      <c r="Q1687" s="2"/>
      <c r="R1687" s="2"/>
      <c r="S1687" s="2"/>
      <c r="T1687" s="2"/>
      <c r="U1687" s="2"/>
      <c r="V1687" s="2"/>
      <c r="W1687" s="2" t="str">
        <f>IFERROR(__xludf.DUMMYFUNCTION("""COMPUTED_VALUE"""),"VL103D")</f>
        <v>VL103D</v>
      </c>
      <c r="X1687" s="2"/>
      <c r="Y1687" s="2"/>
      <c r="Z1687" s="2"/>
      <c r="AA1687" s="2"/>
      <c r="AB1687" s="2"/>
    </row>
    <row r="1688">
      <c r="A1688" s="2"/>
      <c r="B1688" s="2"/>
      <c r="C1688" s="2"/>
      <c r="D1688" s="2"/>
      <c r="E1688" s="2"/>
      <c r="F1688" s="2"/>
      <c r="G1688" s="2"/>
      <c r="H1688" s="2"/>
      <c r="I1688" s="2"/>
      <c r="J1688" s="2"/>
      <c r="K1688" s="2"/>
      <c r="L1688" s="2"/>
      <c r="M1688" s="2"/>
      <c r="N1688" s="2"/>
      <c r="O1688" s="2"/>
      <c r="P1688" s="2"/>
      <c r="Q1688" s="2"/>
      <c r="R1688" s="2"/>
      <c r="S1688" s="2"/>
      <c r="T1688" s="2"/>
      <c r="U1688" s="2"/>
      <c r="V1688" s="2"/>
      <c r="W1688" s="2" t="str">
        <f>IFERROR(__xludf.DUMMYFUNCTION("""COMPUTED_VALUE"""),"VL103D")</f>
        <v>VL103D</v>
      </c>
      <c r="X1688" s="2"/>
      <c r="Y1688" s="2"/>
      <c r="Z1688" s="2"/>
      <c r="AA1688" s="2"/>
      <c r="AB1688" s="2"/>
    </row>
    <row r="1689">
      <c r="A1689" s="2"/>
      <c r="B1689" s="2"/>
      <c r="C1689" s="2"/>
      <c r="D1689" s="2"/>
      <c r="E1689" s="2"/>
      <c r="F1689" s="2"/>
      <c r="G1689" s="2"/>
      <c r="H1689" s="2"/>
      <c r="I1689" s="2"/>
      <c r="J1689" s="2"/>
      <c r="K1689" s="2"/>
      <c r="L1689" s="2"/>
      <c r="M1689" s="2"/>
      <c r="N1689" s="2"/>
      <c r="O1689" s="2"/>
      <c r="P1689" s="2"/>
      <c r="Q1689" s="2"/>
      <c r="R1689" s="2"/>
      <c r="S1689" s="2"/>
      <c r="T1689" s="2"/>
      <c r="U1689" s="2"/>
      <c r="V1689" s="2"/>
      <c r="W1689" s="2" t="str">
        <f>IFERROR(__xludf.DUMMYFUNCTION("""COMPUTED_VALUE"""),"VL103D")</f>
        <v>VL103D</v>
      </c>
      <c r="X1689" s="2"/>
      <c r="Y1689" s="2"/>
      <c r="Z1689" s="2"/>
      <c r="AA1689" s="2"/>
      <c r="AB1689" s="2"/>
    </row>
    <row r="1690">
      <c r="A1690" s="2"/>
      <c r="B1690" s="2"/>
      <c r="C1690" s="2"/>
      <c r="D1690" s="2"/>
      <c r="E1690" s="2"/>
      <c r="F1690" s="2"/>
      <c r="G1690" s="2"/>
      <c r="H1690" s="2"/>
      <c r="I1690" s="2"/>
      <c r="J1690" s="2"/>
      <c r="K1690" s="2"/>
      <c r="L1690" s="2"/>
      <c r="M1690" s="2"/>
      <c r="N1690" s="2"/>
      <c r="O1690" s="2"/>
      <c r="P1690" s="2"/>
      <c r="Q1690" s="2"/>
      <c r="R1690" s="2"/>
      <c r="S1690" s="2"/>
      <c r="T1690" s="2"/>
      <c r="U1690" s="2"/>
      <c r="V1690" s="2"/>
      <c r="W1690" s="2" t="str">
        <f>IFERROR(__xludf.DUMMYFUNCTION("""COMPUTED_VALUE"""),"VL103D")</f>
        <v>VL103D</v>
      </c>
      <c r="X1690" s="2"/>
      <c r="Y1690" s="2"/>
      <c r="Z1690" s="2"/>
      <c r="AA1690" s="2"/>
      <c r="AB1690" s="2"/>
    </row>
    <row r="1691">
      <c r="A1691" s="2"/>
      <c r="B1691" s="2"/>
      <c r="C1691" s="2"/>
      <c r="D1691" s="2"/>
      <c r="E1691" s="2"/>
      <c r="F1691" s="2"/>
      <c r="G1691" s="2"/>
      <c r="H1691" s="2"/>
      <c r="I1691" s="2"/>
      <c r="J1691" s="2"/>
      <c r="K1691" s="2"/>
      <c r="L1691" s="2"/>
      <c r="M1691" s="2"/>
      <c r="N1691" s="2"/>
      <c r="O1691" s="2"/>
      <c r="P1691" s="2"/>
      <c r="Q1691" s="2"/>
      <c r="R1691" s="2"/>
      <c r="S1691" s="2"/>
      <c r="T1691" s="2"/>
      <c r="U1691" s="2"/>
      <c r="V1691" s="2"/>
      <c r="W1691" s="2" t="str">
        <f>IFERROR(__xludf.DUMMYFUNCTION("""COMPUTED_VALUE"""),"VL103D")</f>
        <v>VL103D</v>
      </c>
      <c r="X1691" s="2"/>
      <c r="Y1691" s="2"/>
      <c r="Z1691" s="2"/>
      <c r="AA1691" s="2"/>
      <c r="AB1691" s="2"/>
    </row>
    <row r="1692">
      <c r="A1692" s="2"/>
      <c r="B1692" s="2"/>
      <c r="C1692" s="2"/>
      <c r="D1692" s="2"/>
      <c r="E1692" s="2"/>
      <c r="F1692" s="2"/>
      <c r="G1692" s="2"/>
      <c r="H1692" s="2"/>
      <c r="I1692" s="2"/>
      <c r="J1692" s="2"/>
      <c r="K1692" s="2"/>
      <c r="L1692" s="2"/>
      <c r="M1692" s="2"/>
      <c r="N1692" s="2"/>
      <c r="O1692" s="2"/>
      <c r="P1692" s="2"/>
      <c r="Q1692" s="2"/>
      <c r="R1692" s="2"/>
      <c r="S1692" s="2"/>
      <c r="T1692" s="2"/>
      <c r="U1692" s="2"/>
      <c r="V1692" s="2"/>
      <c r="W1692" s="2" t="str">
        <f>IFERROR(__xludf.DUMMYFUNCTION("""COMPUTED_VALUE"""),"VL103D")</f>
        <v>VL103D</v>
      </c>
      <c r="X1692" s="2"/>
      <c r="Y1692" s="2"/>
      <c r="Z1692" s="2"/>
      <c r="AA1692" s="2"/>
      <c r="AB1692" s="2"/>
    </row>
    <row r="1693">
      <c r="A1693" s="2"/>
      <c r="B1693" s="2"/>
      <c r="C1693" s="2"/>
      <c r="D1693" s="2"/>
      <c r="E1693" s="2"/>
      <c r="F1693" s="2"/>
      <c r="G1693" s="2"/>
      <c r="H1693" s="2"/>
      <c r="I1693" s="2"/>
      <c r="J1693" s="2"/>
      <c r="K1693" s="2"/>
      <c r="L1693" s="2"/>
      <c r="M1693" s="2"/>
      <c r="N1693" s="2"/>
      <c r="O1693" s="2"/>
      <c r="P1693" s="2"/>
      <c r="Q1693" s="2"/>
      <c r="R1693" s="2"/>
      <c r="S1693" s="2"/>
      <c r="T1693" s="2"/>
      <c r="U1693" s="2"/>
      <c r="V1693" s="2"/>
      <c r="W1693" s="2" t="str">
        <f>IFERROR(__xludf.DUMMYFUNCTION("""COMPUTED_VALUE"""),"VL103D")</f>
        <v>VL103D</v>
      </c>
      <c r="X1693" s="2"/>
      <c r="Y1693" s="2"/>
      <c r="Z1693" s="2"/>
      <c r="AA1693" s="2"/>
      <c r="AB1693" s="2"/>
    </row>
    <row r="1694">
      <c r="A1694" s="2"/>
      <c r="B1694" s="2"/>
      <c r="C1694" s="2"/>
      <c r="D1694" s="2"/>
      <c r="E1694" s="2"/>
      <c r="F1694" s="2"/>
      <c r="G1694" s="2"/>
      <c r="H1694" s="2"/>
      <c r="I1694" s="2"/>
      <c r="J1694" s="2"/>
      <c r="K1694" s="2"/>
      <c r="L1694" s="2"/>
      <c r="M1694" s="2"/>
      <c r="N1694" s="2"/>
      <c r="O1694" s="2"/>
      <c r="P1694" s="2"/>
      <c r="Q1694" s="2"/>
      <c r="R1694" s="2"/>
      <c r="S1694" s="2"/>
      <c r="T1694" s="2"/>
      <c r="U1694" s="2"/>
      <c r="V1694" s="2"/>
      <c r="W1694" s="2" t="str">
        <f>IFERROR(__xludf.DUMMYFUNCTION("""COMPUTED_VALUE"""),"VL103D")</f>
        <v>VL103D</v>
      </c>
      <c r="X1694" s="2"/>
      <c r="Y1694" s="2"/>
      <c r="Z1694" s="2"/>
      <c r="AA1694" s="2"/>
      <c r="AB1694" s="2"/>
    </row>
    <row r="1695">
      <c r="A1695" s="2"/>
      <c r="B1695" s="2"/>
      <c r="C1695" s="2"/>
      <c r="D1695" s="2"/>
      <c r="E1695" s="2"/>
      <c r="F1695" s="2"/>
      <c r="G1695" s="2"/>
      <c r="H1695" s="2"/>
      <c r="I1695" s="2"/>
      <c r="J1695" s="2"/>
      <c r="K1695" s="2"/>
      <c r="L1695" s="2"/>
      <c r="M1695" s="2"/>
      <c r="N1695" s="2"/>
      <c r="O1695" s="2"/>
      <c r="P1695" s="2"/>
      <c r="Q1695" s="2"/>
      <c r="R1695" s="2"/>
      <c r="S1695" s="2"/>
      <c r="T1695" s="2"/>
      <c r="U1695" s="2"/>
      <c r="V1695" s="2"/>
      <c r="W1695" s="2" t="str">
        <f>IFERROR(__xludf.DUMMYFUNCTION("""COMPUTED_VALUE"""),"VL103D")</f>
        <v>VL103D</v>
      </c>
      <c r="X1695" s="2"/>
      <c r="Y1695" s="2"/>
      <c r="Z1695" s="2"/>
      <c r="AA1695" s="2"/>
      <c r="AB1695" s="2"/>
    </row>
    <row r="1696">
      <c r="A1696" s="2"/>
      <c r="B1696" s="2"/>
      <c r="C1696" s="2"/>
      <c r="D1696" s="2"/>
      <c r="E1696" s="2"/>
      <c r="F1696" s="2"/>
      <c r="G1696" s="2"/>
      <c r="H1696" s="2"/>
      <c r="I1696" s="2"/>
      <c r="J1696" s="2"/>
      <c r="K1696" s="2"/>
      <c r="L1696" s="2"/>
      <c r="M1696" s="2"/>
      <c r="N1696" s="2"/>
      <c r="O1696" s="2"/>
      <c r="P1696" s="2"/>
      <c r="Q1696" s="2"/>
      <c r="R1696" s="2"/>
      <c r="S1696" s="2"/>
      <c r="T1696" s="2"/>
      <c r="U1696" s="2"/>
      <c r="V1696" s="2"/>
      <c r="W1696" s="2" t="str">
        <f>IFERROR(__xludf.DUMMYFUNCTION("""COMPUTED_VALUE"""),"VL103D")</f>
        <v>VL103D</v>
      </c>
      <c r="X1696" s="2"/>
      <c r="Y1696" s="2"/>
      <c r="Z1696" s="2"/>
      <c r="AA1696" s="2"/>
      <c r="AB1696" s="2"/>
    </row>
    <row r="1697">
      <c r="A1697" s="2"/>
      <c r="B1697" s="2"/>
      <c r="C1697" s="2"/>
      <c r="D1697" s="2"/>
      <c r="E1697" s="2"/>
      <c r="F1697" s="2"/>
      <c r="G1697" s="2"/>
      <c r="H1697" s="2"/>
      <c r="I1697" s="2"/>
      <c r="J1697" s="2"/>
      <c r="K1697" s="2"/>
      <c r="L1697" s="2"/>
      <c r="M1697" s="2"/>
      <c r="N1697" s="2"/>
      <c r="O1697" s="2"/>
      <c r="P1697" s="2"/>
      <c r="Q1697" s="2"/>
      <c r="R1697" s="2"/>
      <c r="S1697" s="2"/>
      <c r="T1697" s="2"/>
      <c r="U1697" s="2"/>
      <c r="V1697" s="2"/>
      <c r="W1697" s="2" t="str">
        <f>IFERROR(__xludf.DUMMYFUNCTION("""COMPUTED_VALUE"""),"VL103D")</f>
        <v>VL103D</v>
      </c>
      <c r="X1697" s="2"/>
      <c r="Y1697" s="2"/>
      <c r="Z1697" s="2"/>
      <c r="AA1697" s="2"/>
      <c r="AB1697" s="2"/>
    </row>
    <row r="1698">
      <c r="A1698" s="2"/>
      <c r="B1698" s="2"/>
      <c r="C1698" s="2"/>
      <c r="D1698" s="2"/>
      <c r="E1698" s="2"/>
      <c r="F1698" s="2"/>
      <c r="G1698" s="2"/>
      <c r="H1698" s="2"/>
      <c r="I1698" s="2"/>
      <c r="J1698" s="2"/>
      <c r="K1698" s="2"/>
      <c r="L1698" s="2"/>
      <c r="M1698" s="2"/>
      <c r="N1698" s="2"/>
      <c r="O1698" s="2"/>
      <c r="P1698" s="2"/>
      <c r="Q1698" s="2"/>
      <c r="R1698" s="2"/>
      <c r="S1698" s="2"/>
      <c r="T1698" s="2"/>
      <c r="U1698" s="2"/>
      <c r="V1698" s="2"/>
      <c r="W1698" s="2" t="str">
        <f>IFERROR(__xludf.DUMMYFUNCTION("""COMPUTED_VALUE"""),"VL103D")</f>
        <v>VL103D</v>
      </c>
      <c r="X1698" s="2"/>
      <c r="Y1698" s="2"/>
      <c r="Z1698" s="2"/>
      <c r="AA1698" s="2"/>
      <c r="AB1698" s="2"/>
    </row>
    <row r="1699">
      <c r="A1699" s="2"/>
      <c r="B1699" s="2"/>
      <c r="C1699" s="2"/>
      <c r="D1699" s="2"/>
      <c r="E1699" s="2"/>
      <c r="F1699" s="2"/>
      <c r="G1699" s="2"/>
      <c r="H1699" s="2"/>
      <c r="I1699" s="2"/>
      <c r="J1699" s="2"/>
      <c r="K1699" s="2"/>
      <c r="L1699" s="2"/>
      <c r="M1699" s="2"/>
      <c r="N1699" s="2"/>
      <c r="O1699" s="2"/>
      <c r="P1699" s="2"/>
      <c r="Q1699" s="2"/>
      <c r="R1699" s="2"/>
      <c r="S1699" s="2"/>
      <c r="T1699" s="2"/>
      <c r="U1699" s="2"/>
      <c r="V1699" s="2"/>
      <c r="W1699" s="2" t="str">
        <f>IFERROR(__xludf.DUMMYFUNCTION("""COMPUTED_VALUE"""),"VL103D")</f>
        <v>VL103D</v>
      </c>
      <c r="X1699" s="2"/>
      <c r="Y1699" s="2"/>
      <c r="Z1699" s="2"/>
      <c r="AA1699" s="2"/>
      <c r="AB1699" s="2"/>
    </row>
    <row r="1700">
      <c r="A1700" s="2"/>
      <c r="B1700" s="2"/>
      <c r="C1700" s="2"/>
      <c r="D1700" s="2"/>
      <c r="E1700" s="2"/>
      <c r="F1700" s="2"/>
      <c r="G1700" s="2"/>
      <c r="H1700" s="2"/>
      <c r="I1700" s="2"/>
      <c r="J1700" s="2"/>
      <c r="K1700" s="2"/>
      <c r="L1700" s="2"/>
      <c r="M1700" s="2"/>
      <c r="N1700" s="2"/>
      <c r="O1700" s="2"/>
      <c r="P1700" s="2"/>
      <c r="Q1700" s="2"/>
      <c r="R1700" s="2"/>
      <c r="S1700" s="2"/>
      <c r="T1700" s="2"/>
      <c r="U1700" s="2"/>
      <c r="V1700" s="2"/>
      <c r="W1700" s="2" t="str">
        <f>IFERROR(__xludf.DUMMYFUNCTION("""COMPUTED_VALUE"""),"VL103D")</f>
        <v>VL103D</v>
      </c>
      <c r="X1700" s="2"/>
      <c r="Y1700" s="2"/>
      <c r="Z1700" s="2"/>
      <c r="AA1700" s="2"/>
      <c r="AB1700" s="2"/>
    </row>
    <row r="1701">
      <c r="A1701" s="2"/>
      <c r="B1701" s="2"/>
      <c r="C1701" s="2"/>
      <c r="D1701" s="2"/>
      <c r="E1701" s="2"/>
      <c r="F1701" s="2"/>
      <c r="G1701" s="2"/>
      <c r="H1701" s="2"/>
      <c r="I1701" s="2"/>
      <c r="J1701" s="2"/>
      <c r="K1701" s="2"/>
      <c r="L1701" s="2"/>
      <c r="M1701" s="2"/>
      <c r="N1701" s="2"/>
      <c r="O1701" s="2"/>
      <c r="P1701" s="2"/>
      <c r="Q1701" s="2"/>
      <c r="R1701" s="2"/>
      <c r="S1701" s="2"/>
      <c r="T1701" s="2"/>
      <c r="U1701" s="2"/>
      <c r="V1701" s="2"/>
      <c r="W1701" s="2" t="str">
        <f>IFERROR(__xludf.DUMMYFUNCTION("""COMPUTED_VALUE"""),"VL103D")</f>
        <v>VL103D</v>
      </c>
      <c r="X1701" s="2"/>
      <c r="Y1701" s="2"/>
      <c r="Z1701" s="2"/>
      <c r="AA1701" s="2"/>
      <c r="AB1701" s="2"/>
    </row>
    <row r="1702">
      <c r="A1702" s="2"/>
      <c r="B1702" s="2"/>
      <c r="C1702" s="2"/>
      <c r="D1702" s="2"/>
      <c r="E1702" s="2"/>
      <c r="F1702" s="2"/>
      <c r="G1702" s="2"/>
      <c r="H1702" s="2"/>
      <c r="I1702" s="2"/>
      <c r="J1702" s="2"/>
      <c r="K1702" s="2"/>
      <c r="L1702" s="2"/>
      <c r="M1702" s="2"/>
      <c r="N1702" s="2"/>
      <c r="O1702" s="2"/>
      <c r="P1702" s="2"/>
      <c r="Q1702" s="2"/>
      <c r="R1702" s="2"/>
      <c r="S1702" s="2"/>
      <c r="T1702" s="2"/>
      <c r="U1702" s="2"/>
      <c r="V1702" s="2"/>
      <c r="W1702" s="2" t="str">
        <f>IFERROR(__xludf.DUMMYFUNCTION("""COMPUTED_VALUE"""),"VL103D")</f>
        <v>VL103D</v>
      </c>
      <c r="X1702" s="2"/>
      <c r="Y1702" s="2"/>
      <c r="Z1702" s="2"/>
      <c r="AA1702" s="2"/>
      <c r="AB1702" s="2"/>
    </row>
    <row r="1703">
      <c r="A1703" s="2"/>
      <c r="B1703" s="2"/>
      <c r="C1703" s="2"/>
      <c r="D1703" s="2"/>
      <c r="E1703" s="2"/>
      <c r="F1703" s="2"/>
      <c r="G1703" s="2"/>
      <c r="H1703" s="2"/>
      <c r="I1703" s="2"/>
      <c r="J1703" s="2"/>
      <c r="K1703" s="2"/>
      <c r="L1703" s="2"/>
      <c r="M1703" s="2"/>
      <c r="N1703" s="2"/>
      <c r="O1703" s="2"/>
      <c r="P1703" s="2"/>
      <c r="Q1703" s="2"/>
      <c r="R1703" s="2"/>
      <c r="S1703" s="2"/>
      <c r="T1703" s="2"/>
      <c r="U1703" s="2"/>
      <c r="V1703" s="2"/>
      <c r="W1703" s="2" t="str">
        <f>IFERROR(__xludf.DUMMYFUNCTION("""COMPUTED_VALUE"""),"VL103D")</f>
        <v>VL103D</v>
      </c>
      <c r="X1703" s="2"/>
      <c r="Y1703" s="2"/>
      <c r="Z1703" s="2"/>
      <c r="AA1703" s="2"/>
      <c r="AB1703" s="2"/>
    </row>
    <row r="1704">
      <c r="A1704" s="2"/>
      <c r="B1704" s="2"/>
      <c r="C1704" s="2"/>
      <c r="D1704" s="2"/>
      <c r="E1704" s="2"/>
      <c r="F1704" s="2"/>
      <c r="G1704" s="2"/>
      <c r="H1704" s="2"/>
      <c r="I1704" s="2"/>
      <c r="J1704" s="2"/>
      <c r="K1704" s="2"/>
      <c r="L1704" s="2"/>
      <c r="M1704" s="2"/>
      <c r="N1704" s="2"/>
      <c r="O1704" s="2"/>
      <c r="P1704" s="2"/>
      <c r="Q1704" s="2"/>
      <c r="R1704" s="2"/>
      <c r="S1704" s="2"/>
      <c r="T1704" s="2"/>
      <c r="U1704" s="2"/>
      <c r="V1704" s="2"/>
      <c r="W1704" s="2" t="str">
        <f>IFERROR(__xludf.DUMMYFUNCTION("""COMPUTED_VALUE"""),"VL103D")</f>
        <v>VL103D</v>
      </c>
      <c r="X1704" s="2"/>
      <c r="Y1704" s="2"/>
      <c r="Z1704" s="2"/>
      <c r="AA1704" s="2"/>
      <c r="AB1704" s="2"/>
    </row>
    <row r="1705">
      <c r="A1705" s="2"/>
      <c r="B1705" s="2"/>
      <c r="C1705" s="2"/>
      <c r="D1705" s="2"/>
      <c r="E1705" s="2"/>
      <c r="F1705" s="2"/>
      <c r="G1705" s="2"/>
      <c r="H1705" s="2"/>
      <c r="I1705" s="2"/>
      <c r="J1705" s="2"/>
      <c r="K1705" s="2"/>
      <c r="L1705" s="2"/>
      <c r="M1705" s="2"/>
      <c r="N1705" s="2"/>
      <c r="O1705" s="2"/>
      <c r="P1705" s="2"/>
      <c r="Q1705" s="2"/>
      <c r="R1705" s="2"/>
      <c r="S1705" s="2"/>
      <c r="T1705" s="2"/>
      <c r="U1705" s="2"/>
      <c r="V1705" s="2"/>
      <c r="W1705" s="2" t="str">
        <f>IFERROR(__xludf.DUMMYFUNCTION("""COMPUTED_VALUE"""),"VL103D")</f>
        <v>VL103D</v>
      </c>
      <c r="X1705" s="2"/>
      <c r="Y1705" s="2"/>
      <c r="Z1705" s="2"/>
      <c r="AA1705" s="2"/>
      <c r="AB1705" s="2"/>
    </row>
    <row r="1706">
      <c r="A1706" s="2"/>
      <c r="B1706" s="2"/>
      <c r="C1706" s="2"/>
      <c r="D1706" s="2"/>
      <c r="E1706" s="2"/>
      <c r="F1706" s="2"/>
      <c r="G1706" s="2"/>
      <c r="H1706" s="2"/>
      <c r="I1706" s="2"/>
      <c r="J1706" s="2"/>
      <c r="K1706" s="2"/>
      <c r="L1706" s="2"/>
      <c r="M1706" s="2"/>
      <c r="N1706" s="2"/>
      <c r="O1706" s="2"/>
      <c r="P1706" s="2"/>
      <c r="Q1706" s="2"/>
      <c r="R1706" s="2"/>
      <c r="S1706" s="2"/>
      <c r="T1706" s="2"/>
      <c r="U1706" s="2"/>
      <c r="V1706" s="2"/>
      <c r="W1706" s="2" t="str">
        <f>IFERROR(__xludf.DUMMYFUNCTION("""COMPUTED_VALUE"""),"VL103D")</f>
        <v>VL103D</v>
      </c>
      <c r="X1706" s="2"/>
      <c r="Y1706" s="2"/>
      <c r="Z1706" s="2"/>
      <c r="AA1706" s="2"/>
      <c r="AB1706" s="2"/>
    </row>
    <row r="1707">
      <c r="A1707" s="2"/>
      <c r="B1707" s="2"/>
      <c r="C1707" s="2"/>
      <c r="D1707" s="2"/>
      <c r="E1707" s="2"/>
      <c r="F1707" s="2"/>
      <c r="G1707" s="2"/>
      <c r="H1707" s="2"/>
      <c r="I1707" s="2"/>
      <c r="J1707" s="2"/>
      <c r="K1707" s="2"/>
      <c r="L1707" s="2"/>
      <c r="M1707" s="2"/>
      <c r="N1707" s="2"/>
      <c r="O1707" s="2"/>
      <c r="P1707" s="2"/>
      <c r="Q1707" s="2"/>
      <c r="R1707" s="2"/>
      <c r="S1707" s="2"/>
      <c r="T1707" s="2"/>
      <c r="U1707" s="2"/>
      <c r="V1707" s="2"/>
      <c r="W1707" s="2" t="str">
        <f>IFERROR(__xludf.DUMMYFUNCTION("""COMPUTED_VALUE"""),"VL103D")</f>
        <v>VL103D</v>
      </c>
      <c r="X1707" s="2"/>
      <c r="Y1707" s="2"/>
      <c r="Z1707" s="2"/>
      <c r="AA1707" s="2"/>
      <c r="AB1707" s="2"/>
    </row>
    <row r="1708">
      <c r="A1708" s="2"/>
      <c r="B1708" s="2"/>
      <c r="C1708" s="2"/>
      <c r="D1708" s="2"/>
      <c r="E1708" s="2"/>
      <c r="F1708" s="2"/>
      <c r="G1708" s="2"/>
      <c r="H1708" s="2"/>
      <c r="I1708" s="2"/>
      <c r="J1708" s="2"/>
      <c r="K1708" s="2"/>
      <c r="L1708" s="2"/>
      <c r="M1708" s="2"/>
      <c r="N1708" s="2"/>
      <c r="O1708" s="2"/>
      <c r="P1708" s="2"/>
      <c r="Q1708" s="2"/>
      <c r="R1708" s="2"/>
      <c r="S1708" s="2"/>
      <c r="T1708" s="2"/>
      <c r="U1708" s="2"/>
      <c r="V1708" s="2"/>
      <c r="W1708" s="2" t="str">
        <f>IFERROR(__xludf.DUMMYFUNCTION("""COMPUTED_VALUE"""),"VL103D")</f>
        <v>VL103D</v>
      </c>
      <c r="X1708" s="2"/>
      <c r="Y1708" s="2"/>
      <c r="Z1708" s="2"/>
      <c r="AA1708" s="2"/>
      <c r="AB1708" s="2"/>
    </row>
    <row r="1709">
      <c r="A1709" s="2"/>
      <c r="B1709" s="2"/>
      <c r="C1709" s="2"/>
      <c r="D1709" s="2"/>
      <c r="E1709" s="2"/>
      <c r="F1709" s="2"/>
      <c r="G1709" s="2"/>
      <c r="H1709" s="2"/>
      <c r="I1709" s="2"/>
      <c r="J1709" s="2"/>
      <c r="K1709" s="2"/>
      <c r="L1709" s="2"/>
      <c r="M1709" s="2"/>
      <c r="N1709" s="2"/>
      <c r="O1709" s="2"/>
      <c r="P1709" s="2"/>
      <c r="Q1709" s="2"/>
      <c r="R1709" s="2"/>
      <c r="S1709" s="2"/>
      <c r="T1709" s="2"/>
      <c r="U1709" s="2"/>
      <c r="V1709" s="2"/>
      <c r="W1709" s="2" t="str">
        <f>IFERROR(__xludf.DUMMYFUNCTION("""COMPUTED_VALUE"""),"VL103D")</f>
        <v>VL103D</v>
      </c>
      <c r="X1709" s="2"/>
      <c r="Y1709" s="2"/>
      <c r="Z1709" s="2"/>
      <c r="AA1709" s="2"/>
      <c r="AB1709" s="2"/>
    </row>
    <row r="1710">
      <c r="A1710" s="2"/>
      <c r="B1710" s="2"/>
      <c r="C1710" s="2"/>
      <c r="D1710" s="2"/>
      <c r="E1710" s="2"/>
      <c r="F1710" s="2"/>
      <c r="G1710" s="2"/>
      <c r="H1710" s="2"/>
      <c r="I1710" s="2"/>
      <c r="J1710" s="2"/>
      <c r="K1710" s="2"/>
      <c r="L1710" s="2"/>
      <c r="M1710" s="2"/>
      <c r="N1710" s="2"/>
      <c r="O1710" s="2"/>
      <c r="P1710" s="2"/>
      <c r="Q1710" s="2"/>
      <c r="R1710" s="2"/>
      <c r="S1710" s="2"/>
      <c r="T1710" s="2"/>
      <c r="U1710" s="2"/>
      <c r="V1710" s="2"/>
      <c r="W1710" s="2" t="str">
        <f>IFERROR(__xludf.DUMMYFUNCTION("""COMPUTED_VALUE"""),"VL103D")</f>
        <v>VL103D</v>
      </c>
      <c r="X1710" s="2"/>
      <c r="Y1710" s="2"/>
      <c r="Z1710" s="2"/>
      <c r="AA1710" s="2"/>
      <c r="AB1710" s="2"/>
    </row>
    <row r="1711">
      <c r="A1711" s="2"/>
      <c r="B1711" s="2"/>
      <c r="C1711" s="2"/>
      <c r="D1711" s="2"/>
      <c r="E1711" s="2"/>
      <c r="F1711" s="2"/>
      <c r="G1711" s="2"/>
      <c r="H1711" s="2"/>
      <c r="I1711" s="2"/>
      <c r="J1711" s="2"/>
      <c r="K1711" s="2"/>
      <c r="L1711" s="2"/>
      <c r="M1711" s="2"/>
      <c r="N1711" s="2"/>
      <c r="O1711" s="2"/>
      <c r="P1711" s="2"/>
      <c r="Q1711" s="2"/>
      <c r="R1711" s="2"/>
      <c r="S1711" s="2"/>
      <c r="T1711" s="2"/>
      <c r="U1711" s="2"/>
      <c r="V1711" s="2"/>
      <c r="W1711" s="2" t="str">
        <f>IFERROR(__xludf.DUMMYFUNCTION("""COMPUTED_VALUE"""),"VL103D")</f>
        <v>VL103D</v>
      </c>
      <c r="X1711" s="2"/>
      <c r="Y1711" s="2"/>
      <c r="Z1711" s="2"/>
      <c r="AA1711" s="2"/>
      <c r="AB1711" s="2"/>
    </row>
    <row r="1712">
      <c r="A1712" s="2"/>
      <c r="B1712" s="2"/>
      <c r="C1712" s="2"/>
      <c r="D1712" s="2"/>
      <c r="E1712" s="2"/>
      <c r="F1712" s="2"/>
      <c r="G1712" s="2"/>
      <c r="H1712" s="2"/>
      <c r="I1712" s="2"/>
      <c r="J1712" s="2"/>
      <c r="K1712" s="2"/>
      <c r="L1712" s="2"/>
      <c r="M1712" s="2"/>
      <c r="N1712" s="2"/>
      <c r="O1712" s="2"/>
      <c r="P1712" s="2"/>
      <c r="Q1712" s="2"/>
      <c r="R1712" s="2"/>
      <c r="S1712" s="2"/>
      <c r="T1712" s="2"/>
      <c r="U1712" s="2"/>
      <c r="V1712" s="2"/>
      <c r="W1712" s="2" t="str">
        <f>IFERROR(__xludf.DUMMYFUNCTION("""COMPUTED_VALUE"""),"VL103D")</f>
        <v>VL103D</v>
      </c>
      <c r="X1712" s="2"/>
      <c r="Y1712" s="2"/>
      <c r="Z1712" s="2"/>
      <c r="AA1712" s="2"/>
      <c r="AB1712" s="2"/>
    </row>
    <row r="1713">
      <c r="A1713" s="2"/>
      <c r="B1713" s="2"/>
      <c r="C1713" s="2"/>
      <c r="D1713" s="2"/>
      <c r="E1713" s="2"/>
      <c r="F1713" s="2"/>
      <c r="G1713" s="2"/>
      <c r="H1713" s="2"/>
      <c r="I1713" s="2"/>
      <c r="J1713" s="2"/>
      <c r="K1713" s="2"/>
      <c r="L1713" s="2"/>
      <c r="M1713" s="2"/>
      <c r="N1713" s="2"/>
      <c r="O1713" s="2"/>
      <c r="P1713" s="2"/>
      <c r="Q1713" s="2"/>
      <c r="R1713" s="2"/>
      <c r="S1713" s="2"/>
      <c r="T1713" s="2"/>
      <c r="U1713" s="2"/>
      <c r="V1713" s="2"/>
      <c r="W1713" s="2" t="str">
        <f>IFERROR(__xludf.DUMMYFUNCTION("""COMPUTED_VALUE"""),"VL103D")</f>
        <v>VL103D</v>
      </c>
      <c r="X1713" s="2"/>
      <c r="Y1713" s="2"/>
      <c r="Z1713" s="2"/>
      <c r="AA1713" s="2"/>
      <c r="AB1713" s="2"/>
    </row>
    <row r="1714">
      <c r="A1714" s="2"/>
      <c r="B1714" s="2"/>
      <c r="C1714" s="2"/>
      <c r="D1714" s="2"/>
      <c r="E1714" s="2"/>
      <c r="F1714" s="2"/>
      <c r="G1714" s="2"/>
      <c r="H1714" s="2"/>
      <c r="I1714" s="2"/>
      <c r="J1714" s="2"/>
      <c r="K1714" s="2"/>
      <c r="L1714" s="2"/>
      <c r="M1714" s="2"/>
      <c r="N1714" s="2"/>
      <c r="O1714" s="2"/>
      <c r="P1714" s="2"/>
      <c r="Q1714" s="2"/>
      <c r="R1714" s="2"/>
      <c r="S1714" s="2"/>
      <c r="T1714" s="2"/>
      <c r="U1714" s="2"/>
      <c r="V1714" s="2"/>
      <c r="W1714" s="2" t="str">
        <f>IFERROR(__xludf.DUMMYFUNCTION("""COMPUTED_VALUE"""),"VL103D")</f>
        <v>VL103D</v>
      </c>
      <c r="X1714" s="2"/>
      <c r="Y1714" s="2"/>
      <c r="Z1714" s="2"/>
      <c r="AA1714" s="2"/>
      <c r="AB1714" s="2"/>
    </row>
    <row r="1715">
      <c r="A1715" s="2"/>
      <c r="B1715" s="2"/>
      <c r="C1715" s="2"/>
      <c r="D1715" s="2"/>
      <c r="E1715" s="2"/>
      <c r="F1715" s="2"/>
      <c r="G1715" s="2"/>
      <c r="H1715" s="2"/>
      <c r="I1715" s="2"/>
      <c r="J1715" s="2"/>
      <c r="K1715" s="2"/>
      <c r="L1715" s="2"/>
      <c r="M1715" s="2"/>
      <c r="N1715" s="2"/>
      <c r="O1715" s="2"/>
      <c r="P1715" s="2"/>
      <c r="Q1715" s="2"/>
      <c r="R1715" s="2"/>
      <c r="S1715" s="2"/>
      <c r="T1715" s="2"/>
      <c r="U1715" s="2"/>
      <c r="V1715" s="2"/>
      <c r="W1715" s="2" t="str">
        <f>IFERROR(__xludf.DUMMYFUNCTION("""COMPUTED_VALUE"""),"VL103D")</f>
        <v>VL103D</v>
      </c>
      <c r="X1715" s="2"/>
      <c r="Y1715" s="2"/>
      <c r="Z1715" s="2"/>
      <c r="AA1715" s="2"/>
      <c r="AB1715" s="2"/>
    </row>
    <row r="1716">
      <c r="A1716" s="2"/>
      <c r="B1716" s="2"/>
      <c r="C1716" s="2"/>
      <c r="D1716" s="2"/>
      <c r="E1716" s="2"/>
      <c r="F1716" s="2"/>
      <c r="G1716" s="2"/>
      <c r="H1716" s="2"/>
      <c r="I1716" s="2"/>
      <c r="J1716" s="2"/>
      <c r="K1716" s="2"/>
      <c r="L1716" s="2"/>
      <c r="M1716" s="2"/>
      <c r="N1716" s="2"/>
      <c r="O1716" s="2"/>
      <c r="P1716" s="2"/>
      <c r="Q1716" s="2"/>
      <c r="R1716" s="2"/>
      <c r="S1716" s="2"/>
      <c r="T1716" s="2"/>
      <c r="U1716" s="2"/>
      <c r="V1716" s="2"/>
      <c r="W1716" s="2" t="str">
        <f>IFERROR(__xludf.DUMMYFUNCTION("""COMPUTED_VALUE"""),"VL103D")</f>
        <v>VL103D</v>
      </c>
      <c r="X1716" s="2"/>
      <c r="Y1716" s="2"/>
      <c r="Z1716" s="2"/>
      <c r="AA1716" s="2"/>
      <c r="AB1716" s="2"/>
    </row>
    <row r="1717">
      <c r="A1717" s="2"/>
      <c r="B1717" s="2"/>
      <c r="C1717" s="2"/>
      <c r="D1717" s="2"/>
      <c r="E1717" s="2"/>
      <c r="F1717" s="2"/>
      <c r="G1717" s="2"/>
      <c r="H1717" s="2"/>
      <c r="I1717" s="2"/>
      <c r="J1717" s="2"/>
      <c r="K1717" s="2"/>
      <c r="L1717" s="2"/>
      <c r="M1717" s="2"/>
      <c r="N1717" s="2"/>
      <c r="O1717" s="2"/>
      <c r="P1717" s="2"/>
      <c r="Q1717" s="2"/>
      <c r="R1717" s="2"/>
      <c r="S1717" s="2"/>
      <c r="T1717" s="2"/>
      <c r="U1717" s="2"/>
      <c r="V1717" s="2"/>
      <c r="W1717" s="2" t="str">
        <f>IFERROR(__xludf.DUMMYFUNCTION("""COMPUTED_VALUE"""),"VL103D")</f>
        <v>VL103D</v>
      </c>
      <c r="X1717" s="2"/>
      <c r="Y1717" s="2"/>
      <c r="Z1717" s="2"/>
      <c r="AA1717" s="2"/>
      <c r="AB1717" s="2"/>
    </row>
    <row r="1718">
      <c r="A1718" s="2"/>
      <c r="B1718" s="2"/>
      <c r="C1718" s="2"/>
      <c r="D1718" s="2"/>
      <c r="E1718" s="2"/>
      <c r="F1718" s="2"/>
      <c r="G1718" s="2"/>
      <c r="H1718" s="2"/>
      <c r="I1718" s="2"/>
      <c r="J1718" s="2"/>
      <c r="K1718" s="2"/>
      <c r="L1718" s="2"/>
      <c r="M1718" s="2"/>
      <c r="N1718" s="2"/>
      <c r="O1718" s="2"/>
      <c r="P1718" s="2"/>
      <c r="Q1718" s="2"/>
      <c r="R1718" s="2"/>
      <c r="S1718" s="2"/>
      <c r="T1718" s="2"/>
      <c r="U1718" s="2"/>
      <c r="V1718" s="2"/>
      <c r="W1718" s="2" t="str">
        <f>IFERROR(__xludf.DUMMYFUNCTION("""COMPUTED_VALUE"""),"VL103D")</f>
        <v>VL103D</v>
      </c>
      <c r="X1718" s="2"/>
      <c r="Y1718" s="2"/>
      <c r="Z1718" s="2"/>
      <c r="AA1718" s="2"/>
      <c r="AB1718" s="2"/>
    </row>
    <row r="1719">
      <c r="A1719" s="2"/>
      <c r="B1719" s="2"/>
      <c r="C1719" s="2"/>
      <c r="D1719" s="2"/>
      <c r="E1719" s="2"/>
      <c r="F1719" s="2"/>
      <c r="G1719" s="2"/>
      <c r="H1719" s="2"/>
      <c r="I1719" s="2"/>
      <c r="J1719" s="2"/>
      <c r="K1719" s="2"/>
      <c r="L1719" s="2"/>
      <c r="M1719" s="2"/>
      <c r="N1719" s="2"/>
      <c r="O1719" s="2"/>
      <c r="P1719" s="2"/>
      <c r="Q1719" s="2"/>
      <c r="R1719" s="2"/>
      <c r="S1719" s="2"/>
      <c r="T1719" s="2"/>
      <c r="U1719" s="2"/>
      <c r="V1719" s="2"/>
      <c r="W1719" s="2" t="str">
        <f>IFERROR(__xludf.DUMMYFUNCTION("""COMPUTED_VALUE"""),"VL103D")</f>
        <v>VL103D</v>
      </c>
      <c r="X1719" s="2"/>
      <c r="Y1719" s="2"/>
      <c r="Z1719" s="2"/>
      <c r="AA1719" s="2"/>
      <c r="AB1719" s="2"/>
    </row>
    <row r="1720">
      <c r="A1720" s="2"/>
      <c r="B1720" s="2"/>
      <c r="C1720" s="2"/>
      <c r="D1720" s="2"/>
      <c r="E1720" s="2"/>
      <c r="F1720" s="2"/>
      <c r="G1720" s="2"/>
      <c r="H1720" s="2"/>
      <c r="I1720" s="2"/>
      <c r="J1720" s="2"/>
      <c r="K1720" s="2"/>
      <c r="L1720" s="2"/>
      <c r="M1720" s="2"/>
      <c r="N1720" s="2"/>
      <c r="O1720" s="2"/>
      <c r="P1720" s="2"/>
      <c r="Q1720" s="2"/>
      <c r="R1720" s="2"/>
      <c r="S1720" s="2"/>
      <c r="T1720" s="2"/>
      <c r="U1720" s="2"/>
      <c r="V1720" s="2"/>
      <c r="W1720" s="2" t="str">
        <f>IFERROR(__xludf.DUMMYFUNCTION("""COMPUTED_VALUE"""),"VL103D")</f>
        <v>VL103D</v>
      </c>
      <c r="X1720" s="2"/>
      <c r="Y1720" s="2"/>
      <c r="Z1720" s="2"/>
      <c r="AA1720" s="2"/>
      <c r="AB1720" s="2"/>
    </row>
    <row r="1721">
      <c r="A1721" s="2"/>
      <c r="B1721" s="2"/>
      <c r="C1721" s="2"/>
      <c r="D1721" s="2"/>
      <c r="E1721" s="2"/>
      <c r="F1721" s="2"/>
      <c r="G1721" s="2"/>
      <c r="H1721" s="2"/>
      <c r="I1721" s="2"/>
      <c r="J1721" s="2"/>
      <c r="K1721" s="2"/>
      <c r="L1721" s="2"/>
      <c r="M1721" s="2"/>
      <c r="N1721" s="2"/>
      <c r="O1721" s="2"/>
      <c r="P1721" s="2"/>
      <c r="Q1721" s="2"/>
      <c r="R1721" s="2"/>
      <c r="S1721" s="2"/>
      <c r="T1721" s="2"/>
      <c r="U1721" s="2"/>
      <c r="V1721" s="2"/>
      <c r="W1721" s="2" t="str">
        <f>IFERROR(__xludf.DUMMYFUNCTION("""COMPUTED_VALUE"""),"VL103D")</f>
        <v>VL103D</v>
      </c>
      <c r="X1721" s="2"/>
      <c r="Y1721" s="2"/>
      <c r="Z1721" s="2"/>
      <c r="AA1721" s="2"/>
      <c r="AB1721" s="2"/>
    </row>
    <row r="1722">
      <c r="A1722" s="2"/>
      <c r="B1722" s="2"/>
      <c r="C1722" s="2"/>
      <c r="D1722" s="2"/>
      <c r="E1722" s="2"/>
      <c r="F1722" s="2"/>
      <c r="G1722" s="2"/>
      <c r="H1722" s="2"/>
      <c r="I1722" s="2"/>
      <c r="J1722" s="2"/>
      <c r="K1722" s="2"/>
      <c r="L1722" s="2"/>
      <c r="M1722" s="2"/>
      <c r="N1722" s="2"/>
      <c r="O1722" s="2"/>
      <c r="P1722" s="2"/>
      <c r="Q1722" s="2"/>
      <c r="R1722" s="2"/>
      <c r="S1722" s="2"/>
      <c r="T1722" s="2"/>
      <c r="U1722" s="2"/>
      <c r="V1722" s="2"/>
      <c r="W1722" s="2" t="str">
        <f>IFERROR(__xludf.DUMMYFUNCTION("""COMPUTED_VALUE"""),"VL103D")</f>
        <v>VL103D</v>
      </c>
      <c r="X1722" s="2"/>
      <c r="Y1722" s="2"/>
      <c r="Z1722" s="2"/>
      <c r="AA1722" s="2"/>
      <c r="AB1722" s="2"/>
    </row>
    <row r="1723">
      <c r="A1723" s="2"/>
      <c r="B1723" s="2"/>
      <c r="C1723" s="2"/>
      <c r="D1723" s="2"/>
      <c r="E1723" s="2"/>
      <c r="F1723" s="2"/>
      <c r="G1723" s="2"/>
      <c r="H1723" s="2"/>
      <c r="I1723" s="2"/>
      <c r="J1723" s="2"/>
      <c r="K1723" s="2"/>
      <c r="L1723" s="2"/>
      <c r="M1723" s="2"/>
      <c r="N1723" s="2"/>
      <c r="O1723" s="2"/>
      <c r="P1723" s="2"/>
      <c r="Q1723" s="2"/>
      <c r="R1723" s="2"/>
      <c r="S1723" s="2"/>
      <c r="T1723" s="2"/>
      <c r="U1723" s="2"/>
      <c r="V1723" s="2"/>
      <c r="W1723" s="2" t="str">
        <f>IFERROR(__xludf.DUMMYFUNCTION("""COMPUTED_VALUE"""),"VL103D")</f>
        <v>VL103D</v>
      </c>
      <c r="X1723" s="2"/>
      <c r="Y1723" s="2"/>
      <c r="Z1723" s="2"/>
      <c r="AA1723" s="2"/>
      <c r="AB1723" s="2"/>
    </row>
    <row r="1724">
      <c r="A1724" s="2"/>
      <c r="B1724" s="2"/>
      <c r="C1724" s="2"/>
      <c r="D1724" s="2"/>
      <c r="E1724" s="2"/>
      <c r="F1724" s="2"/>
      <c r="G1724" s="2"/>
      <c r="H1724" s="2"/>
      <c r="I1724" s="2"/>
      <c r="J1724" s="2"/>
      <c r="K1724" s="2"/>
      <c r="L1724" s="2"/>
      <c r="M1724" s="2"/>
      <c r="N1724" s="2"/>
      <c r="O1724" s="2"/>
      <c r="P1724" s="2"/>
      <c r="Q1724" s="2"/>
      <c r="R1724" s="2"/>
      <c r="S1724" s="2"/>
      <c r="T1724" s="2"/>
      <c r="U1724" s="2"/>
      <c r="V1724" s="2"/>
      <c r="W1724" s="2" t="str">
        <f>IFERROR(__xludf.DUMMYFUNCTION("""COMPUTED_VALUE"""),"VL103D")</f>
        <v>VL103D</v>
      </c>
      <c r="X1724" s="2"/>
      <c r="Y1724" s="2"/>
      <c r="Z1724" s="2"/>
      <c r="AA1724" s="2"/>
      <c r="AB1724" s="2"/>
    </row>
    <row r="1725">
      <c r="A1725" s="2"/>
      <c r="B1725" s="2"/>
      <c r="C1725" s="2"/>
      <c r="D1725" s="2"/>
      <c r="E1725" s="2"/>
      <c r="F1725" s="2"/>
      <c r="G1725" s="2"/>
      <c r="H1725" s="2"/>
      <c r="I1725" s="2"/>
      <c r="J1725" s="2"/>
      <c r="K1725" s="2"/>
      <c r="L1725" s="2"/>
      <c r="M1725" s="2"/>
      <c r="N1725" s="2"/>
      <c r="O1725" s="2"/>
      <c r="P1725" s="2"/>
      <c r="Q1725" s="2"/>
      <c r="R1725" s="2"/>
      <c r="S1725" s="2"/>
      <c r="T1725" s="2"/>
      <c r="U1725" s="2"/>
      <c r="V1725" s="2"/>
      <c r="W1725" s="2" t="str">
        <f>IFERROR(__xludf.DUMMYFUNCTION("""COMPUTED_VALUE"""),"VL103D")</f>
        <v>VL103D</v>
      </c>
      <c r="X1725" s="2"/>
      <c r="Y1725" s="2"/>
      <c r="Z1725" s="2"/>
      <c r="AA1725" s="2"/>
      <c r="AB1725" s="2"/>
    </row>
    <row r="1726">
      <c r="A1726" s="2"/>
      <c r="B1726" s="2"/>
      <c r="C1726" s="2"/>
      <c r="D1726" s="2"/>
      <c r="E1726" s="2"/>
      <c r="F1726" s="2"/>
      <c r="G1726" s="2"/>
      <c r="H1726" s="2"/>
      <c r="I1726" s="2"/>
      <c r="J1726" s="2"/>
      <c r="K1726" s="2"/>
      <c r="L1726" s="2"/>
      <c r="M1726" s="2"/>
      <c r="N1726" s="2"/>
      <c r="O1726" s="2"/>
      <c r="P1726" s="2"/>
      <c r="Q1726" s="2"/>
      <c r="R1726" s="2"/>
      <c r="S1726" s="2"/>
      <c r="T1726" s="2"/>
      <c r="U1726" s="2"/>
      <c r="V1726" s="2"/>
      <c r="W1726" s="2" t="str">
        <f>IFERROR(__xludf.DUMMYFUNCTION("""COMPUTED_VALUE"""),"VL103D")</f>
        <v>VL103D</v>
      </c>
      <c r="X1726" s="2"/>
      <c r="Y1726" s="2"/>
      <c r="Z1726" s="2"/>
      <c r="AA1726" s="2"/>
      <c r="AB1726" s="2"/>
    </row>
    <row r="1727">
      <c r="A1727" s="2"/>
      <c r="B1727" s="2"/>
      <c r="C1727" s="2"/>
      <c r="D1727" s="2"/>
      <c r="E1727" s="2"/>
      <c r="F1727" s="2"/>
      <c r="G1727" s="2"/>
      <c r="H1727" s="2"/>
      <c r="I1727" s="2"/>
      <c r="J1727" s="2"/>
      <c r="K1727" s="2"/>
      <c r="L1727" s="2"/>
      <c r="M1727" s="2"/>
      <c r="N1727" s="2"/>
      <c r="O1727" s="2"/>
      <c r="P1727" s="2"/>
      <c r="Q1727" s="2"/>
      <c r="R1727" s="2"/>
      <c r="S1727" s="2"/>
      <c r="T1727" s="2"/>
      <c r="U1727" s="2"/>
      <c r="V1727" s="2"/>
      <c r="W1727" s="2" t="str">
        <f>IFERROR(__xludf.DUMMYFUNCTION("""COMPUTED_VALUE"""),"VL103D")</f>
        <v>VL103D</v>
      </c>
      <c r="X1727" s="2"/>
      <c r="Y1727" s="2"/>
      <c r="Z1727" s="2"/>
      <c r="AA1727" s="2"/>
      <c r="AB1727" s="2"/>
    </row>
    <row r="1728">
      <c r="A1728" s="2"/>
      <c r="B1728" s="2"/>
      <c r="C1728" s="2"/>
      <c r="D1728" s="2"/>
      <c r="E1728" s="2"/>
      <c r="F1728" s="2"/>
      <c r="G1728" s="2"/>
      <c r="H1728" s="2"/>
      <c r="I1728" s="2"/>
      <c r="J1728" s="2"/>
      <c r="K1728" s="2"/>
      <c r="L1728" s="2"/>
      <c r="M1728" s="2"/>
      <c r="N1728" s="2"/>
      <c r="O1728" s="2"/>
      <c r="P1728" s="2"/>
      <c r="Q1728" s="2"/>
      <c r="R1728" s="2"/>
      <c r="S1728" s="2"/>
      <c r="T1728" s="2"/>
      <c r="U1728" s="2"/>
      <c r="V1728" s="2"/>
      <c r="W1728" s="2" t="str">
        <f>IFERROR(__xludf.DUMMYFUNCTION("""COMPUTED_VALUE"""),"VL103D")</f>
        <v>VL103D</v>
      </c>
      <c r="X1728" s="2"/>
      <c r="Y1728" s="2"/>
      <c r="Z1728" s="2"/>
      <c r="AA1728" s="2"/>
      <c r="AB1728" s="2"/>
    </row>
    <row r="1729">
      <c r="A1729" s="2"/>
      <c r="B1729" s="2"/>
      <c r="C1729" s="2"/>
      <c r="D1729" s="2"/>
      <c r="E1729" s="2"/>
      <c r="F1729" s="2"/>
      <c r="G1729" s="2"/>
      <c r="H1729" s="2"/>
      <c r="I1729" s="2"/>
      <c r="J1729" s="2"/>
      <c r="K1729" s="2"/>
      <c r="L1729" s="2"/>
      <c r="M1729" s="2"/>
      <c r="N1729" s="2"/>
      <c r="O1729" s="2"/>
      <c r="P1729" s="2"/>
      <c r="Q1729" s="2"/>
      <c r="R1729" s="2"/>
      <c r="S1729" s="2"/>
      <c r="T1729" s="2"/>
      <c r="U1729" s="2"/>
      <c r="V1729" s="2"/>
      <c r="W1729" s="2" t="str">
        <f>IFERROR(__xludf.DUMMYFUNCTION("""COMPUTED_VALUE"""),"VL103D")</f>
        <v>VL103D</v>
      </c>
      <c r="X1729" s="2"/>
      <c r="Y1729" s="2"/>
      <c r="Z1729" s="2"/>
      <c r="AA1729" s="2"/>
      <c r="AB1729" s="2"/>
    </row>
    <row r="1730">
      <c r="A1730" s="2"/>
      <c r="B1730" s="2"/>
      <c r="C1730" s="2"/>
      <c r="D1730" s="2"/>
      <c r="E1730" s="2"/>
      <c r="F1730" s="2"/>
      <c r="G1730" s="2"/>
      <c r="H1730" s="2"/>
      <c r="I1730" s="2"/>
      <c r="J1730" s="2"/>
      <c r="K1730" s="2"/>
      <c r="L1730" s="2"/>
      <c r="M1730" s="2"/>
      <c r="N1730" s="2"/>
      <c r="O1730" s="2"/>
      <c r="P1730" s="2"/>
      <c r="Q1730" s="2"/>
      <c r="R1730" s="2"/>
      <c r="S1730" s="2"/>
      <c r="T1730" s="2"/>
      <c r="U1730" s="2"/>
      <c r="V1730" s="2"/>
      <c r="W1730" s="2" t="str">
        <f>IFERROR(__xludf.DUMMYFUNCTION("""COMPUTED_VALUE"""),"VL103D")</f>
        <v>VL103D</v>
      </c>
      <c r="X1730" s="2"/>
      <c r="Y1730" s="2"/>
      <c r="Z1730" s="2"/>
      <c r="AA1730" s="2"/>
      <c r="AB1730" s="2"/>
    </row>
    <row r="1731">
      <c r="A1731" s="2"/>
      <c r="B1731" s="2"/>
      <c r="C1731" s="2"/>
      <c r="D1731" s="2"/>
      <c r="E1731" s="2"/>
      <c r="F1731" s="2"/>
      <c r="G1731" s="2"/>
      <c r="H1731" s="2"/>
      <c r="I1731" s="2"/>
      <c r="J1731" s="2"/>
      <c r="K1731" s="2"/>
      <c r="L1731" s="2"/>
      <c r="M1731" s="2"/>
      <c r="N1731" s="2"/>
      <c r="O1731" s="2"/>
      <c r="P1731" s="2"/>
      <c r="Q1731" s="2"/>
      <c r="R1731" s="2"/>
      <c r="S1731" s="2"/>
      <c r="T1731" s="2"/>
      <c r="U1731" s="2"/>
      <c r="V1731" s="2"/>
      <c r="W1731" s="2" t="str">
        <f>IFERROR(__xludf.DUMMYFUNCTION("""COMPUTED_VALUE"""),"VL103D")</f>
        <v>VL103D</v>
      </c>
      <c r="X1731" s="2"/>
      <c r="Y1731" s="2"/>
      <c r="Z1731" s="2"/>
      <c r="AA1731" s="2"/>
      <c r="AB1731" s="2"/>
    </row>
    <row r="1732">
      <c r="A1732" s="2"/>
      <c r="B1732" s="2"/>
      <c r="C1732" s="2"/>
      <c r="D1732" s="2"/>
      <c r="E1732" s="2"/>
      <c r="F1732" s="2"/>
      <c r="G1732" s="2"/>
      <c r="H1732" s="2"/>
      <c r="I1732" s="2"/>
      <c r="J1732" s="2"/>
      <c r="K1732" s="2"/>
      <c r="L1732" s="2"/>
      <c r="M1732" s="2"/>
      <c r="N1732" s="2"/>
      <c r="O1732" s="2"/>
      <c r="P1732" s="2"/>
      <c r="Q1732" s="2"/>
      <c r="R1732" s="2"/>
      <c r="S1732" s="2"/>
      <c r="T1732" s="2"/>
      <c r="U1732" s="2"/>
      <c r="V1732" s="2"/>
      <c r="W1732" s="2" t="str">
        <f>IFERROR(__xludf.DUMMYFUNCTION("""COMPUTED_VALUE"""),"VL103D")</f>
        <v>VL103D</v>
      </c>
      <c r="X1732" s="2"/>
      <c r="Y1732" s="2"/>
      <c r="Z1732" s="2"/>
      <c r="AA1732" s="2"/>
      <c r="AB1732" s="2"/>
    </row>
    <row r="1733">
      <c r="A1733" s="2"/>
      <c r="B1733" s="2"/>
      <c r="C1733" s="2"/>
      <c r="D1733" s="2"/>
      <c r="E1733" s="2"/>
      <c r="F1733" s="2"/>
      <c r="G1733" s="2"/>
      <c r="H1733" s="2"/>
      <c r="I1733" s="2"/>
      <c r="J1733" s="2"/>
      <c r="K1733" s="2"/>
      <c r="L1733" s="2"/>
      <c r="M1733" s="2"/>
      <c r="N1733" s="2"/>
      <c r="O1733" s="2"/>
      <c r="P1733" s="2"/>
      <c r="Q1733" s="2"/>
      <c r="R1733" s="2"/>
      <c r="S1733" s="2"/>
      <c r="T1733" s="2"/>
      <c r="U1733" s="2"/>
      <c r="V1733" s="2"/>
      <c r="W1733" s="2" t="str">
        <f>IFERROR(__xludf.DUMMYFUNCTION("""COMPUTED_VALUE"""),"VL103D")</f>
        <v>VL103D</v>
      </c>
      <c r="X1733" s="2"/>
      <c r="Y1733" s="2"/>
      <c r="Z1733" s="2"/>
      <c r="AA1733" s="2"/>
      <c r="AB1733" s="2"/>
    </row>
    <row r="1734">
      <c r="A1734" s="2"/>
      <c r="B1734" s="2"/>
      <c r="C1734" s="2"/>
      <c r="D1734" s="2"/>
      <c r="E1734" s="2"/>
      <c r="F1734" s="2"/>
      <c r="G1734" s="2"/>
      <c r="H1734" s="2"/>
      <c r="I1734" s="2"/>
      <c r="J1734" s="2"/>
      <c r="K1734" s="2"/>
      <c r="L1734" s="2"/>
      <c r="M1734" s="2"/>
      <c r="N1734" s="2"/>
      <c r="O1734" s="2"/>
      <c r="P1734" s="2"/>
      <c r="Q1734" s="2"/>
      <c r="R1734" s="2"/>
      <c r="S1734" s="2"/>
      <c r="T1734" s="2"/>
      <c r="U1734" s="2"/>
      <c r="V1734" s="2"/>
      <c r="W1734" s="2" t="str">
        <f>IFERROR(__xludf.DUMMYFUNCTION("""COMPUTED_VALUE"""),"VL103D")</f>
        <v>VL103D</v>
      </c>
      <c r="X1734" s="2"/>
      <c r="Y1734" s="2"/>
      <c r="Z1734" s="2"/>
      <c r="AA1734" s="2"/>
      <c r="AB1734" s="2"/>
    </row>
    <row r="1735">
      <c r="A1735" s="2"/>
      <c r="B1735" s="2"/>
      <c r="C1735" s="2"/>
      <c r="D1735" s="2"/>
      <c r="E1735" s="2"/>
      <c r="F1735" s="2"/>
      <c r="G1735" s="2"/>
      <c r="H1735" s="2"/>
      <c r="I1735" s="2"/>
      <c r="J1735" s="2"/>
      <c r="K1735" s="2"/>
      <c r="L1735" s="2"/>
      <c r="M1735" s="2"/>
      <c r="N1735" s="2"/>
      <c r="O1735" s="2"/>
      <c r="P1735" s="2"/>
      <c r="Q1735" s="2"/>
      <c r="R1735" s="2"/>
      <c r="S1735" s="2"/>
      <c r="T1735" s="2"/>
      <c r="U1735" s="2"/>
      <c r="V1735" s="2"/>
      <c r="W1735" s="2" t="str">
        <f>IFERROR(__xludf.DUMMYFUNCTION("""COMPUTED_VALUE"""),"VL103D")</f>
        <v>VL103D</v>
      </c>
      <c r="X1735" s="2"/>
      <c r="Y1735" s="2"/>
      <c r="Z1735" s="2"/>
      <c r="AA1735" s="2"/>
      <c r="AB1735" s="2"/>
    </row>
    <row r="1736">
      <c r="A1736" s="2"/>
      <c r="B1736" s="2"/>
      <c r="C1736" s="2"/>
      <c r="D1736" s="2"/>
      <c r="E1736" s="2"/>
      <c r="F1736" s="2"/>
      <c r="G1736" s="2"/>
      <c r="H1736" s="2"/>
      <c r="I1736" s="2"/>
      <c r="J1736" s="2"/>
      <c r="K1736" s="2"/>
      <c r="L1736" s="2"/>
      <c r="M1736" s="2"/>
      <c r="N1736" s="2"/>
      <c r="O1736" s="2"/>
      <c r="P1736" s="2"/>
      <c r="Q1736" s="2"/>
      <c r="R1736" s="2"/>
      <c r="S1736" s="2"/>
      <c r="T1736" s="2"/>
      <c r="U1736" s="2"/>
      <c r="V1736" s="2"/>
      <c r="W1736" s="2" t="str">
        <f>IFERROR(__xludf.DUMMYFUNCTION("""COMPUTED_VALUE"""),"VL103D")</f>
        <v>VL103D</v>
      </c>
      <c r="X1736" s="2"/>
      <c r="Y1736" s="2"/>
      <c r="Z1736" s="2"/>
      <c r="AA1736" s="2"/>
      <c r="AB1736" s="2"/>
    </row>
    <row r="1737">
      <c r="A1737" s="2"/>
      <c r="B1737" s="2"/>
      <c r="C1737" s="2"/>
      <c r="D1737" s="2"/>
      <c r="E1737" s="2"/>
      <c r="F1737" s="2"/>
      <c r="G1737" s="2"/>
      <c r="H1737" s="2"/>
      <c r="I1737" s="2"/>
      <c r="J1737" s="2"/>
      <c r="K1737" s="2"/>
      <c r="L1737" s="2"/>
      <c r="M1737" s="2"/>
      <c r="N1737" s="2"/>
      <c r="O1737" s="2"/>
      <c r="P1737" s="2"/>
      <c r="Q1737" s="2"/>
      <c r="R1737" s="2"/>
      <c r="S1737" s="2"/>
      <c r="T1737" s="2"/>
      <c r="U1737" s="2"/>
      <c r="V1737" s="2"/>
      <c r="W1737" s="2" t="str">
        <f>IFERROR(__xludf.DUMMYFUNCTION("""COMPUTED_VALUE"""),"VL103D")</f>
        <v>VL103D</v>
      </c>
      <c r="X1737" s="2"/>
      <c r="Y1737" s="2"/>
      <c r="Z1737" s="2"/>
      <c r="AA1737" s="2"/>
      <c r="AB1737" s="2"/>
    </row>
    <row r="1738">
      <c r="A1738" s="2"/>
      <c r="B1738" s="2"/>
      <c r="C1738" s="2"/>
      <c r="D1738" s="2"/>
      <c r="E1738" s="2"/>
      <c r="F1738" s="2"/>
      <c r="G1738" s="2"/>
      <c r="H1738" s="2"/>
      <c r="I1738" s="2"/>
      <c r="J1738" s="2"/>
      <c r="K1738" s="2"/>
      <c r="L1738" s="2"/>
      <c r="M1738" s="2"/>
      <c r="N1738" s="2"/>
      <c r="O1738" s="2"/>
      <c r="P1738" s="2"/>
      <c r="Q1738" s="2"/>
      <c r="R1738" s="2"/>
      <c r="S1738" s="2"/>
      <c r="T1738" s="2"/>
      <c r="U1738" s="2"/>
      <c r="V1738" s="2"/>
      <c r="W1738" s="2" t="str">
        <f>IFERROR(__xludf.DUMMYFUNCTION("""COMPUTED_VALUE"""),"VL103D")</f>
        <v>VL103D</v>
      </c>
      <c r="X1738" s="2"/>
      <c r="Y1738" s="2"/>
      <c r="Z1738" s="2"/>
      <c r="AA1738" s="2"/>
      <c r="AB1738" s="2"/>
    </row>
    <row r="1739">
      <c r="A1739" s="2"/>
      <c r="B1739" s="2"/>
      <c r="C1739" s="2"/>
      <c r="D1739" s="2"/>
      <c r="E1739" s="2"/>
      <c r="F1739" s="2"/>
      <c r="G1739" s="2"/>
      <c r="H1739" s="2"/>
      <c r="I1739" s="2"/>
      <c r="J1739" s="2"/>
      <c r="K1739" s="2"/>
      <c r="L1739" s="2"/>
      <c r="M1739" s="2"/>
      <c r="N1739" s="2"/>
      <c r="O1739" s="2"/>
      <c r="P1739" s="2"/>
      <c r="Q1739" s="2"/>
      <c r="R1739" s="2"/>
      <c r="S1739" s="2"/>
      <c r="T1739" s="2"/>
      <c r="U1739" s="2"/>
      <c r="V1739" s="2"/>
      <c r="W1739" s="2" t="str">
        <f>IFERROR(__xludf.DUMMYFUNCTION("""COMPUTED_VALUE"""),"VL103D")</f>
        <v>VL103D</v>
      </c>
      <c r="X1739" s="2"/>
      <c r="Y1739" s="2"/>
      <c r="Z1739" s="2"/>
      <c r="AA1739" s="2"/>
      <c r="AB1739" s="2"/>
    </row>
    <row r="1740">
      <c r="A1740" s="2"/>
      <c r="B1740" s="2"/>
      <c r="C1740" s="2"/>
      <c r="D1740" s="2"/>
      <c r="E1740" s="2"/>
      <c r="F1740" s="2"/>
      <c r="G1740" s="2"/>
      <c r="H1740" s="2"/>
      <c r="I1740" s="2"/>
      <c r="J1740" s="2"/>
      <c r="K1740" s="2"/>
      <c r="L1740" s="2"/>
      <c r="M1740" s="2"/>
      <c r="N1740" s="2"/>
      <c r="O1740" s="2"/>
      <c r="P1740" s="2"/>
      <c r="Q1740" s="2"/>
      <c r="R1740" s="2"/>
      <c r="S1740" s="2"/>
      <c r="T1740" s="2"/>
      <c r="U1740" s="2"/>
      <c r="V1740" s="2"/>
      <c r="W1740" s="2" t="str">
        <f>IFERROR(__xludf.DUMMYFUNCTION("""COMPUTED_VALUE"""),"VL103D")</f>
        <v>VL103D</v>
      </c>
      <c r="X1740" s="2"/>
      <c r="Y1740" s="2"/>
      <c r="Z1740" s="2"/>
      <c r="AA1740" s="2"/>
      <c r="AB1740" s="2"/>
    </row>
    <row r="1741">
      <c r="A1741" s="2"/>
      <c r="B1741" s="2"/>
      <c r="C1741" s="2"/>
      <c r="D1741" s="2"/>
      <c r="E1741" s="2"/>
      <c r="F1741" s="2"/>
      <c r="G1741" s="2"/>
      <c r="H1741" s="2"/>
      <c r="I1741" s="2"/>
      <c r="J1741" s="2"/>
      <c r="K1741" s="2"/>
      <c r="L1741" s="2"/>
      <c r="M1741" s="2"/>
      <c r="N1741" s="2"/>
      <c r="O1741" s="2"/>
      <c r="P1741" s="2"/>
      <c r="Q1741" s="2"/>
      <c r="R1741" s="2"/>
      <c r="S1741" s="2"/>
      <c r="T1741" s="2"/>
      <c r="U1741" s="2"/>
      <c r="V1741" s="2"/>
      <c r="W1741" s="2" t="str">
        <f>IFERROR(__xludf.DUMMYFUNCTION("""COMPUTED_VALUE"""),"VL103D")</f>
        <v>VL103D</v>
      </c>
      <c r="X1741" s="2"/>
      <c r="Y1741" s="2"/>
      <c r="Z1741" s="2"/>
      <c r="AA1741" s="2"/>
      <c r="AB1741" s="2"/>
    </row>
    <row r="1742">
      <c r="A1742" s="2"/>
      <c r="B1742" s="2"/>
      <c r="C1742" s="2"/>
      <c r="D1742" s="2"/>
      <c r="E1742" s="2"/>
      <c r="F1742" s="2"/>
      <c r="G1742" s="2"/>
      <c r="H1742" s="2"/>
      <c r="I1742" s="2"/>
      <c r="J1742" s="2"/>
      <c r="K1742" s="2"/>
      <c r="L1742" s="2"/>
      <c r="M1742" s="2"/>
      <c r="N1742" s="2"/>
      <c r="O1742" s="2"/>
      <c r="P1742" s="2"/>
      <c r="Q1742" s="2"/>
      <c r="R1742" s="2"/>
      <c r="S1742" s="2"/>
      <c r="T1742" s="2"/>
      <c r="U1742" s="2"/>
      <c r="V1742" s="2"/>
      <c r="W1742" s="2" t="str">
        <f>IFERROR(__xludf.DUMMYFUNCTION("""COMPUTED_VALUE"""),"VL103D")</f>
        <v>VL103D</v>
      </c>
      <c r="X1742" s="2"/>
      <c r="Y1742" s="2"/>
      <c r="Z1742" s="2"/>
      <c r="AA1742" s="2"/>
      <c r="AB1742" s="2"/>
    </row>
    <row r="1743">
      <c r="A1743" s="2"/>
      <c r="B1743" s="2"/>
      <c r="C1743" s="2"/>
      <c r="D1743" s="2"/>
      <c r="E1743" s="2"/>
      <c r="F1743" s="2"/>
      <c r="G1743" s="2"/>
      <c r="H1743" s="2"/>
      <c r="I1743" s="2"/>
      <c r="J1743" s="2"/>
      <c r="K1743" s="2"/>
      <c r="L1743" s="2"/>
      <c r="M1743" s="2"/>
      <c r="N1743" s="2"/>
      <c r="O1743" s="2"/>
      <c r="P1743" s="2"/>
      <c r="Q1743" s="2"/>
      <c r="R1743" s="2"/>
      <c r="S1743" s="2"/>
      <c r="T1743" s="2"/>
      <c r="U1743" s="2"/>
      <c r="V1743" s="2"/>
      <c r="W1743" s="2" t="str">
        <f>IFERROR(__xludf.DUMMYFUNCTION("""COMPUTED_VALUE"""),"VL103D")</f>
        <v>VL103D</v>
      </c>
      <c r="X1743" s="2"/>
      <c r="Y1743" s="2"/>
      <c r="Z1743" s="2"/>
      <c r="AA1743" s="2"/>
      <c r="AB1743" s="2"/>
    </row>
    <row r="1744">
      <c r="A1744" s="2"/>
      <c r="B1744" s="2"/>
      <c r="C1744" s="2"/>
      <c r="D1744" s="2"/>
      <c r="E1744" s="2"/>
      <c r="F1744" s="2"/>
      <c r="G1744" s="2"/>
      <c r="H1744" s="2"/>
      <c r="I1744" s="2"/>
      <c r="J1744" s="2"/>
      <c r="K1744" s="2"/>
      <c r="L1744" s="2"/>
      <c r="M1744" s="2"/>
      <c r="N1744" s="2"/>
      <c r="O1744" s="2"/>
      <c r="P1744" s="2"/>
      <c r="Q1744" s="2"/>
      <c r="R1744" s="2"/>
      <c r="S1744" s="2"/>
      <c r="T1744" s="2"/>
      <c r="U1744" s="2"/>
      <c r="V1744" s="2"/>
      <c r="W1744" s="2" t="str">
        <f>IFERROR(__xludf.DUMMYFUNCTION("""COMPUTED_VALUE"""),"VL103D")</f>
        <v>VL103D</v>
      </c>
      <c r="X1744" s="2"/>
      <c r="Y1744" s="2"/>
      <c r="Z1744" s="2"/>
      <c r="AA1744" s="2"/>
      <c r="AB1744" s="2"/>
    </row>
    <row r="1745">
      <c r="A1745" s="2"/>
      <c r="B1745" s="2"/>
      <c r="C1745" s="2"/>
      <c r="D1745" s="2"/>
      <c r="E1745" s="2"/>
      <c r="F1745" s="2"/>
      <c r="G1745" s="2"/>
      <c r="H1745" s="2"/>
      <c r="I1745" s="2"/>
      <c r="J1745" s="2"/>
      <c r="K1745" s="2"/>
      <c r="L1745" s="2"/>
      <c r="M1745" s="2"/>
      <c r="N1745" s="2"/>
      <c r="O1745" s="2"/>
      <c r="P1745" s="2"/>
      <c r="Q1745" s="2"/>
      <c r="R1745" s="2"/>
      <c r="S1745" s="2"/>
      <c r="T1745" s="2"/>
      <c r="U1745" s="2"/>
      <c r="V1745" s="2"/>
      <c r="W1745" s="2" t="str">
        <f>IFERROR(__xludf.DUMMYFUNCTION("""COMPUTED_VALUE"""),"VL103D")</f>
        <v>VL103D</v>
      </c>
      <c r="X1745" s="2"/>
      <c r="Y1745" s="2"/>
      <c r="Z1745" s="2"/>
      <c r="AA1745" s="2"/>
      <c r="AB1745" s="2"/>
    </row>
    <row r="1746">
      <c r="A1746" s="2"/>
      <c r="B1746" s="2"/>
      <c r="C1746" s="2"/>
      <c r="D1746" s="2"/>
      <c r="E1746" s="2"/>
      <c r="F1746" s="2"/>
      <c r="G1746" s="2"/>
      <c r="H1746" s="2"/>
      <c r="I1746" s="2"/>
      <c r="J1746" s="2"/>
      <c r="K1746" s="2"/>
      <c r="L1746" s="2"/>
      <c r="M1746" s="2"/>
      <c r="N1746" s="2"/>
      <c r="O1746" s="2"/>
      <c r="P1746" s="2"/>
      <c r="Q1746" s="2"/>
      <c r="R1746" s="2"/>
      <c r="S1746" s="2"/>
      <c r="T1746" s="2"/>
      <c r="U1746" s="2"/>
      <c r="V1746" s="2"/>
      <c r="W1746" s="2" t="str">
        <f>IFERROR(__xludf.DUMMYFUNCTION("""COMPUTED_VALUE"""),"VL103D")</f>
        <v>VL103D</v>
      </c>
      <c r="X1746" s="2"/>
      <c r="Y1746" s="2"/>
      <c r="Z1746" s="2"/>
      <c r="AA1746" s="2"/>
      <c r="AB1746" s="2"/>
    </row>
    <row r="1747">
      <c r="A1747" s="2" t="str">
        <f>IFERROR(__xludf.DUMMYFUNCTION("""COMPUTED_VALUE"""),"TT00478")</f>
        <v>TT00478</v>
      </c>
      <c r="B1747" s="2" t="str">
        <f>IFERROR(__xludf.DUMMYFUNCTION("""COMPUTED_VALUE"""),"w/ Pending")</f>
        <v>w/ Pending</v>
      </c>
      <c r="C1747" s="2" t="str">
        <f>IFERROR(__xludf.DUMMYFUNCTION("""COMPUTED_VALUE"""),"FOR BILLING L2, w/ pending, for DR")</f>
        <v>FOR BILLING L2, w/ pending, for DR</v>
      </c>
      <c r="D1747" s="2" t="str">
        <f>IFERROR(__xludf.DUMMYFUNCTION("""COMPUTED_VALUE"""),"BUGBUGCAO IRRIGATORS ASSOCIATION INC.")</f>
        <v>BUGBUGCAO IRRIGATORS ASSOCIATION INC.</v>
      </c>
      <c r="E1747" s="2" t="str">
        <f>IFERROR(__xludf.DUMMYFUNCTION("""COMPUTED_VALUE"""),"BUGBUGCAO SAN JUAN LA UNION")</f>
        <v>BUGBUGCAO SAN JUAN LA UNION</v>
      </c>
      <c r="F1747" s="2" t="str">
        <f>IFERROR(__xludf.DUMMYFUNCTION("""COMPUTED_VALUE"""),"NESTOR DUCUSIN")</f>
        <v>NESTOR DUCUSIN</v>
      </c>
      <c r="G1747" s="2">
        <f>IFERROR(__xludf.DUMMYFUNCTION("""COMPUTED_VALUE"""),9.69338674E9)</f>
        <v>9693386740</v>
      </c>
      <c r="H1747" s="2"/>
      <c r="I1747" s="2"/>
      <c r="J1747" s="2" t="str">
        <f>IFERROR(__xludf.DUMMYFUNCTION("""COMPUTED_VALUE"""),"disc plow")</f>
        <v>disc plow</v>
      </c>
      <c r="K1747" s="2" t="str">
        <f>IFERROR(__xludf.DUMMYFUNCTION("""COMPUTED_VALUE"""),"RCEF 23-09-21 Rebidding")</f>
        <v>RCEF 23-09-21 Rebidding</v>
      </c>
      <c r="L1747" s="2">
        <f>IFERROR(__xludf.DUMMYFUNCTION("""COMPUTED_VALUE"""),2.0)</f>
        <v>2</v>
      </c>
      <c r="M1747" s="2"/>
      <c r="N1747" s="2" t="str">
        <f>IFERROR(__xludf.DUMMYFUNCTION("""COMPUTED_VALUE"""),"05//31/2024")</f>
        <v>05//31/2024</v>
      </c>
      <c r="O1747" s="2"/>
      <c r="P1747" s="2">
        <f>IFERROR(__xludf.DUMMYFUNCTION("""COMPUTED_VALUE"""),19629.0)</f>
        <v>19629</v>
      </c>
      <c r="Q1747" s="2" t="str">
        <f>IFERROR(__xludf.DUMMYFUNCTION("""COMPUTED_VALUE"""),"KMC5825AERFPV0237")</f>
        <v>KMC5825AERFPV0237</v>
      </c>
      <c r="R1747" s="2" t="str">
        <f>IFERROR(__xludf.DUMMYFUNCTION("""COMPUTED_VALUE"""),"RTS100140")</f>
        <v>RTS100140</v>
      </c>
      <c r="S1747" s="2" t="str">
        <f>IFERROR(__xludf.DUMMYFUNCTION("""COMPUTED_VALUE"""),"R-SERIES 809")</f>
        <v>R-SERIES 809</v>
      </c>
      <c r="T1747" s="2" t="str">
        <f>IFERROR(__xludf.DUMMYFUNCTION("""COMPUTED_VALUE"""),"LSGW1750-RMP-24010114")</f>
        <v>LSGW1750-RMP-24010114</v>
      </c>
      <c r="U1747" s="2" t="str">
        <f>IFERROR(__xludf.DUMMYFUNCTION("""COMPUTED_VALUE"""),"WDP40-RMP-24050574")</f>
        <v>WDP40-RMP-24050574</v>
      </c>
      <c r="V1747" s="2"/>
      <c r="W1747" s="2" t="str">
        <f>IFERROR(__xludf.DUMMYFUNCTION("""COMPUTED_VALUE"""),"VL103D")</f>
        <v>VL103D</v>
      </c>
      <c r="X1747" s="2"/>
      <c r="Y1747" s="2"/>
      <c r="Z1747" s="2"/>
      <c r="AA1747" s="2"/>
      <c r="AB1747" s="2"/>
    </row>
    <row r="1748">
      <c r="A1748" s="2" t="str">
        <f>IFERROR(__xludf.DUMMYFUNCTION("""COMPUTED_VALUE"""),"TT00479")</f>
        <v>TT00479</v>
      </c>
      <c r="B1748" s="2" t="str">
        <f>IFERROR(__xludf.DUMMYFUNCTION("""COMPUTED_VALUE"""),"w/ Pending")</f>
        <v>w/ Pending</v>
      </c>
      <c r="C1748" s="2" t="str">
        <f>IFERROR(__xludf.DUMMYFUNCTION("""COMPUTED_VALUE"""),"FOR BILLING L2, w/ pending, for DR")</f>
        <v>FOR BILLING L2, w/ pending, for DR</v>
      </c>
      <c r="D1748" s="2" t="str">
        <f>IFERROR(__xludf.DUMMYFUNCTION("""COMPUTED_VALUE"""),"UNITED SAN JUAN SOUTH FARMERS ASSOCIATION INC.")</f>
        <v>UNITED SAN JUAN SOUTH FARMERS ASSOCIATION INC.</v>
      </c>
      <c r="E1748" s="2" t="str">
        <f>IFERROR(__xludf.DUMMYFUNCTION("""COMPUTED_VALUE"""),"SAN JUAN SOLSONA, ILOCOS NORTE")</f>
        <v>SAN JUAN SOLSONA, ILOCOS NORTE</v>
      </c>
      <c r="F1748" s="2" t="str">
        <f>IFERROR(__xludf.DUMMYFUNCTION("""COMPUTED_VALUE"""),"REYNALDO BUMAKLAD")</f>
        <v>REYNALDO BUMAKLAD</v>
      </c>
      <c r="G1748" s="2">
        <f>IFERROR(__xludf.DUMMYFUNCTION("""COMPUTED_VALUE"""),9.272457511E9)</f>
        <v>9272457511</v>
      </c>
      <c r="H1748" s="2"/>
      <c r="I1748" s="2"/>
      <c r="J1748" s="2" t="str">
        <f>IFERROR(__xludf.DUMMYFUNCTION("""COMPUTED_VALUE"""),"disc plow")</f>
        <v>disc plow</v>
      </c>
      <c r="K1748" s="2" t="str">
        <f>IFERROR(__xludf.DUMMYFUNCTION("""COMPUTED_VALUE"""),"RCEF 23-09-21 Rebidding")</f>
        <v>RCEF 23-09-21 Rebidding</v>
      </c>
      <c r="L1748" s="2">
        <f>IFERROR(__xludf.DUMMYFUNCTION("""COMPUTED_VALUE"""),2.0)</f>
        <v>2</v>
      </c>
      <c r="M1748" s="2"/>
      <c r="N1748" s="74">
        <f>IFERROR(__xludf.DUMMYFUNCTION("""COMPUTED_VALUE"""),45439.0)</f>
        <v>45439</v>
      </c>
      <c r="O1748" s="2"/>
      <c r="P1748" s="2">
        <f>IFERROR(__xludf.DUMMYFUNCTION("""COMPUTED_VALUE"""),19482.0)</f>
        <v>19482</v>
      </c>
      <c r="Q1748" s="2" t="str">
        <f>IFERROR(__xludf.DUMMYFUNCTION("""COMPUTED_VALUE"""),"KMC5825APRFPV0713")</f>
        <v>KMC5825APRFPV0713</v>
      </c>
      <c r="R1748" s="2" t="str">
        <f>IFERROR(__xludf.DUMMYFUNCTION("""COMPUTED_VALUE"""),"RTS100613")</f>
        <v>RTS100613</v>
      </c>
      <c r="S1748" s="2" t="str">
        <f>IFERROR(__xludf.DUMMYFUNCTION("""COMPUTED_VALUE"""),"R-SERIES 899")</f>
        <v>R-SERIES 899</v>
      </c>
      <c r="T1748" s="2" t="str">
        <f>IFERROR(__xludf.DUMMYFUNCTION("""COMPUTED_VALUE"""),"LSGW1750-RMP-24040205")</f>
        <v>LSGW1750-RMP-24040205</v>
      </c>
      <c r="U1748" s="2" t="str">
        <f>IFERROR(__xludf.DUMMYFUNCTION("""COMPUTED_VALUE"""),"WDP40-RMP-24050613")</f>
        <v>WDP40-RMP-24050613</v>
      </c>
      <c r="V1748" s="2"/>
      <c r="W1748" s="2"/>
      <c r="X1748" s="2">
        <f>IFERROR(__xludf.DUMMYFUNCTION("""COMPUTED_VALUE"""),8.69066060246361E14)</f>
        <v>869066060246361</v>
      </c>
      <c r="Y1748" s="2">
        <f>IFERROR(__xludf.DUMMYFUNCTION("""COMPUTED_VALUE"""),9.625056144E9)</f>
        <v>9625056144</v>
      </c>
      <c r="Z1748" s="2"/>
      <c r="AA1748" s="2"/>
      <c r="AB1748" s="2"/>
    </row>
    <row r="1749">
      <c r="A1749" s="2"/>
      <c r="B1749" s="2" t="str">
        <f>IFERROR(__xludf.DUMMYFUNCTION("""COMPUTED_VALUE"""),"w/ Pending")</f>
        <v>w/ Pending</v>
      </c>
      <c r="C1749" s="2" t="str">
        <f>IFERROR(__xludf.DUMMYFUNCTION("""COMPUTED_VALUE"""),"FOR BILLING L2, w/ pending, for DR")</f>
        <v>FOR BILLING L2, w/ pending, for DR</v>
      </c>
      <c r="D1749" s="2" t="str">
        <f>IFERROR(__xludf.DUMMYFUNCTION("""COMPUTED_VALUE"""),"Bagnos Multi Purpose Cooperative")</f>
        <v>Bagnos Multi Purpose Cooperative</v>
      </c>
      <c r="E1749" s="2" t="str">
        <f>IFERROR(__xludf.DUMMYFUNCTION("""COMPUTED_VALUE"""),"BINACAG BANNA (ESPIRITU), ILOCOS NORTE")</f>
        <v>BINACAG BANNA (ESPIRITU), ILOCOS NORTE</v>
      </c>
      <c r="F1749" s="2" t="str">
        <f>IFERROR(__xludf.DUMMYFUNCTION("""COMPUTED_VALUE"""),"DEXCEL JOHN PALMA")</f>
        <v>DEXCEL JOHN PALMA</v>
      </c>
      <c r="G1749" s="2" t="str">
        <f>IFERROR(__xludf.DUMMYFUNCTION("""COMPUTED_VALUE"""),"938/1478589")</f>
        <v>938/1478589</v>
      </c>
      <c r="H1749" s="2"/>
      <c r="I1749" s="2"/>
      <c r="J1749" s="2" t="str">
        <f>IFERROR(__xludf.DUMMYFUNCTION("""COMPUTED_VALUE"""),"disc plow")</f>
        <v>disc plow</v>
      </c>
      <c r="K1749" s="2" t="str">
        <f>IFERROR(__xludf.DUMMYFUNCTION("""COMPUTED_VALUE"""),"RCEF 23-09-21 Rebidding")</f>
        <v>RCEF 23-09-21 Rebidding</v>
      </c>
      <c r="L1749" s="2">
        <f>IFERROR(__xludf.DUMMYFUNCTION("""COMPUTED_VALUE"""),2.0)</f>
        <v>2</v>
      </c>
      <c r="M1749" s="2"/>
      <c r="N1749" s="74">
        <f>IFERROR(__xludf.DUMMYFUNCTION("""COMPUTED_VALUE"""),6701252.0)</f>
        <v>6701252</v>
      </c>
      <c r="O1749" s="2"/>
      <c r="P1749" s="2">
        <f>IFERROR(__xludf.DUMMYFUNCTION("""COMPUTED_VALUE"""),19481.0)</f>
        <v>19481</v>
      </c>
      <c r="Q1749" s="2" t="str">
        <f>IFERROR(__xludf.DUMMYFUNCTION("""COMPUTED_VALUE"""),"KMC5825AHRFPV0656")</f>
        <v>KMC5825AHRFPV0656</v>
      </c>
      <c r="R1749" s="2" t="str">
        <f>IFERROR(__xludf.DUMMYFUNCTION("""COMPUTED_VALUE"""),"RTS100535")</f>
        <v>RTS100535</v>
      </c>
      <c r="S1749" s="2" t="str">
        <f>IFERROR(__xludf.DUMMYFUNCTION("""COMPUTED_VALUE"""),"R-SERIES 952")</f>
        <v>R-SERIES 952</v>
      </c>
      <c r="T1749" s="2" t="str">
        <f>IFERROR(__xludf.DUMMYFUNCTION("""COMPUTED_VALUE"""),"LSGW1750-RMP-24010098")</f>
        <v>LSGW1750-RMP-24010098</v>
      </c>
      <c r="U1749" s="2" t="str">
        <f>IFERROR(__xludf.DUMMYFUNCTION("""COMPUTED_VALUE"""),"WDP40-RMP-240580634")</f>
        <v>WDP40-RMP-240580634</v>
      </c>
      <c r="V1749" s="2"/>
      <c r="W1749" s="2"/>
      <c r="X1749" s="2">
        <f>IFERROR(__xludf.DUMMYFUNCTION("""COMPUTED_VALUE"""),8.69066060246288E14)</f>
        <v>869066060246288</v>
      </c>
      <c r="Y1749" s="2">
        <f>IFERROR(__xludf.DUMMYFUNCTION("""COMPUTED_VALUE"""),9.625154634E9)</f>
        <v>9625154634</v>
      </c>
      <c r="Z1749" s="2"/>
      <c r="AA1749" s="2"/>
      <c r="AB1749" s="2"/>
    </row>
    <row r="1750">
      <c r="A1750" s="2"/>
      <c r="B1750" s="2" t="str">
        <f>IFERROR(__xludf.DUMMYFUNCTION("""COMPUTED_VALUE"""),"w/ Pending")</f>
        <v>w/ Pending</v>
      </c>
      <c r="C1750" s="2" t="str">
        <f>IFERROR(__xludf.DUMMYFUNCTION("""COMPUTED_VALUE"""),"FOR BILLING L2, w/ pending, for DR")</f>
        <v>FOR BILLING L2, w/ pending, for DR</v>
      </c>
      <c r="D1750" s="2" t="str">
        <f>IFERROR(__xludf.DUMMYFUNCTION("""COMPUTED_VALUE"""),"BANGAR BUROBOR FARMERS ASSOCIATION, INC.")</f>
        <v>BANGAR BUROBOR FARMERS ASSOCIATION, INC.</v>
      </c>
      <c r="E1750" s="2" t="str">
        <f>IFERROR(__xludf.DUMMYFUNCTION("""COMPUTED_VALUE"""),"SAN PEDRO, SARRAT, ILOCOS NORTE")</f>
        <v>SAN PEDRO, SARRAT, ILOCOS NORTE</v>
      </c>
      <c r="F1750" s="2" t="str">
        <f>IFERROR(__xludf.DUMMYFUNCTION("""COMPUTED_VALUE"""),"JUANITO RUIZ")</f>
        <v>JUANITO RUIZ</v>
      </c>
      <c r="G1750" s="2">
        <f>IFERROR(__xludf.DUMMYFUNCTION("""COMPUTED_VALUE"""),9.663581591E9)</f>
        <v>9663581591</v>
      </c>
      <c r="H1750" s="2"/>
      <c r="I1750" s="2"/>
      <c r="J1750" s="2" t="str">
        <f>IFERROR(__xludf.DUMMYFUNCTION("""COMPUTED_VALUE"""),"disc plow")</f>
        <v>disc plow</v>
      </c>
      <c r="K1750" s="2" t="str">
        <f>IFERROR(__xludf.DUMMYFUNCTION("""COMPUTED_VALUE"""),"RCEF 23-09-21 Rebidding")</f>
        <v>RCEF 23-09-21 Rebidding</v>
      </c>
      <c r="L1750" s="2">
        <f>IFERROR(__xludf.DUMMYFUNCTION("""COMPUTED_VALUE"""),2.0)</f>
        <v>2</v>
      </c>
      <c r="M1750" s="2"/>
      <c r="N1750" s="74">
        <f>IFERROR(__xludf.DUMMYFUNCTION("""COMPUTED_VALUE"""),45439.0)</f>
        <v>45439</v>
      </c>
      <c r="O1750" s="2"/>
      <c r="P1750" s="2">
        <f>IFERROR(__xludf.DUMMYFUNCTION("""COMPUTED_VALUE"""),19480.0)</f>
        <v>19480</v>
      </c>
      <c r="Q1750" s="2" t="str">
        <f>IFERROR(__xludf.DUMMYFUNCTION("""COMPUTED_VALUE"""),"KMC5825AVRFPV0684")</f>
        <v>KMC5825AVRFPV0684</v>
      </c>
      <c r="R1750" s="2" t="str">
        <f>IFERROR(__xludf.DUMMYFUNCTION("""COMPUTED_VALUE"""),"RTS100552")</f>
        <v>RTS100552</v>
      </c>
      <c r="S1750" s="2" t="str">
        <f>IFERROR(__xludf.DUMMYFUNCTION("""COMPUTED_VALUE"""),"R-SERIES 904")</f>
        <v>R-SERIES 904</v>
      </c>
      <c r="T1750" s="2" t="str">
        <f>IFERROR(__xludf.DUMMYFUNCTION("""COMPUTED_VALUE"""),"LSGW1750-RMP-24010198")</f>
        <v>LSGW1750-RMP-24010198</v>
      </c>
      <c r="U1750" s="2" t="str">
        <f>IFERROR(__xludf.DUMMYFUNCTION("""COMPUTED_VALUE"""),"WDP40-RMP-24050615")</f>
        <v>WDP40-RMP-24050615</v>
      </c>
      <c r="V1750" s="2"/>
      <c r="W1750" s="2"/>
      <c r="X1750" s="2">
        <f>IFERROR(__xludf.DUMMYFUNCTION("""COMPUTED_VALUE"""),8.69066060237741E14)</f>
        <v>869066060237741</v>
      </c>
      <c r="Y1750" s="2">
        <f>IFERROR(__xludf.DUMMYFUNCTION("""COMPUTED_VALUE"""),9.625154636E9)</f>
        <v>9625154636</v>
      </c>
      <c r="Z1750" s="2"/>
      <c r="AA1750" s="2"/>
      <c r="AB1750" s="2"/>
    </row>
    <row r="1751">
      <c r="A1751" s="2"/>
      <c r="B1751" s="2" t="str">
        <f>IFERROR(__xludf.DUMMYFUNCTION("""COMPUTED_VALUE"""),"w/ Pending")</f>
        <v>w/ Pending</v>
      </c>
      <c r="C1751" s="2" t="str">
        <f>IFERROR(__xludf.DUMMYFUNCTION("""COMPUTED_VALUE"""),"FOR BILLING L2, w/ pending, for DR")</f>
        <v>FOR BILLING L2, w/ pending, for DR</v>
      </c>
      <c r="D1751" s="2" t="str">
        <f>IFERROR(__xludf.DUMMYFUNCTION("""COMPUTED_VALUE"""),"PARDOK IRRIGATORS ASSOCIATION INC.")</f>
        <v>PARDOK IRRIGATORS ASSOCIATION INC.</v>
      </c>
      <c r="E1751" s="2" t="str">
        <f>IFERROR(__xludf.DUMMYFUNCTION("""COMPUTED_VALUE"""),"POBLOOACION, BURGOS, ILOCOS NORTE")</f>
        <v>POBLOOACION, BURGOS, ILOCOS NORTE</v>
      </c>
      <c r="F1751" s="2" t="str">
        <f>IFERROR(__xludf.DUMMYFUNCTION("""COMPUTED_VALUE"""),"CARMELO CAGAON")</f>
        <v>CARMELO CAGAON</v>
      </c>
      <c r="G1751" s="2">
        <f>IFERROR(__xludf.DUMMYFUNCTION("""COMPUTED_VALUE"""),9.635173603E9)</f>
        <v>9635173603</v>
      </c>
      <c r="H1751" s="2"/>
      <c r="I1751" s="2"/>
      <c r="J1751" s="2" t="str">
        <f>IFERROR(__xludf.DUMMYFUNCTION("""COMPUTED_VALUE"""),"disc plow")</f>
        <v>disc plow</v>
      </c>
      <c r="K1751" s="2" t="str">
        <f>IFERROR(__xludf.DUMMYFUNCTION("""COMPUTED_VALUE"""),"RCEF 23-09-21 Rebidding")</f>
        <v>RCEF 23-09-21 Rebidding</v>
      </c>
      <c r="L1751" s="2">
        <f>IFERROR(__xludf.DUMMYFUNCTION("""COMPUTED_VALUE"""),2.0)</f>
        <v>2</v>
      </c>
      <c r="M1751" s="2"/>
      <c r="N1751" s="74">
        <f>IFERROR(__xludf.DUMMYFUNCTION("""COMPUTED_VALUE"""),45439.0)</f>
        <v>45439</v>
      </c>
      <c r="O1751" s="2"/>
      <c r="P1751" s="2">
        <f>IFERROR(__xludf.DUMMYFUNCTION("""COMPUTED_VALUE"""),19479.0)</f>
        <v>19479</v>
      </c>
      <c r="Q1751" s="2" t="str">
        <f>IFERROR(__xludf.DUMMYFUNCTION("""COMPUTED_VALUE"""),"KMC5825AKRFPV0731")</f>
        <v>KMC5825AKRFPV0731</v>
      </c>
      <c r="R1751" s="2" t="str">
        <f>IFERROR(__xludf.DUMMYFUNCTION("""COMPUTED_VALUE"""),"RTS100591")</f>
        <v>RTS100591</v>
      </c>
      <c r="S1751" s="2" t="str">
        <f>IFERROR(__xludf.DUMMYFUNCTION("""COMPUTED_VALUE"""),"R-SERIES 922")</f>
        <v>R-SERIES 922</v>
      </c>
      <c r="T1751" s="2" t="str">
        <f>IFERROR(__xludf.DUMMYFUNCTION("""COMPUTED_VALUE"""),"LSGW1750-RMP-240140109")</f>
        <v>LSGW1750-RMP-240140109</v>
      </c>
      <c r="U1751" s="2" t="str">
        <f>IFERROR(__xludf.DUMMYFUNCTION("""COMPUTED_VALUE"""),"WDSP40-RMP-24050614")</f>
        <v>WDSP40-RMP-24050614</v>
      </c>
      <c r="V1751" s="2"/>
      <c r="W1751" s="2"/>
      <c r="X1751" s="2"/>
      <c r="Y1751" s="2"/>
      <c r="Z1751" s="2"/>
      <c r="AA1751" s="2"/>
      <c r="AB1751" s="2"/>
    </row>
    <row r="1752">
      <c r="A1752" s="2"/>
      <c r="B1752" s="2" t="str">
        <f>IFERROR(__xludf.DUMMYFUNCTION("""COMPUTED_VALUE"""),"w/ Pending")</f>
        <v>w/ Pending</v>
      </c>
      <c r="C1752" s="2" t="str">
        <f>IFERROR(__xludf.DUMMYFUNCTION("""COMPUTED_VALUE"""),"FOR BILLING L2, w/ pending, for DR")</f>
        <v>FOR BILLING L2, w/ pending, for DR</v>
      </c>
      <c r="D1752" s="2" t="str">
        <f>IFERROR(__xludf.DUMMYFUNCTION("""COMPUTED_VALUE"""),"Municipal Local Government Unit of Tagudin")</f>
        <v>Municipal Local Government Unit of Tagudin</v>
      </c>
      <c r="E1752" s="2" t="str">
        <f>IFERROR(__xludf.DUMMYFUNCTION("""COMPUTED_VALUE"""),"RIZAL (POB.), TAGUDIN, ILOCOS SUR")</f>
        <v>RIZAL (POB.), TAGUDIN, ILOCOS SUR</v>
      </c>
      <c r="F1752" s="2" t="str">
        <f>IFERROR(__xludf.DUMMYFUNCTION("""COMPUTED_VALUE"""),"LOUIE")</f>
        <v>LOUIE</v>
      </c>
      <c r="G1752" s="2">
        <f>IFERROR(__xludf.DUMMYFUNCTION("""COMPUTED_VALUE"""),9.308336133E9)</f>
        <v>9308336133</v>
      </c>
      <c r="H1752" s="2"/>
      <c r="I1752" s="2"/>
      <c r="J1752" s="2" t="str">
        <f>IFERROR(__xludf.DUMMYFUNCTION("""COMPUTED_VALUE"""),"disc plow")</f>
        <v>disc plow</v>
      </c>
      <c r="K1752" s="2" t="str">
        <f>IFERROR(__xludf.DUMMYFUNCTION("""COMPUTED_VALUE"""),"RCEF 23-09-21 Rebidding")</f>
        <v>RCEF 23-09-21 Rebidding</v>
      </c>
      <c r="L1752" s="2">
        <f>IFERROR(__xludf.DUMMYFUNCTION("""COMPUTED_VALUE"""),2.0)</f>
        <v>2</v>
      </c>
      <c r="M1752" s="2"/>
      <c r="N1752" s="74">
        <f>IFERROR(__xludf.DUMMYFUNCTION("""COMPUTED_VALUE"""),45398.0)</f>
        <v>45398</v>
      </c>
      <c r="O1752" s="2"/>
      <c r="P1752" s="2">
        <f>IFERROR(__xludf.DUMMYFUNCTION("""COMPUTED_VALUE"""),18966.0)</f>
        <v>18966</v>
      </c>
      <c r="Q1752" s="2" t="str">
        <f>IFERROR(__xludf.DUMMYFUNCTION("""COMPUTED_VALUE"""),"KMC5825ALRFEV0669")</f>
        <v>KMC5825ALRFEV0669</v>
      </c>
      <c r="R1752" s="2" t="str">
        <f>IFERROR(__xludf.DUMMYFUNCTION("""COMPUTED_VALUE"""),"RTS100301")</f>
        <v>RTS100301</v>
      </c>
      <c r="S1752" s="2" t="str">
        <f>IFERROR(__xludf.DUMMYFUNCTION("""COMPUTED_VALUE"""),"R-SERIES 783")</f>
        <v>R-SERIES 783</v>
      </c>
      <c r="T1752" s="2" t="str">
        <f>IFERROR(__xludf.DUMMYFUNCTION("""COMPUTED_VALUE"""),"LSGW1750-RMP-24010097")</f>
        <v>LSGW1750-RMP-24010097</v>
      </c>
      <c r="U1752" s="2" t="str">
        <f>IFERROR(__xludf.DUMMYFUNCTION("""COMPUTED_VALUE"""),"WDSP40-RMP-24050627")</f>
        <v>WDSP40-RMP-24050627</v>
      </c>
      <c r="V1752" s="2"/>
      <c r="W1752" s="2"/>
      <c r="X1752" s="2"/>
      <c r="Y1752" s="2"/>
      <c r="Z1752" s="2"/>
      <c r="AA1752" s="2"/>
      <c r="AB1752" s="2"/>
    </row>
    <row r="1753">
      <c r="A1753" s="2"/>
      <c r="B1753" s="2" t="str">
        <f>IFERROR(__xludf.DUMMYFUNCTION("""COMPUTED_VALUE"""),"w/ Pending")</f>
        <v>w/ Pending</v>
      </c>
      <c r="C1753" s="2" t="str">
        <f>IFERROR(__xludf.DUMMYFUNCTION("""COMPUTED_VALUE"""),"FOR BILLING L2, w/ pending, for DR")</f>
        <v>FOR BILLING L2, w/ pending, for DR</v>
      </c>
      <c r="D1753" s="2" t="str">
        <f>IFERROR(__xludf.DUMMYFUNCTION("""COMPUTED_VALUE"""),"Lugarba Multi Purpose Cooperative")</f>
        <v>Lugarba Multi Purpose Cooperative</v>
      </c>
      <c r="E1753" s="2" t="str">
        <f>IFERROR(__xludf.DUMMYFUNCTION("""COMPUTED_VALUE"""),"BARIO-AN, TAGUDIN, ILOCOS SUR")</f>
        <v>BARIO-AN, TAGUDIN, ILOCOS SUR</v>
      </c>
      <c r="F1753" s="2" t="str">
        <f>IFERROR(__xludf.DUMMYFUNCTION("""COMPUTED_VALUE"""),"CIPRIANO ULPINDO")</f>
        <v>CIPRIANO ULPINDO</v>
      </c>
      <c r="G1753" s="2">
        <f>IFERROR(__xludf.DUMMYFUNCTION("""COMPUTED_VALUE"""),9.489236688E9)</f>
        <v>9489236688</v>
      </c>
      <c r="H1753" s="2"/>
      <c r="I1753" s="2"/>
      <c r="J1753" s="2" t="str">
        <f>IFERROR(__xludf.DUMMYFUNCTION("""COMPUTED_VALUE"""),"disc plow")</f>
        <v>disc plow</v>
      </c>
      <c r="K1753" s="2" t="str">
        <f>IFERROR(__xludf.DUMMYFUNCTION("""COMPUTED_VALUE"""),"RCEF 23-09-21 Rebidding")</f>
        <v>RCEF 23-09-21 Rebidding</v>
      </c>
      <c r="L1753" s="2">
        <f>IFERROR(__xludf.DUMMYFUNCTION("""COMPUTED_VALUE"""),2.0)</f>
        <v>2</v>
      </c>
      <c r="M1753" s="2"/>
      <c r="N1753" s="74">
        <f>IFERROR(__xludf.DUMMYFUNCTION("""COMPUTED_VALUE"""),45398.0)</f>
        <v>45398</v>
      </c>
      <c r="O1753" s="2"/>
      <c r="P1753" s="2">
        <f>IFERROR(__xludf.DUMMYFUNCTION("""COMPUTED_VALUE"""),18965.0)</f>
        <v>18965</v>
      </c>
      <c r="Q1753" s="2" t="str">
        <f>IFERROR(__xludf.DUMMYFUNCTION("""COMPUTED_VALUE"""),"KMC5825ACRFPV0666")</f>
        <v>KMC5825ACRFPV0666</v>
      </c>
      <c r="R1753" s="2" t="str">
        <f>IFERROR(__xludf.DUMMYFUNCTION("""COMPUTED_VALUE"""),"RTS100209")</f>
        <v>RTS100209</v>
      </c>
      <c r="S1753" s="2" t="str">
        <f>IFERROR(__xludf.DUMMYFUNCTION("""COMPUTED_VALUE"""),"R-SERIES 798")</f>
        <v>R-SERIES 798</v>
      </c>
      <c r="T1753" s="2" t="str">
        <f>IFERROR(__xludf.DUMMYFUNCTION("""COMPUTED_VALUE"""),"LSGW1750-RMP-24010113")</f>
        <v>LSGW1750-RMP-24010113</v>
      </c>
      <c r="U1753" s="2" t="str">
        <f>IFERROR(__xludf.DUMMYFUNCTION("""COMPUTED_VALUE"""),"WDSP40-RMP-24050635")</f>
        <v>WDSP40-RMP-24050635</v>
      </c>
      <c r="V1753" s="2"/>
      <c r="W1753" s="2"/>
      <c r="X1753" s="2"/>
      <c r="Y1753" s="2"/>
      <c r="Z1753" s="2"/>
      <c r="AA1753" s="2"/>
      <c r="AB1753" s="2"/>
    </row>
    <row r="1754">
      <c r="A1754" s="2"/>
      <c r="B1754" s="2" t="str">
        <f>IFERROR(__xludf.DUMMYFUNCTION("""COMPUTED_VALUE"""),"w/ Pending")</f>
        <v>w/ Pending</v>
      </c>
      <c r="C1754" s="2" t="str">
        <f>IFERROR(__xludf.DUMMYFUNCTION("""COMPUTED_VALUE"""),"FOR BILLING L2, w/ pending, for DR")</f>
        <v>FOR BILLING L2, w/ pending, for DR</v>
      </c>
      <c r="D1754" s="2" t="str">
        <f>IFERROR(__xludf.DUMMYFUNCTION("""COMPUTED_VALUE"""),"MALIGCONG FARMERS ASSOCIATION")</f>
        <v>MALIGCONG FARMERS ASSOCIATION</v>
      </c>
      <c r="E1754" s="2" t="str">
        <f>IFERROR(__xludf.DUMMYFUNCTION("""COMPUTED_VALUE"""),"MALIGCONG, SALCEDO, ILOCOS SUR")</f>
        <v>MALIGCONG, SALCEDO, ILOCOS SUR</v>
      </c>
      <c r="F1754" s="2" t="str">
        <f>IFERROR(__xludf.DUMMYFUNCTION("""COMPUTED_VALUE"""),"ALLEN JAQUIAS")</f>
        <v>ALLEN JAQUIAS</v>
      </c>
      <c r="G1754" s="2">
        <f>IFERROR(__xludf.DUMMYFUNCTION("""COMPUTED_VALUE"""),9.677596316E9)</f>
        <v>9677596316</v>
      </c>
      <c r="H1754" s="2"/>
      <c r="I1754" s="2"/>
      <c r="J1754" s="2" t="str">
        <f>IFERROR(__xludf.DUMMYFUNCTION("""COMPUTED_VALUE"""),"disc plow")</f>
        <v>disc plow</v>
      </c>
      <c r="K1754" s="2" t="str">
        <f>IFERROR(__xludf.DUMMYFUNCTION("""COMPUTED_VALUE"""),"RCEF 23-09-21 Rebidding")</f>
        <v>RCEF 23-09-21 Rebidding</v>
      </c>
      <c r="L1754" s="2">
        <f>IFERROR(__xludf.DUMMYFUNCTION("""COMPUTED_VALUE"""),2.0)</f>
        <v>2</v>
      </c>
      <c r="M1754" s="2"/>
      <c r="N1754" s="74">
        <f>IFERROR(__xludf.DUMMYFUNCTION("""COMPUTED_VALUE"""),45398.0)</f>
        <v>45398</v>
      </c>
      <c r="O1754" s="2"/>
      <c r="P1754" s="2">
        <f>IFERROR(__xludf.DUMMYFUNCTION("""COMPUTED_VALUE"""),18962.0)</f>
        <v>18962</v>
      </c>
      <c r="Q1754" s="2" t="str">
        <f>IFERROR(__xludf.DUMMYFUNCTION("""COMPUTED_VALUE"""),"KMC5825AARFPV0668")</f>
        <v>KMC5825AARFPV0668</v>
      </c>
      <c r="R1754" s="2" t="str">
        <f>IFERROR(__xludf.DUMMYFUNCTION("""COMPUTED_VALUE"""),"RTS100158")</f>
        <v>RTS100158</v>
      </c>
      <c r="S1754" s="2" t="str">
        <f>IFERROR(__xludf.DUMMYFUNCTION("""COMPUTED_VALUE"""),"R-SERIES 816")</f>
        <v>R-SERIES 816</v>
      </c>
      <c r="T1754" s="2" t="str">
        <f>IFERROR(__xludf.DUMMYFUNCTION("""COMPUTED_VALUE"""),"LSGW1750-RMP-24010133")</f>
        <v>LSGW1750-RMP-24010133</v>
      </c>
      <c r="U1754" s="2" t="str">
        <f>IFERROR(__xludf.DUMMYFUNCTION("""COMPUTED_VALUE"""),"WDSP40-RMP-24050619")</f>
        <v>WDSP40-RMP-24050619</v>
      </c>
      <c r="V1754" s="2"/>
      <c r="W1754" s="2"/>
      <c r="X1754" s="2"/>
      <c r="Y1754" s="2"/>
      <c r="Z1754" s="2"/>
      <c r="AA1754" s="2"/>
      <c r="AB1754" s="2"/>
    </row>
    <row r="1755">
      <c r="A1755" s="2"/>
      <c r="B1755" s="2" t="str">
        <f>IFERROR(__xludf.DUMMYFUNCTION("""COMPUTED_VALUE"""),"w/ Pending")</f>
        <v>w/ Pending</v>
      </c>
      <c r="C1755" s="2" t="str">
        <f>IFERROR(__xludf.DUMMYFUNCTION("""COMPUTED_VALUE"""),"FOR BILLING L2, w/ pending, for DR")</f>
        <v>FOR BILLING L2, w/ pending, for DR</v>
      </c>
      <c r="D1755" s="2" t="str">
        <f>IFERROR(__xludf.DUMMYFUNCTION("""COMPUTED_VALUE"""),"Municipal Local Government Unit of Gregorio Del Pilar")</f>
        <v>Municipal Local Government Unit of Gregorio Del Pilar</v>
      </c>
      <c r="E1755" s="2" t="str">
        <f>IFERROR(__xludf.DUMMYFUNCTION("""COMPUTED_VALUE"""),"POBLACION SUR, GREGORI0O DEL PILAR, ILOCOS SUR")</f>
        <v>POBLACION SUR, GREGORI0O DEL PILAR, ILOCOS SUR</v>
      </c>
      <c r="F1755" s="2" t="str">
        <f>IFERROR(__xludf.DUMMYFUNCTION("""COMPUTED_VALUE"""),"LUIS GTANNAD")</f>
        <v>LUIS GTANNAD</v>
      </c>
      <c r="G1755" s="2">
        <f>IFERROR(__xludf.DUMMYFUNCTION("""COMPUTED_VALUE"""),9.261639175E9)</f>
        <v>9261639175</v>
      </c>
      <c r="H1755" s="2"/>
      <c r="I1755" s="2"/>
      <c r="J1755" s="2" t="str">
        <f>IFERROR(__xludf.DUMMYFUNCTION("""COMPUTED_VALUE"""),"disc plow")</f>
        <v>disc plow</v>
      </c>
      <c r="K1755" s="2" t="str">
        <f>IFERROR(__xludf.DUMMYFUNCTION("""COMPUTED_VALUE"""),"RCEF 23-09-21 Rebidding")</f>
        <v>RCEF 23-09-21 Rebidding</v>
      </c>
      <c r="L1755" s="2">
        <f>IFERROR(__xludf.DUMMYFUNCTION("""COMPUTED_VALUE"""),2.0)</f>
        <v>2</v>
      </c>
      <c r="M1755" s="2"/>
      <c r="N1755" s="74">
        <f>IFERROR(__xludf.DUMMYFUNCTION("""COMPUTED_VALUE"""),45398.0)</f>
        <v>45398</v>
      </c>
      <c r="O1755" s="2"/>
      <c r="P1755" s="2">
        <f>IFERROR(__xludf.DUMMYFUNCTION("""COMPUTED_VALUE"""),18961.0)</f>
        <v>18961</v>
      </c>
      <c r="Q1755" s="2" t="str">
        <f>IFERROR(__xludf.DUMMYFUNCTION("""COMPUTED_VALUE"""),"KMC5825AKPFPV0759")</f>
        <v>KMC5825AKPFPV0759</v>
      </c>
      <c r="R1755" s="2" t="str">
        <f>IFERROR(__xludf.DUMMYFUNCTION("""COMPUTED_VALUE"""),"RTS100478")</f>
        <v>RTS100478</v>
      </c>
      <c r="S1755" s="2" t="str">
        <f>IFERROR(__xludf.DUMMYFUNCTION("""COMPUTED_VALUE"""),"R-SERIES 781")</f>
        <v>R-SERIES 781</v>
      </c>
      <c r="T1755" s="2" t="str">
        <f>IFERROR(__xludf.DUMMYFUNCTION("""COMPUTED_VALUE"""),"LSGW1750-RMP-24010106")</f>
        <v>LSGW1750-RMP-24010106</v>
      </c>
      <c r="U1755" s="2" t="str">
        <f>IFERROR(__xludf.DUMMYFUNCTION("""COMPUTED_VALUE"""),"WDSP40-RMP-24050549")</f>
        <v>WDSP40-RMP-24050549</v>
      </c>
      <c r="V1755" s="2"/>
      <c r="W1755" s="2"/>
      <c r="X1755" s="2"/>
      <c r="Y1755" s="2"/>
      <c r="Z1755" s="2"/>
      <c r="AA1755" s="2"/>
      <c r="AB1755" s="2"/>
    </row>
    <row r="1756">
      <c r="A1756" s="2"/>
      <c r="B1756" s="2" t="str">
        <f>IFERROR(__xludf.DUMMYFUNCTION("""COMPUTED_VALUE"""),"w/ Pending")</f>
        <v>w/ Pending</v>
      </c>
      <c r="C1756" s="2" t="str">
        <f>IFERROR(__xludf.DUMMYFUNCTION("""COMPUTED_VALUE"""),"FOR BILLING L2, w/ pending, for DR")</f>
        <v>FOR BILLING L2, w/ pending, for DR</v>
      </c>
      <c r="D1756" s="2" t="str">
        <f>IFERROR(__xludf.DUMMYFUNCTION("""COMPUTED_VALUE"""),"Municipal Local Government Unit of Sto. Domingo")</f>
        <v>Municipal Local Government Unit of Sto. Domingo</v>
      </c>
      <c r="E1756" s="2" t="str">
        <f>IFERROR(__xludf.DUMMYFUNCTION("""COMPUTED_VALUE"""),"POBLACION , STO DOMINGO, ILOCOS SUR")</f>
        <v>POBLACION , STO DOMINGO, ILOCOS SUR</v>
      </c>
      <c r="F1756" s="2" t="str">
        <f>IFERROR(__xludf.DUMMYFUNCTION("""COMPUTED_VALUE"""),"RYAN JOHN INES")</f>
        <v>RYAN JOHN INES</v>
      </c>
      <c r="G1756" s="2">
        <f>IFERROR(__xludf.DUMMYFUNCTION("""COMPUTED_VALUE"""),9.3695841799E10)</f>
        <v>93695841799</v>
      </c>
      <c r="H1756" s="2"/>
      <c r="I1756" s="2"/>
      <c r="J1756" s="2" t="str">
        <f>IFERROR(__xludf.DUMMYFUNCTION("""COMPUTED_VALUE"""),"disc plow")</f>
        <v>disc plow</v>
      </c>
      <c r="K1756" s="2" t="str">
        <f>IFERROR(__xludf.DUMMYFUNCTION("""COMPUTED_VALUE"""),"RCEF 23-09-21 Rebidding")</f>
        <v>RCEF 23-09-21 Rebidding</v>
      </c>
      <c r="L1756" s="2">
        <f>IFERROR(__xludf.DUMMYFUNCTION("""COMPUTED_VALUE"""),2.0)</f>
        <v>2</v>
      </c>
      <c r="M1756" s="2"/>
      <c r="N1756" s="74">
        <f>IFERROR(__xludf.DUMMYFUNCTION("""COMPUTED_VALUE"""),45398.0)</f>
        <v>45398</v>
      </c>
      <c r="O1756" s="2"/>
      <c r="P1756" s="2">
        <f>IFERROR(__xludf.DUMMYFUNCTION("""COMPUTED_VALUE"""),18960.0)</f>
        <v>18960</v>
      </c>
      <c r="Q1756" s="2" t="str">
        <f>IFERROR(__xludf.DUMMYFUNCTION("""COMPUTED_VALUE"""),"KMC5825AKRFPV0700")</f>
        <v>KMC5825AKRFPV0700</v>
      </c>
      <c r="R1756" s="2" t="str">
        <f>IFERROR(__xludf.DUMMYFUNCTION("""COMPUTED_VALUE"""),"RTS100201")</f>
        <v>RTS100201</v>
      </c>
      <c r="S1756" s="2" t="str">
        <f>IFERROR(__xludf.DUMMYFUNCTION("""COMPUTED_VALUE"""),"R-SERIES 801")</f>
        <v>R-SERIES 801</v>
      </c>
      <c r="T1756" s="2" t="str">
        <f>IFERROR(__xludf.DUMMYFUNCTION("""COMPUTED_VALUE"""),"LSGW1750-RMP-24010131")</f>
        <v>LSGW1750-RMP-24010131</v>
      </c>
      <c r="U1756" s="2" t="str">
        <f>IFERROR(__xludf.DUMMYFUNCTION("""COMPUTED_VALUE"""),"WDSP40-RMP-24050556")</f>
        <v>WDSP40-RMP-24050556</v>
      </c>
      <c r="V1756" s="2"/>
      <c r="W1756" s="2"/>
      <c r="X1756" s="2"/>
      <c r="Y1756" s="2"/>
      <c r="Z1756" s="2"/>
      <c r="AA1756" s="2"/>
      <c r="AB1756" s="2"/>
    </row>
    <row r="1757">
      <c r="A1757" s="2"/>
      <c r="B1757" s="2" t="str">
        <f>IFERROR(__xludf.DUMMYFUNCTION("""COMPUTED_VALUE"""),"w/ Pending")</f>
        <v>w/ Pending</v>
      </c>
      <c r="C1757" s="2" t="str">
        <f>IFERROR(__xludf.DUMMYFUNCTION("""COMPUTED_VALUE"""),"FOR BILLING L2, w/ pending, for DR")</f>
        <v>FOR BILLING L2, w/ pending, for DR</v>
      </c>
      <c r="D1757" s="2" t="str">
        <f>IFERROR(__xludf.DUMMYFUNCTION("""COMPUTED_VALUE"""),"Brgy. Caraisan Farmers Association Incorporated")</f>
        <v>Brgy. Caraisan Farmers Association Incorporated</v>
      </c>
      <c r="E1757" s="2" t="str">
        <f>IFERROR(__xludf.DUMMYFUNCTION("""COMPUTED_VALUE"""),"CARAISAN, MAGSINGAL, ILOCOS SUR")</f>
        <v>CARAISAN, MAGSINGAL, ILOCOS SUR</v>
      </c>
      <c r="F1757" s="2"/>
      <c r="G1757" s="2"/>
      <c r="H1757" s="2"/>
      <c r="I1757" s="2"/>
      <c r="J1757" s="2"/>
      <c r="K1757" s="2"/>
      <c r="L1757" s="2">
        <f>IFERROR(__xludf.DUMMYFUNCTION("""COMPUTED_VALUE"""),2.0)</f>
        <v>2</v>
      </c>
      <c r="M1757" s="2"/>
      <c r="N1757" s="74">
        <f>IFERROR(__xludf.DUMMYFUNCTION("""COMPUTED_VALUE"""),45398.0)</f>
        <v>45398</v>
      </c>
      <c r="O1757" s="2"/>
      <c r="P1757" s="2">
        <f>IFERROR(__xludf.DUMMYFUNCTION("""COMPUTED_VALUE"""),18959.0)</f>
        <v>18959</v>
      </c>
      <c r="Q1757" s="2" t="str">
        <f>IFERROR(__xludf.DUMMYFUNCTION("""COMPUTED_VALUE"""),"KMC5825ACRFPV0697")</f>
        <v>KMC5825ACRFPV0697</v>
      </c>
      <c r="R1757" s="2" t="str">
        <f>IFERROR(__xludf.DUMMYFUNCTION("""COMPUTED_VALUE"""),"RTS 100576")</f>
        <v>RTS 100576</v>
      </c>
      <c r="S1757" s="2" t="str">
        <f>IFERROR(__xludf.DUMMYFUNCTION("""COMPUTED_VALUE"""),"R- SERIES 795 PPH")</f>
        <v>R- SERIES 795 PPH</v>
      </c>
      <c r="T1757" s="2" t="str">
        <f>IFERROR(__xludf.DUMMYFUNCTION("""COMPUTED_VALUE"""),"LSGW1750-RMP-24010119")</f>
        <v>LSGW1750-RMP-24010119</v>
      </c>
      <c r="U1757" s="2" t="str">
        <f>IFERROR(__xludf.DUMMYFUNCTION("""COMPUTED_VALUE"""),"WDP40 RMP 24050560")</f>
        <v>WDP40 RMP 24050560</v>
      </c>
      <c r="V1757" s="2"/>
      <c r="W1757" s="2"/>
      <c r="X1757" s="2"/>
      <c r="Y1757" s="2"/>
      <c r="Z1757" s="2"/>
      <c r="AA1757" s="2"/>
      <c r="AB1757" s="2"/>
    </row>
    <row r="1758">
      <c r="A1758" s="2"/>
      <c r="B1758" s="2" t="str">
        <f>IFERROR(__xludf.DUMMYFUNCTION("""COMPUTED_VALUE"""),"w/ Pending")</f>
        <v>w/ Pending</v>
      </c>
      <c r="C1758" s="2" t="str">
        <f>IFERROR(__xludf.DUMMYFUNCTION("""COMPUTED_VALUE"""),"FOR BILLING L2, w/ pending, for DR")</f>
        <v>FOR BILLING L2, w/ pending, for DR</v>
      </c>
      <c r="D1758" s="2" t="str">
        <f>IFERROR(__xludf.DUMMYFUNCTION("""COMPUTED_VALUE"""),"Free Farmers Multi Purpose Cooperative")</f>
        <v>Free Farmers Multi Purpose Cooperative</v>
      </c>
      <c r="E1758" s="2" t="str">
        <f>IFERROR(__xludf.DUMMYFUNCTION("""COMPUTED_VALUE"""),"SAYAGADEN, CABUGAO, ILOCOS SUR")</f>
        <v>SAYAGADEN, CABUGAO, ILOCOS SUR</v>
      </c>
      <c r="F1758" s="2"/>
      <c r="G1758" s="2"/>
      <c r="H1758" s="2"/>
      <c r="I1758" s="2"/>
      <c r="J1758" s="2"/>
      <c r="K1758" s="2"/>
      <c r="L1758" s="2">
        <f>IFERROR(__xludf.DUMMYFUNCTION("""COMPUTED_VALUE"""),2.0)</f>
        <v>2</v>
      </c>
      <c r="M1758" s="2"/>
      <c r="N1758" s="74">
        <f>IFERROR(__xludf.DUMMYFUNCTION("""COMPUTED_VALUE"""),45398.0)</f>
        <v>45398</v>
      </c>
      <c r="O1758" s="2"/>
      <c r="P1758" s="2">
        <f>IFERROR(__xludf.DUMMYFUNCTION("""COMPUTED_VALUE"""),18958.0)</f>
        <v>18958</v>
      </c>
      <c r="Q1758" s="2" t="str">
        <f>IFERROR(__xludf.DUMMYFUNCTION("""COMPUTED_VALUE"""),"KMC5825AVRFPV0653")</f>
        <v>KMC5825AVRFPV0653</v>
      </c>
      <c r="R1758" s="2" t="str">
        <f>IFERROR(__xludf.DUMMYFUNCTION("""COMPUTED_VALUE"""),"RTS100540")</f>
        <v>RTS100540</v>
      </c>
      <c r="S1758" s="2" t="str">
        <f>IFERROR(__xludf.DUMMYFUNCTION("""COMPUTED_VALUE"""),"R-SERIES 803 PH")</f>
        <v>R-SERIES 803 PH</v>
      </c>
      <c r="T1758" s="2" t="str">
        <f>IFERROR(__xludf.DUMMYFUNCTION("""COMPUTED_VALUE"""),"LSGW-1750-RMP-24010120")</f>
        <v>LSGW-1750-RMP-24010120</v>
      </c>
      <c r="U1758" s="2" t="str">
        <f>IFERROR(__xludf.DUMMYFUNCTION("""COMPUTED_VALUE"""),"WDP40 RMP 24050616")</f>
        <v>WDP40 RMP 24050616</v>
      </c>
      <c r="V1758" s="2"/>
      <c r="W1758" s="2"/>
      <c r="X1758" s="2"/>
      <c r="Y1758" s="2"/>
      <c r="Z1758" s="2"/>
      <c r="AA1758" s="2"/>
      <c r="AB1758" s="2"/>
    </row>
    <row r="1759">
      <c r="A1759" s="2"/>
      <c r="B1759" s="2" t="str">
        <f>IFERROR(__xludf.DUMMYFUNCTION("""COMPUTED_VALUE"""),"w/ Pending")</f>
        <v>w/ Pending</v>
      </c>
      <c r="C1759" s="2" t="str">
        <f>IFERROR(__xludf.DUMMYFUNCTION("""COMPUTED_VALUE"""),"FOR BILLING L2, w/ pending, for DR")</f>
        <v>FOR BILLING L2, w/ pending, for DR</v>
      </c>
      <c r="D1759" s="2" t="str">
        <f>IFERROR(__xludf.DUMMYFUNCTION("""COMPUTED_VALUE"""),"Cuantacla Farmers Association Inc.")</f>
        <v>Cuantacla Farmers Association Inc.</v>
      </c>
      <c r="E1759" s="2" t="str">
        <f>IFERROR(__xludf.DUMMYFUNCTION("""COMPUTED_VALUE"""),"Cuantacla, Cabugao, Ilocos Sur")</f>
        <v>Cuantacla, Cabugao, Ilocos Sur</v>
      </c>
      <c r="F1759" s="2"/>
      <c r="G1759" s="2"/>
      <c r="H1759" s="2"/>
      <c r="I1759" s="2"/>
      <c r="J1759" s="2"/>
      <c r="K1759" s="2"/>
      <c r="L1759" s="2">
        <f>IFERROR(__xludf.DUMMYFUNCTION("""COMPUTED_VALUE"""),2.0)</f>
        <v>2</v>
      </c>
      <c r="M1759" s="2"/>
      <c r="N1759" s="74">
        <f>IFERROR(__xludf.DUMMYFUNCTION("""COMPUTED_VALUE"""),6685506.0)</f>
        <v>6685506</v>
      </c>
      <c r="O1759" s="2"/>
      <c r="P1759" s="2">
        <f>IFERROR(__xludf.DUMMYFUNCTION("""COMPUTED_VALUE"""),18957.0)</f>
        <v>18957</v>
      </c>
      <c r="Q1759" s="2" t="str">
        <f>IFERROR(__xludf.DUMMYFUNCTION("""COMPUTED_VALUE"""),"KMC5825 ATRFPV0760")</f>
        <v>KMC5825 ATRFPV0760</v>
      </c>
      <c r="R1759" s="2" t="str">
        <f>IFERROR(__xludf.DUMMYFUNCTION("""COMPUTED_VALUE"""),"RTS 100479")</f>
        <v>RTS 100479</v>
      </c>
      <c r="S1759" s="2" t="str">
        <f>IFERROR(__xludf.DUMMYFUNCTION("""COMPUTED_VALUE"""),"R-SERIES 794 PH")</f>
        <v>R-SERIES 794 PH</v>
      </c>
      <c r="T1759" s="2" t="str">
        <f>IFERROR(__xludf.DUMMYFUNCTION("""COMPUTED_VALUE"""),"LSGW -1750 -RMP- 24010122")</f>
        <v>LSGW -1750 -RMP- 24010122</v>
      </c>
      <c r="U1759" s="2" t="str">
        <f>IFERROR(__xludf.DUMMYFUNCTION("""COMPUTED_VALUE"""),"WDP40 - RMP - 24050558")</f>
        <v>WDP40 - RMP - 24050558</v>
      </c>
      <c r="V1759" s="2"/>
      <c r="W1759" s="2"/>
      <c r="X1759" s="2"/>
      <c r="Y1759" s="2"/>
      <c r="Z1759" s="2"/>
      <c r="AA1759" s="2"/>
      <c r="AB1759" s="2"/>
    </row>
    <row r="1760">
      <c r="A1760" s="2"/>
      <c r="B1760" s="2" t="str">
        <f>IFERROR(__xludf.DUMMYFUNCTION("""COMPUTED_VALUE"""),"w/ Pending")</f>
        <v>w/ Pending</v>
      </c>
      <c r="C1760" s="2" t="str">
        <f>IFERROR(__xludf.DUMMYFUNCTION("""COMPUTED_VALUE"""),"FOR BILLING L2, w/ pending, for DR")</f>
        <v>FOR BILLING L2, w/ pending, for DR</v>
      </c>
      <c r="D1760" s="2" t="str">
        <f>IFERROR(__xludf.DUMMYFUNCTION("""COMPUTED_VALUE"""),"62A NAVOTAS FARMERS ASSOCIATION INCORPORATED")</f>
        <v>62A NAVOTAS FARMERS ASSOCIATION INCORPORATED</v>
      </c>
      <c r="E1760" s="2" t="str">
        <f>IFERROR(__xludf.DUMMYFUNCTION("""COMPUTED_VALUE"""),"62A- NAVOTAS NORTH, LAOAG CITY, ILOCOS NORTE")</f>
        <v>62A- NAVOTAS NORTH, LAOAG CITY, ILOCOS NORTE</v>
      </c>
      <c r="F1760" s="2"/>
      <c r="G1760" s="2"/>
      <c r="H1760" s="2"/>
      <c r="I1760" s="2"/>
      <c r="J1760" s="2"/>
      <c r="K1760" s="2"/>
      <c r="L1760" s="2">
        <f>IFERROR(__xludf.DUMMYFUNCTION("""COMPUTED_VALUE"""),2.0)</f>
        <v>2</v>
      </c>
      <c r="M1760" s="2"/>
      <c r="N1760" s="2"/>
      <c r="O1760" s="2"/>
      <c r="P1760" s="2">
        <f>IFERROR(__xludf.DUMMYFUNCTION("""COMPUTED_VALUE"""),17406.0)</f>
        <v>17406</v>
      </c>
      <c r="Q1760" s="2" t="str">
        <f>IFERROR(__xludf.DUMMYFUNCTION("""COMPUTED_VALUE"""),"KMC5825 ALPFPV0006")</f>
        <v>KMC5825 ALPFPV0006</v>
      </c>
      <c r="R1760" s="2" t="str">
        <f>IFERROR(__xludf.DUMMYFUNCTION("""COMPUTED_VALUE"""),"RTS 100007")</f>
        <v>RTS 100007</v>
      </c>
      <c r="S1760" s="2" t="str">
        <f>IFERROR(__xludf.DUMMYFUNCTION("""COMPUTED_VALUE"""),"HL 22R009")</f>
        <v>HL 22R009</v>
      </c>
      <c r="T1760" s="2" t="str">
        <f>IFERROR(__xludf.DUMMYFUNCTION("""COMPUTED_VALUE"""),"LSGW -1750 -RMP- 24010209")</f>
        <v>LSGW -1750 -RMP- 24010209</v>
      </c>
      <c r="U1760" s="2" t="str">
        <f>IFERROR(__xludf.DUMMYFUNCTION("""COMPUTED_VALUE"""),"WDP 0021")</f>
        <v>WDP 0021</v>
      </c>
      <c r="V1760" s="2"/>
      <c r="W1760" s="2"/>
      <c r="X1760" s="2"/>
      <c r="Y1760" s="2"/>
      <c r="Z1760" s="2"/>
      <c r="AA1760" s="2"/>
      <c r="AB1760" s="2"/>
    </row>
    <row r="1761">
      <c r="A1761" s="2"/>
      <c r="B1761" s="2" t="str">
        <f>IFERROR(__xludf.DUMMYFUNCTION("""COMPUTED_VALUE"""),"w/ Pending")</f>
        <v>w/ Pending</v>
      </c>
      <c r="C1761" s="2" t="str">
        <f>IFERROR(__xludf.DUMMYFUNCTION("""COMPUTED_VALUE"""),"FOR BILLING L2, w/ pending, for DR")</f>
        <v>FOR BILLING L2, w/ pending, for DR</v>
      </c>
      <c r="D1761" s="2" t="str">
        <f>IFERROR(__xludf.DUMMYFUNCTION("""COMPUTED_VALUE"""),"PANINAAN-DAYA FARMERS ASSOCIATION INC.")</f>
        <v>PANINAAN-DAYA FARMERS ASSOCIATION INC.</v>
      </c>
      <c r="E1761" s="2" t="str">
        <f>IFERROR(__xludf.DUMMYFUNCTION("""COMPUTED_VALUE"""),"PANINAAN, BACARRA, ILOCOS NORTE")</f>
        <v>PANINAAN, BACARRA, ILOCOS NORTE</v>
      </c>
      <c r="F1761" s="2" t="str">
        <f>IFERROR(__xludf.DUMMYFUNCTION("""COMPUTED_VALUE"""),"ANTONIO T. LOMOTAN")</f>
        <v>ANTONIO T. LOMOTAN</v>
      </c>
      <c r="G1761" s="2">
        <f>IFERROR(__xludf.DUMMYFUNCTION("""COMPUTED_VALUE"""),9.279337034E9)</f>
        <v>9279337034</v>
      </c>
      <c r="H1761" s="2"/>
      <c r="I1761" s="2"/>
      <c r="J1761" s="2"/>
      <c r="K1761" s="2"/>
      <c r="L1761" s="2"/>
      <c r="M1761" s="2"/>
      <c r="N1761" s="2"/>
      <c r="O1761" s="2"/>
      <c r="P1761" s="2">
        <f>IFERROR(__xludf.DUMMYFUNCTION("""COMPUTED_VALUE"""),17405.0)</f>
        <v>17405</v>
      </c>
      <c r="Q1761" s="2" t="str">
        <f>IFERROR(__xludf.DUMMYFUNCTION("""COMPUTED_VALUE"""),"KMC5825 AKPFPV0016")</f>
        <v>KMC5825 AKPFPV0016</v>
      </c>
      <c r="R1761" s="2" t="str">
        <f>IFERROR(__xludf.DUMMYFUNCTION("""COMPUTED_VALUE"""),"RTS 1000017")</f>
        <v>RTS 1000017</v>
      </c>
      <c r="S1761" s="2" t="str">
        <f>IFERROR(__xludf.DUMMYFUNCTION("""COMPUTED_VALUE"""),"RSERIES-014PH")</f>
        <v>RSERIES-014PH</v>
      </c>
      <c r="T1761" s="2" t="str">
        <f>IFERROR(__xludf.DUMMYFUNCTION("""COMPUTED_VALUE"""),"LSGW -1750 -RMP- 24010126")</f>
        <v>LSGW -1750 -RMP- 24010126</v>
      </c>
      <c r="U1761" s="2" t="str">
        <f>IFERROR(__xludf.DUMMYFUNCTION("""COMPUTED_VALUE""")," WDP 0020")</f>
        <v> WDP 0020</v>
      </c>
      <c r="V1761" s="2"/>
      <c r="W1761" s="2"/>
      <c r="X1761" s="2"/>
      <c r="Y1761" s="2"/>
      <c r="Z1761" s="2"/>
      <c r="AA1761" s="2"/>
      <c r="AB1761" s="2"/>
    </row>
    <row r="1762">
      <c r="A1762" s="2"/>
      <c r="B1762" s="2" t="str">
        <f>IFERROR(__xludf.DUMMYFUNCTION("""COMPUTED_VALUE"""),"w/ Pending")</f>
        <v>w/ Pending</v>
      </c>
      <c r="C1762" s="2" t="str">
        <f>IFERROR(__xludf.DUMMYFUNCTION("""COMPUTED_VALUE"""),"FOR BILLING L2, w/ pending, for DR")</f>
        <v>FOR BILLING L2, w/ pending, for DR</v>
      </c>
      <c r="D1762" s="2" t="str">
        <f>IFERROR(__xludf.DUMMYFUNCTION("""COMPUTED_VALUE"""),"NGABANGAB RESOURCES FARMERS ASSOCIATION")</f>
        <v>NGABANGAB RESOURCES FARMERS ASSOCIATION</v>
      </c>
      <c r="E1762" s="2" t="str">
        <f>IFERROR(__xludf.DUMMYFUNCTION("""COMPUTED_VALUE"""),"NGABANGAB, PASUQUIN, ILOCOS NORTE")</f>
        <v>NGABANGAB, PASUQUIN, ILOCOS NORTE</v>
      </c>
      <c r="F1762" s="2" t="str">
        <f>IFERROR(__xludf.DUMMYFUNCTION("""COMPUTED_VALUE"""),"Belie Gervacio ")</f>
        <v>Belie Gervacio </v>
      </c>
      <c r="G1762" s="2" t="str">
        <f>IFERROR(__xludf.DUMMYFUNCTION("""COMPUTED_VALUE"""),"9475356520 / 9107421530")</f>
        <v>9475356520 / 9107421530</v>
      </c>
      <c r="H1762" s="2"/>
      <c r="I1762" s="2"/>
      <c r="J1762" s="2"/>
      <c r="K1762" s="2"/>
      <c r="L1762" s="2"/>
      <c r="M1762" s="2"/>
      <c r="N1762" s="2"/>
      <c r="O1762" s="2"/>
      <c r="P1762" s="2">
        <f>IFERROR(__xludf.DUMMYFUNCTION("""COMPUTED_VALUE"""),17404.0)</f>
        <v>17404</v>
      </c>
      <c r="Q1762" s="2" t="str">
        <f>IFERROR(__xludf.DUMMYFUNCTION("""COMPUTED_VALUE"""),"KMC5825 APPFPV0031")</f>
        <v>KMC5825 APPFPV0031</v>
      </c>
      <c r="R1762" s="2" t="str">
        <f>IFERROR(__xludf.DUMMYFUNCTION("""COMPUTED_VALUE"""),"RTS 1000016")</f>
        <v>RTS 1000016</v>
      </c>
      <c r="S1762" s="2" t="str">
        <f>IFERROR(__xludf.DUMMYFUNCTION("""COMPUTED_VALUE"""),"R-SERIES-012 PH")</f>
        <v>R-SERIES-012 PH</v>
      </c>
      <c r="T1762" s="2" t="str">
        <f>IFERROR(__xludf.DUMMYFUNCTION("""COMPUTED_VALUE"""),"LSGW -1750 -RMP- 24010121")</f>
        <v>LSGW -1750 -RMP- 24010121</v>
      </c>
      <c r="U1762" s="2" t="str">
        <f>IFERROR(__xludf.DUMMYFUNCTION("""COMPUTED_VALUE"""),"WDP 0019")</f>
        <v>WDP 0019</v>
      </c>
      <c r="V1762" s="2"/>
      <c r="W1762" s="2"/>
      <c r="X1762" s="2"/>
      <c r="Y1762" s="2"/>
      <c r="Z1762" s="2"/>
      <c r="AA1762" s="2"/>
      <c r="AB1762" s="2"/>
    </row>
    <row r="1763">
      <c r="A1763" s="2"/>
      <c r="B1763" s="2"/>
      <c r="C1763" s="2"/>
      <c r="D1763" s="2"/>
      <c r="E1763" s="2"/>
      <c r="F1763" s="2"/>
      <c r="G1763" s="2"/>
      <c r="H1763" s="2"/>
      <c r="I1763" s="2"/>
      <c r="J1763" s="2"/>
      <c r="K1763" s="2"/>
      <c r="L1763" s="2"/>
      <c r="M1763" s="2"/>
      <c r="N1763" s="2"/>
      <c r="O1763" s="2"/>
      <c r="P1763" s="2"/>
      <c r="Q1763" s="2"/>
      <c r="R1763" s="2"/>
      <c r="S1763" s="2"/>
      <c r="T1763" s="2"/>
      <c r="U1763" s="2"/>
      <c r="V1763" s="2"/>
      <c r="W1763" s="2"/>
      <c r="X1763" s="2"/>
      <c r="Y1763" s="2"/>
      <c r="Z1763" s="2"/>
      <c r="AA1763" s="2"/>
      <c r="AB1763" s="2"/>
    </row>
    <row r="1764">
      <c r="A1764" s="2"/>
      <c r="B1764" s="2"/>
      <c r="C1764" s="2"/>
      <c r="D1764" s="2"/>
      <c r="E1764" s="2"/>
      <c r="F1764" s="2"/>
      <c r="G1764" s="2"/>
      <c r="H1764" s="2"/>
      <c r="I1764" s="2"/>
      <c r="J1764" s="2"/>
      <c r="K1764" s="2"/>
      <c r="L1764" s="2"/>
      <c r="M1764" s="2"/>
      <c r="N1764" s="2"/>
      <c r="O1764" s="2"/>
      <c r="P1764" s="2"/>
      <c r="Q1764" s="2"/>
      <c r="R1764" s="2"/>
      <c r="S1764" s="2"/>
      <c r="T1764" s="2"/>
      <c r="U1764" s="2"/>
      <c r="V1764" s="2"/>
      <c r="W1764" s="2"/>
      <c r="X1764" s="2"/>
      <c r="Y1764" s="2"/>
      <c r="Z1764" s="2"/>
      <c r="AA1764" s="2"/>
      <c r="AB1764" s="2"/>
    </row>
    <row r="1765">
      <c r="A1765" s="2"/>
      <c r="B1765" s="2"/>
      <c r="C1765" s="2"/>
      <c r="D1765" s="2"/>
      <c r="E1765" s="2"/>
      <c r="F1765" s="2"/>
      <c r="G1765" s="2"/>
      <c r="H1765" s="2"/>
      <c r="I1765" s="2"/>
      <c r="J1765" s="2"/>
      <c r="K1765" s="2"/>
      <c r="L1765" s="2"/>
      <c r="M1765" s="2"/>
      <c r="N1765" s="2"/>
      <c r="O1765" s="2"/>
      <c r="P1765" s="2"/>
      <c r="Q1765" s="2"/>
      <c r="R1765" s="2"/>
      <c r="S1765" s="2"/>
      <c r="T1765" s="2"/>
      <c r="U1765" s="2"/>
      <c r="V1765" s="2"/>
      <c r="W1765" s="2"/>
      <c r="X1765" s="2"/>
      <c r="Y1765" s="2"/>
      <c r="Z1765" s="2"/>
      <c r="AA1765" s="2"/>
      <c r="AB1765" s="2"/>
    </row>
    <row r="1766">
      <c r="A1766" s="2"/>
      <c r="B1766" s="2"/>
      <c r="C1766" s="2"/>
      <c r="D1766" s="2"/>
      <c r="E1766" s="2"/>
      <c r="F1766" s="2"/>
      <c r="G1766" s="2"/>
      <c r="H1766" s="2"/>
      <c r="I1766" s="2"/>
      <c r="J1766" s="2"/>
      <c r="K1766" s="2"/>
      <c r="L1766" s="2"/>
      <c r="M1766" s="2"/>
      <c r="N1766" s="2"/>
      <c r="O1766" s="2"/>
      <c r="P1766" s="2"/>
      <c r="Q1766" s="2"/>
      <c r="R1766" s="2"/>
      <c r="S1766" s="2"/>
      <c r="T1766" s="2"/>
      <c r="U1766" s="2"/>
      <c r="V1766" s="2"/>
      <c r="W1766" s="2"/>
      <c r="X1766" s="2"/>
      <c r="Y1766" s="2"/>
      <c r="Z1766" s="2"/>
      <c r="AA1766" s="2"/>
      <c r="AB1766" s="2"/>
    </row>
    <row r="1767">
      <c r="A1767" s="2"/>
      <c r="B1767" s="2"/>
      <c r="C1767" s="2"/>
      <c r="D1767" s="2"/>
      <c r="E1767" s="2"/>
      <c r="F1767" s="2"/>
      <c r="G1767" s="2"/>
      <c r="H1767" s="2"/>
      <c r="I1767" s="2"/>
      <c r="J1767" s="2"/>
      <c r="K1767" s="2"/>
      <c r="L1767" s="2"/>
      <c r="M1767" s="2"/>
      <c r="N1767" s="2"/>
      <c r="O1767" s="2"/>
      <c r="P1767" s="2"/>
      <c r="Q1767" s="2"/>
      <c r="R1767" s="2"/>
      <c r="S1767" s="2"/>
      <c r="T1767" s="2"/>
      <c r="U1767" s="2"/>
      <c r="V1767" s="2"/>
      <c r="W1767" s="2"/>
      <c r="X1767" s="2"/>
      <c r="Y1767" s="2"/>
      <c r="Z1767" s="2"/>
      <c r="AA1767" s="2"/>
      <c r="AB1767" s="2"/>
    </row>
    <row r="1768">
      <c r="A1768" s="2"/>
      <c r="B1768" s="2"/>
      <c r="C1768" s="2"/>
      <c r="D1768" s="2"/>
      <c r="E1768" s="2"/>
      <c r="F1768" s="2"/>
      <c r="G1768" s="2"/>
      <c r="H1768" s="2"/>
      <c r="I1768" s="2"/>
      <c r="J1768" s="2"/>
      <c r="K1768" s="2"/>
      <c r="L1768" s="2"/>
      <c r="M1768" s="2"/>
      <c r="N1768" s="2"/>
      <c r="O1768" s="2"/>
      <c r="P1768" s="2"/>
      <c r="Q1768" s="2"/>
      <c r="R1768" s="2"/>
      <c r="S1768" s="2"/>
      <c r="T1768" s="2"/>
      <c r="U1768" s="2"/>
      <c r="V1768" s="2"/>
      <c r="W1768" s="2"/>
      <c r="X1768" s="2"/>
      <c r="Y1768" s="2"/>
      <c r="Z1768" s="2"/>
      <c r="AA1768" s="2"/>
      <c r="AB1768" s="2"/>
    </row>
    <row r="1769">
      <c r="A1769" s="2"/>
      <c r="B1769" s="2"/>
      <c r="C1769" s="2"/>
      <c r="D1769" s="2"/>
      <c r="E1769" s="2"/>
      <c r="F1769" s="2"/>
      <c r="G1769" s="2"/>
      <c r="H1769" s="2"/>
      <c r="I1769" s="2"/>
      <c r="J1769" s="2"/>
      <c r="K1769" s="2"/>
      <c r="L1769" s="2"/>
      <c r="M1769" s="2"/>
      <c r="N1769" s="2"/>
      <c r="O1769" s="2"/>
      <c r="P1769" s="2"/>
      <c r="Q1769" s="2"/>
      <c r="R1769" s="2"/>
      <c r="S1769" s="2"/>
      <c r="T1769" s="2"/>
      <c r="U1769" s="2"/>
      <c r="V1769" s="2"/>
      <c r="W1769" s="2"/>
      <c r="X1769" s="2"/>
      <c r="Y1769" s="2"/>
      <c r="Z1769" s="2"/>
      <c r="AA1769" s="2"/>
      <c r="AB1769" s="2"/>
    </row>
    <row r="1770">
      <c r="A1770" s="2"/>
      <c r="B1770" s="2"/>
      <c r="C1770" s="2"/>
      <c r="D1770" s="2"/>
      <c r="E1770" s="2"/>
      <c r="F1770" s="2"/>
      <c r="G1770" s="2"/>
      <c r="H1770" s="2"/>
      <c r="I1770" s="2"/>
      <c r="J1770" s="2"/>
      <c r="K1770" s="2"/>
      <c r="L1770" s="2"/>
      <c r="M1770" s="2"/>
      <c r="N1770" s="2"/>
      <c r="O1770" s="2"/>
      <c r="P1770" s="2"/>
      <c r="Q1770" s="2"/>
      <c r="R1770" s="2"/>
      <c r="S1770" s="2"/>
      <c r="T1770" s="2"/>
      <c r="U1770" s="2"/>
      <c r="V1770" s="2"/>
      <c r="W1770" s="2"/>
      <c r="X1770" s="2"/>
      <c r="Y1770" s="2"/>
      <c r="Z1770" s="2"/>
      <c r="AA1770" s="2"/>
      <c r="AB1770" s="2"/>
    </row>
    <row r="1771">
      <c r="A1771" s="2"/>
      <c r="B1771" s="2"/>
      <c r="C1771" s="2"/>
      <c r="D1771" s="2"/>
      <c r="E1771" s="2"/>
      <c r="F1771" s="2"/>
      <c r="G1771" s="2"/>
      <c r="H1771" s="2"/>
      <c r="I1771" s="2"/>
      <c r="J1771" s="2"/>
      <c r="K1771" s="2"/>
      <c r="L1771" s="2"/>
      <c r="M1771" s="2"/>
      <c r="N1771" s="2"/>
      <c r="O1771" s="2"/>
      <c r="P1771" s="2"/>
      <c r="Q1771" s="2"/>
      <c r="R1771" s="2"/>
      <c r="S1771" s="2"/>
      <c r="T1771" s="2"/>
      <c r="U1771" s="2"/>
      <c r="V1771" s="2"/>
      <c r="W1771" s="2"/>
      <c r="X1771" s="2"/>
      <c r="Y1771" s="2"/>
      <c r="Z1771" s="2"/>
      <c r="AA1771" s="2"/>
      <c r="AB1771" s="2"/>
    </row>
    <row r="1772">
      <c r="A1772" s="2"/>
      <c r="B1772" s="2"/>
      <c r="C1772" s="2"/>
      <c r="D1772" s="2"/>
      <c r="E1772" s="2"/>
      <c r="F1772" s="2"/>
      <c r="G1772" s="2"/>
      <c r="H1772" s="2"/>
      <c r="I1772" s="2"/>
      <c r="J1772" s="2"/>
      <c r="K1772" s="2"/>
      <c r="L1772" s="2"/>
      <c r="M1772" s="2"/>
      <c r="N1772" s="2"/>
      <c r="O1772" s="2"/>
      <c r="P1772" s="2"/>
      <c r="Q1772" s="2"/>
      <c r="R1772" s="2"/>
      <c r="S1772" s="2"/>
      <c r="T1772" s="2"/>
      <c r="U1772" s="2"/>
      <c r="V1772" s="2"/>
      <c r="W1772" s="2"/>
      <c r="X1772" s="2"/>
      <c r="Y1772" s="2"/>
      <c r="Z1772" s="2"/>
      <c r="AA1772" s="2"/>
      <c r="AB1772" s="2"/>
    </row>
    <row r="1773">
      <c r="A1773" s="2"/>
      <c r="B1773" s="2"/>
      <c r="C1773" s="2"/>
      <c r="D1773" s="2"/>
      <c r="E1773" s="2"/>
      <c r="F1773" s="2"/>
      <c r="G1773" s="2"/>
      <c r="H1773" s="2"/>
      <c r="I1773" s="2"/>
      <c r="J1773" s="2"/>
      <c r="K1773" s="2"/>
      <c r="L1773" s="2"/>
      <c r="M1773" s="2"/>
      <c r="N1773" s="2"/>
      <c r="O1773" s="2"/>
      <c r="P1773" s="2"/>
      <c r="Q1773" s="2"/>
      <c r="R1773" s="2"/>
      <c r="S1773" s="2"/>
      <c r="T1773" s="2"/>
      <c r="U1773" s="2"/>
      <c r="V1773" s="2"/>
      <c r="W1773" s="2"/>
      <c r="X1773" s="2"/>
      <c r="Y1773" s="2"/>
      <c r="Z1773" s="2"/>
      <c r="AA1773" s="2"/>
      <c r="AB1773" s="2"/>
    </row>
    <row r="1774">
      <c r="A1774" s="2"/>
      <c r="B1774" s="2"/>
      <c r="C1774" s="2"/>
      <c r="D1774" s="2"/>
      <c r="E1774" s="2"/>
      <c r="F1774" s="2"/>
      <c r="G1774" s="2"/>
      <c r="H1774" s="2"/>
      <c r="I1774" s="2"/>
      <c r="J1774" s="2"/>
      <c r="K1774" s="2"/>
      <c r="L1774" s="2"/>
      <c r="M1774" s="2"/>
      <c r="N1774" s="2"/>
      <c r="O1774" s="2"/>
      <c r="P1774" s="2"/>
      <c r="Q1774" s="2"/>
      <c r="R1774" s="2"/>
      <c r="S1774" s="2"/>
      <c r="T1774" s="2"/>
      <c r="U1774" s="2"/>
      <c r="V1774" s="2"/>
      <c r="W1774" s="2"/>
      <c r="X1774" s="2"/>
      <c r="Y1774" s="2"/>
      <c r="Z1774" s="2"/>
      <c r="AA1774" s="2"/>
      <c r="AB1774" s="2"/>
    </row>
    <row r="1775">
      <c r="A1775" s="2"/>
      <c r="B1775" s="2"/>
      <c r="C1775" s="2"/>
      <c r="D1775" s="2"/>
      <c r="E1775" s="2"/>
      <c r="F1775" s="2"/>
      <c r="G1775" s="2"/>
      <c r="H1775" s="2"/>
      <c r="I1775" s="2"/>
      <c r="J1775" s="2"/>
      <c r="K1775" s="2"/>
      <c r="L1775" s="2"/>
      <c r="M1775" s="2"/>
      <c r="N1775" s="2"/>
      <c r="O1775" s="2"/>
      <c r="P1775" s="2"/>
      <c r="Q1775" s="2"/>
      <c r="R1775" s="2"/>
      <c r="S1775" s="2"/>
      <c r="T1775" s="2"/>
      <c r="U1775" s="2"/>
      <c r="V1775" s="2"/>
      <c r="W1775" s="2"/>
      <c r="X1775" s="2"/>
      <c r="Y1775" s="2"/>
      <c r="Z1775" s="2"/>
      <c r="AA1775" s="2"/>
      <c r="AB1775" s="2"/>
    </row>
    <row r="1776">
      <c r="A1776" s="2"/>
      <c r="B1776" s="2"/>
      <c r="C1776" s="2"/>
      <c r="D1776" s="2"/>
      <c r="E1776" s="2"/>
      <c r="F1776" s="2"/>
      <c r="G1776" s="2"/>
      <c r="H1776" s="2"/>
      <c r="I1776" s="2"/>
      <c r="J1776" s="2"/>
      <c r="K1776" s="2"/>
      <c r="L1776" s="2"/>
      <c r="M1776" s="2"/>
      <c r="N1776" s="2"/>
      <c r="O1776" s="2"/>
      <c r="P1776" s="2"/>
      <c r="Q1776" s="2"/>
      <c r="R1776" s="2"/>
      <c r="S1776" s="2"/>
      <c r="T1776" s="2"/>
      <c r="U1776" s="2"/>
      <c r="V1776" s="2"/>
      <c r="W1776" s="2"/>
      <c r="X1776" s="2"/>
      <c r="Y1776" s="2"/>
      <c r="Z1776" s="2"/>
      <c r="AA1776" s="2"/>
      <c r="AB1776" s="2"/>
    </row>
    <row r="1777">
      <c r="A1777" s="2"/>
      <c r="B1777" s="2"/>
      <c r="C1777" s="2"/>
      <c r="D1777" s="2"/>
      <c r="E1777" s="2"/>
      <c r="F1777" s="2"/>
      <c r="G1777" s="2"/>
      <c r="H1777" s="2"/>
      <c r="I1777" s="2"/>
      <c r="J1777" s="2"/>
      <c r="K1777" s="2"/>
      <c r="L1777" s="2"/>
      <c r="M1777" s="2"/>
      <c r="N1777" s="2"/>
      <c r="O1777" s="2"/>
      <c r="P1777" s="2"/>
      <c r="Q1777" s="2"/>
      <c r="R1777" s="2"/>
      <c r="S1777" s="2"/>
      <c r="T1777" s="2"/>
      <c r="U1777" s="2"/>
      <c r="V1777" s="2"/>
      <c r="W1777" s="2"/>
      <c r="X1777" s="2"/>
      <c r="Y1777" s="2"/>
      <c r="Z1777" s="2"/>
      <c r="AA1777" s="2"/>
      <c r="AB1777" s="2"/>
    </row>
    <row r="1778">
      <c r="A1778" s="2"/>
      <c r="B1778" s="2"/>
      <c r="C1778" s="2"/>
      <c r="D1778" s="2"/>
      <c r="E1778" s="2"/>
      <c r="F1778" s="2"/>
      <c r="G1778" s="2"/>
      <c r="H1778" s="2"/>
      <c r="I1778" s="2"/>
      <c r="J1778" s="2"/>
      <c r="K1778" s="2"/>
      <c r="L1778" s="2"/>
      <c r="M1778" s="2"/>
      <c r="N1778" s="2"/>
      <c r="O1778" s="2"/>
      <c r="P1778" s="2"/>
      <c r="Q1778" s="2"/>
      <c r="R1778" s="2"/>
      <c r="S1778" s="2"/>
      <c r="T1778" s="2"/>
      <c r="U1778" s="2"/>
      <c r="V1778" s="2"/>
      <c r="W1778" s="2"/>
      <c r="X1778" s="2"/>
      <c r="Y1778" s="2"/>
      <c r="Z1778" s="2"/>
      <c r="AA1778" s="2"/>
      <c r="AB1778" s="2"/>
    </row>
    <row r="1779">
      <c r="A1779" s="2"/>
      <c r="B1779" s="2"/>
      <c r="C1779" s="2"/>
      <c r="D1779" s="2"/>
      <c r="E1779" s="2"/>
      <c r="F1779" s="2"/>
      <c r="G1779" s="2"/>
      <c r="H1779" s="2"/>
      <c r="I1779" s="2"/>
      <c r="J1779" s="2"/>
      <c r="K1779" s="2"/>
      <c r="L1779" s="2"/>
      <c r="M1779" s="2"/>
      <c r="N1779" s="2"/>
      <c r="O1779" s="2"/>
      <c r="P1779" s="2"/>
      <c r="Q1779" s="2"/>
      <c r="R1779" s="2"/>
      <c r="S1779" s="2"/>
      <c r="T1779" s="2"/>
      <c r="U1779" s="2"/>
      <c r="V1779" s="2"/>
      <c r="W1779" s="2"/>
      <c r="X1779" s="2"/>
      <c r="Y1779" s="2"/>
      <c r="Z1779" s="2"/>
      <c r="AA1779" s="2"/>
      <c r="AB1779" s="2"/>
    </row>
    <row r="1780">
      <c r="A1780" s="2"/>
      <c r="B1780" s="2"/>
      <c r="C1780" s="2"/>
      <c r="D1780" s="2"/>
      <c r="E1780" s="2"/>
      <c r="F1780" s="2"/>
      <c r="G1780" s="2"/>
      <c r="H1780" s="2"/>
      <c r="I1780" s="2"/>
      <c r="J1780" s="2"/>
      <c r="K1780" s="2"/>
      <c r="L1780" s="2"/>
      <c r="M1780" s="2"/>
      <c r="N1780" s="2"/>
      <c r="O1780" s="2"/>
      <c r="P1780" s="2"/>
      <c r="Q1780" s="2"/>
      <c r="R1780" s="2"/>
      <c r="S1780" s="2"/>
      <c r="T1780" s="2"/>
      <c r="U1780" s="2"/>
      <c r="V1780" s="2"/>
      <c r="W1780" s="2"/>
      <c r="X1780" s="2"/>
      <c r="Y1780" s="2"/>
      <c r="Z1780" s="2"/>
      <c r="AA1780" s="2"/>
      <c r="AB1780" s="2"/>
    </row>
    <row r="1781">
      <c r="A1781" s="2"/>
      <c r="B1781" s="2"/>
      <c r="C1781" s="2"/>
      <c r="D1781" s="2"/>
      <c r="E1781" s="2"/>
      <c r="F1781" s="2"/>
      <c r="G1781" s="2"/>
      <c r="H1781" s="2"/>
      <c r="I1781" s="2"/>
      <c r="J1781" s="2"/>
      <c r="K1781" s="2"/>
      <c r="L1781" s="2"/>
      <c r="M1781" s="2"/>
      <c r="N1781" s="2"/>
      <c r="O1781" s="2"/>
      <c r="P1781" s="2"/>
      <c r="Q1781" s="2"/>
      <c r="R1781" s="2"/>
      <c r="S1781" s="2"/>
      <c r="T1781" s="2"/>
      <c r="U1781" s="2"/>
      <c r="V1781" s="2"/>
      <c r="W1781" s="2"/>
      <c r="X1781" s="2"/>
      <c r="Y1781" s="2"/>
      <c r="Z1781" s="2"/>
      <c r="AA1781" s="2"/>
      <c r="AB1781" s="2"/>
    </row>
    <row r="1782">
      <c r="A1782" s="2"/>
      <c r="B1782" s="2"/>
      <c r="C1782" s="2"/>
      <c r="D1782" s="2"/>
      <c r="E1782" s="2"/>
      <c r="F1782" s="2"/>
      <c r="G1782" s="2"/>
      <c r="H1782" s="2"/>
      <c r="I1782" s="2"/>
      <c r="J1782" s="2"/>
      <c r="K1782" s="2"/>
      <c r="L1782" s="2"/>
      <c r="M1782" s="2"/>
      <c r="N1782" s="2"/>
      <c r="O1782" s="2"/>
      <c r="P1782" s="2"/>
      <c r="Q1782" s="2"/>
      <c r="R1782" s="2"/>
      <c r="S1782" s="2"/>
      <c r="T1782" s="2"/>
      <c r="U1782" s="2"/>
      <c r="V1782" s="2"/>
      <c r="W1782" s="2"/>
      <c r="X1782" s="2"/>
      <c r="Y1782" s="2"/>
      <c r="Z1782" s="2"/>
      <c r="AA1782" s="2"/>
      <c r="AB1782" s="2"/>
    </row>
    <row r="1783">
      <c r="A1783" s="2"/>
      <c r="B1783" s="2"/>
      <c r="C1783" s="2"/>
      <c r="D1783" s="2"/>
      <c r="E1783" s="2"/>
      <c r="F1783" s="2"/>
      <c r="G1783" s="2"/>
      <c r="H1783" s="2"/>
      <c r="I1783" s="2"/>
      <c r="J1783" s="2"/>
      <c r="K1783" s="2"/>
      <c r="L1783" s="2"/>
      <c r="M1783" s="2"/>
      <c r="N1783" s="2"/>
      <c r="O1783" s="2"/>
      <c r="P1783" s="2"/>
      <c r="Q1783" s="2"/>
      <c r="R1783" s="2"/>
      <c r="S1783" s="2"/>
      <c r="T1783" s="2"/>
      <c r="U1783" s="2"/>
      <c r="V1783" s="2"/>
      <c r="W1783" s="2"/>
      <c r="X1783" s="2"/>
      <c r="Y1783" s="2"/>
      <c r="Z1783" s="2"/>
      <c r="AA1783" s="2"/>
      <c r="AB1783" s="2"/>
    </row>
    <row r="1784">
      <c r="A1784" s="2"/>
      <c r="B1784" s="2"/>
      <c r="C1784" s="2"/>
      <c r="D1784" s="2"/>
      <c r="E1784" s="2"/>
      <c r="F1784" s="2"/>
      <c r="G1784" s="2"/>
      <c r="H1784" s="2"/>
      <c r="I1784" s="2"/>
      <c r="J1784" s="2"/>
      <c r="K1784" s="2"/>
      <c r="L1784" s="2"/>
      <c r="M1784" s="2"/>
      <c r="N1784" s="2"/>
      <c r="O1784" s="2"/>
      <c r="P1784" s="2"/>
      <c r="Q1784" s="2"/>
      <c r="R1784" s="2"/>
      <c r="S1784" s="2"/>
      <c r="T1784" s="2"/>
      <c r="U1784" s="2"/>
      <c r="V1784" s="2"/>
      <c r="W1784" s="2"/>
      <c r="X1784" s="2"/>
      <c r="Y1784" s="2"/>
      <c r="Z1784" s="2"/>
      <c r="AA1784" s="2"/>
      <c r="AB1784" s="2"/>
    </row>
    <row r="1785">
      <c r="A1785" s="2"/>
      <c r="B1785" s="2"/>
      <c r="C1785" s="2"/>
      <c r="D1785" s="2"/>
      <c r="E1785" s="2"/>
      <c r="F1785" s="2"/>
      <c r="G1785" s="2"/>
      <c r="H1785" s="2"/>
      <c r="I1785" s="2"/>
      <c r="J1785" s="2"/>
      <c r="K1785" s="2"/>
      <c r="L1785" s="2"/>
      <c r="M1785" s="2"/>
      <c r="N1785" s="2"/>
      <c r="O1785" s="2"/>
      <c r="P1785" s="2"/>
      <c r="Q1785" s="2"/>
      <c r="R1785" s="2"/>
      <c r="S1785" s="2"/>
      <c r="T1785" s="2"/>
      <c r="U1785" s="2"/>
      <c r="V1785" s="2"/>
      <c r="W1785" s="2"/>
      <c r="X1785" s="2"/>
      <c r="Y1785" s="2"/>
      <c r="Z1785" s="2"/>
      <c r="AA1785" s="2"/>
      <c r="AB1785" s="2"/>
    </row>
    <row r="1786">
      <c r="A1786" s="2"/>
      <c r="B1786" s="2"/>
      <c r="C1786" s="2"/>
      <c r="D1786" s="2"/>
      <c r="E1786" s="2"/>
      <c r="F1786" s="2"/>
      <c r="G1786" s="2"/>
      <c r="H1786" s="2"/>
      <c r="I1786" s="2"/>
      <c r="J1786" s="2"/>
      <c r="K1786" s="2"/>
      <c r="L1786" s="2"/>
      <c r="M1786" s="2"/>
      <c r="N1786" s="2"/>
      <c r="O1786" s="2"/>
      <c r="P1786" s="2"/>
      <c r="Q1786" s="2"/>
      <c r="R1786" s="2"/>
      <c r="S1786" s="2"/>
      <c r="T1786" s="2"/>
      <c r="U1786" s="2"/>
      <c r="V1786" s="2"/>
      <c r="W1786" s="2"/>
      <c r="X1786" s="2"/>
      <c r="Y1786" s="2"/>
      <c r="Z1786" s="2"/>
      <c r="AA1786" s="2"/>
      <c r="AB1786" s="2"/>
    </row>
    <row r="1787">
      <c r="A1787" s="2"/>
      <c r="B1787" s="2"/>
      <c r="C1787" s="2"/>
      <c r="D1787" s="2"/>
      <c r="E1787" s="2"/>
      <c r="F1787" s="2"/>
      <c r="G1787" s="2"/>
      <c r="H1787" s="2"/>
      <c r="I1787" s="2"/>
      <c r="J1787" s="2"/>
      <c r="K1787" s="2"/>
      <c r="L1787" s="2"/>
      <c r="M1787" s="2"/>
      <c r="N1787" s="2"/>
      <c r="O1787" s="2"/>
      <c r="P1787" s="2"/>
      <c r="Q1787" s="2"/>
      <c r="R1787" s="2"/>
      <c r="S1787" s="2"/>
      <c r="T1787" s="2"/>
      <c r="U1787" s="2"/>
      <c r="V1787" s="2"/>
      <c r="W1787" s="2"/>
      <c r="X1787" s="2"/>
      <c r="Y1787" s="2"/>
      <c r="Z1787" s="2"/>
      <c r="AA1787" s="2"/>
      <c r="AB1787" s="2"/>
    </row>
    <row r="1788">
      <c r="A1788" s="2"/>
      <c r="B1788" s="2"/>
      <c r="C1788" s="2"/>
      <c r="D1788" s="2"/>
      <c r="E1788" s="2"/>
      <c r="F1788" s="2"/>
      <c r="G1788" s="2"/>
      <c r="H1788" s="2"/>
      <c r="I1788" s="2"/>
      <c r="J1788" s="2"/>
      <c r="K1788" s="2"/>
      <c r="L1788" s="2"/>
      <c r="M1788" s="2"/>
      <c r="N1788" s="2"/>
      <c r="O1788" s="2"/>
      <c r="P1788" s="2"/>
      <c r="Q1788" s="2"/>
      <c r="R1788" s="2"/>
      <c r="S1788" s="2"/>
      <c r="T1788" s="2"/>
      <c r="U1788" s="2"/>
      <c r="V1788" s="2"/>
      <c r="W1788" s="2"/>
      <c r="X1788" s="2"/>
      <c r="Y1788" s="2"/>
      <c r="Z1788" s="2"/>
      <c r="AA1788" s="2"/>
      <c r="AB1788" s="2"/>
    </row>
    <row r="1789">
      <c r="A1789" s="2"/>
      <c r="B1789" s="2"/>
      <c r="C1789" s="2"/>
      <c r="D1789" s="2"/>
      <c r="E1789" s="2"/>
      <c r="F1789" s="2"/>
      <c r="G1789" s="2"/>
      <c r="H1789" s="2"/>
      <c r="I1789" s="2"/>
      <c r="J1789" s="2"/>
      <c r="K1789" s="2"/>
      <c r="L1789" s="2"/>
      <c r="M1789" s="2"/>
      <c r="N1789" s="2"/>
      <c r="O1789" s="2"/>
      <c r="P1789" s="2"/>
      <c r="Q1789" s="2"/>
      <c r="R1789" s="2"/>
      <c r="S1789" s="2"/>
      <c r="T1789" s="2"/>
      <c r="U1789" s="2"/>
      <c r="V1789" s="2"/>
      <c r="W1789" s="2"/>
      <c r="X1789" s="2"/>
      <c r="Y1789" s="2"/>
      <c r="Z1789" s="2"/>
      <c r="AA1789" s="2"/>
      <c r="AB1789" s="2"/>
    </row>
    <row r="1790">
      <c r="A1790" s="2"/>
      <c r="B1790" s="2"/>
      <c r="C1790" s="2"/>
      <c r="D1790" s="2"/>
      <c r="E1790" s="2"/>
      <c r="F1790" s="2"/>
      <c r="G1790" s="2"/>
      <c r="H1790" s="2"/>
      <c r="I1790" s="2"/>
      <c r="J1790" s="2"/>
      <c r="K1790" s="2"/>
      <c r="L1790" s="2"/>
      <c r="M1790" s="2"/>
      <c r="N1790" s="2"/>
      <c r="O1790" s="2"/>
      <c r="P1790" s="2"/>
      <c r="Q1790" s="2"/>
      <c r="R1790" s="2"/>
      <c r="S1790" s="2"/>
      <c r="T1790" s="2"/>
      <c r="U1790" s="2"/>
      <c r="V1790" s="2"/>
      <c r="W1790" s="2"/>
      <c r="X1790" s="2"/>
      <c r="Y1790" s="2"/>
      <c r="Z1790" s="2"/>
      <c r="AA1790" s="2"/>
      <c r="AB1790" s="2"/>
    </row>
    <row r="1791">
      <c r="A1791" s="2"/>
      <c r="B1791" s="2"/>
      <c r="C1791" s="2"/>
      <c r="D1791" s="2"/>
      <c r="E1791" s="2"/>
      <c r="F1791" s="2"/>
      <c r="G1791" s="2"/>
      <c r="H1791" s="2"/>
      <c r="I1791" s="2"/>
      <c r="J1791" s="2"/>
      <c r="K1791" s="2"/>
      <c r="L1791" s="2"/>
      <c r="M1791" s="2"/>
      <c r="N1791" s="2"/>
      <c r="O1791" s="2"/>
      <c r="P1791" s="2"/>
      <c r="Q1791" s="2"/>
      <c r="R1791" s="2"/>
      <c r="S1791" s="2"/>
      <c r="T1791" s="2"/>
      <c r="U1791" s="2"/>
      <c r="V1791" s="2"/>
      <c r="W1791" s="2"/>
      <c r="X1791" s="2"/>
      <c r="Y1791" s="2"/>
      <c r="Z1791" s="2"/>
      <c r="AA1791" s="2"/>
      <c r="AB1791" s="2"/>
    </row>
    <row r="1792">
      <c r="A1792" s="2"/>
      <c r="B1792" s="2"/>
      <c r="C1792" s="2"/>
      <c r="D1792" s="2"/>
      <c r="E1792" s="2"/>
      <c r="F1792" s="2"/>
      <c r="G1792" s="2"/>
      <c r="H1792" s="2"/>
      <c r="I1792" s="2"/>
      <c r="J1792" s="2"/>
      <c r="K1792" s="2"/>
      <c r="L1792" s="2"/>
      <c r="M1792" s="2"/>
      <c r="N1792" s="2"/>
      <c r="O1792" s="2"/>
      <c r="P1792" s="2"/>
      <c r="Q1792" s="2"/>
      <c r="R1792" s="2"/>
      <c r="S1792" s="2"/>
      <c r="T1792" s="2"/>
      <c r="U1792" s="2"/>
      <c r="V1792" s="2"/>
      <c r="W1792" s="2"/>
      <c r="X1792" s="2"/>
      <c r="Y1792" s="2"/>
      <c r="Z1792" s="2"/>
      <c r="AA1792" s="2"/>
      <c r="AB1792" s="2"/>
    </row>
    <row r="1793">
      <c r="A1793" s="2"/>
      <c r="B1793" s="2"/>
      <c r="C1793" s="2"/>
      <c r="D1793" s="2"/>
      <c r="E1793" s="2"/>
      <c r="F1793" s="2"/>
      <c r="G1793" s="2"/>
      <c r="H1793" s="2"/>
      <c r="I1793" s="2"/>
      <c r="J1793" s="2"/>
      <c r="K1793" s="2"/>
      <c r="L1793" s="2"/>
      <c r="M1793" s="2"/>
      <c r="N1793" s="2"/>
      <c r="O1793" s="2"/>
      <c r="P1793" s="2"/>
      <c r="Q1793" s="2"/>
      <c r="R1793" s="2"/>
      <c r="S1793" s="2"/>
      <c r="T1793" s="2"/>
      <c r="U1793" s="2"/>
      <c r="V1793" s="2"/>
      <c r="W1793" s="2"/>
      <c r="X1793" s="2"/>
      <c r="Y1793" s="2"/>
      <c r="Z1793" s="2"/>
      <c r="AA1793" s="2"/>
      <c r="AB1793" s="2"/>
    </row>
    <row r="1794">
      <c r="A1794" s="2"/>
      <c r="B1794" s="2"/>
      <c r="C1794" s="2"/>
      <c r="D1794" s="2"/>
      <c r="E1794" s="2"/>
      <c r="F1794" s="2"/>
      <c r="G1794" s="2"/>
      <c r="H1794" s="2"/>
      <c r="I1794" s="2"/>
      <c r="J1794" s="2"/>
      <c r="K1794" s="2"/>
      <c r="L1794" s="2"/>
      <c r="M1794" s="2"/>
      <c r="N1794" s="2"/>
      <c r="O1794" s="2"/>
      <c r="P1794" s="2"/>
      <c r="Q1794" s="2"/>
      <c r="R1794" s="2"/>
      <c r="S1794" s="2"/>
      <c r="T1794" s="2"/>
      <c r="U1794" s="2"/>
      <c r="V1794" s="2"/>
      <c r="W1794" s="2"/>
      <c r="X1794" s="2"/>
      <c r="Y1794" s="2"/>
      <c r="Z1794" s="2"/>
      <c r="AA1794" s="2"/>
      <c r="AB1794" s="2"/>
    </row>
    <row r="1795">
      <c r="A1795" s="2"/>
      <c r="B1795" s="2"/>
      <c r="C1795" s="2"/>
      <c r="D1795" s="2"/>
      <c r="E1795" s="2"/>
      <c r="F1795" s="2"/>
      <c r="G1795" s="2"/>
      <c r="H1795" s="2"/>
      <c r="I1795" s="2"/>
      <c r="J1795" s="2"/>
      <c r="K1795" s="2"/>
      <c r="L1795" s="2"/>
      <c r="M1795" s="2"/>
      <c r="N1795" s="2"/>
      <c r="O1795" s="2"/>
      <c r="P1795" s="2"/>
      <c r="Q1795" s="2"/>
      <c r="R1795" s="2"/>
      <c r="S1795" s="2"/>
      <c r="T1795" s="2"/>
      <c r="U1795" s="2"/>
      <c r="V1795" s="2"/>
      <c r="W1795" s="2"/>
      <c r="X1795" s="2"/>
      <c r="Y1795" s="2"/>
      <c r="Z1795" s="2"/>
      <c r="AA1795" s="2"/>
      <c r="AB1795" s="2"/>
    </row>
    <row r="1796">
      <c r="A1796" s="2"/>
      <c r="B1796" s="2"/>
      <c r="C1796" s="2"/>
      <c r="D1796" s="2"/>
      <c r="E1796" s="2"/>
      <c r="F1796" s="2"/>
      <c r="G1796" s="2"/>
      <c r="H1796" s="2"/>
      <c r="I1796" s="2"/>
      <c r="J1796" s="2"/>
      <c r="K1796" s="2"/>
      <c r="L1796" s="2"/>
      <c r="M1796" s="2"/>
      <c r="N1796" s="2"/>
      <c r="O1796" s="2"/>
      <c r="P1796" s="2"/>
      <c r="Q1796" s="2"/>
      <c r="R1796" s="2"/>
      <c r="S1796" s="2"/>
      <c r="T1796" s="2"/>
      <c r="U1796" s="2"/>
      <c r="V1796" s="2"/>
      <c r="W1796" s="2"/>
      <c r="X1796" s="2"/>
      <c r="Y1796" s="2"/>
      <c r="Z1796" s="2"/>
      <c r="AA1796" s="2"/>
      <c r="AB1796" s="2"/>
    </row>
    <row r="1797">
      <c r="A1797" s="2"/>
      <c r="B1797" s="2"/>
      <c r="C1797" s="2"/>
      <c r="D1797" s="2"/>
      <c r="E1797" s="2"/>
      <c r="F1797" s="2"/>
      <c r="G1797" s="2"/>
      <c r="H1797" s="2"/>
      <c r="I1797" s="2"/>
      <c r="J1797" s="2"/>
      <c r="K1797" s="2"/>
      <c r="L1797" s="2"/>
      <c r="M1797" s="2"/>
      <c r="N1797" s="2"/>
      <c r="O1797" s="2"/>
      <c r="P1797" s="2"/>
      <c r="Q1797" s="2"/>
      <c r="R1797" s="2"/>
      <c r="S1797" s="2"/>
      <c r="T1797" s="2"/>
      <c r="U1797" s="2"/>
      <c r="V1797" s="2"/>
      <c r="W1797" s="2"/>
      <c r="X1797" s="2"/>
      <c r="Y1797" s="2"/>
      <c r="Z1797" s="2"/>
      <c r="AA1797" s="2"/>
      <c r="AB1797" s="2"/>
    </row>
    <row r="1798">
      <c r="A1798" s="2"/>
      <c r="B1798" s="2"/>
      <c r="C1798" s="2"/>
      <c r="D1798" s="2"/>
      <c r="E1798" s="2"/>
      <c r="F1798" s="2"/>
      <c r="G1798" s="2"/>
      <c r="H1798" s="2"/>
      <c r="I1798" s="2"/>
      <c r="J1798" s="2"/>
      <c r="K1798" s="2"/>
      <c r="L1798" s="2"/>
      <c r="M1798" s="2"/>
      <c r="N1798" s="2"/>
      <c r="O1798" s="2"/>
      <c r="P1798" s="2"/>
      <c r="Q1798" s="2"/>
      <c r="R1798" s="2"/>
      <c r="S1798" s="2"/>
      <c r="T1798" s="2"/>
      <c r="U1798" s="2"/>
      <c r="V1798" s="2"/>
      <c r="W1798" s="2"/>
      <c r="X1798" s="2"/>
      <c r="Y1798" s="2"/>
      <c r="Z1798" s="2"/>
      <c r="AA1798" s="2"/>
      <c r="AB1798" s="2"/>
    </row>
    <row r="1799">
      <c r="A1799" s="2"/>
      <c r="B1799" s="2"/>
      <c r="C1799" s="2"/>
      <c r="D1799" s="2"/>
      <c r="E1799" s="2"/>
      <c r="F1799" s="2"/>
      <c r="G1799" s="2"/>
      <c r="H1799" s="2"/>
      <c r="I1799" s="2"/>
      <c r="J1799" s="2"/>
      <c r="K1799" s="2"/>
      <c r="L1799" s="2"/>
      <c r="M1799" s="2"/>
      <c r="N1799" s="2"/>
      <c r="O1799" s="2"/>
      <c r="P1799" s="2"/>
      <c r="Q1799" s="2"/>
      <c r="R1799" s="2"/>
      <c r="S1799" s="2"/>
      <c r="T1799" s="2"/>
      <c r="U1799" s="2"/>
      <c r="V1799" s="2"/>
      <c r="W1799" s="2"/>
      <c r="X1799" s="2"/>
      <c r="Y1799" s="2"/>
      <c r="Z1799" s="2"/>
      <c r="AA1799" s="2"/>
      <c r="AB1799" s="2"/>
    </row>
    <row r="1800">
      <c r="A1800" s="2"/>
      <c r="B1800" s="2"/>
      <c r="C1800" s="2"/>
      <c r="D1800" s="2"/>
      <c r="E1800" s="2"/>
      <c r="F1800" s="2"/>
      <c r="G1800" s="2"/>
      <c r="H1800" s="2"/>
      <c r="I1800" s="2"/>
      <c r="J1800" s="2"/>
      <c r="K1800" s="2"/>
      <c r="L1800" s="2"/>
      <c r="M1800" s="2"/>
      <c r="N1800" s="2"/>
      <c r="O1800" s="2"/>
      <c r="P1800" s="2"/>
      <c r="Q1800" s="2"/>
      <c r="R1800" s="2"/>
      <c r="S1800" s="2"/>
      <c r="T1800" s="2"/>
      <c r="U1800" s="2"/>
      <c r="V1800" s="2"/>
      <c r="W1800" s="2"/>
      <c r="X1800" s="2"/>
      <c r="Y1800" s="2"/>
      <c r="Z1800" s="2"/>
      <c r="AA1800" s="2"/>
      <c r="AB1800" s="2"/>
    </row>
    <row r="1801">
      <c r="A1801" s="2"/>
      <c r="B1801" s="2"/>
      <c r="C1801" s="2"/>
      <c r="D1801" s="2"/>
      <c r="E1801" s="2"/>
      <c r="F1801" s="2"/>
      <c r="G1801" s="2"/>
      <c r="H1801" s="2"/>
      <c r="I1801" s="2"/>
      <c r="J1801" s="2"/>
      <c r="K1801" s="2"/>
      <c r="L1801" s="2"/>
      <c r="M1801" s="2"/>
      <c r="N1801" s="2"/>
      <c r="O1801" s="2"/>
      <c r="P1801" s="2"/>
      <c r="Q1801" s="2"/>
      <c r="R1801" s="2"/>
      <c r="S1801" s="2"/>
      <c r="T1801" s="2"/>
      <c r="U1801" s="2"/>
      <c r="V1801" s="2"/>
      <c r="W1801" s="2"/>
      <c r="X1801" s="2"/>
      <c r="Y1801" s="2"/>
      <c r="Z1801" s="2"/>
      <c r="AA1801" s="2"/>
      <c r="AB1801" s="2"/>
    </row>
    <row r="1802">
      <c r="A1802" s="2"/>
      <c r="B1802" s="2"/>
      <c r="C1802" s="2"/>
      <c r="D1802" s="2"/>
      <c r="E1802" s="2"/>
      <c r="F1802" s="2"/>
      <c r="G1802" s="2"/>
      <c r="H1802" s="2"/>
      <c r="I1802" s="2"/>
      <c r="J1802" s="2"/>
      <c r="K1802" s="2"/>
      <c r="L1802" s="2"/>
      <c r="M1802" s="2"/>
      <c r="N1802" s="2"/>
      <c r="O1802" s="2"/>
      <c r="P1802" s="2"/>
      <c r="Q1802" s="2"/>
      <c r="R1802" s="2"/>
      <c r="S1802" s="2"/>
      <c r="T1802" s="2"/>
      <c r="U1802" s="2"/>
      <c r="V1802" s="2"/>
      <c r="W1802" s="2"/>
      <c r="X1802" s="2"/>
      <c r="Y1802" s="2"/>
      <c r="Z1802" s="2"/>
      <c r="AA1802" s="2"/>
      <c r="AB1802" s="2"/>
    </row>
    <row r="1803">
      <c r="A1803" s="2"/>
      <c r="B1803" s="2"/>
      <c r="C1803" s="2"/>
      <c r="D1803" s="2"/>
      <c r="E1803" s="2"/>
      <c r="F1803" s="2"/>
      <c r="G1803" s="2"/>
      <c r="H1803" s="2"/>
      <c r="I1803" s="2"/>
      <c r="J1803" s="2"/>
      <c r="K1803" s="2"/>
      <c r="L1803" s="2"/>
      <c r="M1803" s="2"/>
      <c r="N1803" s="2"/>
      <c r="O1803" s="2"/>
      <c r="P1803" s="2"/>
      <c r="Q1803" s="2"/>
      <c r="R1803" s="2"/>
      <c r="S1803" s="2"/>
      <c r="T1803" s="2"/>
      <c r="U1803" s="2"/>
      <c r="V1803" s="2"/>
      <c r="W1803" s="2"/>
      <c r="X1803" s="2"/>
      <c r="Y1803" s="2"/>
      <c r="Z1803" s="2"/>
      <c r="AA1803" s="2"/>
      <c r="AB1803" s="2"/>
    </row>
    <row r="1804">
      <c r="A1804" s="2"/>
      <c r="B1804" s="2"/>
      <c r="C1804" s="2"/>
      <c r="D1804" s="2"/>
      <c r="E1804" s="2"/>
      <c r="F1804" s="2"/>
      <c r="G1804" s="2"/>
      <c r="H1804" s="2"/>
      <c r="I1804" s="2"/>
      <c r="J1804" s="2"/>
      <c r="K1804" s="2"/>
      <c r="L1804" s="2"/>
      <c r="M1804" s="2"/>
      <c r="N1804" s="2"/>
      <c r="O1804" s="2"/>
      <c r="P1804" s="2"/>
      <c r="Q1804" s="2"/>
      <c r="R1804" s="2"/>
      <c r="S1804" s="2"/>
      <c r="T1804" s="2"/>
      <c r="U1804" s="2"/>
      <c r="V1804" s="2"/>
      <c r="W1804" s="2"/>
      <c r="X1804" s="2"/>
      <c r="Y1804" s="2"/>
      <c r="Z1804" s="2"/>
      <c r="AA1804" s="2"/>
      <c r="AB1804" s="2"/>
    </row>
    <row r="1805">
      <c r="A1805" s="2"/>
      <c r="B1805" s="2"/>
      <c r="C1805" s="2"/>
      <c r="D1805" s="2"/>
      <c r="E1805" s="2"/>
      <c r="F1805" s="2"/>
      <c r="G1805" s="2"/>
      <c r="H1805" s="2"/>
      <c r="I1805" s="2"/>
      <c r="J1805" s="2"/>
      <c r="K1805" s="2"/>
      <c r="L1805" s="2"/>
      <c r="M1805" s="2"/>
      <c r="N1805" s="2"/>
      <c r="O1805" s="2"/>
      <c r="P1805" s="2"/>
      <c r="Q1805" s="2"/>
      <c r="R1805" s="2"/>
      <c r="S1805" s="2"/>
      <c r="T1805" s="2"/>
      <c r="U1805" s="2"/>
      <c r="V1805" s="2"/>
      <c r="W1805" s="2"/>
      <c r="X1805" s="2"/>
      <c r="Y1805" s="2"/>
      <c r="Z1805" s="2"/>
      <c r="AA1805" s="2"/>
      <c r="AB1805" s="2"/>
    </row>
    <row r="1806">
      <c r="A1806" s="2"/>
      <c r="B1806" s="2"/>
      <c r="C1806" s="2"/>
      <c r="D1806" s="2"/>
      <c r="E1806" s="2"/>
      <c r="F1806" s="2"/>
      <c r="G1806" s="2"/>
      <c r="H1806" s="2"/>
      <c r="I1806" s="2"/>
      <c r="J1806" s="2"/>
      <c r="K1806" s="2"/>
      <c r="L1806" s="2"/>
      <c r="M1806" s="2"/>
      <c r="N1806" s="2"/>
      <c r="O1806" s="2"/>
      <c r="P1806" s="2"/>
      <c r="Q1806" s="2"/>
      <c r="R1806" s="2"/>
      <c r="S1806" s="2"/>
      <c r="T1806" s="2"/>
      <c r="U1806" s="2"/>
      <c r="V1806" s="2"/>
      <c r="W1806" s="2"/>
      <c r="X1806" s="2"/>
      <c r="Y1806" s="2"/>
      <c r="Z1806" s="2"/>
      <c r="AA1806" s="2"/>
      <c r="AB1806" s="2"/>
    </row>
    <row r="1807">
      <c r="A1807" s="2"/>
      <c r="B1807" s="2"/>
      <c r="C1807" s="2"/>
      <c r="D1807" s="2"/>
      <c r="E1807" s="2"/>
      <c r="F1807" s="2"/>
      <c r="G1807" s="2"/>
      <c r="H1807" s="2"/>
      <c r="I1807" s="2"/>
      <c r="J1807" s="2"/>
      <c r="K1807" s="2"/>
      <c r="L1807" s="2"/>
      <c r="M1807" s="2"/>
      <c r="N1807" s="2"/>
      <c r="O1807" s="2"/>
      <c r="P1807" s="2"/>
      <c r="Q1807" s="2"/>
      <c r="R1807" s="2"/>
      <c r="S1807" s="2"/>
      <c r="T1807" s="2"/>
      <c r="U1807" s="2"/>
      <c r="V1807" s="2"/>
      <c r="W1807" s="2"/>
      <c r="X1807" s="2"/>
      <c r="Y1807" s="2"/>
      <c r="Z1807" s="2"/>
      <c r="AA1807" s="2"/>
      <c r="AB1807" s="2"/>
    </row>
    <row r="1808">
      <c r="A1808" s="2"/>
      <c r="B1808" s="2"/>
      <c r="C1808" s="2"/>
      <c r="D1808" s="2"/>
      <c r="E1808" s="2"/>
      <c r="F1808" s="2"/>
      <c r="G1808" s="2"/>
      <c r="H1808" s="2"/>
      <c r="I1808" s="2"/>
      <c r="J1808" s="2"/>
      <c r="K1808" s="2"/>
      <c r="L1808" s="2"/>
      <c r="M1808" s="2"/>
      <c r="N1808" s="2"/>
      <c r="O1808" s="2"/>
      <c r="P1808" s="2"/>
      <c r="Q1808" s="2"/>
      <c r="R1808" s="2"/>
      <c r="S1808" s="2"/>
      <c r="T1808" s="2"/>
      <c r="U1808" s="2"/>
      <c r="V1808" s="2"/>
      <c r="W1808" s="2"/>
      <c r="X1808" s="2"/>
      <c r="Y1808" s="2"/>
      <c r="Z1808" s="2"/>
      <c r="AA1808" s="2"/>
      <c r="AB1808" s="2"/>
    </row>
    <row r="1809">
      <c r="A1809" s="2"/>
      <c r="B1809" s="2"/>
      <c r="C1809" s="2"/>
      <c r="D1809" s="2"/>
      <c r="E1809" s="2"/>
      <c r="F1809" s="2"/>
      <c r="G1809" s="2"/>
      <c r="H1809" s="2"/>
      <c r="I1809" s="2"/>
      <c r="J1809" s="2"/>
      <c r="K1809" s="2"/>
      <c r="L1809" s="2"/>
      <c r="M1809" s="2"/>
      <c r="N1809" s="2"/>
      <c r="O1809" s="2"/>
      <c r="P1809" s="2"/>
      <c r="Q1809" s="2"/>
      <c r="R1809" s="2"/>
      <c r="S1809" s="2"/>
      <c r="T1809" s="2"/>
      <c r="U1809" s="2"/>
      <c r="V1809" s="2"/>
      <c r="W1809" s="2"/>
      <c r="X1809" s="2"/>
      <c r="Y1809" s="2"/>
      <c r="Z1809" s="2"/>
      <c r="AA1809" s="2"/>
      <c r="AB1809" s="2"/>
    </row>
    <row r="1810">
      <c r="A1810" s="2"/>
      <c r="B1810" s="2"/>
      <c r="C1810" s="2"/>
      <c r="D1810" s="2"/>
      <c r="E1810" s="2"/>
      <c r="F1810" s="2"/>
      <c r="G1810" s="2"/>
      <c r="H1810" s="2"/>
      <c r="I1810" s="2"/>
      <c r="J1810" s="2"/>
      <c r="K1810" s="2"/>
      <c r="L1810" s="2"/>
      <c r="M1810" s="2"/>
      <c r="N1810" s="2"/>
      <c r="O1810" s="2"/>
      <c r="P1810" s="2"/>
      <c r="Q1810" s="2"/>
      <c r="R1810" s="2"/>
      <c r="S1810" s="2"/>
      <c r="T1810" s="2"/>
      <c r="U1810" s="2"/>
      <c r="V1810" s="2"/>
      <c r="W1810" s="2"/>
      <c r="X1810" s="2"/>
      <c r="Y1810" s="2"/>
      <c r="Z1810" s="2"/>
      <c r="AA1810" s="2"/>
      <c r="AB1810" s="2"/>
    </row>
    <row r="1811">
      <c r="A1811" s="2"/>
      <c r="B1811" s="2"/>
      <c r="C1811" s="2"/>
      <c r="D1811" s="2"/>
      <c r="E1811" s="2"/>
      <c r="F1811" s="2"/>
      <c r="G1811" s="2"/>
      <c r="H1811" s="2"/>
      <c r="I1811" s="2"/>
      <c r="J1811" s="2"/>
      <c r="K1811" s="2"/>
      <c r="L1811" s="2"/>
      <c r="M1811" s="2"/>
      <c r="N1811" s="2"/>
      <c r="O1811" s="2"/>
      <c r="P1811" s="2"/>
      <c r="Q1811" s="2"/>
      <c r="R1811" s="2"/>
      <c r="S1811" s="2"/>
      <c r="T1811" s="2"/>
      <c r="U1811" s="2"/>
      <c r="V1811" s="2"/>
      <c r="W1811" s="2"/>
      <c r="X1811" s="2"/>
      <c r="Y1811" s="2"/>
      <c r="Z1811" s="2"/>
      <c r="AA1811" s="2"/>
      <c r="AB1811" s="2"/>
    </row>
    <row r="1812">
      <c r="A1812" s="2"/>
      <c r="B1812" s="2"/>
      <c r="C1812" s="2"/>
      <c r="D1812" s="2"/>
      <c r="E1812" s="2"/>
      <c r="F1812" s="2"/>
      <c r="G1812" s="2"/>
      <c r="H1812" s="2"/>
      <c r="I1812" s="2"/>
      <c r="J1812" s="2"/>
      <c r="K1812" s="2"/>
      <c r="L1812" s="2"/>
      <c r="M1812" s="2"/>
      <c r="N1812" s="2"/>
      <c r="O1812" s="2"/>
      <c r="P1812" s="2"/>
      <c r="Q1812" s="2"/>
      <c r="R1812" s="2"/>
      <c r="S1812" s="2"/>
      <c r="T1812" s="2"/>
      <c r="U1812" s="2"/>
      <c r="V1812" s="2"/>
      <c r="W1812" s="2"/>
      <c r="X1812" s="2"/>
      <c r="Y1812" s="2"/>
      <c r="Z1812" s="2"/>
      <c r="AA1812" s="2"/>
      <c r="AB1812" s="2"/>
    </row>
    <row r="1813">
      <c r="A1813" s="2"/>
      <c r="B1813" s="2"/>
      <c r="C1813" s="2"/>
      <c r="D1813" s="2"/>
      <c r="E1813" s="2"/>
      <c r="F1813" s="2"/>
      <c r="G1813" s="2"/>
      <c r="H1813" s="2"/>
      <c r="I1813" s="2"/>
      <c r="J1813" s="2"/>
      <c r="K1813" s="2"/>
      <c r="L1813" s="2"/>
      <c r="M1813" s="2"/>
      <c r="N1813" s="2"/>
      <c r="O1813" s="2"/>
      <c r="P1813" s="2"/>
      <c r="Q1813" s="2"/>
      <c r="R1813" s="2"/>
      <c r="S1813" s="2"/>
      <c r="T1813" s="2"/>
      <c r="U1813" s="2"/>
      <c r="V1813" s="2"/>
      <c r="W1813" s="2"/>
      <c r="X1813" s="2"/>
      <c r="Y1813" s="2"/>
      <c r="Z1813" s="2"/>
      <c r="AA1813" s="2"/>
      <c r="AB1813" s="2"/>
    </row>
    <row r="1814">
      <c r="A1814" s="2"/>
      <c r="B1814" s="2"/>
      <c r="C1814" s="2"/>
      <c r="D1814" s="2"/>
      <c r="E1814" s="2"/>
      <c r="F1814" s="2"/>
      <c r="G1814" s="2"/>
      <c r="H1814" s="2"/>
      <c r="I1814" s="2"/>
      <c r="J1814" s="2"/>
      <c r="K1814" s="2"/>
      <c r="L1814" s="2"/>
      <c r="M1814" s="2"/>
      <c r="N1814" s="2"/>
      <c r="O1814" s="2"/>
      <c r="P1814" s="2"/>
      <c r="Q1814" s="2"/>
      <c r="R1814" s="2"/>
      <c r="S1814" s="2"/>
      <c r="T1814" s="2"/>
      <c r="U1814" s="2"/>
      <c r="V1814" s="2"/>
      <c r="W1814" s="2"/>
      <c r="X1814" s="2"/>
      <c r="Y1814" s="2"/>
      <c r="Z1814" s="2"/>
      <c r="AA1814" s="2"/>
      <c r="AB1814" s="2"/>
    </row>
    <row r="1815">
      <c r="A1815" s="2"/>
      <c r="B1815" s="2"/>
      <c r="C1815" s="2"/>
      <c r="D1815" s="2"/>
      <c r="E1815" s="2"/>
      <c r="F1815" s="2"/>
      <c r="G1815" s="2"/>
      <c r="H1815" s="2"/>
      <c r="I1815" s="2"/>
      <c r="J1815" s="2"/>
      <c r="K1815" s="2"/>
      <c r="L1815" s="2"/>
      <c r="M1815" s="2"/>
      <c r="N1815" s="2"/>
      <c r="O1815" s="2"/>
      <c r="P1815" s="2"/>
      <c r="Q1815" s="2"/>
      <c r="R1815" s="2"/>
      <c r="S1815" s="2"/>
      <c r="T1815" s="2"/>
      <c r="U1815" s="2"/>
      <c r="V1815" s="2"/>
      <c r="W1815" s="2"/>
      <c r="X1815" s="2"/>
      <c r="Y1815" s="2"/>
      <c r="Z1815" s="2"/>
      <c r="AA1815" s="2"/>
      <c r="AB1815" s="2"/>
    </row>
    <row r="1816">
      <c r="A1816" s="2"/>
      <c r="B1816" s="2"/>
      <c r="C1816" s="2"/>
      <c r="D1816" s="2"/>
      <c r="E1816" s="2"/>
      <c r="F1816" s="2"/>
      <c r="G1816" s="2"/>
      <c r="H1816" s="2"/>
      <c r="I1816" s="2"/>
      <c r="J1816" s="2"/>
      <c r="K1816" s="2"/>
      <c r="L1816" s="2"/>
      <c r="M1816" s="2"/>
      <c r="N1816" s="2"/>
      <c r="O1816" s="2"/>
      <c r="P1816" s="2"/>
      <c r="Q1816" s="2"/>
      <c r="R1816" s="2"/>
      <c r="S1816" s="2"/>
      <c r="T1816" s="2"/>
      <c r="U1816" s="2"/>
      <c r="V1816" s="2"/>
      <c r="W1816" s="2"/>
      <c r="X1816" s="2"/>
      <c r="Y1816" s="2"/>
      <c r="Z1816" s="2"/>
      <c r="AA1816" s="2"/>
      <c r="AB1816" s="2"/>
    </row>
    <row r="1817">
      <c r="A1817" s="2"/>
      <c r="B1817" s="2"/>
      <c r="C1817" s="2"/>
      <c r="D1817" s="2"/>
      <c r="E1817" s="2"/>
      <c r="F1817" s="2"/>
      <c r="G1817" s="2"/>
      <c r="H1817" s="2"/>
      <c r="I1817" s="2"/>
      <c r="J1817" s="2"/>
      <c r="K1817" s="2"/>
      <c r="L1817" s="2"/>
      <c r="M1817" s="2"/>
      <c r="N1817" s="2"/>
      <c r="O1817" s="2"/>
      <c r="P1817" s="2"/>
      <c r="Q1817" s="2"/>
      <c r="R1817" s="2"/>
      <c r="S1817" s="2"/>
      <c r="T1817" s="2"/>
      <c r="U1817" s="2"/>
      <c r="V1817" s="2"/>
      <c r="W1817" s="2"/>
      <c r="X1817" s="2"/>
      <c r="Y1817" s="2"/>
      <c r="Z1817" s="2"/>
      <c r="AA1817" s="2"/>
      <c r="AB1817" s="2"/>
    </row>
    <row r="1818">
      <c r="A1818" s="2"/>
      <c r="B1818" s="2"/>
      <c r="C1818" s="2"/>
      <c r="D1818" s="2"/>
      <c r="E1818" s="2"/>
      <c r="F1818" s="2"/>
      <c r="G1818" s="2"/>
      <c r="H1818" s="2"/>
      <c r="I1818" s="2"/>
      <c r="J1818" s="2"/>
      <c r="K1818" s="2"/>
      <c r="L1818" s="2"/>
      <c r="M1818" s="2"/>
      <c r="N1818" s="2"/>
      <c r="O1818" s="2"/>
      <c r="P1818" s="2"/>
      <c r="Q1818" s="2"/>
      <c r="R1818" s="2"/>
      <c r="S1818" s="2"/>
      <c r="T1818" s="2"/>
      <c r="U1818" s="2"/>
      <c r="V1818" s="2"/>
      <c r="W1818" s="2"/>
      <c r="X1818" s="2"/>
      <c r="Y1818" s="2"/>
      <c r="Z1818" s="2"/>
      <c r="AA1818" s="2"/>
      <c r="AB1818" s="2"/>
    </row>
    <row r="1819">
      <c r="A1819" s="2"/>
      <c r="B1819" s="2"/>
      <c r="C1819" s="2"/>
      <c r="D1819" s="2"/>
      <c r="E1819" s="2"/>
      <c r="F1819" s="2"/>
      <c r="G1819" s="2"/>
      <c r="H1819" s="2"/>
      <c r="I1819" s="2"/>
      <c r="J1819" s="2"/>
      <c r="K1819" s="2"/>
      <c r="L1819" s="2"/>
      <c r="M1819" s="2"/>
      <c r="N1819" s="2"/>
      <c r="O1819" s="2"/>
      <c r="P1819" s="2"/>
      <c r="Q1819" s="2"/>
      <c r="R1819" s="2"/>
      <c r="S1819" s="2"/>
      <c r="T1819" s="2"/>
      <c r="U1819" s="2"/>
      <c r="V1819" s="2"/>
      <c r="W1819" s="2"/>
      <c r="X1819" s="2"/>
      <c r="Y1819" s="2"/>
      <c r="Z1819" s="2"/>
      <c r="AA1819" s="2"/>
      <c r="AB1819" s="2"/>
    </row>
    <row r="1820">
      <c r="A1820" s="2"/>
      <c r="B1820" s="2"/>
      <c r="C1820" s="2"/>
      <c r="D1820" s="2"/>
      <c r="E1820" s="2"/>
      <c r="F1820" s="2"/>
      <c r="G1820" s="2"/>
      <c r="H1820" s="2"/>
      <c r="I1820" s="2"/>
      <c r="J1820" s="2"/>
      <c r="K1820" s="2"/>
      <c r="L1820" s="2"/>
      <c r="M1820" s="2"/>
      <c r="N1820" s="2"/>
      <c r="O1820" s="2"/>
      <c r="P1820" s="2"/>
      <c r="Q1820" s="2"/>
      <c r="R1820" s="2"/>
      <c r="S1820" s="2"/>
      <c r="T1820" s="2"/>
      <c r="U1820" s="2"/>
      <c r="V1820" s="2"/>
      <c r="W1820" s="2"/>
      <c r="X1820" s="2"/>
      <c r="Y1820" s="2"/>
      <c r="Z1820" s="2"/>
      <c r="AA1820" s="2"/>
      <c r="AB1820" s="2"/>
    </row>
    <row r="1821">
      <c r="A1821" s="2"/>
      <c r="B1821" s="2"/>
      <c r="C1821" s="2"/>
      <c r="D1821" s="2"/>
      <c r="E1821" s="2"/>
      <c r="F1821" s="2"/>
      <c r="G1821" s="2"/>
      <c r="H1821" s="2"/>
      <c r="I1821" s="2"/>
      <c r="J1821" s="2"/>
      <c r="K1821" s="2"/>
      <c r="L1821" s="2"/>
      <c r="M1821" s="2"/>
      <c r="N1821" s="2"/>
      <c r="O1821" s="2"/>
      <c r="P1821" s="2"/>
      <c r="Q1821" s="2"/>
      <c r="R1821" s="2"/>
      <c r="S1821" s="2"/>
      <c r="T1821" s="2"/>
      <c r="U1821" s="2"/>
      <c r="V1821" s="2"/>
      <c r="W1821" s="2"/>
      <c r="X1821" s="2"/>
      <c r="Y1821" s="2"/>
      <c r="Z1821" s="2"/>
      <c r="AA1821" s="2"/>
      <c r="AB1821" s="2"/>
    </row>
    <row r="1822">
      <c r="A1822" s="2"/>
      <c r="B1822" s="2"/>
      <c r="C1822" s="2"/>
      <c r="D1822" s="2"/>
      <c r="E1822" s="2"/>
      <c r="F1822" s="2"/>
      <c r="G1822" s="2"/>
      <c r="H1822" s="2"/>
      <c r="I1822" s="2"/>
      <c r="J1822" s="2"/>
      <c r="K1822" s="2"/>
      <c r="L1822" s="2"/>
      <c r="M1822" s="2"/>
      <c r="N1822" s="2"/>
      <c r="O1822" s="2"/>
      <c r="P1822" s="2"/>
      <c r="Q1822" s="2"/>
      <c r="R1822" s="2"/>
      <c r="S1822" s="2"/>
      <c r="T1822" s="2"/>
      <c r="U1822" s="2"/>
      <c r="V1822" s="2"/>
      <c r="W1822" s="2"/>
      <c r="X1822" s="2"/>
      <c r="Y1822" s="2"/>
      <c r="Z1822" s="2"/>
      <c r="AA1822" s="2"/>
      <c r="AB1822" s="2"/>
    </row>
    <row r="1823">
      <c r="A1823" s="2"/>
      <c r="B1823" s="2"/>
      <c r="C1823" s="2"/>
      <c r="D1823" s="2"/>
      <c r="E1823" s="2"/>
      <c r="F1823" s="2"/>
      <c r="G1823" s="2"/>
      <c r="H1823" s="2"/>
      <c r="I1823" s="2"/>
      <c r="J1823" s="2"/>
      <c r="K1823" s="2"/>
      <c r="L1823" s="2"/>
      <c r="M1823" s="2"/>
      <c r="N1823" s="2"/>
      <c r="O1823" s="2"/>
      <c r="P1823" s="2"/>
      <c r="Q1823" s="2"/>
      <c r="R1823" s="2"/>
      <c r="S1823" s="2"/>
      <c r="T1823" s="2"/>
      <c r="U1823" s="2"/>
      <c r="V1823" s="2"/>
      <c r="W1823" s="2"/>
      <c r="X1823" s="2"/>
      <c r="Y1823" s="2"/>
      <c r="Z1823" s="2"/>
      <c r="AA1823" s="2"/>
      <c r="AB1823" s="2"/>
    </row>
    <row r="1824">
      <c r="A1824" s="2"/>
      <c r="B1824" s="2"/>
      <c r="C1824" s="2"/>
      <c r="D1824" s="2"/>
      <c r="E1824" s="2"/>
      <c r="F1824" s="2"/>
      <c r="G1824" s="2"/>
      <c r="H1824" s="2"/>
      <c r="I1824" s="2"/>
      <c r="J1824" s="2"/>
      <c r="K1824" s="2"/>
      <c r="L1824" s="2"/>
      <c r="M1824" s="2"/>
      <c r="N1824" s="2"/>
      <c r="O1824" s="2"/>
      <c r="P1824" s="2"/>
      <c r="Q1824" s="2"/>
      <c r="R1824" s="2"/>
      <c r="S1824" s="2"/>
      <c r="T1824" s="2"/>
      <c r="U1824" s="2"/>
      <c r="V1824" s="2"/>
      <c r="W1824" s="2"/>
      <c r="X1824" s="2"/>
      <c r="Y1824" s="2"/>
      <c r="Z1824" s="2"/>
      <c r="AA1824" s="2"/>
      <c r="AB1824" s="2"/>
    </row>
    <row r="1825">
      <c r="A1825" s="2"/>
      <c r="B1825" s="2"/>
      <c r="C1825" s="2"/>
      <c r="D1825" s="2"/>
      <c r="E1825" s="2"/>
      <c r="F1825" s="2"/>
      <c r="G1825" s="2"/>
      <c r="H1825" s="2"/>
      <c r="I1825" s="2"/>
      <c r="J1825" s="2"/>
      <c r="K1825" s="2"/>
      <c r="L1825" s="2"/>
      <c r="M1825" s="2"/>
      <c r="N1825" s="2"/>
      <c r="O1825" s="2"/>
      <c r="P1825" s="2"/>
      <c r="Q1825" s="2"/>
      <c r="R1825" s="2"/>
      <c r="S1825" s="2"/>
      <c r="T1825" s="2"/>
      <c r="U1825" s="2"/>
      <c r="V1825" s="2"/>
      <c r="W1825" s="2"/>
      <c r="X1825" s="2"/>
      <c r="Y1825" s="2"/>
      <c r="Z1825" s="2"/>
      <c r="AA1825" s="2"/>
      <c r="AB1825" s="2"/>
    </row>
    <row r="1826">
      <c r="A1826" s="2"/>
      <c r="B1826" s="2"/>
      <c r="C1826" s="2"/>
      <c r="D1826" s="2"/>
      <c r="E1826" s="2"/>
      <c r="F1826" s="2"/>
      <c r="G1826" s="2"/>
      <c r="H1826" s="2"/>
      <c r="I1826" s="2"/>
      <c r="J1826" s="2"/>
      <c r="K1826" s="2"/>
      <c r="L1826" s="2"/>
      <c r="M1826" s="2"/>
      <c r="N1826" s="2"/>
      <c r="O1826" s="2"/>
      <c r="P1826" s="2"/>
      <c r="Q1826" s="2"/>
      <c r="R1826" s="2"/>
      <c r="S1826" s="2"/>
      <c r="T1826" s="2"/>
      <c r="U1826" s="2"/>
      <c r="V1826" s="2"/>
      <c r="W1826" s="2"/>
      <c r="X1826" s="2"/>
      <c r="Y1826" s="2"/>
      <c r="Z1826" s="2"/>
      <c r="AA1826" s="2"/>
      <c r="AB1826" s="2"/>
    </row>
    <row r="1827">
      <c r="A1827" s="2"/>
      <c r="B1827" s="2"/>
      <c r="C1827" s="2"/>
      <c r="D1827" s="2"/>
      <c r="E1827" s="2"/>
      <c r="F1827" s="2"/>
      <c r="G1827" s="2"/>
      <c r="H1827" s="2"/>
      <c r="I1827" s="2"/>
      <c r="J1827" s="2"/>
      <c r="K1827" s="2"/>
      <c r="L1827" s="2"/>
      <c r="M1827" s="2"/>
      <c r="N1827" s="2"/>
      <c r="O1827" s="2"/>
      <c r="P1827" s="2"/>
      <c r="Q1827" s="2"/>
      <c r="R1827" s="2"/>
      <c r="S1827" s="2"/>
      <c r="T1827" s="2"/>
      <c r="U1827" s="2"/>
      <c r="V1827" s="2"/>
      <c r="W1827" s="2"/>
      <c r="X1827" s="2"/>
      <c r="Y1827" s="2"/>
      <c r="Z1827" s="2"/>
      <c r="AA1827" s="2"/>
      <c r="AB1827" s="2"/>
    </row>
    <row r="1828">
      <c r="A1828" s="2"/>
      <c r="B1828" s="2"/>
      <c r="C1828" s="2"/>
      <c r="D1828" s="2"/>
      <c r="E1828" s="2"/>
      <c r="F1828" s="2"/>
      <c r="G1828" s="2"/>
      <c r="H1828" s="2"/>
      <c r="I1828" s="2"/>
      <c r="J1828" s="2"/>
      <c r="K1828" s="2"/>
      <c r="L1828" s="2"/>
      <c r="M1828" s="2"/>
      <c r="N1828" s="2"/>
      <c r="O1828" s="2"/>
      <c r="P1828" s="2"/>
      <c r="Q1828" s="2"/>
      <c r="R1828" s="2"/>
      <c r="S1828" s="2"/>
      <c r="T1828" s="2"/>
      <c r="U1828" s="2"/>
      <c r="V1828" s="2"/>
      <c r="W1828" s="2"/>
      <c r="X1828" s="2"/>
      <c r="Y1828" s="2"/>
      <c r="Z1828" s="2"/>
      <c r="AA1828" s="2"/>
      <c r="AB1828" s="2"/>
    </row>
    <row r="1829">
      <c r="A1829" s="2"/>
      <c r="B1829" s="2"/>
      <c r="C1829" s="2"/>
      <c r="D1829" s="2"/>
      <c r="E1829" s="2"/>
      <c r="F1829" s="2"/>
      <c r="G1829" s="2"/>
      <c r="H1829" s="2"/>
      <c r="I1829" s="2"/>
      <c r="J1829" s="2"/>
      <c r="K1829" s="2"/>
      <c r="L1829" s="2"/>
      <c r="M1829" s="2"/>
      <c r="N1829" s="2"/>
      <c r="O1829" s="2"/>
      <c r="P1829" s="2"/>
      <c r="Q1829" s="2"/>
      <c r="R1829" s="2"/>
      <c r="S1829" s="2"/>
      <c r="T1829" s="2"/>
      <c r="U1829" s="2"/>
      <c r="V1829" s="2"/>
      <c r="W1829" s="2"/>
      <c r="X1829" s="2"/>
      <c r="Y1829" s="2"/>
      <c r="Z1829" s="2"/>
      <c r="AA1829" s="2"/>
      <c r="AB1829" s="2"/>
    </row>
    <row r="1830">
      <c r="A1830" s="2"/>
      <c r="B1830" s="2"/>
      <c r="C1830" s="2"/>
      <c r="D1830" s="2"/>
      <c r="E1830" s="2"/>
      <c r="F1830" s="2"/>
      <c r="G1830" s="2"/>
      <c r="H1830" s="2"/>
      <c r="I1830" s="2"/>
      <c r="J1830" s="2"/>
      <c r="K1830" s="2"/>
      <c r="L1830" s="2"/>
      <c r="M1830" s="2"/>
      <c r="N1830" s="2"/>
      <c r="O1830" s="2"/>
      <c r="P1830" s="2"/>
      <c r="Q1830" s="2"/>
      <c r="R1830" s="2"/>
      <c r="S1830" s="2"/>
      <c r="T1830" s="2"/>
      <c r="U1830" s="2"/>
      <c r="V1830" s="2"/>
      <c r="W1830" s="2"/>
      <c r="X1830" s="2"/>
      <c r="Y1830" s="2"/>
      <c r="Z1830" s="2"/>
      <c r="AA1830" s="2"/>
      <c r="AB1830" s="2"/>
    </row>
    <row r="1831">
      <c r="A1831" s="2"/>
      <c r="B1831" s="2"/>
      <c r="C1831" s="2"/>
      <c r="D1831" s="2"/>
      <c r="E1831" s="2"/>
      <c r="F1831" s="2"/>
      <c r="G1831" s="2"/>
      <c r="H1831" s="2"/>
      <c r="I1831" s="2"/>
      <c r="J1831" s="2"/>
      <c r="K1831" s="2"/>
      <c r="L1831" s="2"/>
      <c r="M1831" s="2"/>
      <c r="N1831" s="2"/>
      <c r="O1831" s="2"/>
      <c r="P1831" s="2"/>
      <c r="Q1831" s="2"/>
      <c r="R1831" s="2"/>
      <c r="S1831" s="2"/>
      <c r="T1831" s="2"/>
      <c r="U1831" s="2"/>
      <c r="V1831" s="2"/>
      <c r="W1831" s="2"/>
      <c r="X1831" s="2"/>
      <c r="Y1831" s="2"/>
      <c r="Z1831" s="2"/>
      <c r="AA1831" s="2"/>
      <c r="AB1831" s="2"/>
    </row>
    <row r="1832">
      <c r="A1832" s="2"/>
      <c r="B1832" s="2"/>
      <c r="C1832" s="2"/>
      <c r="D1832" s="2"/>
      <c r="E1832" s="2"/>
      <c r="F1832" s="2"/>
      <c r="G1832" s="2"/>
      <c r="H1832" s="2"/>
      <c r="I1832" s="2"/>
      <c r="J1832" s="2"/>
      <c r="K1832" s="2"/>
      <c r="L1832" s="2"/>
      <c r="M1832" s="2"/>
      <c r="N1832" s="2"/>
      <c r="O1832" s="2"/>
      <c r="P1832" s="2"/>
      <c r="Q1832" s="2"/>
      <c r="R1832" s="2"/>
      <c r="S1832" s="2"/>
      <c r="T1832" s="2"/>
      <c r="U1832" s="2"/>
      <c r="V1832" s="2"/>
      <c r="W1832" s="2"/>
      <c r="X1832" s="2"/>
      <c r="Y1832" s="2"/>
      <c r="Z1832" s="2"/>
      <c r="AA1832" s="2"/>
      <c r="AB1832" s="2"/>
    </row>
    <row r="1833">
      <c r="A1833" s="2"/>
      <c r="B1833" s="2"/>
      <c r="C1833" s="2"/>
      <c r="D1833" s="2"/>
      <c r="E1833" s="2"/>
      <c r="F1833" s="2"/>
      <c r="G1833" s="2"/>
      <c r="H1833" s="2"/>
      <c r="I1833" s="2"/>
      <c r="J1833" s="2"/>
      <c r="K1833" s="2"/>
      <c r="L1833" s="2"/>
      <c r="M1833" s="2"/>
      <c r="N1833" s="2"/>
      <c r="O1833" s="2"/>
      <c r="P1833" s="2"/>
      <c r="Q1833" s="2"/>
      <c r="R1833" s="2"/>
      <c r="S1833" s="2"/>
      <c r="T1833" s="2"/>
      <c r="U1833" s="2"/>
      <c r="V1833" s="2"/>
      <c r="W1833" s="2"/>
      <c r="X1833" s="2"/>
      <c r="Y1833" s="2"/>
      <c r="Z1833" s="2"/>
      <c r="AA1833" s="2"/>
      <c r="AB1833" s="2"/>
    </row>
    <row r="1834">
      <c r="A1834" s="2"/>
      <c r="B1834" s="2"/>
      <c r="C1834" s="2"/>
      <c r="D1834" s="2"/>
      <c r="E1834" s="2"/>
      <c r="F1834" s="2"/>
      <c r="G1834" s="2"/>
      <c r="H1834" s="2"/>
      <c r="I1834" s="2"/>
      <c r="J1834" s="2"/>
      <c r="K1834" s="2"/>
      <c r="L1834" s="2"/>
      <c r="M1834" s="2"/>
      <c r="N1834" s="2"/>
      <c r="O1834" s="2"/>
      <c r="P1834" s="2"/>
      <c r="Q1834" s="2"/>
      <c r="R1834" s="2"/>
      <c r="S1834" s="2"/>
      <c r="T1834" s="2"/>
      <c r="U1834" s="2"/>
      <c r="V1834" s="2"/>
      <c r="W1834" s="2"/>
      <c r="X1834" s="2"/>
      <c r="Y1834" s="2"/>
      <c r="Z1834" s="2"/>
      <c r="AA1834" s="2"/>
      <c r="AB1834" s="2"/>
    </row>
    <row r="1835">
      <c r="A1835" s="2"/>
      <c r="B1835" s="2"/>
      <c r="C1835" s="2"/>
      <c r="D1835" s="2"/>
      <c r="E1835" s="2"/>
      <c r="F1835" s="2"/>
      <c r="G1835" s="2"/>
      <c r="H1835" s="2"/>
      <c r="I1835" s="2"/>
      <c r="J1835" s="2"/>
      <c r="K1835" s="2"/>
      <c r="L1835" s="2"/>
      <c r="M1835" s="2"/>
      <c r="N1835" s="2"/>
      <c r="O1835" s="2"/>
      <c r="P1835" s="2"/>
      <c r="Q1835" s="2"/>
      <c r="R1835" s="2"/>
      <c r="S1835" s="2"/>
      <c r="T1835" s="2"/>
      <c r="U1835" s="2"/>
      <c r="V1835" s="2"/>
      <c r="W1835" s="2"/>
      <c r="X1835" s="2"/>
      <c r="Y1835" s="2"/>
      <c r="Z1835" s="2"/>
      <c r="AA1835" s="2"/>
      <c r="AB1835" s="2"/>
    </row>
    <row r="1836">
      <c r="A1836" s="2"/>
      <c r="B1836" s="2"/>
      <c r="C1836" s="2"/>
      <c r="D1836" s="2"/>
      <c r="E1836" s="2"/>
      <c r="F1836" s="2"/>
      <c r="G1836" s="2"/>
      <c r="H1836" s="2"/>
      <c r="I1836" s="2"/>
      <c r="J1836" s="2"/>
      <c r="K1836" s="2"/>
      <c r="L1836" s="2"/>
      <c r="M1836" s="2"/>
      <c r="N1836" s="2"/>
      <c r="O1836" s="2"/>
      <c r="P1836" s="2"/>
      <c r="Q1836" s="2"/>
      <c r="R1836" s="2"/>
      <c r="S1836" s="2"/>
      <c r="T1836" s="2"/>
      <c r="U1836" s="2"/>
      <c r="V1836" s="2"/>
      <c r="W1836" s="2"/>
      <c r="X1836" s="2"/>
      <c r="Y1836" s="2"/>
      <c r="Z1836" s="2"/>
      <c r="AA1836" s="2"/>
      <c r="AB1836" s="2"/>
    </row>
    <row r="1837">
      <c r="A1837" s="2"/>
      <c r="B1837" s="2"/>
      <c r="C1837" s="2"/>
      <c r="D1837" s="2"/>
      <c r="E1837" s="2"/>
      <c r="F1837" s="2"/>
      <c r="G1837" s="2"/>
      <c r="H1837" s="2"/>
      <c r="I1837" s="2"/>
      <c r="J1837" s="2"/>
      <c r="K1837" s="2"/>
      <c r="L1837" s="2"/>
      <c r="M1837" s="2"/>
      <c r="N1837" s="2"/>
      <c r="O1837" s="2"/>
      <c r="P1837" s="2"/>
      <c r="Q1837" s="2"/>
      <c r="R1837" s="2"/>
      <c r="S1837" s="2"/>
      <c r="T1837" s="2"/>
      <c r="U1837" s="2"/>
      <c r="V1837" s="2"/>
      <c r="W1837" s="2"/>
      <c r="X1837" s="2"/>
      <c r="Y1837" s="2"/>
      <c r="Z1837" s="2"/>
      <c r="AA1837" s="2"/>
      <c r="AB1837" s="2"/>
    </row>
    <row r="1838">
      <c r="A1838" s="2"/>
      <c r="B1838" s="2"/>
      <c r="C1838" s="2"/>
      <c r="D1838" s="2"/>
      <c r="E1838" s="2"/>
      <c r="F1838" s="2"/>
      <c r="G1838" s="2"/>
      <c r="H1838" s="2"/>
      <c r="I1838" s="2"/>
      <c r="J1838" s="2"/>
      <c r="K1838" s="2"/>
      <c r="L1838" s="2"/>
      <c r="M1838" s="2"/>
      <c r="N1838" s="2"/>
      <c r="O1838" s="2"/>
      <c r="P1838" s="2"/>
      <c r="Q1838" s="2"/>
      <c r="R1838" s="2"/>
      <c r="S1838" s="2"/>
      <c r="T1838" s="2"/>
      <c r="U1838" s="2"/>
      <c r="V1838" s="2"/>
      <c r="W1838" s="2"/>
      <c r="X1838" s="2"/>
      <c r="Y1838" s="2"/>
      <c r="Z1838" s="2"/>
      <c r="AA1838" s="2"/>
      <c r="AB1838" s="2"/>
    </row>
    <row r="1839">
      <c r="A1839" s="2"/>
      <c r="B1839" s="2"/>
      <c r="C1839" s="2"/>
      <c r="D1839" s="2"/>
      <c r="E1839" s="2"/>
      <c r="F1839" s="2"/>
      <c r="G1839" s="2"/>
      <c r="H1839" s="2"/>
      <c r="I1839" s="2"/>
      <c r="J1839" s="2"/>
      <c r="K1839" s="2"/>
      <c r="L1839" s="2"/>
      <c r="M1839" s="2"/>
      <c r="N1839" s="2"/>
      <c r="O1839" s="2"/>
      <c r="P1839" s="2"/>
      <c r="Q1839" s="2"/>
      <c r="R1839" s="2"/>
      <c r="S1839" s="2"/>
      <c r="T1839" s="2"/>
      <c r="U1839" s="2"/>
      <c r="V1839" s="2"/>
      <c r="W1839" s="2"/>
      <c r="X1839" s="2"/>
      <c r="Y1839" s="2"/>
      <c r="Z1839" s="2"/>
      <c r="AA1839" s="2"/>
      <c r="AB1839" s="2"/>
    </row>
    <row r="1840">
      <c r="A1840" s="2"/>
      <c r="B1840" s="2"/>
      <c r="C1840" s="2"/>
      <c r="D1840" s="2"/>
      <c r="E1840" s="2"/>
      <c r="F1840" s="2"/>
      <c r="G1840" s="2"/>
      <c r="H1840" s="2"/>
      <c r="I1840" s="2"/>
      <c r="J1840" s="2"/>
      <c r="K1840" s="2"/>
      <c r="L1840" s="2"/>
      <c r="M1840" s="2"/>
      <c r="N1840" s="2"/>
      <c r="O1840" s="2"/>
      <c r="P1840" s="2"/>
      <c r="Q1840" s="2"/>
      <c r="R1840" s="2"/>
      <c r="S1840" s="2"/>
      <c r="T1840" s="2"/>
      <c r="U1840" s="2"/>
      <c r="V1840" s="2"/>
      <c r="W1840" s="2"/>
      <c r="X1840" s="2"/>
      <c r="Y1840" s="2"/>
      <c r="Z1840" s="2"/>
      <c r="AA1840" s="2"/>
      <c r="AB1840" s="2"/>
    </row>
    <row r="1841">
      <c r="A1841" s="2"/>
      <c r="B1841" s="2"/>
      <c r="C1841" s="2"/>
      <c r="D1841" s="2"/>
      <c r="E1841" s="2"/>
      <c r="F1841" s="2"/>
      <c r="G1841" s="2"/>
      <c r="H1841" s="2"/>
      <c r="I1841" s="2"/>
      <c r="J1841" s="2"/>
      <c r="K1841" s="2"/>
      <c r="L1841" s="2"/>
      <c r="M1841" s="2"/>
      <c r="N1841" s="2"/>
      <c r="O1841" s="2"/>
      <c r="P1841" s="2"/>
      <c r="Q1841" s="2"/>
      <c r="R1841" s="2"/>
      <c r="S1841" s="2"/>
      <c r="T1841" s="2"/>
      <c r="U1841" s="2"/>
      <c r="V1841" s="2"/>
      <c r="W1841" s="2"/>
      <c r="X1841" s="2"/>
      <c r="Y1841" s="2"/>
      <c r="Z1841" s="2"/>
      <c r="AA1841" s="2"/>
      <c r="AB1841" s="2"/>
    </row>
    <row r="1842">
      <c r="A1842" s="2"/>
      <c r="B1842" s="2"/>
      <c r="C1842" s="2"/>
      <c r="D1842" s="2"/>
      <c r="E1842" s="2"/>
      <c r="F1842" s="2"/>
      <c r="G1842" s="2"/>
      <c r="H1842" s="2"/>
      <c r="I1842" s="2"/>
      <c r="J1842" s="2"/>
      <c r="K1842" s="2"/>
      <c r="L1842" s="2"/>
      <c r="M1842" s="2"/>
      <c r="N1842" s="2"/>
      <c r="O1842" s="2"/>
      <c r="P1842" s="2"/>
      <c r="Q1842" s="2"/>
      <c r="R1842" s="2"/>
      <c r="S1842" s="2"/>
      <c r="T1842" s="2"/>
      <c r="U1842" s="2"/>
      <c r="V1842" s="2"/>
      <c r="W1842" s="2"/>
      <c r="X1842" s="2"/>
      <c r="Y1842" s="2"/>
      <c r="Z1842" s="2"/>
      <c r="AA1842" s="2"/>
      <c r="AB1842" s="2"/>
    </row>
    <row r="1843">
      <c r="A1843" s="2"/>
      <c r="B1843" s="2"/>
      <c r="C1843" s="2"/>
      <c r="D1843" s="2"/>
      <c r="E1843" s="2"/>
      <c r="F1843" s="2"/>
      <c r="G1843" s="2"/>
      <c r="H1843" s="2"/>
      <c r="I1843" s="2"/>
      <c r="J1843" s="2"/>
      <c r="K1843" s="2"/>
      <c r="L1843" s="2"/>
      <c r="M1843" s="2"/>
      <c r="N1843" s="2"/>
      <c r="O1843" s="2"/>
      <c r="P1843" s="2"/>
      <c r="Q1843" s="2"/>
      <c r="R1843" s="2"/>
      <c r="S1843" s="2"/>
      <c r="T1843" s="2"/>
      <c r="U1843" s="2"/>
      <c r="V1843" s="2"/>
      <c r="W1843" s="2"/>
      <c r="X1843" s="2"/>
      <c r="Y1843" s="2"/>
      <c r="Z1843" s="2"/>
      <c r="AA1843" s="2"/>
      <c r="AB1843" s="2"/>
    </row>
    <row r="1844">
      <c r="A1844" s="2"/>
      <c r="B1844" s="2"/>
      <c r="C1844" s="2"/>
      <c r="D1844" s="2"/>
      <c r="E1844" s="2"/>
      <c r="F1844" s="2"/>
      <c r="G1844" s="2"/>
      <c r="H1844" s="2"/>
      <c r="I1844" s="2"/>
      <c r="J1844" s="2"/>
      <c r="K1844" s="2"/>
      <c r="L1844" s="2"/>
      <c r="M1844" s="2"/>
      <c r="N1844" s="2"/>
      <c r="O1844" s="2"/>
      <c r="P1844" s="2"/>
      <c r="Q1844" s="2"/>
      <c r="R1844" s="2"/>
      <c r="S1844" s="2"/>
      <c r="T1844" s="2"/>
      <c r="U1844" s="2"/>
      <c r="V1844" s="2"/>
      <c r="W1844" s="2"/>
      <c r="X1844" s="2"/>
      <c r="Y1844" s="2"/>
      <c r="Z1844" s="2"/>
      <c r="AA1844" s="2"/>
      <c r="AB1844" s="2"/>
    </row>
    <row r="1845">
      <c r="A1845" s="2"/>
      <c r="B1845" s="2"/>
      <c r="C1845" s="2"/>
      <c r="D1845" s="2"/>
      <c r="E1845" s="2"/>
      <c r="F1845" s="2"/>
      <c r="G1845" s="2"/>
      <c r="H1845" s="2"/>
      <c r="I1845" s="2"/>
      <c r="J1845" s="2"/>
      <c r="K1845" s="2"/>
      <c r="L1845" s="2"/>
      <c r="M1845" s="2"/>
      <c r="N1845" s="2"/>
      <c r="O1845" s="2"/>
      <c r="P1845" s="2"/>
      <c r="Q1845" s="2"/>
      <c r="R1845" s="2"/>
      <c r="S1845" s="2"/>
      <c r="T1845" s="2"/>
      <c r="U1845" s="2"/>
      <c r="V1845" s="2"/>
      <c r="W1845" s="2"/>
      <c r="X1845" s="2"/>
      <c r="Y1845" s="2"/>
      <c r="Z1845" s="2"/>
      <c r="AA1845" s="2"/>
      <c r="AB1845" s="2"/>
    </row>
    <row r="1846">
      <c r="A1846" s="2"/>
      <c r="B1846" s="2"/>
      <c r="C1846" s="2"/>
      <c r="D1846" s="2"/>
      <c r="E1846" s="2"/>
      <c r="F1846" s="2"/>
      <c r="G1846" s="2"/>
      <c r="H1846" s="2"/>
      <c r="I1846" s="2"/>
      <c r="J1846" s="2"/>
      <c r="K1846" s="2"/>
      <c r="L1846" s="2"/>
      <c r="M1846" s="2"/>
      <c r="N1846" s="2"/>
      <c r="O1846" s="2"/>
      <c r="P1846" s="2"/>
      <c r="Q1846" s="2"/>
      <c r="R1846" s="2"/>
      <c r="S1846" s="2"/>
      <c r="T1846" s="2"/>
      <c r="U1846" s="2"/>
      <c r="V1846" s="2"/>
      <c r="W1846" s="2"/>
      <c r="X1846" s="2"/>
      <c r="Y1846" s="2"/>
      <c r="Z1846" s="2"/>
      <c r="AA1846" s="2"/>
      <c r="AB1846" s="2"/>
    </row>
    <row r="1847">
      <c r="A1847" s="2"/>
      <c r="B1847" s="2"/>
      <c r="C1847" s="2"/>
      <c r="D1847" s="2"/>
      <c r="E1847" s="2"/>
      <c r="F1847" s="2"/>
      <c r="G1847" s="2"/>
      <c r="H1847" s="2"/>
      <c r="I1847" s="2"/>
      <c r="J1847" s="2"/>
      <c r="K1847" s="2"/>
      <c r="L1847" s="2"/>
      <c r="M1847" s="2"/>
      <c r="N1847" s="2"/>
      <c r="O1847" s="2"/>
      <c r="P1847" s="2"/>
      <c r="Q1847" s="2"/>
      <c r="R1847" s="2"/>
      <c r="S1847" s="2"/>
      <c r="T1847" s="2"/>
      <c r="U1847" s="2"/>
      <c r="V1847" s="2"/>
      <c r="W1847" s="2"/>
      <c r="X1847" s="2"/>
      <c r="Y1847" s="2"/>
      <c r="Z1847" s="2"/>
      <c r="AA1847" s="2"/>
      <c r="AB1847" s="2"/>
    </row>
    <row r="1848">
      <c r="A1848" s="2"/>
      <c r="B1848" s="2"/>
      <c r="C1848" s="2"/>
      <c r="D1848" s="2"/>
      <c r="E1848" s="2"/>
      <c r="F1848" s="2"/>
      <c r="G1848" s="2"/>
      <c r="H1848" s="2"/>
      <c r="I1848" s="2"/>
      <c r="J1848" s="2"/>
      <c r="K1848" s="2"/>
      <c r="L1848" s="2"/>
      <c r="M1848" s="2"/>
      <c r="N1848" s="2"/>
      <c r="O1848" s="2"/>
      <c r="P1848" s="2"/>
      <c r="Q1848" s="2"/>
      <c r="R1848" s="2"/>
      <c r="S1848" s="2"/>
      <c r="T1848" s="2"/>
      <c r="U1848" s="2"/>
      <c r="V1848" s="2"/>
      <c r="W1848" s="2"/>
      <c r="X1848" s="2"/>
      <c r="Y1848" s="2"/>
      <c r="Z1848" s="2"/>
      <c r="AA1848" s="2"/>
      <c r="AB1848" s="2"/>
    </row>
    <row r="1849">
      <c r="A1849" s="2"/>
      <c r="B1849" s="2"/>
      <c r="C1849" s="2"/>
      <c r="D1849" s="2"/>
      <c r="E1849" s="2"/>
      <c r="F1849" s="2"/>
      <c r="G1849" s="2"/>
      <c r="H1849" s="2"/>
      <c r="I1849" s="2"/>
      <c r="J1849" s="2"/>
      <c r="K1849" s="2"/>
      <c r="L1849" s="2"/>
      <c r="M1849" s="2"/>
      <c r="N1849" s="2"/>
      <c r="O1849" s="2"/>
      <c r="P1849" s="2"/>
      <c r="Q1849" s="2"/>
      <c r="R1849" s="2"/>
      <c r="S1849" s="2"/>
      <c r="T1849" s="2"/>
      <c r="U1849" s="2"/>
      <c r="V1849" s="2"/>
      <c r="W1849" s="2"/>
      <c r="X1849" s="2"/>
      <c r="Y1849" s="2"/>
      <c r="Z1849" s="2"/>
      <c r="AA1849" s="2"/>
      <c r="AB1849" s="2"/>
    </row>
    <row r="1850">
      <c r="A1850" s="2"/>
      <c r="B1850" s="2"/>
      <c r="C1850" s="2"/>
      <c r="D1850" s="2"/>
      <c r="E1850" s="2"/>
      <c r="F1850" s="2"/>
      <c r="G1850" s="2"/>
      <c r="H1850" s="2"/>
      <c r="I1850" s="2"/>
      <c r="J1850" s="2"/>
      <c r="K1850" s="2"/>
      <c r="L1850" s="2"/>
      <c r="M1850" s="2"/>
      <c r="N1850" s="2"/>
      <c r="O1850" s="2"/>
      <c r="P1850" s="2"/>
      <c r="Q1850" s="2"/>
      <c r="R1850" s="2"/>
      <c r="S1850" s="2"/>
      <c r="T1850" s="2"/>
      <c r="U1850" s="2"/>
      <c r="V1850" s="2"/>
      <c r="W1850" s="2"/>
      <c r="X1850" s="2"/>
      <c r="Y1850" s="2"/>
      <c r="Z1850" s="2"/>
      <c r="AA1850" s="2"/>
      <c r="AB1850" s="2"/>
    </row>
    <row r="1851">
      <c r="A1851" s="2"/>
      <c r="B1851" s="2"/>
      <c r="C1851" s="2"/>
      <c r="D1851" s="2"/>
      <c r="E1851" s="2"/>
      <c r="F1851" s="2"/>
      <c r="G1851" s="2"/>
      <c r="H1851" s="2"/>
      <c r="I1851" s="2"/>
      <c r="J1851" s="2"/>
      <c r="K1851" s="2"/>
      <c r="L1851" s="2"/>
      <c r="M1851" s="2"/>
      <c r="N1851" s="2"/>
      <c r="O1851" s="2"/>
      <c r="P1851" s="2"/>
      <c r="Q1851" s="2"/>
      <c r="R1851" s="2"/>
      <c r="S1851" s="2"/>
      <c r="T1851" s="2"/>
      <c r="U1851" s="2"/>
      <c r="V1851" s="2"/>
      <c r="W1851" s="2"/>
      <c r="X1851" s="2"/>
      <c r="Y1851" s="2"/>
      <c r="Z1851" s="2"/>
      <c r="AA1851" s="2"/>
      <c r="AB1851" s="2"/>
    </row>
    <row r="1852">
      <c r="A1852" s="2"/>
      <c r="B1852" s="2"/>
      <c r="C1852" s="2"/>
      <c r="D1852" s="2"/>
      <c r="E1852" s="2"/>
      <c r="F1852" s="2"/>
      <c r="G1852" s="2"/>
      <c r="H1852" s="2"/>
      <c r="I1852" s="2"/>
      <c r="J1852" s="2"/>
      <c r="K1852" s="2"/>
      <c r="L1852" s="2"/>
      <c r="M1852" s="2"/>
      <c r="N1852" s="2"/>
      <c r="O1852" s="2"/>
      <c r="P1852" s="2"/>
      <c r="Q1852" s="2"/>
      <c r="R1852" s="2"/>
      <c r="S1852" s="2"/>
      <c r="T1852" s="2"/>
      <c r="U1852" s="2"/>
      <c r="V1852" s="2"/>
      <c r="W1852" s="2"/>
      <c r="X1852" s="2"/>
      <c r="Y1852" s="2"/>
      <c r="Z1852" s="2"/>
      <c r="AA1852" s="2"/>
      <c r="AB1852" s="2"/>
    </row>
    <row r="1853">
      <c r="A1853" s="2"/>
      <c r="B1853" s="2"/>
      <c r="C1853" s="2"/>
      <c r="D1853" s="2"/>
      <c r="E1853" s="2"/>
      <c r="F1853" s="2"/>
      <c r="G1853" s="2"/>
      <c r="H1853" s="2"/>
      <c r="I1853" s="2"/>
      <c r="J1853" s="2"/>
      <c r="K1853" s="2"/>
      <c r="L1853" s="2"/>
      <c r="M1853" s="2"/>
      <c r="N1853" s="2"/>
      <c r="O1853" s="2"/>
      <c r="P1853" s="2"/>
      <c r="Q1853" s="2"/>
      <c r="R1853" s="2"/>
      <c r="S1853" s="2"/>
      <c r="T1853" s="2"/>
      <c r="U1853" s="2"/>
      <c r="V1853" s="2"/>
      <c r="W1853" s="2"/>
      <c r="X1853" s="2"/>
      <c r="Y1853" s="2"/>
      <c r="Z1853" s="2"/>
      <c r="AA1853" s="2"/>
      <c r="AB1853" s="2"/>
    </row>
    <row r="1854">
      <c r="A1854" s="2"/>
      <c r="B1854" s="2"/>
      <c r="C1854" s="2"/>
      <c r="D1854" s="2"/>
      <c r="E1854" s="2"/>
      <c r="F1854" s="2"/>
      <c r="G1854" s="2"/>
      <c r="H1854" s="2"/>
      <c r="I1854" s="2"/>
      <c r="J1854" s="2"/>
      <c r="K1854" s="2"/>
      <c r="L1854" s="2"/>
      <c r="M1854" s="2"/>
      <c r="N1854" s="2"/>
      <c r="O1854" s="2"/>
      <c r="P1854" s="2"/>
      <c r="Q1854" s="2"/>
      <c r="R1854" s="2"/>
      <c r="S1854" s="2"/>
      <c r="T1854" s="2"/>
      <c r="U1854" s="2"/>
      <c r="V1854" s="2"/>
      <c r="W1854" s="2"/>
      <c r="X1854" s="2"/>
      <c r="Y1854" s="2"/>
      <c r="Z1854" s="2"/>
      <c r="AA1854" s="2"/>
      <c r="AB1854" s="2"/>
    </row>
    <row r="1855">
      <c r="A1855" s="2"/>
      <c r="B1855" s="2"/>
      <c r="C1855" s="2"/>
      <c r="D1855" s="2"/>
      <c r="E1855" s="2"/>
      <c r="F1855" s="2"/>
      <c r="G1855" s="2"/>
      <c r="H1855" s="2"/>
      <c r="I1855" s="2"/>
      <c r="J1855" s="2"/>
      <c r="K1855" s="2"/>
      <c r="L1855" s="2"/>
      <c r="M1855" s="2"/>
      <c r="N1855" s="2"/>
      <c r="O1855" s="2"/>
      <c r="P1855" s="2"/>
      <c r="Q1855" s="2"/>
      <c r="R1855" s="2"/>
      <c r="S1855" s="2"/>
      <c r="T1855" s="2"/>
      <c r="U1855" s="2"/>
      <c r="V1855" s="2"/>
      <c r="W1855" s="2"/>
      <c r="X1855" s="2"/>
      <c r="Y1855" s="2"/>
      <c r="Z1855" s="2"/>
      <c r="AA1855" s="2"/>
      <c r="AB1855" s="2"/>
    </row>
    <row r="1856">
      <c r="A1856" s="2"/>
      <c r="B1856" s="2"/>
      <c r="C1856" s="2"/>
      <c r="D1856" s="2"/>
      <c r="E1856" s="2"/>
      <c r="F1856" s="2"/>
      <c r="G1856" s="2"/>
      <c r="H1856" s="2"/>
      <c r="I1856" s="2"/>
      <c r="J1856" s="2"/>
      <c r="K1856" s="2"/>
      <c r="L1856" s="2"/>
      <c r="M1856" s="2"/>
      <c r="N1856" s="2"/>
      <c r="O1856" s="2"/>
      <c r="P1856" s="2"/>
      <c r="Q1856" s="2"/>
      <c r="R1856" s="2"/>
      <c r="S1856" s="2"/>
      <c r="T1856" s="2"/>
      <c r="U1856" s="2"/>
      <c r="V1856" s="2"/>
      <c r="W1856" s="2"/>
      <c r="X1856" s="2"/>
      <c r="Y1856" s="2"/>
      <c r="Z1856" s="2"/>
      <c r="AA1856" s="2"/>
      <c r="AB1856" s="2"/>
    </row>
    <row r="1857">
      <c r="A1857" s="2"/>
      <c r="B1857" s="2"/>
      <c r="C1857" s="2"/>
      <c r="D1857" s="2"/>
      <c r="E1857" s="2"/>
      <c r="F1857" s="2"/>
      <c r="G1857" s="2"/>
      <c r="H1857" s="2"/>
      <c r="I1857" s="2"/>
      <c r="J1857" s="2"/>
      <c r="K1857" s="2"/>
      <c r="L1857" s="2"/>
      <c r="M1857" s="2"/>
      <c r="N1857" s="2"/>
      <c r="O1857" s="2"/>
      <c r="P1857" s="2"/>
      <c r="Q1857" s="2"/>
      <c r="R1857" s="2"/>
      <c r="S1857" s="2"/>
      <c r="T1857" s="2"/>
      <c r="U1857" s="2"/>
      <c r="V1857" s="2"/>
      <c r="W1857" s="2"/>
      <c r="X1857" s="2"/>
      <c r="Y1857" s="2"/>
      <c r="Z1857" s="2"/>
      <c r="AA1857" s="2"/>
      <c r="AB1857" s="2"/>
    </row>
    <row r="1858">
      <c r="A1858" s="2"/>
      <c r="B1858" s="2"/>
      <c r="C1858" s="2"/>
      <c r="D1858" s="2"/>
      <c r="E1858" s="2"/>
      <c r="F1858" s="2"/>
      <c r="G1858" s="2"/>
      <c r="H1858" s="2"/>
      <c r="I1858" s="2"/>
      <c r="J1858" s="2"/>
      <c r="K1858" s="2"/>
      <c r="L1858" s="2"/>
      <c r="M1858" s="2"/>
      <c r="N1858" s="2"/>
      <c r="O1858" s="2"/>
      <c r="P1858" s="2"/>
      <c r="Q1858" s="2"/>
      <c r="R1858" s="2"/>
      <c r="S1858" s="2"/>
      <c r="T1858" s="2"/>
      <c r="U1858" s="2"/>
      <c r="V1858" s="2"/>
      <c r="W1858" s="2"/>
      <c r="X1858" s="2"/>
      <c r="Y1858" s="2"/>
      <c r="Z1858" s="2"/>
      <c r="AA1858" s="2"/>
      <c r="AB1858" s="2"/>
    </row>
    <row r="1859">
      <c r="A1859" s="2"/>
      <c r="B1859" s="2"/>
      <c r="C1859" s="2"/>
      <c r="D1859" s="2"/>
      <c r="E1859" s="2"/>
      <c r="F1859" s="2"/>
      <c r="G1859" s="2"/>
      <c r="H1859" s="2"/>
      <c r="I1859" s="2"/>
      <c r="J1859" s="2"/>
      <c r="K1859" s="2"/>
      <c r="L1859" s="2"/>
      <c r="M1859" s="2"/>
      <c r="N1859" s="2"/>
      <c r="O1859" s="2"/>
      <c r="P1859" s="2"/>
      <c r="Q1859" s="2"/>
      <c r="R1859" s="2"/>
      <c r="S1859" s="2"/>
      <c r="T1859" s="2"/>
      <c r="U1859" s="2"/>
      <c r="V1859" s="2"/>
      <c r="W1859" s="2"/>
      <c r="X1859" s="2"/>
      <c r="Y1859" s="2"/>
      <c r="Z1859" s="2"/>
      <c r="AA1859" s="2"/>
      <c r="AB1859" s="2"/>
    </row>
    <row r="1860">
      <c r="A1860" s="2"/>
      <c r="B1860" s="2"/>
      <c r="C1860" s="2"/>
      <c r="D1860" s="2"/>
      <c r="E1860" s="2"/>
      <c r="F1860" s="2"/>
      <c r="G1860" s="2"/>
      <c r="H1860" s="2"/>
      <c r="I1860" s="2"/>
      <c r="J1860" s="2"/>
      <c r="K1860" s="2"/>
      <c r="L1860" s="2"/>
      <c r="M1860" s="2"/>
      <c r="N1860" s="2"/>
      <c r="O1860" s="2"/>
      <c r="P1860" s="2"/>
      <c r="Q1860" s="2"/>
      <c r="R1860" s="2"/>
      <c r="S1860" s="2"/>
      <c r="T1860" s="2"/>
      <c r="U1860" s="2"/>
      <c r="V1860" s="2"/>
      <c r="W1860" s="2"/>
      <c r="X1860" s="2"/>
      <c r="Y1860" s="2"/>
      <c r="Z1860" s="2"/>
      <c r="AA1860" s="2"/>
      <c r="AB1860" s="2"/>
    </row>
    <row r="1861">
      <c r="A1861" s="2"/>
      <c r="B1861" s="2"/>
      <c r="C1861" s="2"/>
      <c r="D1861" s="2"/>
      <c r="E1861" s="2"/>
      <c r="F1861" s="2"/>
      <c r="G1861" s="2"/>
      <c r="H1861" s="2"/>
      <c r="I1861" s="2"/>
      <c r="J1861" s="2"/>
      <c r="K1861" s="2"/>
      <c r="L1861" s="2"/>
      <c r="M1861" s="2"/>
      <c r="N1861" s="2"/>
      <c r="O1861" s="2"/>
      <c r="P1861" s="2"/>
      <c r="Q1861" s="2"/>
      <c r="R1861" s="2"/>
      <c r="S1861" s="2"/>
      <c r="T1861" s="2"/>
      <c r="U1861" s="2"/>
      <c r="V1861" s="2"/>
      <c r="W1861" s="2"/>
      <c r="X1861" s="2"/>
      <c r="Y1861" s="2"/>
      <c r="Z1861" s="2"/>
      <c r="AA1861" s="2"/>
      <c r="AB1861" s="2"/>
    </row>
    <row r="1862">
      <c r="A1862" s="2"/>
      <c r="B1862" s="2"/>
      <c r="C1862" s="2"/>
      <c r="D1862" s="2"/>
      <c r="E1862" s="2"/>
      <c r="F1862" s="2"/>
      <c r="G1862" s="2"/>
      <c r="H1862" s="2"/>
      <c r="I1862" s="2"/>
      <c r="J1862" s="2"/>
      <c r="K1862" s="2"/>
      <c r="L1862" s="2"/>
      <c r="M1862" s="2"/>
      <c r="N1862" s="2"/>
      <c r="O1862" s="2"/>
      <c r="P1862" s="2"/>
      <c r="Q1862" s="2"/>
      <c r="R1862" s="2"/>
      <c r="S1862" s="2"/>
      <c r="T1862" s="2"/>
      <c r="U1862" s="2"/>
      <c r="V1862" s="2"/>
      <c r="W1862" s="2"/>
      <c r="X1862" s="2"/>
      <c r="Y1862" s="2"/>
      <c r="Z1862" s="2"/>
      <c r="AA1862" s="2"/>
      <c r="AB1862" s="2"/>
    </row>
    <row r="1863">
      <c r="A1863" s="2"/>
      <c r="B1863" s="2"/>
      <c r="C1863" s="2"/>
      <c r="D1863" s="2"/>
      <c r="E1863" s="2"/>
      <c r="F1863" s="2"/>
      <c r="G1863" s="2"/>
      <c r="H1863" s="2"/>
      <c r="I1863" s="2"/>
      <c r="J1863" s="2"/>
      <c r="K1863" s="2"/>
      <c r="L1863" s="2"/>
      <c r="M1863" s="2"/>
      <c r="N1863" s="2"/>
      <c r="O1863" s="2"/>
      <c r="P1863" s="2"/>
      <c r="Q1863" s="2"/>
      <c r="R1863" s="2"/>
      <c r="S1863" s="2"/>
      <c r="T1863" s="2"/>
      <c r="U1863" s="2"/>
      <c r="V1863" s="2"/>
      <c r="W1863" s="2"/>
      <c r="X1863" s="2"/>
      <c r="Y1863" s="2"/>
      <c r="Z1863" s="2"/>
      <c r="AA1863" s="2"/>
      <c r="AB1863" s="2"/>
    </row>
    <row r="1864">
      <c r="A1864" s="2"/>
      <c r="B1864" s="2"/>
      <c r="C1864" s="2"/>
      <c r="D1864" s="2"/>
      <c r="E1864" s="2"/>
      <c r="F1864" s="2"/>
      <c r="G1864" s="2"/>
      <c r="H1864" s="2"/>
      <c r="I1864" s="2"/>
      <c r="J1864" s="2"/>
      <c r="K1864" s="2"/>
      <c r="L1864" s="2"/>
      <c r="M1864" s="2"/>
      <c r="N1864" s="2"/>
      <c r="O1864" s="2"/>
      <c r="P1864" s="2"/>
      <c r="Q1864" s="2"/>
      <c r="R1864" s="2"/>
      <c r="S1864" s="2"/>
      <c r="T1864" s="2"/>
      <c r="U1864" s="2"/>
      <c r="V1864" s="2"/>
      <c r="W1864" s="2"/>
      <c r="X1864" s="2"/>
      <c r="Y1864" s="2"/>
      <c r="Z1864" s="2"/>
      <c r="AA1864" s="2"/>
      <c r="AB1864" s="2"/>
    </row>
    <row r="1865">
      <c r="A1865" s="2"/>
      <c r="B1865" s="2"/>
      <c r="C1865" s="2"/>
      <c r="D1865" s="2"/>
      <c r="E1865" s="2"/>
      <c r="F1865" s="2"/>
      <c r="G1865" s="2"/>
      <c r="H1865" s="2"/>
      <c r="I1865" s="2"/>
      <c r="J1865" s="2"/>
      <c r="K1865" s="2"/>
      <c r="L1865" s="2"/>
      <c r="M1865" s="2"/>
      <c r="N1865" s="2"/>
      <c r="O1865" s="2"/>
      <c r="P1865" s="2"/>
      <c r="Q1865" s="2"/>
      <c r="R1865" s="2"/>
      <c r="S1865" s="2"/>
      <c r="T1865" s="2"/>
      <c r="U1865" s="2"/>
      <c r="V1865" s="2"/>
      <c r="W1865" s="2"/>
      <c r="X1865" s="2"/>
      <c r="Y1865" s="2"/>
      <c r="Z1865" s="2"/>
      <c r="AA1865" s="2"/>
      <c r="AB1865" s="2"/>
    </row>
    <row r="1866">
      <c r="A1866" s="2"/>
      <c r="B1866" s="2"/>
      <c r="C1866" s="2"/>
      <c r="D1866" s="2"/>
      <c r="E1866" s="2"/>
      <c r="F1866" s="2"/>
      <c r="G1866" s="2"/>
      <c r="H1866" s="2"/>
      <c r="I1866" s="2"/>
      <c r="J1866" s="2"/>
      <c r="K1866" s="2"/>
      <c r="L1866" s="2"/>
      <c r="M1866" s="2"/>
      <c r="N1866" s="2"/>
      <c r="O1866" s="2"/>
      <c r="P1866" s="2"/>
      <c r="Q1866" s="2"/>
      <c r="R1866" s="2"/>
      <c r="S1866" s="2"/>
      <c r="T1866" s="2"/>
      <c r="U1866" s="2"/>
      <c r="V1866" s="2"/>
      <c r="W1866" s="2"/>
      <c r="X1866" s="2"/>
      <c r="Y1866" s="2"/>
      <c r="Z1866" s="2"/>
      <c r="AA1866" s="2"/>
      <c r="AB1866" s="2"/>
    </row>
    <row r="1867">
      <c r="A1867" s="2"/>
      <c r="B1867" s="2"/>
      <c r="C1867" s="2"/>
      <c r="D1867" s="2"/>
      <c r="E1867" s="2"/>
      <c r="F1867" s="2"/>
      <c r="G1867" s="2"/>
      <c r="H1867" s="2"/>
      <c r="I1867" s="2"/>
      <c r="J1867" s="2"/>
      <c r="K1867" s="2"/>
      <c r="L1867" s="2"/>
      <c r="M1867" s="2"/>
      <c r="N1867" s="2"/>
      <c r="O1867" s="2"/>
      <c r="P1867" s="2"/>
      <c r="Q1867" s="2"/>
      <c r="R1867" s="2"/>
      <c r="S1867" s="2"/>
      <c r="T1867" s="2"/>
      <c r="U1867" s="2"/>
      <c r="V1867" s="2"/>
      <c r="W1867" s="2"/>
      <c r="X1867" s="2"/>
      <c r="Y1867" s="2"/>
      <c r="Z1867" s="2"/>
      <c r="AA1867" s="2"/>
      <c r="AB1867" s="2"/>
    </row>
    <row r="1868">
      <c r="A1868" s="2"/>
      <c r="B1868" s="2"/>
      <c r="C1868" s="2"/>
      <c r="D1868" s="2"/>
      <c r="E1868" s="2"/>
      <c r="F1868" s="2"/>
      <c r="G1868" s="2"/>
      <c r="H1868" s="2"/>
      <c r="I1868" s="2"/>
      <c r="J1868" s="2"/>
      <c r="K1868" s="2"/>
      <c r="L1868" s="2"/>
      <c r="M1868" s="2"/>
      <c r="N1868" s="2"/>
      <c r="O1868" s="2"/>
      <c r="P1868" s="2"/>
      <c r="Q1868" s="2"/>
      <c r="R1868" s="2"/>
      <c r="S1868" s="2"/>
      <c r="T1868" s="2"/>
      <c r="U1868" s="2"/>
      <c r="V1868" s="2"/>
      <c r="W1868" s="2"/>
      <c r="X1868" s="2"/>
      <c r="Y1868" s="2"/>
      <c r="Z1868" s="2"/>
      <c r="AA1868" s="2"/>
      <c r="AB1868" s="2"/>
    </row>
    <row r="1869">
      <c r="A1869" s="2"/>
      <c r="B1869" s="2"/>
      <c r="C1869" s="2"/>
      <c r="D1869" s="2"/>
      <c r="E1869" s="2"/>
      <c r="F1869" s="2"/>
      <c r="G1869" s="2"/>
      <c r="H1869" s="2"/>
      <c r="I1869" s="2"/>
      <c r="J1869" s="2"/>
      <c r="K1869" s="2"/>
      <c r="L1869" s="2"/>
      <c r="M1869" s="2"/>
      <c r="N1869" s="2"/>
      <c r="O1869" s="2"/>
      <c r="P1869" s="2"/>
      <c r="Q1869" s="2"/>
      <c r="R1869" s="2"/>
      <c r="S1869" s="2"/>
      <c r="T1869" s="2"/>
      <c r="U1869" s="2"/>
      <c r="V1869" s="2"/>
      <c r="W1869" s="2"/>
      <c r="X1869" s="2"/>
      <c r="Y1869" s="2"/>
      <c r="Z1869" s="2"/>
      <c r="AA1869" s="2"/>
      <c r="AB1869" s="2"/>
    </row>
    <row r="1870">
      <c r="A1870" s="2"/>
      <c r="B1870" s="2"/>
      <c r="C1870" s="2"/>
      <c r="D1870" s="2"/>
      <c r="E1870" s="2"/>
      <c r="F1870" s="2"/>
      <c r="G1870" s="2"/>
      <c r="H1870" s="2"/>
      <c r="I1870" s="2"/>
      <c r="J1870" s="2"/>
      <c r="K1870" s="2"/>
      <c r="L1870" s="2"/>
      <c r="M1870" s="2"/>
      <c r="N1870" s="2"/>
      <c r="O1870" s="2"/>
      <c r="P1870" s="2"/>
      <c r="Q1870" s="2"/>
      <c r="R1870" s="2"/>
      <c r="S1870" s="2"/>
      <c r="T1870" s="2"/>
      <c r="U1870" s="2"/>
      <c r="V1870" s="2"/>
      <c r="W1870" s="2"/>
      <c r="X1870" s="2"/>
      <c r="Y1870" s="2"/>
      <c r="Z1870" s="2"/>
      <c r="AA1870" s="2"/>
      <c r="AB1870" s="2"/>
    </row>
    <row r="1871">
      <c r="A1871" s="2"/>
      <c r="B1871" s="2"/>
      <c r="C1871" s="2"/>
      <c r="D1871" s="2"/>
      <c r="E1871" s="2"/>
      <c r="F1871" s="2"/>
      <c r="G1871" s="2"/>
      <c r="H1871" s="2"/>
      <c r="I1871" s="2"/>
      <c r="J1871" s="2"/>
      <c r="K1871" s="2"/>
      <c r="L1871" s="2"/>
      <c r="M1871" s="2"/>
      <c r="N1871" s="2"/>
      <c r="O1871" s="2"/>
      <c r="P1871" s="2"/>
      <c r="Q1871" s="2"/>
      <c r="R1871" s="2"/>
      <c r="S1871" s="2"/>
      <c r="T1871" s="2"/>
      <c r="U1871" s="2"/>
      <c r="V1871" s="2"/>
      <c r="W1871" s="2"/>
      <c r="X1871" s="2"/>
      <c r="Y1871" s="2"/>
      <c r="Z1871" s="2"/>
      <c r="AA1871" s="2"/>
      <c r="AB1871" s="2"/>
    </row>
    <row r="1872">
      <c r="A1872" s="2"/>
      <c r="B1872" s="2"/>
      <c r="C1872" s="2"/>
      <c r="D1872" s="2"/>
      <c r="E1872" s="2"/>
      <c r="F1872" s="2"/>
      <c r="G1872" s="2"/>
      <c r="H1872" s="2"/>
      <c r="I1872" s="2"/>
      <c r="J1872" s="2"/>
      <c r="K1872" s="2"/>
      <c r="L1872" s="2"/>
      <c r="M1872" s="2"/>
      <c r="N1872" s="2"/>
      <c r="O1872" s="2"/>
      <c r="P1872" s="2"/>
      <c r="Q1872" s="2"/>
      <c r="R1872" s="2"/>
      <c r="S1872" s="2"/>
      <c r="T1872" s="2"/>
      <c r="U1872" s="2"/>
      <c r="V1872" s="2"/>
      <c r="W1872" s="2"/>
      <c r="X1872" s="2"/>
      <c r="Y1872" s="2"/>
      <c r="Z1872" s="2"/>
      <c r="AA1872" s="2"/>
      <c r="AB1872" s="2"/>
    </row>
    <row r="1873">
      <c r="A1873" s="2"/>
      <c r="B1873" s="2"/>
      <c r="C1873" s="2"/>
      <c r="D1873" s="2"/>
      <c r="E1873" s="2"/>
      <c r="F1873" s="2"/>
      <c r="G1873" s="2"/>
      <c r="H1873" s="2"/>
      <c r="I1873" s="2"/>
      <c r="J1873" s="2"/>
      <c r="K1873" s="2"/>
      <c r="L1873" s="2"/>
      <c r="M1873" s="2"/>
      <c r="N1873" s="2"/>
      <c r="O1873" s="2"/>
      <c r="P1873" s="2"/>
      <c r="Q1873" s="2"/>
      <c r="R1873" s="2"/>
      <c r="S1873" s="2"/>
      <c r="T1873" s="2"/>
      <c r="U1873" s="2"/>
      <c r="V1873" s="2"/>
      <c r="W1873" s="2"/>
      <c r="X1873" s="2"/>
      <c r="Y1873" s="2"/>
      <c r="Z1873" s="2"/>
      <c r="AA1873" s="2"/>
      <c r="AB1873" s="2"/>
    </row>
    <row r="1874">
      <c r="A1874" s="2"/>
      <c r="B1874" s="2"/>
      <c r="C1874" s="2"/>
      <c r="D1874" s="2"/>
      <c r="E1874" s="2"/>
      <c r="F1874" s="2"/>
      <c r="G1874" s="2"/>
      <c r="H1874" s="2"/>
      <c r="I1874" s="2"/>
      <c r="J1874" s="2"/>
      <c r="K1874" s="2"/>
      <c r="L1874" s="2"/>
      <c r="M1874" s="2"/>
      <c r="N1874" s="2"/>
      <c r="O1874" s="2"/>
      <c r="P1874" s="2"/>
      <c r="Q1874" s="2"/>
      <c r="R1874" s="2"/>
      <c r="S1874" s="2"/>
      <c r="T1874" s="2"/>
      <c r="U1874" s="2"/>
      <c r="V1874" s="2"/>
      <c r="W1874" s="2"/>
      <c r="X1874" s="2"/>
      <c r="Y1874" s="2"/>
      <c r="Z1874" s="2"/>
      <c r="AA1874" s="2"/>
      <c r="AB1874" s="2"/>
    </row>
    <row r="1875">
      <c r="A1875" s="2"/>
      <c r="B1875" s="2"/>
      <c r="C1875" s="2"/>
      <c r="D1875" s="2"/>
      <c r="E1875" s="2"/>
      <c r="F1875" s="2"/>
      <c r="G1875" s="2"/>
      <c r="H1875" s="2"/>
      <c r="I1875" s="2"/>
      <c r="J1875" s="2"/>
      <c r="K1875" s="2"/>
      <c r="L1875" s="2"/>
      <c r="M1875" s="2"/>
      <c r="N1875" s="2"/>
      <c r="O1875" s="2"/>
      <c r="P1875" s="2"/>
      <c r="Q1875" s="2"/>
      <c r="R1875" s="2"/>
      <c r="S1875" s="2"/>
      <c r="T1875" s="2"/>
      <c r="U1875" s="2"/>
      <c r="V1875" s="2"/>
      <c r="W1875" s="2"/>
      <c r="X1875" s="2"/>
      <c r="Y1875" s="2"/>
      <c r="Z1875" s="2"/>
      <c r="AA1875" s="2"/>
      <c r="AB1875" s="2"/>
    </row>
    <row r="1876">
      <c r="A1876" s="2"/>
      <c r="B1876" s="2"/>
      <c r="C1876" s="2"/>
      <c r="D1876" s="2"/>
      <c r="E1876" s="2"/>
      <c r="F1876" s="2"/>
      <c r="G1876" s="2"/>
      <c r="H1876" s="2"/>
      <c r="I1876" s="2"/>
      <c r="J1876" s="2"/>
      <c r="K1876" s="2"/>
      <c r="L1876" s="2"/>
      <c r="M1876" s="2"/>
      <c r="N1876" s="2"/>
      <c r="O1876" s="2"/>
      <c r="P1876" s="2"/>
      <c r="Q1876" s="2"/>
      <c r="R1876" s="2"/>
      <c r="S1876" s="2"/>
      <c r="T1876" s="2"/>
      <c r="U1876" s="2"/>
      <c r="V1876" s="2"/>
      <c r="W1876" s="2"/>
      <c r="X1876" s="2"/>
      <c r="Y1876" s="2"/>
      <c r="Z1876" s="2"/>
      <c r="AA1876" s="2"/>
      <c r="AB1876" s="2"/>
    </row>
    <row r="1877">
      <c r="A1877" s="2"/>
      <c r="B1877" s="2"/>
      <c r="C1877" s="2"/>
      <c r="D1877" s="2"/>
      <c r="E1877" s="2"/>
      <c r="F1877" s="2"/>
      <c r="G1877" s="2"/>
      <c r="H1877" s="2"/>
      <c r="I1877" s="2"/>
      <c r="J1877" s="2"/>
      <c r="K1877" s="2"/>
      <c r="L1877" s="2"/>
      <c r="M1877" s="2"/>
      <c r="N1877" s="2"/>
      <c r="O1877" s="2"/>
      <c r="P1877" s="2"/>
      <c r="Q1877" s="2"/>
      <c r="R1877" s="2"/>
      <c r="S1877" s="2"/>
      <c r="T1877" s="2"/>
      <c r="U1877" s="2"/>
      <c r="V1877" s="2"/>
      <c r="W1877" s="2"/>
      <c r="X1877" s="2"/>
      <c r="Y1877" s="2"/>
      <c r="Z1877" s="2"/>
      <c r="AA1877" s="2"/>
      <c r="AB1877" s="2"/>
    </row>
    <row r="1878">
      <c r="A1878" s="2"/>
      <c r="B1878" s="2"/>
      <c r="C1878" s="2"/>
      <c r="D1878" s="2"/>
      <c r="E1878" s="2"/>
      <c r="F1878" s="2"/>
      <c r="G1878" s="2"/>
      <c r="H1878" s="2"/>
      <c r="I1878" s="2"/>
      <c r="J1878" s="2"/>
      <c r="K1878" s="2"/>
      <c r="L1878" s="2"/>
      <c r="M1878" s="2"/>
      <c r="N1878" s="2"/>
      <c r="O1878" s="2"/>
      <c r="P1878" s="2"/>
      <c r="Q1878" s="2"/>
      <c r="R1878" s="2"/>
      <c r="S1878" s="2"/>
      <c r="T1878" s="2"/>
      <c r="U1878" s="2"/>
      <c r="V1878" s="2"/>
      <c r="W1878" s="2"/>
      <c r="X1878" s="2"/>
      <c r="Y1878" s="2"/>
      <c r="Z1878" s="2"/>
      <c r="AA1878" s="2"/>
      <c r="AB1878" s="2"/>
    </row>
    <row r="1879">
      <c r="A1879" s="2"/>
      <c r="B1879" s="2"/>
      <c r="C1879" s="2"/>
      <c r="D1879" s="2"/>
      <c r="E1879" s="2"/>
      <c r="F1879" s="2"/>
      <c r="G1879" s="2"/>
      <c r="H1879" s="2"/>
      <c r="I1879" s="2"/>
      <c r="J1879" s="2"/>
      <c r="K1879" s="2"/>
      <c r="L1879" s="2"/>
      <c r="M1879" s="2"/>
      <c r="N1879" s="2"/>
      <c r="O1879" s="2"/>
      <c r="P1879" s="2"/>
      <c r="Q1879" s="2"/>
      <c r="R1879" s="2"/>
      <c r="S1879" s="2"/>
      <c r="T1879" s="2"/>
      <c r="U1879" s="2"/>
      <c r="V1879" s="2"/>
      <c r="W1879" s="2"/>
      <c r="X1879" s="2"/>
      <c r="Y1879" s="2"/>
      <c r="Z1879" s="2"/>
      <c r="AA1879" s="2"/>
      <c r="AB1879" s="2"/>
    </row>
    <row r="1880">
      <c r="A1880" s="2"/>
      <c r="B1880" s="2"/>
      <c r="C1880" s="2"/>
      <c r="D1880" s="2"/>
      <c r="E1880" s="2"/>
      <c r="F1880" s="2"/>
      <c r="G1880" s="2"/>
      <c r="H1880" s="2"/>
      <c r="I1880" s="2"/>
      <c r="J1880" s="2"/>
      <c r="K1880" s="2"/>
      <c r="L1880" s="2"/>
      <c r="M1880" s="2"/>
      <c r="N1880" s="2"/>
      <c r="O1880" s="2"/>
      <c r="P1880" s="2"/>
      <c r="Q1880" s="2"/>
      <c r="R1880" s="2"/>
      <c r="S1880" s="2"/>
      <c r="T1880" s="2"/>
      <c r="U1880" s="2"/>
      <c r="V1880" s="2"/>
      <c r="W1880" s="2"/>
      <c r="X1880" s="2"/>
      <c r="Y1880" s="2"/>
      <c r="Z1880" s="2"/>
      <c r="AA1880" s="2"/>
      <c r="AB1880" s="2"/>
    </row>
    <row r="1881">
      <c r="A1881" s="2"/>
      <c r="B1881" s="2"/>
      <c r="C1881" s="2"/>
      <c r="D1881" s="2"/>
      <c r="E1881" s="2"/>
      <c r="F1881" s="2"/>
      <c r="G1881" s="2"/>
      <c r="H1881" s="2"/>
      <c r="I1881" s="2"/>
      <c r="J1881" s="2"/>
      <c r="K1881" s="2"/>
      <c r="L1881" s="2"/>
      <c r="M1881" s="2"/>
      <c r="N1881" s="2"/>
      <c r="O1881" s="2"/>
      <c r="P1881" s="2"/>
      <c r="Q1881" s="2"/>
      <c r="R1881" s="2"/>
      <c r="S1881" s="2"/>
      <c r="T1881" s="2"/>
      <c r="U1881" s="2"/>
      <c r="V1881" s="2"/>
      <c r="W1881" s="2"/>
      <c r="X1881" s="2"/>
      <c r="Y1881" s="2"/>
      <c r="Z1881" s="2"/>
      <c r="AA1881" s="2"/>
      <c r="AB1881" s="2"/>
    </row>
    <row r="1882">
      <c r="A1882" s="2"/>
      <c r="B1882" s="2"/>
      <c r="C1882" s="2"/>
      <c r="D1882" s="2"/>
      <c r="E1882" s="2"/>
      <c r="F1882" s="2"/>
      <c r="G1882" s="2"/>
      <c r="H1882" s="2"/>
      <c r="I1882" s="2"/>
      <c r="J1882" s="2"/>
      <c r="K1882" s="2"/>
      <c r="L1882" s="2"/>
      <c r="M1882" s="2"/>
      <c r="N1882" s="2"/>
      <c r="O1882" s="2"/>
      <c r="P1882" s="2"/>
      <c r="Q1882" s="2"/>
      <c r="R1882" s="2"/>
      <c r="S1882" s="2"/>
      <c r="T1882" s="2"/>
      <c r="U1882" s="2"/>
      <c r="V1882" s="2"/>
      <c r="W1882" s="2"/>
      <c r="X1882" s="2"/>
      <c r="Y1882" s="2"/>
      <c r="Z1882" s="2"/>
      <c r="AA1882" s="2"/>
      <c r="AB1882" s="2"/>
    </row>
    <row r="1883">
      <c r="A1883" s="2"/>
      <c r="B1883" s="2"/>
      <c r="C1883" s="2"/>
      <c r="D1883" s="2"/>
      <c r="E1883" s="2"/>
      <c r="F1883" s="2"/>
      <c r="G1883" s="2"/>
      <c r="H1883" s="2"/>
      <c r="I1883" s="2"/>
      <c r="J1883" s="2"/>
      <c r="K1883" s="2"/>
      <c r="L1883" s="2"/>
      <c r="M1883" s="2"/>
      <c r="N1883" s="2"/>
      <c r="O1883" s="2"/>
      <c r="P1883" s="2"/>
      <c r="Q1883" s="2"/>
      <c r="R1883" s="2"/>
      <c r="S1883" s="2"/>
      <c r="T1883" s="2"/>
      <c r="U1883" s="2"/>
      <c r="V1883" s="2"/>
      <c r="W1883" s="2"/>
      <c r="X1883" s="2"/>
      <c r="Y1883" s="2"/>
      <c r="Z1883" s="2"/>
      <c r="AA1883" s="2"/>
      <c r="AB1883" s="2"/>
    </row>
    <row r="1884">
      <c r="A1884" s="2"/>
      <c r="B1884" s="2"/>
      <c r="C1884" s="2"/>
      <c r="D1884" s="2"/>
      <c r="E1884" s="2"/>
      <c r="F1884" s="2"/>
      <c r="G1884" s="2"/>
      <c r="H1884" s="2"/>
      <c r="I1884" s="2"/>
      <c r="J1884" s="2"/>
      <c r="K1884" s="2"/>
      <c r="L1884" s="2"/>
      <c r="M1884" s="2"/>
      <c r="N1884" s="2"/>
      <c r="O1884" s="2"/>
      <c r="P1884" s="2"/>
      <c r="Q1884" s="2"/>
      <c r="R1884" s="2"/>
      <c r="S1884" s="2"/>
      <c r="T1884" s="2"/>
      <c r="U1884" s="2"/>
      <c r="V1884" s="2"/>
      <c r="W1884" s="2"/>
      <c r="X1884" s="2"/>
      <c r="Y1884" s="2"/>
      <c r="Z1884" s="2"/>
      <c r="AA1884" s="2"/>
      <c r="AB1884" s="2"/>
    </row>
    <row r="1885">
      <c r="A1885" s="2"/>
      <c r="B1885" s="2"/>
      <c r="C1885" s="2"/>
      <c r="D1885" s="2"/>
      <c r="E1885" s="2"/>
      <c r="F1885" s="2"/>
      <c r="G1885" s="2"/>
      <c r="H1885" s="2"/>
      <c r="I1885" s="2"/>
      <c r="J1885" s="2"/>
      <c r="K1885" s="2"/>
      <c r="L1885" s="2"/>
      <c r="M1885" s="2"/>
      <c r="N1885" s="2"/>
      <c r="O1885" s="2"/>
      <c r="P1885" s="2"/>
      <c r="Q1885" s="2"/>
      <c r="R1885" s="2"/>
      <c r="S1885" s="2"/>
      <c r="T1885" s="2"/>
      <c r="U1885" s="2"/>
      <c r="V1885" s="2"/>
      <c r="W1885" s="2"/>
      <c r="X1885" s="2"/>
      <c r="Y1885" s="2"/>
      <c r="Z1885" s="2"/>
      <c r="AA1885" s="2"/>
      <c r="AB1885" s="2"/>
    </row>
    <row r="1886">
      <c r="A1886" s="2"/>
      <c r="B1886" s="2"/>
      <c r="C1886" s="2"/>
      <c r="D1886" s="2"/>
      <c r="E1886" s="2"/>
      <c r="F1886" s="2"/>
      <c r="G1886" s="2"/>
      <c r="H1886" s="2"/>
      <c r="I1886" s="2"/>
      <c r="J1886" s="2"/>
      <c r="K1886" s="2"/>
      <c r="L1886" s="2"/>
      <c r="M1886" s="2"/>
      <c r="N1886" s="2"/>
      <c r="O1886" s="2"/>
      <c r="P1886" s="2"/>
      <c r="Q1886" s="2"/>
      <c r="R1886" s="2"/>
      <c r="S1886" s="2"/>
      <c r="T1886" s="2"/>
      <c r="U1886" s="2"/>
      <c r="V1886" s="2"/>
      <c r="W1886" s="2"/>
      <c r="X1886" s="2"/>
      <c r="Y1886" s="2"/>
      <c r="Z1886" s="2"/>
      <c r="AA1886" s="2"/>
      <c r="AB1886" s="2"/>
    </row>
    <row r="1887">
      <c r="A1887" s="2"/>
      <c r="B1887" s="2"/>
      <c r="C1887" s="2"/>
      <c r="D1887" s="2"/>
      <c r="E1887" s="2"/>
      <c r="F1887" s="2"/>
      <c r="G1887" s="2"/>
      <c r="H1887" s="2"/>
      <c r="I1887" s="2"/>
      <c r="J1887" s="2"/>
      <c r="K1887" s="2"/>
      <c r="L1887" s="2"/>
      <c r="M1887" s="2"/>
      <c r="N1887" s="2"/>
      <c r="O1887" s="2"/>
      <c r="P1887" s="2"/>
      <c r="Q1887" s="2"/>
      <c r="R1887" s="2"/>
      <c r="S1887" s="2"/>
      <c r="T1887" s="2"/>
      <c r="U1887" s="2"/>
      <c r="V1887" s="2"/>
      <c r="W1887" s="2"/>
      <c r="X1887" s="2"/>
      <c r="Y1887" s="2"/>
      <c r="Z1887" s="2"/>
      <c r="AA1887" s="2"/>
      <c r="AB1887" s="2"/>
    </row>
    <row r="1888">
      <c r="A1888" s="2"/>
      <c r="B1888" s="2"/>
      <c r="C1888" s="2"/>
      <c r="D1888" s="2"/>
      <c r="E1888" s="2"/>
      <c r="F1888" s="2"/>
      <c r="G1888" s="2"/>
      <c r="H1888" s="2"/>
      <c r="I1888" s="2"/>
      <c r="J1888" s="2"/>
      <c r="K1888" s="2"/>
      <c r="L1888" s="2"/>
      <c r="M1888" s="2"/>
      <c r="N1888" s="2"/>
      <c r="O1888" s="2"/>
      <c r="P1888" s="2"/>
      <c r="Q1888" s="2"/>
      <c r="R1888" s="2"/>
      <c r="S1888" s="2"/>
      <c r="T1888" s="2"/>
      <c r="U1888" s="2"/>
      <c r="V1888" s="2"/>
      <c r="W1888" s="2"/>
      <c r="X1888" s="2"/>
      <c r="Y1888" s="2"/>
      <c r="Z1888" s="2"/>
      <c r="AA1888" s="2"/>
      <c r="AB1888" s="2"/>
    </row>
    <row r="1889">
      <c r="A1889" s="2"/>
      <c r="B1889" s="2"/>
      <c r="C1889" s="2"/>
      <c r="D1889" s="2"/>
      <c r="E1889" s="2"/>
      <c r="F1889" s="2"/>
      <c r="G1889" s="2"/>
      <c r="H1889" s="2"/>
      <c r="I1889" s="2"/>
      <c r="J1889" s="2"/>
      <c r="K1889" s="2"/>
      <c r="L1889" s="2"/>
      <c r="M1889" s="2"/>
      <c r="N1889" s="2"/>
      <c r="O1889" s="2"/>
      <c r="P1889" s="2"/>
      <c r="Q1889" s="2"/>
      <c r="R1889" s="2"/>
      <c r="S1889" s="2"/>
      <c r="T1889" s="2"/>
      <c r="U1889" s="2"/>
      <c r="V1889" s="2"/>
      <c r="W1889" s="2"/>
      <c r="X1889" s="2"/>
      <c r="Y1889" s="2"/>
      <c r="Z1889" s="2"/>
      <c r="AA1889" s="2"/>
      <c r="AB1889" s="2"/>
    </row>
    <row r="1890">
      <c r="A1890" s="2"/>
      <c r="B1890" s="2"/>
      <c r="C1890" s="2"/>
      <c r="D1890" s="2"/>
      <c r="E1890" s="2"/>
      <c r="F1890" s="2"/>
      <c r="G1890" s="2"/>
      <c r="H1890" s="2"/>
      <c r="I1890" s="2"/>
      <c r="J1890" s="2"/>
      <c r="K1890" s="2"/>
      <c r="L1890" s="2"/>
      <c r="M1890" s="2"/>
      <c r="N1890" s="2"/>
      <c r="O1890" s="2"/>
      <c r="P1890" s="2"/>
      <c r="Q1890" s="2"/>
      <c r="R1890" s="2"/>
      <c r="S1890" s="2"/>
      <c r="T1890" s="2"/>
      <c r="U1890" s="2"/>
      <c r="V1890" s="2"/>
      <c r="W1890" s="2"/>
      <c r="X1890" s="2"/>
      <c r="Y1890" s="2"/>
      <c r="Z1890" s="2"/>
      <c r="AA1890" s="2"/>
      <c r="AB1890" s="2"/>
    </row>
    <row r="1891">
      <c r="A1891" s="2"/>
      <c r="B1891" s="2"/>
      <c r="C1891" s="2"/>
      <c r="D1891" s="2"/>
      <c r="E1891" s="2"/>
      <c r="F1891" s="2"/>
      <c r="G1891" s="2"/>
      <c r="H1891" s="2"/>
      <c r="I1891" s="2"/>
      <c r="J1891" s="2"/>
      <c r="K1891" s="2"/>
      <c r="L1891" s="2"/>
      <c r="M1891" s="2"/>
      <c r="N1891" s="2"/>
      <c r="O1891" s="2"/>
      <c r="P1891" s="2"/>
      <c r="Q1891" s="2"/>
      <c r="R1891" s="2"/>
      <c r="S1891" s="2"/>
      <c r="T1891" s="2"/>
      <c r="U1891" s="2"/>
      <c r="V1891" s="2"/>
      <c r="W1891" s="2"/>
      <c r="X1891" s="2"/>
      <c r="Y1891" s="2"/>
      <c r="Z1891" s="2"/>
      <c r="AA1891" s="2"/>
      <c r="AB1891" s="2"/>
    </row>
    <row r="1892">
      <c r="A1892" s="2"/>
      <c r="B1892" s="2"/>
      <c r="C1892" s="2"/>
      <c r="D1892" s="2"/>
      <c r="E1892" s="2"/>
      <c r="F1892" s="2"/>
      <c r="G1892" s="2"/>
      <c r="H1892" s="2"/>
      <c r="I1892" s="2"/>
      <c r="J1892" s="2"/>
      <c r="K1892" s="2"/>
      <c r="L1892" s="2"/>
      <c r="M1892" s="2"/>
      <c r="N1892" s="2"/>
      <c r="O1892" s="2"/>
      <c r="P1892" s="2"/>
      <c r="Q1892" s="2"/>
      <c r="R1892" s="2"/>
      <c r="S1892" s="2"/>
      <c r="T1892" s="2"/>
      <c r="U1892" s="2"/>
      <c r="V1892" s="2"/>
      <c r="W1892" s="2"/>
      <c r="X1892" s="2"/>
      <c r="Y1892" s="2"/>
      <c r="Z1892" s="2"/>
      <c r="AA1892" s="2"/>
      <c r="AB1892" s="2"/>
    </row>
    <row r="1893">
      <c r="A1893" s="2"/>
      <c r="B1893" s="2"/>
      <c r="C1893" s="2"/>
      <c r="D1893" s="2"/>
      <c r="E1893" s="2"/>
      <c r="F1893" s="2"/>
      <c r="G1893" s="2"/>
      <c r="H1893" s="2"/>
      <c r="I1893" s="2"/>
      <c r="J1893" s="2"/>
      <c r="K1893" s="2"/>
      <c r="L1893" s="2"/>
      <c r="M1893" s="2"/>
      <c r="N1893" s="2"/>
      <c r="O1893" s="2"/>
      <c r="P1893" s="2"/>
      <c r="Q1893" s="2"/>
      <c r="R1893" s="2"/>
      <c r="S1893" s="2"/>
      <c r="T1893" s="2"/>
      <c r="U1893" s="2"/>
      <c r="V1893" s="2"/>
      <c r="W1893" s="2"/>
      <c r="X1893" s="2"/>
      <c r="Y1893" s="2"/>
      <c r="Z1893" s="2"/>
      <c r="AA1893" s="2"/>
      <c r="AB1893" s="2"/>
    </row>
    <row r="1894">
      <c r="A1894" s="2"/>
      <c r="B1894" s="2"/>
      <c r="C1894" s="2"/>
      <c r="D1894" s="2"/>
      <c r="E1894" s="2"/>
      <c r="F1894" s="2"/>
      <c r="G1894" s="2"/>
      <c r="H1894" s="2"/>
      <c r="I1894" s="2"/>
      <c r="J1894" s="2"/>
      <c r="K1894" s="2"/>
      <c r="L1894" s="2"/>
      <c r="M1894" s="2"/>
      <c r="N1894" s="2"/>
      <c r="O1894" s="2"/>
      <c r="P1894" s="2"/>
      <c r="Q1894" s="2"/>
      <c r="R1894" s="2"/>
      <c r="S1894" s="2"/>
      <c r="T1894" s="2"/>
      <c r="U1894" s="2"/>
      <c r="V1894" s="2"/>
      <c r="W1894" s="2"/>
      <c r="X1894" s="2"/>
      <c r="Y1894" s="2"/>
      <c r="Z1894" s="2"/>
      <c r="AA1894" s="2"/>
      <c r="AB1894" s="2"/>
    </row>
    <row r="1895">
      <c r="A1895" s="2"/>
      <c r="B1895" s="2"/>
      <c r="C1895" s="2"/>
      <c r="D1895" s="2"/>
      <c r="E1895" s="2"/>
      <c r="F1895" s="2"/>
      <c r="G1895" s="2"/>
      <c r="H1895" s="2"/>
      <c r="I1895" s="2"/>
      <c r="J1895" s="2"/>
      <c r="K1895" s="2"/>
      <c r="L1895" s="2"/>
      <c r="M1895" s="2"/>
      <c r="N1895" s="2"/>
      <c r="O1895" s="2"/>
      <c r="P1895" s="2"/>
      <c r="Q1895" s="2"/>
      <c r="R1895" s="2"/>
      <c r="S1895" s="2"/>
      <c r="T1895" s="2"/>
      <c r="U1895" s="2"/>
      <c r="V1895" s="2"/>
      <c r="W1895" s="2"/>
      <c r="X1895" s="2"/>
      <c r="Y1895" s="2"/>
      <c r="Z1895" s="2"/>
      <c r="AA1895" s="2"/>
      <c r="AB1895" s="2"/>
    </row>
    <row r="1896">
      <c r="A1896" s="2"/>
      <c r="B1896" s="2"/>
      <c r="C1896" s="2"/>
      <c r="D1896" s="2"/>
      <c r="E1896" s="2"/>
      <c r="F1896" s="2"/>
      <c r="G1896" s="2"/>
      <c r="H1896" s="2"/>
      <c r="I1896" s="2"/>
      <c r="J1896" s="2"/>
      <c r="K1896" s="2"/>
      <c r="L1896" s="2"/>
      <c r="M1896" s="2"/>
      <c r="N1896" s="2"/>
      <c r="O1896" s="2"/>
      <c r="P1896" s="2"/>
      <c r="Q1896" s="2"/>
      <c r="R1896" s="2"/>
      <c r="S1896" s="2"/>
      <c r="T1896" s="2"/>
      <c r="U1896" s="2"/>
      <c r="V1896" s="2"/>
      <c r="W1896" s="2"/>
      <c r="X1896" s="2"/>
      <c r="Y1896" s="2"/>
      <c r="Z1896" s="2"/>
      <c r="AA1896" s="2"/>
      <c r="AB1896" s="2"/>
    </row>
    <row r="1897">
      <c r="A1897" s="2"/>
      <c r="B1897" s="2"/>
      <c r="C1897" s="2"/>
      <c r="D1897" s="2"/>
      <c r="E1897" s="2"/>
      <c r="F1897" s="2"/>
      <c r="G1897" s="2"/>
      <c r="H1897" s="2"/>
      <c r="I1897" s="2"/>
      <c r="J1897" s="2"/>
      <c r="K1897" s="2"/>
      <c r="L1897" s="2"/>
      <c r="M1897" s="2"/>
      <c r="N1897" s="2"/>
      <c r="O1897" s="2"/>
      <c r="P1897" s="2"/>
      <c r="Q1897" s="2"/>
      <c r="R1897" s="2"/>
      <c r="S1897" s="2"/>
      <c r="T1897" s="2"/>
      <c r="U1897" s="2"/>
      <c r="V1897" s="2"/>
      <c r="W1897" s="2"/>
      <c r="X1897" s="2"/>
      <c r="Y1897" s="2"/>
      <c r="Z1897" s="2"/>
      <c r="AA1897" s="2"/>
      <c r="AB1897" s="2"/>
    </row>
    <row r="1898">
      <c r="A1898" s="2"/>
      <c r="B1898" s="2"/>
      <c r="C1898" s="2"/>
      <c r="D1898" s="2"/>
      <c r="E1898" s="2"/>
      <c r="F1898" s="2"/>
      <c r="G1898" s="2"/>
      <c r="H1898" s="2"/>
      <c r="I1898" s="2"/>
      <c r="J1898" s="2"/>
      <c r="K1898" s="2"/>
      <c r="L1898" s="2"/>
      <c r="M1898" s="2"/>
      <c r="N1898" s="2"/>
      <c r="O1898" s="2"/>
      <c r="P1898" s="2"/>
      <c r="Q1898" s="2"/>
      <c r="R1898" s="2"/>
      <c r="S1898" s="2"/>
      <c r="T1898" s="2"/>
      <c r="U1898" s="2"/>
      <c r="V1898" s="2"/>
      <c r="W1898" s="2"/>
      <c r="X1898" s="2"/>
      <c r="Y1898" s="2"/>
      <c r="Z1898" s="2"/>
      <c r="AA1898" s="2"/>
      <c r="AB1898" s="2"/>
    </row>
    <row r="1899">
      <c r="A1899" s="2"/>
      <c r="B1899" s="2"/>
      <c r="C1899" s="2"/>
      <c r="D1899" s="2"/>
      <c r="E1899" s="2"/>
      <c r="F1899" s="2"/>
      <c r="G1899" s="2"/>
      <c r="H1899" s="2"/>
      <c r="I1899" s="2"/>
      <c r="J1899" s="2"/>
      <c r="K1899" s="2"/>
      <c r="L1899" s="2"/>
      <c r="M1899" s="2"/>
      <c r="N1899" s="2"/>
      <c r="O1899" s="2"/>
      <c r="P1899" s="2"/>
      <c r="Q1899" s="2"/>
      <c r="R1899" s="2"/>
      <c r="S1899" s="2"/>
      <c r="T1899" s="2"/>
      <c r="U1899" s="2"/>
      <c r="V1899" s="2"/>
      <c r="W1899" s="2"/>
      <c r="X1899" s="2"/>
      <c r="Y1899" s="2"/>
      <c r="Z1899" s="2"/>
      <c r="AA1899" s="2"/>
      <c r="AB1899" s="2"/>
    </row>
    <row r="1900">
      <c r="A1900" s="2"/>
      <c r="B1900" s="2"/>
      <c r="C1900" s="2"/>
      <c r="D1900" s="2"/>
      <c r="E1900" s="2"/>
      <c r="F1900" s="2"/>
      <c r="G1900" s="2"/>
      <c r="H1900" s="2"/>
      <c r="I1900" s="2"/>
      <c r="J1900" s="2"/>
      <c r="K1900" s="2"/>
      <c r="L1900" s="2"/>
      <c r="M1900" s="2"/>
      <c r="N1900" s="2"/>
      <c r="O1900" s="2"/>
      <c r="P1900" s="2"/>
      <c r="Q1900" s="2"/>
      <c r="R1900" s="2"/>
      <c r="S1900" s="2"/>
      <c r="T1900" s="2"/>
      <c r="U1900" s="2"/>
      <c r="V1900" s="2"/>
      <c r="W1900" s="2"/>
      <c r="X1900" s="2"/>
      <c r="Y1900" s="2"/>
      <c r="Z1900" s="2"/>
      <c r="AA1900" s="2"/>
      <c r="AB1900" s="2"/>
    </row>
    <row r="1901">
      <c r="A1901" s="2"/>
      <c r="B1901" s="2"/>
      <c r="C1901" s="2"/>
      <c r="D1901" s="2"/>
      <c r="E1901" s="2"/>
      <c r="F1901" s="2"/>
      <c r="G1901" s="2"/>
      <c r="H1901" s="2"/>
      <c r="I1901" s="2"/>
      <c r="J1901" s="2"/>
      <c r="K1901" s="2"/>
      <c r="L1901" s="2"/>
      <c r="M1901" s="2"/>
      <c r="N1901" s="2"/>
      <c r="O1901" s="2"/>
      <c r="P1901" s="2"/>
      <c r="Q1901" s="2"/>
      <c r="R1901" s="2"/>
      <c r="S1901" s="2"/>
      <c r="T1901" s="2"/>
      <c r="U1901" s="2"/>
      <c r="V1901" s="2"/>
      <c r="W1901" s="2"/>
      <c r="X1901" s="2"/>
      <c r="Y1901" s="2"/>
      <c r="Z1901" s="2"/>
      <c r="AA1901" s="2"/>
      <c r="AB1901" s="2"/>
    </row>
    <row r="1902">
      <c r="A1902" s="2"/>
      <c r="B1902" s="2"/>
      <c r="C1902" s="2"/>
      <c r="D1902" s="2"/>
      <c r="E1902" s="2"/>
      <c r="F1902" s="2"/>
      <c r="G1902" s="2"/>
      <c r="H1902" s="2"/>
      <c r="I1902" s="2"/>
      <c r="J1902" s="2"/>
      <c r="K1902" s="2"/>
      <c r="L1902" s="2"/>
      <c r="M1902" s="2"/>
      <c r="N1902" s="2"/>
      <c r="O1902" s="2"/>
      <c r="P1902" s="2"/>
      <c r="Q1902" s="2"/>
      <c r="R1902" s="2"/>
      <c r="S1902" s="2"/>
      <c r="T1902" s="2"/>
      <c r="U1902" s="2"/>
      <c r="V1902" s="2"/>
      <c r="W1902" s="2"/>
      <c r="X1902" s="2"/>
      <c r="Y1902" s="2"/>
      <c r="Z1902" s="2"/>
      <c r="AA1902" s="2"/>
      <c r="AB1902" s="2"/>
    </row>
    <row r="1903">
      <c r="A1903" s="2"/>
      <c r="B1903" s="2"/>
      <c r="C1903" s="2"/>
      <c r="D1903" s="2"/>
      <c r="E1903" s="2"/>
      <c r="F1903" s="2"/>
      <c r="G1903" s="2"/>
      <c r="H1903" s="2"/>
      <c r="I1903" s="2"/>
      <c r="J1903" s="2"/>
      <c r="K1903" s="2"/>
      <c r="L1903" s="2"/>
      <c r="M1903" s="2"/>
      <c r="N1903" s="2"/>
      <c r="O1903" s="2"/>
      <c r="P1903" s="2"/>
      <c r="Q1903" s="2"/>
      <c r="R1903" s="2"/>
      <c r="S1903" s="2"/>
      <c r="T1903" s="2"/>
      <c r="U1903" s="2"/>
      <c r="V1903" s="2"/>
      <c r="W1903" s="2"/>
      <c r="X1903" s="2"/>
      <c r="Y1903" s="2"/>
      <c r="Z1903" s="2"/>
      <c r="AA1903" s="2"/>
      <c r="AB1903" s="2"/>
    </row>
    <row r="1904">
      <c r="A1904" s="2"/>
      <c r="B1904" s="2"/>
      <c r="C1904" s="2"/>
      <c r="D1904" s="2"/>
      <c r="E1904" s="2"/>
      <c r="F1904" s="2"/>
      <c r="G1904" s="2"/>
      <c r="H1904" s="2"/>
      <c r="I1904" s="2"/>
      <c r="J1904" s="2"/>
      <c r="K1904" s="2"/>
      <c r="L1904" s="2"/>
      <c r="M1904" s="2"/>
      <c r="N1904" s="2"/>
      <c r="O1904" s="2"/>
      <c r="P1904" s="2"/>
      <c r="Q1904" s="2"/>
      <c r="R1904" s="2"/>
      <c r="S1904" s="2"/>
      <c r="T1904" s="2"/>
      <c r="U1904" s="2"/>
      <c r="V1904" s="2"/>
      <c r="W1904" s="2"/>
      <c r="X1904" s="2"/>
      <c r="Y1904" s="2"/>
      <c r="Z1904" s="2"/>
      <c r="AA1904" s="2"/>
      <c r="AB1904" s="2"/>
    </row>
    <row r="1905">
      <c r="A1905" s="2"/>
      <c r="B1905" s="2"/>
      <c r="C1905" s="2"/>
      <c r="D1905" s="2"/>
      <c r="E1905" s="2"/>
      <c r="F1905" s="2"/>
      <c r="G1905" s="2"/>
      <c r="H1905" s="2"/>
      <c r="I1905" s="2"/>
      <c r="J1905" s="2"/>
      <c r="K1905" s="2"/>
      <c r="L1905" s="2"/>
      <c r="M1905" s="2"/>
      <c r="N1905" s="2"/>
      <c r="O1905" s="2"/>
      <c r="P1905" s="2"/>
      <c r="Q1905" s="2"/>
      <c r="R1905" s="2"/>
      <c r="S1905" s="2"/>
      <c r="T1905" s="2"/>
      <c r="U1905" s="2"/>
      <c r="V1905" s="2"/>
      <c r="W1905" s="2"/>
      <c r="X1905" s="2"/>
      <c r="Y1905" s="2"/>
      <c r="Z1905" s="2"/>
      <c r="AA1905" s="2"/>
      <c r="AB1905" s="2"/>
    </row>
    <row r="1906">
      <c r="A1906" s="2"/>
      <c r="B1906" s="2"/>
      <c r="C1906" s="2"/>
      <c r="D1906" s="2"/>
      <c r="E1906" s="2"/>
      <c r="F1906" s="2"/>
      <c r="G1906" s="2"/>
      <c r="H1906" s="2"/>
      <c r="I1906" s="2"/>
      <c r="J1906" s="2"/>
      <c r="K1906" s="2"/>
      <c r="L1906" s="2"/>
      <c r="M1906" s="2"/>
      <c r="N1906" s="2"/>
      <c r="O1906" s="2"/>
      <c r="P1906" s="2"/>
      <c r="Q1906" s="2"/>
      <c r="R1906" s="2"/>
      <c r="S1906" s="2"/>
      <c r="T1906" s="2"/>
      <c r="U1906" s="2"/>
      <c r="V1906" s="2"/>
      <c r="W1906" s="2"/>
      <c r="X1906" s="2"/>
      <c r="Y1906" s="2"/>
      <c r="Z1906" s="2"/>
      <c r="AA1906" s="2"/>
      <c r="AB1906" s="2"/>
    </row>
    <row r="1907">
      <c r="A1907" s="2"/>
      <c r="B1907" s="2"/>
      <c r="C1907" s="2"/>
      <c r="D1907" s="2"/>
      <c r="E1907" s="2"/>
      <c r="F1907" s="2"/>
      <c r="G1907" s="2"/>
      <c r="H1907" s="2"/>
      <c r="I1907" s="2"/>
      <c r="J1907" s="2"/>
      <c r="K1907" s="2"/>
      <c r="L1907" s="2"/>
      <c r="M1907" s="2"/>
      <c r="N1907" s="2"/>
      <c r="O1907" s="2"/>
      <c r="P1907" s="2"/>
      <c r="Q1907" s="2"/>
      <c r="R1907" s="2"/>
      <c r="S1907" s="2"/>
      <c r="T1907" s="2"/>
      <c r="U1907" s="2"/>
      <c r="V1907" s="2"/>
      <c r="W1907" s="2"/>
      <c r="X1907" s="2"/>
      <c r="Y1907" s="2"/>
      <c r="Z1907" s="2"/>
      <c r="AA1907" s="2"/>
      <c r="AB1907" s="2"/>
    </row>
    <row r="1908">
      <c r="A1908" s="2"/>
      <c r="B1908" s="2"/>
      <c r="C1908" s="2"/>
      <c r="D1908" s="2"/>
      <c r="E1908" s="2"/>
      <c r="F1908" s="2"/>
      <c r="G1908" s="2"/>
      <c r="H1908" s="2"/>
      <c r="I1908" s="2"/>
      <c r="J1908" s="2"/>
      <c r="K1908" s="2"/>
      <c r="L1908" s="2"/>
      <c r="M1908" s="2"/>
      <c r="N1908" s="2"/>
      <c r="O1908" s="2"/>
      <c r="P1908" s="2"/>
      <c r="Q1908" s="2"/>
      <c r="R1908" s="2"/>
      <c r="S1908" s="2"/>
      <c r="T1908" s="2"/>
      <c r="U1908" s="2"/>
      <c r="V1908" s="2"/>
      <c r="W1908" s="2"/>
      <c r="X1908" s="2"/>
      <c r="Y1908" s="2"/>
      <c r="Z1908" s="2"/>
      <c r="AA1908" s="2"/>
      <c r="AB1908" s="2"/>
    </row>
    <row r="1909">
      <c r="A1909" s="2"/>
      <c r="B1909" s="2"/>
      <c r="C1909" s="2"/>
      <c r="D1909" s="2"/>
      <c r="E1909" s="2"/>
      <c r="F1909" s="2"/>
      <c r="G1909" s="2"/>
      <c r="H1909" s="2"/>
      <c r="I1909" s="2"/>
      <c r="J1909" s="2"/>
      <c r="K1909" s="2"/>
      <c r="L1909" s="2"/>
      <c r="M1909" s="2"/>
      <c r="N1909" s="2"/>
      <c r="O1909" s="2"/>
      <c r="P1909" s="2"/>
      <c r="Q1909" s="2"/>
      <c r="R1909" s="2"/>
      <c r="S1909" s="2"/>
      <c r="T1909" s="2"/>
      <c r="U1909" s="2"/>
      <c r="V1909" s="2"/>
      <c r="W1909" s="2"/>
      <c r="X1909" s="2"/>
      <c r="Y1909" s="2"/>
      <c r="Z1909" s="2"/>
      <c r="AA1909" s="2"/>
      <c r="AB1909" s="2"/>
    </row>
    <row r="1910">
      <c r="A1910" s="2"/>
      <c r="B1910" s="2"/>
      <c r="C1910" s="2"/>
      <c r="D1910" s="2"/>
      <c r="E1910" s="2"/>
      <c r="F1910" s="2"/>
      <c r="G1910" s="2"/>
      <c r="H1910" s="2"/>
      <c r="I1910" s="2"/>
      <c r="J1910" s="2"/>
      <c r="K1910" s="2"/>
      <c r="L1910" s="2"/>
      <c r="M1910" s="2"/>
      <c r="N1910" s="2"/>
      <c r="O1910" s="2"/>
      <c r="P1910" s="2"/>
      <c r="Q1910" s="2"/>
      <c r="R1910" s="2"/>
      <c r="S1910" s="2"/>
      <c r="T1910" s="2"/>
      <c r="U1910" s="2"/>
      <c r="V1910" s="2"/>
      <c r="W1910" s="2"/>
      <c r="X1910" s="2"/>
      <c r="Y1910" s="2"/>
      <c r="Z1910" s="2"/>
      <c r="AA1910" s="2"/>
      <c r="AB1910" s="2"/>
    </row>
    <row r="1911">
      <c r="A1911" s="2"/>
      <c r="B1911" s="2"/>
      <c r="C1911" s="2"/>
      <c r="D1911" s="2"/>
      <c r="E1911" s="2"/>
      <c r="F1911" s="2"/>
      <c r="G1911" s="2"/>
      <c r="H1911" s="2"/>
      <c r="I1911" s="2"/>
      <c r="J1911" s="2"/>
      <c r="K1911" s="2"/>
      <c r="L1911" s="2"/>
      <c r="M1911" s="2"/>
      <c r="N1911" s="2"/>
      <c r="O1911" s="2"/>
      <c r="P1911" s="2"/>
      <c r="Q1911" s="2"/>
      <c r="R1911" s="2"/>
      <c r="S1911" s="2"/>
      <c r="T1911" s="2"/>
      <c r="U1911" s="2"/>
      <c r="V1911" s="2"/>
      <c r="W1911" s="2"/>
      <c r="X1911" s="2"/>
      <c r="Y1911" s="2"/>
      <c r="Z1911" s="2"/>
      <c r="AA1911" s="2"/>
      <c r="AB1911" s="2"/>
    </row>
    <row r="1912">
      <c r="A1912" s="2"/>
      <c r="B1912" s="2"/>
      <c r="C1912" s="2"/>
      <c r="D1912" s="2"/>
      <c r="E1912" s="2"/>
      <c r="F1912" s="2"/>
      <c r="G1912" s="2"/>
      <c r="H1912" s="2"/>
      <c r="I1912" s="2"/>
      <c r="J1912" s="2"/>
      <c r="K1912" s="2"/>
      <c r="L1912" s="2"/>
      <c r="M1912" s="2"/>
      <c r="N1912" s="2"/>
      <c r="O1912" s="2"/>
      <c r="P1912" s="2"/>
      <c r="Q1912" s="2"/>
      <c r="R1912" s="2"/>
      <c r="S1912" s="2"/>
      <c r="T1912" s="2"/>
      <c r="U1912" s="2"/>
      <c r="V1912" s="2"/>
      <c r="W1912" s="2"/>
      <c r="X1912" s="2"/>
      <c r="Y1912" s="2"/>
      <c r="Z1912" s="2"/>
      <c r="AA1912" s="2"/>
      <c r="AB1912" s="2"/>
    </row>
    <row r="1913">
      <c r="A1913" s="2"/>
      <c r="B1913" s="2"/>
      <c r="C1913" s="2"/>
      <c r="D1913" s="2"/>
      <c r="E1913" s="2"/>
      <c r="F1913" s="2"/>
      <c r="G1913" s="2"/>
      <c r="H1913" s="2"/>
      <c r="I1913" s="2"/>
      <c r="J1913" s="2"/>
      <c r="K1913" s="2"/>
      <c r="L1913" s="2"/>
      <c r="M1913" s="2"/>
      <c r="N1913" s="2"/>
      <c r="O1913" s="2"/>
      <c r="P1913" s="2"/>
      <c r="Q1913" s="2"/>
      <c r="R1913" s="2"/>
      <c r="S1913" s="2"/>
      <c r="T1913" s="2"/>
      <c r="U1913" s="2"/>
      <c r="V1913" s="2"/>
      <c r="W1913" s="2"/>
      <c r="X1913" s="2"/>
      <c r="Y1913" s="2"/>
      <c r="Z1913" s="2"/>
      <c r="AA1913" s="2"/>
      <c r="AB1913" s="2"/>
    </row>
    <row r="1914">
      <c r="A1914" s="2"/>
      <c r="B1914" s="2"/>
      <c r="C1914" s="2"/>
      <c r="D1914" s="2"/>
      <c r="E1914" s="2"/>
      <c r="F1914" s="2"/>
      <c r="G1914" s="2"/>
      <c r="H1914" s="2"/>
      <c r="I1914" s="2"/>
      <c r="J1914" s="2"/>
      <c r="K1914" s="2"/>
      <c r="L1914" s="2"/>
      <c r="M1914" s="2"/>
      <c r="N1914" s="2"/>
      <c r="O1914" s="2"/>
      <c r="P1914" s="2"/>
      <c r="Q1914" s="2"/>
      <c r="R1914" s="2"/>
      <c r="S1914" s="2"/>
      <c r="T1914" s="2"/>
      <c r="U1914" s="2"/>
      <c r="V1914" s="2"/>
      <c r="W1914" s="2"/>
      <c r="X1914" s="2"/>
      <c r="Y1914" s="2"/>
      <c r="Z1914" s="2"/>
      <c r="AA1914" s="2"/>
      <c r="AB1914" s="2"/>
    </row>
    <row r="1915">
      <c r="A1915" s="2"/>
      <c r="B1915" s="2"/>
      <c r="C1915" s="2"/>
      <c r="D1915" s="2"/>
      <c r="E1915" s="2"/>
      <c r="F1915" s="2"/>
      <c r="G1915" s="2"/>
      <c r="H1915" s="2"/>
      <c r="I1915" s="2"/>
      <c r="J1915" s="2"/>
      <c r="K1915" s="2"/>
      <c r="L1915" s="2"/>
      <c r="M1915" s="2"/>
      <c r="N1915" s="2"/>
      <c r="O1915" s="2"/>
      <c r="P1915" s="2"/>
      <c r="Q1915" s="2"/>
      <c r="R1915" s="2"/>
      <c r="S1915" s="2"/>
      <c r="T1915" s="2"/>
      <c r="U1915" s="2"/>
      <c r="V1915" s="2"/>
      <c r="W1915" s="2"/>
      <c r="X1915" s="2"/>
      <c r="Y1915" s="2"/>
      <c r="Z1915" s="2"/>
      <c r="AA1915" s="2"/>
      <c r="AB1915" s="2"/>
    </row>
    <row r="1916">
      <c r="A1916" s="2"/>
      <c r="B1916" s="2"/>
      <c r="C1916" s="2"/>
      <c r="D1916" s="2"/>
      <c r="E1916" s="2"/>
      <c r="F1916" s="2"/>
      <c r="G1916" s="2"/>
      <c r="H1916" s="2"/>
      <c r="I1916" s="2"/>
      <c r="J1916" s="2"/>
      <c r="K1916" s="2"/>
      <c r="L1916" s="2"/>
      <c r="M1916" s="2"/>
      <c r="N1916" s="2"/>
      <c r="O1916" s="2"/>
      <c r="P1916" s="2"/>
      <c r="Q1916" s="2"/>
      <c r="R1916" s="2"/>
      <c r="S1916" s="2"/>
      <c r="T1916" s="2"/>
      <c r="U1916" s="2"/>
      <c r="V1916" s="2"/>
      <c r="W1916" s="2"/>
      <c r="X1916" s="2"/>
      <c r="Y1916" s="2"/>
      <c r="Z1916" s="2"/>
      <c r="AA1916" s="2"/>
      <c r="AB1916" s="2"/>
    </row>
    <row r="1917">
      <c r="A1917" s="2"/>
      <c r="B1917" s="2"/>
      <c r="C1917" s="2"/>
      <c r="D1917" s="2"/>
      <c r="E1917" s="2"/>
      <c r="F1917" s="2"/>
      <c r="G1917" s="2"/>
      <c r="H1917" s="2"/>
      <c r="I1917" s="2"/>
      <c r="J1917" s="2"/>
      <c r="K1917" s="2"/>
      <c r="L1917" s="2"/>
      <c r="M1917" s="2"/>
      <c r="N1917" s="2"/>
      <c r="O1917" s="2"/>
      <c r="P1917" s="2"/>
      <c r="Q1917" s="2"/>
      <c r="R1917" s="2"/>
      <c r="S1917" s="2"/>
      <c r="T1917" s="2"/>
      <c r="U1917" s="2"/>
      <c r="V1917" s="2"/>
      <c r="W1917" s="2"/>
      <c r="X1917" s="2"/>
      <c r="Y1917" s="2"/>
      <c r="Z1917" s="2"/>
      <c r="AA1917" s="2"/>
      <c r="AB1917" s="2"/>
    </row>
    <row r="1918">
      <c r="A1918" s="2"/>
      <c r="B1918" s="2"/>
      <c r="C1918" s="2"/>
      <c r="D1918" s="2"/>
      <c r="E1918" s="2"/>
      <c r="F1918" s="2"/>
      <c r="G1918" s="2"/>
      <c r="H1918" s="2"/>
      <c r="I1918" s="2"/>
      <c r="J1918" s="2"/>
      <c r="K1918" s="2"/>
      <c r="L1918" s="2"/>
      <c r="M1918" s="2"/>
      <c r="N1918" s="2"/>
      <c r="O1918" s="2"/>
      <c r="P1918" s="2"/>
      <c r="Q1918" s="2"/>
      <c r="R1918" s="2"/>
      <c r="S1918" s="2"/>
      <c r="T1918" s="2"/>
      <c r="U1918" s="2"/>
      <c r="V1918" s="2"/>
      <c r="W1918" s="2"/>
      <c r="X1918" s="2"/>
      <c r="Y1918" s="2"/>
      <c r="Z1918" s="2"/>
      <c r="AA1918" s="2"/>
      <c r="AB1918" s="2"/>
    </row>
    <row r="1919">
      <c r="A1919" s="2"/>
      <c r="B1919" s="2"/>
      <c r="C1919" s="2"/>
      <c r="D1919" s="2"/>
      <c r="E1919" s="2"/>
      <c r="F1919" s="2"/>
      <c r="G1919" s="2"/>
      <c r="H1919" s="2"/>
      <c r="I1919" s="2"/>
      <c r="J1919" s="2"/>
      <c r="K1919" s="2"/>
      <c r="L1919" s="2"/>
      <c r="M1919" s="2"/>
      <c r="N1919" s="2"/>
      <c r="O1919" s="2"/>
      <c r="P1919" s="2"/>
      <c r="Q1919" s="2"/>
      <c r="R1919" s="2"/>
      <c r="S1919" s="2"/>
      <c r="T1919" s="2"/>
      <c r="U1919" s="2"/>
      <c r="V1919" s="2"/>
      <c r="W1919" s="2"/>
      <c r="X1919" s="2"/>
      <c r="Y1919" s="2"/>
      <c r="Z1919" s="2"/>
      <c r="AA1919" s="2"/>
      <c r="AB1919" s="2"/>
    </row>
    <row r="1920">
      <c r="A1920" s="2"/>
      <c r="B1920" s="2"/>
      <c r="C1920" s="2"/>
      <c r="D1920" s="2"/>
      <c r="E1920" s="2"/>
      <c r="F1920" s="2"/>
      <c r="G1920" s="2"/>
      <c r="H1920" s="2"/>
      <c r="I1920" s="2"/>
      <c r="J1920" s="2"/>
      <c r="K1920" s="2"/>
      <c r="L1920" s="2"/>
      <c r="M1920" s="2"/>
      <c r="N1920" s="2"/>
      <c r="O1920" s="2"/>
      <c r="P1920" s="2"/>
      <c r="Q1920" s="2"/>
      <c r="R1920" s="2"/>
      <c r="S1920" s="2"/>
      <c r="T1920" s="2"/>
      <c r="U1920" s="2"/>
      <c r="V1920" s="2"/>
      <c r="W1920" s="2"/>
      <c r="X1920" s="2"/>
      <c r="Y1920" s="2"/>
      <c r="Z1920" s="2"/>
      <c r="AA1920" s="2"/>
      <c r="AB1920" s="2"/>
    </row>
    <row r="1921">
      <c r="A1921" s="2"/>
      <c r="B1921" s="2"/>
      <c r="C1921" s="2"/>
      <c r="D1921" s="2"/>
      <c r="E1921" s="2"/>
      <c r="F1921" s="2"/>
      <c r="G1921" s="2"/>
      <c r="H1921" s="2"/>
      <c r="I1921" s="2"/>
      <c r="J1921" s="2"/>
      <c r="K1921" s="2"/>
      <c r="L1921" s="2"/>
      <c r="M1921" s="2"/>
      <c r="N1921" s="2"/>
      <c r="O1921" s="2"/>
      <c r="P1921" s="2"/>
      <c r="Q1921" s="2"/>
      <c r="R1921" s="2"/>
      <c r="S1921" s="2"/>
      <c r="T1921" s="2"/>
      <c r="U1921" s="2"/>
      <c r="V1921" s="2"/>
      <c r="W1921" s="2"/>
      <c r="X1921" s="2"/>
      <c r="Y1921" s="2"/>
      <c r="Z1921" s="2"/>
      <c r="AA1921" s="2"/>
      <c r="AB1921" s="2"/>
    </row>
    <row r="1922">
      <c r="A1922" s="2"/>
      <c r="B1922" s="2"/>
      <c r="C1922" s="2"/>
      <c r="D1922" s="2"/>
      <c r="E1922" s="2"/>
      <c r="F1922" s="2"/>
      <c r="G1922" s="2"/>
      <c r="H1922" s="2"/>
      <c r="I1922" s="2"/>
      <c r="J1922" s="2"/>
      <c r="K1922" s="2"/>
      <c r="L1922" s="2"/>
      <c r="M1922" s="2"/>
      <c r="N1922" s="2"/>
      <c r="O1922" s="2"/>
      <c r="P1922" s="2"/>
      <c r="Q1922" s="2"/>
      <c r="R1922" s="2"/>
      <c r="S1922" s="2"/>
      <c r="T1922" s="2"/>
      <c r="U1922" s="2"/>
      <c r="V1922" s="2"/>
      <c r="W1922" s="2"/>
      <c r="X1922" s="2"/>
      <c r="Y1922" s="2"/>
      <c r="Z1922" s="2"/>
      <c r="AA1922" s="2"/>
      <c r="AB1922" s="2"/>
    </row>
    <row r="1923">
      <c r="A1923" s="2"/>
      <c r="B1923" s="2"/>
      <c r="C1923" s="2"/>
      <c r="D1923" s="2"/>
      <c r="E1923" s="2"/>
      <c r="F1923" s="2"/>
      <c r="G1923" s="2"/>
      <c r="H1923" s="2"/>
      <c r="I1923" s="2"/>
      <c r="J1923" s="2"/>
      <c r="K1923" s="2"/>
      <c r="L1923" s="2"/>
      <c r="M1923" s="2"/>
      <c r="N1923" s="2"/>
      <c r="O1923" s="2"/>
      <c r="P1923" s="2"/>
      <c r="Q1923" s="2"/>
      <c r="R1923" s="2"/>
      <c r="S1923" s="2"/>
      <c r="T1923" s="2"/>
      <c r="U1923" s="2"/>
      <c r="V1923" s="2"/>
      <c r="W1923" s="2"/>
      <c r="X1923" s="2"/>
      <c r="Y1923" s="2"/>
      <c r="Z1923" s="2"/>
      <c r="AA1923" s="2"/>
      <c r="AB1923" s="2"/>
    </row>
    <row r="1924">
      <c r="A1924" s="2"/>
      <c r="B1924" s="2"/>
      <c r="C1924" s="2"/>
      <c r="D1924" s="2"/>
      <c r="E1924" s="2"/>
      <c r="F1924" s="2"/>
      <c r="G1924" s="2"/>
      <c r="H1924" s="2"/>
      <c r="I1924" s="2"/>
      <c r="J1924" s="2"/>
      <c r="K1924" s="2"/>
      <c r="L1924" s="2"/>
      <c r="M1924" s="2"/>
      <c r="N1924" s="2"/>
      <c r="O1924" s="2"/>
      <c r="P1924" s="2"/>
      <c r="Q1924" s="2"/>
      <c r="R1924" s="2"/>
      <c r="S1924" s="2"/>
      <c r="T1924" s="2"/>
      <c r="U1924" s="2"/>
      <c r="V1924" s="2"/>
      <c r="W1924" s="2"/>
      <c r="X1924" s="2"/>
      <c r="Y1924" s="2"/>
      <c r="Z1924" s="2"/>
      <c r="AA1924" s="2"/>
      <c r="AB1924" s="2"/>
    </row>
    <row r="1925">
      <c r="A1925" s="2"/>
      <c r="B1925" s="2"/>
      <c r="C1925" s="2"/>
      <c r="D1925" s="2"/>
      <c r="E1925" s="2"/>
      <c r="F1925" s="2"/>
      <c r="G1925" s="2"/>
      <c r="H1925" s="2"/>
      <c r="I1925" s="2"/>
      <c r="J1925" s="2"/>
      <c r="K1925" s="2"/>
      <c r="L1925" s="2"/>
      <c r="M1925" s="2"/>
      <c r="N1925" s="2"/>
      <c r="O1925" s="2"/>
      <c r="P1925" s="2"/>
      <c r="Q1925" s="2"/>
      <c r="R1925" s="2"/>
      <c r="S1925" s="2"/>
      <c r="T1925" s="2"/>
      <c r="U1925" s="2"/>
      <c r="V1925" s="2"/>
      <c r="W1925" s="2"/>
      <c r="X1925" s="2"/>
      <c r="Y1925" s="2"/>
      <c r="Z1925" s="2"/>
      <c r="AA1925" s="2"/>
      <c r="AB1925" s="2"/>
    </row>
    <row r="1926">
      <c r="A1926" s="2"/>
      <c r="B1926" s="2"/>
      <c r="C1926" s="2"/>
      <c r="D1926" s="2"/>
      <c r="E1926" s="2"/>
      <c r="F1926" s="2"/>
      <c r="G1926" s="2"/>
      <c r="H1926" s="2"/>
      <c r="I1926" s="2"/>
      <c r="J1926" s="2"/>
      <c r="K1926" s="2"/>
      <c r="L1926" s="2"/>
      <c r="M1926" s="2"/>
      <c r="N1926" s="2"/>
      <c r="O1926" s="2"/>
      <c r="P1926" s="2"/>
      <c r="Q1926" s="2"/>
      <c r="R1926" s="2"/>
      <c r="S1926" s="2"/>
      <c r="T1926" s="2"/>
      <c r="U1926" s="2"/>
      <c r="V1926" s="2"/>
      <c r="W1926" s="2"/>
      <c r="X1926" s="2"/>
      <c r="Y1926" s="2"/>
      <c r="Z1926" s="2"/>
      <c r="AA1926" s="2"/>
      <c r="AB1926" s="2"/>
    </row>
    <row r="1927">
      <c r="A1927" s="2"/>
      <c r="B1927" s="2"/>
      <c r="C1927" s="2"/>
      <c r="D1927" s="2"/>
      <c r="E1927" s="2"/>
      <c r="F1927" s="2"/>
      <c r="G1927" s="2"/>
      <c r="H1927" s="2"/>
      <c r="I1927" s="2"/>
      <c r="J1927" s="2"/>
      <c r="K1927" s="2"/>
      <c r="L1927" s="2"/>
      <c r="M1927" s="2"/>
      <c r="N1927" s="2"/>
      <c r="O1927" s="2"/>
      <c r="P1927" s="2"/>
      <c r="Q1927" s="2"/>
      <c r="R1927" s="2"/>
      <c r="S1927" s="2"/>
      <c r="T1927" s="2"/>
      <c r="U1927" s="2"/>
      <c r="V1927" s="2"/>
      <c r="W1927" s="2"/>
      <c r="X1927" s="2"/>
      <c r="Y1927" s="2"/>
      <c r="Z1927" s="2"/>
      <c r="AA1927" s="2"/>
      <c r="AB1927" s="2"/>
    </row>
    <row r="1928">
      <c r="A1928" s="2"/>
      <c r="B1928" s="2"/>
      <c r="C1928" s="2"/>
      <c r="D1928" s="2"/>
      <c r="E1928" s="2"/>
      <c r="F1928" s="2"/>
      <c r="G1928" s="2"/>
      <c r="H1928" s="2"/>
      <c r="I1928" s="2"/>
      <c r="J1928" s="2"/>
      <c r="K1928" s="2"/>
      <c r="L1928" s="2"/>
      <c r="M1928" s="2"/>
      <c r="N1928" s="2"/>
      <c r="O1928" s="2"/>
      <c r="P1928" s="2"/>
      <c r="Q1928" s="2"/>
      <c r="R1928" s="2"/>
      <c r="S1928" s="2"/>
      <c r="T1928" s="2"/>
      <c r="U1928" s="2"/>
      <c r="V1928" s="2"/>
      <c r="W1928" s="2"/>
      <c r="X1928" s="2"/>
      <c r="Y1928" s="2"/>
      <c r="Z1928" s="2"/>
      <c r="AA1928" s="2"/>
      <c r="AB1928" s="2"/>
    </row>
    <row r="1929">
      <c r="A1929" s="2"/>
      <c r="B1929" s="2"/>
      <c r="C1929" s="2"/>
      <c r="D1929" s="2"/>
      <c r="E1929" s="2"/>
      <c r="F1929" s="2"/>
      <c r="G1929" s="2"/>
      <c r="H1929" s="2"/>
      <c r="I1929" s="2"/>
      <c r="J1929" s="2"/>
      <c r="K1929" s="2"/>
      <c r="L1929" s="2"/>
      <c r="M1929" s="2"/>
      <c r="N1929" s="2"/>
      <c r="O1929" s="2"/>
      <c r="P1929" s="2"/>
      <c r="Q1929" s="2"/>
      <c r="R1929" s="2"/>
      <c r="S1929" s="2"/>
      <c r="T1929" s="2"/>
      <c r="U1929" s="2"/>
      <c r="V1929" s="2"/>
      <c r="W1929" s="2"/>
      <c r="X1929" s="2"/>
      <c r="Y1929" s="2"/>
      <c r="Z1929" s="2"/>
      <c r="AA1929" s="2"/>
      <c r="AB1929" s="2"/>
    </row>
    <row r="1930">
      <c r="A1930" s="2"/>
      <c r="B1930" s="2"/>
      <c r="C1930" s="2"/>
      <c r="D1930" s="2"/>
      <c r="E1930" s="2"/>
      <c r="F1930" s="2"/>
      <c r="G1930" s="2"/>
      <c r="H1930" s="2"/>
      <c r="I1930" s="2"/>
      <c r="J1930" s="2"/>
      <c r="K1930" s="2"/>
      <c r="L1930" s="2"/>
      <c r="M1930" s="2"/>
      <c r="N1930" s="2"/>
      <c r="O1930" s="2"/>
      <c r="P1930" s="2"/>
      <c r="Q1930" s="2"/>
      <c r="R1930" s="2"/>
      <c r="S1930" s="2"/>
      <c r="T1930" s="2"/>
      <c r="U1930" s="2"/>
      <c r="V1930" s="2"/>
      <c r="W1930" s="2"/>
      <c r="X1930" s="2"/>
      <c r="Y1930" s="2"/>
      <c r="Z1930" s="2"/>
      <c r="AA1930" s="2"/>
      <c r="AB1930" s="2"/>
    </row>
    <row r="1931">
      <c r="A1931" s="2"/>
      <c r="B1931" s="2"/>
      <c r="C1931" s="2"/>
      <c r="D1931" s="2"/>
      <c r="E1931" s="2"/>
      <c r="F1931" s="2"/>
      <c r="G1931" s="2"/>
      <c r="H1931" s="2"/>
      <c r="I1931" s="2"/>
      <c r="J1931" s="2"/>
      <c r="K1931" s="2"/>
      <c r="L1931" s="2"/>
      <c r="M1931" s="2"/>
      <c r="N1931" s="2"/>
      <c r="O1931" s="2"/>
      <c r="P1931" s="2"/>
      <c r="Q1931" s="2"/>
      <c r="R1931" s="2"/>
      <c r="S1931" s="2"/>
      <c r="T1931" s="2"/>
      <c r="U1931" s="2"/>
      <c r="V1931" s="2"/>
      <c r="W1931" s="2"/>
      <c r="X1931" s="2"/>
      <c r="Y1931" s="2"/>
      <c r="Z1931" s="2"/>
      <c r="AA1931" s="2"/>
      <c r="AB1931" s="2"/>
    </row>
    <row r="1932">
      <c r="A1932" s="2"/>
      <c r="B1932" s="2"/>
      <c r="C1932" s="2"/>
      <c r="D1932" s="2"/>
      <c r="E1932" s="2"/>
      <c r="F1932" s="2"/>
      <c r="G1932" s="2"/>
      <c r="H1932" s="2"/>
      <c r="I1932" s="2"/>
      <c r="J1932" s="2"/>
      <c r="K1932" s="2"/>
      <c r="L1932" s="2"/>
      <c r="M1932" s="2"/>
      <c r="N1932" s="2"/>
      <c r="O1932" s="2"/>
      <c r="P1932" s="2"/>
      <c r="Q1932" s="2"/>
      <c r="R1932" s="2"/>
      <c r="S1932" s="2"/>
      <c r="T1932" s="2"/>
      <c r="U1932" s="2"/>
      <c r="V1932" s="2"/>
      <c r="W1932" s="2"/>
      <c r="X1932" s="2"/>
      <c r="Y1932" s="2"/>
      <c r="Z1932" s="2"/>
      <c r="AA1932" s="2"/>
      <c r="AB1932" s="2"/>
    </row>
    <row r="1933">
      <c r="A1933" s="2"/>
      <c r="B1933" s="2"/>
      <c r="C1933" s="2"/>
      <c r="D1933" s="2"/>
      <c r="E1933" s="2"/>
      <c r="F1933" s="2"/>
      <c r="G1933" s="2"/>
      <c r="H1933" s="2"/>
      <c r="I1933" s="2"/>
      <c r="J1933" s="2"/>
      <c r="K1933" s="2"/>
      <c r="L1933" s="2"/>
      <c r="M1933" s="2"/>
      <c r="N1933" s="2"/>
      <c r="O1933" s="2"/>
      <c r="P1933" s="2"/>
      <c r="Q1933" s="2"/>
      <c r="R1933" s="2"/>
      <c r="S1933" s="2"/>
      <c r="T1933" s="2"/>
      <c r="U1933" s="2"/>
      <c r="V1933" s="2"/>
      <c r="W1933" s="2"/>
      <c r="X1933" s="2"/>
      <c r="Y1933" s="2"/>
      <c r="Z1933" s="2"/>
      <c r="AA1933" s="2"/>
      <c r="AB1933" s="2"/>
    </row>
    <row r="1934">
      <c r="A1934" s="2"/>
      <c r="B1934" s="2"/>
      <c r="C1934" s="2"/>
      <c r="D1934" s="2"/>
      <c r="E1934" s="2"/>
      <c r="F1934" s="2"/>
      <c r="G1934" s="2"/>
      <c r="H1934" s="2"/>
      <c r="I1934" s="2"/>
      <c r="J1934" s="2"/>
      <c r="K1934" s="2"/>
      <c r="L1934" s="2"/>
      <c r="M1934" s="2"/>
      <c r="N1934" s="2"/>
      <c r="O1934" s="2"/>
      <c r="P1934" s="2"/>
      <c r="Q1934" s="2"/>
      <c r="R1934" s="2"/>
      <c r="S1934" s="2"/>
      <c r="T1934" s="2"/>
      <c r="U1934" s="2"/>
      <c r="V1934" s="2"/>
      <c r="W1934" s="2"/>
      <c r="X1934" s="2"/>
      <c r="Y1934" s="2"/>
      <c r="Z1934" s="2"/>
      <c r="AA1934" s="2"/>
      <c r="AB1934" s="2"/>
    </row>
    <row r="1935">
      <c r="A1935" s="2"/>
      <c r="B1935" s="2"/>
      <c r="C1935" s="2"/>
      <c r="D1935" s="2"/>
      <c r="E1935" s="2"/>
      <c r="F1935" s="2"/>
      <c r="G1935" s="2"/>
      <c r="H1935" s="2"/>
      <c r="I1935" s="2"/>
      <c r="J1935" s="2"/>
      <c r="K1935" s="2"/>
      <c r="L1935" s="2"/>
      <c r="M1935" s="2"/>
      <c r="N1935" s="2"/>
      <c r="O1935" s="2"/>
      <c r="P1935" s="2"/>
      <c r="Q1935" s="2"/>
      <c r="R1935" s="2"/>
      <c r="S1935" s="2"/>
      <c r="T1935" s="2"/>
      <c r="U1935" s="2"/>
      <c r="V1935" s="2"/>
      <c r="W1935" s="2"/>
      <c r="X1935" s="2"/>
      <c r="Y1935" s="2"/>
      <c r="Z1935" s="2"/>
      <c r="AA1935" s="2"/>
      <c r="AB1935" s="2"/>
    </row>
    <row r="1936">
      <c r="A1936" s="2"/>
      <c r="B1936" s="2"/>
      <c r="C1936" s="2"/>
      <c r="D1936" s="2"/>
      <c r="E1936" s="2"/>
      <c r="F1936" s="2"/>
      <c r="G1936" s="2"/>
      <c r="H1936" s="2"/>
      <c r="I1936" s="2"/>
      <c r="J1936" s="2"/>
      <c r="K1936" s="2"/>
      <c r="L1936" s="2"/>
      <c r="M1936" s="2"/>
      <c r="N1936" s="2"/>
      <c r="O1936" s="2"/>
      <c r="P1936" s="2"/>
      <c r="Q1936" s="2"/>
      <c r="R1936" s="2"/>
      <c r="S1936" s="2"/>
      <c r="T1936" s="2"/>
      <c r="U1936" s="2"/>
      <c r="V1936" s="2"/>
      <c r="W1936" s="2"/>
      <c r="X1936" s="2"/>
      <c r="Y1936" s="2"/>
      <c r="Z1936" s="2"/>
      <c r="AA1936" s="2"/>
      <c r="AB1936" s="2"/>
    </row>
    <row r="1937">
      <c r="A1937" s="2"/>
      <c r="B1937" s="2"/>
      <c r="C1937" s="2"/>
      <c r="D1937" s="2"/>
      <c r="E1937" s="2"/>
      <c r="F1937" s="2"/>
      <c r="G1937" s="2"/>
      <c r="H1937" s="2"/>
      <c r="I1937" s="2"/>
      <c r="J1937" s="2"/>
      <c r="K1937" s="2"/>
      <c r="L1937" s="2"/>
      <c r="M1937" s="2"/>
      <c r="N1937" s="2"/>
      <c r="O1937" s="2"/>
      <c r="P1937" s="2"/>
      <c r="Q1937" s="2"/>
      <c r="R1937" s="2"/>
      <c r="S1937" s="2"/>
      <c r="T1937" s="2"/>
      <c r="U1937" s="2"/>
      <c r="V1937" s="2"/>
      <c r="W1937" s="2"/>
      <c r="X1937" s="2"/>
      <c r="Y1937" s="2"/>
      <c r="Z1937" s="2"/>
      <c r="AA1937" s="2"/>
      <c r="AB1937" s="2"/>
    </row>
    <row r="1938">
      <c r="A1938" s="2"/>
      <c r="B1938" s="2"/>
      <c r="C1938" s="2"/>
      <c r="D1938" s="2"/>
      <c r="E1938" s="2"/>
      <c r="F1938" s="2"/>
      <c r="G1938" s="2"/>
      <c r="H1938" s="2"/>
      <c r="I1938" s="2"/>
      <c r="J1938" s="2"/>
      <c r="K1938" s="2"/>
      <c r="L1938" s="2"/>
      <c r="M1938" s="2"/>
      <c r="N1938" s="2"/>
      <c r="O1938" s="2"/>
      <c r="P1938" s="2"/>
      <c r="Q1938" s="2"/>
      <c r="R1938" s="2"/>
      <c r="S1938" s="2"/>
      <c r="T1938" s="2"/>
      <c r="U1938" s="2"/>
      <c r="V1938" s="2"/>
      <c r="W1938" s="2"/>
      <c r="X1938" s="2"/>
      <c r="Y1938" s="2"/>
      <c r="Z1938" s="2"/>
      <c r="AA1938" s="2"/>
      <c r="AB1938" s="2"/>
    </row>
    <row r="1939">
      <c r="A1939" s="2"/>
      <c r="B1939" s="2"/>
      <c r="C1939" s="2"/>
      <c r="D1939" s="2"/>
      <c r="E1939" s="2"/>
      <c r="F1939" s="2"/>
      <c r="G1939" s="2"/>
      <c r="H1939" s="2"/>
      <c r="I1939" s="2"/>
      <c r="J1939" s="2"/>
      <c r="K1939" s="2"/>
      <c r="L1939" s="2"/>
      <c r="M1939" s="2"/>
      <c r="N1939" s="2"/>
      <c r="O1939" s="2"/>
      <c r="P1939" s="2"/>
      <c r="Q1939" s="2"/>
      <c r="R1939" s="2"/>
      <c r="S1939" s="2"/>
      <c r="T1939" s="2"/>
      <c r="U1939" s="2"/>
      <c r="V1939" s="2"/>
      <c r="W1939" s="2"/>
      <c r="X1939" s="2"/>
      <c r="Y1939" s="2"/>
      <c r="Z1939" s="2"/>
      <c r="AA1939" s="2"/>
      <c r="AB1939" s="2"/>
    </row>
    <row r="1940">
      <c r="A1940" s="2"/>
      <c r="B1940" s="2"/>
      <c r="C1940" s="2"/>
      <c r="D1940" s="2"/>
      <c r="E1940" s="2"/>
      <c r="F1940" s="2"/>
      <c r="G1940" s="2"/>
      <c r="H1940" s="2"/>
      <c r="I1940" s="2"/>
      <c r="J1940" s="2"/>
      <c r="K1940" s="2"/>
      <c r="L1940" s="2"/>
      <c r="M1940" s="2"/>
      <c r="N1940" s="2"/>
      <c r="O1940" s="2"/>
      <c r="P1940" s="2"/>
      <c r="Q1940" s="2"/>
      <c r="R1940" s="2"/>
      <c r="S1940" s="2"/>
      <c r="T1940" s="2"/>
      <c r="U1940" s="2"/>
      <c r="V1940" s="2"/>
      <c r="W1940" s="2"/>
      <c r="X1940" s="2"/>
      <c r="Y1940" s="2"/>
      <c r="Z1940" s="2"/>
      <c r="AA1940" s="2"/>
      <c r="AB1940" s="2"/>
    </row>
    <row r="1941">
      <c r="A1941" s="2"/>
      <c r="B1941" s="2"/>
      <c r="C1941" s="2"/>
      <c r="D1941" s="2"/>
      <c r="E1941" s="2"/>
      <c r="F1941" s="2"/>
      <c r="G1941" s="2"/>
      <c r="H1941" s="2"/>
      <c r="I1941" s="2"/>
      <c r="J1941" s="2"/>
      <c r="K1941" s="2"/>
      <c r="L1941" s="2"/>
      <c r="M1941" s="2"/>
      <c r="N1941" s="2"/>
      <c r="O1941" s="2"/>
      <c r="P1941" s="2"/>
      <c r="Q1941" s="2"/>
      <c r="R1941" s="2"/>
      <c r="S1941" s="2"/>
      <c r="T1941" s="2"/>
      <c r="U1941" s="2"/>
      <c r="V1941" s="2"/>
      <c r="W1941" s="2"/>
      <c r="X1941" s="2"/>
      <c r="Y1941" s="2"/>
      <c r="Z1941" s="2"/>
      <c r="AA1941" s="2"/>
      <c r="AB1941" s="2"/>
    </row>
    <row r="1942">
      <c r="A1942" s="2"/>
      <c r="B1942" s="2"/>
      <c r="C1942" s="2"/>
      <c r="D1942" s="2"/>
      <c r="E1942" s="2"/>
      <c r="F1942" s="2"/>
      <c r="G1942" s="2"/>
      <c r="H1942" s="2"/>
      <c r="I1942" s="2"/>
      <c r="J1942" s="2"/>
      <c r="K1942" s="2"/>
      <c r="L1942" s="2"/>
      <c r="M1942" s="2"/>
      <c r="N1942" s="2"/>
      <c r="O1942" s="2"/>
      <c r="P1942" s="2"/>
      <c r="Q1942" s="2"/>
      <c r="R1942" s="2"/>
      <c r="S1942" s="2"/>
      <c r="T1942" s="2"/>
      <c r="U1942" s="2"/>
      <c r="V1942" s="2"/>
      <c r="W1942" s="2"/>
      <c r="X1942" s="2"/>
      <c r="Y1942" s="2"/>
      <c r="Z1942" s="2"/>
      <c r="AA1942" s="2"/>
      <c r="AB1942" s="2"/>
    </row>
    <row r="1943">
      <c r="A1943" s="2"/>
      <c r="B1943" s="2"/>
      <c r="C1943" s="2"/>
      <c r="D1943" s="2"/>
      <c r="E1943" s="2"/>
      <c r="F1943" s="2"/>
      <c r="G1943" s="2"/>
      <c r="H1943" s="2"/>
      <c r="I1943" s="2"/>
      <c r="J1943" s="2"/>
      <c r="K1943" s="2"/>
      <c r="L1943" s="2"/>
      <c r="M1943" s="2"/>
      <c r="N1943" s="2"/>
      <c r="O1943" s="2"/>
      <c r="P1943" s="2"/>
      <c r="Q1943" s="2"/>
      <c r="R1943" s="2"/>
      <c r="S1943" s="2"/>
      <c r="T1943" s="2"/>
      <c r="U1943" s="2"/>
      <c r="V1943" s="2"/>
      <c r="W1943" s="2"/>
      <c r="X1943" s="2"/>
      <c r="Y1943" s="2"/>
      <c r="Z1943" s="2"/>
      <c r="AA1943" s="2"/>
      <c r="AB1943" s="2"/>
    </row>
    <row r="1944">
      <c r="A1944" s="2"/>
      <c r="B1944" s="2"/>
      <c r="C1944" s="2"/>
      <c r="D1944" s="2"/>
      <c r="E1944" s="2"/>
      <c r="F1944" s="2"/>
      <c r="G1944" s="2"/>
      <c r="H1944" s="2"/>
      <c r="I1944" s="2"/>
      <c r="J1944" s="2"/>
      <c r="K1944" s="2"/>
      <c r="L1944" s="2"/>
      <c r="M1944" s="2"/>
      <c r="N1944" s="2"/>
      <c r="O1944" s="2"/>
      <c r="P1944" s="2"/>
      <c r="Q1944" s="2"/>
      <c r="R1944" s="2"/>
      <c r="S1944" s="2"/>
      <c r="T1944" s="2"/>
      <c r="U1944" s="2"/>
      <c r="V1944" s="2"/>
      <c r="W1944" s="2"/>
      <c r="X1944" s="2"/>
      <c r="Y1944" s="2"/>
      <c r="Z1944" s="2"/>
      <c r="AA1944" s="2"/>
      <c r="AB1944" s="2"/>
    </row>
    <row r="1945">
      <c r="A1945" s="2"/>
      <c r="B1945" s="2"/>
      <c r="C1945" s="2"/>
      <c r="D1945" s="2"/>
      <c r="E1945" s="2"/>
      <c r="F1945" s="2"/>
      <c r="G1945" s="2"/>
      <c r="H1945" s="2"/>
      <c r="I1945" s="2"/>
      <c r="J1945" s="2"/>
      <c r="K1945" s="2"/>
      <c r="L1945" s="2"/>
      <c r="M1945" s="2"/>
      <c r="N1945" s="2"/>
      <c r="O1945" s="2"/>
      <c r="P1945" s="2"/>
      <c r="Q1945" s="2"/>
      <c r="R1945" s="2"/>
      <c r="S1945" s="2"/>
      <c r="T1945" s="2"/>
      <c r="U1945" s="2"/>
      <c r="V1945" s="2"/>
      <c r="W1945" s="2"/>
      <c r="X1945" s="2"/>
      <c r="Y1945" s="2"/>
      <c r="Z1945" s="2"/>
      <c r="AA1945" s="2"/>
      <c r="AB1945" s="2"/>
    </row>
    <row r="1946">
      <c r="A1946" s="2"/>
      <c r="B1946" s="2"/>
      <c r="C1946" s="2"/>
      <c r="D1946" s="2"/>
      <c r="E1946" s="2"/>
      <c r="F1946" s="2"/>
      <c r="G1946" s="2"/>
      <c r="H1946" s="2"/>
      <c r="I1946" s="2"/>
      <c r="J1946" s="2"/>
      <c r="K1946" s="2"/>
      <c r="L1946" s="2"/>
      <c r="M1946" s="2"/>
      <c r="N1946" s="2"/>
      <c r="O1946" s="2"/>
      <c r="P1946" s="2"/>
      <c r="Q1946" s="2"/>
      <c r="R1946" s="2"/>
      <c r="S1946" s="2"/>
      <c r="T1946" s="2"/>
      <c r="U1946" s="2"/>
      <c r="V1946" s="2"/>
      <c r="W1946" s="2"/>
      <c r="X1946" s="2"/>
      <c r="Y1946" s="2"/>
      <c r="Z1946" s="2"/>
      <c r="AA1946" s="2"/>
      <c r="AB1946" s="2"/>
    </row>
    <row r="1947">
      <c r="A1947" s="2"/>
      <c r="B1947" s="2"/>
      <c r="C1947" s="2"/>
      <c r="D1947" s="2"/>
      <c r="E1947" s="2"/>
      <c r="F1947" s="2"/>
      <c r="G1947" s="2"/>
      <c r="H1947" s="2"/>
      <c r="I1947" s="2"/>
      <c r="J1947" s="2"/>
      <c r="K1947" s="2"/>
      <c r="L1947" s="2"/>
      <c r="M1947" s="2"/>
      <c r="N1947" s="2"/>
      <c r="O1947" s="2"/>
      <c r="P1947" s="2"/>
      <c r="Q1947" s="2"/>
      <c r="R1947" s="2"/>
      <c r="S1947" s="2"/>
      <c r="T1947" s="2"/>
      <c r="U1947" s="2"/>
      <c r="V1947" s="2"/>
      <c r="W1947" s="2"/>
      <c r="X1947" s="2"/>
      <c r="Y1947" s="2"/>
      <c r="Z1947" s="2"/>
      <c r="AA1947" s="2"/>
      <c r="AB1947" s="2"/>
    </row>
    <row r="1948">
      <c r="A1948" s="2"/>
      <c r="B1948" s="2"/>
      <c r="C1948" s="2"/>
      <c r="D1948" s="2"/>
      <c r="E1948" s="2"/>
      <c r="F1948" s="2"/>
      <c r="G1948" s="2"/>
      <c r="H1948" s="2"/>
      <c r="I1948" s="2"/>
      <c r="J1948" s="2"/>
      <c r="K1948" s="2"/>
      <c r="L1948" s="2"/>
      <c r="M1948" s="2"/>
      <c r="N1948" s="2"/>
      <c r="O1948" s="2"/>
      <c r="P1948" s="2"/>
      <c r="Q1948" s="2"/>
      <c r="R1948" s="2"/>
      <c r="S1948" s="2"/>
      <c r="T1948" s="2"/>
      <c r="U1948" s="2"/>
      <c r="V1948" s="2"/>
      <c r="W1948" s="2"/>
      <c r="X1948" s="2"/>
      <c r="Y1948" s="2"/>
      <c r="Z1948" s="2"/>
      <c r="AA1948" s="2"/>
      <c r="AB1948" s="2"/>
    </row>
    <row r="1949">
      <c r="A1949" s="2"/>
      <c r="B1949" s="2"/>
      <c r="C1949" s="2"/>
      <c r="D1949" s="2"/>
      <c r="E1949" s="2"/>
      <c r="F1949" s="2"/>
      <c r="G1949" s="2"/>
      <c r="H1949" s="2"/>
      <c r="I1949" s="2"/>
      <c r="J1949" s="2"/>
      <c r="K1949" s="2"/>
      <c r="L1949" s="2"/>
      <c r="M1949" s="2"/>
      <c r="N1949" s="2"/>
      <c r="O1949" s="2"/>
      <c r="P1949" s="2"/>
      <c r="Q1949" s="2"/>
      <c r="R1949" s="2"/>
      <c r="S1949" s="2"/>
      <c r="T1949" s="2"/>
      <c r="U1949" s="2"/>
      <c r="V1949" s="2"/>
      <c r="W1949" s="2"/>
      <c r="X1949" s="2"/>
      <c r="Y1949" s="2"/>
      <c r="Z1949" s="2"/>
      <c r="AA1949" s="2"/>
      <c r="AB1949" s="2"/>
    </row>
    <row r="1950">
      <c r="A1950" s="2"/>
      <c r="B1950" s="2"/>
      <c r="C1950" s="2"/>
      <c r="D1950" s="2"/>
      <c r="E1950" s="2"/>
      <c r="F1950" s="2"/>
      <c r="G1950" s="2"/>
      <c r="H1950" s="2"/>
      <c r="I1950" s="2"/>
      <c r="J1950" s="2"/>
      <c r="K1950" s="2"/>
      <c r="L1950" s="2"/>
      <c r="M1950" s="2"/>
      <c r="N1950" s="2"/>
      <c r="O1950" s="2"/>
      <c r="P1950" s="2"/>
      <c r="Q1950" s="2"/>
      <c r="R1950" s="2"/>
      <c r="S1950" s="2"/>
      <c r="T1950" s="2"/>
      <c r="U1950" s="2"/>
      <c r="V1950" s="2"/>
      <c r="W1950" s="2"/>
      <c r="X1950" s="2"/>
      <c r="Y1950" s="2"/>
      <c r="Z1950" s="2"/>
      <c r="AA1950" s="2"/>
      <c r="AB1950" s="2"/>
    </row>
    <row r="1951">
      <c r="A1951" s="2"/>
      <c r="B1951" s="2"/>
      <c r="C1951" s="2"/>
      <c r="D1951" s="2"/>
      <c r="E1951" s="2"/>
      <c r="F1951" s="2"/>
      <c r="G1951" s="2"/>
      <c r="H1951" s="2"/>
      <c r="I1951" s="2"/>
      <c r="J1951" s="2"/>
      <c r="K1951" s="2"/>
      <c r="L1951" s="2"/>
      <c r="M1951" s="2"/>
      <c r="N1951" s="2"/>
      <c r="O1951" s="2"/>
      <c r="P1951" s="2"/>
      <c r="Q1951" s="2"/>
      <c r="R1951" s="2"/>
      <c r="S1951" s="2"/>
      <c r="T1951" s="2"/>
      <c r="U1951" s="2"/>
      <c r="V1951" s="2"/>
      <c r="W1951" s="2"/>
      <c r="X1951" s="2"/>
      <c r="Y1951" s="2"/>
      <c r="Z1951" s="2"/>
      <c r="AA1951" s="2"/>
      <c r="AB1951" s="2"/>
    </row>
    <row r="1952">
      <c r="A1952" s="2"/>
      <c r="B1952" s="2"/>
      <c r="C1952" s="2"/>
      <c r="D1952" s="2"/>
      <c r="E1952" s="2"/>
      <c r="F1952" s="2"/>
      <c r="G1952" s="2"/>
      <c r="H1952" s="2"/>
      <c r="I1952" s="2"/>
      <c r="J1952" s="2"/>
      <c r="K1952" s="2"/>
      <c r="L1952" s="2"/>
      <c r="M1952" s="2"/>
      <c r="N1952" s="2"/>
      <c r="O1952" s="2"/>
      <c r="P1952" s="2"/>
      <c r="Q1952" s="2"/>
      <c r="R1952" s="2"/>
      <c r="S1952" s="2"/>
      <c r="T1952" s="2"/>
      <c r="U1952" s="2"/>
      <c r="V1952" s="2"/>
      <c r="W1952" s="2"/>
      <c r="X1952" s="2"/>
      <c r="Y1952" s="2"/>
      <c r="Z1952" s="2"/>
      <c r="AA1952" s="2"/>
      <c r="AB1952" s="2"/>
    </row>
    <row r="1953">
      <c r="A1953" s="2"/>
      <c r="B1953" s="2"/>
      <c r="C1953" s="2"/>
      <c r="D1953" s="2"/>
      <c r="E1953" s="2"/>
      <c r="F1953" s="2"/>
      <c r="G1953" s="2"/>
      <c r="H1953" s="2"/>
      <c r="I1953" s="2"/>
      <c r="J1953" s="2"/>
      <c r="K1953" s="2"/>
      <c r="L1953" s="2"/>
      <c r="M1953" s="2"/>
      <c r="N1953" s="2"/>
      <c r="O1953" s="2"/>
      <c r="P1953" s="2"/>
      <c r="Q1953" s="2"/>
      <c r="R1953" s="2"/>
      <c r="S1953" s="2"/>
      <c r="T1953" s="2"/>
      <c r="U1953" s="2"/>
      <c r="V1953" s="2"/>
      <c r="W1953" s="2"/>
      <c r="X1953" s="2"/>
      <c r="Y1953" s="2"/>
      <c r="Z1953" s="2"/>
      <c r="AA1953" s="2"/>
      <c r="AB1953" s="2"/>
    </row>
    <row r="1954">
      <c r="A1954" s="2"/>
      <c r="B1954" s="2"/>
      <c r="C1954" s="2"/>
      <c r="D1954" s="2"/>
      <c r="E1954" s="2"/>
      <c r="F1954" s="2"/>
      <c r="G1954" s="2"/>
      <c r="H1954" s="2"/>
      <c r="I1954" s="2"/>
      <c r="J1954" s="2"/>
      <c r="K1954" s="2"/>
      <c r="L1954" s="2"/>
      <c r="M1954" s="2"/>
      <c r="N1954" s="2"/>
      <c r="O1954" s="2"/>
      <c r="P1954" s="2"/>
      <c r="Q1954" s="2"/>
      <c r="R1954" s="2"/>
      <c r="S1954" s="2"/>
      <c r="T1954" s="2"/>
      <c r="U1954" s="2"/>
      <c r="V1954" s="2"/>
      <c r="W1954" s="2"/>
      <c r="X1954" s="2"/>
      <c r="Y1954" s="2"/>
      <c r="Z1954" s="2"/>
      <c r="AA1954" s="2"/>
      <c r="AB1954" s="2"/>
    </row>
    <row r="1955">
      <c r="A1955" s="2"/>
      <c r="B1955" s="2"/>
      <c r="C1955" s="2"/>
      <c r="D1955" s="2"/>
      <c r="E1955" s="2"/>
      <c r="F1955" s="2"/>
      <c r="G1955" s="2"/>
      <c r="H1955" s="2"/>
      <c r="I1955" s="2"/>
      <c r="J1955" s="2"/>
      <c r="K1955" s="2"/>
      <c r="L1955" s="2"/>
      <c r="M1955" s="2"/>
      <c r="N1955" s="2"/>
      <c r="O1955" s="2"/>
      <c r="P1955" s="2"/>
      <c r="Q1955" s="2"/>
      <c r="R1955" s="2"/>
      <c r="S1955" s="2"/>
      <c r="T1955" s="2"/>
      <c r="U1955" s="2"/>
      <c r="V1955" s="2"/>
      <c r="W1955" s="2"/>
      <c r="X1955" s="2"/>
      <c r="Y1955" s="2"/>
      <c r="Z1955" s="2"/>
      <c r="AA1955" s="2"/>
      <c r="AB1955" s="2"/>
    </row>
    <row r="1956">
      <c r="A1956" s="2"/>
      <c r="B1956" s="2"/>
      <c r="C1956" s="2"/>
      <c r="D1956" s="2"/>
      <c r="E1956" s="2"/>
      <c r="F1956" s="2"/>
      <c r="G1956" s="2"/>
      <c r="H1956" s="2"/>
      <c r="I1956" s="2"/>
      <c r="J1956" s="2"/>
      <c r="K1956" s="2"/>
      <c r="L1956" s="2"/>
      <c r="M1956" s="2"/>
      <c r="N1956" s="2"/>
      <c r="O1956" s="2"/>
      <c r="P1956" s="2"/>
      <c r="Q1956" s="2"/>
      <c r="R1956" s="2"/>
      <c r="S1956" s="2"/>
      <c r="T1956" s="2"/>
      <c r="U1956" s="2"/>
      <c r="V1956" s="2"/>
      <c r="W1956" s="2"/>
      <c r="X1956" s="2"/>
      <c r="Y1956" s="2"/>
      <c r="Z1956" s="2"/>
      <c r="AA1956" s="2"/>
      <c r="AB1956" s="2"/>
    </row>
    <row r="1957">
      <c r="A1957" s="2"/>
      <c r="B1957" s="2"/>
      <c r="C1957" s="2"/>
      <c r="D1957" s="2"/>
      <c r="E1957" s="2"/>
      <c r="F1957" s="2"/>
      <c r="G1957" s="2"/>
      <c r="H1957" s="2"/>
      <c r="I1957" s="2"/>
      <c r="J1957" s="2"/>
      <c r="K1957" s="2"/>
      <c r="L1957" s="2"/>
      <c r="M1957" s="2"/>
      <c r="N1957" s="2"/>
      <c r="O1957" s="2"/>
      <c r="P1957" s="2"/>
      <c r="Q1957" s="2"/>
      <c r="R1957" s="2"/>
      <c r="S1957" s="2"/>
      <c r="T1957" s="2"/>
      <c r="U1957" s="2"/>
      <c r="V1957" s="2"/>
      <c r="W1957" s="2"/>
      <c r="X1957" s="2"/>
      <c r="Y1957" s="2"/>
      <c r="Z1957" s="2"/>
      <c r="AA1957" s="2"/>
      <c r="AB1957" s="2"/>
    </row>
    <row r="1958">
      <c r="A1958" s="2"/>
      <c r="B1958" s="2"/>
      <c r="C1958" s="2"/>
      <c r="D1958" s="2"/>
      <c r="E1958" s="2"/>
      <c r="F1958" s="2"/>
      <c r="G1958" s="2"/>
      <c r="H1958" s="2"/>
      <c r="I1958" s="2"/>
      <c r="J1958" s="2"/>
      <c r="K1958" s="2"/>
      <c r="L1958" s="2"/>
      <c r="M1958" s="2"/>
      <c r="N1958" s="2"/>
      <c r="O1958" s="2"/>
      <c r="P1958" s="2"/>
      <c r="Q1958" s="2"/>
      <c r="R1958" s="2"/>
      <c r="S1958" s="2"/>
      <c r="T1958" s="2"/>
      <c r="U1958" s="2"/>
      <c r="V1958" s="2"/>
      <c r="W1958" s="2"/>
      <c r="X1958" s="2"/>
      <c r="Y1958" s="2"/>
      <c r="Z1958" s="2"/>
      <c r="AA1958" s="2"/>
      <c r="AB1958" s="2"/>
    </row>
    <row r="1959">
      <c r="A1959" s="2"/>
      <c r="B1959" s="2"/>
      <c r="C1959" s="2"/>
      <c r="D1959" s="2"/>
      <c r="E1959" s="2"/>
      <c r="F1959" s="2"/>
      <c r="G1959" s="2"/>
      <c r="H1959" s="2"/>
      <c r="I1959" s="2"/>
      <c r="J1959" s="2"/>
      <c r="K1959" s="2"/>
      <c r="L1959" s="2"/>
      <c r="M1959" s="2"/>
      <c r="N1959" s="2"/>
      <c r="O1959" s="2"/>
      <c r="P1959" s="2"/>
      <c r="Q1959" s="2"/>
      <c r="R1959" s="2"/>
      <c r="S1959" s="2"/>
      <c r="T1959" s="2"/>
      <c r="U1959" s="2"/>
      <c r="V1959" s="2"/>
      <c r="W1959" s="2"/>
      <c r="X1959" s="2"/>
      <c r="Y1959" s="2"/>
      <c r="Z1959" s="2"/>
      <c r="AA1959" s="2"/>
      <c r="AB1959" s="2"/>
    </row>
    <row r="1960">
      <c r="A1960" s="2"/>
      <c r="B1960" s="2"/>
      <c r="C1960" s="2"/>
      <c r="D1960" s="2"/>
      <c r="E1960" s="2"/>
      <c r="F1960" s="2"/>
      <c r="G1960" s="2"/>
      <c r="H1960" s="2"/>
      <c r="I1960" s="2"/>
      <c r="J1960" s="2"/>
      <c r="K1960" s="2"/>
      <c r="L1960" s="2"/>
      <c r="M1960" s="2"/>
      <c r="N1960" s="2"/>
      <c r="O1960" s="2"/>
      <c r="P1960" s="2"/>
      <c r="Q1960" s="2"/>
      <c r="R1960" s="2"/>
      <c r="S1960" s="2"/>
      <c r="T1960" s="2"/>
      <c r="U1960" s="2"/>
      <c r="V1960" s="2"/>
      <c r="W1960" s="2"/>
      <c r="X1960" s="2"/>
      <c r="Y1960" s="2"/>
      <c r="Z1960" s="2"/>
      <c r="AA1960" s="2"/>
      <c r="AB1960" s="2"/>
    </row>
    <row r="1961">
      <c r="A1961" s="2"/>
      <c r="B1961" s="2"/>
      <c r="C1961" s="2"/>
      <c r="D1961" s="2"/>
      <c r="E1961" s="2"/>
      <c r="F1961" s="2"/>
      <c r="G1961" s="2"/>
      <c r="H1961" s="2"/>
      <c r="I1961" s="2"/>
      <c r="J1961" s="2"/>
      <c r="K1961" s="2"/>
      <c r="L1961" s="2"/>
      <c r="M1961" s="2"/>
      <c r="N1961" s="2"/>
      <c r="O1961" s="2"/>
      <c r="P1961" s="2"/>
      <c r="Q1961" s="2"/>
      <c r="R1961" s="2"/>
      <c r="S1961" s="2"/>
      <c r="T1961" s="2"/>
      <c r="U1961" s="2"/>
      <c r="V1961" s="2"/>
      <c r="W1961" s="2"/>
      <c r="X1961" s="2"/>
      <c r="Y1961" s="2"/>
      <c r="Z1961" s="2"/>
      <c r="AA1961" s="2"/>
      <c r="AB1961" s="2"/>
    </row>
    <row r="1962">
      <c r="A1962" s="2"/>
      <c r="B1962" s="2"/>
      <c r="C1962" s="2"/>
      <c r="D1962" s="2"/>
      <c r="E1962" s="2"/>
      <c r="F1962" s="2"/>
      <c r="G1962" s="2"/>
      <c r="H1962" s="2"/>
      <c r="I1962" s="2"/>
      <c r="J1962" s="2"/>
      <c r="K1962" s="2"/>
      <c r="L1962" s="2"/>
      <c r="M1962" s="2"/>
      <c r="N1962" s="2"/>
      <c r="O1962" s="2"/>
      <c r="P1962" s="2"/>
      <c r="Q1962" s="2"/>
      <c r="R1962" s="2"/>
      <c r="S1962" s="2"/>
      <c r="T1962" s="2"/>
      <c r="U1962" s="2"/>
      <c r="V1962" s="2"/>
      <c r="W1962" s="2"/>
      <c r="X1962" s="2"/>
      <c r="Y1962" s="2"/>
      <c r="Z1962" s="2"/>
      <c r="AA1962" s="2"/>
      <c r="AB1962" s="2"/>
    </row>
    <row r="1963">
      <c r="A1963" s="2"/>
      <c r="B1963" s="2"/>
      <c r="C1963" s="2"/>
      <c r="D1963" s="2"/>
      <c r="E1963" s="2"/>
      <c r="F1963" s="2"/>
      <c r="G1963" s="2"/>
      <c r="H1963" s="2"/>
      <c r="I1963" s="2"/>
      <c r="J1963" s="2"/>
      <c r="K1963" s="2"/>
      <c r="L1963" s="2"/>
      <c r="M1963" s="2"/>
      <c r="N1963" s="2"/>
      <c r="O1963" s="2"/>
      <c r="P1963" s="2"/>
      <c r="Q1963" s="2"/>
      <c r="R1963" s="2"/>
      <c r="S1963" s="2"/>
      <c r="T1963" s="2"/>
      <c r="U1963" s="2"/>
      <c r="V1963" s="2"/>
      <c r="W1963" s="2"/>
      <c r="X1963" s="2"/>
      <c r="Y1963" s="2"/>
      <c r="Z1963" s="2"/>
      <c r="AA1963" s="2"/>
      <c r="AB1963" s="2"/>
    </row>
    <row r="1964">
      <c r="A1964" s="2"/>
      <c r="B1964" s="2"/>
      <c r="C1964" s="2"/>
      <c r="D1964" s="2"/>
      <c r="E1964" s="2"/>
      <c r="F1964" s="2"/>
      <c r="G1964" s="2"/>
      <c r="H1964" s="2"/>
      <c r="I1964" s="2"/>
      <c r="J1964" s="2"/>
      <c r="K1964" s="2"/>
      <c r="L1964" s="2"/>
      <c r="M1964" s="2"/>
      <c r="N1964" s="2"/>
      <c r="O1964" s="2"/>
      <c r="P1964" s="2"/>
      <c r="Q1964" s="2"/>
      <c r="R1964" s="2"/>
      <c r="S1964" s="2"/>
      <c r="T1964" s="2"/>
      <c r="U1964" s="2"/>
      <c r="V1964" s="2"/>
      <c r="W1964" s="2"/>
      <c r="X1964" s="2"/>
      <c r="Y1964" s="2"/>
      <c r="Z1964" s="2"/>
      <c r="AA1964" s="2"/>
      <c r="AB1964" s="2"/>
    </row>
    <row r="1965">
      <c r="A1965" s="2"/>
      <c r="B1965" s="2"/>
      <c r="C1965" s="2"/>
      <c r="D1965" s="2"/>
      <c r="E1965" s="2"/>
      <c r="F1965" s="2"/>
      <c r="G1965" s="2"/>
      <c r="H1965" s="2"/>
      <c r="I1965" s="2"/>
      <c r="J1965" s="2"/>
      <c r="K1965" s="2"/>
      <c r="L1965" s="2"/>
      <c r="M1965" s="2"/>
      <c r="N1965" s="2"/>
      <c r="O1965" s="2"/>
      <c r="P1965" s="2"/>
      <c r="Q1965" s="2"/>
      <c r="R1965" s="2"/>
      <c r="S1965" s="2"/>
      <c r="T1965" s="2"/>
      <c r="U1965" s="2"/>
      <c r="V1965" s="2"/>
      <c r="W1965" s="2"/>
      <c r="X1965" s="2"/>
      <c r="Y1965" s="2"/>
      <c r="Z1965" s="2"/>
      <c r="AA1965" s="2"/>
      <c r="AB1965" s="2"/>
    </row>
    <row r="1966">
      <c r="A1966" s="2"/>
      <c r="B1966" s="2"/>
      <c r="C1966" s="2"/>
      <c r="D1966" s="2"/>
      <c r="E1966" s="2"/>
      <c r="F1966" s="2"/>
      <c r="G1966" s="2"/>
      <c r="H1966" s="2"/>
      <c r="I1966" s="2"/>
      <c r="J1966" s="2"/>
      <c r="K1966" s="2"/>
      <c r="L1966" s="2"/>
      <c r="M1966" s="2"/>
      <c r="N1966" s="2"/>
      <c r="O1966" s="2"/>
      <c r="P1966" s="2"/>
      <c r="Q1966" s="2"/>
      <c r="R1966" s="2"/>
      <c r="S1966" s="2"/>
      <c r="T1966" s="2"/>
      <c r="U1966" s="2"/>
      <c r="V1966" s="2"/>
      <c r="W1966" s="2"/>
      <c r="X1966" s="2"/>
      <c r="Y1966" s="2"/>
      <c r="Z1966" s="2"/>
      <c r="AA1966" s="2"/>
      <c r="AB1966" s="2"/>
    </row>
    <row r="1967">
      <c r="A1967" s="2"/>
      <c r="B1967" s="2"/>
      <c r="C1967" s="2"/>
      <c r="D1967" s="2"/>
      <c r="E1967" s="2"/>
      <c r="F1967" s="2"/>
      <c r="G1967" s="2"/>
      <c r="H1967" s="2"/>
      <c r="I1967" s="2"/>
      <c r="J1967" s="2"/>
      <c r="K1967" s="2"/>
      <c r="L1967" s="2"/>
      <c r="M1967" s="2"/>
      <c r="N1967" s="2"/>
      <c r="O1967" s="2"/>
      <c r="P1967" s="2"/>
      <c r="Q1967" s="2"/>
      <c r="R1967" s="2"/>
      <c r="S1967" s="2"/>
      <c r="T1967" s="2"/>
      <c r="U1967" s="2"/>
      <c r="V1967" s="2"/>
      <c r="W1967" s="2"/>
      <c r="X1967" s="2"/>
      <c r="Y1967" s="2"/>
      <c r="Z1967" s="2"/>
      <c r="AA1967" s="2"/>
      <c r="AB1967" s="2"/>
    </row>
    <row r="1968">
      <c r="A1968" s="2"/>
      <c r="B1968" s="2"/>
      <c r="C1968" s="2"/>
      <c r="D1968" s="2"/>
      <c r="E1968" s="2"/>
      <c r="F1968" s="2"/>
      <c r="G1968" s="2"/>
      <c r="H1968" s="2"/>
      <c r="I1968" s="2"/>
      <c r="J1968" s="2"/>
      <c r="K1968" s="2"/>
      <c r="L1968" s="2"/>
      <c r="M1968" s="2"/>
      <c r="N1968" s="2"/>
      <c r="O1968" s="2"/>
      <c r="P1968" s="2"/>
      <c r="Q1968" s="2"/>
      <c r="R1968" s="2"/>
      <c r="S1968" s="2"/>
      <c r="T1968" s="2"/>
      <c r="U1968" s="2"/>
      <c r="V1968" s="2"/>
      <c r="W1968" s="2"/>
      <c r="X1968" s="2"/>
      <c r="Y1968" s="2"/>
      <c r="Z1968" s="2"/>
      <c r="AA1968" s="2"/>
      <c r="AB1968" s="2"/>
    </row>
    <row r="1969">
      <c r="A1969" s="2"/>
      <c r="B1969" s="2"/>
      <c r="C1969" s="2"/>
      <c r="D1969" s="2"/>
      <c r="E1969" s="2"/>
      <c r="F1969" s="2"/>
      <c r="G1969" s="2"/>
      <c r="H1969" s="2"/>
      <c r="I1969" s="2"/>
      <c r="J1969" s="2"/>
      <c r="K1969" s="2"/>
      <c r="L1969" s="2"/>
      <c r="M1969" s="2"/>
      <c r="N1969" s="2"/>
      <c r="O1969" s="2"/>
      <c r="P1969" s="2"/>
      <c r="Q1969" s="2"/>
      <c r="R1969" s="2"/>
      <c r="S1969" s="2"/>
      <c r="T1969" s="2"/>
      <c r="U1969" s="2"/>
      <c r="V1969" s="2"/>
      <c r="W1969" s="2"/>
      <c r="X1969" s="2"/>
      <c r="Y1969" s="2"/>
      <c r="Z1969" s="2"/>
      <c r="AA1969" s="2"/>
      <c r="AB1969" s="2"/>
    </row>
    <row r="1970">
      <c r="A1970" s="2"/>
      <c r="B1970" s="2"/>
      <c r="C1970" s="2"/>
      <c r="D1970" s="2"/>
      <c r="E1970" s="2"/>
      <c r="F1970" s="2"/>
      <c r="G1970" s="2"/>
      <c r="H1970" s="2"/>
      <c r="I1970" s="2"/>
      <c r="J1970" s="2"/>
      <c r="K1970" s="2"/>
      <c r="L1970" s="2"/>
      <c r="M1970" s="2"/>
      <c r="N1970" s="2"/>
      <c r="O1970" s="2"/>
      <c r="P1970" s="2"/>
      <c r="Q1970" s="2"/>
      <c r="R1970" s="2"/>
      <c r="S1970" s="2"/>
      <c r="T1970" s="2"/>
      <c r="U1970" s="2"/>
      <c r="V1970" s="2"/>
      <c r="W1970" s="2"/>
      <c r="X1970" s="2"/>
      <c r="Y1970" s="2"/>
      <c r="Z1970" s="2"/>
      <c r="AA1970" s="2"/>
      <c r="AB1970" s="2"/>
    </row>
    <row r="1971">
      <c r="A1971" s="2"/>
      <c r="B1971" s="2"/>
      <c r="C1971" s="2"/>
      <c r="D1971" s="2"/>
      <c r="E1971" s="2"/>
      <c r="F1971" s="2"/>
      <c r="G1971" s="2"/>
      <c r="H1971" s="2"/>
      <c r="I1971" s="2"/>
      <c r="J1971" s="2"/>
      <c r="K1971" s="2"/>
      <c r="L1971" s="2"/>
      <c r="M1971" s="2"/>
      <c r="N1971" s="2"/>
      <c r="O1971" s="2"/>
      <c r="P1971" s="2"/>
      <c r="Q1971" s="2"/>
      <c r="R1971" s="2"/>
      <c r="S1971" s="2"/>
      <c r="T1971" s="2"/>
      <c r="U1971" s="2"/>
      <c r="V1971" s="2"/>
      <c r="W1971" s="2"/>
      <c r="X1971" s="2"/>
      <c r="Y1971" s="2"/>
      <c r="Z1971" s="2"/>
      <c r="AA1971" s="2"/>
      <c r="AB1971" s="2"/>
    </row>
    <row r="1972">
      <c r="A1972" s="2"/>
      <c r="B1972" s="2"/>
      <c r="C1972" s="2"/>
      <c r="D1972" s="2"/>
      <c r="E1972" s="2"/>
      <c r="F1972" s="2"/>
      <c r="G1972" s="2"/>
      <c r="H1972" s="2"/>
      <c r="I1972" s="2"/>
      <c r="J1972" s="2"/>
      <c r="K1972" s="2"/>
      <c r="L1972" s="2"/>
      <c r="M1972" s="2"/>
      <c r="N1972" s="2"/>
      <c r="O1972" s="2"/>
      <c r="P1972" s="2"/>
      <c r="Q1972" s="2"/>
      <c r="R1972" s="2"/>
      <c r="S1972" s="2"/>
      <c r="T1972" s="2"/>
      <c r="U1972" s="2"/>
      <c r="V1972" s="2"/>
      <c r="W1972" s="2"/>
      <c r="X1972" s="2"/>
      <c r="Y1972" s="2"/>
      <c r="Z1972" s="2"/>
      <c r="AA1972" s="2"/>
      <c r="AB1972" s="2"/>
    </row>
    <row r="1973">
      <c r="A1973" s="2"/>
      <c r="B1973" s="2"/>
      <c r="C1973" s="2"/>
      <c r="D1973" s="2"/>
      <c r="E1973" s="2"/>
      <c r="F1973" s="2"/>
      <c r="G1973" s="2"/>
      <c r="H1973" s="2"/>
      <c r="I1973" s="2"/>
      <c r="J1973" s="2"/>
      <c r="K1973" s="2"/>
      <c r="L1973" s="2"/>
      <c r="M1973" s="2"/>
      <c r="N1973" s="2"/>
      <c r="O1973" s="2"/>
      <c r="P1973" s="2"/>
      <c r="Q1973" s="2"/>
      <c r="R1973" s="2"/>
      <c r="S1973" s="2"/>
      <c r="T1973" s="2"/>
      <c r="U1973" s="2"/>
      <c r="V1973" s="2"/>
      <c r="W1973" s="2"/>
      <c r="X1973" s="2"/>
      <c r="Y1973" s="2"/>
      <c r="Z1973" s="2"/>
      <c r="AA1973" s="2"/>
      <c r="AB1973" s="2"/>
    </row>
    <row r="1974">
      <c r="A1974" s="2"/>
      <c r="B1974" s="2"/>
      <c r="C1974" s="2"/>
      <c r="D1974" s="2"/>
      <c r="E1974" s="2"/>
      <c r="F1974" s="2"/>
      <c r="G1974" s="2"/>
      <c r="H1974" s="2"/>
      <c r="I1974" s="2"/>
      <c r="J1974" s="2"/>
      <c r="K1974" s="2"/>
      <c r="L1974" s="2"/>
      <c r="M1974" s="2"/>
      <c r="N1974" s="2"/>
      <c r="O1974" s="2"/>
      <c r="P1974" s="2"/>
      <c r="Q1974" s="2"/>
      <c r="R1974" s="2"/>
      <c r="S1974" s="2"/>
      <c r="T1974" s="2"/>
      <c r="U1974" s="2"/>
      <c r="V1974" s="2"/>
      <c r="W1974" s="2"/>
      <c r="X1974" s="2"/>
      <c r="Y1974" s="2"/>
      <c r="Z1974" s="2"/>
      <c r="AA1974" s="2"/>
      <c r="AB1974" s="2"/>
    </row>
    <row r="1975">
      <c r="A1975" s="2"/>
      <c r="B1975" s="2"/>
      <c r="C1975" s="2"/>
      <c r="D1975" s="2"/>
      <c r="E1975" s="2"/>
      <c r="F1975" s="2"/>
      <c r="G1975" s="2"/>
      <c r="H1975" s="2"/>
      <c r="I1975" s="2"/>
      <c r="J1975" s="2"/>
      <c r="K1975" s="2"/>
      <c r="L1975" s="2"/>
      <c r="M1975" s="2"/>
      <c r="N1975" s="2"/>
      <c r="O1975" s="2"/>
      <c r="P1975" s="2"/>
      <c r="Q1975" s="2"/>
      <c r="R1975" s="2"/>
      <c r="S1975" s="2"/>
      <c r="T1975" s="2"/>
      <c r="U1975" s="2"/>
      <c r="V1975" s="2"/>
      <c r="W1975" s="2"/>
      <c r="X1975" s="2"/>
      <c r="Y1975" s="2"/>
      <c r="Z1975" s="2"/>
      <c r="AA1975" s="2"/>
      <c r="AB1975" s="2"/>
    </row>
    <row r="1976">
      <c r="A1976" s="2"/>
      <c r="B1976" s="2"/>
      <c r="C1976" s="2"/>
      <c r="D1976" s="2"/>
      <c r="E1976" s="2"/>
      <c r="F1976" s="2"/>
      <c r="G1976" s="2"/>
      <c r="H1976" s="2"/>
      <c r="I1976" s="2"/>
      <c r="J1976" s="2"/>
      <c r="K1976" s="2"/>
      <c r="L1976" s="2"/>
      <c r="M1976" s="2"/>
      <c r="N1976" s="2"/>
      <c r="O1976" s="2"/>
      <c r="P1976" s="2"/>
      <c r="Q1976" s="2"/>
      <c r="R1976" s="2"/>
      <c r="S1976" s="2"/>
      <c r="T1976" s="2"/>
      <c r="U1976" s="2"/>
      <c r="V1976" s="2"/>
      <c r="W1976" s="2"/>
      <c r="X1976" s="2"/>
      <c r="Y1976" s="2"/>
      <c r="Z1976" s="2"/>
      <c r="AA1976" s="2"/>
      <c r="AB1976" s="2"/>
    </row>
    <row r="1977">
      <c r="A1977" s="2"/>
      <c r="B1977" s="2"/>
      <c r="C1977" s="2"/>
      <c r="D1977" s="2"/>
      <c r="E1977" s="2"/>
      <c r="F1977" s="2"/>
      <c r="G1977" s="2"/>
      <c r="H1977" s="2"/>
      <c r="I1977" s="2"/>
      <c r="J1977" s="2"/>
      <c r="K1977" s="2"/>
      <c r="L1977" s="2"/>
      <c r="M1977" s="2"/>
      <c r="N1977" s="2"/>
      <c r="O1977" s="2"/>
      <c r="P1977" s="2"/>
      <c r="Q1977" s="2"/>
      <c r="R1977" s="2"/>
      <c r="S1977" s="2"/>
      <c r="T1977" s="2"/>
      <c r="U1977" s="2"/>
      <c r="V1977" s="2"/>
      <c r="W1977" s="2"/>
      <c r="X1977" s="2"/>
      <c r="Y1977" s="2"/>
      <c r="Z1977" s="2"/>
      <c r="AA1977" s="2"/>
      <c r="AB1977" s="2"/>
    </row>
    <row r="1978">
      <c r="A1978" s="2"/>
      <c r="B1978" s="2"/>
      <c r="C1978" s="2"/>
      <c r="D1978" s="2"/>
      <c r="E1978" s="2"/>
      <c r="F1978" s="2"/>
      <c r="G1978" s="2"/>
      <c r="H1978" s="2"/>
      <c r="I1978" s="2"/>
      <c r="J1978" s="2"/>
      <c r="K1978" s="2"/>
      <c r="L1978" s="2"/>
      <c r="M1978" s="2"/>
      <c r="N1978" s="2"/>
      <c r="O1978" s="2"/>
      <c r="P1978" s="2"/>
      <c r="Q1978" s="2"/>
      <c r="R1978" s="2"/>
      <c r="S1978" s="2"/>
      <c r="T1978" s="2"/>
      <c r="U1978" s="2"/>
      <c r="V1978" s="2"/>
      <c r="W1978" s="2"/>
      <c r="X1978" s="2"/>
      <c r="Y1978" s="2"/>
      <c r="Z1978" s="2"/>
      <c r="AA1978" s="2"/>
      <c r="AB1978" s="2"/>
    </row>
    <row r="1979">
      <c r="A1979" s="2"/>
      <c r="B1979" s="2"/>
      <c r="C1979" s="2"/>
      <c r="D1979" s="2"/>
      <c r="E1979" s="2"/>
      <c r="F1979" s="2"/>
      <c r="G1979" s="2"/>
      <c r="H1979" s="2"/>
      <c r="I1979" s="2"/>
      <c r="J1979" s="2"/>
      <c r="K1979" s="2"/>
      <c r="L1979" s="2"/>
      <c r="M1979" s="2"/>
      <c r="N1979" s="2"/>
      <c r="O1979" s="2"/>
      <c r="P1979" s="2"/>
      <c r="Q1979" s="2"/>
      <c r="R1979" s="2"/>
      <c r="S1979" s="2"/>
      <c r="T1979" s="2"/>
      <c r="U1979" s="2"/>
      <c r="V1979" s="2"/>
      <c r="W1979" s="2"/>
      <c r="X1979" s="2"/>
      <c r="Y1979" s="2"/>
      <c r="Z1979" s="2"/>
      <c r="AA1979" s="2"/>
      <c r="AB1979" s="2"/>
    </row>
    <row r="1980">
      <c r="A1980" s="2"/>
      <c r="B1980" s="2"/>
      <c r="C1980" s="2"/>
      <c r="D1980" s="2"/>
      <c r="E1980" s="2"/>
      <c r="F1980" s="2"/>
      <c r="G1980" s="2"/>
      <c r="H1980" s="2"/>
      <c r="I1980" s="2"/>
      <c r="J1980" s="2"/>
      <c r="K1980" s="2"/>
      <c r="L1980" s="2"/>
      <c r="M1980" s="2"/>
      <c r="N1980" s="2"/>
      <c r="O1980" s="2"/>
      <c r="P1980" s="2"/>
      <c r="Q1980" s="2"/>
      <c r="R1980" s="2"/>
      <c r="S1980" s="2"/>
      <c r="T1980" s="2"/>
      <c r="U1980" s="2"/>
      <c r="V1980" s="2"/>
      <c r="W1980" s="2"/>
      <c r="X1980" s="2"/>
      <c r="Y1980" s="2"/>
      <c r="Z1980" s="2"/>
      <c r="AA1980" s="2"/>
      <c r="AB1980" s="2"/>
    </row>
    <row r="1981">
      <c r="A1981" s="2"/>
      <c r="B1981" s="2"/>
      <c r="C1981" s="2"/>
      <c r="D1981" s="2"/>
      <c r="E1981" s="2"/>
      <c r="F1981" s="2"/>
      <c r="G1981" s="2"/>
      <c r="H1981" s="2"/>
      <c r="I1981" s="2"/>
      <c r="J1981" s="2"/>
      <c r="K1981" s="2"/>
      <c r="L1981" s="2"/>
      <c r="M1981" s="2"/>
      <c r="N1981" s="2"/>
      <c r="O1981" s="2"/>
      <c r="P1981" s="2"/>
      <c r="Q1981" s="2"/>
      <c r="R1981" s="2"/>
      <c r="S1981" s="2"/>
      <c r="T1981" s="2"/>
      <c r="U1981" s="2"/>
      <c r="V1981" s="2"/>
      <c r="W1981" s="2"/>
      <c r="X1981" s="2"/>
      <c r="Y1981" s="2"/>
      <c r="Z1981" s="2"/>
      <c r="AA1981" s="2"/>
      <c r="AB1981" s="2"/>
    </row>
    <row r="1982">
      <c r="A1982" s="2"/>
      <c r="B1982" s="2"/>
      <c r="C1982" s="2"/>
      <c r="D1982" s="2"/>
      <c r="E1982" s="2"/>
      <c r="F1982" s="2"/>
      <c r="G1982" s="2"/>
      <c r="H1982" s="2"/>
      <c r="I1982" s="2"/>
      <c r="J1982" s="2"/>
      <c r="K1982" s="2"/>
      <c r="L1982" s="2"/>
      <c r="M1982" s="2"/>
      <c r="N1982" s="2"/>
      <c r="O1982" s="2"/>
      <c r="P1982" s="2"/>
      <c r="Q1982" s="2"/>
      <c r="R1982" s="2"/>
      <c r="S1982" s="2"/>
      <c r="T1982" s="2"/>
      <c r="U1982" s="2"/>
      <c r="V1982" s="2"/>
      <c r="W1982" s="2"/>
      <c r="X1982" s="2"/>
      <c r="Y1982" s="2"/>
      <c r="Z1982" s="2"/>
      <c r="AA1982" s="2"/>
      <c r="AB1982" s="2"/>
    </row>
    <row r="1983">
      <c r="A1983" s="2"/>
      <c r="B1983" s="2"/>
      <c r="C1983" s="2"/>
      <c r="D1983" s="2"/>
      <c r="E1983" s="2"/>
      <c r="F1983" s="2"/>
      <c r="G1983" s="2"/>
      <c r="H1983" s="2"/>
      <c r="I1983" s="2"/>
      <c r="J1983" s="2"/>
      <c r="K1983" s="2"/>
      <c r="L1983" s="2"/>
      <c r="M1983" s="2"/>
      <c r="N1983" s="2"/>
      <c r="O1983" s="2"/>
      <c r="P1983" s="2"/>
      <c r="Q1983" s="2"/>
      <c r="R1983" s="2"/>
      <c r="S1983" s="2"/>
      <c r="T1983" s="2"/>
      <c r="U1983" s="2"/>
      <c r="V1983" s="2"/>
      <c r="W1983" s="2"/>
      <c r="X1983" s="2"/>
      <c r="Y1983" s="2"/>
      <c r="Z1983" s="2"/>
      <c r="AA1983" s="2"/>
      <c r="AB1983" s="2"/>
    </row>
    <row r="1984">
      <c r="A1984" s="2"/>
      <c r="B1984" s="2"/>
      <c r="C1984" s="2"/>
      <c r="D1984" s="2"/>
      <c r="E1984" s="2"/>
      <c r="F1984" s="2"/>
      <c r="G1984" s="2"/>
      <c r="H1984" s="2"/>
      <c r="I1984" s="2"/>
      <c r="J1984" s="2"/>
      <c r="K1984" s="2"/>
      <c r="L1984" s="2"/>
      <c r="M1984" s="2"/>
      <c r="N1984" s="2"/>
      <c r="O1984" s="2"/>
      <c r="P1984" s="2"/>
      <c r="Q1984" s="2"/>
      <c r="R1984" s="2"/>
      <c r="S1984" s="2"/>
      <c r="T1984" s="2"/>
      <c r="U1984" s="2"/>
      <c r="V1984" s="2"/>
      <c r="W1984" s="2"/>
      <c r="X1984" s="2"/>
      <c r="Y1984" s="2"/>
      <c r="Z1984" s="2"/>
      <c r="AA1984" s="2"/>
      <c r="AB1984" s="2"/>
    </row>
    <row r="1985">
      <c r="A1985" s="2"/>
      <c r="B1985" s="2"/>
      <c r="C1985" s="2"/>
      <c r="D1985" s="2"/>
      <c r="E1985" s="2"/>
      <c r="F1985" s="2"/>
      <c r="G1985" s="2"/>
      <c r="H1985" s="2"/>
      <c r="I1985" s="2"/>
      <c r="J1985" s="2"/>
      <c r="K1985" s="2"/>
      <c r="L1985" s="2"/>
      <c r="M1985" s="2"/>
      <c r="N1985" s="2"/>
      <c r="O1985" s="2"/>
      <c r="P1985" s="2"/>
      <c r="Q1985" s="2"/>
      <c r="R1985" s="2"/>
      <c r="S1985" s="2"/>
      <c r="T1985" s="2"/>
      <c r="U1985" s="2"/>
      <c r="V1985" s="2"/>
      <c r="W1985" s="2"/>
      <c r="X1985" s="2"/>
      <c r="Y1985" s="2"/>
      <c r="Z1985" s="2"/>
      <c r="AA1985" s="2"/>
      <c r="AB1985" s="2"/>
    </row>
    <row r="1986">
      <c r="A1986" s="2"/>
      <c r="B1986" s="2"/>
      <c r="C1986" s="2"/>
      <c r="D1986" s="2"/>
      <c r="E1986" s="2"/>
      <c r="F1986" s="2"/>
      <c r="G1986" s="2"/>
      <c r="H1986" s="2"/>
      <c r="I1986" s="2"/>
      <c r="J1986" s="2"/>
      <c r="K1986" s="2"/>
      <c r="L1986" s="2"/>
      <c r="M1986" s="2"/>
      <c r="N1986" s="2"/>
      <c r="O1986" s="2"/>
      <c r="P1986" s="2"/>
      <c r="Q1986" s="2"/>
      <c r="R1986" s="2"/>
      <c r="S1986" s="2"/>
      <c r="T1986" s="2"/>
      <c r="U1986" s="2"/>
      <c r="V1986" s="2"/>
      <c r="W1986" s="2"/>
      <c r="X1986" s="2"/>
      <c r="Y1986" s="2"/>
      <c r="Z1986" s="2"/>
      <c r="AA1986" s="2"/>
      <c r="AB1986" s="2"/>
    </row>
    <row r="1987">
      <c r="A1987" s="2"/>
      <c r="B1987" s="2"/>
      <c r="C1987" s="2"/>
      <c r="D1987" s="2"/>
      <c r="E1987" s="2"/>
      <c r="F1987" s="2"/>
      <c r="G1987" s="2"/>
      <c r="H1987" s="2"/>
      <c r="I1987" s="2"/>
      <c r="J1987" s="2"/>
      <c r="K1987" s="2"/>
      <c r="L1987" s="2"/>
      <c r="M1987" s="2"/>
      <c r="N1987" s="2"/>
      <c r="O1987" s="2"/>
      <c r="P1987" s="2"/>
      <c r="Q1987" s="2"/>
      <c r="R1987" s="2"/>
      <c r="S1987" s="2"/>
      <c r="T1987" s="2"/>
      <c r="U1987" s="2"/>
      <c r="V1987" s="2"/>
      <c r="W1987" s="2"/>
      <c r="X1987" s="2"/>
      <c r="Y1987" s="2"/>
      <c r="Z1987" s="2"/>
      <c r="AA1987" s="2"/>
      <c r="AB1987" s="2"/>
    </row>
    <row r="1988">
      <c r="A1988" s="2"/>
      <c r="B1988" s="2"/>
      <c r="C1988" s="2"/>
      <c r="D1988" s="2"/>
      <c r="E1988" s="2"/>
      <c r="F1988" s="2"/>
      <c r="G1988" s="2"/>
      <c r="H1988" s="2"/>
      <c r="I1988" s="2"/>
      <c r="J1988" s="2"/>
      <c r="K1988" s="2"/>
      <c r="L1988" s="2"/>
      <c r="M1988" s="2"/>
      <c r="N1988" s="2"/>
      <c r="O1988" s="2"/>
      <c r="P1988" s="2"/>
      <c r="Q1988" s="2"/>
      <c r="R1988" s="2"/>
      <c r="S1988" s="2"/>
      <c r="T1988" s="2"/>
      <c r="U1988" s="2"/>
      <c r="V1988" s="2"/>
      <c r="W1988" s="2"/>
      <c r="X1988" s="2"/>
      <c r="Y1988" s="2"/>
      <c r="Z1988" s="2"/>
      <c r="AA1988" s="2"/>
      <c r="AB1988" s="2"/>
    </row>
    <row r="1989">
      <c r="A1989" s="2"/>
      <c r="B1989" s="2"/>
      <c r="C1989" s="2"/>
      <c r="D1989" s="2"/>
      <c r="E1989" s="2"/>
      <c r="F1989" s="2"/>
      <c r="G1989" s="2"/>
      <c r="H1989" s="2"/>
      <c r="I1989" s="2"/>
      <c r="J1989" s="2"/>
      <c r="K1989" s="2"/>
      <c r="L1989" s="2"/>
      <c r="M1989" s="2"/>
      <c r="N1989" s="2"/>
      <c r="O1989" s="2"/>
      <c r="P1989" s="2"/>
      <c r="Q1989" s="2"/>
      <c r="R1989" s="2"/>
      <c r="S1989" s="2"/>
      <c r="T1989" s="2"/>
      <c r="U1989" s="2"/>
      <c r="V1989" s="2"/>
      <c r="W1989" s="2"/>
      <c r="X1989" s="2"/>
      <c r="Y1989" s="2"/>
      <c r="Z1989" s="2"/>
      <c r="AA1989" s="2"/>
      <c r="AB1989" s="2"/>
    </row>
    <row r="1990">
      <c r="A1990" s="2"/>
      <c r="B1990" s="2"/>
      <c r="C1990" s="2"/>
      <c r="D1990" s="2"/>
      <c r="E1990" s="2"/>
      <c r="F1990" s="2"/>
      <c r="G1990" s="2"/>
      <c r="H1990" s="2"/>
      <c r="I1990" s="2"/>
      <c r="J1990" s="2"/>
      <c r="K1990" s="2"/>
      <c r="L1990" s="2"/>
      <c r="M1990" s="2"/>
      <c r="N1990" s="2"/>
      <c r="O1990" s="2"/>
      <c r="P1990" s="2"/>
      <c r="Q1990" s="2"/>
      <c r="R1990" s="2"/>
      <c r="S1990" s="2"/>
      <c r="T1990" s="2"/>
      <c r="U1990" s="2"/>
      <c r="V1990" s="2"/>
      <c r="W1990" s="2"/>
      <c r="X1990" s="2"/>
      <c r="Y1990" s="2"/>
      <c r="Z1990" s="2"/>
      <c r="AA1990" s="2"/>
      <c r="AB1990" s="2"/>
    </row>
    <row r="1991">
      <c r="A1991" s="2"/>
      <c r="B1991" s="2"/>
      <c r="C1991" s="2"/>
      <c r="D1991" s="2"/>
      <c r="E1991" s="2"/>
      <c r="F1991" s="2"/>
      <c r="G1991" s="2"/>
      <c r="H1991" s="2"/>
      <c r="I1991" s="2"/>
      <c r="J1991" s="2"/>
      <c r="K1991" s="2"/>
      <c r="L1991" s="2"/>
      <c r="M1991" s="2"/>
      <c r="N1991" s="2"/>
      <c r="O1991" s="2"/>
      <c r="P1991" s="2"/>
      <c r="Q1991" s="2"/>
      <c r="R1991" s="2"/>
      <c r="S1991" s="2"/>
      <c r="T1991" s="2"/>
      <c r="U1991" s="2"/>
      <c r="V1991" s="2"/>
      <c r="W1991" s="2"/>
      <c r="X1991" s="2"/>
      <c r="Y1991" s="2"/>
      <c r="Z1991" s="2"/>
      <c r="AA1991" s="2"/>
      <c r="AB1991" s="2"/>
    </row>
    <row r="1992">
      <c r="A1992" s="2"/>
      <c r="B1992" s="2"/>
      <c r="C1992" s="2"/>
      <c r="D1992" s="2"/>
      <c r="E1992" s="2"/>
      <c r="F1992" s="2"/>
      <c r="G1992" s="2"/>
      <c r="H1992" s="2"/>
      <c r="I1992" s="2"/>
      <c r="J1992" s="2"/>
      <c r="K1992" s="2"/>
      <c r="L1992" s="2"/>
      <c r="M1992" s="2"/>
      <c r="N1992" s="2"/>
      <c r="O1992" s="2"/>
      <c r="P1992" s="2"/>
      <c r="Q1992" s="2"/>
      <c r="R1992" s="2"/>
      <c r="S1992" s="2"/>
      <c r="T1992" s="2"/>
      <c r="U1992" s="2"/>
      <c r="V1992" s="2"/>
      <c r="W1992" s="2"/>
      <c r="X1992" s="2"/>
      <c r="Y1992" s="2"/>
      <c r="Z1992" s="2"/>
      <c r="AA1992" s="2"/>
      <c r="AB1992" s="2"/>
    </row>
    <row r="1993">
      <c r="A1993" s="2"/>
      <c r="B1993" s="2"/>
      <c r="C1993" s="2"/>
      <c r="D1993" s="2"/>
      <c r="E1993" s="2"/>
      <c r="F1993" s="2"/>
      <c r="G1993" s="2"/>
      <c r="H1993" s="2"/>
      <c r="I1993" s="2"/>
      <c r="J1993" s="2"/>
      <c r="K1993" s="2"/>
      <c r="L1993" s="2"/>
      <c r="M1993" s="2"/>
      <c r="N1993" s="2"/>
      <c r="O1993" s="2"/>
      <c r="P1993" s="2"/>
      <c r="Q1993" s="2"/>
      <c r="R1993" s="2"/>
      <c r="S1993" s="2"/>
      <c r="T1993" s="2"/>
      <c r="U1993" s="2"/>
      <c r="V1993" s="2"/>
      <c r="W1993" s="2"/>
      <c r="X1993" s="2"/>
      <c r="Y1993" s="2"/>
      <c r="Z1993" s="2"/>
      <c r="AA1993" s="2"/>
      <c r="AB1993" s="2"/>
    </row>
    <row r="1994">
      <c r="A1994" s="2"/>
      <c r="B1994" s="2"/>
      <c r="C1994" s="2"/>
      <c r="D1994" s="2"/>
      <c r="E1994" s="2"/>
      <c r="F1994" s="2"/>
      <c r="G1994" s="2"/>
      <c r="H1994" s="2"/>
      <c r="I1994" s="2"/>
      <c r="J1994" s="2"/>
      <c r="K1994" s="2"/>
      <c r="L1994" s="2"/>
      <c r="M1994" s="2"/>
      <c r="N1994" s="2"/>
      <c r="O1994" s="2"/>
      <c r="P1994" s="2"/>
      <c r="Q1994" s="2"/>
      <c r="R1994" s="2"/>
      <c r="S1994" s="2"/>
      <c r="T1994" s="2"/>
      <c r="U1994" s="2"/>
      <c r="V1994" s="2"/>
      <c r="W1994" s="2"/>
      <c r="X1994" s="2"/>
      <c r="Y1994" s="2"/>
      <c r="Z1994" s="2"/>
      <c r="AA1994" s="2"/>
      <c r="AB1994" s="2"/>
    </row>
    <row r="1995">
      <c r="A1995" s="2"/>
      <c r="B1995" s="2"/>
      <c r="C1995" s="2"/>
      <c r="D1995" s="2"/>
      <c r="E1995" s="2"/>
      <c r="F1995" s="2"/>
      <c r="G1995" s="2"/>
      <c r="H1995" s="2"/>
      <c r="I1995" s="2"/>
      <c r="J1995" s="2"/>
      <c r="K1995" s="2"/>
      <c r="L1995" s="2"/>
      <c r="M1995" s="2"/>
      <c r="N1995" s="2"/>
      <c r="O1995" s="2"/>
      <c r="P1995" s="2"/>
      <c r="Q1995" s="2"/>
      <c r="R1995" s="2"/>
      <c r="S1995" s="2"/>
      <c r="T1995" s="2"/>
      <c r="U1995" s="2"/>
      <c r="V1995" s="2"/>
      <c r="W1995" s="2"/>
      <c r="X1995" s="2"/>
      <c r="Y1995" s="2"/>
      <c r="Z1995" s="2"/>
      <c r="AA1995" s="2"/>
      <c r="AB1995" s="2"/>
    </row>
    <row r="1996">
      <c r="A1996" s="2"/>
      <c r="B1996" s="2"/>
      <c r="C1996" s="2"/>
      <c r="D1996" s="2"/>
      <c r="E1996" s="2"/>
      <c r="F1996" s="2"/>
      <c r="G1996" s="2"/>
      <c r="H1996" s="2"/>
      <c r="I1996" s="2"/>
      <c r="J1996" s="2"/>
      <c r="K1996" s="2"/>
      <c r="L1996" s="2"/>
      <c r="M1996" s="2"/>
      <c r="N1996" s="2"/>
      <c r="O1996" s="2"/>
      <c r="P1996" s="2"/>
      <c r="Q1996" s="2"/>
      <c r="R1996" s="2"/>
      <c r="S1996" s="2"/>
      <c r="T1996" s="2"/>
      <c r="U1996" s="2"/>
      <c r="V1996" s="2"/>
      <c r="W1996" s="2"/>
      <c r="X1996" s="2"/>
      <c r="Y1996" s="2"/>
      <c r="Z1996" s="2"/>
      <c r="AA1996" s="2"/>
      <c r="AB1996" s="2"/>
    </row>
    <row r="1997">
      <c r="A1997" s="2"/>
      <c r="B1997" s="2"/>
      <c r="C1997" s="2"/>
      <c r="D1997" s="2"/>
      <c r="E1997" s="2"/>
      <c r="F1997" s="2"/>
      <c r="G1997" s="2"/>
      <c r="H1997" s="2"/>
      <c r="I1997" s="2"/>
      <c r="J1997" s="2"/>
      <c r="K1997" s="2"/>
      <c r="L1997" s="2"/>
      <c r="M1997" s="2"/>
      <c r="N1997" s="2"/>
      <c r="O1997" s="2"/>
      <c r="P1997" s="2"/>
      <c r="Q1997" s="2"/>
      <c r="R1997" s="2"/>
      <c r="S1997" s="2"/>
      <c r="T1997" s="2"/>
      <c r="U1997" s="2"/>
      <c r="V1997" s="2"/>
      <c r="W1997" s="2"/>
      <c r="X1997" s="2"/>
      <c r="Y1997" s="2"/>
      <c r="Z1997" s="2"/>
      <c r="AA1997" s="2"/>
      <c r="AB1997" s="2"/>
    </row>
    <row r="1998">
      <c r="A1998" s="2"/>
      <c r="B1998" s="2"/>
      <c r="C1998" s="2"/>
      <c r="D1998" s="2"/>
      <c r="E1998" s="2"/>
      <c r="F1998" s="2"/>
      <c r="G1998" s="2"/>
      <c r="H1998" s="2"/>
      <c r="I1998" s="2"/>
      <c r="J1998" s="2"/>
      <c r="K1998" s="2"/>
      <c r="L1998" s="2"/>
      <c r="M1998" s="2"/>
      <c r="N1998" s="2"/>
      <c r="O1998" s="2"/>
      <c r="P1998" s="2"/>
      <c r="Q1998" s="2"/>
      <c r="R1998" s="2"/>
      <c r="S1998" s="2"/>
      <c r="T1998" s="2"/>
      <c r="U1998" s="2"/>
      <c r="V1998" s="2"/>
      <c r="W1998" s="2"/>
      <c r="X1998" s="2"/>
      <c r="Y1998" s="2"/>
      <c r="Z1998" s="2"/>
      <c r="AA1998" s="2"/>
      <c r="AB1998" s="2"/>
    </row>
    <row r="1999">
      <c r="A1999" s="2"/>
      <c r="B1999" s="2"/>
      <c r="C1999" s="2"/>
      <c r="D1999" s="2"/>
      <c r="E1999" s="2"/>
      <c r="F1999" s="2"/>
      <c r="G1999" s="2"/>
      <c r="H1999" s="2"/>
      <c r="I1999" s="2"/>
      <c r="J1999" s="2"/>
      <c r="K1999" s="2"/>
      <c r="L1999" s="2"/>
      <c r="M1999" s="2"/>
      <c r="N1999" s="2"/>
      <c r="O1999" s="2"/>
      <c r="P1999" s="2"/>
      <c r="Q1999" s="2"/>
      <c r="R1999" s="2"/>
      <c r="S1999" s="2"/>
      <c r="T1999" s="2"/>
      <c r="U1999" s="2"/>
      <c r="V1999" s="2"/>
      <c r="W1999" s="2"/>
      <c r="X1999" s="2"/>
      <c r="Y1999" s="2"/>
      <c r="Z1999" s="2"/>
      <c r="AA1999" s="2"/>
      <c r="AB1999" s="2"/>
    </row>
    <row r="2000">
      <c r="A2000" s="2"/>
      <c r="B2000" s="2"/>
      <c r="C2000" s="2"/>
      <c r="D2000" s="2"/>
      <c r="E2000" s="2"/>
      <c r="F2000" s="2"/>
      <c r="G2000" s="2"/>
      <c r="H2000" s="2"/>
      <c r="I2000" s="2"/>
      <c r="J2000" s="2"/>
      <c r="K2000" s="2"/>
      <c r="L2000" s="2"/>
      <c r="M2000" s="2"/>
      <c r="N2000" s="2"/>
      <c r="O2000" s="2"/>
      <c r="P2000" s="2"/>
      <c r="Q2000" s="2"/>
      <c r="R2000" s="2"/>
      <c r="S2000" s="2"/>
      <c r="T2000" s="2"/>
      <c r="U2000" s="2"/>
      <c r="V2000" s="2"/>
      <c r="W2000" s="2"/>
      <c r="X2000" s="2"/>
      <c r="Y2000" s="2"/>
      <c r="Z2000" s="2"/>
      <c r="AA2000" s="2"/>
      <c r="AB2000" s="2"/>
    </row>
    <row r="2001">
      <c r="A2001" s="2"/>
      <c r="B2001" s="2"/>
      <c r="C2001" s="2"/>
      <c r="D2001" s="2"/>
      <c r="E2001" s="2"/>
      <c r="F2001" s="2"/>
      <c r="G2001" s="2"/>
      <c r="H2001" s="2"/>
      <c r="I2001" s="2"/>
      <c r="J2001" s="2"/>
      <c r="K2001" s="2"/>
      <c r="L2001" s="2"/>
      <c r="M2001" s="2"/>
      <c r="N2001" s="2"/>
      <c r="O2001" s="2"/>
      <c r="P2001" s="2"/>
      <c r="Q2001" s="2"/>
      <c r="R2001" s="2"/>
      <c r="S2001" s="2"/>
      <c r="T2001" s="2"/>
      <c r="U2001" s="2"/>
      <c r="V2001" s="2"/>
      <c r="W2001" s="2"/>
      <c r="X2001" s="2"/>
      <c r="Y2001" s="2"/>
      <c r="Z2001" s="2"/>
      <c r="AA2001" s="2"/>
      <c r="AB2001" s="2"/>
    </row>
    <row r="2002">
      <c r="A2002" s="2"/>
      <c r="B2002" s="2"/>
      <c r="C2002" s="2"/>
      <c r="D2002" s="2"/>
      <c r="E2002" s="2"/>
      <c r="F2002" s="2"/>
      <c r="G2002" s="2"/>
      <c r="H2002" s="2"/>
      <c r="I2002" s="2"/>
      <c r="J2002" s="2"/>
      <c r="K2002" s="2"/>
      <c r="L2002" s="2"/>
      <c r="M2002" s="2"/>
      <c r="N2002" s="2"/>
      <c r="O2002" s="2"/>
      <c r="P2002" s="2"/>
      <c r="Q2002" s="2"/>
      <c r="R2002" s="2"/>
      <c r="S2002" s="2"/>
      <c r="T2002" s="2"/>
      <c r="U2002" s="2"/>
      <c r="V2002" s="2"/>
      <c r="W2002" s="2"/>
      <c r="X2002" s="2"/>
      <c r="Y2002" s="2"/>
      <c r="Z2002" s="2"/>
      <c r="AA2002" s="2"/>
      <c r="AB2002" s="2"/>
    </row>
    <row r="2003">
      <c r="A2003" s="2"/>
      <c r="B2003" s="2"/>
      <c r="C2003" s="2"/>
      <c r="D2003" s="2"/>
      <c r="E2003" s="2"/>
      <c r="F2003" s="2"/>
      <c r="G2003" s="2"/>
      <c r="H2003" s="2"/>
      <c r="I2003" s="2"/>
      <c r="J2003" s="2"/>
      <c r="K2003" s="2"/>
      <c r="L2003" s="2"/>
      <c r="M2003" s="2"/>
      <c r="N2003" s="2"/>
      <c r="O2003" s="2"/>
      <c r="P2003" s="2"/>
      <c r="Q2003" s="2"/>
      <c r="R2003" s="2"/>
      <c r="S2003" s="2"/>
      <c r="T2003" s="2"/>
      <c r="U2003" s="2"/>
      <c r="V2003" s="2"/>
      <c r="W2003" s="2"/>
      <c r="X2003" s="2"/>
      <c r="Y2003" s="2"/>
      <c r="Z2003" s="2"/>
      <c r="AA2003" s="2"/>
      <c r="AB2003" s="2"/>
    </row>
    <row r="2004">
      <c r="A2004" s="2"/>
      <c r="B2004" s="2"/>
      <c r="C2004" s="2"/>
      <c r="D2004" s="2"/>
      <c r="E2004" s="2"/>
      <c r="F2004" s="2"/>
      <c r="G2004" s="2"/>
      <c r="H2004" s="2"/>
      <c r="I2004" s="2"/>
      <c r="J2004" s="2"/>
      <c r="K2004" s="2"/>
      <c r="L2004" s="2"/>
      <c r="M2004" s="2"/>
      <c r="N2004" s="2"/>
      <c r="O2004" s="2"/>
      <c r="P2004" s="2"/>
      <c r="Q2004" s="2"/>
      <c r="R2004" s="2"/>
      <c r="S2004" s="2"/>
      <c r="T2004" s="2"/>
      <c r="U2004" s="2"/>
      <c r="V2004" s="2"/>
      <c r="W2004" s="2"/>
      <c r="X2004" s="2"/>
      <c r="Y2004" s="2"/>
      <c r="Z2004" s="2"/>
      <c r="AA2004" s="2"/>
      <c r="AB2004" s="2"/>
    </row>
    <row r="2005">
      <c r="A2005" s="2"/>
      <c r="B2005" s="2"/>
      <c r="C2005" s="2"/>
      <c r="D2005" s="2"/>
      <c r="E2005" s="2"/>
      <c r="F2005" s="2"/>
      <c r="G2005" s="2"/>
      <c r="H2005" s="2"/>
      <c r="I2005" s="2"/>
      <c r="J2005" s="2"/>
      <c r="K2005" s="2"/>
      <c r="L2005" s="2"/>
      <c r="M2005" s="2"/>
      <c r="N2005" s="2"/>
      <c r="O2005" s="2"/>
      <c r="P2005" s="2"/>
      <c r="Q2005" s="2"/>
      <c r="R2005" s="2"/>
      <c r="S2005" s="2"/>
      <c r="T2005" s="2"/>
      <c r="U2005" s="2"/>
      <c r="V2005" s="2"/>
      <c r="W2005" s="2"/>
      <c r="X2005" s="2"/>
      <c r="Y2005" s="2"/>
      <c r="Z2005" s="2"/>
      <c r="AA2005" s="2"/>
      <c r="AB2005" s="2"/>
    </row>
    <row r="2006">
      <c r="A2006" s="2"/>
      <c r="B2006" s="2"/>
      <c r="C2006" s="2"/>
      <c r="D2006" s="2"/>
      <c r="E2006" s="2"/>
      <c r="F2006" s="2"/>
      <c r="G2006" s="2"/>
      <c r="H2006" s="2"/>
      <c r="I2006" s="2"/>
      <c r="J2006" s="2"/>
      <c r="K2006" s="2"/>
      <c r="L2006" s="2"/>
      <c r="M2006" s="2"/>
      <c r="N2006" s="2"/>
      <c r="O2006" s="2"/>
      <c r="P2006" s="2"/>
      <c r="Q2006" s="2"/>
      <c r="R2006" s="2"/>
      <c r="S2006" s="2"/>
      <c r="T2006" s="2"/>
      <c r="U2006" s="2"/>
      <c r="V2006" s="2"/>
      <c r="W2006" s="2"/>
      <c r="X2006" s="2"/>
      <c r="Y2006" s="2"/>
      <c r="Z2006" s="2"/>
      <c r="AA2006" s="2"/>
      <c r="AB2006" s="2"/>
    </row>
    <row r="2007">
      <c r="A2007" s="2"/>
      <c r="B2007" s="2"/>
      <c r="C2007" s="2"/>
      <c r="D2007" s="2"/>
      <c r="E2007" s="2"/>
      <c r="F2007" s="2"/>
      <c r="G2007" s="2"/>
      <c r="H2007" s="2"/>
      <c r="I2007" s="2"/>
      <c r="J2007" s="2"/>
      <c r="K2007" s="2"/>
      <c r="L2007" s="2"/>
      <c r="M2007" s="2"/>
      <c r="N2007" s="2"/>
      <c r="O2007" s="2"/>
      <c r="P2007" s="2"/>
      <c r="Q2007" s="2"/>
      <c r="R2007" s="2"/>
      <c r="S2007" s="2"/>
      <c r="T2007" s="2"/>
      <c r="U2007" s="2"/>
      <c r="V2007" s="2"/>
      <c r="W2007" s="2"/>
      <c r="X2007" s="2"/>
      <c r="Y2007" s="2"/>
      <c r="Z2007" s="2"/>
      <c r="AA2007" s="2"/>
      <c r="AB2007" s="2"/>
    </row>
    <row r="2008">
      <c r="A2008" s="2"/>
      <c r="B2008" s="2"/>
      <c r="C2008" s="2"/>
      <c r="D2008" s="2"/>
      <c r="E2008" s="2"/>
      <c r="F2008" s="2"/>
      <c r="G2008" s="2"/>
      <c r="H2008" s="2"/>
      <c r="I2008" s="2"/>
      <c r="J2008" s="2"/>
      <c r="K2008" s="2"/>
      <c r="L2008" s="2"/>
      <c r="M2008" s="2"/>
      <c r="N2008" s="2"/>
      <c r="O2008" s="2"/>
      <c r="P2008" s="2"/>
      <c r="Q2008" s="2"/>
      <c r="R2008" s="2"/>
      <c r="S2008" s="2"/>
      <c r="T2008" s="2"/>
      <c r="U2008" s="2"/>
      <c r="V2008" s="2"/>
      <c r="W2008" s="2"/>
      <c r="X2008" s="2"/>
      <c r="Y2008" s="2"/>
      <c r="Z2008" s="2"/>
      <c r="AA2008" s="2"/>
      <c r="AB2008" s="2"/>
    </row>
    <row r="2009">
      <c r="A2009" s="2"/>
      <c r="B2009" s="2"/>
      <c r="C2009" s="2"/>
      <c r="D2009" s="2"/>
      <c r="E2009" s="2"/>
      <c r="F2009" s="2"/>
      <c r="G2009" s="2"/>
      <c r="H2009" s="2"/>
      <c r="I2009" s="2"/>
      <c r="J2009" s="2"/>
      <c r="K2009" s="2"/>
      <c r="L2009" s="2"/>
      <c r="M2009" s="2"/>
      <c r="N2009" s="2"/>
      <c r="O2009" s="2"/>
      <c r="P2009" s="2"/>
      <c r="Q2009" s="2"/>
      <c r="R2009" s="2"/>
      <c r="S2009" s="2"/>
      <c r="T2009" s="2"/>
      <c r="U2009" s="2"/>
      <c r="V2009" s="2"/>
      <c r="W2009" s="2"/>
      <c r="X2009" s="2"/>
      <c r="Y2009" s="2"/>
      <c r="Z2009" s="2"/>
      <c r="AA2009" s="2"/>
      <c r="AB2009" s="2"/>
    </row>
    <row r="2010">
      <c r="A2010" s="2"/>
      <c r="B2010" s="2"/>
      <c r="C2010" s="2"/>
      <c r="D2010" s="2"/>
      <c r="E2010" s="2"/>
      <c r="F2010" s="2"/>
      <c r="G2010" s="2"/>
      <c r="H2010" s="2"/>
      <c r="I2010" s="2"/>
      <c r="J2010" s="2"/>
      <c r="K2010" s="2"/>
      <c r="L2010" s="2"/>
      <c r="M2010" s="2"/>
      <c r="N2010" s="2"/>
      <c r="O2010" s="2"/>
      <c r="P2010" s="2"/>
      <c r="Q2010" s="2"/>
      <c r="R2010" s="2"/>
      <c r="S2010" s="2"/>
      <c r="T2010" s="2"/>
      <c r="U2010" s="2"/>
      <c r="V2010" s="2"/>
      <c r="W2010" s="2"/>
      <c r="X2010" s="2"/>
      <c r="Y2010" s="2"/>
      <c r="Z2010" s="2"/>
      <c r="AA2010" s="2"/>
      <c r="AB2010" s="2"/>
    </row>
    <row r="2011">
      <c r="A2011" s="2"/>
      <c r="B2011" s="2"/>
      <c r="C2011" s="2"/>
      <c r="D2011" s="2"/>
      <c r="E2011" s="2"/>
      <c r="F2011" s="2"/>
      <c r="G2011" s="2"/>
      <c r="H2011" s="2"/>
      <c r="I2011" s="2"/>
      <c r="J2011" s="2"/>
      <c r="K2011" s="2"/>
      <c r="L2011" s="2"/>
      <c r="M2011" s="2"/>
      <c r="N2011" s="2"/>
      <c r="O2011" s="2"/>
      <c r="P2011" s="2"/>
      <c r="Q2011" s="2"/>
      <c r="R2011" s="2"/>
      <c r="S2011" s="2"/>
      <c r="T2011" s="2"/>
      <c r="U2011" s="2"/>
      <c r="V2011" s="2"/>
      <c r="W2011" s="2"/>
      <c r="X2011" s="2"/>
      <c r="Y2011" s="2"/>
      <c r="Z2011" s="2"/>
      <c r="AA2011" s="2"/>
      <c r="AB2011" s="2"/>
    </row>
    <row r="2012">
      <c r="A2012" s="2"/>
      <c r="B2012" s="2"/>
      <c r="C2012" s="2"/>
      <c r="D2012" s="2"/>
      <c r="E2012" s="2"/>
      <c r="F2012" s="2"/>
      <c r="G2012" s="2"/>
      <c r="H2012" s="2"/>
      <c r="I2012" s="2"/>
      <c r="J2012" s="2"/>
      <c r="K2012" s="2"/>
      <c r="L2012" s="2"/>
      <c r="M2012" s="2"/>
      <c r="N2012" s="2"/>
      <c r="O2012" s="2"/>
      <c r="P2012" s="2"/>
      <c r="Q2012" s="2"/>
      <c r="R2012" s="2"/>
      <c r="S2012" s="2"/>
      <c r="T2012" s="2"/>
      <c r="U2012" s="2"/>
      <c r="V2012" s="2"/>
      <c r="W2012" s="2"/>
      <c r="X2012" s="2"/>
      <c r="Y2012" s="2"/>
      <c r="Z2012" s="2"/>
      <c r="AA2012" s="2"/>
      <c r="AB2012" s="2"/>
    </row>
    <row r="2013">
      <c r="A2013" s="2"/>
      <c r="B2013" s="2"/>
      <c r="C2013" s="2"/>
      <c r="D2013" s="2"/>
      <c r="E2013" s="2"/>
      <c r="F2013" s="2"/>
      <c r="G2013" s="2"/>
      <c r="H2013" s="2"/>
      <c r="I2013" s="2"/>
      <c r="J2013" s="2"/>
      <c r="K2013" s="2"/>
      <c r="L2013" s="2"/>
      <c r="M2013" s="2"/>
      <c r="N2013" s="2"/>
      <c r="O2013" s="2"/>
      <c r="P2013" s="2"/>
      <c r="Q2013" s="2"/>
      <c r="R2013" s="2"/>
      <c r="S2013" s="2"/>
      <c r="T2013" s="2"/>
      <c r="U2013" s="2"/>
      <c r="V2013" s="2"/>
      <c r="W2013" s="2"/>
      <c r="X2013" s="2"/>
      <c r="Y2013" s="2"/>
      <c r="Z2013" s="2"/>
      <c r="AA2013" s="2"/>
      <c r="AB2013" s="2"/>
    </row>
    <row r="2014">
      <c r="A2014" s="2"/>
      <c r="B2014" s="2"/>
      <c r="C2014" s="2"/>
      <c r="D2014" s="2"/>
      <c r="E2014" s="2"/>
      <c r="F2014" s="2"/>
      <c r="G2014" s="2"/>
      <c r="H2014" s="2"/>
      <c r="I2014" s="2"/>
      <c r="J2014" s="2"/>
      <c r="K2014" s="2"/>
      <c r="L2014" s="2"/>
      <c r="M2014" s="2"/>
      <c r="N2014" s="2"/>
      <c r="O2014" s="2"/>
      <c r="P2014" s="2"/>
      <c r="Q2014" s="2"/>
      <c r="R2014" s="2"/>
      <c r="S2014" s="2"/>
      <c r="T2014" s="2"/>
      <c r="U2014" s="2"/>
      <c r="V2014" s="2"/>
      <c r="W2014" s="2"/>
      <c r="X2014" s="2"/>
      <c r="Y2014" s="2"/>
      <c r="Z2014" s="2"/>
      <c r="AA2014" s="2"/>
      <c r="AB2014" s="2"/>
    </row>
    <row r="2015">
      <c r="A2015" s="2"/>
      <c r="B2015" s="2"/>
      <c r="C2015" s="2"/>
      <c r="D2015" s="2"/>
      <c r="E2015" s="2"/>
      <c r="F2015" s="2"/>
      <c r="G2015" s="2"/>
      <c r="H2015" s="2"/>
      <c r="I2015" s="2"/>
      <c r="J2015" s="2"/>
      <c r="K2015" s="2"/>
      <c r="L2015" s="2"/>
      <c r="M2015" s="2"/>
      <c r="N2015" s="2"/>
      <c r="O2015" s="2"/>
      <c r="P2015" s="2"/>
      <c r="Q2015" s="2"/>
      <c r="R2015" s="2"/>
      <c r="S2015" s="2"/>
      <c r="T2015" s="2"/>
      <c r="U2015" s="2"/>
      <c r="V2015" s="2"/>
      <c r="W2015" s="2"/>
      <c r="X2015" s="2"/>
      <c r="Y2015" s="2"/>
      <c r="Z2015" s="2"/>
      <c r="AA2015" s="2"/>
      <c r="AB2015" s="2"/>
    </row>
    <row r="2016">
      <c r="A2016" s="2"/>
      <c r="B2016" s="2"/>
      <c r="C2016" s="2"/>
      <c r="D2016" s="2"/>
      <c r="E2016" s="2"/>
      <c r="F2016" s="2"/>
      <c r="G2016" s="2"/>
      <c r="H2016" s="2"/>
      <c r="I2016" s="2"/>
      <c r="J2016" s="2"/>
      <c r="K2016" s="2"/>
      <c r="L2016" s="2"/>
      <c r="M2016" s="2"/>
      <c r="N2016" s="2"/>
      <c r="O2016" s="2"/>
      <c r="P2016" s="2"/>
      <c r="Q2016" s="2"/>
      <c r="R2016" s="2"/>
      <c r="S2016" s="2"/>
      <c r="T2016" s="2"/>
      <c r="U2016" s="2"/>
      <c r="V2016" s="2"/>
      <c r="W2016" s="2"/>
      <c r="X2016" s="2"/>
      <c r="Y2016" s="2"/>
      <c r="Z2016" s="2"/>
      <c r="AA2016" s="2"/>
      <c r="AB2016" s="2"/>
    </row>
    <row r="2017">
      <c r="A2017" s="2"/>
      <c r="B2017" s="2"/>
      <c r="C2017" s="2"/>
      <c r="D2017" s="2"/>
      <c r="E2017" s="2"/>
      <c r="F2017" s="2"/>
      <c r="G2017" s="2"/>
      <c r="H2017" s="2"/>
      <c r="I2017" s="2"/>
      <c r="J2017" s="2"/>
      <c r="K2017" s="2"/>
      <c r="L2017" s="2"/>
      <c r="M2017" s="2"/>
      <c r="N2017" s="2"/>
      <c r="O2017" s="2"/>
      <c r="P2017" s="2"/>
      <c r="Q2017" s="2"/>
      <c r="R2017" s="2"/>
      <c r="S2017" s="2"/>
      <c r="T2017" s="2"/>
      <c r="U2017" s="2"/>
      <c r="V2017" s="2"/>
      <c r="W2017" s="2"/>
      <c r="X2017" s="2"/>
      <c r="Y2017" s="2"/>
      <c r="Z2017" s="2"/>
      <c r="AA2017" s="2"/>
      <c r="AB2017" s="2"/>
    </row>
    <row r="2018">
      <c r="A2018" s="2"/>
      <c r="B2018" s="2"/>
      <c r="C2018" s="2"/>
      <c r="D2018" s="2"/>
      <c r="E2018" s="2"/>
      <c r="F2018" s="2"/>
      <c r="G2018" s="2"/>
      <c r="H2018" s="2"/>
      <c r="I2018" s="2"/>
      <c r="J2018" s="2"/>
      <c r="K2018" s="2"/>
      <c r="L2018" s="2"/>
      <c r="M2018" s="2"/>
      <c r="N2018" s="2"/>
      <c r="O2018" s="2"/>
      <c r="P2018" s="2"/>
      <c r="Q2018" s="2"/>
      <c r="R2018" s="2"/>
      <c r="S2018" s="2"/>
      <c r="T2018" s="2"/>
      <c r="U2018" s="2"/>
      <c r="V2018" s="2"/>
      <c r="W2018" s="2"/>
      <c r="X2018" s="2"/>
      <c r="Y2018" s="2"/>
      <c r="Z2018" s="2"/>
      <c r="AA2018" s="2"/>
      <c r="AB2018" s="2"/>
    </row>
    <row r="2019">
      <c r="A2019" s="2"/>
      <c r="B2019" s="2"/>
      <c r="C2019" s="2"/>
      <c r="D2019" s="2"/>
      <c r="E2019" s="2"/>
      <c r="F2019" s="2"/>
      <c r="G2019" s="2"/>
      <c r="H2019" s="2"/>
      <c r="I2019" s="2"/>
      <c r="J2019" s="2"/>
      <c r="K2019" s="2"/>
      <c r="L2019" s="2"/>
      <c r="M2019" s="2"/>
      <c r="N2019" s="2"/>
      <c r="O2019" s="2"/>
      <c r="P2019" s="2"/>
      <c r="Q2019" s="2"/>
      <c r="R2019" s="2"/>
      <c r="S2019" s="2"/>
      <c r="T2019" s="2"/>
      <c r="U2019" s="2"/>
      <c r="V2019" s="2"/>
      <c r="W2019" s="2"/>
      <c r="X2019" s="2"/>
      <c r="Y2019" s="2"/>
      <c r="Z2019" s="2"/>
      <c r="AA2019" s="2"/>
      <c r="AB2019" s="2"/>
    </row>
    <row r="2020">
      <c r="A2020" s="2"/>
      <c r="B2020" s="2"/>
      <c r="C2020" s="2"/>
      <c r="D2020" s="2"/>
      <c r="E2020" s="2"/>
      <c r="F2020" s="2"/>
      <c r="G2020" s="2"/>
      <c r="H2020" s="2"/>
      <c r="I2020" s="2"/>
      <c r="J2020" s="2"/>
      <c r="K2020" s="2"/>
      <c r="L2020" s="2"/>
      <c r="M2020" s="2"/>
      <c r="N2020" s="2"/>
      <c r="O2020" s="2"/>
      <c r="P2020" s="2"/>
      <c r="Q2020" s="2"/>
      <c r="R2020" s="2"/>
      <c r="S2020" s="2"/>
      <c r="T2020" s="2"/>
      <c r="U2020" s="2"/>
      <c r="V2020" s="2"/>
      <c r="W2020" s="2"/>
      <c r="X2020" s="2"/>
      <c r="Y2020" s="2"/>
      <c r="Z2020" s="2"/>
      <c r="AA2020" s="2"/>
      <c r="AB2020" s="2"/>
    </row>
    <row r="2021">
      <c r="A2021" s="2"/>
      <c r="B2021" s="2"/>
      <c r="C2021" s="2"/>
      <c r="D2021" s="2"/>
      <c r="E2021" s="2"/>
      <c r="F2021" s="2"/>
      <c r="G2021" s="2"/>
      <c r="H2021" s="2"/>
      <c r="I2021" s="2"/>
      <c r="J2021" s="2"/>
      <c r="K2021" s="2"/>
      <c r="L2021" s="2"/>
      <c r="M2021" s="2"/>
      <c r="N2021" s="2"/>
      <c r="O2021" s="2"/>
      <c r="P2021" s="2"/>
      <c r="Q2021" s="2"/>
      <c r="R2021" s="2"/>
      <c r="S2021" s="2"/>
      <c r="T2021" s="2"/>
      <c r="U2021" s="2"/>
      <c r="V2021" s="2"/>
      <c r="W2021" s="2"/>
      <c r="X2021" s="2"/>
      <c r="Y2021" s="2"/>
      <c r="Z2021" s="2"/>
      <c r="AA2021" s="2"/>
      <c r="AB2021" s="2"/>
    </row>
    <row r="2022">
      <c r="A2022" s="2"/>
      <c r="B2022" s="2"/>
      <c r="C2022" s="2"/>
      <c r="D2022" s="2"/>
      <c r="E2022" s="2"/>
      <c r="F2022" s="2"/>
      <c r="G2022" s="2"/>
      <c r="H2022" s="2"/>
      <c r="I2022" s="2"/>
      <c r="J2022" s="2"/>
      <c r="K2022" s="2"/>
      <c r="L2022" s="2"/>
      <c r="M2022" s="2"/>
      <c r="N2022" s="2"/>
      <c r="O2022" s="2"/>
      <c r="P2022" s="2"/>
      <c r="Q2022" s="2"/>
      <c r="R2022" s="2"/>
      <c r="S2022" s="2"/>
      <c r="T2022" s="2"/>
      <c r="U2022" s="2"/>
      <c r="V2022" s="2"/>
      <c r="W2022" s="2"/>
      <c r="X2022" s="2"/>
      <c r="Y2022" s="2"/>
      <c r="Z2022" s="2"/>
      <c r="AA2022" s="2"/>
      <c r="AB2022" s="2"/>
    </row>
    <row r="2023">
      <c r="A2023" s="2"/>
      <c r="B2023" s="2"/>
      <c r="C2023" s="2"/>
      <c r="D2023" s="2"/>
      <c r="E2023" s="2"/>
      <c r="F2023" s="2"/>
      <c r="G2023" s="2"/>
      <c r="H2023" s="2"/>
      <c r="I2023" s="2"/>
      <c r="J2023" s="2"/>
      <c r="K2023" s="2"/>
      <c r="L2023" s="2"/>
      <c r="M2023" s="2"/>
      <c r="N2023" s="2"/>
      <c r="O2023" s="2"/>
      <c r="P2023" s="2"/>
      <c r="Q2023" s="2"/>
      <c r="R2023" s="2"/>
      <c r="S2023" s="2"/>
      <c r="T2023" s="2"/>
      <c r="U2023" s="2"/>
      <c r="V2023" s="2"/>
      <c r="W2023" s="2"/>
      <c r="X2023" s="2"/>
      <c r="Y2023" s="2"/>
      <c r="Z2023" s="2"/>
      <c r="AA2023" s="2"/>
      <c r="AB2023" s="2"/>
    </row>
    <row r="2024">
      <c r="A2024" s="2"/>
      <c r="B2024" s="2"/>
      <c r="C2024" s="2"/>
      <c r="D2024" s="2"/>
      <c r="E2024" s="2"/>
      <c r="F2024" s="2"/>
      <c r="G2024" s="2"/>
      <c r="H2024" s="2"/>
      <c r="I2024" s="2"/>
      <c r="J2024" s="2"/>
      <c r="K2024" s="2"/>
      <c r="L2024" s="2"/>
      <c r="M2024" s="2"/>
      <c r="N2024" s="2"/>
      <c r="O2024" s="2"/>
      <c r="P2024" s="2"/>
      <c r="Q2024" s="2"/>
      <c r="R2024" s="2"/>
      <c r="S2024" s="2"/>
      <c r="T2024" s="2"/>
      <c r="U2024" s="2"/>
      <c r="V2024" s="2"/>
      <c r="W2024" s="2"/>
      <c r="X2024" s="2"/>
      <c r="Y2024" s="2"/>
      <c r="Z2024" s="2"/>
      <c r="AA2024" s="2"/>
      <c r="AB2024" s="2"/>
    </row>
    <row r="2025">
      <c r="A2025" s="2"/>
      <c r="B2025" s="2"/>
      <c r="C2025" s="2"/>
      <c r="D2025" s="2"/>
      <c r="E2025" s="2"/>
      <c r="F2025" s="2"/>
      <c r="G2025" s="2"/>
      <c r="H2025" s="2"/>
      <c r="I2025" s="2"/>
      <c r="J2025" s="2"/>
      <c r="K2025" s="2"/>
      <c r="L2025" s="2"/>
      <c r="M2025" s="2"/>
      <c r="N2025" s="2"/>
      <c r="O2025" s="2"/>
      <c r="P2025" s="2"/>
      <c r="Q2025" s="2"/>
      <c r="R2025" s="2"/>
      <c r="S2025" s="2"/>
      <c r="T2025" s="2"/>
      <c r="U2025" s="2"/>
      <c r="V2025" s="2"/>
      <c r="W2025" s="2"/>
      <c r="X2025" s="2"/>
      <c r="Y2025" s="2"/>
      <c r="Z2025" s="2"/>
      <c r="AA2025" s="2"/>
      <c r="AB2025" s="2"/>
    </row>
    <row r="2026">
      <c r="A2026" s="2"/>
      <c r="B2026" s="2"/>
      <c r="C2026" s="2"/>
      <c r="D2026" s="2"/>
      <c r="E2026" s="2"/>
      <c r="F2026" s="2"/>
      <c r="G2026" s="2"/>
      <c r="H2026" s="2"/>
      <c r="I2026" s="2"/>
      <c r="J2026" s="2"/>
      <c r="K2026" s="2"/>
      <c r="L2026" s="2"/>
      <c r="M2026" s="2"/>
      <c r="N2026" s="2"/>
      <c r="O2026" s="2"/>
      <c r="P2026" s="2"/>
      <c r="Q2026" s="2"/>
      <c r="R2026" s="2"/>
      <c r="S2026" s="2"/>
      <c r="T2026" s="2"/>
      <c r="U2026" s="2"/>
      <c r="V2026" s="2"/>
      <c r="W2026" s="2"/>
      <c r="X2026" s="2"/>
      <c r="Y2026" s="2"/>
      <c r="Z2026" s="2"/>
      <c r="AA2026" s="2"/>
      <c r="AB2026" s="2"/>
    </row>
    <row r="2027">
      <c r="A2027" s="2"/>
      <c r="B2027" s="2"/>
      <c r="C2027" s="2"/>
      <c r="D2027" s="2"/>
      <c r="E2027" s="2"/>
      <c r="F2027" s="2"/>
      <c r="G2027" s="2"/>
      <c r="H2027" s="2"/>
      <c r="I2027" s="2"/>
      <c r="J2027" s="2"/>
      <c r="K2027" s="2"/>
      <c r="L2027" s="2"/>
      <c r="M2027" s="2"/>
      <c r="N2027" s="2"/>
      <c r="O2027" s="2"/>
      <c r="P2027" s="2"/>
      <c r="Q2027" s="2"/>
      <c r="R2027" s="2"/>
      <c r="S2027" s="2"/>
      <c r="T2027" s="2"/>
      <c r="U2027" s="2"/>
      <c r="V2027" s="2"/>
      <c r="W2027" s="2"/>
      <c r="X2027" s="2"/>
      <c r="Y2027" s="2"/>
      <c r="Z2027" s="2"/>
      <c r="AA2027" s="2"/>
      <c r="AB2027" s="2"/>
    </row>
    <row r="2028">
      <c r="A2028" s="2"/>
      <c r="B2028" s="2"/>
      <c r="C2028" s="2"/>
      <c r="D2028" s="2"/>
      <c r="E2028" s="2"/>
      <c r="F2028" s="2"/>
      <c r="G2028" s="2"/>
      <c r="H2028" s="2"/>
      <c r="I2028" s="2"/>
      <c r="J2028" s="2"/>
      <c r="K2028" s="2"/>
      <c r="L2028" s="2"/>
      <c r="M2028" s="2"/>
      <c r="N2028" s="2"/>
      <c r="O2028" s="2"/>
      <c r="P2028" s="2"/>
      <c r="Q2028" s="2"/>
      <c r="R2028" s="2"/>
      <c r="S2028" s="2"/>
      <c r="T2028" s="2"/>
      <c r="U2028" s="2"/>
      <c r="V2028" s="2"/>
      <c r="W2028" s="2"/>
      <c r="X2028" s="2"/>
      <c r="Y2028" s="2"/>
      <c r="Z2028" s="2"/>
      <c r="AA2028" s="2"/>
      <c r="AB2028" s="2"/>
    </row>
    <row r="2029">
      <c r="A2029" s="2"/>
      <c r="B2029" s="2"/>
      <c r="C2029" s="2"/>
      <c r="D2029" s="2"/>
      <c r="E2029" s="2"/>
      <c r="F2029" s="2"/>
      <c r="G2029" s="2"/>
      <c r="H2029" s="2"/>
      <c r="I2029" s="2"/>
      <c r="J2029" s="2"/>
      <c r="K2029" s="2"/>
      <c r="L2029" s="2"/>
      <c r="M2029" s="2"/>
      <c r="N2029" s="2"/>
      <c r="O2029" s="2"/>
      <c r="P2029" s="2"/>
      <c r="Q2029" s="2"/>
      <c r="R2029" s="2"/>
      <c r="S2029" s="2"/>
      <c r="T2029" s="2"/>
      <c r="U2029" s="2"/>
      <c r="V2029" s="2"/>
      <c r="W2029" s="2"/>
      <c r="X2029" s="2"/>
      <c r="Y2029" s="2"/>
      <c r="Z2029" s="2"/>
      <c r="AA2029" s="2"/>
      <c r="AB2029" s="2"/>
    </row>
    <row r="2030">
      <c r="A2030" s="2"/>
      <c r="B2030" s="2"/>
      <c r="C2030" s="2"/>
      <c r="D2030" s="2"/>
      <c r="E2030" s="2"/>
      <c r="F2030" s="2"/>
      <c r="G2030" s="2"/>
      <c r="H2030" s="2"/>
      <c r="I2030" s="2"/>
      <c r="J2030" s="2"/>
      <c r="K2030" s="2"/>
      <c r="L2030" s="2"/>
      <c r="M2030" s="2"/>
      <c r="N2030" s="2"/>
      <c r="O2030" s="2"/>
      <c r="P2030" s="2"/>
      <c r="Q2030" s="2"/>
      <c r="R2030" s="2"/>
      <c r="S2030" s="2"/>
      <c r="T2030" s="2"/>
      <c r="U2030" s="2"/>
      <c r="V2030" s="2"/>
      <c r="W2030" s="2"/>
      <c r="X2030" s="2"/>
      <c r="Y2030" s="2"/>
      <c r="Z2030" s="2"/>
      <c r="AA2030" s="2"/>
      <c r="AB2030" s="2"/>
    </row>
    <row r="2031">
      <c r="A2031" s="2"/>
      <c r="B2031" s="2"/>
      <c r="C2031" s="2"/>
      <c r="D2031" s="2"/>
      <c r="E2031" s="2"/>
      <c r="F2031" s="2"/>
      <c r="G2031" s="2"/>
      <c r="H2031" s="2"/>
      <c r="I2031" s="2"/>
      <c r="J2031" s="2"/>
      <c r="K2031" s="2"/>
      <c r="L2031" s="2"/>
      <c r="M2031" s="2"/>
      <c r="N2031" s="2"/>
      <c r="O2031" s="2"/>
      <c r="P2031" s="2"/>
      <c r="Q2031" s="2"/>
      <c r="R2031" s="2"/>
      <c r="S2031" s="2"/>
      <c r="T2031" s="2"/>
      <c r="U2031" s="2"/>
      <c r="V2031" s="2"/>
      <c r="W2031" s="2"/>
      <c r="X2031" s="2"/>
      <c r="Y2031" s="2"/>
      <c r="Z2031" s="2"/>
      <c r="AA2031" s="2"/>
      <c r="AB2031" s="2"/>
    </row>
    <row r="2032">
      <c r="A2032" s="2"/>
      <c r="B2032" s="2"/>
      <c r="C2032" s="2"/>
      <c r="D2032" s="2"/>
      <c r="E2032" s="2"/>
      <c r="F2032" s="2"/>
      <c r="G2032" s="2"/>
      <c r="H2032" s="2"/>
      <c r="I2032" s="2"/>
      <c r="J2032" s="2"/>
      <c r="K2032" s="2"/>
      <c r="L2032" s="2"/>
      <c r="M2032" s="2"/>
      <c r="N2032" s="2"/>
      <c r="O2032" s="2"/>
      <c r="P2032" s="2"/>
      <c r="Q2032" s="2"/>
      <c r="R2032" s="2"/>
      <c r="S2032" s="2"/>
      <c r="T2032" s="2"/>
      <c r="U2032" s="2"/>
      <c r="V2032" s="2"/>
      <c r="W2032" s="2"/>
      <c r="X2032" s="2"/>
      <c r="Y2032" s="2"/>
      <c r="Z2032" s="2"/>
      <c r="AA2032" s="2"/>
      <c r="AB2032" s="2"/>
    </row>
    <row r="2033">
      <c r="A2033" s="2"/>
      <c r="B2033" s="2"/>
      <c r="C2033" s="2"/>
      <c r="D2033" s="2"/>
      <c r="E2033" s="2"/>
      <c r="F2033" s="2"/>
      <c r="G2033" s="2"/>
      <c r="H2033" s="2"/>
      <c r="I2033" s="2"/>
      <c r="J2033" s="2"/>
      <c r="K2033" s="2"/>
      <c r="L2033" s="2"/>
      <c r="M2033" s="2"/>
      <c r="N2033" s="2"/>
      <c r="O2033" s="2"/>
      <c r="P2033" s="2"/>
      <c r="Q2033" s="2"/>
      <c r="R2033" s="2"/>
      <c r="S2033" s="2"/>
      <c r="T2033" s="2"/>
      <c r="U2033" s="2"/>
      <c r="V2033" s="2"/>
      <c r="W2033" s="2"/>
      <c r="X2033" s="2"/>
      <c r="Y2033" s="2"/>
      <c r="Z2033" s="2"/>
      <c r="AA2033" s="2"/>
      <c r="AB2033" s="2"/>
    </row>
    <row r="2034">
      <c r="A2034" s="2"/>
      <c r="B2034" s="2"/>
      <c r="C2034" s="2"/>
      <c r="D2034" s="2"/>
      <c r="E2034" s="2"/>
      <c r="F2034" s="2"/>
      <c r="G2034" s="2"/>
      <c r="H2034" s="2"/>
      <c r="I2034" s="2"/>
      <c r="J2034" s="2"/>
      <c r="K2034" s="2"/>
      <c r="L2034" s="2"/>
      <c r="M2034" s="2"/>
      <c r="N2034" s="2"/>
      <c r="O2034" s="2"/>
      <c r="P2034" s="2"/>
      <c r="Q2034" s="2"/>
      <c r="R2034" s="2"/>
      <c r="S2034" s="2"/>
      <c r="T2034" s="2"/>
      <c r="U2034" s="2"/>
      <c r="V2034" s="2"/>
      <c r="W2034" s="2"/>
      <c r="X2034" s="2"/>
      <c r="Y2034" s="2"/>
      <c r="Z2034" s="2"/>
      <c r="AA2034" s="2"/>
      <c r="AB2034" s="2"/>
    </row>
    <row r="2035">
      <c r="A2035" s="2"/>
      <c r="B2035" s="2"/>
      <c r="C2035" s="2"/>
      <c r="D2035" s="2"/>
      <c r="E2035" s="2"/>
      <c r="F2035" s="2"/>
      <c r="G2035" s="2"/>
      <c r="H2035" s="2"/>
      <c r="I2035" s="2"/>
      <c r="J2035" s="2"/>
      <c r="K2035" s="2"/>
      <c r="L2035" s="2"/>
      <c r="M2035" s="2"/>
      <c r="N2035" s="2"/>
      <c r="O2035" s="2"/>
      <c r="P2035" s="2"/>
      <c r="Q2035" s="2"/>
      <c r="R2035" s="2"/>
      <c r="S2035" s="2"/>
      <c r="T2035" s="2"/>
      <c r="U2035" s="2"/>
      <c r="V2035" s="2"/>
      <c r="W2035" s="2"/>
      <c r="X2035" s="2"/>
      <c r="Y2035" s="2"/>
      <c r="Z2035" s="2"/>
      <c r="AA2035" s="2"/>
      <c r="AB2035" s="2"/>
    </row>
    <row r="2036">
      <c r="A2036" s="2"/>
      <c r="B2036" s="2"/>
      <c r="C2036" s="2"/>
      <c r="D2036" s="2"/>
      <c r="E2036" s="2"/>
      <c r="F2036" s="2"/>
      <c r="G2036" s="2"/>
      <c r="H2036" s="2"/>
      <c r="I2036" s="2"/>
      <c r="J2036" s="2"/>
      <c r="K2036" s="2"/>
      <c r="L2036" s="2"/>
      <c r="M2036" s="2"/>
      <c r="N2036" s="2"/>
      <c r="O2036" s="2"/>
      <c r="P2036" s="2"/>
      <c r="Q2036" s="2"/>
      <c r="R2036" s="2"/>
      <c r="S2036" s="2"/>
      <c r="T2036" s="2"/>
      <c r="U2036" s="2"/>
      <c r="V2036" s="2"/>
      <c r="W2036" s="2"/>
      <c r="X2036" s="2"/>
      <c r="Y2036" s="2"/>
      <c r="Z2036" s="2"/>
      <c r="AA2036" s="2"/>
      <c r="AB2036" s="2"/>
    </row>
    <row r="2037">
      <c r="A2037" s="2"/>
      <c r="B2037" s="2"/>
      <c r="C2037" s="2"/>
      <c r="D2037" s="2"/>
      <c r="E2037" s="2"/>
      <c r="F2037" s="2"/>
      <c r="G2037" s="2"/>
      <c r="H2037" s="2"/>
      <c r="I2037" s="2"/>
      <c r="J2037" s="2"/>
      <c r="K2037" s="2"/>
      <c r="L2037" s="2"/>
      <c r="M2037" s="2"/>
      <c r="N2037" s="2"/>
      <c r="O2037" s="2"/>
      <c r="P2037" s="2"/>
      <c r="Q2037" s="2"/>
      <c r="R2037" s="2"/>
      <c r="S2037" s="2"/>
      <c r="T2037" s="2"/>
      <c r="U2037" s="2"/>
      <c r="V2037" s="2"/>
      <c r="W2037" s="2"/>
      <c r="X2037" s="2"/>
      <c r="Y2037" s="2"/>
      <c r="Z2037" s="2"/>
      <c r="AA2037" s="2"/>
      <c r="AB2037" s="2"/>
    </row>
    <row r="2038">
      <c r="A2038" s="2"/>
      <c r="B2038" s="2"/>
      <c r="C2038" s="2"/>
      <c r="D2038" s="2"/>
      <c r="E2038" s="2"/>
      <c r="F2038" s="2"/>
      <c r="G2038" s="2"/>
      <c r="H2038" s="2"/>
      <c r="I2038" s="2"/>
      <c r="J2038" s="2"/>
      <c r="K2038" s="2"/>
      <c r="L2038" s="2"/>
      <c r="M2038" s="2"/>
      <c r="N2038" s="2"/>
      <c r="O2038" s="2"/>
      <c r="P2038" s="2"/>
      <c r="Q2038" s="2"/>
      <c r="R2038" s="2"/>
      <c r="S2038" s="2"/>
      <c r="T2038" s="2"/>
      <c r="U2038" s="2"/>
      <c r="V2038" s="2"/>
      <c r="W2038" s="2"/>
      <c r="X2038" s="2"/>
      <c r="Y2038" s="2"/>
      <c r="Z2038" s="2"/>
      <c r="AA2038" s="2"/>
      <c r="AB2038" s="2"/>
    </row>
    <row r="2039">
      <c r="A2039" s="2"/>
      <c r="B2039" s="2"/>
      <c r="C2039" s="2"/>
      <c r="D2039" s="2"/>
      <c r="E2039" s="2"/>
      <c r="F2039" s="2"/>
      <c r="G2039" s="2"/>
      <c r="H2039" s="2"/>
      <c r="I2039" s="2"/>
      <c r="J2039" s="2"/>
      <c r="K2039" s="2"/>
      <c r="L2039" s="2"/>
      <c r="M2039" s="2"/>
      <c r="N2039" s="2"/>
      <c r="O2039" s="2"/>
      <c r="P2039" s="2"/>
      <c r="Q2039" s="2"/>
      <c r="R2039" s="2"/>
      <c r="S2039" s="2"/>
      <c r="T2039" s="2"/>
      <c r="U2039" s="2"/>
      <c r="V2039" s="2"/>
      <c r="W2039" s="2"/>
      <c r="X2039" s="2"/>
      <c r="Y2039" s="2"/>
      <c r="Z2039" s="2"/>
      <c r="AA2039" s="2"/>
      <c r="AB2039" s="2"/>
    </row>
    <row r="2040">
      <c r="A2040" s="2"/>
      <c r="B2040" s="2"/>
      <c r="C2040" s="2"/>
      <c r="D2040" s="2"/>
      <c r="E2040" s="2"/>
      <c r="F2040" s="2"/>
      <c r="G2040" s="2"/>
      <c r="H2040" s="2"/>
      <c r="I2040" s="2"/>
      <c r="J2040" s="2"/>
      <c r="K2040" s="2"/>
      <c r="L2040" s="2"/>
      <c r="M2040" s="2"/>
      <c r="N2040" s="2"/>
      <c r="O2040" s="2"/>
      <c r="P2040" s="2"/>
      <c r="Q2040" s="2"/>
      <c r="R2040" s="2"/>
      <c r="S2040" s="2"/>
      <c r="T2040" s="2"/>
      <c r="U2040" s="2"/>
      <c r="V2040" s="2"/>
      <c r="W2040" s="2"/>
      <c r="X2040" s="2"/>
      <c r="Y2040" s="2"/>
      <c r="Z2040" s="2"/>
      <c r="AA2040" s="2"/>
      <c r="AB2040" s="2"/>
    </row>
    <row r="2041">
      <c r="A2041" s="2"/>
      <c r="B2041" s="2"/>
      <c r="C2041" s="2"/>
      <c r="D2041" s="2"/>
      <c r="E2041" s="2"/>
      <c r="F2041" s="2"/>
      <c r="G2041" s="2"/>
      <c r="H2041" s="2"/>
      <c r="I2041" s="2"/>
      <c r="J2041" s="2"/>
      <c r="K2041" s="2"/>
      <c r="L2041" s="2"/>
      <c r="M2041" s="2"/>
      <c r="N2041" s="2"/>
      <c r="O2041" s="2"/>
      <c r="P2041" s="2"/>
      <c r="Q2041" s="2"/>
      <c r="R2041" s="2"/>
      <c r="S2041" s="2"/>
      <c r="T2041" s="2"/>
      <c r="U2041" s="2"/>
      <c r="V2041" s="2"/>
      <c r="W2041" s="2"/>
      <c r="X2041" s="2"/>
      <c r="Y2041" s="2"/>
      <c r="Z2041" s="2"/>
      <c r="AA2041" s="2"/>
      <c r="AB2041" s="2"/>
    </row>
    <row r="2042">
      <c r="A2042" s="2"/>
      <c r="B2042" s="2"/>
      <c r="C2042" s="2"/>
      <c r="D2042" s="2"/>
      <c r="E2042" s="2"/>
      <c r="F2042" s="2"/>
      <c r="G2042" s="2"/>
      <c r="H2042" s="2"/>
      <c r="I2042" s="2"/>
      <c r="J2042" s="2"/>
      <c r="K2042" s="2"/>
      <c r="L2042" s="2"/>
      <c r="M2042" s="2"/>
      <c r="N2042" s="2"/>
      <c r="O2042" s="2"/>
      <c r="P2042" s="2"/>
      <c r="Q2042" s="2"/>
      <c r="R2042" s="2"/>
      <c r="S2042" s="2"/>
      <c r="T2042" s="2"/>
      <c r="U2042" s="2"/>
      <c r="V2042" s="2"/>
      <c r="W2042" s="2"/>
      <c r="X2042" s="2"/>
      <c r="Y2042" s="2"/>
      <c r="Z2042" s="2"/>
      <c r="AA2042" s="2"/>
      <c r="AB2042" s="2"/>
    </row>
    <row r="2043">
      <c r="A2043" s="2"/>
      <c r="B2043" s="2"/>
      <c r="C2043" s="2"/>
      <c r="D2043" s="2"/>
      <c r="E2043" s="2"/>
      <c r="F2043" s="2"/>
      <c r="G2043" s="2"/>
      <c r="H2043" s="2"/>
      <c r="I2043" s="2"/>
      <c r="J2043" s="2"/>
      <c r="K2043" s="2"/>
      <c r="L2043" s="2"/>
      <c r="M2043" s="2"/>
      <c r="N2043" s="2"/>
      <c r="O2043" s="2"/>
      <c r="P2043" s="2"/>
      <c r="Q2043" s="2"/>
      <c r="R2043" s="2"/>
      <c r="S2043" s="2"/>
      <c r="T2043" s="2"/>
      <c r="U2043" s="2"/>
      <c r="V2043" s="2"/>
      <c r="W2043" s="2"/>
      <c r="X2043" s="2"/>
      <c r="Y2043" s="2"/>
      <c r="Z2043" s="2"/>
      <c r="AA2043" s="2"/>
      <c r="AB2043" s="2"/>
    </row>
    <row r="2044">
      <c r="A2044" s="2"/>
      <c r="B2044" s="2"/>
      <c r="C2044" s="2"/>
      <c r="D2044" s="2"/>
      <c r="E2044" s="2"/>
      <c r="F2044" s="2"/>
      <c r="G2044" s="2"/>
      <c r="H2044" s="2"/>
      <c r="I2044" s="2"/>
      <c r="J2044" s="2"/>
      <c r="K2044" s="2"/>
      <c r="L2044" s="2"/>
      <c r="M2044" s="2"/>
      <c r="N2044" s="2"/>
      <c r="O2044" s="2"/>
      <c r="P2044" s="2"/>
      <c r="Q2044" s="2"/>
      <c r="R2044" s="2"/>
      <c r="S2044" s="2"/>
      <c r="T2044" s="2"/>
      <c r="U2044" s="2"/>
      <c r="V2044" s="2"/>
      <c r="W2044" s="2"/>
      <c r="X2044" s="2"/>
      <c r="Y2044" s="2"/>
      <c r="Z2044" s="2"/>
      <c r="AA2044" s="2"/>
      <c r="AB2044" s="2"/>
    </row>
    <row r="2045">
      <c r="A2045" s="2"/>
      <c r="B2045" s="2"/>
      <c r="C2045" s="2"/>
      <c r="D2045" s="2"/>
      <c r="E2045" s="2"/>
      <c r="F2045" s="2"/>
      <c r="G2045" s="2"/>
      <c r="H2045" s="2"/>
      <c r="I2045" s="2"/>
      <c r="J2045" s="2"/>
      <c r="K2045" s="2"/>
      <c r="L2045" s="2"/>
      <c r="M2045" s="2"/>
      <c r="N2045" s="2"/>
      <c r="O2045" s="2"/>
      <c r="P2045" s="2"/>
      <c r="Q2045" s="2"/>
      <c r="R2045" s="2"/>
      <c r="S2045" s="2"/>
      <c r="T2045" s="2"/>
      <c r="U2045" s="2"/>
      <c r="V2045" s="2"/>
      <c r="W2045" s="2"/>
      <c r="X2045" s="2"/>
      <c r="Y2045" s="2"/>
      <c r="Z2045" s="2"/>
      <c r="AA2045" s="2"/>
      <c r="AB2045" s="2"/>
    </row>
    <row r="2046">
      <c r="A2046" s="2"/>
      <c r="B2046" s="2"/>
      <c r="C2046" s="2"/>
      <c r="D2046" s="2"/>
      <c r="E2046" s="2"/>
      <c r="F2046" s="2"/>
      <c r="G2046" s="2"/>
      <c r="H2046" s="2"/>
      <c r="I2046" s="2"/>
      <c r="J2046" s="2"/>
      <c r="K2046" s="2"/>
      <c r="L2046" s="2"/>
      <c r="M2046" s="2"/>
      <c r="N2046" s="2"/>
      <c r="O2046" s="2"/>
      <c r="P2046" s="2"/>
      <c r="Q2046" s="2"/>
      <c r="R2046" s="2"/>
      <c r="S2046" s="2"/>
      <c r="T2046" s="2"/>
      <c r="U2046" s="2"/>
      <c r="V2046" s="2"/>
      <c r="W2046" s="2"/>
      <c r="X2046" s="2"/>
      <c r="Y2046" s="2"/>
      <c r="Z2046" s="2"/>
      <c r="AA2046" s="2"/>
      <c r="AB2046" s="2"/>
    </row>
    <row r="2047">
      <c r="A2047" s="2"/>
      <c r="B2047" s="2"/>
      <c r="C2047" s="2"/>
      <c r="D2047" s="2"/>
      <c r="E2047" s="2"/>
      <c r="F2047" s="2"/>
      <c r="G2047" s="2"/>
      <c r="H2047" s="2"/>
      <c r="I2047" s="2"/>
      <c r="J2047" s="2"/>
      <c r="K2047" s="2"/>
      <c r="L2047" s="2"/>
      <c r="M2047" s="2"/>
      <c r="N2047" s="2"/>
      <c r="O2047" s="2"/>
      <c r="P2047" s="2"/>
      <c r="Q2047" s="2"/>
      <c r="R2047" s="2"/>
      <c r="S2047" s="2"/>
      <c r="T2047" s="2"/>
      <c r="U2047" s="2"/>
      <c r="V2047" s="2"/>
      <c r="W2047" s="2"/>
      <c r="X2047" s="2"/>
      <c r="Y2047" s="2"/>
      <c r="Z2047" s="2"/>
      <c r="AA2047" s="2"/>
      <c r="AB2047" s="2"/>
    </row>
    <row r="2048">
      <c r="A2048" s="2"/>
      <c r="B2048" s="2"/>
      <c r="C2048" s="2"/>
      <c r="D2048" s="2"/>
      <c r="E2048" s="2"/>
      <c r="F2048" s="2"/>
      <c r="G2048" s="2"/>
      <c r="H2048" s="2"/>
      <c r="I2048" s="2"/>
      <c r="J2048" s="2"/>
      <c r="K2048" s="2"/>
      <c r="L2048" s="2"/>
      <c r="M2048" s="2"/>
      <c r="N2048" s="2"/>
      <c r="O2048" s="2"/>
      <c r="P2048" s="2"/>
      <c r="Q2048" s="2"/>
      <c r="R2048" s="2"/>
      <c r="S2048" s="2"/>
      <c r="T2048" s="2"/>
      <c r="U2048" s="2"/>
      <c r="V2048" s="2"/>
      <c r="W2048" s="2"/>
      <c r="X2048" s="2"/>
      <c r="Y2048" s="2"/>
      <c r="Z2048" s="2"/>
      <c r="AA2048" s="2"/>
      <c r="AB2048" s="2"/>
    </row>
    <row r="2049">
      <c r="A2049" s="2"/>
      <c r="B2049" s="2"/>
      <c r="C2049" s="2"/>
      <c r="D2049" s="2"/>
      <c r="E2049" s="2"/>
      <c r="F2049" s="2"/>
      <c r="G2049" s="2"/>
      <c r="H2049" s="2"/>
      <c r="I2049" s="2"/>
      <c r="J2049" s="2"/>
      <c r="K2049" s="2"/>
      <c r="L2049" s="2"/>
      <c r="M2049" s="2"/>
      <c r="N2049" s="2"/>
      <c r="O2049" s="2"/>
      <c r="P2049" s="2"/>
      <c r="Q2049" s="2"/>
      <c r="R2049" s="2"/>
      <c r="S2049" s="2"/>
      <c r="T2049" s="2"/>
      <c r="U2049" s="2"/>
      <c r="V2049" s="2"/>
      <c r="W2049" s="2"/>
      <c r="X2049" s="2"/>
      <c r="Y2049" s="2"/>
      <c r="Z2049" s="2"/>
      <c r="AA2049" s="2"/>
      <c r="AB2049" s="2"/>
    </row>
    <row r="2050">
      <c r="A2050" s="2"/>
      <c r="B2050" s="2"/>
      <c r="C2050" s="2"/>
      <c r="D2050" s="2"/>
      <c r="E2050" s="2"/>
      <c r="F2050" s="2"/>
      <c r="G2050" s="2"/>
      <c r="H2050" s="2"/>
      <c r="I2050" s="2"/>
      <c r="J2050" s="2"/>
      <c r="K2050" s="2"/>
      <c r="L2050" s="2"/>
      <c r="M2050" s="2"/>
      <c r="N2050" s="2"/>
      <c r="O2050" s="2"/>
      <c r="P2050" s="2"/>
      <c r="Q2050" s="2"/>
      <c r="R2050" s="2"/>
      <c r="S2050" s="2"/>
      <c r="T2050" s="2"/>
      <c r="U2050" s="2"/>
      <c r="V2050" s="2"/>
      <c r="W2050" s="2"/>
      <c r="X2050" s="2"/>
      <c r="Y2050" s="2"/>
      <c r="Z2050" s="2"/>
      <c r="AA2050" s="2"/>
      <c r="AB2050" s="2"/>
    </row>
    <row r="2051">
      <c r="A2051" s="2"/>
      <c r="B2051" s="2"/>
      <c r="C2051" s="2"/>
      <c r="D2051" s="2"/>
      <c r="E2051" s="2"/>
      <c r="F2051" s="2"/>
      <c r="G2051" s="2"/>
      <c r="H2051" s="2"/>
      <c r="I2051" s="2"/>
      <c r="J2051" s="2"/>
      <c r="K2051" s="2"/>
      <c r="L2051" s="2"/>
      <c r="M2051" s="2"/>
      <c r="N2051" s="2"/>
      <c r="O2051" s="2"/>
      <c r="P2051" s="2"/>
      <c r="Q2051" s="2"/>
      <c r="R2051" s="2"/>
      <c r="S2051" s="2"/>
      <c r="T2051" s="2"/>
      <c r="U2051" s="2"/>
      <c r="V2051" s="2"/>
      <c r="W2051" s="2"/>
      <c r="X2051" s="2"/>
      <c r="Y2051" s="2"/>
      <c r="Z2051" s="2"/>
      <c r="AA2051" s="2"/>
      <c r="AB2051" s="2"/>
    </row>
    <row r="2052">
      <c r="A2052" s="2"/>
      <c r="B2052" s="2"/>
      <c r="C2052" s="2"/>
      <c r="D2052" s="2"/>
      <c r="E2052" s="2"/>
      <c r="F2052" s="2"/>
      <c r="G2052" s="2"/>
      <c r="H2052" s="2"/>
      <c r="I2052" s="2"/>
      <c r="J2052" s="2"/>
      <c r="K2052" s="2"/>
      <c r="L2052" s="2"/>
      <c r="M2052" s="2"/>
      <c r="N2052" s="2"/>
      <c r="O2052" s="2"/>
      <c r="P2052" s="2"/>
      <c r="Q2052" s="2"/>
      <c r="R2052" s="2"/>
      <c r="S2052" s="2"/>
      <c r="T2052" s="2"/>
      <c r="U2052" s="2"/>
      <c r="V2052" s="2"/>
      <c r="W2052" s="2"/>
      <c r="X2052" s="2"/>
      <c r="Y2052" s="2"/>
      <c r="Z2052" s="2"/>
      <c r="AA2052" s="2"/>
      <c r="AB2052" s="2"/>
    </row>
    <row r="2053">
      <c r="A2053" s="2"/>
      <c r="B2053" s="2"/>
      <c r="C2053" s="2"/>
      <c r="D2053" s="2"/>
      <c r="E2053" s="2"/>
      <c r="F2053" s="2"/>
      <c r="G2053" s="2"/>
      <c r="H2053" s="2"/>
      <c r="I2053" s="2"/>
      <c r="J2053" s="2"/>
      <c r="K2053" s="2"/>
      <c r="L2053" s="2"/>
      <c r="M2053" s="2"/>
      <c r="N2053" s="2"/>
      <c r="O2053" s="2"/>
      <c r="P2053" s="2"/>
      <c r="Q2053" s="2"/>
      <c r="R2053" s="2"/>
      <c r="S2053" s="2"/>
      <c r="T2053" s="2"/>
      <c r="U2053" s="2"/>
      <c r="V2053" s="2"/>
      <c r="W2053" s="2"/>
      <c r="X2053" s="2"/>
      <c r="Y2053" s="2"/>
      <c r="Z2053" s="2"/>
      <c r="AA2053" s="2"/>
      <c r="AB2053" s="2"/>
    </row>
    <row r="2054">
      <c r="A2054" s="2"/>
      <c r="B2054" s="2"/>
      <c r="C2054" s="2"/>
      <c r="D2054" s="2"/>
      <c r="E2054" s="2"/>
      <c r="F2054" s="2"/>
      <c r="G2054" s="2"/>
      <c r="H2054" s="2"/>
      <c r="I2054" s="2"/>
      <c r="J2054" s="2"/>
      <c r="K2054" s="2"/>
      <c r="L2054" s="2"/>
      <c r="M2054" s="2"/>
      <c r="N2054" s="2"/>
      <c r="O2054" s="2"/>
      <c r="P2054" s="2"/>
      <c r="Q2054" s="2"/>
      <c r="R2054" s="2"/>
      <c r="S2054" s="2"/>
      <c r="T2054" s="2"/>
      <c r="U2054" s="2"/>
      <c r="V2054" s="2"/>
      <c r="W2054" s="2"/>
      <c r="X2054" s="2"/>
      <c r="Y2054" s="2"/>
      <c r="Z2054" s="2"/>
      <c r="AA2054" s="2"/>
      <c r="AB2054" s="2"/>
    </row>
    <row r="2055">
      <c r="A2055" s="2"/>
      <c r="B2055" s="2"/>
      <c r="C2055" s="2"/>
      <c r="D2055" s="2"/>
      <c r="E2055" s="2"/>
      <c r="F2055" s="2"/>
      <c r="G2055" s="2"/>
      <c r="H2055" s="2"/>
      <c r="I2055" s="2"/>
      <c r="J2055" s="2"/>
      <c r="K2055" s="2"/>
      <c r="L2055" s="2"/>
      <c r="M2055" s="2"/>
      <c r="N2055" s="2"/>
      <c r="O2055" s="2"/>
      <c r="P2055" s="2"/>
      <c r="Q2055" s="2"/>
      <c r="R2055" s="2"/>
      <c r="S2055" s="2"/>
      <c r="T2055" s="2"/>
      <c r="U2055" s="2"/>
      <c r="V2055" s="2"/>
      <c r="W2055" s="2"/>
      <c r="X2055" s="2"/>
      <c r="Y2055" s="2"/>
      <c r="Z2055" s="2"/>
      <c r="AA2055" s="2"/>
      <c r="AB2055" s="2"/>
    </row>
    <row r="2056">
      <c r="A2056" s="2"/>
      <c r="B2056" s="2"/>
      <c r="C2056" s="2"/>
      <c r="D2056" s="2"/>
      <c r="E2056" s="2"/>
      <c r="F2056" s="2"/>
      <c r="G2056" s="2"/>
      <c r="H2056" s="2"/>
      <c r="I2056" s="2"/>
      <c r="J2056" s="2"/>
      <c r="K2056" s="2"/>
      <c r="L2056" s="2"/>
      <c r="M2056" s="2"/>
      <c r="N2056" s="2"/>
      <c r="O2056" s="2"/>
      <c r="P2056" s="2"/>
      <c r="Q2056" s="2"/>
      <c r="R2056" s="2"/>
      <c r="S2056" s="2"/>
      <c r="T2056" s="2"/>
      <c r="U2056" s="2"/>
      <c r="V2056" s="2"/>
      <c r="W2056" s="2"/>
      <c r="X2056" s="2"/>
      <c r="Y2056" s="2"/>
      <c r="Z2056" s="2"/>
      <c r="AA2056" s="2"/>
      <c r="AB2056" s="2"/>
    </row>
    <row r="2057">
      <c r="A2057" s="2"/>
      <c r="B2057" s="2"/>
      <c r="C2057" s="2"/>
      <c r="D2057" s="2"/>
      <c r="E2057" s="2"/>
      <c r="F2057" s="2"/>
      <c r="G2057" s="2"/>
      <c r="H2057" s="2"/>
      <c r="I2057" s="2"/>
      <c r="J2057" s="2"/>
      <c r="K2057" s="2"/>
      <c r="L2057" s="2"/>
      <c r="M2057" s="2"/>
      <c r="N2057" s="2"/>
      <c r="O2057" s="2"/>
      <c r="P2057" s="2"/>
      <c r="Q2057" s="2"/>
      <c r="R2057" s="2"/>
      <c r="S2057" s="2"/>
      <c r="T2057" s="2"/>
      <c r="U2057" s="2"/>
      <c r="V2057" s="2"/>
      <c r="W2057" s="2"/>
      <c r="X2057" s="2"/>
      <c r="Y2057" s="2"/>
      <c r="Z2057" s="2"/>
      <c r="AA2057" s="2"/>
      <c r="AB2057" s="2"/>
    </row>
    <row r="2058">
      <c r="A2058" s="2"/>
      <c r="B2058" s="2"/>
      <c r="C2058" s="2"/>
      <c r="D2058" s="2"/>
      <c r="E2058" s="2"/>
      <c r="F2058" s="2"/>
      <c r="G2058" s="2"/>
      <c r="H2058" s="2"/>
      <c r="I2058" s="2"/>
      <c r="J2058" s="2"/>
      <c r="K2058" s="2"/>
      <c r="L2058" s="2"/>
      <c r="M2058" s="2"/>
      <c r="N2058" s="2"/>
      <c r="O2058" s="2"/>
      <c r="P2058" s="2"/>
      <c r="Q2058" s="2"/>
      <c r="R2058" s="2"/>
      <c r="S2058" s="2"/>
      <c r="T2058" s="2"/>
      <c r="U2058" s="2"/>
      <c r="V2058" s="2"/>
      <c r="W2058" s="2"/>
      <c r="X2058" s="2"/>
      <c r="Y2058" s="2"/>
      <c r="Z2058" s="2"/>
      <c r="AA2058" s="2"/>
      <c r="AB2058" s="2"/>
    </row>
    <row r="2059">
      <c r="A2059" s="2"/>
      <c r="B2059" s="2"/>
      <c r="C2059" s="2"/>
      <c r="D2059" s="2"/>
      <c r="E2059" s="2"/>
      <c r="F2059" s="2"/>
      <c r="G2059" s="2"/>
      <c r="H2059" s="2"/>
      <c r="I2059" s="2"/>
      <c r="J2059" s="2"/>
      <c r="K2059" s="2"/>
      <c r="L2059" s="2"/>
      <c r="M2059" s="2"/>
      <c r="N2059" s="2"/>
      <c r="O2059" s="2"/>
      <c r="P2059" s="2"/>
      <c r="Q2059" s="2"/>
      <c r="R2059" s="2"/>
      <c r="S2059" s="2"/>
      <c r="T2059" s="2"/>
      <c r="U2059" s="2"/>
      <c r="V2059" s="2"/>
      <c r="W2059" s="2"/>
      <c r="X2059" s="2"/>
      <c r="Y2059" s="2"/>
      <c r="Z2059" s="2"/>
      <c r="AA2059" s="2"/>
      <c r="AB2059" s="2"/>
    </row>
    <row r="2060">
      <c r="A2060" s="2"/>
      <c r="B2060" s="2"/>
      <c r="C2060" s="2"/>
      <c r="D2060" s="2"/>
      <c r="E2060" s="2"/>
      <c r="F2060" s="2"/>
      <c r="G2060" s="2"/>
      <c r="H2060" s="2"/>
      <c r="I2060" s="2"/>
      <c r="J2060" s="2"/>
      <c r="K2060" s="2"/>
      <c r="L2060" s="2"/>
      <c r="M2060" s="2"/>
      <c r="N2060" s="2"/>
      <c r="O2060" s="2"/>
      <c r="P2060" s="2"/>
      <c r="Q2060" s="2"/>
      <c r="R2060" s="2"/>
      <c r="S2060" s="2"/>
      <c r="T2060" s="2"/>
      <c r="U2060" s="2"/>
      <c r="V2060" s="2"/>
      <c r="W2060" s="2"/>
      <c r="X2060" s="2"/>
      <c r="Y2060" s="2"/>
      <c r="Z2060" s="2"/>
      <c r="AA2060" s="2"/>
      <c r="AB2060" s="2"/>
    </row>
    <row r="2061">
      <c r="A2061" s="2"/>
      <c r="B2061" s="2"/>
      <c r="C2061" s="2"/>
      <c r="D2061" s="2"/>
      <c r="E2061" s="2"/>
      <c r="F2061" s="2"/>
      <c r="G2061" s="2"/>
      <c r="H2061" s="2"/>
      <c r="I2061" s="2"/>
      <c r="J2061" s="2"/>
      <c r="K2061" s="2"/>
      <c r="L2061" s="2"/>
      <c r="M2061" s="2"/>
      <c r="N2061" s="2"/>
      <c r="O2061" s="2"/>
      <c r="P2061" s="2"/>
      <c r="Q2061" s="2"/>
      <c r="R2061" s="2"/>
      <c r="S2061" s="2"/>
      <c r="T2061" s="2"/>
      <c r="U2061" s="2"/>
      <c r="V2061" s="2"/>
      <c r="W2061" s="2"/>
      <c r="X2061" s="2"/>
      <c r="Y2061" s="2"/>
      <c r="Z2061" s="2"/>
      <c r="AA2061" s="2"/>
      <c r="AB2061" s="2"/>
    </row>
    <row r="2062">
      <c r="A2062" s="2"/>
      <c r="B2062" s="2"/>
      <c r="C2062" s="2"/>
      <c r="D2062" s="2"/>
      <c r="E2062" s="2"/>
      <c r="F2062" s="2"/>
      <c r="G2062" s="2"/>
      <c r="H2062" s="2"/>
      <c r="I2062" s="2"/>
      <c r="J2062" s="2"/>
      <c r="K2062" s="2"/>
      <c r="L2062" s="2"/>
      <c r="M2062" s="2"/>
      <c r="N2062" s="2"/>
      <c r="O2062" s="2"/>
      <c r="P2062" s="2"/>
      <c r="Q2062" s="2"/>
      <c r="R2062" s="2"/>
      <c r="S2062" s="2"/>
      <c r="T2062" s="2"/>
      <c r="U2062" s="2"/>
      <c r="V2062" s="2"/>
      <c r="W2062" s="2"/>
      <c r="X2062" s="2"/>
      <c r="Y2062" s="2"/>
      <c r="Z2062" s="2"/>
      <c r="AA2062" s="2"/>
      <c r="AB2062" s="2"/>
    </row>
    <row r="2063">
      <c r="A2063" s="2"/>
      <c r="B2063" s="2"/>
      <c r="C2063" s="2"/>
      <c r="D2063" s="2"/>
      <c r="E2063" s="2"/>
      <c r="F2063" s="2"/>
      <c r="G2063" s="2"/>
      <c r="H2063" s="2"/>
      <c r="I2063" s="2"/>
      <c r="J2063" s="2"/>
      <c r="K2063" s="2"/>
      <c r="L2063" s="2"/>
      <c r="M2063" s="2"/>
      <c r="N2063" s="2"/>
      <c r="O2063" s="2"/>
      <c r="P2063" s="2"/>
      <c r="Q2063" s="2"/>
      <c r="R2063" s="2"/>
      <c r="S2063" s="2"/>
      <c r="T2063" s="2"/>
      <c r="U2063" s="2"/>
      <c r="V2063" s="2"/>
      <c r="W2063" s="2"/>
      <c r="X2063" s="2"/>
      <c r="Y2063" s="2"/>
      <c r="Z2063" s="2"/>
      <c r="AA2063" s="2"/>
      <c r="AB2063" s="2"/>
    </row>
    <row r="2064">
      <c r="A2064" s="2"/>
      <c r="B2064" s="2"/>
      <c r="C2064" s="2"/>
      <c r="D2064" s="2"/>
      <c r="E2064" s="2"/>
      <c r="F2064" s="2"/>
      <c r="G2064" s="2"/>
      <c r="H2064" s="2"/>
      <c r="I2064" s="2"/>
      <c r="J2064" s="2"/>
      <c r="K2064" s="2"/>
      <c r="L2064" s="2"/>
      <c r="M2064" s="2"/>
      <c r="N2064" s="2"/>
      <c r="O2064" s="2"/>
      <c r="P2064" s="2"/>
      <c r="Q2064" s="2"/>
      <c r="R2064" s="2"/>
      <c r="S2064" s="2"/>
      <c r="T2064" s="2"/>
      <c r="U2064" s="2"/>
      <c r="V2064" s="2"/>
      <c r="W2064" s="2"/>
      <c r="X2064" s="2"/>
      <c r="Y2064" s="2"/>
      <c r="Z2064" s="2"/>
      <c r="AA2064" s="2"/>
      <c r="AB2064" s="2"/>
    </row>
    <row r="2065">
      <c r="A2065" s="2"/>
      <c r="B2065" s="2"/>
      <c r="C2065" s="2"/>
      <c r="D2065" s="2"/>
      <c r="E2065" s="2"/>
      <c r="F2065" s="2"/>
      <c r="G2065" s="2"/>
      <c r="H2065" s="2"/>
      <c r="I2065" s="2"/>
      <c r="J2065" s="2"/>
      <c r="K2065" s="2"/>
      <c r="L2065" s="2"/>
      <c r="M2065" s="2"/>
      <c r="N2065" s="2"/>
      <c r="O2065" s="2"/>
      <c r="P2065" s="2"/>
      <c r="Q2065" s="2"/>
      <c r="R2065" s="2"/>
      <c r="S2065" s="2"/>
      <c r="T2065" s="2"/>
      <c r="U2065" s="2"/>
      <c r="V2065" s="2"/>
      <c r="W2065" s="2"/>
      <c r="X2065" s="2"/>
      <c r="Y2065" s="2"/>
      <c r="Z2065" s="2"/>
      <c r="AA2065" s="2"/>
      <c r="AB2065" s="2"/>
    </row>
    <row r="2066">
      <c r="A2066" s="2"/>
      <c r="B2066" s="2"/>
      <c r="C2066" s="2"/>
      <c r="D2066" s="2"/>
      <c r="E2066" s="2"/>
      <c r="F2066" s="2"/>
      <c r="G2066" s="2"/>
      <c r="H2066" s="2"/>
      <c r="I2066" s="2"/>
      <c r="J2066" s="2"/>
      <c r="K2066" s="2"/>
      <c r="L2066" s="2"/>
      <c r="M2066" s="2"/>
      <c r="N2066" s="2"/>
      <c r="O2066" s="2"/>
      <c r="P2066" s="2"/>
      <c r="Q2066" s="2"/>
      <c r="R2066" s="2"/>
      <c r="S2066" s="2"/>
      <c r="T2066" s="2"/>
      <c r="U2066" s="2"/>
      <c r="V2066" s="2"/>
      <c r="W2066" s="2"/>
      <c r="X2066" s="2"/>
      <c r="Y2066" s="2"/>
      <c r="Z2066" s="2"/>
      <c r="AA2066" s="2"/>
      <c r="AB2066" s="2"/>
    </row>
    <row r="2067">
      <c r="A2067" s="2"/>
      <c r="B2067" s="2"/>
      <c r="C2067" s="2"/>
      <c r="D2067" s="2"/>
      <c r="E2067" s="2"/>
      <c r="F2067" s="2"/>
      <c r="G2067" s="2"/>
      <c r="H2067" s="2"/>
      <c r="I2067" s="2"/>
      <c r="J2067" s="2"/>
      <c r="K2067" s="2"/>
      <c r="L2067" s="2"/>
      <c r="M2067" s="2"/>
      <c r="N2067" s="2"/>
      <c r="O2067" s="2"/>
      <c r="P2067" s="2"/>
      <c r="Q2067" s="2"/>
      <c r="R2067" s="2"/>
      <c r="S2067" s="2"/>
      <c r="T2067" s="2"/>
      <c r="U2067" s="2"/>
      <c r="V2067" s="2"/>
      <c r="W2067" s="2"/>
      <c r="X2067" s="2"/>
      <c r="Y2067" s="2"/>
      <c r="Z2067" s="2"/>
      <c r="AA2067" s="2"/>
      <c r="AB2067" s="2"/>
    </row>
    <row r="2068">
      <c r="A2068" s="2"/>
      <c r="B2068" s="2"/>
      <c r="C2068" s="2"/>
      <c r="D2068" s="2"/>
      <c r="E2068" s="2"/>
      <c r="F2068" s="2"/>
      <c r="G2068" s="2"/>
      <c r="H2068" s="2"/>
      <c r="I2068" s="2"/>
      <c r="J2068" s="2"/>
      <c r="K2068" s="2"/>
      <c r="L2068" s="2"/>
      <c r="M2068" s="2"/>
      <c r="N2068" s="2"/>
      <c r="O2068" s="2"/>
      <c r="P2068" s="2"/>
      <c r="Q2068" s="2"/>
      <c r="R2068" s="2"/>
      <c r="S2068" s="2"/>
      <c r="T2068" s="2"/>
      <c r="U2068" s="2"/>
      <c r="V2068" s="2"/>
      <c r="W2068" s="2"/>
      <c r="X2068" s="2"/>
      <c r="Y2068" s="2"/>
      <c r="Z2068" s="2"/>
      <c r="AA2068" s="2"/>
      <c r="AB2068" s="2"/>
    </row>
    <row r="2069">
      <c r="A2069" s="2"/>
      <c r="B2069" s="2"/>
      <c r="C2069" s="2"/>
      <c r="D2069" s="2"/>
      <c r="E2069" s="2"/>
      <c r="F2069" s="2"/>
      <c r="G2069" s="2"/>
      <c r="H2069" s="2"/>
      <c r="I2069" s="2"/>
      <c r="J2069" s="2"/>
      <c r="K2069" s="2"/>
      <c r="L2069" s="2"/>
      <c r="M2069" s="2"/>
      <c r="N2069" s="2"/>
      <c r="O2069" s="2"/>
      <c r="P2069" s="2"/>
      <c r="Q2069" s="2"/>
      <c r="R2069" s="2"/>
      <c r="S2069" s="2"/>
      <c r="T2069" s="2"/>
      <c r="U2069" s="2"/>
      <c r="V2069" s="2"/>
      <c r="W2069" s="2"/>
      <c r="X2069" s="2"/>
      <c r="Y2069" s="2"/>
      <c r="Z2069" s="2"/>
      <c r="AA2069" s="2"/>
      <c r="AB2069" s="2"/>
    </row>
    <row r="2070">
      <c r="A2070" s="2"/>
      <c r="B2070" s="2"/>
      <c r="C2070" s="2"/>
      <c r="D2070" s="2"/>
      <c r="E2070" s="2"/>
      <c r="F2070" s="2"/>
      <c r="G2070" s="2"/>
      <c r="H2070" s="2"/>
      <c r="I2070" s="2"/>
      <c r="J2070" s="2"/>
      <c r="K2070" s="2"/>
      <c r="L2070" s="2"/>
      <c r="M2070" s="2"/>
      <c r="N2070" s="2"/>
      <c r="O2070" s="2"/>
      <c r="P2070" s="2"/>
      <c r="Q2070" s="2"/>
      <c r="R2070" s="2"/>
      <c r="S2070" s="2"/>
      <c r="T2070" s="2"/>
      <c r="U2070" s="2"/>
      <c r="V2070" s="2"/>
      <c r="W2070" s="2"/>
      <c r="X2070" s="2"/>
      <c r="Y2070" s="2"/>
      <c r="Z2070" s="2"/>
      <c r="AA2070" s="2"/>
      <c r="AB2070" s="2"/>
    </row>
    <row r="2071">
      <c r="A2071" s="2"/>
      <c r="B2071" s="2"/>
      <c r="C2071" s="2"/>
      <c r="D2071" s="2"/>
      <c r="E2071" s="2"/>
      <c r="F2071" s="2"/>
      <c r="G2071" s="2"/>
      <c r="H2071" s="2"/>
      <c r="I2071" s="2"/>
      <c r="J2071" s="2"/>
      <c r="K2071" s="2"/>
      <c r="L2071" s="2"/>
      <c r="M2071" s="2"/>
      <c r="N2071" s="2"/>
      <c r="O2071" s="2"/>
      <c r="P2071" s="2"/>
      <c r="Q2071" s="2"/>
      <c r="R2071" s="2"/>
      <c r="S2071" s="2"/>
      <c r="T2071" s="2"/>
      <c r="U2071" s="2"/>
      <c r="V2071" s="2"/>
      <c r="W2071" s="2"/>
      <c r="X2071" s="2"/>
      <c r="Y2071" s="2"/>
      <c r="Z2071" s="2"/>
      <c r="AA2071" s="2"/>
      <c r="AB2071" s="2"/>
    </row>
    <row r="2072">
      <c r="A2072" s="2"/>
      <c r="B2072" s="2"/>
      <c r="C2072" s="2"/>
      <c r="D2072" s="2"/>
      <c r="E2072" s="2"/>
      <c r="F2072" s="2"/>
      <c r="G2072" s="2"/>
      <c r="H2072" s="2"/>
      <c r="I2072" s="2"/>
      <c r="J2072" s="2"/>
      <c r="K2072" s="2"/>
      <c r="L2072" s="2"/>
      <c r="M2072" s="2"/>
      <c r="N2072" s="2"/>
      <c r="O2072" s="2"/>
      <c r="P2072" s="2"/>
      <c r="Q2072" s="2"/>
      <c r="R2072" s="2"/>
      <c r="S2072" s="2"/>
      <c r="T2072" s="2"/>
      <c r="U2072" s="2"/>
      <c r="V2072" s="2"/>
      <c r="W2072" s="2"/>
      <c r="X2072" s="2"/>
      <c r="Y2072" s="2"/>
      <c r="Z2072" s="2"/>
      <c r="AA2072" s="2"/>
      <c r="AB2072" s="2"/>
    </row>
    <row r="2073">
      <c r="A2073" s="2"/>
      <c r="B2073" s="2"/>
      <c r="C2073" s="2"/>
      <c r="D2073" s="2"/>
      <c r="E2073" s="2"/>
      <c r="F2073" s="2"/>
      <c r="G2073" s="2"/>
      <c r="H2073" s="2"/>
      <c r="I2073" s="2"/>
      <c r="J2073" s="2"/>
      <c r="K2073" s="2"/>
      <c r="L2073" s="2"/>
      <c r="M2073" s="2"/>
      <c r="N2073" s="2"/>
      <c r="O2073" s="2"/>
      <c r="P2073" s="2"/>
      <c r="Q2073" s="2"/>
      <c r="R2073" s="2"/>
      <c r="S2073" s="2"/>
      <c r="T2073" s="2"/>
      <c r="U2073" s="2"/>
      <c r="V2073" s="2"/>
      <c r="W2073" s="2"/>
      <c r="X2073" s="2"/>
      <c r="Y2073" s="2"/>
      <c r="Z2073" s="2"/>
      <c r="AA2073" s="2"/>
      <c r="AB2073" s="2"/>
    </row>
    <row r="2074">
      <c r="A2074" s="2"/>
      <c r="B2074" s="2"/>
      <c r="C2074" s="2"/>
      <c r="D2074" s="2"/>
      <c r="E2074" s="2"/>
      <c r="F2074" s="2"/>
      <c r="G2074" s="2"/>
      <c r="H2074" s="2"/>
      <c r="I2074" s="2"/>
      <c r="J2074" s="2"/>
      <c r="K2074" s="2"/>
      <c r="L2074" s="2"/>
      <c r="M2074" s="2"/>
      <c r="N2074" s="2"/>
      <c r="O2074" s="2"/>
      <c r="P2074" s="2"/>
      <c r="Q2074" s="2"/>
      <c r="R2074" s="2"/>
      <c r="S2074" s="2"/>
      <c r="T2074" s="2"/>
      <c r="U2074" s="2"/>
      <c r="V2074" s="2"/>
      <c r="W2074" s="2"/>
      <c r="X2074" s="2"/>
      <c r="Y2074" s="2"/>
      <c r="Z2074" s="2"/>
      <c r="AA2074" s="2"/>
      <c r="AB2074" s="2"/>
    </row>
    <row r="2075">
      <c r="A2075" s="2"/>
      <c r="B2075" s="2"/>
      <c r="C2075" s="2"/>
      <c r="D2075" s="2"/>
      <c r="E2075" s="2"/>
      <c r="F2075" s="2"/>
      <c r="G2075" s="2"/>
      <c r="H2075" s="2"/>
      <c r="I2075" s="2"/>
      <c r="J2075" s="2"/>
      <c r="K2075" s="2"/>
      <c r="L2075" s="2"/>
      <c r="M2075" s="2"/>
      <c r="N2075" s="2"/>
      <c r="O2075" s="2"/>
      <c r="P2075" s="2"/>
      <c r="Q2075" s="2"/>
      <c r="R2075" s="2"/>
      <c r="S2075" s="2"/>
      <c r="T2075" s="2"/>
      <c r="U2075" s="2"/>
      <c r="V2075" s="2"/>
      <c r="W2075" s="2"/>
      <c r="X2075" s="2"/>
      <c r="Y2075" s="2"/>
      <c r="Z2075" s="2"/>
      <c r="AA2075" s="2"/>
      <c r="AB2075" s="2"/>
    </row>
    <row r="2076">
      <c r="A2076" s="2"/>
      <c r="B2076" s="2"/>
      <c r="C2076" s="2"/>
      <c r="D2076" s="2"/>
      <c r="E2076" s="2"/>
      <c r="F2076" s="2"/>
      <c r="G2076" s="2"/>
      <c r="H2076" s="2"/>
      <c r="I2076" s="2"/>
      <c r="J2076" s="2"/>
      <c r="K2076" s="2"/>
      <c r="L2076" s="2"/>
      <c r="M2076" s="2"/>
      <c r="N2076" s="2"/>
      <c r="O2076" s="2"/>
      <c r="P2076" s="2"/>
      <c r="Q2076" s="2"/>
      <c r="R2076" s="2"/>
      <c r="S2076" s="2"/>
      <c r="T2076" s="2"/>
      <c r="U2076" s="2"/>
      <c r="V2076" s="2"/>
      <c r="W2076" s="2"/>
      <c r="X2076" s="2"/>
      <c r="Y2076" s="2"/>
      <c r="Z2076" s="2"/>
      <c r="AA2076" s="2"/>
      <c r="AB2076" s="2"/>
    </row>
    <row r="2077">
      <c r="A2077" s="2"/>
      <c r="B2077" s="2"/>
      <c r="C2077" s="2"/>
      <c r="D2077" s="2"/>
      <c r="E2077" s="2"/>
      <c r="F2077" s="2"/>
      <c r="G2077" s="2"/>
      <c r="H2077" s="2"/>
      <c r="I2077" s="2"/>
      <c r="J2077" s="2"/>
      <c r="K2077" s="2"/>
      <c r="L2077" s="2"/>
      <c r="M2077" s="2"/>
      <c r="N2077" s="2"/>
      <c r="O2077" s="2"/>
      <c r="P2077" s="2"/>
      <c r="Q2077" s="2"/>
      <c r="R2077" s="2"/>
      <c r="S2077" s="2"/>
      <c r="T2077" s="2"/>
      <c r="U2077" s="2"/>
      <c r="V2077" s="2"/>
      <c r="W2077" s="2"/>
      <c r="X2077" s="2"/>
      <c r="Y2077" s="2"/>
      <c r="Z2077" s="2"/>
      <c r="AA2077" s="2"/>
      <c r="AB2077" s="2"/>
    </row>
    <row r="2078">
      <c r="A2078" s="2"/>
      <c r="B2078" s="2"/>
      <c r="C2078" s="2"/>
      <c r="D2078" s="2"/>
      <c r="E2078" s="2"/>
      <c r="F2078" s="2"/>
      <c r="G2078" s="2"/>
      <c r="H2078" s="2"/>
      <c r="I2078" s="2"/>
      <c r="J2078" s="2"/>
      <c r="K2078" s="2"/>
      <c r="L2078" s="2"/>
      <c r="M2078" s="2"/>
      <c r="N2078" s="2"/>
      <c r="O2078" s="2"/>
      <c r="P2078" s="2"/>
      <c r="Q2078" s="2"/>
      <c r="R2078" s="2"/>
      <c r="S2078" s="2"/>
      <c r="T2078" s="2"/>
      <c r="U2078" s="2"/>
      <c r="V2078" s="2"/>
      <c r="W2078" s="2"/>
      <c r="X2078" s="2"/>
      <c r="Y2078" s="2"/>
      <c r="Z2078" s="2"/>
      <c r="AA2078" s="2"/>
      <c r="AB2078" s="2"/>
    </row>
    <row r="2079">
      <c r="A2079" s="2"/>
      <c r="B2079" s="2"/>
      <c r="C2079" s="2"/>
      <c r="D2079" s="2"/>
      <c r="E2079" s="2"/>
      <c r="F2079" s="2"/>
      <c r="G2079" s="2"/>
      <c r="H2079" s="2"/>
      <c r="I2079" s="2"/>
      <c r="J2079" s="2"/>
      <c r="K2079" s="2"/>
      <c r="L2079" s="2"/>
      <c r="M2079" s="2"/>
      <c r="N2079" s="2"/>
      <c r="O2079" s="2"/>
      <c r="P2079" s="2"/>
      <c r="Q2079" s="2"/>
      <c r="R2079" s="2"/>
      <c r="S2079" s="2"/>
      <c r="T2079" s="2"/>
      <c r="U2079" s="2"/>
      <c r="V2079" s="2"/>
      <c r="W2079" s="2"/>
      <c r="X2079" s="2"/>
      <c r="Y2079" s="2"/>
      <c r="Z2079" s="2"/>
      <c r="AA2079" s="2"/>
      <c r="AB2079" s="2"/>
    </row>
    <row r="2080">
      <c r="A2080" s="2"/>
      <c r="B2080" s="2"/>
      <c r="C2080" s="2"/>
      <c r="D2080" s="2"/>
      <c r="E2080" s="2"/>
      <c r="F2080" s="2"/>
      <c r="G2080" s="2"/>
      <c r="H2080" s="2"/>
      <c r="I2080" s="2"/>
      <c r="J2080" s="2"/>
      <c r="K2080" s="2"/>
      <c r="L2080" s="2"/>
      <c r="M2080" s="2"/>
      <c r="N2080" s="2"/>
      <c r="O2080" s="2"/>
      <c r="P2080" s="2"/>
      <c r="Q2080" s="2"/>
      <c r="R2080" s="2"/>
      <c r="S2080" s="2"/>
      <c r="T2080" s="2"/>
      <c r="U2080" s="2"/>
      <c r="V2080" s="2"/>
      <c r="W2080" s="2"/>
      <c r="X2080" s="2"/>
      <c r="Y2080" s="2"/>
      <c r="Z2080" s="2"/>
      <c r="AA2080" s="2"/>
      <c r="AB2080" s="2"/>
    </row>
    <row r="2081">
      <c r="A2081" s="2"/>
      <c r="B2081" s="2"/>
      <c r="C2081" s="2"/>
      <c r="D2081" s="2"/>
      <c r="E2081" s="2"/>
      <c r="F2081" s="2"/>
      <c r="G2081" s="2"/>
      <c r="H2081" s="2"/>
      <c r="I2081" s="2"/>
      <c r="J2081" s="2"/>
      <c r="K2081" s="2"/>
      <c r="L2081" s="2"/>
      <c r="M2081" s="2"/>
      <c r="N2081" s="2"/>
      <c r="O2081" s="2"/>
      <c r="P2081" s="2"/>
      <c r="Q2081" s="2"/>
      <c r="R2081" s="2"/>
      <c r="S2081" s="2"/>
      <c r="T2081" s="2"/>
      <c r="U2081" s="2"/>
      <c r="V2081" s="2"/>
      <c r="W2081" s="2"/>
      <c r="X2081" s="2"/>
      <c r="Y2081" s="2"/>
      <c r="Z2081" s="2"/>
      <c r="AA2081" s="2"/>
      <c r="AB2081" s="2"/>
    </row>
    <row r="2082">
      <c r="A2082" s="2"/>
      <c r="B2082" s="2"/>
      <c r="C2082" s="2"/>
      <c r="D2082" s="2"/>
      <c r="E2082" s="2"/>
      <c r="F2082" s="2"/>
      <c r="G2082" s="2"/>
      <c r="H2082" s="2"/>
      <c r="I2082" s="2"/>
      <c r="J2082" s="2"/>
      <c r="K2082" s="2"/>
      <c r="L2082" s="2"/>
      <c r="M2082" s="2"/>
      <c r="N2082" s="2"/>
      <c r="O2082" s="2"/>
      <c r="P2082" s="2"/>
      <c r="Q2082" s="2"/>
      <c r="R2082" s="2"/>
      <c r="S2082" s="2"/>
      <c r="T2082" s="2"/>
      <c r="U2082" s="2"/>
      <c r="V2082" s="2"/>
      <c r="W2082" s="2"/>
      <c r="X2082" s="2"/>
      <c r="Y2082" s="2"/>
      <c r="Z2082" s="2"/>
      <c r="AA2082" s="2"/>
      <c r="AB2082" s="2"/>
    </row>
    <row r="2083">
      <c r="A2083" s="2"/>
      <c r="B2083" s="2"/>
      <c r="C2083" s="2"/>
      <c r="D2083" s="2"/>
      <c r="E2083" s="2"/>
      <c r="F2083" s="2"/>
      <c r="G2083" s="2"/>
      <c r="H2083" s="2"/>
      <c r="I2083" s="2"/>
      <c r="J2083" s="2"/>
      <c r="K2083" s="2"/>
      <c r="L2083" s="2"/>
      <c r="M2083" s="2"/>
      <c r="N2083" s="2"/>
      <c r="O2083" s="2"/>
      <c r="P2083" s="2"/>
      <c r="Q2083" s="2"/>
      <c r="R2083" s="2"/>
      <c r="S2083" s="2"/>
      <c r="T2083" s="2"/>
      <c r="U2083" s="2"/>
      <c r="V2083" s="2"/>
      <c r="W2083" s="2"/>
      <c r="X2083" s="2"/>
      <c r="Y2083" s="2"/>
      <c r="Z2083" s="2"/>
      <c r="AA2083" s="2"/>
      <c r="AB2083" s="2"/>
    </row>
    <row r="2084">
      <c r="A2084" s="2"/>
      <c r="B2084" s="2"/>
      <c r="C2084" s="2"/>
      <c r="D2084" s="2"/>
      <c r="E2084" s="2"/>
      <c r="F2084" s="2"/>
      <c r="G2084" s="2"/>
      <c r="H2084" s="2"/>
      <c r="I2084" s="2"/>
      <c r="J2084" s="2"/>
      <c r="K2084" s="2"/>
      <c r="L2084" s="2"/>
      <c r="M2084" s="2"/>
      <c r="N2084" s="2"/>
      <c r="O2084" s="2"/>
      <c r="P2084" s="2"/>
      <c r="Q2084" s="2"/>
      <c r="R2084" s="2"/>
      <c r="S2084" s="2"/>
      <c r="T2084" s="2"/>
      <c r="U2084" s="2"/>
      <c r="V2084" s="2"/>
      <c r="W2084" s="2"/>
      <c r="X2084" s="2"/>
      <c r="Y2084" s="2"/>
      <c r="Z2084" s="2"/>
      <c r="AA2084" s="2"/>
      <c r="AB2084" s="2"/>
    </row>
    <row r="2085">
      <c r="A2085" s="2"/>
      <c r="B2085" s="2"/>
      <c r="C2085" s="2"/>
      <c r="D2085" s="2"/>
      <c r="E2085" s="2"/>
      <c r="F2085" s="2"/>
      <c r="G2085" s="2"/>
      <c r="H2085" s="2"/>
      <c r="I2085" s="2"/>
      <c r="J2085" s="2"/>
      <c r="K2085" s="2"/>
      <c r="L2085" s="2"/>
      <c r="M2085" s="2"/>
      <c r="N2085" s="2"/>
      <c r="O2085" s="2"/>
      <c r="P2085" s="2"/>
      <c r="Q2085" s="2"/>
      <c r="R2085" s="2"/>
      <c r="S2085" s="2"/>
      <c r="T2085" s="2"/>
      <c r="U2085" s="2"/>
      <c r="V2085" s="2"/>
      <c r="W2085" s="2"/>
      <c r="X2085" s="2"/>
      <c r="Y2085" s="2"/>
      <c r="Z2085" s="2"/>
      <c r="AA2085" s="2"/>
      <c r="AB2085" s="2"/>
    </row>
    <row r="2086">
      <c r="A2086" s="2"/>
      <c r="B2086" s="2"/>
      <c r="C2086" s="2"/>
      <c r="D2086" s="2"/>
      <c r="E2086" s="2"/>
      <c r="F2086" s="2"/>
      <c r="G2086" s="2"/>
      <c r="H2086" s="2"/>
      <c r="I2086" s="2"/>
      <c r="J2086" s="2"/>
      <c r="K2086" s="2"/>
      <c r="L2086" s="2"/>
      <c r="M2086" s="2"/>
      <c r="N2086" s="2"/>
      <c r="O2086" s="2"/>
      <c r="P2086" s="2"/>
      <c r="Q2086" s="2"/>
      <c r="R2086" s="2"/>
      <c r="S2086" s="2"/>
      <c r="T2086" s="2"/>
      <c r="U2086" s="2"/>
      <c r="V2086" s="2"/>
      <c r="W2086" s="2"/>
      <c r="X2086" s="2"/>
      <c r="Y2086" s="2"/>
      <c r="Z2086" s="2"/>
      <c r="AA2086" s="2"/>
      <c r="AB2086" s="2"/>
    </row>
    <row r="2087">
      <c r="A2087" s="2"/>
      <c r="B2087" s="2"/>
      <c r="C2087" s="2"/>
      <c r="D2087" s="2"/>
      <c r="E2087" s="2"/>
      <c r="F2087" s="2"/>
      <c r="G2087" s="2"/>
      <c r="H2087" s="2"/>
      <c r="I2087" s="2"/>
      <c r="J2087" s="2"/>
      <c r="K2087" s="2"/>
      <c r="L2087" s="2"/>
      <c r="M2087" s="2"/>
      <c r="N2087" s="2"/>
      <c r="O2087" s="2"/>
      <c r="P2087" s="2"/>
      <c r="Q2087" s="2"/>
      <c r="R2087" s="2"/>
      <c r="S2087" s="2"/>
      <c r="T2087" s="2"/>
      <c r="U2087" s="2"/>
      <c r="V2087" s="2"/>
      <c r="W2087" s="2"/>
      <c r="X2087" s="2"/>
      <c r="Y2087" s="2"/>
      <c r="Z2087" s="2"/>
      <c r="AA2087" s="2"/>
      <c r="AB2087" s="2"/>
    </row>
    <row r="2088">
      <c r="A2088" s="2"/>
      <c r="B2088" s="2"/>
      <c r="C2088" s="2"/>
      <c r="D2088" s="2"/>
      <c r="E2088" s="2"/>
      <c r="F2088" s="2"/>
      <c r="G2088" s="2"/>
      <c r="H2088" s="2"/>
      <c r="I2088" s="2"/>
      <c r="J2088" s="2"/>
      <c r="K2088" s="2"/>
      <c r="L2088" s="2"/>
      <c r="M2088" s="2"/>
      <c r="N2088" s="2"/>
      <c r="O2088" s="2"/>
      <c r="P2088" s="2"/>
      <c r="Q2088" s="2"/>
      <c r="R2088" s="2"/>
      <c r="S2088" s="2"/>
      <c r="T2088" s="2"/>
      <c r="U2088" s="2"/>
      <c r="V2088" s="2"/>
      <c r="W2088" s="2"/>
      <c r="X2088" s="2"/>
      <c r="Y2088" s="2"/>
      <c r="Z2088" s="2"/>
      <c r="AA2088" s="2"/>
      <c r="AB2088" s="2"/>
    </row>
    <row r="2089">
      <c r="A2089" s="2"/>
      <c r="B2089" s="2"/>
      <c r="C2089" s="2"/>
      <c r="D2089" s="2"/>
      <c r="E2089" s="2"/>
      <c r="F2089" s="2"/>
      <c r="G2089" s="2"/>
      <c r="H2089" s="2"/>
      <c r="I2089" s="2"/>
      <c r="J2089" s="2"/>
      <c r="K2089" s="2"/>
      <c r="L2089" s="2"/>
      <c r="M2089" s="2"/>
      <c r="N2089" s="2"/>
      <c r="O2089" s="2"/>
      <c r="P2089" s="2"/>
      <c r="Q2089" s="2"/>
      <c r="R2089" s="2"/>
      <c r="S2089" s="2"/>
      <c r="T2089" s="2"/>
      <c r="U2089" s="2"/>
      <c r="V2089" s="2"/>
      <c r="W2089" s="2"/>
      <c r="X2089" s="2"/>
      <c r="Y2089" s="2"/>
      <c r="Z2089" s="2"/>
      <c r="AA2089" s="2"/>
      <c r="AB2089" s="2"/>
    </row>
    <row r="2090">
      <c r="A2090" s="2"/>
      <c r="B2090" s="2"/>
      <c r="C2090" s="2"/>
      <c r="D2090" s="2"/>
      <c r="E2090" s="2"/>
      <c r="F2090" s="2"/>
      <c r="G2090" s="2"/>
      <c r="H2090" s="2"/>
      <c r="I2090" s="2"/>
      <c r="J2090" s="2"/>
      <c r="K2090" s="2"/>
      <c r="L2090" s="2"/>
      <c r="M2090" s="2"/>
      <c r="N2090" s="2"/>
      <c r="O2090" s="2"/>
      <c r="P2090" s="2"/>
      <c r="Q2090" s="2"/>
      <c r="R2090" s="2"/>
      <c r="S2090" s="2"/>
      <c r="T2090" s="2"/>
      <c r="U2090" s="2"/>
      <c r="V2090" s="2"/>
      <c r="W2090" s="2"/>
      <c r="X2090" s="2"/>
      <c r="Y2090" s="2"/>
      <c r="Z2090" s="2"/>
      <c r="AA2090" s="2"/>
      <c r="AB2090" s="2"/>
    </row>
    <row r="2091">
      <c r="A2091" s="2"/>
      <c r="B2091" s="2"/>
      <c r="C2091" s="2"/>
      <c r="D2091" s="2"/>
      <c r="E2091" s="2"/>
      <c r="F2091" s="2"/>
      <c r="G2091" s="2"/>
      <c r="H2091" s="2"/>
      <c r="I2091" s="2"/>
      <c r="J2091" s="2"/>
      <c r="K2091" s="2"/>
      <c r="L2091" s="2"/>
      <c r="M2091" s="2"/>
      <c r="N2091" s="2"/>
      <c r="O2091" s="2"/>
      <c r="P2091" s="2"/>
      <c r="Q2091" s="2"/>
      <c r="R2091" s="2"/>
      <c r="S2091" s="2"/>
      <c r="T2091" s="2"/>
      <c r="U2091" s="2"/>
      <c r="V2091" s="2"/>
      <c r="W2091" s="2"/>
      <c r="X2091" s="2"/>
      <c r="Y2091" s="2"/>
      <c r="Z2091" s="2"/>
      <c r="AA2091" s="2"/>
      <c r="AB2091" s="2"/>
    </row>
    <row r="2092">
      <c r="A2092" s="2"/>
      <c r="B2092" s="2"/>
      <c r="C2092" s="2"/>
      <c r="D2092" s="2"/>
      <c r="E2092" s="2"/>
      <c r="F2092" s="2"/>
      <c r="G2092" s="2"/>
      <c r="H2092" s="2"/>
      <c r="I2092" s="2"/>
      <c r="J2092" s="2"/>
      <c r="K2092" s="2"/>
      <c r="L2092" s="2"/>
      <c r="M2092" s="2"/>
      <c r="N2092" s="2"/>
      <c r="O2092" s="2"/>
      <c r="P2092" s="2"/>
      <c r="Q2092" s="2"/>
      <c r="R2092" s="2"/>
      <c r="S2092" s="2"/>
      <c r="T2092" s="2"/>
      <c r="U2092" s="2"/>
      <c r="V2092" s="2"/>
      <c r="W2092" s="2"/>
      <c r="X2092" s="2"/>
      <c r="Y2092" s="2"/>
      <c r="Z2092" s="2"/>
      <c r="AA2092" s="2"/>
      <c r="AB2092" s="2"/>
    </row>
    <row r="2093">
      <c r="A2093" s="2"/>
      <c r="B2093" s="2"/>
      <c r="C2093" s="2"/>
      <c r="D2093" s="2"/>
      <c r="E2093" s="2"/>
      <c r="F2093" s="2"/>
      <c r="G2093" s="2"/>
      <c r="H2093" s="2"/>
      <c r="I2093" s="2"/>
      <c r="J2093" s="2"/>
      <c r="K2093" s="2"/>
      <c r="L2093" s="2"/>
      <c r="M2093" s="2"/>
      <c r="N2093" s="2"/>
      <c r="O2093" s="2"/>
      <c r="P2093" s="2"/>
      <c r="Q2093" s="2"/>
      <c r="R2093" s="2"/>
      <c r="S2093" s="2"/>
      <c r="T2093" s="2"/>
      <c r="U2093" s="2"/>
      <c r="V2093" s="2"/>
      <c r="W2093" s="2"/>
      <c r="X2093" s="2"/>
      <c r="Y2093" s="2"/>
      <c r="Z2093" s="2"/>
      <c r="AA2093" s="2"/>
      <c r="AB2093" s="2"/>
    </row>
    <row r="2094">
      <c r="A2094" s="2"/>
      <c r="B2094" s="2"/>
      <c r="C2094" s="2"/>
      <c r="D2094" s="2"/>
      <c r="E2094" s="2"/>
      <c r="F2094" s="2"/>
      <c r="G2094" s="2"/>
      <c r="H2094" s="2"/>
      <c r="I2094" s="2"/>
      <c r="J2094" s="2"/>
      <c r="K2094" s="2"/>
      <c r="L2094" s="2"/>
      <c r="M2094" s="2"/>
      <c r="N2094" s="2"/>
      <c r="O2094" s="2"/>
      <c r="P2094" s="2"/>
      <c r="Q2094" s="2"/>
      <c r="R2094" s="2"/>
      <c r="S2094" s="2"/>
      <c r="T2094" s="2"/>
      <c r="U2094" s="2"/>
      <c r="V2094" s="2"/>
      <c r="W2094" s="2"/>
      <c r="X2094" s="2"/>
      <c r="Y2094" s="2"/>
      <c r="Z2094" s="2"/>
      <c r="AA2094" s="2"/>
      <c r="AB2094" s="2"/>
    </row>
    <row r="2095">
      <c r="A2095" s="2"/>
      <c r="B2095" s="2"/>
      <c r="C2095" s="2"/>
      <c r="D2095" s="2"/>
      <c r="E2095" s="2"/>
      <c r="F2095" s="2"/>
      <c r="G2095" s="2"/>
      <c r="H2095" s="2"/>
      <c r="I2095" s="2"/>
      <c r="J2095" s="2"/>
      <c r="K2095" s="2"/>
      <c r="L2095" s="2"/>
      <c r="M2095" s="2"/>
      <c r="N2095" s="2"/>
      <c r="O2095" s="2"/>
      <c r="P2095" s="2"/>
      <c r="Q2095" s="2"/>
      <c r="R2095" s="2"/>
      <c r="S2095" s="2"/>
      <c r="T2095" s="2"/>
      <c r="U2095" s="2"/>
      <c r="V2095" s="2"/>
      <c r="W2095" s="2"/>
      <c r="X2095" s="2"/>
      <c r="Y2095" s="2"/>
      <c r="Z2095" s="2"/>
      <c r="AA2095" s="2"/>
      <c r="AB2095" s="2"/>
    </row>
    <row r="2096">
      <c r="A2096" s="2"/>
      <c r="B2096" s="2"/>
      <c r="C2096" s="2"/>
      <c r="D2096" s="2"/>
      <c r="E2096" s="2"/>
      <c r="F2096" s="2"/>
      <c r="G2096" s="2"/>
      <c r="H2096" s="2"/>
      <c r="I2096" s="2"/>
      <c r="J2096" s="2"/>
      <c r="K2096" s="2"/>
      <c r="L2096" s="2"/>
      <c r="M2096" s="2"/>
      <c r="N2096" s="2"/>
      <c r="O2096" s="2"/>
      <c r="P2096" s="2"/>
      <c r="Q2096" s="2"/>
      <c r="R2096" s="2"/>
      <c r="S2096" s="2"/>
      <c r="T2096" s="2"/>
      <c r="U2096" s="2"/>
      <c r="V2096" s="2"/>
      <c r="W2096" s="2"/>
      <c r="X2096" s="2"/>
      <c r="Y2096" s="2"/>
      <c r="Z2096" s="2"/>
      <c r="AA2096" s="2"/>
      <c r="AB2096" s="2"/>
    </row>
    <row r="2097">
      <c r="A2097" s="2"/>
      <c r="B2097" s="2"/>
      <c r="C2097" s="2"/>
      <c r="D2097" s="2"/>
      <c r="E2097" s="2"/>
      <c r="F2097" s="2"/>
      <c r="G2097" s="2"/>
      <c r="H2097" s="2"/>
      <c r="I2097" s="2"/>
      <c r="J2097" s="2"/>
      <c r="K2097" s="2"/>
      <c r="L2097" s="2"/>
      <c r="M2097" s="2"/>
      <c r="N2097" s="2"/>
      <c r="O2097" s="2"/>
      <c r="P2097" s="2"/>
      <c r="Q2097" s="2"/>
      <c r="R2097" s="2"/>
      <c r="S2097" s="2"/>
      <c r="T2097" s="2"/>
      <c r="U2097" s="2"/>
      <c r="V2097" s="2"/>
      <c r="W2097" s="2"/>
      <c r="X2097" s="2"/>
      <c r="Y2097" s="2"/>
      <c r="Z2097" s="2"/>
      <c r="AA2097" s="2"/>
      <c r="AB2097" s="2"/>
    </row>
    <row r="2098">
      <c r="A2098" s="2"/>
      <c r="B2098" s="2"/>
      <c r="C2098" s="2"/>
      <c r="D2098" s="2"/>
      <c r="E2098" s="2"/>
      <c r="F2098" s="2"/>
      <c r="G2098" s="2"/>
      <c r="H2098" s="2"/>
      <c r="I2098" s="2"/>
      <c r="J2098" s="2"/>
      <c r="K2098" s="2"/>
      <c r="L2098" s="2"/>
      <c r="M2098" s="2"/>
      <c r="N2098" s="2"/>
      <c r="O2098" s="2"/>
      <c r="P2098" s="2"/>
      <c r="Q2098" s="2"/>
      <c r="R2098" s="2"/>
      <c r="S2098" s="2"/>
      <c r="T2098" s="2"/>
      <c r="U2098" s="2"/>
      <c r="V2098" s="2"/>
      <c r="W2098" s="2"/>
      <c r="X2098" s="2"/>
      <c r="Y2098" s="2"/>
      <c r="Z2098" s="2"/>
      <c r="AA2098" s="2"/>
      <c r="AB2098" s="2"/>
    </row>
    <row r="2099">
      <c r="A2099" s="2"/>
      <c r="B2099" s="2"/>
      <c r="C2099" s="2"/>
      <c r="D2099" s="2"/>
      <c r="E2099" s="2"/>
      <c r="F2099" s="2"/>
      <c r="G2099" s="2"/>
      <c r="H2099" s="2"/>
      <c r="I2099" s="2"/>
      <c r="J2099" s="2"/>
      <c r="K2099" s="2"/>
      <c r="L2099" s="2"/>
      <c r="M2099" s="2"/>
      <c r="N2099" s="2"/>
      <c r="O2099" s="2"/>
      <c r="P2099" s="2"/>
      <c r="Q2099" s="2"/>
      <c r="R2099" s="2"/>
      <c r="S2099" s="2"/>
      <c r="T2099" s="2"/>
      <c r="U2099" s="2"/>
      <c r="V2099" s="2"/>
      <c r="W2099" s="2"/>
      <c r="X2099" s="2"/>
      <c r="Y2099" s="2"/>
      <c r="Z2099" s="2"/>
      <c r="AA2099" s="2"/>
      <c r="AB2099" s="2"/>
    </row>
    <row r="2100">
      <c r="A2100" s="2"/>
      <c r="B2100" s="2"/>
      <c r="C2100" s="2"/>
      <c r="D2100" s="2"/>
      <c r="E2100" s="2"/>
      <c r="F2100" s="2"/>
      <c r="G2100" s="2"/>
      <c r="H2100" s="2"/>
      <c r="I2100" s="2"/>
      <c r="J2100" s="2"/>
      <c r="K2100" s="2"/>
      <c r="L2100" s="2"/>
      <c r="M2100" s="2"/>
      <c r="N2100" s="2"/>
      <c r="O2100" s="2"/>
      <c r="P2100" s="2"/>
      <c r="Q2100" s="2"/>
      <c r="R2100" s="2"/>
      <c r="S2100" s="2"/>
      <c r="T2100" s="2"/>
      <c r="U2100" s="2"/>
      <c r="V2100" s="2"/>
      <c r="W2100" s="2"/>
      <c r="X2100" s="2"/>
      <c r="Y2100" s="2"/>
      <c r="Z2100" s="2"/>
      <c r="AA2100" s="2"/>
      <c r="AB2100" s="2"/>
    </row>
    <row r="2101">
      <c r="A2101" s="2"/>
      <c r="B2101" s="2"/>
      <c r="C2101" s="2"/>
      <c r="D2101" s="2"/>
      <c r="E2101" s="2"/>
      <c r="F2101" s="2"/>
      <c r="G2101" s="2"/>
      <c r="H2101" s="2"/>
      <c r="I2101" s="2"/>
      <c r="J2101" s="2"/>
      <c r="K2101" s="2"/>
      <c r="L2101" s="2"/>
      <c r="M2101" s="2"/>
      <c r="N2101" s="2"/>
      <c r="O2101" s="2"/>
      <c r="P2101" s="2"/>
      <c r="Q2101" s="2"/>
      <c r="R2101" s="2"/>
      <c r="S2101" s="2"/>
      <c r="T2101" s="2"/>
      <c r="U2101" s="2"/>
      <c r="V2101" s="2"/>
      <c r="W2101" s="2"/>
      <c r="X2101" s="2"/>
      <c r="Y2101" s="2"/>
      <c r="Z2101" s="2"/>
      <c r="AA2101" s="2"/>
      <c r="AB2101" s="2"/>
    </row>
    <row r="2102">
      <c r="A2102" s="2"/>
      <c r="B2102" s="2"/>
      <c r="C2102" s="2"/>
      <c r="D2102" s="2"/>
      <c r="E2102" s="2"/>
      <c r="F2102" s="2"/>
      <c r="G2102" s="2"/>
      <c r="H2102" s="2"/>
      <c r="I2102" s="2"/>
      <c r="J2102" s="2"/>
      <c r="K2102" s="2"/>
      <c r="L2102" s="2"/>
      <c r="M2102" s="2"/>
      <c r="N2102" s="2"/>
      <c r="O2102" s="2"/>
      <c r="P2102" s="2"/>
      <c r="Q2102" s="2"/>
      <c r="R2102" s="2"/>
      <c r="S2102" s="2"/>
      <c r="T2102" s="2"/>
      <c r="U2102" s="2"/>
      <c r="V2102" s="2"/>
      <c r="W2102" s="2"/>
      <c r="X2102" s="2"/>
      <c r="Y2102" s="2"/>
      <c r="Z2102" s="2"/>
      <c r="AA2102" s="2"/>
      <c r="AB2102" s="2"/>
    </row>
    <row r="2103">
      <c r="A2103" s="2"/>
      <c r="B2103" s="2"/>
      <c r="C2103" s="2"/>
      <c r="D2103" s="2"/>
      <c r="E2103" s="2"/>
      <c r="F2103" s="2"/>
      <c r="G2103" s="2"/>
      <c r="H2103" s="2"/>
      <c r="I2103" s="2"/>
      <c r="J2103" s="2"/>
      <c r="K2103" s="2"/>
      <c r="L2103" s="2"/>
      <c r="M2103" s="2"/>
      <c r="N2103" s="2"/>
      <c r="O2103" s="2"/>
      <c r="P2103" s="2"/>
      <c r="Q2103" s="2"/>
      <c r="R2103" s="2"/>
      <c r="S2103" s="2"/>
      <c r="T2103" s="2"/>
      <c r="U2103" s="2"/>
      <c r="V2103" s="2"/>
      <c r="W2103" s="2"/>
      <c r="X2103" s="2"/>
      <c r="Y2103" s="2"/>
      <c r="Z2103" s="2"/>
      <c r="AA2103" s="2"/>
      <c r="AB2103" s="2"/>
    </row>
    <row r="2104">
      <c r="A2104" s="2"/>
      <c r="B2104" s="2"/>
      <c r="C2104" s="2"/>
      <c r="D2104" s="2"/>
      <c r="E2104" s="2"/>
      <c r="F2104" s="2"/>
      <c r="G2104" s="2"/>
      <c r="H2104" s="2"/>
      <c r="I2104" s="2"/>
      <c r="J2104" s="2"/>
      <c r="K2104" s="2"/>
      <c r="L2104" s="2"/>
      <c r="M2104" s="2"/>
      <c r="N2104" s="2"/>
      <c r="O2104" s="2"/>
      <c r="P2104" s="2"/>
      <c r="Q2104" s="2"/>
      <c r="R2104" s="2"/>
      <c r="S2104" s="2"/>
      <c r="T2104" s="2"/>
      <c r="U2104" s="2"/>
      <c r="V2104" s="2"/>
      <c r="W2104" s="2"/>
      <c r="X2104" s="2"/>
      <c r="Y2104" s="2"/>
      <c r="Z2104" s="2"/>
      <c r="AA2104" s="2"/>
      <c r="AB2104" s="2"/>
    </row>
    <row r="2105">
      <c r="A2105" s="2"/>
      <c r="B2105" s="2"/>
      <c r="C2105" s="2"/>
      <c r="D2105" s="2"/>
      <c r="E2105" s="2"/>
      <c r="F2105" s="2"/>
      <c r="G2105" s="2"/>
      <c r="H2105" s="2"/>
      <c r="I2105" s="2"/>
      <c r="J2105" s="2"/>
      <c r="K2105" s="2"/>
      <c r="L2105" s="2"/>
      <c r="M2105" s="2"/>
      <c r="N2105" s="2"/>
      <c r="O2105" s="2"/>
      <c r="P2105" s="2"/>
      <c r="Q2105" s="2"/>
      <c r="R2105" s="2"/>
      <c r="S2105" s="2"/>
      <c r="T2105" s="2"/>
      <c r="U2105" s="2"/>
      <c r="V2105" s="2"/>
      <c r="W2105" s="2"/>
      <c r="X2105" s="2"/>
      <c r="Y2105" s="2"/>
      <c r="Z2105" s="2"/>
      <c r="AA2105" s="2"/>
      <c r="AB2105" s="2"/>
    </row>
    <row r="2106">
      <c r="A2106" s="2"/>
      <c r="B2106" s="2"/>
      <c r="C2106" s="2"/>
      <c r="D2106" s="2"/>
      <c r="E2106" s="2"/>
      <c r="F2106" s="2"/>
      <c r="G2106" s="2"/>
      <c r="H2106" s="2"/>
      <c r="I2106" s="2"/>
      <c r="J2106" s="2"/>
      <c r="K2106" s="2"/>
      <c r="L2106" s="2"/>
      <c r="M2106" s="2"/>
      <c r="N2106" s="2"/>
      <c r="O2106" s="2"/>
      <c r="P2106" s="2"/>
      <c r="Q2106" s="2"/>
      <c r="R2106" s="2"/>
      <c r="S2106" s="2"/>
      <c r="T2106" s="2"/>
      <c r="U2106" s="2"/>
      <c r="V2106" s="2"/>
      <c r="W2106" s="2"/>
      <c r="X2106" s="2"/>
      <c r="Y2106" s="2"/>
      <c r="Z2106" s="2"/>
      <c r="AA2106" s="2"/>
      <c r="AB2106" s="2"/>
    </row>
    <row r="2107">
      <c r="A2107" s="2"/>
      <c r="B2107" s="2"/>
      <c r="C2107" s="2"/>
      <c r="D2107" s="2"/>
      <c r="E2107" s="2"/>
      <c r="F2107" s="2"/>
      <c r="G2107" s="2"/>
      <c r="H2107" s="2"/>
      <c r="I2107" s="2"/>
      <c r="J2107" s="2"/>
      <c r="K2107" s="2"/>
      <c r="L2107" s="2"/>
      <c r="M2107" s="2"/>
      <c r="N2107" s="2"/>
      <c r="O2107" s="2"/>
      <c r="P2107" s="2"/>
      <c r="Q2107" s="2"/>
      <c r="R2107" s="2"/>
      <c r="S2107" s="2"/>
      <c r="T2107" s="2"/>
      <c r="U2107" s="2"/>
      <c r="V2107" s="2"/>
      <c r="W2107" s="2"/>
      <c r="X2107" s="2"/>
      <c r="Y2107" s="2"/>
      <c r="Z2107" s="2"/>
      <c r="AA2107" s="2"/>
      <c r="AB2107" s="2"/>
    </row>
    <row r="2108">
      <c r="A2108" s="2"/>
      <c r="B2108" s="2"/>
      <c r="C2108" s="2"/>
      <c r="D2108" s="2"/>
      <c r="E2108" s="2"/>
      <c r="F2108" s="2"/>
      <c r="G2108" s="2"/>
      <c r="H2108" s="2"/>
      <c r="I2108" s="2"/>
      <c r="J2108" s="2"/>
      <c r="K2108" s="2"/>
      <c r="L2108" s="2"/>
      <c r="M2108" s="2"/>
      <c r="N2108" s="2"/>
      <c r="O2108" s="2"/>
      <c r="P2108" s="2"/>
      <c r="Q2108" s="2"/>
      <c r="R2108" s="2"/>
      <c r="S2108" s="2"/>
      <c r="T2108" s="2"/>
      <c r="U2108" s="2"/>
      <c r="V2108" s="2"/>
      <c r="W2108" s="2"/>
      <c r="X2108" s="2"/>
      <c r="Y2108" s="2"/>
      <c r="Z2108" s="2"/>
      <c r="AA2108" s="2"/>
      <c r="AB2108" s="2"/>
    </row>
    <row r="2109">
      <c r="A2109" s="2"/>
      <c r="B2109" s="2"/>
      <c r="C2109" s="2"/>
      <c r="D2109" s="2"/>
      <c r="E2109" s="2"/>
      <c r="F2109" s="2"/>
      <c r="G2109" s="2"/>
      <c r="H2109" s="2"/>
      <c r="I2109" s="2"/>
      <c r="J2109" s="2"/>
      <c r="K2109" s="2"/>
      <c r="L2109" s="2"/>
      <c r="M2109" s="2"/>
      <c r="N2109" s="2"/>
      <c r="O2109" s="2"/>
      <c r="P2109" s="2"/>
      <c r="Q2109" s="2"/>
      <c r="R2109" s="2"/>
      <c r="S2109" s="2"/>
      <c r="T2109" s="2"/>
      <c r="U2109" s="2"/>
      <c r="V2109" s="2"/>
      <c r="W2109" s="2"/>
      <c r="X2109" s="2"/>
      <c r="Y2109" s="2"/>
      <c r="Z2109" s="2"/>
      <c r="AA2109" s="2"/>
      <c r="AB2109" s="2"/>
    </row>
    <row r="2110">
      <c r="A2110" s="2"/>
      <c r="B2110" s="2"/>
      <c r="C2110" s="2"/>
      <c r="D2110" s="2"/>
      <c r="E2110" s="2"/>
      <c r="F2110" s="2"/>
      <c r="G2110" s="2"/>
      <c r="H2110" s="2"/>
      <c r="I2110" s="2"/>
      <c r="J2110" s="2"/>
      <c r="K2110" s="2"/>
      <c r="L2110" s="2"/>
      <c r="M2110" s="2"/>
      <c r="N2110" s="2"/>
      <c r="O2110" s="2"/>
      <c r="P2110" s="2"/>
      <c r="Q2110" s="2"/>
      <c r="R2110" s="2"/>
      <c r="S2110" s="2"/>
      <c r="T2110" s="2"/>
      <c r="U2110" s="2"/>
      <c r="V2110" s="2"/>
      <c r="W2110" s="2"/>
      <c r="X2110" s="2"/>
      <c r="Y2110" s="2"/>
      <c r="Z2110" s="2"/>
      <c r="AA2110" s="2"/>
      <c r="AB2110" s="2"/>
    </row>
    <row r="2111">
      <c r="A2111" s="2"/>
      <c r="B2111" s="2"/>
      <c r="C2111" s="2"/>
      <c r="D2111" s="2"/>
      <c r="E2111" s="2"/>
      <c r="F2111" s="2"/>
      <c r="G2111" s="2"/>
      <c r="H2111" s="2"/>
      <c r="I2111" s="2"/>
      <c r="J2111" s="2"/>
      <c r="K2111" s="2"/>
      <c r="L2111" s="2"/>
      <c r="M2111" s="2"/>
      <c r="N2111" s="2"/>
      <c r="O2111" s="2"/>
      <c r="P2111" s="2"/>
      <c r="Q2111" s="2"/>
      <c r="R2111" s="2"/>
      <c r="S2111" s="2"/>
      <c r="T2111" s="2"/>
      <c r="U2111" s="2"/>
      <c r="V2111" s="2"/>
      <c r="W2111" s="2"/>
      <c r="X2111" s="2"/>
      <c r="Y2111" s="2"/>
      <c r="Z2111" s="2"/>
      <c r="AA2111" s="2"/>
      <c r="AB2111" s="2"/>
    </row>
    <row r="2112">
      <c r="A2112" s="2"/>
      <c r="B2112" s="2"/>
      <c r="C2112" s="2"/>
      <c r="D2112" s="2"/>
      <c r="E2112" s="2"/>
      <c r="F2112" s="2"/>
      <c r="G2112" s="2"/>
      <c r="H2112" s="2"/>
      <c r="I2112" s="2"/>
      <c r="J2112" s="2"/>
      <c r="K2112" s="2"/>
      <c r="L2112" s="2"/>
      <c r="M2112" s="2"/>
      <c r="N2112" s="2"/>
      <c r="O2112" s="2"/>
      <c r="P2112" s="2"/>
      <c r="Q2112" s="2"/>
      <c r="R2112" s="2"/>
      <c r="S2112" s="2"/>
      <c r="T2112" s="2"/>
      <c r="U2112" s="2"/>
      <c r="V2112" s="2"/>
      <c r="W2112" s="2"/>
      <c r="X2112" s="2"/>
      <c r="Y2112" s="2"/>
      <c r="Z2112" s="2"/>
      <c r="AA2112" s="2"/>
      <c r="AB2112" s="2"/>
    </row>
    <row r="2113">
      <c r="A2113" s="2"/>
      <c r="B2113" s="2"/>
      <c r="C2113" s="2"/>
      <c r="D2113" s="2"/>
      <c r="E2113" s="2"/>
      <c r="F2113" s="2"/>
      <c r="G2113" s="2"/>
      <c r="H2113" s="2"/>
      <c r="I2113" s="2"/>
      <c r="J2113" s="2"/>
      <c r="K2113" s="2"/>
      <c r="L2113" s="2"/>
      <c r="M2113" s="2"/>
      <c r="N2113" s="2"/>
      <c r="O2113" s="2"/>
      <c r="P2113" s="2"/>
      <c r="Q2113" s="2"/>
      <c r="R2113" s="2"/>
      <c r="S2113" s="2"/>
      <c r="T2113" s="2"/>
      <c r="U2113" s="2"/>
      <c r="V2113" s="2"/>
      <c r="W2113" s="2"/>
      <c r="X2113" s="2"/>
      <c r="Y2113" s="2"/>
      <c r="Z2113" s="2"/>
      <c r="AA2113" s="2"/>
      <c r="AB2113" s="2"/>
    </row>
    <row r="2114">
      <c r="A2114" s="2"/>
      <c r="B2114" s="2"/>
      <c r="C2114" s="2"/>
      <c r="D2114" s="2"/>
      <c r="E2114" s="2"/>
      <c r="F2114" s="2"/>
      <c r="G2114" s="2"/>
      <c r="H2114" s="2"/>
      <c r="I2114" s="2"/>
      <c r="J2114" s="2"/>
      <c r="K2114" s="2"/>
      <c r="L2114" s="2"/>
      <c r="M2114" s="2"/>
      <c r="N2114" s="2"/>
      <c r="O2114" s="2"/>
      <c r="P2114" s="2"/>
      <c r="Q2114" s="2"/>
      <c r="R2114" s="2"/>
      <c r="S2114" s="2"/>
      <c r="T2114" s="2"/>
      <c r="U2114" s="2"/>
      <c r="V2114" s="2"/>
      <c r="W2114" s="2"/>
      <c r="X2114" s="2"/>
      <c r="Y2114" s="2"/>
      <c r="Z2114" s="2"/>
      <c r="AA2114" s="2"/>
      <c r="AB2114" s="2"/>
    </row>
    <row r="2115">
      <c r="A2115" s="2"/>
      <c r="B2115" s="2"/>
      <c r="C2115" s="2"/>
      <c r="D2115" s="2"/>
      <c r="E2115" s="2"/>
      <c r="F2115" s="2"/>
      <c r="G2115" s="2"/>
      <c r="H2115" s="2"/>
      <c r="I2115" s="2"/>
      <c r="J2115" s="2"/>
      <c r="K2115" s="2"/>
      <c r="L2115" s="2"/>
      <c r="M2115" s="2"/>
      <c r="N2115" s="2"/>
      <c r="O2115" s="2"/>
      <c r="P2115" s="2"/>
      <c r="Q2115" s="2"/>
      <c r="R2115" s="2"/>
      <c r="S2115" s="2"/>
      <c r="T2115" s="2"/>
      <c r="U2115" s="2"/>
      <c r="V2115" s="2"/>
      <c r="W2115" s="2"/>
      <c r="X2115" s="2"/>
      <c r="Y2115" s="2"/>
      <c r="Z2115" s="2"/>
      <c r="AA2115" s="2"/>
      <c r="AB2115" s="2"/>
    </row>
    <row r="2116">
      <c r="A2116" s="2"/>
      <c r="B2116" s="2"/>
      <c r="C2116" s="2"/>
      <c r="D2116" s="2"/>
      <c r="E2116" s="2"/>
      <c r="F2116" s="2"/>
      <c r="G2116" s="2"/>
      <c r="H2116" s="2"/>
      <c r="I2116" s="2"/>
      <c r="J2116" s="2"/>
      <c r="K2116" s="2"/>
      <c r="L2116" s="2"/>
      <c r="M2116" s="2"/>
      <c r="N2116" s="2"/>
      <c r="O2116" s="2"/>
      <c r="P2116" s="2"/>
      <c r="Q2116" s="2"/>
      <c r="R2116" s="2"/>
      <c r="S2116" s="2"/>
      <c r="T2116" s="2"/>
      <c r="U2116" s="2"/>
      <c r="V2116" s="2"/>
      <c r="W2116" s="2"/>
      <c r="X2116" s="2"/>
      <c r="Y2116" s="2"/>
      <c r="Z2116" s="2"/>
      <c r="AA2116" s="2"/>
      <c r="AB2116" s="2"/>
    </row>
    <row r="2117">
      <c r="A2117" s="2"/>
      <c r="B2117" s="2"/>
      <c r="C2117" s="2"/>
      <c r="D2117" s="2"/>
      <c r="E2117" s="2"/>
      <c r="F2117" s="2"/>
      <c r="G2117" s="2"/>
      <c r="H2117" s="2"/>
      <c r="I2117" s="2"/>
      <c r="J2117" s="2"/>
      <c r="K2117" s="2"/>
      <c r="L2117" s="2"/>
      <c r="M2117" s="2"/>
      <c r="N2117" s="2"/>
      <c r="O2117" s="2"/>
      <c r="P2117" s="2"/>
      <c r="Q2117" s="2"/>
      <c r="R2117" s="2"/>
      <c r="S2117" s="2"/>
      <c r="T2117" s="2"/>
      <c r="U2117" s="2"/>
      <c r="V2117" s="2"/>
      <c r="W2117" s="2"/>
      <c r="X2117" s="2"/>
      <c r="Y2117" s="2"/>
      <c r="Z2117" s="2"/>
      <c r="AA2117" s="2"/>
      <c r="AB2117" s="2"/>
    </row>
    <row r="2118">
      <c r="A2118" s="2"/>
      <c r="B2118" s="2"/>
      <c r="C2118" s="2"/>
      <c r="D2118" s="2"/>
      <c r="E2118" s="2"/>
      <c r="F2118" s="2"/>
      <c r="G2118" s="2"/>
      <c r="H2118" s="2"/>
      <c r="I2118" s="2"/>
      <c r="J2118" s="2"/>
      <c r="K2118" s="2"/>
      <c r="L2118" s="2"/>
      <c r="M2118" s="2"/>
      <c r="N2118" s="2"/>
      <c r="O2118" s="2"/>
      <c r="P2118" s="2"/>
      <c r="Q2118" s="2"/>
      <c r="R2118" s="2"/>
      <c r="S2118" s="2"/>
      <c r="T2118" s="2"/>
      <c r="U2118" s="2"/>
      <c r="V2118" s="2"/>
      <c r="W2118" s="2"/>
      <c r="X2118" s="2"/>
      <c r="Y2118" s="2"/>
      <c r="Z2118" s="2"/>
      <c r="AA2118" s="2"/>
      <c r="AB2118" s="2"/>
    </row>
    <row r="2119">
      <c r="A2119" s="2"/>
      <c r="B2119" s="2"/>
      <c r="C2119" s="2"/>
      <c r="D2119" s="2"/>
      <c r="E2119" s="2"/>
      <c r="F2119" s="2"/>
      <c r="G2119" s="2"/>
      <c r="H2119" s="2"/>
      <c r="I2119" s="2"/>
      <c r="J2119" s="2"/>
      <c r="K2119" s="2"/>
      <c r="L2119" s="2"/>
      <c r="M2119" s="2"/>
      <c r="N2119" s="2"/>
      <c r="O2119" s="2"/>
      <c r="P2119" s="2"/>
      <c r="Q2119" s="2"/>
      <c r="R2119" s="2"/>
      <c r="S2119" s="2"/>
      <c r="T2119" s="2"/>
      <c r="U2119" s="2"/>
      <c r="V2119" s="2"/>
      <c r="W2119" s="2"/>
      <c r="X2119" s="2"/>
      <c r="Y2119" s="2"/>
      <c r="Z2119" s="2"/>
      <c r="AA2119" s="2"/>
      <c r="AB2119" s="2"/>
    </row>
    <row r="2120">
      <c r="A2120" s="2"/>
      <c r="B2120" s="2"/>
      <c r="C2120" s="2"/>
      <c r="D2120" s="2"/>
      <c r="E2120" s="2"/>
      <c r="F2120" s="2"/>
      <c r="G2120" s="2"/>
      <c r="H2120" s="2"/>
      <c r="I2120" s="2"/>
      <c r="J2120" s="2"/>
      <c r="K2120" s="2"/>
      <c r="L2120" s="2"/>
      <c r="M2120" s="2"/>
      <c r="N2120" s="2"/>
      <c r="O2120" s="2"/>
      <c r="P2120" s="2"/>
      <c r="Q2120" s="2"/>
      <c r="R2120" s="2"/>
      <c r="S2120" s="2"/>
      <c r="T2120" s="2"/>
      <c r="U2120" s="2"/>
      <c r="V2120" s="2"/>
      <c r="W2120" s="2"/>
      <c r="X2120" s="2"/>
      <c r="Y2120" s="2"/>
      <c r="Z2120" s="2"/>
      <c r="AA2120" s="2"/>
      <c r="AB2120" s="2"/>
    </row>
    <row r="2121">
      <c r="A2121" s="2"/>
      <c r="B2121" s="2"/>
      <c r="C2121" s="2"/>
      <c r="D2121" s="2"/>
      <c r="E2121" s="2"/>
      <c r="F2121" s="2"/>
      <c r="G2121" s="2"/>
      <c r="H2121" s="2"/>
      <c r="I2121" s="2"/>
      <c r="J2121" s="2"/>
      <c r="K2121" s="2"/>
      <c r="L2121" s="2"/>
      <c r="M2121" s="2"/>
      <c r="N2121" s="2"/>
      <c r="O2121" s="2"/>
      <c r="P2121" s="2"/>
      <c r="Q2121" s="2"/>
      <c r="R2121" s="2"/>
      <c r="S2121" s="2"/>
      <c r="T2121" s="2"/>
      <c r="U2121" s="2"/>
      <c r="V2121" s="2"/>
      <c r="W2121" s="2"/>
      <c r="X2121" s="2"/>
      <c r="Y2121" s="2"/>
      <c r="Z2121" s="2"/>
      <c r="AA2121" s="2"/>
      <c r="AB2121" s="2"/>
    </row>
    <row r="2122">
      <c r="A2122" s="2"/>
      <c r="B2122" s="2"/>
      <c r="C2122" s="2"/>
      <c r="D2122" s="2"/>
      <c r="E2122" s="2"/>
      <c r="F2122" s="2"/>
      <c r="G2122" s="2"/>
      <c r="H2122" s="2"/>
      <c r="I2122" s="2"/>
      <c r="J2122" s="2"/>
      <c r="K2122" s="2"/>
      <c r="L2122" s="2"/>
      <c r="M2122" s="2"/>
      <c r="N2122" s="2"/>
      <c r="O2122" s="2"/>
      <c r="P2122" s="2"/>
      <c r="Q2122" s="2"/>
      <c r="R2122" s="2"/>
      <c r="S2122" s="2"/>
      <c r="T2122" s="2"/>
      <c r="U2122" s="2"/>
      <c r="V2122" s="2"/>
      <c r="W2122" s="2"/>
      <c r="X2122" s="2"/>
      <c r="Y2122" s="2"/>
      <c r="Z2122" s="2"/>
      <c r="AA2122" s="2"/>
      <c r="AB2122" s="2"/>
    </row>
    <row r="2123">
      <c r="A2123" s="2"/>
      <c r="B2123" s="2"/>
      <c r="C2123" s="2"/>
      <c r="D2123" s="2"/>
      <c r="E2123" s="2"/>
      <c r="F2123" s="2"/>
      <c r="G2123" s="2"/>
      <c r="H2123" s="2"/>
      <c r="I2123" s="2"/>
      <c r="J2123" s="2"/>
      <c r="K2123" s="2"/>
      <c r="L2123" s="2"/>
      <c r="M2123" s="2"/>
      <c r="N2123" s="2"/>
      <c r="O2123" s="2"/>
      <c r="P2123" s="2"/>
      <c r="Q2123" s="2"/>
      <c r="R2123" s="2"/>
      <c r="S2123" s="2"/>
      <c r="T2123" s="2"/>
      <c r="U2123" s="2"/>
      <c r="V2123" s="2"/>
      <c r="W2123" s="2"/>
      <c r="X2123" s="2"/>
      <c r="Y2123" s="2"/>
      <c r="Z2123" s="2"/>
      <c r="AA2123" s="2"/>
      <c r="AB2123" s="2"/>
    </row>
    <row r="2124">
      <c r="A2124" s="2"/>
      <c r="B2124" s="2"/>
      <c r="C2124" s="2"/>
      <c r="D2124" s="2"/>
      <c r="E2124" s="2"/>
      <c r="F2124" s="2"/>
      <c r="G2124" s="2"/>
      <c r="H2124" s="2"/>
      <c r="I2124" s="2"/>
      <c r="J2124" s="2"/>
      <c r="K2124" s="2"/>
      <c r="L2124" s="2"/>
      <c r="M2124" s="2"/>
      <c r="N2124" s="2"/>
      <c r="O2124" s="2"/>
      <c r="P2124" s="2"/>
      <c r="Q2124" s="2"/>
      <c r="R2124" s="2"/>
      <c r="S2124" s="2"/>
      <c r="T2124" s="2"/>
      <c r="U2124" s="2"/>
      <c r="V2124" s="2"/>
      <c r="W2124" s="2"/>
      <c r="X2124" s="2"/>
      <c r="Y2124" s="2"/>
      <c r="Z2124" s="2"/>
      <c r="AA2124" s="2"/>
      <c r="AB2124" s="2"/>
    </row>
    <row r="2125">
      <c r="A2125" s="2"/>
      <c r="B2125" s="2"/>
      <c r="C2125" s="2"/>
      <c r="D2125" s="2"/>
      <c r="E2125" s="2"/>
      <c r="F2125" s="2"/>
      <c r="G2125" s="2"/>
      <c r="H2125" s="2"/>
      <c r="I2125" s="2"/>
      <c r="J2125" s="2"/>
      <c r="K2125" s="2"/>
      <c r="L2125" s="2"/>
      <c r="M2125" s="2"/>
      <c r="N2125" s="2"/>
      <c r="O2125" s="2"/>
      <c r="P2125" s="2"/>
      <c r="Q2125" s="2"/>
      <c r="R2125" s="2"/>
      <c r="S2125" s="2"/>
      <c r="T2125" s="2"/>
      <c r="U2125" s="2"/>
      <c r="V2125" s="2"/>
      <c r="W2125" s="2"/>
      <c r="X2125" s="2"/>
      <c r="Y2125" s="2"/>
      <c r="Z2125" s="2"/>
      <c r="AA2125" s="2"/>
      <c r="AB2125" s="2"/>
    </row>
    <row r="2126">
      <c r="A2126" s="2"/>
      <c r="B2126" s="2"/>
      <c r="C2126" s="2"/>
      <c r="D2126" s="2"/>
      <c r="E2126" s="2"/>
      <c r="F2126" s="2"/>
      <c r="G2126" s="2"/>
      <c r="H2126" s="2"/>
      <c r="I2126" s="2"/>
      <c r="J2126" s="2"/>
      <c r="K2126" s="2"/>
      <c r="L2126" s="2"/>
      <c r="M2126" s="2"/>
      <c r="N2126" s="2"/>
      <c r="O2126" s="2"/>
      <c r="P2126" s="2"/>
      <c r="Q2126" s="2"/>
      <c r="R2126" s="2"/>
      <c r="S2126" s="2"/>
      <c r="T2126" s="2"/>
      <c r="U2126" s="2"/>
      <c r="V2126" s="2"/>
      <c r="W2126" s="2"/>
      <c r="X2126" s="2"/>
      <c r="Y2126" s="2"/>
      <c r="Z2126" s="2"/>
      <c r="AA2126" s="2"/>
      <c r="AB2126" s="2"/>
    </row>
    <row r="2127">
      <c r="A2127" s="2"/>
      <c r="B2127" s="2"/>
      <c r="C2127" s="2"/>
      <c r="D2127" s="2"/>
      <c r="E2127" s="2"/>
      <c r="F2127" s="2"/>
      <c r="G2127" s="2"/>
      <c r="H2127" s="2"/>
      <c r="I2127" s="2"/>
      <c r="J2127" s="2"/>
      <c r="K2127" s="2"/>
      <c r="L2127" s="2"/>
      <c r="M2127" s="2"/>
      <c r="N2127" s="2"/>
      <c r="O2127" s="2"/>
      <c r="P2127" s="2"/>
      <c r="Q2127" s="2"/>
      <c r="R2127" s="2"/>
      <c r="S2127" s="2"/>
      <c r="T2127" s="2"/>
      <c r="U2127" s="2"/>
      <c r="V2127" s="2"/>
      <c r="W2127" s="2"/>
      <c r="X2127" s="2"/>
      <c r="Y2127" s="2"/>
      <c r="Z2127" s="2"/>
      <c r="AA2127" s="2"/>
      <c r="AB2127" s="2"/>
    </row>
    <row r="2128">
      <c r="A2128" s="2"/>
      <c r="B2128" s="2"/>
      <c r="C2128" s="2"/>
      <c r="D2128" s="2"/>
      <c r="E2128" s="2"/>
      <c r="F2128" s="2"/>
      <c r="G2128" s="2"/>
      <c r="H2128" s="2"/>
      <c r="I2128" s="2"/>
      <c r="J2128" s="2"/>
      <c r="K2128" s="2"/>
      <c r="L2128" s="2"/>
      <c r="M2128" s="2"/>
      <c r="N2128" s="2"/>
      <c r="O2128" s="2"/>
      <c r="P2128" s="2"/>
      <c r="Q2128" s="2"/>
      <c r="R2128" s="2"/>
      <c r="S2128" s="2"/>
      <c r="T2128" s="2"/>
      <c r="U2128" s="2"/>
      <c r="V2128" s="2"/>
      <c r="W2128" s="2"/>
      <c r="X2128" s="2"/>
      <c r="Y2128" s="2"/>
      <c r="Z2128" s="2"/>
      <c r="AA2128" s="2"/>
      <c r="AB2128" s="2"/>
    </row>
    <row r="2129">
      <c r="A2129" s="2"/>
      <c r="B2129" s="2"/>
      <c r="C2129" s="2"/>
      <c r="D2129" s="2"/>
      <c r="E2129" s="2"/>
      <c r="F2129" s="2"/>
      <c r="G2129" s="2"/>
      <c r="H2129" s="2"/>
      <c r="I2129" s="2"/>
      <c r="J2129" s="2"/>
      <c r="K2129" s="2"/>
      <c r="L2129" s="2"/>
      <c r="M2129" s="2"/>
      <c r="N2129" s="2"/>
      <c r="O2129" s="2"/>
      <c r="P2129" s="2"/>
      <c r="Q2129" s="2"/>
      <c r="R2129" s="2"/>
      <c r="S2129" s="2"/>
      <c r="T2129" s="2"/>
      <c r="U2129" s="2"/>
      <c r="V2129" s="2"/>
      <c r="W2129" s="2"/>
      <c r="X2129" s="2"/>
      <c r="Y2129" s="2"/>
      <c r="Z2129" s="2"/>
      <c r="AA2129" s="2"/>
      <c r="AB2129" s="2"/>
    </row>
    <row r="2130">
      <c r="A2130" s="2"/>
      <c r="B2130" s="2"/>
      <c r="C2130" s="2"/>
      <c r="D2130" s="2"/>
      <c r="E2130" s="2"/>
      <c r="F2130" s="2"/>
      <c r="G2130" s="2"/>
      <c r="H2130" s="2"/>
      <c r="I2130" s="2"/>
      <c r="J2130" s="2"/>
      <c r="K2130" s="2"/>
      <c r="L2130" s="2"/>
      <c r="M2130" s="2"/>
      <c r="N2130" s="2"/>
      <c r="O2130" s="2"/>
      <c r="P2130" s="2"/>
      <c r="Q2130" s="2"/>
      <c r="R2130" s="2"/>
      <c r="S2130" s="2"/>
      <c r="T2130" s="2"/>
      <c r="U2130" s="2"/>
      <c r="V2130" s="2"/>
      <c r="W2130" s="2"/>
      <c r="X2130" s="2"/>
      <c r="Y2130" s="2"/>
      <c r="Z2130" s="2"/>
      <c r="AA2130" s="2"/>
      <c r="AB2130" s="2"/>
    </row>
    <row r="2131">
      <c r="A2131" s="2"/>
      <c r="B2131" s="2"/>
      <c r="C2131" s="2"/>
      <c r="D2131" s="2"/>
      <c r="E2131" s="2"/>
      <c r="F2131" s="2"/>
      <c r="G2131" s="2"/>
      <c r="H2131" s="2"/>
      <c r="I2131" s="2"/>
      <c r="J2131" s="2"/>
      <c r="K2131" s="2"/>
      <c r="L2131" s="2"/>
      <c r="M2131" s="2"/>
      <c r="N2131" s="2"/>
      <c r="O2131" s="2"/>
      <c r="P2131" s="2"/>
      <c r="Q2131" s="2"/>
      <c r="R2131" s="2"/>
      <c r="S2131" s="2"/>
      <c r="T2131" s="2"/>
      <c r="U2131" s="2"/>
      <c r="V2131" s="2"/>
      <c r="W2131" s="2"/>
      <c r="X2131" s="2"/>
      <c r="Y2131" s="2"/>
      <c r="Z2131" s="2"/>
      <c r="AA2131" s="2"/>
      <c r="AB2131" s="2"/>
    </row>
    <row r="2132">
      <c r="A2132" s="2"/>
      <c r="B2132" s="2"/>
      <c r="C2132" s="2"/>
      <c r="D2132" s="2"/>
      <c r="E2132" s="2"/>
      <c r="F2132" s="2"/>
      <c r="G2132" s="2"/>
      <c r="H2132" s="2"/>
      <c r="I2132" s="2"/>
      <c r="J2132" s="2"/>
      <c r="K2132" s="2"/>
      <c r="L2132" s="2"/>
      <c r="M2132" s="2"/>
      <c r="N2132" s="2"/>
      <c r="O2132" s="2"/>
      <c r="P2132" s="2"/>
      <c r="Q2132" s="2"/>
      <c r="R2132" s="2"/>
      <c r="S2132" s="2"/>
      <c r="T2132" s="2"/>
      <c r="U2132" s="2"/>
      <c r="V2132" s="2"/>
      <c r="W2132" s="2"/>
      <c r="X2132" s="2"/>
      <c r="Y2132" s="2"/>
      <c r="Z2132" s="2"/>
      <c r="AA2132" s="2"/>
      <c r="AB2132" s="2"/>
    </row>
    <row r="2133">
      <c r="A2133" s="2"/>
      <c r="B2133" s="2"/>
      <c r="C2133" s="2"/>
      <c r="D2133" s="2"/>
      <c r="E2133" s="2"/>
      <c r="F2133" s="2"/>
      <c r="G2133" s="2"/>
      <c r="H2133" s="2"/>
      <c r="I2133" s="2"/>
      <c r="J2133" s="2"/>
      <c r="K2133" s="2"/>
      <c r="L2133" s="2"/>
      <c r="M2133" s="2"/>
      <c r="N2133" s="2"/>
      <c r="O2133" s="2"/>
      <c r="P2133" s="2"/>
      <c r="Q2133" s="2"/>
      <c r="R2133" s="2"/>
      <c r="S2133" s="2"/>
      <c r="T2133" s="2"/>
      <c r="U2133" s="2"/>
      <c r="V2133" s="2"/>
      <c r="W2133" s="2"/>
      <c r="X2133" s="2"/>
      <c r="Y2133" s="2"/>
      <c r="Z2133" s="2"/>
      <c r="AA2133" s="2"/>
      <c r="AB2133" s="2"/>
    </row>
    <row r="2134">
      <c r="A2134" s="2"/>
      <c r="B2134" s="2"/>
      <c r="C2134" s="2"/>
      <c r="D2134" s="2"/>
      <c r="E2134" s="2"/>
      <c r="F2134" s="2"/>
      <c r="G2134" s="2"/>
      <c r="H2134" s="2"/>
      <c r="I2134" s="2"/>
      <c r="J2134" s="2"/>
      <c r="K2134" s="2"/>
      <c r="L2134" s="2"/>
      <c r="M2134" s="2"/>
      <c r="N2134" s="2"/>
      <c r="O2134" s="2"/>
      <c r="P2134" s="2"/>
      <c r="Q2134" s="2"/>
      <c r="R2134" s="2"/>
      <c r="S2134" s="2"/>
      <c r="T2134" s="2"/>
      <c r="U2134" s="2"/>
      <c r="V2134" s="2"/>
      <c r="W2134" s="2"/>
      <c r="X2134" s="2"/>
      <c r="Y2134" s="2"/>
      <c r="Z2134" s="2"/>
      <c r="AA2134" s="2"/>
      <c r="AB2134" s="2"/>
    </row>
    <row r="2135">
      <c r="A2135" s="2"/>
      <c r="B2135" s="2"/>
      <c r="C2135" s="2"/>
      <c r="D2135" s="2"/>
      <c r="E2135" s="2"/>
      <c r="F2135" s="2"/>
      <c r="G2135" s="2"/>
      <c r="H2135" s="2"/>
      <c r="I2135" s="2"/>
      <c r="J2135" s="2"/>
      <c r="K2135" s="2"/>
      <c r="L2135" s="2"/>
      <c r="M2135" s="2"/>
      <c r="N2135" s="2"/>
      <c r="O2135" s="2"/>
      <c r="P2135" s="2"/>
      <c r="Q2135" s="2"/>
      <c r="R2135" s="2"/>
      <c r="S2135" s="2"/>
      <c r="T2135" s="2"/>
      <c r="U2135" s="2"/>
      <c r="V2135" s="2"/>
      <c r="W2135" s="2"/>
      <c r="X2135" s="2"/>
      <c r="Y2135" s="2"/>
      <c r="Z2135" s="2"/>
      <c r="AA2135" s="2"/>
      <c r="AB2135" s="2"/>
    </row>
    <row r="2136">
      <c r="A2136" s="2"/>
      <c r="B2136" s="2"/>
      <c r="C2136" s="2"/>
      <c r="D2136" s="2"/>
      <c r="E2136" s="2"/>
      <c r="F2136" s="2"/>
      <c r="G2136" s="2"/>
      <c r="H2136" s="2"/>
      <c r="I2136" s="2"/>
      <c r="J2136" s="2"/>
      <c r="K2136" s="2"/>
      <c r="L2136" s="2"/>
      <c r="M2136" s="2"/>
      <c r="N2136" s="2"/>
      <c r="O2136" s="2"/>
      <c r="P2136" s="2"/>
      <c r="Q2136" s="2"/>
      <c r="R2136" s="2"/>
      <c r="S2136" s="2"/>
      <c r="T2136" s="2"/>
      <c r="U2136" s="2"/>
      <c r="V2136" s="2"/>
      <c r="W2136" s="2"/>
      <c r="X2136" s="2"/>
      <c r="Y2136" s="2"/>
      <c r="Z2136" s="2"/>
      <c r="AA2136" s="2"/>
      <c r="AB2136" s="2"/>
    </row>
    <row r="2137">
      <c r="A2137" s="2"/>
      <c r="B2137" s="2"/>
      <c r="C2137" s="2"/>
      <c r="D2137" s="2"/>
      <c r="E2137" s="2"/>
      <c r="F2137" s="2"/>
      <c r="G2137" s="2"/>
      <c r="H2137" s="2"/>
      <c r="I2137" s="2"/>
      <c r="J2137" s="2"/>
      <c r="K2137" s="2"/>
      <c r="L2137" s="2"/>
      <c r="M2137" s="2"/>
      <c r="N2137" s="2"/>
      <c r="O2137" s="2"/>
      <c r="P2137" s="2"/>
      <c r="Q2137" s="2"/>
      <c r="R2137" s="2"/>
      <c r="S2137" s="2"/>
      <c r="T2137" s="2"/>
      <c r="U2137" s="2"/>
      <c r="V2137" s="2"/>
      <c r="W2137" s="2"/>
      <c r="X2137" s="2"/>
      <c r="Y2137" s="2"/>
      <c r="Z2137" s="2"/>
      <c r="AA2137" s="2"/>
      <c r="AB2137" s="2"/>
    </row>
    <row r="2138">
      <c r="A2138" s="2"/>
      <c r="B2138" s="2"/>
      <c r="C2138" s="2"/>
      <c r="D2138" s="2"/>
      <c r="E2138" s="2"/>
      <c r="F2138" s="2"/>
      <c r="G2138" s="2"/>
      <c r="H2138" s="2"/>
      <c r="I2138" s="2"/>
      <c r="J2138" s="2"/>
      <c r="K2138" s="2"/>
      <c r="L2138" s="2"/>
      <c r="M2138" s="2"/>
      <c r="N2138" s="2"/>
      <c r="O2138" s="2"/>
      <c r="P2138" s="2"/>
      <c r="Q2138" s="2"/>
      <c r="R2138" s="2"/>
      <c r="S2138" s="2"/>
      <c r="T2138" s="2"/>
      <c r="U2138" s="2"/>
      <c r="V2138" s="2"/>
      <c r="W2138" s="2"/>
      <c r="X2138" s="2"/>
      <c r="Y2138" s="2"/>
      <c r="Z2138" s="2"/>
      <c r="AA2138" s="2"/>
      <c r="AB2138" s="2"/>
    </row>
    <row r="2139">
      <c r="A2139" s="2"/>
      <c r="B2139" s="2"/>
      <c r="C2139" s="2"/>
      <c r="D2139" s="2"/>
      <c r="E2139" s="2"/>
      <c r="F2139" s="2"/>
      <c r="G2139" s="2"/>
      <c r="H2139" s="2"/>
      <c r="I2139" s="2"/>
      <c r="J2139" s="2"/>
      <c r="K2139" s="2"/>
      <c r="L2139" s="2"/>
      <c r="M2139" s="2"/>
      <c r="N2139" s="2"/>
      <c r="O2139" s="2"/>
      <c r="P2139" s="2"/>
      <c r="Q2139" s="2"/>
      <c r="R2139" s="2"/>
      <c r="S2139" s="2"/>
      <c r="T2139" s="2"/>
      <c r="U2139" s="2"/>
      <c r="V2139" s="2"/>
      <c r="W2139" s="2"/>
      <c r="X2139" s="2"/>
      <c r="Y2139" s="2"/>
      <c r="Z2139" s="2"/>
      <c r="AA2139" s="2"/>
      <c r="AB2139" s="2"/>
    </row>
    <row r="2140">
      <c r="A2140" s="2"/>
      <c r="B2140" s="2"/>
      <c r="C2140" s="2"/>
      <c r="D2140" s="2"/>
      <c r="E2140" s="2"/>
      <c r="F2140" s="2"/>
      <c r="G2140" s="2"/>
      <c r="H2140" s="2"/>
      <c r="I2140" s="2"/>
      <c r="J2140" s="2"/>
      <c r="K2140" s="2"/>
      <c r="L2140" s="2"/>
      <c r="M2140" s="2"/>
      <c r="N2140" s="2"/>
      <c r="O2140" s="2"/>
      <c r="P2140" s="2"/>
      <c r="Q2140" s="2"/>
      <c r="R2140" s="2"/>
      <c r="S2140" s="2"/>
      <c r="T2140" s="2"/>
      <c r="U2140" s="2"/>
      <c r="V2140" s="2"/>
      <c r="W2140" s="2"/>
      <c r="X2140" s="2"/>
      <c r="Y2140" s="2"/>
      <c r="Z2140" s="2"/>
      <c r="AA2140" s="2"/>
      <c r="AB2140" s="2"/>
    </row>
    <row r="2141">
      <c r="A2141" s="2"/>
      <c r="B2141" s="2"/>
      <c r="C2141" s="2"/>
      <c r="D2141" s="2"/>
      <c r="E2141" s="2"/>
      <c r="F2141" s="2"/>
      <c r="G2141" s="2"/>
      <c r="H2141" s="2"/>
      <c r="I2141" s="2"/>
      <c r="J2141" s="2"/>
      <c r="K2141" s="2"/>
      <c r="L2141" s="2"/>
      <c r="M2141" s="2"/>
      <c r="N2141" s="2"/>
      <c r="O2141" s="2"/>
      <c r="P2141" s="2"/>
      <c r="Q2141" s="2"/>
      <c r="R2141" s="2"/>
      <c r="S2141" s="2"/>
      <c r="T2141" s="2"/>
      <c r="U2141" s="2"/>
      <c r="V2141" s="2"/>
      <c r="W2141" s="2"/>
      <c r="X2141" s="2"/>
      <c r="Y2141" s="2"/>
      <c r="Z2141" s="2"/>
      <c r="AA2141" s="2"/>
      <c r="AB2141" s="2"/>
    </row>
    <row r="2142">
      <c r="A2142" s="2"/>
      <c r="B2142" s="2"/>
      <c r="C2142" s="2"/>
      <c r="D2142" s="2"/>
      <c r="E2142" s="2"/>
      <c r="F2142" s="2"/>
      <c r="G2142" s="2"/>
      <c r="H2142" s="2"/>
      <c r="I2142" s="2"/>
      <c r="J2142" s="2"/>
      <c r="K2142" s="2"/>
      <c r="L2142" s="2"/>
      <c r="M2142" s="2"/>
      <c r="N2142" s="2"/>
      <c r="O2142" s="2"/>
      <c r="P2142" s="2"/>
      <c r="Q2142" s="2"/>
      <c r="R2142" s="2"/>
      <c r="S2142" s="2"/>
      <c r="T2142" s="2"/>
      <c r="U2142" s="2"/>
      <c r="V2142" s="2"/>
      <c r="W2142" s="2"/>
      <c r="X2142" s="2"/>
      <c r="Y2142" s="2"/>
      <c r="Z2142" s="2"/>
      <c r="AA2142" s="2"/>
      <c r="AB2142" s="2"/>
    </row>
    <row r="2143">
      <c r="A2143" s="2"/>
      <c r="B2143" s="2"/>
      <c r="C2143" s="2"/>
      <c r="D2143" s="2"/>
      <c r="E2143" s="2"/>
      <c r="F2143" s="2"/>
      <c r="G2143" s="2"/>
      <c r="H2143" s="2"/>
      <c r="I2143" s="2"/>
      <c r="J2143" s="2"/>
      <c r="K2143" s="2"/>
      <c r="L2143" s="2"/>
      <c r="M2143" s="2"/>
      <c r="N2143" s="2"/>
      <c r="O2143" s="2"/>
      <c r="P2143" s="2"/>
      <c r="Q2143" s="2"/>
      <c r="R2143" s="2"/>
      <c r="S2143" s="2"/>
      <c r="T2143" s="2"/>
      <c r="U2143" s="2"/>
      <c r="V2143" s="2"/>
      <c r="W2143" s="2"/>
      <c r="X2143" s="2"/>
      <c r="Y2143" s="2"/>
      <c r="Z2143" s="2"/>
      <c r="AA2143" s="2"/>
      <c r="AB2143" s="2"/>
    </row>
    <row r="2144">
      <c r="A2144" s="2"/>
      <c r="B2144" s="2"/>
      <c r="C2144" s="2"/>
      <c r="D2144" s="2"/>
      <c r="E2144" s="2"/>
      <c r="F2144" s="2"/>
      <c r="G2144" s="2"/>
      <c r="H2144" s="2"/>
      <c r="I2144" s="2"/>
      <c r="J2144" s="2"/>
      <c r="K2144" s="2"/>
      <c r="L2144" s="2"/>
      <c r="M2144" s="2"/>
      <c r="N2144" s="2"/>
      <c r="O2144" s="2"/>
      <c r="P2144" s="2"/>
      <c r="Q2144" s="2"/>
      <c r="R2144" s="2"/>
      <c r="S2144" s="2"/>
      <c r="T2144" s="2"/>
      <c r="U2144" s="2"/>
      <c r="V2144" s="2"/>
      <c r="W2144" s="2"/>
      <c r="X2144" s="2"/>
      <c r="Y2144" s="2"/>
      <c r="Z2144" s="2"/>
      <c r="AA2144" s="2"/>
      <c r="AB2144" s="2"/>
    </row>
    <row r="2145">
      <c r="A2145" s="2"/>
      <c r="B2145" s="2"/>
      <c r="C2145" s="2"/>
      <c r="D2145" s="2"/>
      <c r="E2145" s="2"/>
      <c r="F2145" s="2"/>
      <c r="G2145" s="2"/>
      <c r="H2145" s="2"/>
      <c r="I2145" s="2"/>
      <c r="J2145" s="2"/>
      <c r="K2145" s="2"/>
      <c r="L2145" s="2"/>
      <c r="M2145" s="2"/>
      <c r="N2145" s="2"/>
      <c r="O2145" s="2"/>
      <c r="P2145" s="2"/>
      <c r="Q2145" s="2"/>
      <c r="R2145" s="2"/>
      <c r="S2145" s="2"/>
      <c r="T2145" s="2"/>
      <c r="U2145" s="2"/>
      <c r="V2145" s="2"/>
      <c r="W2145" s="2"/>
      <c r="X2145" s="2"/>
      <c r="Y2145" s="2"/>
      <c r="Z2145" s="2"/>
      <c r="AA2145" s="2"/>
      <c r="AB2145" s="2"/>
    </row>
    <row r="2146">
      <c r="A2146" s="2"/>
      <c r="B2146" s="2"/>
      <c r="C2146" s="2"/>
      <c r="D2146" s="2"/>
      <c r="E2146" s="2"/>
      <c r="F2146" s="2"/>
      <c r="G2146" s="2"/>
      <c r="H2146" s="2"/>
      <c r="I2146" s="2"/>
      <c r="J2146" s="2"/>
      <c r="K2146" s="2"/>
      <c r="L2146" s="2"/>
      <c r="M2146" s="2"/>
      <c r="N2146" s="2"/>
      <c r="O2146" s="2"/>
      <c r="P2146" s="2"/>
      <c r="Q2146" s="2"/>
      <c r="R2146" s="2"/>
      <c r="S2146" s="2"/>
      <c r="T2146" s="2"/>
      <c r="U2146" s="2"/>
      <c r="V2146" s="2"/>
      <c r="W2146" s="2"/>
      <c r="X2146" s="2"/>
      <c r="Y2146" s="2"/>
      <c r="Z2146" s="2"/>
      <c r="AA2146" s="2"/>
      <c r="AB2146" s="2"/>
    </row>
    <row r="2147">
      <c r="A2147" s="2"/>
      <c r="B2147" s="2"/>
      <c r="C2147" s="2"/>
      <c r="D2147" s="2"/>
      <c r="E2147" s="2"/>
      <c r="F2147" s="2"/>
      <c r="G2147" s="2"/>
      <c r="H2147" s="2"/>
      <c r="I2147" s="2"/>
      <c r="J2147" s="2"/>
      <c r="K2147" s="2"/>
      <c r="L2147" s="2"/>
      <c r="M2147" s="2"/>
      <c r="N2147" s="2"/>
      <c r="O2147" s="2"/>
      <c r="P2147" s="2"/>
      <c r="Q2147" s="2"/>
      <c r="R2147" s="2"/>
      <c r="S2147" s="2"/>
      <c r="T2147" s="2"/>
      <c r="U2147" s="2"/>
      <c r="V2147" s="2"/>
      <c r="W2147" s="2"/>
      <c r="X2147" s="2"/>
      <c r="Y2147" s="2"/>
      <c r="Z2147" s="2"/>
      <c r="AA2147" s="2"/>
      <c r="AB2147" s="2"/>
    </row>
    <row r="2148">
      <c r="A2148" s="2"/>
      <c r="B2148" s="2"/>
      <c r="C2148" s="2"/>
      <c r="D2148" s="2"/>
      <c r="E2148" s="2"/>
      <c r="F2148" s="2"/>
      <c r="G2148" s="2"/>
      <c r="H2148" s="2"/>
      <c r="I2148" s="2"/>
      <c r="J2148" s="2"/>
      <c r="K2148" s="2"/>
      <c r="L2148" s="2"/>
      <c r="M2148" s="2"/>
      <c r="N2148" s="2"/>
      <c r="O2148" s="2"/>
      <c r="P2148" s="2"/>
      <c r="Q2148" s="2"/>
      <c r="R2148" s="2"/>
      <c r="S2148" s="2"/>
      <c r="T2148" s="2"/>
      <c r="U2148" s="2"/>
      <c r="V2148" s="2"/>
      <c r="W2148" s="2"/>
      <c r="X2148" s="2"/>
      <c r="Y2148" s="2"/>
      <c r="Z2148" s="2"/>
      <c r="AA2148" s="2"/>
      <c r="AB2148" s="2"/>
    </row>
    <row r="2149">
      <c r="A2149" s="2"/>
      <c r="B2149" s="2"/>
      <c r="C2149" s="2"/>
      <c r="D2149" s="2"/>
      <c r="E2149" s="2"/>
      <c r="F2149" s="2"/>
      <c r="G2149" s="2"/>
      <c r="H2149" s="2"/>
      <c r="I2149" s="2"/>
      <c r="J2149" s="2"/>
      <c r="K2149" s="2"/>
      <c r="L2149" s="2"/>
      <c r="M2149" s="2"/>
      <c r="N2149" s="2"/>
      <c r="O2149" s="2"/>
      <c r="P2149" s="2"/>
      <c r="Q2149" s="2"/>
      <c r="R2149" s="2"/>
      <c r="S2149" s="2"/>
      <c r="T2149" s="2"/>
      <c r="U2149" s="2"/>
      <c r="V2149" s="2"/>
      <c r="W2149" s="2"/>
      <c r="X2149" s="2"/>
      <c r="Y2149" s="2"/>
      <c r="Z2149" s="2"/>
      <c r="AA2149" s="2"/>
      <c r="AB2149" s="2"/>
    </row>
    <row r="2150">
      <c r="A2150" s="2"/>
      <c r="B2150" s="2"/>
      <c r="C2150" s="2"/>
      <c r="D2150" s="2"/>
      <c r="E2150" s="2"/>
      <c r="F2150" s="2"/>
      <c r="G2150" s="2"/>
      <c r="H2150" s="2"/>
      <c r="I2150" s="2"/>
      <c r="J2150" s="2"/>
      <c r="K2150" s="2"/>
      <c r="L2150" s="2"/>
      <c r="M2150" s="2"/>
      <c r="N2150" s="2"/>
      <c r="O2150" s="2"/>
      <c r="P2150" s="2"/>
      <c r="Q2150" s="2"/>
      <c r="R2150" s="2"/>
      <c r="S2150" s="2"/>
      <c r="T2150" s="2"/>
      <c r="U2150" s="2"/>
      <c r="V2150" s="2"/>
      <c r="W2150" s="2"/>
      <c r="X2150" s="2"/>
      <c r="Y2150" s="2"/>
      <c r="Z2150" s="2"/>
      <c r="AA2150" s="2"/>
      <c r="AB2150" s="2"/>
    </row>
    <row r="2151">
      <c r="A2151" s="2"/>
      <c r="B2151" s="2"/>
      <c r="C2151" s="2"/>
      <c r="D2151" s="2"/>
      <c r="E2151" s="2"/>
      <c r="F2151" s="2"/>
      <c r="G2151" s="2"/>
      <c r="H2151" s="2"/>
      <c r="I2151" s="2"/>
      <c r="J2151" s="2"/>
      <c r="K2151" s="2"/>
      <c r="L2151" s="2"/>
      <c r="M2151" s="2"/>
      <c r="N2151" s="2"/>
      <c r="O2151" s="2"/>
      <c r="P2151" s="2"/>
      <c r="Q2151" s="2"/>
      <c r="R2151" s="2"/>
      <c r="S2151" s="2"/>
      <c r="T2151" s="2"/>
      <c r="U2151" s="2"/>
      <c r="V2151" s="2"/>
      <c r="W2151" s="2"/>
      <c r="X2151" s="2"/>
      <c r="Y2151" s="2"/>
      <c r="Z2151" s="2"/>
      <c r="AA2151" s="2"/>
      <c r="AB2151" s="2"/>
    </row>
    <row r="2152">
      <c r="A2152" s="2"/>
      <c r="B2152" s="2"/>
      <c r="C2152" s="2"/>
      <c r="D2152" s="2"/>
      <c r="E2152" s="2"/>
      <c r="F2152" s="2"/>
      <c r="G2152" s="2"/>
      <c r="H2152" s="2"/>
      <c r="I2152" s="2"/>
      <c r="J2152" s="2"/>
      <c r="K2152" s="2"/>
      <c r="L2152" s="2"/>
      <c r="M2152" s="2"/>
      <c r="N2152" s="2"/>
      <c r="O2152" s="2"/>
      <c r="P2152" s="2"/>
      <c r="Q2152" s="2"/>
      <c r="R2152" s="2"/>
      <c r="S2152" s="2"/>
      <c r="T2152" s="2"/>
      <c r="U2152" s="2"/>
      <c r="V2152" s="2"/>
      <c r="W2152" s="2"/>
      <c r="X2152" s="2"/>
      <c r="Y2152" s="2"/>
      <c r="Z2152" s="2"/>
      <c r="AA2152" s="2"/>
      <c r="AB2152" s="2"/>
    </row>
    <row r="2153">
      <c r="A2153" s="2"/>
      <c r="B2153" s="2"/>
      <c r="C2153" s="2"/>
      <c r="D2153" s="2"/>
      <c r="E2153" s="2"/>
      <c r="F2153" s="2"/>
      <c r="G2153" s="2"/>
      <c r="H2153" s="2"/>
      <c r="I2153" s="2"/>
      <c r="J2153" s="2"/>
      <c r="K2153" s="2"/>
      <c r="L2153" s="2"/>
      <c r="M2153" s="2"/>
      <c r="N2153" s="2"/>
      <c r="O2153" s="2"/>
      <c r="P2153" s="2"/>
      <c r="Q2153" s="2"/>
      <c r="R2153" s="2"/>
      <c r="S2153" s="2"/>
      <c r="T2153" s="2"/>
      <c r="U2153" s="2"/>
      <c r="V2153" s="2"/>
      <c r="W2153" s="2"/>
      <c r="X2153" s="2"/>
      <c r="Y2153" s="2"/>
      <c r="Z2153" s="2"/>
      <c r="AA2153" s="2"/>
      <c r="AB2153" s="2"/>
    </row>
    <row r="2154">
      <c r="A2154" s="2"/>
      <c r="B2154" s="2"/>
      <c r="C2154" s="2"/>
      <c r="D2154" s="2"/>
      <c r="E2154" s="2"/>
      <c r="F2154" s="2"/>
      <c r="G2154" s="2"/>
      <c r="H2154" s="2"/>
      <c r="I2154" s="2"/>
      <c r="J2154" s="2"/>
      <c r="K2154" s="2"/>
      <c r="L2154" s="2"/>
      <c r="M2154" s="2"/>
      <c r="N2154" s="2"/>
      <c r="O2154" s="2"/>
      <c r="P2154" s="2"/>
      <c r="Q2154" s="2"/>
      <c r="R2154" s="2"/>
      <c r="S2154" s="2"/>
      <c r="T2154" s="2"/>
      <c r="U2154" s="2"/>
      <c r="V2154" s="2"/>
      <c r="W2154" s="2"/>
      <c r="X2154" s="2"/>
      <c r="Y2154" s="2"/>
      <c r="Z2154" s="2"/>
      <c r="AA2154" s="2"/>
      <c r="AB2154" s="2"/>
    </row>
    <row r="2155">
      <c r="A2155" s="2"/>
      <c r="B2155" s="2"/>
      <c r="C2155" s="2"/>
      <c r="D2155" s="2"/>
      <c r="E2155" s="2"/>
      <c r="F2155" s="2"/>
      <c r="G2155" s="2"/>
      <c r="H2155" s="2"/>
      <c r="I2155" s="2"/>
      <c r="J2155" s="2"/>
      <c r="K2155" s="2"/>
      <c r="L2155" s="2"/>
      <c r="M2155" s="2"/>
      <c r="N2155" s="2"/>
      <c r="O2155" s="2"/>
      <c r="P2155" s="2"/>
      <c r="Q2155" s="2"/>
      <c r="R2155" s="2"/>
      <c r="S2155" s="2"/>
      <c r="T2155" s="2"/>
      <c r="U2155" s="2"/>
      <c r="V2155" s="2"/>
      <c r="W2155" s="2"/>
      <c r="X2155" s="2"/>
      <c r="Y2155" s="2"/>
      <c r="Z2155" s="2"/>
      <c r="AA2155" s="2"/>
      <c r="AB2155" s="2"/>
    </row>
    <row r="2156">
      <c r="A2156" s="2"/>
      <c r="B2156" s="2"/>
      <c r="C2156" s="2"/>
      <c r="D2156" s="2"/>
      <c r="E2156" s="2"/>
      <c r="F2156" s="2"/>
      <c r="G2156" s="2"/>
      <c r="H2156" s="2"/>
      <c r="I2156" s="2"/>
      <c r="J2156" s="2"/>
      <c r="K2156" s="2"/>
      <c r="L2156" s="2"/>
      <c r="M2156" s="2"/>
      <c r="N2156" s="2"/>
      <c r="O2156" s="2"/>
      <c r="P2156" s="2"/>
      <c r="Q2156" s="2"/>
      <c r="R2156" s="2"/>
      <c r="S2156" s="2"/>
      <c r="T2156" s="2"/>
      <c r="U2156" s="2"/>
      <c r="V2156" s="2"/>
      <c r="W2156" s="2"/>
      <c r="X2156" s="2"/>
      <c r="Y2156" s="2"/>
      <c r="Z2156" s="2"/>
      <c r="AA2156" s="2"/>
      <c r="AB2156" s="2"/>
    </row>
    <row r="2157">
      <c r="A2157" s="2"/>
      <c r="B2157" s="2"/>
      <c r="C2157" s="2"/>
      <c r="D2157" s="2"/>
      <c r="E2157" s="2"/>
      <c r="F2157" s="2"/>
      <c r="G2157" s="2"/>
      <c r="H2157" s="2"/>
      <c r="I2157" s="2"/>
      <c r="J2157" s="2"/>
      <c r="K2157" s="2"/>
      <c r="L2157" s="2"/>
      <c r="M2157" s="2"/>
      <c r="N2157" s="2"/>
      <c r="O2157" s="2"/>
      <c r="P2157" s="2"/>
      <c r="Q2157" s="2"/>
      <c r="R2157" s="2"/>
      <c r="S2157" s="2"/>
      <c r="T2157" s="2"/>
      <c r="U2157" s="2"/>
      <c r="V2157" s="2"/>
      <c r="W2157" s="2"/>
      <c r="X2157" s="2"/>
      <c r="Y2157" s="2"/>
      <c r="Z2157" s="2"/>
      <c r="AA2157" s="2"/>
      <c r="AB2157" s="2"/>
    </row>
    <row r="2158">
      <c r="A2158" s="2"/>
      <c r="B2158" s="2"/>
      <c r="C2158" s="2"/>
      <c r="D2158" s="2"/>
      <c r="E2158" s="2"/>
      <c r="F2158" s="2"/>
      <c r="G2158" s="2"/>
      <c r="H2158" s="2"/>
      <c r="I2158" s="2"/>
      <c r="J2158" s="2"/>
      <c r="K2158" s="2"/>
      <c r="L2158" s="2"/>
      <c r="M2158" s="2"/>
      <c r="N2158" s="2"/>
      <c r="O2158" s="2"/>
      <c r="P2158" s="2"/>
      <c r="Q2158" s="2"/>
      <c r="R2158" s="2"/>
      <c r="S2158" s="2"/>
      <c r="T2158" s="2"/>
      <c r="U2158" s="2"/>
      <c r="V2158" s="2"/>
      <c r="W2158" s="2"/>
      <c r="X2158" s="2"/>
      <c r="Y2158" s="2"/>
      <c r="Z2158" s="2"/>
      <c r="AA2158" s="2"/>
      <c r="AB2158" s="2"/>
    </row>
    <row r="2159">
      <c r="A2159" s="2"/>
      <c r="B2159" s="2"/>
      <c r="C2159" s="2"/>
      <c r="D2159" s="2"/>
      <c r="E2159" s="2"/>
      <c r="F2159" s="2"/>
      <c r="G2159" s="2"/>
      <c r="H2159" s="2"/>
      <c r="I2159" s="2"/>
      <c r="J2159" s="2"/>
      <c r="K2159" s="2"/>
      <c r="L2159" s="2"/>
      <c r="M2159" s="2"/>
      <c r="N2159" s="2"/>
      <c r="O2159" s="2"/>
      <c r="P2159" s="2"/>
      <c r="Q2159" s="2"/>
      <c r="R2159" s="2"/>
      <c r="S2159" s="2"/>
      <c r="T2159" s="2"/>
      <c r="U2159" s="2"/>
      <c r="V2159" s="2"/>
      <c r="W2159" s="2"/>
      <c r="X2159" s="2"/>
      <c r="Y2159" s="2"/>
      <c r="Z2159" s="2"/>
      <c r="AA2159" s="2"/>
      <c r="AB2159" s="2"/>
    </row>
    <row r="2160">
      <c r="A2160" s="2"/>
      <c r="B2160" s="2"/>
      <c r="C2160" s="2"/>
      <c r="D2160" s="2"/>
      <c r="E2160" s="2"/>
      <c r="F2160" s="2"/>
      <c r="G2160" s="2"/>
      <c r="H2160" s="2"/>
      <c r="I2160" s="2"/>
      <c r="J2160" s="2"/>
      <c r="K2160" s="2"/>
      <c r="L2160" s="2"/>
      <c r="M2160" s="2"/>
      <c r="N2160" s="2"/>
      <c r="O2160" s="2"/>
      <c r="P2160" s="2"/>
      <c r="Q2160" s="2"/>
      <c r="R2160" s="2"/>
      <c r="S2160" s="2"/>
      <c r="T2160" s="2"/>
      <c r="U2160" s="2"/>
      <c r="V2160" s="2"/>
      <c r="W2160" s="2"/>
      <c r="X2160" s="2"/>
      <c r="Y2160" s="2"/>
      <c r="Z2160" s="2"/>
      <c r="AA2160" s="2"/>
      <c r="AB2160" s="2"/>
    </row>
    <row r="2161">
      <c r="A2161" s="2"/>
      <c r="B2161" s="2"/>
      <c r="C2161" s="2"/>
      <c r="D2161" s="2"/>
      <c r="E2161" s="2"/>
      <c r="F2161" s="2"/>
      <c r="G2161" s="2"/>
      <c r="H2161" s="2"/>
      <c r="I2161" s="2"/>
      <c r="J2161" s="2"/>
      <c r="K2161" s="2"/>
      <c r="L2161" s="2"/>
      <c r="M2161" s="2"/>
      <c r="N2161" s="2"/>
      <c r="O2161" s="2"/>
      <c r="P2161" s="2"/>
      <c r="Q2161" s="2"/>
      <c r="R2161" s="2"/>
      <c r="S2161" s="2"/>
      <c r="T2161" s="2"/>
      <c r="U2161" s="2"/>
      <c r="V2161" s="2"/>
      <c r="W2161" s="2"/>
      <c r="X2161" s="2"/>
      <c r="Y2161" s="2"/>
      <c r="Z2161" s="2"/>
      <c r="AA2161" s="2"/>
      <c r="AB2161" s="2"/>
    </row>
    <row r="2162">
      <c r="A2162" s="2"/>
      <c r="B2162" s="2"/>
      <c r="C2162" s="2"/>
      <c r="D2162" s="2"/>
      <c r="E2162" s="2"/>
      <c r="F2162" s="2"/>
      <c r="G2162" s="2"/>
      <c r="H2162" s="2"/>
      <c r="I2162" s="2"/>
      <c r="J2162" s="2"/>
      <c r="K2162" s="2"/>
      <c r="L2162" s="2"/>
      <c r="M2162" s="2"/>
      <c r="N2162" s="2"/>
      <c r="O2162" s="2"/>
      <c r="P2162" s="2"/>
      <c r="Q2162" s="2"/>
      <c r="R2162" s="2"/>
      <c r="S2162" s="2"/>
      <c r="T2162" s="2"/>
      <c r="U2162" s="2"/>
      <c r="V2162" s="2"/>
      <c r="W2162" s="2"/>
      <c r="X2162" s="2"/>
      <c r="Y2162" s="2"/>
      <c r="Z2162" s="2"/>
      <c r="AA2162" s="2"/>
      <c r="AB2162" s="2"/>
    </row>
    <row r="2163">
      <c r="A2163" s="2"/>
      <c r="B2163" s="2"/>
      <c r="C2163" s="2"/>
      <c r="D2163" s="2"/>
      <c r="E2163" s="2"/>
      <c r="F2163" s="2"/>
      <c r="G2163" s="2"/>
      <c r="H2163" s="2"/>
      <c r="I2163" s="2"/>
      <c r="J2163" s="2"/>
      <c r="K2163" s="2"/>
      <c r="L2163" s="2"/>
      <c r="M2163" s="2"/>
      <c r="N2163" s="2"/>
      <c r="O2163" s="2"/>
      <c r="P2163" s="2"/>
      <c r="Q2163" s="2"/>
      <c r="R2163" s="2"/>
      <c r="S2163" s="2"/>
      <c r="T2163" s="2"/>
      <c r="U2163" s="2"/>
      <c r="V2163" s="2"/>
      <c r="W2163" s="2"/>
      <c r="X2163" s="2"/>
      <c r="Y2163" s="2"/>
      <c r="Z2163" s="2"/>
      <c r="AA2163" s="2"/>
      <c r="AB2163" s="2"/>
    </row>
    <row r="2164">
      <c r="A2164" s="2"/>
      <c r="B2164" s="2"/>
      <c r="C2164" s="2"/>
      <c r="D2164" s="2"/>
      <c r="E2164" s="2"/>
      <c r="F2164" s="2"/>
      <c r="G2164" s="2"/>
      <c r="H2164" s="2"/>
      <c r="I2164" s="2"/>
      <c r="J2164" s="2"/>
      <c r="K2164" s="2"/>
      <c r="L2164" s="2"/>
      <c r="M2164" s="2"/>
      <c r="N2164" s="2"/>
      <c r="O2164" s="2"/>
      <c r="P2164" s="2"/>
      <c r="Q2164" s="2"/>
      <c r="R2164" s="2"/>
      <c r="S2164" s="2"/>
      <c r="T2164" s="2"/>
      <c r="U2164" s="2"/>
      <c r="V2164" s="2"/>
      <c r="W2164" s="2"/>
      <c r="X2164" s="2"/>
      <c r="Y2164" s="2"/>
      <c r="Z2164" s="2"/>
      <c r="AA2164" s="2"/>
      <c r="AB2164" s="2"/>
    </row>
    <row r="2165">
      <c r="A2165" s="2"/>
      <c r="B2165" s="2"/>
      <c r="C2165" s="2"/>
      <c r="D2165" s="2"/>
      <c r="E2165" s="2"/>
      <c r="F2165" s="2"/>
      <c r="G2165" s="2"/>
      <c r="H2165" s="2"/>
      <c r="I2165" s="2"/>
      <c r="J2165" s="2"/>
      <c r="K2165" s="2"/>
      <c r="L2165" s="2"/>
      <c r="M2165" s="2"/>
      <c r="N2165" s="2"/>
      <c r="O2165" s="2"/>
      <c r="P2165" s="2"/>
      <c r="Q2165" s="2"/>
      <c r="R2165" s="2"/>
      <c r="S2165" s="2"/>
      <c r="T2165" s="2"/>
      <c r="U2165" s="2"/>
      <c r="V2165" s="2"/>
      <c r="W2165" s="2"/>
      <c r="X2165" s="2"/>
      <c r="Y2165" s="2"/>
      <c r="Z2165" s="2"/>
      <c r="AA2165" s="2"/>
      <c r="AB2165" s="2"/>
    </row>
    <row r="2166">
      <c r="A2166" s="2"/>
      <c r="B2166" s="2"/>
      <c r="C2166" s="2"/>
      <c r="D2166" s="2"/>
      <c r="E2166" s="2"/>
      <c r="F2166" s="2"/>
      <c r="G2166" s="2"/>
      <c r="H2166" s="2"/>
      <c r="I2166" s="2"/>
      <c r="J2166" s="2"/>
      <c r="K2166" s="2"/>
      <c r="L2166" s="2"/>
      <c r="M2166" s="2"/>
      <c r="N2166" s="2"/>
      <c r="O2166" s="2"/>
      <c r="P2166" s="2"/>
      <c r="Q2166" s="2"/>
      <c r="R2166" s="2"/>
      <c r="S2166" s="2"/>
      <c r="T2166" s="2"/>
      <c r="U2166" s="2"/>
      <c r="V2166" s="2"/>
      <c r="W2166" s="2"/>
      <c r="X2166" s="2"/>
      <c r="Y2166" s="2"/>
      <c r="Z2166" s="2"/>
      <c r="AA2166" s="2"/>
      <c r="AB2166" s="2"/>
    </row>
    <row r="2167">
      <c r="A2167" s="2"/>
      <c r="B2167" s="2"/>
      <c r="C2167" s="2"/>
      <c r="D2167" s="2"/>
      <c r="E2167" s="2"/>
      <c r="F2167" s="2"/>
      <c r="G2167" s="2"/>
      <c r="H2167" s="2"/>
      <c r="I2167" s="2"/>
      <c r="J2167" s="2"/>
      <c r="K2167" s="2"/>
      <c r="L2167" s="2"/>
      <c r="M2167" s="2"/>
      <c r="N2167" s="2"/>
      <c r="O2167" s="2"/>
      <c r="P2167" s="2"/>
      <c r="Q2167" s="2"/>
      <c r="R2167" s="2"/>
      <c r="S2167" s="2"/>
      <c r="T2167" s="2"/>
      <c r="U2167" s="2"/>
      <c r="V2167" s="2"/>
      <c r="W2167" s="2"/>
      <c r="X2167" s="2"/>
      <c r="Y2167" s="2"/>
      <c r="Z2167" s="2"/>
      <c r="AA2167" s="2"/>
      <c r="AB2167" s="2"/>
    </row>
    <row r="2168">
      <c r="A2168" s="2"/>
      <c r="B2168" s="2"/>
      <c r="C2168" s="2"/>
      <c r="D2168" s="2"/>
      <c r="E2168" s="2"/>
      <c r="F2168" s="2"/>
      <c r="G2168" s="2"/>
      <c r="H2168" s="2"/>
      <c r="I2168" s="2"/>
      <c r="J2168" s="2"/>
      <c r="K2168" s="2"/>
      <c r="L2168" s="2"/>
      <c r="M2168" s="2"/>
      <c r="N2168" s="2"/>
      <c r="O2168" s="2"/>
      <c r="P2168" s="2"/>
      <c r="Q2168" s="2"/>
      <c r="R2168" s="2"/>
      <c r="S2168" s="2"/>
      <c r="T2168" s="2"/>
      <c r="U2168" s="2"/>
      <c r="V2168" s="2"/>
      <c r="W2168" s="2"/>
      <c r="X2168" s="2"/>
      <c r="Y2168" s="2"/>
      <c r="Z2168" s="2"/>
      <c r="AA2168" s="2"/>
      <c r="AB2168" s="2"/>
    </row>
    <row r="2169">
      <c r="A2169" s="2"/>
      <c r="B2169" s="2"/>
      <c r="C2169" s="2"/>
      <c r="D2169" s="2"/>
      <c r="E2169" s="2"/>
      <c r="F2169" s="2"/>
      <c r="G2169" s="2"/>
      <c r="H2169" s="2"/>
      <c r="I2169" s="2"/>
      <c r="J2169" s="2"/>
      <c r="K2169" s="2"/>
      <c r="L2169" s="2"/>
      <c r="M2169" s="2"/>
      <c r="N2169" s="2"/>
      <c r="O2169" s="2"/>
      <c r="P2169" s="2"/>
      <c r="Q2169" s="2"/>
      <c r="R2169" s="2"/>
      <c r="S2169" s="2"/>
      <c r="T2169" s="2"/>
      <c r="U2169" s="2"/>
      <c r="V2169" s="2"/>
      <c r="W2169" s="2"/>
      <c r="X2169" s="2"/>
      <c r="Y2169" s="2"/>
      <c r="Z2169" s="2"/>
      <c r="AA2169" s="2"/>
      <c r="AB2169" s="2"/>
    </row>
    <row r="2170">
      <c r="A2170" s="2"/>
      <c r="B2170" s="2"/>
      <c r="C2170" s="2"/>
      <c r="D2170" s="2"/>
      <c r="E2170" s="2"/>
      <c r="F2170" s="2"/>
      <c r="G2170" s="2"/>
      <c r="H2170" s="2"/>
      <c r="I2170" s="2"/>
      <c r="J2170" s="2"/>
      <c r="K2170" s="2"/>
      <c r="L2170" s="2"/>
      <c r="M2170" s="2"/>
      <c r="N2170" s="2"/>
      <c r="O2170" s="2"/>
      <c r="P2170" s="2"/>
      <c r="Q2170" s="2"/>
      <c r="R2170" s="2"/>
      <c r="S2170" s="2"/>
      <c r="T2170" s="2"/>
      <c r="U2170" s="2"/>
      <c r="V2170" s="2"/>
      <c r="W2170" s="2"/>
      <c r="X2170" s="2"/>
      <c r="Y2170" s="2"/>
      <c r="Z2170" s="2"/>
      <c r="AA2170" s="2"/>
      <c r="AB2170" s="2"/>
    </row>
    <row r="2171">
      <c r="A2171" s="2"/>
      <c r="B2171" s="2"/>
      <c r="C2171" s="2"/>
      <c r="D2171" s="2"/>
      <c r="E2171" s="2"/>
      <c r="F2171" s="2"/>
      <c r="G2171" s="2"/>
      <c r="H2171" s="2"/>
      <c r="I2171" s="2"/>
      <c r="J2171" s="2"/>
      <c r="K2171" s="2"/>
      <c r="L2171" s="2"/>
      <c r="M2171" s="2"/>
      <c r="N2171" s="2"/>
      <c r="O2171" s="2"/>
      <c r="P2171" s="2"/>
      <c r="Q2171" s="2"/>
      <c r="R2171" s="2"/>
      <c r="S2171" s="2"/>
      <c r="T2171" s="2"/>
      <c r="U2171" s="2"/>
      <c r="V2171" s="2"/>
      <c r="W2171" s="2"/>
      <c r="X2171" s="2"/>
      <c r="Y2171" s="2"/>
      <c r="Z2171" s="2"/>
      <c r="AA2171" s="2"/>
      <c r="AB2171" s="2"/>
    </row>
    <row r="2172">
      <c r="A2172" s="2"/>
      <c r="B2172" s="2"/>
      <c r="C2172" s="2"/>
      <c r="D2172" s="2"/>
      <c r="E2172" s="2"/>
      <c r="F2172" s="2"/>
      <c r="G2172" s="2"/>
      <c r="H2172" s="2"/>
      <c r="I2172" s="2"/>
      <c r="J2172" s="2"/>
      <c r="K2172" s="2"/>
      <c r="L2172" s="2"/>
      <c r="M2172" s="2"/>
      <c r="N2172" s="2"/>
      <c r="O2172" s="2"/>
      <c r="P2172" s="2"/>
      <c r="Q2172" s="2"/>
      <c r="R2172" s="2"/>
      <c r="S2172" s="2"/>
      <c r="T2172" s="2"/>
      <c r="U2172" s="2"/>
      <c r="V2172" s="2"/>
      <c r="W2172" s="2"/>
      <c r="X2172" s="2"/>
      <c r="Y2172" s="2"/>
      <c r="Z2172" s="2"/>
      <c r="AA2172" s="2"/>
      <c r="AB2172" s="2"/>
    </row>
    <row r="2173">
      <c r="A2173" s="2"/>
      <c r="B2173" s="2"/>
      <c r="C2173" s="2"/>
      <c r="D2173" s="2"/>
      <c r="E2173" s="2"/>
      <c r="F2173" s="2"/>
      <c r="G2173" s="2"/>
      <c r="H2173" s="2"/>
      <c r="I2173" s="2"/>
      <c r="J2173" s="2"/>
      <c r="K2173" s="2"/>
      <c r="L2173" s="2"/>
      <c r="M2173" s="2"/>
      <c r="N2173" s="2"/>
      <c r="O2173" s="2"/>
      <c r="P2173" s="2"/>
      <c r="Q2173" s="2"/>
      <c r="R2173" s="2"/>
      <c r="S2173" s="2"/>
      <c r="T2173" s="2"/>
      <c r="U2173" s="2"/>
      <c r="V2173" s="2"/>
      <c r="W2173" s="2"/>
      <c r="X2173" s="2"/>
      <c r="Y2173" s="2"/>
      <c r="Z2173" s="2"/>
      <c r="AA2173" s="2"/>
      <c r="AB2173" s="2"/>
    </row>
    <row r="2174">
      <c r="A2174" s="2"/>
      <c r="B2174" s="2"/>
      <c r="C2174" s="2"/>
      <c r="D2174" s="2"/>
      <c r="E2174" s="2"/>
      <c r="F2174" s="2"/>
      <c r="G2174" s="2"/>
      <c r="H2174" s="2"/>
      <c r="I2174" s="2"/>
      <c r="J2174" s="2"/>
      <c r="K2174" s="2"/>
      <c r="L2174" s="2"/>
      <c r="M2174" s="2"/>
      <c r="N2174" s="2"/>
      <c r="O2174" s="2"/>
      <c r="P2174" s="2"/>
      <c r="Q2174" s="2"/>
      <c r="R2174" s="2"/>
      <c r="S2174" s="2"/>
      <c r="T2174" s="2"/>
      <c r="U2174" s="2"/>
      <c r="V2174" s="2"/>
      <c r="W2174" s="2"/>
      <c r="X2174" s="2"/>
      <c r="Y2174" s="2"/>
      <c r="Z2174" s="2"/>
      <c r="AA2174" s="2"/>
      <c r="AB2174" s="2"/>
    </row>
    <row r="2175">
      <c r="A2175" s="2"/>
      <c r="B2175" s="2"/>
      <c r="C2175" s="2"/>
      <c r="D2175" s="2"/>
      <c r="E2175" s="2"/>
      <c r="F2175" s="2"/>
      <c r="G2175" s="2"/>
      <c r="H2175" s="2"/>
      <c r="I2175" s="2"/>
      <c r="J2175" s="2"/>
      <c r="K2175" s="2"/>
      <c r="L2175" s="2"/>
      <c r="M2175" s="2"/>
      <c r="N2175" s="2"/>
      <c r="O2175" s="2"/>
      <c r="P2175" s="2"/>
      <c r="Q2175" s="2"/>
      <c r="R2175" s="2"/>
      <c r="S2175" s="2"/>
      <c r="T2175" s="2"/>
      <c r="U2175" s="2"/>
      <c r="V2175" s="2"/>
      <c r="W2175" s="2"/>
      <c r="X2175" s="2"/>
      <c r="Y2175" s="2"/>
      <c r="Z2175" s="2"/>
      <c r="AA2175" s="2"/>
      <c r="AB2175" s="2"/>
    </row>
    <row r="2176">
      <c r="A2176" s="2"/>
      <c r="B2176" s="2"/>
      <c r="C2176" s="2"/>
      <c r="D2176" s="2"/>
      <c r="E2176" s="2"/>
      <c r="F2176" s="2"/>
      <c r="G2176" s="2"/>
      <c r="H2176" s="2"/>
      <c r="I2176" s="2"/>
      <c r="J2176" s="2"/>
      <c r="K2176" s="2"/>
      <c r="L2176" s="2"/>
      <c r="M2176" s="2"/>
      <c r="N2176" s="2"/>
      <c r="O2176" s="2"/>
      <c r="P2176" s="2"/>
      <c r="Q2176" s="2"/>
      <c r="R2176" s="2"/>
      <c r="S2176" s="2"/>
      <c r="T2176" s="2"/>
      <c r="U2176" s="2"/>
      <c r="V2176" s="2"/>
      <c r="W2176" s="2"/>
      <c r="X2176" s="2"/>
      <c r="Y2176" s="2"/>
      <c r="Z2176" s="2"/>
      <c r="AA2176" s="2"/>
      <c r="AB2176" s="2"/>
    </row>
    <row r="2177">
      <c r="A2177" s="2"/>
      <c r="B2177" s="2"/>
      <c r="C2177" s="2"/>
      <c r="D2177" s="2"/>
      <c r="E2177" s="2"/>
      <c r="F2177" s="2"/>
      <c r="G2177" s="2"/>
      <c r="H2177" s="2"/>
      <c r="I2177" s="2"/>
      <c r="J2177" s="2"/>
      <c r="K2177" s="2"/>
      <c r="L2177" s="2"/>
      <c r="M2177" s="2"/>
      <c r="N2177" s="2"/>
      <c r="O2177" s="2"/>
      <c r="P2177" s="2"/>
      <c r="Q2177" s="2"/>
      <c r="R2177" s="2"/>
      <c r="S2177" s="2"/>
      <c r="T2177" s="2"/>
      <c r="U2177" s="2"/>
      <c r="V2177" s="2"/>
      <c r="W2177" s="2"/>
      <c r="X2177" s="2"/>
      <c r="Y2177" s="2"/>
      <c r="Z2177" s="2"/>
      <c r="AA2177" s="2"/>
      <c r="AB2177" s="2"/>
    </row>
    <row r="2178">
      <c r="A2178" s="2"/>
      <c r="B2178" s="2"/>
      <c r="C2178" s="2"/>
      <c r="D2178" s="2"/>
      <c r="E2178" s="2"/>
      <c r="F2178" s="2"/>
      <c r="G2178" s="2"/>
      <c r="H2178" s="2"/>
      <c r="I2178" s="2"/>
      <c r="J2178" s="2"/>
      <c r="K2178" s="2"/>
      <c r="L2178" s="2"/>
      <c r="M2178" s="2"/>
      <c r="N2178" s="2"/>
      <c r="O2178" s="2"/>
      <c r="P2178" s="2"/>
      <c r="Q2178" s="2"/>
      <c r="R2178" s="2"/>
      <c r="S2178" s="2"/>
      <c r="T2178" s="2"/>
      <c r="U2178" s="2"/>
      <c r="V2178" s="2"/>
      <c r="W2178" s="2"/>
      <c r="X2178" s="2"/>
      <c r="Y2178" s="2"/>
      <c r="Z2178" s="2"/>
      <c r="AA2178" s="2"/>
      <c r="AB2178" s="2"/>
    </row>
    <row r="2179">
      <c r="A2179" s="2"/>
      <c r="B2179" s="2"/>
      <c r="C2179" s="2"/>
      <c r="D2179" s="2"/>
      <c r="E2179" s="2"/>
      <c r="F2179" s="2"/>
      <c r="G2179" s="2"/>
      <c r="H2179" s="2"/>
      <c r="I2179" s="2"/>
      <c r="J2179" s="2"/>
      <c r="K2179" s="2"/>
      <c r="L2179" s="2"/>
      <c r="M2179" s="2"/>
      <c r="N2179" s="2"/>
      <c r="O2179" s="2"/>
      <c r="P2179" s="2"/>
      <c r="Q2179" s="2"/>
      <c r="R2179" s="2"/>
      <c r="S2179" s="2"/>
      <c r="T2179" s="2"/>
      <c r="U2179" s="2"/>
      <c r="V2179" s="2"/>
      <c r="W2179" s="2"/>
      <c r="X2179" s="2"/>
      <c r="Y2179" s="2"/>
      <c r="Z2179" s="2"/>
      <c r="AA2179" s="2"/>
      <c r="AB2179" s="2"/>
    </row>
    <row r="2180">
      <c r="A2180" s="2"/>
      <c r="B2180" s="2"/>
      <c r="C2180" s="2"/>
      <c r="D2180" s="2"/>
      <c r="E2180" s="2"/>
      <c r="F2180" s="2"/>
      <c r="G2180" s="2"/>
      <c r="H2180" s="2"/>
      <c r="I2180" s="2"/>
      <c r="J2180" s="2"/>
      <c r="K2180" s="2"/>
      <c r="L2180" s="2"/>
      <c r="M2180" s="2"/>
      <c r="N2180" s="2"/>
      <c r="O2180" s="2"/>
      <c r="P2180" s="2"/>
      <c r="Q2180" s="2"/>
      <c r="R2180" s="2"/>
      <c r="S2180" s="2"/>
      <c r="T2180" s="2"/>
      <c r="U2180" s="2"/>
      <c r="V2180" s="2"/>
      <c r="W2180" s="2"/>
      <c r="X2180" s="2"/>
      <c r="Y2180" s="2"/>
      <c r="Z2180" s="2"/>
      <c r="AA2180" s="2"/>
      <c r="AB2180" s="2"/>
    </row>
    <row r="2181">
      <c r="A2181" s="2"/>
      <c r="B2181" s="2"/>
      <c r="C2181" s="2"/>
      <c r="D2181" s="2"/>
      <c r="E2181" s="2"/>
      <c r="F2181" s="2"/>
      <c r="G2181" s="2"/>
      <c r="H2181" s="2"/>
      <c r="I2181" s="2"/>
      <c r="J2181" s="2"/>
      <c r="K2181" s="2"/>
      <c r="L2181" s="2"/>
      <c r="M2181" s="2"/>
      <c r="N2181" s="2"/>
      <c r="O2181" s="2"/>
      <c r="P2181" s="2"/>
      <c r="Q2181" s="2"/>
      <c r="R2181" s="2"/>
      <c r="S2181" s="2"/>
      <c r="T2181" s="2"/>
      <c r="U2181" s="2"/>
      <c r="V2181" s="2"/>
      <c r="W2181" s="2"/>
      <c r="X2181" s="2"/>
      <c r="Y2181" s="2"/>
      <c r="Z2181" s="2"/>
      <c r="AA2181" s="2"/>
      <c r="AB2181" s="2"/>
    </row>
    <row r="2182">
      <c r="A2182" s="2"/>
      <c r="B2182" s="2"/>
      <c r="C2182" s="2"/>
      <c r="D2182" s="2"/>
      <c r="E2182" s="2"/>
      <c r="F2182" s="2"/>
      <c r="G2182" s="2"/>
      <c r="H2182" s="2"/>
      <c r="I2182" s="2"/>
      <c r="J2182" s="2"/>
      <c r="K2182" s="2"/>
      <c r="L2182" s="2"/>
      <c r="M2182" s="2"/>
      <c r="N2182" s="2"/>
      <c r="O2182" s="2"/>
      <c r="P2182" s="2"/>
      <c r="Q2182" s="2"/>
      <c r="R2182" s="2"/>
      <c r="S2182" s="2"/>
      <c r="T2182" s="2"/>
      <c r="U2182" s="2"/>
      <c r="V2182" s="2"/>
      <c r="W2182" s="2"/>
      <c r="X2182" s="2"/>
      <c r="Y2182" s="2"/>
      <c r="Z2182" s="2"/>
      <c r="AA2182" s="2"/>
      <c r="AB2182" s="2"/>
    </row>
    <row r="2183">
      <c r="A2183" s="2"/>
      <c r="B2183" s="2"/>
      <c r="C2183" s="2"/>
      <c r="D2183" s="2"/>
      <c r="E2183" s="2"/>
      <c r="F2183" s="2"/>
      <c r="G2183" s="2"/>
      <c r="H2183" s="2"/>
      <c r="I2183" s="2"/>
      <c r="J2183" s="2"/>
      <c r="K2183" s="2"/>
      <c r="L2183" s="2"/>
      <c r="M2183" s="2"/>
      <c r="N2183" s="2"/>
      <c r="O2183" s="2"/>
      <c r="P2183" s="2"/>
      <c r="Q2183" s="2"/>
      <c r="R2183" s="2"/>
      <c r="S2183" s="2"/>
      <c r="T2183" s="2"/>
      <c r="U2183" s="2"/>
      <c r="V2183" s="2"/>
      <c r="W2183" s="2"/>
      <c r="X2183" s="2"/>
      <c r="Y2183" s="2"/>
      <c r="Z2183" s="2"/>
      <c r="AA2183" s="2"/>
      <c r="AB2183" s="2"/>
    </row>
    <row r="2184">
      <c r="A2184" s="2"/>
      <c r="B2184" s="2"/>
      <c r="C2184" s="2"/>
      <c r="D2184" s="2"/>
      <c r="E2184" s="2"/>
      <c r="F2184" s="2"/>
      <c r="G2184" s="2"/>
      <c r="H2184" s="2"/>
      <c r="I2184" s="2"/>
      <c r="J2184" s="2"/>
      <c r="K2184" s="2"/>
      <c r="L2184" s="2"/>
      <c r="M2184" s="2"/>
      <c r="N2184" s="2"/>
      <c r="O2184" s="2"/>
      <c r="P2184" s="2"/>
      <c r="Q2184" s="2"/>
      <c r="R2184" s="2"/>
      <c r="S2184" s="2"/>
      <c r="T2184" s="2"/>
      <c r="U2184" s="2"/>
      <c r="V2184" s="2"/>
      <c r="W2184" s="2"/>
      <c r="X2184" s="2"/>
      <c r="Y2184" s="2"/>
      <c r="Z2184" s="2"/>
      <c r="AA2184" s="2"/>
      <c r="AB2184" s="2"/>
    </row>
    <row r="2185">
      <c r="A2185" s="2"/>
      <c r="B2185" s="2"/>
      <c r="C2185" s="2"/>
      <c r="D2185" s="2"/>
      <c r="E2185" s="2"/>
      <c r="F2185" s="2"/>
      <c r="G2185" s="2"/>
      <c r="H2185" s="2"/>
      <c r="I2185" s="2"/>
      <c r="J2185" s="2"/>
      <c r="K2185" s="2"/>
      <c r="L2185" s="2"/>
      <c r="M2185" s="2"/>
      <c r="N2185" s="2"/>
      <c r="O2185" s="2"/>
      <c r="P2185" s="2"/>
      <c r="Q2185" s="2"/>
      <c r="R2185" s="2"/>
      <c r="S2185" s="2"/>
      <c r="T2185" s="2"/>
      <c r="U2185" s="2"/>
      <c r="V2185" s="2"/>
      <c r="W2185" s="2"/>
      <c r="X2185" s="2"/>
      <c r="Y2185" s="2"/>
      <c r="Z2185" s="2"/>
      <c r="AA2185" s="2"/>
      <c r="AB2185" s="2"/>
    </row>
    <row r="2186">
      <c r="A2186" s="2"/>
      <c r="B2186" s="2"/>
      <c r="C2186" s="2"/>
      <c r="D2186" s="2"/>
      <c r="E2186" s="2"/>
      <c r="F2186" s="2"/>
      <c r="G2186" s="2"/>
      <c r="H2186" s="2"/>
      <c r="I2186" s="2"/>
      <c r="J2186" s="2"/>
      <c r="K2186" s="2"/>
      <c r="L2186" s="2"/>
      <c r="M2186" s="2"/>
      <c r="N2186" s="2"/>
      <c r="O2186" s="2"/>
      <c r="P2186" s="2"/>
      <c r="Q2186" s="2"/>
      <c r="R2186" s="2"/>
      <c r="S2186" s="2"/>
      <c r="T2186" s="2"/>
      <c r="U2186" s="2"/>
      <c r="V2186" s="2"/>
      <c r="W2186" s="2"/>
      <c r="X2186" s="2"/>
      <c r="Y2186" s="2"/>
      <c r="Z2186" s="2"/>
      <c r="AA2186" s="2"/>
      <c r="AB2186" s="2"/>
    </row>
    <row r="2187">
      <c r="A2187" s="2"/>
      <c r="B2187" s="2"/>
      <c r="C2187" s="2"/>
      <c r="D2187" s="2"/>
      <c r="E2187" s="2"/>
      <c r="F2187" s="2"/>
      <c r="G2187" s="2"/>
      <c r="H2187" s="2"/>
      <c r="I2187" s="2"/>
      <c r="J2187" s="2"/>
      <c r="K2187" s="2"/>
      <c r="L2187" s="2"/>
      <c r="M2187" s="2"/>
      <c r="N2187" s="2"/>
      <c r="O2187" s="2"/>
      <c r="P2187" s="2"/>
      <c r="Q2187" s="2"/>
      <c r="R2187" s="2"/>
      <c r="S2187" s="2"/>
      <c r="T2187" s="2"/>
      <c r="U2187" s="2"/>
      <c r="V2187" s="2"/>
      <c r="W2187" s="2"/>
      <c r="X2187" s="2"/>
      <c r="Y2187" s="2"/>
      <c r="Z2187" s="2"/>
      <c r="AA2187" s="2"/>
      <c r="AB2187" s="2"/>
    </row>
    <row r="2188">
      <c r="A2188" s="2"/>
      <c r="B2188" s="2"/>
      <c r="C2188" s="2"/>
      <c r="D2188" s="2"/>
      <c r="E2188" s="2"/>
      <c r="F2188" s="2"/>
      <c r="G2188" s="2"/>
      <c r="H2188" s="2"/>
      <c r="I2188" s="2"/>
      <c r="J2188" s="2"/>
      <c r="K2188" s="2"/>
      <c r="L2188" s="2"/>
      <c r="M2188" s="2"/>
      <c r="N2188" s="2"/>
      <c r="O2188" s="2"/>
      <c r="P2188" s="2"/>
      <c r="Q2188" s="2"/>
      <c r="R2188" s="2"/>
      <c r="S2188" s="2"/>
      <c r="T2188" s="2"/>
      <c r="U2188" s="2"/>
      <c r="V2188" s="2"/>
      <c r="W2188" s="2"/>
      <c r="X2188" s="2"/>
      <c r="Y2188" s="2"/>
      <c r="Z2188" s="2"/>
      <c r="AA2188" s="2"/>
      <c r="AB2188" s="2"/>
    </row>
    <row r="2189">
      <c r="A2189" s="2"/>
      <c r="B2189" s="2"/>
      <c r="C2189" s="2"/>
      <c r="D2189" s="2"/>
      <c r="E2189" s="2"/>
      <c r="F2189" s="2"/>
      <c r="G2189" s="2"/>
      <c r="H2189" s="2"/>
      <c r="I2189" s="2"/>
      <c r="J2189" s="2"/>
      <c r="K2189" s="2"/>
      <c r="L2189" s="2"/>
      <c r="M2189" s="2"/>
      <c r="N2189" s="2"/>
      <c r="O2189" s="2"/>
      <c r="P2189" s="2"/>
      <c r="Q2189" s="2"/>
      <c r="R2189" s="2"/>
      <c r="S2189" s="2"/>
      <c r="T2189" s="2"/>
      <c r="U2189" s="2"/>
      <c r="V2189" s="2"/>
      <c r="W2189" s="2"/>
      <c r="X2189" s="2"/>
      <c r="Y2189" s="2"/>
      <c r="Z2189" s="2"/>
      <c r="AA2189" s="2"/>
      <c r="AB2189" s="2"/>
    </row>
    <row r="2190">
      <c r="A2190" s="2"/>
      <c r="B2190" s="2"/>
      <c r="C2190" s="2"/>
      <c r="D2190" s="2"/>
      <c r="E2190" s="2"/>
      <c r="F2190" s="2"/>
      <c r="G2190" s="2"/>
      <c r="H2190" s="2"/>
      <c r="I2190" s="2"/>
      <c r="J2190" s="2"/>
      <c r="K2190" s="2"/>
      <c r="L2190" s="2"/>
      <c r="M2190" s="2"/>
      <c r="N2190" s="2"/>
      <c r="O2190" s="2"/>
      <c r="P2190" s="2"/>
      <c r="Q2190" s="2"/>
      <c r="R2190" s="2"/>
      <c r="S2190" s="2"/>
      <c r="T2190" s="2"/>
      <c r="U2190" s="2"/>
      <c r="V2190" s="2"/>
      <c r="W2190" s="2"/>
      <c r="X2190" s="2"/>
      <c r="Y2190" s="2"/>
      <c r="Z2190" s="2"/>
      <c r="AA2190" s="2"/>
      <c r="AB2190" s="2"/>
    </row>
    <row r="2191">
      <c r="A2191" s="2"/>
      <c r="B2191" s="2"/>
      <c r="C2191" s="2"/>
      <c r="D2191" s="2"/>
      <c r="E2191" s="2"/>
      <c r="F2191" s="2"/>
      <c r="G2191" s="2"/>
      <c r="H2191" s="2"/>
      <c r="I2191" s="2"/>
      <c r="J2191" s="2"/>
      <c r="K2191" s="2"/>
      <c r="L2191" s="2"/>
      <c r="M2191" s="2"/>
      <c r="N2191" s="2"/>
      <c r="O2191" s="2"/>
      <c r="P2191" s="2"/>
      <c r="Q2191" s="2"/>
      <c r="R2191" s="2"/>
      <c r="S2191" s="2"/>
      <c r="T2191" s="2"/>
      <c r="U2191" s="2"/>
      <c r="V2191" s="2"/>
      <c r="W2191" s="2"/>
      <c r="X2191" s="2"/>
      <c r="Y2191" s="2"/>
      <c r="Z2191" s="2"/>
      <c r="AA2191" s="2"/>
      <c r="AB2191" s="2"/>
    </row>
    <row r="2192">
      <c r="A2192" s="2"/>
      <c r="B2192" s="2"/>
      <c r="C2192" s="2"/>
      <c r="D2192" s="2"/>
      <c r="E2192" s="2"/>
      <c r="F2192" s="2"/>
      <c r="G2192" s="2"/>
      <c r="H2192" s="2"/>
      <c r="I2192" s="2"/>
      <c r="J2192" s="2"/>
      <c r="K2192" s="2"/>
      <c r="L2192" s="2"/>
      <c r="M2192" s="2"/>
      <c r="N2192" s="2"/>
      <c r="O2192" s="2"/>
      <c r="P2192" s="2"/>
      <c r="Q2192" s="2"/>
      <c r="R2192" s="2"/>
      <c r="S2192" s="2"/>
      <c r="T2192" s="2"/>
      <c r="U2192" s="2"/>
      <c r="V2192" s="2"/>
      <c r="W2192" s="2"/>
      <c r="X2192" s="2"/>
      <c r="Y2192" s="2"/>
      <c r="Z2192" s="2"/>
      <c r="AA2192" s="2"/>
      <c r="AB2192" s="2"/>
    </row>
    <row r="2193">
      <c r="A2193" s="2"/>
      <c r="B2193" s="2"/>
      <c r="C2193" s="2"/>
      <c r="D2193" s="2"/>
      <c r="E2193" s="2"/>
      <c r="F2193" s="2"/>
      <c r="G2193" s="2"/>
      <c r="H2193" s="2"/>
      <c r="I2193" s="2"/>
      <c r="J2193" s="2"/>
      <c r="K2193" s="2"/>
      <c r="L2193" s="2"/>
      <c r="M2193" s="2"/>
      <c r="N2193" s="2"/>
      <c r="O2193" s="2"/>
      <c r="P2193" s="2"/>
      <c r="Q2193" s="2"/>
      <c r="R2193" s="2"/>
      <c r="S2193" s="2"/>
      <c r="T2193" s="2"/>
      <c r="U2193" s="2"/>
      <c r="V2193" s="2"/>
      <c r="W2193" s="2"/>
      <c r="X2193" s="2"/>
      <c r="Y2193" s="2"/>
      <c r="Z2193" s="2"/>
      <c r="AA2193" s="2"/>
      <c r="AB2193" s="2"/>
    </row>
    <row r="2194">
      <c r="A2194" s="2"/>
      <c r="B2194" s="2"/>
      <c r="C2194" s="2"/>
      <c r="D2194" s="2"/>
      <c r="E2194" s="2"/>
      <c r="F2194" s="2"/>
      <c r="G2194" s="2"/>
      <c r="H2194" s="2"/>
      <c r="I2194" s="2"/>
      <c r="J2194" s="2"/>
      <c r="K2194" s="2"/>
      <c r="L2194" s="2"/>
      <c r="M2194" s="2"/>
      <c r="N2194" s="2"/>
      <c r="O2194" s="2"/>
      <c r="P2194" s="2"/>
      <c r="Q2194" s="2"/>
      <c r="R2194" s="2"/>
      <c r="S2194" s="2"/>
      <c r="T2194" s="2"/>
      <c r="U2194" s="2"/>
      <c r="V2194" s="2"/>
      <c r="W2194" s="2"/>
      <c r="X2194" s="2"/>
      <c r="Y2194" s="2"/>
      <c r="Z2194" s="2"/>
      <c r="AA2194" s="2"/>
      <c r="AB2194" s="2"/>
    </row>
    <row r="2195">
      <c r="A2195" s="2"/>
      <c r="B2195" s="2"/>
      <c r="C2195" s="2"/>
      <c r="D2195" s="2"/>
      <c r="E2195" s="2"/>
      <c r="F2195" s="2"/>
      <c r="G2195" s="2"/>
      <c r="H2195" s="2"/>
      <c r="I2195" s="2"/>
      <c r="J2195" s="2"/>
      <c r="K2195" s="2"/>
      <c r="L2195" s="2"/>
      <c r="M2195" s="2"/>
      <c r="N2195" s="2"/>
      <c r="O2195" s="2"/>
      <c r="P2195" s="2"/>
      <c r="Q2195" s="2"/>
      <c r="R2195" s="2"/>
      <c r="S2195" s="2"/>
      <c r="T2195" s="2"/>
      <c r="U2195" s="2"/>
      <c r="V2195" s="2"/>
      <c r="W2195" s="2"/>
      <c r="X2195" s="2"/>
      <c r="Y2195" s="2"/>
      <c r="Z2195" s="2"/>
      <c r="AA2195" s="2"/>
      <c r="AB2195" s="2"/>
    </row>
    <row r="2196">
      <c r="A2196" s="2"/>
      <c r="B2196" s="2"/>
      <c r="C2196" s="2"/>
      <c r="D2196" s="2"/>
      <c r="E2196" s="2"/>
      <c r="F2196" s="2"/>
      <c r="G2196" s="2"/>
      <c r="H2196" s="2"/>
      <c r="I2196" s="2"/>
      <c r="J2196" s="2"/>
      <c r="K2196" s="2"/>
      <c r="L2196" s="2"/>
      <c r="M2196" s="2"/>
      <c r="N2196" s="2"/>
      <c r="O2196" s="2"/>
      <c r="P2196" s="2"/>
      <c r="Q2196" s="2"/>
      <c r="R2196" s="2"/>
      <c r="S2196" s="2"/>
      <c r="T2196" s="2"/>
      <c r="U2196" s="2"/>
      <c r="V2196" s="2"/>
      <c r="W2196" s="2"/>
      <c r="X2196" s="2"/>
      <c r="Y2196" s="2"/>
      <c r="Z2196" s="2"/>
      <c r="AA2196" s="2"/>
      <c r="AB2196" s="2"/>
    </row>
    <row r="2197">
      <c r="A2197" s="2"/>
      <c r="B2197" s="2"/>
      <c r="C2197" s="2"/>
      <c r="D2197" s="2"/>
      <c r="E2197" s="2"/>
      <c r="F2197" s="2"/>
      <c r="G2197" s="2"/>
      <c r="H2197" s="2"/>
      <c r="I2197" s="2"/>
      <c r="J2197" s="2"/>
      <c r="K2197" s="2"/>
      <c r="L2197" s="2"/>
      <c r="M2197" s="2"/>
      <c r="N2197" s="2"/>
      <c r="O2197" s="2"/>
      <c r="P2197" s="2"/>
      <c r="Q2197" s="2"/>
      <c r="R2197" s="2"/>
      <c r="S2197" s="2"/>
      <c r="T2197" s="2"/>
      <c r="U2197" s="2"/>
      <c r="V2197" s="2"/>
      <c r="W2197" s="2"/>
      <c r="X2197" s="2"/>
      <c r="Y2197" s="2"/>
      <c r="Z2197" s="2"/>
      <c r="AA2197" s="2"/>
      <c r="AB2197" s="2"/>
    </row>
    <row r="2198">
      <c r="A2198" s="2"/>
      <c r="B2198" s="2"/>
      <c r="C2198" s="2"/>
      <c r="D2198" s="2"/>
      <c r="E2198" s="2"/>
      <c r="F2198" s="2"/>
      <c r="G2198" s="2"/>
      <c r="H2198" s="2"/>
      <c r="I2198" s="2"/>
      <c r="J2198" s="2"/>
      <c r="K2198" s="2"/>
      <c r="L2198" s="2"/>
      <c r="M2198" s="2"/>
      <c r="N2198" s="2"/>
      <c r="O2198" s="2"/>
      <c r="P2198" s="2"/>
      <c r="Q2198" s="2"/>
      <c r="R2198" s="2"/>
      <c r="S2198" s="2"/>
      <c r="T2198" s="2"/>
      <c r="U2198" s="2"/>
      <c r="V2198" s="2"/>
      <c r="W2198" s="2"/>
      <c r="X2198" s="2"/>
      <c r="Y2198" s="2"/>
      <c r="Z2198" s="2"/>
      <c r="AA2198" s="2"/>
      <c r="AB2198" s="2"/>
    </row>
    <row r="2199">
      <c r="A2199" s="2"/>
      <c r="B2199" s="2"/>
      <c r="C2199" s="2"/>
      <c r="D2199" s="2"/>
      <c r="E2199" s="2"/>
      <c r="F2199" s="2"/>
      <c r="G2199" s="2"/>
      <c r="H2199" s="2"/>
      <c r="I2199" s="2"/>
      <c r="J2199" s="2"/>
      <c r="K2199" s="2"/>
      <c r="L2199" s="2"/>
      <c r="M2199" s="2"/>
      <c r="N2199" s="2"/>
      <c r="O2199" s="2"/>
      <c r="P2199" s="2"/>
      <c r="Q2199" s="2"/>
      <c r="R2199" s="2"/>
      <c r="S2199" s="2"/>
      <c r="T2199" s="2"/>
      <c r="U2199" s="2"/>
      <c r="V2199" s="2"/>
      <c r="W2199" s="2"/>
      <c r="X2199" s="2"/>
      <c r="Y2199" s="2"/>
      <c r="Z2199" s="2"/>
      <c r="AA2199" s="2"/>
      <c r="AB2199" s="2"/>
    </row>
    <row r="2200">
      <c r="A2200" s="2"/>
      <c r="B2200" s="2"/>
      <c r="C2200" s="2"/>
      <c r="D2200" s="2"/>
      <c r="E2200" s="2"/>
      <c r="F2200" s="2"/>
      <c r="G2200" s="2"/>
      <c r="H2200" s="2"/>
      <c r="I2200" s="2"/>
      <c r="J2200" s="2"/>
      <c r="K2200" s="2"/>
      <c r="L2200" s="2"/>
      <c r="M2200" s="2"/>
      <c r="N2200" s="2"/>
      <c r="O2200" s="2"/>
      <c r="P2200" s="2"/>
      <c r="Q2200" s="2"/>
      <c r="R2200" s="2"/>
      <c r="S2200" s="2"/>
      <c r="T2200" s="2"/>
      <c r="U2200" s="2"/>
      <c r="V2200" s="2"/>
      <c r="W2200" s="2"/>
      <c r="X2200" s="2"/>
      <c r="Y2200" s="2"/>
      <c r="Z2200" s="2"/>
      <c r="AA2200" s="2"/>
      <c r="AB2200" s="2"/>
    </row>
    <row r="2201">
      <c r="A2201" s="2"/>
      <c r="B2201" s="2"/>
      <c r="C2201" s="2"/>
      <c r="D2201" s="2"/>
      <c r="E2201" s="2"/>
      <c r="F2201" s="2"/>
      <c r="G2201" s="2"/>
      <c r="H2201" s="2"/>
      <c r="I2201" s="2"/>
      <c r="J2201" s="2"/>
      <c r="K2201" s="2"/>
      <c r="L2201" s="2"/>
      <c r="M2201" s="2"/>
      <c r="N2201" s="2"/>
      <c r="O2201" s="2"/>
      <c r="P2201" s="2"/>
      <c r="Q2201" s="2"/>
      <c r="R2201" s="2"/>
      <c r="S2201" s="2"/>
      <c r="T2201" s="2"/>
      <c r="U2201" s="2"/>
      <c r="V2201" s="2"/>
      <c r="W2201" s="2"/>
      <c r="X2201" s="2"/>
      <c r="Y2201" s="2"/>
      <c r="Z2201" s="2"/>
      <c r="AA2201" s="2"/>
      <c r="AB2201" s="2"/>
    </row>
    <row r="2202">
      <c r="A2202" s="2"/>
      <c r="B2202" s="2"/>
      <c r="C2202" s="2"/>
      <c r="D2202" s="2"/>
      <c r="E2202" s="2"/>
      <c r="F2202" s="2"/>
      <c r="G2202" s="2"/>
      <c r="H2202" s="2"/>
      <c r="I2202" s="2"/>
      <c r="J2202" s="2"/>
      <c r="K2202" s="2"/>
      <c r="L2202" s="2"/>
      <c r="M2202" s="2"/>
      <c r="N2202" s="2"/>
      <c r="O2202" s="2"/>
      <c r="P2202" s="2"/>
      <c r="Q2202" s="2"/>
      <c r="R2202" s="2"/>
      <c r="S2202" s="2"/>
      <c r="T2202" s="2"/>
      <c r="U2202" s="2"/>
      <c r="V2202" s="2"/>
      <c r="W2202" s="2"/>
      <c r="X2202" s="2"/>
      <c r="Y2202" s="2"/>
      <c r="Z2202" s="2"/>
      <c r="AA2202" s="2"/>
      <c r="AB2202" s="2"/>
    </row>
    <row r="2203">
      <c r="A2203" s="2"/>
      <c r="B2203" s="2"/>
      <c r="C2203" s="2"/>
      <c r="D2203" s="2"/>
      <c r="E2203" s="2"/>
      <c r="F2203" s="2"/>
      <c r="G2203" s="2"/>
      <c r="H2203" s="2"/>
      <c r="I2203" s="2"/>
      <c r="J2203" s="2"/>
      <c r="K2203" s="2"/>
      <c r="L2203" s="2"/>
      <c r="M2203" s="2"/>
      <c r="N2203" s="2"/>
      <c r="O2203" s="2"/>
      <c r="P2203" s="2"/>
      <c r="Q2203" s="2"/>
      <c r="R2203" s="2"/>
      <c r="S2203" s="2"/>
      <c r="T2203" s="2"/>
      <c r="U2203" s="2"/>
      <c r="V2203" s="2"/>
      <c r="W2203" s="2"/>
      <c r="X2203" s="2"/>
      <c r="Y2203" s="2"/>
      <c r="Z2203" s="2"/>
      <c r="AA2203" s="2"/>
      <c r="AB2203" s="2"/>
    </row>
    <row r="2204">
      <c r="A2204" s="2"/>
      <c r="B2204" s="2"/>
      <c r="C2204" s="2"/>
      <c r="D2204" s="2"/>
      <c r="E2204" s="2"/>
      <c r="F2204" s="2"/>
      <c r="G2204" s="2"/>
      <c r="H2204" s="2"/>
      <c r="I2204" s="2"/>
      <c r="J2204" s="2"/>
      <c r="K2204" s="2"/>
      <c r="L2204" s="2"/>
      <c r="M2204" s="2"/>
      <c r="N2204" s="2"/>
      <c r="O2204" s="2"/>
      <c r="P2204" s="2"/>
      <c r="Q2204" s="2"/>
      <c r="R2204" s="2"/>
      <c r="S2204" s="2"/>
      <c r="T2204" s="2"/>
      <c r="U2204" s="2"/>
      <c r="V2204" s="2"/>
      <c r="W2204" s="2"/>
      <c r="X2204" s="2"/>
      <c r="Y2204" s="2"/>
      <c r="Z2204" s="2"/>
      <c r="AA2204" s="2"/>
      <c r="AB2204" s="2"/>
    </row>
    <row r="2205">
      <c r="A2205" s="2"/>
      <c r="B2205" s="2"/>
      <c r="C2205" s="2"/>
      <c r="D2205" s="2"/>
      <c r="E2205" s="2"/>
      <c r="F2205" s="2"/>
      <c r="G2205" s="2"/>
      <c r="H2205" s="2"/>
      <c r="I2205" s="2"/>
      <c r="J2205" s="2"/>
      <c r="K2205" s="2"/>
      <c r="L2205" s="2"/>
      <c r="M2205" s="2"/>
      <c r="N2205" s="2"/>
      <c r="O2205" s="2"/>
      <c r="P2205" s="2"/>
      <c r="Q2205" s="2"/>
      <c r="R2205" s="2"/>
      <c r="S2205" s="2"/>
      <c r="T2205" s="2"/>
      <c r="U2205" s="2"/>
      <c r="V2205" s="2"/>
      <c r="W2205" s="2"/>
      <c r="X2205" s="2"/>
      <c r="Y2205" s="2"/>
      <c r="Z2205" s="2"/>
      <c r="AA2205" s="2"/>
      <c r="AB2205" s="2"/>
    </row>
    <row r="2206">
      <c r="A2206" s="2"/>
      <c r="B2206" s="2"/>
      <c r="C2206" s="2"/>
      <c r="D2206" s="2"/>
      <c r="E2206" s="2"/>
      <c r="F2206" s="2"/>
      <c r="G2206" s="2"/>
      <c r="H2206" s="2"/>
      <c r="I2206" s="2"/>
      <c r="J2206" s="2"/>
      <c r="K2206" s="2"/>
      <c r="L2206" s="2"/>
      <c r="M2206" s="2"/>
      <c r="N2206" s="2"/>
      <c r="O2206" s="2"/>
      <c r="P2206" s="2"/>
      <c r="Q2206" s="2"/>
      <c r="R2206" s="2"/>
      <c r="S2206" s="2"/>
      <c r="T2206" s="2"/>
      <c r="U2206" s="2"/>
      <c r="V2206" s="2"/>
      <c r="W2206" s="2"/>
      <c r="X2206" s="2"/>
      <c r="Y2206" s="2"/>
      <c r="Z2206" s="2"/>
      <c r="AA2206" s="2"/>
      <c r="AB2206" s="2"/>
    </row>
    <row r="2207">
      <c r="A2207" s="2"/>
      <c r="B2207" s="2"/>
      <c r="C2207" s="2"/>
      <c r="D2207" s="2"/>
      <c r="E2207" s="2"/>
      <c r="F2207" s="2"/>
      <c r="G2207" s="2"/>
      <c r="H2207" s="2"/>
      <c r="I2207" s="2"/>
      <c r="J2207" s="2"/>
      <c r="K2207" s="2"/>
      <c r="L2207" s="2"/>
      <c r="M2207" s="2"/>
      <c r="N2207" s="2"/>
      <c r="O2207" s="2"/>
      <c r="P2207" s="2"/>
      <c r="Q2207" s="2"/>
      <c r="R2207" s="2"/>
      <c r="S2207" s="2"/>
      <c r="T2207" s="2"/>
      <c r="U2207" s="2"/>
      <c r="V2207" s="2"/>
      <c r="W2207" s="2"/>
      <c r="X2207" s="2"/>
      <c r="Y2207" s="2"/>
      <c r="Z2207" s="2"/>
      <c r="AA2207" s="2"/>
      <c r="AB2207" s="2"/>
    </row>
    <row r="2208">
      <c r="A2208" s="2"/>
      <c r="B2208" s="2"/>
      <c r="C2208" s="2"/>
      <c r="D2208" s="2"/>
      <c r="E2208" s="2"/>
      <c r="F2208" s="2"/>
      <c r="G2208" s="2"/>
      <c r="H2208" s="2"/>
      <c r="I2208" s="2"/>
      <c r="J2208" s="2"/>
      <c r="K2208" s="2"/>
      <c r="L2208" s="2"/>
      <c r="M2208" s="2"/>
      <c r="N2208" s="2"/>
      <c r="O2208" s="2"/>
      <c r="P2208" s="2"/>
      <c r="Q2208" s="2"/>
      <c r="R2208" s="2"/>
      <c r="S2208" s="2"/>
      <c r="T2208" s="2"/>
      <c r="U2208" s="2"/>
      <c r="V2208" s="2"/>
      <c r="W2208" s="2"/>
      <c r="X2208" s="2"/>
      <c r="Y2208" s="2"/>
      <c r="Z2208" s="2"/>
      <c r="AA2208" s="2"/>
      <c r="AB2208" s="2"/>
    </row>
    <row r="2209">
      <c r="A2209" s="2"/>
      <c r="B2209" s="2"/>
      <c r="C2209" s="2"/>
      <c r="D2209" s="2"/>
      <c r="E2209" s="2"/>
      <c r="F2209" s="2"/>
      <c r="G2209" s="2"/>
      <c r="H2209" s="2"/>
      <c r="I2209" s="2"/>
      <c r="J2209" s="2"/>
      <c r="K2209" s="2"/>
      <c r="L2209" s="2"/>
      <c r="M2209" s="2"/>
      <c r="N2209" s="2"/>
      <c r="O2209" s="2"/>
      <c r="P2209" s="2"/>
      <c r="Q2209" s="2"/>
      <c r="R2209" s="2"/>
      <c r="S2209" s="2"/>
      <c r="T2209" s="2"/>
      <c r="U2209" s="2"/>
      <c r="V2209" s="2"/>
      <c r="W2209" s="2"/>
      <c r="X2209" s="2"/>
      <c r="Y2209" s="2"/>
      <c r="Z2209" s="2"/>
      <c r="AA2209" s="2"/>
      <c r="AB2209" s="2"/>
    </row>
    <row r="2210">
      <c r="A2210" s="2"/>
      <c r="B2210" s="2"/>
      <c r="C2210" s="2"/>
      <c r="D2210" s="2"/>
      <c r="E2210" s="2"/>
      <c r="F2210" s="2"/>
      <c r="G2210" s="2"/>
      <c r="H2210" s="2"/>
      <c r="I2210" s="2"/>
      <c r="J2210" s="2"/>
      <c r="K2210" s="2"/>
      <c r="L2210" s="2"/>
      <c r="M2210" s="2"/>
      <c r="N2210" s="2"/>
      <c r="O2210" s="2"/>
      <c r="P2210" s="2"/>
      <c r="Q2210" s="2"/>
      <c r="R2210" s="2"/>
      <c r="S2210" s="2"/>
      <c r="T2210" s="2"/>
      <c r="U2210" s="2"/>
      <c r="V2210" s="2"/>
      <c r="W2210" s="2"/>
      <c r="X2210" s="2"/>
      <c r="Y2210" s="2"/>
      <c r="Z2210" s="2"/>
      <c r="AA2210" s="2"/>
      <c r="AB2210" s="2"/>
    </row>
    <row r="2211">
      <c r="A2211" s="2"/>
      <c r="B2211" s="2"/>
      <c r="C2211" s="2"/>
      <c r="D2211" s="2"/>
      <c r="E2211" s="2"/>
      <c r="F2211" s="2"/>
      <c r="G2211" s="2"/>
      <c r="H2211" s="2"/>
      <c r="I2211" s="2"/>
      <c r="J2211" s="2"/>
      <c r="K2211" s="2"/>
      <c r="L2211" s="2"/>
      <c r="M2211" s="2"/>
      <c r="N2211" s="2"/>
      <c r="O2211" s="2"/>
      <c r="P2211" s="2"/>
      <c r="Q2211" s="2"/>
      <c r="R2211" s="2"/>
      <c r="S2211" s="2"/>
      <c r="T2211" s="2"/>
      <c r="U2211" s="2"/>
      <c r="V2211" s="2"/>
      <c r="W2211" s="2"/>
      <c r="X2211" s="2"/>
      <c r="Y2211" s="2"/>
      <c r="Z2211" s="2"/>
      <c r="AA2211" s="2"/>
      <c r="AB2211" s="2"/>
    </row>
    <row r="2212">
      <c r="A2212" s="2"/>
      <c r="B2212" s="2"/>
      <c r="C2212" s="2"/>
      <c r="D2212" s="2"/>
      <c r="E2212" s="2"/>
      <c r="F2212" s="2"/>
      <c r="G2212" s="2"/>
      <c r="H2212" s="2"/>
      <c r="I2212" s="2"/>
      <c r="J2212" s="2"/>
      <c r="K2212" s="2"/>
      <c r="L2212" s="2"/>
      <c r="M2212" s="2"/>
      <c r="N2212" s="2"/>
      <c r="O2212" s="2"/>
      <c r="P2212" s="2"/>
      <c r="Q2212" s="2"/>
      <c r="R2212" s="2"/>
      <c r="S2212" s="2"/>
      <c r="T2212" s="2"/>
      <c r="U2212" s="2"/>
      <c r="V2212" s="2"/>
      <c r="W2212" s="2"/>
      <c r="X2212" s="2"/>
      <c r="Y2212" s="2"/>
      <c r="Z2212" s="2"/>
      <c r="AA2212" s="2"/>
      <c r="AB2212" s="2"/>
    </row>
    <row r="2213">
      <c r="A2213" s="2"/>
      <c r="B2213" s="2"/>
      <c r="C2213" s="2"/>
      <c r="D2213" s="2"/>
      <c r="E2213" s="2"/>
      <c r="F2213" s="2"/>
      <c r="G2213" s="2"/>
      <c r="H2213" s="2"/>
      <c r="I2213" s="2"/>
      <c r="J2213" s="2"/>
      <c r="K2213" s="2"/>
      <c r="L2213" s="2"/>
      <c r="M2213" s="2"/>
      <c r="N2213" s="2"/>
      <c r="O2213" s="2"/>
      <c r="P2213" s="2"/>
      <c r="Q2213" s="2"/>
      <c r="R2213" s="2"/>
      <c r="S2213" s="2"/>
      <c r="T2213" s="2"/>
      <c r="U2213" s="2"/>
      <c r="V2213" s="2"/>
      <c r="W2213" s="2"/>
      <c r="X2213" s="2"/>
      <c r="Y2213" s="2"/>
      <c r="Z2213" s="2"/>
      <c r="AA2213" s="2"/>
      <c r="AB2213" s="2"/>
    </row>
    <row r="2214">
      <c r="A2214" s="2"/>
      <c r="B2214" s="2"/>
      <c r="C2214" s="2"/>
      <c r="D2214" s="2"/>
      <c r="E2214" s="2"/>
      <c r="F2214" s="2"/>
      <c r="G2214" s="2"/>
      <c r="H2214" s="2"/>
      <c r="I2214" s="2"/>
      <c r="J2214" s="2"/>
      <c r="K2214" s="2"/>
      <c r="L2214" s="2"/>
      <c r="M2214" s="2"/>
      <c r="N2214" s="2"/>
      <c r="O2214" s="2"/>
      <c r="P2214" s="2"/>
      <c r="Q2214" s="2"/>
      <c r="R2214" s="2"/>
      <c r="S2214" s="2"/>
      <c r="T2214" s="2"/>
      <c r="U2214" s="2"/>
      <c r="V2214" s="2"/>
      <c r="W2214" s="2"/>
      <c r="X2214" s="2"/>
      <c r="Y2214" s="2"/>
      <c r="Z2214" s="2"/>
      <c r="AA2214" s="2"/>
      <c r="AB2214" s="2"/>
    </row>
    <row r="2215">
      <c r="A2215" s="2"/>
      <c r="B2215" s="2"/>
      <c r="C2215" s="2"/>
      <c r="D2215" s="2"/>
      <c r="E2215" s="2"/>
      <c r="F2215" s="2"/>
      <c r="G2215" s="2"/>
      <c r="H2215" s="2"/>
      <c r="I2215" s="2"/>
      <c r="J2215" s="2"/>
      <c r="K2215" s="2"/>
      <c r="L2215" s="2"/>
      <c r="M2215" s="2"/>
      <c r="N2215" s="2"/>
      <c r="O2215" s="2"/>
      <c r="P2215" s="2"/>
      <c r="Q2215" s="2"/>
      <c r="R2215" s="2"/>
      <c r="S2215" s="2"/>
      <c r="T2215" s="2"/>
      <c r="U2215" s="2"/>
      <c r="V2215" s="2"/>
      <c r="W2215" s="2"/>
      <c r="X2215" s="2"/>
      <c r="Y2215" s="2"/>
      <c r="Z2215" s="2"/>
      <c r="AA2215" s="2"/>
      <c r="AB2215" s="2"/>
    </row>
    <row r="2216">
      <c r="A2216" s="2"/>
      <c r="B2216" s="2"/>
      <c r="C2216" s="2"/>
      <c r="D2216" s="2"/>
      <c r="E2216" s="2"/>
      <c r="F2216" s="2"/>
      <c r="G2216" s="2"/>
      <c r="H2216" s="2"/>
      <c r="I2216" s="2"/>
      <c r="J2216" s="2"/>
      <c r="K2216" s="2"/>
      <c r="L2216" s="2"/>
      <c r="M2216" s="2"/>
      <c r="N2216" s="2"/>
      <c r="O2216" s="2"/>
      <c r="P2216" s="2"/>
      <c r="Q2216" s="2"/>
      <c r="R2216" s="2"/>
      <c r="S2216" s="2"/>
      <c r="T2216" s="2"/>
      <c r="U2216" s="2"/>
      <c r="V2216" s="2"/>
      <c r="W2216" s="2"/>
      <c r="X2216" s="2"/>
      <c r="Y2216" s="2"/>
      <c r="Z2216" s="2"/>
      <c r="AA2216" s="2"/>
      <c r="AB2216" s="2"/>
    </row>
    <row r="2217">
      <c r="A2217" s="2"/>
      <c r="B2217" s="2"/>
      <c r="C2217" s="2"/>
      <c r="D2217" s="2"/>
      <c r="E2217" s="2"/>
      <c r="F2217" s="2"/>
      <c r="G2217" s="2"/>
      <c r="H2217" s="2"/>
      <c r="I2217" s="2"/>
      <c r="J2217" s="2"/>
      <c r="K2217" s="2"/>
      <c r="L2217" s="2"/>
      <c r="M2217" s="2"/>
      <c r="N2217" s="2"/>
      <c r="O2217" s="2"/>
      <c r="P2217" s="2"/>
      <c r="Q2217" s="2"/>
      <c r="R2217" s="2"/>
      <c r="S2217" s="2"/>
      <c r="T2217" s="2"/>
      <c r="U2217" s="2"/>
      <c r="V2217" s="2"/>
      <c r="W2217" s="2"/>
      <c r="X2217" s="2"/>
      <c r="Y2217" s="2"/>
      <c r="Z2217" s="2"/>
      <c r="AA2217" s="2"/>
      <c r="AB2217" s="2"/>
    </row>
    <row r="2218">
      <c r="A2218" s="2"/>
      <c r="B2218" s="2"/>
      <c r="C2218" s="2"/>
      <c r="D2218" s="2"/>
      <c r="E2218" s="2"/>
      <c r="F2218" s="2"/>
      <c r="G2218" s="2"/>
      <c r="H2218" s="2"/>
      <c r="I2218" s="2"/>
      <c r="J2218" s="2"/>
      <c r="K2218" s="2"/>
      <c r="L2218" s="2"/>
      <c r="M2218" s="2"/>
      <c r="N2218" s="2"/>
      <c r="O2218" s="2"/>
      <c r="P2218" s="2"/>
      <c r="Q2218" s="2"/>
      <c r="R2218" s="2"/>
      <c r="S2218" s="2"/>
      <c r="T2218" s="2"/>
      <c r="U2218" s="2"/>
      <c r="V2218" s="2"/>
      <c r="W2218" s="2"/>
      <c r="X2218" s="2"/>
      <c r="Y2218" s="2"/>
      <c r="Z2218" s="2"/>
      <c r="AA2218" s="2"/>
      <c r="AB2218" s="2"/>
    </row>
    <row r="2219">
      <c r="A2219" s="2"/>
      <c r="B2219" s="2"/>
      <c r="C2219" s="2"/>
      <c r="D2219" s="2"/>
      <c r="E2219" s="2"/>
      <c r="F2219" s="2"/>
      <c r="G2219" s="2"/>
      <c r="H2219" s="2"/>
      <c r="I2219" s="2"/>
      <c r="J2219" s="2"/>
      <c r="K2219" s="2"/>
      <c r="L2219" s="2"/>
      <c r="M2219" s="2"/>
      <c r="N2219" s="2"/>
      <c r="O2219" s="2"/>
      <c r="P2219" s="2"/>
      <c r="Q2219" s="2"/>
      <c r="R2219" s="2"/>
      <c r="S2219" s="2"/>
      <c r="T2219" s="2"/>
      <c r="U2219" s="2"/>
      <c r="V2219" s="2"/>
      <c r="W2219" s="2"/>
      <c r="X2219" s="2"/>
      <c r="Y2219" s="2"/>
      <c r="Z2219" s="2"/>
      <c r="AA2219" s="2"/>
      <c r="AB2219" s="2"/>
    </row>
    <row r="2220">
      <c r="A2220" s="2"/>
      <c r="B2220" s="2"/>
      <c r="C2220" s="2"/>
      <c r="D2220" s="2"/>
      <c r="E2220" s="2"/>
      <c r="F2220" s="2"/>
      <c r="G2220" s="2"/>
      <c r="H2220" s="2"/>
      <c r="I2220" s="2"/>
      <c r="J2220" s="2"/>
      <c r="K2220" s="2"/>
      <c r="L2220" s="2"/>
      <c r="M2220" s="2"/>
      <c r="N2220" s="2"/>
      <c r="O2220" s="2"/>
      <c r="P2220" s="2"/>
      <c r="Q2220" s="2"/>
      <c r="R2220" s="2"/>
      <c r="S2220" s="2"/>
      <c r="T2220" s="2"/>
      <c r="U2220" s="2"/>
      <c r="V2220" s="2"/>
      <c r="W2220" s="2"/>
      <c r="X2220" s="2"/>
      <c r="Y2220" s="2"/>
      <c r="Z2220" s="2"/>
      <c r="AA2220" s="2"/>
      <c r="AB2220" s="2"/>
    </row>
    <row r="2221">
      <c r="A2221" s="2"/>
      <c r="B2221" s="2"/>
      <c r="C2221" s="2"/>
      <c r="D2221" s="2"/>
      <c r="E2221" s="2"/>
      <c r="F2221" s="2"/>
      <c r="G2221" s="2"/>
      <c r="H2221" s="2"/>
      <c r="I2221" s="2"/>
      <c r="J2221" s="2"/>
      <c r="K2221" s="2"/>
      <c r="L2221" s="2"/>
      <c r="M2221" s="2"/>
      <c r="N2221" s="2"/>
      <c r="O2221" s="2"/>
      <c r="P2221" s="2"/>
      <c r="Q2221" s="2"/>
      <c r="R2221" s="2"/>
      <c r="S2221" s="2"/>
      <c r="T2221" s="2"/>
      <c r="U2221" s="2"/>
      <c r="V2221" s="2"/>
      <c r="W2221" s="2"/>
      <c r="X2221" s="2"/>
      <c r="Y2221" s="2"/>
      <c r="Z2221" s="2"/>
      <c r="AA2221" s="2"/>
      <c r="AB2221" s="2"/>
    </row>
    <row r="2222">
      <c r="A2222" s="2"/>
      <c r="B2222" s="2"/>
      <c r="C2222" s="2"/>
      <c r="D2222" s="2"/>
      <c r="E2222" s="2"/>
      <c r="F2222" s="2"/>
      <c r="G2222" s="2"/>
      <c r="H2222" s="2"/>
      <c r="I2222" s="2"/>
      <c r="J2222" s="2"/>
      <c r="K2222" s="2"/>
      <c r="L2222" s="2"/>
      <c r="M2222" s="2"/>
      <c r="N2222" s="2"/>
      <c r="O2222" s="2"/>
      <c r="P2222" s="2"/>
      <c r="Q2222" s="2"/>
      <c r="R2222" s="2"/>
      <c r="S2222" s="2"/>
      <c r="T2222" s="2"/>
      <c r="U2222" s="2"/>
      <c r="V2222" s="2"/>
      <c r="W2222" s="2"/>
      <c r="X2222" s="2"/>
      <c r="Y2222" s="2"/>
      <c r="Z2222" s="2"/>
      <c r="AA2222" s="2"/>
      <c r="AB2222" s="2"/>
    </row>
    <row r="2223">
      <c r="A2223" s="2"/>
      <c r="B2223" s="2"/>
      <c r="C2223" s="2"/>
      <c r="D2223" s="2"/>
      <c r="E2223" s="2"/>
      <c r="F2223" s="2"/>
      <c r="G2223" s="2"/>
      <c r="H2223" s="2"/>
      <c r="I2223" s="2"/>
      <c r="J2223" s="2"/>
      <c r="K2223" s="2"/>
      <c r="L2223" s="2"/>
      <c r="M2223" s="2"/>
      <c r="N2223" s="2"/>
      <c r="O2223" s="2"/>
      <c r="P2223" s="2"/>
      <c r="Q2223" s="2"/>
      <c r="R2223" s="2"/>
      <c r="S2223" s="2"/>
      <c r="T2223" s="2"/>
      <c r="U2223" s="2"/>
      <c r="V2223" s="2"/>
      <c r="W2223" s="2"/>
      <c r="X2223" s="2"/>
      <c r="Y2223" s="2"/>
      <c r="Z2223" s="2"/>
      <c r="AA2223" s="2"/>
      <c r="AB2223" s="2"/>
    </row>
    <row r="2224">
      <c r="A2224" s="2"/>
      <c r="B2224" s="2"/>
      <c r="C2224" s="2"/>
      <c r="D2224" s="2"/>
      <c r="E2224" s="2"/>
      <c r="F2224" s="2"/>
      <c r="G2224" s="2"/>
      <c r="H2224" s="2"/>
      <c r="I2224" s="2"/>
      <c r="J2224" s="2"/>
      <c r="K2224" s="2"/>
      <c r="L2224" s="2"/>
      <c r="M2224" s="2"/>
      <c r="N2224" s="2"/>
      <c r="O2224" s="2"/>
      <c r="P2224" s="2"/>
      <c r="Q2224" s="2"/>
      <c r="R2224" s="2"/>
      <c r="S2224" s="2"/>
      <c r="T2224" s="2"/>
      <c r="U2224" s="2"/>
      <c r="V2224" s="2"/>
      <c r="W2224" s="2"/>
      <c r="X2224" s="2"/>
      <c r="Y2224" s="2"/>
      <c r="Z2224" s="2"/>
      <c r="AA2224" s="2"/>
      <c r="AB2224" s="2"/>
    </row>
    <row r="2225">
      <c r="A2225" s="2"/>
      <c r="B2225" s="2"/>
      <c r="C2225" s="2"/>
      <c r="D2225" s="2"/>
      <c r="E2225" s="2"/>
      <c r="F2225" s="2"/>
      <c r="G2225" s="2"/>
      <c r="H2225" s="2"/>
      <c r="I2225" s="2"/>
      <c r="J2225" s="2"/>
      <c r="K2225" s="2"/>
      <c r="L2225" s="2"/>
      <c r="M2225" s="2"/>
      <c r="N2225" s="2"/>
      <c r="O2225" s="2"/>
      <c r="P2225" s="2"/>
      <c r="Q2225" s="2"/>
      <c r="R2225" s="2"/>
      <c r="S2225" s="2"/>
      <c r="T2225" s="2"/>
      <c r="U2225" s="2"/>
      <c r="V2225" s="2"/>
      <c r="W2225" s="2"/>
      <c r="X2225" s="2"/>
      <c r="Y2225" s="2"/>
      <c r="Z2225" s="2"/>
      <c r="AA2225" s="2"/>
      <c r="AB2225" s="2"/>
    </row>
    <row r="2226">
      <c r="A2226" s="2"/>
      <c r="B2226" s="2"/>
      <c r="C2226" s="2"/>
      <c r="D2226" s="2"/>
      <c r="E2226" s="2"/>
      <c r="F2226" s="2"/>
      <c r="G2226" s="2"/>
      <c r="H2226" s="2"/>
      <c r="I2226" s="2"/>
      <c r="J2226" s="2"/>
      <c r="K2226" s="2"/>
      <c r="L2226" s="2"/>
      <c r="M2226" s="2"/>
      <c r="N2226" s="2"/>
      <c r="O2226" s="2"/>
      <c r="P2226" s="2"/>
      <c r="Q2226" s="2"/>
      <c r="R2226" s="2"/>
      <c r="S2226" s="2"/>
      <c r="T2226" s="2"/>
      <c r="U2226" s="2"/>
      <c r="V2226" s="2"/>
      <c r="W2226" s="2"/>
      <c r="X2226" s="2"/>
      <c r="Y2226" s="2"/>
      <c r="Z2226" s="2"/>
      <c r="AA2226" s="2"/>
      <c r="AB2226" s="2"/>
    </row>
    <row r="2227">
      <c r="A2227" s="2"/>
      <c r="B2227" s="2"/>
      <c r="C2227" s="2"/>
      <c r="D2227" s="2"/>
      <c r="E2227" s="2"/>
      <c r="F2227" s="2"/>
      <c r="G2227" s="2"/>
      <c r="H2227" s="2"/>
      <c r="I2227" s="2"/>
      <c r="J2227" s="2"/>
      <c r="K2227" s="2"/>
      <c r="L2227" s="2"/>
      <c r="M2227" s="2"/>
      <c r="N2227" s="2"/>
      <c r="O2227" s="2"/>
      <c r="P2227" s="2"/>
      <c r="Q2227" s="2"/>
      <c r="R2227" s="2"/>
      <c r="S2227" s="2"/>
      <c r="T2227" s="2"/>
      <c r="U2227" s="2"/>
      <c r="V2227" s="2"/>
      <c r="W2227" s="2"/>
      <c r="X2227" s="2"/>
      <c r="Y2227" s="2"/>
      <c r="Z2227" s="2"/>
      <c r="AA2227" s="2"/>
      <c r="AB2227" s="2"/>
    </row>
    <row r="2228">
      <c r="A2228" s="2"/>
      <c r="B2228" s="2"/>
      <c r="C2228" s="2"/>
      <c r="D2228" s="2"/>
      <c r="E2228" s="2"/>
      <c r="F2228" s="2"/>
      <c r="G2228" s="2"/>
      <c r="H2228" s="2"/>
      <c r="I2228" s="2"/>
      <c r="J2228" s="2"/>
      <c r="K2228" s="2"/>
      <c r="L2228" s="2"/>
      <c r="M2228" s="2"/>
      <c r="N2228" s="2"/>
      <c r="O2228" s="2"/>
      <c r="P2228" s="2"/>
      <c r="Q2228" s="2"/>
      <c r="R2228" s="2"/>
      <c r="S2228" s="2"/>
      <c r="T2228" s="2"/>
      <c r="U2228" s="2"/>
      <c r="V2228" s="2"/>
      <c r="W2228" s="2"/>
      <c r="X2228" s="2"/>
      <c r="Y2228" s="2"/>
      <c r="Z2228" s="2"/>
      <c r="AA2228" s="2"/>
      <c r="AB2228" s="2"/>
    </row>
    <row r="2229">
      <c r="A2229" s="2"/>
      <c r="B2229" s="2"/>
      <c r="C2229" s="2"/>
      <c r="D2229" s="2"/>
      <c r="E2229" s="2"/>
      <c r="F2229" s="2"/>
      <c r="G2229" s="2"/>
      <c r="H2229" s="2"/>
      <c r="I2229" s="2"/>
      <c r="J2229" s="2"/>
      <c r="K2229" s="2"/>
      <c r="L2229" s="2"/>
      <c r="M2229" s="2"/>
      <c r="N2229" s="2"/>
      <c r="O2229" s="2"/>
      <c r="P2229" s="2"/>
      <c r="Q2229" s="2"/>
      <c r="R2229" s="2"/>
      <c r="S2229" s="2"/>
      <c r="T2229" s="2"/>
      <c r="U2229" s="2"/>
      <c r="V2229" s="2"/>
      <c r="W2229" s="2"/>
      <c r="X2229" s="2"/>
      <c r="Y2229" s="2"/>
      <c r="Z2229" s="2"/>
      <c r="AA2229" s="2"/>
      <c r="AB2229" s="2"/>
    </row>
    <row r="2230">
      <c r="A2230" s="2"/>
      <c r="B2230" s="2"/>
      <c r="C2230" s="2"/>
      <c r="D2230" s="2"/>
      <c r="E2230" s="2"/>
      <c r="F2230" s="2"/>
      <c r="G2230" s="2"/>
      <c r="H2230" s="2"/>
      <c r="I2230" s="2"/>
      <c r="J2230" s="2"/>
      <c r="K2230" s="2"/>
      <c r="L2230" s="2"/>
      <c r="M2230" s="2"/>
      <c r="N2230" s="2"/>
      <c r="O2230" s="2"/>
      <c r="P2230" s="2"/>
      <c r="Q2230" s="2"/>
      <c r="R2230" s="2"/>
      <c r="S2230" s="2"/>
      <c r="T2230" s="2"/>
      <c r="U2230" s="2"/>
      <c r="V2230" s="2"/>
      <c r="W2230" s="2"/>
      <c r="X2230" s="2"/>
      <c r="Y2230" s="2"/>
      <c r="Z2230" s="2"/>
      <c r="AA2230" s="2"/>
      <c r="AB2230" s="2"/>
    </row>
    <row r="2231">
      <c r="A2231" s="2"/>
      <c r="B2231" s="2"/>
      <c r="C2231" s="2"/>
      <c r="D2231" s="2"/>
      <c r="E2231" s="2"/>
      <c r="F2231" s="2"/>
      <c r="G2231" s="2"/>
      <c r="H2231" s="2"/>
      <c r="I2231" s="2"/>
      <c r="J2231" s="2"/>
      <c r="K2231" s="2"/>
      <c r="L2231" s="2"/>
      <c r="M2231" s="2"/>
      <c r="N2231" s="2"/>
      <c r="O2231" s="2"/>
      <c r="P2231" s="2"/>
      <c r="Q2231" s="2"/>
      <c r="R2231" s="2"/>
      <c r="S2231" s="2"/>
      <c r="T2231" s="2"/>
      <c r="U2231" s="2"/>
      <c r="V2231" s="2"/>
      <c r="W2231" s="2"/>
      <c r="X2231" s="2"/>
      <c r="Y2231" s="2"/>
      <c r="Z2231" s="2"/>
      <c r="AA2231" s="2"/>
      <c r="AB2231" s="2"/>
    </row>
    <row r="2232">
      <c r="A2232" s="2"/>
      <c r="B2232" s="2"/>
      <c r="C2232" s="2"/>
      <c r="D2232" s="2"/>
      <c r="E2232" s="2"/>
      <c r="F2232" s="2"/>
      <c r="G2232" s="2"/>
      <c r="H2232" s="2"/>
      <c r="I2232" s="2"/>
      <c r="J2232" s="2"/>
      <c r="K2232" s="2"/>
      <c r="L2232" s="2"/>
      <c r="M2232" s="2"/>
      <c r="N2232" s="2"/>
      <c r="O2232" s="2"/>
      <c r="P2232" s="2"/>
      <c r="Q2232" s="2"/>
      <c r="R2232" s="2"/>
      <c r="S2232" s="2"/>
      <c r="T2232" s="2"/>
      <c r="U2232" s="2"/>
      <c r="V2232" s="2"/>
      <c r="W2232" s="2"/>
      <c r="X2232" s="2"/>
      <c r="Y2232" s="2"/>
      <c r="Z2232" s="2"/>
      <c r="AA2232" s="2"/>
      <c r="AB2232" s="2"/>
    </row>
    <row r="2233">
      <c r="A2233" s="2"/>
      <c r="B2233" s="2"/>
      <c r="C2233" s="2"/>
      <c r="D2233" s="2"/>
      <c r="E2233" s="2"/>
      <c r="F2233" s="2"/>
      <c r="G2233" s="2"/>
      <c r="H2233" s="2"/>
      <c r="I2233" s="2"/>
      <c r="J2233" s="2"/>
      <c r="K2233" s="2"/>
      <c r="L2233" s="2"/>
      <c r="M2233" s="2"/>
      <c r="N2233" s="2"/>
      <c r="O2233" s="2"/>
      <c r="P2233" s="2"/>
      <c r="Q2233" s="2"/>
      <c r="R2233" s="2"/>
      <c r="S2233" s="2"/>
      <c r="T2233" s="2"/>
      <c r="U2233" s="2"/>
      <c r="V2233" s="2"/>
      <c r="W2233" s="2"/>
      <c r="X2233" s="2"/>
      <c r="Y2233" s="2"/>
      <c r="Z2233" s="2"/>
      <c r="AA2233" s="2"/>
      <c r="AB2233" s="2"/>
    </row>
    <row r="2234">
      <c r="A2234" s="2"/>
      <c r="B2234" s="2"/>
      <c r="C2234" s="2"/>
      <c r="D2234" s="2"/>
      <c r="E2234" s="2"/>
      <c r="F2234" s="2"/>
      <c r="G2234" s="2"/>
      <c r="H2234" s="2"/>
      <c r="I2234" s="2"/>
      <c r="J2234" s="2"/>
      <c r="K2234" s="2"/>
      <c r="L2234" s="2"/>
      <c r="M2234" s="2"/>
      <c r="N2234" s="2"/>
      <c r="O2234" s="2"/>
      <c r="P2234" s="2"/>
      <c r="Q2234" s="2"/>
      <c r="R2234" s="2"/>
      <c r="S2234" s="2"/>
      <c r="T2234" s="2"/>
      <c r="U2234" s="2"/>
      <c r="V2234" s="2"/>
      <c r="W2234" s="2"/>
      <c r="X2234" s="2"/>
      <c r="Y2234" s="2"/>
      <c r="Z2234" s="2"/>
      <c r="AA2234" s="2"/>
      <c r="AB2234" s="2"/>
    </row>
    <row r="2235">
      <c r="A2235" s="2"/>
      <c r="B2235" s="2"/>
      <c r="C2235" s="2"/>
      <c r="D2235" s="2"/>
      <c r="E2235" s="2"/>
      <c r="F2235" s="2"/>
      <c r="G2235" s="2"/>
      <c r="H2235" s="2"/>
      <c r="I2235" s="2"/>
      <c r="J2235" s="2"/>
      <c r="K2235" s="2"/>
      <c r="L2235" s="2"/>
      <c r="M2235" s="2"/>
      <c r="N2235" s="2"/>
      <c r="O2235" s="2"/>
      <c r="P2235" s="2"/>
      <c r="Q2235" s="2"/>
      <c r="R2235" s="2"/>
      <c r="S2235" s="2"/>
      <c r="T2235" s="2"/>
      <c r="U2235" s="2"/>
      <c r="V2235" s="2"/>
      <c r="W2235" s="2"/>
      <c r="X2235" s="2"/>
      <c r="Y2235" s="2"/>
      <c r="Z2235" s="2"/>
      <c r="AA2235" s="2"/>
      <c r="AB2235" s="2"/>
    </row>
    <row r="2236">
      <c r="A2236" s="2"/>
      <c r="B2236" s="2"/>
      <c r="C2236" s="2"/>
      <c r="D2236" s="2"/>
      <c r="E2236" s="2"/>
      <c r="F2236" s="2"/>
      <c r="G2236" s="2"/>
      <c r="H2236" s="2"/>
      <c r="I2236" s="2"/>
      <c r="J2236" s="2"/>
      <c r="K2236" s="2"/>
      <c r="L2236" s="2"/>
      <c r="M2236" s="2"/>
      <c r="N2236" s="2"/>
      <c r="O2236" s="2"/>
      <c r="P2236" s="2"/>
      <c r="Q2236" s="2"/>
      <c r="R2236" s="2"/>
      <c r="S2236" s="2"/>
      <c r="T2236" s="2"/>
      <c r="U2236" s="2"/>
      <c r="V2236" s="2"/>
      <c r="W2236" s="2"/>
      <c r="X2236" s="2"/>
      <c r="Y2236" s="2"/>
      <c r="Z2236" s="2"/>
      <c r="AA2236" s="2"/>
      <c r="AB2236" s="2"/>
    </row>
    <row r="2237">
      <c r="A2237" s="2"/>
      <c r="B2237" s="2"/>
      <c r="C2237" s="2"/>
      <c r="D2237" s="2"/>
      <c r="E2237" s="2"/>
      <c r="F2237" s="2"/>
      <c r="G2237" s="2"/>
      <c r="H2237" s="2"/>
      <c r="I2237" s="2"/>
      <c r="J2237" s="2"/>
      <c r="K2237" s="2"/>
      <c r="L2237" s="2"/>
      <c r="M2237" s="2"/>
      <c r="N2237" s="2"/>
      <c r="O2237" s="2"/>
      <c r="P2237" s="2"/>
      <c r="Q2237" s="2"/>
      <c r="R2237" s="2"/>
      <c r="S2237" s="2"/>
      <c r="T2237" s="2"/>
      <c r="U2237" s="2"/>
      <c r="V2237" s="2"/>
      <c r="W2237" s="2"/>
      <c r="X2237" s="2"/>
      <c r="Y2237" s="2"/>
      <c r="Z2237" s="2"/>
      <c r="AA2237" s="2"/>
      <c r="AB2237" s="2"/>
    </row>
    <row r="2238">
      <c r="A2238" s="2"/>
      <c r="B2238" s="2"/>
      <c r="C2238" s="2"/>
      <c r="D2238" s="2"/>
      <c r="E2238" s="2"/>
      <c r="F2238" s="2"/>
      <c r="G2238" s="2"/>
      <c r="H2238" s="2"/>
      <c r="I2238" s="2"/>
      <c r="J2238" s="2"/>
      <c r="K2238" s="2"/>
      <c r="L2238" s="2"/>
      <c r="M2238" s="2"/>
      <c r="N2238" s="2"/>
      <c r="O2238" s="2"/>
      <c r="P2238" s="2"/>
      <c r="Q2238" s="2"/>
      <c r="R2238" s="2"/>
      <c r="S2238" s="2"/>
      <c r="T2238" s="2"/>
      <c r="U2238" s="2"/>
      <c r="V2238" s="2"/>
      <c r="W2238" s="2"/>
      <c r="X2238" s="2"/>
      <c r="Y2238" s="2"/>
      <c r="Z2238" s="2"/>
      <c r="AA2238" s="2"/>
      <c r="AB2238" s="2"/>
    </row>
    <row r="2239">
      <c r="A2239" s="2"/>
      <c r="B2239" s="2"/>
      <c r="C2239" s="2"/>
      <c r="D2239" s="2"/>
      <c r="E2239" s="2"/>
      <c r="F2239" s="2"/>
      <c r="G2239" s="2"/>
      <c r="H2239" s="2"/>
      <c r="I2239" s="2"/>
      <c r="J2239" s="2"/>
      <c r="K2239" s="2"/>
      <c r="L2239" s="2"/>
      <c r="M2239" s="2"/>
      <c r="N2239" s="2"/>
      <c r="O2239" s="2"/>
      <c r="P2239" s="2"/>
      <c r="Q2239" s="2"/>
      <c r="R2239" s="2"/>
      <c r="S2239" s="2"/>
      <c r="T2239" s="2"/>
      <c r="U2239" s="2"/>
      <c r="V2239" s="2"/>
      <c r="W2239" s="2"/>
      <c r="X2239" s="2"/>
      <c r="Y2239" s="2"/>
      <c r="Z2239" s="2"/>
      <c r="AA2239" s="2"/>
      <c r="AB2239" s="2"/>
    </row>
    <row r="2240">
      <c r="A2240" s="2"/>
      <c r="B2240" s="2"/>
      <c r="C2240" s="2"/>
      <c r="D2240" s="2"/>
      <c r="E2240" s="2"/>
      <c r="F2240" s="2"/>
      <c r="G2240" s="2"/>
      <c r="H2240" s="2"/>
      <c r="I2240" s="2"/>
      <c r="J2240" s="2"/>
      <c r="K2240" s="2"/>
      <c r="L2240" s="2"/>
      <c r="M2240" s="2"/>
      <c r="N2240" s="2"/>
      <c r="O2240" s="2"/>
      <c r="P2240" s="2"/>
      <c r="Q2240" s="2"/>
      <c r="R2240" s="2"/>
      <c r="S2240" s="2"/>
      <c r="T2240" s="2"/>
      <c r="U2240" s="2"/>
      <c r="V2240" s="2"/>
      <c r="W2240" s="2"/>
      <c r="X2240" s="2"/>
      <c r="Y2240" s="2"/>
      <c r="Z2240" s="2"/>
      <c r="AA2240" s="2"/>
      <c r="AB2240" s="2"/>
    </row>
    <row r="2241">
      <c r="A2241" s="2"/>
      <c r="B2241" s="2"/>
      <c r="C2241" s="2"/>
      <c r="D2241" s="2"/>
      <c r="E2241" s="2"/>
      <c r="F2241" s="2"/>
      <c r="G2241" s="2"/>
      <c r="H2241" s="2"/>
      <c r="I2241" s="2"/>
      <c r="J2241" s="2"/>
      <c r="K2241" s="2"/>
      <c r="L2241" s="2"/>
      <c r="M2241" s="2"/>
      <c r="N2241" s="2"/>
      <c r="O2241" s="2"/>
      <c r="P2241" s="2"/>
      <c r="Q2241" s="2"/>
      <c r="R2241" s="2"/>
      <c r="S2241" s="2"/>
      <c r="T2241" s="2"/>
      <c r="U2241" s="2"/>
      <c r="V2241" s="2"/>
      <c r="W2241" s="2"/>
      <c r="X2241" s="2"/>
      <c r="Y2241" s="2"/>
      <c r="Z2241" s="2"/>
      <c r="AA2241" s="2"/>
      <c r="AB2241" s="2"/>
    </row>
    <row r="2242">
      <c r="A2242" s="2"/>
      <c r="B2242" s="2"/>
      <c r="C2242" s="2"/>
      <c r="D2242" s="2"/>
      <c r="E2242" s="2"/>
      <c r="F2242" s="2"/>
      <c r="G2242" s="2"/>
      <c r="H2242" s="2"/>
      <c r="I2242" s="2"/>
      <c r="J2242" s="2"/>
      <c r="K2242" s="2"/>
      <c r="L2242" s="2"/>
      <c r="M2242" s="2"/>
      <c r="N2242" s="2"/>
      <c r="O2242" s="2"/>
      <c r="P2242" s="2"/>
      <c r="Q2242" s="2"/>
      <c r="R2242" s="2"/>
      <c r="S2242" s="2"/>
      <c r="T2242" s="2"/>
      <c r="U2242" s="2"/>
      <c r="V2242" s="2"/>
      <c r="W2242" s="2"/>
      <c r="X2242" s="2"/>
      <c r="Y2242" s="2"/>
      <c r="Z2242" s="2"/>
      <c r="AA2242" s="2"/>
      <c r="AB2242" s="2"/>
    </row>
    <row r="2243">
      <c r="A2243" s="2"/>
      <c r="B2243" s="2"/>
      <c r="C2243" s="2"/>
      <c r="D2243" s="2"/>
      <c r="E2243" s="2"/>
      <c r="F2243" s="2"/>
      <c r="G2243" s="2"/>
      <c r="H2243" s="2"/>
      <c r="I2243" s="2"/>
      <c r="J2243" s="2"/>
      <c r="K2243" s="2"/>
      <c r="L2243" s="2"/>
      <c r="M2243" s="2"/>
      <c r="N2243" s="2"/>
      <c r="O2243" s="2"/>
      <c r="P2243" s="2"/>
      <c r="Q2243" s="2"/>
      <c r="R2243" s="2"/>
      <c r="S2243" s="2"/>
      <c r="T2243" s="2"/>
      <c r="U2243" s="2"/>
      <c r="V2243" s="2"/>
      <c r="W2243" s="2"/>
      <c r="X2243" s="2"/>
      <c r="Y2243" s="2"/>
      <c r="Z2243" s="2"/>
      <c r="AA2243" s="2"/>
      <c r="AB2243" s="2"/>
    </row>
    <row r="2244">
      <c r="A2244" s="2"/>
      <c r="B2244" s="2"/>
      <c r="C2244" s="2"/>
      <c r="D2244" s="2"/>
      <c r="E2244" s="2"/>
      <c r="F2244" s="2"/>
      <c r="G2244" s="2"/>
      <c r="H2244" s="2"/>
      <c r="I2244" s="2"/>
      <c r="J2244" s="2"/>
      <c r="K2244" s="2"/>
      <c r="L2244" s="2"/>
      <c r="M2244" s="2"/>
      <c r="N2244" s="2"/>
      <c r="O2244" s="2"/>
      <c r="P2244" s="2"/>
      <c r="Q2244" s="2"/>
      <c r="R2244" s="2"/>
      <c r="S2244" s="2"/>
      <c r="T2244" s="2"/>
      <c r="U2244" s="2"/>
      <c r="V2244" s="2"/>
      <c r="W2244" s="2"/>
      <c r="X2244" s="2"/>
      <c r="Y2244" s="2"/>
      <c r="Z2244" s="2"/>
      <c r="AA2244" s="2"/>
      <c r="AB2244" s="2"/>
    </row>
    <row r="2245">
      <c r="A2245" s="2"/>
      <c r="B2245" s="2"/>
      <c r="C2245" s="2"/>
      <c r="D2245" s="2"/>
      <c r="E2245" s="2"/>
      <c r="F2245" s="2"/>
      <c r="G2245" s="2"/>
      <c r="H2245" s="2"/>
      <c r="I2245" s="2"/>
      <c r="J2245" s="2"/>
      <c r="K2245" s="2"/>
      <c r="L2245" s="2"/>
      <c r="M2245" s="2"/>
      <c r="N2245" s="2"/>
      <c r="O2245" s="2"/>
      <c r="P2245" s="2"/>
      <c r="Q2245" s="2"/>
      <c r="R2245" s="2"/>
      <c r="S2245" s="2"/>
      <c r="T2245" s="2"/>
      <c r="U2245" s="2"/>
      <c r="V2245" s="2"/>
      <c r="W2245" s="2"/>
      <c r="X2245" s="2"/>
      <c r="Y2245" s="2"/>
      <c r="Z2245" s="2"/>
      <c r="AA2245" s="2"/>
      <c r="AB2245" s="2"/>
    </row>
    <row r="2246">
      <c r="A2246" s="2"/>
      <c r="B2246" s="2"/>
      <c r="C2246" s="2"/>
      <c r="D2246" s="2"/>
      <c r="E2246" s="2"/>
      <c r="F2246" s="2"/>
      <c r="G2246" s="2"/>
      <c r="H2246" s="2"/>
      <c r="I2246" s="2"/>
      <c r="J2246" s="2"/>
      <c r="K2246" s="2"/>
      <c r="L2246" s="2"/>
      <c r="M2246" s="2"/>
      <c r="N2246" s="2"/>
      <c r="O2246" s="2"/>
      <c r="P2246" s="2"/>
      <c r="Q2246" s="2"/>
      <c r="R2246" s="2"/>
      <c r="S2246" s="2"/>
      <c r="T2246" s="2"/>
      <c r="U2246" s="2"/>
      <c r="V2246" s="2"/>
      <c r="W2246" s="2"/>
      <c r="X2246" s="2"/>
      <c r="Y2246" s="2"/>
      <c r="Z2246" s="2"/>
      <c r="AA2246" s="2"/>
      <c r="AB2246" s="2"/>
    </row>
    <row r="2247">
      <c r="A2247" s="2"/>
      <c r="B2247" s="2"/>
      <c r="C2247" s="2"/>
      <c r="D2247" s="2"/>
      <c r="E2247" s="2"/>
      <c r="F2247" s="2"/>
      <c r="G2247" s="2"/>
      <c r="H2247" s="2"/>
      <c r="I2247" s="2"/>
      <c r="J2247" s="2"/>
      <c r="K2247" s="2"/>
      <c r="L2247" s="2"/>
      <c r="M2247" s="2"/>
      <c r="N2247" s="2"/>
      <c r="O2247" s="2"/>
      <c r="P2247" s="2"/>
      <c r="Q2247" s="2"/>
      <c r="R2247" s="2"/>
      <c r="S2247" s="2"/>
      <c r="T2247" s="2"/>
      <c r="U2247" s="2"/>
      <c r="V2247" s="2"/>
      <c r="W2247" s="2"/>
      <c r="X2247" s="2"/>
      <c r="Y2247" s="2"/>
      <c r="Z2247" s="2"/>
      <c r="AA2247" s="2"/>
      <c r="AB2247" s="2"/>
    </row>
    <row r="2248">
      <c r="A2248" s="2"/>
      <c r="B2248" s="2"/>
      <c r="C2248" s="2"/>
      <c r="D2248" s="2"/>
      <c r="E2248" s="2"/>
      <c r="F2248" s="2"/>
      <c r="G2248" s="2"/>
      <c r="H2248" s="2"/>
      <c r="I2248" s="2"/>
      <c r="J2248" s="2"/>
      <c r="K2248" s="2"/>
      <c r="L2248" s="2"/>
      <c r="M2248" s="2"/>
      <c r="N2248" s="2"/>
      <c r="O2248" s="2"/>
      <c r="P2248" s="2"/>
      <c r="Q2248" s="2"/>
      <c r="R2248" s="2"/>
      <c r="S2248" s="2"/>
      <c r="T2248" s="2"/>
      <c r="U2248" s="2"/>
      <c r="V2248" s="2"/>
      <c r="W2248" s="2"/>
      <c r="X2248" s="2"/>
      <c r="Y2248" s="2"/>
      <c r="Z2248" s="2"/>
      <c r="AA2248" s="2"/>
      <c r="AB2248" s="2"/>
    </row>
    <row r="2249">
      <c r="A2249" s="2"/>
      <c r="B2249" s="2"/>
      <c r="C2249" s="2"/>
      <c r="D2249" s="2"/>
      <c r="E2249" s="2"/>
      <c r="F2249" s="2"/>
      <c r="G2249" s="2"/>
      <c r="H2249" s="2"/>
      <c r="I2249" s="2"/>
      <c r="J2249" s="2"/>
      <c r="K2249" s="2"/>
      <c r="L2249" s="2"/>
      <c r="M2249" s="2"/>
      <c r="N2249" s="2"/>
      <c r="O2249" s="2"/>
      <c r="P2249" s="2"/>
      <c r="Q2249" s="2"/>
      <c r="R2249" s="2"/>
      <c r="S2249" s="2"/>
      <c r="T2249" s="2"/>
      <c r="U2249" s="2"/>
      <c r="V2249" s="2"/>
      <c r="W2249" s="2"/>
      <c r="X2249" s="2"/>
      <c r="Y2249" s="2"/>
      <c r="Z2249" s="2"/>
      <c r="AA2249" s="2"/>
      <c r="AB2249" s="2"/>
    </row>
    <row r="2250">
      <c r="A2250" s="2"/>
      <c r="B2250" s="2"/>
      <c r="C2250" s="2"/>
      <c r="D2250" s="2"/>
      <c r="E2250" s="2"/>
      <c r="F2250" s="2"/>
      <c r="G2250" s="2"/>
      <c r="H2250" s="2"/>
      <c r="I2250" s="2"/>
      <c r="J2250" s="2"/>
      <c r="K2250" s="2"/>
      <c r="L2250" s="2"/>
      <c r="M2250" s="2"/>
      <c r="N2250" s="2"/>
      <c r="O2250" s="2"/>
      <c r="P2250" s="2"/>
      <c r="Q2250" s="2"/>
      <c r="R2250" s="2"/>
      <c r="S2250" s="2"/>
      <c r="T2250" s="2"/>
      <c r="U2250" s="2"/>
      <c r="V2250" s="2"/>
      <c r="W2250" s="2"/>
      <c r="X2250" s="2"/>
      <c r="Y2250" s="2"/>
      <c r="Z2250" s="2"/>
      <c r="AA2250" s="2"/>
      <c r="AB2250" s="2"/>
    </row>
    <row r="2251">
      <c r="A2251" s="2"/>
      <c r="B2251" s="2"/>
      <c r="C2251" s="2"/>
      <c r="D2251" s="2"/>
      <c r="E2251" s="2"/>
      <c r="F2251" s="2"/>
      <c r="G2251" s="2"/>
      <c r="H2251" s="2"/>
      <c r="I2251" s="2"/>
      <c r="J2251" s="2"/>
      <c r="K2251" s="2"/>
      <c r="L2251" s="2"/>
      <c r="M2251" s="2"/>
      <c r="N2251" s="2"/>
      <c r="O2251" s="2"/>
      <c r="P2251" s="2"/>
      <c r="Q2251" s="2"/>
      <c r="R2251" s="2"/>
      <c r="S2251" s="2"/>
      <c r="T2251" s="2"/>
      <c r="U2251" s="2"/>
      <c r="V2251" s="2"/>
      <c r="W2251" s="2"/>
      <c r="X2251" s="2"/>
      <c r="Y2251" s="2"/>
      <c r="Z2251" s="2"/>
      <c r="AA2251" s="2"/>
      <c r="AB2251" s="2"/>
    </row>
    <row r="2252">
      <c r="A2252" s="2"/>
      <c r="B2252" s="2"/>
      <c r="C2252" s="2"/>
      <c r="D2252" s="2"/>
      <c r="E2252" s="2"/>
      <c r="F2252" s="2"/>
      <c r="G2252" s="2"/>
      <c r="H2252" s="2"/>
      <c r="I2252" s="2"/>
      <c r="J2252" s="2"/>
      <c r="K2252" s="2"/>
      <c r="L2252" s="2"/>
      <c r="M2252" s="2"/>
      <c r="N2252" s="2"/>
      <c r="O2252" s="2"/>
      <c r="P2252" s="2"/>
      <c r="Q2252" s="2"/>
      <c r="R2252" s="2"/>
      <c r="S2252" s="2"/>
      <c r="T2252" s="2"/>
      <c r="U2252" s="2"/>
      <c r="V2252" s="2"/>
      <c r="W2252" s="2"/>
      <c r="X2252" s="2"/>
      <c r="Y2252" s="2"/>
      <c r="Z2252" s="2"/>
      <c r="AA2252" s="2"/>
      <c r="AB2252" s="2"/>
    </row>
    <row r="2253">
      <c r="A2253" s="2"/>
      <c r="B2253" s="2"/>
      <c r="C2253" s="2"/>
      <c r="D2253" s="2"/>
      <c r="E2253" s="2"/>
      <c r="F2253" s="2"/>
      <c r="G2253" s="2"/>
      <c r="H2253" s="2"/>
      <c r="I2253" s="2"/>
      <c r="J2253" s="2"/>
      <c r="K2253" s="2"/>
      <c r="L2253" s="2"/>
      <c r="M2253" s="2"/>
      <c r="N2253" s="2"/>
      <c r="O2253" s="2"/>
      <c r="P2253" s="2"/>
      <c r="Q2253" s="2"/>
      <c r="R2253" s="2"/>
      <c r="S2253" s="2"/>
      <c r="T2253" s="2"/>
      <c r="U2253" s="2"/>
      <c r="V2253" s="2"/>
      <c r="W2253" s="2"/>
      <c r="X2253" s="2"/>
      <c r="Y2253" s="2"/>
      <c r="Z2253" s="2"/>
      <c r="AA2253" s="2"/>
      <c r="AB2253" s="2"/>
    </row>
    <row r="2254">
      <c r="A2254" s="2"/>
      <c r="B2254" s="2"/>
      <c r="C2254" s="2"/>
      <c r="D2254" s="2"/>
      <c r="E2254" s="2"/>
      <c r="F2254" s="2"/>
      <c r="G2254" s="2"/>
      <c r="H2254" s="2"/>
      <c r="I2254" s="2"/>
      <c r="J2254" s="2"/>
      <c r="K2254" s="2"/>
      <c r="L2254" s="2"/>
      <c r="M2254" s="2"/>
      <c r="N2254" s="2"/>
      <c r="O2254" s="2"/>
      <c r="P2254" s="2"/>
      <c r="Q2254" s="2"/>
      <c r="R2254" s="2"/>
      <c r="S2254" s="2"/>
      <c r="T2254" s="2"/>
      <c r="U2254" s="2"/>
      <c r="V2254" s="2"/>
      <c r="W2254" s="2"/>
      <c r="X2254" s="2"/>
      <c r="Y2254" s="2"/>
      <c r="Z2254" s="2"/>
      <c r="AA2254" s="2"/>
      <c r="AB2254" s="2"/>
    </row>
    <row r="2255">
      <c r="A2255" s="2"/>
      <c r="B2255" s="2"/>
      <c r="C2255" s="2"/>
      <c r="D2255" s="2"/>
      <c r="E2255" s="2"/>
      <c r="F2255" s="2"/>
      <c r="G2255" s="2"/>
      <c r="H2255" s="2"/>
      <c r="I2255" s="2"/>
      <c r="J2255" s="2"/>
      <c r="K2255" s="2"/>
      <c r="L2255" s="2"/>
      <c r="M2255" s="2"/>
      <c r="N2255" s="2"/>
      <c r="O2255" s="2"/>
      <c r="P2255" s="2"/>
      <c r="Q2255" s="2"/>
      <c r="R2255" s="2"/>
      <c r="S2255" s="2"/>
      <c r="T2255" s="2"/>
      <c r="U2255" s="2"/>
      <c r="V2255" s="2"/>
      <c r="W2255" s="2"/>
      <c r="X2255" s="2"/>
      <c r="Y2255" s="2"/>
      <c r="Z2255" s="2"/>
      <c r="AA2255" s="2"/>
      <c r="AB2255" s="2"/>
    </row>
    <row r="2256">
      <c r="A2256" s="2"/>
      <c r="B2256" s="2"/>
      <c r="C2256" s="2"/>
      <c r="D2256" s="2"/>
      <c r="E2256" s="2"/>
      <c r="F2256" s="2"/>
      <c r="G2256" s="2"/>
      <c r="H2256" s="2"/>
      <c r="I2256" s="2"/>
      <c r="J2256" s="2"/>
      <c r="K2256" s="2"/>
      <c r="L2256" s="2"/>
      <c r="M2256" s="2"/>
      <c r="N2256" s="2"/>
      <c r="O2256" s="2"/>
      <c r="P2256" s="2"/>
      <c r="Q2256" s="2"/>
      <c r="R2256" s="2"/>
      <c r="S2256" s="2"/>
      <c r="T2256" s="2"/>
      <c r="U2256" s="2"/>
      <c r="V2256" s="2"/>
      <c r="W2256" s="2"/>
      <c r="X2256" s="2"/>
      <c r="Y2256" s="2"/>
      <c r="Z2256" s="2"/>
      <c r="AA2256" s="2"/>
      <c r="AB2256" s="2"/>
    </row>
    <row r="2257">
      <c r="A2257" s="2"/>
      <c r="B2257" s="2"/>
      <c r="C2257" s="2"/>
      <c r="D2257" s="2"/>
      <c r="E2257" s="2"/>
      <c r="F2257" s="2"/>
      <c r="G2257" s="2"/>
      <c r="H2257" s="2"/>
      <c r="I2257" s="2"/>
      <c r="J2257" s="2"/>
      <c r="K2257" s="2"/>
      <c r="L2257" s="2"/>
      <c r="M2257" s="2"/>
      <c r="N2257" s="2"/>
      <c r="O2257" s="2"/>
      <c r="P2257" s="2"/>
      <c r="Q2257" s="2"/>
      <c r="R2257" s="2"/>
      <c r="S2257" s="2"/>
      <c r="T2257" s="2"/>
      <c r="U2257" s="2"/>
      <c r="V2257" s="2"/>
      <c r="W2257" s="2"/>
      <c r="X2257" s="2"/>
      <c r="Y2257" s="2"/>
      <c r="Z2257" s="2"/>
      <c r="AA2257" s="2"/>
      <c r="AB2257" s="2"/>
    </row>
    <row r="2258">
      <c r="A2258" s="2"/>
      <c r="B2258" s="2"/>
      <c r="C2258" s="2"/>
      <c r="D2258" s="2"/>
      <c r="E2258" s="2"/>
      <c r="F2258" s="2"/>
      <c r="G2258" s="2"/>
      <c r="H2258" s="2"/>
      <c r="I2258" s="2"/>
      <c r="J2258" s="2"/>
      <c r="K2258" s="2"/>
      <c r="L2258" s="2"/>
      <c r="M2258" s="2"/>
      <c r="N2258" s="2"/>
      <c r="O2258" s="2"/>
      <c r="P2258" s="2"/>
      <c r="Q2258" s="2"/>
      <c r="R2258" s="2"/>
      <c r="S2258" s="2"/>
      <c r="T2258" s="2"/>
      <c r="U2258" s="2"/>
      <c r="V2258" s="2"/>
      <c r="W2258" s="2"/>
      <c r="X2258" s="2"/>
      <c r="Y2258" s="2"/>
      <c r="Z2258" s="2"/>
      <c r="AA2258" s="2"/>
      <c r="AB2258" s="2"/>
    </row>
    <row r="2259">
      <c r="A2259" s="2"/>
      <c r="B2259" s="2"/>
      <c r="C2259" s="2"/>
      <c r="D2259" s="2"/>
      <c r="E2259" s="2"/>
      <c r="F2259" s="2"/>
      <c r="G2259" s="2"/>
      <c r="H2259" s="2"/>
      <c r="I2259" s="2"/>
      <c r="J2259" s="2"/>
      <c r="K2259" s="2"/>
      <c r="L2259" s="2"/>
      <c r="M2259" s="2"/>
      <c r="N2259" s="2"/>
      <c r="O2259" s="2"/>
      <c r="P2259" s="2"/>
      <c r="Q2259" s="2"/>
      <c r="R2259" s="2"/>
      <c r="S2259" s="2"/>
      <c r="T2259" s="2"/>
      <c r="U2259" s="2"/>
      <c r="V2259" s="2"/>
      <c r="W2259" s="2"/>
      <c r="X2259" s="2"/>
      <c r="Y2259" s="2"/>
      <c r="Z2259" s="2"/>
      <c r="AA2259" s="2"/>
      <c r="AB2259" s="2"/>
    </row>
    <row r="2260">
      <c r="A2260" s="2"/>
      <c r="B2260" s="2"/>
      <c r="C2260" s="2"/>
      <c r="D2260" s="2"/>
      <c r="E2260" s="2"/>
      <c r="F2260" s="2"/>
      <c r="G2260" s="2"/>
      <c r="H2260" s="2"/>
      <c r="I2260" s="2"/>
      <c r="J2260" s="2"/>
      <c r="K2260" s="2"/>
      <c r="L2260" s="2"/>
      <c r="M2260" s="2"/>
      <c r="N2260" s="2"/>
      <c r="O2260" s="2"/>
      <c r="P2260" s="2"/>
      <c r="Q2260" s="2"/>
      <c r="R2260" s="2"/>
      <c r="S2260" s="2"/>
      <c r="T2260" s="2"/>
      <c r="U2260" s="2"/>
      <c r="V2260" s="2"/>
      <c r="W2260" s="2"/>
      <c r="X2260" s="2"/>
      <c r="Y2260" s="2"/>
      <c r="Z2260" s="2"/>
      <c r="AA2260" s="2"/>
      <c r="AB2260" s="2"/>
    </row>
    <row r="2261">
      <c r="A2261" s="2"/>
      <c r="B2261" s="2"/>
      <c r="C2261" s="2"/>
      <c r="D2261" s="2"/>
      <c r="E2261" s="2"/>
      <c r="F2261" s="2"/>
      <c r="G2261" s="2"/>
      <c r="H2261" s="2"/>
      <c r="I2261" s="2"/>
      <c r="J2261" s="2"/>
      <c r="K2261" s="2"/>
      <c r="L2261" s="2"/>
      <c r="M2261" s="2"/>
      <c r="N2261" s="2"/>
      <c r="O2261" s="2"/>
      <c r="P2261" s="2"/>
      <c r="Q2261" s="2"/>
      <c r="R2261" s="2"/>
      <c r="S2261" s="2"/>
      <c r="T2261" s="2"/>
      <c r="U2261" s="2"/>
      <c r="V2261" s="2"/>
      <c r="W2261" s="2"/>
      <c r="X2261" s="2"/>
      <c r="Y2261" s="2"/>
      <c r="Z2261" s="2"/>
      <c r="AA2261" s="2"/>
      <c r="AB2261" s="2"/>
    </row>
    <row r="2262">
      <c r="A2262" s="2"/>
      <c r="B2262" s="2"/>
      <c r="C2262" s="2"/>
      <c r="D2262" s="2"/>
      <c r="E2262" s="2"/>
      <c r="F2262" s="2"/>
      <c r="G2262" s="2"/>
      <c r="H2262" s="2"/>
      <c r="I2262" s="2"/>
      <c r="J2262" s="2"/>
      <c r="K2262" s="2"/>
      <c r="L2262" s="2"/>
      <c r="M2262" s="2"/>
      <c r="N2262" s="2"/>
      <c r="O2262" s="2"/>
      <c r="P2262" s="2"/>
      <c r="Q2262" s="2"/>
      <c r="R2262" s="2"/>
      <c r="S2262" s="2"/>
      <c r="T2262" s="2"/>
      <c r="U2262" s="2"/>
      <c r="V2262" s="2"/>
      <c r="W2262" s="2"/>
      <c r="X2262" s="2"/>
      <c r="Y2262" s="2"/>
      <c r="Z2262" s="2"/>
      <c r="AA2262" s="2"/>
      <c r="AB2262"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83" t="s">
        <v>1981</v>
      </c>
    </row>
    <row r="2">
      <c r="A2" s="83" t="s">
        <v>1982</v>
      </c>
    </row>
    <row r="3">
      <c r="A3" s="83" t="s">
        <v>1983</v>
      </c>
    </row>
    <row r="4">
      <c r="A4" s="83" t="s">
        <v>1984</v>
      </c>
    </row>
    <row r="5">
      <c r="A5" s="83" t="s">
        <v>1985</v>
      </c>
    </row>
    <row r="6">
      <c r="A6" s="83" t="s">
        <v>1062</v>
      </c>
    </row>
    <row r="7">
      <c r="A7" s="2" t="s">
        <v>1986</v>
      </c>
    </row>
    <row r="8">
      <c r="A8" s="2" t="s">
        <v>971</v>
      </c>
    </row>
    <row r="9">
      <c r="A9" s="2" t="s">
        <v>1002</v>
      </c>
    </row>
    <row r="10">
      <c r="A10" s="2" t="s">
        <v>1987</v>
      </c>
    </row>
    <row r="11">
      <c r="A11" s="2" t="s">
        <v>1008</v>
      </c>
    </row>
    <row r="12">
      <c r="A12" s="2" t="s">
        <v>1875</v>
      </c>
    </row>
    <row r="13">
      <c r="A13" s="2" t="s">
        <v>1988</v>
      </c>
    </row>
    <row r="14">
      <c r="A14" s="2" t="s">
        <v>1917</v>
      </c>
    </row>
    <row r="15">
      <c r="A15" s="2" t="s">
        <v>1881</v>
      </c>
    </row>
    <row r="16">
      <c r="A16" s="2" t="s">
        <v>1911</v>
      </c>
    </row>
    <row r="17">
      <c r="A17" s="2" t="s">
        <v>1926</v>
      </c>
    </row>
    <row r="18">
      <c r="A18" s="2" t="s">
        <v>1989</v>
      </c>
    </row>
    <row r="19">
      <c r="A19" s="2" t="s">
        <v>1859</v>
      </c>
    </row>
    <row r="20">
      <c r="A20" s="2" t="s">
        <v>1848</v>
      </c>
    </row>
    <row r="21">
      <c r="A21" s="2" t="s">
        <v>1914</v>
      </c>
    </row>
    <row r="23">
      <c r="A23" s="83" t="s">
        <v>1990</v>
      </c>
    </row>
    <row r="24">
      <c r="A24" s="84" t="s">
        <v>1895</v>
      </c>
    </row>
    <row r="25">
      <c r="A25" s="84" t="s">
        <v>1833</v>
      </c>
    </row>
    <row r="26">
      <c r="A26" s="84" t="s">
        <v>1991</v>
      </c>
    </row>
    <row r="27">
      <c r="A27" s="84" t="s">
        <v>1893</v>
      </c>
    </row>
    <row r="28">
      <c r="A28" s="84" t="s">
        <v>1128</v>
      </c>
    </row>
    <row r="29">
      <c r="A29" s="84" t="s">
        <v>1992</v>
      </c>
    </row>
    <row r="30">
      <c r="A30" s="84" t="s">
        <v>1993</v>
      </c>
    </row>
    <row r="31">
      <c r="A31" s="84" t="s">
        <v>1057</v>
      </c>
    </row>
    <row r="32">
      <c r="A32" s="84" t="s">
        <v>1994</v>
      </c>
    </row>
    <row r="33">
      <c r="A33" s="84" t="s">
        <v>1878</v>
      </c>
    </row>
    <row r="34">
      <c r="A34" s="84" t="s">
        <v>1890</v>
      </c>
    </row>
    <row r="35">
      <c r="A35" s="84" t="s">
        <v>1904</v>
      </c>
    </row>
    <row r="36">
      <c r="A36" s="84" t="s">
        <v>1887</v>
      </c>
    </row>
    <row r="37">
      <c r="A37" s="84" t="s">
        <v>1835</v>
      </c>
    </row>
    <row r="38">
      <c r="A38" s="84" t="s">
        <v>1830</v>
      </c>
    </row>
    <row r="39">
      <c r="A39" s="84" t="s">
        <v>1995</v>
      </c>
    </row>
    <row r="40">
      <c r="A40" s="84" t="s">
        <v>1996</v>
      </c>
    </row>
    <row r="41">
      <c r="A41" s="84" t="s">
        <v>1117</v>
      </c>
    </row>
    <row r="42">
      <c r="A42" s="84" t="s">
        <v>1884</v>
      </c>
    </row>
    <row r="43">
      <c r="A43" s="84" t="s">
        <v>1997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83">
        <v>8.69066063E8</v>
      </c>
      <c r="B2" s="83">
        <v>798517.0</v>
      </c>
      <c r="D2" s="2" t="str">
        <f t="shared" ref="D2:D21" si="1">A2&amp;B2</f>
        <v>869066063798517</v>
      </c>
    </row>
    <row r="3">
      <c r="A3" s="83">
        <v>8.69066063E8</v>
      </c>
      <c r="B3" s="83">
        <v>803812.0</v>
      </c>
      <c r="D3" s="2" t="str">
        <f t="shared" si="1"/>
        <v>869066063803812</v>
      </c>
    </row>
    <row r="4">
      <c r="A4" s="83">
        <v>8.69066063E8</v>
      </c>
      <c r="B4" s="83">
        <v>797055.0</v>
      </c>
      <c r="D4" s="2" t="str">
        <f t="shared" si="1"/>
        <v>869066063797055</v>
      </c>
    </row>
    <row r="5">
      <c r="A5" s="83">
        <v>8.69066063E8</v>
      </c>
      <c r="B5" s="83">
        <v>797063.0</v>
      </c>
      <c r="D5" s="2" t="str">
        <f t="shared" si="1"/>
        <v>869066063797063</v>
      </c>
    </row>
    <row r="6">
      <c r="A6" s="83">
        <v>8.69066063E8</v>
      </c>
      <c r="B6" s="83">
        <v>799721.0</v>
      </c>
      <c r="D6" s="2" t="str">
        <f t="shared" si="1"/>
        <v>869066063799721</v>
      </c>
    </row>
    <row r="7">
      <c r="A7" s="83">
        <v>8.69066063E8</v>
      </c>
      <c r="B7" s="83">
        <v>803986.0</v>
      </c>
      <c r="D7" s="2" t="str">
        <f t="shared" si="1"/>
        <v>869066063803986</v>
      </c>
    </row>
    <row r="8">
      <c r="A8" s="83">
        <v>8.69066063E8</v>
      </c>
      <c r="B8" s="83">
        <v>800560.0</v>
      </c>
      <c r="D8" s="2" t="str">
        <f t="shared" si="1"/>
        <v>869066063800560</v>
      </c>
    </row>
    <row r="9">
      <c r="A9" s="83">
        <v>8.69066063E8</v>
      </c>
      <c r="B9" s="83">
        <v>800131.0</v>
      </c>
      <c r="D9" s="2" t="str">
        <f t="shared" si="1"/>
        <v>869066063800131</v>
      </c>
    </row>
    <row r="10">
      <c r="A10" s="83">
        <v>8.69066063E8</v>
      </c>
      <c r="B10" s="83">
        <v>801592.0</v>
      </c>
      <c r="D10" s="2" t="str">
        <f t="shared" si="1"/>
        <v>869066063801592</v>
      </c>
    </row>
    <row r="11">
      <c r="A11" s="83">
        <v>8.69066063E8</v>
      </c>
      <c r="B11" s="83">
        <v>805387.0</v>
      </c>
      <c r="D11" s="2" t="str">
        <f t="shared" si="1"/>
        <v>869066063805387</v>
      </c>
    </row>
    <row r="12">
      <c r="A12" s="83">
        <v>8.69066063E8</v>
      </c>
      <c r="B12" s="83">
        <v>800693.0</v>
      </c>
      <c r="D12" s="2" t="str">
        <f t="shared" si="1"/>
        <v>869066063800693</v>
      </c>
    </row>
    <row r="13">
      <c r="A13" s="83">
        <v>8.69066063E8</v>
      </c>
      <c r="B13" s="83">
        <v>797428.0</v>
      </c>
      <c r="D13" s="2" t="str">
        <f t="shared" si="1"/>
        <v>869066063797428</v>
      </c>
    </row>
    <row r="14">
      <c r="A14" s="83">
        <v>8.69066063E8</v>
      </c>
      <c r="B14" s="83">
        <v>800610.0</v>
      </c>
      <c r="D14" s="2" t="str">
        <f t="shared" si="1"/>
        <v>869066063800610</v>
      </c>
    </row>
    <row r="15">
      <c r="A15" s="83">
        <v>8.69066063E8</v>
      </c>
      <c r="B15" s="83">
        <v>801535.0</v>
      </c>
      <c r="D15" s="2" t="str">
        <f t="shared" si="1"/>
        <v>869066063801535</v>
      </c>
    </row>
    <row r="16">
      <c r="A16" s="83">
        <v>8.69066063E8</v>
      </c>
      <c r="B16" s="83">
        <v>801675.0</v>
      </c>
      <c r="D16" s="2" t="str">
        <f t="shared" si="1"/>
        <v>869066063801675</v>
      </c>
    </row>
    <row r="17">
      <c r="A17" s="83">
        <v>8.69066063E8</v>
      </c>
      <c r="B17" s="83">
        <v>803978.0</v>
      </c>
      <c r="D17" s="2" t="str">
        <f t="shared" si="1"/>
        <v>869066063803978</v>
      </c>
    </row>
    <row r="18">
      <c r="A18" s="83">
        <v>8.69066063E8</v>
      </c>
      <c r="B18" s="83">
        <v>805288.0</v>
      </c>
      <c r="D18" s="2" t="str">
        <f t="shared" si="1"/>
        <v>869066063805288</v>
      </c>
    </row>
    <row r="19">
      <c r="A19" s="83">
        <v>8.69066063E8</v>
      </c>
      <c r="B19" s="83">
        <v>804182.0</v>
      </c>
      <c r="D19" s="2" t="str">
        <f t="shared" si="1"/>
        <v>869066063804182</v>
      </c>
    </row>
    <row r="20">
      <c r="A20" s="83">
        <v>8.69066063E8</v>
      </c>
      <c r="B20" s="83">
        <v>798822.0</v>
      </c>
      <c r="D20" s="2" t="str">
        <f t="shared" si="1"/>
        <v>869066063798822</v>
      </c>
    </row>
    <row r="21">
      <c r="A21" s="83">
        <v>8.69066063E8</v>
      </c>
      <c r="B21" s="83">
        <v>799689.0</v>
      </c>
      <c r="D21" s="2" t="str">
        <f t="shared" si="1"/>
        <v>869066063799689</v>
      </c>
    </row>
  </sheetData>
  <drawing r:id="rId1"/>
</worksheet>
</file>